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 Intake Coding" sheetId="1" r:id="rId5"/>
    <sheet state="visible" name="Repotting Estimates" sheetId="2" r:id="rId6"/>
    <sheet state="visible" name="Repotting Estimate Line Items" sheetId="3" r:id="rId7"/>
    <sheet state="visible" name="Repotting Jobs" sheetId="4" r:id="rId8"/>
    <sheet state="visible" name="Repotting Jobs Cost" sheetId="5" r:id="rId9"/>
    <sheet state="visible" name="Kristina Overhead" sheetId="6" r:id="rId10"/>
    <sheet state="visible" name="Repotting Line Items" sheetId="7" r:id="rId11"/>
    <sheet state="visible" name="Plant KEY" sheetId="8" r:id="rId12"/>
    <sheet state="visible" name="Plant Inventory" sheetId="9" r:id="rId13"/>
    <sheet state="visible" name=" PRICING" sheetId="10" r:id="rId14"/>
    <sheet state="visible" name="Price KEY" sheetId="11" r:id="rId15"/>
    <sheet state="visible" name="Overhead Expenses" sheetId="12" r:id="rId16"/>
    <sheet state="visible" name="Overhead KEY" sheetId="13" r:id="rId17"/>
    <sheet state="visible" name="Transplant Log" sheetId="14" r:id="rId18"/>
    <sheet state="visible" name="SKU Master" sheetId="15" r:id="rId19"/>
    <sheet state="visible" name="Transplant KEY" sheetId="16" r:id="rId20"/>
    <sheet state="visible" name="Sales" sheetId="17" r:id="rId21"/>
    <sheet state="visible" name="Fertilizer Log" sheetId="18" r:id="rId22"/>
    <sheet state="visible" name="Fertilizer Key" sheetId="19" r:id="rId23"/>
    <sheet state="visible" name="PRODUCT Intake Coding" sheetId="20" r:id="rId24"/>
    <sheet state="visible" name="Product KEY" sheetId="21" r:id="rId25"/>
    <sheet state="visible" name="Product Inventory" sheetId="22" r:id="rId26"/>
    <sheet state="visible" name="Treatment Tracker" sheetId="23" r:id="rId27"/>
    <sheet state="visible" name="Treatment Key" sheetId="24" r:id="rId28"/>
    <sheet state="visible" name="Plant Intake Help Guide" sheetId="25" r:id="rId29"/>
    <sheet state="visible" name="Sku KEY" sheetId="26" r:id="rId30"/>
    <sheet state="visible" name="Sales Help Guide" sheetId="27" r:id="rId31"/>
    <sheet state="visible" name="Overhead Expenses Help Guide" sheetId="28" r:id="rId32"/>
    <sheet state="visible" name="Product Intake Help Guide" sheetId="29" r:id="rId33"/>
    <sheet state="visible" name="DashboardOG" sheetId="30" r:id="rId34"/>
    <sheet state="visible" name="Dashboard" sheetId="31" r:id="rId35"/>
  </sheets>
  <definedNames>
    <definedName hidden="1" localSheetId="0" name="_xlnm._FilterDatabase">'PLANT Intake Coding'!$A$2:$V$172</definedName>
    <definedName hidden="1" localSheetId="9" name="_xlnm._FilterDatabase">' PRICING'!$A$2:$W$467</definedName>
    <definedName hidden="1" localSheetId="11" name="_xlnm._FilterDatabase">'Overhead Expenses'!$A$2:$AB$57</definedName>
    <definedName hidden="1" localSheetId="13" name="_xlnm._FilterDatabase">'Transplant Log'!$A$2:$X$266</definedName>
    <definedName hidden="1" localSheetId="19" name="_xlnm._FilterDatabase">'PRODUCT Intake Coding'!$A$2:$X$55</definedName>
    <definedName hidden="1" localSheetId="20" name="_xlnm._FilterDatabase">'Product KEY'!$A$1:$AA$97</definedName>
  </definedNames>
  <calcPr/>
</workbook>
</file>

<file path=xl/sharedStrings.xml><?xml version="1.0" encoding="utf-8"?>
<sst xmlns="http://schemas.openxmlformats.org/spreadsheetml/2006/main" count="61445" uniqueCount="10492">
  <si>
    <t>Date</t>
  </si>
  <si>
    <t>Source</t>
  </si>
  <si>
    <t>Genus</t>
  </si>
  <si>
    <t>Cultivar</t>
  </si>
  <si>
    <t>ID #</t>
  </si>
  <si>
    <t>SKU</t>
  </si>
  <si>
    <t>Total Cost</t>
  </si>
  <si>
    <t>Location</t>
  </si>
  <si>
    <t>Status</t>
  </si>
  <si>
    <t>Unique ID</t>
  </si>
  <si>
    <t>MSRP</t>
  </si>
  <si>
    <t>QTY</t>
  </si>
  <si>
    <t>Pot Type</t>
  </si>
  <si>
    <t>Unit Cost</t>
  </si>
  <si>
    <t>Owner Email</t>
  </si>
  <si>
    <t>Photo</t>
  </si>
  <si>
    <t>Home Stock</t>
  </si>
  <si>
    <t>Begonia</t>
  </si>
  <si>
    <t>Angel Wing</t>
  </si>
  <si>
    <t>1A</t>
  </si>
  <si>
    <t>E87921</t>
  </si>
  <si>
    <t>ST-PO-12-NU-1</t>
  </si>
  <si>
    <t>starr8@rocketmail.com</t>
  </si>
  <si>
    <t>Pothos</t>
  </si>
  <si>
    <t>Golden</t>
  </si>
  <si>
    <t>9C3687</t>
  </si>
  <si>
    <t>Philodendron</t>
  </si>
  <si>
    <t>Heart Leaf</t>
  </si>
  <si>
    <t>851D91</t>
  </si>
  <si>
    <t>ST-PO-0-CU-1</t>
  </si>
  <si>
    <t>Brasil</t>
  </si>
  <si>
    <t>FB20D8</t>
  </si>
  <si>
    <t>Pilea</t>
  </si>
  <si>
    <t>Peperomioides</t>
  </si>
  <si>
    <t>62867D</t>
  </si>
  <si>
    <t>Ctenanthe</t>
  </si>
  <si>
    <t>Burle Marxii</t>
  </si>
  <si>
    <t>59D755</t>
  </si>
  <si>
    <t>ST-PO-4-NU-1</t>
  </si>
  <si>
    <t/>
  </si>
  <si>
    <t>Dracaena</t>
  </si>
  <si>
    <t>Snake Plant</t>
  </si>
  <si>
    <t>D10239</t>
  </si>
  <si>
    <t>Facebook Marketplace</t>
  </si>
  <si>
    <t>White Knight</t>
  </si>
  <si>
    <t>Cash</t>
  </si>
  <si>
    <t>None</t>
  </si>
  <si>
    <t>8F306F</t>
  </si>
  <si>
    <t>ST-PO-6-NU-1</t>
  </si>
  <si>
    <t>Walmart</t>
  </si>
  <si>
    <t>3A0A52</t>
  </si>
  <si>
    <t>Monstera</t>
  </si>
  <si>
    <t>Peru</t>
  </si>
  <si>
    <t>C7E314</t>
  </si>
  <si>
    <t>The Lady Cove</t>
  </si>
  <si>
    <t>Cream Splash</t>
  </si>
  <si>
    <t>AA4996</t>
  </si>
  <si>
    <t>The Amazing Garden</t>
  </si>
  <si>
    <t>Adenium Obesum</t>
  </si>
  <si>
    <t>Desert Rose</t>
  </si>
  <si>
    <t>B16039</t>
  </si>
  <si>
    <t>Fred Meyer</t>
  </si>
  <si>
    <t>Golden Crocodile</t>
  </si>
  <si>
    <t>4546BE</t>
  </si>
  <si>
    <t>Alocasia</t>
  </si>
  <si>
    <t>Regal Shield</t>
  </si>
  <si>
    <t>5DCD93</t>
  </si>
  <si>
    <t>Green Velvet Frydek</t>
  </si>
  <si>
    <t>66B4DB</t>
  </si>
  <si>
    <t>Deliciosa</t>
  </si>
  <si>
    <t>D764EE</t>
  </si>
  <si>
    <t>1A-2</t>
  </si>
  <si>
    <t>BA6B4C</t>
  </si>
  <si>
    <t>Scindapsus</t>
  </si>
  <si>
    <t>Silver Splash</t>
  </si>
  <si>
    <t>1DD88F</t>
  </si>
  <si>
    <t>Maggie Mae Plants</t>
  </si>
  <si>
    <t>Adansonii</t>
  </si>
  <si>
    <t>D78BB8</t>
  </si>
  <si>
    <t>Orange Lake Nursery</t>
  </si>
  <si>
    <t>Credit Card</t>
  </si>
  <si>
    <t>2163</t>
  </si>
  <si>
    <t>DB15AC</t>
  </si>
  <si>
    <t>ST-PO-0-PL-1</t>
  </si>
  <si>
    <t>White Princess</t>
  </si>
  <si>
    <t>1A5668</t>
  </si>
  <si>
    <t>Alternanthera</t>
  </si>
  <si>
    <t>Party Time</t>
  </si>
  <si>
    <t>30FC62</t>
  </si>
  <si>
    <t>Fittonia</t>
  </si>
  <si>
    <t>Red Flame</t>
  </si>
  <si>
    <t>C4919B</t>
  </si>
  <si>
    <t>Strawberry Shake</t>
  </si>
  <si>
    <t>1002</t>
  </si>
  <si>
    <t>DD2EF3</t>
  </si>
  <si>
    <t>Snow Drift</t>
  </si>
  <si>
    <t>A09A6D</t>
  </si>
  <si>
    <t>Aura Rooted</t>
  </si>
  <si>
    <t>F323DF</t>
  </si>
  <si>
    <t>Longiloba Mint</t>
  </si>
  <si>
    <t>D4D950</t>
  </si>
  <si>
    <t>Zen Botanicals</t>
  </si>
  <si>
    <t>Senecio</t>
  </si>
  <si>
    <t>Haworthii</t>
  </si>
  <si>
    <t>D8F201</t>
  </si>
  <si>
    <t>It's a Succulent Thang</t>
  </si>
  <si>
    <t>Pink Princess</t>
  </si>
  <si>
    <t>B46EF4</t>
  </si>
  <si>
    <t>Green Congo Nuclear</t>
  </si>
  <si>
    <t>F3374E</t>
  </si>
  <si>
    <t>Ts Garden Gems</t>
  </si>
  <si>
    <t>Hoya</t>
  </si>
  <si>
    <t>Golden Flame</t>
  </si>
  <si>
    <t>1E3D42</t>
  </si>
  <si>
    <t>Publicalyx</t>
  </si>
  <si>
    <t>C41DCD</t>
  </si>
  <si>
    <t>BC6E95</t>
  </si>
  <si>
    <t>Amazon</t>
  </si>
  <si>
    <t>EABB58</t>
  </si>
  <si>
    <t>White Wizard</t>
  </si>
  <si>
    <t>A7877B</t>
  </si>
  <si>
    <t>Gloriosum</t>
  </si>
  <si>
    <t>367351</t>
  </si>
  <si>
    <t>Birkin</t>
  </si>
  <si>
    <t>EBE164</t>
  </si>
  <si>
    <t>The Gay Ole Plant Shop</t>
  </si>
  <si>
    <t>Pink Princess Marbled</t>
  </si>
  <si>
    <t>3EF9AE</t>
  </si>
  <si>
    <t>95E24C</t>
  </si>
  <si>
    <t>1A-3</t>
  </si>
  <si>
    <t>D83913</t>
  </si>
  <si>
    <t>Prince of Orange</t>
  </si>
  <si>
    <t>F6DAF1</t>
  </si>
  <si>
    <t>D2855E</t>
  </si>
  <si>
    <t>746666</t>
  </si>
  <si>
    <t>FDCDBC</t>
  </si>
  <si>
    <t>B86EBE</t>
  </si>
  <si>
    <t>B248B2</t>
  </si>
  <si>
    <t>BWH Plant Company</t>
  </si>
  <si>
    <t>Moonlight</t>
  </si>
  <si>
    <t>865761</t>
  </si>
  <si>
    <t>3475AD</t>
  </si>
  <si>
    <t>87BA03</t>
  </si>
  <si>
    <t>1A-4</t>
  </si>
  <si>
    <t>9D266F</t>
  </si>
  <si>
    <t>1A-5</t>
  </si>
  <si>
    <t>11DB77</t>
  </si>
  <si>
    <t>Red Anderson Pink Knight</t>
  </si>
  <si>
    <t>DA2B69</t>
  </si>
  <si>
    <t>DD7D9F</t>
  </si>
  <si>
    <t>28945C</t>
  </si>
  <si>
    <t>29B762</t>
  </si>
  <si>
    <t>B756B2</t>
  </si>
  <si>
    <t>Pearls and Jade</t>
  </si>
  <si>
    <t>347F1B</t>
  </si>
  <si>
    <t>C770F5</t>
  </si>
  <si>
    <t>F0D337</t>
  </si>
  <si>
    <t>E5EA44</t>
  </si>
  <si>
    <t>DAE397</t>
  </si>
  <si>
    <t>Syngonium</t>
  </si>
  <si>
    <t>Pink Splash</t>
  </si>
  <si>
    <t>DAB222</t>
  </si>
  <si>
    <t>C20928</t>
  </si>
  <si>
    <t>3D8402</t>
  </si>
  <si>
    <t>5A338D</t>
  </si>
  <si>
    <t>1566D4</t>
  </si>
  <si>
    <t>Fontanimal Plant House</t>
  </si>
  <si>
    <t>41FAF6</t>
  </si>
  <si>
    <t>Brandon The Plant Guy</t>
  </si>
  <si>
    <t>Krimson Princess</t>
  </si>
  <si>
    <t>5FC77C</t>
  </si>
  <si>
    <t>ST-PO-6-HA-1</t>
  </si>
  <si>
    <t>Best Plant Friend</t>
  </si>
  <si>
    <t>Ceropegia</t>
  </si>
  <si>
    <t>String of Hearts</t>
  </si>
  <si>
    <t>8EB23B</t>
  </si>
  <si>
    <t>4EE16A</t>
  </si>
  <si>
    <t>676712</t>
  </si>
  <si>
    <t>EB46AC</t>
  </si>
  <si>
    <t>4D2FA7</t>
  </si>
  <si>
    <t>String of Pearls</t>
  </si>
  <si>
    <t>7EBCBB</t>
  </si>
  <si>
    <t>48B232</t>
  </si>
  <si>
    <t>6DE8C5</t>
  </si>
  <si>
    <t>E07801</t>
  </si>
  <si>
    <t>5EC9AE</t>
  </si>
  <si>
    <t>Neon</t>
  </si>
  <si>
    <t>2B1649</t>
  </si>
  <si>
    <t>69DB07</t>
  </si>
  <si>
    <t>24FF6A</t>
  </si>
  <si>
    <t>Burle Marx Variegated</t>
  </si>
  <si>
    <t>5ECF2F</t>
  </si>
  <si>
    <t>B923BF</t>
  </si>
  <si>
    <t>Batik</t>
  </si>
  <si>
    <t>E1B355</t>
  </si>
  <si>
    <t>EA64D3</t>
  </si>
  <si>
    <t>856273</t>
  </si>
  <si>
    <t>Aglaonema</t>
  </si>
  <si>
    <t>Spathonema</t>
  </si>
  <si>
    <t>BAFDC6</t>
  </si>
  <si>
    <t>Calathea</t>
  </si>
  <si>
    <t>Makoyana</t>
  </si>
  <si>
    <t>C98895</t>
  </si>
  <si>
    <t>A6E2FF</t>
  </si>
  <si>
    <t>57F95F</t>
  </si>
  <si>
    <t>5AF6AE</t>
  </si>
  <si>
    <t>Painted Lady</t>
  </si>
  <si>
    <t>6B60A0</t>
  </si>
  <si>
    <t>Home Depot</t>
  </si>
  <si>
    <t>Longiloba</t>
  </si>
  <si>
    <t>90C267</t>
  </si>
  <si>
    <t>F2B4F5</t>
  </si>
  <si>
    <t>DCED1B</t>
  </si>
  <si>
    <t>Bisma Dragon Scale</t>
  </si>
  <si>
    <t>956FA2</t>
  </si>
  <si>
    <t>Golden Girl</t>
  </si>
  <si>
    <t>FD5AF1</t>
  </si>
  <si>
    <t>Shining Sea Star</t>
  </si>
  <si>
    <t>A63DAD</t>
  </si>
  <si>
    <t>Stromanthe</t>
  </si>
  <si>
    <t>Triostar</t>
  </si>
  <si>
    <t>A606F4</t>
  </si>
  <si>
    <t>Totally Rooted LLC</t>
  </si>
  <si>
    <t>Ficus</t>
  </si>
  <si>
    <t>Teneke</t>
  </si>
  <si>
    <t>9840DD</t>
  </si>
  <si>
    <t>Panda</t>
  </si>
  <si>
    <t>D43058</t>
  </si>
  <si>
    <t>Jose Buono</t>
  </si>
  <si>
    <t>CF6792</t>
  </si>
  <si>
    <t>Rooted Summerville</t>
  </si>
  <si>
    <t>Red Sun</t>
  </si>
  <si>
    <t>E522FA</t>
  </si>
  <si>
    <t>Epipremnum</t>
  </si>
  <si>
    <t>Pinnatum Marble</t>
  </si>
  <si>
    <t>91FC9E</t>
  </si>
  <si>
    <t>The Green Escape</t>
  </si>
  <si>
    <t>Florida Bronze</t>
  </si>
  <si>
    <t>B73020</t>
  </si>
  <si>
    <t>Ring of Fire</t>
  </si>
  <si>
    <t>B93004</t>
  </si>
  <si>
    <t>8A95D1</t>
  </si>
  <si>
    <t>229B43</t>
  </si>
  <si>
    <t>Colocasia</t>
  </si>
  <si>
    <t>Diamond</t>
  </si>
  <si>
    <t>F713FB</t>
  </si>
  <si>
    <t>Land Of Alice</t>
  </si>
  <si>
    <t>Domesticum</t>
  </si>
  <si>
    <t>C60302</t>
  </si>
  <si>
    <t>Crassula</t>
  </si>
  <si>
    <t>Gollum Jade</t>
  </si>
  <si>
    <t>778379</t>
  </si>
  <si>
    <t>Dicks Sticks &amp; Exotics</t>
  </si>
  <si>
    <t>Mandalay</t>
  </si>
  <si>
    <t>6AF142</t>
  </si>
  <si>
    <t>94677A</t>
  </si>
  <si>
    <t>E911E1</t>
  </si>
  <si>
    <t>E261F5</t>
  </si>
  <si>
    <t>161C03</t>
  </si>
  <si>
    <t>Mojito</t>
  </si>
  <si>
    <t>3AABF4</t>
  </si>
  <si>
    <t>63E13E</t>
  </si>
  <si>
    <t>BEEE1E</t>
  </si>
  <si>
    <t>61F36D</t>
  </si>
  <si>
    <t>A39173</t>
  </si>
  <si>
    <t>1A-6</t>
  </si>
  <si>
    <t>B71024</t>
  </si>
  <si>
    <t>1A-7</t>
  </si>
  <si>
    <t>B4176B</t>
  </si>
  <si>
    <t>1A-8</t>
  </si>
  <si>
    <t>37C010</t>
  </si>
  <si>
    <t>1A-9</t>
  </si>
  <si>
    <t>F43794</t>
  </si>
  <si>
    <t>Purple Cloak</t>
  </si>
  <si>
    <t>CFB631</t>
  </si>
  <si>
    <t>E223A1</t>
  </si>
  <si>
    <t>BA91C2</t>
  </si>
  <si>
    <t>FDE53A</t>
  </si>
  <si>
    <t>Piper</t>
  </si>
  <si>
    <t>Crocatum</t>
  </si>
  <si>
    <t>7492A2</t>
  </si>
  <si>
    <t>7E873B</t>
  </si>
  <si>
    <t>2C2E96</t>
  </si>
  <si>
    <t>Polly</t>
  </si>
  <si>
    <t>96A1E8</t>
  </si>
  <si>
    <t>1FA22A</t>
  </si>
  <si>
    <t>49AB76</t>
  </si>
  <si>
    <t>4CAE07</t>
  </si>
  <si>
    <t>McColley's Finale</t>
  </si>
  <si>
    <t>5C97B2</t>
  </si>
  <si>
    <t>498D6E</t>
  </si>
  <si>
    <t>CD16D7</t>
  </si>
  <si>
    <t>53703C</t>
  </si>
  <si>
    <t>D92096</t>
  </si>
  <si>
    <t>B4BE08</t>
  </si>
  <si>
    <t>B62915</t>
  </si>
  <si>
    <t>923D44</t>
  </si>
  <si>
    <t>2DDE28</t>
  </si>
  <si>
    <t>1A-10</t>
  </si>
  <si>
    <t>2DC3EF</t>
  </si>
  <si>
    <t>1A-11</t>
  </si>
  <si>
    <t>82D73D</t>
  </si>
  <si>
    <t>1A-12</t>
  </si>
  <si>
    <t>5CF425</t>
  </si>
  <si>
    <t>Red King</t>
  </si>
  <si>
    <t>7F366E</t>
  </si>
  <si>
    <t>6E112A</t>
  </si>
  <si>
    <t>8290FB</t>
  </si>
  <si>
    <t>314DA5</t>
  </si>
  <si>
    <t>7C0CC8</t>
  </si>
  <si>
    <t>E4EDA7</t>
  </si>
  <si>
    <t>Arcadia Garden Products</t>
  </si>
  <si>
    <t>Ninja</t>
  </si>
  <si>
    <t>75B3DE</t>
  </si>
  <si>
    <t>62D2AB</t>
  </si>
  <si>
    <t>6289C8</t>
  </si>
  <si>
    <t>B0E11D</t>
  </si>
  <si>
    <t>D9AD7A</t>
  </si>
  <si>
    <t>DF4215</t>
  </si>
  <si>
    <t>Thai Sunrise</t>
  </si>
  <si>
    <t>7540D9</t>
  </si>
  <si>
    <t>Orange Marmalade</t>
  </si>
  <si>
    <t>A9ACCC</t>
  </si>
  <si>
    <t>Black Cardinal</t>
  </si>
  <si>
    <t>5F294B</t>
  </si>
  <si>
    <t>373DE3</t>
  </si>
  <si>
    <t>DAFE96</t>
  </si>
  <si>
    <t>C04B0E</t>
  </si>
  <si>
    <t>Thai Constellation</t>
  </si>
  <si>
    <t>C26338</t>
  </si>
  <si>
    <t>B6339F</t>
  </si>
  <si>
    <t>AE06AF</t>
  </si>
  <si>
    <t>Jumanji Jon Plants</t>
  </si>
  <si>
    <t>3F468A</t>
  </si>
  <si>
    <t>Variegated Red Congo Red Hot</t>
  </si>
  <si>
    <t>D3F394</t>
  </si>
  <si>
    <t>Shivereana</t>
  </si>
  <si>
    <t>4B0FD6</t>
  </si>
  <si>
    <t>ED843D</t>
  </si>
  <si>
    <t>9A16F3</t>
  </si>
  <si>
    <t>52257B</t>
  </si>
  <si>
    <t>11688C</t>
  </si>
  <si>
    <t>Variegated Macrorrhiza</t>
  </si>
  <si>
    <t>B56B64</t>
  </si>
  <si>
    <t>4E0D22</t>
  </si>
  <si>
    <t>A02474</t>
  </si>
  <si>
    <t>506685</t>
  </si>
  <si>
    <t>76072A</t>
  </si>
  <si>
    <t>2A</t>
  </si>
  <si>
    <t>1AB483</t>
  </si>
  <si>
    <t>2A-2</t>
  </si>
  <si>
    <t>A10A2C</t>
  </si>
  <si>
    <t>2A-3</t>
  </si>
  <si>
    <t>41D144</t>
  </si>
  <si>
    <t>2A-4</t>
  </si>
  <si>
    <t>CCEA50</t>
  </si>
  <si>
    <t>2A-5</t>
  </si>
  <si>
    <t>7A6BA8</t>
  </si>
  <si>
    <t>C11136</t>
  </si>
  <si>
    <t>683DA4</t>
  </si>
  <si>
    <t>2CF62B</t>
  </si>
  <si>
    <t>3651DC</t>
  </si>
  <si>
    <t>96EDA4</t>
  </si>
  <si>
    <t>Paraiso Verde</t>
  </si>
  <si>
    <t>F77AE9</t>
  </si>
  <si>
    <t>E2A63E</t>
  </si>
  <si>
    <t>8283A0</t>
  </si>
  <si>
    <t>328860</t>
  </si>
  <si>
    <t>85F61F</t>
  </si>
  <si>
    <t>Thorsen's Greenhouse</t>
  </si>
  <si>
    <t>Asplenium</t>
  </si>
  <si>
    <t>Hurricane</t>
  </si>
  <si>
    <t>44CB88</t>
  </si>
  <si>
    <t>Victoria</t>
  </si>
  <si>
    <t>20FBF6</t>
  </si>
  <si>
    <t>Austra Gem</t>
  </si>
  <si>
    <t>45162B</t>
  </si>
  <si>
    <t>Blechnum</t>
  </si>
  <si>
    <t>Braziliense Mahogany Fern</t>
  </si>
  <si>
    <t>98E7BC</t>
  </si>
  <si>
    <t>Red</t>
  </si>
  <si>
    <t>785E64</t>
  </si>
  <si>
    <t>2A4C46</t>
  </si>
  <si>
    <t>Maranta</t>
  </si>
  <si>
    <t>Leuconeura Lemon</t>
  </si>
  <si>
    <t>E0BF12</t>
  </si>
  <si>
    <t>Leuconeura Red</t>
  </si>
  <si>
    <t>7FBB52</t>
  </si>
  <si>
    <t>Carnosa</t>
  </si>
  <si>
    <t>7809D4</t>
  </si>
  <si>
    <t>Pinstripe</t>
  </si>
  <si>
    <t>6BB8D5</t>
  </si>
  <si>
    <t>Dottie</t>
  </si>
  <si>
    <t>1BC746</t>
  </si>
  <si>
    <t>Depressa Silver</t>
  </si>
  <si>
    <t>3D3D37</t>
  </si>
  <si>
    <t>Hypoestes</t>
  </si>
  <si>
    <t>8D8F1C</t>
  </si>
  <si>
    <t>Chlorophytum</t>
  </si>
  <si>
    <t>Spider Plant</t>
  </si>
  <si>
    <t>9A239D</t>
  </si>
  <si>
    <t>Chamaedorea</t>
  </si>
  <si>
    <t>Elegans</t>
  </si>
  <si>
    <t>DC6634</t>
  </si>
  <si>
    <t>Rex</t>
  </si>
  <si>
    <t>AEB60B</t>
  </si>
  <si>
    <t>DC1C8A</t>
  </si>
  <si>
    <t>ST-PO-8-NU-1</t>
  </si>
  <si>
    <t>C88B71</t>
  </si>
  <si>
    <t>8734BB</t>
  </si>
  <si>
    <t>FA37EC</t>
  </si>
  <si>
    <t>6F2E55</t>
  </si>
  <si>
    <t>AFC141</t>
  </si>
  <si>
    <t>2A575C</t>
  </si>
  <si>
    <t>6DFD4A</t>
  </si>
  <si>
    <t>398C60</t>
  </si>
  <si>
    <t>23516B</t>
  </si>
  <si>
    <t>2B4556</t>
  </si>
  <si>
    <t>62D529</t>
  </si>
  <si>
    <t>Fusion White</t>
  </si>
  <si>
    <t>5B73D2</t>
  </si>
  <si>
    <t>BD7AF3</t>
  </si>
  <si>
    <t>A44972</t>
  </si>
  <si>
    <t>7334C0</t>
  </si>
  <si>
    <t>25F760</t>
  </si>
  <si>
    <t>696A7A</t>
  </si>
  <si>
    <t>919576</t>
  </si>
  <si>
    <t>DFA250</t>
  </si>
  <si>
    <t>841D1C</t>
  </si>
  <si>
    <t>2FCAEA</t>
  </si>
  <si>
    <t>5BFD19</t>
  </si>
  <si>
    <t>37C90C</t>
  </si>
  <si>
    <t>D83CBE</t>
  </si>
  <si>
    <t>961999</t>
  </si>
  <si>
    <t>F9294E</t>
  </si>
  <si>
    <t>95A1FC</t>
  </si>
  <si>
    <t>559D37</t>
  </si>
  <si>
    <t>2D07E1</t>
  </si>
  <si>
    <t>FE50D5</t>
  </si>
  <si>
    <t>A5B9BA</t>
  </si>
  <si>
    <t>3B4C70</t>
  </si>
  <si>
    <t>A58FF7</t>
  </si>
  <si>
    <t>F33EEC</t>
  </si>
  <si>
    <t>Krimson Queen</t>
  </si>
  <si>
    <t>9CB6DE</t>
  </si>
  <si>
    <t>45A820</t>
  </si>
  <si>
    <t>EF3EE8</t>
  </si>
  <si>
    <t>FFACF6</t>
  </si>
  <si>
    <t>E6E107</t>
  </si>
  <si>
    <t>800A86</t>
  </si>
  <si>
    <t>9C91A6</t>
  </si>
  <si>
    <t>94B007</t>
  </si>
  <si>
    <t>A2845A</t>
  </si>
  <si>
    <t>3789FE</t>
  </si>
  <si>
    <t>2A-6</t>
  </si>
  <si>
    <t>B41EF0</t>
  </si>
  <si>
    <t>2A-7</t>
  </si>
  <si>
    <t>173736</t>
  </si>
  <si>
    <t>Variegated String of Pearls</t>
  </si>
  <si>
    <t>F1A957</t>
  </si>
  <si>
    <t>6AB63B</t>
  </si>
  <si>
    <t>AEA40A</t>
  </si>
  <si>
    <t>6F537E</t>
  </si>
  <si>
    <t>52B4E7</t>
  </si>
  <si>
    <t>F0BA1A</t>
  </si>
  <si>
    <t>8AE61A</t>
  </si>
  <si>
    <t>7A3E2C</t>
  </si>
  <si>
    <t>1A207D</t>
  </si>
  <si>
    <t>9444D6</t>
  </si>
  <si>
    <t>58B608</t>
  </si>
  <si>
    <t>Variegated String of Hearts</t>
  </si>
  <si>
    <t>F2CEA4</t>
  </si>
  <si>
    <t>A99631</t>
  </si>
  <si>
    <t>54199A</t>
  </si>
  <si>
    <t>String of Tears</t>
  </si>
  <si>
    <t>C440CA</t>
  </si>
  <si>
    <t>D54C69</t>
  </si>
  <si>
    <t>EA58B4</t>
  </si>
  <si>
    <t>Silver Sword</t>
  </si>
  <si>
    <t>KEEP</t>
  </si>
  <si>
    <t>1a4db169</t>
  </si>
  <si>
    <t>Aeschynanthus</t>
  </si>
  <si>
    <t>Lipstick Plant</t>
  </si>
  <si>
    <t>Giveaway</t>
  </si>
  <si>
    <t>604592f4</t>
  </si>
  <si>
    <t>Snow Cap</t>
  </si>
  <si>
    <t>5cc81913</t>
  </si>
  <si>
    <t>Marble Queen</t>
  </si>
  <si>
    <t>4e229d8d</t>
  </si>
  <si>
    <t>fc92cb00</t>
  </si>
  <si>
    <t>Ring of Fire Variegated</t>
  </si>
  <si>
    <t>7edaf8c8</t>
  </si>
  <si>
    <t>Ginny</t>
  </si>
  <si>
    <t>6b725a1f</t>
  </si>
  <si>
    <t>Billie x Pasta</t>
  </si>
  <si>
    <t>1013c269</t>
  </si>
  <si>
    <t>3c1c32f1</t>
  </si>
  <si>
    <t>Black Magic</t>
  </si>
  <si>
    <t>ac59971a</t>
  </si>
  <si>
    <t>Brevirimosa</t>
  </si>
  <si>
    <t>c0078892</t>
  </si>
  <si>
    <t>Maculata</t>
  </si>
  <si>
    <t>d8e4acb2</t>
  </si>
  <si>
    <t>Silver Cane</t>
  </si>
  <si>
    <t>5bf52e50</t>
  </si>
  <si>
    <t>Succulents and Such</t>
  </si>
  <si>
    <t>Pinguicula</t>
  </si>
  <si>
    <t>Butterwort</t>
  </si>
  <si>
    <t>Debit Card</t>
  </si>
  <si>
    <t>Unpaid Invoice</t>
  </si>
  <si>
    <t>8da72a91</t>
  </si>
  <si>
    <t>Cherry Red</t>
  </si>
  <si>
    <t>a1ca78e9</t>
  </si>
  <si>
    <t>8817154b</t>
  </si>
  <si>
    <t>ac3f5f7a</t>
  </si>
  <si>
    <t>6c238fe0</t>
  </si>
  <si>
    <t>Eclipse</t>
  </si>
  <si>
    <t>f93640d2</t>
  </si>
  <si>
    <t>Golden Xanadu</t>
  </si>
  <si>
    <t>03e4a96f</t>
  </si>
  <si>
    <t>634ad4f0</t>
  </si>
  <si>
    <t>348a1cc0</t>
  </si>
  <si>
    <t>dcbb6be5</t>
  </si>
  <si>
    <t>Compacta</t>
  </si>
  <si>
    <t>acc5dac2</t>
  </si>
  <si>
    <t>ST-PO-2-NU-1</t>
  </si>
  <si>
    <t>Wayetii Variegated</t>
  </si>
  <si>
    <t>011795b2</t>
  </si>
  <si>
    <t>Lisa</t>
  </si>
  <si>
    <t>790f3601</t>
  </si>
  <si>
    <t>4c5e3529</t>
  </si>
  <si>
    <t>Obovata</t>
  </si>
  <si>
    <t>f099bd94</t>
  </si>
  <si>
    <t>e808ce06</t>
  </si>
  <si>
    <t>b9b47148</t>
  </si>
  <si>
    <t>8bf96b61</t>
  </si>
  <si>
    <t>8f6f8ecf</t>
  </si>
  <si>
    <t>50183ca0</t>
  </si>
  <si>
    <t>3b2936b4</t>
  </si>
  <si>
    <t>ebb51355</t>
  </si>
  <si>
    <t>3863bc2d</t>
  </si>
  <si>
    <t>fa8db736</t>
  </si>
  <si>
    <t>aaca829b</t>
  </si>
  <si>
    <t>d1f4f282</t>
  </si>
  <si>
    <t>1A-13</t>
  </si>
  <si>
    <t>d51352d9</t>
  </si>
  <si>
    <t>1A-14</t>
  </si>
  <si>
    <t>60c0dfd4</t>
  </si>
  <si>
    <t>1A-15</t>
  </si>
  <si>
    <t>ccb0fa15</t>
  </si>
  <si>
    <t>1A-16</t>
  </si>
  <si>
    <t>2541ce01</t>
  </si>
  <si>
    <t>1A-17</t>
  </si>
  <si>
    <t>dd1118f4</t>
  </si>
  <si>
    <t>1A-18</t>
  </si>
  <si>
    <t>01eb3055</t>
  </si>
  <si>
    <t>1A-19</t>
  </si>
  <si>
    <t>d4361af2</t>
  </si>
  <si>
    <t>1A-20</t>
  </si>
  <si>
    <t>4a2919a5</t>
  </si>
  <si>
    <t>1A-21</t>
  </si>
  <si>
    <t>f5c81042</t>
  </si>
  <si>
    <t>1A-22</t>
  </si>
  <si>
    <t>e193dbd1</t>
  </si>
  <si>
    <t>1A-23</t>
  </si>
  <si>
    <t>0684563f</t>
  </si>
  <si>
    <t>1A-24</t>
  </si>
  <si>
    <t>1ae99e00</t>
  </si>
  <si>
    <t>1A-25</t>
  </si>
  <si>
    <t>fb1388a6</t>
  </si>
  <si>
    <t>1A-26</t>
  </si>
  <si>
    <t>f290b534</t>
  </si>
  <si>
    <t>1A-27</t>
  </si>
  <si>
    <t>8c1083f3</t>
  </si>
  <si>
    <t>1A-28</t>
  </si>
  <si>
    <t>9d92c00d</t>
  </si>
  <si>
    <t>1A-29</t>
  </si>
  <si>
    <t>613efd3f</t>
  </si>
  <si>
    <t>1A-30</t>
  </si>
  <si>
    <t>aea982d3</t>
  </si>
  <si>
    <t>1A-31</t>
  </si>
  <si>
    <t>f7f6fec1</t>
  </si>
  <si>
    <t>1A-32</t>
  </si>
  <si>
    <t>e244a309</t>
  </si>
  <si>
    <t>1A-33</t>
  </si>
  <si>
    <t>0574b52f</t>
  </si>
  <si>
    <t>1A-34</t>
  </si>
  <si>
    <t>8700631c</t>
  </si>
  <si>
    <t>1A-35</t>
  </si>
  <si>
    <t>3c105943</t>
  </si>
  <si>
    <t>1A-36</t>
  </si>
  <si>
    <t>ed95266b</t>
  </si>
  <si>
    <t>1A-37</t>
  </si>
  <si>
    <t>ec838fe6</t>
  </si>
  <si>
    <t>1A-38</t>
  </si>
  <si>
    <t>c248a5e9</t>
  </si>
  <si>
    <t>1A-39</t>
  </si>
  <si>
    <t>e2f4704d</t>
  </si>
  <si>
    <t>1A-40</t>
  </si>
  <si>
    <t>376b71fe</t>
  </si>
  <si>
    <t>1A-41</t>
  </si>
  <si>
    <t>8be93ada</t>
  </si>
  <si>
    <t>1A-42</t>
  </si>
  <si>
    <t>c8f5cbf0</t>
  </si>
  <si>
    <t>1A-43</t>
  </si>
  <si>
    <t>60400cf4</t>
  </si>
  <si>
    <t>1A-44</t>
  </si>
  <si>
    <t>24216a89</t>
  </si>
  <si>
    <t>1A-45</t>
  </si>
  <si>
    <t>69fa60df</t>
  </si>
  <si>
    <t>6ff8412a</t>
  </si>
  <si>
    <t>e248aa05</t>
  </si>
  <si>
    <t>88abc1fd</t>
  </si>
  <si>
    <t>f8162e85</t>
  </si>
  <si>
    <t>c8b0dbae</t>
  </si>
  <si>
    <t>6d5961dc</t>
  </si>
  <si>
    <t>76f4a8bf</t>
  </si>
  <si>
    <t>dde16a61</t>
  </si>
  <si>
    <t>240224b0</t>
  </si>
  <si>
    <t>4e1740c0</t>
  </si>
  <si>
    <t>37508c6c</t>
  </si>
  <si>
    <t>8208b6f5</t>
  </si>
  <si>
    <t>871adbdf</t>
  </si>
  <si>
    <t>609d31a0</t>
  </si>
  <si>
    <t>011faf38</t>
  </si>
  <si>
    <t>CU-6</t>
  </si>
  <si>
    <t>cddcb10b</t>
  </si>
  <si>
    <t>b60d9acb</t>
  </si>
  <si>
    <t>75dfd747</t>
  </si>
  <si>
    <t>f2d350f0</t>
  </si>
  <si>
    <t>aa6b24b4</t>
  </si>
  <si>
    <t>3a6e5ae9</t>
  </si>
  <si>
    <t>997d1ad9</t>
  </si>
  <si>
    <t>5140af90</t>
  </si>
  <si>
    <t>4c856d2c</t>
  </si>
  <si>
    <t>ff57e6f5</t>
  </si>
  <si>
    <t>a044f392</t>
  </si>
  <si>
    <t>c18f976c</t>
  </si>
  <si>
    <t>2a099ce4</t>
  </si>
  <si>
    <t>0e4a9137</t>
  </si>
  <si>
    <t>20578d2c</t>
  </si>
  <si>
    <t>22447751</t>
  </si>
  <si>
    <t>1ed566a4</t>
  </si>
  <si>
    <t>ca145b14</t>
  </si>
  <si>
    <t>5c6ee689</t>
  </si>
  <si>
    <t>0862aa5a</t>
  </si>
  <si>
    <t>ea6c6671</t>
  </si>
  <si>
    <t>e82d4cb6</t>
  </si>
  <si>
    <t>50759498</t>
  </si>
  <si>
    <t>810a0f66</t>
  </si>
  <si>
    <t>2de6d3e5</t>
  </si>
  <si>
    <t>7cec0d4e</t>
  </si>
  <si>
    <t>06724d78</t>
  </si>
  <si>
    <t>f571bb99</t>
  </si>
  <si>
    <t>Anthurium</t>
  </si>
  <si>
    <t>Flamingo-Flower</t>
  </si>
  <si>
    <t>6b1aeabd</t>
  </si>
  <si>
    <t>ST-PO-5-NU-1</t>
  </si>
  <si>
    <t>Crystallinum</t>
  </si>
  <si>
    <t>a7d03763</t>
  </si>
  <si>
    <t>2a20b7b1</t>
  </si>
  <si>
    <t>1f28cb20</t>
  </si>
  <si>
    <t>ST-PO-3-NU-1</t>
  </si>
  <si>
    <t>e35c6be0</t>
  </si>
  <si>
    <t>7e2072d7</t>
  </si>
  <si>
    <t>Rojo Congo</t>
  </si>
  <si>
    <t>2918bdad</t>
  </si>
  <si>
    <t>b6316804</t>
  </si>
  <si>
    <t>d47a9687</t>
  </si>
  <si>
    <t>febcbc7e</t>
  </si>
  <si>
    <t>Regina Red</t>
  </si>
  <si>
    <t>94841b8c</t>
  </si>
  <si>
    <t>6546d521</t>
  </si>
  <si>
    <t>e1d5c16d</t>
  </si>
  <si>
    <t>05ccebf8</t>
  </si>
  <si>
    <t>cae14cc3</t>
  </si>
  <si>
    <t>cdc66e4e</t>
  </si>
  <si>
    <t>Velvet Elvis</t>
  </si>
  <si>
    <t>7d57f6a2</t>
  </si>
  <si>
    <t>9228e28e</t>
  </si>
  <si>
    <t>fc55dd4e</t>
  </si>
  <si>
    <t>a632e234</t>
  </si>
  <si>
    <t>77f2c490</t>
  </si>
  <si>
    <t>c1b4111b</t>
  </si>
  <si>
    <t>Joepii</t>
  </si>
  <si>
    <t>11f6ac57</t>
  </si>
  <si>
    <t>699fee3f</t>
  </si>
  <si>
    <t>68390bc2</t>
  </si>
  <si>
    <t>Billietiae</t>
  </si>
  <si>
    <t>ab238c87</t>
  </si>
  <si>
    <t>e4d85b62</t>
  </si>
  <si>
    <t>6116</t>
  </si>
  <si>
    <t>13a24c6b</t>
  </si>
  <si>
    <t>f967142d</t>
  </si>
  <si>
    <t>ba502427</t>
  </si>
  <si>
    <t>Aurea</t>
  </si>
  <si>
    <t>dad23b5f</t>
  </si>
  <si>
    <t>Variegated Frydek</t>
  </si>
  <si>
    <t>c9164dd2</t>
  </si>
  <si>
    <t>Tiny Dancer</t>
  </si>
  <si>
    <t>99608937</t>
  </si>
  <si>
    <t>Micans</t>
  </si>
  <si>
    <t>0a95b6b0</t>
  </si>
  <si>
    <t>4bbcf5e5</t>
  </si>
  <si>
    <t>c0abc6fb</t>
  </si>
  <si>
    <t>68f30778</t>
  </si>
  <si>
    <t>4abd7934</t>
  </si>
  <si>
    <t>76263442</t>
  </si>
  <si>
    <t>c5f13982</t>
  </si>
  <si>
    <t>b22c7f25</t>
  </si>
  <si>
    <t>4c1016b1</t>
  </si>
  <si>
    <t>2460a42f</t>
  </si>
  <si>
    <t>92e4c920</t>
  </si>
  <si>
    <t>62c390ff</t>
  </si>
  <si>
    <t>496888bd</t>
  </si>
  <si>
    <t>85c391b2</t>
  </si>
  <si>
    <t>3c691a64</t>
  </si>
  <si>
    <t>9333ea92</t>
  </si>
  <si>
    <t>145d65df</t>
  </si>
  <si>
    <t>04e5d5dc</t>
  </si>
  <si>
    <t>02ac310b</t>
  </si>
  <si>
    <t>bb0c1f12</t>
  </si>
  <si>
    <t>6a414960</t>
  </si>
  <si>
    <t>75d87dba</t>
  </si>
  <si>
    <t>391fa94e</t>
  </si>
  <si>
    <t>25476ffe</t>
  </si>
  <si>
    <t>6a49e527</t>
  </si>
  <si>
    <t>4376854b</t>
  </si>
  <si>
    <t>79df176a</t>
  </si>
  <si>
    <t>e92007cd</t>
  </si>
  <si>
    <t>b99a0ff1</t>
  </si>
  <si>
    <t>6ddd0fcf</t>
  </si>
  <si>
    <t>5a2e032d</t>
  </si>
  <si>
    <t>f5314dd4</t>
  </si>
  <si>
    <t>abbab472</t>
  </si>
  <si>
    <t>408b4494</t>
  </si>
  <si>
    <t>Cuprea</t>
  </si>
  <si>
    <t>e7a31de0</t>
  </si>
  <si>
    <t>6c9b6557</t>
  </si>
  <si>
    <t>4310d3b3</t>
  </si>
  <si>
    <t>d0dc9a19</t>
  </si>
  <si>
    <t>0d145afd</t>
  </si>
  <si>
    <t>Quilted Dreams</t>
  </si>
  <si>
    <t>ebce6faf</t>
  </si>
  <si>
    <t>0c630eda</t>
  </si>
  <si>
    <t>e00e05ef</t>
  </si>
  <si>
    <t>dcc771e6</t>
  </si>
  <si>
    <t>6acef6da</t>
  </si>
  <si>
    <t>6527c659</t>
  </si>
  <si>
    <t>8a367172</t>
  </si>
  <si>
    <t>ef0875ca</t>
  </si>
  <si>
    <t>24566407</t>
  </si>
  <si>
    <t>f5ded0b2</t>
  </si>
  <si>
    <t>Florida Beauty Sunrise</t>
  </si>
  <si>
    <t>3af9d794</t>
  </si>
  <si>
    <t>0fde2c33</t>
  </si>
  <si>
    <t>c147efac</t>
  </si>
  <si>
    <t>12753a82</t>
  </si>
  <si>
    <t>c20526e1</t>
  </si>
  <si>
    <t>Warscewiczii Aurea</t>
  </si>
  <si>
    <t>4e16d6e9</t>
  </si>
  <si>
    <t>59380801</t>
  </si>
  <si>
    <t>0387b859</t>
  </si>
  <si>
    <t>35dc013b</t>
  </si>
  <si>
    <t>865d6b5e</t>
  </si>
  <si>
    <t>Wendlandii</t>
  </si>
  <si>
    <t>8db03780</t>
  </si>
  <si>
    <t>105ef56a</t>
  </si>
  <si>
    <t>26f1ca46</t>
  </si>
  <si>
    <t>74fe6009</t>
  </si>
  <si>
    <t>2f14e3aa</t>
  </si>
  <si>
    <t>Variegated Green Congo Copper Flame</t>
  </si>
  <si>
    <t>0c598875</t>
  </si>
  <si>
    <t>9d38b53e</t>
  </si>
  <si>
    <t>79d0282d</t>
  </si>
  <si>
    <t>fcd6a996</t>
  </si>
  <si>
    <t>eba2ccfb</t>
  </si>
  <si>
    <t>Neanthe</t>
  </si>
  <si>
    <t>Bella Palm</t>
  </si>
  <si>
    <t>Other</t>
  </si>
  <si>
    <t>0520a77a</t>
  </si>
  <si>
    <t>b67e2444</t>
  </si>
  <si>
    <t>1a051b5a</t>
  </si>
  <si>
    <t>fafaf310</t>
  </si>
  <si>
    <t>9b7d1f95</t>
  </si>
  <si>
    <t>4dc3fe06</t>
  </si>
  <si>
    <t>da05c2d7</t>
  </si>
  <si>
    <t>45d7f50c</t>
  </si>
  <si>
    <t>9adb86a1</t>
  </si>
  <si>
    <t>ccc3d59f</t>
  </si>
  <si>
    <t>b6e0e91d</t>
  </si>
  <si>
    <t>787d50c8</t>
  </si>
  <si>
    <t>4f65d856</t>
  </si>
  <si>
    <t>f90ba676</t>
  </si>
  <si>
    <t>6bb5f617</t>
  </si>
  <si>
    <t>60e4791c</t>
  </si>
  <si>
    <t>5b9a36f7</t>
  </si>
  <si>
    <t>91911f43</t>
  </si>
  <si>
    <t>Variegated Dragonscale Mint</t>
  </si>
  <si>
    <t>8d26588b</t>
  </si>
  <si>
    <t>3f3b82e2</t>
  </si>
  <si>
    <t>e255bd25</t>
  </si>
  <si>
    <t>Satin Pothos</t>
  </si>
  <si>
    <t>370a98db</t>
  </si>
  <si>
    <t>090479fb</t>
  </si>
  <si>
    <t>277aec90</t>
  </si>
  <si>
    <t>ecd0a4c9</t>
  </si>
  <si>
    <t>a99f381e</t>
  </si>
  <si>
    <t>The Rooted Plant Shop</t>
  </si>
  <si>
    <t>Farfuglum</t>
  </si>
  <si>
    <t>Firefly</t>
  </si>
  <si>
    <t>80e6a84f</t>
  </si>
  <si>
    <t>TANGARAPLANTS</t>
  </si>
  <si>
    <t>Micans Aurea</t>
  </si>
  <si>
    <t>b724995c</t>
  </si>
  <si>
    <t>My Plants LLC</t>
  </si>
  <si>
    <t>c193e8bb</t>
  </si>
  <si>
    <t>1cb13eb2</t>
  </si>
  <si>
    <t>f3d452f3</t>
  </si>
  <si>
    <t>15cd42e3</t>
  </si>
  <si>
    <t>91095567</t>
  </si>
  <si>
    <t>6056dcae</t>
  </si>
  <si>
    <t>4ecc5184</t>
  </si>
  <si>
    <t>Dark Form</t>
  </si>
  <si>
    <t>c3bb073d</t>
  </si>
  <si>
    <t>369dc144</t>
  </si>
  <si>
    <t>c229c7aa</t>
  </si>
  <si>
    <t>c9035caa</t>
  </si>
  <si>
    <t>5d7d5538</t>
  </si>
  <si>
    <t>4cd17fb7</t>
  </si>
  <si>
    <t>Variegated Albo</t>
  </si>
  <si>
    <t>02cd4572</t>
  </si>
  <si>
    <t>d91fd147</t>
  </si>
  <si>
    <t>de003872</t>
  </si>
  <si>
    <t>Rhaphidophora</t>
  </si>
  <si>
    <t>Tetrasperma</t>
  </si>
  <si>
    <t>84fe8107</t>
  </si>
  <si>
    <t xml:space="preserve">Spathiphyllum </t>
  </si>
  <si>
    <t>Peace Lily Domino</t>
  </si>
  <si>
    <t>cc7e0d76</t>
  </si>
  <si>
    <t>Unknown</t>
  </si>
  <si>
    <t>efdb959e</t>
  </si>
  <si>
    <t>MU-PO-4-WH-1</t>
  </si>
  <si>
    <t>844b14e6</t>
  </si>
  <si>
    <t>243b04af</t>
  </si>
  <si>
    <t>f13f9e96</t>
  </si>
  <si>
    <t>Tactiko</t>
  </si>
  <si>
    <t>Ocimum</t>
  </si>
  <si>
    <t>Holy Basil</t>
  </si>
  <si>
    <t>94195fbd</t>
  </si>
  <si>
    <t>YA-PO-2-CL-1</t>
  </si>
  <si>
    <t>Ed Hume</t>
  </si>
  <si>
    <t>Tomato</t>
  </si>
  <si>
    <t>Cherokee Purple</t>
  </si>
  <si>
    <t>2ec2033b</t>
  </si>
  <si>
    <t>PLANT Intake Coding_Images/2ec2033b.Photo.203244.jpg</t>
  </si>
  <si>
    <t>Early Red Chief</t>
  </si>
  <si>
    <t>e12e054e</t>
  </si>
  <si>
    <t>PLANT Intake Coding_Images/e12e054e.Photo.203602.jpg</t>
  </si>
  <si>
    <t>Thymus</t>
  </si>
  <si>
    <t>Thyme</t>
  </si>
  <si>
    <t>31495d90</t>
  </si>
  <si>
    <t>Allium</t>
  </si>
  <si>
    <t>Chives</t>
  </si>
  <si>
    <t>885098c6</t>
  </si>
  <si>
    <t>Origanum</t>
  </si>
  <si>
    <t>Oregano</t>
  </si>
  <si>
    <t>47337b4c</t>
  </si>
  <si>
    <t>Salvia</t>
  </si>
  <si>
    <t>Rosemary</t>
  </si>
  <si>
    <t>30785d1f</t>
  </si>
  <si>
    <t>57acd79a</t>
  </si>
  <si>
    <t>2e6db6d2</t>
  </si>
  <si>
    <t>7045d96f</t>
  </si>
  <si>
    <t>ba599c61</t>
  </si>
  <si>
    <t>7cba2e62</t>
  </si>
  <si>
    <t>434f0b17</t>
  </si>
  <si>
    <t>6cbad747</t>
  </si>
  <si>
    <t>4f0d8f27</t>
  </si>
  <si>
    <t>a53f39e8</t>
  </si>
  <si>
    <t>1b3df0bc</t>
  </si>
  <si>
    <t>501eec54</t>
  </si>
  <si>
    <t>0f27aedd</t>
  </si>
  <si>
    <t>f2d6c3be</t>
  </si>
  <si>
    <t>191650cc</t>
  </si>
  <si>
    <t>9b354beb</t>
  </si>
  <si>
    <t>beb2efae</t>
  </si>
  <si>
    <t>714d01df</t>
  </si>
  <si>
    <t>31d5730f</t>
  </si>
  <si>
    <t>Cymbopogon</t>
  </si>
  <si>
    <t>Lemongrass</t>
  </si>
  <si>
    <t>e56d0cc3</t>
  </si>
  <si>
    <t>9a9a25bc</t>
  </si>
  <si>
    <t>fce352fc</t>
  </si>
  <si>
    <t>c13615f9</t>
  </si>
  <si>
    <t>d1f734e7</t>
  </si>
  <si>
    <t>Giganteum</t>
  </si>
  <si>
    <t>fa7032cd</t>
  </si>
  <si>
    <t>70543b2f</t>
  </si>
  <si>
    <t>d248fca4</t>
  </si>
  <si>
    <t>Clarinervium</t>
  </si>
  <si>
    <t>eee02aa8</t>
  </si>
  <si>
    <t>4deda1f7</t>
  </si>
  <si>
    <t>aecea122</t>
  </si>
  <si>
    <t>Radicans X Luxurians</t>
  </si>
  <si>
    <t>42825896</t>
  </si>
  <si>
    <t>48fbe15e</t>
  </si>
  <si>
    <t>90034175</t>
  </si>
  <si>
    <t>f67672be</t>
  </si>
  <si>
    <t>ce7c69f7</t>
  </si>
  <si>
    <t>2e3feff8</t>
  </si>
  <si>
    <t>4c18af75</t>
  </si>
  <si>
    <t>a12b736d</t>
  </si>
  <si>
    <t>0e7be148</t>
  </si>
  <si>
    <t>09287b12</t>
  </si>
  <si>
    <t>Strawberry Cream</t>
  </si>
  <si>
    <t>83b752cb</t>
  </si>
  <si>
    <t>7c2ee632</t>
  </si>
  <si>
    <t>e6e8536f</t>
  </si>
  <si>
    <t>61210d1c</t>
  </si>
  <si>
    <t>f46762a3</t>
  </si>
  <si>
    <t>7d6bbba6</t>
  </si>
  <si>
    <t>6697069d</t>
  </si>
  <si>
    <t>f139f651</t>
  </si>
  <si>
    <t>3a3e8fa8</t>
  </si>
  <si>
    <t>4f759eb1</t>
  </si>
  <si>
    <t>Glo Go</t>
  </si>
  <si>
    <t>19981795</t>
  </si>
  <si>
    <t>f7125fc0</t>
  </si>
  <si>
    <t>3e91afd3</t>
  </si>
  <si>
    <t>Milk Confetti</t>
  </si>
  <si>
    <t>e57be1ae</t>
  </si>
  <si>
    <t>f6b8055d</t>
  </si>
  <si>
    <t>373df1be</t>
  </si>
  <si>
    <t>4db2838f</t>
  </si>
  <si>
    <t>a68c44a9</t>
  </si>
  <si>
    <t>ad842143</t>
  </si>
  <si>
    <t>9d6b2a0c</t>
  </si>
  <si>
    <t>cc31c831</t>
  </si>
  <si>
    <t>b0a1eba8</t>
  </si>
  <si>
    <t>389b9327</t>
  </si>
  <si>
    <t>Neon Robusta</t>
  </si>
  <si>
    <t>9db06eb5</t>
  </si>
  <si>
    <t>9003f0d9</t>
  </si>
  <si>
    <t>cd77dbe8</t>
  </si>
  <si>
    <t>Merry Maria</t>
  </si>
  <si>
    <t>317c348a</t>
  </si>
  <si>
    <t>983519d6</t>
  </si>
  <si>
    <t>4703f6d8</t>
  </si>
  <si>
    <t>ad66441a</t>
  </si>
  <si>
    <t>c1d9dbb6</t>
  </si>
  <si>
    <t>29907503</t>
  </si>
  <si>
    <t>7db5670b</t>
  </si>
  <si>
    <t>a86201c0</t>
  </si>
  <si>
    <t>3abd819e</t>
  </si>
  <si>
    <t>b260fb90</t>
  </si>
  <si>
    <t>2f96d66d</t>
  </si>
  <si>
    <t>a25aa8aa</t>
  </si>
  <si>
    <t>d4f60d5c</t>
  </si>
  <si>
    <t>a3bb8fc6</t>
  </si>
  <si>
    <t>303d861f</t>
  </si>
  <si>
    <t>e00e849a</t>
  </si>
  <si>
    <t>0f794111</t>
  </si>
  <si>
    <t>Aloe</t>
  </si>
  <si>
    <t>Vera</t>
  </si>
  <si>
    <t>704481ed</t>
  </si>
  <si>
    <t>PLANT Intake Coding_Images/704481ed.Photo.191842.jpg</t>
  </si>
  <si>
    <t>927df0cb</t>
  </si>
  <si>
    <t>PLANT Intake Coding_Images/927df0cb.Photo.192028.jpg</t>
  </si>
  <si>
    <t>3d3707b7</t>
  </si>
  <si>
    <t>PLANT Intake Coding_Images/3d3707b7.Photo.192155.jpg</t>
  </si>
  <si>
    <t>Variegated Mint</t>
  </si>
  <si>
    <t>2a7b12da</t>
  </si>
  <si>
    <t>PLANT Intake Coding_Images/2a7b12da.Photo.192355.jpg</t>
  </si>
  <si>
    <t>55681ce1</t>
  </si>
  <si>
    <t>PLANT Intake Coding_Images/55681ce1.Photo.193153.jpg</t>
  </si>
  <si>
    <t>Variegated Peace Lily Domino</t>
  </si>
  <si>
    <t>e959bbf3</t>
  </si>
  <si>
    <t>PLANT Intake Coding_Images/e959bbf3.Photo.193345.jpg</t>
  </si>
  <si>
    <t>ffc39e0c</t>
  </si>
  <si>
    <t>PLANT Intake Coding_Images/ffc39e0c.Photo.193623.jpg</t>
  </si>
  <si>
    <t>cadb31dd</t>
  </si>
  <si>
    <t>PLANT Intake Coding_Images/cadb31dd.Photo.153854.jpg</t>
  </si>
  <si>
    <t>801fb016</t>
  </si>
  <si>
    <t>PLANT Intake Coding_Images/801fb016.Photo.153924.jpg</t>
  </si>
  <si>
    <t>Dieffenbachia</t>
  </si>
  <si>
    <t>Camille</t>
  </si>
  <si>
    <t>ad0d305c</t>
  </si>
  <si>
    <t>PLANT Intake Coding_Images/ad0d305c.Photo.154019.jpg</t>
  </si>
  <si>
    <t>acb26277</t>
  </si>
  <si>
    <t>PLANT Intake Coding_Images/acb26277.Photo.154041.jpg</t>
  </si>
  <si>
    <t>Butterfly</t>
  </si>
  <si>
    <t>e0332512</t>
  </si>
  <si>
    <t>PLANT Intake Coding_Images/e0332512.Photo.154108.jpg</t>
  </si>
  <si>
    <t>ec6891f5</t>
  </si>
  <si>
    <t>PLANT Intake Coding_Images/ec6891f5.Photo.154207.jpg</t>
  </si>
  <si>
    <t>Peace Lily</t>
  </si>
  <si>
    <t>bf433202</t>
  </si>
  <si>
    <t>PLANT Intake Coding_Images/bf433202.Photo.154239.jpg</t>
  </si>
  <si>
    <t>5afb3481</t>
  </si>
  <si>
    <t>PLANT Intake Coding_Images/5afb3481.Photo.154304.jpg</t>
  </si>
  <si>
    <t>3A</t>
  </si>
  <si>
    <t>8de642de</t>
  </si>
  <si>
    <t>PLANT Intake Coding_Images/8de642de.Photo.154328.jpg</t>
  </si>
  <si>
    <t>3A-2</t>
  </si>
  <si>
    <t>dafad7e9</t>
  </si>
  <si>
    <t>PLANT Intake Coding_Images/dafad7e9.Photo.154443.jpg</t>
  </si>
  <si>
    <t>b4f6fd14</t>
  </si>
  <si>
    <t>51e7e6cc</t>
  </si>
  <si>
    <t>f1707240</t>
  </si>
  <si>
    <t>7853ab9c</t>
  </si>
  <si>
    <t>0edc16ae</t>
  </si>
  <si>
    <t>c65198ca</t>
  </si>
  <si>
    <t>50cded10</t>
  </si>
  <si>
    <t>161b00b2</t>
  </si>
  <si>
    <t>ebb38942</t>
  </si>
  <si>
    <t>Dell Road</t>
  </si>
  <si>
    <t>Acer</t>
  </si>
  <si>
    <t>Japanese Maple Bloodgood</t>
  </si>
  <si>
    <t>6c786203</t>
  </si>
  <si>
    <t>ST-PO-0-BR-1</t>
  </si>
  <si>
    <t>PLANT Intake Coding_Images/6c786203.Photo.030155.jpg</t>
  </si>
  <si>
    <t>546c72fd</t>
  </si>
  <si>
    <t>5743854d</t>
  </si>
  <si>
    <t>5daa7962</t>
  </si>
  <si>
    <t>fa525fcb</t>
  </si>
  <si>
    <t>130e2baa</t>
  </si>
  <si>
    <t>273b665e</t>
  </si>
  <si>
    <t>Customer Name</t>
  </si>
  <si>
    <t>Customer Contact</t>
  </si>
  <si>
    <t>Hourly Wage</t>
  </si>
  <si>
    <t>Est. Labor Hours</t>
  </si>
  <si>
    <t>Est. Labor Charge</t>
  </si>
  <si>
    <t>Est. Materials Charge</t>
  </si>
  <si>
    <t>Est. Total</t>
  </si>
  <si>
    <t>Notes</t>
  </si>
  <si>
    <t>U ID</t>
  </si>
  <si>
    <t>User Email</t>
  </si>
  <si>
    <t>Caroline Seitz</t>
  </si>
  <si>
    <t>d52bf719</t>
  </si>
  <si>
    <t>Plant Description</t>
  </si>
  <si>
    <t>Action</t>
  </si>
  <si>
    <t>Pot Used</t>
  </si>
  <si>
    <t>Soil Mix</t>
  </si>
  <si>
    <t>Pot Charge</t>
  </si>
  <si>
    <t>Soil Charge</t>
  </si>
  <si>
    <t>Total Charge</t>
  </si>
  <si>
    <t>Estimate ID</t>
  </si>
  <si>
    <t>Angel Wing Begonia</t>
  </si>
  <si>
    <t>Transplant</t>
  </si>
  <si>
    <t>MA-PO-4-SW-1</t>
  </si>
  <si>
    <t>BS-SO-FRM-2</t>
  </si>
  <si>
    <t>6dd87619</t>
  </si>
  <si>
    <t>Labor Hours</t>
  </si>
  <si>
    <t>Labor Charge</t>
  </si>
  <si>
    <t>Materials Charge</t>
  </si>
  <si>
    <t>Total Job Charge</t>
  </si>
  <si>
    <t>Other Item Total</t>
  </si>
  <si>
    <t>Total Paid</t>
  </si>
  <si>
    <t>Grand Total</t>
  </si>
  <si>
    <t>Jennifer Rockwell</t>
  </si>
  <si>
    <t>Facebook</t>
  </si>
  <si>
    <t>Complete</t>
  </si>
  <si>
    <t>293FF1</t>
  </si>
  <si>
    <t>4f803159</t>
  </si>
  <si>
    <t>Kloey Downs</t>
  </si>
  <si>
    <t>541-295-5854</t>
  </si>
  <si>
    <t>24878c7e</t>
  </si>
  <si>
    <t>Labor Cost</t>
  </si>
  <si>
    <t>Materials Cost</t>
  </si>
  <si>
    <t>Total Job Cost</t>
  </si>
  <si>
    <t>Profit</t>
  </si>
  <si>
    <t>Margin</t>
  </si>
  <si>
    <t>Job ID</t>
  </si>
  <si>
    <t>Vendor</t>
  </si>
  <si>
    <t>Brand</t>
  </si>
  <si>
    <t>Category</t>
  </si>
  <si>
    <t>Description</t>
  </si>
  <si>
    <t>Qty</t>
  </si>
  <si>
    <t>Sub Tot</t>
  </si>
  <si>
    <t>Ship.</t>
  </si>
  <si>
    <t>Disc.</t>
  </si>
  <si>
    <t>Un. Cost</t>
  </si>
  <si>
    <t>Act. Tot</t>
  </si>
  <si>
    <t>Pmt. M.</t>
  </si>
  <si>
    <t>Card #</t>
  </si>
  <si>
    <t>Invoice #</t>
  </si>
  <si>
    <t>Notes / Project</t>
  </si>
  <si>
    <t>Receipt</t>
  </si>
  <si>
    <t>Mazda Of Olympia</t>
  </si>
  <si>
    <t>Subaru Forrester Wilderness</t>
  </si>
  <si>
    <t>Company Vehicle</t>
  </si>
  <si>
    <t>a4407819</t>
  </si>
  <si>
    <t>peakprecisionflooring@gmail.com</t>
  </si>
  <si>
    <t>Lumber Liquidators</t>
  </si>
  <si>
    <t>Coreluxe Flooring</t>
  </si>
  <si>
    <t>Floor Install</t>
  </si>
  <si>
    <t>Bedroom, hallway</t>
  </si>
  <si>
    <t>Home project</t>
  </si>
  <si>
    <t>2fdbb9bf</t>
  </si>
  <si>
    <t>Blooming Starr Receipts/2fdbb9bf.Receipt.164010.jpg</t>
  </si>
  <si>
    <t>State Of Washington</t>
  </si>
  <si>
    <t>Peak precision flooring llc</t>
  </si>
  <si>
    <t>Licenses &amp; Fees</t>
  </si>
  <si>
    <t>Liscencing</t>
  </si>
  <si>
    <t>4031dfc4</t>
  </si>
  <si>
    <t>Cactus</t>
  </si>
  <si>
    <t>LO-PO-3.7-CD-1</t>
  </si>
  <si>
    <t>BS-SO-CA-1</t>
  </si>
  <si>
    <t>fdd322d0</t>
  </si>
  <si>
    <t>Snake Plant Rooted Cutting</t>
  </si>
  <si>
    <t>Plant</t>
  </si>
  <si>
    <t>TO-PO-4-MU-1</t>
  </si>
  <si>
    <t>Purple Pot</t>
  </si>
  <si>
    <t>49d69e7f</t>
  </si>
  <si>
    <t>ST-PO-6-COP-1</t>
  </si>
  <si>
    <t>0ca7eb0f</t>
  </si>
  <si>
    <t>Syngonium 1</t>
  </si>
  <si>
    <t>Tran/Div</t>
  </si>
  <si>
    <t>NR-PO-5-BP-1</t>
  </si>
  <si>
    <t>BS-SO-ACM-5</t>
  </si>
  <si>
    <t>5524d4b4</t>
  </si>
  <si>
    <t>Syngonium 2</t>
  </si>
  <si>
    <t>White Pot</t>
  </si>
  <si>
    <t>20873e5f</t>
  </si>
  <si>
    <t>Aloe Vera</t>
  </si>
  <si>
    <t>ST-PO-4-COP-1</t>
  </si>
  <si>
    <t>7b816b8a</t>
  </si>
  <si>
    <t>3afb867f</t>
  </si>
  <si>
    <t>BS-SO-ACM-7</t>
  </si>
  <si>
    <t>97adb881</t>
  </si>
  <si>
    <t>Sources</t>
  </si>
  <si>
    <t>Code</t>
  </si>
  <si>
    <t>Cultivars</t>
  </si>
  <si>
    <t>Card Number</t>
  </si>
  <si>
    <t>Payment Method</t>
  </si>
  <si>
    <t>AGP</t>
  </si>
  <si>
    <t>AC</t>
  </si>
  <si>
    <t>AD</t>
  </si>
  <si>
    <t>0590</t>
  </si>
  <si>
    <t>ACH</t>
  </si>
  <si>
    <t>AM</t>
  </si>
  <si>
    <t>AO</t>
  </si>
  <si>
    <t>AW</t>
  </si>
  <si>
    <t>FM</t>
  </si>
  <si>
    <t>BL</t>
  </si>
  <si>
    <t>Beauty Star</t>
  </si>
  <si>
    <t>BS</t>
  </si>
  <si>
    <t>3150</t>
  </si>
  <si>
    <t>BTPG</t>
  </si>
  <si>
    <t>ALT</t>
  </si>
  <si>
    <t>BI</t>
  </si>
  <si>
    <t>5770</t>
  </si>
  <si>
    <t>Cash App</t>
  </si>
  <si>
    <t>BPF</t>
  </si>
  <si>
    <t>AL</t>
  </si>
  <si>
    <t>BDS</t>
  </si>
  <si>
    <t>AR</t>
  </si>
  <si>
    <t>AG</t>
  </si>
  <si>
    <t>BC</t>
  </si>
  <si>
    <t>9565</t>
  </si>
  <si>
    <t>PayPal</t>
  </si>
  <si>
    <t>DSE</t>
  </si>
  <si>
    <t>BE</t>
  </si>
  <si>
    <t>BRL</t>
  </si>
  <si>
    <t>UI</t>
  </si>
  <si>
    <t>Square</t>
  </si>
  <si>
    <t>EH</t>
  </si>
  <si>
    <t>CHA</t>
  </si>
  <si>
    <t>BMV</t>
  </si>
  <si>
    <t>6921</t>
  </si>
  <si>
    <t>Venmo</t>
  </si>
  <si>
    <t>MPL</t>
  </si>
  <si>
    <t>ASP</t>
  </si>
  <si>
    <t>BM</t>
  </si>
  <si>
    <t>Zelle</t>
  </si>
  <si>
    <t>RPS</t>
  </si>
  <si>
    <t>AE</t>
  </si>
  <si>
    <t>CA</t>
  </si>
  <si>
    <t>Promotional Credit</t>
  </si>
  <si>
    <t>SS</t>
  </si>
  <si>
    <t>ALL</t>
  </si>
  <si>
    <t>Common Lilac</t>
  </si>
  <si>
    <t>CL</t>
  </si>
  <si>
    <t>Gift Certificate</t>
  </si>
  <si>
    <t>TA</t>
  </si>
  <si>
    <t>ALO</t>
  </si>
  <si>
    <t>CS</t>
  </si>
  <si>
    <t>TGE</t>
  </si>
  <si>
    <t>AN</t>
  </si>
  <si>
    <t>CR</t>
  </si>
  <si>
    <t>HS</t>
  </si>
  <si>
    <t>CY</t>
  </si>
  <si>
    <t>DE</t>
  </si>
  <si>
    <t>FMY</t>
  </si>
  <si>
    <t>FA</t>
  </si>
  <si>
    <t>DR</t>
  </si>
  <si>
    <t>IST</t>
  </si>
  <si>
    <t>NE</t>
  </si>
  <si>
    <t>DI</t>
  </si>
  <si>
    <t>JJP</t>
  </si>
  <si>
    <t>OC</t>
  </si>
  <si>
    <t>DO</t>
  </si>
  <si>
    <t>LOA</t>
  </si>
  <si>
    <t>OR</t>
  </si>
  <si>
    <t>DOT</t>
  </si>
  <si>
    <t>Micro Cultivate</t>
  </si>
  <si>
    <t>MI</t>
  </si>
  <si>
    <t>PIN</t>
  </si>
  <si>
    <t>EL</t>
  </si>
  <si>
    <t>1B</t>
  </si>
  <si>
    <t>MMP</t>
  </si>
  <si>
    <t>RH</t>
  </si>
  <si>
    <t>FB</t>
  </si>
  <si>
    <t>1C</t>
  </si>
  <si>
    <t>OLN</t>
  </si>
  <si>
    <t>SAL</t>
  </si>
  <si>
    <t>FW</t>
  </si>
  <si>
    <t>1H</t>
  </si>
  <si>
    <t>TH</t>
  </si>
  <si>
    <t>GL</t>
  </si>
  <si>
    <t>Palm Street</t>
  </si>
  <si>
    <t>PS</t>
  </si>
  <si>
    <t>TO</t>
  </si>
  <si>
    <t>GO</t>
  </si>
  <si>
    <t>1D</t>
  </si>
  <si>
    <t>RSV</t>
  </si>
  <si>
    <t>FI</t>
  </si>
  <si>
    <t>GC</t>
  </si>
  <si>
    <t>1E</t>
  </si>
  <si>
    <t>TAG</t>
  </si>
  <si>
    <t>HO</t>
  </si>
  <si>
    <t>GF</t>
  </si>
  <si>
    <t>1F</t>
  </si>
  <si>
    <t>TG</t>
  </si>
  <si>
    <t>HU</t>
  </si>
  <si>
    <t>GG</t>
  </si>
  <si>
    <t>1G</t>
  </si>
  <si>
    <t>TGOPS</t>
  </si>
  <si>
    <t>Hydrangea</t>
  </si>
  <si>
    <t>HY</t>
  </si>
  <si>
    <t>GJ</t>
  </si>
  <si>
    <t>1I</t>
  </si>
  <si>
    <t>TRL</t>
  </si>
  <si>
    <t>MAR</t>
  </si>
  <si>
    <t>GCN</t>
  </si>
  <si>
    <t>1J</t>
  </si>
  <si>
    <t>TikTok</t>
  </si>
  <si>
    <t>TT</t>
  </si>
  <si>
    <t>MA</t>
  </si>
  <si>
    <t>GVF</t>
  </si>
  <si>
    <t>1K</t>
  </si>
  <si>
    <t>ZB</t>
  </si>
  <si>
    <t>PH</t>
  </si>
  <si>
    <t>HA</t>
  </si>
  <si>
    <t>WM</t>
  </si>
  <si>
    <t>PI</t>
  </si>
  <si>
    <t>HL</t>
  </si>
  <si>
    <t>1M</t>
  </si>
  <si>
    <t>TLC</t>
  </si>
  <si>
    <t>Philodendron Hederaceum</t>
  </si>
  <si>
    <t>PHH</t>
  </si>
  <si>
    <t>Japanese Maple</t>
  </si>
  <si>
    <t>JM</t>
  </si>
  <si>
    <t>1L</t>
  </si>
  <si>
    <t>TGG</t>
  </si>
  <si>
    <t>PIP</t>
  </si>
  <si>
    <t>JB</t>
  </si>
  <si>
    <t>1N</t>
  </si>
  <si>
    <t>BWH</t>
  </si>
  <si>
    <t>PO</t>
  </si>
  <si>
    <t>KP</t>
  </si>
  <si>
    <t>1O</t>
  </si>
  <si>
    <t>FPH</t>
  </si>
  <si>
    <t>SC</t>
  </si>
  <si>
    <t>Lacecap</t>
  </si>
  <si>
    <t>LC</t>
  </si>
  <si>
    <t>1P</t>
  </si>
  <si>
    <t>HD</t>
  </si>
  <si>
    <t>Sensation Aurea</t>
  </si>
  <si>
    <t>SA</t>
  </si>
  <si>
    <t>LL</t>
  </si>
  <si>
    <t>1R</t>
  </si>
  <si>
    <t>SE</t>
  </si>
  <si>
    <t>LO</t>
  </si>
  <si>
    <t>1Q</t>
  </si>
  <si>
    <t>ST</t>
  </si>
  <si>
    <t>LM</t>
  </si>
  <si>
    <t>SYN</t>
  </si>
  <si>
    <t>1S</t>
  </si>
  <si>
    <t>UNK</t>
  </si>
  <si>
    <t>MAN</t>
  </si>
  <si>
    <t>1T</t>
  </si>
  <si>
    <t>Syringa</t>
  </si>
  <si>
    <t>SY</t>
  </si>
  <si>
    <t>MF</t>
  </si>
  <si>
    <t>2B</t>
  </si>
  <si>
    <t>Spathiphyllum</t>
  </si>
  <si>
    <t>SP</t>
  </si>
  <si>
    <t>Mint Batik</t>
  </si>
  <si>
    <t>MB</t>
  </si>
  <si>
    <t>2B-2</t>
  </si>
  <si>
    <t>CT</t>
  </si>
  <si>
    <t>MOJ</t>
  </si>
  <si>
    <t>2C</t>
  </si>
  <si>
    <t>MO</t>
  </si>
  <si>
    <t>3D</t>
  </si>
  <si>
    <t>CE</t>
  </si>
  <si>
    <t>2D</t>
  </si>
  <si>
    <t>NI</t>
  </si>
  <si>
    <t>TC</t>
  </si>
  <si>
    <t>FIC</t>
  </si>
  <si>
    <t>OM</t>
  </si>
  <si>
    <t>EPI</t>
  </si>
  <si>
    <t>PL</t>
  </si>
  <si>
    <t>3C</t>
  </si>
  <si>
    <t>COL</t>
  </si>
  <si>
    <t>PA</t>
  </si>
  <si>
    <t>PV</t>
  </si>
  <si>
    <t>HYP</t>
  </si>
  <si>
    <t>PT</t>
  </si>
  <si>
    <t>CHL</t>
  </si>
  <si>
    <t>PLD</t>
  </si>
  <si>
    <t>PAJ</t>
  </si>
  <si>
    <t>PEP</t>
  </si>
  <si>
    <t>3C-2</t>
  </si>
  <si>
    <t>PE</t>
  </si>
  <si>
    <t>PP</t>
  </si>
  <si>
    <t>PPM</t>
  </si>
  <si>
    <t>3B</t>
  </si>
  <si>
    <t>PM</t>
  </si>
  <si>
    <t>POO</t>
  </si>
  <si>
    <t>PU</t>
  </si>
  <si>
    <t>PC</t>
  </si>
  <si>
    <t>RE</t>
  </si>
  <si>
    <t>RAPK</t>
  </si>
  <si>
    <t>2A-8</t>
  </si>
  <si>
    <t>RF</t>
  </si>
  <si>
    <t>2A-9</t>
  </si>
  <si>
    <t>RK</t>
  </si>
  <si>
    <t>2A-10</t>
  </si>
  <si>
    <t>RS</t>
  </si>
  <si>
    <t>RSD</t>
  </si>
  <si>
    <t>REX</t>
  </si>
  <si>
    <t>ROF</t>
  </si>
  <si>
    <t>SSS</t>
  </si>
  <si>
    <t>SH</t>
  </si>
  <si>
    <t>SSW</t>
  </si>
  <si>
    <t>SD</t>
  </si>
  <si>
    <t>SPA</t>
  </si>
  <si>
    <t>SPI</t>
  </si>
  <si>
    <t>STS</t>
  </si>
  <si>
    <t>SOH</t>
  </si>
  <si>
    <t>SOP</t>
  </si>
  <si>
    <t>TE</t>
  </si>
  <si>
    <t>TCN</t>
  </si>
  <si>
    <t>TS</t>
  </si>
  <si>
    <t>TR</t>
  </si>
  <si>
    <t>VM</t>
  </si>
  <si>
    <t>VSH</t>
  </si>
  <si>
    <t>VSP</t>
  </si>
  <si>
    <t>WK</t>
  </si>
  <si>
    <t>White Knight Variegated</t>
  </si>
  <si>
    <t>WKV</t>
  </si>
  <si>
    <t>WP</t>
  </si>
  <si>
    <t>WW</t>
  </si>
  <si>
    <t>VRCRH</t>
  </si>
  <si>
    <t>VI</t>
  </si>
  <si>
    <t>BMF</t>
  </si>
  <si>
    <t>LR</t>
  </si>
  <si>
    <t>DS</t>
  </si>
  <si>
    <t>KQ</t>
  </si>
  <si>
    <t>SOT</t>
  </si>
  <si>
    <t>BLM</t>
  </si>
  <si>
    <t>SLC</t>
  </si>
  <si>
    <t>GIG</t>
  </si>
  <si>
    <t>STC</t>
  </si>
  <si>
    <t>AU</t>
  </si>
  <si>
    <t>BA</t>
  </si>
  <si>
    <t>BP</t>
  </si>
  <si>
    <t>BIL</t>
  </si>
  <si>
    <t>BXP</t>
  </si>
  <si>
    <t>BR</t>
  </si>
  <si>
    <t>BU</t>
  </si>
  <si>
    <t>CHE</t>
  </si>
  <si>
    <t>CH</t>
  </si>
  <si>
    <t>CLA</t>
  </si>
  <si>
    <t>CO</t>
  </si>
  <si>
    <t>CP</t>
  </si>
  <si>
    <t>CRY</t>
  </si>
  <si>
    <t>CU</t>
  </si>
  <si>
    <t>DF</t>
  </si>
  <si>
    <t>ERC</t>
  </si>
  <si>
    <t>EC</t>
  </si>
  <si>
    <t>FL</t>
  </si>
  <si>
    <t>FBS</t>
  </si>
  <si>
    <t>GI</t>
  </si>
  <si>
    <t>GLO</t>
  </si>
  <si>
    <t>GX</t>
  </si>
  <si>
    <t>HB</t>
  </si>
  <si>
    <t>JO</t>
  </si>
  <si>
    <t>LE</t>
  </si>
  <si>
    <t>LP</t>
  </si>
  <si>
    <t>LI</t>
  </si>
  <si>
    <t>MAC</t>
  </si>
  <si>
    <t>MQ</t>
  </si>
  <si>
    <t>MM</t>
  </si>
  <si>
    <t>MIC</t>
  </si>
  <si>
    <t>MC</t>
  </si>
  <si>
    <t>NR</t>
  </si>
  <si>
    <t>OB</t>
  </si>
  <si>
    <t>QD</t>
  </si>
  <si>
    <t>RXL</t>
  </si>
  <si>
    <t>RR</t>
  </si>
  <si>
    <t>RFV</t>
  </si>
  <si>
    <t>RC</t>
  </si>
  <si>
    <t>RO</t>
  </si>
  <si>
    <t>SAT</t>
  </si>
  <si>
    <t>TET</t>
  </si>
  <si>
    <t>TD</t>
  </si>
  <si>
    <t>UN</t>
  </si>
  <si>
    <t>VA</t>
  </si>
  <si>
    <t>VDM</t>
  </si>
  <si>
    <t>VF</t>
  </si>
  <si>
    <t>VGC</t>
  </si>
  <si>
    <t>VMI</t>
  </si>
  <si>
    <t>VPLD</t>
  </si>
  <si>
    <t>VE</t>
  </si>
  <si>
    <t>WA</t>
  </si>
  <si>
    <t>WV</t>
  </si>
  <si>
    <t>WE</t>
  </si>
  <si>
    <t>VER</t>
  </si>
  <si>
    <t>CAM</t>
  </si>
  <si>
    <t>BUT</t>
  </si>
  <si>
    <t>PLI</t>
  </si>
  <si>
    <t>JMB</t>
  </si>
  <si>
    <t>Product Name</t>
  </si>
  <si>
    <t>Plant Cost</t>
  </si>
  <si>
    <t>Plant MSRP</t>
  </si>
  <si>
    <t>Est. Sale Price</t>
  </si>
  <si>
    <t>Act. Sell Price</t>
  </si>
  <si>
    <t>QTY Purchased</t>
  </si>
  <si>
    <t>QTY Sold</t>
  </si>
  <si>
    <t>QTY Used</t>
  </si>
  <si>
    <t>QTY Remaining</t>
  </si>
  <si>
    <t>Other Cost</t>
  </si>
  <si>
    <t>Other MSRP</t>
  </si>
  <si>
    <t>Total MSRP</t>
  </si>
  <si>
    <t>HS-CHL-SPI-1A</t>
  </si>
  <si>
    <t>Chlorophytum Spider Plant</t>
  </si>
  <si>
    <t>Status Pending</t>
  </si>
  <si>
    <t>XUZG6O</t>
  </si>
  <si>
    <t>HS-CHL-SPI-1A-2</t>
  </si>
  <si>
    <t>OTJGIB</t>
  </si>
  <si>
    <t>OLN-FI-RF-1A</t>
  </si>
  <si>
    <t>Fittonia Red Flame</t>
  </si>
  <si>
    <t>39X0FM</t>
  </si>
  <si>
    <t>TLC-PH-CS-1A</t>
  </si>
  <si>
    <t>Philodendron Cream Splash</t>
  </si>
  <si>
    <t>WHQ1FG</t>
  </si>
  <si>
    <t>FMY-AL-RSD-1A</t>
  </si>
  <si>
    <t>Alocasia Regal Shield</t>
  </si>
  <si>
    <t>For Sale</t>
  </si>
  <si>
    <t>YSRDV1</t>
  </si>
  <si>
    <t>TGOPS-PH-POO-1A-2</t>
  </si>
  <si>
    <t>Philodendron Prince of Orange</t>
  </si>
  <si>
    <t>WWGDIW</t>
  </si>
  <si>
    <t>HS-PO-GO-1H</t>
  </si>
  <si>
    <t>Pothos Golden</t>
  </si>
  <si>
    <t>NUMDI0</t>
  </si>
  <si>
    <t>HS-PH-HL-1B</t>
  </si>
  <si>
    <t>Philodendron Heart Leaf</t>
  </si>
  <si>
    <t>MV58CR</t>
  </si>
  <si>
    <t>FM-MA-DE-1A</t>
  </si>
  <si>
    <t>Monstera Deliciosa</t>
  </si>
  <si>
    <t>WD7WRM</t>
  </si>
  <si>
    <t>HD-PH-GG-1A</t>
  </si>
  <si>
    <t>Philodendron Golden Girl</t>
  </si>
  <si>
    <t>AJGH01</t>
  </si>
  <si>
    <t>HD-HO-SSS-1A</t>
  </si>
  <si>
    <t>Hoya Shining Sea Star</t>
  </si>
  <si>
    <t>Not for Sale</t>
  </si>
  <si>
    <t>4QPCZJ</t>
  </si>
  <si>
    <t>HD-AL-LO-1B</t>
  </si>
  <si>
    <t>Alocasia Longiloba</t>
  </si>
  <si>
    <t>0581CE</t>
  </si>
  <si>
    <t>HS-PI-PEP-1C</t>
  </si>
  <si>
    <t>Pilea Peperomioides</t>
  </si>
  <si>
    <t>ADNJZH</t>
  </si>
  <si>
    <t>BWH-PH-RAPK-1A-3</t>
  </si>
  <si>
    <t>Philodendron Red Anderson Pink Knight</t>
  </si>
  <si>
    <t>JNFAYP</t>
  </si>
  <si>
    <t>BWH-PH-RAPK-1A-4</t>
  </si>
  <si>
    <t>N3BIB5</t>
  </si>
  <si>
    <t>HS-PI-PEP-1B</t>
  </si>
  <si>
    <t>28327B</t>
  </si>
  <si>
    <t>BWH-PO-PAJ-1A-4A</t>
  </si>
  <si>
    <t>Pothos Pearls and Jade</t>
  </si>
  <si>
    <t>G3NJBQ</t>
  </si>
  <si>
    <t>BWH-PH-MO-1A-4</t>
  </si>
  <si>
    <t>Philodendron Moonlight</t>
  </si>
  <si>
    <t>Q34PVG</t>
  </si>
  <si>
    <t>TGE-COL-DI-1A</t>
  </si>
  <si>
    <t>Colocasia Diamond</t>
  </si>
  <si>
    <t>IEVN04</t>
  </si>
  <si>
    <t>FMY-MA-DE-1A-3</t>
  </si>
  <si>
    <t>7782F2</t>
  </si>
  <si>
    <t>FMY-MA-DE-1A-5</t>
  </si>
  <si>
    <t>GPYXM3</t>
  </si>
  <si>
    <t>FMY-MA-DE-1A-4C</t>
  </si>
  <si>
    <t>HL79I0</t>
  </si>
  <si>
    <t>FMY-MA-DE-1A-4D</t>
  </si>
  <si>
    <t>2MDRWW</t>
  </si>
  <si>
    <t>FMY-MA-DE-1A-4F</t>
  </si>
  <si>
    <t>CE12DE</t>
  </si>
  <si>
    <t>FMY-MA-DE-1A-3A</t>
  </si>
  <si>
    <t>CX628U</t>
  </si>
  <si>
    <t>FMY-MA-DE-1A-3B</t>
  </si>
  <si>
    <t>15ZW4Q</t>
  </si>
  <si>
    <t>FMY-MA-DE-1A-3D</t>
  </si>
  <si>
    <t>PNO518</t>
  </si>
  <si>
    <t>FMY-MA-DE-1A-3E</t>
  </si>
  <si>
    <t>D8ZBCX</t>
  </si>
  <si>
    <t>HD-AL-GVF-1A-2</t>
  </si>
  <si>
    <t>Alocasia Green Velvet Frydek</t>
  </si>
  <si>
    <t>SNAZUL</t>
  </si>
  <si>
    <t>HD-ST-TR-1A</t>
  </si>
  <si>
    <t>Stromanthe Triostar</t>
  </si>
  <si>
    <t>H43F16</t>
  </si>
  <si>
    <t>IST-PH-PP-1B</t>
  </si>
  <si>
    <t>Philodendron Pink Princess</t>
  </si>
  <si>
    <t>PHIQRY</t>
  </si>
  <si>
    <t>IST-PH-PP-1C</t>
  </si>
  <si>
    <t>UKSX6B</t>
  </si>
  <si>
    <t>HD-AL-GVF-1A-2B</t>
  </si>
  <si>
    <t>BJTOC6</t>
  </si>
  <si>
    <t>HS-SP-PLD-1A</t>
  </si>
  <si>
    <t>Spathiphyllum  Peace Lily Domino</t>
  </si>
  <si>
    <t>6ZZ49C</t>
  </si>
  <si>
    <t>HS-SP-PLD-1E</t>
  </si>
  <si>
    <t>1CSDUP</t>
  </si>
  <si>
    <t>HS-BE-AW-1C</t>
  </si>
  <si>
    <t>Begonia Angel Wing</t>
  </si>
  <si>
    <t>4G22U5</t>
  </si>
  <si>
    <t>FMY-CA-MA-1D</t>
  </si>
  <si>
    <t>Calathea Makoyana</t>
  </si>
  <si>
    <t>C7QOSP</t>
  </si>
  <si>
    <t>FMY-CA-MA-1G</t>
  </si>
  <si>
    <t>EN413Y</t>
  </si>
  <si>
    <t>FMY-CA-MA-1H</t>
  </si>
  <si>
    <t>Q2YSXQ</t>
  </si>
  <si>
    <t>HS-BE-AW-1G</t>
  </si>
  <si>
    <t>LI0IFZ</t>
  </si>
  <si>
    <t>HS-SP-PLD-1B</t>
  </si>
  <si>
    <t>967C9B</t>
  </si>
  <si>
    <t>HS-SP-PLD-1D</t>
  </si>
  <si>
    <t>1ODAQT</t>
  </si>
  <si>
    <t>HS-SP-PLD-1F</t>
  </si>
  <si>
    <t>BQ1CPO</t>
  </si>
  <si>
    <t>HS-SP-PLD-1G</t>
  </si>
  <si>
    <t>TVDI1D</t>
  </si>
  <si>
    <t>HS-SP-PLD-1H</t>
  </si>
  <si>
    <t>3HQGQ2</t>
  </si>
  <si>
    <t>HS-PH-BRL-1A</t>
  </si>
  <si>
    <t>Philodendron Brasil</t>
  </si>
  <si>
    <t>ZPRY8N</t>
  </si>
  <si>
    <t>HS-PH-BRL-1B</t>
  </si>
  <si>
    <t>DM8M4Z</t>
  </si>
  <si>
    <t>TGOPS-PH-WW-1A-3</t>
  </si>
  <si>
    <t>Philodendron White Wizard</t>
  </si>
  <si>
    <t>EH71UV</t>
  </si>
  <si>
    <t>HD-AL-LO-1A-2</t>
  </si>
  <si>
    <t>RCEBJL</t>
  </si>
  <si>
    <t>TGOPS-PH-WW-1E</t>
  </si>
  <si>
    <t>N7WDMB</t>
  </si>
  <si>
    <t>TGOPS-PH-WW-1A-3C</t>
  </si>
  <si>
    <t>N01BZC</t>
  </si>
  <si>
    <t>TGOPS-PH-WW-1A-2D</t>
  </si>
  <si>
    <t>KV0ZRQ</t>
  </si>
  <si>
    <t>TGOPS-PH-WW-1A-2C</t>
  </si>
  <si>
    <t>U88SGL</t>
  </si>
  <si>
    <t>HS-PO-GO-1A</t>
  </si>
  <si>
    <t>D8B44C</t>
  </si>
  <si>
    <t>HS-PH-HL-1A</t>
  </si>
  <si>
    <t>ABC346</t>
  </si>
  <si>
    <t>HS-PI-PEP-1A</t>
  </si>
  <si>
    <t>34BTWV</t>
  </si>
  <si>
    <t>WM-MA-PE-1A</t>
  </si>
  <si>
    <t>Monstera Peru</t>
  </si>
  <si>
    <t>OF2TEW</t>
  </si>
  <si>
    <t>ZB-SE-HA-1A</t>
  </si>
  <si>
    <t>Senecio Haworthii</t>
  </si>
  <si>
    <t>ETTTIO</t>
  </si>
  <si>
    <t>TGOPS-PH-PPM-1A-3</t>
  </si>
  <si>
    <t>Philodendron Pink Princess Marbled</t>
  </si>
  <si>
    <t>Dead</t>
  </si>
  <si>
    <t>8LG9H1</t>
  </si>
  <si>
    <t>FMY-MA-PE-1B</t>
  </si>
  <si>
    <t>OWD1CA</t>
  </si>
  <si>
    <t>FMY-MA-PE-1C</t>
  </si>
  <si>
    <t>K42O9G</t>
  </si>
  <si>
    <t>FMY-MA-PE-1G</t>
  </si>
  <si>
    <t>Out of Stock</t>
  </si>
  <si>
    <t>M36KC1</t>
  </si>
  <si>
    <t>FMY-AG-SPA-1C</t>
  </si>
  <si>
    <t>Aglaonema Spathonema</t>
  </si>
  <si>
    <t>89LQHE</t>
  </si>
  <si>
    <t>FMY-AG-SPA-1F</t>
  </si>
  <si>
    <t>B219F6</t>
  </si>
  <si>
    <t>FMY-MA-DE-1B</t>
  </si>
  <si>
    <t>XY9MNS</t>
  </si>
  <si>
    <t>FMY-MA-DE-1E</t>
  </si>
  <si>
    <t>EXZX17</t>
  </si>
  <si>
    <t>HS-BE-AW-1A</t>
  </si>
  <si>
    <t>7KWQ4P</t>
  </si>
  <si>
    <t>HS-PH-HL-1F</t>
  </si>
  <si>
    <t>2994WG</t>
  </si>
  <si>
    <t>HS-PH-BRL-1D</t>
  </si>
  <si>
    <t>V7I76G</t>
  </si>
  <si>
    <t>HS-BE-AW-1K</t>
  </si>
  <si>
    <t>6AA72A</t>
  </si>
  <si>
    <t>BWH-PO-PAJ-1B</t>
  </si>
  <si>
    <t>J160VY</t>
  </si>
  <si>
    <t>HS-PO-GO-1K</t>
  </si>
  <si>
    <t>208D40</t>
  </si>
  <si>
    <t>FMY-MA-DE-1A-4A</t>
  </si>
  <si>
    <t>Sold</t>
  </si>
  <si>
    <t>O23L5L</t>
  </si>
  <si>
    <t>HS-CT-BM-1A</t>
  </si>
  <si>
    <t>Ctenanthe Burle Marxii</t>
  </si>
  <si>
    <t>2TF3HD</t>
  </si>
  <si>
    <t>FMY-MA-DE-1A-4E</t>
  </si>
  <si>
    <t>2GD051</t>
  </si>
  <si>
    <t>HS-PO-GO-1I</t>
  </si>
  <si>
    <t>22LS7K</t>
  </si>
  <si>
    <t>BWH-PO-PAJ-1A-4B</t>
  </si>
  <si>
    <t>34XBMM</t>
  </si>
  <si>
    <t>BWH-PO-PAJ-1A-4C</t>
  </si>
  <si>
    <t>7N6HIM</t>
  </si>
  <si>
    <t>HD-ST-TR-1B</t>
  </si>
  <si>
    <t>EPHN4D</t>
  </si>
  <si>
    <t>HD-ST-TR-1C</t>
  </si>
  <si>
    <t>X80QAT</t>
  </si>
  <si>
    <t>HS-BE-AW-1B</t>
  </si>
  <si>
    <t>VZMLQY</t>
  </si>
  <si>
    <t>FMY-CA-MA-1C</t>
  </si>
  <si>
    <t>NGTZRC</t>
  </si>
  <si>
    <t>HS-PO-GO-1B</t>
  </si>
  <si>
    <t>2I6UYO</t>
  </si>
  <si>
    <t>HS-CT-BM-1B</t>
  </si>
  <si>
    <t>0HN8KB</t>
  </si>
  <si>
    <t>HS-CT-BM-1C</t>
  </si>
  <si>
    <t>M92SA5</t>
  </si>
  <si>
    <t>BWH-PH-MO-1A-5</t>
  </si>
  <si>
    <t>3IHH12</t>
  </si>
  <si>
    <t>BWH-PO-PAJ-1A-3</t>
  </si>
  <si>
    <t>NKPSC0</t>
  </si>
  <si>
    <t>BWH-PO-PAJ-1A-4</t>
  </si>
  <si>
    <t>WTTLYJ</t>
  </si>
  <si>
    <t>FM-PH-PP-1A</t>
  </si>
  <si>
    <t>8KA9UI</t>
  </si>
  <si>
    <t>TRL-FIC-TE-1A</t>
  </si>
  <si>
    <t>Ficus Teneke</t>
  </si>
  <si>
    <t>QWLKQ3</t>
  </si>
  <si>
    <t>BTPG-HO-KP-1D</t>
  </si>
  <si>
    <t>Hoya Krimson Princess</t>
  </si>
  <si>
    <t>Unverified</t>
  </si>
  <si>
    <t>DLHG6R</t>
  </si>
  <si>
    <t>BTPG-HO-KP-1E</t>
  </si>
  <si>
    <t>PAJVGR</t>
  </si>
  <si>
    <t>FM-PH-PP-1B</t>
  </si>
  <si>
    <t>JP6SRE</t>
  </si>
  <si>
    <t>FM-PH-PP-1D</t>
  </si>
  <si>
    <t>ZZ2UQF</t>
  </si>
  <si>
    <t>BPF-CE-SOH-1A-2</t>
  </si>
  <si>
    <t>Ceropegia String of Hearts</t>
  </si>
  <si>
    <t>J8TZIZ</t>
  </si>
  <si>
    <t>BPF-CE-SOH-1A-3</t>
  </si>
  <si>
    <t>68FNGY</t>
  </si>
  <si>
    <t>BPF-CE-SOH-1A-4</t>
  </si>
  <si>
    <t>L1E23B</t>
  </si>
  <si>
    <t>BPF-CE-SOH-1A-5</t>
  </si>
  <si>
    <t>P3MUJA</t>
  </si>
  <si>
    <t>BPF-SE-SOP-1A-2</t>
  </si>
  <si>
    <t>Senecio String of Pearls</t>
  </si>
  <si>
    <t>WURQBD</t>
  </si>
  <si>
    <t>BPF-SE-SOP-1A-3</t>
  </si>
  <si>
    <t>8RVCHB</t>
  </si>
  <si>
    <t>BPF-SE-SOP-1A-4</t>
  </si>
  <si>
    <t>8JKROH</t>
  </si>
  <si>
    <t>FM-PH-BMV-1A-2</t>
  </si>
  <si>
    <t>Philodendron Burle Marx Variegated</t>
  </si>
  <si>
    <t>Available</t>
  </si>
  <si>
    <t>4T6TIU</t>
  </si>
  <si>
    <t>TLC-SC-SS-1A</t>
  </si>
  <si>
    <t>Scindapsus Silver Splash</t>
  </si>
  <si>
    <t>87331A</t>
  </si>
  <si>
    <t>FPH-PH-GCN-1A</t>
  </si>
  <si>
    <t>Philodendron Green Congo Nuclear</t>
  </si>
  <si>
    <t>N10XOH</t>
  </si>
  <si>
    <t>IST-CR-GJ-1A</t>
  </si>
  <si>
    <t>Crassula Gollum Jade</t>
  </si>
  <si>
    <t>SX12WA</t>
  </si>
  <si>
    <t>DSE-AL-MAN-1A-5</t>
  </si>
  <si>
    <t>Alocasia Mandalay</t>
  </si>
  <si>
    <t>0246CB</t>
  </si>
  <si>
    <t>DSE-AL-PC-1A</t>
  </si>
  <si>
    <t>Alocasia Purple Cloak</t>
  </si>
  <si>
    <t>XDTNPO</t>
  </si>
  <si>
    <t>DSE-AL-PC-1A-3</t>
  </si>
  <si>
    <t>ESMWG5</t>
  </si>
  <si>
    <t>DSE-AL-PC-1A-4</t>
  </si>
  <si>
    <t>4FNNYO</t>
  </si>
  <si>
    <t>DSE-PIP-CR-1A</t>
  </si>
  <si>
    <t>Piper Crocatum</t>
  </si>
  <si>
    <t>PZQ9TU</t>
  </si>
  <si>
    <t>DSE-PIP-CR-1A-2</t>
  </si>
  <si>
    <t>DYXXY1</t>
  </si>
  <si>
    <t>DSE-PIP-CR-1A-3</t>
  </si>
  <si>
    <t>QMPTRQ</t>
  </si>
  <si>
    <t>DSE-PH-RK-1A-6</t>
  </si>
  <si>
    <t>Philodendron Red King</t>
  </si>
  <si>
    <t>LJS7AZ</t>
  </si>
  <si>
    <t>AGP-COL-MOJ-1A</t>
  </si>
  <si>
    <t>Colocasia Mojito</t>
  </si>
  <si>
    <t>A5R2U9</t>
  </si>
  <si>
    <t>AGP-COL-MOJ-1A-2</t>
  </si>
  <si>
    <t>9EFFYN</t>
  </si>
  <si>
    <t>AGP-COL-MOJ-1A-3</t>
  </si>
  <si>
    <t>U0U2TQ</t>
  </si>
  <si>
    <t>HS-BE-AW-CU-6</t>
  </si>
  <si>
    <t>75BA50</t>
  </si>
  <si>
    <t>HS-PO-GO-CU-6</t>
  </si>
  <si>
    <t>IH8HV9</t>
  </si>
  <si>
    <t>BPF-CE-SOH-1A</t>
  </si>
  <si>
    <t>XO8RGX</t>
  </si>
  <si>
    <t>BPF-SE-SOP-1A</t>
  </si>
  <si>
    <t>06HYUW</t>
  </si>
  <si>
    <t>FMY-AG-SPA-1A</t>
  </si>
  <si>
    <t>XLNJ5R</t>
  </si>
  <si>
    <t>HS-PO-GO-1J</t>
  </si>
  <si>
    <t>BPD0HZ</t>
  </si>
  <si>
    <t>BWH-PO-PAJ-1A-3A</t>
  </si>
  <si>
    <t>3K9CES</t>
  </si>
  <si>
    <t>HS-PO-GO-1C</t>
  </si>
  <si>
    <t>N0QU51</t>
  </si>
  <si>
    <t>AGP-PH-BC-1A</t>
  </si>
  <si>
    <t>Philodendron Black Cardinal</t>
  </si>
  <si>
    <t>YUVX6E</t>
  </si>
  <si>
    <t>HS-BE-AW-1I</t>
  </si>
  <si>
    <t>3OALAN</t>
  </si>
  <si>
    <t>AGP-AL-NI-1A-3B</t>
  </si>
  <si>
    <t>Alocasia Ninja</t>
  </si>
  <si>
    <t>6TD41F</t>
  </si>
  <si>
    <t>AGP-PH-BC-1A-3B</t>
  </si>
  <si>
    <t>8GBYJG</t>
  </si>
  <si>
    <t>BPF-PO-NE-1A-2</t>
  </si>
  <si>
    <t>Pothos Neon</t>
  </si>
  <si>
    <t>1DIEG7</t>
  </si>
  <si>
    <t>LOA-PH-DO-1A</t>
  </si>
  <si>
    <t>Philodendron Domesticum</t>
  </si>
  <si>
    <t>277676</t>
  </si>
  <si>
    <t>DSE-AL-MAN-1A-3</t>
  </si>
  <si>
    <t>MG7PWE</t>
  </si>
  <si>
    <t>DSE-AL-MAN-1A-4</t>
  </si>
  <si>
    <t>7RHALI</t>
  </si>
  <si>
    <t>TG-NE-BP-1A</t>
  </si>
  <si>
    <t>Neanthe Bella Palm</t>
  </si>
  <si>
    <t>UB3F3N</t>
  </si>
  <si>
    <t>BWH-PH-VRCRH-1C</t>
  </si>
  <si>
    <t>Philodendron Variegated Red Congo Red Hot</t>
  </si>
  <si>
    <t>L8BRN7</t>
  </si>
  <si>
    <t>BWH-PH-VRCRH-1D</t>
  </si>
  <si>
    <t>5GP18J</t>
  </si>
  <si>
    <t>BWH-PH-VRCRH-1F</t>
  </si>
  <si>
    <t>S2BUNL</t>
  </si>
  <si>
    <t>DSE-COL-MOJ-1A-5</t>
  </si>
  <si>
    <t>64XZK7</t>
  </si>
  <si>
    <t>DSE-PH-MF-1A-4</t>
  </si>
  <si>
    <t>Philodendron McColley's Finale</t>
  </si>
  <si>
    <t>77LPMR</t>
  </si>
  <si>
    <t>DSE-PH-MF-1A-12</t>
  </si>
  <si>
    <t>PEK0BM</t>
  </si>
  <si>
    <t>FM-PH-BMV-1A-2B</t>
  </si>
  <si>
    <t>ZXP4P4</t>
  </si>
  <si>
    <t>BWH-PO-PAJ-1A</t>
  </si>
  <si>
    <t>E5J2B1</t>
  </si>
  <si>
    <t>HS-PH-HL-1H</t>
  </si>
  <si>
    <t>XUNVYG</t>
  </si>
  <si>
    <t>BWH-PH-RAPK-1A</t>
  </si>
  <si>
    <t>NUZNVG</t>
  </si>
  <si>
    <t>BPF-SE-SOP-1A-5</t>
  </si>
  <si>
    <t>POYWBO</t>
  </si>
  <si>
    <t>FMY-MA-PE-1A</t>
  </si>
  <si>
    <t>YP559R</t>
  </si>
  <si>
    <t>FMY-MA-DE-1A-3C</t>
  </si>
  <si>
    <t>2821E6</t>
  </si>
  <si>
    <t>FMY-AG-SPA-1E</t>
  </si>
  <si>
    <t>O62AMY</t>
  </si>
  <si>
    <t>FMY-MA-DE-1D</t>
  </si>
  <si>
    <t>95PKNB</t>
  </si>
  <si>
    <t>BWH-SYN-PS-1A-3</t>
  </si>
  <si>
    <t>Syngonium Pink Splash</t>
  </si>
  <si>
    <t>DSW3ON</t>
  </si>
  <si>
    <t>BWH-PH-PV-1A</t>
  </si>
  <si>
    <t>Philodendron Paraiso Verde</t>
  </si>
  <si>
    <t>75J4RZ</t>
  </si>
  <si>
    <t>BWH-PH-PV-1A-2</t>
  </si>
  <si>
    <t>UGVYGO</t>
  </si>
  <si>
    <t>BWH-PO-PAJ-2A-5</t>
  </si>
  <si>
    <t>V15LVO</t>
  </si>
  <si>
    <t>BWH-CA-FW-1A-3</t>
  </si>
  <si>
    <t>Calathea Fusion White</t>
  </si>
  <si>
    <t>TZBY6M</t>
  </si>
  <si>
    <t>BWH-PH-BRL-1A</t>
  </si>
  <si>
    <t>57IWBW</t>
  </si>
  <si>
    <t>BWH-PH-BRL-1A-2</t>
  </si>
  <si>
    <t>YEMKDG</t>
  </si>
  <si>
    <t>BWH-PH-BRL-1A-3</t>
  </si>
  <si>
    <t>THAY55</t>
  </si>
  <si>
    <t>BWH-ST-TR-1A</t>
  </si>
  <si>
    <t>T4QD3N</t>
  </si>
  <si>
    <t>BWH-ST-TR-1A-2</t>
  </si>
  <si>
    <t>QS9394</t>
  </si>
  <si>
    <t>BWH-ST-TR-1A-3</t>
  </si>
  <si>
    <t>WPHHZX</t>
  </si>
  <si>
    <t>BWH-ST-TR-1A-4</t>
  </si>
  <si>
    <t>0SN51M</t>
  </si>
  <si>
    <t>BWH-ST-TR-1A-7</t>
  </si>
  <si>
    <t>Z4ZGTE</t>
  </si>
  <si>
    <t>BWH-HO-KQ-1A-3</t>
  </si>
  <si>
    <t>Hoya Krimson Queen</t>
  </si>
  <si>
    <t>AIY326</t>
  </si>
  <si>
    <t>BWH-HO-KQ-1A-4</t>
  </si>
  <si>
    <t>089CSG</t>
  </si>
  <si>
    <t>HS-BE-AW-1N</t>
  </si>
  <si>
    <t>EED4DB</t>
  </si>
  <si>
    <t>HS-BE-AW-1O</t>
  </si>
  <si>
    <t>E47CF0</t>
  </si>
  <si>
    <t>HS-BE-AW-1P</t>
  </si>
  <si>
    <t>8JE1C5</t>
  </si>
  <si>
    <t>HS-BE-AW-1Q</t>
  </si>
  <si>
    <t>R92F5X</t>
  </si>
  <si>
    <t>HS-BE-AW-1R</t>
  </si>
  <si>
    <t>PM7JYV</t>
  </si>
  <si>
    <t>BWH-FIC-SH-1A</t>
  </si>
  <si>
    <t>Ficus Shivereana</t>
  </si>
  <si>
    <t>PNNKNJ</t>
  </si>
  <si>
    <t>BWH-AL-VM-1A-2</t>
  </si>
  <si>
    <t>Alocasia Variegated Macrorrhiza</t>
  </si>
  <si>
    <t>9XX81J</t>
  </si>
  <si>
    <t>BWH-PH-RAPK-2A-5</t>
  </si>
  <si>
    <t>OY3K2C</t>
  </si>
  <si>
    <t>TG-FI-RE-1A</t>
  </si>
  <si>
    <t>Fittonia Red</t>
  </si>
  <si>
    <t>84990E</t>
  </si>
  <si>
    <t>TG-MAR-LR-1A</t>
  </si>
  <si>
    <t>Maranta Leuconeura Red</t>
  </si>
  <si>
    <t>8DI2WI</t>
  </si>
  <si>
    <t>TG-HO-CA-1A</t>
  </si>
  <si>
    <t>Hoya Carnosa</t>
  </si>
  <si>
    <t>A68PLN</t>
  </si>
  <si>
    <t>TG-PI-DS-1A</t>
  </si>
  <si>
    <t>Pilea Depressa Silver</t>
  </si>
  <si>
    <t>C40DS8</t>
  </si>
  <si>
    <t>TG-HYP-PS-1A</t>
  </si>
  <si>
    <t>Hypoestes Pink Splash</t>
  </si>
  <si>
    <t>HNZJAV</t>
  </si>
  <si>
    <t>HS-PO-GO-1M</t>
  </si>
  <si>
    <t>2VDNMY</t>
  </si>
  <si>
    <t>BPF-SE-SOP-2A</t>
  </si>
  <si>
    <t>2MFFOL</t>
  </si>
  <si>
    <t>BPF-SE-SOP-2A-2</t>
  </si>
  <si>
    <t>YKASPF</t>
  </si>
  <si>
    <t>BPF-SE-SOP-2A-3</t>
  </si>
  <si>
    <t>3T91OA</t>
  </si>
  <si>
    <t>BPF-SE-SOP-2A-4</t>
  </si>
  <si>
    <t>E26682</t>
  </si>
  <si>
    <t>BPF-SE-SOP-2A-5</t>
  </si>
  <si>
    <t>D7GTXH</t>
  </si>
  <si>
    <t>BPF-SE-SOP-2A-6</t>
  </si>
  <si>
    <t>4QU7RT</t>
  </si>
  <si>
    <t>BPF-SE-VSP-1A</t>
  </si>
  <si>
    <t>Senecio Variegated String of Pearls</t>
  </si>
  <si>
    <t>O2OG78</t>
  </si>
  <si>
    <t>BPF-SE-VSP-1A-2</t>
  </si>
  <si>
    <t>YQRBA6</t>
  </si>
  <si>
    <t>BPF-SE-VSP-1A-3</t>
  </si>
  <si>
    <t>2524EB</t>
  </si>
  <si>
    <t>BPF-SE-VSP-1A-4</t>
  </si>
  <si>
    <t>O196JP</t>
  </si>
  <si>
    <t>BPF-SE-VSP-1A-5</t>
  </si>
  <si>
    <t>3AA8FC</t>
  </si>
  <si>
    <t>BPF-SE-VSP-1A-6</t>
  </si>
  <si>
    <t>3JNUFS</t>
  </si>
  <si>
    <t>BPF-CE-SOH-2A-2</t>
  </si>
  <si>
    <t>C0D6A5</t>
  </si>
  <si>
    <t>BPF-CE-SOH-2A-3</t>
  </si>
  <si>
    <t>GOPRZ9</t>
  </si>
  <si>
    <t>BPF-CE-SOH-2A-4</t>
  </si>
  <si>
    <t>K4Q22A</t>
  </si>
  <si>
    <t>BPF-CE-SOH-2A-5</t>
  </si>
  <si>
    <t>Q105I6</t>
  </si>
  <si>
    <t>BPF-CE-VSH-1A</t>
  </si>
  <si>
    <t>Ceropegia Variegated String of Hearts</t>
  </si>
  <si>
    <t>943D0D</t>
  </si>
  <si>
    <t>BPF-CE-VSH-1A-3</t>
  </si>
  <si>
    <t>OI2DZF</t>
  </si>
  <si>
    <t>DSE-PH-MF-1A-9</t>
  </si>
  <si>
    <t>5G2EWP</t>
  </si>
  <si>
    <t>HS-DR-SP-1C</t>
  </si>
  <si>
    <t>Dracaena Snake Plant</t>
  </si>
  <si>
    <t>DHPJIT</t>
  </si>
  <si>
    <t>BPF-SE-SOT-1A</t>
  </si>
  <si>
    <t>Senecio String of Tears</t>
  </si>
  <si>
    <t>V9NJDY</t>
  </si>
  <si>
    <t>BPF-SE-SOT-1A-2</t>
  </si>
  <si>
    <t>4FDA44</t>
  </si>
  <si>
    <t>BWH-PO-PAJ-1A-5</t>
  </si>
  <si>
    <t>HID77K</t>
  </si>
  <si>
    <t>HS-BE-AW-1D</t>
  </si>
  <si>
    <t>VBFG9G</t>
  </si>
  <si>
    <t>TGOPS-PH-POO-1A</t>
  </si>
  <si>
    <t>XF30DP</t>
  </si>
  <si>
    <t>TGOPS-PH-WW-1A-3B</t>
  </si>
  <si>
    <t>E7AP99</t>
  </si>
  <si>
    <t>TGOPS-PH-WW-1A-2B</t>
  </si>
  <si>
    <t>L5851C</t>
  </si>
  <si>
    <t>BTPG-HO-KP-1B</t>
  </si>
  <si>
    <t>VTJFNW</t>
  </si>
  <si>
    <t>AGP-PH-BC-1A-3A</t>
  </si>
  <si>
    <t>0ZIQ4F</t>
  </si>
  <si>
    <t>HD-AL-BDS-1B</t>
  </si>
  <si>
    <t>Alocasia Bisma Dragon Scale</t>
  </si>
  <si>
    <t>3F2288</t>
  </si>
  <si>
    <t>WM-PH-WK-1C</t>
  </si>
  <si>
    <t>Philodendron White Knight</t>
  </si>
  <si>
    <t>NRAAXS</t>
  </si>
  <si>
    <t>BWH-SYN-PS-1A-2</t>
  </si>
  <si>
    <t>234OWI</t>
  </si>
  <si>
    <t>BWH-SYN-PS-1A-4</t>
  </si>
  <si>
    <t>E4QJVH</t>
  </si>
  <si>
    <t>BWH-AL-VM-1A-5</t>
  </si>
  <si>
    <t>EGNKM0</t>
  </si>
  <si>
    <t>BWH-PH-BMV-1A</t>
  </si>
  <si>
    <t>OH1KRR</t>
  </si>
  <si>
    <t>BWH-PH-BMV-1A-5</t>
  </si>
  <si>
    <t>0TL5ZN</t>
  </si>
  <si>
    <t>TGOPS-PH-PPM-1A</t>
  </si>
  <si>
    <t>AC0856</t>
  </si>
  <si>
    <t>DSE-PH-RK-1A-3</t>
  </si>
  <si>
    <t>53D9AE</t>
  </si>
  <si>
    <t>AGP-AL-NI-1A-2</t>
  </si>
  <si>
    <t>3IMTPA</t>
  </si>
  <si>
    <t>HD-AL-LO-1A-2C</t>
  </si>
  <si>
    <t>IMB1EB</t>
  </si>
  <si>
    <t>FMY-MA-PE-1E</t>
  </si>
  <si>
    <t>LT9PK8</t>
  </si>
  <si>
    <t>FMY-MA-PE-1F</t>
  </si>
  <si>
    <t>5E507X</t>
  </si>
  <si>
    <t>TLC-PH-CS-1B</t>
  </si>
  <si>
    <t>0F4628</t>
  </si>
  <si>
    <t>HS-BE-AW-1S</t>
  </si>
  <si>
    <t>7EM6YX</t>
  </si>
  <si>
    <t>BPF-CE-VSH-1B</t>
  </si>
  <si>
    <t>7MJ7HZ</t>
  </si>
  <si>
    <t>BWH-CA-MA-1A-5</t>
  </si>
  <si>
    <t>UPETKY</t>
  </si>
  <si>
    <t>DSE-COL-MOJ-1A-8</t>
  </si>
  <si>
    <t>IUB3WS</t>
  </si>
  <si>
    <t>WM-PH-WK-1A</t>
  </si>
  <si>
    <t>CBD735</t>
  </si>
  <si>
    <t>BTPG-HO-KP-1A</t>
  </si>
  <si>
    <t>VC3G00</t>
  </si>
  <si>
    <t>DSE-PH-RK-1A</t>
  </si>
  <si>
    <t>Q7PBU0</t>
  </si>
  <si>
    <t>DSE-PH-RK-1A-4</t>
  </si>
  <si>
    <t>NS9PPU</t>
  </si>
  <si>
    <t>DSE-PH-RK-1A-5</t>
  </si>
  <si>
    <t>FR268X</t>
  </si>
  <si>
    <t>AGP-PH-BC-1A-4</t>
  </si>
  <si>
    <t>TG8PQI</t>
  </si>
  <si>
    <t>TG-CHA-EL-1A</t>
  </si>
  <si>
    <t>Chamaedorea Elegans</t>
  </si>
  <si>
    <t>2686PP</t>
  </si>
  <si>
    <t>AGP-PH-BC-1B</t>
  </si>
  <si>
    <t>TLGYRK</t>
  </si>
  <si>
    <t>AGP-PH-BC-1C</t>
  </si>
  <si>
    <t>MG1QHD</t>
  </si>
  <si>
    <t>AGP-PH-BC-1A-2B</t>
  </si>
  <si>
    <t>X9LIR8</t>
  </si>
  <si>
    <t>HS-BE-AW-1U</t>
  </si>
  <si>
    <t>RS1S7K</t>
  </si>
  <si>
    <t>HS-BE-AW-1T</t>
  </si>
  <si>
    <t>FXQ9ZY</t>
  </si>
  <si>
    <t>BWH-FIC-SH-1A-2</t>
  </si>
  <si>
    <t>HJZ60K</t>
  </si>
  <si>
    <t>BWH-FIC-SH-1A-3</t>
  </si>
  <si>
    <t>1NV5NH</t>
  </si>
  <si>
    <t>BWH-FIC-SH-1A-4</t>
  </si>
  <si>
    <t>3KYXTK</t>
  </si>
  <si>
    <t>BWH-FIC-SH-1A-5</t>
  </si>
  <si>
    <t>R2HMXC</t>
  </si>
  <si>
    <t>BWH-AL-VM-1A</t>
  </si>
  <si>
    <t>BI63IL</t>
  </si>
  <si>
    <t>BWH-AL-VM-1A-4</t>
  </si>
  <si>
    <t>N26LVF</t>
  </si>
  <si>
    <t>BWH-PH-BMV-1A-2</t>
  </si>
  <si>
    <t>X95JYV</t>
  </si>
  <si>
    <t>BWH-PH-BMV-1A-4</t>
  </si>
  <si>
    <t>7PS70V</t>
  </si>
  <si>
    <t>BWH-PH-PV-1A-3</t>
  </si>
  <si>
    <t>WXGFVK</t>
  </si>
  <si>
    <t>BWH-PH-PV-1A-5</t>
  </si>
  <si>
    <t>JV2GY8</t>
  </si>
  <si>
    <t>BWH-PH-BRL-1A-5</t>
  </si>
  <si>
    <t>TPHXVA</t>
  </si>
  <si>
    <t>BWH-HO-KQ-1A-5</t>
  </si>
  <si>
    <t>QAM2UD</t>
  </si>
  <si>
    <t>DSE-PH-MF-1A-2</t>
  </si>
  <si>
    <t>F985F5</t>
  </si>
  <si>
    <t>DSE-PH-RK-1A-2</t>
  </si>
  <si>
    <t>3FF1RZ</t>
  </si>
  <si>
    <t>BPF-CE-SOH-2A</t>
  </si>
  <si>
    <t>LPTUUP</t>
  </si>
  <si>
    <t>BPF-SE-SOT-1A-3</t>
  </si>
  <si>
    <t>QWTXKW</t>
  </si>
  <si>
    <t>TGOPS-PH-WW-1F</t>
  </si>
  <si>
    <t>ZHV4V0</t>
  </si>
  <si>
    <t>HS-PO-GO-1D</t>
  </si>
  <si>
    <t>XS6KP8</t>
  </si>
  <si>
    <t>AGP-PH-BC-1A-2A</t>
  </si>
  <si>
    <t>NDAGUU</t>
  </si>
  <si>
    <t>HS-PH-HL-1G</t>
  </si>
  <si>
    <t>Q5094O</t>
  </si>
  <si>
    <t>HS-PO-GO-1G</t>
  </si>
  <si>
    <t>U8JC95</t>
  </si>
  <si>
    <t>HS-PO-GO-1L</t>
  </si>
  <si>
    <t>3SD2MV</t>
  </si>
  <si>
    <t>BWH-PO-PAJ-2A-4B</t>
  </si>
  <si>
    <t>29K530</t>
  </si>
  <si>
    <t>BPF-SE-SOP-2C</t>
  </si>
  <si>
    <t>N8X6H6</t>
  </si>
  <si>
    <t>BWH-AL-VM-1A-3</t>
  </si>
  <si>
    <t>EB7XTY</t>
  </si>
  <si>
    <t>BWH-CA-MA-1A</t>
  </si>
  <si>
    <t>DQUSON</t>
  </si>
  <si>
    <t>FM-SYN-BA-1A</t>
  </si>
  <si>
    <t>Syngonium Batik</t>
  </si>
  <si>
    <t>AK4E9M</t>
  </si>
  <si>
    <t>TGE-PH-ROF-1A</t>
  </si>
  <si>
    <t>Philodendron Ring of Fire</t>
  </si>
  <si>
    <t>866D1F</t>
  </si>
  <si>
    <t>DSE-AL-PO-1A-2</t>
  </si>
  <si>
    <t>Alocasia Polly</t>
  </si>
  <si>
    <t>6991R8</t>
  </si>
  <si>
    <t>AGP-PH-OM-1A</t>
  </si>
  <si>
    <t>Philodendron Orange Marmalade</t>
  </si>
  <si>
    <t>1F6EAE</t>
  </si>
  <si>
    <t>TG-ASP-AG-1A</t>
  </si>
  <si>
    <t>Asplenium Austra Gem</t>
  </si>
  <si>
    <t>62DRIV</t>
  </si>
  <si>
    <t>TG-CA-PIN-1A</t>
  </si>
  <si>
    <t>Calathea Pinstripe</t>
  </si>
  <si>
    <t>G60K7G</t>
  </si>
  <si>
    <t>IST-PH-RFE-1A</t>
  </si>
  <si>
    <t>Philodendron Ring of Fire Verigated</t>
  </si>
  <si>
    <t>EA84YA</t>
  </si>
  <si>
    <t>BPF-SE-SOP-2B</t>
  </si>
  <si>
    <t>66118A</t>
  </si>
  <si>
    <t>TG-ASP-HU-1A</t>
  </si>
  <si>
    <t>Asplenium Hurricane</t>
  </si>
  <si>
    <t>YJHEF8</t>
  </si>
  <si>
    <t>BWH-CA-MA-1A-2</t>
  </si>
  <si>
    <t>USEMUS</t>
  </si>
  <si>
    <t>AGP-PH-CHE-1A</t>
  </si>
  <si>
    <t>Philodendron Cherry Red</t>
  </si>
  <si>
    <t>319DC2</t>
  </si>
  <si>
    <t>AGP-PH-CHE-1A-2</t>
  </si>
  <si>
    <t>JKDW26</t>
  </si>
  <si>
    <t>SS-PIN-BU-1A-4</t>
  </si>
  <si>
    <t>Pinguicula Butterwort</t>
  </si>
  <si>
    <t>CEDPQI</t>
  </si>
  <si>
    <t>SS-PIN-BU-1A-5</t>
  </si>
  <si>
    <t>C4US7R</t>
  </si>
  <si>
    <t>SS-PIN-BU-1A-6</t>
  </si>
  <si>
    <t>5S59DT</t>
  </si>
  <si>
    <t>SS-PIN-BU-1A-7</t>
  </si>
  <si>
    <t>ZNZSNV</t>
  </si>
  <si>
    <t>SS-PIN-BU-1A-8</t>
  </si>
  <si>
    <t>XA3OHJ</t>
  </si>
  <si>
    <t>SS-PIN-BU-1A-9</t>
  </si>
  <si>
    <t>JKDX5Y</t>
  </si>
  <si>
    <t>SS-PIN-BU-1A-10</t>
  </si>
  <si>
    <t>7GGUF4</t>
  </si>
  <si>
    <t>SS-PIN-BU-1A-11</t>
  </si>
  <si>
    <t>P49A25</t>
  </si>
  <si>
    <t>SS-PIN-BU-1A-12</t>
  </si>
  <si>
    <t>WFMC8S</t>
  </si>
  <si>
    <t>SS-PIN-BU-1A-14</t>
  </si>
  <si>
    <t>4LJCAD</t>
  </si>
  <si>
    <t>SS-PIN-BU-1A-16</t>
  </si>
  <si>
    <t>7SNNFH</t>
  </si>
  <si>
    <t>SS-PIN-BU-1A-17</t>
  </si>
  <si>
    <t>J4153I</t>
  </si>
  <si>
    <t>SS-PIN-BU-1A-18</t>
  </si>
  <si>
    <t>LX2H6Q</t>
  </si>
  <si>
    <t>SS-PIN-BU-1A-19</t>
  </si>
  <si>
    <t>CPH05O</t>
  </si>
  <si>
    <t>SS-PIN-BU-1A-21</t>
  </si>
  <si>
    <t>YUIUH7</t>
  </si>
  <si>
    <t>SS-PIN-BU-1A-22</t>
  </si>
  <si>
    <t>UPOIB0</t>
  </si>
  <si>
    <t>SS-PIN-BU-1A-23</t>
  </si>
  <si>
    <t>EX0L2O</t>
  </si>
  <si>
    <t>SS-PIN-BU-1A-24</t>
  </si>
  <si>
    <t>LRW3JO</t>
  </si>
  <si>
    <t>SS-PIN-BU-1A-25</t>
  </si>
  <si>
    <t>41HFC6</t>
  </si>
  <si>
    <t>SS-PIN-BU-1A-26</t>
  </si>
  <si>
    <t>UWFZWH</t>
  </si>
  <si>
    <t>SS-PIN-BU-1A-27</t>
  </si>
  <si>
    <t>UE6OHS</t>
  </si>
  <si>
    <t>SS-PIN-BU-1A-28</t>
  </si>
  <si>
    <t>0XLYBJ</t>
  </si>
  <si>
    <t>SS-PIN-BU-1A-29</t>
  </si>
  <si>
    <t>POPZSF</t>
  </si>
  <si>
    <t>SS-PIN-BU-1A-30</t>
  </si>
  <si>
    <t>9QV7KX</t>
  </si>
  <si>
    <t>SS-PIN-BU-1A-31</t>
  </si>
  <si>
    <t>6RDA24</t>
  </si>
  <si>
    <t>SS-PIN-BU-1A-32</t>
  </si>
  <si>
    <t>ULUSE1</t>
  </si>
  <si>
    <t>SS-PIN-BU-1A-33</t>
  </si>
  <si>
    <t>S4Z95G</t>
  </si>
  <si>
    <t>SS-PIN-BU-1A-34</t>
  </si>
  <si>
    <t>KEOKWW</t>
  </si>
  <si>
    <t>SS-PIN-BU-1A-35</t>
  </si>
  <si>
    <t>D11HY3</t>
  </si>
  <si>
    <t>SS-PIN-BU-1A-36</t>
  </si>
  <si>
    <t>V1ETKP</t>
  </si>
  <si>
    <t>SS-PIN-BU-1A-37</t>
  </si>
  <si>
    <t>QPTPSM</t>
  </si>
  <si>
    <t>SS-PIN-BU-1A-38</t>
  </si>
  <si>
    <t>S4R1AE</t>
  </si>
  <si>
    <t>SS-PIN-BU-1A-39</t>
  </si>
  <si>
    <t>2TATAI</t>
  </si>
  <si>
    <t>SS-PIN-BU-1A-40</t>
  </si>
  <si>
    <t>AKPSAM</t>
  </si>
  <si>
    <t>SS-PIN-BU-1A-42</t>
  </si>
  <si>
    <t>JP9AAK</t>
  </si>
  <si>
    <t>SS-PIN-BU-1A-44</t>
  </si>
  <si>
    <t>4BIWWH</t>
  </si>
  <si>
    <t>SS-PIN-BU-1A-45</t>
  </si>
  <si>
    <t>NWCV9S</t>
  </si>
  <si>
    <t>FMY-AL-RSD-1A-2</t>
  </si>
  <si>
    <t>M0AV44</t>
  </si>
  <si>
    <t>FMY-CA-MA-1B</t>
  </si>
  <si>
    <t>TNOL2O</t>
  </si>
  <si>
    <t>HS-BE-AW-1L</t>
  </si>
  <si>
    <t>EY2V8A</t>
  </si>
  <si>
    <t>SS-PIN-BU-1A</t>
  </si>
  <si>
    <t>CALDEK</t>
  </si>
  <si>
    <t>SS-HO-WV-1A-5</t>
  </si>
  <si>
    <t>Hoya Wayetii Variegated</t>
  </si>
  <si>
    <t>H2WMKQ</t>
  </si>
  <si>
    <t>SS-PIN-BU-1A-2</t>
  </si>
  <si>
    <t>ILDNKF</t>
  </si>
  <si>
    <t>SS-PIN-BU-1A-3</t>
  </si>
  <si>
    <t>379QIY</t>
  </si>
  <si>
    <t>SS-HO-CO-1A-2</t>
  </si>
  <si>
    <t>Hoya Compacta</t>
  </si>
  <si>
    <t>ON8TYH</t>
  </si>
  <si>
    <t>SS-HO-CO-1A-4</t>
  </si>
  <si>
    <t>SPSFZ0</t>
  </si>
  <si>
    <t>SS-HO-CO-1A-6</t>
  </si>
  <si>
    <t>CV7GGY</t>
  </si>
  <si>
    <t>SS-HO-CO-1A-8</t>
  </si>
  <si>
    <t>ZSM2PK</t>
  </si>
  <si>
    <t>SS-HO-CO-1A-9</t>
  </si>
  <si>
    <t>X5BMAE</t>
  </si>
  <si>
    <t>SS-HO-CO-1A-11</t>
  </si>
  <si>
    <t>1DXGEJ</t>
  </si>
  <si>
    <t>SS-HO-CO-1A-13</t>
  </si>
  <si>
    <t>V9JS6I</t>
  </si>
  <si>
    <t>SS-HO-CO-1A-14</t>
  </si>
  <si>
    <t>E0NNJC</t>
  </si>
  <si>
    <t>SS-HO-CO-1A-15</t>
  </si>
  <si>
    <t>ZGTZD6</t>
  </si>
  <si>
    <t>SS-HO-OB-1A-2</t>
  </si>
  <si>
    <t>Hoya Obovata</t>
  </si>
  <si>
    <t>CXAS7Z</t>
  </si>
  <si>
    <t>SS-HO-OB-1A-3</t>
  </si>
  <si>
    <t>86FTM8</t>
  </si>
  <si>
    <t>SS-HO-OB-1A-4</t>
  </si>
  <si>
    <t>K3BVZJ</t>
  </si>
  <si>
    <t>SS-HO-OB-1A-5</t>
  </si>
  <si>
    <t>HEYFUH</t>
  </si>
  <si>
    <t>SS-HO-PU-1A-4</t>
  </si>
  <si>
    <t>Hoya Publicalyx</t>
  </si>
  <si>
    <t>ZCOI5D</t>
  </si>
  <si>
    <t>SS-HO-PU-1A-5</t>
  </si>
  <si>
    <t>1ZZJ4G</t>
  </si>
  <si>
    <t>SS-HO-PU-1A-7</t>
  </si>
  <si>
    <t>8KKD2H</t>
  </si>
  <si>
    <t>SS-HO-PU-1A-8</t>
  </si>
  <si>
    <t>MGTMBJ</t>
  </si>
  <si>
    <t>SS-HO-PU-1A-9</t>
  </si>
  <si>
    <t>TM79G0</t>
  </si>
  <si>
    <t>SS-HO-PU-1A-10</t>
  </si>
  <si>
    <t>MIC501</t>
  </si>
  <si>
    <t>SS-HO-LI-1A-3</t>
  </si>
  <si>
    <t>Hoya Lisa</t>
  </si>
  <si>
    <t>8Q57OH</t>
  </si>
  <si>
    <t>SS-HO-LI-1A-4</t>
  </si>
  <si>
    <t>NMZWQ4</t>
  </si>
  <si>
    <t>SS-HO-LI-1A-5</t>
  </si>
  <si>
    <t>X6WLIA</t>
  </si>
  <si>
    <t>SS-HO-LI-1A-6</t>
  </si>
  <si>
    <t>9STLZQ</t>
  </si>
  <si>
    <t>SS-HO-LI-1A-7</t>
  </si>
  <si>
    <t>021GC4</t>
  </si>
  <si>
    <t>SS-HO-LI-1A-8</t>
  </si>
  <si>
    <t>IXLA18</t>
  </si>
  <si>
    <t>SS-HO-LI-1A-9</t>
  </si>
  <si>
    <t>YLJGQT</t>
  </si>
  <si>
    <t>SS-HO-LI-1A-10</t>
  </si>
  <si>
    <t>UF1TU3</t>
  </si>
  <si>
    <t>SS-HO-WV-1A-2</t>
  </si>
  <si>
    <t>O3FUM0</t>
  </si>
  <si>
    <t>SS-HO-WV-1A-3</t>
  </si>
  <si>
    <t>XP6147</t>
  </si>
  <si>
    <t>SS-HO-WV-1A-4</t>
  </si>
  <si>
    <t>I36YWF</t>
  </si>
  <si>
    <t>BWH-MA-AD-1A</t>
  </si>
  <si>
    <t>Monstera Adansonii</t>
  </si>
  <si>
    <t>6IHM0B</t>
  </si>
  <si>
    <t>SS-PIN-BU-1A-43</t>
  </si>
  <si>
    <t>ZXA8RJ</t>
  </si>
  <si>
    <t>DSE-SYN-RR-1A-2</t>
  </si>
  <si>
    <t>Syngonium Regina Red</t>
  </si>
  <si>
    <t>2BXJV5</t>
  </si>
  <si>
    <t>DSE-SYN-RR-1A-3</t>
  </si>
  <si>
    <t>MQ2T2L</t>
  </si>
  <si>
    <t>DSE-SYN-BA-1A-2</t>
  </si>
  <si>
    <t>B3NYQC</t>
  </si>
  <si>
    <t>DSE-SYN-BA-1A-3</t>
  </si>
  <si>
    <t>IGCT8D</t>
  </si>
  <si>
    <t>DSE-PH-JO-1A</t>
  </si>
  <si>
    <t>Philodendron Joepii</t>
  </si>
  <si>
    <t>95A9FB</t>
  </si>
  <si>
    <t>DSE-PH-JO-1A-2</t>
  </si>
  <si>
    <t>MAAW25</t>
  </si>
  <si>
    <t>DSE-PH-JO-1A-3</t>
  </si>
  <si>
    <t>XUQTPO</t>
  </si>
  <si>
    <t>IST-PO-MQ-1A-2</t>
  </si>
  <si>
    <t>Pothos Marble Queen</t>
  </si>
  <si>
    <t>34887F</t>
  </si>
  <si>
    <t>BPF-PO-NE-1A</t>
  </si>
  <si>
    <t>Donation</t>
  </si>
  <si>
    <t>TW68QX</t>
  </si>
  <si>
    <t>AGP-SYN-EC-1A-2</t>
  </si>
  <si>
    <t>Syngonium Eclipse</t>
  </si>
  <si>
    <t>KNGW8D</t>
  </si>
  <si>
    <t>FM-PH-PP-1C</t>
  </si>
  <si>
    <t>8H5V4E</t>
  </si>
  <si>
    <t>AGP-SYN-EC-1B</t>
  </si>
  <si>
    <t>IUB7YU</t>
  </si>
  <si>
    <t>AGP-SYN-EC-1C</t>
  </si>
  <si>
    <t>ARB86Y</t>
  </si>
  <si>
    <t>AGP-SYN-EC-1D</t>
  </si>
  <si>
    <t>J6SSAF</t>
  </si>
  <si>
    <t>BWH-PO-PAJ-1A-2</t>
  </si>
  <si>
    <t>EK3VH1</t>
  </si>
  <si>
    <t>AR-AL-LM-1A</t>
  </si>
  <si>
    <t>Alocasia Longiloba Mint</t>
  </si>
  <si>
    <t>EDCV78</t>
  </si>
  <si>
    <t>AGP-AL-NI-1A</t>
  </si>
  <si>
    <t>HE879G</t>
  </si>
  <si>
    <t>TG-CA-DOT-1A</t>
  </si>
  <si>
    <t>Calathea Dottie</t>
  </si>
  <si>
    <t>2MRCDI</t>
  </si>
  <si>
    <t>DSE-AL-MAN-1A</t>
  </si>
  <si>
    <t>MACTWQ</t>
  </si>
  <si>
    <t>TLC-BE-BR-1A</t>
  </si>
  <si>
    <t>Begonia Brevirimosa</t>
  </si>
  <si>
    <t>DUWZA9</t>
  </si>
  <si>
    <t>IST-PH-GL-1A</t>
  </si>
  <si>
    <t>Philodendron Gloriosum</t>
  </si>
  <si>
    <t>BBCH8D</t>
  </si>
  <si>
    <t>HS-PH-BRL-1E</t>
  </si>
  <si>
    <t>LG6YF8</t>
  </si>
  <si>
    <t>TLC-BE-BR-1B</t>
  </si>
  <si>
    <t>APCQON</t>
  </si>
  <si>
    <t>IST-PH-GL-1C</t>
  </si>
  <si>
    <t>BKPZ2I</t>
  </si>
  <si>
    <t>SS-PIN-BU-1A-41</t>
  </si>
  <si>
    <t>W0QGT9</t>
  </si>
  <si>
    <t>BWH-SYN-PS-1A</t>
  </si>
  <si>
    <t>R1Y85R</t>
  </si>
  <si>
    <t>DSE-COL-MOJ-1A-9B</t>
  </si>
  <si>
    <t>6ZIL7O</t>
  </si>
  <si>
    <t>SS-PIN-BU-1A-15</t>
  </si>
  <si>
    <t>7W0ZS0</t>
  </si>
  <si>
    <t>BWH-ST-TR-1A-8</t>
  </si>
  <si>
    <t>HS02IV</t>
  </si>
  <si>
    <t>DSE-COL-MOJ-1A</t>
  </si>
  <si>
    <t>RCAB6N</t>
  </si>
  <si>
    <t>DSE-COL-MOJ-1A-2</t>
  </si>
  <si>
    <t>3TI0AJ</t>
  </si>
  <si>
    <t>DSE-COL-MOJ-1A-3</t>
  </si>
  <si>
    <t>9CGEMS</t>
  </si>
  <si>
    <t>DSE-COL-MOJ-1A-4</t>
  </si>
  <si>
    <t>Y17SZ3</t>
  </si>
  <si>
    <t>DSE-COL-MOJ-1A-6</t>
  </si>
  <si>
    <t>KHV1ZS</t>
  </si>
  <si>
    <t>DSE-COL-MOJ-1A-7</t>
  </si>
  <si>
    <t>ATH9BR</t>
  </si>
  <si>
    <t>DSE-COL-MOJ-1A-9</t>
  </si>
  <si>
    <t>FB6C64</t>
  </si>
  <si>
    <t>SS-PH-MI-1A</t>
  </si>
  <si>
    <t>Philodendron Micans</t>
  </si>
  <si>
    <t>ILK2X9</t>
  </si>
  <si>
    <t>SS-PH-MI-1A-3</t>
  </si>
  <si>
    <t>YWQG90</t>
  </si>
  <si>
    <t>SS-PH-MI-1A-4</t>
  </si>
  <si>
    <t>4EC1F3</t>
  </si>
  <si>
    <t>SS-PH-MI-1A-6</t>
  </si>
  <si>
    <t>U1SM6Z</t>
  </si>
  <si>
    <t>SS-PH-MI-1A-7</t>
  </si>
  <si>
    <t>4JBB98</t>
  </si>
  <si>
    <t>SS-PH-MI-1A-8</t>
  </si>
  <si>
    <t>XVEP34</t>
  </si>
  <si>
    <t>SS-PH-MI-1A-9</t>
  </si>
  <si>
    <t>GJKPEC</t>
  </si>
  <si>
    <t>SS-PH-MI-1A-10</t>
  </si>
  <si>
    <t>XSV6DN</t>
  </si>
  <si>
    <t>SS-PH-MI-1A-11</t>
  </si>
  <si>
    <t>EBP8WS</t>
  </si>
  <si>
    <t>SS-PH-MI-1A-12</t>
  </si>
  <si>
    <t>S1AOI2</t>
  </si>
  <si>
    <t>SS-PH-MI-1A-13</t>
  </si>
  <si>
    <t>YQTWAJ</t>
  </si>
  <si>
    <t>SS-PH-MI-1A-14</t>
  </si>
  <si>
    <t>84AT1S</t>
  </si>
  <si>
    <t>SS-PH-MI-1A-15</t>
  </si>
  <si>
    <t>09141S</t>
  </si>
  <si>
    <t>SS-PH-MI-1A-16</t>
  </si>
  <si>
    <t>0LH7QM</t>
  </si>
  <si>
    <t>SS-PH-MI-1A-17</t>
  </si>
  <si>
    <t>6IM1ZO</t>
  </si>
  <si>
    <t>SS-PH-MI-1A-18</t>
  </si>
  <si>
    <t>QBBRIH</t>
  </si>
  <si>
    <t>SS-PH-MI-1A-19</t>
  </si>
  <si>
    <t>4QU5KX</t>
  </si>
  <si>
    <t>SS-PH-MI-1A-20</t>
  </si>
  <si>
    <t>JZ73FO</t>
  </si>
  <si>
    <t>SS-PH-MI-1A-21</t>
  </si>
  <si>
    <t>EFX4JQ</t>
  </si>
  <si>
    <t>SS-PH-MI-1A-22</t>
  </si>
  <si>
    <t>78KZ1K</t>
  </si>
  <si>
    <t>SS-PH-MI-1A-23</t>
  </si>
  <si>
    <t>D34X39</t>
  </si>
  <si>
    <t>SS-PH-MI-1A-24</t>
  </si>
  <si>
    <t>XHVQHV</t>
  </si>
  <si>
    <t>SS-PH-MI-1A-25</t>
  </si>
  <si>
    <t>9L2A3F</t>
  </si>
  <si>
    <t>SS-PH-MI-1A-26</t>
  </si>
  <si>
    <t>4CO81Y</t>
  </si>
  <si>
    <t>SS-PH-MI-1A-27</t>
  </si>
  <si>
    <t>AU6RR9</t>
  </si>
  <si>
    <t>SS-PH-MI-1A-28</t>
  </si>
  <si>
    <t>6MKX6I</t>
  </si>
  <si>
    <t>SS-PH-MI-1A-29</t>
  </si>
  <si>
    <t>YEJMAZ</t>
  </si>
  <si>
    <t>SS-PH-MI-1A-30</t>
  </si>
  <si>
    <t>I6D5V5</t>
  </si>
  <si>
    <t>SS-PH-MI-1A-32</t>
  </si>
  <si>
    <t>65DIN4</t>
  </si>
  <si>
    <t>SS-PH-MI-1A-34</t>
  </si>
  <si>
    <t>D72A5Q</t>
  </si>
  <si>
    <t>TLC-BE-MAC-1A</t>
  </si>
  <si>
    <t>Begonia Maculata</t>
  </si>
  <si>
    <t>87YXQU</t>
  </si>
  <si>
    <t>BWH-ST-TR-1A-5</t>
  </si>
  <si>
    <t>376VWX</t>
  </si>
  <si>
    <t>TG-CA-MA-2A-2</t>
  </si>
  <si>
    <t>H7YKSF</t>
  </si>
  <si>
    <t>TG-CA-MA-2A-4</t>
  </si>
  <si>
    <t>9O84Z5</t>
  </si>
  <si>
    <t>TG-CA-MA-2A-5</t>
  </si>
  <si>
    <t>8X69R1</t>
  </si>
  <si>
    <t>TG-BE-REX-2A</t>
  </si>
  <si>
    <t>Begonia Rex</t>
  </si>
  <si>
    <t>7RTQ89</t>
  </si>
  <si>
    <t>TG-BE-REX-2A-2</t>
  </si>
  <si>
    <t>3D55B7</t>
  </si>
  <si>
    <t>TG-BE-REX-2A-3</t>
  </si>
  <si>
    <t>SXVHY7</t>
  </si>
  <si>
    <t>TG-BE-REX-2A-4</t>
  </si>
  <si>
    <t>4378AF</t>
  </si>
  <si>
    <t>TG-BE-REX-2A-5</t>
  </si>
  <si>
    <t>38LW3H</t>
  </si>
  <si>
    <t>TG-NE-BP-2A-2</t>
  </si>
  <si>
    <t>RBWB79</t>
  </si>
  <si>
    <t>TG-NE-BP-2A-4</t>
  </si>
  <si>
    <t>4ASSM1</t>
  </si>
  <si>
    <t>TG-SC-SAT-1A-2</t>
  </si>
  <si>
    <t>Scindapsus Satin Pothos</t>
  </si>
  <si>
    <t>OQSU8C</t>
  </si>
  <si>
    <t>TG-SC-SAT-1A-3</t>
  </si>
  <si>
    <t>H7ZL5J</t>
  </si>
  <si>
    <t>TG-SC-SAT-1A-4</t>
  </si>
  <si>
    <t>VTBRNT</t>
  </si>
  <si>
    <t>TG-SC-SAT-1A-5</t>
  </si>
  <si>
    <t>VLYKYK</t>
  </si>
  <si>
    <t>BWH-AL-CU-1A-2</t>
  </si>
  <si>
    <t>Alocasia Cuprea</t>
  </si>
  <si>
    <t>W3U7Z0</t>
  </si>
  <si>
    <t>BWH-PH-BIL-1A</t>
  </si>
  <si>
    <t>Philodendron Billietiae</t>
  </si>
  <si>
    <t>1ABX2U</t>
  </si>
  <si>
    <t>BWH-PH-BIL-1A-2</t>
  </si>
  <si>
    <t>I6T5Y3</t>
  </si>
  <si>
    <t>BWH-PH-BIL-1A-3</t>
  </si>
  <si>
    <t>27HDGI</t>
  </si>
  <si>
    <t>BWH-PH-BIL-1A-4</t>
  </si>
  <si>
    <t>A6IRO7</t>
  </si>
  <si>
    <t>BWH-PH-BIL-1A-5</t>
  </si>
  <si>
    <t>5TV3P3</t>
  </si>
  <si>
    <t>BWH-PH-WA-1A</t>
  </si>
  <si>
    <t>Philodendron Warscewiczii Aurea</t>
  </si>
  <si>
    <t>PZCSE6</t>
  </si>
  <si>
    <t>BWH-PH-WA-1A-3</t>
  </si>
  <si>
    <t>I06YO8</t>
  </si>
  <si>
    <t>BWH-PH-WA-1A-5</t>
  </si>
  <si>
    <t>MJ6N01</t>
  </si>
  <si>
    <t>BWH-SYN-WE-1A-2</t>
  </si>
  <si>
    <t>Syngonium Wendlandii</t>
  </si>
  <si>
    <t>9IO1BH</t>
  </si>
  <si>
    <t>BWH-SYN-WE-1A-3</t>
  </si>
  <si>
    <t>MKS54X</t>
  </si>
  <si>
    <t>BWH-SYN-WE-1A-5</t>
  </si>
  <si>
    <t>118QFM</t>
  </si>
  <si>
    <t>DSE-PH-PP-1A-3</t>
  </si>
  <si>
    <t>6R0YK9</t>
  </si>
  <si>
    <t>MPL-PH-CS-1A-3</t>
  </si>
  <si>
    <t>NRPH8C</t>
  </si>
  <si>
    <t>MPL-PH-CS-1A-4</t>
  </si>
  <si>
    <t>UINK42</t>
  </si>
  <si>
    <t>MPL-SC-SAT-1A-2</t>
  </si>
  <si>
    <t>ZN1TGH</t>
  </si>
  <si>
    <t>MPL-SC-SAT-1A-3</t>
  </si>
  <si>
    <t>2A74F2</t>
  </si>
  <si>
    <t>MPL-SC-DF-1A-2</t>
  </si>
  <si>
    <t>Scindapsus Dark Form</t>
  </si>
  <si>
    <t>B8C6F5</t>
  </si>
  <si>
    <t>MPL-SC-DF-1A-3</t>
  </si>
  <si>
    <t>SPARA3</t>
  </si>
  <si>
    <t>TGOPS-PH-WW-1D</t>
  </si>
  <si>
    <t>H65NG5</t>
  </si>
  <si>
    <t>MPL-CHL-SPI-1A</t>
  </si>
  <si>
    <t>DOPUZE</t>
  </si>
  <si>
    <t>MPL-CHL-SPI-1A-2</t>
  </si>
  <si>
    <t>CM61C6</t>
  </si>
  <si>
    <t>HS-PO-GO-1O</t>
  </si>
  <si>
    <t>LIOXXY</t>
  </si>
  <si>
    <t>HS-PO-GO-1N</t>
  </si>
  <si>
    <t>8G1W66</t>
  </si>
  <si>
    <t>SS-PH-MI-1A-33</t>
  </si>
  <si>
    <t>V1TJ4F</t>
  </si>
  <si>
    <t>BWH-CA-FW-1A-4</t>
  </si>
  <si>
    <t>IC6UFK</t>
  </si>
  <si>
    <t>MPL-SYN-VA-1A</t>
  </si>
  <si>
    <t>Syngonium Variegated Albo</t>
  </si>
  <si>
    <t>NIHFYU</t>
  </si>
  <si>
    <t>MPL-SYN-VA-1A-2</t>
  </si>
  <si>
    <t>BGTAVG</t>
  </si>
  <si>
    <t>TGOPS-PH-PPM-1A-2</t>
  </si>
  <si>
    <t>DF8A3B</t>
  </si>
  <si>
    <t>BWH-PH-VGC-1A-2</t>
  </si>
  <si>
    <t>Philodendron Varigated Green Congo Copper Flame</t>
  </si>
  <si>
    <t>TL2BH3</t>
  </si>
  <si>
    <t>AM-PH-BI-1A</t>
  </si>
  <si>
    <t>Philodendron Birkin</t>
  </si>
  <si>
    <t>D5SN6B</t>
  </si>
  <si>
    <t>AGP-PH-GX-1A</t>
  </si>
  <si>
    <t>Philodendron Golden Xanadu</t>
  </si>
  <si>
    <t>VHAQNC</t>
  </si>
  <si>
    <t>DSE-PH-BIL-1A</t>
  </si>
  <si>
    <t>5T3KGV</t>
  </si>
  <si>
    <t>AGP-PH-GX-1A-2</t>
  </si>
  <si>
    <t>H7CTBX</t>
  </si>
  <si>
    <t>AGP-AL-NI-1A-2C</t>
  </si>
  <si>
    <t>EFI4YU</t>
  </si>
  <si>
    <t>BWH-PH-PV-1A-4</t>
  </si>
  <si>
    <t>72GPUI</t>
  </si>
  <si>
    <t>TG-CA-MA-2A-3</t>
  </si>
  <si>
    <t>D44NY4</t>
  </si>
  <si>
    <t>BWH-MA-AD-1A-4</t>
  </si>
  <si>
    <t>YEGMJX</t>
  </si>
  <si>
    <t>BWH-PH-BRL-1A-4</t>
  </si>
  <si>
    <t>3IM51H</t>
  </si>
  <si>
    <t>FMY-MA-DE-1A-4</t>
  </si>
  <si>
    <t>C5D958</t>
  </si>
  <si>
    <t>MPL-PH-CS-1A</t>
  </si>
  <si>
    <t>5101LB</t>
  </si>
  <si>
    <t>SS-PIN-BU-1A-13</t>
  </si>
  <si>
    <t>HLZDT2</t>
  </si>
  <si>
    <t>SS-PIN-BU-1A-20</t>
  </si>
  <si>
    <t>U6OGDH</t>
  </si>
  <si>
    <t>SS-HO-LI-1A-2</t>
  </si>
  <si>
    <t>Hold</t>
  </si>
  <si>
    <t>THM7EO</t>
  </si>
  <si>
    <t>SS-HO-WV-1A</t>
  </si>
  <si>
    <t>3KOW99</t>
  </si>
  <si>
    <t>DSE-AL-PC-1A-2</t>
  </si>
  <si>
    <t>MXO3EF</t>
  </si>
  <si>
    <t>TLC-BE-GI-1A</t>
  </si>
  <si>
    <t>Begonia Ginny</t>
  </si>
  <si>
    <t>9EVCLN</t>
  </si>
  <si>
    <t>HD-AL-BDS-1C</t>
  </si>
  <si>
    <t>KG6JOM</t>
  </si>
  <si>
    <t>IST-BE-SC-1A</t>
  </si>
  <si>
    <t>Begonia Snow Cap</t>
  </si>
  <si>
    <t>0WD81E</t>
  </si>
  <si>
    <t>TG-AL-VDM-1A-3</t>
  </si>
  <si>
    <t>Alocasia Variegated Dragonscale Mint</t>
  </si>
  <si>
    <t>E6QIX3</t>
  </si>
  <si>
    <t>RPS-FA-FI-1A</t>
  </si>
  <si>
    <t>Farfuglum Firefly</t>
  </si>
  <si>
    <t>XN4PD2</t>
  </si>
  <si>
    <t>WM-PH-WK-1D</t>
  </si>
  <si>
    <t>YQ4THL</t>
  </si>
  <si>
    <t>BPF-PO-NE-1A-2C</t>
  </si>
  <si>
    <t>PSCBO3</t>
  </si>
  <si>
    <t>HS-BE-AW-1M</t>
  </si>
  <si>
    <t>C44B0D</t>
  </si>
  <si>
    <t>TG-CHL-SPI-1B</t>
  </si>
  <si>
    <t>NSYIPJ</t>
  </si>
  <si>
    <t>SS-HO-LI-1A</t>
  </si>
  <si>
    <t>WOGDO5</t>
  </si>
  <si>
    <t>TG-CHL-SPI-1A</t>
  </si>
  <si>
    <t>WZSEPH</t>
  </si>
  <si>
    <t>BWH-CA-FW-1A</t>
  </si>
  <si>
    <t>EN5K4C</t>
  </si>
  <si>
    <t>BWH-CA-FW-1A-2</t>
  </si>
  <si>
    <t>NQPSDG</t>
  </si>
  <si>
    <t>BWH-CA-FW-1A-5</t>
  </si>
  <si>
    <t>3J7SWZ</t>
  </si>
  <si>
    <t>BWH-CA-MA-1A-3</t>
  </si>
  <si>
    <t>HFI6O6</t>
  </si>
  <si>
    <t>BWH-CA-MA-1A-4</t>
  </si>
  <si>
    <t>8V7NGF</t>
  </si>
  <si>
    <t>AGP-PH-ROF-1A</t>
  </si>
  <si>
    <t>2CEYFR</t>
  </si>
  <si>
    <t>TG-AL-VDM-1A</t>
  </si>
  <si>
    <t>DGTZL3</t>
  </si>
  <si>
    <t>TG-AL-VDM-1A-2</t>
  </si>
  <si>
    <t>8CXQC7</t>
  </si>
  <si>
    <t>AGP-AL-NI-1A-2B</t>
  </si>
  <si>
    <t>RAEY49</t>
  </si>
  <si>
    <t>TLC-PH-GCN-1B</t>
  </si>
  <si>
    <t>G2L45C</t>
  </si>
  <si>
    <t>TLC-PH-GCN-1C</t>
  </si>
  <si>
    <t>BIMU1Z</t>
  </si>
  <si>
    <t>TLC-PH-GCN-1D</t>
  </si>
  <si>
    <t>WHJ6Y7</t>
  </si>
  <si>
    <t>TLC-PH-GCN-1E</t>
  </si>
  <si>
    <t>KDPROO</t>
  </si>
  <si>
    <t>AGP-PH-ROF-1B</t>
  </si>
  <si>
    <t>C3E6US</t>
  </si>
  <si>
    <t>AGP-PH-ROF-1D</t>
  </si>
  <si>
    <t>05HPUH</t>
  </si>
  <si>
    <t>AGP-PH-ROF-1E</t>
  </si>
  <si>
    <t>WIJD2L</t>
  </si>
  <si>
    <t>BWH-PH-RAPK-2A-2B</t>
  </si>
  <si>
    <t>FFEJQI</t>
  </si>
  <si>
    <t>BWH-PH-RAPK-2A-2</t>
  </si>
  <si>
    <t>6KU4TX</t>
  </si>
  <si>
    <t>BWH-AL-QD-1A-2</t>
  </si>
  <si>
    <t>Alocasia Quilted Dreams</t>
  </si>
  <si>
    <t>EGXHFV</t>
  </si>
  <si>
    <t>BWH-PH-FBS-1A-3</t>
  </si>
  <si>
    <t>Philodendron Florida Beauty Sunrise</t>
  </si>
  <si>
    <t>9B9R8N</t>
  </si>
  <si>
    <t>AGP-MA-TCN-1A-2</t>
  </si>
  <si>
    <t>Monstera Thai Constellation</t>
  </si>
  <si>
    <t>1249CF</t>
  </si>
  <si>
    <t>BPF-PO-NE-1A-2B</t>
  </si>
  <si>
    <t>ZA3EB2</t>
  </si>
  <si>
    <t>SS-HO-PU-1A</t>
  </si>
  <si>
    <t>RYKVBY</t>
  </si>
  <si>
    <t>SS-HO-OB-1A</t>
  </si>
  <si>
    <t>9M4K52</t>
  </si>
  <si>
    <t>SS-HO-CO-1A-3</t>
  </si>
  <si>
    <t>CDQ0J0</t>
  </si>
  <si>
    <t>SS-HO-CO-1A-5</t>
  </si>
  <si>
    <t>SRV0N6</t>
  </si>
  <si>
    <t>SS-HO-CO-1A-7</t>
  </si>
  <si>
    <t>AQ02BB</t>
  </si>
  <si>
    <t>SS-HO-CO-1A-10</t>
  </si>
  <si>
    <t>BYO588</t>
  </si>
  <si>
    <t>SS-HO-CO-1A-12</t>
  </si>
  <si>
    <t>M8C2OX</t>
  </si>
  <si>
    <t>SS-HO-PU-1A-3</t>
  </si>
  <si>
    <t>TTQK27</t>
  </si>
  <si>
    <t>SS-HO-PU-1A-6</t>
  </si>
  <si>
    <t>JOVE80</t>
  </si>
  <si>
    <t>AGP-PH-BC-1A-2</t>
  </si>
  <si>
    <t>6IP6IL</t>
  </si>
  <si>
    <t>AGP-PH-BC-1A-3</t>
  </si>
  <si>
    <t>SD7KKX</t>
  </si>
  <si>
    <t>IST-AE-LP-1A</t>
  </si>
  <si>
    <t>Aeschynanthus Lipstick Plant</t>
  </si>
  <si>
    <t>WXTLA5</t>
  </si>
  <si>
    <t>IST-PH-WP-1A</t>
  </si>
  <si>
    <t>Philodendron White Princess</t>
  </si>
  <si>
    <t>DYVJLE</t>
  </si>
  <si>
    <t>AGP-PH-SD-1A-2</t>
  </si>
  <si>
    <t>Philodendron Snow Drift</t>
  </si>
  <si>
    <t>QWZF9K</t>
  </si>
  <si>
    <t>AGP-PH-ROF-1A-2</t>
  </si>
  <si>
    <t>YVFG8Z</t>
  </si>
  <si>
    <t>IST-PH-WP-1B</t>
  </si>
  <si>
    <t>C8CK3F</t>
  </si>
  <si>
    <t>BWH-MA-AD-1A-3</t>
  </si>
  <si>
    <t>Y8PY08</t>
  </si>
  <si>
    <t>BWH-ST-TR-1A-6</t>
  </si>
  <si>
    <t>5UVRB7</t>
  </si>
  <si>
    <t>IST-PH-RFV-1A</t>
  </si>
  <si>
    <t>VRIJSY</t>
  </si>
  <si>
    <t>DSE-AL-VE-1A</t>
  </si>
  <si>
    <t>Alocasia Velvet Elvis</t>
  </si>
  <si>
    <t>HDYC30</t>
  </si>
  <si>
    <t>BWH-SYN-WE-1A-4C</t>
  </si>
  <si>
    <t>0C7RSZ</t>
  </si>
  <si>
    <t>BWH-AL-QD-1A-3C</t>
  </si>
  <si>
    <t>RIWS95</t>
  </si>
  <si>
    <t>BWH-AL-QD-1A-5C</t>
  </si>
  <si>
    <t>9T5OSE</t>
  </si>
  <si>
    <t>BWH-AL-QD-1A-5D</t>
  </si>
  <si>
    <t>Z0IDQ8</t>
  </si>
  <si>
    <t>BWH-AL-QD-1A-5E</t>
  </si>
  <si>
    <t>99IJB6</t>
  </si>
  <si>
    <t>BWH-AL-QD-1A-5F</t>
  </si>
  <si>
    <t>Q1HG36</t>
  </si>
  <si>
    <t>BWH-AL-QD-1A</t>
  </si>
  <si>
    <t>9DUCJ9</t>
  </si>
  <si>
    <t>BWH-AL-QD-1A-3</t>
  </si>
  <si>
    <t>M0UHJZ</t>
  </si>
  <si>
    <t>BWH-AL-QD-1A-5</t>
  </si>
  <si>
    <t>QXFG48</t>
  </si>
  <si>
    <t>BWH-PH-FBS-1A</t>
  </si>
  <si>
    <t>729YXQ</t>
  </si>
  <si>
    <t>BWH-PH-FBS-1A-4</t>
  </si>
  <si>
    <t>D8S3Y1</t>
  </si>
  <si>
    <t>BWH-PH-FBS-1A-5</t>
  </si>
  <si>
    <t>KICNHP</t>
  </si>
  <si>
    <t>BWH-SYN-WE-1A-4</t>
  </si>
  <si>
    <t>5DSNX2</t>
  </si>
  <si>
    <t>SS-PH-MI-1A-31</t>
  </si>
  <si>
    <t>XNNBK8</t>
  </si>
  <si>
    <t>BWH-PO-PAJ-2A-4</t>
  </si>
  <si>
    <t>P4EHVX</t>
  </si>
  <si>
    <t>BWH-SYN-WE-2A-2</t>
  </si>
  <si>
    <t>KRYQYT</t>
  </si>
  <si>
    <t>TGE-PH-FB-1A</t>
  </si>
  <si>
    <t>Philodendron Florida Bronze</t>
  </si>
  <si>
    <t>9SRD0X</t>
  </si>
  <si>
    <t>DSE-PH-MF-1A-11</t>
  </si>
  <si>
    <t>SPCVCD</t>
  </si>
  <si>
    <t>DSE-PH-PP-1A</t>
  </si>
  <si>
    <t>MXL1EB</t>
  </si>
  <si>
    <t>DSE-PH-PP-1A-2</t>
  </si>
  <si>
    <t>9MGSIE</t>
  </si>
  <si>
    <t>DSE-PH-PP-1A-4</t>
  </si>
  <si>
    <t>1FC758</t>
  </si>
  <si>
    <t>TLC-SYN-AU-1A</t>
  </si>
  <si>
    <t>Syngonium Aurea</t>
  </si>
  <si>
    <t>XYVR2W</t>
  </si>
  <si>
    <t>TG-NE-BP-2A-3</t>
  </si>
  <si>
    <t>QR4AFV</t>
  </si>
  <si>
    <t>TLC-SYN-AU-1B</t>
  </si>
  <si>
    <t>J0WGUQ</t>
  </si>
  <si>
    <t>BWH-AL-QD-1A-4B</t>
  </si>
  <si>
    <t>NMSFRJ</t>
  </si>
  <si>
    <t>BWH-AL-QD-1A-4C</t>
  </si>
  <si>
    <t>0QHT39</t>
  </si>
  <si>
    <t>MMP-MA-AD-1A</t>
  </si>
  <si>
    <t>WHQJUT</t>
  </si>
  <si>
    <t>OLN-MA-AD-1A</t>
  </si>
  <si>
    <t>59766F</t>
  </si>
  <si>
    <t>OLN-PH-SD-1A</t>
  </si>
  <si>
    <t>E6DB4C</t>
  </si>
  <si>
    <t>AM-PH-GL-1A</t>
  </si>
  <si>
    <t>MQRMTW</t>
  </si>
  <si>
    <t>TRL-SYN-PA-1A</t>
  </si>
  <si>
    <t>Syngonium Panda</t>
  </si>
  <si>
    <t>YK1X7W</t>
  </si>
  <si>
    <t>DSE-PH-MF-1A-5</t>
  </si>
  <si>
    <t>115379</t>
  </si>
  <si>
    <t>AGP-MA-TCN-1A</t>
  </si>
  <si>
    <t>2J27H8</t>
  </si>
  <si>
    <t>DSE-SYN-RR-1A</t>
  </si>
  <si>
    <t>PEYDPT</t>
  </si>
  <si>
    <t>DSE-PH-PL-1A</t>
  </si>
  <si>
    <t>Philodendron Painted Lady</t>
  </si>
  <si>
    <t>GW0NPU</t>
  </si>
  <si>
    <t>DSE-SYN-BA-1A</t>
  </si>
  <si>
    <t>V6H9JM</t>
  </si>
  <si>
    <t>TG-NE-BP-2A</t>
  </si>
  <si>
    <t>MMHQE5</t>
  </si>
  <si>
    <t>TA-PH-MIC-1A</t>
  </si>
  <si>
    <t>Philodendron Micans Aurea</t>
  </si>
  <si>
    <t>B90B7U</t>
  </si>
  <si>
    <t>TA-CY-LE-1A</t>
  </si>
  <si>
    <t>Cymbopogon Lemongrass</t>
  </si>
  <si>
    <t>QIUMPS</t>
  </si>
  <si>
    <t>FMY-PH-PL-1B</t>
  </si>
  <si>
    <t>8T4K5F</t>
  </si>
  <si>
    <t>RSV-EPI-PM-1B</t>
  </si>
  <si>
    <t>Epipremnum Pinnatum Marble</t>
  </si>
  <si>
    <t>8TNN4E</t>
  </si>
  <si>
    <t>BWH-PH-RAPK-1A-2</t>
  </si>
  <si>
    <t>84QR4P</t>
  </si>
  <si>
    <t>BWH-MA-AD-1A-5</t>
  </si>
  <si>
    <t>NCZ9JK</t>
  </si>
  <si>
    <t>RSV-EPI-PM-1A</t>
  </si>
  <si>
    <t>RN3IA8</t>
  </si>
  <si>
    <t>TA-SAL-RO-1A-3</t>
  </si>
  <si>
    <t>Salvia Rosemary</t>
  </si>
  <si>
    <t>XULGTJ</t>
  </si>
  <si>
    <t>TA-SAL-RO-1A-4</t>
  </si>
  <si>
    <t>Q548JL</t>
  </si>
  <si>
    <t>TA-OR-OR-1A-11</t>
  </si>
  <si>
    <t>Origanum Oregano</t>
  </si>
  <si>
    <t>V1K9TF</t>
  </si>
  <si>
    <t>TA-OR-OR-1A-12</t>
  </si>
  <si>
    <t>L6N1SA</t>
  </si>
  <si>
    <t>TA-OR-OR-1A-13</t>
  </si>
  <si>
    <t>ZLRLZ8</t>
  </si>
  <si>
    <t>TA-OR-OR-1A-14</t>
  </si>
  <si>
    <t>1D34DA</t>
  </si>
  <si>
    <t>TA-OR-OR-1A-15</t>
  </si>
  <si>
    <t>LOYDYU</t>
  </si>
  <si>
    <t>BWH-AL-QD-1A-4D</t>
  </si>
  <si>
    <t>3KTJXQ</t>
  </si>
  <si>
    <t>MPL-CHL-SPI-1A-3</t>
  </si>
  <si>
    <t>EXUE0P</t>
  </si>
  <si>
    <t>BWH-PH-VRCRH-1A</t>
  </si>
  <si>
    <t>5M5OZQ</t>
  </si>
  <si>
    <t>FMY-PH-GC-1A</t>
  </si>
  <si>
    <t>Philodendron Golden Crocodile</t>
  </si>
  <si>
    <t>H0DV95</t>
  </si>
  <si>
    <t>OLN-ALT-PT-1A</t>
  </si>
  <si>
    <t>Alternanthera Party Time</t>
  </si>
  <si>
    <t>X0SCWD</t>
  </si>
  <si>
    <t>AR-PH-WP-1A</t>
  </si>
  <si>
    <t>SMYBNU</t>
  </si>
  <si>
    <t>IST-PH-PP-1A</t>
  </si>
  <si>
    <t>2D5D99</t>
  </si>
  <si>
    <t>DSE-PH-MF-1A-6</t>
  </si>
  <si>
    <t>J3OH2N</t>
  </si>
  <si>
    <t>DSE-PH-MF-1A-7</t>
  </si>
  <si>
    <t>5A3359</t>
  </si>
  <si>
    <t>DSE-PH-MF-1A-8</t>
  </si>
  <si>
    <t>BBA8D3</t>
  </si>
  <si>
    <t>DSE-PH-MF-1A-10</t>
  </si>
  <si>
    <t>9X4DPW</t>
  </si>
  <si>
    <t>FM-RH-TET-1A</t>
  </si>
  <si>
    <t>Rhaphidophora Tetrasperma</t>
  </si>
  <si>
    <t>ISF430</t>
  </si>
  <si>
    <t>TGG-HO-GF-1A</t>
  </si>
  <si>
    <t>Hoya Golden Flame</t>
  </si>
  <si>
    <t>9UU2X9</t>
  </si>
  <si>
    <t>TGG-HO-PU-1A</t>
  </si>
  <si>
    <t>UXK7FF</t>
  </si>
  <si>
    <t>FMY-PH-PL-1A</t>
  </si>
  <si>
    <t>GVQJUX</t>
  </si>
  <si>
    <t>TGE-PH-BI-1A</t>
  </si>
  <si>
    <t>4Y9X16</t>
  </si>
  <si>
    <t>DSE-AL-PO-1A</t>
  </si>
  <si>
    <t>A5D053</t>
  </si>
  <si>
    <t>AGP-PH-TS-1A</t>
  </si>
  <si>
    <t>Philodendron Thai Sunrise</t>
  </si>
  <si>
    <t>W8ULQK</t>
  </si>
  <si>
    <t>AGP-MA-TCN-1A-3</t>
  </si>
  <si>
    <t>26H4QE</t>
  </si>
  <si>
    <t>TLC-PH-GCN-1A</t>
  </si>
  <si>
    <t>TVPJSH</t>
  </si>
  <si>
    <t>HD-AL-LO-1A-2B</t>
  </si>
  <si>
    <t>RT7H16</t>
  </si>
  <si>
    <t>BWH-PH-MO-1A</t>
  </si>
  <si>
    <t>EPD0CV</t>
  </si>
  <si>
    <t>BWH-PH-MO-1A-2</t>
  </si>
  <si>
    <t>TPZFPH</t>
  </si>
  <si>
    <t>BWH-PH-MO-1A-3</t>
  </si>
  <si>
    <t>6RAD6V</t>
  </si>
  <si>
    <t>BWH-HO-KQ-1A-2</t>
  </si>
  <si>
    <t>L63SD6</t>
  </si>
  <si>
    <t>BWH-PH-FBS-1A-2</t>
  </si>
  <si>
    <t>M2LRHK</t>
  </si>
  <si>
    <t>BWH-PH-VGC-1A-5</t>
  </si>
  <si>
    <t>5WADRO</t>
  </si>
  <si>
    <t>IST-PH-GCN-1A</t>
  </si>
  <si>
    <t>059AB3</t>
  </si>
  <si>
    <t>TGE-PH-RS-1A</t>
  </si>
  <si>
    <t>Philodendron Red Sun</t>
  </si>
  <si>
    <t>R2ODHH</t>
  </si>
  <si>
    <t>TG-MAR-LL-1A</t>
  </si>
  <si>
    <t>Maranta Leuconeura Lemon</t>
  </si>
  <si>
    <t>CKA5PX</t>
  </si>
  <si>
    <t>TLC-PH-BXP-1A</t>
  </si>
  <si>
    <t>Philodendron Billie x Pasta</t>
  </si>
  <si>
    <t>4A2727</t>
  </si>
  <si>
    <t>AGP-PH-SD-1A</t>
  </si>
  <si>
    <t>MXXAAN</t>
  </si>
  <si>
    <t>AGP-SYN-EC-1A</t>
  </si>
  <si>
    <t>1RB0BU</t>
  </si>
  <si>
    <t>IST-AN-CRY-1A</t>
  </si>
  <si>
    <t>Anthurium Crystallinum</t>
  </si>
  <si>
    <t>LEE78P</t>
  </si>
  <si>
    <t>DSE-PH-RC-1A</t>
  </si>
  <si>
    <t>Philodendron Rojo Congo</t>
  </si>
  <si>
    <t>A12E3C</t>
  </si>
  <si>
    <t>DSE-PH-RC-1A-3</t>
  </si>
  <si>
    <t>OVQZ3C</t>
  </si>
  <si>
    <t>DSE-AL-VE-1A-2</t>
  </si>
  <si>
    <t>ORVNOE</t>
  </si>
  <si>
    <t>DSE-AL-VE-1A-3</t>
  </si>
  <si>
    <t>F127E5</t>
  </si>
  <si>
    <t>DSE-PH-BIL-1A-2</t>
  </si>
  <si>
    <t>DIJG11</t>
  </si>
  <si>
    <t>DSE-PH-BIL-1A-3</t>
  </si>
  <si>
    <t>EC0ULW</t>
  </si>
  <si>
    <t>TLC-AL-TD-1A</t>
  </si>
  <si>
    <t>Alocasia Tiny Dancer</t>
  </si>
  <si>
    <t>4752BC</t>
  </si>
  <si>
    <t>TG-SC-SAT-1A</t>
  </si>
  <si>
    <t>J2ZST6</t>
  </si>
  <si>
    <t>MPL-SC-SAT-1A</t>
  </si>
  <si>
    <t>5VC7ZL</t>
  </si>
  <si>
    <t>MPL-SC-DF-1A</t>
  </si>
  <si>
    <t>SXK55M</t>
  </si>
  <si>
    <t>MPL-SYN-VA-1A-3</t>
  </si>
  <si>
    <t>WPFWBW</t>
  </si>
  <si>
    <t>Transplant Log_Images/f1e7be9f.Photo.041224.jpg</t>
  </si>
  <si>
    <t>HS-PH-UN-1A</t>
  </si>
  <si>
    <t>Philodendron Unknown</t>
  </si>
  <si>
    <t>4O1P44</t>
  </si>
  <si>
    <t>HS-PH-ROF-1A</t>
  </si>
  <si>
    <t>08I5ZM</t>
  </si>
  <si>
    <t>HS-PH-HL-1C</t>
  </si>
  <si>
    <t>1DB7F2</t>
  </si>
  <si>
    <t>HS-SPA-PLD-1F</t>
  </si>
  <si>
    <t>UGSCOA</t>
  </si>
  <si>
    <t>FMY-MA-DE-1A-5B</t>
  </si>
  <si>
    <t>Q617TK</t>
  </si>
  <si>
    <t>BWH-PH-VRCRH-1B</t>
  </si>
  <si>
    <t>84JAZW</t>
  </si>
  <si>
    <t>BWH-PH-VRCRH-1E</t>
  </si>
  <si>
    <t>3DXCQ9</t>
  </si>
  <si>
    <t>Transplant Log_Images/b830150d.Photo.003429.jpg</t>
  </si>
  <si>
    <t>BWH-AL-CU-1A</t>
  </si>
  <si>
    <t>DC0QGY</t>
  </si>
  <si>
    <t>BWH-AL-CU-1A-4</t>
  </si>
  <si>
    <t>3HHJGA</t>
  </si>
  <si>
    <t>BWH-AL-CU-1A-5</t>
  </si>
  <si>
    <t>WD0Q66</t>
  </si>
  <si>
    <t>BWH-SYN-WE-2A</t>
  </si>
  <si>
    <t>C1AU8Y</t>
  </si>
  <si>
    <t>BWH-PH-VGC-1A-3</t>
  </si>
  <si>
    <t>9IAXNL</t>
  </si>
  <si>
    <t>BWH-PH-BMV-1A-3</t>
  </si>
  <si>
    <t>1GOWHB</t>
  </si>
  <si>
    <t>Transplant Log_Images/16f9cabc.Photo.023232.jpg</t>
  </si>
  <si>
    <t>SS-PH-MI-1A-2</t>
  </si>
  <si>
    <t>6W1KVE</t>
  </si>
  <si>
    <t>Transplant Log_Images/f21627bb.Photo.025743.jpg</t>
  </si>
  <si>
    <t>FMY-AL-GVF-1A</t>
  </si>
  <si>
    <t>KWJARB</t>
  </si>
  <si>
    <t>Transplant Log_Images/5147e42c.Photo.020905.jpg</t>
  </si>
  <si>
    <t>TLC-BE-SLC-1A</t>
  </si>
  <si>
    <t>Begonia Silver Cane</t>
  </si>
  <si>
    <t>637UX9</t>
  </si>
  <si>
    <t>Transplant Log_Images/154eed69.Photo.211212.jpg</t>
  </si>
  <si>
    <t>AGP-PH-BC-1A-4B</t>
  </si>
  <si>
    <t>EF0045</t>
  </si>
  <si>
    <t>BPF-PO-NE-1A-2A</t>
  </si>
  <si>
    <t>RC6UKQ</t>
  </si>
  <si>
    <t>TLC-PH-BXP-1B</t>
  </si>
  <si>
    <t>5UGA85</t>
  </si>
  <si>
    <t>AGP-PH-ROF-1C</t>
  </si>
  <si>
    <t>1C9C4R</t>
  </si>
  <si>
    <t>TLC-BE-SLC-1C</t>
  </si>
  <si>
    <t>T9WV9Q</t>
  </si>
  <si>
    <t>Transplant Log_Images/2b098d92.Photo.210746.jpg</t>
  </si>
  <si>
    <t>BWH-PO-PAJ-2A-2</t>
  </si>
  <si>
    <t>N2Q0EL</t>
  </si>
  <si>
    <t>BWH-PO-PAJ-2A-3</t>
  </si>
  <si>
    <t>2OIFKQ</t>
  </si>
  <si>
    <t>BWH-AL-CU-1A-3</t>
  </si>
  <si>
    <t>MJ7W8K</t>
  </si>
  <si>
    <t>Transplant Log_Images/8104a74c.Photo.020726.jpg</t>
  </si>
  <si>
    <t>FM-PH-WK-1A</t>
  </si>
  <si>
    <t>VNGKBL</t>
  </si>
  <si>
    <t>HS-DR-SP-1B</t>
  </si>
  <si>
    <t>PL4BXR</t>
  </si>
  <si>
    <t>SS-HO-PU-1A-2</t>
  </si>
  <si>
    <t>2RK7UP</t>
  </si>
  <si>
    <t>BWH-PH-RAPK-2A</t>
  </si>
  <si>
    <t>N0OUZT</t>
  </si>
  <si>
    <t>BWH-PH-VGC-1A-4</t>
  </si>
  <si>
    <t>Philodendron Variegated Green Congo Copper Flame</t>
  </si>
  <si>
    <t>MGYRZK</t>
  </si>
  <si>
    <t>JJP-PH-PP-1A</t>
  </si>
  <si>
    <t>HOQVTI</t>
  </si>
  <si>
    <t>HS-SPA-PLD-1C</t>
  </si>
  <si>
    <t>QXC9W3</t>
  </si>
  <si>
    <t>TLC-AL-VF-1A</t>
  </si>
  <si>
    <t>Alocasia Variegated Frydek</t>
  </si>
  <si>
    <t>YP41C9</t>
  </si>
  <si>
    <t>Transplant Log_Images/048dfe66.Photo.001724.jpg</t>
  </si>
  <si>
    <t>MPL-PH-CS-1A-2</t>
  </si>
  <si>
    <t>UPIGW7</t>
  </si>
  <si>
    <t>Transplant Log_Images/253f537b.Photo.172625.jpg</t>
  </si>
  <si>
    <t>BWH-AL-QD-1A-4E</t>
  </si>
  <si>
    <t>T6HLME</t>
  </si>
  <si>
    <t>Transplant Log_Images/4f7844ae.Photo.002011.jpg</t>
  </si>
  <si>
    <t>BWH-AL-QD-1A-4</t>
  </si>
  <si>
    <t>DWJN4H</t>
  </si>
  <si>
    <t>Transplant Log_Images/6b8a14b5.Photo.001845.jpg</t>
  </si>
  <si>
    <t>DSE-AL-PO-1A-3</t>
  </si>
  <si>
    <t>S6QTYA</t>
  </si>
  <si>
    <t>Transplant Log_Images/10a0a045.Photo.011726.jpg</t>
  </si>
  <si>
    <t>FMY-CA-MA-1E</t>
  </si>
  <si>
    <t>QUJI7K</t>
  </si>
  <si>
    <t>Transplant Log_Images/d08f5418.Photo.003305.jpg</t>
  </si>
  <si>
    <t>FMY-CA-MA-1F</t>
  </si>
  <si>
    <t>7DA5D5</t>
  </si>
  <si>
    <t>Transplant Log_Images/7a09a559.Photo.005919.jpg</t>
  </si>
  <si>
    <t>BWH-PH-WA-1A-2</t>
  </si>
  <si>
    <t>7CJDYR</t>
  </si>
  <si>
    <t>Transplant Log_Images/13f010c4.Photo.011916.jpg</t>
  </si>
  <si>
    <t>BPF-CE-VSH-1A-2</t>
  </si>
  <si>
    <t>CWSP6T</t>
  </si>
  <si>
    <t>Transplant Log_Images/9547d172.Photo.234447.jpg</t>
  </si>
  <si>
    <t>DSE-PH-PL-1A-2</t>
  </si>
  <si>
    <t>WQSX73</t>
  </si>
  <si>
    <t>Transplant Log_Images/abb13771.Photo.211017.jpg</t>
  </si>
  <si>
    <t>TG-CA-MA-2A</t>
  </si>
  <si>
    <t>51KX1R</t>
  </si>
  <si>
    <t>Transplant Log_Images/a6794ad3.Photo.182529.jpg</t>
  </si>
  <si>
    <t>TA-OC-HB-1A</t>
  </si>
  <si>
    <t>Ocimum Holy Basil</t>
  </si>
  <si>
    <t>WXU4J4</t>
  </si>
  <si>
    <t>FMY-MA-PE-1D</t>
  </si>
  <si>
    <t>UHJORW</t>
  </si>
  <si>
    <t>Transplant Log_Images/a4b0c272.Photo.173037.jpg</t>
  </si>
  <si>
    <t>TA-OC-HB-1B</t>
  </si>
  <si>
    <t>GA6VIX</t>
  </si>
  <si>
    <t>TA-OC-HB-1C</t>
  </si>
  <si>
    <t>6GUOON</t>
  </si>
  <si>
    <t>TA-OC-HB-1D</t>
  </si>
  <si>
    <t>QSXQDH</t>
  </si>
  <si>
    <t>TA-OC-HB-1E</t>
  </si>
  <si>
    <t>FRVTTC</t>
  </si>
  <si>
    <t>TA-OC-HB-1F</t>
  </si>
  <si>
    <t>VVCHIO</t>
  </si>
  <si>
    <t>TA-OC-HB-1G</t>
  </si>
  <si>
    <t>1M78KN</t>
  </si>
  <si>
    <t>TA-OC-HB-1H</t>
  </si>
  <si>
    <t>18MG4K</t>
  </si>
  <si>
    <t>TA-OC-HB-1I</t>
  </si>
  <si>
    <t>I5FZXC</t>
  </si>
  <si>
    <t>TA-OC-HB-1J</t>
  </si>
  <si>
    <t>15C3DH</t>
  </si>
  <si>
    <t>TA-OC-HB-1K</t>
  </si>
  <si>
    <t>CGIXCG</t>
  </si>
  <si>
    <t>TA-OC-HB-1L</t>
  </si>
  <si>
    <t>RE6HZH</t>
  </si>
  <si>
    <t>TA-OC-HB-1M</t>
  </si>
  <si>
    <t>NJAVBJ</t>
  </si>
  <si>
    <t>BWH-AL-QD-1B</t>
  </si>
  <si>
    <t>TE2ZF4</t>
  </si>
  <si>
    <t>Transplant Log_Images/93827819.Photo.230129.jpg</t>
  </si>
  <si>
    <t>BWH-AL-QD-1C</t>
  </si>
  <si>
    <t>W1C5QV</t>
  </si>
  <si>
    <t>Transplant Log_Images/2230b7da.Photo.230252.jpg</t>
  </si>
  <si>
    <t>BWH-AL-QD-1D</t>
  </si>
  <si>
    <t>MTHCY9</t>
  </si>
  <si>
    <t>Transplant Log_Images/569501d1.Photo.230344.jpg</t>
  </si>
  <si>
    <t>BWH-AL-QD-1A-5B</t>
  </si>
  <si>
    <t>44356C</t>
  </si>
  <si>
    <t>Transplant Log_Images/6bfbacbf.Photo.225957.jpg</t>
  </si>
  <si>
    <t>BWH-AL-QD-1E</t>
  </si>
  <si>
    <t>98C83B</t>
  </si>
  <si>
    <t>Transplant Log_Images/01b2028b.Photo.230443.jpg</t>
  </si>
  <si>
    <t>EH-TO-CP-1A</t>
  </si>
  <si>
    <t>Tomato Cherokee Purple</t>
  </si>
  <si>
    <t>R93XSH</t>
  </si>
  <si>
    <t>EH-TO-ERC-1A</t>
  </si>
  <si>
    <t>Tomato Early Red Chief</t>
  </si>
  <si>
    <t>99BQFO</t>
  </si>
  <si>
    <t>EH-TO-CP-1A-2</t>
  </si>
  <si>
    <t>C9BF09</t>
  </si>
  <si>
    <t>EH-TO-CP-1A-3</t>
  </si>
  <si>
    <t>AA8178</t>
  </si>
  <si>
    <t>EH-TO-CP-1A-4</t>
  </si>
  <si>
    <t>J8AHG5</t>
  </si>
  <si>
    <t>EH-TO-CP-1A-5</t>
  </si>
  <si>
    <t>6B2A11</t>
  </si>
  <si>
    <t>EH-TO-CP-1A-6</t>
  </si>
  <si>
    <t>895C76</t>
  </si>
  <si>
    <t>EH-TO-CP-1A-7</t>
  </si>
  <si>
    <t>9Z5RKD</t>
  </si>
  <si>
    <t>EH-TO-CP-1A-8</t>
  </si>
  <si>
    <t>UTJ9IE</t>
  </si>
  <si>
    <t>EH-TO-ERC-1A-2</t>
  </si>
  <si>
    <t>KL5A7X</t>
  </si>
  <si>
    <t>EH-TO-ERC-1A-3</t>
  </si>
  <si>
    <t>VKYHEC</t>
  </si>
  <si>
    <t>EH-TO-ERC-1A-4</t>
  </si>
  <si>
    <t>N4349V</t>
  </si>
  <si>
    <t>EH-TO-ERC-1A-5</t>
  </si>
  <si>
    <t>7075WM</t>
  </si>
  <si>
    <t>EH-TO-ERC-1A-6</t>
  </si>
  <si>
    <t>DE0965</t>
  </si>
  <si>
    <t>EH-TO-ERC-1A-7</t>
  </si>
  <si>
    <t>15W3ZU</t>
  </si>
  <si>
    <t>EH-TO-ERC-1A-8</t>
  </si>
  <si>
    <t>8D8J5G</t>
  </si>
  <si>
    <t>EH-TO-ERC-1A-9</t>
  </si>
  <si>
    <t>2WXQRE</t>
  </si>
  <si>
    <t>EH-TO-ERC-1A-10</t>
  </si>
  <si>
    <t>5R1BAJ</t>
  </si>
  <si>
    <t>FMY-MA-DE-1A</t>
  </si>
  <si>
    <t>A4F218</t>
  </si>
  <si>
    <t>TG-NE-BP-2A-5</t>
  </si>
  <si>
    <t>KFKRBG</t>
  </si>
  <si>
    <t>FMY-AG-SPA-1D</t>
  </si>
  <si>
    <t>ZRWEL1</t>
  </si>
  <si>
    <t>HS-SP-PLD-1C</t>
  </si>
  <si>
    <t>EUS00X</t>
  </si>
  <si>
    <t>BWH-MA-AD-1A-2</t>
  </si>
  <si>
    <t>POLRFB</t>
  </si>
  <si>
    <t>IST-PO-MQ-1A</t>
  </si>
  <si>
    <t>AB26UU</t>
  </si>
  <si>
    <t>Transplant Log_Images/acefd32f.Photo.155916.jpg</t>
  </si>
  <si>
    <t>BTPG-HO-KP-1C</t>
  </si>
  <si>
    <t>BFC19C</t>
  </si>
  <si>
    <t>Transplant Log_Images/f350b46d.Photo.160140.jpg</t>
  </si>
  <si>
    <t>HS-DR-SP-1A</t>
  </si>
  <si>
    <t>861NZO</t>
  </si>
  <si>
    <t>Transplant Log_Images/a4a55654.Photo.030212.jpg</t>
  </si>
  <si>
    <t>RSV-PH-RS-1A</t>
  </si>
  <si>
    <t>C2C729</t>
  </si>
  <si>
    <t>Transplant Log_Images/37cb44a0.Photo.030538.jpg</t>
  </si>
  <si>
    <t>HS-DR-SP-1D</t>
  </si>
  <si>
    <t>6YYXOJ</t>
  </si>
  <si>
    <t>Transplant Log_Images/a0da105b.Photo.030319.jpg</t>
  </si>
  <si>
    <t>TG-BL-BMF-1A</t>
  </si>
  <si>
    <t>Blechnum Braziliense Mahogany Fern</t>
  </si>
  <si>
    <t>1ISB2Z</t>
  </si>
  <si>
    <t>Transplant Log_Images/29d0b0c8.Photo.212751.jpg</t>
  </si>
  <si>
    <t>TG-CT-BM-1A</t>
  </si>
  <si>
    <t>LH7FZA</t>
  </si>
  <si>
    <t>Transplant Log_Images/d5a8b674.Photo.220016.jpg</t>
  </si>
  <si>
    <t>TG-ASP-VI-1A</t>
  </si>
  <si>
    <t>Asplenium Victoria</t>
  </si>
  <si>
    <t>46YX7G</t>
  </si>
  <si>
    <t>Transplant Log_Images/5db9a390.Photo.214622.jpg</t>
  </si>
  <si>
    <t>FMY-AG-SPA-1B</t>
  </si>
  <si>
    <t>MMQ1NZ</t>
  </si>
  <si>
    <t>Transplant Log_Images/4d201698.Photo.212734.jpg</t>
  </si>
  <si>
    <t>BTPG-HO-KP-1F</t>
  </si>
  <si>
    <t>DD3338</t>
  </si>
  <si>
    <t>Transplant Log_Images/177a79ad.Photo.211031.jpg</t>
  </si>
  <si>
    <t>FMY-CA-MA-1A</t>
  </si>
  <si>
    <t>E20D1F</t>
  </si>
  <si>
    <t>Transplant Log_Images/aeff729e.Photo.220451.jpg</t>
  </si>
  <si>
    <t>FMY-MA-DE-1A-4B</t>
  </si>
  <si>
    <t>QJ9B8Q</t>
  </si>
  <si>
    <t>Transplant Log_Images/75b00b6a.Photo.214925.jpg</t>
  </si>
  <si>
    <t>FMY-MA-DE-1A-5C</t>
  </si>
  <si>
    <t>O4LNQR</t>
  </si>
  <si>
    <t>Transplant Log_Images/e4afb342.Photo.212539.jpg</t>
  </si>
  <si>
    <t>HS-PH-BRL-1C</t>
  </si>
  <si>
    <t>YXDRM0</t>
  </si>
  <si>
    <t>Transplant Log_Images/4eb9e924.Photo.211054.jpg</t>
  </si>
  <si>
    <t>BWH-AL-QD-1A-3B</t>
  </si>
  <si>
    <t>D4CIK8</t>
  </si>
  <si>
    <t>Transplant Log_Images/934c959a.Photo.204203.jpg</t>
  </si>
  <si>
    <t>BWH-PH-RAPK-2A-3</t>
  </si>
  <si>
    <t>057JMP</t>
  </si>
  <si>
    <t>Transplant Log_Images/48044a99.Photo.202607.jpg</t>
  </si>
  <si>
    <t>TGOPS-PH-WW-1A</t>
  </si>
  <si>
    <t>135FFE</t>
  </si>
  <si>
    <t>Transplant Log_Images/2d0c00ab.Photo.160107.jpg</t>
  </si>
  <si>
    <t>BPF-SE-SOP-2A-7</t>
  </si>
  <si>
    <t>K89BP7</t>
  </si>
  <si>
    <t>Transplant Log_Images/0dab4300.Photo.155033.jpg</t>
  </si>
  <si>
    <t>DSE-PH-RC-1A-2</t>
  </si>
  <si>
    <t>0502FZ</t>
  </si>
  <si>
    <t>Transplant Log_Images/29abcbc0.Photo.024100.jpg</t>
  </si>
  <si>
    <t>DSE-PH-PL-1A-3</t>
  </si>
  <si>
    <t>AJDPNL</t>
  </si>
  <si>
    <t>Transplant Log_Images/49c68de3.Photo.024221.jpg</t>
  </si>
  <si>
    <t>TLC-BE-BLM-1A-2</t>
  </si>
  <si>
    <t>Begonia Black Magic</t>
  </si>
  <si>
    <t>TRC52A</t>
  </si>
  <si>
    <t>Transplant Log_Images/355d1f11.Photo.160409.jpg</t>
  </si>
  <si>
    <t>TA-TH-TH-1A</t>
  </si>
  <si>
    <t>Thymus Thyme</t>
  </si>
  <si>
    <t>8B87E7</t>
  </si>
  <si>
    <t>TA-TH-TH-1A-2</t>
  </si>
  <si>
    <t>1JTID6</t>
  </si>
  <si>
    <t>FMY-MA-DE-1C</t>
  </si>
  <si>
    <t>3HARY0</t>
  </si>
  <si>
    <t>Transplant Log_Images/9d3638f8.Photo.184031.jpg</t>
  </si>
  <si>
    <t>BWH-PH-RAPK-1A-5B</t>
  </si>
  <si>
    <t>V98LWH</t>
  </si>
  <si>
    <t>Transplant Log_Images/586723c3.Photo.181842.jpg</t>
  </si>
  <si>
    <t>BWH-PH-RAPK-1A-5C</t>
  </si>
  <si>
    <t>8289BH</t>
  </si>
  <si>
    <t>Transplant Log_Images/7645ba37.Photo.182210.jpg</t>
  </si>
  <si>
    <t>TA-TH-TH-1B</t>
  </si>
  <si>
    <t>J8NSK7</t>
  </si>
  <si>
    <t>Transplant Log_Images/8d22018e.Photo.022833.jpg</t>
  </si>
  <si>
    <t>TA-TH-TH-1C</t>
  </si>
  <si>
    <t>MVLDZ0</t>
  </si>
  <si>
    <t>TA-TH-TH-1A-2B</t>
  </si>
  <si>
    <t>CKNH6F</t>
  </si>
  <si>
    <t>BWH-PH-RAPK-1A-5</t>
  </si>
  <si>
    <t>3DTGV3</t>
  </si>
  <si>
    <t>Transplant Log_Images/45b52796.Photo.181655.jpg</t>
  </si>
  <si>
    <t>BWH-HO-KQ-1A</t>
  </si>
  <si>
    <t>P5IDMF</t>
  </si>
  <si>
    <t>Transplant Log_Images/12deed82.Photo.170420.jpg</t>
  </si>
  <si>
    <t>BWH-PH-WA-1A-4</t>
  </si>
  <si>
    <t>Q1T1DB</t>
  </si>
  <si>
    <t>Transplant Log_Images/7be24b25.Photo.024408.jpg</t>
  </si>
  <si>
    <t>FMY-MA-DE-1A-2</t>
  </si>
  <si>
    <t>ADAFEF</t>
  </si>
  <si>
    <t>Transplant Log_Images/cad38522.Photo.161040.jpg</t>
  </si>
  <si>
    <t>TGOPS-PH-POO-1A-3</t>
  </si>
  <si>
    <t>03258F</t>
  </si>
  <si>
    <t>Transplant Log_Images/e40c3a05.Photo.212036.jpg</t>
  </si>
  <si>
    <t>AGP-AL-NI-1A-3</t>
  </si>
  <si>
    <t>I4R774</t>
  </si>
  <si>
    <t>Transplant Log_Images/01a74ba1.Photo.160344.jpg</t>
  </si>
  <si>
    <t>TG-BE-REX-1A</t>
  </si>
  <si>
    <t>PWKDK4</t>
  </si>
  <si>
    <t>Transplant Log_Images/97ae7169.Photo.164003.jpg</t>
  </si>
  <si>
    <t>TG-BE-MAC-2A</t>
  </si>
  <si>
    <t>01CDDD</t>
  </si>
  <si>
    <t>Transplant Log_Images/5a8278ba.Photo.164501.jpg</t>
  </si>
  <si>
    <t>TG-BE-MAC-2A-2</t>
  </si>
  <si>
    <t>DBE25E</t>
  </si>
  <si>
    <t>Transplant Log_Images/c253fdc4.Photo.164644.jpg</t>
  </si>
  <si>
    <t>TA-SAL-RO-1A</t>
  </si>
  <si>
    <t>9XXX3Y</t>
  </si>
  <si>
    <t>Transplant Log_Images/687179ed.Photo.165151.jpg</t>
  </si>
  <si>
    <t>TA-SAL-RO-1A-2</t>
  </si>
  <si>
    <t>QH8I9N</t>
  </si>
  <si>
    <t>FMY-MA-DE-1A-5D</t>
  </si>
  <si>
    <t>CAEFP6</t>
  </si>
  <si>
    <t>Transplant Log_Images/20226889.Photo.164204.jpg</t>
  </si>
  <si>
    <t>AM-PH-BI-1B</t>
  </si>
  <si>
    <t>5E0N7G</t>
  </si>
  <si>
    <t>Transplant Log_Images/bbd923e0.Photo.163658.jpg</t>
  </si>
  <si>
    <t>JJP-PH-PP-1B</t>
  </si>
  <si>
    <t>51IW7N</t>
  </si>
  <si>
    <t>BWH-SYN-WE-1A-4B</t>
  </si>
  <si>
    <t>7TMBSO</t>
  </si>
  <si>
    <t>Transplant Log_Images/3ea17ed8.Photo.205942.jpg</t>
  </si>
  <si>
    <t>AGP-AL-NI-1A-3D</t>
  </si>
  <si>
    <t>3D1ETS</t>
  </si>
  <si>
    <t>Transplant Log_Images/869d4303.Photo.161021.jpg</t>
  </si>
  <si>
    <t>AGP-AL-NI-1A-3E</t>
  </si>
  <si>
    <t>MH9UYY</t>
  </si>
  <si>
    <t>AGP-AL-NI-1A-3F</t>
  </si>
  <si>
    <t>VGY5LN</t>
  </si>
  <si>
    <t>AGP-AL-NI-1A-3G</t>
  </si>
  <si>
    <t>7PAISL</t>
  </si>
  <si>
    <t>AGP-AL-NI-1A-3H</t>
  </si>
  <si>
    <t>M3NOOC</t>
  </si>
  <si>
    <t>AGP-AL-NI-1A-3I</t>
  </si>
  <si>
    <t>YN4IQG</t>
  </si>
  <si>
    <t>AGP-AL-NI-1A-3J</t>
  </si>
  <si>
    <t>US1PNI</t>
  </si>
  <si>
    <t>BWH-SYN-WE-1B</t>
  </si>
  <si>
    <t>TYJRAU</t>
  </si>
  <si>
    <t>Transplant Log_Images/6c72a155.Photo.204501.jpg</t>
  </si>
  <si>
    <t>FMY-MA-DE-1A-2B</t>
  </si>
  <si>
    <t>J1DEZU</t>
  </si>
  <si>
    <t>Transplant Log_Images/c6a3b1dd.Photo.161444.jpg</t>
  </si>
  <si>
    <t>SS-PH-MI-1A-5</t>
  </si>
  <si>
    <t>7XQBFW</t>
  </si>
  <si>
    <t>Transplant Log_Images/5ccf2d0f.Photo.204804.jpg</t>
  </si>
  <si>
    <t>BWH-SYN-PS-1A-5</t>
  </si>
  <si>
    <t>1MNBR4</t>
  </si>
  <si>
    <t>Transplant Log_Images/1e73841f.Photo.205157.jpg</t>
  </si>
  <si>
    <t>BWH-SYN-WE-1A</t>
  </si>
  <si>
    <t>9BR9QU</t>
  </si>
  <si>
    <t>Transplant Log_Images/8693f735.Photo.204323.jpg</t>
  </si>
  <si>
    <t>BWH-PH-VGC-1A</t>
  </si>
  <si>
    <t>AUA0C2</t>
  </si>
  <si>
    <t>Transplant Log_Images/8107b17a.Photo.163503.jpg</t>
  </si>
  <si>
    <t>TAG-AO-DR-1A</t>
  </si>
  <si>
    <t>Adenium Obesum Desert Rose</t>
  </si>
  <si>
    <t>993E94</t>
  </si>
  <si>
    <t>DSE-SYN-GLO-1A-4</t>
  </si>
  <si>
    <t>Syngonium Glo Go</t>
  </si>
  <si>
    <t>PMA9AB</t>
  </si>
  <si>
    <t>DSE-SYN-NR-1A-6</t>
  </si>
  <si>
    <t>Syngonium Neon Robusta</t>
  </si>
  <si>
    <t>1BCQQW</t>
  </si>
  <si>
    <t>Transplant Log_Images/838d41e5.Photo.204949.jpg</t>
  </si>
  <si>
    <t>DSE-SYN-NR-1A-5</t>
  </si>
  <si>
    <t>OP7GO2</t>
  </si>
  <si>
    <t>Transplant Log_Images/8f6b37e9.Photo.204832.jpg</t>
  </si>
  <si>
    <t>DSE-SYN-NR-1A-4</t>
  </si>
  <si>
    <t>OPJDAW</t>
  </si>
  <si>
    <t>Transplant Log_Images/3a71b3f7.Photo.204637.jpg</t>
  </si>
  <si>
    <t>DSE-SYN-NR-1A-3</t>
  </si>
  <si>
    <t>KO9SB6</t>
  </si>
  <si>
    <t>Transplant Log_Images/e424b596.Photo.204453.jpg</t>
  </si>
  <si>
    <t>DSE-SYN-NR-1A-2</t>
  </si>
  <si>
    <t>XBJ5GI</t>
  </si>
  <si>
    <t>Transplant Log_Images/49d3f866.Photo.204321.jpg</t>
  </si>
  <si>
    <t>DSE-SYN-NR-1A</t>
  </si>
  <si>
    <t>94B867</t>
  </si>
  <si>
    <t>Transplant Log_Images/34327e3e.Photo.204210.jpg</t>
  </si>
  <si>
    <t>DSE-SYN-GLO-1A-6</t>
  </si>
  <si>
    <t>ABFLDG</t>
  </si>
  <si>
    <t>Transplant Log_Images/87bb3117.Photo.202340.jpg</t>
  </si>
  <si>
    <t>DSE-SYN-GLO-1A-5</t>
  </si>
  <si>
    <t>F06CLD</t>
  </si>
  <si>
    <t>Transplant Log_Images/c44efaa7.Photo.202052.jpg</t>
  </si>
  <si>
    <t>DSE-SYN-GLO-1A</t>
  </si>
  <si>
    <t>UY5ODS</t>
  </si>
  <si>
    <t>Transplant Log_Images/921a78f7.Photo.201427.jpg</t>
  </si>
  <si>
    <t>DSE-SYN-GLO-1A-2</t>
  </si>
  <si>
    <t>HRZM0R</t>
  </si>
  <si>
    <t>Transplant Log_Images/d37fd325.Photo.201527.jpg</t>
  </si>
  <si>
    <t>DSE-SYN-MC-1A-6</t>
  </si>
  <si>
    <t>Syngonium Milk Confetti</t>
  </si>
  <si>
    <t>FAWW0P</t>
  </si>
  <si>
    <t>Transplant Log_Images/fc481b1e.Photo.193135.jpg</t>
  </si>
  <si>
    <t>DSE-SYN-MC-1A-2</t>
  </si>
  <si>
    <t>K0YD0J</t>
  </si>
  <si>
    <t>Transplant Log_Images/e7392706.Photo.192010.jpg</t>
  </si>
  <si>
    <t>DSE-SYN-MC-1A-9</t>
  </si>
  <si>
    <t>114EFE</t>
  </si>
  <si>
    <t>Transplant Log_Images/aaaa10b3.Photo.191222.jpg</t>
  </si>
  <si>
    <t>DSE-SYN-MC-1A-10</t>
  </si>
  <si>
    <t>JO0EE5</t>
  </si>
  <si>
    <t>Transplant Log_Images/ef2cfeba.Photo.191058.jpg</t>
  </si>
  <si>
    <t>DSE-SYN-MC-1A-7</t>
  </si>
  <si>
    <t>89I4MV</t>
  </si>
  <si>
    <t>Transplant Log_Images/4d6a6798.Photo.190617.jpg</t>
  </si>
  <si>
    <t>DSE-SYN-MC-1A-3</t>
  </si>
  <si>
    <t>J07GXB</t>
  </si>
  <si>
    <t>DSE-SYN-MC-1A-5</t>
  </si>
  <si>
    <t>VP9NBP</t>
  </si>
  <si>
    <t>Transplant Log_Images/8ded7844.Photo.190347.jpg</t>
  </si>
  <si>
    <t>DSE-SYN-MC-1A</t>
  </si>
  <si>
    <t>74YTFF</t>
  </si>
  <si>
    <t>Transplant Log_Images/95bbef76.Photo.185932.jpg</t>
  </si>
  <si>
    <t>DSE-SYN-STC-1A-9</t>
  </si>
  <si>
    <t>Syngonium Strawberry Cream</t>
  </si>
  <si>
    <t>RQQGKL</t>
  </si>
  <si>
    <t>DSE-SYN-STC-1A-10</t>
  </si>
  <si>
    <t>9A32T4</t>
  </si>
  <si>
    <t>DSE-SYN-STC-1A-8</t>
  </si>
  <si>
    <t>9F59AB</t>
  </si>
  <si>
    <t>DSE-SYN-STC-1A-7</t>
  </si>
  <si>
    <t>6EXSCX</t>
  </si>
  <si>
    <t>DSE-SYN-STC-1A-6</t>
  </si>
  <si>
    <t>TJBS7R</t>
  </si>
  <si>
    <t>DSE-SYN-STC-1A-5</t>
  </si>
  <si>
    <t>7HHBIU</t>
  </si>
  <si>
    <t>DSE-SYN-STC-1A-4</t>
  </si>
  <si>
    <t>B5OXIM</t>
  </si>
  <si>
    <t>DSE-SYN-STC-1A-2</t>
  </si>
  <si>
    <t>RREU6U</t>
  </si>
  <si>
    <t>DSE-SYN-STC-1A</t>
  </si>
  <si>
    <t>VMVYES</t>
  </si>
  <si>
    <t>Transplant Log_Images/96f1869b.Photo.203819.jpg</t>
  </si>
  <si>
    <t>DSE-SYN-MM-1A-3</t>
  </si>
  <si>
    <t>Syngonium Merry Maria</t>
  </si>
  <si>
    <t>L8YD7H</t>
  </si>
  <si>
    <t>DSE-SYN-MM-1A-4</t>
  </si>
  <si>
    <t>5FF66K</t>
  </si>
  <si>
    <t>DSE-SYN-MM-1A-2</t>
  </si>
  <si>
    <t>T6LF02</t>
  </si>
  <si>
    <t>DSE-SYN-MM-1A</t>
  </si>
  <si>
    <t>E30F91</t>
  </si>
  <si>
    <t>DSE-SYN-MM-1A-6</t>
  </si>
  <si>
    <t>UAWZ0Y</t>
  </si>
  <si>
    <t>DSE-SYN-MM-1A-5</t>
  </si>
  <si>
    <t>6FGPE2</t>
  </si>
  <si>
    <t>Transplant Log_Images/4ebf005d.Photo.202437.jpg</t>
  </si>
  <si>
    <t>HD-AL-BDS-1A</t>
  </si>
  <si>
    <t>0ULAM1</t>
  </si>
  <si>
    <t>Transplant Log_Images/9e9d613f.Photo.204814.jpg</t>
  </si>
  <si>
    <t>TA-OR-OR-1A</t>
  </si>
  <si>
    <t>7A25C0</t>
  </si>
  <si>
    <t>Transplant Log_Images/5ec704e3.Photo.030204.jpg</t>
  </si>
  <si>
    <t>DSE-PH-GIG-1A</t>
  </si>
  <si>
    <t>Philodendron Giganteum</t>
  </si>
  <si>
    <t>URDKFJ</t>
  </si>
  <si>
    <t>Transplant Log_Images/a43c29e4.Photo.232623.jpg</t>
  </si>
  <si>
    <t>DSE-PH-GIG-1A-2</t>
  </si>
  <si>
    <t>5OBYJ0</t>
  </si>
  <si>
    <t>Transplant Log_Images/3f28f949.Photo.232935.jpg</t>
  </si>
  <si>
    <t>DSE-PH-GIG-1A-3</t>
  </si>
  <si>
    <t>EA7ORA</t>
  </si>
  <si>
    <t>Transplant Log_Images/d14aa020.Photo.233105.jpg</t>
  </si>
  <si>
    <t>DSE-AN-CLA-1A</t>
  </si>
  <si>
    <t>Anthurium Clarinervium</t>
  </si>
  <si>
    <t>Z1BA1D</t>
  </si>
  <si>
    <t>Transplant Log_Images/dee98c91.Photo.201420.jpg</t>
  </si>
  <si>
    <t>DSE-AN-CLA-1A-2</t>
  </si>
  <si>
    <t>W3WQJ8</t>
  </si>
  <si>
    <t>Transplant Log_Images/f8c932de.Photo.201711.jpg</t>
  </si>
  <si>
    <t>DSE-AN-CLA-1A-3</t>
  </si>
  <si>
    <t>ULAAEK</t>
  </si>
  <si>
    <t>Transplant Log_Images/616d9105.Photo.202004.jpg</t>
  </si>
  <si>
    <t>DSE-AN-RXL-1A</t>
  </si>
  <si>
    <t>Anthurium Radicans X Luxurians</t>
  </si>
  <si>
    <t>U3MQUZ</t>
  </si>
  <si>
    <t>Transplant Log_Images/da4884b5.Photo.163014.jpg</t>
  </si>
  <si>
    <t>DSE-AN-RXL-1A-2</t>
  </si>
  <si>
    <t>B4AA77</t>
  </si>
  <si>
    <t>Transplant Log_Images/657571d7.Photo.163116.jpg</t>
  </si>
  <si>
    <t>DSE-AN-RXL-1A-3</t>
  </si>
  <si>
    <t>ZSRS1B</t>
  </si>
  <si>
    <t>Transplant Log_Images/1f73a65d.Photo.163216.jpg</t>
  </si>
  <si>
    <t>DSE-AN-RXL-1A-4</t>
  </si>
  <si>
    <t>XJ78OL</t>
  </si>
  <si>
    <t>Transplant Log_Images/346da6c8.Photo.163330.jpg</t>
  </si>
  <si>
    <t>DSE-AN-RXL-1A-5</t>
  </si>
  <si>
    <t>J42NAO</t>
  </si>
  <si>
    <t>Transplant Log_Images/0b140fe1.Photo.163430.jpg</t>
  </si>
  <si>
    <t>DSE-PH-PV-1A</t>
  </si>
  <si>
    <t>62S7ED</t>
  </si>
  <si>
    <t>Transplant Log_Images/77deaddc.Photo.235152.jpg</t>
  </si>
  <si>
    <t>DSE-PH-PV-1A-2</t>
  </si>
  <si>
    <t>QH5AGC</t>
  </si>
  <si>
    <t>Transplant Log_Images/6a33e8ad.Photo.235418.jpg</t>
  </si>
  <si>
    <t>DSE-PH-PV-1A-3</t>
  </si>
  <si>
    <t>K25D5Y</t>
  </si>
  <si>
    <t>Transplant Log_Images/1f082c12.Photo.235644.jpg</t>
  </si>
  <si>
    <t>DSE-PH-PV-1A-4</t>
  </si>
  <si>
    <t>C8CA40</t>
  </si>
  <si>
    <t>Transplant Log_Images/97bb1632.Photo.235823.jpg</t>
  </si>
  <si>
    <t>DSE-PH-PV-1A-5</t>
  </si>
  <si>
    <t>31TVS7</t>
  </si>
  <si>
    <t>Transplant Log_Images/1548040b.Photo.024232.jpg</t>
  </si>
  <si>
    <t>TA-OR-OR-1A-2</t>
  </si>
  <si>
    <t>DK2N0H</t>
  </si>
  <si>
    <t>TA-OR-OR-1A-3</t>
  </si>
  <si>
    <t>F1DEAA</t>
  </si>
  <si>
    <t>TA-OR-OR-1A-4</t>
  </si>
  <si>
    <t>ITK2DE</t>
  </si>
  <si>
    <t>TA-OR-OR-1A-5</t>
  </si>
  <si>
    <t>JTJA24</t>
  </si>
  <si>
    <t>TA-OR-OR-1A-6</t>
  </si>
  <si>
    <t>D2B062</t>
  </si>
  <si>
    <t>TA-OR-OR-1A-7</t>
  </si>
  <si>
    <t>U1XITV</t>
  </si>
  <si>
    <t>TA-OR-OR-1A-8</t>
  </si>
  <si>
    <t>KMTSS4</t>
  </si>
  <si>
    <t>TA-OR-OR-1A-9</t>
  </si>
  <si>
    <t>ATDH0V</t>
  </si>
  <si>
    <t>TA-OR-OR-1A-10</t>
  </si>
  <si>
    <t>919A26</t>
  </si>
  <si>
    <t>DSE-SYN-MC-1A-4</t>
  </si>
  <si>
    <t>ZDOCHN</t>
  </si>
  <si>
    <t>TLC-BE-BLM-1A</t>
  </si>
  <si>
    <t>OB6OXI</t>
  </si>
  <si>
    <t>Transplant Log_Images/b0ecbe69.Photo.175651.jpg</t>
  </si>
  <si>
    <t>TA-TH-TH-1A-3</t>
  </si>
  <si>
    <t>3D0F55</t>
  </si>
  <si>
    <t>Transplant Log_Images/ba0c5316.Photo.034221.jpg</t>
  </si>
  <si>
    <t>TA-TH-TH-1A-4</t>
  </si>
  <si>
    <t>42VLTG</t>
  </si>
  <si>
    <t>Transplant Log_Images/b2b36d22.Photo.034417.jpg</t>
  </si>
  <si>
    <t>TGOPS-PH-WW-1B</t>
  </si>
  <si>
    <t>OV232X</t>
  </si>
  <si>
    <t>Transplant Log_Images/9ff37e15.Photo.193632.jpg</t>
  </si>
  <si>
    <t>WM-PH-WK-1B</t>
  </si>
  <si>
    <t>SZFGTE</t>
  </si>
  <si>
    <t>Transplant Log_Images/6b16d7b5.Photo.221802.jpg</t>
  </si>
  <si>
    <t>TGOPS-PH-WW-1A-2</t>
  </si>
  <si>
    <t>8Z7RX2</t>
  </si>
  <si>
    <t>Transplant Log_Images/9b626a35.Photo.221619.jpg</t>
  </si>
  <si>
    <t>DSE-PH-MF-1A-3</t>
  </si>
  <si>
    <t>375BZ7</t>
  </si>
  <si>
    <t>Transplant Log_Images/eb481ceb.Photo.221348.jpg</t>
  </si>
  <si>
    <t>OLN-PH-WP-1A</t>
  </si>
  <si>
    <t>94C80B</t>
  </si>
  <si>
    <t>Transplant Log_Images/0d381c79.Photo.220810.jpg</t>
  </si>
  <si>
    <t>AM-PH-PP-1A</t>
  </si>
  <si>
    <t>3UG1OX</t>
  </si>
  <si>
    <t>Transplant Log_Images/dbc4aadd.Photo.181524.jpg</t>
  </si>
  <si>
    <t>FM-PH-BMV-1A</t>
  </si>
  <si>
    <t>XSP842</t>
  </si>
  <si>
    <t>Transplant Log_Images/c4e3ca87.Photo.172857.jpg</t>
  </si>
  <si>
    <t>DSE-PH-MF-1A</t>
  </si>
  <si>
    <t>8STA74</t>
  </si>
  <si>
    <t>Transplant Log_Images/a621b185.Photo.182058.jpg</t>
  </si>
  <si>
    <t>IST-AN-FL-1A</t>
  </si>
  <si>
    <t>Anthurium Flamingo-Flower</t>
  </si>
  <si>
    <t>DB4UN2</t>
  </si>
  <si>
    <t>Transplant Log_Images/ebad8031.Photo.172741.jpg</t>
  </si>
  <si>
    <t>TA-ALL-CH-1A</t>
  </si>
  <si>
    <t>Allium Chives</t>
  </si>
  <si>
    <t>XPL0KT</t>
  </si>
  <si>
    <t>Transplant Log_Images/42749d34.Photo.172544.jpg</t>
  </si>
  <si>
    <t>AM-PH-BI-1C</t>
  </si>
  <si>
    <t>58UNOP</t>
  </si>
  <si>
    <t>Transplant Log_Images/3cd0855a.Photo.173831.jpg</t>
  </si>
  <si>
    <t>TLC-BE-MAC-1B</t>
  </si>
  <si>
    <t>OETNIE</t>
  </si>
  <si>
    <t>Transplant Log_Images/ef597ab3.Photo.173259.jpg</t>
  </si>
  <si>
    <t>TLC-BE-SLC-1B</t>
  </si>
  <si>
    <t>E6YYXG</t>
  </si>
  <si>
    <t>Transplant Log_Images/ae97cb9d.Photo.154501.jpg</t>
  </si>
  <si>
    <t>BWH-PO-PAJ-2A</t>
  </si>
  <si>
    <t>FWW5J9</t>
  </si>
  <si>
    <t>Transplant Log_Images/75839b07.Photo.181705.jpg</t>
  </si>
  <si>
    <t>IST-PH-GL-1B</t>
  </si>
  <si>
    <t>D374Z0</t>
  </si>
  <si>
    <t>Transplant Log_Images/7971f942.Photo.221047.jpg</t>
  </si>
  <si>
    <t>AM-PH-WW-1A</t>
  </si>
  <si>
    <t>E10BDC</t>
  </si>
  <si>
    <t>Transplant Log_Images/43eceea3.Photo.221925.jpg</t>
  </si>
  <si>
    <t>TGOPS-PH-WW-1C</t>
  </si>
  <si>
    <t>QCUXL1</t>
  </si>
  <si>
    <t>Transplant Log_Images/996bb60c.Photo.222221.jpg</t>
  </si>
  <si>
    <t>TG-PO-GO-1A-2</t>
  </si>
  <si>
    <t>BC87E4</t>
  </si>
  <si>
    <t>Transplant Log_Images/9359a25a.Photo.001248.jpg</t>
  </si>
  <si>
    <t>TG-PO-GO-1A-3</t>
  </si>
  <si>
    <t>5FDC10</t>
  </si>
  <si>
    <t>Transplant Log_Images/96b85ef2.Photo.001400.jpg</t>
  </si>
  <si>
    <t>TG-PO-GO-1A</t>
  </si>
  <si>
    <t>0R6U0Z</t>
  </si>
  <si>
    <t>Transplant Log_Images/1978c49e.Photo.001134.jpg</t>
  </si>
  <si>
    <t>TG-NE-BP-3A</t>
  </si>
  <si>
    <t>UUD5YO</t>
  </si>
  <si>
    <t>Transplant Log_Images/5e8a3f39.Photo.000817.jpg</t>
  </si>
  <si>
    <t>TG-NE-BP-3A-2</t>
  </si>
  <si>
    <t>YX5ITP</t>
  </si>
  <si>
    <t>Transplant Log_Images/1ce163a9.Photo.234530.jpg</t>
  </si>
  <si>
    <t>TG-SP-PLI-1A-2</t>
  </si>
  <si>
    <t>Spathiphyllum Peace Lily</t>
  </si>
  <si>
    <t>58SJPD</t>
  </si>
  <si>
    <t>Transplant Log_Images/13d66d7d.Photo.233138.jpg</t>
  </si>
  <si>
    <t>TG-SP-PLI-1A</t>
  </si>
  <si>
    <t>F079JP</t>
  </si>
  <si>
    <t>Transplant Log_Images/4d033f60.Photo.232913.jpg</t>
  </si>
  <si>
    <t>TG-DI-CAM-1A-2</t>
  </si>
  <si>
    <t>Dieffenbachia Camille</t>
  </si>
  <si>
    <t>M7I24M</t>
  </si>
  <si>
    <t>Transplant Log_Images/b4c36786.Photo.225029.jpg</t>
  </si>
  <si>
    <t>TG-DI-CAM-1A</t>
  </si>
  <si>
    <t>8FKTSM</t>
  </si>
  <si>
    <t>Transplant Log_Images/6eb3a4cd.Photo.224508.jpg</t>
  </si>
  <si>
    <t>TG-SYN-BUT-1A-2</t>
  </si>
  <si>
    <t>Syngonium Butterfly</t>
  </si>
  <si>
    <t>O24UTJ</t>
  </si>
  <si>
    <t>Transplant Log_Images/b8f260ca.Photo.222927.jpg</t>
  </si>
  <si>
    <t>TG-SYN-BUT-1A</t>
  </si>
  <si>
    <t>2CF7F8</t>
  </si>
  <si>
    <t>Transplant Log_Images/21fc6f8e.Photo.221938.jpg</t>
  </si>
  <si>
    <t>TG-SP-VPLD-1A</t>
  </si>
  <si>
    <t>Spathiphyllum Variegated Peace Lily Domino</t>
  </si>
  <si>
    <t>D31149</t>
  </si>
  <si>
    <t>Transplant Log_Images/22145464.Photo.214441.jpg</t>
  </si>
  <si>
    <t>TG-ALO-VER-1A-3</t>
  </si>
  <si>
    <t>604079</t>
  </si>
  <si>
    <t>Transplant Log_Images/20332dd5.Photo.211801.jpg</t>
  </si>
  <si>
    <t>TG-ALO-VER-1A-2</t>
  </si>
  <si>
    <t>18BFC8</t>
  </si>
  <si>
    <t>Transplant Log_Images/f25ff2bb.Photo.211020.jpg</t>
  </si>
  <si>
    <t>DSE-AL-MAN-1A-2</t>
  </si>
  <si>
    <t>ZN5103</t>
  </si>
  <si>
    <t>Transplant Log_Images/f5fe57c7.Photo.020609.jpg</t>
  </si>
  <si>
    <t>SS-HO-CO-1A</t>
  </si>
  <si>
    <t>H4T34N</t>
  </si>
  <si>
    <t>Transplant Log_Images/c8b40637.Photo.213901.jpg</t>
  </si>
  <si>
    <t>AGP-AL-NI-1A-3C</t>
  </si>
  <si>
    <t>YWRA6P</t>
  </si>
  <si>
    <t>DSE-AL-PO-1A-4</t>
  </si>
  <si>
    <t>7BVQX5</t>
  </si>
  <si>
    <t>DSE-SYN-GLO-1A-3</t>
  </si>
  <si>
    <t>6SE0VF</t>
  </si>
  <si>
    <t>DSE-SYN-STC-1A-3</t>
  </si>
  <si>
    <t>MU2XOX</t>
  </si>
  <si>
    <t>TG-MA-VMI-1A</t>
  </si>
  <si>
    <t>Monstera Variegated Mint</t>
  </si>
  <si>
    <t>B4BLB8</t>
  </si>
  <si>
    <t>Transplant Log_Images/93256929.Photo.164114.jpg</t>
  </si>
  <si>
    <t>TG-MA-VMI-1A-2</t>
  </si>
  <si>
    <t>2ADA93</t>
  </si>
  <si>
    <t>Transplant Log_Images/d829e7f9.Photo.164217.jpg</t>
  </si>
  <si>
    <t>TG-NE-BP-3A-2B</t>
  </si>
  <si>
    <t>Y8O2NS</t>
  </si>
  <si>
    <t>Transplant Log_Images/bde58f22.Photo.234716.jpg</t>
  </si>
  <si>
    <t>OLN-PH-STS-1A</t>
  </si>
  <si>
    <t>Philodendron Strawberry Shake</t>
  </si>
  <si>
    <t>4KKK9Q</t>
  </si>
  <si>
    <t>WM-PH-SSW-1A</t>
  </si>
  <si>
    <t>Philodendron Silver Sword</t>
  </si>
  <si>
    <t>13G4DU</t>
  </si>
  <si>
    <t>DR-AC-JMB-1A</t>
  </si>
  <si>
    <t>Acer Japanese Maple Bloodgood</t>
  </si>
  <si>
    <t>HJ8YOD</t>
  </si>
  <si>
    <t>Transplant Log_Images/492c773a.Photo.032958.jpg</t>
  </si>
  <si>
    <t>DR-AC-JMB-1A-2</t>
  </si>
  <si>
    <t>OYPVY1</t>
  </si>
  <si>
    <t>Transplant Log_Images/01a017ef.Photo.033050.jpg</t>
  </si>
  <si>
    <t>DR-AC-JMB-1A-3</t>
  </si>
  <si>
    <t>DRUKVI</t>
  </si>
  <si>
    <t>Transplant Log_Images/a74fb0e1.Photo.033138.jpg</t>
  </si>
  <si>
    <t>DR-AC-JMB-1A-4</t>
  </si>
  <si>
    <t>ZT949K</t>
  </si>
  <si>
    <t>Transplant Log_Images/5908541b.Photo.033240.jpg</t>
  </si>
  <si>
    <t>DR-AC-JMB-1A-5</t>
  </si>
  <si>
    <t>DDE88O</t>
  </si>
  <si>
    <t>Transplant Log_Images/9805cf5b.Photo.033334.jpg</t>
  </si>
  <si>
    <t>DR-AC-JMB-1A-6</t>
  </si>
  <si>
    <t>MVM4LM</t>
  </si>
  <si>
    <t>Transplant Log_Images/1bdc696d.Photo.033434.jpg</t>
  </si>
  <si>
    <t>DR-AC-JMB-1A-7</t>
  </si>
  <si>
    <t>1JR4KD</t>
  </si>
  <si>
    <t>Transplant Log_Images/2b0523ff.Photo.033528.jpg</t>
  </si>
  <si>
    <t>BWH-PH-RAPK-2A-4</t>
  </si>
  <si>
    <t>QJ2HN7</t>
  </si>
  <si>
    <t>Transplant Log_Images/aefa51b2.Photo.215749.jpg</t>
  </si>
  <si>
    <t>HD-AL-LO-1A</t>
  </si>
  <si>
    <t>ZRVYXV</t>
  </si>
  <si>
    <t>Transplant Log_Images/6aefc2b8.Photo.213006.jpg</t>
  </si>
  <si>
    <t>HD-AL-LO-1C</t>
  </si>
  <si>
    <t>HTFMN0</t>
  </si>
  <si>
    <t>Transplant Log_Images/d21413e1.Photo.213159.jpg</t>
  </si>
  <si>
    <t>DSE-SYN-MC-1A-8</t>
  </si>
  <si>
    <t>3ZWBN1</t>
  </si>
  <si>
    <t>Transplant Log_Images/e704b7d0.Photo.191650.jpg</t>
  </si>
  <si>
    <t>TG-ALO-VER-1A</t>
  </si>
  <si>
    <t>J1PRLQ</t>
  </si>
  <si>
    <t>Transplant Log_Images/062613b1.Photo.210203.jpg</t>
  </si>
  <si>
    <t>TRL-PH-JB-1A</t>
  </si>
  <si>
    <t>Philodendron Jose Buono</t>
  </si>
  <si>
    <t>QN7XO9</t>
  </si>
  <si>
    <t>Transplant Log_Images/5cd19303.Photo.184306.jpg</t>
  </si>
  <si>
    <t xml:space="preserve">Date </t>
  </si>
  <si>
    <t>Pot SKU</t>
  </si>
  <si>
    <t>Pl Co</t>
  </si>
  <si>
    <t>Pot/Prod Co</t>
  </si>
  <si>
    <t>OH</t>
  </si>
  <si>
    <t>Tot Co</t>
  </si>
  <si>
    <t>Est. Sell Pr</t>
  </si>
  <si>
    <t>AcSell Pr</t>
  </si>
  <si>
    <t>Disc</t>
  </si>
  <si>
    <t>Av. Qty</t>
  </si>
  <si>
    <t>Mirror UID</t>
  </si>
  <si>
    <t>Not UID</t>
  </si>
  <si>
    <t>AF49E2</t>
  </si>
  <si>
    <t>AE5AD3</t>
  </si>
  <si>
    <t>29FB31</t>
  </si>
  <si>
    <t>0649C0</t>
  </si>
  <si>
    <t>FE0A2D</t>
  </si>
  <si>
    <t>475931</t>
  </si>
  <si>
    <t>2FF9FD</t>
  </si>
  <si>
    <t>16487D</t>
  </si>
  <si>
    <t>A73945</t>
  </si>
  <si>
    <t>075DBF</t>
  </si>
  <si>
    <t>Damaged</t>
  </si>
  <si>
    <t>CE10E3</t>
  </si>
  <si>
    <t>F68623</t>
  </si>
  <si>
    <t>118596</t>
  </si>
  <si>
    <t>EEA2A8</t>
  </si>
  <si>
    <t>CEB6EA</t>
  </si>
  <si>
    <t>9652DA</t>
  </si>
  <si>
    <t>64F929</t>
  </si>
  <si>
    <t>339469</t>
  </si>
  <si>
    <t>6D8F4B</t>
  </si>
  <si>
    <t>15A7A1</t>
  </si>
  <si>
    <t>0EC505</t>
  </si>
  <si>
    <t>33162E</t>
  </si>
  <si>
    <t>FF7881</t>
  </si>
  <si>
    <t>39BA9D</t>
  </si>
  <si>
    <t>CD2664</t>
  </si>
  <si>
    <t>357C92</t>
  </si>
  <si>
    <t>F8821D</t>
  </si>
  <si>
    <t>695EB4</t>
  </si>
  <si>
    <t>5ECFB2</t>
  </si>
  <si>
    <t>6AB8A0</t>
  </si>
  <si>
    <t>77D375</t>
  </si>
  <si>
    <t>014884</t>
  </si>
  <si>
    <t>347F64</t>
  </si>
  <si>
    <t>956D2B</t>
  </si>
  <si>
    <t>B8CD1C</t>
  </si>
  <si>
    <t>F99298</t>
  </si>
  <si>
    <t>EEAE97</t>
  </si>
  <si>
    <t>59E874</t>
  </si>
  <si>
    <t>A7EF2E</t>
  </si>
  <si>
    <t>E71AFB</t>
  </si>
  <si>
    <t>048185</t>
  </si>
  <si>
    <t>0B3C21</t>
  </si>
  <si>
    <t>614E69</t>
  </si>
  <si>
    <t>5C9418</t>
  </si>
  <si>
    <t>AC63C4</t>
  </si>
  <si>
    <t>1DED83</t>
  </si>
  <si>
    <t>8DA21B</t>
  </si>
  <si>
    <t>9062E5</t>
  </si>
  <si>
    <t>01FA5C</t>
  </si>
  <si>
    <t>1CF82D</t>
  </si>
  <si>
    <t>6A34D7</t>
  </si>
  <si>
    <t>F5A463</t>
  </si>
  <si>
    <t>7055A9</t>
  </si>
  <si>
    <t>1B1CDA</t>
  </si>
  <si>
    <t>C74204</t>
  </si>
  <si>
    <t>27F46E</t>
  </si>
  <si>
    <t>9A8D0B</t>
  </si>
  <si>
    <t>1FB6A6</t>
  </si>
  <si>
    <t>6F8A35</t>
  </si>
  <si>
    <t>22CFD8</t>
  </si>
  <si>
    <t>582E6B</t>
  </si>
  <si>
    <t>FB9090</t>
  </si>
  <si>
    <t>3B2856</t>
  </si>
  <si>
    <t>3EABDC</t>
  </si>
  <si>
    <t>DE2B8E</t>
  </si>
  <si>
    <t>477552</t>
  </si>
  <si>
    <t>86F1A4</t>
  </si>
  <si>
    <t>D71CD7</t>
  </si>
  <si>
    <t>D82F34</t>
  </si>
  <si>
    <t>0B738B</t>
  </si>
  <si>
    <t>E8EA78</t>
  </si>
  <si>
    <t>CEA65E</t>
  </si>
  <si>
    <t>09840D</t>
  </si>
  <si>
    <t>B31032</t>
  </si>
  <si>
    <t>C199E2</t>
  </si>
  <si>
    <t>5E0E93</t>
  </si>
  <si>
    <t>07F77D</t>
  </si>
  <si>
    <t>7FE15B</t>
  </si>
  <si>
    <t>B94615</t>
  </si>
  <si>
    <t>Neon Pothos</t>
  </si>
  <si>
    <t>BE4EDC</t>
  </si>
  <si>
    <t>C6622C</t>
  </si>
  <si>
    <t>A14B54</t>
  </si>
  <si>
    <t>4F639F</t>
  </si>
  <si>
    <t>457BDD</t>
  </si>
  <si>
    <t>EFC067</t>
  </si>
  <si>
    <t>755A04</t>
  </si>
  <si>
    <t>61C173</t>
  </si>
  <si>
    <t>803EC7</t>
  </si>
  <si>
    <t>870457</t>
  </si>
  <si>
    <t>3BF0A6</t>
  </si>
  <si>
    <t>F83BC6</t>
  </si>
  <si>
    <t>AAB9F9</t>
  </si>
  <si>
    <t>DB0C02</t>
  </si>
  <si>
    <t>B2C9CF</t>
  </si>
  <si>
    <t>B0FFBB</t>
  </si>
  <si>
    <t>ACF2EB</t>
  </si>
  <si>
    <t>A1651A</t>
  </si>
  <si>
    <t>A601C1</t>
  </si>
  <si>
    <t>E0A9D7</t>
  </si>
  <si>
    <t>681B6F</t>
  </si>
  <si>
    <t>F5C8A3</t>
  </si>
  <si>
    <t>7E2519</t>
  </si>
  <si>
    <t>D8C951</t>
  </si>
  <si>
    <t>B3543C</t>
  </si>
  <si>
    <t>0F7868</t>
  </si>
  <si>
    <t>39FDBC</t>
  </si>
  <si>
    <t>CE922B</t>
  </si>
  <si>
    <t>DFC2D2</t>
  </si>
  <si>
    <t>B8E834</t>
  </si>
  <si>
    <t>0F9826</t>
  </si>
  <si>
    <t>8AC81E</t>
  </si>
  <si>
    <t>FD14A6</t>
  </si>
  <si>
    <t>F95CF1</t>
  </si>
  <si>
    <t>253AFB</t>
  </si>
  <si>
    <t>632C50</t>
  </si>
  <si>
    <t>60C99D</t>
  </si>
  <si>
    <t>EB6B80</t>
  </si>
  <si>
    <t>704AEF</t>
  </si>
  <si>
    <t>FCF7E3</t>
  </si>
  <si>
    <t>23DFE0</t>
  </si>
  <si>
    <t>6E8172</t>
  </si>
  <si>
    <t>CD54FE</t>
  </si>
  <si>
    <t>FF2D4E</t>
  </si>
  <si>
    <t>63BAF7</t>
  </si>
  <si>
    <t>3CE186</t>
  </si>
  <si>
    <t>D1B8F1</t>
  </si>
  <si>
    <t>2ACA88</t>
  </si>
  <si>
    <t>14603A</t>
  </si>
  <si>
    <t>F2BE00</t>
  </si>
  <si>
    <t>ACAE35</t>
  </si>
  <si>
    <t>462601</t>
  </si>
  <si>
    <t>1B628C</t>
  </si>
  <si>
    <t>BE5AC8</t>
  </si>
  <si>
    <t>AA9D01</t>
  </si>
  <si>
    <t>E8006E</t>
  </si>
  <si>
    <t>3C176D</t>
  </si>
  <si>
    <t>C4615D</t>
  </si>
  <si>
    <t>9305CC</t>
  </si>
  <si>
    <t>761561</t>
  </si>
  <si>
    <t>16EF57</t>
  </si>
  <si>
    <t>BED09A</t>
  </si>
  <si>
    <t>267115</t>
  </si>
  <si>
    <t>9A34BA</t>
  </si>
  <si>
    <t>1F0B6B</t>
  </si>
  <si>
    <t>003246</t>
  </si>
  <si>
    <t>77217B</t>
  </si>
  <si>
    <t>082ED7</t>
  </si>
  <si>
    <t>F26A74</t>
  </si>
  <si>
    <t>D00077</t>
  </si>
  <si>
    <t>B4821D</t>
  </si>
  <si>
    <t>AE1DAA</t>
  </si>
  <si>
    <t>F2472F</t>
  </si>
  <si>
    <t>0864C4</t>
  </si>
  <si>
    <t>468B58</t>
  </si>
  <si>
    <t>4FD48A</t>
  </si>
  <si>
    <t>5281F1</t>
  </si>
  <si>
    <t>F8BB4A</t>
  </si>
  <si>
    <t>C397CA</t>
  </si>
  <si>
    <t>1D80E4</t>
  </si>
  <si>
    <t>182F8F</t>
  </si>
  <si>
    <t>D3837A</t>
  </si>
  <si>
    <t>6063A8</t>
  </si>
  <si>
    <t>0CC5B1</t>
  </si>
  <si>
    <t>A8A79F</t>
  </si>
  <si>
    <t>59A8C1</t>
  </si>
  <si>
    <t>F73066</t>
  </si>
  <si>
    <t>9ADBC4</t>
  </si>
  <si>
    <t>9BAC08</t>
  </si>
  <si>
    <t>084CF7</t>
  </si>
  <si>
    <t>A846AB</t>
  </si>
  <si>
    <t>2580E2</t>
  </si>
  <si>
    <t>7C83DE</t>
  </si>
  <si>
    <t>C97EA0</t>
  </si>
  <si>
    <t>63509D</t>
  </si>
  <si>
    <t>37BFAE</t>
  </si>
  <si>
    <t>072392</t>
  </si>
  <si>
    <t>0B8504</t>
  </si>
  <si>
    <t>5E4670</t>
  </si>
  <si>
    <t>FEDA63</t>
  </si>
  <si>
    <t>37BC70</t>
  </si>
  <si>
    <t>2DAC0C</t>
  </si>
  <si>
    <t>9BE752</t>
  </si>
  <si>
    <t>Custom</t>
  </si>
  <si>
    <t>9AE25D</t>
  </si>
  <si>
    <t>344D6D</t>
  </si>
  <si>
    <t>64B9F8</t>
  </si>
  <si>
    <t>28F8A0</t>
  </si>
  <si>
    <t>25C677</t>
  </si>
  <si>
    <t>B10F47</t>
  </si>
  <si>
    <t>9478DE</t>
  </si>
  <si>
    <t>A4C56D</t>
  </si>
  <si>
    <t>1AE233</t>
  </si>
  <si>
    <t>F1D5F2</t>
  </si>
  <si>
    <t>1EFE02</t>
  </si>
  <si>
    <t>FE9856</t>
  </si>
  <si>
    <t>4057B4</t>
  </si>
  <si>
    <t>F3C158</t>
  </si>
  <si>
    <t>5598F2</t>
  </si>
  <si>
    <t>0F29AC</t>
  </si>
  <si>
    <t>52BE89</t>
  </si>
  <si>
    <t>9BD765</t>
  </si>
  <si>
    <t>0A947E</t>
  </si>
  <si>
    <t>DA3BE7</t>
  </si>
  <si>
    <t>7AF14B</t>
  </si>
  <si>
    <t>006169</t>
  </si>
  <si>
    <t>BE3377</t>
  </si>
  <si>
    <t>D1E070</t>
  </si>
  <si>
    <t>050401</t>
  </si>
  <si>
    <t>0426C2</t>
  </si>
  <si>
    <t>049344</t>
  </si>
  <si>
    <t>6A1EB5</t>
  </si>
  <si>
    <t>E6AD5F</t>
  </si>
  <si>
    <t>83DEE0</t>
  </si>
  <si>
    <t>Rex Begonia</t>
  </si>
  <si>
    <t>0D5E41</t>
  </si>
  <si>
    <t>A8F791</t>
  </si>
  <si>
    <t>62ACD2</t>
  </si>
  <si>
    <t>47748F</t>
  </si>
  <si>
    <t>A977F5</t>
  </si>
  <si>
    <t>23FF02</t>
  </si>
  <si>
    <t>7DF753</t>
  </si>
  <si>
    <t>C1F496</t>
  </si>
  <si>
    <t>C60D14</t>
  </si>
  <si>
    <t>0A062D</t>
  </si>
  <si>
    <t>0AB51B</t>
  </si>
  <si>
    <t>6C41AA</t>
  </si>
  <si>
    <t>17B150</t>
  </si>
  <si>
    <t>6C8FBA</t>
  </si>
  <si>
    <t>C45A16</t>
  </si>
  <si>
    <t>2FE7A5</t>
  </si>
  <si>
    <t>9B74FB</t>
  </si>
  <si>
    <t>FA0875</t>
  </si>
  <si>
    <t>576332</t>
  </si>
  <si>
    <t>E8A81B</t>
  </si>
  <si>
    <t>A71C7C</t>
  </si>
  <si>
    <t>BEFE49</t>
  </si>
  <si>
    <t>368279</t>
  </si>
  <si>
    <t>7C9A36</t>
  </si>
  <si>
    <t>7CE391</t>
  </si>
  <si>
    <t>51CF81</t>
  </si>
  <si>
    <t>CE43F7</t>
  </si>
  <si>
    <t>6BF7E3</t>
  </si>
  <si>
    <t>BA765F</t>
  </si>
  <si>
    <t>018C66</t>
  </si>
  <si>
    <t>FF757A</t>
  </si>
  <si>
    <t>02F255</t>
  </si>
  <si>
    <t>860A56</t>
  </si>
  <si>
    <t>3E051E</t>
  </si>
  <si>
    <t>C7DB1C</t>
  </si>
  <si>
    <t>8927CE</t>
  </si>
  <si>
    <t>0FC0E6</t>
  </si>
  <si>
    <t>743DE7</t>
  </si>
  <si>
    <t>A7FA9A</t>
  </si>
  <si>
    <t>E394C0</t>
  </si>
  <si>
    <t>D8BDFE</t>
  </si>
  <si>
    <t>07C39D</t>
  </si>
  <si>
    <t>A40780</t>
  </si>
  <si>
    <t>1F1A3E</t>
  </si>
  <si>
    <t>349C5E</t>
  </si>
  <si>
    <t>E69A8F</t>
  </si>
  <si>
    <t>B53A25</t>
  </si>
  <si>
    <t>42F3B5</t>
  </si>
  <si>
    <t>A529BD</t>
  </si>
  <si>
    <t>72C1A6</t>
  </si>
  <si>
    <t>201B74</t>
  </si>
  <si>
    <t>9BB600</t>
  </si>
  <si>
    <t>0394BB</t>
  </si>
  <si>
    <t>2183DD</t>
  </si>
  <si>
    <t>6B8F89</t>
  </si>
  <si>
    <t>68B1C4</t>
  </si>
  <si>
    <t>E5769F</t>
  </si>
  <si>
    <t>3E1205</t>
  </si>
  <si>
    <t>A3A915</t>
  </si>
  <si>
    <t>76D31C</t>
  </si>
  <si>
    <t>4F62EE</t>
  </si>
  <si>
    <t>B21EDE</t>
  </si>
  <si>
    <t>2A8FA1</t>
  </si>
  <si>
    <t>BD589D</t>
  </si>
  <si>
    <t>91E6CE</t>
  </si>
  <si>
    <t>94777C</t>
  </si>
  <si>
    <t>990293</t>
  </si>
  <si>
    <t>81FBA0</t>
  </si>
  <si>
    <t>212234</t>
  </si>
  <si>
    <t>82D1FD</t>
  </si>
  <si>
    <t>17430A</t>
  </si>
  <si>
    <t>E363E2</t>
  </si>
  <si>
    <t>5264EC</t>
  </si>
  <si>
    <t>794C91</t>
  </si>
  <si>
    <t>266E88</t>
  </si>
  <si>
    <t>EA0075</t>
  </si>
  <si>
    <t>2E7965</t>
  </si>
  <si>
    <t>EF56D1</t>
  </si>
  <si>
    <t>09946E</t>
  </si>
  <si>
    <t>689FF8</t>
  </si>
  <si>
    <t>F2875A</t>
  </si>
  <si>
    <t>7EFF61</t>
  </si>
  <si>
    <t>DD1045</t>
  </si>
  <si>
    <t>07622D</t>
  </si>
  <si>
    <t>6CB842</t>
  </si>
  <si>
    <t>40DFEE</t>
  </si>
  <si>
    <t>F1F2D8</t>
  </si>
  <si>
    <t>CCDCD2</t>
  </si>
  <si>
    <t>1D0791</t>
  </si>
  <si>
    <t>54216E</t>
  </si>
  <si>
    <t>328421</t>
  </si>
  <si>
    <t>5A8DD3</t>
  </si>
  <si>
    <t>E5E8CB</t>
  </si>
  <si>
    <t>BF52B8</t>
  </si>
  <si>
    <t>2C2800</t>
  </si>
  <si>
    <t>DAF4C7</t>
  </si>
  <si>
    <t>23AD69</t>
  </si>
  <si>
    <t>F40B6D</t>
  </si>
  <si>
    <t>DA2FCB</t>
  </si>
  <si>
    <t>50EDBD</t>
  </si>
  <si>
    <t>34D488</t>
  </si>
  <si>
    <t>C4952D</t>
  </si>
  <si>
    <t>7462A0</t>
  </si>
  <si>
    <t>91275D</t>
  </si>
  <si>
    <t>D8AE6F</t>
  </si>
  <si>
    <t>88151C</t>
  </si>
  <si>
    <t>534699</t>
  </si>
  <si>
    <t>AFCE57</t>
  </si>
  <si>
    <t>4CFDDE</t>
  </si>
  <si>
    <t>7EEFBA</t>
  </si>
  <si>
    <t>7374BF</t>
  </si>
  <si>
    <t>15C81D</t>
  </si>
  <si>
    <t>BE8133</t>
  </si>
  <si>
    <t>46610A</t>
  </si>
  <si>
    <t>4081D9</t>
  </si>
  <si>
    <t>C216F8</t>
  </si>
  <si>
    <t>738D5D</t>
  </si>
  <si>
    <t>4F8308</t>
  </si>
  <si>
    <t>174604</t>
  </si>
  <si>
    <t>754161</t>
  </si>
  <si>
    <t>13249A</t>
  </si>
  <si>
    <t>DB3C6F</t>
  </si>
  <si>
    <t>5E8D20</t>
  </si>
  <si>
    <t>A5D6B1</t>
  </si>
  <si>
    <t>8E330F</t>
  </si>
  <si>
    <t>F1D1D0</t>
  </si>
  <si>
    <t>2C7A06</t>
  </si>
  <si>
    <t>266B23</t>
  </si>
  <si>
    <t>7BDB28</t>
  </si>
  <si>
    <t>2A12F6</t>
  </si>
  <si>
    <t>2E2699</t>
  </si>
  <si>
    <t>56A51C</t>
  </si>
  <si>
    <t>2CFBCB</t>
  </si>
  <si>
    <t>D95EA4</t>
  </si>
  <si>
    <t>EE4A9A</t>
  </si>
  <si>
    <t>9235CF</t>
  </si>
  <si>
    <t>565A59</t>
  </si>
  <si>
    <t>72F691</t>
  </si>
  <si>
    <t>A6F357</t>
  </si>
  <si>
    <t>51D72A</t>
  </si>
  <si>
    <t>F41A83</t>
  </si>
  <si>
    <t>725DC6</t>
  </si>
  <si>
    <t>819625</t>
  </si>
  <si>
    <t>1BA914</t>
  </si>
  <si>
    <t>F46DEA</t>
  </si>
  <si>
    <t>29BB44</t>
  </si>
  <si>
    <t>8807A6</t>
  </si>
  <si>
    <t>F187F9</t>
  </si>
  <si>
    <t>4AA593</t>
  </si>
  <si>
    <t>327AF6</t>
  </si>
  <si>
    <t>9021EB</t>
  </si>
  <si>
    <t>6536AE</t>
  </si>
  <si>
    <t>470F2A</t>
  </si>
  <si>
    <t>0BA6FC</t>
  </si>
  <si>
    <t>1B2357</t>
  </si>
  <si>
    <t>DB759D</t>
  </si>
  <si>
    <t>734813</t>
  </si>
  <si>
    <t>A6B340</t>
  </si>
  <si>
    <t>79105F</t>
  </si>
  <si>
    <t>D06140</t>
  </si>
  <si>
    <t>BDF04D</t>
  </si>
  <si>
    <t>40B55A</t>
  </si>
  <si>
    <t>7FA212</t>
  </si>
  <si>
    <t>20B1F4</t>
  </si>
  <si>
    <t>73E727</t>
  </si>
  <si>
    <t>EB42CC</t>
  </si>
  <si>
    <t>CB8B74</t>
  </si>
  <si>
    <t>74B718</t>
  </si>
  <si>
    <t>607BBB</t>
  </si>
  <si>
    <t>956F83</t>
  </si>
  <si>
    <t>D21FA9</t>
  </si>
  <si>
    <t>EB2777</t>
  </si>
  <si>
    <t>713B4C</t>
  </si>
  <si>
    <t>3AA6B1</t>
  </si>
  <si>
    <t>00A2EC</t>
  </si>
  <si>
    <t>0B210B</t>
  </si>
  <si>
    <t>65475E</t>
  </si>
  <si>
    <t>1A57F2</t>
  </si>
  <si>
    <t>C5D061</t>
  </si>
  <si>
    <t>D5F207</t>
  </si>
  <si>
    <t>635DAE</t>
  </si>
  <si>
    <t>80B2C3</t>
  </si>
  <si>
    <t>A95EA8</t>
  </si>
  <si>
    <t>8A853A</t>
  </si>
  <si>
    <t>CCFBF3</t>
  </si>
  <si>
    <t>B5EA48</t>
  </si>
  <si>
    <t>848D4B</t>
  </si>
  <si>
    <t>4D8BBD</t>
  </si>
  <si>
    <t>484970</t>
  </si>
  <si>
    <t>1EBB63</t>
  </si>
  <si>
    <t>8604F8</t>
  </si>
  <si>
    <t>72BDED</t>
  </si>
  <si>
    <t>C5B05A</t>
  </si>
  <si>
    <t>762F1B</t>
  </si>
  <si>
    <t>EA948C</t>
  </si>
  <si>
    <t>94CDBD</t>
  </si>
  <si>
    <t>395104</t>
  </si>
  <si>
    <t>4DD350</t>
  </si>
  <si>
    <t>3B94EC</t>
  </si>
  <si>
    <t>02E457</t>
  </si>
  <si>
    <t>DBB8E7</t>
  </si>
  <si>
    <t>AEE3C5</t>
  </si>
  <si>
    <t>72FDB2</t>
  </si>
  <si>
    <t>4BC505</t>
  </si>
  <si>
    <t>088774</t>
  </si>
  <si>
    <t>CC1D75</t>
  </si>
  <si>
    <t>9C74A3</t>
  </si>
  <si>
    <t>D7EF71</t>
  </si>
  <si>
    <t>3CEAB2</t>
  </si>
  <si>
    <t>313637</t>
  </si>
  <si>
    <t>69E200</t>
  </si>
  <si>
    <t>955B39</t>
  </si>
  <si>
    <t>4B1DB7</t>
  </si>
  <si>
    <t>C232BA</t>
  </si>
  <si>
    <t>6” White Pot</t>
  </si>
  <si>
    <t>B9539A</t>
  </si>
  <si>
    <t>B0A6C4</t>
  </si>
  <si>
    <t>9352E6</t>
  </si>
  <si>
    <t>4” Self-Watering Pot</t>
  </si>
  <si>
    <t>2A14C6</t>
  </si>
  <si>
    <t>5” Self-Watering Pot</t>
  </si>
  <si>
    <t>3938C3</t>
  </si>
  <si>
    <t>38D379</t>
  </si>
  <si>
    <t>F5B400</t>
  </si>
  <si>
    <t>3” Self-Watering Pot</t>
  </si>
  <si>
    <t>0D9BD6</t>
  </si>
  <si>
    <t>2” Self-Watering Pot</t>
  </si>
  <si>
    <t>2F4100</t>
  </si>
  <si>
    <t>53E939</t>
  </si>
  <si>
    <t>3C620E</t>
  </si>
  <si>
    <t>7411FD</t>
  </si>
  <si>
    <t>E5679D</t>
  </si>
  <si>
    <t>Sticker “Get in Loser…”</t>
  </si>
  <si>
    <t>5C1B2E</t>
  </si>
  <si>
    <t>EF9F0C</t>
  </si>
  <si>
    <t>5D5F1C</t>
  </si>
  <si>
    <t>67F600</t>
  </si>
  <si>
    <t>D647EB</t>
  </si>
  <si>
    <t>E18B6E</t>
  </si>
  <si>
    <t>69DC6C</t>
  </si>
  <si>
    <t>0E86D8</t>
  </si>
  <si>
    <t>B3EEDA</t>
  </si>
  <si>
    <t>Star Stud Earring</t>
  </si>
  <si>
    <t>422173</t>
  </si>
  <si>
    <t>Monstera Drop Earrings</t>
  </si>
  <si>
    <t>CDA24D</t>
  </si>
  <si>
    <t>Cactus Earrings</t>
  </si>
  <si>
    <t>C15416</t>
  </si>
  <si>
    <t>BBF4F7</t>
  </si>
  <si>
    <t>B75848</t>
  </si>
  <si>
    <t>Sticker “Easily Distracted…”</t>
  </si>
  <si>
    <t>864A77</t>
  </si>
  <si>
    <t>Sticker “Plants”</t>
  </si>
  <si>
    <t>0B59B7</t>
  </si>
  <si>
    <t>Key Chain “Never Enough…”</t>
  </si>
  <si>
    <t>46D2E6</t>
  </si>
  <si>
    <t>Tote Bag “Plant Addict”</t>
  </si>
  <si>
    <t>C898F8</t>
  </si>
  <si>
    <t>Tote Bag “Don’t Hate…”</t>
  </si>
  <si>
    <t>EF6067</t>
  </si>
  <si>
    <t>Key Chain</t>
  </si>
  <si>
    <t>D1175E</t>
  </si>
  <si>
    <t>B4064B</t>
  </si>
  <si>
    <t>Cutting</t>
  </si>
  <si>
    <t>E7EF34</t>
  </si>
  <si>
    <t>4” Nursery Pot</t>
  </si>
  <si>
    <t>5EFA2A</t>
  </si>
  <si>
    <t>3” Nursery Pot</t>
  </si>
  <si>
    <t>F2FAC2</t>
  </si>
  <si>
    <t>6” Nursery Pot</t>
  </si>
  <si>
    <t>1FE079</t>
  </si>
  <si>
    <t>2” Nursery Pot</t>
  </si>
  <si>
    <t>869FDC</t>
  </si>
  <si>
    <t>693374</t>
  </si>
  <si>
    <t>39BCE2</t>
  </si>
  <si>
    <t>EA0C74</t>
  </si>
  <si>
    <t>EE0F6C</t>
  </si>
  <si>
    <t>C68503</t>
  </si>
  <si>
    <t>AA3C18</t>
  </si>
  <si>
    <t>8E663E</t>
  </si>
  <si>
    <t>092228</t>
  </si>
  <si>
    <t>9E325C</t>
  </si>
  <si>
    <t>C59CEC</t>
  </si>
  <si>
    <t>2AFD74</t>
  </si>
  <si>
    <t>E58020</t>
  </si>
  <si>
    <t>2347C9</t>
  </si>
  <si>
    <t>49BBC1</t>
  </si>
  <si>
    <t>CF5D3D</t>
  </si>
  <si>
    <t>776702</t>
  </si>
  <si>
    <t>07E2B6</t>
  </si>
  <si>
    <t>BD3953</t>
  </si>
  <si>
    <t>5A738B</t>
  </si>
  <si>
    <t>15F3BF</t>
  </si>
  <si>
    <t>47BE55</t>
  </si>
  <si>
    <t>71ABFC</t>
  </si>
  <si>
    <t>3DB1A6</t>
  </si>
  <si>
    <t>390DFA</t>
  </si>
  <si>
    <t>303E94</t>
  </si>
  <si>
    <t>ADBFD1</t>
  </si>
  <si>
    <t>F5400D</t>
  </si>
  <si>
    <t>3D5F4E</t>
  </si>
  <si>
    <t>597366</t>
  </si>
  <si>
    <t>604F8E</t>
  </si>
  <si>
    <t>665FA3</t>
  </si>
  <si>
    <t>56005D</t>
  </si>
  <si>
    <t>78CE56</t>
  </si>
  <si>
    <t>14C04D</t>
  </si>
  <si>
    <t>9E522D</t>
  </si>
  <si>
    <t>5EC5B5</t>
  </si>
  <si>
    <t>938471</t>
  </si>
  <si>
    <t>E02A14</t>
  </si>
  <si>
    <t>9D6424</t>
  </si>
  <si>
    <t>F55682</t>
  </si>
  <si>
    <t>1BD67A</t>
  </si>
  <si>
    <t>A6172D</t>
  </si>
  <si>
    <t>F2F1D0</t>
  </si>
  <si>
    <t>1A770F</t>
  </si>
  <si>
    <t>F1B971</t>
  </si>
  <si>
    <t>62E452</t>
  </si>
  <si>
    <t>F081B7</t>
  </si>
  <si>
    <t>A0311B</t>
  </si>
  <si>
    <t>14996A</t>
  </si>
  <si>
    <t>210BA7</t>
  </si>
  <si>
    <t>234E5D</t>
  </si>
  <si>
    <t>D4C3FA</t>
  </si>
  <si>
    <t>1130B4</t>
  </si>
  <si>
    <t>DDE484</t>
  </si>
  <si>
    <t>94D951</t>
  </si>
  <si>
    <t>2D8686</t>
  </si>
  <si>
    <t>DBAD4E</t>
  </si>
  <si>
    <t>E9A211</t>
  </si>
  <si>
    <t>0C618B</t>
  </si>
  <si>
    <t>3024E7</t>
  </si>
  <si>
    <t>D39EAE</t>
  </si>
  <si>
    <t>3D9AAD</t>
  </si>
  <si>
    <t>2C571E</t>
  </si>
  <si>
    <t>7BE41D</t>
  </si>
  <si>
    <t>2465DA</t>
  </si>
  <si>
    <t>DB222E</t>
  </si>
  <si>
    <t>D02633</t>
  </si>
  <si>
    <t>9FD56A</t>
  </si>
  <si>
    <t>9221CA</t>
  </si>
  <si>
    <t>8480E6</t>
  </si>
  <si>
    <t>7FF358</t>
  </si>
  <si>
    <t>5E2383</t>
  </si>
  <si>
    <t>085222</t>
  </si>
  <si>
    <t>08D182</t>
  </si>
  <si>
    <t>292320</t>
  </si>
  <si>
    <t>17E38D</t>
  </si>
  <si>
    <t>ECAA36</t>
  </si>
  <si>
    <t>EACFB0</t>
  </si>
  <si>
    <t>8BC70F</t>
  </si>
  <si>
    <t>6013F7</t>
  </si>
  <si>
    <t>4DCE64</t>
  </si>
  <si>
    <t>61E1A0</t>
  </si>
  <si>
    <t>F649DC</t>
  </si>
  <si>
    <t>1FB319</t>
  </si>
  <si>
    <t>82F5B7</t>
  </si>
  <si>
    <t>93E645</t>
  </si>
  <si>
    <t>F9F4FC</t>
  </si>
  <si>
    <t>4817A6</t>
  </si>
  <si>
    <t>B6A9DE</t>
  </si>
  <si>
    <t>6D927A</t>
  </si>
  <si>
    <t>BC2984</t>
  </si>
  <si>
    <t>CBF4EE</t>
  </si>
  <si>
    <t>241F76</t>
  </si>
  <si>
    <t>AE66E3</t>
  </si>
  <si>
    <t>696653</t>
  </si>
  <si>
    <t>7AB4F4</t>
  </si>
  <si>
    <t>83E09A</t>
  </si>
  <si>
    <t>9488B1</t>
  </si>
  <si>
    <t>187596</t>
  </si>
  <si>
    <t>65124D</t>
  </si>
  <si>
    <t>41C3D1</t>
  </si>
  <si>
    <t>140723</t>
  </si>
  <si>
    <t>1D5B91</t>
  </si>
  <si>
    <t>A51BD3</t>
  </si>
  <si>
    <t>9B693E</t>
  </si>
  <si>
    <t>AC57E6</t>
  </si>
  <si>
    <t>64E0C1</t>
  </si>
  <si>
    <t>BF0C2A</t>
  </si>
  <si>
    <t>B3B82C</t>
  </si>
  <si>
    <t>BE1441</t>
  </si>
  <si>
    <t>F2D14B</t>
  </si>
  <si>
    <t>539F10</t>
  </si>
  <si>
    <t>FD16E0</t>
  </si>
  <si>
    <t>BA4109</t>
  </si>
  <si>
    <t>064BB6</t>
  </si>
  <si>
    <t>87CE7F</t>
  </si>
  <si>
    <t>1956C2</t>
  </si>
  <si>
    <t>A3AB73</t>
  </si>
  <si>
    <t>B8B900</t>
  </si>
  <si>
    <t>5921A2</t>
  </si>
  <si>
    <t>738ED2</t>
  </si>
  <si>
    <t>2224A9</t>
  </si>
  <si>
    <t>2547F6</t>
  </si>
  <si>
    <t>10F796</t>
  </si>
  <si>
    <t>655E6F</t>
  </si>
  <si>
    <t>D6A637</t>
  </si>
  <si>
    <t>4805E8</t>
  </si>
  <si>
    <t>2C77FC</t>
  </si>
  <si>
    <t>AE5271</t>
  </si>
  <si>
    <t>B6A944</t>
  </si>
  <si>
    <t>CCEEA4</t>
  </si>
  <si>
    <t>5A135E</t>
  </si>
  <si>
    <t>616689</t>
  </si>
  <si>
    <t>F43AA0</t>
  </si>
  <si>
    <t>F88DC6</t>
  </si>
  <si>
    <t>A0BD5D</t>
  </si>
  <si>
    <t>31DCFB</t>
  </si>
  <si>
    <t>5F9598</t>
  </si>
  <si>
    <t>AD0B54</t>
  </si>
  <si>
    <t>604AB8</t>
  </si>
  <si>
    <t>35E6A7</t>
  </si>
  <si>
    <t>3E4FA9</t>
  </si>
  <si>
    <t>4FBDB3</t>
  </si>
  <si>
    <t>9D9D1E</t>
  </si>
  <si>
    <t>CAD559</t>
  </si>
  <si>
    <t>4B5EF2</t>
  </si>
  <si>
    <t>FC9ADC</t>
  </si>
  <si>
    <t>F886CB</t>
  </si>
  <si>
    <t>43D278</t>
  </si>
  <si>
    <t>F28584</t>
  </si>
  <si>
    <t>0622F3</t>
  </si>
  <si>
    <t>BC9004</t>
  </si>
  <si>
    <t>7153F3</t>
  </si>
  <si>
    <t>E0EB7D</t>
  </si>
  <si>
    <t>399E22</t>
  </si>
  <si>
    <t>B9084F</t>
  </si>
  <si>
    <t>DCC98F</t>
  </si>
  <si>
    <t>B3F1ED</t>
  </si>
  <si>
    <t>C0C7C5</t>
  </si>
  <si>
    <t>F00D8E</t>
  </si>
  <si>
    <t>C93C7B</t>
  </si>
  <si>
    <t>E68895</t>
  </si>
  <si>
    <t>C340ED</t>
  </si>
  <si>
    <t>B772DE</t>
  </si>
  <si>
    <t>A6DB35</t>
  </si>
  <si>
    <t>1C9072</t>
  </si>
  <si>
    <t>1B642E</t>
  </si>
  <si>
    <t>99B149</t>
  </si>
  <si>
    <t>ACABC3</t>
  </si>
  <si>
    <t>931515</t>
  </si>
  <si>
    <t>8B54B8</t>
  </si>
  <si>
    <t>204C49</t>
  </si>
  <si>
    <t>B8DE38</t>
  </si>
  <si>
    <t>CB66CD</t>
  </si>
  <si>
    <t>E062CE</t>
  </si>
  <si>
    <t>B4541B</t>
  </si>
  <si>
    <t>6D798B</t>
  </si>
  <si>
    <t>7E5FA6</t>
  </si>
  <si>
    <t>5C1F7C</t>
  </si>
  <si>
    <t>ECEFE0</t>
  </si>
  <si>
    <t>BC5CBC</t>
  </si>
  <si>
    <t>845D2E</t>
  </si>
  <si>
    <t>8BB9AE</t>
  </si>
  <si>
    <t>F71994</t>
  </si>
  <si>
    <t>BACE4D</t>
  </si>
  <si>
    <t>A5B912</t>
  </si>
  <si>
    <t>6F7E86</t>
  </si>
  <si>
    <t>3CF5CB</t>
  </si>
  <si>
    <t>A21407</t>
  </si>
  <si>
    <t>36CA8A</t>
  </si>
  <si>
    <t>759710</t>
  </si>
  <si>
    <t>167144</t>
  </si>
  <si>
    <t>57CD12</t>
  </si>
  <si>
    <t>F9BA91</t>
  </si>
  <si>
    <t>545D41</t>
  </si>
  <si>
    <t>180E50</t>
  </si>
  <si>
    <t>B60859</t>
  </si>
  <si>
    <t>FFB4F0</t>
  </si>
  <si>
    <t>41E240</t>
  </si>
  <si>
    <t>880C01</t>
  </si>
  <si>
    <t>43C0AB</t>
  </si>
  <si>
    <t>105142</t>
  </si>
  <si>
    <t>F6776B</t>
  </si>
  <si>
    <t>2A401A</t>
  </si>
  <si>
    <t>785D7D</t>
  </si>
  <si>
    <t>5F800C</t>
  </si>
  <si>
    <t>1130EE</t>
  </si>
  <si>
    <t>9D512D</t>
  </si>
  <si>
    <t>38D790</t>
  </si>
  <si>
    <t>202CB4</t>
  </si>
  <si>
    <t>695B04</t>
  </si>
  <si>
    <t>7CC5D4</t>
  </si>
  <si>
    <t>F277AE</t>
  </si>
  <si>
    <t>719063</t>
  </si>
  <si>
    <t>CD8227</t>
  </si>
  <si>
    <t>6EC53F</t>
  </si>
  <si>
    <t>34416A</t>
  </si>
  <si>
    <t>98C06F</t>
  </si>
  <si>
    <t>684FBF</t>
  </si>
  <si>
    <t>A596B4</t>
  </si>
  <si>
    <t>E36260</t>
  </si>
  <si>
    <t>24A307</t>
  </si>
  <si>
    <t>AF3A4B</t>
  </si>
  <si>
    <t>E500DF</t>
  </si>
  <si>
    <t>11AE36</t>
  </si>
  <si>
    <t>1E9EB1</t>
  </si>
  <si>
    <t>EE2B66</t>
  </si>
  <si>
    <t>04F264</t>
  </si>
  <si>
    <t>E60350</t>
  </si>
  <si>
    <t>32CD47</t>
  </si>
  <si>
    <t>ABFC93</t>
  </si>
  <si>
    <t>93805E</t>
  </si>
  <si>
    <t>E7090F</t>
  </si>
  <si>
    <t>45F02B</t>
  </si>
  <si>
    <t>9E6AF9</t>
  </si>
  <si>
    <t>FFDEC5</t>
  </si>
  <si>
    <t>87AB59</t>
  </si>
  <si>
    <t>B4ECE1</t>
  </si>
  <si>
    <t>B515C2</t>
  </si>
  <si>
    <t>19C1FB</t>
  </si>
  <si>
    <t>86764C</t>
  </si>
  <si>
    <t>EDEE8B</t>
  </si>
  <si>
    <t>9BD7D4</t>
  </si>
  <si>
    <t>6EE62B</t>
  </si>
  <si>
    <t>CCF832</t>
  </si>
  <si>
    <t>D10638</t>
  </si>
  <si>
    <t>8FF9F6</t>
  </si>
  <si>
    <t>7E5D05</t>
  </si>
  <si>
    <t>CA1FD3</t>
  </si>
  <si>
    <t>B3EBB1</t>
  </si>
  <si>
    <t>37A264</t>
  </si>
  <si>
    <t>F4B97F</t>
  </si>
  <si>
    <t>9FB5AE</t>
  </si>
  <si>
    <t>3293D8</t>
  </si>
  <si>
    <t>8E4674</t>
  </si>
  <si>
    <t>BB4F55</t>
  </si>
  <si>
    <t>5829B9</t>
  </si>
  <si>
    <t>9B993E</t>
  </si>
  <si>
    <t>B4CBAD</t>
  </si>
  <si>
    <t>DFDC56</t>
  </si>
  <si>
    <t>4574B5</t>
  </si>
  <si>
    <t>7DE858</t>
  </si>
  <si>
    <t>908D2E</t>
  </si>
  <si>
    <t>670B78</t>
  </si>
  <si>
    <t>640663</t>
  </si>
  <si>
    <t>2226D4</t>
  </si>
  <si>
    <t>8C9FA3</t>
  </si>
  <si>
    <t>4E7FD3</t>
  </si>
  <si>
    <t>F2A1AF</t>
  </si>
  <si>
    <t>29FD19</t>
  </si>
  <si>
    <t>D46CF5</t>
  </si>
  <si>
    <t>74852E</t>
  </si>
  <si>
    <t>435281</t>
  </si>
  <si>
    <t>1AA022</t>
  </si>
  <si>
    <t>CE2A88</t>
  </si>
  <si>
    <t>1A4F7A</t>
  </si>
  <si>
    <t>779D19</t>
  </si>
  <si>
    <t>51ED05</t>
  </si>
  <si>
    <t>190070</t>
  </si>
  <si>
    <t>2CF443</t>
  </si>
  <si>
    <t>5D3624</t>
  </si>
  <si>
    <t>DDC6E8</t>
  </si>
  <si>
    <t>D71A32</t>
  </si>
  <si>
    <t>B6102A</t>
  </si>
  <si>
    <t>F1F87A</t>
  </si>
  <si>
    <t>1AD429</t>
  </si>
  <si>
    <t>327781</t>
  </si>
  <si>
    <t>BF36BB</t>
  </si>
  <si>
    <t>2AF5C4</t>
  </si>
  <si>
    <t>911C5E</t>
  </si>
  <si>
    <t>7FD2D2</t>
  </si>
  <si>
    <t>2FB715</t>
  </si>
  <si>
    <t>2928C6</t>
  </si>
  <si>
    <t>3FD1A9</t>
  </si>
  <si>
    <t>FA6581</t>
  </si>
  <si>
    <t>730919</t>
  </si>
  <si>
    <t>CD38EF</t>
  </si>
  <si>
    <t>C36D35</t>
  </si>
  <si>
    <t>7A10AF</t>
  </si>
  <si>
    <t>A2DE34</t>
  </si>
  <si>
    <t>E74A9D</t>
  </si>
  <si>
    <t>55E210</t>
  </si>
  <si>
    <t>11281F</t>
  </si>
  <si>
    <t>3BEE10</t>
  </si>
  <si>
    <t>245F96</t>
  </si>
  <si>
    <t>0528CF</t>
  </si>
  <si>
    <t>52BD91</t>
  </si>
  <si>
    <t>4D48D0</t>
  </si>
  <si>
    <t>7037BA</t>
  </si>
  <si>
    <t>D999BE</t>
  </si>
  <si>
    <t>4D5E99</t>
  </si>
  <si>
    <t>4C7D98</t>
  </si>
  <si>
    <t>CCCDF4</t>
  </si>
  <si>
    <t>DAB27C</t>
  </si>
  <si>
    <t>B3AF1C</t>
  </si>
  <si>
    <t>0E7D83</t>
  </si>
  <si>
    <t>235E42</t>
  </si>
  <si>
    <t>F93F4C</t>
  </si>
  <si>
    <t>FA308C</t>
  </si>
  <si>
    <t>F31056</t>
  </si>
  <si>
    <t>7802E1</t>
  </si>
  <si>
    <t>60AF80</t>
  </si>
  <si>
    <t>C3843E</t>
  </si>
  <si>
    <t>C83183</t>
  </si>
  <si>
    <t>580C43</t>
  </si>
  <si>
    <t>C1DFB9</t>
  </si>
  <si>
    <t>A3300C</t>
  </si>
  <si>
    <t>D10151</t>
  </si>
  <si>
    <t>4FDB18</t>
  </si>
  <si>
    <t>F71BEF</t>
  </si>
  <si>
    <t>735F6C</t>
  </si>
  <si>
    <t>4A5F41</t>
  </si>
  <si>
    <t>5FF1E2</t>
  </si>
  <si>
    <t>46C673</t>
  </si>
  <si>
    <t>2A5D13</t>
  </si>
  <si>
    <t>AAFFF9</t>
  </si>
  <si>
    <t>64DEE3</t>
  </si>
  <si>
    <t>57305D</t>
  </si>
  <si>
    <t>910D7A</t>
  </si>
  <si>
    <t>37225A</t>
  </si>
  <si>
    <t>AB9C6A</t>
  </si>
  <si>
    <t>1E0326</t>
  </si>
  <si>
    <t>EF5252</t>
  </si>
  <si>
    <t>A62C80</t>
  </si>
  <si>
    <t>B1AA6C</t>
  </si>
  <si>
    <t>2F6250</t>
  </si>
  <si>
    <t>77F720</t>
  </si>
  <si>
    <t>F3B2D5</t>
  </si>
  <si>
    <t>C75F0D</t>
  </si>
  <si>
    <t>77E75F</t>
  </si>
  <si>
    <t>F69D7C</t>
  </si>
  <si>
    <t>C2F87D</t>
  </si>
  <si>
    <t>2F4C76</t>
  </si>
  <si>
    <t>C0098F</t>
  </si>
  <si>
    <t>D3D82C</t>
  </si>
  <si>
    <t>4D19B0</t>
  </si>
  <si>
    <t>E144A6</t>
  </si>
  <si>
    <t>2AA5FE</t>
  </si>
  <si>
    <t>87F5DB</t>
  </si>
  <si>
    <t>CC05E2</t>
  </si>
  <si>
    <t>181753</t>
  </si>
  <si>
    <t>FA743D</t>
  </si>
  <si>
    <t>7FE1A1</t>
  </si>
  <si>
    <t>F078BC</t>
  </si>
  <si>
    <t>8E97CD</t>
  </si>
  <si>
    <t>467E7B</t>
  </si>
  <si>
    <t>450154</t>
  </si>
  <si>
    <t>BC7E47</t>
  </si>
  <si>
    <t>63755D</t>
  </si>
  <si>
    <t>5373C2</t>
  </si>
  <si>
    <t>22AA2E</t>
  </si>
  <si>
    <t>37FFD3</t>
  </si>
  <si>
    <t>1A0EF3</t>
  </si>
  <si>
    <t>2A1DF6</t>
  </si>
  <si>
    <t>A99AD2</t>
  </si>
  <si>
    <t>D69C7D</t>
  </si>
  <si>
    <t>DF1D1D</t>
  </si>
  <si>
    <t>D1AC87</t>
  </si>
  <si>
    <t>340159</t>
  </si>
  <si>
    <t>16E951</t>
  </si>
  <si>
    <t>483893</t>
  </si>
  <si>
    <t>9A2018</t>
  </si>
  <si>
    <t>4EBF38</t>
  </si>
  <si>
    <t>406275</t>
  </si>
  <si>
    <t>74110F</t>
  </si>
  <si>
    <t>DF327D</t>
  </si>
  <si>
    <t>84FEAD</t>
  </si>
  <si>
    <t>2017E0</t>
  </si>
  <si>
    <t>F500F3</t>
  </si>
  <si>
    <t>11D9CB</t>
  </si>
  <si>
    <t>F674AB</t>
  </si>
  <si>
    <t>01B577</t>
  </si>
  <si>
    <t>9AB708</t>
  </si>
  <si>
    <t>0D3C7B</t>
  </si>
  <si>
    <t>984007</t>
  </si>
  <si>
    <t>BC2FA0</t>
  </si>
  <si>
    <t>4D50E8</t>
  </si>
  <si>
    <t>5ED7B8</t>
  </si>
  <si>
    <t>A5211E</t>
  </si>
  <si>
    <t>AC5AA9</t>
  </si>
  <si>
    <t>E1BAB7</t>
  </si>
  <si>
    <t>47F86A</t>
  </si>
  <si>
    <t>6EE081</t>
  </si>
  <si>
    <t>A5448A</t>
  </si>
  <si>
    <t>92CE14</t>
  </si>
  <si>
    <t>9BBA9A</t>
  </si>
  <si>
    <t>33DE51</t>
  </si>
  <si>
    <t>CB8DE3</t>
  </si>
  <si>
    <t>536F0D</t>
  </si>
  <si>
    <t>EFCA39</t>
  </si>
  <si>
    <t>B1EC8D</t>
  </si>
  <si>
    <t>A77839</t>
  </si>
  <si>
    <t>EA2E50</t>
  </si>
  <si>
    <t>CA5B62</t>
  </si>
  <si>
    <t>DE72DC</t>
  </si>
  <si>
    <t>762CD9</t>
  </si>
  <si>
    <t>51E5DA</t>
  </si>
  <si>
    <t>EC7FAD</t>
  </si>
  <si>
    <t>B146C6</t>
  </si>
  <si>
    <t>7720EE</t>
  </si>
  <si>
    <t>2E24CD</t>
  </si>
  <si>
    <t>A06128</t>
  </si>
  <si>
    <t>A6EBAC</t>
  </si>
  <si>
    <t>03B090</t>
  </si>
  <si>
    <t>3A293D</t>
  </si>
  <si>
    <t>1642FC</t>
  </si>
  <si>
    <t>7BC2B9</t>
  </si>
  <si>
    <t>2653FA</t>
  </si>
  <si>
    <t>9A4E41</t>
  </si>
  <si>
    <t>94B2EF</t>
  </si>
  <si>
    <t>8781C9</t>
  </si>
  <si>
    <t>F16F24</t>
  </si>
  <si>
    <t>d0832e85</t>
  </si>
  <si>
    <t>3F5632</t>
  </si>
  <si>
    <t>e2871140</t>
  </si>
  <si>
    <t>64ED62</t>
  </si>
  <si>
    <t>6815cd13</t>
  </si>
  <si>
    <t>DF6F35</t>
  </si>
  <si>
    <t>9f21bf74</t>
  </si>
  <si>
    <t>7ADFDC</t>
  </si>
  <si>
    <t>2c764db2</t>
  </si>
  <si>
    <t>C0E171</t>
  </si>
  <si>
    <t>b9e1ab4a</t>
  </si>
  <si>
    <t>3F6EE5</t>
  </si>
  <si>
    <t>b70b0136</t>
  </si>
  <si>
    <t>E9535B</t>
  </si>
  <si>
    <t>329a3d90</t>
  </si>
  <si>
    <t>44DB99</t>
  </si>
  <si>
    <t>334acb66</t>
  </si>
  <si>
    <t>AC5DF9</t>
  </si>
  <si>
    <t>5e96310b</t>
  </si>
  <si>
    <t>825046</t>
  </si>
  <si>
    <t>0753fda9</t>
  </si>
  <si>
    <t>9ABCCF</t>
  </si>
  <si>
    <t>29ad3d20</t>
  </si>
  <si>
    <t>C11381</t>
  </si>
  <si>
    <t>6de438b9</t>
  </si>
  <si>
    <t>AA6804</t>
  </si>
  <si>
    <t>83fc4803</t>
  </si>
  <si>
    <t>409AEC</t>
  </si>
  <si>
    <t>5813a9be</t>
  </si>
  <si>
    <t>15AE16</t>
  </si>
  <si>
    <t>2f629a69</t>
  </si>
  <si>
    <t>9C3810</t>
  </si>
  <si>
    <t>9dea4f19</t>
  </si>
  <si>
    <t>1F016D</t>
  </si>
  <si>
    <t>5e7354fa</t>
  </si>
  <si>
    <t>3DEAD2</t>
  </si>
  <si>
    <t>510a926d</t>
  </si>
  <si>
    <t>A9819C</t>
  </si>
  <si>
    <t>b01475b8</t>
  </si>
  <si>
    <t>9E8A66</t>
  </si>
  <si>
    <t>6df6fd32</t>
  </si>
  <si>
    <t>628F30</t>
  </si>
  <si>
    <t>f5097879</t>
  </si>
  <si>
    <t>252EC2</t>
  </si>
  <si>
    <t>f109f5e3</t>
  </si>
  <si>
    <t>3A3454</t>
  </si>
  <si>
    <t>b669f783</t>
  </si>
  <si>
    <t>E3D1F5</t>
  </si>
  <si>
    <t>bb02b0d4</t>
  </si>
  <si>
    <t>BE1BAE</t>
  </si>
  <si>
    <t>facfda73</t>
  </si>
  <si>
    <t>86C1E8</t>
  </si>
  <si>
    <t>4c95cd55</t>
  </si>
  <si>
    <t>E8722F</t>
  </si>
  <si>
    <t>69d33b28</t>
  </si>
  <si>
    <t>34F070</t>
  </si>
  <si>
    <t>46e4447d</t>
  </si>
  <si>
    <t>60A7CE</t>
  </si>
  <si>
    <t>5af932f9</t>
  </si>
  <si>
    <t>91B8AD</t>
  </si>
  <si>
    <t>95d41200</t>
  </si>
  <si>
    <t>82CE5B</t>
  </si>
  <si>
    <t>ca38d892</t>
  </si>
  <si>
    <t>9A8E19</t>
  </si>
  <si>
    <t>41699cb3</t>
  </si>
  <si>
    <t>B294E3</t>
  </si>
  <si>
    <t>8f84d62f</t>
  </si>
  <si>
    <t>5D7AE4</t>
  </si>
  <si>
    <t>d1ba2098</t>
  </si>
  <si>
    <t>2BD157</t>
  </si>
  <si>
    <t>ae73794d</t>
  </si>
  <si>
    <t>F59852</t>
  </si>
  <si>
    <t>1e17391a</t>
  </si>
  <si>
    <t>437168</t>
  </si>
  <si>
    <t>6191cf09</t>
  </si>
  <si>
    <t>620550</t>
  </si>
  <si>
    <t>de1e93fe</t>
  </si>
  <si>
    <t>ABC6D4</t>
  </si>
  <si>
    <t>80b0b9dc</t>
  </si>
  <si>
    <t>878C84</t>
  </si>
  <si>
    <t>dad579af</t>
  </si>
  <si>
    <t>0DB28B</t>
  </si>
  <si>
    <t>c387c177</t>
  </si>
  <si>
    <t>6E6C6A</t>
  </si>
  <si>
    <t>8989f88e</t>
  </si>
  <si>
    <t>18756C</t>
  </si>
  <si>
    <t>05e7c3d3</t>
  </si>
  <si>
    <t>D9C95A</t>
  </si>
  <si>
    <t>08acf446</t>
  </si>
  <si>
    <t>F32487</t>
  </si>
  <si>
    <t>94e601da</t>
  </si>
  <si>
    <t>067A85</t>
  </si>
  <si>
    <t>36509b2d</t>
  </si>
  <si>
    <t>D82A1D</t>
  </si>
  <si>
    <t>e9c4460e</t>
  </si>
  <si>
    <t>606041</t>
  </si>
  <si>
    <t>e11f93ad</t>
  </si>
  <si>
    <t>241BCD</t>
  </si>
  <si>
    <t>b91d209a</t>
  </si>
  <si>
    <t>918338</t>
  </si>
  <si>
    <t>2f33194c</t>
  </si>
  <si>
    <t>88C1A3</t>
  </si>
  <si>
    <t>418627bd</t>
  </si>
  <si>
    <t>8A2145</t>
  </si>
  <si>
    <t>cc08e623</t>
  </si>
  <si>
    <t>9AB102</t>
  </si>
  <si>
    <t>9dcc4102</t>
  </si>
  <si>
    <t>2DC622</t>
  </si>
  <si>
    <t>ec6044f7</t>
  </si>
  <si>
    <t>FE9996</t>
  </si>
  <si>
    <t>0c7d4a4a</t>
  </si>
  <si>
    <t>ACDB32</t>
  </si>
  <si>
    <t>7d197455</t>
  </si>
  <si>
    <t>F291C6</t>
  </si>
  <si>
    <t>f3ae0c52</t>
  </si>
  <si>
    <t>4CFAF5</t>
  </si>
  <si>
    <t>4295a147</t>
  </si>
  <si>
    <t>62935D</t>
  </si>
  <si>
    <t>965bf212</t>
  </si>
  <si>
    <t>620A0D</t>
  </si>
  <si>
    <t>5456591b</t>
  </si>
  <si>
    <t>AD3051</t>
  </si>
  <si>
    <t>bdf5b70a</t>
  </si>
  <si>
    <t>77E0D3</t>
  </si>
  <si>
    <t>2f9563d9</t>
  </si>
  <si>
    <t>7192F2</t>
  </si>
  <si>
    <t>728fc861</t>
  </si>
  <si>
    <t>756DDC</t>
  </si>
  <si>
    <t>c5db708e</t>
  </si>
  <si>
    <t>615BDB</t>
  </si>
  <si>
    <t>aeca1369</t>
  </si>
  <si>
    <t>B7EB01</t>
  </si>
  <si>
    <t>ba4a352f</t>
  </si>
  <si>
    <t>032373</t>
  </si>
  <si>
    <t>36c090f6</t>
  </si>
  <si>
    <t>7C43B9</t>
  </si>
  <si>
    <t>dee2305f</t>
  </si>
  <si>
    <t>6C8BD9</t>
  </si>
  <si>
    <t>11950bf7</t>
  </si>
  <si>
    <t>2F64E1</t>
  </si>
  <si>
    <t>feaae9e6</t>
  </si>
  <si>
    <t>482B87</t>
  </si>
  <si>
    <t>fac06114</t>
  </si>
  <si>
    <t>891B3B</t>
  </si>
  <si>
    <t>562ec626</t>
  </si>
  <si>
    <t>7B6808</t>
  </si>
  <si>
    <t>099a35c1</t>
  </si>
  <si>
    <t>59A745</t>
  </si>
  <si>
    <t>2b098d92</t>
  </si>
  <si>
    <t>A5DB8C</t>
  </si>
  <si>
    <t>d8b5d828</t>
  </si>
  <si>
    <t>35822D</t>
  </si>
  <si>
    <t>a89fdf98</t>
  </si>
  <si>
    <t>A65741</t>
  </si>
  <si>
    <t>71d20cb1</t>
  </si>
  <si>
    <t>463909</t>
  </si>
  <si>
    <t>a2be5f32</t>
  </si>
  <si>
    <t>AC3FA0</t>
  </si>
  <si>
    <t>a5fc909b</t>
  </si>
  <si>
    <t>680091</t>
  </si>
  <si>
    <t>c1b9d141</t>
  </si>
  <si>
    <t>EE1F2F</t>
  </si>
  <si>
    <t>37852e8d</t>
  </si>
  <si>
    <t>E2F504</t>
  </si>
  <si>
    <t>7bed4bd9</t>
  </si>
  <si>
    <t>6B1F6B</t>
  </si>
  <si>
    <t>572b3e90</t>
  </si>
  <si>
    <t>D21EFB</t>
  </si>
  <si>
    <t>9006a8b3</t>
  </si>
  <si>
    <t>9BDEBE</t>
  </si>
  <si>
    <t>04eb1b39</t>
  </si>
  <si>
    <t>128F48</t>
  </si>
  <si>
    <t>c8af199e</t>
  </si>
  <si>
    <t>5315C9</t>
  </si>
  <si>
    <t>2f4c0a6a</t>
  </si>
  <si>
    <t>1F7134</t>
  </si>
  <si>
    <t>a0da105b</t>
  </si>
  <si>
    <t>66ED6C</t>
  </si>
  <si>
    <t>64e660c1</t>
  </si>
  <si>
    <t>DE13AB</t>
  </si>
  <si>
    <t>b990076b</t>
  </si>
  <si>
    <t>E40A3A</t>
  </si>
  <si>
    <t>a4360ce9</t>
  </si>
  <si>
    <t>33DF31</t>
  </si>
  <si>
    <t>f595092c</t>
  </si>
  <si>
    <t>4A6962</t>
  </si>
  <si>
    <t>9d75e22a</t>
  </si>
  <si>
    <t>8937AC</t>
  </si>
  <si>
    <t>7b356846</t>
  </si>
  <si>
    <t>A57624</t>
  </si>
  <si>
    <t>586723c3</t>
  </si>
  <si>
    <t>A4A65E</t>
  </si>
  <si>
    <t>7645ba37</t>
  </si>
  <si>
    <t>A37E5F</t>
  </si>
  <si>
    <t>8d22018e</t>
  </si>
  <si>
    <t>B2999E</t>
  </si>
  <si>
    <t>46b9edf4</t>
  </si>
  <si>
    <t>481FE3</t>
  </si>
  <si>
    <t>0ab1967c</t>
  </si>
  <si>
    <t>CCCD2C</t>
  </si>
  <si>
    <t>869d4303</t>
  </si>
  <si>
    <t>88AF72</t>
  </si>
  <si>
    <t>11bb2626</t>
  </si>
  <si>
    <t>F24727</t>
  </si>
  <si>
    <t>5a353db4</t>
  </si>
  <si>
    <t>5C35B3</t>
  </si>
  <si>
    <t>fe8ebf47</t>
  </si>
  <si>
    <t>7B0301</t>
  </si>
  <si>
    <t>b206cbc3</t>
  </si>
  <si>
    <t>49AD83</t>
  </si>
  <si>
    <t>e1a267cf</t>
  </si>
  <si>
    <t>9A250D</t>
  </si>
  <si>
    <t>4f672040</t>
  </si>
  <si>
    <t>B9F259</t>
  </si>
  <si>
    <t>6c72a155</t>
  </si>
  <si>
    <t>3C2665</t>
  </si>
  <si>
    <t>c6a3b1dd</t>
  </si>
  <si>
    <t>AE84B0</t>
  </si>
  <si>
    <t>bde58f22</t>
  </si>
  <si>
    <t>551258</t>
  </si>
  <si>
    <t>d21413e1</t>
  </si>
  <si>
    <t>9635AE</t>
  </si>
  <si>
    <t>931EF6</t>
  </si>
  <si>
    <t>B2EB92</t>
  </si>
  <si>
    <t>98AC10</t>
  </si>
  <si>
    <t>DC2A77</t>
  </si>
  <si>
    <t>C76039</t>
  </si>
  <si>
    <t>62E0BE</t>
  </si>
  <si>
    <t>619569</t>
  </si>
  <si>
    <t>3FBAEB</t>
  </si>
  <si>
    <t>E4DAAF</t>
  </si>
  <si>
    <t>425D43</t>
  </si>
  <si>
    <t>99402F</t>
  </si>
  <si>
    <t>BBB6AF</t>
  </si>
  <si>
    <t>431416</t>
  </si>
  <si>
    <t>187C62</t>
  </si>
  <si>
    <t>798425</t>
  </si>
  <si>
    <t>ACD6CF</t>
  </si>
  <si>
    <t>918762</t>
  </si>
  <si>
    <t>8E31DD</t>
  </si>
  <si>
    <t>488F04</t>
  </si>
  <si>
    <t>60D153</t>
  </si>
  <si>
    <t>C3D401</t>
  </si>
  <si>
    <t>1CDCE2</t>
  </si>
  <si>
    <t>C0A632</t>
  </si>
  <si>
    <t>54E791</t>
  </si>
  <si>
    <t>7CF3FB</t>
  </si>
  <si>
    <t>F92EE9</t>
  </si>
  <si>
    <t>52657D</t>
  </si>
  <si>
    <t>331F1E</t>
  </si>
  <si>
    <t>8D8444</t>
  </si>
  <si>
    <t>9499B8</t>
  </si>
  <si>
    <t>F3B35C</t>
  </si>
  <si>
    <t>4BE0A3</t>
  </si>
  <si>
    <t>165EF4</t>
  </si>
  <si>
    <t>5714D3</t>
  </si>
  <si>
    <t>5F477C</t>
  </si>
  <si>
    <t>8DB6F5</t>
  </si>
  <si>
    <t>8FE2CF</t>
  </si>
  <si>
    <t>0F3BE5</t>
  </si>
  <si>
    <t>EDE60E</t>
  </si>
  <si>
    <t>399C41</t>
  </si>
  <si>
    <t>F6FBC</t>
  </si>
  <si>
    <t>7CCD08</t>
  </si>
  <si>
    <t>4A5B2D</t>
  </si>
  <si>
    <t>1EEA1F</t>
  </si>
  <si>
    <t>DC4B5F</t>
  </si>
  <si>
    <t>92A6F0</t>
  </si>
  <si>
    <t>9CBBF8</t>
  </si>
  <si>
    <t>91DCDA</t>
  </si>
  <si>
    <t>58B6FB</t>
  </si>
  <si>
    <t>36D458</t>
  </si>
  <si>
    <t>7BC8E8</t>
  </si>
  <si>
    <t>91E954</t>
  </si>
  <si>
    <t>89ACF7</t>
  </si>
  <si>
    <t>923339</t>
  </si>
  <si>
    <t>7DD4EE</t>
  </si>
  <si>
    <t>65283C</t>
  </si>
  <si>
    <t>E7AD8D</t>
  </si>
  <si>
    <t>731BAF</t>
  </si>
  <si>
    <t>BB727D</t>
  </si>
  <si>
    <t>F31091</t>
  </si>
  <si>
    <t>BDD8A0</t>
  </si>
  <si>
    <t>F85390</t>
  </si>
  <si>
    <t>69DCB6</t>
  </si>
  <si>
    <t>3DE69A</t>
  </si>
  <si>
    <t>A2A183</t>
  </si>
  <si>
    <t>18D918</t>
  </si>
  <si>
    <t>F2128F</t>
  </si>
  <si>
    <t>CEE3CC</t>
  </si>
  <si>
    <t>41FB85</t>
  </si>
  <si>
    <t>AAE02B</t>
  </si>
  <si>
    <t>85E4BB</t>
  </si>
  <si>
    <t>C06F5D</t>
  </si>
  <si>
    <t>5EDFB0</t>
  </si>
  <si>
    <t>1E0318</t>
  </si>
  <si>
    <t>89EAF4</t>
  </si>
  <si>
    <t>430663</t>
  </si>
  <si>
    <t>F2632F</t>
  </si>
  <si>
    <t>1B60DF</t>
  </si>
  <si>
    <t>195B25</t>
  </si>
  <si>
    <t>2FEDC8</t>
  </si>
  <si>
    <t>3E2421</t>
  </si>
  <si>
    <t>E77053</t>
  </si>
  <si>
    <t>D82A73</t>
  </si>
  <si>
    <t>17B772</t>
  </si>
  <si>
    <t>3BD7F3</t>
  </si>
  <si>
    <t>85F0B2</t>
  </si>
  <si>
    <t>A3D632</t>
  </si>
  <si>
    <t>8D476A</t>
  </si>
  <si>
    <t>196437</t>
  </si>
  <si>
    <t>E5D57E</t>
  </si>
  <si>
    <t>8036CA</t>
  </si>
  <si>
    <t>7F9CE3</t>
  </si>
  <si>
    <t>81A742</t>
  </si>
  <si>
    <t>7A94B6</t>
  </si>
  <si>
    <t>ED6842</t>
  </si>
  <si>
    <t>C06E5F</t>
  </si>
  <si>
    <t>15F361</t>
  </si>
  <si>
    <t>AF1BAE</t>
  </si>
  <si>
    <t>1BB8D5</t>
  </si>
  <si>
    <t>4AE762</t>
  </si>
  <si>
    <t>10DCE1</t>
  </si>
  <si>
    <t>2E203B</t>
  </si>
  <si>
    <t>1A2C3F</t>
  </si>
  <si>
    <t>1FC966</t>
  </si>
  <si>
    <t>40EF8D</t>
  </si>
  <si>
    <t>88C8E6</t>
  </si>
  <si>
    <t>DFD210</t>
  </si>
  <si>
    <t>32190E</t>
  </si>
  <si>
    <t>268A50</t>
  </si>
  <si>
    <t>D9004E</t>
  </si>
  <si>
    <t>57A17C</t>
  </si>
  <si>
    <t>B49BBE</t>
  </si>
  <si>
    <t>E22A32</t>
  </si>
  <si>
    <t>757504</t>
  </si>
  <si>
    <t>9E8225</t>
  </si>
  <si>
    <t>5BF90E</t>
  </si>
  <si>
    <t>75D5BC</t>
  </si>
  <si>
    <t>1B8881</t>
  </si>
  <si>
    <t>A5092E</t>
  </si>
  <si>
    <t>CE96DE</t>
  </si>
  <si>
    <t>ACBA06</t>
  </si>
  <si>
    <t>5C84F4</t>
  </si>
  <si>
    <t>2445EC</t>
  </si>
  <si>
    <t>697DE2</t>
  </si>
  <si>
    <t>632218</t>
  </si>
  <si>
    <t>F89B12</t>
  </si>
  <si>
    <t>96e6183f</t>
  </si>
  <si>
    <t>D3FFF4</t>
  </si>
  <si>
    <t>18162692</t>
  </si>
  <si>
    <t>D0A635</t>
  </si>
  <si>
    <t>4484a569</t>
  </si>
  <si>
    <t>21B891</t>
  </si>
  <si>
    <t>7b0b3591</t>
  </si>
  <si>
    <t>78C654</t>
  </si>
  <si>
    <t>7565e2a1</t>
  </si>
  <si>
    <t>BF133A</t>
  </si>
  <si>
    <t>44b2cb1e</t>
  </si>
  <si>
    <t>4EC4B7</t>
  </si>
  <si>
    <t>2db3140b</t>
  </si>
  <si>
    <t>4F0AA8</t>
  </si>
  <si>
    <t>fc052bb6</t>
  </si>
  <si>
    <t>713170</t>
  </si>
  <si>
    <t>46f798e3</t>
  </si>
  <si>
    <t>648F16</t>
  </si>
  <si>
    <t>f3f58e66</t>
  </si>
  <si>
    <t>8C74F7</t>
  </si>
  <si>
    <t>7d5647da</t>
  </si>
  <si>
    <t>7E30FD</t>
  </si>
  <si>
    <t>f6e85868</t>
  </si>
  <si>
    <t>3AF270</t>
  </si>
  <si>
    <t>860bba95</t>
  </si>
  <si>
    <t>72910E</t>
  </si>
  <si>
    <t>ff8bab1b</t>
  </si>
  <si>
    <t>920C7E</t>
  </si>
  <si>
    <t>b26cf7e6</t>
  </si>
  <si>
    <t>16ED4E</t>
  </si>
  <si>
    <t>6b1d7b98</t>
  </si>
  <si>
    <t>60A7A4</t>
  </si>
  <si>
    <t>94eb5965</t>
  </si>
  <si>
    <t>122E8B</t>
  </si>
  <si>
    <t>41aa836e</t>
  </si>
  <si>
    <t>E9E2A3</t>
  </si>
  <si>
    <t>3b9ba8d9</t>
  </si>
  <si>
    <t>B558AA</t>
  </si>
  <si>
    <t>d0d83241</t>
  </si>
  <si>
    <t>696E49</t>
  </si>
  <si>
    <t>33f0f5e1</t>
  </si>
  <si>
    <t>39736A</t>
  </si>
  <si>
    <t>40969101</t>
  </si>
  <si>
    <t>2373A3</t>
  </si>
  <si>
    <t>e4ed9ab8</t>
  </si>
  <si>
    <t>C228AD</t>
  </si>
  <si>
    <t>55c1631f</t>
  </si>
  <si>
    <t>F1908E</t>
  </si>
  <si>
    <t>901cccb4</t>
  </si>
  <si>
    <t>06B05F</t>
  </si>
  <si>
    <t>b6ba3425</t>
  </si>
  <si>
    <t>466009</t>
  </si>
  <si>
    <t>82905b27</t>
  </si>
  <si>
    <t>077188</t>
  </si>
  <si>
    <t>cc40191a</t>
  </si>
  <si>
    <t>3284DC</t>
  </si>
  <si>
    <t>ebbbf9a7</t>
  </si>
  <si>
    <t>F14327</t>
  </si>
  <si>
    <t>634fc6ca</t>
  </si>
  <si>
    <t>968260</t>
  </si>
  <si>
    <t>898f9099</t>
  </si>
  <si>
    <t>66AEDE</t>
  </si>
  <si>
    <t>6d2f230e</t>
  </si>
  <si>
    <t>F5187D</t>
  </si>
  <si>
    <t>e9dbd174</t>
  </si>
  <si>
    <t>37428E</t>
  </si>
  <si>
    <t>1e4831a3</t>
  </si>
  <si>
    <t>37953E</t>
  </si>
  <si>
    <t>ad70fd84</t>
  </si>
  <si>
    <t>E41D6E</t>
  </si>
  <si>
    <t>eb8561e3</t>
  </si>
  <si>
    <t>A9DF81</t>
  </si>
  <si>
    <t>40e5e604</t>
  </si>
  <si>
    <t>B2B83C</t>
  </si>
  <si>
    <t>6734605d</t>
  </si>
  <si>
    <t>D42399</t>
  </si>
  <si>
    <t>6af1589c</t>
  </si>
  <si>
    <t>F2AF8B</t>
  </si>
  <si>
    <t>85c16e8a</t>
  </si>
  <si>
    <t>0D4403</t>
  </si>
  <si>
    <t>8a05c91f</t>
  </si>
  <si>
    <t>2C525A</t>
  </si>
  <si>
    <t>e4582f15</t>
  </si>
  <si>
    <t>68BD6D</t>
  </si>
  <si>
    <t>2eff6f27</t>
  </si>
  <si>
    <t>4B266A</t>
  </si>
  <si>
    <t>9fbda3fe</t>
  </si>
  <si>
    <t>4DCEB6</t>
  </si>
  <si>
    <t>db8eaba0</t>
  </si>
  <si>
    <t>54B708</t>
  </si>
  <si>
    <t>f85e0c96</t>
  </si>
  <si>
    <t>B9AAB2</t>
  </si>
  <si>
    <t>cacdca4e</t>
  </si>
  <si>
    <t>A01A3C</t>
  </si>
  <si>
    <t>14a54ef6</t>
  </si>
  <si>
    <t>2482C2</t>
  </si>
  <si>
    <t>5ab6fa9e</t>
  </si>
  <si>
    <t>C8E398</t>
  </si>
  <si>
    <t>51bfdb4e</t>
  </si>
  <si>
    <t>C696A4</t>
  </si>
  <si>
    <t>0fad8eda</t>
  </si>
  <si>
    <t>2FFB14</t>
  </si>
  <si>
    <t>8a66b616</t>
  </si>
  <si>
    <t>B066F6</t>
  </si>
  <si>
    <t>a901a331</t>
  </si>
  <si>
    <t>E941A8</t>
  </si>
  <si>
    <t>9d3c9d13</t>
  </si>
  <si>
    <t>C4ED5A</t>
  </si>
  <si>
    <t>817f6198</t>
  </si>
  <si>
    <t>8D54A7</t>
  </si>
  <si>
    <t>68b7384b</t>
  </si>
  <si>
    <t>2F963F</t>
  </si>
  <si>
    <t>43934545</t>
  </si>
  <si>
    <t>D65BFF</t>
  </si>
  <si>
    <t>1a3e967f</t>
  </si>
  <si>
    <t>C6E5A9</t>
  </si>
  <si>
    <t>d8c9c2fd</t>
  </si>
  <si>
    <t>F4DED6</t>
  </si>
  <si>
    <t>5a1ec138</t>
  </si>
  <si>
    <t>E17182</t>
  </si>
  <si>
    <t>3b39656f</t>
  </si>
  <si>
    <t>995D43</t>
  </si>
  <si>
    <t>da805615</t>
  </si>
  <si>
    <t>3A715E</t>
  </si>
  <si>
    <t>08bf48cd</t>
  </si>
  <si>
    <t>302504</t>
  </si>
  <si>
    <t>e9ec1f26</t>
  </si>
  <si>
    <t>76CCAF</t>
  </si>
  <si>
    <t>1f6da830</t>
  </si>
  <si>
    <t>59C279</t>
  </si>
  <si>
    <t>600b097b</t>
  </si>
  <si>
    <t>D88DC5</t>
  </si>
  <si>
    <t>8a15582e</t>
  </si>
  <si>
    <t>52CE46</t>
  </si>
  <si>
    <t>250f13d0</t>
  </si>
  <si>
    <t>763137</t>
  </si>
  <si>
    <t>8d82d180</t>
  </si>
  <si>
    <t>84EB5B</t>
  </si>
  <si>
    <t>72AE7A</t>
  </si>
  <si>
    <t>97D059</t>
  </si>
  <si>
    <t>E38FC7</t>
  </si>
  <si>
    <t>F77276</t>
  </si>
  <si>
    <t>493C98</t>
  </si>
  <si>
    <t>43176F</t>
  </si>
  <si>
    <t>4BFB59</t>
  </si>
  <si>
    <t>8B771F</t>
  </si>
  <si>
    <t>3B6426</t>
  </si>
  <si>
    <t>B36CCA</t>
  </si>
  <si>
    <t>0F4790</t>
  </si>
  <si>
    <t>EA4336</t>
  </si>
  <si>
    <t>2DA9E5</t>
  </si>
  <si>
    <t>BFA624</t>
  </si>
  <si>
    <t>62A468</t>
  </si>
  <si>
    <t>22F6B8</t>
  </si>
  <si>
    <t>7A0365</t>
  </si>
  <si>
    <t>1167EB</t>
  </si>
  <si>
    <t>109132</t>
  </si>
  <si>
    <t>53231F</t>
  </si>
  <si>
    <t>196B68</t>
  </si>
  <si>
    <t>6F044E</t>
  </si>
  <si>
    <t>6BC0E9</t>
  </si>
  <si>
    <t>A18099</t>
  </si>
  <si>
    <t>7C2C9B</t>
  </si>
  <si>
    <t>CD4111</t>
  </si>
  <si>
    <t>43C9C8</t>
  </si>
  <si>
    <t>E62707</t>
  </si>
  <si>
    <t>B35C9D</t>
  </si>
  <si>
    <t>910E3F</t>
  </si>
  <si>
    <t>EBBA3F</t>
  </si>
  <si>
    <t>9EF4D2</t>
  </si>
  <si>
    <t>A34156</t>
  </si>
  <si>
    <t>A0779F</t>
  </si>
  <si>
    <t>8BED2D</t>
  </si>
  <si>
    <t>3A0D8B</t>
  </si>
  <si>
    <t>739A9B</t>
  </si>
  <si>
    <t>C15B00</t>
  </si>
  <si>
    <t>09B772</t>
  </si>
  <si>
    <t>539A5E</t>
  </si>
  <si>
    <t>580A25</t>
  </si>
  <si>
    <t>4BAD55</t>
  </si>
  <si>
    <t>C8C8CD</t>
  </si>
  <si>
    <t>3F3658</t>
  </si>
  <si>
    <t>1813DA</t>
  </si>
  <si>
    <t>64589F</t>
  </si>
  <si>
    <t>6B5A07</t>
  </si>
  <si>
    <t>18B073</t>
  </si>
  <si>
    <t>737060</t>
  </si>
  <si>
    <t>CCFCA6</t>
  </si>
  <si>
    <t>7F8276</t>
  </si>
  <si>
    <t>A30D80</t>
  </si>
  <si>
    <t>9CAC08</t>
  </si>
  <si>
    <t>D41C85</t>
  </si>
  <si>
    <t>B94EC9</t>
  </si>
  <si>
    <t>6FF3D3</t>
  </si>
  <si>
    <t>894C00</t>
  </si>
  <si>
    <t>188303</t>
  </si>
  <si>
    <t>F27328</t>
  </si>
  <si>
    <t>24EAC8</t>
  </si>
  <si>
    <t>C3F3DB</t>
  </si>
  <si>
    <t>A1E7BF</t>
  </si>
  <si>
    <t>A9B29F</t>
  </si>
  <si>
    <t>371819</t>
  </si>
  <si>
    <t>C24568</t>
  </si>
  <si>
    <t>481F2A</t>
  </si>
  <si>
    <t>2555E2</t>
  </si>
  <si>
    <t>2164F9</t>
  </si>
  <si>
    <t>7D74DA</t>
  </si>
  <si>
    <t>815F52</t>
  </si>
  <si>
    <t>AD4B57</t>
  </si>
  <si>
    <t>EC350E</t>
  </si>
  <si>
    <t>31CB3B</t>
  </si>
  <si>
    <t>77637C</t>
  </si>
  <si>
    <t>8ACA77</t>
  </si>
  <si>
    <t>D9192D</t>
  </si>
  <si>
    <t>B69135</t>
  </si>
  <si>
    <t>B2788C</t>
  </si>
  <si>
    <t>9C947A</t>
  </si>
  <si>
    <t>2827F4</t>
  </si>
  <si>
    <t>D51C27</t>
  </si>
  <si>
    <t>C0BC45</t>
  </si>
  <si>
    <t>582C59</t>
  </si>
  <si>
    <t>37E624</t>
  </si>
  <si>
    <t>62F78E</t>
  </si>
  <si>
    <t>FF1950</t>
  </si>
  <si>
    <t>01A019</t>
  </si>
  <si>
    <t>B3E8DA</t>
  </si>
  <si>
    <t>A864B9</t>
  </si>
  <si>
    <t>10CA15</t>
  </si>
  <si>
    <t>BCBD6C</t>
  </si>
  <si>
    <t>219B8F</t>
  </si>
  <si>
    <t>C9AAD0</t>
  </si>
  <si>
    <t>A16C6A</t>
  </si>
  <si>
    <t>DBCB9F</t>
  </si>
  <si>
    <t>DDD3E9</t>
  </si>
  <si>
    <t>7EF12B</t>
  </si>
  <si>
    <t>C4F008</t>
  </si>
  <si>
    <t>7924D7</t>
  </si>
  <si>
    <t>891D63</t>
  </si>
  <si>
    <t>639DF8</t>
  </si>
  <si>
    <t>A7E9DC</t>
  </si>
  <si>
    <t>FA48A0</t>
  </si>
  <si>
    <t>F3E6B7</t>
  </si>
  <si>
    <t>8B7332</t>
  </si>
  <si>
    <t>4A161A</t>
  </si>
  <si>
    <t>9441CE</t>
  </si>
  <si>
    <t>D6FB28</t>
  </si>
  <si>
    <t>D8E3E9</t>
  </si>
  <si>
    <t>AC132F</t>
  </si>
  <si>
    <t>4A79A9</t>
  </si>
  <si>
    <t>07F192</t>
  </si>
  <si>
    <t>C55BD4</t>
  </si>
  <si>
    <t>309F76</t>
  </si>
  <si>
    <t>2A526B</t>
  </si>
  <si>
    <t>647B4B</t>
  </si>
  <si>
    <t>E9733D</t>
  </si>
  <si>
    <t>F0E3C5</t>
  </si>
  <si>
    <t>B72311</t>
  </si>
  <si>
    <t>62BCD7</t>
  </si>
  <si>
    <t>984932</t>
  </si>
  <si>
    <t>6A94C7</t>
  </si>
  <si>
    <t>936E76</t>
  </si>
  <si>
    <t>101A6B</t>
  </si>
  <si>
    <t>4E7E11</t>
  </si>
  <si>
    <t>3DF526</t>
  </si>
  <si>
    <t>756FC7</t>
  </si>
  <si>
    <t>4B223C</t>
  </si>
  <si>
    <t>8A885A</t>
  </si>
  <si>
    <t>A90286</t>
  </si>
  <si>
    <t>5E563A</t>
  </si>
  <si>
    <t>307EA9</t>
  </si>
  <si>
    <t>E15DD8</t>
  </si>
  <si>
    <t>0C5751</t>
  </si>
  <si>
    <t>DCCA24</t>
  </si>
  <si>
    <t>061A23</t>
  </si>
  <si>
    <t>C7AB17</t>
  </si>
  <si>
    <t>0D8B4E</t>
  </si>
  <si>
    <t>DC9552</t>
  </si>
  <si>
    <t>6ADEFA</t>
  </si>
  <si>
    <t>95132B</t>
  </si>
  <si>
    <t>DA1D0D</t>
  </si>
  <si>
    <t>2688BB</t>
  </si>
  <si>
    <t>34BCE9</t>
  </si>
  <si>
    <t>BC31C4</t>
  </si>
  <si>
    <t>A52E25</t>
  </si>
  <si>
    <t>3CF97B</t>
  </si>
  <si>
    <t>31DE78</t>
  </si>
  <si>
    <t>0F5997</t>
  </si>
  <si>
    <t>B99C38</t>
  </si>
  <si>
    <t>B26F27</t>
  </si>
  <si>
    <t>F53835</t>
  </si>
  <si>
    <t>2F4915</t>
  </si>
  <si>
    <t>6140D4</t>
  </si>
  <si>
    <t>715D64</t>
  </si>
  <si>
    <t>F1DBAE</t>
  </si>
  <si>
    <t>EE4F70</t>
  </si>
  <si>
    <t>716218</t>
  </si>
  <si>
    <t>AD02DC</t>
  </si>
  <si>
    <t>6BB84C</t>
  </si>
  <si>
    <t>879BF0</t>
  </si>
  <si>
    <t>839E32</t>
  </si>
  <si>
    <t>5CC77B</t>
  </si>
  <si>
    <t>2FB3EC</t>
  </si>
  <si>
    <t>07B19D</t>
  </si>
  <si>
    <t>C1DBA8</t>
  </si>
  <si>
    <t>34B3FA</t>
  </si>
  <si>
    <t>98455C</t>
  </si>
  <si>
    <t>283934</t>
  </si>
  <si>
    <t>B30874</t>
  </si>
  <si>
    <t>06DCC1</t>
  </si>
  <si>
    <t>1EFA94</t>
  </si>
  <si>
    <t>2EAB6C</t>
  </si>
  <si>
    <t>A5B1EC</t>
  </si>
  <si>
    <t>5ADA16</t>
  </si>
  <si>
    <t>9E94CF</t>
  </si>
  <si>
    <t>128D90</t>
  </si>
  <si>
    <t>2CBF80</t>
  </si>
  <si>
    <t>D1A799</t>
  </si>
  <si>
    <t>74A46B</t>
  </si>
  <si>
    <t>4D3A60</t>
  </si>
  <si>
    <t>A1DA40</t>
  </si>
  <si>
    <t>9D8512</t>
  </si>
  <si>
    <t>E4CE9B</t>
  </si>
  <si>
    <t>3A714F</t>
  </si>
  <si>
    <t>C84B3B</t>
  </si>
  <si>
    <t>EEB295</t>
  </si>
  <si>
    <t>7B26EB</t>
  </si>
  <si>
    <t>DE2601</t>
  </si>
  <si>
    <t>7A5AA5</t>
  </si>
  <si>
    <t>B721E8</t>
  </si>
  <si>
    <t>AE4690</t>
  </si>
  <si>
    <t>394A29</t>
  </si>
  <si>
    <t>C279D7</t>
  </si>
  <si>
    <t>907749</t>
  </si>
  <si>
    <t>AD0B8F</t>
  </si>
  <si>
    <t>148BAB</t>
  </si>
  <si>
    <t>E0C215</t>
  </si>
  <si>
    <t>E0F379</t>
  </si>
  <si>
    <t>1729AA</t>
  </si>
  <si>
    <t>4D4115</t>
  </si>
  <si>
    <t>84922A</t>
  </si>
  <si>
    <t>95211C</t>
  </si>
  <si>
    <t>5AF727</t>
  </si>
  <si>
    <t>3DFE62</t>
  </si>
  <si>
    <t>F154D1</t>
  </si>
  <si>
    <t>E55F63</t>
  </si>
  <si>
    <t>961F60</t>
  </si>
  <si>
    <t>D18C14</t>
  </si>
  <si>
    <t>DCB9F4</t>
  </si>
  <si>
    <t>A7A413</t>
  </si>
  <si>
    <t>222526</t>
  </si>
  <si>
    <t>2C3A9C</t>
  </si>
  <si>
    <t>93ECB1</t>
  </si>
  <si>
    <t>9F0ECB</t>
  </si>
  <si>
    <t>68DEF4</t>
  </si>
  <si>
    <t>9CCC09</t>
  </si>
  <si>
    <t>5C9037</t>
  </si>
  <si>
    <t>1427A8</t>
  </si>
  <si>
    <t>3856F1</t>
  </si>
  <si>
    <t>B36E17</t>
  </si>
  <si>
    <t>158D73</t>
  </si>
  <si>
    <t>C1E330</t>
  </si>
  <si>
    <t>90B8C3</t>
  </si>
  <si>
    <t>F27E80</t>
  </si>
  <si>
    <t>D2FB85</t>
  </si>
  <si>
    <t>CCC593</t>
  </si>
  <si>
    <t>D23732</t>
  </si>
  <si>
    <t>8A13A5</t>
  </si>
  <si>
    <t>8FAD0F</t>
  </si>
  <si>
    <t>0ABF3A</t>
  </si>
  <si>
    <t>441397</t>
  </si>
  <si>
    <t>F48384</t>
  </si>
  <si>
    <t>162C4D</t>
  </si>
  <si>
    <t>5B9CA0</t>
  </si>
  <si>
    <t>293125</t>
  </si>
  <si>
    <t>1762FD</t>
  </si>
  <si>
    <t>F23001</t>
  </si>
  <si>
    <t>332389</t>
  </si>
  <si>
    <t>F9DDF4</t>
  </si>
  <si>
    <t>C1B76D</t>
  </si>
  <si>
    <t>92D32E</t>
  </si>
  <si>
    <t>BF377A</t>
  </si>
  <si>
    <t>E5BBE9</t>
  </si>
  <si>
    <t>FD548D</t>
  </si>
  <si>
    <t>C519A0</t>
  </si>
  <si>
    <t>459F89</t>
  </si>
  <si>
    <t>73F368</t>
  </si>
  <si>
    <t>AEA0B0</t>
  </si>
  <si>
    <t>558B48</t>
  </si>
  <si>
    <t>6E477D</t>
  </si>
  <si>
    <t>F319D2</t>
  </si>
  <si>
    <t>6B3945</t>
  </si>
  <si>
    <t>F6F067</t>
  </si>
  <si>
    <t>30163D</t>
  </si>
  <si>
    <t>6D75DE</t>
  </si>
  <si>
    <t>4531B0</t>
  </si>
  <si>
    <t>837888</t>
  </si>
  <si>
    <t>FFB389</t>
  </si>
  <si>
    <t>018BB6</t>
  </si>
  <si>
    <t>85E66E</t>
  </si>
  <si>
    <t>4CD649</t>
  </si>
  <si>
    <t>B0D712</t>
  </si>
  <si>
    <t>D21AEC</t>
  </si>
  <si>
    <t>F89E8D</t>
  </si>
  <si>
    <t>7719FA</t>
  </si>
  <si>
    <t>33FACE</t>
  </si>
  <si>
    <t>3BF83E</t>
  </si>
  <si>
    <t>727573</t>
  </si>
  <si>
    <t>495502</t>
  </si>
  <si>
    <t>FB8AAE</t>
  </si>
  <si>
    <t>A36D24</t>
  </si>
  <si>
    <t>BA46F4</t>
  </si>
  <si>
    <t>F6501C</t>
  </si>
  <si>
    <t>5CEB9B</t>
  </si>
  <si>
    <t>F60737</t>
  </si>
  <si>
    <t>D097B7</t>
  </si>
  <si>
    <t>9EDE63</t>
  </si>
  <si>
    <t>B2F3C2</t>
  </si>
  <si>
    <t>F10160</t>
  </si>
  <si>
    <t>DCB3EF</t>
  </si>
  <si>
    <t>369729</t>
  </si>
  <si>
    <t>60AE33</t>
  </si>
  <si>
    <t>57B0E0</t>
  </si>
  <si>
    <t>B17E5F</t>
  </si>
  <si>
    <t>8300A6</t>
  </si>
  <si>
    <t>1483D4</t>
  </si>
  <si>
    <t>88A01A</t>
  </si>
  <si>
    <t>F1A9B5</t>
  </si>
  <si>
    <t>A4756C</t>
  </si>
  <si>
    <t>D5239A</t>
  </si>
  <si>
    <t>4B413D</t>
  </si>
  <si>
    <t>585629</t>
  </si>
  <si>
    <t>774EBA</t>
  </si>
  <si>
    <t>72C419</t>
  </si>
  <si>
    <t>4362B3</t>
  </si>
  <si>
    <t>904D7C</t>
  </si>
  <si>
    <t>A31D8F</t>
  </si>
  <si>
    <t>F09864</t>
  </si>
  <si>
    <t>32CF64</t>
  </si>
  <si>
    <t>515736</t>
  </si>
  <si>
    <t>5CFC98</t>
  </si>
  <si>
    <t>5B923A</t>
  </si>
  <si>
    <t>14C4CA</t>
  </si>
  <si>
    <t>305F45</t>
  </si>
  <si>
    <t>B944EB</t>
  </si>
  <si>
    <t>4CCB87</t>
  </si>
  <si>
    <t>2A28CF</t>
  </si>
  <si>
    <t>AC68DC</t>
  </si>
  <si>
    <t>E82F8F</t>
  </si>
  <si>
    <t>07312D</t>
  </si>
  <si>
    <t>40A987</t>
  </si>
  <si>
    <t>8787B0</t>
  </si>
  <si>
    <t>E02DD9</t>
  </si>
  <si>
    <t>B9492A</t>
  </si>
  <si>
    <t>DA30AB</t>
  </si>
  <si>
    <t>685978</t>
  </si>
  <si>
    <t>C80295</t>
  </si>
  <si>
    <t>ED2DFF</t>
  </si>
  <si>
    <t>5D54F0</t>
  </si>
  <si>
    <t>15B9C9</t>
  </si>
  <si>
    <t>E9E601</t>
  </si>
  <si>
    <t>9A1975</t>
  </si>
  <si>
    <t>22B328</t>
  </si>
  <si>
    <t>5BAA3A</t>
  </si>
  <si>
    <t>183E97</t>
  </si>
  <si>
    <t>9C18A7</t>
  </si>
  <si>
    <t>065934</t>
  </si>
  <si>
    <t>CDA8DB</t>
  </si>
  <si>
    <t>33B8A9</t>
  </si>
  <si>
    <t>8FC362</t>
  </si>
  <si>
    <t>1FACC9</t>
  </si>
  <si>
    <t>27EEFA</t>
  </si>
  <si>
    <t>F1C6CA</t>
  </si>
  <si>
    <t>3110D5</t>
  </si>
  <si>
    <t>6577FE</t>
  </si>
  <si>
    <t>06523C</t>
  </si>
  <si>
    <t>19D508</t>
  </si>
  <si>
    <t>65A38C</t>
  </si>
  <si>
    <t>4F05B5</t>
  </si>
  <si>
    <t>04C202</t>
  </si>
  <si>
    <t>2EB8FA</t>
  </si>
  <si>
    <t>0C26C3</t>
  </si>
  <si>
    <t>F677C5</t>
  </si>
  <si>
    <t>229B20</t>
  </si>
  <si>
    <t>E12894</t>
  </si>
  <si>
    <t>839700</t>
  </si>
  <si>
    <t>DBC105</t>
  </si>
  <si>
    <t>6F4BE3</t>
  </si>
  <si>
    <t>B741DA</t>
  </si>
  <si>
    <t>9E9003</t>
  </si>
  <si>
    <t>2AED1A</t>
  </si>
  <si>
    <t>9C0269</t>
  </si>
  <si>
    <t>0C6D52</t>
  </si>
  <si>
    <t>5FFA09</t>
  </si>
  <si>
    <t>53A018</t>
  </si>
  <si>
    <t>0B5F44</t>
  </si>
  <si>
    <t>EC2554</t>
  </si>
  <si>
    <t>6FB052</t>
  </si>
  <si>
    <t>D2F7F9</t>
  </si>
  <si>
    <t>5D6676</t>
  </si>
  <si>
    <t>516C25</t>
  </si>
  <si>
    <t>AEFB08</t>
  </si>
  <si>
    <t>4C39DD</t>
  </si>
  <si>
    <t>4328B1</t>
  </si>
  <si>
    <t>03FADB</t>
  </si>
  <si>
    <t>B5F665</t>
  </si>
  <si>
    <t>6FF51B</t>
  </si>
  <si>
    <t>9ADEF3</t>
  </si>
  <si>
    <t>A37321</t>
  </si>
  <si>
    <t>4C413B</t>
  </si>
  <si>
    <t>BC8628</t>
  </si>
  <si>
    <t>727269</t>
  </si>
  <si>
    <t>701DB7</t>
  </si>
  <si>
    <t>208CBA</t>
  </si>
  <si>
    <t>D62343</t>
  </si>
  <si>
    <t>93AAA9</t>
  </si>
  <si>
    <t>07FFD8</t>
  </si>
  <si>
    <t>1BE794</t>
  </si>
  <si>
    <t>0FDD00</t>
  </si>
  <si>
    <t>AA7C33</t>
  </si>
  <si>
    <t>9E5159</t>
  </si>
  <si>
    <t>AEDE69</t>
  </si>
  <si>
    <t>C23C90</t>
  </si>
  <si>
    <t>EB314E</t>
  </si>
  <si>
    <t>2A9DAD</t>
  </si>
  <si>
    <t>5FCB86</t>
  </si>
  <si>
    <t>3769EE</t>
  </si>
  <si>
    <t>5B672A</t>
  </si>
  <si>
    <t>AC19A8</t>
  </si>
  <si>
    <t>B2EFF3</t>
  </si>
  <si>
    <t>4803CB</t>
  </si>
  <si>
    <t>861958</t>
  </si>
  <si>
    <t>E4F820</t>
  </si>
  <si>
    <t>3E2FD3</t>
  </si>
  <si>
    <t>3F1352</t>
  </si>
  <si>
    <t>70358F</t>
  </si>
  <si>
    <t>E0C752</t>
  </si>
  <si>
    <t>5B8C12</t>
  </si>
  <si>
    <t>3EC5BA</t>
  </si>
  <si>
    <t>1871C6</t>
  </si>
  <si>
    <t>302121</t>
  </si>
  <si>
    <t>76B361</t>
  </si>
  <si>
    <t>2AD5AA</t>
  </si>
  <si>
    <t>AA5E96</t>
  </si>
  <si>
    <t>03381E</t>
  </si>
  <si>
    <t>63448A</t>
  </si>
  <si>
    <t>10CE6C</t>
  </si>
  <si>
    <t>D1EFF6</t>
  </si>
  <si>
    <t>340B62</t>
  </si>
  <si>
    <t>829C07</t>
  </si>
  <si>
    <t>2192EB</t>
  </si>
  <si>
    <t>49F63C</t>
  </si>
  <si>
    <t>E04B39</t>
  </si>
  <si>
    <t>C146F7</t>
  </si>
  <si>
    <t>92D28D</t>
  </si>
  <si>
    <t>D54176</t>
  </si>
  <si>
    <t>6A389F</t>
  </si>
  <si>
    <t>9D755A</t>
  </si>
  <si>
    <t>2A55CD</t>
  </si>
  <si>
    <t>4F6910</t>
  </si>
  <si>
    <t>970987</t>
  </si>
  <si>
    <t>7905A0</t>
  </si>
  <si>
    <t>C84CB4</t>
  </si>
  <si>
    <t>6771CC</t>
  </si>
  <si>
    <t>089BF7</t>
  </si>
  <si>
    <t>730384</t>
  </si>
  <si>
    <t>010918</t>
  </si>
  <si>
    <t>E3CC07</t>
  </si>
  <si>
    <t>7F81F4</t>
  </si>
  <si>
    <t>E5B443</t>
  </si>
  <si>
    <t>B9CEB3</t>
  </si>
  <si>
    <t>046450</t>
  </si>
  <si>
    <t>29B038</t>
  </si>
  <si>
    <t>6F8A10</t>
  </si>
  <si>
    <t>C7A2FC</t>
  </si>
  <si>
    <t>B4C04D</t>
  </si>
  <si>
    <t>C159C3</t>
  </si>
  <si>
    <t>1E98E9</t>
  </si>
  <si>
    <t>C246E7</t>
  </si>
  <si>
    <t>C561F4</t>
  </si>
  <si>
    <t>66C22E</t>
  </si>
  <si>
    <t>EF66B7</t>
  </si>
  <si>
    <t>98C459</t>
  </si>
  <si>
    <t>50EB11</t>
  </si>
  <si>
    <t>EF10DE</t>
  </si>
  <si>
    <t>5130B5</t>
  </si>
  <si>
    <t>F83988</t>
  </si>
  <si>
    <t>C6BB19</t>
  </si>
  <si>
    <t>D96EF5</t>
  </si>
  <si>
    <t>CB0036</t>
  </si>
  <si>
    <t>40CC14</t>
  </si>
  <si>
    <t>D20158</t>
  </si>
  <si>
    <t>3AFA26</t>
  </si>
  <si>
    <t>2E28B0</t>
  </si>
  <si>
    <t>97EDFC</t>
  </si>
  <si>
    <t>797D5E</t>
  </si>
  <si>
    <t>B95649</t>
  </si>
  <si>
    <t>FC091B</t>
  </si>
  <si>
    <t>A25E62</t>
  </si>
  <si>
    <t>6167CD</t>
  </si>
  <si>
    <t>1AE7C5</t>
  </si>
  <si>
    <t>C62A9F</t>
  </si>
  <si>
    <t>93901F</t>
  </si>
  <si>
    <t>0E3D6C</t>
  </si>
  <si>
    <t>0B00D2</t>
  </si>
  <si>
    <t>591694</t>
  </si>
  <si>
    <t>8B6020</t>
  </si>
  <si>
    <t>64668F</t>
  </si>
  <si>
    <t>6F8B7B</t>
  </si>
  <si>
    <t>737DD0</t>
  </si>
  <si>
    <t>AE459E</t>
  </si>
  <si>
    <t>65F4CD</t>
  </si>
  <si>
    <t>14FA7C</t>
  </si>
  <si>
    <t>A48B43</t>
  </si>
  <si>
    <t>FF661C</t>
  </si>
  <si>
    <t>5CF104</t>
  </si>
  <si>
    <t>848AED</t>
  </si>
  <si>
    <t>AD7BE9</t>
  </si>
  <si>
    <t>C7373D</t>
  </si>
  <si>
    <t>35F3B5</t>
  </si>
  <si>
    <t>9020BE</t>
  </si>
  <si>
    <t>6BD607</t>
  </si>
  <si>
    <t>3C9865</t>
  </si>
  <si>
    <t>CC01A6</t>
  </si>
  <si>
    <t>7E47FC</t>
  </si>
  <si>
    <t>E2D9BB</t>
  </si>
  <si>
    <t>398E2C</t>
  </si>
  <si>
    <t>4BE6D8</t>
  </si>
  <si>
    <t>C824F1</t>
  </si>
  <si>
    <t>7404D5</t>
  </si>
  <si>
    <t>0009A1</t>
  </si>
  <si>
    <t>A289D3</t>
  </si>
  <si>
    <t>0A5D0C</t>
  </si>
  <si>
    <t>B7C40E</t>
  </si>
  <si>
    <t>766559</t>
  </si>
  <si>
    <t>1EF136</t>
  </si>
  <si>
    <t>21429C</t>
  </si>
  <si>
    <t>B0AB7F</t>
  </si>
  <si>
    <t>CE8257</t>
  </si>
  <si>
    <t>0DF5A1</t>
  </si>
  <si>
    <t>67CD5B</t>
  </si>
  <si>
    <t>44D075</t>
  </si>
  <si>
    <t>3DAEBB</t>
  </si>
  <si>
    <t>1AD9EC</t>
  </si>
  <si>
    <t>B829C7</t>
  </si>
  <si>
    <t>021E8B</t>
  </si>
  <si>
    <t>46C043</t>
  </si>
  <si>
    <t>AD43AA</t>
  </si>
  <si>
    <t>1BE94D</t>
  </si>
  <si>
    <t>33C21C</t>
  </si>
  <si>
    <t>1B0CA3</t>
  </si>
  <si>
    <t>524E04</t>
  </si>
  <si>
    <t>111D45</t>
  </si>
  <si>
    <t>3801FF</t>
  </si>
  <si>
    <t>C229A2</t>
  </si>
  <si>
    <t>7BB0DD</t>
  </si>
  <si>
    <t>E8E6BD</t>
  </si>
  <si>
    <t>D72297</t>
  </si>
  <si>
    <t>0B9F0F</t>
  </si>
  <si>
    <t>853647</t>
  </si>
  <si>
    <t>0B450E</t>
  </si>
  <si>
    <t>152C33</t>
  </si>
  <si>
    <t>C8F485</t>
  </si>
  <si>
    <t>FDF84E</t>
  </si>
  <si>
    <t>DB2D4D</t>
  </si>
  <si>
    <t>99AEB6</t>
  </si>
  <si>
    <t>71C4FA</t>
  </si>
  <si>
    <t>A82109</t>
  </si>
  <si>
    <t>8D3484</t>
  </si>
  <si>
    <t>51DC9F</t>
  </si>
  <si>
    <t>1EC222</t>
  </si>
  <si>
    <t>7F2706</t>
  </si>
  <si>
    <t>8256B9</t>
  </si>
  <si>
    <t>62974F</t>
  </si>
  <si>
    <t>BBD1A6</t>
  </si>
  <si>
    <t>59BFFD</t>
  </si>
  <si>
    <t>9FA4CC</t>
  </si>
  <si>
    <t>D946AE</t>
  </si>
  <si>
    <t>6CAE20</t>
  </si>
  <si>
    <t>6A03D6</t>
  </si>
  <si>
    <t>AAE321</t>
  </si>
  <si>
    <t>CB9614</t>
  </si>
  <si>
    <t>62B5F4</t>
  </si>
  <si>
    <t>F37A02</t>
  </si>
  <si>
    <t>EB6319</t>
  </si>
  <si>
    <t>BF708B</t>
  </si>
  <si>
    <t>CDD1EB</t>
  </si>
  <si>
    <t>0C0B20</t>
  </si>
  <si>
    <t>2DA15E</t>
  </si>
  <si>
    <t>45D65D</t>
  </si>
  <si>
    <t>259DAE</t>
  </si>
  <si>
    <t>2210F5</t>
  </si>
  <si>
    <t>CF72FC</t>
  </si>
  <si>
    <t>AC65F3</t>
  </si>
  <si>
    <t>C33C01</t>
  </si>
  <si>
    <t>4EFEAF</t>
  </si>
  <si>
    <t>A9CB4E</t>
  </si>
  <si>
    <t>8AB200</t>
  </si>
  <si>
    <t>A780DA</t>
  </si>
  <si>
    <t>335B80</t>
  </si>
  <si>
    <t>8464B7</t>
  </si>
  <si>
    <t>B9BF03</t>
  </si>
  <si>
    <t>545B42</t>
  </si>
  <si>
    <t>360981</t>
  </si>
  <si>
    <t>3ED62A</t>
  </si>
  <si>
    <t>F54217</t>
  </si>
  <si>
    <t>D3A909</t>
  </si>
  <si>
    <t>8612EB</t>
  </si>
  <si>
    <t>01DF8A</t>
  </si>
  <si>
    <t>FF7B0B</t>
  </si>
  <si>
    <t>60DE46</t>
  </si>
  <si>
    <t>2B779A</t>
  </si>
  <si>
    <t>9AF6D0</t>
  </si>
  <si>
    <t>A1C3D8</t>
  </si>
  <si>
    <t>AE2AA9</t>
  </si>
  <si>
    <t>C8B4E9</t>
  </si>
  <si>
    <t>9B6006</t>
  </si>
  <si>
    <t>4D2F5B</t>
  </si>
  <si>
    <t>6906A2</t>
  </si>
  <si>
    <t>6C01D3</t>
  </si>
  <si>
    <t>F35A14</t>
  </si>
  <si>
    <t>6FD164</t>
  </si>
  <si>
    <t>755251</t>
  </si>
  <si>
    <t>F4796D</t>
  </si>
  <si>
    <t>892A59</t>
  </si>
  <si>
    <t>CC8A15</t>
  </si>
  <si>
    <t>517044</t>
  </si>
  <si>
    <t>1CADAB</t>
  </si>
  <si>
    <t>BB1114</t>
  </si>
  <si>
    <t>446E91</t>
  </si>
  <si>
    <t>390613</t>
  </si>
  <si>
    <t>315C76</t>
  </si>
  <si>
    <t>D270A2</t>
  </si>
  <si>
    <t>8A28FB</t>
  </si>
  <si>
    <t>E74CB9</t>
  </si>
  <si>
    <t>D84115</t>
  </si>
  <si>
    <t>2DB184</t>
  </si>
  <si>
    <t>28E9C2</t>
  </si>
  <si>
    <t>4D1ACE</t>
  </si>
  <si>
    <t>103BE0</t>
  </si>
  <si>
    <t>4DAD3E</t>
  </si>
  <si>
    <t>21C442</t>
  </si>
  <si>
    <t>2A1284</t>
  </si>
  <si>
    <t>C14A4A</t>
  </si>
  <si>
    <t>02A9FE</t>
  </si>
  <si>
    <t>2390B1</t>
  </si>
  <si>
    <t>3B9D7C</t>
  </si>
  <si>
    <t>C80935</t>
  </si>
  <si>
    <t>AC311A</t>
  </si>
  <si>
    <t>0AAD5F</t>
  </si>
  <si>
    <t>9FA069</t>
  </si>
  <si>
    <t>65BB99</t>
  </si>
  <si>
    <t>DE4A56</t>
  </si>
  <si>
    <t>E73942</t>
  </si>
  <si>
    <t>1C1081</t>
  </si>
  <si>
    <t>630F7B</t>
  </si>
  <si>
    <t>C5E602</t>
  </si>
  <si>
    <t>41A1D8</t>
  </si>
  <si>
    <t>37D4C1</t>
  </si>
  <si>
    <t>011B35</t>
  </si>
  <si>
    <t>557FE4</t>
  </si>
  <si>
    <t>B69E52</t>
  </si>
  <si>
    <t>749CFE</t>
  </si>
  <si>
    <t>094D07</t>
  </si>
  <si>
    <t>9A44F2</t>
  </si>
  <si>
    <t>4CF216</t>
  </si>
  <si>
    <t>8498C8</t>
  </si>
  <si>
    <t>EA4706</t>
  </si>
  <si>
    <t>9945DB</t>
  </si>
  <si>
    <t>189089</t>
  </si>
  <si>
    <t>0A381D</t>
  </si>
  <si>
    <t>D4E14A</t>
  </si>
  <si>
    <t>BB8064</t>
  </si>
  <si>
    <t>D7FC31</t>
  </si>
  <si>
    <t>4B5FEC</t>
  </si>
  <si>
    <t>39CC7A</t>
  </si>
  <si>
    <t>1EC991</t>
  </si>
  <si>
    <t>39FB25</t>
  </si>
  <si>
    <t>44BC66</t>
  </si>
  <si>
    <t>DD8EA2</t>
  </si>
  <si>
    <t>18E2A2</t>
  </si>
  <si>
    <t>62FAC5</t>
  </si>
  <si>
    <t>B51B20</t>
  </si>
  <si>
    <t>F5D455</t>
  </si>
  <si>
    <t>D942D8</t>
  </si>
  <si>
    <t>1ABCCF</t>
  </si>
  <si>
    <t>0BF709</t>
  </si>
  <si>
    <t>68502B</t>
  </si>
  <si>
    <t>5D6015</t>
  </si>
  <si>
    <t>C427BC</t>
  </si>
  <si>
    <t>A1A029</t>
  </si>
  <si>
    <t>50A27F</t>
  </si>
  <si>
    <t>DA8044</t>
  </si>
  <si>
    <t>E2546B</t>
  </si>
  <si>
    <t>42A934</t>
  </si>
  <si>
    <t>68038E</t>
  </si>
  <si>
    <t>575D95</t>
  </si>
  <si>
    <t>773323</t>
  </si>
  <si>
    <t>E384F0</t>
  </si>
  <si>
    <t>C6A9D6</t>
  </si>
  <si>
    <t>6F2785</t>
  </si>
  <si>
    <t>F961E2</t>
  </si>
  <si>
    <t>447D60</t>
  </si>
  <si>
    <t>BC26D2</t>
  </si>
  <si>
    <t>1EAABA</t>
  </si>
  <si>
    <t>F80DF9</t>
  </si>
  <si>
    <t>696ED0</t>
  </si>
  <si>
    <t>2933FC</t>
  </si>
  <si>
    <t>0BA9AF</t>
  </si>
  <si>
    <t>C4FAFB</t>
  </si>
  <si>
    <t>0BF09F</t>
  </si>
  <si>
    <t>DAAA2A</t>
  </si>
  <si>
    <t>EDB02B</t>
  </si>
  <si>
    <t>A608FD</t>
  </si>
  <si>
    <t>99D5E9</t>
  </si>
  <si>
    <t>E29D2B</t>
  </si>
  <si>
    <t>9EEB8F</t>
  </si>
  <si>
    <t>20D423</t>
  </si>
  <si>
    <t>E52FF1</t>
  </si>
  <si>
    <t>D1D5C6</t>
  </si>
  <si>
    <t>E2D1ED</t>
  </si>
  <si>
    <t>EC477F</t>
  </si>
  <si>
    <t>663C6D</t>
  </si>
  <si>
    <t>0123FE</t>
  </si>
  <si>
    <t>1FA1F8</t>
  </si>
  <si>
    <t>F53D41</t>
  </si>
  <si>
    <t>D2E990</t>
  </si>
  <si>
    <t>CF43A6</t>
  </si>
  <si>
    <t>1F05B7</t>
  </si>
  <si>
    <t>AC8631</t>
  </si>
  <si>
    <t>DAD9F2</t>
  </si>
  <si>
    <t>D54D49</t>
  </si>
  <si>
    <t>696216</t>
  </si>
  <si>
    <t>85F285</t>
  </si>
  <si>
    <t>0A1240</t>
  </si>
  <si>
    <t>98ED64</t>
  </si>
  <si>
    <t>F69D3D</t>
  </si>
  <si>
    <t>2935F8</t>
  </si>
  <si>
    <t>2FBAC0</t>
  </si>
  <si>
    <t>30DBE5</t>
  </si>
  <si>
    <t>BE65BB</t>
  </si>
  <si>
    <t>56C13B</t>
  </si>
  <si>
    <t>299EA2</t>
  </si>
  <si>
    <t>A54E08</t>
  </si>
  <si>
    <t>294482</t>
  </si>
  <si>
    <t>EBEAB6</t>
  </si>
  <si>
    <t>A05324</t>
  </si>
  <si>
    <t>935C7D</t>
  </si>
  <si>
    <t>8303B0</t>
  </si>
  <si>
    <t>C30093</t>
  </si>
  <si>
    <t>133083</t>
  </si>
  <si>
    <t>BF97D9</t>
  </si>
  <si>
    <t>56342A</t>
  </si>
  <si>
    <t>651E21</t>
  </si>
  <si>
    <t>8E86BE</t>
  </si>
  <si>
    <t>D14564</t>
  </si>
  <si>
    <t>07DC06</t>
  </si>
  <si>
    <t>A4DE7C</t>
  </si>
  <si>
    <t>89B829</t>
  </si>
  <si>
    <t>64FE2A</t>
  </si>
  <si>
    <t>2197C7</t>
  </si>
  <si>
    <t>424691</t>
  </si>
  <si>
    <t>B623CF</t>
  </si>
  <si>
    <t>02AA63</t>
  </si>
  <si>
    <t>77B865</t>
  </si>
  <si>
    <t>A9806A</t>
  </si>
  <si>
    <t>FB09A6</t>
  </si>
  <si>
    <t>48132B</t>
  </si>
  <si>
    <t>C0282B</t>
  </si>
  <si>
    <t>B741CD</t>
  </si>
  <si>
    <t>75D28E</t>
  </si>
  <si>
    <t>C68486</t>
  </si>
  <si>
    <t>3E205C</t>
  </si>
  <si>
    <t>2EF82B</t>
  </si>
  <si>
    <t>196628</t>
  </si>
  <si>
    <t>A739B9</t>
  </si>
  <si>
    <t>DDF9B6</t>
  </si>
  <si>
    <t>3813DF</t>
  </si>
  <si>
    <t>727874</t>
  </si>
  <si>
    <t>278DEF</t>
  </si>
  <si>
    <t>7BA1B2</t>
  </si>
  <si>
    <t>C90CB9</t>
  </si>
  <si>
    <t>29F948</t>
  </si>
  <si>
    <t>632B2F</t>
  </si>
  <si>
    <t>157EA8</t>
  </si>
  <si>
    <t>5FF9E1</t>
  </si>
  <si>
    <t>1A0F8D</t>
  </si>
  <si>
    <t>AFB1A5</t>
  </si>
  <si>
    <t>5CCCB4</t>
  </si>
  <si>
    <t>C9D704</t>
  </si>
  <si>
    <t>2D4A59</t>
  </si>
  <si>
    <t>029136</t>
  </si>
  <si>
    <t>6BBD71</t>
  </si>
  <si>
    <t>02D0D0</t>
  </si>
  <si>
    <t>CAF1C9</t>
  </si>
  <si>
    <t>770F66</t>
  </si>
  <si>
    <t>68E487</t>
  </si>
  <si>
    <t>6B32C6</t>
  </si>
  <si>
    <t>46A1BB</t>
  </si>
  <si>
    <t>0FB392</t>
  </si>
  <si>
    <t>86BB00</t>
  </si>
  <si>
    <t>A5D058</t>
  </si>
  <si>
    <t>A4984B</t>
  </si>
  <si>
    <t>3B9373</t>
  </si>
  <si>
    <t>1D4377</t>
  </si>
  <si>
    <t>760354</t>
  </si>
  <si>
    <t>076229</t>
  </si>
  <si>
    <t>7D39F7</t>
  </si>
  <si>
    <t>931912</t>
  </si>
  <si>
    <t>DC99A8</t>
  </si>
  <si>
    <t>46CEB9</t>
  </si>
  <si>
    <t>CE2264</t>
  </si>
  <si>
    <t>6A7349</t>
  </si>
  <si>
    <t>844C6A</t>
  </si>
  <si>
    <t>835608</t>
  </si>
  <si>
    <t>FF01D3</t>
  </si>
  <si>
    <t>0DE884</t>
  </si>
  <si>
    <t>479A3F</t>
  </si>
  <si>
    <t>045A8D</t>
  </si>
  <si>
    <t>6258F4</t>
  </si>
  <si>
    <t>E7F986</t>
  </si>
  <si>
    <t>3B1EFF</t>
  </si>
  <si>
    <t>52F0BA</t>
  </si>
  <si>
    <t>840825</t>
  </si>
  <si>
    <t>E7AFA3</t>
  </si>
  <si>
    <t>30C2BE</t>
  </si>
  <si>
    <t>4E1662</t>
  </si>
  <si>
    <t>8DDFD6</t>
  </si>
  <si>
    <t>D3D7D0</t>
  </si>
  <si>
    <t>195A12</t>
  </si>
  <si>
    <t>E883E9</t>
  </si>
  <si>
    <t>3E6745</t>
  </si>
  <si>
    <t>B5A47A</t>
  </si>
  <si>
    <t>0391B8</t>
  </si>
  <si>
    <t>5B8149</t>
  </si>
  <si>
    <t>045380</t>
  </si>
  <si>
    <t>32C031</t>
  </si>
  <si>
    <t>B83F7C</t>
  </si>
  <si>
    <t>DD68DF</t>
  </si>
  <si>
    <t>E668BD</t>
  </si>
  <si>
    <t>E61B24</t>
  </si>
  <si>
    <t>1D727F</t>
  </si>
  <si>
    <t>55C215</t>
  </si>
  <si>
    <t>5CBFFF</t>
  </si>
  <si>
    <t>A5FD6A</t>
  </si>
  <si>
    <t>9ADCBF</t>
  </si>
  <si>
    <t>1C1DCE</t>
  </si>
  <si>
    <t>25AB10</t>
  </si>
  <si>
    <t>2D281C</t>
  </si>
  <si>
    <t>B36FF9</t>
  </si>
  <si>
    <t>8A1EAD</t>
  </si>
  <si>
    <t>6DB0C4</t>
  </si>
  <si>
    <t>CC0F41</t>
  </si>
  <si>
    <t>E947D6</t>
  </si>
  <si>
    <t>0C5724</t>
  </si>
  <si>
    <t>575B91</t>
  </si>
  <si>
    <t>9E7689</t>
  </si>
  <si>
    <t>CA3B6B</t>
  </si>
  <si>
    <t>68E759</t>
  </si>
  <si>
    <t>0CD476</t>
  </si>
  <si>
    <t>40FAD6</t>
  </si>
  <si>
    <t>B4B005</t>
  </si>
  <si>
    <t>2604DA</t>
  </si>
  <si>
    <t>0A842F</t>
  </si>
  <si>
    <t>295296</t>
  </si>
  <si>
    <t>7D874C</t>
  </si>
  <si>
    <t>55D618</t>
  </si>
  <si>
    <t>3F34C0</t>
  </si>
  <si>
    <t>934EF0</t>
  </si>
  <si>
    <t>A142AB</t>
  </si>
  <si>
    <t>904BC4</t>
  </si>
  <si>
    <t>F36D47</t>
  </si>
  <si>
    <t>6BE7BA</t>
  </si>
  <si>
    <t>13B615</t>
  </si>
  <si>
    <t>8EE1E9</t>
  </si>
  <si>
    <t>270224</t>
  </si>
  <si>
    <t>C2DC4B</t>
  </si>
  <si>
    <t>12E40E</t>
  </si>
  <si>
    <t>B172E3</t>
  </si>
  <si>
    <t>391372</t>
  </si>
  <si>
    <t>12B30C</t>
  </si>
  <si>
    <t>9ADD0F</t>
  </si>
  <si>
    <t>AE861F</t>
  </si>
  <si>
    <t>3BF3C9</t>
  </si>
  <si>
    <t>1E21EC</t>
  </si>
  <si>
    <t>39BC2F</t>
  </si>
  <si>
    <t>D4C4B1</t>
  </si>
  <si>
    <t>4BB157</t>
  </si>
  <si>
    <t>392992</t>
  </si>
  <si>
    <t>0C1B25</t>
  </si>
  <si>
    <t>8E7DB2</t>
  </si>
  <si>
    <t>9B3B49</t>
  </si>
  <si>
    <t>936D6F</t>
  </si>
  <si>
    <t>9B9796</t>
  </si>
  <si>
    <t>4B6475</t>
  </si>
  <si>
    <t>B15D7C</t>
  </si>
  <si>
    <t>809292</t>
  </si>
  <si>
    <t>3243B4</t>
  </si>
  <si>
    <t>8FF28A</t>
  </si>
  <si>
    <t>7C0C86</t>
  </si>
  <si>
    <t>CAAF58</t>
  </si>
  <si>
    <t>F71C28</t>
  </si>
  <si>
    <t>AD1790</t>
  </si>
  <si>
    <t>75BC10</t>
  </si>
  <si>
    <t>D215E1</t>
  </si>
  <si>
    <t>D0DD58</t>
  </si>
  <si>
    <t>8E20D6</t>
  </si>
  <si>
    <t>15B976</t>
  </si>
  <si>
    <t>9D0360</t>
  </si>
  <si>
    <t>9DD1EF</t>
  </si>
  <si>
    <t>1E02CF</t>
  </si>
  <si>
    <t>29C4C3</t>
  </si>
  <si>
    <t>00FE32</t>
  </si>
  <si>
    <t>C874C0</t>
  </si>
  <si>
    <t>006E55</t>
  </si>
  <si>
    <t>8461F5</t>
  </si>
  <si>
    <t>BEECCA</t>
  </si>
  <si>
    <t>A1FFF1</t>
  </si>
  <si>
    <t>BE5BBA</t>
  </si>
  <si>
    <t>A09C92</t>
  </si>
  <si>
    <t>C22F6A</t>
  </si>
  <si>
    <t>35437C</t>
  </si>
  <si>
    <t>10F5AC</t>
  </si>
  <si>
    <t>793793</t>
  </si>
  <si>
    <t>B246AF</t>
  </si>
  <si>
    <t>755CFD</t>
  </si>
  <si>
    <t>A90DE5</t>
  </si>
  <si>
    <t>D68395</t>
  </si>
  <si>
    <t>ADD0EB</t>
  </si>
  <si>
    <t>C52ACE</t>
  </si>
  <si>
    <t>AC85B0</t>
  </si>
  <si>
    <t>C35565</t>
  </si>
  <si>
    <t>54E84E</t>
  </si>
  <si>
    <t>D5947A</t>
  </si>
  <si>
    <t>26543D</t>
  </si>
  <si>
    <t>AED6D3</t>
  </si>
  <si>
    <t>402BE6</t>
  </si>
  <si>
    <t>C20277</t>
  </si>
  <si>
    <t>D114BD</t>
  </si>
  <si>
    <t>FE2BD8</t>
  </si>
  <si>
    <t>A0FD60</t>
  </si>
  <si>
    <t>239F39</t>
  </si>
  <si>
    <t>F7465D</t>
  </si>
  <si>
    <t>762610</t>
  </si>
  <si>
    <t>0EBDAC</t>
  </si>
  <si>
    <t>8D3B8B</t>
  </si>
  <si>
    <t>9FA800</t>
  </si>
  <si>
    <t>F2807C</t>
  </si>
  <si>
    <t>741262</t>
  </si>
  <si>
    <t>82F044</t>
  </si>
  <si>
    <t>DF59D9</t>
  </si>
  <si>
    <t>555D9D</t>
  </si>
  <si>
    <t>A67DFF</t>
  </si>
  <si>
    <t>89D740</t>
  </si>
  <si>
    <t>F6AEC9</t>
  </si>
  <si>
    <t>7701D6</t>
  </si>
  <si>
    <t>71D4EC</t>
  </si>
  <si>
    <t>5D75B0</t>
  </si>
  <si>
    <t>D0D792</t>
  </si>
  <si>
    <t>230427</t>
  </si>
  <si>
    <t>C8595D</t>
  </si>
  <si>
    <t>B1B1BA</t>
  </si>
  <si>
    <t>99D1DC</t>
  </si>
  <si>
    <t>DD6F31</t>
  </si>
  <si>
    <t>5787F9</t>
  </si>
  <si>
    <t>296D68</t>
  </si>
  <si>
    <t>614504</t>
  </si>
  <si>
    <t>3F8C8C</t>
  </si>
  <si>
    <t>F8DF55</t>
  </si>
  <si>
    <t>5320E2</t>
  </si>
  <si>
    <t>2C36C1</t>
  </si>
  <si>
    <t>39546E</t>
  </si>
  <si>
    <t>552C3F</t>
  </si>
  <si>
    <t>8E0E03</t>
  </si>
  <si>
    <t>6AC195</t>
  </si>
  <si>
    <t>69BBA3</t>
  </si>
  <si>
    <t>9824D6</t>
  </si>
  <si>
    <t>B3E731</t>
  </si>
  <si>
    <t>823711</t>
  </si>
  <si>
    <t>0D59D1</t>
  </si>
  <si>
    <t>415C79</t>
  </si>
  <si>
    <t>440390</t>
  </si>
  <si>
    <t>FF57E6</t>
  </si>
  <si>
    <t>B82212</t>
  </si>
  <si>
    <t>F6DA7D</t>
  </si>
  <si>
    <t>967A7F</t>
  </si>
  <si>
    <t>0F8BCA</t>
  </si>
  <si>
    <t>2C27D6</t>
  </si>
  <si>
    <t>BCDDBB</t>
  </si>
  <si>
    <t>4EC067</t>
  </si>
  <si>
    <t>134327</t>
  </si>
  <si>
    <t>24AA1E</t>
  </si>
  <si>
    <t>1D96E6</t>
  </si>
  <si>
    <t>DE9ED8</t>
  </si>
  <si>
    <t>76EC9E</t>
  </si>
  <si>
    <t>D9DEFD</t>
  </si>
  <si>
    <t>9AE3BD</t>
  </si>
  <si>
    <t>6BA1FA</t>
  </si>
  <si>
    <t>83285E</t>
  </si>
  <si>
    <t>573975</t>
  </si>
  <si>
    <t>3B54FE</t>
  </si>
  <si>
    <t>D25549</t>
  </si>
  <si>
    <t>802341</t>
  </si>
  <si>
    <t>7B239A</t>
  </si>
  <si>
    <t>230933</t>
  </si>
  <si>
    <t>D3E9A4</t>
  </si>
  <si>
    <t>5B43C0</t>
  </si>
  <si>
    <t>9C6707</t>
  </si>
  <si>
    <t>F0264F</t>
  </si>
  <si>
    <t>B41EAF</t>
  </si>
  <si>
    <t>F992B9</t>
  </si>
  <si>
    <t>5EBDA8</t>
  </si>
  <si>
    <t>Pot Code</t>
  </si>
  <si>
    <t>Pot Size</t>
  </si>
  <si>
    <t>DV-PO-2-WH-1A</t>
  </si>
  <si>
    <t>3"</t>
  </si>
  <si>
    <t>AN-PO-3-MU-1A</t>
  </si>
  <si>
    <t>4"</t>
  </si>
  <si>
    <t>$5 Off</t>
  </si>
  <si>
    <t>Pending</t>
  </si>
  <si>
    <t>McColley's FInale</t>
  </si>
  <si>
    <t>YA-PO-2-CL-1A</t>
  </si>
  <si>
    <t>4.3"</t>
  </si>
  <si>
    <t>$10 Off</t>
  </si>
  <si>
    <t>Delivered</t>
  </si>
  <si>
    <t>EB-PO-4-DO-1A</t>
  </si>
  <si>
    <t>2"</t>
  </si>
  <si>
    <t>Pending Sale</t>
  </si>
  <si>
    <t>ZO-PO-4-WL-1A</t>
  </si>
  <si>
    <t>6"</t>
  </si>
  <si>
    <t>Reserved</t>
  </si>
  <si>
    <t>Keep</t>
  </si>
  <si>
    <t>HY-PO-3-DO-1A</t>
  </si>
  <si>
    <t>5.5"</t>
  </si>
  <si>
    <t>Variegated SOH</t>
  </si>
  <si>
    <t>Shipped</t>
  </si>
  <si>
    <t>Variegated SOP</t>
  </si>
  <si>
    <t>3.7"</t>
  </si>
  <si>
    <t>Pending Shipping</t>
  </si>
  <si>
    <t>Rosebud Homegoods</t>
  </si>
  <si>
    <t>Tools &amp; Supplies</t>
  </si>
  <si>
    <t>Soil Scoop</t>
  </si>
  <si>
    <t>3779B1</t>
  </si>
  <si>
    <t>EnHomee</t>
  </si>
  <si>
    <t>Shelving/Fixtures</t>
  </si>
  <si>
    <t>Wooden Plant Stand</t>
  </si>
  <si>
    <t>6EF362</t>
  </si>
  <si>
    <t>Homvana</t>
  </si>
  <si>
    <t>Climate &amp; Environment</t>
  </si>
  <si>
    <t>Warm &amp; cool mist humidifier</t>
  </si>
  <si>
    <t>A66D13</t>
  </si>
  <si>
    <t>Legigo</t>
  </si>
  <si>
    <t>Soil &amp; Amendments</t>
  </si>
  <si>
    <t>Orchid bark</t>
  </si>
  <si>
    <t>DDE6C4</t>
  </si>
  <si>
    <t>Mkono</t>
  </si>
  <si>
    <t>Propagation Supplies</t>
  </si>
  <si>
    <t>Plant propagation tube wall hanger</t>
  </si>
  <si>
    <t>156075</t>
  </si>
  <si>
    <t>sphagnum moss (various sizes)</t>
  </si>
  <si>
    <t>4CDA26</t>
  </si>
  <si>
    <t>Yuanling</t>
  </si>
  <si>
    <t>Labels &amp; Stickers</t>
  </si>
  <si>
    <t>Plastic plant labels (green/red)</t>
  </si>
  <si>
    <t>8453D7</t>
  </si>
  <si>
    <t>BBCD88</t>
  </si>
  <si>
    <t>TDHDIKE</t>
  </si>
  <si>
    <t>Plastic plant labels (white)</t>
  </si>
  <si>
    <t>F34739</t>
  </si>
  <si>
    <t>SupKing</t>
  </si>
  <si>
    <t>Air layering propagation pods</t>
  </si>
  <si>
    <t>2AC0EA</t>
  </si>
  <si>
    <t>HNXTYAOB</t>
  </si>
  <si>
    <t>Repotting mats (large)</t>
  </si>
  <si>
    <t>623A9B</t>
  </si>
  <si>
    <t>Voulosimi</t>
  </si>
  <si>
    <t>30 QT Perlite</t>
  </si>
  <si>
    <t>99B44C</t>
  </si>
  <si>
    <t>D12DFD</t>
  </si>
  <si>
    <t>TPS NUTRIENTS</t>
  </si>
  <si>
    <t>Treatments &amp; Fertilizers</t>
  </si>
  <si>
    <t>Silica plant supplement</t>
  </si>
  <si>
    <t>08A7AE</t>
  </si>
  <si>
    <t>40215F</t>
  </si>
  <si>
    <t>Technaflora</t>
  </si>
  <si>
    <t>Rootech rooting gel</t>
  </si>
  <si>
    <t>779B10</t>
  </si>
  <si>
    <t>ferti-lome</t>
  </si>
  <si>
    <t>Houseplant fertilizer</t>
  </si>
  <si>
    <t>AF14C1</t>
  </si>
  <si>
    <t>RWNTAO</t>
  </si>
  <si>
    <t>Lighting</t>
  </si>
  <si>
    <t>LED grow light bar set</t>
  </si>
  <si>
    <t>E68E72</t>
  </si>
  <si>
    <t>Barrina</t>
  </si>
  <si>
    <t>Heavy duty wire shelving rack w/ lights</t>
  </si>
  <si>
    <t>1E0823</t>
  </si>
  <si>
    <t>5581D4</t>
  </si>
  <si>
    <t>Govee</t>
  </si>
  <si>
    <t>Bluetooth hygrometers</t>
  </si>
  <si>
    <t>8CFB85</t>
  </si>
  <si>
    <t>JRD</t>
  </si>
  <si>
    <t>C47536</t>
  </si>
  <si>
    <t>Luxbird</t>
  </si>
  <si>
    <t>Seedling heat mats with thermostat</t>
  </si>
  <si>
    <t>FBEEE7</t>
  </si>
  <si>
    <t>336898</t>
  </si>
  <si>
    <t>Avery</t>
  </si>
  <si>
    <t>Waterproof rectangle labels</t>
  </si>
  <si>
    <t>6AE249</t>
  </si>
  <si>
    <t>Cubic Coating</t>
  </si>
  <si>
    <t>Custom waterproof vinyl stickers</t>
  </si>
  <si>
    <t>A25BFA</t>
  </si>
  <si>
    <t>WOWBOX</t>
  </si>
  <si>
    <t>Clear drawer organizer set</t>
  </si>
  <si>
    <t>D9D5AB</t>
  </si>
  <si>
    <t>Us-garden life</t>
  </si>
  <si>
    <t>Miscellaneous</t>
  </si>
  <si>
    <t>Yellow sticky fungus gnat traps</t>
  </si>
  <si>
    <t>114F5C</t>
  </si>
  <si>
    <t>Geyoga</t>
  </si>
  <si>
    <t>Cleaning &amp; Sanitation</t>
  </si>
  <si>
    <t>Microfiber dusting gloves</t>
  </si>
  <si>
    <t>48C90D</t>
  </si>
  <si>
    <t>MIIIM</t>
  </si>
  <si>
    <t>Self-watering moss poles</t>
  </si>
  <si>
    <t>8042BE</t>
  </si>
  <si>
    <t>Faire</t>
  </si>
  <si>
    <t>Inbound Shipping</t>
  </si>
  <si>
    <t>Live Plants</t>
  </si>
  <si>
    <t>Order #A2XS4KRJ22</t>
  </si>
  <si>
    <t>B7BC6F</t>
  </si>
  <si>
    <t>Order #S77AG59RJX</t>
  </si>
  <si>
    <t>EF3620</t>
  </si>
  <si>
    <t>Order #BUCJZSM9TH</t>
  </si>
  <si>
    <t>26AFD1</t>
  </si>
  <si>
    <t>Order #7634WQK7TQ</t>
  </si>
  <si>
    <t>5E2982</t>
  </si>
  <si>
    <t>Order #DYZ5SXKCFD</t>
  </si>
  <si>
    <t>95A333</t>
  </si>
  <si>
    <t>Order #6BTFSUN8P3</t>
  </si>
  <si>
    <t>CD1CE4</t>
  </si>
  <si>
    <t>Order #5BQ26SNEMZ</t>
  </si>
  <si>
    <t>049695</t>
  </si>
  <si>
    <t>Jungle Club</t>
  </si>
  <si>
    <t>Planters</t>
  </si>
  <si>
    <t>Order #92FFNYJ3EJ</t>
  </si>
  <si>
    <t>3C1046</t>
  </si>
  <si>
    <t>Order #VEVVFFVDVP</t>
  </si>
  <si>
    <t>7389F7</t>
  </si>
  <si>
    <t>Dawn W.</t>
  </si>
  <si>
    <t>Labor</t>
  </si>
  <si>
    <t>Assistant</t>
  </si>
  <si>
    <t>001</t>
  </si>
  <si>
    <t>AB03A8</t>
  </si>
  <si>
    <t>Order #Y8CPRUWB69</t>
  </si>
  <si>
    <t>E27D59</t>
  </si>
  <si>
    <t>Amano Studio</t>
  </si>
  <si>
    <t>Jewelry</t>
  </si>
  <si>
    <t>Order #G97E88E5NF</t>
  </si>
  <si>
    <t>19F70A</t>
  </si>
  <si>
    <t>Blooming Starr</t>
  </si>
  <si>
    <t>002</t>
  </si>
  <si>
    <t>5170BB</t>
  </si>
  <si>
    <t>Axle Rose Co</t>
  </si>
  <si>
    <t>Tote Bags/Keychains/Stickers</t>
  </si>
  <si>
    <t>Order #VEEVBT9XJH</t>
  </si>
  <si>
    <t>88EA6C</t>
  </si>
  <si>
    <t>003</t>
  </si>
  <si>
    <t>C0641D</t>
  </si>
  <si>
    <t>Tiny Plant Market</t>
  </si>
  <si>
    <t>Stickers</t>
  </si>
  <si>
    <t>Order #5Y27KVGXCF</t>
  </si>
  <si>
    <t>F7DDCE</t>
  </si>
  <si>
    <t>004</t>
  </si>
  <si>
    <t>2F577F</t>
  </si>
  <si>
    <t>Order #FCR7S8VH3Z</t>
  </si>
  <si>
    <t>66D130</t>
  </si>
  <si>
    <t>005</t>
  </si>
  <si>
    <t>9E4AE1</t>
  </si>
  <si>
    <t>006</t>
  </si>
  <si>
    <t>D5C492</t>
  </si>
  <si>
    <t>007</t>
  </si>
  <si>
    <t>Inventory Logging</t>
  </si>
  <si>
    <t>0D3E43</t>
  </si>
  <si>
    <t>Succulents &amp; Such, Inc.</t>
  </si>
  <si>
    <t>Order #8DCYT58VMA</t>
  </si>
  <si>
    <t>44B7F4</t>
  </si>
  <si>
    <t>Yoshiky</t>
  </si>
  <si>
    <t>Market Fees &amp; Supplies</t>
  </si>
  <si>
    <t>Wood display risers</t>
  </si>
  <si>
    <t>7C31A5</t>
  </si>
  <si>
    <t>Aokrean</t>
  </si>
  <si>
    <t>Adjustable halo grow lights</t>
  </si>
  <si>
    <t>B3AB56</t>
  </si>
  <si>
    <t>Pureegg</t>
  </si>
  <si>
    <t>Table Covers &amp; Displays</t>
  </si>
  <si>
    <t>Spandex tablecloth covers</t>
  </si>
  <si>
    <t>EB2507</t>
  </si>
  <si>
    <t>Dutch Harbor Brands</t>
  </si>
  <si>
    <t>Isopropyl alcohol wipes</t>
  </si>
  <si>
    <t>229EB8</t>
  </si>
  <si>
    <t>5A1869</t>
  </si>
  <si>
    <t>Jassetparty</t>
  </si>
  <si>
    <t>91921A</t>
  </si>
  <si>
    <t>Our Modern Space</t>
  </si>
  <si>
    <t>Tables &amp; Furniture</t>
  </si>
  <si>
    <t>Folding table with adjustable height</t>
  </si>
  <si>
    <t>KOALA PAPER</t>
  </si>
  <si>
    <t>Stationery &amp; Print</t>
  </si>
  <si>
    <t>Glossy photo paper</t>
  </si>
  <si>
    <t>00857C</t>
  </si>
  <si>
    <t>Tangcaikai</t>
  </si>
  <si>
    <t>Mini acrylic display easels</t>
  </si>
  <si>
    <t>37FF2D</t>
  </si>
  <si>
    <t>Azhen-XIN</t>
  </si>
  <si>
    <t>6F78DE</t>
  </si>
  <si>
    <t>Poer</t>
  </si>
  <si>
    <t>Clear acrylic business card holders</t>
  </si>
  <si>
    <t>A6F28F</t>
  </si>
  <si>
    <t>HIIMIEI</t>
  </si>
  <si>
    <t>Acrylic brochure holders</t>
  </si>
  <si>
    <t>DE6C40</t>
  </si>
  <si>
    <t>LightRail</t>
  </si>
  <si>
    <t>Postcard paper cardstock</t>
  </si>
  <si>
    <t>15E5F1</t>
  </si>
  <si>
    <t>Yuanseg</t>
  </si>
  <si>
    <t>Black shade cloth tarp</t>
  </si>
  <si>
    <t>4D5FA2</t>
  </si>
  <si>
    <t>Epic Medical Supply</t>
  </si>
  <si>
    <t>Hydrogen peroxide (bulk)</t>
  </si>
  <si>
    <t>84D953</t>
  </si>
  <si>
    <t>Dr. Bronner's</t>
  </si>
  <si>
    <t>Castile liquid soap</t>
  </si>
  <si>
    <t>BC5304</t>
  </si>
  <si>
    <t>Square Sinks</t>
  </si>
  <si>
    <t>Isopropyl Alcohol</t>
  </si>
  <si>
    <t>F3CCB5</t>
  </si>
  <si>
    <t>Pop up canopy tent</t>
  </si>
  <si>
    <t>2B4666</t>
  </si>
  <si>
    <t>62C017</t>
  </si>
  <si>
    <t>MDPQT</t>
  </si>
  <si>
    <t>20 QT Perlite</t>
  </si>
  <si>
    <t>9A39C8</t>
  </si>
  <si>
    <t>D1B379</t>
  </si>
  <si>
    <t>Berkland</t>
  </si>
  <si>
    <t>Keiki plant cloning paste</t>
  </si>
  <si>
    <t>092D2A</t>
  </si>
  <si>
    <t>Data Entry</t>
  </si>
  <si>
    <t>008</t>
  </si>
  <si>
    <t>Overhead Item Input</t>
  </si>
  <si>
    <t>40A6DB</t>
  </si>
  <si>
    <t>Morgan N.</t>
  </si>
  <si>
    <t>Working Interview</t>
  </si>
  <si>
    <t>1</t>
  </si>
  <si>
    <t>78208C</t>
  </si>
  <si>
    <t>Bonide</t>
  </si>
  <si>
    <t>Systemic insect control granules</t>
  </si>
  <si>
    <t>AF9A3D</t>
  </si>
  <si>
    <t>488</t>
  </si>
  <si>
    <t>E713EE</t>
  </si>
  <si>
    <t>Zenfun</t>
  </si>
  <si>
    <t>Bags &amp; Packaging</t>
  </si>
  <si>
    <t>Wine gift bags with window</t>
  </si>
  <si>
    <t>1E8D9F</t>
  </si>
  <si>
    <t>Hondawan</t>
  </si>
  <si>
    <t>560750</t>
  </si>
  <si>
    <t>50 QT Perlite</t>
  </si>
  <si>
    <t>8D8101</t>
  </si>
  <si>
    <t>C4FAB2</t>
  </si>
  <si>
    <t>FC7463</t>
  </si>
  <si>
    <t>33EE14</t>
  </si>
  <si>
    <t>6B67C5</t>
  </si>
  <si>
    <t>gegemaoyi</t>
  </si>
  <si>
    <t>Plastic watering can</t>
  </si>
  <si>
    <t>A2E176</t>
  </si>
  <si>
    <t>Shiiajina</t>
  </si>
  <si>
    <t>shelf liner</t>
  </si>
  <si>
    <t>DA5B27</t>
  </si>
  <si>
    <t>11D4D8</t>
  </si>
  <si>
    <t>xiaohulipin</t>
  </si>
  <si>
    <t>494E89</t>
  </si>
  <si>
    <t>Home Tex</t>
  </si>
  <si>
    <t>Packing &amp; Shipping</t>
  </si>
  <si>
    <t>Polyester pillow stuffing</t>
  </si>
  <si>
    <t>80C83A</t>
  </si>
  <si>
    <t>Aspamms</t>
  </si>
  <si>
    <t>Packing air pillows</t>
  </si>
  <si>
    <t>B841EB</t>
  </si>
  <si>
    <t>Xavier Optimization</t>
  </si>
  <si>
    <t>EFBB9C</t>
  </si>
  <si>
    <t>Union Sales</t>
  </si>
  <si>
    <t>Heavy duty shipping tape</t>
  </si>
  <si>
    <t>27354D</t>
  </si>
  <si>
    <t>Stretch wrap roll</t>
  </si>
  <si>
    <t>5EAEFE</t>
  </si>
  <si>
    <t>wootile</t>
  </si>
  <si>
    <t>9628AF</t>
  </si>
  <si>
    <t>MUUZLL</t>
  </si>
  <si>
    <t>Bonsai pruning scissors</t>
  </si>
  <si>
    <t>CDA260</t>
  </si>
  <si>
    <t>US.K M</t>
  </si>
  <si>
    <t>051C11</t>
  </si>
  <si>
    <t>Maxguard</t>
  </si>
  <si>
    <t>Clear window fly traps</t>
  </si>
  <si>
    <t>3C95C2</t>
  </si>
  <si>
    <t>Office &amp; Admin Supplies</t>
  </si>
  <si>
    <t>Ultra-fine dry erase markers</t>
  </si>
  <si>
    <t>740F73</t>
  </si>
  <si>
    <t>Rammos</t>
  </si>
  <si>
    <t>Magnetic whiteboard labels</t>
  </si>
  <si>
    <t>AB8924</t>
  </si>
  <si>
    <t>Pony Packaging</t>
  </si>
  <si>
    <t>Half-sheet adhesive shipping labels</t>
  </si>
  <si>
    <t>E302D5</t>
  </si>
  <si>
    <t>Premium Label Supply</t>
  </si>
  <si>
    <t>Glossy white address sticker labels</t>
  </si>
  <si>
    <t>1A7C86</t>
  </si>
  <si>
    <t>smallbene</t>
  </si>
  <si>
    <t>Plant Tags &amp; Labels</t>
  </si>
  <si>
    <t>Medium T-shape plastic plant tags</t>
  </si>
  <si>
    <t>51F637</t>
  </si>
  <si>
    <t>livehoase</t>
  </si>
  <si>
    <t>Round waterproof labels</t>
  </si>
  <si>
    <t>896FE8</t>
  </si>
  <si>
    <t>Temu</t>
  </si>
  <si>
    <t>Meizhigao</t>
  </si>
  <si>
    <t>Heavy duty wire shelving rack</t>
  </si>
  <si>
    <t>C0E999</t>
  </si>
  <si>
    <t>F8634A</t>
  </si>
  <si>
    <t>Dianyico</t>
  </si>
  <si>
    <t>Folding table</t>
  </si>
  <si>
    <t>2FDCFB</t>
  </si>
  <si>
    <t>Aneisumn</t>
  </si>
  <si>
    <t>outdoor solar string lights</t>
  </si>
  <si>
    <t>6756AC</t>
  </si>
  <si>
    <t>9ED05D</t>
  </si>
  <si>
    <t>HXHomehub</t>
  </si>
  <si>
    <t>solar charging bank</t>
  </si>
  <si>
    <t>D64A0E</t>
  </si>
  <si>
    <t>0DC3BF</t>
  </si>
  <si>
    <t>Zeukmxoo</t>
  </si>
  <si>
    <t>453D70</t>
  </si>
  <si>
    <t>Ranran</t>
  </si>
  <si>
    <t>Magnetic Screen Door</t>
  </si>
  <si>
    <t>7CB721</t>
  </si>
  <si>
    <t>Mark Office Supplies</t>
  </si>
  <si>
    <t>B430D2</t>
  </si>
  <si>
    <t>CoLink Tech</t>
  </si>
  <si>
    <t>folding ladder</t>
  </si>
  <si>
    <t>EBAA83</t>
  </si>
  <si>
    <t>232434</t>
  </si>
  <si>
    <t>Tidy Palm Life Cart</t>
  </si>
  <si>
    <t>folding hand cart</t>
  </si>
  <si>
    <t>5A9DE5</t>
  </si>
  <si>
    <t>kikiqaz</t>
  </si>
  <si>
    <t>921796</t>
  </si>
  <si>
    <t>C99147</t>
  </si>
  <si>
    <t>SoftTeeHub</t>
  </si>
  <si>
    <t>Uniforms &amp; Workwear</t>
  </si>
  <si>
    <t>Pothos T-Shirt</t>
  </si>
  <si>
    <t>010AF8</t>
  </si>
  <si>
    <t>3884A9</t>
  </si>
  <si>
    <t>L-Shaped Computer Desk</t>
  </si>
  <si>
    <t>6FFE5A</t>
  </si>
  <si>
    <t>Goodwinger</t>
  </si>
  <si>
    <t>Folding Table</t>
  </si>
  <si>
    <t>A7780B</t>
  </si>
  <si>
    <t>DEF1BC</t>
  </si>
  <si>
    <t>FutureFurs Space</t>
  </si>
  <si>
    <t>Folding Chairs</t>
  </si>
  <si>
    <t>166B6D</t>
  </si>
  <si>
    <t>4DE51E</t>
  </si>
  <si>
    <t>CamXplore</t>
  </si>
  <si>
    <t>Security</t>
  </si>
  <si>
    <t>security cameras</t>
  </si>
  <si>
    <t>855ECF</t>
  </si>
  <si>
    <t>BCD880</t>
  </si>
  <si>
    <t>Miazya woo</t>
  </si>
  <si>
    <t>wall shelves</t>
  </si>
  <si>
    <t>F45231</t>
  </si>
  <si>
    <t>Miazya Woo</t>
  </si>
  <si>
    <t>2BCBE2</t>
  </si>
  <si>
    <t>ERMUHE</t>
  </si>
  <si>
    <t>Sign</t>
  </si>
  <si>
    <t>Lot of Plants</t>
  </si>
  <si>
    <t>c6b8f4a7</t>
  </si>
  <si>
    <t>Shunda Process</t>
  </si>
  <si>
    <t>Whole Lotta Plants</t>
  </si>
  <si>
    <t>eabdc395</t>
  </si>
  <si>
    <t>Krishna T.</t>
  </si>
  <si>
    <t>57d5842e</t>
  </si>
  <si>
    <t>Emmarie R.</t>
  </si>
  <si>
    <t>b2c3653a</t>
  </si>
  <si>
    <t>Roc Riner</t>
  </si>
  <si>
    <t>Outbound Shipping</t>
  </si>
  <si>
    <t>e6dc1064</t>
  </si>
  <si>
    <t>Stephanie Dickey</t>
  </si>
  <si>
    <t>751f0d0a</t>
  </si>
  <si>
    <t>Dwayne Johnson</t>
  </si>
  <si>
    <t>be1516f5</t>
  </si>
  <si>
    <t>Jenn Spence</t>
  </si>
  <si>
    <t>77848c09</t>
  </si>
  <si>
    <t>Dorothy Buchanan</t>
  </si>
  <si>
    <t>c3a9d3cb</t>
  </si>
  <si>
    <t>Lexi Loop</t>
  </si>
  <si>
    <t>c23f1fa6</t>
  </si>
  <si>
    <t>Joshua Delagarza</t>
  </si>
  <si>
    <t>fff736c1</t>
  </si>
  <si>
    <t>4d074988</t>
  </si>
  <si>
    <t>e33625e3</t>
  </si>
  <si>
    <t>c0a9f872</t>
  </si>
  <si>
    <t>e83f3665</t>
  </si>
  <si>
    <t>22ca591e</t>
  </si>
  <si>
    <t>44ead0da</t>
  </si>
  <si>
    <t>c33f0cef</t>
  </si>
  <si>
    <t>60018d87</t>
  </si>
  <si>
    <t>73c498bb</t>
  </si>
  <si>
    <t>Chelsey Johnson</t>
  </si>
  <si>
    <t>1b37d280</t>
  </si>
  <si>
    <t>Karley Buchanan</t>
  </si>
  <si>
    <t>10695d2c</t>
  </si>
  <si>
    <t>Brittney Littlejohn</t>
  </si>
  <si>
    <t>8fb7ffc7</t>
  </si>
  <si>
    <t>Brianna Morris</t>
  </si>
  <si>
    <t>e4007bd6</t>
  </si>
  <si>
    <t>Darlene Minshew</t>
  </si>
  <si>
    <t>d83af85a</t>
  </si>
  <si>
    <t>Fields</t>
  </si>
  <si>
    <t>Purelife</t>
  </si>
  <si>
    <t>General Office Supplies</t>
  </si>
  <si>
    <t>Distilled water and Mini moisture tester</t>
  </si>
  <si>
    <t>156d3e09</t>
  </si>
  <si>
    <t>Superthrive</t>
  </si>
  <si>
    <t>Copper Fungicide &amp; Plant Nutrients</t>
  </si>
  <si>
    <t>7d85a122</t>
  </si>
  <si>
    <t>Vermiculite</t>
  </si>
  <si>
    <t>General Plant Supplies</t>
  </si>
  <si>
    <t>18fb1bb7</t>
  </si>
  <si>
    <t>Pro Spray bottle &amp; Mist Sprayer Bottle</t>
  </si>
  <si>
    <t>a5895ff1</t>
  </si>
  <si>
    <t>Mother Earth Terracraft</t>
  </si>
  <si>
    <t>2 Cubic Ft Potting Soil</t>
  </si>
  <si>
    <t>Pot Soil</t>
  </si>
  <si>
    <t>7b961bba</t>
  </si>
  <si>
    <t>b0f60331</t>
  </si>
  <si>
    <t>Repairs &amp; Maintenance</t>
  </si>
  <si>
    <t>Black Duct Tape, Blue Taping Knife, Putty Knife Crbn Stl</t>
  </si>
  <si>
    <t>d12d6228</t>
  </si>
  <si>
    <t>USPS</t>
  </si>
  <si>
    <t>State of Oregon</t>
  </si>
  <si>
    <t>Nursery License Application Mailing</t>
  </si>
  <si>
    <t>f8a3cd5c</t>
  </si>
  <si>
    <t>Mosquito Larvae Control</t>
  </si>
  <si>
    <t>312982ee</t>
  </si>
  <si>
    <t>Fiber</t>
  </si>
  <si>
    <t>1e6c5de2</t>
  </si>
  <si>
    <t>Dollar General</t>
  </si>
  <si>
    <t>TrueLiving</t>
  </si>
  <si>
    <t>Plastic Tubs</t>
  </si>
  <si>
    <t>Totes</t>
  </si>
  <si>
    <t>ef9f396c</t>
  </si>
  <si>
    <t>6 totes, 2 file folders, 3in binder view, bounty 2dr</t>
  </si>
  <si>
    <t>f9a13bd9</t>
  </si>
  <si>
    <t>5pk dividers</t>
  </si>
  <si>
    <t>2f2b5e89</t>
  </si>
  <si>
    <t>16054d92</t>
  </si>
  <si>
    <t>Staples</t>
  </si>
  <si>
    <t>42cbc1e1</t>
  </si>
  <si>
    <t>Advanced Electrical Services</t>
  </si>
  <si>
    <t>Wayne</t>
  </si>
  <si>
    <t>Replace and Installs</t>
  </si>
  <si>
    <t>65a492c6</t>
  </si>
  <si>
    <t>Drew Davis</t>
  </si>
  <si>
    <t>7221926d</t>
  </si>
  <si>
    <t>Blanca Rodriguez</t>
  </si>
  <si>
    <t>3f814154</t>
  </si>
  <si>
    <t>Ryan Weatherford</t>
  </si>
  <si>
    <t>1f081af4</t>
  </si>
  <si>
    <t>Blake Nestor</t>
  </si>
  <si>
    <t>f1cec515</t>
  </si>
  <si>
    <t>Rebecca Correa</t>
  </si>
  <si>
    <t>5c407929</t>
  </si>
  <si>
    <t>Margarito Gervacio</t>
  </si>
  <si>
    <t>ec87aab4</t>
  </si>
  <si>
    <t>Crystal Dodson</t>
  </si>
  <si>
    <t>90709914</t>
  </si>
  <si>
    <t>Andrea Hurd</t>
  </si>
  <si>
    <t>f241065c</t>
  </si>
  <si>
    <t>Hudson Meyn</t>
  </si>
  <si>
    <t>c96e565e</t>
  </si>
  <si>
    <t>Anna C.</t>
  </si>
  <si>
    <t>Creator's Gallery</t>
  </si>
  <si>
    <t>Merlin Outdoor Market</t>
  </si>
  <si>
    <t>Payment for space rent</t>
  </si>
  <si>
    <t>10d62f81</t>
  </si>
  <si>
    <t>EZdom</t>
  </si>
  <si>
    <t>99e3130d</t>
  </si>
  <si>
    <t>DIYC LLC</t>
  </si>
  <si>
    <t>6ef83584</t>
  </si>
  <si>
    <t>296fd316</t>
  </si>
  <si>
    <t>48f4b3e2</t>
  </si>
  <si>
    <t>9e9fb738</t>
  </si>
  <si>
    <t>4a90f681</t>
  </si>
  <si>
    <t>#2NWJFBWT2B</t>
  </si>
  <si>
    <t>12dee387</t>
  </si>
  <si>
    <t>Sarah McKibben</t>
  </si>
  <si>
    <t>aeb0a1ff</t>
  </si>
  <si>
    <t>Bella Evans</t>
  </si>
  <si>
    <t>133807b5</t>
  </si>
  <si>
    <t>Rugs</t>
  </si>
  <si>
    <t>7a38cb59</t>
  </si>
  <si>
    <t>Live Plants +2 day shipping</t>
  </si>
  <si>
    <t>89f06692</t>
  </si>
  <si>
    <t>Pirate Ship</t>
  </si>
  <si>
    <t>Savannah Ackerman</t>
  </si>
  <si>
    <t>ba0d17e4</t>
  </si>
  <si>
    <t>Square Website</t>
  </si>
  <si>
    <t>0387</t>
  </si>
  <si>
    <t>7HJ4</t>
  </si>
  <si>
    <t>Amy Stout</t>
  </si>
  <si>
    <t>3f1b5f67</t>
  </si>
  <si>
    <t>Weatherstrip</t>
  </si>
  <si>
    <t>Shade &amp; Protection</t>
  </si>
  <si>
    <t>88cf8a42</t>
  </si>
  <si>
    <t>Zep/Bounty</t>
  </si>
  <si>
    <t>79b530fe</t>
  </si>
  <si>
    <t>Nelko</t>
  </si>
  <si>
    <t>Label Maker</t>
  </si>
  <si>
    <t>114-2873213-5006629</t>
  </si>
  <si>
    <t>61131bff</t>
  </si>
  <si>
    <t>bfb2bd47</t>
  </si>
  <si>
    <t>a8c51f5a</t>
  </si>
  <si>
    <t>SVANTTO</t>
  </si>
  <si>
    <t>f4be5798</t>
  </si>
  <si>
    <t>KUAIVO</t>
  </si>
  <si>
    <t>Scale</t>
  </si>
  <si>
    <t>2ad7b3d0</t>
  </si>
  <si>
    <t>Husky</t>
  </si>
  <si>
    <t>Contractor Bags</t>
  </si>
  <si>
    <t>17f6a6b1</t>
  </si>
  <si>
    <t>Shipping Boxes</t>
  </si>
  <si>
    <t>Cardboard Shipping Boxes</t>
  </si>
  <si>
    <t>92ba69c7</t>
  </si>
  <si>
    <t>003cd017</t>
  </si>
  <si>
    <t>5b845770</t>
  </si>
  <si>
    <t>Shopify</t>
  </si>
  <si>
    <t>5afa277f</t>
  </si>
  <si>
    <t>Heat Pack for Shipping</t>
  </si>
  <si>
    <t>536cc282</t>
  </si>
  <si>
    <t>2e4f697e</t>
  </si>
  <si>
    <t>330fd65d</t>
  </si>
  <si>
    <t>Tangaraplants</t>
  </si>
  <si>
    <t>eaeb991a</t>
  </si>
  <si>
    <t>94595f39</t>
  </si>
  <si>
    <t>Stripe</t>
  </si>
  <si>
    <t>Selling Fee</t>
  </si>
  <si>
    <t>Third Party Fee</t>
  </si>
  <si>
    <t>Palmstreet</t>
  </si>
  <si>
    <t>8020a37c</t>
  </si>
  <si>
    <t>7b462adf</t>
  </si>
  <si>
    <t>Tax</t>
  </si>
  <si>
    <t>392dd35e</t>
  </si>
  <si>
    <t>AGP-MA-TCN-1A-2/Shipping Shortage</t>
  </si>
  <si>
    <t>6e330f4a</t>
  </si>
  <si>
    <t>Base Selling Fee</t>
  </si>
  <si>
    <t>528cd33c</t>
  </si>
  <si>
    <t>c8546257</t>
  </si>
  <si>
    <t>cf2e61a7</t>
  </si>
  <si>
    <t>28644ea9</t>
  </si>
  <si>
    <t>58e069b5</t>
  </si>
  <si>
    <t>16b42262</t>
  </si>
  <si>
    <t>State Of Oregon</t>
  </si>
  <si>
    <t>Business License</t>
  </si>
  <si>
    <t>cbcee132</t>
  </si>
  <si>
    <t>Department of Agriculture</t>
  </si>
  <si>
    <t>Nursery License</t>
  </si>
  <si>
    <t>5b11f104</t>
  </si>
  <si>
    <t>Dell</t>
  </si>
  <si>
    <t>Dell Laptop</t>
  </si>
  <si>
    <t>Order # 112-3767868-8165020</t>
  </si>
  <si>
    <t>5c633195</t>
  </si>
  <si>
    <t>Blooming Starr Receipts/5c633195.Receipt.214534.png</t>
  </si>
  <si>
    <t>Better Gro</t>
  </si>
  <si>
    <t>Order # 114-3147997-8265802</t>
  </si>
  <si>
    <t>e16ea94c</t>
  </si>
  <si>
    <t>7ba310cf</t>
  </si>
  <si>
    <t>SimpleNature</t>
  </si>
  <si>
    <t>03c29650</t>
  </si>
  <si>
    <t>f34a1a9d</t>
  </si>
  <si>
    <t>84476cab</t>
  </si>
  <si>
    <t>Five Star Materials Resources</t>
  </si>
  <si>
    <t>114-4170238-3212221</t>
  </si>
  <si>
    <t>Rewards Points</t>
  </si>
  <si>
    <t>52c07494</t>
  </si>
  <si>
    <t>114-7770296-3601817</t>
  </si>
  <si>
    <t>2a2db5b1</t>
  </si>
  <si>
    <t>NaturesGoodGuys</t>
  </si>
  <si>
    <t>Green Lacewing Eggs</t>
  </si>
  <si>
    <t>4193</t>
  </si>
  <si>
    <t>114-5228771-3048231</t>
  </si>
  <si>
    <t>db2380e4</t>
  </si>
  <si>
    <t>Rose's Garden Helpers</t>
  </si>
  <si>
    <t>Live Ladybugs</t>
  </si>
  <si>
    <t>114-6500983-7837816</t>
  </si>
  <si>
    <t>0d301000</t>
  </si>
  <si>
    <t>BioLogic Company, Inc.</t>
  </si>
  <si>
    <t>BioLogic's Scanmask Steinernema</t>
  </si>
  <si>
    <t>114-8411319-1809062</t>
  </si>
  <si>
    <t>8eef84d6</t>
  </si>
  <si>
    <t>Gerta Store</t>
  </si>
  <si>
    <t>40 QT Perlite</t>
  </si>
  <si>
    <t>6488</t>
  </si>
  <si>
    <t>114-3030632-5926616</t>
  </si>
  <si>
    <t>2606ca6e</t>
  </si>
  <si>
    <t>10 QT Perlite</t>
  </si>
  <si>
    <t>be47be3c</t>
  </si>
  <si>
    <t>42b5ef52</t>
  </si>
  <si>
    <t>YEGAWEN</t>
  </si>
  <si>
    <t>2"x1" Thermal Sticker Labels</t>
  </si>
  <si>
    <t>4a98d929</t>
  </si>
  <si>
    <t>HYBSK</t>
  </si>
  <si>
    <t>1.5 inch Circle Color Direct Thermal Stickers</t>
  </si>
  <si>
    <t>6ffdeba0</t>
  </si>
  <si>
    <t>41db894c</t>
  </si>
  <si>
    <t>Blooming Starr Receipts/41db894c.Receipt.174240.jpg</t>
  </si>
  <si>
    <t>Grange Co-Op</t>
  </si>
  <si>
    <t>Uni-Gro</t>
  </si>
  <si>
    <t>1 Cubic Ft Green Moss</t>
  </si>
  <si>
    <t>7c63bb5b</t>
  </si>
  <si>
    <t>Blooming Starr Receipts/7c63bb5b.Receipt.183854.jpg</t>
  </si>
  <si>
    <t>Velcro</t>
  </si>
  <si>
    <t>Plant Ties</t>
  </si>
  <si>
    <t>caf6e32b</t>
  </si>
  <si>
    <t>Blooming Starr Receipts/caf6e32b.Receipt.183913.jpg</t>
  </si>
  <si>
    <t>Endless Summer Garden Supply</t>
  </si>
  <si>
    <t>1 Cubic Ft Orchid Bark</t>
  </si>
  <si>
    <t>6f04b809</t>
  </si>
  <si>
    <t>Blooming Starr Receipts/6f04b809.Receipt.183709.jpg</t>
  </si>
  <si>
    <t>4 Corners Organics</t>
  </si>
  <si>
    <t>1 Cubic Ft Pumice</t>
  </si>
  <si>
    <t>1f51435c</t>
  </si>
  <si>
    <t>Blooming Starr Receipts/1f51435c.Receipt.183742.jpg</t>
  </si>
  <si>
    <t>4 Cubic Ft Perlite</t>
  </si>
  <si>
    <t>9703d273</t>
  </si>
  <si>
    <t>Blooming Starr Receipts/9703d273.Receipt.183757.jpg</t>
  </si>
  <si>
    <t>Hydrotron</t>
  </si>
  <si>
    <t>50 Liters Leca</t>
  </si>
  <si>
    <t>1beef06f</t>
  </si>
  <si>
    <t>Blooming Starr Receipts/1beef06f.Receipt.183811.jpg</t>
  </si>
  <si>
    <t>Credt Card Fees</t>
  </si>
  <si>
    <t>Credt Card Surcharge</t>
  </si>
  <si>
    <t>5b435383</t>
  </si>
  <si>
    <t>Blooming Starr Receipts/5b435383.Receipt.183839.jpg</t>
  </si>
  <si>
    <t>Halatool</t>
  </si>
  <si>
    <t>16 LB Leca</t>
  </si>
  <si>
    <t>5f127e3c</t>
  </si>
  <si>
    <t>Fluval</t>
  </si>
  <si>
    <t>8.8 LB Bio Stratum</t>
  </si>
  <si>
    <t>e407f9a3</t>
  </si>
  <si>
    <t>Soil</t>
  </si>
  <si>
    <t>9819</t>
  </si>
  <si>
    <t>a681e4fa</t>
  </si>
  <si>
    <t>UPS</t>
  </si>
  <si>
    <t>f4710732</t>
  </si>
  <si>
    <t>Square Online Plus</t>
  </si>
  <si>
    <t>Software and Subscriptions</t>
  </si>
  <si>
    <t>Square monthly subscription fees</t>
  </si>
  <si>
    <t>88efcda1</t>
  </si>
  <si>
    <t>Blooming Starr Receipts/88efcda1.Receipt.161659.jpg</t>
  </si>
  <si>
    <t>63dca993</t>
  </si>
  <si>
    <t>Blooming Starr Receipts/63dca993.Receipt.161839.jpg</t>
  </si>
  <si>
    <t>Shifts Plus</t>
  </si>
  <si>
    <t>ebc7c922</t>
  </si>
  <si>
    <t>Blooming Starr Receipts/ebc7c922.Receipt.161948.jpg</t>
  </si>
  <si>
    <t>Team Communication</t>
  </si>
  <si>
    <t>923763c8</t>
  </si>
  <si>
    <t>Blooming Starr Receipts/923763c8.Receipt.162119.jpg</t>
  </si>
  <si>
    <t>6f19d3b5</t>
  </si>
  <si>
    <t>Blooming Starr Receipts/6f19d3b5.Receipt.162220.jpg</t>
  </si>
  <si>
    <t>c93eef8d</t>
  </si>
  <si>
    <t>Blooming Starr Receipts/c93eef8d.Receipt.162400.jpg</t>
  </si>
  <si>
    <t>09e31f76</t>
  </si>
  <si>
    <t>Blooming Starr Receipts/09e31f76.Receipt.162514.jpg</t>
  </si>
  <si>
    <t>4d24c46d</t>
  </si>
  <si>
    <t>Blooming Starr Receipts/4d24c46d.Receipt.162628.jpg</t>
  </si>
  <si>
    <t>d8fb04da</t>
  </si>
  <si>
    <t>Blooming Starr Receipts/d8fb04da.Receipt.162736.jpg</t>
  </si>
  <si>
    <t>725e1bac</t>
  </si>
  <si>
    <t>Blooming Starr Receipts/725e1bac.Receipt.162853.jpg</t>
  </si>
  <si>
    <t>Shippo</t>
  </si>
  <si>
    <t>Glass Plant Mister</t>
  </si>
  <si>
    <t>9cd8ca16</t>
  </si>
  <si>
    <t>Bounty</t>
  </si>
  <si>
    <t>Paper Towels</t>
  </si>
  <si>
    <t>ae73e559</t>
  </si>
  <si>
    <t>Blooming Starr Receipts/ae73e559.Receipt.195334.jpg</t>
  </si>
  <si>
    <t>Trays &amp; Drainage</t>
  </si>
  <si>
    <t>11x22 Black Plant Tray</t>
  </si>
  <si>
    <t>0ce18fd8</t>
  </si>
  <si>
    <t>Blooming Starr Receipts/0ce18fd8.Receipt.172625.jpg</t>
  </si>
  <si>
    <t>VENDOR</t>
  </si>
  <si>
    <t>BRAND</t>
  </si>
  <si>
    <t>CATEGORY</t>
  </si>
  <si>
    <t>DESCRIPTION</t>
  </si>
  <si>
    <t>Pmt. Method</t>
  </si>
  <si>
    <t>AIMFIKIOR</t>
  </si>
  <si>
    <t>Cash &amp; POS</t>
  </si>
  <si>
    <t>Acrylic sign holders (multiple sizes)</t>
  </si>
  <si>
    <t>AojSup</t>
  </si>
  <si>
    <t>Fuel</t>
  </si>
  <si>
    <t>Barydat</t>
  </si>
  <si>
    <t>Bleidruck</t>
  </si>
  <si>
    <t>Plant Supports</t>
  </si>
  <si>
    <t>Frosted plastic shelf liners</t>
  </si>
  <si>
    <t>Professional Services</t>
  </si>
  <si>
    <t>Rent</t>
  </si>
  <si>
    <t>Duck</t>
  </si>
  <si>
    <t>Honeycomb packing paper roll</t>
  </si>
  <si>
    <t>Horticultural perlite and vermiculite</t>
  </si>
  <si>
    <t>EXPO</t>
  </si>
  <si>
    <t>Fam Plants</t>
  </si>
  <si>
    <t>Isopropyl alcohol (bulk)</t>
  </si>
  <si>
    <t>GarveeLife</t>
  </si>
  <si>
    <t>Utilities</t>
  </si>
  <si>
    <t>Key Chains</t>
  </si>
  <si>
    <t>Generic</t>
  </si>
  <si>
    <t>Kraft paper gift bags with window</t>
  </si>
  <si>
    <t>Large T-type plastic plant labels</t>
  </si>
  <si>
    <t>Live plant shipping stickers</t>
  </si>
  <si>
    <t>Locking cash box</t>
  </si>
  <si>
    <t>Hometex Canada</t>
  </si>
  <si>
    <t>Mini plastic nursery pots</t>
  </si>
  <si>
    <t>LFSYS</t>
  </si>
  <si>
    <t>LZY</t>
  </si>
  <si>
    <t>MAXTITE</t>
  </si>
  <si>
    <t>Self-watering planter pots with window</t>
  </si>
  <si>
    <t>Self-watering plastic plant pots</t>
  </si>
  <si>
    <t>pouseayar</t>
  </si>
  <si>
    <t>Qizpcer</t>
  </si>
  <si>
    <t>Scotch</t>
  </si>
  <si>
    <t>Sweetzer &amp; Orange</t>
  </si>
  <si>
    <t>Toyosport</t>
  </si>
  <si>
    <t>USKICH</t>
  </si>
  <si>
    <t>Wipex</t>
  </si>
  <si>
    <t>XIISVINT</t>
  </si>
  <si>
    <t>XINANDE</t>
  </si>
  <si>
    <t>XINTIEXIN</t>
  </si>
  <si>
    <t>xydled</t>
  </si>
  <si>
    <t>Yalikop</t>
  </si>
  <si>
    <t>Original SKU</t>
  </si>
  <si>
    <t>Media</t>
  </si>
  <si>
    <t>From Pot</t>
  </si>
  <si>
    <t>To Pot</t>
  </si>
  <si>
    <t>ID</t>
  </si>
  <si>
    <t>Division SKU</t>
  </si>
  <si>
    <t xml:space="preserve">$ PER </t>
  </si>
  <si>
    <t>POT COLOR</t>
  </si>
  <si>
    <t>Created At</t>
  </si>
  <si>
    <t>Add On</t>
  </si>
  <si>
    <t>Plant Name</t>
  </si>
  <si>
    <t>CM 1</t>
  </si>
  <si>
    <t>DV-PO-2-WH-1</t>
  </si>
  <si>
    <t>H</t>
  </si>
  <si>
    <t>White</t>
  </si>
  <si>
    <t>TE-PO-4-MU-1</t>
  </si>
  <si>
    <t>*</t>
  </si>
  <si>
    <t>Pink</t>
  </si>
  <si>
    <t>CC96EB</t>
  </si>
  <si>
    <t>TOGPS-PH-POO-1A-2</t>
  </si>
  <si>
    <t>Orange</t>
  </si>
  <si>
    <t>CM 2</t>
  </si>
  <si>
    <t>GA-PO-4-BL-1</t>
  </si>
  <si>
    <t>WO-PO-6-MU-1</t>
  </si>
  <si>
    <t>23A2B2</t>
  </si>
  <si>
    <t>Division</t>
  </si>
  <si>
    <t>GA-PO-6-MU-1</t>
  </si>
  <si>
    <t>A</t>
  </si>
  <si>
    <t>Peach</t>
  </si>
  <si>
    <t>B</t>
  </si>
  <si>
    <t>C</t>
  </si>
  <si>
    <t>D</t>
  </si>
  <si>
    <t>Purple</t>
  </si>
  <si>
    <t>E</t>
  </si>
  <si>
    <t>Sage</t>
  </si>
  <si>
    <t>F</t>
  </si>
  <si>
    <t>Blue</t>
  </si>
  <si>
    <t>5021CF</t>
  </si>
  <si>
    <t>ZO-PO-4-WL-1</t>
  </si>
  <si>
    <t>AN-PO-3-MU-1</t>
  </si>
  <si>
    <t>PS-PO-5.5-MU-1</t>
  </si>
  <si>
    <t>2346E2</t>
  </si>
  <si>
    <t>TE-PO-4-MU-3</t>
  </si>
  <si>
    <t>5C58A3</t>
  </si>
  <si>
    <t>Black</t>
  </si>
  <si>
    <t>D71E81</t>
  </si>
  <si>
    <t>Yellow</t>
  </si>
  <si>
    <t>NR-PO-5-PBP-1</t>
  </si>
  <si>
    <t>Green</t>
  </si>
  <si>
    <t>99264B</t>
  </si>
  <si>
    <t>7E0E13</t>
  </si>
  <si>
    <t>7C15DB</t>
  </si>
  <si>
    <t>FABD64</t>
  </si>
  <si>
    <t>5EF5A3</t>
  </si>
  <si>
    <t>BF0ED9</t>
  </si>
  <si>
    <t>8F7F95</t>
  </si>
  <si>
    <t>93DE88</t>
  </si>
  <si>
    <t>I</t>
  </si>
  <si>
    <t>HY-PO-3-DO-1</t>
  </si>
  <si>
    <t>Clear</t>
  </si>
  <si>
    <t>NR-PO-8-PBP-1</t>
  </si>
  <si>
    <t>613EAA</t>
  </si>
  <si>
    <t>5736A5</t>
  </si>
  <si>
    <t>FA8110</t>
  </si>
  <si>
    <t>74C422</t>
  </si>
  <si>
    <t>528FD8</t>
  </si>
  <si>
    <t>FFC691</t>
  </si>
  <si>
    <t>56342F</t>
  </si>
  <si>
    <t>Tan</t>
  </si>
  <si>
    <t>4EA2F5</t>
  </si>
  <si>
    <t>54EAC8</t>
  </si>
  <si>
    <t>741911</t>
  </si>
  <si>
    <t>NR-PO-8-TBP-1</t>
  </si>
  <si>
    <t>38A14B</t>
  </si>
  <si>
    <t>16A72F</t>
  </si>
  <si>
    <t>CFE94D</t>
  </si>
  <si>
    <t>1A53EA</t>
  </si>
  <si>
    <t>684EB4</t>
  </si>
  <si>
    <t>HD-AL-GVF-1A</t>
  </si>
  <si>
    <t>7645D9</t>
  </si>
  <si>
    <t>AB70AC</t>
  </si>
  <si>
    <t>FMY-CA-MA-1</t>
  </si>
  <si>
    <t>Tuber</t>
  </si>
  <si>
    <t>G</t>
  </si>
  <si>
    <t>3016FD</t>
  </si>
  <si>
    <t>GA-PO-4-WH-1</t>
  </si>
  <si>
    <t>WO-PO-6-WH-1</t>
  </si>
  <si>
    <t>7BC163</t>
  </si>
  <si>
    <t>C3D233</t>
  </si>
  <si>
    <t>10B58A</t>
  </si>
  <si>
    <t>TE-PO-4-MU-2</t>
  </si>
  <si>
    <t>1883C4</t>
  </si>
  <si>
    <t>B0C95B</t>
  </si>
  <si>
    <t>B4EF3C</t>
  </si>
  <si>
    <t>71EDFD</t>
  </si>
  <si>
    <t>26657B</t>
  </si>
  <si>
    <t>ADD930</t>
  </si>
  <si>
    <t>6D504E</t>
  </si>
  <si>
    <t>8C50D8</t>
  </si>
  <si>
    <t>8BE8D3</t>
  </si>
  <si>
    <t>137420</t>
  </si>
  <si>
    <t>Flower</t>
  </si>
  <si>
    <t>HBird</t>
  </si>
  <si>
    <t>EEF062</t>
  </si>
  <si>
    <t>Honey Bee</t>
  </si>
  <si>
    <t>Rainbow</t>
  </si>
  <si>
    <t>NR-PO-3-BP-1</t>
  </si>
  <si>
    <t>3212EC</t>
  </si>
  <si>
    <t>A4E350</t>
  </si>
  <si>
    <t>J</t>
  </si>
  <si>
    <t>C21646</t>
  </si>
  <si>
    <t>K</t>
  </si>
  <si>
    <t>BWH-PO-PAJ-1</t>
  </si>
  <si>
    <t>Mushroom</t>
  </si>
  <si>
    <t>HS-PO-GO-1</t>
  </si>
  <si>
    <t>CM 3</t>
  </si>
  <si>
    <t>FF53A2</t>
  </si>
  <si>
    <t>3161AA</t>
  </si>
  <si>
    <t>8803A9</t>
  </si>
  <si>
    <t>496A47</t>
  </si>
  <si>
    <t>ACM</t>
  </si>
  <si>
    <t>39C2F2</t>
  </si>
  <si>
    <t>OM-PO-4-CR-1</t>
  </si>
  <si>
    <t>D4B8B2</t>
  </si>
  <si>
    <t>60227C</t>
  </si>
  <si>
    <t>AAB12D</t>
  </si>
  <si>
    <t>A5E0AF</t>
  </si>
  <si>
    <t>5093E8</t>
  </si>
  <si>
    <t>17A6DD</t>
  </si>
  <si>
    <t>NR-PO-8-BP-1</t>
  </si>
  <si>
    <t>63AAB0</t>
  </si>
  <si>
    <t>1F5313</t>
  </si>
  <si>
    <t>NR-PO-5-TBP-1</t>
  </si>
  <si>
    <t>CE98DB</t>
  </si>
  <si>
    <t>ME-PO-4-SW-1</t>
  </si>
  <si>
    <t>EL-PO-4.3-CM-1</t>
  </si>
  <si>
    <t>Grey</t>
  </si>
  <si>
    <t>E932AE</t>
  </si>
  <si>
    <t>CBD979</t>
  </si>
  <si>
    <t>Owl</t>
  </si>
  <si>
    <t>1F765F</t>
  </si>
  <si>
    <t>MU-PO-3-MU-1</t>
  </si>
  <si>
    <t>6CBD21</t>
  </si>
  <si>
    <t>111D3E</t>
  </si>
  <si>
    <t>26A031</t>
  </si>
  <si>
    <t>BC583C</t>
  </si>
  <si>
    <t>8E292B</t>
  </si>
  <si>
    <t>5920BE</t>
  </si>
  <si>
    <t>5681BC</t>
  </si>
  <si>
    <t>B10FBF</t>
  </si>
  <si>
    <t>5D6446</t>
  </si>
  <si>
    <t>A036D0</t>
  </si>
  <si>
    <t>574C0A</t>
  </si>
  <si>
    <t>EC70C9</t>
  </si>
  <si>
    <t>899E5E</t>
  </si>
  <si>
    <t>D2A2B9</t>
  </si>
  <si>
    <t>1F3390</t>
  </si>
  <si>
    <t>38F687</t>
  </si>
  <si>
    <t>B36D6E</t>
  </si>
  <si>
    <t>4EF814</t>
  </si>
  <si>
    <t>AA14CF</t>
  </si>
  <si>
    <t>84D797</t>
  </si>
  <si>
    <t>832110</t>
  </si>
  <si>
    <t>2A080C</t>
  </si>
  <si>
    <t>6586CB</t>
  </si>
  <si>
    <t>447F9D</t>
  </si>
  <si>
    <t>3A30CD</t>
  </si>
  <si>
    <t>DC5D5F</t>
  </si>
  <si>
    <t>NR-PO-5-SNB-1</t>
  </si>
  <si>
    <t>EB4841</t>
  </si>
  <si>
    <t>WO-PO-6-WH-2</t>
  </si>
  <si>
    <t>C9A582</t>
  </si>
  <si>
    <t>9B94D3</t>
  </si>
  <si>
    <t>FM-PH-BMV-1A-2A</t>
  </si>
  <si>
    <t>30AC68</t>
  </si>
  <si>
    <t>77E045</t>
  </si>
  <si>
    <t>8E8748</t>
  </si>
  <si>
    <t>8F4C7A</t>
  </si>
  <si>
    <t>1229D2</t>
  </si>
  <si>
    <t>968E8E</t>
  </si>
  <si>
    <t>147E6D</t>
  </si>
  <si>
    <t>83AA0A</t>
  </si>
  <si>
    <t>D4AE2C</t>
  </si>
  <si>
    <t>47A08D</t>
  </si>
  <si>
    <t>B76AFA</t>
  </si>
  <si>
    <t>71C376</t>
  </si>
  <si>
    <t>368027</t>
  </si>
  <si>
    <t>NR-PO-3-TBP-1</t>
  </si>
  <si>
    <t>9E900A</t>
  </si>
  <si>
    <t>A7E413</t>
  </si>
  <si>
    <t>CBDC16</t>
  </si>
  <si>
    <t>7EA262</t>
  </si>
  <si>
    <t>6FACEF</t>
  </si>
  <si>
    <t>BDFADE</t>
  </si>
  <si>
    <t>C1F1AB</t>
  </si>
  <si>
    <t>A53477</t>
  </si>
  <si>
    <t>B8E91D</t>
  </si>
  <si>
    <t>DFB1A2</t>
  </si>
  <si>
    <t>EC-PO-5-SW-1</t>
  </si>
  <si>
    <t>6B07AA</t>
  </si>
  <si>
    <t>DE2EBB</t>
  </si>
  <si>
    <t>21AC67</t>
  </si>
  <si>
    <t>869140</t>
  </si>
  <si>
    <t>285E0F</t>
  </si>
  <si>
    <t>7F0BEF</t>
  </si>
  <si>
    <t>3943FC</t>
  </si>
  <si>
    <t>B8E851</t>
  </si>
  <si>
    <t>C9303E</t>
  </si>
  <si>
    <t>6BAEFC</t>
  </si>
  <si>
    <t>23DD19</t>
  </si>
  <si>
    <t>522037</t>
  </si>
  <si>
    <t>A9831B</t>
  </si>
  <si>
    <t>CCB313</t>
  </si>
  <si>
    <t>774187</t>
  </si>
  <si>
    <t>F61CE7</t>
  </si>
  <si>
    <t>375528</t>
  </si>
  <si>
    <t>M</t>
  </si>
  <si>
    <t>N</t>
  </si>
  <si>
    <t>O</t>
  </si>
  <si>
    <t>P</t>
  </si>
  <si>
    <t>Q</t>
  </si>
  <si>
    <t>R</t>
  </si>
  <si>
    <t>14D16C</t>
  </si>
  <si>
    <t>58CAAA</t>
  </si>
  <si>
    <t>Verm/Per/Moss</t>
  </si>
  <si>
    <t>RO-PO-4-CL-2</t>
  </si>
  <si>
    <t>6C5D9B</t>
  </si>
  <si>
    <t>ru983u49r</t>
  </si>
  <si>
    <t>ee3ed4aa</t>
  </si>
  <si>
    <t>HS-BE-AW-1</t>
  </si>
  <si>
    <t>LECA</t>
  </si>
  <si>
    <t>MA-PO-5-SW-1</t>
  </si>
  <si>
    <t>3213a606</t>
  </si>
  <si>
    <t>MA-PO-3-SW-1</t>
  </si>
  <si>
    <t>FM-SYN-MB-1A</t>
  </si>
  <si>
    <t>S</t>
  </si>
  <si>
    <t>L</t>
  </si>
  <si>
    <t>U</t>
  </si>
  <si>
    <t>T</t>
  </si>
  <si>
    <t>Leca/Stratum</t>
  </si>
  <si>
    <t>92a2a564</t>
  </si>
  <si>
    <t>356ec588</t>
  </si>
  <si>
    <t>5ea37456</t>
  </si>
  <si>
    <t>48d1b9fe</t>
  </si>
  <si>
    <t>2d94011c</t>
  </si>
  <si>
    <t>Leca/Stratum/Moss</t>
  </si>
  <si>
    <t>f51cd647</t>
  </si>
  <si>
    <t>450f2ab8</t>
  </si>
  <si>
    <t>Large Perlite/Moss</t>
  </si>
  <si>
    <t>EB-PO-4-DO-1</t>
  </si>
  <si>
    <t>SM-1</t>
  </si>
  <si>
    <t>00ed744f</t>
  </si>
  <si>
    <t>5c2db899</t>
  </si>
  <si>
    <t>eee8398d</t>
  </si>
  <si>
    <t>528fc4fc</t>
  </si>
  <si>
    <t>Leca</t>
  </si>
  <si>
    <t>7d5c2040</t>
  </si>
  <si>
    <t>Leca + Stratum</t>
  </si>
  <si>
    <t>a47b5620</t>
  </si>
  <si>
    <t>1e198ade</t>
  </si>
  <si>
    <t>Stratum</t>
  </si>
  <si>
    <t>ed9ef6e9</t>
  </si>
  <si>
    <t>Leca + Stratum + Moss</t>
  </si>
  <si>
    <t>7cc4cb27</t>
  </si>
  <si>
    <t>CM3</t>
  </si>
  <si>
    <t>848271a8</t>
  </si>
  <si>
    <t>de812445</t>
  </si>
  <si>
    <t>7567fc0f</t>
  </si>
  <si>
    <t>f430c3d9</t>
  </si>
  <si>
    <t>FM-PH-WK-1B</t>
  </si>
  <si>
    <t>29516c9a</t>
  </si>
  <si>
    <t>NR-PO-3-PBP-1</t>
  </si>
  <si>
    <t>bce678fc</t>
  </si>
  <si>
    <t>e12aca60</t>
  </si>
  <si>
    <t>4a5c0953</t>
  </si>
  <si>
    <t>CM2</t>
  </si>
  <si>
    <t>82f2cb72</t>
  </si>
  <si>
    <t>b937e4f2</t>
  </si>
  <si>
    <t>8aa76faf</t>
  </si>
  <si>
    <t>5cc9390a</t>
  </si>
  <si>
    <t>9522c634</t>
  </si>
  <si>
    <t>c2c1b5c6</t>
  </si>
  <si>
    <t>6d938e07</t>
  </si>
  <si>
    <t>b217cbae</t>
  </si>
  <si>
    <t>Terracotta</t>
  </si>
  <si>
    <t>4adcae3c</t>
  </si>
  <si>
    <t>GA-PO-6-WH-2</t>
  </si>
  <si>
    <t>71d82a0d</t>
  </si>
  <si>
    <t>da6c28a7</t>
  </si>
  <si>
    <t>f56ba24d</t>
  </si>
  <si>
    <t>5521f110</t>
  </si>
  <si>
    <t>dfa823c8</t>
  </si>
  <si>
    <t>1d76d9c0</t>
  </si>
  <si>
    <t>a4e289c4</t>
  </si>
  <si>
    <t>d0882a38</t>
  </si>
  <si>
    <t>2153f7d7</t>
  </si>
  <si>
    <t>GA-PO-6-BL-1</t>
  </si>
  <si>
    <t>5f00b53c</t>
  </si>
  <si>
    <t>60bf15a7</t>
  </si>
  <si>
    <t>a9b5b64c</t>
  </si>
  <si>
    <t>f830bec1</t>
  </si>
  <si>
    <t>Tran/Comb</t>
  </si>
  <si>
    <t>2955b70d</t>
  </si>
  <si>
    <t>Combined</t>
  </si>
  <si>
    <t>550ede69</t>
  </si>
  <si>
    <t>67d4abb1</t>
  </si>
  <si>
    <t>cee22827</t>
  </si>
  <si>
    <t>6d9b5810</t>
  </si>
  <si>
    <t>4faca6e4</t>
  </si>
  <si>
    <t>GA-PO-6-WH-1</t>
  </si>
  <si>
    <t>4dc4899b</t>
  </si>
  <si>
    <t>660113d2</t>
  </si>
  <si>
    <t>c729abdf</t>
  </si>
  <si>
    <t>CM1</t>
  </si>
  <si>
    <t>d9052d09</t>
  </si>
  <si>
    <t>BS-SO-AL-1</t>
  </si>
  <si>
    <t>d1bd5bf5</t>
  </si>
  <si>
    <t>BS-SO-HO-1</t>
  </si>
  <si>
    <t>7a22abe9</t>
  </si>
  <si>
    <t>BS-SO-HY-1</t>
  </si>
  <si>
    <t>be61dfcf</t>
  </si>
  <si>
    <t>44fe5996</t>
  </si>
  <si>
    <t>15e26b04</t>
  </si>
  <si>
    <t>BS-SO-ACM-1</t>
  </si>
  <si>
    <t>ba4017a2</t>
  </si>
  <si>
    <t>651af01b</t>
  </si>
  <si>
    <t>592d3c15</t>
  </si>
  <si>
    <t>eb6693d3</t>
  </si>
  <si>
    <t>93e40d51</t>
  </si>
  <si>
    <t>5e21fd24</t>
  </si>
  <si>
    <t>a80403cf</t>
  </si>
  <si>
    <t>5908cb52</t>
  </si>
  <si>
    <t>629cf835</t>
  </si>
  <si>
    <t>Partial Root Rot. Added Stratum.</t>
  </si>
  <si>
    <t>BS-SO-FRM-1</t>
  </si>
  <si>
    <t>e89b570a</t>
  </si>
  <si>
    <t>29a4a830</t>
  </si>
  <si>
    <t>fe79a436</t>
  </si>
  <si>
    <t>9cf2fccd</t>
  </si>
  <si>
    <t>f391f081</t>
  </si>
  <si>
    <t>c28e6d8e</t>
  </si>
  <si>
    <t>815ea31a</t>
  </si>
  <si>
    <t>9659825e</t>
  </si>
  <si>
    <t>3961fe9a</t>
  </si>
  <si>
    <t>b7add1fd</t>
  </si>
  <si>
    <t>107c5694</t>
  </si>
  <si>
    <t>6e25dea9</t>
  </si>
  <si>
    <t>f22f63b5</t>
  </si>
  <si>
    <t>5aa7e16a</t>
  </si>
  <si>
    <t>1f02ec14</t>
  </si>
  <si>
    <t>c0efe520</t>
  </si>
  <si>
    <t>8f6ed49e</t>
  </si>
  <si>
    <t>fb004e13</t>
  </si>
  <si>
    <t>b4c19b4b</t>
  </si>
  <si>
    <t>beaf93a3</t>
  </si>
  <si>
    <t>8fcc0a3d</t>
  </si>
  <si>
    <t>e46a91b5</t>
  </si>
  <si>
    <t>af4794b1</t>
  </si>
  <si>
    <t>Small Perlite+Sphag Moss</t>
  </si>
  <si>
    <t>68e46e00</t>
  </si>
  <si>
    <t>Root Rot Rescue</t>
  </si>
  <si>
    <t>845f5986</t>
  </si>
  <si>
    <t>Rehab</t>
  </si>
  <si>
    <t>2c6da8c5</t>
  </si>
  <si>
    <t>6d029b93</t>
  </si>
  <si>
    <t>f0e32569</t>
  </si>
  <si>
    <t>c193e0b6</t>
  </si>
  <si>
    <t>63efcc10</t>
  </si>
  <si>
    <t>e6728aaf</t>
  </si>
  <si>
    <t>bbda227d</t>
  </si>
  <si>
    <t>726b5100</t>
  </si>
  <si>
    <t>Soil Change</t>
  </si>
  <si>
    <t>aa014f1c</t>
  </si>
  <si>
    <t>9135115a</t>
  </si>
  <si>
    <t>cb85a9f8</t>
  </si>
  <si>
    <t>791b539e</t>
  </si>
  <si>
    <t>73f11760</t>
  </si>
  <si>
    <t>9c6454b4</t>
  </si>
  <si>
    <t>ede7ffca</t>
  </si>
  <si>
    <t>9082510c</t>
  </si>
  <si>
    <t>4d911e35</t>
  </si>
  <si>
    <t>b1a5ca33</t>
  </si>
  <si>
    <t>171acdc6</t>
  </si>
  <si>
    <t>9b237377</t>
  </si>
  <si>
    <t>66e7ba6a</t>
  </si>
  <si>
    <t>67387239</t>
  </si>
  <si>
    <t>53103c99</t>
  </si>
  <si>
    <t>6d670e3c</t>
  </si>
  <si>
    <t>e7ec3a09</t>
  </si>
  <si>
    <t>b761f79e</t>
  </si>
  <si>
    <t>565c5260</t>
  </si>
  <si>
    <t>20e2f892</t>
  </si>
  <si>
    <t>376c8340</t>
  </si>
  <si>
    <t>1dd21350</t>
  </si>
  <si>
    <t>2aed5f1f</t>
  </si>
  <si>
    <t>219cf1c2</t>
  </si>
  <si>
    <t>058ceaaf</t>
  </si>
  <si>
    <t>a52f20f8</t>
  </si>
  <si>
    <t>c1c14308</t>
  </si>
  <si>
    <t>a0219c81</t>
  </si>
  <si>
    <t>b714a7ad</t>
  </si>
  <si>
    <t>eb36b8c3</t>
  </si>
  <si>
    <t>198641fc</t>
  </si>
  <si>
    <t>b9acc84d</t>
  </si>
  <si>
    <t>Root Rot</t>
  </si>
  <si>
    <t>a6822bb8</t>
  </si>
  <si>
    <t>f83a4fe0</t>
  </si>
  <si>
    <t>fcc4cb45</t>
  </si>
  <si>
    <t>dc3df2a5</t>
  </si>
  <si>
    <t>c35f3fd3</t>
  </si>
  <si>
    <t>BS-PS-12-BA-1</t>
  </si>
  <si>
    <t>b9f3aa88</t>
  </si>
  <si>
    <t>4bf4f072</t>
  </si>
  <si>
    <t>2fd979a7</t>
  </si>
  <si>
    <t>a2befcc5</t>
  </si>
  <si>
    <t>8e70dfd8</t>
  </si>
  <si>
    <t>cbe6448d</t>
  </si>
  <si>
    <t>9df7d6db</t>
  </si>
  <si>
    <t>Soil Change. Shipping Damage.</t>
  </si>
  <si>
    <t>9baf89e6</t>
  </si>
  <si>
    <t>f60a216b</t>
  </si>
  <si>
    <t>51610df9</t>
  </si>
  <si>
    <t>Corm</t>
  </si>
  <si>
    <t>57f77625</t>
  </si>
  <si>
    <t>0aefe831</t>
  </si>
  <si>
    <t>e51160c3</t>
  </si>
  <si>
    <t>Pot Change</t>
  </si>
  <si>
    <t>e5e94b63</t>
  </si>
  <si>
    <t>Media/Pot Change</t>
  </si>
  <si>
    <t>Sphagnum Moss</t>
  </si>
  <si>
    <t>30b25889</t>
  </si>
  <si>
    <t>bc8d2a34</t>
  </si>
  <si>
    <t>NR-PO-3-SNB-1</t>
  </si>
  <si>
    <t>c813a925</t>
  </si>
  <si>
    <t>Rescue</t>
  </si>
  <si>
    <t>1d6263d4</t>
  </si>
  <si>
    <t>a9c494be</t>
  </si>
  <si>
    <t>454201aa</t>
  </si>
  <si>
    <t>f847c444</t>
  </si>
  <si>
    <t>BS-SO-ACM-2</t>
  </si>
  <si>
    <t>795b3144</t>
  </si>
  <si>
    <t>fd66dbf3</t>
  </si>
  <si>
    <t>66c99b26</t>
  </si>
  <si>
    <t>568c2cb5</t>
  </si>
  <si>
    <t>d1b1d7f0</t>
  </si>
  <si>
    <t>bde4a154</t>
  </si>
  <si>
    <t>4c03a32e</t>
  </si>
  <si>
    <t>7c5357a3</t>
  </si>
  <si>
    <t>5a8cfcb4</t>
  </si>
  <si>
    <t>df19a710</t>
  </si>
  <si>
    <t>99ac56d3</t>
  </si>
  <si>
    <t>b1945120</t>
  </si>
  <si>
    <t>9825d3f7</t>
  </si>
  <si>
    <t>cafdd678</t>
  </si>
  <si>
    <t>7e2a368c</t>
  </si>
  <si>
    <t>854a0592</t>
  </si>
  <si>
    <t>1353c83d</t>
  </si>
  <si>
    <t>89b70e3f</t>
  </si>
  <si>
    <t>4ad30fa4</t>
  </si>
  <si>
    <t>591faeca</t>
  </si>
  <si>
    <t>BS-SO-ACM-3</t>
  </si>
  <si>
    <t>dba0aa2a</t>
  </si>
  <si>
    <t>2b3b0cf0</t>
  </si>
  <si>
    <t>f8abd01d</t>
  </si>
  <si>
    <t>abc61cea</t>
  </si>
  <si>
    <t>ab1aa30f</t>
  </si>
  <si>
    <t>f359e1a2</t>
  </si>
  <si>
    <t>cab970d3</t>
  </si>
  <si>
    <t>1e11b45a</t>
  </si>
  <si>
    <t>539debaf</t>
  </si>
  <si>
    <t>898c8e66</t>
  </si>
  <si>
    <t>344aa050</t>
  </si>
  <si>
    <t>Rooted Cutting</t>
  </si>
  <si>
    <t>0a6cded3</t>
  </si>
  <si>
    <t>2d11d0ad</t>
  </si>
  <si>
    <t>e7556cd6</t>
  </si>
  <si>
    <t>9dff82ba</t>
  </si>
  <si>
    <t>SU-PS-12-MS-6</t>
  </si>
  <si>
    <t>787f3c7f</t>
  </si>
  <si>
    <t>SU-PS-16-MP-3</t>
  </si>
  <si>
    <t>Transparent</t>
  </si>
  <si>
    <t>79392463</t>
  </si>
  <si>
    <t>61b0745f</t>
  </si>
  <si>
    <t>9df00f56</t>
  </si>
  <si>
    <t>d6dcac97</t>
  </si>
  <si>
    <t>Peppercorn</t>
  </si>
  <si>
    <t>45903a07</t>
  </si>
  <si>
    <t>5d36077e</t>
  </si>
  <si>
    <t>22117285</t>
  </si>
  <si>
    <t>b525aa2c</t>
  </si>
  <si>
    <t>de55ed93</t>
  </si>
  <si>
    <t>27feacfc</t>
  </si>
  <si>
    <t>BS-PO-2-GL-1</t>
  </si>
  <si>
    <t>Glass</t>
  </si>
  <si>
    <t>3faca505</t>
  </si>
  <si>
    <t>515bf5f3</t>
  </si>
  <si>
    <t>22fd57a3</t>
  </si>
  <si>
    <t>8776881b</t>
  </si>
  <si>
    <t>17cad52d</t>
  </si>
  <si>
    <t>709a8fab</t>
  </si>
  <si>
    <t>11c419b6</t>
  </si>
  <si>
    <t>7c0e22ba</t>
  </si>
  <si>
    <t>5f864b42</t>
  </si>
  <si>
    <t>ba197457</t>
  </si>
  <si>
    <t>BS-SO-ACM-4</t>
  </si>
  <si>
    <t>c7737380</t>
  </si>
  <si>
    <t>8adc8652</t>
  </si>
  <si>
    <t>1047042e</t>
  </si>
  <si>
    <t>cee41325</t>
  </si>
  <si>
    <t>0a18f760</t>
  </si>
  <si>
    <t>27c026f0</t>
  </si>
  <si>
    <t>ea84c6ee</t>
  </si>
  <si>
    <t>d4a9bfde</t>
  </si>
  <si>
    <t>071d5474</t>
  </si>
  <si>
    <t>be594c80</t>
  </si>
  <si>
    <t>6ca842df</t>
  </si>
  <si>
    <t>c5ae23d3</t>
  </si>
  <si>
    <t>7d696943</t>
  </si>
  <si>
    <t>8f10b95f</t>
  </si>
  <si>
    <t>73c9cd0b</t>
  </si>
  <si>
    <t>58b4482b</t>
  </si>
  <si>
    <t>6ed3e1b6</t>
  </si>
  <si>
    <t>5a10f36d</t>
  </si>
  <si>
    <t>885dbee4</t>
  </si>
  <si>
    <t>c262a76a</t>
  </si>
  <si>
    <t>4fc2f270</t>
  </si>
  <si>
    <t>aa4cd7f0</t>
  </si>
  <si>
    <t>51a7bc32</t>
  </si>
  <si>
    <t>3f697163</t>
  </si>
  <si>
    <t>dbfa591b</t>
  </si>
  <si>
    <t>61b70450</t>
  </si>
  <si>
    <t>4c650a91</t>
  </si>
  <si>
    <t>07b802bf</t>
  </si>
  <si>
    <t>449163da</t>
  </si>
  <si>
    <t>f34df73e</t>
  </si>
  <si>
    <t>19ea8dfc</t>
  </si>
  <si>
    <t>e07bcdca</t>
  </si>
  <si>
    <t>aaf78f89</t>
  </si>
  <si>
    <t>8ee46dd9</t>
  </si>
  <si>
    <t>5aedce70</t>
  </si>
  <si>
    <t>87aba5e9</t>
  </si>
  <si>
    <t>529befac</t>
  </si>
  <si>
    <t>d4013c55</t>
  </si>
  <si>
    <t>69395920</t>
  </si>
  <si>
    <t>5c38491a</t>
  </si>
  <si>
    <t>be1f4e25</t>
  </si>
  <si>
    <t>f81ca7f4</t>
  </si>
  <si>
    <t>a05a765c</t>
  </si>
  <si>
    <t>BS-PO-LG-PB-1</t>
  </si>
  <si>
    <t>bf0217d6</t>
  </si>
  <si>
    <t>f21627bb</t>
  </si>
  <si>
    <t>dfe9ca52</t>
  </si>
  <si>
    <t>2a3c9a03</t>
  </si>
  <si>
    <t>54b2a5e2</t>
  </si>
  <si>
    <t>16f9cabc</t>
  </si>
  <si>
    <t>Small Perlite</t>
  </si>
  <si>
    <t>de28709c</t>
  </si>
  <si>
    <t>d258e41a</t>
  </si>
  <si>
    <t>adec07cf</t>
  </si>
  <si>
    <t>0516d203</t>
  </si>
  <si>
    <t>b22bc140</t>
  </si>
  <si>
    <t>8065a220</t>
  </si>
  <si>
    <t>154eed69</t>
  </si>
  <si>
    <t>Transplant Log_Images/099a35c1.Photo.210558.jpg</t>
  </si>
  <si>
    <t>Leca + Green Moss</t>
  </si>
  <si>
    <t>DT-PO-3-GL-1</t>
  </si>
  <si>
    <t>f5fe57c7</t>
  </si>
  <si>
    <t>8104a74c</t>
  </si>
  <si>
    <t>5147e42c</t>
  </si>
  <si>
    <t>f1e7be9f</t>
  </si>
  <si>
    <t>e241d875</t>
  </si>
  <si>
    <t>bf4b8581</t>
  </si>
  <si>
    <t>253f537b</t>
  </si>
  <si>
    <t>048dfe66</t>
  </si>
  <si>
    <t>Media Change</t>
  </si>
  <si>
    <t>6b8a14b5</t>
  </si>
  <si>
    <t>4f7844ae</t>
  </si>
  <si>
    <t>d08f5418</t>
  </si>
  <si>
    <t>7a09a559</t>
  </si>
  <si>
    <t>10a0a045</t>
  </si>
  <si>
    <t>13f010c4</t>
  </si>
  <si>
    <t>a4b0c272</t>
  </si>
  <si>
    <t>42e852c9</t>
  </si>
  <si>
    <t>Transplant Log_Images/42e852c9.Photo.173124.jpg</t>
  </si>
  <si>
    <t>a6794ad3</t>
  </si>
  <si>
    <t>05d51e8e</t>
  </si>
  <si>
    <t>Transplant Log_Images/05d51e8e.Photo.182727.jpg</t>
  </si>
  <si>
    <t>d53d541c</t>
  </si>
  <si>
    <t>Transplant Log_Images/d53d541c.Photo.182917.jpg</t>
  </si>
  <si>
    <t>a69ac258</t>
  </si>
  <si>
    <t>Transplant Log_Images/a69ac258.Photo.183036.jpg</t>
  </si>
  <si>
    <t>6ea16fda</t>
  </si>
  <si>
    <t>Transplant Log_Images/6ea16fda.Photo.204258.jpg</t>
  </si>
  <si>
    <t>abb13771</t>
  </si>
  <si>
    <t>9547d172</t>
  </si>
  <si>
    <t>820cdb8c</t>
  </si>
  <si>
    <t>6bfbacbf</t>
  </si>
  <si>
    <t>93827819</t>
  </si>
  <si>
    <t>2230b7da</t>
  </si>
  <si>
    <t>569501d1</t>
  </si>
  <si>
    <t>01b2028b</t>
  </si>
  <si>
    <t>acefd32f</t>
  </si>
  <si>
    <t>5a43f28d</t>
  </si>
  <si>
    <t>Transplant Log_Images/5a43f28d.Photo.160025.jpg</t>
  </si>
  <si>
    <t>BS-SO-HO-2</t>
  </si>
  <si>
    <t>f350b46d</t>
  </si>
  <si>
    <t>a4a55654</t>
  </si>
  <si>
    <t>37cb44a0</t>
  </si>
  <si>
    <t>29d0b0c8</t>
  </si>
  <si>
    <t>c8b40637</t>
  </si>
  <si>
    <t>d5a8b674</t>
  </si>
  <si>
    <t>b830150d</t>
  </si>
  <si>
    <t>dbf0ebc4</t>
  </si>
  <si>
    <t>Check pot inside</t>
  </si>
  <si>
    <t>177a79ad</t>
  </si>
  <si>
    <t>4d201698</t>
  </si>
  <si>
    <t>5db9a390</t>
  </si>
  <si>
    <t>BS-SO-ACM-6</t>
  </si>
  <si>
    <t>48044a99</t>
  </si>
  <si>
    <t>BS-SO-AL-2</t>
  </si>
  <si>
    <t>934c959a</t>
  </si>
  <si>
    <t>8ecfca03</t>
  </si>
  <si>
    <t>Transplant Log_Images/8ecfca03.Photo.204332.jpg</t>
  </si>
  <si>
    <t>4eb9e924</t>
  </si>
  <si>
    <t>e4afb342</t>
  </si>
  <si>
    <t>75b00b6a</t>
  </si>
  <si>
    <t>aeff729e</t>
  </si>
  <si>
    <t>BS-SO-SU-1</t>
  </si>
  <si>
    <t>0dab4300</t>
  </si>
  <si>
    <t>2d0c00ab</t>
  </si>
  <si>
    <t>355d1f11</t>
  </si>
  <si>
    <t>BS-SO-RE-1</t>
  </si>
  <si>
    <t>12deed82</t>
  </si>
  <si>
    <t>38014589</t>
  </si>
  <si>
    <t>Transplant Log_Images/38014589.Photo.170522.jpg</t>
  </si>
  <si>
    <t>45b52796</t>
  </si>
  <si>
    <t>BS-PS-18-BA-1</t>
  </si>
  <si>
    <t>77793cc0</t>
  </si>
  <si>
    <t>Transplant Log_Images/77793cc0.Photo.182915.jpg</t>
  </si>
  <si>
    <t>AGP-PO-4-BN-1</t>
  </si>
  <si>
    <t>9d3638f8</t>
  </si>
  <si>
    <t>BS-PS-24-BA-1</t>
  </si>
  <si>
    <t>fccef3fe</t>
  </si>
  <si>
    <t>230d21f0</t>
  </si>
  <si>
    <t>29abcbc0</t>
  </si>
  <si>
    <t>49c68de3</t>
  </si>
  <si>
    <t>7be24b25</t>
  </si>
  <si>
    <t>01a74ba1</t>
  </si>
  <si>
    <t>Sm Perlite + Lg Perlite</t>
  </si>
  <si>
    <t>8693f735</t>
  </si>
  <si>
    <t>5ccf2d0f</t>
  </si>
  <si>
    <t>1e73841f</t>
  </si>
  <si>
    <t>3ea17ed8</t>
  </si>
  <si>
    <t>c8f04455</t>
  </si>
  <si>
    <t>e40c3a05</t>
  </si>
  <si>
    <t>bbd923e0</t>
  </si>
  <si>
    <t>97ae7169</t>
  </si>
  <si>
    <t>20226889</t>
  </si>
  <si>
    <t>5a8278ba</t>
  </si>
  <si>
    <t>BS-PS-16-BA-1</t>
  </si>
  <si>
    <t>c253fdc4</t>
  </si>
  <si>
    <t>687179ed</t>
  </si>
  <si>
    <t>32b35776</t>
  </si>
  <si>
    <t>cad38522</t>
  </si>
  <si>
    <t>8107b17a</t>
  </si>
  <si>
    <t>1ae444a4</t>
  </si>
  <si>
    <t>9e9d613f</t>
  </si>
  <si>
    <t>a43c29e4</t>
  </si>
  <si>
    <t>3f28f949</t>
  </si>
  <si>
    <t>d14aa020</t>
  </si>
  <si>
    <t>77deaddc</t>
  </si>
  <si>
    <t>6a33e8ad</t>
  </si>
  <si>
    <t>1f082c12</t>
  </si>
  <si>
    <t>97bb1632</t>
  </si>
  <si>
    <t>1548040b</t>
  </si>
  <si>
    <t>BS-SO-FRM-3</t>
  </si>
  <si>
    <t>b0ecbe69</t>
  </si>
  <si>
    <t>9ff37e15</t>
  </si>
  <si>
    <t>ba0c5316</t>
  </si>
  <si>
    <t>b2b36d22</t>
  </si>
  <si>
    <t>ae97cb9d</t>
  </si>
  <si>
    <t>dee98c91</t>
  </si>
  <si>
    <t>f8c932de</t>
  </si>
  <si>
    <t>616d9105</t>
  </si>
  <si>
    <t>BS-SO-SS-1</t>
  </si>
  <si>
    <t>5ec704e3</t>
  </si>
  <si>
    <t>BS-SO-VM-1</t>
  </si>
  <si>
    <t>d2749462</t>
  </si>
  <si>
    <t>924eec72</t>
  </si>
  <si>
    <t>ce8706df</t>
  </si>
  <si>
    <t>e9d714a3</t>
  </si>
  <si>
    <t>de56acee</t>
  </si>
  <si>
    <t>11dda95f</t>
  </si>
  <si>
    <t>a5ac0f4d</t>
  </si>
  <si>
    <t>02f5c7c4</t>
  </si>
  <si>
    <t>e6196a09</t>
  </si>
  <si>
    <t>da4884b5</t>
  </si>
  <si>
    <t>657571d7</t>
  </si>
  <si>
    <t>1f73a65d</t>
  </si>
  <si>
    <t>346da6c8</t>
  </si>
  <si>
    <t>0b140fe1</t>
  </si>
  <si>
    <t>42749d34</t>
  </si>
  <si>
    <t>ebad8031</t>
  </si>
  <si>
    <t>c4e3ca87</t>
  </si>
  <si>
    <t>ef597ab3</t>
  </si>
  <si>
    <t>3cd0855a</t>
  </si>
  <si>
    <t>dbc4aadd</t>
  </si>
  <si>
    <t>75839b07</t>
  </si>
  <si>
    <t>a621b185</t>
  </si>
  <si>
    <t>93256929</t>
  </si>
  <si>
    <t>d829e7f9</t>
  </si>
  <si>
    <t>7765045a</t>
  </si>
  <si>
    <t>8f839c41</t>
  </si>
  <si>
    <t>4ebf005d</t>
  </si>
  <si>
    <t>31afd62d</t>
  </si>
  <si>
    <t>63a8557e</t>
  </si>
  <si>
    <t>926a01f8</t>
  </si>
  <si>
    <t>a456e56b</t>
  </si>
  <si>
    <t>163999a8</t>
  </si>
  <si>
    <t>96f1869b</t>
  </si>
  <si>
    <t>83b1828e</t>
  </si>
  <si>
    <t>6e8f3e55</t>
  </si>
  <si>
    <t>79b750c3</t>
  </si>
  <si>
    <t>4de1967d</t>
  </si>
  <si>
    <t>ba3dae8e</t>
  </si>
  <si>
    <t>31ebd5ee</t>
  </si>
  <si>
    <t>6346a508</t>
  </si>
  <si>
    <t>6f0fd9cb</t>
  </si>
  <si>
    <t>062613b1</t>
  </si>
  <si>
    <t>f25ff2bb</t>
  </si>
  <si>
    <t>20332dd5</t>
  </si>
  <si>
    <t>22145464</t>
  </si>
  <si>
    <t>21fc6f8e</t>
  </si>
  <si>
    <t>b8f260ca</t>
  </si>
  <si>
    <t>6eb3a4cd</t>
  </si>
  <si>
    <t>b4c36786</t>
  </si>
  <si>
    <t>4d033f60</t>
  </si>
  <si>
    <t>13d66d7d</t>
  </si>
  <si>
    <t>1ce163a9</t>
  </si>
  <si>
    <t>5e8a3f39</t>
  </si>
  <si>
    <t>1978c49e</t>
  </si>
  <si>
    <t>9359a25a</t>
  </si>
  <si>
    <t>96b85ef2</t>
  </si>
  <si>
    <t>95bbef76</t>
  </si>
  <si>
    <t>8ded7844</t>
  </si>
  <si>
    <t>4d6a6798</t>
  </si>
  <si>
    <t>ef2cfeba</t>
  </si>
  <si>
    <t>aaaa10b3</t>
  </si>
  <si>
    <t>e704b7d0</t>
  </si>
  <si>
    <t>e7392706</t>
  </si>
  <si>
    <t>43864129</t>
  </si>
  <si>
    <t>fc481b1e</t>
  </si>
  <si>
    <t>21544f26</t>
  </si>
  <si>
    <t>Fell and needed transplant. Downpot due to small root ball.</t>
  </si>
  <si>
    <t>f7685d67</t>
  </si>
  <si>
    <t>921a78f7</t>
  </si>
  <si>
    <t>d37fd325</t>
  </si>
  <si>
    <t>567bceba</t>
  </si>
  <si>
    <t>Transplant Log_Images/567bceba.Photo.201647.jpg</t>
  </si>
  <si>
    <t>c44efaa7</t>
  </si>
  <si>
    <t>87bb3117</t>
  </si>
  <si>
    <t>34327e3e</t>
  </si>
  <si>
    <t>49d3f866</t>
  </si>
  <si>
    <t>e424b596</t>
  </si>
  <si>
    <t>3a71b3f7</t>
  </si>
  <si>
    <t>8f6b37e9</t>
  </si>
  <si>
    <t>838d41e5</t>
  </si>
  <si>
    <t>82fadc39</t>
  </si>
  <si>
    <t>492c773a</t>
  </si>
  <si>
    <t>01a017ef</t>
  </si>
  <si>
    <t>a74fb0e1</t>
  </si>
  <si>
    <t>5908541b</t>
  </si>
  <si>
    <t>9805cf5b</t>
  </si>
  <si>
    <t>1bdc696d</t>
  </si>
  <si>
    <t>2b0523ff</t>
  </si>
  <si>
    <t>6aefc2b8</t>
  </si>
  <si>
    <t>aefa51b2</t>
  </si>
  <si>
    <t>117e091f</t>
  </si>
  <si>
    <t>Transplant Log_Images/117e091f.Photo.220546.jpg</t>
  </si>
  <si>
    <t>0d381c79</t>
  </si>
  <si>
    <t>7971f942</t>
  </si>
  <si>
    <t>eb481ceb</t>
  </si>
  <si>
    <t>9b626a35</t>
  </si>
  <si>
    <t>6b16d7b5</t>
  </si>
  <si>
    <t>43eceea3</t>
  </si>
  <si>
    <t>996bb60c</t>
  </si>
  <si>
    <t>5cd19303</t>
  </si>
  <si>
    <t>0EE7BD</t>
  </si>
  <si>
    <t>45F0E8</t>
  </si>
  <si>
    <t>83D40A</t>
  </si>
  <si>
    <t>051015</t>
  </si>
  <si>
    <t>30976F</t>
  </si>
  <si>
    <t>8F36AD</t>
  </si>
  <si>
    <t>0F458D</t>
  </si>
  <si>
    <t>B570B8</t>
  </si>
  <si>
    <t>533F84</t>
  </si>
  <si>
    <t>096087</t>
  </si>
  <si>
    <t>7FE8D2</t>
  </si>
  <si>
    <t>11629D</t>
  </si>
  <si>
    <t>F2047D</t>
  </si>
  <si>
    <t>CF25E8</t>
  </si>
  <si>
    <t>3DA0D2</t>
  </si>
  <si>
    <t>3E2B8B</t>
  </si>
  <si>
    <t>3E271E</t>
  </si>
  <si>
    <t>0302E1</t>
  </si>
  <si>
    <t>F5881C</t>
  </si>
  <si>
    <t>644B88</t>
  </si>
  <si>
    <t>61D50A</t>
  </si>
  <si>
    <t>4CD07B</t>
  </si>
  <si>
    <t>81209A</t>
  </si>
  <si>
    <t>4FACA4</t>
  </si>
  <si>
    <t>818230</t>
  </si>
  <si>
    <t>D59A68</t>
  </si>
  <si>
    <t>F9C924</t>
  </si>
  <si>
    <t>F2950C</t>
  </si>
  <si>
    <t>5614FF</t>
  </si>
  <si>
    <t>2E0C02</t>
  </si>
  <si>
    <t>ED62DF</t>
  </si>
  <si>
    <t>635572</t>
  </si>
  <si>
    <t>796F78</t>
  </si>
  <si>
    <t>FD0E98</t>
  </si>
  <si>
    <t>9C5072</t>
  </si>
  <si>
    <t>31EDC2</t>
  </si>
  <si>
    <t>661F03</t>
  </si>
  <si>
    <t>AD730C</t>
  </si>
  <si>
    <t>44390B</t>
  </si>
  <si>
    <t>A02229</t>
  </si>
  <si>
    <t>BA3D1C</t>
  </si>
  <si>
    <t>92C0C5</t>
  </si>
  <si>
    <t>BE392B</t>
  </si>
  <si>
    <t>5BBA6C</t>
  </si>
  <si>
    <t>84CACD</t>
  </si>
  <si>
    <t>2683E9</t>
  </si>
  <si>
    <t>226B4E</t>
  </si>
  <si>
    <t>D7E58F</t>
  </si>
  <si>
    <t>4410F8</t>
  </si>
  <si>
    <t>10B4EE</t>
  </si>
  <si>
    <t>B5F25C</t>
  </si>
  <si>
    <t>47FBCB</t>
  </si>
  <si>
    <t>C2CF73</t>
  </si>
  <si>
    <t>A71378</t>
  </si>
  <si>
    <t>23EFEA</t>
  </si>
  <si>
    <t>8B18D3</t>
  </si>
  <si>
    <t>3144F1</t>
  </si>
  <si>
    <t>708E88</t>
  </si>
  <si>
    <t>E51050</t>
  </si>
  <si>
    <t>0D486D</t>
  </si>
  <si>
    <t>AE59BB</t>
  </si>
  <si>
    <t>0313FB</t>
  </si>
  <si>
    <t>C49686</t>
  </si>
  <si>
    <t>C03F57</t>
  </si>
  <si>
    <t>F4773F</t>
  </si>
  <si>
    <t>436156</t>
  </si>
  <si>
    <t>A511DC</t>
  </si>
  <si>
    <t>D2DA7D</t>
  </si>
  <si>
    <t>04D668</t>
  </si>
  <si>
    <t>A7AFE7</t>
  </si>
  <si>
    <t>022779</t>
  </si>
  <si>
    <t>BBDE83</t>
  </si>
  <si>
    <t>7B4EC7</t>
  </si>
  <si>
    <t>9F5631</t>
  </si>
  <si>
    <t>3019B0</t>
  </si>
  <si>
    <t>81B195</t>
  </si>
  <si>
    <t>ABF090</t>
  </si>
  <si>
    <t>AAB8AE</t>
  </si>
  <si>
    <t>04F721</t>
  </si>
  <si>
    <t>E60994</t>
  </si>
  <si>
    <t>CAF362</t>
  </si>
  <si>
    <t>0023DB</t>
  </si>
  <si>
    <t>6A9BA9</t>
  </si>
  <si>
    <t>41C889</t>
  </si>
  <si>
    <t>26C3E4</t>
  </si>
  <si>
    <t>D36997</t>
  </si>
  <si>
    <t>53ED2C</t>
  </si>
  <si>
    <t>6A816D</t>
  </si>
  <si>
    <t>EB3A2F</t>
  </si>
  <si>
    <t>775BD2</t>
  </si>
  <si>
    <t>B2FE1E</t>
  </si>
  <si>
    <t>F05F3D</t>
  </si>
  <si>
    <t>FC4308</t>
  </si>
  <si>
    <t>997E89</t>
  </si>
  <si>
    <t>58FFED</t>
  </si>
  <si>
    <t>606865</t>
  </si>
  <si>
    <t>3585E8</t>
  </si>
  <si>
    <t>C98B1A</t>
  </si>
  <si>
    <t>1C2F30</t>
  </si>
  <si>
    <t>FC5872</t>
  </si>
  <si>
    <t>C3D1DC</t>
  </si>
  <si>
    <t>579EDC</t>
  </si>
  <si>
    <t>3B23AA</t>
  </si>
  <si>
    <t>868A1A</t>
  </si>
  <si>
    <t>5C5B2B</t>
  </si>
  <si>
    <t>552F12</t>
  </si>
  <si>
    <t>B82E1D</t>
  </si>
  <si>
    <t>55AB94</t>
  </si>
  <si>
    <t>CD13D2</t>
  </si>
  <si>
    <t>2E1C28</t>
  </si>
  <si>
    <t>52ADEC</t>
  </si>
  <si>
    <t>E1373D</t>
  </si>
  <si>
    <t>C0A8CF</t>
  </si>
  <si>
    <t>E07E42</t>
  </si>
  <si>
    <t>D7888E</t>
  </si>
  <si>
    <t>5CEA8E</t>
  </si>
  <si>
    <t>97EE3A</t>
  </si>
  <si>
    <t>530519</t>
  </si>
  <si>
    <t>BD2CCF</t>
  </si>
  <si>
    <t>C6B566</t>
  </si>
  <si>
    <t>E9C431</t>
  </si>
  <si>
    <t>AB052C</t>
  </si>
  <si>
    <t>62CBE7</t>
  </si>
  <si>
    <t>FFDB9A</t>
  </si>
  <si>
    <t>91BE93</t>
  </si>
  <si>
    <t>CC8C3B</t>
  </si>
  <si>
    <t>D5B254</t>
  </si>
  <si>
    <t>2742E1</t>
  </si>
  <si>
    <t>351987</t>
  </si>
  <si>
    <t>601719</t>
  </si>
  <si>
    <t>B2EA97</t>
  </si>
  <si>
    <t>70270B</t>
  </si>
  <si>
    <t>CCC4DB</t>
  </si>
  <si>
    <t>D2C2CA</t>
  </si>
  <si>
    <t>9693AD</t>
  </si>
  <si>
    <t>1DAE81</t>
  </si>
  <si>
    <t>12902C</t>
  </si>
  <si>
    <t>C712EF</t>
  </si>
  <si>
    <t>8D9569</t>
  </si>
  <si>
    <t>211924</t>
  </si>
  <si>
    <t>A6C1E1</t>
  </si>
  <si>
    <t>55A786</t>
  </si>
  <si>
    <t>299C90</t>
  </si>
  <si>
    <t>15836D</t>
  </si>
  <si>
    <t>62A2F5</t>
  </si>
  <si>
    <t>4E7BF9</t>
  </si>
  <si>
    <t>2A88D2</t>
  </si>
  <si>
    <t>F977E6</t>
  </si>
  <si>
    <t>93C992</t>
  </si>
  <si>
    <t>64897C</t>
  </si>
  <si>
    <t>2BB687</t>
  </si>
  <si>
    <t>13C8F0</t>
  </si>
  <si>
    <t>CB2C7C</t>
  </si>
  <si>
    <t>CEE6BE</t>
  </si>
  <si>
    <t>66CE44</t>
  </si>
  <si>
    <t>E66CDD</t>
  </si>
  <si>
    <t>824949</t>
  </si>
  <si>
    <t>73BEE0</t>
  </si>
  <si>
    <t>69043E</t>
  </si>
  <si>
    <t>EF564E</t>
  </si>
  <si>
    <t>17E772</t>
  </si>
  <si>
    <t>22B9CD</t>
  </si>
  <si>
    <t>8AF17B</t>
  </si>
  <si>
    <t>3C82F3</t>
  </si>
  <si>
    <t>8D4223</t>
  </si>
  <si>
    <t>BDAFD2</t>
  </si>
  <si>
    <t>1670D5</t>
  </si>
  <si>
    <t>85BA8C</t>
  </si>
  <si>
    <t>FBA2F1</t>
  </si>
  <si>
    <t>6FC28F</t>
  </si>
  <si>
    <t>4929CE</t>
  </si>
  <si>
    <t>93B841</t>
  </si>
  <si>
    <t>F1B74B</t>
  </si>
  <si>
    <t>3C3536</t>
  </si>
  <si>
    <t>CDB32F</t>
  </si>
  <si>
    <t>39B847</t>
  </si>
  <si>
    <t>C72ACA</t>
  </si>
  <si>
    <t>3F9E17</t>
  </si>
  <si>
    <t>D87780</t>
  </si>
  <si>
    <t>0BA3DA</t>
  </si>
  <si>
    <t>7C504A</t>
  </si>
  <si>
    <t>F74B80</t>
  </si>
  <si>
    <t>D0C544</t>
  </si>
  <si>
    <t>485580</t>
  </si>
  <si>
    <t>EAE3D4</t>
  </si>
  <si>
    <t>C3F5EE</t>
  </si>
  <si>
    <t>51B50F</t>
  </si>
  <si>
    <t>24AFA2</t>
  </si>
  <si>
    <t>E42F59</t>
  </si>
  <si>
    <t>A61987</t>
  </si>
  <si>
    <t>59CF6B</t>
  </si>
  <si>
    <t>C17F6F</t>
  </si>
  <si>
    <t>581C3E</t>
  </si>
  <si>
    <t>E390EB</t>
  </si>
  <si>
    <t>B39C85</t>
  </si>
  <si>
    <t>9B6616</t>
  </si>
  <si>
    <t>C7FBB2</t>
  </si>
  <si>
    <t>DF4B52</t>
  </si>
  <si>
    <t>FC87B3</t>
  </si>
  <si>
    <t>31424E</t>
  </si>
  <si>
    <t>170FDE</t>
  </si>
  <si>
    <t>ED37FA</t>
  </si>
  <si>
    <t>32C0C5</t>
  </si>
  <si>
    <t>F2D425</t>
  </si>
  <si>
    <t>421FDC</t>
  </si>
  <si>
    <t>55C0E8</t>
  </si>
  <si>
    <t>5E052B</t>
  </si>
  <si>
    <t>46952F</t>
  </si>
  <si>
    <t>A6A082</t>
  </si>
  <si>
    <t>0D6EF3</t>
  </si>
  <si>
    <t>BA7AE0</t>
  </si>
  <si>
    <t>9AFEF7</t>
  </si>
  <si>
    <t>493BFE</t>
  </si>
  <si>
    <t>DE9124</t>
  </si>
  <si>
    <t>C80736</t>
  </si>
  <si>
    <t>04B9C9</t>
  </si>
  <si>
    <t>FAC23F</t>
  </si>
  <si>
    <t>E40165</t>
  </si>
  <si>
    <t>C3CB61</t>
  </si>
  <si>
    <t>E06DC4</t>
  </si>
  <si>
    <t>51CC2F</t>
  </si>
  <si>
    <t>3D6080</t>
  </si>
  <si>
    <t>5CB0DC</t>
  </si>
  <si>
    <t>4C3047</t>
  </si>
  <si>
    <t>2E9BC0</t>
  </si>
  <si>
    <t>D6636B</t>
  </si>
  <si>
    <t>E72F9E</t>
  </si>
  <si>
    <t>11C7A0</t>
  </si>
  <si>
    <t>E602C4</t>
  </si>
  <si>
    <t>F40BE9</t>
  </si>
  <si>
    <t>EFB817</t>
  </si>
  <si>
    <t>C83F1A</t>
  </si>
  <si>
    <t>3F5A98</t>
  </si>
  <si>
    <t>FBE677</t>
  </si>
  <si>
    <t>CE6B08</t>
  </si>
  <si>
    <t>88854C</t>
  </si>
  <si>
    <t>28D6A1</t>
  </si>
  <si>
    <t>92A78C</t>
  </si>
  <si>
    <t>CA0923</t>
  </si>
  <si>
    <t>8E0EC8</t>
  </si>
  <si>
    <t>64BB93</t>
  </si>
  <si>
    <t>C0C225</t>
  </si>
  <si>
    <t>6B447C</t>
  </si>
  <si>
    <t>81B708</t>
  </si>
  <si>
    <t>79458C</t>
  </si>
  <si>
    <t>44D1A7</t>
  </si>
  <si>
    <t>DCDDD1</t>
  </si>
  <si>
    <t>FA59BD</t>
  </si>
  <si>
    <t>DC4702</t>
  </si>
  <si>
    <t>9CF10A</t>
  </si>
  <si>
    <t>983793</t>
  </si>
  <si>
    <t>F3DE5F</t>
  </si>
  <si>
    <t>AACA78</t>
  </si>
  <si>
    <t>99595A</t>
  </si>
  <si>
    <t>2948D4</t>
  </si>
  <si>
    <t>9AB019</t>
  </si>
  <si>
    <t>3C410D</t>
  </si>
  <si>
    <t>7BE185</t>
  </si>
  <si>
    <t>8819EF</t>
  </si>
  <si>
    <t>CEDBFB</t>
  </si>
  <si>
    <t>8807D6</t>
  </si>
  <si>
    <t>C13977</t>
  </si>
  <si>
    <t>613513</t>
  </si>
  <si>
    <t>2F4F83</t>
  </si>
  <si>
    <t>A34E06</t>
  </si>
  <si>
    <t>B1FA8D</t>
  </si>
  <si>
    <t>A9B490</t>
  </si>
  <si>
    <t>52F172</t>
  </si>
  <si>
    <t>94A5E9</t>
  </si>
  <si>
    <t>C2E750</t>
  </si>
  <si>
    <t>06D8FA</t>
  </si>
  <si>
    <t>128EF5</t>
  </si>
  <si>
    <t>59CAB2</t>
  </si>
  <si>
    <t>9CF484</t>
  </si>
  <si>
    <t>E4511E</t>
  </si>
  <si>
    <t>6BD718</t>
  </si>
  <si>
    <t>436512</t>
  </si>
  <si>
    <t>5EF588</t>
  </si>
  <si>
    <t>8F9DC4</t>
  </si>
  <si>
    <t>92DE90</t>
  </si>
  <si>
    <t>B9D8A2</t>
  </si>
  <si>
    <t>4C0603</t>
  </si>
  <si>
    <t>523B3F</t>
  </si>
  <si>
    <t>3CE5CE</t>
  </si>
  <si>
    <t>156421</t>
  </si>
  <si>
    <t>A30AE4</t>
  </si>
  <si>
    <t>4F7AD2</t>
  </si>
  <si>
    <t>0C5B69</t>
  </si>
  <si>
    <t>731E7C</t>
  </si>
  <si>
    <t>CCE4AF</t>
  </si>
  <si>
    <t>DE35E3</t>
  </si>
  <si>
    <t>4B54D3</t>
  </si>
  <si>
    <t>579AA6</t>
  </si>
  <si>
    <t>682D1B</t>
  </si>
  <si>
    <t>31C4F9</t>
  </si>
  <si>
    <t>CEF75D</t>
  </si>
  <si>
    <t>7F3C4B</t>
  </si>
  <si>
    <t>FA9A03</t>
  </si>
  <si>
    <t>68E495</t>
  </si>
  <si>
    <t>F38B91</t>
  </si>
  <si>
    <t>738740</t>
  </si>
  <si>
    <t>395FA4</t>
  </si>
  <si>
    <t>8471D0</t>
  </si>
  <si>
    <t>1E34D9</t>
  </si>
  <si>
    <t>5BF3D5</t>
  </si>
  <si>
    <t>EB2C27</t>
  </si>
  <si>
    <t>5B28CD</t>
  </si>
  <si>
    <t>168772</t>
  </si>
  <si>
    <t>0811EC</t>
  </si>
  <si>
    <t>5F9687</t>
  </si>
  <si>
    <t>5ACF01</t>
  </si>
  <si>
    <t>D776B5</t>
  </si>
  <si>
    <t>6004E6</t>
  </si>
  <si>
    <t>591AB9</t>
  </si>
  <si>
    <t>CA733D</t>
  </si>
  <si>
    <t>2C55AC</t>
  </si>
  <si>
    <t>3FA259</t>
  </si>
  <si>
    <t>0FFD2E</t>
  </si>
  <si>
    <t>4CAD99</t>
  </si>
  <si>
    <t>8BE3FB</t>
  </si>
  <si>
    <t>3FBDA0</t>
  </si>
  <si>
    <t>A5AFA1</t>
  </si>
  <si>
    <t>940921</t>
  </si>
  <si>
    <t>28A112</t>
  </si>
  <si>
    <t>186A32</t>
  </si>
  <si>
    <t>F99134</t>
  </si>
  <si>
    <t>97015A</t>
  </si>
  <si>
    <t>1ADFBA</t>
  </si>
  <si>
    <t>163ECE</t>
  </si>
  <si>
    <t>5123E2</t>
  </si>
  <si>
    <t>143D92</t>
  </si>
  <si>
    <t>DE53E5</t>
  </si>
  <si>
    <t>93E373</t>
  </si>
  <si>
    <t>AF1137</t>
  </si>
  <si>
    <t>E2F407</t>
  </si>
  <si>
    <t>1A14D8</t>
  </si>
  <si>
    <t>887430</t>
  </si>
  <si>
    <t>059866</t>
  </si>
  <si>
    <t>5E9ED5</t>
  </si>
  <si>
    <t>CF4DA2</t>
  </si>
  <si>
    <t>0282B9</t>
  </si>
  <si>
    <t>AA3FA2</t>
  </si>
  <si>
    <t>386CB9</t>
  </si>
  <si>
    <t>9815E0</t>
  </si>
  <si>
    <t>D6C0D1</t>
  </si>
  <si>
    <t>91E2D1</t>
  </si>
  <si>
    <t>1C17A7</t>
  </si>
  <si>
    <t>952CD5</t>
  </si>
  <si>
    <t>E09D8C</t>
  </si>
  <si>
    <t>E57986</t>
  </si>
  <si>
    <t>E10B29</t>
  </si>
  <si>
    <t>0690D0</t>
  </si>
  <si>
    <t>F25F50</t>
  </si>
  <si>
    <t>712E52</t>
  </si>
  <si>
    <t>740493</t>
  </si>
  <si>
    <t>502CE5</t>
  </si>
  <si>
    <t>F984B6</t>
  </si>
  <si>
    <t>48A162</t>
  </si>
  <si>
    <t>409706</t>
  </si>
  <si>
    <t>5916EF</t>
  </si>
  <si>
    <t>EB7633</t>
  </si>
  <si>
    <t>BC706E</t>
  </si>
  <si>
    <t>A53D40</t>
  </si>
  <si>
    <t>C917E9</t>
  </si>
  <si>
    <t>C5D291</t>
  </si>
  <si>
    <t>665DF8</t>
  </si>
  <si>
    <t>E7E341</t>
  </si>
  <si>
    <t>A57895</t>
  </si>
  <si>
    <t>4CE03A</t>
  </si>
  <si>
    <t>A2B1D7</t>
  </si>
  <si>
    <t>3411BD</t>
  </si>
  <si>
    <t>334C73</t>
  </si>
  <si>
    <t>39ED54</t>
  </si>
  <si>
    <t>46AD1A</t>
  </si>
  <si>
    <t>67255E</t>
  </si>
  <si>
    <t>D2B503</t>
  </si>
  <si>
    <t>3AA8AA</t>
  </si>
  <si>
    <t>C52B34</t>
  </si>
  <si>
    <t>D23BD6</t>
  </si>
  <si>
    <t>BBD763</t>
  </si>
  <si>
    <t>79BD66</t>
  </si>
  <si>
    <t>3BCA7C</t>
  </si>
  <si>
    <t>A4C0C4</t>
  </si>
  <si>
    <t>237E2D</t>
  </si>
  <si>
    <t>683BA0</t>
  </si>
  <si>
    <t>1435F9</t>
  </si>
  <si>
    <t>65C463</t>
  </si>
  <si>
    <t>52A1B6</t>
  </si>
  <si>
    <t>2697B0</t>
  </si>
  <si>
    <t>FE6A84</t>
  </si>
  <si>
    <t>BD8610</t>
  </si>
  <si>
    <t>A9508E</t>
  </si>
  <si>
    <t>3B4A60</t>
  </si>
  <si>
    <t>0A1132</t>
  </si>
  <si>
    <t>D3DC97</t>
  </si>
  <si>
    <t>5AB258</t>
  </si>
  <si>
    <t>3C5BE5</t>
  </si>
  <si>
    <t>8E4917</t>
  </si>
  <si>
    <t>B3665E</t>
  </si>
  <si>
    <t>ED1EF3</t>
  </si>
  <si>
    <t>B063A6</t>
  </si>
  <si>
    <t>607A52</t>
  </si>
  <si>
    <t>74AB4F</t>
  </si>
  <si>
    <t>2E83EF</t>
  </si>
  <si>
    <t>B2C6DB</t>
  </si>
  <si>
    <t>940C6D</t>
  </si>
  <si>
    <t>6F9AA0</t>
  </si>
  <si>
    <t>5A9252</t>
  </si>
  <si>
    <t>D63FF5</t>
  </si>
  <si>
    <t>9E1A09</t>
  </si>
  <si>
    <t>550E64</t>
  </si>
  <si>
    <t>A56EB2</t>
  </si>
  <si>
    <t>57F8D7</t>
  </si>
  <si>
    <t>417BDF</t>
  </si>
  <si>
    <t>DD3EEB</t>
  </si>
  <si>
    <t>3ADD95</t>
  </si>
  <si>
    <t>F4C1E6</t>
  </si>
  <si>
    <t>18C50E</t>
  </si>
  <si>
    <t>AB4FFA</t>
  </si>
  <si>
    <t>072631</t>
  </si>
  <si>
    <t>992FDC</t>
  </si>
  <si>
    <t>ED0AB8</t>
  </si>
  <si>
    <t>2161C7</t>
  </si>
  <si>
    <t>4C256A</t>
  </si>
  <si>
    <t>B4AA7A</t>
  </si>
  <si>
    <t>4990F2</t>
  </si>
  <si>
    <t>23CFD1</t>
  </si>
  <si>
    <t>1A4B2D</t>
  </si>
  <si>
    <t>2EB5FD</t>
  </si>
  <si>
    <t>E5B702</t>
  </si>
  <si>
    <t>35877F</t>
  </si>
  <si>
    <t>427C16</t>
  </si>
  <si>
    <t>DD016B</t>
  </si>
  <si>
    <t>8FBCEF</t>
  </si>
  <si>
    <t>EAA094</t>
  </si>
  <si>
    <t>3B1163</t>
  </si>
  <si>
    <t>E003AC</t>
  </si>
  <si>
    <t>3C3C5B</t>
  </si>
  <si>
    <t>69A172</t>
  </si>
  <si>
    <t>BF7141</t>
  </si>
  <si>
    <t>7B3177</t>
  </si>
  <si>
    <t>BF6EB7</t>
  </si>
  <si>
    <t>971929</t>
  </si>
  <si>
    <t>A6F95C</t>
  </si>
  <si>
    <t>D5160A</t>
  </si>
  <si>
    <t>7E9ABF</t>
  </si>
  <si>
    <t>927960</t>
  </si>
  <si>
    <t>8D35CB</t>
  </si>
  <si>
    <t>8AD8B6</t>
  </si>
  <si>
    <t>194348</t>
  </si>
  <si>
    <t>5E5A01</t>
  </si>
  <si>
    <t>6A9E41</t>
  </si>
  <si>
    <t>29F939</t>
  </si>
  <si>
    <t>A2F15F</t>
  </si>
  <si>
    <t>E990BF</t>
  </si>
  <si>
    <t>2A5397</t>
  </si>
  <si>
    <t>724CE7</t>
  </si>
  <si>
    <t>87B3B7</t>
  </si>
  <si>
    <t>31C668</t>
  </si>
  <si>
    <t>9E97A4</t>
  </si>
  <si>
    <t>B986A7</t>
  </si>
  <si>
    <t>9EAD6A</t>
  </si>
  <si>
    <t>E37407</t>
  </si>
  <si>
    <t>F2F960</t>
  </si>
  <si>
    <t>E8D3BD</t>
  </si>
  <si>
    <t>3F4E04</t>
  </si>
  <si>
    <t>AE71D6</t>
  </si>
  <si>
    <t>E06F59</t>
  </si>
  <si>
    <t>545764</t>
  </si>
  <si>
    <t>670CE2</t>
  </si>
  <si>
    <t>818203</t>
  </si>
  <si>
    <t>74DA82</t>
  </si>
  <si>
    <t>1B8F37</t>
  </si>
  <si>
    <t>1EC1E5</t>
  </si>
  <si>
    <t>02813F</t>
  </si>
  <si>
    <t>34AB3F</t>
  </si>
  <si>
    <t>D8EA6E</t>
  </si>
  <si>
    <t>57F56B</t>
  </si>
  <si>
    <t>E42723</t>
  </si>
  <si>
    <t>BAA2D2</t>
  </si>
  <si>
    <t>261DE8</t>
  </si>
  <si>
    <t>6BC19E</t>
  </si>
  <si>
    <t>2D8061</t>
  </si>
  <si>
    <t>BEEB11</t>
  </si>
  <si>
    <t>E1FF03</t>
  </si>
  <si>
    <t>3E1F17</t>
  </si>
  <si>
    <t>228CC7</t>
  </si>
  <si>
    <t>9BFE69</t>
  </si>
  <si>
    <t>33EF4B</t>
  </si>
  <si>
    <t>C9B6C8</t>
  </si>
  <si>
    <t>40AB14</t>
  </si>
  <si>
    <t>FD1A39</t>
  </si>
  <si>
    <t>0022EF</t>
  </si>
  <si>
    <t>81933D</t>
  </si>
  <si>
    <t>ACBC96</t>
  </si>
  <si>
    <t>5F3575</t>
  </si>
  <si>
    <t>DF4C12</t>
  </si>
  <si>
    <t>874B28</t>
  </si>
  <si>
    <t>842A9E</t>
  </si>
  <si>
    <t>72B59E</t>
  </si>
  <si>
    <t>B374E0</t>
  </si>
  <si>
    <t>2D7F43</t>
  </si>
  <si>
    <t>BD37C7</t>
  </si>
  <si>
    <t>395C09</t>
  </si>
  <si>
    <t>A31279</t>
  </si>
  <si>
    <t>9FC57B</t>
  </si>
  <si>
    <t>A64700</t>
  </si>
  <si>
    <t>F12574</t>
  </si>
  <si>
    <t>9A9AAF</t>
  </si>
  <si>
    <t>D25B71</t>
  </si>
  <si>
    <t>9F0276</t>
  </si>
  <si>
    <t>7A15EE</t>
  </si>
  <si>
    <t>74268E</t>
  </si>
  <si>
    <t>0D3A47</t>
  </si>
  <si>
    <t>598C43</t>
  </si>
  <si>
    <t>EA2B0C</t>
  </si>
  <si>
    <t>8BEBB8</t>
  </si>
  <si>
    <t>7F65C0</t>
  </si>
  <si>
    <t>CD22F2</t>
  </si>
  <si>
    <t>6FEE72</t>
  </si>
  <si>
    <t>D7968C</t>
  </si>
  <si>
    <t>4890AC</t>
  </si>
  <si>
    <t>06E3CF</t>
  </si>
  <si>
    <t>7962A5</t>
  </si>
  <si>
    <t>8DCF24</t>
  </si>
  <si>
    <t>5070AB</t>
  </si>
  <si>
    <t>30950D</t>
  </si>
  <si>
    <t>524438</t>
  </si>
  <si>
    <t>0A7320</t>
  </si>
  <si>
    <t>145B34</t>
  </si>
  <si>
    <t>78A1B5</t>
  </si>
  <si>
    <t>11D93B</t>
  </si>
  <si>
    <t>E34E3D</t>
  </si>
  <si>
    <t>4D05FC</t>
  </si>
  <si>
    <t>01B16D</t>
  </si>
  <si>
    <t>BDC908</t>
  </si>
  <si>
    <t>105BC2</t>
  </si>
  <si>
    <t>EF84A0</t>
  </si>
  <si>
    <t>A38603</t>
  </si>
  <si>
    <t>FCB656</t>
  </si>
  <si>
    <t>A1DABA</t>
  </si>
  <si>
    <t>95DDA2</t>
  </si>
  <si>
    <t>1208DA</t>
  </si>
  <si>
    <t>9095A1</t>
  </si>
  <si>
    <t>BDBF00</t>
  </si>
  <si>
    <t>CCD0BB</t>
  </si>
  <si>
    <t>F2B211</t>
  </si>
  <si>
    <t>15F9DE</t>
  </si>
  <si>
    <t>854914</t>
  </si>
  <si>
    <t>1DA879</t>
  </si>
  <si>
    <t>83B390</t>
  </si>
  <si>
    <t>32D185</t>
  </si>
  <si>
    <t>12CECF</t>
  </si>
  <si>
    <t>EC312B</t>
  </si>
  <si>
    <t>BB91D2</t>
  </si>
  <si>
    <t>744DE5</t>
  </si>
  <si>
    <t>F6FED2</t>
  </si>
  <si>
    <t>6A2F22</t>
  </si>
  <si>
    <t>33148E</t>
  </si>
  <si>
    <t>98EECC</t>
  </si>
  <si>
    <t>7C28DB</t>
  </si>
  <si>
    <t>F2EE3E</t>
  </si>
  <si>
    <t>BEB925</t>
  </si>
  <si>
    <t>E8EC7C</t>
  </si>
  <si>
    <t>7D54D8</t>
  </si>
  <si>
    <t>1AC4CD</t>
  </si>
  <si>
    <t>5810E7</t>
  </si>
  <si>
    <t>8C79F4</t>
  </si>
  <si>
    <t>CE32D8</t>
  </si>
  <si>
    <t>9FA3BA</t>
  </si>
  <si>
    <t>DAB524</t>
  </si>
  <si>
    <t>849982</t>
  </si>
  <si>
    <t>082DBE</t>
  </si>
  <si>
    <t>310E0B</t>
  </si>
  <si>
    <t>23BB10</t>
  </si>
  <si>
    <t>087DAF</t>
  </si>
  <si>
    <t>102AD1</t>
  </si>
  <si>
    <t>B711B1</t>
  </si>
  <si>
    <t>55D174</t>
  </si>
  <si>
    <t>8EB072</t>
  </si>
  <si>
    <t>CFC016</t>
  </si>
  <si>
    <t>591BA1</t>
  </si>
  <si>
    <t>5F7232</t>
  </si>
  <si>
    <t>B67AB6</t>
  </si>
  <si>
    <t>6BEB79</t>
  </si>
  <si>
    <t>06C14B</t>
  </si>
  <si>
    <t>63D196</t>
  </si>
  <si>
    <t>9B4634</t>
  </si>
  <si>
    <t>BA94C6</t>
  </si>
  <si>
    <t>ADD952</t>
  </si>
  <si>
    <t>52757A</t>
  </si>
  <si>
    <t>D8F395</t>
  </si>
  <si>
    <t>D76478</t>
  </si>
  <si>
    <t>9A7D9D</t>
  </si>
  <si>
    <t>CC9E36</t>
  </si>
  <si>
    <t>AD5EED</t>
  </si>
  <si>
    <t>7FB950</t>
  </si>
  <si>
    <t>B6D0B4</t>
  </si>
  <si>
    <t>72EB66</t>
  </si>
  <si>
    <t>308C7F</t>
  </si>
  <si>
    <t>4CC6C0</t>
  </si>
  <si>
    <t>81A072</t>
  </si>
  <si>
    <t>D8E67A</t>
  </si>
  <si>
    <t>9237D2</t>
  </si>
  <si>
    <t>FA2626</t>
  </si>
  <si>
    <t>9C3FFE</t>
  </si>
  <si>
    <t>A75D19</t>
  </si>
  <si>
    <t>A8BF1C</t>
  </si>
  <si>
    <t>A664D8</t>
  </si>
  <si>
    <t>C1331F</t>
  </si>
  <si>
    <t>E9B555</t>
  </si>
  <si>
    <t>E2A4F3</t>
  </si>
  <si>
    <t>6258FB</t>
  </si>
  <si>
    <t>CE84D8</t>
  </si>
  <si>
    <t>1DA5AA</t>
  </si>
  <si>
    <t>D92258</t>
  </si>
  <si>
    <t>734730</t>
  </si>
  <si>
    <t>4FE354</t>
  </si>
  <si>
    <t>5FFAD5</t>
  </si>
  <si>
    <t>57830C</t>
  </si>
  <si>
    <t>63230E</t>
  </si>
  <si>
    <t>9DDB2B</t>
  </si>
  <si>
    <t>FC5572</t>
  </si>
  <si>
    <t>A84636</t>
  </si>
  <si>
    <t>59746D</t>
  </si>
  <si>
    <t>38CBE9</t>
  </si>
  <si>
    <t>B90972</t>
  </si>
  <si>
    <t>5E3D59</t>
  </si>
  <si>
    <t>3EAB80</t>
  </si>
  <si>
    <t>7F6FF2</t>
  </si>
  <si>
    <t>73895C</t>
  </si>
  <si>
    <t>9D239D</t>
  </si>
  <si>
    <t>DAEDBF</t>
  </si>
  <si>
    <t>4211AE</t>
  </si>
  <si>
    <t>05075F</t>
  </si>
  <si>
    <t>1A6762</t>
  </si>
  <si>
    <t>78A5A1</t>
  </si>
  <si>
    <t>FCC809</t>
  </si>
  <si>
    <t>F23638</t>
  </si>
  <si>
    <t>AC202A</t>
  </si>
  <si>
    <t>925F29</t>
  </si>
  <si>
    <t>B4543E</t>
  </si>
  <si>
    <t>1C53DE</t>
  </si>
  <si>
    <t>416ACC</t>
  </si>
  <si>
    <t>BABB3F</t>
  </si>
  <si>
    <t>8A7AFC</t>
  </si>
  <si>
    <t>84E80A</t>
  </si>
  <si>
    <t>8CA5FE</t>
  </si>
  <si>
    <t>3C83D8</t>
  </si>
  <si>
    <t>1FF2CE</t>
  </si>
  <si>
    <t>38E087</t>
  </si>
  <si>
    <t>7D492A</t>
  </si>
  <si>
    <t>E82AF7</t>
  </si>
  <si>
    <t>C341DB</t>
  </si>
  <si>
    <t>A2F557</t>
  </si>
  <si>
    <t>E44F92</t>
  </si>
  <si>
    <t>233E70</t>
  </si>
  <si>
    <t>3D24F9</t>
  </si>
  <si>
    <t>D87EA1</t>
  </si>
  <si>
    <t>4371CB</t>
  </si>
  <si>
    <t>959A87</t>
  </si>
  <si>
    <t>C45A05</t>
  </si>
  <si>
    <t>EF2679</t>
  </si>
  <si>
    <t>D4A781</t>
  </si>
  <si>
    <t>BF655B</t>
  </si>
  <si>
    <t>43E796</t>
  </si>
  <si>
    <t>0D206D</t>
  </si>
  <si>
    <t>4CAB8D</t>
  </si>
  <si>
    <t>5A1D1B</t>
  </si>
  <si>
    <t>A83BFA</t>
  </si>
  <si>
    <t>B0D0ED</t>
  </si>
  <si>
    <t>B87C5D</t>
  </si>
  <si>
    <t>A6431A</t>
  </si>
  <si>
    <t>58BD85</t>
  </si>
  <si>
    <t>A00E77</t>
  </si>
  <si>
    <t>1B12A9</t>
  </si>
  <si>
    <t>AE6DA0</t>
  </si>
  <si>
    <t>5CA62E</t>
  </si>
  <si>
    <t>0A66A2</t>
  </si>
  <si>
    <t>1DC87D</t>
  </si>
  <si>
    <t>17CA98</t>
  </si>
  <si>
    <t>EB447E</t>
  </si>
  <si>
    <t>AD10E7</t>
  </si>
  <si>
    <t>3B2A88</t>
  </si>
  <si>
    <t>4F5D0E</t>
  </si>
  <si>
    <t>50FBD2</t>
  </si>
  <si>
    <t>32794B</t>
  </si>
  <si>
    <t>492DCC</t>
  </si>
  <si>
    <t>C27F75</t>
  </si>
  <si>
    <t>239DE4</t>
  </si>
  <si>
    <t>9A8CCF</t>
  </si>
  <si>
    <t>2D038E</t>
  </si>
  <si>
    <t>5874C1</t>
  </si>
  <si>
    <t>B9F7AD</t>
  </si>
  <si>
    <t>3431B0</t>
  </si>
  <si>
    <t>D0059E</t>
  </si>
  <si>
    <t>921258</t>
  </si>
  <si>
    <t>BBAB91</t>
  </si>
  <si>
    <t>93957D</t>
  </si>
  <si>
    <t>2274EE</t>
  </si>
  <si>
    <t>8BCCC3</t>
  </si>
  <si>
    <t>67B2E3</t>
  </si>
  <si>
    <t>FC3AF9</t>
  </si>
  <si>
    <t>160478</t>
  </si>
  <si>
    <t>9DB140</t>
  </si>
  <si>
    <t>E120AB</t>
  </si>
  <si>
    <t>E8F1CB</t>
  </si>
  <si>
    <t>FF6A75</t>
  </si>
  <si>
    <t>7C161B</t>
  </si>
  <si>
    <t>6AFFCB</t>
  </si>
  <si>
    <t>B72203</t>
  </si>
  <si>
    <t>BB71E5</t>
  </si>
  <si>
    <t>8B0BD4</t>
  </si>
  <si>
    <t>FD666E</t>
  </si>
  <si>
    <t>FE156D</t>
  </si>
  <si>
    <t>494662</t>
  </si>
  <si>
    <t>8DD921</t>
  </si>
  <si>
    <t>0718BF</t>
  </si>
  <si>
    <t>C628AF</t>
  </si>
  <si>
    <t>48F448</t>
  </si>
  <si>
    <t>FB0BB1</t>
  </si>
  <si>
    <t>805502</t>
  </si>
  <si>
    <t>A70E42</t>
  </si>
  <si>
    <t>F2572E</t>
  </si>
  <si>
    <t>04E7CD</t>
  </si>
  <si>
    <t>ACA2E8</t>
  </si>
  <si>
    <t>CF8D30</t>
  </si>
  <si>
    <t>A5F0A7</t>
  </si>
  <si>
    <t>D540BC</t>
  </si>
  <si>
    <t>0AC047</t>
  </si>
  <si>
    <t>1C65A7</t>
  </si>
  <si>
    <t>2E6160</t>
  </si>
  <si>
    <t>930404</t>
  </si>
  <si>
    <t>FB0510</t>
  </si>
  <si>
    <t>AF455D</t>
  </si>
  <si>
    <t>267E7E</t>
  </si>
  <si>
    <t>870170</t>
  </si>
  <si>
    <t>95D8A6</t>
  </si>
  <si>
    <t>E9F5C1</t>
  </si>
  <si>
    <t>BD3D5B</t>
  </si>
  <si>
    <t>1CB9ED</t>
  </si>
  <si>
    <t>051274</t>
  </si>
  <si>
    <t>4D2DFF</t>
  </si>
  <si>
    <t>3DEF8C</t>
  </si>
  <si>
    <t>8B3F32</t>
  </si>
  <si>
    <t>745FE3</t>
  </si>
  <si>
    <t>7DB2D2</t>
  </si>
  <si>
    <t>588933</t>
  </si>
  <si>
    <t>A96E3C</t>
  </si>
  <si>
    <t>560992</t>
  </si>
  <si>
    <t>9DAE24</t>
  </si>
  <si>
    <t>22EBA9</t>
  </si>
  <si>
    <t>D00E9B</t>
  </si>
  <si>
    <t>4AB1E9</t>
  </si>
  <si>
    <t>3B6886</t>
  </si>
  <si>
    <t>316E75</t>
  </si>
  <si>
    <t>B3A086</t>
  </si>
  <si>
    <t>73E6F7</t>
  </si>
  <si>
    <t>51CE6C</t>
  </si>
  <si>
    <t>F22091</t>
  </si>
  <si>
    <t>5AA19D</t>
  </si>
  <si>
    <t>3A6B46</t>
  </si>
  <si>
    <t>AB7BFE</t>
  </si>
  <si>
    <t>4E618D</t>
  </si>
  <si>
    <t>DC0C13</t>
  </si>
  <si>
    <t>FBC45B</t>
  </si>
  <si>
    <t>1C85B2</t>
  </si>
  <si>
    <t>6C82C0</t>
  </si>
  <si>
    <t>C029AF</t>
  </si>
  <si>
    <t>123D84</t>
  </si>
  <si>
    <t>C193C7</t>
  </si>
  <si>
    <t>D4FD94</t>
  </si>
  <si>
    <t>B73A08</t>
  </si>
  <si>
    <t>ACF1A8</t>
  </si>
  <si>
    <t>2E3405</t>
  </si>
  <si>
    <t>F5A396</t>
  </si>
  <si>
    <t>7BF165</t>
  </si>
  <si>
    <t>5B2910</t>
  </si>
  <si>
    <t>C1ECB6</t>
  </si>
  <si>
    <t>19DAAE</t>
  </si>
  <si>
    <t>C1E079</t>
  </si>
  <si>
    <t>52578C</t>
  </si>
  <si>
    <t>3AD1D3</t>
  </si>
  <si>
    <t>CD4AE6</t>
  </si>
  <si>
    <t>68A571</t>
  </si>
  <si>
    <t>C7CC63</t>
  </si>
  <si>
    <t>4E2870</t>
  </si>
  <si>
    <t>498B0A</t>
  </si>
  <si>
    <t>25C058</t>
  </si>
  <si>
    <t>547E15</t>
  </si>
  <si>
    <t>7C928D</t>
  </si>
  <si>
    <t>A1D60E</t>
  </si>
  <si>
    <t>7824BD</t>
  </si>
  <si>
    <t>FC9BF2</t>
  </si>
  <si>
    <t>CC7D25</t>
  </si>
  <si>
    <t>F7134A</t>
  </si>
  <si>
    <t>41E2BA</t>
  </si>
  <si>
    <t>3FCF75</t>
  </si>
  <si>
    <t>F2CA99</t>
  </si>
  <si>
    <t>3DBB85</t>
  </si>
  <si>
    <t>D5813C</t>
  </si>
  <si>
    <t>8A577D</t>
  </si>
  <si>
    <t>B6F363</t>
  </si>
  <si>
    <t>0664CD</t>
  </si>
  <si>
    <t>9DE3A6</t>
  </si>
  <si>
    <t>7A674E</t>
  </si>
  <si>
    <t>0D1721</t>
  </si>
  <si>
    <t>48FF27</t>
  </si>
  <si>
    <t>C8D4BC</t>
  </si>
  <si>
    <t>B07360</t>
  </si>
  <si>
    <t>75B7E7</t>
  </si>
  <si>
    <t>6A0C02</t>
  </si>
  <si>
    <t>8590E3</t>
  </si>
  <si>
    <t>4C5607</t>
  </si>
  <si>
    <t>B019E7</t>
  </si>
  <si>
    <t>905A89</t>
  </si>
  <si>
    <t>79E9B2</t>
  </si>
  <si>
    <t>CC75E2</t>
  </si>
  <si>
    <t>B18169</t>
  </si>
  <si>
    <t>E912B7</t>
  </si>
  <si>
    <t>09DCCA</t>
  </si>
  <si>
    <t>BF581C</t>
  </si>
  <si>
    <t>20C90F</t>
  </si>
  <si>
    <t>A71947</t>
  </si>
  <si>
    <t>EEB80D</t>
  </si>
  <si>
    <t>9B4884</t>
  </si>
  <si>
    <t>4B0A6E</t>
  </si>
  <si>
    <t>621669</t>
  </si>
  <si>
    <t>642514</t>
  </si>
  <si>
    <t>1B016A</t>
  </si>
  <si>
    <t>A352F4</t>
  </si>
  <si>
    <t>F8A953</t>
  </si>
  <si>
    <t>E2B606</t>
  </si>
  <si>
    <t>B17D55</t>
  </si>
  <si>
    <t>649F1B</t>
  </si>
  <si>
    <t>409296</t>
  </si>
  <si>
    <t>F8CDAD</t>
  </si>
  <si>
    <t>025C82</t>
  </si>
  <si>
    <t>DA95F6</t>
  </si>
  <si>
    <t>9EDF49</t>
  </si>
  <si>
    <t>53FCEE</t>
  </si>
  <si>
    <t>CF883C</t>
  </si>
  <si>
    <t>2ABF00</t>
  </si>
  <si>
    <t>195F07</t>
  </si>
  <si>
    <t>762F81</t>
  </si>
  <si>
    <t>77FDF8</t>
  </si>
  <si>
    <t>352C4A</t>
  </si>
  <si>
    <t>91EEB9</t>
  </si>
  <si>
    <t>E34202</t>
  </si>
  <si>
    <t>F6EC4D</t>
  </si>
  <si>
    <t>48D2EB</t>
  </si>
  <si>
    <t>A3622A</t>
  </si>
  <si>
    <t>CCDB4E</t>
  </si>
  <si>
    <t>4D8BB3</t>
  </si>
  <si>
    <t>F50BCB</t>
  </si>
  <si>
    <t>07167B</t>
  </si>
  <si>
    <t>63A334</t>
  </si>
  <si>
    <t>655D17</t>
  </si>
  <si>
    <t>36F6B6</t>
  </si>
  <si>
    <t>817758</t>
  </si>
  <si>
    <t>FE3072</t>
  </si>
  <si>
    <t>C3B83E</t>
  </si>
  <si>
    <t>9EB9C8</t>
  </si>
  <si>
    <t>From Pot Size</t>
  </si>
  <si>
    <t>To Pot Size</t>
  </si>
  <si>
    <t>Combine</t>
  </si>
  <si>
    <t>2" Nursery</t>
  </si>
  <si>
    <t>Color In</t>
  </si>
  <si>
    <t>Product Key</t>
  </si>
  <si>
    <t>4" Nursery</t>
  </si>
  <si>
    <t>Sphagnum</t>
  </si>
  <si>
    <t>Down-pot</t>
  </si>
  <si>
    <t>Perlite Mix</t>
  </si>
  <si>
    <t>Up-pot</t>
  </si>
  <si>
    <t>5"</t>
  </si>
  <si>
    <t>Verm/Perlite</t>
  </si>
  <si>
    <t>8"</t>
  </si>
  <si>
    <t>10"</t>
  </si>
  <si>
    <t>Item Name</t>
  </si>
  <si>
    <t>Sale Price</t>
  </si>
  <si>
    <t>Total Sale</t>
  </si>
  <si>
    <t>Sale Channel</t>
  </si>
  <si>
    <t>Cost</t>
  </si>
  <si>
    <t>Margin %</t>
  </si>
  <si>
    <t>Sale ID</t>
  </si>
  <si>
    <t>In Person</t>
  </si>
  <si>
    <t>5e6yy5</t>
  </si>
  <si>
    <t>C430FF</t>
  </si>
  <si>
    <t>FB5087</t>
  </si>
  <si>
    <t>HS-BE-AW-1F</t>
  </si>
  <si>
    <t>C75882</t>
  </si>
  <si>
    <t>62A562</t>
  </si>
  <si>
    <t>ED61DC</t>
  </si>
  <si>
    <t>ED8B91</t>
  </si>
  <si>
    <t>6F0372</t>
  </si>
  <si>
    <t>E89300</t>
  </si>
  <si>
    <t>E20E2D</t>
  </si>
  <si>
    <t>5ED528</t>
  </si>
  <si>
    <t>2BF0C1</t>
  </si>
  <si>
    <t>3CCDEB</t>
  </si>
  <si>
    <t>3C8485</t>
  </si>
  <si>
    <t>FDC040</t>
  </si>
  <si>
    <t>1AD482</t>
  </si>
  <si>
    <t>F19DDE</t>
  </si>
  <si>
    <t>Square Online</t>
  </si>
  <si>
    <t>F0E0F0</t>
  </si>
  <si>
    <t>A3A7BD</t>
  </si>
  <si>
    <t>498D06</t>
  </si>
  <si>
    <t>BAB38A</t>
  </si>
  <si>
    <t>C39146</t>
  </si>
  <si>
    <t>4B3C20</t>
  </si>
  <si>
    <t>3C799B</t>
  </si>
  <si>
    <t>JC-PL-TU-6</t>
  </si>
  <si>
    <t>Turtle Planter</t>
  </si>
  <si>
    <t>3B8F5C</t>
  </si>
  <si>
    <t>F31821</t>
  </si>
  <si>
    <t>Flea Market</t>
  </si>
  <si>
    <t>983BA8</t>
  </si>
  <si>
    <t>A4853A</t>
  </si>
  <si>
    <t>0D8740</t>
  </si>
  <si>
    <t>E7852B</t>
  </si>
  <si>
    <t>33D5C6</t>
  </si>
  <si>
    <t>9155</t>
  </si>
  <si>
    <t>55DDB0</t>
  </si>
  <si>
    <t>E1A1A4</t>
  </si>
  <si>
    <t>BA759B</t>
  </si>
  <si>
    <t>0FAAAC</t>
  </si>
  <si>
    <t>2E3C5A</t>
  </si>
  <si>
    <t>9CA059</t>
  </si>
  <si>
    <t>C40573</t>
  </si>
  <si>
    <t>D88B84</t>
  </si>
  <si>
    <t>AE3FD1</t>
  </si>
  <si>
    <t>D4DBAF</t>
  </si>
  <si>
    <t>5C79FB</t>
  </si>
  <si>
    <t>5597B0</t>
  </si>
  <si>
    <t>B70A34</t>
  </si>
  <si>
    <t>3434FB</t>
  </si>
  <si>
    <t>9CA4AE</t>
  </si>
  <si>
    <t>3293A4</t>
  </si>
  <si>
    <t>8A4F2D</t>
  </si>
  <si>
    <t>628445</t>
  </si>
  <si>
    <t>D01BFC</t>
  </si>
  <si>
    <t>7D9BED</t>
  </si>
  <si>
    <t>5EE09A</t>
  </si>
  <si>
    <t>53405B</t>
  </si>
  <si>
    <t>629618</t>
  </si>
  <si>
    <t>B69E0A</t>
  </si>
  <si>
    <t>B18A26</t>
  </si>
  <si>
    <t>EA21C5</t>
  </si>
  <si>
    <t>FD32BA</t>
  </si>
  <si>
    <t>FC4517</t>
  </si>
  <si>
    <t>A3FFF1</t>
  </si>
  <si>
    <t>622309</t>
  </si>
  <si>
    <t>ED354B</t>
  </si>
  <si>
    <t>UN-PA-HPA-3</t>
  </si>
  <si>
    <t>Heat Pack Packing/Shipping</t>
  </si>
  <si>
    <t>F63415</t>
  </si>
  <si>
    <t>7541BF</t>
  </si>
  <si>
    <t>D2859E</t>
  </si>
  <si>
    <t>D0F977</t>
  </si>
  <si>
    <t>169CDE</t>
  </si>
  <si>
    <t>8C5945</t>
  </si>
  <si>
    <t>4FD521</t>
  </si>
  <si>
    <t>D46824</t>
  </si>
  <si>
    <t>898BA4</t>
  </si>
  <si>
    <t>606CFE</t>
  </si>
  <si>
    <t>4A53EC</t>
  </si>
  <si>
    <t>911C35</t>
  </si>
  <si>
    <t>6D35EC</t>
  </si>
  <si>
    <t>724774</t>
  </si>
  <si>
    <t>3C8CA2</t>
  </si>
  <si>
    <t>5849DB</t>
  </si>
  <si>
    <t>EF3428</t>
  </si>
  <si>
    <t>FA0D9F</t>
  </si>
  <si>
    <t>91346B</t>
  </si>
  <si>
    <t>AC3063</t>
  </si>
  <si>
    <t>3A066D</t>
  </si>
  <si>
    <t>C9E883</t>
  </si>
  <si>
    <t>FS-KC-PLA-7</t>
  </si>
  <si>
    <t>Plant Key Chain</t>
  </si>
  <si>
    <t>F14CC8</t>
  </si>
  <si>
    <t>ARC-TB-DH-3</t>
  </si>
  <si>
    <t>Don't Hate, Propogate Tote Bag</t>
  </si>
  <si>
    <t>9EE21C</t>
  </si>
  <si>
    <t>041B2A</t>
  </si>
  <si>
    <t>076C2C</t>
  </si>
  <si>
    <t>1D38E2</t>
  </si>
  <si>
    <t>2EE464</t>
  </si>
  <si>
    <t>A27CF6</t>
  </si>
  <si>
    <t>20726F</t>
  </si>
  <si>
    <t>1AFBE6</t>
  </si>
  <si>
    <t>A64706</t>
  </si>
  <si>
    <t>22BEAA</t>
  </si>
  <si>
    <t>ADC4C8</t>
  </si>
  <si>
    <t>0F156A</t>
  </si>
  <si>
    <t>685659</t>
  </si>
  <si>
    <t>A66462</t>
  </si>
  <si>
    <t>Gift</t>
  </si>
  <si>
    <t>ED0C6D</t>
  </si>
  <si>
    <t>Rouge Recovery Center $35.00</t>
  </si>
  <si>
    <t>712797</t>
  </si>
  <si>
    <t>D61342</t>
  </si>
  <si>
    <t>37D9CC</t>
  </si>
  <si>
    <t>443BA3</t>
  </si>
  <si>
    <t>118D0F</t>
  </si>
  <si>
    <t>493920</t>
  </si>
  <si>
    <t>F5CA50</t>
  </si>
  <si>
    <t>2111BA</t>
  </si>
  <si>
    <t>FB84C4</t>
  </si>
  <si>
    <t>9D8028</t>
  </si>
  <si>
    <t>C1751A</t>
  </si>
  <si>
    <t>84CEA9</t>
  </si>
  <si>
    <t>TPM-ST-GI-5</t>
  </si>
  <si>
    <t>Get in Loser, We're Going Plant Shopping Sticker</t>
  </si>
  <si>
    <t>BC9FE8</t>
  </si>
  <si>
    <t>BCBAC8</t>
  </si>
  <si>
    <t>3D653C</t>
  </si>
  <si>
    <t>894837</t>
  </si>
  <si>
    <t>C1372B</t>
  </si>
  <si>
    <t>13EB21</t>
  </si>
  <si>
    <t>865CDA</t>
  </si>
  <si>
    <t>FB134D</t>
  </si>
  <si>
    <t>850261</t>
  </si>
  <si>
    <t>$5 discount</t>
  </si>
  <si>
    <t>630FDE</t>
  </si>
  <si>
    <t>CCFB42</t>
  </si>
  <si>
    <t>2A8A4D</t>
  </si>
  <si>
    <t>1CBFF9</t>
  </si>
  <si>
    <t>FD46B4</t>
  </si>
  <si>
    <t>0EEDA0</t>
  </si>
  <si>
    <t>SDW-PO-4.3-DF-1</t>
  </si>
  <si>
    <t>Dark Forest Pot</t>
  </si>
  <si>
    <t>C2CAC1</t>
  </si>
  <si>
    <t>SDW-KC-LT-4</t>
  </si>
  <si>
    <t>Lucky Toadstool Key Chain</t>
  </si>
  <si>
    <t>36614D</t>
  </si>
  <si>
    <t>B43D4C</t>
  </si>
  <si>
    <t>UN-PA-HPA-10</t>
  </si>
  <si>
    <t>DC3B1D</t>
  </si>
  <si>
    <t>203DCB</t>
  </si>
  <si>
    <t>SDW-KC-QB-5</t>
  </si>
  <si>
    <t>Queen Bee Key Chain</t>
  </si>
  <si>
    <t>E3C916</t>
  </si>
  <si>
    <t>85EF53</t>
  </si>
  <si>
    <t>0BB961</t>
  </si>
  <si>
    <t>1E57BC</t>
  </si>
  <si>
    <t>246912</t>
  </si>
  <si>
    <t>7AD3DB</t>
  </si>
  <si>
    <t>Rena</t>
  </si>
  <si>
    <t>EF83B0</t>
  </si>
  <si>
    <t>0FD979</t>
  </si>
  <si>
    <t>51A72C</t>
  </si>
  <si>
    <t>30E86A</t>
  </si>
  <si>
    <t>Aroid Soil</t>
  </si>
  <si>
    <t>E014AD</t>
  </si>
  <si>
    <t>Kristina Whillans</t>
  </si>
  <si>
    <t>Hoya Soil</t>
  </si>
  <si>
    <t>24731C</t>
  </si>
  <si>
    <t>JC-PL-SN-6</t>
  </si>
  <si>
    <t>Snail Planter</t>
  </si>
  <si>
    <t>457AD5</t>
  </si>
  <si>
    <t>Andrea</t>
  </si>
  <si>
    <t>Alocasia Soil</t>
  </si>
  <si>
    <t>39F399</t>
  </si>
  <si>
    <t>SDW-PM-GL-5</t>
  </si>
  <si>
    <t>0D14A5</t>
  </si>
  <si>
    <t>Vicky</t>
  </si>
  <si>
    <t>3B1F53</t>
  </si>
  <si>
    <t>Tailua</t>
  </si>
  <si>
    <t>FB2DA3</t>
  </si>
  <si>
    <t>372A57</t>
  </si>
  <si>
    <t>E2D546</t>
  </si>
  <si>
    <t>8FD75D</t>
  </si>
  <si>
    <t>AS-EA-MD-4</t>
  </si>
  <si>
    <t>Monstera Drops Earring</t>
  </si>
  <si>
    <t>CC6383</t>
  </si>
  <si>
    <t>AS-NE-ML-4</t>
  </si>
  <si>
    <t>Monstera Leaf Necklace</t>
  </si>
  <si>
    <t>2B979A</t>
  </si>
  <si>
    <t>ARC-ST-ED-10</t>
  </si>
  <si>
    <t>Easily Distracted By Plants Sticker</t>
  </si>
  <si>
    <t>6FD34C</t>
  </si>
  <si>
    <t>F5FBBB</t>
  </si>
  <si>
    <t>Shannon</t>
  </si>
  <si>
    <t>SDW-WS-WTW-18</t>
  </si>
  <si>
    <t>Willy the Worm Water Sensor</t>
  </si>
  <si>
    <t>Free Gift W/ Purchase</t>
  </si>
  <si>
    <t>DFEEB8</t>
  </si>
  <si>
    <t>9C0E59</t>
  </si>
  <si>
    <t>Stanley Condit</t>
  </si>
  <si>
    <t>E5CF0F</t>
  </si>
  <si>
    <t>7F6D29</t>
  </si>
  <si>
    <t>ADA238</t>
  </si>
  <si>
    <t>589DE4</t>
  </si>
  <si>
    <t>E5A0F1</t>
  </si>
  <si>
    <t>84F93A</t>
  </si>
  <si>
    <t>7BA3B3</t>
  </si>
  <si>
    <t>E060A7</t>
  </si>
  <si>
    <t>4E5DFA</t>
  </si>
  <si>
    <t>Kyle</t>
  </si>
  <si>
    <t>Plant SKU</t>
  </si>
  <si>
    <t>Product</t>
  </si>
  <si>
    <t>Method</t>
  </si>
  <si>
    <t>Rate</t>
  </si>
  <si>
    <t>Unit</t>
  </si>
  <si>
    <t>Next Earliest</t>
  </si>
  <si>
    <t>Next Latest</t>
  </si>
  <si>
    <t>UID</t>
  </si>
  <si>
    <t>4'</t>
  </si>
  <si>
    <t>Arber</t>
  </si>
  <si>
    <t>Bottom Water</t>
  </si>
  <si>
    <t>2 tbsp</t>
  </si>
  <si>
    <t>32 oz</t>
  </si>
  <si>
    <t>4559191f</t>
  </si>
  <si>
    <t>77d936e5</t>
  </si>
  <si>
    <t>25bb35c8</t>
  </si>
  <si>
    <t>a7ac9af5</t>
  </si>
  <si>
    <t>081be697</t>
  </si>
  <si>
    <t>Ferti-lome</t>
  </si>
  <si>
    <t xml:space="preserve">Reservoir Fill </t>
  </si>
  <si>
    <t>1 tsp</t>
  </si>
  <si>
    <t>1 gal</t>
  </si>
  <si>
    <t>aa697dc8</t>
  </si>
  <si>
    <t>6f65490d</t>
  </si>
  <si>
    <t>25755f2f</t>
  </si>
  <si>
    <t>9f30c148</t>
  </si>
  <si>
    <t>bc21b13d</t>
  </si>
  <si>
    <t>a4ea20e5</t>
  </si>
  <si>
    <t>a92fd893</t>
  </si>
  <si>
    <t>63f85d72</t>
  </si>
  <si>
    <t>b2ef89e4</t>
  </si>
  <si>
    <t>f3fd25b9</t>
  </si>
  <si>
    <t>a798eb21</t>
  </si>
  <si>
    <t>Top Water</t>
  </si>
  <si>
    <t>6f3a83d4</t>
  </si>
  <si>
    <t>095ae809</t>
  </si>
  <si>
    <t>0ce87592</t>
  </si>
  <si>
    <t>39cf2bd9</t>
  </si>
  <si>
    <t>dbad71d7</t>
  </si>
  <si>
    <t>d2ac8759</t>
  </si>
  <si>
    <t>c36ba432</t>
  </si>
  <si>
    <t>320f6cec</t>
  </si>
  <si>
    <t>5601ba13</t>
  </si>
  <si>
    <t>9cd977ba</t>
  </si>
  <si>
    <t>ca568015</t>
  </si>
  <si>
    <t>0054fe19</t>
  </si>
  <si>
    <t>915f5032</t>
  </si>
  <si>
    <t>e3eaf086</t>
  </si>
  <si>
    <t>2362b71f</t>
  </si>
  <si>
    <t>a7aa4b3b</t>
  </si>
  <si>
    <t>913f2458</t>
  </si>
  <si>
    <t>8fb3eda4</t>
  </si>
  <si>
    <t>7c622a04</t>
  </si>
  <si>
    <t>7826b621</t>
  </si>
  <si>
    <t>1948b132</t>
  </si>
  <si>
    <t>45505382</t>
  </si>
  <si>
    <t>66b7ed24</t>
  </si>
  <si>
    <t>a9dab589</t>
  </si>
  <si>
    <t>e1ab9bb6</t>
  </si>
  <si>
    <t>4b5066c7</t>
  </si>
  <si>
    <t>a855eeac</t>
  </si>
  <si>
    <t>d78bb5b6</t>
  </si>
  <si>
    <t>3e496a44</t>
  </si>
  <si>
    <t>6fa0de9d</t>
  </si>
  <si>
    <t>dfd60f35</t>
  </si>
  <si>
    <t>f2b00cad</t>
  </si>
  <si>
    <t>30a8b001</t>
  </si>
  <si>
    <t>6b906cec</t>
  </si>
  <si>
    <t>7a121a4a</t>
  </si>
  <si>
    <t>569d322b</t>
  </si>
  <si>
    <t>c296b380</t>
  </si>
  <si>
    <t>0e1c6545</t>
  </si>
  <si>
    <t>243d8e07</t>
  </si>
  <si>
    <t>fb89e9ae</t>
  </si>
  <si>
    <t>25920bbb</t>
  </si>
  <si>
    <t>5cc179ae</t>
  </si>
  <si>
    <t>1c7638b1</t>
  </si>
  <si>
    <t>9f89aac2</t>
  </si>
  <si>
    <t>53269655</t>
  </si>
  <si>
    <t>68b2488f</t>
  </si>
  <si>
    <t>fb436c3e</t>
  </si>
  <si>
    <t>bf7c6d96</t>
  </si>
  <si>
    <t>c1c0fe02</t>
  </si>
  <si>
    <t>5de4ca73</t>
  </si>
  <si>
    <t>888a6192</t>
  </si>
  <si>
    <t>f4ad7203</t>
  </si>
  <si>
    <t>cd610d19</t>
  </si>
  <si>
    <t>35fedebe</t>
  </si>
  <si>
    <t>e386739f</t>
  </si>
  <si>
    <t>0c314962</t>
  </si>
  <si>
    <t>f30c1a78</t>
  </si>
  <si>
    <t>b312c2bf</t>
  </si>
  <si>
    <t>f7868638</t>
  </si>
  <si>
    <t>4ebf9194</t>
  </si>
  <si>
    <t>f51de05c</t>
  </si>
  <si>
    <t>dfa6d92f</t>
  </si>
  <si>
    <t>3.7”</t>
  </si>
  <si>
    <t>2184bdb0</t>
  </si>
  <si>
    <t>455599f0</t>
  </si>
  <si>
    <t>9d94722b</t>
  </si>
  <si>
    <t>81647e1d</t>
  </si>
  <si>
    <t>57cd443d</t>
  </si>
  <si>
    <t>33867a95</t>
  </si>
  <si>
    <t>19d92398</t>
  </si>
  <si>
    <t>b9650475</t>
  </si>
  <si>
    <t>cd61d0ab</t>
  </si>
  <si>
    <t>81c451b5</t>
  </si>
  <si>
    <t>edf98e0a</t>
  </si>
  <si>
    <t>754b645f</t>
  </si>
  <si>
    <t>5dc79876</t>
  </si>
  <si>
    <t>87fd38ed</t>
  </si>
  <si>
    <t>f7082db4</t>
  </si>
  <si>
    <t>553d2993</t>
  </si>
  <si>
    <t>f3076254</t>
  </si>
  <si>
    <t>62dafb6d</t>
  </si>
  <si>
    <t>787d73f3</t>
  </si>
  <si>
    <t>03742f58</t>
  </si>
  <si>
    <t>8e60a008</t>
  </si>
  <si>
    <t>172da09e</t>
  </si>
  <si>
    <t>ae2917d3</t>
  </si>
  <si>
    <t>534dc180</t>
  </si>
  <si>
    <t>8277d023</t>
  </si>
  <si>
    <t>f73603ca</t>
  </si>
  <si>
    <t>be62dc9b</t>
  </si>
  <si>
    <t>14e5167f</t>
  </si>
  <si>
    <t>5d16cb77</t>
  </si>
  <si>
    <t>de5e4a73</t>
  </si>
  <si>
    <t>693429af</t>
  </si>
  <si>
    <t>5ca67bca</t>
  </si>
  <si>
    <t>Top/Bottom Water</t>
  </si>
  <si>
    <t>48d70148</t>
  </si>
  <si>
    <t>b617c8ed</t>
  </si>
  <si>
    <t>1e586a14</t>
  </si>
  <si>
    <t>e456d3e0</t>
  </si>
  <si>
    <t>326cc6f1</t>
  </si>
  <si>
    <t>e0a3f97c</t>
  </si>
  <si>
    <t>dab5782a</t>
  </si>
  <si>
    <t>a0c7bdd7</t>
  </si>
  <si>
    <t>12b01283</t>
  </si>
  <si>
    <t>c80ffa6b</t>
  </si>
  <si>
    <t>fc983e03</t>
  </si>
  <si>
    <t>3783dff0</t>
  </si>
  <si>
    <t>8”</t>
  </si>
  <si>
    <t>6bf97384</t>
  </si>
  <si>
    <t>aa1fcb07</t>
  </si>
  <si>
    <t>c63cb8b3</t>
  </si>
  <si>
    <t>af4b7e7c</t>
  </si>
  <si>
    <t>039a870c</t>
  </si>
  <si>
    <t>5d58f43d</t>
  </si>
  <si>
    <t>10537264</t>
  </si>
  <si>
    <t>2efb7fd1</t>
  </si>
  <si>
    <t>40d31b08</t>
  </si>
  <si>
    <t>BWH-PH-CS-1A</t>
  </si>
  <si>
    <t>3127552d</t>
  </si>
  <si>
    <t>f33f906c</t>
  </si>
  <si>
    <t>b7907e49</t>
  </si>
  <si>
    <t>31d036be</t>
  </si>
  <si>
    <t>8b3c1510</t>
  </si>
  <si>
    <t>373a920d</t>
  </si>
  <si>
    <t>NPK</t>
  </si>
  <si>
    <t>MinDays</t>
  </si>
  <si>
    <t>MaxDays</t>
  </si>
  <si>
    <t>Size</t>
  </si>
  <si>
    <t>Style</t>
  </si>
  <si>
    <t>Pur #</t>
  </si>
  <si>
    <t>Code / SKU</t>
  </si>
  <si>
    <t>Tot Cost</t>
  </si>
  <si>
    <t>Pmt Method</t>
  </si>
  <si>
    <t>Associated Product / Notes</t>
  </si>
  <si>
    <t>Ebaokuup</t>
  </si>
  <si>
    <t>Pot</t>
  </si>
  <si>
    <t>Domes</t>
  </si>
  <si>
    <t>Divine Dev</t>
  </si>
  <si>
    <t>Anyumocz</t>
  </si>
  <si>
    <t>Multi</t>
  </si>
  <si>
    <t>Credit</t>
  </si>
  <si>
    <t>Yaomiao</t>
  </si>
  <si>
    <t>Hyuetrsa</t>
  </si>
  <si>
    <t>Zople</t>
  </si>
  <si>
    <t>W/Lines</t>
  </si>
  <si>
    <t>Elsjoy</t>
  </si>
  <si>
    <t>Ceramic Multi</t>
  </si>
  <si>
    <t>Gardife</t>
  </si>
  <si>
    <t>Wousiver</t>
  </si>
  <si>
    <t>Tergy</t>
  </si>
  <si>
    <t>Loyim</t>
  </si>
  <si>
    <t>Ceramic Deco</t>
  </si>
  <si>
    <t>Potchen Store</t>
  </si>
  <si>
    <t>Omaykey</t>
  </si>
  <si>
    <t>Ceramic Retro</t>
  </si>
  <si>
    <t>Tosnail</t>
  </si>
  <si>
    <t>Mumufy</t>
  </si>
  <si>
    <t>Eccliy</t>
  </si>
  <si>
    <t>Self-Watering</t>
  </si>
  <si>
    <t>Mekueeex</t>
  </si>
  <si>
    <t>114-9578914-5409055</t>
  </si>
  <si>
    <t>Pcsxnbmyy</t>
  </si>
  <si>
    <t>Maccnny</t>
  </si>
  <si>
    <t>Planter</t>
  </si>
  <si>
    <t>ME</t>
  </si>
  <si>
    <t>Elephant</t>
  </si>
  <si>
    <t>LG</t>
  </si>
  <si>
    <t>Siren Shell</t>
  </si>
  <si>
    <t>SM</t>
  </si>
  <si>
    <t>Snail</t>
  </si>
  <si>
    <t>Turtle</t>
  </si>
  <si>
    <t>Sticker</t>
  </si>
  <si>
    <t>Get in Loser, We're Going Plant Shopping</t>
  </si>
  <si>
    <t>Life is Short, Buy More Plants</t>
  </si>
  <si>
    <t>Plant Lover</t>
  </si>
  <si>
    <t>Just One More Plant</t>
  </si>
  <si>
    <t>Monstera Deliciosa Plant</t>
  </si>
  <si>
    <t>Easily Distracted By Plants</t>
  </si>
  <si>
    <t>Pink Princess Plant</t>
  </si>
  <si>
    <t>Anthurium Crystallinum Plant</t>
  </si>
  <si>
    <t>Monstera Albo Plant</t>
  </si>
  <si>
    <t>Earring</t>
  </si>
  <si>
    <t>Star Stud</t>
  </si>
  <si>
    <t>Monstera Drops</t>
  </si>
  <si>
    <t>Saguaro Cactus</t>
  </si>
  <si>
    <t>Necklace</t>
  </si>
  <si>
    <t>Monstera Leaf</t>
  </si>
  <si>
    <t>Plants</t>
  </si>
  <si>
    <t>Never Enough Plants</t>
  </si>
  <si>
    <t>Tote Bag</t>
  </si>
  <si>
    <t>Plant Addict</t>
  </si>
  <si>
    <t>Don't Hate, Propogate</t>
  </si>
  <si>
    <t>AdornJoy</t>
  </si>
  <si>
    <t>Plant Leaf</t>
  </si>
  <si>
    <t>RooTrimmer</t>
  </si>
  <si>
    <t>Standard</t>
  </si>
  <si>
    <t>0</t>
  </si>
  <si>
    <t>Nursery</t>
  </si>
  <si>
    <t>Plug</t>
  </si>
  <si>
    <t>Hanging</t>
  </si>
  <si>
    <t>Starter</t>
  </si>
  <si>
    <t>Festival Land</t>
  </si>
  <si>
    <t>Debit</t>
  </si>
  <si>
    <t>Yue Yue</t>
  </si>
  <si>
    <t>Angel Sticker</t>
  </si>
  <si>
    <t>ZXIRNA</t>
  </si>
  <si>
    <t>ZWXOEBXL</t>
  </si>
  <si>
    <t>Fireball Shop</t>
  </si>
  <si>
    <t>ANISHE</t>
  </si>
  <si>
    <t>Decal</t>
  </si>
  <si>
    <t>Crafted Magic</t>
  </si>
  <si>
    <t>Crochet Kit</t>
  </si>
  <si>
    <t>Yoomi Crochet Shop</t>
  </si>
  <si>
    <t>Uniheat</t>
  </si>
  <si>
    <t>Packing/Shipping</t>
  </si>
  <si>
    <t>Heat Pack</t>
  </si>
  <si>
    <t>Muchuang</t>
  </si>
  <si>
    <t>Playful Sticker</t>
  </si>
  <si>
    <t>Aroid Climber Mix</t>
  </si>
  <si>
    <t>Carnivorous</t>
  </si>
  <si>
    <t>Fine Root Mix</t>
  </si>
  <si>
    <t>Something Different Wholesale</t>
  </si>
  <si>
    <t>Lucky Toadstool</t>
  </si>
  <si>
    <t>Luna Moth</t>
  </si>
  <si>
    <t>Queen Bee</t>
  </si>
  <si>
    <t>Lucky Frog</t>
  </si>
  <si>
    <t>Robin</t>
  </si>
  <si>
    <t>Plant Mister</t>
  </si>
  <si>
    <t>Dark Forest</t>
  </si>
  <si>
    <t>Water Sensor</t>
  </si>
  <si>
    <t>Willy the Worm</t>
  </si>
  <si>
    <t>Naked Root</t>
  </si>
  <si>
    <t>Breathable Planter</t>
  </si>
  <si>
    <t>Seed Starter</t>
  </si>
  <si>
    <t>SuperMoss</t>
  </si>
  <si>
    <t>Plant Support</t>
  </si>
  <si>
    <t>12"</t>
  </si>
  <si>
    <t>Moss Stakes</t>
  </si>
  <si>
    <t>Grange Co-op</t>
  </si>
  <si>
    <t>16"</t>
  </si>
  <si>
    <t>Moss Pole</t>
  </si>
  <si>
    <t>2</t>
  </si>
  <si>
    <t>Transparent Breathable Planter</t>
  </si>
  <si>
    <t>Shop pay on payments</t>
  </si>
  <si>
    <t>Peppercorn Breathable Planter</t>
  </si>
  <si>
    <t>Starry Night Breathable Planter</t>
  </si>
  <si>
    <t>Propogation Bin</t>
  </si>
  <si>
    <t>Dollar Tree</t>
  </si>
  <si>
    <t>9005</t>
  </si>
  <si>
    <t>5.00</t>
  </si>
  <si>
    <t>PRODUCT Intake Coding_Images/db8eaba0.Photo.021021.jpg</t>
  </si>
  <si>
    <t>115d1f11</t>
  </si>
  <si>
    <t>PRODUCT Intake Coding_Images/115d1f11.Photo.021050.jpg</t>
  </si>
  <si>
    <t>10</t>
  </si>
  <si>
    <t>PRODUCT Intake Coding_Images/f85e0c96.Photo.021117.jpg</t>
  </si>
  <si>
    <t>4</t>
  </si>
  <si>
    <t>3</t>
  </si>
  <si>
    <t>5</t>
  </si>
  <si>
    <t>True Living</t>
  </si>
  <si>
    <t>TRAPPERSCHOICE</t>
  </si>
  <si>
    <t>Soil Bags</t>
  </si>
  <si>
    <t>Mylar Soil Bags</t>
  </si>
  <si>
    <t>Customer</t>
  </si>
  <si>
    <t>Customer Owned Pot</t>
  </si>
  <si>
    <t>6</t>
  </si>
  <si>
    <t>PRODUCT Intake Coding_Images/1a3e967f.Photo.202532.jpg</t>
  </si>
  <si>
    <t>Succulent</t>
  </si>
  <si>
    <t>Reuse</t>
  </si>
  <si>
    <t>Black Nursery</t>
  </si>
  <si>
    <t>1273</t>
  </si>
  <si>
    <t>24"</t>
  </si>
  <si>
    <t>Bamboo</t>
  </si>
  <si>
    <t>18"</t>
  </si>
  <si>
    <t>7</t>
  </si>
  <si>
    <t>Vegetable Mix</t>
  </si>
  <si>
    <t>PRODUCT Intake Coding_Images/250f13d0.Photo.221612.jpg</t>
  </si>
  <si>
    <t>Bare Root</t>
  </si>
  <si>
    <t>vendor</t>
  </si>
  <si>
    <t>Description / Style (name)</t>
  </si>
  <si>
    <t>Pot Color</t>
  </si>
  <si>
    <t>AS</t>
  </si>
  <si>
    <t>EA</t>
  </si>
  <si>
    <t>CD</t>
  </si>
  <si>
    <t>CM</t>
  </si>
  <si>
    <t>ARC</t>
  </si>
  <si>
    <t>DV</t>
  </si>
  <si>
    <t>4.3</t>
  </si>
  <si>
    <t>EB</t>
  </si>
  <si>
    <t>5.5</t>
  </si>
  <si>
    <t>ED</t>
  </si>
  <si>
    <t>Gift Bag</t>
  </si>
  <si>
    <t>GB</t>
  </si>
  <si>
    <t>GA</t>
  </si>
  <si>
    <t>TB</t>
  </si>
  <si>
    <t>3.7</t>
  </si>
  <si>
    <t>KC</t>
  </si>
  <si>
    <t>JC</t>
  </si>
  <si>
    <t>PLUG</t>
  </si>
  <si>
    <t>MD</t>
  </si>
  <si>
    <t>Multicolor</t>
  </si>
  <si>
    <t>MU</t>
  </si>
  <si>
    <t>TPM</t>
  </si>
  <si>
    <t>4A</t>
  </si>
  <si>
    <t>WO</t>
  </si>
  <si>
    <t>SN</t>
  </si>
  <si>
    <t>5A</t>
  </si>
  <si>
    <t>YA</t>
  </si>
  <si>
    <t>TU</t>
  </si>
  <si>
    <t>ZO</t>
  </si>
  <si>
    <t>WL</t>
  </si>
  <si>
    <t>WH</t>
  </si>
  <si>
    <t>NU</t>
  </si>
  <si>
    <t>SW</t>
  </si>
  <si>
    <t>Tall</t>
  </si>
  <si>
    <t>ZE</t>
  </si>
  <si>
    <t>Geelin</t>
  </si>
  <si>
    <t>GEE</t>
  </si>
  <si>
    <t>Addicted to Plants</t>
  </si>
  <si>
    <t>AP</t>
  </si>
  <si>
    <t>DH</t>
  </si>
  <si>
    <t>LIS</t>
  </si>
  <si>
    <t>PPP</t>
  </si>
  <si>
    <t>ACP</t>
  </si>
  <si>
    <t>MAP</t>
  </si>
  <si>
    <t>ML</t>
  </si>
  <si>
    <t>NEP</t>
  </si>
  <si>
    <t>PLE</t>
  </si>
  <si>
    <t>STA</t>
  </si>
  <si>
    <t>Water Prop</t>
  </si>
  <si>
    <t>No Pot</t>
  </si>
  <si>
    <t>NP</t>
  </si>
  <si>
    <t>HPA</t>
  </si>
  <si>
    <t>PLA</t>
  </si>
  <si>
    <t>EN</t>
  </si>
  <si>
    <t>Act. Sale Price</t>
  </si>
  <si>
    <t>2E7147</t>
  </si>
  <si>
    <t>Pot White</t>
  </si>
  <si>
    <t>DB7B10</t>
  </si>
  <si>
    <t>Pot Multi</t>
  </si>
  <si>
    <t>FF8D38</t>
  </si>
  <si>
    <t>Pot Clear</t>
  </si>
  <si>
    <t>2B13B1</t>
  </si>
  <si>
    <t>Pot Domes</t>
  </si>
  <si>
    <t>DF9C79</t>
  </si>
  <si>
    <t>Pot W/Lines</t>
  </si>
  <si>
    <t>A067DF</t>
  </si>
  <si>
    <t>Pot Ceramic Multi</t>
  </si>
  <si>
    <t>79D8F3</t>
  </si>
  <si>
    <t>8C029D</t>
  </si>
  <si>
    <t>F8A14B</t>
  </si>
  <si>
    <t>EC5055</t>
  </si>
  <si>
    <t>Pot Ceramic Deco</t>
  </si>
  <si>
    <t>AC2210</t>
  </si>
  <si>
    <t>5682EC</t>
  </si>
  <si>
    <t>86309D</t>
  </si>
  <si>
    <t>D98FFD</t>
  </si>
  <si>
    <t>885E26</t>
  </si>
  <si>
    <t>Pot Ceramic Retro</t>
  </si>
  <si>
    <t>841D5F</t>
  </si>
  <si>
    <t>2CADBF</t>
  </si>
  <si>
    <t>ACCE56</t>
  </si>
  <si>
    <t>A6C058</t>
  </si>
  <si>
    <t>B6A61C</t>
  </si>
  <si>
    <t>Pot Black</t>
  </si>
  <si>
    <t>B6F5F1</t>
  </si>
  <si>
    <t>DF5A9B</t>
  </si>
  <si>
    <t>4B3397</t>
  </si>
  <si>
    <t>Pot Self-Watering</t>
  </si>
  <si>
    <t>EDBC84</t>
  </si>
  <si>
    <t>B5F1DE</t>
  </si>
  <si>
    <t>F10821</t>
  </si>
  <si>
    <t>442FE7</t>
  </si>
  <si>
    <t>F14490</t>
  </si>
  <si>
    <t>1A2334</t>
  </si>
  <si>
    <t>9B0D3A</t>
  </si>
  <si>
    <t>Planter Elephant</t>
  </si>
  <si>
    <t>AD3CC4</t>
  </si>
  <si>
    <t>Planter Siren Shell</t>
  </si>
  <si>
    <t>E07BC0</t>
  </si>
  <si>
    <t>Planter Snail</t>
  </si>
  <si>
    <t>E4A04D</t>
  </si>
  <si>
    <t>Planter Turtle</t>
  </si>
  <si>
    <t>EBA6AD</t>
  </si>
  <si>
    <t>Sticker Get in Loser, We're Going Plant Shopping</t>
  </si>
  <si>
    <t>D7B287</t>
  </si>
  <si>
    <t>Sticker Life is Short, Buy More Plants</t>
  </si>
  <si>
    <t>E78BA0</t>
  </si>
  <si>
    <t>Sticker Plant Lover</t>
  </si>
  <si>
    <t>892FD9</t>
  </si>
  <si>
    <t>Sticker Just One More Plant</t>
  </si>
  <si>
    <t>4881C6</t>
  </si>
  <si>
    <t>Sticker Monstera Deliciosa Plant</t>
  </si>
  <si>
    <t>9C8CE5</t>
  </si>
  <si>
    <t>Sticker Easily Distracted By Plants</t>
  </si>
  <si>
    <t>B7BBD6</t>
  </si>
  <si>
    <t>Sticker Pink Princess Plant</t>
  </si>
  <si>
    <t>5F76AF</t>
  </si>
  <si>
    <t>Sticker Anthurium Crystallinum Plant</t>
  </si>
  <si>
    <t>542EE5</t>
  </si>
  <si>
    <t>Sticker Monstera Albo Plant</t>
  </si>
  <si>
    <t>22607E</t>
  </si>
  <si>
    <t>Earring Star Stud</t>
  </si>
  <si>
    <t>00A5C1</t>
  </si>
  <si>
    <t>Earring Monstera Drops</t>
  </si>
  <si>
    <t>8D6997</t>
  </si>
  <si>
    <t>Earring Saguaro Cactus</t>
  </si>
  <si>
    <t>391EAD</t>
  </si>
  <si>
    <t>Necklace Saguaro Cactus</t>
  </si>
  <si>
    <t>B2C577</t>
  </si>
  <si>
    <t>Necklace Monstera Leaf</t>
  </si>
  <si>
    <t>D30BAD</t>
  </si>
  <si>
    <t>297535</t>
  </si>
  <si>
    <t>Sticker Plants</t>
  </si>
  <si>
    <t>EAEBBA</t>
  </si>
  <si>
    <t>Key Chain Never Enough Plants</t>
  </si>
  <si>
    <t>92C926</t>
  </si>
  <si>
    <t>Tote Bag Plant Addict</t>
  </si>
  <si>
    <t>883590</t>
  </si>
  <si>
    <t>Tote Bag Don't Hate, Propogate</t>
  </si>
  <si>
    <t>EF0DF9</t>
  </si>
  <si>
    <t>Key Chain Plant Leaf</t>
  </si>
  <si>
    <t>84F2EA</t>
  </si>
  <si>
    <t>F238D1</t>
  </si>
  <si>
    <t>Pot Cutting</t>
  </si>
  <si>
    <t>Pot Nursery</t>
  </si>
  <si>
    <t>Pot Plug</t>
  </si>
  <si>
    <t>Pot Hanging</t>
  </si>
  <si>
    <t>Pot Starter</t>
  </si>
  <si>
    <t>Earring Plant</t>
  </si>
  <si>
    <t>032F45</t>
  </si>
  <si>
    <t>Earring Plants</t>
  </si>
  <si>
    <t>BAA182</t>
  </si>
  <si>
    <t>3F0585</t>
  </si>
  <si>
    <t>39FA9E</t>
  </si>
  <si>
    <t>Sticker Plant</t>
  </si>
  <si>
    <t>91B7E5</t>
  </si>
  <si>
    <t>Key Chain Plant</t>
  </si>
  <si>
    <t>7C715C</t>
  </si>
  <si>
    <t>Decal Plant</t>
  </si>
  <si>
    <t>E16C7A</t>
  </si>
  <si>
    <t>Crochet Kit Plants</t>
  </si>
  <si>
    <t>09B8D4</t>
  </si>
  <si>
    <t>Crochet Kit Plant</t>
  </si>
  <si>
    <t>A3310F</t>
  </si>
  <si>
    <t>Packing/Shipping Heat Pack</t>
  </si>
  <si>
    <t>14C876</t>
  </si>
  <si>
    <t>FF090C</t>
  </si>
  <si>
    <t>5E140A</t>
  </si>
  <si>
    <t>5678A8</t>
  </si>
  <si>
    <t>Soil Hoya</t>
  </si>
  <si>
    <t>576F19</t>
  </si>
  <si>
    <t>Soil Aroid Climber Mix</t>
  </si>
  <si>
    <t>EECD74</t>
  </si>
  <si>
    <t>Soil Alocasia</t>
  </si>
  <si>
    <t>7E2CCC</t>
  </si>
  <si>
    <t>Soil Carnivorous</t>
  </si>
  <si>
    <t>8B9504</t>
  </si>
  <si>
    <t>Soil Fine Root Mix</t>
  </si>
  <si>
    <t>19DE78</t>
  </si>
  <si>
    <t>Key Chain Butterfly</t>
  </si>
  <si>
    <t>61A058</t>
  </si>
  <si>
    <t>Key Chain Lucky Toadstool</t>
  </si>
  <si>
    <t>05EB3B</t>
  </si>
  <si>
    <t>Key Chain Luna Moth</t>
  </si>
  <si>
    <t>8C4A50</t>
  </si>
  <si>
    <t>Key Chain Queen Bee</t>
  </si>
  <si>
    <t>6897C8</t>
  </si>
  <si>
    <t>Key Chain Lucky Frog</t>
  </si>
  <si>
    <t>32CDE9</t>
  </si>
  <si>
    <t>Key Chain Robin</t>
  </si>
  <si>
    <t>636BFE</t>
  </si>
  <si>
    <t>Plant Mister Glass</t>
  </si>
  <si>
    <t>77A188</t>
  </si>
  <si>
    <t>Pot Dark Forest</t>
  </si>
  <si>
    <t>69D1C7</t>
  </si>
  <si>
    <t>Water Sensor Willy the Worm</t>
  </si>
  <si>
    <t>29BB41</t>
  </si>
  <si>
    <t>Pot Breathable Planter</t>
  </si>
  <si>
    <t>53Z8DL</t>
  </si>
  <si>
    <t>FB5E74</t>
  </si>
  <si>
    <t>23D13A</t>
  </si>
  <si>
    <t>Soil Seed Starter</t>
  </si>
  <si>
    <t>655335</t>
  </si>
  <si>
    <t>Plant Support Moss Stakes</t>
  </si>
  <si>
    <t>AWF9EN</t>
  </si>
  <si>
    <t>Plant Support Moss Pole</t>
  </si>
  <si>
    <t>TB1LED</t>
  </si>
  <si>
    <t>Pot Transparent Breathable Planter</t>
  </si>
  <si>
    <t>8RU825</t>
  </si>
  <si>
    <t>HBIGZS</t>
  </si>
  <si>
    <t>HMVDDR</t>
  </si>
  <si>
    <t>Pot Peppercorn Breathable Planter</t>
  </si>
  <si>
    <t>9XCBY0</t>
  </si>
  <si>
    <t>J6XRBJ</t>
  </si>
  <si>
    <t>ID320U</t>
  </si>
  <si>
    <t>Pot Glass</t>
  </si>
  <si>
    <t>GR0CI3</t>
  </si>
  <si>
    <t>Pot Starry Night Breathable Planter</t>
  </si>
  <si>
    <t>18M7KD</t>
  </si>
  <si>
    <t>QBJWWE</t>
  </si>
  <si>
    <t>Pot Propogation Bin</t>
  </si>
  <si>
    <t>B7HD5I</t>
  </si>
  <si>
    <t>966CJJ</t>
  </si>
  <si>
    <t>UK13GW</t>
  </si>
  <si>
    <t>N4QT3M</t>
  </si>
  <si>
    <t>SDGZGD</t>
  </si>
  <si>
    <t>JI5SP0</t>
  </si>
  <si>
    <t>ZXNIYG</t>
  </si>
  <si>
    <t>1E3030</t>
  </si>
  <si>
    <t>LN1P2J</t>
  </si>
  <si>
    <t>KYMMBE</t>
  </si>
  <si>
    <t>97MBY8</t>
  </si>
  <si>
    <t>Soil Bags Mylar Soil Bags</t>
  </si>
  <si>
    <t>GDG86W</t>
  </si>
  <si>
    <t>VM9EDV</t>
  </si>
  <si>
    <t>Pot Customer Owned Pot</t>
  </si>
  <si>
    <t>GVIZZR</t>
  </si>
  <si>
    <t>Soil Succulent</t>
  </si>
  <si>
    <t>X88BD4</t>
  </si>
  <si>
    <t>Soil Reuse</t>
  </si>
  <si>
    <t>CRTLU3</t>
  </si>
  <si>
    <t>Pot Black Nursery</t>
  </si>
  <si>
    <t>S96V45</t>
  </si>
  <si>
    <t>Plant Support Bamboo</t>
  </si>
  <si>
    <t>G7241C</t>
  </si>
  <si>
    <t>F35HEL</t>
  </si>
  <si>
    <t>MS3268</t>
  </si>
  <si>
    <t>60D9PJ</t>
  </si>
  <si>
    <t>B6XG48</t>
  </si>
  <si>
    <t>5W68HV</t>
  </si>
  <si>
    <t>Soil Vegetable Mix</t>
  </si>
  <si>
    <t>5ZVDY0</t>
  </si>
  <si>
    <t>Pot Bare Root</t>
  </si>
  <si>
    <t>Target</t>
  </si>
  <si>
    <t>Act Ing</t>
  </si>
  <si>
    <t>EPA #</t>
  </si>
  <si>
    <t>Pot Sz</t>
  </si>
  <si>
    <t>Init.</t>
  </si>
  <si>
    <t xml:space="preserve">Next Earliest </t>
  </si>
  <si>
    <t>Mealybugs</t>
  </si>
  <si>
    <t>Bonide Systemic</t>
  </si>
  <si>
    <t>Imidacloprid 0.22%</t>
  </si>
  <si>
    <t>53883-217-4</t>
  </si>
  <si>
    <t>2.5 tsp</t>
  </si>
  <si>
    <t>Mixed In</t>
  </si>
  <si>
    <t>C48D02</t>
  </si>
  <si>
    <t>A3F87B</t>
  </si>
  <si>
    <t>E75B54</t>
  </si>
  <si>
    <t>AA06BB</t>
  </si>
  <si>
    <t>Fungus Gnats</t>
  </si>
  <si>
    <t>2.5 tbsp</t>
  </si>
  <si>
    <t>Top Dress</t>
  </si>
  <si>
    <t>488A8D</t>
  </si>
  <si>
    <t>Preventative</t>
  </si>
  <si>
    <t>F5F942</t>
  </si>
  <si>
    <t>F246C6</t>
  </si>
  <si>
    <t>Gnfbetb</t>
  </si>
  <si>
    <t>Fhdhhj</t>
  </si>
  <si>
    <t>Gbugcyrx</t>
  </si>
  <si>
    <t>Yfcyftgu</t>
  </si>
  <si>
    <t>Ubytc</t>
  </si>
  <si>
    <t>Yfcgv</t>
  </si>
  <si>
    <t>Ygchhh</t>
  </si>
  <si>
    <t>Chfcht</t>
  </si>
  <si>
    <t>2 tsp</t>
  </si>
  <si>
    <t>Hfichtc</t>
  </si>
  <si>
    <t>Yrdyffjy</t>
  </si>
  <si>
    <t>Ugvtfug</t>
  </si>
  <si>
    <t>Dhyjj</t>
  </si>
  <si>
    <t>Darciy</t>
  </si>
  <si>
    <t>Yg</t>
  </si>
  <si>
    <t>Hgcutfu</t>
  </si>
  <si>
    <t>Dung</t>
  </si>
  <si>
    <t>KT</t>
  </si>
  <si>
    <t>Jh</t>
  </si>
  <si>
    <t>Gyug</t>
  </si>
  <si>
    <t>Tvvuy</t>
  </si>
  <si>
    <t>Hfcyfc</t>
  </si>
  <si>
    <t>HS-BE-AW-1J</t>
  </si>
  <si>
    <t>Tcgvu</t>
  </si>
  <si>
    <t>Hfcut</t>
  </si>
  <si>
    <t>Hgcutf</t>
  </si>
  <si>
    <t>Hfcugv</t>
  </si>
  <si>
    <t>Hgvuhbk</t>
  </si>
  <si>
    <t>Ygyni</t>
  </si>
  <si>
    <t>Hgvuvg</t>
  </si>
  <si>
    <t>Ugv</t>
  </si>
  <si>
    <t>Byrd</t>
  </si>
  <si>
    <t>Buyfu</t>
  </si>
  <si>
    <t>Fhn</t>
  </si>
  <si>
    <t>$ugvgu</t>
  </si>
  <si>
    <t>Gubd</t>
  </si>
  <si>
    <t>Hgc</t>
  </si>
  <si>
    <t>Igugi</t>
  </si>
  <si>
    <t>Hgvuhb</t>
  </si>
  <si>
    <t>Mosquito Bits</t>
  </si>
  <si>
    <t>Bacillus thuringiensis subspecies israelensis (Bti)</t>
  </si>
  <si>
    <t>6218-86</t>
  </si>
  <si>
    <t>4 tbsp/gal</t>
  </si>
  <si>
    <t>Soil Drench</t>
  </si>
  <si>
    <t>Hgcfut</t>
  </si>
  <si>
    <t>Hgv</t>
  </si>
  <si>
    <t>Higchg</t>
  </si>
  <si>
    <t>Ygc</t>
  </si>
  <si>
    <t>AGP-AL-NI-1A-4</t>
  </si>
  <si>
    <t>Jgv</t>
  </si>
  <si>
    <t>AGP-AL-NI-1A-5</t>
  </si>
  <si>
    <t>Hbun</t>
  </si>
  <si>
    <t>Jhbubh</t>
  </si>
  <si>
    <t>Jhbuyb</t>
  </si>
  <si>
    <t>1.5 tsp</t>
  </si>
  <si>
    <t>Jhbutv</t>
  </si>
  <si>
    <t>Khgciygc</t>
  </si>
  <si>
    <t>(Dguo</t>
  </si>
  <si>
    <t>Jgvgu</t>
  </si>
  <si>
    <t>Jnihi</t>
  </si>
  <si>
    <t>Jgu</t>
  </si>
  <si>
    <t>Dfb</t>
  </si>
  <si>
    <t>.5 tsp</t>
  </si>
  <si>
    <t>Nggfnvhm</t>
  </si>
  <si>
    <t>Ghfyhtdhsth</t>
  </si>
  <si>
    <t>Tdhdtnxth</t>
  </si>
  <si>
    <t>Hgcutvjg</t>
  </si>
  <si>
    <t>Trc</t>
  </si>
  <si>
    <t>Ungm</t>
  </si>
  <si>
    <t>Ihbiun</t>
  </si>
  <si>
    <t>Joni</t>
  </si>
  <si>
    <t>HS-BE-AW-1H</t>
  </si>
  <si>
    <t>Oknoj</t>
  </si>
  <si>
    <t>Ijbiy</t>
  </si>
  <si>
    <t>Ihbut</t>
  </si>
  <si>
    <t>Jgbiyby</t>
  </si>
  <si>
    <t>Oung</t>
  </si>
  <si>
    <t>OLN-PH-SN-1A</t>
  </si>
  <si>
    <t>Ougt</t>
  </si>
  <si>
    <t>Utcg</t>
  </si>
  <si>
    <t>Egvy</t>
  </si>
  <si>
    <t>Htvuh</t>
  </si>
  <si>
    <t>Utvtjk</t>
  </si>
  <si>
    <t>Yrcytj</t>
  </si>
  <si>
    <t>Ytcgu</t>
  </si>
  <si>
    <t>Ugg</t>
  </si>
  <si>
    <t>Tftu</t>
  </si>
  <si>
    <t>Tyvuh jo</t>
  </si>
  <si>
    <t>=hi</t>
  </si>
  <si>
    <t>Tvynjj</t>
  </si>
  <si>
    <t>TGOPS-PH-WW-1A-2A</t>
  </si>
  <si>
    <t>Tufting kh</t>
  </si>
  <si>
    <t>Utvih</t>
  </si>
  <si>
    <t>Utv</t>
  </si>
  <si>
    <t>Hhj</t>
  </si>
  <si>
    <t>Gdybjgbj</t>
  </si>
  <si>
    <t>HTC</t>
  </si>
  <si>
    <t>Utvhi</t>
  </si>
  <si>
    <t>Ontyf</t>
  </si>
  <si>
    <t>Rc7t)</t>
  </si>
  <si>
    <t>HD-AL-LO-1A-2A</t>
  </si>
  <si>
    <t>T jh</t>
  </si>
  <si>
    <t>Htvjh</t>
  </si>
  <si>
    <t>BTv</t>
  </si>
  <si>
    <t>Utvik,</t>
  </si>
  <si>
    <t>FMY-MA-DE-1A-5A</t>
  </si>
  <si>
    <t>Htvut</t>
  </si>
  <si>
    <t>Dgyh</t>
  </si>
  <si>
    <t>Utviy</t>
  </si>
  <si>
    <t>Tucker i</t>
  </si>
  <si>
    <t>Utvi</t>
  </si>
  <si>
    <t>Htvhj</t>
  </si>
  <si>
    <t>FMY-CA-BS-1E</t>
  </si>
  <si>
    <t>TRCH</t>
  </si>
  <si>
    <t>Give,</t>
  </si>
  <si>
    <t>Jgvkk</t>
  </si>
  <si>
    <t>TGOPS-PH-WW-1A-3A</t>
  </si>
  <si>
    <t>Yvok</t>
  </si>
  <si>
    <t>Yggh</t>
  </si>
  <si>
    <t>FMY-CA-BS-1D</t>
  </si>
  <si>
    <t>Ytvuh</t>
  </si>
  <si>
    <t>FMY-CA-BS-1B</t>
  </si>
  <si>
    <t>Uikfrkk</t>
  </si>
  <si>
    <t>Uyvjmm</t>
  </si>
  <si>
    <t>Fhjk</t>
  </si>
  <si>
    <t>Gov</t>
  </si>
  <si>
    <t>Dgjjv</t>
  </si>
  <si>
    <t>Kkvfgh</t>
  </si>
  <si>
    <t>Gvutvkh hk</t>
  </si>
  <si>
    <t>Thckku</t>
  </si>
  <si>
    <t>Tvjhbkh</t>
  </si>
  <si>
    <t>Yfcvhgjh</t>
  </si>
  <si>
    <t>Gvuybiun</t>
  </si>
  <si>
    <t>Utvihk</t>
  </si>
  <si>
    <t>Drug in</t>
  </si>
  <si>
    <t>FMY-CA-BS-1F</t>
  </si>
  <si>
    <t>Iybijk</t>
  </si>
  <si>
    <t>Ugv8</t>
  </si>
  <si>
    <t>Hjtbk</t>
  </si>
  <si>
    <t>Vgjhk</t>
  </si>
  <si>
    <t>Ftjh k</t>
  </si>
  <si>
    <t>Tvjhbuk</t>
  </si>
  <si>
    <t>Tufyibkh</t>
  </si>
  <si>
    <t>Gvyubkj</t>
  </si>
  <si>
    <t>HS-PHH-HL-1G</t>
  </si>
  <si>
    <t>MnbJhvj</t>
  </si>
  <si>
    <t>Hvkhbbkh</t>
  </si>
  <si>
    <t>Faniv</t>
  </si>
  <si>
    <t>Cutjgj</t>
  </si>
  <si>
    <t>Cjkhm</t>
  </si>
  <si>
    <t>Fv</t>
  </si>
  <si>
    <t>Ch bm</t>
  </si>
  <si>
    <t>Vhjdh</t>
  </si>
  <si>
    <t>Fhbdk</t>
  </si>
  <si>
    <t>Dhmof</t>
  </si>
  <si>
    <t>861dab4e</t>
  </si>
  <si>
    <t>2c31ba99</t>
  </si>
  <si>
    <t>dd58ca56</t>
  </si>
  <si>
    <t>TLC-BE-MA-1A</t>
  </si>
  <si>
    <t>f8d810b0</t>
  </si>
  <si>
    <t>034affda</t>
  </si>
  <si>
    <t>1058ab75</t>
  </si>
  <si>
    <t>2a3616c8</t>
  </si>
  <si>
    <t>AGP-PH-CR-1A-2</t>
  </si>
  <si>
    <t>ER</t>
  </si>
  <si>
    <t>8e2be5e2</t>
  </si>
  <si>
    <t>AGP-PH-CR-1A</t>
  </si>
  <si>
    <t>f5235629</t>
  </si>
  <si>
    <t>65346d34</t>
  </si>
  <si>
    <t>75fa7a50</t>
  </si>
  <si>
    <t>fad50f6d</t>
  </si>
  <si>
    <t>365f8f5f</t>
  </si>
  <si>
    <t>8c82a2a5</t>
  </si>
  <si>
    <t>2b1de592</t>
  </si>
  <si>
    <t>35f6fc66</t>
  </si>
  <si>
    <t>0a336cac</t>
  </si>
  <si>
    <t>11db911a</t>
  </si>
  <si>
    <t>3054f00c</t>
  </si>
  <si>
    <t>e0d06190</t>
  </si>
  <si>
    <t>44351f7e</t>
  </si>
  <si>
    <t>19789d98</t>
  </si>
  <si>
    <t>a19a89d5</t>
  </si>
  <si>
    <t>8eca7713</t>
  </si>
  <si>
    <t>00f37826</t>
  </si>
  <si>
    <t>4cde538a</t>
  </si>
  <si>
    <t>61451e8d</t>
  </si>
  <si>
    <t>e6faf536</t>
  </si>
  <si>
    <t>2222c598</t>
  </si>
  <si>
    <t>f3d522e1</t>
  </si>
  <si>
    <t>4c1b6a7f</t>
  </si>
  <si>
    <t>140738ad</t>
  </si>
  <si>
    <t>97500b09</t>
  </si>
  <si>
    <t>e89b6ce9</t>
  </si>
  <si>
    <t>4afa8449</t>
  </si>
  <si>
    <t>1c155f29</t>
  </si>
  <si>
    <t>04fc6dd6</t>
  </si>
  <si>
    <t>eb777e11</t>
  </si>
  <si>
    <t>ee66f76d</t>
  </si>
  <si>
    <t>db5950f4</t>
  </si>
  <si>
    <t>be88abe4</t>
  </si>
  <si>
    <t>30782583</t>
  </si>
  <si>
    <t>f2fee6fa</t>
  </si>
  <si>
    <t>743d3f36</t>
  </si>
  <si>
    <t>6e456e4e</t>
  </si>
  <si>
    <t>559b9d20</t>
  </si>
  <si>
    <t>57b3cda4</t>
  </si>
  <si>
    <t>5ddafe9e</t>
  </si>
  <si>
    <t>6271f945</t>
  </si>
  <si>
    <t>706ae4c8</t>
  </si>
  <si>
    <t>5b1caf94</t>
  </si>
  <si>
    <t>4f7a59e6</t>
  </si>
  <si>
    <t>8bef9b27</t>
  </si>
  <si>
    <t>6b12831f</t>
  </si>
  <si>
    <t>1605ea7d</t>
  </si>
  <si>
    <t>ad27ed3f</t>
  </si>
  <si>
    <t>917b0b64</t>
  </si>
  <si>
    <t>89b79762</t>
  </si>
  <si>
    <t>724f590b</t>
  </si>
  <si>
    <t>e992aff5</t>
  </si>
  <si>
    <t>ca6d11a9</t>
  </si>
  <si>
    <t>f07b4b58</t>
  </si>
  <si>
    <t>76ff4f78</t>
  </si>
  <si>
    <t>4885d7bf</t>
  </si>
  <si>
    <t>3 tsp</t>
  </si>
  <si>
    <t>5”</t>
  </si>
  <si>
    <t>a9400f08</t>
  </si>
  <si>
    <t>a1550a61</t>
  </si>
  <si>
    <t>4f98504c</t>
  </si>
  <si>
    <t>4afc4eed</t>
  </si>
  <si>
    <t>83014f74</t>
  </si>
  <si>
    <t>68c7b5e5</t>
  </si>
  <si>
    <t>5ddb7bd8</t>
  </si>
  <si>
    <t>db0195b8</t>
  </si>
  <si>
    <t>22bf8719</t>
  </si>
  <si>
    <t>fe07f85c</t>
  </si>
  <si>
    <t>862fb09a</t>
  </si>
  <si>
    <t>a5992407</t>
  </si>
  <si>
    <t>fd5fae64</t>
  </si>
  <si>
    <t>IST-PO-MQ-2A</t>
  </si>
  <si>
    <t>f2b8d3c2</t>
  </si>
  <si>
    <t>530b9471</t>
  </si>
  <si>
    <t>41fea412</t>
  </si>
  <si>
    <t>7fa3ceb4</t>
  </si>
  <si>
    <t>8a52957d</t>
  </si>
  <si>
    <t>a0603af8</t>
  </si>
  <si>
    <t>6b7421aa</t>
  </si>
  <si>
    <t>a5844221</t>
  </si>
  <si>
    <t>0962468a</t>
  </si>
  <si>
    <t>db53e074</t>
  </si>
  <si>
    <t>393bb261</t>
  </si>
  <si>
    <t>dabac347</t>
  </si>
  <si>
    <t>423dbf39</t>
  </si>
  <si>
    <t>04aee717</t>
  </si>
  <si>
    <t>5f85670a</t>
  </si>
  <si>
    <t>9abbff1e</t>
  </si>
  <si>
    <t>3.5 tsp</t>
  </si>
  <si>
    <t>1c036814</t>
  </si>
  <si>
    <t>673c3c4c</t>
  </si>
  <si>
    <t>c87cb88d</t>
  </si>
  <si>
    <t>Slugs/Snails</t>
  </si>
  <si>
    <t>Sluggo Plus</t>
  </si>
  <si>
    <t>Iron Phosphate 1.00%, Spinosad 0.07%</t>
  </si>
  <si>
    <t>67702-56-54705</t>
  </si>
  <si>
    <t>6p</t>
  </si>
  <si>
    <t>713f9f4a</t>
  </si>
  <si>
    <t>36c848d9</t>
  </si>
  <si>
    <t>256b9678</t>
  </si>
  <si>
    <t>2caf24a5</t>
  </si>
  <si>
    <t>3339b9ba</t>
  </si>
  <si>
    <t>136241da</t>
  </si>
  <si>
    <t>79cf3e5a</t>
  </si>
  <si>
    <t>b59f9f5c</t>
  </si>
  <si>
    <t>0a5052de</t>
  </si>
  <si>
    <t>1fde98f2</t>
  </si>
  <si>
    <t>2a0c8c99</t>
  </si>
  <si>
    <t>f8190063</t>
  </si>
  <si>
    <t>4de4745f</t>
  </si>
  <si>
    <t>227a97b8</t>
  </si>
  <si>
    <t>634bd460</t>
  </si>
  <si>
    <t>d7d6db20</t>
  </si>
  <si>
    <t>b06e8d6b</t>
  </si>
  <si>
    <t>1.5 tbsp</t>
  </si>
  <si>
    <t>9c0453a9</t>
  </si>
  <si>
    <t>911a64f7</t>
  </si>
  <si>
    <t>50782d08</t>
  </si>
  <si>
    <t>126be036</t>
  </si>
  <si>
    <t>9018ff3a</t>
  </si>
  <si>
    <t>fd2351d1</t>
  </si>
  <si>
    <t>a78a4c80</t>
  </si>
  <si>
    <t>c49e890e</t>
  </si>
  <si>
    <t>47287f17</t>
  </si>
  <si>
    <t>5ead29bf</t>
  </si>
  <si>
    <t>d7246ec2</t>
  </si>
  <si>
    <t>c634cec6</t>
  </si>
  <si>
    <t>100de0c8</t>
  </si>
  <si>
    <t>25eb2e7d</t>
  </si>
  <si>
    <t>bd3deaad</t>
  </si>
  <si>
    <t>13a2a3a8</t>
  </si>
  <si>
    <t>d4708b6e</t>
  </si>
  <si>
    <t>67fd5adc</t>
  </si>
  <si>
    <t>f4cd5e34</t>
  </si>
  <si>
    <t>dda9416c</t>
  </si>
  <si>
    <t>767a897c</t>
  </si>
  <si>
    <t>4819c09d</t>
  </si>
  <si>
    <t>5706f446</t>
  </si>
  <si>
    <t>6da1a49d</t>
  </si>
  <si>
    <t>4efd95eb</t>
  </si>
  <si>
    <t>83bd7419</t>
  </si>
  <si>
    <t>d6b7e0c5</t>
  </si>
  <si>
    <t>378052c5</t>
  </si>
  <si>
    <t>caf711d2</t>
  </si>
  <si>
    <t>29de3233</t>
  </si>
  <si>
    <t>d7d6f114</t>
  </si>
  <si>
    <t>1d38a6b2</t>
  </si>
  <si>
    <t>fee83244</t>
  </si>
  <si>
    <t>cf212c3f</t>
  </si>
  <si>
    <t>3127c557</t>
  </si>
  <si>
    <t>323646fc</t>
  </si>
  <si>
    <t>a36266db</t>
  </si>
  <si>
    <t>66c20411</t>
  </si>
  <si>
    <t>4694e6e1</t>
  </si>
  <si>
    <t>c63c2113</t>
  </si>
  <si>
    <t>2daa0544</t>
  </si>
  <si>
    <t>0bde90eb</t>
  </si>
  <si>
    <t>31dba3b0</t>
  </si>
  <si>
    <t>3ccf0bf8</t>
  </si>
  <si>
    <t>2f8b189d</t>
  </si>
  <si>
    <t>1b0fec99</t>
  </si>
  <si>
    <t>1e6b1c7c</t>
  </si>
  <si>
    <t>ea388732</t>
  </si>
  <si>
    <t>851131a6</t>
  </si>
  <si>
    <t>ea5d0790</t>
  </si>
  <si>
    <t>4d33f730</t>
  </si>
  <si>
    <t>4d04e442</t>
  </si>
  <si>
    <t>cadc8fac</t>
  </si>
  <si>
    <t>74269e3c</t>
  </si>
  <si>
    <t>6b7daa40</t>
  </si>
  <si>
    <t>5db8dd09</t>
  </si>
  <si>
    <t>9f8d12d4</t>
  </si>
  <si>
    <t>eead8fd5</t>
  </si>
  <si>
    <t>fdacaf45</t>
  </si>
  <si>
    <t>a5910dee</t>
  </si>
  <si>
    <t>43a42cff</t>
  </si>
  <si>
    <t>7716f619</t>
  </si>
  <si>
    <t>6410a3cc</t>
  </si>
  <si>
    <t>4cdbd1e9</t>
  </si>
  <si>
    <t>3ebdcf6e</t>
  </si>
  <si>
    <t>79b4c95a</t>
  </si>
  <si>
    <t>d45316c5</t>
  </si>
  <si>
    <t>3d8d1858</t>
  </si>
  <si>
    <t>0f88b5a4</t>
  </si>
  <si>
    <t>23ff4f62</t>
  </si>
  <si>
    <t>22ba8797</t>
  </si>
  <si>
    <t>13293bb9</t>
  </si>
  <si>
    <t>390c94e5</t>
  </si>
  <si>
    <t>3499c9fb</t>
  </si>
  <si>
    <t>f135eb70</t>
  </si>
  <si>
    <t>b52a4d51</t>
  </si>
  <si>
    <t>41c44c0b</t>
  </si>
  <si>
    <t>b99258bc</t>
  </si>
  <si>
    <t>8ab659c1</t>
  </si>
  <si>
    <t>cb85c2c0</t>
  </si>
  <si>
    <t>915a9b0c</t>
  </si>
  <si>
    <t>f4f04533</t>
  </si>
  <si>
    <t>4474b507</t>
  </si>
  <si>
    <t>d9242b11</t>
  </si>
  <si>
    <t>4bfccb92</t>
  </si>
  <si>
    <t>a6888a36</t>
  </si>
  <si>
    <t>2e14030d</t>
  </si>
  <si>
    <t>a710138b</t>
  </si>
  <si>
    <t>c045b69f</t>
  </si>
  <si>
    <t>51cfa859</t>
  </si>
  <si>
    <t>75a2e0a8</t>
  </si>
  <si>
    <t>46736aee</t>
  </si>
  <si>
    <t>b673c8e0</t>
  </si>
  <si>
    <t>e74e46d6</t>
  </si>
  <si>
    <t>ce3681dc</t>
  </si>
  <si>
    <t>21453943</t>
  </si>
  <si>
    <t>326167a4</t>
  </si>
  <si>
    <t>91f137ff</t>
  </si>
  <si>
    <t>0e6814be</t>
  </si>
  <si>
    <t>822bc141</t>
  </si>
  <si>
    <t>ae7510e0</t>
  </si>
  <si>
    <t>80fd2282</t>
  </si>
  <si>
    <t>2ac1e4ea</t>
  </si>
  <si>
    <t>dfa84a48</t>
  </si>
  <si>
    <t>746b63c3</t>
  </si>
  <si>
    <t>a6c3a261</t>
  </si>
  <si>
    <t>d7faaf95</t>
  </si>
  <si>
    <t>8a7aeeb9</t>
  </si>
  <si>
    <t>AGP-PH-BC-1A-4A</t>
  </si>
  <si>
    <t>d5b25ef0</t>
  </si>
  <si>
    <t>3342b53d</t>
  </si>
  <si>
    <t>67e9f721</t>
  </si>
  <si>
    <t>d79d7d32</t>
  </si>
  <si>
    <t>b3beef15</t>
  </si>
  <si>
    <t>9a70c869</t>
  </si>
  <si>
    <t>0bd7efcb</t>
  </si>
  <si>
    <t>5b0a7506</t>
  </si>
  <si>
    <t>433f663f</t>
  </si>
  <si>
    <t>738d95ce</t>
  </si>
  <si>
    <t>af451583</t>
  </si>
  <si>
    <t>5686b3d3</t>
  </si>
  <si>
    <t>d3597831</t>
  </si>
  <si>
    <t>177ec50d</t>
  </si>
  <si>
    <t>90c7970f</t>
  </si>
  <si>
    <t>e9be2165</t>
  </si>
  <si>
    <t>72063824</t>
  </si>
  <si>
    <t>66ec6a22</t>
  </si>
  <si>
    <t>31df6407</t>
  </si>
  <si>
    <t>7432dc1a</t>
  </si>
  <si>
    <t>2043b0c2</t>
  </si>
  <si>
    <t>3e954bad</t>
  </si>
  <si>
    <t>37dae5ee</t>
  </si>
  <si>
    <t>359bee4b</t>
  </si>
  <si>
    <t>ef0c6e4d</t>
  </si>
  <si>
    <t>7b073570</t>
  </si>
  <si>
    <t>4d3d4c16</t>
  </si>
  <si>
    <t>67e55d27</t>
  </si>
  <si>
    <t>405d019a</t>
  </si>
  <si>
    <t>52d582f1</t>
  </si>
  <si>
    <t>b3b6c8ac</t>
  </si>
  <si>
    <t>5bc6c344</t>
  </si>
  <si>
    <t>3c711bf5</t>
  </si>
  <si>
    <t>e854fbb9</t>
  </si>
  <si>
    <t>123d5a9e</t>
  </si>
  <si>
    <t>303a6d6e</t>
  </si>
  <si>
    <t>0f935c49</t>
  </si>
  <si>
    <t>093bee9c</t>
  </si>
  <si>
    <t>15cc5299</t>
  </si>
  <si>
    <t>f10706d6</t>
  </si>
  <si>
    <t>c4afd0a6</t>
  </si>
  <si>
    <t>d818d0df</t>
  </si>
  <si>
    <t>82861a7a</t>
  </si>
  <si>
    <t>4eaa13d3</t>
  </si>
  <si>
    <t>975432a9</t>
  </si>
  <si>
    <t>a3c6fe7a</t>
  </si>
  <si>
    <t>a8881b67</t>
  </si>
  <si>
    <t>8824cca7</t>
  </si>
  <si>
    <t>b307aedc</t>
  </si>
  <si>
    <t>f744f3fc</t>
  </si>
  <si>
    <t>c9b859c8</t>
  </si>
  <si>
    <t>741a5e16</t>
  </si>
  <si>
    <t>7c33793b</t>
  </si>
  <si>
    <t>54ac9d93</t>
  </si>
  <si>
    <t>8528f912</t>
  </si>
  <si>
    <t>ef2aedcb</t>
  </si>
  <si>
    <t>3347486c</t>
  </si>
  <si>
    <t>f4e2587e</t>
  </si>
  <si>
    <t>2efa4edf</t>
  </si>
  <si>
    <t>a05fd8e1</t>
  </si>
  <si>
    <t>2988ee13</t>
  </si>
  <si>
    <t>fb0ed1e1</t>
  </si>
  <si>
    <t>776adca0</t>
  </si>
  <si>
    <t>6c87e578</t>
  </si>
  <si>
    <t>d8a5fb1c</t>
  </si>
  <si>
    <t>9de1d184</t>
  </si>
  <si>
    <t>0d6814d3</t>
  </si>
  <si>
    <t>292a296d</t>
  </si>
  <si>
    <t>336bb9ea</t>
  </si>
  <si>
    <t>960b2d26</t>
  </si>
  <si>
    <t>b4d2c752</t>
  </si>
  <si>
    <t>304f3fc9</t>
  </si>
  <si>
    <t>06ce63c7</t>
  </si>
  <si>
    <t>ad6ca949</t>
  </si>
  <si>
    <t>2c4aa500</t>
  </si>
  <si>
    <t>35b76515</t>
  </si>
  <si>
    <t>30f96f8c</t>
  </si>
  <si>
    <t>83e8b6ff</t>
  </si>
  <si>
    <t>5a809304</t>
  </si>
  <si>
    <t>243354d8</t>
  </si>
  <si>
    <t>de63430e</t>
  </si>
  <si>
    <t>86fc4844</t>
  </si>
  <si>
    <t>4903ba4a</t>
  </si>
  <si>
    <t>cc478572</t>
  </si>
  <si>
    <t>41ee17a6</t>
  </si>
  <si>
    <t>3c938250</t>
  </si>
  <si>
    <t>e8a73e30</t>
  </si>
  <si>
    <t>4cac7583</t>
  </si>
  <si>
    <t>923beccf</t>
  </si>
  <si>
    <t>c03f712b</t>
  </si>
  <si>
    <t>f9308c8e</t>
  </si>
  <si>
    <t>dad24844</t>
  </si>
  <si>
    <t>8204dae2</t>
  </si>
  <si>
    <t>75795658</t>
  </si>
  <si>
    <t>a07a0304</t>
  </si>
  <si>
    <t>34f4ccd4</t>
  </si>
  <si>
    <t>6443a287</t>
  </si>
  <si>
    <t>7f31243d</t>
  </si>
  <si>
    <t>d119864a</t>
  </si>
  <si>
    <t>6a084a42</t>
  </si>
  <si>
    <t>99be78c0</t>
  </si>
  <si>
    <t>380b5a3c</t>
  </si>
  <si>
    <t>ef531fc0</t>
  </si>
  <si>
    <t>b9d01361</t>
  </si>
  <si>
    <t>f6f7cc0c</t>
  </si>
  <si>
    <t>ed9d1cc0</t>
  </si>
  <si>
    <t>d1e835dd</t>
  </si>
  <si>
    <t>146963a2</t>
  </si>
  <si>
    <t>54d825e4</t>
  </si>
  <si>
    <t>e6d600d3</t>
  </si>
  <si>
    <t>1cac0b78</t>
  </si>
  <si>
    <t>3cecc7f9</t>
  </si>
  <si>
    <t>5b0c899a</t>
  </si>
  <si>
    <t>97e9e881</t>
  </si>
  <si>
    <t>fee652e2</t>
  </si>
  <si>
    <t>4ac9475f</t>
  </si>
  <si>
    <t>0ec7b698</t>
  </si>
  <si>
    <t>f12bc8f4</t>
  </si>
  <si>
    <t>d143a8a8</t>
  </si>
  <si>
    <t>35974353</t>
  </si>
  <si>
    <t>755e7bb4</t>
  </si>
  <si>
    <t>607a4010</t>
  </si>
  <si>
    <t>df46fc5f</t>
  </si>
  <si>
    <t>919b7c83</t>
  </si>
  <si>
    <t>abf14fa0</t>
  </si>
  <si>
    <t>222634f3</t>
  </si>
  <si>
    <t>19fd27f1</t>
  </si>
  <si>
    <t>74ef2a20</t>
  </si>
  <si>
    <t>ee8230cb</t>
  </si>
  <si>
    <t>edb33c63</t>
  </si>
  <si>
    <t>27d09439</t>
  </si>
  <si>
    <t>0a75d67b</t>
  </si>
  <si>
    <t>714a1abe</t>
  </si>
  <si>
    <t>1de19cf1</t>
  </si>
  <si>
    <t>70aea130</t>
  </si>
  <si>
    <t>1f6d8666</t>
  </si>
  <si>
    <t>1aa0a45e</t>
  </si>
  <si>
    <t>844cc300</t>
  </si>
  <si>
    <t>0702afc6</t>
  </si>
  <si>
    <t>155ec3fd</t>
  </si>
  <si>
    <t>71ea1071</t>
  </si>
  <si>
    <t>87d8e589</t>
  </si>
  <si>
    <t>ee95f0af</t>
  </si>
  <si>
    <t>cc2173bb</t>
  </si>
  <si>
    <t>7fe3ffcb</t>
  </si>
  <si>
    <t>c2354b5c</t>
  </si>
  <si>
    <t>5612035c</t>
  </si>
  <si>
    <t>2cbc4dbf</t>
  </si>
  <si>
    <t>98a604bc</t>
  </si>
  <si>
    <t>9a216783</t>
  </si>
  <si>
    <t>f874d395</t>
  </si>
  <si>
    <t>68808355</t>
  </si>
  <si>
    <t>bfd72040</t>
  </si>
  <si>
    <t>1817b45f</t>
  </si>
  <si>
    <t>92c1bbf7</t>
  </si>
  <si>
    <t>1f62defd</t>
  </si>
  <si>
    <t>bbdec98a</t>
  </si>
  <si>
    <t>53172b01</t>
  </si>
  <si>
    <t>bf2ffa4f</t>
  </si>
  <si>
    <t>fbce1877</t>
  </si>
  <si>
    <t>bde3f073</t>
  </si>
  <si>
    <t>18a4bf8d</t>
  </si>
  <si>
    <t>f61bc0d6</t>
  </si>
  <si>
    <t>f4444b45</t>
  </si>
  <si>
    <t>4384e77c</t>
  </si>
  <si>
    <t>d89fb6d5</t>
  </si>
  <si>
    <t>93fbedb6</t>
  </si>
  <si>
    <t>f4347e9c</t>
  </si>
  <si>
    <t>e7a7307a</t>
  </si>
  <si>
    <t>0792d8e4</t>
  </si>
  <si>
    <t>7151f837</t>
  </si>
  <si>
    <t>a4b189d9</t>
  </si>
  <si>
    <t>e411e476</t>
  </si>
  <si>
    <t>456abab5</t>
  </si>
  <si>
    <t>931ecc64</t>
  </si>
  <si>
    <t>7f0bf067</t>
  </si>
  <si>
    <t>e9c00491</t>
  </si>
  <si>
    <t>cb98cb8f</t>
  </si>
  <si>
    <t>876ffad7</t>
  </si>
  <si>
    <t>a49f342d</t>
  </si>
  <si>
    <t>5ee000b6</t>
  </si>
  <si>
    <t>a1a1bb92</t>
  </si>
  <si>
    <t>69e266f3</t>
  </si>
  <si>
    <t>be162f98</t>
  </si>
  <si>
    <t>9b2b0c3c</t>
  </si>
  <si>
    <t>edefde30</t>
  </si>
  <si>
    <t>4c596626</t>
  </si>
  <si>
    <t>bfb90db5</t>
  </si>
  <si>
    <t>e8d3a685</t>
  </si>
  <si>
    <t>951c9d51</t>
  </si>
  <si>
    <t>5e0308a8</t>
  </si>
  <si>
    <t>28fd7a9d</t>
  </si>
  <si>
    <t>a922e176</t>
  </si>
  <si>
    <t>953b5071</t>
  </si>
  <si>
    <t>0714246b</t>
  </si>
  <si>
    <t>ea21c9d0</t>
  </si>
  <si>
    <t>b0457b97</t>
  </si>
  <si>
    <t>8132ad53</t>
  </si>
  <si>
    <t>f3bb6841</t>
  </si>
  <si>
    <t>0650f08a</t>
  </si>
  <si>
    <t>5ad0dcbb</t>
  </si>
  <si>
    <t>6edc320a</t>
  </si>
  <si>
    <t>d60801f4</t>
  </si>
  <si>
    <t>772293af</t>
  </si>
  <si>
    <t>53d8f844</t>
  </si>
  <si>
    <t>Active Ingredient</t>
  </si>
  <si>
    <t>Initials</t>
  </si>
  <si>
    <t>1 tsp/gal</t>
  </si>
  <si>
    <t>Dropdown Helper For Column B in Treatment Tracker</t>
  </si>
  <si>
    <t>Neem Oil</t>
  </si>
  <si>
    <t>Spider Mites</t>
  </si>
  <si>
    <t>Azadirachtin</t>
  </si>
  <si>
    <t>71908-1</t>
  </si>
  <si>
    <t>2 tbsp/gal</t>
  </si>
  <si>
    <t>Spray</t>
  </si>
  <si>
    <t>DW</t>
  </si>
  <si>
    <t>Iron Phosphate 1.00% Spinosad 0.07%</t>
  </si>
  <si>
    <t>4.7"</t>
  </si>
  <si>
    <t>.5 tbs</t>
  </si>
  <si>
    <t>1 tbs</t>
  </si>
  <si>
    <t>What is Plant Intake?</t>
  </si>
  <si>
    <t>How to Add a New Plant</t>
  </si>
  <si>
    <t>About the Dropdowns</t>
  </si>
  <si>
    <t>SKU Format</t>
  </si>
  <si>
    <t>Individual vs Group</t>
  </si>
  <si>
    <t>What Happens After You Save</t>
  </si>
  <si>
    <t>Why isn't my plant showing in inventory?</t>
  </si>
  <si>
    <t>Can I edit an entry after saving?</t>
  </si>
  <si>
    <t>Feedback</t>
  </si>
  <si>
    <t>Plant Intake is where you record every new plant that enters your nursery from an outside source — purchased from a vendor, received as a gift or trade, or any other outside acquisition. Every entry here automatically creates a record in Plant Inventory and generates a unique SKU that tracks the plant throughout its entire lifecycle. Propagations, cuttings, divisions, and transplants are handled in the Transplant Log.</t>
  </si>
  <si>
    <t>How to Add a New Plant: Tap the green + button in the bottom right corner to open a new entry form.
2. Fill in the required fields — marked with a green asterisk.
3. Tap Save. The SKU will be generated automatically and the plant will appear in Plant Inventory within one minute.</t>
  </si>
  <si>
    <t>About the Dropdowns: Source, Genus, Cultivar, ID #, and Pot Type are open dropdowns — type anything and it's saved automatically for future entries. You build these lists yourself as you go.</t>
  </si>
  <si>
    <t>The date the plant was received. Defaults to today. Change it if you're entering a plant received on a different day.</t>
  </si>
  <si>
    <t>Where the plant came from. Becomes the first part of the SKU.</t>
  </si>
  <si>
    <t>The plant genus (e.g. Syngonium, Hoya, Philodendron). Becomes the second part of the SKU.</t>
  </si>
  <si>
    <t>The specific variety (e.g. Regina Red, Batik, Neon). Becomes the third part of the SKU.</t>
  </si>
  <si>
    <t>Individual tracking: First order from a source = 1A. Second order of same plant from same source = 2A. Multiple plants in one order = 1A, 1A-2, 1A-3, etc. — the first plant has no dash suffix.
Group/bulk: Enter the order quantity (e.g. 10). This number becomes part of the SKU permanently and never changes.</t>
  </si>
  <si>
    <t>For group/bulk entries, enter the total number of plants. Used to calculate unit cost automatically. For individually tracked plants, leave at 1.</t>
  </si>
  <si>
    <t>The total amount paid for this plant or batch. Used to calculate unit cost and profit margins automatically.</t>
  </si>
  <si>
    <t>Optional. The suggested retail price. Useful as a pricing reference.</t>
  </si>
  <si>
    <t>The type of pot the plant is currently in. Required for transplant tracking. Pot types are product SKUs — for a full explanation of how pot SKUs work, see the Product Intake help guide.</t>
  </si>
  <si>
    <t>How the purchase was paid.</t>
  </si>
  <si>
    <t>If paid by card, enter the last 4 digits for reference.</t>
  </si>
  <si>
    <t>Every plant gets a unique SKU automatically generated from the information you enter. The format is: SOURCE — GENUS — CULTIVAR — ID#
SOURCE: Abbreviated vendor or source name (e.g. DSE for Dick's Sticks and Exotics)
GENUS: Abbreviated genus (e.g. SYN for Syngonium)
CULTIVAR: Abbreviated cultivar name (e.g. RR for Regina Red)
ID #: Individual plant number or group quantity
Examples:
DSE-SYN-RR-1A — Individual Syngonium Regina Red from Dick's Sticks and Exotics, first order
DSE-SYN-RR-1A-2 — Second plant in the same order
DSE-SYN-RR-2A — Second order of the same plant from Dick's Sticks and Exotics
DSE-SYN-RR-10 — Group order of 10 Syngonium Regina Red from Dick's Sticks and Exotics
The SKU is the backbone of the entire system. It links Plant Intake to Plant Inventory, Transplant Log, and Sales.</t>
  </si>
  <si>
    <t>Individual: Each plant gets its own unique SKU and is tracked separately throughout its lifecycle. Use this when you want to distinguish between specific plants of the same variety.
Group/Bulk: Multiple identical plants share one SKU. The ID # is the order quantity and becomes a permanent part of the SKU — it never changes regardless of how many are sold.</t>
  </si>
  <si>
    <t>1. The app automatically creates a unique SKU from your entry.
2. Within about one minute, the plant appears in Plant Inventory with its cost, quantity, and status automatically filled in.
3. The SKU is added to the master list and can be selected across all pages and forms throughout the app.
4. Your inventory counts and totals on the Dashboard reflect the new entry.</t>
  </si>
  <si>
    <t>Plant Inventory updates automatically but may take up to one minute. Try refreshing the app if it still doesn't appear.</t>
  </si>
  <si>
    <t>Can I edit an entry after saving? Yes, all fields can be edited freely. If you change Source, Genus, Cultivar, or ID #, the SKU will update automatically to reflect the change.</t>
  </si>
  <si>
    <t>If you have any questions about how things work, something isn't working properly, or you have any concerns or input — tap the Feedback button at the bottom of the navigation bar and send us a message.</t>
  </si>
  <si>
    <t>SOURCE</t>
  </si>
  <si>
    <t>CODE</t>
  </si>
  <si>
    <t>GENUS</t>
  </si>
  <si>
    <t>CULTIVAR</t>
  </si>
  <si>
    <t>DEFINITION</t>
  </si>
  <si>
    <t>ORIGIN</t>
  </si>
  <si>
    <t>STATUS</t>
  </si>
  <si>
    <t>ENVIRONMENT</t>
  </si>
  <si>
    <t>PRICE + PROFIT</t>
  </si>
  <si>
    <t>SOIL</t>
  </si>
  <si>
    <t>STYLE</t>
  </si>
  <si>
    <t>POT SZ</t>
  </si>
  <si>
    <t>COLOR</t>
  </si>
  <si>
    <t>COST</t>
  </si>
  <si>
    <t>Mother/First Plant</t>
  </si>
  <si>
    <t>CORM</t>
  </si>
  <si>
    <t>Corm from Alocasia</t>
  </si>
  <si>
    <t>DEAD</t>
  </si>
  <si>
    <t>DED</t>
  </si>
  <si>
    <t>Didn’t survive or discarded</t>
  </si>
  <si>
    <t>INDOOR GREENHOUSE</t>
  </si>
  <si>
    <t>IGH</t>
  </si>
  <si>
    <t>Clear-1</t>
  </si>
  <si>
    <t>C9FB9D</t>
  </si>
  <si>
    <t>First Cutting/Division</t>
  </si>
  <si>
    <t>SEEDLING</t>
  </si>
  <si>
    <t>SEE</t>
  </si>
  <si>
    <t>Grown from seed</t>
  </si>
  <si>
    <t>DELIVERED</t>
  </si>
  <si>
    <t>DEL</t>
  </si>
  <si>
    <t>Has been delivered</t>
  </si>
  <si>
    <t>check trans log</t>
  </si>
  <si>
    <t>White-1</t>
  </si>
  <si>
    <t>373BA6</t>
  </si>
  <si>
    <t>Second Cutting/Division</t>
  </si>
  <si>
    <t>CLONE</t>
  </si>
  <si>
    <t>Identical plant from cutting</t>
  </si>
  <si>
    <t>ESTABLISHED</t>
  </si>
  <si>
    <t>EST</t>
  </si>
  <si>
    <t>Fully RED and actively growing</t>
  </si>
  <si>
    <t>INDOOR AND OUTDOOR</t>
  </si>
  <si>
    <t>BOTH</t>
  </si>
  <si>
    <t>SALES CHANNEL</t>
  </si>
  <si>
    <t>VIA</t>
  </si>
  <si>
    <t>Domes-1</t>
  </si>
  <si>
    <t>3C07FE</t>
  </si>
  <si>
    <t>Third Cutting/Division</t>
  </si>
  <si>
    <t>TISSUE CULTURE</t>
  </si>
  <si>
    <t>Lab-grown clone from plant cells</t>
  </si>
  <si>
    <t>FOR SALE</t>
  </si>
  <si>
    <t>FS</t>
  </si>
  <si>
    <t>Ready to be listed / sold</t>
  </si>
  <si>
    <t>IN GROUND OUTDOORS</t>
  </si>
  <si>
    <t>IG</t>
  </si>
  <si>
    <t>FACEBOOK</t>
  </si>
  <si>
    <t>Facebook / FB</t>
  </si>
  <si>
    <t>Bumper Crop</t>
  </si>
  <si>
    <t>Multi-1</t>
  </si>
  <si>
    <t>B0B0B7</t>
  </si>
  <si>
    <t>Mature Cutting From Mother 1</t>
  </si>
  <si>
    <t>MOTHER</t>
  </si>
  <si>
    <t>MOM</t>
  </si>
  <si>
    <t>Mature plant used for propagation</t>
  </si>
  <si>
    <t>HARDENING OFF</t>
  </si>
  <si>
    <t>HDO</t>
  </si>
  <si>
    <t>Acclimating to environment</t>
  </si>
  <si>
    <t>OUTDOOR</t>
  </si>
  <si>
    <t>OUT</t>
  </si>
  <si>
    <t>PROFIT</t>
  </si>
  <si>
    <t>PR</t>
  </si>
  <si>
    <t>I Need Money For Plants</t>
  </si>
  <si>
    <t>NM</t>
  </si>
  <si>
    <t>Ceramic-2</t>
  </si>
  <si>
    <t>09CDCA</t>
  </si>
  <si>
    <t>CUTTING</t>
  </si>
  <si>
    <t>Propagated from a stem or node</t>
  </si>
  <si>
    <t>HOLD</t>
  </si>
  <si>
    <t xml:space="preserve">Temporary hold / Undecided </t>
  </si>
  <si>
    <t>IN BED OUTDOORS</t>
  </si>
  <si>
    <t>IBO</t>
  </si>
  <si>
    <t>IN PERSON</t>
  </si>
  <si>
    <t>IP</t>
  </si>
  <si>
    <t>In person / word of mouth</t>
  </si>
  <si>
    <t>DF696D</t>
  </si>
  <si>
    <t xml:space="preserve">Third Cutting/Division From </t>
  </si>
  <si>
    <t>DIVISION</t>
  </si>
  <si>
    <t>Split from a mature plants root ball</t>
  </si>
  <si>
    <t>KE</t>
  </si>
  <si>
    <t>Keeping DO NOT SELL</t>
  </si>
  <si>
    <t>ROTATES SEASONALLY</t>
  </si>
  <si>
    <t>ROS</t>
  </si>
  <si>
    <t>NOT APPLICABLE</t>
  </si>
  <si>
    <t>NA</t>
  </si>
  <si>
    <t>E2DA65</t>
  </si>
  <si>
    <t>Fourth Cutting/Division</t>
  </si>
  <si>
    <t>PENDING SALE</t>
  </si>
  <si>
    <t>PSA</t>
  </si>
  <si>
    <t>Sale is pending</t>
  </si>
  <si>
    <t>IN POTS OUTDOORS</t>
  </si>
  <si>
    <t>IPO</t>
  </si>
  <si>
    <t>PALM STREET</t>
  </si>
  <si>
    <t>Palmstreet Ap</t>
  </si>
  <si>
    <t>20B363</t>
  </si>
  <si>
    <t>PENDING SHIPPING</t>
  </si>
  <si>
    <t>PSH</t>
  </si>
  <si>
    <t>Shipping is still pending</t>
  </si>
  <si>
    <t>Lines-1</t>
  </si>
  <si>
    <t>A76BCA</t>
  </si>
  <si>
    <t>PICKED UP</t>
  </si>
  <si>
    <t xml:space="preserve">Has been picked up </t>
  </si>
  <si>
    <t>REWARD POINTS</t>
  </si>
  <si>
    <t>RP</t>
  </si>
  <si>
    <t>Deducted from amount paid</t>
  </si>
  <si>
    <t>Ceramic-1</t>
  </si>
  <si>
    <t>C871F2</t>
  </si>
  <si>
    <t>QUARANTINE</t>
  </si>
  <si>
    <t>QT</t>
  </si>
  <si>
    <t>Separated due to health concerns</t>
  </si>
  <si>
    <t>OUTDOOR GREENHOUSE</t>
  </si>
  <si>
    <t>OGH</t>
  </si>
  <si>
    <t>SALES CHANNEL:</t>
  </si>
  <si>
    <t>A0AB4F</t>
  </si>
  <si>
    <t>ROOTED</t>
  </si>
  <si>
    <t>RED</t>
  </si>
  <si>
    <t>Roots formed, but not fully EST</t>
  </si>
  <si>
    <t>INDOOR</t>
  </si>
  <si>
    <t>IN</t>
  </si>
  <si>
    <t>SALE PRICE</t>
  </si>
  <si>
    <t>AA867A</t>
  </si>
  <si>
    <t>Tissue Culture (Mother/Plant 1)</t>
  </si>
  <si>
    <t>ROOTING</t>
  </si>
  <si>
    <t>RTG</t>
  </si>
  <si>
    <t>Fresh CU or DI, not yet rooted</t>
  </si>
  <si>
    <t>ENV</t>
  </si>
  <si>
    <t>98DAC4</t>
  </si>
  <si>
    <t>SHIPPED</t>
  </si>
  <si>
    <t>SHIP</t>
  </si>
  <si>
    <t>Has been shipped</t>
  </si>
  <si>
    <t>ITEMS PER ORDER</t>
  </si>
  <si>
    <t>More than one item in order</t>
  </si>
  <si>
    <t>4DFC90</t>
  </si>
  <si>
    <t xml:space="preserve">Colocasia </t>
  </si>
  <si>
    <t>First Shipment From Source</t>
  </si>
  <si>
    <t>SOLD</t>
  </si>
  <si>
    <t>Payment complete</t>
  </si>
  <si>
    <t>WEBSITE</t>
  </si>
  <si>
    <t>WEB</t>
  </si>
  <si>
    <t>On website</t>
  </si>
  <si>
    <t>539B0E</t>
  </si>
  <si>
    <t>Microcultivate</t>
  </si>
  <si>
    <t>Same Plant/Same Source</t>
  </si>
  <si>
    <t>616FC6</t>
  </si>
  <si>
    <t>9F4197</t>
  </si>
  <si>
    <t>Second Shipment/Same Source/Prev</t>
  </si>
  <si>
    <t>E3392B</t>
  </si>
  <si>
    <t>Second Shipment/Same Source/Curr.</t>
  </si>
  <si>
    <t>07A44F</t>
  </si>
  <si>
    <t>FC4EA6</t>
  </si>
  <si>
    <t>5F1A02</t>
  </si>
  <si>
    <t>Third Shipment/Same Source</t>
  </si>
  <si>
    <t>1A9ECD</t>
  </si>
  <si>
    <t>Same Plant/Same Shipment</t>
  </si>
  <si>
    <t>45E74A</t>
  </si>
  <si>
    <t>7B57F0</t>
  </si>
  <si>
    <t>612E5F</t>
  </si>
  <si>
    <t>273153</t>
  </si>
  <si>
    <t>GR</t>
  </si>
  <si>
    <t>82FA84</t>
  </si>
  <si>
    <t>BEB9ED</t>
  </si>
  <si>
    <t>F365E7</t>
  </si>
  <si>
    <t>3B2025</t>
  </si>
  <si>
    <t>D1631B</t>
  </si>
  <si>
    <t>9D1A54</t>
  </si>
  <si>
    <t>FEA191</t>
  </si>
  <si>
    <t>0FD00A</t>
  </si>
  <si>
    <t>BF96AE</t>
  </si>
  <si>
    <t>352067</t>
  </si>
  <si>
    <t>8D2B73</t>
  </si>
  <si>
    <t>93A1FE</t>
  </si>
  <si>
    <t>1328C5</t>
  </si>
  <si>
    <t>A97D11</t>
  </si>
  <si>
    <t>EB7AC3</t>
  </si>
  <si>
    <t>320922</t>
  </si>
  <si>
    <t>E505D8</t>
  </si>
  <si>
    <t>332320</t>
  </si>
  <si>
    <t>034E57</t>
  </si>
  <si>
    <t>6AC1B8</t>
  </si>
  <si>
    <t>7CDDDC</t>
  </si>
  <si>
    <t>79A184</t>
  </si>
  <si>
    <t>CF5FC3</t>
  </si>
  <si>
    <t>753B2D</t>
  </si>
  <si>
    <t>2C2066</t>
  </si>
  <si>
    <t>6DD1A8</t>
  </si>
  <si>
    <t>8C30FF</t>
  </si>
  <si>
    <t>7D8739</t>
  </si>
  <si>
    <t>532C58</t>
  </si>
  <si>
    <t>774BD5</t>
  </si>
  <si>
    <t>98B6A3</t>
  </si>
  <si>
    <t>A0600B</t>
  </si>
  <si>
    <t>AD9527</t>
  </si>
  <si>
    <t>A153A4</t>
  </si>
  <si>
    <t>CFE0A9</t>
  </si>
  <si>
    <t>2C1783</t>
  </si>
  <si>
    <t>FC9FA4</t>
  </si>
  <si>
    <t>982E88</t>
  </si>
  <si>
    <t>8243CB</t>
  </si>
  <si>
    <t>D4817F</t>
  </si>
  <si>
    <t>295864</t>
  </si>
  <si>
    <t>B4165C</t>
  </si>
  <si>
    <t>1D656D</t>
  </si>
  <si>
    <t>782B3C</t>
  </si>
  <si>
    <t>01E5AC</t>
  </si>
  <si>
    <t>033A0D</t>
  </si>
  <si>
    <t>FC6C0D</t>
  </si>
  <si>
    <t>CD71BC</t>
  </si>
  <si>
    <t>C7F6F1</t>
  </si>
  <si>
    <t>407E4C</t>
  </si>
  <si>
    <t>D43654</t>
  </si>
  <si>
    <t>CE4946</t>
  </si>
  <si>
    <t>E073ED</t>
  </si>
  <si>
    <t>E8F052</t>
  </si>
  <si>
    <t>AB1AAC</t>
  </si>
  <si>
    <t>01C7F3</t>
  </si>
  <si>
    <t>16CD3B</t>
  </si>
  <si>
    <t>2E1CB6</t>
  </si>
  <si>
    <t>52D166</t>
  </si>
  <si>
    <t>MAK</t>
  </si>
  <si>
    <t>D2C549</t>
  </si>
  <si>
    <t>10908A</t>
  </si>
  <si>
    <t>57BC50</t>
  </si>
  <si>
    <t>E94B75</t>
  </si>
  <si>
    <t>FB20E8</t>
  </si>
  <si>
    <t>What is Sales?</t>
  </si>
  <si>
    <t>How to Log a Sale</t>
  </si>
  <si>
    <t>Sales is where you record every plant or product sold. Each entry automatically updates inventory quantities and calculates your profit and margin. For group/bulk SKUs, sales can be logged in increments — you don't have to log the entire quantity at once.</t>
  </si>
  <si>
    <t>How to Log a Sale: 1. Tap the green + button in the bottom right corner to open a new entry form.
2. Fill in the required fields — marked with a green asterisk.
3. Tap Save. Inventory will update automatically within one minute.</t>
  </si>
  <si>
    <t>Sale Channel, Payment Method, and Card # are open dropdowns — type anything and it's saved automatically for future entries. You build these lists yourself as you go.</t>
  </si>
  <si>
    <t>The date of the sale. Defaults to today.</t>
  </si>
  <si>
    <t>The SKU of the plant or product being sold. Scan the barcode or select from the list.</t>
  </si>
  <si>
    <t>The number of units being sold. For group/bulk SKUs this can be a partial quantity — you don't have to sell the entire order at once.</t>
  </si>
  <si>
    <t>The price per unit sold.</t>
  </si>
  <si>
    <t>Where the sale took place (e.g. Palmstreet, Facebook Marketplace, outdoor market, in person).</t>
  </si>
  <si>
    <t>Defaults to Sold. Do not change this.</t>
  </si>
  <si>
    <t>How the sale was paid.</t>
  </si>
  <si>
    <t>Calculated automatically from Qty x Sale Price.</t>
  </si>
  <si>
    <t>Calculated automatically from Total Sale minus cost.</t>
  </si>
  <si>
    <t>Calculated automatically as profit divided by total sale.</t>
  </si>
  <si>
    <t>Any additional notes about the sale.</t>
  </si>
  <si>
    <t>What is Overhead Expenses?</t>
  </si>
  <si>
    <t>How to Log an Expense</t>
  </si>
  <si>
    <t>Subtotal</t>
  </si>
  <si>
    <t>Discount</t>
  </si>
  <si>
    <t>Actual Total</t>
  </si>
  <si>
    <t>How to Log Outbound Shipping</t>
  </si>
  <si>
    <t>How to Log Inbound Shipping</t>
  </si>
  <si>
    <t>How to Log Labor</t>
  </si>
  <si>
    <t>Overhead Expenses is where you record every business operating expense — from supplies and equipment to platform fees, shipping, labor, and anything else you spend money on to run your nursery. 
Note: 
Plants, pots, and any other products purchased for resale that receive a SKU for tracking and sales are entered in Plant Intake or Product Intake, not here. Overhead is for business expenses only. Every entry is tracked by category and reflected on your Dashboard so you can monitor and report your spending across all areas of your business. 
This guide provides you with detailed information and instructions on how to fill out the form to create your record.</t>
  </si>
  <si>
    <t>How to Log an Expense: 1. Tap the green + button in the bottom right corner to open a new entry form.
2. Fill in the required fields — marked with a green asterisk.
3. Tap Save.</t>
  </si>
  <si>
    <t>Vendor, Brand, Category, Description, Payment Method, and Card # are open dropdowns — type anything and it's saved automatically for future entries. You build these lists yourself as you go.</t>
  </si>
  <si>
    <t>The date of the expense. Defaults to today.</t>
  </si>
  <si>
    <t>Where you purchased from — the store, platform, supplier, or person you paid (e.g. Amazon, Faire, Home Depot, Palm Street, Plant Vendor). Vendor and Brand can be two different things. The same vendor can supply many different brands.</t>
  </si>
  <si>
    <t>The actual maker, supplier, or company associated with the expense (e.g. BWH Plant Company, Scotts, TerraCraft, Pirate Ship, Blooming Starr). If you purchased directly from the brand with no middleman, Vendor and Brand will be the same. For labor, use your business name as the Brand.</t>
  </si>
  <si>
    <t>The expense category used for tracking and reporting. Your Dashboard will display spending totals broken down by category, so choose categories that are meaningful for how you track and report your expenses. Category is an open dropdown — you can use any categories that work for your business. Suggested categories include: Plants &amp; Inventory, Supplies, Soil &amp; Amendments, Shipping — Inbound, Shipping — Outbound, Labor, Equipment, Marketing &amp; Advertising, Platform Fees, Selling Fee, Subscriptions &amp; Software, Utilities, Rent &amp; Facilities, Packaging, Labels &amp; Stickers, Education &amp; Training, Office &amp; Admin, Meals &amp; Entertainment, Travel, Tax (if you are required to collect tax in your state), and Other.</t>
  </si>
  <si>
    <t>The specific item, service, or type of work (e.g. Orchid bark, Horticultural perlite, Acrylic sign holders, Assistant, Data Entry, Grow Lights etc.).</t>
  </si>
  <si>
    <t>The number of units purchased. For labor, enter the number of hours worked.</t>
  </si>
  <si>
    <t>The total amount before any discount is applied. For outbound shipping, enter what the CUSTOMER paid for shipping here. For labor, enter the total amount paid.</t>
  </si>
  <si>
    <t>Any discount applied to the purchase — coupon, promo, or price reduction. Leave at $0.00 if no discount applies. For Outbound shipping, enter what YOU actually paid the carrier here.</t>
  </si>
  <si>
    <t>Calculated automatically. Subtotal minus Discount, divided by Qty. For labor this shows the hourly rate. For outbound shipping this shows your net shipping cost — positive means you collected more than you paid, negative means you were out that amount.</t>
  </si>
  <si>
    <t>Calculated automatically. Subtotal minus Discount. This is your true total cost for the expense.</t>
  </si>
  <si>
    <t>How the expense was paid. Good for reference.</t>
  </si>
  <si>
    <t>Order number, invoice number, or any reference number from the vendor.</t>
  </si>
  <si>
    <t>Any additional notes about the expense. For outbound shipping, you can enter the customer name here. For Labor, you can put the specific task performed.</t>
  </si>
  <si>
    <t>Vendor = the platform the sale came from (e.g. Palm Street). Brand = the shipping service used (e.g. Pirate Ship, USPS, Palm Street). Category = Shipping — Outbound. Description = what was shipped (e.g. Live Plants). Subtotal = what the customer paid for shipping. Discount = what you paid the carrier. Unit Cost and Actual Total will calculate automatically — negative means you paid more than the customer paid for shipping. Notes / Project = customer name.</t>
  </si>
  <si>
    <t>How to Log INBOUND Shipping: Vendor = where you ordered from (e.g. Faire, Amazon). Brand = the supplier or company you ordered from (e.g. BWH Plant Company). Category = Shipping — Inbound. Description = what was shipped (e.g. Live Plants). Subtotal = the shipping cost charged to you. Discount = any shipping discount or credit applied. Actual Total will calculate automatically.</t>
  </si>
  <si>
    <t>How to Log OUTBOUND Shipping: Vendor = the worker's name (e.g. Dawn W.). Brand = your business name (e.g. Blooming Starr). Category = Labor. Description = the type of work performed (e.g. Assistant, Data Entry, Working Interview). Qty = hours worked. Subtotal = total amount paid. Unit Cost will calculate automatically as the hourly rate. Payment Method = how they were paid (e.g. Venmo, Cash).</t>
  </si>
  <si>
    <t>What is Product Intake?</t>
  </si>
  <si>
    <t>Purchase #</t>
  </si>
  <si>
    <t>SKU Format — Pots</t>
  </si>
  <si>
    <t>SKU Format — All Other Products</t>
  </si>
  <si>
    <t>Product Intake is where you record every non-plant product that enters your inventory for resale — pots, planters, soil mixes, accessories, handmade items, and anything else you sell that isn't a live plant. Every entry here automatically creates a record in Product Inventory and generates a unique SKU so the product can be tracked and logged in Sales. Products you make yourself, like custom soil mixes or handmade items, are also entered here with your own business name as both the Vendor and Source.</t>
  </si>
  <si>
    <t>How to Log an Expense: 1. Tap the green + button in the bottom right corner to open a new entry form.
2. Fill in the required fields — marked with a green asterisk.
3. Tap Save. The SKU will be generated automatically and the product will appear in Product Inventory within one minute.</t>
  </si>
  <si>
    <t>Vendor, Source, Category, Size, Style, Purchase #, Payment Method, and Card # are open dropdowns — type anything and it's saved automatically for future entries. You build these lists yourself as you go.</t>
  </si>
  <si>
    <t>The date the product was received or made. Defaults to today.</t>
  </si>
  <si>
    <t>Where you purchased from (e.g. Amazon, Faire, Etsy, a wholesale supplier). For house-made products, use your own business name.</t>
  </si>
  <si>
    <t>The brand or maker of the product (e.g. Wousiver, Uniheat, Something Different Wholesale, a local artisan). For house-made products, use your own business name.</t>
  </si>
  <si>
    <t>The type of product (e.g. Pot, Planter, Soil, Sticker, Earring, Tote Bag, Water Sensor, Crochet Kit). Category is part of the SKU for non-pot items. This is an open dropdown — use whatever categories fit your products.</t>
  </si>
  <si>
    <t>For pots only. The pot diameter (e.g. 4" for a 4-inch pot, 6" for a 6-inch pot, 8" for an 8-inch pot). Size is part of the pot SKU and does not apply to other product types.</t>
  </si>
  <si>
    <t>The specific style, color, or variation of the product (e.g. Breathable Planter, White, Heat Pack, Fine Root Mix, Willy the Worm). Style is part of the SKU for all product types.</t>
  </si>
  <si>
    <t>For pots only. Tracks how many times you have ordered this specific pot from this source. First order = 1, second order = 2, and so on. Purchase # is part of the SKU for pots. For non-pot items, Purchase # is still logged for your reference but is not part of the SKU.</t>
  </si>
  <si>
    <t>The number of units received. For non-pot products, Qty is part of the SKU. For pots, Qty is logged separately but not part of the SKU.</t>
  </si>
  <si>
    <t>The total amount paid for the entire order. Used to calculate Unit Cost automatically.</t>
  </si>
  <si>
    <t>Optional. The suggested retail price. Useful as a pricing reference when selling.</t>
  </si>
  <si>
    <t>Order number or invoice number from the vendor for reference.</t>
  </si>
  <si>
    <t>Every pot gets a unique SKU automatically generated from the information you enter. The format is:
FORMAT: SOURCE — PO — SIZE — STYLE — PURCHASE#
SOURCE: Abbreviated source/brand name (e.g. NR for Naked Root, WO for Wousiver)
POT: Always PO to indicate this is a pot
SIZE: Pot diameter (e.g. 8" for an 8-inch pot, 6" for a 6-inch pot)
STYLE: Abbreviated style name (e.g. BP for Breathable Planter, WH for White)
PURCHASE#: Order number (1, 2, 3...)
Examples:
NR-PO-8-BP-1 — 8-inch Breathable Planter from Naked Root, first order
NR-PO-8-BP-2 — Same pot, second order from Naked Root
Important: Pot SKUs are not just for resale tracking. They are also used in the Transplant Log to record which pot a plant is in when it is transplanted, treated, or fertilized. Every pot in your inventory needs a SKU so it can be referenced throughout the entire plant lifecycle tracking system.</t>
  </si>
  <si>
    <t>Every product gets a unique SKU automatically generated from the information you enter. The format is:
FORMAT: SOURCE — CATEGORY — STYLE — QTY
SOURCE: Abbreviated source/brand name (e.g. UN for Uniheat, SDW for Something Different Wholesale)
CATEGORY: Abbreviated category (e.g. PA for Packing/Shipping, WS for Water Sensor, SO for Soil)
STYLE: Abbreviated style name (e.g. HPA for Heat Pack, WTW for Willy the Worm, FRM for Fine Root Mix)
QTY: The order quantity
Examples:
UN-PA-HPA-10 — Heat Pack from Uniheat, order of 10
SDW-WS-WTW-18 — Willy the Worm Water Sensor from Something Different Wholesale, order of 18
BS-SO-FRM-1 — Custom Fine Root Mix, house-made, quantity 1</t>
  </si>
  <si>
    <t>1. The app automatically generates a unique SKU from your entry.
2. Within about one minute the product appears in Product Inventory with its cost and quantity automatically filled in.
3. The SKU is added to the master list and can be selected in Sales.
4. Your inventory counts on the Dashboard reflect the new entry.</t>
  </si>
  <si>
    <t>Dashboard Data</t>
  </si>
  <si>
    <t>Metric</t>
  </si>
  <si>
    <t>Amount</t>
  </si>
  <si>
    <t>Percent</t>
  </si>
  <si>
    <t>Count</t>
  </si>
  <si>
    <t>Section</t>
  </si>
  <si>
    <t>Total Revenue</t>
  </si>
  <si>
    <t>Profit &amp; Loss</t>
  </si>
  <si>
    <t>Sum of all sales</t>
  </si>
  <si>
    <t>KPI001</t>
  </si>
  <si>
    <t>Plant COGS</t>
  </si>
  <si>
    <t>Cost of plants sold</t>
  </si>
  <si>
    <t>KPI002</t>
  </si>
  <si>
    <t>Product COGS</t>
  </si>
  <si>
    <t>Cost of products sold</t>
  </si>
  <si>
    <t>KPI003</t>
  </si>
  <si>
    <t>Total COGS</t>
  </si>
  <si>
    <t>Plant COGS + Product COGS</t>
  </si>
  <si>
    <t>KPI004</t>
  </si>
  <si>
    <t>Gross Profit</t>
  </si>
  <si>
    <t>Revenue minus Total COGS</t>
  </si>
  <si>
    <t>KPI005</t>
  </si>
  <si>
    <t>Gross Margin %</t>
  </si>
  <si>
    <t>Gross Profit / Revenue</t>
  </si>
  <si>
    <t>KPI006</t>
  </si>
  <si>
    <t>Total Overhead</t>
  </si>
  <si>
    <t>All operating expenses</t>
  </si>
  <si>
    <t>KPI007</t>
  </si>
  <si>
    <t>Net Profit / Loss</t>
  </si>
  <si>
    <t>Gross Profit minus Overhead</t>
  </si>
  <si>
    <t>KPI008</t>
  </si>
  <si>
    <t>Net Margin %</t>
  </si>
  <si>
    <t>Net Profit / Revenue</t>
  </si>
  <si>
    <t>KPI009</t>
  </si>
  <si>
    <t>Total Transactions</t>
  </si>
  <si>
    <t>Sales</t>
  </si>
  <si>
    <t>Total sale entries</t>
  </si>
  <si>
    <t>SAL001</t>
  </si>
  <si>
    <t>Avg Sale Value</t>
  </si>
  <si>
    <t>Revenue / Transactions</t>
  </si>
  <si>
    <t>SAL002</t>
  </si>
  <si>
    <t>Avg Profit per Sale</t>
  </si>
  <si>
    <t>Net Profit / Transactions</t>
  </si>
  <si>
    <t>SAL003</t>
  </si>
  <si>
    <t>Palm Street Revenue</t>
  </si>
  <si>
    <t>Channel revenue</t>
  </si>
  <si>
    <t>SAL004</t>
  </si>
  <si>
    <t>In Person Revenue</t>
  </si>
  <si>
    <t>SAL005</t>
  </si>
  <si>
    <t>Facebook Marketplace Revenue</t>
  </si>
  <si>
    <t>SAL006</t>
  </si>
  <si>
    <t>Flea Market Revenue</t>
  </si>
  <si>
    <t>SAL007</t>
  </si>
  <si>
    <t>Square Online Revenue</t>
  </si>
  <si>
    <t>SAL008</t>
  </si>
  <si>
    <t>Merlin Outdoor Market Revenue</t>
  </si>
  <si>
    <t>SAL009</t>
  </si>
  <si>
    <t>Facebook Revenue</t>
  </si>
  <si>
    <t>SAL010</t>
  </si>
  <si>
    <t>August Revenue 2025</t>
  </si>
  <si>
    <t>Monthly</t>
  </si>
  <si>
    <t>MON001</t>
  </si>
  <si>
    <t>August Profit 2025</t>
  </si>
  <si>
    <t>MON002</t>
  </si>
  <si>
    <t>September Revenue 2025</t>
  </si>
  <si>
    <t>MON003</t>
  </si>
  <si>
    <t>September Profit 2025</t>
  </si>
  <si>
    <t>MON004</t>
  </si>
  <si>
    <t>October Revenue 2025</t>
  </si>
  <si>
    <t>MON005</t>
  </si>
  <si>
    <t>October Profit 2025</t>
  </si>
  <si>
    <t>MON006</t>
  </si>
  <si>
    <t>November Revenue 2025</t>
  </si>
  <si>
    <t>MON007</t>
  </si>
  <si>
    <t>November Profit 2025</t>
  </si>
  <si>
    <t>MON008</t>
  </si>
  <si>
    <t>December Revenue 2025</t>
  </si>
  <si>
    <t>MON009</t>
  </si>
  <si>
    <t>December Profit 2025</t>
  </si>
  <si>
    <t>MON010</t>
  </si>
  <si>
    <t>January Revenue 2026</t>
  </si>
  <si>
    <t>MON011</t>
  </si>
  <si>
    <t>January Profit 2026</t>
  </si>
  <si>
    <t>MON012</t>
  </si>
  <si>
    <t>February Revenue 2026</t>
  </si>
  <si>
    <t>MON013</t>
  </si>
  <si>
    <t>February Profit 2026</t>
  </si>
  <si>
    <t>MON014</t>
  </si>
  <si>
    <t>March Revenue 2026</t>
  </si>
  <si>
    <t>MON015</t>
  </si>
  <si>
    <t>March Profit 2026</t>
  </si>
  <si>
    <t>MON016</t>
  </si>
  <si>
    <t>April Revenue 2026</t>
  </si>
  <si>
    <t>MON017</t>
  </si>
  <si>
    <t>April Profit 2026</t>
  </si>
  <si>
    <t>MON018</t>
  </si>
  <si>
    <t>May Revenue 2026</t>
  </si>
  <si>
    <t>MON019</t>
  </si>
  <si>
    <t>May Profit 2026</t>
  </si>
  <si>
    <t>MON020</t>
  </si>
  <si>
    <t>June Revenue 2026</t>
  </si>
  <si>
    <t>MON021</t>
  </si>
  <si>
    <t>June Profit 2026</t>
  </si>
  <si>
    <t>MON022</t>
  </si>
  <si>
    <t>July Revenue 2026</t>
  </si>
  <si>
    <t>MON023</t>
  </si>
  <si>
    <t>July Profit 2026</t>
  </si>
  <si>
    <t>MON024</t>
  </si>
  <si>
    <t>August Revenue 2026</t>
  </si>
  <si>
    <t>MON025</t>
  </si>
  <si>
    <t>August Profit 2026</t>
  </si>
  <si>
    <t>MON026</t>
  </si>
  <si>
    <t>September Revenue 2026</t>
  </si>
  <si>
    <t>MON027</t>
  </si>
  <si>
    <t>September Profit 2026</t>
  </si>
  <si>
    <t>MON028</t>
  </si>
  <si>
    <t>October Revenue 2026</t>
  </si>
  <si>
    <t>MON029</t>
  </si>
  <si>
    <t>October Profit 2026</t>
  </si>
  <si>
    <t>MON030</t>
  </si>
  <si>
    <t>November Revenue 2026</t>
  </si>
  <si>
    <t>MON031</t>
  </si>
  <si>
    <t>November Profit 2026</t>
  </si>
  <si>
    <t>MON032</t>
  </si>
  <si>
    <t>December Revenue 2026</t>
  </si>
  <si>
    <t>MON033</t>
  </si>
  <si>
    <t>December Profit 2026</t>
  </si>
  <si>
    <t>MON034</t>
  </si>
  <si>
    <t>Overhead: Bags &amp; Packaging</t>
  </si>
  <si>
    <t>Overhead</t>
  </si>
  <si>
    <t>OH001</t>
  </si>
  <si>
    <t>OH003</t>
  </si>
  <si>
    <t>OH004</t>
  </si>
  <si>
    <t>OH005</t>
  </si>
  <si>
    <t>OH006</t>
  </si>
  <si>
    <t>OH007</t>
  </si>
  <si>
    <t>OH008</t>
  </si>
  <si>
    <t>OH009</t>
  </si>
  <si>
    <t>OH010</t>
  </si>
  <si>
    <t>OH011</t>
  </si>
  <si>
    <t>OH012</t>
  </si>
  <si>
    <t>OH013</t>
  </si>
  <si>
    <t>OH014</t>
  </si>
  <si>
    <t>OH015</t>
  </si>
  <si>
    <t>OH016</t>
  </si>
  <si>
    <t>OH017</t>
  </si>
  <si>
    <t>OH018</t>
  </si>
  <si>
    <t>OH019</t>
  </si>
  <si>
    <t>OH020</t>
  </si>
  <si>
    <t>OH021</t>
  </si>
  <si>
    <t>OH022</t>
  </si>
  <si>
    <t>OH023</t>
  </si>
  <si>
    <t>OH024</t>
  </si>
  <si>
    <t>OH025</t>
  </si>
  <si>
    <t>OH026</t>
  </si>
  <si>
    <t>OH027</t>
  </si>
  <si>
    <t>OH028</t>
  </si>
  <si>
    <t>OH029</t>
  </si>
  <si>
    <t>OH030</t>
  </si>
  <si>
    <t>Total Plants Available</t>
  </si>
  <si>
    <t>Plant Inventory</t>
  </si>
  <si>
    <t>Count of Available status</t>
  </si>
  <si>
    <t>PLT001</t>
  </si>
  <si>
    <t>Total Plants Sold</t>
  </si>
  <si>
    <t>Count of Sold status</t>
  </si>
  <si>
    <t>PLT002</t>
  </si>
  <si>
    <t>Total Plants Dead</t>
  </si>
  <si>
    <t>Count of Dead status</t>
  </si>
  <si>
    <t>PLT003</t>
  </si>
  <si>
    <t>Total Plants Damaged</t>
  </si>
  <si>
    <t>Count of Damaged status</t>
  </si>
  <si>
    <t>PLT004</t>
  </si>
  <si>
    <t>Total Plants Given Away</t>
  </si>
  <si>
    <t>Count of Giveaway status</t>
  </si>
  <si>
    <t>PLT005</t>
  </si>
  <si>
    <t>Total Plant Investment</t>
  </si>
  <si>
    <t>Cost of all available plants</t>
  </si>
  <si>
    <t>PLT006</t>
  </si>
  <si>
    <t>Plant Investment at MSRP</t>
  </si>
  <si>
    <t>Potential revenue at MSRP</t>
  </si>
  <si>
    <t>PLT007</t>
  </si>
  <si>
    <t>Dead Plant Loss $</t>
  </si>
  <si>
    <t>Cost of dead plants - tax deductible loss</t>
  </si>
  <si>
    <t>PLT008</t>
  </si>
  <si>
    <t>Damaged Plant Loss $</t>
  </si>
  <si>
    <t>Cost of damaged plants</t>
  </si>
  <si>
    <t>PLT009</t>
  </si>
  <si>
    <t>Giveaway Loss $</t>
  </si>
  <si>
    <t>Cost of giveaways - marketing expense</t>
  </si>
  <si>
    <t>PLT010</t>
  </si>
  <si>
    <t>Total Inventory Loss $</t>
  </si>
  <si>
    <t>Dead + Damaged + Giveaway</t>
  </si>
  <si>
    <t>PLT011</t>
  </si>
  <si>
    <t>Philodendron Count</t>
  </si>
  <si>
    <t>Available only</t>
  </si>
  <si>
    <t>PLT012</t>
  </si>
  <si>
    <t>Hoya Count</t>
  </si>
  <si>
    <t>PLT013</t>
  </si>
  <si>
    <t>Alocasia Count</t>
  </si>
  <si>
    <t>PLT014</t>
  </si>
  <si>
    <t>Syngonium Count</t>
  </si>
  <si>
    <t>PLT016</t>
  </si>
  <si>
    <t>Total Product SKUs</t>
  </si>
  <si>
    <t>Product Inventory</t>
  </si>
  <si>
    <t>Total unique product SKUs</t>
  </si>
  <si>
    <t>PRD001</t>
  </si>
  <si>
    <t>Total Units Available</t>
  </si>
  <si>
    <t>Sum of QTY Remaining for available</t>
  </si>
  <si>
    <t>PRD002</t>
  </si>
  <si>
    <t>Total Units Sold</t>
  </si>
  <si>
    <t>Sum of QTY Sold</t>
  </si>
  <si>
    <t>PRD003</t>
  </si>
  <si>
    <t>Total Units Used</t>
  </si>
  <si>
    <t>Sum of QTY Used in transplants</t>
  </si>
  <si>
    <t>PRD004</t>
  </si>
  <si>
    <t>Total Product Investment</t>
  </si>
  <si>
    <t>Unit Cost x QTY Purchased</t>
  </si>
  <si>
    <t>PRD005</t>
  </si>
  <si>
    <t>Total Product Value Remaining</t>
  </si>
  <si>
    <t>Unit Cost x QTY Remaining</t>
  </si>
  <si>
    <t>PRD006</t>
  </si>
  <si>
    <t>Total Product Revenue Potential</t>
  </si>
  <si>
    <t>MSRP x QTY Remaining</t>
  </si>
  <si>
    <t>PRD007</t>
  </si>
  <si>
    <t>Out of Stock Items</t>
  </si>
  <si>
    <t>Count of Out of Stock SKUs</t>
  </si>
  <si>
    <t>PRD008</t>
  </si>
  <si>
    <t>Gross Receipts</t>
  </si>
  <si>
    <t>Total revenue - Schedule C Line 1</t>
  </si>
  <si>
    <t>TAX001</t>
  </si>
  <si>
    <t>Total COGS Deduction</t>
  </si>
  <si>
    <t>Schedule C Part III</t>
  </si>
  <si>
    <t>TAX002</t>
  </si>
  <si>
    <t>Total Overhead Deduction</t>
  </si>
  <si>
    <t>Schedule C Part II</t>
  </si>
  <si>
    <t>TAX003</t>
  </si>
  <si>
    <t>Total Deductible Expenses</t>
  </si>
  <si>
    <t>COGS + Overhead</t>
  </si>
  <si>
    <t>TAX004</t>
  </si>
  <si>
    <t>Net Taxable Income / Loss</t>
  </si>
  <si>
    <t>Gross Receipts minus Total Deductions</t>
  </si>
  <si>
    <t>TAX005</t>
  </si>
  <si>
    <t>End of Year Plant Inventory Value</t>
  </si>
  <si>
    <t>Required for Schedule C Part III</t>
  </si>
  <si>
    <t>TAX006</t>
  </si>
  <si>
    <t>End of Year Product Inventory Value</t>
  </si>
  <si>
    <t>TAX007</t>
  </si>
  <si>
    <t>Total Inventory Losses</t>
  </si>
  <si>
    <t>Dead + Damaged + Giveaway losses</t>
  </si>
  <si>
    <t>TAX008</t>
  </si>
  <si>
    <t>info@bloomingstarrnursery.com</t>
  </si>
  <si>
    <t>spiritmountainfrenchies@gmail.com</t>
  </si>
  <si>
    <t>USER5@PENDING</t>
  </si>
  <si>
    <t>KPI001-U1</t>
  </si>
  <si>
    <t>KPI002-U1</t>
  </si>
  <si>
    <t>KPI003-U1</t>
  </si>
  <si>
    <t>KPI004-U1</t>
  </si>
  <si>
    <t>KPI005-U1</t>
  </si>
  <si>
    <t>KPI006-U1</t>
  </si>
  <si>
    <t>KPI007-U1</t>
  </si>
  <si>
    <t>KPI008-U1</t>
  </si>
  <si>
    <t>KPI009-U1</t>
  </si>
  <si>
    <t>SAL001-U1</t>
  </si>
  <si>
    <t>SAL002-U1</t>
  </si>
  <si>
    <t>SAL003-U1</t>
  </si>
  <si>
    <t>SAL004-U1</t>
  </si>
  <si>
    <t>SAL005-U1</t>
  </si>
  <si>
    <t>SAL006-U1</t>
  </si>
  <si>
    <t>SAL007-U1</t>
  </si>
  <si>
    <t>SAL008-U1</t>
  </si>
  <si>
    <t>SAL009-U1</t>
  </si>
  <si>
    <t>SAL010-U1</t>
  </si>
  <si>
    <t>MON001-U1</t>
  </si>
  <si>
    <t>MON002-U1</t>
  </si>
  <si>
    <t>MON003-U1</t>
  </si>
  <si>
    <t>MON004-U1</t>
  </si>
  <si>
    <t>MON005-U1</t>
  </si>
  <si>
    <t>MON006-U1</t>
  </si>
  <si>
    <t>MON007-U1</t>
  </si>
  <si>
    <t>MON008-U1</t>
  </si>
  <si>
    <t>MON009-U1</t>
  </si>
  <si>
    <t>MON010-U1</t>
  </si>
  <si>
    <t>MON011-U1</t>
  </si>
  <si>
    <t>MON012-U1</t>
  </si>
  <si>
    <t>MON013-U1</t>
  </si>
  <si>
    <t>MON014-U1</t>
  </si>
  <si>
    <t>MON015-U1</t>
  </si>
  <si>
    <t>MON016-U1</t>
  </si>
  <si>
    <t>MON017-U1</t>
  </si>
  <si>
    <t>MON018-U1</t>
  </si>
  <si>
    <t>MON019-U1</t>
  </si>
  <si>
    <t>MON020-U1</t>
  </si>
  <si>
    <t>MON021-U1</t>
  </si>
  <si>
    <t>MON022-U1</t>
  </si>
  <si>
    <t>MON023-U1</t>
  </si>
  <si>
    <t>MON024-U1</t>
  </si>
  <si>
    <t>MON025-U1</t>
  </si>
  <si>
    <t>MON026-U1</t>
  </si>
  <si>
    <t>MON027-U1</t>
  </si>
  <si>
    <t>MON028-U1</t>
  </si>
  <si>
    <t>MON029-U1</t>
  </si>
  <si>
    <t>MON030-U1</t>
  </si>
  <si>
    <t>MON031-U1</t>
  </si>
  <si>
    <t>MON032-U1</t>
  </si>
  <si>
    <t>MON033-U1</t>
  </si>
  <si>
    <t>MON034-U1</t>
  </si>
  <si>
    <t>OH001-U1</t>
  </si>
  <si>
    <t>OH002-U1</t>
  </si>
  <si>
    <t>OH003-U1</t>
  </si>
  <si>
    <t>OH004-U1</t>
  </si>
  <si>
    <t>OH005-U1</t>
  </si>
  <si>
    <t>OH006-U1</t>
  </si>
  <si>
    <t>OH007-U1</t>
  </si>
  <si>
    <t>OH008-U1</t>
  </si>
  <si>
    <t>OH009-U1</t>
  </si>
  <si>
    <t>OH010-U1</t>
  </si>
  <si>
    <t>OH011-U1</t>
  </si>
  <si>
    <t>OH012-U1</t>
  </si>
  <si>
    <t>OH013-U1</t>
  </si>
  <si>
    <t>OH014-U1</t>
  </si>
  <si>
    <t>OH015-U1</t>
  </si>
  <si>
    <t>OH016-U1</t>
  </si>
  <si>
    <t>OH017-U1</t>
  </si>
  <si>
    <t>OH018-U1</t>
  </si>
  <si>
    <t>OH019-U1</t>
  </si>
  <si>
    <t>OH020-U1</t>
  </si>
  <si>
    <t>OH021-U1</t>
  </si>
  <si>
    <t>OH022-U1</t>
  </si>
  <si>
    <t>OH023-U1</t>
  </si>
  <si>
    <t>OH024-U1</t>
  </si>
  <si>
    <t>OH025-U1</t>
  </si>
  <si>
    <t>OH026-U1</t>
  </si>
  <si>
    <t>OH027-U1</t>
  </si>
  <si>
    <t>OH028-U1</t>
  </si>
  <si>
    <t>OH029-U1</t>
  </si>
  <si>
    <t>OH030-U1</t>
  </si>
  <si>
    <t>Sum QTY Remaining where Available</t>
  </si>
  <si>
    <t>PLT001-U1</t>
  </si>
  <si>
    <t>Sum QTY Sold</t>
  </si>
  <si>
    <t>PLT002-U1</t>
  </si>
  <si>
    <t>Sum QTY Used where Dead</t>
  </si>
  <si>
    <t>PLT003-U1</t>
  </si>
  <si>
    <t>Sum QTY Remaining where Damaged</t>
  </si>
  <si>
    <t>PLT004-U1</t>
  </si>
  <si>
    <t>Sum QTY Used where Giveaway</t>
  </si>
  <si>
    <t>PLT005-U1</t>
  </si>
  <si>
    <t>Total Plants Donated</t>
  </si>
  <si>
    <t>Sum QTY Used where Donation</t>
  </si>
  <si>
    <t>PLT006-U1</t>
  </si>
  <si>
    <t>Cost of available plants</t>
  </si>
  <si>
    <t>PLT007-U1</t>
  </si>
  <si>
    <t>PLT008-U1</t>
  </si>
  <si>
    <t>Cost x QTY Used where Dead</t>
  </si>
  <si>
    <t>PLT009-U1</t>
  </si>
  <si>
    <t>Cost x QTY Remaining where Damaged</t>
  </si>
  <si>
    <t>PLT010-U1</t>
  </si>
  <si>
    <t>Cost x QTY Used where Giveaway</t>
  </si>
  <si>
    <t>PLT011-U1</t>
  </si>
  <si>
    <t>Donation Loss $</t>
  </si>
  <si>
    <t>Cost x QTY Used where Donation</t>
  </si>
  <si>
    <t>PLT012-U1</t>
  </si>
  <si>
    <t>Dead+Damaged+Giveaway+Donation</t>
  </si>
  <si>
    <t>PLT013-U1</t>
  </si>
  <si>
    <t>Available QTY only</t>
  </si>
  <si>
    <t>PLT014-U1</t>
  </si>
  <si>
    <t>PLT015-U1</t>
  </si>
  <si>
    <t>PLT016-U1</t>
  </si>
  <si>
    <t>PLT017-U1</t>
  </si>
  <si>
    <t>PRD001-U1</t>
  </si>
  <si>
    <t>Sum QTY Remaining for available</t>
  </si>
  <si>
    <t>PRD002-U1</t>
  </si>
  <si>
    <t>PRD003-U1</t>
  </si>
  <si>
    <t>Sum QTY Used in transplants</t>
  </si>
  <si>
    <t>PRD004-U1</t>
  </si>
  <si>
    <t>PRD005-U1</t>
  </si>
  <si>
    <t>PRD006-U1</t>
  </si>
  <si>
    <t>PRD007-U1</t>
  </si>
  <si>
    <t>PRD008-U1</t>
  </si>
  <si>
    <t>TAX001-U1</t>
  </si>
  <si>
    <t>TAX002-U1</t>
  </si>
  <si>
    <t>TAX003-U1</t>
  </si>
  <si>
    <t>TAX004-U1</t>
  </si>
  <si>
    <t>TAX005-U1</t>
  </si>
  <si>
    <t>TAX006-U1</t>
  </si>
  <si>
    <t>TAX007-U1</t>
  </si>
  <si>
    <t>Dead+Damaged+Giveaway+Donation losses</t>
  </si>
  <si>
    <t>TAX008-U1</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</si>
</sst>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quot;$&quot;#,##0.00"/>
    <numFmt numFmtId="166" formatCode="m/d/yyyy"/>
    <numFmt numFmtId="167" formatCode="ddmmmyyyy"/>
    <numFmt numFmtId="168" formatCode="m/d"/>
    <numFmt numFmtId="169" formatCode="M/d/yyyy H:mm:ss"/>
    <numFmt numFmtId="170" formatCode="m-d"/>
    <numFmt numFmtId="171" formatCode="m-d-yy"/>
    <numFmt numFmtId="172" formatCode="m-d-yyyy"/>
  </numFmts>
  <fonts count="47">
    <font>
      <sz val="10.0"/>
      <color rgb="FF000000"/>
      <name val="Arial"/>
      <scheme val="minor"/>
    </font>
    <font>
      <b/>
      <sz val="16.0"/>
      <color theme="1"/>
      <name val="Calibri"/>
    </font>
    <font>
      <sz val="16.0"/>
      <color theme="1"/>
      <name val="Calibri"/>
    </font>
    <font>
      <b/>
      <sz val="12.0"/>
      <color theme="1"/>
      <name val="Calibri"/>
    </font>
    <font>
      <b/>
      <sz val="11.0"/>
      <color theme="1"/>
      <name val="Calibri"/>
    </font>
    <font>
      <sz val="11.0"/>
      <color theme="1"/>
      <name val="Calibri"/>
    </font>
    <font>
      <color theme="1"/>
      <name val="Arial"/>
      <scheme val="minor"/>
    </font>
    <font>
      <b/>
      <sz val="15.0"/>
      <color theme="1"/>
      <name val="Calibri"/>
    </font>
    <font>
      <sz val="12.0"/>
      <color theme="1"/>
      <name val="Calibri"/>
    </font>
    <font>
      <sz val="13.0"/>
      <color theme="1"/>
      <name val="Arial"/>
      <scheme val="minor"/>
    </font>
    <font>
      <color theme="1"/>
      <name val="Calibri"/>
    </font>
    <font>
      <sz val="7.0"/>
      <color theme="1"/>
      <name val="Calibri"/>
    </font>
    <font>
      <sz val="10.0"/>
      <color theme="1"/>
      <name val="Calibri"/>
    </font>
    <font>
      <b/>
      <color theme="1"/>
      <name val="Calibri"/>
    </font>
    <font>
      <b/>
      <sz val="16.0"/>
      <color rgb="FF000000"/>
      <name val="Calibri"/>
    </font>
    <font>
      <sz val="16.0"/>
      <color rgb="FF000000"/>
      <name val="Calibri"/>
    </font>
    <font>
      <sz val="16.0"/>
      <color rgb="FF000000"/>
      <name val="Arial"/>
      <scheme val="minor"/>
    </font>
    <font>
      <b/>
      <sz val="16.0"/>
      <color rgb="FF000000"/>
      <name val="Arial"/>
      <scheme val="minor"/>
    </font>
    <font>
      <b/>
      <sz val="16.0"/>
      <color theme="1"/>
      <name val="Arial"/>
      <scheme val="minor"/>
    </font>
    <font>
      <sz val="14.0"/>
      <color theme="1"/>
      <name val="Arial"/>
      <scheme val="minor"/>
    </font>
    <font>
      <sz val="14.0"/>
      <color theme="1"/>
      <name val="Calibri"/>
    </font>
    <font>
      <sz val="15.0"/>
      <color theme="1"/>
      <name val="Calibri"/>
    </font>
    <font>
      <b/>
      <sz val="15.0"/>
      <color rgb="FF0F1111"/>
      <name val="&quot;Amazon Ember&quot;"/>
    </font>
    <font>
      <b/>
      <sz val="13.0"/>
      <color theme="1"/>
      <name val="Arial"/>
      <scheme val="minor"/>
    </font>
    <font>
      <sz val="16.0"/>
      <color rgb="FF555555"/>
      <name val="Calibri"/>
    </font>
    <font>
      <b/>
      <sz val="16.0"/>
      <color rgb="FF555555"/>
      <name val="Calibri"/>
    </font>
    <font>
      <sz val="17.0"/>
      <color theme="1"/>
      <name val="Calibri"/>
    </font>
    <font>
      <b/>
      <sz val="14.0"/>
      <color theme="1"/>
      <name val="Calibri"/>
    </font>
    <font>
      <b/>
      <sz val="18.0"/>
      <color theme="1"/>
      <name val="Calibri"/>
    </font>
    <font>
      <sz val="18.0"/>
      <color theme="1"/>
      <name val="Calibri"/>
    </font>
    <font>
      <b/>
      <sz val="18.0"/>
      <color theme="1"/>
      <name val="Arial"/>
      <scheme val="minor"/>
    </font>
    <font>
      <sz val="18.0"/>
      <color theme="1"/>
      <name val="Arial"/>
      <scheme val="minor"/>
    </font>
    <font>
      <b/>
      <sz val="10.0"/>
      <color rgb="FF000000"/>
      <name val="Arial"/>
    </font>
    <font>
      <color rgb="FF000000"/>
      <name val="Calibri"/>
    </font>
    <font>
      <sz val="10.0"/>
      <color theme="1"/>
      <name val="Arial"/>
    </font>
    <font>
      <b/>
      <sz val="12.0"/>
      <color theme="1"/>
      <name val="Arial"/>
    </font>
    <font>
      <color theme="1"/>
      <name val="Arial"/>
    </font>
    <font>
      <b/>
      <color theme="1"/>
      <name val="Arial"/>
    </font>
    <font>
      <sz val="7.0"/>
      <color theme="1"/>
      <name val="Arial"/>
    </font>
    <font>
      <b/>
      <color theme="1"/>
      <name val="Arial"/>
      <scheme val="minor"/>
    </font>
    <font>
      <sz val="5.0"/>
      <color theme="1"/>
      <name val="Arial"/>
    </font>
    <font>
      <sz val="8.0"/>
      <color theme="1"/>
      <name val="Arial"/>
    </font>
    <font>
      <sz val="9.0"/>
      <color theme="1"/>
      <name val="Arial"/>
    </font>
    <font>
      <sz val="6.0"/>
      <color theme="1"/>
      <name val="Arial"/>
    </font>
    <font>
      <color rgb="FF000000"/>
      <name val="Arial"/>
      <scheme val="minor"/>
    </font>
    <font>
      <sz val="10.0"/>
      <color rgb="FF000000"/>
      <name val="Arial"/>
    </font>
    <font>
      <b/>
      <sz val="14.0"/>
      <color theme="1"/>
      <name val="Arial"/>
      <scheme val="minor"/>
    </font>
  </fonts>
  <fills count="9">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FFF7D6"/>
        <bgColor rgb="FFFFF7D6"/>
      </patternFill>
    </fill>
    <fill>
      <patternFill patternType="solid">
        <fgColor rgb="FFFCE5CD"/>
        <bgColor rgb="FFFCE5CD"/>
      </patternFill>
    </fill>
    <fill>
      <patternFill patternType="solid">
        <fgColor rgb="FFFFFFFF"/>
        <bgColor rgb="FFFFFFFF"/>
      </patternFill>
    </fill>
    <fill>
      <patternFill patternType="solid">
        <fgColor rgb="FFB6D7A8"/>
        <bgColor rgb="FFB6D7A8"/>
      </patternFill>
    </fill>
    <fill>
      <patternFill patternType="solid">
        <fgColor rgb="FFB7E1CD"/>
        <bgColor rgb="FFB7E1CD"/>
      </patternFill>
    </fill>
  </fills>
  <borders count="26">
    <border/>
    <border>
      <left style="thick">
        <color rgb="FF000000"/>
      </left>
      <right style="thick">
        <color rgb="FF000000"/>
      </right>
      <top style="thick">
        <color rgb="FF000000"/>
      </top>
    </border>
    <border>
      <left style="thick">
        <color rgb="FF000000"/>
      </left>
      <right style="thin">
        <color rgb="FFCCCCCC"/>
      </right>
      <top style="thick">
        <color rgb="FF000000"/>
      </top>
      <bottom style="thick">
        <color rgb="FF000000"/>
      </bottom>
    </border>
    <border>
      <left style="thin">
        <color rgb="FFCCCCCC"/>
      </left>
      <right style="thin">
        <color rgb="FFCCCCCC"/>
      </right>
      <top style="thick">
        <color rgb="FF000000"/>
      </top>
      <bottom style="thick">
        <color rgb="FF000000"/>
      </bottom>
    </border>
    <border>
      <left style="thin">
        <color rgb="FFCCCCCC"/>
      </left>
      <top style="thick">
        <color rgb="FF000000"/>
      </top>
      <bottom style="thick">
        <color rgb="FF000000"/>
      </bottom>
    </border>
    <border>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top style="thin">
        <color rgb="FF000000"/>
      </top>
      <bottom style="thick">
        <color rgb="FF000000"/>
      </bottom>
    </border>
    <border>
      <left/>
      <right/>
      <top/>
      <bottom/>
    </border>
    <border>
      <left style="thin">
        <color rgb="FFCCCCCC"/>
      </left>
      <right style="thin">
        <color rgb="FFCCCCCC"/>
      </right>
      <top style="thin">
        <color rgb="FFCCCCCC"/>
      </top>
      <bottom style="thin">
        <color rgb="FFCCCCCC"/>
      </bottom>
    </border>
    <border>
      <left style="thin">
        <color rgb="FFAAAAAA"/>
      </left>
      <right style="thin">
        <color rgb="FFAAAAAA"/>
      </right>
      <top style="thin">
        <color rgb="FFAAAAAA"/>
      </top>
      <bottom style="thin">
        <color rgb="FFAAAAAA"/>
      </bottom>
    </border>
    <border>
      <left style="thick">
        <color rgb="FF000000"/>
      </left>
      <top style="thick">
        <color rgb="FF000000"/>
      </top>
      <bottom style="thick">
        <color rgb="FF000000"/>
      </bottom>
    </border>
    <border>
      <left style="thick">
        <color rgb="FF000000"/>
      </left>
      <top style="thin">
        <color rgb="FF000000"/>
      </top>
      <bottom style="thick">
        <color rgb="FF000000"/>
      </bottom>
    </border>
    <border>
      <right style="medium">
        <color rgb="FF000000"/>
      </right>
      <top style="thin">
        <color rgb="FF000000"/>
      </top>
      <bottom style="thick">
        <color rgb="FF000000"/>
      </bottom>
    </border>
    <border>
      <right style="thick">
        <color rgb="FF000000"/>
      </right>
      <top style="thin">
        <color rgb="FF000000"/>
      </top>
      <bottom style="thick">
        <color rgb="FF000000"/>
      </bottom>
    </border>
    <border>
      <left style="medium">
        <color rgb="FF000000"/>
      </left>
      <top style="thin">
        <color rgb="FF000000"/>
      </top>
      <bottom style="thick">
        <color rgb="FF000000"/>
      </bottom>
    </border>
    <border>
      <right style="thin">
        <color rgb="FF000000"/>
      </right>
      <top style="thin">
        <color rgb="FF000000"/>
      </top>
      <bottom style="thick">
        <color rgb="FF000000"/>
      </bottom>
    </border>
    <border>
      <left style="thick">
        <color rgb="FF000000"/>
      </left>
    </border>
    <border>
      <right style="medium">
        <color rgb="FF000000"/>
      </right>
    </border>
    <border>
      <right style="thick">
        <color rgb="FF000000"/>
      </right>
    </border>
    <border>
      <left style="medium">
        <color rgb="FF000000"/>
      </left>
    </border>
    <border>
      <right style="thin">
        <color rgb="FF000000"/>
      </right>
    </border>
  </borders>
  <cellStyleXfs count="1">
    <xf borderId="0" fillId="0" fontId="0" numFmtId="0" applyAlignment="1" applyFont="1"/>
  </cellStyleXfs>
  <cellXfs count="334">
    <xf borderId="0" fillId="0" fontId="0" numFmtId="0" xfId="0" applyAlignment="1" applyFont="1">
      <alignment readingOrder="0" shrinkToFit="0" vertical="bottom" wrapText="0"/>
    </xf>
    <xf borderId="0" fillId="2" fontId="1" numFmtId="164" xfId="0" applyAlignment="1" applyFill="1" applyFont="1" applyNumberFormat="1">
      <alignment horizontal="left"/>
    </xf>
    <xf borderId="0" fillId="2" fontId="2" numFmtId="0" xfId="0" applyAlignment="1" applyFont="1">
      <alignment horizontal="center"/>
    </xf>
    <xf borderId="0" fillId="2" fontId="1" numFmtId="0" xfId="0" applyAlignment="1" applyFont="1">
      <alignment horizontal="center"/>
    </xf>
    <xf borderId="1" fillId="2" fontId="3" numFmtId="165" xfId="0" applyAlignment="1" applyBorder="1" applyFont="1" applyNumberFormat="1">
      <alignment horizontal="center"/>
    </xf>
    <xf borderId="0" fillId="2" fontId="2" numFmtId="0" xfId="0" applyAlignment="1" applyFont="1">
      <alignment horizontal="center" readingOrder="0"/>
    </xf>
    <xf borderId="0" fillId="2" fontId="2" numFmtId="165" xfId="0" applyAlignment="1" applyFont="1" applyNumberFormat="1">
      <alignment horizontal="center"/>
    </xf>
    <xf borderId="2" fillId="2" fontId="1" numFmtId="164" xfId="0" applyAlignment="1" applyBorder="1" applyFont="1" applyNumberFormat="1">
      <alignment horizontal="left" shrinkToFit="0" vertical="center" wrapText="1"/>
    </xf>
    <xf borderId="3" fillId="2" fontId="1" numFmtId="0" xfId="0" applyAlignment="1" applyBorder="1" applyFont="1">
      <alignment horizontal="center" shrinkToFit="0" vertical="center" wrapText="1"/>
    </xf>
    <xf borderId="4" fillId="2" fontId="1" numFmtId="0" xfId="0" applyAlignment="1" applyBorder="1" applyFont="1">
      <alignment horizontal="center" readingOrder="0" shrinkToFit="0" vertical="center" wrapText="1"/>
    </xf>
    <xf borderId="5" fillId="2" fontId="1" numFmtId="165" xfId="0" applyAlignment="1" applyBorder="1" applyFont="1" applyNumberFormat="1">
      <alignment horizontal="center" readingOrder="0" shrinkToFit="0" vertical="center" wrapText="1"/>
    </xf>
    <xf borderId="6" fillId="2" fontId="2" numFmtId="0" xfId="0" applyAlignment="1" applyBorder="1" applyFont="1">
      <alignment horizontal="center" readingOrder="0"/>
    </xf>
    <xf borderId="6" fillId="2" fontId="2" numFmtId="165" xfId="0" applyAlignment="1" applyBorder="1" applyFont="1" applyNumberFormat="1">
      <alignment horizontal="center" readingOrder="0"/>
    </xf>
    <xf borderId="6" fillId="2" fontId="2" numFmtId="0" xfId="0" applyAlignment="1" applyBorder="1" applyFont="1">
      <alignment horizontal="center"/>
    </xf>
    <xf borderId="7" fillId="2" fontId="2" numFmtId="0" xfId="0" applyAlignment="1" applyBorder="1" applyFont="1">
      <alignment horizontal="center"/>
    </xf>
    <xf borderId="0" fillId="0" fontId="2" numFmtId="164" xfId="0" applyAlignment="1" applyFont="1" applyNumberFormat="1">
      <alignment horizontal="left" readingOrder="0"/>
    </xf>
    <xf borderId="0" fillId="0" fontId="2" numFmtId="0" xfId="0" applyAlignment="1" applyFont="1">
      <alignment horizontal="center" readingOrder="0"/>
    </xf>
    <xf borderId="0" fillId="0" fontId="1" numFmtId="0" xfId="0" applyAlignment="1" applyFont="1">
      <alignment horizontal="center"/>
    </xf>
    <xf borderId="0" fillId="0" fontId="2" numFmtId="165" xfId="0" applyAlignment="1" applyFont="1" applyNumberFormat="1">
      <alignment horizontal="center" readingOrder="0"/>
    </xf>
    <xf borderId="0" fillId="0" fontId="2" numFmtId="0" xfId="0" applyAlignment="1" applyFont="1">
      <alignment horizontal="center"/>
    </xf>
    <xf borderId="0" fillId="0" fontId="2" numFmtId="165" xfId="0" applyAlignment="1" applyFont="1" applyNumberFormat="1">
      <alignment horizontal="center"/>
    </xf>
    <xf borderId="0" fillId="0" fontId="4" numFmtId="0" xfId="0" applyAlignment="1" applyFont="1">
      <alignment horizontal="center" readingOrder="0" vertical="bottom"/>
    </xf>
    <xf quotePrefix="1" borderId="0" fillId="0" fontId="2" numFmtId="0" xfId="0" applyAlignment="1" applyFont="1">
      <alignment horizontal="center" readingOrder="0"/>
    </xf>
    <xf borderId="0" fillId="0" fontId="2" numFmtId="166" xfId="0" applyAlignment="1" applyFont="1" applyNumberFormat="1">
      <alignment horizontal="left" readingOrder="0"/>
    </xf>
    <xf borderId="0" fillId="0" fontId="2" numFmtId="14" xfId="0" applyAlignment="1" applyFont="1" applyNumberFormat="1">
      <alignment horizontal="left" readingOrder="0"/>
    </xf>
    <xf borderId="0" fillId="0" fontId="2" numFmtId="164" xfId="0" applyAlignment="1" applyFont="1" applyNumberFormat="1">
      <alignment horizontal="left"/>
    </xf>
    <xf borderId="0" fillId="0" fontId="5" numFmtId="0" xfId="0" applyAlignment="1" applyFont="1">
      <alignment vertical="bottom"/>
    </xf>
    <xf borderId="0" fillId="0" fontId="6" numFmtId="166" xfId="0" applyAlignment="1" applyFont="1" applyNumberFormat="1">
      <alignment readingOrder="0"/>
    </xf>
    <xf borderId="0" fillId="0" fontId="6" numFmtId="0" xfId="0" applyAlignment="1" applyFont="1">
      <alignment readingOrder="0"/>
    </xf>
    <xf borderId="0" fillId="0" fontId="6" numFmtId="0" xfId="0" applyAlignment="1" applyFont="1">
      <alignment readingOrder="0"/>
    </xf>
    <xf borderId="0" fillId="0" fontId="5" numFmtId="0" xfId="0" applyAlignment="1" applyFont="1">
      <alignment horizontal="center" shrinkToFit="0" vertical="bottom" wrapText="0"/>
    </xf>
    <xf borderId="0" fillId="0" fontId="5" numFmtId="0" xfId="0" applyAlignment="1" applyFont="1">
      <alignment horizontal="center" readingOrder="0" shrinkToFit="0" vertical="bottom" wrapText="0"/>
    </xf>
    <xf borderId="0" fillId="0" fontId="5" numFmtId="166" xfId="0" applyAlignment="1" applyFont="1" applyNumberFormat="1">
      <alignment horizontal="center" readingOrder="0" shrinkToFit="0" vertical="bottom" wrapText="0"/>
    </xf>
    <xf borderId="0" fillId="0" fontId="5" numFmtId="165" xfId="0" applyAlignment="1" applyFont="1" applyNumberFormat="1">
      <alignment horizontal="center" readingOrder="0" shrinkToFit="0" vertical="bottom" wrapText="0"/>
    </xf>
    <xf borderId="0" fillId="0" fontId="5" numFmtId="0" xfId="0" applyAlignment="1" applyFont="1">
      <alignment horizontal="center" readingOrder="0" shrinkToFit="0" vertical="bottom" wrapText="0"/>
    </xf>
    <xf borderId="0" fillId="0" fontId="5" numFmtId="11" xfId="0" applyAlignment="1" applyFont="1" applyNumberFormat="1">
      <alignment horizontal="center" readingOrder="0" shrinkToFit="0" vertical="bottom" wrapText="0"/>
    </xf>
    <xf borderId="8" fillId="0" fontId="7" numFmtId="164" xfId="0" applyAlignment="1" applyBorder="1" applyFont="1" applyNumberFormat="1">
      <alignment horizontal="left" shrinkToFit="0" vertical="bottom" wrapText="0"/>
    </xf>
    <xf borderId="9" fillId="0" fontId="7" numFmtId="0" xfId="0" applyAlignment="1" applyBorder="1" applyFont="1">
      <alignment horizontal="left" shrinkToFit="0" vertical="bottom" wrapText="0"/>
    </xf>
    <xf borderId="9" fillId="0" fontId="7" numFmtId="0" xfId="0" applyAlignment="1" applyBorder="1" applyFont="1">
      <alignment horizontal="center" shrinkToFit="0" vertical="bottom" wrapText="0"/>
    </xf>
    <xf borderId="9" fillId="0" fontId="7" numFmtId="165" xfId="0" applyAlignment="1" applyBorder="1" applyFont="1" applyNumberFormat="1">
      <alignment horizontal="center" readingOrder="0" shrinkToFit="0" vertical="bottom" wrapText="0"/>
    </xf>
    <xf borderId="9" fillId="0" fontId="7" numFmtId="0" xfId="0" applyAlignment="1" applyBorder="1" applyFont="1">
      <alignment horizontal="left" readingOrder="0" shrinkToFit="0" vertical="bottom" wrapText="0"/>
    </xf>
    <xf borderId="9" fillId="0" fontId="7" numFmtId="49" xfId="0" applyAlignment="1" applyBorder="1" applyFont="1" applyNumberFormat="1">
      <alignment horizontal="center" readingOrder="0" shrinkToFit="0" vertical="bottom" wrapText="0"/>
    </xf>
    <xf borderId="9" fillId="0" fontId="7" numFmtId="0" xfId="0" applyAlignment="1" applyBorder="1" applyFont="1">
      <alignment horizontal="center" readingOrder="0" shrinkToFit="0" vertical="bottom" wrapText="0"/>
    </xf>
    <xf borderId="10" fillId="0" fontId="7" numFmtId="0" xfId="0" applyAlignment="1" applyBorder="1" applyFont="1">
      <alignment horizontal="center" shrinkToFit="0" vertical="bottom" wrapText="0"/>
    </xf>
    <xf borderId="0" fillId="0" fontId="6" numFmtId="14" xfId="0" applyAlignment="1" applyFont="1" applyNumberFormat="1">
      <alignment readingOrder="0"/>
    </xf>
    <xf borderId="0" fillId="0" fontId="5" numFmtId="167" xfId="0" applyAlignment="1" applyFont="1" applyNumberFormat="1">
      <alignment horizontal="center" readingOrder="0" shrinkToFit="0" vertical="bottom" wrapText="0"/>
    </xf>
    <xf borderId="0" fillId="0" fontId="3" numFmtId="0" xfId="0" applyFont="1"/>
    <xf borderId="0" fillId="0" fontId="3" numFmtId="0" xfId="0" applyAlignment="1" applyFont="1">
      <alignment readingOrder="0"/>
    </xf>
    <xf borderId="11" fillId="0" fontId="3" numFmtId="0" xfId="0" applyAlignment="1" applyBorder="1" applyFont="1">
      <alignment horizontal="center" vertical="bottom"/>
    </xf>
    <xf borderId="0" fillId="0" fontId="8" numFmtId="0" xfId="0" applyAlignment="1" applyFont="1">
      <alignment readingOrder="0"/>
    </xf>
    <xf borderId="0" fillId="0" fontId="8" numFmtId="0" xfId="0" applyFont="1"/>
    <xf borderId="0" fillId="0" fontId="8" numFmtId="0" xfId="0" applyFont="1"/>
    <xf borderId="0" fillId="0" fontId="9" numFmtId="49" xfId="0" applyAlignment="1" applyFont="1" applyNumberFormat="1">
      <alignment horizontal="center" readingOrder="0" shrinkToFit="0" wrapText="0"/>
    </xf>
    <xf borderId="0" fillId="0" fontId="3" numFmtId="0" xfId="0" applyAlignment="1" applyFont="1">
      <alignment horizontal="center" vertical="bottom"/>
    </xf>
    <xf borderId="0" fillId="0" fontId="9" numFmtId="0" xfId="0" applyAlignment="1" applyFont="1">
      <alignment horizontal="center" readingOrder="0" shrinkToFit="0" wrapText="0"/>
    </xf>
    <xf borderId="0" fillId="0" fontId="9" numFmtId="49" xfId="0" applyAlignment="1" applyFont="1" applyNumberFormat="1">
      <alignment horizontal="center" shrinkToFit="0" wrapText="0"/>
    </xf>
    <xf borderId="0" fillId="0" fontId="3" numFmtId="0" xfId="0" applyAlignment="1" applyFont="1">
      <alignment horizontal="center" readingOrder="0" vertical="bottom"/>
    </xf>
    <xf borderId="0" fillId="0" fontId="5" numFmtId="0" xfId="0" applyAlignment="1" applyFont="1">
      <alignment readingOrder="0"/>
    </xf>
    <xf borderId="0" fillId="0" fontId="10" numFmtId="0" xfId="0" applyAlignment="1" applyFont="1">
      <alignment readingOrder="0"/>
    </xf>
    <xf borderId="0" fillId="0" fontId="3" numFmtId="0" xfId="0" applyFont="1"/>
    <xf borderId="0" fillId="0" fontId="11" numFmtId="0" xfId="0" applyAlignment="1" applyFont="1">
      <alignment readingOrder="0"/>
    </xf>
    <xf borderId="0" fillId="0" fontId="4" numFmtId="0" xfId="0" applyAlignment="1" applyFont="1">
      <alignment readingOrder="0"/>
    </xf>
    <xf borderId="0" fillId="0" fontId="12" numFmtId="0" xfId="0" applyAlignment="1" applyFont="1">
      <alignment readingOrder="0"/>
    </xf>
    <xf borderId="0" fillId="0" fontId="3" numFmtId="0" xfId="0" applyAlignment="1" applyFont="1">
      <alignment horizontal="center"/>
    </xf>
    <xf borderId="0" fillId="0" fontId="10" numFmtId="0" xfId="0" applyFont="1"/>
    <xf borderId="0" fillId="0" fontId="13" numFmtId="0" xfId="0" applyAlignment="1" applyFont="1">
      <alignment horizontal="center"/>
    </xf>
    <xf borderId="0" fillId="0" fontId="6" numFmtId="164" xfId="0" applyAlignment="1" applyFont="1" applyNumberFormat="1">
      <alignment horizontal="center" shrinkToFit="0" wrapText="0"/>
    </xf>
    <xf borderId="0" fillId="0" fontId="6" numFmtId="0" xfId="0" applyAlignment="1" applyFont="1">
      <alignment horizontal="center" shrinkToFit="0" wrapText="0"/>
    </xf>
    <xf borderId="0" fillId="0" fontId="6" numFmtId="165" xfId="0" applyAlignment="1" applyFont="1" applyNumberFormat="1">
      <alignment horizontal="center" shrinkToFit="0" wrapText="0"/>
    </xf>
    <xf borderId="0" fillId="0" fontId="6" numFmtId="10" xfId="0" applyAlignment="1" applyFont="1" applyNumberFormat="1">
      <alignment horizontal="center" shrinkToFit="0" wrapText="0"/>
    </xf>
    <xf borderId="0" fillId="0" fontId="6" numFmtId="0" xfId="0" applyAlignment="1" applyFont="1">
      <alignment horizontal="center" readingOrder="0" shrinkToFit="0" wrapText="0"/>
    </xf>
    <xf borderId="0" fillId="0" fontId="6" numFmtId="165" xfId="0" applyAlignment="1" applyFont="1" applyNumberFormat="1">
      <alignment horizontal="center" readingOrder="0" shrinkToFit="0" wrapText="0"/>
    </xf>
    <xf borderId="0" fillId="0" fontId="6" numFmtId="10" xfId="0" applyAlignment="1" applyFont="1" applyNumberFormat="1">
      <alignment horizontal="center" readingOrder="0" shrinkToFit="0" wrapText="0"/>
    </xf>
    <xf borderId="0" fillId="0" fontId="6" numFmtId="0" xfId="0" applyAlignment="1" applyFont="1">
      <alignment readingOrder="0" shrinkToFit="0" wrapText="0"/>
    </xf>
    <xf borderId="0" fillId="0" fontId="6" numFmtId="164" xfId="0" applyAlignment="1" applyFont="1" applyNumberFormat="1">
      <alignment horizontal="center" readingOrder="0" shrinkToFit="0" wrapText="0"/>
    </xf>
    <xf borderId="0" fillId="0" fontId="6" numFmtId="0" xfId="0" applyAlignment="1" applyFont="1">
      <alignment horizontal="center" readingOrder="0" shrinkToFit="0" wrapText="0"/>
    </xf>
    <xf borderId="0" fillId="0" fontId="4" numFmtId="0" xfId="0" applyAlignment="1" applyFont="1">
      <alignment horizontal="center" readingOrder="0" shrinkToFit="0" vertical="bottom" wrapText="0"/>
    </xf>
    <xf borderId="0" fillId="0" fontId="6" numFmtId="0" xfId="0" applyAlignment="1" applyFont="1">
      <alignment horizontal="center" shrinkToFit="0" wrapText="0"/>
    </xf>
    <xf borderId="0" fillId="0" fontId="14" numFmtId="164" xfId="0" applyAlignment="1" applyFont="1" applyNumberFormat="1">
      <alignment horizontal="center" shrinkToFit="0" wrapText="0"/>
    </xf>
    <xf borderId="0" fillId="0" fontId="14" numFmtId="0" xfId="0" applyAlignment="1" applyFont="1">
      <alignment horizontal="center" shrinkToFit="0" wrapText="0"/>
    </xf>
    <xf borderId="0" fillId="3" fontId="14" numFmtId="165" xfId="0" applyAlignment="1" applyFill="1" applyFont="1" applyNumberFormat="1">
      <alignment horizontal="center" shrinkToFit="0" wrapText="0"/>
    </xf>
    <xf borderId="0" fillId="3" fontId="14" numFmtId="165" xfId="0" applyAlignment="1" applyFont="1" applyNumberFormat="1">
      <alignment horizontal="center" shrinkToFit="0" wrapText="0"/>
    </xf>
    <xf borderId="12" fillId="3" fontId="14" numFmtId="165" xfId="0" applyAlignment="1" applyBorder="1" applyFont="1" applyNumberFormat="1">
      <alignment horizontal="center" shrinkToFit="0" wrapText="0"/>
    </xf>
    <xf borderId="12" fillId="4" fontId="14" numFmtId="165" xfId="0" applyAlignment="1" applyBorder="1" applyFill="1" applyFont="1" applyNumberFormat="1">
      <alignment horizontal="center" shrinkToFit="0" wrapText="0"/>
    </xf>
    <xf borderId="12" fillId="4" fontId="14" numFmtId="10" xfId="0" applyAlignment="1" applyBorder="1" applyFont="1" applyNumberFormat="1">
      <alignment horizontal="center" shrinkToFit="0" wrapText="0"/>
    </xf>
    <xf borderId="13" fillId="2" fontId="14" numFmtId="164" xfId="0" applyAlignment="1" applyBorder="1" applyFont="1" applyNumberFormat="1">
      <alignment horizontal="center" shrinkToFit="0" vertical="center" wrapText="0"/>
    </xf>
    <xf borderId="13" fillId="2" fontId="14" numFmtId="0" xfId="0" applyAlignment="1" applyBorder="1" applyFont="1">
      <alignment horizontal="center" readingOrder="0" shrinkToFit="0" vertical="center" wrapText="0"/>
    </xf>
    <xf borderId="13" fillId="2" fontId="14" numFmtId="0" xfId="0" applyAlignment="1" applyBorder="1" applyFont="1">
      <alignment horizontal="center" shrinkToFit="0" vertical="center" wrapText="0"/>
    </xf>
    <xf borderId="13" fillId="2" fontId="14" numFmtId="165" xfId="0" applyAlignment="1" applyBorder="1" applyFont="1" applyNumberFormat="1">
      <alignment horizontal="center" readingOrder="0" shrinkToFit="0" vertical="center" wrapText="0"/>
    </xf>
    <xf borderId="13" fillId="2" fontId="14" numFmtId="165" xfId="0" applyAlignment="1" applyBorder="1" applyFont="1" applyNumberFormat="1">
      <alignment horizontal="center" readingOrder="0" shrinkToFit="0" vertical="center" wrapText="0"/>
    </xf>
    <xf borderId="13" fillId="2" fontId="14" numFmtId="165" xfId="0" applyAlignment="1" applyBorder="1" applyFont="1" applyNumberFormat="1">
      <alignment horizontal="center" shrinkToFit="0" vertical="center" wrapText="0"/>
    </xf>
    <xf borderId="13" fillId="2" fontId="14" numFmtId="10" xfId="0" applyAlignment="1" applyBorder="1" applyFont="1" applyNumberFormat="1">
      <alignment horizontal="center" readingOrder="0" shrinkToFit="0" vertical="center" wrapText="0"/>
    </xf>
    <xf borderId="0" fillId="2" fontId="14" numFmtId="0" xfId="0" applyAlignment="1" applyFont="1">
      <alignment horizontal="center" readingOrder="0" shrinkToFit="0" wrapText="0"/>
    </xf>
    <xf borderId="0" fillId="2" fontId="14" numFmtId="0" xfId="0" applyAlignment="1" applyFont="1">
      <alignment horizontal="center" shrinkToFit="0" wrapText="0"/>
    </xf>
    <xf borderId="0" fillId="0" fontId="15" numFmtId="164" xfId="0" applyAlignment="1" applyFont="1" applyNumberFormat="1">
      <alignment horizontal="center" readingOrder="0" shrinkToFit="0" wrapText="0"/>
    </xf>
    <xf borderId="0" fillId="0" fontId="14" numFmtId="4" xfId="0" applyAlignment="1" applyFont="1" applyNumberFormat="1">
      <alignment horizontal="center" shrinkToFit="0" vertical="bottom" wrapText="0"/>
    </xf>
    <xf borderId="0" fillId="0" fontId="15" numFmtId="0" xfId="0" applyAlignment="1" applyFont="1">
      <alignment horizontal="center" readingOrder="0" shrinkToFit="0" vertical="bottom" wrapText="0"/>
    </xf>
    <xf borderId="0" fillId="0" fontId="15" numFmtId="4" xfId="0" applyAlignment="1" applyFont="1" applyNumberFormat="1">
      <alignment horizontal="center" shrinkToFit="0" vertical="bottom" wrapText="0"/>
    </xf>
    <xf borderId="0" fillId="0" fontId="15" numFmtId="165" xfId="0" applyAlignment="1" applyFont="1" applyNumberFormat="1">
      <alignment horizontal="center" shrinkToFit="0" wrapText="0"/>
    </xf>
    <xf borderId="0" fillId="0" fontId="15" numFmtId="165" xfId="0" applyAlignment="1" applyFont="1" applyNumberFormat="1">
      <alignment horizontal="center" shrinkToFit="0" vertical="bottom" wrapText="0"/>
    </xf>
    <xf borderId="0" fillId="0" fontId="15" numFmtId="165" xfId="0" applyAlignment="1" applyFont="1" applyNumberFormat="1">
      <alignment horizontal="center" readingOrder="0" shrinkToFit="0" vertical="bottom" wrapText="0"/>
    </xf>
    <xf borderId="0" fillId="0" fontId="15" numFmtId="165" xfId="0" applyAlignment="1" applyFont="1" applyNumberFormat="1">
      <alignment horizontal="center" shrinkToFit="0" vertical="bottom" wrapText="0"/>
    </xf>
    <xf borderId="0" fillId="0" fontId="15" numFmtId="0" xfId="0" applyAlignment="1" applyFont="1">
      <alignment horizontal="center" readingOrder="0" shrinkToFit="0" wrapText="0"/>
    </xf>
    <xf borderId="0" fillId="0" fontId="15" numFmtId="10" xfId="0" applyAlignment="1" applyFont="1" applyNumberFormat="1">
      <alignment horizontal="center" shrinkToFit="0" wrapText="0"/>
    </xf>
    <xf borderId="0" fillId="0" fontId="15" numFmtId="0" xfId="0" applyAlignment="1" applyFont="1">
      <alignment horizontal="center" shrinkToFit="0" wrapText="0"/>
    </xf>
    <xf borderId="0" fillId="0" fontId="15" numFmtId="164" xfId="0" applyAlignment="1" applyFont="1" applyNumberFormat="1">
      <alignment horizontal="center" shrinkToFit="0" wrapText="0"/>
    </xf>
    <xf borderId="0" fillId="0" fontId="15" numFmtId="0" xfId="0" applyAlignment="1" applyFont="1">
      <alignment horizontal="center" shrinkToFit="0" vertical="bottom" wrapText="0"/>
    </xf>
    <xf borderId="0" fillId="0" fontId="15" numFmtId="165" xfId="0" applyAlignment="1" applyFont="1" applyNumberFormat="1">
      <alignment horizontal="center" readingOrder="0" shrinkToFit="0" vertical="bottom" wrapText="0"/>
    </xf>
    <xf borderId="0" fillId="0" fontId="14" numFmtId="4" xfId="0" applyAlignment="1" applyFont="1" applyNumberFormat="1">
      <alignment horizontal="center" readingOrder="0" shrinkToFit="0" vertical="bottom" wrapText="0"/>
    </xf>
    <xf borderId="0" fillId="0" fontId="15" numFmtId="4" xfId="0" applyAlignment="1" applyFont="1" applyNumberFormat="1">
      <alignment horizontal="center" readingOrder="0" shrinkToFit="0" vertical="bottom" wrapText="0"/>
    </xf>
    <xf borderId="0" fillId="0" fontId="15" numFmtId="165" xfId="0" applyAlignment="1" applyFont="1" applyNumberFormat="1">
      <alignment horizontal="center" shrinkToFit="0" wrapText="0"/>
    </xf>
    <xf borderId="0" fillId="0" fontId="15" numFmtId="165" xfId="0" applyAlignment="1" applyFont="1" applyNumberFormat="1">
      <alignment horizontal="center" readingOrder="0" shrinkToFit="0" wrapText="0"/>
    </xf>
    <xf borderId="0" fillId="0" fontId="15" numFmtId="165" xfId="0" applyAlignment="1" applyFont="1" applyNumberFormat="1">
      <alignment horizontal="center" readingOrder="0" shrinkToFit="0" wrapText="0"/>
    </xf>
    <xf borderId="0" fillId="0" fontId="14" numFmtId="0" xfId="0" applyAlignment="1" applyFont="1">
      <alignment horizontal="center" readingOrder="0" shrinkToFit="0" wrapText="0"/>
    </xf>
    <xf borderId="0" fillId="0" fontId="16" numFmtId="164" xfId="0" applyAlignment="1" applyFont="1" applyNumberFormat="1">
      <alignment horizontal="center" shrinkToFit="0" wrapText="0"/>
    </xf>
    <xf borderId="0" fillId="0" fontId="17" numFmtId="0" xfId="0" applyAlignment="1" applyFont="1">
      <alignment horizontal="center" shrinkToFit="0" wrapText="0"/>
    </xf>
    <xf borderId="0" fillId="0" fontId="16" numFmtId="0" xfId="0" applyAlignment="1" applyFont="1">
      <alignment horizontal="center" shrinkToFit="0" wrapText="0"/>
    </xf>
    <xf borderId="0" fillId="0" fontId="16" numFmtId="165" xfId="0" applyAlignment="1" applyFont="1" applyNumberFormat="1">
      <alignment horizontal="center" shrinkToFit="0" wrapText="0"/>
    </xf>
    <xf borderId="0" fillId="0" fontId="16" numFmtId="10" xfId="0" applyAlignment="1" applyFont="1" applyNumberFormat="1">
      <alignment horizontal="center" shrinkToFit="0" wrapText="0"/>
    </xf>
    <xf borderId="0" fillId="0" fontId="18" numFmtId="0" xfId="0" applyAlignment="1" applyFont="1">
      <alignment horizontal="center" readingOrder="0"/>
    </xf>
    <xf borderId="0" fillId="0" fontId="18" numFmtId="0" xfId="0" applyAlignment="1" applyFont="1">
      <alignment horizontal="center"/>
    </xf>
    <xf borderId="0" fillId="0" fontId="18" numFmtId="0" xfId="0" applyAlignment="1" applyFont="1">
      <alignment horizontal="center"/>
    </xf>
    <xf borderId="0" fillId="0" fontId="19" numFmtId="0" xfId="0" applyAlignment="1" applyFont="1">
      <alignment horizontal="center" readingOrder="0"/>
    </xf>
    <xf borderId="0" fillId="0" fontId="19" numFmtId="0" xfId="0" applyAlignment="1" applyFont="1">
      <alignment horizontal="center"/>
    </xf>
    <xf borderId="0" fillId="0" fontId="20" numFmtId="0" xfId="0" applyAlignment="1" applyFont="1">
      <alignment horizontal="center"/>
    </xf>
    <xf borderId="0" fillId="0" fontId="19" numFmtId="0" xfId="0" applyAlignment="1" applyFont="1">
      <alignment horizontal="center"/>
    </xf>
    <xf borderId="0" fillId="0" fontId="20" numFmtId="0" xfId="0" applyAlignment="1" applyFont="1">
      <alignment horizontal="center" vertical="bottom"/>
    </xf>
    <xf borderId="0" fillId="0" fontId="7" numFmtId="164" xfId="0" applyAlignment="1" applyFont="1" applyNumberFormat="1">
      <alignment horizontal="left" shrinkToFit="0" vertical="bottom" wrapText="0"/>
    </xf>
    <xf borderId="0" fillId="0" fontId="7" numFmtId="0" xfId="0" applyAlignment="1" applyFont="1">
      <alignment horizontal="left" shrinkToFit="0" vertical="bottom" wrapText="0"/>
    </xf>
    <xf borderId="0" fillId="0" fontId="7" numFmtId="0" xfId="0" applyAlignment="1" applyFont="1">
      <alignment horizontal="center" shrinkToFit="0" vertical="bottom" wrapText="0"/>
    </xf>
    <xf borderId="0" fillId="5" fontId="7" numFmtId="165" xfId="0" applyAlignment="1" applyFill="1" applyFont="1" applyNumberFormat="1">
      <alignment horizontal="center" readingOrder="0" shrinkToFit="0" vertical="bottom" wrapText="0"/>
    </xf>
    <xf borderId="0" fillId="0" fontId="7" numFmtId="0" xfId="0" applyAlignment="1" applyFont="1">
      <alignment horizontal="left" readingOrder="0" shrinkToFit="0" vertical="bottom" wrapText="0"/>
    </xf>
    <xf borderId="0" fillId="0" fontId="7" numFmtId="49" xfId="0" applyAlignment="1" applyFont="1" applyNumberFormat="1">
      <alignment horizontal="center" readingOrder="0" shrinkToFit="0" vertical="bottom" wrapText="0"/>
    </xf>
    <xf borderId="0" fillId="0" fontId="21" numFmtId="164" xfId="0" applyAlignment="1" applyFont="1" applyNumberFormat="1">
      <alignment horizontal="left" readingOrder="0" shrinkToFit="0" vertical="bottom" wrapText="0"/>
    </xf>
    <xf borderId="0" fillId="0" fontId="21" numFmtId="0" xfId="0" applyAlignment="1" applyFont="1">
      <alignment horizontal="left" readingOrder="0" shrinkToFit="0" vertical="bottom" wrapText="0"/>
    </xf>
    <xf borderId="0" fillId="0" fontId="21" numFmtId="0" xfId="0" applyAlignment="1" applyFont="1">
      <alignment horizontal="center" readingOrder="0" shrinkToFit="0" vertical="bottom" wrapText="0"/>
    </xf>
    <xf borderId="0" fillId="0" fontId="21" numFmtId="165" xfId="0" applyAlignment="1" applyFont="1" applyNumberFormat="1">
      <alignment horizontal="center" readingOrder="0" shrinkToFit="0" vertical="bottom" wrapText="0"/>
    </xf>
    <xf borderId="0" fillId="0" fontId="7" numFmtId="165" xfId="0" applyAlignment="1" applyFont="1" applyNumberFormat="1">
      <alignment horizontal="center" shrinkToFit="0" vertical="bottom" wrapText="0"/>
    </xf>
    <xf borderId="0" fillId="0" fontId="21" numFmtId="49" xfId="0" applyAlignment="1" applyFont="1" applyNumberFormat="1">
      <alignment horizontal="center" readingOrder="0" shrinkToFit="0" vertical="bottom" wrapText="0"/>
    </xf>
    <xf borderId="0" fillId="6" fontId="22" numFmtId="0" xfId="0" applyAlignment="1" applyFill="1" applyFont="1">
      <alignment readingOrder="0" shrinkToFit="0" wrapText="0"/>
    </xf>
    <xf borderId="0" fillId="0" fontId="21" numFmtId="0" xfId="0" applyAlignment="1" applyFont="1">
      <alignment horizontal="center" shrinkToFit="0" vertical="bottom" wrapText="0"/>
    </xf>
    <xf borderId="0" fillId="0" fontId="21" numFmtId="49" xfId="0" applyAlignment="1" applyFont="1" applyNumberFormat="1">
      <alignment horizontal="center" shrinkToFit="0" vertical="bottom" wrapText="0"/>
    </xf>
    <xf borderId="0" fillId="0" fontId="21" numFmtId="165" xfId="0" applyAlignment="1" applyFont="1" applyNumberFormat="1">
      <alignment horizontal="center" shrinkToFit="0" vertical="bottom" wrapText="0"/>
    </xf>
    <xf borderId="0" fillId="0" fontId="7" numFmtId="0" xfId="0" applyAlignment="1" applyFont="1">
      <alignment horizontal="center" readingOrder="0" shrinkToFit="0" vertical="bottom" wrapText="0"/>
    </xf>
    <xf quotePrefix="1" borderId="0" fillId="0" fontId="7" numFmtId="0" xfId="0" applyAlignment="1" applyFont="1">
      <alignment horizontal="center" readingOrder="0" shrinkToFit="0" vertical="bottom" wrapText="0"/>
    </xf>
    <xf borderId="0" fillId="0" fontId="21" numFmtId="164" xfId="0" applyAlignment="1" applyFont="1" applyNumberFormat="1">
      <alignment horizontal="left" shrinkToFit="0" vertical="bottom" wrapText="0"/>
    </xf>
    <xf borderId="0" fillId="0" fontId="21" numFmtId="0" xfId="0" applyAlignment="1" applyFont="1">
      <alignment horizontal="left" shrinkToFit="0" vertical="bottom" wrapText="0"/>
    </xf>
    <xf quotePrefix="1" borderId="0" fillId="0" fontId="21" numFmtId="49" xfId="0" applyAlignment="1" applyFont="1" applyNumberFormat="1">
      <alignment horizontal="center" readingOrder="0" shrinkToFit="0" vertical="bottom" wrapText="0"/>
    </xf>
    <xf borderId="0" fillId="0" fontId="21" numFmtId="168" xfId="0" applyAlignment="1" applyFont="1" applyNumberFormat="1">
      <alignment horizontal="left" readingOrder="0" shrinkToFit="0" vertical="bottom" wrapText="0"/>
    </xf>
    <xf quotePrefix="1" borderId="0" fillId="0" fontId="21" numFmtId="0" xfId="0" applyAlignment="1" applyFont="1">
      <alignment horizontal="center" readingOrder="0" shrinkToFit="0" vertical="bottom" wrapText="0"/>
    </xf>
    <xf borderId="0" fillId="0" fontId="23" numFmtId="0" xfId="0" applyAlignment="1" applyFont="1">
      <alignment horizontal="center" readingOrder="0" shrinkToFit="0" wrapText="0"/>
    </xf>
    <xf borderId="0" fillId="0" fontId="23" numFmtId="0" xfId="0" applyAlignment="1" applyFont="1">
      <alignment horizontal="center" shrinkToFit="0" wrapText="0"/>
    </xf>
    <xf borderId="0" fillId="0" fontId="9" numFmtId="0" xfId="0" applyAlignment="1" applyFont="1">
      <alignment horizontal="center" shrinkToFit="0" wrapText="0"/>
    </xf>
    <xf borderId="0" fillId="0" fontId="9" numFmtId="0" xfId="0" applyAlignment="1" applyFont="1">
      <alignment horizontal="center" readingOrder="0"/>
    </xf>
    <xf borderId="0" fillId="0" fontId="9" numFmtId="0" xfId="0" applyAlignment="1" applyFont="1">
      <alignment horizontal="center" shrinkToFit="0" wrapText="0"/>
    </xf>
    <xf borderId="0" fillId="0" fontId="23" numFmtId="49" xfId="0" applyAlignment="1" applyFont="1" applyNumberFormat="1">
      <alignment horizontal="center" readingOrder="0" shrinkToFit="0" wrapText="0"/>
    </xf>
    <xf borderId="0" fillId="0" fontId="6" numFmtId="0" xfId="0" applyAlignment="1" applyFont="1">
      <alignment shrinkToFit="0" wrapText="0"/>
    </xf>
    <xf borderId="0" fillId="0" fontId="9" numFmtId="0" xfId="0" applyAlignment="1" applyFont="1">
      <alignment horizontal="center"/>
    </xf>
    <xf borderId="0" fillId="0" fontId="24" numFmtId="164" xfId="0" applyAlignment="1" applyFont="1" applyNumberFormat="1">
      <alignment horizontal="left" vertical="bottom"/>
    </xf>
    <xf borderId="0" fillId="0" fontId="24" numFmtId="0" xfId="0" applyAlignment="1" applyFont="1">
      <alignment horizontal="right" vertical="bottom"/>
    </xf>
    <xf borderId="0" fillId="0" fontId="24" numFmtId="0" xfId="0" applyAlignment="1" applyFont="1">
      <alignment horizontal="center" vertical="bottom"/>
    </xf>
    <xf borderId="0" fillId="0" fontId="25" numFmtId="0" xfId="0" applyAlignment="1" applyFont="1">
      <alignment horizontal="center" vertical="bottom"/>
    </xf>
    <xf borderId="0" fillId="0" fontId="24" numFmtId="0" xfId="0" applyAlignment="1" applyFont="1">
      <alignment horizontal="left" vertical="bottom"/>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169" xfId="0" applyAlignment="1" applyFont="1" applyNumberFormat="1">
      <alignment horizontal="center" vertical="bottom"/>
    </xf>
    <xf borderId="14" fillId="7" fontId="1" numFmtId="164" xfId="0" applyAlignment="1" applyBorder="1" applyFill="1" applyFont="1" applyNumberFormat="1">
      <alignment horizontal="center" vertical="bottom"/>
    </xf>
    <xf borderId="14" fillId="7" fontId="2" numFmtId="0" xfId="0" applyAlignment="1" applyBorder="1" applyFont="1">
      <alignment horizontal="center" readingOrder="0" vertical="bottom"/>
    </xf>
    <xf borderId="14" fillId="7" fontId="1" numFmtId="0" xfId="0" applyAlignment="1" applyBorder="1" applyFont="1">
      <alignment horizontal="center" vertical="bottom"/>
    </xf>
    <xf borderId="14" fillId="7" fontId="1" numFmtId="0" xfId="0" applyAlignment="1" applyBorder="1" applyFont="1">
      <alignment horizontal="center" readingOrder="0" vertical="bottom"/>
    </xf>
    <xf borderId="0" fillId="7" fontId="1" numFmtId="165" xfId="0" applyAlignment="1" applyFont="1" applyNumberFormat="1">
      <alignment horizontal="center" readingOrder="0" vertical="bottom"/>
    </xf>
    <xf borderId="0" fillId="7" fontId="1" numFmtId="0" xfId="0" applyAlignment="1" applyFont="1">
      <alignment horizontal="center" readingOrder="0" vertical="bottom"/>
    </xf>
    <xf borderId="0" fillId="7" fontId="2" numFmtId="0" xfId="0" applyAlignment="1" applyFont="1">
      <alignment horizontal="center" readingOrder="0" vertical="bottom"/>
    </xf>
    <xf borderId="0" fillId="7" fontId="2" numFmtId="169" xfId="0" applyAlignment="1" applyFont="1" applyNumberFormat="1">
      <alignment horizontal="center" readingOrder="0" vertical="bottom"/>
    </xf>
    <xf borderId="0" fillId="7" fontId="2" numFmtId="0" xfId="0" applyAlignment="1" applyFont="1">
      <alignment horizontal="center" vertical="bottom"/>
    </xf>
    <xf borderId="0" fillId="0" fontId="2" numFmtId="164" xfId="0" applyAlignment="1" applyFont="1" applyNumberFormat="1">
      <alignment horizontal="left" readingOrder="0" vertical="bottom"/>
    </xf>
    <xf borderId="0" fillId="0" fontId="2" numFmtId="0" xfId="0" applyAlignment="1" applyFont="1">
      <alignment horizontal="right" readingOrder="0" vertical="bottom"/>
    </xf>
    <xf borderId="0" fillId="0" fontId="2" numFmtId="0" xfId="0" applyAlignment="1" applyFont="1">
      <alignment horizontal="center" readingOrder="0" vertical="bottom"/>
    </xf>
    <xf borderId="0" fillId="2" fontId="15" numFmtId="0" xfId="0" applyAlignment="1" applyFont="1">
      <alignment horizontal="center" readingOrder="0" vertical="bottom"/>
    </xf>
    <xf borderId="0" fillId="0" fontId="1" numFmtId="0" xfId="0" applyAlignment="1" applyFont="1">
      <alignment horizontal="center" readingOrder="0" vertical="bottom"/>
    </xf>
    <xf borderId="0" fillId="0" fontId="1" numFmtId="0" xfId="0" applyAlignment="1" applyFont="1">
      <alignment horizontal="left" readingOrder="0" vertical="bottom"/>
    </xf>
    <xf borderId="0" fillId="0" fontId="1" numFmtId="0" xfId="0" applyAlignment="1" applyFont="1">
      <alignment horizontal="left" vertical="bottom"/>
    </xf>
    <xf borderId="0" fillId="0" fontId="2" numFmtId="170" xfId="0" applyAlignment="1" applyFont="1" applyNumberFormat="1">
      <alignment horizontal="left" readingOrder="0" vertical="bottom"/>
    </xf>
    <xf borderId="0" fillId="0" fontId="2" numFmtId="166" xfId="0" applyAlignment="1" applyFont="1" applyNumberFormat="1">
      <alignment horizontal="left" readingOrder="0" vertical="bottom"/>
    </xf>
    <xf borderId="0" fillId="0" fontId="26" numFmtId="0" xfId="0" applyAlignment="1" applyFont="1">
      <alignment horizontal="center" readingOrder="0" vertical="bottom"/>
    </xf>
    <xf borderId="0" fillId="0" fontId="2" numFmtId="0" xfId="0" applyAlignment="1" applyFont="1">
      <alignment horizontal="right" vertical="bottom"/>
    </xf>
    <xf borderId="0" fillId="0" fontId="1" numFmtId="0" xfId="0" applyAlignment="1" applyFont="1">
      <alignment horizontal="center" vertical="bottom"/>
    </xf>
    <xf borderId="0" fillId="0" fontId="2" numFmtId="169" xfId="0" applyAlignment="1" applyFont="1" applyNumberFormat="1">
      <alignment horizontal="center" readingOrder="0" vertical="bottom"/>
    </xf>
    <xf quotePrefix="1" borderId="0" fillId="0" fontId="2" numFmtId="0" xfId="0" applyAlignment="1" applyFont="1">
      <alignment horizontal="center" readingOrder="0" vertical="bottom"/>
    </xf>
    <xf borderId="0" fillId="0" fontId="2" numFmtId="164" xfId="0" applyAlignment="1" applyFont="1" applyNumberFormat="1">
      <alignment horizontal="left" vertical="bottom"/>
    </xf>
    <xf borderId="0" fillId="0" fontId="2" numFmtId="0" xfId="0" applyAlignment="1" applyFont="1">
      <alignment horizontal="right" vertical="bottom"/>
    </xf>
    <xf borderId="0" fillId="0" fontId="23" numFmtId="0" xfId="0" applyAlignment="1" applyFont="1">
      <alignment horizontal="center" readingOrder="0"/>
    </xf>
    <xf borderId="0" fillId="0" fontId="23" numFmtId="0" xfId="0" applyAlignment="1" applyFont="1">
      <alignment horizontal="center"/>
    </xf>
    <xf borderId="12" fillId="8" fontId="4" numFmtId="49" xfId="0" applyAlignment="1" applyBorder="1" applyFill="1" applyFont="1" applyNumberFormat="1">
      <alignment horizontal="center" vertical="bottom"/>
    </xf>
    <xf borderId="12" fillId="8" fontId="4" numFmtId="0" xfId="0" applyAlignment="1" applyBorder="1" applyFont="1">
      <alignment horizontal="center" vertical="bottom"/>
    </xf>
    <xf borderId="12" fillId="8" fontId="4" numFmtId="0" xfId="0" applyAlignment="1" applyBorder="1" applyFont="1">
      <alignment horizontal="center" readingOrder="0" vertical="bottom"/>
    </xf>
    <xf borderId="0" fillId="8" fontId="4" numFmtId="0" xfId="0" applyAlignment="1" applyFont="1">
      <alignment horizontal="center" readingOrder="0" vertical="bottom"/>
    </xf>
    <xf borderId="0" fillId="8" fontId="4" numFmtId="0" xfId="0" applyAlignment="1" applyFont="1">
      <alignment horizontal="center" vertical="bottom"/>
    </xf>
    <xf borderId="0" fillId="0" fontId="5" numFmtId="0" xfId="0" applyAlignment="1" applyFont="1">
      <alignment horizontal="center" readingOrder="0" vertical="bottom"/>
    </xf>
    <xf borderId="0" fillId="0" fontId="5" numFmtId="0" xfId="0" applyAlignment="1" applyFont="1">
      <alignment horizontal="center" vertical="bottom"/>
    </xf>
    <xf borderId="0" fillId="0" fontId="5" numFmtId="49" xfId="0" applyAlignment="1" applyFont="1" applyNumberFormat="1">
      <alignment horizontal="center" vertical="bottom"/>
    </xf>
    <xf borderId="0" fillId="0" fontId="6" numFmtId="0" xfId="0" applyAlignment="1" applyFont="1">
      <alignment horizontal="center"/>
    </xf>
    <xf borderId="0" fillId="0" fontId="5" numFmtId="165" xfId="0" applyAlignment="1" applyFont="1" applyNumberFormat="1">
      <alignment horizontal="center" vertical="bottom"/>
    </xf>
    <xf borderId="0" fillId="0" fontId="5" numFmtId="166" xfId="0" applyAlignment="1" applyFont="1" applyNumberFormat="1">
      <alignment horizontal="center" readingOrder="0" vertical="bottom"/>
    </xf>
    <xf borderId="0" fillId="0" fontId="5" numFmtId="165" xfId="0" applyAlignment="1" applyFont="1" applyNumberFormat="1">
      <alignment horizontal="center" readingOrder="0" vertical="bottom"/>
    </xf>
    <xf borderId="0" fillId="0" fontId="5" numFmtId="9" xfId="0" applyAlignment="1" applyFont="1" applyNumberFormat="1">
      <alignment horizontal="center" readingOrder="0" vertical="bottom"/>
    </xf>
    <xf borderId="0" fillId="0" fontId="5" numFmtId="10" xfId="0" applyAlignment="1" applyFont="1" applyNumberFormat="1">
      <alignment horizontal="center" readingOrder="0" vertical="bottom"/>
    </xf>
    <xf borderId="0" fillId="0" fontId="5" numFmtId="11" xfId="0" applyAlignment="1" applyFont="1" applyNumberFormat="1">
      <alignment horizontal="center" readingOrder="0" vertical="bottom"/>
    </xf>
    <xf quotePrefix="1" borderId="0" fillId="0" fontId="5" numFmtId="0" xfId="0" applyAlignment="1" applyFont="1">
      <alignment horizontal="center" readingOrder="0" vertical="bottom"/>
    </xf>
    <xf borderId="0" fillId="0" fontId="6" numFmtId="164" xfId="0" applyAlignment="1" applyFont="1" applyNumberFormat="1">
      <alignment horizontal="center"/>
    </xf>
    <xf borderId="0" fillId="0" fontId="6" numFmtId="0" xfId="0" applyAlignment="1" applyFont="1">
      <alignment horizontal="center" readingOrder="0"/>
    </xf>
    <xf borderId="0" fillId="0" fontId="6" numFmtId="164" xfId="0" applyAlignment="1" applyFont="1" applyNumberFormat="1">
      <alignment horizontal="center" readingOrder="0"/>
    </xf>
    <xf borderId="0" fillId="0" fontId="6" numFmtId="166" xfId="0" applyAlignment="1" applyFont="1" applyNumberFormat="1">
      <alignment horizontal="center" readingOrder="0"/>
    </xf>
    <xf quotePrefix="1" borderId="0" fillId="0" fontId="6" numFmtId="0" xfId="0" applyAlignment="1" applyFont="1">
      <alignment horizontal="center" readingOrder="0"/>
    </xf>
    <xf borderId="0" fillId="0" fontId="6" numFmtId="171" xfId="0" applyAlignment="1" applyFont="1" applyNumberFormat="1">
      <alignment horizontal="center" readingOrder="0" shrinkToFit="0" wrapText="0"/>
    </xf>
    <xf borderId="0" fillId="0" fontId="6" numFmtId="172" xfId="0" applyAlignment="1" applyFont="1" applyNumberFormat="1">
      <alignment horizontal="center" readingOrder="0" shrinkToFit="0" wrapText="0"/>
    </xf>
    <xf borderId="0" fillId="0" fontId="20" numFmtId="164" xfId="0" applyAlignment="1" applyFont="1" applyNumberFormat="1">
      <alignment horizontal="left"/>
    </xf>
    <xf borderId="0" fillId="0" fontId="27" numFmtId="0" xfId="0" applyAlignment="1" applyFont="1">
      <alignment horizontal="center"/>
    </xf>
    <xf borderId="1" fillId="0" fontId="27" numFmtId="165" xfId="0" applyAlignment="1" applyBorder="1" applyFont="1" applyNumberFormat="1">
      <alignment horizontal="center"/>
    </xf>
    <xf borderId="0" fillId="0" fontId="20" numFmtId="165" xfId="0" applyAlignment="1" applyFont="1" applyNumberFormat="1">
      <alignment horizontal="center"/>
    </xf>
    <xf borderId="15" fillId="0" fontId="27" numFmtId="164" xfId="0" applyAlignment="1" applyBorder="1" applyFont="1" applyNumberFormat="1">
      <alignment horizontal="left"/>
    </xf>
    <xf borderId="6" fillId="0" fontId="27" numFmtId="0" xfId="0" applyAlignment="1" applyBorder="1" applyFont="1">
      <alignment horizontal="center"/>
    </xf>
    <xf borderId="5" fillId="0" fontId="27" numFmtId="165" xfId="0" applyAlignment="1" applyBorder="1" applyFont="1" applyNumberFormat="1">
      <alignment horizontal="center"/>
    </xf>
    <xf borderId="6" fillId="0" fontId="20" numFmtId="165" xfId="0" applyAlignment="1" applyBorder="1" applyFont="1" applyNumberFormat="1">
      <alignment horizontal="center"/>
    </xf>
    <xf borderId="6" fillId="0" fontId="27" numFmtId="0" xfId="0" applyAlignment="1" applyBorder="1" applyFont="1">
      <alignment horizontal="center" readingOrder="0"/>
    </xf>
    <xf borderId="7" fillId="0" fontId="27" numFmtId="0" xfId="0" applyAlignment="1" applyBorder="1" applyFont="1">
      <alignment horizontal="center"/>
    </xf>
    <xf borderId="0" fillId="0" fontId="20" numFmtId="0" xfId="0" applyAlignment="1" applyFont="1">
      <alignment horizontal="center" readingOrder="0"/>
    </xf>
    <xf borderId="0" fillId="0" fontId="20" numFmtId="164" xfId="0" applyAlignment="1" applyFont="1" applyNumberFormat="1">
      <alignment horizontal="left" readingOrder="0"/>
    </xf>
    <xf borderId="0" fillId="0" fontId="20" numFmtId="165" xfId="0" applyAlignment="1" applyFont="1" applyNumberFormat="1">
      <alignment horizontal="center" readingOrder="0"/>
    </xf>
    <xf quotePrefix="1" borderId="0" fillId="0" fontId="20" numFmtId="0" xfId="0" applyAlignment="1" applyFont="1">
      <alignment horizontal="center" readingOrder="0"/>
    </xf>
    <xf borderId="0" fillId="0" fontId="28" numFmtId="0" xfId="0" applyFont="1"/>
    <xf borderId="0" fillId="0" fontId="28" numFmtId="0" xfId="0" applyAlignment="1" applyFont="1">
      <alignment horizontal="left"/>
    </xf>
    <xf borderId="0" fillId="0" fontId="28" numFmtId="0" xfId="0" applyAlignment="1" applyFont="1">
      <alignment horizontal="center"/>
    </xf>
    <xf borderId="0" fillId="0" fontId="28" numFmtId="49" xfId="0" applyAlignment="1" applyFont="1" applyNumberFormat="1">
      <alignment horizontal="center"/>
    </xf>
    <xf borderId="0" fillId="0" fontId="28" numFmtId="0" xfId="0" applyAlignment="1" applyFont="1">
      <alignment horizontal="center" readingOrder="0"/>
    </xf>
    <xf borderId="0" fillId="0" fontId="28" numFmtId="0" xfId="0" applyAlignment="1" applyFont="1">
      <alignment readingOrder="0"/>
    </xf>
    <xf borderId="0" fillId="0" fontId="29" numFmtId="0" xfId="0" applyFont="1"/>
    <xf borderId="0" fillId="0" fontId="29" numFmtId="0" xfId="0" applyAlignment="1" applyFont="1">
      <alignment horizontal="left"/>
    </xf>
    <xf borderId="0" fillId="0" fontId="29" numFmtId="0" xfId="0" applyAlignment="1" applyFont="1">
      <alignment horizontal="center" readingOrder="0"/>
    </xf>
    <xf borderId="0" fillId="0" fontId="30" numFmtId="49" xfId="0" applyAlignment="1" applyFont="1" applyNumberFormat="1">
      <alignment horizontal="center" readingOrder="0"/>
    </xf>
    <xf borderId="0" fillId="0" fontId="29" numFmtId="0" xfId="0" applyAlignment="1" applyFont="1">
      <alignment readingOrder="0"/>
    </xf>
    <xf borderId="0" fillId="0" fontId="30" numFmtId="49" xfId="0" applyAlignment="1" applyFont="1" applyNumberFormat="1">
      <alignment horizontal="center"/>
    </xf>
    <xf borderId="0" fillId="0" fontId="29" numFmtId="0" xfId="0" applyAlignment="1" applyFont="1">
      <alignment horizontal="center"/>
    </xf>
    <xf borderId="0" fillId="0" fontId="29" numFmtId="0" xfId="0" applyAlignment="1" applyFont="1">
      <alignment horizontal="left" readingOrder="0"/>
    </xf>
    <xf borderId="0" fillId="0" fontId="29" numFmtId="0" xfId="0" applyAlignment="1" applyFont="1">
      <alignment horizontal="left" shrinkToFit="0" vertical="bottom" wrapText="0"/>
    </xf>
    <xf borderId="0" fillId="0" fontId="31" numFmtId="0" xfId="0" applyAlignment="1" applyFont="1">
      <alignment horizontal="left"/>
    </xf>
    <xf borderId="0" fillId="0" fontId="31" numFmtId="0" xfId="0" applyAlignment="1" applyFont="1">
      <alignment horizontal="center"/>
    </xf>
    <xf borderId="0" fillId="0" fontId="31" numFmtId="0" xfId="0" applyFont="1"/>
    <xf borderId="0" fillId="0" fontId="30" numFmtId="0" xfId="0" applyAlignment="1" applyFont="1">
      <alignment horizontal="center"/>
    </xf>
    <xf borderId="0" fillId="0" fontId="6" numFmtId="0" xfId="0" applyAlignment="1" applyFont="1">
      <alignment horizontal="left"/>
    </xf>
    <xf borderId="0" fillId="0" fontId="8" numFmtId="164" xfId="0" applyAlignment="1" applyFont="1" applyNumberFormat="1">
      <alignment horizontal="center"/>
    </xf>
    <xf borderId="0" fillId="0" fontId="8" numFmtId="0" xfId="0" applyAlignment="1" applyFont="1">
      <alignment horizontal="center"/>
    </xf>
    <xf borderId="0" fillId="0" fontId="8" numFmtId="165" xfId="0" applyAlignment="1" applyFont="1" applyNumberFormat="1">
      <alignment horizontal="center"/>
    </xf>
    <xf borderId="0" fillId="0" fontId="8" numFmtId="10" xfId="0" applyAlignment="1" applyFont="1" applyNumberFormat="1">
      <alignment horizontal="center"/>
    </xf>
    <xf borderId="0" fillId="0" fontId="8" numFmtId="164" xfId="0" applyAlignment="1" applyFont="1" applyNumberFormat="1">
      <alignment horizontal="center" readingOrder="0"/>
    </xf>
    <xf borderId="0" fillId="0" fontId="8" numFmtId="0" xfId="0" applyAlignment="1" applyFont="1">
      <alignment horizontal="center" readingOrder="0"/>
    </xf>
    <xf borderId="0" fillId="0" fontId="8" numFmtId="165" xfId="0" applyAlignment="1" applyFont="1" applyNumberFormat="1">
      <alignment horizontal="center" readingOrder="0"/>
    </xf>
    <xf borderId="0" fillId="0" fontId="8" numFmtId="10" xfId="0" applyAlignment="1" applyFont="1" applyNumberFormat="1">
      <alignment horizontal="center" readingOrder="0"/>
    </xf>
    <xf borderId="0" fillId="0" fontId="8" numFmtId="0" xfId="0" applyAlignment="1" applyFont="1">
      <alignment horizontal="center" readingOrder="0"/>
    </xf>
    <xf borderId="0" fillId="0" fontId="4" numFmtId="164" xfId="0" applyAlignment="1" applyFont="1" applyNumberFormat="1">
      <alignment horizontal="right" vertical="bottom"/>
    </xf>
    <xf borderId="0" fillId="0" fontId="4" numFmtId="0" xfId="0" applyAlignment="1" applyFont="1">
      <alignment horizontal="center" vertical="bottom"/>
    </xf>
    <xf borderId="0" fillId="0" fontId="4" numFmtId="164" xfId="0" applyAlignment="1" applyFont="1" applyNumberFormat="1">
      <alignment horizontal="center" vertical="bottom"/>
    </xf>
    <xf borderId="15" fillId="0" fontId="4" numFmtId="164" xfId="0" applyAlignment="1" applyBorder="1" applyFont="1" applyNumberFormat="1">
      <alignment horizontal="right" vertical="bottom"/>
    </xf>
    <xf borderId="6" fillId="0" fontId="4" numFmtId="0" xfId="0" applyAlignment="1" applyBorder="1" applyFont="1">
      <alignment horizontal="center" readingOrder="0" vertical="bottom"/>
    </xf>
    <xf borderId="6" fillId="0" fontId="4" numFmtId="0" xfId="0" applyAlignment="1" applyBorder="1" applyFont="1">
      <alignment horizontal="center" vertical="bottom"/>
    </xf>
    <xf borderId="6" fillId="0" fontId="4" numFmtId="164" xfId="0" applyAlignment="1" applyBorder="1" applyFont="1" applyNumberFormat="1">
      <alignment horizontal="center" vertical="bottom"/>
    </xf>
    <xf borderId="7" fillId="0" fontId="4" numFmtId="0" xfId="0" applyAlignment="1" applyBorder="1" applyFont="1">
      <alignment horizontal="center" vertical="bottom"/>
    </xf>
    <xf borderId="0" fillId="0" fontId="4" numFmtId="164" xfId="0" applyAlignment="1" applyFont="1" applyNumberFormat="1">
      <alignment horizontal="right" readingOrder="0" vertical="bottom"/>
    </xf>
    <xf quotePrefix="1" borderId="0" fillId="0" fontId="4" numFmtId="0" xfId="0" applyAlignment="1" applyFont="1">
      <alignment horizontal="center" readingOrder="0" vertical="bottom"/>
    </xf>
    <xf borderId="0" fillId="0" fontId="27" numFmtId="0" xfId="0" applyAlignment="1" applyFont="1">
      <alignment horizontal="center" vertical="bottom"/>
    </xf>
    <xf borderId="0" fillId="0" fontId="5" numFmtId="0" xfId="0" applyAlignment="1" applyFont="1">
      <alignment readingOrder="0" vertical="bottom"/>
    </xf>
    <xf borderId="0" fillId="0" fontId="8" numFmtId="0" xfId="0" applyAlignment="1" applyFont="1">
      <alignment horizontal="center" vertical="bottom"/>
    </xf>
    <xf borderId="0" fillId="0" fontId="5" numFmtId="0" xfId="0" applyAlignment="1" applyFont="1">
      <alignment readingOrder="0" shrinkToFit="0" vertical="bottom" wrapText="0"/>
    </xf>
    <xf borderId="0" fillId="0" fontId="8" numFmtId="0" xfId="0" applyAlignment="1" applyFont="1">
      <alignment horizontal="center" readingOrder="0" vertical="bottom"/>
    </xf>
    <xf borderId="12" fillId="2" fontId="32" numFmtId="0" xfId="0" applyAlignment="1" applyBorder="1" applyFont="1">
      <alignment horizontal="left" shrinkToFit="0" vertical="top" wrapText="1"/>
    </xf>
    <xf borderId="0" fillId="2" fontId="33" numFmtId="0" xfId="0" applyFont="1"/>
    <xf borderId="0" fillId="2" fontId="34" numFmtId="0" xfId="0" applyAlignment="1" applyFont="1">
      <alignment horizontal="left" readingOrder="0" shrinkToFit="0" vertical="top" wrapText="1"/>
    </xf>
    <xf borderId="0" fillId="2" fontId="34" numFmtId="0" xfId="0" applyAlignment="1" applyFont="1">
      <alignment horizontal="left" shrinkToFit="0" vertical="top" wrapText="1"/>
    </xf>
    <xf borderId="0" fillId="2" fontId="10" numFmtId="0" xfId="0" applyFont="1"/>
    <xf borderId="16" fillId="0" fontId="35" numFmtId="0" xfId="0" applyAlignment="1" applyBorder="1" applyFont="1">
      <alignment horizontal="center" vertical="bottom"/>
    </xf>
    <xf borderId="17" fillId="0" fontId="35" numFmtId="0" xfId="0" applyAlignment="1" applyBorder="1" applyFont="1">
      <alignment horizontal="center" vertical="bottom"/>
    </xf>
    <xf borderId="11" fillId="0" fontId="35" numFmtId="0" xfId="0" applyAlignment="1" applyBorder="1" applyFont="1">
      <alignment horizontal="center" vertical="bottom"/>
    </xf>
    <xf borderId="18" fillId="0" fontId="35" numFmtId="0" xfId="0" applyAlignment="1" applyBorder="1" applyFont="1">
      <alignment horizontal="center" vertical="bottom"/>
    </xf>
    <xf borderId="11" fillId="0" fontId="35" numFmtId="0" xfId="0" applyAlignment="1" applyBorder="1" applyFont="1">
      <alignment horizontal="center" readingOrder="0" vertical="bottom"/>
    </xf>
    <xf borderId="19" fillId="0" fontId="35" numFmtId="0" xfId="0" applyAlignment="1" applyBorder="1" applyFont="1">
      <alignment horizontal="center" readingOrder="0" vertical="bottom"/>
    </xf>
    <xf borderId="17" fillId="0" fontId="35" numFmtId="0" xfId="0" applyAlignment="1" applyBorder="1" applyFont="1">
      <alignment horizontal="center" readingOrder="0" vertical="bottom"/>
    </xf>
    <xf borderId="20" fillId="0" fontId="35" numFmtId="0" xfId="0" applyAlignment="1" applyBorder="1" applyFont="1">
      <alignment horizontal="center" readingOrder="0" vertical="bottom"/>
    </xf>
    <xf borderId="0" fillId="0" fontId="35" numFmtId="0" xfId="0" applyAlignment="1" applyFont="1">
      <alignment horizontal="center" readingOrder="0" vertical="bottom"/>
    </xf>
    <xf borderId="21" fillId="0" fontId="36" numFmtId="0" xfId="0" applyAlignment="1" applyBorder="1" applyFont="1">
      <alignment horizontal="center" readingOrder="0" vertical="bottom"/>
    </xf>
    <xf borderId="22" fillId="0" fontId="37" numFmtId="0" xfId="0" applyAlignment="1" applyBorder="1" applyFont="1">
      <alignment readingOrder="0" vertical="bottom"/>
    </xf>
    <xf borderId="0" fillId="0" fontId="36" numFmtId="0" xfId="0" applyAlignment="1" applyFont="1">
      <alignment horizontal="center" readingOrder="0" vertical="bottom"/>
    </xf>
    <xf borderId="23" fillId="0" fontId="37" numFmtId="0" xfId="0" applyAlignment="1" applyBorder="1" applyFont="1">
      <alignment readingOrder="0" vertical="bottom"/>
    </xf>
    <xf borderId="0" fillId="0" fontId="36" numFmtId="0" xfId="0" applyAlignment="1" applyFont="1">
      <alignment horizontal="center" vertical="bottom"/>
    </xf>
    <xf borderId="23" fillId="0" fontId="37" numFmtId="0" xfId="0" applyAlignment="1" applyBorder="1" applyFont="1">
      <alignment vertical="bottom"/>
    </xf>
    <xf borderId="0" fillId="0" fontId="37" numFmtId="0" xfId="0" applyAlignment="1" applyFont="1">
      <alignment horizontal="center" vertical="bottom"/>
    </xf>
    <xf borderId="23" fillId="0" fontId="36" numFmtId="0" xfId="0" applyAlignment="1" applyBorder="1" applyFont="1">
      <alignment vertical="bottom"/>
    </xf>
    <xf borderId="22" fillId="0" fontId="36" numFmtId="0" xfId="0" applyAlignment="1" applyBorder="1" applyFont="1">
      <alignment readingOrder="0" vertical="bottom"/>
    </xf>
    <xf borderId="22" fillId="0" fontId="36" numFmtId="0" xfId="0" applyAlignment="1" applyBorder="1" applyFont="1">
      <alignment vertical="bottom"/>
    </xf>
    <xf borderId="24" fillId="0" fontId="36" numFmtId="0" xfId="0" applyAlignment="1" applyBorder="1" applyFont="1">
      <alignment horizontal="center" vertical="bottom"/>
    </xf>
    <xf borderId="22" fillId="0" fontId="37" numFmtId="0" xfId="0" applyAlignment="1" applyBorder="1" applyFont="1">
      <alignment vertical="bottom"/>
    </xf>
    <xf borderId="22" fillId="0" fontId="37" numFmtId="0" xfId="0" applyAlignment="1" applyBorder="1" applyFont="1">
      <alignment horizontal="left" readingOrder="0" vertical="bottom"/>
    </xf>
    <xf borderId="0" fillId="0" fontId="38" numFmtId="0" xfId="0" applyAlignment="1" applyFont="1">
      <alignment horizontal="center" readingOrder="0" vertical="bottom"/>
    </xf>
    <xf borderId="25" fillId="0" fontId="37" numFmtId="0" xfId="0" applyAlignment="1" applyBorder="1" applyFont="1">
      <alignment horizontal="left" readingOrder="0" vertical="bottom"/>
    </xf>
    <xf borderId="0" fillId="0" fontId="36" numFmtId="0" xfId="0" applyAlignment="1" applyFont="1">
      <alignment vertical="bottom"/>
    </xf>
    <xf borderId="21" fillId="0" fontId="36" numFmtId="0" xfId="0" applyAlignment="1" applyBorder="1" applyFont="1">
      <alignment horizontal="center" vertical="bottom"/>
    </xf>
    <xf borderId="23" fillId="0" fontId="39" numFmtId="0" xfId="0" applyAlignment="1" applyBorder="1" applyFont="1">
      <alignment readingOrder="0"/>
    </xf>
    <xf borderId="24" fillId="0" fontId="36" numFmtId="0" xfId="0" applyAlignment="1" applyBorder="1" applyFont="1">
      <alignment horizontal="center" readingOrder="0" vertical="bottom"/>
    </xf>
    <xf borderId="0" fillId="0" fontId="37" numFmtId="0" xfId="0" applyAlignment="1" applyFont="1">
      <alignment horizontal="center" readingOrder="0" vertical="bottom"/>
    </xf>
    <xf borderId="0" fillId="0" fontId="40" numFmtId="0" xfId="0" applyAlignment="1" applyFont="1">
      <alignment horizontal="center" readingOrder="0" vertical="bottom"/>
    </xf>
    <xf borderId="22" fillId="0" fontId="37" numFmtId="0" xfId="0" applyAlignment="1" applyBorder="1" applyFont="1">
      <alignment horizontal="left" vertical="bottom"/>
    </xf>
    <xf borderId="0" fillId="0" fontId="41" numFmtId="0" xfId="0" applyAlignment="1" applyFont="1">
      <alignment horizontal="center" readingOrder="0" vertical="bottom"/>
    </xf>
    <xf borderId="0" fillId="0" fontId="42" numFmtId="0" xfId="0" applyAlignment="1" applyFont="1">
      <alignment horizontal="center" readingOrder="0" vertical="bottom"/>
    </xf>
    <xf borderId="22" fillId="0" fontId="6" numFmtId="0" xfId="0" applyBorder="1" applyFont="1"/>
    <xf borderId="0" fillId="0" fontId="43" numFmtId="0" xfId="0" applyAlignment="1" applyFont="1">
      <alignment horizontal="center" readingOrder="0" vertical="bottom"/>
    </xf>
    <xf borderId="23" fillId="0" fontId="36" numFmtId="0" xfId="0" applyAlignment="1" applyBorder="1" applyFont="1">
      <alignment readingOrder="0" vertical="bottom"/>
    </xf>
    <xf borderId="25" fillId="0" fontId="37" numFmtId="0" xfId="0" applyAlignment="1" applyBorder="1" applyFont="1">
      <alignment horizontal="left" vertical="bottom"/>
    </xf>
    <xf borderId="0" fillId="0" fontId="39" numFmtId="0" xfId="0" applyAlignment="1" applyFont="1">
      <alignment horizontal="center" readingOrder="0"/>
    </xf>
    <xf borderId="23" fillId="0" fontId="39" numFmtId="0" xfId="0" applyBorder="1" applyFont="1"/>
    <xf borderId="0" fillId="0" fontId="37" numFmtId="0" xfId="0" applyAlignment="1" applyFont="1">
      <alignment vertical="bottom"/>
    </xf>
    <xf borderId="0" fillId="0" fontId="37" numFmtId="0" xfId="0" applyAlignment="1" applyFont="1">
      <alignment horizontal="left" vertical="bottom"/>
    </xf>
    <xf borderId="0" fillId="2" fontId="44" numFmtId="0" xfId="0" applyFont="1"/>
    <xf borderId="0" fillId="2" fontId="45" numFmtId="0" xfId="0" applyAlignment="1" applyFont="1">
      <alignment horizontal="left" shrinkToFit="0" vertical="top" wrapText="1"/>
    </xf>
    <xf borderId="0" fillId="2" fontId="45" numFmtId="0" xfId="0" applyAlignment="1" applyFont="1">
      <alignment horizontal="left" readingOrder="0" shrinkToFit="0" vertical="top" wrapText="1"/>
    </xf>
    <xf borderId="12" fillId="2" fontId="32" numFmtId="0" xfId="0" applyAlignment="1" applyBorder="1" applyFont="1">
      <alignment horizontal="left" readingOrder="0" shrinkToFit="0" vertical="top" wrapText="1"/>
    </xf>
    <xf borderId="0" fillId="2" fontId="6" numFmtId="0" xfId="0" applyFont="1"/>
    <xf borderId="0" fillId="0" fontId="46" numFmtId="0" xfId="0" applyFont="1"/>
    <xf borderId="0" fillId="0" fontId="6" numFmtId="165" xfId="0" applyFont="1" applyNumberFormat="1"/>
    <xf borderId="0" fillId="0" fontId="6" numFmtId="10" xfId="0" applyFont="1" applyNumberFormat="1"/>
    <xf borderId="0" fillId="0" fontId="39" numFmtId="0" xfId="0" applyFont="1"/>
    <xf borderId="0" fillId="0" fontId="39" numFmtId="165" xfId="0" applyFont="1" applyNumberFormat="1"/>
    <xf borderId="0" fillId="0" fontId="39" numFmtId="10" xfId="0" applyFont="1" applyNumberFormat="1"/>
    <xf borderId="0" fillId="0" fontId="6" numFmtId="0" xfId="0" applyFont="1"/>
    <xf borderId="0" fillId="0" fontId="13" numFmtId="0" xfId="0" applyFont="1"/>
    <xf borderId="0" fillId="0" fontId="10" numFmtId="0" xfId="0" applyFont="1"/>
  </cellXfs>
  <cellStyles count="1">
    <cellStyle xfId="0" name="Normal" builtinId="0"/>
  </cellStyles>
  <dxfs count="2">
    <dxf>
      <font>
        <b/>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21.5"/>
    <col customWidth="1" min="3" max="3" width="21.88"/>
    <col customWidth="1" min="4" max="4" width="24.63"/>
    <col customWidth="1" min="5" max="5" width="13.38"/>
    <col customWidth="1" min="6" max="6" width="25.25"/>
    <col customWidth="1" min="7" max="7" width="9.38"/>
    <col customWidth="1" min="8" max="8" width="14.38"/>
    <col customWidth="1" min="9" max="9" width="13.25"/>
    <col customWidth="1" min="10" max="10" width="18.63"/>
    <col customWidth="1" min="11" max="11" width="15.0"/>
    <col customWidth="1" min="12" max="13" width="16.5"/>
    <col customWidth="1" min="14" max="14" width="14.75"/>
    <col customWidth="1" min="15" max="15" width="21.0"/>
    <col customWidth="1" min="16" max="16" width="17.88"/>
    <col customWidth="1" min="17" max="22" width="7.63"/>
  </cols>
  <sheetData>
    <row r="1">
      <c r="A1" s="1"/>
      <c r="B1" s="2"/>
      <c r="C1" s="2"/>
      <c r="D1" s="2"/>
      <c r="E1" s="2"/>
      <c r="F1" s="3"/>
      <c r="G1" s="4">
        <f>SUM(G3:G17059)</f>
        <v>5255.85</v>
      </c>
      <c r="H1" s="2"/>
      <c r="I1" s="2"/>
      <c r="J1" s="2"/>
      <c r="K1" s="2">
        <f t="shared" ref="K1:L1" si="1">SUM(K3:K997)</f>
        <v>8141.15</v>
      </c>
      <c r="L1" s="2">
        <f t="shared" si="1"/>
        <v>666</v>
      </c>
      <c r="M1" s="5"/>
      <c r="N1" s="6"/>
      <c r="O1" s="2"/>
      <c r="P1" s="2"/>
      <c r="Q1" s="2"/>
      <c r="R1" s="2"/>
      <c r="S1" s="2"/>
      <c r="T1" s="2"/>
      <c r="U1" s="2"/>
      <c r="V1" s="2"/>
    </row>
    <row r="2">
      <c r="A2" s="7" t="s">
        <v>0</v>
      </c>
      <c r="B2" s="8" t="s">
        <v>1</v>
      </c>
      <c r="C2" s="8" t="s">
        <v>2</v>
      </c>
      <c r="D2" s="8" t="s">
        <v>3</v>
      </c>
      <c r="E2" s="8" t="s">
        <v>4</v>
      </c>
      <c r="F2" s="9" t="s">
        <v>5</v>
      </c>
      <c r="G2" s="10" t="s">
        <v>6</v>
      </c>
      <c r="H2" s="8" t="s">
        <v>7</v>
      </c>
      <c r="I2" s="8" t="s">
        <v>8</v>
      </c>
      <c r="J2" s="11" t="s">
        <v>9</v>
      </c>
      <c r="K2" s="11" t="s">
        <v>10</v>
      </c>
      <c r="L2" s="11" t="s">
        <v>11</v>
      </c>
      <c r="M2" s="11" t="s">
        <v>12</v>
      </c>
      <c r="N2" s="12" t="s">
        <v>13</v>
      </c>
      <c r="O2" s="11" t="s">
        <v>14</v>
      </c>
      <c r="P2" s="11" t="s">
        <v>15</v>
      </c>
      <c r="Q2" s="13"/>
      <c r="R2" s="13"/>
      <c r="S2" s="13"/>
      <c r="T2" s="13"/>
      <c r="U2" s="13"/>
      <c r="V2" s="14"/>
    </row>
    <row r="3">
      <c r="A3" s="15">
        <v>38202.0</v>
      </c>
      <c r="B3" s="16" t="s">
        <v>16</v>
      </c>
      <c r="C3" s="16" t="s">
        <v>17</v>
      </c>
      <c r="D3" s="16" t="s">
        <v>18</v>
      </c>
      <c r="E3" s="16" t="s">
        <v>19</v>
      </c>
      <c r="F3" s="17" t="str">
        <f>IFERROR(__xludf.DUMMYFUNCTION("ARRAYFORMULA(
 IF(ROW(B3:B3059)&lt;3,"""",
  IF(LEN(B3:B3059)=0,"""",
   IFERROR(
     VLOOKUP(UPPER(TRIM(B3:B3059)), {'Plant KEY'!A:A,'Plant KEY'!B:B}, 2, FALSE),
     LET(
       n, UPPER(TRIM(B3:B3059)),
       clean, REGEXREPLACE(n,""[^A-Z]"",""""),
    "&amp;"   base,
         IF(REGEXMATCH(n,""\s""),
           LEFT(SUBSTITUTE(REGEXREPLACE(REGEXREPLACE(SUBSTITUTE(n,""-"","" ""),""\b(OF|THE|AND|A|AN)\b"",""""),""(^| )([A-Z])[A-Z]+"","" $2""),"" "",""""),3),
           LEFT(clean,2)
         ),
       keycodes,"&amp;" UPPER('Plant KEY'!F:F),
       fallback,
         IF(REGEXMATCH(n,""\s""),
           LET(lastword,IFERROR(TRIM(MID(n,FIND(""☺"",SUBSTITUTE(n,"" "",""☺"",LEN(n)-LEN(SUBSTITUTE(n,"" "",""""))))+1,100)),n),LEFT(base,2)&amp;MID(lastword,2,1)),
           LEFT(c"&amp;"lean,3)
         ),
       IF(COUNTIF(keycodes,base)=0,base,IF(COUNTIF(keycodes,fallback)=0,fallback,LEFT(clean,4)))
     )
   )
   &amp;
   IF(LEN(C3:C3059),
     ""-"" &amp;
     IFERROR(
       VLOOKUP(UPPER(TRIM(C3:C3059)), {'Plant KEY'!C:C,'Plant KEY'!D:D}, "&amp;"2, FALSE),
       LET(
         n, UPPER(TRIM(C3:C3059)),
         clean, REGEXREPLACE(n,""[^A-Z]"",""""),
         base,
           IF(REGEXMATCH(n,""\s""),
             LEFT(SUBSTITUTE(REGEXREPLACE(REGEXREPLACE(SUBSTITUTE(n,""-"","" ""),""\b(OF|THE|AND|"&amp;"A|AN)\b"",""""),""(^| )([A-Z])[A-Z]+"","" $2""),"" "",""""),3),
             LEFT(clean,2)
           ),
         keycodes, UPPER('Plant KEY'!D:D),
         fallback,
           IF(REGEXMATCH(n,""\s""),
             LET(lastword,IFERROR(TRIM(MID(n,FIND("""&amp;"☺"",SUBSTITUTE(n,"" "",""☺"",LEN(n)-LEN(SUBSTITUTE(n,"" "",""""))))+1,100)),n),LEFT(base,2)&amp;MID(lastword,2,1)),
             LEFT(clean,3)
           ),
         IF(COUNTIF(keycodes,base)=0,base,IF(COUNTIF(keycodes,fallback)=0,fallback,LEFT(clean,4)))
   "&amp;"    )
     ),
   """")
   &amp;
   IF(LEN(D3:D3059),
     ""-"" &amp;
     IFERROR(
       VLOOKUP(UPPER(TRIM(D3:D3059)), {'Plant KEY'!E:E,'Plant KEY'!F:F}, 2, FALSE),
       LET(
         n, UPPER(TRIM(D3:D3059)),
         clean, REGEXREPLACE(n,""[^A-Z]"",""""),"&amp;"
         base,
           IF(REGEXMATCH(n,""\s""),
             LEFT(SUBSTITUTE(REGEXREPLACE(REGEXREPLACE(SUBSTITUTE(n,""-"","" ""),""\b(OF|THE|AND|A|AN)\b"",""""),""(^| )([A-Z])[A-Z]+"","" $2""),"" "",""""),3),
             LEFT(clean,2)
           ),
 "&amp;"        keycodes, UPPER('Plant KEY'!F:F),
         fallback,
           IF(REGEXMATCH(n,""\s""),
             LET(lastword,IFERROR(TRIM(MID(n,FIND(""☺"",SUBSTITUTE(n,"" "",""☺"",LEN(n)-LEN(SUBSTITUTE(n,"" "",""""))))+1,100)),n),LEFT(base,2)&amp;MID(lastword,2"&amp;",1)),
             LEFT(clean,3)
           ),
         IF(COUNTIF(keycodes,base)=0,base,IF(COUNTIF(keycodes,fallback)=0,fallback,LEFT(clean,4)))
       )
     ),
   """")
   &amp;
   IF(LEN(E3:E3059), ""-"" &amp; UPPER(TRIM(E3:E3059)),"""")
  )
 )
)"),"HS-BE-AW-1A")</f>
        <v>HS-BE-AW-1A</v>
      </c>
      <c r="G3" s="18">
        <v>0.0</v>
      </c>
      <c r="H3" s="19"/>
      <c r="I3" s="19"/>
      <c r="J3" s="19" t="s">
        <v>20</v>
      </c>
      <c r="K3" s="19"/>
      <c r="L3" s="16">
        <v>1.0</v>
      </c>
      <c r="M3" s="16" t="s">
        <v>21</v>
      </c>
      <c r="N3" s="20">
        <f t="array" ref="N3:N3059">IF(LEN(B3:B3059)=0, "",
    IFERROR(G3:G3059 / L3:L3059, "")
  )</f>
        <v>0</v>
      </c>
      <c r="O3" s="21" t="s">
        <v>22</v>
      </c>
      <c r="P3" s="19"/>
      <c r="Q3" s="19"/>
      <c r="R3" s="19"/>
      <c r="S3" s="19"/>
      <c r="T3" s="19"/>
      <c r="U3" s="19"/>
      <c r="V3" s="19"/>
    </row>
    <row r="4">
      <c r="A4" s="15"/>
      <c r="B4" s="16" t="s">
        <v>16</v>
      </c>
      <c r="C4" s="16" t="s">
        <v>23</v>
      </c>
      <c r="D4" s="16" t="s">
        <v>24</v>
      </c>
      <c r="E4" s="16" t="s">
        <v>19</v>
      </c>
      <c r="F4" s="17" t="str">
        <f>IFERROR(__xludf.DUMMYFUNCTION("""COMPUTED_VALUE"""),"HS-PO-GO-1A")</f>
        <v>HS-PO-GO-1A</v>
      </c>
      <c r="G4" s="18">
        <v>0.0</v>
      </c>
      <c r="H4" s="19"/>
      <c r="I4" s="19"/>
      <c r="J4" s="19" t="s">
        <v>25</v>
      </c>
      <c r="K4" s="19"/>
      <c r="L4" s="16">
        <v>1.0</v>
      </c>
      <c r="M4" s="19"/>
      <c r="N4" s="20">
        <v>0.0</v>
      </c>
      <c r="O4" s="21" t="s">
        <v>22</v>
      </c>
      <c r="P4" s="19"/>
      <c r="Q4" s="19"/>
      <c r="R4" s="19"/>
      <c r="S4" s="19"/>
      <c r="T4" s="19"/>
      <c r="U4" s="19"/>
      <c r="V4" s="19"/>
    </row>
    <row r="5">
      <c r="A5" s="15"/>
      <c r="B5" s="16" t="s">
        <v>16</v>
      </c>
      <c r="C5" s="16" t="s">
        <v>26</v>
      </c>
      <c r="D5" s="16" t="s">
        <v>27</v>
      </c>
      <c r="E5" s="16" t="s">
        <v>19</v>
      </c>
      <c r="F5" s="17" t="str">
        <f>IFERROR(__xludf.DUMMYFUNCTION("""COMPUTED_VALUE"""),"HS-PH-HL-1A")</f>
        <v>HS-PH-HL-1A</v>
      </c>
      <c r="G5" s="18">
        <v>0.0</v>
      </c>
      <c r="H5" s="19"/>
      <c r="I5" s="19"/>
      <c r="J5" s="19" t="s">
        <v>28</v>
      </c>
      <c r="K5" s="19"/>
      <c r="L5" s="16">
        <v>1.0</v>
      </c>
      <c r="M5" s="16" t="s">
        <v>29</v>
      </c>
      <c r="N5" s="20">
        <v>0.0</v>
      </c>
      <c r="O5" s="21" t="s">
        <v>22</v>
      </c>
      <c r="P5" s="19"/>
      <c r="Q5" s="19"/>
      <c r="R5" s="19"/>
      <c r="S5" s="19"/>
      <c r="T5" s="19"/>
      <c r="U5" s="19"/>
      <c r="V5" s="19"/>
    </row>
    <row r="6">
      <c r="A6" s="15"/>
      <c r="B6" s="16" t="s">
        <v>16</v>
      </c>
      <c r="C6" s="16" t="s">
        <v>26</v>
      </c>
      <c r="D6" s="16" t="s">
        <v>30</v>
      </c>
      <c r="E6" s="16" t="s">
        <v>19</v>
      </c>
      <c r="F6" s="17" t="str">
        <f>IFERROR(__xludf.DUMMYFUNCTION("""COMPUTED_VALUE"""),"HS-PH-BRL-1A")</f>
        <v>HS-PH-BRL-1A</v>
      </c>
      <c r="G6" s="18">
        <v>0.0</v>
      </c>
      <c r="H6" s="19"/>
      <c r="I6" s="19"/>
      <c r="J6" s="19" t="s">
        <v>31</v>
      </c>
      <c r="K6" s="19"/>
      <c r="L6" s="16">
        <v>1.0</v>
      </c>
      <c r="M6" s="19"/>
      <c r="N6" s="20">
        <v>0.0</v>
      </c>
      <c r="O6" s="21" t="s">
        <v>22</v>
      </c>
      <c r="P6" s="19"/>
      <c r="Q6" s="19"/>
      <c r="R6" s="19"/>
      <c r="S6" s="19"/>
      <c r="T6" s="19"/>
      <c r="U6" s="19"/>
      <c r="V6" s="19"/>
    </row>
    <row r="7">
      <c r="A7" s="15"/>
      <c r="B7" s="16" t="s">
        <v>16</v>
      </c>
      <c r="C7" s="16" t="s">
        <v>32</v>
      </c>
      <c r="D7" s="16" t="s">
        <v>33</v>
      </c>
      <c r="E7" s="16" t="s">
        <v>19</v>
      </c>
      <c r="F7" s="17" t="str">
        <f>IFERROR(__xludf.DUMMYFUNCTION("""COMPUTED_VALUE"""),"HS-PI-PEP-1A")</f>
        <v>HS-PI-PEP-1A</v>
      </c>
      <c r="G7" s="18">
        <v>0.0</v>
      </c>
      <c r="H7" s="19"/>
      <c r="I7" s="19"/>
      <c r="J7" s="19" t="s">
        <v>34</v>
      </c>
      <c r="K7" s="19"/>
      <c r="L7" s="16">
        <v>1.0</v>
      </c>
      <c r="M7" s="19"/>
      <c r="N7" s="20">
        <v>0.0</v>
      </c>
      <c r="O7" s="21" t="s">
        <v>22</v>
      </c>
      <c r="P7" s="19"/>
      <c r="Q7" s="19"/>
      <c r="R7" s="19"/>
      <c r="S7" s="19"/>
      <c r="T7" s="19"/>
      <c r="U7" s="19"/>
      <c r="V7" s="19"/>
    </row>
    <row r="8">
      <c r="A8" s="15">
        <v>45899.0</v>
      </c>
      <c r="B8" s="16" t="s">
        <v>16</v>
      </c>
      <c r="C8" s="16" t="s">
        <v>35</v>
      </c>
      <c r="D8" s="16" t="s">
        <v>36</v>
      </c>
      <c r="E8" s="16" t="s">
        <v>19</v>
      </c>
      <c r="F8" s="17" t="str">
        <f>IFERROR(__xludf.DUMMYFUNCTION("""COMPUTED_VALUE"""),"HS-CT-BM-1A")</f>
        <v>HS-CT-BM-1A</v>
      </c>
      <c r="G8" s="18">
        <v>0.0</v>
      </c>
      <c r="H8" s="19"/>
      <c r="I8" s="19"/>
      <c r="J8" s="19" t="s">
        <v>37</v>
      </c>
      <c r="K8" s="19"/>
      <c r="L8" s="16">
        <v>1.0</v>
      </c>
      <c r="M8" s="16" t="s">
        <v>38</v>
      </c>
      <c r="N8" s="20">
        <v>0.0</v>
      </c>
      <c r="O8" s="21" t="s">
        <v>22</v>
      </c>
      <c r="P8" s="19"/>
      <c r="Q8" s="19"/>
      <c r="R8" s="19"/>
      <c r="S8" s="19"/>
      <c r="T8" s="19"/>
      <c r="U8" s="19"/>
      <c r="V8" s="19"/>
    </row>
    <row r="9">
      <c r="A9" s="15"/>
      <c r="B9" s="16"/>
      <c r="C9" s="16"/>
      <c r="D9" s="16"/>
      <c r="E9" s="16"/>
      <c r="F9" s="17" t="str">
        <f>IFERROR(__xludf.DUMMYFUNCTION("""COMPUTED_VALUE"""),"")</f>
        <v/>
      </c>
      <c r="G9" s="18"/>
      <c r="H9" s="19"/>
      <c r="I9" s="19"/>
      <c r="J9" s="19"/>
      <c r="K9" s="19"/>
      <c r="L9" s="16"/>
      <c r="M9" s="19"/>
      <c r="N9" s="20" t="s">
        <v>39</v>
      </c>
      <c r="O9" s="21"/>
      <c r="P9" s="19"/>
      <c r="Q9" s="19"/>
      <c r="R9" s="19"/>
      <c r="S9" s="19"/>
      <c r="T9" s="19"/>
      <c r="U9" s="19"/>
      <c r="V9" s="19"/>
    </row>
    <row r="10">
      <c r="A10" s="15"/>
      <c r="B10" s="16" t="s">
        <v>16</v>
      </c>
      <c r="C10" s="16" t="s">
        <v>40</v>
      </c>
      <c r="D10" s="16" t="s">
        <v>41</v>
      </c>
      <c r="E10" s="16" t="s">
        <v>19</v>
      </c>
      <c r="F10" s="17" t="str">
        <f>IFERROR(__xludf.DUMMYFUNCTION("""COMPUTED_VALUE"""),"HS-DR-SP-1A")</f>
        <v>HS-DR-SP-1A</v>
      </c>
      <c r="G10" s="18">
        <v>0.0</v>
      </c>
      <c r="H10" s="16"/>
      <c r="I10" s="19"/>
      <c r="J10" s="19" t="s">
        <v>42</v>
      </c>
      <c r="K10" s="19"/>
      <c r="L10" s="16">
        <v>1.0</v>
      </c>
      <c r="M10" s="19"/>
      <c r="N10" s="20">
        <v>0.0</v>
      </c>
      <c r="O10" s="21" t="s">
        <v>22</v>
      </c>
      <c r="P10" s="19"/>
      <c r="Q10" s="19"/>
      <c r="R10" s="19"/>
      <c r="S10" s="19"/>
      <c r="T10" s="19"/>
      <c r="U10" s="19"/>
      <c r="V10" s="19"/>
    </row>
    <row r="11">
      <c r="A11" s="15">
        <v>45873.0</v>
      </c>
      <c r="B11" s="16" t="s">
        <v>43</v>
      </c>
      <c r="C11" s="16" t="s">
        <v>26</v>
      </c>
      <c r="D11" s="16" t="s">
        <v>44</v>
      </c>
      <c r="E11" s="16" t="s">
        <v>19</v>
      </c>
      <c r="F11" s="17" t="str">
        <f>IFERROR(__xludf.DUMMYFUNCTION("""COMPUTED_VALUE"""),"FM-PH-WK-1A")</f>
        <v>FM-PH-WK-1A</v>
      </c>
      <c r="G11" s="18">
        <v>15.0</v>
      </c>
      <c r="H11" s="16" t="s">
        <v>45</v>
      </c>
      <c r="I11" s="16" t="s">
        <v>46</v>
      </c>
      <c r="J11" s="19" t="s">
        <v>47</v>
      </c>
      <c r="K11" s="16">
        <v>0.0</v>
      </c>
      <c r="L11" s="16">
        <v>1.0</v>
      </c>
      <c r="M11" s="16" t="s">
        <v>48</v>
      </c>
      <c r="N11" s="20">
        <v>15.0</v>
      </c>
      <c r="O11" s="21" t="s">
        <v>22</v>
      </c>
      <c r="P11" s="19"/>
      <c r="Q11" s="19"/>
      <c r="R11" s="19"/>
      <c r="S11" s="19"/>
      <c r="T11" s="19"/>
      <c r="U11" s="19"/>
      <c r="V11" s="19"/>
    </row>
    <row r="12">
      <c r="A12" s="15">
        <v>45872.0</v>
      </c>
      <c r="B12" s="16" t="s">
        <v>49</v>
      </c>
      <c r="C12" s="16" t="s">
        <v>26</v>
      </c>
      <c r="D12" s="16" t="s">
        <v>44</v>
      </c>
      <c r="E12" s="16" t="s">
        <v>19</v>
      </c>
      <c r="F12" s="17" t="str">
        <f>IFERROR(__xludf.DUMMYFUNCTION("""COMPUTED_VALUE"""),"WM-PH-WK-1A")</f>
        <v>WM-PH-WK-1A</v>
      </c>
      <c r="G12" s="18">
        <v>19.97</v>
      </c>
      <c r="H12" s="16"/>
      <c r="I12" s="16"/>
      <c r="J12" s="19" t="s">
        <v>50</v>
      </c>
      <c r="K12" s="19"/>
      <c r="L12" s="16">
        <v>1.0</v>
      </c>
      <c r="M12" s="19"/>
      <c r="N12" s="20">
        <v>19.97</v>
      </c>
      <c r="O12" s="21" t="s">
        <v>22</v>
      </c>
      <c r="P12" s="19"/>
      <c r="Q12" s="19"/>
      <c r="R12" s="19"/>
      <c r="S12" s="19"/>
      <c r="T12" s="19"/>
      <c r="U12" s="19"/>
      <c r="V12" s="19"/>
    </row>
    <row r="13">
      <c r="A13" s="15"/>
      <c r="B13" s="16" t="s">
        <v>49</v>
      </c>
      <c r="C13" s="16" t="s">
        <v>51</v>
      </c>
      <c r="D13" s="16" t="s">
        <v>52</v>
      </c>
      <c r="E13" s="16" t="s">
        <v>19</v>
      </c>
      <c r="F13" s="17" t="str">
        <f>IFERROR(__xludf.DUMMYFUNCTION("""COMPUTED_VALUE"""),"WM-MA-PE-1A")</f>
        <v>WM-MA-PE-1A</v>
      </c>
      <c r="G13" s="18">
        <v>7.0</v>
      </c>
      <c r="H13" s="16"/>
      <c r="I13" s="16"/>
      <c r="J13" s="19" t="s">
        <v>53</v>
      </c>
      <c r="K13" s="19"/>
      <c r="L13" s="16">
        <v>1.0</v>
      </c>
      <c r="M13" s="19"/>
      <c r="N13" s="20">
        <v>7.0</v>
      </c>
      <c r="O13" s="21" t="s">
        <v>22</v>
      </c>
      <c r="P13" s="19"/>
      <c r="Q13" s="19"/>
      <c r="R13" s="19"/>
      <c r="S13" s="19"/>
      <c r="T13" s="19"/>
      <c r="U13" s="19"/>
      <c r="V13" s="19"/>
    </row>
    <row r="14">
      <c r="A14" s="15">
        <v>45873.0</v>
      </c>
      <c r="B14" s="16" t="s">
        <v>54</v>
      </c>
      <c r="C14" s="16" t="s">
        <v>26</v>
      </c>
      <c r="D14" s="16" t="s">
        <v>55</v>
      </c>
      <c r="E14" s="16" t="s">
        <v>19</v>
      </c>
      <c r="F14" s="17" t="str">
        <f>IFERROR(__xludf.DUMMYFUNCTION("""COMPUTED_VALUE"""),"TLC-PH-CS-1A")</f>
        <v>TLC-PH-CS-1A</v>
      </c>
      <c r="G14" s="18">
        <v>0.0</v>
      </c>
      <c r="H14" s="16"/>
      <c r="I14" s="16"/>
      <c r="J14" s="19" t="s">
        <v>56</v>
      </c>
      <c r="K14" s="19"/>
      <c r="L14" s="16">
        <v>1.0</v>
      </c>
      <c r="M14" s="19"/>
      <c r="N14" s="20">
        <v>0.0</v>
      </c>
      <c r="O14" s="21" t="s">
        <v>22</v>
      </c>
      <c r="P14" s="19"/>
      <c r="Q14" s="19"/>
      <c r="R14" s="19"/>
      <c r="S14" s="19"/>
      <c r="T14" s="19"/>
      <c r="U14" s="19"/>
      <c r="V14" s="19"/>
    </row>
    <row r="15">
      <c r="A15" s="15">
        <v>45874.0</v>
      </c>
      <c r="B15" s="16" t="s">
        <v>57</v>
      </c>
      <c r="C15" s="16" t="s">
        <v>58</v>
      </c>
      <c r="D15" s="16" t="s">
        <v>59</v>
      </c>
      <c r="E15" s="16" t="s">
        <v>19</v>
      </c>
      <c r="F15" s="17" t="str">
        <f>IFERROR(__xludf.DUMMYFUNCTION("""COMPUTED_VALUE"""),"TAG-AO-DR-1A")</f>
        <v>TAG-AO-DR-1A</v>
      </c>
      <c r="G15" s="18">
        <v>0.0</v>
      </c>
      <c r="H15" s="16"/>
      <c r="I15" s="16"/>
      <c r="J15" s="19" t="s">
        <v>60</v>
      </c>
      <c r="K15" s="19"/>
      <c r="L15" s="16">
        <v>1.0</v>
      </c>
      <c r="M15" s="19"/>
      <c r="N15" s="20">
        <v>0.0</v>
      </c>
      <c r="O15" s="21" t="s">
        <v>22</v>
      </c>
      <c r="P15" s="19"/>
      <c r="Q15" s="19"/>
      <c r="R15" s="19"/>
      <c r="S15" s="19"/>
      <c r="T15" s="19"/>
      <c r="U15" s="19"/>
      <c r="V15" s="19"/>
    </row>
    <row r="16">
      <c r="A16" s="15">
        <v>45880.0</v>
      </c>
      <c r="B16" s="16" t="s">
        <v>61</v>
      </c>
      <c r="C16" s="16" t="s">
        <v>26</v>
      </c>
      <c r="D16" s="16" t="s">
        <v>62</v>
      </c>
      <c r="E16" s="16" t="s">
        <v>19</v>
      </c>
      <c r="F16" s="17" t="str">
        <f>IFERROR(__xludf.DUMMYFUNCTION("""COMPUTED_VALUE"""),"FMY-PH-GC-1A")</f>
        <v>FMY-PH-GC-1A</v>
      </c>
      <c r="G16" s="18">
        <v>16.99</v>
      </c>
      <c r="H16" s="19"/>
      <c r="I16" s="19"/>
      <c r="J16" s="19" t="s">
        <v>63</v>
      </c>
      <c r="K16" s="19"/>
      <c r="L16" s="16">
        <v>1.0</v>
      </c>
      <c r="M16" s="16" t="s">
        <v>48</v>
      </c>
      <c r="N16" s="20">
        <v>16.99</v>
      </c>
      <c r="O16" s="21" t="s">
        <v>22</v>
      </c>
      <c r="P16" s="19"/>
      <c r="Q16" s="19"/>
      <c r="R16" s="19"/>
      <c r="S16" s="19"/>
      <c r="T16" s="19"/>
      <c r="U16" s="19"/>
      <c r="V16" s="19"/>
    </row>
    <row r="17">
      <c r="A17" s="15">
        <v>45880.0</v>
      </c>
      <c r="B17" s="16" t="s">
        <v>61</v>
      </c>
      <c r="C17" s="16" t="s">
        <v>64</v>
      </c>
      <c r="D17" s="16" t="s">
        <v>65</v>
      </c>
      <c r="E17" s="16" t="s">
        <v>19</v>
      </c>
      <c r="F17" s="17" t="str">
        <f>IFERROR(__xludf.DUMMYFUNCTION("""COMPUTED_VALUE"""),"FMY-AL-RSD-1A")</f>
        <v>FMY-AL-RSD-1A</v>
      </c>
      <c r="G17" s="18">
        <v>10.99</v>
      </c>
      <c r="H17" s="19"/>
      <c r="I17" s="19"/>
      <c r="J17" s="19" t="s">
        <v>66</v>
      </c>
      <c r="K17" s="19"/>
      <c r="L17" s="16">
        <v>1.0</v>
      </c>
      <c r="M17" s="19"/>
      <c r="N17" s="20">
        <v>10.99</v>
      </c>
      <c r="O17" s="21" t="s">
        <v>22</v>
      </c>
      <c r="P17" s="19"/>
      <c r="Q17" s="19"/>
      <c r="R17" s="19"/>
      <c r="S17" s="19"/>
      <c r="T17" s="19"/>
      <c r="U17" s="19"/>
      <c r="V17" s="19"/>
    </row>
    <row r="18">
      <c r="A18" s="15">
        <v>45880.0</v>
      </c>
      <c r="B18" s="16" t="s">
        <v>61</v>
      </c>
      <c r="C18" s="16" t="s">
        <v>64</v>
      </c>
      <c r="D18" s="16" t="s">
        <v>67</v>
      </c>
      <c r="E18" s="16" t="s">
        <v>19</v>
      </c>
      <c r="F18" s="17" t="str">
        <f>IFERROR(__xludf.DUMMYFUNCTION("""COMPUTED_VALUE"""),"FMY-AL-GVF-1A")</f>
        <v>FMY-AL-GVF-1A</v>
      </c>
      <c r="G18" s="18">
        <v>10.99</v>
      </c>
      <c r="H18" s="19"/>
      <c r="I18" s="19"/>
      <c r="J18" s="19" t="s">
        <v>68</v>
      </c>
      <c r="K18" s="19"/>
      <c r="L18" s="16">
        <v>1.0</v>
      </c>
      <c r="M18" s="19"/>
      <c r="N18" s="20">
        <v>10.99</v>
      </c>
      <c r="O18" s="21" t="s">
        <v>22</v>
      </c>
      <c r="P18" s="19"/>
      <c r="Q18" s="19"/>
      <c r="R18" s="19"/>
      <c r="S18" s="19"/>
      <c r="T18" s="19"/>
      <c r="U18" s="19"/>
      <c r="V18" s="19"/>
    </row>
    <row r="19">
      <c r="A19" s="15">
        <v>45880.0</v>
      </c>
      <c r="B19" s="16" t="s">
        <v>61</v>
      </c>
      <c r="C19" s="16" t="s">
        <v>51</v>
      </c>
      <c r="D19" s="16" t="s">
        <v>69</v>
      </c>
      <c r="E19" s="16" t="s">
        <v>19</v>
      </c>
      <c r="F19" s="17" t="str">
        <f>IFERROR(__xludf.DUMMYFUNCTION("""COMPUTED_VALUE"""),"FMY-MA-DE-1A")</f>
        <v>FMY-MA-DE-1A</v>
      </c>
      <c r="G19" s="18">
        <v>10.99</v>
      </c>
      <c r="H19" s="19"/>
      <c r="I19" s="19"/>
      <c r="J19" s="19" t="s">
        <v>70</v>
      </c>
      <c r="K19" s="16">
        <v>25.0</v>
      </c>
      <c r="L19" s="16">
        <v>1.0</v>
      </c>
      <c r="M19" s="16" t="s">
        <v>48</v>
      </c>
      <c r="N19" s="20">
        <v>10.99</v>
      </c>
      <c r="O19" s="21" t="s">
        <v>22</v>
      </c>
      <c r="P19" s="19"/>
      <c r="Q19" s="19"/>
      <c r="R19" s="19"/>
      <c r="S19" s="19"/>
      <c r="T19" s="19"/>
      <c r="U19" s="19"/>
      <c r="V19" s="19"/>
    </row>
    <row r="20">
      <c r="A20" s="15">
        <v>45880.0</v>
      </c>
      <c r="B20" s="16" t="s">
        <v>61</v>
      </c>
      <c r="C20" s="16" t="s">
        <v>51</v>
      </c>
      <c r="D20" s="16" t="s">
        <v>69</v>
      </c>
      <c r="E20" s="16" t="s">
        <v>71</v>
      </c>
      <c r="F20" s="17" t="str">
        <f>IFERROR(__xludf.DUMMYFUNCTION("""COMPUTED_VALUE"""),"FMY-MA-DE-1A-2")</f>
        <v>FMY-MA-DE-1A-2</v>
      </c>
      <c r="G20" s="18">
        <v>19.99</v>
      </c>
      <c r="H20" s="19"/>
      <c r="I20" s="19"/>
      <c r="J20" s="19" t="s">
        <v>72</v>
      </c>
      <c r="K20" s="19"/>
      <c r="L20" s="16">
        <v>1.0</v>
      </c>
      <c r="M20" s="16" t="s">
        <v>48</v>
      </c>
      <c r="N20" s="20">
        <v>19.99</v>
      </c>
      <c r="O20" s="21" t="s">
        <v>22</v>
      </c>
      <c r="P20" s="19"/>
      <c r="Q20" s="19"/>
      <c r="R20" s="19"/>
      <c r="S20" s="19"/>
      <c r="T20" s="19"/>
      <c r="U20" s="19"/>
      <c r="V20" s="19"/>
    </row>
    <row r="21">
      <c r="A21" s="15">
        <v>45880.0</v>
      </c>
      <c r="B21" s="16" t="s">
        <v>54</v>
      </c>
      <c r="C21" s="16" t="s">
        <v>73</v>
      </c>
      <c r="D21" s="16" t="s">
        <v>74</v>
      </c>
      <c r="E21" s="16" t="s">
        <v>19</v>
      </c>
      <c r="F21" s="17" t="str">
        <f>IFERROR(__xludf.DUMMYFUNCTION("""COMPUTED_VALUE"""),"TLC-SC-SS-1A")</f>
        <v>TLC-SC-SS-1A</v>
      </c>
      <c r="G21" s="18">
        <v>1.0</v>
      </c>
      <c r="H21" s="16"/>
      <c r="I21" s="16"/>
      <c r="J21" s="19" t="s">
        <v>75</v>
      </c>
      <c r="K21" s="19"/>
      <c r="L21" s="16">
        <v>1.0</v>
      </c>
      <c r="M21" s="19"/>
      <c r="N21" s="20">
        <v>1.0</v>
      </c>
      <c r="O21" s="21" t="s">
        <v>22</v>
      </c>
      <c r="P21" s="19"/>
      <c r="Q21" s="19"/>
      <c r="R21" s="19"/>
      <c r="S21" s="19"/>
      <c r="T21" s="19"/>
      <c r="U21" s="19"/>
      <c r="V21" s="19"/>
    </row>
    <row r="22">
      <c r="A22" s="15">
        <v>45870.0</v>
      </c>
      <c r="B22" s="16" t="s">
        <v>76</v>
      </c>
      <c r="C22" s="16" t="s">
        <v>51</v>
      </c>
      <c r="D22" s="16" t="s">
        <v>77</v>
      </c>
      <c r="E22" s="16" t="s">
        <v>19</v>
      </c>
      <c r="F22" s="17" t="str">
        <f>IFERROR(__xludf.DUMMYFUNCTION("""COMPUTED_VALUE"""),"MMP-MA-AD-1A")</f>
        <v>MMP-MA-AD-1A</v>
      </c>
      <c r="G22" s="18">
        <v>1.0</v>
      </c>
      <c r="H22" s="16"/>
      <c r="I22" s="19"/>
      <c r="J22" s="19" t="s">
        <v>78</v>
      </c>
      <c r="K22" s="19"/>
      <c r="L22" s="16">
        <v>1.0</v>
      </c>
      <c r="M22" s="19"/>
      <c r="N22" s="20">
        <v>1.0</v>
      </c>
      <c r="O22" s="21" t="s">
        <v>22</v>
      </c>
      <c r="P22" s="19"/>
      <c r="Q22" s="19"/>
      <c r="R22" s="19"/>
      <c r="S22" s="19"/>
      <c r="T22" s="19"/>
      <c r="U22" s="19"/>
      <c r="V22" s="19"/>
    </row>
    <row r="23">
      <c r="A23" s="15">
        <v>45866.0</v>
      </c>
      <c r="B23" s="16" t="s">
        <v>79</v>
      </c>
      <c r="C23" s="16" t="s">
        <v>51</v>
      </c>
      <c r="D23" s="16" t="s">
        <v>77</v>
      </c>
      <c r="E23" s="16" t="s">
        <v>19</v>
      </c>
      <c r="F23" s="17" t="str">
        <f>IFERROR(__xludf.DUMMYFUNCTION("""COMPUTED_VALUE"""),"OLN-MA-AD-1A")</f>
        <v>OLN-MA-AD-1A</v>
      </c>
      <c r="G23" s="18">
        <v>3.66</v>
      </c>
      <c r="H23" s="16" t="s">
        <v>80</v>
      </c>
      <c r="I23" s="22" t="s">
        <v>81</v>
      </c>
      <c r="J23" s="19" t="s">
        <v>82</v>
      </c>
      <c r="K23" s="19"/>
      <c r="L23" s="16">
        <v>1.0</v>
      </c>
      <c r="M23" s="16" t="s">
        <v>83</v>
      </c>
      <c r="N23" s="20">
        <v>3.66</v>
      </c>
      <c r="O23" s="21" t="s">
        <v>22</v>
      </c>
      <c r="P23" s="19"/>
      <c r="Q23" s="19"/>
      <c r="R23" s="19"/>
      <c r="S23" s="19"/>
      <c r="T23" s="19"/>
      <c r="U23" s="19"/>
      <c r="V23" s="19"/>
    </row>
    <row r="24">
      <c r="A24" s="15">
        <v>45866.0</v>
      </c>
      <c r="B24" s="16" t="s">
        <v>79</v>
      </c>
      <c r="C24" s="16" t="s">
        <v>26</v>
      </c>
      <c r="D24" s="16" t="s">
        <v>84</v>
      </c>
      <c r="E24" s="16" t="s">
        <v>19</v>
      </c>
      <c r="F24" s="17" t="str">
        <f>IFERROR(__xludf.DUMMYFUNCTION("""COMPUTED_VALUE"""),"OLN-PH-WP-1A")</f>
        <v>OLN-PH-WP-1A</v>
      </c>
      <c r="G24" s="18">
        <v>3.66</v>
      </c>
      <c r="H24" s="16" t="s">
        <v>80</v>
      </c>
      <c r="I24" s="22" t="s">
        <v>81</v>
      </c>
      <c r="J24" s="19" t="s">
        <v>85</v>
      </c>
      <c r="K24" s="19"/>
      <c r="L24" s="16">
        <v>1.0</v>
      </c>
      <c r="M24" s="16" t="s">
        <v>83</v>
      </c>
      <c r="N24" s="20">
        <v>3.66</v>
      </c>
      <c r="O24" s="21" t="s">
        <v>22</v>
      </c>
      <c r="P24" s="19"/>
      <c r="Q24" s="19"/>
      <c r="R24" s="19"/>
      <c r="S24" s="19"/>
      <c r="T24" s="19"/>
      <c r="U24" s="19"/>
      <c r="V24" s="19"/>
    </row>
    <row r="25">
      <c r="A25" s="15">
        <v>45866.0</v>
      </c>
      <c r="B25" s="16" t="s">
        <v>79</v>
      </c>
      <c r="C25" s="16" t="s">
        <v>86</v>
      </c>
      <c r="D25" s="16" t="s">
        <v>87</v>
      </c>
      <c r="E25" s="16" t="s">
        <v>19</v>
      </c>
      <c r="F25" s="17" t="str">
        <f>IFERROR(__xludf.DUMMYFUNCTION("""COMPUTED_VALUE"""),"OLN-ALT-PT-1A")</f>
        <v>OLN-ALT-PT-1A</v>
      </c>
      <c r="G25" s="18">
        <v>9.99</v>
      </c>
      <c r="H25" s="16" t="s">
        <v>80</v>
      </c>
      <c r="I25" s="22" t="s">
        <v>81</v>
      </c>
      <c r="J25" s="19" t="s">
        <v>88</v>
      </c>
      <c r="K25" s="19"/>
      <c r="L25" s="16">
        <v>1.0</v>
      </c>
      <c r="M25" s="16" t="s">
        <v>83</v>
      </c>
      <c r="N25" s="20">
        <v>9.99</v>
      </c>
      <c r="O25" s="21" t="s">
        <v>22</v>
      </c>
      <c r="P25" s="19"/>
      <c r="Q25" s="19"/>
      <c r="R25" s="19"/>
      <c r="S25" s="19"/>
      <c r="T25" s="19"/>
      <c r="U25" s="19"/>
      <c r="V25" s="19"/>
    </row>
    <row r="26">
      <c r="A26" s="15">
        <v>45866.0</v>
      </c>
      <c r="B26" s="16" t="s">
        <v>79</v>
      </c>
      <c r="C26" s="16" t="s">
        <v>89</v>
      </c>
      <c r="D26" s="16" t="s">
        <v>90</v>
      </c>
      <c r="E26" s="16" t="s">
        <v>19</v>
      </c>
      <c r="F26" s="17" t="str">
        <f>IFERROR(__xludf.DUMMYFUNCTION("""COMPUTED_VALUE"""),"OLN-FI-RF-1A")</f>
        <v>OLN-FI-RF-1A</v>
      </c>
      <c r="G26" s="18">
        <v>3.66</v>
      </c>
      <c r="H26" s="16" t="s">
        <v>80</v>
      </c>
      <c r="I26" s="22" t="s">
        <v>81</v>
      </c>
      <c r="J26" s="19" t="s">
        <v>91</v>
      </c>
      <c r="K26" s="19"/>
      <c r="L26" s="16">
        <v>1.0</v>
      </c>
      <c r="M26" s="16" t="s">
        <v>38</v>
      </c>
      <c r="N26" s="20">
        <v>3.66</v>
      </c>
      <c r="O26" s="21" t="s">
        <v>22</v>
      </c>
      <c r="P26" s="19"/>
      <c r="Q26" s="19"/>
      <c r="R26" s="19"/>
      <c r="S26" s="19"/>
      <c r="T26" s="19"/>
      <c r="U26" s="19"/>
      <c r="V26" s="19"/>
    </row>
    <row r="27">
      <c r="A27" s="15">
        <v>45902.0</v>
      </c>
      <c r="B27" s="16" t="s">
        <v>79</v>
      </c>
      <c r="C27" s="16" t="s">
        <v>26</v>
      </c>
      <c r="D27" s="16" t="s">
        <v>92</v>
      </c>
      <c r="E27" s="16" t="s">
        <v>19</v>
      </c>
      <c r="F27" s="17" t="str">
        <f>IFERROR(__xludf.DUMMYFUNCTION("""COMPUTED_VALUE"""),"OLN-PH-STS-1A")</f>
        <v>OLN-PH-STS-1A</v>
      </c>
      <c r="G27" s="18">
        <v>52.0</v>
      </c>
      <c r="H27" s="16" t="s">
        <v>80</v>
      </c>
      <c r="I27" s="22" t="s">
        <v>93</v>
      </c>
      <c r="J27" s="19" t="s">
        <v>94</v>
      </c>
      <c r="K27" s="19"/>
      <c r="L27" s="16">
        <v>1.0</v>
      </c>
      <c r="M27" s="16" t="s">
        <v>38</v>
      </c>
      <c r="N27" s="20">
        <v>52.0</v>
      </c>
      <c r="O27" s="21" t="s">
        <v>22</v>
      </c>
      <c r="P27" s="19"/>
      <c r="Q27" s="19"/>
      <c r="R27" s="19"/>
      <c r="S27" s="19"/>
      <c r="T27" s="19"/>
      <c r="U27" s="19"/>
      <c r="V27" s="19"/>
    </row>
    <row r="28">
      <c r="A28" s="15">
        <v>45902.0</v>
      </c>
      <c r="B28" s="16" t="s">
        <v>79</v>
      </c>
      <c r="C28" s="16" t="s">
        <v>26</v>
      </c>
      <c r="D28" s="16" t="s">
        <v>95</v>
      </c>
      <c r="E28" s="16" t="s">
        <v>19</v>
      </c>
      <c r="F28" s="17" t="str">
        <f>IFERROR(__xludf.DUMMYFUNCTION("""COMPUTED_VALUE"""),"OLN-PH-SD-1A")</f>
        <v>OLN-PH-SD-1A</v>
      </c>
      <c r="G28" s="18">
        <v>16.0</v>
      </c>
      <c r="H28" s="16" t="s">
        <v>80</v>
      </c>
      <c r="I28" s="22" t="s">
        <v>93</v>
      </c>
      <c r="J28" s="19" t="s">
        <v>96</v>
      </c>
      <c r="K28" s="19"/>
      <c r="L28" s="16">
        <v>1.0</v>
      </c>
      <c r="M28" s="16" t="s">
        <v>38</v>
      </c>
      <c r="N28" s="20">
        <v>16.0</v>
      </c>
      <c r="O28" s="21" t="s">
        <v>22</v>
      </c>
      <c r="P28" s="19"/>
      <c r="Q28" s="19"/>
      <c r="R28" s="19"/>
      <c r="S28" s="19"/>
      <c r="T28" s="19"/>
      <c r="U28" s="19"/>
      <c r="V28" s="19"/>
    </row>
    <row r="29">
      <c r="A29" s="15">
        <v>45871.0</v>
      </c>
      <c r="B29" s="16" t="s">
        <v>97</v>
      </c>
      <c r="C29" s="16" t="s">
        <v>26</v>
      </c>
      <c r="D29" s="16" t="s">
        <v>84</v>
      </c>
      <c r="E29" s="16" t="s">
        <v>19</v>
      </c>
      <c r="F29" s="17" t="str">
        <f>IFERROR(__xludf.DUMMYFUNCTION("""COMPUTED_VALUE"""),"AR-PH-WP-1A")</f>
        <v>AR-PH-WP-1A</v>
      </c>
      <c r="G29" s="18">
        <v>20.4</v>
      </c>
      <c r="H29" s="19"/>
      <c r="I29" s="19"/>
      <c r="J29" s="19" t="s">
        <v>98</v>
      </c>
      <c r="K29" s="19"/>
      <c r="L29" s="16">
        <v>1.0</v>
      </c>
      <c r="M29" s="19"/>
      <c r="N29" s="20">
        <v>20.4</v>
      </c>
      <c r="O29" s="21" t="s">
        <v>22</v>
      </c>
      <c r="P29" s="19"/>
      <c r="Q29" s="19"/>
      <c r="R29" s="19"/>
      <c r="S29" s="19"/>
      <c r="T29" s="19"/>
      <c r="U29" s="19"/>
      <c r="V29" s="19"/>
    </row>
    <row r="30">
      <c r="A30" s="15">
        <v>45871.0</v>
      </c>
      <c r="B30" s="16" t="s">
        <v>97</v>
      </c>
      <c r="C30" s="16" t="s">
        <v>64</v>
      </c>
      <c r="D30" s="16" t="s">
        <v>99</v>
      </c>
      <c r="E30" s="16" t="s">
        <v>19</v>
      </c>
      <c r="F30" s="17" t="str">
        <f>IFERROR(__xludf.DUMMYFUNCTION("""COMPUTED_VALUE"""),"AR-AL-LM-1A")</f>
        <v>AR-AL-LM-1A</v>
      </c>
      <c r="G30" s="18">
        <v>18.9</v>
      </c>
      <c r="H30" s="19"/>
      <c r="I30" s="19"/>
      <c r="J30" s="19" t="s">
        <v>100</v>
      </c>
      <c r="K30" s="19"/>
      <c r="L30" s="16">
        <v>1.0</v>
      </c>
      <c r="M30" s="19"/>
      <c r="N30" s="20">
        <v>18.9</v>
      </c>
      <c r="O30" s="21" t="s">
        <v>22</v>
      </c>
      <c r="P30" s="19"/>
      <c r="Q30" s="19"/>
      <c r="R30" s="19"/>
      <c r="S30" s="19"/>
      <c r="T30" s="19"/>
      <c r="U30" s="19"/>
      <c r="V30" s="19"/>
    </row>
    <row r="31">
      <c r="A31" s="15">
        <v>45877.0</v>
      </c>
      <c r="B31" s="16" t="s">
        <v>101</v>
      </c>
      <c r="C31" s="16" t="s">
        <v>102</v>
      </c>
      <c r="D31" s="16" t="s">
        <v>103</v>
      </c>
      <c r="E31" s="16" t="s">
        <v>19</v>
      </c>
      <c r="F31" s="17" t="str">
        <f>IFERROR(__xludf.DUMMYFUNCTION("""COMPUTED_VALUE"""),"ZB-SE-HA-1A")</f>
        <v>ZB-SE-HA-1A</v>
      </c>
      <c r="G31" s="18">
        <v>0.0</v>
      </c>
      <c r="H31" s="19"/>
      <c r="I31" s="19"/>
      <c r="J31" s="19" t="s">
        <v>104</v>
      </c>
      <c r="K31" s="19"/>
      <c r="L31" s="16">
        <v>1.0</v>
      </c>
      <c r="M31" s="19"/>
      <c r="N31" s="20">
        <v>0.0</v>
      </c>
      <c r="O31" s="21" t="s">
        <v>22</v>
      </c>
      <c r="P31" s="19"/>
      <c r="Q31" s="19"/>
      <c r="R31" s="19"/>
      <c r="S31" s="19"/>
      <c r="T31" s="19"/>
      <c r="U31" s="19"/>
      <c r="V31" s="19"/>
    </row>
    <row r="32">
      <c r="A32" s="15">
        <v>45878.0</v>
      </c>
      <c r="B32" s="16" t="s">
        <v>105</v>
      </c>
      <c r="C32" s="16" t="s">
        <v>26</v>
      </c>
      <c r="D32" s="16" t="s">
        <v>106</v>
      </c>
      <c r="E32" s="16" t="s">
        <v>19</v>
      </c>
      <c r="F32" s="17" t="str">
        <f>IFERROR(__xludf.DUMMYFUNCTION("""COMPUTED_VALUE"""),"IST-PH-PP-1A")</f>
        <v>IST-PH-PP-1A</v>
      </c>
      <c r="G32" s="18">
        <v>10.8</v>
      </c>
      <c r="H32" s="19"/>
      <c r="I32" s="19"/>
      <c r="J32" s="19" t="s">
        <v>107</v>
      </c>
      <c r="K32" s="19"/>
      <c r="L32" s="16">
        <v>1.0</v>
      </c>
      <c r="M32" s="19"/>
      <c r="N32" s="20">
        <v>10.8</v>
      </c>
      <c r="O32" s="21" t="s">
        <v>22</v>
      </c>
      <c r="P32" s="19"/>
      <c r="Q32" s="19"/>
      <c r="R32" s="19"/>
      <c r="S32" s="19"/>
      <c r="T32" s="19"/>
      <c r="U32" s="19"/>
      <c r="V32" s="19"/>
    </row>
    <row r="33">
      <c r="A33" s="15">
        <v>45878.0</v>
      </c>
      <c r="B33" s="16" t="s">
        <v>105</v>
      </c>
      <c r="C33" s="16" t="s">
        <v>26</v>
      </c>
      <c r="D33" s="16" t="s">
        <v>108</v>
      </c>
      <c r="E33" s="16" t="s">
        <v>19</v>
      </c>
      <c r="F33" s="17" t="str">
        <f>IFERROR(__xludf.DUMMYFUNCTION("""COMPUTED_VALUE"""),"IST-PH-GCN-1A")</f>
        <v>IST-PH-GCN-1A</v>
      </c>
      <c r="G33" s="18">
        <v>25.0</v>
      </c>
      <c r="H33" s="19"/>
      <c r="I33" s="19"/>
      <c r="J33" s="19" t="s">
        <v>109</v>
      </c>
      <c r="K33" s="19"/>
      <c r="L33" s="16">
        <v>1.0</v>
      </c>
      <c r="M33" s="16" t="s">
        <v>38</v>
      </c>
      <c r="N33" s="20">
        <v>25.0</v>
      </c>
      <c r="O33" s="21" t="s">
        <v>22</v>
      </c>
      <c r="P33" s="19"/>
      <c r="Q33" s="19"/>
      <c r="R33" s="19"/>
      <c r="S33" s="19"/>
      <c r="T33" s="19"/>
      <c r="U33" s="19"/>
      <c r="V33" s="19"/>
    </row>
    <row r="34">
      <c r="A34" s="15">
        <v>45882.0</v>
      </c>
      <c r="B34" s="16" t="s">
        <v>110</v>
      </c>
      <c r="C34" s="16" t="s">
        <v>111</v>
      </c>
      <c r="D34" s="16" t="s">
        <v>112</v>
      </c>
      <c r="E34" s="16" t="s">
        <v>19</v>
      </c>
      <c r="F34" s="17" t="str">
        <f>IFERROR(__xludf.DUMMYFUNCTION("""COMPUTED_VALUE"""),"TGG-HO-GF-1A")</f>
        <v>TGG-HO-GF-1A</v>
      </c>
      <c r="G34" s="18">
        <v>0.0</v>
      </c>
      <c r="H34" s="19"/>
      <c r="I34" s="19"/>
      <c r="J34" s="19" t="s">
        <v>113</v>
      </c>
      <c r="K34" s="19"/>
      <c r="L34" s="16">
        <v>1.0</v>
      </c>
      <c r="M34" s="19"/>
      <c r="N34" s="20">
        <v>0.0</v>
      </c>
      <c r="O34" s="21" t="s">
        <v>22</v>
      </c>
      <c r="P34" s="19"/>
      <c r="Q34" s="19"/>
      <c r="R34" s="19"/>
      <c r="S34" s="19"/>
      <c r="T34" s="19"/>
      <c r="U34" s="19"/>
      <c r="V34" s="19"/>
    </row>
    <row r="35">
      <c r="A35" s="15">
        <v>45882.0</v>
      </c>
      <c r="B35" s="16" t="s">
        <v>110</v>
      </c>
      <c r="C35" s="16" t="s">
        <v>111</v>
      </c>
      <c r="D35" s="16" t="s">
        <v>114</v>
      </c>
      <c r="E35" s="16" t="s">
        <v>19</v>
      </c>
      <c r="F35" s="17" t="str">
        <f>IFERROR(__xludf.DUMMYFUNCTION("""COMPUTED_VALUE"""),"TGG-HO-PU-1A")</f>
        <v>TGG-HO-PU-1A</v>
      </c>
      <c r="G35" s="18">
        <v>5.0</v>
      </c>
      <c r="H35" s="19"/>
      <c r="I35" s="19"/>
      <c r="J35" s="19" t="s">
        <v>115</v>
      </c>
      <c r="K35" s="19"/>
      <c r="L35" s="16">
        <v>1.0</v>
      </c>
      <c r="M35" s="19"/>
      <c r="N35" s="20">
        <v>5.0</v>
      </c>
      <c r="O35" s="21" t="s">
        <v>22</v>
      </c>
      <c r="P35" s="19"/>
      <c r="Q35" s="19"/>
      <c r="R35" s="19"/>
      <c r="S35" s="19"/>
      <c r="T35" s="19"/>
      <c r="U35" s="19"/>
      <c r="V35" s="19"/>
    </row>
    <row r="36">
      <c r="A36" s="15">
        <v>45886.0</v>
      </c>
      <c r="B36" s="16" t="s">
        <v>43</v>
      </c>
      <c r="C36" s="16" t="s">
        <v>51</v>
      </c>
      <c r="D36" s="16" t="s">
        <v>69</v>
      </c>
      <c r="E36" s="16" t="s">
        <v>19</v>
      </c>
      <c r="F36" s="17" t="str">
        <f>IFERROR(__xludf.DUMMYFUNCTION("""COMPUTED_VALUE"""),"FM-MA-DE-1A")</f>
        <v>FM-MA-DE-1A</v>
      </c>
      <c r="G36" s="18">
        <v>5.0</v>
      </c>
      <c r="H36" s="16" t="s">
        <v>45</v>
      </c>
      <c r="I36" s="16" t="s">
        <v>46</v>
      </c>
      <c r="J36" s="19" t="s">
        <v>116</v>
      </c>
      <c r="K36" s="16">
        <v>0.0</v>
      </c>
      <c r="L36" s="16">
        <v>1.0</v>
      </c>
      <c r="M36" s="16" t="s">
        <v>29</v>
      </c>
      <c r="N36" s="20">
        <v>5.0</v>
      </c>
      <c r="O36" s="21" t="s">
        <v>22</v>
      </c>
      <c r="P36" s="19"/>
      <c r="Q36" s="19"/>
      <c r="R36" s="19"/>
      <c r="S36" s="19"/>
      <c r="T36" s="19"/>
      <c r="U36" s="19"/>
      <c r="V36" s="19"/>
    </row>
    <row r="37">
      <c r="A37" s="15">
        <v>45882.0</v>
      </c>
      <c r="B37" s="16" t="s">
        <v>117</v>
      </c>
      <c r="C37" s="16" t="s">
        <v>26</v>
      </c>
      <c r="D37" s="16" t="s">
        <v>106</v>
      </c>
      <c r="E37" s="16" t="s">
        <v>19</v>
      </c>
      <c r="F37" s="17" t="str">
        <f>IFERROR(__xludf.DUMMYFUNCTION("""COMPUTED_VALUE"""),"AM-PH-PP-1A")</f>
        <v>AM-PH-PP-1A</v>
      </c>
      <c r="G37" s="18">
        <v>10.25</v>
      </c>
      <c r="H37" s="19"/>
      <c r="I37" s="19"/>
      <c r="J37" s="19" t="s">
        <v>118</v>
      </c>
      <c r="K37" s="19"/>
      <c r="L37" s="16">
        <v>1.0</v>
      </c>
      <c r="M37" s="19"/>
      <c r="N37" s="20">
        <v>10.25</v>
      </c>
      <c r="O37" s="21" t="s">
        <v>22</v>
      </c>
      <c r="P37" s="19"/>
      <c r="Q37" s="19"/>
      <c r="R37" s="19"/>
      <c r="S37" s="19"/>
      <c r="T37" s="19"/>
      <c r="U37" s="19"/>
      <c r="V37" s="19"/>
    </row>
    <row r="38">
      <c r="A38" s="15">
        <v>45882.0</v>
      </c>
      <c r="B38" s="16" t="s">
        <v>117</v>
      </c>
      <c r="C38" s="16" t="s">
        <v>26</v>
      </c>
      <c r="D38" s="16" t="s">
        <v>119</v>
      </c>
      <c r="E38" s="16" t="s">
        <v>19</v>
      </c>
      <c r="F38" s="17" t="str">
        <f>IFERROR(__xludf.DUMMYFUNCTION("""COMPUTED_VALUE"""),"AM-PH-WW-1A")</f>
        <v>AM-PH-WW-1A</v>
      </c>
      <c r="G38" s="18">
        <v>10.25</v>
      </c>
      <c r="H38" s="19"/>
      <c r="I38" s="19"/>
      <c r="J38" s="19" t="s">
        <v>120</v>
      </c>
      <c r="K38" s="19"/>
      <c r="L38" s="16">
        <v>1.0</v>
      </c>
      <c r="M38" s="19"/>
      <c r="N38" s="20">
        <v>10.25</v>
      </c>
      <c r="O38" s="21" t="s">
        <v>22</v>
      </c>
      <c r="P38" s="19"/>
      <c r="Q38" s="19"/>
      <c r="R38" s="19"/>
      <c r="S38" s="19"/>
      <c r="T38" s="19"/>
      <c r="U38" s="19"/>
      <c r="V38" s="19"/>
    </row>
    <row r="39">
      <c r="A39" s="15">
        <v>45882.0</v>
      </c>
      <c r="B39" s="16" t="s">
        <v>117</v>
      </c>
      <c r="C39" s="16" t="s">
        <v>26</v>
      </c>
      <c r="D39" s="16" t="s">
        <v>121</v>
      </c>
      <c r="E39" s="16" t="s">
        <v>19</v>
      </c>
      <c r="F39" s="17" t="str">
        <f>IFERROR(__xludf.DUMMYFUNCTION("""COMPUTED_VALUE"""),"AM-PH-GL-1A")</f>
        <v>AM-PH-GL-1A</v>
      </c>
      <c r="G39" s="18">
        <v>10.25</v>
      </c>
      <c r="H39" s="19"/>
      <c r="I39" s="19"/>
      <c r="J39" s="19" t="s">
        <v>122</v>
      </c>
      <c r="K39" s="19"/>
      <c r="L39" s="16">
        <v>1.0</v>
      </c>
      <c r="M39" s="19"/>
      <c r="N39" s="20">
        <v>10.25</v>
      </c>
      <c r="O39" s="21" t="s">
        <v>22</v>
      </c>
      <c r="P39" s="19"/>
      <c r="Q39" s="19"/>
      <c r="R39" s="19"/>
      <c r="S39" s="19"/>
      <c r="T39" s="19"/>
      <c r="U39" s="19"/>
      <c r="V39" s="19"/>
    </row>
    <row r="40">
      <c r="A40" s="15">
        <v>45882.0</v>
      </c>
      <c r="B40" s="16" t="s">
        <v>117</v>
      </c>
      <c r="C40" s="16" t="s">
        <v>26</v>
      </c>
      <c r="D40" s="16" t="s">
        <v>123</v>
      </c>
      <c r="E40" s="16" t="s">
        <v>19</v>
      </c>
      <c r="F40" s="17" t="str">
        <f>IFERROR(__xludf.DUMMYFUNCTION("""COMPUTED_VALUE"""),"AM-PH-BI-1A")</f>
        <v>AM-PH-BI-1A</v>
      </c>
      <c r="G40" s="18">
        <v>10.25</v>
      </c>
      <c r="H40" s="19"/>
      <c r="I40" s="19"/>
      <c r="J40" s="19" t="s">
        <v>124</v>
      </c>
      <c r="K40" s="19"/>
      <c r="L40" s="16">
        <v>1.0</v>
      </c>
      <c r="M40" s="19"/>
      <c r="N40" s="20">
        <v>10.25</v>
      </c>
      <c r="O40" s="21" t="s">
        <v>22</v>
      </c>
      <c r="P40" s="19"/>
      <c r="Q40" s="19"/>
      <c r="R40" s="19"/>
      <c r="S40" s="19"/>
      <c r="T40" s="19"/>
      <c r="U40" s="19"/>
      <c r="V40" s="19"/>
    </row>
    <row r="41">
      <c r="A41" s="15">
        <v>45881.0</v>
      </c>
      <c r="B41" s="16" t="s">
        <v>125</v>
      </c>
      <c r="C41" s="16" t="s">
        <v>26</v>
      </c>
      <c r="D41" s="16" t="s">
        <v>126</v>
      </c>
      <c r="E41" s="16" t="s">
        <v>19</v>
      </c>
      <c r="F41" s="17" t="str">
        <f>IFERROR(__xludf.DUMMYFUNCTION("""COMPUTED_VALUE"""),"TGOPS-PH-PPM-1A")</f>
        <v>TGOPS-PH-PPM-1A</v>
      </c>
      <c r="G41" s="18">
        <v>16.19</v>
      </c>
      <c r="H41" s="19"/>
      <c r="I41" s="19"/>
      <c r="J41" s="19" t="s">
        <v>127</v>
      </c>
      <c r="K41" s="16">
        <v>26.99</v>
      </c>
      <c r="L41" s="16">
        <v>1.0</v>
      </c>
      <c r="M41" s="19"/>
      <c r="N41" s="20">
        <v>16.19</v>
      </c>
      <c r="O41" s="21" t="s">
        <v>22</v>
      </c>
      <c r="P41" s="19"/>
      <c r="Q41" s="19"/>
      <c r="R41" s="19"/>
      <c r="S41" s="19"/>
      <c r="T41" s="19"/>
      <c r="U41" s="19"/>
      <c r="V41" s="19"/>
    </row>
    <row r="42">
      <c r="A42" s="15">
        <v>45881.0</v>
      </c>
      <c r="B42" s="16" t="s">
        <v>125</v>
      </c>
      <c r="C42" s="16" t="s">
        <v>26</v>
      </c>
      <c r="D42" s="16" t="s">
        <v>126</v>
      </c>
      <c r="E42" s="16" t="s">
        <v>71</v>
      </c>
      <c r="F42" s="17" t="str">
        <f>IFERROR(__xludf.DUMMYFUNCTION("""COMPUTED_VALUE"""),"TGOPS-PH-PPM-1A-2")</f>
        <v>TGOPS-PH-PPM-1A-2</v>
      </c>
      <c r="G42" s="18">
        <v>16.19</v>
      </c>
      <c r="H42" s="19"/>
      <c r="I42" s="19"/>
      <c r="J42" s="19" t="s">
        <v>128</v>
      </c>
      <c r="K42" s="16">
        <v>26.99</v>
      </c>
      <c r="L42" s="16">
        <v>1.0</v>
      </c>
      <c r="M42" s="19"/>
      <c r="N42" s="20">
        <v>16.19</v>
      </c>
      <c r="O42" s="21" t="s">
        <v>22</v>
      </c>
      <c r="P42" s="19"/>
      <c r="Q42" s="19"/>
      <c r="R42" s="19"/>
      <c r="S42" s="19"/>
      <c r="T42" s="19"/>
      <c r="U42" s="19"/>
      <c r="V42" s="19"/>
    </row>
    <row r="43">
      <c r="A43" s="15">
        <v>45881.0</v>
      </c>
      <c r="B43" s="16" t="s">
        <v>125</v>
      </c>
      <c r="C43" s="16" t="s">
        <v>26</v>
      </c>
      <c r="D43" s="16" t="s">
        <v>126</v>
      </c>
      <c r="E43" s="16" t="s">
        <v>129</v>
      </c>
      <c r="F43" s="17" t="str">
        <f>IFERROR(__xludf.DUMMYFUNCTION("""COMPUTED_VALUE"""),"TGOPS-PH-PPM-1A-3")</f>
        <v>TGOPS-PH-PPM-1A-3</v>
      </c>
      <c r="G43" s="18">
        <v>16.19</v>
      </c>
      <c r="H43" s="19"/>
      <c r="I43" s="19"/>
      <c r="J43" s="19" t="s">
        <v>130</v>
      </c>
      <c r="K43" s="16">
        <v>26.99</v>
      </c>
      <c r="L43" s="16">
        <v>1.0</v>
      </c>
      <c r="M43" s="19"/>
      <c r="N43" s="20">
        <v>16.19</v>
      </c>
      <c r="O43" s="21" t="s">
        <v>22</v>
      </c>
      <c r="P43" s="19"/>
      <c r="Q43" s="19"/>
      <c r="R43" s="19"/>
      <c r="S43" s="19"/>
      <c r="T43" s="19"/>
      <c r="U43" s="19"/>
      <c r="V43" s="19"/>
    </row>
    <row r="44">
      <c r="A44" s="15">
        <v>45881.0</v>
      </c>
      <c r="B44" s="16" t="s">
        <v>125</v>
      </c>
      <c r="C44" s="16" t="s">
        <v>26</v>
      </c>
      <c r="D44" s="16" t="s">
        <v>131</v>
      </c>
      <c r="E44" s="16" t="s">
        <v>19</v>
      </c>
      <c r="F44" s="17" t="str">
        <f>IFERROR(__xludf.DUMMYFUNCTION("""COMPUTED_VALUE"""),"TGOPS-PH-POO-1A")</f>
        <v>TGOPS-PH-POO-1A</v>
      </c>
      <c r="G44" s="18">
        <v>7.79</v>
      </c>
      <c r="H44" s="19"/>
      <c r="I44" s="19"/>
      <c r="J44" s="19" t="s">
        <v>132</v>
      </c>
      <c r="K44" s="16">
        <v>12.99</v>
      </c>
      <c r="L44" s="16">
        <v>1.0</v>
      </c>
      <c r="M44" s="19"/>
      <c r="N44" s="20">
        <v>7.79</v>
      </c>
      <c r="O44" s="21" t="s">
        <v>22</v>
      </c>
      <c r="P44" s="19"/>
      <c r="Q44" s="19"/>
      <c r="R44" s="19"/>
      <c r="S44" s="19"/>
      <c r="T44" s="19"/>
      <c r="U44" s="19"/>
      <c r="V44" s="19"/>
    </row>
    <row r="45">
      <c r="A45" s="15">
        <v>45881.0</v>
      </c>
      <c r="B45" s="16" t="s">
        <v>125</v>
      </c>
      <c r="C45" s="16" t="s">
        <v>26</v>
      </c>
      <c r="D45" s="16" t="s">
        <v>131</v>
      </c>
      <c r="E45" s="16" t="s">
        <v>71</v>
      </c>
      <c r="F45" s="17" t="str">
        <f>IFERROR(__xludf.DUMMYFUNCTION("""COMPUTED_VALUE"""),"TGOPS-PH-POO-1A-2")</f>
        <v>TGOPS-PH-POO-1A-2</v>
      </c>
      <c r="G45" s="18">
        <v>7.79</v>
      </c>
      <c r="H45" s="19"/>
      <c r="I45" s="19"/>
      <c r="J45" s="19" t="s">
        <v>133</v>
      </c>
      <c r="K45" s="16">
        <v>12.99</v>
      </c>
      <c r="L45" s="16">
        <v>1.0</v>
      </c>
      <c r="M45" s="19"/>
      <c r="N45" s="20">
        <v>7.79</v>
      </c>
      <c r="O45" s="21" t="s">
        <v>22</v>
      </c>
      <c r="P45" s="19"/>
      <c r="Q45" s="19"/>
      <c r="R45" s="19"/>
      <c r="S45" s="19"/>
      <c r="T45" s="19"/>
      <c r="U45" s="19"/>
      <c r="V45" s="19"/>
    </row>
    <row r="46">
      <c r="A46" s="15">
        <v>45881.0</v>
      </c>
      <c r="B46" s="16" t="s">
        <v>125</v>
      </c>
      <c r="C46" s="16" t="s">
        <v>26</v>
      </c>
      <c r="D46" s="16" t="s">
        <v>131</v>
      </c>
      <c r="E46" s="16" t="s">
        <v>129</v>
      </c>
      <c r="F46" s="17" t="str">
        <f>IFERROR(__xludf.DUMMYFUNCTION("""COMPUTED_VALUE"""),"TGOPS-PH-POO-1A-3")</f>
        <v>TGOPS-PH-POO-1A-3</v>
      </c>
      <c r="G46" s="18">
        <v>7.79</v>
      </c>
      <c r="H46" s="19"/>
      <c r="I46" s="19"/>
      <c r="J46" s="19" t="s">
        <v>134</v>
      </c>
      <c r="K46" s="16">
        <v>12.99</v>
      </c>
      <c r="L46" s="16">
        <v>1.0</v>
      </c>
      <c r="M46" s="19"/>
      <c r="N46" s="20">
        <v>7.79</v>
      </c>
      <c r="O46" s="21" t="s">
        <v>22</v>
      </c>
      <c r="P46" s="19"/>
      <c r="Q46" s="19"/>
      <c r="R46" s="19"/>
      <c r="S46" s="19"/>
      <c r="T46" s="19"/>
      <c r="U46" s="19"/>
      <c r="V46" s="19"/>
    </row>
    <row r="47">
      <c r="A47" s="15">
        <v>45881.0</v>
      </c>
      <c r="B47" s="16" t="s">
        <v>125</v>
      </c>
      <c r="C47" s="16" t="s">
        <v>26</v>
      </c>
      <c r="D47" s="16" t="s">
        <v>119</v>
      </c>
      <c r="E47" s="16" t="s">
        <v>19</v>
      </c>
      <c r="F47" s="17" t="str">
        <f>IFERROR(__xludf.DUMMYFUNCTION("""COMPUTED_VALUE"""),"TGOPS-PH-WW-1A")</f>
        <v>TGOPS-PH-WW-1A</v>
      </c>
      <c r="G47" s="18">
        <v>13.19</v>
      </c>
      <c r="H47" s="16"/>
      <c r="I47" s="19"/>
      <c r="J47" s="19" t="s">
        <v>135</v>
      </c>
      <c r="K47" s="19"/>
      <c r="L47" s="16">
        <v>1.0</v>
      </c>
      <c r="M47" s="19"/>
      <c r="N47" s="20">
        <v>13.19</v>
      </c>
      <c r="O47" s="21" t="s">
        <v>22</v>
      </c>
      <c r="P47" s="19"/>
      <c r="Q47" s="19"/>
      <c r="R47" s="19"/>
      <c r="S47" s="19"/>
      <c r="T47" s="19"/>
      <c r="U47" s="19"/>
      <c r="V47" s="19"/>
    </row>
    <row r="48">
      <c r="A48" s="15">
        <v>45881.0</v>
      </c>
      <c r="B48" s="16" t="s">
        <v>125</v>
      </c>
      <c r="C48" s="16" t="s">
        <v>26</v>
      </c>
      <c r="D48" s="16" t="s">
        <v>119</v>
      </c>
      <c r="E48" s="16" t="s">
        <v>71</v>
      </c>
      <c r="F48" s="17" t="str">
        <f>IFERROR(__xludf.DUMMYFUNCTION("""COMPUTED_VALUE"""),"TGOPS-PH-WW-1A-2")</f>
        <v>TGOPS-PH-WW-1A-2</v>
      </c>
      <c r="G48" s="18">
        <v>13.19</v>
      </c>
      <c r="H48" s="19"/>
      <c r="I48" s="19"/>
      <c r="J48" s="19" t="s">
        <v>136</v>
      </c>
      <c r="K48" s="19"/>
      <c r="L48" s="16">
        <v>1.0</v>
      </c>
      <c r="M48" s="19"/>
      <c r="N48" s="20">
        <v>13.19</v>
      </c>
      <c r="O48" s="21" t="s">
        <v>22</v>
      </c>
      <c r="P48" s="19"/>
      <c r="Q48" s="19"/>
      <c r="R48" s="19"/>
      <c r="S48" s="19"/>
      <c r="T48" s="19"/>
      <c r="U48" s="19"/>
      <c r="V48" s="19"/>
    </row>
    <row r="49">
      <c r="A49" s="15">
        <v>45881.0</v>
      </c>
      <c r="B49" s="16" t="s">
        <v>125</v>
      </c>
      <c r="C49" s="16" t="s">
        <v>26</v>
      </c>
      <c r="D49" s="16" t="s">
        <v>119</v>
      </c>
      <c r="E49" s="16" t="s">
        <v>129</v>
      </c>
      <c r="F49" s="17" t="str">
        <f>IFERROR(__xludf.DUMMYFUNCTION("""COMPUTED_VALUE"""),"TGOPS-PH-WW-1A-3")</f>
        <v>TGOPS-PH-WW-1A-3</v>
      </c>
      <c r="G49" s="18">
        <v>13.19</v>
      </c>
      <c r="H49" s="19"/>
      <c r="I49" s="19"/>
      <c r="J49" s="19" t="s">
        <v>137</v>
      </c>
      <c r="K49" s="19"/>
      <c r="L49" s="16">
        <v>1.0</v>
      </c>
      <c r="M49" s="19"/>
      <c r="N49" s="20">
        <v>13.19</v>
      </c>
      <c r="O49" s="21" t="s">
        <v>22</v>
      </c>
      <c r="P49" s="19"/>
      <c r="Q49" s="19"/>
      <c r="R49" s="19"/>
      <c r="S49" s="19"/>
      <c r="T49" s="19"/>
      <c r="U49" s="19"/>
      <c r="V49" s="19"/>
    </row>
    <row r="50">
      <c r="A50" s="15">
        <v>45884.0</v>
      </c>
      <c r="B50" s="16" t="s">
        <v>138</v>
      </c>
      <c r="C50" s="16" t="s">
        <v>26</v>
      </c>
      <c r="D50" s="16" t="s">
        <v>139</v>
      </c>
      <c r="E50" s="16" t="s">
        <v>19</v>
      </c>
      <c r="F50" s="17" t="str">
        <f>IFERROR(__xludf.DUMMYFUNCTION("""COMPUTED_VALUE"""),"BWH-PH-MO-1A")</f>
        <v>BWH-PH-MO-1A</v>
      </c>
      <c r="G50" s="18">
        <v>6.0</v>
      </c>
      <c r="H50" s="19"/>
      <c r="I50" s="19"/>
      <c r="J50" s="19" t="s">
        <v>140</v>
      </c>
      <c r="K50" s="16">
        <v>12.99</v>
      </c>
      <c r="L50" s="16">
        <v>1.0</v>
      </c>
      <c r="M50" s="19"/>
      <c r="N50" s="20">
        <v>6.0</v>
      </c>
      <c r="O50" s="21" t="s">
        <v>22</v>
      </c>
      <c r="P50" s="19"/>
      <c r="Q50" s="19"/>
      <c r="R50" s="19"/>
      <c r="S50" s="19"/>
      <c r="T50" s="19"/>
      <c r="U50" s="19"/>
      <c r="V50" s="19"/>
    </row>
    <row r="51">
      <c r="A51" s="15">
        <v>45884.0</v>
      </c>
      <c r="B51" s="16" t="s">
        <v>138</v>
      </c>
      <c r="C51" s="16" t="s">
        <v>26</v>
      </c>
      <c r="D51" s="16" t="s">
        <v>139</v>
      </c>
      <c r="E51" s="16" t="s">
        <v>71</v>
      </c>
      <c r="F51" s="17" t="str">
        <f>IFERROR(__xludf.DUMMYFUNCTION("""COMPUTED_VALUE"""),"BWH-PH-MO-1A-2")</f>
        <v>BWH-PH-MO-1A-2</v>
      </c>
      <c r="G51" s="18">
        <v>6.0</v>
      </c>
      <c r="H51" s="19"/>
      <c r="I51" s="19"/>
      <c r="J51" s="19" t="s">
        <v>141</v>
      </c>
      <c r="K51" s="16">
        <v>12.99</v>
      </c>
      <c r="L51" s="16">
        <v>1.0</v>
      </c>
      <c r="M51" s="19"/>
      <c r="N51" s="20">
        <v>6.0</v>
      </c>
      <c r="O51" s="21" t="s">
        <v>22</v>
      </c>
      <c r="P51" s="19"/>
      <c r="Q51" s="19"/>
      <c r="R51" s="19"/>
      <c r="S51" s="19"/>
      <c r="T51" s="19"/>
      <c r="U51" s="19"/>
      <c r="V51" s="19"/>
    </row>
    <row r="52">
      <c r="A52" s="15">
        <v>45884.0</v>
      </c>
      <c r="B52" s="16" t="s">
        <v>138</v>
      </c>
      <c r="C52" s="16" t="s">
        <v>26</v>
      </c>
      <c r="D52" s="16" t="s">
        <v>139</v>
      </c>
      <c r="E52" s="16" t="s">
        <v>129</v>
      </c>
      <c r="F52" s="17" t="str">
        <f>IFERROR(__xludf.DUMMYFUNCTION("""COMPUTED_VALUE"""),"BWH-PH-MO-1A-3")</f>
        <v>BWH-PH-MO-1A-3</v>
      </c>
      <c r="G52" s="18">
        <v>6.0</v>
      </c>
      <c r="H52" s="19"/>
      <c r="I52" s="19"/>
      <c r="J52" s="19" t="s">
        <v>142</v>
      </c>
      <c r="K52" s="16">
        <v>12.99</v>
      </c>
      <c r="L52" s="16">
        <v>1.0</v>
      </c>
      <c r="M52" s="19"/>
      <c r="N52" s="20">
        <v>6.0</v>
      </c>
      <c r="O52" s="21" t="s">
        <v>22</v>
      </c>
      <c r="P52" s="19"/>
      <c r="Q52" s="19"/>
      <c r="R52" s="19"/>
      <c r="S52" s="19"/>
      <c r="T52" s="19"/>
      <c r="U52" s="19"/>
      <c r="V52" s="19"/>
    </row>
    <row r="53">
      <c r="A53" s="15">
        <v>45884.0</v>
      </c>
      <c r="B53" s="16" t="s">
        <v>138</v>
      </c>
      <c r="C53" s="16" t="s">
        <v>26</v>
      </c>
      <c r="D53" s="16" t="s">
        <v>139</v>
      </c>
      <c r="E53" s="16" t="s">
        <v>143</v>
      </c>
      <c r="F53" s="17" t="str">
        <f>IFERROR(__xludf.DUMMYFUNCTION("""COMPUTED_VALUE"""),"BWH-PH-MO-1A-4")</f>
        <v>BWH-PH-MO-1A-4</v>
      </c>
      <c r="G53" s="18">
        <v>6.0</v>
      </c>
      <c r="H53" s="19"/>
      <c r="I53" s="19"/>
      <c r="J53" s="19" t="s">
        <v>144</v>
      </c>
      <c r="K53" s="16">
        <v>12.99</v>
      </c>
      <c r="L53" s="16">
        <v>1.0</v>
      </c>
      <c r="M53" s="19"/>
      <c r="N53" s="20">
        <v>6.0</v>
      </c>
      <c r="O53" s="21" t="s">
        <v>22</v>
      </c>
      <c r="P53" s="19"/>
      <c r="Q53" s="19"/>
      <c r="R53" s="19"/>
      <c r="S53" s="19"/>
      <c r="T53" s="19"/>
      <c r="U53" s="19"/>
      <c r="V53" s="19"/>
    </row>
    <row r="54">
      <c r="A54" s="15">
        <v>45884.0</v>
      </c>
      <c r="B54" s="16" t="s">
        <v>138</v>
      </c>
      <c r="C54" s="16" t="s">
        <v>26</v>
      </c>
      <c r="D54" s="16" t="s">
        <v>139</v>
      </c>
      <c r="E54" s="16" t="s">
        <v>145</v>
      </c>
      <c r="F54" s="17" t="str">
        <f>IFERROR(__xludf.DUMMYFUNCTION("""COMPUTED_VALUE"""),"BWH-PH-MO-1A-5")</f>
        <v>BWH-PH-MO-1A-5</v>
      </c>
      <c r="G54" s="18">
        <v>6.0</v>
      </c>
      <c r="H54" s="19"/>
      <c r="I54" s="19"/>
      <c r="J54" s="19" t="s">
        <v>146</v>
      </c>
      <c r="K54" s="16">
        <v>12.99</v>
      </c>
      <c r="L54" s="16">
        <v>1.0</v>
      </c>
      <c r="M54" s="19"/>
      <c r="N54" s="20">
        <v>6.0</v>
      </c>
      <c r="O54" s="21" t="s">
        <v>22</v>
      </c>
      <c r="P54" s="19"/>
      <c r="Q54" s="19"/>
      <c r="R54" s="19"/>
      <c r="S54" s="19"/>
      <c r="T54" s="19"/>
      <c r="U54" s="19"/>
      <c r="V54" s="19"/>
    </row>
    <row r="55">
      <c r="A55" s="15">
        <v>45884.0</v>
      </c>
      <c r="B55" s="16" t="s">
        <v>138</v>
      </c>
      <c r="C55" s="16" t="s">
        <v>26</v>
      </c>
      <c r="D55" s="16" t="s">
        <v>147</v>
      </c>
      <c r="E55" s="16" t="s">
        <v>19</v>
      </c>
      <c r="F55" s="17" t="str">
        <f>IFERROR(__xludf.DUMMYFUNCTION("""COMPUTED_VALUE"""),"BWH-PH-RAPK-1A")</f>
        <v>BWH-PH-RAPK-1A</v>
      </c>
      <c r="G55" s="18">
        <v>10.2</v>
      </c>
      <c r="H55" s="19"/>
      <c r="I55" s="22" t="s">
        <v>93</v>
      </c>
      <c r="J55" s="19" t="s">
        <v>148</v>
      </c>
      <c r="K55" s="16">
        <v>24.99</v>
      </c>
      <c r="L55" s="16">
        <v>1.0</v>
      </c>
      <c r="M55" s="19"/>
      <c r="N55" s="20">
        <v>10.2</v>
      </c>
      <c r="O55" s="21" t="s">
        <v>22</v>
      </c>
      <c r="P55" s="19"/>
      <c r="Q55" s="19"/>
      <c r="R55" s="19"/>
      <c r="S55" s="19"/>
      <c r="T55" s="19"/>
      <c r="U55" s="19"/>
      <c r="V55" s="19"/>
    </row>
    <row r="56">
      <c r="A56" s="15">
        <v>45884.0</v>
      </c>
      <c r="B56" s="16" t="s">
        <v>138</v>
      </c>
      <c r="C56" s="16" t="s">
        <v>26</v>
      </c>
      <c r="D56" s="16" t="s">
        <v>147</v>
      </c>
      <c r="E56" s="16" t="s">
        <v>71</v>
      </c>
      <c r="F56" s="17" t="str">
        <f>IFERROR(__xludf.DUMMYFUNCTION("""COMPUTED_VALUE"""),"BWH-PH-RAPK-1A-2")</f>
        <v>BWH-PH-RAPK-1A-2</v>
      </c>
      <c r="G56" s="18">
        <v>10.2</v>
      </c>
      <c r="H56" s="19"/>
      <c r="I56" s="22" t="s">
        <v>93</v>
      </c>
      <c r="J56" s="19" t="s">
        <v>149</v>
      </c>
      <c r="K56" s="16">
        <v>24.99</v>
      </c>
      <c r="L56" s="16">
        <v>1.0</v>
      </c>
      <c r="M56" s="19"/>
      <c r="N56" s="20">
        <v>10.2</v>
      </c>
      <c r="O56" s="21" t="s">
        <v>22</v>
      </c>
      <c r="P56" s="19"/>
      <c r="Q56" s="19"/>
      <c r="R56" s="19"/>
      <c r="S56" s="19"/>
      <c r="T56" s="19"/>
      <c r="U56" s="19"/>
      <c r="V56" s="19"/>
    </row>
    <row r="57">
      <c r="A57" s="15">
        <v>45884.0</v>
      </c>
      <c r="B57" s="16" t="s">
        <v>138</v>
      </c>
      <c r="C57" s="16" t="s">
        <v>26</v>
      </c>
      <c r="D57" s="16" t="s">
        <v>147</v>
      </c>
      <c r="E57" s="16" t="s">
        <v>129</v>
      </c>
      <c r="F57" s="17" t="str">
        <f>IFERROR(__xludf.DUMMYFUNCTION("""COMPUTED_VALUE"""),"BWH-PH-RAPK-1A-3")</f>
        <v>BWH-PH-RAPK-1A-3</v>
      </c>
      <c r="G57" s="18">
        <v>10.2</v>
      </c>
      <c r="H57" s="19"/>
      <c r="I57" s="22" t="s">
        <v>93</v>
      </c>
      <c r="J57" s="19" t="s">
        <v>150</v>
      </c>
      <c r="K57" s="16">
        <v>24.99</v>
      </c>
      <c r="L57" s="16">
        <v>1.0</v>
      </c>
      <c r="M57" s="19"/>
      <c r="N57" s="20">
        <v>10.2</v>
      </c>
      <c r="O57" s="21" t="s">
        <v>22</v>
      </c>
      <c r="P57" s="19"/>
      <c r="Q57" s="19"/>
      <c r="R57" s="19"/>
      <c r="S57" s="19"/>
      <c r="T57" s="19"/>
      <c r="U57" s="19"/>
      <c r="V57" s="19"/>
    </row>
    <row r="58">
      <c r="A58" s="15">
        <v>45884.0</v>
      </c>
      <c r="B58" s="16" t="s">
        <v>138</v>
      </c>
      <c r="C58" s="16" t="s">
        <v>26</v>
      </c>
      <c r="D58" s="16" t="s">
        <v>147</v>
      </c>
      <c r="E58" s="16" t="s">
        <v>143</v>
      </c>
      <c r="F58" s="17" t="str">
        <f>IFERROR(__xludf.DUMMYFUNCTION("""COMPUTED_VALUE"""),"BWH-PH-RAPK-1A-4")</f>
        <v>BWH-PH-RAPK-1A-4</v>
      </c>
      <c r="G58" s="18">
        <v>10.2</v>
      </c>
      <c r="H58" s="19"/>
      <c r="I58" s="22" t="s">
        <v>93</v>
      </c>
      <c r="J58" s="19" t="s">
        <v>151</v>
      </c>
      <c r="K58" s="16">
        <v>24.99</v>
      </c>
      <c r="L58" s="16">
        <v>1.0</v>
      </c>
      <c r="M58" s="19"/>
      <c r="N58" s="20">
        <v>10.2</v>
      </c>
      <c r="O58" s="21" t="s">
        <v>22</v>
      </c>
      <c r="P58" s="19"/>
      <c r="Q58" s="19"/>
      <c r="R58" s="19"/>
      <c r="S58" s="19"/>
      <c r="T58" s="19"/>
      <c r="U58" s="19"/>
      <c r="V58" s="19"/>
    </row>
    <row r="59">
      <c r="A59" s="15">
        <v>45884.0</v>
      </c>
      <c r="B59" s="16" t="s">
        <v>138</v>
      </c>
      <c r="C59" s="16" t="s">
        <v>26</v>
      </c>
      <c r="D59" s="16" t="s">
        <v>147</v>
      </c>
      <c r="E59" s="16" t="s">
        <v>145</v>
      </c>
      <c r="F59" s="17" t="str">
        <f>IFERROR(__xludf.DUMMYFUNCTION("""COMPUTED_VALUE"""),"BWH-PH-RAPK-1A-5")</f>
        <v>BWH-PH-RAPK-1A-5</v>
      </c>
      <c r="G59" s="18">
        <v>10.2</v>
      </c>
      <c r="H59" s="19"/>
      <c r="I59" s="22" t="s">
        <v>93</v>
      </c>
      <c r="J59" s="19" t="s">
        <v>152</v>
      </c>
      <c r="K59" s="16">
        <v>24.99</v>
      </c>
      <c r="L59" s="16">
        <v>1.0</v>
      </c>
      <c r="M59" s="19"/>
      <c r="N59" s="20">
        <v>10.2</v>
      </c>
      <c r="O59" s="21" t="s">
        <v>22</v>
      </c>
      <c r="P59" s="19"/>
      <c r="Q59" s="19"/>
      <c r="R59" s="19"/>
      <c r="S59" s="19"/>
      <c r="T59" s="19"/>
      <c r="U59" s="19"/>
      <c r="V59" s="19"/>
    </row>
    <row r="60">
      <c r="A60" s="15">
        <v>45884.0</v>
      </c>
      <c r="B60" s="16" t="s">
        <v>138</v>
      </c>
      <c r="C60" s="16" t="s">
        <v>23</v>
      </c>
      <c r="D60" s="16" t="s">
        <v>153</v>
      </c>
      <c r="E60" s="16" t="s">
        <v>19</v>
      </c>
      <c r="F60" s="17" t="str">
        <f>IFERROR(__xludf.DUMMYFUNCTION("""COMPUTED_VALUE"""),"BWH-PO-PAJ-1A")</f>
        <v>BWH-PO-PAJ-1A</v>
      </c>
      <c r="G60" s="18">
        <v>7.8</v>
      </c>
      <c r="H60" s="19"/>
      <c r="I60" s="19"/>
      <c r="J60" s="19" t="s">
        <v>154</v>
      </c>
      <c r="K60" s="16">
        <v>16.99</v>
      </c>
      <c r="L60" s="16">
        <v>1.0</v>
      </c>
      <c r="M60" s="19"/>
      <c r="N60" s="20">
        <v>7.8</v>
      </c>
      <c r="O60" s="21" t="s">
        <v>22</v>
      </c>
      <c r="P60" s="19"/>
      <c r="Q60" s="19"/>
      <c r="R60" s="19"/>
      <c r="S60" s="19"/>
      <c r="T60" s="19"/>
      <c r="U60" s="19"/>
      <c r="V60" s="19"/>
    </row>
    <row r="61">
      <c r="A61" s="15">
        <v>45884.0</v>
      </c>
      <c r="B61" s="16" t="s">
        <v>138</v>
      </c>
      <c r="C61" s="16" t="s">
        <v>23</v>
      </c>
      <c r="D61" s="16" t="s">
        <v>153</v>
      </c>
      <c r="E61" s="16" t="s">
        <v>71</v>
      </c>
      <c r="F61" s="17" t="str">
        <f>IFERROR(__xludf.DUMMYFUNCTION("""COMPUTED_VALUE"""),"BWH-PO-PAJ-1A-2")</f>
        <v>BWH-PO-PAJ-1A-2</v>
      </c>
      <c r="G61" s="18">
        <v>7.8</v>
      </c>
      <c r="H61" s="19"/>
      <c r="I61" s="19"/>
      <c r="J61" s="19" t="s">
        <v>155</v>
      </c>
      <c r="K61" s="16">
        <v>16.99</v>
      </c>
      <c r="L61" s="16">
        <v>1.0</v>
      </c>
      <c r="M61" s="19"/>
      <c r="N61" s="20">
        <v>7.8</v>
      </c>
      <c r="O61" s="21" t="s">
        <v>22</v>
      </c>
      <c r="P61" s="19"/>
      <c r="Q61" s="19"/>
      <c r="R61" s="19"/>
      <c r="S61" s="19"/>
      <c r="T61" s="19"/>
      <c r="U61" s="19"/>
      <c r="V61" s="19"/>
    </row>
    <row r="62">
      <c r="A62" s="15">
        <v>45884.0</v>
      </c>
      <c r="B62" s="16" t="s">
        <v>138</v>
      </c>
      <c r="C62" s="16" t="s">
        <v>23</v>
      </c>
      <c r="D62" s="16" t="s">
        <v>153</v>
      </c>
      <c r="E62" s="16" t="s">
        <v>129</v>
      </c>
      <c r="F62" s="17" t="str">
        <f>IFERROR(__xludf.DUMMYFUNCTION("""COMPUTED_VALUE"""),"BWH-PO-PAJ-1A-3")</f>
        <v>BWH-PO-PAJ-1A-3</v>
      </c>
      <c r="G62" s="18">
        <v>7.8</v>
      </c>
      <c r="H62" s="19"/>
      <c r="I62" s="19"/>
      <c r="J62" s="19" t="s">
        <v>156</v>
      </c>
      <c r="K62" s="16">
        <v>16.99</v>
      </c>
      <c r="L62" s="16">
        <v>1.0</v>
      </c>
      <c r="M62" s="19"/>
      <c r="N62" s="20">
        <v>7.8</v>
      </c>
      <c r="O62" s="21" t="s">
        <v>22</v>
      </c>
      <c r="P62" s="19"/>
      <c r="Q62" s="19"/>
      <c r="R62" s="19"/>
      <c r="S62" s="19"/>
      <c r="T62" s="19"/>
      <c r="U62" s="19"/>
      <c r="V62" s="19"/>
    </row>
    <row r="63">
      <c r="A63" s="15">
        <v>45884.0</v>
      </c>
      <c r="B63" s="16" t="s">
        <v>138</v>
      </c>
      <c r="C63" s="16" t="s">
        <v>23</v>
      </c>
      <c r="D63" s="16" t="s">
        <v>153</v>
      </c>
      <c r="E63" s="16" t="s">
        <v>143</v>
      </c>
      <c r="F63" s="17" t="str">
        <f>IFERROR(__xludf.DUMMYFUNCTION("""COMPUTED_VALUE"""),"BWH-PO-PAJ-1A-4")</f>
        <v>BWH-PO-PAJ-1A-4</v>
      </c>
      <c r="G63" s="18">
        <v>7.8</v>
      </c>
      <c r="H63" s="19"/>
      <c r="I63" s="19"/>
      <c r="J63" s="19" t="s">
        <v>157</v>
      </c>
      <c r="K63" s="16">
        <v>16.99</v>
      </c>
      <c r="L63" s="16">
        <v>1.0</v>
      </c>
      <c r="M63" s="19"/>
      <c r="N63" s="20">
        <v>7.8</v>
      </c>
      <c r="O63" s="21" t="s">
        <v>22</v>
      </c>
      <c r="P63" s="19"/>
      <c r="Q63" s="19"/>
      <c r="R63" s="19"/>
      <c r="S63" s="19"/>
      <c r="T63" s="19"/>
      <c r="U63" s="19"/>
      <c r="V63" s="19"/>
    </row>
    <row r="64">
      <c r="A64" s="15">
        <v>45884.0</v>
      </c>
      <c r="B64" s="16" t="s">
        <v>138</v>
      </c>
      <c r="C64" s="16" t="s">
        <v>23</v>
      </c>
      <c r="D64" s="16" t="s">
        <v>153</v>
      </c>
      <c r="E64" s="16" t="s">
        <v>145</v>
      </c>
      <c r="F64" s="17" t="str">
        <f>IFERROR(__xludf.DUMMYFUNCTION("""COMPUTED_VALUE"""),"BWH-PO-PAJ-1A-5")</f>
        <v>BWH-PO-PAJ-1A-5</v>
      </c>
      <c r="G64" s="18">
        <v>7.8</v>
      </c>
      <c r="H64" s="19"/>
      <c r="I64" s="19"/>
      <c r="J64" s="19" t="s">
        <v>158</v>
      </c>
      <c r="K64" s="16">
        <v>16.99</v>
      </c>
      <c r="L64" s="16">
        <v>1.0</v>
      </c>
      <c r="M64" s="19"/>
      <c r="N64" s="20">
        <v>7.8</v>
      </c>
      <c r="O64" s="21" t="s">
        <v>22</v>
      </c>
      <c r="P64" s="19"/>
      <c r="Q64" s="19"/>
      <c r="R64" s="19"/>
      <c r="S64" s="19"/>
      <c r="T64" s="19"/>
      <c r="U64" s="19"/>
      <c r="V64" s="19"/>
    </row>
    <row r="65">
      <c r="A65" s="15">
        <v>45884.0</v>
      </c>
      <c r="B65" s="16" t="s">
        <v>138</v>
      </c>
      <c r="C65" s="16" t="s">
        <v>159</v>
      </c>
      <c r="D65" s="16" t="s">
        <v>160</v>
      </c>
      <c r="E65" s="16" t="s">
        <v>19</v>
      </c>
      <c r="F65" s="17" t="str">
        <f>IFERROR(__xludf.DUMMYFUNCTION("""COMPUTED_VALUE"""),"BWH-SYN-PS-1A")</f>
        <v>BWH-SYN-PS-1A</v>
      </c>
      <c r="G65" s="18">
        <v>9.0</v>
      </c>
      <c r="H65" s="19"/>
      <c r="I65" s="19"/>
      <c r="J65" s="19" t="s">
        <v>161</v>
      </c>
      <c r="K65" s="16">
        <v>19.99</v>
      </c>
      <c r="L65" s="16">
        <v>1.0</v>
      </c>
      <c r="M65" s="19"/>
      <c r="N65" s="20">
        <v>9.0</v>
      </c>
      <c r="O65" s="21" t="s">
        <v>22</v>
      </c>
      <c r="P65" s="19"/>
      <c r="Q65" s="19"/>
      <c r="R65" s="19"/>
      <c r="S65" s="19"/>
      <c r="T65" s="19"/>
      <c r="U65" s="19"/>
      <c r="V65" s="19"/>
    </row>
    <row r="66">
      <c r="A66" s="15">
        <v>45884.0</v>
      </c>
      <c r="B66" s="16" t="s">
        <v>138</v>
      </c>
      <c r="C66" s="16" t="s">
        <v>159</v>
      </c>
      <c r="D66" s="16" t="s">
        <v>160</v>
      </c>
      <c r="E66" s="16" t="s">
        <v>71</v>
      </c>
      <c r="F66" s="17" t="str">
        <f>IFERROR(__xludf.DUMMYFUNCTION("""COMPUTED_VALUE"""),"BWH-SYN-PS-1A-2")</f>
        <v>BWH-SYN-PS-1A-2</v>
      </c>
      <c r="G66" s="18">
        <v>9.0</v>
      </c>
      <c r="H66" s="19"/>
      <c r="I66" s="19"/>
      <c r="J66" s="19" t="s">
        <v>162</v>
      </c>
      <c r="K66" s="16">
        <v>19.99</v>
      </c>
      <c r="L66" s="16">
        <v>1.0</v>
      </c>
      <c r="M66" s="19"/>
      <c r="N66" s="20">
        <v>9.0</v>
      </c>
      <c r="O66" s="21" t="s">
        <v>22</v>
      </c>
      <c r="P66" s="19"/>
      <c r="Q66" s="19"/>
      <c r="R66" s="19"/>
      <c r="S66" s="19"/>
      <c r="T66" s="19"/>
      <c r="U66" s="19"/>
      <c r="V66" s="19"/>
    </row>
    <row r="67">
      <c r="A67" s="15">
        <v>45884.0</v>
      </c>
      <c r="B67" s="16" t="s">
        <v>138</v>
      </c>
      <c r="C67" s="16" t="s">
        <v>159</v>
      </c>
      <c r="D67" s="16" t="s">
        <v>160</v>
      </c>
      <c r="E67" s="16" t="s">
        <v>129</v>
      </c>
      <c r="F67" s="17" t="str">
        <f>IFERROR(__xludf.DUMMYFUNCTION("""COMPUTED_VALUE"""),"BWH-SYN-PS-1A-3")</f>
        <v>BWH-SYN-PS-1A-3</v>
      </c>
      <c r="G67" s="18">
        <v>9.0</v>
      </c>
      <c r="H67" s="19"/>
      <c r="I67" s="19"/>
      <c r="J67" s="19" t="s">
        <v>163</v>
      </c>
      <c r="K67" s="16">
        <v>19.99</v>
      </c>
      <c r="L67" s="16">
        <v>1.0</v>
      </c>
      <c r="M67" s="19"/>
      <c r="N67" s="20">
        <v>9.0</v>
      </c>
      <c r="O67" s="21" t="s">
        <v>22</v>
      </c>
      <c r="P67" s="19"/>
      <c r="Q67" s="19"/>
      <c r="R67" s="19"/>
      <c r="S67" s="19"/>
      <c r="T67" s="19"/>
      <c r="U67" s="19"/>
      <c r="V67" s="19"/>
    </row>
    <row r="68">
      <c r="A68" s="15">
        <v>45884.0</v>
      </c>
      <c r="B68" s="16" t="s">
        <v>138</v>
      </c>
      <c r="C68" s="16" t="s">
        <v>159</v>
      </c>
      <c r="D68" s="16" t="s">
        <v>160</v>
      </c>
      <c r="E68" s="16" t="s">
        <v>143</v>
      </c>
      <c r="F68" s="17" t="str">
        <f>IFERROR(__xludf.DUMMYFUNCTION("""COMPUTED_VALUE"""),"BWH-SYN-PS-1A-4")</f>
        <v>BWH-SYN-PS-1A-4</v>
      </c>
      <c r="G68" s="18">
        <v>9.0</v>
      </c>
      <c r="H68" s="19"/>
      <c r="I68" s="19"/>
      <c r="J68" s="19" t="s">
        <v>164</v>
      </c>
      <c r="K68" s="16">
        <v>19.99</v>
      </c>
      <c r="L68" s="16">
        <v>1.0</v>
      </c>
      <c r="M68" s="19"/>
      <c r="N68" s="20">
        <v>9.0</v>
      </c>
      <c r="O68" s="21" t="s">
        <v>22</v>
      </c>
      <c r="P68" s="19"/>
      <c r="Q68" s="19"/>
      <c r="R68" s="19"/>
      <c r="S68" s="19"/>
      <c r="T68" s="19"/>
      <c r="U68" s="19"/>
      <c r="V68" s="19"/>
    </row>
    <row r="69">
      <c r="A69" s="15">
        <v>45884.0</v>
      </c>
      <c r="B69" s="16" t="s">
        <v>138</v>
      </c>
      <c r="C69" s="16" t="s">
        <v>159</v>
      </c>
      <c r="D69" s="16" t="s">
        <v>160</v>
      </c>
      <c r="E69" s="16" t="s">
        <v>145</v>
      </c>
      <c r="F69" s="17" t="str">
        <f>IFERROR(__xludf.DUMMYFUNCTION("""COMPUTED_VALUE"""),"BWH-SYN-PS-1A-5")</f>
        <v>BWH-SYN-PS-1A-5</v>
      </c>
      <c r="G69" s="18">
        <v>9.0</v>
      </c>
      <c r="H69" s="19"/>
      <c r="I69" s="19"/>
      <c r="J69" s="19" t="s">
        <v>165</v>
      </c>
      <c r="K69" s="16">
        <v>19.99</v>
      </c>
      <c r="L69" s="16">
        <v>1.0</v>
      </c>
      <c r="M69" s="19"/>
      <c r="N69" s="20">
        <v>9.0</v>
      </c>
      <c r="O69" s="21" t="s">
        <v>22</v>
      </c>
      <c r="P69" s="19"/>
      <c r="Q69" s="19"/>
      <c r="R69" s="19"/>
      <c r="S69" s="19"/>
      <c r="T69" s="19"/>
      <c r="U69" s="19"/>
      <c r="V69" s="19"/>
    </row>
    <row r="70">
      <c r="A70" s="15">
        <v>45885.0</v>
      </c>
      <c r="B70" s="16" t="s">
        <v>166</v>
      </c>
      <c r="C70" s="16" t="s">
        <v>26</v>
      </c>
      <c r="D70" s="16" t="s">
        <v>108</v>
      </c>
      <c r="E70" s="16" t="s">
        <v>19</v>
      </c>
      <c r="F70" s="17" t="str">
        <f>IFERROR(__xludf.DUMMYFUNCTION("""COMPUTED_VALUE"""),"FPH-PH-GCN-1A")</f>
        <v>FPH-PH-GCN-1A</v>
      </c>
      <c r="G70" s="18">
        <v>40.0</v>
      </c>
      <c r="H70" s="19"/>
      <c r="I70" s="19"/>
      <c r="J70" s="19" t="s">
        <v>167</v>
      </c>
      <c r="K70" s="19"/>
      <c r="L70" s="16">
        <v>1.0</v>
      </c>
      <c r="M70" s="16" t="s">
        <v>38</v>
      </c>
      <c r="N70" s="20">
        <v>40.0</v>
      </c>
      <c r="O70" s="21" t="s">
        <v>22</v>
      </c>
      <c r="P70" s="19"/>
      <c r="Q70" s="19"/>
      <c r="R70" s="19"/>
      <c r="S70" s="19"/>
      <c r="T70" s="19"/>
      <c r="U70" s="19"/>
      <c r="V70" s="19"/>
    </row>
    <row r="71">
      <c r="A71" s="15">
        <v>45885.0</v>
      </c>
      <c r="B71" s="16" t="s">
        <v>168</v>
      </c>
      <c r="C71" s="16" t="s">
        <v>111</v>
      </c>
      <c r="D71" s="16" t="s">
        <v>169</v>
      </c>
      <c r="E71" s="16" t="s">
        <v>19</v>
      </c>
      <c r="F71" s="17" t="str">
        <f>IFERROR(__xludf.DUMMYFUNCTION("""COMPUTED_VALUE"""),"BTPG-HO-KP-1A")</f>
        <v>BTPG-HO-KP-1A</v>
      </c>
      <c r="G71" s="18">
        <v>36.5</v>
      </c>
      <c r="H71" s="19"/>
      <c r="I71" s="19"/>
      <c r="J71" s="19" t="s">
        <v>170</v>
      </c>
      <c r="K71" s="19"/>
      <c r="L71" s="16">
        <v>1.0</v>
      </c>
      <c r="M71" s="16" t="s">
        <v>171</v>
      </c>
      <c r="N71" s="20">
        <v>36.5</v>
      </c>
      <c r="O71" s="21" t="s">
        <v>22</v>
      </c>
      <c r="P71" s="19"/>
      <c r="Q71" s="19"/>
      <c r="R71" s="19"/>
      <c r="S71" s="19"/>
      <c r="T71" s="19"/>
      <c r="U71" s="19"/>
      <c r="V71" s="19"/>
    </row>
    <row r="72">
      <c r="A72" s="15">
        <v>45902.0</v>
      </c>
      <c r="B72" s="16" t="s">
        <v>172</v>
      </c>
      <c r="C72" s="16" t="s">
        <v>173</v>
      </c>
      <c r="D72" s="16" t="s">
        <v>174</v>
      </c>
      <c r="E72" s="16" t="s">
        <v>19</v>
      </c>
      <c r="F72" s="17" t="str">
        <f>IFERROR(__xludf.DUMMYFUNCTION("""COMPUTED_VALUE"""),"BPF-CE-SOH-1A")</f>
        <v>BPF-CE-SOH-1A</v>
      </c>
      <c r="G72" s="18">
        <v>5.84</v>
      </c>
      <c r="H72" s="19"/>
      <c r="I72" s="19"/>
      <c r="J72" s="19" t="s">
        <v>175</v>
      </c>
      <c r="K72" s="16">
        <v>8.99</v>
      </c>
      <c r="L72" s="16">
        <v>1.0</v>
      </c>
      <c r="M72" s="19"/>
      <c r="N72" s="20">
        <v>5.84</v>
      </c>
      <c r="O72" s="21" t="s">
        <v>22</v>
      </c>
      <c r="P72" s="19"/>
      <c r="Q72" s="19"/>
      <c r="R72" s="19"/>
      <c r="S72" s="19"/>
      <c r="T72" s="19"/>
      <c r="U72" s="19"/>
      <c r="V72" s="19"/>
    </row>
    <row r="73">
      <c r="A73" s="15">
        <v>45902.0</v>
      </c>
      <c r="B73" s="16" t="s">
        <v>172</v>
      </c>
      <c r="C73" s="16" t="s">
        <v>173</v>
      </c>
      <c r="D73" s="16" t="s">
        <v>174</v>
      </c>
      <c r="E73" s="16" t="s">
        <v>71</v>
      </c>
      <c r="F73" s="17" t="str">
        <f>IFERROR(__xludf.DUMMYFUNCTION("""COMPUTED_VALUE"""),"BPF-CE-SOH-1A-2")</f>
        <v>BPF-CE-SOH-1A-2</v>
      </c>
      <c r="G73" s="18">
        <v>5.84</v>
      </c>
      <c r="H73" s="19"/>
      <c r="I73" s="19"/>
      <c r="J73" s="19" t="s">
        <v>176</v>
      </c>
      <c r="K73" s="16">
        <v>8.99</v>
      </c>
      <c r="L73" s="16">
        <v>1.0</v>
      </c>
      <c r="M73" s="19"/>
      <c r="N73" s="20">
        <v>5.84</v>
      </c>
      <c r="O73" s="21" t="s">
        <v>22</v>
      </c>
      <c r="P73" s="19"/>
      <c r="Q73" s="19"/>
      <c r="R73" s="19"/>
      <c r="S73" s="19"/>
      <c r="T73" s="19"/>
      <c r="U73" s="19"/>
      <c r="V73" s="19"/>
    </row>
    <row r="74">
      <c r="A74" s="15">
        <v>45902.0</v>
      </c>
      <c r="B74" s="16" t="s">
        <v>172</v>
      </c>
      <c r="C74" s="16" t="s">
        <v>173</v>
      </c>
      <c r="D74" s="16" t="s">
        <v>174</v>
      </c>
      <c r="E74" s="16" t="s">
        <v>129</v>
      </c>
      <c r="F74" s="17" t="str">
        <f>IFERROR(__xludf.DUMMYFUNCTION("""COMPUTED_VALUE"""),"BPF-CE-SOH-1A-3")</f>
        <v>BPF-CE-SOH-1A-3</v>
      </c>
      <c r="G74" s="18">
        <v>5.84</v>
      </c>
      <c r="H74" s="19"/>
      <c r="I74" s="19"/>
      <c r="J74" s="19" t="s">
        <v>177</v>
      </c>
      <c r="K74" s="16">
        <v>8.99</v>
      </c>
      <c r="L74" s="16">
        <v>1.0</v>
      </c>
      <c r="M74" s="19"/>
      <c r="N74" s="20">
        <v>5.84</v>
      </c>
      <c r="O74" s="21" t="s">
        <v>22</v>
      </c>
      <c r="P74" s="19"/>
      <c r="Q74" s="19"/>
      <c r="R74" s="19"/>
      <c r="S74" s="19"/>
      <c r="T74" s="19"/>
      <c r="U74" s="19"/>
      <c r="V74" s="19"/>
    </row>
    <row r="75">
      <c r="A75" s="15">
        <v>45902.0</v>
      </c>
      <c r="B75" s="16" t="s">
        <v>172</v>
      </c>
      <c r="C75" s="16" t="s">
        <v>173</v>
      </c>
      <c r="D75" s="16" t="s">
        <v>174</v>
      </c>
      <c r="E75" s="16" t="s">
        <v>143</v>
      </c>
      <c r="F75" s="17" t="str">
        <f>IFERROR(__xludf.DUMMYFUNCTION("""COMPUTED_VALUE"""),"BPF-CE-SOH-1A-4")</f>
        <v>BPF-CE-SOH-1A-4</v>
      </c>
      <c r="G75" s="18">
        <v>5.84</v>
      </c>
      <c r="H75" s="19"/>
      <c r="I75" s="19"/>
      <c r="J75" s="19" t="s">
        <v>178</v>
      </c>
      <c r="K75" s="16">
        <v>8.99</v>
      </c>
      <c r="L75" s="16">
        <v>1.0</v>
      </c>
      <c r="M75" s="19"/>
      <c r="N75" s="20">
        <v>5.84</v>
      </c>
      <c r="O75" s="21" t="s">
        <v>22</v>
      </c>
      <c r="P75" s="19"/>
      <c r="Q75" s="19"/>
      <c r="R75" s="19"/>
      <c r="S75" s="19"/>
      <c r="T75" s="19"/>
      <c r="U75" s="19"/>
      <c r="V75" s="19"/>
    </row>
    <row r="76">
      <c r="A76" s="15">
        <v>45902.0</v>
      </c>
      <c r="B76" s="16" t="s">
        <v>172</v>
      </c>
      <c r="C76" s="16" t="s">
        <v>173</v>
      </c>
      <c r="D76" s="16" t="s">
        <v>174</v>
      </c>
      <c r="E76" s="16" t="s">
        <v>145</v>
      </c>
      <c r="F76" s="17" t="str">
        <f>IFERROR(__xludf.DUMMYFUNCTION("""COMPUTED_VALUE"""),"BPF-CE-SOH-1A-5")</f>
        <v>BPF-CE-SOH-1A-5</v>
      </c>
      <c r="G76" s="18">
        <v>5.84</v>
      </c>
      <c r="H76" s="19"/>
      <c r="I76" s="19"/>
      <c r="J76" s="19" t="s">
        <v>179</v>
      </c>
      <c r="K76" s="16">
        <v>8.99</v>
      </c>
      <c r="L76" s="16">
        <v>1.0</v>
      </c>
      <c r="M76" s="19"/>
      <c r="N76" s="20">
        <v>5.84</v>
      </c>
      <c r="O76" s="21" t="s">
        <v>22</v>
      </c>
      <c r="P76" s="19"/>
      <c r="Q76" s="19"/>
      <c r="R76" s="19"/>
      <c r="S76" s="19"/>
      <c r="T76" s="19"/>
      <c r="U76" s="19"/>
      <c r="V76" s="19"/>
    </row>
    <row r="77">
      <c r="A77" s="15">
        <v>45902.0</v>
      </c>
      <c r="B77" s="16" t="s">
        <v>172</v>
      </c>
      <c r="C77" s="16" t="s">
        <v>102</v>
      </c>
      <c r="D77" s="16" t="s">
        <v>180</v>
      </c>
      <c r="E77" s="16" t="s">
        <v>19</v>
      </c>
      <c r="F77" s="17" t="str">
        <f>IFERROR(__xludf.DUMMYFUNCTION("""COMPUTED_VALUE"""),"BPF-SE-SOP-1A")</f>
        <v>BPF-SE-SOP-1A</v>
      </c>
      <c r="G77" s="18">
        <v>4.71</v>
      </c>
      <c r="H77" s="19"/>
      <c r="I77" s="19"/>
      <c r="J77" s="19" t="s">
        <v>181</v>
      </c>
      <c r="K77" s="16">
        <v>7.25</v>
      </c>
      <c r="L77" s="16">
        <v>1.0</v>
      </c>
      <c r="M77" s="19"/>
      <c r="N77" s="20">
        <v>4.71</v>
      </c>
      <c r="O77" s="21" t="s">
        <v>22</v>
      </c>
      <c r="P77" s="19"/>
      <c r="Q77" s="19"/>
      <c r="R77" s="19"/>
      <c r="S77" s="19"/>
      <c r="T77" s="19"/>
      <c r="U77" s="19"/>
      <c r="V77" s="19"/>
    </row>
    <row r="78">
      <c r="A78" s="15">
        <v>45902.0</v>
      </c>
      <c r="B78" s="16" t="s">
        <v>172</v>
      </c>
      <c r="C78" s="16" t="s">
        <v>102</v>
      </c>
      <c r="D78" s="16" t="s">
        <v>180</v>
      </c>
      <c r="E78" s="16" t="s">
        <v>71</v>
      </c>
      <c r="F78" s="17" t="str">
        <f>IFERROR(__xludf.DUMMYFUNCTION("""COMPUTED_VALUE"""),"BPF-SE-SOP-1A-2")</f>
        <v>BPF-SE-SOP-1A-2</v>
      </c>
      <c r="G78" s="18">
        <v>4.71</v>
      </c>
      <c r="H78" s="19"/>
      <c r="I78" s="19"/>
      <c r="J78" s="19" t="s">
        <v>182</v>
      </c>
      <c r="K78" s="16">
        <v>7.25</v>
      </c>
      <c r="L78" s="16">
        <v>1.0</v>
      </c>
      <c r="M78" s="19"/>
      <c r="N78" s="20">
        <v>4.71</v>
      </c>
      <c r="O78" s="21" t="s">
        <v>22</v>
      </c>
      <c r="P78" s="19"/>
      <c r="Q78" s="19"/>
      <c r="R78" s="19"/>
      <c r="S78" s="19"/>
      <c r="T78" s="19"/>
      <c r="U78" s="19"/>
      <c r="V78" s="19"/>
    </row>
    <row r="79">
      <c r="A79" s="15">
        <v>45902.0</v>
      </c>
      <c r="B79" s="16" t="s">
        <v>172</v>
      </c>
      <c r="C79" s="16" t="s">
        <v>102</v>
      </c>
      <c r="D79" s="16" t="s">
        <v>180</v>
      </c>
      <c r="E79" s="16" t="s">
        <v>129</v>
      </c>
      <c r="F79" s="17" t="str">
        <f>IFERROR(__xludf.DUMMYFUNCTION("""COMPUTED_VALUE"""),"BPF-SE-SOP-1A-3")</f>
        <v>BPF-SE-SOP-1A-3</v>
      </c>
      <c r="G79" s="18">
        <v>4.71</v>
      </c>
      <c r="H79" s="19"/>
      <c r="I79" s="19"/>
      <c r="J79" s="19" t="s">
        <v>183</v>
      </c>
      <c r="K79" s="16">
        <v>7.25</v>
      </c>
      <c r="L79" s="16">
        <v>1.0</v>
      </c>
      <c r="M79" s="19"/>
      <c r="N79" s="20">
        <v>4.71</v>
      </c>
      <c r="O79" s="21" t="s">
        <v>22</v>
      </c>
      <c r="P79" s="19"/>
      <c r="Q79" s="19"/>
      <c r="R79" s="19"/>
      <c r="S79" s="19"/>
      <c r="T79" s="19"/>
      <c r="U79" s="19"/>
      <c r="V79" s="19"/>
    </row>
    <row r="80">
      <c r="A80" s="15">
        <v>45902.0</v>
      </c>
      <c r="B80" s="16" t="s">
        <v>172</v>
      </c>
      <c r="C80" s="16" t="s">
        <v>102</v>
      </c>
      <c r="D80" s="16" t="s">
        <v>180</v>
      </c>
      <c r="E80" s="16" t="s">
        <v>143</v>
      </c>
      <c r="F80" s="17" t="str">
        <f>IFERROR(__xludf.DUMMYFUNCTION("""COMPUTED_VALUE"""),"BPF-SE-SOP-1A-4")</f>
        <v>BPF-SE-SOP-1A-4</v>
      </c>
      <c r="G80" s="18">
        <v>4.71</v>
      </c>
      <c r="H80" s="19"/>
      <c r="I80" s="19"/>
      <c r="J80" s="19" t="s">
        <v>184</v>
      </c>
      <c r="K80" s="16">
        <v>7.25</v>
      </c>
      <c r="L80" s="16">
        <v>1.0</v>
      </c>
      <c r="M80" s="19"/>
      <c r="N80" s="20">
        <v>4.71</v>
      </c>
      <c r="O80" s="21" t="s">
        <v>22</v>
      </c>
      <c r="P80" s="19"/>
      <c r="Q80" s="19"/>
      <c r="R80" s="19"/>
      <c r="S80" s="19"/>
      <c r="T80" s="19"/>
      <c r="U80" s="19"/>
      <c r="V80" s="19"/>
    </row>
    <row r="81">
      <c r="A81" s="15">
        <v>45902.0</v>
      </c>
      <c r="B81" s="16" t="s">
        <v>172</v>
      </c>
      <c r="C81" s="16" t="s">
        <v>102</v>
      </c>
      <c r="D81" s="16" t="s">
        <v>180</v>
      </c>
      <c r="E81" s="16" t="s">
        <v>145</v>
      </c>
      <c r="F81" s="17" t="str">
        <f>IFERROR(__xludf.DUMMYFUNCTION("""COMPUTED_VALUE"""),"BPF-SE-SOP-1A-5")</f>
        <v>BPF-SE-SOP-1A-5</v>
      </c>
      <c r="G81" s="18">
        <v>4.71</v>
      </c>
      <c r="H81" s="19"/>
      <c r="I81" s="19"/>
      <c r="J81" s="19" t="s">
        <v>185</v>
      </c>
      <c r="K81" s="16">
        <v>7.25</v>
      </c>
      <c r="L81" s="16">
        <v>1.0</v>
      </c>
      <c r="M81" s="19"/>
      <c r="N81" s="20">
        <v>4.71</v>
      </c>
      <c r="O81" s="21" t="s">
        <v>22</v>
      </c>
      <c r="P81" s="19"/>
      <c r="Q81" s="19"/>
      <c r="R81" s="19"/>
      <c r="S81" s="19"/>
      <c r="T81" s="19"/>
      <c r="U81" s="19"/>
      <c r="V81" s="19"/>
    </row>
    <row r="82">
      <c r="A82" s="15">
        <v>45902.0</v>
      </c>
      <c r="B82" s="16" t="s">
        <v>172</v>
      </c>
      <c r="C82" s="16" t="s">
        <v>23</v>
      </c>
      <c r="D82" s="16" t="s">
        <v>186</v>
      </c>
      <c r="E82" s="16" t="s">
        <v>19</v>
      </c>
      <c r="F82" s="17" t="str">
        <f>IFERROR(__xludf.DUMMYFUNCTION("""COMPUTED_VALUE"""),"BPF-PO-NE-1A")</f>
        <v>BPF-PO-NE-1A</v>
      </c>
      <c r="G82" s="18">
        <v>13.0</v>
      </c>
      <c r="H82" s="19"/>
      <c r="I82" s="19"/>
      <c r="J82" s="19" t="s">
        <v>187</v>
      </c>
      <c r="K82" s="16">
        <v>20.0</v>
      </c>
      <c r="L82" s="16">
        <v>1.0</v>
      </c>
      <c r="M82" s="19"/>
      <c r="N82" s="20">
        <v>13.0</v>
      </c>
      <c r="O82" s="21" t="s">
        <v>22</v>
      </c>
      <c r="P82" s="19"/>
      <c r="Q82" s="19"/>
      <c r="R82" s="19"/>
      <c r="S82" s="19"/>
      <c r="T82" s="19"/>
      <c r="U82" s="19"/>
      <c r="V82" s="19"/>
    </row>
    <row r="83">
      <c r="A83" s="15">
        <v>45902.0</v>
      </c>
      <c r="B83" s="16" t="s">
        <v>172</v>
      </c>
      <c r="C83" s="16" t="s">
        <v>23</v>
      </c>
      <c r="D83" s="16" t="s">
        <v>186</v>
      </c>
      <c r="E83" s="16" t="s">
        <v>71</v>
      </c>
      <c r="F83" s="17" t="str">
        <f>IFERROR(__xludf.DUMMYFUNCTION("""COMPUTED_VALUE"""),"BPF-PO-NE-1A-2")</f>
        <v>BPF-PO-NE-1A-2</v>
      </c>
      <c r="G83" s="18">
        <v>13.0</v>
      </c>
      <c r="H83" s="19"/>
      <c r="I83" s="19"/>
      <c r="J83" s="19" t="s">
        <v>188</v>
      </c>
      <c r="K83" s="16">
        <v>20.0</v>
      </c>
      <c r="L83" s="16">
        <v>1.0</v>
      </c>
      <c r="M83" s="19"/>
      <c r="N83" s="20">
        <v>13.0</v>
      </c>
      <c r="O83" s="21" t="s">
        <v>22</v>
      </c>
      <c r="P83" s="19"/>
      <c r="Q83" s="19"/>
      <c r="R83" s="19"/>
      <c r="S83" s="19"/>
      <c r="T83" s="19"/>
      <c r="U83" s="19"/>
      <c r="V83" s="19"/>
    </row>
    <row r="84">
      <c r="A84" s="15">
        <v>45900.0</v>
      </c>
      <c r="B84" s="16" t="s">
        <v>43</v>
      </c>
      <c r="C84" s="16" t="s">
        <v>26</v>
      </c>
      <c r="D84" s="16" t="s">
        <v>106</v>
      </c>
      <c r="E84" s="16" t="s">
        <v>19</v>
      </c>
      <c r="F84" s="17" t="str">
        <f>IFERROR(__xludf.DUMMYFUNCTION("""COMPUTED_VALUE"""),"FM-PH-PP-1A")</f>
        <v>FM-PH-PP-1A</v>
      </c>
      <c r="G84" s="18">
        <v>0.0</v>
      </c>
      <c r="H84" s="16" t="s">
        <v>46</v>
      </c>
      <c r="I84" s="16" t="s">
        <v>46</v>
      </c>
      <c r="J84" s="19" t="s">
        <v>189</v>
      </c>
      <c r="K84" s="16">
        <v>0.0</v>
      </c>
      <c r="L84" s="16">
        <v>1.0</v>
      </c>
      <c r="M84" s="16" t="s">
        <v>29</v>
      </c>
      <c r="N84" s="20">
        <v>0.0</v>
      </c>
      <c r="O84" s="21" t="s">
        <v>22</v>
      </c>
      <c r="P84" s="19"/>
      <c r="Q84" s="19"/>
      <c r="R84" s="19"/>
      <c r="S84" s="19"/>
      <c r="T84" s="19"/>
      <c r="U84" s="19"/>
      <c r="V84" s="19"/>
    </row>
    <row r="85">
      <c r="A85" s="15">
        <v>45903.0</v>
      </c>
      <c r="B85" s="16" t="s">
        <v>43</v>
      </c>
      <c r="C85" s="16" t="s">
        <v>26</v>
      </c>
      <c r="D85" s="16" t="s">
        <v>190</v>
      </c>
      <c r="E85" s="16" t="s">
        <v>19</v>
      </c>
      <c r="F85" s="17" t="str">
        <f>IFERROR(__xludf.DUMMYFUNCTION("""COMPUTED_VALUE"""),"FM-PH-BMV-1A")</f>
        <v>FM-PH-BMV-1A</v>
      </c>
      <c r="G85" s="18">
        <v>7.5</v>
      </c>
      <c r="H85" s="16" t="s">
        <v>45</v>
      </c>
      <c r="I85" s="16" t="s">
        <v>46</v>
      </c>
      <c r="J85" s="19" t="s">
        <v>191</v>
      </c>
      <c r="K85" s="16">
        <v>0.0</v>
      </c>
      <c r="L85" s="16">
        <v>1.0</v>
      </c>
      <c r="M85" s="16" t="s">
        <v>29</v>
      </c>
      <c r="N85" s="20">
        <v>7.5</v>
      </c>
      <c r="O85" s="21" t="s">
        <v>22</v>
      </c>
      <c r="P85" s="19"/>
      <c r="Q85" s="19"/>
      <c r="R85" s="19"/>
      <c r="S85" s="19"/>
      <c r="T85" s="19"/>
      <c r="U85" s="19"/>
      <c r="V85" s="19"/>
    </row>
    <row r="86">
      <c r="A86" s="15">
        <v>45904.0</v>
      </c>
      <c r="B86" s="16" t="s">
        <v>43</v>
      </c>
      <c r="C86" s="16" t="s">
        <v>26</v>
      </c>
      <c r="D86" s="16" t="s">
        <v>190</v>
      </c>
      <c r="E86" s="16" t="s">
        <v>71</v>
      </c>
      <c r="F86" s="17" t="str">
        <f>IFERROR(__xludf.DUMMYFUNCTION("""COMPUTED_VALUE"""),"FM-PH-BMV-1A-2")</f>
        <v>FM-PH-BMV-1A-2</v>
      </c>
      <c r="G86" s="18">
        <v>15.0</v>
      </c>
      <c r="H86" s="16" t="s">
        <v>45</v>
      </c>
      <c r="I86" s="16" t="s">
        <v>46</v>
      </c>
      <c r="J86" s="19" t="s">
        <v>192</v>
      </c>
      <c r="K86" s="16">
        <v>0.0</v>
      </c>
      <c r="L86" s="16">
        <v>1.0</v>
      </c>
      <c r="M86" s="16" t="s">
        <v>48</v>
      </c>
      <c r="N86" s="20">
        <v>15.0</v>
      </c>
      <c r="O86" s="21" t="s">
        <v>22</v>
      </c>
      <c r="P86" s="19"/>
      <c r="Q86" s="19"/>
      <c r="R86" s="19"/>
      <c r="S86" s="19"/>
      <c r="T86" s="19"/>
      <c r="U86" s="19"/>
      <c r="V86" s="19"/>
    </row>
    <row r="87">
      <c r="A87" s="15">
        <v>45903.0</v>
      </c>
      <c r="B87" s="16" t="s">
        <v>43</v>
      </c>
      <c r="C87" s="16" t="s">
        <v>159</v>
      </c>
      <c r="D87" s="16" t="s">
        <v>193</v>
      </c>
      <c r="E87" s="16" t="s">
        <v>19</v>
      </c>
      <c r="F87" s="17" t="str">
        <f>IFERROR(__xludf.DUMMYFUNCTION("""COMPUTED_VALUE"""),"FM-SYN-BA-1A")</f>
        <v>FM-SYN-BA-1A</v>
      </c>
      <c r="G87" s="18">
        <v>7.5</v>
      </c>
      <c r="H87" s="16" t="s">
        <v>45</v>
      </c>
      <c r="I87" s="16" t="s">
        <v>46</v>
      </c>
      <c r="J87" s="19" t="s">
        <v>194</v>
      </c>
      <c r="K87" s="16">
        <v>0.0</v>
      </c>
      <c r="L87" s="16">
        <v>1.0</v>
      </c>
      <c r="M87" s="16" t="s">
        <v>29</v>
      </c>
      <c r="N87" s="20">
        <v>7.5</v>
      </c>
      <c r="O87" s="21" t="s">
        <v>22</v>
      </c>
      <c r="P87" s="19"/>
      <c r="Q87" s="19"/>
      <c r="R87" s="19"/>
      <c r="S87" s="19"/>
      <c r="T87" s="19"/>
      <c r="U87" s="19"/>
      <c r="V87" s="19"/>
    </row>
    <row r="88">
      <c r="A88" s="15">
        <v>45886.0</v>
      </c>
      <c r="B88" s="16" t="s">
        <v>61</v>
      </c>
      <c r="C88" s="16" t="s">
        <v>64</v>
      </c>
      <c r="D88" s="16" t="s">
        <v>65</v>
      </c>
      <c r="E88" s="16" t="s">
        <v>71</v>
      </c>
      <c r="F88" s="17" t="str">
        <f>IFERROR(__xludf.DUMMYFUNCTION("""COMPUTED_VALUE"""),"FMY-AL-RSD-1A-2")</f>
        <v>FMY-AL-RSD-1A-2</v>
      </c>
      <c r="G88" s="18">
        <v>10.99</v>
      </c>
      <c r="H88" s="19"/>
      <c r="I88" s="19"/>
      <c r="J88" s="19" t="s">
        <v>195</v>
      </c>
      <c r="K88" s="19"/>
      <c r="L88" s="16">
        <v>1.0</v>
      </c>
      <c r="M88" s="19"/>
      <c r="N88" s="20">
        <v>10.99</v>
      </c>
      <c r="O88" s="21" t="s">
        <v>22</v>
      </c>
      <c r="P88" s="19"/>
      <c r="Q88" s="19"/>
      <c r="R88" s="19"/>
      <c r="S88" s="19"/>
      <c r="T88" s="19"/>
      <c r="U88" s="19"/>
      <c r="V88" s="19"/>
    </row>
    <row r="89">
      <c r="A89" s="15">
        <v>45886.0</v>
      </c>
      <c r="B89" s="16" t="s">
        <v>61</v>
      </c>
      <c r="C89" s="16" t="s">
        <v>51</v>
      </c>
      <c r="D89" s="16" t="s">
        <v>52</v>
      </c>
      <c r="E89" s="16" t="s">
        <v>19</v>
      </c>
      <c r="F89" s="17" t="str">
        <f>IFERROR(__xludf.DUMMYFUNCTION("""COMPUTED_VALUE"""),"FMY-MA-PE-1A")</f>
        <v>FMY-MA-PE-1A</v>
      </c>
      <c r="G89" s="18">
        <v>16.99</v>
      </c>
      <c r="H89" s="16"/>
      <c r="I89" s="16"/>
      <c r="J89" s="19" t="s">
        <v>196</v>
      </c>
      <c r="K89" s="19"/>
      <c r="L89" s="16">
        <v>1.0</v>
      </c>
      <c r="M89" s="19"/>
      <c r="N89" s="20">
        <v>16.99</v>
      </c>
      <c r="O89" s="21" t="s">
        <v>22</v>
      </c>
      <c r="P89" s="19"/>
      <c r="Q89" s="19"/>
      <c r="R89" s="19"/>
      <c r="S89" s="19"/>
      <c r="T89" s="19"/>
      <c r="U89" s="19"/>
      <c r="V89" s="19"/>
    </row>
    <row r="90">
      <c r="A90" s="15">
        <v>45886.0</v>
      </c>
      <c r="B90" s="16" t="s">
        <v>61</v>
      </c>
      <c r="C90" s="16" t="s">
        <v>197</v>
      </c>
      <c r="D90" s="16" t="s">
        <v>198</v>
      </c>
      <c r="E90" s="16" t="s">
        <v>19</v>
      </c>
      <c r="F90" s="17" t="str">
        <f>IFERROR(__xludf.DUMMYFUNCTION("""COMPUTED_VALUE"""),"FMY-AG-SPA-1A")</f>
        <v>FMY-AG-SPA-1A</v>
      </c>
      <c r="G90" s="18">
        <v>19.99</v>
      </c>
      <c r="H90" s="19"/>
      <c r="I90" s="19"/>
      <c r="J90" s="19" t="s">
        <v>199</v>
      </c>
      <c r="K90" s="19"/>
      <c r="L90" s="16">
        <v>1.0</v>
      </c>
      <c r="M90" s="19"/>
      <c r="N90" s="20">
        <v>19.99</v>
      </c>
      <c r="O90" s="21" t="s">
        <v>22</v>
      </c>
      <c r="P90" s="19"/>
      <c r="Q90" s="19"/>
      <c r="R90" s="19"/>
      <c r="S90" s="19"/>
      <c r="T90" s="19"/>
      <c r="U90" s="19"/>
      <c r="V90" s="19"/>
    </row>
    <row r="91">
      <c r="A91" s="15">
        <v>45886.0</v>
      </c>
      <c r="B91" s="16" t="s">
        <v>61</v>
      </c>
      <c r="C91" s="16" t="s">
        <v>200</v>
      </c>
      <c r="D91" s="16" t="s">
        <v>201</v>
      </c>
      <c r="E91" s="16" t="s">
        <v>19</v>
      </c>
      <c r="F91" s="17" t="str">
        <f>IFERROR(__xludf.DUMMYFUNCTION("""COMPUTED_VALUE"""),"FMY-CA-MA-1A")</f>
        <v>FMY-CA-MA-1A</v>
      </c>
      <c r="G91" s="18">
        <v>19.99</v>
      </c>
      <c r="H91" s="19"/>
      <c r="I91" s="19"/>
      <c r="J91" s="19" t="s">
        <v>202</v>
      </c>
      <c r="K91" s="16">
        <v>16.99</v>
      </c>
      <c r="L91" s="16">
        <v>1.0</v>
      </c>
      <c r="M91" s="19"/>
      <c r="N91" s="20">
        <v>19.99</v>
      </c>
      <c r="O91" s="21" t="s">
        <v>22</v>
      </c>
      <c r="P91" s="19"/>
      <c r="Q91" s="19"/>
      <c r="R91" s="19"/>
      <c r="S91" s="19"/>
      <c r="T91" s="19"/>
      <c r="U91" s="19"/>
      <c r="V91" s="19"/>
    </row>
    <row r="92">
      <c r="A92" s="15">
        <v>45886.0</v>
      </c>
      <c r="B92" s="16" t="s">
        <v>61</v>
      </c>
      <c r="C92" s="16" t="s">
        <v>51</v>
      </c>
      <c r="D92" s="16" t="s">
        <v>69</v>
      </c>
      <c r="E92" s="16" t="s">
        <v>129</v>
      </c>
      <c r="F92" s="17" t="str">
        <f>IFERROR(__xludf.DUMMYFUNCTION("""COMPUTED_VALUE"""),"FMY-MA-DE-1A-3")</f>
        <v>FMY-MA-DE-1A-3</v>
      </c>
      <c r="G92" s="18">
        <v>19.99</v>
      </c>
      <c r="H92" s="19"/>
      <c r="I92" s="19"/>
      <c r="J92" s="19" t="s">
        <v>203</v>
      </c>
      <c r="K92" s="19"/>
      <c r="L92" s="16">
        <v>1.0</v>
      </c>
      <c r="M92" s="19"/>
      <c r="N92" s="20">
        <v>19.99</v>
      </c>
      <c r="O92" s="21" t="s">
        <v>22</v>
      </c>
      <c r="P92" s="19"/>
      <c r="Q92" s="19"/>
      <c r="R92" s="19"/>
      <c r="S92" s="19"/>
      <c r="T92" s="19"/>
      <c r="U92" s="19"/>
      <c r="V92" s="19"/>
    </row>
    <row r="93">
      <c r="A93" s="15">
        <v>45886.0</v>
      </c>
      <c r="B93" s="16" t="s">
        <v>61</v>
      </c>
      <c r="C93" s="16" t="s">
        <v>51</v>
      </c>
      <c r="D93" s="16" t="s">
        <v>69</v>
      </c>
      <c r="E93" s="16" t="s">
        <v>143</v>
      </c>
      <c r="F93" s="17" t="str">
        <f>IFERROR(__xludf.DUMMYFUNCTION("""COMPUTED_VALUE"""),"FMY-MA-DE-1A-4")</f>
        <v>FMY-MA-DE-1A-4</v>
      </c>
      <c r="G93" s="18">
        <v>10.99</v>
      </c>
      <c r="H93" s="19"/>
      <c r="I93" s="19"/>
      <c r="J93" s="19" t="s">
        <v>204</v>
      </c>
      <c r="K93" s="19"/>
      <c r="L93" s="16">
        <v>1.0</v>
      </c>
      <c r="M93" s="19"/>
      <c r="N93" s="20">
        <v>10.99</v>
      </c>
      <c r="O93" s="21" t="s">
        <v>22</v>
      </c>
      <c r="P93" s="19"/>
      <c r="Q93" s="19"/>
      <c r="R93" s="19"/>
      <c r="S93" s="19"/>
      <c r="T93" s="19"/>
      <c r="U93" s="19"/>
      <c r="V93" s="19"/>
    </row>
    <row r="94">
      <c r="A94" s="15">
        <v>45886.0</v>
      </c>
      <c r="B94" s="16" t="s">
        <v>61</v>
      </c>
      <c r="C94" s="16" t="s">
        <v>51</v>
      </c>
      <c r="D94" s="16" t="s">
        <v>69</v>
      </c>
      <c r="E94" s="16" t="s">
        <v>145</v>
      </c>
      <c r="F94" s="17" t="str">
        <f>IFERROR(__xludf.DUMMYFUNCTION("""COMPUTED_VALUE"""),"FMY-MA-DE-1A-5")</f>
        <v>FMY-MA-DE-1A-5</v>
      </c>
      <c r="G94" s="18">
        <v>10.99</v>
      </c>
      <c r="H94" s="19"/>
      <c r="I94" s="19"/>
      <c r="J94" s="19" t="s">
        <v>205</v>
      </c>
      <c r="K94" s="19"/>
      <c r="L94" s="16">
        <v>1.0</v>
      </c>
      <c r="M94" s="19"/>
      <c r="N94" s="20">
        <v>10.99</v>
      </c>
      <c r="O94" s="21" t="s">
        <v>22</v>
      </c>
      <c r="P94" s="19"/>
      <c r="Q94" s="19"/>
      <c r="R94" s="19"/>
      <c r="S94" s="19"/>
      <c r="T94" s="19"/>
      <c r="U94" s="19"/>
      <c r="V94" s="19"/>
    </row>
    <row r="95">
      <c r="A95" s="15">
        <v>45886.0</v>
      </c>
      <c r="B95" s="16" t="s">
        <v>61</v>
      </c>
      <c r="C95" s="16" t="s">
        <v>26</v>
      </c>
      <c r="D95" s="16" t="s">
        <v>206</v>
      </c>
      <c r="E95" s="16" t="s">
        <v>19</v>
      </c>
      <c r="F95" s="17" t="str">
        <f>IFERROR(__xludf.DUMMYFUNCTION("""COMPUTED_VALUE"""),"FMY-PH-PL-1A")</f>
        <v>FMY-PH-PL-1A</v>
      </c>
      <c r="G95" s="18">
        <v>19.99</v>
      </c>
      <c r="H95" s="19"/>
      <c r="I95" s="19"/>
      <c r="J95" s="19" t="s">
        <v>207</v>
      </c>
      <c r="K95" s="16">
        <v>40.0</v>
      </c>
      <c r="L95" s="16">
        <v>1.0</v>
      </c>
      <c r="M95" s="16" t="s">
        <v>48</v>
      </c>
      <c r="N95" s="20">
        <v>19.99</v>
      </c>
      <c r="O95" s="21" t="s">
        <v>22</v>
      </c>
      <c r="P95" s="19"/>
      <c r="Q95" s="19"/>
      <c r="R95" s="19"/>
      <c r="S95" s="19"/>
      <c r="T95" s="19"/>
      <c r="U95" s="19"/>
      <c r="V95" s="19"/>
    </row>
    <row r="96">
      <c r="A96" s="15">
        <v>45886.0</v>
      </c>
      <c r="B96" s="16" t="s">
        <v>208</v>
      </c>
      <c r="C96" s="16" t="s">
        <v>64</v>
      </c>
      <c r="D96" s="16" t="s">
        <v>209</v>
      </c>
      <c r="E96" s="16" t="s">
        <v>19</v>
      </c>
      <c r="F96" s="17" t="str">
        <f>IFERROR(__xludf.DUMMYFUNCTION("""COMPUTED_VALUE"""),"HD-AL-LO-1A")</f>
        <v>HD-AL-LO-1A</v>
      </c>
      <c r="G96" s="18">
        <v>29.98</v>
      </c>
      <c r="H96" s="19"/>
      <c r="I96" s="19"/>
      <c r="J96" s="19" t="s">
        <v>210</v>
      </c>
      <c r="K96" s="19"/>
      <c r="L96" s="16">
        <v>1.0</v>
      </c>
      <c r="M96" s="19"/>
      <c r="N96" s="20">
        <v>29.98</v>
      </c>
      <c r="O96" s="21" t="s">
        <v>22</v>
      </c>
      <c r="P96" s="19"/>
      <c r="Q96" s="19"/>
      <c r="R96" s="19"/>
      <c r="S96" s="19"/>
      <c r="T96" s="19"/>
      <c r="U96" s="19"/>
      <c r="V96" s="19"/>
    </row>
    <row r="97">
      <c r="A97" s="15">
        <v>45886.0</v>
      </c>
      <c r="B97" s="16" t="s">
        <v>208</v>
      </c>
      <c r="C97" s="16" t="s">
        <v>64</v>
      </c>
      <c r="D97" s="16" t="s">
        <v>209</v>
      </c>
      <c r="E97" s="16" t="s">
        <v>71</v>
      </c>
      <c r="F97" s="17" t="str">
        <f>IFERROR(__xludf.DUMMYFUNCTION("""COMPUTED_VALUE"""),"HD-AL-LO-1A-2")</f>
        <v>HD-AL-LO-1A-2</v>
      </c>
      <c r="G97" s="18">
        <v>29.98</v>
      </c>
      <c r="H97" s="19"/>
      <c r="I97" s="19"/>
      <c r="J97" s="19" t="s">
        <v>211</v>
      </c>
      <c r="K97" s="19"/>
      <c r="L97" s="16">
        <v>1.0</v>
      </c>
      <c r="M97" s="19"/>
      <c r="N97" s="20">
        <v>29.98</v>
      </c>
      <c r="O97" s="21" t="s">
        <v>22</v>
      </c>
      <c r="P97" s="19"/>
      <c r="Q97" s="19"/>
      <c r="R97" s="19"/>
      <c r="S97" s="19"/>
      <c r="T97" s="19"/>
      <c r="U97" s="19"/>
      <c r="V97" s="19"/>
    </row>
    <row r="98">
      <c r="A98" s="15">
        <v>45886.0</v>
      </c>
      <c r="B98" s="16" t="s">
        <v>208</v>
      </c>
      <c r="C98" s="16" t="s">
        <v>64</v>
      </c>
      <c r="D98" s="16" t="s">
        <v>67</v>
      </c>
      <c r="E98" s="16" t="s">
        <v>71</v>
      </c>
      <c r="F98" s="17" t="str">
        <f>IFERROR(__xludf.DUMMYFUNCTION("""COMPUTED_VALUE"""),"HD-AL-GVF-1A-2")</f>
        <v>HD-AL-GVF-1A-2</v>
      </c>
      <c r="G98" s="18">
        <v>29.98</v>
      </c>
      <c r="H98" s="19"/>
      <c r="I98" s="19"/>
      <c r="J98" s="19" t="s">
        <v>212</v>
      </c>
      <c r="K98" s="19"/>
      <c r="L98" s="16">
        <v>1.0</v>
      </c>
      <c r="M98" s="19"/>
      <c r="N98" s="20">
        <v>29.98</v>
      </c>
      <c r="O98" s="21" t="s">
        <v>22</v>
      </c>
      <c r="P98" s="19"/>
      <c r="Q98" s="19"/>
      <c r="R98" s="19"/>
      <c r="S98" s="19"/>
      <c r="T98" s="19"/>
      <c r="U98" s="19"/>
      <c r="V98" s="19"/>
    </row>
    <row r="99">
      <c r="A99" s="15">
        <v>45886.0</v>
      </c>
      <c r="B99" s="16" t="s">
        <v>208</v>
      </c>
      <c r="C99" s="16" t="s">
        <v>64</v>
      </c>
      <c r="D99" s="16" t="s">
        <v>213</v>
      </c>
      <c r="E99" s="16" t="s">
        <v>19</v>
      </c>
      <c r="F99" s="17" t="str">
        <f>IFERROR(__xludf.DUMMYFUNCTION("""COMPUTED_VALUE"""),"HD-AL-BDS-1A")</f>
        <v>HD-AL-BDS-1A</v>
      </c>
      <c r="G99" s="18">
        <v>19.98</v>
      </c>
      <c r="H99" s="16"/>
      <c r="I99" s="16"/>
      <c r="J99" s="19" t="s">
        <v>214</v>
      </c>
      <c r="K99" s="19"/>
      <c r="L99" s="16">
        <v>1.0</v>
      </c>
      <c r="M99" s="16" t="s">
        <v>48</v>
      </c>
      <c r="N99" s="20">
        <v>19.98</v>
      </c>
      <c r="O99" s="21" t="s">
        <v>22</v>
      </c>
      <c r="P99" s="19"/>
      <c r="Q99" s="19"/>
      <c r="R99" s="19"/>
      <c r="S99" s="19"/>
      <c r="T99" s="19"/>
      <c r="U99" s="19"/>
      <c r="V99" s="19"/>
    </row>
    <row r="100">
      <c r="A100" s="15">
        <v>45886.0</v>
      </c>
      <c r="B100" s="16" t="s">
        <v>208</v>
      </c>
      <c r="C100" s="16" t="s">
        <v>26</v>
      </c>
      <c r="D100" s="16" t="s">
        <v>215</v>
      </c>
      <c r="E100" s="16" t="s">
        <v>19</v>
      </c>
      <c r="F100" s="17" t="str">
        <f>IFERROR(__xludf.DUMMYFUNCTION("""COMPUTED_VALUE"""),"HD-PH-GG-1A")</f>
        <v>HD-PH-GG-1A</v>
      </c>
      <c r="G100" s="18">
        <v>19.98</v>
      </c>
      <c r="H100" s="19"/>
      <c r="I100" s="19"/>
      <c r="J100" s="19" t="s">
        <v>216</v>
      </c>
      <c r="K100" s="19"/>
      <c r="L100" s="16">
        <v>1.0</v>
      </c>
      <c r="M100" s="19"/>
      <c r="N100" s="20">
        <v>19.98</v>
      </c>
      <c r="O100" s="21" t="s">
        <v>22</v>
      </c>
      <c r="P100" s="19"/>
      <c r="Q100" s="19"/>
      <c r="R100" s="19"/>
      <c r="S100" s="19"/>
      <c r="T100" s="19"/>
      <c r="U100" s="19"/>
      <c r="V100" s="19"/>
    </row>
    <row r="101">
      <c r="A101" s="15">
        <v>45886.0</v>
      </c>
      <c r="B101" s="16" t="s">
        <v>208</v>
      </c>
      <c r="C101" s="16" t="s">
        <v>111</v>
      </c>
      <c r="D101" s="16" t="s">
        <v>217</v>
      </c>
      <c r="E101" s="16" t="s">
        <v>19</v>
      </c>
      <c r="F101" s="17" t="str">
        <f>IFERROR(__xludf.DUMMYFUNCTION("""COMPUTED_VALUE"""),"HD-HO-SSS-1A")</f>
        <v>HD-HO-SSS-1A</v>
      </c>
      <c r="G101" s="18">
        <v>19.98</v>
      </c>
      <c r="H101" s="16"/>
      <c r="I101" s="16"/>
      <c r="J101" s="19" t="s">
        <v>218</v>
      </c>
      <c r="K101" s="19"/>
      <c r="L101" s="16">
        <v>1.0</v>
      </c>
      <c r="M101" s="19"/>
      <c r="N101" s="20">
        <v>19.98</v>
      </c>
      <c r="O101" s="21" t="s">
        <v>22</v>
      </c>
      <c r="P101" s="19"/>
      <c r="Q101" s="19"/>
      <c r="R101" s="19"/>
      <c r="S101" s="19"/>
      <c r="T101" s="19"/>
      <c r="U101" s="19"/>
      <c r="V101" s="19"/>
    </row>
    <row r="102">
      <c r="A102" s="15">
        <v>45886.0</v>
      </c>
      <c r="B102" s="16" t="s">
        <v>208</v>
      </c>
      <c r="C102" s="16" t="s">
        <v>219</v>
      </c>
      <c r="D102" s="16" t="s">
        <v>220</v>
      </c>
      <c r="E102" s="16" t="s">
        <v>19</v>
      </c>
      <c r="F102" s="17" t="str">
        <f>IFERROR(__xludf.DUMMYFUNCTION("""COMPUTED_VALUE"""),"HD-ST-TR-1A")</f>
        <v>HD-ST-TR-1A</v>
      </c>
      <c r="G102" s="18">
        <v>19.98</v>
      </c>
      <c r="H102" s="19"/>
      <c r="I102" s="19"/>
      <c r="J102" s="19" t="s">
        <v>221</v>
      </c>
      <c r="K102" s="19"/>
      <c r="L102" s="16">
        <v>1.0</v>
      </c>
      <c r="M102" s="19"/>
      <c r="N102" s="20">
        <v>19.98</v>
      </c>
      <c r="O102" s="21" t="s">
        <v>22</v>
      </c>
      <c r="P102" s="19"/>
      <c r="Q102" s="19"/>
      <c r="R102" s="19"/>
      <c r="S102" s="19"/>
      <c r="T102" s="19"/>
      <c r="U102" s="19"/>
      <c r="V102" s="19"/>
    </row>
    <row r="103">
      <c r="A103" s="15">
        <v>45887.0</v>
      </c>
      <c r="B103" s="16" t="s">
        <v>222</v>
      </c>
      <c r="C103" s="16" t="s">
        <v>223</v>
      </c>
      <c r="D103" s="16" t="s">
        <v>224</v>
      </c>
      <c r="E103" s="16" t="s">
        <v>19</v>
      </c>
      <c r="F103" s="17" t="str">
        <f>IFERROR(__xludf.DUMMYFUNCTION("""COMPUTED_VALUE"""),"TRL-FIC-TE-1A")</f>
        <v>TRL-FIC-TE-1A</v>
      </c>
      <c r="G103" s="18">
        <v>10.0</v>
      </c>
      <c r="H103" s="19"/>
      <c r="I103" s="19"/>
      <c r="J103" s="19" t="s">
        <v>225</v>
      </c>
      <c r="K103" s="19"/>
      <c r="L103" s="16">
        <v>1.0</v>
      </c>
      <c r="M103" s="19"/>
      <c r="N103" s="20">
        <v>10.0</v>
      </c>
      <c r="O103" s="21" t="s">
        <v>22</v>
      </c>
      <c r="P103" s="19"/>
      <c r="Q103" s="19"/>
      <c r="R103" s="19"/>
      <c r="S103" s="19"/>
      <c r="T103" s="19"/>
      <c r="U103" s="19"/>
      <c r="V103" s="19"/>
    </row>
    <row r="104">
      <c r="A104" s="15"/>
      <c r="B104" s="16" t="s">
        <v>222</v>
      </c>
      <c r="C104" s="16" t="s">
        <v>159</v>
      </c>
      <c r="D104" s="16" t="s">
        <v>226</v>
      </c>
      <c r="E104" s="16" t="s">
        <v>19</v>
      </c>
      <c r="F104" s="17" t="str">
        <f>IFERROR(__xludf.DUMMYFUNCTION("""COMPUTED_VALUE"""),"TRL-SYN-PA-1A")</f>
        <v>TRL-SYN-PA-1A</v>
      </c>
      <c r="G104" s="18">
        <v>10.0</v>
      </c>
      <c r="H104" s="19"/>
      <c r="I104" s="19"/>
      <c r="J104" s="19" t="s">
        <v>227</v>
      </c>
      <c r="K104" s="19"/>
      <c r="L104" s="16">
        <v>1.0</v>
      </c>
      <c r="M104" s="19"/>
      <c r="N104" s="20">
        <v>10.0</v>
      </c>
      <c r="O104" s="21" t="s">
        <v>22</v>
      </c>
      <c r="P104" s="19"/>
      <c r="Q104" s="19"/>
      <c r="R104" s="19"/>
      <c r="S104" s="19"/>
      <c r="T104" s="19"/>
      <c r="U104" s="19"/>
      <c r="V104" s="19"/>
    </row>
    <row r="105">
      <c r="A105" s="15"/>
      <c r="B105" s="16" t="s">
        <v>222</v>
      </c>
      <c r="C105" s="16" t="s">
        <v>26</v>
      </c>
      <c r="D105" s="16" t="s">
        <v>228</v>
      </c>
      <c r="E105" s="16" t="s">
        <v>19</v>
      </c>
      <c r="F105" s="17" t="str">
        <f>IFERROR(__xludf.DUMMYFUNCTION("""COMPUTED_VALUE"""),"TRL-PH-JB-1A")</f>
        <v>TRL-PH-JB-1A</v>
      </c>
      <c r="G105" s="18">
        <v>12.0</v>
      </c>
      <c r="H105" s="19"/>
      <c r="I105" s="19"/>
      <c r="J105" s="19" t="s">
        <v>229</v>
      </c>
      <c r="K105" s="19"/>
      <c r="L105" s="16">
        <v>1.0</v>
      </c>
      <c r="M105" s="19"/>
      <c r="N105" s="20">
        <v>12.0</v>
      </c>
      <c r="O105" s="21" t="s">
        <v>22</v>
      </c>
      <c r="P105" s="19"/>
      <c r="Q105" s="19"/>
      <c r="R105" s="19"/>
      <c r="S105" s="19"/>
      <c r="T105" s="19"/>
      <c r="U105" s="19"/>
      <c r="V105" s="19"/>
    </row>
    <row r="106">
      <c r="A106" s="15">
        <v>45890.0</v>
      </c>
      <c r="B106" s="16" t="s">
        <v>230</v>
      </c>
      <c r="C106" s="16" t="s">
        <v>26</v>
      </c>
      <c r="D106" s="16" t="s">
        <v>231</v>
      </c>
      <c r="E106" s="16" t="s">
        <v>19</v>
      </c>
      <c r="F106" s="17" t="str">
        <f>IFERROR(__xludf.DUMMYFUNCTION("""COMPUTED_VALUE"""),"RSV-PH-RS-1A")</f>
        <v>RSV-PH-RS-1A</v>
      </c>
      <c r="G106" s="18">
        <v>12.0</v>
      </c>
      <c r="H106" s="19"/>
      <c r="I106" s="19"/>
      <c r="J106" s="19" t="s">
        <v>232</v>
      </c>
      <c r="K106" s="19"/>
      <c r="L106" s="16">
        <v>1.0</v>
      </c>
      <c r="M106" s="19"/>
      <c r="N106" s="20">
        <v>12.0</v>
      </c>
      <c r="O106" s="21" t="s">
        <v>22</v>
      </c>
      <c r="P106" s="19"/>
      <c r="Q106" s="19"/>
      <c r="R106" s="19"/>
      <c r="S106" s="19"/>
      <c r="T106" s="19"/>
      <c r="U106" s="19"/>
      <c r="V106" s="19"/>
    </row>
    <row r="107">
      <c r="A107" s="15">
        <v>45890.0</v>
      </c>
      <c r="B107" s="16" t="s">
        <v>230</v>
      </c>
      <c r="C107" s="16" t="s">
        <v>233</v>
      </c>
      <c r="D107" s="16" t="s">
        <v>234</v>
      </c>
      <c r="E107" s="16" t="s">
        <v>19</v>
      </c>
      <c r="F107" s="17" t="str">
        <f>IFERROR(__xludf.DUMMYFUNCTION("""COMPUTED_VALUE"""),"RSV-EPI-PM-1A")</f>
        <v>RSV-EPI-PM-1A</v>
      </c>
      <c r="G107" s="18">
        <v>15.0</v>
      </c>
      <c r="H107" s="19"/>
      <c r="I107" s="19"/>
      <c r="J107" s="19" t="s">
        <v>235</v>
      </c>
      <c r="K107" s="19"/>
      <c r="L107" s="16">
        <v>1.0</v>
      </c>
      <c r="M107" s="19"/>
      <c r="N107" s="20">
        <v>15.0</v>
      </c>
      <c r="O107" s="21" t="s">
        <v>22</v>
      </c>
      <c r="P107" s="19"/>
      <c r="Q107" s="19"/>
      <c r="R107" s="19"/>
      <c r="S107" s="19"/>
      <c r="T107" s="19"/>
      <c r="U107" s="19"/>
      <c r="V107" s="19"/>
    </row>
    <row r="108">
      <c r="A108" s="15">
        <v>45890.0</v>
      </c>
      <c r="B108" s="16" t="s">
        <v>236</v>
      </c>
      <c r="C108" s="16" t="s">
        <v>26</v>
      </c>
      <c r="D108" s="16" t="s">
        <v>237</v>
      </c>
      <c r="E108" s="16" t="s">
        <v>19</v>
      </c>
      <c r="F108" s="17" t="str">
        <f>IFERROR(__xludf.DUMMYFUNCTION("""COMPUTED_VALUE"""),"TGE-PH-FB-1A")</f>
        <v>TGE-PH-FB-1A</v>
      </c>
      <c r="G108" s="18">
        <v>11.0</v>
      </c>
      <c r="H108" s="19"/>
      <c r="I108" s="19"/>
      <c r="J108" s="19" t="s">
        <v>238</v>
      </c>
      <c r="K108" s="19"/>
      <c r="L108" s="16">
        <v>1.0</v>
      </c>
      <c r="M108" s="19"/>
      <c r="N108" s="20">
        <v>11.0</v>
      </c>
      <c r="O108" s="21" t="s">
        <v>22</v>
      </c>
      <c r="P108" s="19"/>
      <c r="Q108" s="19"/>
      <c r="R108" s="19"/>
      <c r="S108" s="19"/>
      <c r="T108" s="19"/>
      <c r="U108" s="19"/>
      <c r="V108" s="19"/>
    </row>
    <row r="109">
      <c r="A109" s="15">
        <v>45890.0</v>
      </c>
      <c r="B109" s="16" t="s">
        <v>236</v>
      </c>
      <c r="C109" s="16" t="s">
        <v>26</v>
      </c>
      <c r="D109" s="16" t="s">
        <v>239</v>
      </c>
      <c r="E109" s="16" t="s">
        <v>19</v>
      </c>
      <c r="F109" s="17" t="str">
        <f>IFERROR(__xludf.DUMMYFUNCTION("""COMPUTED_VALUE"""),"TGE-PH-ROF-1A")</f>
        <v>TGE-PH-ROF-1A</v>
      </c>
      <c r="G109" s="18">
        <v>11.0</v>
      </c>
      <c r="H109" s="19"/>
      <c r="I109" s="19"/>
      <c r="J109" s="19" t="s">
        <v>240</v>
      </c>
      <c r="K109" s="19"/>
      <c r="L109" s="16">
        <v>1.0</v>
      </c>
      <c r="M109" s="19"/>
      <c r="N109" s="20">
        <v>11.0</v>
      </c>
      <c r="O109" s="21" t="s">
        <v>22</v>
      </c>
      <c r="P109" s="19"/>
      <c r="Q109" s="19"/>
      <c r="R109" s="19"/>
      <c r="S109" s="19"/>
      <c r="T109" s="19"/>
      <c r="U109" s="19"/>
      <c r="V109" s="19"/>
    </row>
    <row r="110">
      <c r="A110" s="15">
        <v>45890.0</v>
      </c>
      <c r="B110" s="16" t="s">
        <v>236</v>
      </c>
      <c r="C110" s="16" t="s">
        <v>26</v>
      </c>
      <c r="D110" s="16" t="s">
        <v>123</v>
      </c>
      <c r="E110" s="16" t="s">
        <v>19</v>
      </c>
      <c r="F110" s="17" t="str">
        <f>IFERROR(__xludf.DUMMYFUNCTION("""COMPUTED_VALUE"""),"TGE-PH-BI-1A")</f>
        <v>TGE-PH-BI-1A</v>
      </c>
      <c r="G110" s="18">
        <v>17.5</v>
      </c>
      <c r="H110" s="19"/>
      <c r="I110" s="19"/>
      <c r="J110" s="19" t="s">
        <v>241</v>
      </c>
      <c r="K110" s="19"/>
      <c r="L110" s="16">
        <v>1.0</v>
      </c>
      <c r="M110" s="19"/>
      <c r="N110" s="20">
        <v>17.5</v>
      </c>
      <c r="O110" s="21" t="s">
        <v>22</v>
      </c>
      <c r="P110" s="19"/>
      <c r="Q110" s="19"/>
      <c r="R110" s="19"/>
      <c r="S110" s="19"/>
      <c r="T110" s="19"/>
      <c r="U110" s="19"/>
      <c r="V110" s="19"/>
    </row>
    <row r="111">
      <c r="A111" s="15">
        <v>45890.0</v>
      </c>
      <c r="B111" s="16" t="s">
        <v>236</v>
      </c>
      <c r="C111" s="16" t="s">
        <v>26</v>
      </c>
      <c r="D111" s="16" t="s">
        <v>231</v>
      </c>
      <c r="E111" s="16" t="s">
        <v>19</v>
      </c>
      <c r="F111" s="17" t="str">
        <f>IFERROR(__xludf.DUMMYFUNCTION("""COMPUTED_VALUE"""),"TGE-PH-RS-1A")</f>
        <v>TGE-PH-RS-1A</v>
      </c>
      <c r="G111" s="18">
        <v>17.5</v>
      </c>
      <c r="H111" s="19"/>
      <c r="I111" s="19"/>
      <c r="J111" s="19" t="s">
        <v>242</v>
      </c>
      <c r="K111" s="19"/>
      <c r="L111" s="16">
        <v>1.0</v>
      </c>
      <c r="M111" s="19"/>
      <c r="N111" s="20">
        <v>17.5</v>
      </c>
      <c r="O111" s="21" t="s">
        <v>22</v>
      </c>
      <c r="P111" s="19"/>
      <c r="Q111" s="19"/>
      <c r="R111" s="19"/>
      <c r="S111" s="19"/>
      <c r="T111" s="19"/>
      <c r="U111" s="19"/>
      <c r="V111" s="19"/>
    </row>
    <row r="112">
      <c r="A112" s="15">
        <v>45890.0</v>
      </c>
      <c r="B112" s="16" t="s">
        <v>236</v>
      </c>
      <c r="C112" s="16" t="s">
        <v>243</v>
      </c>
      <c r="D112" s="16" t="s">
        <v>244</v>
      </c>
      <c r="E112" s="16" t="s">
        <v>19</v>
      </c>
      <c r="F112" s="17" t="str">
        <f>IFERROR(__xludf.DUMMYFUNCTION("""COMPUTED_VALUE"""),"TGE-COL-DI-1A")</f>
        <v>TGE-COL-DI-1A</v>
      </c>
      <c r="G112" s="18">
        <v>12.5</v>
      </c>
      <c r="H112" s="19"/>
      <c r="I112" s="19"/>
      <c r="J112" s="19" t="s">
        <v>245</v>
      </c>
      <c r="K112" s="19"/>
      <c r="L112" s="16">
        <v>1.0</v>
      </c>
      <c r="M112" s="19"/>
      <c r="N112" s="20">
        <v>12.5</v>
      </c>
      <c r="O112" s="21" t="s">
        <v>22</v>
      </c>
      <c r="P112" s="19"/>
      <c r="Q112" s="19"/>
      <c r="R112" s="19"/>
      <c r="S112" s="19"/>
      <c r="T112" s="19"/>
      <c r="U112" s="19"/>
      <c r="V112" s="19"/>
    </row>
    <row r="113">
      <c r="A113" s="15"/>
      <c r="B113" s="16" t="s">
        <v>246</v>
      </c>
      <c r="C113" s="16" t="s">
        <v>26</v>
      </c>
      <c r="D113" s="16" t="s">
        <v>247</v>
      </c>
      <c r="E113" s="16" t="s">
        <v>19</v>
      </c>
      <c r="F113" s="17" t="str">
        <f>IFERROR(__xludf.DUMMYFUNCTION("""COMPUTED_VALUE"""),"LOA-PH-DO-1A")</f>
        <v>LOA-PH-DO-1A</v>
      </c>
      <c r="G113" s="18">
        <v>44.0</v>
      </c>
      <c r="H113" s="16" t="s">
        <v>80</v>
      </c>
      <c r="I113" s="22" t="s">
        <v>93</v>
      </c>
      <c r="J113" s="19" t="s">
        <v>248</v>
      </c>
      <c r="K113" s="19"/>
      <c r="L113" s="16">
        <v>1.0</v>
      </c>
      <c r="M113" s="19"/>
      <c r="N113" s="20">
        <v>44.0</v>
      </c>
      <c r="O113" s="21" t="s">
        <v>22</v>
      </c>
      <c r="P113" s="19"/>
      <c r="Q113" s="19"/>
      <c r="R113" s="19"/>
      <c r="S113" s="19"/>
      <c r="T113" s="19"/>
      <c r="U113" s="19"/>
      <c r="V113" s="19"/>
    </row>
    <row r="114">
      <c r="A114" s="15">
        <v>45908.0</v>
      </c>
      <c r="B114" s="16" t="s">
        <v>105</v>
      </c>
      <c r="C114" s="16" t="s">
        <v>249</v>
      </c>
      <c r="D114" s="16" t="s">
        <v>250</v>
      </c>
      <c r="E114" s="16" t="s">
        <v>19</v>
      </c>
      <c r="F114" s="17" t="str">
        <f>IFERROR(__xludf.DUMMYFUNCTION("""COMPUTED_VALUE"""),"IST-CR-GJ-1A")</f>
        <v>IST-CR-GJ-1A</v>
      </c>
      <c r="G114" s="18">
        <v>0.0</v>
      </c>
      <c r="H114" s="19"/>
      <c r="I114" s="19"/>
      <c r="J114" s="19" t="s">
        <v>251</v>
      </c>
      <c r="K114" s="19"/>
      <c r="L114" s="16">
        <v>1.0</v>
      </c>
      <c r="M114" s="19"/>
      <c r="N114" s="20">
        <v>0.0</v>
      </c>
      <c r="O114" s="21" t="s">
        <v>22</v>
      </c>
      <c r="P114" s="19"/>
      <c r="Q114" s="19"/>
      <c r="R114" s="19"/>
      <c r="S114" s="19"/>
      <c r="T114" s="19"/>
      <c r="U114" s="19"/>
      <c r="V114" s="19"/>
    </row>
    <row r="115">
      <c r="A115" s="15">
        <v>45909.0</v>
      </c>
      <c r="B115" s="16" t="s">
        <v>252</v>
      </c>
      <c r="C115" s="16" t="s">
        <v>64</v>
      </c>
      <c r="D115" s="16" t="s">
        <v>253</v>
      </c>
      <c r="E115" s="16" t="s">
        <v>19</v>
      </c>
      <c r="F115" s="17" t="str">
        <f>IFERROR(__xludf.DUMMYFUNCTION("""COMPUTED_VALUE"""),"DSE-AL-MAN-1A")</f>
        <v>DSE-AL-MAN-1A</v>
      </c>
      <c r="G115" s="18">
        <v>4.19</v>
      </c>
      <c r="H115" s="19"/>
      <c r="I115" s="16"/>
      <c r="J115" s="19" t="s">
        <v>254</v>
      </c>
      <c r="K115" s="16">
        <v>15.0</v>
      </c>
      <c r="L115" s="16">
        <v>1.0</v>
      </c>
      <c r="M115" s="16" t="s">
        <v>83</v>
      </c>
      <c r="N115" s="20">
        <v>4.19</v>
      </c>
      <c r="O115" s="21" t="s">
        <v>22</v>
      </c>
      <c r="P115" s="19"/>
      <c r="Q115" s="19"/>
      <c r="R115" s="19"/>
      <c r="S115" s="19"/>
      <c r="T115" s="19"/>
      <c r="U115" s="19"/>
      <c r="V115" s="19"/>
    </row>
    <row r="116">
      <c r="A116" s="15">
        <v>45909.0</v>
      </c>
      <c r="B116" s="16" t="s">
        <v>252</v>
      </c>
      <c r="C116" s="16" t="s">
        <v>64</v>
      </c>
      <c r="D116" s="16" t="s">
        <v>253</v>
      </c>
      <c r="E116" s="16" t="s">
        <v>71</v>
      </c>
      <c r="F116" s="17" t="str">
        <f>IFERROR(__xludf.DUMMYFUNCTION("""COMPUTED_VALUE"""),"DSE-AL-MAN-1A-2")</f>
        <v>DSE-AL-MAN-1A-2</v>
      </c>
      <c r="G116" s="18">
        <v>4.19</v>
      </c>
      <c r="H116" s="19"/>
      <c r="I116" s="16"/>
      <c r="J116" s="19" t="s">
        <v>255</v>
      </c>
      <c r="K116" s="16">
        <v>15.0</v>
      </c>
      <c r="L116" s="16">
        <v>1.0</v>
      </c>
      <c r="M116" s="16" t="s">
        <v>83</v>
      </c>
      <c r="N116" s="20">
        <v>4.19</v>
      </c>
      <c r="O116" s="21" t="s">
        <v>22</v>
      </c>
      <c r="P116" s="19"/>
      <c r="Q116" s="19"/>
      <c r="R116" s="19"/>
      <c r="S116" s="19"/>
      <c r="T116" s="19"/>
      <c r="U116" s="19"/>
      <c r="V116" s="19"/>
    </row>
    <row r="117">
      <c r="A117" s="15">
        <v>45909.0</v>
      </c>
      <c r="B117" s="16" t="s">
        <v>252</v>
      </c>
      <c r="C117" s="16" t="s">
        <v>64</v>
      </c>
      <c r="D117" s="16" t="s">
        <v>253</v>
      </c>
      <c r="E117" s="16" t="s">
        <v>129</v>
      </c>
      <c r="F117" s="17" t="str">
        <f>IFERROR(__xludf.DUMMYFUNCTION("""COMPUTED_VALUE"""),"DSE-AL-MAN-1A-3")</f>
        <v>DSE-AL-MAN-1A-3</v>
      </c>
      <c r="G117" s="18">
        <v>4.19</v>
      </c>
      <c r="H117" s="19"/>
      <c r="I117" s="19"/>
      <c r="J117" s="19" t="s">
        <v>256</v>
      </c>
      <c r="K117" s="16">
        <v>15.0</v>
      </c>
      <c r="L117" s="16">
        <v>1.0</v>
      </c>
      <c r="M117" s="16" t="s">
        <v>83</v>
      </c>
      <c r="N117" s="20">
        <v>4.19</v>
      </c>
      <c r="O117" s="21" t="s">
        <v>22</v>
      </c>
      <c r="P117" s="19"/>
      <c r="Q117" s="19"/>
      <c r="R117" s="19"/>
      <c r="S117" s="19"/>
      <c r="T117" s="19"/>
      <c r="U117" s="19"/>
      <c r="V117" s="19"/>
    </row>
    <row r="118">
      <c r="A118" s="15">
        <v>45909.0</v>
      </c>
      <c r="B118" s="16" t="s">
        <v>252</v>
      </c>
      <c r="C118" s="16" t="s">
        <v>64</v>
      </c>
      <c r="D118" s="16" t="s">
        <v>253</v>
      </c>
      <c r="E118" s="16" t="s">
        <v>143</v>
      </c>
      <c r="F118" s="17" t="str">
        <f>IFERROR(__xludf.DUMMYFUNCTION("""COMPUTED_VALUE"""),"DSE-AL-MAN-1A-4")</f>
        <v>DSE-AL-MAN-1A-4</v>
      </c>
      <c r="G118" s="18">
        <v>4.19</v>
      </c>
      <c r="H118" s="19"/>
      <c r="I118" s="19"/>
      <c r="J118" s="19" t="s">
        <v>257</v>
      </c>
      <c r="K118" s="16">
        <v>15.0</v>
      </c>
      <c r="L118" s="16">
        <v>1.0</v>
      </c>
      <c r="M118" s="16" t="s">
        <v>83</v>
      </c>
      <c r="N118" s="20">
        <v>4.19</v>
      </c>
      <c r="O118" s="21" t="s">
        <v>22</v>
      </c>
      <c r="P118" s="19"/>
      <c r="Q118" s="19"/>
      <c r="R118" s="19"/>
      <c r="S118" s="19"/>
      <c r="T118" s="19"/>
      <c r="U118" s="19"/>
      <c r="V118" s="19"/>
    </row>
    <row r="119">
      <c r="A119" s="15">
        <v>45909.0</v>
      </c>
      <c r="B119" s="16" t="s">
        <v>252</v>
      </c>
      <c r="C119" s="16" t="s">
        <v>64</v>
      </c>
      <c r="D119" s="16" t="s">
        <v>253</v>
      </c>
      <c r="E119" s="16" t="s">
        <v>145</v>
      </c>
      <c r="F119" s="17" t="str">
        <f>IFERROR(__xludf.DUMMYFUNCTION("""COMPUTED_VALUE"""),"DSE-AL-MAN-1A-5")</f>
        <v>DSE-AL-MAN-1A-5</v>
      </c>
      <c r="G119" s="18">
        <v>4.19</v>
      </c>
      <c r="H119" s="19"/>
      <c r="I119" s="19"/>
      <c r="J119" s="19" t="s">
        <v>258</v>
      </c>
      <c r="K119" s="16">
        <v>15.0</v>
      </c>
      <c r="L119" s="16">
        <v>1.0</v>
      </c>
      <c r="M119" s="16" t="s">
        <v>83</v>
      </c>
      <c r="N119" s="20">
        <v>4.19</v>
      </c>
      <c r="O119" s="21" t="s">
        <v>22</v>
      </c>
      <c r="P119" s="19"/>
      <c r="Q119" s="19"/>
      <c r="R119" s="19"/>
      <c r="S119" s="19"/>
      <c r="T119" s="19"/>
      <c r="U119" s="19"/>
      <c r="V119" s="19"/>
    </row>
    <row r="120">
      <c r="A120" s="15">
        <v>45909.0</v>
      </c>
      <c r="B120" s="16" t="s">
        <v>252</v>
      </c>
      <c r="C120" s="16" t="s">
        <v>243</v>
      </c>
      <c r="D120" s="16" t="s">
        <v>259</v>
      </c>
      <c r="E120" s="16" t="s">
        <v>19</v>
      </c>
      <c r="F120" s="17" t="str">
        <f>IFERROR(__xludf.DUMMYFUNCTION("""COMPUTED_VALUE"""),"DSE-COL-MOJ-1A")</f>
        <v>DSE-COL-MOJ-1A</v>
      </c>
      <c r="G120" s="18">
        <v>1.95</v>
      </c>
      <c r="H120" s="19"/>
      <c r="I120" s="19"/>
      <c r="J120" s="19" t="s">
        <v>260</v>
      </c>
      <c r="K120" s="19"/>
      <c r="L120" s="16">
        <v>1.0</v>
      </c>
      <c r="M120" s="16" t="s">
        <v>83</v>
      </c>
      <c r="N120" s="20">
        <v>1.95</v>
      </c>
      <c r="O120" s="21" t="s">
        <v>22</v>
      </c>
      <c r="P120" s="19"/>
      <c r="Q120" s="19"/>
      <c r="R120" s="19"/>
      <c r="S120" s="19"/>
      <c r="T120" s="19"/>
      <c r="U120" s="19"/>
      <c r="V120" s="19"/>
    </row>
    <row r="121">
      <c r="A121" s="15">
        <v>45909.0</v>
      </c>
      <c r="B121" s="16" t="s">
        <v>252</v>
      </c>
      <c r="C121" s="16" t="s">
        <v>243</v>
      </c>
      <c r="D121" s="16" t="s">
        <v>259</v>
      </c>
      <c r="E121" s="16" t="s">
        <v>71</v>
      </c>
      <c r="F121" s="17" t="str">
        <f>IFERROR(__xludf.DUMMYFUNCTION("""COMPUTED_VALUE"""),"DSE-COL-MOJ-1A-2")</f>
        <v>DSE-COL-MOJ-1A-2</v>
      </c>
      <c r="G121" s="18">
        <v>1.95</v>
      </c>
      <c r="H121" s="19"/>
      <c r="I121" s="19"/>
      <c r="J121" s="19" t="s">
        <v>261</v>
      </c>
      <c r="K121" s="19"/>
      <c r="L121" s="16">
        <v>1.0</v>
      </c>
      <c r="M121" s="16" t="s">
        <v>83</v>
      </c>
      <c r="N121" s="20">
        <v>1.95</v>
      </c>
      <c r="O121" s="21" t="s">
        <v>22</v>
      </c>
      <c r="P121" s="19"/>
      <c r="Q121" s="19"/>
      <c r="R121" s="19"/>
      <c r="S121" s="19"/>
      <c r="T121" s="19"/>
      <c r="U121" s="19"/>
      <c r="V121" s="19"/>
    </row>
    <row r="122">
      <c r="A122" s="15">
        <v>45909.0</v>
      </c>
      <c r="B122" s="16" t="s">
        <v>252</v>
      </c>
      <c r="C122" s="16" t="s">
        <v>243</v>
      </c>
      <c r="D122" s="16" t="s">
        <v>259</v>
      </c>
      <c r="E122" s="16" t="s">
        <v>129</v>
      </c>
      <c r="F122" s="17" t="str">
        <f>IFERROR(__xludf.DUMMYFUNCTION("""COMPUTED_VALUE"""),"DSE-COL-MOJ-1A-3")</f>
        <v>DSE-COL-MOJ-1A-3</v>
      </c>
      <c r="G122" s="18">
        <v>1.95</v>
      </c>
      <c r="H122" s="19"/>
      <c r="I122" s="19"/>
      <c r="J122" s="19" t="s">
        <v>262</v>
      </c>
      <c r="K122" s="19"/>
      <c r="L122" s="16">
        <v>1.0</v>
      </c>
      <c r="M122" s="16" t="s">
        <v>83</v>
      </c>
      <c r="N122" s="20">
        <v>1.95</v>
      </c>
      <c r="O122" s="21" t="s">
        <v>22</v>
      </c>
      <c r="P122" s="19"/>
      <c r="Q122" s="19"/>
      <c r="R122" s="19"/>
      <c r="S122" s="19"/>
      <c r="T122" s="19"/>
      <c r="U122" s="19"/>
      <c r="V122" s="19"/>
    </row>
    <row r="123">
      <c r="A123" s="15">
        <v>45909.0</v>
      </c>
      <c r="B123" s="16" t="s">
        <v>252</v>
      </c>
      <c r="C123" s="16" t="s">
        <v>243</v>
      </c>
      <c r="D123" s="16" t="s">
        <v>259</v>
      </c>
      <c r="E123" s="16" t="s">
        <v>143</v>
      </c>
      <c r="F123" s="17" t="str">
        <f>IFERROR(__xludf.DUMMYFUNCTION("""COMPUTED_VALUE"""),"DSE-COL-MOJ-1A-4")</f>
        <v>DSE-COL-MOJ-1A-4</v>
      </c>
      <c r="G123" s="18">
        <v>1.95</v>
      </c>
      <c r="H123" s="19"/>
      <c r="I123" s="19"/>
      <c r="J123" s="19" t="s">
        <v>263</v>
      </c>
      <c r="K123" s="19"/>
      <c r="L123" s="16">
        <v>1.0</v>
      </c>
      <c r="M123" s="16" t="s">
        <v>83</v>
      </c>
      <c r="N123" s="20">
        <v>1.95</v>
      </c>
      <c r="O123" s="21" t="s">
        <v>22</v>
      </c>
      <c r="P123" s="19"/>
      <c r="Q123" s="19"/>
      <c r="R123" s="19"/>
      <c r="S123" s="19"/>
      <c r="T123" s="19"/>
      <c r="U123" s="19"/>
      <c r="V123" s="19"/>
    </row>
    <row r="124">
      <c r="A124" s="15">
        <v>45909.0</v>
      </c>
      <c r="B124" s="16" t="s">
        <v>252</v>
      </c>
      <c r="C124" s="16" t="s">
        <v>243</v>
      </c>
      <c r="D124" s="16" t="s">
        <v>259</v>
      </c>
      <c r="E124" s="16" t="s">
        <v>145</v>
      </c>
      <c r="F124" s="17" t="str">
        <f>IFERROR(__xludf.DUMMYFUNCTION("""COMPUTED_VALUE"""),"DSE-COL-MOJ-1A-5")</f>
        <v>DSE-COL-MOJ-1A-5</v>
      </c>
      <c r="G124" s="18">
        <v>1.95</v>
      </c>
      <c r="H124" s="19"/>
      <c r="I124" s="19"/>
      <c r="J124" s="19" t="s">
        <v>264</v>
      </c>
      <c r="K124" s="19"/>
      <c r="L124" s="16">
        <v>1.0</v>
      </c>
      <c r="M124" s="16" t="s">
        <v>83</v>
      </c>
      <c r="N124" s="20">
        <v>1.95</v>
      </c>
      <c r="O124" s="21" t="s">
        <v>22</v>
      </c>
      <c r="P124" s="19"/>
      <c r="Q124" s="19"/>
      <c r="R124" s="19"/>
      <c r="S124" s="19"/>
      <c r="T124" s="19"/>
      <c r="U124" s="19"/>
      <c r="V124" s="19"/>
    </row>
    <row r="125">
      <c r="A125" s="15">
        <v>45909.0</v>
      </c>
      <c r="B125" s="16" t="s">
        <v>252</v>
      </c>
      <c r="C125" s="16" t="s">
        <v>243</v>
      </c>
      <c r="D125" s="16" t="s">
        <v>259</v>
      </c>
      <c r="E125" s="16" t="s">
        <v>265</v>
      </c>
      <c r="F125" s="17" t="str">
        <f>IFERROR(__xludf.DUMMYFUNCTION("""COMPUTED_VALUE"""),"DSE-COL-MOJ-1A-6")</f>
        <v>DSE-COL-MOJ-1A-6</v>
      </c>
      <c r="G125" s="18">
        <v>1.95</v>
      </c>
      <c r="H125" s="19"/>
      <c r="I125" s="19"/>
      <c r="J125" s="19" t="s">
        <v>266</v>
      </c>
      <c r="K125" s="19"/>
      <c r="L125" s="16">
        <v>1.0</v>
      </c>
      <c r="M125" s="16" t="s">
        <v>83</v>
      </c>
      <c r="N125" s="20">
        <v>1.95</v>
      </c>
      <c r="O125" s="21" t="s">
        <v>22</v>
      </c>
      <c r="P125" s="19"/>
      <c r="Q125" s="19"/>
      <c r="R125" s="19"/>
      <c r="S125" s="19"/>
      <c r="T125" s="19"/>
      <c r="U125" s="19"/>
      <c r="V125" s="19"/>
    </row>
    <row r="126">
      <c r="A126" s="15">
        <v>45909.0</v>
      </c>
      <c r="B126" s="16" t="s">
        <v>252</v>
      </c>
      <c r="C126" s="16" t="s">
        <v>243</v>
      </c>
      <c r="D126" s="16" t="s">
        <v>259</v>
      </c>
      <c r="E126" s="16" t="s">
        <v>267</v>
      </c>
      <c r="F126" s="17" t="str">
        <f>IFERROR(__xludf.DUMMYFUNCTION("""COMPUTED_VALUE"""),"DSE-COL-MOJ-1A-7")</f>
        <v>DSE-COL-MOJ-1A-7</v>
      </c>
      <c r="G126" s="18">
        <v>1.95</v>
      </c>
      <c r="H126" s="19"/>
      <c r="I126" s="19"/>
      <c r="J126" s="19" t="s">
        <v>268</v>
      </c>
      <c r="K126" s="19"/>
      <c r="L126" s="16">
        <v>1.0</v>
      </c>
      <c r="M126" s="16" t="s">
        <v>83</v>
      </c>
      <c r="N126" s="20">
        <v>1.95</v>
      </c>
      <c r="O126" s="21" t="s">
        <v>22</v>
      </c>
      <c r="P126" s="19"/>
      <c r="Q126" s="19"/>
      <c r="R126" s="19"/>
      <c r="S126" s="19"/>
      <c r="T126" s="19"/>
      <c r="U126" s="19"/>
      <c r="V126" s="19"/>
    </row>
    <row r="127">
      <c r="A127" s="15">
        <v>45909.0</v>
      </c>
      <c r="B127" s="16" t="s">
        <v>252</v>
      </c>
      <c r="C127" s="16" t="s">
        <v>243</v>
      </c>
      <c r="D127" s="16" t="s">
        <v>259</v>
      </c>
      <c r="E127" s="16" t="s">
        <v>269</v>
      </c>
      <c r="F127" s="17" t="str">
        <f>IFERROR(__xludf.DUMMYFUNCTION("""COMPUTED_VALUE"""),"DSE-COL-MOJ-1A-8")</f>
        <v>DSE-COL-MOJ-1A-8</v>
      </c>
      <c r="G127" s="18">
        <v>1.95</v>
      </c>
      <c r="H127" s="19"/>
      <c r="I127" s="19"/>
      <c r="J127" s="19" t="s">
        <v>270</v>
      </c>
      <c r="K127" s="19"/>
      <c r="L127" s="16">
        <v>1.0</v>
      </c>
      <c r="M127" s="16" t="s">
        <v>83</v>
      </c>
      <c r="N127" s="20">
        <v>1.95</v>
      </c>
      <c r="O127" s="21" t="s">
        <v>22</v>
      </c>
      <c r="P127" s="19"/>
      <c r="Q127" s="19"/>
      <c r="R127" s="19"/>
      <c r="S127" s="19"/>
      <c r="T127" s="19"/>
      <c r="U127" s="19"/>
      <c r="V127" s="19"/>
    </row>
    <row r="128">
      <c r="A128" s="15">
        <v>45909.0</v>
      </c>
      <c r="B128" s="16" t="s">
        <v>252</v>
      </c>
      <c r="C128" s="16" t="s">
        <v>243</v>
      </c>
      <c r="D128" s="16" t="s">
        <v>259</v>
      </c>
      <c r="E128" s="16" t="s">
        <v>271</v>
      </c>
      <c r="F128" s="17" t="str">
        <f>IFERROR(__xludf.DUMMYFUNCTION("""COMPUTED_VALUE"""),"DSE-COL-MOJ-1A-9")</f>
        <v>DSE-COL-MOJ-1A-9</v>
      </c>
      <c r="G128" s="18">
        <v>1.95</v>
      </c>
      <c r="H128" s="19"/>
      <c r="I128" s="19"/>
      <c r="J128" s="19" t="s">
        <v>272</v>
      </c>
      <c r="K128" s="19"/>
      <c r="L128" s="16">
        <v>1.0</v>
      </c>
      <c r="M128" s="16" t="s">
        <v>83</v>
      </c>
      <c r="N128" s="20">
        <v>1.95</v>
      </c>
      <c r="O128" s="21" t="s">
        <v>22</v>
      </c>
      <c r="P128" s="19"/>
      <c r="Q128" s="19"/>
      <c r="R128" s="19"/>
      <c r="S128" s="19"/>
      <c r="T128" s="19"/>
      <c r="U128" s="19"/>
      <c r="V128" s="19"/>
    </row>
    <row r="129">
      <c r="A129" s="15">
        <v>45909.0</v>
      </c>
      <c r="B129" s="16" t="s">
        <v>252</v>
      </c>
      <c r="C129" s="16" t="s">
        <v>64</v>
      </c>
      <c r="D129" s="16" t="s">
        <v>273</v>
      </c>
      <c r="E129" s="16" t="s">
        <v>19</v>
      </c>
      <c r="F129" s="17" t="str">
        <f>IFERROR(__xludf.DUMMYFUNCTION("""COMPUTED_VALUE"""),"DSE-AL-PC-1A")</f>
        <v>DSE-AL-PC-1A</v>
      </c>
      <c r="G129" s="18">
        <v>4.19</v>
      </c>
      <c r="H129" s="19"/>
      <c r="I129" s="19"/>
      <c r="J129" s="19" t="s">
        <v>274</v>
      </c>
      <c r="K129" s="19"/>
      <c r="L129" s="16">
        <v>1.0</v>
      </c>
      <c r="M129" s="16" t="s">
        <v>83</v>
      </c>
      <c r="N129" s="20">
        <v>4.19</v>
      </c>
      <c r="O129" s="21" t="s">
        <v>22</v>
      </c>
      <c r="P129" s="19"/>
      <c r="Q129" s="19"/>
      <c r="R129" s="19"/>
      <c r="S129" s="19"/>
      <c r="T129" s="19"/>
      <c r="U129" s="19"/>
      <c r="V129" s="19"/>
    </row>
    <row r="130">
      <c r="A130" s="15">
        <v>45909.0</v>
      </c>
      <c r="B130" s="16" t="s">
        <v>252</v>
      </c>
      <c r="C130" s="16" t="s">
        <v>64</v>
      </c>
      <c r="D130" s="16" t="s">
        <v>273</v>
      </c>
      <c r="E130" s="16" t="s">
        <v>71</v>
      </c>
      <c r="F130" s="17" t="str">
        <f>IFERROR(__xludf.DUMMYFUNCTION("""COMPUTED_VALUE"""),"DSE-AL-PC-1A-2")</f>
        <v>DSE-AL-PC-1A-2</v>
      </c>
      <c r="G130" s="18">
        <v>4.19</v>
      </c>
      <c r="H130" s="19"/>
      <c r="I130" s="19"/>
      <c r="J130" s="19" t="s">
        <v>275</v>
      </c>
      <c r="K130" s="19"/>
      <c r="L130" s="16">
        <v>1.0</v>
      </c>
      <c r="M130" s="16" t="s">
        <v>83</v>
      </c>
      <c r="N130" s="20">
        <v>4.19</v>
      </c>
      <c r="O130" s="21" t="s">
        <v>22</v>
      </c>
      <c r="P130" s="19"/>
      <c r="Q130" s="19"/>
      <c r="R130" s="19"/>
      <c r="S130" s="19"/>
      <c r="T130" s="19"/>
      <c r="U130" s="19"/>
      <c r="V130" s="19"/>
    </row>
    <row r="131">
      <c r="A131" s="15">
        <v>45909.0</v>
      </c>
      <c r="B131" s="16" t="s">
        <v>252</v>
      </c>
      <c r="C131" s="16" t="s">
        <v>64</v>
      </c>
      <c r="D131" s="16" t="s">
        <v>273</v>
      </c>
      <c r="E131" s="16" t="s">
        <v>129</v>
      </c>
      <c r="F131" s="17" t="str">
        <f>IFERROR(__xludf.DUMMYFUNCTION("""COMPUTED_VALUE"""),"DSE-AL-PC-1A-3")</f>
        <v>DSE-AL-PC-1A-3</v>
      </c>
      <c r="G131" s="18">
        <v>4.19</v>
      </c>
      <c r="H131" s="19"/>
      <c r="I131" s="19"/>
      <c r="J131" s="19" t="s">
        <v>276</v>
      </c>
      <c r="K131" s="19"/>
      <c r="L131" s="16">
        <v>1.0</v>
      </c>
      <c r="M131" s="16" t="s">
        <v>83</v>
      </c>
      <c r="N131" s="20">
        <v>4.19</v>
      </c>
      <c r="O131" s="21" t="s">
        <v>22</v>
      </c>
      <c r="P131" s="19"/>
      <c r="Q131" s="19"/>
      <c r="R131" s="19"/>
      <c r="S131" s="19"/>
      <c r="T131" s="19"/>
      <c r="U131" s="19"/>
      <c r="V131" s="19"/>
    </row>
    <row r="132">
      <c r="A132" s="15">
        <v>45909.0</v>
      </c>
      <c r="B132" s="16" t="s">
        <v>252</v>
      </c>
      <c r="C132" s="16" t="s">
        <v>64</v>
      </c>
      <c r="D132" s="16" t="s">
        <v>273</v>
      </c>
      <c r="E132" s="16" t="s">
        <v>143</v>
      </c>
      <c r="F132" s="17" t="str">
        <f>IFERROR(__xludf.DUMMYFUNCTION("""COMPUTED_VALUE"""),"DSE-AL-PC-1A-4")</f>
        <v>DSE-AL-PC-1A-4</v>
      </c>
      <c r="G132" s="18">
        <v>4.19</v>
      </c>
      <c r="H132" s="19"/>
      <c r="I132" s="19"/>
      <c r="J132" s="19" t="s">
        <v>277</v>
      </c>
      <c r="K132" s="19"/>
      <c r="L132" s="16">
        <v>1.0</v>
      </c>
      <c r="M132" s="16" t="s">
        <v>83</v>
      </c>
      <c r="N132" s="20">
        <v>4.19</v>
      </c>
      <c r="O132" s="21" t="s">
        <v>22</v>
      </c>
      <c r="P132" s="19"/>
      <c r="Q132" s="19"/>
      <c r="R132" s="19"/>
      <c r="S132" s="19"/>
      <c r="T132" s="19"/>
      <c r="U132" s="19"/>
      <c r="V132" s="19"/>
    </row>
    <row r="133">
      <c r="A133" s="15">
        <v>45909.0</v>
      </c>
      <c r="B133" s="16" t="s">
        <v>252</v>
      </c>
      <c r="C133" s="16" t="s">
        <v>278</v>
      </c>
      <c r="D133" s="16" t="s">
        <v>279</v>
      </c>
      <c r="E133" s="16" t="s">
        <v>19</v>
      </c>
      <c r="F133" s="17" t="str">
        <f>IFERROR(__xludf.DUMMYFUNCTION("""COMPUTED_VALUE"""),"DSE-PIP-CR-1A")</f>
        <v>DSE-PIP-CR-1A</v>
      </c>
      <c r="G133" s="18">
        <v>4.19</v>
      </c>
      <c r="H133" s="19"/>
      <c r="I133" s="19"/>
      <c r="J133" s="19" t="s">
        <v>280</v>
      </c>
      <c r="K133" s="19"/>
      <c r="L133" s="16">
        <v>1.0</v>
      </c>
      <c r="M133" s="16" t="s">
        <v>83</v>
      </c>
      <c r="N133" s="20">
        <v>4.19</v>
      </c>
      <c r="O133" s="21" t="s">
        <v>22</v>
      </c>
      <c r="P133" s="19"/>
      <c r="Q133" s="19"/>
      <c r="R133" s="19"/>
      <c r="S133" s="19"/>
      <c r="T133" s="19"/>
      <c r="U133" s="19"/>
      <c r="V133" s="19"/>
    </row>
    <row r="134">
      <c r="A134" s="15">
        <v>45909.0</v>
      </c>
      <c r="B134" s="16" t="s">
        <v>252</v>
      </c>
      <c r="C134" s="16" t="s">
        <v>278</v>
      </c>
      <c r="D134" s="16" t="s">
        <v>279</v>
      </c>
      <c r="E134" s="16" t="s">
        <v>71</v>
      </c>
      <c r="F134" s="17" t="str">
        <f>IFERROR(__xludf.DUMMYFUNCTION("""COMPUTED_VALUE"""),"DSE-PIP-CR-1A-2")</f>
        <v>DSE-PIP-CR-1A-2</v>
      </c>
      <c r="G134" s="18">
        <v>4.19</v>
      </c>
      <c r="H134" s="19"/>
      <c r="I134" s="19"/>
      <c r="J134" s="19" t="s">
        <v>281</v>
      </c>
      <c r="K134" s="19"/>
      <c r="L134" s="16">
        <v>1.0</v>
      </c>
      <c r="M134" s="16" t="s">
        <v>83</v>
      </c>
      <c r="N134" s="20">
        <v>4.19</v>
      </c>
      <c r="O134" s="21" t="s">
        <v>22</v>
      </c>
      <c r="P134" s="19"/>
      <c r="Q134" s="19"/>
      <c r="R134" s="19"/>
      <c r="S134" s="19"/>
      <c r="T134" s="19"/>
      <c r="U134" s="19"/>
      <c r="V134" s="19"/>
    </row>
    <row r="135">
      <c r="A135" s="15">
        <v>45909.0</v>
      </c>
      <c r="B135" s="16" t="s">
        <v>252</v>
      </c>
      <c r="C135" s="16" t="s">
        <v>278</v>
      </c>
      <c r="D135" s="16" t="s">
        <v>279</v>
      </c>
      <c r="E135" s="16" t="s">
        <v>129</v>
      </c>
      <c r="F135" s="17" t="str">
        <f>IFERROR(__xludf.DUMMYFUNCTION("""COMPUTED_VALUE"""),"DSE-PIP-CR-1A-3")</f>
        <v>DSE-PIP-CR-1A-3</v>
      </c>
      <c r="G135" s="18">
        <v>4.19</v>
      </c>
      <c r="H135" s="19"/>
      <c r="I135" s="19"/>
      <c r="J135" s="19" t="s">
        <v>282</v>
      </c>
      <c r="K135" s="19"/>
      <c r="L135" s="16">
        <v>1.0</v>
      </c>
      <c r="M135" s="16" t="s">
        <v>83</v>
      </c>
      <c r="N135" s="20">
        <v>4.19</v>
      </c>
      <c r="O135" s="21" t="s">
        <v>22</v>
      </c>
      <c r="P135" s="19"/>
      <c r="Q135" s="19"/>
      <c r="R135" s="19"/>
      <c r="S135" s="19"/>
      <c r="T135" s="19"/>
      <c r="U135" s="19"/>
      <c r="V135" s="19"/>
    </row>
    <row r="136">
      <c r="A136" s="15">
        <v>45909.0</v>
      </c>
      <c r="B136" s="16" t="s">
        <v>252</v>
      </c>
      <c r="C136" s="16" t="s">
        <v>64</v>
      </c>
      <c r="D136" s="16" t="s">
        <v>283</v>
      </c>
      <c r="E136" s="16" t="s">
        <v>19</v>
      </c>
      <c r="F136" s="17" t="str">
        <f>IFERROR(__xludf.DUMMYFUNCTION("""COMPUTED_VALUE"""),"DSE-AL-PO-1A")</f>
        <v>DSE-AL-PO-1A</v>
      </c>
      <c r="G136" s="18">
        <v>4.19</v>
      </c>
      <c r="H136" s="19"/>
      <c r="I136" s="19"/>
      <c r="J136" s="19" t="s">
        <v>284</v>
      </c>
      <c r="K136" s="16">
        <v>15.0</v>
      </c>
      <c r="L136" s="16">
        <v>1.0</v>
      </c>
      <c r="M136" s="16" t="s">
        <v>83</v>
      </c>
      <c r="N136" s="20">
        <v>4.19</v>
      </c>
      <c r="O136" s="21" t="s">
        <v>22</v>
      </c>
      <c r="P136" s="19"/>
      <c r="Q136" s="19"/>
      <c r="R136" s="19"/>
      <c r="S136" s="19"/>
      <c r="T136" s="19"/>
      <c r="U136" s="19"/>
      <c r="V136" s="19"/>
    </row>
    <row r="137">
      <c r="A137" s="15">
        <v>45909.0</v>
      </c>
      <c r="B137" s="16" t="s">
        <v>252</v>
      </c>
      <c r="C137" s="16" t="s">
        <v>64</v>
      </c>
      <c r="D137" s="16" t="s">
        <v>283</v>
      </c>
      <c r="E137" s="16" t="s">
        <v>71</v>
      </c>
      <c r="F137" s="17" t="str">
        <f>IFERROR(__xludf.DUMMYFUNCTION("""COMPUTED_VALUE"""),"DSE-AL-PO-1A-2")</f>
        <v>DSE-AL-PO-1A-2</v>
      </c>
      <c r="G137" s="18">
        <v>4.19</v>
      </c>
      <c r="H137" s="19"/>
      <c r="I137" s="19"/>
      <c r="J137" s="19" t="s">
        <v>285</v>
      </c>
      <c r="K137" s="16">
        <v>15.0</v>
      </c>
      <c r="L137" s="16">
        <v>1.0</v>
      </c>
      <c r="M137" s="16" t="s">
        <v>83</v>
      </c>
      <c r="N137" s="20">
        <v>4.19</v>
      </c>
      <c r="O137" s="21" t="s">
        <v>22</v>
      </c>
      <c r="P137" s="19"/>
      <c r="Q137" s="19"/>
      <c r="R137" s="19"/>
      <c r="S137" s="19"/>
      <c r="T137" s="19"/>
      <c r="U137" s="19"/>
      <c r="V137" s="19"/>
    </row>
    <row r="138">
      <c r="A138" s="15">
        <v>45909.0</v>
      </c>
      <c r="B138" s="16" t="s">
        <v>252</v>
      </c>
      <c r="C138" s="16" t="s">
        <v>64</v>
      </c>
      <c r="D138" s="16" t="s">
        <v>283</v>
      </c>
      <c r="E138" s="16" t="s">
        <v>129</v>
      </c>
      <c r="F138" s="17" t="str">
        <f>IFERROR(__xludf.DUMMYFUNCTION("""COMPUTED_VALUE"""),"DSE-AL-PO-1A-3")</f>
        <v>DSE-AL-PO-1A-3</v>
      </c>
      <c r="G138" s="18">
        <v>4.19</v>
      </c>
      <c r="H138" s="19"/>
      <c r="I138" s="19"/>
      <c r="J138" s="19" t="s">
        <v>286</v>
      </c>
      <c r="K138" s="16">
        <v>15.0</v>
      </c>
      <c r="L138" s="16">
        <v>1.0</v>
      </c>
      <c r="M138" s="16" t="s">
        <v>83</v>
      </c>
      <c r="N138" s="20">
        <v>4.19</v>
      </c>
      <c r="O138" s="21" t="s">
        <v>22</v>
      </c>
      <c r="P138" s="19"/>
      <c r="Q138" s="19"/>
      <c r="R138" s="19"/>
      <c r="S138" s="19"/>
      <c r="T138" s="19"/>
      <c r="U138" s="19"/>
      <c r="V138" s="19"/>
    </row>
    <row r="139">
      <c r="A139" s="15">
        <v>45909.0</v>
      </c>
      <c r="B139" s="16" t="s">
        <v>252</v>
      </c>
      <c r="C139" s="16" t="s">
        <v>64</v>
      </c>
      <c r="D139" s="16" t="s">
        <v>283</v>
      </c>
      <c r="E139" s="16" t="s">
        <v>143</v>
      </c>
      <c r="F139" s="17" t="str">
        <f>IFERROR(__xludf.DUMMYFUNCTION("""COMPUTED_VALUE"""),"DSE-AL-PO-1A-4")</f>
        <v>DSE-AL-PO-1A-4</v>
      </c>
      <c r="G139" s="18">
        <v>4.19</v>
      </c>
      <c r="H139" s="19"/>
      <c r="I139" s="19"/>
      <c r="J139" s="19" t="s">
        <v>287</v>
      </c>
      <c r="K139" s="16">
        <v>15.0</v>
      </c>
      <c r="L139" s="16">
        <v>1.0</v>
      </c>
      <c r="M139" s="16" t="s">
        <v>83</v>
      </c>
      <c r="N139" s="20">
        <v>4.19</v>
      </c>
      <c r="O139" s="21" t="s">
        <v>22</v>
      </c>
      <c r="P139" s="19"/>
      <c r="Q139" s="19"/>
      <c r="R139" s="19"/>
      <c r="S139" s="19"/>
      <c r="T139" s="19"/>
      <c r="U139" s="19"/>
      <c r="V139" s="19"/>
    </row>
    <row r="140">
      <c r="A140" s="15">
        <v>45909.0</v>
      </c>
      <c r="B140" s="16" t="s">
        <v>252</v>
      </c>
      <c r="C140" s="16" t="s">
        <v>26</v>
      </c>
      <c r="D140" s="16" t="s">
        <v>288</v>
      </c>
      <c r="E140" s="16" t="s">
        <v>19</v>
      </c>
      <c r="F140" s="17" t="str">
        <f>IFERROR(__xludf.DUMMYFUNCTION("""COMPUTED_VALUE"""),"DSE-PH-MF-1A")</f>
        <v>DSE-PH-MF-1A</v>
      </c>
      <c r="G140" s="18">
        <v>4.19</v>
      </c>
      <c r="H140" s="19"/>
      <c r="I140" s="19"/>
      <c r="J140" s="19" t="s">
        <v>289</v>
      </c>
      <c r="K140" s="16">
        <v>15.0</v>
      </c>
      <c r="L140" s="16">
        <v>1.0</v>
      </c>
      <c r="M140" s="16" t="s">
        <v>83</v>
      </c>
      <c r="N140" s="20">
        <v>4.19</v>
      </c>
      <c r="O140" s="21" t="s">
        <v>22</v>
      </c>
      <c r="P140" s="19"/>
      <c r="Q140" s="19"/>
      <c r="R140" s="19"/>
      <c r="S140" s="19"/>
      <c r="T140" s="19"/>
      <c r="U140" s="19"/>
      <c r="V140" s="19"/>
    </row>
    <row r="141">
      <c r="A141" s="15">
        <v>45909.0</v>
      </c>
      <c r="B141" s="16" t="s">
        <v>252</v>
      </c>
      <c r="C141" s="16" t="s">
        <v>26</v>
      </c>
      <c r="D141" s="16" t="s">
        <v>288</v>
      </c>
      <c r="E141" s="16" t="s">
        <v>71</v>
      </c>
      <c r="F141" s="17" t="str">
        <f>IFERROR(__xludf.DUMMYFUNCTION("""COMPUTED_VALUE"""),"DSE-PH-MF-1A-2")</f>
        <v>DSE-PH-MF-1A-2</v>
      </c>
      <c r="G141" s="18">
        <v>4.19</v>
      </c>
      <c r="H141" s="19"/>
      <c r="I141" s="19"/>
      <c r="J141" s="19" t="s">
        <v>290</v>
      </c>
      <c r="K141" s="16">
        <v>15.0</v>
      </c>
      <c r="L141" s="16">
        <v>1.0</v>
      </c>
      <c r="M141" s="16" t="s">
        <v>83</v>
      </c>
      <c r="N141" s="20">
        <v>4.19</v>
      </c>
      <c r="O141" s="21" t="s">
        <v>22</v>
      </c>
      <c r="P141" s="19"/>
      <c r="Q141" s="19"/>
      <c r="R141" s="19"/>
      <c r="S141" s="19"/>
      <c r="T141" s="19"/>
      <c r="U141" s="19"/>
      <c r="V141" s="19"/>
    </row>
    <row r="142">
      <c r="A142" s="15">
        <v>45909.0</v>
      </c>
      <c r="B142" s="16" t="s">
        <v>252</v>
      </c>
      <c r="C142" s="16" t="s">
        <v>26</v>
      </c>
      <c r="D142" s="16" t="s">
        <v>288</v>
      </c>
      <c r="E142" s="16" t="s">
        <v>129</v>
      </c>
      <c r="F142" s="17" t="str">
        <f>IFERROR(__xludf.DUMMYFUNCTION("""COMPUTED_VALUE"""),"DSE-PH-MF-1A-3")</f>
        <v>DSE-PH-MF-1A-3</v>
      </c>
      <c r="G142" s="18">
        <v>4.19</v>
      </c>
      <c r="H142" s="19"/>
      <c r="I142" s="19"/>
      <c r="J142" s="19" t="s">
        <v>291</v>
      </c>
      <c r="K142" s="16">
        <v>15.0</v>
      </c>
      <c r="L142" s="16">
        <v>1.0</v>
      </c>
      <c r="M142" s="16" t="s">
        <v>83</v>
      </c>
      <c r="N142" s="20">
        <v>4.19</v>
      </c>
      <c r="O142" s="21" t="s">
        <v>22</v>
      </c>
      <c r="P142" s="19"/>
      <c r="Q142" s="19"/>
      <c r="R142" s="19"/>
      <c r="S142" s="19"/>
      <c r="T142" s="19"/>
      <c r="U142" s="19"/>
      <c r="V142" s="19"/>
    </row>
    <row r="143">
      <c r="A143" s="15">
        <v>45909.0</v>
      </c>
      <c r="B143" s="16" t="s">
        <v>252</v>
      </c>
      <c r="C143" s="16" t="s">
        <v>26</v>
      </c>
      <c r="D143" s="16" t="s">
        <v>288</v>
      </c>
      <c r="E143" s="16" t="s">
        <v>143</v>
      </c>
      <c r="F143" s="17" t="str">
        <f>IFERROR(__xludf.DUMMYFUNCTION("""COMPUTED_VALUE"""),"DSE-PH-MF-1A-4")</f>
        <v>DSE-PH-MF-1A-4</v>
      </c>
      <c r="G143" s="18">
        <v>4.19</v>
      </c>
      <c r="H143" s="19"/>
      <c r="I143" s="19"/>
      <c r="J143" s="19" t="s">
        <v>292</v>
      </c>
      <c r="K143" s="16">
        <v>15.0</v>
      </c>
      <c r="L143" s="16">
        <v>1.0</v>
      </c>
      <c r="M143" s="16" t="s">
        <v>83</v>
      </c>
      <c r="N143" s="20">
        <v>4.19</v>
      </c>
      <c r="O143" s="21" t="s">
        <v>22</v>
      </c>
      <c r="P143" s="19"/>
      <c r="Q143" s="19"/>
      <c r="R143" s="19"/>
      <c r="S143" s="19"/>
      <c r="T143" s="19"/>
      <c r="U143" s="19"/>
      <c r="V143" s="19"/>
    </row>
    <row r="144">
      <c r="A144" s="15">
        <v>45909.0</v>
      </c>
      <c r="B144" s="16" t="s">
        <v>252</v>
      </c>
      <c r="C144" s="16" t="s">
        <v>26</v>
      </c>
      <c r="D144" s="16" t="s">
        <v>288</v>
      </c>
      <c r="E144" s="16" t="s">
        <v>145</v>
      </c>
      <c r="F144" s="17" t="str">
        <f>IFERROR(__xludf.DUMMYFUNCTION("""COMPUTED_VALUE"""),"DSE-PH-MF-1A-5")</f>
        <v>DSE-PH-MF-1A-5</v>
      </c>
      <c r="G144" s="18">
        <v>4.19</v>
      </c>
      <c r="H144" s="19"/>
      <c r="I144" s="19"/>
      <c r="J144" s="19" t="s">
        <v>293</v>
      </c>
      <c r="K144" s="16">
        <v>15.0</v>
      </c>
      <c r="L144" s="16">
        <v>1.0</v>
      </c>
      <c r="M144" s="16" t="s">
        <v>83</v>
      </c>
      <c r="N144" s="20">
        <v>4.19</v>
      </c>
      <c r="O144" s="21" t="s">
        <v>22</v>
      </c>
      <c r="P144" s="19"/>
      <c r="Q144" s="19"/>
      <c r="R144" s="19"/>
      <c r="S144" s="19"/>
      <c r="T144" s="19"/>
      <c r="U144" s="19"/>
      <c r="V144" s="19"/>
    </row>
    <row r="145">
      <c r="A145" s="15">
        <v>45909.0</v>
      </c>
      <c r="B145" s="16" t="s">
        <v>252</v>
      </c>
      <c r="C145" s="16" t="s">
        <v>26</v>
      </c>
      <c r="D145" s="16" t="s">
        <v>288</v>
      </c>
      <c r="E145" s="16" t="s">
        <v>265</v>
      </c>
      <c r="F145" s="17" t="str">
        <f>IFERROR(__xludf.DUMMYFUNCTION("""COMPUTED_VALUE"""),"DSE-PH-MF-1A-6")</f>
        <v>DSE-PH-MF-1A-6</v>
      </c>
      <c r="G145" s="18">
        <v>4.19</v>
      </c>
      <c r="H145" s="19"/>
      <c r="I145" s="19"/>
      <c r="J145" s="19" t="s">
        <v>294</v>
      </c>
      <c r="K145" s="16">
        <v>15.0</v>
      </c>
      <c r="L145" s="16">
        <v>1.0</v>
      </c>
      <c r="M145" s="16" t="s">
        <v>83</v>
      </c>
      <c r="N145" s="20">
        <v>4.19</v>
      </c>
      <c r="O145" s="21" t="s">
        <v>22</v>
      </c>
      <c r="P145" s="19"/>
      <c r="Q145" s="19"/>
      <c r="R145" s="19"/>
      <c r="S145" s="19"/>
      <c r="T145" s="19"/>
      <c r="U145" s="19"/>
      <c r="V145" s="19"/>
    </row>
    <row r="146">
      <c r="A146" s="15">
        <v>45909.0</v>
      </c>
      <c r="B146" s="16" t="s">
        <v>252</v>
      </c>
      <c r="C146" s="16" t="s">
        <v>26</v>
      </c>
      <c r="D146" s="16" t="s">
        <v>288</v>
      </c>
      <c r="E146" s="16" t="s">
        <v>267</v>
      </c>
      <c r="F146" s="17" t="str">
        <f>IFERROR(__xludf.DUMMYFUNCTION("""COMPUTED_VALUE"""),"DSE-PH-MF-1A-7")</f>
        <v>DSE-PH-MF-1A-7</v>
      </c>
      <c r="G146" s="18">
        <v>4.19</v>
      </c>
      <c r="H146" s="19"/>
      <c r="I146" s="19"/>
      <c r="J146" s="19" t="s">
        <v>295</v>
      </c>
      <c r="K146" s="16">
        <v>15.0</v>
      </c>
      <c r="L146" s="16">
        <v>1.0</v>
      </c>
      <c r="M146" s="16" t="s">
        <v>83</v>
      </c>
      <c r="N146" s="20">
        <v>4.19</v>
      </c>
      <c r="O146" s="21" t="s">
        <v>22</v>
      </c>
      <c r="P146" s="19"/>
      <c r="Q146" s="19"/>
      <c r="R146" s="19"/>
      <c r="S146" s="19"/>
      <c r="T146" s="19"/>
      <c r="U146" s="19"/>
      <c r="V146" s="19"/>
    </row>
    <row r="147">
      <c r="A147" s="15">
        <v>45909.0</v>
      </c>
      <c r="B147" s="16" t="s">
        <v>252</v>
      </c>
      <c r="C147" s="16" t="s">
        <v>26</v>
      </c>
      <c r="D147" s="16" t="s">
        <v>288</v>
      </c>
      <c r="E147" s="16" t="s">
        <v>269</v>
      </c>
      <c r="F147" s="17" t="str">
        <f>IFERROR(__xludf.DUMMYFUNCTION("""COMPUTED_VALUE"""),"DSE-PH-MF-1A-8")</f>
        <v>DSE-PH-MF-1A-8</v>
      </c>
      <c r="G147" s="18">
        <v>4.19</v>
      </c>
      <c r="H147" s="19"/>
      <c r="I147" s="19"/>
      <c r="J147" s="19" t="s">
        <v>296</v>
      </c>
      <c r="K147" s="16">
        <v>15.0</v>
      </c>
      <c r="L147" s="16">
        <v>1.0</v>
      </c>
      <c r="M147" s="16" t="s">
        <v>83</v>
      </c>
      <c r="N147" s="20">
        <v>4.19</v>
      </c>
      <c r="O147" s="21" t="s">
        <v>22</v>
      </c>
      <c r="P147" s="19"/>
      <c r="Q147" s="19"/>
      <c r="R147" s="19"/>
      <c r="S147" s="19"/>
      <c r="T147" s="19"/>
      <c r="U147" s="19"/>
      <c r="V147" s="19"/>
    </row>
    <row r="148">
      <c r="A148" s="15">
        <v>45909.0</v>
      </c>
      <c r="B148" s="16" t="s">
        <v>252</v>
      </c>
      <c r="C148" s="16" t="s">
        <v>26</v>
      </c>
      <c r="D148" s="16" t="s">
        <v>288</v>
      </c>
      <c r="E148" s="16" t="s">
        <v>271</v>
      </c>
      <c r="F148" s="17" t="str">
        <f>IFERROR(__xludf.DUMMYFUNCTION("""COMPUTED_VALUE"""),"DSE-PH-MF-1A-9")</f>
        <v>DSE-PH-MF-1A-9</v>
      </c>
      <c r="G148" s="18">
        <v>4.19</v>
      </c>
      <c r="H148" s="19"/>
      <c r="I148" s="19"/>
      <c r="J148" s="19" t="s">
        <v>297</v>
      </c>
      <c r="K148" s="16">
        <v>15.0</v>
      </c>
      <c r="L148" s="16">
        <v>1.0</v>
      </c>
      <c r="M148" s="16" t="s">
        <v>83</v>
      </c>
      <c r="N148" s="20">
        <v>4.19</v>
      </c>
      <c r="O148" s="21" t="s">
        <v>22</v>
      </c>
      <c r="P148" s="19"/>
      <c r="Q148" s="19"/>
      <c r="R148" s="19"/>
      <c r="S148" s="19"/>
      <c r="T148" s="19"/>
      <c r="U148" s="19"/>
      <c r="V148" s="19"/>
    </row>
    <row r="149">
      <c r="A149" s="15">
        <v>45909.0</v>
      </c>
      <c r="B149" s="16" t="s">
        <v>252</v>
      </c>
      <c r="C149" s="16" t="s">
        <v>26</v>
      </c>
      <c r="D149" s="16" t="s">
        <v>288</v>
      </c>
      <c r="E149" s="16" t="s">
        <v>298</v>
      </c>
      <c r="F149" s="17" t="str">
        <f>IFERROR(__xludf.DUMMYFUNCTION("""COMPUTED_VALUE"""),"DSE-PH-MF-1A-10")</f>
        <v>DSE-PH-MF-1A-10</v>
      </c>
      <c r="G149" s="18">
        <v>4.19</v>
      </c>
      <c r="H149" s="19"/>
      <c r="I149" s="19"/>
      <c r="J149" s="19" t="s">
        <v>299</v>
      </c>
      <c r="K149" s="16">
        <v>15.0</v>
      </c>
      <c r="L149" s="16">
        <v>1.0</v>
      </c>
      <c r="M149" s="16" t="s">
        <v>83</v>
      </c>
      <c r="N149" s="20">
        <v>4.19</v>
      </c>
      <c r="O149" s="21" t="s">
        <v>22</v>
      </c>
      <c r="P149" s="19"/>
      <c r="Q149" s="19"/>
      <c r="R149" s="19"/>
      <c r="S149" s="19"/>
      <c r="T149" s="19"/>
      <c r="U149" s="19"/>
      <c r="V149" s="19"/>
    </row>
    <row r="150">
      <c r="A150" s="15">
        <v>45909.0</v>
      </c>
      <c r="B150" s="16" t="s">
        <v>252</v>
      </c>
      <c r="C150" s="16" t="s">
        <v>26</v>
      </c>
      <c r="D150" s="16" t="s">
        <v>288</v>
      </c>
      <c r="E150" s="16" t="s">
        <v>300</v>
      </c>
      <c r="F150" s="17" t="str">
        <f>IFERROR(__xludf.DUMMYFUNCTION("""COMPUTED_VALUE"""),"DSE-PH-MF-1A-11")</f>
        <v>DSE-PH-MF-1A-11</v>
      </c>
      <c r="G150" s="18">
        <v>4.19</v>
      </c>
      <c r="H150" s="19"/>
      <c r="I150" s="19"/>
      <c r="J150" s="19" t="s">
        <v>301</v>
      </c>
      <c r="K150" s="16">
        <v>15.0</v>
      </c>
      <c r="L150" s="16">
        <v>1.0</v>
      </c>
      <c r="M150" s="16" t="s">
        <v>83</v>
      </c>
      <c r="N150" s="20">
        <v>4.19</v>
      </c>
      <c r="O150" s="21" t="s">
        <v>22</v>
      </c>
      <c r="P150" s="19"/>
      <c r="Q150" s="19"/>
      <c r="R150" s="19"/>
      <c r="S150" s="19"/>
      <c r="T150" s="19"/>
      <c r="U150" s="19"/>
      <c r="V150" s="19"/>
    </row>
    <row r="151">
      <c r="A151" s="15">
        <v>45909.0</v>
      </c>
      <c r="B151" s="16" t="s">
        <v>252</v>
      </c>
      <c r="C151" s="16" t="s">
        <v>26</v>
      </c>
      <c r="D151" s="16" t="s">
        <v>288</v>
      </c>
      <c r="E151" s="16" t="s">
        <v>302</v>
      </c>
      <c r="F151" s="17" t="str">
        <f>IFERROR(__xludf.DUMMYFUNCTION("""COMPUTED_VALUE"""),"DSE-PH-MF-1A-12")</f>
        <v>DSE-PH-MF-1A-12</v>
      </c>
      <c r="G151" s="18">
        <v>4.19</v>
      </c>
      <c r="H151" s="19"/>
      <c r="I151" s="19"/>
      <c r="J151" s="19" t="s">
        <v>303</v>
      </c>
      <c r="K151" s="16">
        <v>15.0</v>
      </c>
      <c r="L151" s="16">
        <v>1.0</v>
      </c>
      <c r="M151" s="16" t="s">
        <v>83</v>
      </c>
      <c r="N151" s="20">
        <v>4.19</v>
      </c>
      <c r="O151" s="21" t="s">
        <v>22</v>
      </c>
      <c r="P151" s="19"/>
      <c r="Q151" s="19"/>
      <c r="R151" s="19"/>
      <c r="S151" s="19"/>
      <c r="T151" s="19"/>
      <c r="U151" s="19"/>
      <c r="V151" s="19"/>
    </row>
    <row r="152">
      <c r="A152" s="15">
        <v>45909.0</v>
      </c>
      <c r="B152" s="16" t="s">
        <v>252</v>
      </c>
      <c r="C152" s="16" t="s">
        <v>26</v>
      </c>
      <c r="D152" s="16" t="s">
        <v>304</v>
      </c>
      <c r="E152" s="16" t="s">
        <v>19</v>
      </c>
      <c r="F152" s="17" t="str">
        <f>IFERROR(__xludf.DUMMYFUNCTION("""COMPUTED_VALUE"""),"DSE-PH-RK-1A")</f>
        <v>DSE-PH-RK-1A</v>
      </c>
      <c r="G152" s="18">
        <v>4.19</v>
      </c>
      <c r="H152" s="19"/>
      <c r="I152" s="19"/>
      <c r="J152" s="19" t="s">
        <v>305</v>
      </c>
      <c r="K152" s="19"/>
      <c r="L152" s="16">
        <v>1.0</v>
      </c>
      <c r="M152" s="16" t="s">
        <v>83</v>
      </c>
      <c r="N152" s="20">
        <v>4.19</v>
      </c>
      <c r="O152" s="21" t="s">
        <v>22</v>
      </c>
      <c r="P152" s="19"/>
      <c r="Q152" s="19"/>
      <c r="R152" s="19"/>
      <c r="S152" s="19"/>
      <c r="T152" s="19"/>
      <c r="U152" s="19"/>
      <c r="V152" s="19"/>
    </row>
    <row r="153">
      <c r="A153" s="15">
        <v>45909.0</v>
      </c>
      <c r="B153" s="16" t="s">
        <v>252</v>
      </c>
      <c r="C153" s="16" t="s">
        <v>26</v>
      </c>
      <c r="D153" s="16" t="s">
        <v>304</v>
      </c>
      <c r="E153" s="16" t="s">
        <v>71</v>
      </c>
      <c r="F153" s="17" t="str">
        <f>IFERROR(__xludf.DUMMYFUNCTION("""COMPUTED_VALUE"""),"DSE-PH-RK-1A-2")</f>
        <v>DSE-PH-RK-1A-2</v>
      </c>
      <c r="G153" s="18">
        <v>4.19</v>
      </c>
      <c r="H153" s="19"/>
      <c r="I153" s="19"/>
      <c r="J153" s="19" t="s">
        <v>306</v>
      </c>
      <c r="K153" s="19"/>
      <c r="L153" s="16">
        <v>1.0</v>
      </c>
      <c r="M153" s="16" t="s">
        <v>83</v>
      </c>
      <c r="N153" s="20">
        <v>4.19</v>
      </c>
      <c r="O153" s="21" t="s">
        <v>22</v>
      </c>
      <c r="P153" s="19"/>
      <c r="Q153" s="19"/>
      <c r="R153" s="19"/>
      <c r="S153" s="19"/>
      <c r="T153" s="19"/>
      <c r="U153" s="19"/>
      <c r="V153" s="19"/>
    </row>
    <row r="154">
      <c r="A154" s="15">
        <v>45909.0</v>
      </c>
      <c r="B154" s="16" t="s">
        <v>252</v>
      </c>
      <c r="C154" s="16" t="s">
        <v>26</v>
      </c>
      <c r="D154" s="16" t="s">
        <v>304</v>
      </c>
      <c r="E154" s="16" t="s">
        <v>129</v>
      </c>
      <c r="F154" s="17" t="str">
        <f>IFERROR(__xludf.DUMMYFUNCTION("""COMPUTED_VALUE"""),"DSE-PH-RK-1A-3")</f>
        <v>DSE-PH-RK-1A-3</v>
      </c>
      <c r="G154" s="18">
        <v>4.19</v>
      </c>
      <c r="H154" s="19"/>
      <c r="I154" s="19"/>
      <c r="J154" s="19" t="s">
        <v>307</v>
      </c>
      <c r="K154" s="19"/>
      <c r="L154" s="16">
        <v>1.0</v>
      </c>
      <c r="M154" s="16" t="s">
        <v>83</v>
      </c>
      <c r="N154" s="20">
        <v>4.19</v>
      </c>
      <c r="O154" s="21" t="s">
        <v>22</v>
      </c>
      <c r="P154" s="19"/>
      <c r="Q154" s="19"/>
      <c r="R154" s="19"/>
      <c r="S154" s="19"/>
      <c r="T154" s="19"/>
      <c r="U154" s="19"/>
      <c r="V154" s="19"/>
    </row>
    <row r="155">
      <c r="A155" s="15">
        <v>45909.0</v>
      </c>
      <c r="B155" s="16" t="s">
        <v>252</v>
      </c>
      <c r="C155" s="16" t="s">
        <v>26</v>
      </c>
      <c r="D155" s="16" t="s">
        <v>304</v>
      </c>
      <c r="E155" s="16" t="s">
        <v>143</v>
      </c>
      <c r="F155" s="17" t="str">
        <f>IFERROR(__xludf.DUMMYFUNCTION("""COMPUTED_VALUE"""),"DSE-PH-RK-1A-4")</f>
        <v>DSE-PH-RK-1A-4</v>
      </c>
      <c r="G155" s="18">
        <v>4.19</v>
      </c>
      <c r="H155" s="19"/>
      <c r="I155" s="19"/>
      <c r="J155" s="19" t="s">
        <v>308</v>
      </c>
      <c r="K155" s="19"/>
      <c r="L155" s="16">
        <v>1.0</v>
      </c>
      <c r="M155" s="16" t="s">
        <v>83</v>
      </c>
      <c r="N155" s="20">
        <v>4.19</v>
      </c>
      <c r="O155" s="21" t="s">
        <v>22</v>
      </c>
      <c r="P155" s="19"/>
      <c r="Q155" s="19"/>
      <c r="R155" s="19"/>
      <c r="S155" s="19"/>
      <c r="T155" s="19"/>
      <c r="U155" s="19"/>
      <c r="V155" s="19"/>
    </row>
    <row r="156">
      <c r="A156" s="15">
        <v>45909.0</v>
      </c>
      <c r="B156" s="16" t="s">
        <v>252</v>
      </c>
      <c r="C156" s="16" t="s">
        <v>26</v>
      </c>
      <c r="D156" s="16" t="s">
        <v>304</v>
      </c>
      <c r="E156" s="16" t="s">
        <v>145</v>
      </c>
      <c r="F156" s="17" t="str">
        <f>IFERROR(__xludf.DUMMYFUNCTION("""COMPUTED_VALUE"""),"DSE-PH-RK-1A-5")</f>
        <v>DSE-PH-RK-1A-5</v>
      </c>
      <c r="G156" s="18">
        <v>4.19</v>
      </c>
      <c r="H156" s="19"/>
      <c r="I156" s="19"/>
      <c r="J156" s="19" t="s">
        <v>309</v>
      </c>
      <c r="K156" s="19"/>
      <c r="L156" s="16">
        <v>1.0</v>
      </c>
      <c r="M156" s="16" t="s">
        <v>83</v>
      </c>
      <c r="N156" s="20">
        <v>4.19</v>
      </c>
      <c r="O156" s="21" t="s">
        <v>22</v>
      </c>
      <c r="P156" s="19"/>
      <c r="Q156" s="19"/>
      <c r="R156" s="19"/>
      <c r="S156" s="19"/>
      <c r="T156" s="19"/>
      <c r="U156" s="19"/>
      <c r="V156" s="19"/>
    </row>
    <row r="157">
      <c r="A157" s="15">
        <v>45909.0</v>
      </c>
      <c r="B157" s="16" t="s">
        <v>252</v>
      </c>
      <c r="C157" s="16" t="s">
        <v>26</v>
      </c>
      <c r="D157" s="16" t="s">
        <v>304</v>
      </c>
      <c r="E157" s="16" t="s">
        <v>265</v>
      </c>
      <c r="F157" s="17" t="str">
        <f>IFERROR(__xludf.DUMMYFUNCTION("""COMPUTED_VALUE"""),"DSE-PH-RK-1A-6")</f>
        <v>DSE-PH-RK-1A-6</v>
      </c>
      <c r="G157" s="18">
        <v>4.19</v>
      </c>
      <c r="H157" s="19"/>
      <c r="I157" s="19"/>
      <c r="J157" s="19" t="s">
        <v>310</v>
      </c>
      <c r="K157" s="19"/>
      <c r="L157" s="16">
        <v>1.0</v>
      </c>
      <c r="M157" s="16" t="s">
        <v>83</v>
      </c>
      <c r="N157" s="20">
        <v>4.19</v>
      </c>
      <c r="O157" s="21" t="s">
        <v>22</v>
      </c>
      <c r="P157" s="19"/>
      <c r="Q157" s="19"/>
      <c r="R157" s="19"/>
      <c r="S157" s="19"/>
      <c r="T157" s="19"/>
      <c r="U157" s="19"/>
      <c r="V157" s="19"/>
    </row>
    <row r="158">
      <c r="A158" s="15">
        <v>45909.0</v>
      </c>
      <c r="B158" s="16" t="s">
        <v>311</v>
      </c>
      <c r="C158" s="16" t="s">
        <v>64</v>
      </c>
      <c r="D158" s="16" t="s">
        <v>312</v>
      </c>
      <c r="E158" s="16" t="s">
        <v>19</v>
      </c>
      <c r="F158" s="17" t="str">
        <f>IFERROR(__xludf.DUMMYFUNCTION("""COMPUTED_VALUE"""),"AGP-AL-NI-1A")</f>
        <v>AGP-AL-NI-1A</v>
      </c>
      <c r="G158" s="18">
        <v>8.0</v>
      </c>
      <c r="H158" s="19"/>
      <c r="I158" s="19"/>
      <c r="J158" s="19" t="s">
        <v>313</v>
      </c>
      <c r="K158" s="16">
        <v>15.0</v>
      </c>
      <c r="L158" s="16">
        <v>1.0</v>
      </c>
      <c r="M158" s="19"/>
      <c r="N158" s="20">
        <v>8.0</v>
      </c>
      <c r="O158" s="21" t="s">
        <v>22</v>
      </c>
      <c r="P158" s="19"/>
      <c r="Q158" s="19"/>
      <c r="R158" s="19"/>
      <c r="S158" s="19"/>
      <c r="T158" s="19"/>
      <c r="U158" s="19"/>
      <c r="V158" s="19"/>
    </row>
    <row r="159">
      <c r="A159" s="15">
        <v>45909.0</v>
      </c>
      <c r="B159" s="16" t="s">
        <v>311</v>
      </c>
      <c r="C159" s="16" t="s">
        <v>64</v>
      </c>
      <c r="D159" s="16" t="s">
        <v>312</v>
      </c>
      <c r="E159" s="16" t="s">
        <v>71</v>
      </c>
      <c r="F159" s="17" t="str">
        <f>IFERROR(__xludf.DUMMYFUNCTION("""COMPUTED_VALUE"""),"AGP-AL-NI-1A-2")</f>
        <v>AGP-AL-NI-1A-2</v>
      </c>
      <c r="G159" s="18">
        <v>8.0</v>
      </c>
      <c r="H159" s="19"/>
      <c r="I159" s="19"/>
      <c r="J159" s="19" t="s">
        <v>314</v>
      </c>
      <c r="K159" s="16">
        <v>15.0</v>
      </c>
      <c r="L159" s="16">
        <v>1.0</v>
      </c>
      <c r="M159" s="19"/>
      <c r="N159" s="20">
        <v>8.0</v>
      </c>
      <c r="O159" s="21" t="s">
        <v>22</v>
      </c>
      <c r="P159" s="19"/>
      <c r="Q159" s="19"/>
      <c r="R159" s="19"/>
      <c r="S159" s="19"/>
      <c r="T159" s="19"/>
      <c r="U159" s="19"/>
      <c r="V159" s="19"/>
    </row>
    <row r="160">
      <c r="A160" s="15">
        <v>45909.0</v>
      </c>
      <c r="B160" s="16" t="s">
        <v>311</v>
      </c>
      <c r="C160" s="16" t="s">
        <v>64</v>
      </c>
      <c r="D160" s="16" t="s">
        <v>312</v>
      </c>
      <c r="E160" s="16" t="s">
        <v>129</v>
      </c>
      <c r="F160" s="17" t="str">
        <f>IFERROR(__xludf.DUMMYFUNCTION("""COMPUTED_VALUE"""),"AGP-AL-NI-1A-3")</f>
        <v>AGP-AL-NI-1A-3</v>
      </c>
      <c r="G160" s="18">
        <v>8.0</v>
      </c>
      <c r="H160" s="19"/>
      <c r="I160" s="19"/>
      <c r="J160" s="19" t="s">
        <v>315</v>
      </c>
      <c r="K160" s="16">
        <v>15.0</v>
      </c>
      <c r="L160" s="16">
        <v>1.0</v>
      </c>
      <c r="M160" s="19"/>
      <c r="N160" s="20">
        <v>8.0</v>
      </c>
      <c r="O160" s="21" t="s">
        <v>22</v>
      </c>
      <c r="P160" s="19"/>
      <c r="Q160" s="19"/>
      <c r="R160" s="19"/>
      <c r="S160" s="19"/>
      <c r="T160" s="19"/>
      <c r="U160" s="19"/>
      <c r="V160" s="19"/>
    </row>
    <row r="161">
      <c r="A161" s="15">
        <v>45909.0</v>
      </c>
      <c r="B161" s="16" t="s">
        <v>311</v>
      </c>
      <c r="C161" s="16" t="s">
        <v>243</v>
      </c>
      <c r="D161" s="16" t="s">
        <v>259</v>
      </c>
      <c r="E161" s="16" t="s">
        <v>19</v>
      </c>
      <c r="F161" s="17" t="str">
        <f>IFERROR(__xludf.DUMMYFUNCTION("""COMPUTED_VALUE"""),"AGP-COL-MOJ-1A")</f>
        <v>AGP-COL-MOJ-1A</v>
      </c>
      <c r="G161" s="18">
        <v>8.0</v>
      </c>
      <c r="H161" s="19"/>
      <c r="I161" s="19"/>
      <c r="J161" s="19" t="s">
        <v>316</v>
      </c>
      <c r="K161" s="16">
        <v>20.0</v>
      </c>
      <c r="L161" s="16">
        <v>1.0</v>
      </c>
      <c r="M161" s="19"/>
      <c r="N161" s="20">
        <v>8.0</v>
      </c>
      <c r="O161" s="21" t="s">
        <v>22</v>
      </c>
      <c r="P161" s="19"/>
      <c r="Q161" s="19"/>
      <c r="R161" s="19"/>
      <c r="S161" s="19"/>
      <c r="T161" s="19"/>
      <c r="U161" s="19"/>
      <c r="V161" s="19"/>
    </row>
    <row r="162">
      <c r="A162" s="15">
        <v>45909.0</v>
      </c>
      <c r="B162" s="16" t="s">
        <v>311</v>
      </c>
      <c r="C162" s="16" t="s">
        <v>243</v>
      </c>
      <c r="D162" s="16" t="s">
        <v>259</v>
      </c>
      <c r="E162" s="16" t="s">
        <v>71</v>
      </c>
      <c r="F162" s="17" t="str">
        <f>IFERROR(__xludf.DUMMYFUNCTION("""COMPUTED_VALUE"""),"AGP-COL-MOJ-1A-2")</f>
        <v>AGP-COL-MOJ-1A-2</v>
      </c>
      <c r="G162" s="18">
        <v>8.0</v>
      </c>
      <c r="H162" s="19"/>
      <c r="I162" s="19"/>
      <c r="J162" s="19" t="s">
        <v>317</v>
      </c>
      <c r="K162" s="16">
        <v>20.0</v>
      </c>
      <c r="L162" s="16">
        <v>1.0</v>
      </c>
      <c r="M162" s="19"/>
      <c r="N162" s="20">
        <v>8.0</v>
      </c>
      <c r="O162" s="21" t="s">
        <v>22</v>
      </c>
      <c r="P162" s="19"/>
      <c r="Q162" s="19"/>
      <c r="R162" s="19"/>
      <c r="S162" s="19"/>
      <c r="T162" s="19"/>
      <c r="U162" s="19"/>
      <c r="V162" s="19"/>
    </row>
    <row r="163">
      <c r="A163" s="15">
        <v>45909.0</v>
      </c>
      <c r="B163" s="16" t="s">
        <v>311</v>
      </c>
      <c r="C163" s="16" t="s">
        <v>243</v>
      </c>
      <c r="D163" s="16" t="s">
        <v>259</v>
      </c>
      <c r="E163" s="16" t="s">
        <v>129</v>
      </c>
      <c r="F163" s="17" t="str">
        <f>IFERROR(__xludf.DUMMYFUNCTION("""COMPUTED_VALUE"""),"AGP-COL-MOJ-1A-3")</f>
        <v>AGP-COL-MOJ-1A-3</v>
      </c>
      <c r="G163" s="18">
        <v>8.0</v>
      </c>
      <c r="H163" s="19"/>
      <c r="I163" s="19"/>
      <c r="J163" s="19" t="s">
        <v>318</v>
      </c>
      <c r="K163" s="16">
        <v>20.0</v>
      </c>
      <c r="L163" s="16">
        <v>1.0</v>
      </c>
      <c r="M163" s="19"/>
      <c r="N163" s="20">
        <v>8.0</v>
      </c>
      <c r="O163" s="21" t="s">
        <v>22</v>
      </c>
      <c r="P163" s="19"/>
      <c r="Q163" s="19"/>
      <c r="R163" s="19"/>
      <c r="S163" s="19"/>
      <c r="T163" s="19"/>
      <c r="U163" s="19"/>
      <c r="V163" s="19"/>
    </row>
    <row r="164">
      <c r="A164" s="15">
        <v>45909.0</v>
      </c>
      <c r="B164" s="16" t="s">
        <v>311</v>
      </c>
      <c r="C164" s="16" t="s">
        <v>26</v>
      </c>
      <c r="D164" s="16" t="s">
        <v>319</v>
      </c>
      <c r="E164" s="16" t="s">
        <v>19</v>
      </c>
      <c r="F164" s="17" t="str">
        <f>IFERROR(__xludf.DUMMYFUNCTION("""COMPUTED_VALUE"""),"AGP-PH-TS-1A")</f>
        <v>AGP-PH-TS-1A</v>
      </c>
      <c r="G164" s="18">
        <v>28.0</v>
      </c>
      <c r="H164" s="19"/>
      <c r="I164" s="19"/>
      <c r="J164" s="19" t="s">
        <v>320</v>
      </c>
      <c r="K164" s="16">
        <v>60.0</v>
      </c>
      <c r="L164" s="16">
        <v>1.0</v>
      </c>
      <c r="M164" s="19"/>
      <c r="N164" s="20">
        <v>28.0</v>
      </c>
      <c r="O164" s="21" t="s">
        <v>22</v>
      </c>
      <c r="P164" s="19"/>
      <c r="Q164" s="19"/>
      <c r="R164" s="19"/>
      <c r="S164" s="19"/>
      <c r="T164" s="19"/>
      <c r="U164" s="19"/>
      <c r="V164" s="19"/>
    </row>
    <row r="165">
      <c r="A165" s="15">
        <v>45909.0</v>
      </c>
      <c r="B165" s="16" t="s">
        <v>311</v>
      </c>
      <c r="C165" s="16" t="s">
        <v>26</v>
      </c>
      <c r="D165" s="16" t="s">
        <v>321</v>
      </c>
      <c r="E165" s="16" t="s">
        <v>19</v>
      </c>
      <c r="F165" s="17" t="str">
        <f>IFERROR(__xludf.DUMMYFUNCTION("""COMPUTED_VALUE"""),"AGP-PH-OM-1A")</f>
        <v>AGP-PH-OM-1A</v>
      </c>
      <c r="G165" s="18">
        <v>18.0</v>
      </c>
      <c r="H165" s="19"/>
      <c r="I165" s="19"/>
      <c r="J165" s="19" t="s">
        <v>322</v>
      </c>
      <c r="K165" s="16">
        <v>29.0</v>
      </c>
      <c r="L165" s="16">
        <v>1.0</v>
      </c>
      <c r="M165" s="19"/>
      <c r="N165" s="20">
        <v>18.0</v>
      </c>
      <c r="O165" s="21" t="s">
        <v>22</v>
      </c>
      <c r="P165" s="19"/>
      <c r="Q165" s="19"/>
      <c r="R165" s="19"/>
      <c r="S165" s="19"/>
      <c r="T165" s="19"/>
      <c r="U165" s="19"/>
      <c r="V165" s="19"/>
    </row>
    <row r="166">
      <c r="A166" s="15">
        <v>45909.0</v>
      </c>
      <c r="B166" s="16" t="s">
        <v>311</v>
      </c>
      <c r="C166" s="16" t="s">
        <v>26</v>
      </c>
      <c r="D166" s="16" t="s">
        <v>323</v>
      </c>
      <c r="E166" s="16" t="s">
        <v>19</v>
      </c>
      <c r="F166" s="17" t="str">
        <f>IFERROR(__xludf.DUMMYFUNCTION("""COMPUTED_VALUE"""),"AGP-PH-BC-1A")</f>
        <v>AGP-PH-BC-1A</v>
      </c>
      <c r="G166" s="18">
        <v>6.0</v>
      </c>
      <c r="H166" s="19"/>
      <c r="I166" s="19"/>
      <c r="J166" s="19" t="s">
        <v>324</v>
      </c>
      <c r="K166" s="16">
        <v>18.0</v>
      </c>
      <c r="L166" s="16">
        <v>1.0</v>
      </c>
      <c r="M166" s="19"/>
      <c r="N166" s="20">
        <v>6.0</v>
      </c>
      <c r="O166" s="21" t="s">
        <v>22</v>
      </c>
      <c r="P166" s="19"/>
      <c r="Q166" s="19"/>
      <c r="R166" s="19"/>
      <c r="S166" s="19"/>
      <c r="T166" s="19"/>
      <c r="U166" s="19"/>
      <c r="V166" s="19"/>
    </row>
    <row r="167">
      <c r="A167" s="15">
        <v>45909.0</v>
      </c>
      <c r="B167" s="16" t="s">
        <v>311</v>
      </c>
      <c r="C167" s="16" t="s">
        <v>26</v>
      </c>
      <c r="D167" s="16" t="s">
        <v>323</v>
      </c>
      <c r="E167" s="16" t="s">
        <v>71</v>
      </c>
      <c r="F167" s="17" t="str">
        <f>IFERROR(__xludf.DUMMYFUNCTION("""COMPUTED_VALUE"""),"AGP-PH-BC-1A-2")</f>
        <v>AGP-PH-BC-1A-2</v>
      </c>
      <c r="G167" s="18">
        <v>6.0</v>
      </c>
      <c r="H167" s="19"/>
      <c r="I167" s="19"/>
      <c r="J167" s="19" t="s">
        <v>325</v>
      </c>
      <c r="K167" s="16">
        <v>18.0</v>
      </c>
      <c r="L167" s="16">
        <v>1.0</v>
      </c>
      <c r="M167" s="19"/>
      <c r="N167" s="20">
        <v>6.0</v>
      </c>
      <c r="O167" s="21" t="s">
        <v>22</v>
      </c>
      <c r="P167" s="19"/>
      <c r="Q167" s="19"/>
      <c r="R167" s="19"/>
      <c r="S167" s="19"/>
      <c r="T167" s="19"/>
      <c r="U167" s="19"/>
      <c r="V167" s="19"/>
    </row>
    <row r="168">
      <c r="A168" s="15">
        <v>45909.0</v>
      </c>
      <c r="B168" s="16" t="s">
        <v>311</v>
      </c>
      <c r="C168" s="16" t="s">
        <v>26</v>
      </c>
      <c r="D168" s="16" t="s">
        <v>323</v>
      </c>
      <c r="E168" s="16" t="s">
        <v>129</v>
      </c>
      <c r="F168" s="17" t="str">
        <f>IFERROR(__xludf.DUMMYFUNCTION("""COMPUTED_VALUE"""),"AGP-PH-BC-1A-3")</f>
        <v>AGP-PH-BC-1A-3</v>
      </c>
      <c r="G168" s="18">
        <v>6.0</v>
      </c>
      <c r="H168" s="19"/>
      <c r="I168" s="19"/>
      <c r="J168" s="19" t="s">
        <v>326</v>
      </c>
      <c r="K168" s="16">
        <v>18.0</v>
      </c>
      <c r="L168" s="16">
        <v>1.0</v>
      </c>
      <c r="M168" s="19"/>
      <c r="N168" s="20">
        <v>6.0</v>
      </c>
      <c r="O168" s="21" t="s">
        <v>22</v>
      </c>
      <c r="P168" s="19"/>
      <c r="Q168" s="19"/>
      <c r="R168" s="19"/>
      <c r="S168" s="19"/>
      <c r="T168" s="19"/>
      <c r="U168" s="19"/>
      <c r="V168" s="19"/>
    </row>
    <row r="169">
      <c r="A169" s="15">
        <v>45909.0</v>
      </c>
      <c r="B169" s="16" t="s">
        <v>311</v>
      </c>
      <c r="C169" s="16" t="s">
        <v>26</v>
      </c>
      <c r="D169" s="16" t="s">
        <v>323</v>
      </c>
      <c r="E169" s="16" t="s">
        <v>143</v>
      </c>
      <c r="F169" s="17" t="str">
        <f>IFERROR(__xludf.DUMMYFUNCTION("""COMPUTED_VALUE"""),"AGP-PH-BC-1A-4")</f>
        <v>AGP-PH-BC-1A-4</v>
      </c>
      <c r="G169" s="18">
        <v>6.0</v>
      </c>
      <c r="H169" s="19"/>
      <c r="I169" s="19"/>
      <c r="J169" s="19" t="s">
        <v>327</v>
      </c>
      <c r="K169" s="16">
        <v>18.0</v>
      </c>
      <c r="L169" s="16">
        <v>1.0</v>
      </c>
      <c r="M169" s="16" t="s">
        <v>38</v>
      </c>
      <c r="N169" s="20">
        <v>6.0</v>
      </c>
      <c r="O169" s="21" t="s">
        <v>22</v>
      </c>
      <c r="P169" s="19"/>
      <c r="Q169" s="19"/>
      <c r="R169" s="19"/>
      <c r="S169" s="19"/>
      <c r="T169" s="19"/>
      <c r="U169" s="19"/>
      <c r="V169" s="19"/>
    </row>
    <row r="170">
      <c r="A170" s="15">
        <v>45909.0</v>
      </c>
      <c r="B170" s="16" t="s">
        <v>311</v>
      </c>
      <c r="C170" s="16" t="s">
        <v>51</v>
      </c>
      <c r="D170" s="16" t="s">
        <v>328</v>
      </c>
      <c r="E170" s="16" t="s">
        <v>19</v>
      </c>
      <c r="F170" s="17" t="str">
        <f>IFERROR(__xludf.DUMMYFUNCTION("""COMPUTED_VALUE"""),"AGP-MA-TCN-1A")</f>
        <v>AGP-MA-TCN-1A</v>
      </c>
      <c r="G170" s="18">
        <v>15.0</v>
      </c>
      <c r="H170" s="19"/>
      <c r="I170" s="19"/>
      <c r="J170" s="19" t="s">
        <v>329</v>
      </c>
      <c r="K170" s="16">
        <v>35.0</v>
      </c>
      <c r="L170" s="16">
        <v>1.0</v>
      </c>
      <c r="M170" s="19"/>
      <c r="N170" s="20">
        <v>15.0</v>
      </c>
      <c r="O170" s="21" t="s">
        <v>22</v>
      </c>
      <c r="P170" s="19"/>
      <c r="Q170" s="19"/>
      <c r="R170" s="19"/>
      <c r="S170" s="19"/>
      <c r="T170" s="19"/>
      <c r="U170" s="19"/>
      <c r="V170" s="19"/>
    </row>
    <row r="171">
      <c r="A171" s="15">
        <v>45909.0</v>
      </c>
      <c r="B171" s="16" t="s">
        <v>311</v>
      </c>
      <c r="C171" s="16" t="s">
        <v>51</v>
      </c>
      <c r="D171" s="16" t="s">
        <v>328</v>
      </c>
      <c r="E171" s="16" t="s">
        <v>71</v>
      </c>
      <c r="F171" s="17" t="str">
        <f>IFERROR(__xludf.DUMMYFUNCTION("""COMPUTED_VALUE"""),"AGP-MA-TCN-1A-2")</f>
        <v>AGP-MA-TCN-1A-2</v>
      </c>
      <c r="G171" s="18">
        <v>15.0</v>
      </c>
      <c r="H171" s="19"/>
      <c r="I171" s="19"/>
      <c r="J171" s="19" t="s">
        <v>330</v>
      </c>
      <c r="K171" s="16">
        <v>35.0</v>
      </c>
      <c r="L171" s="16">
        <v>1.0</v>
      </c>
      <c r="M171" s="19"/>
      <c r="N171" s="20">
        <v>15.0</v>
      </c>
      <c r="O171" s="21" t="s">
        <v>22</v>
      </c>
      <c r="P171" s="19"/>
      <c r="Q171" s="19"/>
      <c r="R171" s="19"/>
      <c r="S171" s="19"/>
      <c r="T171" s="19"/>
      <c r="U171" s="19"/>
      <c r="V171" s="19"/>
    </row>
    <row r="172">
      <c r="A172" s="15">
        <v>45909.0</v>
      </c>
      <c r="B172" s="16" t="s">
        <v>311</v>
      </c>
      <c r="C172" s="16" t="s">
        <v>51</v>
      </c>
      <c r="D172" s="16" t="s">
        <v>328</v>
      </c>
      <c r="E172" s="16" t="s">
        <v>129</v>
      </c>
      <c r="F172" s="17" t="str">
        <f>IFERROR(__xludf.DUMMYFUNCTION("""COMPUTED_VALUE"""),"AGP-MA-TCN-1A-3")</f>
        <v>AGP-MA-TCN-1A-3</v>
      </c>
      <c r="G172" s="18">
        <v>15.0</v>
      </c>
      <c r="H172" s="19"/>
      <c r="I172" s="19"/>
      <c r="J172" s="19" t="s">
        <v>331</v>
      </c>
      <c r="K172" s="16">
        <v>35.0</v>
      </c>
      <c r="L172" s="16">
        <v>1.0</v>
      </c>
      <c r="M172" s="19"/>
      <c r="N172" s="20">
        <v>15.0</v>
      </c>
      <c r="O172" s="21" t="s">
        <v>22</v>
      </c>
      <c r="P172" s="19"/>
      <c r="Q172" s="19"/>
      <c r="R172" s="19"/>
      <c r="S172" s="19"/>
      <c r="T172" s="19"/>
      <c r="U172" s="19"/>
      <c r="V172" s="19"/>
    </row>
    <row r="173">
      <c r="A173" s="15">
        <v>45912.0</v>
      </c>
      <c r="B173" s="16" t="s">
        <v>332</v>
      </c>
      <c r="C173" s="16" t="s">
        <v>26</v>
      </c>
      <c r="D173" s="16" t="s">
        <v>106</v>
      </c>
      <c r="E173" s="16" t="s">
        <v>19</v>
      </c>
      <c r="F173" s="17" t="str">
        <f>IFERROR(__xludf.DUMMYFUNCTION("""COMPUTED_VALUE"""),"JJP-PH-PP-1A")</f>
        <v>JJP-PH-PP-1A</v>
      </c>
      <c r="G173" s="18">
        <v>16.99</v>
      </c>
      <c r="H173" s="19"/>
      <c r="I173" s="19"/>
      <c r="J173" s="19" t="s">
        <v>333</v>
      </c>
      <c r="K173" s="19"/>
      <c r="L173" s="16">
        <v>1.0</v>
      </c>
      <c r="M173" s="19"/>
      <c r="N173" s="20">
        <v>16.99</v>
      </c>
      <c r="O173" s="21" t="s">
        <v>22</v>
      </c>
      <c r="P173" s="19"/>
      <c r="Q173" s="19"/>
      <c r="R173" s="19"/>
      <c r="S173" s="19"/>
      <c r="T173" s="19"/>
      <c r="U173" s="19"/>
      <c r="V173" s="19"/>
    </row>
    <row r="174">
      <c r="A174" s="15">
        <v>45915.0</v>
      </c>
      <c r="B174" s="16" t="s">
        <v>138</v>
      </c>
      <c r="C174" s="16" t="s">
        <v>26</v>
      </c>
      <c r="D174" s="16" t="s">
        <v>334</v>
      </c>
      <c r="E174" s="16" t="s">
        <v>19</v>
      </c>
      <c r="F174" s="17" t="str">
        <f>IFERROR(__xludf.DUMMYFUNCTION("""COMPUTED_VALUE"""),"BWH-PH-VRCRH-1A")</f>
        <v>BWH-PH-VRCRH-1A</v>
      </c>
      <c r="G174" s="18">
        <v>66.0</v>
      </c>
      <c r="H174" s="19"/>
      <c r="I174" s="19"/>
      <c r="J174" s="19" t="s">
        <v>335</v>
      </c>
      <c r="K174" s="16">
        <v>129.99</v>
      </c>
      <c r="L174" s="16">
        <v>1.0</v>
      </c>
      <c r="M174" s="19"/>
      <c r="N174" s="20">
        <v>66.0</v>
      </c>
      <c r="O174" s="21" t="s">
        <v>22</v>
      </c>
      <c r="P174" s="19"/>
      <c r="Q174" s="19"/>
      <c r="R174" s="19"/>
      <c r="S174" s="19"/>
      <c r="T174" s="19"/>
      <c r="U174" s="19"/>
      <c r="V174" s="19"/>
    </row>
    <row r="175">
      <c r="A175" s="15">
        <v>45915.0</v>
      </c>
      <c r="B175" s="16" t="s">
        <v>138</v>
      </c>
      <c r="C175" s="16" t="s">
        <v>223</v>
      </c>
      <c r="D175" s="16" t="s">
        <v>336</v>
      </c>
      <c r="E175" s="16" t="s">
        <v>19</v>
      </c>
      <c r="F175" s="17" t="str">
        <f>IFERROR(__xludf.DUMMYFUNCTION("""COMPUTED_VALUE"""),"BWH-FIC-SH-1A")</f>
        <v>BWH-FIC-SH-1A</v>
      </c>
      <c r="G175" s="18">
        <v>5.0</v>
      </c>
      <c r="H175" s="16"/>
      <c r="I175" s="19"/>
      <c r="J175" s="19" t="s">
        <v>337</v>
      </c>
      <c r="K175" s="19"/>
      <c r="L175" s="16">
        <v>1.0</v>
      </c>
      <c r="M175" s="19"/>
      <c r="N175" s="20">
        <v>5.0</v>
      </c>
      <c r="O175" s="21" t="s">
        <v>22</v>
      </c>
      <c r="P175" s="19"/>
      <c r="Q175" s="19"/>
      <c r="R175" s="19"/>
      <c r="S175" s="19"/>
      <c r="T175" s="19"/>
      <c r="U175" s="19"/>
      <c r="V175" s="19"/>
    </row>
    <row r="176">
      <c r="A176" s="15">
        <v>45915.0</v>
      </c>
      <c r="B176" s="16" t="s">
        <v>138</v>
      </c>
      <c r="C176" s="16" t="s">
        <v>223</v>
      </c>
      <c r="D176" s="16" t="s">
        <v>336</v>
      </c>
      <c r="E176" s="16" t="s">
        <v>71</v>
      </c>
      <c r="F176" s="17" t="str">
        <f>IFERROR(__xludf.DUMMYFUNCTION("""COMPUTED_VALUE"""),"BWH-FIC-SH-1A-2")</f>
        <v>BWH-FIC-SH-1A-2</v>
      </c>
      <c r="G176" s="18">
        <v>5.0</v>
      </c>
      <c r="H176" s="16"/>
      <c r="I176" s="19"/>
      <c r="J176" s="19" t="s">
        <v>338</v>
      </c>
      <c r="K176" s="19"/>
      <c r="L176" s="16">
        <v>1.0</v>
      </c>
      <c r="M176" s="19"/>
      <c r="N176" s="20">
        <v>5.0</v>
      </c>
      <c r="O176" s="21" t="s">
        <v>22</v>
      </c>
      <c r="P176" s="19"/>
      <c r="Q176" s="19"/>
      <c r="R176" s="19"/>
      <c r="S176" s="19"/>
      <c r="T176" s="19"/>
      <c r="U176" s="19"/>
      <c r="V176" s="19"/>
    </row>
    <row r="177">
      <c r="A177" s="15">
        <v>45915.0</v>
      </c>
      <c r="B177" s="16" t="s">
        <v>138</v>
      </c>
      <c r="C177" s="16" t="s">
        <v>223</v>
      </c>
      <c r="D177" s="16" t="s">
        <v>336</v>
      </c>
      <c r="E177" s="16" t="s">
        <v>129</v>
      </c>
      <c r="F177" s="17" t="str">
        <f>IFERROR(__xludf.DUMMYFUNCTION("""COMPUTED_VALUE"""),"BWH-FIC-SH-1A-3")</f>
        <v>BWH-FIC-SH-1A-3</v>
      </c>
      <c r="G177" s="18">
        <v>5.0</v>
      </c>
      <c r="H177" s="16"/>
      <c r="I177" s="19"/>
      <c r="J177" s="19" t="s">
        <v>339</v>
      </c>
      <c r="K177" s="19"/>
      <c r="L177" s="16">
        <v>1.0</v>
      </c>
      <c r="M177" s="19"/>
      <c r="N177" s="20">
        <v>5.0</v>
      </c>
      <c r="O177" s="21" t="s">
        <v>22</v>
      </c>
      <c r="P177" s="19"/>
      <c r="Q177" s="19"/>
      <c r="R177" s="19"/>
      <c r="S177" s="19"/>
      <c r="T177" s="19"/>
      <c r="U177" s="19"/>
      <c r="V177" s="19"/>
    </row>
    <row r="178">
      <c r="A178" s="15">
        <v>45915.0</v>
      </c>
      <c r="B178" s="16" t="s">
        <v>138</v>
      </c>
      <c r="C178" s="16" t="s">
        <v>223</v>
      </c>
      <c r="D178" s="16" t="s">
        <v>336</v>
      </c>
      <c r="E178" s="16" t="s">
        <v>143</v>
      </c>
      <c r="F178" s="17" t="str">
        <f>IFERROR(__xludf.DUMMYFUNCTION("""COMPUTED_VALUE"""),"BWH-FIC-SH-1A-4")</f>
        <v>BWH-FIC-SH-1A-4</v>
      </c>
      <c r="G178" s="18">
        <v>5.0</v>
      </c>
      <c r="H178" s="16"/>
      <c r="I178" s="19"/>
      <c r="J178" s="19" t="s">
        <v>340</v>
      </c>
      <c r="K178" s="19"/>
      <c r="L178" s="16">
        <v>1.0</v>
      </c>
      <c r="M178" s="19"/>
      <c r="N178" s="20">
        <v>5.0</v>
      </c>
      <c r="O178" s="21" t="s">
        <v>22</v>
      </c>
      <c r="P178" s="19"/>
      <c r="Q178" s="19"/>
      <c r="R178" s="19"/>
      <c r="S178" s="19"/>
      <c r="T178" s="19"/>
      <c r="U178" s="19"/>
      <c r="V178" s="19"/>
    </row>
    <row r="179">
      <c r="A179" s="15">
        <v>45915.0</v>
      </c>
      <c r="B179" s="16" t="s">
        <v>138</v>
      </c>
      <c r="C179" s="16" t="s">
        <v>223</v>
      </c>
      <c r="D179" s="16" t="s">
        <v>336</v>
      </c>
      <c r="E179" s="16" t="s">
        <v>145</v>
      </c>
      <c r="F179" s="17" t="str">
        <f>IFERROR(__xludf.DUMMYFUNCTION("""COMPUTED_VALUE"""),"BWH-FIC-SH-1A-5")</f>
        <v>BWH-FIC-SH-1A-5</v>
      </c>
      <c r="G179" s="18">
        <v>5.0</v>
      </c>
      <c r="H179" s="16"/>
      <c r="I179" s="19"/>
      <c r="J179" s="19" t="s">
        <v>341</v>
      </c>
      <c r="K179" s="19"/>
      <c r="L179" s="16">
        <v>1.0</v>
      </c>
      <c r="M179" s="19"/>
      <c r="N179" s="20">
        <v>5.0</v>
      </c>
      <c r="O179" s="21" t="s">
        <v>22</v>
      </c>
      <c r="P179" s="19"/>
      <c r="Q179" s="19"/>
      <c r="R179" s="19"/>
      <c r="S179" s="19"/>
      <c r="T179" s="19"/>
      <c r="U179" s="19"/>
      <c r="V179" s="19"/>
    </row>
    <row r="180">
      <c r="A180" s="15">
        <v>45915.0</v>
      </c>
      <c r="B180" s="16" t="s">
        <v>138</v>
      </c>
      <c r="C180" s="16" t="s">
        <v>64</v>
      </c>
      <c r="D180" s="16" t="s">
        <v>342</v>
      </c>
      <c r="E180" s="16" t="s">
        <v>19</v>
      </c>
      <c r="F180" s="17" t="str">
        <f>IFERROR(__xludf.DUMMYFUNCTION("""COMPUTED_VALUE"""),"BWH-AL-VM-1A")</f>
        <v>BWH-AL-VM-1A</v>
      </c>
      <c r="G180" s="18">
        <v>12.0</v>
      </c>
      <c r="H180" s="19"/>
      <c r="I180" s="19"/>
      <c r="J180" s="19" t="s">
        <v>343</v>
      </c>
      <c r="K180" s="16">
        <v>29.99</v>
      </c>
      <c r="L180" s="16">
        <v>1.0</v>
      </c>
      <c r="M180" s="19"/>
      <c r="N180" s="20">
        <v>12.0</v>
      </c>
      <c r="O180" s="21" t="s">
        <v>22</v>
      </c>
      <c r="P180" s="19"/>
      <c r="Q180" s="19"/>
      <c r="R180" s="19"/>
      <c r="S180" s="19"/>
      <c r="T180" s="19"/>
      <c r="U180" s="19"/>
      <c r="V180" s="19"/>
    </row>
    <row r="181">
      <c r="A181" s="15">
        <v>45915.0</v>
      </c>
      <c r="B181" s="16" t="s">
        <v>138</v>
      </c>
      <c r="C181" s="16" t="s">
        <v>64</v>
      </c>
      <c r="D181" s="16" t="s">
        <v>342</v>
      </c>
      <c r="E181" s="16" t="s">
        <v>71</v>
      </c>
      <c r="F181" s="17" t="str">
        <f>IFERROR(__xludf.DUMMYFUNCTION("""COMPUTED_VALUE"""),"BWH-AL-VM-1A-2")</f>
        <v>BWH-AL-VM-1A-2</v>
      </c>
      <c r="G181" s="18">
        <v>12.0</v>
      </c>
      <c r="H181" s="19"/>
      <c r="I181" s="19"/>
      <c r="J181" s="19" t="s">
        <v>344</v>
      </c>
      <c r="K181" s="16">
        <v>29.99</v>
      </c>
      <c r="L181" s="16">
        <v>1.0</v>
      </c>
      <c r="M181" s="19"/>
      <c r="N181" s="20">
        <v>12.0</v>
      </c>
      <c r="O181" s="21" t="s">
        <v>22</v>
      </c>
      <c r="P181" s="19"/>
      <c r="Q181" s="19"/>
      <c r="R181" s="19"/>
      <c r="S181" s="19"/>
      <c r="T181" s="19"/>
      <c r="U181" s="19"/>
      <c r="V181" s="19"/>
    </row>
    <row r="182">
      <c r="A182" s="15">
        <v>45915.0</v>
      </c>
      <c r="B182" s="16" t="s">
        <v>138</v>
      </c>
      <c r="C182" s="16" t="s">
        <v>64</v>
      </c>
      <c r="D182" s="16" t="s">
        <v>342</v>
      </c>
      <c r="E182" s="16" t="s">
        <v>129</v>
      </c>
      <c r="F182" s="17" t="str">
        <f>IFERROR(__xludf.DUMMYFUNCTION("""COMPUTED_VALUE"""),"BWH-AL-VM-1A-3")</f>
        <v>BWH-AL-VM-1A-3</v>
      </c>
      <c r="G182" s="18">
        <v>12.0</v>
      </c>
      <c r="H182" s="19"/>
      <c r="I182" s="19"/>
      <c r="J182" s="19" t="s">
        <v>345</v>
      </c>
      <c r="K182" s="16">
        <v>29.99</v>
      </c>
      <c r="L182" s="16">
        <v>1.0</v>
      </c>
      <c r="M182" s="19"/>
      <c r="N182" s="20">
        <v>12.0</v>
      </c>
      <c r="O182" s="21" t="s">
        <v>22</v>
      </c>
      <c r="P182" s="19"/>
      <c r="Q182" s="19"/>
      <c r="R182" s="19"/>
      <c r="S182" s="19"/>
      <c r="T182" s="19"/>
      <c r="U182" s="19"/>
      <c r="V182" s="19"/>
    </row>
    <row r="183">
      <c r="A183" s="15">
        <v>45915.0</v>
      </c>
      <c r="B183" s="16" t="s">
        <v>138</v>
      </c>
      <c r="C183" s="16" t="s">
        <v>64</v>
      </c>
      <c r="D183" s="16" t="s">
        <v>342</v>
      </c>
      <c r="E183" s="16" t="s">
        <v>143</v>
      </c>
      <c r="F183" s="17" t="str">
        <f>IFERROR(__xludf.DUMMYFUNCTION("""COMPUTED_VALUE"""),"BWH-AL-VM-1A-4")</f>
        <v>BWH-AL-VM-1A-4</v>
      </c>
      <c r="G183" s="18">
        <v>12.0</v>
      </c>
      <c r="H183" s="19"/>
      <c r="I183" s="19"/>
      <c r="J183" s="19" t="s">
        <v>346</v>
      </c>
      <c r="K183" s="16">
        <v>29.99</v>
      </c>
      <c r="L183" s="16">
        <v>1.0</v>
      </c>
      <c r="M183" s="19"/>
      <c r="N183" s="20">
        <v>12.0</v>
      </c>
      <c r="O183" s="21" t="s">
        <v>22</v>
      </c>
      <c r="P183" s="19"/>
      <c r="Q183" s="19"/>
      <c r="R183" s="19"/>
      <c r="S183" s="19"/>
      <c r="T183" s="19"/>
      <c r="U183" s="19"/>
      <c r="V183" s="19"/>
    </row>
    <row r="184">
      <c r="A184" s="15">
        <v>45915.0</v>
      </c>
      <c r="B184" s="16" t="s">
        <v>138</v>
      </c>
      <c r="C184" s="16" t="s">
        <v>64</v>
      </c>
      <c r="D184" s="16" t="s">
        <v>342</v>
      </c>
      <c r="E184" s="16" t="s">
        <v>145</v>
      </c>
      <c r="F184" s="17" t="str">
        <f>IFERROR(__xludf.DUMMYFUNCTION("""COMPUTED_VALUE"""),"BWH-AL-VM-1A-5")</f>
        <v>BWH-AL-VM-1A-5</v>
      </c>
      <c r="G184" s="18">
        <v>12.0</v>
      </c>
      <c r="H184" s="19"/>
      <c r="I184" s="19"/>
      <c r="J184" s="19" t="s">
        <v>347</v>
      </c>
      <c r="K184" s="16">
        <v>29.99</v>
      </c>
      <c r="L184" s="16">
        <v>1.0</v>
      </c>
      <c r="M184" s="19"/>
      <c r="N184" s="20">
        <v>12.0</v>
      </c>
      <c r="O184" s="21" t="s">
        <v>22</v>
      </c>
      <c r="P184" s="19"/>
      <c r="Q184" s="19"/>
      <c r="R184" s="19"/>
      <c r="S184" s="19"/>
      <c r="T184" s="19"/>
      <c r="U184" s="19"/>
      <c r="V184" s="19"/>
    </row>
    <row r="185">
      <c r="A185" s="15">
        <v>45915.0</v>
      </c>
      <c r="B185" s="16" t="s">
        <v>138</v>
      </c>
      <c r="C185" s="16" t="s">
        <v>26</v>
      </c>
      <c r="D185" s="16" t="s">
        <v>147</v>
      </c>
      <c r="E185" s="16" t="s">
        <v>348</v>
      </c>
      <c r="F185" s="17" t="str">
        <f>IFERROR(__xludf.DUMMYFUNCTION("""COMPUTED_VALUE"""),"BWH-PH-RAPK-2A")</f>
        <v>BWH-PH-RAPK-2A</v>
      </c>
      <c r="G185" s="18">
        <v>10.2</v>
      </c>
      <c r="H185" s="19"/>
      <c r="I185" s="22" t="s">
        <v>93</v>
      </c>
      <c r="J185" s="19" t="s">
        <v>349</v>
      </c>
      <c r="K185" s="16">
        <v>24.99</v>
      </c>
      <c r="L185" s="16">
        <v>1.0</v>
      </c>
      <c r="M185" s="19"/>
      <c r="N185" s="20">
        <v>10.2</v>
      </c>
      <c r="O185" s="21" t="s">
        <v>22</v>
      </c>
      <c r="P185" s="19"/>
      <c r="Q185" s="19"/>
      <c r="R185" s="19"/>
      <c r="S185" s="19"/>
      <c r="T185" s="19"/>
      <c r="U185" s="19"/>
      <c r="V185" s="19"/>
    </row>
    <row r="186">
      <c r="A186" s="15">
        <v>45915.0</v>
      </c>
      <c r="B186" s="16" t="s">
        <v>138</v>
      </c>
      <c r="C186" s="16" t="s">
        <v>26</v>
      </c>
      <c r="D186" s="16" t="s">
        <v>147</v>
      </c>
      <c r="E186" s="16" t="s">
        <v>350</v>
      </c>
      <c r="F186" s="17" t="str">
        <f>IFERROR(__xludf.DUMMYFUNCTION("""COMPUTED_VALUE"""),"BWH-PH-RAPK-2A-2")</f>
        <v>BWH-PH-RAPK-2A-2</v>
      </c>
      <c r="G186" s="18">
        <v>10.2</v>
      </c>
      <c r="H186" s="19"/>
      <c r="I186" s="22" t="s">
        <v>93</v>
      </c>
      <c r="J186" s="19" t="s">
        <v>351</v>
      </c>
      <c r="K186" s="16">
        <v>24.99</v>
      </c>
      <c r="L186" s="16">
        <v>1.0</v>
      </c>
      <c r="M186" s="19"/>
      <c r="N186" s="20">
        <v>10.2</v>
      </c>
      <c r="O186" s="21" t="s">
        <v>22</v>
      </c>
      <c r="P186" s="19"/>
      <c r="Q186" s="19"/>
      <c r="R186" s="19"/>
      <c r="S186" s="19"/>
      <c r="T186" s="19"/>
      <c r="U186" s="19"/>
      <c r="V186" s="19"/>
    </row>
    <row r="187">
      <c r="A187" s="15">
        <v>45915.0</v>
      </c>
      <c r="B187" s="16" t="s">
        <v>138</v>
      </c>
      <c r="C187" s="16" t="s">
        <v>26</v>
      </c>
      <c r="D187" s="16" t="s">
        <v>147</v>
      </c>
      <c r="E187" s="16" t="s">
        <v>352</v>
      </c>
      <c r="F187" s="17" t="str">
        <f>IFERROR(__xludf.DUMMYFUNCTION("""COMPUTED_VALUE"""),"BWH-PH-RAPK-2A-3")</f>
        <v>BWH-PH-RAPK-2A-3</v>
      </c>
      <c r="G187" s="18">
        <v>10.2</v>
      </c>
      <c r="H187" s="19"/>
      <c r="I187" s="22" t="s">
        <v>93</v>
      </c>
      <c r="J187" s="19" t="s">
        <v>353</v>
      </c>
      <c r="K187" s="16">
        <v>24.99</v>
      </c>
      <c r="L187" s="16">
        <v>1.0</v>
      </c>
      <c r="M187" s="19"/>
      <c r="N187" s="20">
        <v>10.2</v>
      </c>
      <c r="O187" s="21" t="s">
        <v>22</v>
      </c>
      <c r="P187" s="19"/>
      <c r="Q187" s="19"/>
      <c r="R187" s="19"/>
      <c r="S187" s="19"/>
      <c r="T187" s="19"/>
      <c r="U187" s="19"/>
      <c r="V187" s="19"/>
    </row>
    <row r="188">
      <c r="A188" s="15">
        <v>45915.0</v>
      </c>
      <c r="B188" s="16" t="s">
        <v>138</v>
      </c>
      <c r="C188" s="16" t="s">
        <v>26</v>
      </c>
      <c r="D188" s="16" t="s">
        <v>147</v>
      </c>
      <c r="E188" s="16" t="s">
        <v>354</v>
      </c>
      <c r="F188" s="17" t="str">
        <f>IFERROR(__xludf.DUMMYFUNCTION("""COMPUTED_VALUE"""),"BWH-PH-RAPK-2A-4")</f>
        <v>BWH-PH-RAPK-2A-4</v>
      </c>
      <c r="G188" s="18">
        <v>10.2</v>
      </c>
      <c r="H188" s="19"/>
      <c r="I188" s="22" t="s">
        <v>93</v>
      </c>
      <c r="J188" s="19" t="s">
        <v>355</v>
      </c>
      <c r="K188" s="16">
        <v>24.99</v>
      </c>
      <c r="L188" s="16">
        <v>1.0</v>
      </c>
      <c r="M188" s="19"/>
      <c r="N188" s="20">
        <v>10.2</v>
      </c>
      <c r="O188" s="21" t="s">
        <v>22</v>
      </c>
      <c r="P188" s="19"/>
      <c r="Q188" s="19"/>
      <c r="R188" s="19"/>
      <c r="S188" s="19"/>
      <c r="T188" s="19"/>
      <c r="U188" s="19"/>
      <c r="V188" s="19"/>
    </row>
    <row r="189">
      <c r="A189" s="15">
        <v>45915.0</v>
      </c>
      <c r="B189" s="16" t="s">
        <v>138</v>
      </c>
      <c r="C189" s="16" t="s">
        <v>26</v>
      </c>
      <c r="D189" s="16" t="s">
        <v>147</v>
      </c>
      <c r="E189" s="16" t="s">
        <v>356</v>
      </c>
      <c r="F189" s="17" t="str">
        <f>IFERROR(__xludf.DUMMYFUNCTION("""COMPUTED_VALUE"""),"BWH-PH-RAPK-2A-5")</f>
        <v>BWH-PH-RAPK-2A-5</v>
      </c>
      <c r="G189" s="18">
        <v>10.2</v>
      </c>
      <c r="H189" s="19"/>
      <c r="I189" s="22" t="s">
        <v>93</v>
      </c>
      <c r="J189" s="19" t="s">
        <v>357</v>
      </c>
      <c r="K189" s="16">
        <v>24.99</v>
      </c>
      <c r="L189" s="16">
        <v>1.0</v>
      </c>
      <c r="M189" s="19"/>
      <c r="N189" s="20">
        <v>10.2</v>
      </c>
      <c r="O189" s="21" t="s">
        <v>22</v>
      </c>
      <c r="P189" s="19"/>
      <c r="Q189" s="19"/>
      <c r="R189" s="19"/>
      <c r="S189" s="19"/>
      <c r="T189" s="19"/>
      <c r="U189" s="19"/>
      <c r="V189" s="19"/>
    </row>
    <row r="190">
      <c r="A190" s="15">
        <v>45915.0</v>
      </c>
      <c r="B190" s="16" t="s">
        <v>138</v>
      </c>
      <c r="C190" s="16" t="s">
        <v>26</v>
      </c>
      <c r="D190" s="16" t="s">
        <v>190</v>
      </c>
      <c r="E190" s="16" t="s">
        <v>19</v>
      </c>
      <c r="F190" s="17" t="str">
        <f>IFERROR(__xludf.DUMMYFUNCTION("""COMPUTED_VALUE"""),"BWH-PH-BMV-1A")</f>
        <v>BWH-PH-BMV-1A</v>
      </c>
      <c r="G190" s="18">
        <v>14.4</v>
      </c>
      <c r="H190" s="19"/>
      <c r="I190" s="19"/>
      <c r="J190" s="19" t="s">
        <v>358</v>
      </c>
      <c r="K190" s="16">
        <v>29.99</v>
      </c>
      <c r="L190" s="16">
        <v>1.0</v>
      </c>
      <c r="M190" s="19"/>
      <c r="N190" s="20">
        <v>14.4</v>
      </c>
      <c r="O190" s="21" t="s">
        <v>22</v>
      </c>
      <c r="P190" s="19"/>
      <c r="Q190" s="19"/>
      <c r="R190" s="19"/>
      <c r="S190" s="19"/>
      <c r="T190" s="19"/>
      <c r="U190" s="19"/>
      <c r="V190" s="19"/>
    </row>
    <row r="191">
      <c r="A191" s="15">
        <v>45915.0</v>
      </c>
      <c r="B191" s="16" t="s">
        <v>138</v>
      </c>
      <c r="C191" s="16" t="s">
        <v>26</v>
      </c>
      <c r="D191" s="16" t="s">
        <v>190</v>
      </c>
      <c r="E191" s="16" t="s">
        <v>71</v>
      </c>
      <c r="F191" s="17" t="str">
        <f>IFERROR(__xludf.DUMMYFUNCTION("""COMPUTED_VALUE"""),"BWH-PH-BMV-1A-2")</f>
        <v>BWH-PH-BMV-1A-2</v>
      </c>
      <c r="G191" s="18">
        <v>14.4</v>
      </c>
      <c r="H191" s="19"/>
      <c r="I191" s="19"/>
      <c r="J191" s="19" t="s">
        <v>359</v>
      </c>
      <c r="K191" s="16">
        <v>29.99</v>
      </c>
      <c r="L191" s="16">
        <v>1.0</v>
      </c>
      <c r="M191" s="19"/>
      <c r="N191" s="20">
        <v>14.4</v>
      </c>
      <c r="O191" s="21" t="s">
        <v>22</v>
      </c>
      <c r="P191" s="19"/>
      <c r="Q191" s="19"/>
      <c r="R191" s="19"/>
      <c r="S191" s="19"/>
      <c r="T191" s="19"/>
      <c r="U191" s="19"/>
      <c r="V191" s="19"/>
    </row>
    <row r="192">
      <c r="A192" s="15">
        <v>45915.0</v>
      </c>
      <c r="B192" s="16" t="s">
        <v>138</v>
      </c>
      <c r="C192" s="16" t="s">
        <v>26</v>
      </c>
      <c r="D192" s="16" t="s">
        <v>190</v>
      </c>
      <c r="E192" s="16" t="s">
        <v>129</v>
      </c>
      <c r="F192" s="17" t="str">
        <f>IFERROR(__xludf.DUMMYFUNCTION("""COMPUTED_VALUE"""),"BWH-PH-BMV-1A-3")</f>
        <v>BWH-PH-BMV-1A-3</v>
      </c>
      <c r="G192" s="18">
        <v>14.4</v>
      </c>
      <c r="H192" s="19"/>
      <c r="I192" s="19"/>
      <c r="J192" s="19" t="s">
        <v>360</v>
      </c>
      <c r="K192" s="16">
        <v>29.99</v>
      </c>
      <c r="L192" s="16">
        <v>1.0</v>
      </c>
      <c r="M192" s="19"/>
      <c r="N192" s="20">
        <v>14.4</v>
      </c>
      <c r="O192" s="21" t="s">
        <v>22</v>
      </c>
      <c r="P192" s="19"/>
      <c r="Q192" s="19"/>
      <c r="R192" s="19"/>
      <c r="S192" s="19"/>
      <c r="T192" s="19"/>
      <c r="U192" s="19"/>
      <c r="V192" s="19"/>
    </row>
    <row r="193">
      <c r="A193" s="15">
        <v>45915.0</v>
      </c>
      <c r="B193" s="16" t="s">
        <v>138</v>
      </c>
      <c r="C193" s="16" t="s">
        <v>26</v>
      </c>
      <c r="D193" s="16" t="s">
        <v>190</v>
      </c>
      <c r="E193" s="16" t="s">
        <v>143</v>
      </c>
      <c r="F193" s="17" t="str">
        <f>IFERROR(__xludf.DUMMYFUNCTION("""COMPUTED_VALUE"""),"BWH-PH-BMV-1A-4")</f>
        <v>BWH-PH-BMV-1A-4</v>
      </c>
      <c r="G193" s="18">
        <v>14.4</v>
      </c>
      <c r="H193" s="19"/>
      <c r="I193" s="19"/>
      <c r="J193" s="19" t="s">
        <v>361</v>
      </c>
      <c r="K193" s="16">
        <v>29.99</v>
      </c>
      <c r="L193" s="16">
        <v>1.0</v>
      </c>
      <c r="M193" s="19"/>
      <c r="N193" s="20">
        <v>14.4</v>
      </c>
      <c r="O193" s="21" t="s">
        <v>22</v>
      </c>
      <c r="P193" s="19"/>
      <c r="Q193" s="19"/>
      <c r="R193" s="19"/>
      <c r="S193" s="19"/>
      <c r="T193" s="19"/>
      <c r="U193" s="19"/>
      <c r="V193" s="19"/>
    </row>
    <row r="194">
      <c r="A194" s="15">
        <v>45915.0</v>
      </c>
      <c r="B194" s="16" t="s">
        <v>138</v>
      </c>
      <c r="C194" s="16" t="s">
        <v>26</v>
      </c>
      <c r="D194" s="16" t="s">
        <v>190</v>
      </c>
      <c r="E194" s="16" t="s">
        <v>145</v>
      </c>
      <c r="F194" s="17" t="str">
        <f>IFERROR(__xludf.DUMMYFUNCTION("""COMPUTED_VALUE"""),"BWH-PH-BMV-1A-5")</f>
        <v>BWH-PH-BMV-1A-5</v>
      </c>
      <c r="G194" s="18">
        <v>14.4</v>
      </c>
      <c r="H194" s="19"/>
      <c r="I194" s="19"/>
      <c r="J194" s="19" t="s">
        <v>362</v>
      </c>
      <c r="K194" s="16">
        <v>29.99</v>
      </c>
      <c r="L194" s="16">
        <v>1.0</v>
      </c>
      <c r="M194" s="19"/>
      <c r="N194" s="20">
        <v>14.4</v>
      </c>
      <c r="O194" s="21" t="s">
        <v>22</v>
      </c>
      <c r="P194" s="19"/>
      <c r="Q194" s="19"/>
      <c r="R194" s="19"/>
      <c r="S194" s="19"/>
      <c r="T194" s="19"/>
      <c r="U194" s="19"/>
      <c r="V194" s="19"/>
    </row>
    <row r="195">
      <c r="A195" s="15">
        <v>45915.0</v>
      </c>
      <c r="B195" s="16" t="s">
        <v>138</v>
      </c>
      <c r="C195" s="16" t="s">
        <v>26</v>
      </c>
      <c r="D195" s="16" t="s">
        <v>363</v>
      </c>
      <c r="E195" s="16" t="s">
        <v>19</v>
      </c>
      <c r="F195" s="17" t="str">
        <f>IFERROR(__xludf.DUMMYFUNCTION("""COMPUTED_VALUE"""),"BWH-PH-PV-1A")</f>
        <v>BWH-PH-PV-1A</v>
      </c>
      <c r="G195" s="18">
        <v>9.0</v>
      </c>
      <c r="H195" s="19"/>
      <c r="I195" s="19"/>
      <c r="J195" s="19" t="s">
        <v>364</v>
      </c>
      <c r="K195" s="16">
        <v>18.99</v>
      </c>
      <c r="L195" s="16">
        <v>1.0</v>
      </c>
      <c r="M195" s="19"/>
      <c r="N195" s="20">
        <v>9.0</v>
      </c>
      <c r="O195" s="21" t="s">
        <v>22</v>
      </c>
      <c r="P195" s="19"/>
      <c r="Q195" s="19"/>
      <c r="R195" s="19"/>
      <c r="S195" s="19"/>
      <c r="T195" s="19"/>
      <c r="U195" s="19"/>
      <c r="V195" s="19"/>
    </row>
    <row r="196">
      <c r="A196" s="15">
        <v>45915.0</v>
      </c>
      <c r="B196" s="16" t="s">
        <v>138</v>
      </c>
      <c r="C196" s="16" t="s">
        <v>26</v>
      </c>
      <c r="D196" s="16" t="s">
        <v>363</v>
      </c>
      <c r="E196" s="16" t="s">
        <v>71</v>
      </c>
      <c r="F196" s="17" t="str">
        <f>IFERROR(__xludf.DUMMYFUNCTION("""COMPUTED_VALUE"""),"BWH-PH-PV-1A-2")</f>
        <v>BWH-PH-PV-1A-2</v>
      </c>
      <c r="G196" s="18">
        <v>9.0</v>
      </c>
      <c r="H196" s="19"/>
      <c r="I196" s="19"/>
      <c r="J196" s="19" t="s">
        <v>365</v>
      </c>
      <c r="K196" s="16">
        <v>18.99</v>
      </c>
      <c r="L196" s="16">
        <v>1.0</v>
      </c>
      <c r="M196" s="19"/>
      <c r="N196" s="20">
        <v>9.0</v>
      </c>
      <c r="O196" s="21" t="s">
        <v>22</v>
      </c>
      <c r="P196" s="19"/>
      <c r="Q196" s="19"/>
      <c r="R196" s="19"/>
      <c r="S196" s="19"/>
      <c r="T196" s="19"/>
      <c r="U196" s="19"/>
      <c r="V196" s="19"/>
    </row>
    <row r="197">
      <c r="A197" s="15">
        <v>45915.0</v>
      </c>
      <c r="B197" s="16" t="s">
        <v>138</v>
      </c>
      <c r="C197" s="16" t="s">
        <v>26</v>
      </c>
      <c r="D197" s="16" t="s">
        <v>363</v>
      </c>
      <c r="E197" s="16" t="s">
        <v>129</v>
      </c>
      <c r="F197" s="17" t="str">
        <f>IFERROR(__xludf.DUMMYFUNCTION("""COMPUTED_VALUE"""),"BWH-PH-PV-1A-3")</f>
        <v>BWH-PH-PV-1A-3</v>
      </c>
      <c r="G197" s="18">
        <v>9.0</v>
      </c>
      <c r="H197" s="19"/>
      <c r="I197" s="19"/>
      <c r="J197" s="19" t="s">
        <v>366</v>
      </c>
      <c r="K197" s="16">
        <v>18.99</v>
      </c>
      <c r="L197" s="16">
        <v>1.0</v>
      </c>
      <c r="M197" s="19"/>
      <c r="N197" s="20">
        <v>9.0</v>
      </c>
      <c r="O197" s="21" t="s">
        <v>22</v>
      </c>
      <c r="P197" s="19"/>
      <c r="Q197" s="19"/>
      <c r="R197" s="19"/>
      <c r="S197" s="19"/>
      <c r="T197" s="19"/>
      <c r="U197" s="19"/>
      <c r="V197" s="19"/>
    </row>
    <row r="198">
      <c r="A198" s="15">
        <v>45915.0</v>
      </c>
      <c r="B198" s="16" t="s">
        <v>138</v>
      </c>
      <c r="C198" s="16" t="s">
        <v>26</v>
      </c>
      <c r="D198" s="16" t="s">
        <v>363</v>
      </c>
      <c r="E198" s="16" t="s">
        <v>143</v>
      </c>
      <c r="F198" s="17" t="str">
        <f>IFERROR(__xludf.DUMMYFUNCTION("""COMPUTED_VALUE"""),"BWH-PH-PV-1A-4")</f>
        <v>BWH-PH-PV-1A-4</v>
      </c>
      <c r="G198" s="18">
        <v>9.0</v>
      </c>
      <c r="H198" s="19"/>
      <c r="I198" s="19"/>
      <c r="J198" s="19" t="s">
        <v>367</v>
      </c>
      <c r="K198" s="16">
        <v>18.99</v>
      </c>
      <c r="L198" s="16">
        <v>1.0</v>
      </c>
      <c r="M198" s="19"/>
      <c r="N198" s="20">
        <v>9.0</v>
      </c>
      <c r="O198" s="21" t="s">
        <v>22</v>
      </c>
      <c r="P198" s="19"/>
      <c r="Q198" s="19"/>
      <c r="R198" s="19"/>
      <c r="S198" s="19"/>
      <c r="T198" s="19"/>
      <c r="U198" s="19"/>
      <c r="V198" s="19"/>
    </row>
    <row r="199">
      <c r="A199" s="15">
        <v>45915.0</v>
      </c>
      <c r="B199" s="16" t="s">
        <v>138</v>
      </c>
      <c r="C199" s="16" t="s">
        <v>26</v>
      </c>
      <c r="D199" s="16" t="s">
        <v>363</v>
      </c>
      <c r="E199" s="16" t="s">
        <v>145</v>
      </c>
      <c r="F199" s="17" t="str">
        <f>IFERROR(__xludf.DUMMYFUNCTION("""COMPUTED_VALUE"""),"BWH-PH-PV-1A-5")</f>
        <v>BWH-PH-PV-1A-5</v>
      </c>
      <c r="G199" s="18">
        <v>9.0</v>
      </c>
      <c r="H199" s="19"/>
      <c r="I199" s="19"/>
      <c r="J199" s="19" t="s">
        <v>368</v>
      </c>
      <c r="K199" s="16">
        <v>18.99</v>
      </c>
      <c r="L199" s="16">
        <v>1.0</v>
      </c>
      <c r="M199" s="19"/>
      <c r="N199" s="20">
        <v>9.0</v>
      </c>
      <c r="O199" s="21" t="s">
        <v>22</v>
      </c>
      <c r="P199" s="19"/>
      <c r="Q199" s="19"/>
      <c r="R199" s="19"/>
      <c r="S199" s="19"/>
      <c r="T199" s="19"/>
      <c r="U199" s="19"/>
      <c r="V199" s="19"/>
    </row>
    <row r="200">
      <c r="A200" s="15">
        <v>45915.0</v>
      </c>
      <c r="B200" s="16" t="s">
        <v>369</v>
      </c>
      <c r="C200" s="16" t="s">
        <v>370</v>
      </c>
      <c r="D200" s="16" t="s">
        <v>371</v>
      </c>
      <c r="E200" s="16" t="s">
        <v>19</v>
      </c>
      <c r="F200" s="17" t="str">
        <f>IFERROR(__xludf.DUMMYFUNCTION("""COMPUTED_VALUE"""),"TG-ASP-HU-1A")</f>
        <v>TG-ASP-HU-1A</v>
      </c>
      <c r="G200" s="18">
        <v>9.5</v>
      </c>
      <c r="H200" s="19"/>
      <c r="I200" s="19"/>
      <c r="J200" s="19" t="s">
        <v>372</v>
      </c>
      <c r="K200" s="16">
        <v>19.0</v>
      </c>
      <c r="L200" s="16">
        <v>1.0</v>
      </c>
      <c r="M200" s="19"/>
      <c r="N200" s="20">
        <v>9.5</v>
      </c>
      <c r="O200" s="21" t="s">
        <v>22</v>
      </c>
      <c r="P200" s="19"/>
      <c r="Q200" s="19"/>
      <c r="R200" s="19"/>
      <c r="S200" s="19"/>
      <c r="T200" s="19"/>
      <c r="U200" s="19"/>
      <c r="V200" s="19"/>
    </row>
    <row r="201">
      <c r="A201" s="15">
        <v>45926.0</v>
      </c>
      <c r="B201" s="16" t="s">
        <v>369</v>
      </c>
      <c r="C201" s="16" t="s">
        <v>370</v>
      </c>
      <c r="D201" s="16" t="s">
        <v>373</v>
      </c>
      <c r="E201" s="16" t="s">
        <v>19</v>
      </c>
      <c r="F201" s="17" t="str">
        <f>IFERROR(__xludf.DUMMYFUNCTION("""COMPUTED_VALUE"""),"TG-ASP-VI-1A")</f>
        <v>TG-ASP-VI-1A</v>
      </c>
      <c r="G201" s="18">
        <v>9.5</v>
      </c>
      <c r="H201" s="19"/>
      <c r="I201" s="19"/>
      <c r="J201" s="19" t="s">
        <v>374</v>
      </c>
      <c r="K201" s="16">
        <v>19.0</v>
      </c>
      <c r="L201" s="16">
        <v>1.0</v>
      </c>
      <c r="M201" s="19"/>
      <c r="N201" s="20">
        <v>9.5</v>
      </c>
      <c r="O201" s="21" t="s">
        <v>22</v>
      </c>
      <c r="P201" s="19"/>
      <c r="Q201" s="19"/>
      <c r="R201" s="19"/>
      <c r="S201" s="19"/>
      <c r="T201" s="19"/>
      <c r="U201" s="19"/>
      <c r="V201" s="19"/>
    </row>
    <row r="202">
      <c r="A202" s="15">
        <v>45926.0</v>
      </c>
      <c r="B202" s="16" t="s">
        <v>369</v>
      </c>
      <c r="C202" s="16" t="s">
        <v>370</v>
      </c>
      <c r="D202" s="16" t="s">
        <v>375</v>
      </c>
      <c r="E202" s="16" t="s">
        <v>19</v>
      </c>
      <c r="F202" s="17" t="str">
        <f>IFERROR(__xludf.DUMMYFUNCTION("""COMPUTED_VALUE"""),"TG-ASP-AG-1A")</f>
        <v>TG-ASP-AG-1A</v>
      </c>
      <c r="G202" s="18">
        <v>9.5</v>
      </c>
      <c r="H202" s="19"/>
      <c r="I202" s="19"/>
      <c r="J202" s="19" t="s">
        <v>376</v>
      </c>
      <c r="K202" s="16">
        <v>19.0</v>
      </c>
      <c r="L202" s="16">
        <v>1.0</v>
      </c>
      <c r="M202" s="19"/>
      <c r="N202" s="20">
        <v>9.5</v>
      </c>
      <c r="O202" s="21" t="s">
        <v>22</v>
      </c>
      <c r="P202" s="19"/>
      <c r="Q202" s="19"/>
      <c r="R202" s="19"/>
      <c r="S202" s="19"/>
      <c r="T202" s="19"/>
      <c r="U202" s="19"/>
      <c r="V202" s="19"/>
    </row>
    <row r="203">
      <c r="A203" s="15">
        <v>45926.0</v>
      </c>
      <c r="B203" s="16" t="s">
        <v>369</v>
      </c>
      <c r="C203" s="16" t="s">
        <v>377</v>
      </c>
      <c r="D203" s="16" t="s">
        <v>378</v>
      </c>
      <c r="E203" s="16" t="s">
        <v>19</v>
      </c>
      <c r="F203" s="17" t="str">
        <f>IFERROR(__xludf.DUMMYFUNCTION("""COMPUTED_VALUE"""),"TG-BL-BMF-1A")</f>
        <v>TG-BL-BMF-1A</v>
      </c>
      <c r="G203" s="18">
        <v>9.5</v>
      </c>
      <c r="H203" s="19"/>
      <c r="I203" s="19"/>
      <c r="J203" s="19" t="s">
        <v>379</v>
      </c>
      <c r="K203" s="16">
        <v>9.5</v>
      </c>
      <c r="L203" s="16">
        <v>1.0</v>
      </c>
      <c r="M203" s="19"/>
      <c r="N203" s="20">
        <v>9.5</v>
      </c>
      <c r="O203" s="21" t="s">
        <v>22</v>
      </c>
      <c r="P203" s="19"/>
      <c r="Q203" s="19"/>
      <c r="R203" s="19"/>
      <c r="S203" s="19"/>
      <c r="T203" s="19"/>
      <c r="U203" s="19"/>
      <c r="V203" s="19"/>
    </row>
    <row r="204">
      <c r="A204" s="15">
        <v>45926.0</v>
      </c>
      <c r="B204" s="16" t="s">
        <v>369</v>
      </c>
      <c r="C204" s="16" t="s">
        <v>89</v>
      </c>
      <c r="D204" s="16" t="s">
        <v>380</v>
      </c>
      <c r="E204" s="16" t="s">
        <v>19</v>
      </c>
      <c r="F204" s="17" t="str">
        <f>IFERROR(__xludf.DUMMYFUNCTION("""COMPUTED_VALUE"""),"TG-FI-RE-1A")</f>
        <v>TG-FI-RE-1A</v>
      </c>
      <c r="G204" s="18">
        <v>9.5</v>
      </c>
      <c r="H204" s="19"/>
      <c r="I204" s="19"/>
      <c r="J204" s="19" t="s">
        <v>381</v>
      </c>
      <c r="K204" s="16">
        <v>19.0</v>
      </c>
      <c r="L204" s="16">
        <v>1.0</v>
      </c>
      <c r="M204" s="19"/>
      <c r="N204" s="20">
        <v>9.5</v>
      </c>
      <c r="O204" s="21" t="s">
        <v>22</v>
      </c>
      <c r="P204" s="19"/>
      <c r="Q204" s="19"/>
      <c r="R204" s="19"/>
      <c r="S204" s="19"/>
      <c r="T204" s="19"/>
      <c r="U204" s="19"/>
      <c r="V204" s="19"/>
    </row>
    <row r="205">
      <c r="A205" s="15">
        <v>45926.0</v>
      </c>
      <c r="B205" s="16" t="s">
        <v>369</v>
      </c>
      <c r="C205" s="16" t="s">
        <v>35</v>
      </c>
      <c r="D205" s="16" t="s">
        <v>36</v>
      </c>
      <c r="E205" s="16" t="s">
        <v>19</v>
      </c>
      <c r="F205" s="17" t="str">
        <f>IFERROR(__xludf.DUMMYFUNCTION("""COMPUTED_VALUE"""),"TG-CT-BM-1A")</f>
        <v>TG-CT-BM-1A</v>
      </c>
      <c r="G205" s="18">
        <v>9.5</v>
      </c>
      <c r="H205" s="19"/>
      <c r="I205" s="19"/>
      <c r="J205" s="19" t="s">
        <v>382</v>
      </c>
      <c r="K205" s="16">
        <v>19.0</v>
      </c>
      <c r="L205" s="16">
        <v>1.0</v>
      </c>
      <c r="M205" s="19"/>
      <c r="N205" s="20">
        <v>9.5</v>
      </c>
      <c r="O205" s="21" t="s">
        <v>22</v>
      </c>
      <c r="P205" s="19"/>
      <c r="Q205" s="19"/>
      <c r="R205" s="19"/>
      <c r="S205" s="19"/>
      <c r="T205" s="19"/>
      <c r="U205" s="19"/>
      <c r="V205" s="19"/>
    </row>
    <row r="206">
      <c r="A206" s="15">
        <v>45926.0</v>
      </c>
      <c r="B206" s="16" t="s">
        <v>369</v>
      </c>
      <c r="C206" s="16" t="s">
        <v>383</v>
      </c>
      <c r="D206" s="16" t="s">
        <v>384</v>
      </c>
      <c r="E206" s="16" t="s">
        <v>19</v>
      </c>
      <c r="F206" s="17" t="str">
        <f>IFERROR(__xludf.DUMMYFUNCTION("""COMPUTED_VALUE"""),"TG-MAR-LL-1A")</f>
        <v>TG-MAR-LL-1A</v>
      </c>
      <c r="G206" s="18">
        <v>9.5</v>
      </c>
      <c r="H206" s="19"/>
      <c r="I206" s="19"/>
      <c r="J206" s="19" t="s">
        <v>385</v>
      </c>
      <c r="K206" s="16">
        <v>19.0</v>
      </c>
      <c r="L206" s="16">
        <v>1.0</v>
      </c>
      <c r="M206" s="19"/>
      <c r="N206" s="20">
        <v>9.5</v>
      </c>
      <c r="O206" s="21" t="s">
        <v>22</v>
      </c>
      <c r="P206" s="19"/>
      <c r="Q206" s="19"/>
      <c r="R206" s="19"/>
      <c r="S206" s="19"/>
      <c r="T206" s="19"/>
      <c r="U206" s="19"/>
      <c r="V206" s="19"/>
    </row>
    <row r="207">
      <c r="A207" s="15">
        <v>45926.0</v>
      </c>
      <c r="B207" s="16" t="s">
        <v>369</v>
      </c>
      <c r="C207" s="16" t="s">
        <v>383</v>
      </c>
      <c r="D207" s="16" t="s">
        <v>386</v>
      </c>
      <c r="E207" s="16" t="s">
        <v>19</v>
      </c>
      <c r="F207" s="17" t="str">
        <f>IFERROR(__xludf.DUMMYFUNCTION("""COMPUTED_VALUE"""),"TG-MAR-LR-1A")</f>
        <v>TG-MAR-LR-1A</v>
      </c>
      <c r="G207" s="18">
        <v>9.5</v>
      </c>
      <c r="H207" s="19"/>
      <c r="I207" s="19"/>
      <c r="J207" s="19" t="s">
        <v>387</v>
      </c>
      <c r="K207" s="16">
        <v>19.0</v>
      </c>
      <c r="L207" s="16">
        <v>1.0</v>
      </c>
      <c r="M207" s="19"/>
      <c r="N207" s="20">
        <v>9.5</v>
      </c>
      <c r="O207" s="21" t="s">
        <v>22</v>
      </c>
      <c r="P207" s="19"/>
      <c r="Q207" s="19"/>
      <c r="R207" s="19"/>
      <c r="S207" s="19"/>
      <c r="T207" s="19"/>
      <c r="U207" s="19"/>
      <c r="V207" s="19"/>
    </row>
    <row r="208">
      <c r="A208" s="15">
        <v>45926.0</v>
      </c>
      <c r="B208" s="16" t="s">
        <v>369</v>
      </c>
      <c r="C208" s="16" t="s">
        <v>111</v>
      </c>
      <c r="D208" s="16" t="s">
        <v>388</v>
      </c>
      <c r="E208" s="16" t="s">
        <v>19</v>
      </c>
      <c r="F208" s="17" t="str">
        <f>IFERROR(__xludf.DUMMYFUNCTION("""COMPUTED_VALUE"""),"TG-HO-CA-1A")</f>
        <v>TG-HO-CA-1A</v>
      </c>
      <c r="G208" s="18">
        <v>9.5</v>
      </c>
      <c r="H208" s="19"/>
      <c r="I208" s="19"/>
      <c r="J208" s="19" t="s">
        <v>389</v>
      </c>
      <c r="K208" s="16">
        <v>19.0</v>
      </c>
      <c r="L208" s="16">
        <v>1.0</v>
      </c>
      <c r="M208" s="19"/>
      <c r="N208" s="20">
        <v>9.5</v>
      </c>
      <c r="O208" s="21" t="s">
        <v>22</v>
      </c>
      <c r="P208" s="19"/>
      <c r="Q208" s="19"/>
      <c r="R208" s="19"/>
      <c r="S208" s="19"/>
      <c r="T208" s="19"/>
      <c r="U208" s="19"/>
      <c r="V208" s="19"/>
    </row>
    <row r="209">
      <c r="A209" s="15">
        <v>45926.0</v>
      </c>
      <c r="B209" s="16" t="s">
        <v>369</v>
      </c>
      <c r="C209" s="16" t="s">
        <v>200</v>
      </c>
      <c r="D209" s="16" t="s">
        <v>390</v>
      </c>
      <c r="E209" s="16" t="s">
        <v>19</v>
      </c>
      <c r="F209" s="17" t="str">
        <f>IFERROR(__xludf.DUMMYFUNCTION("""COMPUTED_VALUE"""),"TG-CA-PIN-1A")</f>
        <v>TG-CA-PIN-1A</v>
      </c>
      <c r="G209" s="18">
        <v>9.5</v>
      </c>
      <c r="H209" s="19"/>
      <c r="I209" s="19"/>
      <c r="J209" s="19" t="s">
        <v>391</v>
      </c>
      <c r="K209" s="16">
        <v>19.0</v>
      </c>
      <c r="L209" s="16">
        <v>1.0</v>
      </c>
      <c r="M209" s="19"/>
      <c r="N209" s="20">
        <v>9.5</v>
      </c>
      <c r="O209" s="21" t="s">
        <v>22</v>
      </c>
      <c r="P209" s="19"/>
      <c r="Q209" s="19"/>
      <c r="R209" s="19"/>
      <c r="S209" s="19"/>
      <c r="T209" s="19"/>
      <c r="U209" s="19"/>
      <c r="V209" s="19"/>
    </row>
    <row r="210">
      <c r="A210" s="15">
        <v>45926.0</v>
      </c>
      <c r="B210" s="16" t="s">
        <v>369</v>
      </c>
      <c r="C210" s="16" t="s">
        <v>200</v>
      </c>
      <c r="D210" s="16" t="s">
        <v>392</v>
      </c>
      <c r="E210" s="16" t="s">
        <v>19</v>
      </c>
      <c r="F210" s="17" t="str">
        <f>IFERROR(__xludf.DUMMYFUNCTION("""COMPUTED_VALUE"""),"TG-CA-DOT-1A")</f>
        <v>TG-CA-DOT-1A</v>
      </c>
      <c r="G210" s="18">
        <v>9.5</v>
      </c>
      <c r="H210" s="19"/>
      <c r="I210" s="19"/>
      <c r="J210" s="19" t="s">
        <v>393</v>
      </c>
      <c r="K210" s="16">
        <v>19.0</v>
      </c>
      <c r="L210" s="16">
        <v>1.0</v>
      </c>
      <c r="M210" s="19"/>
      <c r="N210" s="20">
        <v>9.5</v>
      </c>
      <c r="O210" s="21" t="s">
        <v>22</v>
      </c>
      <c r="P210" s="19"/>
      <c r="Q210" s="19"/>
      <c r="R210" s="19"/>
      <c r="S210" s="19"/>
      <c r="T210" s="19"/>
      <c r="U210" s="19"/>
      <c r="V210" s="19"/>
    </row>
    <row r="211">
      <c r="A211" s="15">
        <v>45926.0</v>
      </c>
      <c r="B211" s="16" t="s">
        <v>369</v>
      </c>
      <c r="C211" s="16" t="s">
        <v>32</v>
      </c>
      <c r="D211" s="16" t="s">
        <v>394</v>
      </c>
      <c r="E211" s="16" t="s">
        <v>19</v>
      </c>
      <c r="F211" s="17" t="str">
        <f>IFERROR(__xludf.DUMMYFUNCTION("""COMPUTED_VALUE"""),"TG-PI-DS-1A")</f>
        <v>TG-PI-DS-1A</v>
      </c>
      <c r="G211" s="18">
        <v>9.5</v>
      </c>
      <c r="H211" s="19"/>
      <c r="I211" s="19"/>
      <c r="J211" s="19" t="s">
        <v>395</v>
      </c>
      <c r="K211" s="16">
        <v>19.0</v>
      </c>
      <c r="L211" s="16">
        <v>1.0</v>
      </c>
      <c r="M211" s="19"/>
      <c r="N211" s="20">
        <v>9.5</v>
      </c>
      <c r="O211" s="21" t="s">
        <v>22</v>
      </c>
      <c r="P211" s="19"/>
      <c r="Q211" s="19"/>
      <c r="R211" s="19"/>
      <c r="S211" s="19"/>
      <c r="T211" s="19"/>
      <c r="U211" s="19"/>
      <c r="V211" s="19"/>
    </row>
    <row r="212">
      <c r="A212" s="15">
        <v>45926.0</v>
      </c>
      <c r="B212" s="16" t="s">
        <v>369</v>
      </c>
      <c r="C212" s="16" t="s">
        <v>396</v>
      </c>
      <c r="D212" s="16" t="s">
        <v>160</v>
      </c>
      <c r="E212" s="16" t="s">
        <v>19</v>
      </c>
      <c r="F212" s="17" t="str">
        <f>IFERROR(__xludf.DUMMYFUNCTION("""COMPUTED_VALUE"""),"TG-HYP-PS-1A")</f>
        <v>TG-HYP-PS-1A</v>
      </c>
      <c r="G212" s="18">
        <v>9.5</v>
      </c>
      <c r="H212" s="19"/>
      <c r="I212" s="19"/>
      <c r="J212" s="19" t="s">
        <v>397</v>
      </c>
      <c r="K212" s="16">
        <v>19.0</v>
      </c>
      <c r="L212" s="16">
        <v>1.0</v>
      </c>
      <c r="M212" s="19"/>
      <c r="N212" s="20">
        <v>9.5</v>
      </c>
      <c r="O212" s="21" t="s">
        <v>22</v>
      </c>
      <c r="P212" s="19"/>
      <c r="Q212" s="19"/>
      <c r="R212" s="19"/>
      <c r="S212" s="19"/>
      <c r="T212" s="19"/>
      <c r="U212" s="19"/>
      <c r="V212" s="19"/>
    </row>
    <row r="213">
      <c r="A213" s="15">
        <v>45926.0</v>
      </c>
      <c r="B213" s="16" t="s">
        <v>369</v>
      </c>
      <c r="C213" s="16" t="s">
        <v>398</v>
      </c>
      <c r="D213" s="16" t="s">
        <v>399</v>
      </c>
      <c r="E213" s="16" t="s">
        <v>19</v>
      </c>
      <c r="F213" s="17" t="str">
        <f>IFERROR(__xludf.DUMMYFUNCTION("""COMPUTED_VALUE"""),"TG-CHL-SPI-1A")</f>
        <v>TG-CHL-SPI-1A</v>
      </c>
      <c r="G213" s="18">
        <v>9.5</v>
      </c>
      <c r="H213" s="19"/>
      <c r="I213" s="19"/>
      <c r="J213" s="19" t="s">
        <v>400</v>
      </c>
      <c r="K213" s="16">
        <v>19.0</v>
      </c>
      <c r="L213" s="16">
        <v>1.0</v>
      </c>
      <c r="M213" s="19"/>
      <c r="N213" s="20">
        <v>9.5</v>
      </c>
      <c r="O213" s="21" t="s">
        <v>22</v>
      </c>
      <c r="P213" s="19"/>
      <c r="Q213" s="19"/>
      <c r="R213" s="19"/>
      <c r="S213" s="19"/>
      <c r="T213" s="19"/>
      <c r="U213" s="19"/>
      <c r="V213" s="19"/>
    </row>
    <row r="214">
      <c r="A214" s="15">
        <v>45926.0</v>
      </c>
      <c r="B214" s="16" t="s">
        <v>369</v>
      </c>
      <c r="C214" s="16" t="s">
        <v>401</v>
      </c>
      <c r="D214" s="16" t="s">
        <v>402</v>
      </c>
      <c r="E214" s="16" t="s">
        <v>19</v>
      </c>
      <c r="F214" s="17" t="str">
        <f>IFERROR(__xludf.DUMMYFUNCTION("""COMPUTED_VALUE"""),"TG-CHA-EL-1A")</f>
        <v>TG-CHA-EL-1A</v>
      </c>
      <c r="G214" s="18">
        <v>9.5</v>
      </c>
      <c r="H214" s="19"/>
      <c r="I214" s="19"/>
      <c r="J214" s="19" t="s">
        <v>403</v>
      </c>
      <c r="K214" s="16">
        <v>19.0</v>
      </c>
      <c r="L214" s="16">
        <v>1.0</v>
      </c>
      <c r="M214" s="19"/>
      <c r="N214" s="20">
        <v>9.5</v>
      </c>
      <c r="O214" s="21" t="s">
        <v>22</v>
      </c>
      <c r="P214" s="19"/>
      <c r="Q214" s="19"/>
      <c r="R214" s="19"/>
      <c r="S214" s="19"/>
      <c r="T214" s="19"/>
      <c r="U214" s="19"/>
      <c r="V214" s="19"/>
    </row>
    <row r="215">
      <c r="A215" s="15">
        <v>45926.0</v>
      </c>
      <c r="B215" s="16" t="s">
        <v>369</v>
      </c>
      <c r="C215" s="16" t="s">
        <v>17</v>
      </c>
      <c r="D215" s="16" t="s">
        <v>404</v>
      </c>
      <c r="E215" s="16" t="s">
        <v>19</v>
      </c>
      <c r="F215" s="17" t="str">
        <f>IFERROR(__xludf.DUMMYFUNCTION("""COMPUTED_VALUE"""),"TG-BE-REX-1A")</f>
        <v>TG-BE-REX-1A</v>
      </c>
      <c r="G215" s="18">
        <v>9.5</v>
      </c>
      <c r="H215" s="19"/>
      <c r="I215" s="19"/>
      <c r="J215" s="19" t="s">
        <v>405</v>
      </c>
      <c r="K215" s="16">
        <v>19.0</v>
      </c>
      <c r="L215" s="16">
        <v>1.0</v>
      </c>
      <c r="M215" s="19"/>
      <c r="N215" s="20">
        <v>9.5</v>
      </c>
      <c r="O215" s="21" t="s">
        <v>22</v>
      </c>
      <c r="P215" s="19"/>
      <c r="Q215" s="19"/>
      <c r="R215" s="19"/>
      <c r="S215" s="19"/>
      <c r="T215" s="19"/>
      <c r="U215" s="19"/>
      <c r="V215" s="19"/>
    </row>
    <row r="216">
      <c r="A216" s="23">
        <v>42181.0</v>
      </c>
      <c r="B216" s="16" t="s">
        <v>16</v>
      </c>
      <c r="C216" s="16" t="s">
        <v>398</v>
      </c>
      <c r="D216" s="16" t="s">
        <v>399</v>
      </c>
      <c r="E216" s="16" t="s">
        <v>19</v>
      </c>
      <c r="F216" s="17" t="str">
        <f>IFERROR(__xludf.DUMMYFUNCTION("""COMPUTED_VALUE"""),"HS-CHL-SPI-1A")</f>
        <v>HS-CHL-SPI-1A</v>
      </c>
      <c r="G216" s="18">
        <v>0.0</v>
      </c>
      <c r="H216" s="19"/>
      <c r="I216" s="19"/>
      <c r="J216" s="19" t="s">
        <v>406</v>
      </c>
      <c r="K216" s="19"/>
      <c r="L216" s="16">
        <v>1.0</v>
      </c>
      <c r="M216" s="16" t="s">
        <v>407</v>
      </c>
      <c r="N216" s="20">
        <v>0.0</v>
      </c>
      <c r="O216" s="21" t="s">
        <v>22</v>
      </c>
      <c r="P216" s="19"/>
      <c r="Q216" s="19"/>
      <c r="R216" s="19"/>
      <c r="S216" s="19"/>
      <c r="T216" s="19"/>
      <c r="U216" s="19"/>
      <c r="V216" s="19"/>
    </row>
    <row r="217">
      <c r="A217" s="15">
        <v>42181.0</v>
      </c>
      <c r="B217" s="16" t="s">
        <v>16</v>
      </c>
      <c r="C217" s="16" t="s">
        <v>398</v>
      </c>
      <c r="D217" s="16" t="s">
        <v>399</v>
      </c>
      <c r="E217" s="16" t="s">
        <v>71</v>
      </c>
      <c r="F217" s="17" t="str">
        <f>IFERROR(__xludf.DUMMYFUNCTION("""COMPUTED_VALUE"""),"HS-CHL-SPI-1A-2")</f>
        <v>HS-CHL-SPI-1A-2</v>
      </c>
      <c r="G217" s="18">
        <v>0.0</v>
      </c>
      <c r="H217" s="19"/>
      <c r="I217" s="19"/>
      <c r="J217" s="19" t="s">
        <v>408</v>
      </c>
      <c r="K217" s="19"/>
      <c r="L217" s="16">
        <v>1.0</v>
      </c>
      <c r="M217" s="16" t="s">
        <v>171</v>
      </c>
      <c r="N217" s="20">
        <v>0.0</v>
      </c>
      <c r="O217" s="21" t="s">
        <v>22</v>
      </c>
      <c r="P217" s="19"/>
      <c r="Q217" s="19"/>
      <c r="R217" s="19"/>
      <c r="S217" s="19"/>
      <c r="T217" s="19"/>
      <c r="U217" s="19"/>
      <c r="V217" s="19"/>
    </row>
    <row r="218">
      <c r="A218" s="15">
        <v>45922.0</v>
      </c>
      <c r="B218" s="16" t="s">
        <v>138</v>
      </c>
      <c r="C218" s="16" t="s">
        <v>23</v>
      </c>
      <c r="D218" s="16" t="s">
        <v>153</v>
      </c>
      <c r="E218" s="16" t="s">
        <v>348</v>
      </c>
      <c r="F218" s="17" t="str">
        <f>IFERROR(__xludf.DUMMYFUNCTION("""COMPUTED_VALUE"""),"BWH-PO-PAJ-2A")</f>
        <v>BWH-PO-PAJ-2A</v>
      </c>
      <c r="G218" s="18">
        <v>7.8</v>
      </c>
      <c r="H218" s="19"/>
      <c r="I218" s="19"/>
      <c r="J218" s="19" t="s">
        <v>409</v>
      </c>
      <c r="K218" s="16">
        <v>16.99</v>
      </c>
      <c r="L218" s="16">
        <v>1.0</v>
      </c>
      <c r="M218" s="19"/>
      <c r="N218" s="20">
        <v>7.8</v>
      </c>
      <c r="O218" s="21" t="s">
        <v>22</v>
      </c>
      <c r="P218" s="19"/>
      <c r="Q218" s="19"/>
      <c r="R218" s="19"/>
      <c r="S218" s="19"/>
      <c r="T218" s="19"/>
      <c r="U218" s="19"/>
      <c r="V218" s="19"/>
    </row>
    <row r="219">
      <c r="A219" s="15">
        <v>45922.0</v>
      </c>
      <c r="B219" s="16" t="s">
        <v>138</v>
      </c>
      <c r="C219" s="16" t="s">
        <v>23</v>
      </c>
      <c r="D219" s="16" t="s">
        <v>153</v>
      </c>
      <c r="E219" s="16" t="s">
        <v>350</v>
      </c>
      <c r="F219" s="17" t="str">
        <f>IFERROR(__xludf.DUMMYFUNCTION("""COMPUTED_VALUE"""),"BWH-PO-PAJ-2A-2")</f>
        <v>BWH-PO-PAJ-2A-2</v>
      </c>
      <c r="G219" s="18">
        <v>7.8</v>
      </c>
      <c r="H219" s="19"/>
      <c r="I219" s="19"/>
      <c r="J219" s="19" t="s">
        <v>410</v>
      </c>
      <c r="K219" s="16">
        <v>16.99</v>
      </c>
      <c r="L219" s="16">
        <v>1.0</v>
      </c>
      <c r="M219" s="19"/>
      <c r="N219" s="20">
        <v>7.8</v>
      </c>
      <c r="O219" s="21" t="s">
        <v>22</v>
      </c>
      <c r="P219" s="19"/>
      <c r="Q219" s="19"/>
      <c r="R219" s="19"/>
      <c r="S219" s="19"/>
      <c r="T219" s="19"/>
      <c r="U219" s="19"/>
      <c r="V219" s="19"/>
    </row>
    <row r="220">
      <c r="A220" s="15">
        <v>45922.0</v>
      </c>
      <c r="B220" s="16" t="s">
        <v>138</v>
      </c>
      <c r="C220" s="16" t="s">
        <v>23</v>
      </c>
      <c r="D220" s="16" t="s">
        <v>153</v>
      </c>
      <c r="E220" s="16" t="s">
        <v>352</v>
      </c>
      <c r="F220" s="17" t="str">
        <f>IFERROR(__xludf.DUMMYFUNCTION("""COMPUTED_VALUE"""),"BWH-PO-PAJ-2A-3")</f>
        <v>BWH-PO-PAJ-2A-3</v>
      </c>
      <c r="G220" s="18">
        <v>7.8</v>
      </c>
      <c r="H220" s="19"/>
      <c r="I220" s="19"/>
      <c r="J220" s="19" t="s">
        <v>411</v>
      </c>
      <c r="K220" s="16">
        <v>16.99</v>
      </c>
      <c r="L220" s="16">
        <v>1.0</v>
      </c>
      <c r="M220" s="19"/>
      <c r="N220" s="20">
        <v>7.8</v>
      </c>
      <c r="O220" s="21" t="s">
        <v>22</v>
      </c>
      <c r="P220" s="19"/>
      <c r="Q220" s="19"/>
      <c r="R220" s="19"/>
      <c r="S220" s="19"/>
      <c r="T220" s="19"/>
      <c r="U220" s="19"/>
      <c r="V220" s="19"/>
    </row>
    <row r="221">
      <c r="A221" s="15">
        <v>45922.0</v>
      </c>
      <c r="B221" s="16" t="s">
        <v>138</v>
      </c>
      <c r="C221" s="16" t="s">
        <v>23</v>
      </c>
      <c r="D221" s="16" t="s">
        <v>153</v>
      </c>
      <c r="E221" s="16" t="s">
        <v>354</v>
      </c>
      <c r="F221" s="17" t="str">
        <f>IFERROR(__xludf.DUMMYFUNCTION("""COMPUTED_VALUE"""),"BWH-PO-PAJ-2A-4")</f>
        <v>BWH-PO-PAJ-2A-4</v>
      </c>
      <c r="G221" s="18">
        <v>7.8</v>
      </c>
      <c r="H221" s="19"/>
      <c r="I221" s="19"/>
      <c r="J221" s="19" t="s">
        <v>412</v>
      </c>
      <c r="K221" s="16">
        <v>16.99</v>
      </c>
      <c r="L221" s="16">
        <v>1.0</v>
      </c>
      <c r="M221" s="19"/>
      <c r="N221" s="20">
        <v>7.8</v>
      </c>
      <c r="O221" s="21" t="s">
        <v>22</v>
      </c>
      <c r="P221" s="19"/>
      <c r="Q221" s="19"/>
      <c r="R221" s="19"/>
      <c r="S221" s="19"/>
      <c r="T221" s="19"/>
      <c r="U221" s="19"/>
      <c r="V221" s="19"/>
    </row>
    <row r="222">
      <c r="A222" s="15">
        <v>45922.0</v>
      </c>
      <c r="B222" s="16" t="s">
        <v>138</v>
      </c>
      <c r="C222" s="16" t="s">
        <v>23</v>
      </c>
      <c r="D222" s="16" t="s">
        <v>153</v>
      </c>
      <c r="E222" s="16" t="s">
        <v>356</v>
      </c>
      <c r="F222" s="17" t="str">
        <f>IFERROR(__xludf.DUMMYFUNCTION("""COMPUTED_VALUE"""),"BWH-PO-PAJ-2A-5")</f>
        <v>BWH-PO-PAJ-2A-5</v>
      </c>
      <c r="G222" s="18">
        <v>7.8</v>
      </c>
      <c r="H222" s="19"/>
      <c r="I222" s="19"/>
      <c r="J222" s="19" t="s">
        <v>413</v>
      </c>
      <c r="K222" s="16">
        <v>16.99</v>
      </c>
      <c r="L222" s="16">
        <v>1.0</v>
      </c>
      <c r="M222" s="19"/>
      <c r="N222" s="20">
        <v>7.8</v>
      </c>
      <c r="O222" s="21" t="s">
        <v>22</v>
      </c>
      <c r="P222" s="19"/>
      <c r="Q222" s="19"/>
      <c r="R222" s="19"/>
      <c r="S222" s="19"/>
      <c r="T222" s="19"/>
      <c r="U222" s="19"/>
      <c r="V222" s="19"/>
    </row>
    <row r="223">
      <c r="A223" s="15">
        <v>45922.0</v>
      </c>
      <c r="B223" s="16" t="s">
        <v>138</v>
      </c>
      <c r="C223" s="16" t="s">
        <v>51</v>
      </c>
      <c r="D223" s="16" t="s">
        <v>77</v>
      </c>
      <c r="E223" s="16" t="s">
        <v>19</v>
      </c>
      <c r="F223" s="17" t="str">
        <f>IFERROR(__xludf.DUMMYFUNCTION("""COMPUTED_VALUE"""),"BWH-MA-AD-1A")</f>
        <v>BWH-MA-AD-1A</v>
      </c>
      <c r="G223" s="18">
        <v>6.9</v>
      </c>
      <c r="H223" s="19"/>
      <c r="I223" s="19"/>
      <c r="J223" s="19" t="s">
        <v>414</v>
      </c>
      <c r="K223" s="16">
        <v>14.99</v>
      </c>
      <c r="L223" s="16">
        <v>1.0</v>
      </c>
      <c r="M223" s="19"/>
      <c r="N223" s="20">
        <v>6.9</v>
      </c>
      <c r="O223" s="21" t="s">
        <v>22</v>
      </c>
      <c r="P223" s="19"/>
      <c r="Q223" s="19"/>
      <c r="R223" s="19"/>
      <c r="S223" s="19"/>
      <c r="T223" s="19"/>
      <c r="U223" s="19"/>
      <c r="V223" s="19"/>
    </row>
    <row r="224">
      <c r="A224" s="15">
        <v>45922.0</v>
      </c>
      <c r="B224" s="16" t="s">
        <v>138</v>
      </c>
      <c r="C224" s="16" t="s">
        <v>51</v>
      </c>
      <c r="D224" s="16" t="s">
        <v>77</v>
      </c>
      <c r="E224" s="16" t="s">
        <v>71</v>
      </c>
      <c r="F224" s="17" t="str">
        <f>IFERROR(__xludf.DUMMYFUNCTION("""COMPUTED_VALUE"""),"BWH-MA-AD-1A-2")</f>
        <v>BWH-MA-AD-1A-2</v>
      </c>
      <c r="G224" s="18">
        <v>6.9</v>
      </c>
      <c r="H224" s="19"/>
      <c r="I224" s="19"/>
      <c r="J224" s="19" t="s">
        <v>415</v>
      </c>
      <c r="K224" s="16">
        <v>14.99</v>
      </c>
      <c r="L224" s="16">
        <v>1.0</v>
      </c>
      <c r="M224" s="19"/>
      <c r="N224" s="20">
        <v>6.9</v>
      </c>
      <c r="O224" s="21" t="s">
        <v>22</v>
      </c>
      <c r="P224" s="19"/>
      <c r="Q224" s="19"/>
      <c r="R224" s="19"/>
      <c r="S224" s="19"/>
      <c r="T224" s="19"/>
      <c r="U224" s="19"/>
      <c r="V224" s="19"/>
    </row>
    <row r="225">
      <c r="A225" s="15">
        <v>45922.0</v>
      </c>
      <c r="B225" s="16" t="s">
        <v>138</v>
      </c>
      <c r="C225" s="16" t="s">
        <v>51</v>
      </c>
      <c r="D225" s="16" t="s">
        <v>77</v>
      </c>
      <c r="E225" s="16" t="s">
        <v>129</v>
      </c>
      <c r="F225" s="17" t="str">
        <f>IFERROR(__xludf.DUMMYFUNCTION("""COMPUTED_VALUE"""),"BWH-MA-AD-1A-3")</f>
        <v>BWH-MA-AD-1A-3</v>
      </c>
      <c r="G225" s="18">
        <v>6.9</v>
      </c>
      <c r="H225" s="19"/>
      <c r="I225" s="19"/>
      <c r="J225" s="19" t="s">
        <v>416</v>
      </c>
      <c r="K225" s="16">
        <v>14.99</v>
      </c>
      <c r="L225" s="16">
        <v>1.0</v>
      </c>
      <c r="M225" s="19"/>
      <c r="N225" s="20">
        <v>6.9</v>
      </c>
      <c r="O225" s="21" t="s">
        <v>22</v>
      </c>
      <c r="P225" s="19"/>
      <c r="Q225" s="19"/>
      <c r="R225" s="19"/>
      <c r="S225" s="19"/>
      <c r="T225" s="19"/>
      <c r="U225" s="19"/>
      <c r="V225" s="19"/>
    </row>
    <row r="226">
      <c r="A226" s="15">
        <v>45922.0</v>
      </c>
      <c r="B226" s="16" t="s">
        <v>138</v>
      </c>
      <c r="C226" s="16" t="s">
        <v>51</v>
      </c>
      <c r="D226" s="16" t="s">
        <v>77</v>
      </c>
      <c r="E226" s="16" t="s">
        <v>143</v>
      </c>
      <c r="F226" s="17" t="str">
        <f>IFERROR(__xludf.DUMMYFUNCTION("""COMPUTED_VALUE"""),"BWH-MA-AD-1A-4")</f>
        <v>BWH-MA-AD-1A-4</v>
      </c>
      <c r="G226" s="18">
        <v>6.9</v>
      </c>
      <c r="H226" s="19"/>
      <c r="I226" s="19"/>
      <c r="J226" s="19" t="s">
        <v>417</v>
      </c>
      <c r="K226" s="16">
        <v>14.99</v>
      </c>
      <c r="L226" s="16">
        <v>1.0</v>
      </c>
      <c r="M226" s="19"/>
      <c r="N226" s="20">
        <v>6.9</v>
      </c>
      <c r="O226" s="21" t="s">
        <v>22</v>
      </c>
      <c r="P226" s="19"/>
      <c r="Q226" s="19"/>
      <c r="R226" s="19"/>
      <c r="S226" s="19"/>
      <c r="T226" s="19"/>
      <c r="U226" s="19"/>
      <c r="V226" s="19"/>
    </row>
    <row r="227">
      <c r="A227" s="15">
        <v>45922.0</v>
      </c>
      <c r="B227" s="16" t="s">
        <v>138</v>
      </c>
      <c r="C227" s="16" t="s">
        <v>51</v>
      </c>
      <c r="D227" s="16" t="s">
        <v>77</v>
      </c>
      <c r="E227" s="16" t="s">
        <v>145</v>
      </c>
      <c r="F227" s="17" t="str">
        <f>IFERROR(__xludf.DUMMYFUNCTION("""COMPUTED_VALUE"""),"BWH-MA-AD-1A-5")</f>
        <v>BWH-MA-AD-1A-5</v>
      </c>
      <c r="G227" s="18">
        <v>6.9</v>
      </c>
      <c r="H227" s="19"/>
      <c r="I227" s="19"/>
      <c r="J227" s="19" t="s">
        <v>418</v>
      </c>
      <c r="K227" s="16">
        <v>14.99</v>
      </c>
      <c r="L227" s="16">
        <v>1.0</v>
      </c>
      <c r="M227" s="16" t="s">
        <v>38</v>
      </c>
      <c r="N227" s="20">
        <v>6.9</v>
      </c>
      <c r="O227" s="21" t="s">
        <v>22</v>
      </c>
      <c r="P227" s="19"/>
      <c r="Q227" s="19"/>
      <c r="R227" s="19"/>
      <c r="S227" s="19"/>
      <c r="T227" s="19"/>
      <c r="U227" s="19"/>
      <c r="V227" s="19"/>
    </row>
    <row r="228">
      <c r="A228" s="15">
        <v>45922.0</v>
      </c>
      <c r="B228" s="16" t="s">
        <v>138</v>
      </c>
      <c r="C228" s="16" t="s">
        <v>200</v>
      </c>
      <c r="D228" s="16" t="s">
        <v>419</v>
      </c>
      <c r="E228" s="16" t="s">
        <v>19</v>
      </c>
      <c r="F228" s="17" t="str">
        <f>IFERROR(__xludf.DUMMYFUNCTION("""COMPUTED_VALUE"""),"BWH-CA-FW-1A")</f>
        <v>BWH-CA-FW-1A</v>
      </c>
      <c r="G228" s="18">
        <v>10.2</v>
      </c>
      <c r="H228" s="19"/>
      <c r="I228" s="19"/>
      <c r="J228" s="19" t="s">
        <v>420</v>
      </c>
      <c r="K228" s="16">
        <v>21.99</v>
      </c>
      <c r="L228" s="16">
        <v>1.0</v>
      </c>
      <c r="M228" s="16" t="s">
        <v>38</v>
      </c>
      <c r="N228" s="20">
        <v>10.2</v>
      </c>
      <c r="O228" s="21" t="s">
        <v>22</v>
      </c>
      <c r="P228" s="19"/>
      <c r="Q228" s="19"/>
      <c r="R228" s="19"/>
      <c r="S228" s="19"/>
      <c r="T228" s="19"/>
      <c r="U228" s="19"/>
      <c r="V228" s="19"/>
    </row>
    <row r="229">
      <c r="A229" s="15">
        <v>45922.0</v>
      </c>
      <c r="B229" s="16" t="s">
        <v>138</v>
      </c>
      <c r="C229" s="16" t="s">
        <v>200</v>
      </c>
      <c r="D229" s="16" t="s">
        <v>419</v>
      </c>
      <c r="E229" s="16" t="s">
        <v>71</v>
      </c>
      <c r="F229" s="17" t="str">
        <f>IFERROR(__xludf.DUMMYFUNCTION("""COMPUTED_VALUE"""),"BWH-CA-FW-1A-2")</f>
        <v>BWH-CA-FW-1A-2</v>
      </c>
      <c r="G229" s="18">
        <v>10.2</v>
      </c>
      <c r="H229" s="19"/>
      <c r="I229" s="19"/>
      <c r="J229" s="19" t="s">
        <v>421</v>
      </c>
      <c r="K229" s="16">
        <v>21.99</v>
      </c>
      <c r="L229" s="16">
        <v>1.0</v>
      </c>
      <c r="M229" s="16" t="s">
        <v>38</v>
      </c>
      <c r="N229" s="20">
        <v>10.2</v>
      </c>
      <c r="O229" s="21" t="s">
        <v>22</v>
      </c>
      <c r="P229" s="19"/>
      <c r="Q229" s="19"/>
      <c r="R229" s="19"/>
      <c r="S229" s="19"/>
      <c r="T229" s="19"/>
      <c r="U229" s="19"/>
      <c r="V229" s="19"/>
    </row>
    <row r="230">
      <c r="A230" s="15">
        <v>45922.0</v>
      </c>
      <c r="B230" s="16" t="s">
        <v>138</v>
      </c>
      <c r="C230" s="16" t="s">
        <v>200</v>
      </c>
      <c r="D230" s="16" t="s">
        <v>419</v>
      </c>
      <c r="E230" s="16" t="s">
        <v>129</v>
      </c>
      <c r="F230" s="17" t="str">
        <f>IFERROR(__xludf.DUMMYFUNCTION("""COMPUTED_VALUE"""),"BWH-CA-FW-1A-3")</f>
        <v>BWH-CA-FW-1A-3</v>
      </c>
      <c r="G230" s="18">
        <v>10.2</v>
      </c>
      <c r="H230" s="19"/>
      <c r="I230" s="19"/>
      <c r="J230" s="19" t="s">
        <v>422</v>
      </c>
      <c r="K230" s="16">
        <v>21.99</v>
      </c>
      <c r="L230" s="16">
        <v>1.0</v>
      </c>
      <c r="M230" s="16" t="s">
        <v>38</v>
      </c>
      <c r="N230" s="20">
        <v>10.2</v>
      </c>
      <c r="O230" s="21" t="s">
        <v>22</v>
      </c>
      <c r="P230" s="19"/>
      <c r="Q230" s="19"/>
      <c r="R230" s="19"/>
      <c r="S230" s="19"/>
      <c r="T230" s="19"/>
      <c r="U230" s="19"/>
      <c r="V230" s="19"/>
    </row>
    <row r="231">
      <c r="A231" s="15">
        <v>45922.0</v>
      </c>
      <c r="B231" s="16" t="s">
        <v>138</v>
      </c>
      <c r="C231" s="16" t="s">
        <v>200</v>
      </c>
      <c r="D231" s="16" t="s">
        <v>419</v>
      </c>
      <c r="E231" s="16" t="s">
        <v>143</v>
      </c>
      <c r="F231" s="17" t="str">
        <f>IFERROR(__xludf.DUMMYFUNCTION("""COMPUTED_VALUE"""),"BWH-CA-FW-1A-4")</f>
        <v>BWH-CA-FW-1A-4</v>
      </c>
      <c r="G231" s="18">
        <v>10.2</v>
      </c>
      <c r="H231" s="19"/>
      <c r="I231" s="19"/>
      <c r="J231" s="19" t="s">
        <v>423</v>
      </c>
      <c r="K231" s="16">
        <v>21.99</v>
      </c>
      <c r="L231" s="16">
        <v>1.0</v>
      </c>
      <c r="M231" s="16" t="s">
        <v>38</v>
      </c>
      <c r="N231" s="20">
        <v>10.2</v>
      </c>
      <c r="O231" s="21" t="s">
        <v>22</v>
      </c>
      <c r="P231" s="19"/>
      <c r="Q231" s="19"/>
      <c r="R231" s="19"/>
      <c r="S231" s="19"/>
      <c r="T231" s="19"/>
      <c r="U231" s="19"/>
      <c r="V231" s="19"/>
    </row>
    <row r="232">
      <c r="A232" s="15">
        <v>45922.0</v>
      </c>
      <c r="B232" s="16" t="s">
        <v>138</v>
      </c>
      <c r="C232" s="16" t="s">
        <v>200</v>
      </c>
      <c r="D232" s="16" t="s">
        <v>419</v>
      </c>
      <c r="E232" s="16" t="s">
        <v>145</v>
      </c>
      <c r="F232" s="17" t="str">
        <f>IFERROR(__xludf.DUMMYFUNCTION("""COMPUTED_VALUE"""),"BWH-CA-FW-1A-5")</f>
        <v>BWH-CA-FW-1A-5</v>
      </c>
      <c r="G232" s="18">
        <v>10.2</v>
      </c>
      <c r="H232" s="19"/>
      <c r="I232" s="19"/>
      <c r="J232" s="19" t="s">
        <v>424</v>
      </c>
      <c r="K232" s="16">
        <v>21.99</v>
      </c>
      <c r="L232" s="16">
        <v>1.0</v>
      </c>
      <c r="M232" s="16" t="s">
        <v>38</v>
      </c>
      <c r="N232" s="20">
        <v>10.2</v>
      </c>
      <c r="O232" s="21" t="s">
        <v>22</v>
      </c>
      <c r="P232" s="19"/>
      <c r="Q232" s="19"/>
      <c r="R232" s="19"/>
      <c r="S232" s="19"/>
      <c r="T232" s="19"/>
      <c r="U232" s="19"/>
      <c r="V232" s="19"/>
    </row>
    <row r="233">
      <c r="A233" s="15">
        <v>45922.0</v>
      </c>
      <c r="B233" s="16" t="s">
        <v>138</v>
      </c>
      <c r="C233" s="16" t="s">
        <v>26</v>
      </c>
      <c r="D233" s="16" t="s">
        <v>30</v>
      </c>
      <c r="E233" s="16" t="s">
        <v>19</v>
      </c>
      <c r="F233" s="17" t="str">
        <f>IFERROR(__xludf.DUMMYFUNCTION("""COMPUTED_VALUE"""),"BWH-PH-BRL-1A")</f>
        <v>BWH-PH-BRL-1A</v>
      </c>
      <c r="G233" s="18">
        <v>7.8</v>
      </c>
      <c r="H233" s="19"/>
      <c r="I233" s="19"/>
      <c r="J233" s="19" t="s">
        <v>425</v>
      </c>
      <c r="K233" s="16">
        <v>16.99</v>
      </c>
      <c r="L233" s="16">
        <v>1.0</v>
      </c>
      <c r="M233" s="19"/>
      <c r="N233" s="20">
        <v>7.8</v>
      </c>
      <c r="O233" s="21" t="s">
        <v>22</v>
      </c>
      <c r="P233" s="19"/>
      <c r="Q233" s="19"/>
      <c r="R233" s="19"/>
      <c r="S233" s="19"/>
      <c r="T233" s="19"/>
      <c r="U233" s="19"/>
      <c r="V233" s="19"/>
    </row>
    <row r="234">
      <c r="A234" s="15">
        <v>45922.0</v>
      </c>
      <c r="B234" s="16" t="s">
        <v>138</v>
      </c>
      <c r="C234" s="16" t="s">
        <v>26</v>
      </c>
      <c r="D234" s="16" t="s">
        <v>30</v>
      </c>
      <c r="E234" s="16" t="s">
        <v>71</v>
      </c>
      <c r="F234" s="17" t="str">
        <f>IFERROR(__xludf.DUMMYFUNCTION("""COMPUTED_VALUE"""),"BWH-PH-BRL-1A-2")</f>
        <v>BWH-PH-BRL-1A-2</v>
      </c>
      <c r="G234" s="18">
        <v>7.8</v>
      </c>
      <c r="H234" s="19"/>
      <c r="I234" s="19"/>
      <c r="J234" s="19" t="s">
        <v>426</v>
      </c>
      <c r="K234" s="16">
        <v>16.99</v>
      </c>
      <c r="L234" s="16">
        <v>1.0</v>
      </c>
      <c r="M234" s="19"/>
      <c r="N234" s="20">
        <v>7.8</v>
      </c>
      <c r="O234" s="21" t="s">
        <v>22</v>
      </c>
      <c r="P234" s="19"/>
      <c r="Q234" s="19"/>
      <c r="R234" s="19"/>
      <c r="S234" s="19"/>
      <c r="T234" s="19"/>
      <c r="U234" s="19"/>
      <c r="V234" s="19"/>
    </row>
    <row r="235">
      <c r="A235" s="15">
        <v>45922.0</v>
      </c>
      <c r="B235" s="16" t="s">
        <v>138</v>
      </c>
      <c r="C235" s="16" t="s">
        <v>26</v>
      </c>
      <c r="D235" s="16" t="s">
        <v>30</v>
      </c>
      <c r="E235" s="16" t="s">
        <v>129</v>
      </c>
      <c r="F235" s="17" t="str">
        <f>IFERROR(__xludf.DUMMYFUNCTION("""COMPUTED_VALUE"""),"BWH-PH-BRL-1A-3")</f>
        <v>BWH-PH-BRL-1A-3</v>
      </c>
      <c r="G235" s="18">
        <v>7.8</v>
      </c>
      <c r="H235" s="19"/>
      <c r="I235" s="19"/>
      <c r="J235" s="19" t="s">
        <v>427</v>
      </c>
      <c r="K235" s="16">
        <v>16.99</v>
      </c>
      <c r="L235" s="16">
        <v>1.0</v>
      </c>
      <c r="M235" s="19"/>
      <c r="N235" s="20">
        <v>7.8</v>
      </c>
      <c r="O235" s="21" t="s">
        <v>22</v>
      </c>
      <c r="P235" s="19"/>
      <c r="Q235" s="19"/>
      <c r="R235" s="19"/>
      <c r="S235" s="19"/>
      <c r="T235" s="19"/>
      <c r="U235" s="19"/>
      <c r="V235" s="19"/>
    </row>
    <row r="236">
      <c r="A236" s="15">
        <v>45922.0</v>
      </c>
      <c r="B236" s="16" t="s">
        <v>138</v>
      </c>
      <c r="C236" s="16" t="s">
        <v>26</v>
      </c>
      <c r="D236" s="16" t="s">
        <v>30</v>
      </c>
      <c r="E236" s="16" t="s">
        <v>143</v>
      </c>
      <c r="F236" s="17" t="str">
        <f>IFERROR(__xludf.DUMMYFUNCTION("""COMPUTED_VALUE"""),"BWH-PH-BRL-1A-4")</f>
        <v>BWH-PH-BRL-1A-4</v>
      </c>
      <c r="G236" s="18">
        <v>7.8</v>
      </c>
      <c r="H236" s="19"/>
      <c r="I236" s="19"/>
      <c r="J236" s="19" t="s">
        <v>428</v>
      </c>
      <c r="K236" s="16">
        <v>16.99</v>
      </c>
      <c r="L236" s="16">
        <v>1.0</v>
      </c>
      <c r="M236" s="19"/>
      <c r="N236" s="20">
        <v>7.8</v>
      </c>
      <c r="O236" s="21" t="s">
        <v>22</v>
      </c>
      <c r="P236" s="19"/>
      <c r="Q236" s="19"/>
      <c r="R236" s="19"/>
      <c r="S236" s="19"/>
      <c r="T236" s="19"/>
      <c r="U236" s="19"/>
      <c r="V236" s="19"/>
    </row>
    <row r="237">
      <c r="A237" s="15">
        <v>45922.0</v>
      </c>
      <c r="B237" s="16" t="s">
        <v>138</v>
      </c>
      <c r="C237" s="16" t="s">
        <v>26</v>
      </c>
      <c r="D237" s="16" t="s">
        <v>30</v>
      </c>
      <c r="E237" s="16" t="s">
        <v>145</v>
      </c>
      <c r="F237" s="17" t="str">
        <f>IFERROR(__xludf.DUMMYFUNCTION("""COMPUTED_VALUE"""),"BWH-PH-BRL-1A-5")</f>
        <v>BWH-PH-BRL-1A-5</v>
      </c>
      <c r="G237" s="18">
        <v>7.8</v>
      </c>
      <c r="H237" s="19"/>
      <c r="I237" s="19"/>
      <c r="J237" s="19" t="s">
        <v>429</v>
      </c>
      <c r="K237" s="16">
        <v>16.99</v>
      </c>
      <c r="L237" s="16">
        <v>1.0</v>
      </c>
      <c r="M237" s="19"/>
      <c r="N237" s="20">
        <v>7.8</v>
      </c>
      <c r="O237" s="21" t="s">
        <v>22</v>
      </c>
      <c r="P237" s="19"/>
      <c r="Q237" s="19"/>
      <c r="R237" s="19"/>
      <c r="S237" s="19"/>
      <c r="T237" s="19"/>
      <c r="U237" s="19"/>
      <c r="V237" s="19"/>
    </row>
    <row r="238">
      <c r="A238" s="15">
        <v>45922.0</v>
      </c>
      <c r="B238" s="16" t="s">
        <v>138</v>
      </c>
      <c r="C238" s="16" t="s">
        <v>200</v>
      </c>
      <c r="D238" s="16" t="s">
        <v>201</v>
      </c>
      <c r="E238" s="16" t="s">
        <v>19</v>
      </c>
      <c r="F238" s="17" t="str">
        <f>IFERROR(__xludf.DUMMYFUNCTION("""COMPUTED_VALUE"""),"BWH-CA-MA-1A")</f>
        <v>BWH-CA-MA-1A</v>
      </c>
      <c r="G238" s="18">
        <v>8.1</v>
      </c>
      <c r="H238" s="19"/>
      <c r="I238" s="19"/>
      <c r="J238" s="19" t="s">
        <v>430</v>
      </c>
      <c r="K238" s="16">
        <v>16.99</v>
      </c>
      <c r="L238" s="16">
        <v>1.0</v>
      </c>
      <c r="M238" s="19"/>
      <c r="N238" s="20">
        <v>8.1</v>
      </c>
      <c r="O238" s="21" t="s">
        <v>22</v>
      </c>
      <c r="P238" s="19"/>
      <c r="Q238" s="19"/>
      <c r="R238" s="19"/>
      <c r="S238" s="19"/>
      <c r="T238" s="19"/>
      <c r="U238" s="19"/>
      <c r="V238" s="19"/>
    </row>
    <row r="239">
      <c r="A239" s="15">
        <v>45922.0</v>
      </c>
      <c r="B239" s="16" t="s">
        <v>138</v>
      </c>
      <c r="C239" s="16" t="s">
        <v>200</v>
      </c>
      <c r="D239" s="16" t="s">
        <v>201</v>
      </c>
      <c r="E239" s="16" t="s">
        <v>71</v>
      </c>
      <c r="F239" s="17" t="str">
        <f>IFERROR(__xludf.DUMMYFUNCTION("""COMPUTED_VALUE"""),"BWH-CA-MA-1A-2")</f>
        <v>BWH-CA-MA-1A-2</v>
      </c>
      <c r="G239" s="18">
        <v>8.1</v>
      </c>
      <c r="H239" s="19"/>
      <c r="I239" s="19"/>
      <c r="J239" s="19" t="s">
        <v>431</v>
      </c>
      <c r="K239" s="16">
        <v>16.99</v>
      </c>
      <c r="L239" s="16">
        <v>1.0</v>
      </c>
      <c r="M239" s="19"/>
      <c r="N239" s="20">
        <v>8.1</v>
      </c>
      <c r="O239" s="21" t="s">
        <v>22</v>
      </c>
      <c r="P239" s="19"/>
      <c r="Q239" s="19"/>
      <c r="R239" s="19"/>
      <c r="S239" s="19"/>
      <c r="T239" s="19"/>
      <c r="U239" s="19"/>
      <c r="V239" s="19"/>
    </row>
    <row r="240">
      <c r="A240" s="15">
        <v>45922.0</v>
      </c>
      <c r="B240" s="16" t="s">
        <v>138</v>
      </c>
      <c r="C240" s="16" t="s">
        <v>200</v>
      </c>
      <c r="D240" s="16" t="s">
        <v>201</v>
      </c>
      <c r="E240" s="16" t="s">
        <v>129</v>
      </c>
      <c r="F240" s="17" t="str">
        <f>IFERROR(__xludf.DUMMYFUNCTION("""COMPUTED_VALUE"""),"BWH-CA-MA-1A-3")</f>
        <v>BWH-CA-MA-1A-3</v>
      </c>
      <c r="G240" s="18">
        <v>8.1</v>
      </c>
      <c r="H240" s="19"/>
      <c r="I240" s="19"/>
      <c r="J240" s="19" t="s">
        <v>432</v>
      </c>
      <c r="K240" s="16">
        <v>16.99</v>
      </c>
      <c r="L240" s="16">
        <v>1.0</v>
      </c>
      <c r="M240" s="19"/>
      <c r="N240" s="20">
        <v>8.1</v>
      </c>
      <c r="O240" s="21" t="s">
        <v>22</v>
      </c>
      <c r="P240" s="19"/>
      <c r="Q240" s="19"/>
      <c r="R240" s="19"/>
      <c r="S240" s="19"/>
      <c r="T240" s="19"/>
      <c r="U240" s="19"/>
      <c r="V240" s="19"/>
    </row>
    <row r="241">
      <c r="A241" s="15">
        <v>45922.0</v>
      </c>
      <c r="B241" s="16" t="s">
        <v>138</v>
      </c>
      <c r="C241" s="16" t="s">
        <v>200</v>
      </c>
      <c r="D241" s="16" t="s">
        <v>201</v>
      </c>
      <c r="E241" s="16" t="s">
        <v>143</v>
      </c>
      <c r="F241" s="17" t="str">
        <f>IFERROR(__xludf.DUMMYFUNCTION("""COMPUTED_VALUE"""),"BWH-CA-MA-1A-4")</f>
        <v>BWH-CA-MA-1A-4</v>
      </c>
      <c r="G241" s="18">
        <v>8.1</v>
      </c>
      <c r="H241" s="19"/>
      <c r="I241" s="19"/>
      <c r="J241" s="19" t="s">
        <v>433</v>
      </c>
      <c r="K241" s="16">
        <v>16.99</v>
      </c>
      <c r="L241" s="16">
        <v>1.0</v>
      </c>
      <c r="M241" s="19"/>
      <c r="N241" s="20">
        <v>8.1</v>
      </c>
      <c r="O241" s="21" t="s">
        <v>22</v>
      </c>
      <c r="P241" s="19"/>
      <c r="Q241" s="19"/>
      <c r="R241" s="19"/>
      <c r="S241" s="19"/>
      <c r="T241" s="19"/>
      <c r="U241" s="19"/>
      <c r="V241" s="19"/>
    </row>
    <row r="242">
      <c r="A242" s="15">
        <v>45922.0</v>
      </c>
      <c r="B242" s="16" t="s">
        <v>138</v>
      </c>
      <c r="C242" s="16" t="s">
        <v>200</v>
      </c>
      <c r="D242" s="16" t="s">
        <v>201</v>
      </c>
      <c r="E242" s="16" t="s">
        <v>145</v>
      </c>
      <c r="F242" s="17" t="str">
        <f>IFERROR(__xludf.DUMMYFUNCTION("""COMPUTED_VALUE"""),"BWH-CA-MA-1A-5")</f>
        <v>BWH-CA-MA-1A-5</v>
      </c>
      <c r="G242" s="18">
        <v>8.1</v>
      </c>
      <c r="H242" s="19"/>
      <c r="I242" s="19"/>
      <c r="J242" s="19" t="s">
        <v>434</v>
      </c>
      <c r="K242" s="16">
        <v>16.99</v>
      </c>
      <c r="L242" s="16">
        <v>1.0</v>
      </c>
      <c r="M242" s="19"/>
      <c r="N242" s="20">
        <v>8.1</v>
      </c>
      <c r="O242" s="21" t="s">
        <v>22</v>
      </c>
      <c r="P242" s="19"/>
      <c r="Q242" s="19"/>
      <c r="R242" s="19"/>
      <c r="S242" s="19"/>
      <c r="T242" s="19"/>
      <c r="U242" s="19"/>
      <c r="V242" s="19"/>
    </row>
    <row r="243">
      <c r="A243" s="15">
        <v>45922.0</v>
      </c>
      <c r="B243" s="16" t="s">
        <v>138</v>
      </c>
      <c r="C243" s="16" t="s">
        <v>219</v>
      </c>
      <c r="D243" s="16" t="s">
        <v>220</v>
      </c>
      <c r="E243" s="16" t="s">
        <v>19</v>
      </c>
      <c r="F243" s="17" t="str">
        <f>IFERROR(__xludf.DUMMYFUNCTION("""COMPUTED_VALUE"""),"BWH-ST-TR-1A")</f>
        <v>BWH-ST-TR-1A</v>
      </c>
      <c r="G243" s="18">
        <v>9.0</v>
      </c>
      <c r="H243" s="19"/>
      <c r="I243" s="19"/>
      <c r="J243" s="19" t="s">
        <v>435</v>
      </c>
      <c r="K243" s="16">
        <v>19.99</v>
      </c>
      <c r="L243" s="16">
        <v>1.0</v>
      </c>
      <c r="M243" s="19"/>
      <c r="N243" s="20">
        <v>9.0</v>
      </c>
      <c r="O243" s="21" t="s">
        <v>22</v>
      </c>
      <c r="P243" s="19"/>
      <c r="Q243" s="19"/>
      <c r="R243" s="19"/>
      <c r="S243" s="19"/>
      <c r="T243" s="19"/>
      <c r="U243" s="19"/>
      <c r="V243" s="19"/>
    </row>
    <row r="244">
      <c r="A244" s="15">
        <v>45922.0</v>
      </c>
      <c r="B244" s="16" t="s">
        <v>138</v>
      </c>
      <c r="C244" s="16" t="s">
        <v>219</v>
      </c>
      <c r="D244" s="16" t="s">
        <v>220</v>
      </c>
      <c r="E244" s="16" t="s">
        <v>71</v>
      </c>
      <c r="F244" s="17" t="str">
        <f>IFERROR(__xludf.DUMMYFUNCTION("""COMPUTED_VALUE"""),"BWH-ST-TR-1A-2")</f>
        <v>BWH-ST-TR-1A-2</v>
      </c>
      <c r="G244" s="18">
        <v>9.0</v>
      </c>
      <c r="H244" s="19"/>
      <c r="I244" s="19"/>
      <c r="J244" s="19" t="s">
        <v>436</v>
      </c>
      <c r="K244" s="16">
        <v>19.99</v>
      </c>
      <c r="L244" s="16">
        <v>1.0</v>
      </c>
      <c r="M244" s="19"/>
      <c r="N244" s="20">
        <v>9.0</v>
      </c>
      <c r="O244" s="21" t="s">
        <v>22</v>
      </c>
      <c r="P244" s="19"/>
      <c r="Q244" s="19"/>
      <c r="R244" s="19"/>
      <c r="S244" s="19"/>
      <c r="T244" s="19"/>
      <c r="U244" s="19"/>
      <c r="V244" s="19"/>
    </row>
    <row r="245">
      <c r="A245" s="15">
        <v>45922.0</v>
      </c>
      <c r="B245" s="16" t="s">
        <v>138</v>
      </c>
      <c r="C245" s="16" t="s">
        <v>219</v>
      </c>
      <c r="D245" s="16" t="s">
        <v>220</v>
      </c>
      <c r="E245" s="16" t="s">
        <v>129</v>
      </c>
      <c r="F245" s="17" t="str">
        <f>IFERROR(__xludf.DUMMYFUNCTION("""COMPUTED_VALUE"""),"BWH-ST-TR-1A-3")</f>
        <v>BWH-ST-TR-1A-3</v>
      </c>
      <c r="G245" s="18">
        <v>9.0</v>
      </c>
      <c r="H245" s="19"/>
      <c r="I245" s="19"/>
      <c r="J245" s="19" t="s">
        <v>437</v>
      </c>
      <c r="K245" s="16">
        <v>19.99</v>
      </c>
      <c r="L245" s="16">
        <v>1.0</v>
      </c>
      <c r="M245" s="19"/>
      <c r="N245" s="20">
        <v>9.0</v>
      </c>
      <c r="O245" s="21" t="s">
        <v>22</v>
      </c>
      <c r="P245" s="19"/>
      <c r="Q245" s="19"/>
      <c r="R245" s="19"/>
      <c r="S245" s="19"/>
      <c r="T245" s="19"/>
      <c r="U245" s="19"/>
      <c r="V245" s="19"/>
    </row>
    <row r="246">
      <c r="A246" s="15">
        <v>45922.0</v>
      </c>
      <c r="B246" s="16" t="s">
        <v>138</v>
      </c>
      <c r="C246" s="16" t="s">
        <v>219</v>
      </c>
      <c r="D246" s="16" t="s">
        <v>220</v>
      </c>
      <c r="E246" s="16" t="s">
        <v>143</v>
      </c>
      <c r="F246" s="17" t="str">
        <f>IFERROR(__xludf.DUMMYFUNCTION("""COMPUTED_VALUE"""),"BWH-ST-TR-1A-4")</f>
        <v>BWH-ST-TR-1A-4</v>
      </c>
      <c r="G246" s="18">
        <v>9.0</v>
      </c>
      <c r="H246" s="19"/>
      <c r="I246" s="19"/>
      <c r="J246" s="19" t="s">
        <v>438</v>
      </c>
      <c r="K246" s="16">
        <v>19.99</v>
      </c>
      <c r="L246" s="16">
        <v>1.0</v>
      </c>
      <c r="M246" s="19"/>
      <c r="N246" s="20">
        <v>9.0</v>
      </c>
      <c r="O246" s="21" t="s">
        <v>22</v>
      </c>
      <c r="P246" s="19"/>
      <c r="Q246" s="19"/>
      <c r="R246" s="19"/>
      <c r="S246" s="19"/>
      <c r="T246" s="19"/>
      <c r="U246" s="19"/>
      <c r="V246" s="19"/>
    </row>
    <row r="247">
      <c r="A247" s="15">
        <v>45922.0</v>
      </c>
      <c r="B247" s="16" t="s">
        <v>138</v>
      </c>
      <c r="C247" s="16" t="s">
        <v>219</v>
      </c>
      <c r="D247" s="16" t="s">
        <v>220</v>
      </c>
      <c r="E247" s="16" t="s">
        <v>145</v>
      </c>
      <c r="F247" s="17" t="str">
        <f>IFERROR(__xludf.DUMMYFUNCTION("""COMPUTED_VALUE"""),"BWH-ST-TR-1A-5")</f>
        <v>BWH-ST-TR-1A-5</v>
      </c>
      <c r="G247" s="18">
        <v>9.0</v>
      </c>
      <c r="H247" s="19"/>
      <c r="I247" s="19"/>
      <c r="J247" s="19" t="s">
        <v>439</v>
      </c>
      <c r="K247" s="16">
        <v>19.99</v>
      </c>
      <c r="L247" s="16">
        <v>1.0</v>
      </c>
      <c r="M247" s="19"/>
      <c r="N247" s="20">
        <v>9.0</v>
      </c>
      <c r="O247" s="21" t="s">
        <v>22</v>
      </c>
      <c r="P247" s="19"/>
      <c r="Q247" s="19"/>
      <c r="R247" s="19"/>
      <c r="S247" s="19"/>
      <c r="T247" s="19"/>
      <c r="U247" s="19"/>
      <c r="V247" s="19"/>
    </row>
    <row r="248">
      <c r="A248" s="15">
        <v>45922.0</v>
      </c>
      <c r="B248" s="16" t="s">
        <v>138</v>
      </c>
      <c r="C248" s="16" t="s">
        <v>219</v>
      </c>
      <c r="D248" s="16" t="s">
        <v>220</v>
      </c>
      <c r="E248" s="16" t="s">
        <v>265</v>
      </c>
      <c r="F248" s="17" t="str">
        <f>IFERROR(__xludf.DUMMYFUNCTION("""COMPUTED_VALUE"""),"BWH-ST-TR-1A-6")</f>
        <v>BWH-ST-TR-1A-6</v>
      </c>
      <c r="G248" s="18">
        <v>9.0</v>
      </c>
      <c r="H248" s="19"/>
      <c r="I248" s="19"/>
      <c r="J248" s="19" t="s">
        <v>440</v>
      </c>
      <c r="K248" s="16">
        <v>19.99</v>
      </c>
      <c r="L248" s="16">
        <v>1.0</v>
      </c>
      <c r="M248" s="19"/>
      <c r="N248" s="20">
        <v>9.0</v>
      </c>
      <c r="O248" s="21" t="s">
        <v>22</v>
      </c>
      <c r="P248" s="19"/>
      <c r="Q248" s="19"/>
      <c r="R248" s="19"/>
      <c r="S248" s="19"/>
      <c r="T248" s="19"/>
      <c r="U248" s="19"/>
      <c r="V248" s="19"/>
    </row>
    <row r="249">
      <c r="A249" s="15">
        <v>45922.0</v>
      </c>
      <c r="B249" s="16" t="s">
        <v>138</v>
      </c>
      <c r="C249" s="16" t="s">
        <v>219</v>
      </c>
      <c r="D249" s="16" t="s">
        <v>220</v>
      </c>
      <c r="E249" s="16" t="s">
        <v>267</v>
      </c>
      <c r="F249" s="17" t="str">
        <f>IFERROR(__xludf.DUMMYFUNCTION("""COMPUTED_VALUE"""),"BWH-ST-TR-1A-7")</f>
        <v>BWH-ST-TR-1A-7</v>
      </c>
      <c r="G249" s="18">
        <v>9.0</v>
      </c>
      <c r="H249" s="19"/>
      <c r="I249" s="19"/>
      <c r="J249" s="19" t="s">
        <v>441</v>
      </c>
      <c r="K249" s="16">
        <v>19.99</v>
      </c>
      <c r="L249" s="16">
        <v>1.0</v>
      </c>
      <c r="M249" s="19"/>
      <c r="N249" s="20">
        <v>9.0</v>
      </c>
      <c r="O249" s="21" t="s">
        <v>22</v>
      </c>
      <c r="P249" s="19"/>
      <c r="Q249" s="19"/>
      <c r="R249" s="19"/>
      <c r="S249" s="19"/>
      <c r="T249" s="19"/>
      <c r="U249" s="19"/>
      <c r="V249" s="19"/>
    </row>
    <row r="250">
      <c r="A250" s="15">
        <v>45922.0</v>
      </c>
      <c r="B250" s="16" t="s">
        <v>138</v>
      </c>
      <c r="C250" s="16" t="s">
        <v>219</v>
      </c>
      <c r="D250" s="16" t="s">
        <v>220</v>
      </c>
      <c r="E250" s="16" t="s">
        <v>269</v>
      </c>
      <c r="F250" s="17" t="str">
        <f>IFERROR(__xludf.DUMMYFUNCTION("""COMPUTED_VALUE"""),"BWH-ST-TR-1A-8")</f>
        <v>BWH-ST-TR-1A-8</v>
      </c>
      <c r="G250" s="18">
        <v>9.0</v>
      </c>
      <c r="H250" s="19"/>
      <c r="I250" s="19"/>
      <c r="J250" s="19" t="s">
        <v>442</v>
      </c>
      <c r="K250" s="16">
        <v>19.99</v>
      </c>
      <c r="L250" s="16">
        <v>1.0</v>
      </c>
      <c r="M250" s="19"/>
      <c r="N250" s="20">
        <v>9.0</v>
      </c>
      <c r="O250" s="21" t="s">
        <v>22</v>
      </c>
      <c r="P250" s="19"/>
      <c r="Q250" s="19"/>
      <c r="R250" s="19"/>
      <c r="S250" s="19"/>
      <c r="T250" s="19"/>
      <c r="U250" s="19"/>
      <c r="V250" s="19"/>
    </row>
    <row r="251">
      <c r="A251" s="15">
        <v>45922.0</v>
      </c>
      <c r="B251" s="16" t="s">
        <v>138</v>
      </c>
      <c r="C251" s="16" t="s">
        <v>111</v>
      </c>
      <c r="D251" s="16" t="s">
        <v>443</v>
      </c>
      <c r="E251" s="16" t="s">
        <v>19</v>
      </c>
      <c r="F251" s="17" t="str">
        <f>IFERROR(__xludf.DUMMYFUNCTION("""COMPUTED_VALUE"""),"BWH-HO-KQ-1A")</f>
        <v>BWH-HO-KQ-1A</v>
      </c>
      <c r="G251" s="18">
        <v>5.95</v>
      </c>
      <c r="H251" s="19"/>
      <c r="I251" s="19"/>
      <c r="J251" s="19" t="s">
        <v>444</v>
      </c>
      <c r="K251" s="16">
        <v>14.99</v>
      </c>
      <c r="L251" s="16">
        <v>1.0</v>
      </c>
      <c r="M251" s="16" t="s">
        <v>38</v>
      </c>
      <c r="N251" s="20">
        <v>5.95</v>
      </c>
      <c r="O251" s="21" t="s">
        <v>22</v>
      </c>
      <c r="P251" s="19"/>
      <c r="Q251" s="19"/>
      <c r="R251" s="19"/>
      <c r="S251" s="19"/>
      <c r="T251" s="19"/>
      <c r="U251" s="19"/>
      <c r="V251" s="19"/>
    </row>
    <row r="252">
      <c r="A252" s="15">
        <v>45922.0</v>
      </c>
      <c r="B252" s="16" t="s">
        <v>138</v>
      </c>
      <c r="C252" s="16" t="s">
        <v>111</v>
      </c>
      <c r="D252" s="16" t="s">
        <v>443</v>
      </c>
      <c r="E252" s="16" t="s">
        <v>71</v>
      </c>
      <c r="F252" s="17" t="str">
        <f>IFERROR(__xludf.DUMMYFUNCTION("""COMPUTED_VALUE"""),"BWH-HO-KQ-1A-2")</f>
        <v>BWH-HO-KQ-1A-2</v>
      </c>
      <c r="G252" s="18">
        <v>5.95</v>
      </c>
      <c r="H252" s="19"/>
      <c r="I252" s="19"/>
      <c r="J252" s="19" t="s">
        <v>445</v>
      </c>
      <c r="K252" s="16">
        <v>14.99</v>
      </c>
      <c r="L252" s="16">
        <v>1.0</v>
      </c>
      <c r="M252" s="16" t="s">
        <v>38</v>
      </c>
      <c r="N252" s="20">
        <v>5.95</v>
      </c>
      <c r="O252" s="21" t="s">
        <v>22</v>
      </c>
      <c r="P252" s="19"/>
      <c r="Q252" s="19"/>
      <c r="R252" s="19"/>
      <c r="S252" s="19"/>
      <c r="T252" s="19"/>
      <c r="U252" s="19"/>
      <c r="V252" s="19"/>
    </row>
    <row r="253">
      <c r="A253" s="15">
        <v>45922.0</v>
      </c>
      <c r="B253" s="16" t="s">
        <v>138</v>
      </c>
      <c r="C253" s="16" t="s">
        <v>111</v>
      </c>
      <c r="D253" s="16" t="s">
        <v>443</v>
      </c>
      <c r="E253" s="16" t="s">
        <v>129</v>
      </c>
      <c r="F253" s="17" t="str">
        <f>IFERROR(__xludf.DUMMYFUNCTION("""COMPUTED_VALUE"""),"BWH-HO-KQ-1A-3")</f>
        <v>BWH-HO-KQ-1A-3</v>
      </c>
      <c r="G253" s="18">
        <v>5.95</v>
      </c>
      <c r="H253" s="19"/>
      <c r="I253" s="19"/>
      <c r="J253" s="19" t="s">
        <v>446</v>
      </c>
      <c r="K253" s="16">
        <v>14.99</v>
      </c>
      <c r="L253" s="16">
        <v>1.0</v>
      </c>
      <c r="M253" s="16" t="s">
        <v>38</v>
      </c>
      <c r="N253" s="20">
        <v>5.95</v>
      </c>
      <c r="O253" s="21" t="s">
        <v>22</v>
      </c>
      <c r="P253" s="19"/>
      <c r="Q253" s="19"/>
      <c r="R253" s="19"/>
      <c r="S253" s="19"/>
      <c r="T253" s="19"/>
      <c r="U253" s="19"/>
      <c r="V253" s="19"/>
    </row>
    <row r="254">
      <c r="A254" s="15">
        <v>45922.0</v>
      </c>
      <c r="B254" s="16" t="s">
        <v>138</v>
      </c>
      <c r="C254" s="16" t="s">
        <v>111</v>
      </c>
      <c r="D254" s="16" t="s">
        <v>443</v>
      </c>
      <c r="E254" s="16" t="s">
        <v>143</v>
      </c>
      <c r="F254" s="17" t="str">
        <f>IFERROR(__xludf.DUMMYFUNCTION("""COMPUTED_VALUE"""),"BWH-HO-KQ-1A-4")</f>
        <v>BWH-HO-KQ-1A-4</v>
      </c>
      <c r="G254" s="18">
        <v>5.95</v>
      </c>
      <c r="H254" s="19"/>
      <c r="I254" s="19"/>
      <c r="J254" s="19" t="s">
        <v>447</v>
      </c>
      <c r="K254" s="16">
        <v>14.99</v>
      </c>
      <c r="L254" s="16">
        <v>1.0</v>
      </c>
      <c r="M254" s="16" t="s">
        <v>38</v>
      </c>
      <c r="N254" s="20">
        <v>5.95</v>
      </c>
      <c r="O254" s="21" t="s">
        <v>22</v>
      </c>
      <c r="P254" s="19"/>
      <c r="Q254" s="19"/>
      <c r="R254" s="19"/>
      <c r="S254" s="19"/>
      <c r="T254" s="19"/>
      <c r="U254" s="19"/>
      <c r="V254" s="19"/>
    </row>
    <row r="255">
      <c r="A255" s="15">
        <v>45922.0</v>
      </c>
      <c r="B255" s="16" t="s">
        <v>138</v>
      </c>
      <c r="C255" s="16" t="s">
        <v>111</v>
      </c>
      <c r="D255" s="16" t="s">
        <v>443</v>
      </c>
      <c r="E255" s="16" t="s">
        <v>145</v>
      </c>
      <c r="F255" s="17" t="str">
        <f>IFERROR(__xludf.DUMMYFUNCTION("""COMPUTED_VALUE"""),"BWH-HO-KQ-1A-5")</f>
        <v>BWH-HO-KQ-1A-5</v>
      </c>
      <c r="G255" s="18">
        <v>5.95</v>
      </c>
      <c r="H255" s="19"/>
      <c r="I255" s="19"/>
      <c r="J255" s="19" t="s">
        <v>448</v>
      </c>
      <c r="K255" s="16">
        <v>14.99</v>
      </c>
      <c r="L255" s="16">
        <v>1.0</v>
      </c>
      <c r="M255" s="16" t="s">
        <v>38</v>
      </c>
      <c r="N255" s="20">
        <v>5.95</v>
      </c>
      <c r="O255" s="21" t="s">
        <v>22</v>
      </c>
      <c r="P255" s="19"/>
      <c r="Q255" s="19"/>
      <c r="R255" s="19"/>
      <c r="S255" s="19"/>
      <c r="T255" s="19"/>
      <c r="U255" s="19"/>
      <c r="V255" s="19"/>
    </row>
    <row r="256">
      <c r="A256" s="15">
        <v>45929.0</v>
      </c>
      <c r="B256" s="16" t="s">
        <v>172</v>
      </c>
      <c r="C256" s="16" t="s">
        <v>102</v>
      </c>
      <c r="D256" s="16" t="s">
        <v>180</v>
      </c>
      <c r="E256" s="16" t="s">
        <v>348</v>
      </c>
      <c r="F256" s="17" t="str">
        <f>IFERROR(__xludf.DUMMYFUNCTION("""COMPUTED_VALUE"""),"BPF-SE-SOP-2A")</f>
        <v>BPF-SE-SOP-2A</v>
      </c>
      <c r="G256" s="18">
        <v>7.57</v>
      </c>
      <c r="H256" s="19"/>
      <c r="I256" s="19"/>
      <c r="J256" s="19" t="s">
        <v>449</v>
      </c>
      <c r="K256" s="19"/>
      <c r="L256" s="16">
        <v>1.0</v>
      </c>
      <c r="M256" s="19"/>
      <c r="N256" s="20">
        <v>7.57</v>
      </c>
      <c r="O256" s="21" t="s">
        <v>22</v>
      </c>
      <c r="P256" s="19"/>
      <c r="Q256" s="19"/>
      <c r="R256" s="19"/>
      <c r="S256" s="19"/>
      <c r="T256" s="19"/>
      <c r="U256" s="19"/>
      <c r="V256" s="19"/>
    </row>
    <row r="257">
      <c r="A257" s="15">
        <v>45929.0</v>
      </c>
      <c r="B257" s="16" t="s">
        <v>172</v>
      </c>
      <c r="C257" s="16" t="s">
        <v>102</v>
      </c>
      <c r="D257" s="16" t="s">
        <v>180</v>
      </c>
      <c r="E257" s="16" t="s">
        <v>350</v>
      </c>
      <c r="F257" s="17" t="str">
        <f>IFERROR(__xludf.DUMMYFUNCTION("""COMPUTED_VALUE"""),"BPF-SE-SOP-2A-2")</f>
        <v>BPF-SE-SOP-2A-2</v>
      </c>
      <c r="G257" s="18">
        <v>7.57</v>
      </c>
      <c r="H257" s="19"/>
      <c r="I257" s="19"/>
      <c r="J257" s="19" t="s">
        <v>450</v>
      </c>
      <c r="K257" s="19"/>
      <c r="L257" s="16">
        <v>1.0</v>
      </c>
      <c r="M257" s="19"/>
      <c r="N257" s="20">
        <v>7.57</v>
      </c>
      <c r="O257" s="21" t="s">
        <v>22</v>
      </c>
      <c r="P257" s="19"/>
      <c r="Q257" s="19"/>
      <c r="R257" s="19"/>
      <c r="S257" s="19"/>
      <c r="T257" s="19"/>
      <c r="U257" s="19"/>
      <c r="V257" s="19"/>
    </row>
    <row r="258">
      <c r="A258" s="15">
        <v>45929.0</v>
      </c>
      <c r="B258" s="16" t="s">
        <v>172</v>
      </c>
      <c r="C258" s="16" t="s">
        <v>102</v>
      </c>
      <c r="D258" s="16" t="s">
        <v>180</v>
      </c>
      <c r="E258" s="16" t="s">
        <v>352</v>
      </c>
      <c r="F258" s="17" t="str">
        <f>IFERROR(__xludf.DUMMYFUNCTION("""COMPUTED_VALUE"""),"BPF-SE-SOP-2A-3")</f>
        <v>BPF-SE-SOP-2A-3</v>
      </c>
      <c r="G258" s="18">
        <v>7.57</v>
      </c>
      <c r="H258" s="19"/>
      <c r="I258" s="19"/>
      <c r="J258" s="19" t="s">
        <v>451</v>
      </c>
      <c r="K258" s="19"/>
      <c r="L258" s="16">
        <v>1.0</v>
      </c>
      <c r="M258" s="19"/>
      <c r="N258" s="20">
        <v>7.57</v>
      </c>
      <c r="O258" s="21" t="s">
        <v>22</v>
      </c>
      <c r="P258" s="19"/>
      <c r="Q258" s="19"/>
      <c r="R258" s="19"/>
      <c r="S258" s="19"/>
      <c r="T258" s="19"/>
      <c r="U258" s="19"/>
      <c r="V258" s="19"/>
    </row>
    <row r="259">
      <c r="A259" s="15">
        <v>45929.0</v>
      </c>
      <c r="B259" s="16" t="s">
        <v>172</v>
      </c>
      <c r="C259" s="16" t="s">
        <v>102</v>
      </c>
      <c r="D259" s="16" t="s">
        <v>180</v>
      </c>
      <c r="E259" s="16" t="s">
        <v>354</v>
      </c>
      <c r="F259" s="17" t="str">
        <f>IFERROR(__xludf.DUMMYFUNCTION("""COMPUTED_VALUE"""),"BPF-SE-SOP-2A-4")</f>
        <v>BPF-SE-SOP-2A-4</v>
      </c>
      <c r="G259" s="18">
        <v>7.57</v>
      </c>
      <c r="H259" s="19"/>
      <c r="I259" s="19"/>
      <c r="J259" s="19" t="s">
        <v>452</v>
      </c>
      <c r="K259" s="19"/>
      <c r="L259" s="16">
        <v>1.0</v>
      </c>
      <c r="M259" s="19"/>
      <c r="N259" s="20">
        <v>7.57</v>
      </c>
      <c r="O259" s="21" t="s">
        <v>22</v>
      </c>
      <c r="P259" s="19"/>
      <c r="Q259" s="19"/>
      <c r="R259" s="19"/>
      <c r="S259" s="19"/>
      <c r="T259" s="19"/>
      <c r="U259" s="19"/>
      <c r="V259" s="19"/>
    </row>
    <row r="260">
      <c r="A260" s="15">
        <v>45929.0</v>
      </c>
      <c r="B260" s="16" t="s">
        <v>172</v>
      </c>
      <c r="C260" s="16" t="s">
        <v>102</v>
      </c>
      <c r="D260" s="16" t="s">
        <v>180</v>
      </c>
      <c r="E260" s="16" t="s">
        <v>356</v>
      </c>
      <c r="F260" s="17" t="str">
        <f>IFERROR(__xludf.DUMMYFUNCTION("""COMPUTED_VALUE"""),"BPF-SE-SOP-2A-5")</f>
        <v>BPF-SE-SOP-2A-5</v>
      </c>
      <c r="G260" s="18">
        <v>7.57</v>
      </c>
      <c r="H260" s="19"/>
      <c r="I260" s="19"/>
      <c r="J260" s="19" t="s">
        <v>453</v>
      </c>
      <c r="K260" s="19"/>
      <c r="L260" s="16">
        <v>1.0</v>
      </c>
      <c r="M260" s="19"/>
      <c r="N260" s="20">
        <v>7.57</v>
      </c>
      <c r="O260" s="21" t="s">
        <v>22</v>
      </c>
      <c r="P260" s="19"/>
      <c r="Q260" s="19"/>
      <c r="R260" s="19"/>
      <c r="S260" s="19"/>
      <c r="T260" s="19"/>
      <c r="U260" s="19"/>
      <c r="V260" s="19"/>
    </row>
    <row r="261">
      <c r="A261" s="15">
        <v>45929.0</v>
      </c>
      <c r="B261" s="16" t="s">
        <v>172</v>
      </c>
      <c r="C261" s="16" t="s">
        <v>102</v>
      </c>
      <c r="D261" s="16" t="s">
        <v>180</v>
      </c>
      <c r="E261" s="16" t="s">
        <v>454</v>
      </c>
      <c r="F261" s="17" t="str">
        <f>IFERROR(__xludf.DUMMYFUNCTION("""COMPUTED_VALUE"""),"BPF-SE-SOP-2A-6")</f>
        <v>BPF-SE-SOP-2A-6</v>
      </c>
      <c r="G261" s="18">
        <v>7.57</v>
      </c>
      <c r="H261" s="19"/>
      <c r="I261" s="19"/>
      <c r="J261" s="19" t="s">
        <v>455</v>
      </c>
      <c r="K261" s="19"/>
      <c r="L261" s="16">
        <v>1.0</v>
      </c>
      <c r="M261" s="19"/>
      <c r="N261" s="20">
        <v>7.57</v>
      </c>
      <c r="O261" s="21" t="s">
        <v>22</v>
      </c>
      <c r="P261" s="19"/>
      <c r="Q261" s="19"/>
      <c r="R261" s="19"/>
      <c r="S261" s="19"/>
      <c r="T261" s="19"/>
      <c r="U261" s="19"/>
      <c r="V261" s="19"/>
    </row>
    <row r="262">
      <c r="A262" s="15">
        <v>45929.0</v>
      </c>
      <c r="B262" s="16" t="s">
        <v>172</v>
      </c>
      <c r="C262" s="16" t="s">
        <v>102</v>
      </c>
      <c r="D262" s="16" t="s">
        <v>180</v>
      </c>
      <c r="E262" s="16" t="s">
        <v>456</v>
      </c>
      <c r="F262" s="17" t="str">
        <f>IFERROR(__xludf.DUMMYFUNCTION("""COMPUTED_VALUE"""),"BPF-SE-SOP-2A-7")</f>
        <v>BPF-SE-SOP-2A-7</v>
      </c>
      <c r="G262" s="18">
        <v>7.57</v>
      </c>
      <c r="H262" s="19"/>
      <c r="I262" s="19"/>
      <c r="J262" s="19" t="s">
        <v>457</v>
      </c>
      <c r="K262" s="19"/>
      <c r="L262" s="16">
        <v>1.0</v>
      </c>
      <c r="M262" s="19"/>
      <c r="N262" s="20">
        <v>7.57</v>
      </c>
      <c r="O262" s="21" t="s">
        <v>22</v>
      </c>
      <c r="P262" s="19"/>
      <c r="Q262" s="19"/>
      <c r="R262" s="19"/>
      <c r="S262" s="19"/>
      <c r="T262" s="19"/>
      <c r="U262" s="19"/>
      <c r="V262" s="19"/>
    </row>
    <row r="263">
      <c r="A263" s="15">
        <v>45929.0</v>
      </c>
      <c r="B263" s="16" t="s">
        <v>172</v>
      </c>
      <c r="C263" s="16" t="s">
        <v>102</v>
      </c>
      <c r="D263" s="16" t="s">
        <v>458</v>
      </c>
      <c r="E263" s="16" t="s">
        <v>19</v>
      </c>
      <c r="F263" s="17" t="str">
        <f>IFERROR(__xludf.DUMMYFUNCTION("""COMPUTED_VALUE"""),"BPF-SE-VSP-1A")</f>
        <v>BPF-SE-VSP-1A</v>
      </c>
      <c r="G263" s="18">
        <v>5.75</v>
      </c>
      <c r="H263" s="19"/>
      <c r="I263" s="19"/>
      <c r="J263" s="19" t="s">
        <v>459</v>
      </c>
      <c r="K263" s="19"/>
      <c r="L263" s="16">
        <v>1.0</v>
      </c>
      <c r="M263" s="19"/>
      <c r="N263" s="20">
        <v>5.75</v>
      </c>
      <c r="O263" s="21" t="s">
        <v>22</v>
      </c>
      <c r="P263" s="19"/>
      <c r="Q263" s="19"/>
      <c r="R263" s="19"/>
      <c r="S263" s="19"/>
      <c r="T263" s="19"/>
      <c r="U263" s="19"/>
      <c r="V263" s="19"/>
    </row>
    <row r="264">
      <c r="A264" s="15">
        <v>45929.0</v>
      </c>
      <c r="B264" s="16" t="s">
        <v>172</v>
      </c>
      <c r="C264" s="16" t="s">
        <v>102</v>
      </c>
      <c r="D264" s="16" t="s">
        <v>458</v>
      </c>
      <c r="E264" s="16" t="s">
        <v>71</v>
      </c>
      <c r="F264" s="17" t="str">
        <f>IFERROR(__xludf.DUMMYFUNCTION("""COMPUTED_VALUE"""),"BPF-SE-VSP-1A-2")</f>
        <v>BPF-SE-VSP-1A-2</v>
      </c>
      <c r="G264" s="18">
        <v>5.75</v>
      </c>
      <c r="H264" s="19"/>
      <c r="I264" s="19"/>
      <c r="J264" s="19" t="s">
        <v>460</v>
      </c>
      <c r="K264" s="19"/>
      <c r="L264" s="16">
        <v>1.0</v>
      </c>
      <c r="M264" s="19"/>
      <c r="N264" s="20">
        <v>5.75</v>
      </c>
      <c r="O264" s="21" t="s">
        <v>22</v>
      </c>
      <c r="P264" s="19"/>
      <c r="Q264" s="19"/>
      <c r="R264" s="19"/>
      <c r="S264" s="19"/>
      <c r="T264" s="19"/>
      <c r="U264" s="19"/>
      <c r="V264" s="19"/>
    </row>
    <row r="265">
      <c r="A265" s="15">
        <v>45929.0</v>
      </c>
      <c r="B265" s="16" t="s">
        <v>172</v>
      </c>
      <c r="C265" s="16" t="s">
        <v>102</v>
      </c>
      <c r="D265" s="16" t="s">
        <v>458</v>
      </c>
      <c r="E265" s="16" t="s">
        <v>129</v>
      </c>
      <c r="F265" s="17" t="str">
        <f>IFERROR(__xludf.DUMMYFUNCTION("""COMPUTED_VALUE"""),"BPF-SE-VSP-1A-3")</f>
        <v>BPF-SE-VSP-1A-3</v>
      </c>
      <c r="G265" s="18">
        <v>5.75</v>
      </c>
      <c r="H265" s="19"/>
      <c r="I265" s="19"/>
      <c r="J265" s="19" t="s">
        <v>461</v>
      </c>
      <c r="K265" s="19"/>
      <c r="L265" s="16">
        <v>1.0</v>
      </c>
      <c r="M265" s="19"/>
      <c r="N265" s="20">
        <v>5.75</v>
      </c>
      <c r="O265" s="21" t="s">
        <v>22</v>
      </c>
      <c r="P265" s="19"/>
      <c r="Q265" s="19"/>
      <c r="R265" s="19"/>
      <c r="S265" s="19"/>
      <c r="T265" s="19"/>
      <c r="U265" s="19"/>
      <c r="V265" s="19"/>
    </row>
    <row r="266">
      <c r="A266" s="15">
        <v>45929.0</v>
      </c>
      <c r="B266" s="16" t="s">
        <v>172</v>
      </c>
      <c r="C266" s="16" t="s">
        <v>102</v>
      </c>
      <c r="D266" s="16" t="s">
        <v>458</v>
      </c>
      <c r="E266" s="16" t="s">
        <v>143</v>
      </c>
      <c r="F266" s="17" t="str">
        <f>IFERROR(__xludf.DUMMYFUNCTION("""COMPUTED_VALUE"""),"BPF-SE-VSP-1A-4")</f>
        <v>BPF-SE-VSP-1A-4</v>
      </c>
      <c r="G266" s="18">
        <v>5.75</v>
      </c>
      <c r="H266" s="19"/>
      <c r="I266" s="19"/>
      <c r="J266" s="19" t="s">
        <v>462</v>
      </c>
      <c r="K266" s="19"/>
      <c r="L266" s="16">
        <v>1.0</v>
      </c>
      <c r="M266" s="19"/>
      <c r="N266" s="20">
        <v>5.75</v>
      </c>
      <c r="O266" s="21" t="s">
        <v>22</v>
      </c>
      <c r="P266" s="19"/>
      <c r="Q266" s="19"/>
      <c r="R266" s="19"/>
      <c r="S266" s="19"/>
      <c r="T266" s="19"/>
      <c r="U266" s="19"/>
      <c r="V266" s="19"/>
    </row>
    <row r="267">
      <c r="A267" s="15">
        <v>45929.0</v>
      </c>
      <c r="B267" s="16" t="s">
        <v>172</v>
      </c>
      <c r="C267" s="16" t="s">
        <v>102</v>
      </c>
      <c r="D267" s="16" t="s">
        <v>458</v>
      </c>
      <c r="E267" s="16" t="s">
        <v>145</v>
      </c>
      <c r="F267" s="17" t="str">
        <f>IFERROR(__xludf.DUMMYFUNCTION("""COMPUTED_VALUE"""),"BPF-SE-VSP-1A-5")</f>
        <v>BPF-SE-VSP-1A-5</v>
      </c>
      <c r="G267" s="18">
        <v>5.75</v>
      </c>
      <c r="H267" s="19"/>
      <c r="I267" s="19"/>
      <c r="J267" s="19" t="s">
        <v>463</v>
      </c>
      <c r="K267" s="19"/>
      <c r="L267" s="16">
        <v>1.0</v>
      </c>
      <c r="M267" s="19"/>
      <c r="N267" s="20">
        <v>5.75</v>
      </c>
      <c r="O267" s="21" t="s">
        <v>22</v>
      </c>
      <c r="P267" s="19"/>
      <c r="Q267" s="19"/>
      <c r="R267" s="19"/>
      <c r="S267" s="19"/>
      <c r="T267" s="19"/>
      <c r="U267" s="19"/>
      <c r="V267" s="19"/>
    </row>
    <row r="268">
      <c r="A268" s="15">
        <v>45929.0</v>
      </c>
      <c r="B268" s="16" t="s">
        <v>172</v>
      </c>
      <c r="C268" s="16" t="s">
        <v>102</v>
      </c>
      <c r="D268" s="16" t="s">
        <v>458</v>
      </c>
      <c r="E268" s="16" t="s">
        <v>265</v>
      </c>
      <c r="F268" s="17" t="str">
        <f>IFERROR(__xludf.DUMMYFUNCTION("""COMPUTED_VALUE"""),"BPF-SE-VSP-1A-6")</f>
        <v>BPF-SE-VSP-1A-6</v>
      </c>
      <c r="G268" s="18">
        <v>5.75</v>
      </c>
      <c r="H268" s="19"/>
      <c r="I268" s="19"/>
      <c r="J268" s="19" t="s">
        <v>464</v>
      </c>
      <c r="K268" s="19"/>
      <c r="L268" s="16">
        <v>1.0</v>
      </c>
      <c r="M268" s="19"/>
      <c r="N268" s="20">
        <v>5.75</v>
      </c>
      <c r="O268" s="21" t="s">
        <v>22</v>
      </c>
      <c r="P268" s="19"/>
      <c r="Q268" s="19"/>
      <c r="R268" s="19"/>
      <c r="S268" s="19"/>
      <c r="T268" s="19"/>
      <c r="U268" s="19"/>
      <c r="V268" s="19"/>
    </row>
    <row r="269">
      <c r="A269" s="15">
        <v>45929.0</v>
      </c>
      <c r="B269" s="16" t="s">
        <v>172</v>
      </c>
      <c r="C269" s="16" t="s">
        <v>173</v>
      </c>
      <c r="D269" s="16" t="s">
        <v>174</v>
      </c>
      <c r="E269" s="16" t="s">
        <v>348</v>
      </c>
      <c r="F269" s="17" t="str">
        <f>IFERROR(__xludf.DUMMYFUNCTION("""COMPUTED_VALUE"""),"BPF-CE-SOH-2A")</f>
        <v>BPF-CE-SOH-2A</v>
      </c>
      <c r="G269" s="18">
        <v>14.29</v>
      </c>
      <c r="H269" s="19"/>
      <c r="I269" s="19"/>
      <c r="J269" s="19" t="s">
        <v>465</v>
      </c>
      <c r="K269" s="19"/>
      <c r="L269" s="16">
        <v>1.0</v>
      </c>
      <c r="M269" s="19"/>
      <c r="N269" s="20">
        <v>14.29</v>
      </c>
      <c r="O269" s="21" t="s">
        <v>22</v>
      </c>
      <c r="P269" s="19"/>
      <c r="Q269" s="19"/>
      <c r="R269" s="19"/>
      <c r="S269" s="19"/>
      <c r="T269" s="19"/>
      <c r="U269" s="19"/>
      <c r="V269" s="19"/>
    </row>
    <row r="270">
      <c r="A270" s="15">
        <v>45929.0</v>
      </c>
      <c r="B270" s="16" t="s">
        <v>172</v>
      </c>
      <c r="C270" s="16" t="s">
        <v>173</v>
      </c>
      <c r="D270" s="16" t="s">
        <v>174</v>
      </c>
      <c r="E270" s="16" t="s">
        <v>350</v>
      </c>
      <c r="F270" s="17" t="str">
        <f>IFERROR(__xludf.DUMMYFUNCTION("""COMPUTED_VALUE"""),"BPF-CE-SOH-2A-2")</f>
        <v>BPF-CE-SOH-2A-2</v>
      </c>
      <c r="G270" s="18">
        <v>14.29</v>
      </c>
      <c r="H270" s="19"/>
      <c r="I270" s="19"/>
      <c r="J270" s="19" t="s">
        <v>466</v>
      </c>
      <c r="K270" s="19"/>
      <c r="L270" s="16">
        <v>1.0</v>
      </c>
      <c r="M270" s="19"/>
      <c r="N270" s="20">
        <v>14.29</v>
      </c>
      <c r="O270" s="21" t="s">
        <v>22</v>
      </c>
      <c r="P270" s="19"/>
      <c r="Q270" s="19"/>
      <c r="R270" s="19"/>
      <c r="S270" s="19"/>
      <c r="T270" s="19"/>
      <c r="U270" s="19"/>
      <c r="V270" s="19"/>
    </row>
    <row r="271">
      <c r="A271" s="15">
        <v>45929.0</v>
      </c>
      <c r="B271" s="16" t="s">
        <v>172</v>
      </c>
      <c r="C271" s="16" t="s">
        <v>173</v>
      </c>
      <c r="D271" s="16" t="s">
        <v>174</v>
      </c>
      <c r="E271" s="16" t="s">
        <v>352</v>
      </c>
      <c r="F271" s="17" t="str">
        <f>IFERROR(__xludf.DUMMYFUNCTION("""COMPUTED_VALUE"""),"BPF-CE-SOH-2A-3")</f>
        <v>BPF-CE-SOH-2A-3</v>
      </c>
      <c r="G271" s="18">
        <v>14.29</v>
      </c>
      <c r="H271" s="19"/>
      <c r="I271" s="19"/>
      <c r="J271" s="19" t="s">
        <v>467</v>
      </c>
      <c r="K271" s="19"/>
      <c r="L271" s="16">
        <v>1.0</v>
      </c>
      <c r="M271" s="19"/>
      <c r="N271" s="20">
        <v>14.29</v>
      </c>
      <c r="O271" s="21" t="s">
        <v>22</v>
      </c>
      <c r="P271" s="19"/>
      <c r="Q271" s="19"/>
      <c r="R271" s="19"/>
      <c r="S271" s="19"/>
      <c r="T271" s="19"/>
      <c r="U271" s="19"/>
      <c r="V271" s="19"/>
    </row>
    <row r="272">
      <c r="A272" s="15">
        <v>45929.0</v>
      </c>
      <c r="B272" s="16" t="s">
        <v>172</v>
      </c>
      <c r="C272" s="16" t="s">
        <v>173</v>
      </c>
      <c r="D272" s="16" t="s">
        <v>174</v>
      </c>
      <c r="E272" s="16" t="s">
        <v>354</v>
      </c>
      <c r="F272" s="17" t="str">
        <f>IFERROR(__xludf.DUMMYFUNCTION("""COMPUTED_VALUE"""),"BPF-CE-SOH-2A-4")</f>
        <v>BPF-CE-SOH-2A-4</v>
      </c>
      <c r="G272" s="18">
        <v>14.29</v>
      </c>
      <c r="H272" s="19"/>
      <c r="I272" s="19"/>
      <c r="J272" s="19" t="s">
        <v>468</v>
      </c>
      <c r="K272" s="19"/>
      <c r="L272" s="16">
        <v>1.0</v>
      </c>
      <c r="M272" s="19"/>
      <c r="N272" s="20">
        <v>14.29</v>
      </c>
      <c r="O272" s="21" t="s">
        <v>22</v>
      </c>
      <c r="P272" s="19"/>
      <c r="Q272" s="19"/>
      <c r="R272" s="19"/>
      <c r="S272" s="19"/>
      <c r="T272" s="19"/>
      <c r="U272" s="19"/>
      <c r="V272" s="19"/>
    </row>
    <row r="273">
      <c r="A273" s="15">
        <v>45929.0</v>
      </c>
      <c r="B273" s="16" t="s">
        <v>172</v>
      </c>
      <c r="C273" s="16" t="s">
        <v>173</v>
      </c>
      <c r="D273" s="16" t="s">
        <v>174</v>
      </c>
      <c r="E273" s="16" t="s">
        <v>356</v>
      </c>
      <c r="F273" s="17" t="str">
        <f>IFERROR(__xludf.DUMMYFUNCTION("""COMPUTED_VALUE"""),"BPF-CE-SOH-2A-5")</f>
        <v>BPF-CE-SOH-2A-5</v>
      </c>
      <c r="G273" s="18">
        <v>14.29</v>
      </c>
      <c r="H273" s="19"/>
      <c r="I273" s="19"/>
      <c r="J273" s="19" t="s">
        <v>469</v>
      </c>
      <c r="K273" s="19"/>
      <c r="L273" s="16">
        <v>1.0</v>
      </c>
      <c r="M273" s="19"/>
      <c r="N273" s="20">
        <v>14.29</v>
      </c>
      <c r="O273" s="21" t="s">
        <v>22</v>
      </c>
      <c r="P273" s="19"/>
      <c r="Q273" s="19"/>
      <c r="R273" s="19"/>
      <c r="S273" s="19"/>
      <c r="T273" s="19"/>
      <c r="U273" s="19"/>
      <c r="V273" s="19"/>
    </row>
    <row r="274">
      <c r="A274" s="15">
        <v>45929.0</v>
      </c>
      <c r="B274" s="16" t="s">
        <v>172</v>
      </c>
      <c r="C274" s="16" t="s">
        <v>173</v>
      </c>
      <c r="D274" s="16" t="s">
        <v>470</v>
      </c>
      <c r="E274" s="16" t="s">
        <v>19</v>
      </c>
      <c r="F274" s="17" t="str">
        <f>IFERROR(__xludf.DUMMYFUNCTION("""COMPUTED_VALUE"""),"BPF-CE-VSH-1A")</f>
        <v>BPF-CE-VSH-1A</v>
      </c>
      <c r="G274" s="18">
        <v>19.49</v>
      </c>
      <c r="H274" s="19"/>
      <c r="I274" s="19"/>
      <c r="J274" s="19" t="s">
        <v>471</v>
      </c>
      <c r="K274" s="19"/>
      <c r="L274" s="16">
        <v>1.0</v>
      </c>
      <c r="M274" s="19"/>
      <c r="N274" s="20">
        <v>19.49</v>
      </c>
      <c r="O274" s="21" t="s">
        <v>22</v>
      </c>
      <c r="P274" s="19"/>
      <c r="Q274" s="19"/>
      <c r="R274" s="19"/>
      <c r="S274" s="19"/>
      <c r="T274" s="19"/>
      <c r="U274" s="19"/>
      <c r="V274" s="19"/>
    </row>
    <row r="275">
      <c r="A275" s="15">
        <v>45929.0</v>
      </c>
      <c r="B275" s="16" t="s">
        <v>172</v>
      </c>
      <c r="C275" s="16" t="s">
        <v>173</v>
      </c>
      <c r="D275" s="16" t="s">
        <v>470</v>
      </c>
      <c r="E275" s="16" t="s">
        <v>71</v>
      </c>
      <c r="F275" s="17" t="str">
        <f>IFERROR(__xludf.DUMMYFUNCTION("""COMPUTED_VALUE"""),"BPF-CE-VSH-1A-2")</f>
        <v>BPF-CE-VSH-1A-2</v>
      </c>
      <c r="G275" s="18">
        <v>19.49</v>
      </c>
      <c r="H275" s="19"/>
      <c r="I275" s="19"/>
      <c r="J275" s="19" t="s">
        <v>472</v>
      </c>
      <c r="K275" s="19"/>
      <c r="L275" s="16">
        <v>1.0</v>
      </c>
      <c r="M275" s="19"/>
      <c r="N275" s="20">
        <v>19.49</v>
      </c>
      <c r="O275" s="21" t="s">
        <v>22</v>
      </c>
      <c r="P275" s="19"/>
      <c r="Q275" s="19"/>
      <c r="R275" s="19"/>
      <c r="S275" s="19"/>
      <c r="T275" s="19"/>
      <c r="U275" s="19"/>
      <c r="V275" s="19"/>
    </row>
    <row r="276">
      <c r="A276" s="15">
        <v>45929.0</v>
      </c>
      <c r="B276" s="16" t="s">
        <v>172</v>
      </c>
      <c r="C276" s="16" t="s">
        <v>173</v>
      </c>
      <c r="D276" s="16" t="s">
        <v>470</v>
      </c>
      <c r="E276" s="16" t="s">
        <v>129</v>
      </c>
      <c r="F276" s="17" t="str">
        <f>IFERROR(__xludf.DUMMYFUNCTION("""COMPUTED_VALUE"""),"BPF-CE-VSH-1A-3")</f>
        <v>BPF-CE-VSH-1A-3</v>
      </c>
      <c r="G276" s="18">
        <v>19.49</v>
      </c>
      <c r="H276" s="19"/>
      <c r="I276" s="19"/>
      <c r="J276" s="19" t="s">
        <v>473</v>
      </c>
      <c r="K276" s="19"/>
      <c r="L276" s="16">
        <v>1.0</v>
      </c>
      <c r="M276" s="19"/>
      <c r="N276" s="20">
        <v>19.49</v>
      </c>
      <c r="O276" s="21" t="s">
        <v>22</v>
      </c>
      <c r="P276" s="19"/>
      <c r="Q276" s="19"/>
      <c r="R276" s="19"/>
      <c r="S276" s="19"/>
      <c r="T276" s="19"/>
      <c r="U276" s="19"/>
      <c r="V276" s="19"/>
    </row>
    <row r="277">
      <c r="A277" s="15">
        <v>45936.0</v>
      </c>
      <c r="B277" s="16" t="s">
        <v>172</v>
      </c>
      <c r="C277" s="16" t="s">
        <v>102</v>
      </c>
      <c r="D277" s="16" t="s">
        <v>474</v>
      </c>
      <c r="E277" s="16" t="s">
        <v>19</v>
      </c>
      <c r="F277" s="17" t="str">
        <f>IFERROR(__xludf.DUMMYFUNCTION("""COMPUTED_VALUE"""),"BPF-SE-SOT-1A")</f>
        <v>BPF-SE-SOT-1A</v>
      </c>
      <c r="G277" s="18">
        <v>4.06</v>
      </c>
      <c r="H277" s="16"/>
      <c r="I277" s="16"/>
      <c r="J277" s="19" t="s">
        <v>475</v>
      </c>
      <c r="K277" s="19"/>
      <c r="L277" s="16">
        <v>1.0</v>
      </c>
      <c r="M277" s="19"/>
      <c r="N277" s="20">
        <v>4.06</v>
      </c>
      <c r="O277" s="21" t="s">
        <v>22</v>
      </c>
      <c r="P277" s="19"/>
      <c r="Q277" s="19"/>
      <c r="R277" s="19"/>
      <c r="S277" s="19"/>
      <c r="T277" s="19"/>
      <c r="U277" s="19"/>
      <c r="V277" s="19"/>
    </row>
    <row r="278">
      <c r="A278" s="15">
        <v>45936.0</v>
      </c>
      <c r="B278" s="16" t="s">
        <v>172</v>
      </c>
      <c r="C278" s="16" t="s">
        <v>102</v>
      </c>
      <c r="D278" s="16" t="s">
        <v>474</v>
      </c>
      <c r="E278" s="16" t="s">
        <v>71</v>
      </c>
      <c r="F278" s="17" t="str">
        <f>IFERROR(__xludf.DUMMYFUNCTION("""COMPUTED_VALUE"""),"BPF-SE-SOT-1A-2")</f>
        <v>BPF-SE-SOT-1A-2</v>
      </c>
      <c r="G278" s="18">
        <v>4.06</v>
      </c>
      <c r="H278" s="16"/>
      <c r="I278" s="16"/>
      <c r="J278" s="19" t="s">
        <v>476</v>
      </c>
      <c r="K278" s="19"/>
      <c r="L278" s="16">
        <v>1.0</v>
      </c>
      <c r="M278" s="19"/>
      <c r="N278" s="20">
        <v>4.06</v>
      </c>
      <c r="O278" s="21" t="s">
        <v>22</v>
      </c>
      <c r="P278" s="19"/>
      <c r="Q278" s="19"/>
      <c r="R278" s="19"/>
      <c r="S278" s="19"/>
      <c r="T278" s="19"/>
      <c r="U278" s="19"/>
      <c r="V278" s="19"/>
    </row>
    <row r="279">
      <c r="A279" s="15">
        <v>45936.0</v>
      </c>
      <c r="B279" s="16" t="s">
        <v>172</v>
      </c>
      <c r="C279" s="16" t="s">
        <v>102</v>
      </c>
      <c r="D279" s="16" t="s">
        <v>474</v>
      </c>
      <c r="E279" s="16" t="s">
        <v>129</v>
      </c>
      <c r="F279" s="17" t="str">
        <f>IFERROR(__xludf.DUMMYFUNCTION("""COMPUTED_VALUE"""),"BPF-SE-SOT-1A-3")</f>
        <v>BPF-SE-SOT-1A-3</v>
      </c>
      <c r="G279" s="18">
        <v>4.06</v>
      </c>
      <c r="H279" s="19"/>
      <c r="I279" s="19"/>
      <c r="J279" s="19" t="s">
        <v>477</v>
      </c>
      <c r="K279" s="19"/>
      <c r="L279" s="16">
        <v>1.0</v>
      </c>
      <c r="M279" s="19"/>
      <c r="N279" s="20">
        <v>4.06</v>
      </c>
      <c r="O279" s="21" t="s">
        <v>22</v>
      </c>
      <c r="P279" s="19"/>
      <c r="Q279" s="19"/>
      <c r="R279" s="19"/>
      <c r="S279" s="19"/>
      <c r="T279" s="19"/>
      <c r="U279" s="19"/>
      <c r="V279" s="19"/>
    </row>
    <row r="280">
      <c r="A280" s="15">
        <v>45872.0</v>
      </c>
      <c r="B280" s="16" t="s">
        <v>49</v>
      </c>
      <c r="C280" s="16" t="s">
        <v>26</v>
      </c>
      <c r="D280" s="16" t="s">
        <v>478</v>
      </c>
      <c r="E280" s="16" t="s">
        <v>19</v>
      </c>
      <c r="F280" s="17" t="str">
        <f>IFERROR(__xludf.DUMMYFUNCTION("""COMPUTED_VALUE"""),"WM-PH-SSW-1A")</f>
        <v>WM-PH-SSW-1A</v>
      </c>
      <c r="G280" s="18">
        <v>19.97</v>
      </c>
      <c r="H280" s="16"/>
      <c r="I280" s="16" t="s">
        <v>479</v>
      </c>
      <c r="J280" s="16" t="s">
        <v>480</v>
      </c>
      <c r="K280" s="19"/>
      <c r="L280" s="16">
        <v>1.0</v>
      </c>
      <c r="M280" s="19"/>
      <c r="N280" s="20">
        <v>19.97</v>
      </c>
      <c r="O280" s="21" t="s">
        <v>22</v>
      </c>
      <c r="P280" s="19"/>
      <c r="Q280" s="19"/>
      <c r="R280" s="19"/>
      <c r="S280" s="19"/>
      <c r="T280" s="19"/>
      <c r="U280" s="19"/>
      <c r="V280" s="19"/>
    </row>
    <row r="281">
      <c r="A281" s="15">
        <v>45965.0</v>
      </c>
      <c r="B281" s="16" t="s">
        <v>105</v>
      </c>
      <c r="C281" s="16" t="s">
        <v>481</v>
      </c>
      <c r="D281" s="16" t="s">
        <v>482</v>
      </c>
      <c r="E281" s="16" t="s">
        <v>19</v>
      </c>
      <c r="F281" s="17" t="str">
        <f>IFERROR(__xludf.DUMMYFUNCTION("""COMPUTED_VALUE"""),"IST-AE-LP-1A")</f>
        <v>IST-AE-LP-1A</v>
      </c>
      <c r="G281" s="18">
        <v>0.0</v>
      </c>
      <c r="H281" s="16" t="s">
        <v>483</v>
      </c>
      <c r="I281" s="16" t="s">
        <v>46</v>
      </c>
      <c r="J281" s="16" t="s">
        <v>484</v>
      </c>
      <c r="K281" s="19"/>
      <c r="L281" s="16">
        <v>1.0</v>
      </c>
      <c r="M281" s="16" t="s">
        <v>38</v>
      </c>
      <c r="N281" s="20">
        <v>0.0</v>
      </c>
      <c r="O281" s="21" t="s">
        <v>22</v>
      </c>
      <c r="P281" s="19"/>
      <c r="Q281" s="19"/>
      <c r="R281" s="19"/>
      <c r="S281" s="19"/>
      <c r="T281" s="19"/>
      <c r="U281" s="19"/>
      <c r="V281" s="19"/>
    </row>
    <row r="282">
      <c r="A282" s="15">
        <v>45965.0</v>
      </c>
      <c r="B282" s="16" t="s">
        <v>105</v>
      </c>
      <c r="C282" s="16" t="s">
        <v>17</v>
      </c>
      <c r="D282" s="16" t="s">
        <v>485</v>
      </c>
      <c r="E282" s="16" t="s">
        <v>19</v>
      </c>
      <c r="F282" s="17" t="str">
        <f>IFERROR(__xludf.DUMMYFUNCTION("""COMPUTED_VALUE"""),"IST-BE-SC-1A")</f>
        <v>IST-BE-SC-1A</v>
      </c>
      <c r="G282" s="18">
        <v>8.0</v>
      </c>
      <c r="H282" s="16"/>
      <c r="I282" s="16"/>
      <c r="J282" s="16" t="s">
        <v>486</v>
      </c>
      <c r="K282" s="19"/>
      <c r="L282" s="16">
        <v>1.0</v>
      </c>
      <c r="M282" s="19"/>
      <c r="N282" s="20">
        <v>8.0</v>
      </c>
      <c r="O282" s="21" t="s">
        <v>22</v>
      </c>
      <c r="P282" s="19"/>
      <c r="Q282" s="19"/>
      <c r="R282" s="19"/>
      <c r="S282" s="19"/>
      <c r="T282" s="19"/>
      <c r="U282" s="19"/>
      <c r="V282" s="19"/>
    </row>
    <row r="283">
      <c r="A283" s="15">
        <v>45965.0</v>
      </c>
      <c r="B283" s="16" t="s">
        <v>105</v>
      </c>
      <c r="C283" s="16" t="s">
        <v>23</v>
      </c>
      <c r="D283" s="16" t="s">
        <v>487</v>
      </c>
      <c r="E283" s="16" t="s">
        <v>19</v>
      </c>
      <c r="F283" s="17" t="str">
        <f>IFERROR(__xludf.DUMMYFUNCTION("""COMPUTED_VALUE"""),"IST-PO-MQ-1A")</f>
        <v>IST-PO-MQ-1A</v>
      </c>
      <c r="G283" s="18">
        <v>8.0</v>
      </c>
      <c r="H283" s="16"/>
      <c r="I283" s="16"/>
      <c r="J283" s="16" t="s">
        <v>488</v>
      </c>
      <c r="K283" s="19"/>
      <c r="L283" s="16">
        <v>1.0</v>
      </c>
      <c r="M283" s="19"/>
      <c r="N283" s="20">
        <v>8.0</v>
      </c>
      <c r="O283" s="21" t="s">
        <v>22</v>
      </c>
      <c r="P283" s="19"/>
      <c r="Q283" s="19"/>
      <c r="R283" s="19"/>
      <c r="S283" s="19"/>
      <c r="T283" s="19"/>
      <c r="U283" s="19"/>
      <c r="V283" s="19"/>
    </row>
    <row r="284">
      <c r="A284" s="15">
        <v>45965.0</v>
      </c>
      <c r="B284" s="16" t="s">
        <v>105</v>
      </c>
      <c r="C284" s="16" t="s">
        <v>26</v>
      </c>
      <c r="D284" s="16" t="s">
        <v>84</v>
      </c>
      <c r="E284" s="16" t="s">
        <v>19</v>
      </c>
      <c r="F284" s="17" t="str">
        <f>IFERROR(__xludf.DUMMYFUNCTION("""COMPUTED_VALUE"""),"IST-PH-WP-1A")</f>
        <v>IST-PH-WP-1A</v>
      </c>
      <c r="G284" s="18">
        <v>20.0</v>
      </c>
      <c r="H284" s="16"/>
      <c r="I284" s="16"/>
      <c r="J284" s="16" t="s">
        <v>489</v>
      </c>
      <c r="K284" s="19"/>
      <c r="L284" s="16">
        <v>1.0</v>
      </c>
      <c r="M284" s="19"/>
      <c r="N284" s="20">
        <v>20.0</v>
      </c>
      <c r="O284" s="21" t="s">
        <v>22</v>
      </c>
      <c r="P284" s="19"/>
      <c r="Q284" s="19"/>
      <c r="R284" s="19"/>
      <c r="S284" s="19"/>
      <c r="T284" s="19"/>
      <c r="U284" s="19"/>
      <c r="V284" s="19"/>
    </row>
    <row r="285">
      <c r="A285" s="15">
        <v>45965.0</v>
      </c>
      <c r="B285" s="16" t="s">
        <v>105</v>
      </c>
      <c r="C285" s="16" t="s">
        <v>26</v>
      </c>
      <c r="D285" s="16" t="s">
        <v>490</v>
      </c>
      <c r="E285" s="16" t="s">
        <v>19</v>
      </c>
      <c r="F285" s="17" t="str">
        <f>IFERROR(__xludf.DUMMYFUNCTION("""COMPUTED_VALUE"""),"IST-PH-RFV-1A")</f>
        <v>IST-PH-RFV-1A</v>
      </c>
      <c r="G285" s="18">
        <v>12.0</v>
      </c>
      <c r="H285" s="16"/>
      <c r="I285" s="16"/>
      <c r="J285" s="16" t="s">
        <v>491</v>
      </c>
      <c r="K285" s="16">
        <v>20.0</v>
      </c>
      <c r="L285" s="16">
        <v>1.0</v>
      </c>
      <c r="M285" s="16" t="s">
        <v>38</v>
      </c>
      <c r="N285" s="20">
        <v>12.0</v>
      </c>
      <c r="O285" s="21" t="s">
        <v>22</v>
      </c>
      <c r="P285" s="19"/>
      <c r="Q285" s="19"/>
      <c r="R285" s="19"/>
      <c r="S285" s="19"/>
      <c r="T285" s="19"/>
      <c r="U285" s="19"/>
      <c r="V285" s="19"/>
    </row>
    <row r="286">
      <c r="A286" s="15"/>
      <c r="B286" s="16"/>
      <c r="C286" s="16"/>
      <c r="D286" s="16"/>
      <c r="E286" s="16"/>
      <c r="F286" s="17" t="str">
        <f>IFERROR(__xludf.DUMMYFUNCTION("""COMPUTED_VALUE"""),"")</f>
        <v/>
      </c>
      <c r="G286" s="18"/>
      <c r="H286" s="16"/>
      <c r="I286" s="16"/>
      <c r="J286" s="16"/>
      <c r="K286" s="19"/>
      <c r="L286" s="16"/>
      <c r="M286" s="19"/>
      <c r="N286" s="20" t="s">
        <v>39</v>
      </c>
      <c r="O286" s="21" t="s">
        <v>22</v>
      </c>
      <c r="P286" s="19"/>
      <c r="Q286" s="19"/>
      <c r="R286" s="19"/>
      <c r="S286" s="19"/>
      <c r="T286" s="19"/>
      <c r="U286" s="19"/>
      <c r="V286" s="19"/>
    </row>
    <row r="287">
      <c r="A287" s="15">
        <v>45966.0</v>
      </c>
      <c r="B287" s="16" t="s">
        <v>54</v>
      </c>
      <c r="C287" s="16" t="s">
        <v>17</v>
      </c>
      <c r="D287" s="16" t="s">
        <v>492</v>
      </c>
      <c r="E287" s="16" t="s">
        <v>19</v>
      </c>
      <c r="F287" s="17" t="str">
        <f>IFERROR(__xludf.DUMMYFUNCTION("""COMPUTED_VALUE"""),"TLC-BE-GI-1A")</f>
        <v>TLC-BE-GI-1A</v>
      </c>
      <c r="G287" s="18">
        <v>16.0</v>
      </c>
      <c r="H287" s="16"/>
      <c r="I287" s="16"/>
      <c r="J287" s="16" t="s">
        <v>493</v>
      </c>
      <c r="K287" s="19"/>
      <c r="L287" s="16">
        <v>1.0</v>
      </c>
      <c r="M287" s="19"/>
      <c r="N287" s="20">
        <v>16.0</v>
      </c>
      <c r="O287" s="21" t="s">
        <v>22</v>
      </c>
      <c r="P287" s="19"/>
      <c r="Q287" s="19"/>
      <c r="R287" s="19"/>
      <c r="S287" s="19"/>
      <c r="T287" s="19"/>
      <c r="U287" s="19"/>
      <c r="V287" s="19"/>
    </row>
    <row r="288">
      <c r="A288" s="15">
        <v>45966.0</v>
      </c>
      <c r="B288" s="16" t="s">
        <v>54</v>
      </c>
      <c r="C288" s="16" t="s">
        <v>26</v>
      </c>
      <c r="D288" s="16" t="s">
        <v>494</v>
      </c>
      <c r="E288" s="16" t="s">
        <v>19</v>
      </c>
      <c r="F288" s="17" t="str">
        <f>IFERROR(__xludf.DUMMYFUNCTION("""COMPUTED_VALUE"""),"TLC-PH-BXP-1A")</f>
        <v>TLC-PH-BXP-1A</v>
      </c>
      <c r="G288" s="18">
        <v>24.0</v>
      </c>
      <c r="H288" s="16"/>
      <c r="I288" s="16"/>
      <c r="J288" s="16" t="s">
        <v>495</v>
      </c>
      <c r="K288" s="19"/>
      <c r="L288" s="16">
        <v>1.0</v>
      </c>
      <c r="M288" s="19"/>
      <c r="N288" s="20">
        <v>24.0</v>
      </c>
      <c r="O288" s="21" t="s">
        <v>22</v>
      </c>
      <c r="P288" s="19"/>
      <c r="Q288" s="19"/>
      <c r="R288" s="19"/>
      <c r="S288" s="19"/>
      <c r="T288" s="19"/>
      <c r="U288" s="19"/>
      <c r="V288" s="19"/>
    </row>
    <row r="289">
      <c r="A289" s="15">
        <v>45966.0</v>
      </c>
      <c r="B289" s="16" t="s">
        <v>54</v>
      </c>
      <c r="C289" s="16" t="s">
        <v>26</v>
      </c>
      <c r="D289" s="16" t="s">
        <v>108</v>
      </c>
      <c r="E289" s="16" t="s">
        <v>19</v>
      </c>
      <c r="F289" s="17" t="str">
        <f>IFERROR(__xludf.DUMMYFUNCTION("""COMPUTED_VALUE"""),"TLC-PH-GCN-1A")</f>
        <v>TLC-PH-GCN-1A</v>
      </c>
      <c r="G289" s="18">
        <v>40.0</v>
      </c>
      <c r="H289" s="16"/>
      <c r="I289" s="16"/>
      <c r="J289" s="16" t="s">
        <v>496</v>
      </c>
      <c r="K289" s="19"/>
      <c r="L289" s="16">
        <v>1.0</v>
      </c>
      <c r="M289" s="16" t="s">
        <v>38</v>
      </c>
      <c r="N289" s="20">
        <v>40.0</v>
      </c>
      <c r="O289" s="21" t="s">
        <v>22</v>
      </c>
      <c r="P289" s="19"/>
      <c r="Q289" s="19"/>
      <c r="R289" s="19"/>
      <c r="S289" s="19"/>
      <c r="T289" s="19"/>
      <c r="U289" s="19"/>
      <c r="V289" s="19"/>
    </row>
    <row r="290">
      <c r="A290" s="15">
        <v>45966.0</v>
      </c>
      <c r="B290" s="16" t="s">
        <v>54</v>
      </c>
      <c r="C290" s="16" t="s">
        <v>17</v>
      </c>
      <c r="D290" s="16" t="s">
        <v>497</v>
      </c>
      <c r="E290" s="16" t="s">
        <v>19</v>
      </c>
      <c r="F290" s="17" t="str">
        <f>IFERROR(__xludf.DUMMYFUNCTION("""COMPUTED_VALUE"""),"TLC-BE-BLM-1A")</f>
        <v>TLC-BE-BLM-1A</v>
      </c>
      <c r="G290" s="18">
        <v>20.0</v>
      </c>
      <c r="H290" s="16"/>
      <c r="I290" s="16"/>
      <c r="J290" s="16" t="s">
        <v>498</v>
      </c>
      <c r="K290" s="19"/>
      <c r="L290" s="16">
        <v>1.0</v>
      </c>
      <c r="M290" s="19"/>
      <c r="N290" s="20">
        <v>20.0</v>
      </c>
      <c r="O290" s="21" t="s">
        <v>22</v>
      </c>
      <c r="P290" s="19"/>
      <c r="Q290" s="19"/>
      <c r="R290" s="19"/>
      <c r="S290" s="19"/>
      <c r="T290" s="19"/>
      <c r="U290" s="19"/>
      <c r="V290" s="19"/>
    </row>
    <row r="291">
      <c r="A291" s="15">
        <v>45966.0</v>
      </c>
      <c r="B291" s="16" t="s">
        <v>54</v>
      </c>
      <c r="C291" s="16" t="s">
        <v>17</v>
      </c>
      <c r="D291" s="16" t="s">
        <v>499</v>
      </c>
      <c r="E291" s="16" t="s">
        <v>19</v>
      </c>
      <c r="F291" s="17" t="str">
        <f>IFERROR(__xludf.DUMMYFUNCTION("""COMPUTED_VALUE"""),"TLC-BE-BR-1A")</f>
        <v>TLC-BE-BR-1A</v>
      </c>
      <c r="G291" s="18">
        <v>20.0</v>
      </c>
      <c r="H291" s="16"/>
      <c r="I291" s="16"/>
      <c r="J291" s="16" t="s">
        <v>500</v>
      </c>
      <c r="K291" s="19"/>
      <c r="L291" s="16">
        <v>1.0</v>
      </c>
      <c r="M291" s="19"/>
      <c r="N291" s="20">
        <v>20.0</v>
      </c>
      <c r="O291" s="21" t="s">
        <v>22</v>
      </c>
      <c r="P291" s="19"/>
      <c r="Q291" s="19"/>
      <c r="R291" s="19"/>
      <c r="S291" s="19"/>
      <c r="T291" s="19"/>
      <c r="U291" s="19"/>
      <c r="V291" s="19"/>
    </row>
    <row r="292">
      <c r="A292" s="15">
        <v>45966.0</v>
      </c>
      <c r="B292" s="16" t="s">
        <v>54</v>
      </c>
      <c r="C292" s="16" t="s">
        <v>17</v>
      </c>
      <c r="D292" s="16" t="s">
        <v>501</v>
      </c>
      <c r="E292" s="16" t="s">
        <v>19</v>
      </c>
      <c r="F292" s="17" t="str">
        <f>IFERROR(__xludf.DUMMYFUNCTION("""COMPUTED_VALUE"""),"TLC-BE-MAC-1A")</f>
        <v>TLC-BE-MAC-1A</v>
      </c>
      <c r="G292" s="18">
        <v>16.0</v>
      </c>
      <c r="H292" s="16"/>
      <c r="I292" s="16"/>
      <c r="J292" s="16" t="s">
        <v>502</v>
      </c>
      <c r="K292" s="19"/>
      <c r="L292" s="16">
        <v>1.0</v>
      </c>
      <c r="M292" s="19"/>
      <c r="N292" s="20">
        <v>16.0</v>
      </c>
      <c r="O292" s="21" t="s">
        <v>22</v>
      </c>
      <c r="P292" s="19"/>
      <c r="Q292" s="19"/>
      <c r="R292" s="19"/>
      <c r="S292" s="19"/>
      <c r="T292" s="19"/>
      <c r="U292" s="19"/>
      <c r="V292" s="19"/>
    </row>
    <row r="293">
      <c r="A293" s="15">
        <v>45966.0</v>
      </c>
      <c r="B293" s="16" t="s">
        <v>54</v>
      </c>
      <c r="C293" s="16" t="s">
        <v>17</v>
      </c>
      <c r="D293" s="16" t="s">
        <v>503</v>
      </c>
      <c r="E293" s="16" t="s">
        <v>19</v>
      </c>
      <c r="F293" s="17" t="str">
        <f>IFERROR(__xludf.DUMMYFUNCTION("""COMPUTED_VALUE"""),"TLC-BE-SLC-1A")</f>
        <v>TLC-BE-SLC-1A</v>
      </c>
      <c r="G293" s="18">
        <v>22.0</v>
      </c>
      <c r="H293" s="16"/>
      <c r="I293" s="16"/>
      <c r="J293" s="16" t="s">
        <v>504</v>
      </c>
      <c r="K293" s="19"/>
      <c r="L293" s="16">
        <v>1.0</v>
      </c>
      <c r="M293" s="19"/>
      <c r="N293" s="20">
        <v>22.0</v>
      </c>
      <c r="O293" s="21" t="s">
        <v>22</v>
      </c>
      <c r="P293" s="19"/>
      <c r="Q293" s="19"/>
      <c r="R293" s="19"/>
      <c r="S293" s="19"/>
      <c r="T293" s="19"/>
      <c r="U293" s="19"/>
      <c r="V293" s="19"/>
    </row>
    <row r="294">
      <c r="A294" s="15">
        <v>45968.0</v>
      </c>
      <c r="B294" s="16" t="s">
        <v>505</v>
      </c>
      <c r="C294" s="16" t="s">
        <v>506</v>
      </c>
      <c r="D294" s="16" t="s">
        <v>507</v>
      </c>
      <c r="E294" s="16" t="s">
        <v>19</v>
      </c>
      <c r="F294" s="17" t="str">
        <f>IFERROR(__xludf.DUMMYFUNCTION("""COMPUTED_VALUE"""),"SS-PIN-BU-1A")</f>
        <v>SS-PIN-BU-1A</v>
      </c>
      <c r="G294" s="18">
        <v>5.5</v>
      </c>
      <c r="H294" s="16" t="s">
        <v>508</v>
      </c>
      <c r="I294" s="16" t="s">
        <v>509</v>
      </c>
      <c r="J294" s="16" t="s">
        <v>510</v>
      </c>
      <c r="K294" s="16">
        <v>11.0</v>
      </c>
      <c r="L294" s="16">
        <v>1.0</v>
      </c>
      <c r="M294" s="19"/>
      <c r="N294" s="20">
        <v>5.5</v>
      </c>
      <c r="O294" s="21" t="s">
        <v>22</v>
      </c>
      <c r="P294" s="19"/>
      <c r="Q294" s="19"/>
      <c r="R294" s="19"/>
      <c r="S294" s="19"/>
      <c r="T294" s="19"/>
      <c r="U294" s="19"/>
      <c r="V294" s="19"/>
    </row>
    <row r="295">
      <c r="A295" s="15">
        <v>45968.0</v>
      </c>
      <c r="B295" s="16" t="s">
        <v>311</v>
      </c>
      <c r="C295" s="16" t="s">
        <v>26</v>
      </c>
      <c r="D295" s="16" t="s">
        <v>511</v>
      </c>
      <c r="E295" s="16" t="s">
        <v>19</v>
      </c>
      <c r="F295" s="17" t="str">
        <f>IFERROR(__xludf.DUMMYFUNCTION("""COMPUTED_VALUE"""),"AGP-PH-CHE-1A")</f>
        <v>AGP-PH-CHE-1A</v>
      </c>
      <c r="G295" s="18">
        <v>12.25</v>
      </c>
      <c r="H295" s="16"/>
      <c r="I295" s="16"/>
      <c r="J295" s="16" t="s">
        <v>512</v>
      </c>
      <c r="K295" s="16">
        <v>22.0</v>
      </c>
      <c r="L295" s="16">
        <v>1.0</v>
      </c>
      <c r="M295" s="19"/>
      <c r="N295" s="20">
        <v>12.25</v>
      </c>
      <c r="O295" s="21" t="s">
        <v>22</v>
      </c>
      <c r="P295" s="19"/>
      <c r="Q295" s="19"/>
      <c r="R295" s="19"/>
      <c r="S295" s="19"/>
      <c r="T295" s="19"/>
      <c r="U295" s="19"/>
      <c r="V295" s="19"/>
    </row>
    <row r="296">
      <c r="A296" s="15">
        <v>45968.0</v>
      </c>
      <c r="B296" s="16" t="s">
        <v>311</v>
      </c>
      <c r="C296" s="16" t="s">
        <v>26</v>
      </c>
      <c r="D296" s="16" t="s">
        <v>511</v>
      </c>
      <c r="E296" s="16" t="s">
        <v>71</v>
      </c>
      <c r="F296" s="17" t="str">
        <f>IFERROR(__xludf.DUMMYFUNCTION("""COMPUTED_VALUE"""),"AGP-PH-CHE-1A-2")</f>
        <v>AGP-PH-CHE-1A-2</v>
      </c>
      <c r="G296" s="18">
        <v>12.25</v>
      </c>
      <c r="H296" s="16"/>
      <c r="I296" s="16"/>
      <c r="J296" s="16" t="s">
        <v>513</v>
      </c>
      <c r="K296" s="16">
        <v>22.0</v>
      </c>
      <c r="L296" s="16">
        <v>1.0</v>
      </c>
      <c r="M296" s="19"/>
      <c r="N296" s="20">
        <v>12.25</v>
      </c>
      <c r="O296" s="21" t="s">
        <v>22</v>
      </c>
      <c r="P296" s="19"/>
      <c r="Q296" s="19"/>
      <c r="R296" s="19"/>
      <c r="S296" s="19"/>
      <c r="T296" s="19"/>
      <c r="U296" s="19"/>
      <c r="V296" s="19"/>
    </row>
    <row r="297">
      <c r="A297" s="15">
        <v>45968.0</v>
      </c>
      <c r="B297" s="16" t="s">
        <v>311</v>
      </c>
      <c r="C297" s="16" t="s">
        <v>26</v>
      </c>
      <c r="D297" s="16" t="s">
        <v>95</v>
      </c>
      <c r="E297" s="16" t="s">
        <v>19</v>
      </c>
      <c r="F297" s="17" t="str">
        <f>IFERROR(__xludf.DUMMYFUNCTION("""COMPUTED_VALUE"""),"AGP-PH-SD-1A")</f>
        <v>AGP-PH-SD-1A</v>
      </c>
      <c r="G297" s="18">
        <v>16.5</v>
      </c>
      <c r="H297" s="16"/>
      <c r="I297" s="16"/>
      <c r="J297" s="16" t="s">
        <v>514</v>
      </c>
      <c r="K297" s="16">
        <v>40.0</v>
      </c>
      <c r="L297" s="16">
        <v>1.0</v>
      </c>
      <c r="M297" s="19"/>
      <c r="N297" s="20">
        <v>16.5</v>
      </c>
      <c r="O297" s="21" t="s">
        <v>22</v>
      </c>
      <c r="P297" s="19"/>
      <c r="Q297" s="19"/>
      <c r="R297" s="19"/>
      <c r="S297" s="19"/>
      <c r="T297" s="19"/>
      <c r="U297" s="19"/>
      <c r="V297" s="19"/>
    </row>
    <row r="298">
      <c r="A298" s="15">
        <v>45968.0</v>
      </c>
      <c r="B298" s="16" t="s">
        <v>311</v>
      </c>
      <c r="C298" s="16" t="s">
        <v>26</v>
      </c>
      <c r="D298" s="16" t="s">
        <v>95</v>
      </c>
      <c r="E298" s="16" t="s">
        <v>71</v>
      </c>
      <c r="F298" s="17" t="str">
        <f>IFERROR(__xludf.DUMMYFUNCTION("""COMPUTED_VALUE"""),"AGP-PH-SD-1A-2")</f>
        <v>AGP-PH-SD-1A-2</v>
      </c>
      <c r="G298" s="18">
        <v>16.5</v>
      </c>
      <c r="H298" s="16"/>
      <c r="I298" s="16"/>
      <c r="J298" s="16" t="s">
        <v>515</v>
      </c>
      <c r="K298" s="16">
        <v>40.0</v>
      </c>
      <c r="L298" s="16">
        <v>1.0</v>
      </c>
      <c r="M298" s="19"/>
      <c r="N298" s="20">
        <v>16.5</v>
      </c>
      <c r="O298" s="21" t="s">
        <v>22</v>
      </c>
      <c r="P298" s="19"/>
      <c r="Q298" s="19"/>
      <c r="R298" s="19"/>
      <c r="S298" s="19"/>
      <c r="T298" s="19"/>
      <c r="U298" s="19"/>
      <c r="V298" s="19"/>
    </row>
    <row r="299">
      <c r="A299" s="15">
        <v>45968.0</v>
      </c>
      <c r="B299" s="16" t="s">
        <v>311</v>
      </c>
      <c r="C299" s="16" t="s">
        <v>159</v>
      </c>
      <c r="D299" s="16" t="s">
        <v>516</v>
      </c>
      <c r="E299" s="16" t="s">
        <v>19</v>
      </c>
      <c r="F299" s="17" t="str">
        <f>IFERROR(__xludf.DUMMYFUNCTION("""COMPUTED_VALUE"""),"AGP-SYN-EC-1A")</f>
        <v>AGP-SYN-EC-1A</v>
      </c>
      <c r="G299" s="18">
        <v>33.0</v>
      </c>
      <c r="H299" s="16"/>
      <c r="I299" s="16"/>
      <c r="J299" s="16" t="s">
        <v>517</v>
      </c>
      <c r="K299" s="16">
        <v>64.0</v>
      </c>
      <c r="L299" s="16">
        <v>1.0</v>
      </c>
      <c r="M299" s="19"/>
      <c r="N299" s="20">
        <v>33.0</v>
      </c>
      <c r="O299" s="21" t="s">
        <v>22</v>
      </c>
      <c r="P299" s="19"/>
      <c r="Q299" s="19"/>
      <c r="R299" s="19"/>
      <c r="S299" s="19"/>
      <c r="T299" s="19"/>
      <c r="U299" s="19"/>
      <c r="V299" s="19"/>
    </row>
    <row r="300">
      <c r="A300" s="15">
        <v>45968.0</v>
      </c>
      <c r="B300" s="16" t="s">
        <v>311</v>
      </c>
      <c r="C300" s="16" t="s">
        <v>26</v>
      </c>
      <c r="D300" s="16" t="s">
        <v>518</v>
      </c>
      <c r="E300" s="16" t="s">
        <v>19</v>
      </c>
      <c r="F300" s="17" t="str">
        <f>IFERROR(__xludf.DUMMYFUNCTION("""COMPUTED_VALUE"""),"AGP-PH-GX-1A")</f>
        <v>AGP-PH-GX-1A</v>
      </c>
      <c r="G300" s="18">
        <v>12.25</v>
      </c>
      <c r="H300" s="16" t="s">
        <v>509</v>
      </c>
      <c r="I300" s="16" t="s">
        <v>509</v>
      </c>
      <c r="J300" s="16" t="s">
        <v>519</v>
      </c>
      <c r="K300" s="16">
        <v>25.0</v>
      </c>
      <c r="L300" s="16">
        <v>1.0</v>
      </c>
      <c r="M300" s="19"/>
      <c r="N300" s="20">
        <v>12.25</v>
      </c>
      <c r="O300" s="21" t="s">
        <v>22</v>
      </c>
      <c r="P300" s="19"/>
      <c r="Q300" s="19"/>
      <c r="R300" s="19"/>
      <c r="S300" s="19"/>
      <c r="T300" s="19"/>
      <c r="U300" s="19"/>
      <c r="V300" s="19"/>
    </row>
    <row r="301">
      <c r="A301" s="15">
        <v>45968.0</v>
      </c>
      <c r="B301" s="16" t="s">
        <v>311</v>
      </c>
      <c r="C301" s="16" t="s">
        <v>26</v>
      </c>
      <c r="D301" s="16" t="s">
        <v>518</v>
      </c>
      <c r="E301" s="16" t="s">
        <v>71</v>
      </c>
      <c r="F301" s="17" t="str">
        <f>IFERROR(__xludf.DUMMYFUNCTION("""COMPUTED_VALUE"""),"AGP-PH-GX-1A-2")</f>
        <v>AGP-PH-GX-1A-2</v>
      </c>
      <c r="G301" s="18">
        <v>12.25</v>
      </c>
      <c r="H301" s="16" t="s">
        <v>509</v>
      </c>
      <c r="I301" s="16" t="s">
        <v>509</v>
      </c>
      <c r="J301" s="16" t="s">
        <v>520</v>
      </c>
      <c r="K301" s="16">
        <v>25.0</v>
      </c>
      <c r="L301" s="16">
        <v>1.0</v>
      </c>
      <c r="M301" s="19"/>
      <c r="N301" s="20">
        <v>12.25</v>
      </c>
      <c r="O301" s="21" t="s">
        <v>22</v>
      </c>
      <c r="P301" s="19"/>
      <c r="Q301" s="19"/>
      <c r="R301" s="19"/>
      <c r="S301" s="19"/>
      <c r="T301" s="19"/>
      <c r="U301" s="19"/>
      <c r="V301" s="19"/>
    </row>
    <row r="302">
      <c r="A302" s="15">
        <v>45968.0</v>
      </c>
      <c r="B302" s="16" t="s">
        <v>311</v>
      </c>
      <c r="C302" s="16" t="s">
        <v>26</v>
      </c>
      <c r="D302" s="16" t="s">
        <v>239</v>
      </c>
      <c r="E302" s="16" t="s">
        <v>19</v>
      </c>
      <c r="F302" s="17" t="str">
        <f>IFERROR(__xludf.DUMMYFUNCTION("""COMPUTED_VALUE"""),"AGP-PH-ROF-1A")</f>
        <v>AGP-PH-ROF-1A</v>
      </c>
      <c r="G302" s="18">
        <v>8.0</v>
      </c>
      <c r="H302" s="16"/>
      <c r="I302" s="16"/>
      <c r="J302" s="16" t="s">
        <v>521</v>
      </c>
      <c r="K302" s="16">
        <v>15.0</v>
      </c>
      <c r="L302" s="16">
        <v>1.0</v>
      </c>
      <c r="M302" s="16" t="s">
        <v>38</v>
      </c>
      <c r="N302" s="20">
        <v>8.0</v>
      </c>
      <c r="O302" s="21" t="s">
        <v>22</v>
      </c>
      <c r="P302" s="19"/>
      <c r="Q302" s="19"/>
      <c r="R302" s="19"/>
      <c r="S302" s="19"/>
      <c r="T302" s="19"/>
      <c r="U302" s="19"/>
      <c r="V302" s="19"/>
    </row>
    <row r="303">
      <c r="A303" s="15">
        <v>45968.0</v>
      </c>
      <c r="B303" s="16" t="s">
        <v>311</v>
      </c>
      <c r="C303" s="16" t="s">
        <v>26</v>
      </c>
      <c r="D303" s="16" t="s">
        <v>239</v>
      </c>
      <c r="E303" s="16" t="s">
        <v>71</v>
      </c>
      <c r="F303" s="17" t="str">
        <f>IFERROR(__xludf.DUMMYFUNCTION("""COMPUTED_VALUE"""),"AGP-PH-ROF-1A-2")</f>
        <v>AGP-PH-ROF-1A-2</v>
      </c>
      <c r="G303" s="18">
        <v>8.0</v>
      </c>
      <c r="H303" s="16"/>
      <c r="I303" s="16"/>
      <c r="J303" s="16" t="s">
        <v>522</v>
      </c>
      <c r="K303" s="16">
        <v>15.0</v>
      </c>
      <c r="L303" s="16">
        <v>1.0</v>
      </c>
      <c r="M303" s="16" t="s">
        <v>38</v>
      </c>
      <c r="N303" s="20">
        <v>8.0</v>
      </c>
      <c r="O303" s="21" t="s">
        <v>22</v>
      </c>
      <c r="P303" s="19"/>
      <c r="Q303" s="19"/>
      <c r="R303" s="19"/>
      <c r="S303" s="19"/>
      <c r="T303" s="19"/>
      <c r="U303" s="19"/>
      <c r="V303" s="19"/>
    </row>
    <row r="304">
      <c r="A304" s="15">
        <v>45969.0</v>
      </c>
      <c r="B304" s="16" t="s">
        <v>505</v>
      </c>
      <c r="C304" s="16" t="s">
        <v>111</v>
      </c>
      <c r="D304" s="16" t="s">
        <v>523</v>
      </c>
      <c r="E304" s="16" t="s">
        <v>19</v>
      </c>
      <c r="F304" s="17" t="str">
        <f>IFERROR(__xludf.DUMMYFUNCTION("""COMPUTED_VALUE"""),"SS-HO-CO-1A")</f>
        <v>SS-HO-CO-1A</v>
      </c>
      <c r="G304" s="18">
        <v>3.55</v>
      </c>
      <c r="H304" s="16" t="s">
        <v>509</v>
      </c>
      <c r="I304" s="16" t="s">
        <v>509</v>
      </c>
      <c r="J304" s="16" t="s">
        <v>524</v>
      </c>
      <c r="K304" s="16">
        <v>7.1</v>
      </c>
      <c r="L304" s="16">
        <v>1.0</v>
      </c>
      <c r="M304" s="16" t="s">
        <v>525</v>
      </c>
      <c r="N304" s="20">
        <v>3.55</v>
      </c>
      <c r="O304" s="21" t="s">
        <v>22</v>
      </c>
      <c r="P304" s="19"/>
      <c r="Q304" s="19"/>
      <c r="R304" s="19"/>
      <c r="S304" s="19"/>
      <c r="T304" s="19"/>
      <c r="U304" s="19"/>
      <c r="V304" s="19"/>
    </row>
    <row r="305">
      <c r="A305" s="15">
        <v>45969.0</v>
      </c>
      <c r="B305" s="16" t="s">
        <v>505</v>
      </c>
      <c r="C305" s="16" t="s">
        <v>111</v>
      </c>
      <c r="D305" s="16" t="s">
        <v>526</v>
      </c>
      <c r="E305" s="16" t="s">
        <v>145</v>
      </c>
      <c r="F305" s="17" t="str">
        <f>IFERROR(__xludf.DUMMYFUNCTION("""COMPUTED_VALUE"""),"SS-HO-WV-1A-5")</f>
        <v>SS-HO-WV-1A-5</v>
      </c>
      <c r="G305" s="18">
        <v>3.55</v>
      </c>
      <c r="H305" s="16" t="s">
        <v>509</v>
      </c>
      <c r="I305" s="16" t="s">
        <v>509</v>
      </c>
      <c r="J305" s="16" t="s">
        <v>527</v>
      </c>
      <c r="K305" s="16">
        <v>7.1</v>
      </c>
      <c r="L305" s="16">
        <v>1.0</v>
      </c>
      <c r="M305" s="16" t="s">
        <v>525</v>
      </c>
      <c r="N305" s="20">
        <v>3.55</v>
      </c>
      <c r="O305" s="21" t="s">
        <v>22</v>
      </c>
      <c r="P305" s="19"/>
      <c r="Q305" s="19"/>
      <c r="R305" s="19"/>
      <c r="S305" s="19"/>
      <c r="T305" s="19"/>
      <c r="U305" s="19"/>
      <c r="V305" s="19"/>
    </row>
    <row r="306">
      <c r="A306" s="15">
        <v>45969.0</v>
      </c>
      <c r="B306" s="16" t="s">
        <v>505</v>
      </c>
      <c r="C306" s="16" t="s">
        <v>111</v>
      </c>
      <c r="D306" s="16" t="s">
        <v>528</v>
      </c>
      <c r="E306" s="16" t="s">
        <v>19</v>
      </c>
      <c r="F306" s="17" t="str">
        <f>IFERROR(__xludf.DUMMYFUNCTION("""COMPUTED_VALUE"""),"SS-HO-LI-1A")</f>
        <v>SS-HO-LI-1A</v>
      </c>
      <c r="G306" s="18">
        <v>3.55</v>
      </c>
      <c r="H306" s="16" t="s">
        <v>509</v>
      </c>
      <c r="I306" s="16" t="s">
        <v>509</v>
      </c>
      <c r="J306" s="16" t="s">
        <v>529</v>
      </c>
      <c r="K306" s="16">
        <v>7.1</v>
      </c>
      <c r="L306" s="16">
        <v>1.0</v>
      </c>
      <c r="M306" s="16" t="s">
        <v>525</v>
      </c>
      <c r="N306" s="20">
        <v>3.55</v>
      </c>
      <c r="O306" s="21" t="s">
        <v>22</v>
      </c>
      <c r="P306" s="19"/>
      <c r="Q306" s="19"/>
      <c r="R306" s="19"/>
      <c r="S306" s="19"/>
      <c r="T306" s="19"/>
      <c r="U306" s="19"/>
      <c r="V306" s="19"/>
    </row>
    <row r="307">
      <c r="A307" s="15">
        <v>45969.0</v>
      </c>
      <c r="B307" s="16" t="s">
        <v>505</v>
      </c>
      <c r="C307" s="16" t="s">
        <v>111</v>
      </c>
      <c r="D307" s="16" t="s">
        <v>114</v>
      </c>
      <c r="E307" s="16" t="s">
        <v>19</v>
      </c>
      <c r="F307" s="17" t="str">
        <f>IFERROR(__xludf.DUMMYFUNCTION("""COMPUTED_VALUE"""),"SS-HO-PU-1A")</f>
        <v>SS-HO-PU-1A</v>
      </c>
      <c r="G307" s="18">
        <v>3.55</v>
      </c>
      <c r="H307" s="16" t="s">
        <v>509</v>
      </c>
      <c r="I307" s="16" t="s">
        <v>509</v>
      </c>
      <c r="J307" s="16" t="s">
        <v>530</v>
      </c>
      <c r="K307" s="16">
        <v>7.1</v>
      </c>
      <c r="L307" s="16">
        <v>1.0</v>
      </c>
      <c r="M307" s="16" t="s">
        <v>525</v>
      </c>
      <c r="N307" s="20">
        <v>3.55</v>
      </c>
      <c r="O307" s="21" t="s">
        <v>22</v>
      </c>
      <c r="P307" s="19"/>
      <c r="Q307" s="19"/>
      <c r="R307" s="19"/>
      <c r="S307" s="19"/>
      <c r="T307" s="19"/>
      <c r="U307" s="19"/>
      <c r="V307" s="19"/>
    </row>
    <row r="308">
      <c r="A308" s="15">
        <v>45969.0</v>
      </c>
      <c r="B308" s="16" t="s">
        <v>505</v>
      </c>
      <c r="C308" s="16" t="s">
        <v>111</v>
      </c>
      <c r="D308" s="16" t="s">
        <v>531</v>
      </c>
      <c r="E308" s="16" t="s">
        <v>19</v>
      </c>
      <c r="F308" s="17" t="str">
        <f>IFERROR(__xludf.DUMMYFUNCTION("""COMPUTED_VALUE"""),"SS-HO-OB-1A")</f>
        <v>SS-HO-OB-1A</v>
      </c>
      <c r="G308" s="18">
        <v>3.55</v>
      </c>
      <c r="H308" s="16" t="s">
        <v>509</v>
      </c>
      <c r="I308" s="16" t="s">
        <v>509</v>
      </c>
      <c r="J308" s="16" t="s">
        <v>532</v>
      </c>
      <c r="K308" s="16">
        <v>7.1</v>
      </c>
      <c r="L308" s="16">
        <v>1.0</v>
      </c>
      <c r="M308" s="16" t="s">
        <v>525</v>
      </c>
      <c r="N308" s="20">
        <v>3.55</v>
      </c>
      <c r="O308" s="21" t="s">
        <v>22</v>
      </c>
      <c r="P308" s="19"/>
      <c r="Q308" s="19"/>
      <c r="R308" s="19"/>
      <c r="S308" s="19"/>
      <c r="T308" s="19"/>
      <c r="U308" s="19"/>
      <c r="V308" s="19"/>
    </row>
    <row r="309">
      <c r="A309" s="15">
        <v>45968.0</v>
      </c>
      <c r="B309" s="16" t="s">
        <v>505</v>
      </c>
      <c r="C309" s="16" t="s">
        <v>506</v>
      </c>
      <c r="D309" s="16" t="s">
        <v>507</v>
      </c>
      <c r="E309" s="16" t="s">
        <v>71</v>
      </c>
      <c r="F309" s="17" t="str">
        <f>IFERROR(__xludf.DUMMYFUNCTION("""COMPUTED_VALUE"""),"SS-PIN-BU-1A-2")</f>
        <v>SS-PIN-BU-1A-2</v>
      </c>
      <c r="G309" s="18">
        <v>5.5</v>
      </c>
      <c r="H309" s="16" t="s">
        <v>509</v>
      </c>
      <c r="I309" s="16" t="s">
        <v>509</v>
      </c>
      <c r="J309" s="16" t="s">
        <v>533</v>
      </c>
      <c r="K309" s="16">
        <v>11.0</v>
      </c>
      <c r="L309" s="16">
        <v>1.0</v>
      </c>
      <c r="M309" s="16" t="s">
        <v>525</v>
      </c>
      <c r="N309" s="20">
        <v>5.5</v>
      </c>
      <c r="O309" s="21" t="s">
        <v>22</v>
      </c>
      <c r="P309" s="19"/>
      <c r="Q309" s="19"/>
      <c r="R309" s="19"/>
      <c r="S309" s="19"/>
      <c r="T309" s="19"/>
      <c r="U309" s="19"/>
      <c r="V309" s="19"/>
    </row>
    <row r="310">
      <c r="A310" s="15">
        <v>45968.0</v>
      </c>
      <c r="B310" s="16" t="s">
        <v>505</v>
      </c>
      <c r="C310" s="16" t="s">
        <v>506</v>
      </c>
      <c r="D310" s="16" t="s">
        <v>507</v>
      </c>
      <c r="E310" s="16" t="s">
        <v>129</v>
      </c>
      <c r="F310" s="17" t="str">
        <f>IFERROR(__xludf.DUMMYFUNCTION("""COMPUTED_VALUE"""),"SS-PIN-BU-1A-3")</f>
        <v>SS-PIN-BU-1A-3</v>
      </c>
      <c r="G310" s="18">
        <v>5.5</v>
      </c>
      <c r="H310" s="16" t="s">
        <v>509</v>
      </c>
      <c r="I310" s="16" t="s">
        <v>509</v>
      </c>
      <c r="J310" s="16" t="s">
        <v>534</v>
      </c>
      <c r="K310" s="16">
        <v>11.0</v>
      </c>
      <c r="L310" s="16">
        <v>1.0</v>
      </c>
      <c r="M310" s="16" t="s">
        <v>525</v>
      </c>
      <c r="N310" s="20">
        <v>5.5</v>
      </c>
      <c r="O310" s="21" t="s">
        <v>22</v>
      </c>
      <c r="P310" s="19"/>
      <c r="Q310" s="19"/>
      <c r="R310" s="19"/>
      <c r="S310" s="19"/>
      <c r="T310" s="19"/>
      <c r="U310" s="19"/>
      <c r="V310" s="19"/>
    </row>
    <row r="311">
      <c r="A311" s="15">
        <v>45968.0</v>
      </c>
      <c r="B311" s="16" t="s">
        <v>505</v>
      </c>
      <c r="C311" s="16" t="s">
        <v>506</v>
      </c>
      <c r="D311" s="16" t="s">
        <v>507</v>
      </c>
      <c r="E311" s="16" t="s">
        <v>143</v>
      </c>
      <c r="F311" s="17" t="str">
        <f>IFERROR(__xludf.DUMMYFUNCTION("""COMPUTED_VALUE"""),"SS-PIN-BU-1A-4")</f>
        <v>SS-PIN-BU-1A-4</v>
      </c>
      <c r="G311" s="18">
        <v>5.5</v>
      </c>
      <c r="H311" s="16" t="s">
        <v>509</v>
      </c>
      <c r="I311" s="16" t="s">
        <v>509</v>
      </c>
      <c r="J311" s="16" t="s">
        <v>535</v>
      </c>
      <c r="K311" s="16">
        <v>11.0</v>
      </c>
      <c r="L311" s="16">
        <v>1.0</v>
      </c>
      <c r="M311" s="16" t="s">
        <v>525</v>
      </c>
      <c r="N311" s="20">
        <v>5.5</v>
      </c>
      <c r="O311" s="21" t="s">
        <v>22</v>
      </c>
      <c r="P311" s="19"/>
      <c r="Q311" s="19"/>
      <c r="R311" s="19"/>
      <c r="S311" s="19"/>
      <c r="T311" s="19"/>
      <c r="U311" s="19"/>
      <c r="V311" s="19"/>
    </row>
    <row r="312">
      <c r="A312" s="15">
        <v>45968.0</v>
      </c>
      <c r="B312" s="16" t="s">
        <v>505</v>
      </c>
      <c r="C312" s="16" t="s">
        <v>506</v>
      </c>
      <c r="D312" s="16" t="s">
        <v>507</v>
      </c>
      <c r="E312" s="16" t="s">
        <v>145</v>
      </c>
      <c r="F312" s="17" t="str">
        <f>IFERROR(__xludf.DUMMYFUNCTION("""COMPUTED_VALUE"""),"SS-PIN-BU-1A-5")</f>
        <v>SS-PIN-BU-1A-5</v>
      </c>
      <c r="G312" s="18">
        <v>5.5</v>
      </c>
      <c r="H312" s="16" t="s">
        <v>509</v>
      </c>
      <c r="I312" s="16" t="s">
        <v>509</v>
      </c>
      <c r="J312" s="16" t="s">
        <v>536</v>
      </c>
      <c r="K312" s="16">
        <v>11.0</v>
      </c>
      <c r="L312" s="16">
        <v>1.0</v>
      </c>
      <c r="M312" s="16" t="s">
        <v>525</v>
      </c>
      <c r="N312" s="20">
        <v>5.5</v>
      </c>
      <c r="O312" s="21" t="s">
        <v>22</v>
      </c>
      <c r="P312" s="19"/>
      <c r="Q312" s="19"/>
      <c r="R312" s="19"/>
      <c r="S312" s="19"/>
      <c r="T312" s="19"/>
      <c r="U312" s="19"/>
      <c r="V312" s="19"/>
    </row>
    <row r="313">
      <c r="A313" s="15">
        <v>45968.0</v>
      </c>
      <c r="B313" s="16" t="s">
        <v>505</v>
      </c>
      <c r="C313" s="16" t="s">
        <v>506</v>
      </c>
      <c r="D313" s="16" t="s">
        <v>507</v>
      </c>
      <c r="E313" s="16" t="s">
        <v>265</v>
      </c>
      <c r="F313" s="17" t="str">
        <f>IFERROR(__xludf.DUMMYFUNCTION("""COMPUTED_VALUE"""),"SS-PIN-BU-1A-6")</f>
        <v>SS-PIN-BU-1A-6</v>
      </c>
      <c r="G313" s="18">
        <v>5.5</v>
      </c>
      <c r="H313" s="16" t="s">
        <v>509</v>
      </c>
      <c r="I313" s="16" t="s">
        <v>509</v>
      </c>
      <c r="J313" s="16" t="s">
        <v>537</v>
      </c>
      <c r="K313" s="16">
        <v>11.0</v>
      </c>
      <c r="L313" s="16">
        <v>1.0</v>
      </c>
      <c r="M313" s="16" t="s">
        <v>525</v>
      </c>
      <c r="N313" s="20">
        <v>5.5</v>
      </c>
      <c r="O313" s="21" t="s">
        <v>22</v>
      </c>
      <c r="P313" s="19"/>
      <c r="Q313" s="19"/>
      <c r="R313" s="19"/>
      <c r="S313" s="19"/>
      <c r="T313" s="19"/>
      <c r="U313" s="19"/>
      <c r="V313" s="19"/>
    </row>
    <row r="314">
      <c r="A314" s="15">
        <v>45968.0</v>
      </c>
      <c r="B314" s="16" t="s">
        <v>505</v>
      </c>
      <c r="C314" s="16" t="s">
        <v>506</v>
      </c>
      <c r="D314" s="16" t="s">
        <v>507</v>
      </c>
      <c r="E314" s="16" t="s">
        <v>267</v>
      </c>
      <c r="F314" s="17" t="str">
        <f>IFERROR(__xludf.DUMMYFUNCTION("""COMPUTED_VALUE"""),"SS-PIN-BU-1A-7")</f>
        <v>SS-PIN-BU-1A-7</v>
      </c>
      <c r="G314" s="18">
        <v>5.5</v>
      </c>
      <c r="H314" s="16" t="s">
        <v>509</v>
      </c>
      <c r="I314" s="16" t="s">
        <v>509</v>
      </c>
      <c r="J314" s="16" t="s">
        <v>538</v>
      </c>
      <c r="K314" s="16">
        <v>11.0</v>
      </c>
      <c r="L314" s="16">
        <v>1.0</v>
      </c>
      <c r="M314" s="16" t="s">
        <v>525</v>
      </c>
      <c r="N314" s="20">
        <v>5.5</v>
      </c>
      <c r="O314" s="21" t="s">
        <v>22</v>
      </c>
      <c r="P314" s="19"/>
      <c r="Q314" s="19"/>
      <c r="R314" s="19"/>
      <c r="S314" s="19"/>
      <c r="T314" s="19"/>
      <c r="U314" s="19"/>
      <c r="V314" s="19"/>
    </row>
    <row r="315">
      <c r="A315" s="15">
        <v>45968.0</v>
      </c>
      <c r="B315" s="16" t="s">
        <v>505</v>
      </c>
      <c r="C315" s="16" t="s">
        <v>506</v>
      </c>
      <c r="D315" s="16" t="s">
        <v>507</v>
      </c>
      <c r="E315" s="16" t="s">
        <v>269</v>
      </c>
      <c r="F315" s="17" t="str">
        <f>IFERROR(__xludf.DUMMYFUNCTION("""COMPUTED_VALUE"""),"SS-PIN-BU-1A-8")</f>
        <v>SS-PIN-BU-1A-8</v>
      </c>
      <c r="G315" s="18">
        <v>5.5</v>
      </c>
      <c r="H315" s="16" t="s">
        <v>509</v>
      </c>
      <c r="I315" s="16" t="s">
        <v>509</v>
      </c>
      <c r="J315" s="16" t="s">
        <v>539</v>
      </c>
      <c r="K315" s="16">
        <v>11.0</v>
      </c>
      <c r="L315" s="16">
        <v>1.0</v>
      </c>
      <c r="M315" s="16" t="s">
        <v>525</v>
      </c>
      <c r="N315" s="20">
        <v>5.5</v>
      </c>
      <c r="O315" s="21" t="s">
        <v>22</v>
      </c>
      <c r="P315" s="19"/>
      <c r="Q315" s="19"/>
      <c r="R315" s="19"/>
      <c r="S315" s="19"/>
      <c r="T315" s="19"/>
      <c r="U315" s="19"/>
      <c r="V315" s="19"/>
    </row>
    <row r="316">
      <c r="A316" s="15">
        <v>45968.0</v>
      </c>
      <c r="B316" s="16" t="s">
        <v>505</v>
      </c>
      <c r="C316" s="16" t="s">
        <v>506</v>
      </c>
      <c r="D316" s="16" t="s">
        <v>507</v>
      </c>
      <c r="E316" s="16" t="s">
        <v>271</v>
      </c>
      <c r="F316" s="17" t="str">
        <f>IFERROR(__xludf.DUMMYFUNCTION("""COMPUTED_VALUE"""),"SS-PIN-BU-1A-9")</f>
        <v>SS-PIN-BU-1A-9</v>
      </c>
      <c r="G316" s="18">
        <v>5.5</v>
      </c>
      <c r="H316" s="16" t="s">
        <v>509</v>
      </c>
      <c r="I316" s="16" t="s">
        <v>509</v>
      </c>
      <c r="J316" s="16" t="s">
        <v>540</v>
      </c>
      <c r="K316" s="16">
        <v>11.0</v>
      </c>
      <c r="L316" s="16">
        <v>1.0</v>
      </c>
      <c r="M316" s="16" t="s">
        <v>525</v>
      </c>
      <c r="N316" s="20">
        <v>5.5</v>
      </c>
      <c r="O316" s="21" t="s">
        <v>22</v>
      </c>
      <c r="P316" s="19"/>
      <c r="Q316" s="19"/>
      <c r="R316" s="19"/>
      <c r="S316" s="19"/>
      <c r="T316" s="19"/>
      <c r="U316" s="19"/>
      <c r="V316" s="19"/>
    </row>
    <row r="317">
      <c r="A317" s="15">
        <v>45968.0</v>
      </c>
      <c r="B317" s="16" t="s">
        <v>505</v>
      </c>
      <c r="C317" s="16" t="s">
        <v>506</v>
      </c>
      <c r="D317" s="16" t="s">
        <v>507</v>
      </c>
      <c r="E317" s="16" t="s">
        <v>298</v>
      </c>
      <c r="F317" s="17" t="str">
        <f>IFERROR(__xludf.DUMMYFUNCTION("""COMPUTED_VALUE"""),"SS-PIN-BU-1A-10")</f>
        <v>SS-PIN-BU-1A-10</v>
      </c>
      <c r="G317" s="18">
        <v>5.5</v>
      </c>
      <c r="H317" s="16" t="s">
        <v>509</v>
      </c>
      <c r="I317" s="16" t="s">
        <v>509</v>
      </c>
      <c r="J317" s="16" t="s">
        <v>541</v>
      </c>
      <c r="K317" s="16">
        <v>11.0</v>
      </c>
      <c r="L317" s="16">
        <v>1.0</v>
      </c>
      <c r="M317" s="16" t="s">
        <v>525</v>
      </c>
      <c r="N317" s="20">
        <v>5.5</v>
      </c>
      <c r="O317" s="21" t="s">
        <v>22</v>
      </c>
      <c r="P317" s="19"/>
      <c r="Q317" s="19"/>
      <c r="R317" s="19"/>
      <c r="S317" s="19"/>
      <c r="T317" s="19"/>
      <c r="U317" s="19"/>
      <c r="V317" s="19"/>
    </row>
    <row r="318">
      <c r="A318" s="15">
        <v>45968.0</v>
      </c>
      <c r="B318" s="16" t="s">
        <v>505</v>
      </c>
      <c r="C318" s="16" t="s">
        <v>506</v>
      </c>
      <c r="D318" s="16" t="s">
        <v>507</v>
      </c>
      <c r="E318" s="16" t="s">
        <v>300</v>
      </c>
      <c r="F318" s="17" t="str">
        <f>IFERROR(__xludf.DUMMYFUNCTION("""COMPUTED_VALUE"""),"SS-PIN-BU-1A-11")</f>
        <v>SS-PIN-BU-1A-11</v>
      </c>
      <c r="G318" s="18">
        <v>5.5</v>
      </c>
      <c r="H318" s="16" t="s">
        <v>509</v>
      </c>
      <c r="I318" s="16" t="s">
        <v>509</v>
      </c>
      <c r="J318" s="16" t="s">
        <v>542</v>
      </c>
      <c r="K318" s="16">
        <v>11.0</v>
      </c>
      <c r="L318" s="16">
        <v>1.0</v>
      </c>
      <c r="M318" s="16" t="s">
        <v>525</v>
      </c>
      <c r="N318" s="20">
        <v>5.5</v>
      </c>
      <c r="O318" s="21" t="s">
        <v>22</v>
      </c>
      <c r="P318" s="19"/>
      <c r="Q318" s="19"/>
      <c r="R318" s="19"/>
      <c r="S318" s="19"/>
      <c r="T318" s="19"/>
      <c r="U318" s="19"/>
      <c r="V318" s="19"/>
    </row>
    <row r="319">
      <c r="A319" s="15">
        <v>45968.0</v>
      </c>
      <c r="B319" s="16" t="s">
        <v>505</v>
      </c>
      <c r="C319" s="16" t="s">
        <v>506</v>
      </c>
      <c r="D319" s="16" t="s">
        <v>507</v>
      </c>
      <c r="E319" s="16" t="s">
        <v>302</v>
      </c>
      <c r="F319" s="17" t="str">
        <f>IFERROR(__xludf.DUMMYFUNCTION("""COMPUTED_VALUE"""),"SS-PIN-BU-1A-12")</f>
        <v>SS-PIN-BU-1A-12</v>
      </c>
      <c r="G319" s="18">
        <v>5.5</v>
      </c>
      <c r="H319" s="16" t="s">
        <v>509</v>
      </c>
      <c r="I319" s="16" t="s">
        <v>509</v>
      </c>
      <c r="J319" s="16" t="s">
        <v>543</v>
      </c>
      <c r="K319" s="16">
        <v>11.0</v>
      </c>
      <c r="L319" s="16">
        <v>1.0</v>
      </c>
      <c r="M319" s="16" t="s">
        <v>525</v>
      </c>
      <c r="N319" s="20">
        <v>5.5</v>
      </c>
      <c r="O319" s="21" t="s">
        <v>22</v>
      </c>
      <c r="P319" s="19"/>
      <c r="Q319" s="19"/>
      <c r="R319" s="19"/>
      <c r="S319" s="19"/>
      <c r="T319" s="19"/>
      <c r="U319" s="19"/>
      <c r="V319" s="19"/>
    </row>
    <row r="320">
      <c r="A320" s="15">
        <v>45968.0</v>
      </c>
      <c r="B320" s="16" t="s">
        <v>505</v>
      </c>
      <c r="C320" s="16" t="s">
        <v>506</v>
      </c>
      <c r="D320" s="16" t="s">
        <v>507</v>
      </c>
      <c r="E320" s="16" t="s">
        <v>544</v>
      </c>
      <c r="F320" s="17" t="str">
        <f>IFERROR(__xludf.DUMMYFUNCTION("""COMPUTED_VALUE"""),"SS-PIN-BU-1A-13")</f>
        <v>SS-PIN-BU-1A-13</v>
      </c>
      <c r="G320" s="18">
        <v>5.5</v>
      </c>
      <c r="H320" s="16" t="s">
        <v>509</v>
      </c>
      <c r="I320" s="16" t="s">
        <v>509</v>
      </c>
      <c r="J320" s="16" t="s">
        <v>545</v>
      </c>
      <c r="K320" s="16">
        <v>11.0</v>
      </c>
      <c r="L320" s="16">
        <v>1.0</v>
      </c>
      <c r="M320" s="16" t="s">
        <v>525</v>
      </c>
      <c r="N320" s="20">
        <v>5.5</v>
      </c>
      <c r="O320" s="21" t="s">
        <v>22</v>
      </c>
      <c r="P320" s="19"/>
      <c r="Q320" s="19"/>
      <c r="R320" s="19"/>
      <c r="S320" s="19"/>
      <c r="T320" s="19"/>
      <c r="U320" s="19"/>
      <c r="V320" s="19"/>
    </row>
    <row r="321">
      <c r="A321" s="15">
        <v>45968.0</v>
      </c>
      <c r="B321" s="16" t="s">
        <v>505</v>
      </c>
      <c r="C321" s="16" t="s">
        <v>506</v>
      </c>
      <c r="D321" s="16" t="s">
        <v>507</v>
      </c>
      <c r="E321" s="16" t="s">
        <v>546</v>
      </c>
      <c r="F321" s="17" t="str">
        <f>IFERROR(__xludf.DUMMYFUNCTION("""COMPUTED_VALUE"""),"SS-PIN-BU-1A-14")</f>
        <v>SS-PIN-BU-1A-14</v>
      </c>
      <c r="G321" s="18">
        <v>5.5</v>
      </c>
      <c r="H321" s="16" t="s">
        <v>509</v>
      </c>
      <c r="I321" s="16" t="s">
        <v>509</v>
      </c>
      <c r="J321" s="16" t="s">
        <v>547</v>
      </c>
      <c r="K321" s="16">
        <v>11.0</v>
      </c>
      <c r="L321" s="16">
        <v>1.0</v>
      </c>
      <c r="M321" s="16" t="s">
        <v>525</v>
      </c>
      <c r="N321" s="20">
        <v>5.5</v>
      </c>
      <c r="O321" s="21" t="s">
        <v>22</v>
      </c>
      <c r="P321" s="19"/>
      <c r="Q321" s="19"/>
      <c r="R321" s="19"/>
      <c r="S321" s="19"/>
      <c r="T321" s="19"/>
      <c r="U321" s="19"/>
      <c r="V321" s="19"/>
    </row>
    <row r="322">
      <c r="A322" s="15">
        <v>45968.0</v>
      </c>
      <c r="B322" s="16" t="s">
        <v>505</v>
      </c>
      <c r="C322" s="16" t="s">
        <v>506</v>
      </c>
      <c r="D322" s="16" t="s">
        <v>507</v>
      </c>
      <c r="E322" s="16" t="s">
        <v>548</v>
      </c>
      <c r="F322" s="17" t="str">
        <f>IFERROR(__xludf.DUMMYFUNCTION("""COMPUTED_VALUE"""),"SS-PIN-BU-1A-15")</f>
        <v>SS-PIN-BU-1A-15</v>
      </c>
      <c r="G322" s="18">
        <v>5.5</v>
      </c>
      <c r="H322" s="16" t="s">
        <v>509</v>
      </c>
      <c r="I322" s="16" t="s">
        <v>509</v>
      </c>
      <c r="J322" s="16" t="s">
        <v>549</v>
      </c>
      <c r="K322" s="16">
        <v>11.0</v>
      </c>
      <c r="L322" s="16">
        <v>1.0</v>
      </c>
      <c r="M322" s="16" t="s">
        <v>525</v>
      </c>
      <c r="N322" s="20">
        <v>5.5</v>
      </c>
      <c r="O322" s="21" t="s">
        <v>22</v>
      </c>
      <c r="P322" s="19"/>
      <c r="Q322" s="19"/>
      <c r="R322" s="19"/>
      <c r="S322" s="19"/>
      <c r="T322" s="19"/>
      <c r="U322" s="19"/>
      <c r="V322" s="19"/>
    </row>
    <row r="323">
      <c r="A323" s="15">
        <v>45968.0</v>
      </c>
      <c r="B323" s="16" t="s">
        <v>505</v>
      </c>
      <c r="C323" s="16" t="s">
        <v>506</v>
      </c>
      <c r="D323" s="16" t="s">
        <v>507</v>
      </c>
      <c r="E323" s="16" t="s">
        <v>550</v>
      </c>
      <c r="F323" s="17" t="str">
        <f>IFERROR(__xludf.DUMMYFUNCTION("""COMPUTED_VALUE"""),"SS-PIN-BU-1A-16")</f>
        <v>SS-PIN-BU-1A-16</v>
      </c>
      <c r="G323" s="18">
        <v>5.5</v>
      </c>
      <c r="H323" s="16" t="s">
        <v>509</v>
      </c>
      <c r="I323" s="16" t="s">
        <v>509</v>
      </c>
      <c r="J323" s="16" t="s">
        <v>551</v>
      </c>
      <c r="K323" s="16">
        <v>11.0</v>
      </c>
      <c r="L323" s="16">
        <v>1.0</v>
      </c>
      <c r="M323" s="16" t="s">
        <v>525</v>
      </c>
      <c r="N323" s="20">
        <v>5.5</v>
      </c>
      <c r="O323" s="21" t="s">
        <v>22</v>
      </c>
      <c r="P323" s="19"/>
      <c r="Q323" s="19"/>
      <c r="R323" s="19"/>
      <c r="S323" s="19"/>
      <c r="T323" s="19"/>
      <c r="U323" s="19"/>
      <c r="V323" s="19"/>
    </row>
    <row r="324">
      <c r="A324" s="15">
        <v>45968.0</v>
      </c>
      <c r="B324" s="16" t="s">
        <v>505</v>
      </c>
      <c r="C324" s="16" t="s">
        <v>506</v>
      </c>
      <c r="D324" s="16" t="s">
        <v>507</v>
      </c>
      <c r="E324" s="16" t="s">
        <v>552</v>
      </c>
      <c r="F324" s="17" t="str">
        <f>IFERROR(__xludf.DUMMYFUNCTION("""COMPUTED_VALUE"""),"SS-PIN-BU-1A-17")</f>
        <v>SS-PIN-BU-1A-17</v>
      </c>
      <c r="G324" s="18">
        <v>5.5</v>
      </c>
      <c r="H324" s="16" t="s">
        <v>509</v>
      </c>
      <c r="I324" s="16" t="s">
        <v>509</v>
      </c>
      <c r="J324" s="16" t="s">
        <v>553</v>
      </c>
      <c r="K324" s="16">
        <v>11.0</v>
      </c>
      <c r="L324" s="16">
        <v>1.0</v>
      </c>
      <c r="M324" s="16" t="s">
        <v>525</v>
      </c>
      <c r="N324" s="20">
        <v>5.5</v>
      </c>
      <c r="O324" s="21" t="s">
        <v>22</v>
      </c>
      <c r="P324" s="19"/>
      <c r="Q324" s="19"/>
      <c r="R324" s="19"/>
      <c r="S324" s="19"/>
      <c r="T324" s="19"/>
      <c r="U324" s="19"/>
      <c r="V324" s="19"/>
    </row>
    <row r="325">
      <c r="A325" s="15">
        <v>45968.0</v>
      </c>
      <c r="B325" s="16" t="s">
        <v>505</v>
      </c>
      <c r="C325" s="16" t="s">
        <v>506</v>
      </c>
      <c r="D325" s="16" t="s">
        <v>507</v>
      </c>
      <c r="E325" s="16" t="s">
        <v>554</v>
      </c>
      <c r="F325" s="17" t="str">
        <f>IFERROR(__xludf.DUMMYFUNCTION("""COMPUTED_VALUE"""),"SS-PIN-BU-1A-18")</f>
        <v>SS-PIN-BU-1A-18</v>
      </c>
      <c r="G325" s="18">
        <v>5.5</v>
      </c>
      <c r="H325" s="16" t="s">
        <v>509</v>
      </c>
      <c r="I325" s="16" t="s">
        <v>509</v>
      </c>
      <c r="J325" s="16" t="s">
        <v>555</v>
      </c>
      <c r="K325" s="16">
        <v>11.0</v>
      </c>
      <c r="L325" s="16">
        <v>1.0</v>
      </c>
      <c r="M325" s="16" t="s">
        <v>525</v>
      </c>
      <c r="N325" s="20">
        <v>5.5</v>
      </c>
      <c r="O325" s="21" t="s">
        <v>22</v>
      </c>
      <c r="P325" s="19"/>
      <c r="Q325" s="19"/>
      <c r="R325" s="19"/>
      <c r="S325" s="19"/>
      <c r="T325" s="19"/>
      <c r="U325" s="19"/>
      <c r="V325" s="19"/>
    </row>
    <row r="326">
      <c r="A326" s="15">
        <v>45968.0</v>
      </c>
      <c r="B326" s="16" t="s">
        <v>505</v>
      </c>
      <c r="C326" s="16" t="s">
        <v>506</v>
      </c>
      <c r="D326" s="16" t="s">
        <v>507</v>
      </c>
      <c r="E326" s="16" t="s">
        <v>556</v>
      </c>
      <c r="F326" s="17" t="str">
        <f>IFERROR(__xludf.DUMMYFUNCTION("""COMPUTED_VALUE"""),"SS-PIN-BU-1A-19")</f>
        <v>SS-PIN-BU-1A-19</v>
      </c>
      <c r="G326" s="18">
        <v>5.5</v>
      </c>
      <c r="H326" s="16" t="s">
        <v>509</v>
      </c>
      <c r="I326" s="16" t="s">
        <v>509</v>
      </c>
      <c r="J326" s="16" t="s">
        <v>557</v>
      </c>
      <c r="K326" s="16">
        <v>11.0</v>
      </c>
      <c r="L326" s="16">
        <v>1.0</v>
      </c>
      <c r="M326" s="16" t="s">
        <v>525</v>
      </c>
      <c r="N326" s="20">
        <v>5.5</v>
      </c>
      <c r="O326" s="21" t="s">
        <v>22</v>
      </c>
      <c r="P326" s="19"/>
      <c r="Q326" s="19"/>
      <c r="R326" s="19"/>
      <c r="S326" s="19"/>
      <c r="T326" s="19"/>
      <c r="U326" s="19"/>
      <c r="V326" s="19"/>
    </row>
    <row r="327">
      <c r="A327" s="15">
        <v>45968.0</v>
      </c>
      <c r="B327" s="16" t="s">
        <v>505</v>
      </c>
      <c r="C327" s="16" t="s">
        <v>506</v>
      </c>
      <c r="D327" s="16" t="s">
        <v>507</v>
      </c>
      <c r="E327" s="16" t="s">
        <v>558</v>
      </c>
      <c r="F327" s="17" t="str">
        <f>IFERROR(__xludf.DUMMYFUNCTION("""COMPUTED_VALUE"""),"SS-PIN-BU-1A-20")</f>
        <v>SS-PIN-BU-1A-20</v>
      </c>
      <c r="G327" s="18">
        <v>5.5</v>
      </c>
      <c r="H327" s="16" t="s">
        <v>509</v>
      </c>
      <c r="I327" s="16" t="s">
        <v>509</v>
      </c>
      <c r="J327" s="16" t="s">
        <v>559</v>
      </c>
      <c r="K327" s="16">
        <v>11.0</v>
      </c>
      <c r="L327" s="16">
        <v>1.0</v>
      </c>
      <c r="M327" s="16" t="s">
        <v>525</v>
      </c>
      <c r="N327" s="20">
        <v>5.5</v>
      </c>
      <c r="O327" s="21" t="s">
        <v>22</v>
      </c>
      <c r="P327" s="19"/>
      <c r="Q327" s="19"/>
      <c r="R327" s="19"/>
      <c r="S327" s="19"/>
      <c r="T327" s="19"/>
      <c r="U327" s="19"/>
      <c r="V327" s="19"/>
    </row>
    <row r="328">
      <c r="A328" s="15">
        <v>45968.0</v>
      </c>
      <c r="B328" s="16" t="s">
        <v>505</v>
      </c>
      <c r="C328" s="16" t="s">
        <v>506</v>
      </c>
      <c r="D328" s="16" t="s">
        <v>507</v>
      </c>
      <c r="E328" s="16" t="s">
        <v>560</v>
      </c>
      <c r="F328" s="17" t="str">
        <f>IFERROR(__xludf.DUMMYFUNCTION("""COMPUTED_VALUE"""),"SS-PIN-BU-1A-21")</f>
        <v>SS-PIN-BU-1A-21</v>
      </c>
      <c r="G328" s="18">
        <v>5.5</v>
      </c>
      <c r="H328" s="16" t="s">
        <v>509</v>
      </c>
      <c r="I328" s="16" t="s">
        <v>509</v>
      </c>
      <c r="J328" s="16" t="s">
        <v>561</v>
      </c>
      <c r="K328" s="16">
        <v>11.0</v>
      </c>
      <c r="L328" s="16">
        <v>1.0</v>
      </c>
      <c r="M328" s="16" t="s">
        <v>525</v>
      </c>
      <c r="N328" s="20">
        <v>5.5</v>
      </c>
      <c r="O328" s="21" t="s">
        <v>22</v>
      </c>
      <c r="P328" s="19"/>
      <c r="Q328" s="19"/>
      <c r="R328" s="19"/>
      <c r="S328" s="19"/>
      <c r="T328" s="19"/>
      <c r="U328" s="19"/>
      <c r="V328" s="19"/>
    </row>
    <row r="329">
      <c r="A329" s="15">
        <v>45968.0</v>
      </c>
      <c r="B329" s="16" t="s">
        <v>505</v>
      </c>
      <c r="C329" s="16" t="s">
        <v>506</v>
      </c>
      <c r="D329" s="16" t="s">
        <v>507</v>
      </c>
      <c r="E329" s="16" t="s">
        <v>562</v>
      </c>
      <c r="F329" s="17" t="str">
        <f>IFERROR(__xludf.DUMMYFUNCTION("""COMPUTED_VALUE"""),"SS-PIN-BU-1A-22")</f>
        <v>SS-PIN-BU-1A-22</v>
      </c>
      <c r="G329" s="18">
        <v>5.5</v>
      </c>
      <c r="H329" s="16" t="s">
        <v>509</v>
      </c>
      <c r="I329" s="16" t="s">
        <v>509</v>
      </c>
      <c r="J329" s="16" t="s">
        <v>563</v>
      </c>
      <c r="K329" s="16">
        <v>11.0</v>
      </c>
      <c r="L329" s="16">
        <v>1.0</v>
      </c>
      <c r="M329" s="16" t="s">
        <v>525</v>
      </c>
      <c r="N329" s="20">
        <v>5.5</v>
      </c>
      <c r="O329" s="21" t="s">
        <v>22</v>
      </c>
      <c r="P329" s="19"/>
      <c r="Q329" s="19"/>
      <c r="R329" s="19"/>
      <c r="S329" s="19"/>
      <c r="T329" s="19"/>
      <c r="U329" s="19"/>
      <c r="V329" s="19"/>
    </row>
    <row r="330">
      <c r="A330" s="15">
        <v>45968.0</v>
      </c>
      <c r="B330" s="16" t="s">
        <v>505</v>
      </c>
      <c r="C330" s="16" t="s">
        <v>506</v>
      </c>
      <c r="D330" s="16" t="s">
        <v>507</v>
      </c>
      <c r="E330" s="16" t="s">
        <v>564</v>
      </c>
      <c r="F330" s="17" t="str">
        <f>IFERROR(__xludf.DUMMYFUNCTION("""COMPUTED_VALUE"""),"SS-PIN-BU-1A-23")</f>
        <v>SS-PIN-BU-1A-23</v>
      </c>
      <c r="G330" s="18">
        <v>5.5</v>
      </c>
      <c r="H330" s="16" t="s">
        <v>509</v>
      </c>
      <c r="I330" s="16" t="s">
        <v>509</v>
      </c>
      <c r="J330" s="16" t="s">
        <v>565</v>
      </c>
      <c r="K330" s="16">
        <v>11.0</v>
      </c>
      <c r="L330" s="16">
        <v>1.0</v>
      </c>
      <c r="M330" s="16" t="s">
        <v>525</v>
      </c>
      <c r="N330" s="20">
        <v>5.5</v>
      </c>
      <c r="O330" s="21" t="s">
        <v>22</v>
      </c>
      <c r="P330" s="19"/>
      <c r="Q330" s="19"/>
      <c r="R330" s="19"/>
      <c r="S330" s="19"/>
      <c r="T330" s="19"/>
      <c r="U330" s="19"/>
      <c r="V330" s="19"/>
    </row>
    <row r="331">
      <c r="A331" s="15">
        <v>45968.0</v>
      </c>
      <c r="B331" s="16" t="s">
        <v>505</v>
      </c>
      <c r="C331" s="16" t="s">
        <v>506</v>
      </c>
      <c r="D331" s="16" t="s">
        <v>507</v>
      </c>
      <c r="E331" s="16" t="s">
        <v>566</v>
      </c>
      <c r="F331" s="17" t="str">
        <f>IFERROR(__xludf.DUMMYFUNCTION("""COMPUTED_VALUE"""),"SS-PIN-BU-1A-24")</f>
        <v>SS-PIN-BU-1A-24</v>
      </c>
      <c r="G331" s="18">
        <v>5.5</v>
      </c>
      <c r="H331" s="16" t="s">
        <v>509</v>
      </c>
      <c r="I331" s="16" t="s">
        <v>509</v>
      </c>
      <c r="J331" s="16" t="s">
        <v>567</v>
      </c>
      <c r="K331" s="16">
        <v>11.0</v>
      </c>
      <c r="L331" s="16">
        <v>1.0</v>
      </c>
      <c r="M331" s="16" t="s">
        <v>525</v>
      </c>
      <c r="N331" s="20">
        <v>5.5</v>
      </c>
      <c r="O331" s="21" t="s">
        <v>22</v>
      </c>
      <c r="P331" s="19"/>
      <c r="Q331" s="19"/>
      <c r="R331" s="19"/>
      <c r="S331" s="19"/>
      <c r="T331" s="19"/>
      <c r="U331" s="19"/>
      <c r="V331" s="19"/>
    </row>
    <row r="332">
      <c r="A332" s="15">
        <v>45968.0</v>
      </c>
      <c r="B332" s="16" t="s">
        <v>505</v>
      </c>
      <c r="C332" s="16" t="s">
        <v>506</v>
      </c>
      <c r="D332" s="16" t="s">
        <v>507</v>
      </c>
      <c r="E332" s="16" t="s">
        <v>568</v>
      </c>
      <c r="F332" s="17" t="str">
        <f>IFERROR(__xludf.DUMMYFUNCTION("""COMPUTED_VALUE"""),"SS-PIN-BU-1A-25")</f>
        <v>SS-PIN-BU-1A-25</v>
      </c>
      <c r="G332" s="18">
        <v>5.5</v>
      </c>
      <c r="H332" s="16" t="s">
        <v>509</v>
      </c>
      <c r="I332" s="16" t="s">
        <v>509</v>
      </c>
      <c r="J332" s="16" t="s">
        <v>569</v>
      </c>
      <c r="K332" s="16">
        <v>11.0</v>
      </c>
      <c r="L332" s="16">
        <v>1.0</v>
      </c>
      <c r="M332" s="16" t="s">
        <v>525</v>
      </c>
      <c r="N332" s="20">
        <v>5.5</v>
      </c>
      <c r="O332" s="21" t="s">
        <v>22</v>
      </c>
      <c r="P332" s="19"/>
      <c r="Q332" s="19"/>
      <c r="R332" s="19"/>
      <c r="S332" s="19"/>
      <c r="T332" s="19"/>
      <c r="U332" s="19"/>
      <c r="V332" s="19"/>
    </row>
    <row r="333">
      <c r="A333" s="15">
        <v>45968.0</v>
      </c>
      <c r="B333" s="16" t="s">
        <v>505</v>
      </c>
      <c r="C333" s="16" t="s">
        <v>506</v>
      </c>
      <c r="D333" s="16" t="s">
        <v>507</v>
      </c>
      <c r="E333" s="16" t="s">
        <v>570</v>
      </c>
      <c r="F333" s="17" t="str">
        <f>IFERROR(__xludf.DUMMYFUNCTION("""COMPUTED_VALUE"""),"SS-PIN-BU-1A-26")</f>
        <v>SS-PIN-BU-1A-26</v>
      </c>
      <c r="G333" s="18">
        <v>5.5</v>
      </c>
      <c r="H333" s="16" t="s">
        <v>509</v>
      </c>
      <c r="I333" s="16" t="s">
        <v>509</v>
      </c>
      <c r="J333" s="16" t="s">
        <v>571</v>
      </c>
      <c r="K333" s="16">
        <v>11.0</v>
      </c>
      <c r="L333" s="16">
        <v>1.0</v>
      </c>
      <c r="M333" s="16" t="s">
        <v>525</v>
      </c>
      <c r="N333" s="20">
        <v>5.5</v>
      </c>
      <c r="O333" s="21" t="s">
        <v>22</v>
      </c>
      <c r="P333" s="19"/>
      <c r="Q333" s="19"/>
      <c r="R333" s="19"/>
      <c r="S333" s="19"/>
      <c r="T333" s="19"/>
      <c r="U333" s="19"/>
      <c r="V333" s="19"/>
    </row>
    <row r="334">
      <c r="A334" s="15">
        <v>45968.0</v>
      </c>
      <c r="B334" s="16" t="s">
        <v>505</v>
      </c>
      <c r="C334" s="16" t="s">
        <v>506</v>
      </c>
      <c r="D334" s="16" t="s">
        <v>507</v>
      </c>
      <c r="E334" s="16" t="s">
        <v>572</v>
      </c>
      <c r="F334" s="17" t="str">
        <f>IFERROR(__xludf.DUMMYFUNCTION("""COMPUTED_VALUE"""),"SS-PIN-BU-1A-27")</f>
        <v>SS-PIN-BU-1A-27</v>
      </c>
      <c r="G334" s="18">
        <v>5.5</v>
      </c>
      <c r="H334" s="16" t="s">
        <v>509</v>
      </c>
      <c r="I334" s="16" t="s">
        <v>509</v>
      </c>
      <c r="J334" s="16" t="s">
        <v>573</v>
      </c>
      <c r="K334" s="16">
        <v>11.0</v>
      </c>
      <c r="L334" s="16">
        <v>1.0</v>
      </c>
      <c r="M334" s="16" t="s">
        <v>525</v>
      </c>
      <c r="N334" s="20">
        <v>5.5</v>
      </c>
      <c r="O334" s="21" t="s">
        <v>22</v>
      </c>
      <c r="P334" s="19"/>
      <c r="Q334" s="19"/>
      <c r="R334" s="19"/>
      <c r="S334" s="19"/>
      <c r="T334" s="19"/>
      <c r="U334" s="19"/>
      <c r="V334" s="19"/>
    </row>
    <row r="335">
      <c r="A335" s="15">
        <v>45968.0</v>
      </c>
      <c r="B335" s="16" t="s">
        <v>505</v>
      </c>
      <c r="C335" s="16" t="s">
        <v>506</v>
      </c>
      <c r="D335" s="16" t="s">
        <v>507</v>
      </c>
      <c r="E335" s="16" t="s">
        <v>574</v>
      </c>
      <c r="F335" s="17" t="str">
        <f>IFERROR(__xludf.DUMMYFUNCTION("""COMPUTED_VALUE"""),"SS-PIN-BU-1A-28")</f>
        <v>SS-PIN-BU-1A-28</v>
      </c>
      <c r="G335" s="18">
        <v>5.5</v>
      </c>
      <c r="H335" s="16" t="s">
        <v>509</v>
      </c>
      <c r="I335" s="16" t="s">
        <v>509</v>
      </c>
      <c r="J335" s="16" t="s">
        <v>575</v>
      </c>
      <c r="K335" s="16">
        <v>11.0</v>
      </c>
      <c r="L335" s="16">
        <v>1.0</v>
      </c>
      <c r="M335" s="16" t="s">
        <v>525</v>
      </c>
      <c r="N335" s="20">
        <v>5.5</v>
      </c>
      <c r="O335" s="21" t="s">
        <v>22</v>
      </c>
      <c r="P335" s="19"/>
      <c r="Q335" s="19"/>
      <c r="R335" s="19"/>
      <c r="S335" s="19"/>
      <c r="T335" s="19"/>
      <c r="U335" s="19"/>
      <c r="V335" s="19"/>
    </row>
    <row r="336">
      <c r="A336" s="15">
        <v>45968.0</v>
      </c>
      <c r="B336" s="16" t="s">
        <v>505</v>
      </c>
      <c r="C336" s="16" t="s">
        <v>506</v>
      </c>
      <c r="D336" s="16" t="s">
        <v>507</v>
      </c>
      <c r="E336" s="16" t="s">
        <v>576</v>
      </c>
      <c r="F336" s="17" t="str">
        <f>IFERROR(__xludf.DUMMYFUNCTION("""COMPUTED_VALUE"""),"SS-PIN-BU-1A-29")</f>
        <v>SS-PIN-BU-1A-29</v>
      </c>
      <c r="G336" s="18">
        <v>5.5</v>
      </c>
      <c r="H336" s="16" t="s">
        <v>509</v>
      </c>
      <c r="I336" s="16" t="s">
        <v>509</v>
      </c>
      <c r="J336" s="16" t="s">
        <v>577</v>
      </c>
      <c r="K336" s="16">
        <v>11.0</v>
      </c>
      <c r="L336" s="16">
        <v>1.0</v>
      </c>
      <c r="M336" s="16" t="s">
        <v>525</v>
      </c>
      <c r="N336" s="20">
        <v>5.5</v>
      </c>
      <c r="O336" s="21" t="s">
        <v>22</v>
      </c>
      <c r="P336" s="19"/>
      <c r="Q336" s="19"/>
      <c r="R336" s="19"/>
      <c r="S336" s="19"/>
      <c r="T336" s="19"/>
      <c r="U336" s="19"/>
      <c r="V336" s="19"/>
    </row>
    <row r="337">
      <c r="A337" s="15">
        <v>45968.0</v>
      </c>
      <c r="B337" s="16" t="s">
        <v>505</v>
      </c>
      <c r="C337" s="16" t="s">
        <v>506</v>
      </c>
      <c r="D337" s="16" t="s">
        <v>507</v>
      </c>
      <c r="E337" s="16" t="s">
        <v>578</v>
      </c>
      <c r="F337" s="17" t="str">
        <f>IFERROR(__xludf.DUMMYFUNCTION("""COMPUTED_VALUE"""),"SS-PIN-BU-1A-30")</f>
        <v>SS-PIN-BU-1A-30</v>
      </c>
      <c r="G337" s="18">
        <v>5.5</v>
      </c>
      <c r="H337" s="16" t="s">
        <v>509</v>
      </c>
      <c r="I337" s="16" t="s">
        <v>509</v>
      </c>
      <c r="J337" s="16" t="s">
        <v>579</v>
      </c>
      <c r="K337" s="16">
        <v>11.0</v>
      </c>
      <c r="L337" s="16">
        <v>1.0</v>
      </c>
      <c r="M337" s="16" t="s">
        <v>525</v>
      </c>
      <c r="N337" s="20">
        <v>5.5</v>
      </c>
      <c r="O337" s="21" t="s">
        <v>22</v>
      </c>
      <c r="P337" s="19"/>
      <c r="Q337" s="19"/>
      <c r="R337" s="19"/>
      <c r="S337" s="19"/>
      <c r="T337" s="19"/>
      <c r="U337" s="19"/>
      <c r="V337" s="19"/>
    </row>
    <row r="338">
      <c r="A338" s="15">
        <v>45968.0</v>
      </c>
      <c r="B338" s="16" t="s">
        <v>505</v>
      </c>
      <c r="C338" s="16" t="s">
        <v>506</v>
      </c>
      <c r="D338" s="16" t="s">
        <v>507</v>
      </c>
      <c r="E338" s="16" t="s">
        <v>580</v>
      </c>
      <c r="F338" s="17" t="str">
        <f>IFERROR(__xludf.DUMMYFUNCTION("""COMPUTED_VALUE"""),"SS-PIN-BU-1A-31")</f>
        <v>SS-PIN-BU-1A-31</v>
      </c>
      <c r="G338" s="18">
        <v>5.5</v>
      </c>
      <c r="H338" s="16" t="s">
        <v>509</v>
      </c>
      <c r="I338" s="16" t="s">
        <v>509</v>
      </c>
      <c r="J338" s="16" t="s">
        <v>581</v>
      </c>
      <c r="K338" s="16">
        <v>11.0</v>
      </c>
      <c r="L338" s="16">
        <v>1.0</v>
      </c>
      <c r="M338" s="16" t="s">
        <v>525</v>
      </c>
      <c r="N338" s="20">
        <v>5.5</v>
      </c>
      <c r="O338" s="21" t="s">
        <v>22</v>
      </c>
      <c r="P338" s="19"/>
      <c r="Q338" s="19"/>
      <c r="R338" s="19"/>
      <c r="S338" s="19"/>
      <c r="T338" s="19"/>
      <c r="U338" s="19"/>
      <c r="V338" s="19"/>
    </row>
    <row r="339">
      <c r="A339" s="15">
        <v>45968.0</v>
      </c>
      <c r="B339" s="16" t="s">
        <v>505</v>
      </c>
      <c r="C339" s="16" t="s">
        <v>506</v>
      </c>
      <c r="D339" s="16" t="s">
        <v>507</v>
      </c>
      <c r="E339" s="16" t="s">
        <v>582</v>
      </c>
      <c r="F339" s="17" t="str">
        <f>IFERROR(__xludf.DUMMYFUNCTION("""COMPUTED_VALUE"""),"SS-PIN-BU-1A-32")</f>
        <v>SS-PIN-BU-1A-32</v>
      </c>
      <c r="G339" s="18">
        <v>5.5</v>
      </c>
      <c r="H339" s="16" t="s">
        <v>509</v>
      </c>
      <c r="I339" s="16" t="s">
        <v>509</v>
      </c>
      <c r="J339" s="16" t="s">
        <v>583</v>
      </c>
      <c r="K339" s="16">
        <v>11.0</v>
      </c>
      <c r="L339" s="16">
        <v>1.0</v>
      </c>
      <c r="M339" s="16" t="s">
        <v>525</v>
      </c>
      <c r="N339" s="20">
        <v>5.5</v>
      </c>
      <c r="O339" s="21" t="s">
        <v>22</v>
      </c>
      <c r="P339" s="19"/>
      <c r="Q339" s="19"/>
      <c r="R339" s="19"/>
      <c r="S339" s="19"/>
      <c r="T339" s="19"/>
      <c r="U339" s="19"/>
      <c r="V339" s="19"/>
    </row>
    <row r="340">
      <c r="A340" s="15">
        <v>45968.0</v>
      </c>
      <c r="B340" s="16" t="s">
        <v>505</v>
      </c>
      <c r="C340" s="16" t="s">
        <v>506</v>
      </c>
      <c r="D340" s="16" t="s">
        <v>507</v>
      </c>
      <c r="E340" s="16" t="s">
        <v>584</v>
      </c>
      <c r="F340" s="17" t="str">
        <f>IFERROR(__xludf.DUMMYFUNCTION("""COMPUTED_VALUE"""),"SS-PIN-BU-1A-33")</f>
        <v>SS-PIN-BU-1A-33</v>
      </c>
      <c r="G340" s="18">
        <v>5.5</v>
      </c>
      <c r="H340" s="16" t="s">
        <v>509</v>
      </c>
      <c r="I340" s="16" t="s">
        <v>509</v>
      </c>
      <c r="J340" s="16" t="s">
        <v>585</v>
      </c>
      <c r="K340" s="16">
        <v>11.0</v>
      </c>
      <c r="L340" s="16">
        <v>1.0</v>
      </c>
      <c r="M340" s="16" t="s">
        <v>525</v>
      </c>
      <c r="N340" s="20">
        <v>5.5</v>
      </c>
      <c r="O340" s="21" t="s">
        <v>22</v>
      </c>
      <c r="P340" s="19"/>
      <c r="Q340" s="19"/>
      <c r="R340" s="19"/>
      <c r="S340" s="19"/>
      <c r="T340" s="19"/>
      <c r="U340" s="19"/>
      <c r="V340" s="19"/>
    </row>
    <row r="341">
      <c r="A341" s="15">
        <v>45968.0</v>
      </c>
      <c r="B341" s="16" t="s">
        <v>505</v>
      </c>
      <c r="C341" s="16" t="s">
        <v>506</v>
      </c>
      <c r="D341" s="16" t="s">
        <v>507</v>
      </c>
      <c r="E341" s="16" t="s">
        <v>586</v>
      </c>
      <c r="F341" s="17" t="str">
        <f>IFERROR(__xludf.DUMMYFUNCTION("""COMPUTED_VALUE"""),"SS-PIN-BU-1A-34")</f>
        <v>SS-PIN-BU-1A-34</v>
      </c>
      <c r="G341" s="18">
        <v>5.5</v>
      </c>
      <c r="H341" s="16" t="s">
        <v>509</v>
      </c>
      <c r="I341" s="16" t="s">
        <v>509</v>
      </c>
      <c r="J341" s="16" t="s">
        <v>587</v>
      </c>
      <c r="K341" s="16">
        <v>11.0</v>
      </c>
      <c r="L341" s="16">
        <v>1.0</v>
      </c>
      <c r="M341" s="16" t="s">
        <v>525</v>
      </c>
      <c r="N341" s="20">
        <v>5.5</v>
      </c>
      <c r="O341" s="21" t="s">
        <v>22</v>
      </c>
      <c r="P341" s="19"/>
      <c r="Q341" s="19"/>
      <c r="R341" s="19"/>
      <c r="S341" s="19"/>
      <c r="T341" s="19"/>
      <c r="U341" s="19"/>
      <c r="V341" s="19"/>
    </row>
    <row r="342">
      <c r="A342" s="15">
        <v>45968.0</v>
      </c>
      <c r="B342" s="16" t="s">
        <v>505</v>
      </c>
      <c r="C342" s="16" t="s">
        <v>506</v>
      </c>
      <c r="D342" s="16" t="s">
        <v>507</v>
      </c>
      <c r="E342" s="16" t="s">
        <v>588</v>
      </c>
      <c r="F342" s="17" t="str">
        <f>IFERROR(__xludf.DUMMYFUNCTION("""COMPUTED_VALUE"""),"SS-PIN-BU-1A-35")</f>
        <v>SS-PIN-BU-1A-35</v>
      </c>
      <c r="G342" s="18">
        <v>5.5</v>
      </c>
      <c r="H342" s="16" t="s">
        <v>509</v>
      </c>
      <c r="I342" s="16" t="s">
        <v>509</v>
      </c>
      <c r="J342" s="16" t="s">
        <v>589</v>
      </c>
      <c r="K342" s="16">
        <v>11.0</v>
      </c>
      <c r="L342" s="16">
        <v>1.0</v>
      </c>
      <c r="M342" s="16" t="s">
        <v>525</v>
      </c>
      <c r="N342" s="20">
        <v>5.5</v>
      </c>
      <c r="O342" s="21" t="s">
        <v>22</v>
      </c>
      <c r="P342" s="19"/>
      <c r="Q342" s="19"/>
      <c r="R342" s="19"/>
      <c r="S342" s="19"/>
      <c r="T342" s="19"/>
      <c r="U342" s="19"/>
      <c r="V342" s="19"/>
    </row>
    <row r="343">
      <c r="A343" s="15">
        <v>45968.0</v>
      </c>
      <c r="B343" s="16" t="s">
        <v>505</v>
      </c>
      <c r="C343" s="16" t="s">
        <v>506</v>
      </c>
      <c r="D343" s="16" t="s">
        <v>507</v>
      </c>
      <c r="E343" s="16" t="s">
        <v>590</v>
      </c>
      <c r="F343" s="17" t="str">
        <f>IFERROR(__xludf.DUMMYFUNCTION("""COMPUTED_VALUE"""),"SS-PIN-BU-1A-36")</f>
        <v>SS-PIN-BU-1A-36</v>
      </c>
      <c r="G343" s="18">
        <v>5.5</v>
      </c>
      <c r="H343" s="16" t="s">
        <v>509</v>
      </c>
      <c r="I343" s="16" t="s">
        <v>509</v>
      </c>
      <c r="J343" s="16" t="s">
        <v>591</v>
      </c>
      <c r="K343" s="16">
        <v>11.0</v>
      </c>
      <c r="L343" s="16">
        <v>1.0</v>
      </c>
      <c r="M343" s="16" t="s">
        <v>525</v>
      </c>
      <c r="N343" s="20">
        <v>5.5</v>
      </c>
      <c r="O343" s="21" t="s">
        <v>22</v>
      </c>
      <c r="P343" s="19"/>
      <c r="Q343" s="19"/>
      <c r="R343" s="19"/>
      <c r="S343" s="19"/>
      <c r="T343" s="19"/>
      <c r="U343" s="19"/>
      <c r="V343" s="19"/>
    </row>
    <row r="344">
      <c r="A344" s="15">
        <v>45968.0</v>
      </c>
      <c r="B344" s="16" t="s">
        <v>505</v>
      </c>
      <c r="C344" s="16" t="s">
        <v>506</v>
      </c>
      <c r="D344" s="16" t="s">
        <v>507</v>
      </c>
      <c r="E344" s="16" t="s">
        <v>592</v>
      </c>
      <c r="F344" s="17" t="str">
        <f>IFERROR(__xludf.DUMMYFUNCTION("""COMPUTED_VALUE"""),"SS-PIN-BU-1A-37")</f>
        <v>SS-PIN-BU-1A-37</v>
      </c>
      <c r="G344" s="18">
        <v>5.5</v>
      </c>
      <c r="H344" s="16" t="s">
        <v>509</v>
      </c>
      <c r="I344" s="16" t="s">
        <v>509</v>
      </c>
      <c r="J344" s="16" t="s">
        <v>593</v>
      </c>
      <c r="K344" s="16">
        <v>11.0</v>
      </c>
      <c r="L344" s="16">
        <v>1.0</v>
      </c>
      <c r="M344" s="16" t="s">
        <v>525</v>
      </c>
      <c r="N344" s="20">
        <v>5.5</v>
      </c>
      <c r="O344" s="21" t="s">
        <v>22</v>
      </c>
      <c r="P344" s="19"/>
      <c r="Q344" s="19"/>
      <c r="R344" s="19"/>
      <c r="S344" s="19"/>
      <c r="T344" s="19"/>
      <c r="U344" s="19"/>
      <c r="V344" s="19"/>
    </row>
    <row r="345">
      <c r="A345" s="15">
        <v>45968.0</v>
      </c>
      <c r="B345" s="16" t="s">
        <v>505</v>
      </c>
      <c r="C345" s="16" t="s">
        <v>506</v>
      </c>
      <c r="D345" s="16" t="s">
        <v>507</v>
      </c>
      <c r="E345" s="16" t="s">
        <v>594</v>
      </c>
      <c r="F345" s="17" t="str">
        <f>IFERROR(__xludf.DUMMYFUNCTION("""COMPUTED_VALUE"""),"SS-PIN-BU-1A-38")</f>
        <v>SS-PIN-BU-1A-38</v>
      </c>
      <c r="G345" s="18">
        <v>5.5</v>
      </c>
      <c r="H345" s="16" t="s">
        <v>509</v>
      </c>
      <c r="I345" s="16" t="s">
        <v>509</v>
      </c>
      <c r="J345" s="16" t="s">
        <v>595</v>
      </c>
      <c r="K345" s="16">
        <v>11.0</v>
      </c>
      <c r="L345" s="16">
        <v>1.0</v>
      </c>
      <c r="M345" s="16" t="s">
        <v>525</v>
      </c>
      <c r="N345" s="20">
        <v>5.5</v>
      </c>
      <c r="O345" s="21" t="s">
        <v>22</v>
      </c>
      <c r="P345" s="19"/>
      <c r="Q345" s="19"/>
      <c r="R345" s="19"/>
      <c r="S345" s="19"/>
      <c r="T345" s="19"/>
      <c r="U345" s="19"/>
      <c r="V345" s="19"/>
    </row>
    <row r="346">
      <c r="A346" s="15">
        <v>45968.0</v>
      </c>
      <c r="B346" s="16" t="s">
        <v>505</v>
      </c>
      <c r="C346" s="16" t="s">
        <v>506</v>
      </c>
      <c r="D346" s="16" t="s">
        <v>507</v>
      </c>
      <c r="E346" s="16" t="s">
        <v>596</v>
      </c>
      <c r="F346" s="17" t="str">
        <f>IFERROR(__xludf.DUMMYFUNCTION("""COMPUTED_VALUE"""),"SS-PIN-BU-1A-39")</f>
        <v>SS-PIN-BU-1A-39</v>
      </c>
      <c r="G346" s="18">
        <v>5.5</v>
      </c>
      <c r="H346" s="16" t="s">
        <v>509</v>
      </c>
      <c r="I346" s="16" t="s">
        <v>509</v>
      </c>
      <c r="J346" s="16" t="s">
        <v>597</v>
      </c>
      <c r="K346" s="16">
        <v>11.0</v>
      </c>
      <c r="L346" s="16">
        <v>1.0</v>
      </c>
      <c r="M346" s="16" t="s">
        <v>525</v>
      </c>
      <c r="N346" s="20">
        <v>5.5</v>
      </c>
      <c r="O346" s="21" t="s">
        <v>22</v>
      </c>
      <c r="P346" s="19"/>
      <c r="Q346" s="19"/>
      <c r="R346" s="19"/>
      <c r="S346" s="19"/>
      <c r="T346" s="19"/>
      <c r="U346" s="19"/>
      <c r="V346" s="19"/>
    </row>
    <row r="347">
      <c r="A347" s="15">
        <v>45968.0</v>
      </c>
      <c r="B347" s="16" t="s">
        <v>505</v>
      </c>
      <c r="C347" s="16" t="s">
        <v>506</v>
      </c>
      <c r="D347" s="16" t="s">
        <v>507</v>
      </c>
      <c r="E347" s="16" t="s">
        <v>598</v>
      </c>
      <c r="F347" s="17" t="str">
        <f>IFERROR(__xludf.DUMMYFUNCTION("""COMPUTED_VALUE"""),"SS-PIN-BU-1A-40")</f>
        <v>SS-PIN-BU-1A-40</v>
      </c>
      <c r="G347" s="18">
        <v>5.5</v>
      </c>
      <c r="H347" s="16" t="s">
        <v>509</v>
      </c>
      <c r="I347" s="16" t="s">
        <v>509</v>
      </c>
      <c r="J347" s="16" t="s">
        <v>599</v>
      </c>
      <c r="K347" s="16">
        <v>11.0</v>
      </c>
      <c r="L347" s="16">
        <v>1.0</v>
      </c>
      <c r="M347" s="16" t="s">
        <v>525</v>
      </c>
      <c r="N347" s="20">
        <v>5.5</v>
      </c>
      <c r="O347" s="21" t="s">
        <v>22</v>
      </c>
      <c r="P347" s="19"/>
      <c r="Q347" s="19"/>
      <c r="R347" s="19"/>
      <c r="S347" s="19"/>
      <c r="T347" s="19"/>
      <c r="U347" s="19"/>
      <c r="V347" s="19"/>
    </row>
    <row r="348">
      <c r="A348" s="15">
        <v>45968.0</v>
      </c>
      <c r="B348" s="16" t="s">
        <v>505</v>
      </c>
      <c r="C348" s="16" t="s">
        <v>506</v>
      </c>
      <c r="D348" s="16" t="s">
        <v>507</v>
      </c>
      <c r="E348" s="16" t="s">
        <v>600</v>
      </c>
      <c r="F348" s="17" t="str">
        <f>IFERROR(__xludf.DUMMYFUNCTION("""COMPUTED_VALUE"""),"SS-PIN-BU-1A-41")</f>
        <v>SS-PIN-BU-1A-41</v>
      </c>
      <c r="G348" s="18">
        <v>5.5</v>
      </c>
      <c r="H348" s="16" t="s">
        <v>509</v>
      </c>
      <c r="I348" s="16" t="s">
        <v>509</v>
      </c>
      <c r="J348" s="16" t="s">
        <v>601</v>
      </c>
      <c r="K348" s="16">
        <v>11.0</v>
      </c>
      <c r="L348" s="16">
        <v>1.0</v>
      </c>
      <c r="M348" s="16" t="s">
        <v>525</v>
      </c>
      <c r="N348" s="20">
        <v>5.5</v>
      </c>
      <c r="O348" s="21" t="s">
        <v>22</v>
      </c>
      <c r="P348" s="19"/>
      <c r="Q348" s="19"/>
      <c r="R348" s="19"/>
      <c r="S348" s="19"/>
      <c r="T348" s="19"/>
      <c r="U348" s="19"/>
      <c r="V348" s="19"/>
    </row>
    <row r="349">
      <c r="A349" s="15">
        <v>45968.0</v>
      </c>
      <c r="B349" s="16" t="s">
        <v>505</v>
      </c>
      <c r="C349" s="16" t="s">
        <v>506</v>
      </c>
      <c r="D349" s="16" t="s">
        <v>507</v>
      </c>
      <c r="E349" s="16" t="s">
        <v>602</v>
      </c>
      <c r="F349" s="17" t="str">
        <f>IFERROR(__xludf.DUMMYFUNCTION("""COMPUTED_VALUE"""),"SS-PIN-BU-1A-42")</f>
        <v>SS-PIN-BU-1A-42</v>
      </c>
      <c r="G349" s="18">
        <v>5.5</v>
      </c>
      <c r="H349" s="16" t="s">
        <v>509</v>
      </c>
      <c r="I349" s="16" t="s">
        <v>509</v>
      </c>
      <c r="J349" s="16" t="s">
        <v>603</v>
      </c>
      <c r="K349" s="16">
        <v>11.0</v>
      </c>
      <c r="L349" s="16">
        <v>1.0</v>
      </c>
      <c r="M349" s="16" t="s">
        <v>525</v>
      </c>
      <c r="N349" s="20">
        <v>5.5</v>
      </c>
      <c r="O349" s="21" t="s">
        <v>22</v>
      </c>
      <c r="P349" s="19"/>
      <c r="Q349" s="19"/>
      <c r="R349" s="19"/>
      <c r="S349" s="19"/>
      <c r="T349" s="19"/>
      <c r="U349" s="19"/>
      <c r="V349" s="19"/>
    </row>
    <row r="350">
      <c r="A350" s="15">
        <v>45968.0</v>
      </c>
      <c r="B350" s="16" t="s">
        <v>505</v>
      </c>
      <c r="C350" s="16" t="s">
        <v>506</v>
      </c>
      <c r="D350" s="16" t="s">
        <v>507</v>
      </c>
      <c r="E350" s="16" t="s">
        <v>604</v>
      </c>
      <c r="F350" s="17" t="str">
        <f>IFERROR(__xludf.DUMMYFUNCTION("""COMPUTED_VALUE"""),"SS-PIN-BU-1A-43")</f>
        <v>SS-PIN-BU-1A-43</v>
      </c>
      <c r="G350" s="18">
        <v>5.5</v>
      </c>
      <c r="H350" s="16" t="s">
        <v>509</v>
      </c>
      <c r="I350" s="16" t="s">
        <v>509</v>
      </c>
      <c r="J350" s="16" t="s">
        <v>605</v>
      </c>
      <c r="K350" s="16">
        <v>11.0</v>
      </c>
      <c r="L350" s="16">
        <v>1.0</v>
      </c>
      <c r="M350" s="16" t="s">
        <v>525</v>
      </c>
      <c r="N350" s="20">
        <v>5.5</v>
      </c>
      <c r="O350" s="21" t="s">
        <v>22</v>
      </c>
      <c r="P350" s="19"/>
      <c r="Q350" s="19"/>
      <c r="R350" s="19"/>
      <c r="S350" s="19"/>
      <c r="T350" s="19"/>
      <c r="U350" s="19"/>
      <c r="V350" s="19"/>
    </row>
    <row r="351">
      <c r="A351" s="15">
        <v>45968.0</v>
      </c>
      <c r="B351" s="16" t="s">
        <v>505</v>
      </c>
      <c r="C351" s="16" t="s">
        <v>506</v>
      </c>
      <c r="D351" s="16" t="s">
        <v>507</v>
      </c>
      <c r="E351" s="16" t="s">
        <v>606</v>
      </c>
      <c r="F351" s="17" t="str">
        <f>IFERROR(__xludf.DUMMYFUNCTION("""COMPUTED_VALUE"""),"SS-PIN-BU-1A-44")</f>
        <v>SS-PIN-BU-1A-44</v>
      </c>
      <c r="G351" s="18">
        <v>5.5</v>
      </c>
      <c r="H351" s="16" t="s">
        <v>509</v>
      </c>
      <c r="I351" s="16" t="s">
        <v>509</v>
      </c>
      <c r="J351" s="16" t="s">
        <v>607</v>
      </c>
      <c r="K351" s="16">
        <v>11.0</v>
      </c>
      <c r="L351" s="16">
        <v>1.0</v>
      </c>
      <c r="M351" s="16" t="s">
        <v>525</v>
      </c>
      <c r="N351" s="20">
        <v>5.5</v>
      </c>
      <c r="O351" s="21" t="s">
        <v>22</v>
      </c>
      <c r="P351" s="19"/>
      <c r="Q351" s="19"/>
      <c r="R351" s="19"/>
      <c r="S351" s="19"/>
      <c r="T351" s="19"/>
      <c r="U351" s="19"/>
      <c r="V351" s="19"/>
    </row>
    <row r="352">
      <c r="A352" s="15">
        <v>45968.0</v>
      </c>
      <c r="B352" s="16" t="s">
        <v>505</v>
      </c>
      <c r="C352" s="16" t="s">
        <v>506</v>
      </c>
      <c r="D352" s="16" t="s">
        <v>507</v>
      </c>
      <c r="E352" s="16" t="s">
        <v>608</v>
      </c>
      <c r="F352" s="17" t="str">
        <f>IFERROR(__xludf.DUMMYFUNCTION("""COMPUTED_VALUE"""),"SS-PIN-BU-1A-45")</f>
        <v>SS-PIN-BU-1A-45</v>
      </c>
      <c r="G352" s="18">
        <v>5.5</v>
      </c>
      <c r="H352" s="16" t="s">
        <v>509</v>
      </c>
      <c r="I352" s="16" t="s">
        <v>509</v>
      </c>
      <c r="J352" s="16" t="s">
        <v>609</v>
      </c>
      <c r="K352" s="16">
        <v>11.0</v>
      </c>
      <c r="L352" s="16">
        <v>1.0</v>
      </c>
      <c r="M352" s="16" t="s">
        <v>525</v>
      </c>
      <c r="N352" s="20">
        <v>5.5</v>
      </c>
      <c r="O352" s="21" t="s">
        <v>22</v>
      </c>
      <c r="P352" s="19"/>
      <c r="Q352" s="19"/>
      <c r="R352" s="19"/>
      <c r="S352" s="19"/>
      <c r="T352" s="19"/>
      <c r="U352" s="19"/>
      <c r="V352" s="19"/>
    </row>
    <row r="353">
      <c r="A353" s="15">
        <v>45969.0</v>
      </c>
      <c r="B353" s="16" t="s">
        <v>505</v>
      </c>
      <c r="C353" s="16" t="s">
        <v>111</v>
      </c>
      <c r="D353" s="16" t="s">
        <v>523</v>
      </c>
      <c r="E353" s="16" t="s">
        <v>71</v>
      </c>
      <c r="F353" s="17" t="str">
        <f>IFERROR(__xludf.DUMMYFUNCTION("""COMPUTED_VALUE"""),"SS-HO-CO-1A-2")</f>
        <v>SS-HO-CO-1A-2</v>
      </c>
      <c r="G353" s="18">
        <v>3.55</v>
      </c>
      <c r="H353" s="16" t="s">
        <v>509</v>
      </c>
      <c r="I353" s="16" t="s">
        <v>509</v>
      </c>
      <c r="J353" s="16" t="s">
        <v>610</v>
      </c>
      <c r="K353" s="16">
        <v>7.1</v>
      </c>
      <c r="L353" s="16">
        <v>1.0</v>
      </c>
      <c r="M353" s="16" t="s">
        <v>525</v>
      </c>
      <c r="N353" s="20">
        <v>3.55</v>
      </c>
      <c r="O353" s="21" t="s">
        <v>22</v>
      </c>
      <c r="P353" s="19"/>
      <c r="Q353" s="19"/>
      <c r="R353" s="19"/>
      <c r="S353" s="19"/>
      <c r="T353" s="19"/>
      <c r="U353" s="19"/>
      <c r="V353" s="19"/>
    </row>
    <row r="354">
      <c r="A354" s="15">
        <v>45969.0</v>
      </c>
      <c r="B354" s="16" t="s">
        <v>505</v>
      </c>
      <c r="C354" s="16" t="s">
        <v>111</v>
      </c>
      <c r="D354" s="16" t="s">
        <v>523</v>
      </c>
      <c r="E354" s="16" t="s">
        <v>129</v>
      </c>
      <c r="F354" s="17" t="str">
        <f>IFERROR(__xludf.DUMMYFUNCTION("""COMPUTED_VALUE"""),"SS-HO-CO-1A-3")</f>
        <v>SS-HO-CO-1A-3</v>
      </c>
      <c r="G354" s="18">
        <v>3.55</v>
      </c>
      <c r="H354" s="16" t="s">
        <v>509</v>
      </c>
      <c r="I354" s="16" t="s">
        <v>509</v>
      </c>
      <c r="J354" s="16" t="s">
        <v>611</v>
      </c>
      <c r="K354" s="16">
        <v>7.1</v>
      </c>
      <c r="L354" s="16">
        <v>1.0</v>
      </c>
      <c r="M354" s="16" t="s">
        <v>525</v>
      </c>
      <c r="N354" s="20">
        <v>3.55</v>
      </c>
      <c r="O354" s="21" t="s">
        <v>22</v>
      </c>
      <c r="P354" s="19"/>
      <c r="Q354" s="19"/>
      <c r="R354" s="19"/>
      <c r="S354" s="19"/>
      <c r="T354" s="19"/>
      <c r="U354" s="19"/>
      <c r="V354" s="19"/>
    </row>
    <row r="355">
      <c r="A355" s="15">
        <v>45969.0</v>
      </c>
      <c r="B355" s="16" t="s">
        <v>505</v>
      </c>
      <c r="C355" s="16" t="s">
        <v>111</v>
      </c>
      <c r="D355" s="16" t="s">
        <v>523</v>
      </c>
      <c r="E355" s="16" t="s">
        <v>143</v>
      </c>
      <c r="F355" s="17" t="str">
        <f>IFERROR(__xludf.DUMMYFUNCTION("""COMPUTED_VALUE"""),"SS-HO-CO-1A-4")</f>
        <v>SS-HO-CO-1A-4</v>
      </c>
      <c r="G355" s="18">
        <v>3.55</v>
      </c>
      <c r="H355" s="16" t="s">
        <v>509</v>
      </c>
      <c r="I355" s="16" t="s">
        <v>509</v>
      </c>
      <c r="J355" s="16" t="s">
        <v>612</v>
      </c>
      <c r="K355" s="16">
        <v>7.1</v>
      </c>
      <c r="L355" s="16">
        <v>1.0</v>
      </c>
      <c r="M355" s="16" t="s">
        <v>525</v>
      </c>
      <c r="N355" s="20">
        <v>3.55</v>
      </c>
      <c r="O355" s="21" t="s">
        <v>22</v>
      </c>
      <c r="P355" s="19"/>
      <c r="Q355" s="19"/>
      <c r="R355" s="19"/>
      <c r="S355" s="19"/>
      <c r="T355" s="19"/>
      <c r="U355" s="19"/>
      <c r="V355" s="19"/>
    </row>
    <row r="356">
      <c r="A356" s="15">
        <v>45969.0</v>
      </c>
      <c r="B356" s="16" t="s">
        <v>505</v>
      </c>
      <c r="C356" s="16" t="s">
        <v>111</v>
      </c>
      <c r="D356" s="16" t="s">
        <v>523</v>
      </c>
      <c r="E356" s="16" t="s">
        <v>145</v>
      </c>
      <c r="F356" s="17" t="str">
        <f>IFERROR(__xludf.DUMMYFUNCTION("""COMPUTED_VALUE"""),"SS-HO-CO-1A-5")</f>
        <v>SS-HO-CO-1A-5</v>
      </c>
      <c r="G356" s="18">
        <v>3.55</v>
      </c>
      <c r="H356" s="16" t="s">
        <v>509</v>
      </c>
      <c r="I356" s="16" t="s">
        <v>509</v>
      </c>
      <c r="J356" s="16" t="s">
        <v>613</v>
      </c>
      <c r="K356" s="16">
        <v>7.1</v>
      </c>
      <c r="L356" s="16">
        <v>1.0</v>
      </c>
      <c r="M356" s="16" t="s">
        <v>525</v>
      </c>
      <c r="N356" s="20">
        <v>3.55</v>
      </c>
      <c r="O356" s="21" t="s">
        <v>22</v>
      </c>
      <c r="P356" s="19"/>
      <c r="Q356" s="19"/>
      <c r="R356" s="19"/>
      <c r="S356" s="19"/>
      <c r="T356" s="19"/>
      <c r="U356" s="19"/>
      <c r="V356" s="19"/>
    </row>
    <row r="357">
      <c r="A357" s="15">
        <v>45969.0</v>
      </c>
      <c r="B357" s="16" t="s">
        <v>505</v>
      </c>
      <c r="C357" s="16" t="s">
        <v>111</v>
      </c>
      <c r="D357" s="16" t="s">
        <v>523</v>
      </c>
      <c r="E357" s="16" t="s">
        <v>265</v>
      </c>
      <c r="F357" s="17" t="str">
        <f>IFERROR(__xludf.DUMMYFUNCTION("""COMPUTED_VALUE"""),"SS-HO-CO-1A-6")</f>
        <v>SS-HO-CO-1A-6</v>
      </c>
      <c r="G357" s="18">
        <v>3.55</v>
      </c>
      <c r="H357" s="16" t="s">
        <v>509</v>
      </c>
      <c r="I357" s="16" t="s">
        <v>509</v>
      </c>
      <c r="J357" s="16" t="s">
        <v>614</v>
      </c>
      <c r="K357" s="16">
        <v>7.1</v>
      </c>
      <c r="L357" s="16">
        <v>1.0</v>
      </c>
      <c r="M357" s="16" t="s">
        <v>525</v>
      </c>
      <c r="N357" s="20">
        <v>3.55</v>
      </c>
      <c r="O357" s="21" t="s">
        <v>22</v>
      </c>
      <c r="P357" s="19"/>
      <c r="Q357" s="19"/>
      <c r="R357" s="19"/>
      <c r="S357" s="19"/>
      <c r="T357" s="19"/>
      <c r="U357" s="19"/>
      <c r="V357" s="19"/>
    </row>
    <row r="358">
      <c r="A358" s="15">
        <v>45969.0</v>
      </c>
      <c r="B358" s="16" t="s">
        <v>505</v>
      </c>
      <c r="C358" s="16" t="s">
        <v>111</v>
      </c>
      <c r="D358" s="16" t="s">
        <v>523</v>
      </c>
      <c r="E358" s="16" t="s">
        <v>267</v>
      </c>
      <c r="F358" s="17" t="str">
        <f>IFERROR(__xludf.DUMMYFUNCTION("""COMPUTED_VALUE"""),"SS-HO-CO-1A-7")</f>
        <v>SS-HO-CO-1A-7</v>
      </c>
      <c r="G358" s="18">
        <v>3.55</v>
      </c>
      <c r="H358" s="16" t="s">
        <v>509</v>
      </c>
      <c r="I358" s="16" t="s">
        <v>509</v>
      </c>
      <c r="J358" s="16" t="s">
        <v>615</v>
      </c>
      <c r="K358" s="16">
        <v>7.1</v>
      </c>
      <c r="L358" s="16">
        <v>1.0</v>
      </c>
      <c r="M358" s="16" t="s">
        <v>525</v>
      </c>
      <c r="N358" s="20">
        <v>3.55</v>
      </c>
      <c r="O358" s="21" t="s">
        <v>22</v>
      </c>
      <c r="P358" s="19"/>
      <c r="Q358" s="19"/>
      <c r="R358" s="19"/>
      <c r="S358" s="19"/>
      <c r="T358" s="19"/>
      <c r="U358" s="19"/>
      <c r="V358" s="19"/>
    </row>
    <row r="359">
      <c r="A359" s="15">
        <v>45969.0</v>
      </c>
      <c r="B359" s="16" t="s">
        <v>505</v>
      </c>
      <c r="C359" s="16" t="s">
        <v>111</v>
      </c>
      <c r="D359" s="16" t="s">
        <v>523</v>
      </c>
      <c r="E359" s="16" t="s">
        <v>269</v>
      </c>
      <c r="F359" s="17" t="str">
        <f>IFERROR(__xludf.DUMMYFUNCTION("""COMPUTED_VALUE"""),"SS-HO-CO-1A-8")</f>
        <v>SS-HO-CO-1A-8</v>
      </c>
      <c r="G359" s="18">
        <v>3.55</v>
      </c>
      <c r="H359" s="16" t="s">
        <v>509</v>
      </c>
      <c r="I359" s="16" t="s">
        <v>509</v>
      </c>
      <c r="J359" s="16" t="s">
        <v>616</v>
      </c>
      <c r="K359" s="16">
        <v>7.1</v>
      </c>
      <c r="L359" s="16">
        <v>1.0</v>
      </c>
      <c r="M359" s="16" t="s">
        <v>525</v>
      </c>
      <c r="N359" s="20">
        <v>3.55</v>
      </c>
      <c r="O359" s="21" t="s">
        <v>22</v>
      </c>
      <c r="P359" s="19"/>
      <c r="Q359" s="19"/>
      <c r="R359" s="19"/>
      <c r="S359" s="19"/>
      <c r="T359" s="19"/>
      <c r="U359" s="19"/>
      <c r="V359" s="19"/>
    </row>
    <row r="360">
      <c r="A360" s="15">
        <v>45969.0</v>
      </c>
      <c r="B360" s="16" t="s">
        <v>505</v>
      </c>
      <c r="C360" s="16" t="s">
        <v>111</v>
      </c>
      <c r="D360" s="16" t="s">
        <v>523</v>
      </c>
      <c r="E360" s="16" t="s">
        <v>271</v>
      </c>
      <c r="F360" s="17" t="str">
        <f>IFERROR(__xludf.DUMMYFUNCTION("""COMPUTED_VALUE"""),"SS-HO-CO-1A-9")</f>
        <v>SS-HO-CO-1A-9</v>
      </c>
      <c r="G360" s="18">
        <v>3.55</v>
      </c>
      <c r="H360" s="16" t="s">
        <v>509</v>
      </c>
      <c r="I360" s="16" t="s">
        <v>509</v>
      </c>
      <c r="J360" s="16" t="s">
        <v>617</v>
      </c>
      <c r="K360" s="16">
        <v>7.1</v>
      </c>
      <c r="L360" s="16">
        <v>1.0</v>
      </c>
      <c r="M360" s="16" t="s">
        <v>525</v>
      </c>
      <c r="N360" s="20">
        <v>3.55</v>
      </c>
      <c r="O360" s="21" t="s">
        <v>22</v>
      </c>
      <c r="P360" s="19"/>
      <c r="Q360" s="19"/>
      <c r="R360" s="19"/>
      <c r="S360" s="19"/>
      <c r="T360" s="19"/>
      <c r="U360" s="19"/>
      <c r="V360" s="19"/>
    </row>
    <row r="361">
      <c r="A361" s="15">
        <v>45969.0</v>
      </c>
      <c r="B361" s="16" t="s">
        <v>505</v>
      </c>
      <c r="C361" s="16" t="s">
        <v>111</v>
      </c>
      <c r="D361" s="16" t="s">
        <v>523</v>
      </c>
      <c r="E361" s="16" t="s">
        <v>298</v>
      </c>
      <c r="F361" s="17" t="str">
        <f>IFERROR(__xludf.DUMMYFUNCTION("""COMPUTED_VALUE"""),"SS-HO-CO-1A-10")</f>
        <v>SS-HO-CO-1A-10</v>
      </c>
      <c r="G361" s="18">
        <v>3.55</v>
      </c>
      <c r="H361" s="16" t="s">
        <v>509</v>
      </c>
      <c r="I361" s="16" t="s">
        <v>509</v>
      </c>
      <c r="J361" s="16" t="s">
        <v>618</v>
      </c>
      <c r="K361" s="16">
        <v>7.1</v>
      </c>
      <c r="L361" s="16">
        <v>1.0</v>
      </c>
      <c r="M361" s="16" t="s">
        <v>525</v>
      </c>
      <c r="N361" s="20">
        <v>3.55</v>
      </c>
      <c r="O361" s="21" t="s">
        <v>22</v>
      </c>
      <c r="P361" s="19"/>
      <c r="Q361" s="19"/>
      <c r="R361" s="19"/>
      <c r="S361" s="19"/>
      <c r="T361" s="19"/>
      <c r="U361" s="19"/>
      <c r="V361" s="19"/>
    </row>
    <row r="362">
      <c r="A362" s="15">
        <v>45969.0</v>
      </c>
      <c r="B362" s="16" t="s">
        <v>505</v>
      </c>
      <c r="C362" s="16" t="s">
        <v>111</v>
      </c>
      <c r="D362" s="16" t="s">
        <v>523</v>
      </c>
      <c r="E362" s="16" t="s">
        <v>300</v>
      </c>
      <c r="F362" s="17" t="str">
        <f>IFERROR(__xludf.DUMMYFUNCTION("""COMPUTED_VALUE"""),"SS-HO-CO-1A-11")</f>
        <v>SS-HO-CO-1A-11</v>
      </c>
      <c r="G362" s="18">
        <v>3.55</v>
      </c>
      <c r="H362" s="16" t="s">
        <v>509</v>
      </c>
      <c r="I362" s="16" t="s">
        <v>509</v>
      </c>
      <c r="J362" s="16" t="s">
        <v>619</v>
      </c>
      <c r="K362" s="16">
        <v>7.1</v>
      </c>
      <c r="L362" s="16">
        <v>1.0</v>
      </c>
      <c r="M362" s="16" t="s">
        <v>525</v>
      </c>
      <c r="N362" s="20">
        <v>3.55</v>
      </c>
      <c r="O362" s="21" t="s">
        <v>22</v>
      </c>
      <c r="P362" s="19"/>
      <c r="Q362" s="19"/>
      <c r="R362" s="19"/>
      <c r="S362" s="19"/>
      <c r="T362" s="19"/>
      <c r="U362" s="19"/>
      <c r="V362" s="19"/>
    </row>
    <row r="363">
      <c r="A363" s="15">
        <v>45969.0</v>
      </c>
      <c r="B363" s="16" t="s">
        <v>505</v>
      </c>
      <c r="C363" s="16" t="s">
        <v>111</v>
      </c>
      <c r="D363" s="16" t="s">
        <v>523</v>
      </c>
      <c r="E363" s="16" t="s">
        <v>302</v>
      </c>
      <c r="F363" s="17" t="str">
        <f>IFERROR(__xludf.DUMMYFUNCTION("""COMPUTED_VALUE"""),"SS-HO-CO-1A-12")</f>
        <v>SS-HO-CO-1A-12</v>
      </c>
      <c r="G363" s="18">
        <v>3.55</v>
      </c>
      <c r="H363" s="16" t="s">
        <v>509</v>
      </c>
      <c r="I363" s="16" t="s">
        <v>509</v>
      </c>
      <c r="J363" s="16" t="s">
        <v>620</v>
      </c>
      <c r="K363" s="16">
        <v>7.1</v>
      </c>
      <c r="L363" s="16">
        <v>1.0</v>
      </c>
      <c r="M363" s="16" t="s">
        <v>525</v>
      </c>
      <c r="N363" s="20">
        <v>3.55</v>
      </c>
      <c r="O363" s="21" t="s">
        <v>22</v>
      </c>
      <c r="P363" s="19"/>
      <c r="Q363" s="19"/>
      <c r="R363" s="19"/>
      <c r="S363" s="19"/>
      <c r="T363" s="19"/>
      <c r="U363" s="19"/>
      <c r="V363" s="19"/>
    </row>
    <row r="364">
      <c r="A364" s="15">
        <v>45969.0</v>
      </c>
      <c r="B364" s="16" t="s">
        <v>505</v>
      </c>
      <c r="C364" s="16" t="s">
        <v>111</v>
      </c>
      <c r="D364" s="16" t="s">
        <v>523</v>
      </c>
      <c r="E364" s="16" t="s">
        <v>544</v>
      </c>
      <c r="F364" s="17" t="str">
        <f>IFERROR(__xludf.DUMMYFUNCTION("""COMPUTED_VALUE"""),"SS-HO-CO-1A-13")</f>
        <v>SS-HO-CO-1A-13</v>
      </c>
      <c r="G364" s="18">
        <v>3.55</v>
      </c>
      <c r="H364" s="16" t="s">
        <v>509</v>
      </c>
      <c r="I364" s="16" t="s">
        <v>509</v>
      </c>
      <c r="J364" s="16" t="s">
        <v>621</v>
      </c>
      <c r="K364" s="16">
        <v>7.1</v>
      </c>
      <c r="L364" s="16">
        <v>1.0</v>
      </c>
      <c r="M364" s="16" t="s">
        <v>525</v>
      </c>
      <c r="N364" s="20">
        <v>3.55</v>
      </c>
      <c r="O364" s="21" t="s">
        <v>22</v>
      </c>
      <c r="P364" s="19"/>
      <c r="Q364" s="19"/>
      <c r="R364" s="19"/>
      <c r="S364" s="19"/>
      <c r="T364" s="19"/>
      <c r="U364" s="19"/>
      <c r="V364" s="19"/>
    </row>
    <row r="365">
      <c r="A365" s="15">
        <v>45969.0</v>
      </c>
      <c r="B365" s="16" t="s">
        <v>505</v>
      </c>
      <c r="C365" s="16" t="s">
        <v>111</v>
      </c>
      <c r="D365" s="16" t="s">
        <v>523</v>
      </c>
      <c r="E365" s="16" t="s">
        <v>546</v>
      </c>
      <c r="F365" s="17" t="str">
        <f>IFERROR(__xludf.DUMMYFUNCTION("""COMPUTED_VALUE"""),"SS-HO-CO-1A-14")</f>
        <v>SS-HO-CO-1A-14</v>
      </c>
      <c r="G365" s="18">
        <v>3.55</v>
      </c>
      <c r="H365" s="16" t="s">
        <v>509</v>
      </c>
      <c r="I365" s="16" t="s">
        <v>509</v>
      </c>
      <c r="J365" s="16" t="s">
        <v>622</v>
      </c>
      <c r="K365" s="16">
        <v>7.1</v>
      </c>
      <c r="L365" s="16">
        <v>1.0</v>
      </c>
      <c r="M365" s="16" t="s">
        <v>525</v>
      </c>
      <c r="N365" s="20">
        <v>3.55</v>
      </c>
      <c r="O365" s="21" t="s">
        <v>22</v>
      </c>
      <c r="P365" s="19"/>
      <c r="Q365" s="19"/>
      <c r="R365" s="19"/>
      <c r="S365" s="19"/>
      <c r="T365" s="19"/>
      <c r="U365" s="19"/>
      <c r="V365" s="19"/>
    </row>
    <row r="366">
      <c r="A366" s="15">
        <v>45969.0</v>
      </c>
      <c r="B366" s="16" t="s">
        <v>505</v>
      </c>
      <c r="C366" s="16" t="s">
        <v>111</v>
      </c>
      <c r="D366" s="16" t="s">
        <v>523</v>
      </c>
      <c r="E366" s="16" t="s">
        <v>548</v>
      </c>
      <c r="F366" s="17" t="str">
        <f>IFERROR(__xludf.DUMMYFUNCTION("""COMPUTED_VALUE"""),"SS-HO-CO-1A-15")</f>
        <v>SS-HO-CO-1A-15</v>
      </c>
      <c r="G366" s="18">
        <v>3.55</v>
      </c>
      <c r="H366" s="16" t="s">
        <v>509</v>
      </c>
      <c r="I366" s="16" t="s">
        <v>509</v>
      </c>
      <c r="J366" s="16" t="s">
        <v>623</v>
      </c>
      <c r="K366" s="16">
        <v>7.1</v>
      </c>
      <c r="L366" s="16">
        <v>1.0</v>
      </c>
      <c r="M366" s="16" t="s">
        <v>525</v>
      </c>
      <c r="N366" s="20">
        <v>3.55</v>
      </c>
      <c r="O366" s="21" t="s">
        <v>22</v>
      </c>
      <c r="P366" s="19"/>
      <c r="Q366" s="19"/>
      <c r="R366" s="19"/>
      <c r="S366" s="19"/>
      <c r="T366" s="19"/>
      <c r="U366" s="19"/>
      <c r="V366" s="19"/>
    </row>
    <row r="367">
      <c r="A367" s="15">
        <v>45968.0</v>
      </c>
      <c r="B367" s="16" t="s">
        <v>311</v>
      </c>
      <c r="C367" s="16" t="s">
        <v>159</v>
      </c>
      <c r="D367" s="16" t="s">
        <v>516</v>
      </c>
      <c r="E367" s="16" t="s">
        <v>71</v>
      </c>
      <c r="F367" s="17" t="str">
        <f>IFERROR(__xludf.DUMMYFUNCTION("""COMPUTED_VALUE"""),"AGP-SYN-EC-1A-2")</f>
        <v>AGP-SYN-EC-1A-2</v>
      </c>
      <c r="G367" s="18">
        <v>33.0</v>
      </c>
      <c r="H367" s="16" t="s">
        <v>509</v>
      </c>
      <c r="I367" s="16" t="s">
        <v>509</v>
      </c>
      <c r="J367" s="16" t="s">
        <v>624</v>
      </c>
      <c r="K367" s="16">
        <v>64.0</v>
      </c>
      <c r="L367" s="16">
        <v>1.0</v>
      </c>
      <c r="M367" s="16" t="s">
        <v>38</v>
      </c>
      <c r="N367" s="20">
        <v>33.0</v>
      </c>
      <c r="O367" s="21" t="s">
        <v>22</v>
      </c>
      <c r="P367" s="19"/>
      <c r="Q367" s="19"/>
      <c r="R367" s="19"/>
      <c r="S367" s="19"/>
      <c r="T367" s="19"/>
      <c r="U367" s="19"/>
      <c r="V367" s="19"/>
    </row>
    <row r="368">
      <c r="A368" s="15">
        <v>45911.0</v>
      </c>
      <c r="B368" s="16" t="s">
        <v>16</v>
      </c>
      <c r="C368" s="16" t="s">
        <v>17</v>
      </c>
      <c r="D368" s="16" t="s">
        <v>18</v>
      </c>
      <c r="E368" s="16" t="s">
        <v>625</v>
      </c>
      <c r="F368" s="17" t="str">
        <f>IFERROR(__xludf.DUMMYFUNCTION("""COMPUTED_VALUE"""),"HS-BE-AW-CU-6")</f>
        <v>HS-BE-AW-CU-6</v>
      </c>
      <c r="G368" s="20"/>
      <c r="H368" s="19"/>
      <c r="I368" s="19"/>
      <c r="J368" s="16" t="s">
        <v>626</v>
      </c>
      <c r="K368" s="19"/>
      <c r="L368" s="16">
        <v>1.0</v>
      </c>
      <c r="M368" s="19"/>
      <c r="N368" s="20">
        <v>0.0</v>
      </c>
      <c r="O368" s="21" t="s">
        <v>22</v>
      </c>
      <c r="P368" s="19"/>
      <c r="Q368" s="19"/>
      <c r="R368" s="19"/>
      <c r="S368" s="19"/>
      <c r="T368" s="19"/>
      <c r="U368" s="19"/>
      <c r="V368" s="19"/>
    </row>
    <row r="369">
      <c r="A369" s="15">
        <v>45911.0</v>
      </c>
      <c r="B369" s="16" t="s">
        <v>16</v>
      </c>
      <c r="C369" s="16" t="s">
        <v>23</v>
      </c>
      <c r="D369" s="16" t="s">
        <v>24</v>
      </c>
      <c r="E369" s="16" t="s">
        <v>625</v>
      </c>
      <c r="F369" s="17" t="str">
        <f>IFERROR(__xludf.DUMMYFUNCTION("""COMPUTED_VALUE"""),"HS-PO-GO-CU-6")</f>
        <v>HS-PO-GO-CU-6</v>
      </c>
      <c r="G369" s="20"/>
      <c r="H369" s="19"/>
      <c r="I369" s="19"/>
      <c r="J369" s="16" t="s">
        <v>627</v>
      </c>
      <c r="K369" s="19"/>
      <c r="L369" s="16">
        <v>1.0</v>
      </c>
      <c r="M369" s="19"/>
      <c r="N369" s="20">
        <v>0.0</v>
      </c>
      <c r="O369" s="21" t="s">
        <v>22</v>
      </c>
      <c r="P369" s="19"/>
      <c r="Q369" s="19"/>
      <c r="R369" s="19"/>
      <c r="S369" s="19"/>
      <c r="T369" s="19"/>
      <c r="U369" s="19"/>
      <c r="V369" s="19"/>
    </row>
    <row r="370">
      <c r="A370" s="15">
        <v>45969.0</v>
      </c>
      <c r="B370" s="16" t="s">
        <v>505</v>
      </c>
      <c r="C370" s="16" t="s">
        <v>111</v>
      </c>
      <c r="D370" s="16" t="s">
        <v>531</v>
      </c>
      <c r="E370" s="16" t="s">
        <v>71</v>
      </c>
      <c r="F370" s="17" t="str">
        <f>IFERROR(__xludf.DUMMYFUNCTION("""COMPUTED_VALUE"""),"SS-HO-OB-1A-2")</f>
        <v>SS-HO-OB-1A-2</v>
      </c>
      <c r="G370" s="18">
        <v>3.55</v>
      </c>
      <c r="H370" s="16" t="s">
        <v>509</v>
      </c>
      <c r="I370" s="16" t="s">
        <v>509</v>
      </c>
      <c r="J370" s="16" t="s">
        <v>628</v>
      </c>
      <c r="K370" s="16">
        <v>7.1</v>
      </c>
      <c r="L370" s="16">
        <v>1.0</v>
      </c>
      <c r="M370" s="16" t="s">
        <v>525</v>
      </c>
      <c r="N370" s="20">
        <v>3.55</v>
      </c>
      <c r="O370" s="21" t="s">
        <v>22</v>
      </c>
      <c r="P370" s="19"/>
      <c r="Q370" s="19"/>
      <c r="R370" s="19"/>
      <c r="S370" s="19"/>
      <c r="T370" s="19"/>
      <c r="U370" s="19"/>
      <c r="V370" s="19"/>
    </row>
    <row r="371">
      <c r="A371" s="15">
        <v>45969.0</v>
      </c>
      <c r="B371" s="16" t="s">
        <v>505</v>
      </c>
      <c r="C371" s="16" t="s">
        <v>111</v>
      </c>
      <c r="D371" s="16" t="s">
        <v>531</v>
      </c>
      <c r="E371" s="16" t="s">
        <v>129</v>
      </c>
      <c r="F371" s="17" t="str">
        <f>IFERROR(__xludf.DUMMYFUNCTION("""COMPUTED_VALUE"""),"SS-HO-OB-1A-3")</f>
        <v>SS-HO-OB-1A-3</v>
      </c>
      <c r="G371" s="18">
        <v>3.55</v>
      </c>
      <c r="H371" s="16" t="s">
        <v>509</v>
      </c>
      <c r="I371" s="16" t="s">
        <v>509</v>
      </c>
      <c r="J371" s="16" t="s">
        <v>629</v>
      </c>
      <c r="K371" s="16">
        <v>7.1</v>
      </c>
      <c r="L371" s="16">
        <v>1.0</v>
      </c>
      <c r="M371" s="16" t="s">
        <v>525</v>
      </c>
      <c r="N371" s="20">
        <v>3.55</v>
      </c>
      <c r="O371" s="21" t="s">
        <v>22</v>
      </c>
      <c r="P371" s="19"/>
      <c r="Q371" s="19"/>
      <c r="R371" s="19"/>
      <c r="S371" s="19"/>
      <c r="T371" s="19"/>
      <c r="U371" s="19"/>
      <c r="V371" s="19"/>
    </row>
    <row r="372">
      <c r="A372" s="15">
        <v>45969.0</v>
      </c>
      <c r="B372" s="16" t="s">
        <v>505</v>
      </c>
      <c r="C372" s="16" t="s">
        <v>111</v>
      </c>
      <c r="D372" s="16" t="s">
        <v>531</v>
      </c>
      <c r="E372" s="16" t="s">
        <v>143</v>
      </c>
      <c r="F372" s="17" t="str">
        <f>IFERROR(__xludf.DUMMYFUNCTION("""COMPUTED_VALUE"""),"SS-HO-OB-1A-4")</f>
        <v>SS-HO-OB-1A-4</v>
      </c>
      <c r="G372" s="18">
        <v>3.55</v>
      </c>
      <c r="H372" s="16" t="s">
        <v>509</v>
      </c>
      <c r="I372" s="16" t="s">
        <v>509</v>
      </c>
      <c r="J372" s="16" t="s">
        <v>630</v>
      </c>
      <c r="K372" s="16">
        <v>7.1</v>
      </c>
      <c r="L372" s="16">
        <v>1.0</v>
      </c>
      <c r="M372" s="16" t="s">
        <v>525</v>
      </c>
      <c r="N372" s="20">
        <v>3.55</v>
      </c>
      <c r="O372" s="21" t="s">
        <v>22</v>
      </c>
      <c r="P372" s="19"/>
      <c r="Q372" s="19"/>
      <c r="R372" s="19"/>
      <c r="S372" s="19"/>
      <c r="T372" s="19"/>
      <c r="U372" s="19"/>
      <c r="V372" s="19"/>
    </row>
    <row r="373">
      <c r="A373" s="15">
        <v>45969.0</v>
      </c>
      <c r="B373" s="16" t="s">
        <v>505</v>
      </c>
      <c r="C373" s="16" t="s">
        <v>111</v>
      </c>
      <c r="D373" s="16" t="s">
        <v>531</v>
      </c>
      <c r="E373" s="16" t="s">
        <v>145</v>
      </c>
      <c r="F373" s="17" t="str">
        <f>IFERROR(__xludf.DUMMYFUNCTION("""COMPUTED_VALUE"""),"SS-HO-OB-1A-5")</f>
        <v>SS-HO-OB-1A-5</v>
      </c>
      <c r="G373" s="18">
        <v>3.55</v>
      </c>
      <c r="H373" s="16" t="s">
        <v>509</v>
      </c>
      <c r="I373" s="16" t="s">
        <v>509</v>
      </c>
      <c r="J373" s="16" t="s">
        <v>631</v>
      </c>
      <c r="K373" s="16">
        <v>7.1</v>
      </c>
      <c r="L373" s="16">
        <v>1.0</v>
      </c>
      <c r="M373" s="16" t="s">
        <v>525</v>
      </c>
      <c r="N373" s="20">
        <v>3.55</v>
      </c>
      <c r="O373" s="21" t="s">
        <v>22</v>
      </c>
      <c r="P373" s="19"/>
      <c r="Q373" s="19"/>
      <c r="R373" s="19"/>
      <c r="S373" s="19"/>
      <c r="T373" s="19"/>
      <c r="U373" s="19"/>
      <c r="V373" s="19"/>
    </row>
    <row r="374">
      <c r="A374" s="15">
        <v>45969.0</v>
      </c>
      <c r="B374" s="16" t="s">
        <v>505</v>
      </c>
      <c r="C374" s="16" t="s">
        <v>111</v>
      </c>
      <c r="D374" s="16" t="s">
        <v>114</v>
      </c>
      <c r="E374" s="16" t="s">
        <v>71</v>
      </c>
      <c r="F374" s="17" t="str">
        <f>IFERROR(__xludf.DUMMYFUNCTION("""COMPUTED_VALUE"""),"SS-HO-PU-1A-2")</f>
        <v>SS-HO-PU-1A-2</v>
      </c>
      <c r="G374" s="18">
        <v>3.55</v>
      </c>
      <c r="H374" s="16" t="s">
        <v>509</v>
      </c>
      <c r="I374" s="16" t="s">
        <v>509</v>
      </c>
      <c r="J374" s="16" t="s">
        <v>632</v>
      </c>
      <c r="K374" s="16">
        <v>7.1</v>
      </c>
      <c r="L374" s="16">
        <v>1.0</v>
      </c>
      <c r="M374" s="16" t="s">
        <v>525</v>
      </c>
      <c r="N374" s="20">
        <v>3.55</v>
      </c>
      <c r="O374" s="21" t="s">
        <v>22</v>
      </c>
      <c r="P374" s="19"/>
      <c r="Q374" s="19"/>
      <c r="R374" s="19"/>
      <c r="S374" s="19"/>
      <c r="T374" s="19"/>
      <c r="U374" s="19"/>
      <c r="V374" s="19"/>
    </row>
    <row r="375">
      <c r="A375" s="15">
        <v>45969.0</v>
      </c>
      <c r="B375" s="16" t="s">
        <v>505</v>
      </c>
      <c r="C375" s="16" t="s">
        <v>111</v>
      </c>
      <c r="D375" s="16" t="s">
        <v>114</v>
      </c>
      <c r="E375" s="16" t="s">
        <v>129</v>
      </c>
      <c r="F375" s="17" t="str">
        <f>IFERROR(__xludf.DUMMYFUNCTION("""COMPUTED_VALUE"""),"SS-HO-PU-1A-3")</f>
        <v>SS-HO-PU-1A-3</v>
      </c>
      <c r="G375" s="18">
        <v>3.55</v>
      </c>
      <c r="H375" s="16" t="s">
        <v>509</v>
      </c>
      <c r="I375" s="16" t="s">
        <v>509</v>
      </c>
      <c r="J375" s="16" t="s">
        <v>633</v>
      </c>
      <c r="K375" s="16">
        <v>7.1</v>
      </c>
      <c r="L375" s="16">
        <v>1.0</v>
      </c>
      <c r="M375" s="16" t="s">
        <v>525</v>
      </c>
      <c r="N375" s="20">
        <v>3.55</v>
      </c>
      <c r="O375" s="21" t="s">
        <v>22</v>
      </c>
      <c r="P375" s="19"/>
      <c r="Q375" s="19"/>
      <c r="R375" s="19"/>
      <c r="S375" s="19"/>
      <c r="T375" s="19"/>
      <c r="U375" s="19"/>
      <c r="V375" s="19"/>
    </row>
    <row r="376">
      <c r="A376" s="15">
        <v>45969.0</v>
      </c>
      <c r="B376" s="16" t="s">
        <v>505</v>
      </c>
      <c r="C376" s="16" t="s">
        <v>111</v>
      </c>
      <c r="D376" s="16" t="s">
        <v>114</v>
      </c>
      <c r="E376" s="16" t="s">
        <v>143</v>
      </c>
      <c r="F376" s="17" t="str">
        <f>IFERROR(__xludf.DUMMYFUNCTION("""COMPUTED_VALUE"""),"SS-HO-PU-1A-4")</f>
        <v>SS-HO-PU-1A-4</v>
      </c>
      <c r="G376" s="18">
        <v>3.55</v>
      </c>
      <c r="H376" s="16" t="s">
        <v>509</v>
      </c>
      <c r="I376" s="16" t="s">
        <v>509</v>
      </c>
      <c r="J376" s="16" t="s">
        <v>634</v>
      </c>
      <c r="K376" s="16">
        <v>7.1</v>
      </c>
      <c r="L376" s="16">
        <v>1.0</v>
      </c>
      <c r="M376" s="16" t="s">
        <v>525</v>
      </c>
      <c r="N376" s="20">
        <v>3.55</v>
      </c>
      <c r="O376" s="21" t="s">
        <v>22</v>
      </c>
      <c r="P376" s="19"/>
      <c r="Q376" s="19"/>
      <c r="R376" s="19"/>
      <c r="S376" s="19"/>
      <c r="T376" s="19"/>
      <c r="U376" s="19"/>
      <c r="V376" s="19"/>
    </row>
    <row r="377">
      <c r="A377" s="15">
        <v>45969.0</v>
      </c>
      <c r="B377" s="16" t="s">
        <v>505</v>
      </c>
      <c r="C377" s="16" t="s">
        <v>111</v>
      </c>
      <c r="D377" s="16" t="s">
        <v>114</v>
      </c>
      <c r="E377" s="16" t="s">
        <v>145</v>
      </c>
      <c r="F377" s="17" t="str">
        <f>IFERROR(__xludf.DUMMYFUNCTION("""COMPUTED_VALUE"""),"SS-HO-PU-1A-5")</f>
        <v>SS-HO-PU-1A-5</v>
      </c>
      <c r="G377" s="18">
        <v>3.55</v>
      </c>
      <c r="H377" s="16" t="s">
        <v>509</v>
      </c>
      <c r="I377" s="16" t="s">
        <v>509</v>
      </c>
      <c r="J377" s="16" t="s">
        <v>635</v>
      </c>
      <c r="K377" s="16">
        <v>7.1</v>
      </c>
      <c r="L377" s="16">
        <v>1.0</v>
      </c>
      <c r="M377" s="16" t="s">
        <v>525</v>
      </c>
      <c r="N377" s="20">
        <v>3.55</v>
      </c>
      <c r="O377" s="21" t="s">
        <v>22</v>
      </c>
      <c r="P377" s="19"/>
      <c r="Q377" s="19"/>
      <c r="R377" s="19"/>
      <c r="S377" s="19"/>
      <c r="T377" s="19"/>
      <c r="U377" s="19"/>
      <c r="V377" s="19"/>
    </row>
    <row r="378">
      <c r="A378" s="15">
        <v>45969.0</v>
      </c>
      <c r="B378" s="16" t="s">
        <v>505</v>
      </c>
      <c r="C378" s="16" t="s">
        <v>111</v>
      </c>
      <c r="D378" s="16" t="s">
        <v>114</v>
      </c>
      <c r="E378" s="16" t="s">
        <v>265</v>
      </c>
      <c r="F378" s="17" t="str">
        <f>IFERROR(__xludf.DUMMYFUNCTION("""COMPUTED_VALUE"""),"SS-HO-PU-1A-6")</f>
        <v>SS-HO-PU-1A-6</v>
      </c>
      <c r="G378" s="18">
        <v>3.55</v>
      </c>
      <c r="H378" s="16" t="s">
        <v>509</v>
      </c>
      <c r="I378" s="16" t="s">
        <v>509</v>
      </c>
      <c r="J378" s="16" t="s">
        <v>636</v>
      </c>
      <c r="K378" s="16">
        <v>7.1</v>
      </c>
      <c r="L378" s="16">
        <v>1.0</v>
      </c>
      <c r="M378" s="16" t="s">
        <v>525</v>
      </c>
      <c r="N378" s="20">
        <v>3.55</v>
      </c>
      <c r="O378" s="21" t="s">
        <v>22</v>
      </c>
      <c r="P378" s="19"/>
      <c r="Q378" s="19"/>
      <c r="R378" s="19"/>
      <c r="S378" s="19"/>
      <c r="T378" s="19"/>
      <c r="U378" s="19"/>
      <c r="V378" s="19"/>
    </row>
    <row r="379">
      <c r="A379" s="15">
        <v>45969.0</v>
      </c>
      <c r="B379" s="16" t="s">
        <v>505</v>
      </c>
      <c r="C379" s="16" t="s">
        <v>111</v>
      </c>
      <c r="D379" s="16" t="s">
        <v>114</v>
      </c>
      <c r="E379" s="16" t="s">
        <v>267</v>
      </c>
      <c r="F379" s="17" t="str">
        <f>IFERROR(__xludf.DUMMYFUNCTION("""COMPUTED_VALUE"""),"SS-HO-PU-1A-7")</f>
        <v>SS-HO-PU-1A-7</v>
      </c>
      <c r="G379" s="18">
        <v>3.55</v>
      </c>
      <c r="H379" s="16" t="s">
        <v>509</v>
      </c>
      <c r="I379" s="16" t="s">
        <v>509</v>
      </c>
      <c r="J379" s="16" t="s">
        <v>637</v>
      </c>
      <c r="K379" s="16">
        <v>7.1</v>
      </c>
      <c r="L379" s="16">
        <v>1.0</v>
      </c>
      <c r="M379" s="16" t="s">
        <v>525</v>
      </c>
      <c r="N379" s="20">
        <v>3.55</v>
      </c>
      <c r="O379" s="21" t="s">
        <v>22</v>
      </c>
      <c r="P379" s="19"/>
      <c r="Q379" s="19"/>
      <c r="R379" s="19"/>
      <c r="S379" s="19"/>
      <c r="T379" s="19"/>
      <c r="U379" s="19"/>
      <c r="V379" s="19"/>
    </row>
    <row r="380">
      <c r="A380" s="15">
        <v>45969.0</v>
      </c>
      <c r="B380" s="16" t="s">
        <v>505</v>
      </c>
      <c r="C380" s="16" t="s">
        <v>111</v>
      </c>
      <c r="D380" s="16" t="s">
        <v>114</v>
      </c>
      <c r="E380" s="16" t="s">
        <v>269</v>
      </c>
      <c r="F380" s="17" t="str">
        <f>IFERROR(__xludf.DUMMYFUNCTION("""COMPUTED_VALUE"""),"SS-HO-PU-1A-8")</f>
        <v>SS-HO-PU-1A-8</v>
      </c>
      <c r="G380" s="18">
        <v>3.55</v>
      </c>
      <c r="H380" s="16" t="s">
        <v>509</v>
      </c>
      <c r="I380" s="16" t="s">
        <v>509</v>
      </c>
      <c r="J380" s="16" t="s">
        <v>638</v>
      </c>
      <c r="K380" s="16">
        <v>7.1</v>
      </c>
      <c r="L380" s="16">
        <v>1.0</v>
      </c>
      <c r="M380" s="16" t="s">
        <v>525</v>
      </c>
      <c r="N380" s="20">
        <v>3.55</v>
      </c>
      <c r="O380" s="21" t="s">
        <v>22</v>
      </c>
      <c r="P380" s="19"/>
      <c r="Q380" s="19"/>
      <c r="R380" s="19"/>
      <c r="S380" s="19"/>
      <c r="T380" s="19"/>
      <c r="U380" s="19"/>
      <c r="V380" s="19"/>
    </row>
    <row r="381">
      <c r="A381" s="15">
        <v>45969.0</v>
      </c>
      <c r="B381" s="16" t="s">
        <v>505</v>
      </c>
      <c r="C381" s="16" t="s">
        <v>111</v>
      </c>
      <c r="D381" s="16" t="s">
        <v>114</v>
      </c>
      <c r="E381" s="16" t="s">
        <v>271</v>
      </c>
      <c r="F381" s="17" t="str">
        <f>IFERROR(__xludf.DUMMYFUNCTION("""COMPUTED_VALUE"""),"SS-HO-PU-1A-9")</f>
        <v>SS-HO-PU-1A-9</v>
      </c>
      <c r="G381" s="18">
        <v>3.55</v>
      </c>
      <c r="H381" s="16" t="s">
        <v>509</v>
      </c>
      <c r="I381" s="16" t="s">
        <v>509</v>
      </c>
      <c r="J381" s="16" t="s">
        <v>639</v>
      </c>
      <c r="K381" s="16">
        <v>7.1</v>
      </c>
      <c r="L381" s="16">
        <v>1.0</v>
      </c>
      <c r="M381" s="16" t="s">
        <v>525</v>
      </c>
      <c r="N381" s="20">
        <v>3.55</v>
      </c>
      <c r="O381" s="21" t="s">
        <v>22</v>
      </c>
      <c r="P381" s="19"/>
      <c r="Q381" s="19"/>
      <c r="R381" s="19"/>
      <c r="S381" s="19"/>
      <c r="T381" s="19"/>
      <c r="U381" s="19"/>
      <c r="V381" s="19"/>
    </row>
    <row r="382">
      <c r="A382" s="15">
        <v>45969.0</v>
      </c>
      <c r="B382" s="16" t="s">
        <v>505</v>
      </c>
      <c r="C382" s="16" t="s">
        <v>111</v>
      </c>
      <c r="D382" s="16" t="s">
        <v>114</v>
      </c>
      <c r="E382" s="16" t="s">
        <v>298</v>
      </c>
      <c r="F382" s="17" t="str">
        <f>IFERROR(__xludf.DUMMYFUNCTION("""COMPUTED_VALUE"""),"SS-HO-PU-1A-10")</f>
        <v>SS-HO-PU-1A-10</v>
      </c>
      <c r="G382" s="18">
        <v>3.55</v>
      </c>
      <c r="H382" s="16" t="s">
        <v>509</v>
      </c>
      <c r="I382" s="16" t="s">
        <v>509</v>
      </c>
      <c r="J382" s="16" t="s">
        <v>640</v>
      </c>
      <c r="K382" s="16">
        <v>7.1</v>
      </c>
      <c r="L382" s="16">
        <v>1.0</v>
      </c>
      <c r="M382" s="16" t="s">
        <v>525</v>
      </c>
      <c r="N382" s="20">
        <v>3.55</v>
      </c>
      <c r="O382" s="21" t="s">
        <v>22</v>
      </c>
      <c r="P382" s="19"/>
      <c r="Q382" s="19"/>
      <c r="R382" s="19"/>
      <c r="S382" s="19"/>
      <c r="T382" s="19"/>
      <c r="U382" s="19"/>
      <c r="V382" s="19"/>
    </row>
    <row r="383">
      <c r="A383" s="15">
        <v>45969.0</v>
      </c>
      <c r="B383" s="16" t="s">
        <v>505</v>
      </c>
      <c r="C383" s="16" t="s">
        <v>111</v>
      </c>
      <c r="D383" s="16" t="s">
        <v>528</v>
      </c>
      <c r="E383" s="16" t="s">
        <v>71</v>
      </c>
      <c r="F383" s="17" t="str">
        <f>IFERROR(__xludf.DUMMYFUNCTION("""COMPUTED_VALUE"""),"SS-HO-LI-1A-2")</f>
        <v>SS-HO-LI-1A-2</v>
      </c>
      <c r="G383" s="18">
        <v>3.55</v>
      </c>
      <c r="H383" s="16" t="s">
        <v>509</v>
      </c>
      <c r="I383" s="16" t="s">
        <v>509</v>
      </c>
      <c r="J383" s="22" t="s">
        <v>641</v>
      </c>
      <c r="K383" s="16">
        <v>7.1</v>
      </c>
      <c r="L383" s="16">
        <v>1.0</v>
      </c>
      <c r="M383" s="16" t="s">
        <v>525</v>
      </c>
      <c r="N383" s="20">
        <v>3.55</v>
      </c>
      <c r="O383" s="21" t="s">
        <v>22</v>
      </c>
      <c r="P383" s="19"/>
      <c r="Q383" s="19"/>
      <c r="R383" s="19"/>
      <c r="S383" s="19"/>
      <c r="T383" s="19"/>
      <c r="U383" s="19"/>
      <c r="V383" s="19"/>
    </row>
    <row r="384">
      <c r="A384" s="15">
        <v>45969.0</v>
      </c>
      <c r="B384" s="16" t="s">
        <v>505</v>
      </c>
      <c r="C384" s="16" t="s">
        <v>111</v>
      </c>
      <c r="D384" s="16" t="s">
        <v>528</v>
      </c>
      <c r="E384" s="16" t="s">
        <v>129</v>
      </c>
      <c r="F384" s="17" t="str">
        <f>IFERROR(__xludf.DUMMYFUNCTION("""COMPUTED_VALUE"""),"SS-HO-LI-1A-3")</f>
        <v>SS-HO-LI-1A-3</v>
      </c>
      <c r="G384" s="18">
        <v>3.55</v>
      </c>
      <c r="H384" s="16" t="s">
        <v>509</v>
      </c>
      <c r="I384" s="16" t="s">
        <v>509</v>
      </c>
      <c r="J384" s="16" t="s">
        <v>642</v>
      </c>
      <c r="K384" s="16">
        <v>7.1</v>
      </c>
      <c r="L384" s="16">
        <v>1.0</v>
      </c>
      <c r="M384" s="16" t="s">
        <v>525</v>
      </c>
      <c r="N384" s="20">
        <v>3.55</v>
      </c>
      <c r="O384" s="21" t="s">
        <v>22</v>
      </c>
      <c r="P384" s="19"/>
      <c r="Q384" s="19"/>
      <c r="R384" s="19"/>
      <c r="S384" s="19"/>
      <c r="T384" s="19"/>
      <c r="U384" s="19"/>
      <c r="V384" s="19"/>
    </row>
    <row r="385">
      <c r="A385" s="15">
        <v>45969.0</v>
      </c>
      <c r="B385" s="16" t="s">
        <v>505</v>
      </c>
      <c r="C385" s="16" t="s">
        <v>111</v>
      </c>
      <c r="D385" s="16" t="s">
        <v>528</v>
      </c>
      <c r="E385" s="16" t="s">
        <v>143</v>
      </c>
      <c r="F385" s="17" t="str">
        <f>IFERROR(__xludf.DUMMYFUNCTION("""COMPUTED_VALUE"""),"SS-HO-LI-1A-4")</f>
        <v>SS-HO-LI-1A-4</v>
      </c>
      <c r="G385" s="18">
        <v>3.55</v>
      </c>
      <c r="H385" s="16" t="s">
        <v>509</v>
      </c>
      <c r="I385" s="16" t="s">
        <v>509</v>
      </c>
      <c r="J385" s="16" t="s">
        <v>643</v>
      </c>
      <c r="K385" s="16">
        <v>7.1</v>
      </c>
      <c r="L385" s="16">
        <v>1.0</v>
      </c>
      <c r="M385" s="16" t="s">
        <v>525</v>
      </c>
      <c r="N385" s="20">
        <v>3.55</v>
      </c>
      <c r="O385" s="21" t="s">
        <v>22</v>
      </c>
      <c r="P385" s="19"/>
      <c r="Q385" s="19"/>
      <c r="R385" s="19"/>
      <c r="S385" s="19"/>
      <c r="T385" s="19"/>
      <c r="U385" s="19"/>
      <c r="V385" s="19"/>
    </row>
    <row r="386">
      <c r="A386" s="15"/>
      <c r="B386" s="16"/>
      <c r="C386" s="16"/>
      <c r="D386" s="16"/>
      <c r="E386" s="16"/>
      <c r="F386" s="17" t="str">
        <f>IFERROR(__xludf.DUMMYFUNCTION("""COMPUTED_VALUE"""),"")</f>
        <v/>
      </c>
      <c r="G386" s="18"/>
      <c r="H386" s="16"/>
      <c r="I386" s="16"/>
      <c r="J386" s="16"/>
      <c r="K386" s="16"/>
      <c r="L386" s="16"/>
      <c r="M386" s="19"/>
      <c r="N386" s="20" t="s">
        <v>39</v>
      </c>
      <c r="O386" s="21" t="s">
        <v>22</v>
      </c>
      <c r="P386" s="19"/>
      <c r="Q386" s="19"/>
      <c r="R386" s="19"/>
      <c r="S386" s="19"/>
      <c r="T386" s="19"/>
      <c r="U386" s="19"/>
      <c r="V386" s="19"/>
    </row>
    <row r="387">
      <c r="A387" s="15">
        <v>45969.0</v>
      </c>
      <c r="B387" s="16" t="s">
        <v>505</v>
      </c>
      <c r="C387" s="16" t="s">
        <v>111</v>
      </c>
      <c r="D387" s="16" t="s">
        <v>528</v>
      </c>
      <c r="E387" s="16" t="s">
        <v>145</v>
      </c>
      <c r="F387" s="17" t="str">
        <f>IFERROR(__xludf.DUMMYFUNCTION("""COMPUTED_VALUE"""),"SS-HO-LI-1A-5")</f>
        <v>SS-HO-LI-1A-5</v>
      </c>
      <c r="G387" s="18">
        <v>3.55</v>
      </c>
      <c r="H387" s="16" t="s">
        <v>509</v>
      </c>
      <c r="I387" s="16" t="s">
        <v>509</v>
      </c>
      <c r="J387" s="16" t="s">
        <v>644</v>
      </c>
      <c r="K387" s="16">
        <v>7.1</v>
      </c>
      <c r="L387" s="16">
        <v>1.0</v>
      </c>
      <c r="M387" s="16" t="s">
        <v>525</v>
      </c>
      <c r="N387" s="20">
        <v>3.55</v>
      </c>
      <c r="O387" s="21" t="s">
        <v>22</v>
      </c>
      <c r="P387" s="19"/>
      <c r="Q387" s="19"/>
      <c r="R387" s="19"/>
      <c r="S387" s="19"/>
      <c r="T387" s="19"/>
      <c r="U387" s="19"/>
      <c r="V387" s="19"/>
    </row>
    <row r="388">
      <c r="A388" s="15">
        <v>45969.0</v>
      </c>
      <c r="B388" s="16" t="s">
        <v>505</v>
      </c>
      <c r="C388" s="16" t="s">
        <v>111</v>
      </c>
      <c r="D388" s="16" t="s">
        <v>528</v>
      </c>
      <c r="E388" s="16" t="s">
        <v>265</v>
      </c>
      <c r="F388" s="17" t="str">
        <f>IFERROR(__xludf.DUMMYFUNCTION("""COMPUTED_VALUE"""),"SS-HO-LI-1A-6")</f>
        <v>SS-HO-LI-1A-6</v>
      </c>
      <c r="G388" s="18">
        <v>3.55</v>
      </c>
      <c r="H388" s="16" t="s">
        <v>509</v>
      </c>
      <c r="I388" s="16" t="s">
        <v>509</v>
      </c>
      <c r="J388" s="16" t="s">
        <v>645</v>
      </c>
      <c r="K388" s="16">
        <v>7.1</v>
      </c>
      <c r="L388" s="16">
        <v>1.0</v>
      </c>
      <c r="M388" s="16" t="s">
        <v>525</v>
      </c>
      <c r="N388" s="20">
        <v>3.55</v>
      </c>
      <c r="O388" s="21" t="s">
        <v>22</v>
      </c>
      <c r="P388" s="19"/>
      <c r="Q388" s="19"/>
      <c r="R388" s="19"/>
      <c r="S388" s="19"/>
      <c r="T388" s="19"/>
      <c r="U388" s="19"/>
      <c r="V388" s="19"/>
    </row>
    <row r="389">
      <c r="A389" s="15">
        <v>45969.0</v>
      </c>
      <c r="B389" s="16" t="s">
        <v>505</v>
      </c>
      <c r="C389" s="16" t="s">
        <v>111</v>
      </c>
      <c r="D389" s="16" t="s">
        <v>528</v>
      </c>
      <c r="E389" s="16" t="s">
        <v>267</v>
      </c>
      <c r="F389" s="17" t="str">
        <f>IFERROR(__xludf.DUMMYFUNCTION("""COMPUTED_VALUE"""),"SS-HO-LI-1A-7")</f>
        <v>SS-HO-LI-1A-7</v>
      </c>
      <c r="G389" s="18">
        <v>3.55</v>
      </c>
      <c r="H389" s="16" t="s">
        <v>509</v>
      </c>
      <c r="I389" s="16" t="s">
        <v>509</v>
      </c>
      <c r="J389" s="16" t="s">
        <v>646</v>
      </c>
      <c r="K389" s="16">
        <v>7.1</v>
      </c>
      <c r="L389" s="16">
        <v>1.0</v>
      </c>
      <c r="M389" s="16" t="s">
        <v>525</v>
      </c>
      <c r="N389" s="20">
        <v>3.55</v>
      </c>
      <c r="O389" s="21" t="s">
        <v>22</v>
      </c>
      <c r="P389" s="19"/>
      <c r="Q389" s="19"/>
      <c r="R389" s="19"/>
      <c r="S389" s="19"/>
      <c r="T389" s="19"/>
      <c r="U389" s="19"/>
      <c r="V389" s="19"/>
    </row>
    <row r="390">
      <c r="A390" s="15">
        <v>45969.0</v>
      </c>
      <c r="B390" s="16" t="s">
        <v>505</v>
      </c>
      <c r="C390" s="16" t="s">
        <v>111</v>
      </c>
      <c r="D390" s="16" t="s">
        <v>528</v>
      </c>
      <c r="E390" s="16" t="s">
        <v>269</v>
      </c>
      <c r="F390" s="17" t="str">
        <f>IFERROR(__xludf.DUMMYFUNCTION("""COMPUTED_VALUE"""),"SS-HO-LI-1A-8")</f>
        <v>SS-HO-LI-1A-8</v>
      </c>
      <c r="G390" s="18">
        <v>3.55</v>
      </c>
      <c r="H390" s="16" t="s">
        <v>509</v>
      </c>
      <c r="I390" s="16" t="s">
        <v>509</v>
      </c>
      <c r="J390" s="16" t="s">
        <v>647</v>
      </c>
      <c r="K390" s="16">
        <v>7.1</v>
      </c>
      <c r="L390" s="16">
        <v>1.0</v>
      </c>
      <c r="M390" s="16" t="s">
        <v>525</v>
      </c>
      <c r="N390" s="20">
        <v>3.55</v>
      </c>
      <c r="O390" s="21" t="s">
        <v>22</v>
      </c>
      <c r="P390" s="19"/>
      <c r="Q390" s="19"/>
      <c r="R390" s="19"/>
      <c r="S390" s="19"/>
      <c r="T390" s="19"/>
      <c r="U390" s="19"/>
      <c r="V390" s="19"/>
    </row>
    <row r="391">
      <c r="A391" s="15">
        <v>45969.0</v>
      </c>
      <c r="B391" s="16" t="s">
        <v>505</v>
      </c>
      <c r="C391" s="16" t="s">
        <v>111</v>
      </c>
      <c r="D391" s="16" t="s">
        <v>528</v>
      </c>
      <c r="E391" s="16" t="s">
        <v>271</v>
      </c>
      <c r="F391" s="17" t="str">
        <f>IFERROR(__xludf.DUMMYFUNCTION("""COMPUTED_VALUE"""),"SS-HO-LI-1A-9")</f>
        <v>SS-HO-LI-1A-9</v>
      </c>
      <c r="G391" s="18">
        <v>3.55</v>
      </c>
      <c r="H391" s="16" t="s">
        <v>509</v>
      </c>
      <c r="I391" s="16" t="s">
        <v>509</v>
      </c>
      <c r="J391" s="22" t="s">
        <v>648</v>
      </c>
      <c r="K391" s="16">
        <v>7.1</v>
      </c>
      <c r="L391" s="16">
        <v>1.0</v>
      </c>
      <c r="M391" s="16" t="s">
        <v>525</v>
      </c>
      <c r="N391" s="20">
        <v>3.55</v>
      </c>
      <c r="O391" s="21" t="s">
        <v>22</v>
      </c>
      <c r="P391" s="19"/>
      <c r="Q391" s="19"/>
      <c r="R391" s="19"/>
      <c r="S391" s="19"/>
      <c r="T391" s="19"/>
      <c r="U391" s="19"/>
      <c r="V391" s="19"/>
    </row>
    <row r="392">
      <c r="A392" s="15">
        <v>45969.0</v>
      </c>
      <c r="B392" s="16" t="s">
        <v>505</v>
      </c>
      <c r="C392" s="16" t="s">
        <v>111</v>
      </c>
      <c r="D392" s="16" t="s">
        <v>528</v>
      </c>
      <c r="E392" s="16" t="s">
        <v>298</v>
      </c>
      <c r="F392" s="17" t="str">
        <f>IFERROR(__xludf.DUMMYFUNCTION("""COMPUTED_VALUE"""),"SS-HO-LI-1A-10")</f>
        <v>SS-HO-LI-1A-10</v>
      </c>
      <c r="G392" s="18">
        <v>3.55</v>
      </c>
      <c r="H392" s="16" t="s">
        <v>509</v>
      </c>
      <c r="I392" s="16" t="s">
        <v>509</v>
      </c>
      <c r="J392" s="16" t="s">
        <v>649</v>
      </c>
      <c r="K392" s="16">
        <v>7.1</v>
      </c>
      <c r="L392" s="16">
        <v>1.0</v>
      </c>
      <c r="M392" s="16" t="s">
        <v>525</v>
      </c>
      <c r="N392" s="20">
        <v>3.55</v>
      </c>
      <c r="O392" s="21" t="s">
        <v>22</v>
      </c>
      <c r="P392" s="19"/>
      <c r="Q392" s="19"/>
      <c r="R392" s="19"/>
      <c r="S392" s="19"/>
      <c r="T392" s="19"/>
      <c r="U392" s="19"/>
      <c r="V392" s="19"/>
    </row>
    <row r="393">
      <c r="A393" s="15">
        <v>45969.0</v>
      </c>
      <c r="B393" s="16" t="s">
        <v>505</v>
      </c>
      <c r="C393" s="16" t="s">
        <v>111</v>
      </c>
      <c r="D393" s="16" t="s">
        <v>526</v>
      </c>
      <c r="E393" s="16" t="s">
        <v>19</v>
      </c>
      <c r="F393" s="17" t="str">
        <f>IFERROR(__xludf.DUMMYFUNCTION("""COMPUTED_VALUE"""),"SS-HO-WV-1A")</f>
        <v>SS-HO-WV-1A</v>
      </c>
      <c r="G393" s="18">
        <v>3.55</v>
      </c>
      <c r="H393" s="16" t="s">
        <v>509</v>
      </c>
      <c r="I393" s="16" t="s">
        <v>509</v>
      </c>
      <c r="J393" s="16" t="s">
        <v>650</v>
      </c>
      <c r="K393" s="16">
        <v>7.1</v>
      </c>
      <c r="L393" s="16">
        <v>1.0</v>
      </c>
      <c r="M393" s="16" t="s">
        <v>525</v>
      </c>
      <c r="N393" s="20">
        <v>3.55</v>
      </c>
      <c r="O393" s="21" t="s">
        <v>22</v>
      </c>
      <c r="P393" s="19"/>
      <c r="Q393" s="19"/>
      <c r="R393" s="19"/>
      <c r="S393" s="19"/>
      <c r="T393" s="19"/>
      <c r="U393" s="19"/>
      <c r="V393" s="19"/>
    </row>
    <row r="394">
      <c r="A394" s="15">
        <v>45969.0</v>
      </c>
      <c r="B394" s="16" t="s">
        <v>505</v>
      </c>
      <c r="C394" s="16" t="s">
        <v>111</v>
      </c>
      <c r="D394" s="16" t="s">
        <v>526</v>
      </c>
      <c r="E394" s="16" t="s">
        <v>71</v>
      </c>
      <c r="F394" s="17" t="str">
        <f>IFERROR(__xludf.DUMMYFUNCTION("""COMPUTED_VALUE"""),"SS-HO-WV-1A-2")</f>
        <v>SS-HO-WV-1A-2</v>
      </c>
      <c r="G394" s="18">
        <v>3.55</v>
      </c>
      <c r="H394" s="16" t="s">
        <v>509</v>
      </c>
      <c r="I394" s="16" t="s">
        <v>509</v>
      </c>
      <c r="J394" s="16" t="s">
        <v>651</v>
      </c>
      <c r="K394" s="16">
        <v>7.1</v>
      </c>
      <c r="L394" s="16">
        <v>1.0</v>
      </c>
      <c r="M394" s="16" t="s">
        <v>525</v>
      </c>
      <c r="N394" s="20">
        <v>3.55</v>
      </c>
      <c r="O394" s="21" t="s">
        <v>22</v>
      </c>
      <c r="P394" s="19"/>
      <c r="Q394" s="19"/>
      <c r="R394" s="19"/>
      <c r="S394" s="19"/>
      <c r="T394" s="19"/>
      <c r="U394" s="19"/>
      <c r="V394" s="19"/>
    </row>
    <row r="395">
      <c r="A395" s="15">
        <v>45969.0</v>
      </c>
      <c r="B395" s="16" t="s">
        <v>505</v>
      </c>
      <c r="C395" s="16" t="s">
        <v>111</v>
      </c>
      <c r="D395" s="16" t="s">
        <v>526</v>
      </c>
      <c r="E395" s="16" t="s">
        <v>129</v>
      </c>
      <c r="F395" s="17" t="str">
        <f>IFERROR(__xludf.DUMMYFUNCTION("""COMPUTED_VALUE"""),"SS-HO-WV-1A-3")</f>
        <v>SS-HO-WV-1A-3</v>
      </c>
      <c r="G395" s="18">
        <v>3.55</v>
      </c>
      <c r="H395" s="16" t="s">
        <v>509</v>
      </c>
      <c r="I395" s="16" t="s">
        <v>509</v>
      </c>
      <c r="J395" s="16" t="s">
        <v>652</v>
      </c>
      <c r="K395" s="16">
        <v>7.1</v>
      </c>
      <c r="L395" s="16">
        <v>1.0</v>
      </c>
      <c r="M395" s="16" t="s">
        <v>525</v>
      </c>
      <c r="N395" s="20">
        <v>3.55</v>
      </c>
      <c r="O395" s="21" t="s">
        <v>22</v>
      </c>
      <c r="P395" s="19"/>
      <c r="Q395" s="19"/>
      <c r="R395" s="19"/>
      <c r="S395" s="19"/>
      <c r="T395" s="19"/>
      <c r="U395" s="19"/>
      <c r="V395" s="19"/>
    </row>
    <row r="396">
      <c r="A396" s="15">
        <v>45969.0</v>
      </c>
      <c r="B396" s="16" t="s">
        <v>505</v>
      </c>
      <c r="C396" s="16" t="s">
        <v>111</v>
      </c>
      <c r="D396" s="16" t="s">
        <v>526</v>
      </c>
      <c r="E396" s="16" t="s">
        <v>143</v>
      </c>
      <c r="F396" s="17" t="str">
        <f>IFERROR(__xludf.DUMMYFUNCTION("""COMPUTED_VALUE"""),"SS-HO-WV-1A-4")</f>
        <v>SS-HO-WV-1A-4</v>
      </c>
      <c r="G396" s="18">
        <v>3.55</v>
      </c>
      <c r="H396" s="16" t="s">
        <v>509</v>
      </c>
      <c r="I396" s="16" t="s">
        <v>509</v>
      </c>
      <c r="J396" s="16" t="s">
        <v>653</v>
      </c>
      <c r="K396" s="16">
        <v>7.1</v>
      </c>
      <c r="L396" s="16">
        <v>1.0</v>
      </c>
      <c r="M396" s="16" t="s">
        <v>525</v>
      </c>
      <c r="N396" s="20">
        <v>3.55</v>
      </c>
      <c r="O396" s="21" t="s">
        <v>22</v>
      </c>
      <c r="P396" s="19"/>
      <c r="Q396" s="19"/>
      <c r="R396" s="19"/>
      <c r="S396" s="19"/>
      <c r="T396" s="19"/>
      <c r="U396" s="19"/>
      <c r="V396" s="19"/>
    </row>
    <row r="397">
      <c r="A397" s="15">
        <v>45971.0</v>
      </c>
      <c r="B397" s="16" t="s">
        <v>105</v>
      </c>
      <c r="C397" s="16" t="s">
        <v>654</v>
      </c>
      <c r="D397" s="16" t="s">
        <v>655</v>
      </c>
      <c r="E397" s="16" t="s">
        <v>19</v>
      </c>
      <c r="F397" s="17" t="str">
        <f>IFERROR(__xludf.DUMMYFUNCTION("""COMPUTED_VALUE"""),"IST-AN-FL-1A")</f>
        <v>IST-AN-FL-1A</v>
      </c>
      <c r="G397" s="18">
        <v>18.0</v>
      </c>
      <c r="H397" s="16" t="s">
        <v>80</v>
      </c>
      <c r="I397" s="22" t="s">
        <v>93</v>
      </c>
      <c r="J397" s="16" t="s">
        <v>656</v>
      </c>
      <c r="K397" s="19"/>
      <c r="L397" s="16">
        <v>1.0</v>
      </c>
      <c r="M397" s="16" t="s">
        <v>657</v>
      </c>
      <c r="N397" s="20">
        <v>18.0</v>
      </c>
      <c r="O397" s="21" t="s">
        <v>22</v>
      </c>
      <c r="P397" s="19"/>
      <c r="Q397" s="19"/>
      <c r="R397" s="19"/>
      <c r="S397" s="19"/>
      <c r="T397" s="19"/>
      <c r="U397" s="19"/>
      <c r="V397" s="19"/>
    </row>
    <row r="398">
      <c r="A398" s="15">
        <v>45971.0</v>
      </c>
      <c r="B398" s="16" t="s">
        <v>105</v>
      </c>
      <c r="C398" s="16" t="s">
        <v>654</v>
      </c>
      <c r="D398" s="16" t="s">
        <v>658</v>
      </c>
      <c r="E398" s="16" t="s">
        <v>19</v>
      </c>
      <c r="F398" s="17" t="str">
        <f>IFERROR(__xludf.DUMMYFUNCTION("""COMPUTED_VALUE"""),"IST-AN-CRY-1A")</f>
        <v>IST-AN-CRY-1A</v>
      </c>
      <c r="G398" s="18">
        <v>22.0</v>
      </c>
      <c r="H398" s="16" t="s">
        <v>80</v>
      </c>
      <c r="I398" s="22" t="s">
        <v>93</v>
      </c>
      <c r="J398" s="16" t="s">
        <v>659</v>
      </c>
      <c r="K398" s="19"/>
      <c r="L398" s="16">
        <v>1.0</v>
      </c>
      <c r="M398" s="16" t="s">
        <v>657</v>
      </c>
      <c r="N398" s="20">
        <v>22.0</v>
      </c>
      <c r="O398" s="21" t="s">
        <v>22</v>
      </c>
      <c r="P398" s="19"/>
      <c r="Q398" s="19"/>
      <c r="R398" s="19"/>
      <c r="S398" s="19"/>
      <c r="T398" s="19"/>
      <c r="U398" s="19"/>
      <c r="V398" s="19"/>
    </row>
    <row r="399">
      <c r="A399" s="15">
        <v>45971.0</v>
      </c>
      <c r="B399" s="16" t="s">
        <v>105</v>
      </c>
      <c r="C399" s="16" t="s">
        <v>26</v>
      </c>
      <c r="D399" s="16" t="s">
        <v>121</v>
      </c>
      <c r="E399" s="16" t="s">
        <v>19</v>
      </c>
      <c r="F399" s="17" t="str">
        <f>IFERROR(__xludf.DUMMYFUNCTION("""COMPUTED_VALUE"""),"IST-PH-GL-1A")</f>
        <v>IST-PH-GL-1A</v>
      </c>
      <c r="G399" s="18">
        <v>14.0</v>
      </c>
      <c r="H399" s="16" t="s">
        <v>80</v>
      </c>
      <c r="I399" s="22" t="s">
        <v>93</v>
      </c>
      <c r="J399" s="16" t="s">
        <v>660</v>
      </c>
      <c r="K399" s="19"/>
      <c r="L399" s="16">
        <v>1.0</v>
      </c>
      <c r="M399" s="16" t="s">
        <v>38</v>
      </c>
      <c r="N399" s="20">
        <v>14.0</v>
      </c>
      <c r="O399" s="21" t="s">
        <v>22</v>
      </c>
      <c r="P399" s="19"/>
      <c r="Q399" s="19"/>
      <c r="R399" s="19"/>
      <c r="S399" s="19"/>
      <c r="T399" s="19"/>
      <c r="U399" s="19"/>
      <c r="V399" s="19"/>
    </row>
    <row r="400">
      <c r="A400" s="15">
        <v>45971.0</v>
      </c>
      <c r="B400" s="16" t="s">
        <v>252</v>
      </c>
      <c r="C400" s="16" t="s">
        <v>26</v>
      </c>
      <c r="D400" s="16" t="s">
        <v>106</v>
      </c>
      <c r="E400" s="16" t="s">
        <v>19</v>
      </c>
      <c r="F400" s="17" t="str">
        <f>IFERROR(__xludf.DUMMYFUNCTION("""COMPUTED_VALUE"""),"DSE-PH-PP-1A")</f>
        <v>DSE-PH-PP-1A</v>
      </c>
      <c r="G400" s="18">
        <v>5.79</v>
      </c>
      <c r="H400" s="16" t="s">
        <v>509</v>
      </c>
      <c r="I400" s="16" t="s">
        <v>509</v>
      </c>
      <c r="J400" s="16" t="s">
        <v>661</v>
      </c>
      <c r="K400" s="16">
        <v>15.0</v>
      </c>
      <c r="L400" s="16">
        <v>1.0</v>
      </c>
      <c r="M400" s="16" t="s">
        <v>662</v>
      </c>
      <c r="N400" s="20">
        <v>5.79</v>
      </c>
      <c r="O400" s="21" t="s">
        <v>22</v>
      </c>
      <c r="P400" s="19"/>
      <c r="Q400" s="19"/>
      <c r="R400" s="19"/>
      <c r="S400" s="19"/>
      <c r="T400" s="19"/>
      <c r="U400" s="19"/>
      <c r="V400" s="19"/>
    </row>
    <row r="401">
      <c r="A401" s="15">
        <v>45971.0</v>
      </c>
      <c r="B401" s="16" t="s">
        <v>252</v>
      </c>
      <c r="C401" s="16" t="s">
        <v>26</v>
      </c>
      <c r="D401" s="16" t="s">
        <v>106</v>
      </c>
      <c r="E401" s="16" t="s">
        <v>71</v>
      </c>
      <c r="F401" s="17" t="str">
        <f>IFERROR(__xludf.DUMMYFUNCTION("""COMPUTED_VALUE"""),"DSE-PH-PP-1A-2")</f>
        <v>DSE-PH-PP-1A-2</v>
      </c>
      <c r="G401" s="18">
        <v>5.79</v>
      </c>
      <c r="H401" s="16" t="s">
        <v>509</v>
      </c>
      <c r="I401" s="16" t="s">
        <v>509</v>
      </c>
      <c r="J401" s="16" t="s">
        <v>663</v>
      </c>
      <c r="K401" s="16">
        <v>15.0</v>
      </c>
      <c r="L401" s="16">
        <v>1.0</v>
      </c>
      <c r="M401" s="16" t="s">
        <v>662</v>
      </c>
      <c r="N401" s="20">
        <v>5.79</v>
      </c>
      <c r="O401" s="21" t="s">
        <v>22</v>
      </c>
      <c r="P401" s="19"/>
      <c r="Q401" s="19"/>
      <c r="R401" s="19"/>
      <c r="S401" s="19"/>
      <c r="T401" s="19"/>
      <c r="U401" s="19"/>
      <c r="V401" s="19"/>
    </row>
    <row r="402">
      <c r="A402" s="15">
        <v>45971.0</v>
      </c>
      <c r="B402" s="16" t="s">
        <v>252</v>
      </c>
      <c r="C402" s="16" t="s">
        <v>26</v>
      </c>
      <c r="D402" s="16" t="s">
        <v>106</v>
      </c>
      <c r="E402" s="16" t="s">
        <v>129</v>
      </c>
      <c r="F402" s="17" t="str">
        <f>IFERROR(__xludf.DUMMYFUNCTION("""COMPUTED_VALUE"""),"DSE-PH-PP-1A-3")</f>
        <v>DSE-PH-PP-1A-3</v>
      </c>
      <c r="G402" s="18">
        <v>5.79</v>
      </c>
      <c r="H402" s="16" t="s">
        <v>509</v>
      </c>
      <c r="I402" s="16" t="s">
        <v>509</v>
      </c>
      <c r="J402" s="16" t="s">
        <v>664</v>
      </c>
      <c r="K402" s="16">
        <v>15.0</v>
      </c>
      <c r="L402" s="16">
        <v>1.0</v>
      </c>
      <c r="M402" s="16" t="s">
        <v>662</v>
      </c>
      <c r="N402" s="20">
        <v>5.79</v>
      </c>
      <c r="O402" s="21" t="s">
        <v>22</v>
      </c>
      <c r="P402" s="19"/>
      <c r="Q402" s="19"/>
      <c r="R402" s="19"/>
      <c r="S402" s="19"/>
      <c r="T402" s="19"/>
      <c r="U402" s="19"/>
      <c r="V402" s="19"/>
    </row>
    <row r="403">
      <c r="A403" s="15">
        <v>45971.0</v>
      </c>
      <c r="B403" s="16" t="s">
        <v>252</v>
      </c>
      <c r="C403" s="16" t="s">
        <v>26</v>
      </c>
      <c r="D403" s="16" t="s">
        <v>665</v>
      </c>
      <c r="E403" s="16" t="s">
        <v>19</v>
      </c>
      <c r="F403" s="17" t="str">
        <f>IFERROR(__xludf.DUMMYFUNCTION("""COMPUTED_VALUE"""),"DSE-PH-RC-1A")</f>
        <v>DSE-PH-RC-1A</v>
      </c>
      <c r="G403" s="18">
        <v>5.69</v>
      </c>
      <c r="H403" s="16" t="s">
        <v>509</v>
      </c>
      <c r="I403" s="16" t="s">
        <v>509</v>
      </c>
      <c r="J403" s="16" t="s">
        <v>666</v>
      </c>
      <c r="K403" s="16">
        <v>11.38</v>
      </c>
      <c r="L403" s="16">
        <v>1.0</v>
      </c>
      <c r="M403" s="16" t="s">
        <v>662</v>
      </c>
      <c r="N403" s="20">
        <v>5.69</v>
      </c>
      <c r="O403" s="21" t="s">
        <v>22</v>
      </c>
      <c r="P403" s="19"/>
      <c r="Q403" s="19"/>
      <c r="R403" s="19"/>
      <c r="S403" s="19"/>
      <c r="T403" s="19"/>
      <c r="U403" s="19"/>
      <c r="V403" s="19"/>
    </row>
    <row r="404">
      <c r="A404" s="15">
        <v>45971.0</v>
      </c>
      <c r="B404" s="16" t="s">
        <v>252</v>
      </c>
      <c r="C404" s="16" t="s">
        <v>26</v>
      </c>
      <c r="D404" s="16" t="s">
        <v>665</v>
      </c>
      <c r="E404" s="16" t="s">
        <v>71</v>
      </c>
      <c r="F404" s="17" t="str">
        <f>IFERROR(__xludf.DUMMYFUNCTION("""COMPUTED_VALUE"""),"DSE-PH-RC-1A-2")</f>
        <v>DSE-PH-RC-1A-2</v>
      </c>
      <c r="G404" s="18">
        <v>5.69</v>
      </c>
      <c r="H404" s="16" t="s">
        <v>509</v>
      </c>
      <c r="I404" s="16" t="s">
        <v>509</v>
      </c>
      <c r="J404" s="16" t="s">
        <v>667</v>
      </c>
      <c r="K404" s="16">
        <v>11.38</v>
      </c>
      <c r="L404" s="16">
        <v>1.0</v>
      </c>
      <c r="M404" s="16" t="s">
        <v>662</v>
      </c>
      <c r="N404" s="20">
        <v>5.69</v>
      </c>
      <c r="O404" s="21" t="s">
        <v>22</v>
      </c>
      <c r="P404" s="19"/>
      <c r="Q404" s="19"/>
      <c r="R404" s="19"/>
      <c r="S404" s="19"/>
      <c r="T404" s="19"/>
      <c r="U404" s="19"/>
      <c r="V404" s="19"/>
    </row>
    <row r="405">
      <c r="A405" s="15">
        <v>45971.0</v>
      </c>
      <c r="B405" s="16" t="s">
        <v>252</v>
      </c>
      <c r="C405" s="16" t="s">
        <v>26</v>
      </c>
      <c r="D405" s="16" t="s">
        <v>665</v>
      </c>
      <c r="E405" s="16" t="s">
        <v>129</v>
      </c>
      <c r="F405" s="17" t="str">
        <f>IFERROR(__xludf.DUMMYFUNCTION("""COMPUTED_VALUE"""),"DSE-PH-RC-1A-3")</f>
        <v>DSE-PH-RC-1A-3</v>
      </c>
      <c r="G405" s="18">
        <v>5.69</v>
      </c>
      <c r="H405" s="16" t="s">
        <v>509</v>
      </c>
      <c r="I405" s="16" t="s">
        <v>509</v>
      </c>
      <c r="J405" s="16" t="s">
        <v>668</v>
      </c>
      <c r="K405" s="16">
        <v>11.38</v>
      </c>
      <c r="L405" s="16">
        <v>1.0</v>
      </c>
      <c r="M405" s="16" t="s">
        <v>662</v>
      </c>
      <c r="N405" s="20">
        <v>5.69</v>
      </c>
      <c r="O405" s="21" t="s">
        <v>22</v>
      </c>
      <c r="P405" s="19"/>
      <c r="Q405" s="19"/>
      <c r="R405" s="19"/>
      <c r="S405" s="19"/>
      <c r="T405" s="19"/>
      <c r="U405" s="19"/>
      <c r="V405" s="19"/>
    </row>
    <row r="406">
      <c r="A406" s="15">
        <v>45971.0</v>
      </c>
      <c r="B406" s="16" t="s">
        <v>252</v>
      </c>
      <c r="C406" s="16" t="s">
        <v>26</v>
      </c>
      <c r="D406" s="16" t="s">
        <v>106</v>
      </c>
      <c r="E406" s="16" t="s">
        <v>143</v>
      </c>
      <c r="F406" s="17" t="str">
        <f>IFERROR(__xludf.DUMMYFUNCTION("""COMPUTED_VALUE"""),"DSE-PH-PP-1A-4")</f>
        <v>DSE-PH-PP-1A-4</v>
      </c>
      <c r="G406" s="18">
        <v>5.79</v>
      </c>
      <c r="H406" s="16" t="s">
        <v>509</v>
      </c>
      <c r="I406" s="16" t="s">
        <v>509</v>
      </c>
      <c r="J406" s="16" t="s">
        <v>669</v>
      </c>
      <c r="K406" s="16">
        <v>15.0</v>
      </c>
      <c r="L406" s="16">
        <v>1.0</v>
      </c>
      <c r="M406" s="16" t="s">
        <v>662</v>
      </c>
      <c r="N406" s="20">
        <v>5.79</v>
      </c>
      <c r="O406" s="21" t="s">
        <v>22</v>
      </c>
      <c r="P406" s="19"/>
      <c r="Q406" s="19"/>
      <c r="R406" s="19"/>
      <c r="S406" s="19"/>
      <c r="T406" s="19"/>
      <c r="U406" s="19"/>
      <c r="V406" s="19"/>
    </row>
    <row r="407">
      <c r="A407" s="15">
        <v>45971.0</v>
      </c>
      <c r="B407" s="16" t="s">
        <v>252</v>
      </c>
      <c r="C407" s="16" t="s">
        <v>159</v>
      </c>
      <c r="D407" s="16" t="s">
        <v>670</v>
      </c>
      <c r="E407" s="16" t="s">
        <v>19</v>
      </c>
      <c r="F407" s="17" t="str">
        <f>IFERROR(__xludf.DUMMYFUNCTION("""COMPUTED_VALUE"""),"DSE-SYN-RR-1A")</f>
        <v>DSE-SYN-RR-1A</v>
      </c>
      <c r="G407" s="18">
        <v>4.49</v>
      </c>
      <c r="H407" s="16" t="s">
        <v>509</v>
      </c>
      <c r="I407" s="16" t="s">
        <v>509</v>
      </c>
      <c r="J407" s="16" t="s">
        <v>671</v>
      </c>
      <c r="K407" s="16">
        <v>15.0</v>
      </c>
      <c r="L407" s="16">
        <v>1.0</v>
      </c>
      <c r="M407" s="16" t="s">
        <v>662</v>
      </c>
      <c r="N407" s="20">
        <v>4.49</v>
      </c>
      <c r="O407" s="21" t="s">
        <v>22</v>
      </c>
      <c r="P407" s="19"/>
      <c r="Q407" s="19"/>
      <c r="R407" s="19"/>
      <c r="S407" s="19"/>
      <c r="T407" s="19"/>
      <c r="U407" s="19"/>
      <c r="V407" s="19"/>
    </row>
    <row r="408">
      <c r="A408" s="15">
        <v>45971.0</v>
      </c>
      <c r="B408" s="16" t="s">
        <v>252</v>
      </c>
      <c r="C408" s="16" t="s">
        <v>159</v>
      </c>
      <c r="D408" s="16" t="s">
        <v>670</v>
      </c>
      <c r="E408" s="16" t="s">
        <v>71</v>
      </c>
      <c r="F408" s="17" t="str">
        <f>IFERROR(__xludf.DUMMYFUNCTION("""COMPUTED_VALUE"""),"DSE-SYN-RR-1A-2")</f>
        <v>DSE-SYN-RR-1A-2</v>
      </c>
      <c r="G408" s="18">
        <v>4.49</v>
      </c>
      <c r="H408" s="16" t="s">
        <v>509</v>
      </c>
      <c r="I408" s="16" t="s">
        <v>509</v>
      </c>
      <c r="J408" s="16" t="s">
        <v>672</v>
      </c>
      <c r="K408" s="16">
        <v>15.0</v>
      </c>
      <c r="L408" s="16">
        <v>1.0</v>
      </c>
      <c r="M408" s="16" t="s">
        <v>662</v>
      </c>
      <c r="N408" s="20">
        <v>4.49</v>
      </c>
      <c r="O408" s="21" t="s">
        <v>22</v>
      </c>
      <c r="P408" s="19"/>
      <c r="Q408" s="19"/>
      <c r="R408" s="19"/>
      <c r="S408" s="19"/>
      <c r="T408" s="19"/>
      <c r="U408" s="19"/>
      <c r="V408" s="19"/>
    </row>
    <row r="409">
      <c r="A409" s="15">
        <v>45971.0</v>
      </c>
      <c r="B409" s="16" t="s">
        <v>252</v>
      </c>
      <c r="C409" s="16" t="s">
        <v>159</v>
      </c>
      <c r="D409" s="16" t="s">
        <v>670</v>
      </c>
      <c r="E409" s="16" t="s">
        <v>129</v>
      </c>
      <c r="F409" s="17" t="str">
        <f>IFERROR(__xludf.DUMMYFUNCTION("""COMPUTED_VALUE"""),"DSE-SYN-RR-1A-3")</f>
        <v>DSE-SYN-RR-1A-3</v>
      </c>
      <c r="G409" s="18">
        <v>4.49</v>
      </c>
      <c r="H409" s="16" t="s">
        <v>509</v>
      </c>
      <c r="I409" s="16" t="s">
        <v>509</v>
      </c>
      <c r="J409" s="16" t="s">
        <v>673</v>
      </c>
      <c r="K409" s="16">
        <v>15.0</v>
      </c>
      <c r="L409" s="16">
        <v>1.0</v>
      </c>
      <c r="M409" s="16" t="s">
        <v>662</v>
      </c>
      <c r="N409" s="20">
        <v>4.49</v>
      </c>
      <c r="O409" s="21" t="s">
        <v>22</v>
      </c>
      <c r="P409" s="19"/>
      <c r="Q409" s="19"/>
      <c r="R409" s="19"/>
      <c r="S409" s="19"/>
      <c r="T409" s="19"/>
      <c r="U409" s="19"/>
      <c r="V409" s="19"/>
    </row>
    <row r="410">
      <c r="A410" s="15">
        <v>45971.0</v>
      </c>
      <c r="B410" s="16" t="s">
        <v>252</v>
      </c>
      <c r="C410" s="16" t="s">
        <v>26</v>
      </c>
      <c r="D410" s="16" t="s">
        <v>206</v>
      </c>
      <c r="E410" s="16" t="s">
        <v>19</v>
      </c>
      <c r="F410" s="17" t="str">
        <f>IFERROR(__xludf.DUMMYFUNCTION("""COMPUTED_VALUE"""),"DSE-PH-PL-1A")</f>
        <v>DSE-PH-PL-1A</v>
      </c>
      <c r="G410" s="18">
        <v>5.59</v>
      </c>
      <c r="H410" s="16" t="s">
        <v>509</v>
      </c>
      <c r="I410" s="16" t="s">
        <v>509</v>
      </c>
      <c r="J410" s="16" t="s">
        <v>674</v>
      </c>
      <c r="K410" s="16">
        <v>15.0</v>
      </c>
      <c r="L410" s="16">
        <v>1.0</v>
      </c>
      <c r="M410" s="16" t="s">
        <v>662</v>
      </c>
      <c r="N410" s="20">
        <v>5.59</v>
      </c>
      <c r="O410" s="21" t="s">
        <v>22</v>
      </c>
      <c r="P410" s="19"/>
      <c r="Q410" s="19"/>
      <c r="R410" s="19"/>
      <c r="S410" s="19"/>
      <c r="T410" s="19"/>
      <c r="U410" s="19"/>
      <c r="V410" s="19"/>
    </row>
    <row r="411">
      <c r="A411" s="15">
        <v>45971.0</v>
      </c>
      <c r="B411" s="16" t="s">
        <v>252</v>
      </c>
      <c r="C411" s="16" t="s">
        <v>26</v>
      </c>
      <c r="D411" s="16" t="s">
        <v>206</v>
      </c>
      <c r="E411" s="16" t="s">
        <v>71</v>
      </c>
      <c r="F411" s="17" t="str">
        <f>IFERROR(__xludf.DUMMYFUNCTION("""COMPUTED_VALUE"""),"DSE-PH-PL-1A-2")</f>
        <v>DSE-PH-PL-1A-2</v>
      </c>
      <c r="G411" s="18">
        <v>5.59</v>
      </c>
      <c r="H411" s="16" t="s">
        <v>509</v>
      </c>
      <c r="I411" s="16" t="s">
        <v>509</v>
      </c>
      <c r="J411" s="16" t="s">
        <v>675</v>
      </c>
      <c r="K411" s="16">
        <v>15.0</v>
      </c>
      <c r="L411" s="16">
        <v>1.0</v>
      </c>
      <c r="M411" s="16" t="s">
        <v>662</v>
      </c>
      <c r="N411" s="20">
        <v>5.59</v>
      </c>
      <c r="O411" s="21" t="s">
        <v>22</v>
      </c>
      <c r="P411" s="19"/>
      <c r="Q411" s="19"/>
      <c r="R411" s="19"/>
      <c r="S411" s="19"/>
      <c r="T411" s="19"/>
      <c r="U411" s="19"/>
      <c r="V411" s="19"/>
    </row>
    <row r="412">
      <c r="A412" s="15">
        <v>45971.0</v>
      </c>
      <c r="B412" s="16" t="s">
        <v>252</v>
      </c>
      <c r="C412" s="16" t="s">
        <v>26</v>
      </c>
      <c r="D412" s="16" t="s">
        <v>206</v>
      </c>
      <c r="E412" s="16" t="s">
        <v>129</v>
      </c>
      <c r="F412" s="17" t="str">
        <f>IFERROR(__xludf.DUMMYFUNCTION("""COMPUTED_VALUE"""),"DSE-PH-PL-1A-3")</f>
        <v>DSE-PH-PL-1A-3</v>
      </c>
      <c r="G412" s="18">
        <v>5.59</v>
      </c>
      <c r="H412" s="16" t="s">
        <v>509</v>
      </c>
      <c r="I412" s="16" t="s">
        <v>509</v>
      </c>
      <c r="J412" s="16" t="s">
        <v>676</v>
      </c>
      <c r="K412" s="16">
        <v>15.0</v>
      </c>
      <c r="L412" s="16">
        <v>1.0</v>
      </c>
      <c r="M412" s="16" t="s">
        <v>662</v>
      </c>
      <c r="N412" s="20">
        <v>5.59</v>
      </c>
      <c r="O412" s="21" t="s">
        <v>22</v>
      </c>
      <c r="P412" s="19"/>
      <c r="Q412" s="19"/>
      <c r="R412" s="19"/>
      <c r="S412" s="19"/>
      <c r="T412" s="19"/>
      <c r="U412" s="19"/>
      <c r="V412" s="19"/>
    </row>
    <row r="413">
      <c r="A413" s="15">
        <v>45971.0</v>
      </c>
      <c r="B413" s="16" t="s">
        <v>252</v>
      </c>
      <c r="C413" s="16" t="s">
        <v>64</v>
      </c>
      <c r="D413" s="16" t="s">
        <v>677</v>
      </c>
      <c r="E413" s="16" t="s">
        <v>19</v>
      </c>
      <c r="F413" s="17" t="str">
        <f>IFERROR(__xludf.DUMMYFUNCTION("""COMPUTED_VALUE"""),"DSE-AL-VE-1A")</f>
        <v>DSE-AL-VE-1A</v>
      </c>
      <c r="G413" s="18">
        <v>5.59</v>
      </c>
      <c r="H413" s="16" t="s">
        <v>509</v>
      </c>
      <c r="I413" s="16" t="s">
        <v>509</v>
      </c>
      <c r="J413" s="16" t="s">
        <v>678</v>
      </c>
      <c r="K413" s="16">
        <v>11.18</v>
      </c>
      <c r="L413" s="16">
        <v>1.0</v>
      </c>
      <c r="M413" s="16" t="s">
        <v>662</v>
      </c>
      <c r="N413" s="20">
        <v>5.59</v>
      </c>
      <c r="O413" s="21" t="s">
        <v>22</v>
      </c>
      <c r="P413" s="19"/>
      <c r="Q413" s="19"/>
      <c r="R413" s="19"/>
      <c r="S413" s="19"/>
      <c r="T413" s="19"/>
      <c r="U413" s="19"/>
      <c r="V413" s="19"/>
    </row>
    <row r="414">
      <c r="A414" s="15">
        <v>45971.0</v>
      </c>
      <c r="B414" s="16" t="s">
        <v>252</v>
      </c>
      <c r="C414" s="16" t="s">
        <v>64</v>
      </c>
      <c r="D414" s="16" t="s">
        <v>677</v>
      </c>
      <c r="E414" s="16" t="s">
        <v>71</v>
      </c>
      <c r="F414" s="17" t="str">
        <f>IFERROR(__xludf.DUMMYFUNCTION("""COMPUTED_VALUE"""),"DSE-AL-VE-1A-2")</f>
        <v>DSE-AL-VE-1A-2</v>
      </c>
      <c r="G414" s="18">
        <v>5.59</v>
      </c>
      <c r="H414" s="16" t="s">
        <v>509</v>
      </c>
      <c r="I414" s="16" t="s">
        <v>509</v>
      </c>
      <c r="J414" s="16" t="s">
        <v>679</v>
      </c>
      <c r="K414" s="16">
        <v>11.18</v>
      </c>
      <c r="L414" s="16">
        <v>1.0</v>
      </c>
      <c r="M414" s="16" t="s">
        <v>662</v>
      </c>
      <c r="N414" s="20">
        <v>5.59</v>
      </c>
      <c r="O414" s="21" t="s">
        <v>22</v>
      </c>
      <c r="P414" s="19"/>
      <c r="Q414" s="19"/>
      <c r="R414" s="19"/>
      <c r="S414" s="19"/>
      <c r="T414" s="19"/>
      <c r="U414" s="19"/>
      <c r="V414" s="19"/>
    </row>
    <row r="415">
      <c r="A415" s="15">
        <v>45971.0</v>
      </c>
      <c r="B415" s="16" t="s">
        <v>252</v>
      </c>
      <c r="C415" s="16" t="s">
        <v>64</v>
      </c>
      <c r="D415" s="16" t="s">
        <v>677</v>
      </c>
      <c r="E415" s="16" t="s">
        <v>129</v>
      </c>
      <c r="F415" s="17" t="str">
        <f>IFERROR(__xludf.DUMMYFUNCTION("""COMPUTED_VALUE"""),"DSE-AL-VE-1A-3")</f>
        <v>DSE-AL-VE-1A-3</v>
      </c>
      <c r="G415" s="18">
        <v>5.59</v>
      </c>
      <c r="H415" s="16" t="s">
        <v>509</v>
      </c>
      <c r="I415" s="16" t="s">
        <v>509</v>
      </c>
      <c r="J415" s="16" t="s">
        <v>680</v>
      </c>
      <c r="K415" s="16">
        <v>11.18</v>
      </c>
      <c r="L415" s="16">
        <v>1.0</v>
      </c>
      <c r="M415" s="16" t="s">
        <v>662</v>
      </c>
      <c r="N415" s="20">
        <v>5.59</v>
      </c>
      <c r="O415" s="21" t="s">
        <v>22</v>
      </c>
      <c r="P415" s="19"/>
      <c r="Q415" s="19"/>
      <c r="R415" s="19"/>
      <c r="S415" s="19"/>
      <c r="T415" s="19"/>
      <c r="U415" s="19"/>
      <c r="V415" s="19"/>
    </row>
    <row r="416">
      <c r="A416" s="15">
        <v>45971.0</v>
      </c>
      <c r="B416" s="16" t="s">
        <v>252</v>
      </c>
      <c r="C416" s="16" t="s">
        <v>159</v>
      </c>
      <c r="D416" s="16" t="s">
        <v>193</v>
      </c>
      <c r="E416" s="16" t="s">
        <v>19</v>
      </c>
      <c r="F416" s="17" t="str">
        <f>IFERROR(__xludf.DUMMYFUNCTION("""COMPUTED_VALUE"""),"DSE-SYN-BA-1A")</f>
        <v>DSE-SYN-BA-1A</v>
      </c>
      <c r="G416" s="18">
        <v>4.99</v>
      </c>
      <c r="H416" s="16" t="s">
        <v>509</v>
      </c>
      <c r="I416" s="16" t="s">
        <v>509</v>
      </c>
      <c r="J416" s="16" t="s">
        <v>681</v>
      </c>
      <c r="K416" s="16">
        <v>10.0</v>
      </c>
      <c r="L416" s="16">
        <v>1.0</v>
      </c>
      <c r="M416" s="16" t="s">
        <v>662</v>
      </c>
      <c r="N416" s="20">
        <v>4.99</v>
      </c>
      <c r="O416" s="21" t="s">
        <v>22</v>
      </c>
      <c r="P416" s="19"/>
      <c r="Q416" s="19"/>
      <c r="R416" s="19"/>
      <c r="S416" s="19"/>
      <c r="T416" s="19"/>
      <c r="U416" s="19"/>
      <c r="V416" s="19"/>
    </row>
    <row r="417">
      <c r="A417" s="15">
        <v>45971.0</v>
      </c>
      <c r="B417" s="16" t="s">
        <v>252</v>
      </c>
      <c r="C417" s="16" t="s">
        <v>159</v>
      </c>
      <c r="D417" s="16" t="s">
        <v>193</v>
      </c>
      <c r="E417" s="16" t="s">
        <v>71</v>
      </c>
      <c r="F417" s="17" t="str">
        <f>IFERROR(__xludf.DUMMYFUNCTION("""COMPUTED_VALUE"""),"DSE-SYN-BA-1A-2")</f>
        <v>DSE-SYN-BA-1A-2</v>
      </c>
      <c r="G417" s="18">
        <v>4.99</v>
      </c>
      <c r="H417" s="16" t="s">
        <v>509</v>
      </c>
      <c r="I417" s="16" t="s">
        <v>509</v>
      </c>
      <c r="J417" s="16" t="s">
        <v>682</v>
      </c>
      <c r="K417" s="16">
        <v>10.0</v>
      </c>
      <c r="L417" s="16">
        <v>1.0</v>
      </c>
      <c r="M417" s="16" t="s">
        <v>662</v>
      </c>
      <c r="N417" s="20">
        <v>4.99</v>
      </c>
      <c r="O417" s="21" t="s">
        <v>22</v>
      </c>
      <c r="P417" s="19"/>
      <c r="Q417" s="19"/>
      <c r="R417" s="19"/>
      <c r="S417" s="19"/>
      <c r="T417" s="19"/>
      <c r="U417" s="19"/>
      <c r="V417" s="19"/>
    </row>
    <row r="418">
      <c r="A418" s="15">
        <v>45971.0</v>
      </c>
      <c r="B418" s="16" t="s">
        <v>252</v>
      </c>
      <c r="C418" s="16" t="s">
        <v>159</v>
      </c>
      <c r="D418" s="16" t="s">
        <v>193</v>
      </c>
      <c r="E418" s="16" t="s">
        <v>129</v>
      </c>
      <c r="F418" s="17" t="str">
        <f>IFERROR(__xludf.DUMMYFUNCTION("""COMPUTED_VALUE"""),"DSE-SYN-BA-1A-3")</f>
        <v>DSE-SYN-BA-1A-3</v>
      </c>
      <c r="G418" s="18">
        <v>4.99</v>
      </c>
      <c r="H418" s="16" t="s">
        <v>509</v>
      </c>
      <c r="I418" s="16" t="s">
        <v>509</v>
      </c>
      <c r="J418" s="16" t="s">
        <v>683</v>
      </c>
      <c r="K418" s="16">
        <v>10.0</v>
      </c>
      <c r="L418" s="16">
        <v>1.0</v>
      </c>
      <c r="M418" s="16" t="s">
        <v>662</v>
      </c>
      <c r="N418" s="20">
        <v>4.99</v>
      </c>
      <c r="O418" s="21" t="s">
        <v>22</v>
      </c>
      <c r="P418" s="19"/>
      <c r="Q418" s="19"/>
      <c r="R418" s="19"/>
      <c r="S418" s="19"/>
      <c r="T418" s="19"/>
      <c r="U418" s="19"/>
      <c r="V418" s="19"/>
    </row>
    <row r="419">
      <c r="A419" s="15">
        <v>45971.0</v>
      </c>
      <c r="B419" s="16" t="s">
        <v>252</v>
      </c>
      <c r="C419" s="16" t="s">
        <v>26</v>
      </c>
      <c r="D419" s="16" t="s">
        <v>684</v>
      </c>
      <c r="E419" s="16" t="s">
        <v>19</v>
      </c>
      <c r="F419" s="17" t="str">
        <f>IFERROR(__xludf.DUMMYFUNCTION("""COMPUTED_VALUE"""),"DSE-PH-JO-1A")</f>
        <v>DSE-PH-JO-1A</v>
      </c>
      <c r="G419" s="18">
        <v>5.69</v>
      </c>
      <c r="H419" s="16" t="s">
        <v>509</v>
      </c>
      <c r="I419" s="16" t="s">
        <v>509</v>
      </c>
      <c r="J419" s="16" t="s">
        <v>685</v>
      </c>
      <c r="K419" s="16">
        <v>9.98</v>
      </c>
      <c r="L419" s="16">
        <v>1.0</v>
      </c>
      <c r="M419" s="16" t="s">
        <v>662</v>
      </c>
      <c r="N419" s="20">
        <v>5.69</v>
      </c>
      <c r="O419" s="21" t="s">
        <v>22</v>
      </c>
      <c r="P419" s="19"/>
      <c r="Q419" s="19"/>
      <c r="R419" s="19"/>
      <c r="S419" s="19"/>
      <c r="T419" s="19"/>
      <c r="U419" s="19"/>
      <c r="V419" s="19"/>
    </row>
    <row r="420">
      <c r="A420" s="15">
        <v>45971.0</v>
      </c>
      <c r="B420" s="16" t="s">
        <v>252</v>
      </c>
      <c r="C420" s="16" t="s">
        <v>26</v>
      </c>
      <c r="D420" s="16" t="s">
        <v>684</v>
      </c>
      <c r="E420" s="16" t="s">
        <v>71</v>
      </c>
      <c r="F420" s="17" t="str">
        <f>IFERROR(__xludf.DUMMYFUNCTION("""COMPUTED_VALUE"""),"DSE-PH-JO-1A-2")</f>
        <v>DSE-PH-JO-1A-2</v>
      </c>
      <c r="G420" s="18">
        <v>5.69</v>
      </c>
      <c r="H420" s="16" t="s">
        <v>509</v>
      </c>
      <c r="I420" s="16" t="s">
        <v>509</v>
      </c>
      <c r="J420" s="16" t="s">
        <v>686</v>
      </c>
      <c r="K420" s="16">
        <v>9.98</v>
      </c>
      <c r="L420" s="16">
        <v>1.0</v>
      </c>
      <c r="M420" s="16" t="s">
        <v>662</v>
      </c>
      <c r="N420" s="20">
        <v>5.69</v>
      </c>
      <c r="O420" s="21" t="s">
        <v>22</v>
      </c>
      <c r="P420" s="19"/>
      <c r="Q420" s="19"/>
      <c r="R420" s="19"/>
      <c r="S420" s="19"/>
      <c r="T420" s="19"/>
      <c r="U420" s="19"/>
      <c r="V420" s="19"/>
    </row>
    <row r="421">
      <c r="A421" s="15">
        <v>45971.0</v>
      </c>
      <c r="B421" s="16" t="s">
        <v>252</v>
      </c>
      <c r="C421" s="16" t="s">
        <v>26</v>
      </c>
      <c r="D421" s="16" t="s">
        <v>684</v>
      </c>
      <c r="E421" s="16" t="s">
        <v>129</v>
      </c>
      <c r="F421" s="17" t="str">
        <f>IFERROR(__xludf.DUMMYFUNCTION("""COMPUTED_VALUE"""),"DSE-PH-JO-1A-3")</f>
        <v>DSE-PH-JO-1A-3</v>
      </c>
      <c r="G421" s="18">
        <v>5.69</v>
      </c>
      <c r="H421" s="16" t="s">
        <v>509</v>
      </c>
      <c r="I421" s="16" t="s">
        <v>509</v>
      </c>
      <c r="J421" s="16" t="s">
        <v>687</v>
      </c>
      <c r="K421" s="16">
        <v>9.98</v>
      </c>
      <c r="L421" s="16">
        <v>1.0</v>
      </c>
      <c r="M421" s="16" t="s">
        <v>662</v>
      </c>
      <c r="N421" s="20">
        <v>5.69</v>
      </c>
      <c r="O421" s="21" t="s">
        <v>22</v>
      </c>
      <c r="P421" s="19"/>
      <c r="Q421" s="19"/>
      <c r="R421" s="19"/>
      <c r="S421" s="19"/>
      <c r="T421" s="19"/>
      <c r="U421" s="19"/>
      <c r="V421" s="19"/>
    </row>
    <row r="422">
      <c r="A422" s="15">
        <v>45971.0</v>
      </c>
      <c r="B422" s="16" t="s">
        <v>252</v>
      </c>
      <c r="C422" s="16" t="s">
        <v>26</v>
      </c>
      <c r="D422" s="16" t="s">
        <v>688</v>
      </c>
      <c r="E422" s="16" t="s">
        <v>19</v>
      </c>
      <c r="F422" s="17" t="str">
        <f>IFERROR(__xludf.DUMMYFUNCTION("""COMPUTED_VALUE"""),"DSE-PH-BIL-1A")</f>
        <v>DSE-PH-BIL-1A</v>
      </c>
      <c r="G422" s="18">
        <v>5.79</v>
      </c>
      <c r="H422" s="16" t="s">
        <v>509</v>
      </c>
      <c r="I422" s="16" t="s">
        <v>509</v>
      </c>
      <c r="J422" s="16" t="s">
        <v>689</v>
      </c>
      <c r="K422" s="16">
        <v>11.58</v>
      </c>
      <c r="L422" s="16">
        <v>1.0</v>
      </c>
      <c r="M422" s="16" t="s">
        <v>662</v>
      </c>
      <c r="N422" s="20">
        <v>5.79</v>
      </c>
      <c r="O422" s="21" t="s">
        <v>22</v>
      </c>
      <c r="P422" s="19"/>
      <c r="Q422" s="19"/>
      <c r="R422" s="19"/>
      <c r="S422" s="19"/>
      <c r="T422" s="19"/>
      <c r="U422" s="19"/>
      <c r="V422" s="19"/>
    </row>
    <row r="423">
      <c r="A423" s="15"/>
      <c r="B423" s="16"/>
      <c r="C423" s="16"/>
      <c r="D423" s="16"/>
      <c r="E423" s="16"/>
      <c r="F423" s="17" t="str">
        <f>IFERROR(__xludf.DUMMYFUNCTION("""COMPUTED_VALUE"""),"")</f>
        <v/>
      </c>
      <c r="G423" s="20"/>
      <c r="H423" s="19"/>
      <c r="I423" s="19"/>
      <c r="J423" s="16"/>
      <c r="K423" s="19"/>
      <c r="L423" s="16"/>
      <c r="M423" s="19"/>
      <c r="N423" s="20" t="s">
        <v>39</v>
      </c>
      <c r="O423" s="21" t="s">
        <v>22</v>
      </c>
      <c r="P423" s="19"/>
      <c r="Q423" s="19"/>
      <c r="R423" s="19"/>
      <c r="S423" s="19"/>
      <c r="T423" s="19"/>
      <c r="U423" s="19"/>
      <c r="V423" s="19"/>
    </row>
    <row r="424">
      <c r="A424" s="15">
        <v>45971.0</v>
      </c>
      <c r="B424" s="16" t="s">
        <v>105</v>
      </c>
      <c r="C424" s="16" t="s">
        <v>23</v>
      </c>
      <c r="D424" s="16" t="s">
        <v>487</v>
      </c>
      <c r="E424" s="16" t="s">
        <v>71</v>
      </c>
      <c r="F424" s="17" t="str">
        <f>IFERROR(__xludf.DUMMYFUNCTION("""COMPUTED_VALUE"""),"IST-PO-MQ-1A-2")</f>
        <v>IST-PO-MQ-1A-2</v>
      </c>
      <c r="G424" s="18">
        <v>0.0</v>
      </c>
      <c r="H424" s="19"/>
      <c r="I424" s="19"/>
      <c r="J424" s="16" t="s">
        <v>690</v>
      </c>
      <c r="K424" s="19"/>
      <c r="L424" s="16">
        <v>1.0</v>
      </c>
      <c r="M424" s="16" t="s">
        <v>38</v>
      </c>
      <c r="N424" s="20">
        <v>0.0</v>
      </c>
      <c r="O424" s="21" t="s">
        <v>22</v>
      </c>
      <c r="P424" s="19"/>
      <c r="Q424" s="19"/>
      <c r="R424" s="19"/>
      <c r="S424" s="19"/>
      <c r="T424" s="19"/>
      <c r="U424" s="19"/>
      <c r="V424" s="19"/>
    </row>
    <row r="425">
      <c r="A425" s="15">
        <v>45974.0</v>
      </c>
      <c r="B425" s="16" t="s">
        <v>54</v>
      </c>
      <c r="C425" s="16" t="s">
        <v>17</v>
      </c>
      <c r="D425" s="16" t="s">
        <v>497</v>
      </c>
      <c r="E425" s="16" t="s">
        <v>71</v>
      </c>
      <c r="F425" s="17" t="str">
        <f>IFERROR(__xludf.DUMMYFUNCTION("""COMPUTED_VALUE"""),"TLC-BE-BLM-1A-2")</f>
        <v>TLC-BE-BLM-1A-2</v>
      </c>
      <c r="G425" s="18">
        <v>25.0</v>
      </c>
      <c r="H425" s="16" t="s">
        <v>508</v>
      </c>
      <c r="I425" s="22" t="s">
        <v>691</v>
      </c>
      <c r="J425" s="16" t="s">
        <v>692</v>
      </c>
      <c r="K425" s="19"/>
      <c r="L425" s="16">
        <v>1.0</v>
      </c>
      <c r="M425" s="16" t="s">
        <v>662</v>
      </c>
      <c r="N425" s="20">
        <v>25.0</v>
      </c>
      <c r="O425" s="21" t="s">
        <v>22</v>
      </c>
      <c r="P425" s="19"/>
      <c r="Q425" s="19"/>
      <c r="R425" s="19"/>
      <c r="S425" s="19"/>
      <c r="T425" s="19"/>
      <c r="U425" s="19"/>
      <c r="V425" s="19"/>
    </row>
    <row r="426">
      <c r="A426" s="15">
        <v>45971.0</v>
      </c>
      <c r="B426" s="16" t="s">
        <v>252</v>
      </c>
      <c r="C426" s="16" t="s">
        <v>26</v>
      </c>
      <c r="D426" s="16" t="s">
        <v>688</v>
      </c>
      <c r="E426" s="16" t="s">
        <v>71</v>
      </c>
      <c r="F426" s="17" t="str">
        <f>IFERROR(__xludf.DUMMYFUNCTION("""COMPUTED_VALUE"""),"DSE-PH-BIL-1A-2")</f>
        <v>DSE-PH-BIL-1A-2</v>
      </c>
      <c r="G426" s="18">
        <v>5.79</v>
      </c>
      <c r="H426" s="16" t="s">
        <v>509</v>
      </c>
      <c r="I426" s="16" t="s">
        <v>509</v>
      </c>
      <c r="J426" s="16" t="s">
        <v>693</v>
      </c>
      <c r="K426" s="16">
        <v>11.58</v>
      </c>
      <c r="L426" s="16">
        <v>1.0</v>
      </c>
      <c r="M426" s="16" t="s">
        <v>662</v>
      </c>
      <c r="N426" s="20">
        <v>5.79</v>
      </c>
      <c r="O426" s="21" t="s">
        <v>22</v>
      </c>
      <c r="P426" s="19"/>
      <c r="Q426" s="19"/>
      <c r="R426" s="19"/>
      <c r="S426" s="19"/>
      <c r="T426" s="19"/>
      <c r="U426" s="19"/>
      <c r="V426" s="19"/>
    </row>
    <row r="427">
      <c r="A427" s="15">
        <v>45971.0</v>
      </c>
      <c r="B427" s="16" t="s">
        <v>252</v>
      </c>
      <c r="C427" s="16" t="s">
        <v>26</v>
      </c>
      <c r="D427" s="16" t="s">
        <v>688</v>
      </c>
      <c r="E427" s="16" t="s">
        <v>129</v>
      </c>
      <c r="F427" s="17" t="str">
        <f>IFERROR(__xludf.DUMMYFUNCTION("""COMPUTED_VALUE"""),"DSE-PH-BIL-1A-3")</f>
        <v>DSE-PH-BIL-1A-3</v>
      </c>
      <c r="G427" s="18">
        <v>5.79</v>
      </c>
      <c r="H427" s="16" t="s">
        <v>509</v>
      </c>
      <c r="I427" s="16" t="s">
        <v>509</v>
      </c>
      <c r="J427" s="16" t="s">
        <v>694</v>
      </c>
      <c r="K427" s="16">
        <v>11.58</v>
      </c>
      <c r="L427" s="16">
        <v>1.0</v>
      </c>
      <c r="M427" s="16" t="s">
        <v>662</v>
      </c>
      <c r="N427" s="20">
        <v>5.79</v>
      </c>
      <c r="O427" s="21" t="s">
        <v>22</v>
      </c>
      <c r="P427" s="19"/>
      <c r="Q427" s="19"/>
      <c r="R427" s="19"/>
      <c r="S427" s="19"/>
      <c r="T427" s="19"/>
      <c r="U427" s="19"/>
      <c r="V427" s="19"/>
    </row>
    <row r="428">
      <c r="A428" s="15">
        <v>45974.0</v>
      </c>
      <c r="B428" s="16" t="s">
        <v>54</v>
      </c>
      <c r="C428" s="16" t="s">
        <v>159</v>
      </c>
      <c r="D428" s="16" t="s">
        <v>695</v>
      </c>
      <c r="E428" s="16" t="s">
        <v>19</v>
      </c>
      <c r="F428" s="17" t="str">
        <f>IFERROR(__xludf.DUMMYFUNCTION("""COMPUTED_VALUE"""),"TLC-SYN-AU-1A")</f>
        <v>TLC-SYN-AU-1A</v>
      </c>
      <c r="G428" s="18">
        <v>20.0</v>
      </c>
      <c r="H428" s="16" t="s">
        <v>508</v>
      </c>
      <c r="I428" s="22" t="s">
        <v>691</v>
      </c>
      <c r="J428" s="16" t="s">
        <v>696</v>
      </c>
      <c r="K428" s="19"/>
      <c r="L428" s="16">
        <v>1.0</v>
      </c>
      <c r="M428" s="16" t="s">
        <v>662</v>
      </c>
      <c r="N428" s="20">
        <v>20.0</v>
      </c>
      <c r="O428" s="21" t="s">
        <v>22</v>
      </c>
      <c r="P428" s="19"/>
      <c r="Q428" s="19"/>
      <c r="R428" s="19"/>
      <c r="S428" s="19"/>
      <c r="T428" s="19"/>
      <c r="U428" s="19"/>
      <c r="V428" s="19"/>
    </row>
    <row r="429">
      <c r="A429" s="15">
        <v>45974.0</v>
      </c>
      <c r="B429" s="16" t="s">
        <v>54</v>
      </c>
      <c r="C429" s="16" t="s">
        <v>64</v>
      </c>
      <c r="D429" s="16" t="s">
        <v>697</v>
      </c>
      <c r="E429" s="16" t="s">
        <v>19</v>
      </c>
      <c r="F429" s="17" t="str">
        <f>IFERROR(__xludf.DUMMYFUNCTION("""COMPUTED_VALUE"""),"TLC-AL-VF-1A")</f>
        <v>TLC-AL-VF-1A</v>
      </c>
      <c r="G429" s="18">
        <v>40.0</v>
      </c>
      <c r="H429" s="16" t="s">
        <v>508</v>
      </c>
      <c r="I429" s="22" t="s">
        <v>691</v>
      </c>
      <c r="J429" s="16" t="s">
        <v>698</v>
      </c>
      <c r="K429" s="19"/>
      <c r="L429" s="16">
        <v>1.0</v>
      </c>
      <c r="M429" s="16" t="s">
        <v>38</v>
      </c>
      <c r="N429" s="20">
        <v>40.0</v>
      </c>
      <c r="O429" s="21" t="s">
        <v>22</v>
      </c>
      <c r="P429" s="19"/>
      <c r="Q429" s="19"/>
      <c r="R429" s="19"/>
      <c r="S429" s="19"/>
      <c r="T429" s="19"/>
      <c r="U429" s="19"/>
      <c r="V429" s="19"/>
    </row>
    <row r="430">
      <c r="A430" s="15">
        <v>45974.0</v>
      </c>
      <c r="B430" s="16" t="s">
        <v>54</v>
      </c>
      <c r="C430" s="16" t="s">
        <v>64</v>
      </c>
      <c r="D430" s="16" t="s">
        <v>699</v>
      </c>
      <c r="E430" s="16" t="s">
        <v>19</v>
      </c>
      <c r="F430" s="17" t="str">
        <f>IFERROR(__xludf.DUMMYFUNCTION("""COMPUTED_VALUE"""),"TLC-AL-TD-1A")</f>
        <v>TLC-AL-TD-1A</v>
      </c>
      <c r="G430" s="18">
        <v>16.0</v>
      </c>
      <c r="H430" s="16" t="s">
        <v>508</v>
      </c>
      <c r="I430" s="22" t="s">
        <v>691</v>
      </c>
      <c r="J430" s="22" t="s">
        <v>700</v>
      </c>
      <c r="K430" s="19"/>
      <c r="L430" s="16">
        <v>1.0</v>
      </c>
      <c r="M430" s="16" t="s">
        <v>38</v>
      </c>
      <c r="N430" s="20">
        <v>16.0</v>
      </c>
      <c r="O430" s="21" t="s">
        <v>22</v>
      </c>
      <c r="P430" s="19"/>
      <c r="Q430" s="19"/>
      <c r="R430" s="19"/>
      <c r="S430" s="19"/>
      <c r="T430" s="19"/>
      <c r="U430" s="19"/>
      <c r="V430" s="19"/>
    </row>
    <row r="431">
      <c r="A431" s="15"/>
      <c r="B431" s="16"/>
      <c r="C431" s="16"/>
      <c r="D431" s="16"/>
      <c r="E431" s="16"/>
      <c r="F431" s="17" t="str">
        <f>IFERROR(__xludf.DUMMYFUNCTION("""COMPUTED_VALUE"""),"")</f>
        <v/>
      </c>
      <c r="G431" s="18"/>
      <c r="H431" s="16"/>
      <c r="I431" s="16"/>
      <c r="J431" s="16"/>
      <c r="K431" s="16"/>
      <c r="L431" s="16"/>
      <c r="M431" s="19"/>
      <c r="N431" s="20" t="s">
        <v>39</v>
      </c>
      <c r="O431" s="21" t="s">
        <v>22</v>
      </c>
      <c r="P431" s="19"/>
      <c r="Q431" s="19"/>
      <c r="R431" s="19"/>
      <c r="S431" s="19"/>
      <c r="T431" s="19"/>
      <c r="U431" s="19"/>
      <c r="V431" s="19"/>
    </row>
    <row r="432">
      <c r="A432" s="15"/>
      <c r="B432" s="16"/>
      <c r="C432" s="16"/>
      <c r="D432" s="16"/>
      <c r="E432" s="16"/>
      <c r="F432" s="17" t="str">
        <f>IFERROR(__xludf.DUMMYFUNCTION("""COMPUTED_VALUE"""),"")</f>
        <v/>
      </c>
      <c r="G432" s="18"/>
      <c r="H432" s="16"/>
      <c r="I432" s="16"/>
      <c r="J432" s="16"/>
      <c r="K432" s="16"/>
      <c r="L432" s="16"/>
      <c r="M432" s="19"/>
      <c r="N432" s="20" t="s">
        <v>39</v>
      </c>
      <c r="O432" s="21" t="s">
        <v>22</v>
      </c>
      <c r="P432" s="19"/>
      <c r="Q432" s="19"/>
      <c r="R432" s="19"/>
      <c r="S432" s="19"/>
      <c r="T432" s="19"/>
      <c r="U432" s="19"/>
      <c r="V432" s="19"/>
    </row>
    <row r="433">
      <c r="A433" s="15">
        <v>45982.0</v>
      </c>
      <c r="B433" s="16" t="s">
        <v>505</v>
      </c>
      <c r="C433" s="16" t="s">
        <v>26</v>
      </c>
      <c r="D433" s="16" t="s">
        <v>701</v>
      </c>
      <c r="E433" s="16" t="s">
        <v>19</v>
      </c>
      <c r="F433" s="17" t="str">
        <f>IFERROR(__xludf.DUMMYFUNCTION("""COMPUTED_VALUE"""),"SS-PH-MI-1A")</f>
        <v>SS-PH-MI-1A</v>
      </c>
      <c r="G433" s="18">
        <v>2.9</v>
      </c>
      <c r="H433" s="16" t="s">
        <v>509</v>
      </c>
      <c r="I433" s="16" t="s">
        <v>509</v>
      </c>
      <c r="J433" s="16" t="s">
        <v>702</v>
      </c>
      <c r="K433" s="16">
        <v>5.8</v>
      </c>
      <c r="L433" s="16">
        <v>1.0</v>
      </c>
      <c r="M433" s="16" t="s">
        <v>662</v>
      </c>
      <c r="N433" s="20">
        <v>2.9</v>
      </c>
      <c r="O433" s="21" t="s">
        <v>22</v>
      </c>
      <c r="P433" s="19"/>
      <c r="Q433" s="19"/>
      <c r="R433" s="19"/>
      <c r="S433" s="19"/>
      <c r="T433" s="19"/>
      <c r="U433" s="19"/>
      <c r="V433" s="19"/>
    </row>
    <row r="434">
      <c r="A434" s="15">
        <v>45982.0</v>
      </c>
      <c r="B434" s="16" t="s">
        <v>505</v>
      </c>
      <c r="C434" s="16" t="s">
        <v>26</v>
      </c>
      <c r="D434" s="16" t="s">
        <v>701</v>
      </c>
      <c r="E434" s="16" t="s">
        <v>129</v>
      </c>
      <c r="F434" s="17" t="str">
        <f>IFERROR(__xludf.DUMMYFUNCTION("""COMPUTED_VALUE"""),"SS-PH-MI-1A-3")</f>
        <v>SS-PH-MI-1A-3</v>
      </c>
      <c r="G434" s="18">
        <v>2.9</v>
      </c>
      <c r="H434" s="16" t="s">
        <v>509</v>
      </c>
      <c r="I434" s="16" t="s">
        <v>509</v>
      </c>
      <c r="J434" s="16" t="s">
        <v>703</v>
      </c>
      <c r="K434" s="16">
        <v>5.8</v>
      </c>
      <c r="L434" s="16">
        <v>1.0</v>
      </c>
      <c r="M434" s="16" t="s">
        <v>662</v>
      </c>
      <c r="N434" s="20">
        <v>2.9</v>
      </c>
      <c r="O434" s="21" t="s">
        <v>22</v>
      </c>
      <c r="P434" s="19"/>
      <c r="Q434" s="19"/>
      <c r="R434" s="19"/>
      <c r="S434" s="19"/>
      <c r="T434" s="19"/>
      <c r="U434" s="19"/>
      <c r="V434" s="19"/>
    </row>
    <row r="435">
      <c r="A435" s="15">
        <v>45982.0</v>
      </c>
      <c r="B435" s="16" t="s">
        <v>505</v>
      </c>
      <c r="C435" s="16" t="s">
        <v>26</v>
      </c>
      <c r="D435" s="16" t="s">
        <v>701</v>
      </c>
      <c r="E435" s="16" t="s">
        <v>71</v>
      </c>
      <c r="F435" s="17" t="str">
        <f>IFERROR(__xludf.DUMMYFUNCTION("""COMPUTED_VALUE"""),"SS-PH-MI-1A-2")</f>
        <v>SS-PH-MI-1A-2</v>
      </c>
      <c r="G435" s="18">
        <v>2.9</v>
      </c>
      <c r="H435" s="16" t="s">
        <v>509</v>
      </c>
      <c r="I435" s="16" t="s">
        <v>509</v>
      </c>
      <c r="J435" s="16" t="s">
        <v>704</v>
      </c>
      <c r="K435" s="16">
        <v>5.8</v>
      </c>
      <c r="L435" s="16">
        <v>1.0</v>
      </c>
      <c r="M435" s="16" t="s">
        <v>662</v>
      </c>
      <c r="N435" s="20">
        <v>2.9</v>
      </c>
      <c r="O435" s="21" t="s">
        <v>22</v>
      </c>
      <c r="P435" s="19"/>
      <c r="Q435" s="19"/>
      <c r="R435" s="19"/>
      <c r="S435" s="19"/>
      <c r="T435" s="19"/>
      <c r="U435" s="19"/>
      <c r="V435" s="19"/>
    </row>
    <row r="436">
      <c r="A436" s="15">
        <v>45982.0</v>
      </c>
      <c r="B436" s="16" t="s">
        <v>505</v>
      </c>
      <c r="C436" s="16" t="s">
        <v>26</v>
      </c>
      <c r="D436" s="16" t="s">
        <v>701</v>
      </c>
      <c r="E436" s="16" t="s">
        <v>143</v>
      </c>
      <c r="F436" s="17" t="str">
        <f>IFERROR(__xludf.DUMMYFUNCTION("""COMPUTED_VALUE"""),"SS-PH-MI-1A-4")</f>
        <v>SS-PH-MI-1A-4</v>
      </c>
      <c r="G436" s="18">
        <v>2.9</v>
      </c>
      <c r="H436" s="16" t="s">
        <v>509</v>
      </c>
      <c r="I436" s="16" t="s">
        <v>509</v>
      </c>
      <c r="J436" s="16" t="s">
        <v>705</v>
      </c>
      <c r="K436" s="16">
        <v>5.8</v>
      </c>
      <c r="L436" s="16">
        <v>1.0</v>
      </c>
      <c r="M436" s="16" t="s">
        <v>662</v>
      </c>
      <c r="N436" s="20">
        <v>2.9</v>
      </c>
      <c r="O436" s="21" t="s">
        <v>22</v>
      </c>
      <c r="P436" s="19"/>
      <c r="Q436" s="19"/>
      <c r="R436" s="19"/>
      <c r="S436" s="19"/>
      <c r="T436" s="19"/>
      <c r="U436" s="19"/>
      <c r="V436" s="19"/>
    </row>
    <row r="437">
      <c r="A437" s="15">
        <v>45982.0</v>
      </c>
      <c r="B437" s="16" t="s">
        <v>505</v>
      </c>
      <c r="C437" s="16" t="s">
        <v>26</v>
      </c>
      <c r="D437" s="16" t="s">
        <v>701</v>
      </c>
      <c r="E437" s="16" t="s">
        <v>145</v>
      </c>
      <c r="F437" s="17" t="str">
        <f>IFERROR(__xludf.DUMMYFUNCTION("""COMPUTED_VALUE"""),"SS-PH-MI-1A-5")</f>
        <v>SS-PH-MI-1A-5</v>
      </c>
      <c r="G437" s="18">
        <v>2.9</v>
      </c>
      <c r="H437" s="16" t="s">
        <v>509</v>
      </c>
      <c r="I437" s="16" t="s">
        <v>509</v>
      </c>
      <c r="J437" s="16" t="s">
        <v>706</v>
      </c>
      <c r="K437" s="16">
        <v>5.8</v>
      </c>
      <c r="L437" s="16">
        <v>1.0</v>
      </c>
      <c r="M437" s="16" t="s">
        <v>662</v>
      </c>
      <c r="N437" s="20">
        <v>2.9</v>
      </c>
      <c r="O437" s="21" t="s">
        <v>22</v>
      </c>
      <c r="P437" s="19"/>
      <c r="Q437" s="19"/>
      <c r="R437" s="19"/>
      <c r="S437" s="19"/>
      <c r="T437" s="19"/>
      <c r="U437" s="19"/>
      <c r="V437" s="19"/>
    </row>
    <row r="438">
      <c r="A438" s="15">
        <v>45982.0</v>
      </c>
      <c r="B438" s="16" t="s">
        <v>505</v>
      </c>
      <c r="C438" s="16" t="s">
        <v>26</v>
      </c>
      <c r="D438" s="16" t="s">
        <v>701</v>
      </c>
      <c r="E438" s="16" t="s">
        <v>265</v>
      </c>
      <c r="F438" s="17" t="str">
        <f>IFERROR(__xludf.DUMMYFUNCTION("""COMPUTED_VALUE"""),"SS-PH-MI-1A-6")</f>
        <v>SS-PH-MI-1A-6</v>
      </c>
      <c r="G438" s="18">
        <v>2.9</v>
      </c>
      <c r="H438" s="16" t="s">
        <v>509</v>
      </c>
      <c r="I438" s="16" t="s">
        <v>509</v>
      </c>
      <c r="J438" s="22" t="s">
        <v>707</v>
      </c>
      <c r="K438" s="16">
        <v>5.8</v>
      </c>
      <c r="L438" s="16">
        <v>1.0</v>
      </c>
      <c r="M438" s="16" t="s">
        <v>662</v>
      </c>
      <c r="N438" s="20">
        <v>2.9</v>
      </c>
      <c r="O438" s="21" t="s">
        <v>22</v>
      </c>
      <c r="P438" s="19"/>
      <c r="Q438" s="19"/>
      <c r="R438" s="19"/>
      <c r="S438" s="19"/>
      <c r="T438" s="19"/>
      <c r="U438" s="19"/>
      <c r="V438" s="19"/>
    </row>
    <row r="439">
      <c r="A439" s="15">
        <v>45982.0</v>
      </c>
      <c r="B439" s="16" t="s">
        <v>505</v>
      </c>
      <c r="C439" s="16" t="s">
        <v>26</v>
      </c>
      <c r="D439" s="16" t="s">
        <v>701</v>
      </c>
      <c r="E439" s="16" t="s">
        <v>267</v>
      </c>
      <c r="F439" s="17" t="str">
        <f>IFERROR(__xludf.DUMMYFUNCTION("""COMPUTED_VALUE"""),"SS-PH-MI-1A-7")</f>
        <v>SS-PH-MI-1A-7</v>
      </c>
      <c r="G439" s="18">
        <v>2.9</v>
      </c>
      <c r="H439" s="16" t="s">
        <v>509</v>
      </c>
      <c r="I439" s="16" t="s">
        <v>509</v>
      </c>
      <c r="J439" s="16" t="s">
        <v>708</v>
      </c>
      <c r="K439" s="16">
        <v>5.8</v>
      </c>
      <c r="L439" s="16">
        <v>1.0</v>
      </c>
      <c r="M439" s="16" t="s">
        <v>662</v>
      </c>
      <c r="N439" s="20">
        <v>2.9</v>
      </c>
      <c r="O439" s="21" t="s">
        <v>22</v>
      </c>
      <c r="P439" s="19"/>
      <c r="Q439" s="19"/>
      <c r="R439" s="19"/>
      <c r="S439" s="19"/>
      <c r="T439" s="19"/>
      <c r="U439" s="19"/>
      <c r="V439" s="19"/>
    </row>
    <row r="440">
      <c r="A440" s="15">
        <v>45982.0</v>
      </c>
      <c r="B440" s="16" t="s">
        <v>505</v>
      </c>
      <c r="C440" s="16" t="s">
        <v>26</v>
      </c>
      <c r="D440" s="16" t="s">
        <v>701</v>
      </c>
      <c r="E440" s="16" t="s">
        <v>269</v>
      </c>
      <c r="F440" s="17" t="str">
        <f>IFERROR(__xludf.DUMMYFUNCTION("""COMPUTED_VALUE"""),"SS-PH-MI-1A-8")</f>
        <v>SS-PH-MI-1A-8</v>
      </c>
      <c r="G440" s="18">
        <v>2.9</v>
      </c>
      <c r="H440" s="16" t="s">
        <v>509</v>
      </c>
      <c r="I440" s="16" t="s">
        <v>509</v>
      </c>
      <c r="J440" s="16" t="s">
        <v>709</v>
      </c>
      <c r="K440" s="16">
        <v>5.8</v>
      </c>
      <c r="L440" s="16">
        <v>1.0</v>
      </c>
      <c r="M440" s="16" t="s">
        <v>662</v>
      </c>
      <c r="N440" s="20">
        <v>2.9</v>
      </c>
      <c r="O440" s="21" t="s">
        <v>22</v>
      </c>
      <c r="P440" s="19"/>
      <c r="Q440" s="19"/>
      <c r="R440" s="19"/>
      <c r="S440" s="19"/>
      <c r="T440" s="19"/>
      <c r="U440" s="19"/>
      <c r="V440" s="19"/>
    </row>
    <row r="441">
      <c r="A441" s="15">
        <v>45982.0</v>
      </c>
      <c r="B441" s="16" t="s">
        <v>505</v>
      </c>
      <c r="C441" s="16" t="s">
        <v>26</v>
      </c>
      <c r="D441" s="16" t="s">
        <v>701</v>
      </c>
      <c r="E441" s="16" t="s">
        <v>271</v>
      </c>
      <c r="F441" s="17" t="str">
        <f>IFERROR(__xludf.DUMMYFUNCTION("""COMPUTED_VALUE"""),"SS-PH-MI-1A-9")</f>
        <v>SS-PH-MI-1A-9</v>
      </c>
      <c r="G441" s="18">
        <v>2.9</v>
      </c>
      <c r="H441" s="16" t="s">
        <v>509</v>
      </c>
      <c r="I441" s="16" t="s">
        <v>509</v>
      </c>
      <c r="J441" s="16" t="s">
        <v>710</v>
      </c>
      <c r="K441" s="16">
        <v>5.8</v>
      </c>
      <c r="L441" s="16">
        <v>1.0</v>
      </c>
      <c r="M441" s="16" t="s">
        <v>662</v>
      </c>
      <c r="N441" s="20">
        <v>2.9</v>
      </c>
      <c r="O441" s="21" t="s">
        <v>22</v>
      </c>
      <c r="P441" s="19"/>
      <c r="Q441" s="19"/>
      <c r="R441" s="19"/>
      <c r="S441" s="19"/>
      <c r="T441" s="19"/>
      <c r="U441" s="19"/>
      <c r="V441" s="19"/>
    </row>
    <row r="442">
      <c r="A442" s="15">
        <v>45982.0</v>
      </c>
      <c r="B442" s="16" t="s">
        <v>505</v>
      </c>
      <c r="C442" s="16" t="s">
        <v>26</v>
      </c>
      <c r="D442" s="16" t="s">
        <v>701</v>
      </c>
      <c r="E442" s="16" t="s">
        <v>298</v>
      </c>
      <c r="F442" s="17" t="str">
        <f>IFERROR(__xludf.DUMMYFUNCTION("""COMPUTED_VALUE"""),"SS-PH-MI-1A-10")</f>
        <v>SS-PH-MI-1A-10</v>
      </c>
      <c r="G442" s="18">
        <v>2.9</v>
      </c>
      <c r="H442" s="16" t="s">
        <v>509</v>
      </c>
      <c r="I442" s="16" t="s">
        <v>509</v>
      </c>
      <c r="J442" s="16" t="s">
        <v>711</v>
      </c>
      <c r="K442" s="16">
        <v>5.8</v>
      </c>
      <c r="L442" s="16">
        <v>1.0</v>
      </c>
      <c r="M442" s="16" t="s">
        <v>662</v>
      </c>
      <c r="N442" s="20">
        <v>2.9</v>
      </c>
      <c r="O442" s="21" t="s">
        <v>22</v>
      </c>
      <c r="P442" s="19"/>
      <c r="Q442" s="19"/>
      <c r="R442" s="19"/>
      <c r="S442" s="19"/>
      <c r="T442" s="19"/>
      <c r="U442" s="19"/>
      <c r="V442" s="19"/>
    </row>
    <row r="443">
      <c r="A443" s="15">
        <v>45982.0</v>
      </c>
      <c r="B443" s="16" t="s">
        <v>505</v>
      </c>
      <c r="C443" s="16" t="s">
        <v>26</v>
      </c>
      <c r="D443" s="16" t="s">
        <v>701</v>
      </c>
      <c r="E443" s="16" t="s">
        <v>300</v>
      </c>
      <c r="F443" s="17" t="str">
        <f>IFERROR(__xludf.DUMMYFUNCTION("""COMPUTED_VALUE"""),"SS-PH-MI-1A-11")</f>
        <v>SS-PH-MI-1A-11</v>
      </c>
      <c r="G443" s="18">
        <v>2.9</v>
      </c>
      <c r="H443" s="16" t="s">
        <v>509</v>
      </c>
      <c r="I443" s="16" t="s">
        <v>509</v>
      </c>
      <c r="J443" s="16" t="s">
        <v>712</v>
      </c>
      <c r="K443" s="16">
        <v>5.8</v>
      </c>
      <c r="L443" s="16">
        <v>1.0</v>
      </c>
      <c r="M443" s="16" t="s">
        <v>662</v>
      </c>
      <c r="N443" s="20">
        <v>2.9</v>
      </c>
      <c r="O443" s="21" t="s">
        <v>22</v>
      </c>
      <c r="P443" s="19"/>
      <c r="Q443" s="19"/>
      <c r="R443" s="19"/>
      <c r="S443" s="19"/>
      <c r="T443" s="19"/>
      <c r="U443" s="19"/>
      <c r="V443" s="19"/>
    </row>
    <row r="444">
      <c r="A444" s="15">
        <v>45982.0</v>
      </c>
      <c r="B444" s="16" t="s">
        <v>505</v>
      </c>
      <c r="C444" s="16" t="s">
        <v>26</v>
      </c>
      <c r="D444" s="16" t="s">
        <v>701</v>
      </c>
      <c r="E444" s="16" t="s">
        <v>302</v>
      </c>
      <c r="F444" s="17" t="str">
        <f>IFERROR(__xludf.DUMMYFUNCTION("""COMPUTED_VALUE"""),"SS-PH-MI-1A-12")</f>
        <v>SS-PH-MI-1A-12</v>
      </c>
      <c r="G444" s="18">
        <v>2.9</v>
      </c>
      <c r="H444" s="16" t="s">
        <v>509</v>
      </c>
      <c r="I444" s="16" t="s">
        <v>509</v>
      </c>
      <c r="J444" s="16" t="s">
        <v>713</v>
      </c>
      <c r="K444" s="16">
        <v>5.8</v>
      </c>
      <c r="L444" s="16">
        <v>1.0</v>
      </c>
      <c r="M444" s="16" t="s">
        <v>662</v>
      </c>
      <c r="N444" s="20">
        <v>2.9</v>
      </c>
      <c r="O444" s="21" t="s">
        <v>22</v>
      </c>
      <c r="P444" s="19"/>
      <c r="Q444" s="19"/>
      <c r="R444" s="19"/>
      <c r="S444" s="19"/>
      <c r="T444" s="19"/>
      <c r="U444" s="19"/>
      <c r="V444" s="19"/>
    </row>
    <row r="445">
      <c r="A445" s="15">
        <v>45982.0</v>
      </c>
      <c r="B445" s="16" t="s">
        <v>505</v>
      </c>
      <c r="C445" s="16" t="s">
        <v>26</v>
      </c>
      <c r="D445" s="16" t="s">
        <v>701</v>
      </c>
      <c r="E445" s="16" t="s">
        <v>544</v>
      </c>
      <c r="F445" s="17" t="str">
        <f>IFERROR(__xludf.DUMMYFUNCTION("""COMPUTED_VALUE"""),"SS-PH-MI-1A-13")</f>
        <v>SS-PH-MI-1A-13</v>
      </c>
      <c r="G445" s="18">
        <v>2.9</v>
      </c>
      <c r="H445" s="16" t="s">
        <v>509</v>
      </c>
      <c r="I445" s="16" t="s">
        <v>509</v>
      </c>
      <c r="J445" s="16" t="s">
        <v>714</v>
      </c>
      <c r="K445" s="16">
        <v>5.8</v>
      </c>
      <c r="L445" s="16">
        <v>1.0</v>
      </c>
      <c r="M445" s="16" t="s">
        <v>662</v>
      </c>
      <c r="N445" s="20">
        <v>2.9</v>
      </c>
      <c r="O445" s="21" t="s">
        <v>22</v>
      </c>
      <c r="P445" s="19"/>
      <c r="Q445" s="19"/>
      <c r="R445" s="19"/>
      <c r="S445" s="19"/>
      <c r="T445" s="19"/>
      <c r="U445" s="19"/>
      <c r="V445" s="19"/>
    </row>
    <row r="446">
      <c r="A446" s="15">
        <v>45982.0</v>
      </c>
      <c r="B446" s="16" t="s">
        <v>505</v>
      </c>
      <c r="C446" s="16" t="s">
        <v>26</v>
      </c>
      <c r="D446" s="16" t="s">
        <v>701</v>
      </c>
      <c r="E446" s="16" t="s">
        <v>546</v>
      </c>
      <c r="F446" s="17" t="str">
        <f>IFERROR(__xludf.DUMMYFUNCTION("""COMPUTED_VALUE"""),"SS-PH-MI-1A-14")</f>
        <v>SS-PH-MI-1A-14</v>
      </c>
      <c r="G446" s="18">
        <v>2.9</v>
      </c>
      <c r="H446" s="16" t="s">
        <v>509</v>
      </c>
      <c r="I446" s="16" t="s">
        <v>509</v>
      </c>
      <c r="J446" s="16" t="s">
        <v>715</v>
      </c>
      <c r="K446" s="16">
        <v>5.8</v>
      </c>
      <c r="L446" s="16">
        <v>1.0</v>
      </c>
      <c r="M446" s="16" t="s">
        <v>662</v>
      </c>
      <c r="N446" s="20">
        <v>2.9</v>
      </c>
      <c r="O446" s="21" t="s">
        <v>22</v>
      </c>
      <c r="P446" s="19"/>
      <c r="Q446" s="19"/>
      <c r="R446" s="19"/>
      <c r="S446" s="19"/>
      <c r="T446" s="19"/>
      <c r="U446" s="19"/>
      <c r="V446" s="19"/>
    </row>
    <row r="447">
      <c r="A447" s="15">
        <v>45982.0</v>
      </c>
      <c r="B447" s="16" t="s">
        <v>505</v>
      </c>
      <c r="C447" s="16" t="s">
        <v>26</v>
      </c>
      <c r="D447" s="16" t="s">
        <v>701</v>
      </c>
      <c r="E447" s="16" t="s">
        <v>548</v>
      </c>
      <c r="F447" s="17" t="str">
        <f>IFERROR(__xludf.DUMMYFUNCTION("""COMPUTED_VALUE"""),"SS-PH-MI-1A-15")</f>
        <v>SS-PH-MI-1A-15</v>
      </c>
      <c r="G447" s="18">
        <v>2.9</v>
      </c>
      <c r="H447" s="16" t="s">
        <v>509</v>
      </c>
      <c r="I447" s="16" t="s">
        <v>509</v>
      </c>
      <c r="J447" s="16" t="s">
        <v>716</v>
      </c>
      <c r="K447" s="16">
        <v>5.8</v>
      </c>
      <c r="L447" s="16">
        <v>1.0</v>
      </c>
      <c r="M447" s="16" t="s">
        <v>662</v>
      </c>
      <c r="N447" s="20">
        <v>2.9</v>
      </c>
      <c r="O447" s="21" t="s">
        <v>22</v>
      </c>
      <c r="P447" s="19"/>
      <c r="Q447" s="19"/>
      <c r="R447" s="19"/>
      <c r="S447" s="19"/>
      <c r="T447" s="19"/>
      <c r="U447" s="19"/>
      <c r="V447" s="19"/>
    </row>
    <row r="448">
      <c r="A448" s="15">
        <v>45982.0</v>
      </c>
      <c r="B448" s="16" t="s">
        <v>505</v>
      </c>
      <c r="C448" s="16" t="s">
        <v>26</v>
      </c>
      <c r="D448" s="16" t="s">
        <v>701</v>
      </c>
      <c r="E448" s="16" t="s">
        <v>550</v>
      </c>
      <c r="F448" s="17" t="str">
        <f>IFERROR(__xludf.DUMMYFUNCTION("""COMPUTED_VALUE"""),"SS-PH-MI-1A-16")</f>
        <v>SS-PH-MI-1A-16</v>
      </c>
      <c r="G448" s="18">
        <v>2.9</v>
      </c>
      <c r="H448" s="16" t="s">
        <v>509</v>
      </c>
      <c r="I448" s="16" t="s">
        <v>509</v>
      </c>
      <c r="J448" s="16" t="s">
        <v>717</v>
      </c>
      <c r="K448" s="16">
        <v>5.8</v>
      </c>
      <c r="L448" s="16">
        <v>1.0</v>
      </c>
      <c r="M448" s="16" t="s">
        <v>662</v>
      </c>
      <c r="N448" s="20">
        <v>2.9</v>
      </c>
      <c r="O448" s="21" t="s">
        <v>22</v>
      </c>
      <c r="P448" s="19"/>
      <c r="Q448" s="19"/>
      <c r="R448" s="19"/>
      <c r="S448" s="19"/>
      <c r="T448" s="19"/>
      <c r="U448" s="19"/>
      <c r="V448" s="19"/>
    </row>
    <row r="449">
      <c r="A449" s="15">
        <v>45982.0</v>
      </c>
      <c r="B449" s="16" t="s">
        <v>505</v>
      </c>
      <c r="C449" s="16" t="s">
        <v>26</v>
      </c>
      <c r="D449" s="16" t="s">
        <v>701</v>
      </c>
      <c r="E449" s="16" t="s">
        <v>552</v>
      </c>
      <c r="F449" s="17" t="str">
        <f>IFERROR(__xludf.DUMMYFUNCTION("""COMPUTED_VALUE"""),"SS-PH-MI-1A-17")</f>
        <v>SS-PH-MI-1A-17</v>
      </c>
      <c r="G449" s="18">
        <v>2.9</v>
      </c>
      <c r="H449" s="16" t="s">
        <v>509</v>
      </c>
      <c r="I449" s="16" t="s">
        <v>509</v>
      </c>
      <c r="J449" s="16" t="s">
        <v>718</v>
      </c>
      <c r="K449" s="16">
        <v>5.8</v>
      </c>
      <c r="L449" s="16">
        <v>1.0</v>
      </c>
      <c r="M449" s="16" t="s">
        <v>662</v>
      </c>
      <c r="N449" s="20">
        <v>2.9</v>
      </c>
      <c r="O449" s="21" t="s">
        <v>22</v>
      </c>
      <c r="P449" s="19"/>
      <c r="Q449" s="19"/>
      <c r="R449" s="19"/>
      <c r="S449" s="19"/>
      <c r="T449" s="19"/>
      <c r="U449" s="19"/>
      <c r="V449" s="19"/>
    </row>
    <row r="450">
      <c r="A450" s="15">
        <v>45982.0</v>
      </c>
      <c r="B450" s="16" t="s">
        <v>505</v>
      </c>
      <c r="C450" s="16" t="s">
        <v>26</v>
      </c>
      <c r="D450" s="16" t="s">
        <v>701</v>
      </c>
      <c r="E450" s="16" t="s">
        <v>554</v>
      </c>
      <c r="F450" s="17" t="str">
        <f>IFERROR(__xludf.DUMMYFUNCTION("""COMPUTED_VALUE"""),"SS-PH-MI-1A-18")</f>
        <v>SS-PH-MI-1A-18</v>
      </c>
      <c r="G450" s="18">
        <v>2.9</v>
      </c>
      <c r="H450" s="16" t="s">
        <v>509</v>
      </c>
      <c r="I450" s="16" t="s">
        <v>509</v>
      </c>
      <c r="J450" s="16" t="s">
        <v>719</v>
      </c>
      <c r="K450" s="16">
        <v>5.8</v>
      </c>
      <c r="L450" s="16">
        <v>1.0</v>
      </c>
      <c r="M450" s="16" t="s">
        <v>662</v>
      </c>
      <c r="N450" s="20">
        <v>2.9</v>
      </c>
      <c r="O450" s="21" t="s">
        <v>22</v>
      </c>
      <c r="P450" s="19"/>
      <c r="Q450" s="19"/>
      <c r="R450" s="19"/>
      <c r="S450" s="19"/>
      <c r="T450" s="19"/>
      <c r="U450" s="19"/>
      <c r="V450" s="19"/>
    </row>
    <row r="451">
      <c r="A451" s="15">
        <v>45982.0</v>
      </c>
      <c r="B451" s="16" t="s">
        <v>505</v>
      </c>
      <c r="C451" s="16" t="s">
        <v>26</v>
      </c>
      <c r="D451" s="16" t="s">
        <v>701</v>
      </c>
      <c r="E451" s="16" t="s">
        <v>556</v>
      </c>
      <c r="F451" s="17" t="str">
        <f>IFERROR(__xludf.DUMMYFUNCTION("""COMPUTED_VALUE"""),"SS-PH-MI-1A-19")</f>
        <v>SS-PH-MI-1A-19</v>
      </c>
      <c r="G451" s="18">
        <v>2.9</v>
      </c>
      <c r="H451" s="16" t="s">
        <v>509</v>
      </c>
      <c r="I451" s="16" t="s">
        <v>509</v>
      </c>
      <c r="J451" s="16" t="s">
        <v>720</v>
      </c>
      <c r="K451" s="16">
        <v>5.8</v>
      </c>
      <c r="L451" s="16">
        <v>1.0</v>
      </c>
      <c r="M451" s="16" t="s">
        <v>662</v>
      </c>
      <c r="N451" s="20">
        <v>2.9</v>
      </c>
      <c r="O451" s="21" t="s">
        <v>22</v>
      </c>
      <c r="P451" s="19"/>
      <c r="Q451" s="19"/>
      <c r="R451" s="19"/>
      <c r="S451" s="19"/>
      <c r="T451" s="19"/>
      <c r="U451" s="19"/>
      <c r="V451" s="19"/>
    </row>
    <row r="452">
      <c r="A452" s="15">
        <v>45982.0</v>
      </c>
      <c r="B452" s="16" t="s">
        <v>505</v>
      </c>
      <c r="C452" s="16" t="s">
        <v>26</v>
      </c>
      <c r="D452" s="16" t="s">
        <v>701</v>
      </c>
      <c r="E452" s="16" t="s">
        <v>558</v>
      </c>
      <c r="F452" s="17" t="str">
        <f>IFERROR(__xludf.DUMMYFUNCTION("""COMPUTED_VALUE"""),"SS-PH-MI-1A-20")</f>
        <v>SS-PH-MI-1A-20</v>
      </c>
      <c r="G452" s="18">
        <v>2.9</v>
      </c>
      <c r="H452" s="16" t="s">
        <v>509</v>
      </c>
      <c r="I452" s="16" t="s">
        <v>509</v>
      </c>
      <c r="J452" s="16" t="s">
        <v>721</v>
      </c>
      <c r="K452" s="16">
        <v>5.8</v>
      </c>
      <c r="L452" s="16">
        <v>1.0</v>
      </c>
      <c r="M452" s="16" t="s">
        <v>662</v>
      </c>
      <c r="N452" s="20">
        <v>2.9</v>
      </c>
      <c r="O452" s="21" t="s">
        <v>22</v>
      </c>
      <c r="P452" s="19"/>
      <c r="Q452" s="19"/>
      <c r="R452" s="19"/>
      <c r="S452" s="19"/>
      <c r="T452" s="19"/>
      <c r="U452" s="19"/>
      <c r="V452" s="19"/>
    </row>
    <row r="453">
      <c r="A453" s="15">
        <v>45982.0</v>
      </c>
      <c r="B453" s="16" t="s">
        <v>505</v>
      </c>
      <c r="C453" s="16" t="s">
        <v>26</v>
      </c>
      <c r="D453" s="16" t="s">
        <v>701</v>
      </c>
      <c r="E453" s="16" t="s">
        <v>560</v>
      </c>
      <c r="F453" s="17" t="str">
        <f>IFERROR(__xludf.DUMMYFUNCTION("""COMPUTED_VALUE"""),"SS-PH-MI-1A-21")</f>
        <v>SS-PH-MI-1A-21</v>
      </c>
      <c r="G453" s="18">
        <v>2.9</v>
      </c>
      <c r="H453" s="16" t="s">
        <v>509</v>
      </c>
      <c r="I453" s="16" t="s">
        <v>509</v>
      </c>
      <c r="J453" s="16" t="s">
        <v>722</v>
      </c>
      <c r="K453" s="16">
        <v>5.8</v>
      </c>
      <c r="L453" s="16">
        <v>1.0</v>
      </c>
      <c r="M453" s="16" t="s">
        <v>662</v>
      </c>
      <c r="N453" s="20">
        <v>2.9</v>
      </c>
      <c r="O453" s="21" t="s">
        <v>22</v>
      </c>
      <c r="P453" s="19"/>
      <c r="Q453" s="19"/>
      <c r="R453" s="19"/>
      <c r="S453" s="19"/>
      <c r="T453" s="19"/>
      <c r="U453" s="19"/>
      <c r="V453" s="19"/>
    </row>
    <row r="454">
      <c r="A454" s="15">
        <v>45982.0</v>
      </c>
      <c r="B454" s="16" t="s">
        <v>505</v>
      </c>
      <c r="C454" s="16" t="s">
        <v>26</v>
      </c>
      <c r="D454" s="16" t="s">
        <v>701</v>
      </c>
      <c r="E454" s="16" t="s">
        <v>562</v>
      </c>
      <c r="F454" s="17" t="str">
        <f>IFERROR(__xludf.DUMMYFUNCTION("""COMPUTED_VALUE"""),"SS-PH-MI-1A-22")</f>
        <v>SS-PH-MI-1A-22</v>
      </c>
      <c r="G454" s="18">
        <v>2.9</v>
      </c>
      <c r="H454" s="16" t="s">
        <v>509</v>
      </c>
      <c r="I454" s="16" t="s">
        <v>509</v>
      </c>
      <c r="J454" s="16" t="s">
        <v>723</v>
      </c>
      <c r="K454" s="16">
        <v>5.8</v>
      </c>
      <c r="L454" s="16">
        <v>1.0</v>
      </c>
      <c r="M454" s="16" t="s">
        <v>662</v>
      </c>
      <c r="N454" s="20">
        <v>2.9</v>
      </c>
      <c r="O454" s="21" t="s">
        <v>22</v>
      </c>
      <c r="P454" s="19"/>
      <c r="Q454" s="19"/>
      <c r="R454" s="19"/>
      <c r="S454" s="19"/>
      <c r="T454" s="19"/>
      <c r="U454" s="19"/>
      <c r="V454" s="19"/>
    </row>
    <row r="455">
      <c r="A455" s="15">
        <v>45982.0</v>
      </c>
      <c r="B455" s="16" t="s">
        <v>505</v>
      </c>
      <c r="C455" s="16" t="s">
        <v>26</v>
      </c>
      <c r="D455" s="16" t="s">
        <v>701</v>
      </c>
      <c r="E455" s="16" t="s">
        <v>564</v>
      </c>
      <c r="F455" s="17" t="str">
        <f>IFERROR(__xludf.DUMMYFUNCTION("""COMPUTED_VALUE"""),"SS-PH-MI-1A-23")</f>
        <v>SS-PH-MI-1A-23</v>
      </c>
      <c r="G455" s="18">
        <v>2.9</v>
      </c>
      <c r="H455" s="16" t="s">
        <v>509</v>
      </c>
      <c r="I455" s="16" t="s">
        <v>509</v>
      </c>
      <c r="J455" s="16" t="s">
        <v>724</v>
      </c>
      <c r="K455" s="16">
        <v>5.8</v>
      </c>
      <c r="L455" s="16">
        <v>1.0</v>
      </c>
      <c r="M455" s="16" t="s">
        <v>662</v>
      </c>
      <c r="N455" s="20">
        <v>2.9</v>
      </c>
      <c r="O455" s="21" t="s">
        <v>22</v>
      </c>
      <c r="P455" s="19"/>
      <c r="Q455" s="19"/>
      <c r="R455" s="19"/>
      <c r="S455" s="19"/>
      <c r="T455" s="19"/>
      <c r="U455" s="19"/>
      <c r="V455" s="19"/>
    </row>
    <row r="456">
      <c r="A456" s="15">
        <v>45982.0</v>
      </c>
      <c r="B456" s="16" t="s">
        <v>505</v>
      </c>
      <c r="C456" s="16" t="s">
        <v>26</v>
      </c>
      <c r="D456" s="16" t="s">
        <v>701</v>
      </c>
      <c r="E456" s="16" t="s">
        <v>566</v>
      </c>
      <c r="F456" s="17" t="str">
        <f>IFERROR(__xludf.DUMMYFUNCTION("""COMPUTED_VALUE"""),"SS-PH-MI-1A-24")</f>
        <v>SS-PH-MI-1A-24</v>
      </c>
      <c r="G456" s="18">
        <v>2.9</v>
      </c>
      <c r="H456" s="16" t="s">
        <v>509</v>
      </c>
      <c r="I456" s="16" t="s">
        <v>509</v>
      </c>
      <c r="J456" s="16" t="s">
        <v>725</v>
      </c>
      <c r="K456" s="16">
        <v>5.8</v>
      </c>
      <c r="L456" s="16">
        <v>1.0</v>
      </c>
      <c r="M456" s="16" t="s">
        <v>662</v>
      </c>
      <c r="N456" s="20">
        <v>2.9</v>
      </c>
      <c r="O456" s="21" t="s">
        <v>22</v>
      </c>
      <c r="P456" s="19"/>
      <c r="Q456" s="19"/>
      <c r="R456" s="19"/>
      <c r="S456" s="19"/>
      <c r="T456" s="19"/>
      <c r="U456" s="19"/>
      <c r="V456" s="19"/>
    </row>
    <row r="457">
      <c r="A457" s="15">
        <v>45982.0</v>
      </c>
      <c r="B457" s="16" t="s">
        <v>505</v>
      </c>
      <c r="C457" s="16" t="s">
        <v>26</v>
      </c>
      <c r="D457" s="16" t="s">
        <v>701</v>
      </c>
      <c r="E457" s="16" t="s">
        <v>568</v>
      </c>
      <c r="F457" s="17" t="str">
        <f>IFERROR(__xludf.DUMMYFUNCTION("""COMPUTED_VALUE"""),"SS-PH-MI-1A-25")</f>
        <v>SS-PH-MI-1A-25</v>
      </c>
      <c r="G457" s="18">
        <v>2.9</v>
      </c>
      <c r="H457" s="16" t="s">
        <v>509</v>
      </c>
      <c r="I457" s="16" t="s">
        <v>509</v>
      </c>
      <c r="J457" s="16" t="s">
        <v>726</v>
      </c>
      <c r="K457" s="16">
        <v>5.8</v>
      </c>
      <c r="L457" s="16">
        <v>1.0</v>
      </c>
      <c r="M457" s="16" t="s">
        <v>662</v>
      </c>
      <c r="N457" s="20">
        <v>2.9</v>
      </c>
      <c r="O457" s="21" t="s">
        <v>22</v>
      </c>
      <c r="P457" s="19"/>
      <c r="Q457" s="19"/>
      <c r="R457" s="19"/>
      <c r="S457" s="19"/>
      <c r="T457" s="19"/>
      <c r="U457" s="19"/>
      <c r="V457" s="19"/>
    </row>
    <row r="458">
      <c r="A458" s="15">
        <v>45982.0</v>
      </c>
      <c r="B458" s="16" t="s">
        <v>505</v>
      </c>
      <c r="C458" s="16" t="s">
        <v>26</v>
      </c>
      <c r="D458" s="16" t="s">
        <v>701</v>
      </c>
      <c r="E458" s="16" t="s">
        <v>570</v>
      </c>
      <c r="F458" s="17" t="str">
        <f>IFERROR(__xludf.DUMMYFUNCTION("""COMPUTED_VALUE"""),"SS-PH-MI-1A-26")</f>
        <v>SS-PH-MI-1A-26</v>
      </c>
      <c r="G458" s="18">
        <v>2.9</v>
      </c>
      <c r="H458" s="16" t="s">
        <v>509</v>
      </c>
      <c r="I458" s="16" t="s">
        <v>509</v>
      </c>
      <c r="J458" s="16" t="s">
        <v>727</v>
      </c>
      <c r="K458" s="16">
        <v>5.8</v>
      </c>
      <c r="L458" s="16">
        <v>1.0</v>
      </c>
      <c r="M458" s="16" t="s">
        <v>662</v>
      </c>
      <c r="N458" s="20">
        <v>2.9</v>
      </c>
      <c r="O458" s="21" t="s">
        <v>22</v>
      </c>
      <c r="P458" s="19"/>
      <c r="Q458" s="19"/>
      <c r="R458" s="19"/>
      <c r="S458" s="19"/>
      <c r="T458" s="19"/>
      <c r="U458" s="19"/>
      <c r="V458" s="19"/>
    </row>
    <row r="459">
      <c r="A459" s="15">
        <v>45982.0</v>
      </c>
      <c r="B459" s="16" t="s">
        <v>505</v>
      </c>
      <c r="C459" s="16" t="s">
        <v>26</v>
      </c>
      <c r="D459" s="16" t="s">
        <v>701</v>
      </c>
      <c r="E459" s="16" t="s">
        <v>572</v>
      </c>
      <c r="F459" s="17" t="str">
        <f>IFERROR(__xludf.DUMMYFUNCTION("""COMPUTED_VALUE"""),"SS-PH-MI-1A-27")</f>
        <v>SS-PH-MI-1A-27</v>
      </c>
      <c r="G459" s="18">
        <v>2.9</v>
      </c>
      <c r="H459" s="16" t="s">
        <v>509</v>
      </c>
      <c r="I459" s="16" t="s">
        <v>509</v>
      </c>
      <c r="J459" s="16" t="s">
        <v>728</v>
      </c>
      <c r="K459" s="16">
        <v>5.8</v>
      </c>
      <c r="L459" s="16">
        <v>1.0</v>
      </c>
      <c r="M459" s="16" t="s">
        <v>662</v>
      </c>
      <c r="N459" s="20">
        <v>2.9</v>
      </c>
      <c r="O459" s="21" t="s">
        <v>22</v>
      </c>
      <c r="P459" s="19"/>
      <c r="Q459" s="19"/>
      <c r="R459" s="19"/>
      <c r="S459" s="19"/>
      <c r="T459" s="19"/>
      <c r="U459" s="19"/>
      <c r="V459" s="19"/>
    </row>
    <row r="460">
      <c r="A460" s="15">
        <v>45982.0</v>
      </c>
      <c r="B460" s="16" t="s">
        <v>505</v>
      </c>
      <c r="C460" s="16" t="s">
        <v>26</v>
      </c>
      <c r="D460" s="16" t="s">
        <v>701</v>
      </c>
      <c r="E460" s="16" t="s">
        <v>574</v>
      </c>
      <c r="F460" s="17" t="str">
        <f>IFERROR(__xludf.DUMMYFUNCTION("""COMPUTED_VALUE"""),"SS-PH-MI-1A-28")</f>
        <v>SS-PH-MI-1A-28</v>
      </c>
      <c r="G460" s="18">
        <v>2.9</v>
      </c>
      <c r="H460" s="16" t="s">
        <v>509</v>
      </c>
      <c r="I460" s="16" t="s">
        <v>509</v>
      </c>
      <c r="J460" s="16" t="s">
        <v>729</v>
      </c>
      <c r="K460" s="16">
        <v>5.8</v>
      </c>
      <c r="L460" s="16">
        <v>1.0</v>
      </c>
      <c r="M460" s="16" t="s">
        <v>662</v>
      </c>
      <c r="N460" s="20">
        <v>2.9</v>
      </c>
      <c r="O460" s="21" t="s">
        <v>22</v>
      </c>
      <c r="P460" s="19"/>
      <c r="Q460" s="19"/>
      <c r="R460" s="19"/>
      <c r="S460" s="19"/>
      <c r="T460" s="19"/>
      <c r="U460" s="19"/>
      <c r="V460" s="19"/>
    </row>
    <row r="461">
      <c r="A461" s="15">
        <v>45982.0</v>
      </c>
      <c r="B461" s="16" t="s">
        <v>505</v>
      </c>
      <c r="C461" s="16" t="s">
        <v>26</v>
      </c>
      <c r="D461" s="16" t="s">
        <v>701</v>
      </c>
      <c r="E461" s="16" t="s">
        <v>576</v>
      </c>
      <c r="F461" s="17" t="str">
        <f>IFERROR(__xludf.DUMMYFUNCTION("""COMPUTED_VALUE"""),"SS-PH-MI-1A-29")</f>
        <v>SS-PH-MI-1A-29</v>
      </c>
      <c r="G461" s="18">
        <v>2.9</v>
      </c>
      <c r="H461" s="16" t="s">
        <v>509</v>
      </c>
      <c r="I461" s="16" t="s">
        <v>509</v>
      </c>
      <c r="J461" s="16" t="s">
        <v>730</v>
      </c>
      <c r="K461" s="16">
        <v>5.8</v>
      </c>
      <c r="L461" s="16">
        <v>1.0</v>
      </c>
      <c r="M461" s="16" t="s">
        <v>662</v>
      </c>
      <c r="N461" s="20">
        <v>2.9</v>
      </c>
      <c r="O461" s="21" t="s">
        <v>22</v>
      </c>
      <c r="P461" s="19"/>
      <c r="Q461" s="19"/>
      <c r="R461" s="19"/>
      <c r="S461" s="19"/>
      <c r="T461" s="19"/>
      <c r="U461" s="19"/>
      <c r="V461" s="19"/>
    </row>
    <row r="462">
      <c r="A462" s="15">
        <v>45982.0</v>
      </c>
      <c r="B462" s="16" t="s">
        <v>505</v>
      </c>
      <c r="C462" s="16" t="s">
        <v>26</v>
      </c>
      <c r="D462" s="16" t="s">
        <v>701</v>
      </c>
      <c r="E462" s="16" t="s">
        <v>578</v>
      </c>
      <c r="F462" s="17" t="str">
        <f>IFERROR(__xludf.DUMMYFUNCTION("""COMPUTED_VALUE"""),"SS-PH-MI-1A-30")</f>
        <v>SS-PH-MI-1A-30</v>
      </c>
      <c r="G462" s="18">
        <v>2.9</v>
      </c>
      <c r="H462" s="16" t="s">
        <v>509</v>
      </c>
      <c r="I462" s="16" t="s">
        <v>509</v>
      </c>
      <c r="J462" s="16" t="s">
        <v>731</v>
      </c>
      <c r="K462" s="16">
        <v>5.8</v>
      </c>
      <c r="L462" s="16">
        <v>1.0</v>
      </c>
      <c r="M462" s="16" t="s">
        <v>662</v>
      </c>
      <c r="N462" s="20">
        <v>2.9</v>
      </c>
      <c r="O462" s="21" t="s">
        <v>22</v>
      </c>
      <c r="P462" s="19"/>
      <c r="Q462" s="19"/>
      <c r="R462" s="19"/>
      <c r="S462" s="19"/>
      <c r="T462" s="19"/>
      <c r="U462" s="19"/>
      <c r="V462" s="19"/>
    </row>
    <row r="463">
      <c r="A463" s="15">
        <v>45982.0</v>
      </c>
      <c r="B463" s="16" t="s">
        <v>505</v>
      </c>
      <c r="C463" s="16" t="s">
        <v>26</v>
      </c>
      <c r="D463" s="16" t="s">
        <v>701</v>
      </c>
      <c r="E463" s="16" t="s">
        <v>580</v>
      </c>
      <c r="F463" s="17" t="str">
        <f>IFERROR(__xludf.DUMMYFUNCTION("""COMPUTED_VALUE"""),"SS-PH-MI-1A-31")</f>
        <v>SS-PH-MI-1A-31</v>
      </c>
      <c r="G463" s="18">
        <v>2.9</v>
      </c>
      <c r="H463" s="16" t="s">
        <v>509</v>
      </c>
      <c r="I463" s="16" t="s">
        <v>509</v>
      </c>
      <c r="J463" s="16" t="s">
        <v>732</v>
      </c>
      <c r="K463" s="16">
        <v>5.8</v>
      </c>
      <c r="L463" s="16">
        <v>1.0</v>
      </c>
      <c r="M463" s="16" t="s">
        <v>662</v>
      </c>
      <c r="N463" s="20">
        <v>2.9</v>
      </c>
      <c r="O463" s="21" t="s">
        <v>22</v>
      </c>
      <c r="P463" s="19"/>
      <c r="Q463" s="19"/>
      <c r="R463" s="19"/>
      <c r="S463" s="19"/>
      <c r="T463" s="19"/>
      <c r="U463" s="19"/>
      <c r="V463" s="19"/>
    </row>
    <row r="464">
      <c r="A464" s="15">
        <v>45982.0</v>
      </c>
      <c r="B464" s="16" t="s">
        <v>505</v>
      </c>
      <c r="C464" s="16" t="s">
        <v>26</v>
      </c>
      <c r="D464" s="16" t="s">
        <v>701</v>
      </c>
      <c r="E464" s="16" t="s">
        <v>582</v>
      </c>
      <c r="F464" s="17" t="str">
        <f>IFERROR(__xludf.DUMMYFUNCTION("""COMPUTED_VALUE"""),"SS-PH-MI-1A-32")</f>
        <v>SS-PH-MI-1A-32</v>
      </c>
      <c r="G464" s="18">
        <v>2.9</v>
      </c>
      <c r="H464" s="16" t="s">
        <v>509</v>
      </c>
      <c r="I464" s="16" t="s">
        <v>509</v>
      </c>
      <c r="J464" s="16" t="s">
        <v>733</v>
      </c>
      <c r="K464" s="16">
        <v>5.8</v>
      </c>
      <c r="L464" s="16">
        <v>1.0</v>
      </c>
      <c r="M464" s="16" t="s">
        <v>662</v>
      </c>
      <c r="N464" s="20">
        <v>2.9</v>
      </c>
      <c r="O464" s="21" t="s">
        <v>22</v>
      </c>
      <c r="P464" s="19"/>
      <c r="Q464" s="19"/>
      <c r="R464" s="19"/>
      <c r="S464" s="19"/>
      <c r="T464" s="19"/>
      <c r="U464" s="19"/>
      <c r="V464" s="19"/>
    </row>
    <row r="465">
      <c r="A465" s="15">
        <v>45982.0</v>
      </c>
      <c r="B465" s="16" t="s">
        <v>505</v>
      </c>
      <c r="C465" s="16" t="s">
        <v>26</v>
      </c>
      <c r="D465" s="16" t="s">
        <v>701</v>
      </c>
      <c r="E465" s="16" t="s">
        <v>584</v>
      </c>
      <c r="F465" s="17" t="str">
        <f>IFERROR(__xludf.DUMMYFUNCTION("""COMPUTED_VALUE"""),"SS-PH-MI-1A-33")</f>
        <v>SS-PH-MI-1A-33</v>
      </c>
      <c r="G465" s="18">
        <v>2.9</v>
      </c>
      <c r="H465" s="16" t="s">
        <v>509</v>
      </c>
      <c r="I465" s="16" t="s">
        <v>509</v>
      </c>
      <c r="J465" s="16" t="s">
        <v>734</v>
      </c>
      <c r="K465" s="16">
        <v>5.8</v>
      </c>
      <c r="L465" s="16">
        <v>1.0</v>
      </c>
      <c r="M465" s="16" t="s">
        <v>662</v>
      </c>
      <c r="N465" s="20">
        <v>2.9</v>
      </c>
      <c r="O465" s="21" t="s">
        <v>22</v>
      </c>
      <c r="P465" s="19"/>
      <c r="Q465" s="19"/>
      <c r="R465" s="19"/>
      <c r="S465" s="19"/>
      <c r="T465" s="19"/>
      <c r="U465" s="19"/>
      <c r="V465" s="19"/>
    </row>
    <row r="466">
      <c r="A466" s="15">
        <v>45982.0</v>
      </c>
      <c r="B466" s="16" t="s">
        <v>505</v>
      </c>
      <c r="C466" s="16" t="s">
        <v>26</v>
      </c>
      <c r="D466" s="16" t="s">
        <v>701</v>
      </c>
      <c r="E466" s="16" t="s">
        <v>586</v>
      </c>
      <c r="F466" s="17" t="str">
        <f>IFERROR(__xludf.DUMMYFUNCTION("""COMPUTED_VALUE"""),"SS-PH-MI-1A-34")</f>
        <v>SS-PH-MI-1A-34</v>
      </c>
      <c r="G466" s="18">
        <v>2.9</v>
      </c>
      <c r="H466" s="16" t="s">
        <v>509</v>
      </c>
      <c r="I466" s="16" t="s">
        <v>509</v>
      </c>
      <c r="J466" s="16" t="s">
        <v>735</v>
      </c>
      <c r="K466" s="16">
        <v>5.8</v>
      </c>
      <c r="L466" s="16">
        <v>1.0</v>
      </c>
      <c r="M466" s="16" t="s">
        <v>662</v>
      </c>
      <c r="N466" s="20">
        <v>2.9</v>
      </c>
      <c r="O466" s="21" t="s">
        <v>22</v>
      </c>
      <c r="P466" s="19"/>
      <c r="Q466" s="19"/>
      <c r="R466" s="19"/>
      <c r="S466" s="19"/>
      <c r="T466" s="19"/>
      <c r="U466" s="19"/>
      <c r="V466" s="19"/>
    </row>
    <row r="467">
      <c r="A467" s="15"/>
      <c r="B467" s="16"/>
      <c r="C467" s="16"/>
      <c r="D467" s="16"/>
      <c r="E467" s="16"/>
      <c r="F467" s="17" t="str">
        <f>IFERROR(__xludf.DUMMYFUNCTION("""COMPUTED_VALUE"""),"")</f>
        <v/>
      </c>
      <c r="G467" s="18"/>
      <c r="H467" s="16"/>
      <c r="I467" s="16"/>
      <c r="J467" s="16"/>
      <c r="K467" s="16"/>
      <c r="L467" s="16"/>
      <c r="M467" s="19"/>
      <c r="N467" s="20" t="s">
        <v>39</v>
      </c>
      <c r="O467" s="21" t="s">
        <v>22</v>
      </c>
      <c r="P467" s="19"/>
      <c r="Q467" s="19"/>
      <c r="R467" s="19"/>
      <c r="S467" s="19"/>
      <c r="T467" s="19"/>
      <c r="U467" s="19"/>
      <c r="V467" s="19"/>
    </row>
    <row r="468">
      <c r="A468" s="15">
        <v>45985.0</v>
      </c>
      <c r="B468" s="16" t="s">
        <v>138</v>
      </c>
      <c r="C468" s="16" t="s">
        <v>64</v>
      </c>
      <c r="D468" s="16" t="s">
        <v>736</v>
      </c>
      <c r="E468" s="16" t="s">
        <v>19</v>
      </c>
      <c r="F468" s="17" t="str">
        <f>IFERROR(__xludf.DUMMYFUNCTION("""COMPUTED_VALUE"""),"BWH-AL-CU-1A")</f>
        <v>BWH-AL-CU-1A</v>
      </c>
      <c r="G468" s="18">
        <v>5.4</v>
      </c>
      <c r="H468" s="16" t="s">
        <v>509</v>
      </c>
      <c r="I468" s="16" t="s">
        <v>509</v>
      </c>
      <c r="J468" s="16" t="s">
        <v>737</v>
      </c>
      <c r="K468" s="16">
        <v>14.99</v>
      </c>
      <c r="L468" s="16">
        <v>1.0</v>
      </c>
      <c r="M468" s="16" t="s">
        <v>38</v>
      </c>
      <c r="N468" s="20">
        <v>5.4</v>
      </c>
      <c r="O468" s="21" t="s">
        <v>22</v>
      </c>
      <c r="P468" s="19"/>
      <c r="Q468" s="19"/>
      <c r="R468" s="19"/>
      <c r="S468" s="19"/>
      <c r="T468" s="19"/>
      <c r="U468" s="19"/>
      <c r="V468" s="19"/>
    </row>
    <row r="469">
      <c r="A469" s="15">
        <v>45985.0</v>
      </c>
      <c r="B469" s="16" t="s">
        <v>138</v>
      </c>
      <c r="C469" s="16" t="s">
        <v>64</v>
      </c>
      <c r="D469" s="16" t="s">
        <v>736</v>
      </c>
      <c r="E469" s="16" t="s">
        <v>71</v>
      </c>
      <c r="F469" s="17" t="str">
        <f>IFERROR(__xludf.DUMMYFUNCTION("""COMPUTED_VALUE"""),"BWH-AL-CU-1A-2")</f>
        <v>BWH-AL-CU-1A-2</v>
      </c>
      <c r="G469" s="18">
        <v>5.4</v>
      </c>
      <c r="H469" s="16" t="s">
        <v>509</v>
      </c>
      <c r="I469" s="16" t="s">
        <v>509</v>
      </c>
      <c r="J469" s="16" t="s">
        <v>738</v>
      </c>
      <c r="K469" s="16">
        <v>14.99</v>
      </c>
      <c r="L469" s="16">
        <v>1.0</v>
      </c>
      <c r="M469" s="16" t="s">
        <v>38</v>
      </c>
      <c r="N469" s="20">
        <v>5.4</v>
      </c>
      <c r="O469" s="21" t="s">
        <v>22</v>
      </c>
      <c r="P469" s="19"/>
      <c r="Q469" s="19"/>
      <c r="R469" s="19"/>
      <c r="S469" s="19"/>
      <c r="T469" s="19"/>
      <c r="U469" s="19"/>
      <c r="V469" s="19"/>
    </row>
    <row r="470">
      <c r="A470" s="15"/>
      <c r="B470" s="16"/>
      <c r="C470" s="16"/>
      <c r="D470" s="16"/>
      <c r="E470" s="16"/>
      <c r="F470" s="17" t="str">
        <f>IFERROR(__xludf.DUMMYFUNCTION("""COMPUTED_VALUE"""),"")</f>
        <v/>
      </c>
      <c r="G470" s="18"/>
      <c r="H470" s="16"/>
      <c r="I470" s="16"/>
      <c r="J470" s="16"/>
      <c r="K470" s="16"/>
      <c r="L470" s="16"/>
      <c r="M470" s="19"/>
      <c r="N470" s="20" t="s">
        <v>39</v>
      </c>
      <c r="O470" s="21" t="s">
        <v>22</v>
      </c>
      <c r="P470" s="19"/>
      <c r="Q470" s="19"/>
      <c r="R470" s="19"/>
      <c r="S470" s="19"/>
      <c r="T470" s="19"/>
      <c r="U470" s="19"/>
      <c r="V470" s="19"/>
    </row>
    <row r="471">
      <c r="A471" s="15">
        <v>45985.0</v>
      </c>
      <c r="B471" s="16" t="s">
        <v>138</v>
      </c>
      <c r="C471" s="16" t="s">
        <v>64</v>
      </c>
      <c r="D471" s="16" t="s">
        <v>736</v>
      </c>
      <c r="E471" s="16" t="s">
        <v>129</v>
      </c>
      <c r="F471" s="17" t="str">
        <f>IFERROR(__xludf.DUMMYFUNCTION("""COMPUTED_VALUE"""),"BWH-AL-CU-1A-3")</f>
        <v>BWH-AL-CU-1A-3</v>
      </c>
      <c r="G471" s="18">
        <v>5.4</v>
      </c>
      <c r="H471" s="16" t="s">
        <v>509</v>
      </c>
      <c r="I471" s="16" t="s">
        <v>509</v>
      </c>
      <c r="J471" s="16" t="s">
        <v>739</v>
      </c>
      <c r="K471" s="16">
        <v>14.99</v>
      </c>
      <c r="L471" s="16">
        <v>1.0</v>
      </c>
      <c r="M471" s="16" t="s">
        <v>38</v>
      </c>
      <c r="N471" s="20">
        <v>5.4</v>
      </c>
      <c r="O471" s="21" t="s">
        <v>22</v>
      </c>
      <c r="P471" s="19"/>
      <c r="Q471" s="19"/>
      <c r="R471" s="19"/>
      <c r="S471" s="19"/>
      <c r="T471" s="19"/>
      <c r="U471" s="19"/>
      <c r="V471" s="19"/>
    </row>
    <row r="472">
      <c r="A472" s="15">
        <v>45985.0</v>
      </c>
      <c r="B472" s="16" t="s">
        <v>138</v>
      </c>
      <c r="C472" s="16" t="s">
        <v>64</v>
      </c>
      <c r="D472" s="16" t="s">
        <v>736</v>
      </c>
      <c r="E472" s="16" t="s">
        <v>143</v>
      </c>
      <c r="F472" s="17" t="str">
        <f>IFERROR(__xludf.DUMMYFUNCTION("""COMPUTED_VALUE"""),"BWH-AL-CU-1A-4")</f>
        <v>BWH-AL-CU-1A-4</v>
      </c>
      <c r="G472" s="18">
        <v>5.4</v>
      </c>
      <c r="H472" s="16" t="s">
        <v>509</v>
      </c>
      <c r="I472" s="16" t="s">
        <v>509</v>
      </c>
      <c r="J472" s="16" t="s">
        <v>740</v>
      </c>
      <c r="K472" s="16">
        <v>14.99</v>
      </c>
      <c r="L472" s="16">
        <v>1.0</v>
      </c>
      <c r="M472" s="16" t="s">
        <v>38</v>
      </c>
      <c r="N472" s="20">
        <v>5.4</v>
      </c>
      <c r="O472" s="21" t="s">
        <v>22</v>
      </c>
      <c r="P472" s="19"/>
      <c r="Q472" s="19"/>
      <c r="R472" s="19"/>
      <c r="S472" s="19"/>
      <c r="T472" s="19"/>
      <c r="U472" s="19"/>
      <c r="V472" s="19"/>
    </row>
    <row r="473">
      <c r="A473" s="15">
        <v>45985.0</v>
      </c>
      <c r="B473" s="16" t="s">
        <v>138</v>
      </c>
      <c r="C473" s="16" t="s">
        <v>64</v>
      </c>
      <c r="D473" s="16" t="s">
        <v>736</v>
      </c>
      <c r="E473" s="16" t="s">
        <v>145</v>
      </c>
      <c r="F473" s="17" t="str">
        <f>IFERROR(__xludf.DUMMYFUNCTION("""COMPUTED_VALUE"""),"BWH-AL-CU-1A-5")</f>
        <v>BWH-AL-CU-1A-5</v>
      </c>
      <c r="G473" s="18">
        <v>5.4</v>
      </c>
      <c r="H473" s="16" t="s">
        <v>509</v>
      </c>
      <c r="I473" s="16" t="s">
        <v>509</v>
      </c>
      <c r="J473" s="16" t="s">
        <v>741</v>
      </c>
      <c r="K473" s="16">
        <v>14.99</v>
      </c>
      <c r="L473" s="16">
        <v>1.0</v>
      </c>
      <c r="M473" s="16" t="s">
        <v>38</v>
      </c>
      <c r="N473" s="20">
        <v>5.4</v>
      </c>
      <c r="O473" s="21" t="s">
        <v>22</v>
      </c>
      <c r="P473" s="19"/>
      <c r="Q473" s="19"/>
      <c r="R473" s="19"/>
      <c r="S473" s="19"/>
      <c r="T473" s="19"/>
      <c r="U473" s="19"/>
      <c r="V473" s="19"/>
    </row>
    <row r="474">
      <c r="A474" s="15"/>
      <c r="B474" s="16"/>
      <c r="C474" s="16"/>
      <c r="D474" s="16"/>
      <c r="E474" s="16"/>
      <c r="F474" s="17" t="str">
        <f>IFERROR(__xludf.DUMMYFUNCTION("""COMPUTED_VALUE"""),"")</f>
        <v/>
      </c>
      <c r="G474" s="18"/>
      <c r="H474" s="16"/>
      <c r="I474" s="16"/>
      <c r="J474" s="16"/>
      <c r="K474" s="16"/>
      <c r="L474" s="16">
        <v>1.0</v>
      </c>
      <c r="M474" s="19"/>
      <c r="N474" s="20" t="s">
        <v>39</v>
      </c>
      <c r="O474" s="21" t="s">
        <v>22</v>
      </c>
      <c r="P474" s="19"/>
      <c r="Q474" s="19"/>
      <c r="R474" s="19"/>
      <c r="S474" s="19"/>
      <c r="T474" s="19"/>
      <c r="U474" s="19"/>
      <c r="V474" s="19"/>
    </row>
    <row r="475">
      <c r="A475" s="15">
        <v>45985.0</v>
      </c>
      <c r="B475" s="16" t="s">
        <v>138</v>
      </c>
      <c r="C475" s="16" t="s">
        <v>64</v>
      </c>
      <c r="D475" s="16" t="s">
        <v>742</v>
      </c>
      <c r="E475" s="16" t="s">
        <v>19</v>
      </c>
      <c r="F475" s="17" t="str">
        <f>IFERROR(__xludf.DUMMYFUNCTION("""COMPUTED_VALUE"""),"BWH-AL-QD-1A")</f>
        <v>BWH-AL-QD-1A</v>
      </c>
      <c r="G475" s="18">
        <v>6.6</v>
      </c>
      <c r="H475" s="16" t="s">
        <v>509</v>
      </c>
      <c r="I475" s="16" t="s">
        <v>509</v>
      </c>
      <c r="J475" s="16" t="s">
        <v>743</v>
      </c>
      <c r="K475" s="16">
        <v>14.99</v>
      </c>
      <c r="L475" s="16">
        <v>1.0</v>
      </c>
      <c r="M475" s="16" t="s">
        <v>38</v>
      </c>
      <c r="N475" s="20">
        <v>6.6</v>
      </c>
      <c r="O475" s="21" t="s">
        <v>22</v>
      </c>
      <c r="P475" s="19"/>
      <c r="Q475" s="19"/>
      <c r="R475" s="19"/>
      <c r="S475" s="19"/>
      <c r="T475" s="19"/>
      <c r="U475" s="19"/>
      <c r="V475" s="19"/>
    </row>
    <row r="476">
      <c r="A476" s="15">
        <v>45985.0</v>
      </c>
      <c r="B476" s="16" t="s">
        <v>138</v>
      </c>
      <c r="C476" s="16" t="s">
        <v>64</v>
      </c>
      <c r="D476" s="16" t="s">
        <v>742</v>
      </c>
      <c r="E476" s="16" t="s">
        <v>71</v>
      </c>
      <c r="F476" s="17" t="str">
        <f>IFERROR(__xludf.DUMMYFUNCTION("""COMPUTED_VALUE"""),"BWH-AL-QD-1A-2")</f>
        <v>BWH-AL-QD-1A-2</v>
      </c>
      <c r="G476" s="18">
        <v>6.6</v>
      </c>
      <c r="H476" s="16" t="s">
        <v>509</v>
      </c>
      <c r="I476" s="16" t="s">
        <v>509</v>
      </c>
      <c r="J476" s="16" t="s">
        <v>744</v>
      </c>
      <c r="K476" s="16">
        <v>14.99</v>
      </c>
      <c r="L476" s="16">
        <v>1.0</v>
      </c>
      <c r="M476" s="16" t="s">
        <v>38</v>
      </c>
      <c r="N476" s="20">
        <v>6.6</v>
      </c>
      <c r="O476" s="21" t="s">
        <v>22</v>
      </c>
      <c r="P476" s="19"/>
      <c r="Q476" s="19"/>
      <c r="R476" s="19"/>
      <c r="S476" s="19"/>
      <c r="T476" s="19"/>
      <c r="U476" s="19"/>
      <c r="V476" s="19"/>
    </row>
    <row r="477">
      <c r="A477" s="15">
        <v>45985.0</v>
      </c>
      <c r="B477" s="16" t="s">
        <v>138</v>
      </c>
      <c r="C477" s="16" t="s">
        <v>64</v>
      </c>
      <c r="D477" s="16" t="s">
        <v>742</v>
      </c>
      <c r="E477" s="16" t="s">
        <v>129</v>
      </c>
      <c r="F477" s="17" t="str">
        <f>IFERROR(__xludf.DUMMYFUNCTION("""COMPUTED_VALUE"""),"BWH-AL-QD-1A-3")</f>
        <v>BWH-AL-QD-1A-3</v>
      </c>
      <c r="G477" s="18">
        <v>6.6</v>
      </c>
      <c r="H477" s="16" t="s">
        <v>509</v>
      </c>
      <c r="I477" s="16" t="s">
        <v>509</v>
      </c>
      <c r="J477" s="16" t="s">
        <v>745</v>
      </c>
      <c r="K477" s="16">
        <v>14.99</v>
      </c>
      <c r="L477" s="16">
        <v>1.0</v>
      </c>
      <c r="M477" s="16" t="s">
        <v>38</v>
      </c>
      <c r="N477" s="20">
        <v>6.6</v>
      </c>
      <c r="O477" s="21" t="s">
        <v>22</v>
      </c>
      <c r="P477" s="19"/>
      <c r="Q477" s="19"/>
      <c r="R477" s="19"/>
      <c r="S477" s="19"/>
      <c r="T477" s="19"/>
      <c r="U477" s="19"/>
      <c r="V477" s="19"/>
    </row>
    <row r="478">
      <c r="A478" s="15">
        <v>45985.0</v>
      </c>
      <c r="B478" s="16" t="s">
        <v>138</v>
      </c>
      <c r="C478" s="16" t="s">
        <v>64</v>
      </c>
      <c r="D478" s="16" t="s">
        <v>742</v>
      </c>
      <c r="E478" s="16" t="s">
        <v>143</v>
      </c>
      <c r="F478" s="17" t="str">
        <f>IFERROR(__xludf.DUMMYFUNCTION("""COMPUTED_VALUE"""),"BWH-AL-QD-1A-4")</f>
        <v>BWH-AL-QD-1A-4</v>
      </c>
      <c r="G478" s="18">
        <v>6.6</v>
      </c>
      <c r="H478" s="16" t="s">
        <v>509</v>
      </c>
      <c r="I478" s="16" t="s">
        <v>509</v>
      </c>
      <c r="J478" s="16" t="s">
        <v>746</v>
      </c>
      <c r="K478" s="16">
        <v>14.99</v>
      </c>
      <c r="L478" s="16">
        <v>1.0</v>
      </c>
      <c r="M478" s="16" t="s">
        <v>38</v>
      </c>
      <c r="N478" s="20">
        <v>6.6</v>
      </c>
      <c r="O478" s="21" t="s">
        <v>22</v>
      </c>
      <c r="P478" s="19"/>
      <c r="Q478" s="19"/>
      <c r="R478" s="19"/>
      <c r="S478" s="19"/>
      <c r="T478" s="19"/>
      <c r="U478" s="19"/>
      <c r="V478" s="19"/>
    </row>
    <row r="479">
      <c r="A479" s="15">
        <v>45985.0</v>
      </c>
      <c r="B479" s="16" t="s">
        <v>138</v>
      </c>
      <c r="C479" s="16" t="s">
        <v>64</v>
      </c>
      <c r="D479" s="16" t="s">
        <v>742</v>
      </c>
      <c r="E479" s="16" t="s">
        <v>145</v>
      </c>
      <c r="F479" s="17" t="str">
        <f>IFERROR(__xludf.DUMMYFUNCTION("""COMPUTED_VALUE"""),"BWH-AL-QD-1A-5")</f>
        <v>BWH-AL-QD-1A-5</v>
      </c>
      <c r="G479" s="18">
        <v>6.6</v>
      </c>
      <c r="H479" s="16" t="s">
        <v>509</v>
      </c>
      <c r="I479" s="16" t="s">
        <v>509</v>
      </c>
      <c r="J479" s="16" t="s">
        <v>747</v>
      </c>
      <c r="K479" s="16">
        <v>14.99</v>
      </c>
      <c r="L479" s="16">
        <v>1.0</v>
      </c>
      <c r="M479" s="16" t="s">
        <v>38</v>
      </c>
      <c r="N479" s="20">
        <v>6.6</v>
      </c>
      <c r="O479" s="21" t="s">
        <v>22</v>
      </c>
      <c r="P479" s="19"/>
      <c r="Q479" s="19"/>
      <c r="R479" s="19"/>
      <c r="S479" s="19"/>
      <c r="T479" s="19"/>
      <c r="U479" s="19"/>
      <c r="V479" s="19"/>
    </row>
    <row r="480">
      <c r="A480" s="15">
        <v>45985.0</v>
      </c>
      <c r="B480" s="16" t="s">
        <v>138</v>
      </c>
      <c r="C480" s="16" t="s">
        <v>26</v>
      </c>
      <c r="D480" s="16" t="s">
        <v>688</v>
      </c>
      <c r="E480" s="16" t="s">
        <v>19</v>
      </c>
      <c r="F480" s="17" t="str">
        <f>IFERROR(__xludf.DUMMYFUNCTION("""COMPUTED_VALUE"""),"BWH-PH-BIL-1A")</f>
        <v>BWH-PH-BIL-1A</v>
      </c>
      <c r="G480" s="18">
        <v>6.0</v>
      </c>
      <c r="H480" s="16" t="s">
        <v>509</v>
      </c>
      <c r="I480" s="16" t="s">
        <v>509</v>
      </c>
      <c r="J480" s="16" t="s">
        <v>748</v>
      </c>
      <c r="K480" s="16">
        <v>19.99</v>
      </c>
      <c r="L480" s="16">
        <v>1.0</v>
      </c>
      <c r="M480" s="16" t="s">
        <v>38</v>
      </c>
      <c r="N480" s="20">
        <v>6.0</v>
      </c>
      <c r="O480" s="21" t="s">
        <v>22</v>
      </c>
      <c r="P480" s="19"/>
      <c r="Q480" s="19"/>
      <c r="R480" s="19"/>
      <c r="S480" s="19"/>
      <c r="T480" s="19"/>
      <c r="U480" s="19"/>
      <c r="V480" s="19"/>
    </row>
    <row r="481">
      <c r="A481" s="15">
        <v>45985.0</v>
      </c>
      <c r="B481" s="16" t="s">
        <v>138</v>
      </c>
      <c r="C481" s="16" t="s">
        <v>26</v>
      </c>
      <c r="D481" s="16" t="s">
        <v>688</v>
      </c>
      <c r="E481" s="16" t="s">
        <v>71</v>
      </c>
      <c r="F481" s="17" t="str">
        <f>IFERROR(__xludf.DUMMYFUNCTION("""COMPUTED_VALUE"""),"BWH-PH-BIL-1A-2")</f>
        <v>BWH-PH-BIL-1A-2</v>
      </c>
      <c r="G481" s="18">
        <v>6.0</v>
      </c>
      <c r="H481" s="16" t="s">
        <v>509</v>
      </c>
      <c r="I481" s="16" t="s">
        <v>509</v>
      </c>
      <c r="J481" s="16" t="s">
        <v>749</v>
      </c>
      <c r="K481" s="16">
        <v>19.99</v>
      </c>
      <c r="L481" s="16">
        <v>1.0</v>
      </c>
      <c r="M481" s="16" t="s">
        <v>38</v>
      </c>
      <c r="N481" s="20">
        <v>6.0</v>
      </c>
      <c r="O481" s="21" t="s">
        <v>22</v>
      </c>
      <c r="P481" s="19"/>
      <c r="Q481" s="19"/>
      <c r="R481" s="19"/>
      <c r="S481" s="19"/>
      <c r="T481" s="19"/>
      <c r="U481" s="19"/>
      <c r="V481" s="19"/>
    </row>
    <row r="482">
      <c r="A482" s="15">
        <v>45985.0</v>
      </c>
      <c r="B482" s="16" t="s">
        <v>138</v>
      </c>
      <c r="C482" s="16" t="s">
        <v>26</v>
      </c>
      <c r="D482" s="16" t="s">
        <v>688</v>
      </c>
      <c r="E482" s="16" t="s">
        <v>129</v>
      </c>
      <c r="F482" s="17" t="str">
        <f>IFERROR(__xludf.DUMMYFUNCTION("""COMPUTED_VALUE"""),"BWH-PH-BIL-1A-3")</f>
        <v>BWH-PH-BIL-1A-3</v>
      </c>
      <c r="G482" s="18">
        <v>6.0</v>
      </c>
      <c r="H482" s="16" t="s">
        <v>509</v>
      </c>
      <c r="I482" s="16" t="s">
        <v>509</v>
      </c>
      <c r="J482" s="16" t="s">
        <v>750</v>
      </c>
      <c r="K482" s="16">
        <v>19.99</v>
      </c>
      <c r="L482" s="16">
        <v>1.0</v>
      </c>
      <c r="M482" s="16" t="s">
        <v>38</v>
      </c>
      <c r="N482" s="20">
        <v>6.0</v>
      </c>
      <c r="O482" s="21" t="s">
        <v>22</v>
      </c>
      <c r="P482" s="19"/>
      <c r="Q482" s="19"/>
      <c r="R482" s="19"/>
      <c r="S482" s="19"/>
      <c r="T482" s="19"/>
      <c r="U482" s="19"/>
      <c r="V482" s="19"/>
    </row>
    <row r="483">
      <c r="A483" s="15">
        <v>45985.0</v>
      </c>
      <c r="B483" s="16" t="s">
        <v>138</v>
      </c>
      <c r="C483" s="16" t="s">
        <v>26</v>
      </c>
      <c r="D483" s="16" t="s">
        <v>688</v>
      </c>
      <c r="E483" s="16" t="s">
        <v>143</v>
      </c>
      <c r="F483" s="17" t="str">
        <f>IFERROR(__xludf.DUMMYFUNCTION("""COMPUTED_VALUE"""),"BWH-PH-BIL-1A-4")</f>
        <v>BWH-PH-BIL-1A-4</v>
      </c>
      <c r="G483" s="18">
        <v>6.0</v>
      </c>
      <c r="H483" s="16" t="s">
        <v>509</v>
      </c>
      <c r="I483" s="16" t="s">
        <v>509</v>
      </c>
      <c r="J483" s="22" t="s">
        <v>751</v>
      </c>
      <c r="K483" s="16">
        <v>19.99</v>
      </c>
      <c r="L483" s="16">
        <v>1.0</v>
      </c>
      <c r="M483" s="16" t="s">
        <v>38</v>
      </c>
      <c r="N483" s="20">
        <v>6.0</v>
      </c>
      <c r="O483" s="21" t="s">
        <v>22</v>
      </c>
      <c r="P483" s="19"/>
      <c r="Q483" s="19"/>
      <c r="R483" s="19"/>
      <c r="S483" s="19"/>
      <c r="T483" s="19"/>
      <c r="U483" s="19"/>
      <c r="V483" s="19"/>
    </row>
    <row r="484">
      <c r="A484" s="15">
        <v>45985.0</v>
      </c>
      <c r="B484" s="16" t="s">
        <v>138</v>
      </c>
      <c r="C484" s="16" t="s">
        <v>26</v>
      </c>
      <c r="D484" s="16" t="s">
        <v>688</v>
      </c>
      <c r="E484" s="16" t="s">
        <v>145</v>
      </c>
      <c r="F484" s="17" t="str">
        <f>IFERROR(__xludf.DUMMYFUNCTION("""COMPUTED_VALUE"""),"BWH-PH-BIL-1A-5")</f>
        <v>BWH-PH-BIL-1A-5</v>
      </c>
      <c r="G484" s="18">
        <v>6.0</v>
      </c>
      <c r="H484" s="16" t="s">
        <v>509</v>
      </c>
      <c r="I484" s="16" t="s">
        <v>509</v>
      </c>
      <c r="J484" s="16" t="s">
        <v>752</v>
      </c>
      <c r="K484" s="16">
        <v>19.99</v>
      </c>
      <c r="L484" s="16">
        <v>1.0</v>
      </c>
      <c r="M484" s="16" t="s">
        <v>38</v>
      </c>
      <c r="N484" s="20">
        <v>6.0</v>
      </c>
      <c r="O484" s="21" t="s">
        <v>22</v>
      </c>
      <c r="P484" s="19"/>
      <c r="Q484" s="19"/>
      <c r="R484" s="19"/>
      <c r="S484" s="19"/>
      <c r="T484" s="19"/>
      <c r="U484" s="19"/>
      <c r="V484" s="19"/>
    </row>
    <row r="485">
      <c r="A485" s="15">
        <v>45985.0</v>
      </c>
      <c r="B485" s="16" t="s">
        <v>138</v>
      </c>
      <c r="C485" s="16" t="s">
        <v>26</v>
      </c>
      <c r="D485" s="16" t="s">
        <v>753</v>
      </c>
      <c r="E485" s="16" t="s">
        <v>19</v>
      </c>
      <c r="F485" s="17" t="str">
        <f>IFERROR(__xludf.DUMMYFUNCTION("""COMPUTED_VALUE"""),"BWH-PH-FBS-1A")</f>
        <v>BWH-PH-FBS-1A</v>
      </c>
      <c r="G485" s="18">
        <v>24.0</v>
      </c>
      <c r="H485" s="16" t="s">
        <v>509</v>
      </c>
      <c r="I485" s="16" t="s">
        <v>509</v>
      </c>
      <c r="J485" s="16" t="s">
        <v>754</v>
      </c>
      <c r="K485" s="16">
        <v>59.99</v>
      </c>
      <c r="L485" s="16">
        <v>1.0</v>
      </c>
      <c r="M485" s="16" t="s">
        <v>38</v>
      </c>
      <c r="N485" s="20">
        <v>24.0</v>
      </c>
      <c r="O485" s="21" t="s">
        <v>22</v>
      </c>
      <c r="P485" s="19"/>
      <c r="Q485" s="19"/>
      <c r="R485" s="19"/>
      <c r="S485" s="19"/>
      <c r="T485" s="19"/>
      <c r="U485" s="19"/>
      <c r="V485" s="19"/>
    </row>
    <row r="486">
      <c r="A486" s="15">
        <v>45985.0</v>
      </c>
      <c r="B486" s="16" t="s">
        <v>138</v>
      </c>
      <c r="C486" s="16" t="s">
        <v>26</v>
      </c>
      <c r="D486" s="16" t="s">
        <v>753</v>
      </c>
      <c r="E486" s="16" t="s">
        <v>71</v>
      </c>
      <c r="F486" s="17" t="str">
        <f>IFERROR(__xludf.DUMMYFUNCTION("""COMPUTED_VALUE"""),"BWH-PH-FBS-1A-2")</f>
        <v>BWH-PH-FBS-1A-2</v>
      </c>
      <c r="G486" s="18">
        <v>24.0</v>
      </c>
      <c r="H486" s="16" t="s">
        <v>509</v>
      </c>
      <c r="I486" s="16" t="s">
        <v>509</v>
      </c>
      <c r="J486" s="16" t="s">
        <v>755</v>
      </c>
      <c r="K486" s="16">
        <v>59.99</v>
      </c>
      <c r="L486" s="16">
        <v>1.0</v>
      </c>
      <c r="M486" s="16" t="s">
        <v>38</v>
      </c>
      <c r="N486" s="20">
        <v>24.0</v>
      </c>
      <c r="O486" s="21" t="s">
        <v>22</v>
      </c>
      <c r="P486" s="19"/>
      <c r="Q486" s="19"/>
      <c r="R486" s="19"/>
      <c r="S486" s="19"/>
      <c r="T486" s="19"/>
      <c r="U486" s="19"/>
      <c r="V486" s="19"/>
    </row>
    <row r="487">
      <c r="A487" s="15">
        <v>45985.0</v>
      </c>
      <c r="B487" s="16" t="s">
        <v>138</v>
      </c>
      <c r="C487" s="16" t="s">
        <v>26</v>
      </c>
      <c r="D487" s="16" t="s">
        <v>753</v>
      </c>
      <c r="E487" s="16" t="s">
        <v>129</v>
      </c>
      <c r="F487" s="17" t="str">
        <f>IFERROR(__xludf.DUMMYFUNCTION("""COMPUTED_VALUE"""),"BWH-PH-FBS-1A-3")</f>
        <v>BWH-PH-FBS-1A-3</v>
      </c>
      <c r="G487" s="18">
        <v>24.0</v>
      </c>
      <c r="H487" s="16" t="s">
        <v>509</v>
      </c>
      <c r="I487" s="16" t="s">
        <v>509</v>
      </c>
      <c r="J487" s="16" t="s">
        <v>756</v>
      </c>
      <c r="K487" s="16">
        <v>59.99</v>
      </c>
      <c r="L487" s="16">
        <v>1.0</v>
      </c>
      <c r="M487" s="16" t="s">
        <v>38</v>
      </c>
      <c r="N487" s="20">
        <v>24.0</v>
      </c>
      <c r="O487" s="21" t="s">
        <v>22</v>
      </c>
      <c r="P487" s="19"/>
      <c r="Q487" s="19"/>
      <c r="R487" s="19"/>
      <c r="S487" s="19"/>
      <c r="T487" s="19"/>
      <c r="U487" s="19"/>
      <c r="V487" s="19"/>
    </row>
    <row r="488">
      <c r="A488" s="15">
        <v>45985.0</v>
      </c>
      <c r="B488" s="16" t="s">
        <v>138</v>
      </c>
      <c r="C488" s="16" t="s">
        <v>26</v>
      </c>
      <c r="D488" s="16" t="s">
        <v>753</v>
      </c>
      <c r="E488" s="16" t="s">
        <v>143</v>
      </c>
      <c r="F488" s="17" t="str">
        <f>IFERROR(__xludf.DUMMYFUNCTION("""COMPUTED_VALUE"""),"BWH-PH-FBS-1A-4")</f>
        <v>BWH-PH-FBS-1A-4</v>
      </c>
      <c r="G488" s="18">
        <v>24.0</v>
      </c>
      <c r="H488" s="16" t="s">
        <v>509</v>
      </c>
      <c r="I488" s="16" t="s">
        <v>509</v>
      </c>
      <c r="J488" s="16" t="s">
        <v>757</v>
      </c>
      <c r="K488" s="16">
        <v>59.99</v>
      </c>
      <c r="L488" s="16">
        <v>1.0</v>
      </c>
      <c r="M488" s="16" t="s">
        <v>38</v>
      </c>
      <c r="N488" s="20">
        <v>24.0</v>
      </c>
      <c r="O488" s="21" t="s">
        <v>22</v>
      </c>
      <c r="P488" s="19"/>
      <c r="Q488" s="19"/>
      <c r="R488" s="19"/>
      <c r="S488" s="19"/>
      <c r="T488" s="19"/>
      <c r="U488" s="19"/>
      <c r="V488" s="19"/>
    </row>
    <row r="489">
      <c r="A489" s="15">
        <v>45985.0</v>
      </c>
      <c r="B489" s="16" t="s">
        <v>138</v>
      </c>
      <c r="C489" s="16" t="s">
        <v>26</v>
      </c>
      <c r="D489" s="16" t="s">
        <v>753</v>
      </c>
      <c r="E489" s="16" t="s">
        <v>145</v>
      </c>
      <c r="F489" s="17" t="str">
        <f>IFERROR(__xludf.DUMMYFUNCTION("""COMPUTED_VALUE"""),"BWH-PH-FBS-1A-5")</f>
        <v>BWH-PH-FBS-1A-5</v>
      </c>
      <c r="G489" s="18">
        <v>24.0</v>
      </c>
      <c r="H489" s="16" t="s">
        <v>509</v>
      </c>
      <c r="I489" s="16" t="s">
        <v>509</v>
      </c>
      <c r="J489" s="16" t="s">
        <v>758</v>
      </c>
      <c r="K489" s="16">
        <v>59.99</v>
      </c>
      <c r="L489" s="16">
        <v>1.0</v>
      </c>
      <c r="M489" s="16" t="s">
        <v>38</v>
      </c>
      <c r="N489" s="20">
        <v>24.0</v>
      </c>
      <c r="O489" s="21" t="s">
        <v>22</v>
      </c>
      <c r="P489" s="19"/>
      <c r="Q489" s="19"/>
      <c r="R489" s="19"/>
      <c r="S489" s="19"/>
      <c r="T489" s="19"/>
      <c r="U489" s="19"/>
      <c r="V489" s="19"/>
    </row>
    <row r="490">
      <c r="A490" s="15">
        <v>45985.0</v>
      </c>
      <c r="B490" s="16" t="s">
        <v>138</v>
      </c>
      <c r="C490" s="16" t="s">
        <v>26</v>
      </c>
      <c r="D490" s="16" t="s">
        <v>759</v>
      </c>
      <c r="E490" s="16" t="s">
        <v>19</v>
      </c>
      <c r="F490" s="17" t="str">
        <f>IFERROR(__xludf.DUMMYFUNCTION("""COMPUTED_VALUE"""),"BWH-PH-WA-1A")</f>
        <v>BWH-PH-WA-1A</v>
      </c>
      <c r="G490" s="18">
        <v>7.5</v>
      </c>
      <c r="H490" s="16" t="s">
        <v>509</v>
      </c>
      <c r="I490" s="16" t="s">
        <v>509</v>
      </c>
      <c r="J490" s="16" t="s">
        <v>760</v>
      </c>
      <c r="K490" s="16">
        <v>19.99</v>
      </c>
      <c r="L490" s="16">
        <v>1.0</v>
      </c>
      <c r="M490" s="16" t="s">
        <v>38</v>
      </c>
      <c r="N490" s="20">
        <v>7.5</v>
      </c>
      <c r="O490" s="21" t="s">
        <v>22</v>
      </c>
      <c r="P490" s="19"/>
      <c r="Q490" s="19"/>
      <c r="R490" s="19"/>
      <c r="S490" s="19"/>
      <c r="T490" s="19"/>
      <c r="U490" s="19"/>
      <c r="V490" s="19"/>
    </row>
    <row r="491">
      <c r="A491" s="15">
        <v>45985.0</v>
      </c>
      <c r="B491" s="16" t="s">
        <v>138</v>
      </c>
      <c r="C491" s="16" t="s">
        <v>26</v>
      </c>
      <c r="D491" s="16" t="s">
        <v>759</v>
      </c>
      <c r="E491" s="16" t="s">
        <v>71</v>
      </c>
      <c r="F491" s="17" t="str">
        <f>IFERROR(__xludf.DUMMYFUNCTION("""COMPUTED_VALUE"""),"BWH-PH-WA-1A-2")</f>
        <v>BWH-PH-WA-1A-2</v>
      </c>
      <c r="G491" s="18">
        <v>7.5</v>
      </c>
      <c r="H491" s="16" t="s">
        <v>509</v>
      </c>
      <c r="I491" s="16" t="s">
        <v>509</v>
      </c>
      <c r="J491" s="22" t="s">
        <v>761</v>
      </c>
      <c r="K491" s="16">
        <v>19.99</v>
      </c>
      <c r="L491" s="16">
        <v>1.0</v>
      </c>
      <c r="M491" s="16" t="s">
        <v>38</v>
      </c>
      <c r="N491" s="20">
        <v>7.5</v>
      </c>
      <c r="O491" s="21" t="s">
        <v>22</v>
      </c>
      <c r="P491" s="19"/>
      <c r="Q491" s="19"/>
      <c r="R491" s="19"/>
      <c r="S491" s="19"/>
      <c r="T491" s="19"/>
      <c r="U491" s="19"/>
      <c r="V491" s="19"/>
    </row>
    <row r="492">
      <c r="A492" s="15">
        <v>45985.0</v>
      </c>
      <c r="B492" s="16" t="s">
        <v>138</v>
      </c>
      <c r="C492" s="16" t="s">
        <v>26</v>
      </c>
      <c r="D492" s="16" t="s">
        <v>759</v>
      </c>
      <c r="E492" s="16" t="s">
        <v>129</v>
      </c>
      <c r="F492" s="17" t="str">
        <f>IFERROR(__xludf.DUMMYFUNCTION("""COMPUTED_VALUE"""),"BWH-PH-WA-1A-3")</f>
        <v>BWH-PH-WA-1A-3</v>
      </c>
      <c r="G492" s="18">
        <v>7.5</v>
      </c>
      <c r="H492" s="16" t="s">
        <v>509</v>
      </c>
      <c r="I492" s="16" t="s">
        <v>509</v>
      </c>
      <c r="J492" s="16" t="s">
        <v>762</v>
      </c>
      <c r="K492" s="16">
        <v>19.99</v>
      </c>
      <c r="L492" s="16">
        <v>1.0</v>
      </c>
      <c r="M492" s="16" t="s">
        <v>38</v>
      </c>
      <c r="N492" s="20">
        <v>7.5</v>
      </c>
      <c r="O492" s="21" t="s">
        <v>22</v>
      </c>
      <c r="P492" s="19"/>
      <c r="Q492" s="19"/>
      <c r="R492" s="19"/>
      <c r="S492" s="19"/>
      <c r="T492" s="19"/>
      <c r="U492" s="19"/>
      <c r="V492" s="19"/>
    </row>
    <row r="493">
      <c r="A493" s="15">
        <v>45985.0</v>
      </c>
      <c r="B493" s="16" t="s">
        <v>138</v>
      </c>
      <c r="C493" s="16" t="s">
        <v>26</v>
      </c>
      <c r="D493" s="16" t="s">
        <v>759</v>
      </c>
      <c r="E493" s="16" t="s">
        <v>143</v>
      </c>
      <c r="F493" s="17" t="str">
        <f>IFERROR(__xludf.DUMMYFUNCTION("""COMPUTED_VALUE"""),"BWH-PH-WA-1A-4")</f>
        <v>BWH-PH-WA-1A-4</v>
      </c>
      <c r="G493" s="18">
        <v>7.5</v>
      </c>
      <c r="H493" s="16" t="s">
        <v>509</v>
      </c>
      <c r="I493" s="16" t="s">
        <v>509</v>
      </c>
      <c r="J493" s="16" t="s">
        <v>763</v>
      </c>
      <c r="K493" s="16">
        <v>19.99</v>
      </c>
      <c r="L493" s="16">
        <v>1.0</v>
      </c>
      <c r="M493" s="16" t="s">
        <v>38</v>
      </c>
      <c r="N493" s="20">
        <v>7.5</v>
      </c>
      <c r="O493" s="21" t="s">
        <v>22</v>
      </c>
      <c r="P493" s="19"/>
      <c r="Q493" s="19"/>
      <c r="R493" s="19"/>
      <c r="S493" s="19"/>
      <c r="T493" s="19"/>
      <c r="U493" s="19"/>
      <c r="V493" s="19"/>
    </row>
    <row r="494">
      <c r="A494" s="15">
        <v>45985.0</v>
      </c>
      <c r="B494" s="16" t="s">
        <v>138</v>
      </c>
      <c r="C494" s="16" t="s">
        <v>26</v>
      </c>
      <c r="D494" s="16" t="s">
        <v>759</v>
      </c>
      <c r="E494" s="16" t="s">
        <v>145</v>
      </c>
      <c r="F494" s="17" t="str">
        <f>IFERROR(__xludf.DUMMYFUNCTION("""COMPUTED_VALUE"""),"BWH-PH-WA-1A-5")</f>
        <v>BWH-PH-WA-1A-5</v>
      </c>
      <c r="G494" s="18">
        <v>7.5</v>
      </c>
      <c r="H494" s="16" t="s">
        <v>509</v>
      </c>
      <c r="I494" s="16" t="s">
        <v>509</v>
      </c>
      <c r="J494" s="16" t="s">
        <v>764</v>
      </c>
      <c r="K494" s="16">
        <v>19.99</v>
      </c>
      <c r="L494" s="16">
        <v>1.0</v>
      </c>
      <c r="M494" s="16" t="s">
        <v>38</v>
      </c>
      <c r="N494" s="20">
        <v>7.5</v>
      </c>
      <c r="O494" s="21" t="s">
        <v>22</v>
      </c>
      <c r="P494" s="19"/>
      <c r="Q494" s="19"/>
      <c r="R494" s="19"/>
      <c r="S494" s="19"/>
      <c r="T494" s="19"/>
      <c r="U494" s="19"/>
      <c r="V494" s="19"/>
    </row>
    <row r="495">
      <c r="A495" s="15">
        <v>45985.0</v>
      </c>
      <c r="B495" s="16" t="s">
        <v>138</v>
      </c>
      <c r="C495" s="16" t="s">
        <v>159</v>
      </c>
      <c r="D495" s="16" t="s">
        <v>765</v>
      </c>
      <c r="E495" s="16" t="s">
        <v>19</v>
      </c>
      <c r="F495" s="17" t="str">
        <f>IFERROR(__xludf.DUMMYFUNCTION("""COMPUTED_VALUE"""),"BWH-SYN-WE-1A")</f>
        <v>BWH-SYN-WE-1A</v>
      </c>
      <c r="G495" s="18">
        <v>6.3</v>
      </c>
      <c r="H495" s="16" t="s">
        <v>509</v>
      </c>
      <c r="I495" s="16" t="s">
        <v>509</v>
      </c>
      <c r="J495" s="16" t="s">
        <v>766</v>
      </c>
      <c r="K495" s="16">
        <v>14.99</v>
      </c>
      <c r="L495" s="16">
        <v>1.0</v>
      </c>
      <c r="M495" s="16" t="s">
        <v>38</v>
      </c>
      <c r="N495" s="20">
        <v>6.3</v>
      </c>
      <c r="O495" s="21" t="s">
        <v>22</v>
      </c>
      <c r="P495" s="19"/>
      <c r="Q495" s="19"/>
      <c r="R495" s="19"/>
      <c r="S495" s="19"/>
      <c r="T495" s="19"/>
      <c r="U495" s="19"/>
      <c r="V495" s="19"/>
    </row>
    <row r="496">
      <c r="A496" s="15">
        <v>45985.0</v>
      </c>
      <c r="B496" s="16" t="s">
        <v>138</v>
      </c>
      <c r="C496" s="16" t="s">
        <v>159</v>
      </c>
      <c r="D496" s="16" t="s">
        <v>765</v>
      </c>
      <c r="E496" s="16" t="s">
        <v>71</v>
      </c>
      <c r="F496" s="17" t="str">
        <f>IFERROR(__xludf.DUMMYFUNCTION("""COMPUTED_VALUE"""),"BWH-SYN-WE-1A-2")</f>
        <v>BWH-SYN-WE-1A-2</v>
      </c>
      <c r="G496" s="18">
        <v>6.3</v>
      </c>
      <c r="H496" s="16" t="s">
        <v>509</v>
      </c>
      <c r="I496" s="16" t="s">
        <v>509</v>
      </c>
      <c r="J496" s="16" t="s">
        <v>767</v>
      </c>
      <c r="K496" s="16">
        <v>14.99</v>
      </c>
      <c r="L496" s="16">
        <v>1.0</v>
      </c>
      <c r="M496" s="16" t="s">
        <v>38</v>
      </c>
      <c r="N496" s="20">
        <v>6.3</v>
      </c>
      <c r="O496" s="21" t="s">
        <v>22</v>
      </c>
      <c r="P496" s="19"/>
      <c r="Q496" s="19"/>
      <c r="R496" s="19"/>
      <c r="S496" s="19"/>
      <c r="T496" s="19"/>
      <c r="U496" s="19"/>
      <c r="V496" s="19"/>
    </row>
    <row r="497">
      <c r="A497" s="15">
        <v>45985.0</v>
      </c>
      <c r="B497" s="16" t="s">
        <v>138</v>
      </c>
      <c r="C497" s="16" t="s">
        <v>159</v>
      </c>
      <c r="D497" s="16" t="s">
        <v>765</v>
      </c>
      <c r="E497" s="16" t="s">
        <v>129</v>
      </c>
      <c r="F497" s="17" t="str">
        <f>IFERROR(__xludf.DUMMYFUNCTION("""COMPUTED_VALUE"""),"BWH-SYN-WE-1A-3")</f>
        <v>BWH-SYN-WE-1A-3</v>
      </c>
      <c r="G497" s="18">
        <v>6.3</v>
      </c>
      <c r="H497" s="16" t="s">
        <v>509</v>
      </c>
      <c r="I497" s="16" t="s">
        <v>509</v>
      </c>
      <c r="J497" s="16" t="s">
        <v>768</v>
      </c>
      <c r="K497" s="16">
        <v>14.99</v>
      </c>
      <c r="L497" s="16">
        <v>1.0</v>
      </c>
      <c r="M497" s="16" t="s">
        <v>38</v>
      </c>
      <c r="N497" s="20">
        <v>6.3</v>
      </c>
      <c r="O497" s="21" t="s">
        <v>22</v>
      </c>
      <c r="P497" s="19"/>
      <c r="Q497" s="19"/>
      <c r="R497" s="19"/>
      <c r="S497" s="19"/>
      <c r="T497" s="19"/>
      <c r="U497" s="19"/>
      <c r="V497" s="19"/>
    </row>
    <row r="498">
      <c r="A498" s="15">
        <v>45985.0</v>
      </c>
      <c r="B498" s="16" t="s">
        <v>138</v>
      </c>
      <c r="C498" s="16" t="s">
        <v>159</v>
      </c>
      <c r="D498" s="16" t="s">
        <v>765</v>
      </c>
      <c r="E498" s="16" t="s">
        <v>143</v>
      </c>
      <c r="F498" s="17" t="str">
        <f>IFERROR(__xludf.DUMMYFUNCTION("""COMPUTED_VALUE"""),"BWH-SYN-WE-1A-4")</f>
        <v>BWH-SYN-WE-1A-4</v>
      </c>
      <c r="G498" s="18">
        <v>6.3</v>
      </c>
      <c r="H498" s="16" t="s">
        <v>509</v>
      </c>
      <c r="I498" s="16" t="s">
        <v>509</v>
      </c>
      <c r="J498" s="16" t="s">
        <v>769</v>
      </c>
      <c r="K498" s="16">
        <v>14.99</v>
      </c>
      <c r="L498" s="16">
        <v>1.0</v>
      </c>
      <c r="M498" s="16" t="s">
        <v>38</v>
      </c>
      <c r="N498" s="20">
        <v>6.3</v>
      </c>
      <c r="O498" s="21" t="s">
        <v>22</v>
      </c>
      <c r="P498" s="19"/>
      <c r="Q498" s="19"/>
      <c r="R498" s="19"/>
      <c r="S498" s="19"/>
      <c r="T498" s="19"/>
      <c r="U498" s="19"/>
      <c r="V498" s="19"/>
    </row>
    <row r="499">
      <c r="A499" s="15">
        <v>45985.0</v>
      </c>
      <c r="B499" s="16" t="s">
        <v>138</v>
      </c>
      <c r="C499" s="16" t="s">
        <v>159</v>
      </c>
      <c r="D499" s="16" t="s">
        <v>765</v>
      </c>
      <c r="E499" s="16" t="s">
        <v>145</v>
      </c>
      <c r="F499" s="17" t="str">
        <f>IFERROR(__xludf.DUMMYFUNCTION("""COMPUTED_VALUE"""),"BWH-SYN-WE-1A-5")</f>
        <v>BWH-SYN-WE-1A-5</v>
      </c>
      <c r="G499" s="18">
        <v>6.3</v>
      </c>
      <c r="H499" s="16" t="s">
        <v>509</v>
      </c>
      <c r="I499" s="16" t="s">
        <v>509</v>
      </c>
      <c r="J499" s="16" t="s">
        <v>770</v>
      </c>
      <c r="K499" s="16">
        <v>14.99</v>
      </c>
      <c r="L499" s="16">
        <v>1.0</v>
      </c>
      <c r="M499" s="16" t="s">
        <v>38</v>
      </c>
      <c r="N499" s="20">
        <v>6.3</v>
      </c>
      <c r="O499" s="21" t="s">
        <v>22</v>
      </c>
      <c r="P499" s="19"/>
      <c r="Q499" s="19"/>
      <c r="R499" s="19"/>
      <c r="S499" s="19"/>
      <c r="T499" s="19"/>
      <c r="U499" s="19"/>
      <c r="V499" s="19"/>
    </row>
    <row r="500">
      <c r="A500" s="15">
        <v>45985.0</v>
      </c>
      <c r="B500" s="16" t="s">
        <v>138</v>
      </c>
      <c r="C500" s="16" t="s">
        <v>26</v>
      </c>
      <c r="D500" s="16" t="s">
        <v>771</v>
      </c>
      <c r="E500" s="16" t="s">
        <v>19</v>
      </c>
      <c r="F500" s="17" t="str">
        <f>IFERROR(__xludf.DUMMYFUNCTION("""COMPUTED_VALUE"""),"BWH-PH-VGC-1A")</f>
        <v>BWH-PH-VGC-1A</v>
      </c>
      <c r="G500" s="18">
        <v>16.5</v>
      </c>
      <c r="H500" s="16" t="s">
        <v>509</v>
      </c>
      <c r="I500" s="16" t="s">
        <v>509</v>
      </c>
      <c r="J500" s="16" t="s">
        <v>772</v>
      </c>
      <c r="K500" s="16">
        <v>39.99</v>
      </c>
      <c r="L500" s="16">
        <v>1.0</v>
      </c>
      <c r="M500" s="16" t="s">
        <v>38</v>
      </c>
      <c r="N500" s="20">
        <v>16.5</v>
      </c>
      <c r="O500" s="21" t="s">
        <v>22</v>
      </c>
      <c r="P500" s="19"/>
      <c r="Q500" s="19"/>
      <c r="R500" s="19"/>
      <c r="S500" s="19"/>
      <c r="T500" s="19"/>
      <c r="U500" s="19"/>
      <c r="V500" s="19"/>
    </row>
    <row r="501">
      <c r="A501" s="15">
        <v>45985.0</v>
      </c>
      <c r="B501" s="16" t="s">
        <v>138</v>
      </c>
      <c r="C501" s="16" t="s">
        <v>26</v>
      </c>
      <c r="D501" s="16" t="s">
        <v>771</v>
      </c>
      <c r="E501" s="16" t="s">
        <v>71</v>
      </c>
      <c r="F501" s="17" t="str">
        <f>IFERROR(__xludf.DUMMYFUNCTION("""COMPUTED_VALUE"""),"BWH-PH-VGC-1A-2")</f>
        <v>BWH-PH-VGC-1A-2</v>
      </c>
      <c r="G501" s="18">
        <v>16.5</v>
      </c>
      <c r="H501" s="16" t="s">
        <v>509</v>
      </c>
      <c r="I501" s="16" t="s">
        <v>509</v>
      </c>
      <c r="J501" s="16" t="s">
        <v>773</v>
      </c>
      <c r="K501" s="16">
        <v>39.99</v>
      </c>
      <c r="L501" s="16">
        <v>1.0</v>
      </c>
      <c r="M501" s="16" t="s">
        <v>38</v>
      </c>
      <c r="N501" s="20">
        <v>16.5</v>
      </c>
      <c r="O501" s="21" t="s">
        <v>22</v>
      </c>
      <c r="P501" s="19"/>
      <c r="Q501" s="19"/>
      <c r="R501" s="19"/>
      <c r="S501" s="19"/>
      <c r="T501" s="19"/>
      <c r="U501" s="19"/>
      <c r="V501" s="19"/>
    </row>
    <row r="502">
      <c r="A502" s="15">
        <v>45985.0</v>
      </c>
      <c r="B502" s="16" t="s">
        <v>138</v>
      </c>
      <c r="C502" s="16" t="s">
        <v>26</v>
      </c>
      <c r="D502" s="16" t="s">
        <v>771</v>
      </c>
      <c r="E502" s="16" t="s">
        <v>129</v>
      </c>
      <c r="F502" s="17" t="str">
        <f>IFERROR(__xludf.DUMMYFUNCTION("""COMPUTED_VALUE"""),"BWH-PH-VGC-1A-3")</f>
        <v>BWH-PH-VGC-1A-3</v>
      </c>
      <c r="G502" s="18">
        <v>16.5</v>
      </c>
      <c r="H502" s="16" t="s">
        <v>509</v>
      </c>
      <c r="I502" s="16" t="s">
        <v>509</v>
      </c>
      <c r="J502" s="16" t="s">
        <v>774</v>
      </c>
      <c r="K502" s="16">
        <v>39.99</v>
      </c>
      <c r="L502" s="16">
        <v>1.0</v>
      </c>
      <c r="M502" s="16" t="s">
        <v>38</v>
      </c>
      <c r="N502" s="20">
        <v>16.5</v>
      </c>
      <c r="O502" s="21" t="s">
        <v>22</v>
      </c>
      <c r="P502" s="19"/>
      <c r="Q502" s="19"/>
      <c r="R502" s="19"/>
      <c r="S502" s="19"/>
      <c r="T502" s="19"/>
      <c r="U502" s="19"/>
      <c r="V502" s="19"/>
    </row>
    <row r="503">
      <c r="A503" s="15">
        <v>45985.0</v>
      </c>
      <c r="B503" s="16" t="s">
        <v>138</v>
      </c>
      <c r="C503" s="16" t="s">
        <v>26</v>
      </c>
      <c r="D503" s="16" t="s">
        <v>771</v>
      </c>
      <c r="E503" s="16" t="s">
        <v>143</v>
      </c>
      <c r="F503" s="17" t="str">
        <f>IFERROR(__xludf.DUMMYFUNCTION("""COMPUTED_VALUE"""),"BWH-PH-VGC-1A-4")</f>
        <v>BWH-PH-VGC-1A-4</v>
      </c>
      <c r="G503" s="18">
        <v>16.5</v>
      </c>
      <c r="H503" s="16" t="s">
        <v>509</v>
      </c>
      <c r="I503" s="16" t="s">
        <v>509</v>
      </c>
      <c r="J503" s="16" t="s">
        <v>775</v>
      </c>
      <c r="K503" s="16">
        <v>39.99</v>
      </c>
      <c r="L503" s="16">
        <v>1.0</v>
      </c>
      <c r="M503" s="16" t="s">
        <v>38</v>
      </c>
      <c r="N503" s="20">
        <v>16.5</v>
      </c>
      <c r="O503" s="21" t="s">
        <v>22</v>
      </c>
      <c r="P503" s="19"/>
      <c r="Q503" s="19"/>
      <c r="R503" s="19"/>
      <c r="S503" s="19"/>
      <c r="T503" s="19"/>
      <c r="U503" s="19"/>
      <c r="V503" s="19"/>
    </row>
    <row r="504">
      <c r="A504" s="15">
        <v>45985.0</v>
      </c>
      <c r="B504" s="16" t="s">
        <v>138</v>
      </c>
      <c r="C504" s="16" t="s">
        <v>26</v>
      </c>
      <c r="D504" s="16" t="s">
        <v>771</v>
      </c>
      <c r="E504" s="16" t="s">
        <v>145</v>
      </c>
      <c r="F504" s="17" t="str">
        <f>IFERROR(__xludf.DUMMYFUNCTION("""COMPUTED_VALUE"""),"BWH-PH-VGC-1A-5")</f>
        <v>BWH-PH-VGC-1A-5</v>
      </c>
      <c r="G504" s="18">
        <v>16.5</v>
      </c>
      <c r="H504" s="16" t="s">
        <v>509</v>
      </c>
      <c r="I504" s="16" t="s">
        <v>509</v>
      </c>
      <c r="J504" s="16" t="s">
        <v>776</v>
      </c>
      <c r="K504" s="16">
        <v>39.99</v>
      </c>
      <c r="L504" s="16">
        <v>1.0</v>
      </c>
      <c r="M504" s="16" t="s">
        <v>38</v>
      </c>
      <c r="N504" s="20">
        <v>16.5</v>
      </c>
      <c r="O504" s="21" t="s">
        <v>22</v>
      </c>
      <c r="P504" s="19"/>
      <c r="Q504" s="19"/>
      <c r="R504" s="19"/>
      <c r="S504" s="19"/>
      <c r="T504" s="19"/>
      <c r="U504" s="19"/>
      <c r="V504" s="19"/>
    </row>
    <row r="505">
      <c r="A505" s="15">
        <v>45915.0</v>
      </c>
      <c r="B505" s="16" t="s">
        <v>369</v>
      </c>
      <c r="C505" s="16" t="s">
        <v>777</v>
      </c>
      <c r="D505" s="16" t="s">
        <v>778</v>
      </c>
      <c r="E505" s="16" t="s">
        <v>19</v>
      </c>
      <c r="F505" s="17" t="str">
        <f>IFERROR(__xludf.DUMMYFUNCTION("""COMPUTED_VALUE"""),"TG-NE-BP-1A")</f>
        <v>TG-NE-BP-1A</v>
      </c>
      <c r="G505" s="18">
        <v>9.5</v>
      </c>
      <c r="H505" s="16" t="s">
        <v>779</v>
      </c>
      <c r="I505" s="16"/>
      <c r="J505" s="16" t="s">
        <v>780</v>
      </c>
      <c r="K505" s="16">
        <v>19.0</v>
      </c>
      <c r="L505" s="16">
        <v>1.0</v>
      </c>
      <c r="M505" s="19"/>
      <c r="N505" s="20">
        <v>9.5</v>
      </c>
      <c r="O505" s="21" t="s">
        <v>22</v>
      </c>
      <c r="P505" s="19"/>
      <c r="Q505" s="19"/>
      <c r="R505" s="19"/>
      <c r="S505" s="19"/>
      <c r="T505" s="19"/>
      <c r="U505" s="19"/>
      <c r="V505" s="19"/>
    </row>
    <row r="506">
      <c r="A506" s="15">
        <v>45985.0</v>
      </c>
      <c r="B506" s="16" t="s">
        <v>369</v>
      </c>
      <c r="C506" s="16" t="s">
        <v>17</v>
      </c>
      <c r="D506" s="16" t="s">
        <v>501</v>
      </c>
      <c r="E506" s="16" t="s">
        <v>348</v>
      </c>
      <c r="F506" s="17" t="str">
        <f>IFERROR(__xludf.DUMMYFUNCTION("""COMPUTED_VALUE"""),"TG-BE-MAC-2A")</f>
        <v>TG-BE-MAC-2A</v>
      </c>
      <c r="G506" s="18">
        <v>12.5</v>
      </c>
      <c r="H506" s="16" t="s">
        <v>509</v>
      </c>
      <c r="I506" s="16" t="s">
        <v>509</v>
      </c>
      <c r="J506" s="16" t="s">
        <v>781</v>
      </c>
      <c r="K506" s="16">
        <v>25.0</v>
      </c>
      <c r="L506" s="16">
        <v>1.0</v>
      </c>
      <c r="M506" s="16" t="s">
        <v>38</v>
      </c>
      <c r="N506" s="20">
        <v>12.5</v>
      </c>
      <c r="O506" s="21" t="s">
        <v>22</v>
      </c>
      <c r="P506" s="19"/>
      <c r="Q506" s="19"/>
      <c r="R506" s="19"/>
      <c r="S506" s="19"/>
      <c r="T506" s="19"/>
      <c r="U506" s="19"/>
      <c r="V506" s="19"/>
    </row>
    <row r="507">
      <c r="A507" s="15">
        <v>45985.0</v>
      </c>
      <c r="B507" s="16" t="s">
        <v>369</v>
      </c>
      <c r="C507" s="16" t="s">
        <v>17</v>
      </c>
      <c r="D507" s="16" t="s">
        <v>501</v>
      </c>
      <c r="E507" s="16" t="s">
        <v>350</v>
      </c>
      <c r="F507" s="17" t="str">
        <f>IFERROR(__xludf.DUMMYFUNCTION("""COMPUTED_VALUE"""),"TG-BE-MAC-2A-2")</f>
        <v>TG-BE-MAC-2A-2</v>
      </c>
      <c r="G507" s="18">
        <v>12.5</v>
      </c>
      <c r="H507" s="16" t="s">
        <v>509</v>
      </c>
      <c r="I507" s="16" t="s">
        <v>509</v>
      </c>
      <c r="J507" s="16" t="s">
        <v>782</v>
      </c>
      <c r="K507" s="16">
        <v>25.0</v>
      </c>
      <c r="L507" s="16">
        <v>1.0</v>
      </c>
      <c r="M507" s="16" t="s">
        <v>38</v>
      </c>
      <c r="N507" s="20">
        <v>12.5</v>
      </c>
      <c r="O507" s="21" t="s">
        <v>22</v>
      </c>
      <c r="P507" s="19"/>
      <c r="Q507" s="19"/>
      <c r="R507" s="19"/>
      <c r="S507" s="19"/>
      <c r="T507" s="19"/>
      <c r="U507" s="19"/>
      <c r="V507" s="19"/>
    </row>
    <row r="508">
      <c r="A508" s="15">
        <v>45985.0</v>
      </c>
      <c r="B508" s="16" t="s">
        <v>369</v>
      </c>
      <c r="C508" s="16" t="s">
        <v>200</v>
      </c>
      <c r="D508" s="16" t="s">
        <v>201</v>
      </c>
      <c r="E508" s="16" t="s">
        <v>348</v>
      </c>
      <c r="F508" s="17" t="str">
        <f>IFERROR(__xludf.DUMMYFUNCTION("""COMPUTED_VALUE"""),"TG-CA-MA-2A")</f>
        <v>TG-CA-MA-2A</v>
      </c>
      <c r="G508" s="18">
        <v>10.0</v>
      </c>
      <c r="H508" s="16" t="s">
        <v>509</v>
      </c>
      <c r="I508" s="16" t="s">
        <v>509</v>
      </c>
      <c r="J508" s="16" t="s">
        <v>783</v>
      </c>
      <c r="K508" s="16">
        <v>20.0</v>
      </c>
      <c r="L508" s="16">
        <v>1.0</v>
      </c>
      <c r="M508" s="16" t="s">
        <v>38</v>
      </c>
      <c r="N508" s="20">
        <v>10.0</v>
      </c>
      <c r="O508" s="21" t="s">
        <v>22</v>
      </c>
      <c r="P508" s="19"/>
      <c r="Q508" s="19"/>
      <c r="R508" s="19"/>
      <c r="S508" s="19"/>
      <c r="T508" s="19"/>
      <c r="U508" s="19"/>
      <c r="V508" s="19"/>
    </row>
    <row r="509">
      <c r="A509" s="15">
        <v>45985.0</v>
      </c>
      <c r="B509" s="16" t="s">
        <v>369</v>
      </c>
      <c r="C509" s="16" t="s">
        <v>200</v>
      </c>
      <c r="D509" s="16" t="s">
        <v>201</v>
      </c>
      <c r="E509" s="16" t="s">
        <v>350</v>
      </c>
      <c r="F509" s="17" t="str">
        <f>IFERROR(__xludf.DUMMYFUNCTION("""COMPUTED_VALUE"""),"TG-CA-MA-2A-2")</f>
        <v>TG-CA-MA-2A-2</v>
      </c>
      <c r="G509" s="18">
        <v>10.0</v>
      </c>
      <c r="H509" s="16" t="s">
        <v>509</v>
      </c>
      <c r="I509" s="16" t="s">
        <v>509</v>
      </c>
      <c r="J509" s="16" t="s">
        <v>784</v>
      </c>
      <c r="K509" s="16">
        <v>20.0</v>
      </c>
      <c r="L509" s="16">
        <v>1.0</v>
      </c>
      <c r="M509" s="16" t="s">
        <v>38</v>
      </c>
      <c r="N509" s="20">
        <v>10.0</v>
      </c>
      <c r="O509" s="21" t="s">
        <v>22</v>
      </c>
      <c r="P509" s="19"/>
      <c r="Q509" s="19"/>
      <c r="R509" s="19"/>
      <c r="S509" s="19"/>
      <c r="T509" s="19"/>
      <c r="U509" s="19"/>
      <c r="V509" s="19"/>
    </row>
    <row r="510">
      <c r="A510" s="15">
        <v>45985.0</v>
      </c>
      <c r="B510" s="16" t="s">
        <v>369</v>
      </c>
      <c r="C510" s="16" t="s">
        <v>200</v>
      </c>
      <c r="D510" s="16" t="s">
        <v>201</v>
      </c>
      <c r="E510" s="16" t="s">
        <v>352</v>
      </c>
      <c r="F510" s="17" t="str">
        <f>IFERROR(__xludf.DUMMYFUNCTION("""COMPUTED_VALUE"""),"TG-CA-MA-2A-3")</f>
        <v>TG-CA-MA-2A-3</v>
      </c>
      <c r="G510" s="18">
        <v>10.0</v>
      </c>
      <c r="H510" s="16" t="s">
        <v>509</v>
      </c>
      <c r="I510" s="16" t="s">
        <v>509</v>
      </c>
      <c r="J510" s="16" t="s">
        <v>785</v>
      </c>
      <c r="K510" s="16">
        <v>20.0</v>
      </c>
      <c r="L510" s="16">
        <v>1.0</v>
      </c>
      <c r="M510" s="16" t="s">
        <v>38</v>
      </c>
      <c r="N510" s="20">
        <v>10.0</v>
      </c>
      <c r="O510" s="21" t="s">
        <v>22</v>
      </c>
      <c r="P510" s="19"/>
      <c r="Q510" s="19"/>
      <c r="R510" s="19"/>
      <c r="S510" s="19"/>
      <c r="T510" s="19"/>
      <c r="U510" s="19"/>
      <c r="V510" s="19"/>
    </row>
    <row r="511">
      <c r="A511" s="15">
        <v>45985.0</v>
      </c>
      <c r="B511" s="16" t="s">
        <v>369</v>
      </c>
      <c r="C511" s="16" t="s">
        <v>200</v>
      </c>
      <c r="D511" s="16" t="s">
        <v>201</v>
      </c>
      <c r="E511" s="16" t="s">
        <v>354</v>
      </c>
      <c r="F511" s="17" t="str">
        <f>IFERROR(__xludf.DUMMYFUNCTION("""COMPUTED_VALUE"""),"TG-CA-MA-2A-4")</f>
        <v>TG-CA-MA-2A-4</v>
      </c>
      <c r="G511" s="18">
        <v>10.0</v>
      </c>
      <c r="H511" s="16" t="s">
        <v>509</v>
      </c>
      <c r="I511" s="16" t="s">
        <v>509</v>
      </c>
      <c r="J511" s="16" t="s">
        <v>786</v>
      </c>
      <c r="K511" s="16">
        <v>20.0</v>
      </c>
      <c r="L511" s="16">
        <v>1.0</v>
      </c>
      <c r="M511" s="16" t="s">
        <v>38</v>
      </c>
      <c r="N511" s="20">
        <v>10.0</v>
      </c>
      <c r="O511" s="21" t="s">
        <v>22</v>
      </c>
      <c r="P511" s="19"/>
      <c r="Q511" s="19"/>
      <c r="R511" s="19"/>
      <c r="S511" s="19"/>
      <c r="T511" s="19"/>
      <c r="U511" s="19"/>
      <c r="V511" s="19"/>
    </row>
    <row r="512">
      <c r="A512" s="15">
        <v>45985.0</v>
      </c>
      <c r="B512" s="16" t="s">
        <v>369</v>
      </c>
      <c r="C512" s="16" t="s">
        <v>200</v>
      </c>
      <c r="D512" s="16" t="s">
        <v>201</v>
      </c>
      <c r="E512" s="16" t="s">
        <v>356</v>
      </c>
      <c r="F512" s="17" t="str">
        <f>IFERROR(__xludf.DUMMYFUNCTION("""COMPUTED_VALUE"""),"TG-CA-MA-2A-5")</f>
        <v>TG-CA-MA-2A-5</v>
      </c>
      <c r="G512" s="18">
        <v>10.0</v>
      </c>
      <c r="H512" s="16" t="s">
        <v>509</v>
      </c>
      <c r="I512" s="16" t="s">
        <v>509</v>
      </c>
      <c r="J512" s="16" t="s">
        <v>787</v>
      </c>
      <c r="K512" s="16">
        <v>20.0</v>
      </c>
      <c r="L512" s="16">
        <v>1.0</v>
      </c>
      <c r="M512" s="16" t="s">
        <v>38</v>
      </c>
      <c r="N512" s="20">
        <v>10.0</v>
      </c>
      <c r="O512" s="21" t="s">
        <v>22</v>
      </c>
      <c r="P512" s="19"/>
      <c r="Q512" s="19"/>
      <c r="R512" s="19"/>
      <c r="S512" s="19"/>
      <c r="T512" s="19"/>
      <c r="U512" s="19"/>
      <c r="V512" s="19"/>
    </row>
    <row r="513">
      <c r="A513" s="15">
        <v>45985.0</v>
      </c>
      <c r="B513" s="16" t="s">
        <v>369</v>
      </c>
      <c r="C513" s="16" t="s">
        <v>17</v>
      </c>
      <c r="D513" s="16" t="s">
        <v>404</v>
      </c>
      <c r="E513" s="16" t="s">
        <v>348</v>
      </c>
      <c r="F513" s="17" t="str">
        <f>IFERROR(__xludf.DUMMYFUNCTION("""COMPUTED_VALUE"""),"TG-BE-REX-2A")</f>
        <v>TG-BE-REX-2A</v>
      </c>
      <c r="G513" s="18">
        <v>8.5</v>
      </c>
      <c r="H513" s="16" t="s">
        <v>509</v>
      </c>
      <c r="I513" s="16" t="s">
        <v>509</v>
      </c>
      <c r="J513" s="16" t="s">
        <v>788</v>
      </c>
      <c r="K513" s="16">
        <v>17.0</v>
      </c>
      <c r="L513" s="16">
        <v>1.0</v>
      </c>
      <c r="M513" s="16" t="s">
        <v>38</v>
      </c>
      <c r="N513" s="20">
        <v>8.5</v>
      </c>
      <c r="O513" s="21" t="s">
        <v>22</v>
      </c>
      <c r="P513" s="19"/>
      <c r="Q513" s="19"/>
      <c r="R513" s="19"/>
      <c r="S513" s="19"/>
      <c r="T513" s="19"/>
      <c r="U513" s="19"/>
      <c r="V513" s="19"/>
    </row>
    <row r="514">
      <c r="A514" s="15">
        <v>45985.0</v>
      </c>
      <c r="B514" s="16" t="s">
        <v>369</v>
      </c>
      <c r="C514" s="16" t="s">
        <v>17</v>
      </c>
      <c r="D514" s="16" t="s">
        <v>404</v>
      </c>
      <c r="E514" s="16" t="s">
        <v>350</v>
      </c>
      <c r="F514" s="17" t="str">
        <f>IFERROR(__xludf.DUMMYFUNCTION("""COMPUTED_VALUE"""),"TG-BE-REX-2A-2")</f>
        <v>TG-BE-REX-2A-2</v>
      </c>
      <c r="G514" s="18">
        <v>8.5</v>
      </c>
      <c r="H514" s="16" t="s">
        <v>509</v>
      </c>
      <c r="I514" s="16" t="s">
        <v>509</v>
      </c>
      <c r="J514" s="16" t="s">
        <v>789</v>
      </c>
      <c r="K514" s="16">
        <v>17.0</v>
      </c>
      <c r="L514" s="16">
        <v>1.0</v>
      </c>
      <c r="M514" s="16" t="s">
        <v>38</v>
      </c>
      <c r="N514" s="20">
        <v>8.5</v>
      </c>
      <c r="O514" s="21" t="s">
        <v>22</v>
      </c>
      <c r="P514" s="19"/>
      <c r="Q514" s="19"/>
      <c r="R514" s="19"/>
      <c r="S514" s="19"/>
      <c r="T514" s="19"/>
      <c r="U514" s="19"/>
      <c r="V514" s="19"/>
    </row>
    <row r="515">
      <c r="A515" s="15">
        <v>45985.0</v>
      </c>
      <c r="B515" s="16" t="s">
        <v>369</v>
      </c>
      <c r="C515" s="16" t="s">
        <v>17</v>
      </c>
      <c r="D515" s="16" t="s">
        <v>404</v>
      </c>
      <c r="E515" s="16" t="s">
        <v>352</v>
      </c>
      <c r="F515" s="17" t="str">
        <f>IFERROR(__xludf.DUMMYFUNCTION("""COMPUTED_VALUE"""),"TG-BE-REX-2A-3")</f>
        <v>TG-BE-REX-2A-3</v>
      </c>
      <c r="G515" s="18">
        <v>8.5</v>
      </c>
      <c r="H515" s="16" t="s">
        <v>509</v>
      </c>
      <c r="I515" s="16" t="s">
        <v>509</v>
      </c>
      <c r="J515" s="16" t="s">
        <v>790</v>
      </c>
      <c r="K515" s="16">
        <v>17.0</v>
      </c>
      <c r="L515" s="16">
        <v>1.0</v>
      </c>
      <c r="M515" s="16" t="s">
        <v>38</v>
      </c>
      <c r="N515" s="20">
        <v>8.5</v>
      </c>
      <c r="O515" s="21" t="s">
        <v>22</v>
      </c>
      <c r="P515" s="19"/>
      <c r="Q515" s="19"/>
      <c r="R515" s="19"/>
      <c r="S515" s="19"/>
      <c r="T515" s="19"/>
      <c r="U515" s="19"/>
      <c r="V515" s="19"/>
    </row>
    <row r="516">
      <c r="A516" s="15">
        <v>45985.0</v>
      </c>
      <c r="B516" s="16" t="s">
        <v>369</v>
      </c>
      <c r="C516" s="16" t="s">
        <v>17</v>
      </c>
      <c r="D516" s="16" t="s">
        <v>404</v>
      </c>
      <c r="E516" s="16" t="s">
        <v>354</v>
      </c>
      <c r="F516" s="17" t="str">
        <f>IFERROR(__xludf.DUMMYFUNCTION("""COMPUTED_VALUE"""),"TG-BE-REX-2A-4")</f>
        <v>TG-BE-REX-2A-4</v>
      </c>
      <c r="G516" s="18">
        <v>8.5</v>
      </c>
      <c r="H516" s="16" t="s">
        <v>509</v>
      </c>
      <c r="I516" s="16" t="s">
        <v>509</v>
      </c>
      <c r="J516" s="16" t="s">
        <v>791</v>
      </c>
      <c r="K516" s="16">
        <v>17.0</v>
      </c>
      <c r="L516" s="16">
        <v>1.0</v>
      </c>
      <c r="M516" s="16" t="s">
        <v>38</v>
      </c>
      <c r="N516" s="20">
        <v>8.5</v>
      </c>
      <c r="O516" s="21" t="s">
        <v>22</v>
      </c>
      <c r="P516" s="19"/>
      <c r="Q516" s="19"/>
      <c r="R516" s="19"/>
      <c r="S516" s="19"/>
      <c r="T516" s="19"/>
      <c r="U516" s="19"/>
      <c r="V516" s="19"/>
    </row>
    <row r="517">
      <c r="A517" s="15">
        <v>45985.0</v>
      </c>
      <c r="B517" s="16" t="s">
        <v>369</v>
      </c>
      <c r="C517" s="16" t="s">
        <v>17</v>
      </c>
      <c r="D517" s="16" t="s">
        <v>404</v>
      </c>
      <c r="E517" s="16" t="s">
        <v>356</v>
      </c>
      <c r="F517" s="17" t="str">
        <f>IFERROR(__xludf.DUMMYFUNCTION("""COMPUTED_VALUE"""),"TG-BE-REX-2A-5")</f>
        <v>TG-BE-REX-2A-5</v>
      </c>
      <c r="G517" s="18">
        <v>8.5</v>
      </c>
      <c r="H517" s="16" t="s">
        <v>509</v>
      </c>
      <c r="I517" s="16" t="s">
        <v>509</v>
      </c>
      <c r="J517" s="16" t="s">
        <v>792</v>
      </c>
      <c r="K517" s="16">
        <v>17.0</v>
      </c>
      <c r="L517" s="16">
        <v>1.0</v>
      </c>
      <c r="M517" s="16" t="s">
        <v>38</v>
      </c>
      <c r="N517" s="20">
        <v>8.5</v>
      </c>
      <c r="O517" s="21" t="s">
        <v>22</v>
      </c>
      <c r="P517" s="19"/>
      <c r="Q517" s="19"/>
      <c r="R517" s="19"/>
      <c r="S517" s="19"/>
      <c r="T517" s="19"/>
      <c r="U517" s="19"/>
      <c r="V517" s="19"/>
    </row>
    <row r="518">
      <c r="A518" s="15">
        <v>45985.0</v>
      </c>
      <c r="B518" s="16" t="s">
        <v>369</v>
      </c>
      <c r="C518" s="16" t="s">
        <v>777</v>
      </c>
      <c r="D518" s="16" t="s">
        <v>778</v>
      </c>
      <c r="E518" s="16" t="s">
        <v>348</v>
      </c>
      <c r="F518" s="17" t="str">
        <f>IFERROR(__xludf.DUMMYFUNCTION("""COMPUTED_VALUE"""),"TG-NE-BP-2A")</f>
        <v>TG-NE-BP-2A</v>
      </c>
      <c r="G518" s="18">
        <v>8.0</v>
      </c>
      <c r="H518" s="16" t="s">
        <v>509</v>
      </c>
      <c r="I518" s="16" t="s">
        <v>509</v>
      </c>
      <c r="J518" s="16" t="s">
        <v>793</v>
      </c>
      <c r="K518" s="16">
        <v>16.0</v>
      </c>
      <c r="L518" s="16">
        <v>1.0</v>
      </c>
      <c r="M518" s="16" t="s">
        <v>38</v>
      </c>
      <c r="N518" s="20">
        <v>8.0</v>
      </c>
      <c r="O518" s="21" t="s">
        <v>22</v>
      </c>
      <c r="P518" s="19"/>
      <c r="Q518" s="19"/>
      <c r="R518" s="19"/>
      <c r="S518" s="19"/>
      <c r="T518" s="19"/>
      <c r="U518" s="19"/>
      <c r="V518" s="19"/>
    </row>
    <row r="519">
      <c r="A519" s="15">
        <v>45985.0</v>
      </c>
      <c r="B519" s="16" t="s">
        <v>369</v>
      </c>
      <c r="C519" s="16" t="s">
        <v>777</v>
      </c>
      <c r="D519" s="16" t="s">
        <v>778</v>
      </c>
      <c r="E519" s="16" t="s">
        <v>350</v>
      </c>
      <c r="F519" s="17" t="str">
        <f>IFERROR(__xludf.DUMMYFUNCTION("""COMPUTED_VALUE"""),"TG-NE-BP-2A-2")</f>
        <v>TG-NE-BP-2A-2</v>
      </c>
      <c r="G519" s="18">
        <v>8.0</v>
      </c>
      <c r="H519" s="16" t="s">
        <v>509</v>
      </c>
      <c r="I519" s="16" t="s">
        <v>509</v>
      </c>
      <c r="J519" s="16" t="s">
        <v>794</v>
      </c>
      <c r="K519" s="16">
        <v>16.0</v>
      </c>
      <c r="L519" s="16">
        <v>1.0</v>
      </c>
      <c r="M519" s="16" t="s">
        <v>38</v>
      </c>
      <c r="N519" s="20">
        <v>8.0</v>
      </c>
      <c r="O519" s="21" t="s">
        <v>22</v>
      </c>
      <c r="P519" s="19"/>
      <c r="Q519" s="19"/>
      <c r="R519" s="19"/>
      <c r="S519" s="19"/>
      <c r="T519" s="19"/>
      <c r="U519" s="19"/>
      <c r="V519" s="19"/>
    </row>
    <row r="520">
      <c r="A520" s="15">
        <v>45985.0</v>
      </c>
      <c r="B520" s="16" t="s">
        <v>369</v>
      </c>
      <c r="C520" s="16" t="s">
        <v>777</v>
      </c>
      <c r="D520" s="16" t="s">
        <v>778</v>
      </c>
      <c r="E520" s="16" t="s">
        <v>352</v>
      </c>
      <c r="F520" s="17" t="str">
        <f>IFERROR(__xludf.DUMMYFUNCTION("""COMPUTED_VALUE"""),"TG-NE-BP-2A-3")</f>
        <v>TG-NE-BP-2A-3</v>
      </c>
      <c r="G520" s="18">
        <v>8.0</v>
      </c>
      <c r="H520" s="16" t="s">
        <v>509</v>
      </c>
      <c r="I520" s="16" t="s">
        <v>509</v>
      </c>
      <c r="J520" s="16" t="s">
        <v>795</v>
      </c>
      <c r="K520" s="16">
        <v>16.0</v>
      </c>
      <c r="L520" s="16">
        <v>1.0</v>
      </c>
      <c r="M520" s="16" t="s">
        <v>38</v>
      </c>
      <c r="N520" s="20">
        <v>8.0</v>
      </c>
      <c r="O520" s="21" t="s">
        <v>22</v>
      </c>
      <c r="P520" s="19"/>
      <c r="Q520" s="19"/>
      <c r="R520" s="19"/>
      <c r="S520" s="19"/>
      <c r="T520" s="19"/>
      <c r="U520" s="19"/>
      <c r="V520" s="19"/>
    </row>
    <row r="521">
      <c r="A521" s="15">
        <v>45985.0</v>
      </c>
      <c r="B521" s="16" t="s">
        <v>369</v>
      </c>
      <c r="C521" s="16" t="s">
        <v>777</v>
      </c>
      <c r="D521" s="16" t="s">
        <v>778</v>
      </c>
      <c r="E521" s="16" t="s">
        <v>354</v>
      </c>
      <c r="F521" s="17" t="str">
        <f>IFERROR(__xludf.DUMMYFUNCTION("""COMPUTED_VALUE"""),"TG-NE-BP-2A-4")</f>
        <v>TG-NE-BP-2A-4</v>
      </c>
      <c r="G521" s="18">
        <v>8.0</v>
      </c>
      <c r="H521" s="16" t="s">
        <v>509</v>
      </c>
      <c r="I521" s="16" t="s">
        <v>509</v>
      </c>
      <c r="J521" s="16" t="s">
        <v>796</v>
      </c>
      <c r="K521" s="16">
        <v>16.0</v>
      </c>
      <c r="L521" s="16">
        <v>1.0</v>
      </c>
      <c r="M521" s="16" t="s">
        <v>38</v>
      </c>
      <c r="N521" s="20">
        <v>8.0</v>
      </c>
      <c r="O521" s="21" t="s">
        <v>22</v>
      </c>
      <c r="P521" s="19"/>
      <c r="Q521" s="19"/>
      <c r="R521" s="19"/>
      <c r="S521" s="19"/>
      <c r="T521" s="19"/>
      <c r="U521" s="19"/>
      <c r="V521" s="19"/>
    </row>
    <row r="522">
      <c r="A522" s="15">
        <v>45985.0</v>
      </c>
      <c r="B522" s="16" t="s">
        <v>369</v>
      </c>
      <c r="C522" s="16" t="s">
        <v>777</v>
      </c>
      <c r="D522" s="16" t="s">
        <v>778</v>
      </c>
      <c r="E522" s="16" t="s">
        <v>356</v>
      </c>
      <c r="F522" s="17" t="str">
        <f>IFERROR(__xludf.DUMMYFUNCTION("""COMPUTED_VALUE"""),"TG-NE-BP-2A-5")</f>
        <v>TG-NE-BP-2A-5</v>
      </c>
      <c r="G522" s="18">
        <v>8.0</v>
      </c>
      <c r="H522" s="16" t="s">
        <v>509</v>
      </c>
      <c r="I522" s="16" t="s">
        <v>509</v>
      </c>
      <c r="J522" s="16" t="s">
        <v>797</v>
      </c>
      <c r="K522" s="16">
        <v>16.0</v>
      </c>
      <c r="L522" s="16">
        <v>1.0</v>
      </c>
      <c r="M522" s="16" t="s">
        <v>38</v>
      </c>
      <c r="N522" s="20">
        <v>8.0</v>
      </c>
      <c r="O522" s="21" t="s">
        <v>22</v>
      </c>
      <c r="P522" s="19"/>
      <c r="Q522" s="19"/>
      <c r="R522" s="19"/>
      <c r="S522" s="19"/>
      <c r="T522" s="19"/>
      <c r="U522" s="19"/>
      <c r="V522" s="19"/>
    </row>
    <row r="523">
      <c r="A523" s="15">
        <v>45985.0</v>
      </c>
      <c r="B523" s="16" t="s">
        <v>369</v>
      </c>
      <c r="C523" s="16" t="s">
        <v>64</v>
      </c>
      <c r="D523" s="16" t="s">
        <v>798</v>
      </c>
      <c r="E523" s="16" t="s">
        <v>19</v>
      </c>
      <c r="F523" s="17" t="str">
        <f>IFERROR(__xludf.DUMMYFUNCTION("""COMPUTED_VALUE"""),"TG-AL-VDM-1A")</f>
        <v>TG-AL-VDM-1A</v>
      </c>
      <c r="G523" s="18">
        <v>36.0</v>
      </c>
      <c r="H523" s="16" t="s">
        <v>509</v>
      </c>
      <c r="I523" s="16" t="s">
        <v>509</v>
      </c>
      <c r="J523" s="16" t="s">
        <v>799</v>
      </c>
      <c r="K523" s="16">
        <v>72.0</v>
      </c>
      <c r="L523" s="16">
        <v>1.0</v>
      </c>
      <c r="M523" s="16" t="s">
        <v>38</v>
      </c>
      <c r="N523" s="20">
        <v>36.0</v>
      </c>
      <c r="O523" s="21" t="s">
        <v>22</v>
      </c>
      <c r="P523" s="19"/>
      <c r="Q523" s="19"/>
      <c r="R523" s="19"/>
      <c r="S523" s="19"/>
      <c r="T523" s="19"/>
      <c r="U523" s="19"/>
      <c r="V523" s="19"/>
    </row>
    <row r="524">
      <c r="A524" s="15">
        <v>45985.0</v>
      </c>
      <c r="B524" s="16" t="s">
        <v>369</v>
      </c>
      <c r="C524" s="16" t="s">
        <v>64</v>
      </c>
      <c r="D524" s="16" t="s">
        <v>798</v>
      </c>
      <c r="E524" s="16" t="s">
        <v>71</v>
      </c>
      <c r="F524" s="17" t="str">
        <f>IFERROR(__xludf.DUMMYFUNCTION("""COMPUTED_VALUE"""),"TG-AL-VDM-1A-2")</f>
        <v>TG-AL-VDM-1A-2</v>
      </c>
      <c r="G524" s="18">
        <v>36.0</v>
      </c>
      <c r="H524" s="16" t="s">
        <v>508</v>
      </c>
      <c r="I524" s="16" t="s">
        <v>509</v>
      </c>
      <c r="J524" s="16" t="s">
        <v>800</v>
      </c>
      <c r="K524" s="16">
        <v>72.0</v>
      </c>
      <c r="L524" s="16">
        <v>1.0</v>
      </c>
      <c r="M524" s="16" t="s">
        <v>38</v>
      </c>
      <c r="N524" s="20">
        <v>36.0</v>
      </c>
      <c r="O524" s="21" t="s">
        <v>22</v>
      </c>
      <c r="P524" s="19"/>
      <c r="Q524" s="19"/>
      <c r="R524" s="19"/>
      <c r="S524" s="19"/>
      <c r="T524" s="19"/>
      <c r="U524" s="19"/>
      <c r="V524" s="19"/>
    </row>
    <row r="525">
      <c r="A525" s="15">
        <v>45985.0</v>
      </c>
      <c r="B525" s="16" t="s">
        <v>369</v>
      </c>
      <c r="C525" s="16" t="s">
        <v>64</v>
      </c>
      <c r="D525" s="16" t="s">
        <v>798</v>
      </c>
      <c r="E525" s="16" t="s">
        <v>129</v>
      </c>
      <c r="F525" s="17" t="str">
        <f>IFERROR(__xludf.DUMMYFUNCTION("""COMPUTED_VALUE"""),"TG-AL-VDM-1A-3")</f>
        <v>TG-AL-VDM-1A-3</v>
      </c>
      <c r="G525" s="18">
        <v>36.0</v>
      </c>
      <c r="H525" s="16" t="s">
        <v>509</v>
      </c>
      <c r="I525" s="16" t="s">
        <v>509</v>
      </c>
      <c r="J525" s="16" t="s">
        <v>801</v>
      </c>
      <c r="K525" s="16">
        <v>72.0</v>
      </c>
      <c r="L525" s="16">
        <v>1.0</v>
      </c>
      <c r="M525" s="16" t="s">
        <v>38</v>
      </c>
      <c r="N525" s="20">
        <v>36.0</v>
      </c>
      <c r="O525" s="21" t="s">
        <v>22</v>
      </c>
      <c r="P525" s="19"/>
      <c r="Q525" s="19"/>
      <c r="R525" s="19"/>
      <c r="S525" s="19"/>
      <c r="T525" s="19"/>
      <c r="U525" s="19"/>
      <c r="V525" s="19"/>
    </row>
    <row r="526">
      <c r="A526" s="15">
        <v>45985.0</v>
      </c>
      <c r="B526" s="16" t="s">
        <v>369</v>
      </c>
      <c r="C526" s="16" t="s">
        <v>73</v>
      </c>
      <c r="D526" s="16" t="s">
        <v>802</v>
      </c>
      <c r="E526" s="16" t="s">
        <v>19</v>
      </c>
      <c r="F526" s="17" t="str">
        <f>IFERROR(__xludf.DUMMYFUNCTION("""COMPUTED_VALUE"""),"TG-SC-SAT-1A")</f>
        <v>TG-SC-SAT-1A</v>
      </c>
      <c r="G526" s="18">
        <v>9.5</v>
      </c>
      <c r="H526" s="16" t="s">
        <v>509</v>
      </c>
      <c r="I526" s="16" t="s">
        <v>509</v>
      </c>
      <c r="J526" s="16" t="s">
        <v>803</v>
      </c>
      <c r="K526" s="16">
        <v>19.0</v>
      </c>
      <c r="L526" s="16">
        <v>1.0</v>
      </c>
      <c r="M526" s="16" t="s">
        <v>38</v>
      </c>
      <c r="N526" s="20">
        <v>9.5</v>
      </c>
      <c r="O526" s="21" t="s">
        <v>22</v>
      </c>
      <c r="P526" s="19"/>
      <c r="Q526" s="19"/>
      <c r="R526" s="19"/>
      <c r="S526" s="19"/>
      <c r="T526" s="19"/>
      <c r="U526" s="19"/>
      <c r="V526" s="19"/>
    </row>
    <row r="527">
      <c r="A527" s="15">
        <v>45985.0</v>
      </c>
      <c r="B527" s="16" t="s">
        <v>369</v>
      </c>
      <c r="C527" s="16" t="s">
        <v>73</v>
      </c>
      <c r="D527" s="16" t="s">
        <v>802</v>
      </c>
      <c r="E527" s="16" t="s">
        <v>71</v>
      </c>
      <c r="F527" s="17" t="str">
        <f>IFERROR(__xludf.DUMMYFUNCTION("""COMPUTED_VALUE"""),"TG-SC-SAT-1A-2")</f>
        <v>TG-SC-SAT-1A-2</v>
      </c>
      <c r="G527" s="18">
        <v>9.5</v>
      </c>
      <c r="H527" s="16" t="s">
        <v>509</v>
      </c>
      <c r="I527" s="16" t="s">
        <v>509</v>
      </c>
      <c r="J527" s="16" t="s">
        <v>804</v>
      </c>
      <c r="K527" s="16">
        <v>19.0</v>
      </c>
      <c r="L527" s="16">
        <v>1.0</v>
      </c>
      <c r="M527" s="16" t="s">
        <v>38</v>
      </c>
      <c r="N527" s="20">
        <v>9.5</v>
      </c>
      <c r="O527" s="21" t="s">
        <v>22</v>
      </c>
      <c r="P527" s="19"/>
      <c r="Q527" s="19"/>
      <c r="R527" s="19"/>
      <c r="S527" s="19"/>
      <c r="T527" s="19"/>
      <c r="U527" s="19"/>
      <c r="V527" s="19"/>
    </row>
    <row r="528">
      <c r="A528" s="15">
        <v>45985.0</v>
      </c>
      <c r="B528" s="16" t="s">
        <v>369</v>
      </c>
      <c r="C528" s="16" t="s">
        <v>73</v>
      </c>
      <c r="D528" s="16" t="s">
        <v>802</v>
      </c>
      <c r="E528" s="16" t="s">
        <v>129</v>
      </c>
      <c r="F528" s="17" t="str">
        <f>IFERROR(__xludf.DUMMYFUNCTION("""COMPUTED_VALUE"""),"TG-SC-SAT-1A-3")</f>
        <v>TG-SC-SAT-1A-3</v>
      </c>
      <c r="G528" s="18">
        <v>9.5</v>
      </c>
      <c r="H528" s="16" t="s">
        <v>509</v>
      </c>
      <c r="I528" s="16" t="s">
        <v>509</v>
      </c>
      <c r="J528" s="16" t="s">
        <v>805</v>
      </c>
      <c r="K528" s="16">
        <v>19.0</v>
      </c>
      <c r="L528" s="16">
        <v>1.0</v>
      </c>
      <c r="M528" s="16" t="s">
        <v>38</v>
      </c>
      <c r="N528" s="20">
        <v>9.5</v>
      </c>
      <c r="O528" s="21" t="s">
        <v>22</v>
      </c>
      <c r="P528" s="19"/>
      <c r="Q528" s="19"/>
      <c r="R528" s="19"/>
      <c r="S528" s="19"/>
      <c r="T528" s="19"/>
      <c r="U528" s="19"/>
      <c r="V528" s="19"/>
    </row>
    <row r="529">
      <c r="A529" s="15">
        <v>45985.0</v>
      </c>
      <c r="B529" s="16" t="s">
        <v>369</v>
      </c>
      <c r="C529" s="16" t="s">
        <v>73</v>
      </c>
      <c r="D529" s="16" t="s">
        <v>802</v>
      </c>
      <c r="E529" s="16" t="s">
        <v>143</v>
      </c>
      <c r="F529" s="17" t="str">
        <f>IFERROR(__xludf.DUMMYFUNCTION("""COMPUTED_VALUE"""),"TG-SC-SAT-1A-4")</f>
        <v>TG-SC-SAT-1A-4</v>
      </c>
      <c r="G529" s="18">
        <v>9.5</v>
      </c>
      <c r="H529" s="16" t="s">
        <v>509</v>
      </c>
      <c r="I529" s="16" t="s">
        <v>509</v>
      </c>
      <c r="J529" s="16" t="s">
        <v>806</v>
      </c>
      <c r="K529" s="16">
        <v>19.0</v>
      </c>
      <c r="L529" s="16">
        <v>1.0</v>
      </c>
      <c r="M529" s="16" t="s">
        <v>38</v>
      </c>
      <c r="N529" s="20">
        <v>9.5</v>
      </c>
      <c r="O529" s="21" t="s">
        <v>22</v>
      </c>
      <c r="P529" s="19"/>
      <c r="Q529" s="19"/>
      <c r="R529" s="19"/>
      <c r="S529" s="19"/>
      <c r="T529" s="19"/>
      <c r="U529" s="19"/>
      <c r="V529" s="19"/>
    </row>
    <row r="530">
      <c r="A530" s="15">
        <v>45985.0</v>
      </c>
      <c r="B530" s="16" t="s">
        <v>369</v>
      </c>
      <c r="C530" s="16" t="s">
        <v>73</v>
      </c>
      <c r="D530" s="16" t="s">
        <v>802</v>
      </c>
      <c r="E530" s="16" t="s">
        <v>145</v>
      </c>
      <c r="F530" s="17" t="str">
        <f>IFERROR(__xludf.DUMMYFUNCTION("""COMPUTED_VALUE"""),"TG-SC-SAT-1A-5")</f>
        <v>TG-SC-SAT-1A-5</v>
      </c>
      <c r="G530" s="18">
        <v>9.5</v>
      </c>
      <c r="H530" s="16" t="s">
        <v>509</v>
      </c>
      <c r="I530" s="16" t="s">
        <v>509</v>
      </c>
      <c r="J530" s="16" t="s">
        <v>807</v>
      </c>
      <c r="K530" s="16">
        <v>19.0</v>
      </c>
      <c r="L530" s="16">
        <v>1.0</v>
      </c>
      <c r="M530" s="16" t="s">
        <v>38</v>
      </c>
      <c r="N530" s="20">
        <v>9.5</v>
      </c>
      <c r="O530" s="21" t="s">
        <v>22</v>
      </c>
      <c r="P530" s="19"/>
      <c r="Q530" s="19"/>
      <c r="R530" s="19"/>
      <c r="S530" s="19"/>
      <c r="T530" s="19"/>
      <c r="U530" s="19"/>
      <c r="V530" s="19"/>
    </row>
    <row r="531">
      <c r="A531" s="15">
        <v>45985.0</v>
      </c>
      <c r="B531" s="16" t="s">
        <v>808</v>
      </c>
      <c r="C531" s="16" t="s">
        <v>809</v>
      </c>
      <c r="D531" s="16" t="s">
        <v>810</v>
      </c>
      <c r="E531" s="16" t="s">
        <v>19</v>
      </c>
      <c r="F531" s="17" t="str">
        <f>IFERROR(__xludf.DUMMYFUNCTION("""COMPUTED_VALUE"""),"RPS-FA-FI-1A")</f>
        <v>RPS-FA-FI-1A</v>
      </c>
      <c r="G531" s="18">
        <v>24.0</v>
      </c>
      <c r="H531" s="16" t="s">
        <v>508</v>
      </c>
      <c r="I531" s="22" t="s">
        <v>691</v>
      </c>
      <c r="J531" s="16" t="s">
        <v>811</v>
      </c>
      <c r="K531" s="19"/>
      <c r="L531" s="16">
        <v>1.0</v>
      </c>
      <c r="M531" s="16" t="s">
        <v>48</v>
      </c>
      <c r="N531" s="20">
        <v>24.0</v>
      </c>
      <c r="O531" s="21" t="s">
        <v>22</v>
      </c>
      <c r="P531" s="19"/>
      <c r="Q531" s="19"/>
      <c r="R531" s="19"/>
      <c r="S531" s="19"/>
      <c r="T531" s="19"/>
      <c r="U531" s="19"/>
      <c r="V531" s="19"/>
    </row>
    <row r="532">
      <c r="A532" s="15"/>
      <c r="B532" s="16"/>
      <c r="C532" s="16"/>
      <c r="D532" s="16"/>
      <c r="E532" s="16"/>
      <c r="F532" s="17" t="str">
        <f>IFERROR(__xludf.DUMMYFUNCTION("""COMPUTED_VALUE"""),"")</f>
        <v/>
      </c>
      <c r="G532" s="18"/>
      <c r="H532" s="19"/>
      <c r="I532" s="19"/>
      <c r="J532" s="16"/>
      <c r="K532" s="19"/>
      <c r="L532" s="16"/>
      <c r="M532" s="19"/>
      <c r="N532" s="20" t="s">
        <v>39</v>
      </c>
      <c r="O532" s="21" t="s">
        <v>22</v>
      </c>
      <c r="P532" s="19"/>
      <c r="Q532" s="19"/>
      <c r="R532" s="19"/>
      <c r="S532" s="19"/>
      <c r="T532" s="19"/>
      <c r="U532" s="19"/>
      <c r="V532" s="19"/>
    </row>
    <row r="533">
      <c r="A533" s="15">
        <v>45986.0</v>
      </c>
      <c r="B533" s="16" t="s">
        <v>812</v>
      </c>
      <c r="C533" s="16" t="s">
        <v>26</v>
      </c>
      <c r="D533" s="16" t="s">
        <v>813</v>
      </c>
      <c r="E533" s="16" t="s">
        <v>19</v>
      </c>
      <c r="F533" s="17" t="str">
        <f>IFERROR(__xludf.DUMMYFUNCTION("""COMPUTED_VALUE"""),"TA-PH-MIC-1A")</f>
        <v>TA-PH-MIC-1A</v>
      </c>
      <c r="G533" s="18">
        <v>12.0</v>
      </c>
      <c r="H533" s="16" t="s">
        <v>508</v>
      </c>
      <c r="I533" s="22" t="s">
        <v>691</v>
      </c>
      <c r="J533" s="16" t="s">
        <v>814</v>
      </c>
      <c r="K533" s="16">
        <v>0.0</v>
      </c>
      <c r="L533" s="16">
        <v>1.0</v>
      </c>
      <c r="M533" s="16" t="s">
        <v>525</v>
      </c>
      <c r="N533" s="20">
        <v>12.0</v>
      </c>
      <c r="O533" s="21" t="s">
        <v>22</v>
      </c>
      <c r="P533" s="19"/>
      <c r="Q533" s="19"/>
      <c r="R533" s="19"/>
      <c r="S533" s="19"/>
      <c r="T533" s="19"/>
      <c r="U533" s="19"/>
      <c r="V533" s="19"/>
    </row>
    <row r="534">
      <c r="A534" s="15">
        <v>45986.0</v>
      </c>
      <c r="B534" s="16" t="s">
        <v>815</v>
      </c>
      <c r="C534" s="16" t="s">
        <v>26</v>
      </c>
      <c r="D534" s="16" t="s">
        <v>55</v>
      </c>
      <c r="E534" s="16" t="s">
        <v>19</v>
      </c>
      <c r="F534" s="17" t="str">
        <f>IFERROR(__xludf.DUMMYFUNCTION("""COMPUTED_VALUE"""),"MPL-PH-CS-1A")</f>
        <v>MPL-PH-CS-1A</v>
      </c>
      <c r="G534" s="18">
        <v>21.99</v>
      </c>
      <c r="H534" s="16" t="s">
        <v>509</v>
      </c>
      <c r="I534" s="16" t="s">
        <v>509</v>
      </c>
      <c r="J534" s="16" t="s">
        <v>816</v>
      </c>
      <c r="K534" s="16">
        <v>39.99</v>
      </c>
      <c r="L534" s="16">
        <v>1.0</v>
      </c>
      <c r="M534" s="16" t="s">
        <v>38</v>
      </c>
      <c r="N534" s="20">
        <v>21.99</v>
      </c>
      <c r="O534" s="21" t="s">
        <v>22</v>
      </c>
      <c r="P534" s="19"/>
      <c r="Q534" s="19"/>
      <c r="R534" s="19"/>
      <c r="S534" s="19"/>
      <c r="T534" s="19"/>
      <c r="U534" s="19"/>
      <c r="V534" s="19"/>
    </row>
    <row r="535">
      <c r="A535" s="15">
        <v>45986.0</v>
      </c>
      <c r="B535" s="16" t="s">
        <v>815</v>
      </c>
      <c r="C535" s="16" t="s">
        <v>26</v>
      </c>
      <c r="D535" s="16" t="s">
        <v>55</v>
      </c>
      <c r="E535" s="16" t="s">
        <v>71</v>
      </c>
      <c r="F535" s="17" t="str">
        <f>IFERROR(__xludf.DUMMYFUNCTION("""COMPUTED_VALUE"""),"MPL-PH-CS-1A-2")</f>
        <v>MPL-PH-CS-1A-2</v>
      </c>
      <c r="G535" s="18">
        <v>21.99</v>
      </c>
      <c r="H535" s="16" t="s">
        <v>508</v>
      </c>
      <c r="I535" s="22" t="s">
        <v>691</v>
      </c>
      <c r="J535" s="16" t="s">
        <v>817</v>
      </c>
      <c r="K535" s="16">
        <v>39.99</v>
      </c>
      <c r="L535" s="16">
        <v>1.0</v>
      </c>
      <c r="M535" s="16" t="s">
        <v>38</v>
      </c>
      <c r="N535" s="20">
        <v>21.99</v>
      </c>
      <c r="O535" s="21" t="s">
        <v>22</v>
      </c>
      <c r="P535" s="19"/>
      <c r="Q535" s="19"/>
      <c r="R535" s="19"/>
      <c r="S535" s="19"/>
      <c r="T535" s="19"/>
      <c r="U535" s="19"/>
      <c r="V535" s="19"/>
    </row>
    <row r="536">
      <c r="A536" s="15">
        <v>45986.0</v>
      </c>
      <c r="B536" s="16" t="s">
        <v>815</v>
      </c>
      <c r="C536" s="16" t="s">
        <v>26</v>
      </c>
      <c r="D536" s="16" t="s">
        <v>55</v>
      </c>
      <c r="E536" s="16" t="s">
        <v>129</v>
      </c>
      <c r="F536" s="17" t="str">
        <f>IFERROR(__xludf.DUMMYFUNCTION("""COMPUTED_VALUE"""),"MPL-PH-CS-1A-3")</f>
        <v>MPL-PH-CS-1A-3</v>
      </c>
      <c r="G536" s="18">
        <v>18.0</v>
      </c>
      <c r="H536" s="16" t="s">
        <v>508</v>
      </c>
      <c r="I536" s="16" t="s">
        <v>509</v>
      </c>
      <c r="J536" s="16" t="s">
        <v>818</v>
      </c>
      <c r="K536" s="16">
        <v>24.99</v>
      </c>
      <c r="L536" s="16">
        <v>1.0</v>
      </c>
      <c r="M536" s="16" t="s">
        <v>38</v>
      </c>
      <c r="N536" s="20">
        <v>18.0</v>
      </c>
      <c r="O536" s="21" t="s">
        <v>22</v>
      </c>
      <c r="P536" s="19"/>
      <c r="Q536" s="19"/>
      <c r="R536" s="19"/>
      <c r="S536" s="19"/>
      <c r="T536" s="19"/>
      <c r="U536" s="19"/>
      <c r="V536" s="19"/>
    </row>
    <row r="537">
      <c r="A537" s="15">
        <v>45986.0</v>
      </c>
      <c r="B537" s="16" t="s">
        <v>815</v>
      </c>
      <c r="C537" s="16" t="s">
        <v>26</v>
      </c>
      <c r="D537" s="16" t="s">
        <v>55</v>
      </c>
      <c r="E537" s="16" t="s">
        <v>143</v>
      </c>
      <c r="F537" s="17" t="str">
        <f>IFERROR(__xludf.DUMMYFUNCTION("""COMPUTED_VALUE"""),"MPL-PH-CS-1A-4")</f>
        <v>MPL-PH-CS-1A-4</v>
      </c>
      <c r="G537" s="18">
        <v>18.0</v>
      </c>
      <c r="H537" s="16" t="s">
        <v>508</v>
      </c>
      <c r="I537" s="16" t="s">
        <v>509</v>
      </c>
      <c r="J537" s="16" t="s">
        <v>819</v>
      </c>
      <c r="K537" s="16">
        <v>24.99</v>
      </c>
      <c r="L537" s="16">
        <v>1.0</v>
      </c>
      <c r="M537" s="16" t="s">
        <v>38</v>
      </c>
      <c r="N537" s="20">
        <v>18.0</v>
      </c>
      <c r="O537" s="21" t="s">
        <v>22</v>
      </c>
      <c r="P537" s="19"/>
      <c r="Q537" s="19"/>
      <c r="R537" s="19"/>
      <c r="S537" s="19"/>
      <c r="T537" s="19"/>
      <c r="U537" s="19"/>
      <c r="V537" s="19"/>
    </row>
    <row r="538">
      <c r="A538" s="15">
        <v>45986.0</v>
      </c>
      <c r="B538" s="16" t="s">
        <v>815</v>
      </c>
      <c r="C538" s="16" t="s">
        <v>73</v>
      </c>
      <c r="D538" s="16" t="s">
        <v>802</v>
      </c>
      <c r="E538" s="16" t="s">
        <v>19</v>
      </c>
      <c r="F538" s="17" t="str">
        <f>IFERROR(__xludf.DUMMYFUNCTION("""COMPUTED_VALUE"""),"MPL-SC-SAT-1A")</f>
        <v>MPL-SC-SAT-1A</v>
      </c>
      <c r="G538" s="18">
        <v>8.0</v>
      </c>
      <c r="H538" s="16" t="s">
        <v>508</v>
      </c>
      <c r="I538" s="16" t="s">
        <v>509</v>
      </c>
      <c r="J538" s="22" t="s">
        <v>820</v>
      </c>
      <c r="K538" s="16">
        <v>12.99</v>
      </c>
      <c r="L538" s="16">
        <v>1.0</v>
      </c>
      <c r="M538" s="16" t="s">
        <v>38</v>
      </c>
      <c r="N538" s="20">
        <v>8.0</v>
      </c>
      <c r="O538" s="21" t="s">
        <v>22</v>
      </c>
      <c r="P538" s="19"/>
      <c r="Q538" s="19"/>
      <c r="R538" s="19"/>
      <c r="S538" s="19"/>
      <c r="T538" s="19"/>
      <c r="U538" s="19"/>
      <c r="V538" s="19"/>
    </row>
    <row r="539">
      <c r="A539" s="15">
        <v>45986.0</v>
      </c>
      <c r="B539" s="16" t="s">
        <v>815</v>
      </c>
      <c r="C539" s="16" t="s">
        <v>73</v>
      </c>
      <c r="D539" s="16" t="s">
        <v>802</v>
      </c>
      <c r="E539" s="16" t="s">
        <v>71</v>
      </c>
      <c r="F539" s="17" t="str">
        <f>IFERROR(__xludf.DUMMYFUNCTION("""COMPUTED_VALUE"""),"MPL-SC-SAT-1A-2")</f>
        <v>MPL-SC-SAT-1A-2</v>
      </c>
      <c r="G539" s="18">
        <v>8.0</v>
      </c>
      <c r="H539" s="16" t="s">
        <v>508</v>
      </c>
      <c r="I539" s="16" t="s">
        <v>509</v>
      </c>
      <c r="J539" s="16" t="s">
        <v>821</v>
      </c>
      <c r="K539" s="16">
        <v>12.99</v>
      </c>
      <c r="L539" s="16">
        <v>1.0</v>
      </c>
      <c r="M539" s="16" t="s">
        <v>38</v>
      </c>
      <c r="N539" s="20">
        <v>8.0</v>
      </c>
      <c r="O539" s="21" t="s">
        <v>22</v>
      </c>
      <c r="P539" s="19"/>
      <c r="Q539" s="19"/>
      <c r="R539" s="19"/>
      <c r="S539" s="19"/>
      <c r="T539" s="19"/>
      <c r="U539" s="19"/>
      <c r="V539" s="19"/>
    </row>
    <row r="540">
      <c r="A540" s="15">
        <v>45986.0</v>
      </c>
      <c r="B540" s="16" t="s">
        <v>815</v>
      </c>
      <c r="C540" s="16" t="s">
        <v>73</v>
      </c>
      <c r="D540" s="16" t="s">
        <v>802</v>
      </c>
      <c r="E540" s="16" t="s">
        <v>129</v>
      </c>
      <c r="F540" s="17" t="str">
        <f>IFERROR(__xludf.DUMMYFUNCTION("""COMPUTED_VALUE"""),"MPL-SC-SAT-1A-3")</f>
        <v>MPL-SC-SAT-1A-3</v>
      </c>
      <c r="G540" s="18">
        <v>8.0</v>
      </c>
      <c r="H540" s="16" t="s">
        <v>508</v>
      </c>
      <c r="I540" s="16" t="s">
        <v>509</v>
      </c>
      <c r="J540" s="16" t="s">
        <v>822</v>
      </c>
      <c r="K540" s="16">
        <v>12.99</v>
      </c>
      <c r="L540" s="16">
        <v>1.0</v>
      </c>
      <c r="M540" s="16" t="s">
        <v>38</v>
      </c>
      <c r="N540" s="20">
        <v>8.0</v>
      </c>
      <c r="O540" s="21" t="s">
        <v>22</v>
      </c>
      <c r="P540" s="19"/>
      <c r="Q540" s="19"/>
      <c r="R540" s="19"/>
      <c r="S540" s="19"/>
      <c r="T540" s="19"/>
      <c r="U540" s="19"/>
      <c r="V540" s="19"/>
    </row>
    <row r="541">
      <c r="A541" s="15">
        <v>45986.0</v>
      </c>
      <c r="B541" s="16" t="s">
        <v>815</v>
      </c>
      <c r="C541" s="16" t="s">
        <v>73</v>
      </c>
      <c r="D541" s="16" t="s">
        <v>823</v>
      </c>
      <c r="E541" s="16" t="s">
        <v>19</v>
      </c>
      <c r="F541" s="17" t="str">
        <f>IFERROR(__xludf.DUMMYFUNCTION("""COMPUTED_VALUE"""),"MPL-SC-DF-1A")</f>
        <v>MPL-SC-DF-1A</v>
      </c>
      <c r="G541" s="18">
        <v>14.94</v>
      </c>
      <c r="H541" s="16" t="s">
        <v>508</v>
      </c>
      <c r="I541" s="16" t="s">
        <v>509</v>
      </c>
      <c r="J541" s="16" t="s">
        <v>824</v>
      </c>
      <c r="K541" s="16">
        <v>24.99</v>
      </c>
      <c r="L541" s="16">
        <v>1.0</v>
      </c>
      <c r="M541" s="16" t="s">
        <v>38</v>
      </c>
      <c r="N541" s="20">
        <v>14.94</v>
      </c>
      <c r="O541" s="21" t="s">
        <v>22</v>
      </c>
      <c r="P541" s="19"/>
      <c r="Q541" s="19"/>
      <c r="R541" s="19"/>
      <c r="S541" s="19"/>
      <c r="T541" s="19"/>
      <c r="U541" s="19"/>
      <c r="V541" s="19"/>
    </row>
    <row r="542">
      <c r="A542" s="15">
        <v>45986.0</v>
      </c>
      <c r="B542" s="16" t="s">
        <v>815</v>
      </c>
      <c r="C542" s="16" t="s">
        <v>73</v>
      </c>
      <c r="D542" s="16" t="s">
        <v>823</v>
      </c>
      <c r="E542" s="16" t="s">
        <v>71</v>
      </c>
      <c r="F542" s="17" t="str">
        <f>IFERROR(__xludf.DUMMYFUNCTION("""COMPUTED_VALUE"""),"MPL-SC-DF-1A-2")</f>
        <v>MPL-SC-DF-1A-2</v>
      </c>
      <c r="G542" s="18">
        <v>14.94</v>
      </c>
      <c r="H542" s="16" t="s">
        <v>508</v>
      </c>
      <c r="I542" s="16" t="s">
        <v>509</v>
      </c>
      <c r="J542" s="16" t="s">
        <v>825</v>
      </c>
      <c r="K542" s="16">
        <v>24.99</v>
      </c>
      <c r="L542" s="16">
        <v>1.0</v>
      </c>
      <c r="M542" s="16" t="s">
        <v>38</v>
      </c>
      <c r="N542" s="20">
        <v>14.94</v>
      </c>
      <c r="O542" s="21" t="s">
        <v>22</v>
      </c>
      <c r="P542" s="19"/>
      <c r="Q542" s="19"/>
      <c r="R542" s="19"/>
      <c r="S542" s="19"/>
      <c r="T542" s="19"/>
      <c r="U542" s="19"/>
      <c r="V542" s="19"/>
    </row>
    <row r="543">
      <c r="A543" s="15">
        <v>45986.0</v>
      </c>
      <c r="B543" s="16" t="s">
        <v>815</v>
      </c>
      <c r="C543" s="16" t="s">
        <v>73</v>
      </c>
      <c r="D543" s="16" t="s">
        <v>823</v>
      </c>
      <c r="E543" s="16" t="s">
        <v>129</v>
      </c>
      <c r="F543" s="17" t="str">
        <f>IFERROR(__xludf.DUMMYFUNCTION("""COMPUTED_VALUE"""),"MPL-SC-DF-1A-3")</f>
        <v>MPL-SC-DF-1A-3</v>
      </c>
      <c r="G543" s="18">
        <v>14.94</v>
      </c>
      <c r="H543" s="16" t="s">
        <v>508</v>
      </c>
      <c r="I543" s="16" t="s">
        <v>509</v>
      </c>
      <c r="J543" s="16" t="s">
        <v>826</v>
      </c>
      <c r="K543" s="16">
        <v>24.99</v>
      </c>
      <c r="L543" s="16">
        <v>1.0</v>
      </c>
      <c r="M543" s="16" t="s">
        <v>38</v>
      </c>
      <c r="N543" s="20">
        <v>14.94</v>
      </c>
      <c r="O543" s="21" t="s">
        <v>22</v>
      </c>
      <c r="P543" s="19"/>
      <c r="Q543" s="19"/>
      <c r="R543" s="19"/>
      <c r="S543" s="19"/>
      <c r="T543" s="19"/>
      <c r="U543" s="19"/>
      <c r="V543" s="19"/>
    </row>
    <row r="544">
      <c r="A544" s="15">
        <v>45986.0</v>
      </c>
      <c r="B544" s="16" t="s">
        <v>815</v>
      </c>
      <c r="C544" s="16" t="s">
        <v>398</v>
      </c>
      <c r="D544" s="16" t="s">
        <v>399</v>
      </c>
      <c r="E544" s="16" t="s">
        <v>19</v>
      </c>
      <c r="F544" s="17" t="str">
        <f>IFERROR(__xludf.DUMMYFUNCTION("""COMPUTED_VALUE"""),"MPL-CHL-SPI-1A")</f>
        <v>MPL-CHL-SPI-1A</v>
      </c>
      <c r="G544" s="18">
        <v>7.0</v>
      </c>
      <c r="H544" s="16" t="s">
        <v>508</v>
      </c>
      <c r="I544" s="16" t="s">
        <v>509</v>
      </c>
      <c r="J544" s="16" t="s">
        <v>827</v>
      </c>
      <c r="K544" s="16">
        <v>15.99</v>
      </c>
      <c r="L544" s="16">
        <v>1.0</v>
      </c>
      <c r="M544" s="16" t="s">
        <v>38</v>
      </c>
      <c r="N544" s="20">
        <v>7.0</v>
      </c>
      <c r="O544" s="21" t="s">
        <v>22</v>
      </c>
      <c r="P544" s="19"/>
      <c r="Q544" s="19"/>
      <c r="R544" s="19"/>
      <c r="S544" s="19"/>
      <c r="T544" s="19"/>
      <c r="U544" s="19"/>
      <c r="V544" s="19"/>
    </row>
    <row r="545">
      <c r="A545" s="15">
        <v>45986.0</v>
      </c>
      <c r="B545" s="16" t="s">
        <v>815</v>
      </c>
      <c r="C545" s="16" t="s">
        <v>398</v>
      </c>
      <c r="D545" s="16" t="s">
        <v>399</v>
      </c>
      <c r="E545" s="16" t="s">
        <v>71</v>
      </c>
      <c r="F545" s="17" t="str">
        <f>IFERROR(__xludf.DUMMYFUNCTION("""COMPUTED_VALUE"""),"MPL-CHL-SPI-1A-2")</f>
        <v>MPL-CHL-SPI-1A-2</v>
      </c>
      <c r="G545" s="18">
        <v>7.0</v>
      </c>
      <c r="H545" s="16" t="s">
        <v>508</v>
      </c>
      <c r="I545" s="16" t="s">
        <v>509</v>
      </c>
      <c r="J545" s="16" t="s">
        <v>828</v>
      </c>
      <c r="K545" s="16">
        <v>15.99</v>
      </c>
      <c r="L545" s="16">
        <v>1.0</v>
      </c>
      <c r="M545" s="16" t="s">
        <v>38</v>
      </c>
      <c r="N545" s="20">
        <v>7.0</v>
      </c>
      <c r="O545" s="21" t="s">
        <v>22</v>
      </c>
      <c r="P545" s="19"/>
      <c r="Q545" s="19"/>
      <c r="R545" s="19"/>
      <c r="S545" s="19"/>
      <c r="T545" s="19"/>
      <c r="U545" s="19"/>
      <c r="V545" s="19"/>
    </row>
    <row r="546">
      <c r="A546" s="15">
        <v>45986.0</v>
      </c>
      <c r="B546" s="16" t="s">
        <v>815</v>
      </c>
      <c r="C546" s="16" t="s">
        <v>398</v>
      </c>
      <c r="D546" s="16" t="s">
        <v>399</v>
      </c>
      <c r="E546" s="16" t="s">
        <v>129</v>
      </c>
      <c r="F546" s="17" t="str">
        <f>IFERROR(__xludf.DUMMYFUNCTION("""COMPUTED_VALUE"""),"MPL-CHL-SPI-1A-3")</f>
        <v>MPL-CHL-SPI-1A-3</v>
      </c>
      <c r="G546" s="18">
        <v>7.0</v>
      </c>
      <c r="H546" s="16" t="s">
        <v>508</v>
      </c>
      <c r="I546" s="16" t="s">
        <v>509</v>
      </c>
      <c r="J546" s="16" t="s">
        <v>829</v>
      </c>
      <c r="K546" s="16">
        <v>15.99</v>
      </c>
      <c r="L546" s="16">
        <v>1.0</v>
      </c>
      <c r="M546" s="16" t="s">
        <v>38</v>
      </c>
      <c r="N546" s="20">
        <v>7.0</v>
      </c>
      <c r="O546" s="21" t="s">
        <v>22</v>
      </c>
      <c r="P546" s="19"/>
      <c r="Q546" s="19"/>
      <c r="R546" s="19"/>
      <c r="S546" s="19"/>
      <c r="T546" s="19"/>
      <c r="U546" s="19"/>
      <c r="V546" s="19"/>
    </row>
    <row r="547">
      <c r="A547" s="15">
        <v>45986.0</v>
      </c>
      <c r="B547" s="16" t="s">
        <v>815</v>
      </c>
      <c r="C547" s="16" t="s">
        <v>159</v>
      </c>
      <c r="D547" s="16" t="s">
        <v>830</v>
      </c>
      <c r="E547" s="16" t="s">
        <v>19</v>
      </c>
      <c r="F547" s="17" t="str">
        <f>IFERROR(__xludf.DUMMYFUNCTION("""COMPUTED_VALUE"""),"MPL-SYN-VA-1A")</f>
        <v>MPL-SYN-VA-1A</v>
      </c>
      <c r="G547" s="18">
        <v>10.0</v>
      </c>
      <c r="H547" s="16" t="s">
        <v>508</v>
      </c>
      <c r="I547" s="16" t="s">
        <v>509</v>
      </c>
      <c r="J547" s="16" t="s">
        <v>831</v>
      </c>
      <c r="K547" s="16">
        <v>19.99</v>
      </c>
      <c r="L547" s="16">
        <v>1.0</v>
      </c>
      <c r="M547" s="16" t="s">
        <v>38</v>
      </c>
      <c r="N547" s="20">
        <v>10.0</v>
      </c>
      <c r="O547" s="21" t="s">
        <v>22</v>
      </c>
      <c r="P547" s="19"/>
      <c r="Q547" s="19"/>
      <c r="R547" s="19"/>
      <c r="S547" s="19"/>
      <c r="T547" s="19"/>
      <c r="U547" s="19"/>
      <c r="V547" s="19"/>
    </row>
    <row r="548">
      <c r="A548" s="15">
        <v>45986.0</v>
      </c>
      <c r="B548" s="16" t="s">
        <v>815</v>
      </c>
      <c r="C548" s="16" t="s">
        <v>159</v>
      </c>
      <c r="D548" s="16" t="s">
        <v>830</v>
      </c>
      <c r="E548" s="16" t="s">
        <v>71</v>
      </c>
      <c r="F548" s="17" t="str">
        <f>IFERROR(__xludf.DUMMYFUNCTION("""COMPUTED_VALUE"""),"MPL-SYN-VA-1A-2")</f>
        <v>MPL-SYN-VA-1A-2</v>
      </c>
      <c r="G548" s="18">
        <v>10.0</v>
      </c>
      <c r="H548" s="16" t="s">
        <v>508</v>
      </c>
      <c r="I548" s="22" t="s">
        <v>691</v>
      </c>
      <c r="J548" s="16" t="s">
        <v>832</v>
      </c>
      <c r="K548" s="16">
        <v>19.99</v>
      </c>
      <c r="L548" s="16">
        <v>1.0</v>
      </c>
      <c r="M548" s="16" t="s">
        <v>38</v>
      </c>
      <c r="N548" s="20">
        <v>10.0</v>
      </c>
      <c r="O548" s="21" t="s">
        <v>22</v>
      </c>
      <c r="P548" s="19"/>
      <c r="Q548" s="19"/>
      <c r="R548" s="19"/>
      <c r="S548" s="19"/>
      <c r="T548" s="19"/>
      <c r="U548" s="19"/>
      <c r="V548" s="19"/>
    </row>
    <row r="549">
      <c r="A549" s="15">
        <v>45986.0</v>
      </c>
      <c r="B549" s="16" t="s">
        <v>815</v>
      </c>
      <c r="C549" s="16" t="s">
        <v>159</v>
      </c>
      <c r="D549" s="16" t="s">
        <v>830</v>
      </c>
      <c r="E549" s="16" t="s">
        <v>129</v>
      </c>
      <c r="F549" s="17" t="str">
        <f>IFERROR(__xludf.DUMMYFUNCTION("""COMPUTED_VALUE"""),"MPL-SYN-VA-1A-3")</f>
        <v>MPL-SYN-VA-1A-3</v>
      </c>
      <c r="G549" s="18">
        <v>10.0</v>
      </c>
      <c r="H549" s="16" t="s">
        <v>508</v>
      </c>
      <c r="I549" s="22" t="s">
        <v>691</v>
      </c>
      <c r="J549" s="16" t="s">
        <v>833</v>
      </c>
      <c r="K549" s="16">
        <v>19.99</v>
      </c>
      <c r="L549" s="16">
        <v>1.0</v>
      </c>
      <c r="M549" s="16" t="s">
        <v>38</v>
      </c>
      <c r="N549" s="20">
        <v>10.0</v>
      </c>
      <c r="O549" s="21" t="s">
        <v>22</v>
      </c>
      <c r="P549" s="19"/>
      <c r="Q549" s="19"/>
      <c r="R549" s="19"/>
      <c r="S549" s="19"/>
      <c r="T549" s="19"/>
      <c r="U549" s="19"/>
      <c r="V549" s="19"/>
    </row>
    <row r="550">
      <c r="A550" s="15">
        <v>46005.0</v>
      </c>
      <c r="B550" s="16" t="s">
        <v>43</v>
      </c>
      <c r="C550" s="16" t="s">
        <v>834</v>
      </c>
      <c r="D550" s="16" t="s">
        <v>835</v>
      </c>
      <c r="E550" s="16" t="s">
        <v>19</v>
      </c>
      <c r="F550" s="17" t="str">
        <f>IFERROR(__xludf.DUMMYFUNCTION("""COMPUTED_VALUE"""),"FM-RH-TET-1A")</f>
        <v>FM-RH-TET-1A</v>
      </c>
      <c r="G550" s="18">
        <v>0.0</v>
      </c>
      <c r="H550" s="16"/>
      <c r="I550" s="16"/>
      <c r="J550" s="16" t="s">
        <v>836</v>
      </c>
      <c r="K550" s="16">
        <v>10.0</v>
      </c>
      <c r="L550" s="16">
        <v>1.0</v>
      </c>
      <c r="M550" s="16" t="s">
        <v>29</v>
      </c>
      <c r="N550" s="20">
        <v>0.0</v>
      </c>
      <c r="O550" s="21" t="s">
        <v>22</v>
      </c>
      <c r="P550" s="19"/>
      <c r="Q550" s="19"/>
      <c r="R550" s="19"/>
      <c r="S550" s="19"/>
      <c r="T550" s="19"/>
      <c r="U550" s="19"/>
      <c r="V550" s="19"/>
    </row>
    <row r="551">
      <c r="A551" s="15"/>
      <c r="B551" s="16"/>
      <c r="C551" s="16"/>
      <c r="D551" s="16"/>
      <c r="E551" s="16"/>
      <c r="F551" s="17" t="str">
        <f>IFERROR(__xludf.DUMMYFUNCTION("""COMPUTED_VALUE"""),"")</f>
        <v/>
      </c>
      <c r="G551" s="18"/>
      <c r="H551" s="16"/>
      <c r="I551" s="16"/>
      <c r="J551" s="16"/>
      <c r="K551" s="16"/>
      <c r="L551" s="16"/>
      <c r="M551" s="16"/>
      <c r="N551" s="20" t="s">
        <v>39</v>
      </c>
      <c r="O551" s="21"/>
      <c r="P551" s="19"/>
      <c r="Q551" s="19"/>
      <c r="R551" s="19"/>
      <c r="S551" s="19"/>
      <c r="T551" s="19"/>
      <c r="U551" s="19"/>
      <c r="V551" s="19"/>
    </row>
    <row r="552">
      <c r="A552" s="15"/>
      <c r="B552" s="16"/>
      <c r="C552" s="16"/>
      <c r="D552" s="16"/>
      <c r="E552" s="16"/>
      <c r="F552" s="17" t="str">
        <f>IFERROR(__xludf.DUMMYFUNCTION("""COMPUTED_VALUE"""),"")</f>
        <v/>
      </c>
      <c r="G552" s="18"/>
      <c r="H552" s="16"/>
      <c r="I552" s="16"/>
      <c r="J552" s="16"/>
      <c r="K552" s="16"/>
      <c r="L552" s="16"/>
      <c r="M552" s="16"/>
      <c r="N552" s="20" t="s">
        <v>39</v>
      </c>
      <c r="O552" s="21"/>
      <c r="P552" s="19"/>
      <c r="Q552" s="19"/>
      <c r="R552" s="19"/>
      <c r="S552" s="19"/>
      <c r="T552" s="19"/>
      <c r="U552" s="19"/>
      <c r="V552" s="19"/>
    </row>
    <row r="553">
      <c r="A553" s="24">
        <v>45893.0</v>
      </c>
      <c r="B553" s="16" t="s">
        <v>16</v>
      </c>
      <c r="C553" s="16" t="s">
        <v>837</v>
      </c>
      <c r="D553" s="16" t="s">
        <v>838</v>
      </c>
      <c r="E553" s="16" t="s">
        <v>19</v>
      </c>
      <c r="F553" s="17" t="str">
        <f>IFERROR(__xludf.DUMMYFUNCTION("""COMPUTED_VALUE"""),"HS-SP-PLD-1A")</f>
        <v>HS-SP-PLD-1A</v>
      </c>
      <c r="G553" s="18">
        <v>19.99</v>
      </c>
      <c r="H553" s="19"/>
      <c r="I553" s="19"/>
      <c r="J553" s="16" t="s">
        <v>839</v>
      </c>
      <c r="K553" s="16">
        <v>30.0</v>
      </c>
      <c r="L553" s="16">
        <v>1.0</v>
      </c>
      <c r="M553" s="16" t="s">
        <v>48</v>
      </c>
      <c r="N553" s="20">
        <v>19.99</v>
      </c>
      <c r="O553" s="21" t="s">
        <v>22</v>
      </c>
      <c r="P553" s="19"/>
      <c r="Q553" s="19"/>
      <c r="R553" s="19"/>
      <c r="S553" s="19"/>
      <c r="T553" s="19"/>
      <c r="U553" s="19"/>
      <c r="V553" s="19"/>
    </row>
    <row r="554">
      <c r="A554" s="15"/>
      <c r="B554" s="16"/>
      <c r="C554" s="16"/>
      <c r="D554" s="16"/>
      <c r="E554" s="16"/>
      <c r="F554" s="17" t="str">
        <f>IFERROR(__xludf.DUMMYFUNCTION("""COMPUTED_VALUE"""),"")</f>
        <v/>
      </c>
      <c r="G554" s="18"/>
      <c r="H554" s="19"/>
      <c r="I554" s="19"/>
      <c r="J554" s="16"/>
      <c r="K554" s="16"/>
      <c r="L554" s="16"/>
      <c r="M554" s="16"/>
      <c r="N554" s="20" t="s">
        <v>39</v>
      </c>
      <c r="O554" s="21" t="s">
        <v>22</v>
      </c>
      <c r="P554" s="19"/>
      <c r="Q554" s="19"/>
      <c r="R554" s="19"/>
      <c r="S554" s="19"/>
      <c r="T554" s="19"/>
      <c r="U554" s="19"/>
      <c r="V554" s="19"/>
    </row>
    <row r="555">
      <c r="A555" s="15"/>
      <c r="B555" s="16"/>
      <c r="C555" s="16"/>
      <c r="D555" s="16"/>
      <c r="E555" s="16"/>
      <c r="F555" s="17" t="str">
        <f>IFERROR(__xludf.DUMMYFUNCTION("""COMPUTED_VALUE"""),"")</f>
        <v/>
      </c>
      <c r="G555" s="18"/>
      <c r="H555" s="19"/>
      <c r="I555" s="19"/>
      <c r="J555" s="16"/>
      <c r="K555" s="16"/>
      <c r="L555" s="16"/>
      <c r="M555" s="16"/>
      <c r="N555" s="20" t="s">
        <v>39</v>
      </c>
      <c r="O555" s="21"/>
      <c r="P555" s="19"/>
      <c r="Q555" s="19"/>
      <c r="R555" s="19"/>
      <c r="S555" s="19"/>
      <c r="T555" s="19"/>
      <c r="U555" s="19"/>
      <c r="V555" s="19"/>
    </row>
    <row r="556">
      <c r="A556" s="15"/>
      <c r="B556" s="16"/>
      <c r="C556" s="16"/>
      <c r="D556" s="16"/>
      <c r="E556" s="16"/>
      <c r="F556" s="17" t="str">
        <f>IFERROR(__xludf.DUMMYFUNCTION("""COMPUTED_VALUE"""),"")</f>
        <v/>
      </c>
      <c r="G556" s="18"/>
      <c r="H556" s="19"/>
      <c r="I556" s="19"/>
      <c r="J556" s="16"/>
      <c r="K556" s="16"/>
      <c r="L556" s="16"/>
      <c r="M556" s="16"/>
      <c r="N556" s="20" t="s">
        <v>39</v>
      </c>
      <c r="O556" s="21"/>
      <c r="P556" s="19"/>
      <c r="Q556" s="19"/>
      <c r="R556" s="19"/>
      <c r="S556" s="19"/>
      <c r="T556" s="19"/>
      <c r="U556" s="19"/>
      <c r="V556" s="19"/>
    </row>
    <row r="557">
      <c r="A557" s="15"/>
      <c r="B557" s="16"/>
      <c r="C557" s="16"/>
      <c r="D557" s="16"/>
      <c r="E557" s="16"/>
      <c r="F557" s="17" t="str">
        <f>IFERROR(__xludf.DUMMYFUNCTION("""COMPUTED_VALUE"""),"")</f>
        <v/>
      </c>
      <c r="G557" s="18"/>
      <c r="H557" s="19"/>
      <c r="I557" s="19"/>
      <c r="J557" s="16"/>
      <c r="K557" s="16"/>
      <c r="L557" s="16"/>
      <c r="M557" s="16"/>
      <c r="N557" s="20" t="s">
        <v>39</v>
      </c>
      <c r="O557" s="21"/>
      <c r="P557" s="19"/>
      <c r="Q557" s="19"/>
      <c r="R557" s="19"/>
      <c r="S557" s="19"/>
      <c r="T557" s="19"/>
      <c r="U557" s="19"/>
      <c r="V557" s="19"/>
    </row>
    <row r="558">
      <c r="A558" s="15"/>
      <c r="B558" s="16"/>
      <c r="C558" s="16"/>
      <c r="D558" s="16"/>
      <c r="E558" s="16"/>
      <c r="F558" s="17" t="str">
        <f>IFERROR(__xludf.DUMMYFUNCTION("""COMPUTED_VALUE"""),"")</f>
        <v/>
      </c>
      <c r="G558" s="18"/>
      <c r="H558" s="16"/>
      <c r="I558" s="16"/>
      <c r="J558" s="16"/>
      <c r="K558" s="16"/>
      <c r="L558" s="16"/>
      <c r="M558" s="16"/>
      <c r="N558" s="20" t="s">
        <v>39</v>
      </c>
      <c r="O558" s="21"/>
      <c r="P558" s="19"/>
      <c r="Q558" s="19"/>
      <c r="R558" s="19"/>
      <c r="S558" s="19"/>
      <c r="T558" s="19"/>
      <c r="U558" s="19"/>
      <c r="V558" s="19"/>
    </row>
    <row r="559">
      <c r="A559" s="15"/>
      <c r="B559" s="16"/>
      <c r="C559" s="16"/>
      <c r="D559" s="16"/>
      <c r="E559" s="16"/>
      <c r="F559" s="17" t="str">
        <f>IFERROR(__xludf.DUMMYFUNCTION("""COMPUTED_VALUE"""),"")</f>
        <v/>
      </c>
      <c r="G559" s="18"/>
      <c r="H559" s="19"/>
      <c r="I559" s="19"/>
      <c r="J559" s="16"/>
      <c r="K559" s="16"/>
      <c r="L559" s="16"/>
      <c r="M559" s="16"/>
      <c r="N559" s="20" t="s">
        <v>39</v>
      </c>
      <c r="O559" s="21"/>
      <c r="P559" s="19"/>
      <c r="Q559" s="19"/>
      <c r="R559" s="19"/>
      <c r="S559" s="19"/>
      <c r="T559" s="19"/>
      <c r="U559" s="19"/>
      <c r="V559" s="19"/>
    </row>
    <row r="560">
      <c r="A560" s="15"/>
      <c r="B560" s="16"/>
      <c r="C560" s="16"/>
      <c r="D560" s="16"/>
      <c r="E560" s="16"/>
      <c r="F560" s="17" t="str">
        <f>IFERROR(__xludf.DUMMYFUNCTION("""COMPUTED_VALUE"""),"")</f>
        <v/>
      </c>
      <c r="G560" s="18"/>
      <c r="H560" s="16"/>
      <c r="I560" s="16"/>
      <c r="J560" s="16"/>
      <c r="K560" s="16"/>
      <c r="L560" s="16"/>
      <c r="M560" s="16"/>
      <c r="N560" s="20" t="s">
        <v>39</v>
      </c>
      <c r="O560" s="21"/>
      <c r="P560" s="16"/>
      <c r="Q560" s="19"/>
      <c r="R560" s="19"/>
      <c r="S560" s="19"/>
      <c r="T560" s="19"/>
      <c r="U560" s="19"/>
      <c r="V560" s="19"/>
    </row>
    <row r="561">
      <c r="A561" s="15">
        <v>45370.0</v>
      </c>
      <c r="B561" s="16" t="s">
        <v>16</v>
      </c>
      <c r="C561" s="16" t="s">
        <v>26</v>
      </c>
      <c r="D561" s="16" t="s">
        <v>840</v>
      </c>
      <c r="E561" s="16" t="s">
        <v>19</v>
      </c>
      <c r="F561" s="17" t="str">
        <f>IFERROR(__xludf.DUMMYFUNCTION("""COMPUTED_VALUE"""),"HS-PH-UN-1A")</f>
        <v>HS-PH-UN-1A</v>
      </c>
      <c r="G561" s="18">
        <v>0.0</v>
      </c>
      <c r="H561" s="19"/>
      <c r="I561" s="19"/>
      <c r="J561" s="16" t="s">
        <v>841</v>
      </c>
      <c r="K561" s="16">
        <v>0.0</v>
      </c>
      <c r="L561" s="16">
        <v>1.0</v>
      </c>
      <c r="M561" s="16" t="s">
        <v>842</v>
      </c>
      <c r="N561" s="20">
        <v>0.0</v>
      </c>
      <c r="O561" s="21" t="s">
        <v>22</v>
      </c>
      <c r="P561" s="19"/>
      <c r="Q561" s="19"/>
      <c r="R561" s="19"/>
      <c r="S561" s="19"/>
      <c r="T561" s="19"/>
      <c r="U561" s="19"/>
      <c r="V561" s="19"/>
    </row>
    <row r="562">
      <c r="A562" s="15">
        <v>46028.0</v>
      </c>
      <c r="B562" s="16" t="s">
        <v>138</v>
      </c>
      <c r="C562" s="16" t="s">
        <v>159</v>
      </c>
      <c r="D562" s="16" t="s">
        <v>765</v>
      </c>
      <c r="E562" s="16" t="s">
        <v>348</v>
      </c>
      <c r="F562" s="17" t="str">
        <f>IFERROR(__xludf.DUMMYFUNCTION("""COMPUTED_VALUE"""),"BWH-SYN-WE-2A")</f>
        <v>BWH-SYN-WE-2A</v>
      </c>
      <c r="G562" s="18">
        <v>0.0</v>
      </c>
      <c r="H562" s="16" t="s">
        <v>46</v>
      </c>
      <c r="I562" s="16" t="s">
        <v>46</v>
      </c>
      <c r="J562" s="16" t="s">
        <v>843</v>
      </c>
      <c r="K562" s="16">
        <v>12.99</v>
      </c>
      <c r="L562" s="16">
        <v>1.0</v>
      </c>
      <c r="M562" s="16" t="s">
        <v>38</v>
      </c>
      <c r="N562" s="20">
        <v>0.0</v>
      </c>
      <c r="O562" s="21" t="s">
        <v>22</v>
      </c>
      <c r="P562" s="19"/>
      <c r="Q562" s="19"/>
      <c r="R562" s="19"/>
      <c r="S562" s="19"/>
      <c r="T562" s="19"/>
      <c r="U562" s="19"/>
      <c r="V562" s="19"/>
    </row>
    <row r="563">
      <c r="A563" s="15">
        <v>46028.0</v>
      </c>
      <c r="B563" s="16" t="s">
        <v>138</v>
      </c>
      <c r="C563" s="16" t="s">
        <v>159</v>
      </c>
      <c r="D563" s="16" t="s">
        <v>765</v>
      </c>
      <c r="E563" s="16" t="s">
        <v>350</v>
      </c>
      <c r="F563" s="17" t="str">
        <f>IFERROR(__xludf.DUMMYFUNCTION("""COMPUTED_VALUE"""),"BWH-SYN-WE-2A-2")</f>
        <v>BWH-SYN-WE-2A-2</v>
      </c>
      <c r="G563" s="18">
        <v>0.0</v>
      </c>
      <c r="H563" s="16" t="s">
        <v>46</v>
      </c>
      <c r="I563" s="16" t="s">
        <v>46</v>
      </c>
      <c r="J563" s="16" t="s">
        <v>844</v>
      </c>
      <c r="K563" s="16">
        <v>12.99</v>
      </c>
      <c r="L563" s="16">
        <v>1.0</v>
      </c>
      <c r="M563" s="16" t="s">
        <v>38</v>
      </c>
      <c r="N563" s="20">
        <v>0.0</v>
      </c>
      <c r="O563" s="21" t="s">
        <v>22</v>
      </c>
      <c r="P563" s="19"/>
      <c r="Q563" s="19"/>
      <c r="R563" s="19"/>
      <c r="S563" s="19"/>
      <c r="T563" s="19"/>
      <c r="U563" s="19"/>
      <c r="V563" s="19"/>
    </row>
    <row r="564">
      <c r="A564" s="15">
        <v>45886.0</v>
      </c>
      <c r="B564" s="16" t="s">
        <v>16</v>
      </c>
      <c r="C564" s="16" t="s">
        <v>26</v>
      </c>
      <c r="D564" s="16" t="s">
        <v>239</v>
      </c>
      <c r="E564" s="16" t="s">
        <v>19</v>
      </c>
      <c r="F564" s="17" t="str">
        <f>IFERROR(__xludf.DUMMYFUNCTION("""COMPUTED_VALUE"""),"HS-PH-ROF-1A")</f>
        <v>HS-PH-ROF-1A</v>
      </c>
      <c r="G564" s="18">
        <v>0.0</v>
      </c>
      <c r="H564" s="19"/>
      <c r="I564" s="19"/>
      <c r="J564" s="16" t="s">
        <v>845</v>
      </c>
      <c r="K564" s="16">
        <v>0.0</v>
      </c>
      <c r="L564" s="16">
        <v>1.0</v>
      </c>
      <c r="M564" s="16" t="s">
        <v>171</v>
      </c>
      <c r="N564" s="20">
        <v>0.0</v>
      </c>
      <c r="O564" s="21" t="s">
        <v>22</v>
      </c>
      <c r="P564" s="19"/>
      <c r="Q564" s="19"/>
      <c r="R564" s="19"/>
      <c r="S564" s="19"/>
      <c r="T564" s="19"/>
      <c r="U564" s="19"/>
      <c r="V564" s="19"/>
    </row>
    <row r="565">
      <c r="A565" s="15">
        <v>46087.0</v>
      </c>
      <c r="B565" s="16" t="s">
        <v>846</v>
      </c>
      <c r="C565" s="16" t="s">
        <v>847</v>
      </c>
      <c r="D565" s="16" t="s">
        <v>848</v>
      </c>
      <c r="E565" s="16" t="s">
        <v>19</v>
      </c>
      <c r="F565" s="17" t="str">
        <f>IFERROR(__xludf.DUMMYFUNCTION("""COMPUTED_VALUE"""),"TA-OC-HB-1A")</f>
        <v>TA-OC-HB-1A</v>
      </c>
      <c r="G565" s="18">
        <v>0.7</v>
      </c>
      <c r="H565" s="19"/>
      <c r="I565" s="19"/>
      <c r="J565" s="16" t="s">
        <v>849</v>
      </c>
      <c r="K565" s="16">
        <v>4.0</v>
      </c>
      <c r="L565" s="16">
        <v>1.0</v>
      </c>
      <c r="M565" s="16" t="s">
        <v>850</v>
      </c>
      <c r="N565" s="20">
        <v>0.7</v>
      </c>
      <c r="O565" s="21" t="s">
        <v>22</v>
      </c>
      <c r="P565" s="19"/>
      <c r="Q565" s="19"/>
      <c r="R565" s="19"/>
      <c r="S565" s="19"/>
      <c r="T565" s="19"/>
      <c r="U565" s="19"/>
      <c r="V565" s="19"/>
    </row>
    <row r="566">
      <c r="A566" s="15">
        <v>46123.0</v>
      </c>
      <c r="B566" s="16" t="s">
        <v>851</v>
      </c>
      <c r="C566" s="16" t="s">
        <v>852</v>
      </c>
      <c r="D566" s="16" t="s">
        <v>853</v>
      </c>
      <c r="E566" s="16" t="s">
        <v>19</v>
      </c>
      <c r="F566" s="17" t="str">
        <f>IFERROR(__xludf.DUMMYFUNCTION("""COMPUTED_VALUE"""),"EH-TO-CP-1A")</f>
        <v>EH-TO-CP-1A</v>
      </c>
      <c r="G566" s="18">
        <v>0.23</v>
      </c>
      <c r="H566" s="19"/>
      <c r="I566" s="19"/>
      <c r="J566" s="16" t="s">
        <v>854</v>
      </c>
      <c r="K566" s="16">
        <v>5.0</v>
      </c>
      <c r="L566" s="16">
        <v>1.0</v>
      </c>
      <c r="M566" s="16" t="s">
        <v>83</v>
      </c>
      <c r="N566" s="20">
        <v>0.23</v>
      </c>
      <c r="O566" s="21" t="s">
        <v>22</v>
      </c>
      <c r="P566" s="16" t="s">
        <v>855</v>
      </c>
      <c r="Q566" s="19"/>
      <c r="R566" s="19"/>
      <c r="S566" s="19"/>
      <c r="T566" s="19"/>
      <c r="U566" s="19"/>
      <c r="V566" s="19"/>
    </row>
    <row r="567">
      <c r="A567" s="15">
        <v>46123.0</v>
      </c>
      <c r="B567" s="16" t="s">
        <v>851</v>
      </c>
      <c r="C567" s="16" t="s">
        <v>852</v>
      </c>
      <c r="D567" s="16" t="s">
        <v>856</v>
      </c>
      <c r="E567" s="16" t="s">
        <v>19</v>
      </c>
      <c r="F567" s="17" t="str">
        <f>IFERROR(__xludf.DUMMYFUNCTION("""COMPUTED_VALUE"""),"EH-TO-ERC-1A")</f>
        <v>EH-TO-ERC-1A</v>
      </c>
      <c r="G567" s="18">
        <v>0.23</v>
      </c>
      <c r="H567" s="19"/>
      <c r="I567" s="19"/>
      <c r="J567" s="16" t="s">
        <v>857</v>
      </c>
      <c r="K567" s="16">
        <v>5.0</v>
      </c>
      <c r="L567" s="16">
        <v>1.0</v>
      </c>
      <c r="M567" s="16" t="s">
        <v>83</v>
      </c>
      <c r="N567" s="20">
        <v>0.23</v>
      </c>
      <c r="O567" s="21" t="s">
        <v>22</v>
      </c>
      <c r="P567" s="16" t="s">
        <v>858</v>
      </c>
      <c r="Q567" s="19"/>
      <c r="R567" s="19"/>
      <c r="S567" s="19"/>
      <c r="T567" s="19"/>
      <c r="U567" s="19"/>
      <c r="V567" s="19"/>
    </row>
    <row r="568">
      <c r="A568" s="15">
        <v>46087.0</v>
      </c>
      <c r="B568" s="16" t="s">
        <v>846</v>
      </c>
      <c r="C568" s="16" t="s">
        <v>859</v>
      </c>
      <c r="D568" s="16" t="s">
        <v>860</v>
      </c>
      <c r="E568" s="16" t="s">
        <v>19</v>
      </c>
      <c r="F568" s="17" t="str">
        <f>IFERROR(__xludf.DUMMYFUNCTION("""COMPUTED_VALUE"""),"TA-TH-TH-1A")</f>
        <v>TA-TH-TH-1A</v>
      </c>
      <c r="G568" s="18">
        <v>0.08</v>
      </c>
      <c r="H568" s="19"/>
      <c r="I568" s="19"/>
      <c r="J568" s="16" t="s">
        <v>861</v>
      </c>
      <c r="K568" s="16">
        <v>4.0</v>
      </c>
      <c r="L568" s="16">
        <v>1.0</v>
      </c>
      <c r="M568" s="16" t="s">
        <v>850</v>
      </c>
      <c r="N568" s="20">
        <v>0.08</v>
      </c>
      <c r="O568" s="21" t="s">
        <v>22</v>
      </c>
      <c r="P568" s="19"/>
      <c r="Q568" s="19"/>
      <c r="R568" s="19"/>
      <c r="S568" s="19"/>
      <c r="T568" s="19"/>
      <c r="U568" s="19"/>
      <c r="V568" s="19"/>
    </row>
    <row r="569">
      <c r="A569" s="15">
        <v>46087.0</v>
      </c>
      <c r="B569" s="16" t="s">
        <v>846</v>
      </c>
      <c r="C569" s="16" t="s">
        <v>862</v>
      </c>
      <c r="D569" s="16" t="s">
        <v>863</v>
      </c>
      <c r="E569" s="16" t="s">
        <v>19</v>
      </c>
      <c r="F569" s="17" t="str">
        <f>IFERROR(__xludf.DUMMYFUNCTION("""COMPUTED_VALUE"""),"TA-ALL-CH-1A")</f>
        <v>TA-ALL-CH-1A</v>
      </c>
      <c r="G569" s="18">
        <v>0.08</v>
      </c>
      <c r="H569" s="19"/>
      <c r="I569" s="19"/>
      <c r="J569" s="16" t="s">
        <v>864</v>
      </c>
      <c r="K569" s="16">
        <v>4.0</v>
      </c>
      <c r="L569" s="16">
        <v>1.0</v>
      </c>
      <c r="M569" s="16" t="s">
        <v>850</v>
      </c>
      <c r="N569" s="20">
        <v>0.08</v>
      </c>
      <c r="O569" s="21" t="s">
        <v>22</v>
      </c>
      <c r="P569" s="19"/>
      <c r="Q569" s="19"/>
      <c r="R569" s="19"/>
      <c r="S569" s="19"/>
      <c r="T569" s="19"/>
      <c r="U569" s="19"/>
      <c r="V569" s="19"/>
    </row>
    <row r="570">
      <c r="A570" s="15">
        <v>46087.0</v>
      </c>
      <c r="B570" s="16" t="s">
        <v>846</v>
      </c>
      <c r="C570" s="16" t="s">
        <v>865</v>
      </c>
      <c r="D570" s="16" t="s">
        <v>866</v>
      </c>
      <c r="E570" s="16" t="s">
        <v>19</v>
      </c>
      <c r="F570" s="17" t="str">
        <f>IFERROR(__xludf.DUMMYFUNCTION("""COMPUTED_VALUE"""),"TA-OR-OR-1A")</f>
        <v>TA-OR-OR-1A</v>
      </c>
      <c r="G570" s="18">
        <v>0.08</v>
      </c>
      <c r="H570" s="19"/>
      <c r="I570" s="19"/>
      <c r="J570" s="16" t="s">
        <v>867</v>
      </c>
      <c r="K570" s="16">
        <v>4.0</v>
      </c>
      <c r="L570" s="16">
        <v>1.0</v>
      </c>
      <c r="M570" s="16" t="s">
        <v>850</v>
      </c>
      <c r="N570" s="20">
        <v>0.08</v>
      </c>
      <c r="O570" s="21" t="s">
        <v>22</v>
      </c>
      <c r="P570" s="19"/>
      <c r="Q570" s="19"/>
      <c r="R570" s="19"/>
      <c r="S570" s="19"/>
      <c r="T570" s="19"/>
      <c r="U570" s="19"/>
      <c r="V570" s="19"/>
    </row>
    <row r="571">
      <c r="A571" s="15">
        <v>46087.0</v>
      </c>
      <c r="B571" s="16" t="s">
        <v>846</v>
      </c>
      <c r="C571" s="16" t="s">
        <v>868</v>
      </c>
      <c r="D571" s="16" t="s">
        <v>869</v>
      </c>
      <c r="E571" s="16" t="s">
        <v>19</v>
      </c>
      <c r="F571" s="17" t="str">
        <f>IFERROR(__xludf.DUMMYFUNCTION("""COMPUTED_VALUE"""),"TA-SAL-RO-1A")</f>
        <v>TA-SAL-RO-1A</v>
      </c>
      <c r="G571" s="18">
        <v>0.08</v>
      </c>
      <c r="H571" s="19"/>
      <c r="I571" s="19"/>
      <c r="J571" s="16" t="s">
        <v>870</v>
      </c>
      <c r="K571" s="16">
        <v>4.0</v>
      </c>
      <c r="L571" s="16">
        <v>1.0</v>
      </c>
      <c r="M571" s="16" t="s">
        <v>850</v>
      </c>
      <c r="N571" s="20">
        <v>0.08</v>
      </c>
      <c r="O571" s="21" t="s">
        <v>22</v>
      </c>
      <c r="P571" s="19"/>
      <c r="Q571" s="19"/>
      <c r="R571" s="19"/>
      <c r="S571" s="19"/>
      <c r="T571" s="19"/>
      <c r="U571" s="19"/>
      <c r="V571" s="19"/>
    </row>
    <row r="572">
      <c r="A572" s="15">
        <v>46087.0</v>
      </c>
      <c r="B572" s="16" t="s">
        <v>846</v>
      </c>
      <c r="C572" s="16" t="s">
        <v>859</v>
      </c>
      <c r="D572" s="16" t="s">
        <v>860</v>
      </c>
      <c r="E572" s="16" t="s">
        <v>71</v>
      </c>
      <c r="F572" s="17" t="str">
        <f>IFERROR(__xludf.DUMMYFUNCTION("""COMPUTED_VALUE"""),"TA-TH-TH-1A-2")</f>
        <v>TA-TH-TH-1A-2</v>
      </c>
      <c r="G572" s="18">
        <v>0.08</v>
      </c>
      <c r="H572" s="19"/>
      <c r="I572" s="19"/>
      <c r="J572" s="16" t="s">
        <v>871</v>
      </c>
      <c r="K572" s="16">
        <v>4.0</v>
      </c>
      <c r="L572" s="16">
        <v>1.0</v>
      </c>
      <c r="M572" s="16" t="s">
        <v>850</v>
      </c>
      <c r="N572" s="20">
        <v>0.08</v>
      </c>
      <c r="O572" s="21" t="s">
        <v>22</v>
      </c>
      <c r="P572" s="19"/>
      <c r="Q572" s="19"/>
      <c r="R572" s="19"/>
      <c r="S572" s="19"/>
      <c r="T572" s="19"/>
      <c r="U572" s="19"/>
      <c r="V572" s="19"/>
    </row>
    <row r="573">
      <c r="A573" s="15">
        <v>46087.0</v>
      </c>
      <c r="B573" s="16" t="s">
        <v>846</v>
      </c>
      <c r="C573" s="16" t="s">
        <v>859</v>
      </c>
      <c r="D573" s="16" t="s">
        <v>860</v>
      </c>
      <c r="E573" s="16" t="s">
        <v>129</v>
      </c>
      <c r="F573" s="17" t="str">
        <f>IFERROR(__xludf.DUMMYFUNCTION("""COMPUTED_VALUE"""),"TA-TH-TH-1A-3")</f>
        <v>TA-TH-TH-1A-3</v>
      </c>
      <c r="G573" s="18">
        <v>0.08</v>
      </c>
      <c r="H573" s="19"/>
      <c r="I573" s="19"/>
      <c r="J573" s="16" t="s">
        <v>872</v>
      </c>
      <c r="K573" s="16">
        <v>4.0</v>
      </c>
      <c r="L573" s="16">
        <v>1.0</v>
      </c>
      <c r="M573" s="16" t="s">
        <v>850</v>
      </c>
      <c r="N573" s="20">
        <v>0.08</v>
      </c>
      <c r="O573" s="16" t="s">
        <v>22</v>
      </c>
      <c r="P573" s="19"/>
      <c r="Q573" s="19"/>
      <c r="R573" s="19"/>
      <c r="S573" s="19"/>
      <c r="T573" s="19"/>
      <c r="U573" s="19"/>
      <c r="V573" s="19"/>
    </row>
    <row r="574">
      <c r="A574" s="15">
        <v>46087.0</v>
      </c>
      <c r="B574" s="16" t="s">
        <v>846</v>
      </c>
      <c r="C574" s="16" t="s">
        <v>859</v>
      </c>
      <c r="D574" s="16" t="s">
        <v>860</v>
      </c>
      <c r="E574" s="16" t="s">
        <v>143</v>
      </c>
      <c r="F574" s="17" t="str">
        <f>IFERROR(__xludf.DUMMYFUNCTION("""COMPUTED_VALUE"""),"TA-TH-TH-1A-4")</f>
        <v>TA-TH-TH-1A-4</v>
      </c>
      <c r="G574" s="18">
        <v>0.08</v>
      </c>
      <c r="H574" s="19"/>
      <c r="I574" s="19"/>
      <c r="J574" s="16" t="s">
        <v>873</v>
      </c>
      <c r="K574" s="16">
        <v>4.0</v>
      </c>
      <c r="L574" s="16">
        <v>1.0</v>
      </c>
      <c r="M574" s="16" t="s">
        <v>850</v>
      </c>
      <c r="N574" s="20">
        <v>0.08</v>
      </c>
      <c r="O574" s="16" t="s">
        <v>22</v>
      </c>
      <c r="P574" s="19"/>
      <c r="Q574" s="19"/>
      <c r="R574" s="19"/>
      <c r="S574" s="19"/>
      <c r="T574" s="19"/>
      <c r="U574" s="19"/>
      <c r="V574" s="19"/>
    </row>
    <row r="575">
      <c r="A575" s="15">
        <v>46123.0</v>
      </c>
      <c r="B575" s="16" t="s">
        <v>851</v>
      </c>
      <c r="C575" s="16" t="s">
        <v>852</v>
      </c>
      <c r="D575" s="16" t="s">
        <v>853</v>
      </c>
      <c r="E575" s="16" t="s">
        <v>71</v>
      </c>
      <c r="F575" s="17" t="str">
        <f>IFERROR(__xludf.DUMMYFUNCTION("""COMPUTED_VALUE"""),"EH-TO-CP-1A-2")</f>
        <v>EH-TO-CP-1A-2</v>
      </c>
      <c r="G575" s="18">
        <v>0.23</v>
      </c>
      <c r="H575" s="19"/>
      <c r="I575" s="19"/>
      <c r="J575" s="16" t="s">
        <v>874</v>
      </c>
      <c r="K575" s="16">
        <v>5.0</v>
      </c>
      <c r="L575" s="16">
        <v>1.0</v>
      </c>
      <c r="M575" s="16" t="s">
        <v>83</v>
      </c>
      <c r="N575" s="20">
        <v>0.23</v>
      </c>
      <c r="O575" s="16" t="s">
        <v>22</v>
      </c>
      <c r="P575" s="19"/>
      <c r="Q575" s="19"/>
      <c r="R575" s="19"/>
      <c r="S575" s="19"/>
      <c r="T575" s="19"/>
      <c r="U575" s="19"/>
      <c r="V575" s="19"/>
    </row>
    <row r="576">
      <c r="A576" s="15">
        <v>46123.0</v>
      </c>
      <c r="B576" s="16" t="s">
        <v>851</v>
      </c>
      <c r="C576" s="16" t="s">
        <v>852</v>
      </c>
      <c r="D576" s="16" t="s">
        <v>853</v>
      </c>
      <c r="E576" s="16" t="s">
        <v>129</v>
      </c>
      <c r="F576" s="17" t="str">
        <f>IFERROR(__xludf.DUMMYFUNCTION("""COMPUTED_VALUE"""),"EH-TO-CP-1A-3")</f>
        <v>EH-TO-CP-1A-3</v>
      </c>
      <c r="G576" s="18">
        <v>0.23</v>
      </c>
      <c r="H576" s="19"/>
      <c r="I576" s="19"/>
      <c r="J576" s="16" t="s">
        <v>875</v>
      </c>
      <c r="K576" s="16">
        <v>5.0</v>
      </c>
      <c r="L576" s="16">
        <v>1.0</v>
      </c>
      <c r="M576" s="16" t="s">
        <v>83</v>
      </c>
      <c r="N576" s="20">
        <v>0.23</v>
      </c>
      <c r="O576" s="16" t="s">
        <v>22</v>
      </c>
      <c r="P576" s="19"/>
      <c r="Q576" s="19"/>
      <c r="R576" s="19"/>
      <c r="S576" s="19"/>
      <c r="T576" s="19"/>
      <c r="U576" s="19"/>
      <c r="V576" s="19"/>
    </row>
    <row r="577">
      <c r="A577" s="15">
        <v>46123.0</v>
      </c>
      <c r="B577" s="16" t="s">
        <v>851</v>
      </c>
      <c r="C577" s="16" t="s">
        <v>852</v>
      </c>
      <c r="D577" s="16" t="s">
        <v>853</v>
      </c>
      <c r="E577" s="16" t="s">
        <v>143</v>
      </c>
      <c r="F577" s="17" t="str">
        <f>IFERROR(__xludf.DUMMYFUNCTION("""COMPUTED_VALUE"""),"EH-TO-CP-1A-4")</f>
        <v>EH-TO-CP-1A-4</v>
      </c>
      <c r="G577" s="18">
        <v>0.23</v>
      </c>
      <c r="H577" s="19"/>
      <c r="I577" s="19"/>
      <c r="J577" s="16" t="s">
        <v>876</v>
      </c>
      <c r="K577" s="16">
        <v>5.0</v>
      </c>
      <c r="L577" s="16">
        <v>1.0</v>
      </c>
      <c r="M577" s="16" t="s">
        <v>83</v>
      </c>
      <c r="N577" s="20">
        <v>0.23</v>
      </c>
      <c r="O577" s="16" t="s">
        <v>22</v>
      </c>
      <c r="P577" s="19"/>
      <c r="Q577" s="19"/>
      <c r="R577" s="19"/>
      <c r="S577" s="19"/>
      <c r="T577" s="19"/>
      <c r="U577" s="19"/>
      <c r="V577" s="19"/>
    </row>
    <row r="578">
      <c r="A578" s="15">
        <v>46123.0</v>
      </c>
      <c r="B578" s="16" t="s">
        <v>851</v>
      </c>
      <c r="C578" s="16" t="s">
        <v>852</v>
      </c>
      <c r="D578" s="16" t="s">
        <v>853</v>
      </c>
      <c r="E578" s="16" t="s">
        <v>145</v>
      </c>
      <c r="F578" s="17" t="str">
        <f>IFERROR(__xludf.DUMMYFUNCTION("""COMPUTED_VALUE"""),"EH-TO-CP-1A-5")</f>
        <v>EH-TO-CP-1A-5</v>
      </c>
      <c r="G578" s="18">
        <v>0.23</v>
      </c>
      <c r="H578" s="19"/>
      <c r="I578" s="19"/>
      <c r="J578" s="16" t="s">
        <v>877</v>
      </c>
      <c r="K578" s="16">
        <v>5.0</v>
      </c>
      <c r="L578" s="16">
        <v>1.0</v>
      </c>
      <c r="M578" s="16" t="s">
        <v>83</v>
      </c>
      <c r="N578" s="20">
        <v>0.23</v>
      </c>
      <c r="O578" s="16" t="s">
        <v>22</v>
      </c>
      <c r="P578" s="19"/>
      <c r="Q578" s="19"/>
      <c r="R578" s="19"/>
      <c r="S578" s="19"/>
      <c r="T578" s="19"/>
      <c r="U578" s="19"/>
      <c r="V578" s="19"/>
    </row>
    <row r="579">
      <c r="A579" s="15">
        <v>46123.0</v>
      </c>
      <c r="B579" s="16" t="s">
        <v>851</v>
      </c>
      <c r="C579" s="16" t="s">
        <v>852</v>
      </c>
      <c r="D579" s="16" t="s">
        <v>853</v>
      </c>
      <c r="E579" s="16" t="s">
        <v>265</v>
      </c>
      <c r="F579" s="17" t="str">
        <f>IFERROR(__xludf.DUMMYFUNCTION("""COMPUTED_VALUE"""),"EH-TO-CP-1A-6")</f>
        <v>EH-TO-CP-1A-6</v>
      </c>
      <c r="G579" s="18">
        <v>0.23</v>
      </c>
      <c r="H579" s="19"/>
      <c r="I579" s="19"/>
      <c r="J579" s="16" t="s">
        <v>878</v>
      </c>
      <c r="K579" s="16">
        <v>5.0</v>
      </c>
      <c r="L579" s="16">
        <v>1.0</v>
      </c>
      <c r="M579" s="16" t="s">
        <v>83</v>
      </c>
      <c r="N579" s="20">
        <v>0.23</v>
      </c>
      <c r="O579" s="16" t="s">
        <v>22</v>
      </c>
      <c r="P579" s="19"/>
      <c r="Q579" s="19"/>
      <c r="R579" s="19"/>
      <c r="S579" s="19"/>
      <c r="T579" s="19"/>
      <c r="U579" s="19"/>
      <c r="V579" s="19"/>
    </row>
    <row r="580">
      <c r="A580" s="15">
        <v>46123.0</v>
      </c>
      <c r="B580" s="16" t="s">
        <v>851</v>
      </c>
      <c r="C580" s="16" t="s">
        <v>852</v>
      </c>
      <c r="D580" s="16" t="s">
        <v>853</v>
      </c>
      <c r="E580" s="16" t="s">
        <v>267</v>
      </c>
      <c r="F580" s="17" t="str">
        <f>IFERROR(__xludf.DUMMYFUNCTION("""COMPUTED_VALUE"""),"EH-TO-CP-1A-7")</f>
        <v>EH-TO-CP-1A-7</v>
      </c>
      <c r="G580" s="18">
        <v>0.23</v>
      </c>
      <c r="H580" s="19"/>
      <c r="I580" s="19"/>
      <c r="J580" s="16" t="s">
        <v>879</v>
      </c>
      <c r="K580" s="16">
        <v>5.0</v>
      </c>
      <c r="L580" s="16">
        <v>1.0</v>
      </c>
      <c r="M580" s="16" t="s">
        <v>83</v>
      </c>
      <c r="N580" s="20">
        <v>0.23</v>
      </c>
      <c r="O580" s="16" t="s">
        <v>22</v>
      </c>
      <c r="P580" s="19"/>
      <c r="Q580" s="19"/>
      <c r="R580" s="19"/>
      <c r="S580" s="19"/>
      <c r="T580" s="19"/>
      <c r="U580" s="19"/>
      <c r="V580" s="19"/>
    </row>
    <row r="581">
      <c r="A581" s="15">
        <v>46123.0</v>
      </c>
      <c r="B581" s="16" t="s">
        <v>851</v>
      </c>
      <c r="C581" s="16" t="s">
        <v>852</v>
      </c>
      <c r="D581" s="16" t="s">
        <v>853</v>
      </c>
      <c r="E581" s="16" t="s">
        <v>269</v>
      </c>
      <c r="F581" s="17" t="str">
        <f>IFERROR(__xludf.DUMMYFUNCTION("""COMPUTED_VALUE"""),"EH-TO-CP-1A-8")</f>
        <v>EH-TO-CP-1A-8</v>
      </c>
      <c r="G581" s="18">
        <v>0.23</v>
      </c>
      <c r="H581" s="19"/>
      <c r="I581" s="19"/>
      <c r="J581" s="16" t="s">
        <v>880</v>
      </c>
      <c r="K581" s="16">
        <v>5.0</v>
      </c>
      <c r="L581" s="16">
        <v>1.0</v>
      </c>
      <c r="M581" s="16" t="s">
        <v>83</v>
      </c>
      <c r="N581" s="20">
        <v>0.23</v>
      </c>
      <c r="O581" s="16" t="s">
        <v>22</v>
      </c>
      <c r="P581" s="19"/>
      <c r="Q581" s="19"/>
      <c r="R581" s="19"/>
      <c r="S581" s="19"/>
      <c r="T581" s="19"/>
      <c r="U581" s="19"/>
      <c r="V581" s="19"/>
    </row>
    <row r="582">
      <c r="A582" s="15"/>
      <c r="B582" s="16"/>
      <c r="C582" s="16"/>
      <c r="D582" s="16"/>
      <c r="E582" s="16"/>
      <c r="F582" s="17" t="str">
        <f>IFERROR(__xludf.DUMMYFUNCTION("""COMPUTED_VALUE"""),"")</f>
        <v/>
      </c>
      <c r="G582" s="18"/>
      <c r="H582" s="19"/>
      <c r="I582" s="19"/>
      <c r="J582" s="16"/>
      <c r="K582" s="16"/>
      <c r="L582" s="16"/>
      <c r="M582" s="16"/>
      <c r="N582" s="20" t="s">
        <v>39</v>
      </c>
      <c r="O582" s="16"/>
      <c r="P582" s="19"/>
      <c r="Q582" s="19"/>
      <c r="R582" s="19"/>
      <c r="S582" s="19"/>
      <c r="T582" s="19"/>
      <c r="U582" s="19"/>
      <c r="V582" s="19"/>
    </row>
    <row r="583">
      <c r="A583" s="15">
        <v>46123.0</v>
      </c>
      <c r="B583" s="16" t="s">
        <v>851</v>
      </c>
      <c r="C583" s="16" t="s">
        <v>852</v>
      </c>
      <c r="D583" s="16" t="s">
        <v>856</v>
      </c>
      <c r="E583" s="16" t="s">
        <v>71</v>
      </c>
      <c r="F583" s="17" t="str">
        <f>IFERROR(__xludf.DUMMYFUNCTION("""COMPUTED_VALUE"""),"EH-TO-ERC-1A-2")</f>
        <v>EH-TO-ERC-1A-2</v>
      </c>
      <c r="G583" s="18">
        <v>0.23</v>
      </c>
      <c r="H583" s="19"/>
      <c r="I583" s="19"/>
      <c r="J583" s="16" t="s">
        <v>881</v>
      </c>
      <c r="K583" s="16">
        <v>5.0</v>
      </c>
      <c r="L583" s="16">
        <v>1.0</v>
      </c>
      <c r="M583" s="16" t="s">
        <v>83</v>
      </c>
      <c r="N583" s="20">
        <v>0.23</v>
      </c>
      <c r="O583" s="16" t="s">
        <v>22</v>
      </c>
      <c r="P583" s="19"/>
      <c r="Q583" s="19"/>
      <c r="R583" s="19"/>
      <c r="S583" s="19"/>
      <c r="T583" s="19"/>
      <c r="U583" s="19"/>
      <c r="V583" s="19"/>
    </row>
    <row r="584">
      <c r="A584" s="15">
        <v>46123.0</v>
      </c>
      <c r="B584" s="16" t="s">
        <v>851</v>
      </c>
      <c r="C584" s="16" t="s">
        <v>852</v>
      </c>
      <c r="D584" s="16" t="s">
        <v>856</v>
      </c>
      <c r="E584" s="16" t="s">
        <v>129</v>
      </c>
      <c r="F584" s="17" t="str">
        <f>IFERROR(__xludf.DUMMYFUNCTION("""COMPUTED_VALUE"""),"EH-TO-ERC-1A-3")</f>
        <v>EH-TO-ERC-1A-3</v>
      </c>
      <c r="G584" s="18">
        <v>0.23</v>
      </c>
      <c r="H584" s="19"/>
      <c r="I584" s="19"/>
      <c r="J584" s="16" t="s">
        <v>882</v>
      </c>
      <c r="K584" s="16">
        <v>5.0</v>
      </c>
      <c r="L584" s="16">
        <v>1.0</v>
      </c>
      <c r="M584" s="16" t="s">
        <v>83</v>
      </c>
      <c r="N584" s="20">
        <v>0.23</v>
      </c>
      <c r="O584" s="16" t="s">
        <v>22</v>
      </c>
      <c r="P584" s="19"/>
      <c r="Q584" s="19"/>
      <c r="R584" s="19"/>
      <c r="S584" s="19"/>
      <c r="T584" s="19"/>
      <c r="U584" s="19"/>
      <c r="V584" s="19"/>
    </row>
    <row r="585">
      <c r="A585" s="15">
        <v>46123.0</v>
      </c>
      <c r="B585" s="16" t="s">
        <v>851</v>
      </c>
      <c r="C585" s="16" t="s">
        <v>852</v>
      </c>
      <c r="D585" s="16" t="s">
        <v>856</v>
      </c>
      <c r="E585" s="16" t="s">
        <v>143</v>
      </c>
      <c r="F585" s="17" t="str">
        <f>IFERROR(__xludf.DUMMYFUNCTION("""COMPUTED_VALUE"""),"EH-TO-ERC-1A-4")</f>
        <v>EH-TO-ERC-1A-4</v>
      </c>
      <c r="G585" s="18">
        <v>0.23</v>
      </c>
      <c r="H585" s="19"/>
      <c r="I585" s="19"/>
      <c r="J585" s="16" t="s">
        <v>883</v>
      </c>
      <c r="K585" s="16">
        <v>5.0</v>
      </c>
      <c r="L585" s="16">
        <v>1.0</v>
      </c>
      <c r="M585" s="16" t="s">
        <v>83</v>
      </c>
      <c r="N585" s="20">
        <v>0.23</v>
      </c>
      <c r="O585" s="16" t="s">
        <v>22</v>
      </c>
      <c r="P585" s="19"/>
      <c r="Q585" s="19"/>
      <c r="R585" s="19"/>
      <c r="S585" s="19"/>
      <c r="T585" s="19"/>
      <c r="U585" s="19"/>
      <c r="V585" s="19"/>
    </row>
    <row r="586">
      <c r="A586" s="15">
        <v>46123.0</v>
      </c>
      <c r="B586" s="16" t="s">
        <v>851</v>
      </c>
      <c r="C586" s="16" t="s">
        <v>852</v>
      </c>
      <c r="D586" s="16" t="s">
        <v>856</v>
      </c>
      <c r="E586" s="16" t="s">
        <v>145</v>
      </c>
      <c r="F586" s="17" t="str">
        <f>IFERROR(__xludf.DUMMYFUNCTION("""COMPUTED_VALUE"""),"EH-TO-ERC-1A-5")</f>
        <v>EH-TO-ERC-1A-5</v>
      </c>
      <c r="G586" s="18">
        <v>0.23</v>
      </c>
      <c r="H586" s="19"/>
      <c r="I586" s="19"/>
      <c r="J586" s="16" t="s">
        <v>884</v>
      </c>
      <c r="K586" s="16">
        <v>5.0</v>
      </c>
      <c r="L586" s="16">
        <v>1.0</v>
      </c>
      <c r="M586" s="16" t="s">
        <v>83</v>
      </c>
      <c r="N586" s="20">
        <v>0.23</v>
      </c>
      <c r="O586" s="16" t="s">
        <v>22</v>
      </c>
      <c r="P586" s="19"/>
      <c r="Q586" s="19"/>
      <c r="R586" s="19"/>
      <c r="S586" s="19"/>
      <c r="T586" s="19"/>
      <c r="U586" s="19"/>
      <c r="V586" s="19"/>
    </row>
    <row r="587">
      <c r="A587" s="15">
        <v>46123.0</v>
      </c>
      <c r="B587" s="16" t="s">
        <v>851</v>
      </c>
      <c r="C587" s="16" t="s">
        <v>852</v>
      </c>
      <c r="D587" s="16" t="s">
        <v>856</v>
      </c>
      <c r="E587" s="16" t="s">
        <v>265</v>
      </c>
      <c r="F587" s="17" t="str">
        <f>IFERROR(__xludf.DUMMYFUNCTION("""COMPUTED_VALUE"""),"EH-TO-ERC-1A-6")</f>
        <v>EH-TO-ERC-1A-6</v>
      </c>
      <c r="G587" s="18">
        <v>0.23</v>
      </c>
      <c r="H587" s="19"/>
      <c r="I587" s="19"/>
      <c r="J587" s="16" t="s">
        <v>885</v>
      </c>
      <c r="K587" s="16">
        <v>5.0</v>
      </c>
      <c r="L587" s="16">
        <v>1.0</v>
      </c>
      <c r="M587" s="16" t="s">
        <v>83</v>
      </c>
      <c r="N587" s="20">
        <v>0.23</v>
      </c>
      <c r="O587" s="16" t="s">
        <v>22</v>
      </c>
      <c r="P587" s="19"/>
      <c r="Q587" s="19"/>
      <c r="R587" s="19"/>
      <c r="S587" s="19"/>
      <c r="T587" s="19"/>
      <c r="U587" s="19"/>
      <c r="V587" s="19"/>
    </row>
    <row r="588">
      <c r="A588" s="15">
        <v>46123.0</v>
      </c>
      <c r="B588" s="16" t="s">
        <v>851</v>
      </c>
      <c r="C588" s="16" t="s">
        <v>852</v>
      </c>
      <c r="D588" s="16" t="s">
        <v>856</v>
      </c>
      <c r="E588" s="16" t="s">
        <v>267</v>
      </c>
      <c r="F588" s="17" t="str">
        <f>IFERROR(__xludf.DUMMYFUNCTION("""COMPUTED_VALUE"""),"EH-TO-ERC-1A-7")</f>
        <v>EH-TO-ERC-1A-7</v>
      </c>
      <c r="G588" s="18">
        <v>0.23</v>
      </c>
      <c r="H588" s="19"/>
      <c r="I588" s="19"/>
      <c r="J588" s="16" t="s">
        <v>886</v>
      </c>
      <c r="K588" s="16">
        <v>5.0</v>
      </c>
      <c r="L588" s="16">
        <v>1.0</v>
      </c>
      <c r="M588" s="16" t="s">
        <v>83</v>
      </c>
      <c r="N588" s="20">
        <v>0.23</v>
      </c>
      <c r="O588" s="16" t="s">
        <v>22</v>
      </c>
      <c r="P588" s="19"/>
      <c r="Q588" s="19"/>
      <c r="R588" s="19"/>
      <c r="S588" s="19"/>
      <c r="T588" s="19"/>
      <c r="U588" s="19"/>
      <c r="V588" s="19"/>
    </row>
    <row r="589">
      <c r="A589" s="15">
        <v>46123.0</v>
      </c>
      <c r="B589" s="16" t="s">
        <v>851</v>
      </c>
      <c r="C589" s="16" t="s">
        <v>852</v>
      </c>
      <c r="D589" s="16" t="s">
        <v>856</v>
      </c>
      <c r="E589" s="16" t="s">
        <v>269</v>
      </c>
      <c r="F589" s="17" t="str">
        <f>IFERROR(__xludf.DUMMYFUNCTION("""COMPUTED_VALUE"""),"EH-TO-ERC-1A-8")</f>
        <v>EH-TO-ERC-1A-8</v>
      </c>
      <c r="G589" s="18">
        <v>0.23</v>
      </c>
      <c r="H589" s="19"/>
      <c r="I589" s="19"/>
      <c r="J589" s="16" t="s">
        <v>887</v>
      </c>
      <c r="K589" s="16">
        <v>5.0</v>
      </c>
      <c r="L589" s="16">
        <v>1.0</v>
      </c>
      <c r="M589" s="16" t="s">
        <v>83</v>
      </c>
      <c r="N589" s="20">
        <v>0.23</v>
      </c>
      <c r="O589" s="16" t="s">
        <v>22</v>
      </c>
      <c r="P589" s="19"/>
      <c r="Q589" s="19"/>
      <c r="R589" s="19"/>
      <c r="S589" s="19"/>
      <c r="T589" s="19"/>
      <c r="U589" s="19"/>
      <c r="V589" s="19"/>
    </row>
    <row r="590">
      <c r="A590" s="15">
        <v>46123.0</v>
      </c>
      <c r="B590" s="16" t="s">
        <v>851</v>
      </c>
      <c r="C590" s="16" t="s">
        <v>852</v>
      </c>
      <c r="D590" s="16" t="s">
        <v>856</v>
      </c>
      <c r="E590" s="16" t="s">
        <v>271</v>
      </c>
      <c r="F590" s="17" t="str">
        <f>IFERROR(__xludf.DUMMYFUNCTION("""COMPUTED_VALUE"""),"EH-TO-ERC-1A-9")</f>
        <v>EH-TO-ERC-1A-9</v>
      </c>
      <c r="G590" s="18">
        <v>0.23</v>
      </c>
      <c r="H590" s="19"/>
      <c r="I590" s="19"/>
      <c r="J590" s="16" t="s">
        <v>888</v>
      </c>
      <c r="K590" s="16">
        <v>5.0</v>
      </c>
      <c r="L590" s="16">
        <v>1.0</v>
      </c>
      <c r="M590" s="16" t="s">
        <v>83</v>
      </c>
      <c r="N590" s="20">
        <v>0.23</v>
      </c>
      <c r="O590" s="16" t="s">
        <v>22</v>
      </c>
      <c r="P590" s="19"/>
      <c r="Q590" s="19"/>
      <c r="R590" s="19"/>
      <c r="S590" s="19"/>
      <c r="T590" s="19"/>
      <c r="U590" s="19"/>
      <c r="V590" s="19"/>
    </row>
    <row r="591">
      <c r="A591" s="15">
        <v>46086.0</v>
      </c>
      <c r="B591" s="16" t="s">
        <v>846</v>
      </c>
      <c r="C591" s="16" t="s">
        <v>889</v>
      </c>
      <c r="D591" s="16" t="s">
        <v>890</v>
      </c>
      <c r="E591" s="16" t="s">
        <v>19</v>
      </c>
      <c r="F591" s="17" t="str">
        <f>IFERROR(__xludf.DUMMYFUNCTION("""COMPUTED_VALUE"""),"TA-CY-LE-1A")</f>
        <v>TA-CY-LE-1A</v>
      </c>
      <c r="G591" s="18">
        <v>0.08</v>
      </c>
      <c r="H591" s="19"/>
      <c r="I591" s="19"/>
      <c r="J591" s="16" t="s">
        <v>891</v>
      </c>
      <c r="K591" s="16">
        <v>8.0</v>
      </c>
      <c r="L591" s="16">
        <v>1.0</v>
      </c>
      <c r="M591" s="16" t="s">
        <v>850</v>
      </c>
      <c r="N591" s="20">
        <v>0.08</v>
      </c>
      <c r="O591" s="16" t="s">
        <v>22</v>
      </c>
      <c r="P591" s="19"/>
      <c r="Q591" s="19"/>
      <c r="R591" s="19"/>
      <c r="S591" s="19"/>
      <c r="T591" s="19"/>
      <c r="U591" s="19"/>
      <c r="V591" s="19"/>
    </row>
    <row r="592">
      <c r="A592" s="15">
        <v>46087.0</v>
      </c>
      <c r="B592" s="16" t="s">
        <v>846</v>
      </c>
      <c r="C592" s="16" t="s">
        <v>868</v>
      </c>
      <c r="D592" s="16" t="s">
        <v>869</v>
      </c>
      <c r="E592" s="16" t="s">
        <v>71</v>
      </c>
      <c r="F592" s="17" t="str">
        <f>IFERROR(__xludf.DUMMYFUNCTION("""COMPUTED_VALUE"""),"TA-SAL-RO-1A-2")</f>
        <v>TA-SAL-RO-1A-2</v>
      </c>
      <c r="G592" s="18">
        <v>0.08</v>
      </c>
      <c r="H592" s="19"/>
      <c r="I592" s="19"/>
      <c r="J592" s="16" t="s">
        <v>892</v>
      </c>
      <c r="K592" s="16">
        <v>8.0</v>
      </c>
      <c r="L592" s="16">
        <v>1.0</v>
      </c>
      <c r="M592" s="16" t="s">
        <v>850</v>
      </c>
      <c r="N592" s="20">
        <v>0.08</v>
      </c>
      <c r="O592" s="16" t="s">
        <v>22</v>
      </c>
      <c r="P592" s="19"/>
      <c r="Q592" s="19"/>
      <c r="R592" s="19"/>
      <c r="S592" s="19"/>
      <c r="T592" s="19"/>
      <c r="U592" s="19"/>
      <c r="V592" s="19"/>
    </row>
    <row r="593">
      <c r="A593" s="15">
        <v>46087.0</v>
      </c>
      <c r="B593" s="16" t="s">
        <v>846</v>
      </c>
      <c r="C593" s="16" t="s">
        <v>868</v>
      </c>
      <c r="D593" s="16" t="s">
        <v>869</v>
      </c>
      <c r="E593" s="16" t="s">
        <v>129</v>
      </c>
      <c r="F593" s="17" t="str">
        <f>IFERROR(__xludf.DUMMYFUNCTION("""COMPUTED_VALUE"""),"TA-SAL-RO-1A-3")</f>
        <v>TA-SAL-RO-1A-3</v>
      </c>
      <c r="G593" s="18">
        <v>0.08</v>
      </c>
      <c r="H593" s="19"/>
      <c r="I593" s="19"/>
      <c r="J593" s="16" t="s">
        <v>893</v>
      </c>
      <c r="K593" s="16">
        <v>8.0</v>
      </c>
      <c r="L593" s="16">
        <v>1.0</v>
      </c>
      <c r="M593" s="16" t="s">
        <v>850</v>
      </c>
      <c r="N593" s="20">
        <v>0.08</v>
      </c>
      <c r="O593" s="16" t="s">
        <v>22</v>
      </c>
      <c r="P593" s="19"/>
      <c r="Q593" s="19"/>
      <c r="R593" s="19"/>
      <c r="S593" s="19"/>
      <c r="T593" s="19"/>
      <c r="U593" s="19"/>
      <c r="V593" s="19"/>
    </row>
    <row r="594">
      <c r="A594" s="15">
        <v>46087.0</v>
      </c>
      <c r="B594" s="16" t="s">
        <v>846</v>
      </c>
      <c r="C594" s="16" t="s">
        <v>868</v>
      </c>
      <c r="D594" s="16" t="s">
        <v>869</v>
      </c>
      <c r="E594" s="16" t="s">
        <v>143</v>
      </c>
      <c r="F594" s="17" t="str">
        <f>IFERROR(__xludf.DUMMYFUNCTION("""COMPUTED_VALUE"""),"TA-SAL-RO-1A-4")</f>
        <v>TA-SAL-RO-1A-4</v>
      </c>
      <c r="G594" s="18">
        <v>0.08</v>
      </c>
      <c r="H594" s="19"/>
      <c r="I594" s="19"/>
      <c r="J594" s="16" t="s">
        <v>894</v>
      </c>
      <c r="K594" s="16">
        <v>8.0</v>
      </c>
      <c r="L594" s="16">
        <v>1.0</v>
      </c>
      <c r="M594" s="16" t="s">
        <v>850</v>
      </c>
      <c r="N594" s="20">
        <v>0.08</v>
      </c>
      <c r="O594" s="16" t="s">
        <v>22</v>
      </c>
      <c r="P594" s="19"/>
      <c r="Q594" s="19"/>
      <c r="R594" s="19"/>
      <c r="S594" s="19"/>
      <c r="T594" s="19"/>
      <c r="U594" s="19"/>
      <c r="V594" s="19"/>
    </row>
    <row r="595">
      <c r="A595" s="15">
        <v>46123.0</v>
      </c>
      <c r="B595" s="16" t="s">
        <v>851</v>
      </c>
      <c r="C595" s="16" t="s">
        <v>852</v>
      </c>
      <c r="D595" s="16" t="s">
        <v>856</v>
      </c>
      <c r="E595" s="16" t="s">
        <v>298</v>
      </c>
      <c r="F595" s="17" t="str">
        <f>IFERROR(__xludf.DUMMYFUNCTION("""COMPUTED_VALUE"""),"EH-TO-ERC-1A-10")</f>
        <v>EH-TO-ERC-1A-10</v>
      </c>
      <c r="G595" s="18">
        <v>0.23</v>
      </c>
      <c r="H595" s="19"/>
      <c r="I595" s="19"/>
      <c r="J595" s="16" t="s">
        <v>895</v>
      </c>
      <c r="K595" s="16">
        <v>5.0</v>
      </c>
      <c r="L595" s="16">
        <v>1.0</v>
      </c>
      <c r="M595" s="16" t="s">
        <v>850</v>
      </c>
      <c r="N595" s="20">
        <v>0.23</v>
      </c>
      <c r="O595" s="16" t="s">
        <v>22</v>
      </c>
      <c r="P595" s="19"/>
      <c r="Q595" s="19"/>
      <c r="R595" s="19"/>
      <c r="S595" s="19"/>
      <c r="T595" s="19"/>
      <c r="U595" s="19"/>
      <c r="V595" s="19"/>
    </row>
    <row r="596">
      <c r="A596" s="15">
        <v>46150.0</v>
      </c>
      <c r="B596" s="16" t="s">
        <v>252</v>
      </c>
      <c r="C596" s="16" t="s">
        <v>26</v>
      </c>
      <c r="D596" s="16" t="s">
        <v>896</v>
      </c>
      <c r="E596" s="16" t="s">
        <v>19</v>
      </c>
      <c r="F596" s="17" t="str">
        <f>IFERROR(__xludf.DUMMYFUNCTION("""COMPUTED_VALUE"""),"DSE-PH-GIG-1A")</f>
        <v>DSE-PH-GIG-1A</v>
      </c>
      <c r="G596" s="18">
        <v>5.99</v>
      </c>
      <c r="H596" s="19"/>
      <c r="I596" s="19"/>
      <c r="J596" s="16" t="s">
        <v>897</v>
      </c>
      <c r="K596" s="16">
        <v>11.98</v>
      </c>
      <c r="L596" s="16">
        <v>1.0</v>
      </c>
      <c r="M596" s="16" t="s">
        <v>83</v>
      </c>
      <c r="N596" s="20">
        <v>5.99</v>
      </c>
      <c r="O596" s="16" t="s">
        <v>22</v>
      </c>
      <c r="P596" s="19"/>
      <c r="Q596" s="19"/>
      <c r="R596" s="19"/>
      <c r="S596" s="19"/>
      <c r="T596" s="19"/>
      <c r="U596" s="19"/>
      <c r="V596" s="19"/>
    </row>
    <row r="597">
      <c r="A597" s="15">
        <v>46150.0</v>
      </c>
      <c r="B597" s="16" t="s">
        <v>252</v>
      </c>
      <c r="C597" s="16" t="s">
        <v>26</v>
      </c>
      <c r="D597" s="16" t="s">
        <v>896</v>
      </c>
      <c r="E597" s="16" t="s">
        <v>71</v>
      </c>
      <c r="F597" s="17" t="str">
        <f>IFERROR(__xludf.DUMMYFUNCTION("""COMPUTED_VALUE"""),"DSE-PH-GIG-1A-2")</f>
        <v>DSE-PH-GIG-1A-2</v>
      </c>
      <c r="G597" s="18">
        <v>5.99</v>
      </c>
      <c r="H597" s="19"/>
      <c r="I597" s="19"/>
      <c r="J597" s="16" t="s">
        <v>898</v>
      </c>
      <c r="K597" s="16">
        <v>11.98</v>
      </c>
      <c r="L597" s="16">
        <v>1.0</v>
      </c>
      <c r="M597" s="16" t="s">
        <v>83</v>
      </c>
      <c r="N597" s="20">
        <v>5.99</v>
      </c>
      <c r="O597" s="16" t="s">
        <v>22</v>
      </c>
      <c r="P597" s="19"/>
      <c r="Q597" s="19"/>
      <c r="R597" s="19"/>
      <c r="S597" s="19"/>
      <c r="T597" s="19"/>
      <c r="U597" s="19"/>
      <c r="V597" s="19"/>
    </row>
    <row r="598">
      <c r="A598" s="15">
        <v>46150.0</v>
      </c>
      <c r="B598" s="16" t="s">
        <v>252</v>
      </c>
      <c r="C598" s="16" t="s">
        <v>26</v>
      </c>
      <c r="D598" s="16" t="s">
        <v>896</v>
      </c>
      <c r="E598" s="16" t="s">
        <v>129</v>
      </c>
      <c r="F598" s="17" t="str">
        <f>IFERROR(__xludf.DUMMYFUNCTION("""COMPUTED_VALUE"""),"DSE-PH-GIG-1A-3")</f>
        <v>DSE-PH-GIG-1A-3</v>
      </c>
      <c r="G598" s="18">
        <v>5.99</v>
      </c>
      <c r="H598" s="19"/>
      <c r="I598" s="19"/>
      <c r="J598" s="16" t="s">
        <v>899</v>
      </c>
      <c r="K598" s="16">
        <v>11.98</v>
      </c>
      <c r="L598" s="16">
        <v>1.0</v>
      </c>
      <c r="M598" s="16" t="s">
        <v>83</v>
      </c>
      <c r="N598" s="20">
        <v>5.99</v>
      </c>
      <c r="O598" s="16" t="s">
        <v>22</v>
      </c>
      <c r="P598" s="19"/>
      <c r="Q598" s="19"/>
      <c r="R598" s="19"/>
      <c r="S598" s="19"/>
      <c r="T598" s="19"/>
      <c r="U598" s="19"/>
      <c r="V598" s="19"/>
    </row>
    <row r="599">
      <c r="A599" s="15">
        <v>46150.0</v>
      </c>
      <c r="B599" s="16" t="s">
        <v>252</v>
      </c>
      <c r="C599" s="16" t="s">
        <v>654</v>
      </c>
      <c r="D599" s="16" t="s">
        <v>900</v>
      </c>
      <c r="E599" s="16" t="s">
        <v>19</v>
      </c>
      <c r="F599" s="17" t="str">
        <f>IFERROR(__xludf.DUMMYFUNCTION("""COMPUTED_VALUE"""),"DSE-AN-CLA-1A")</f>
        <v>DSE-AN-CLA-1A</v>
      </c>
      <c r="G599" s="18">
        <v>7.99</v>
      </c>
      <c r="H599" s="19"/>
      <c r="I599" s="19"/>
      <c r="J599" s="16" t="s">
        <v>901</v>
      </c>
      <c r="K599" s="16">
        <v>15.98</v>
      </c>
      <c r="L599" s="16">
        <v>1.0</v>
      </c>
      <c r="M599" s="16" t="s">
        <v>83</v>
      </c>
      <c r="N599" s="20">
        <v>7.99</v>
      </c>
      <c r="O599" s="16" t="s">
        <v>22</v>
      </c>
      <c r="P599" s="19"/>
      <c r="Q599" s="19"/>
      <c r="R599" s="19"/>
      <c r="S599" s="19"/>
      <c r="T599" s="19"/>
      <c r="U599" s="19"/>
      <c r="V599" s="19"/>
    </row>
    <row r="600">
      <c r="A600" s="15">
        <v>46150.0</v>
      </c>
      <c r="B600" s="16" t="s">
        <v>252</v>
      </c>
      <c r="C600" s="16" t="s">
        <v>654</v>
      </c>
      <c r="D600" s="16" t="s">
        <v>900</v>
      </c>
      <c r="E600" s="16" t="s">
        <v>71</v>
      </c>
      <c r="F600" s="17" t="str">
        <f>IFERROR(__xludf.DUMMYFUNCTION("""COMPUTED_VALUE"""),"DSE-AN-CLA-1A-2")</f>
        <v>DSE-AN-CLA-1A-2</v>
      </c>
      <c r="G600" s="18">
        <v>7.99</v>
      </c>
      <c r="H600" s="19"/>
      <c r="I600" s="19"/>
      <c r="J600" s="16" t="s">
        <v>902</v>
      </c>
      <c r="K600" s="16">
        <v>15.98</v>
      </c>
      <c r="L600" s="16">
        <v>1.0</v>
      </c>
      <c r="M600" s="16" t="s">
        <v>83</v>
      </c>
      <c r="N600" s="20">
        <v>7.99</v>
      </c>
      <c r="O600" s="16" t="s">
        <v>22</v>
      </c>
      <c r="P600" s="19"/>
      <c r="Q600" s="19"/>
      <c r="R600" s="19"/>
      <c r="S600" s="19"/>
      <c r="T600" s="19"/>
      <c r="U600" s="19"/>
      <c r="V600" s="19"/>
    </row>
    <row r="601">
      <c r="A601" s="15">
        <v>46150.0</v>
      </c>
      <c r="B601" s="16" t="s">
        <v>252</v>
      </c>
      <c r="C601" s="16" t="s">
        <v>654</v>
      </c>
      <c r="D601" s="16" t="s">
        <v>900</v>
      </c>
      <c r="E601" s="16" t="s">
        <v>129</v>
      </c>
      <c r="F601" s="17" t="str">
        <f>IFERROR(__xludf.DUMMYFUNCTION("""COMPUTED_VALUE"""),"DSE-AN-CLA-1A-3")</f>
        <v>DSE-AN-CLA-1A-3</v>
      </c>
      <c r="G601" s="18">
        <v>7.99</v>
      </c>
      <c r="H601" s="19"/>
      <c r="I601" s="19"/>
      <c r="J601" s="16" t="s">
        <v>903</v>
      </c>
      <c r="K601" s="16">
        <v>15.98</v>
      </c>
      <c r="L601" s="16">
        <v>1.0</v>
      </c>
      <c r="M601" s="16" t="s">
        <v>83</v>
      </c>
      <c r="N601" s="20">
        <v>7.99</v>
      </c>
      <c r="O601" s="16" t="s">
        <v>22</v>
      </c>
      <c r="P601" s="19"/>
      <c r="Q601" s="19"/>
      <c r="R601" s="19"/>
      <c r="S601" s="19"/>
      <c r="T601" s="19"/>
      <c r="U601" s="19"/>
      <c r="V601" s="19"/>
    </row>
    <row r="602">
      <c r="A602" s="15">
        <v>46150.0</v>
      </c>
      <c r="B602" s="16" t="s">
        <v>252</v>
      </c>
      <c r="C602" s="16" t="s">
        <v>654</v>
      </c>
      <c r="D602" s="16" t="s">
        <v>904</v>
      </c>
      <c r="E602" s="16" t="s">
        <v>19</v>
      </c>
      <c r="F602" s="17" t="str">
        <f>IFERROR(__xludf.DUMMYFUNCTION("""COMPUTED_VALUE"""),"DSE-AN-RXL-1A")</f>
        <v>DSE-AN-RXL-1A</v>
      </c>
      <c r="G602" s="18">
        <v>7.99</v>
      </c>
      <c r="H602" s="19"/>
      <c r="I602" s="19"/>
      <c r="J602" s="22" t="s">
        <v>905</v>
      </c>
      <c r="K602" s="16">
        <v>15.98</v>
      </c>
      <c r="L602" s="16">
        <v>1.0</v>
      </c>
      <c r="M602" s="16" t="s">
        <v>83</v>
      </c>
      <c r="N602" s="20">
        <v>7.99</v>
      </c>
      <c r="O602" s="16" t="s">
        <v>22</v>
      </c>
      <c r="P602" s="19"/>
      <c r="Q602" s="19"/>
      <c r="R602" s="19"/>
      <c r="S602" s="19"/>
      <c r="T602" s="19"/>
      <c r="U602" s="19"/>
      <c r="V602" s="19"/>
    </row>
    <row r="603">
      <c r="A603" s="15">
        <v>46150.0</v>
      </c>
      <c r="B603" s="16" t="s">
        <v>252</v>
      </c>
      <c r="C603" s="16" t="s">
        <v>654</v>
      </c>
      <c r="D603" s="16" t="s">
        <v>904</v>
      </c>
      <c r="E603" s="16" t="s">
        <v>71</v>
      </c>
      <c r="F603" s="17" t="str">
        <f>IFERROR(__xludf.DUMMYFUNCTION("""COMPUTED_VALUE"""),"DSE-AN-RXL-1A-2")</f>
        <v>DSE-AN-RXL-1A-2</v>
      </c>
      <c r="G603" s="18">
        <v>7.99</v>
      </c>
      <c r="H603" s="19"/>
      <c r="I603" s="19"/>
      <c r="J603" s="16" t="s">
        <v>906</v>
      </c>
      <c r="K603" s="16">
        <v>15.98</v>
      </c>
      <c r="L603" s="16">
        <v>1.0</v>
      </c>
      <c r="M603" s="16" t="s">
        <v>83</v>
      </c>
      <c r="N603" s="20">
        <v>7.99</v>
      </c>
      <c r="O603" s="16" t="s">
        <v>22</v>
      </c>
      <c r="P603" s="19"/>
      <c r="Q603" s="19"/>
      <c r="R603" s="19"/>
      <c r="S603" s="19"/>
      <c r="T603" s="19"/>
      <c r="U603" s="19"/>
      <c r="V603" s="19"/>
    </row>
    <row r="604">
      <c r="A604" s="15">
        <v>46150.0</v>
      </c>
      <c r="B604" s="16" t="s">
        <v>252</v>
      </c>
      <c r="C604" s="16" t="s">
        <v>654</v>
      </c>
      <c r="D604" s="16" t="s">
        <v>904</v>
      </c>
      <c r="E604" s="16" t="s">
        <v>129</v>
      </c>
      <c r="F604" s="17" t="str">
        <f>IFERROR(__xludf.DUMMYFUNCTION("""COMPUTED_VALUE"""),"DSE-AN-RXL-1A-3")</f>
        <v>DSE-AN-RXL-1A-3</v>
      </c>
      <c r="G604" s="18">
        <v>7.99</v>
      </c>
      <c r="H604" s="19"/>
      <c r="I604" s="19"/>
      <c r="J604" s="22" t="s">
        <v>907</v>
      </c>
      <c r="K604" s="16">
        <v>15.98</v>
      </c>
      <c r="L604" s="16">
        <v>1.0</v>
      </c>
      <c r="M604" s="16" t="s">
        <v>83</v>
      </c>
      <c r="N604" s="20">
        <v>7.99</v>
      </c>
      <c r="O604" s="16" t="s">
        <v>22</v>
      </c>
      <c r="P604" s="19"/>
      <c r="Q604" s="19"/>
      <c r="R604" s="19"/>
      <c r="S604" s="19"/>
      <c r="T604" s="19"/>
      <c r="U604" s="19"/>
      <c r="V604" s="19"/>
    </row>
    <row r="605">
      <c r="A605" s="15">
        <v>46150.0</v>
      </c>
      <c r="B605" s="16" t="s">
        <v>252</v>
      </c>
      <c r="C605" s="16" t="s">
        <v>654</v>
      </c>
      <c r="D605" s="16" t="s">
        <v>904</v>
      </c>
      <c r="E605" s="16" t="s">
        <v>143</v>
      </c>
      <c r="F605" s="17" t="str">
        <f>IFERROR(__xludf.DUMMYFUNCTION("""COMPUTED_VALUE"""),"DSE-AN-RXL-1A-4")</f>
        <v>DSE-AN-RXL-1A-4</v>
      </c>
      <c r="G605" s="18">
        <v>7.99</v>
      </c>
      <c r="H605" s="19"/>
      <c r="I605" s="19"/>
      <c r="J605" s="16" t="s">
        <v>908</v>
      </c>
      <c r="K605" s="16">
        <v>15.98</v>
      </c>
      <c r="L605" s="16">
        <v>1.0</v>
      </c>
      <c r="M605" s="16" t="s">
        <v>83</v>
      </c>
      <c r="N605" s="20">
        <v>7.99</v>
      </c>
      <c r="O605" s="16" t="s">
        <v>22</v>
      </c>
      <c r="P605" s="19"/>
      <c r="Q605" s="19"/>
      <c r="R605" s="19"/>
      <c r="S605" s="19"/>
      <c r="T605" s="19"/>
      <c r="U605" s="19"/>
      <c r="V605" s="19"/>
    </row>
    <row r="606">
      <c r="A606" s="15">
        <v>46150.0</v>
      </c>
      <c r="B606" s="16" t="s">
        <v>252</v>
      </c>
      <c r="C606" s="16" t="s">
        <v>654</v>
      </c>
      <c r="D606" s="16" t="s">
        <v>904</v>
      </c>
      <c r="E606" s="16" t="s">
        <v>145</v>
      </c>
      <c r="F606" s="17" t="str">
        <f>IFERROR(__xludf.DUMMYFUNCTION("""COMPUTED_VALUE"""),"DSE-AN-RXL-1A-5")</f>
        <v>DSE-AN-RXL-1A-5</v>
      </c>
      <c r="G606" s="18">
        <v>7.99</v>
      </c>
      <c r="H606" s="19"/>
      <c r="I606" s="19"/>
      <c r="J606" s="16" t="s">
        <v>909</v>
      </c>
      <c r="K606" s="16">
        <v>15.98</v>
      </c>
      <c r="L606" s="16">
        <v>1.0</v>
      </c>
      <c r="M606" s="16" t="s">
        <v>83</v>
      </c>
      <c r="N606" s="20">
        <v>7.99</v>
      </c>
      <c r="O606" s="16" t="s">
        <v>22</v>
      </c>
      <c r="P606" s="19"/>
      <c r="Q606" s="19"/>
      <c r="R606" s="19"/>
      <c r="S606" s="19"/>
      <c r="T606" s="19"/>
      <c r="U606" s="19"/>
      <c r="V606" s="19"/>
    </row>
    <row r="607">
      <c r="A607" s="15">
        <v>46150.0</v>
      </c>
      <c r="B607" s="16" t="s">
        <v>252</v>
      </c>
      <c r="C607" s="16" t="s">
        <v>26</v>
      </c>
      <c r="D607" s="16" t="s">
        <v>363</v>
      </c>
      <c r="E607" s="16" t="s">
        <v>19</v>
      </c>
      <c r="F607" s="17" t="str">
        <f>IFERROR(__xludf.DUMMYFUNCTION("""COMPUTED_VALUE"""),"DSE-PH-PV-1A")</f>
        <v>DSE-PH-PV-1A</v>
      </c>
      <c r="G607" s="18">
        <v>4.99</v>
      </c>
      <c r="H607" s="19"/>
      <c r="I607" s="19"/>
      <c r="J607" s="16" t="s">
        <v>910</v>
      </c>
      <c r="K607" s="16">
        <v>15.0</v>
      </c>
      <c r="L607" s="16">
        <v>1.0</v>
      </c>
      <c r="M607" s="16" t="s">
        <v>83</v>
      </c>
      <c r="N607" s="20">
        <v>4.99</v>
      </c>
      <c r="O607" s="16" t="s">
        <v>22</v>
      </c>
      <c r="P607" s="19"/>
      <c r="Q607" s="19"/>
      <c r="R607" s="19"/>
      <c r="S607" s="19"/>
      <c r="T607" s="19"/>
      <c r="U607" s="19"/>
      <c r="V607" s="19"/>
    </row>
    <row r="608">
      <c r="A608" s="15">
        <v>46150.0</v>
      </c>
      <c r="B608" s="16" t="s">
        <v>252</v>
      </c>
      <c r="C608" s="16" t="s">
        <v>26</v>
      </c>
      <c r="D608" s="16" t="s">
        <v>363</v>
      </c>
      <c r="E608" s="16" t="s">
        <v>71</v>
      </c>
      <c r="F608" s="17" t="str">
        <f>IFERROR(__xludf.DUMMYFUNCTION("""COMPUTED_VALUE"""),"DSE-PH-PV-1A-2")</f>
        <v>DSE-PH-PV-1A-2</v>
      </c>
      <c r="G608" s="18">
        <v>4.99</v>
      </c>
      <c r="H608" s="19"/>
      <c r="I608" s="19"/>
      <c r="J608" s="16" t="s">
        <v>911</v>
      </c>
      <c r="K608" s="16">
        <v>15.0</v>
      </c>
      <c r="L608" s="16">
        <v>1.0</v>
      </c>
      <c r="M608" s="16" t="s">
        <v>83</v>
      </c>
      <c r="N608" s="20">
        <v>4.99</v>
      </c>
      <c r="O608" s="16" t="s">
        <v>22</v>
      </c>
      <c r="P608" s="19"/>
      <c r="Q608" s="19"/>
      <c r="R608" s="19"/>
      <c r="S608" s="19"/>
      <c r="T608" s="19"/>
      <c r="U608" s="19"/>
      <c r="V608" s="19"/>
    </row>
    <row r="609">
      <c r="A609" s="15">
        <v>46150.0</v>
      </c>
      <c r="B609" s="16" t="s">
        <v>252</v>
      </c>
      <c r="C609" s="16" t="s">
        <v>26</v>
      </c>
      <c r="D609" s="16" t="s">
        <v>363</v>
      </c>
      <c r="E609" s="16" t="s">
        <v>129</v>
      </c>
      <c r="F609" s="17" t="str">
        <f>IFERROR(__xludf.DUMMYFUNCTION("""COMPUTED_VALUE"""),"DSE-PH-PV-1A-3")</f>
        <v>DSE-PH-PV-1A-3</v>
      </c>
      <c r="G609" s="18">
        <v>4.99</v>
      </c>
      <c r="H609" s="19"/>
      <c r="I609" s="19"/>
      <c r="J609" s="16" t="s">
        <v>912</v>
      </c>
      <c r="K609" s="16">
        <v>15.0</v>
      </c>
      <c r="L609" s="16">
        <v>1.0</v>
      </c>
      <c r="M609" s="16" t="s">
        <v>83</v>
      </c>
      <c r="N609" s="20">
        <v>4.99</v>
      </c>
      <c r="O609" s="16" t="s">
        <v>22</v>
      </c>
      <c r="P609" s="19"/>
      <c r="Q609" s="19"/>
      <c r="R609" s="19"/>
      <c r="S609" s="19"/>
      <c r="T609" s="19"/>
      <c r="U609" s="19"/>
      <c r="V609" s="19"/>
    </row>
    <row r="610">
      <c r="A610" s="15">
        <v>46150.0</v>
      </c>
      <c r="B610" s="16" t="s">
        <v>252</v>
      </c>
      <c r="C610" s="16" t="s">
        <v>26</v>
      </c>
      <c r="D610" s="16" t="s">
        <v>363</v>
      </c>
      <c r="E610" s="16" t="s">
        <v>143</v>
      </c>
      <c r="F610" s="17" t="str">
        <f>IFERROR(__xludf.DUMMYFUNCTION("""COMPUTED_VALUE"""),"DSE-PH-PV-1A-4")</f>
        <v>DSE-PH-PV-1A-4</v>
      </c>
      <c r="G610" s="18">
        <v>4.99</v>
      </c>
      <c r="H610" s="19"/>
      <c r="I610" s="19"/>
      <c r="J610" s="16" t="s">
        <v>913</v>
      </c>
      <c r="K610" s="16">
        <v>15.0</v>
      </c>
      <c r="L610" s="16">
        <v>1.0</v>
      </c>
      <c r="M610" s="16" t="s">
        <v>83</v>
      </c>
      <c r="N610" s="20">
        <v>4.99</v>
      </c>
      <c r="O610" s="16" t="s">
        <v>22</v>
      </c>
      <c r="P610" s="19"/>
      <c r="Q610" s="19"/>
      <c r="R610" s="19"/>
      <c r="S610" s="19"/>
      <c r="T610" s="19"/>
      <c r="U610" s="19"/>
      <c r="V610" s="19"/>
    </row>
    <row r="611">
      <c r="A611" s="15">
        <v>46150.0</v>
      </c>
      <c r="B611" s="16" t="s">
        <v>252</v>
      </c>
      <c r="C611" s="16" t="s">
        <v>26</v>
      </c>
      <c r="D611" s="16" t="s">
        <v>363</v>
      </c>
      <c r="E611" s="16" t="s">
        <v>145</v>
      </c>
      <c r="F611" s="17" t="str">
        <f>IFERROR(__xludf.DUMMYFUNCTION("""COMPUTED_VALUE"""),"DSE-PH-PV-1A-5")</f>
        <v>DSE-PH-PV-1A-5</v>
      </c>
      <c r="G611" s="18">
        <v>4.99</v>
      </c>
      <c r="H611" s="19"/>
      <c r="I611" s="19"/>
      <c r="J611" s="16" t="s">
        <v>914</v>
      </c>
      <c r="K611" s="16">
        <v>15.0</v>
      </c>
      <c r="L611" s="16">
        <v>1.0</v>
      </c>
      <c r="M611" s="16" t="s">
        <v>83</v>
      </c>
      <c r="N611" s="20">
        <v>4.99</v>
      </c>
      <c r="O611" s="16" t="s">
        <v>22</v>
      </c>
      <c r="P611" s="19"/>
      <c r="Q611" s="19"/>
      <c r="R611" s="19"/>
      <c r="S611" s="19"/>
      <c r="T611" s="19"/>
      <c r="U611" s="19"/>
      <c r="V611" s="19"/>
    </row>
    <row r="612">
      <c r="A612" s="15">
        <v>46150.0</v>
      </c>
      <c r="B612" s="16" t="s">
        <v>252</v>
      </c>
      <c r="C612" s="16" t="s">
        <v>159</v>
      </c>
      <c r="D612" s="16" t="s">
        <v>915</v>
      </c>
      <c r="E612" s="16" t="s">
        <v>19</v>
      </c>
      <c r="F612" s="17" t="str">
        <f>IFERROR(__xludf.DUMMYFUNCTION("""COMPUTED_VALUE"""),"DSE-SYN-STC-1A")</f>
        <v>DSE-SYN-STC-1A</v>
      </c>
      <c r="G612" s="18">
        <v>5.99</v>
      </c>
      <c r="H612" s="19"/>
      <c r="I612" s="19"/>
      <c r="J612" s="16" t="s">
        <v>916</v>
      </c>
      <c r="K612" s="16">
        <v>15.0</v>
      </c>
      <c r="L612" s="16">
        <v>1.0</v>
      </c>
      <c r="M612" s="16" t="s">
        <v>83</v>
      </c>
      <c r="N612" s="20">
        <v>5.99</v>
      </c>
      <c r="O612" s="16" t="s">
        <v>22</v>
      </c>
      <c r="P612" s="19"/>
      <c r="Q612" s="19"/>
      <c r="R612" s="19"/>
      <c r="S612" s="19"/>
      <c r="T612" s="19"/>
      <c r="U612" s="19"/>
      <c r="V612" s="19"/>
    </row>
    <row r="613">
      <c r="A613" s="15">
        <v>46150.0</v>
      </c>
      <c r="B613" s="16" t="s">
        <v>252</v>
      </c>
      <c r="C613" s="16" t="s">
        <v>159</v>
      </c>
      <c r="D613" s="16" t="s">
        <v>915</v>
      </c>
      <c r="E613" s="16" t="s">
        <v>71</v>
      </c>
      <c r="F613" s="17" t="str">
        <f>IFERROR(__xludf.DUMMYFUNCTION("""COMPUTED_VALUE"""),"DSE-SYN-STC-1A-2")</f>
        <v>DSE-SYN-STC-1A-2</v>
      </c>
      <c r="G613" s="18">
        <v>5.99</v>
      </c>
      <c r="H613" s="19"/>
      <c r="I613" s="19"/>
      <c r="J613" s="16" t="s">
        <v>917</v>
      </c>
      <c r="K613" s="16">
        <v>15.0</v>
      </c>
      <c r="L613" s="16">
        <v>1.0</v>
      </c>
      <c r="M613" s="16" t="s">
        <v>83</v>
      </c>
      <c r="N613" s="20">
        <v>5.99</v>
      </c>
      <c r="O613" s="16" t="s">
        <v>22</v>
      </c>
      <c r="P613" s="19"/>
      <c r="Q613" s="19"/>
      <c r="R613" s="19"/>
      <c r="S613" s="19"/>
      <c r="T613" s="19"/>
      <c r="U613" s="19"/>
      <c r="V613" s="19"/>
    </row>
    <row r="614">
      <c r="A614" s="15">
        <v>46150.0</v>
      </c>
      <c r="B614" s="16" t="s">
        <v>252</v>
      </c>
      <c r="C614" s="16" t="s">
        <v>159</v>
      </c>
      <c r="D614" s="16" t="s">
        <v>915</v>
      </c>
      <c r="E614" s="16" t="s">
        <v>129</v>
      </c>
      <c r="F614" s="17" t="str">
        <f>IFERROR(__xludf.DUMMYFUNCTION("""COMPUTED_VALUE"""),"DSE-SYN-STC-1A-3")</f>
        <v>DSE-SYN-STC-1A-3</v>
      </c>
      <c r="G614" s="18">
        <v>5.99</v>
      </c>
      <c r="H614" s="19"/>
      <c r="I614" s="19"/>
      <c r="J614" s="16" t="s">
        <v>918</v>
      </c>
      <c r="K614" s="16">
        <v>15.0</v>
      </c>
      <c r="L614" s="16">
        <v>1.0</v>
      </c>
      <c r="M614" s="16" t="s">
        <v>83</v>
      </c>
      <c r="N614" s="20">
        <v>5.99</v>
      </c>
      <c r="O614" s="16" t="s">
        <v>22</v>
      </c>
      <c r="P614" s="19"/>
      <c r="Q614" s="19"/>
      <c r="R614" s="19"/>
      <c r="S614" s="19"/>
      <c r="T614" s="19"/>
      <c r="U614" s="19"/>
      <c r="V614" s="19"/>
    </row>
    <row r="615">
      <c r="A615" s="15">
        <v>46150.0</v>
      </c>
      <c r="B615" s="16" t="s">
        <v>252</v>
      </c>
      <c r="C615" s="16" t="s">
        <v>159</v>
      </c>
      <c r="D615" s="16" t="s">
        <v>915</v>
      </c>
      <c r="E615" s="16" t="s">
        <v>143</v>
      </c>
      <c r="F615" s="17" t="str">
        <f>IFERROR(__xludf.DUMMYFUNCTION("""COMPUTED_VALUE"""),"DSE-SYN-STC-1A-4")</f>
        <v>DSE-SYN-STC-1A-4</v>
      </c>
      <c r="G615" s="18">
        <v>5.99</v>
      </c>
      <c r="H615" s="19"/>
      <c r="I615" s="19"/>
      <c r="J615" s="16" t="s">
        <v>919</v>
      </c>
      <c r="K615" s="16">
        <v>15.0</v>
      </c>
      <c r="L615" s="16">
        <v>1.0</v>
      </c>
      <c r="M615" s="16" t="s">
        <v>83</v>
      </c>
      <c r="N615" s="20">
        <v>5.99</v>
      </c>
      <c r="O615" s="16" t="s">
        <v>22</v>
      </c>
      <c r="P615" s="19"/>
      <c r="Q615" s="19"/>
      <c r="R615" s="19"/>
      <c r="S615" s="19"/>
      <c r="T615" s="19"/>
      <c r="U615" s="19"/>
      <c r="V615" s="19"/>
    </row>
    <row r="616">
      <c r="A616" s="15">
        <v>46150.0</v>
      </c>
      <c r="B616" s="16" t="s">
        <v>252</v>
      </c>
      <c r="C616" s="16" t="s">
        <v>159</v>
      </c>
      <c r="D616" s="16" t="s">
        <v>915</v>
      </c>
      <c r="E616" s="16" t="s">
        <v>145</v>
      </c>
      <c r="F616" s="17" t="str">
        <f>IFERROR(__xludf.DUMMYFUNCTION("""COMPUTED_VALUE"""),"DSE-SYN-STC-1A-5")</f>
        <v>DSE-SYN-STC-1A-5</v>
      </c>
      <c r="G616" s="18">
        <v>5.99</v>
      </c>
      <c r="H616" s="19"/>
      <c r="I616" s="19"/>
      <c r="J616" s="16" t="s">
        <v>920</v>
      </c>
      <c r="K616" s="16">
        <v>15.0</v>
      </c>
      <c r="L616" s="16">
        <v>1.0</v>
      </c>
      <c r="M616" s="16" t="s">
        <v>83</v>
      </c>
      <c r="N616" s="20">
        <v>5.99</v>
      </c>
      <c r="O616" s="16" t="s">
        <v>22</v>
      </c>
      <c r="P616" s="19"/>
      <c r="Q616" s="19"/>
      <c r="R616" s="19"/>
      <c r="S616" s="19"/>
      <c r="T616" s="19"/>
      <c r="U616" s="19"/>
      <c r="V616" s="19"/>
    </row>
    <row r="617">
      <c r="A617" s="15">
        <v>46150.0</v>
      </c>
      <c r="B617" s="16" t="s">
        <v>252</v>
      </c>
      <c r="C617" s="16" t="s">
        <v>159</v>
      </c>
      <c r="D617" s="16" t="s">
        <v>915</v>
      </c>
      <c r="E617" s="16" t="s">
        <v>265</v>
      </c>
      <c r="F617" s="17" t="str">
        <f>IFERROR(__xludf.DUMMYFUNCTION("""COMPUTED_VALUE"""),"DSE-SYN-STC-1A-6")</f>
        <v>DSE-SYN-STC-1A-6</v>
      </c>
      <c r="G617" s="18">
        <v>5.99</v>
      </c>
      <c r="H617" s="19"/>
      <c r="I617" s="19"/>
      <c r="J617" s="16" t="s">
        <v>921</v>
      </c>
      <c r="K617" s="16">
        <v>15.0</v>
      </c>
      <c r="L617" s="16">
        <v>1.0</v>
      </c>
      <c r="M617" s="16" t="s">
        <v>83</v>
      </c>
      <c r="N617" s="20">
        <v>5.99</v>
      </c>
      <c r="O617" s="16" t="s">
        <v>22</v>
      </c>
      <c r="P617" s="19"/>
      <c r="Q617" s="19"/>
      <c r="R617" s="19"/>
      <c r="S617" s="19"/>
      <c r="T617" s="19"/>
      <c r="U617" s="19"/>
      <c r="V617" s="19"/>
    </row>
    <row r="618">
      <c r="A618" s="15">
        <v>46150.0</v>
      </c>
      <c r="B618" s="16" t="s">
        <v>252</v>
      </c>
      <c r="C618" s="16" t="s">
        <v>159</v>
      </c>
      <c r="D618" s="16" t="s">
        <v>915</v>
      </c>
      <c r="E618" s="16" t="s">
        <v>267</v>
      </c>
      <c r="F618" s="17" t="str">
        <f>IFERROR(__xludf.DUMMYFUNCTION("""COMPUTED_VALUE"""),"DSE-SYN-STC-1A-7")</f>
        <v>DSE-SYN-STC-1A-7</v>
      </c>
      <c r="G618" s="18">
        <v>5.99</v>
      </c>
      <c r="H618" s="19"/>
      <c r="I618" s="19"/>
      <c r="J618" s="16" t="s">
        <v>922</v>
      </c>
      <c r="K618" s="16">
        <v>15.0</v>
      </c>
      <c r="L618" s="16">
        <v>1.0</v>
      </c>
      <c r="M618" s="16" t="s">
        <v>83</v>
      </c>
      <c r="N618" s="20">
        <v>5.99</v>
      </c>
      <c r="O618" s="16" t="s">
        <v>22</v>
      </c>
      <c r="P618" s="19"/>
      <c r="Q618" s="19"/>
      <c r="R618" s="19"/>
      <c r="S618" s="19"/>
      <c r="T618" s="19"/>
      <c r="U618" s="19"/>
      <c r="V618" s="19"/>
    </row>
    <row r="619">
      <c r="A619" s="15">
        <v>46150.0</v>
      </c>
      <c r="B619" s="16" t="s">
        <v>252</v>
      </c>
      <c r="C619" s="16" t="s">
        <v>159</v>
      </c>
      <c r="D619" s="16" t="s">
        <v>915</v>
      </c>
      <c r="E619" s="16" t="s">
        <v>269</v>
      </c>
      <c r="F619" s="17" t="str">
        <f>IFERROR(__xludf.DUMMYFUNCTION("""COMPUTED_VALUE"""),"DSE-SYN-STC-1A-8")</f>
        <v>DSE-SYN-STC-1A-8</v>
      </c>
      <c r="G619" s="18">
        <v>5.99</v>
      </c>
      <c r="H619" s="19"/>
      <c r="I619" s="19"/>
      <c r="J619" s="16" t="s">
        <v>923</v>
      </c>
      <c r="K619" s="16">
        <v>15.0</v>
      </c>
      <c r="L619" s="16">
        <v>1.0</v>
      </c>
      <c r="M619" s="16" t="s">
        <v>83</v>
      </c>
      <c r="N619" s="20">
        <v>5.99</v>
      </c>
      <c r="O619" s="16" t="s">
        <v>22</v>
      </c>
      <c r="P619" s="19"/>
      <c r="Q619" s="19"/>
      <c r="R619" s="19"/>
      <c r="S619" s="19"/>
      <c r="T619" s="19"/>
      <c r="U619" s="19"/>
      <c r="V619" s="19"/>
    </row>
    <row r="620">
      <c r="A620" s="15">
        <v>46150.0</v>
      </c>
      <c r="B620" s="16" t="s">
        <v>252</v>
      </c>
      <c r="C620" s="16" t="s">
        <v>159</v>
      </c>
      <c r="D620" s="16" t="s">
        <v>915</v>
      </c>
      <c r="E620" s="16" t="s">
        <v>271</v>
      </c>
      <c r="F620" s="17" t="str">
        <f>IFERROR(__xludf.DUMMYFUNCTION("""COMPUTED_VALUE"""),"DSE-SYN-STC-1A-9")</f>
        <v>DSE-SYN-STC-1A-9</v>
      </c>
      <c r="G620" s="18">
        <v>5.99</v>
      </c>
      <c r="H620" s="19"/>
      <c r="I620" s="19"/>
      <c r="J620" s="16" t="s">
        <v>924</v>
      </c>
      <c r="K620" s="16">
        <v>15.0</v>
      </c>
      <c r="L620" s="16">
        <v>1.0</v>
      </c>
      <c r="M620" s="16" t="s">
        <v>83</v>
      </c>
      <c r="N620" s="20">
        <v>5.99</v>
      </c>
      <c r="O620" s="16" t="s">
        <v>22</v>
      </c>
      <c r="P620" s="19"/>
      <c r="Q620" s="19"/>
      <c r="R620" s="19"/>
      <c r="S620" s="19"/>
      <c r="T620" s="19"/>
      <c r="U620" s="19"/>
      <c r="V620" s="19"/>
    </row>
    <row r="621">
      <c r="A621" s="15">
        <v>46150.0</v>
      </c>
      <c r="B621" s="16" t="s">
        <v>252</v>
      </c>
      <c r="C621" s="16" t="s">
        <v>159</v>
      </c>
      <c r="D621" s="16" t="s">
        <v>915</v>
      </c>
      <c r="E621" s="16" t="s">
        <v>298</v>
      </c>
      <c r="F621" s="17" t="str">
        <f>IFERROR(__xludf.DUMMYFUNCTION("""COMPUTED_VALUE"""),"DSE-SYN-STC-1A-10")</f>
        <v>DSE-SYN-STC-1A-10</v>
      </c>
      <c r="G621" s="18">
        <v>5.99</v>
      </c>
      <c r="H621" s="19"/>
      <c r="I621" s="19"/>
      <c r="J621" s="16" t="s">
        <v>925</v>
      </c>
      <c r="K621" s="16">
        <v>15.0</v>
      </c>
      <c r="L621" s="16">
        <v>1.0</v>
      </c>
      <c r="M621" s="16" t="s">
        <v>83</v>
      </c>
      <c r="N621" s="20">
        <v>5.99</v>
      </c>
      <c r="O621" s="16" t="s">
        <v>22</v>
      </c>
      <c r="P621" s="19"/>
      <c r="Q621" s="19"/>
      <c r="R621" s="19"/>
      <c r="S621" s="19"/>
      <c r="T621" s="19"/>
      <c r="U621" s="19"/>
      <c r="V621" s="19"/>
    </row>
    <row r="622">
      <c r="A622" s="15">
        <v>46150.0</v>
      </c>
      <c r="B622" s="16" t="s">
        <v>252</v>
      </c>
      <c r="C622" s="16" t="s">
        <v>159</v>
      </c>
      <c r="D622" s="16" t="s">
        <v>926</v>
      </c>
      <c r="E622" s="16" t="s">
        <v>19</v>
      </c>
      <c r="F622" s="17" t="str">
        <f>IFERROR(__xludf.DUMMYFUNCTION("""COMPUTED_VALUE"""),"DSE-SYN-GLO-1A")</f>
        <v>DSE-SYN-GLO-1A</v>
      </c>
      <c r="G622" s="18">
        <v>4.99</v>
      </c>
      <c r="H622" s="19"/>
      <c r="I622" s="19"/>
      <c r="J622" s="22" t="s">
        <v>927</v>
      </c>
      <c r="K622" s="16">
        <v>15.0</v>
      </c>
      <c r="L622" s="16">
        <v>1.0</v>
      </c>
      <c r="M622" s="16" t="s">
        <v>83</v>
      </c>
      <c r="N622" s="20">
        <v>4.99</v>
      </c>
      <c r="O622" s="16" t="s">
        <v>22</v>
      </c>
      <c r="P622" s="19"/>
      <c r="Q622" s="19"/>
      <c r="R622" s="19"/>
      <c r="S622" s="19"/>
      <c r="T622" s="19"/>
      <c r="U622" s="19"/>
      <c r="V622" s="19"/>
    </row>
    <row r="623">
      <c r="A623" s="15">
        <v>46150.0</v>
      </c>
      <c r="B623" s="16" t="s">
        <v>252</v>
      </c>
      <c r="C623" s="16" t="s">
        <v>159</v>
      </c>
      <c r="D623" s="16" t="s">
        <v>926</v>
      </c>
      <c r="E623" s="16" t="s">
        <v>71</v>
      </c>
      <c r="F623" s="17" t="str">
        <f>IFERROR(__xludf.DUMMYFUNCTION("""COMPUTED_VALUE"""),"DSE-SYN-GLO-1A-2")</f>
        <v>DSE-SYN-GLO-1A-2</v>
      </c>
      <c r="G623" s="18">
        <v>4.99</v>
      </c>
      <c r="H623" s="19"/>
      <c r="I623" s="19"/>
      <c r="J623" s="16" t="s">
        <v>928</v>
      </c>
      <c r="K623" s="16">
        <v>15.0</v>
      </c>
      <c r="L623" s="16">
        <v>1.0</v>
      </c>
      <c r="M623" s="16" t="s">
        <v>83</v>
      </c>
      <c r="N623" s="20">
        <v>4.99</v>
      </c>
      <c r="O623" s="16" t="s">
        <v>22</v>
      </c>
      <c r="P623" s="19"/>
      <c r="Q623" s="19"/>
      <c r="R623" s="19"/>
      <c r="S623" s="19"/>
      <c r="T623" s="19"/>
      <c r="U623" s="19"/>
      <c r="V623" s="19"/>
    </row>
    <row r="624">
      <c r="A624" s="15">
        <v>46150.0</v>
      </c>
      <c r="B624" s="16" t="s">
        <v>252</v>
      </c>
      <c r="C624" s="16" t="s">
        <v>159</v>
      </c>
      <c r="D624" s="16" t="s">
        <v>926</v>
      </c>
      <c r="E624" s="16" t="s">
        <v>129</v>
      </c>
      <c r="F624" s="17" t="str">
        <f>IFERROR(__xludf.DUMMYFUNCTION("""COMPUTED_VALUE"""),"DSE-SYN-GLO-1A-3")</f>
        <v>DSE-SYN-GLO-1A-3</v>
      </c>
      <c r="G624" s="18">
        <v>4.99</v>
      </c>
      <c r="H624" s="19"/>
      <c r="I624" s="19"/>
      <c r="J624" s="16" t="s">
        <v>929</v>
      </c>
      <c r="K624" s="16">
        <v>15.0</v>
      </c>
      <c r="L624" s="16">
        <v>1.0</v>
      </c>
      <c r="M624" s="16" t="s">
        <v>83</v>
      </c>
      <c r="N624" s="20">
        <v>4.99</v>
      </c>
      <c r="O624" s="16" t="s">
        <v>22</v>
      </c>
      <c r="P624" s="19"/>
      <c r="Q624" s="19"/>
      <c r="R624" s="19"/>
      <c r="S624" s="19"/>
      <c r="T624" s="19"/>
      <c r="U624" s="19"/>
      <c r="V624" s="19"/>
    </row>
    <row r="625">
      <c r="A625" s="15">
        <v>46150.0</v>
      </c>
      <c r="B625" s="16" t="s">
        <v>252</v>
      </c>
      <c r="C625" s="16" t="s">
        <v>159</v>
      </c>
      <c r="D625" s="16" t="s">
        <v>930</v>
      </c>
      <c r="E625" s="16" t="s">
        <v>19</v>
      </c>
      <c r="F625" s="17" t="str">
        <f>IFERROR(__xludf.DUMMYFUNCTION("""COMPUTED_VALUE"""),"DSE-SYN-MC-1A")</f>
        <v>DSE-SYN-MC-1A</v>
      </c>
      <c r="G625" s="18">
        <v>4.99</v>
      </c>
      <c r="H625" s="19"/>
      <c r="I625" s="19"/>
      <c r="J625" s="16" t="s">
        <v>931</v>
      </c>
      <c r="K625" s="16">
        <v>15.0</v>
      </c>
      <c r="L625" s="16">
        <v>1.0</v>
      </c>
      <c r="M625" s="16" t="s">
        <v>83</v>
      </c>
      <c r="N625" s="20">
        <v>4.99</v>
      </c>
      <c r="O625" s="16" t="s">
        <v>22</v>
      </c>
      <c r="P625" s="19"/>
      <c r="Q625" s="19"/>
      <c r="R625" s="19"/>
      <c r="S625" s="19"/>
      <c r="T625" s="19"/>
      <c r="U625" s="19"/>
      <c r="V625" s="19"/>
    </row>
    <row r="626">
      <c r="A626" s="15">
        <v>46150.0</v>
      </c>
      <c r="B626" s="16" t="s">
        <v>252</v>
      </c>
      <c r="C626" s="16" t="s">
        <v>159</v>
      </c>
      <c r="D626" s="16" t="s">
        <v>930</v>
      </c>
      <c r="E626" s="16" t="s">
        <v>71</v>
      </c>
      <c r="F626" s="17" t="str">
        <f>IFERROR(__xludf.DUMMYFUNCTION("""COMPUTED_VALUE"""),"DSE-SYN-MC-1A-2")</f>
        <v>DSE-SYN-MC-1A-2</v>
      </c>
      <c r="G626" s="18">
        <v>4.99</v>
      </c>
      <c r="H626" s="19"/>
      <c r="I626" s="19"/>
      <c r="J626" s="16" t="s">
        <v>932</v>
      </c>
      <c r="K626" s="16">
        <v>15.0</v>
      </c>
      <c r="L626" s="16">
        <v>1.0</v>
      </c>
      <c r="M626" s="16" t="s">
        <v>83</v>
      </c>
      <c r="N626" s="20">
        <v>4.99</v>
      </c>
      <c r="O626" s="16" t="s">
        <v>22</v>
      </c>
      <c r="P626" s="19"/>
      <c r="Q626" s="19"/>
      <c r="R626" s="19"/>
      <c r="S626" s="19"/>
      <c r="T626" s="19"/>
      <c r="U626" s="19"/>
      <c r="V626" s="19"/>
    </row>
    <row r="627">
      <c r="A627" s="15">
        <v>46150.0</v>
      </c>
      <c r="B627" s="16" t="s">
        <v>252</v>
      </c>
      <c r="C627" s="16" t="s">
        <v>159</v>
      </c>
      <c r="D627" s="16" t="s">
        <v>930</v>
      </c>
      <c r="E627" s="16" t="s">
        <v>129</v>
      </c>
      <c r="F627" s="17" t="str">
        <f>IFERROR(__xludf.DUMMYFUNCTION("""COMPUTED_VALUE"""),"DSE-SYN-MC-1A-3")</f>
        <v>DSE-SYN-MC-1A-3</v>
      </c>
      <c r="G627" s="18">
        <v>4.99</v>
      </c>
      <c r="H627" s="19"/>
      <c r="I627" s="19"/>
      <c r="J627" s="16" t="s">
        <v>933</v>
      </c>
      <c r="K627" s="16">
        <v>15.0</v>
      </c>
      <c r="L627" s="16">
        <v>1.0</v>
      </c>
      <c r="M627" s="16" t="s">
        <v>83</v>
      </c>
      <c r="N627" s="20">
        <v>4.99</v>
      </c>
      <c r="O627" s="16" t="s">
        <v>22</v>
      </c>
      <c r="P627" s="19"/>
      <c r="Q627" s="19"/>
      <c r="R627" s="19"/>
      <c r="S627" s="19"/>
      <c r="T627" s="19"/>
      <c r="U627" s="19"/>
      <c r="V627" s="19"/>
    </row>
    <row r="628">
      <c r="A628" s="15">
        <v>46150.0</v>
      </c>
      <c r="B628" s="16" t="s">
        <v>252</v>
      </c>
      <c r="C628" s="16" t="s">
        <v>159</v>
      </c>
      <c r="D628" s="16" t="s">
        <v>930</v>
      </c>
      <c r="E628" s="16" t="s">
        <v>143</v>
      </c>
      <c r="F628" s="17" t="str">
        <f>IFERROR(__xludf.DUMMYFUNCTION("""COMPUTED_VALUE"""),"DSE-SYN-MC-1A-4")</f>
        <v>DSE-SYN-MC-1A-4</v>
      </c>
      <c r="G628" s="18">
        <v>4.99</v>
      </c>
      <c r="H628" s="19"/>
      <c r="I628" s="19"/>
      <c r="J628" s="16" t="s">
        <v>934</v>
      </c>
      <c r="K628" s="16">
        <v>15.0</v>
      </c>
      <c r="L628" s="16">
        <v>1.0</v>
      </c>
      <c r="M628" s="16" t="s">
        <v>83</v>
      </c>
      <c r="N628" s="20">
        <v>4.99</v>
      </c>
      <c r="O628" s="16" t="s">
        <v>22</v>
      </c>
      <c r="P628" s="19"/>
      <c r="Q628" s="19"/>
      <c r="R628" s="19"/>
      <c r="S628" s="19"/>
      <c r="T628" s="19"/>
      <c r="U628" s="19"/>
      <c r="V628" s="19"/>
    </row>
    <row r="629">
      <c r="A629" s="15">
        <v>46150.0</v>
      </c>
      <c r="B629" s="16" t="s">
        <v>252</v>
      </c>
      <c r="C629" s="16" t="s">
        <v>159</v>
      </c>
      <c r="D629" s="16" t="s">
        <v>930</v>
      </c>
      <c r="E629" s="16" t="s">
        <v>145</v>
      </c>
      <c r="F629" s="17" t="str">
        <f>IFERROR(__xludf.DUMMYFUNCTION("""COMPUTED_VALUE"""),"DSE-SYN-MC-1A-5")</f>
        <v>DSE-SYN-MC-1A-5</v>
      </c>
      <c r="G629" s="18">
        <v>4.99</v>
      </c>
      <c r="H629" s="19"/>
      <c r="I629" s="19"/>
      <c r="J629" s="16" t="s">
        <v>935</v>
      </c>
      <c r="K629" s="16">
        <v>15.0</v>
      </c>
      <c r="L629" s="16">
        <v>1.0</v>
      </c>
      <c r="M629" s="16" t="s">
        <v>83</v>
      </c>
      <c r="N629" s="20">
        <v>4.99</v>
      </c>
      <c r="O629" s="16" t="s">
        <v>22</v>
      </c>
      <c r="P629" s="19"/>
      <c r="Q629" s="19"/>
      <c r="R629" s="19"/>
      <c r="S629" s="19"/>
      <c r="T629" s="19"/>
      <c r="U629" s="19"/>
      <c r="V629" s="19"/>
    </row>
    <row r="630">
      <c r="A630" s="15">
        <v>46150.0</v>
      </c>
      <c r="B630" s="16" t="s">
        <v>252</v>
      </c>
      <c r="C630" s="16" t="s">
        <v>159</v>
      </c>
      <c r="D630" s="16" t="s">
        <v>930</v>
      </c>
      <c r="E630" s="16" t="s">
        <v>265</v>
      </c>
      <c r="F630" s="17" t="str">
        <f>IFERROR(__xludf.DUMMYFUNCTION("""COMPUTED_VALUE"""),"DSE-SYN-MC-1A-6")</f>
        <v>DSE-SYN-MC-1A-6</v>
      </c>
      <c r="G630" s="18">
        <v>4.99</v>
      </c>
      <c r="H630" s="19"/>
      <c r="I630" s="19"/>
      <c r="J630" s="16" t="s">
        <v>936</v>
      </c>
      <c r="K630" s="16">
        <v>15.0</v>
      </c>
      <c r="L630" s="16">
        <v>1.0</v>
      </c>
      <c r="M630" s="16" t="s">
        <v>83</v>
      </c>
      <c r="N630" s="20">
        <v>4.99</v>
      </c>
      <c r="O630" s="16" t="s">
        <v>22</v>
      </c>
      <c r="P630" s="19"/>
      <c r="Q630" s="19"/>
      <c r="R630" s="19"/>
      <c r="S630" s="19"/>
      <c r="T630" s="19"/>
      <c r="U630" s="19"/>
      <c r="V630" s="19"/>
    </row>
    <row r="631">
      <c r="A631" s="15">
        <v>46150.0</v>
      </c>
      <c r="B631" s="16" t="s">
        <v>252</v>
      </c>
      <c r="C631" s="16" t="s">
        <v>159</v>
      </c>
      <c r="D631" s="16" t="s">
        <v>930</v>
      </c>
      <c r="E631" s="16" t="s">
        <v>267</v>
      </c>
      <c r="F631" s="17" t="str">
        <f>IFERROR(__xludf.DUMMYFUNCTION("""COMPUTED_VALUE"""),"DSE-SYN-MC-1A-7")</f>
        <v>DSE-SYN-MC-1A-7</v>
      </c>
      <c r="G631" s="18">
        <v>4.99</v>
      </c>
      <c r="H631" s="19"/>
      <c r="I631" s="19"/>
      <c r="J631" s="16" t="s">
        <v>937</v>
      </c>
      <c r="K631" s="16">
        <v>15.0</v>
      </c>
      <c r="L631" s="16">
        <v>1.0</v>
      </c>
      <c r="M631" s="16" t="s">
        <v>83</v>
      </c>
      <c r="N631" s="20">
        <v>4.99</v>
      </c>
      <c r="O631" s="16" t="s">
        <v>22</v>
      </c>
      <c r="P631" s="19"/>
      <c r="Q631" s="19"/>
      <c r="R631" s="19"/>
      <c r="S631" s="19"/>
      <c r="T631" s="19"/>
      <c r="U631" s="19"/>
      <c r="V631" s="19"/>
    </row>
    <row r="632">
      <c r="A632" s="15">
        <v>46150.0</v>
      </c>
      <c r="B632" s="16" t="s">
        <v>252</v>
      </c>
      <c r="C632" s="16" t="s">
        <v>159</v>
      </c>
      <c r="D632" s="16" t="s">
        <v>930</v>
      </c>
      <c r="E632" s="16" t="s">
        <v>269</v>
      </c>
      <c r="F632" s="17" t="str">
        <f>IFERROR(__xludf.DUMMYFUNCTION("""COMPUTED_VALUE"""),"DSE-SYN-MC-1A-8")</f>
        <v>DSE-SYN-MC-1A-8</v>
      </c>
      <c r="G632" s="18">
        <v>4.99</v>
      </c>
      <c r="H632" s="19"/>
      <c r="I632" s="19"/>
      <c r="J632" s="16" t="s">
        <v>938</v>
      </c>
      <c r="K632" s="16">
        <v>15.0</v>
      </c>
      <c r="L632" s="16">
        <v>1.0</v>
      </c>
      <c r="M632" s="16" t="s">
        <v>83</v>
      </c>
      <c r="N632" s="20">
        <v>4.99</v>
      </c>
      <c r="O632" s="16" t="s">
        <v>22</v>
      </c>
      <c r="P632" s="19"/>
      <c r="Q632" s="19"/>
      <c r="R632" s="19"/>
      <c r="S632" s="19"/>
      <c r="T632" s="19"/>
      <c r="U632" s="19"/>
      <c r="V632" s="19"/>
    </row>
    <row r="633">
      <c r="A633" s="15">
        <v>46150.0</v>
      </c>
      <c r="B633" s="16" t="s">
        <v>252</v>
      </c>
      <c r="C633" s="16" t="s">
        <v>159</v>
      </c>
      <c r="D633" s="16" t="s">
        <v>930</v>
      </c>
      <c r="E633" s="16" t="s">
        <v>271</v>
      </c>
      <c r="F633" s="17" t="str">
        <f>IFERROR(__xludf.DUMMYFUNCTION("""COMPUTED_VALUE"""),"DSE-SYN-MC-1A-9")</f>
        <v>DSE-SYN-MC-1A-9</v>
      </c>
      <c r="G633" s="18">
        <v>4.99</v>
      </c>
      <c r="H633" s="19"/>
      <c r="I633" s="19"/>
      <c r="J633" s="16" t="s">
        <v>939</v>
      </c>
      <c r="K633" s="16">
        <v>15.0</v>
      </c>
      <c r="L633" s="16">
        <v>1.0</v>
      </c>
      <c r="M633" s="16" t="s">
        <v>83</v>
      </c>
      <c r="N633" s="20">
        <v>4.99</v>
      </c>
      <c r="O633" s="16" t="s">
        <v>22</v>
      </c>
      <c r="P633" s="19"/>
      <c r="Q633" s="19"/>
      <c r="R633" s="19"/>
      <c r="S633" s="19"/>
      <c r="T633" s="19"/>
      <c r="U633" s="19"/>
      <c r="V633" s="19"/>
    </row>
    <row r="634">
      <c r="A634" s="15">
        <v>46150.0</v>
      </c>
      <c r="B634" s="16" t="s">
        <v>252</v>
      </c>
      <c r="C634" s="16" t="s">
        <v>159</v>
      </c>
      <c r="D634" s="16" t="s">
        <v>930</v>
      </c>
      <c r="E634" s="16" t="s">
        <v>298</v>
      </c>
      <c r="F634" s="17" t="str">
        <f>IFERROR(__xludf.DUMMYFUNCTION("""COMPUTED_VALUE"""),"DSE-SYN-MC-1A-10")</f>
        <v>DSE-SYN-MC-1A-10</v>
      </c>
      <c r="G634" s="18">
        <v>4.99</v>
      </c>
      <c r="H634" s="19"/>
      <c r="I634" s="19"/>
      <c r="J634" s="16" t="s">
        <v>940</v>
      </c>
      <c r="K634" s="16">
        <v>15.0</v>
      </c>
      <c r="L634" s="16">
        <v>1.0</v>
      </c>
      <c r="M634" s="16" t="s">
        <v>83</v>
      </c>
      <c r="N634" s="20">
        <v>4.99</v>
      </c>
      <c r="O634" s="16" t="s">
        <v>22</v>
      </c>
      <c r="P634" s="19"/>
      <c r="Q634" s="19"/>
      <c r="R634" s="19"/>
      <c r="S634" s="19"/>
      <c r="T634" s="19"/>
      <c r="U634" s="19"/>
      <c r="V634" s="19"/>
    </row>
    <row r="635">
      <c r="A635" s="15">
        <v>46150.0</v>
      </c>
      <c r="B635" s="16" t="s">
        <v>252</v>
      </c>
      <c r="C635" s="16" t="s">
        <v>159</v>
      </c>
      <c r="D635" s="16" t="s">
        <v>941</v>
      </c>
      <c r="E635" s="16" t="s">
        <v>19</v>
      </c>
      <c r="F635" s="17" t="str">
        <f>IFERROR(__xludf.DUMMYFUNCTION("""COMPUTED_VALUE"""),"DSE-SYN-NR-1A")</f>
        <v>DSE-SYN-NR-1A</v>
      </c>
      <c r="G635" s="18">
        <v>4.99</v>
      </c>
      <c r="H635" s="19"/>
      <c r="I635" s="19"/>
      <c r="J635" s="16" t="s">
        <v>942</v>
      </c>
      <c r="K635" s="16">
        <v>15.0</v>
      </c>
      <c r="L635" s="16">
        <v>1.0</v>
      </c>
      <c r="M635" s="16" t="s">
        <v>83</v>
      </c>
      <c r="N635" s="20">
        <v>4.99</v>
      </c>
      <c r="O635" s="16" t="s">
        <v>22</v>
      </c>
      <c r="P635" s="19"/>
      <c r="Q635" s="19"/>
      <c r="R635" s="19"/>
      <c r="S635" s="19"/>
      <c r="T635" s="19"/>
      <c r="U635" s="19"/>
      <c r="V635" s="19"/>
    </row>
    <row r="636">
      <c r="A636" s="15">
        <v>46150.0</v>
      </c>
      <c r="B636" s="16" t="s">
        <v>252</v>
      </c>
      <c r="C636" s="16" t="s">
        <v>159</v>
      </c>
      <c r="D636" s="16" t="s">
        <v>941</v>
      </c>
      <c r="E636" s="16" t="s">
        <v>71</v>
      </c>
      <c r="F636" s="17" t="str">
        <f>IFERROR(__xludf.DUMMYFUNCTION("""COMPUTED_VALUE"""),"DSE-SYN-NR-1A-2")</f>
        <v>DSE-SYN-NR-1A-2</v>
      </c>
      <c r="G636" s="18">
        <v>4.99</v>
      </c>
      <c r="H636" s="19"/>
      <c r="I636" s="19"/>
      <c r="J636" s="16" t="s">
        <v>943</v>
      </c>
      <c r="K636" s="16">
        <v>15.0</v>
      </c>
      <c r="L636" s="16">
        <v>1.0</v>
      </c>
      <c r="M636" s="16" t="s">
        <v>83</v>
      </c>
      <c r="N636" s="20">
        <v>4.99</v>
      </c>
      <c r="O636" s="16" t="s">
        <v>22</v>
      </c>
      <c r="P636" s="19"/>
      <c r="Q636" s="19"/>
      <c r="R636" s="19"/>
      <c r="S636" s="19"/>
      <c r="T636" s="19"/>
      <c r="U636" s="19"/>
      <c r="V636" s="19"/>
    </row>
    <row r="637">
      <c r="A637" s="15">
        <v>46150.0</v>
      </c>
      <c r="B637" s="16" t="s">
        <v>252</v>
      </c>
      <c r="C637" s="16" t="s">
        <v>159</v>
      </c>
      <c r="D637" s="16" t="s">
        <v>941</v>
      </c>
      <c r="E637" s="16" t="s">
        <v>129</v>
      </c>
      <c r="F637" s="17" t="str">
        <f>IFERROR(__xludf.DUMMYFUNCTION("""COMPUTED_VALUE"""),"DSE-SYN-NR-1A-3")</f>
        <v>DSE-SYN-NR-1A-3</v>
      </c>
      <c r="G637" s="18">
        <v>4.99</v>
      </c>
      <c r="H637" s="19"/>
      <c r="I637" s="19"/>
      <c r="J637" s="16" t="s">
        <v>944</v>
      </c>
      <c r="K637" s="16">
        <v>15.0</v>
      </c>
      <c r="L637" s="16">
        <v>1.0</v>
      </c>
      <c r="M637" s="16" t="s">
        <v>83</v>
      </c>
      <c r="N637" s="20">
        <v>4.99</v>
      </c>
      <c r="O637" s="16" t="s">
        <v>22</v>
      </c>
      <c r="P637" s="19"/>
      <c r="Q637" s="19"/>
      <c r="R637" s="19"/>
      <c r="S637" s="19"/>
      <c r="T637" s="19"/>
      <c r="U637" s="19"/>
      <c r="V637" s="19"/>
    </row>
    <row r="638">
      <c r="A638" s="15">
        <v>46150.0</v>
      </c>
      <c r="B638" s="16" t="s">
        <v>252</v>
      </c>
      <c r="C638" s="16" t="s">
        <v>159</v>
      </c>
      <c r="D638" s="16" t="s">
        <v>945</v>
      </c>
      <c r="E638" s="16" t="s">
        <v>19</v>
      </c>
      <c r="F638" s="17" t="str">
        <f>IFERROR(__xludf.DUMMYFUNCTION("""COMPUTED_VALUE"""),"DSE-SYN-MM-1A")</f>
        <v>DSE-SYN-MM-1A</v>
      </c>
      <c r="G638" s="18">
        <v>4.99</v>
      </c>
      <c r="H638" s="19"/>
      <c r="I638" s="19"/>
      <c r="J638" s="16" t="s">
        <v>946</v>
      </c>
      <c r="K638" s="16">
        <v>15.0</v>
      </c>
      <c r="L638" s="16">
        <v>1.0</v>
      </c>
      <c r="M638" s="16" t="s">
        <v>83</v>
      </c>
      <c r="N638" s="20">
        <v>4.99</v>
      </c>
      <c r="O638" s="16" t="s">
        <v>22</v>
      </c>
      <c r="P638" s="19"/>
      <c r="Q638" s="19"/>
      <c r="R638" s="19"/>
      <c r="S638" s="19"/>
      <c r="T638" s="19"/>
      <c r="U638" s="19"/>
      <c r="V638" s="19"/>
    </row>
    <row r="639">
      <c r="A639" s="15">
        <v>46150.0</v>
      </c>
      <c r="B639" s="16" t="s">
        <v>252</v>
      </c>
      <c r="C639" s="16" t="s">
        <v>159</v>
      </c>
      <c r="D639" s="16" t="s">
        <v>945</v>
      </c>
      <c r="E639" s="16" t="s">
        <v>71</v>
      </c>
      <c r="F639" s="17" t="str">
        <f>IFERROR(__xludf.DUMMYFUNCTION("""COMPUTED_VALUE"""),"DSE-SYN-MM-1A-2")</f>
        <v>DSE-SYN-MM-1A-2</v>
      </c>
      <c r="G639" s="18">
        <v>4.99</v>
      </c>
      <c r="H639" s="19"/>
      <c r="I639" s="19"/>
      <c r="J639" s="16" t="s">
        <v>947</v>
      </c>
      <c r="K639" s="16">
        <v>15.0</v>
      </c>
      <c r="L639" s="16">
        <v>1.0</v>
      </c>
      <c r="M639" s="16" t="s">
        <v>83</v>
      </c>
      <c r="N639" s="20">
        <v>4.99</v>
      </c>
      <c r="O639" s="16" t="s">
        <v>22</v>
      </c>
      <c r="P639" s="19"/>
      <c r="Q639" s="19"/>
      <c r="R639" s="19"/>
      <c r="S639" s="19"/>
      <c r="T639" s="19"/>
      <c r="U639" s="19"/>
      <c r="V639" s="19"/>
    </row>
    <row r="640">
      <c r="A640" s="15">
        <v>46150.0</v>
      </c>
      <c r="B640" s="16" t="s">
        <v>252</v>
      </c>
      <c r="C640" s="16" t="s">
        <v>159</v>
      </c>
      <c r="D640" s="16" t="s">
        <v>945</v>
      </c>
      <c r="E640" s="16" t="s">
        <v>129</v>
      </c>
      <c r="F640" s="17" t="str">
        <f>IFERROR(__xludf.DUMMYFUNCTION("""COMPUTED_VALUE"""),"DSE-SYN-MM-1A-3")</f>
        <v>DSE-SYN-MM-1A-3</v>
      </c>
      <c r="G640" s="18">
        <v>4.99</v>
      </c>
      <c r="H640" s="19"/>
      <c r="I640" s="19"/>
      <c r="J640" s="16" t="s">
        <v>948</v>
      </c>
      <c r="K640" s="16">
        <v>15.0</v>
      </c>
      <c r="L640" s="16">
        <v>1.0</v>
      </c>
      <c r="M640" s="16" t="s">
        <v>83</v>
      </c>
      <c r="N640" s="20">
        <v>4.99</v>
      </c>
      <c r="O640" s="16" t="s">
        <v>22</v>
      </c>
      <c r="P640" s="19"/>
      <c r="Q640" s="19"/>
      <c r="R640" s="19"/>
      <c r="S640" s="19"/>
      <c r="T640" s="19"/>
      <c r="U640" s="19"/>
      <c r="V640" s="19"/>
    </row>
    <row r="641">
      <c r="A641" s="15">
        <v>46087.0</v>
      </c>
      <c r="B641" s="16" t="s">
        <v>846</v>
      </c>
      <c r="C641" s="16" t="s">
        <v>865</v>
      </c>
      <c r="D641" s="16" t="s">
        <v>866</v>
      </c>
      <c r="E641" s="16" t="s">
        <v>71</v>
      </c>
      <c r="F641" s="17" t="str">
        <f>IFERROR(__xludf.DUMMYFUNCTION("""COMPUTED_VALUE"""),"TA-OR-OR-1A-2")</f>
        <v>TA-OR-OR-1A-2</v>
      </c>
      <c r="G641" s="18">
        <v>0.08</v>
      </c>
      <c r="H641" s="19"/>
      <c r="I641" s="19"/>
      <c r="J641" s="16" t="s">
        <v>949</v>
      </c>
      <c r="K641" s="16">
        <v>4.0</v>
      </c>
      <c r="L641" s="16">
        <v>1.0</v>
      </c>
      <c r="M641" s="16" t="s">
        <v>850</v>
      </c>
      <c r="N641" s="20">
        <v>0.08</v>
      </c>
      <c r="O641" s="16" t="s">
        <v>22</v>
      </c>
      <c r="P641" s="19"/>
      <c r="Q641" s="19"/>
      <c r="R641" s="19"/>
      <c r="S641" s="19"/>
      <c r="T641" s="19"/>
      <c r="U641" s="19"/>
      <c r="V641" s="19"/>
    </row>
    <row r="642">
      <c r="A642" s="15">
        <v>46087.0</v>
      </c>
      <c r="B642" s="16" t="s">
        <v>846</v>
      </c>
      <c r="C642" s="16" t="s">
        <v>865</v>
      </c>
      <c r="D642" s="16" t="s">
        <v>866</v>
      </c>
      <c r="E642" s="16" t="s">
        <v>129</v>
      </c>
      <c r="F642" s="17" t="str">
        <f>IFERROR(__xludf.DUMMYFUNCTION("""COMPUTED_VALUE"""),"TA-OR-OR-1A-3")</f>
        <v>TA-OR-OR-1A-3</v>
      </c>
      <c r="G642" s="18">
        <v>0.08</v>
      </c>
      <c r="H642" s="19"/>
      <c r="I642" s="19"/>
      <c r="J642" s="16" t="s">
        <v>950</v>
      </c>
      <c r="K642" s="16">
        <v>4.0</v>
      </c>
      <c r="L642" s="16">
        <v>1.0</v>
      </c>
      <c r="M642" s="16" t="s">
        <v>850</v>
      </c>
      <c r="N642" s="20">
        <v>0.08</v>
      </c>
      <c r="O642" s="16" t="s">
        <v>22</v>
      </c>
      <c r="P642" s="19"/>
      <c r="Q642" s="19"/>
      <c r="R642" s="19"/>
      <c r="S642" s="19"/>
      <c r="T642" s="19"/>
      <c r="U642" s="19"/>
      <c r="V642" s="19"/>
    </row>
    <row r="643">
      <c r="A643" s="15">
        <v>46087.0</v>
      </c>
      <c r="B643" s="16" t="s">
        <v>846</v>
      </c>
      <c r="C643" s="16" t="s">
        <v>865</v>
      </c>
      <c r="D643" s="16" t="s">
        <v>866</v>
      </c>
      <c r="E643" s="16" t="s">
        <v>143</v>
      </c>
      <c r="F643" s="17" t="str">
        <f>IFERROR(__xludf.DUMMYFUNCTION("""COMPUTED_VALUE"""),"TA-OR-OR-1A-4")</f>
        <v>TA-OR-OR-1A-4</v>
      </c>
      <c r="G643" s="18">
        <v>0.08</v>
      </c>
      <c r="H643" s="19"/>
      <c r="I643" s="19"/>
      <c r="J643" s="22" t="s">
        <v>951</v>
      </c>
      <c r="K643" s="16">
        <v>4.0</v>
      </c>
      <c r="L643" s="16">
        <v>1.0</v>
      </c>
      <c r="M643" s="16" t="s">
        <v>850</v>
      </c>
      <c r="N643" s="20">
        <v>0.08</v>
      </c>
      <c r="O643" s="16" t="s">
        <v>22</v>
      </c>
      <c r="P643" s="19"/>
      <c r="Q643" s="19"/>
      <c r="R643" s="19"/>
      <c r="S643" s="19"/>
      <c r="T643" s="19"/>
      <c r="U643" s="19"/>
      <c r="V643" s="19"/>
    </row>
    <row r="644">
      <c r="A644" s="15">
        <v>46087.0</v>
      </c>
      <c r="B644" s="16" t="s">
        <v>846</v>
      </c>
      <c r="C644" s="16" t="s">
        <v>865</v>
      </c>
      <c r="D644" s="16" t="s">
        <v>866</v>
      </c>
      <c r="E644" s="16" t="s">
        <v>145</v>
      </c>
      <c r="F644" s="17" t="str">
        <f>IFERROR(__xludf.DUMMYFUNCTION("""COMPUTED_VALUE"""),"TA-OR-OR-1A-5")</f>
        <v>TA-OR-OR-1A-5</v>
      </c>
      <c r="G644" s="18">
        <v>0.08</v>
      </c>
      <c r="H644" s="19"/>
      <c r="I644" s="19"/>
      <c r="J644" s="16" t="s">
        <v>952</v>
      </c>
      <c r="K644" s="16">
        <v>4.0</v>
      </c>
      <c r="L644" s="16">
        <v>1.0</v>
      </c>
      <c r="M644" s="16" t="s">
        <v>850</v>
      </c>
      <c r="N644" s="20">
        <v>0.08</v>
      </c>
      <c r="O644" s="16" t="s">
        <v>22</v>
      </c>
      <c r="P644" s="19"/>
      <c r="Q644" s="19"/>
      <c r="R644" s="19"/>
      <c r="S644" s="19"/>
      <c r="T644" s="19"/>
      <c r="U644" s="19"/>
      <c r="V644" s="19"/>
    </row>
    <row r="645">
      <c r="A645" s="15">
        <v>46087.0</v>
      </c>
      <c r="B645" s="16" t="s">
        <v>846</v>
      </c>
      <c r="C645" s="16" t="s">
        <v>865</v>
      </c>
      <c r="D645" s="16" t="s">
        <v>866</v>
      </c>
      <c r="E645" s="16" t="s">
        <v>265</v>
      </c>
      <c r="F645" s="17" t="str">
        <f>IFERROR(__xludf.DUMMYFUNCTION("""COMPUTED_VALUE"""),"TA-OR-OR-1A-6")</f>
        <v>TA-OR-OR-1A-6</v>
      </c>
      <c r="G645" s="18">
        <v>0.08</v>
      </c>
      <c r="H645" s="19"/>
      <c r="I645" s="19"/>
      <c r="J645" s="16" t="s">
        <v>953</v>
      </c>
      <c r="K645" s="16">
        <v>4.0</v>
      </c>
      <c r="L645" s="16">
        <v>1.0</v>
      </c>
      <c r="M645" s="16" t="s">
        <v>850</v>
      </c>
      <c r="N645" s="20">
        <v>0.08</v>
      </c>
      <c r="O645" s="16" t="s">
        <v>22</v>
      </c>
      <c r="P645" s="19"/>
      <c r="Q645" s="19"/>
      <c r="R645" s="19"/>
      <c r="S645" s="19"/>
      <c r="T645" s="19"/>
      <c r="U645" s="19"/>
      <c r="V645" s="19"/>
    </row>
    <row r="646">
      <c r="A646" s="15">
        <v>46087.0</v>
      </c>
      <c r="B646" s="16" t="s">
        <v>846</v>
      </c>
      <c r="C646" s="16" t="s">
        <v>865</v>
      </c>
      <c r="D646" s="16" t="s">
        <v>866</v>
      </c>
      <c r="E646" s="16" t="s">
        <v>267</v>
      </c>
      <c r="F646" s="17" t="str">
        <f>IFERROR(__xludf.DUMMYFUNCTION("""COMPUTED_VALUE"""),"TA-OR-OR-1A-7")</f>
        <v>TA-OR-OR-1A-7</v>
      </c>
      <c r="G646" s="18">
        <v>0.08</v>
      </c>
      <c r="H646" s="19"/>
      <c r="I646" s="19"/>
      <c r="J646" s="16" t="s">
        <v>954</v>
      </c>
      <c r="K646" s="16">
        <v>4.0</v>
      </c>
      <c r="L646" s="16">
        <v>1.0</v>
      </c>
      <c r="M646" s="16" t="s">
        <v>850</v>
      </c>
      <c r="N646" s="20">
        <v>0.08</v>
      </c>
      <c r="O646" s="16" t="s">
        <v>22</v>
      </c>
      <c r="P646" s="19"/>
      <c r="Q646" s="19"/>
      <c r="R646" s="19"/>
      <c r="S646" s="19"/>
      <c r="T646" s="19"/>
      <c r="U646" s="19"/>
      <c r="V646" s="19"/>
    </row>
    <row r="647">
      <c r="A647" s="15">
        <v>46087.0</v>
      </c>
      <c r="B647" s="16" t="s">
        <v>846</v>
      </c>
      <c r="C647" s="16" t="s">
        <v>865</v>
      </c>
      <c r="D647" s="16" t="s">
        <v>866</v>
      </c>
      <c r="E647" s="16" t="s">
        <v>269</v>
      </c>
      <c r="F647" s="17" t="str">
        <f>IFERROR(__xludf.DUMMYFUNCTION("""COMPUTED_VALUE"""),"TA-OR-OR-1A-8")</f>
        <v>TA-OR-OR-1A-8</v>
      </c>
      <c r="G647" s="18">
        <v>8.0</v>
      </c>
      <c r="H647" s="19"/>
      <c r="I647" s="19"/>
      <c r="J647" s="16" t="s">
        <v>955</v>
      </c>
      <c r="K647" s="16">
        <v>4.0</v>
      </c>
      <c r="L647" s="16">
        <v>1.0</v>
      </c>
      <c r="M647" s="16" t="s">
        <v>850</v>
      </c>
      <c r="N647" s="20">
        <v>8.0</v>
      </c>
      <c r="O647" s="16" t="s">
        <v>22</v>
      </c>
      <c r="P647" s="19"/>
      <c r="Q647" s="19"/>
      <c r="R647" s="19"/>
      <c r="S647" s="19"/>
      <c r="T647" s="19"/>
      <c r="U647" s="19"/>
      <c r="V647" s="19"/>
    </row>
    <row r="648">
      <c r="A648" s="15">
        <v>46087.0</v>
      </c>
      <c r="B648" s="16" t="s">
        <v>846</v>
      </c>
      <c r="C648" s="16" t="s">
        <v>865</v>
      </c>
      <c r="D648" s="16" t="s">
        <v>866</v>
      </c>
      <c r="E648" s="16" t="s">
        <v>271</v>
      </c>
      <c r="F648" s="17" t="str">
        <f>IFERROR(__xludf.DUMMYFUNCTION("""COMPUTED_VALUE"""),"TA-OR-OR-1A-9")</f>
        <v>TA-OR-OR-1A-9</v>
      </c>
      <c r="G648" s="18">
        <v>0.08</v>
      </c>
      <c r="H648" s="19"/>
      <c r="I648" s="19"/>
      <c r="J648" s="16" t="s">
        <v>956</v>
      </c>
      <c r="K648" s="16">
        <v>4.0</v>
      </c>
      <c r="L648" s="16">
        <v>1.0</v>
      </c>
      <c r="M648" s="16" t="s">
        <v>850</v>
      </c>
      <c r="N648" s="20">
        <v>0.08</v>
      </c>
      <c r="O648" s="16" t="s">
        <v>22</v>
      </c>
      <c r="P648" s="19"/>
      <c r="Q648" s="19"/>
      <c r="R648" s="19"/>
      <c r="S648" s="19"/>
      <c r="T648" s="19"/>
      <c r="U648" s="19"/>
      <c r="V648" s="19"/>
    </row>
    <row r="649">
      <c r="A649" s="15">
        <v>46087.0</v>
      </c>
      <c r="B649" s="16" t="s">
        <v>846</v>
      </c>
      <c r="C649" s="16" t="s">
        <v>865</v>
      </c>
      <c r="D649" s="16" t="s">
        <v>866</v>
      </c>
      <c r="E649" s="16" t="s">
        <v>298</v>
      </c>
      <c r="F649" s="17" t="str">
        <f>IFERROR(__xludf.DUMMYFUNCTION("""COMPUTED_VALUE"""),"TA-OR-OR-1A-10")</f>
        <v>TA-OR-OR-1A-10</v>
      </c>
      <c r="G649" s="18">
        <v>0.08</v>
      </c>
      <c r="H649" s="19"/>
      <c r="I649" s="19"/>
      <c r="J649" s="16" t="s">
        <v>957</v>
      </c>
      <c r="K649" s="16">
        <v>4.0</v>
      </c>
      <c r="L649" s="16">
        <v>1.0</v>
      </c>
      <c r="M649" s="16" t="s">
        <v>850</v>
      </c>
      <c r="N649" s="20">
        <v>0.08</v>
      </c>
      <c r="O649" s="16" t="s">
        <v>22</v>
      </c>
      <c r="P649" s="19"/>
      <c r="Q649" s="19"/>
      <c r="R649" s="19"/>
      <c r="S649" s="19"/>
      <c r="T649" s="19"/>
      <c r="U649" s="19"/>
      <c r="V649" s="19"/>
    </row>
    <row r="650">
      <c r="A650" s="15">
        <v>46087.0</v>
      </c>
      <c r="B650" s="16" t="s">
        <v>846</v>
      </c>
      <c r="C650" s="16" t="s">
        <v>865</v>
      </c>
      <c r="D650" s="16" t="s">
        <v>866</v>
      </c>
      <c r="E650" s="16" t="s">
        <v>300</v>
      </c>
      <c r="F650" s="17" t="str">
        <f>IFERROR(__xludf.DUMMYFUNCTION("""COMPUTED_VALUE"""),"TA-OR-OR-1A-11")</f>
        <v>TA-OR-OR-1A-11</v>
      </c>
      <c r="G650" s="18">
        <v>0.08</v>
      </c>
      <c r="H650" s="19"/>
      <c r="I650" s="19"/>
      <c r="J650" s="16" t="s">
        <v>958</v>
      </c>
      <c r="K650" s="16">
        <v>4.0</v>
      </c>
      <c r="L650" s="16">
        <v>1.0</v>
      </c>
      <c r="M650" s="16" t="s">
        <v>850</v>
      </c>
      <c r="N650" s="20">
        <v>0.08</v>
      </c>
      <c r="O650" s="16" t="s">
        <v>22</v>
      </c>
      <c r="P650" s="19"/>
      <c r="Q650" s="19"/>
      <c r="R650" s="19"/>
      <c r="S650" s="19"/>
      <c r="T650" s="19"/>
      <c r="U650" s="19"/>
      <c r="V650" s="19"/>
    </row>
    <row r="651">
      <c r="A651" s="15">
        <v>46087.0</v>
      </c>
      <c r="B651" s="16" t="s">
        <v>846</v>
      </c>
      <c r="C651" s="16" t="s">
        <v>865</v>
      </c>
      <c r="D651" s="16" t="s">
        <v>866</v>
      </c>
      <c r="E651" s="16" t="s">
        <v>302</v>
      </c>
      <c r="F651" s="17" t="str">
        <f>IFERROR(__xludf.DUMMYFUNCTION("""COMPUTED_VALUE"""),"TA-OR-OR-1A-12")</f>
        <v>TA-OR-OR-1A-12</v>
      </c>
      <c r="G651" s="18">
        <v>0.08</v>
      </c>
      <c r="H651" s="19"/>
      <c r="I651" s="19"/>
      <c r="J651" s="16" t="s">
        <v>959</v>
      </c>
      <c r="K651" s="16">
        <v>4.0</v>
      </c>
      <c r="L651" s="16">
        <v>1.0</v>
      </c>
      <c r="M651" s="16" t="s">
        <v>850</v>
      </c>
      <c r="N651" s="20">
        <v>0.08</v>
      </c>
      <c r="O651" s="16" t="s">
        <v>22</v>
      </c>
      <c r="P651" s="19"/>
      <c r="Q651" s="19"/>
      <c r="R651" s="19"/>
      <c r="S651" s="19"/>
      <c r="T651" s="19"/>
      <c r="U651" s="19"/>
      <c r="V651" s="19"/>
    </row>
    <row r="652">
      <c r="A652" s="15">
        <v>46087.0</v>
      </c>
      <c r="B652" s="16" t="s">
        <v>846</v>
      </c>
      <c r="C652" s="16" t="s">
        <v>865</v>
      </c>
      <c r="D652" s="16" t="s">
        <v>866</v>
      </c>
      <c r="E652" s="16" t="s">
        <v>544</v>
      </c>
      <c r="F652" s="17" t="str">
        <f>IFERROR(__xludf.DUMMYFUNCTION("""COMPUTED_VALUE"""),"TA-OR-OR-1A-13")</f>
        <v>TA-OR-OR-1A-13</v>
      </c>
      <c r="G652" s="18">
        <v>0.08</v>
      </c>
      <c r="H652" s="19"/>
      <c r="I652" s="19"/>
      <c r="J652" s="16" t="s">
        <v>960</v>
      </c>
      <c r="K652" s="16">
        <v>4.0</v>
      </c>
      <c r="L652" s="16">
        <v>1.0</v>
      </c>
      <c r="M652" s="16" t="s">
        <v>850</v>
      </c>
      <c r="N652" s="20">
        <v>0.08</v>
      </c>
      <c r="O652" s="16" t="s">
        <v>22</v>
      </c>
      <c r="P652" s="19"/>
      <c r="Q652" s="19"/>
      <c r="R652" s="19"/>
      <c r="S652" s="19"/>
      <c r="T652" s="19"/>
      <c r="U652" s="19"/>
      <c r="V652" s="19"/>
    </row>
    <row r="653">
      <c r="A653" s="15">
        <v>46087.0</v>
      </c>
      <c r="B653" s="16" t="s">
        <v>846</v>
      </c>
      <c r="C653" s="16" t="s">
        <v>865</v>
      </c>
      <c r="D653" s="16" t="s">
        <v>866</v>
      </c>
      <c r="E653" s="16" t="s">
        <v>546</v>
      </c>
      <c r="F653" s="17" t="str">
        <f>IFERROR(__xludf.DUMMYFUNCTION("""COMPUTED_VALUE"""),"TA-OR-OR-1A-14")</f>
        <v>TA-OR-OR-1A-14</v>
      </c>
      <c r="G653" s="18">
        <v>0.08</v>
      </c>
      <c r="H653" s="19"/>
      <c r="I653" s="19"/>
      <c r="J653" s="16" t="s">
        <v>961</v>
      </c>
      <c r="K653" s="16">
        <v>4.0</v>
      </c>
      <c r="L653" s="16">
        <v>1.0</v>
      </c>
      <c r="M653" s="16" t="s">
        <v>850</v>
      </c>
      <c r="N653" s="20">
        <v>0.08</v>
      </c>
      <c r="O653" s="16" t="s">
        <v>22</v>
      </c>
      <c r="P653" s="19"/>
      <c r="Q653" s="19"/>
      <c r="R653" s="19"/>
      <c r="S653" s="19"/>
      <c r="T653" s="19"/>
      <c r="U653" s="19"/>
      <c r="V653" s="19"/>
    </row>
    <row r="654">
      <c r="A654" s="15">
        <v>46087.0</v>
      </c>
      <c r="B654" s="16" t="s">
        <v>846</v>
      </c>
      <c r="C654" s="16" t="s">
        <v>865</v>
      </c>
      <c r="D654" s="16" t="s">
        <v>866</v>
      </c>
      <c r="E654" s="16" t="s">
        <v>548</v>
      </c>
      <c r="F654" s="17" t="str">
        <f>IFERROR(__xludf.DUMMYFUNCTION("""COMPUTED_VALUE"""),"TA-OR-OR-1A-15")</f>
        <v>TA-OR-OR-1A-15</v>
      </c>
      <c r="G654" s="18">
        <v>0.08</v>
      </c>
      <c r="H654" s="19"/>
      <c r="I654" s="19"/>
      <c r="J654" s="16" t="s">
        <v>962</v>
      </c>
      <c r="K654" s="16">
        <v>4.0</v>
      </c>
      <c r="L654" s="16">
        <v>1.0</v>
      </c>
      <c r="M654" s="16" t="s">
        <v>850</v>
      </c>
      <c r="N654" s="20">
        <v>0.08</v>
      </c>
      <c r="O654" s="16" t="s">
        <v>22</v>
      </c>
      <c r="P654" s="19"/>
      <c r="Q654" s="19"/>
      <c r="R654" s="19"/>
      <c r="S654" s="19"/>
      <c r="T654" s="19"/>
      <c r="U654" s="19"/>
      <c r="V654" s="19"/>
    </row>
    <row r="655">
      <c r="A655" s="15">
        <v>46154.0</v>
      </c>
      <c r="B655" s="16" t="s">
        <v>369</v>
      </c>
      <c r="C655" s="16" t="s">
        <v>963</v>
      </c>
      <c r="D655" s="16" t="s">
        <v>964</v>
      </c>
      <c r="E655" s="16" t="s">
        <v>19</v>
      </c>
      <c r="F655" s="17" t="str">
        <f>IFERROR(__xludf.DUMMYFUNCTION("""COMPUTED_VALUE"""),"TG-ALO-VER-1A")</f>
        <v>TG-ALO-VER-1A</v>
      </c>
      <c r="G655" s="18">
        <v>9.0</v>
      </c>
      <c r="H655" s="19"/>
      <c r="I655" s="19"/>
      <c r="J655" s="16" t="s">
        <v>965</v>
      </c>
      <c r="K655" s="16">
        <v>18.0</v>
      </c>
      <c r="L655" s="16">
        <v>1.0</v>
      </c>
      <c r="M655" s="16" t="s">
        <v>38</v>
      </c>
      <c r="N655" s="20">
        <v>9.0</v>
      </c>
      <c r="O655" s="16" t="s">
        <v>22</v>
      </c>
      <c r="P655" s="16" t="s">
        <v>966</v>
      </c>
      <c r="Q655" s="19"/>
      <c r="R655" s="19"/>
      <c r="S655" s="19"/>
      <c r="T655" s="19"/>
      <c r="U655" s="19"/>
      <c r="V655" s="19"/>
    </row>
    <row r="656">
      <c r="A656" s="15">
        <v>46154.0</v>
      </c>
      <c r="B656" s="16" t="s">
        <v>369</v>
      </c>
      <c r="C656" s="16" t="s">
        <v>963</v>
      </c>
      <c r="D656" s="16" t="s">
        <v>964</v>
      </c>
      <c r="E656" s="16" t="s">
        <v>71</v>
      </c>
      <c r="F656" s="17" t="str">
        <f>IFERROR(__xludf.DUMMYFUNCTION("""COMPUTED_VALUE"""),"TG-ALO-VER-1A-2")</f>
        <v>TG-ALO-VER-1A-2</v>
      </c>
      <c r="G656" s="18">
        <v>9.0</v>
      </c>
      <c r="H656" s="19"/>
      <c r="I656" s="19"/>
      <c r="J656" s="16" t="s">
        <v>967</v>
      </c>
      <c r="K656" s="16">
        <v>18.0</v>
      </c>
      <c r="L656" s="16">
        <v>1.0</v>
      </c>
      <c r="M656" s="16" t="s">
        <v>38</v>
      </c>
      <c r="N656" s="20">
        <v>9.0</v>
      </c>
      <c r="O656" s="16" t="s">
        <v>22</v>
      </c>
      <c r="P656" s="16" t="s">
        <v>968</v>
      </c>
      <c r="Q656" s="19"/>
      <c r="R656" s="19"/>
      <c r="S656" s="19"/>
      <c r="T656" s="19"/>
      <c r="U656" s="19"/>
      <c r="V656" s="19"/>
    </row>
    <row r="657">
      <c r="A657" s="15">
        <v>46154.0</v>
      </c>
      <c r="B657" s="16" t="s">
        <v>369</v>
      </c>
      <c r="C657" s="16" t="s">
        <v>963</v>
      </c>
      <c r="D657" s="16" t="s">
        <v>964</v>
      </c>
      <c r="E657" s="16" t="s">
        <v>129</v>
      </c>
      <c r="F657" s="17" t="str">
        <f>IFERROR(__xludf.DUMMYFUNCTION("""COMPUTED_VALUE"""),"TG-ALO-VER-1A-3")</f>
        <v>TG-ALO-VER-1A-3</v>
      </c>
      <c r="G657" s="18">
        <v>9.0</v>
      </c>
      <c r="H657" s="19"/>
      <c r="I657" s="19"/>
      <c r="J657" s="16" t="s">
        <v>969</v>
      </c>
      <c r="K657" s="16">
        <v>18.0</v>
      </c>
      <c r="L657" s="16">
        <v>1.0</v>
      </c>
      <c r="M657" s="16" t="s">
        <v>38</v>
      </c>
      <c r="N657" s="20">
        <v>9.0</v>
      </c>
      <c r="O657" s="16" t="s">
        <v>22</v>
      </c>
      <c r="P657" s="16" t="s">
        <v>970</v>
      </c>
      <c r="Q657" s="19"/>
      <c r="R657" s="19"/>
      <c r="S657" s="19"/>
      <c r="T657" s="19"/>
      <c r="U657" s="19"/>
      <c r="V657" s="19"/>
    </row>
    <row r="658">
      <c r="A658" s="15">
        <v>46154.0</v>
      </c>
      <c r="B658" s="16" t="s">
        <v>369</v>
      </c>
      <c r="C658" s="16" t="s">
        <v>51</v>
      </c>
      <c r="D658" s="16" t="s">
        <v>971</v>
      </c>
      <c r="E658" s="16" t="s">
        <v>19</v>
      </c>
      <c r="F658" s="17" t="str">
        <f>IFERROR(__xludf.DUMMYFUNCTION("""COMPUTED_VALUE"""),"TG-MA-VMI-1A")</f>
        <v>TG-MA-VMI-1A</v>
      </c>
      <c r="G658" s="18">
        <v>36.0</v>
      </c>
      <c r="H658" s="19"/>
      <c r="I658" s="19"/>
      <c r="J658" s="16" t="s">
        <v>972</v>
      </c>
      <c r="K658" s="16">
        <v>72.0</v>
      </c>
      <c r="L658" s="16">
        <v>1.0</v>
      </c>
      <c r="M658" s="16" t="s">
        <v>662</v>
      </c>
      <c r="N658" s="20">
        <v>36.0</v>
      </c>
      <c r="O658" s="16" t="s">
        <v>22</v>
      </c>
      <c r="P658" s="16" t="s">
        <v>973</v>
      </c>
      <c r="Q658" s="19"/>
      <c r="R658" s="19"/>
      <c r="S658" s="19"/>
      <c r="T658" s="19"/>
      <c r="U658" s="19"/>
      <c r="V658" s="19"/>
    </row>
    <row r="659">
      <c r="A659" s="15">
        <v>46154.0</v>
      </c>
      <c r="B659" s="16" t="s">
        <v>369</v>
      </c>
      <c r="C659" s="16" t="s">
        <v>51</v>
      </c>
      <c r="D659" s="16" t="s">
        <v>971</v>
      </c>
      <c r="E659" s="16" t="s">
        <v>71</v>
      </c>
      <c r="F659" s="17" t="str">
        <f>IFERROR(__xludf.DUMMYFUNCTION("""COMPUTED_VALUE"""),"TG-MA-VMI-1A-2")</f>
        <v>TG-MA-VMI-1A-2</v>
      </c>
      <c r="G659" s="18">
        <v>36.0</v>
      </c>
      <c r="H659" s="19"/>
      <c r="I659" s="19"/>
      <c r="J659" s="16" t="s">
        <v>974</v>
      </c>
      <c r="K659" s="16">
        <v>72.0</v>
      </c>
      <c r="L659" s="16">
        <v>1.0</v>
      </c>
      <c r="M659" s="16" t="s">
        <v>662</v>
      </c>
      <c r="N659" s="20">
        <v>36.0</v>
      </c>
      <c r="O659" s="16" t="s">
        <v>22</v>
      </c>
      <c r="P659" s="16" t="s">
        <v>975</v>
      </c>
      <c r="Q659" s="19"/>
      <c r="R659" s="19"/>
      <c r="S659" s="19"/>
      <c r="T659" s="19"/>
      <c r="U659" s="19"/>
      <c r="V659" s="19"/>
    </row>
    <row r="660">
      <c r="A660" s="15">
        <v>46154.0</v>
      </c>
      <c r="B660" s="16" t="s">
        <v>369</v>
      </c>
      <c r="C660" s="16" t="s">
        <v>837</v>
      </c>
      <c r="D660" s="16" t="s">
        <v>976</v>
      </c>
      <c r="E660" s="16" t="s">
        <v>19</v>
      </c>
      <c r="F660" s="17" t="str">
        <f>IFERROR(__xludf.DUMMYFUNCTION("""COMPUTED_VALUE"""),"TG-SP-VPLD-1A")</f>
        <v>TG-SP-VPLD-1A</v>
      </c>
      <c r="G660" s="18">
        <v>9.0</v>
      </c>
      <c r="H660" s="19"/>
      <c r="I660" s="19"/>
      <c r="J660" s="16" t="s">
        <v>977</v>
      </c>
      <c r="K660" s="16">
        <v>18.0</v>
      </c>
      <c r="L660" s="16">
        <v>1.0</v>
      </c>
      <c r="M660" s="16" t="s">
        <v>38</v>
      </c>
      <c r="N660" s="20">
        <v>9.0</v>
      </c>
      <c r="O660" s="16" t="s">
        <v>22</v>
      </c>
      <c r="P660" s="16" t="s">
        <v>978</v>
      </c>
      <c r="Q660" s="19"/>
      <c r="R660" s="19"/>
      <c r="S660" s="19"/>
      <c r="T660" s="19"/>
      <c r="U660" s="19"/>
      <c r="V660" s="19"/>
    </row>
    <row r="661">
      <c r="A661" s="15">
        <v>46154.0</v>
      </c>
      <c r="B661" s="16" t="s">
        <v>369</v>
      </c>
      <c r="C661" s="16" t="s">
        <v>23</v>
      </c>
      <c r="D661" s="16" t="s">
        <v>24</v>
      </c>
      <c r="E661" s="16" t="s">
        <v>19</v>
      </c>
      <c r="F661" s="17" t="str">
        <f>IFERROR(__xludf.DUMMYFUNCTION("""COMPUTED_VALUE"""),"TG-PO-GO-1A")</f>
        <v>TG-PO-GO-1A</v>
      </c>
      <c r="G661" s="18">
        <v>9.0</v>
      </c>
      <c r="H661" s="19"/>
      <c r="I661" s="19"/>
      <c r="J661" s="16" t="s">
        <v>979</v>
      </c>
      <c r="K661" s="16">
        <v>18.0</v>
      </c>
      <c r="L661" s="16">
        <v>1.0</v>
      </c>
      <c r="M661" s="16" t="s">
        <v>38</v>
      </c>
      <c r="N661" s="20">
        <v>9.0</v>
      </c>
      <c r="O661" s="16" t="s">
        <v>22</v>
      </c>
      <c r="P661" s="16" t="s">
        <v>980</v>
      </c>
      <c r="Q661" s="19"/>
      <c r="R661" s="19"/>
      <c r="S661" s="19"/>
      <c r="T661" s="19"/>
      <c r="U661" s="19"/>
      <c r="V661" s="19"/>
    </row>
    <row r="662">
      <c r="A662" s="15">
        <v>46154.0</v>
      </c>
      <c r="B662" s="16" t="s">
        <v>369</v>
      </c>
      <c r="C662" s="16" t="s">
        <v>23</v>
      </c>
      <c r="D662" s="16" t="s">
        <v>24</v>
      </c>
      <c r="E662" s="16" t="s">
        <v>71</v>
      </c>
      <c r="F662" s="17" t="str">
        <f>IFERROR(__xludf.DUMMYFUNCTION("""COMPUTED_VALUE"""),"TG-PO-GO-1A-2")</f>
        <v>TG-PO-GO-1A-2</v>
      </c>
      <c r="G662" s="18">
        <v>9.0</v>
      </c>
      <c r="H662" s="19"/>
      <c r="I662" s="19"/>
      <c r="J662" s="16" t="s">
        <v>981</v>
      </c>
      <c r="K662" s="16">
        <v>18.0</v>
      </c>
      <c r="L662" s="16">
        <v>1.0</v>
      </c>
      <c r="M662" s="16" t="s">
        <v>38</v>
      </c>
      <c r="N662" s="20">
        <v>9.0</v>
      </c>
      <c r="O662" s="16" t="s">
        <v>22</v>
      </c>
      <c r="P662" s="16" t="s">
        <v>982</v>
      </c>
      <c r="Q662" s="19"/>
      <c r="R662" s="19"/>
      <c r="S662" s="19"/>
      <c r="T662" s="19"/>
      <c r="U662" s="19"/>
      <c r="V662" s="19"/>
    </row>
    <row r="663">
      <c r="A663" s="15">
        <v>46154.0</v>
      </c>
      <c r="B663" s="16" t="s">
        <v>369</v>
      </c>
      <c r="C663" s="16" t="s">
        <v>23</v>
      </c>
      <c r="D663" s="16" t="s">
        <v>24</v>
      </c>
      <c r="E663" s="16" t="s">
        <v>129</v>
      </c>
      <c r="F663" s="17" t="str">
        <f>IFERROR(__xludf.DUMMYFUNCTION("""COMPUTED_VALUE"""),"TG-PO-GO-1A-3")</f>
        <v>TG-PO-GO-1A-3</v>
      </c>
      <c r="G663" s="18">
        <v>0.0</v>
      </c>
      <c r="H663" s="19"/>
      <c r="I663" s="19"/>
      <c r="J663" s="16" t="s">
        <v>983</v>
      </c>
      <c r="K663" s="16">
        <v>18.0</v>
      </c>
      <c r="L663" s="16">
        <v>1.0</v>
      </c>
      <c r="M663" s="16" t="s">
        <v>38</v>
      </c>
      <c r="N663" s="20">
        <v>0.0</v>
      </c>
      <c r="O663" s="16" t="s">
        <v>22</v>
      </c>
      <c r="P663" s="16" t="s">
        <v>984</v>
      </c>
      <c r="Q663" s="19"/>
      <c r="R663" s="19"/>
      <c r="S663" s="19"/>
      <c r="T663" s="19"/>
      <c r="U663" s="19"/>
      <c r="V663" s="19"/>
    </row>
    <row r="664">
      <c r="A664" s="15">
        <v>46154.0</v>
      </c>
      <c r="B664" s="16" t="s">
        <v>369</v>
      </c>
      <c r="C664" s="16" t="s">
        <v>985</v>
      </c>
      <c r="D664" s="16" t="s">
        <v>986</v>
      </c>
      <c r="E664" s="16" t="s">
        <v>19</v>
      </c>
      <c r="F664" s="17" t="str">
        <f>IFERROR(__xludf.DUMMYFUNCTION("""COMPUTED_VALUE"""),"TG-DI-CAM-1A")</f>
        <v>TG-DI-CAM-1A</v>
      </c>
      <c r="G664" s="18">
        <v>9.0</v>
      </c>
      <c r="H664" s="19"/>
      <c r="I664" s="19"/>
      <c r="J664" s="16" t="s">
        <v>987</v>
      </c>
      <c r="K664" s="16">
        <v>18.0</v>
      </c>
      <c r="L664" s="16">
        <v>1.0</v>
      </c>
      <c r="M664" s="16" t="s">
        <v>38</v>
      </c>
      <c r="N664" s="20">
        <v>9.0</v>
      </c>
      <c r="O664" s="16" t="s">
        <v>22</v>
      </c>
      <c r="P664" s="16" t="s">
        <v>988</v>
      </c>
      <c r="Q664" s="19"/>
      <c r="R664" s="19"/>
      <c r="S664" s="19"/>
      <c r="T664" s="19"/>
      <c r="U664" s="19"/>
      <c r="V664" s="19"/>
    </row>
    <row r="665">
      <c r="A665" s="15">
        <v>46154.0</v>
      </c>
      <c r="B665" s="16" t="s">
        <v>369</v>
      </c>
      <c r="C665" s="16" t="s">
        <v>985</v>
      </c>
      <c r="D665" s="16" t="s">
        <v>986</v>
      </c>
      <c r="E665" s="16" t="s">
        <v>71</v>
      </c>
      <c r="F665" s="17" t="str">
        <f>IFERROR(__xludf.DUMMYFUNCTION("""COMPUTED_VALUE"""),"TG-DI-CAM-1A-2")</f>
        <v>TG-DI-CAM-1A-2</v>
      </c>
      <c r="G665" s="18">
        <v>9.0</v>
      </c>
      <c r="H665" s="19"/>
      <c r="I665" s="19"/>
      <c r="J665" s="16" t="s">
        <v>989</v>
      </c>
      <c r="K665" s="16">
        <v>18.0</v>
      </c>
      <c r="L665" s="16">
        <v>1.0</v>
      </c>
      <c r="M665" s="16" t="s">
        <v>38</v>
      </c>
      <c r="N665" s="20">
        <v>9.0</v>
      </c>
      <c r="O665" s="16" t="s">
        <v>22</v>
      </c>
      <c r="P665" s="16" t="s">
        <v>990</v>
      </c>
      <c r="Q665" s="19"/>
      <c r="R665" s="19"/>
      <c r="S665" s="19"/>
      <c r="T665" s="19"/>
      <c r="U665" s="19"/>
      <c r="V665" s="19"/>
    </row>
    <row r="666">
      <c r="A666" s="15">
        <v>46154.0</v>
      </c>
      <c r="B666" s="16" t="s">
        <v>369</v>
      </c>
      <c r="C666" s="16" t="s">
        <v>159</v>
      </c>
      <c r="D666" s="16" t="s">
        <v>991</v>
      </c>
      <c r="E666" s="16" t="s">
        <v>19</v>
      </c>
      <c r="F666" s="17" t="str">
        <f>IFERROR(__xludf.DUMMYFUNCTION("""COMPUTED_VALUE"""),"TG-SYN-BUT-1A")</f>
        <v>TG-SYN-BUT-1A</v>
      </c>
      <c r="G666" s="18">
        <v>9.0</v>
      </c>
      <c r="H666" s="19"/>
      <c r="I666" s="19"/>
      <c r="J666" s="16" t="s">
        <v>992</v>
      </c>
      <c r="K666" s="16">
        <v>18.0</v>
      </c>
      <c r="L666" s="16">
        <v>1.0</v>
      </c>
      <c r="M666" s="16" t="s">
        <v>38</v>
      </c>
      <c r="N666" s="20">
        <v>9.0</v>
      </c>
      <c r="O666" s="16" t="s">
        <v>22</v>
      </c>
      <c r="P666" s="16" t="s">
        <v>993</v>
      </c>
      <c r="Q666" s="19"/>
      <c r="R666" s="19"/>
      <c r="S666" s="19"/>
      <c r="T666" s="19"/>
      <c r="U666" s="19"/>
      <c r="V666" s="19"/>
    </row>
    <row r="667">
      <c r="A667" s="15">
        <v>46154.0</v>
      </c>
      <c r="B667" s="16" t="s">
        <v>369</v>
      </c>
      <c r="C667" s="16" t="s">
        <v>159</v>
      </c>
      <c r="D667" s="16" t="s">
        <v>991</v>
      </c>
      <c r="E667" s="16" t="s">
        <v>71</v>
      </c>
      <c r="F667" s="17" t="str">
        <f>IFERROR(__xludf.DUMMYFUNCTION("""COMPUTED_VALUE"""),"TG-SYN-BUT-1A-2")</f>
        <v>TG-SYN-BUT-1A-2</v>
      </c>
      <c r="G667" s="18">
        <v>9.0</v>
      </c>
      <c r="H667" s="19"/>
      <c r="I667" s="19"/>
      <c r="J667" s="16" t="s">
        <v>994</v>
      </c>
      <c r="K667" s="16">
        <v>18.0</v>
      </c>
      <c r="L667" s="16">
        <v>1.0</v>
      </c>
      <c r="M667" s="16" t="s">
        <v>38</v>
      </c>
      <c r="N667" s="20">
        <v>9.0</v>
      </c>
      <c r="O667" s="16" t="s">
        <v>22</v>
      </c>
      <c r="P667" s="16" t="s">
        <v>995</v>
      </c>
      <c r="Q667" s="19"/>
      <c r="R667" s="19"/>
      <c r="S667" s="19"/>
      <c r="T667" s="19"/>
      <c r="U667" s="19"/>
      <c r="V667" s="19"/>
    </row>
    <row r="668">
      <c r="A668" s="15">
        <v>46154.0</v>
      </c>
      <c r="B668" s="16" t="s">
        <v>369</v>
      </c>
      <c r="C668" s="16" t="s">
        <v>837</v>
      </c>
      <c r="D668" s="16" t="s">
        <v>996</v>
      </c>
      <c r="E668" s="16" t="s">
        <v>19</v>
      </c>
      <c r="F668" s="17" t="str">
        <f>IFERROR(__xludf.DUMMYFUNCTION("""COMPUTED_VALUE"""),"TG-SP-PLI-1A")</f>
        <v>TG-SP-PLI-1A</v>
      </c>
      <c r="G668" s="18">
        <v>9.0</v>
      </c>
      <c r="H668" s="19"/>
      <c r="I668" s="19"/>
      <c r="J668" s="16" t="s">
        <v>997</v>
      </c>
      <c r="K668" s="16">
        <v>18.0</v>
      </c>
      <c r="L668" s="16">
        <v>1.0</v>
      </c>
      <c r="M668" s="16" t="s">
        <v>38</v>
      </c>
      <c r="N668" s="20">
        <v>9.0</v>
      </c>
      <c r="O668" s="16" t="s">
        <v>22</v>
      </c>
      <c r="P668" s="16" t="s">
        <v>998</v>
      </c>
      <c r="Q668" s="19"/>
      <c r="R668" s="19"/>
      <c r="S668" s="19"/>
      <c r="T668" s="19"/>
      <c r="U668" s="19"/>
      <c r="V668" s="19"/>
    </row>
    <row r="669">
      <c r="A669" s="15">
        <v>46154.0</v>
      </c>
      <c r="B669" s="16" t="s">
        <v>369</v>
      </c>
      <c r="C669" s="16" t="s">
        <v>837</v>
      </c>
      <c r="D669" s="16" t="s">
        <v>996</v>
      </c>
      <c r="E669" s="16" t="s">
        <v>71</v>
      </c>
      <c r="F669" s="17" t="str">
        <f>IFERROR(__xludf.DUMMYFUNCTION("""COMPUTED_VALUE"""),"TG-SP-PLI-1A-2")</f>
        <v>TG-SP-PLI-1A-2</v>
      </c>
      <c r="G669" s="18">
        <v>9.0</v>
      </c>
      <c r="H669" s="19"/>
      <c r="I669" s="19"/>
      <c r="J669" s="16" t="s">
        <v>999</v>
      </c>
      <c r="K669" s="16">
        <v>18.0</v>
      </c>
      <c r="L669" s="16">
        <v>1.0</v>
      </c>
      <c r="M669" s="16" t="s">
        <v>38</v>
      </c>
      <c r="N669" s="20">
        <v>9.0</v>
      </c>
      <c r="O669" s="16" t="s">
        <v>22</v>
      </c>
      <c r="P669" s="16" t="s">
        <v>1000</v>
      </c>
      <c r="Q669" s="19"/>
      <c r="R669" s="19"/>
      <c r="S669" s="19"/>
      <c r="T669" s="19"/>
      <c r="U669" s="19"/>
      <c r="V669" s="19"/>
    </row>
    <row r="670">
      <c r="A670" s="15">
        <v>46154.0</v>
      </c>
      <c r="B670" s="16" t="s">
        <v>369</v>
      </c>
      <c r="C670" s="16" t="s">
        <v>777</v>
      </c>
      <c r="D670" s="16" t="s">
        <v>778</v>
      </c>
      <c r="E670" s="16" t="s">
        <v>1001</v>
      </c>
      <c r="F670" s="17" t="str">
        <f>IFERROR(__xludf.DUMMYFUNCTION("""COMPUTED_VALUE"""),"TG-NE-BP-3A")</f>
        <v>TG-NE-BP-3A</v>
      </c>
      <c r="G670" s="18">
        <v>9.0</v>
      </c>
      <c r="H670" s="19"/>
      <c r="I670" s="19"/>
      <c r="J670" s="16" t="s">
        <v>1002</v>
      </c>
      <c r="K670" s="16">
        <v>18.0</v>
      </c>
      <c r="L670" s="16">
        <v>1.0</v>
      </c>
      <c r="M670" s="16" t="s">
        <v>38</v>
      </c>
      <c r="N670" s="20">
        <v>9.0</v>
      </c>
      <c r="O670" s="16" t="s">
        <v>22</v>
      </c>
      <c r="P670" s="16" t="s">
        <v>1003</v>
      </c>
      <c r="Q670" s="19"/>
      <c r="R670" s="19"/>
      <c r="S670" s="19"/>
      <c r="T670" s="19"/>
      <c r="U670" s="19"/>
      <c r="V670" s="19"/>
    </row>
    <row r="671">
      <c r="A671" s="15">
        <v>46154.0</v>
      </c>
      <c r="B671" s="16" t="s">
        <v>369</v>
      </c>
      <c r="C671" s="16" t="s">
        <v>777</v>
      </c>
      <c r="D671" s="16" t="s">
        <v>778</v>
      </c>
      <c r="E671" s="16" t="s">
        <v>1004</v>
      </c>
      <c r="F671" s="17" t="str">
        <f>IFERROR(__xludf.DUMMYFUNCTION("""COMPUTED_VALUE"""),"TG-NE-BP-3A-2")</f>
        <v>TG-NE-BP-3A-2</v>
      </c>
      <c r="G671" s="18">
        <v>9.0</v>
      </c>
      <c r="H671" s="19"/>
      <c r="I671" s="19"/>
      <c r="J671" s="16" t="s">
        <v>1005</v>
      </c>
      <c r="K671" s="16">
        <v>18.0</v>
      </c>
      <c r="L671" s="16">
        <v>1.0</v>
      </c>
      <c r="M671" s="16" t="s">
        <v>38</v>
      </c>
      <c r="N671" s="20">
        <v>9.0</v>
      </c>
      <c r="O671" s="16" t="s">
        <v>22</v>
      </c>
      <c r="P671" s="16" t="s">
        <v>1006</v>
      </c>
      <c r="Q671" s="19"/>
      <c r="R671" s="19"/>
      <c r="S671" s="19"/>
      <c r="T671" s="19"/>
      <c r="U671" s="19"/>
      <c r="V671" s="19"/>
    </row>
    <row r="672">
      <c r="A672" s="15">
        <v>46150.0</v>
      </c>
      <c r="B672" s="16" t="s">
        <v>252</v>
      </c>
      <c r="C672" s="16" t="s">
        <v>159</v>
      </c>
      <c r="D672" s="16" t="s">
        <v>926</v>
      </c>
      <c r="E672" s="16" t="s">
        <v>143</v>
      </c>
      <c r="F672" s="17" t="str">
        <f>IFERROR(__xludf.DUMMYFUNCTION("""COMPUTED_VALUE"""),"DSE-SYN-GLO-1A-4")</f>
        <v>DSE-SYN-GLO-1A-4</v>
      </c>
      <c r="G672" s="18">
        <v>4.99</v>
      </c>
      <c r="H672" s="19"/>
      <c r="I672" s="19"/>
      <c r="J672" s="16" t="s">
        <v>1007</v>
      </c>
      <c r="K672" s="16">
        <v>15.0</v>
      </c>
      <c r="L672" s="16">
        <v>1.0</v>
      </c>
      <c r="M672" s="16" t="s">
        <v>83</v>
      </c>
      <c r="N672" s="20">
        <v>4.99</v>
      </c>
      <c r="O672" s="16" t="s">
        <v>22</v>
      </c>
      <c r="P672" s="19"/>
      <c r="Q672" s="19"/>
      <c r="R672" s="19"/>
      <c r="S672" s="19"/>
      <c r="T672" s="19"/>
      <c r="U672" s="19"/>
      <c r="V672" s="19"/>
    </row>
    <row r="673">
      <c r="A673" s="15">
        <v>46150.0</v>
      </c>
      <c r="B673" s="16" t="s">
        <v>252</v>
      </c>
      <c r="C673" s="16" t="s">
        <v>159</v>
      </c>
      <c r="D673" s="16" t="s">
        <v>926</v>
      </c>
      <c r="E673" s="16" t="s">
        <v>145</v>
      </c>
      <c r="F673" s="17" t="str">
        <f>IFERROR(__xludf.DUMMYFUNCTION("""COMPUTED_VALUE"""),"DSE-SYN-GLO-1A-5")</f>
        <v>DSE-SYN-GLO-1A-5</v>
      </c>
      <c r="G673" s="18">
        <v>4.99</v>
      </c>
      <c r="H673" s="19"/>
      <c r="I673" s="19"/>
      <c r="J673" s="16" t="s">
        <v>1008</v>
      </c>
      <c r="K673" s="16">
        <v>15.0</v>
      </c>
      <c r="L673" s="16">
        <v>1.0</v>
      </c>
      <c r="M673" s="16" t="s">
        <v>83</v>
      </c>
      <c r="N673" s="20">
        <v>4.99</v>
      </c>
      <c r="O673" s="16" t="s">
        <v>22</v>
      </c>
      <c r="P673" s="19"/>
      <c r="Q673" s="19"/>
      <c r="R673" s="19"/>
      <c r="S673" s="19"/>
      <c r="T673" s="19"/>
      <c r="U673" s="19"/>
      <c r="V673" s="19"/>
    </row>
    <row r="674">
      <c r="A674" s="15">
        <v>46150.0</v>
      </c>
      <c r="B674" s="16" t="s">
        <v>252</v>
      </c>
      <c r="C674" s="16" t="s">
        <v>159</v>
      </c>
      <c r="D674" s="16" t="s">
        <v>926</v>
      </c>
      <c r="E674" s="16" t="s">
        <v>265</v>
      </c>
      <c r="F674" s="17" t="str">
        <f>IFERROR(__xludf.DUMMYFUNCTION("""COMPUTED_VALUE"""),"DSE-SYN-GLO-1A-6")</f>
        <v>DSE-SYN-GLO-1A-6</v>
      </c>
      <c r="G674" s="18">
        <v>4.99</v>
      </c>
      <c r="H674" s="19"/>
      <c r="I674" s="19"/>
      <c r="J674" s="16" t="s">
        <v>1009</v>
      </c>
      <c r="K674" s="16">
        <v>15.0</v>
      </c>
      <c r="L674" s="16">
        <v>1.0</v>
      </c>
      <c r="M674" s="16" t="s">
        <v>83</v>
      </c>
      <c r="N674" s="20">
        <v>4.99</v>
      </c>
      <c r="O674" s="16" t="s">
        <v>22</v>
      </c>
      <c r="P674" s="19"/>
      <c r="Q674" s="19"/>
      <c r="R674" s="19"/>
      <c r="S674" s="19"/>
      <c r="T674" s="19"/>
      <c r="U674" s="19"/>
      <c r="V674" s="19"/>
    </row>
    <row r="675">
      <c r="A675" s="15">
        <v>46150.0</v>
      </c>
      <c r="B675" s="16" t="s">
        <v>252</v>
      </c>
      <c r="C675" s="16" t="s">
        <v>159</v>
      </c>
      <c r="D675" s="16" t="s">
        <v>941</v>
      </c>
      <c r="E675" s="16" t="s">
        <v>143</v>
      </c>
      <c r="F675" s="17" t="str">
        <f>IFERROR(__xludf.DUMMYFUNCTION("""COMPUTED_VALUE"""),"DSE-SYN-NR-1A-4")</f>
        <v>DSE-SYN-NR-1A-4</v>
      </c>
      <c r="G675" s="18">
        <v>4.99</v>
      </c>
      <c r="H675" s="19"/>
      <c r="I675" s="19"/>
      <c r="J675" s="16" t="s">
        <v>1010</v>
      </c>
      <c r="K675" s="16">
        <v>15.0</v>
      </c>
      <c r="L675" s="16">
        <v>1.0</v>
      </c>
      <c r="M675" s="16" t="s">
        <v>83</v>
      </c>
      <c r="N675" s="20">
        <v>4.99</v>
      </c>
      <c r="O675" s="16" t="s">
        <v>22</v>
      </c>
      <c r="P675" s="19"/>
      <c r="Q675" s="19"/>
      <c r="R675" s="19"/>
      <c r="S675" s="19"/>
      <c r="T675" s="19"/>
      <c r="U675" s="19"/>
      <c r="V675" s="19"/>
    </row>
    <row r="676">
      <c r="A676" s="15">
        <v>46150.0</v>
      </c>
      <c r="B676" s="16" t="s">
        <v>252</v>
      </c>
      <c r="C676" s="16" t="s">
        <v>159</v>
      </c>
      <c r="D676" s="16" t="s">
        <v>941</v>
      </c>
      <c r="E676" s="16" t="s">
        <v>145</v>
      </c>
      <c r="F676" s="17" t="str">
        <f>IFERROR(__xludf.DUMMYFUNCTION("""COMPUTED_VALUE"""),"DSE-SYN-NR-1A-5")</f>
        <v>DSE-SYN-NR-1A-5</v>
      </c>
      <c r="G676" s="18">
        <v>4.99</v>
      </c>
      <c r="H676" s="19"/>
      <c r="I676" s="19"/>
      <c r="J676" s="16" t="s">
        <v>1011</v>
      </c>
      <c r="K676" s="16">
        <v>15.0</v>
      </c>
      <c r="L676" s="16">
        <v>1.0</v>
      </c>
      <c r="M676" s="16" t="s">
        <v>83</v>
      </c>
      <c r="N676" s="20">
        <v>4.99</v>
      </c>
      <c r="O676" s="16" t="s">
        <v>22</v>
      </c>
      <c r="P676" s="19"/>
      <c r="Q676" s="19"/>
      <c r="R676" s="19"/>
      <c r="S676" s="19"/>
      <c r="T676" s="19"/>
      <c r="U676" s="19"/>
      <c r="V676" s="19"/>
    </row>
    <row r="677">
      <c r="A677" s="15">
        <v>46150.0</v>
      </c>
      <c r="B677" s="16" t="s">
        <v>252</v>
      </c>
      <c r="C677" s="16" t="s">
        <v>159</v>
      </c>
      <c r="D677" s="16" t="s">
        <v>941</v>
      </c>
      <c r="E677" s="16" t="s">
        <v>265</v>
      </c>
      <c r="F677" s="17" t="str">
        <f>IFERROR(__xludf.DUMMYFUNCTION("""COMPUTED_VALUE"""),"DSE-SYN-NR-1A-6")</f>
        <v>DSE-SYN-NR-1A-6</v>
      </c>
      <c r="G677" s="18">
        <v>4.99</v>
      </c>
      <c r="H677" s="19"/>
      <c r="I677" s="19"/>
      <c r="J677" s="16" t="s">
        <v>1012</v>
      </c>
      <c r="K677" s="16">
        <v>15.0</v>
      </c>
      <c r="L677" s="16">
        <v>1.0</v>
      </c>
      <c r="M677" s="16" t="s">
        <v>83</v>
      </c>
      <c r="N677" s="20">
        <v>4.99</v>
      </c>
      <c r="O677" s="16" t="s">
        <v>22</v>
      </c>
      <c r="P677" s="19"/>
      <c r="Q677" s="19"/>
      <c r="R677" s="19"/>
      <c r="S677" s="19"/>
      <c r="T677" s="19"/>
      <c r="U677" s="19"/>
      <c r="V677" s="19"/>
    </row>
    <row r="678">
      <c r="A678" s="15">
        <v>46150.0</v>
      </c>
      <c r="B678" s="16" t="s">
        <v>252</v>
      </c>
      <c r="C678" s="16" t="s">
        <v>159</v>
      </c>
      <c r="D678" s="16" t="s">
        <v>945</v>
      </c>
      <c r="E678" s="16" t="s">
        <v>143</v>
      </c>
      <c r="F678" s="17" t="str">
        <f>IFERROR(__xludf.DUMMYFUNCTION("""COMPUTED_VALUE"""),"DSE-SYN-MM-1A-4")</f>
        <v>DSE-SYN-MM-1A-4</v>
      </c>
      <c r="G678" s="18">
        <v>4.99</v>
      </c>
      <c r="H678" s="19"/>
      <c r="I678" s="19"/>
      <c r="J678" s="16" t="s">
        <v>1013</v>
      </c>
      <c r="K678" s="16">
        <v>15.0</v>
      </c>
      <c r="L678" s="16">
        <v>1.0</v>
      </c>
      <c r="M678" s="16" t="s">
        <v>83</v>
      </c>
      <c r="N678" s="20">
        <v>4.99</v>
      </c>
      <c r="O678" s="16" t="s">
        <v>22</v>
      </c>
      <c r="P678" s="19"/>
      <c r="Q678" s="19"/>
      <c r="R678" s="19"/>
      <c r="S678" s="19"/>
      <c r="T678" s="19"/>
      <c r="U678" s="19"/>
      <c r="V678" s="19"/>
    </row>
    <row r="679">
      <c r="A679" s="15">
        <v>46150.0</v>
      </c>
      <c r="B679" s="16" t="s">
        <v>252</v>
      </c>
      <c r="C679" s="16" t="s">
        <v>159</v>
      </c>
      <c r="D679" s="16" t="s">
        <v>945</v>
      </c>
      <c r="E679" s="16" t="s">
        <v>145</v>
      </c>
      <c r="F679" s="17" t="str">
        <f>IFERROR(__xludf.DUMMYFUNCTION("""COMPUTED_VALUE"""),"DSE-SYN-MM-1A-5")</f>
        <v>DSE-SYN-MM-1A-5</v>
      </c>
      <c r="G679" s="18">
        <v>4.99</v>
      </c>
      <c r="H679" s="19"/>
      <c r="I679" s="19"/>
      <c r="J679" s="16" t="s">
        <v>1014</v>
      </c>
      <c r="K679" s="16">
        <v>15.0</v>
      </c>
      <c r="L679" s="16">
        <v>1.0</v>
      </c>
      <c r="M679" s="16" t="s">
        <v>83</v>
      </c>
      <c r="N679" s="20">
        <v>4.99</v>
      </c>
      <c r="O679" s="16" t="s">
        <v>22</v>
      </c>
      <c r="P679" s="19"/>
      <c r="Q679" s="19"/>
      <c r="R679" s="19"/>
      <c r="S679" s="19"/>
      <c r="T679" s="19"/>
      <c r="U679" s="19"/>
      <c r="V679" s="19"/>
    </row>
    <row r="680">
      <c r="A680" s="15">
        <v>46150.0</v>
      </c>
      <c r="B680" s="16" t="s">
        <v>252</v>
      </c>
      <c r="C680" s="16" t="s">
        <v>159</v>
      </c>
      <c r="D680" s="16" t="s">
        <v>945</v>
      </c>
      <c r="E680" s="16" t="s">
        <v>265</v>
      </c>
      <c r="F680" s="17" t="str">
        <f>IFERROR(__xludf.DUMMYFUNCTION("""COMPUTED_VALUE"""),"DSE-SYN-MM-1A-6")</f>
        <v>DSE-SYN-MM-1A-6</v>
      </c>
      <c r="G680" s="18">
        <v>4.99</v>
      </c>
      <c r="H680" s="19"/>
      <c r="I680" s="19"/>
      <c r="J680" s="16" t="s">
        <v>1015</v>
      </c>
      <c r="K680" s="16">
        <v>15.0</v>
      </c>
      <c r="L680" s="16">
        <v>1.0</v>
      </c>
      <c r="M680" s="16" t="s">
        <v>83</v>
      </c>
      <c r="N680" s="20">
        <v>4.99</v>
      </c>
      <c r="O680" s="16" t="s">
        <v>22</v>
      </c>
      <c r="P680" s="19"/>
      <c r="Q680" s="19"/>
      <c r="R680" s="19"/>
      <c r="S680" s="19"/>
      <c r="T680" s="19"/>
      <c r="U680" s="19"/>
      <c r="V680" s="19"/>
    </row>
    <row r="681">
      <c r="A681" s="15">
        <v>46158.0</v>
      </c>
      <c r="B681" s="16" t="s">
        <v>1016</v>
      </c>
      <c r="C681" s="16" t="s">
        <v>1017</v>
      </c>
      <c r="D681" s="16" t="s">
        <v>1018</v>
      </c>
      <c r="E681" s="16" t="s">
        <v>19</v>
      </c>
      <c r="F681" s="17" t="str">
        <f>IFERROR(__xludf.DUMMYFUNCTION("""COMPUTED_VALUE"""),"DR-AC-JMB-1A")</f>
        <v>DR-AC-JMB-1A</v>
      </c>
      <c r="G681" s="18">
        <v>0.0</v>
      </c>
      <c r="H681" s="19"/>
      <c r="I681" s="19"/>
      <c r="J681" s="16" t="s">
        <v>1019</v>
      </c>
      <c r="K681" s="16">
        <v>6.0</v>
      </c>
      <c r="L681" s="16">
        <v>1.0</v>
      </c>
      <c r="M681" s="16" t="s">
        <v>1020</v>
      </c>
      <c r="N681" s="20">
        <v>0.0</v>
      </c>
      <c r="O681" s="16" t="s">
        <v>22</v>
      </c>
      <c r="P681" s="16" t="s">
        <v>1021</v>
      </c>
      <c r="Q681" s="19"/>
      <c r="R681" s="19"/>
      <c r="S681" s="19"/>
      <c r="T681" s="19"/>
      <c r="U681" s="19"/>
      <c r="V681" s="19"/>
    </row>
    <row r="682">
      <c r="A682" s="15">
        <v>46158.0</v>
      </c>
      <c r="B682" s="16" t="s">
        <v>1016</v>
      </c>
      <c r="C682" s="16" t="s">
        <v>1017</v>
      </c>
      <c r="D682" s="16" t="s">
        <v>1018</v>
      </c>
      <c r="E682" s="16" t="s">
        <v>71</v>
      </c>
      <c r="F682" s="17" t="str">
        <f>IFERROR(__xludf.DUMMYFUNCTION("""COMPUTED_VALUE"""),"DR-AC-JMB-1A-2")</f>
        <v>DR-AC-JMB-1A-2</v>
      </c>
      <c r="G682" s="18">
        <v>0.0</v>
      </c>
      <c r="H682" s="19"/>
      <c r="I682" s="19"/>
      <c r="J682" s="16" t="s">
        <v>1022</v>
      </c>
      <c r="K682" s="16">
        <v>6.0</v>
      </c>
      <c r="L682" s="16">
        <v>1.0</v>
      </c>
      <c r="M682" s="16" t="s">
        <v>1020</v>
      </c>
      <c r="N682" s="20">
        <v>0.0</v>
      </c>
      <c r="O682" s="16" t="s">
        <v>22</v>
      </c>
      <c r="P682" s="16"/>
      <c r="Q682" s="19"/>
      <c r="R682" s="19"/>
      <c r="S682" s="19"/>
      <c r="T682" s="19"/>
      <c r="U682" s="19"/>
      <c r="V682" s="19"/>
    </row>
    <row r="683">
      <c r="A683" s="15">
        <v>46158.0</v>
      </c>
      <c r="B683" s="16" t="s">
        <v>1016</v>
      </c>
      <c r="C683" s="16" t="s">
        <v>1017</v>
      </c>
      <c r="D683" s="16" t="s">
        <v>1018</v>
      </c>
      <c r="E683" s="16" t="s">
        <v>129</v>
      </c>
      <c r="F683" s="17" t="str">
        <f>IFERROR(__xludf.DUMMYFUNCTION("""COMPUTED_VALUE"""),"DR-AC-JMB-1A-3")</f>
        <v>DR-AC-JMB-1A-3</v>
      </c>
      <c r="G683" s="18">
        <v>0.0</v>
      </c>
      <c r="H683" s="19"/>
      <c r="I683" s="19"/>
      <c r="J683" s="16" t="s">
        <v>1023</v>
      </c>
      <c r="K683" s="16">
        <v>6.0</v>
      </c>
      <c r="L683" s="16">
        <v>1.0</v>
      </c>
      <c r="M683" s="16" t="s">
        <v>1020</v>
      </c>
      <c r="N683" s="20">
        <v>0.0</v>
      </c>
      <c r="O683" s="16" t="s">
        <v>22</v>
      </c>
      <c r="P683" s="19"/>
      <c r="Q683" s="19"/>
      <c r="R683" s="19"/>
      <c r="S683" s="19"/>
      <c r="T683" s="19"/>
      <c r="U683" s="19"/>
      <c r="V683" s="19"/>
    </row>
    <row r="684">
      <c r="A684" s="15">
        <v>46158.0</v>
      </c>
      <c r="B684" s="16" t="s">
        <v>1016</v>
      </c>
      <c r="C684" s="16" t="s">
        <v>1017</v>
      </c>
      <c r="D684" s="16" t="s">
        <v>1018</v>
      </c>
      <c r="E684" s="16" t="s">
        <v>143</v>
      </c>
      <c r="F684" s="17" t="str">
        <f>IFERROR(__xludf.DUMMYFUNCTION("""COMPUTED_VALUE"""),"DR-AC-JMB-1A-4")</f>
        <v>DR-AC-JMB-1A-4</v>
      </c>
      <c r="G684" s="18">
        <v>0.0</v>
      </c>
      <c r="H684" s="19"/>
      <c r="I684" s="19"/>
      <c r="J684" s="16" t="s">
        <v>1024</v>
      </c>
      <c r="K684" s="16">
        <v>6.0</v>
      </c>
      <c r="L684" s="16">
        <v>1.0</v>
      </c>
      <c r="M684" s="16" t="s">
        <v>1020</v>
      </c>
      <c r="N684" s="20">
        <v>0.0</v>
      </c>
      <c r="O684" s="16" t="s">
        <v>22</v>
      </c>
      <c r="P684" s="19"/>
      <c r="Q684" s="19"/>
      <c r="R684" s="19"/>
      <c r="S684" s="19"/>
      <c r="T684" s="19"/>
      <c r="U684" s="19"/>
      <c r="V684" s="19"/>
    </row>
    <row r="685">
      <c r="A685" s="15">
        <v>46158.0</v>
      </c>
      <c r="B685" s="16" t="s">
        <v>1016</v>
      </c>
      <c r="C685" s="16" t="s">
        <v>1017</v>
      </c>
      <c r="D685" s="16" t="s">
        <v>1018</v>
      </c>
      <c r="E685" s="16" t="s">
        <v>145</v>
      </c>
      <c r="F685" s="17" t="str">
        <f>IFERROR(__xludf.DUMMYFUNCTION("""COMPUTED_VALUE"""),"DR-AC-JMB-1A-5")</f>
        <v>DR-AC-JMB-1A-5</v>
      </c>
      <c r="G685" s="18">
        <v>0.0</v>
      </c>
      <c r="H685" s="19"/>
      <c r="I685" s="19"/>
      <c r="J685" s="16" t="s">
        <v>1025</v>
      </c>
      <c r="K685" s="16">
        <v>6.0</v>
      </c>
      <c r="L685" s="16">
        <v>1.0</v>
      </c>
      <c r="M685" s="16" t="s">
        <v>1020</v>
      </c>
      <c r="N685" s="20">
        <v>0.0</v>
      </c>
      <c r="O685" s="16" t="s">
        <v>22</v>
      </c>
      <c r="P685" s="19"/>
      <c r="Q685" s="19"/>
      <c r="R685" s="19"/>
      <c r="S685" s="19"/>
      <c r="T685" s="19"/>
      <c r="U685" s="19"/>
      <c r="V685" s="19"/>
    </row>
    <row r="686">
      <c r="A686" s="15">
        <v>46158.0</v>
      </c>
      <c r="B686" s="16" t="s">
        <v>1016</v>
      </c>
      <c r="C686" s="16" t="s">
        <v>1017</v>
      </c>
      <c r="D686" s="16" t="s">
        <v>1018</v>
      </c>
      <c r="E686" s="16" t="s">
        <v>265</v>
      </c>
      <c r="F686" s="17" t="str">
        <f>IFERROR(__xludf.DUMMYFUNCTION("""COMPUTED_VALUE"""),"DR-AC-JMB-1A-6")</f>
        <v>DR-AC-JMB-1A-6</v>
      </c>
      <c r="G686" s="18">
        <v>0.0</v>
      </c>
      <c r="H686" s="19"/>
      <c r="I686" s="19"/>
      <c r="J686" s="16" t="s">
        <v>1026</v>
      </c>
      <c r="K686" s="16">
        <v>6.0</v>
      </c>
      <c r="L686" s="16">
        <v>1.0</v>
      </c>
      <c r="M686" s="16" t="s">
        <v>1020</v>
      </c>
      <c r="N686" s="20">
        <v>0.0</v>
      </c>
      <c r="O686" s="16" t="s">
        <v>22</v>
      </c>
      <c r="P686" s="19"/>
      <c r="Q686" s="19"/>
      <c r="R686" s="19"/>
      <c r="S686" s="19"/>
      <c r="T686" s="19"/>
      <c r="U686" s="19"/>
      <c r="V686" s="19"/>
    </row>
    <row r="687">
      <c r="A687" s="15">
        <v>46158.0</v>
      </c>
      <c r="B687" s="16" t="s">
        <v>1016</v>
      </c>
      <c r="C687" s="16" t="s">
        <v>1017</v>
      </c>
      <c r="D687" s="16" t="s">
        <v>1018</v>
      </c>
      <c r="E687" s="16" t="s">
        <v>267</v>
      </c>
      <c r="F687" s="17" t="str">
        <f>IFERROR(__xludf.DUMMYFUNCTION("""COMPUTED_VALUE"""),"DR-AC-JMB-1A-7")</f>
        <v>DR-AC-JMB-1A-7</v>
      </c>
      <c r="G687" s="18">
        <v>0.0</v>
      </c>
      <c r="H687" s="19"/>
      <c r="I687" s="19"/>
      <c r="J687" s="16" t="s">
        <v>1027</v>
      </c>
      <c r="K687" s="16">
        <v>6.0</v>
      </c>
      <c r="L687" s="16">
        <v>1.0</v>
      </c>
      <c r="M687" s="16" t="s">
        <v>1020</v>
      </c>
      <c r="N687" s="20">
        <v>0.0</v>
      </c>
      <c r="O687" s="16" t="s">
        <v>22</v>
      </c>
      <c r="P687" s="19"/>
      <c r="Q687" s="19"/>
      <c r="R687" s="19"/>
      <c r="S687" s="19"/>
      <c r="T687" s="19"/>
      <c r="U687" s="19"/>
      <c r="V687" s="19"/>
    </row>
    <row r="688">
      <c r="A688" s="25"/>
      <c r="B688" s="19"/>
      <c r="C688" s="19"/>
      <c r="D688" s="19"/>
      <c r="E688" s="19"/>
      <c r="F688" s="17" t="str">
        <f>IFERROR(__xludf.DUMMYFUNCTION("""COMPUTED_VALUE"""),"")</f>
        <v/>
      </c>
      <c r="G688" s="20"/>
      <c r="H688" s="19"/>
      <c r="I688" s="19"/>
      <c r="J688" s="19"/>
      <c r="K688" s="19"/>
      <c r="L688" s="19"/>
      <c r="M688" s="19"/>
      <c r="N688" s="20" t="s">
        <v>39</v>
      </c>
      <c r="O688" s="19"/>
      <c r="P688" s="19"/>
      <c r="Q688" s="19"/>
      <c r="R688" s="19"/>
      <c r="S688" s="19"/>
      <c r="T688" s="19"/>
      <c r="U688" s="19"/>
      <c r="V688" s="19"/>
    </row>
    <row r="689">
      <c r="A689" s="25"/>
      <c r="B689" s="19"/>
      <c r="C689" s="19"/>
      <c r="D689" s="19"/>
      <c r="E689" s="19"/>
      <c r="F689" s="17" t="str">
        <f>IFERROR(__xludf.DUMMYFUNCTION("""COMPUTED_VALUE"""),"")</f>
        <v/>
      </c>
      <c r="G689" s="20"/>
      <c r="H689" s="19"/>
      <c r="I689" s="19"/>
      <c r="J689" s="19"/>
      <c r="K689" s="19"/>
      <c r="L689" s="19"/>
      <c r="M689" s="19"/>
      <c r="N689" s="20" t="s">
        <v>39</v>
      </c>
      <c r="O689" s="19"/>
      <c r="P689" s="19"/>
      <c r="Q689" s="19"/>
      <c r="R689" s="19"/>
      <c r="S689" s="19"/>
      <c r="T689" s="19"/>
      <c r="U689" s="19"/>
      <c r="V689" s="19"/>
    </row>
    <row r="690">
      <c r="A690" s="25"/>
      <c r="B690" s="19"/>
      <c r="C690" s="19"/>
      <c r="D690" s="19"/>
      <c r="E690" s="19"/>
      <c r="F690" s="17" t="str">
        <f>IFERROR(__xludf.DUMMYFUNCTION("""COMPUTED_VALUE"""),"")</f>
        <v/>
      </c>
      <c r="G690" s="20"/>
      <c r="H690" s="19"/>
      <c r="I690" s="19"/>
      <c r="J690" s="19"/>
      <c r="K690" s="19"/>
      <c r="L690" s="19"/>
      <c r="M690" s="19"/>
      <c r="N690" s="20" t="s">
        <v>39</v>
      </c>
      <c r="O690" s="19"/>
      <c r="P690" s="19"/>
      <c r="Q690" s="19"/>
      <c r="R690" s="19"/>
      <c r="S690" s="19"/>
      <c r="T690" s="19"/>
      <c r="U690" s="19"/>
      <c r="V690" s="19"/>
    </row>
    <row r="691">
      <c r="A691" s="25"/>
      <c r="B691" s="19"/>
      <c r="C691" s="19"/>
      <c r="D691" s="19"/>
      <c r="E691" s="19"/>
      <c r="F691" s="17" t="str">
        <f>IFERROR(__xludf.DUMMYFUNCTION("""COMPUTED_VALUE"""),"")</f>
        <v/>
      </c>
      <c r="G691" s="20"/>
      <c r="H691" s="19"/>
      <c r="I691" s="19"/>
      <c r="J691" s="19"/>
      <c r="K691" s="19"/>
      <c r="L691" s="19"/>
      <c r="M691" s="19"/>
      <c r="N691" s="20" t="s">
        <v>39</v>
      </c>
      <c r="O691" s="19"/>
      <c r="P691" s="19"/>
      <c r="Q691" s="19"/>
      <c r="R691" s="19"/>
      <c r="S691" s="19"/>
      <c r="T691" s="19"/>
      <c r="U691" s="19"/>
      <c r="V691" s="19"/>
    </row>
    <row r="692">
      <c r="A692" s="25"/>
      <c r="B692" s="19"/>
      <c r="C692" s="19"/>
      <c r="D692" s="19"/>
      <c r="E692" s="19"/>
      <c r="F692" s="17" t="str">
        <f>IFERROR(__xludf.DUMMYFUNCTION("""COMPUTED_VALUE"""),"")</f>
        <v/>
      </c>
      <c r="G692" s="20"/>
      <c r="H692" s="19"/>
      <c r="I692" s="19"/>
      <c r="J692" s="19"/>
      <c r="K692" s="19"/>
      <c r="L692" s="19"/>
      <c r="M692" s="19"/>
      <c r="N692" s="20" t="s">
        <v>39</v>
      </c>
      <c r="O692" s="19"/>
      <c r="P692" s="19"/>
      <c r="Q692" s="19"/>
      <c r="R692" s="19"/>
      <c r="S692" s="19"/>
      <c r="T692" s="19"/>
      <c r="U692" s="19"/>
      <c r="V692" s="19"/>
    </row>
    <row r="693">
      <c r="A693" s="25"/>
      <c r="B693" s="19"/>
      <c r="C693" s="19"/>
      <c r="D693" s="19"/>
      <c r="E693" s="19"/>
      <c r="F693" s="17" t="str">
        <f>IFERROR(__xludf.DUMMYFUNCTION("""COMPUTED_VALUE"""),"")</f>
        <v/>
      </c>
      <c r="G693" s="20"/>
      <c r="H693" s="19"/>
      <c r="I693" s="19"/>
      <c r="J693" s="19"/>
      <c r="K693" s="19"/>
      <c r="L693" s="19"/>
      <c r="M693" s="19"/>
      <c r="N693" s="20" t="s">
        <v>39</v>
      </c>
      <c r="O693" s="19"/>
      <c r="P693" s="19"/>
      <c r="Q693" s="19"/>
      <c r="R693" s="19"/>
      <c r="S693" s="19"/>
      <c r="T693" s="19"/>
      <c r="U693" s="19"/>
      <c r="V693" s="19"/>
    </row>
    <row r="694">
      <c r="A694" s="25"/>
      <c r="B694" s="19"/>
      <c r="C694" s="19"/>
      <c r="D694" s="19"/>
      <c r="E694" s="19"/>
      <c r="F694" s="17" t="str">
        <f>IFERROR(__xludf.DUMMYFUNCTION("""COMPUTED_VALUE"""),"")</f>
        <v/>
      </c>
      <c r="G694" s="20"/>
      <c r="H694" s="19"/>
      <c r="I694" s="19"/>
      <c r="J694" s="19"/>
      <c r="K694" s="19"/>
      <c r="L694" s="19"/>
      <c r="M694" s="19"/>
      <c r="N694" s="20" t="s">
        <v>39</v>
      </c>
      <c r="O694" s="19"/>
      <c r="P694" s="19"/>
      <c r="Q694" s="19"/>
      <c r="R694" s="19"/>
      <c r="S694" s="19"/>
      <c r="T694" s="19"/>
      <c r="U694" s="19"/>
      <c r="V694" s="19"/>
    </row>
    <row r="695">
      <c r="A695" s="25"/>
      <c r="B695" s="19"/>
      <c r="C695" s="19"/>
      <c r="D695" s="19"/>
      <c r="E695" s="19"/>
      <c r="F695" s="17" t="str">
        <f>IFERROR(__xludf.DUMMYFUNCTION("""COMPUTED_VALUE"""),"")</f>
        <v/>
      </c>
      <c r="G695" s="20"/>
      <c r="H695" s="19"/>
      <c r="I695" s="19"/>
      <c r="J695" s="19"/>
      <c r="K695" s="19"/>
      <c r="L695" s="19"/>
      <c r="M695" s="19"/>
      <c r="N695" s="20" t="s">
        <v>39</v>
      </c>
      <c r="O695" s="19"/>
      <c r="P695" s="19"/>
      <c r="Q695" s="19"/>
      <c r="R695" s="19"/>
      <c r="S695" s="19"/>
      <c r="T695" s="19"/>
      <c r="U695" s="19"/>
      <c r="V695" s="19"/>
    </row>
    <row r="696">
      <c r="A696" s="25"/>
      <c r="B696" s="19"/>
      <c r="C696" s="19"/>
      <c r="D696" s="19"/>
      <c r="E696" s="19"/>
      <c r="F696" s="17" t="str">
        <f>IFERROR(__xludf.DUMMYFUNCTION("""COMPUTED_VALUE"""),"")</f>
        <v/>
      </c>
      <c r="G696" s="20"/>
      <c r="H696" s="19"/>
      <c r="I696" s="19"/>
      <c r="J696" s="19"/>
      <c r="K696" s="19"/>
      <c r="L696" s="19"/>
      <c r="M696" s="19"/>
      <c r="N696" s="20" t="s">
        <v>39</v>
      </c>
      <c r="O696" s="19"/>
      <c r="P696" s="19"/>
      <c r="Q696" s="19"/>
      <c r="R696" s="19"/>
      <c r="S696" s="19"/>
      <c r="T696" s="19"/>
      <c r="U696" s="19"/>
      <c r="V696" s="19"/>
    </row>
    <row r="697">
      <c r="A697" s="25"/>
      <c r="B697" s="19"/>
      <c r="C697" s="19"/>
      <c r="D697" s="19"/>
      <c r="E697" s="19"/>
      <c r="F697" s="17" t="str">
        <f>IFERROR(__xludf.DUMMYFUNCTION("""COMPUTED_VALUE"""),"")</f>
        <v/>
      </c>
      <c r="G697" s="20"/>
      <c r="H697" s="19"/>
      <c r="I697" s="19"/>
      <c r="J697" s="19"/>
      <c r="K697" s="19"/>
      <c r="L697" s="19"/>
      <c r="M697" s="19"/>
      <c r="N697" s="20" t="s">
        <v>39</v>
      </c>
      <c r="O697" s="19"/>
      <c r="P697" s="19"/>
      <c r="Q697" s="19"/>
      <c r="R697" s="19"/>
      <c r="S697" s="19"/>
      <c r="T697" s="19"/>
      <c r="U697" s="19"/>
      <c r="V697" s="19"/>
    </row>
    <row r="698">
      <c r="A698" s="25"/>
      <c r="B698" s="19"/>
      <c r="C698" s="19"/>
      <c r="D698" s="19"/>
      <c r="E698" s="19"/>
      <c r="F698" s="17" t="str">
        <f>IFERROR(__xludf.DUMMYFUNCTION("""COMPUTED_VALUE"""),"")</f>
        <v/>
      </c>
      <c r="G698" s="20"/>
      <c r="H698" s="19"/>
      <c r="I698" s="19"/>
      <c r="J698" s="19"/>
      <c r="K698" s="19"/>
      <c r="L698" s="19"/>
      <c r="M698" s="19"/>
      <c r="N698" s="20" t="s">
        <v>39</v>
      </c>
      <c r="O698" s="19"/>
      <c r="P698" s="19"/>
      <c r="Q698" s="19"/>
      <c r="R698" s="19"/>
      <c r="S698" s="19"/>
      <c r="T698" s="19"/>
      <c r="U698" s="19"/>
      <c r="V698" s="19"/>
    </row>
    <row r="699">
      <c r="A699" s="25"/>
      <c r="B699" s="19"/>
      <c r="C699" s="19"/>
      <c r="D699" s="19"/>
      <c r="E699" s="19"/>
      <c r="F699" s="17" t="str">
        <f>IFERROR(__xludf.DUMMYFUNCTION("""COMPUTED_VALUE"""),"")</f>
        <v/>
      </c>
      <c r="G699" s="20"/>
      <c r="H699" s="19"/>
      <c r="I699" s="19"/>
      <c r="J699" s="19"/>
      <c r="K699" s="19"/>
      <c r="L699" s="19"/>
      <c r="M699" s="19"/>
      <c r="N699" s="20" t="s">
        <v>39</v>
      </c>
      <c r="O699" s="19"/>
      <c r="P699" s="19"/>
      <c r="Q699" s="19"/>
      <c r="R699" s="19"/>
      <c r="S699" s="19"/>
      <c r="T699" s="19"/>
      <c r="U699" s="19"/>
      <c r="V699" s="19"/>
    </row>
    <row r="700">
      <c r="A700" s="25"/>
      <c r="B700" s="19"/>
      <c r="C700" s="19"/>
      <c r="D700" s="19"/>
      <c r="E700" s="19"/>
      <c r="F700" s="17" t="str">
        <f>IFERROR(__xludf.DUMMYFUNCTION("""COMPUTED_VALUE"""),"")</f>
        <v/>
      </c>
      <c r="G700" s="20"/>
      <c r="H700" s="19"/>
      <c r="I700" s="19"/>
      <c r="J700" s="19"/>
      <c r="K700" s="19"/>
      <c r="L700" s="19"/>
      <c r="M700" s="19"/>
      <c r="N700" s="20" t="s">
        <v>39</v>
      </c>
      <c r="O700" s="19"/>
      <c r="P700" s="19"/>
      <c r="Q700" s="19"/>
      <c r="R700" s="19"/>
      <c r="S700" s="19"/>
      <c r="T700" s="19"/>
      <c r="U700" s="19"/>
      <c r="V700" s="19"/>
    </row>
    <row r="701">
      <c r="A701" s="25"/>
      <c r="B701" s="19"/>
      <c r="C701" s="19"/>
      <c r="D701" s="19"/>
      <c r="E701" s="19"/>
      <c r="F701" s="17" t="str">
        <f>IFERROR(__xludf.DUMMYFUNCTION("""COMPUTED_VALUE"""),"")</f>
        <v/>
      </c>
      <c r="G701" s="20"/>
      <c r="H701" s="19"/>
      <c r="I701" s="19"/>
      <c r="J701" s="19"/>
      <c r="K701" s="19"/>
      <c r="L701" s="19"/>
      <c r="M701" s="19"/>
      <c r="N701" s="20" t="s">
        <v>39</v>
      </c>
      <c r="O701" s="19"/>
      <c r="P701" s="19"/>
      <c r="Q701" s="19"/>
      <c r="R701" s="19"/>
      <c r="S701" s="19"/>
      <c r="T701" s="19"/>
      <c r="U701" s="19"/>
      <c r="V701" s="19"/>
    </row>
    <row r="702">
      <c r="A702" s="25"/>
      <c r="B702" s="19"/>
      <c r="C702" s="19"/>
      <c r="D702" s="19"/>
      <c r="E702" s="19"/>
      <c r="F702" s="17" t="str">
        <f>IFERROR(__xludf.DUMMYFUNCTION("""COMPUTED_VALUE"""),"")</f>
        <v/>
      </c>
      <c r="G702" s="20"/>
      <c r="H702" s="19"/>
      <c r="I702" s="19"/>
      <c r="J702" s="19"/>
      <c r="K702" s="19"/>
      <c r="L702" s="19"/>
      <c r="M702" s="19"/>
      <c r="N702" s="20" t="s">
        <v>39</v>
      </c>
      <c r="O702" s="19"/>
      <c r="P702" s="19"/>
      <c r="Q702" s="19"/>
      <c r="R702" s="19"/>
      <c r="S702" s="19"/>
      <c r="T702" s="19"/>
      <c r="U702" s="19"/>
      <c r="V702" s="19"/>
    </row>
    <row r="703">
      <c r="A703" s="25"/>
      <c r="B703" s="19"/>
      <c r="C703" s="19"/>
      <c r="D703" s="19"/>
      <c r="E703" s="19"/>
      <c r="F703" s="17" t="str">
        <f>IFERROR(__xludf.DUMMYFUNCTION("""COMPUTED_VALUE"""),"")</f>
        <v/>
      </c>
      <c r="G703" s="20"/>
      <c r="H703" s="19"/>
      <c r="I703" s="19"/>
      <c r="J703" s="19"/>
      <c r="K703" s="19"/>
      <c r="L703" s="19"/>
      <c r="M703" s="19"/>
      <c r="N703" s="20" t="s">
        <v>39</v>
      </c>
      <c r="O703" s="19"/>
      <c r="P703" s="19"/>
      <c r="Q703" s="19"/>
      <c r="R703" s="19"/>
      <c r="S703" s="19"/>
      <c r="T703" s="19"/>
      <c r="U703" s="19"/>
      <c r="V703" s="19"/>
    </row>
    <row r="704">
      <c r="A704" s="25"/>
      <c r="B704" s="19"/>
      <c r="C704" s="19"/>
      <c r="D704" s="19"/>
      <c r="E704" s="19"/>
      <c r="F704" s="17" t="str">
        <f>IFERROR(__xludf.DUMMYFUNCTION("""COMPUTED_VALUE"""),"")</f>
        <v/>
      </c>
      <c r="G704" s="20"/>
      <c r="H704" s="19"/>
      <c r="I704" s="19"/>
      <c r="J704" s="19"/>
      <c r="K704" s="19"/>
      <c r="L704" s="19"/>
      <c r="M704" s="19"/>
      <c r="N704" s="20" t="s">
        <v>39</v>
      </c>
      <c r="O704" s="19"/>
      <c r="P704" s="19"/>
      <c r="Q704" s="19"/>
      <c r="R704" s="19"/>
      <c r="S704" s="19"/>
      <c r="T704" s="19"/>
      <c r="U704" s="19"/>
      <c r="V704" s="19"/>
    </row>
    <row r="705">
      <c r="A705" s="25"/>
      <c r="B705" s="19"/>
      <c r="C705" s="19"/>
      <c r="D705" s="19"/>
      <c r="E705" s="19"/>
      <c r="F705" s="17" t="str">
        <f>IFERROR(__xludf.DUMMYFUNCTION("""COMPUTED_VALUE"""),"")</f>
        <v/>
      </c>
      <c r="G705" s="20"/>
      <c r="H705" s="19"/>
      <c r="I705" s="19"/>
      <c r="J705" s="19"/>
      <c r="K705" s="19"/>
      <c r="L705" s="19"/>
      <c r="M705" s="19"/>
      <c r="N705" s="20" t="s">
        <v>39</v>
      </c>
      <c r="O705" s="19"/>
      <c r="P705" s="19"/>
      <c r="Q705" s="19"/>
      <c r="R705" s="19"/>
      <c r="S705" s="19"/>
      <c r="T705" s="19"/>
      <c r="U705" s="19"/>
      <c r="V705" s="19"/>
    </row>
    <row r="706">
      <c r="A706" s="25"/>
      <c r="B706" s="19"/>
      <c r="C706" s="19"/>
      <c r="D706" s="19"/>
      <c r="E706" s="19"/>
      <c r="F706" s="17" t="str">
        <f>IFERROR(__xludf.DUMMYFUNCTION("""COMPUTED_VALUE"""),"")</f>
        <v/>
      </c>
      <c r="G706" s="20"/>
      <c r="H706" s="19"/>
      <c r="I706" s="19"/>
      <c r="J706" s="19"/>
      <c r="K706" s="19"/>
      <c r="L706" s="19"/>
      <c r="M706" s="19"/>
      <c r="N706" s="20" t="s">
        <v>39</v>
      </c>
      <c r="O706" s="19"/>
      <c r="P706" s="19"/>
      <c r="Q706" s="19"/>
      <c r="R706" s="19"/>
      <c r="S706" s="19"/>
      <c r="T706" s="19"/>
      <c r="U706" s="19"/>
      <c r="V706" s="19"/>
    </row>
    <row r="707">
      <c r="A707" s="25"/>
      <c r="B707" s="19"/>
      <c r="C707" s="19"/>
      <c r="D707" s="19"/>
      <c r="E707" s="19"/>
      <c r="F707" s="17" t="str">
        <f>IFERROR(__xludf.DUMMYFUNCTION("""COMPUTED_VALUE"""),"")</f>
        <v/>
      </c>
      <c r="G707" s="20"/>
      <c r="H707" s="19"/>
      <c r="I707" s="19"/>
      <c r="J707" s="19"/>
      <c r="K707" s="19"/>
      <c r="L707" s="19"/>
      <c r="M707" s="19"/>
      <c r="N707" s="20" t="s">
        <v>39</v>
      </c>
      <c r="O707" s="19"/>
      <c r="P707" s="19"/>
      <c r="Q707" s="19"/>
      <c r="R707" s="19"/>
      <c r="S707" s="19"/>
      <c r="T707" s="19"/>
      <c r="U707" s="19"/>
      <c r="V707" s="19"/>
    </row>
    <row r="708">
      <c r="A708" s="25"/>
      <c r="B708" s="19"/>
      <c r="C708" s="19"/>
      <c r="D708" s="19"/>
      <c r="E708" s="19"/>
      <c r="F708" s="17" t="str">
        <f>IFERROR(__xludf.DUMMYFUNCTION("""COMPUTED_VALUE"""),"")</f>
        <v/>
      </c>
      <c r="G708" s="20"/>
      <c r="H708" s="19"/>
      <c r="I708" s="19"/>
      <c r="J708" s="19"/>
      <c r="K708" s="19"/>
      <c r="L708" s="19"/>
      <c r="M708" s="19"/>
      <c r="N708" s="20" t="s">
        <v>39</v>
      </c>
      <c r="O708" s="19"/>
      <c r="P708" s="19"/>
      <c r="Q708" s="19"/>
      <c r="R708" s="19"/>
      <c r="S708" s="19"/>
      <c r="T708" s="19"/>
      <c r="U708" s="19"/>
      <c r="V708" s="19"/>
    </row>
    <row r="709">
      <c r="A709" s="25"/>
      <c r="B709" s="19"/>
      <c r="C709" s="19"/>
      <c r="D709" s="19"/>
      <c r="E709" s="19"/>
      <c r="F709" s="17" t="str">
        <f>IFERROR(__xludf.DUMMYFUNCTION("""COMPUTED_VALUE"""),"")</f>
        <v/>
      </c>
      <c r="G709" s="20"/>
      <c r="H709" s="19"/>
      <c r="I709" s="19"/>
      <c r="J709" s="19"/>
      <c r="K709" s="19"/>
      <c r="L709" s="19"/>
      <c r="M709" s="19"/>
      <c r="N709" s="20" t="s">
        <v>39</v>
      </c>
      <c r="O709" s="19"/>
      <c r="P709" s="19"/>
      <c r="Q709" s="19"/>
      <c r="R709" s="19"/>
      <c r="S709" s="19"/>
      <c r="T709" s="19"/>
      <c r="U709" s="19"/>
      <c r="V709" s="19"/>
    </row>
    <row r="710">
      <c r="A710" s="25"/>
      <c r="B710" s="19"/>
      <c r="C710" s="19"/>
      <c r="D710" s="19"/>
      <c r="E710" s="19"/>
      <c r="F710" s="17" t="str">
        <f>IFERROR(__xludf.DUMMYFUNCTION("""COMPUTED_VALUE"""),"")</f>
        <v/>
      </c>
      <c r="G710" s="20"/>
      <c r="H710" s="19"/>
      <c r="I710" s="19"/>
      <c r="J710" s="19"/>
      <c r="K710" s="19"/>
      <c r="L710" s="19"/>
      <c r="M710" s="19"/>
      <c r="N710" s="20" t="s">
        <v>39</v>
      </c>
      <c r="O710" s="19"/>
      <c r="P710" s="19"/>
      <c r="Q710" s="19"/>
      <c r="R710" s="19"/>
      <c r="S710" s="19"/>
      <c r="T710" s="19"/>
      <c r="U710" s="19"/>
      <c r="V710" s="19"/>
    </row>
    <row r="711">
      <c r="A711" s="25"/>
      <c r="B711" s="19"/>
      <c r="C711" s="19"/>
      <c r="D711" s="19"/>
      <c r="E711" s="19"/>
      <c r="F711" s="17" t="str">
        <f>IFERROR(__xludf.DUMMYFUNCTION("""COMPUTED_VALUE"""),"")</f>
        <v/>
      </c>
      <c r="G711" s="20"/>
      <c r="H711" s="19"/>
      <c r="I711" s="19"/>
      <c r="J711" s="19"/>
      <c r="K711" s="19"/>
      <c r="L711" s="19"/>
      <c r="M711" s="19"/>
      <c r="N711" s="20" t="s">
        <v>39</v>
      </c>
      <c r="O711" s="19"/>
      <c r="P711" s="19"/>
      <c r="Q711" s="19"/>
      <c r="R711" s="19"/>
      <c r="S711" s="19"/>
      <c r="T711" s="19"/>
      <c r="U711" s="19"/>
      <c r="V711" s="19"/>
    </row>
    <row r="712">
      <c r="A712" s="25"/>
      <c r="B712" s="19"/>
      <c r="C712" s="19"/>
      <c r="D712" s="19"/>
      <c r="E712" s="19"/>
      <c r="F712" s="17" t="str">
        <f>IFERROR(__xludf.DUMMYFUNCTION("""COMPUTED_VALUE"""),"")</f>
        <v/>
      </c>
      <c r="G712" s="20"/>
      <c r="H712" s="19"/>
      <c r="I712" s="19"/>
      <c r="J712" s="19"/>
      <c r="K712" s="19"/>
      <c r="L712" s="19"/>
      <c r="M712" s="19"/>
      <c r="N712" s="20" t="s">
        <v>39</v>
      </c>
      <c r="O712" s="19"/>
      <c r="P712" s="19"/>
      <c r="Q712" s="19"/>
      <c r="R712" s="19"/>
      <c r="S712" s="19"/>
      <c r="T712" s="19"/>
      <c r="U712" s="19"/>
      <c r="V712" s="19"/>
    </row>
    <row r="713">
      <c r="A713" s="25"/>
      <c r="B713" s="19"/>
      <c r="C713" s="19"/>
      <c r="D713" s="19"/>
      <c r="E713" s="19"/>
      <c r="F713" s="17" t="str">
        <f>IFERROR(__xludf.DUMMYFUNCTION("""COMPUTED_VALUE"""),"")</f>
        <v/>
      </c>
      <c r="G713" s="20"/>
      <c r="H713" s="19"/>
      <c r="I713" s="19"/>
      <c r="J713" s="19"/>
      <c r="K713" s="19"/>
      <c r="L713" s="19"/>
      <c r="M713" s="19"/>
      <c r="N713" s="20" t="s">
        <v>39</v>
      </c>
      <c r="O713" s="19"/>
      <c r="P713" s="19"/>
      <c r="Q713" s="19"/>
      <c r="R713" s="19"/>
      <c r="S713" s="19"/>
      <c r="T713" s="19"/>
      <c r="U713" s="19"/>
      <c r="V713" s="19"/>
    </row>
    <row r="714">
      <c r="A714" s="25"/>
      <c r="B714" s="19"/>
      <c r="C714" s="19"/>
      <c r="D714" s="19"/>
      <c r="E714" s="19"/>
      <c r="F714" s="17" t="str">
        <f>IFERROR(__xludf.DUMMYFUNCTION("""COMPUTED_VALUE"""),"")</f>
        <v/>
      </c>
      <c r="G714" s="20"/>
      <c r="H714" s="19"/>
      <c r="I714" s="19"/>
      <c r="J714" s="19"/>
      <c r="K714" s="19"/>
      <c r="L714" s="19"/>
      <c r="M714" s="19"/>
      <c r="N714" s="20" t="s">
        <v>39</v>
      </c>
      <c r="O714" s="19"/>
      <c r="P714" s="19"/>
      <c r="Q714" s="19"/>
      <c r="R714" s="19"/>
      <c r="S714" s="19"/>
      <c r="T714" s="19"/>
      <c r="U714" s="19"/>
      <c r="V714" s="19"/>
    </row>
    <row r="715">
      <c r="A715" s="25"/>
      <c r="B715" s="19"/>
      <c r="C715" s="19"/>
      <c r="D715" s="19"/>
      <c r="E715" s="19"/>
      <c r="F715" s="17" t="str">
        <f>IFERROR(__xludf.DUMMYFUNCTION("""COMPUTED_VALUE"""),"")</f>
        <v/>
      </c>
      <c r="G715" s="20"/>
      <c r="H715" s="19"/>
      <c r="I715" s="19"/>
      <c r="J715" s="19"/>
      <c r="K715" s="19"/>
      <c r="L715" s="19"/>
      <c r="M715" s="19"/>
      <c r="N715" s="20" t="s">
        <v>39</v>
      </c>
      <c r="O715" s="19"/>
      <c r="P715" s="19"/>
      <c r="Q715" s="19"/>
      <c r="R715" s="19"/>
      <c r="S715" s="19"/>
      <c r="T715" s="19"/>
      <c r="U715" s="19"/>
      <c r="V715" s="19"/>
    </row>
    <row r="716">
      <c r="A716" s="25"/>
      <c r="B716" s="19"/>
      <c r="C716" s="19"/>
      <c r="D716" s="19"/>
      <c r="E716" s="19"/>
      <c r="F716" s="17" t="str">
        <f>IFERROR(__xludf.DUMMYFUNCTION("""COMPUTED_VALUE"""),"")</f>
        <v/>
      </c>
      <c r="G716" s="20"/>
      <c r="H716" s="19"/>
      <c r="I716" s="19"/>
      <c r="J716" s="19"/>
      <c r="K716" s="19"/>
      <c r="L716" s="19"/>
      <c r="M716" s="19"/>
      <c r="N716" s="20" t="s">
        <v>39</v>
      </c>
      <c r="O716" s="19"/>
      <c r="P716" s="19"/>
      <c r="Q716" s="19"/>
      <c r="R716" s="19"/>
      <c r="S716" s="19"/>
      <c r="T716" s="19"/>
      <c r="U716" s="19"/>
      <c r="V716" s="19"/>
    </row>
    <row r="717">
      <c r="A717" s="25"/>
      <c r="B717" s="19"/>
      <c r="C717" s="19"/>
      <c r="D717" s="19"/>
      <c r="E717" s="19"/>
      <c r="F717" s="17" t="str">
        <f>IFERROR(__xludf.DUMMYFUNCTION("""COMPUTED_VALUE"""),"")</f>
        <v/>
      </c>
      <c r="G717" s="20"/>
      <c r="H717" s="19"/>
      <c r="I717" s="19"/>
      <c r="J717" s="19"/>
      <c r="K717" s="19"/>
      <c r="L717" s="19"/>
      <c r="M717" s="19"/>
      <c r="N717" s="20" t="s">
        <v>39</v>
      </c>
      <c r="O717" s="19"/>
      <c r="P717" s="19"/>
      <c r="Q717" s="19"/>
      <c r="R717" s="19"/>
      <c r="S717" s="19"/>
      <c r="T717" s="19"/>
      <c r="U717" s="19"/>
      <c r="V717" s="19"/>
    </row>
    <row r="718">
      <c r="A718" s="25"/>
      <c r="B718" s="19"/>
      <c r="C718" s="19"/>
      <c r="D718" s="19"/>
      <c r="E718" s="19"/>
      <c r="F718" s="17" t="str">
        <f>IFERROR(__xludf.DUMMYFUNCTION("""COMPUTED_VALUE"""),"")</f>
        <v/>
      </c>
      <c r="G718" s="20"/>
      <c r="H718" s="19"/>
      <c r="I718" s="19"/>
      <c r="J718" s="19"/>
      <c r="K718" s="19"/>
      <c r="L718" s="19"/>
      <c r="M718" s="19"/>
      <c r="N718" s="20" t="s">
        <v>39</v>
      </c>
      <c r="O718" s="19"/>
      <c r="P718" s="19"/>
      <c r="Q718" s="19"/>
      <c r="R718" s="19"/>
      <c r="S718" s="19"/>
      <c r="T718" s="19"/>
      <c r="U718" s="19"/>
      <c r="V718" s="19"/>
    </row>
    <row r="719">
      <c r="A719" s="25"/>
      <c r="B719" s="19"/>
      <c r="C719" s="19"/>
      <c r="D719" s="19"/>
      <c r="E719" s="19"/>
      <c r="F719" s="17" t="str">
        <f>IFERROR(__xludf.DUMMYFUNCTION("""COMPUTED_VALUE"""),"")</f>
        <v/>
      </c>
      <c r="G719" s="20"/>
      <c r="H719" s="19"/>
      <c r="I719" s="19"/>
      <c r="J719" s="19"/>
      <c r="K719" s="19"/>
      <c r="L719" s="19"/>
      <c r="M719" s="19"/>
      <c r="N719" s="20" t="s">
        <v>39</v>
      </c>
      <c r="O719" s="19"/>
      <c r="P719" s="19"/>
      <c r="Q719" s="19"/>
      <c r="R719" s="19"/>
      <c r="S719" s="19"/>
      <c r="T719" s="19"/>
      <c r="U719" s="19"/>
      <c r="V719" s="19"/>
    </row>
    <row r="720">
      <c r="A720" s="25"/>
      <c r="B720" s="19"/>
      <c r="C720" s="19"/>
      <c r="D720" s="19"/>
      <c r="E720" s="19"/>
      <c r="F720" s="17" t="str">
        <f>IFERROR(__xludf.DUMMYFUNCTION("""COMPUTED_VALUE"""),"")</f>
        <v/>
      </c>
      <c r="G720" s="20"/>
      <c r="H720" s="19"/>
      <c r="I720" s="19"/>
      <c r="J720" s="19"/>
      <c r="K720" s="19"/>
      <c r="L720" s="19"/>
      <c r="M720" s="19"/>
      <c r="N720" s="20" t="s">
        <v>39</v>
      </c>
      <c r="O720" s="19"/>
      <c r="P720" s="19"/>
      <c r="Q720" s="19"/>
      <c r="R720" s="19"/>
      <c r="S720" s="19"/>
      <c r="T720" s="19"/>
      <c r="U720" s="19"/>
      <c r="V720" s="19"/>
    </row>
    <row r="721">
      <c r="A721" s="25"/>
      <c r="B721" s="19"/>
      <c r="C721" s="19"/>
      <c r="D721" s="19"/>
      <c r="E721" s="19"/>
      <c r="F721" s="17" t="str">
        <f>IFERROR(__xludf.DUMMYFUNCTION("""COMPUTED_VALUE"""),"")</f>
        <v/>
      </c>
      <c r="G721" s="20"/>
      <c r="H721" s="19"/>
      <c r="I721" s="19"/>
      <c r="J721" s="19"/>
      <c r="K721" s="19"/>
      <c r="L721" s="19"/>
      <c r="M721" s="19"/>
      <c r="N721" s="20" t="s">
        <v>39</v>
      </c>
      <c r="O721" s="19"/>
      <c r="P721" s="19"/>
      <c r="Q721" s="19"/>
      <c r="R721" s="19"/>
      <c r="S721" s="19"/>
      <c r="T721" s="19"/>
      <c r="U721" s="19"/>
      <c r="V721" s="19"/>
    </row>
    <row r="722">
      <c r="A722" s="25"/>
      <c r="B722" s="19"/>
      <c r="C722" s="19"/>
      <c r="D722" s="19"/>
      <c r="E722" s="19"/>
      <c r="F722" s="17" t="str">
        <f>IFERROR(__xludf.DUMMYFUNCTION("""COMPUTED_VALUE"""),"")</f>
        <v/>
      </c>
      <c r="G722" s="20"/>
      <c r="H722" s="19"/>
      <c r="I722" s="19"/>
      <c r="J722" s="19"/>
      <c r="K722" s="19"/>
      <c r="L722" s="19"/>
      <c r="M722" s="19"/>
      <c r="N722" s="20" t="s">
        <v>39</v>
      </c>
      <c r="O722" s="19"/>
      <c r="P722" s="19"/>
      <c r="Q722" s="19"/>
      <c r="R722" s="19"/>
      <c r="S722" s="19"/>
      <c r="T722" s="19"/>
      <c r="U722" s="19"/>
      <c r="V722" s="19"/>
    </row>
    <row r="723">
      <c r="A723" s="25"/>
      <c r="B723" s="19"/>
      <c r="C723" s="19"/>
      <c r="D723" s="19"/>
      <c r="E723" s="19"/>
      <c r="F723" s="17" t="str">
        <f>IFERROR(__xludf.DUMMYFUNCTION("""COMPUTED_VALUE"""),"")</f>
        <v/>
      </c>
      <c r="G723" s="20"/>
      <c r="H723" s="19"/>
      <c r="I723" s="19"/>
      <c r="J723" s="19"/>
      <c r="K723" s="19"/>
      <c r="L723" s="19"/>
      <c r="M723" s="19"/>
      <c r="N723" s="20" t="s">
        <v>39</v>
      </c>
      <c r="O723" s="19"/>
      <c r="P723" s="19"/>
      <c r="Q723" s="19"/>
      <c r="R723" s="19"/>
      <c r="S723" s="19"/>
      <c r="T723" s="19"/>
      <c r="U723" s="19"/>
      <c r="V723" s="19"/>
    </row>
    <row r="724">
      <c r="A724" s="25"/>
      <c r="B724" s="19"/>
      <c r="C724" s="19"/>
      <c r="D724" s="19"/>
      <c r="E724" s="19"/>
      <c r="F724" s="17" t="str">
        <f>IFERROR(__xludf.DUMMYFUNCTION("""COMPUTED_VALUE"""),"")</f>
        <v/>
      </c>
      <c r="G724" s="20"/>
      <c r="H724" s="19"/>
      <c r="I724" s="19"/>
      <c r="J724" s="19"/>
      <c r="K724" s="19"/>
      <c r="L724" s="19"/>
      <c r="M724" s="19"/>
      <c r="N724" s="20" t="s">
        <v>39</v>
      </c>
      <c r="O724" s="19"/>
      <c r="P724" s="19"/>
      <c r="Q724" s="19"/>
      <c r="R724" s="19"/>
      <c r="S724" s="19"/>
      <c r="T724" s="19"/>
      <c r="U724" s="19"/>
      <c r="V724" s="19"/>
    </row>
    <row r="725">
      <c r="A725" s="25"/>
      <c r="B725" s="19"/>
      <c r="C725" s="19"/>
      <c r="D725" s="19"/>
      <c r="E725" s="19"/>
      <c r="F725" s="17" t="str">
        <f>IFERROR(__xludf.DUMMYFUNCTION("""COMPUTED_VALUE"""),"")</f>
        <v/>
      </c>
      <c r="G725" s="20"/>
      <c r="H725" s="19"/>
      <c r="I725" s="19"/>
      <c r="J725" s="19"/>
      <c r="K725" s="19"/>
      <c r="L725" s="19"/>
      <c r="M725" s="19"/>
      <c r="N725" s="20" t="s">
        <v>39</v>
      </c>
      <c r="O725" s="19"/>
      <c r="P725" s="19"/>
      <c r="Q725" s="19"/>
      <c r="R725" s="19"/>
      <c r="S725" s="19"/>
      <c r="T725" s="19"/>
      <c r="U725" s="19"/>
      <c r="V725" s="19"/>
    </row>
    <row r="726">
      <c r="A726" s="25"/>
      <c r="B726" s="19"/>
      <c r="C726" s="19"/>
      <c r="D726" s="19"/>
      <c r="E726" s="19"/>
      <c r="F726" s="17" t="str">
        <f>IFERROR(__xludf.DUMMYFUNCTION("""COMPUTED_VALUE"""),"")</f>
        <v/>
      </c>
      <c r="G726" s="20"/>
      <c r="H726" s="19"/>
      <c r="I726" s="19"/>
      <c r="J726" s="19"/>
      <c r="K726" s="19"/>
      <c r="L726" s="19"/>
      <c r="M726" s="19"/>
      <c r="N726" s="20" t="s">
        <v>39</v>
      </c>
      <c r="O726" s="19"/>
      <c r="P726" s="19"/>
      <c r="Q726" s="19"/>
      <c r="R726" s="19"/>
      <c r="S726" s="19"/>
      <c r="T726" s="19"/>
      <c r="U726" s="19"/>
      <c r="V726" s="19"/>
    </row>
    <row r="727">
      <c r="A727" s="25"/>
      <c r="B727" s="19"/>
      <c r="C727" s="19"/>
      <c r="D727" s="19"/>
      <c r="E727" s="19"/>
      <c r="F727" s="17" t="str">
        <f>IFERROR(__xludf.DUMMYFUNCTION("""COMPUTED_VALUE"""),"")</f>
        <v/>
      </c>
      <c r="G727" s="20"/>
      <c r="H727" s="19"/>
      <c r="I727" s="19"/>
      <c r="J727" s="19"/>
      <c r="K727" s="19"/>
      <c r="L727" s="19"/>
      <c r="M727" s="19"/>
      <c r="N727" s="20" t="s">
        <v>39</v>
      </c>
      <c r="O727" s="19"/>
      <c r="P727" s="19"/>
      <c r="Q727" s="19"/>
      <c r="R727" s="19"/>
      <c r="S727" s="19"/>
      <c r="T727" s="19"/>
      <c r="U727" s="19"/>
      <c r="V727" s="19"/>
    </row>
    <row r="728">
      <c r="A728" s="25"/>
      <c r="B728" s="19"/>
      <c r="C728" s="19"/>
      <c r="D728" s="19"/>
      <c r="E728" s="19"/>
      <c r="F728" s="17" t="str">
        <f>IFERROR(__xludf.DUMMYFUNCTION("""COMPUTED_VALUE"""),"")</f>
        <v/>
      </c>
      <c r="G728" s="20"/>
      <c r="H728" s="19"/>
      <c r="I728" s="19"/>
      <c r="J728" s="19"/>
      <c r="K728" s="19"/>
      <c r="L728" s="19"/>
      <c r="M728" s="19"/>
      <c r="N728" s="20" t="s">
        <v>39</v>
      </c>
      <c r="O728" s="19"/>
      <c r="P728" s="19"/>
      <c r="Q728" s="19"/>
      <c r="R728" s="19"/>
      <c r="S728" s="19"/>
      <c r="T728" s="19"/>
      <c r="U728" s="19"/>
      <c r="V728" s="19"/>
    </row>
    <row r="729">
      <c r="A729" s="25"/>
      <c r="B729" s="19"/>
      <c r="C729" s="19"/>
      <c r="D729" s="19"/>
      <c r="E729" s="19"/>
      <c r="F729" s="17" t="str">
        <f>IFERROR(__xludf.DUMMYFUNCTION("""COMPUTED_VALUE"""),"")</f>
        <v/>
      </c>
      <c r="G729" s="20"/>
      <c r="H729" s="19"/>
      <c r="I729" s="19"/>
      <c r="J729" s="19"/>
      <c r="K729" s="19"/>
      <c r="L729" s="19"/>
      <c r="M729" s="19"/>
      <c r="N729" s="20" t="s">
        <v>39</v>
      </c>
      <c r="O729" s="19"/>
      <c r="P729" s="19"/>
      <c r="Q729" s="19"/>
      <c r="R729" s="19"/>
      <c r="S729" s="19"/>
      <c r="T729" s="19"/>
      <c r="U729" s="19"/>
      <c r="V729" s="19"/>
    </row>
    <row r="730">
      <c r="A730" s="25"/>
      <c r="B730" s="19"/>
      <c r="C730" s="19"/>
      <c r="D730" s="19"/>
      <c r="E730" s="19"/>
      <c r="F730" s="17" t="str">
        <f>IFERROR(__xludf.DUMMYFUNCTION("""COMPUTED_VALUE"""),"")</f>
        <v/>
      </c>
      <c r="G730" s="20"/>
      <c r="H730" s="19"/>
      <c r="I730" s="19"/>
      <c r="J730" s="19"/>
      <c r="K730" s="19"/>
      <c r="L730" s="19"/>
      <c r="M730" s="19"/>
      <c r="N730" s="20" t="s">
        <v>39</v>
      </c>
      <c r="O730" s="19"/>
      <c r="P730" s="19"/>
      <c r="Q730" s="19"/>
      <c r="R730" s="19"/>
      <c r="S730" s="19"/>
      <c r="T730" s="19"/>
      <c r="U730" s="19"/>
      <c r="V730" s="19"/>
    </row>
    <row r="731">
      <c r="A731" s="25"/>
      <c r="B731" s="19"/>
      <c r="C731" s="19"/>
      <c r="D731" s="19"/>
      <c r="E731" s="19"/>
      <c r="F731" s="17" t="str">
        <f>IFERROR(__xludf.DUMMYFUNCTION("""COMPUTED_VALUE"""),"")</f>
        <v/>
      </c>
      <c r="G731" s="20"/>
      <c r="H731" s="19"/>
      <c r="I731" s="19"/>
      <c r="J731" s="19"/>
      <c r="K731" s="19"/>
      <c r="L731" s="19"/>
      <c r="M731" s="19"/>
      <c r="N731" s="20" t="s">
        <v>39</v>
      </c>
      <c r="O731" s="19"/>
      <c r="P731" s="19"/>
      <c r="Q731" s="19"/>
      <c r="R731" s="19"/>
      <c r="S731" s="19"/>
      <c r="T731" s="19"/>
      <c r="U731" s="19"/>
      <c r="V731" s="19"/>
    </row>
    <row r="732">
      <c r="A732" s="25"/>
      <c r="B732" s="19"/>
      <c r="C732" s="19"/>
      <c r="D732" s="19"/>
      <c r="E732" s="19"/>
      <c r="F732" s="17" t="str">
        <f>IFERROR(__xludf.DUMMYFUNCTION("""COMPUTED_VALUE"""),"")</f>
        <v/>
      </c>
      <c r="G732" s="20"/>
      <c r="H732" s="19"/>
      <c r="I732" s="19"/>
      <c r="J732" s="19"/>
      <c r="K732" s="19"/>
      <c r="L732" s="19"/>
      <c r="M732" s="19"/>
      <c r="N732" s="20" t="s">
        <v>39</v>
      </c>
      <c r="O732" s="19"/>
      <c r="P732" s="19"/>
      <c r="Q732" s="19"/>
      <c r="R732" s="19"/>
      <c r="S732" s="19"/>
      <c r="T732" s="19"/>
      <c r="U732" s="19"/>
      <c r="V732" s="19"/>
    </row>
    <row r="733">
      <c r="A733" s="25"/>
      <c r="B733" s="19"/>
      <c r="C733" s="19"/>
      <c r="D733" s="19"/>
      <c r="E733" s="19"/>
      <c r="F733" s="17" t="str">
        <f>IFERROR(__xludf.DUMMYFUNCTION("""COMPUTED_VALUE"""),"")</f>
        <v/>
      </c>
      <c r="G733" s="20"/>
      <c r="H733" s="19"/>
      <c r="I733" s="19"/>
      <c r="J733" s="19"/>
      <c r="K733" s="19"/>
      <c r="L733" s="19"/>
      <c r="M733" s="19"/>
      <c r="N733" s="20" t="s">
        <v>39</v>
      </c>
      <c r="O733" s="19"/>
      <c r="P733" s="19"/>
      <c r="Q733" s="19"/>
      <c r="R733" s="19"/>
      <c r="S733" s="19"/>
      <c r="T733" s="19"/>
      <c r="U733" s="19"/>
      <c r="V733" s="19"/>
    </row>
    <row r="734">
      <c r="A734" s="25"/>
      <c r="B734" s="19"/>
      <c r="C734" s="19"/>
      <c r="D734" s="19"/>
      <c r="E734" s="19"/>
      <c r="F734" s="17" t="str">
        <f>IFERROR(__xludf.DUMMYFUNCTION("""COMPUTED_VALUE"""),"")</f>
        <v/>
      </c>
      <c r="G734" s="20"/>
      <c r="H734" s="19"/>
      <c r="I734" s="19"/>
      <c r="J734" s="19"/>
      <c r="K734" s="19"/>
      <c r="L734" s="19"/>
      <c r="M734" s="19"/>
      <c r="N734" s="20" t="s">
        <v>39</v>
      </c>
      <c r="O734" s="19"/>
      <c r="P734" s="19"/>
      <c r="Q734" s="19"/>
      <c r="R734" s="19"/>
      <c r="S734" s="19"/>
      <c r="T734" s="19"/>
      <c r="U734" s="19"/>
      <c r="V734" s="19"/>
    </row>
    <row r="735">
      <c r="A735" s="25"/>
      <c r="B735" s="19"/>
      <c r="C735" s="19"/>
      <c r="D735" s="19"/>
      <c r="E735" s="19"/>
      <c r="F735" s="17" t="str">
        <f>IFERROR(__xludf.DUMMYFUNCTION("""COMPUTED_VALUE"""),"")</f>
        <v/>
      </c>
      <c r="G735" s="20"/>
      <c r="H735" s="19"/>
      <c r="I735" s="19"/>
      <c r="J735" s="19"/>
      <c r="K735" s="19"/>
      <c r="L735" s="19"/>
      <c r="M735" s="19"/>
      <c r="N735" s="20" t="s">
        <v>39</v>
      </c>
      <c r="O735" s="19"/>
      <c r="P735" s="19"/>
      <c r="Q735" s="19"/>
      <c r="R735" s="19"/>
      <c r="S735" s="19"/>
      <c r="T735" s="19"/>
      <c r="U735" s="19"/>
      <c r="V735" s="19"/>
    </row>
    <row r="736">
      <c r="A736" s="25"/>
      <c r="B736" s="19"/>
      <c r="C736" s="19"/>
      <c r="D736" s="19"/>
      <c r="E736" s="19"/>
      <c r="F736" s="17" t="str">
        <f>IFERROR(__xludf.DUMMYFUNCTION("""COMPUTED_VALUE"""),"")</f>
        <v/>
      </c>
      <c r="G736" s="20"/>
      <c r="H736" s="19"/>
      <c r="I736" s="19"/>
      <c r="J736" s="19"/>
      <c r="K736" s="19"/>
      <c r="L736" s="19"/>
      <c r="M736" s="19"/>
      <c r="N736" s="20" t="s">
        <v>39</v>
      </c>
      <c r="O736" s="19"/>
      <c r="P736" s="19"/>
      <c r="Q736" s="19"/>
      <c r="R736" s="19"/>
      <c r="S736" s="19"/>
      <c r="T736" s="19"/>
      <c r="U736" s="19"/>
      <c r="V736" s="19"/>
    </row>
    <row r="737">
      <c r="A737" s="25"/>
      <c r="B737" s="19"/>
      <c r="C737" s="19"/>
      <c r="D737" s="19"/>
      <c r="E737" s="19"/>
      <c r="F737" s="17" t="str">
        <f>IFERROR(__xludf.DUMMYFUNCTION("""COMPUTED_VALUE"""),"")</f>
        <v/>
      </c>
      <c r="G737" s="20"/>
      <c r="H737" s="19"/>
      <c r="I737" s="19"/>
      <c r="J737" s="19"/>
      <c r="K737" s="19"/>
      <c r="L737" s="19"/>
      <c r="M737" s="19"/>
      <c r="N737" s="20" t="s">
        <v>39</v>
      </c>
      <c r="O737" s="19"/>
      <c r="P737" s="19"/>
      <c r="Q737" s="19"/>
      <c r="R737" s="19"/>
      <c r="S737" s="19"/>
      <c r="T737" s="19"/>
      <c r="U737" s="19"/>
      <c r="V737" s="19"/>
    </row>
    <row r="738">
      <c r="A738" s="25"/>
      <c r="B738" s="19"/>
      <c r="C738" s="19"/>
      <c r="D738" s="19"/>
      <c r="E738" s="19"/>
      <c r="F738" s="17" t="str">
        <f>IFERROR(__xludf.DUMMYFUNCTION("""COMPUTED_VALUE"""),"")</f>
        <v/>
      </c>
      <c r="G738" s="20"/>
      <c r="H738" s="19"/>
      <c r="I738" s="19"/>
      <c r="J738" s="19"/>
      <c r="K738" s="19"/>
      <c r="L738" s="19"/>
      <c r="M738" s="19"/>
      <c r="N738" s="20" t="s">
        <v>39</v>
      </c>
      <c r="O738" s="19"/>
      <c r="P738" s="19"/>
      <c r="Q738" s="19"/>
      <c r="R738" s="19"/>
      <c r="S738" s="19"/>
      <c r="T738" s="19"/>
      <c r="U738" s="19"/>
      <c r="V738" s="19"/>
    </row>
    <row r="739">
      <c r="A739" s="25"/>
      <c r="B739" s="19"/>
      <c r="C739" s="19"/>
      <c r="D739" s="19"/>
      <c r="E739" s="19"/>
      <c r="F739" s="17" t="str">
        <f>IFERROR(__xludf.DUMMYFUNCTION("""COMPUTED_VALUE"""),"")</f>
        <v/>
      </c>
      <c r="G739" s="20"/>
      <c r="H739" s="19"/>
      <c r="I739" s="19"/>
      <c r="J739" s="19"/>
      <c r="K739" s="19"/>
      <c r="L739" s="19"/>
      <c r="M739" s="19"/>
      <c r="N739" s="20" t="s">
        <v>39</v>
      </c>
      <c r="O739" s="19"/>
      <c r="P739" s="19"/>
      <c r="Q739" s="19"/>
      <c r="R739" s="19"/>
      <c r="S739" s="19"/>
      <c r="T739" s="19"/>
      <c r="U739" s="19"/>
      <c r="V739" s="19"/>
    </row>
    <row r="740">
      <c r="A740" s="25"/>
      <c r="B740" s="19"/>
      <c r="C740" s="19"/>
      <c r="D740" s="19"/>
      <c r="E740" s="19"/>
      <c r="F740" s="17" t="str">
        <f>IFERROR(__xludf.DUMMYFUNCTION("""COMPUTED_VALUE"""),"")</f>
        <v/>
      </c>
      <c r="G740" s="20"/>
      <c r="H740" s="19"/>
      <c r="I740" s="19"/>
      <c r="J740" s="19"/>
      <c r="K740" s="19"/>
      <c r="L740" s="19"/>
      <c r="M740" s="19"/>
      <c r="N740" s="20" t="s">
        <v>39</v>
      </c>
      <c r="O740" s="19"/>
      <c r="P740" s="19"/>
      <c r="Q740" s="19"/>
      <c r="R740" s="19"/>
      <c r="S740" s="19"/>
      <c r="T740" s="19"/>
      <c r="U740" s="19"/>
      <c r="V740" s="19"/>
    </row>
    <row r="741">
      <c r="A741" s="25"/>
      <c r="B741" s="19"/>
      <c r="C741" s="19"/>
      <c r="D741" s="19"/>
      <c r="E741" s="19"/>
      <c r="F741" s="17" t="str">
        <f>IFERROR(__xludf.DUMMYFUNCTION("""COMPUTED_VALUE"""),"")</f>
        <v/>
      </c>
      <c r="G741" s="20"/>
      <c r="H741" s="19"/>
      <c r="I741" s="19"/>
      <c r="J741" s="19"/>
      <c r="K741" s="19"/>
      <c r="L741" s="19"/>
      <c r="M741" s="19"/>
      <c r="N741" s="20" t="s">
        <v>39</v>
      </c>
      <c r="O741" s="19"/>
      <c r="P741" s="19"/>
      <c r="Q741" s="19"/>
      <c r="R741" s="19"/>
      <c r="S741" s="19"/>
      <c r="T741" s="19"/>
      <c r="U741" s="19"/>
      <c r="V741" s="19"/>
    </row>
    <row r="742">
      <c r="A742" s="25"/>
      <c r="B742" s="19"/>
      <c r="C742" s="19"/>
      <c r="D742" s="19"/>
      <c r="E742" s="19"/>
      <c r="F742" s="17" t="str">
        <f>IFERROR(__xludf.DUMMYFUNCTION("""COMPUTED_VALUE"""),"")</f>
        <v/>
      </c>
      <c r="G742" s="20"/>
      <c r="H742" s="19"/>
      <c r="I742" s="19"/>
      <c r="J742" s="19"/>
      <c r="K742" s="19"/>
      <c r="L742" s="19"/>
      <c r="M742" s="19"/>
      <c r="N742" s="20" t="s">
        <v>39</v>
      </c>
      <c r="O742" s="19"/>
      <c r="P742" s="19"/>
      <c r="Q742" s="19"/>
      <c r="R742" s="19"/>
      <c r="S742" s="19"/>
      <c r="T742" s="19"/>
      <c r="U742" s="19"/>
      <c r="V742" s="19"/>
    </row>
    <row r="743">
      <c r="A743" s="25"/>
      <c r="B743" s="19"/>
      <c r="C743" s="19"/>
      <c r="D743" s="19"/>
      <c r="E743" s="19"/>
      <c r="F743" s="17" t="str">
        <f>IFERROR(__xludf.DUMMYFUNCTION("""COMPUTED_VALUE"""),"")</f>
        <v/>
      </c>
      <c r="G743" s="20"/>
      <c r="H743" s="19"/>
      <c r="I743" s="19"/>
      <c r="J743" s="19"/>
      <c r="K743" s="19"/>
      <c r="L743" s="19"/>
      <c r="M743" s="19"/>
      <c r="N743" s="20" t="s">
        <v>39</v>
      </c>
      <c r="O743" s="19"/>
      <c r="P743" s="19"/>
      <c r="Q743" s="19"/>
      <c r="R743" s="19"/>
      <c r="S743" s="19"/>
      <c r="T743" s="19"/>
      <c r="U743" s="19"/>
      <c r="V743" s="19"/>
    </row>
    <row r="744">
      <c r="A744" s="25"/>
      <c r="B744" s="19"/>
      <c r="C744" s="19"/>
      <c r="D744" s="19"/>
      <c r="E744" s="19"/>
      <c r="F744" s="17" t="str">
        <f>IFERROR(__xludf.DUMMYFUNCTION("""COMPUTED_VALUE"""),"")</f>
        <v/>
      </c>
      <c r="G744" s="20"/>
      <c r="H744" s="19"/>
      <c r="I744" s="19"/>
      <c r="J744" s="19"/>
      <c r="K744" s="19"/>
      <c r="L744" s="19"/>
      <c r="M744" s="19"/>
      <c r="N744" s="20" t="s">
        <v>39</v>
      </c>
      <c r="O744" s="19"/>
      <c r="P744" s="19"/>
      <c r="Q744" s="19"/>
      <c r="R744" s="19"/>
      <c r="S744" s="19"/>
      <c r="T744" s="19"/>
      <c r="U744" s="19"/>
      <c r="V744" s="19"/>
    </row>
    <row r="745">
      <c r="A745" s="25"/>
      <c r="B745" s="19"/>
      <c r="C745" s="19"/>
      <c r="D745" s="19"/>
      <c r="E745" s="19"/>
      <c r="F745" s="17" t="str">
        <f>IFERROR(__xludf.DUMMYFUNCTION("""COMPUTED_VALUE"""),"")</f>
        <v/>
      </c>
      <c r="G745" s="20"/>
      <c r="H745" s="19"/>
      <c r="I745" s="19"/>
      <c r="J745" s="19"/>
      <c r="K745" s="19"/>
      <c r="L745" s="19"/>
      <c r="M745" s="19"/>
      <c r="N745" s="20" t="s">
        <v>39</v>
      </c>
      <c r="O745" s="19"/>
      <c r="P745" s="19"/>
      <c r="Q745" s="19"/>
      <c r="R745" s="19"/>
      <c r="S745" s="19"/>
      <c r="T745" s="19"/>
      <c r="U745" s="19"/>
      <c r="V745" s="19"/>
    </row>
    <row r="746">
      <c r="A746" s="25"/>
      <c r="B746" s="19"/>
      <c r="C746" s="19"/>
      <c r="D746" s="19"/>
      <c r="E746" s="19"/>
      <c r="F746" s="17" t="str">
        <f>IFERROR(__xludf.DUMMYFUNCTION("""COMPUTED_VALUE"""),"")</f>
        <v/>
      </c>
      <c r="G746" s="20"/>
      <c r="H746" s="19"/>
      <c r="I746" s="19"/>
      <c r="J746" s="19"/>
      <c r="K746" s="19"/>
      <c r="L746" s="19"/>
      <c r="M746" s="19"/>
      <c r="N746" s="20" t="s">
        <v>39</v>
      </c>
      <c r="O746" s="19"/>
      <c r="P746" s="19"/>
      <c r="Q746" s="19"/>
      <c r="R746" s="19"/>
      <c r="S746" s="19"/>
      <c r="T746" s="19"/>
      <c r="U746" s="19"/>
      <c r="V746" s="19"/>
    </row>
    <row r="747">
      <c r="A747" s="25"/>
      <c r="B747" s="19"/>
      <c r="C747" s="19"/>
      <c r="D747" s="19"/>
      <c r="E747" s="19"/>
      <c r="F747" s="17" t="str">
        <f>IFERROR(__xludf.DUMMYFUNCTION("""COMPUTED_VALUE"""),"")</f>
        <v/>
      </c>
      <c r="G747" s="20"/>
      <c r="H747" s="19"/>
      <c r="I747" s="19"/>
      <c r="J747" s="19"/>
      <c r="K747" s="19"/>
      <c r="L747" s="19"/>
      <c r="M747" s="19"/>
      <c r="N747" s="20" t="s">
        <v>39</v>
      </c>
      <c r="O747" s="19"/>
      <c r="P747" s="19"/>
      <c r="Q747" s="19"/>
      <c r="R747" s="19"/>
      <c r="S747" s="19"/>
      <c r="T747" s="19"/>
      <c r="U747" s="19"/>
      <c r="V747" s="19"/>
    </row>
    <row r="748">
      <c r="A748" s="25"/>
      <c r="B748" s="19"/>
      <c r="C748" s="19"/>
      <c r="D748" s="19"/>
      <c r="E748" s="19"/>
      <c r="F748" s="17" t="str">
        <f>IFERROR(__xludf.DUMMYFUNCTION("""COMPUTED_VALUE"""),"")</f>
        <v/>
      </c>
      <c r="G748" s="20"/>
      <c r="H748" s="19"/>
      <c r="I748" s="19"/>
      <c r="J748" s="19"/>
      <c r="K748" s="19"/>
      <c r="L748" s="19"/>
      <c r="M748" s="19"/>
      <c r="N748" s="20" t="s">
        <v>39</v>
      </c>
      <c r="O748" s="19"/>
      <c r="P748" s="19"/>
      <c r="Q748" s="19"/>
      <c r="R748" s="19"/>
      <c r="S748" s="19"/>
      <c r="T748" s="19"/>
      <c r="U748" s="19"/>
      <c r="V748" s="19"/>
    </row>
    <row r="749">
      <c r="A749" s="25"/>
      <c r="B749" s="19"/>
      <c r="C749" s="19"/>
      <c r="D749" s="19"/>
      <c r="E749" s="19"/>
      <c r="F749" s="17" t="str">
        <f>IFERROR(__xludf.DUMMYFUNCTION("""COMPUTED_VALUE"""),"")</f>
        <v/>
      </c>
      <c r="G749" s="20"/>
      <c r="H749" s="19"/>
      <c r="I749" s="19"/>
      <c r="J749" s="19"/>
      <c r="K749" s="19"/>
      <c r="L749" s="19"/>
      <c r="M749" s="19"/>
      <c r="N749" s="20" t="s">
        <v>39</v>
      </c>
      <c r="O749" s="19"/>
      <c r="P749" s="19"/>
      <c r="Q749" s="19"/>
      <c r="R749" s="19"/>
      <c r="S749" s="19"/>
      <c r="T749" s="19"/>
      <c r="U749" s="19"/>
      <c r="V749" s="19"/>
    </row>
    <row r="750">
      <c r="A750" s="25"/>
      <c r="B750" s="19"/>
      <c r="C750" s="19"/>
      <c r="D750" s="19"/>
      <c r="E750" s="19"/>
      <c r="F750" s="17" t="str">
        <f>IFERROR(__xludf.DUMMYFUNCTION("""COMPUTED_VALUE"""),"")</f>
        <v/>
      </c>
      <c r="G750" s="20"/>
      <c r="H750" s="19"/>
      <c r="I750" s="19"/>
      <c r="J750" s="19"/>
      <c r="K750" s="19"/>
      <c r="L750" s="19"/>
      <c r="M750" s="19"/>
      <c r="N750" s="20" t="s">
        <v>39</v>
      </c>
      <c r="O750" s="19"/>
      <c r="P750" s="19"/>
      <c r="Q750" s="19"/>
      <c r="R750" s="19"/>
      <c r="S750" s="19"/>
      <c r="T750" s="19"/>
      <c r="U750" s="19"/>
      <c r="V750" s="19"/>
    </row>
    <row r="751">
      <c r="A751" s="25"/>
      <c r="B751" s="19"/>
      <c r="C751" s="19"/>
      <c r="D751" s="19"/>
      <c r="E751" s="19"/>
      <c r="F751" s="17" t="str">
        <f>IFERROR(__xludf.DUMMYFUNCTION("""COMPUTED_VALUE"""),"")</f>
        <v/>
      </c>
      <c r="G751" s="20"/>
      <c r="H751" s="19"/>
      <c r="I751" s="19"/>
      <c r="J751" s="19"/>
      <c r="K751" s="19"/>
      <c r="L751" s="19"/>
      <c r="M751" s="19"/>
      <c r="N751" s="20" t="s">
        <v>39</v>
      </c>
      <c r="O751" s="19"/>
      <c r="P751" s="19"/>
      <c r="Q751" s="19"/>
      <c r="R751" s="19"/>
      <c r="S751" s="19"/>
      <c r="T751" s="19"/>
      <c r="U751" s="19"/>
      <c r="V751" s="19"/>
    </row>
    <row r="752">
      <c r="A752" s="25"/>
      <c r="B752" s="19"/>
      <c r="C752" s="19"/>
      <c r="D752" s="19"/>
      <c r="E752" s="19"/>
      <c r="F752" s="17" t="str">
        <f>IFERROR(__xludf.DUMMYFUNCTION("""COMPUTED_VALUE"""),"")</f>
        <v/>
      </c>
      <c r="G752" s="20"/>
      <c r="H752" s="19"/>
      <c r="I752" s="19"/>
      <c r="J752" s="19"/>
      <c r="K752" s="19"/>
      <c r="L752" s="19"/>
      <c r="M752" s="19"/>
      <c r="N752" s="20" t="s">
        <v>39</v>
      </c>
      <c r="O752" s="19"/>
      <c r="P752" s="19"/>
      <c r="Q752" s="19"/>
      <c r="R752" s="19"/>
      <c r="S752" s="19"/>
      <c r="T752" s="19"/>
      <c r="U752" s="19"/>
      <c r="V752" s="19"/>
    </row>
    <row r="753">
      <c r="A753" s="25"/>
      <c r="B753" s="19"/>
      <c r="C753" s="19"/>
      <c r="D753" s="19"/>
      <c r="E753" s="19"/>
      <c r="F753" s="17" t="str">
        <f>IFERROR(__xludf.DUMMYFUNCTION("""COMPUTED_VALUE"""),"")</f>
        <v/>
      </c>
      <c r="G753" s="20"/>
      <c r="H753" s="19"/>
      <c r="I753" s="19"/>
      <c r="J753" s="19"/>
      <c r="K753" s="19"/>
      <c r="L753" s="19"/>
      <c r="M753" s="19"/>
      <c r="N753" s="20" t="s">
        <v>39</v>
      </c>
      <c r="O753" s="19"/>
      <c r="P753" s="19"/>
      <c r="Q753" s="19"/>
      <c r="R753" s="19"/>
      <c r="S753" s="19"/>
      <c r="T753" s="19"/>
      <c r="U753" s="19"/>
      <c r="V753" s="19"/>
    </row>
    <row r="754">
      <c r="A754" s="25"/>
      <c r="B754" s="19"/>
      <c r="C754" s="19"/>
      <c r="D754" s="19"/>
      <c r="E754" s="19"/>
      <c r="F754" s="17" t="str">
        <f>IFERROR(__xludf.DUMMYFUNCTION("""COMPUTED_VALUE"""),"")</f>
        <v/>
      </c>
      <c r="G754" s="20"/>
      <c r="H754" s="19"/>
      <c r="I754" s="19"/>
      <c r="J754" s="19"/>
      <c r="K754" s="19"/>
      <c r="L754" s="19"/>
      <c r="M754" s="19"/>
      <c r="N754" s="20" t="s">
        <v>39</v>
      </c>
      <c r="O754" s="19"/>
      <c r="P754" s="19"/>
      <c r="Q754" s="19"/>
      <c r="R754" s="19"/>
      <c r="S754" s="19"/>
      <c r="T754" s="19"/>
      <c r="U754" s="19"/>
      <c r="V754" s="19"/>
    </row>
    <row r="755">
      <c r="A755" s="25"/>
      <c r="B755" s="19"/>
      <c r="C755" s="19"/>
      <c r="D755" s="19"/>
      <c r="E755" s="19"/>
      <c r="F755" s="17" t="str">
        <f>IFERROR(__xludf.DUMMYFUNCTION("""COMPUTED_VALUE"""),"")</f>
        <v/>
      </c>
      <c r="G755" s="20"/>
      <c r="H755" s="19"/>
      <c r="I755" s="19"/>
      <c r="J755" s="19"/>
      <c r="K755" s="19"/>
      <c r="L755" s="19"/>
      <c r="M755" s="19"/>
      <c r="N755" s="20" t="s">
        <v>39</v>
      </c>
      <c r="O755" s="19"/>
      <c r="P755" s="19"/>
      <c r="Q755" s="19"/>
      <c r="R755" s="19"/>
      <c r="S755" s="19"/>
      <c r="T755" s="19"/>
      <c r="U755" s="19"/>
      <c r="V755" s="19"/>
    </row>
    <row r="756">
      <c r="A756" s="25"/>
      <c r="B756" s="19"/>
      <c r="C756" s="19"/>
      <c r="D756" s="19"/>
      <c r="E756" s="19"/>
      <c r="F756" s="17" t="str">
        <f>IFERROR(__xludf.DUMMYFUNCTION("""COMPUTED_VALUE"""),"")</f>
        <v/>
      </c>
      <c r="G756" s="20"/>
      <c r="H756" s="19"/>
      <c r="I756" s="19"/>
      <c r="J756" s="19"/>
      <c r="K756" s="19"/>
      <c r="L756" s="19"/>
      <c r="M756" s="19"/>
      <c r="N756" s="20" t="s">
        <v>39</v>
      </c>
      <c r="O756" s="19"/>
      <c r="P756" s="19"/>
      <c r="Q756" s="19"/>
      <c r="R756" s="19"/>
      <c r="S756" s="19"/>
      <c r="T756" s="19"/>
      <c r="U756" s="19"/>
      <c r="V756" s="19"/>
    </row>
    <row r="757">
      <c r="A757" s="25"/>
      <c r="B757" s="19"/>
      <c r="C757" s="19"/>
      <c r="D757" s="19"/>
      <c r="E757" s="19"/>
      <c r="F757" s="17" t="str">
        <f>IFERROR(__xludf.DUMMYFUNCTION("""COMPUTED_VALUE"""),"")</f>
        <v/>
      </c>
      <c r="G757" s="20"/>
      <c r="H757" s="19"/>
      <c r="I757" s="19"/>
      <c r="J757" s="19"/>
      <c r="K757" s="19"/>
      <c r="L757" s="19"/>
      <c r="M757" s="19"/>
      <c r="N757" s="20" t="s">
        <v>39</v>
      </c>
      <c r="O757" s="19"/>
      <c r="P757" s="19"/>
      <c r="Q757" s="19"/>
      <c r="R757" s="19"/>
      <c r="S757" s="19"/>
      <c r="T757" s="19"/>
      <c r="U757" s="19"/>
      <c r="V757" s="19"/>
    </row>
    <row r="758">
      <c r="A758" s="25"/>
      <c r="B758" s="19"/>
      <c r="C758" s="19"/>
      <c r="D758" s="19"/>
      <c r="E758" s="19"/>
      <c r="F758" s="17" t="str">
        <f>IFERROR(__xludf.DUMMYFUNCTION("""COMPUTED_VALUE"""),"")</f>
        <v/>
      </c>
      <c r="G758" s="20"/>
      <c r="H758" s="19"/>
      <c r="I758" s="19"/>
      <c r="J758" s="19"/>
      <c r="K758" s="19"/>
      <c r="L758" s="19"/>
      <c r="M758" s="19"/>
      <c r="N758" s="20" t="s">
        <v>39</v>
      </c>
      <c r="O758" s="19"/>
      <c r="P758" s="19"/>
      <c r="Q758" s="19"/>
      <c r="R758" s="19"/>
      <c r="S758" s="19"/>
      <c r="T758" s="19"/>
      <c r="U758" s="19"/>
      <c r="V758" s="19"/>
    </row>
    <row r="759">
      <c r="A759" s="25"/>
      <c r="B759" s="19"/>
      <c r="C759" s="19"/>
      <c r="D759" s="19"/>
      <c r="E759" s="19"/>
      <c r="F759" s="17" t="str">
        <f>IFERROR(__xludf.DUMMYFUNCTION("""COMPUTED_VALUE"""),"")</f>
        <v/>
      </c>
      <c r="G759" s="20"/>
      <c r="H759" s="19"/>
      <c r="I759" s="19"/>
      <c r="J759" s="19"/>
      <c r="K759" s="19"/>
      <c r="L759" s="19"/>
      <c r="M759" s="19"/>
      <c r="N759" s="20" t="s">
        <v>39</v>
      </c>
      <c r="O759" s="19"/>
      <c r="P759" s="19"/>
      <c r="Q759" s="19"/>
      <c r="R759" s="19"/>
      <c r="S759" s="19"/>
      <c r="T759" s="19"/>
      <c r="U759" s="19"/>
      <c r="V759" s="19"/>
    </row>
    <row r="760">
      <c r="A760" s="25"/>
      <c r="B760" s="19"/>
      <c r="C760" s="19"/>
      <c r="D760" s="19"/>
      <c r="E760" s="19"/>
      <c r="F760" s="17" t="str">
        <f>IFERROR(__xludf.DUMMYFUNCTION("""COMPUTED_VALUE"""),"")</f>
        <v/>
      </c>
      <c r="G760" s="20"/>
      <c r="H760" s="19"/>
      <c r="I760" s="19"/>
      <c r="J760" s="19"/>
      <c r="K760" s="19"/>
      <c r="L760" s="19"/>
      <c r="M760" s="19"/>
      <c r="N760" s="20" t="s">
        <v>39</v>
      </c>
      <c r="O760" s="19"/>
      <c r="P760" s="19"/>
      <c r="Q760" s="19"/>
      <c r="R760" s="19"/>
      <c r="S760" s="19"/>
      <c r="T760" s="19"/>
      <c r="U760" s="19"/>
      <c r="V760" s="19"/>
    </row>
    <row r="761">
      <c r="A761" s="25"/>
      <c r="B761" s="19"/>
      <c r="C761" s="19"/>
      <c r="D761" s="19"/>
      <c r="E761" s="19"/>
      <c r="F761" s="17" t="str">
        <f>IFERROR(__xludf.DUMMYFUNCTION("""COMPUTED_VALUE"""),"")</f>
        <v/>
      </c>
      <c r="G761" s="20"/>
      <c r="H761" s="19"/>
      <c r="I761" s="19"/>
      <c r="J761" s="19"/>
      <c r="K761" s="19"/>
      <c r="L761" s="19"/>
      <c r="M761" s="19"/>
      <c r="N761" s="20" t="s">
        <v>39</v>
      </c>
      <c r="O761" s="19"/>
      <c r="P761" s="19"/>
      <c r="Q761" s="19"/>
      <c r="R761" s="19"/>
      <c r="S761" s="19"/>
      <c r="T761" s="19"/>
      <c r="U761" s="19"/>
      <c r="V761" s="19"/>
    </row>
    <row r="762">
      <c r="A762" s="25"/>
      <c r="B762" s="19"/>
      <c r="C762" s="19"/>
      <c r="D762" s="19"/>
      <c r="E762" s="19"/>
      <c r="F762" s="17" t="str">
        <f>IFERROR(__xludf.DUMMYFUNCTION("""COMPUTED_VALUE"""),"")</f>
        <v/>
      </c>
      <c r="G762" s="20"/>
      <c r="H762" s="19"/>
      <c r="I762" s="19"/>
      <c r="J762" s="19"/>
      <c r="K762" s="19"/>
      <c r="L762" s="19"/>
      <c r="M762" s="19"/>
      <c r="N762" s="20" t="s">
        <v>39</v>
      </c>
      <c r="O762" s="19"/>
      <c r="P762" s="19"/>
      <c r="Q762" s="19"/>
      <c r="R762" s="19"/>
      <c r="S762" s="19"/>
      <c r="T762" s="19"/>
      <c r="U762" s="19"/>
      <c r="V762" s="19"/>
    </row>
    <row r="763">
      <c r="A763" s="25"/>
      <c r="B763" s="19"/>
      <c r="C763" s="19"/>
      <c r="D763" s="19"/>
      <c r="E763" s="19"/>
      <c r="F763" s="17" t="str">
        <f>IFERROR(__xludf.DUMMYFUNCTION("""COMPUTED_VALUE"""),"")</f>
        <v/>
      </c>
      <c r="G763" s="20"/>
      <c r="H763" s="19"/>
      <c r="I763" s="19"/>
      <c r="J763" s="19"/>
      <c r="K763" s="19"/>
      <c r="L763" s="19"/>
      <c r="M763" s="19"/>
      <c r="N763" s="20" t="s">
        <v>39</v>
      </c>
      <c r="O763" s="19"/>
      <c r="P763" s="19"/>
      <c r="Q763" s="19"/>
      <c r="R763" s="19"/>
      <c r="S763" s="19"/>
      <c r="T763" s="19"/>
      <c r="U763" s="19"/>
      <c r="V763" s="19"/>
    </row>
    <row r="764">
      <c r="A764" s="25"/>
      <c r="B764" s="19"/>
      <c r="C764" s="19"/>
      <c r="D764" s="19"/>
      <c r="E764" s="19"/>
      <c r="F764" s="17" t="str">
        <f>IFERROR(__xludf.DUMMYFUNCTION("""COMPUTED_VALUE"""),"")</f>
        <v/>
      </c>
      <c r="G764" s="20"/>
      <c r="H764" s="19"/>
      <c r="I764" s="19"/>
      <c r="J764" s="19"/>
      <c r="K764" s="19"/>
      <c r="L764" s="19"/>
      <c r="M764" s="19"/>
      <c r="N764" s="20" t="s">
        <v>39</v>
      </c>
      <c r="O764" s="19"/>
      <c r="P764" s="19"/>
      <c r="Q764" s="19"/>
      <c r="R764" s="19"/>
      <c r="S764" s="19"/>
      <c r="T764" s="19"/>
      <c r="U764" s="19"/>
      <c r="V764" s="19"/>
    </row>
    <row r="765">
      <c r="A765" s="25"/>
      <c r="B765" s="19"/>
      <c r="C765" s="19"/>
      <c r="D765" s="19"/>
      <c r="E765" s="19"/>
      <c r="F765" s="17" t="str">
        <f>IFERROR(__xludf.DUMMYFUNCTION("""COMPUTED_VALUE"""),"")</f>
        <v/>
      </c>
      <c r="G765" s="20"/>
      <c r="H765" s="19"/>
      <c r="I765" s="19"/>
      <c r="J765" s="19"/>
      <c r="K765" s="19"/>
      <c r="L765" s="19"/>
      <c r="M765" s="19"/>
      <c r="N765" s="20" t="s">
        <v>39</v>
      </c>
      <c r="O765" s="19"/>
      <c r="P765" s="19"/>
      <c r="Q765" s="19"/>
      <c r="R765" s="19"/>
      <c r="S765" s="19"/>
      <c r="T765" s="19"/>
      <c r="U765" s="19"/>
      <c r="V765" s="19"/>
    </row>
    <row r="766">
      <c r="A766" s="25"/>
      <c r="B766" s="19"/>
      <c r="C766" s="19"/>
      <c r="D766" s="19"/>
      <c r="E766" s="19"/>
      <c r="F766" s="17" t="str">
        <f>IFERROR(__xludf.DUMMYFUNCTION("""COMPUTED_VALUE"""),"")</f>
        <v/>
      </c>
      <c r="G766" s="20"/>
      <c r="H766" s="19"/>
      <c r="I766" s="19"/>
      <c r="J766" s="19"/>
      <c r="K766" s="19"/>
      <c r="L766" s="19"/>
      <c r="M766" s="19"/>
      <c r="N766" s="20" t="s">
        <v>39</v>
      </c>
      <c r="O766" s="19"/>
      <c r="P766" s="19"/>
      <c r="Q766" s="19"/>
      <c r="R766" s="19"/>
      <c r="S766" s="19"/>
      <c r="T766" s="19"/>
      <c r="U766" s="19"/>
      <c r="V766" s="19"/>
    </row>
    <row r="767">
      <c r="A767" s="25"/>
      <c r="B767" s="19"/>
      <c r="C767" s="19"/>
      <c r="D767" s="19"/>
      <c r="E767" s="19"/>
      <c r="F767" s="17" t="str">
        <f>IFERROR(__xludf.DUMMYFUNCTION("""COMPUTED_VALUE"""),"")</f>
        <v/>
      </c>
      <c r="G767" s="20"/>
      <c r="H767" s="19"/>
      <c r="I767" s="19"/>
      <c r="J767" s="19"/>
      <c r="K767" s="19"/>
      <c r="L767" s="19"/>
      <c r="M767" s="19"/>
      <c r="N767" s="20" t="s">
        <v>39</v>
      </c>
      <c r="O767" s="19"/>
      <c r="P767" s="19"/>
      <c r="Q767" s="19"/>
      <c r="R767" s="19"/>
      <c r="S767" s="19"/>
      <c r="T767" s="19"/>
      <c r="U767" s="19"/>
      <c r="V767" s="19"/>
    </row>
    <row r="768">
      <c r="A768" s="25"/>
      <c r="B768" s="19"/>
      <c r="C768" s="19"/>
      <c r="D768" s="19"/>
      <c r="E768" s="19"/>
      <c r="F768" s="17" t="str">
        <f>IFERROR(__xludf.DUMMYFUNCTION("""COMPUTED_VALUE"""),"")</f>
        <v/>
      </c>
      <c r="G768" s="20"/>
      <c r="H768" s="19"/>
      <c r="I768" s="19"/>
      <c r="J768" s="19"/>
      <c r="K768" s="19"/>
      <c r="L768" s="19"/>
      <c r="M768" s="19"/>
      <c r="N768" s="20" t="s">
        <v>39</v>
      </c>
      <c r="O768" s="19"/>
      <c r="P768" s="19"/>
      <c r="Q768" s="19"/>
      <c r="R768" s="19"/>
      <c r="S768" s="19"/>
      <c r="T768" s="19"/>
      <c r="U768" s="19"/>
      <c r="V768" s="19"/>
    </row>
    <row r="769">
      <c r="A769" s="25"/>
      <c r="B769" s="19"/>
      <c r="C769" s="19"/>
      <c r="D769" s="19"/>
      <c r="E769" s="19"/>
      <c r="F769" s="17" t="str">
        <f>IFERROR(__xludf.DUMMYFUNCTION("""COMPUTED_VALUE"""),"")</f>
        <v/>
      </c>
      <c r="G769" s="20"/>
      <c r="H769" s="19"/>
      <c r="I769" s="19"/>
      <c r="J769" s="19"/>
      <c r="K769" s="19"/>
      <c r="L769" s="19"/>
      <c r="M769" s="19"/>
      <c r="N769" s="20" t="s">
        <v>39</v>
      </c>
      <c r="O769" s="19"/>
      <c r="P769" s="19"/>
      <c r="Q769" s="19"/>
      <c r="R769" s="19"/>
      <c r="S769" s="19"/>
      <c r="T769" s="19"/>
      <c r="U769" s="19"/>
      <c r="V769" s="19"/>
    </row>
    <row r="770">
      <c r="A770" s="25"/>
      <c r="B770" s="19"/>
      <c r="C770" s="19"/>
      <c r="D770" s="19"/>
      <c r="E770" s="19"/>
      <c r="F770" s="17" t="str">
        <f>IFERROR(__xludf.DUMMYFUNCTION("""COMPUTED_VALUE"""),"")</f>
        <v/>
      </c>
      <c r="G770" s="20"/>
      <c r="H770" s="19"/>
      <c r="I770" s="19"/>
      <c r="J770" s="19"/>
      <c r="K770" s="19"/>
      <c r="L770" s="19"/>
      <c r="M770" s="19"/>
      <c r="N770" s="20" t="s">
        <v>39</v>
      </c>
      <c r="O770" s="19"/>
      <c r="P770" s="19"/>
      <c r="Q770" s="19"/>
      <c r="R770" s="19"/>
      <c r="S770" s="19"/>
      <c r="T770" s="19"/>
      <c r="U770" s="19"/>
      <c r="V770" s="19"/>
    </row>
    <row r="771">
      <c r="A771" s="25"/>
      <c r="B771" s="19"/>
      <c r="C771" s="19"/>
      <c r="D771" s="19"/>
      <c r="E771" s="19"/>
      <c r="F771" s="17" t="str">
        <f>IFERROR(__xludf.DUMMYFUNCTION("""COMPUTED_VALUE"""),"")</f>
        <v/>
      </c>
      <c r="G771" s="20"/>
      <c r="H771" s="19"/>
      <c r="I771" s="19"/>
      <c r="J771" s="19"/>
      <c r="K771" s="19"/>
      <c r="L771" s="19"/>
      <c r="M771" s="19"/>
      <c r="N771" s="20" t="s">
        <v>39</v>
      </c>
      <c r="O771" s="19"/>
      <c r="P771" s="19"/>
      <c r="Q771" s="19"/>
      <c r="R771" s="19"/>
      <c r="S771" s="19"/>
      <c r="T771" s="19"/>
      <c r="U771" s="19"/>
      <c r="V771" s="19"/>
    </row>
    <row r="772">
      <c r="A772" s="25"/>
      <c r="B772" s="19"/>
      <c r="C772" s="19"/>
      <c r="D772" s="19"/>
      <c r="E772" s="19"/>
      <c r="F772" s="17" t="str">
        <f>IFERROR(__xludf.DUMMYFUNCTION("""COMPUTED_VALUE"""),"")</f>
        <v/>
      </c>
      <c r="G772" s="20"/>
      <c r="H772" s="19"/>
      <c r="I772" s="19"/>
      <c r="J772" s="19"/>
      <c r="K772" s="19"/>
      <c r="L772" s="19"/>
      <c r="M772" s="19"/>
      <c r="N772" s="20" t="s">
        <v>39</v>
      </c>
      <c r="O772" s="19"/>
      <c r="P772" s="19"/>
      <c r="Q772" s="19"/>
      <c r="R772" s="19"/>
      <c r="S772" s="19"/>
      <c r="T772" s="19"/>
      <c r="U772" s="19"/>
      <c r="V772" s="19"/>
    </row>
    <row r="773">
      <c r="A773" s="25"/>
      <c r="B773" s="19"/>
      <c r="C773" s="19"/>
      <c r="D773" s="19"/>
      <c r="E773" s="19"/>
      <c r="F773" s="17" t="str">
        <f>IFERROR(__xludf.DUMMYFUNCTION("""COMPUTED_VALUE"""),"")</f>
        <v/>
      </c>
      <c r="G773" s="20"/>
      <c r="H773" s="19"/>
      <c r="I773" s="19"/>
      <c r="J773" s="19"/>
      <c r="K773" s="19"/>
      <c r="L773" s="19"/>
      <c r="M773" s="19"/>
      <c r="N773" s="20" t="s">
        <v>39</v>
      </c>
      <c r="O773" s="19"/>
      <c r="P773" s="19"/>
      <c r="Q773" s="19"/>
      <c r="R773" s="19"/>
      <c r="S773" s="19"/>
      <c r="T773" s="19"/>
      <c r="U773" s="19"/>
      <c r="V773" s="19"/>
    </row>
    <row r="774">
      <c r="A774" s="25"/>
      <c r="B774" s="19"/>
      <c r="C774" s="19"/>
      <c r="D774" s="19"/>
      <c r="E774" s="19"/>
      <c r="F774" s="17" t="str">
        <f>IFERROR(__xludf.DUMMYFUNCTION("""COMPUTED_VALUE"""),"")</f>
        <v/>
      </c>
      <c r="G774" s="20"/>
      <c r="H774" s="19"/>
      <c r="I774" s="19"/>
      <c r="J774" s="19"/>
      <c r="K774" s="19"/>
      <c r="L774" s="19"/>
      <c r="M774" s="19"/>
      <c r="N774" s="20" t="s">
        <v>39</v>
      </c>
      <c r="O774" s="19"/>
      <c r="P774" s="19"/>
      <c r="Q774" s="19"/>
      <c r="R774" s="19"/>
      <c r="S774" s="19"/>
      <c r="T774" s="19"/>
      <c r="U774" s="19"/>
      <c r="V774" s="19"/>
    </row>
    <row r="775">
      <c r="A775" s="25"/>
      <c r="B775" s="19"/>
      <c r="C775" s="19"/>
      <c r="D775" s="19"/>
      <c r="E775" s="19"/>
      <c r="F775" s="17" t="str">
        <f>IFERROR(__xludf.DUMMYFUNCTION("""COMPUTED_VALUE"""),"")</f>
        <v/>
      </c>
      <c r="G775" s="20"/>
      <c r="H775" s="19"/>
      <c r="I775" s="19"/>
      <c r="J775" s="19"/>
      <c r="K775" s="19"/>
      <c r="L775" s="19"/>
      <c r="M775" s="19"/>
      <c r="N775" s="20" t="s">
        <v>39</v>
      </c>
      <c r="O775" s="19"/>
      <c r="P775" s="19"/>
      <c r="Q775" s="19"/>
      <c r="R775" s="19"/>
      <c r="S775" s="19"/>
      <c r="T775" s="19"/>
      <c r="U775" s="19"/>
      <c r="V775" s="19"/>
    </row>
    <row r="776">
      <c r="A776" s="25"/>
      <c r="B776" s="19"/>
      <c r="C776" s="19"/>
      <c r="D776" s="19"/>
      <c r="E776" s="19"/>
      <c r="F776" s="17" t="str">
        <f>IFERROR(__xludf.DUMMYFUNCTION("""COMPUTED_VALUE"""),"")</f>
        <v/>
      </c>
      <c r="G776" s="20"/>
      <c r="H776" s="19"/>
      <c r="I776" s="19"/>
      <c r="J776" s="19"/>
      <c r="K776" s="19"/>
      <c r="L776" s="19"/>
      <c r="M776" s="19"/>
      <c r="N776" s="20" t="s">
        <v>39</v>
      </c>
      <c r="O776" s="19"/>
      <c r="P776" s="19"/>
      <c r="Q776" s="19"/>
      <c r="R776" s="19"/>
      <c r="S776" s="19"/>
      <c r="T776" s="19"/>
      <c r="U776" s="19"/>
      <c r="V776" s="19"/>
    </row>
    <row r="777">
      <c r="A777" s="25"/>
      <c r="B777" s="19"/>
      <c r="C777" s="19"/>
      <c r="D777" s="19"/>
      <c r="E777" s="19"/>
      <c r="F777" s="17" t="str">
        <f>IFERROR(__xludf.DUMMYFUNCTION("""COMPUTED_VALUE"""),"")</f>
        <v/>
      </c>
      <c r="G777" s="20"/>
      <c r="H777" s="19"/>
      <c r="I777" s="19"/>
      <c r="J777" s="19"/>
      <c r="K777" s="19"/>
      <c r="L777" s="19"/>
      <c r="M777" s="19"/>
      <c r="N777" s="20" t="s">
        <v>39</v>
      </c>
      <c r="O777" s="19"/>
      <c r="P777" s="19"/>
      <c r="Q777" s="19"/>
      <c r="R777" s="19"/>
      <c r="S777" s="19"/>
      <c r="T777" s="19"/>
      <c r="U777" s="19"/>
      <c r="V777" s="19"/>
    </row>
    <row r="778">
      <c r="A778" s="25"/>
      <c r="B778" s="19"/>
      <c r="C778" s="19"/>
      <c r="D778" s="19"/>
      <c r="E778" s="19"/>
      <c r="F778" s="17" t="str">
        <f>IFERROR(__xludf.DUMMYFUNCTION("""COMPUTED_VALUE"""),"")</f>
        <v/>
      </c>
      <c r="G778" s="20"/>
      <c r="H778" s="19"/>
      <c r="I778" s="19"/>
      <c r="J778" s="19"/>
      <c r="K778" s="19"/>
      <c r="L778" s="19"/>
      <c r="M778" s="19"/>
      <c r="N778" s="20" t="s">
        <v>39</v>
      </c>
      <c r="O778" s="19"/>
      <c r="P778" s="19"/>
      <c r="Q778" s="19"/>
      <c r="R778" s="19"/>
      <c r="S778" s="19"/>
      <c r="T778" s="19"/>
      <c r="U778" s="19"/>
      <c r="V778" s="19"/>
    </row>
    <row r="779">
      <c r="A779" s="25"/>
      <c r="B779" s="19"/>
      <c r="C779" s="19"/>
      <c r="D779" s="19"/>
      <c r="E779" s="19"/>
      <c r="F779" s="17" t="str">
        <f>IFERROR(__xludf.DUMMYFUNCTION("""COMPUTED_VALUE"""),"")</f>
        <v/>
      </c>
      <c r="G779" s="20"/>
      <c r="H779" s="19"/>
      <c r="I779" s="19"/>
      <c r="J779" s="19"/>
      <c r="K779" s="19"/>
      <c r="L779" s="19"/>
      <c r="M779" s="19"/>
      <c r="N779" s="20" t="s">
        <v>39</v>
      </c>
      <c r="O779" s="19"/>
      <c r="P779" s="19"/>
      <c r="Q779" s="19"/>
      <c r="R779" s="19"/>
      <c r="S779" s="19"/>
      <c r="T779" s="19"/>
      <c r="U779" s="19"/>
      <c r="V779" s="19"/>
    </row>
    <row r="780">
      <c r="A780" s="25"/>
      <c r="B780" s="19"/>
      <c r="C780" s="19"/>
      <c r="D780" s="19"/>
      <c r="E780" s="19"/>
      <c r="F780" s="17" t="str">
        <f>IFERROR(__xludf.DUMMYFUNCTION("""COMPUTED_VALUE"""),"")</f>
        <v/>
      </c>
      <c r="G780" s="20"/>
      <c r="H780" s="19"/>
      <c r="I780" s="19"/>
      <c r="J780" s="19"/>
      <c r="K780" s="19"/>
      <c r="L780" s="19"/>
      <c r="M780" s="19"/>
      <c r="N780" s="20" t="s">
        <v>39</v>
      </c>
      <c r="O780" s="19"/>
      <c r="P780" s="19"/>
      <c r="Q780" s="19"/>
      <c r="R780" s="19"/>
      <c r="S780" s="19"/>
      <c r="T780" s="19"/>
      <c r="U780" s="19"/>
      <c r="V780" s="19"/>
    </row>
    <row r="781">
      <c r="A781" s="25"/>
      <c r="B781" s="19"/>
      <c r="C781" s="19"/>
      <c r="D781" s="19"/>
      <c r="E781" s="19"/>
      <c r="F781" s="17" t="str">
        <f>IFERROR(__xludf.DUMMYFUNCTION("""COMPUTED_VALUE"""),"")</f>
        <v/>
      </c>
      <c r="G781" s="20"/>
      <c r="H781" s="19"/>
      <c r="I781" s="19"/>
      <c r="J781" s="19"/>
      <c r="K781" s="19"/>
      <c r="L781" s="19"/>
      <c r="M781" s="19"/>
      <c r="N781" s="20" t="s">
        <v>39</v>
      </c>
      <c r="O781" s="19"/>
      <c r="P781" s="19"/>
      <c r="Q781" s="19"/>
      <c r="R781" s="19"/>
      <c r="S781" s="19"/>
      <c r="T781" s="19"/>
      <c r="U781" s="19"/>
      <c r="V781" s="19"/>
    </row>
    <row r="782">
      <c r="A782" s="25"/>
      <c r="B782" s="19"/>
      <c r="C782" s="19"/>
      <c r="D782" s="19"/>
      <c r="E782" s="19"/>
      <c r="F782" s="17" t="str">
        <f>IFERROR(__xludf.DUMMYFUNCTION("""COMPUTED_VALUE"""),"")</f>
        <v/>
      </c>
      <c r="G782" s="20"/>
      <c r="H782" s="19"/>
      <c r="I782" s="19"/>
      <c r="J782" s="19"/>
      <c r="K782" s="19"/>
      <c r="L782" s="19"/>
      <c r="M782" s="19"/>
      <c r="N782" s="20" t="s">
        <v>39</v>
      </c>
      <c r="O782" s="19"/>
      <c r="P782" s="19"/>
      <c r="Q782" s="19"/>
      <c r="R782" s="19"/>
      <c r="S782" s="19"/>
      <c r="T782" s="19"/>
      <c r="U782" s="19"/>
      <c r="V782" s="19"/>
    </row>
    <row r="783">
      <c r="A783" s="25"/>
      <c r="B783" s="19"/>
      <c r="C783" s="19"/>
      <c r="D783" s="19"/>
      <c r="E783" s="19"/>
      <c r="F783" s="17" t="str">
        <f>IFERROR(__xludf.DUMMYFUNCTION("""COMPUTED_VALUE"""),"")</f>
        <v/>
      </c>
      <c r="G783" s="20"/>
      <c r="H783" s="19"/>
      <c r="I783" s="19"/>
      <c r="J783" s="19"/>
      <c r="K783" s="19"/>
      <c r="L783" s="19"/>
      <c r="M783" s="19"/>
      <c r="N783" s="20" t="s">
        <v>39</v>
      </c>
      <c r="O783" s="19"/>
      <c r="P783" s="19"/>
      <c r="Q783" s="19"/>
      <c r="R783" s="19"/>
      <c r="S783" s="19"/>
      <c r="T783" s="19"/>
      <c r="U783" s="19"/>
      <c r="V783" s="19"/>
    </row>
    <row r="784">
      <c r="A784" s="25"/>
      <c r="B784" s="19"/>
      <c r="C784" s="19"/>
      <c r="D784" s="19"/>
      <c r="E784" s="19"/>
      <c r="F784" s="17" t="str">
        <f>IFERROR(__xludf.DUMMYFUNCTION("""COMPUTED_VALUE"""),"")</f>
        <v/>
      </c>
      <c r="G784" s="20"/>
      <c r="H784" s="19"/>
      <c r="I784" s="19"/>
      <c r="J784" s="19"/>
      <c r="K784" s="19"/>
      <c r="L784" s="19"/>
      <c r="M784" s="19"/>
      <c r="N784" s="20" t="s">
        <v>39</v>
      </c>
      <c r="O784" s="19"/>
      <c r="P784" s="19"/>
      <c r="Q784" s="19"/>
      <c r="R784" s="19"/>
      <c r="S784" s="19"/>
      <c r="T784" s="19"/>
      <c r="U784" s="19"/>
      <c r="V784" s="19"/>
    </row>
    <row r="785">
      <c r="A785" s="25"/>
      <c r="B785" s="19"/>
      <c r="C785" s="19"/>
      <c r="D785" s="19"/>
      <c r="E785" s="19"/>
      <c r="F785" s="17" t="str">
        <f>IFERROR(__xludf.DUMMYFUNCTION("""COMPUTED_VALUE"""),"")</f>
        <v/>
      </c>
      <c r="G785" s="20"/>
      <c r="H785" s="19"/>
      <c r="I785" s="19"/>
      <c r="J785" s="19"/>
      <c r="K785" s="19"/>
      <c r="L785" s="19"/>
      <c r="M785" s="19"/>
      <c r="N785" s="20" t="s">
        <v>39</v>
      </c>
      <c r="O785" s="19"/>
      <c r="P785" s="19"/>
      <c r="Q785" s="19"/>
      <c r="R785" s="19"/>
      <c r="S785" s="19"/>
      <c r="T785" s="19"/>
      <c r="U785" s="19"/>
      <c r="V785" s="19"/>
    </row>
    <row r="786">
      <c r="A786" s="25"/>
      <c r="B786" s="19"/>
      <c r="C786" s="19"/>
      <c r="D786" s="19"/>
      <c r="E786" s="19"/>
      <c r="F786" s="17" t="str">
        <f>IFERROR(__xludf.DUMMYFUNCTION("""COMPUTED_VALUE"""),"")</f>
        <v/>
      </c>
      <c r="G786" s="20"/>
      <c r="H786" s="19"/>
      <c r="I786" s="19"/>
      <c r="J786" s="19"/>
      <c r="K786" s="19"/>
      <c r="L786" s="19"/>
      <c r="M786" s="19"/>
      <c r="N786" s="20" t="s">
        <v>39</v>
      </c>
      <c r="O786" s="19"/>
      <c r="P786" s="19"/>
      <c r="Q786" s="19"/>
      <c r="R786" s="19"/>
      <c r="S786" s="19"/>
      <c r="T786" s="19"/>
      <c r="U786" s="19"/>
      <c r="V786" s="19"/>
    </row>
    <row r="787">
      <c r="A787" s="25"/>
      <c r="B787" s="19"/>
      <c r="C787" s="19"/>
      <c r="D787" s="19"/>
      <c r="E787" s="19"/>
      <c r="F787" s="17" t="str">
        <f>IFERROR(__xludf.DUMMYFUNCTION("""COMPUTED_VALUE"""),"")</f>
        <v/>
      </c>
      <c r="G787" s="20"/>
      <c r="H787" s="19"/>
      <c r="I787" s="19"/>
      <c r="J787" s="19"/>
      <c r="K787" s="19"/>
      <c r="L787" s="19"/>
      <c r="M787" s="19"/>
      <c r="N787" s="20" t="s">
        <v>39</v>
      </c>
      <c r="O787" s="19"/>
      <c r="P787" s="19"/>
      <c r="Q787" s="19"/>
      <c r="R787" s="19"/>
      <c r="S787" s="19"/>
      <c r="T787" s="19"/>
      <c r="U787" s="19"/>
      <c r="V787" s="19"/>
    </row>
    <row r="788">
      <c r="A788" s="25"/>
      <c r="B788" s="19"/>
      <c r="C788" s="19"/>
      <c r="D788" s="19"/>
      <c r="E788" s="19"/>
      <c r="F788" s="17" t="str">
        <f>IFERROR(__xludf.DUMMYFUNCTION("""COMPUTED_VALUE"""),"")</f>
        <v/>
      </c>
      <c r="G788" s="20"/>
      <c r="H788" s="19"/>
      <c r="I788" s="19"/>
      <c r="J788" s="19"/>
      <c r="K788" s="19"/>
      <c r="L788" s="19"/>
      <c r="M788" s="19"/>
      <c r="N788" s="20" t="s">
        <v>39</v>
      </c>
      <c r="O788" s="19"/>
      <c r="P788" s="19"/>
      <c r="Q788" s="19"/>
      <c r="R788" s="19"/>
      <c r="S788" s="19"/>
      <c r="T788" s="19"/>
      <c r="U788" s="19"/>
      <c r="V788" s="19"/>
    </row>
    <row r="789">
      <c r="A789" s="25"/>
      <c r="B789" s="19"/>
      <c r="C789" s="19"/>
      <c r="D789" s="19"/>
      <c r="E789" s="19"/>
      <c r="F789" s="17" t="str">
        <f>IFERROR(__xludf.DUMMYFUNCTION("""COMPUTED_VALUE"""),"")</f>
        <v/>
      </c>
      <c r="G789" s="20"/>
      <c r="H789" s="19"/>
      <c r="I789" s="19"/>
      <c r="J789" s="19"/>
      <c r="K789" s="19"/>
      <c r="L789" s="19"/>
      <c r="M789" s="19"/>
      <c r="N789" s="20" t="s">
        <v>39</v>
      </c>
      <c r="O789" s="19"/>
      <c r="P789" s="19"/>
      <c r="Q789" s="19"/>
      <c r="R789" s="19"/>
      <c r="S789" s="19"/>
      <c r="T789" s="19"/>
      <c r="U789" s="19"/>
      <c r="V789" s="19"/>
    </row>
    <row r="790">
      <c r="A790" s="25"/>
      <c r="B790" s="19"/>
      <c r="C790" s="19"/>
      <c r="D790" s="19"/>
      <c r="E790" s="19"/>
      <c r="F790" s="17" t="str">
        <f>IFERROR(__xludf.DUMMYFUNCTION("""COMPUTED_VALUE"""),"")</f>
        <v/>
      </c>
      <c r="G790" s="20"/>
      <c r="H790" s="19"/>
      <c r="I790" s="19"/>
      <c r="J790" s="19"/>
      <c r="K790" s="19"/>
      <c r="L790" s="19"/>
      <c r="M790" s="19"/>
      <c r="N790" s="20" t="s">
        <v>39</v>
      </c>
      <c r="O790" s="19"/>
      <c r="P790" s="19"/>
      <c r="Q790" s="19"/>
      <c r="R790" s="19"/>
      <c r="S790" s="19"/>
      <c r="T790" s="19"/>
      <c r="U790" s="19"/>
      <c r="V790" s="19"/>
    </row>
    <row r="791">
      <c r="A791" s="25"/>
      <c r="B791" s="19"/>
      <c r="C791" s="19"/>
      <c r="D791" s="19"/>
      <c r="E791" s="19"/>
      <c r="F791" s="17" t="str">
        <f>IFERROR(__xludf.DUMMYFUNCTION("""COMPUTED_VALUE"""),"")</f>
        <v/>
      </c>
      <c r="G791" s="20"/>
      <c r="H791" s="19"/>
      <c r="I791" s="19"/>
      <c r="J791" s="19"/>
      <c r="K791" s="19"/>
      <c r="L791" s="19"/>
      <c r="M791" s="19"/>
      <c r="N791" s="20" t="s">
        <v>39</v>
      </c>
      <c r="O791" s="19"/>
      <c r="P791" s="19"/>
      <c r="Q791" s="19"/>
      <c r="R791" s="19"/>
      <c r="S791" s="19"/>
      <c r="T791" s="19"/>
      <c r="U791" s="19"/>
      <c r="V791" s="19"/>
    </row>
    <row r="792">
      <c r="A792" s="25"/>
      <c r="B792" s="19"/>
      <c r="C792" s="19"/>
      <c r="D792" s="19"/>
      <c r="E792" s="19"/>
      <c r="F792" s="17" t="str">
        <f>IFERROR(__xludf.DUMMYFUNCTION("""COMPUTED_VALUE"""),"")</f>
        <v/>
      </c>
      <c r="G792" s="20"/>
      <c r="H792" s="19"/>
      <c r="I792" s="19"/>
      <c r="J792" s="19"/>
      <c r="K792" s="19"/>
      <c r="L792" s="19"/>
      <c r="M792" s="19"/>
      <c r="N792" s="20" t="s">
        <v>39</v>
      </c>
      <c r="O792" s="19"/>
      <c r="P792" s="19"/>
      <c r="Q792" s="19"/>
      <c r="R792" s="19"/>
      <c r="S792" s="19"/>
      <c r="T792" s="19"/>
      <c r="U792" s="19"/>
      <c r="V792" s="19"/>
    </row>
    <row r="793">
      <c r="A793" s="25"/>
      <c r="B793" s="19"/>
      <c r="C793" s="19"/>
      <c r="D793" s="19"/>
      <c r="E793" s="19"/>
      <c r="F793" s="17" t="str">
        <f>IFERROR(__xludf.DUMMYFUNCTION("""COMPUTED_VALUE"""),"")</f>
        <v/>
      </c>
      <c r="G793" s="20"/>
      <c r="H793" s="19"/>
      <c r="I793" s="19"/>
      <c r="J793" s="19"/>
      <c r="K793" s="19"/>
      <c r="L793" s="19"/>
      <c r="M793" s="19"/>
      <c r="N793" s="20" t="s">
        <v>39</v>
      </c>
      <c r="O793" s="19"/>
      <c r="P793" s="19"/>
      <c r="Q793" s="19"/>
      <c r="R793" s="19"/>
      <c r="S793" s="19"/>
      <c r="T793" s="19"/>
      <c r="U793" s="19"/>
      <c r="V793" s="19"/>
    </row>
    <row r="794">
      <c r="A794" s="25"/>
      <c r="B794" s="19"/>
      <c r="C794" s="19"/>
      <c r="D794" s="19"/>
      <c r="E794" s="19"/>
      <c r="F794" s="17" t="str">
        <f>IFERROR(__xludf.DUMMYFUNCTION("""COMPUTED_VALUE"""),"")</f>
        <v/>
      </c>
      <c r="G794" s="20"/>
      <c r="H794" s="19"/>
      <c r="I794" s="19"/>
      <c r="J794" s="19"/>
      <c r="K794" s="19"/>
      <c r="L794" s="19"/>
      <c r="M794" s="19"/>
      <c r="N794" s="20" t="s">
        <v>39</v>
      </c>
      <c r="O794" s="19"/>
      <c r="P794" s="19"/>
      <c r="Q794" s="19"/>
      <c r="R794" s="19"/>
      <c r="S794" s="19"/>
      <c r="T794" s="19"/>
      <c r="U794" s="19"/>
      <c r="V794" s="19"/>
    </row>
    <row r="795">
      <c r="A795" s="25"/>
      <c r="B795" s="19"/>
      <c r="C795" s="19"/>
      <c r="D795" s="19"/>
      <c r="E795" s="19"/>
      <c r="F795" s="17" t="str">
        <f>IFERROR(__xludf.DUMMYFUNCTION("""COMPUTED_VALUE"""),"")</f>
        <v/>
      </c>
      <c r="G795" s="20"/>
      <c r="H795" s="19"/>
      <c r="I795" s="19"/>
      <c r="J795" s="19"/>
      <c r="K795" s="19"/>
      <c r="L795" s="19"/>
      <c r="M795" s="19"/>
      <c r="N795" s="20" t="s">
        <v>39</v>
      </c>
      <c r="O795" s="19"/>
      <c r="P795" s="19"/>
      <c r="Q795" s="19"/>
      <c r="R795" s="19"/>
      <c r="S795" s="19"/>
      <c r="T795" s="19"/>
      <c r="U795" s="19"/>
      <c r="V795" s="19"/>
    </row>
    <row r="796">
      <c r="A796" s="25"/>
      <c r="B796" s="19"/>
      <c r="C796" s="19"/>
      <c r="D796" s="19"/>
      <c r="E796" s="19"/>
      <c r="F796" s="17" t="str">
        <f>IFERROR(__xludf.DUMMYFUNCTION("""COMPUTED_VALUE"""),"")</f>
        <v/>
      </c>
      <c r="G796" s="20"/>
      <c r="H796" s="19"/>
      <c r="I796" s="19"/>
      <c r="J796" s="19"/>
      <c r="K796" s="19"/>
      <c r="L796" s="19"/>
      <c r="M796" s="19"/>
      <c r="N796" s="20" t="s">
        <v>39</v>
      </c>
      <c r="O796" s="19"/>
      <c r="P796" s="19"/>
      <c r="Q796" s="19"/>
      <c r="R796" s="19"/>
      <c r="S796" s="19"/>
      <c r="T796" s="19"/>
      <c r="U796" s="19"/>
      <c r="V796" s="19"/>
    </row>
    <row r="797">
      <c r="A797" s="25"/>
      <c r="B797" s="19"/>
      <c r="C797" s="19"/>
      <c r="D797" s="19"/>
      <c r="E797" s="19"/>
      <c r="F797" s="17" t="str">
        <f>IFERROR(__xludf.DUMMYFUNCTION("""COMPUTED_VALUE"""),"")</f>
        <v/>
      </c>
      <c r="G797" s="20"/>
      <c r="H797" s="19"/>
      <c r="I797" s="19"/>
      <c r="J797" s="19"/>
      <c r="K797" s="19"/>
      <c r="L797" s="19"/>
      <c r="M797" s="19"/>
      <c r="N797" s="20" t="s">
        <v>39</v>
      </c>
      <c r="O797" s="19"/>
      <c r="P797" s="19"/>
      <c r="Q797" s="19"/>
      <c r="R797" s="19"/>
      <c r="S797" s="19"/>
      <c r="T797" s="19"/>
      <c r="U797" s="19"/>
      <c r="V797" s="19"/>
    </row>
    <row r="798">
      <c r="A798" s="25"/>
      <c r="B798" s="19"/>
      <c r="C798" s="19"/>
      <c r="D798" s="19"/>
      <c r="E798" s="19"/>
      <c r="F798" s="17" t="str">
        <f>IFERROR(__xludf.DUMMYFUNCTION("""COMPUTED_VALUE"""),"")</f>
        <v/>
      </c>
      <c r="G798" s="20"/>
      <c r="H798" s="19"/>
      <c r="I798" s="19"/>
      <c r="J798" s="19"/>
      <c r="K798" s="19"/>
      <c r="L798" s="19"/>
      <c r="M798" s="19"/>
      <c r="N798" s="20" t="s">
        <v>39</v>
      </c>
      <c r="O798" s="19"/>
      <c r="P798" s="19"/>
      <c r="Q798" s="19"/>
      <c r="R798" s="19"/>
      <c r="S798" s="19"/>
      <c r="T798" s="19"/>
      <c r="U798" s="19"/>
      <c r="V798" s="19"/>
    </row>
    <row r="799">
      <c r="A799" s="25"/>
      <c r="B799" s="19"/>
      <c r="C799" s="19"/>
      <c r="D799" s="19"/>
      <c r="E799" s="19"/>
      <c r="F799" s="17" t="str">
        <f>IFERROR(__xludf.DUMMYFUNCTION("""COMPUTED_VALUE"""),"")</f>
        <v/>
      </c>
      <c r="G799" s="20"/>
      <c r="H799" s="19"/>
      <c r="I799" s="19"/>
      <c r="J799" s="19"/>
      <c r="K799" s="19"/>
      <c r="L799" s="19"/>
      <c r="M799" s="19"/>
      <c r="N799" s="20" t="s">
        <v>39</v>
      </c>
      <c r="O799" s="19"/>
      <c r="P799" s="19"/>
      <c r="Q799" s="19"/>
      <c r="R799" s="19"/>
      <c r="S799" s="19"/>
      <c r="T799" s="19"/>
      <c r="U799" s="19"/>
      <c r="V799" s="19"/>
    </row>
    <row r="800">
      <c r="A800" s="25"/>
      <c r="B800" s="19"/>
      <c r="C800" s="19"/>
      <c r="D800" s="19"/>
      <c r="E800" s="19"/>
      <c r="F800" s="17" t="str">
        <f>IFERROR(__xludf.DUMMYFUNCTION("""COMPUTED_VALUE"""),"")</f>
        <v/>
      </c>
      <c r="G800" s="20"/>
      <c r="H800" s="19"/>
      <c r="I800" s="19"/>
      <c r="J800" s="19"/>
      <c r="K800" s="19"/>
      <c r="L800" s="19"/>
      <c r="M800" s="19"/>
      <c r="N800" s="20" t="s">
        <v>39</v>
      </c>
      <c r="O800" s="19"/>
      <c r="P800" s="19"/>
      <c r="Q800" s="19"/>
      <c r="R800" s="19"/>
      <c r="S800" s="19"/>
      <c r="T800" s="19"/>
      <c r="U800" s="19"/>
      <c r="V800" s="19"/>
    </row>
    <row r="801">
      <c r="A801" s="25"/>
      <c r="B801" s="19"/>
      <c r="C801" s="19"/>
      <c r="D801" s="19"/>
      <c r="E801" s="19"/>
      <c r="F801" s="17" t="str">
        <f>IFERROR(__xludf.DUMMYFUNCTION("""COMPUTED_VALUE"""),"")</f>
        <v/>
      </c>
      <c r="G801" s="20"/>
      <c r="H801" s="19"/>
      <c r="I801" s="19"/>
      <c r="J801" s="19"/>
      <c r="K801" s="19"/>
      <c r="L801" s="19"/>
      <c r="M801" s="19"/>
      <c r="N801" s="20" t="s">
        <v>39</v>
      </c>
      <c r="O801" s="19"/>
      <c r="P801" s="19"/>
      <c r="Q801" s="19"/>
      <c r="R801" s="19"/>
      <c r="S801" s="19"/>
      <c r="T801" s="19"/>
      <c r="U801" s="19"/>
      <c r="V801" s="19"/>
    </row>
    <row r="802">
      <c r="A802" s="25"/>
      <c r="B802" s="19"/>
      <c r="C802" s="19"/>
      <c r="D802" s="19"/>
      <c r="E802" s="19"/>
      <c r="F802" s="17" t="str">
        <f>IFERROR(__xludf.DUMMYFUNCTION("""COMPUTED_VALUE"""),"")</f>
        <v/>
      </c>
      <c r="G802" s="20"/>
      <c r="H802" s="19"/>
      <c r="I802" s="19"/>
      <c r="J802" s="19"/>
      <c r="K802" s="19"/>
      <c r="L802" s="19"/>
      <c r="M802" s="19"/>
      <c r="N802" s="20" t="s">
        <v>39</v>
      </c>
      <c r="O802" s="19"/>
      <c r="P802" s="19"/>
      <c r="Q802" s="19"/>
      <c r="R802" s="19"/>
      <c r="S802" s="19"/>
      <c r="T802" s="19"/>
      <c r="U802" s="19"/>
      <c r="V802" s="19"/>
    </row>
    <row r="803">
      <c r="A803" s="25"/>
      <c r="B803" s="19"/>
      <c r="C803" s="19"/>
      <c r="D803" s="19"/>
      <c r="E803" s="19"/>
      <c r="F803" s="17" t="str">
        <f>IFERROR(__xludf.DUMMYFUNCTION("""COMPUTED_VALUE"""),"")</f>
        <v/>
      </c>
      <c r="G803" s="20"/>
      <c r="H803" s="19"/>
      <c r="I803" s="19"/>
      <c r="J803" s="19"/>
      <c r="K803" s="19"/>
      <c r="L803" s="19"/>
      <c r="M803" s="19"/>
      <c r="N803" s="20" t="s">
        <v>39</v>
      </c>
      <c r="O803" s="19"/>
      <c r="P803" s="19"/>
      <c r="Q803" s="19"/>
      <c r="R803" s="19"/>
      <c r="S803" s="19"/>
      <c r="T803" s="19"/>
      <c r="U803" s="19"/>
      <c r="V803" s="19"/>
    </row>
    <row r="804">
      <c r="A804" s="25"/>
      <c r="B804" s="19"/>
      <c r="C804" s="19"/>
      <c r="D804" s="19"/>
      <c r="E804" s="19"/>
      <c r="F804" s="17" t="str">
        <f>IFERROR(__xludf.DUMMYFUNCTION("""COMPUTED_VALUE"""),"")</f>
        <v/>
      </c>
      <c r="G804" s="20"/>
      <c r="H804" s="19"/>
      <c r="I804" s="19"/>
      <c r="J804" s="19"/>
      <c r="K804" s="19"/>
      <c r="L804" s="19"/>
      <c r="M804" s="19"/>
      <c r="N804" s="20" t="s">
        <v>39</v>
      </c>
      <c r="O804" s="19"/>
      <c r="P804" s="19"/>
      <c r="Q804" s="19"/>
      <c r="R804" s="19"/>
      <c r="S804" s="19"/>
      <c r="T804" s="19"/>
      <c r="U804" s="19"/>
      <c r="V804" s="19"/>
    </row>
    <row r="805">
      <c r="A805" s="25"/>
      <c r="B805" s="19"/>
      <c r="C805" s="19"/>
      <c r="D805" s="19"/>
      <c r="E805" s="19"/>
      <c r="F805" s="17" t="str">
        <f>IFERROR(__xludf.DUMMYFUNCTION("""COMPUTED_VALUE"""),"")</f>
        <v/>
      </c>
      <c r="G805" s="20"/>
      <c r="H805" s="19"/>
      <c r="I805" s="19"/>
      <c r="J805" s="19"/>
      <c r="K805" s="19"/>
      <c r="L805" s="19"/>
      <c r="M805" s="19"/>
      <c r="N805" s="20" t="s">
        <v>39</v>
      </c>
      <c r="O805" s="19"/>
      <c r="P805" s="19"/>
      <c r="Q805" s="19"/>
      <c r="R805" s="19"/>
      <c r="S805" s="19"/>
      <c r="T805" s="19"/>
      <c r="U805" s="19"/>
      <c r="V805" s="19"/>
    </row>
    <row r="806">
      <c r="A806" s="25"/>
      <c r="B806" s="19"/>
      <c r="C806" s="19"/>
      <c r="D806" s="19"/>
      <c r="E806" s="19"/>
      <c r="F806" s="17" t="str">
        <f>IFERROR(__xludf.DUMMYFUNCTION("""COMPUTED_VALUE"""),"")</f>
        <v/>
      </c>
      <c r="G806" s="20"/>
      <c r="H806" s="19"/>
      <c r="I806" s="19"/>
      <c r="J806" s="19"/>
      <c r="K806" s="19"/>
      <c r="L806" s="19"/>
      <c r="M806" s="19"/>
      <c r="N806" s="20" t="s">
        <v>39</v>
      </c>
      <c r="O806" s="19"/>
      <c r="P806" s="19"/>
      <c r="Q806" s="19"/>
      <c r="R806" s="19"/>
      <c r="S806" s="19"/>
      <c r="T806" s="19"/>
      <c r="U806" s="19"/>
      <c r="V806" s="19"/>
    </row>
    <row r="807">
      <c r="A807" s="25"/>
      <c r="B807" s="19"/>
      <c r="C807" s="19"/>
      <c r="D807" s="19"/>
      <c r="E807" s="19"/>
      <c r="F807" s="17" t="str">
        <f>IFERROR(__xludf.DUMMYFUNCTION("""COMPUTED_VALUE"""),"")</f>
        <v/>
      </c>
      <c r="G807" s="20"/>
      <c r="H807" s="19"/>
      <c r="I807" s="19"/>
      <c r="J807" s="19"/>
      <c r="K807" s="19"/>
      <c r="L807" s="19"/>
      <c r="M807" s="19"/>
      <c r="N807" s="20" t="s">
        <v>39</v>
      </c>
      <c r="O807" s="19"/>
      <c r="P807" s="19"/>
      <c r="Q807" s="19"/>
      <c r="R807" s="19"/>
      <c r="S807" s="19"/>
      <c r="T807" s="19"/>
      <c r="U807" s="19"/>
      <c r="V807" s="19"/>
    </row>
    <row r="808">
      <c r="A808" s="25"/>
      <c r="B808" s="19"/>
      <c r="C808" s="19"/>
      <c r="D808" s="19"/>
      <c r="E808" s="19"/>
      <c r="F808" s="17" t="str">
        <f>IFERROR(__xludf.DUMMYFUNCTION("""COMPUTED_VALUE"""),"")</f>
        <v/>
      </c>
      <c r="G808" s="20"/>
      <c r="H808" s="19"/>
      <c r="I808" s="19"/>
      <c r="J808" s="19"/>
      <c r="K808" s="19"/>
      <c r="L808" s="19"/>
      <c r="M808" s="19"/>
      <c r="N808" s="20" t="s">
        <v>39</v>
      </c>
      <c r="O808" s="19"/>
      <c r="P808" s="19"/>
      <c r="Q808" s="19"/>
      <c r="R808" s="19"/>
      <c r="S808" s="19"/>
      <c r="T808" s="19"/>
      <c r="U808" s="19"/>
      <c r="V808" s="19"/>
    </row>
    <row r="809">
      <c r="A809" s="25"/>
      <c r="B809" s="19"/>
      <c r="C809" s="19"/>
      <c r="D809" s="19"/>
      <c r="E809" s="19"/>
      <c r="F809" s="17" t="str">
        <f>IFERROR(__xludf.DUMMYFUNCTION("""COMPUTED_VALUE"""),"")</f>
        <v/>
      </c>
      <c r="G809" s="20"/>
      <c r="H809" s="19"/>
      <c r="I809" s="19"/>
      <c r="J809" s="19"/>
      <c r="K809" s="19"/>
      <c r="L809" s="19"/>
      <c r="M809" s="19"/>
      <c r="N809" s="20" t="s">
        <v>39</v>
      </c>
      <c r="O809" s="19"/>
      <c r="P809" s="19"/>
      <c r="Q809" s="19"/>
      <c r="R809" s="19"/>
      <c r="S809" s="19"/>
      <c r="T809" s="19"/>
      <c r="U809" s="19"/>
      <c r="V809" s="19"/>
    </row>
    <row r="810">
      <c r="A810" s="25"/>
      <c r="B810" s="19"/>
      <c r="C810" s="19"/>
      <c r="D810" s="19"/>
      <c r="E810" s="19"/>
      <c r="F810" s="17" t="str">
        <f>IFERROR(__xludf.DUMMYFUNCTION("""COMPUTED_VALUE"""),"")</f>
        <v/>
      </c>
      <c r="G810" s="20"/>
      <c r="H810" s="19"/>
      <c r="I810" s="19"/>
      <c r="J810" s="19"/>
      <c r="K810" s="19"/>
      <c r="L810" s="19"/>
      <c r="M810" s="19"/>
      <c r="N810" s="20" t="s">
        <v>39</v>
      </c>
      <c r="O810" s="19"/>
      <c r="P810" s="19"/>
      <c r="Q810" s="19"/>
      <c r="R810" s="19"/>
      <c r="S810" s="19"/>
      <c r="T810" s="19"/>
      <c r="U810" s="19"/>
      <c r="V810" s="19"/>
    </row>
    <row r="811">
      <c r="A811" s="25"/>
      <c r="B811" s="19"/>
      <c r="C811" s="19"/>
      <c r="D811" s="19"/>
      <c r="E811" s="19"/>
      <c r="F811" s="17" t="str">
        <f>IFERROR(__xludf.DUMMYFUNCTION("""COMPUTED_VALUE"""),"")</f>
        <v/>
      </c>
      <c r="G811" s="20"/>
      <c r="H811" s="19"/>
      <c r="I811" s="19"/>
      <c r="J811" s="19"/>
      <c r="K811" s="19"/>
      <c r="L811" s="19"/>
      <c r="M811" s="19"/>
      <c r="N811" s="20" t="s">
        <v>39</v>
      </c>
      <c r="O811" s="19"/>
      <c r="P811" s="19"/>
      <c r="Q811" s="19"/>
      <c r="R811" s="19"/>
      <c r="S811" s="19"/>
      <c r="T811" s="19"/>
      <c r="U811" s="19"/>
      <c r="V811" s="19"/>
    </row>
    <row r="812">
      <c r="A812" s="25"/>
      <c r="B812" s="19"/>
      <c r="C812" s="19"/>
      <c r="D812" s="19"/>
      <c r="E812" s="19"/>
      <c r="F812" s="17" t="str">
        <f>IFERROR(__xludf.DUMMYFUNCTION("""COMPUTED_VALUE"""),"")</f>
        <v/>
      </c>
      <c r="G812" s="20"/>
      <c r="H812" s="19"/>
      <c r="I812" s="19"/>
      <c r="J812" s="19"/>
      <c r="K812" s="19"/>
      <c r="L812" s="19"/>
      <c r="M812" s="19"/>
      <c r="N812" s="20" t="s">
        <v>39</v>
      </c>
      <c r="O812" s="19"/>
      <c r="P812" s="19"/>
      <c r="Q812" s="19"/>
      <c r="R812" s="19"/>
      <c r="S812" s="19"/>
      <c r="T812" s="19"/>
      <c r="U812" s="19"/>
      <c r="V812" s="19"/>
    </row>
    <row r="813">
      <c r="A813" s="25"/>
      <c r="B813" s="19"/>
      <c r="C813" s="19"/>
      <c r="D813" s="19"/>
      <c r="E813" s="19"/>
      <c r="F813" s="17" t="str">
        <f>IFERROR(__xludf.DUMMYFUNCTION("""COMPUTED_VALUE"""),"")</f>
        <v/>
      </c>
      <c r="G813" s="20"/>
      <c r="H813" s="19"/>
      <c r="I813" s="19"/>
      <c r="J813" s="19"/>
      <c r="K813" s="19"/>
      <c r="L813" s="19"/>
      <c r="M813" s="19"/>
      <c r="N813" s="20" t="s">
        <v>39</v>
      </c>
      <c r="O813" s="19"/>
      <c r="P813" s="19"/>
      <c r="Q813" s="19"/>
      <c r="R813" s="19"/>
      <c r="S813" s="19"/>
      <c r="T813" s="19"/>
      <c r="U813" s="19"/>
      <c r="V813" s="19"/>
    </row>
    <row r="814">
      <c r="A814" s="25"/>
      <c r="B814" s="19"/>
      <c r="C814" s="19"/>
      <c r="D814" s="19"/>
      <c r="E814" s="19"/>
      <c r="F814" s="17" t="str">
        <f>IFERROR(__xludf.DUMMYFUNCTION("""COMPUTED_VALUE"""),"")</f>
        <v/>
      </c>
      <c r="G814" s="20"/>
      <c r="H814" s="19"/>
      <c r="I814" s="19"/>
      <c r="J814" s="19"/>
      <c r="K814" s="19"/>
      <c r="L814" s="19"/>
      <c r="M814" s="19"/>
      <c r="N814" s="20" t="s">
        <v>39</v>
      </c>
      <c r="O814" s="19"/>
      <c r="P814" s="19"/>
      <c r="Q814" s="19"/>
      <c r="R814" s="19"/>
      <c r="S814" s="19"/>
      <c r="T814" s="19"/>
      <c r="U814" s="19"/>
      <c r="V814" s="19"/>
    </row>
    <row r="815">
      <c r="A815" s="25"/>
      <c r="B815" s="19"/>
      <c r="C815" s="19"/>
      <c r="D815" s="19"/>
      <c r="E815" s="19"/>
      <c r="F815" s="17" t="str">
        <f>IFERROR(__xludf.DUMMYFUNCTION("""COMPUTED_VALUE"""),"")</f>
        <v/>
      </c>
      <c r="G815" s="20"/>
      <c r="H815" s="19"/>
      <c r="I815" s="19"/>
      <c r="J815" s="19"/>
      <c r="K815" s="19"/>
      <c r="L815" s="19"/>
      <c r="M815" s="19"/>
      <c r="N815" s="20" t="s">
        <v>39</v>
      </c>
      <c r="O815" s="19"/>
      <c r="P815" s="19"/>
      <c r="Q815" s="19"/>
      <c r="R815" s="19"/>
      <c r="S815" s="19"/>
      <c r="T815" s="19"/>
      <c r="U815" s="19"/>
      <c r="V815" s="19"/>
    </row>
    <row r="816">
      <c r="A816" s="25"/>
      <c r="B816" s="19"/>
      <c r="C816" s="19"/>
      <c r="D816" s="19"/>
      <c r="E816" s="19"/>
      <c r="F816" s="17" t="str">
        <f>IFERROR(__xludf.DUMMYFUNCTION("""COMPUTED_VALUE"""),"")</f>
        <v/>
      </c>
      <c r="G816" s="20"/>
      <c r="H816" s="19"/>
      <c r="I816" s="19"/>
      <c r="J816" s="19"/>
      <c r="K816" s="19"/>
      <c r="L816" s="19"/>
      <c r="M816" s="19"/>
      <c r="N816" s="20" t="s">
        <v>39</v>
      </c>
      <c r="O816" s="19"/>
      <c r="P816" s="19"/>
      <c r="Q816" s="19"/>
      <c r="R816" s="19"/>
      <c r="S816" s="19"/>
      <c r="T816" s="19"/>
      <c r="U816" s="19"/>
      <c r="V816" s="19"/>
    </row>
    <row r="817">
      <c r="A817" s="25"/>
      <c r="B817" s="19"/>
      <c r="C817" s="19"/>
      <c r="D817" s="19"/>
      <c r="E817" s="19"/>
      <c r="F817" s="17" t="str">
        <f>IFERROR(__xludf.DUMMYFUNCTION("""COMPUTED_VALUE"""),"")</f>
        <v/>
      </c>
      <c r="G817" s="20"/>
      <c r="H817" s="19"/>
      <c r="I817" s="19"/>
      <c r="J817" s="19"/>
      <c r="K817" s="19"/>
      <c r="L817" s="19"/>
      <c r="M817" s="19"/>
      <c r="N817" s="20" t="s">
        <v>39</v>
      </c>
      <c r="O817" s="19"/>
      <c r="P817" s="19"/>
      <c r="Q817" s="19"/>
      <c r="R817" s="19"/>
      <c r="S817" s="19"/>
      <c r="T817" s="19"/>
      <c r="U817" s="19"/>
      <c r="V817" s="19"/>
    </row>
    <row r="818">
      <c r="A818" s="25"/>
      <c r="B818" s="19"/>
      <c r="C818" s="19"/>
      <c r="D818" s="19"/>
      <c r="E818" s="19"/>
      <c r="F818" s="17" t="str">
        <f>IFERROR(__xludf.DUMMYFUNCTION("""COMPUTED_VALUE"""),"")</f>
        <v/>
      </c>
      <c r="G818" s="20"/>
      <c r="H818" s="19"/>
      <c r="I818" s="19"/>
      <c r="J818" s="19"/>
      <c r="K818" s="19"/>
      <c r="L818" s="19"/>
      <c r="M818" s="19"/>
      <c r="N818" s="20" t="s">
        <v>39</v>
      </c>
      <c r="O818" s="19"/>
      <c r="P818" s="19"/>
      <c r="Q818" s="19"/>
      <c r="R818" s="19"/>
      <c r="S818" s="19"/>
      <c r="T818" s="19"/>
      <c r="U818" s="19"/>
      <c r="V818" s="19"/>
    </row>
    <row r="819">
      <c r="A819" s="25"/>
      <c r="B819" s="19"/>
      <c r="C819" s="19"/>
      <c r="D819" s="19"/>
      <c r="E819" s="19"/>
      <c r="F819" s="17" t="str">
        <f>IFERROR(__xludf.DUMMYFUNCTION("""COMPUTED_VALUE"""),"")</f>
        <v/>
      </c>
      <c r="G819" s="20"/>
      <c r="H819" s="19"/>
      <c r="I819" s="19"/>
      <c r="J819" s="19"/>
      <c r="K819" s="19"/>
      <c r="L819" s="19"/>
      <c r="M819" s="19"/>
      <c r="N819" s="20" t="s">
        <v>39</v>
      </c>
      <c r="O819" s="19"/>
      <c r="P819" s="19"/>
      <c r="Q819" s="19"/>
      <c r="R819" s="19"/>
      <c r="S819" s="19"/>
      <c r="T819" s="19"/>
      <c r="U819" s="19"/>
      <c r="V819" s="19"/>
    </row>
    <row r="820">
      <c r="A820" s="25"/>
      <c r="B820" s="19"/>
      <c r="C820" s="19"/>
      <c r="D820" s="19"/>
      <c r="E820" s="19"/>
      <c r="F820" s="17" t="str">
        <f>IFERROR(__xludf.DUMMYFUNCTION("""COMPUTED_VALUE"""),"")</f>
        <v/>
      </c>
      <c r="G820" s="20"/>
      <c r="H820" s="19"/>
      <c r="I820" s="19"/>
      <c r="J820" s="19"/>
      <c r="K820" s="19"/>
      <c r="L820" s="19"/>
      <c r="M820" s="19"/>
      <c r="N820" s="20" t="s">
        <v>39</v>
      </c>
      <c r="O820" s="19"/>
      <c r="P820" s="19"/>
      <c r="Q820" s="19"/>
      <c r="R820" s="19"/>
      <c r="S820" s="19"/>
      <c r="T820" s="19"/>
      <c r="U820" s="19"/>
      <c r="V820" s="19"/>
    </row>
    <row r="821">
      <c r="A821" s="25"/>
      <c r="B821" s="19"/>
      <c r="C821" s="19"/>
      <c r="D821" s="19"/>
      <c r="E821" s="19"/>
      <c r="F821" s="17" t="str">
        <f>IFERROR(__xludf.DUMMYFUNCTION("""COMPUTED_VALUE"""),"")</f>
        <v/>
      </c>
      <c r="G821" s="20"/>
      <c r="H821" s="19"/>
      <c r="I821" s="19"/>
      <c r="J821" s="19"/>
      <c r="K821" s="19"/>
      <c r="L821" s="19"/>
      <c r="M821" s="19"/>
      <c r="N821" s="20" t="s">
        <v>39</v>
      </c>
      <c r="O821" s="19"/>
      <c r="P821" s="19"/>
      <c r="Q821" s="19"/>
      <c r="R821" s="19"/>
      <c r="S821" s="19"/>
      <c r="T821" s="19"/>
      <c r="U821" s="19"/>
      <c r="V821" s="19"/>
    </row>
    <row r="822">
      <c r="A822" s="25"/>
      <c r="B822" s="19"/>
      <c r="C822" s="19"/>
      <c r="D822" s="19"/>
      <c r="E822" s="19"/>
      <c r="F822" s="17" t="str">
        <f>IFERROR(__xludf.DUMMYFUNCTION("""COMPUTED_VALUE"""),"")</f>
        <v/>
      </c>
      <c r="G822" s="20"/>
      <c r="H822" s="19"/>
      <c r="I822" s="19"/>
      <c r="J822" s="19"/>
      <c r="K822" s="19"/>
      <c r="L822" s="19"/>
      <c r="M822" s="19"/>
      <c r="N822" s="20" t="s">
        <v>39</v>
      </c>
      <c r="O822" s="19"/>
      <c r="P822" s="19"/>
      <c r="Q822" s="19"/>
      <c r="R822" s="19"/>
      <c r="S822" s="19"/>
      <c r="T822" s="19"/>
      <c r="U822" s="19"/>
      <c r="V822" s="19"/>
    </row>
    <row r="823">
      <c r="A823" s="25"/>
      <c r="B823" s="19"/>
      <c r="C823" s="19"/>
      <c r="D823" s="19"/>
      <c r="E823" s="19"/>
      <c r="F823" s="17" t="str">
        <f>IFERROR(__xludf.DUMMYFUNCTION("""COMPUTED_VALUE"""),"")</f>
        <v/>
      </c>
      <c r="G823" s="20"/>
      <c r="H823" s="19"/>
      <c r="I823" s="19"/>
      <c r="J823" s="19"/>
      <c r="K823" s="19"/>
      <c r="L823" s="19"/>
      <c r="M823" s="19"/>
      <c r="N823" s="20" t="s">
        <v>39</v>
      </c>
      <c r="O823" s="19"/>
      <c r="P823" s="19"/>
      <c r="Q823" s="19"/>
      <c r="R823" s="19"/>
      <c r="S823" s="19"/>
      <c r="T823" s="19"/>
      <c r="U823" s="19"/>
      <c r="V823" s="19"/>
    </row>
    <row r="824">
      <c r="A824" s="25"/>
      <c r="B824" s="19"/>
      <c r="C824" s="19"/>
      <c r="D824" s="19"/>
      <c r="E824" s="19"/>
      <c r="F824" s="17" t="str">
        <f>IFERROR(__xludf.DUMMYFUNCTION("""COMPUTED_VALUE"""),"")</f>
        <v/>
      </c>
      <c r="G824" s="20"/>
      <c r="H824" s="19"/>
      <c r="I824" s="19"/>
      <c r="J824" s="19"/>
      <c r="K824" s="19"/>
      <c r="L824" s="19"/>
      <c r="M824" s="19"/>
      <c r="N824" s="20" t="s">
        <v>39</v>
      </c>
      <c r="O824" s="19"/>
      <c r="P824" s="19"/>
      <c r="Q824" s="19"/>
      <c r="R824" s="19"/>
      <c r="S824" s="19"/>
      <c r="T824" s="19"/>
      <c r="U824" s="19"/>
      <c r="V824" s="19"/>
    </row>
    <row r="825">
      <c r="A825" s="25"/>
      <c r="B825" s="19"/>
      <c r="C825" s="19"/>
      <c r="D825" s="19"/>
      <c r="E825" s="19"/>
      <c r="F825" s="17" t="str">
        <f>IFERROR(__xludf.DUMMYFUNCTION("""COMPUTED_VALUE"""),"")</f>
        <v/>
      </c>
      <c r="G825" s="20"/>
      <c r="H825" s="19"/>
      <c r="I825" s="19"/>
      <c r="J825" s="19"/>
      <c r="K825" s="19"/>
      <c r="L825" s="19"/>
      <c r="M825" s="19"/>
      <c r="N825" s="20" t="s">
        <v>39</v>
      </c>
      <c r="O825" s="19"/>
      <c r="P825" s="19"/>
      <c r="Q825" s="19"/>
      <c r="R825" s="19"/>
      <c r="S825" s="19"/>
      <c r="T825" s="19"/>
      <c r="U825" s="19"/>
      <c r="V825" s="19"/>
    </row>
    <row r="826">
      <c r="A826" s="25"/>
      <c r="B826" s="19"/>
      <c r="C826" s="19"/>
      <c r="D826" s="19"/>
      <c r="E826" s="19"/>
      <c r="F826" s="17" t="str">
        <f>IFERROR(__xludf.DUMMYFUNCTION("""COMPUTED_VALUE"""),"")</f>
        <v/>
      </c>
      <c r="G826" s="20"/>
      <c r="H826" s="19"/>
      <c r="I826" s="19"/>
      <c r="J826" s="19"/>
      <c r="K826" s="19"/>
      <c r="L826" s="19"/>
      <c r="M826" s="19"/>
      <c r="N826" s="20" t="s">
        <v>39</v>
      </c>
      <c r="O826" s="19"/>
      <c r="P826" s="19"/>
      <c r="Q826" s="19"/>
      <c r="R826" s="19"/>
      <c r="S826" s="19"/>
      <c r="T826" s="19"/>
      <c r="U826" s="19"/>
      <c r="V826" s="19"/>
    </row>
    <row r="827">
      <c r="A827" s="25"/>
      <c r="B827" s="19"/>
      <c r="C827" s="19"/>
      <c r="D827" s="19"/>
      <c r="E827" s="19"/>
      <c r="F827" s="17" t="str">
        <f>IFERROR(__xludf.DUMMYFUNCTION("""COMPUTED_VALUE"""),"")</f>
        <v/>
      </c>
      <c r="G827" s="20"/>
      <c r="H827" s="19"/>
      <c r="I827" s="19"/>
      <c r="J827" s="19"/>
      <c r="K827" s="19"/>
      <c r="L827" s="19"/>
      <c r="M827" s="19"/>
      <c r="N827" s="20" t="s">
        <v>39</v>
      </c>
      <c r="O827" s="19"/>
      <c r="P827" s="19"/>
      <c r="Q827" s="19"/>
      <c r="R827" s="19"/>
      <c r="S827" s="19"/>
      <c r="T827" s="19"/>
      <c r="U827" s="19"/>
      <c r="V827" s="19"/>
    </row>
    <row r="828">
      <c r="A828" s="25"/>
      <c r="B828" s="19"/>
      <c r="C828" s="19"/>
      <c r="D828" s="19"/>
      <c r="E828" s="19"/>
      <c r="F828" s="17" t="str">
        <f>IFERROR(__xludf.DUMMYFUNCTION("""COMPUTED_VALUE"""),"")</f>
        <v/>
      </c>
      <c r="G828" s="20"/>
      <c r="H828" s="19"/>
      <c r="I828" s="19"/>
      <c r="J828" s="19"/>
      <c r="K828" s="19"/>
      <c r="L828" s="19"/>
      <c r="M828" s="19"/>
      <c r="N828" s="20" t="s">
        <v>39</v>
      </c>
      <c r="O828" s="19"/>
      <c r="P828" s="19"/>
      <c r="Q828" s="19"/>
      <c r="R828" s="19"/>
      <c r="S828" s="19"/>
      <c r="T828" s="19"/>
      <c r="U828" s="19"/>
      <c r="V828" s="19"/>
    </row>
    <row r="829">
      <c r="A829" s="25"/>
      <c r="B829" s="19"/>
      <c r="C829" s="19"/>
      <c r="D829" s="19"/>
      <c r="E829" s="19"/>
      <c r="F829" s="17" t="str">
        <f>IFERROR(__xludf.DUMMYFUNCTION("""COMPUTED_VALUE"""),"")</f>
        <v/>
      </c>
      <c r="G829" s="20"/>
      <c r="H829" s="19"/>
      <c r="I829" s="19"/>
      <c r="J829" s="19"/>
      <c r="K829" s="19"/>
      <c r="L829" s="19"/>
      <c r="M829" s="19"/>
      <c r="N829" s="20" t="s">
        <v>39</v>
      </c>
      <c r="O829" s="19"/>
      <c r="P829" s="19"/>
      <c r="Q829" s="19"/>
      <c r="R829" s="19"/>
      <c r="S829" s="19"/>
      <c r="T829" s="19"/>
      <c r="U829" s="19"/>
      <c r="V829" s="19"/>
    </row>
    <row r="830">
      <c r="A830" s="25"/>
      <c r="B830" s="19"/>
      <c r="C830" s="19"/>
      <c r="D830" s="19"/>
      <c r="E830" s="19"/>
      <c r="F830" s="17" t="str">
        <f>IFERROR(__xludf.DUMMYFUNCTION("""COMPUTED_VALUE"""),"")</f>
        <v/>
      </c>
      <c r="G830" s="20"/>
      <c r="H830" s="19"/>
      <c r="I830" s="19"/>
      <c r="J830" s="19"/>
      <c r="K830" s="19"/>
      <c r="L830" s="19"/>
      <c r="M830" s="19"/>
      <c r="N830" s="20" t="s">
        <v>39</v>
      </c>
      <c r="O830" s="19"/>
      <c r="P830" s="19"/>
      <c r="Q830" s="19"/>
      <c r="R830" s="19"/>
      <c r="S830" s="19"/>
      <c r="T830" s="19"/>
      <c r="U830" s="19"/>
      <c r="V830" s="19"/>
    </row>
    <row r="831">
      <c r="A831" s="25"/>
      <c r="B831" s="19"/>
      <c r="C831" s="19"/>
      <c r="D831" s="19"/>
      <c r="E831" s="19"/>
      <c r="F831" s="17" t="str">
        <f>IFERROR(__xludf.DUMMYFUNCTION("""COMPUTED_VALUE"""),"")</f>
        <v/>
      </c>
      <c r="G831" s="20"/>
      <c r="H831" s="19"/>
      <c r="I831" s="19"/>
      <c r="J831" s="19"/>
      <c r="K831" s="19"/>
      <c r="L831" s="19"/>
      <c r="M831" s="19"/>
      <c r="N831" s="20" t="s">
        <v>39</v>
      </c>
      <c r="O831" s="19"/>
      <c r="P831" s="19"/>
      <c r="Q831" s="19"/>
      <c r="R831" s="19"/>
      <c r="S831" s="19"/>
      <c r="T831" s="19"/>
      <c r="U831" s="19"/>
      <c r="V831" s="19"/>
    </row>
    <row r="832">
      <c r="A832" s="25"/>
      <c r="B832" s="19"/>
      <c r="C832" s="19"/>
      <c r="D832" s="19"/>
      <c r="E832" s="19"/>
      <c r="F832" s="17" t="str">
        <f>IFERROR(__xludf.DUMMYFUNCTION("""COMPUTED_VALUE"""),"")</f>
        <v/>
      </c>
      <c r="G832" s="20"/>
      <c r="H832" s="19"/>
      <c r="I832" s="19"/>
      <c r="J832" s="19"/>
      <c r="K832" s="19"/>
      <c r="L832" s="19"/>
      <c r="M832" s="19"/>
      <c r="N832" s="20" t="s">
        <v>39</v>
      </c>
      <c r="O832" s="19"/>
      <c r="P832" s="19"/>
      <c r="Q832" s="19"/>
      <c r="R832" s="19"/>
      <c r="S832" s="19"/>
      <c r="T832" s="19"/>
      <c r="U832" s="19"/>
      <c r="V832" s="19"/>
    </row>
    <row r="833">
      <c r="A833" s="25"/>
      <c r="B833" s="19"/>
      <c r="C833" s="19"/>
      <c r="D833" s="19"/>
      <c r="E833" s="19"/>
      <c r="F833" s="17" t="str">
        <f>IFERROR(__xludf.DUMMYFUNCTION("""COMPUTED_VALUE"""),"")</f>
        <v/>
      </c>
      <c r="G833" s="20"/>
      <c r="H833" s="19"/>
      <c r="I833" s="19"/>
      <c r="J833" s="19"/>
      <c r="K833" s="19"/>
      <c r="L833" s="19"/>
      <c r="M833" s="19"/>
      <c r="N833" s="20" t="s">
        <v>39</v>
      </c>
      <c r="O833" s="19"/>
      <c r="P833" s="19"/>
      <c r="Q833" s="19"/>
      <c r="R833" s="19"/>
      <c r="S833" s="19"/>
      <c r="T833" s="19"/>
      <c r="U833" s="19"/>
      <c r="V833" s="19"/>
    </row>
    <row r="834">
      <c r="A834" s="25"/>
      <c r="B834" s="19"/>
      <c r="C834" s="19"/>
      <c r="D834" s="19"/>
      <c r="E834" s="19"/>
      <c r="F834" s="17" t="str">
        <f>IFERROR(__xludf.DUMMYFUNCTION("""COMPUTED_VALUE"""),"")</f>
        <v/>
      </c>
      <c r="G834" s="20"/>
      <c r="H834" s="19"/>
      <c r="I834" s="19"/>
      <c r="J834" s="19"/>
      <c r="K834" s="19"/>
      <c r="L834" s="19"/>
      <c r="M834" s="19"/>
      <c r="N834" s="20" t="s">
        <v>39</v>
      </c>
      <c r="O834" s="19"/>
      <c r="P834" s="19"/>
      <c r="Q834" s="19"/>
      <c r="R834" s="19"/>
      <c r="S834" s="19"/>
      <c r="T834" s="19"/>
      <c r="U834" s="19"/>
      <c r="V834" s="19"/>
    </row>
    <row r="835">
      <c r="A835" s="25"/>
      <c r="B835" s="19"/>
      <c r="C835" s="19"/>
      <c r="D835" s="19"/>
      <c r="E835" s="19"/>
      <c r="F835" s="17" t="str">
        <f>IFERROR(__xludf.DUMMYFUNCTION("""COMPUTED_VALUE"""),"")</f>
        <v/>
      </c>
      <c r="G835" s="20"/>
      <c r="H835" s="19"/>
      <c r="I835" s="19"/>
      <c r="J835" s="19"/>
      <c r="K835" s="19"/>
      <c r="L835" s="19"/>
      <c r="M835" s="19"/>
      <c r="N835" s="20" t="s">
        <v>39</v>
      </c>
      <c r="O835" s="19"/>
      <c r="P835" s="19"/>
      <c r="Q835" s="19"/>
      <c r="R835" s="19"/>
      <c r="S835" s="19"/>
      <c r="T835" s="19"/>
      <c r="U835" s="19"/>
      <c r="V835" s="19"/>
    </row>
    <row r="836">
      <c r="A836" s="25"/>
      <c r="B836" s="19"/>
      <c r="C836" s="19"/>
      <c r="D836" s="19"/>
      <c r="E836" s="19"/>
      <c r="F836" s="17" t="str">
        <f>IFERROR(__xludf.DUMMYFUNCTION("""COMPUTED_VALUE"""),"")</f>
        <v/>
      </c>
      <c r="G836" s="20"/>
      <c r="H836" s="19"/>
      <c r="I836" s="19"/>
      <c r="J836" s="19"/>
      <c r="K836" s="19"/>
      <c r="L836" s="19"/>
      <c r="M836" s="19"/>
      <c r="N836" s="20" t="s">
        <v>39</v>
      </c>
      <c r="O836" s="19"/>
      <c r="P836" s="19"/>
      <c r="Q836" s="19"/>
      <c r="R836" s="19"/>
      <c r="S836" s="19"/>
      <c r="T836" s="19"/>
      <c r="U836" s="19"/>
      <c r="V836" s="19"/>
    </row>
    <row r="837">
      <c r="A837" s="25"/>
      <c r="B837" s="19"/>
      <c r="C837" s="19"/>
      <c r="D837" s="19"/>
      <c r="E837" s="19"/>
      <c r="F837" s="17" t="str">
        <f>IFERROR(__xludf.DUMMYFUNCTION("""COMPUTED_VALUE"""),"")</f>
        <v/>
      </c>
      <c r="G837" s="20"/>
      <c r="H837" s="19"/>
      <c r="I837" s="19"/>
      <c r="J837" s="19"/>
      <c r="K837" s="19"/>
      <c r="L837" s="19"/>
      <c r="M837" s="19"/>
      <c r="N837" s="20" t="s">
        <v>39</v>
      </c>
      <c r="O837" s="19"/>
      <c r="P837" s="19"/>
      <c r="Q837" s="19"/>
      <c r="R837" s="19"/>
      <c r="S837" s="19"/>
      <c r="T837" s="19"/>
      <c r="U837" s="19"/>
      <c r="V837" s="19"/>
    </row>
    <row r="838">
      <c r="A838" s="25"/>
      <c r="B838" s="19"/>
      <c r="C838" s="19"/>
      <c r="D838" s="19"/>
      <c r="E838" s="19"/>
      <c r="F838" s="17" t="str">
        <f>IFERROR(__xludf.DUMMYFUNCTION("""COMPUTED_VALUE"""),"")</f>
        <v/>
      </c>
      <c r="G838" s="20"/>
      <c r="H838" s="19"/>
      <c r="I838" s="19"/>
      <c r="J838" s="19"/>
      <c r="K838" s="19"/>
      <c r="L838" s="19"/>
      <c r="M838" s="19"/>
      <c r="N838" s="20" t="s">
        <v>39</v>
      </c>
      <c r="O838" s="19"/>
      <c r="P838" s="19"/>
      <c r="Q838" s="19"/>
      <c r="R838" s="19"/>
      <c r="S838" s="19"/>
      <c r="T838" s="19"/>
      <c r="U838" s="19"/>
      <c r="V838" s="19"/>
    </row>
    <row r="839">
      <c r="A839" s="25"/>
      <c r="B839" s="19"/>
      <c r="C839" s="19"/>
      <c r="D839" s="19"/>
      <c r="E839" s="19"/>
      <c r="F839" s="17" t="str">
        <f>IFERROR(__xludf.DUMMYFUNCTION("""COMPUTED_VALUE"""),"")</f>
        <v/>
      </c>
      <c r="G839" s="20"/>
      <c r="H839" s="19"/>
      <c r="I839" s="19"/>
      <c r="J839" s="19"/>
      <c r="K839" s="19"/>
      <c r="L839" s="19"/>
      <c r="M839" s="19"/>
      <c r="N839" s="20" t="s">
        <v>39</v>
      </c>
      <c r="O839" s="19"/>
      <c r="P839" s="19"/>
      <c r="Q839" s="19"/>
      <c r="R839" s="19"/>
      <c r="S839" s="19"/>
      <c r="T839" s="19"/>
      <c r="U839" s="19"/>
      <c r="V839" s="19"/>
    </row>
    <row r="840">
      <c r="A840" s="25"/>
      <c r="B840" s="19"/>
      <c r="C840" s="19"/>
      <c r="D840" s="19"/>
      <c r="E840" s="19"/>
      <c r="F840" s="17" t="str">
        <f>IFERROR(__xludf.DUMMYFUNCTION("""COMPUTED_VALUE"""),"")</f>
        <v/>
      </c>
      <c r="G840" s="20"/>
      <c r="H840" s="19"/>
      <c r="I840" s="19"/>
      <c r="J840" s="19"/>
      <c r="K840" s="19"/>
      <c r="L840" s="19"/>
      <c r="M840" s="19"/>
      <c r="N840" s="20" t="s">
        <v>39</v>
      </c>
      <c r="O840" s="19"/>
      <c r="P840" s="19"/>
      <c r="Q840" s="19"/>
      <c r="R840" s="19"/>
      <c r="S840" s="19"/>
      <c r="T840" s="19"/>
      <c r="U840" s="19"/>
      <c r="V840" s="19"/>
    </row>
    <row r="841">
      <c r="A841" s="25"/>
      <c r="B841" s="19"/>
      <c r="C841" s="19"/>
      <c r="D841" s="19"/>
      <c r="E841" s="19"/>
      <c r="F841" s="17" t="str">
        <f>IFERROR(__xludf.DUMMYFUNCTION("""COMPUTED_VALUE"""),"")</f>
        <v/>
      </c>
      <c r="G841" s="20"/>
      <c r="H841" s="19"/>
      <c r="I841" s="19"/>
      <c r="J841" s="19"/>
      <c r="K841" s="19"/>
      <c r="L841" s="19"/>
      <c r="M841" s="19"/>
      <c r="N841" s="20" t="s">
        <v>39</v>
      </c>
      <c r="O841" s="19"/>
      <c r="P841" s="19"/>
      <c r="Q841" s="19"/>
      <c r="R841" s="19"/>
      <c r="S841" s="19"/>
      <c r="T841" s="19"/>
      <c r="U841" s="19"/>
      <c r="V841" s="19"/>
    </row>
    <row r="842">
      <c r="A842" s="25"/>
      <c r="B842" s="19"/>
      <c r="C842" s="19"/>
      <c r="D842" s="19"/>
      <c r="E842" s="19"/>
      <c r="F842" s="17" t="str">
        <f>IFERROR(__xludf.DUMMYFUNCTION("""COMPUTED_VALUE"""),"")</f>
        <v/>
      </c>
      <c r="G842" s="20"/>
      <c r="H842" s="19"/>
      <c r="I842" s="19"/>
      <c r="J842" s="19"/>
      <c r="K842" s="19"/>
      <c r="L842" s="19"/>
      <c r="M842" s="19"/>
      <c r="N842" s="20" t="s">
        <v>39</v>
      </c>
      <c r="O842" s="19"/>
      <c r="P842" s="19"/>
      <c r="Q842" s="19"/>
      <c r="R842" s="19"/>
      <c r="S842" s="19"/>
      <c r="T842" s="19"/>
      <c r="U842" s="19"/>
      <c r="V842" s="19"/>
    </row>
    <row r="843">
      <c r="A843" s="25"/>
      <c r="B843" s="19"/>
      <c r="C843" s="19"/>
      <c r="D843" s="19"/>
      <c r="E843" s="19"/>
      <c r="F843" s="17" t="str">
        <f>IFERROR(__xludf.DUMMYFUNCTION("""COMPUTED_VALUE"""),"")</f>
        <v/>
      </c>
      <c r="G843" s="20"/>
      <c r="H843" s="19"/>
      <c r="I843" s="19"/>
      <c r="J843" s="19"/>
      <c r="K843" s="19"/>
      <c r="L843" s="19"/>
      <c r="M843" s="19"/>
      <c r="N843" s="20" t="s">
        <v>39</v>
      </c>
      <c r="O843" s="19"/>
      <c r="P843" s="19"/>
      <c r="Q843" s="19"/>
      <c r="R843" s="19"/>
      <c r="S843" s="19"/>
      <c r="T843" s="19"/>
      <c r="U843" s="19"/>
      <c r="V843" s="19"/>
    </row>
    <row r="844">
      <c r="A844" s="25"/>
      <c r="B844" s="19"/>
      <c r="C844" s="19"/>
      <c r="D844" s="19"/>
      <c r="E844" s="19"/>
      <c r="F844" s="17" t="str">
        <f>IFERROR(__xludf.DUMMYFUNCTION("""COMPUTED_VALUE"""),"")</f>
        <v/>
      </c>
      <c r="G844" s="20"/>
      <c r="H844" s="19"/>
      <c r="I844" s="19"/>
      <c r="J844" s="19"/>
      <c r="K844" s="19"/>
      <c r="L844" s="19"/>
      <c r="M844" s="19"/>
      <c r="N844" s="20" t="s">
        <v>39</v>
      </c>
      <c r="O844" s="19"/>
      <c r="P844" s="19"/>
      <c r="Q844" s="19"/>
      <c r="R844" s="19"/>
      <c r="S844" s="19"/>
      <c r="T844" s="19"/>
      <c r="U844" s="19"/>
      <c r="V844" s="19"/>
    </row>
    <row r="845">
      <c r="A845" s="25"/>
      <c r="B845" s="19"/>
      <c r="C845" s="19"/>
      <c r="D845" s="19"/>
      <c r="E845" s="19"/>
      <c r="F845" s="17" t="str">
        <f>IFERROR(__xludf.DUMMYFUNCTION("""COMPUTED_VALUE"""),"")</f>
        <v/>
      </c>
      <c r="G845" s="20"/>
      <c r="H845" s="19"/>
      <c r="I845" s="19"/>
      <c r="J845" s="19"/>
      <c r="K845" s="19"/>
      <c r="L845" s="19"/>
      <c r="M845" s="19"/>
      <c r="N845" s="20" t="s">
        <v>39</v>
      </c>
      <c r="O845" s="19"/>
      <c r="P845" s="19"/>
      <c r="Q845" s="19"/>
      <c r="R845" s="19"/>
      <c r="S845" s="19"/>
      <c r="T845" s="19"/>
      <c r="U845" s="19"/>
      <c r="V845" s="19"/>
    </row>
    <row r="846">
      <c r="A846" s="25"/>
      <c r="B846" s="19"/>
      <c r="C846" s="19"/>
      <c r="D846" s="19"/>
      <c r="E846" s="19"/>
      <c r="F846" s="17" t="str">
        <f>IFERROR(__xludf.DUMMYFUNCTION("""COMPUTED_VALUE"""),"")</f>
        <v/>
      </c>
      <c r="G846" s="20"/>
      <c r="H846" s="19"/>
      <c r="I846" s="19"/>
      <c r="J846" s="19"/>
      <c r="K846" s="19"/>
      <c r="L846" s="19"/>
      <c r="M846" s="19"/>
      <c r="N846" s="20" t="s">
        <v>39</v>
      </c>
      <c r="O846" s="19"/>
      <c r="P846" s="19"/>
      <c r="Q846" s="19"/>
      <c r="R846" s="19"/>
      <c r="S846" s="19"/>
      <c r="T846" s="19"/>
      <c r="U846" s="19"/>
      <c r="V846" s="19"/>
    </row>
    <row r="847">
      <c r="A847" s="25"/>
      <c r="B847" s="19"/>
      <c r="C847" s="19"/>
      <c r="D847" s="19"/>
      <c r="E847" s="19"/>
      <c r="F847" s="17" t="str">
        <f>IFERROR(__xludf.DUMMYFUNCTION("""COMPUTED_VALUE"""),"")</f>
        <v/>
      </c>
      <c r="G847" s="20"/>
      <c r="H847" s="19"/>
      <c r="I847" s="19"/>
      <c r="J847" s="19"/>
      <c r="K847" s="19"/>
      <c r="L847" s="19"/>
      <c r="M847" s="19"/>
      <c r="N847" s="20" t="s">
        <v>39</v>
      </c>
      <c r="O847" s="19"/>
      <c r="P847" s="19"/>
      <c r="Q847" s="19"/>
      <c r="R847" s="19"/>
      <c r="S847" s="19"/>
      <c r="T847" s="19"/>
      <c r="U847" s="19"/>
      <c r="V847" s="19"/>
    </row>
    <row r="848">
      <c r="A848" s="25"/>
      <c r="B848" s="19"/>
      <c r="C848" s="19"/>
      <c r="D848" s="19"/>
      <c r="E848" s="19"/>
      <c r="F848" s="17" t="str">
        <f>IFERROR(__xludf.DUMMYFUNCTION("""COMPUTED_VALUE"""),"")</f>
        <v/>
      </c>
      <c r="G848" s="20"/>
      <c r="H848" s="19"/>
      <c r="I848" s="19"/>
      <c r="J848" s="19"/>
      <c r="K848" s="19"/>
      <c r="L848" s="19"/>
      <c r="M848" s="19"/>
      <c r="N848" s="20" t="s">
        <v>39</v>
      </c>
      <c r="O848" s="19"/>
      <c r="P848" s="19"/>
      <c r="Q848" s="19"/>
      <c r="R848" s="19"/>
      <c r="S848" s="19"/>
      <c r="T848" s="19"/>
      <c r="U848" s="19"/>
      <c r="V848" s="19"/>
    </row>
    <row r="849">
      <c r="A849" s="25"/>
      <c r="B849" s="19"/>
      <c r="C849" s="19"/>
      <c r="D849" s="19"/>
      <c r="E849" s="19"/>
      <c r="F849" s="17" t="str">
        <f>IFERROR(__xludf.DUMMYFUNCTION("""COMPUTED_VALUE"""),"")</f>
        <v/>
      </c>
      <c r="G849" s="20"/>
      <c r="H849" s="19"/>
      <c r="I849" s="19"/>
      <c r="J849" s="19"/>
      <c r="K849" s="19"/>
      <c r="L849" s="19"/>
      <c r="M849" s="19"/>
      <c r="N849" s="20" t="s">
        <v>39</v>
      </c>
      <c r="O849" s="19"/>
      <c r="P849" s="19"/>
      <c r="Q849" s="19"/>
      <c r="R849" s="19"/>
      <c r="S849" s="19"/>
      <c r="T849" s="19"/>
      <c r="U849" s="19"/>
      <c r="V849" s="19"/>
    </row>
    <row r="850">
      <c r="A850" s="25"/>
      <c r="B850" s="19"/>
      <c r="C850" s="19"/>
      <c r="D850" s="19"/>
      <c r="E850" s="19"/>
      <c r="F850" s="17" t="str">
        <f>IFERROR(__xludf.DUMMYFUNCTION("""COMPUTED_VALUE"""),"")</f>
        <v/>
      </c>
      <c r="G850" s="20"/>
      <c r="H850" s="19"/>
      <c r="I850" s="19"/>
      <c r="J850" s="19"/>
      <c r="K850" s="19"/>
      <c r="L850" s="19"/>
      <c r="M850" s="19"/>
      <c r="N850" s="20" t="s">
        <v>39</v>
      </c>
      <c r="O850" s="19"/>
      <c r="P850" s="19"/>
      <c r="Q850" s="19"/>
      <c r="R850" s="19"/>
      <c r="S850" s="19"/>
      <c r="T850" s="19"/>
      <c r="U850" s="19"/>
      <c r="V850" s="19"/>
    </row>
    <row r="851">
      <c r="A851" s="25"/>
      <c r="B851" s="19"/>
      <c r="C851" s="19"/>
      <c r="D851" s="19"/>
      <c r="E851" s="19"/>
      <c r="F851" s="17" t="str">
        <f>IFERROR(__xludf.DUMMYFUNCTION("""COMPUTED_VALUE"""),"")</f>
        <v/>
      </c>
      <c r="G851" s="20"/>
      <c r="H851" s="19"/>
      <c r="I851" s="19"/>
      <c r="J851" s="19"/>
      <c r="K851" s="19"/>
      <c r="L851" s="19"/>
      <c r="M851" s="19"/>
      <c r="N851" s="20" t="s">
        <v>39</v>
      </c>
      <c r="O851" s="19"/>
      <c r="P851" s="19"/>
      <c r="Q851" s="19"/>
      <c r="R851" s="19"/>
      <c r="S851" s="19"/>
      <c r="T851" s="19"/>
      <c r="U851" s="19"/>
      <c r="V851" s="19"/>
    </row>
    <row r="852">
      <c r="A852" s="25"/>
      <c r="B852" s="19"/>
      <c r="C852" s="19"/>
      <c r="D852" s="19"/>
      <c r="E852" s="19"/>
      <c r="F852" s="17" t="str">
        <f>IFERROR(__xludf.DUMMYFUNCTION("""COMPUTED_VALUE"""),"")</f>
        <v/>
      </c>
      <c r="G852" s="20"/>
      <c r="H852" s="19"/>
      <c r="I852" s="19"/>
      <c r="J852" s="19"/>
      <c r="K852" s="19"/>
      <c r="L852" s="19"/>
      <c r="M852" s="19"/>
      <c r="N852" s="20" t="s">
        <v>39</v>
      </c>
      <c r="O852" s="19"/>
      <c r="P852" s="19"/>
      <c r="Q852" s="19"/>
      <c r="R852" s="19"/>
      <c r="S852" s="19"/>
      <c r="T852" s="19"/>
      <c r="U852" s="19"/>
      <c r="V852" s="19"/>
    </row>
    <row r="853">
      <c r="A853" s="25"/>
      <c r="B853" s="19"/>
      <c r="C853" s="19"/>
      <c r="D853" s="19"/>
      <c r="E853" s="19"/>
      <c r="F853" s="17" t="str">
        <f>IFERROR(__xludf.DUMMYFUNCTION("""COMPUTED_VALUE"""),"")</f>
        <v/>
      </c>
      <c r="G853" s="20"/>
      <c r="H853" s="19"/>
      <c r="I853" s="19"/>
      <c r="J853" s="19"/>
      <c r="K853" s="19"/>
      <c r="L853" s="19"/>
      <c r="M853" s="19"/>
      <c r="N853" s="20" t="s">
        <v>39</v>
      </c>
      <c r="O853" s="19"/>
      <c r="P853" s="19"/>
      <c r="Q853" s="19"/>
      <c r="R853" s="19"/>
      <c r="S853" s="19"/>
      <c r="T853" s="19"/>
      <c r="U853" s="19"/>
      <c r="V853" s="19"/>
    </row>
    <row r="854">
      <c r="A854" s="25"/>
      <c r="B854" s="19"/>
      <c r="C854" s="19"/>
      <c r="D854" s="19"/>
      <c r="E854" s="19"/>
      <c r="F854" s="17" t="str">
        <f>IFERROR(__xludf.DUMMYFUNCTION("""COMPUTED_VALUE"""),"")</f>
        <v/>
      </c>
      <c r="G854" s="20"/>
      <c r="H854" s="19"/>
      <c r="I854" s="19"/>
      <c r="J854" s="19"/>
      <c r="K854" s="19"/>
      <c r="L854" s="19"/>
      <c r="M854" s="19"/>
      <c r="N854" s="20" t="s">
        <v>39</v>
      </c>
      <c r="O854" s="19"/>
      <c r="P854" s="19"/>
      <c r="Q854" s="19"/>
      <c r="R854" s="19"/>
      <c r="S854" s="19"/>
      <c r="T854" s="19"/>
      <c r="U854" s="19"/>
      <c r="V854" s="19"/>
    </row>
    <row r="855">
      <c r="A855" s="25"/>
      <c r="B855" s="19"/>
      <c r="C855" s="19"/>
      <c r="D855" s="19"/>
      <c r="E855" s="19"/>
      <c r="F855" s="17" t="str">
        <f>IFERROR(__xludf.DUMMYFUNCTION("""COMPUTED_VALUE"""),"")</f>
        <v/>
      </c>
      <c r="G855" s="20"/>
      <c r="H855" s="19"/>
      <c r="I855" s="19"/>
      <c r="J855" s="19"/>
      <c r="K855" s="19"/>
      <c r="L855" s="19"/>
      <c r="M855" s="19"/>
      <c r="N855" s="20" t="s">
        <v>39</v>
      </c>
      <c r="O855" s="19"/>
      <c r="P855" s="19"/>
      <c r="Q855" s="19"/>
      <c r="R855" s="19"/>
      <c r="S855" s="19"/>
      <c r="T855" s="19"/>
      <c r="U855" s="19"/>
      <c r="V855" s="19"/>
    </row>
    <row r="856">
      <c r="A856" s="25"/>
      <c r="B856" s="19"/>
      <c r="C856" s="19"/>
      <c r="D856" s="19"/>
      <c r="E856" s="19"/>
      <c r="F856" s="17" t="str">
        <f>IFERROR(__xludf.DUMMYFUNCTION("""COMPUTED_VALUE"""),"")</f>
        <v/>
      </c>
      <c r="G856" s="20"/>
      <c r="H856" s="19"/>
      <c r="I856" s="19"/>
      <c r="J856" s="19"/>
      <c r="K856" s="19"/>
      <c r="L856" s="19"/>
      <c r="M856" s="19"/>
      <c r="N856" s="20" t="s">
        <v>39</v>
      </c>
      <c r="O856" s="19"/>
      <c r="P856" s="19"/>
      <c r="Q856" s="19"/>
      <c r="R856" s="19"/>
      <c r="S856" s="19"/>
      <c r="T856" s="19"/>
      <c r="U856" s="19"/>
      <c r="V856" s="19"/>
    </row>
    <row r="857">
      <c r="A857" s="25"/>
      <c r="B857" s="19"/>
      <c r="C857" s="19"/>
      <c r="D857" s="19"/>
      <c r="E857" s="19"/>
      <c r="F857" s="17" t="str">
        <f>IFERROR(__xludf.DUMMYFUNCTION("""COMPUTED_VALUE"""),"")</f>
        <v/>
      </c>
      <c r="G857" s="20"/>
      <c r="H857" s="19"/>
      <c r="I857" s="19"/>
      <c r="J857" s="19"/>
      <c r="K857" s="19"/>
      <c r="L857" s="19"/>
      <c r="M857" s="19"/>
      <c r="N857" s="20" t="s">
        <v>39</v>
      </c>
      <c r="O857" s="19"/>
      <c r="P857" s="19"/>
      <c r="Q857" s="19"/>
      <c r="R857" s="19"/>
      <c r="S857" s="19"/>
      <c r="T857" s="19"/>
      <c r="U857" s="19"/>
      <c r="V857" s="19"/>
    </row>
    <row r="858">
      <c r="A858" s="25"/>
      <c r="B858" s="19"/>
      <c r="C858" s="19"/>
      <c r="D858" s="19"/>
      <c r="E858" s="19"/>
      <c r="F858" s="17" t="str">
        <f>IFERROR(__xludf.DUMMYFUNCTION("""COMPUTED_VALUE"""),"")</f>
        <v/>
      </c>
      <c r="G858" s="20"/>
      <c r="H858" s="19"/>
      <c r="I858" s="19"/>
      <c r="J858" s="19"/>
      <c r="K858" s="19"/>
      <c r="L858" s="19"/>
      <c r="M858" s="19"/>
      <c r="N858" s="20" t="s">
        <v>39</v>
      </c>
      <c r="O858" s="19"/>
      <c r="P858" s="19"/>
      <c r="Q858" s="19"/>
      <c r="R858" s="19"/>
      <c r="S858" s="19"/>
      <c r="T858" s="19"/>
      <c r="U858" s="19"/>
      <c r="V858" s="19"/>
    </row>
    <row r="859">
      <c r="A859" s="25"/>
      <c r="B859" s="19"/>
      <c r="C859" s="19"/>
      <c r="D859" s="19"/>
      <c r="E859" s="19"/>
      <c r="F859" s="17" t="str">
        <f>IFERROR(__xludf.DUMMYFUNCTION("""COMPUTED_VALUE"""),"")</f>
        <v/>
      </c>
      <c r="G859" s="20"/>
      <c r="H859" s="19"/>
      <c r="I859" s="19"/>
      <c r="J859" s="19"/>
      <c r="K859" s="19"/>
      <c r="L859" s="19"/>
      <c r="M859" s="19"/>
      <c r="N859" s="20" t="s">
        <v>39</v>
      </c>
      <c r="O859" s="19"/>
      <c r="P859" s="19"/>
      <c r="Q859" s="19"/>
      <c r="R859" s="19"/>
      <c r="S859" s="19"/>
      <c r="T859" s="19"/>
      <c r="U859" s="19"/>
      <c r="V859" s="19"/>
    </row>
    <row r="860">
      <c r="A860" s="25"/>
      <c r="B860" s="19"/>
      <c r="C860" s="19"/>
      <c r="D860" s="19"/>
      <c r="E860" s="19"/>
      <c r="F860" s="17" t="str">
        <f>IFERROR(__xludf.DUMMYFUNCTION("""COMPUTED_VALUE"""),"")</f>
        <v/>
      </c>
      <c r="G860" s="20"/>
      <c r="H860" s="19"/>
      <c r="I860" s="19"/>
      <c r="J860" s="19"/>
      <c r="K860" s="19"/>
      <c r="L860" s="19"/>
      <c r="M860" s="19"/>
      <c r="N860" s="20" t="s">
        <v>39</v>
      </c>
      <c r="O860" s="19"/>
      <c r="P860" s="19"/>
      <c r="Q860" s="19"/>
      <c r="R860" s="19"/>
      <c r="S860" s="19"/>
      <c r="T860" s="19"/>
      <c r="U860" s="19"/>
      <c r="V860" s="19"/>
    </row>
    <row r="861">
      <c r="A861" s="25"/>
      <c r="B861" s="19"/>
      <c r="C861" s="19"/>
      <c r="D861" s="19"/>
      <c r="E861" s="19"/>
      <c r="F861" s="17" t="str">
        <f>IFERROR(__xludf.DUMMYFUNCTION("""COMPUTED_VALUE"""),"")</f>
        <v/>
      </c>
      <c r="G861" s="20"/>
      <c r="H861" s="19"/>
      <c r="I861" s="19"/>
      <c r="J861" s="19"/>
      <c r="K861" s="19"/>
      <c r="L861" s="19"/>
      <c r="M861" s="19"/>
      <c r="N861" s="20" t="s">
        <v>39</v>
      </c>
      <c r="O861" s="19"/>
      <c r="P861" s="19"/>
      <c r="Q861" s="19"/>
      <c r="R861" s="19"/>
      <c r="S861" s="19"/>
      <c r="T861" s="19"/>
      <c r="U861" s="19"/>
      <c r="V861" s="19"/>
    </row>
    <row r="862">
      <c r="A862" s="25"/>
      <c r="B862" s="19"/>
      <c r="C862" s="19"/>
      <c r="D862" s="19"/>
      <c r="E862" s="19"/>
      <c r="F862" s="17" t="str">
        <f>IFERROR(__xludf.DUMMYFUNCTION("""COMPUTED_VALUE"""),"")</f>
        <v/>
      </c>
      <c r="G862" s="20"/>
      <c r="H862" s="19"/>
      <c r="I862" s="19"/>
      <c r="J862" s="19"/>
      <c r="K862" s="19"/>
      <c r="L862" s="19"/>
      <c r="M862" s="19"/>
      <c r="N862" s="20" t="s">
        <v>39</v>
      </c>
      <c r="O862" s="19"/>
      <c r="P862" s="19"/>
      <c r="Q862" s="19"/>
      <c r="R862" s="19"/>
      <c r="S862" s="19"/>
      <c r="T862" s="19"/>
      <c r="U862" s="19"/>
      <c r="V862" s="19"/>
    </row>
    <row r="863">
      <c r="A863" s="25"/>
      <c r="B863" s="19"/>
      <c r="C863" s="19"/>
      <c r="D863" s="19"/>
      <c r="E863" s="19"/>
      <c r="F863" s="17" t="str">
        <f>IFERROR(__xludf.DUMMYFUNCTION("""COMPUTED_VALUE"""),"")</f>
        <v/>
      </c>
      <c r="G863" s="20"/>
      <c r="H863" s="19"/>
      <c r="I863" s="19"/>
      <c r="J863" s="19"/>
      <c r="K863" s="19"/>
      <c r="L863" s="19"/>
      <c r="M863" s="19"/>
      <c r="N863" s="20" t="s">
        <v>39</v>
      </c>
      <c r="O863" s="19"/>
      <c r="P863" s="19"/>
      <c r="Q863" s="19"/>
      <c r="R863" s="19"/>
      <c r="S863" s="19"/>
      <c r="T863" s="19"/>
      <c r="U863" s="19"/>
      <c r="V863" s="19"/>
    </row>
    <row r="864">
      <c r="A864" s="25"/>
      <c r="B864" s="19"/>
      <c r="C864" s="19"/>
      <c r="D864" s="19"/>
      <c r="E864" s="19"/>
      <c r="F864" s="17" t="str">
        <f>IFERROR(__xludf.DUMMYFUNCTION("""COMPUTED_VALUE"""),"")</f>
        <v/>
      </c>
      <c r="G864" s="20"/>
      <c r="H864" s="19"/>
      <c r="I864" s="19"/>
      <c r="J864" s="19"/>
      <c r="K864" s="19"/>
      <c r="L864" s="19"/>
      <c r="M864" s="19"/>
      <c r="N864" s="20" t="s">
        <v>39</v>
      </c>
      <c r="O864" s="19"/>
      <c r="P864" s="19"/>
      <c r="Q864" s="19"/>
      <c r="R864" s="19"/>
      <c r="S864" s="19"/>
      <c r="T864" s="19"/>
      <c r="U864" s="19"/>
      <c r="V864" s="19"/>
    </row>
    <row r="865">
      <c r="A865" s="25"/>
      <c r="B865" s="19"/>
      <c r="C865" s="19"/>
      <c r="D865" s="19"/>
      <c r="E865" s="19"/>
      <c r="F865" s="17" t="str">
        <f>IFERROR(__xludf.DUMMYFUNCTION("""COMPUTED_VALUE"""),"")</f>
        <v/>
      </c>
      <c r="G865" s="20"/>
      <c r="H865" s="19"/>
      <c r="I865" s="19"/>
      <c r="J865" s="19"/>
      <c r="K865" s="19"/>
      <c r="L865" s="19"/>
      <c r="M865" s="19"/>
      <c r="N865" s="20" t="s">
        <v>39</v>
      </c>
      <c r="O865" s="19"/>
      <c r="P865" s="19"/>
      <c r="Q865" s="19"/>
      <c r="R865" s="19"/>
      <c r="S865" s="19"/>
      <c r="T865" s="19"/>
      <c r="U865" s="19"/>
      <c r="V865" s="19"/>
    </row>
    <row r="866">
      <c r="A866" s="25"/>
      <c r="B866" s="19"/>
      <c r="C866" s="19"/>
      <c r="D866" s="19"/>
      <c r="E866" s="19"/>
      <c r="F866" s="17" t="str">
        <f>IFERROR(__xludf.DUMMYFUNCTION("""COMPUTED_VALUE"""),"")</f>
        <v/>
      </c>
      <c r="G866" s="20"/>
      <c r="H866" s="19"/>
      <c r="I866" s="19"/>
      <c r="J866" s="19"/>
      <c r="K866" s="19"/>
      <c r="L866" s="19"/>
      <c r="M866" s="19"/>
      <c r="N866" s="20" t="s">
        <v>39</v>
      </c>
      <c r="O866" s="19"/>
      <c r="P866" s="19"/>
      <c r="Q866" s="19"/>
      <c r="R866" s="19"/>
      <c r="S866" s="19"/>
      <c r="T866" s="19"/>
      <c r="U866" s="19"/>
      <c r="V866" s="19"/>
    </row>
    <row r="867">
      <c r="A867" s="25"/>
      <c r="B867" s="19"/>
      <c r="C867" s="19"/>
      <c r="D867" s="19"/>
      <c r="E867" s="19"/>
      <c r="F867" s="17" t="str">
        <f>IFERROR(__xludf.DUMMYFUNCTION("""COMPUTED_VALUE"""),"")</f>
        <v/>
      </c>
      <c r="G867" s="20"/>
      <c r="H867" s="19"/>
      <c r="I867" s="19"/>
      <c r="J867" s="19"/>
      <c r="K867" s="19"/>
      <c r="L867" s="19"/>
      <c r="M867" s="19"/>
      <c r="N867" s="20" t="s">
        <v>39</v>
      </c>
      <c r="O867" s="19"/>
      <c r="P867" s="19"/>
      <c r="Q867" s="19"/>
      <c r="R867" s="19"/>
      <c r="S867" s="19"/>
      <c r="T867" s="19"/>
      <c r="U867" s="19"/>
      <c r="V867" s="19"/>
    </row>
    <row r="868">
      <c r="A868" s="25"/>
      <c r="B868" s="19"/>
      <c r="C868" s="19"/>
      <c r="D868" s="19"/>
      <c r="E868" s="19"/>
      <c r="F868" s="17" t="str">
        <f>IFERROR(__xludf.DUMMYFUNCTION("""COMPUTED_VALUE"""),"")</f>
        <v/>
      </c>
      <c r="G868" s="20"/>
      <c r="H868" s="19"/>
      <c r="I868" s="19"/>
      <c r="J868" s="19"/>
      <c r="K868" s="19"/>
      <c r="L868" s="19"/>
      <c r="M868" s="19"/>
      <c r="N868" s="20" t="s">
        <v>39</v>
      </c>
      <c r="O868" s="19"/>
      <c r="P868" s="19"/>
      <c r="Q868" s="19"/>
      <c r="R868" s="19"/>
      <c r="S868" s="19"/>
      <c r="T868" s="19"/>
      <c r="U868" s="19"/>
      <c r="V868" s="19"/>
    </row>
    <row r="869">
      <c r="A869" s="25"/>
      <c r="B869" s="19"/>
      <c r="C869" s="19"/>
      <c r="D869" s="19"/>
      <c r="E869" s="19"/>
      <c r="F869" s="17" t="str">
        <f>IFERROR(__xludf.DUMMYFUNCTION("""COMPUTED_VALUE"""),"")</f>
        <v/>
      </c>
      <c r="G869" s="20"/>
      <c r="H869" s="19"/>
      <c r="I869" s="19"/>
      <c r="J869" s="19"/>
      <c r="K869" s="19"/>
      <c r="L869" s="19"/>
      <c r="M869" s="19"/>
      <c r="N869" s="20" t="s">
        <v>39</v>
      </c>
      <c r="O869" s="19"/>
      <c r="P869" s="19"/>
      <c r="Q869" s="19"/>
      <c r="R869" s="19"/>
      <c r="S869" s="19"/>
      <c r="T869" s="19"/>
      <c r="U869" s="19"/>
      <c r="V869" s="19"/>
    </row>
    <row r="870">
      <c r="A870" s="25"/>
      <c r="B870" s="19"/>
      <c r="C870" s="19"/>
      <c r="D870" s="19"/>
      <c r="E870" s="19"/>
      <c r="F870" s="17" t="str">
        <f>IFERROR(__xludf.DUMMYFUNCTION("""COMPUTED_VALUE"""),"")</f>
        <v/>
      </c>
      <c r="G870" s="20"/>
      <c r="H870" s="19"/>
      <c r="I870" s="19"/>
      <c r="J870" s="19"/>
      <c r="K870" s="19"/>
      <c r="L870" s="19"/>
      <c r="M870" s="19"/>
      <c r="N870" s="20" t="s">
        <v>39</v>
      </c>
      <c r="O870" s="19"/>
      <c r="P870" s="19"/>
      <c r="Q870" s="19"/>
      <c r="R870" s="19"/>
      <c r="S870" s="19"/>
      <c r="T870" s="19"/>
      <c r="U870" s="19"/>
      <c r="V870" s="19"/>
    </row>
    <row r="871">
      <c r="A871" s="25"/>
      <c r="B871" s="19"/>
      <c r="C871" s="19"/>
      <c r="D871" s="19"/>
      <c r="E871" s="19"/>
      <c r="F871" s="17" t="str">
        <f>IFERROR(__xludf.DUMMYFUNCTION("""COMPUTED_VALUE"""),"")</f>
        <v/>
      </c>
      <c r="G871" s="20"/>
      <c r="H871" s="19"/>
      <c r="I871" s="19"/>
      <c r="J871" s="19"/>
      <c r="K871" s="19"/>
      <c r="L871" s="19"/>
      <c r="M871" s="19"/>
      <c r="N871" s="20" t="s">
        <v>39</v>
      </c>
      <c r="O871" s="19"/>
      <c r="P871" s="19"/>
      <c r="Q871" s="19"/>
      <c r="R871" s="19"/>
      <c r="S871" s="19"/>
      <c r="T871" s="19"/>
      <c r="U871" s="19"/>
      <c r="V871" s="19"/>
    </row>
    <row r="872">
      <c r="A872" s="25"/>
      <c r="B872" s="19"/>
      <c r="C872" s="19"/>
      <c r="D872" s="19"/>
      <c r="E872" s="19"/>
      <c r="F872" s="17" t="str">
        <f>IFERROR(__xludf.DUMMYFUNCTION("""COMPUTED_VALUE"""),"")</f>
        <v/>
      </c>
      <c r="G872" s="20"/>
      <c r="H872" s="19"/>
      <c r="I872" s="19"/>
      <c r="J872" s="19"/>
      <c r="K872" s="19"/>
      <c r="L872" s="19"/>
      <c r="M872" s="19"/>
      <c r="N872" s="20" t="s">
        <v>39</v>
      </c>
      <c r="O872" s="19"/>
      <c r="P872" s="19"/>
      <c r="Q872" s="19"/>
      <c r="R872" s="19"/>
      <c r="S872" s="19"/>
      <c r="T872" s="19"/>
      <c r="U872" s="19"/>
      <c r="V872" s="19"/>
    </row>
    <row r="873">
      <c r="A873" s="25"/>
      <c r="B873" s="19"/>
      <c r="C873" s="19"/>
      <c r="D873" s="19"/>
      <c r="E873" s="19"/>
      <c r="F873" s="17" t="str">
        <f>IFERROR(__xludf.DUMMYFUNCTION("""COMPUTED_VALUE"""),"")</f>
        <v/>
      </c>
      <c r="G873" s="20"/>
      <c r="H873" s="19"/>
      <c r="I873" s="19"/>
      <c r="J873" s="19"/>
      <c r="K873" s="19"/>
      <c r="L873" s="19"/>
      <c r="M873" s="19"/>
      <c r="N873" s="20" t="s">
        <v>39</v>
      </c>
      <c r="O873" s="19"/>
      <c r="P873" s="19"/>
      <c r="Q873" s="19"/>
      <c r="R873" s="19"/>
      <c r="S873" s="19"/>
      <c r="T873" s="19"/>
      <c r="U873" s="19"/>
      <c r="V873" s="19"/>
    </row>
    <row r="874">
      <c r="A874" s="25"/>
      <c r="B874" s="19"/>
      <c r="C874" s="19"/>
      <c r="D874" s="19"/>
      <c r="E874" s="19"/>
      <c r="F874" s="17" t="str">
        <f>IFERROR(__xludf.DUMMYFUNCTION("""COMPUTED_VALUE"""),"")</f>
        <v/>
      </c>
      <c r="G874" s="20"/>
      <c r="H874" s="19"/>
      <c r="I874" s="19"/>
      <c r="J874" s="19"/>
      <c r="K874" s="19"/>
      <c r="L874" s="19"/>
      <c r="M874" s="19"/>
      <c r="N874" s="20" t="s">
        <v>39</v>
      </c>
      <c r="O874" s="19"/>
      <c r="P874" s="19"/>
      <c r="Q874" s="19"/>
      <c r="R874" s="19"/>
      <c r="S874" s="19"/>
      <c r="T874" s="19"/>
      <c r="U874" s="19"/>
      <c r="V874" s="19"/>
    </row>
    <row r="875">
      <c r="A875" s="25"/>
      <c r="B875" s="19"/>
      <c r="C875" s="19"/>
      <c r="D875" s="19"/>
      <c r="E875" s="19"/>
      <c r="F875" s="17" t="str">
        <f>IFERROR(__xludf.DUMMYFUNCTION("""COMPUTED_VALUE"""),"")</f>
        <v/>
      </c>
      <c r="G875" s="20"/>
      <c r="H875" s="19"/>
      <c r="I875" s="19"/>
      <c r="J875" s="19"/>
      <c r="K875" s="19"/>
      <c r="L875" s="19"/>
      <c r="M875" s="19"/>
      <c r="N875" s="20" t="s">
        <v>39</v>
      </c>
      <c r="O875" s="19"/>
      <c r="P875" s="19"/>
      <c r="Q875" s="19"/>
      <c r="R875" s="19"/>
      <c r="S875" s="19"/>
      <c r="T875" s="19"/>
      <c r="U875" s="19"/>
      <c r="V875" s="19"/>
    </row>
    <row r="876">
      <c r="A876" s="25"/>
      <c r="B876" s="19"/>
      <c r="C876" s="19"/>
      <c r="D876" s="19"/>
      <c r="E876" s="19"/>
      <c r="F876" s="17" t="str">
        <f>IFERROR(__xludf.DUMMYFUNCTION("""COMPUTED_VALUE"""),"")</f>
        <v/>
      </c>
      <c r="G876" s="20"/>
      <c r="H876" s="19"/>
      <c r="I876" s="19"/>
      <c r="J876" s="19"/>
      <c r="K876" s="19"/>
      <c r="L876" s="19"/>
      <c r="M876" s="19"/>
      <c r="N876" s="20" t="s">
        <v>39</v>
      </c>
      <c r="O876" s="19"/>
      <c r="P876" s="19"/>
      <c r="Q876" s="19"/>
      <c r="R876" s="19"/>
      <c r="S876" s="19"/>
      <c r="T876" s="19"/>
      <c r="U876" s="19"/>
      <c r="V876" s="19"/>
    </row>
    <row r="877">
      <c r="A877" s="25"/>
      <c r="B877" s="19"/>
      <c r="C877" s="19"/>
      <c r="D877" s="19"/>
      <c r="E877" s="19"/>
      <c r="F877" s="17" t="str">
        <f>IFERROR(__xludf.DUMMYFUNCTION("""COMPUTED_VALUE"""),"")</f>
        <v/>
      </c>
      <c r="G877" s="20"/>
      <c r="H877" s="19"/>
      <c r="I877" s="19"/>
      <c r="J877" s="19"/>
      <c r="K877" s="19"/>
      <c r="L877" s="19"/>
      <c r="M877" s="19"/>
      <c r="N877" s="20" t="s">
        <v>39</v>
      </c>
      <c r="O877" s="19"/>
      <c r="P877" s="19"/>
      <c r="Q877" s="19"/>
      <c r="R877" s="19"/>
      <c r="S877" s="19"/>
      <c r="T877" s="19"/>
      <c r="U877" s="19"/>
      <c r="V877" s="19"/>
    </row>
    <row r="878">
      <c r="A878" s="25"/>
      <c r="B878" s="19"/>
      <c r="C878" s="19"/>
      <c r="D878" s="19"/>
      <c r="E878" s="19"/>
      <c r="F878" s="17" t="str">
        <f>IFERROR(__xludf.DUMMYFUNCTION("""COMPUTED_VALUE"""),"")</f>
        <v/>
      </c>
      <c r="G878" s="20"/>
      <c r="H878" s="19"/>
      <c r="I878" s="19"/>
      <c r="J878" s="19"/>
      <c r="K878" s="19"/>
      <c r="L878" s="19"/>
      <c r="M878" s="19"/>
      <c r="N878" s="20" t="s">
        <v>39</v>
      </c>
      <c r="O878" s="19"/>
      <c r="P878" s="19"/>
      <c r="Q878" s="19"/>
      <c r="R878" s="19"/>
      <c r="S878" s="19"/>
      <c r="T878" s="19"/>
      <c r="U878" s="19"/>
      <c r="V878" s="19"/>
    </row>
    <row r="879">
      <c r="A879" s="25"/>
      <c r="B879" s="19"/>
      <c r="C879" s="19"/>
      <c r="D879" s="19"/>
      <c r="E879" s="19"/>
      <c r="F879" s="17" t="str">
        <f>IFERROR(__xludf.DUMMYFUNCTION("""COMPUTED_VALUE"""),"")</f>
        <v/>
      </c>
      <c r="G879" s="20"/>
      <c r="H879" s="19"/>
      <c r="I879" s="19"/>
      <c r="J879" s="19"/>
      <c r="K879" s="19"/>
      <c r="L879" s="19"/>
      <c r="M879" s="19"/>
      <c r="N879" s="20" t="s">
        <v>39</v>
      </c>
      <c r="O879" s="19"/>
      <c r="P879" s="19"/>
      <c r="Q879" s="19"/>
      <c r="R879" s="19"/>
      <c r="S879" s="19"/>
      <c r="T879" s="19"/>
      <c r="U879" s="19"/>
      <c r="V879" s="19"/>
    </row>
    <row r="880">
      <c r="A880" s="25"/>
      <c r="B880" s="19"/>
      <c r="C880" s="19"/>
      <c r="D880" s="19"/>
      <c r="E880" s="19"/>
      <c r="F880" s="17" t="str">
        <f>IFERROR(__xludf.DUMMYFUNCTION("""COMPUTED_VALUE"""),"")</f>
        <v/>
      </c>
      <c r="G880" s="20"/>
      <c r="H880" s="19"/>
      <c r="I880" s="19"/>
      <c r="J880" s="19"/>
      <c r="K880" s="19"/>
      <c r="L880" s="19"/>
      <c r="M880" s="19"/>
      <c r="N880" s="20" t="s">
        <v>39</v>
      </c>
      <c r="O880" s="19"/>
      <c r="P880" s="19"/>
      <c r="Q880" s="19"/>
      <c r="R880" s="19"/>
      <c r="S880" s="19"/>
      <c r="T880" s="19"/>
      <c r="U880" s="19"/>
      <c r="V880" s="19"/>
    </row>
    <row r="881">
      <c r="A881" s="25"/>
      <c r="B881" s="19"/>
      <c r="C881" s="19"/>
      <c r="D881" s="19"/>
      <c r="E881" s="19"/>
      <c r="F881" s="17" t="str">
        <f>IFERROR(__xludf.DUMMYFUNCTION("""COMPUTED_VALUE"""),"")</f>
        <v/>
      </c>
      <c r="G881" s="20"/>
      <c r="H881" s="19"/>
      <c r="I881" s="19"/>
      <c r="J881" s="19"/>
      <c r="K881" s="19"/>
      <c r="L881" s="19"/>
      <c r="M881" s="19"/>
      <c r="N881" s="20" t="s">
        <v>39</v>
      </c>
      <c r="O881" s="19"/>
      <c r="P881" s="19"/>
      <c r="Q881" s="19"/>
      <c r="R881" s="19"/>
      <c r="S881" s="19"/>
      <c r="T881" s="19"/>
      <c r="U881" s="19"/>
      <c r="V881" s="19"/>
    </row>
    <row r="882">
      <c r="A882" s="25"/>
      <c r="B882" s="19"/>
      <c r="C882" s="19"/>
      <c r="D882" s="19"/>
      <c r="E882" s="19"/>
      <c r="F882" s="17" t="str">
        <f>IFERROR(__xludf.DUMMYFUNCTION("""COMPUTED_VALUE"""),"")</f>
        <v/>
      </c>
      <c r="G882" s="20"/>
      <c r="H882" s="19"/>
      <c r="I882" s="19"/>
      <c r="J882" s="19"/>
      <c r="K882" s="19"/>
      <c r="L882" s="19"/>
      <c r="M882" s="19"/>
      <c r="N882" s="20" t="s">
        <v>39</v>
      </c>
      <c r="O882" s="19"/>
      <c r="P882" s="19"/>
      <c r="Q882" s="19"/>
      <c r="R882" s="19"/>
      <c r="S882" s="19"/>
      <c r="T882" s="19"/>
      <c r="U882" s="19"/>
      <c r="V882" s="19"/>
    </row>
    <row r="883">
      <c r="A883" s="25"/>
      <c r="B883" s="19"/>
      <c r="C883" s="19"/>
      <c r="D883" s="19"/>
      <c r="E883" s="19"/>
      <c r="F883" s="17" t="str">
        <f>IFERROR(__xludf.DUMMYFUNCTION("""COMPUTED_VALUE"""),"")</f>
        <v/>
      </c>
      <c r="G883" s="20"/>
      <c r="H883" s="19"/>
      <c r="I883" s="19"/>
      <c r="J883" s="19"/>
      <c r="K883" s="19"/>
      <c r="L883" s="19"/>
      <c r="M883" s="19"/>
      <c r="N883" s="20" t="s">
        <v>39</v>
      </c>
      <c r="O883" s="19"/>
      <c r="P883" s="19"/>
      <c r="Q883" s="19"/>
      <c r="R883" s="19"/>
      <c r="S883" s="19"/>
      <c r="T883" s="19"/>
      <c r="U883" s="19"/>
      <c r="V883" s="19"/>
    </row>
    <row r="884">
      <c r="A884" s="25"/>
      <c r="B884" s="19"/>
      <c r="C884" s="19"/>
      <c r="D884" s="19"/>
      <c r="E884" s="19"/>
      <c r="F884" s="17" t="str">
        <f>IFERROR(__xludf.DUMMYFUNCTION("""COMPUTED_VALUE"""),"")</f>
        <v/>
      </c>
      <c r="G884" s="20"/>
      <c r="H884" s="19"/>
      <c r="I884" s="19"/>
      <c r="J884" s="19"/>
      <c r="K884" s="19"/>
      <c r="L884" s="19"/>
      <c r="M884" s="19"/>
      <c r="N884" s="20" t="s">
        <v>39</v>
      </c>
      <c r="O884" s="19"/>
      <c r="P884" s="19"/>
      <c r="Q884" s="19"/>
      <c r="R884" s="19"/>
      <c r="S884" s="19"/>
      <c r="T884" s="19"/>
      <c r="U884" s="19"/>
      <c r="V884" s="19"/>
    </row>
    <row r="885">
      <c r="A885" s="25"/>
      <c r="B885" s="19"/>
      <c r="C885" s="19"/>
      <c r="D885" s="19"/>
      <c r="E885" s="19"/>
      <c r="F885" s="17" t="str">
        <f>IFERROR(__xludf.DUMMYFUNCTION("""COMPUTED_VALUE"""),"")</f>
        <v/>
      </c>
      <c r="G885" s="20"/>
      <c r="H885" s="19"/>
      <c r="I885" s="19"/>
      <c r="J885" s="19"/>
      <c r="K885" s="19"/>
      <c r="L885" s="19"/>
      <c r="M885" s="19"/>
      <c r="N885" s="20" t="s">
        <v>39</v>
      </c>
      <c r="O885" s="19"/>
      <c r="P885" s="19"/>
      <c r="Q885" s="19"/>
      <c r="R885" s="19"/>
      <c r="S885" s="19"/>
      <c r="T885" s="19"/>
      <c r="U885" s="19"/>
      <c r="V885" s="19"/>
    </row>
    <row r="886">
      <c r="A886" s="25"/>
      <c r="B886" s="19"/>
      <c r="C886" s="19"/>
      <c r="D886" s="19"/>
      <c r="E886" s="19"/>
      <c r="F886" s="17" t="str">
        <f>IFERROR(__xludf.DUMMYFUNCTION("""COMPUTED_VALUE"""),"")</f>
        <v/>
      </c>
      <c r="G886" s="20"/>
      <c r="H886" s="19"/>
      <c r="I886" s="19"/>
      <c r="J886" s="19"/>
      <c r="K886" s="19"/>
      <c r="L886" s="19"/>
      <c r="M886" s="19"/>
      <c r="N886" s="20" t="s">
        <v>39</v>
      </c>
      <c r="O886" s="19"/>
      <c r="P886" s="19"/>
      <c r="Q886" s="19"/>
      <c r="R886" s="19"/>
      <c r="S886" s="19"/>
      <c r="T886" s="19"/>
      <c r="U886" s="19"/>
      <c r="V886" s="19"/>
    </row>
    <row r="887">
      <c r="A887" s="25"/>
      <c r="B887" s="19"/>
      <c r="C887" s="19"/>
      <c r="D887" s="19"/>
      <c r="E887" s="19"/>
      <c r="F887" s="17" t="str">
        <f>IFERROR(__xludf.DUMMYFUNCTION("""COMPUTED_VALUE"""),"")</f>
        <v/>
      </c>
      <c r="G887" s="20"/>
      <c r="H887" s="19"/>
      <c r="I887" s="19"/>
      <c r="J887" s="19"/>
      <c r="K887" s="19"/>
      <c r="L887" s="19"/>
      <c r="M887" s="19"/>
      <c r="N887" s="20" t="s">
        <v>39</v>
      </c>
      <c r="O887" s="19"/>
      <c r="P887" s="19"/>
      <c r="Q887" s="19"/>
      <c r="R887" s="19"/>
      <c r="S887" s="19"/>
      <c r="T887" s="19"/>
      <c r="U887" s="19"/>
      <c r="V887" s="19"/>
    </row>
    <row r="888">
      <c r="A888" s="25"/>
      <c r="B888" s="19"/>
      <c r="C888" s="19"/>
      <c r="D888" s="19"/>
      <c r="E888" s="19"/>
      <c r="F888" s="17" t="str">
        <f>IFERROR(__xludf.DUMMYFUNCTION("""COMPUTED_VALUE"""),"")</f>
        <v/>
      </c>
      <c r="G888" s="20"/>
      <c r="H888" s="19"/>
      <c r="I888" s="19"/>
      <c r="J888" s="19"/>
      <c r="K888" s="19"/>
      <c r="L888" s="19"/>
      <c r="M888" s="19"/>
      <c r="N888" s="20" t="s">
        <v>39</v>
      </c>
      <c r="O888" s="19"/>
      <c r="P888" s="19"/>
      <c r="Q888" s="19"/>
      <c r="R888" s="19"/>
      <c r="S888" s="19"/>
      <c r="T888" s="19"/>
      <c r="U888" s="19"/>
      <c r="V888" s="19"/>
    </row>
    <row r="889">
      <c r="A889" s="25"/>
      <c r="B889" s="19"/>
      <c r="C889" s="19"/>
      <c r="D889" s="19"/>
      <c r="E889" s="19"/>
      <c r="F889" s="17" t="str">
        <f>IFERROR(__xludf.DUMMYFUNCTION("""COMPUTED_VALUE"""),"")</f>
        <v/>
      </c>
      <c r="G889" s="20"/>
      <c r="H889" s="19"/>
      <c r="I889" s="19"/>
      <c r="J889" s="19"/>
      <c r="K889" s="19"/>
      <c r="L889" s="19"/>
      <c r="M889" s="19"/>
      <c r="N889" s="20" t="s">
        <v>39</v>
      </c>
      <c r="O889" s="19"/>
      <c r="P889" s="19"/>
      <c r="Q889" s="19"/>
      <c r="R889" s="19"/>
      <c r="S889" s="19"/>
      <c r="T889" s="19"/>
      <c r="U889" s="19"/>
      <c r="V889" s="19"/>
    </row>
    <row r="890">
      <c r="A890" s="25"/>
      <c r="B890" s="19"/>
      <c r="C890" s="19"/>
      <c r="D890" s="19"/>
      <c r="E890" s="19"/>
      <c r="F890" s="17" t="str">
        <f>IFERROR(__xludf.DUMMYFUNCTION("""COMPUTED_VALUE"""),"")</f>
        <v/>
      </c>
      <c r="G890" s="20"/>
      <c r="H890" s="19"/>
      <c r="I890" s="19"/>
      <c r="J890" s="19"/>
      <c r="K890" s="19"/>
      <c r="L890" s="19"/>
      <c r="M890" s="19"/>
      <c r="N890" s="20" t="s">
        <v>39</v>
      </c>
      <c r="O890" s="19"/>
      <c r="P890" s="19"/>
      <c r="Q890" s="19"/>
      <c r="R890" s="19"/>
      <c r="S890" s="19"/>
      <c r="T890" s="19"/>
      <c r="U890" s="19"/>
      <c r="V890" s="19"/>
    </row>
    <row r="891">
      <c r="A891" s="25"/>
      <c r="B891" s="19"/>
      <c r="C891" s="19"/>
      <c r="D891" s="19"/>
      <c r="E891" s="19"/>
      <c r="F891" s="17" t="str">
        <f>IFERROR(__xludf.DUMMYFUNCTION("""COMPUTED_VALUE"""),"")</f>
        <v/>
      </c>
      <c r="G891" s="20"/>
      <c r="H891" s="19"/>
      <c r="I891" s="19"/>
      <c r="J891" s="19"/>
      <c r="K891" s="19"/>
      <c r="L891" s="19"/>
      <c r="M891" s="19"/>
      <c r="N891" s="20" t="s">
        <v>39</v>
      </c>
      <c r="O891" s="19"/>
      <c r="P891" s="19"/>
      <c r="Q891" s="19"/>
      <c r="R891" s="19"/>
      <c r="S891" s="19"/>
      <c r="T891" s="19"/>
      <c r="U891" s="19"/>
      <c r="V891" s="19"/>
    </row>
    <row r="892">
      <c r="A892" s="25"/>
      <c r="B892" s="19"/>
      <c r="C892" s="19"/>
      <c r="D892" s="19"/>
      <c r="E892" s="19"/>
      <c r="F892" s="17" t="str">
        <f>IFERROR(__xludf.DUMMYFUNCTION("""COMPUTED_VALUE"""),"")</f>
        <v/>
      </c>
      <c r="G892" s="20"/>
      <c r="H892" s="19"/>
      <c r="I892" s="19"/>
      <c r="J892" s="19"/>
      <c r="K892" s="19"/>
      <c r="L892" s="19"/>
      <c r="M892" s="19"/>
      <c r="N892" s="20" t="s">
        <v>39</v>
      </c>
      <c r="O892" s="19"/>
      <c r="P892" s="19"/>
      <c r="Q892" s="19"/>
      <c r="R892" s="19"/>
      <c r="S892" s="19"/>
      <c r="T892" s="19"/>
      <c r="U892" s="19"/>
      <c r="V892" s="19"/>
    </row>
    <row r="893">
      <c r="A893" s="25"/>
      <c r="B893" s="19"/>
      <c r="C893" s="19"/>
      <c r="D893" s="19"/>
      <c r="E893" s="19"/>
      <c r="F893" s="17" t="str">
        <f>IFERROR(__xludf.DUMMYFUNCTION("""COMPUTED_VALUE"""),"")</f>
        <v/>
      </c>
      <c r="G893" s="20"/>
      <c r="H893" s="19"/>
      <c r="I893" s="19"/>
      <c r="J893" s="19"/>
      <c r="K893" s="19"/>
      <c r="L893" s="19"/>
      <c r="M893" s="19"/>
      <c r="N893" s="20" t="s">
        <v>39</v>
      </c>
      <c r="O893" s="19"/>
      <c r="P893" s="19"/>
      <c r="Q893" s="19"/>
      <c r="R893" s="19"/>
      <c r="S893" s="19"/>
      <c r="T893" s="19"/>
      <c r="U893" s="19"/>
      <c r="V893" s="19"/>
    </row>
    <row r="894">
      <c r="A894" s="25"/>
      <c r="B894" s="19"/>
      <c r="C894" s="19"/>
      <c r="D894" s="19"/>
      <c r="E894" s="19"/>
      <c r="F894" s="17" t="str">
        <f>IFERROR(__xludf.DUMMYFUNCTION("""COMPUTED_VALUE"""),"")</f>
        <v/>
      </c>
      <c r="G894" s="20"/>
      <c r="H894" s="19"/>
      <c r="I894" s="19"/>
      <c r="J894" s="19"/>
      <c r="K894" s="19"/>
      <c r="L894" s="19"/>
      <c r="M894" s="19"/>
      <c r="N894" s="20" t="s">
        <v>39</v>
      </c>
      <c r="O894" s="19"/>
      <c r="P894" s="19"/>
      <c r="Q894" s="19"/>
      <c r="R894" s="19"/>
      <c r="S894" s="19"/>
      <c r="T894" s="19"/>
      <c r="U894" s="19"/>
      <c r="V894" s="19"/>
    </row>
    <row r="895">
      <c r="A895" s="25"/>
      <c r="B895" s="19"/>
      <c r="C895" s="19"/>
      <c r="D895" s="19"/>
      <c r="E895" s="19"/>
      <c r="F895" s="17" t="str">
        <f>IFERROR(__xludf.DUMMYFUNCTION("""COMPUTED_VALUE"""),"")</f>
        <v/>
      </c>
      <c r="G895" s="20"/>
      <c r="H895" s="19"/>
      <c r="I895" s="19"/>
      <c r="J895" s="19"/>
      <c r="K895" s="19"/>
      <c r="L895" s="19"/>
      <c r="M895" s="19"/>
      <c r="N895" s="20" t="s">
        <v>39</v>
      </c>
      <c r="O895" s="19"/>
      <c r="P895" s="19"/>
      <c r="Q895" s="19"/>
      <c r="R895" s="19"/>
      <c r="S895" s="19"/>
      <c r="T895" s="19"/>
      <c r="U895" s="19"/>
      <c r="V895" s="19"/>
    </row>
    <row r="896">
      <c r="A896" s="25"/>
      <c r="B896" s="19"/>
      <c r="C896" s="19"/>
      <c r="D896" s="19"/>
      <c r="E896" s="19"/>
      <c r="F896" s="17" t="str">
        <f>IFERROR(__xludf.DUMMYFUNCTION("""COMPUTED_VALUE"""),"")</f>
        <v/>
      </c>
      <c r="G896" s="20"/>
      <c r="H896" s="19"/>
      <c r="I896" s="19"/>
      <c r="J896" s="19"/>
      <c r="K896" s="19"/>
      <c r="L896" s="19"/>
      <c r="M896" s="19"/>
      <c r="N896" s="20" t="s">
        <v>39</v>
      </c>
      <c r="O896" s="19"/>
      <c r="P896" s="19"/>
      <c r="Q896" s="19"/>
      <c r="R896" s="19"/>
      <c r="S896" s="19"/>
      <c r="T896" s="19"/>
      <c r="U896" s="19"/>
      <c r="V896" s="19"/>
    </row>
    <row r="897">
      <c r="A897" s="25"/>
      <c r="B897" s="19"/>
      <c r="C897" s="19"/>
      <c r="D897" s="19"/>
      <c r="E897" s="19"/>
      <c r="F897" s="17" t="str">
        <f>IFERROR(__xludf.DUMMYFUNCTION("""COMPUTED_VALUE"""),"")</f>
        <v/>
      </c>
      <c r="G897" s="20"/>
      <c r="H897" s="19"/>
      <c r="I897" s="19"/>
      <c r="J897" s="19"/>
      <c r="K897" s="19"/>
      <c r="L897" s="19"/>
      <c r="M897" s="19"/>
      <c r="N897" s="20" t="s">
        <v>39</v>
      </c>
      <c r="O897" s="19"/>
      <c r="P897" s="19"/>
      <c r="Q897" s="19"/>
      <c r="R897" s="19"/>
      <c r="S897" s="19"/>
      <c r="T897" s="19"/>
      <c r="U897" s="19"/>
      <c r="V897" s="19"/>
    </row>
    <row r="898">
      <c r="A898" s="25"/>
      <c r="B898" s="19"/>
      <c r="C898" s="19"/>
      <c r="D898" s="19"/>
      <c r="E898" s="19"/>
      <c r="F898" s="17" t="str">
        <f>IFERROR(__xludf.DUMMYFUNCTION("""COMPUTED_VALUE"""),"")</f>
        <v/>
      </c>
      <c r="G898" s="20"/>
      <c r="H898" s="19"/>
      <c r="I898" s="19"/>
      <c r="J898" s="19"/>
      <c r="K898" s="19"/>
      <c r="L898" s="19"/>
      <c r="M898" s="19"/>
      <c r="N898" s="20" t="s">
        <v>39</v>
      </c>
      <c r="O898" s="19"/>
      <c r="P898" s="19"/>
      <c r="Q898" s="19"/>
      <c r="R898" s="19"/>
      <c r="S898" s="19"/>
      <c r="T898" s="19"/>
      <c r="U898" s="19"/>
      <c r="V898" s="19"/>
    </row>
    <row r="899">
      <c r="A899" s="25"/>
      <c r="B899" s="19"/>
      <c r="C899" s="19"/>
      <c r="D899" s="19"/>
      <c r="E899" s="19"/>
      <c r="F899" s="17" t="str">
        <f>IFERROR(__xludf.DUMMYFUNCTION("""COMPUTED_VALUE"""),"")</f>
        <v/>
      </c>
      <c r="G899" s="20"/>
      <c r="H899" s="19"/>
      <c r="I899" s="19"/>
      <c r="J899" s="19"/>
      <c r="K899" s="19"/>
      <c r="L899" s="19"/>
      <c r="M899" s="19"/>
      <c r="N899" s="20" t="s">
        <v>39</v>
      </c>
      <c r="O899" s="19"/>
      <c r="P899" s="19"/>
      <c r="Q899" s="19"/>
      <c r="R899" s="19"/>
      <c r="S899" s="19"/>
      <c r="T899" s="19"/>
      <c r="U899" s="19"/>
      <c r="V899" s="19"/>
    </row>
    <row r="900">
      <c r="A900" s="25"/>
      <c r="B900" s="19"/>
      <c r="C900" s="19"/>
      <c r="D900" s="19"/>
      <c r="E900" s="19"/>
      <c r="F900" s="17" t="str">
        <f>IFERROR(__xludf.DUMMYFUNCTION("""COMPUTED_VALUE"""),"")</f>
        <v/>
      </c>
      <c r="G900" s="20"/>
      <c r="H900" s="19"/>
      <c r="I900" s="19"/>
      <c r="J900" s="19"/>
      <c r="K900" s="19"/>
      <c r="L900" s="19"/>
      <c r="M900" s="19"/>
      <c r="N900" s="20" t="s">
        <v>39</v>
      </c>
      <c r="O900" s="19"/>
      <c r="P900" s="19"/>
      <c r="Q900" s="19"/>
      <c r="R900" s="19"/>
      <c r="S900" s="19"/>
      <c r="T900" s="19"/>
      <c r="U900" s="19"/>
      <c r="V900" s="19"/>
    </row>
    <row r="901">
      <c r="A901" s="25"/>
      <c r="B901" s="19"/>
      <c r="C901" s="19"/>
      <c r="D901" s="19"/>
      <c r="E901" s="19"/>
      <c r="F901" s="17" t="str">
        <f>IFERROR(__xludf.DUMMYFUNCTION("""COMPUTED_VALUE"""),"")</f>
        <v/>
      </c>
      <c r="G901" s="20"/>
      <c r="H901" s="19"/>
      <c r="I901" s="19"/>
      <c r="J901" s="19"/>
      <c r="K901" s="19"/>
      <c r="L901" s="19"/>
      <c r="M901" s="19"/>
      <c r="N901" s="20" t="s">
        <v>39</v>
      </c>
      <c r="O901" s="19"/>
      <c r="P901" s="19"/>
      <c r="Q901" s="19"/>
      <c r="R901" s="19"/>
      <c r="S901" s="19"/>
      <c r="T901" s="19"/>
      <c r="U901" s="19"/>
      <c r="V901" s="19"/>
    </row>
    <row r="902">
      <c r="A902" s="25"/>
      <c r="B902" s="19"/>
      <c r="C902" s="19"/>
      <c r="D902" s="19"/>
      <c r="E902" s="19"/>
      <c r="F902" s="17" t="str">
        <f>IFERROR(__xludf.DUMMYFUNCTION("""COMPUTED_VALUE"""),"")</f>
        <v/>
      </c>
      <c r="G902" s="20"/>
      <c r="H902" s="19"/>
      <c r="I902" s="19"/>
      <c r="J902" s="19"/>
      <c r="K902" s="19"/>
      <c r="L902" s="19"/>
      <c r="M902" s="19"/>
      <c r="N902" s="20" t="s">
        <v>39</v>
      </c>
      <c r="O902" s="19"/>
      <c r="P902" s="19"/>
      <c r="Q902" s="19"/>
      <c r="R902" s="19"/>
      <c r="S902" s="19"/>
      <c r="T902" s="19"/>
      <c r="U902" s="19"/>
      <c r="V902" s="19"/>
    </row>
    <row r="903">
      <c r="A903" s="25"/>
      <c r="B903" s="19"/>
      <c r="C903" s="19"/>
      <c r="D903" s="19"/>
      <c r="E903" s="19"/>
      <c r="F903" s="17" t="str">
        <f>IFERROR(__xludf.DUMMYFUNCTION("""COMPUTED_VALUE"""),"")</f>
        <v/>
      </c>
      <c r="G903" s="20"/>
      <c r="H903" s="19"/>
      <c r="I903" s="19"/>
      <c r="J903" s="19"/>
      <c r="K903" s="19"/>
      <c r="L903" s="19"/>
      <c r="M903" s="19"/>
      <c r="N903" s="20" t="s">
        <v>39</v>
      </c>
      <c r="O903" s="19"/>
      <c r="P903" s="19"/>
      <c r="Q903" s="19"/>
      <c r="R903" s="19"/>
      <c r="S903" s="19"/>
      <c r="T903" s="19"/>
      <c r="U903" s="19"/>
      <c r="V903" s="19"/>
    </row>
    <row r="904">
      <c r="A904" s="25"/>
      <c r="B904" s="19"/>
      <c r="C904" s="19"/>
      <c r="D904" s="19"/>
      <c r="E904" s="19"/>
      <c r="F904" s="17" t="str">
        <f>IFERROR(__xludf.DUMMYFUNCTION("""COMPUTED_VALUE"""),"")</f>
        <v/>
      </c>
      <c r="G904" s="20"/>
      <c r="H904" s="19"/>
      <c r="I904" s="19"/>
      <c r="J904" s="19"/>
      <c r="K904" s="19"/>
      <c r="L904" s="19"/>
      <c r="M904" s="19"/>
      <c r="N904" s="20" t="s">
        <v>39</v>
      </c>
      <c r="O904" s="19"/>
      <c r="P904" s="19"/>
      <c r="Q904" s="19"/>
      <c r="R904" s="19"/>
      <c r="S904" s="19"/>
      <c r="T904" s="19"/>
      <c r="U904" s="19"/>
      <c r="V904" s="19"/>
    </row>
    <row r="905">
      <c r="A905" s="25"/>
      <c r="B905" s="19"/>
      <c r="C905" s="19"/>
      <c r="D905" s="19"/>
      <c r="E905" s="19"/>
      <c r="F905" s="17" t="str">
        <f>IFERROR(__xludf.DUMMYFUNCTION("""COMPUTED_VALUE"""),"")</f>
        <v/>
      </c>
      <c r="G905" s="20"/>
      <c r="H905" s="19"/>
      <c r="I905" s="19"/>
      <c r="J905" s="19"/>
      <c r="K905" s="19"/>
      <c r="L905" s="19"/>
      <c r="M905" s="19"/>
      <c r="N905" s="20" t="s">
        <v>39</v>
      </c>
      <c r="O905" s="19"/>
      <c r="P905" s="19"/>
      <c r="Q905" s="19"/>
      <c r="R905" s="19"/>
      <c r="S905" s="19"/>
      <c r="T905" s="19"/>
      <c r="U905" s="19"/>
      <c r="V905" s="19"/>
    </row>
    <row r="906">
      <c r="A906" s="25"/>
      <c r="B906" s="19"/>
      <c r="C906" s="19"/>
      <c r="D906" s="19"/>
      <c r="E906" s="19"/>
      <c r="F906" s="17" t="str">
        <f>IFERROR(__xludf.DUMMYFUNCTION("""COMPUTED_VALUE"""),"")</f>
        <v/>
      </c>
      <c r="G906" s="20"/>
      <c r="H906" s="19"/>
      <c r="I906" s="19"/>
      <c r="J906" s="19"/>
      <c r="K906" s="19"/>
      <c r="L906" s="19"/>
      <c r="M906" s="19"/>
      <c r="N906" s="20" t="s">
        <v>39</v>
      </c>
      <c r="O906" s="19"/>
      <c r="P906" s="19"/>
      <c r="Q906" s="19"/>
      <c r="R906" s="19"/>
      <c r="S906" s="19"/>
      <c r="T906" s="19"/>
      <c r="U906" s="19"/>
      <c r="V906" s="19"/>
    </row>
    <row r="907">
      <c r="A907" s="25"/>
      <c r="B907" s="19"/>
      <c r="C907" s="19"/>
      <c r="D907" s="19"/>
      <c r="E907" s="19"/>
      <c r="F907" s="17" t="str">
        <f>IFERROR(__xludf.DUMMYFUNCTION("""COMPUTED_VALUE"""),"")</f>
        <v/>
      </c>
      <c r="G907" s="20"/>
      <c r="H907" s="19"/>
      <c r="I907" s="19"/>
      <c r="J907" s="19"/>
      <c r="K907" s="19"/>
      <c r="L907" s="19"/>
      <c r="M907" s="19"/>
      <c r="N907" s="20" t="s">
        <v>39</v>
      </c>
      <c r="O907" s="19"/>
      <c r="P907" s="19"/>
      <c r="Q907" s="19"/>
      <c r="R907" s="19"/>
      <c r="S907" s="19"/>
      <c r="T907" s="19"/>
      <c r="U907" s="19"/>
      <c r="V907" s="19"/>
    </row>
    <row r="908">
      <c r="A908" s="25"/>
      <c r="B908" s="19"/>
      <c r="C908" s="19"/>
      <c r="D908" s="19"/>
      <c r="E908" s="19"/>
      <c r="F908" s="17" t="str">
        <f>IFERROR(__xludf.DUMMYFUNCTION("""COMPUTED_VALUE"""),"")</f>
        <v/>
      </c>
      <c r="G908" s="20"/>
      <c r="H908" s="19"/>
      <c r="I908" s="19"/>
      <c r="J908" s="19"/>
      <c r="K908" s="19"/>
      <c r="L908" s="19"/>
      <c r="M908" s="19"/>
      <c r="N908" s="20" t="s">
        <v>39</v>
      </c>
      <c r="O908" s="19"/>
      <c r="P908" s="19"/>
      <c r="Q908" s="19"/>
      <c r="R908" s="19"/>
      <c r="S908" s="19"/>
      <c r="T908" s="19"/>
      <c r="U908" s="19"/>
      <c r="V908" s="19"/>
    </row>
    <row r="909">
      <c r="A909" s="25"/>
      <c r="B909" s="19"/>
      <c r="C909" s="19"/>
      <c r="D909" s="19"/>
      <c r="E909" s="19"/>
      <c r="F909" s="17" t="str">
        <f>IFERROR(__xludf.DUMMYFUNCTION("""COMPUTED_VALUE"""),"")</f>
        <v/>
      </c>
      <c r="G909" s="20"/>
      <c r="H909" s="19"/>
      <c r="I909" s="19"/>
      <c r="J909" s="19"/>
      <c r="K909" s="19"/>
      <c r="L909" s="19"/>
      <c r="M909" s="19"/>
      <c r="N909" s="20" t="s">
        <v>39</v>
      </c>
      <c r="O909" s="19"/>
      <c r="P909" s="19"/>
      <c r="Q909" s="19"/>
      <c r="R909" s="19"/>
      <c r="S909" s="19"/>
      <c r="T909" s="19"/>
      <c r="U909" s="19"/>
      <c r="V909" s="19"/>
    </row>
    <row r="910">
      <c r="A910" s="25"/>
      <c r="B910" s="19"/>
      <c r="C910" s="19"/>
      <c r="D910" s="19"/>
      <c r="E910" s="19"/>
      <c r="F910" s="17" t="str">
        <f>IFERROR(__xludf.DUMMYFUNCTION("""COMPUTED_VALUE"""),"")</f>
        <v/>
      </c>
      <c r="G910" s="20"/>
      <c r="H910" s="19"/>
      <c r="I910" s="19"/>
      <c r="J910" s="19"/>
      <c r="K910" s="19"/>
      <c r="L910" s="19"/>
      <c r="M910" s="19"/>
      <c r="N910" s="20" t="s">
        <v>39</v>
      </c>
      <c r="O910" s="19"/>
      <c r="P910" s="19"/>
      <c r="Q910" s="19"/>
      <c r="R910" s="19"/>
      <c r="S910" s="19"/>
      <c r="T910" s="19"/>
      <c r="U910" s="19"/>
      <c r="V910" s="19"/>
    </row>
    <row r="911">
      <c r="A911" s="25"/>
      <c r="B911" s="19"/>
      <c r="C911" s="19"/>
      <c r="D911" s="19"/>
      <c r="E911" s="19"/>
      <c r="F911" s="17" t="str">
        <f>IFERROR(__xludf.DUMMYFUNCTION("""COMPUTED_VALUE"""),"")</f>
        <v/>
      </c>
      <c r="G911" s="20"/>
      <c r="H911" s="19"/>
      <c r="I911" s="19"/>
      <c r="J911" s="19"/>
      <c r="K911" s="19"/>
      <c r="L911" s="19"/>
      <c r="M911" s="19"/>
      <c r="N911" s="20" t="s">
        <v>39</v>
      </c>
      <c r="O911" s="19"/>
      <c r="P911" s="19"/>
      <c r="Q911" s="19"/>
      <c r="R911" s="19"/>
      <c r="S911" s="19"/>
      <c r="T911" s="19"/>
      <c r="U911" s="19"/>
      <c r="V911" s="19"/>
    </row>
    <row r="912">
      <c r="A912" s="25"/>
      <c r="B912" s="19"/>
      <c r="C912" s="19"/>
      <c r="D912" s="19"/>
      <c r="E912" s="19"/>
      <c r="F912" s="17" t="str">
        <f>IFERROR(__xludf.DUMMYFUNCTION("""COMPUTED_VALUE"""),"")</f>
        <v/>
      </c>
      <c r="G912" s="20"/>
      <c r="H912" s="19"/>
      <c r="I912" s="19"/>
      <c r="J912" s="19"/>
      <c r="K912" s="19"/>
      <c r="L912" s="19"/>
      <c r="M912" s="19"/>
      <c r="N912" s="20" t="s">
        <v>39</v>
      </c>
      <c r="O912" s="19"/>
      <c r="P912" s="19"/>
      <c r="Q912" s="19"/>
      <c r="R912" s="19"/>
      <c r="S912" s="19"/>
      <c r="T912" s="19"/>
      <c r="U912" s="19"/>
      <c r="V912" s="19"/>
    </row>
    <row r="913">
      <c r="A913" s="25"/>
      <c r="B913" s="19"/>
      <c r="C913" s="19"/>
      <c r="D913" s="19"/>
      <c r="E913" s="19"/>
      <c r="F913" s="17" t="str">
        <f>IFERROR(__xludf.DUMMYFUNCTION("""COMPUTED_VALUE"""),"")</f>
        <v/>
      </c>
      <c r="G913" s="20"/>
      <c r="H913" s="19"/>
      <c r="I913" s="19"/>
      <c r="J913" s="19"/>
      <c r="K913" s="19"/>
      <c r="L913" s="19"/>
      <c r="M913" s="19"/>
      <c r="N913" s="20" t="s">
        <v>39</v>
      </c>
      <c r="O913" s="19"/>
      <c r="P913" s="19"/>
      <c r="Q913" s="19"/>
      <c r="R913" s="19"/>
      <c r="S913" s="19"/>
      <c r="T913" s="19"/>
      <c r="U913" s="19"/>
      <c r="V913" s="19"/>
    </row>
    <row r="914">
      <c r="A914" s="25"/>
      <c r="B914" s="19"/>
      <c r="C914" s="19"/>
      <c r="D914" s="19"/>
      <c r="E914" s="19"/>
      <c r="F914" s="17" t="str">
        <f>IFERROR(__xludf.DUMMYFUNCTION("""COMPUTED_VALUE"""),"")</f>
        <v/>
      </c>
      <c r="G914" s="20"/>
      <c r="H914" s="19"/>
      <c r="I914" s="19"/>
      <c r="J914" s="19"/>
      <c r="K914" s="19"/>
      <c r="L914" s="19"/>
      <c r="M914" s="19"/>
      <c r="N914" s="20" t="s">
        <v>39</v>
      </c>
      <c r="O914" s="19"/>
      <c r="P914" s="19"/>
      <c r="Q914" s="19"/>
      <c r="R914" s="19"/>
      <c r="S914" s="19"/>
      <c r="T914" s="19"/>
      <c r="U914" s="19"/>
      <c r="V914" s="19"/>
    </row>
    <row r="915">
      <c r="A915" s="25"/>
      <c r="B915" s="19"/>
      <c r="C915" s="19"/>
      <c r="D915" s="19"/>
      <c r="E915" s="19"/>
      <c r="F915" s="17" t="str">
        <f>IFERROR(__xludf.DUMMYFUNCTION("""COMPUTED_VALUE"""),"")</f>
        <v/>
      </c>
      <c r="G915" s="20"/>
      <c r="H915" s="19"/>
      <c r="I915" s="19"/>
      <c r="J915" s="19"/>
      <c r="K915" s="19"/>
      <c r="L915" s="19"/>
      <c r="M915" s="19"/>
      <c r="N915" s="20" t="s">
        <v>39</v>
      </c>
      <c r="O915" s="19"/>
      <c r="P915" s="19"/>
      <c r="Q915" s="19"/>
      <c r="R915" s="19"/>
      <c r="S915" s="19"/>
      <c r="T915" s="19"/>
      <c r="U915" s="19"/>
      <c r="V915" s="19"/>
    </row>
    <row r="916">
      <c r="A916" s="25"/>
      <c r="B916" s="19"/>
      <c r="C916" s="19"/>
      <c r="D916" s="19"/>
      <c r="E916" s="19"/>
      <c r="F916" s="17" t="str">
        <f>IFERROR(__xludf.DUMMYFUNCTION("""COMPUTED_VALUE"""),"")</f>
        <v/>
      </c>
      <c r="G916" s="20"/>
      <c r="H916" s="19"/>
      <c r="I916" s="19"/>
      <c r="J916" s="19"/>
      <c r="K916" s="19"/>
      <c r="L916" s="19"/>
      <c r="M916" s="19"/>
      <c r="N916" s="20" t="s">
        <v>39</v>
      </c>
      <c r="O916" s="19"/>
      <c r="P916" s="19"/>
      <c r="Q916" s="19"/>
      <c r="R916" s="19"/>
      <c r="S916" s="19"/>
      <c r="T916" s="19"/>
      <c r="U916" s="19"/>
      <c r="V916" s="19"/>
    </row>
    <row r="917">
      <c r="A917" s="25"/>
      <c r="B917" s="19"/>
      <c r="C917" s="19"/>
      <c r="D917" s="19"/>
      <c r="E917" s="19"/>
      <c r="F917" s="17" t="str">
        <f>IFERROR(__xludf.DUMMYFUNCTION("""COMPUTED_VALUE"""),"")</f>
        <v/>
      </c>
      <c r="G917" s="20"/>
      <c r="H917" s="19"/>
      <c r="I917" s="19"/>
      <c r="J917" s="19"/>
      <c r="K917" s="19"/>
      <c r="L917" s="19"/>
      <c r="M917" s="19"/>
      <c r="N917" s="20" t="s">
        <v>39</v>
      </c>
      <c r="O917" s="19"/>
      <c r="P917" s="19"/>
      <c r="Q917" s="19"/>
      <c r="R917" s="19"/>
      <c r="S917" s="19"/>
      <c r="T917" s="19"/>
      <c r="U917" s="19"/>
      <c r="V917" s="19"/>
    </row>
    <row r="918">
      <c r="A918" s="25"/>
      <c r="B918" s="19"/>
      <c r="C918" s="19"/>
      <c r="D918" s="19"/>
      <c r="E918" s="19"/>
      <c r="F918" s="17" t="str">
        <f>IFERROR(__xludf.DUMMYFUNCTION("""COMPUTED_VALUE"""),"")</f>
        <v/>
      </c>
      <c r="G918" s="20"/>
      <c r="H918" s="19"/>
      <c r="I918" s="19"/>
      <c r="J918" s="19"/>
      <c r="K918" s="19"/>
      <c r="L918" s="19"/>
      <c r="M918" s="19"/>
      <c r="N918" s="20" t="s">
        <v>39</v>
      </c>
      <c r="O918" s="19"/>
      <c r="P918" s="19"/>
      <c r="Q918" s="19"/>
      <c r="R918" s="19"/>
      <c r="S918" s="19"/>
      <c r="T918" s="19"/>
      <c r="U918" s="19"/>
      <c r="V918" s="19"/>
    </row>
    <row r="919">
      <c r="A919" s="25"/>
      <c r="B919" s="19"/>
      <c r="C919" s="19"/>
      <c r="D919" s="19"/>
      <c r="E919" s="19"/>
      <c r="F919" s="17" t="str">
        <f>IFERROR(__xludf.DUMMYFUNCTION("""COMPUTED_VALUE"""),"")</f>
        <v/>
      </c>
      <c r="G919" s="20"/>
      <c r="H919" s="19"/>
      <c r="I919" s="19"/>
      <c r="J919" s="19"/>
      <c r="K919" s="19"/>
      <c r="L919" s="19"/>
      <c r="M919" s="19"/>
      <c r="N919" s="20" t="s">
        <v>39</v>
      </c>
      <c r="O919" s="19"/>
      <c r="P919" s="19"/>
      <c r="Q919" s="19"/>
      <c r="R919" s="19"/>
      <c r="S919" s="19"/>
      <c r="T919" s="19"/>
      <c r="U919" s="19"/>
      <c r="V919" s="19"/>
    </row>
    <row r="920">
      <c r="A920" s="25"/>
      <c r="B920" s="19"/>
      <c r="C920" s="19"/>
      <c r="D920" s="19"/>
      <c r="E920" s="19"/>
      <c r="F920" s="17" t="str">
        <f>IFERROR(__xludf.DUMMYFUNCTION("""COMPUTED_VALUE"""),"")</f>
        <v/>
      </c>
      <c r="G920" s="20"/>
      <c r="H920" s="19"/>
      <c r="I920" s="19"/>
      <c r="J920" s="19"/>
      <c r="K920" s="19"/>
      <c r="L920" s="19"/>
      <c r="M920" s="19"/>
      <c r="N920" s="20" t="s">
        <v>39</v>
      </c>
      <c r="O920" s="19"/>
      <c r="P920" s="19"/>
      <c r="Q920" s="19"/>
      <c r="R920" s="19"/>
      <c r="S920" s="19"/>
      <c r="T920" s="19"/>
      <c r="U920" s="19"/>
      <c r="V920" s="19"/>
    </row>
    <row r="921">
      <c r="A921" s="25"/>
      <c r="B921" s="19"/>
      <c r="C921" s="19"/>
      <c r="D921" s="19"/>
      <c r="E921" s="19"/>
      <c r="F921" s="17" t="str">
        <f>IFERROR(__xludf.DUMMYFUNCTION("""COMPUTED_VALUE"""),"")</f>
        <v/>
      </c>
      <c r="G921" s="20"/>
      <c r="H921" s="19"/>
      <c r="I921" s="19"/>
      <c r="J921" s="19"/>
      <c r="K921" s="19"/>
      <c r="L921" s="19"/>
      <c r="M921" s="19"/>
      <c r="N921" s="20" t="s">
        <v>39</v>
      </c>
      <c r="O921" s="19"/>
      <c r="P921" s="19"/>
      <c r="Q921" s="19"/>
      <c r="R921" s="19"/>
      <c r="S921" s="19"/>
      <c r="T921" s="19"/>
      <c r="U921" s="19"/>
      <c r="V921" s="19"/>
    </row>
    <row r="922">
      <c r="A922" s="25"/>
      <c r="B922" s="19"/>
      <c r="C922" s="19"/>
      <c r="D922" s="19"/>
      <c r="E922" s="19"/>
      <c r="F922" s="17" t="str">
        <f>IFERROR(__xludf.DUMMYFUNCTION("""COMPUTED_VALUE"""),"")</f>
        <v/>
      </c>
      <c r="G922" s="20"/>
      <c r="H922" s="19"/>
      <c r="I922" s="19"/>
      <c r="J922" s="19"/>
      <c r="K922" s="19"/>
      <c r="L922" s="19"/>
      <c r="M922" s="19"/>
      <c r="N922" s="20" t="s">
        <v>39</v>
      </c>
      <c r="O922" s="19"/>
      <c r="P922" s="19"/>
      <c r="Q922" s="19"/>
      <c r="R922" s="19"/>
      <c r="S922" s="19"/>
      <c r="T922" s="19"/>
      <c r="U922" s="19"/>
      <c r="V922" s="19"/>
    </row>
    <row r="923">
      <c r="A923" s="25"/>
      <c r="B923" s="19"/>
      <c r="C923" s="19"/>
      <c r="D923" s="19"/>
      <c r="E923" s="19"/>
      <c r="F923" s="17" t="str">
        <f>IFERROR(__xludf.DUMMYFUNCTION("""COMPUTED_VALUE"""),"")</f>
        <v/>
      </c>
      <c r="G923" s="20"/>
      <c r="H923" s="19"/>
      <c r="I923" s="19"/>
      <c r="J923" s="19"/>
      <c r="K923" s="19"/>
      <c r="L923" s="19"/>
      <c r="M923" s="19"/>
      <c r="N923" s="20" t="s">
        <v>39</v>
      </c>
      <c r="O923" s="19"/>
      <c r="P923" s="19"/>
      <c r="Q923" s="19"/>
      <c r="R923" s="19"/>
      <c r="S923" s="19"/>
      <c r="T923" s="19"/>
      <c r="U923" s="19"/>
      <c r="V923" s="19"/>
    </row>
    <row r="924">
      <c r="A924" s="25"/>
      <c r="B924" s="19"/>
      <c r="C924" s="19"/>
      <c r="D924" s="19"/>
      <c r="E924" s="19"/>
      <c r="F924" s="17" t="str">
        <f>IFERROR(__xludf.DUMMYFUNCTION("""COMPUTED_VALUE"""),"")</f>
        <v/>
      </c>
      <c r="G924" s="20"/>
      <c r="H924" s="19"/>
      <c r="I924" s="19"/>
      <c r="J924" s="19"/>
      <c r="K924" s="19"/>
      <c r="L924" s="19"/>
      <c r="M924" s="19"/>
      <c r="N924" s="20" t="s">
        <v>39</v>
      </c>
      <c r="O924" s="19"/>
      <c r="P924" s="19"/>
      <c r="Q924" s="19"/>
      <c r="R924" s="19"/>
      <c r="S924" s="19"/>
      <c r="T924" s="19"/>
      <c r="U924" s="19"/>
      <c r="V924" s="19"/>
    </row>
    <row r="925">
      <c r="A925" s="25"/>
      <c r="B925" s="19"/>
      <c r="C925" s="19"/>
      <c r="D925" s="19"/>
      <c r="E925" s="19"/>
      <c r="F925" s="17" t="str">
        <f>IFERROR(__xludf.DUMMYFUNCTION("""COMPUTED_VALUE"""),"")</f>
        <v/>
      </c>
      <c r="G925" s="20"/>
      <c r="H925" s="19"/>
      <c r="I925" s="19"/>
      <c r="J925" s="19"/>
      <c r="K925" s="19"/>
      <c r="L925" s="19"/>
      <c r="M925" s="19"/>
      <c r="N925" s="20" t="s">
        <v>39</v>
      </c>
      <c r="O925" s="19"/>
      <c r="P925" s="19"/>
      <c r="Q925" s="19"/>
      <c r="R925" s="19"/>
      <c r="S925" s="19"/>
      <c r="T925" s="19"/>
      <c r="U925" s="19"/>
      <c r="V925" s="19"/>
    </row>
    <row r="926">
      <c r="A926" s="25"/>
      <c r="B926" s="19"/>
      <c r="C926" s="19"/>
      <c r="D926" s="19"/>
      <c r="E926" s="19"/>
      <c r="F926" s="17" t="str">
        <f>IFERROR(__xludf.DUMMYFUNCTION("""COMPUTED_VALUE"""),"")</f>
        <v/>
      </c>
      <c r="G926" s="20"/>
      <c r="H926" s="19"/>
      <c r="I926" s="19"/>
      <c r="J926" s="19"/>
      <c r="K926" s="19"/>
      <c r="L926" s="19"/>
      <c r="M926" s="19"/>
      <c r="N926" s="20" t="s">
        <v>39</v>
      </c>
      <c r="O926" s="19"/>
      <c r="P926" s="19"/>
      <c r="Q926" s="19"/>
      <c r="R926" s="19"/>
      <c r="S926" s="19"/>
      <c r="T926" s="19"/>
      <c r="U926" s="19"/>
      <c r="V926" s="19"/>
    </row>
    <row r="927">
      <c r="A927" s="25"/>
      <c r="B927" s="19"/>
      <c r="C927" s="19"/>
      <c r="D927" s="19"/>
      <c r="E927" s="19"/>
      <c r="F927" s="17" t="str">
        <f>IFERROR(__xludf.DUMMYFUNCTION("""COMPUTED_VALUE"""),"")</f>
        <v/>
      </c>
      <c r="G927" s="20"/>
      <c r="H927" s="19"/>
      <c r="I927" s="19"/>
      <c r="J927" s="19"/>
      <c r="K927" s="19"/>
      <c r="L927" s="19"/>
      <c r="M927" s="19"/>
      <c r="N927" s="20" t="s">
        <v>39</v>
      </c>
      <c r="O927" s="19"/>
      <c r="P927" s="19"/>
      <c r="Q927" s="19"/>
      <c r="R927" s="19"/>
      <c r="S927" s="19"/>
      <c r="T927" s="19"/>
      <c r="U927" s="19"/>
      <c r="V927" s="19"/>
    </row>
    <row r="928">
      <c r="A928" s="25"/>
      <c r="B928" s="19"/>
      <c r="C928" s="19"/>
      <c r="D928" s="19"/>
      <c r="E928" s="19"/>
      <c r="F928" s="17" t="str">
        <f>IFERROR(__xludf.DUMMYFUNCTION("""COMPUTED_VALUE"""),"")</f>
        <v/>
      </c>
      <c r="G928" s="20"/>
      <c r="H928" s="19"/>
      <c r="I928" s="19"/>
      <c r="J928" s="19"/>
      <c r="K928" s="19"/>
      <c r="L928" s="19"/>
      <c r="M928" s="19"/>
      <c r="N928" s="20" t="s">
        <v>39</v>
      </c>
      <c r="O928" s="19"/>
      <c r="P928" s="19"/>
      <c r="Q928" s="19"/>
      <c r="R928" s="19"/>
      <c r="S928" s="19"/>
      <c r="T928" s="19"/>
      <c r="U928" s="19"/>
      <c r="V928" s="19"/>
    </row>
    <row r="929">
      <c r="A929" s="25"/>
      <c r="B929" s="19"/>
      <c r="C929" s="19"/>
      <c r="D929" s="19"/>
      <c r="E929" s="19"/>
      <c r="F929" s="17" t="str">
        <f>IFERROR(__xludf.DUMMYFUNCTION("""COMPUTED_VALUE"""),"")</f>
        <v/>
      </c>
      <c r="G929" s="20"/>
      <c r="H929" s="19"/>
      <c r="I929" s="19"/>
      <c r="J929" s="19"/>
      <c r="K929" s="19"/>
      <c r="L929" s="19"/>
      <c r="M929" s="19"/>
      <c r="N929" s="20" t="s">
        <v>39</v>
      </c>
      <c r="O929" s="19"/>
      <c r="P929" s="19"/>
      <c r="Q929" s="19"/>
      <c r="R929" s="19"/>
      <c r="S929" s="19"/>
      <c r="T929" s="19"/>
      <c r="U929" s="19"/>
      <c r="V929" s="19"/>
    </row>
    <row r="930">
      <c r="A930" s="25"/>
      <c r="B930" s="19"/>
      <c r="C930" s="19"/>
      <c r="D930" s="19"/>
      <c r="E930" s="19"/>
      <c r="F930" s="17" t="str">
        <f>IFERROR(__xludf.DUMMYFUNCTION("""COMPUTED_VALUE"""),"")</f>
        <v/>
      </c>
      <c r="G930" s="20"/>
      <c r="H930" s="19"/>
      <c r="I930" s="19"/>
      <c r="J930" s="19"/>
      <c r="K930" s="19"/>
      <c r="L930" s="19"/>
      <c r="M930" s="19"/>
      <c r="N930" s="20" t="s">
        <v>39</v>
      </c>
      <c r="O930" s="19"/>
      <c r="P930" s="19"/>
      <c r="Q930" s="19"/>
      <c r="R930" s="19"/>
      <c r="S930" s="19"/>
      <c r="T930" s="19"/>
      <c r="U930" s="19"/>
      <c r="V930" s="19"/>
    </row>
    <row r="931">
      <c r="A931" s="25"/>
      <c r="B931" s="19"/>
      <c r="C931" s="19"/>
      <c r="D931" s="19"/>
      <c r="E931" s="19"/>
      <c r="F931" s="17" t="str">
        <f>IFERROR(__xludf.DUMMYFUNCTION("""COMPUTED_VALUE"""),"")</f>
        <v/>
      </c>
      <c r="G931" s="20"/>
      <c r="H931" s="19"/>
      <c r="I931" s="19"/>
      <c r="J931" s="19"/>
      <c r="K931" s="19"/>
      <c r="L931" s="19"/>
      <c r="M931" s="19"/>
      <c r="N931" s="20" t="s">
        <v>39</v>
      </c>
      <c r="O931" s="19"/>
      <c r="P931" s="19"/>
      <c r="Q931" s="19"/>
      <c r="R931" s="19"/>
      <c r="S931" s="19"/>
      <c r="T931" s="19"/>
      <c r="U931" s="19"/>
      <c r="V931" s="19"/>
    </row>
    <row r="932">
      <c r="A932" s="25"/>
      <c r="B932" s="19"/>
      <c r="C932" s="19"/>
      <c r="D932" s="19"/>
      <c r="E932" s="19"/>
      <c r="F932" s="17" t="str">
        <f>IFERROR(__xludf.DUMMYFUNCTION("""COMPUTED_VALUE"""),"")</f>
        <v/>
      </c>
      <c r="G932" s="20"/>
      <c r="H932" s="19"/>
      <c r="I932" s="19"/>
      <c r="J932" s="19"/>
      <c r="K932" s="19"/>
      <c r="L932" s="19"/>
      <c r="M932" s="19"/>
      <c r="N932" s="20" t="s">
        <v>39</v>
      </c>
      <c r="O932" s="19"/>
      <c r="P932" s="19"/>
      <c r="Q932" s="19"/>
      <c r="R932" s="19"/>
      <c r="S932" s="19"/>
      <c r="T932" s="19"/>
      <c r="U932" s="19"/>
      <c r="V932" s="19"/>
    </row>
    <row r="933">
      <c r="A933" s="25"/>
      <c r="B933" s="19"/>
      <c r="C933" s="19"/>
      <c r="D933" s="19"/>
      <c r="E933" s="19"/>
      <c r="F933" s="17" t="str">
        <f>IFERROR(__xludf.DUMMYFUNCTION("""COMPUTED_VALUE"""),"")</f>
        <v/>
      </c>
      <c r="G933" s="20"/>
      <c r="H933" s="19"/>
      <c r="I933" s="19"/>
      <c r="J933" s="19"/>
      <c r="K933" s="19"/>
      <c r="L933" s="19"/>
      <c r="M933" s="19"/>
      <c r="N933" s="20" t="s">
        <v>39</v>
      </c>
      <c r="O933" s="19"/>
      <c r="P933" s="19"/>
      <c r="Q933" s="19"/>
      <c r="R933" s="19"/>
      <c r="S933" s="19"/>
      <c r="T933" s="19"/>
      <c r="U933" s="19"/>
      <c r="V933" s="19"/>
    </row>
    <row r="934">
      <c r="A934" s="25"/>
      <c r="B934" s="19"/>
      <c r="C934" s="19"/>
      <c r="D934" s="19"/>
      <c r="E934" s="19"/>
      <c r="F934" s="17" t="str">
        <f>IFERROR(__xludf.DUMMYFUNCTION("""COMPUTED_VALUE"""),"")</f>
        <v/>
      </c>
      <c r="G934" s="20"/>
      <c r="H934" s="19"/>
      <c r="I934" s="19"/>
      <c r="J934" s="19"/>
      <c r="K934" s="19"/>
      <c r="L934" s="19"/>
      <c r="M934" s="19"/>
      <c r="N934" s="20" t="s">
        <v>39</v>
      </c>
      <c r="O934" s="19"/>
      <c r="P934" s="19"/>
      <c r="Q934" s="19"/>
      <c r="R934" s="19"/>
      <c r="S934" s="19"/>
      <c r="T934" s="19"/>
      <c r="U934" s="19"/>
      <c r="V934" s="19"/>
    </row>
    <row r="935">
      <c r="A935" s="25"/>
      <c r="B935" s="19"/>
      <c r="C935" s="19"/>
      <c r="D935" s="19"/>
      <c r="E935" s="19"/>
      <c r="F935" s="17" t="str">
        <f>IFERROR(__xludf.DUMMYFUNCTION("""COMPUTED_VALUE"""),"")</f>
        <v/>
      </c>
      <c r="G935" s="20"/>
      <c r="H935" s="19"/>
      <c r="I935" s="19"/>
      <c r="J935" s="19"/>
      <c r="K935" s="19"/>
      <c r="L935" s="19"/>
      <c r="M935" s="19"/>
      <c r="N935" s="20" t="s">
        <v>39</v>
      </c>
      <c r="O935" s="19"/>
      <c r="P935" s="19"/>
      <c r="Q935" s="19"/>
      <c r="R935" s="19"/>
      <c r="S935" s="19"/>
      <c r="T935" s="19"/>
      <c r="U935" s="19"/>
      <c r="V935" s="19"/>
    </row>
    <row r="936">
      <c r="A936" s="25"/>
      <c r="B936" s="19"/>
      <c r="C936" s="19"/>
      <c r="D936" s="19"/>
      <c r="E936" s="19"/>
      <c r="F936" s="17" t="str">
        <f>IFERROR(__xludf.DUMMYFUNCTION("""COMPUTED_VALUE"""),"")</f>
        <v/>
      </c>
      <c r="G936" s="20"/>
      <c r="H936" s="19"/>
      <c r="I936" s="19"/>
      <c r="J936" s="19"/>
      <c r="K936" s="19"/>
      <c r="L936" s="19"/>
      <c r="M936" s="19"/>
      <c r="N936" s="20" t="s">
        <v>39</v>
      </c>
      <c r="O936" s="19"/>
      <c r="P936" s="19"/>
      <c r="Q936" s="19"/>
      <c r="R936" s="19"/>
      <c r="S936" s="19"/>
      <c r="T936" s="19"/>
      <c r="U936" s="19"/>
      <c r="V936" s="19"/>
    </row>
    <row r="937">
      <c r="A937" s="25"/>
      <c r="B937" s="19"/>
      <c r="C937" s="19"/>
      <c r="D937" s="19"/>
      <c r="E937" s="19"/>
      <c r="F937" s="17" t="str">
        <f>IFERROR(__xludf.DUMMYFUNCTION("""COMPUTED_VALUE"""),"")</f>
        <v/>
      </c>
      <c r="G937" s="20"/>
      <c r="H937" s="19"/>
      <c r="I937" s="19"/>
      <c r="J937" s="19"/>
      <c r="K937" s="19"/>
      <c r="L937" s="19"/>
      <c r="M937" s="19"/>
      <c r="N937" s="20" t="s">
        <v>39</v>
      </c>
      <c r="O937" s="19"/>
      <c r="P937" s="19"/>
      <c r="Q937" s="19"/>
      <c r="R937" s="19"/>
      <c r="S937" s="19"/>
      <c r="T937" s="19"/>
      <c r="U937" s="19"/>
      <c r="V937" s="19"/>
    </row>
    <row r="938">
      <c r="A938" s="25"/>
      <c r="B938" s="19"/>
      <c r="C938" s="19"/>
      <c r="D938" s="19"/>
      <c r="E938" s="19"/>
      <c r="F938" s="17" t="str">
        <f>IFERROR(__xludf.DUMMYFUNCTION("""COMPUTED_VALUE"""),"")</f>
        <v/>
      </c>
      <c r="G938" s="20"/>
      <c r="H938" s="19"/>
      <c r="I938" s="19"/>
      <c r="J938" s="19"/>
      <c r="K938" s="19"/>
      <c r="L938" s="19"/>
      <c r="M938" s="19"/>
      <c r="N938" s="20" t="s">
        <v>39</v>
      </c>
      <c r="O938" s="19"/>
      <c r="P938" s="19"/>
      <c r="Q938" s="19"/>
      <c r="R938" s="19"/>
      <c r="S938" s="19"/>
      <c r="T938" s="19"/>
      <c r="U938" s="19"/>
      <c r="V938" s="19"/>
    </row>
    <row r="939">
      <c r="A939" s="25"/>
      <c r="B939" s="19"/>
      <c r="C939" s="19"/>
      <c r="D939" s="19"/>
      <c r="E939" s="19"/>
      <c r="F939" s="17" t="str">
        <f>IFERROR(__xludf.DUMMYFUNCTION("""COMPUTED_VALUE"""),"")</f>
        <v/>
      </c>
      <c r="G939" s="20"/>
      <c r="H939" s="19"/>
      <c r="I939" s="19"/>
      <c r="J939" s="19"/>
      <c r="K939" s="19"/>
      <c r="L939" s="19"/>
      <c r="M939" s="19"/>
      <c r="N939" s="20" t="s">
        <v>39</v>
      </c>
      <c r="O939" s="19"/>
      <c r="P939" s="19"/>
      <c r="Q939" s="19"/>
      <c r="R939" s="19"/>
      <c r="S939" s="19"/>
      <c r="T939" s="19"/>
      <c r="U939" s="19"/>
      <c r="V939" s="19"/>
    </row>
    <row r="940">
      <c r="A940" s="25"/>
      <c r="B940" s="19"/>
      <c r="C940" s="19"/>
      <c r="D940" s="19"/>
      <c r="E940" s="19"/>
      <c r="F940" s="17" t="str">
        <f>IFERROR(__xludf.DUMMYFUNCTION("""COMPUTED_VALUE"""),"")</f>
        <v/>
      </c>
      <c r="G940" s="20"/>
      <c r="H940" s="19"/>
      <c r="I940" s="19"/>
      <c r="J940" s="19"/>
      <c r="K940" s="19"/>
      <c r="L940" s="19"/>
      <c r="M940" s="19"/>
      <c r="N940" s="20" t="s">
        <v>39</v>
      </c>
      <c r="O940" s="19"/>
      <c r="P940" s="19"/>
      <c r="Q940" s="19"/>
      <c r="R940" s="19"/>
      <c r="S940" s="19"/>
      <c r="T940" s="19"/>
      <c r="U940" s="19"/>
      <c r="V940" s="19"/>
    </row>
    <row r="941">
      <c r="A941" s="25"/>
      <c r="B941" s="19"/>
      <c r="C941" s="19"/>
      <c r="D941" s="19"/>
      <c r="E941" s="19"/>
      <c r="F941" s="17" t="str">
        <f>IFERROR(__xludf.DUMMYFUNCTION("""COMPUTED_VALUE"""),"")</f>
        <v/>
      </c>
      <c r="G941" s="20"/>
      <c r="H941" s="19"/>
      <c r="I941" s="19"/>
      <c r="J941" s="19"/>
      <c r="K941" s="19"/>
      <c r="L941" s="19"/>
      <c r="M941" s="19"/>
      <c r="N941" s="20" t="s">
        <v>39</v>
      </c>
      <c r="O941" s="19"/>
      <c r="P941" s="19"/>
      <c r="Q941" s="19"/>
      <c r="R941" s="19"/>
      <c r="S941" s="19"/>
      <c r="T941" s="19"/>
      <c r="U941" s="19"/>
      <c r="V941" s="19"/>
    </row>
    <row r="942">
      <c r="A942" s="25"/>
      <c r="B942" s="19"/>
      <c r="C942" s="19"/>
      <c r="D942" s="19"/>
      <c r="E942" s="19"/>
      <c r="F942" s="17" t="str">
        <f>IFERROR(__xludf.DUMMYFUNCTION("""COMPUTED_VALUE"""),"")</f>
        <v/>
      </c>
      <c r="G942" s="20"/>
      <c r="H942" s="19"/>
      <c r="I942" s="19"/>
      <c r="J942" s="19"/>
      <c r="K942" s="19"/>
      <c r="L942" s="19"/>
      <c r="M942" s="19"/>
      <c r="N942" s="20" t="s">
        <v>39</v>
      </c>
      <c r="O942" s="19"/>
      <c r="P942" s="19"/>
      <c r="Q942" s="19"/>
      <c r="R942" s="19"/>
      <c r="S942" s="19"/>
      <c r="T942" s="19"/>
      <c r="U942" s="19"/>
      <c r="V942" s="19"/>
    </row>
    <row r="943">
      <c r="A943" s="25"/>
      <c r="B943" s="19"/>
      <c r="C943" s="19"/>
      <c r="D943" s="19"/>
      <c r="E943" s="19"/>
      <c r="F943" s="17" t="str">
        <f>IFERROR(__xludf.DUMMYFUNCTION("""COMPUTED_VALUE"""),"")</f>
        <v/>
      </c>
      <c r="G943" s="20"/>
      <c r="H943" s="19"/>
      <c r="I943" s="19"/>
      <c r="J943" s="19"/>
      <c r="K943" s="19"/>
      <c r="L943" s="19"/>
      <c r="M943" s="19"/>
      <c r="N943" s="20" t="s">
        <v>39</v>
      </c>
      <c r="O943" s="19"/>
      <c r="P943" s="19"/>
      <c r="Q943" s="19"/>
      <c r="R943" s="19"/>
      <c r="S943" s="19"/>
      <c r="T943" s="19"/>
      <c r="U943" s="19"/>
      <c r="V943" s="19"/>
    </row>
    <row r="944">
      <c r="A944" s="25"/>
      <c r="B944" s="19"/>
      <c r="C944" s="19"/>
      <c r="D944" s="19"/>
      <c r="E944" s="19"/>
      <c r="F944" s="17" t="str">
        <f>IFERROR(__xludf.DUMMYFUNCTION("""COMPUTED_VALUE"""),"")</f>
        <v/>
      </c>
      <c r="G944" s="20"/>
      <c r="H944" s="19"/>
      <c r="I944" s="19"/>
      <c r="J944" s="19"/>
      <c r="K944" s="19"/>
      <c r="L944" s="19"/>
      <c r="M944" s="19"/>
      <c r="N944" s="20" t="s">
        <v>39</v>
      </c>
      <c r="O944" s="19"/>
      <c r="P944" s="19"/>
      <c r="Q944" s="19"/>
      <c r="R944" s="19"/>
      <c r="S944" s="19"/>
      <c r="T944" s="19"/>
      <c r="U944" s="19"/>
      <c r="V944" s="19"/>
    </row>
    <row r="945">
      <c r="A945" s="25"/>
      <c r="B945" s="19"/>
      <c r="C945" s="19"/>
      <c r="D945" s="19"/>
      <c r="E945" s="19"/>
      <c r="F945" s="17" t="str">
        <f>IFERROR(__xludf.DUMMYFUNCTION("""COMPUTED_VALUE"""),"")</f>
        <v/>
      </c>
      <c r="G945" s="20"/>
      <c r="H945" s="19"/>
      <c r="I945" s="19"/>
      <c r="J945" s="19"/>
      <c r="K945" s="19"/>
      <c r="L945" s="19"/>
      <c r="M945" s="19"/>
      <c r="N945" s="20" t="s">
        <v>39</v>
      </c>
      <c r="O945" s="19"/>
      <c r="P945" s="19"/>
      <c r="Q945" s="19"/>
      <c r="R945" s="19"/>
      <c r="S945" s="19"/>
      <c r="T945" s="19"/>
      <c r="U945" s="19"/>
      <c r="V945" s="19"/>
    </row>
    <row r="946">
      <c r="A946" s="25"/>
      <c r="B946" s="19"/>
      <c r="C946" s="19"/>
      <c r="D946" s="19"/>
      <c r="E946" s="19"/>
      <c r="F946" s="17" t="str">
        <f>IFERROR(__xludf.DUMMYFUNCTION("""COMPUTED_VALUE"""),"")</f>
        <v/>
      </c>
      <c r="G946" s="20"/>
      <c r="H946" s="19"/>
      <c r="I946" s="19"/>
      <c r="J946" s="19"/>
      <c r="K946" s="19"/>
      <c r="L946" s="19"/>
      <c r="M946" s="19"/>
      <c r="N946" s="20" t="s">
        <v>39</v>
      </c>
      <c r="O946" s="19"/>
      <c r="P946" s="19"/>
      <c r="Q946" s="19"/>
      <c r="R946" s="19"/>
      <c r="S946" s="19"/>
      <c r="T946" s="19"/>
      <c r="U946" s="19"/>
      <c r="V946" s="19"/>
    </row>
    <row r="947">
      <c r="A947" s="25"/>
      <c r="B947" s="19"/>
      <c r="C947" s="19"/>
      <c r="D947" s="19"/>
      <c r="E947" s="19"/>
      <c r="F947" s="17" t="str">
        <f>IFERROR(__xludf.DUMMYFUNCTION("""COMPUTED_VALUE"""),"")</f>
        <v/>
      </c>
      <c r="G947" s="20"/>
      <c r="H947" s="19"/>
      <c r="I947" s="19"/>
      <c r="J947" s="19"/>
      <c r="K947" s="19"/>
      <c r="L947" s="19"/>
      <c r="M947" s="19"/>
      <c r="N947" s="20" t="s">
        <v>39</v>
      </c>
      <c r="O947" s="19"/>
      <c r="P947" s="19"/>
      <c r="Q947" s="19"/>
      <c r="R947" s="19"/>
      <c r="S947" s="19"/>
      <c r="T947" s="19"/>
      <c r="U947" s="19"/>
      <c r="V947" s="19"/>
    </row>
    <row r="948">
      <c r="A948" s="25"/>
      <c r="B948" s="19"/>
      <c r="C948" s="19"/>
      <c r="D948" s="19"/>
      <c r="E948" s="19"/>
      <c r="F948" s="17" t="str">
        <f>IFERROR(__xludf.DUMMYFUNCTION("""COMPUTED_VALUE"""),"")</f>
        <v/>
      </c>
      <c r="G948" s="20"/>
      <c r="H948" s="19"/>
      <c r="I948" s="19"/>
      <c r="J948" s="19"/>
      <c r="K948" s="19"/>
      <c r="L948" s="19"/>
      <c r="M948" s="19"/>
      <c r="N948" s="20" t="s">
        <v>39</v>
      </c>
      <c r="O948" s="19"/>
      <c r="P948" s="19"/>
      <c r="Q948" s="19"/>
      <c r="R948" s="19"/>
      <c r="S948" s="19"/>
      <c r="T948" s="19"/>
      <c r="U948" s="19"/>
      <c r="V948" s="19"/>
    </row>
    <row r="949">
      <c r="A949" s="25"/>
      <c r="B949" s="19"/>
      <c r="C949" s="19"/>
      <c r="D949" s="19"/>
      <c r="E949" s="19"/>
      <c r="F949" s="17" t="str">
        <f>IFERROR(__xludf.DUMMYFUNCTION("""COMPUTED_VALUE"""),"")</f>
        <v/>
      </c>
      <c r="G949" s="20"/>
      <c r="H949" s="19"/>
      <c r="I949" s="19"/>
      <c r="J949" s="19"/>
      <c r="K949" s="19"/>
      <c r="L949" s="19"/>
      <c r="M949" s="19"/>
      <c r="N949" s="20" t="s">
        <v>39</v>
      </c>
      <c r="O949" s="19"/>
      <c r="P949" s="19"/>
      <c r="Q949" s="19"/>
      <c r="R949" s="19"/>
      <c r="S949" s="19"/>
      <c r="T949" s="19"/>
      <c r="U949" s="19"/>
      <c r="V949" s="19"/>
    </row>
    <row r="950">
      <c r="A950" s="25"/>
      <c r="B950" s="19"/>
      <c r="C950" s="19"/>
      <c r="D950" s="19"/>
      <c r="E950" s="19"/>
      <c r="F950" s="17" t="str">
        <f>IFERROR(__xludf.DUMMYFUNCTION("""COMPUTED_VALUE"""),"")</f>
        <v/>
      </c>
      <c r="G950" s="20"/>
      <c r="H950" s="19"/>
      <c r="I950" s="19"/>
      <c r="J950" s="19"/>
      <c r="K950" s="19"/>
      <c r="L950" s="19"/>
      <c r="M950" s="19"/>
      <c r="N950" s="20" t="s">
        <v>39</v>
      </c>
      <c r="O950" s="19"/>
      <c r="P950" s="19"/>
      <c r="Q950" s="19"/>
      <c r="R950" s="19"/>
      <c r="S950" s="19"/>
      <c r="T950" s="19"/>
      <c r="U950" s="19"/>
      <c r="V950" s="19"/>
    </row>
    <row r="951">
      <c r="A951" s="25"/>
      <c r="B951" s="19"/>
      <c r="C951" s="19"/>
      <c r="D951" s="19"/>
      <c r="E951" s="19"/>
      <c r="F951" s="17" t="str">
        <f>IFERROR(__xludf.DUMMYFUNCTION("""COMPUTED_VALUE"""),"")</f>
        <v/>
      </c>
      <c r="G951" s="20"/>
      <c r="H951" s="19"/>
      <c r="I951" s="19"/>
      <c r="J951" s="19"/>
      <c r="K951" s="19"/>
      <c r="L951" s="19"/>
      <c r="M951" s="19"/>
      <c r="N951" s="20" t="s">
        <v>39</v>
      </c>
      <c r="O951" s="19"/>
      <c r="P951" s="19"/>
      <c r="Q951" s="19"/>
      <c r="R951" s="19"/>
      <c r="S951" s="19"/>
      <c r="T951" s="19"/>
      <c r="U951" s="19"/>
      <c r="V951" s="19"/>
    </row>
    <row r="952">
      <c r="A952" s="25"/>
      <c r="B952" s="19"/>
      <c r="C952" s="19"/>
      <c r="D952" s="19"/>
      <c r="E952" s="19"/>
      <c r="F952" s="17" t="str">
        <f>IFERROR(__xludf.DUMMYFUNCTION("""COMPUTED_VALUE"""),"")</f>
        <v/>
      </c>
      <c r="G952" s="20"/>
      <c r="H952" s="19"/>
      <c r="I952" s="19"/>
      <c r="J952" s="19"/>
      <c r="K952" s="19"/>
      <c r="L952" s="19"/>
      <c r="M952" s="19"/>
      <c r="N952" s="20" t="s">
        <v>39</v>
      </c>
      <c r="O952" s="19"/>
      <c r="P952" s="19"/>
      <c r="Q952" s="19"/>
      <c r="R952" s="19"/>
      <c r="S952" s="19"/>
      <c r="T952" s="19"/>
      <c r="U952" s="19"/>
      <c r="V952" s="19"/>
    </row>
    <row r="953">
      <c r="A953" s="25"/>
      <c r="B953" s="19"/>
      <c r="C953" s="19"/>
      <c r="D953" s="19"/>
      <c r="E953" s="19"/>
      <c r="F953" s="17" t="str">
        <f>IFERROR(__xludf.DUMMYFUNCTION("""COMPUTED_VALUE"""),"")</f>
        <v/>
      </c>
      <c r="G953" s="20"/>
      <c r="H953" s="19"/>
      <c r="I953" s="19"/>
      <c r="J953" s="19"/>
      <c r="K953" s="19"/>
      <c r="L953" s="19"/>
      <c r="M953" s="19"/>
      <c r="N953" s="20" t="s">
        <v>39</v>
      </c>
      <c r="O953" s="19"/>
      <c r="P953" s="19"/>
      <c r="Q953" s="19"/>
      <c r="R953" s="19"/>
      <c r="S953" s="19"/>
      <c r="T953" s="19"/>
      <c r="U953" s="19"/>
      <c r="V953" s="19"/>
    </row>
    <row r="954">
      <c r="A954" s="25"/>
      <c r="B954" s="19"/>
      <c r="C954" s="19"/>
      <c r="D954" s="19"/>
      <c r="E954" s="19"/>
      <c r="F954" s="17" t="str">
        <f>IFERROR(__xludf.DUMMYFUNCTION("""COMPUTED_VALUE"""),"")</f>
        <v/>
      </c>
      <c r="G954" s="20"/>
      <c r="H954" s="19"/>
      <c r="I954" s="19"/>
      <c r="J954" s="19"/>
      <c r="K954" s="19"/>
      <c r="L954" s="19"/>
      <c r="M954" s="19"/>
      <c r="N954" s="20" t="s">
        <v>39</v>
      </c>
      <c r="O954" s="19"/>
      <c r="P954" s="19"/>
      <c r="Q954" s="19"/>
      <c r="R954" s="19"/>
      <c r="S954" s="19"/>
      <c r="T954" s="19"/>
      <c r="U954" s="19"/>
      <c r="V954" s="19"/>
    </row>
    <row r="955">
      <c r="A955" s="25"/>
      <c r="B955" s="19"/>
      <c r="C955" s="19"/>
      <c r="D955" s="19"/>
      <c r="E955" s="19"/>
      <c r="F955" s="17" t="str">
        <f>IFERROR(__xludf.DUMMYFUNCTION("""COMPUTED_VALUE"""),"")</f>
        <v/>
      </c>
      <c r="G955" s="20"/>
      <c r="H955" s="19"/>
      <c r="I955" s="19"/>
      <c r="J955" s="19"/>
      <c r="K955" s="19"/>
      <c r="L955" s="19"/>
      <c r="M955" s="19"/>
      <c r="N955" s="20" t="s">
        <v>39</v>
      </c>
      <c r="O955" s="19"/>
      <c r="P955" s="19"/>
      <c r="Q955" s="19"/>
      <c r="R955" s="19"/>
      <c r="S955" s="19"/>
      <c r="T955" s="19"/>
      <c r="U955" s="19"/>
      <c r="V955" s="19"/>
    </row>
    <row r="956">
      <c r="A956" s="25"/>
      <c r="B956" s="19"/>
      <c r="C956" s="19"/>
      <c r="D956" s="19"/>
      <c r="E956" s="19"/>
      <c r="F956" s="17" t="str">
        <f>IFERROR(__xludf.DUMMYFUNCTION("""COMPUTED_VALUE"""),"")</f>
        <v/>
      </c>
      <c r="G956" s="20"/>
      <c r="H956" s="19"/>
      <c r="I956" s="19"/>
      <c r="J956" s="19"/>
      <c r="K956" s="19"/>
      <c r="L956" s="19"/>
      <c r="M956" s="19"/>
      <c r="N956" s="20" t="s">
        <v>39</v>
      </c>
      <c r="O956" s="19"/>
      <c r="P956" s="19"/>
      <c r="Q956" s="19"/>
      <c r="R956" s="19"/>
      <c r="S956" s="19"/>
      <c r="T956" s="19"/>
      <c r="U956" s="19"/>
      <c r="V956" s="19"/>
    </row>
    <row r="957">
      <c r="A957" s="25"/>
      <c r="B957" s="19"/>
      <c r="C957" s="19"/>
      <c r="D957" s="19"/>
      <c r="E957" s="19"/>
      <c r="F957" s="17" t="str">
        <f>IFERROR(__xludf.DUMMYFUNCTION("""COMPUTED_VALUE"""),"")</f>
        <v/>
      </c>
      <c r="G957" s="20"/>
      <c r="H957" s="19"/>
      <c r="I957" s="19"/>
      <c r="J957" s="19"/>
      <c r="K957" s="19"/>
      <c r="L957" s="19"/>
      <c r="M957" s="19"/>
      <c r="N957" s="20" t="s">
        <v>39</v>
      </c>
      <c r="O957" s="19"/>
      <c r="P957" s="19"/>
      <c r="Q957" s="19"/>
      <c r="R957" s="19"/>
      <c r="S957" s="19"/>
      <c r="T957" s="19"/>
      <c r="U957" s="19"/>
      <c r="V957" s="19"/>
    </row>
    <row r="958">
      <c r="A958" s="25"/>
      <c r="B958" s="19"/>
      <c r="C958" s="19"/>
      <c r="D958" s="19"/>
      <c r="E958" s="19"/>
      <c r="F958" s="17" t="str">
        <f>IFERROR(__xludf.DUMMYFUNCTION("""COMPUTED_VALUE"""),"")</f>
        <v/>
      </c>
      <c r="G958" s="20"/>
      <c r="H958" s="19"/>
      <c r="I958" s="19"/>
      <c r="J958" s="19"/>
      <c r="K958" s="19"/>
      <c r="L958" s="19"/>
      <c r="M958" s="19"/>
      <c r="N958" s="20" t="s">
        <v>39</v>
      </c>
      <c r="O958" s="19"/>
      <c r="P958" s="19"/>
      <c r="Q958" s="19"/>
      <c r="R958" s="19"/>
      <c r="S958" s="19"/>
      <c r="T958" s="19"/>
      <c r="U958" s="19"/>
      <c r="V958" s="19"/>
    </row>
    <row r="959">
      <c r="A959" s="25"/>
      <c r="B959" s="19"/>
      <c r="C959" s="19"/>
      <c r="D959" s="19"/>
      <c r="E959" s="19"/>
      <c r="F959" s="17" t="str">
        <f>IFERROR(__xludf.DUMMYFUNCTION("""COMPUTED_VALUE"""),"")</f>
        <v/>
      </c>
      <c r="G959" s="20"/>
      <c r="H959" s="19"/>
      <c r="I959" s="19"/>
      <c r="J959" s="19"/>
      <c r="K959" s="19"/>
      <c r="L959" s="19"/>
      <c r="M959" s="19"/>
      <c r="N959" s="20" t="s">
        <v>39</v>
      </c>
      <c r="O959" s="19"/>
      <c r="P959" s="19"/>
      <c r="Q959" s="19"/>
      <c r="R959" s="19"/>
      <c r="S959" s="19"/>
      <c r="T959" s="19"/>
      <c r="U959" s="19"/>
      <c r="V959" s="19"/>
    </row>
    <row r="960">
      <c r="A960" s="25"/>
      <c r="B960" s="19"/>
      <c r="C960" s="19"/>
      <c r="D960" s="19"/>
      <c r="E960" s="19"/>
      <c r="F960" s="17" t="str">
        <f>IFERROR(__xludf.DUMMYFUNCTION("""COMPUTED_VALUE"""),"")</f>
        <v/>
      </c>
      <c r="G960" s="20"/>
      <c r="H960" s="19"/>
      <c r="I960" s="19"/>
      <c r="J960" s="19"/>
      <c r="K960" s="19"/>
      <c r="L960" s="19"/>
      <c r="M960" s="19"/>
      <c r="N960" s="20" t="s">
        <v>39</v>
      </c>
      <c r="O960" s="19"/>
      <c r="P960" s="19"/>
      <c r="Q960" s="19"/>
      <c r="R960" s="19"/>
      <c r="S960" s="19"/>
      <c r="T960" s="19"/>
      <c r="U960" s="19"/>
      <c r="V960" s="19"/>
    </row>
    <row r="961">
      <c r="A961" s="25"/>
      <c r="B961" s="19"/>
      <c r="C961" s="19"/>
      <c r="D961" s="19"/>
      <c r="E961" s="19"/>
      <c r="F961" s="17" t="str">
        <f>IFERROR(__xludf.DUMMYFUNCTION("""COMPUTED_VALUE"""),"")</f>
        <v/>
      </c>
      <c r="G961" s="20"/>
      <c r="H961" s="19"/>
      <c r="I961" s="19"/>
      <c r="J961" s="19"/>
      <c r="K961" s="19"/>
      <c r="L961" s="19"/>
      <c r="M961" s="19"/>
      <c r="N961" s="20" t="s">
        <v>39</v>
      </c>
      <c r="O961" s="19"/>
      <c r="P961" s="19"/>
      <c r="Q961" s="19"/>
      <c r="R961" s="19"/>
      <c r="S961" s="19"/>
      <c r="T961" s="19"/>
      <c r="U961" s="19"/>
      <c r="V961" s="19"/>
    </row>
    <row r="962">
      <c r="A962" s="25"/>
      <c r="B962" s="19"/>
      <c r="C962" s="19"/>
      <c r="D962" s="19"/>
      <c r="E962" s="19"/>
      <c r="F962" s="17" t="str">
        <f>IFERROR(__xludf.DUMMYFUNCTION("""COMPUTED_VALUE"""),"")</f>
        <v/>
      </c>
      <c r="G962" s="20"/>
      <c r="H962" s="19"/>
      <c r="I962" s="19"/>
      <c r="J962" s="19"/>
      <c r="K962" s="19"/>
      <c r="L962" s="19"/>
      <c r="M962" s="19"/>
      <c r="N962" s="20" t="s">
        <v>39</v>
      </c>
      <c r="O962" s="19"/>
      <c r="P962" s="19"/>
      <c r="Q962" s="19"/>
      <c r="R962" s="19"/>
      <c r="S962" s="19"/>
      <c r="T962" s="19"/>
      <c r="U962" s="19"/>
      <c r="V962" s="19"/>
    </row>
    <row r="963">
      <c r="A963" s="25"/>
      <c r="B963" s="19"/>
      <c r="C963" s="19"/>
      <c r="D963" s="19"/>
      <c r="E963" s="19"/>
      <c r="F963" s="17" t="str">
        <f>IFERROR(__xludf.DUMMYFUNCTION("""COMPUTED_VALUE"""),"")</f>
        <v/>
      </c>
      <c r="G963" s="20"/>
      <c r="H963" s="19"/>
      <c r="I963" s="19"/>
      <c r="J963" s="19"/>
      <c r="K963" s="19"/>
      <c r="L963" s="19"/>
      <c r="M963" s="19"/>
      <c r="N963" s="20" t="s">
        <v>39</v>
      </c>
      <c r="O963" s="19"/>
      <c r="P963" s="19"/>
      <c r="Q963" s="19"/>
      <c r="R963" s="19"/>
      <c r="S963" s="19"/>
      <c r="T963" s="19"/>
      <c r="U963" s="19"/>
      <c r="V963" s="19"/>
    </row>
    <row r="964">
      <c r="A964" s="25"/>
      <c r="B964" s="19"/>
      <c r="C964" s="19"/>
      <c r="D964" s="19"/>
      <c r="E964" s="19"/>
      <c r="F964" s="17" t="str">
        <f>IFERROR(__xludf.DUMMYFUNCTION("""COMPUTED_VALUE"""),"")</f>
        <v/>
      </c>
      <c r="G964" s="20"/>
      <c r="H964" s="19"/>
      <c r="I964" s="19"/>
      <c r="J964" s="19"/>
      <c r="K964" s="19"/>
      <c r="L964" s="19"/>
      <c r="M964" s="19"/>
      <c r="N964" s="20" t="s">
        <v>39</v>
      </c>
      <c r="O964" s="19"/>
      <c r="P964" s="19"/>
      <c r="Q964" s="19"/>
      <c r="R964" s="19"/>
      <c r="S964" s="19"/>
      <c r="T964" s="19"/>
      <c r="U964" s="19"/>
      <c r="V964" s="19"/>
    </row>
    <row r="965">
      <c r="A965" s="25"/>
      <c r="B965" s="19"/>
      <c r="C965" s="19"/>
      <c r="D965" s="19"/>
      <c r="E965" s="19"/>
      <c r="F965" s="17" t="str">
        <f>IFERROR(__xludf.DUMMYFUNCTION("""COMPUTED_VALUE"""),"")</f>
        <v/>
      </c>
      <c r="G965" s="20"/>
      <c r="H965" s="19"/>
      <c r="I965" s="19"/>
      <c r="J965" s="19"/>
      <c r="K965" s="19"/>
      <c r="L965" s="19"/>
      <c r="M965" s="19"/>
      <c r="N965" s="20" t="s">
        <v>39</v>
      </c>
      <c r="O965" s="19"/>
      <c r="P965" s="19"/>
      <c r="Q965" s="19"/>
      <c r="R965" s="19"/>
      <c r="S965" s="19"/>
      <c r="T965" s="19"/>
      <c r="U965" s="19"/>
      <c r="V965" s="19"/>
    </row>
    <row r="966">
      <c r="A966" s="25"/>
      <c r="B966" s="19"/>
      <c r="C966" s="19"/>
      <c r="D966" s="19"/>
      <c r="E966" s="19"/>
      <c r="F966" s="17" t="str">
        <f>IFERROR(__xludf.DUMMYFUNCTION("""COMPUTED_VALUE"""),"")</f>
        <v/>
      </c>
      <c r="G966" s="20"/>
      <c r="H966" s="19"/>
      <c r="I966" s="19"/>
      <c r="J966" s="19"/>
      <c r="K966" s="19"/>
      <c r="L966" s="19"/>
      <c r="M966" s="19"/>
      <c r="N966" s="20" t="s">
        <v>39</v>
      </c>
      <c r="O966" s="19"/>
      <c r="P966" s="19"/>
      <c r="Q966" s="19"/>
      <c r="R966" s="19"/>
      <c r="S966" s="19"/>
      <c r="T966" s="19"/>
      <c r="U966" s="19"/>
      <c r="V966" s="19"/>
    </row>
    <row r="967">
      <c r="A967" s="25"/>
      <c r="B967" s="19"/>
      <c r="C967" s="19"/>
      <c r="D967" s="19"/>
      <c r="E967" s="19"/>
      <c r="F967" s="17" t="str">
        <f>IFERROR(__xludf.DUMMYFUNCTION("""COMPUTED_VALUE"""),"")</f>
        <v/>
      </c>
      <c r="G967" s="20"/>
      <c r="H967" s="19"/>
      <c r="I967" s="19"/>
      <c r="J967" s="19"/>
      <c r="K967" s="19"/>
      <c r="L967" s="19"/>
      <c r="M967" s="19"/>
      <c r="N967" s="20" t="s">
        <v>39</v>
      </c>
      <c r="O967" s="19"/>
      <c r="P967" s="19"/>
      <c r="Q967" s="19"/>
      <c r="R967" s="19"/>
      <c r="S967" s="19"/>
      <c r="T967" s="19"/>
      <c r="U967" s="19"/>
      <c r="V967" s="19"/>
    </row>
    <row r="968">
      <c r="A968" s="25"/>
      <c r="B968" s="19"/>
      <c r="C968" s="19"/>
      <c r="D968" s="19"/>
      <c r="E968" s="19"/>
      <c r="F968" s="17" t="str">
        <f>IFERROR(__xludf.DUMMYFUNCTION("""COMPUTED_VALUE"""),"")</f>
        <v/>
      </c>
      <c r="G968" s="20"/>
      <c r="H968" s="19"/>
      <c r="I968" s="19"/>
      <c r="J968" s="19"/>
      <c r="K968" s="19"/>
      <c r="L968" s="19"/>
      <c r="M968" s="19"/>
      <c r="N968" s="20" t="s">
        <v>39</v>
      </c>
      <c r="O968" s="19"/>
      <c r="P968" s="19"/>
      <c r="Q968" s="19"/>
      <c r="R968" s="19"/>
      <c r="S968" s="19"/>
      <c r="T968" s="19"/>
      <c r="U968" s="19"/>
      <c r="V968" s="19"/>
    </row>
    <row r="969">
      <c r="A969" s="25"/>
      <c r="B969" s="19"/>
      <c r="C969" s="19"/>
      <c r="D969" s="19"/>
      <c r="E969" s="19"/>
      <c r="F969" s="17" t="str">
        <f>IFERROR(__xludf.DUMMYFUNCTION("""COMPUTED_VALUE"""),"")</f>
        <v/>
      </c>
      <c r="G969" s="20"/>
      <c r="H969" s="19"/>
      <c r="I969" s="19"/>
      <c r="J969" s="19"/>
      <c r="K969" s="19"/>
      <c r="L969" s="19"/>
      <c r="M969" s="19"/>
      <c r="N969" s="20" t="s">
        <v>39</v>
      </c>
      <c r="O969" s="19"/>
      <c r="P969" s="19"/>
      <c r="Q969" s="19"/>
      <c r="R969" s="19"/>
      <c r="S969" s="19"/>
      <c r="T969" s="19"/>
      <c r="U969" s="19"/>
      <c r="V969" s="19"/>
    </row>
    <row r="970">
      <c r="A970" s="25"/>
      <c r="B970" s="19"/>
      <c r="C970" s="19"/>
      <c r="D970" s="19"/>
      <c r="E970" s="19"/>
      <c r="F970" s="17" t="str">
        <f>IFERROR(__xludf.DUMMYFUNCTION("""COMPUTED_VALUE"""),"")</f>
        <v/>
      </c>
      <c r="G970" s="20"/>
      <c r="H970" s="19"/>
      <c r="I970" s="19"/>
      <c r="J970" s="19"/>
      <c r="K970" s="19"/>
      <c r="L970" s="19"/>
      <c r="M970" s="19"/>
      <c r="N970" s="20" t="s">
        <v>39</v>
      </c>
      <c r="O970" s="19"/>
      <c r="P970" s="19"/>
      <c r="Q970" s="19"/>
      <c r="R970" s="19"/>
      <c r="S970" s="19"/>
      <c r="T970" s="19"/>
      <c r="U970" s="19"/>
      <c r="V970" s="19"/>
    </row>
    <row r="971">
      <c r="A971" s="25"/>
      <c r="B971" s="19"/>
      <c r="C971" s="19"/>
      <c r="D971" s="19"/>
      <c r="E971" s="19"/>
      <c r="F971" s="17" t="str">
        <f>IFERROR(__xludf.DUMMYFUNCTION("""COMPUTED_VALUE"""),"")</f>
        <v/>
      </c>
      <c r="G971" s="20"/>
      <c r="H971" s="19"/>
      <c r="I971" s="19"/>
      <c r="J971" s="19"/>
      <c r="K971" s="19"/>
      <c r="L971" s="19"/>
      <c r="M971" s="19"/>
      <c r="N971" s="20" t="s">
        <v>39</v>
      </c>
      <c r="O971" s="19"/>
      <c r="P971" s="19"/>
      <c r="Q971" s="19"/>
      <c r="R971" s="19"/>
      <c r="S971" s="19"/>
      <c r="T971" s="19"/>
      <c r="U971" s="19"/>
      <c r="V971" s="19"/>
    </row>
    <row r="972">
      <c r="A972" s="25"/>
      <c r="B972" s="19"/>
      <c r="C972" s="19"/>
      <c r="D972" s="19"/>
      <c r="E972" s="19"/>
      <c r="F972" s="17" t="str">
        <f>IFERROR(__xludf.DUMMYFUNCTION("""COMPUTED_VALUE"""),"")</f>
        <v/>
      </c>
      <c r="G972" s="20"/>
      <c r="H972" s="19"/>
      <c r="I972" s="19"/>
      <c r="J972" s="19"/>
      <c r="K972" s="19"/>
      <c r="L972" s="19"/>
      <c r="M972" s="19"/>
      <c r="N972" s="20" t="s">
        <v>39</v>
      </c>
      <c r="O972" s="19"/>
      <c r="P972" s="19"/>
      <c r="Q972" s="19"/>
      <c r="R972" s="19"/>
      <c r="S972" s="19"/>
      <c r="T972" s="19"/>
      <c r="U972" s="19"/>
      <c r="V972" s="19"/>
    </row>
    <row r="973">
      <c r="A973" s="25"/>
      <c r="B973" s="19"/>
      <c r="C973" s="19"/>
      <c r="D973" s="19"/>
      <c r="E973" s="19"/>
      <c r="F973" s="17" t="str">
        <f>IFERROR(__xludf.DUMMYFUNCTION("""COMPUTED_VALUE"""),"")</f>
        <v/>
      </c>
      <c r="G973" s="20"/>
      <c r="H973" s="19"/>
      <c r="I973" s="19"/>
      <c r="J973" s="19"/>
      <c r="K973" s="19"/>
      <c r="L973" s="19"/>
      <c r="M973" s="19"/>
      <c r="N973" s="20" t="s">
        <v>39</v>
      </c>
      <c r="O973" s="19"/>
      <c r="P973" s="19"/>
      <c r="Q973" s="19"/>
      <c r="R973" s="19"/>
      <c r="S973" s="19"/>
      <c r="T973" s="19"/>
      <c r="U973" s="19"/>
      <c r="V973" s="19"/>
    </row>
    <row r="974">
      <c r="A974" s="25"/>
      <c r="B974" s="19"/>
      <c r="C974" s="19"/>
      <c r="D974" s="19"/>
      <c r="E974" s="19"/>
      <c r="F974" s="17" t="str">
        <f>IFERROR(__xludf.DUMMYFUNCTION("""COMPUTED_VALUE"""),"")</f>
        <v/>
      </c>
      <c r="G974" s="20"/>
      <c r="H974" s="19"/>
      <c r="I974" s="19"/>
      <c r="J974" s="19"/>
      <c r="K974" s="19"/>
      <c r="L974" s="19"/>
      <c r="M974" s="19"/>
      <c r="N974" s="20" t="s">
        <v>39</v>
      </c>
      <c r="O974" s="19"/>
      <c r="P974" s="19"/>
      <c r="Q974" s="19"/>
      <c r="R974" s="19"/>
      <c r="S974" s="19"/>
      <c r="T974" s="19"/>
      <c r="U974" s="19"/>
      <c r="V974" s="19"/>
    </row>
    <row r="975">
      <c r="A975" s="25"/>
      <c r="B975" s="19"/>
      <c r="C975" s="19"/>
      <c r="D975" s="19"/>
      <c r="E975" s="19"/>
      <c r="F975" s="17" t="str">
        <f>IFERROR(__xludf.DUMMYFUNCTION("""COMPUTED_VALUE"""),"")</f>
        <v/>
      </c>
      <c r="G975" s="20"/>
      <c r="H975" s="19"/>
      <c r="I975" s="19"/>
      <c r="J975" s="19"/>
      <c r="K975" s="19"/>
      <c r="L975" s="19"/>
      <c r="M975" s="19"/>
      <c r="N975" s="20" t="s">
        <v>39</v>
      </c>
      <c r="O975" s="19"/>
      <c r="P975" s="19"/>
      <c r="Q975" s="19"/>
      <c r="R975" s="19"/>
      <c r="S975" s="19"/>
      <c r="T975" s="19"/>
      <c r="U975" s="19"/>
      <c r="V975" s="19"/>
    </row>
    <row r="976">
      <c r="A976" s="25"/>
      <c r="B976" s="19"/>
      <c r="C976" s="19"/>
      <c r="D976" s="19"/>
      <c r="E976" s="19"/>
      <c r="F976" s="17" t="str">
        <f>IFERROR(__xludf.DUMMYFUNCTION("""COMPUTED_VALUE"""),"")</f>
        <v/>
      </c>
      <c r="G976" s="20"/>
      <c r="H976" s="19"/>
      <c r="I976" s="19"/>
      <c r="J976" s="19"/>
      <c r="K976" s="19"/>
      <c r="L976" s="19"/>
      <c r="M976" s="19"/>
      <c r="N976" s="20" t="s">
        <v>39</v>
      </c>
      <c r="O976" s="19"/>
      <c r="P976" s="19"/>
      <c r="Q976" s="19"/>
      <c r="R976" s="19"/>
      <c r="S976" s="19"/>
      <c r="T976" s="19"/>
      <c r="U976" s="19"/>
      <c r="V976" s="19"/>
    </row>
    <row r="977">
      <c r="A977" s="25"/>
      <c r="B977" s="19"/>
      <c r="C977" s="19"/>
      <c r="D977" s="19"/>
      <c r="E977" s="19"/>
      <c r="F977" s="17" t="str">
        <f>IFERROR(__xludf.DUMMYFUNCTION("""COMPUTED_VALUE"""),"")</f>
        <v/>
      </c>
      <c r="G977" s="20"/>
      <c r="H977" s="19"/>
      <c r="I977" s="19"/>
      <c r="J977" s="19"/>
      <c r="K977" s="19"/>
      <c r="L977" s="19"/>
      <c r="M977" s="19"/>
      <c r="N977" s="20" t="s">
        <v>39</v>
      </c>
      <c r="O977" s="19"/>
      <c r="P977" s="19"/>
      <c r="Q977" s="19"/>
      <c r="R977" s="19"/>
      <c r="S977" s="19"/>
      <c r="T977" s="19"/>
      <c r="U977" s="19"/>
      <c r="V977" s="19"/>
    </row>
    <row r="978">
      <c r="A978" s="25"/>
      <c r="B978" s="19"/>
      <c r="C978" s="19"/>
      <c r="D978" s="19"/>
      <c r="E978" s="19"/>
      <c r="F978" s="17" t="str">
        <f>IFERROR(__xludf.DUMMYFUNCTION("""COMPUTED_VALUE"""),"")</f>
        <v/>
      </c>
      <c r="G978" s="20"/>
      <c r="H978" s="19"/>
      <c r="I978" s="19"/>
      <c r="J978" s="19"/>
      <c r="K978" s="19"/>
      <c r="L978" s="19"/>
      <c r="M978" s="19"/>
      <c r="N978" s="20" t="s">
        <v>39</v>
      </c>
      <c r="O978" s="19"/>
      <c r="P978" s="19"/>
      <c r="Q978" s="19"/>
      <c r="R978" s="19"/>
      <c r="S978" s="19"/>
      <c r="T978" s="19"/>
      <c r="U978" s="19"/>
      <c r="V978" s="19"/>
    </row>
    <row r="979">
      <c r="A979" s="25"/>
      <c r="B979" s="19"/>
      <c r="C979" s="19"/>
      <c r="D979" s="19"/>
      <c r="E979" s="19"/>
      <c r="F979" s="17" t="str">
        <f>IFERROR(__xludf.DUMMYFUNCTION("""COMPUTED_VALUE"""),"")</f>
        <v/>
      </c>
      <c r="G979" s="20"/>
      <c r="H979" s="19"/>
      <c r="I979" s="19"/>
      <c r="J979" s="19"/>
      <c r="K979" s="19"/>
      <c r="L979" s="19"/>
      <c r="M979" s="19"/>
      <c r="N979" s="20" t="s">
        <v>39</v>
      </c>
      <c r="O979" s="19"/>
      <c r="P979" s="19"/>
      <c r="Q979" s="19"/>
      <c r="R979" s="19"/>
      <c r="S979" s="19"/>
      <c r="T979" s="19"/>
      <c r="U979" s="19"/>
      <c r="V979" s="19"/>
    </row>
    <row r="980">
      <c r="A980" s="25"/>
      <c r="B980" s="19"/>
      <c r="C980" s="19"/>
      <c r="D980" s="19"/>
      <c r="E980" s="19"/>
      <c r="F980" s="17" t="str">
        <f>IFERROR(__xludf.DUMMYFUNCTION("""COMPUTED_VALUE"""),"")</f>
        <v/>
      </c>
      <c r="G980" s="20"/>
      <c r="H980" s="19"/>
      <c r="I980" s="19"/>
      <c r="J980" s="19"/>
      <c r="K980" s="19"/>
      <c r="L980" s="19"/>
      <c r="M980" s="19"/>
      <c r="N980" s="20" t="s">
        <v>39</v>
      </c>
      <c r="O980" s="19"/>
      <c r="P980" s="19"/>
      <c r="Q980" s="19"/>
      <c r="R980" s="19"/>
      <c r="S980" s="19"/>
      <c r="T980" s="19"/>
      <c r="U980" s="19"/>
      <c r="V980" s="19"/>
    </row>
    <row r="981">
      <c r="A981" s="25"/>
      <c r="B981" s="19"/>
      <c r="C981" s="19"/>
      <c r="D981" s="19"/>
      <c r="E981" s="19"/>
      <c r="F981" s="17" t="str">
        <f>IFERROR(__xludf.DUMMYFUNCTION("""COMPUTED_VALUE"""),"")</f>
        <v/>
      </c>
      <c r="G981" s="20"/>
      <c r="H981" s="19"/>
      <c r="I981" s="19"/>
      <c r="J981" s="19"/>
      <c r="K981" s="19"/>
      <c r="L981" s="19"/>
      <c r="M981" s="19"/>
      <c r="N981" s="20" t="s">
        <v>39</v>
      </c>
      <c r="O981" s="19"/>
      <c r="P981" s="19"/>
      <c r="Q981" s="19"/>
      <c r="R981" s="19"/>
      <c r="S981" s="19"/>
      <c r="T981" s="19"/>
      <c r="U981" s="19"/>
      <c r="V981" s="19"/>
    </row>
    <row r="982">
      <c r="A982" s="25"/>
      <c r="B982" s="19"/>
      <c r="C982" s="19"/>
      <c r="D982" s="19"/>
      <c r="E982" s="19"/>
      <c r="F982" s="17" t="str">
        <f>IFERROR(__xludf.DUMMYFUNCTION("""COMPUTED_VALUE"""),"")</f>
        <v/>
      </c>
      <c r="G982" s="20"/>
      <c r="H982" s="19"/>
      <c r="I982" s="19"/>
      <c r="J982" s="19"/>
      <c r="K982" s="19"/>
      <c r="L982" s="19"/>
      <c r="M982" s="19"/>
      <c r="N982" s="20" t="s">
        <v>39</v>
      </c>
      <c r="O982" s="19"/>
      <c r="P982" s="19"/>
      <c r="Q982" s="19"/>
      <c r="R982" s="19"/>
      <c r="S982" s="19"/>
      <c r="T982" s="19"/>
      <c r="U982" s="19"/>
      <c r="V982" s="19"/>
    </row>
    <row r="983">
      <c r="A983" s="25"/>
      <c r="B983" s="19"/>
      <c r="C983" s="19"/>
      <c r="D983" s="19"/>
      <c r="E983" s="19"/>
      <c r="F983" s="17" t="str">
        <f>IFERROR(__xludf.DUMMYFUNCTION("""COMPUTED_VALUE"""),"")</f>
        <v/>
      </c>
      <c r="G983" s="20"/>
      <c r="H983" s="19"/>
      <c r="I983" s="19"/>
      <c r="J983" s="19"/>
      <c r="K983" s="19"/>
      <c r="L983" s="19"/>
      <c r="M983" s="19"/>
      <c r="N983" s="20" t="s">
        <v>39</v>
      </c>
      <c r="O983" s="19"/>
      <c r="P983" s="19"/>
      <c r="Q983" s="19"/>
      <c r="R983" s="19"/>
      <c r="S983" s="19"/>
      <c r="T983" s="19"/>
      <c r="U983" s="19"/>
      <c r="V983" s="19"/>
    </row>
    <row r="984">
      <c r="A984" s="25"/>
      <c r="B984" s="19"/>
      <c r="C984" s="19"/>
      <c r="D984" s="19"/>
      <c r="E984" s="19"/>
      <c r="F984" s="17" t="str">
        <f>IFERROR(__xludf.DUMMYFUNCTION("""COMPUTED_VALUE"""),"")</f>
        <v/>
      </c>
      <c r="G984" s="20"/>
      <c r="H984" s="19"/>
      <c r="I984" s="19"/>
      <c r="J984" s="19"/>
      <c r="K984" s="19"/>
      <c r="L984" s="19"/>
      <c r="M984" s="19"/>
      <c r="N984" s="20" t="s">
        <v>39</v>
      </c>
      <c r="O984" s="19"/>
      <c r="P984" s="19"/>
      <c r="Q984" s="19"/>
      <c r="R984" s="19"/>
      <c r="S984" s="19"/>
      <c r="T984" s="19"/>
      <c r="U984" s="19"/>
      <c r="V984" s="19"/>
    </row>
    <row r="985">
      <c r="A985" s="25"/>
      <c r="B985" s="19"/>
      <c r="C985" s="19"/>
      <c r="D985" s="19"/>
      <c r="E985" s="19"/>
      <c r="F985" s="17" t="str">
        <f>IFERROR(__xludf.DUMMYFUNCTION("""COMPUTED_VALUE"""),"")</f>
        <v/>
      </c>
      <c r="G985" s="20"/>
      <c r="H985" s="19"/>
      <c r="I985" s="19"/>
      <c r="J985" s="19"/>
      <c r="K985" s="19"/>
      <c r="L985" s="19"/>
      <c r="M985" s="19"/>
      <c r="N985" s="20" t="s">
        <v>39</v>
      </c>
      <c r="O985" s="19"/>
      <c r="P985" s="19"/>
      <c r="Q985" s="19"/>
      <c r="R985" s="19"/>
      <c r="S985" s="19"/>
      <c r="T985" s="19"/>
      <c r="U985" s="19"/>
      <c r="V985" s="19"/>
    </row>
    <row r="986">
      <c r="A986" s="25"/>
      <c r="B986" s="19"/>
      <c r="C986" s="19"/>
      <c r="D986" s="19"/>
      <c r="E986" s="19"/>
      <c r="F986" s="17" t="str">
        <f>IFERROR(__xludf.DUMMYFUNCTION("""COMPUTED_VALUE"""),"")</f>
        <v/>
      </c>
      <c r="G986" s="20"/>
      <c r="H986" s="19"/>
      <c r="I986" s="19"/>
      <c r="J986" s="19"/>
      <c r="K986" s="19"/>
      <c r="L986" s="19"/>
      <c r="M986" s="19"/>
      <c r="N986" s="20" t="s">
        <v>39</v>
      </c>
      <c r="O986" s="19"/>
      <c r="P986" s="19"/>
      <c r="Q986" s="19"/>
      <c r="R986" s="19"/>
      <c r="S986" s="19"/>
      <c r="T986" s="19"/>
      <c r="U986" s="19"/>
      <c r="V986" s="19"/>
    </row>
    <row r="987">
      <c r="A987" s="25"/>
      <c r="B987" s="19"/>
      <c r="C987" s="19"/>
      <c r="D987" s="19"/>
      <c r="E987" s="19"/>
      <c r="F987" s="17" t="str">
        <f>IFERROR(__xludf.DUMMYFUNCTION("""COMPUTED_VALUE"""),"")</f>
        <v/>
      </c>
      <c r="G987" s="20"/>
      <c r="H987" s="19"/>
      <c r="I987" s="19"/>
      <c r="J987" s="19"/>
      <c r="K987" s="19"/>
      <c r="L987" s="19"/>
      <c r="M987" s="19"/>
      <c r="N987" s="20" t="s">
        <v>39</v>
      </c>
      <c r="O987" s="19"/>
      <c r="P987" s="19"/>
      <c r="Q987" s="19"/>
      <c r="R987" s="19"/>
      <c r="S987" s="19"/>
      <c r="T987" s="19"/>
      <c r="U987" s="19"/>
      <c r="V987" s="19"/>
    </row>
    <row r="988">
      <c r="A988" s="25"/>
      <c r="B988" s="19"/>
      <c r="C988" s="19"/>
      <c r="D988" s="19"/>
      <c r="E988" s="19"/>
      <c r="F988" s="17" t="str">
        <f>IFERROR(__xludf.DUMMYFUNCTION("""COMPUTED_VALUE"""),"")</f>
        <v/>
      </c>
      <c r="G988" s="20"/>
      <c r="H988" s="19"/>
      <c r="I988" s="19"/>
      <c r="J988" s="19"/>
      <c r="K988" s="19"/>
      <c r="L988" s="19"/>
      <c r="M988" s="19"/>
      <c r="N988" s="20" t="s">
        <v>39</v>
      </c>
      <c r="O988" s="19"/>
      <c r="P988" s="19"/>
      <c r="Q988" s="19"/>
      <c r="R988" s="19"/>
      <c r="S988" s="19"/>
      <c r="T988" s="19"/>
      <c r="U988" s="19"/>
      <c r="V988" s="19"/>
    </row>
    <row r="989">
      <c r="A989" s="25"/>
      <c r="B989" s="19"/>
      <c r="C989" s="19"/>
      <c r="D989" s="19"/>
      <c r="E989" s="19"/>
      <c r="F989" s="17" t="str">
        <f>IFERROR(__xludf.DUMMYFUNCTION("""COMPUTED_VALUE"""),"")</f>
        <v/>
      </c>
      <c r="G989" s="20"/>
      <c r="H989" s="19"/>
      <c r="I989" s="19"/>
      <c r="J989" s="19"/>
      <c r="K989" s="19"/>
      <c r="L989" s="19"/>
      <c r="M989" s="19"/>
      <c r="N989" s="20" t="s">
        <v>39</v>
      </c>
      <c r="O989" s="19"/>
      <c r="P989" s="19"/>
      <c r="Q989" s="19"/>
      <c r="R989" s="19"/>
      <c r="S989" s="19"/>
      <c r="T989" s="19"/>
      <c r="U989" s="19"/>
      <c r="V989" s="19"/>
    </row>
    <row r="990">
      <c r="A990" s="25"/>
      <c r="B990" s="19"/>
      <c r="C990" s="19"/>
      <c r="D990" s="19"/>
      <c r="E990" s="19"/>
      <c r="F990" s="17" t="str">
        <f>IFERROR(__xludf.DUMMYFUNCTION("""COMPUTED_VALUE"""),"")</f>
        <v/>
      </c>
      <c r="G990" s="20"/>
      <c r="H990" s="19"/>
      <c r="I990" s="19"/>
      <c r="J990" s="19"/>
      <c r="K990" s="19"/>
      <c r="L990" s="19"/>
      <c r="M990" s="19"/>
      <c r="N990" s="20" t="s">
        <v>39</v>
      </c>
      <c r="O990" s="19"/>
      <c r="P990" s="19"/>
      <c r="Q990" s="19"/>
      <c r="R990" s="19"/>
      <c r="S990" s="19"/>
      <c r="T990" s="19"/>
      <c r="U990" s="19"/>
      <c r="V990" s="19"/>
    </row>
    <row r="991">
      <c r="A991" s="25"/>
      <c r="B991" s="19"/>
      <c r="C991" s="19"/>
      <c r="D991" s="19"/>
      <c r="E991" s="19"/>
      <c r="F991" s="17" t="str">
        <f>IFERROR(__xludf.DUMMYFUNCTION("""COMPUTED_VALUE"""),"")</f>
        <v/>
      </c>
      <c r="G991" s="20"/>
      <c r="H991" s="19"/>
      <c r="I991" s="19"/>
      <c r="J991" s="19"/>
      <c r="K991" s="19"/>
      <c r="L991" s="19"/>
      <c r="M991" s="19"/>
      <c r="N991" s="20" t="s">
        <v>39</v>
      </c>
      <c r="O991" s="19"/>
      <c r="P991" s="19"/>
      <c r="Q991" s="19"/>
      <c r="R991" s="19"/>
      <c r="S991" s="19"/>
      <c r="T991" s="19"/>
      <c r="U991" s="19"/>
      <c r="V991" s="19"/>
    </row>
    <row r="992">
      <c r="A992" s="25"/>
      <c r="B992" s="19"/>
      <c r="C992" s="19"/>
      <c r="D992" s="19"/>
      <c r="E992" s="19"/>
      <c r="F992" s="17" t="str">
        <f>IFERROR(__xludf.DUMMYFUNCTION("""COMPUTED_VALUE"""),"")</f>
        <v/>
      </c>
      <c r="G992" s="20"/>
      <c r="H992" s="19"/>
      <c r="I992" s="19"/>
      <c r="J992" s="19"/>
      <c r="K992" s="19"/>
      <c r="L992" s="19"/>
      <c r="M992" s="19"/>
      <c r="N992" s="20" t="s">
        <v>39</v>
      </c>
      <c r="O992" s="19"/>
      <c r="P992" s="19"/>
      <c r="Q992" s="19"/>
      <c r="R992" s="19"/>
      <c r="S992" s="19"/>
      <c r="T992" s="19"/>
      <c r="U992" s="19"/>
      <c r="V992" s="19"/>
    </row>
    <row r="993">
      <c r="A993" s="25"/>
      <c r="B993" s="19"/>
      <c r="C993" s="19"/>
      <c r="D993" s="19"/>
      <c r="E993" s="19"/>
      <c r="F993" s="17" t="str">
        <f>IFERROR(__xludf.DUMMYFUNCTION("""COMPUTED_VALUE"""),"")</f>
        <v/>
      </c>
      <c r="G993" s="20"/>
      <c r="H993" s="19"/>
      <c r="I993" s="19"/>
      <c r="J993" s="19"/>
      <c r="K993" s="19"/>
      <c r="L993" s="19"/>
      <c r="M993" s="19"/>
      <c r="N993" s="20" t="s">
        <v>39</v>
      </c>
      <c r="O993" s="19"/>
      <c r="P993" s="19"/>
      <c r="Q993" s="19"/>
      <c r="R993" s="19"/>
      <c r="S993" s="19"/>
      <c r="T993" s="19"/>
      <c r="U993" s="19"/>
      <c r="V993" s="19"/>
    </row>
    <row r="994">
      <c r="A994" s="25"/>
      <c r="B994" s="19"/>
      <c r="C994" s="19"/>
      <c r="D994" s="19"/>
      <c r="E994" s="19"/>
      <c r="F994" s="17" t="str">
        <f>IFERROR(__xludf.DUMMYFUNCTION("""COMPUTED_VALUE"""),"")</f>
        <v/>
      </c>
      <c r="G994" s="20"/>
      <c r="H994" s="19"/>
      <c r="I994" s="19"/>
      <c r="J994" s="19"/>
      <c r="K994" s="19"/>
      <c r="L994" s="19"/>
      <c r="M994" s="19"/>
      <c r="N994" s="20" t="s">
        <v>39</v>
      </c>
      <c r="O994" s="19"/>
      <c r="P994" s="19"/>
      <c r="Q994" s="19"/>
      <c r="R994" s="19"/>
      <c r="S994" s="19"/>
      <c r="T994" s="19"/>
      <c r="U994" s="19"/>
      <c r="V994" s="19"/>
    </row>
    <row r="995">
      <c r="A995" s="25"/>
      <c r="B995" s="19"/>
      <c r="C995" s="19"/>
      <c r="D995" s="19"/>
      <c r="E995" s="19"/>
      <c r="F995" s="17" t="str">
        <f>IFERROR(__xludf.DUMMYFUNCTION("""COMPUTED_VALUE"""),"")</f>
        <v/>
      </c>
      <c r="G995" s="20"/>
      <c r="H995" s="19"/>
      <c r="I995" s="19"/>
      <c r="J995" s="19"/>
      <c r="K995" s="19"/>
      <c r="L995" s="19"/>
      <c r="M995" s="19"/>
      <c r="N995" s="20" t="s">
        <v>39</v>
      </c>
      <c r="O995" s="19"/>
      <c r="P995" s="19"/>
      <c r="Q995" s="19"/>
      <c r="R995" s="19"/>
      <c r="S995" s="19"/>
      <c r="T995" s="19"/>
      <c r="U995" s="19"/>
      <c r="V995" s="19"/>
    </row>
    <row r="996">
      <c r="A996" s="25"/>
      <c r="B996" s="19"/>
      <c r="C996" s="19"/>
      <c r="D996" s="19"/>
      <c r="E996" s="19"/>
      <c r="F996" s="17" t="str">
        <f>IFERROR(__xludf.DUMMYFUNCTION("""COMPUTED_VALUE"""),"")</f>
        <v/>
      </c>
      <c r="G996" s="20"/>
      <c r="H996" s="19"/>
      <c r="I996" s="19"/>
      <c r="J996" s="19"/>
      <c r="K996" s="19"/>
      <c r="L996" s="19"/>
      <c r="M996" s="19"/>
      <c r="N996" s="20" t="s">
        <v>39</v>
      </c>
      <c r="O996" s="19"/>
      <c r="P996" s="19"/>
      <c r="Q996" s="19"/>
      <c r="R996" s="19"/>
      <c r="S996" s="19"/>
      <c r="T996" s="19"/>
      <c r="U996" s="19"/>
      <c r="V996" s="19"/>
    </row>
    <row r="997">
      <c r="A997" s="25"/>
      <c r="B997" s="19"/>
      <c r="C997" s="19"/>
      <c r="D997" s="19"/>
      <c r="E997" s="19"/>
      <c r="F997" s="17" t="str">
        <f>IFERROR(__xludf.DUMMYFUNCTION("""COMPUTED_VALUE"""),"")</f>
        <v/>
      </c>
      <c r="G997" s="20"/>
      <c r="H997" s="19"/>
      <c r="I997" s="19"/>
      <c r="J997" s="19"/>
      <c r="K997" s="19"/>
      <c r="L997" s="19"/>
      <c r="M997" s="19"/>
      <c r="N997" s="20" t="s">
        <v>39</v>
      </c>
      <c r="O997" s="19"/>
      <c r="P997" s="19"/>
      <c r="Q997" s="19"/>
      <c r="R997" s="19"/>
      <c r="S997" s="19"/>
      <c r="T997" s="19"/>
      <c r="U997" s="19"/>
      <c r="V997" s="19"/>
    </row>
    <row r="998">
      <c r="A998" s="25"/>
      <c r="B998" s="19"/>
      <c r="C998" s="19"/>
      <c r="D998" s="19"/>
      <c r="E998" s="19"/>
      <c r="F998" s="17" t="str">
        <f>IFERROR(__xludf.DUMMYFUNCTION("""COMPUTED_VALUE"""),"")</f>
        <v/>
      </c>
      <c r="G998" s="20"/>
      <c r="H998" s="19"/>
      <c r="I998" s="19"/>
      <c r="J998" s="19"/>
      <c r="K998" s="19"/>
      <c r="L998" s="19"/>
      <c r="M998" s="19"/>
      <c r="N998" s="20" t="s">
        <v>39</v>
      </c>
      <c r="O998" s="19"/>
      <c r="P998" s="19"/>
      <c r="Q998" s="19"/>
      <c r="R998" s="19"/>
      <c r="S998" s="19"/>
      <c r="T998" s="19"/>
      <c r="U998" s="19"/>
      <c r="V998" s="19"/>
    </row>
    <row r="999">
      <c r="A999" s="25"/>
      <c r="B999" s="19"/>
      <c r="C999" s="19"/>
      <c r="D999" s="19"/>
      <c r="E999" s="19"/>
      <c r="F999" s="17" t="str">
        <f>IFERROR(__xludf.DUMMYFUNCTION("""COMPUTED_VALUE"""),"")</f>
        <v/>
      </c>
      <c r="G999" s="20"/>
      <c r="H999" s="19"/>
      <c r="I999" s="19"/>
      <c r="J999" s="19"/>
      <c r="K999" s="19"/>
      <c r="L999" s="19"/>
      <c r="M999" s="19"/>
      <c r="N999" s="20" t="s">
        <v>39</v>
      </c>
      <c r="O999" s="19"/>
      <c r="P999" s="19"/>
      <c r="Q999" s="19"/>
      <c r="R999" s="19"/>
      <c r="S999" s="19"/>
      <c r="T999" s="19"/>
      <c r="U999" s="19"/>
      <c r="V999" s="19"/>
    </row>
    <row r="1000">
      <c r="A1000" s="25"/>
      <c r="B1000" s="19"/>
      <c r="C1000" s="19"/>
      <c r="D1000" s="19"/>
      <c r="E1000" s="19"/>
      <c r="F1000" s="17" t="str">
        <f>IFERROR(__xludf.DUMMYFUNCTION("""COMPUTED_VALUE"""),"")</f>
        <v/>
      </c>
      <c r="G1000" s="20"/>
      <c r="H1000" s="19"/>
      <c r="I1000" s="19"/>
      <c r="J1000" s="19"/>
      <c r="K1000" s="19"/>
      <c r="L1000" s="19"/>
      <c r="M1000" s="19"/>
      <c r="N1000" s="20" t="s">
        <v>39</v>
      </c>
      <c r="O1000" s="19"/>
      <c r="P1000" s="19"/>
      <c r="Q1000" s="19"/>
      <c r="R1000" s="19"/>
      <c r="S1000" s="19"/>
      <c r="T1000" s="19"/>
      <c r="U1000" s="19"/>
      <c r="V1000" s="19"/>
    </row>
    <row r="1001">
      <c r="A1001" s="25"/>
      <c r="B1001" s="19"/>
      <c r="C1001" s="19"/>
      <c r="D1001" s="19"/>
      <c r="E1001" s="19"/>
      <c r="F1001" s="17" t="str">
        <f>IFERROR(__xludf.DUMMYFUNCTION("""COMPUTED_VALUE"""),"")</f>
        <v/>
      </c>
      <c r="G1001" s="20"/>
      <c r="H1001" s="19"/>
      <c r="I1001" s="19"/>
      <c r="J1001" s="19"/>
      <c r="K1001" s="19"/>
      <c r="L1001" s="19"/>
      <c r="M1001" s="19"/>
      <c r="N1001" s="20" t="s">
        <v>39</v>
      </c>
      <c r="O1001" s="19"/>
      <c r="P1001" s="19"/>
      <c r="Q1001" s="19"/>
      <c r="R1001" s="19"/>
      <c r="S1001" s="19"/>
      <c r="T1001" s="19"/>
      <c r="U1001" s="19"/>
      <c r="V1001" s="19"/>
    </row>
    <row r="1002">
      <c r="A1002" s="25"/>
      <c r="B1002" s="19"/>
      <c r="C1002" s="19"/>
      <c r="D1002" s="19"/>
      <c r="E1002" s="19"/>
      <c r="F1002" s="17" t="str">
        <f>IFERROR(__xludf.DUMMYFUNCTION("""COMPUTED_VALUE"""),"")</f>
        <v/>
      </c>
      <c r="G1002" s="20"/>
      <c r="H1002" s="19"/>
      <c r="I1002" s="19"/>
      <c r="J1002" s="19"/>
      <c r="K1002" s="19"/>
      <c r="L1002" s="19"/>
      <c r="M1002" s="19"/>
      <c r="N1002" s="20" t="s">
        <v>39</v>
      </c>
      <c r="O1002" s="19"/>
      <c r="P1002" s="19"/>
      <c r="Q1002" s="19"/>
      <c r="R1002" s="19"/>
      <c r="S1002" s="19"/>
      <c r="T1002" s="19"/>
      <c r="U1002" s="19"/>
      <c r="V1002" s="19"/>
    </row>
    <row r="1003">
      <c r="A1003" s="25"/>
      <c r="B1003" s="19"/>
      <c r="C1003" s="19"/>
      <c r="D1003" s="19"/>
      <c r="E1003" s="19"/>
      <c r="F1003" s="17" t="str">
        <f>IFERROR(__xludf.DUMMYFUNCTION("""COMPUTED_VALUE"""),"")</f>
        <v/>
      </c>
      <c r="G1003" s="20"/>
      <c r="H1003" s="19"/>
      <c r="I1003" s="19"/>
      <c r="J1003" s="19"/>
      <c r="K1003" s="19"/>
      <c r="L1003" s="19"/>
      <c r="M1003" s="19"/>
      <c r="N1003" s="20" t="s">
        <v>39</v>
      </c>
      <c r="O1003" s="19"/>
      <c r="P1003" s="19"/>
      <c r="Q1003" s="19"/>
      <c r="R1003" s="19"/>
      <c r="S1003" s="19"/>
      <c r="T1003" s="19"/>
      <c r="U1003" s="19"/>
      <c r="V1003" s="19"/>
    </row>
    <row r="1004">
      <c r="A1004" s="25"/>
      <c r="B1004" s="19"/>
      <c r="C1004" s="19"/>
      <c r="D1004" s="19"/>
      <c r="E1004" s="19"/>
      <c r="F1004" s="17" t="str">
        <f>IFERROR(__xludf.DUMMYFUNCTION("""COMPUTED_VALUE"""),"")</f>
        <v/>
      </c>
      <c r="G1004" s="20"/>
      <c r="H1004" s="19"/>
      <c r="I1004" s="19"/>
      <c r="J1004" s="19"/>
      <c r="K1004" s="19"/>
      <c r="L1004" s="19"/>
      <c r="M1004" s="19"/>
      <c r="N1004" s="20" t="s">
        <v>39</v>
      </c>
      <c r="O1004" s="19"/>
      <c r="P1004" s="19"/>
      <c r="Q1004" s="19"/>
      <c r="R1004" s="19"/>
      <c r="S1004" s="19"/>
      <c r="T1004" s="19"/>
      <c r="U1004" s="19"/>
      <c r="V1004" s="19"/>
    </row>
    <row r="1005">
      <c r="A1005" s="25"/>
      <c r="B1005" s="19"/>
      <c r="C1005" s="19"/>
      <c r="D1005" s="19"/>
      <c r="E1005" s="19"/>
      <c r="F1005" s="17" t="str">
        <f>IFERROR(__xludf.DUMMYFUNCTION("""COMPUTED_VALUE"""),"")</f>
        <v/>
      </c>
      <c r="G1005" s="20"/>
      <c r="H1005" s="19"/>
      <c r="I1005" s="19"/>
      <c r="J1005" s="19"/>
      <c r="K1005" s="19"/>
      <c r="L1005" s="19"/>
      <c r="M1005" s="19"/>
      <c r="N1005" s="20" t="s">
        <v>39</v>
      </c>
      <c r="O1005" s="19"/>
      <c r="P1005" s="19"/>
      <c r="Q1005" s="19"/>
      <c r="R1005" s="19"/>
      <c r="S1005" s="19"/>
      <c r="T1005" s="19"/>
      <c r="U1005" s="19"/>
      <c r="V1005" s="19"/>
    </row>
    <row r="1006">
      <c r="A1006" s="25"/>
      <c r="B1006" s="19"/>
      <c r="C1006" s="19"/>
      <c r="D1006" s="19"/>
      <c r="E1006" s="19"/>
      <c r="F1006" s="17" t="str">
        <f>IFERROR(__xludf.DUMMYFUNCTION("""COMPUTED_VALUE"""),"")</f>
        <v/>
      </c>
      <c r="G1006" s="20"/>
      <c r="H1006" s="19"/>
      <c r="I1006" s="19"/>
      <c r="J1006" s="19"/>
      <c r="K1006" s="19"/>
      <c r="L1006" s="19"/>
      <c r="M1006" s="19"/>
      <c r="N1006" s="20" t="s">
        <v>39</v>
      </c>
      <c r="O1006" s="19"/>
      <c r="P1006" s="19"/>
      <c r="Q1006" s="19"/>
      <c r="R1006" s="19"/>
      <c r="S1006" s="19"/>
      <c r="T1006" s="19"/>
      <c r="U1006" s="19"/>
      <c r="V1006" s="19"/>
    </row>
    <row r="1007">
      <c r="A1007" s="25"/>
      <c r="B1007" s="19"/>
      <c r="C1007" s="19"/>
      <c r="D1007" s="19"/>
      <c r="E1007" s="19"/>
      <c r="F1007" s="17" t="str">
        <f>IFERROR(__xludf.DUMMYFUNCTION("""COMPUTED_VALUE"""),"")</f>
        <v/>
      </c>
      <c r="G1007" s="20"/>
      <c r="H1007" s="19"/>
      <c r="I1007" s="19"/>
      <c r="J1007" s="19"/>
      <c r="K1007" s="19"/>
      <c r="L1007" s="19"/>
      <c r="M1007" s="19"/>
      <c r="N1007" s="20" t="s">
        <v>39</v>
      </c>
      <c r="O1007" s="19"/>
      <c r="P1007" s="19"/>
      <c r="Q1007" s="19"/>
      <c r="R1007" s="19"/>
      <c r="S1007" s="19"/>
      <c r="T1007" s="19"/>
      <c r="U1007" s="19"/>
      <c r="V1007" s="19"/>
    </row>
    <row r="1008">
      <c r="A1008" s="25"/>
      <c r="B1008" s="19"/>
      <c r="C1008" s="19"/>
      <c r="D1008" s="19"/>
      <c r="E1008" s="19"/>
      <c r="F1008" s="17" t="str">
        <f>IFERROR(__xludf.DUMMYFUNCTION("""COMPUTED_VALUE"""),"")</f>
        <v/>
      </c>
      <c r="G1008" s="20"/>
      <c r="H1008" s="19"/>
      <c r="I1008" s="19"/>
      <c r="J1008" s="19"/>
      <c r="K1008" s="19"/>
      <c r="L1008" s="19"/>
      <c r="M1008" s="19"/>
      <c r="N1008" s="20" t="s">
        <v>39</v>
      </c>
      <c r="O1008" s="19"/>
      <c r="P1008" s="19"/>
      <c r="Q1008" s="19"/>
      <c r="R1008" s="19"/>
      <c r="S1008" s="19"/>
      <c r="T1008" s="19"/>
      <c r="U1008" s="19"/>
      <c r="V1008" s="19"/>
    </row>
    <row r="1009">
      <c r="A1009" s="25"/>
      <c r="B1009" s="19"/>
      <c r="C1009" s="19"/>
      <c r="D1009" s="19"/>
      <c r="E1009" s="19"/>
      <c r="F1009" s="17" t="str">
        <f>IFERROR(__xludf.DUMMYFUNCTION("""COMPUTED_VALUE"""),"")</f>
        <v/>
      </c>
      <c r="G1009" s="20"/>
      <c r="H1009" s="19"/>
      <c r="I1009" s="19"/>
      <c r="J1009" s="19"/>
      <c r="K1009" s="19"/>
      <c r="L1009" s="19"/>
      <c r="M1009" s="19"/>
      <c r="N1009" s="20" t="s">
        <v>39</v>
      </c>
      <c r="O1009" s="19"/>
      <c r="P1009" s="19"/>
      <c r="Q1009" s="19"/>
      <c r="R1009" s="19"/>
      <c r="S1009" s="19"/>
      <c r="T1009" s="19"/>
      <c r="U1009" s="19"/>
      <c r="V1009" s="19"/>
    </row>
    <row r="1010">
      <c r="A1010" s="25"/>
      <c r="B1010" s="19"/>
      <c r="C1010" s="19"/>
      <c r="D1010" s="19"/>
      <c r="E1010" s="19"/>
      <c r="F1010" s="17" t="str">
        <f>IFERROR(__xludf.DUMMYFUNCTION("""COMPUTED_VALUE"""),"")</f>
        <v/>
      </c>
      <c r="G1010" s="20"/>
      <c r="H1010" s="19"/>
      <c r="I1010" s="19"/>
      <c r="J1010" s="19"/>
      <c r="K1010" s="19"/>
      <c r="L1010" s="19"/>
      <c r="M1010" s="19"/>
      <c r="N1010" s="20" t="s">
        <v>39</v>
      </c>
      <c r="O1010" s="19"/>
      <c r="P1010" s="19"/>
      <c r="Q1010" s="19"/>
      <c r="R1010" s="19"/>
      <c r="S1010" s="19"/>
      <c r="T1010" s="19"/>
      <c r="U1010" s="19"/>
      <c r="V1010" s="19"/>
    </row>
    <row r="1011">
      <c r="A1011" s="25"/>
      <c r="B1011" s="19"/>
      <c r="C1011" s="19"/>
      <c r="D1011" s="19"/>
      <c r="E1011" s="19"/>
      <c r="F1011" s="17" t="str">
        <f>IFERROR(__xludf.DUMMYFUNCTION("""COMPUTED_VALUE"""),"")</f>
        <v/>
      </c>
      <c r="G1011" s="20"/>
      <c r="H1011" s="19"/>
      <c r="I1011" s="19"/>
      <c r="J1011" s="19"/>
      <c r="K1011" s="19"/>
      <c r="L1011" s="19"/>
      <c r="M1011" s="19"/>
      <c r="N1011" s="20" t="s">
        <v>39</v>
      </c>
      <c r="O1011" s="19"/>
      <c r="P1011" s="19"/>
      <c r="Q1011" s="19"/>
      <c r="R1011" s="19"/>
      <c r="S1011" s="19"/>
      <c r="T1011" s="19"/>
      <c r="U1011" s="19"/>
      <c r="V1011" s="19"/>
    </row>
    <row r="1012">
      <c r="A1012" s="25"/>
      <c r="B1012" s="19"/>
      <c r="C1012" s="19"/>
      <c r="D1012" s="19"/>
      <c r="E1012" s="19"/>
      <c r="F1012" s="17" t="str">
        <f>IFERROR(__xludf.DUMMYFUNCTION("""COMPUTED_VALUE"""),"")</f>
        <v/>
      </c>
      <c r="G1012" s="20"/>
      <c r="H1012" s="19"/>
      <c r="I1012" s="19"/>
      <c r="J1012" s="19"/>
      <c r="K1012" s="19"/>
      <c r="L1012" s="19"/>
      <c r="M1012" s="19"/>
      <c r="N1012" s="20" t="s">
        <v>39</v>
      </c>
      <c r="O1012" s="19"/>
      <c r="P1012" s="19"/>
      <c r="Q1012" s="19"/>
      <c r="R1012" s="19"/>
      <c r="S1012" s="19"/>
      <c r="T1012" s="19"/>
      <c r="U1012" s="19"/>
      <c r="V1012" s="19"/>
    </row>
    <row r="1013">
      <c r="A1013" s="25"/>
      <c r="B1013" s="19"/>
      <c r="C1013" s="19"/>
      <c r="D1013" s="19"/>
      <c r="E1013" s="19"/>
      <c r="F1013" s="17" t="str">
        <f>IFERROR(__xludf.DUMMYFUNCTION("""COMPUTED_VALUE"""),"")</f>
        <v/>
      </c>
      <c r="G1013" s="20"/>
      <c r="H1013" s="19"/>
      <c r="I1013" s="19"/>
      <c r="J1013" s="19"/>
      <c r="K1013" s="19"/>
      <c r="L1013" s="19"/>
      <c r="M1013" s="19"/>
      <c r="N1013" s="20" t="s">
        <v>39</v>
      </c>
      <c r="O1013" s="19"/>
      <c r="P1013" s="19"/>
      <c r="Q1013" s="19"/>
      <c r="R1013" s="19"/>
      <c r="S1013" s="19"/>
      <c r="T1013" s="19"/>
      <c r="U1013" s="19"/>
      <c r="V1013" s="19"/>
    </row>
    <row r="1014">
      <c r="A1014" s="25"/>
      <c r="B1014" s="19"/>
      <c r="C1014" s="19"/>
      <c r="D1014" s="19"/>
      <c r="E1014" s="19"/>
      <c r="F1014" s="17" t="str">
        <f>IFERROR(__xludf.DUMMYFUNCTION("""COMPUTED_VALUE"""),"")</f>
        <v/>
      </c>
      <c r="G1014" s="20"/>
      <c r="H1014" s="19"/>
      <c r="I1014" s="19"/>
      <c r="J1014" s="19"/>
      <c r="K1014" s="19"/>
      <c r="L1014" s="19"/>
      <c r="M1014" s="19"/>
      <c r="N1014" s="20" t="s">
        <v>39</v>
      </c>
      <c r="O1014" s="19"/>
      <c r="P1014" s="19"/>
      <c r="Q1014" s="19"/>
      <c r="R1014" s="19"/>
      <c r="S1014" s="19"/>
      <c r="T1014" s="19"/>
      <c r="U1014" s="19"/>
      <c r="V1014" s="19"/>
    </row>
    <row r="1015">
      <c r="A1015" s="25"/>
      <c r="B1015" s="19"/>
      <c r="C1015" s="19"/>
      <c r="D1015" s="19"/>
      <c r="E1015" s="19"/>
      <c r="F1015" s="17" t="str">
        <f>IFERROR(__xludf.DUMMYFUNCTION("""COMPUTED_VALUE"""),"")</f>
        <v/>
      </c>
      <c r="G1015" s="20"/>
      <c r="H1015" s="19"/>
      <c r="I1015" s="19"/>
      <c r="J1015" s="19"/>
      <c r="K1015" s="19"/>
      <c r="L1015" s="19"/>
      <c r="M1015" s="19"/>
      <c r="N1015" s="20" t="s">
        <v>39</v>
      </c>
      <c r="O1015" s="19"/>
      <c r="P1015" s="19"/>
      <c r="Q1015" s="19"/>
      <c r="R1015" s="19"/>
      <c r="S1015" s="19"/>
      <c r="T1015" s="19"/>
      <c r="U1015" s="19"/>
      <c r="V1015" s="19"/>
    </row>
    <row r="1016">
      <c r="A1016" s="25"/>
      <c r="B1016" s="19"/>
      <c r="C1016" s="19"/>
      <c r="D1016" s="19"/>
      <c r="E1016" s="19"/>
      <c r="F1016" s="17" t="str">
        <f>IFERROR(__xludf.DUMMYFUNCTION("""COMPUTED_VALUE"""),"")</f>
        <v/>
      </c>
      <c r="G1016" s="20"/>
      <c r="H1016" s="19"/>
      <c r="I1016" s="19"/>
      <c r="J1016" s="19"/>
      <c r="K1016" s="19"/>
      <c r="L1016" s="19"/>
      <c r="M1016" s="19"/>
      <c r="N1016" s="20" t="s">
        <v>39</v>
      </c>
      <c r="O1016" s="19"/>
      <c r="P1016" s="19"/>
      <c r="Q1016" s="19"/>
      <c r="R1016" s="19"/>
      <c r="S1016" s="19"/>
      <c r="T1016" s="19"/>
      <c r="U1016" s="19"/>
      <c r="V1016" s="19"/>
    </row>
    <row r="1017">
      <c r="A1017" s="25"/>
      <c r="B1017" s="19"/>
      <c r="C1017" s="19"/>
      <c r="D1017" s="19"/>
      <c r="E1017" s="19"/>
      <c r="F1017" s="17" t="str">
        <f>IFERROR(__xludf.DUMMYFUNCTION("""COMPUTED_VALUE"""),"")</f>
        <v/>
      </c>
      <c r="G1017" s="20"/>
      <c r="H1017" s="19"/>
      <c r="I1017" s="19"/>
      <c r="J1017" s="19"/>
      <c r="K1017" s="19"/>
      <c r="L1017" s="19"/>
      <c r="M1017" s="19"/>
      <c r="N1017" s="20" t="s">
        <v>39</v>
      </c>
      <c r="O1017" s="19"/>
      <c r="P1017" s="19"/>
      <c r="Q1017" s="19"/>
      <c r="R1017" s="19"/>
      <c r="S1017" s="19"/>
      <c r="T1017" s="19"/>
      <c r="U1017" s="19"/>
      <c r="V1017" s="19"/>
    </row>
    <row r="1018">
      <c r="A1018" s="25"/>
      <c r="B1018" s="19"/>
      <c r="C1018" s="19"/>
      <c r="D1018" s="19"/>
      <c r="E1018" s="19"/>
      <c r="F1018" s="17" t="str">
        <f>IFERROR(__xludf.DUMMYFUNCTION("""COMPUTED_VALUE"""),"")</f>
        <v/>
      </c>
      <c r="G1018" s="20"/>
      <c r="H1018" s="19"/>
      <c r="I1018" s="19"/>
      <c r="J1018" s="19"/>
      <c r="K1018" s="19"/>
      <c r="L1018" s="19"/>
      <c r="M1018" s="19"/>
      <c r="N1018" s="20" t="s">
        <v>39</v>
      </c>
      <c r="O1018" s="19"/>
      <c r="P1018" s="19"/>
      <c r="Q1018" s="19"/>
      <c r="R1018" s="19"/>
      <c r="S1018" s="19"/>
      <c r="T1018" s="19"/>
      <c r="U1018" s="19"/>
      <c r="V1018" s="19"/>
    </row>
    <row r="1019">
      <c r="A1019" s="25"/>
      <c r="B1019" s="19"/>
      <c r="C1019" s="19"/>
      <c r="D1019" s="19"/>
      <c r="E1019" s="19"/>
      <c r="F1019" s="17" t="str">
        <f>IFERROR(__xludf.DUMMYFUNCTION("""COMPUTED_VALUE"""),"")</f>
        <v/>
      </c>
      <c r="G1019" s="20"/>
      <c r="H1019" s="19"/>
      <c r="I1019" s="19"/>
      <c r="J1019" s="19"/>
      <c r="K1019" s="19"/>
      <c r="L1019" s="19"/>
      <c r="M1019" s="19"/>
      <c r="N1019" s="20" t="s">
        <v>39</v>
      </c>
      <c r="O1019" s="19"/>
      <c r="P1019" s="19"/>
      <c r="Q1019" s="19"/>
      <c r="R1019" s="19"/>
      <c r="S1019" s="19"/>
      <c r="T1019" s="19"/>
      <c r="U1019" s="19"/>
      <c r="V1019" s="19"/>
    </row>
    <row r="1020">
      <c r="A1020" s="25"/>
      <c r="B1020" s="19"/>
      <c r="C1020" s="19"/>
      <c r="D1020" s="19"/>
      <c r="E1020" s="19"/>
      <c r="F1020" s="17" t="str">
        <f>IFERROR(__xludf.DUMMYFUNCTION("""COMPUTED_VALUE"""),"")</f>
        <v/>
      </c>
      <c r="G1020" s="20"/>
      <c r="H1020" s="19"/>
      <c r="I1020" s="19"/>
      <c r="J1020" s="19"/>
      <c r="K1020" s="19"/>
      <c r="L1020" s="19"/>
      <c r="M1020" s="19"/>
      <c r="N1020" s="20" t="s">
        <v>39</v>
      </c>
      <c r="O1020" s="19"/>
      <c r="P1020" s="19"/>
      <c r="Q1020" s="19"/>
      <c r="R1020" s="19"/>
      <c r="S1020" s="19"/>
      <c r="T1020" s="19"/>
      <c r="U1020" s="19"/>
      <c r="V1020" s="19"/>
    </row>
    <row r="1021">
      <c r="A1021" s="25"/>
      <c r="B1021" s="19"/>
      <c r="C1021" s="19"/>
      <c r="D1021" s="19"/>
      <c r="E1021" s="19"/>
      <c r="F1021" s="17" t="str">
        <f>IFERROR(__xludf.DUMMYFUNCTION("""COMPUTED_VALUE"""),"")</f>
        <v/>
      </c>
      <c r="G1021" s="20"/>
      <c r="H1021" s="19"/>
      <c r="I1021" s="19"/>
      <c r="J1021" s="19"/>
      <c r="K1021" s="19"/>
      <c r="L1021" s="19"/>
      <c r="M1021" s="19"/>
      <c r="N1021" s="20" t="s">
        <v>39</v>
      </c>
      <c r="O1021" s="19"/>
      <c r="P1021" s="19"/>
      <c r="Q1021" s="19"/>
      <c r="R1021" s="19"/>
      <c r="S1021" s="19"/>
      <c r="T1021" s="19"/>
      <c r="U1021" s="19"/>
      <c r="V1021" s="19"/>
    </row>
    <row r="1022">
      <c r="A1022" s="25"/>
      <c r="B1022" s="19"/>
      <c r="C1022" s="19"/>
      <c r="D1022" s="19"/>
      <c r="E1022" s="19"/>
      <c r="F1022" s="17" t="str">
        <f>IFERROR(__xludf.DUMMYFUNCTION("""COMPUTED_VALUE"""),"")</f>
        <v/>
      </c>
      <c r="G1022" s="20"/>
      <c r="H1022" s="19"/>
      <c r="I1022" s="19"/>
      <c r="J1022" s="19"/>
      <c r="K1022" s="19"/>
      <c r="L1022" s="19"/>
      <c r="M1022" s="19"/>
      <c r="N1022" s="20" t="s">
        <v>39</v>
      </c>
      <c r="O1022" s="19"/>
      <c r="P1022" s="19"/>
      <c r="Q1022" s="19"/>
      <c r="R1022" s="19"/>
      <c r="S1022" s="19"/>
      <c r="T1022" s="19"/>
      <c r="U1022" s="19"/>
      <c r="V1022" s="19"/>
    </row>
    <row r="1023">
      <c r="A1023" s="25"/>
      <c r="B1023" s="19"/>
      <c r="C1023" s="19"/>
      <c r="D1023" s="19"/>
      <c r="E1023" s="19"/>
      <c r="F1023" s="17" t="str">
        <f>IFERROR(__xludf.DUMMYFUNCTION("""COMPUTED_VALUE"""),"")</f>
        <v/>
      </c>
      <c r="G1023" s="20"/>
      <c r="H1023" s="19"/>
      <c r="I1023" s="19"/>
      <c r="J1023" s="19"/>
      <c r="K1023" s="19"/>
      <c r="L1023" s="19"/>
      <c r="M1023" s="19"/>
      <c r="N1023" s="20" t="s">
        <v>39</v>
      </c>
      <c r="O1023" s="19"/>
      <c r="P1023" s="19"/>
      <c r="Q1023" s="19"/>
      <c r="R1023" s="19"/>
      <c r="S1023" s="19"/>
      <c r="T1023" s="19"/>
      <c r="U1023" s="19"/>
      <c r="V1023" s="19"/>
    </row>
    <row r="1024">
      <c r="A1024" s="25"/>
      <c r="B1024" s="19"/>
      <c r="C1024" s="19"/>
      <c r="D1024" s="19"/>
      <c r="E1024" s="19"/>
      <c r="F1024" s="17" t="str">
        <f>IFERROR(__xludf.DUMMYFUNCTION("""COMPUTED_VALUE"""),"")</f>
        <v/>
      </c>
      <c r="G1024" s="20"/>
      <c r="H1024" s="19"/>
      <c r="I1024" s="19"/>
      <c r="J1024" s="19"/>
      <c r="K1024" s="19"/>
      <c r="L1024" s="19"/>
      <c r="M1024" s="19"/>
      <c r="N1024" s="20" t="s">
        <v>39</v>
      </c>
      <c r="O1024" s="19"/>
      <c r="P1024" s="19"/>
      <c r="Q1024" s="19"/>
      <c r="R1024" s="19"/>
      <c r="S1024" s="19"/>
      <c r="T1024" s="19"/>
      <c r="U1024" s="19"/>
      <c r="V1024" s="19"/>
    </row>
    <row r="1025">
      <c r="A1025" s="25"/>
      <c r="B1025" s="19"/>
      <c r="C1025" s="19"/>
      <c r="D1025" s="19"/>
      <c r="E1025" s="19"/>
      <c r="F1025" s="17" t="str">
        <f>IFERROR(__xludf.DUMMYFUNCTION("""COMPUTED_VALUE"""),"")</f>
        <v/>
      </c>
      <c r="G1025" s="20"/>
      <c r="H1025" s="19"/>
      <c r="I1025" s="19"/>
      <c r="J1025" s="19"/>
      <c r="K1025" s="19"/>
      <c r="L1025" s="19"/>
      <c r="M1025" s="19"/>
      <c r="N1025" s="20" t="s">
        <v>39</v>
      </c>
      <c r="O1025" s="19"/>
      <c r="P1025" s="19"/>
      <c r="Q1025" s="19"/>
      <c r="R1025" s="19"/>
      <c r="S1025" s="19"/>
      <c r="T1025" s="19"/>
      <c r="U1025" s="19"/>
      <c r="V1025" s="19"/>
    </row>
    <row r="1026">
      <c r="A1026" s="25"/>
      <c r="B1026" s="19"/>
      <c r="C1026" s="19"/>
      <c r="D1026" s="19"/>
      <c r="E1026" s="19"/>
      <c r="F1026" s="17" t="str">
        <f>IFERROR(__xludf.DUMMYFUNCTION("""COMPUTED_VALUE"""),"")</f>
        <v/>
      </c>
      <c r="G1026" s="20"/>
      <c r="H1026" s="19"/>
      <c r="I1026" s="19"/>
      <c r="J1026" s="19"/>
      <c r="K1026" s="19"/>
      <c r="L1026" s="19"/>
      <c r="M1026" s="19"/>
      <c r="N1026" s="20" t="s">
        <v>39</v>
      </c>
      <c r="O1026" s="19"/>
      <c r="P1026" s="19"/>
      <c r="Q1026" s="19"/>
      <c r="R1026" s="19"/>
      <c r="S1026" s="19"/>
      <c r="T1026" s="19"/>
      <c r="U1026" s="19"/>
      <c r="V1026" s="19"/>
    </row>
    <row r="1027">
      <c r="A1027" s="25"/>
      <c r="B1027" s="19"/>
      <c r="C1027" s="19"/>
      <c r="D1027" s="19"/>
      <c r="E1027" s="19"/>
      <c r="F1027" s="17" t="str">
        <f>IFERROR(__xludf.DUMMYFUNCTION("""COMPUTED_VALUE"""),"")</f>
        <v/>
      </c>
      <c r="G1027" s="20"/>
      <c r="H1027" s="19"/>
      <c r="I1027" s="19"/>
      <c r="J1027" s="19"/>
      <c r="K1027" s="19"/>
      <c r="L1027" s="19"/>
      <c r="M1027" s="19"/>
      <c r="N1027" s="20" t="s">
        <v>39</v>
      </c>
      <c r="O1027" s="19"/>
      <c r="P1027" s="19"/>
      <c r="Q1027" s="19"/>
      <c r="R1027" s="19"/>
      <c r="S1027" s="19"/>
      <c r="T1027" s="19"/>
      <c r="U1027" s="19"/>
      <c r="V1027" s="19"/>
    </row>
    <row r="1028">
      <c r="A1028" s="25"/>
      <c r="B1028" s="19"/>
      <c r="C1028" s="19"/>
      <c r="D1028" s="19"/>
      <c r="E1028" s="19"/>
      <c r="F1028" s="17" t="str">
        <f>IFERROR(__xludf.DUMMYFUNCTION("""COMPUTED_VALUE"""),"")</f>
        <v/>
      </c>
      <c r="G1028" s="20"/>
      <c r="H1028" s="19"/>
      <c r="I1028" s="19"/>
      <c r="J1028" s="19"/>
      <c r="K1028" s="19"/>
      <c r="L1028" s="19"/>
      <c r="M1028" s="19"/>
      <c r="N1028" s="20" t="s">
        <v>39</v>
      </c>
      <c r="O1028" s="19"/>
      <c r="P1028" s="19"/>
      <c r="Q1028" s="19"/>
      <c r="R1028" s="19"/>
      <c r="S1028" s="19"/>
      <c r="T1028" s="19"/>
      <c r="U1028" s="19"/>
      <c r="V1028" s="19"/>
    </row>
    <row r="1029">
      <c r="A1029" s="25"/>
      <c r="B1029" s="19"/>
      <c r="C1029" s="19"/>
      <c r="D1029" s="19"/>
      <c r="E1029" s="19"/>
      <c r="F1029" s="17" t="str">
        <f>IFERROR(__xludf.DUMMYFUNCTION("""COMPUTED_VALUE"""),"")</f>
        <v/>
      </c>
      <c r="G1029" s="20"/>
      <c r="H1029" s="19"/>
      <c r="I1029" s="19"/>
      <c r="J1029" s="19"/>
      <c r="K1029" s="19"/>
      <c r="L1029" s="19"/>
      <c r="M1029" s="19"/>
      <c r="N1029" s="20" t="s">
        <v>39</v>
      </c>
      <c r="O1029" s="19"/>
      <c r="P1029" s="19"/>
      <c r="Q1029" s="19"/>
      <c r="R1029" s="19"/>
      <c r="S1029" s="19"/>
      <c r="T1029" s="19"/>
      <c r="U1029" s="19"/>
      <c r="V1029" s="19"/>
    </row>
    <row r="1030">
      <c r="A1030" s="25"/>
      <c r="B1030" s="19"/>
      <c r="C1030" s="19"/>
      <c r="D1030" s="19"/>
      <c r="E1030" s="19"/>
      <c r="F1030" s="17" t="str">
        <f>IFERROR(__xludf.DUMMYFUNCTION("""COMPUTED_VALUE"""),"")</f>
        <v/>
      </c>
      <c r="G1030" s="20"/>
      <c r="H1030" s="19"/>
      <c r="I1030" s="19"/>
      <c r="J1030" s="19"/>
      <c r="K1030" s="19"/>
      <c r="L1030" s="19"/>
      <c r="M1030" s="19"/>
      <c r="N1030" s="20" t="s">
        <v>39</v>
      </c>
      <c r="O1030" s="19"/>
      <c r="P1030" s="19"/>
      <c r="Q1030" s="19"/>
      <c r="R1030" s="19"/>
      <c r="S1030" s="19"/>
      <c r="T1030" s="19"/>
      <c r="U1030" s="19"/>
      <c r="V1030" s="19"/>
    </row>
    <row r="1031">
      <c r="A1031" s="25"/>
      <c r="B1031" s="19"/>
      <c r="C1031" s="19"/>
      <c r="D1031" s="19"/>
      <c r="E1031" s="19"/>
      <c r="F1031" s="17" t="str">
        <f>IFERROR(__xludf.DUMMYFUNCTION("""COMPUTED_VALUE"""),"")</f>
        <v/>
      </c>
      <c r="G1031" s="20"/>
      <c r="H1031" s="19"/>
      <c r="I1031" s="19"/>
      <c r="J1031" s="19"/>
      <c r="K1031" s="19"/>
      <c r="L1031" s="19"/>
      <c r="M1031" s="19"/>
      <c r="N1031" s="20" t="s">
        <v>39</v>
      </c>
      <c r="O1031" s="19"/>
      <c r="P1031" s="19"/>
      <c r="Q1031" s="19"/>
      <c r="R1031" s="19"/>
      <c r="S1031" s="19"/>
      <c r="T1031" s="19"/>
      <c r="U1031" s="19"/>
      <c r="V1031" s="19"/>
    </row>
    <row r="1032">
      <c r="A1032" s="25"/>
      <c r="B1032" s="19"/>
      <c r="C1032" s="19"/>
      <c r="D1032" s="19"/>
      <c r="E1032" s="19"/>
      <c r="F1032" s="17" t="str">
        <f>IFERROR(__xludf.DUMMYFUNCTION("""COMPUTED_VALUE"""),"")</f>
        <v/>
      </c>
      <c r="G1032" s="20"/>
      <c r="H1032" s="19"/>
      <c r="I1032" s="19"/>
      <c r="J1032" s="19"/>
      <c r="K1032" s="19"/>
      <c r="L1032" s="19"/>
      <c r="M1032" s="19"/>
      <c r="N1032" s="20" t="s">
        <v>39</v>
      </c>
      <c r="O1032" s="19"/>
      <c r="P1032" s="19"/>
      <c r="Q1032" s="19"/>
      <c r="R1032" s="19"/>
      <c r="S1032" s="19"/>
      <c r="T1032" s="19"/>
      <c r="U1032" s="19"/>
      <c r="V1032" s="19"/>
    </row>
    <row r="1033">
      <c r="A1033" s="25"/>
      <c r="B1033" s="19"/>
      <c r="C1033" s="19"/>
      <c r="D1033" s="19"/>
      <c r="E1033" s="19"/>
      <c r="F1033" s="17" t="str">
        <f>IFERROR(__xludf.DUMMYFUNCTION("""COMPUTED_VALUE"""),"")</f>
        <v/>
      </c>
      <c r="G1033" s="20"/>
      <c r="H1033" s="19"/>
      <c r="I1033" s="19"/>
      <c r="J1033" s="19"/>
      <c r="K1033" s="19"/>
      <c r="L1033" s="19"/>
      <c r="M1033" s="19"/>
      <c r="N1033" s="20" t="s">
        <v>39</v>
      </c>
      <c r="O1033" s="19"/>
      <c r="P1033" s="19"/>
      <c r="Q1033" s="19"/>
      <c r="R1033" s="19"/>
      <c r="S1033" s="19"/>
      <c r="T1033" s="19"/>
      <c r="U1033" s="19"/>
      <c r="V1033" s="19"/>
    </row>
    <row r="1034">
      <c r="A1034" s="25"/>
      <c r="B1034" s="19"/>
      <c r="C1034" s="19"/>
      <c r="D1034" s="19"/>
      <c r="E1034" s="19"/>
      <c r="F1034" s="17" t="str">
        <f>IFERROR(__xludf.DUMMYFUNCTION("""COMPUTED_VALUE"""),"")</f>
        <v/>
      </c>
      <c r="G1034" s="20"/>
      <c r="H1034" s="19"/>
      <c r="I1034" s="19"/>
      <c r="J1034" s="19"/>
      <c r="K1034" s="19"/>
      <c r="L1034" s="19"/>
      <c r="M1034" s="19"/>
      <c r="N1034" s="20" t="s">
        <v>39</v>
      </c>
      <c r="O1034" s="19"/>
      <c r="P1034" s="19"/>
      <c r="Q1034" s="19"/>
      <c r="R1034" s="19"/>
      <c r="S1034" s="19"/>
      <c r="T1034" s="19"/>
      <c r="U1034" s="19"/>
      <c r="V1034" s="19"/>
    </row>
    <row r="1035">
      <c r="A1035" s="25"/>
      <c r="B1035" s="19"/>
      <c r="C1035" s="19"/>
      <c r="D1035" s="19"/>
      <c r="E1035" s="19"/>
      <c r="F1035" s="17" t="str">
        <f>IFERROR(__xludf.DUMMYFUNCTION("""COMPUTED_VALUE"""),"")</f>
        <v/>
      </c>
      <c r="G1035" s="20"/>
      <c r="H1035" s="19"/>
      <c r="I1035" s="19"/>
      <c r="J1035" s="19"/>
      <c r="K1035" s="19"/>
      <c r="L1035" s="19"/>
      <c r="M1035" s="19"/>
      <c r="N1035" s="20" t="s">
        <v>39</v>
      </c>
      <c r="O1035" s="19"/>
      <c r="P1035" s="19"/>
      <c r="Q1035" s="19"/>
      <c r="R1035" s="19"/>
      <c r="S1035" s="19"/>
      <c r="T1035" s="19"/>
      <c r="U1035" s="19"/>
      <c r="V1035" s="19"/>
    </row>
    <row r="1036">
      <c r="A1036" s="25"/>
      <c r="B1036" s="19"/>
      <c r="C1036" s="19"/>
      <c r="D1036" s="19"/>
      <c r="E1036" s="19"/>
      <c r="F1036" s="17" t="str">
        <f>IFERROR(__xludf.DUMMYFUNCTION("""COMPUTED_VALUE"""),"")</f>
        <v/>
      </c>
      <c r="G1036" s="20"/>
      <c r="H1036" s="19"/>
      <c r="I1036" s="19"/>
      <c r="J1036" s="19"/>
      <c r="K1036" s="19"/>
      <c r="L1036" s="19"/>
      <c r="M1036" s="19"/>
      <c r="N1036" s="20" t="s">
        <v>39</v>
      </c>
      <c r="O1036" s="19"/>
      <c r="P1036" s="19"/>
      <c r="Q1036" s="19"/>
      <c r="R1036" s="19"/>
      <c r="S1036" s="19"/>
      <c r="T1036" s="19"/>
      <c r="U1036" s="19"/>
      <c r="V1036" s="19"/>
    </row>
    <row r="1037">
      <c r="A1037" s="25"/>
      <c r="B1037" s="19"/>
      <c r="C1037" s="19"/>
      <c r="D1037" s="19"/>
      <c r="E1037" s="19"/>
      <c r="F1037" s="17" t="str">
        <f>IFERROR(__xludf.DUMMYFUNCTION("""COMPUTED_VALUE"""),"")</f>
        <v/>
      </c>
      <c r="G1037" s="20"/>
      <c r="H1037" s="19"/>
      <c r="I1037" s="19"/>
      <c r="J1037" s="19"/>
      <c r="K1037" s="19"/>
      <c r="L1037" s="19"/>
      <c r="M1037" s="19"/>
      <c r="N1037" s="20" t="s">
        <v>39</v>
      </c>
      <c r="O1037" s="19"/>
      <c r="P1037" s="19"/>
      <c r="Q1037" s="19"/>
      <c r="R1037" s="19"/>
      <c r="S1037" s="19"/>
      <c r="T1037" s="19"/>
      <c r="U1037" s="19"/>
      <c r="V1037" s="19"/>
    </row>
    <row r="1038">
      <c r="A1038" s="25"/>
      <c r="B1038" s="19"/>
      <c r="C1038" s="19"/>
      <c r="D1038" s="19"/>
      <c r="E1038" s="19"/>
      <c r="F1038" s="17" t="str">
        <f>IFERROR(__xludf.DUMMYFUNCTION("""COMPUTED_VALUE"""),"")</f>
        <v/>
      </c>
      <c r="G1038" s="20"/>
      <c r="H1038" s="19"/>
      <c r="I1038" s="19"/>
      <c r="J1038" s="19"/>
      <c r="K1038" s="19"/>
      <c r="L1038" s="19"/>
      <c r="M1038" s="19"/>
      <c r="N1038" s="20" t="s">
        <v>39</v>
      </c>
      <c r="O1038" s="19"/>
      <c r="P1038" s="19"/>
      <c r="Q1038" s="19"/>
      <c r="R1038" s="19"/>
      <c r="S1038" s="19"/>
      <c r="T1038" s="19"/>
      <c r="U1038" s="19"/>
      <c r="V1038" s="19"/>
    </row>
    <row r="1039">
      <c r="A1039" s="25"/>
      <c r="B1039" s="19"/>
      <c r="C1039" s="19"/>
      <c r="D1039" s="19"/>
      <c r="E1039" s="19"/>
      <c r="F1039" s="17" t="str">
        <f>IFERROR(__xludf.DUMMYFUNCTION("""COMPUTED_VALUE"""),"")</f>
        <v/>
      </c>
      <c r="G1039" s="20"/>
      <c r="H1039" s="19"/>
      <c r="I1039" s="19"/>
      <c r="J1039" s="19"/>
      <c r="K1039" s="19"/>
      <c r="L1039" s="19"/>
      <c r="M1039" s="19"/>
      <c r="N1039" s="20" t="s">
        <v>39</v>
      </c>
      <c r="O1039" s="19"/>
      <c r="P1039" s="19"/>
      <c r="Q1039" s="19"/>
      <c r="R1039" s="19"/>
      <c r="S1039" s="19"/>
      <c r="T1039" s="19"/>
      <c r="U1039" s="19"/>
      <c r="V1039" s="19"/>
    </row>
    <row r="1040">
      <c r="A1040" s="25"/>
      <c r="B1040" s="19"/>
      <c r="C1040" s="19"/>
      <c r="D1040" s="19"/>
      <c r="E1040" s="19"/>
      <c r="F1040" s="17" t="str">
        <f>IFERROR(__xludf.DUMMYFUNCTION("""COMPUTED_VALUE"""),"")</f>
        <v/>
      </c>
      <c r="G1040" s="20"/>
      <c r="H1040" s="19"/>
      <c r="I1040" s="19"/>
      <c r="J1040" s="19"/>
      <c r="K1040" s="19"/>
      <c r="L1040" s="19"/>
      <c r="M1040" s="19"/>
      <c r="N1040" s="20" t="s">
        <v>39</v>
      </c>
      <c r="O1040" s="19"/>
      <c r="P1040" s="19"/>
      <c r="Q1040" s="19"/>
      <c r="R1040" s="19"/>
      <c r="S1040" s="19"/>
      <c r="T1040" s="19"/>
      <c r="U1040" s="19"/>
      <c r="V1040" s="19"/>
    </row>
    <row r="1041">
      <c r="A1041" s="25"/>
      <c r="B1041" s="19"/>
      <c r="C1041" s="19"/>
      <c r="D1041" s="19"/>
      <c r="E1041" s="19"/>
      <c r="F1041" s="17" t="str">
        <f>IFERROR(__xludf.DUMMYFUNCTION("""COMPUTED_VALUE"""),"")</f>
        <v/>
      </c>
      <c r="G1041" s="20"/>
      <c r="H1041" s="19"/>
      <c r="I1041" s="19"/>
      <c r="J1041" s="19"/>
      <c r="K1041" s="19"/>
      <c r="L1041" s="19"/>
      <c r="M1041" s="19"/>
      <c r="N1041" s="20" t="s">
        <v>39</v>
      </c>
      <c r="O1041" s="19"/>
      <c r="P1041" s="19"/>
      <c r="Q1041" s="19"/>
      <c r="R1041" s="19"/>
      <c r="S1041" s="19"/>
      <c r="T1041" s="19"/>
      <c r="U1041" s="19"/>
      <c r="V1041" s="19"/>
    </row>
    <row r="1042">
      <c r="A1042" s="25"/>
      <c r="B1042" s="19"/>
      <c r="C1042" s="19"/>
      <c r="D1042" s="19"/>
      <c r="E1042" s="19"/>
      <c r="F1042" s="17" t="str">
        <f>IFERROR(__xludf.DUMMYFUNCTION("""COMPUTED_VALUE"""),"")</f>
        <v/>
      </c>
      <c r="G1042" s="20"/>
      <c r="H1042" s="19"/>
      <c r="I1042" s="19"/>
      <c r="J1042" s="19"/>
      <c r="K1042" s="19"/>
      <c r="L1042" s="19"/>
      <c r="M1042" s="19"/>
      <c r="N1042" s="20" t="s">
        <v>39</v>
      </c>
      <c r="O1042" s="19"/>
      <c r="P1042" s="19"/>
      <c r="Q1042" s="19"/>
      <c r="R1042" s="19"/>
      <c r="S1042" s="19"/>
      <c r="T1042" s="19"/>
      <c r="U1042" s="19"/>
      <c r="V1042" s="19"/>
    </row>
    <row r="1043">
      <c r="A1043" s="25"/>
      <c r="B1043" s="19"/>
      <c r="C1043" s="19"/>
      <c r="D1043" s="19"/>
      <c r="E1043" s="19"/>
      <c r="F1043" s="17" t="str">
        <f>IFERROR(__xludf.DUMMYFUNCTION("""COMPUTED_VALUE"""),"")</f>
        <v/>
      </c>
      <c r="G1043" s="20"/>
      <c r="H1043" s="19"/>
      <c r="I1043" s="19"/>
      <c r="J1043" s="19"/>
      <c r="K1043" s="19"/>
      <c r="L1043" s="19"/>
      <c r="M1043" s="19"/>
      <c r="N1043" s="20" t="s">
        <v>39</v>
      </c>
      <c r="O1043" s="19"/>
      <c r="P1043" s="19"/>
      <c r="Q1043" s="19"/>
      <c r="R1043" s="19"/>
      <c r="S1043" s="19"/>
      <c r="T1043" s="19"/>
      <c r="U1043" s="19"/>
      <c r="V1043" s="19"/>
    </row>
    <row r="1044">
      <c r="A1044" s="25"/>
      <c r="B1044" s="19"/>
      <c r="C1044" s="19"/>
      <c r="D1044" s="19"/>
      <c r="E1044" s="19"/>
      <c r="F1044" s="17" t="str">
        <f>IFERROR(__xludf.DUMMYFUNCTION("""COMPUTED_VALUE"""),"")</f>
        <v/>
      </c>
      <c r="G1044" s="20"/>
      <c r="H1044" s="19"/>
      <c r="I1044" s="19"/>
      <c r="J1044" s="19"/>
      <c r="K1044" s="19"/>
      <c r="L1044" s="19"/>
      <c r="M1044" s="19"/>
      <c r="N1044" s="20" t="s">
        <v>39</v>
      </c>
      <c r="O1044" s="19"/>
      <c r="P1044" s="19"/>
      <c r="Q1044" s="19"/>
      <c r="R1044" s="19"/>
      <c r="S1044" s="19"/>
      <c r="T1044" s="19"/>
      <c r="U1044" s="19"/>
      <c r="V1044" s="19"/>
    </row>
    <row r="1045">
      <c r="A1045" s="25"/>
      <c r="B1045" s="19"/>
      <c r="C1045" s="19"/>
      <c r="D1045" s="19"/>
      <c r="E1045" s="19"/>
      <c r="F1045" s="17" t="str">
        <f>IFERROR(__xludf.DUMMYFUNCTION("""COMPUTED_VALUE"""),"")</f>
        <v/>
      </c>
      <c r="G1045" s="20"/>
      <c r="H1045" s="19"/>
      <c r="I1045" s="19"/>
      <c r="J1045" s="19"/>
      <c r="K1045" s="19"/>
      <c r="L1045" s="19"/>
      <c r="M1045" s="19"/>
      <c r="N1045" s="20" t="s">
        <v>39</v>
      </c>
      <c r="O1045" s="19"/>
      <c r="P1045" s="19"/>
      <c r="Q1045" s="19"/>
      <c r="R1045" s="19"/>
      <c r="S1045" s="19"/>
      <c r="T1045" s="19"/>
      <c r="U1045" s="19"/>
      <c r="V1045" s="19"/>
    </row>
    <row r="1046">
      <c r="A1046" s="25"/>
      <c r="B1046" s="19"/>
      <c r="C1046" s="19"/>
      <c r="D1046" s="19"/>
      <c r="E1046" s="19"/>
      <c r="F1046" s="17" t="str">
        <f>IFERROR(__xludf.DUMMYFUNCTION("""COMPUTED_VALUE"""),"")</f>
        <v/>
      </c>
      <c r="G1046" s="20"/>
      <c r="H1046" s="19"/>
      <c r="I1046" s="19"/>
      <c r="J1046" s="19"/>
      <c r="K1046" s="19"/>
      <c r="L1046" s="19"/>
      <c r="M1046" s="19"/>
      <c r="N1046" s="20" t="s">
        <v>39</v>
      </c>
      <c r="O1046" s="19"/>
      <c r="P1046" s="19"/>
      <c r="Q1046" s="19"/>
      <c r="R1046" s="19"/>
      <c r="S1046" s="19"/>
      <c r="T1046" s="19"/>
      <c r="U1046" s="19"/>
      <c r="V1046" s="19"/>
    </row>
    <row r="1047">
      <c r="A1047" s="25"/>
      <c r="B1047" s="19"/>
      <c r="C1047" s="19"/>
      <c r="D1047" s="19"/>
      <c r="E1047" s="19"/>
      <c r="F1047" s="17" t="str">
        <f>IFERROR(__xludf.DUMMYFUNCTION("""COMPUTED_VALUE"""),"")</f>
        <v/>
      </c>
      <c r="G1047" s="20"/>
      <c r="H1047" s="19"/>
      <c r="I1047" s="19"/>
      <c r="J1047" s="19"/>
      <c r="K1047" s="19"/>
      <c r="L1047" s="19"/>
      <c r="M1047" s="19"/>
      <c r="N1047" s="20" t="s">
        <v>39</v>
      </c>
      <c r="O1047" s="19"/>
      <c r="P1047" s="19"/>
      <c r="Q1047" s="19"/>
      <c r="R1047" s="19"/>
      <c r="S1047" s="19"/>
      <c r="T1047" s="19"/>
      <c r="U1047" s="19"/>
      <c r="V1047" s="19"/>
    </row>
    <row r="1048">
      <c r="A1048" s="25"/>
      <c r="B1048" s="19"/>
      <c r="C1048" s="19"/>
      <c r="D1048" s="19"/>
      <c r="E1048" s="19"/>
      <c r="F1048" s="17" t="str">
        <f>IFERROR(__xludf.DUMMYFUNCTION("""COMPUTED_VALUE"""),"")</f>
        <v/>
      </c>
      <c r="G1048" s="20"/>
      <c r="H1048" s="19"/>
      <c r="I1048" s="19"/>
      <c r="J1048" s="19"/>
      <c r="K1048" s="19"/>
      <c r="L1048" s="19"/>
      <c r="M1048" s="19"/>
      <c r="N1048" s="20" t="s">
        <v>39</v>
      </c>
      <c r="O1048" s="19"/>
      <c r="P1048" s="19"/>
      <c r="Q1048" s="19"/>
      <c r="R1048" s="19"/>
      <c r="S1048" s="19"/>
      <c r="T1048" s="19"/>
      <c r="U1048" s="19"/>
      <c r="V1048" s="19"/>
    </row>
    <row r="1049">
      <c r="A1049" s="25"/>
      <c r="B1049" s="19"/>
      <c r="C1049" s="19"/>
      <c r="D1049" s="19"/>
      <c r="E1049" s="19"/>
      <c r="F1049" s="17" t="str">
        <f>IFERROR(__xludf.DUMMYFUNCTION("""COMPUTED_VALUE"""),"")</f>
        <v/>
      </c>
      <c r="G1049" s="20"/>
      <c r="H1049" s="19"/>
      <c r="I1049" s="19"/>
      <c r="J1049" s="19"/>
      <c r="K1049" s="19"/>
      <c r="L1049" s="19"/>
      <c r="M1049" s="19"/>
      <c r="N1049" s="20" t="s">
        <v>39</v>
      </c>
      <c r="O1049" s="19"/>
      <c r="P1049" s="19"/>
      <c r="Q1049" s="19"/>
      <c r="R1049" s="19"/>
      <c r="S1049" s="19"/>
      <c r="T1049" s="19"/>
      <c r="U1049" s="19"/>
      <c r="V1049" s="19"/>
    </row>
    <row r="1050">
      <c r="A1050" s="25"/>
      <c r="B1050" s="19"/>
      <c r="C1050" s="19"/>
      <c r="D1050" s="19"/>
      <c r="E1050" s="19"/>
      <c r="F1050" s="17" t="str">
        <f>IFERROR(__xludf.DUMMYFUNCTION("""COMPUTED_VALUE"""),"")</f>
        <v/>
      </c>
      <c r="G1050" s="20"/>
      <c r="H1050" s="19"/>
      <c r="I1050" s="19"/>
      <c r="J1050" s="19"/>
      <c r="K1050" s="19"/>
      <c r="L1050" s="19"/>
      <c r="M1050" s="19"/>
      <c r="N1050" s="20" t="s">
        <v>39</v>
      </c>
      <c r="O1050" s="19"/>
      <c r="P1050" s="19"/>
      <c r="Q1050" s="19"/>
      <c r="R1050" s="19"/>
      <c r="S1050" s="19"/>
      <c r="T1050" s="19"/>
      <c r="U1050" s="19"/>
      <c r="V1050" s="19"/>
    </row>
    <row r="1051">
      <c r="A1051" s="25"/>
      <c r="B1051" s="19"/>
      <c r="C1051" s="19"/>
      <c r="D1051" s="19"/>
      <c r="E1051" s="19"/>
      <c r="F1051" s="17" t="str">
        <f>IFERROR(__xludf.DUMMYFUNCTION("""COMPUTED_VALUE"""),"")</f>
        <v/>
      </c>
      <c r="G1051" s="20"/>
      <c r="H1051" s="19"/>
      <c r="I1051" s="19"/>
      <c r="J1051" s="19"/>
      <c r="K1051" s="19"/>
      <c r="L1051" s="19"/>
      <c r="M1051" s="19"/>
      <c r="N1051" s="20" t="s">
        <v>39</v>
      </c>
      <c r="O1051" s="19"/>
      <c r="P1051" s="19"/>
      <c r="Q1051" s="19"/>
      <c r="R1051" s="19"/>
      <c r="S1051" s="19"/>
      <c r="T1051" s="19"/>
      <c r="U1051" s="19"/>
      <c r="V1051" s="19"/>
    </row>
    <row r="1052">
      <c r="A1052" s="25"/>
      <c r="B1052" s="19"/>
      <c r="C1052" s="19"/>
      <c r="D1052" s="19"/>
      <c r="E1052" s="19"/>
      <c r="F1052" s="17" t="str">
        <f>IFERROR(__xludf.DUMMYFUNCTION("""COMPUTED_VALUE"""),"")</f>
        <v/>
      </c>
      <c r="G1052" s="20"/>
      <c r="H1052" s="19"/>
      <c r="I1052" s="19"/>
      <c r="J1052" s="19"/>
      <c r="K1052" s="19"/>
      <c r="L1052" s="19"/>
      <c r="M1052" s="19"/>
      <c r="N1052" s="20" t="s">
        <v>39</v>
      </c>
      <c r="O1052" s="19"/>
      <c r="P1052" s="19"/>
      <c r="Q1052" s="19"/>
      <c r="R1052" s="19"/>
      <c r="S1052" s="19"/>
      <c r="T1052" s="19"/>
      <c r="U1052" s="19"/>
      <c r="V1052" s="19"/>
    </row>
    <row r="1053">
      <c r="A1053" s="25"/>
      <c r="B1053" s="19"/>
      <c r="C1053" s="19"/>
      <c r="D1053" s="19"/>
      <c r="E1053" s="19"/>
      <c r="F1053" s="17" t="str">
        <f>IFERROR(__xludf.DUMMYFUNCTION("""COMPUTED_VALUE"""),"")</f>
        <v/>
      </c>
      <c r="G1053" s="20"/>
      <c r="H1053" s="19"/>
      <c r="I1053" s="19"/>
      <c r="J1053" s="19"/>
      <c r="K1053" s="19"/>
      <c r="L1053" s="19"/>
      <c r="M1053" s="19"/>
      <c r="N1053" s="20" t="s">
        <v>39</v>
      </c>
      <c r="O1053" s="19"/>
      <c r="P1053" s="19"/>
      <c r="Q1053" s="19"/>
      <c r="R1053" s="19"/>
      <c r="S1053" s="19"/>
      <c r="T1053" s="19"/>
      <c r="U1053" s="19"/>
      <c r="V1053" s="19"/>
    </row>
    <row r="1054">
      <c r="A1054" s="25"/>
      <c r="B1054" s="19"/>
      <c r="C1054" s="19"/>
      <c r="D1054" s="19"/>
      <c r="E1054" s="19"/>
      <c r="F1054" s="17" t="str">
        <f>IFERROR(__xludf.DUMMYFUNCTION("""COMPUTED_VALUE"""),"")</f>
        <v/>
      </c>
      <c r="G1054" s="20"/>
      <c r="H1054" s="19"/>
      <c r="I1054" s="19"/>
      <c r="J1054" s="19"/>
      <c r="K1054" s="19"/>
      <c r="L1054" s="19"/>
      <c r="M1054" s="19"/>
      <c r="N1054" s="20" t="s">
        <v>39</v>
      </c>
      <c r="O1054" s="19"/>
      <c r="P1054" s="19"/>
      <c r="Q1054" s="19"/>
      <c r="R1054" s="19"/>
      <c r="S1054" s="19"/>
      <c r="T1054" s="19"/>
      <c r="U1054" s="19"/>
      <c r="V1054" s="19"/>
    </row>
    <row r="1055">
      <c r="A1055" s="25"/>
      <c r="B1055" s="19"/>
      <c r="C1055" s="19"/>
      <c r="D1055" s="19"/>
      <c r="E1055" s="19"/>
      <c r="F1055" s="17" t="str">
        <f>IFERROR(__xludf.DUMMYFUNCTION("""COMPUTED_VALUE"""),"")</f>
        <v/>
      </c>
      <c r="G1055" s="20"/>
      <c r="H1055" s="19"/>
      <c r="I1055" s="19"/>
      <c r="J1055" s="19"/>
      <c r="K1055" s="19"/>
      <c r="L1055" s="19"/>
      <c r="M1055" s="19"/>
      <c r="N1055" s="20" t="s">
        <v>39</v>
      </c>
      <c r="O1055" s="19"/>
      <c r="P1055" s="19"/>
      <c r="Q1055" s="19"/>
      <c r="R1055" s="19"/>
      <c r="S1055" s="19"/>
      <c r="T1055" s="19"/>
      <c r="U1055" s="19"/>
      <c r="V1055" s="19"/>
    </row>
    <row r="1056">
      <c r="A1056" s="25"/>
      <c r="B1056" s="19"/>
      <c r="C1056" s="19"/>
      <c r="D1056" s="19"/>
      <c r="E1056" s="19"/>
      <c r="F1056" s="17" t="str">
        <f>IFERROR(__xludf.DUMMYFUNCTION("""COMPUTED_VALUE"""),"")</f>
        <v/>
      </c>
      <c r="G1056" s="20"/>
      <c r="H1056" s="19"/>
      <c r="I1056" s="19"/>
      <c r="J1056" s="19"/>
      <c r="K1056" s="19"/>
      <c r="L1056" s="19"/>
      <c r="M1056" s="19"/>
      <c r="N1056" s="20" t="s">
        <v>39</v>
      </c>
      <c r="O1056" s="19"/>
      <c r="P1056" s="19"/>
      <c r="Q1056" s="19"/>
      <c r="R1056" s="19"/>
      <c r="S1056" s="19"/>
      <c r="T1056" s="19"/>
      <c r="U1056" s="19"/>
      <c r="V1056" s="19"/>
    </row>
    <row r="1057">
      <c r="A1057" s="25"/>
      <c r="B1057" s="19"/>
      <c r="C1057" s="19"/>
      <c r="D1057" s="19"/>
      <c r="E1057" s="19"/>
      <c r="F1057" s="17" t="str">
        <f>IFERROR(__xludf.DUMMYFUNCTION("""COMPUTED_VALUE"""),"")</f>
        <v/>
      </c>
      <c r="G1057" s="20"/>
      <c r="H1057" s="19"/>
      <c r="I1057" s="19"/>
      <c r="J1057" s="19"/>
      <c r="K1057" s="19"/>
      <c r="L1057" s="19"/>
      <c r="M1057" s="19"/>
      <c r="N1057" s="20" t="s">
        <v>39</v>
      </c>
      <c r="O1057" s="19"/>
      <c r="P1057" s="19"/>
      <c r="Q1057" s="19"/>
      <c r="R1057" s="19"/>
      <c r="S1057" s="19"/>
      <c r="T1057" s="19"/>
      <c r="U1057" s="19"/>
      <c r="V1057" s="19"/>
    </row>
    <row r="1058">
      <c r="A1058" s="25"/>
      <c r="B1058" s="19"/>
      <c r="C1058" s="19"/>
      <c r="D1058" s="19"/>
      <c r="E1058" s="19"/>
      <c r="F1058" s="17" t="str">
        <f>IFERROR(__xludf.DUMMYFUNCTION("""COMPUTED_VALUE"""),"")</f>
        <v/>
      </c>
      <c r="G1058" s="20"/>
      <c r="H1058" s="19"/>
      <c r="I1058" s="19"/>
      <c r="J1058" s="19"/>
      <c r="K1058" s="19"/>
      <c r="L1058" s="19"/>
      <c r="M1058" s="19"/>
      <c r="N1058" s="20" t="s">
        <v>39</v>
      </c>
      <c r="O1058" s="19"/>
      <c r="P1058" s="19"/>
      <c r="Q1058" s="19"/>
      <c r="R1058" s="19"/>
      <c r="S1058" s="19"/>
      <c r="T1058" s="19"/>
      <c r="U1058" s="19"/>
      <c r="V1058" s="19"/>
    </row>
    <row r="1059">
      <c r="A1059" s="25"/>
      <c r="B1059" s="19"/>
      <c r="C1059" s="19"/>
      <c r="D1059" s="19"/>
      <c r="E1059" s="19"/>
      <c r="F1059" s="17" t="str">
        <f>IFERROR(__xludf.DUMMYFUNCTION("""COMPUTED_VALUE"""),"")</f>
        <v/>
      </c>
      <c r="G1059" s="20"/>
      <c r="H1059" s="19"/>
      <c r="I1059" s="19"/>
      <c r="J1059" s="19"/>
      <c r="K1059" s="19"/>
      <c r="L1059" s="19"/>
      <c r="M1059" s="19"/>
      <c r="N1059" s="20" t="s">
        <v>39</v>
      </c>
      <c r="O1059" s="19"/>
      <c r="P1059" s="19"/>
      <c r="Q1059" s="19"/>
      <c r="R1059" s="19"/>
      <c r="S1059" s="19"/>
      <c r="T1059" s="19"/>
      <c r="U1059" s="19"/>
      <c r="V1059" s="19"/>
    </row>
    <row r="1060">
      <c r="A1060" s="25"/>
      <c r="B1060" s="19"/>
      <c r="C1060" s="19"/>
      <c r="D1060" s="19"/>
      <c r="E1060" s="19"/>
      <c r="F1060" s="17" t="str">
        <f>IFERROR(__xludf.DUMMYFUNCTION("""COMPUTED_VALUE"""),"")</f>
        <v/>
      </c>
      <c r="G1060" s="20"/>
      <c r="H1060" s="19"/>
      <c r="I1060" s="19"/>
      <c r="J1060" s="19"/>
      <c r="K1060" s="19"/>
      <c r="L1060" s="19"/>
      <c r="M1060" s="19"/>
      <c r="N1060" s="20" t="s">
        <v>39</v>
      </c>
      <c r="O1060" s="19"/>
      <c r="P1060" s="19"/>
      <c r="Q1060" s="19"/>
      <c r="R1060" s="19"/>
      <c r="S1060" s="19"/>
      <c r="T1060" s="19"/>
      <c r="U1060" s="19"/>
      <c r="V1060" s="19"/>
    </row>
    <row r="1061">
      <c r="A1061" s="25"/>
      <c r="B1061" s="19"/>
      <c r="C1061" s="19"/>
      <c r="D1061" s="19"/>
      <c r="E1061" s="19"/>
      <c r="F1061" s="17" t="str">
        <f>IFERROR(__xludf.DUMMYFUNCTION("""COMPUTED_VALUE"""),"")</f>
        <v/>
      </c>
      <c r="G1061" s="20"/>
      <c r="H1061" s="19"/>
      <c r="I1061" s="19"/>
      <c r="J1061" s="19"/>
      <c r="K1061" s="19"/>
      <c r="L1061" s="19"/>
      <c r="M1061" s="19"/>
      <c r="N1061" s="20" t="s">
        <v>39</v>
      </c>
      <c r="O1061" s="19"/>
      <c r="P1061" s="19"/>
      <c r="Q1061" s="19"/>
      <c r="R1061" s="19"/>
      <c r="S1061" s="19"/>
      <c r="T1061" s="19"/>
      <c r="U1061" s="19"/>
      <c r="V1061" s="19"/>
    </row>
    <row r="1062">
      <c r="A1062" s="25"/>
      <c r="B1062" s="19"/>
      <c r="C1062" s="19"/>
      <c r="D1062" s="19"/>
      <c r="E1062" s="19"/>
      <c r="F1062" s="17" t="str">
        <f>IFERROR(__xludf.DUMMYFUNCTION("""COMPUTED_VALUE"""),"")</f>
        <v/>
      </c>
      <c r="G1062" s="20"/>
      <c r="H1062" s="19"/>
      <c r="I1062" s="19"/>
      <c r="J1062" s="19"/>
      <c r="K1062" s="19"/>
      <c r="L1062" s="19"/>
      <c r="M1062" s="19"/>
      <c r="N1062" s="20" t="s">
        <v>39</v>
      </c>
      <c r="O1062" s="19"/>
      <c r="P1062" s="19"/>
      <c r="Q1062" s="19"/>
      <c r="R1062" s="19"/>
      <c r="S1062" s="19"/>
      <c r="T1062" s="19"/>
      <c r="U1062" s="19"/>
      <c r="V1062" s="19"/>
    </row>
    <row r="1063">
      <c r="A1063" s="25"/>
      <c r="B1063" s="19"/>
      <c r="C1063" s="19"/>
      <c r="D1063" s="19"/>
      <c r="E1063" s="19"/>
      <c r="F1063" s="17" t="str">
        <f>IFERROR(__xludf.DUMMYFUNCTION("""COMPUTED_VALUE"""),"")</f>
        <v/>
      </c>
      <c r="G1063" s="20"/>
      <c r="H1063" s="19"/>
      <c r="I1063" s="19"/>
      <c r="J1063" s="19"/>
      <c r="K1063" s="19"/>
      <c r="L1063" s="19"/>
      <c r="M1063" s="19"/>
      <c r="N1063" s="20" t="s">
        <v>39</v>
      </c>
      <c r="O1063" s="19"/>
      <c r="P1063" s="19"/>
      <c r="Q1063" s="19"/>
      <c r="R1063" s="19"/>
      <c r="S1063" s="19"/>
      <c r="T1063" s="19"/>
      <c r="U1063" s="19"/>
      <c r="V1063" s="19"/>
    </row>
    <row r="1064">
      <c r="A1064" s="25"/>
      <c r="B1064" s="19"/>
      <c r="C1064" s="19"/>
      <c r="D1064" s="19"/>
      <c r="E1064" s="19"/>
      <c r="F1064" s="17" t="str">
        <f>IFERROR(__xludf.DUMMYFUNCTION("""COMPUTED_VALUE"""),"")</f>
        <v/>
      </c>
      <c r="G1064" s="20"/>
      <c r="H1064" s="19"/>
      <c r="I1064" s="19"/>
      <c r="J1064" s="19"/>
      <c r="K1064" s="19"/>
      <c r="L1064" s="19"/>
      <c r="M1064" s="19"/>
      <c r="N1064" s="20" t="s">
        <v>39</v>
      </c>
      <c r="O1064" s="19"/>
      <c r="P1064" s="19"/>
      <c r="Q1064" s="19"/>
      <c r="R1064" s="19"/>
      <c r="S1064" s="19"/>
      <c r="T1064" s="19"/>
      <c r="U1064" s="19"/>
      <c r="V1064" s="19"/>
    </row>
    <row r="1065">
      <c r="A1065" s="25"/>
      <c r="B1065" s="19"/>
      <c r="C1065" s="19"/>
      <c r="D1065" s="19"/>
      <c r="E1065" s="19"/>
      <c r="F1065" s="17" t="str">
        <f>IFERROR(__xludf.DUMMYFUNCTION("""COMPUTED_VALUE"""),"")</f>
        <v/>
      </c>
      <c r="G1065" s="20"/>
      <c r="H1065" s="19"/>
      <c r="I1065" s="19"/>
      <c r="J1065" s="19"/>
      <c r="K1065" s="19"/>
      <c r="L1065" s="19"/>
      <c r="M1065" s="19"/>
      <c r="N1065" s="20" t="s">
        <v>39</v>
      </c>
      <c r="O1065" s="19"/>
      <c r="P1065" s="19"/>
      <c r="Q1065" s="19"/>
      <c r="R1065" s="19"/>
      <c r="S1065" s="19"/>
      <c r="T1065" s="19"/>
      <c r="U1065" s="19"/>
      <c r="V1065" s="19"/>
    </row>
    <row r="1066">
      <c r="A1066" s="25"/>
      <c r="B1066" s="19"/>
      <c r="C1066" s="19"/>
      <c r="D1066" s="19"/>
      <c r="E1066" s="19"/>
      <c r="F1066" s="17" t="str">
        <f>IFERROR(__xludf.DUMMYFUNCTION("""COMPUTED_VALUE"""),"")</f>
        <v/>
      </c>
      <c r="G1066" s="20"/>
      <c r="H1066" s="19"/>
      <c r="I1066" s="19"/>
      <c r="J1066" s="19"/>
      <c r="K1066" s="19"/>
      <c r="L1066" s="19"/>
      <c r="M1066" s="19"/>
      <c r="N1066" s="20" t="s">
        <v>39</v>
      </c>
      <c r="O1066" s="19"/>
      <c r="P1066" s="19"/>
      <c r="Q1066" s="19"/>
      <c r="R1066" s="19"/>
      <c r="S1066" s="19"/>
      <c r="T1066" s="19"/>
      <c r="U1066" s="19"/>
      <c r="V1066" s="19"/>
    </row>
    <row r="1067">
      <c r="A1067" s="25"/>
      <c r="B1067" s="19"/>
      <c r="C1067" s="19"/>
      <c r="D1067" s="19"/>
      <c r="E1067" s="19"/>
      <c r="F1067" s="17" t="str">
        <f>IFERROR(__xludf.DUMMYFUNCTION("""COMPUTED_VALUE"""),"")</f>
        <v/>
      </c>
      <c r="G1067" s="20"/>
      <c r="H1067" s="19"/>
      <c r="I1067" s="19"/>
      <c r="J1067" s="19"/>
      <c r="K1067" s="19"/>
      <c r="L1067" s="19"/>
      <c r="M1067" s="19"/>
      <c r="N1067" s="20" t="s">
        <v>39</v>
      </c>
      <c r="O1067" s="19"/>
      <c r="P1067" s="19"/>
      <c r="Q1067" s="19"/>
      <c r="R1067" s="19"/>
      <c r="S1067" s="19"/>
      <c r="T1067" s="19"/>
      <c r="U1067" s="19"/>
      <c r="V1067" s="19"/>
    </row>
    <row r="1068">
      <c r="A1068" s="25"/>
      <c r="B1068" s="19"/>
      <c r="C1068" s="19"/>
      <c r="D1068" s="19"/>
      <c r="E1068" s="19"/>
      <c r="F1068" s="17" t="str">
        <f>IFERROR(__xludf.DUMMYFUNCTION("""COMPUTED_VALUE"""),"")</f>
        <v/>
      </c>
      <c r="G1068" s="20"/>
      <c r="H1068" s="19"/>
      <c r="I1068" s="19"/>
      <c r="J1068" s="19"/>
      <c r="K1068" s="19"/>
      <c r="L1068" s="19"/>
      <c r="M1068" s="19"/>
      <c r="N1068" s="20" t="s">
        <v>39</v>
      </c>
      <c r="O1068" s="19"/>
      <c r="P1068" s="19"/>
      <c r="Q1068" s="19"/>
      <c r="R1068" s="19"/>
      <c r="S1068" s="19"/>
      <c r="T1068" s="19"/>
      <c r="U1068" s="19"/>
      <c r="V1068" s="19"/>
    </row>
    <row r="1069">
      <c r="A1069" s="25"/>
      <c r="B1069" s="19"/>
      <c r="C1069" s="19"/>
      <c r="D1069" s="19"/>
      <c r="E1069" s="19"/>
      <c r="F1069" s="17" t="str">
        <f>IFERROR(__xludf.DUMMYFUNCTION("""COMPUTED_VALUE"""),"")</f>
        <v/>
      </c>
      <c r="G1069" s="20"/>
      <c r="H1069" s="19"/>
      <c r="I1069" s="19"/>
      <c r="J1069" s="19"/>
      <c r="K1069" s="19"/>
      <c r="L1069" s="19"/>
      <c r="M1069" s="19"/>
      <c r="N1069" s="20" t="s">
        <v>39</v>
      </c>
      <c r="O1069" s="19"/>
      <c r="P1069" s="19"/>
      <c r="Q1069" s="19"/>
      <c r="R1069" s="19"/>
      <c r="S1069" s="19"/>
      <c r="T1069" s="19"/>
      <c r="U1069" s="19"/>
      <c r="V1069" s="19"/>
    </row>
    <row r="1070">
      <c r="A1070" s="25"/>
      <c r="B1070" s="19"/>
      <c r="C1070" s="19"/>
      <c r="D1070" s="19"/>
      <c r="E1070" s="19"/>
      <c r="F1070" s="17" t="str">
        <f>IFERROR(__xludf.DUMMYFUNCTION("""COMPUTED_VALUE"""),"")</f>
        <v/>
      </c>
      <c r="G1070" s="20"/>
      <c r="H1070" s="19"/>
      <c r="I1070" s="19"/>
      <c r="J1070" s="19"/>
      <c r="K1070" s="19"/>
      <c r="L1070" s="19"/>
      <c r="M1070" s="19"/>
      <c r="N1070" s="20" t="s">
        <v>39</v>
      </c>
      <c r="O1070" s="19"/>
      <c r="P1070" s="19"/>
      <c r="Q1070" s="19"/>
      <c r="R1070" s="19"/>
      <c r="S1070" s="19"/>
      <c r="T1070" s="19"/>
      <c r="U1070" s="19"/>
      <c r="V1070" s="19"/>
    </row>
    <row r="1071">
      <c r="A1071" s="25"/>
      <c r="B1071" s="19"/>
      <c r="C1071" s="19"/>
      <c r="D1071" s="19"/>
      <c r="E1071" s="19"/>
      <c r="F1071" s="17" t="str">
        <f>IFERROR(__xludf.DUMMYFUNCTION("""COMPUTED_VALUE"""),"")</f>
        <v/>
      </c>
      <c r="G1071" s="20"/>
      <c r="H1071" s="19"/>
      <c r="I1071" s="19"/>
      <c r="J1071" s="19"/>
      <c r="K1071" s="19"/>
      <c r="L1071" s="19"/>
      <c r="M1071" s="19"/>
      <c r="N1071" s="20" t="s">
        <v>39</v>
      </c>
      <c r="O1071" s="19"/>
      <c r="P1071" s="19"/>
      <c r="Q1071" s="19"/>
      <c r="R1071" s="19"/>
      <c r="S1071" s="19"/>
      <c r="T1071" s="19"/>
      <c r="U1071" s="19"/>
      <c r="V1071" s="19"/>
    </row>
    <row r="1072">
      <c r="A1072" s="25"/>
      <c r="B1072" s="19"/>
      <c r="C1072" s="19"/>
      <c r="D1072" s="19"/>
      <c r="E1072" s="19"/>
      <c r="F1072" s="17" t="str">
        <f>IFERROR(__xludf.DUMMYFUNCTION("""COMPUTED_VALUE"""),"")</f>
        <v/>
      </c>
      <c r="G1072" s="20"/>
      <c r="H1072" s="19"/>
      <c r="I1072" s="19"/>
      <c r="J1072" s="19"/>
      <c r="K1072" s="19"/>
      <c r="L1072" s="19"/>
      <c r="M1072" s="19"/>
      <c r="N1072" s="20" t="s">
        <v>39</v>
      </c>
      <c r="O1072" s="19"/>
      <c r="P1072" s="19"/>
      <c r="Q1072" s="19"/>
      <c r="R1072" s="19"/>
      <c r="S1072" s="19"/>
      <c r="T1072" s="19"/>
      <c r="U1072" s="19"/>
      <c r="V1072" s="19"/>
    </row>
    <row r="1073">
      <c r="A1073" s="25"/>
      <c r="B1073" s="19"/>
      <c r="C1073" s="19"/>
      <c r="D1073" s="19"/>
      <c r="E1073" s="19"/>
      <c r="F1073" s="17" t="str">
        <f>IFERROR(__xludf.DUMMYFUNCTION("""COMPUTED_VALUE"""),"")</f>
        <v/>
      </c>
      <c r="G1073" s="20"/>
      <c r="H1073" s="19"/>
      <c r="I1073" s="19"/>
      <c r="J1073" s="19"/>
      <c r="K1073" s="19"/>
      <c r="L1073" s="19"/>
      <c r="M1073" s="19"/>
      <c r="N1073" s="20" t="s">
        <v>39</v>
      </c>
      <c r="O1073" s="19"/>
      <c r="P1073" s="19"/>
      <c r="Q1073" s="19"/>
      <c r="R1073" s="19"/>
      <c r="S1073" s="19"/>
      <c r="T1073" s="19"/>
      <c r="U1073" s="19"/>
      <c r="V1073" s="19"/>
    </row>
    <row r="1074">
      <c r="A1074" s="25"/>
      <c r="B1074" s="19"/>
      <c r="C1074" s="19"/>
      <c r="D1074" s="19"/>
      <c r="E1074" s="19"/>
      <c r="F1074" s="17" t="str">
        <f>IFERROR(__xludf.DUMMYFUNCTION("""COMPUTED_VALUE"""),"")</f>
        <v/>
      </c>
      <c r="G1074" s="20"/>
      <c r="H1074" s="19"/>
      <c r="I1074" s="19"/>
      <c r="J1074" s="19"/>
      <c r="K1074" s="19"/>
      <c r="L1074" s="19"/>
      <c r="M1074" s="19"/>
      <c r="N1074" s="20" t="s">
        <v>39</v>
      </c>
      <c r="O1074" s="19"/>
      <c r="P1074" s="19"/>
      <c r="Q1074" s="19"/>
      <c r="R1074" s="19"/>
      <c r="S1074" s="19"/>
      <c r="T1074" s="19"/>
      <c r="U1074" s="19"/>
      <c r="V1074" s="19"/>
    </row>
    <row r="1075">
      <c r="A1075" s="25"/>
      <c r="B1075" s="19"/>
      <c r="C1075" s="19"/>
      <c r="D1075" s="19"/>
      <c r="E1075" s="19"/>
      <c r="F1075" s="17" t="str">
        <f>IFERROR(__xludf.DUMMYFUNCTION("""COMPUTED_VALUE"""),"")</f>
        <v/>
      </c>
      <c r="G1075" s="20"/>
      <c r="H1075" s="19"/>
      <c r="I1075" s="19"/>
      <c r="J1075" s="19"/>
      <c r="K1075" s="19"/>
      <c r="L1075" s="19"/>
      <c r="M1075" s="19"/>
      <c r="N1075" s="20" t="s">
        <v>39</v>
      </c>
      <c r="O1075" s="19"/>
      <c r="P1075" s="19"/>
      <c r="Q1075" s="19"/>
      <c r="R1075" s="19"/>
      <c r="S1075" s="19"/>
      <c r="T1075" s="19"/>
      <c r="U1075" s="19"/>
      <c r="V1075" s="19"/>
    </row>
    <row r="1076">
      <c r="A1076" s="25"/>
      <c r="B1076" s="19"/>
      <c r="C1076" s="19"/>
      <c r="D1076" s="19"/>
      <c r="E1076" s="19"/>
      <c r="F1076" s="17" t="str">
        <f>IFERROR(__xludf.DUMMYFUNCTION("""COMPUTED_VALUE"""),"")</f>
        <v/>
      </c>
      <c r="G1076" s="20"/>
      <c r="H1076" s="19"/>
      <c r="I1076" s="19"/>
      <c r="J1076" s="19"/>
      <c r="K1076" s="19"/>
      <c r="L1076" s="19"/>
      <c r="M1076" s="19"/>
      <c r="N1076" s="20" t="s">
        <v>39</v>
      </c>
      <c r="O1076" s="19"/>
      <c r="P1076" s="19"/>
      <c r="Q1076" s="19"/>
      <c r="R1076" s="19"/>
      <c r="S1076" s="19"/>
      <c r="T1076" s="19"/>
      <c r="U1076" s="19"/>
      <c r="V1076" s="19"/>
    </row>
    <row r="1077">
      <c r="A1077" s="25"/>
      <c r="B1077" s="19"/>
      <c r="C1077" s="19"/>
      <c r="D1077" s="19"/>
      <c r="E1077" s="19"/>
      <c r="F1077" s="17" t="str">
        <f>IFERROR(__xludf.DUMMYFUNCTION("""COMPUTED_VALUE"""),"")</f>
        <v/>
      </c>
      <c r="G1077" s="20"/>
      <c r="H1077" s="19"/>
      <c r="I1077" s="19"/>
      <c r="J1077" s="19"/>
      <c r="K1077" s="19"/>
      <c r="L1077" s="19"/>
      <c r="M1077" s="19"/>
      <c r="N1077" s="20" t="s">
        <v>39</v>
      </c>
      <c r="O1077" s="19"/>
      <c r="P1077" s="19"/>
      <c r="Q1077" s="19"/>
      <c r="R1077" s="19"/>
      <c r="S1077" s="19"/>
      <c r="T1077" s="19"/>
      <c r="U1077" s="19"/>
      <c r="V1077" s="19"/>
    </row>
    <row r="1078">
      <c r="A1078" s="25"/>
      <c r="B1078" s="19"/>
      <c r="C1078" s="19"/>
      <c r="D1078" s="19"/>
      <c r="E1078" s="19"/>
      <c r="F1078" s="17" t="str">
        <f>IFERROR(__xludf.DUMMYFUNCTION("""COMPUTED_VALUE"""),"")</f>
        <v/>
      </c>
      <c r="G1078" s="20"/>
      <c r="H1078" s="19"/>
      <c r="I1078" s="19"/>
      <c r="J1078" s="19"/>
      <c r="K1078" s="19"/>
      <c r="L1078" s="19"/>
      <c r="M1078" s="19"/>
      <c r="N1078" s="20" t="s">
        <v>39</v>
      </c>
      <c r="O1078" s="19"/>
      <c r="P1078" s="19"/>
      <c r="Q1078" s="19"/>
      <c r="R1078" s="19"/>
      <c r="S1078" s="19"/>
      <c r="T1078" s="19"/>
      <c r="U1078" s="19"/>
      <c r="V1078" s="19"/>
    </row>
    <row r="1079">
      <c r="A1079" s="25"/>
      <c r="B1079" s="19"/>
      <c r="C1079" s="19"/>
      <c r="D1079" s="19"/>
      <c r="E1079" s="19"/>
      <c r="F1079" s="17" t="str">
        <f>IFERROR(__xludf.DUMMYFUNCTION("""COMPUTED_VALUE"""),"")</f>
        <v/>
      </c>
      <c r="G1079" s="20"/>
      <c r="H1079" s="19"/>
      <c r="I1079" s="19"/>
      <c r="J1079" s="19"/>
      <c r="K1079" s="19"/>
      <c r="L1079" s="19"/>
      <c r="M1079" s="19"/>
      <c r="N1079" s="20" t="s">
        <v>39</v>
      </c>
      <c r="O1079" s="19"/>
      <c r="P1079" s="19"/>
      <c r="Q1079" s="19"/>
      <c r="R1079" s="19"/>
      <c r="S1079" s="19"/>
      <c r="T1079" s="19"/>
      <c r="U1079" s="19"/>
      <c r="V1079" s="19"/>
    </row>
    <row r="1080">
      <c r="A1080" s="25"/>
      <c r="B1080" s="19"/>
      <c r="C1080" s="19"/>
      <c r="D1080" s="19"/>
      <c r="E1080" s="19"/>
      <c r="F1080" s="17" t="str">
        <f>IFERROR(__xludf.DUMMYFUNCTION("""COMPUTED_VALUE"""),"")</f>
        <v/>
      </c>
      <c r="G1080" s="20"/>
      <c r="H1080" s="19"/>
      <c r="I1080" s="19"/>
      <c r="J1080" s="19"/>
      <c r="K1080" s="19"/>
      <c r="L1080" s="19"/>
      <c r="M1080" s="19"/>
      <c r="N1080" s="20" t="s">
        <v>39</v>
      </c>
      <c r="O1080" s="19"/>
      <c r="P1080" s="19"/>
      <c r="Q1080" s="19"/>
      <c r="R1080" s="19"/>
      <c r="S1080" s="19"/>
      <c r="T1080" s="19"/>
      <c r="U1080" s="19"/>
      <c r="V1080" s="19"/>
    </row>
    <row r="1081">
      <c r="A1081" s="25"/>
      <c r="B1081" s="19"/>
      <c r="C1081" s="19"/>
      <c r="D1081" s="19"/>
      <c r="E1081" s="19"/>
      <c r="F1081" s="17" t="str">
        <f>IFERROR(__xludf.DUMMYFUNCTION("""COMPUTED_VALUE"""),"")</f>
        <v/>
      </c>
      <c r="G1081" s="20"/>
      <c r="H1081" s="19"/>
      <c r="I1081" s="19"/>
      <c r="J1081" s="19"/>
      <c r="K1081" s="19"/>
      <c r="L1081" s="19"/>
      <c r="M1081" s="19"/>
      <c r="N1081" s="20" t="s">
        <v>39</v>
      </c>
      <c r="O1081" s="19"/>
      <c r="P1081" s="19"/>
      <c r="Q1081" s="19"/>
      <c r="R1081" s="19"/>
      <c r="S1081" s="19"/>
      <c r="T1081" s="19"/>
      <c r="U1081" s="19"/>
      <c r="V1081" s="19"/>
    </row>
    <row r="1082">
      <c r="A1082" s="25"/>
      <c r="B1082" s="19"/>
      <c r="C1082" s="19"/>
      <c r="D1082" s="19"/>
      <c r="E1082" s="19"/>
      <c r="F1082" s="17" t="str">
        <f>IFERROR(__xludf.DUMMYFUNCTION("""COMPUTED_VALUE"""),"")</f>
        <v/>
      </c>
      <c r="G1082" s="20"/>
      <c r="H1082" s="19"/>
      <c r="I1082" s="19"/>
      <c r="J1082" s="19"/>
      <c r="K1082" s="19"/>
      <c r="L1082" s="19"/>
      <c r="M1082" s="19"/>
      <c r="N1082" s="20" t="s">
        <v>39</v>
      </c>
      <c r="O1082" s="19"/>
      <c r="P1082" s="19"/>
      <c r="Q1082" s="19"/>
      <c r="R1082" s="19"/>
      <c r="S1082" s="19"/>
      <c r="T1082" s="19"/>
      <c r="U1082" s="19"/>
      <c r="V1082" s="19"/>
    </row>
    <row r="1083">
      <c r="A1083" s="25"/>
      <c r="B1083" s="19"/>
      <c r="C1083" s="19"/>
      <c r="D1083" s="19"/>
      <c r="E1083" s="19"/>
      <c r="F1083" s="17" t="str">
        <f>IFERROR(__xludf.DUMMYFUNCTION("""COMPUTED_VALUE"""),"")</f>
        <v/>
      </c>
      <c r="G1083" s="20"/>
      <c r="H1083" s="19"/>
      <c r="I1083" s="19"/>
      <c r="J1083" s="19"/>
      <c r="K1083" s="19"/>
      <c r="L1083" s="19"/>
      <c r="M1083" s="19"/>
      <c r="N1083" s="20" t="s">
        <v>39</v>
      </c>
      <c r="O1083" s="19"/>
      <c r="P1083" s="19"/>
      <c r="Q1083" s="19"/>
      <c r="R1083" s="19"/>
      <c r="S1083" s="19"/>
      <c r="T1083" s="19"/>
      <c r="U1083" s="19"/>
      <c r="V1083" s="19"/>
    </row>
    <row r="1084">
      <c r="A1084" s="25"/>
      <c r="B1084" s="19"/>
      <c r="C1084" s="19"/>
      <c r="D1084" s="19"/>
      <c r="E1084" s="19"/>
      <c r="F1084" s="17" t="str">
        <f>IFERROR(__xludf.DUMMYFUNCTION("""COMPUTED_VALUE"""),"")</f>
        <v/>
      </c>
      <c r="G1084" s="20"/>
      <c r="H1084" s="19"/>
      <c r="I1084" s="19"/>
      <c r="J1084" s="19"/>
      <c r="K1084" s="19"/>
      <c r="L1084" s="19"/>
      <c r="M1084" s="19"/>
      <c r="N1084" s="20" t="s">
        <v>39</v>
      </c>
      <c r="O1084" s="19"/>
      <c r="P1084" s="19"/>
      <c r="Q1084" s="19"/>
      <c r="R1084" s="19"/>
      <c r="S1084" s="19"/>
      <c r="T1084" s="19"/>
      <c r="U1084" s="19"/>
      <c r="V1084" s="19"/>
    </row>
    <row r="1085">
      <c r="A1085" s="25"/>
      <c r="B1085" s="19"/>
      <c r="C1085" s="19"/>
      <c r="D1085" s="19"/>
      <c r="E1085" s="19"/>
      <c r="F1085" s="17" t="str">
        <f>IFERROR(__xludf.DUMMYFUNCTION("""COMPUTED_VALUE"""),"")</f>
        <v/>
      </c>
      <c r="G1085" s="20"/>
      <c r="H1085" s="19"/>
      <c r="I1085" s="19"/>
      <c r="J1085" s="19"/>
      <c r="K1085" s="19"/>
      <c r="L1085" s="19"/>
      <c r="M1085" s="19"/>
      <c r="N1085" s="20" t="s">
        <v>39</v>
      </c>
      <c r="O1085" s="19"/>
      <c r="P1085" s="19"/>
      <c r="Q1085" s="19"/>
      <c r="R1085" s="19"/>
      <c r="S1085" s="19"/>
      <c r="T1085" s="19"/>
      <c r="U1085" s="19"/>
      <c r="V1085" s="19"/>
    </row>
    <row r="1086">
      <c r="A1086" s="25"/>
      <c r="B1086" s="19"/>
      <c r="C1086" s="19"/>
      <c r="D1086" s="19"/>
      <c r="E1086" s="19"/>
      <c r="F1086" s="17" t="str">
        <f>IFERROR(__xludf.DUMMYFUNCTION("""COMPUTED_VALUE"""),"")</f>
        <v/>
      </c>
      <c r="G1086" s="20"/>
      <c r="H1086" s="19"/>
      <c r="I1086" s="19"/>
      <c r="J1086" s="19"/>
      <c r="K1086" s="19"/>
      <c r="L1086" s="19"/>
      <c r="M1086" s="19"/>
      <c r="N1086" s="20" t="s">
        <v>39</v>
      </c>
      <c r="O1086" s="19"/>
      <c r="P1086" s="19"/>
      <c r="Q1086" s="19"/>
      <c r="R1086" s="19"/>
      <c r="S1086" s="19"/>
      <c r="T1086" s="19"/>
      <c r="U1086" s="19"/>
      <c r="V1086" s="19"/>
    </row>
    <row r="1087">
      <c r="A1087" s="25"/>
      <c r="B1087" s="19"/>
      <c r="C1087" s="19"/>
      <c r="D1087" s="19"/>
      <c r="E1087" s="19"/>
      <c r="F1087" s="17" t="str">
        <f>IFERROR(__xludf.DUMMYFUNCTION("""COMPUTED_VALUE"""),"")</f>
        <v/>
      </c>
      <c r="G1087" s="20"/>
      <c r="H1087" s="19"/>
      <c r="I1087" s="19"/>
      <c r="J1087" s="19"/>
      <c r="K1087" s="19"/>
      <c r="L1087" s="19"/>
      <c r="M1087" s="19"/>
      <c r="N1087" s="20" t="s">
        <v>39</v>
      </c>
      <c r="O1087" s="19"/>
      <c r="P1087" s="19"/>
      <c r="Q1087" s="19"/>
      <c r="R1087" s="19"/>
      <c r="S1087" s="19"/>
      <c r="T1087" s="19"/>
      <c r="U1087" s="19"/>
      <c r="V1087" s="19"/>
    </row>
    <row r="1088">
      <c r="A1088" s="25"/>
      <c r="B1088" s="19"/>
      <c r="C1088" s="19"/>
      <c r="D1088" s="19"/>
      <c r="E1088" s="19"/>
      <c r="F1088" s="17" t="str">
        <f>IFERROR(__xludf.DUMMYFUNCTION("""COMPUTED_VALUE"""),"")</f>
        <v/>
      </c>
      <c r="G1088" s="20"/>
      <c r="H1088" s="19"/>
      <c r="I1088" s="19"/>
      <c r="J1088" s="19"/>
      <c r="K1088" s="19"/>
      <c r="L1088" s="19"/>
      <c r="M1088" s="19"/>
      <c r="N1088" s="20" t="s">
        <v>39</v>
      </c>
      <c r="O1088" s="19"/>
      <c r="P1088" s="19"/>
      <c r="Q1088" s="19"/>
      <c r="R1088" s="19"/>
      <c r="S1088" s="19"/>
      <c r="T1088" s="19"/>
      <c r="U1088" s="19"/>
      <c r="V1088" s="19"/>
    </row>
    <row r="1089">
      <c r="A1089" s="25"/>
      <c r="B1089" s="19"/>
      <c r="C1089" s="19"/>
      <c r="D1089" s="19"/>
      <c r="E1089" s="19"/>
      <c r="F1089" s="17" t="str">
        <f>IFERROR(__xludf.DUMMYFUNCTION("""COMPUTED_VALUE"""),"")</f>
        <v/>
      </c>
      <c r="G1089" s="20"/>
      <c r="H1089" s="19"/>
      <c r="I1089" s="19"/>
      <c r="J1089" s="19"/>
      <c r="K1089" s="19"/>
      <c r="L1089" s="19"/>
      <c r="M1089" s="19"/>
      <c r="N1089" s="20" t="s">
        <v>39</v>
      </c>
      <c r="O1089" s="19"/>
      <c r="P1089" s="19"/>
      <c r="Q1089" s="19"/>
      <c r="R1089" s="19"/>
      <c r="S1089" s="19"/>
      <c r="T1089" s="19"/>
      <c r="U1089" s="19"/>
      <c r="V1089" s="19"/>
    </row>
    <row r="1090">
      <c r="A1090" s="25"/>
      <c r="B1090" s="19"/>
      <c r="C1090" s="19"/>
      <c r="D1090" s="19"/>
      <c r="E1090" s="19"/>
      <c r="F1090" s="17" t="str">
        <f>IFERROR(__xludf.DUMMYFUNCTION("""COMPUTED_VALUE"""),"")</f>
        <v/>
      </c>
      <c r="G1090" s="20"/>
      <c r="H1090" s="19"/>
      <c r="I1090" s="19"/>
      <c r="J1090" s="19"/>
      <c r="K1090" s="19"/>
      <c r="L1090" s="19"/>
      <c r="M1090" s="19"/>
      <c r="N1090" s="20" t="s">
        <v>39</v>
      </c>
      <c r="O1090" s="19"/>
      <c r="P1090" s="19"/>
      <c r="Q1090" s="19"/>
      <c r="R1090" s="19"/>
      <c r="S1090" s="19"/>
      <c r="T1090" s="19"/>
      <c r="U1090" s="19"/>
      <c r="V1090" s="19"/>
    </row>
    <row r="1091">
      <c r="A1091" s="25"/>
      <c r="B1091" s="19"/>
      <c r="C1091" s="19"/>
      <c r="D1091" s="19"/>
      <c r="E1091" s="19"/>
      <c r="F1091" s="17" t="str">
        <f>IFERROR(__xludf.DUMMYFUNCTION("""COMPUTED_VALUE"""),"")</f>
        <v/>
      </c>
      <c r="G1091" s="20"/>
      <c r="H1091" s="19"/>
      <c r="I1091" s="19"/>
      <c r="J1091" s="19"/>
      <c r="K1091" s="19"/>
      <c r="L1091" s="19"/>
      <c r="M1091" s="19"/>
      <c r="N1091" s="20" t="s">
        <v>39</v>
      </c>
      <c r="O1091" s="19"/>
      <c r="P1091" s="19"/>
      <c r="Q1091" s="19"/>
      <c r="R1091" s="19"/>
      <c r="S1091" s="19"/>
      <c r="T1091" s="19"/>
      <c r="U1091" s="19"/>
      <c r="V1091" s="19"/>
    </row>
    <row r="1092">
      <c r="A1092" s="25"/>
      <c r="B1092" s="19"/>
      <c r="C1092" s="19"/>
      <c r="D1092" s="19"/>
      <c r="E1092" s="19"/>
      <c r="F1092" s="17" t="str">
        <f>IFERROR(__xludf.DUMMYFUNCTION("""COMPUTED_VALUE"""),"")</f>
        <v/>
      </c>
      <c r="G1092" s="20"/>
      <c r="H1092" s="19"/>
      <c r="I1092" s="19"/>
      <c r="J1092" s="19"/>
      <c r="K1092" s="19"/>
      <c r="L1092" s="19"/>
      <c r="M1092" s="19"/>
      <c r="N1092" s="20" t="s">
        <v>39</v>
      </c>
      <c r="O1092" s="19"/>
      <c r="P1092" s="19"/>
      <c r="Q1092" s="19"/>
      <c r="R1092" s="19"/>
      <c r="S1092" s="19"/>
      <c r="T1092" s="19"/>
      <c r="U1092" s="19"/>
      <c r="V1092" s="19"/>
    </row>
    <row r="1093">
      <c r="A1093" s="25"/>
      <c r="B1093" s="19"/>
      <c r="C1093" s="19"/>
      <c r="D1093" s="19"/>
      <c r="E1093" s="19"/>
      <c r="F1093" s="17" t="str">
        <f>IFERROR(__xludf.DUMMYFUNCTION("""COMPUTED_VALUE"""),"")</f>
        <v/>
      </c>
      <c r="G1093" s="20"/>
      <c r="H1093" s="19"/>
      <c r="I1093" s="19"/>
      <c r="J1093" s="19"/>
      <c r="K1093" s="19"/>
      <c r="L1093" s="19"/>
      <c r="M1093" s="19"/>
      <c r="N1093" s="20" t="s">
        <v>39</v>
      </c>
      <c r="O1093" s="19"/>
      <c r="P1093" s="19"/>
      <c r="Q1093" s="19"/>
      <c r="R1093" s="19"/>
      <c r="S1093" s="19"/>
      <c r="T1093" s="19"/>
      <c r="U1093" s="19"/>
      <c r="V1093" s="19"/>
    </row>
    <row r="1094">
      <c r="A1094" s="25"/>
      <c r="B1094" s="19"/>
      <c r="C1094" s="19"/>
      <c r="D1094" s="19"/>
      <c r="E1094" s="19"/>
      <c r="F1094" s="17" t="str">
        <f>IFERROR(__xludf.DUMMYFUNCTION("""COMPUTED_VALUE"""),"")</f>
        <v/>
      </c>
      <c r="G1094" s="20"/>
      <c r="H1094" s="19"/>
      <c r="I1094" s="19"/>
      <c r="J1094" s="19"/>
      <c r="K1094" s="19"/>
      <c r="L1094" s="19"/>
      <c r="M1094" s="19"/>
      <c r="N1094" s="20" t="s">
        <v>39</v>
      </c>
      <c r="O1094" s="19"/>
      <c r="P1094" s="19"/>
      <c r="Q1094" s="19"/>
      <c r="R1094" s="19"/>
      <c r="S1094" s="19"/>
      <c r="T1094" s="19"/>
      <c r="U1094" s="19"/>
      <c r="V1094" s="19"/>
    </row>
    <row r="1095">
      <c r="A1095" s="25"/>
      <c r="B1095" s="19"/>
      <c r="C1095" s="19"/>
      <c r="D1095" s="19"/>
      <c r="E1095" s="19"/>
      <c r="F1095" s="17" t="str">
        <f>IFERROR(__xludf.DUMMYFUNCTION("""COMPUTED_VALUE"""),"")</f>
        <v/>
      </c>
      <c r="G1095" s="20"/>
      <c r="H1095" s="19"/>
      <c r="I1095" s="19"/>
      <c r="J1095" s="19"/>
      <c r="K1095" s="19"/>
      <c r="L1095" s="19"/>
      <c r="M1095" s="19"/>
      <c r="N1095" s="20" t="s">
        <v>39</v>
      </c>
      <c r="O1095" s="19"/>
      <c r="P1095" s="19"/>
      <c r="Q1095" s="19"/>
      <c r="R1095" s="19"/>
      <c r="S1095" s="19"/>
      <c r="T1095" s="19"/>
      <c r="U1095" s="19"/>
      <c r="V1095" s="19"/>
    </row>
    <row r="1096">
      <c r="A1096" s="25"/>
      <c r="B1096" s="19"/>
      <c r="C1096" s="19"/>
      <c r="D1096" s="19"/>
      <c r="E1096" s="19"/>
      <c r="F1096" s="17" t="str">
        <f>IFERROR(__xludf.DUMMYFUNCTION("""COMPUTED_VALUE"""),"")</f>
        <v/>
      </c>
      <c r="G1096" s="20"/>
      <c r="H1096" s="19"/>
      <c r="I1096" s="19"/>
      <c r="J1096" s="19"/>
      <c r="K1096" s="19"/>
      <c r="L1096" s="19"/>
      <c r="M1096" s="19"/>
      <c r="N1096" s="20" t="s">
        <v>39</v>
      </c>
      <c r="O1096" s="19"/>
      <c r="P1096" s="19"/>
      <c r="Q1096" s="19"/>
      <c r="R1096" s="19"/>
      <c r="S1096" s="19"/>
      <c r="T1096" s="19"/>
      <c r="U1096" s="19"/>
      <c r="V1096" s="19"/>
    </row>
    <row r="1097">
      <c r="A1097" s="25"/>
      <c r="B1097" s="19"/>
      <c r="C1097" s="19"/>
      <c r="D1097" s="19"/>
      <c r="E1097" s="19"/>
      <c r="F1097" s="17" t="str">
        <f>IFERROR(__xludf.DUMMYFUNCTION("""COMPUTED_VALUE"""),"")</f>
        <v/>
      </c>
      <c r="G1097" s="20"/>
      <c r="H1097" s="19"/>
      <c r="I1097" s="19"/>
      <c r="J1097" s="19"/>
      <c r="K1097" s="19"/>
      <c r="L1097" s="19"/>
      <c r="M1097" s="19"/>
      <c r="N1097" s="20" t="s">
        <v>39</v>
      </c>
      <c r="O1097" s="19"/>
      <c r="P1097" s="19"/>
      <c r="Q1097" s="19"/>
      <c r="R1097" s="19"/>
      <c r="S1097" s="19"/>
      <c r="T1097" s="19"/>
      <c r="U1097" s="19"/>
      <c r="V1097" s="19"/>
    </row>
    <row r="1098">
      <c r="A1098" s="25"/>
      <c r="B1098" s="19"/>
      <c r="C1098" s="19"/>
      <c r="D1098" s="19"/>
      <c r="E1098" s="19"/>
      <c r="F1098" s="17" t="str">
        <f>IFERROR(__xludf.DUMMYFUNCTION("""COMPUTED_VALUE"""),"")</f>
        <v/>
      </c>
      <c r="G1098" s="20"/>
      <c r="H1098" s="19"/>
      <c r="I1098" s="19"/>
      <c r="J1098" s="19"/>
      <c r="K1098" s="19"/>
      <c r="L1098" s="19"/>
      <c r="M1098" s="19"/>
      <c r="N1098" s="20" t="s">
        <v>39</v>
      </c>
      <c r="O1098" s="19"/>
      <c r="P1098" s="19"/>
      <c r="Q1098" s="19"/>
      <c r="R1098" s="19"/>
      <c r="S1098" s="19"/>
      <c r="T1098" s="19"/>
      <c r="U1098" s="19"/>
      <c r="V1098" s="19"/>
    </row>
    <row r="1099">
      <c r="A1099" s="25"/>
      <c r="B1099" s="19"/>
      <c r="C1099" s="19"/>
      <c r="D1099" s="19"/>
      <c r="E1099" s="19"/>
      <c r="F1099" s="17" t="str">
        <f>IFERROR(__xludf.DUMMYFUNCTION("""COMPUTED_VALUE"""),"")</f>
        <v/>
      </c>
      <c r="G1099" s="20"/>
      <c r="H1099" s="19"/>
      <c r="I1099" s="19"/>
      <c r="J1099" s="19"/>
      <c r="K1099" s="19"/>
      <c r="L1099" s="19"/>
      <c r="M1099" s="19"/>
      <c r="N1099" s="20" t="s">
        <v>39</v>
      </c>
      <c r="O1099" s="19"/>
      <c r="P1099" s="19"/>
      <c r="Q1099" s="19"/>
      <c r="R1099" s="19"/>
      <c r="S1099" s="19"/>
      <c r="T1099" s="19"/>
      <c r="U1099" s="19"/>
      <c r="V1099" s="19"/>
    </row>
    <row r="1100">
      <c r="A1100" s="25"/>
      <c r="B1100" s="19"/>
      <c r="C1100" s="19"/>
      <c r="D1100" s="19"/>
      <c r="E1100" s="19"/>
      <c r="F1100" s="17" t="str">
        <f>IFERROR(__xludf.DUMMYFUNCTION("""COMPUTED_VALUE"""),"")</f>
        <v/>
      </c>
      <c r="G1100" s="20"/>
      <c r="H1100" s="19"/>
      <c r="I1100" s="19"/>
      <c r="J1100" s="19"/>
      <c r="K1100" s="19"/>
      <c r="L1100" s="19"/>
      <c r="M1100" s="19"/>
      <c r="N1100" s="20" t="s">
        <v>39</v>
      </c>
      <c r="O1100" s="19"/>
      <c r="P1100" s="19"/>
      <c r="Q1100" s="19"/>
      <c r="R1100" s="19"/>
      <c r="S1100" s="19"/>
      <c r="T1100" s="19"/>
      <c r="U1100" s="19"/>
      <c r="V1100" s="19"/>
    </row>
    <row r="1101">
      <c r="A1101" s="25"/>
      <c r="B1101" s="19"/>
      <c r="C1101" s="19"/>
      <c r="D1101" s="19"/>
      <c r="E1101" s="19"/>
      <c r="F1101" s="17" t="str">
        <f>IFERROR(__xludf.DUMMYFUNCTION("""COMPUTED_VALUE"""),"")</f>
        <v/>
      </c>
      <c r="G1101" s="20"/>
      <c r="H1101" s="19"/>
      <c r="I1101" s="19"/>
      <c r="J1101" s="19"/>
      <c r="K1101" s="19"/>
      <c r="L1101" s="19"/>
      <c r="M1101" s="19"/>
      <c r="N1101" s="20" t="s">
        <v>39</v>
      </c>
      <c r="O1101" s="19"/>
      <c r="P1101" s="19"/>
      <c r="Q1101" s="19"/>
      <c r="R1101" s="19"/>
      <c r="S1101" s="19"/>
      <c r="T1101" s="19"/>
      <c r="U1101" s="19"/>
      <c r="V1101" s="19"/>
    </row>
    <row r="1102">
      <c r="A1102" s="25"/>
      <c r="B1102" s="19"/>
      <c r="C1102" s="19"/>
      <c r="D1102" s="19"/>
      <c r="E1102" s="19"/>
      <c r="F1102" s="17" t="str">
        <f>IFERROR(__xludf.DUMMYFUNCTION("""COMPUTED_VALUE"""),"")</f>
        <v/>
      </c>
      <c r="G1102" s="20"/>
      <c r="H1102" s="19"/>
      <c r="I1102" s="19"/>
      <c r="J1102" s="19"/>
      <c r="K1102" s="19"/>
      <c r="L1102" s="19"/>
      <c r="M1102" s="19"/>
      <c r="N1102" s="20" t="s">
        <v>39</v>
      </c>
      <c r="O1102" s="19"/>
      <c r="P1102" s="19"/>
      <c r="Q1102" s="19"/>
      <c r="R1102" s="19"/>
      <c r="S1102" s="19"/>
      <c r="T1102" s="19"/>
      <c r="U1102" s="19"/>
      <c r="V1102" s="19"/>
    </row>
    <row r="1103">
      <c r="A1103" s="25"/>
      <c r="B1103" s="19"/>
      <c r="C1103" s="19"/>
      <c r="D1103" s="19"/>
      <c r="E1103" s="19"/>
      <c r="F1103" s="17" t="str">
        <f>IFERROR(__xludf.DUMMYFUNCTION("""COMPUTED_VALUE"""),"")</f>
        <v/>
      </c>
      <c r="G1103" s="20"/>
      <c r="H1103" s="19"/>
      <c r="I1103" s="19"/>
      <c r="J1103" s="19"/>
      <c r="K1103" s="19"/>
      <c r="L1103" s="19"/>
      <c r="M1103" s="19"/>
      <c r="N1103" s="20" t="s">
        <v>39</v>
      </c>
      <c r="O1103" s="19"/>
      <c r="P1103" s="19"/>
      <c r="Q1103" s="19"/>
      <c r="R1103" s="19"/>
      <c r="S1103" s="19"/>
      <c r="T1103" s="19"/>
      <c r="U1103" s="19"/>
      <c r="V1103" s="19"/>
    </row>
    <row r="1104">
      <c r="A1104" s="25"/>
      <c r="B1104" s="19"/>
      <c r="C1104" s="19"/>
      <c r="D1104" s="19"/>
      <c r="E1104" s="19"/>
      <c r="F1104" s="17" t="str">
        <f>IFERROR(__xludf.DUMMYFUNCTION("""COMPUTED_VALUE"""),"")</f>
        <v/>
      </c>
      <c r="G1104" s="20"/>
      <c r="H1104" s="19"/>
      <c r="I1104" s="19"/>
      <c r="J1104" s="19"/>
      <c r="K1104" s="19"/>
      <c r="L1104" s="19"/>
      <c r="M1104" s="19"/>
      <c r="N1104" s="20" t="s">
        <v>39</v>
      </c>
      <c r="O1104" s="19"/>
      <c r="P1104" s="19"/>
      <c r="Q1104" s="19"/>
      <c r="R1104" s="19"/>
      <c r="S1104" s="19"/>
      <c r="T1104" s="19"/>
      <c r="U1104" s="19"/>
      <c r="V1104" s="19"/>
    </row>
    <row r="1105">
      <c r="A1105" s="25"/>
      <c r="B1105" s="19"/>
      <c r="C1105" s="19"/>
      <c r="D1105" s="19"/>
      <c r="E1105" s="19"/>
      <c r="F1105" s="17" t="str">
        <f>IFERROR(__xludf.DUMMYFUNCTION("""COMPUTED_VALUE"""),"")</f>
        <v/>
      </c>
      <c r="G1105" s="20"/>
      <c r="H1105" s="19"/>
      <c r="I1105" s="19"/>
      <c r="J1105" s="19"/>
      <c r="K1105" s="19"/>
      <c r="L1105" s="19"/>
      <c r="M1105" s="19"/>
      <c r="N1105" s="20" t="s">
        <v>39</v>
      </c>
      <c r="O1105" s="19"/>
      <c r="P1105" s="19"/>
      <c r="Q1105" s="19"/>
      <c r="R1105" s="19"/>
      <c r="S1105" s="19"/>
      <c r="T1105" s="19"/>
      <c r="U1105" s="19"/>
      <c r="V1105" s="19"/>
    </row>
    <row r="1106">
      <c r="A1106" s="25"/>
      <c r="B1106" s="19"/>
      <c r="C1106" s="19"/>
      <c r="D1106" s="19"/>
      <c r="E1106" s="19"/>
      <c r="F1106" s="17" t="str">
        <f>IFERROR(__xludf.DUMMYFUNCTION("""COMPUTED_VALUE"""),"")</f>
        <v/>
      </c>
      <c r="G1106" s="20"/>
      <c r="H1106" s="19"/>
      <c r="I1106" s="19"/>
      <c r="J1106" s="19"/>
      <c r="K1106" s="19"/>
      <c r="L1106" s="19"/>
      <c r="M1106" s="19"/>
      <c r="N1106" s="20" t="s">
        <v>39</v>
      </c>
      <c r="O1106" s="19"/>
      <c r="P1106" s="19"/>
      <c r="Q1106" s="19"/>
      <c r="R1106" s="19"/>
      <c r="S1106" s="19"/>
      <c r="T1106" s="19"/>
      <c r="U1106" s="19"/>
      <c r="V1106" s="19"/>
    </row>
    <row r="1107">
      <c r="A1107" s="25"/>
      <c r="B1107" s="19"/>
      <c r="C1107" s="19"/>
      <c r="D1107" s="19"/>
      <c r="E1107" s="19"/>
      <c r="F1107" s="17" t="str">
        <f>IFERROR(__xludf.DUMMYFUNCTION("""COMPUTED_VALUE"""),"")</f>
        <v/>
      </c>
      <c r="G1107" s="20"/>
      <c r="H1107" s="19"/>
      <c r="I1107" s="19"/>
      <c r="J1107" s="19"/>
      <c r="K1107" s="19"/>
      <c r="L1107" s="19"/>
      <c r="M1107" s="19"/>
      <c r="N1107" s="20" t="s">
        <v>39</v>
      </c>
      <c r="O1107" s="19"/>
      <c r="P1107" s="19"/>
      <c r="Q1107" s="19"/>
      <c r="R1107" s="19"/>
      <c r="S1107" s="19"/>
      <c r="T1107" s="19"/>
      <c r="U1107" s="19"/>
      <c r="V1107" s="19"/>
    </row>
    <row r="1108">
      <c r="A1108" s="25"/>
      <c r="B1108" s="19"/>
      <c r="C1108" s="19"/>
      <c r="D1108" s="19"/>
      <c r="E1108" s="19"/>
      <c r="F1108" s="17" t="str">
        <f>IFERROR(__xludf.DUMMYFUNCTION("""COMPUTED_VALUE"""),"")</f>
        <v/>
      </c>
      <c r="G1108" s="20"/>
      <c r="H1108" s="19"/>
      <c r="I1108" s="19"/>
      <c r="J1108" s="19"/>
      <c r="K1108" s="19"/>
      <c r="L1108" s="19"/>
      <c r="M1108" s="19"/>
      <c r="N1108" s="20" t="s">
        <v>39</v>
      </c>
      <c r="O1108" s="19"/>
      <c r="P1108" s="19"/>
      <c r="Q1108" s="19"/>
      <c r="R1108" s="19"/>
      <c r="S1108" s="19"/>
      <c r="T1108" s="19"/>
      <c r="U1108" s="19"/>
      <c r="V1108" s="19"/>
    </row>
    <row r="1109">
      <c r="A1109" s="25"/>
      <c r="B1109" s="19"/>
      <c r="C1109" s="19"/>
      <c r="D1109" s="19"/>
      <c r="E1109" s="19"/>
      <c r="F1109" s="17" t="str">
        <f>IFERROR(__xludf.DUMMYFUNCTION("""COMPUTED_VALUE"""),"")</f>
        <v/>
      </c>
      <c r="G1109" s="20"/>
      <c r="H1109" s="19"/>
      <c r="I1109" s="19"/>
      <c r="J1109" s="19"/>
      <c r="K1109" s="19"/>
      <c r="L1109" s="19"/>
      <c r="M1109" s="19"/>
      <c r="N1109" s="20" t="s">
        <v>39</v>
      </c>
      <c r="O1109" s="19"/>
      <c r="P1109" s="19"/>
      <c r="Q1109" s="19"/>
      <c r="R1109" s="19"/>
      <c r="S1109" s="19"/>
      <c r="T1109" s="19"/>
      <c r="U1109" s="19"/>
      <c r="V1109" s="19"/>
    </row>
    <row r="1110">
      <c r="A1110" s="25"/>
      <c r="B1110" s="19"/>
      <c r="C1110" s="19"/>
      <c r="D1110" s="19"/>
      <c r="E1110" s="19"/>
      <c r="F1110" s="17" t="str">
        <f>IFERROR(__xludf.DUMMYFUNCTION("""COMPUTED_VALUE"""),"")</f>
        <v/>
      </c>
      <c r="G1110" s="20"/>
      <c r="H1110" s="19"/>
      <c r="I1110" s="19"/>
      <c r="J1110" s="19"/>
      <c r="K1110" s="19"/>
      <c r="L1110" s="19"/>
      <c r="M1110" s="19"/>
      <c r="N1110" s="20" t="s">
        <v>39</v>
      </c>
      <c r="O1110" s="19"/>
      <c r="P1110" s="19"/>
      <c r="Q1110" s="19"/>
      <c r="R1110" s="19"/>
      <c r="S1110" s="19"/>
      <c r="T1110" s="19"/>
      <c r="U1110" s="19"/>
      <c r="V1110" s="19"/>
    </row>
    <row r="1111">
      <c r="A1111" s="25"/>
      <c r="B1111" s="19"/>
      <c r="C1111" s="19"/>
      <c r="D1111" s="19"/>
      <c r="E1111" s="19"/>
      <c r="F1111" s="17" t="str">
        <f>IFERROR(__xludf.DUMMYFUNCTION("""COMPUTED_VALUE"""),"")</f>
        <v/>
      </c>
      <c r="G1111" s="20"/>
      <c r="H1111" s="19"/>
      <c r="I1111" s="19"/>
      <c r="J1111" s="19"/>
      <c r="K1111" s="19"/>
      <c r="L1111" s="19"/>
      <c r="M1111" s="19"/>
      <c r="N1111" s="20" t="s">
        <v>39</v>
      </c>
      <c r="O1111" s="19"/>
      <c r="P1111" s="19"/>
      <c r="Q1111" s="19"/>
      <c r="R1111" s="19"/>
      <c r="S1111" s="19"/>
      <c r="T1111" s="19"/>
      <c r="U1111" s="19"/>
      <c r="V1111" s="19"/>
    </row>
    <row r="1112">
      <c r="A1112" s="25"/>
      <c r="B1112" s="19"/>
      <c r="C1112" s="19"/>
      <c r="D1112" s="19"/>
      <c r="E1112" s="19"/>
      <c r="F1112" s="17" t="str">
        <f>IFERROR(__xludf.DUMMYFUNCTION("""COMPUTED_VALUE"""),"")</f>
        <v/>
      </c>
      <c r="G1112" s="20"/>
      <c r="H1112" s="19"/>
      <c r="I1112" s="19"/>
      <c r="J1112" s="19"/>
      <c r="K1112" s="19"/>
      <c r="L1112" s="19"/>
      <c r="M1112" s="19"/>
      <c r="N1112" s="20" t="s">
        <v>39</v>
      </c>
      <c r="O1112" s="19"/>
      <c r="P1112" s="19"/>
      <c r="Q1112" s="19"/>
      <c r="R1112" s="19"/>
      <c r="S1112" s="19"/>
      <c r="T1112" s="19"/>
      <c r="U1112" s="19"/>
      <c r="V1112" s="19"/>
    </row>
    <row r="1113">
      <c r="A1113" s="25"/>
      <c r="B1113" s="19"/>
      <c r="C1113" s="19"/>
      <c r="D1113" s="19"/>
      <c r="E1113" s="19"/>
      <c r="F1113" s="17" t="str">
        <f>IFERROR(__xludf.DUMMYFUNCTION("""COMPUTED_VALUE"""),"")</f>
        <v/>
      </c>
      <c r="G1113" s="20"/>
      <c r="H1113" s="19"/>
      <c r="I1113" s="19"/>
      <c r="J1113" s="19"/>
      <c r="K1113" s="19"/>
      <c r="L1113" s="19"/>
      <c r="M1113" s="19"/>
      <c r="N1113" s="20" t="s">
        <v>39</v>
      </c>
      <c r="O1113" s="19"/>
      <c r="P1113" s="19"/>
      <c r="Q1113" s="19"/>
      <c r="R1113" s="19"/>
      <c r="S1113" s="19"/>
      <c r="T1113" s="19"/>
      <c r="U1113" s="19"/>
      <c r="V1113" s="19"/>
    </row>
    <row r="1114">
      <c r="A1114" s="25"/>
      <c r="B1114" s="19"/>
      <c r="C1114" s="19"/>
      <c r="D1114" s="19"/>
      <c r="E1114" s="19"/>
      <c r="F1114" s="17" t="str">
        <f>IFERROR(__xludf.DUMMYFUNCTION("""COMPUTED_VALUE"""),"")</f>
        <v/>
      </c>
      <c r="G1114" s="20"/>
      <c r="H1114" s="19"/>
      <c r="I1114" s="19"/>
      <c r="J1114" s="19"/>
      <c r="K1114" s="19"/>
      <c r="L1114" s="19"/>
      <c r="M1114" s="19"/>
      <c r="N1114" s="20" t="s">
        <v>39</v>
      </c>
      <c r="O1114" s="19"/>
      <c r="P1114" s="19"/>
      <c r="Q1114" s="19"/>
      <c r="R1114" s="19"/>
      <c r="S1114" s="19"/>
      <c r="T1114" s="19"/>
      <c r="U1114" s="19"/>
      <c r="V1114" s="19"/>
    </row>
    <row r="1115">
      <c r="A1115" s="25"/>
      <c r="B1115" s="19"/>
      <c r="C1115" s="19"/>
      <c r="D1115" s="19"/>
      <c r="E1115" s="19"/>
      <c r="F1115" s="17" t="str">
        <f>IFERROR(__xludf.DUMMYFUNCTION("""COMPUTED_VALUE"""),"")</f>
        <v/>
      </c>
      <c r="G1115" s="20"/>
      <c r="H1115" s="19"/>
      <c r="I1115" s="19"/>
      <c r="J1115" s="19"/>
      <c r="K1115" s="19"/>
      <c r="L1115" s="19"/>
      <c r="M1115" s="19"/>
      <c r="N1115" s="20" t="s">
        <v>39</v>
      </c>
      <c r="O1115" s="19"/>
      <c r="P1115" s="19"/>
      <c r="Q1115" s="19"/>
      <c r="R1115" s="19"/>
      <c r="S1115" s="19"/>
      <c r="T1115" s="19"/>
      <c r="U1115" s="19"/>
      <c r="V1115" s="19"/>
    </row>
    <row r="1116">
      <c r="A1116" s="25"/>
      <c r="B1116" s="19"/>
      <c r="C1116" s="19"/>
      <c r="D1116" s="19"/>
      <c r="E1116" s="19"/>
      <c r="F1116" s="17" t="str">
        <f>IFERROR(__xludf.DUMMYFUNCTION("""COMPUTED_VALUE"""),"")</f>
        <v/>
      </c>
      <c r="G1116" s="20"/>
      <c r="H1116" s="19"/>
      <c r="I1116" s="19"/>
      <c r="J1116" s="19"/>
      <c r="K1116" s="19"/>
      <c r="L1116" s="19"/>
      <c r="M1116" s="19"/>
      <c r="N1116" s="20" t="s">
        <v>39</v>
      </c>
      <c r="O1116" s="19"/>
      <c r="P1116" s="19"/>
      <c r="Q1116" s="19"/>
      <c r="R1116" s="19"/>
      <c r="S1116" s="19"/>
      <c r="T1116" s="19"/>
      <c r="U1116" s="19"/>
      <c r="V1116" s="19"/>
    </row>
    <row r="1117">
      <c r="A1117" s="25"/>
      <c r="B1117" s="19"/>
      <c r="C1117" s="19"/>
      <c r="D1117" s="19"/>
      <c r="E1117" s="19"/>
      <c r="F1117" s="17" t="str">
        <f>IFERROR(__xludf.DUMMYFUNCTION("""COMPUTED_VALUE"""),"")</f>
        <v/>
      </c>
      <c r="G1117" s="20"/>
      <c r="H1117" s="19"/>
      <c r="I1117" s="19"/>
      <c r="J1117" s="19"/>
      <c r="K1117" s="19"/>
      <c r="L1117" s="19"/>
      <c r="M1117" s="19"/>
      <c r="N1117" s="20" t="s">
        <v>39</v>
      </c>
      <c r="O1117" s="19"/>
      <c r="P1117" s="19"/>
      <c r="Q1117" s="19"/>
      <c r="R1117" s="19"/>
      <c r="S1117" s="19"/>
      <c r="T1117" s="19"/>
      <c r="U1117" s="19"/>
      <c r="V1117" s="19"/>
    </row>
    <row r="1118">
      <c r="A1118" s="25"/>
      <c r="B1118" s="19"/>
      <c r="C1118" s="19"/>
      <c r="D1118" s="19"/>
      <c r="E1118" s="19"/>
      <c r="F1118" s="17" t="str">
        <f>IFERROR(__xludf.DUMMYFUNCTION("""COMPUTED_VALUE"""),"")</f>
        <v/>
      </c>
      <c r="G1118" s="20"/>
      <c r="H1118" s="19"/>
      <c r="I1118" s="19"/>
      <c r="J1118" s="19"/>
      <c r="K1118" s="19"/>
      <c r="L1118" s="19"/>
      <c r="M1118" s="19"/>
      <c r="N1118" s="20" t="s">
        <v>39</v>
      </c>
      <c r="O1118" s="19"/>
      <c r="P1118" s="19"/>
      <c r="Q1118" s="19"/>
      <c r="R1118" s="19"/>
      <c r="S1118" s="19"/>
      <c r="T1118" s="19"/>
      <c r="U1118" s="19"/>
      <c r="V1118" s="19"/>
    </row>
    <row r="1119">
      <c r="A1119" s="25"/>
      <c r="B1119" s="19"/>
      <c r="C1119" s="19"/>
      <c r="D1119" s="19"/>
      <c r="E1119" s="19"/>
      <c r="F1119" s="17" t="str">
        <f>IFERROR(__xludf.DUMMYFUNCTION("""COMPUTED_VALUE"""),"")</f>
        <v/>
      </c>
      <c r="G1119" s="20"/>
      <c r="H1119" s="19"/>
      <c r="I1119" s="19"/>
      <c r="J1119" s="19"/>
      <c r="K1119" s="19"/>
      <c r="L1119" s="19"/>
      <c r="M1119" s="19"/>
      <c r="N1119" s="20" t="s">
        <v>39</v>
      </c>
      <c r="O1119" s="19"/>
      <c r="P1119" s="19"/>
      <c r="Q1119" s="19"/>
      <c r="R1119" s="19"/>
      <c r="S1119" s="19"/>
      <c r="T1119" s="19"/>
      <c r="U1119" s="19"/>
      <c r="V1119" s="19"/>
    </row>
    <row r="1120">
      <c r="A1120" s="25"/>
      <c r="B1120" s="19"/>
      <c r="C1120" s="19"/>
      <c r="D1120" s="19"/>
      <c r="E1120" s="19"/>
      <c r="F1120" s="17" t="str">
        <f>IFERROR(__xludf.DUMMYFUNCTION("""COMPUTED_VALUE"""),"")</f>
        <v/>
      </c>
      <c r="G1120" s="20"/>
      <c r="H1120" s="19"/>
      <c r="I1120" s="19"/>
      <c r="J1120" s="19"/>
      <c r="K1120" s="19"/>
      <c r="L1120" s="19"/>
      <c r="M1120" s="19"/>
      <c r="N1120" s="20" t="s">
        <v>39</v>
      </c>
      <c r="O1120" s="19"/>
      <c r="P1120" s="19"/>
      <c r="Q1120" s="19"/>
      <c r="R1120" s="19"/>
      <c r="S1120" s="19"/>
      <c r="T1120" s="19"/>
      <c r="U1120" s="19"/>
      <c r="V1120" s="19"/>
    </row>
    <row r="1121">
      <c r="A1121" s="25"/>
      <c r="B1121" s="19"/>
      <c r="C1121" s="19"/>
      <c r="D1121" s="19"/>
      <c r="E1121" s="19"/>
      <c r="F1121" s="17" t="str">
        <f>IFERROR(__xludf.DUMMYFUNCTION("""COMPUTED_VALUE"""),"")</f>
        <v/>
      </c>
      <c r="G1121" s="20"/>
      <c r="H1121" s="19"/>
      <c r="I1121" s="19"/>
      <c r="J1121" s="19"/>
      <c r="K1121" s="19"/>
      <c r="L1121" s="19"/>
      <c r="M1121" s="19"/>
      <c r="N1121" s="20" t="s">
        <v>39</v>
      </c>
      <c r="O1121" s="19"/>
      <c r="P1121" s="19"/>
      <c r="Q1121" s="19"/>
      <c r="R1121" s="19"/>
      <c r="S1121" s="19"/>
      <c r="T1121" s="19"/>
      <c r="U1121" s="19"/>
      <c r="V1121" s="19"/>
    </row>
    <row r="1122">
      <c r="A1122" s="25"/>
      <c r="B1122" s="19"/>
      <c r="C1122" s="19"/>
      <c r="D1122" s="19"/>
      <c r="E1122" s="19"/>
      <c r="F1122" s="17" t="str">
        <f>IFERROR(__xludf.DUMMYFUNCTION("""COMPUTED_VALUE"""),"")</f>
        <v/>
      </c>
      <c r="G1122" s="20"/>
      <c r="H1122" s="19"/>
      <c r="I1122" s="19"/>
      <c r="J1122" s="19"/>
      <c r="K1122" s="19"/>
      <c r="L1122" s="19"/>
      <c r="M1122" s="19"/>
      <c r="N1122" s="20" t="s">
        <v>39</v>
      </c>
      <c r="O1122" s="19"/>
      <c r="P1122" s="19"/>
      <c r="Q1122" s="19"/>
      <c r="R1122" s="19"/>
      <c r="S1122" s="19"/>
      <c r="T1122" s="19"/>
      <c r="U1122" s="19"/>
      <c r="V1122" s="19"/>
    </row>
    <row r="1123">
      <c r="A1123" s="25"/>
      <c r="B1123" s="19"/>
      <c r="C1123" s="19"/>
      <c r="D1123" s="19"/>
      <c r="E1123" s="19"/>
      <c r="F1123" s="17" t="str">
        <f>IFERROR(__xludf.DUMMYFUNCTION("""COMPUTED_VALUE"""),"")</f>
        <v/>
      </c>
      <c r="G1123" s="20"/>
      <c r="H1123" s="19"/>
      <c r="I1123" s="19"/>
      <c r="J1123" s="19"/>
      <c r="K1123" s="19"/>
      <c r="L1123" s="19"/>
      <c r="M1123" s="19"/>
      <c r="N1123" s="20" t="s">
        <v>39</v>
      </c>
      <c r="O1123" s="19"/>
      <c r="P1123" s="19"/>
      <c r="Q1123" s="19"/>
      <c r="R1123" s="19"/>
      <c r="S1123" s="19"/>
      <c r="T1123" s="19"/>
      <c r="U1123" s="19"/>
      <c r="V1123" s="19"/>
    </row>
    <row r="1124">
      <c r="A1124" s="25"/>
      <c r="B1124" s="19"/>
      <c r="C1124" s="19"/>
      <c r="D1124" s="19"/>
      <c r="E1124" s="19"/>
      <c r="F1124" s="17" t="str">
        <f>IFERROR(__xludf.DUMMYFUNCTION("""COMPUTED_VALUE"""),"")</f>
        <v/>
      </c>
      <c r="G1124" s="20"/>
      <c r="H1124" s="19"/>
      <c r="I1124" s="19"/>
      <c r="J1124" s="19"/>
      <c r="K1124" s="19"/>
      <c r="L1124" s="19"/>
      <c r="M1124" s="19"/>
      <c r="N1124" s="20" t="s">
        <v>39</v>
      </c>
      <c r="O1124" s="19"/>
      <c r="P1124" s="19"/>
      <c r="Q1124" s="19"/>
      <c r="R1124" s="19"/>
      <c r="S1124" s="19"/>
      <c r="T1124" s="19"/>
      <c r="U1124" s="19"/>
      <c r="V1124" s="19"/>
    </row>
    <row r="1125">
      <c r="A1125" s="25"/>
      <c r="B1125" s="19"/>
      <c r="C1125" s="19"/>
      <c r="D1125" s="19"/>
      <c r="E1125" s="19"/>
      <c r="F1125" s="17" t="str">
        <f>IFERROR(__xludf.DUMMYFUNCTION("""COMPUTED_VALUE"""),"")</f>
        <v/>
      </c>
      <c r="G1125" s="20"/>
      <c r="H1125" s="19"/>
      <c r="I1125" s="19"/>
      <c r="J1125" s="19"/>
      <c r="K1125" s="19"/>
      <c r="L1125" s="19"/>
      <c r="M1125" s="19"/>
      <c r="N1125" s="20" t="s">
        <v>39</v>
      </c>
      <c r="O1125" s="19"/>
      <c r="P1125" s="19"/>
      <c r="Q1125" s="19"/>
      <c r="R1125" s="19"/>
      <c r="S1125" s="19"/>
      <c r="T1125" s="19"/>
      <c r="U1125" s="19"/>
      <c r="V1125" s="19"/>
    </row>
    <row r="1126">
      <c r="A1126" s="25"/>
      <c r="B1126" s="19"/>
      <c r="C1126" s="19"/>
      <c r="D1126" s="19"/>
      <c r="E1126" s="19"/>
      <c r="F1126" s="17" t="str">
        <f>IFERROR(__xludf.DUMMYFUNCTION("""COMPUTED_VALUE"""),"")</f>
        <v/>
      </c>
      <c r="G1126" s="20"/>
      <c r="H1126" s="19"/>
      <c r="I1126" s="19"/>
      <c r="J1126" s="19"/>
      <c r="K1126" s="19"/>
      <c r="L1126" s="19"/>
      <c r="M1126" s="19"/>
      <c r="N1126" s="20" t="s">
        <v>39</v>
      </c>
      <c r="O1126" s="19"/>
      <c r="P1126" s="19"/>
      <c r="Q1126" s="19"/>
      <c r="R1126" s="19"/>
      <c r="S1126" s="19"/>
      <c r="T1126" s="19"/>
      <c r="U1126" s="19"/>
      <c r="V1126" s="19"/>
    </row>
    <row r="1127">
      <c r="A1127" s="25"/>
      <c r="B1127" s="19"/>
      <c r="C1127" s="19"/>
      <c r="D1127" s="19"/>
      <c r="E1127" s="19"/>
      <c r="F1127" s="17" t="str">
        <f>IFERROR(__xludf.DUMMYFUNCTION("""COMPUTED_VALUE"""),"")</f>
        <v/>
      </c>
      <c r="G1127" s="20"/>
      <c r="H1127" s="19"/>
      <c r="I1127" s="19"/>
      <c r="J1127" s="19"/>
      <c r="K1127" s="19"/>
      <c r="L1127" s="19"/>
      <c r="M1127" s="19"/>
      <c r="N1127" s="20" t="s">
        <v>39</v>
      </c>
      <c r="O1127" s="19"/>
      <c r="P1127" s="19"/>
      <c r="Q1127" s="19"/>
      <c r="R1127" s="19"/>
      <c r="S1127" s="19"/>
      <c r="T1127" s="19"/>
      <c r="U1127" s="19"/>
      <c r="V1127" s="19"/>
    </row>
    <row r="1128">
      <c r="A1128" s="25"/>
      <c r="B1128" s="19"/>
      <c r="C1128" s="19"/>
      <c r="D1128" s="19"/>
      <c r="E1128" s="19"/>
      <c r="F1128" s="17" t="str">
        <f>IFERROR(__xludf.DUMMYFUNCTION("""COMPUTED_VALUE"""),"")</f>
        <v/>
      </c>
      <c r="G1128" s="20"/>
      <c r="H1128" s="19"/>
      <c r="I1128" s="19"/>
      <c r="J1128" s="19"/>
      <c r="K1128" s="19"/>
      <c r="L1128" s="19"/>
      <c r="M1128" s="19"/>
      <c r="N1128" s="20" t="s">
        <v>39</v>
      </c>
      <c r="O1128" s="19"/>
      <c r="P1128" s="19"/>
      <c r="Q1128" s="19"/>
      <c r="R1128" s="19"/>
      <c r="S1128" s="19"/>
      <c r="T1128" s="19"/>
      <c r="U1128" s="19"/>
      <c r="V1128" s="19"/>
    </row>
    <row r="1129">
      <c r="A1129" s="25"/>
      <c r="B1129" s="19"/>
      <c r="C1129" s="19"/>
      <c r="D1129" s="19"/>
      <c r="E1129" s="19"/>
      <c r="F1129" s="17" t="str">
        <f>IFERROR(__xludf.DUMMYFUNCTION("""COMPUTED_VALUE"""),"")</f>
        <v/>
      </c>
      <c r="G1129" s="20"/>
      <c r="H1129" s="19"/>
      <c r="I1129" s="19"/>
      <c r="J1129" s="19"/>
      <c r="K1129" s="19"/>
      <c r="L1129" s="19"/>
      <c r="M1129" s="19"/>
      <c r="N1129" s="20" t="s">
        <v>39</v>
      </c>
      <c r="O1129" s="19"/>
      <c r="P1129" s="19"/>
      <c r="Q1129" s="19"/>
      <c r="R1129" s="19"/>
      <c r="S1129" s="19"/>
      <c r="T1129" s="19"/>
      <c r="U1129" s="19"/>
      <c r="V1129" s="19"/>
    </row>
    <row r="1130">
      <c r="A1130" s="25"/>
      <c r="B1130" s="19"/>
      <c r="C1130" s="19"/>
      <c r="D1130" s="19"/>
      <c r="E1130" s="19"/>
      <c r="F1130" s="17" t="str">
        <f>IFERROR(__xludf.DUMMYFUNCTION("""COMPUTED_VALUE"""),"")</f>
        <v/>
      </c>
      <c r="G1130" s="20"/>
      <c r="H1130" s="19"/>
      <c r="I1130" s="19"/>
      <c r="J1130" s="19"/>
      <c r="K1130" s="19"/>
      <c r="L1130" s="19"/>
      <c r="M1130" s="19"/>
      <c r="N1130" s="20" t="s">
        <v>39</v>
      </c>
      <c r="O1130" s="19"/>
      <c r="P1130" s="19"/>
      <c r="Q1130" s="19"/>
      <c r="R1130" s="19"/>
      <c r="S1130" s="19"/>
      <c r="T1130" s="19"/>
      <c r="U1130" s="19"/>
      <c r="V1130" s="19"/>
    </row>
    <row r="1131">
      <c r="A1131" s="25"/>
      <c r="B1131" s="19"/>
      <c r="C1131" s="19"/>
      <c r="D1131" s="19"/>
      <c r="E1131" s="19"/>
      <c r="F1131" s="17" t="str">
        <f>IFERROR(__xludf.DUMMYFUNCTION("""COMPUTED_VALUE"""),"")</f>
        <v/>
      </c>
      <c r="G1131" s="20"/>
      <c r="H1131" s="19"/>
      <c r="I1131" s="19"/>
      <c r="J1131" s="19"/>
      <c r="K1131" s="19"/>
      <c r="L1131" s="19"/>
      <c r="M1131" s="19"/>
      <c r="N1131" s="20" t="s">
        <v>39</v>
      </c>
      <c r="O1131" s="19"/>
      <c r="P1131" s="19"/>
      <c r="Q1131" s="19"/>
      <c r="R1131" s="19"/>
      <c r="S1131" s="19"/>
      <c r="T1131" s="19"/>
      <c r="U1131" s="19"/>
      <c r="V1131" s="19"/>
    </row>
    <row r="1132">
      <c r="A1132" s="25"/>
      <c r="B1132" s="19"/>
      <c r="C1132" s="19"/>
      <c r="D1132" s="19"/>
      <c r="E1132" s="19"/>
      <c r="F1132" s="17" t="str">
        <f>IFERROR(__xludf.DUMMYFUNCTION("""COMPUTED_VALUE"""),"")</f>
        <v/>
      </c>
      <c r="G1132" s="20"/>
      <c r="H1132" s="19"/>
      <c r="I1132" s="19"/>
      <c r="J1132" s="19"/>
      <c r="K1132" s="19"/>
      <c r="L1132" s="19"/>
      <c r="M1132" s="19"/>
      <c r="N1132" s="20" t="s">
        <v>39</v>
      </c>
      <c r="O1132" s="19"/>
      <c r="P1132" s="19"/>
      <c r="Q1132" s="19"/>
      <c r="R1132" s="19"/>
      <c r="S1132" s="19"/>
      <c r="T1132" s="19"/>
      <c r="U1132" s="19"/>
      <c r="V1132" s="19"/>
    </row>
    <row r="1133">
      <c r="A1133" s="25"/>
      <c r="B1133" s="19"/>
      <c r="C1133" s="19"/>
      <c r="D1133" s="19"/>
      <c r="E1133" s="19"/>
      <c r="F1133" s="17" t="str">
        <f>IFERROR(__xludf.DUMMYFUNCTION("""COMPUTED_VALUE"""),"")</f>
        <v/>
      </c>
      <c r="G1133" s="20"/>
      <c r="H1133" s="19"/>
      <c r="I1133" s="19"/>
      <c r="J1133" s="19"/>
      <c r="K1133" s="19"/>
      <c r="L1133" s="19"/>
      <c r="M1133" s="19"/>
      <c r="N1133" s="20" t="s">
        <v>39</v>
      </c>
      <c r="O1133" s="19"/>
      <c r="P1133" s="19"/>
      <c r="Q1133" s="19"/>
      <c r="R1133" s="19"/>
      <c r="S1133" s="19"/>
      <c r="T1133" s="19"/>
      <c r="U1133" s="19"/>
      <c r="V1133" s="19"/>
    </row>
    <row r="1134">
      <c r="A1134" s="25"/>
      <c r="B1134" s="19"/>
      <c r="C1134" s="19"/>
      <c r="D1134" s="19"/>
      <c r="E1134" s="19"/>
      <c r="F1134" s="17" t="str">
        <f>IFERROR(__xludf.DUMMYFUNCTION("""COMPUTED_VALUE"""),"")</f>
        <v/>
      </c>
      <c r="G1134" s="20"/>
      <c r="H1134" s="19"/>
      <c r="I1134" s="19"/>
      <c r="J1134" s="19"/>
      <c r="K1134" s="19"/>
      <c r="L1134" s="19"/>
      <c r="M1134" s="19"/>
      <c r="N1134" s="20" t="s">
        <v>39</v>
      </c>
      <c r="O1134" s="19"/>
      <c r="P1134" s="19"/>
      <c r="Q1134" s="19"/>
      <c r="R1134" s="19"/>
      <c r="S1134" s="19"/>
      <c r="T1134" s="19"/>
      <c r="U1134" s="19"/>
      <c r="V1134" s="19"/>
    </row>
    <row r="1135">
      <c r="A1135" s="25"/>
      <c r="B1135" s="19"/>
      <c r="C1135" s="19"/>
      <c r="D1135" s="19"/>
      <c r="E1135" s="19"/>
      <c r="F1135" s="17" t="str">
        <f>IFERROR(__xludf.DUMMYFUNCTION("""COMPUTED_VALUE"""),"")</f>
        <v/>
      </c>
      <c r="G1135" s="20"/>
      <c r="H1135" s="19"/>
      <c r="I1135" s="19"/>
      <c r="J1135" s="19"/>
      <c r="K1135" s="19"/>
      <c r="L1135" s="19"/>
      <c r="M1135" s="19"/>
      <c r="N1135" s="20" t="s">
        <v>39</v>
      </c>
      <c r="O1135" s="19"/>
      <c r="P1135" s="19"/>
      <c r="Q1135" s="19"/>
      <c r="R1135" s="19"/>
      <c r="S1135" s="19"/>
      <c r="T1135" s="19"/>
      <c r="U1135" s="19"/>
      <c r="V1135" s="19"/>
    </row>
    <row r="1136">
      <c r="A1136" s="25"/>
      <c r="B1136" s="19"/>
      <c r="C1136" s="19"/>
      <c r="D1136" s="19"/>
      <c r="E1136" s="19"/>
      <c r="F1136" s="17" t="str">
        <f>IFERROR(__xludf.DUMMYFUNCTION("""COMPUTED_VALUE"""),"")</f>
        <v/>
      </c>
      <c r="G1136" s="20"/>
      <c r="H1136" s="19"/>
      <c r="I1136" s="19"/>
      <c r="J1136" s="19"/>
      <c r="K1136" s="19"/>
      <c r="L1136" s="19"/>
      <c r="M1136" s="19"/>
      <c r="N1136" s="20" t="s">
        <v>39</v>
      </c>
      <c r="O1136" s="19"/>
      <c r="P1136" s="19"/>
      <c r="Q1136" s="19"/>
      <c r="R1136" s="19"/>
      <c r="S1136" s="19"/>
      <c r="T1136" s="19"/>
      <c r="U1136" s="19"/>
      <c r="V1136" s="19"/>
    </row>
    <row r="1137">
      <c r="A1137" s="25"/>
      <c r="B1137" s="19"/>
      <c r="C1137" s="19"/>
      <c r="D1137" s="19"/>
      <c r="E1137" s="19"/>
      <c r="F1137" s="17" t="str">
        <f>IFERROR(__xludf.DUMMYFUNCTION("""COMPUTED_VALUE"""),"")</f>
        <v/>
      </c>
      <c r="G1137" s="20"/>
      <c r="H1137" s="19"/>
      <c r="I1137" s="19"/>
      <c r="J1137" s="19"/>
      <c r="K1137" s="19"/>
      <c r="L1137" s="19"/>
      <c r="M1137" s="19"/>
      <c r="N1137" s="20" t="s">
        <v>39</v>
      </c>
      <c r="O1137" s="19"/>
      <c r="P1137" s="19"/>
      <c r="Q1137" s="19"/>
      <c r="R1137" s="19"/>
      <c r="S1137" s="19"/>
      <c r="T1137" s="19"/>
      <c r="U1137" s="19"/>
      <c r="V1137" s="19"/>
    </row>
    <row r="1138">
      <c r="A1138" s="25"/>
      <c r="B1138" s="19"/>
      <c r="C1138" s="19"/>
      <c r="D1138" s="19"/>
      <c r="E1138" s="19"/>
      <c r="F1138" s="17" t="str">
        <f>IFERROR(__xludf.DUMMYFUNCTION("""COMPUTED_VALUE"""),"")</f>
        <v/>
      </c>
      <c r="G1138" s="20"/>
      <c r="H1138" s="19"/>
      <c r="I1138" s="19"/>
      <c r="J1138" s="19"/>
      <c r="K1138" s="19"/>
      <c r="L1138" s="19"/>
      <c r="M1138" s="19"/>
      <c r="N1138" s="20" t="s">
        <v>39</v>
      </c>
      <c r="O1138" s="19"/>
      <c r="P1138" s="19"/>
      <c r="Q1138" s="19"/>
      <c r="R1138" s="19"/>
      <c r="S1138" s="19"/>
      <c r="T1138" s="19"/>
      <c r="U1138" s="19"/>
      <c r="V1138" s="19"/>
    </row>
    <row r="1139">
      <c r="A1139" s="25"/>
      <c r="B1139" s="19"/>
      <c r="C1139" s="19"/>
      <c r="D1139" s="19"/>
      <c r="E1139" s="19"/>
      <c r="F1139" s="17" t="str">
        <f>IFERROR(__xludf.DUMMYFUNCTION("""COMPUTED_VALUE"""),"")</f>
        <v/>
      </c>
      <c r="G1139" s="20"/>
      <c r="H1139" s="19"/>
      <c r="I1139" s="19"/>
      <c r="J1139" s="19"/>
      <c r="K1139" s="19"/>
      <c r="L1139" s="19"/>
      <c r="M1139" s="19"/>
      <c r="N1139" s="20" t="s">
        <v>39</v>
      </c>
      <c r="O1139" s="19"/>
      <c r="P1139" s="19"/>
      <c r="Q1139" s="19"/>
      <c r="R1139" s="19"/>
      <c r="S1139" s="19"/>
      <c r="T1139" s="19"/>
      <c r="U1139" s="19"/>
      <c r="V1139" s="19"/>
    </row>
    <row r="1140">
      <c r="A1140" s="25"/>
      <c r="B1140" s="19"/>
      <c r="C1140" s="19"/>
      <c r="D1140" s="19"/>
      <c r="E1140" s="19"/>
      <c r="F1140" s="17" t="str">
        <f>IFERROR(__xludf.DUMMYFUNCTION("""COMPUTED_VALUE"""),"")</f>
        <v/>
      </c>
      <c r="G1140" s="20"/>
      <c r="H1140" s="19"/>
      <c r="I1140" s="19"/>
      <c r="J1140" s="19"/>
      <c r="K1140" s="19"/>
      <c r="L1140" s="19"/>
      <c r="M1140" s="19"/>
      <c r="N1140" s="20" t="s">
        <v>39</v>
      </c>
      <c r="O1140" s="19"/>
      <c r="P1140" s="19"/>
      <c r="Q1140" s="19"/>
      <c r="R1140" s="19"/>
      <c r="S1140" s="19"/>
      <c r="T1140" s="19"/>
      <c r="U1140" s="19"/>
      <c r="V1140" s="19"/>
    </row>
    <row r="1141">
      <c r="A1141" s="25"/>
      <c r="B1141" s="19"/>
      <c r="C1141" s="19"/>
      <c r="D1141" s="19"/>
      <c r="E1141" s="19"/>
      <c r="F1141" s="17" t="str">
        <f>IFERROR(__xludf.DUMMYFUNCTION("""COMPUTED_VALUE"""),"")</f>
        <v/>
      </c>
      <c r="G1141" s="20"/>
      <c r="H1141" s="19"/>
      <c r="I1141" s="19"/>
      <c r="J1141" s="19"/>
      <c r="K1141" s="19"/>
      <c r="L1141" s="19"/>
      <c r="M1141" s="19"/>
      <c r="N1141" s="20" t="s">
        <v>39</v>
      </c>
      <c r="O1141" s="19"/>
      <c r="P1141" s="19"/>
      <c r="Q1141" s="19"/>
      <c r="R1141" s="19"/>
      <c r="S1141" s="19"/>
      <c r="T1141" s="19"/>
      <c r="U1141" s="19"/>
      <c r="V1141" s="19"/>
    </row>
    <row r="1142">
      <c r="A1142" s="25"/>
      <c r="B1142" s="19"/>
      <c r="C1142" s="19"/>
      <c r="D1142" s="19"/>
      <c r="E1142" s="19"/>
      <c r="F1142" s="17" t="str">
        <f>IFERROR(__xludf.DUMMYFUNCTION("""COMPUTED_VALUE"""),"")</f>
        <v/>
      </c>
      <c r="G1142" s="20"/>
      <c r="H1142" s="19"/>
      <c r="I1142" s="19"/>
      <c r="J1142" s="19"/>
      <c r="K1142" s="19"/>
      <c r="L1142" s="19"/>
      <c r="M1142" s="19"/>
      <c r="N1142" s="20" t="s">
        <v>39</v>
      </c>
      <c r="O1142" s="19"/>
      <c r="P1142" s="19"/>
      <c r="Q1142" s="19"/>
      <c r="R1142" s="19"/>
      <c r="S1142" s="19"/>
      <c r="T1142" s="19"/>
      <c r="U1142" s="19"/>
      <c r="V1142" s="19"/>
    </row>
    <row r="1143">
      <c r="A1143" s="25"/>
      <c r="B1143" s="19"/>
      <c r="C1143" s="19"/>
      <c r="D1143" s="19"/>
      <c r="E1143" s="19"/>
      <c r="F1143" s="17" t="str">
        <f>IFERROR(__xludf.DUMMYFUNCTION("""COMPUTED_VALUE"""),"")</f>
        <v/>
      </c>
      <c r="G1143" s="20"/>
      <c r="H1143" s="19"/>
      <c r="I1143" s="19"/>
      <c r="J1143" s="19"/>
      <c r="K1143" s="19"/>
      <c r="L1143" s="19"/>
      <c r="M1143" s="19"/>
      <c r="N1143" s="20" t="s">
        <v>39</v>
      </c>
      <c r="O1143" s="19"/>
      <c r="P1143" s="19"/>
      <c r="Q1143" s="19"/>
      <c r="R1143" s="19"/>
      <c r="S1143" s="19"/>
      <c r="T1143" s="19"/>
      <c r="U1143" s="19"/>
      <c r="V1143" s="19"/>
    </row>
    <row r="1144">
      <c r="A1144" s="25"/>
      <c r="B1144" s="19"/>
      <c r="C1144" s="19"/>
      <c r="D1144" s="19"/>
      <c r="E1144" s="19"/>
      <c r="F1144" s="17" t="str">
        <f>IFERROR(__xludf.DUMMYFUNCTION("""COMPUTED_VALUE"""),"")</f>
        <v/>
      </c>
      <c r="G1144" s="20"/>
      <c r="H1144" s="19"/>
      <c r="I1144" s="19"/>
      <c r="J1144" s="19"/>
      <c r="K1144" s="19"/>
      <c r="L1144" s="19"/>
      <c r="M1144" s="19"/>
      <c r="N1144" s="20" t="s">
        <v>39</v>
      </c>
      <c r="O1144" s="19"/>
      <c r="P1144" s="19"/>
      <c r="Q1144" s="19"/>
      <c r="R1144" s="19"/>
      <c r="S1144" s="19"/>
      <c r="T1144" s="19"/>
      <c r="U1144" s="19"/>
      <c r="V1144" s="19"/>
    </row>
    <row r="1145">
      <c r="A1145" s="25"/>
      <c r="B1145" s="19"/>
      <c r="C1145" s="19"/>
      <c r="D1145" s="19"/>
      <c r="E1145" s="19"/>
      <c r="F1145" s="17" t="str">
        <f>IFERROR(__xludf.DUMMYFUNCTION("""COMPUTED_VALUE"""),"")</f>
        <v/>
      </c>
      <c r="G1145" s="20"/>
      <c r="H1145" s="19"/>
      <c r="I1145" s="19"/>
      <c r="J1145" s="19"/>
      <c r="K1145" s="19"/>
      <c r="L1145" s="19"/>
      <c r="M1145" s="19"/>
      <c r="N1145" s="20" t="s">
        <v>39</v>
      </c>
      <c r="O1145" s="19"/>
      <c r="P1145" s="19"/>
      <c r="Q1145" s="19"/>
      <c r="R1145" s="19"/>
      <c r="S1145" s="19"/>
      <c r="T1145" s="19"/>
      <c r="U1145" s="19"/>
      <c r="V1145" s="19"/>
    </row>
    <row r="1146">
      <c r="A1146" s="25"/>
      <c r="B1146" s="19"/>
      <c r="C1146" s="19"/>
      <c r="D1146" s="19"/>
      <c r="E1146" s="19"/>
      <c r="F1146" s="17" t="str">
        <f>IFERROR(__xludf.DUMMYFUNCTION("""COMPUTED_VALUE"""),"")</f>
        <v/>
      </c>
      <c r="G1146" s="20"/>
      <c r="H1146" s="19"/>
      <c r="I1146" s="19"/>
      <c r="J1146" s="19"/>
      <c r="K1146" s="19"/>
      <c r="L1146" s="19"/>
      <c r="M1146" s="19"/>
      <c r="N1146" s="20" t="s">
        <v>39</v>
      </c>
      <c r="O1146" s="19"/>
      <c r="P1146" s="19"/>
      <c r="Q1146" s="19"/>
      <c r="R1146" s="19"/>
      <c r="S1146" s="19"/>
      <c r="T1146" s="19"/>
      <c r="U1146" s="19"/>
      <c r="V1146" s="19"/>
    </row>
    <row r="1147">
      <c r="A1147" s="25"/>
      <c r="B1147" s="19"/>
      <c r="C1147" s="19"/>
      <c r="D1147" s="19"/>
      <c r="E1147" s="19"/>
      <c r="F1147" s="17" t="str">
        <f>IFERROR(__xludf.DUMMYFUNCTION("""COMPUTED_VALUE"""),"")</f>
        <v/>
      </c>
      <c r="G1147" s="20"/>
      <c r="H1147" s="19"/>
      <c r="I1147" s="19"/>
      <c r="J1147" s="19"/>
      <c r="K1147" s="19"/>
      <c r="L1147" s="19"/>
      <c r="M1147" s="19"/>
      <c r="N1147" s="20" t="s">
        <v>39</v>
      </c>
      <c r="O1147" s="19"/>
      <c r="P1147" s="19"/>
      <c r="Q1147" s="19"/>
      <c r="R1147" s="19"/>
      <c r="S1147" s="19"/>
      <c r="T1147" s="19"/>
      <c r="U1147" s="19"/>
      <c r="V1147" s="19"/>
    </row>
    <row r="1148">
      <c r="A1148" s="25"/>
      <c r="B1148" s="19"/>
      <c r="C1148" s="19"/>
      <c r="D1148" s="19"/>
      <c r="E1148" s="19"/>
      <c r="F1148" s="17" t="str">
        <f>IFERROR(__xludf.DUMMYFUNCTION("""COMPUTED_VALUE"""),"")</f>
        <v/>
      </c>
      <c r="G1148" s="20"/>
      <c r="H1148" s="19"/>
      <c r="I1148" s="19"/>
      <c r="J1148" s="19"/>
      <c r="K1148" s="19"/>
      <c r="L1148" s="19"/>
      <c r="M1148" s="19"/>
      <c r="N1148" s="20" t="s">
        <v>39</v>
      </c>
      <c r="O1148" s="19"/>
      <c r="P1148" s="19"/>
      <c r="Q1148" s="19"/>
      <c r="R1148" s="19"/>
      <c r="S1148" s="19"/>
      <c r="T1148" s="19"/>
      <c r="U1148" s="19"/>
      <c r="V1148" s="19"/>
    </row>
    <row r="1149">
      <c r="A1149" s="25"/>
      <c r="B1149" s="19"/>
      <c r="C1149" s="19"/>
      <c r="D1149" s="19"/>
      <c r="E1149" s="19"/>
      <c r="F1149" s="17" t="str">
        <f>IFERROR(__xludf.DUMMYFUNCTION("""COMPUTED_VALUE"""),"")</f>
        <v/>
      </c>
      <c r="G1149" s="20"/>
      <c r="H1149" s="19"/>
      <c r="I1149" s="19"/>
      <c r="J1149" s="19"/>
      <c r="K1149" s="19"/>
      <c r="L1149" s="19"/>
      <c r="M1149" s="19"/>
      <c r="N1149" s="20" t="s">
        <v>39</v>
      </c>
      <c r="O1149" s="19"/>
      <c r="P1149" s="19"/>
      <c r="Q1149" s="19"/>
      <c r="R1149" s="19"/>
      <c r="S1149" s="19"/>
      <c r="T1149" s="19"/>
      <c r="U1149" s="19"/>
      <c r="V1149" s="19"/>
    </row>
    <row r="1150">
      <c r="A1150" s="25"/>
      <c r="B1150" s="19"/>
      <c r="C1150" s="19"/>
      <c r="D1150" s="19"/>
      <c r="E1150" s="19"/>
      <c r="F1150" s="17" t="str">
        <f>IFERROR(__xludf.DUMMYFUNCTION("""COMPUTED_VALUE"""),"")</f>
        <v/>
      </c>
      <c r="G1150" s="20"/>
      <c r="H1150" s="19"/>
      <c r="I1150" s="19"/>
      <c r="J1150" s="19"/>
      <c r="K1150" s="19"/>
      <c r="L1150" s="19"/>
      <c r="M1150" s="19"/>
      <c r="N1150" s="20" t="s">
        <v>39</v>
      </c>
      <c r="O1150" s="19"/>
      <c r="P1150" s="19"/>
      <c r="Q1150" s="19"/>
      <c r="R1150" s="19"/>
      <c r="S1150" s="19"/>
      <c r="T1150" s="19"/>
      <c r="U1150" s="19"/>
      <c r="V1150" s="19"/>
    </row>
    <row r="1151">
      <c r="A1151" s="25"/>
      <c r="B1151" s="19"/>
      <c r="C1151" s="19"/>
      <c r="D1151" s="19"/>
      <c r="E1151" s="19"/>
      <c r="F1151" s="17" t="str">
        <f>IFERROR(__xludf.DUMMYFUNCTION("""COMPUTED_VALUE"""),"")</f>
        <v/>
      </c>
      <c r="G1151" s="20"/>
      <c r="H1151" s="19"/>
      <c r="I1151" s="19"/>
      <c r="J1151" s="19"/>
      <c r="K1151" s="19"/>
      <c r="L1151" s="19"/>
      <c r="M1151" s="19"/>
      <c r="N1151" s="20" t="s">
        <v>39</v>
      </c>
      <c r="O1151" s="19"/>
      <c r="P1151" s="19"/>
      <c r="Q1151" s="19"/>
      <c r="R1151" s="19"/>
      <c r="S1151" s="19"/>
      <c r="T1151" s="19"/>
      <c r="U1151" s="19"/>
      <c r="V1151" s="19"/>
    </row>
    <row r="1152">
      <c r="A1152" s="25"/>
      <c r="B1152" s="19"/>
      <c r="C1152" s="19"/>
      <c r="D1152" s="19"/>
      <c r="E1152" s="19"/>
      <c r="F1152" s="17" t="str">
        <f>IFERROR(__xludf.DUMMYFUNCTION("""COMPUTED_VALUE"""),"")</f>
        <v/>
      </c>
      <c r="G1152" s="20"/>
      <c r="H1152" s="19"/>
      <c r="I1152" s="19"/>
      <c r="J1152" s="19"/>
      <c r="K1152" s="19"/>
      <c r="L1152" s="19"/>
      <c r="M1152" s="19"/>
      <c r="N1152" s="20" t="s">
        <v>39</v>
      </c>
      <c r="O1152" s="19"/>
      <c r="P1152" s="19"/>
      <c r="Q1152" s="19"/>
      <c r="R1152" s="19"/>
      <c r="S1152" s="19"/>
      <c r="T1152" s="19"/>
      <c r="U1152" s="19"/>
      <c r="V1152" s="19"/>
    </row>
    <row r="1153">
      <c r="A1153" s="25"/>
      <c r="B1153" s="19"/>
      <c r="C1153" s="19"/>
      <c r="D1153" s="19"/>
      <c r="E1153" s="19"/>
      <c r="F1153" s="17" t="str">
        <f>IFERROR(__xludf.DUMMYFUNCTION("""COMPUTED_VALUE"""),"")</f>
        <v/>
      </c>
      <c r="G1153" s="20"/>
      <c r="H1153" s="19"/>
      <c r="I1153" s="19"/>
      <c r="J1153" s="19"/>
      <c r="K1153" s="19"/>
      <c r="L1153" s="19"/>
      <c r="M1153" s="19"/>
      <c r="N1153" s="20" t="s">
        <v>39</v>
      </c>
      <c r="O1153" s="19"/>
      <c r="P1153" s="19"/>
      <c r="Q1153" s="19"/>
      <c r="R1153" s="19"/>
      <c r="S1153" s="19"/>
      <c r="T1153" s="19"/>
      <c r="U1153" s="19"/>
      <c r="V1153" s="19"/>
    </row>
    <row r="1154">
      <c r="A1154" s="25"/>
      <c r="B1154" s="19"/>
      <c r="C1154" s="19"/>
      <c r="D1154" s="19"/>
      <c r="E1154" s="19"/>
      <c r="F1154" s="17" t="str">
        <f>IFERROR(__xludf.DUMMYFUNCTION("""COMPUTED_VALUE"""),"")</f>
        <v/>
      </c>
      <c r="G1154" s="20"/>
      <c r="H1154" s="19"/>
      <c r="I1154" s="19"/>
      <c r="J1154" s="19"/>
      <c r="K1154" s="19"/>
      <c r="L1154" s="19"/>
      <c r="M1154" s="19"/>
      <c r="N1154" s="20" t="s">
        <v>39</v>
      </c>
      <c r="O1154" s="19"/>
      <c r="P1154" s="19"/>
      <c r="Q1154" s="19"/>
      <c r="R1154" s="19"/>
      <c r="S1154" s="19"/>
      <c r="T1154" s="19"/>
      <c r="U1154" s="19"/>
      <c r="V1154" s="19"/>
    </row>
    <row r="1155">
      <c r="A1155" s="25"/>
      <c r="B1155" s="19"/>
      <c r="C1155" s="19"/>
      <c r="D1155" s="19"/>
      <c r="E1155" s="19"/>
      <c r="F1155" s="17" t="str">
        <f>IFERROR(__xludf.DUMMYFUNCTION("""COMPUTED_VALUE"""),"")</f>
        <v/>
      </c>
      <c r="G1155" s="20"/>
      <c r="H1155" s="19"/>
      <c r="I1155" s="19"/>
      <c r="J1155" s="19"/>
      <c r="K1155" s="19"/>
      <c r="L1155" s="19"/>
      <c r="M1155" s="19"/>
      <c r="N1155" s="20" t="s">
        <v>39</v>
      </c>
      <c r="O1155" s="19"/>
      <c r="P1155" s="19"/>
      <c r="Q1155" s="19"/>
      <c r="R1155" s="19"/>
      <c r="S1155" s="19"/>
      <c r="T1155" s="19"/>
      <c r="U1155" s="19"/>
      <c r="V1155" s="19"/>
    </row>
    <row r="1156">
      <c r="A1156" s="25"/>
      <c r="B1156" s="19"/>
      <c r="C1156" s="19"/>
      <c r="D1156" s="19"/>
      <c r="E1156" s="19"/>
      <c r="F1156" s="17" t="str">
        <f>IFERROR(__xludf.DUMMYFUNCTION("""COMPUTED_VALUE"""),"")</f>
        <v/>
      </c>
      <c r="G1156" s="20"/>
      <c r="H1156" s="19"/>
      <c r="I1156" s="19"/>
      <c r="J1156" s="19"/>
      <c r="K1156" s="19"/>
      <c r="L1156" s="19"/>
      <c r="M1156" s="19"/>
      <c r="N1156" s="20" t="s">
        <v>39</v>
      </c>
      <c r="O1156" s="19"/>
      <c r="P1156" s="19"/>
      <c r="Q1156" s="19"/>
      <c r="R1156" s="19"/>
      <c r="S1156" s="19"/>
      <c r="T1156" s="19"/>
      <c r="U1156" s="19"/>
      <c r="V1156" s="19"/>
    </row>
    <row r="1157">
      <c r="A1157" s="25"/>
      <c r="B1157" s="19"/>
      <c r="C1157" s="19"/>
      <c r="D1157" s="19"/>
      <c r="E1157" s="19"/>
      <c r="F1157" s="17" t="str">
        <f>IFERROR(__xludf.DUMMYFUNCTION("""COMPUTED_VALUE"""),"")</f>
        <v/>
      </c>
      <c r="G1157" s="20"/>
      <c r="H1157" s="19"/>
      <c r="I1157" s="19"/>
      <c r="J1157" s="19"/>
      <c r="K1157" s="19"/>
      <c r="L1157" s="19"/>
      <c r="M1157" s="19"/>
      <c r="N1157" s="20" t="s">
        <v>39</v>
      </c>
      <c r="O1157" s="19"/>
      <c r="P1157" s="19"/>
      <c r="Q1157" s="19"/>
      <c r="R1157" s="19"/>
      <c r="S1157" s="19"/>
      <c r="T1157" s="19"/>
      <c r="U1157" s="19"/>
      <c r="V1157" s="19"/>
    </row>
    <row r="1158">
      <c r="A1158" s="25"/>
      <c r="B1158" s="19"/>
      <c r="C1158" s="19"/>
      <c r="D1158" s="19"/>
      <c r="E1158" s="19"/>
      <c r="F1158" s="17" t="str">
        <f>IFERROR(__xludf.DUMMYFUNCTION("""COMPUTED_VALUE"""),"")</f>
        <v/>
      </c>
      <c r="G1158" s="20"/>
      <c r="H1158" s="19"/>
      <c r="I1158" s="19"/>
      <c r="J1158" s="19"/>
      <c r="K1158" s="19"/>
      <c r="L1158" s="19"/>
      <c r="M1158" s="19"/>
      <c r="N1158" s="20" t="s">
        <v>39</v>
      </c>
      <c r="O1158" s="19"/>
      <c r="P1158" s="19"/>
      <c r="Q1158" s="19"/>
      <c r="R1158" s="19"/>
      <c r="S1158" s="19"/>
      <c r="T1158" s="19"/>
      <c r="U1158" s="19"/>
      <c r="V1158" s="19"/>
    </row>
    <row r="1159">
      <c r="A1159" s="25"/>
      <c r="B1159" s="19"/>
      <c r="C1159" s="19"/>
      <c r="D1159" s="19"/>
      <c r="E1159" s="19"/>
      <c r="F1159" s="17" t="str">
        <f>IFERROR(__xludf.DUMMYFUNCTION("""COMPUTED_VALUE"""),"")</f>
        <v/>
      </c>
      <c r="G1159" s="20"/>
      <c r="H1159" s="19"/>
      <c r="I1159" s="19"/>
      <c r="J1159" s="19"/>
      <c r="K1159" s="19"/>
      <c r="L1159" s="19"/>
      <c r="M1159" s="19"/>
      <c r="N1159" s="20" t="s">
        <v>39</v>
      </c>
      <c r="O1159" s="19"/>
      <c r="P1159" s="19"/>
      <c r="Q1159" s="19"/>
      <c r="R1159" s="19"/>
      <c r="S1159" s="19"/>
      <c r="T1159" s="19"/>
      <c r="U1159" s="19"/>
      <c r="V1159" s="19"/>
    </row>
    <row r="1160">
      <c r="A1160" s="25"/>
      <c r="B1160" s="19"/>
      <c r="C1160" s="19"/>
      <c r="D1160" s="19"/>
      <c r="E1160" s="19"/>
      <c r="F1160" s="17" t="str">
        <f>IFERROR(__xludf.DUMMYFUNCTION("""COMPUTED_VALUE"""),"")</f>
        <v/>
      </c>
      <c r="G1160" s="20"/>
      <c r="H1160" s="19"/>
      <c r="I1160" s="19"/>
      <c r="J1160" s="19"/>
      <c r="K1160" s="19"/>
      <c r="L1160" s="19"/>
      <c r="M1160" s="19"/>
      <c r="N1160" s="20" t="s">
        <v>39</v>
      </c>
      <c r="O1160" s="19"/>
      <c r="P1160" s="19"/>
      <c r="Q1160" s="19"/>
      <c r="R1160" s="19"/>
      <c r="S1160" s="19"/>
      <c r="T1160" s="19"/>
      <c r="U1160" s="19"/>
      <c r="V1160" s="19"/>
    </row>
    <row r="1161">
      <c r="A1161" s="25"/>
      <c r="B1161" s="19"/>
      <c r="C1161" s="19"/>
      <c r="D1161" s="19"/>
      <c r="E1161" s="19"/>
      <c r="F1161" s="17" t="str">
        <f>IFERROR(__xludf.DUMMYFUNCTION("""COMPUTED_VALUE"""),"")</f>
        <v/>
      </c>
      <c r="G1161" s="20"/>
      <c r="H1161" s="19"/>
      <c r="I1161" s="19"/>
      <c r="J1161" s="19"/>
      <c r="K1161" s="19"/>
      <c r="L1161" s="19"/>
      <c r="M1161" s="19"/>
      <c r="N1161" s="20" t="s">
        <v>39</v>
      </c>
      <c r="O1161" s="19"/>
      <c r="P1161" s="19"/>
      <c r="Q1161" s="19"/>
      <c r="R1161" s="19"/>
      <c r="S1161" s="19"/>
      <c r="T1161" s="19"/>
      <c r="U1161" s="19"/>
      <c r="V1161" s="19"/>
    </row>
    <row r="1162">
      <c r="A1162" s="25"/>
      <c r="B1162" s="19"/>
      <c r="C1162" s="19"/>
      <c r="D1162" s="19"/>
      <c r="E1162" s="19"/>
      <c r="F1162" s="17" t="str">
        <f>IFERROR(__xludf.DUMMYFUNCTION("""COMPUTED_VALUE"""),"")</f>
        <v/>
      </c>
      <c r="G1162" s="20"/>
      <c r="H1162" s="19"/>
      <c r="I1162" s="19"/>
      <c r="J1162" s="19"/>
      <c r="K1162" s="19"/>
      <c r="L1162" s="19"/>
      <c r="M1162" s="19"/>
      <c r="N1162" s="20" t="s">
        <v>39</v>
      </c>
      <c r="O1162" s="19"/>
      <c r="P1162" s="19"/>
      <c r="Q1162" s="19"/>
      <c r="R1162" s="19"/>
      <c r="S1162" s="19"/>
      <c r="T1162" s="19"/>
      <c r="U1162" s="19"/>
      <c r="V1162" s="19"/>
    </row>
    <row r="1163">
      <c r="A1163" s="25"/>
      <c r="B1163" s="19"/>
      <c r="C1163" s="19"/>
      <c r="D1163" s="19"/>
      <c r="E1163" s="19"/>
      <c r="F1163" s="17" t="str">
        <f>IFERROR(__xludf.DUMMYFUNCTION("""COMPUTED_VALUE"""),"")</f>
        <v/>
      </c>
      <c r="G1163" s="20"/>
      <c r="H1163" s="19"/>
      <c r="I1163" s="19"/>
      <c r="J1163" s="19"/>
      <c r="K1163" s="19"/>
      <c r="L1163" s="19"/>
      <c r="M1163" s="19"/>
      <c r="N1163" s="20" t="s">
        <v>39</v>
      </c>
      <c r="O1163" s="19"/>
      <c r="P1163" s="19"/>
      <c r="Q1163" s="19"/>
      <c r="R1163" s="19"/>
      <c r="S1163" s="19"/>
      <c r="T1163" s="19"/>
      <c r="U1163" s="19"/>
      <c r="V1163" s="19"/>
    </row>
    <row r="1164">
      <c r="A1164" s="25"/>
      <c r="B1164" s="19"/>
      <c r="C1164" s="19"/>
      <c r="D1164" s="19"/>
      <c r="E1164" s="19"/>
      <c r="F1164" s="17" t="str">
        <f>IFERROR(__xludf.DUMMYFUNCTION("""COMPUTED_VALUE"""),"")</f>
        <v/>
      </c>
      <c r="G1164" s="20"/>
      <c r="H1164" s="19"/>
      <c r="I1164" s="19"/>
      <c r="J1164" s="19"/>
      <c r="K1164" s="19"/>
      <c r="L1164" s="19"/>
      <c r="M1164" s="19"/>
      <c r="N1164" s="20" t="s">
        <v>39</v>
      </c>
      <c r="O1164" s="19"/>
      <c r="P1164" s="19"/>
      <c r="Q1164" s="19"/>
      <c r="R1164" s="19"/>
      <c r="S1164" s="19"/>
      <c r="T1164" s="19"/>
      <c r="U1164" s="19"/>
      <c r="V1164" s="19"/>
    </row>
    <row r="1165">
      <c r="A1165" s="25"/>
      <c r="B1165" s="19"/>
      <c r="C1165" s="19"/>
      <c r="D1165" s="19"/>
      <c r="E1165" s="19"/>
      <c r="F1165" s="17" t="str">
        <f>IFERROR(__xludf.DUMMYFUNCTION("""COMPUTED_VALUE"""),"")</f>
        <v/>
      </c>
      <c r="G1165" s="20"/>
      <c r="H1165" s="19"/>
      <c r="I1165" s="19"/>
      <c r="J1165" s="19"/>
      <c r="K1165" s="19"/>
      <c r="L1165" s="19"/>
      <c r="M1165" s="19"/>
      <c r="N1165" s="20" t="s">
        <v>39</v>
      </c>
      <c r="O1165" s="19"/>
      <c r="P1165" s="19"/>
      <c r="Q1165" s="19"/>
      <c r="R1165" s="19"/>
      <c r="S1165" s="19"/>
      <c r="T1165" s="19"/>
      <c r="U1165" s="19"/>
      <c r="V1165" s="19"/>
    </row>
    <row r="1166">
      <c r="A1166" s="25"/>
      <c r="B1166" s="19"/>
      <c r="C1166" s="19"/>
      <c r="D1166" s="19"/>
      <c r="E1166" s="19"/>
      <c r="F1166" s="17" t="str">
        <f>IFERROR(__xludf.DUMMYFUNCTION("""COMPUTED_VALUE"""),"")</f>
        <v/>
      </c>
      <c r="G1166" s="20"/>
      <c r="H1166" s="19"/>
      <c r="I1166" s="19"/>
      <c r="J1166" s="19"/>
      <c r="K1166" s="19"/>
      <c r="L1166" s="19"/>
      <c r="M1166" s="19"/>
      <c r="N1166" s="20" t="s">
        <v>39</v>
      </c>
      <c r="O1166" s="19"/>
      <c r="P1166" s="19"/>
      <c r="Q1166" s="19"/>
      <c r="R1166" s="19"/>
      <c r="S1166" s="19"/>
      <c r="T1166" s="19"/>
      <c r="U1166" s="19"/>
      <c r="V1166" s="19"/>
    </row>
    <row r="1167">
      <c r="A1167" s="25"/>
      <c r="B1167" s="19"/>
      <c r="C1167" s="19"/>
      <c r="D1167" s="19"/>
      <c r="E1167" s="19"/>
      <c r="F1167" s="17" t="str">
        <f>IFERROR(__xludf.DUMMYFUNCTION("""COMPUTED_VALUE"""),"")</f>
        <v/>
      </c>
      <c r="G1167" s="20"/>
      <c r="H1167" s="19"/>
      <c r="I1167" s="19"/>
      <c r="J1167" s="19"/>
      <c r="K1167" s="19"/>
      <c r="L1167" s="19"/>
      <c r="M1167" s="19"/>
      <c r="N1167" s="20" t="s">
        <v>39</v>
      </c>
      <c r="O1167" s="19"/>
      <c r="P1167" s="19"/>
      <c r="Q1167" s="19"/>
      <c r="R1167" s="19"/>
      <c r="S1167" s="19"/>
      <c r="T1167" s="19"/>
      <c r="U1167" s="19"/>
      <c r="V1167" s="19"/>
    </row>
    <row r="1168">
      <c r="A1168" s="25"/>
      <c r="B1168" s="19"/>
      <c r="C1168" s="19"/>
      <c r="D1168" s="19"/>
      <c r="E1168" s="19"/>
      <c r="F1168" s="17" t="str">
        <f>IFERROR(__xludf.DUMMYFUNCTION("""COMPUTED_VALUE"""),"")</f>
        <v/>
      </c>
      <c r="G1168" s="20"/>
      <c r="H1168" s="19"/>
      <c r="I1168" s="19"/>
      <c r="J1168" s="19"/>
      <c r="K1168" s="19"/>
      <c r="L1168" s="19"/>
      <c r="M1168" s="19"/>
      <c r="N1168" s="20" t="s">
        <v>39</v>
      </c>
      <c r="O1168" s="19"/>
      <c r="P1168" s="19"/>
      <c r="Q1168" s="19"/>
      <c r="R1168" s="19"/>
      <c r="S1168" s="19"/>
      <c r="T1168" s="19"/>
      <c r="U1168" s="19"/>
      <c r="V1168" s="19"/>
    </row>
    <row r="1169">
      <c r="A1169" s="25"/>
      <c r="B1169" s="19"/>
      <c r="C1169" s="19"/>
      <c r="D1169" s="19"/>
      <c r="E1169" s="19"/>
      <c r="F1169" s="17" t="str">
        <f>IFERROR(__xludf.DUMMYFUNCTION("""COMPUTED_VALUE"""),"")</f>
        <v/>
      </c>
      <c r="G1169" s="20"/>
      <c r="H1169" s="19"/>
      <c r="I1169" s="19"/>
      <c r="J1169" s="19"/>
      <c r="K1169" s="19"/>
      <c r="L1169" s="19"/>
      <c r="M1169" s="19"/>
      <c r="N1169" s="20" t="s">
        <v>39</v>
      </c>
      <c r="O1169" s="19"/>
      <c r="P1169" s="19"/>
      <c r="Q1169" s="19"/>
      <c r="R1169" s="19"/>
      <c r="S1169" s="19"/>
      <c r="T1169" s="19"/>
      <c r="U1169" s="19"/>
      <c r="V1169" s="19"/>
    </row>
    <row r="1170">
      <c r="A1170" s="25"/>
      <c r="B1170" s="19"/>
      <c r="C1170" s="19"/>
      <c r="D1170" s="19"/>
      <c r="E1170" s="19"/>
      <c r="F1170" s="17" t="str">
        <f>IFERROR(__xludf.DUMMYFUNCTION("""COMPUTED_VALUE"""),"")</f>
        <v/>
      </c>
      <c r="G1170" s="20"/>
      <c r="H1170" s="19"/>
      <c r="I1170" s="19"/>
      <c r="J1170" s="19"/>
      <c r="K1170" s="19"/>
      <c r="L1170" s="19"/>
      <c r="M1170" s="19"/>
      <c r="N1170" s="20" t="s">
        <v>39</v>
      </c>
      <c r="O1170" s="19"/>
      <c r="P1170" s="19"/>
      <c r="Q1170" s="19"/>
      <c r="R1170" s="19"/>
      <c r="S1170" s="19"/>
      <c r="T1170" s="19"/>
      <c r="U1170" s="19"/>
      <c r="V1170" s="19"/>
    </row>
    <row r="1171">
      <c r="A1171" s="25"/>
      <c r="B1171" s="19"/>
      <c r="C1171" s="19"/>
      <c r="D1171" s="19"/>
      <c r="E1171" s="19"/>
      <c r="F1171" s="17" t="str">
        <f>IFERROR(__xludf.DUMMYFUNCTION("""COMPUTED_VALUE"""),"")</f>
        <v/>
      </c>
      <c r="G1171" s="20"/>
      <c r="H1171" s="19"/>
      <c r="I1171" s="19"/>
      <c r="J1171" s="19"/>
      <c r="K1171" s="19"/>
      <c r="L1171" s="19"/>
      <c r="M1171" s="19"/>
      <c r="N1171" s="20" t="s">
        <v>39</v>
      </c>
      <c r="O1171" s="19"/>
      <c r="P1171" s="19"/>
      <c r="Q1171" s="19"/>
      <c r="R1171" s="19"/>
      <c r="S1171" s="19"/>
      <c r="T1171" s="19"/>
      <c r="U1171" s="19"/>
      <c r="V1171" s="19"/>
    </row>
    <row r="1172">
      <c r="A1172" s="25"/>
      <c r="B1172" s="19"/>
      <c r="C1172" s="19"/>
      <c r="D1172" s="19"/>
      <c r="E1172" s="19"/>
      <c r="F1172" s="17" t="str">
        <f>IFERROR(__xludf.DUMMYFUNCTION("""COMPUTED_VALUE"""),"")</f>
        <v/>
      </c>
      <c r="G1172" s="20"/>
      <c r="H1172" s="19"/>
      <c r="I1172" s="19"/>
      <c r="J1172" s="19"/>
      <c r="K1172" s="19"/>
      <c r="L1172" s="19"/>
      <c r="M1172" s="19"/>
      <c r="N1172" s="20" t="s">
        <v>39</v>
      </c>
      <c r="O1172" s="19"/>
      <c r="P1172" s="19"/>
      <c r="Q1172" s="19"/>
      <c r="R1172" s="19"/>
      <c r="S1172" s="19"/>
      <c r="T1172" s="19"/>
      <c r="U1172" s="19"/>
      <c r="V1172" s="19"/>
    </row>
    <row r="1173">
      <c r="A1173" s="25"/>
      <c r="B1173" s="19"/>
      <c r="C1173" s="19"/>
      <c r="D1173" s="19"/>
      <c r="E1173" s="19"/>
      <c r="F1173" s="17" t="str">
        <f>IFERROR(__xludf.DUMMYFUNCTION("""COMPUTED_VALUE"""),"")</f>
        <v/>
      </c>
      <c r="G1173" s="20"/>
      <c r="H1173" s="19"/>
      <c r="I1173" s="19"/>
      <c r="J1173" s="19"/>
      <c r="K1173" s="19"/>
      <c r="L1173" s="19"/>
      <c r="M1173" s="19"/>
      <c r="N1173" s="20" t="s">
        <v>39</v>
      </c>
      <c r="O1173" s="19"/>
      <c r="P1173" s="19"/>
      <c r="Q1173" s="19"/>
      <c r="R1173" s="19"/>
      <c r="S1173" s="19"/>
      <c r="T1173" s="19"/>
      <c r="U1173" s="19"/>
      <c r="V1173" s="19"/>
    </row>
    <row r="1174">
      <c r="A1174" s="25"/>
      <c r="B1174" s="19"/>
      <c r="C1174" s="19"/>
      <c r="D1174" s="19"/>
      <c r="E1174" s="19"/>
      <c r="F1174" s="17" t="str">
        <f>IFERROR(__xludf.DUMMYFUNCTION("""COMPUTED_VALUE"""),"")</f>
        <v/>
      </c>
      <c r="G1174" s="20"/>
      <c r="H1174" s="19"/>
      <c r="I1174" s="19"/>
      <c r="J1174" s="19"/>
      <c r="K1174" s="19"/>
      <c r="L1174" s="19"/>
      <c r="M1174" s="19"/>
      <c r="N1174" s="20" t="s">
        <v>39</v>
      </c>
      <c r="O1174" s="19"/>
      <c r="P1174" s="19"/>
      <c r="Q1174" s="19"/>
      <c r="R1174" s="19"/>
      <c r="S1174" s="19"/>
      <c r="T1174" s="19"/>
      <c r="U1174" s="19"/>
      <c r="V1174" s="19"/>
    </row>
    <row r="1175">
      <c r="A1175" s="25"/>
      <c r="B1175" s="19"/>
      <c r="C1175" s="19"/>
      <c r="D1175" s="19"/>
      <c r="E1175" s="19"/>
      <c r="F1175" s="17" t="str">
        <f>IFERROR(__xludf.DUMMYFUNCTION("""COMPUTED_VALUE"""),"")</f>
        <v/>
      </c>
      <c r="G1175" s="20"/>
      <c r="H1175" s="19"/>
      <c r="I1175" s="19"/>
      <c r="J1175" s="19"/>
      <c r="K1175" s="19"/>
      <c r="L1175" s="19"/>
      <c r="M1175" s="19"/>
      <c r="N1175" s="20" t="s">
        <v>39</v>
      </c>
      <c r="O1175" s="19"/>
      <c r="P1175" s="19"/>
      <c r="Q1175" s="19"/>
      <c r="R1175" s="19"/>
      <c r="S1175" s="19"/>
      <c r="T1175" s="19"/>
      <c r="U1175" s="19"/>
      <c r="V1175" s="19"/>
    </row>
    <row r="1176">
      <c r="A1176" s="25"/>
      <c r="B1176" s="19"/>
      <c r="C1176" s="19"/>
      <c r="D1176" s="19"/>
      <c r="E1176" s="19"/>
      <c r="F1176" s="17" t="str">
        <f>IFERROR(__xludf.DUMMYFUNCTION("""COMPUTED_VALUE"""),"")</f>
        <v/>
      </c>
      <c r="G1176" s="20"/>
      <c r="H1176" s="19"/>
      <c r="I1176" s="19"/>
      <c r="J1176" s="19"/>
      <c r="K1176" s="19"/>
      <c r="L1176" s="19"/>
      <c r="M1176" s="19"/>
      <c r="N1176" s="20" t="s">
        <v>39</v>
      </c>
      <c r="O1176" s="19"/>
      <c r="P1176" s="19"/>
      <c r="Q1176" s="19"/>
      <c r="R1176" s="19"/>
      <c r="S1176" s="19"/>
      <c r="T1176" s="19"/>
      <c r="U1176" s="19"/>
      <c r="V1176" s="19"/>
    </row>
    <row r="1177">
      <c r="A1177" s="25"/>
      <c r="B1177" s="19"/>
      <c r="C1177" s="19"/>
      <c r="D1177" s="19"/>
      <c r="E1177" s="19"/>
      <c r="F1177" s="17" t="str">
        <f>IFERROR(__xludf.DUMMYFUNCTION("""COMPUTED_VALUE"""),"")</f>
        <v/>
      </c>
      <c r="G1177" s="20"/>
      <c r="H1177" s="19"/>
      <c r="I1177" s="19"/>
      <c r="J1177" s="19"/>
      <c r="K1177" s="19"/>
      <c r="L1177" s="19"/>
      <c r="M1177" s="19"/>
      <c r="N1177" s="20" t="s">
        <v>39</v>
      </c>
      <c r="O1177" s="19"/>
      <c r="P1177" s="19"/>
      <c r="Q1177" s="19"/>
      <c r="R1177" s="19"/>
      <c r="S1177" s="19"/>
      <c r="T1177" s="19"/>
      <c r="U1177" s="19"/>
      <c r="V1177" s="19"/>
    </row>
    <row r="1178">
      <c r="A1178" s="25"/>
      <c r="B1178" s="19"/>
      <c r="C1178" s="19"/>
      <c r="D1178" s="19"/>
      <c r="E1178" s="19"/>
      <c r="F1178" s="17" t="str">
        <f>IFERROR(__xludf.DUMMYFUNCTION("""COMPUTED_VALUE"""),"")</f>
        <v/>
      </c>
      <c r="G1178" s="20"/>
      <c r="H1178" s="19"/>
      <c r="I1178" s="19"/>
      <c r="J1178" s="19"/>
      <c r="K1178" s="19"/>
      <c r="L1178" s="19"/>
      <c r="M1178" s="19"/>
      <c r="N1178" s="20" t="s">
        <v>39</v>
      </c>
      <c r="O1178" s="19"/>
      <c r="P1178" s="19"/>
      <c r="Q1178" s="19"/>
      <c r="R1178" s="19"/>
      <c r="S1178" s="19"/>
      <c r="T1178" s="19"/>
      <c r="U1178" s="19"/>
      <c r="V1178" s="19"/>
    </row>
    <row r="1179">
      <c r="A1179" s="25"/>
      <c r="B1179" s="19"/>
      <c r="C1179" s="19"/>
      <c r="D1179" s="19"/>
      <c r="E1179" s="19"/>
      <c r="F1179" s="17" t="str">
        <f>IFERROR(__xludf.DUMMYFUNCTION("""COMPUTED_VALUE"""),"")</f>
        <v/>
      </c>
      <c r="G1179" s="20"/>
      <c r="H1179" s="19"/>
      <c r="I1179" s="19"/>
      <c r="J1179" s="19"/>
      <c r="K1179" s="19"/>
      <c r="L1179" s="19"/>
      <c r="M1179" s="19"/>
      <c r="N1179" s="20" t="s">
        <v>39</v>
      </c>
      <c r="O1179" s="19"/>
      <c r="P1179" s="19"/>
      <c r="Q1179" s="19"/>
      <c r="R1179" s="19"/>
      <c r="S1179" s="19"/>
      <c r="T1179" s="19"/>
      <c r="U1179" s="19"/>
      <c r="V1179" s="19"/>
    </row>
    <row r="1180">
      <c r="A1180" s="25"/>
      <c r="B1180" s="19"/>
      <c r="C1180" s="19"/>
      <c r="D1180" s="19"/>
      <c r="E1180" s="19"/>
      <c r="F1180" s="17" t="str">
        <f>IFERROR(__xludf.DUMMYFUNCTION("""COMPUTED_VALUE"""),"")</f>
        <v/>
      </c>
      <c r="G1180" s="20"/>
      <c r="H1180" s="19"/>
      <c r="I1180" s="19"/>
      <c r="J1180" s="19"/>
      <c r="K1180" s="19"/>
      <c r="L1180" s="19"/>
      <c r="M1180" s="19"/>
      <c r="N1180" s="20" t="s">
        <v>39</v>
      </c>
      <c r="O1180" s="19"/>
      <c r="P1180" s="19"/>
      <c r="Q1180" s="19"/>
      <c r="R1180" s="19"/>
      <c r="S1180" s="19"/>
      <c r="T1180" s="19"/>
      <c r="U1180" s="19"/>
      <c r="V1180" s="19"/>
    </row>
    <row r="1181">
      <c r="A1181" s="25"/>
      <c r="B1181" s="19"/>
      <c r="C1181" s="19"/>
      <c r="D1181" s="19"/>
      <c r="E1181" s="19"/>
      <c r="F1181" s="17" t="str">
        <f>IFERROR(__xludf.DUMMYFUNCTION("""COMPUTED_VALUE"""),"")</f>
        <v/>
      </c>
      <c r="G1181" s="20"/>
      <c r="H1181" s="19"/>
      <c r="I1181" s="19"/>
      <c r="J1181" s="19"/>
      <c r="K1181" s="19"/>
      <c r="L1181" s="19"/>
      <c r="M1181" s="19"/>
      <c r="N1181" s="20" t="s">
        <v>39</v>
      </c>
      <c r="O1181" s="19"/>
      <c r="P1181" s="19"/>
      <c r="Q1181" s="19"/>
      <c r="R1181" s="19"/>
      <c r="S1181" s="19"/>
      <c r="T1181" s="19"/>
      <c r="U1181" s="19"/>
      <c r="V1181" s="19"/>
    </row>
    <row r="1182">
      <c r="A1182" s="25"/>
      <c r="B1182" s="19"/>
      <c r="C1182" s="19"/>
      <c r="D1182" s="19"/>
      <c r="E1182" s="19"/>
      <c r="F1182" s="17" t="str">
        <f>IFERROR(__xludf.DUMMYFUNCTION("""COMPUTED_VALUE"""),"")</f>
        <v/>
      </c>
      <c r="G1182" s="20"/>
      <c r="H1182" s="19"/>
      <c r="I1182" s="19"/>
      <c r="J1182" s="19"/>
      <c r="K1182" s="19"/>
      <c r="L1182" s="19"/>
      <c r="M1182" s="19"/>
      <c r="N1182" s="20" t="s">
        <v>39</v>
      </c>
      <c r="O1182" s="19"/>
      <c r="P1182" s="19"/>
      <c r="Q1182" s="19"/>
      <c r="R1182" s="19"/>
      <c r="S1182" s="19"/>
      <c r="T1182" s="19"/>
      <c r="U1182" s="19"/>
      <c r="V1182" s="19"/>
    </row>
    <row r="1183">
      <c r="A1183" s="25"/>
      <c r="B1183" s="19"/>
      <c r="C1183" s="19"/>
      <c r="D1183" s="19"/>
      <c r="E1183" s="19"/>
      <c r="F1183" s="17" t="str">
        <f>IFERROR(__xludf.DUMMYFUNCTION("""COMPUTED_VALUE"""),"")</f>
        <v/>
      </c>
      <c r="G1183" s="20"/>
      <c r="H1183" s="19"/>
      <c r="I1183" s="19"/>
      <c r="J1183" s="19"/>
      <c r="K1183" s="19"/>
      <c r="L1183" s="19"/>
      <c r="M1183" s="19"/>
      <c r="N1183" s="20" t="s">
        <v>39</v>
      </c>
      <c r="O1183" s="19"/>
      <c r="P1183" s="19"/>
      <c r="Q1183" s="19"/>
      <c r="R1183" s="19"/>
      <c r="S1183" s="19"/>
      <c r="T1183" s="19"/>
      <c r="U1183" s="19"/>
      <c r="V1183" s="19"/>
    </row>
    <row r="1184">
      <c r="A1184" s="25"/>
      <c r="B1184" s="19"/>
      <c r="C1184" s="19"/>
      <c r="D1184" s="19"/>
      <c r="E1184" s="19"/>
      <c r="F1184" s="17" t="str">
        <f>IFERROR(__xludf.DUMMYFUNCTION("""COMPUTED_VALUE"""),"")</f>
        <v/>
      </c>
      <c r="G1184" s="20"/>
      <c r="H1184" s="19"/>
      <c r="I1184" s="19"/>
      <c r="J1184" s="19"/>
      <c r="K1184" s="19"/>
      <c r="L1184" s="19"/>
      <c r="M1184" s="19"/>
      <c r="N1184" s="20" t="s">
        <v>39</v>
      </c>
      <c r="O1184" s="19"/>
      <c r="P1184" s="19"/>
      <c r="Q1184" s="19"/>
      <c r="R1184" s="19"/>
      <c r="S1184" s="19"/>
      <c r="T1184" s="19"/>
      <c r="U1184" s="19"/>
      <c r="V1184" s="19"/>
    </row>
    <row r="1185">
      <c r="A1185" s="25"/>
      <c r="B1185" s="19"/>
      <c r="C1185" s="19"/>
      <c r="D1185" s="19"/>
      <c r="E1185" s="19"/>
      <c r="F1185" s="17" t="str">
        <f>IFERROR(__xludf.DUMMYFUNCTION("""COMPUTED_VALUE"""),"")</f>
        <v/>
      </c>
      <c r="G1185" s="20"/>
      <c r="H1185" s="19"/>
      <c r="I1185" s="19"/>
      <c r="J1185" s="19"/>
      <c r="K1185" s="19"/>
      <c r="L1185" s="19"/>
      <c r="M1185" s="19"/>
      <c r="N1185" s="20" t="s">
        <v>39</v>
      </c>
      <c r="O1185" s="19"/>
      <c r="P1185" s="19"/>
      <c r="Q1185" s="19"/>
      <c r="R1185" s="19"/>
      <c r="S1185" s="19"/>
      <c r="T1185" s="19"/>
      <c r="U1185" s="19"/>
      <c r="V1185" s="19"/>
    </row>
    <row r="1186">
      <c r="A1186" s="25"/>
      <c r="B1186" s="19"/>
      <c r="C1186" s="19"/>
      <c r="D1186" s="19"/>
      <c r="E1186" s="19"/>
      <c r="F1186" s="17" t="str">
        <f>IFERROR(__xludf.DUMMYFUNCTION("""COMPUTED_VALUE"""),"")</f>
        <v/>
      </c>
      <c r="G1186" s="20"/>
      <c r="H1186" s="19"/>
      <c r="I1186" s="19"/>
      <c r="J1186" s="19"/>
      <c r="K1186" s="19"/>
      <c r="L1186" s="19"/>
      <c r="M1186" s="19"/>
      <c r="N1186" s="20" t="s">
        <v>39</v>
      </c>
      <c r="O1186" s="19"/>
      <c r="P1186" s="19"/>
      <c r="Q1186" s="19"/>
      <c r="R1186" s="19"/>
      <c r="S1186" s="19"/>
      <c r="T1186" s="19"/>
      <c r="U1186" s="19"/>
      <c r="V1186" s="19"/>
    </row>
    <row r="1187">
      <c r="A1187" s="25"/>
      <c r="B1187" s="19"/>
      <c r="C1187" s="19"/>
      <c r="D1187" s="19"/>
      <c r="E1187" s="19"/>
      <c r="F1187" s="17" t="str">
        <f>IFERROR(__xludf.DUMMYFUNCTION("""COMPUTED_VALUE"""),"")</f>
        <v/>
      </c>
      <c r="G1187" s="20"/>
      <c r="H1187" s="19"/>
      <c r="I1187" s="19"/>
      <c r="J1187" s="19"/>
      <c r="K1187" s="19"/>
      <c r="L1187" s="19"/>
      <c r="M1187" s="19"/>
      <c r="N1187" s="20" t="s">
        <v>39</v>
      </c>
      <c r="O1187" s="19"/>
      <c r="P1187" s="19"/>
      <c r="Q1187" s="19"/>
      <c r="R1187" s="19"/>
      <c r="S1187" s="19"/>
      <c r="T1187" s="19"/>
      <c r="U1187" s="19"/>
      <c r="V1187" s="19"/>
    </row>
    <row r="1188">
      <c r="A1188" s="25"/>
      <c r="B1188" s="19"/>
      <c r="C1188" s="19"/>
      <c r="D1188" s="19"/>
      <c r="E1188" s="19"/>
      <c r="F1188" s="17" t="str">
        <f>IFERROR(__xludf.DUMMYFUNCTION("""COMPUTED_VALUE"""),"")</f>
        <v/>
      </c>
      <c r="G1188" s="20"/>
      <c r="H1188" s="19"/>
      <c r="I1188" s="19"/>
      <c r="J1188" s="19"/>
      <c r="K1188" s="19"/>
      <c r="L1188" s="19"/>
      <c r="M1188" s="19"/>
      <c r="N1188" s="20" t="s">
        <v>39</v>
      </c>
      <c r="O1188" s="19"/>
      <c r="P1188" s="19"/>
      <c r="Q1188" s="19"/>
      <c r="R1188" s="19"/>
      <c r="S1188" s="19"/>
      <c r="T1188" s="19"/>
      <c r="U1188" s="19"/>
      <c r="V1188" s="19"/>
    </row>
    <row r="1189">
      <c r="A1189" s="25"/>
      <c r="B1189" s="19"/>
      <c r="C1189" s="19"/>
      <c r="D1189" s="19"/>
      <c r="E1189" s="19"/>
      <c r="F1189" s="17" t="str">
        <f>IFERROR(__xludf.DUMMYFUNCTION("""COMPUTED_VALUE"""),"")</f>
        <v/>
      </c>
      <c r="G1189" s="20"/>
      <c r="H1189" s="19"/>
      <c r="I1189" s="19"/>
      <c r="J1189" s="19"/>
      <c r="K1189" s="19"/>
      <c r="L1189" s="19"/>
      <c r="M1189" s="19"/>
      <c r="N1189" s="20" t="s">
        <v>39</v>
      </c>
      <c r="O1189" s="19"/>
      <c r="P1189" s="19"/>
      <c r="Q1189" s="19"/>
      <c r="R1189" s="19"/>
      <c r="S1189" s="19"/>
      <c r="T1189" s="19"/>
      <c r="U1189" s="19"/>
      <c r="V1189" s="19"/>
    </row>
    <row r="1190">
      <c r="A1190" s="25"/>
      <c r="B1190" s="19"/>
      <c r="C1190" s="19"/>
      <c r="D1190" s="19"/>
      <c r="E1190" s="19"/>
      <c r="F1190" s="17" t="str">
        <f>IFERROR(__xludf.DUMMYFUNCTION("""COMPUTED_VALUE"""),"")</f>
        <v/>
      </c>
      <c r="G1190" s="20"/>
      <c r="H1190" s="19"/>
      <c r="I1190" s="19"/>
      <c r="J1190" s="19"/>
      <c r="K1190" s="19"/>
      <c r="L1190" s="19"/>
      <c r="M1190" s="19"/>
      <c r="N1190" s="20" t="s">
        <v>39</v>
      </c>
      <c r="O1190" s="19"/>
      <c r="P1190" s="19"/>
      <c r="Q1190" s="19"/>
      <c r="R1190" s="19"/>
      <c r="S1190" s="19"/>
      <c r="T1190" s="19"/>
      <c r="U1190" s="19"/>
      <c r="V1190" s="19"/>
    </row>
    <row r="1191">
      <c r="A1191" s="25"/>
      <c r="B1191" s="19"/>
      <c r="C1191" s="19"/>
      <c r="D1191" s="19"/>
      <c r="E1191" s="19"/>
      <c r="F1191" s="17" t="str">
        <f>IFERROR(__xludf.DUMMYFUNCTION("""COMPUTED_VALUE"""),"")</f>
        <v/>
      </c>
      <c r="G1191" s="20"/>
      <c r="H1191" s="19"/>
      <c r="I1191" s="19"/>
      <c r="J1191" s="19"/>
      <c r="K1191" s="19"/>
      <c r="L1191" s="19"/>
      <c r="M1191" s="19"/>
      <c r="N1191" s="20" t="s">
        <v>39</v>
      </c>
      <c r="O1191" s="19"/>
      <c r="P1191" s="19"/>
      <c r="Q1191" s="19"/>
      <c r="R1191" s="19"/>
      <c r="S1191" s="19"/>
      <c r="T1191" s="19"/>
      <c r="U1191" s="19"/>
      <c r="V1191" s="19"/>
    </row>
    <row r="1192">
      <c r="A1192" s="25"/>
      <c r="B1192" s="19"/>
      <c r="C1192" s="19"/>
      <c r="D1192" s="19"/>
      <c r="E1192" s="19"/>
      <c r="F1192" s="17" t="str">
        <f>IFERROR(__xludf.DUMMYFUNCTION("""COMPUTED_VALUE"""),"")</f>
        <v/>
      </c>
      <c r="G1192" s="20"/>
      <c r="H1192" s="19"/>
      <c r="I1192" s="19"/>
      <c r="J1192" s="19"/>
      <c r="K1192" s="19"/>
      <c r="L1192" s="19"/>
      <c r="M1192" s="19"/>
      <c r="N1192" s="20" t="s">
        <v>39</v>
      </c>
      <c r="O1192" s="19"/>
      <c r="P1192" s="19"/>
      <c r="Q1192" s="19"/>
      <c r="R1192" s="19"/>
      <c r="S1192" s="19"/>
      <c r="T1192" s="19"/>
      <c r="U1192" s="19"/>
      <c r="V1192" s="19"/>
    </row>
    <row r="1193">
      <c r="A1193" s="25"/>
      <c r="B1193" s="19"/>
      <c r="C1193" s="19"/>
      <c r="D1193" s="19"/>
      <c r="E1193" s="19"/>
      <c r="F1193" s="17" t="str">
        <f>IFERROR(__xludf.DUMMYFUNCTION("""COMPUTED_VALUE"""),"")</f>
        <v/>
      </c>
      <c r="G1193" s="20"/>
      <c r="H1193" s="19"/>
      <c r="I1193" s="19"/>
      <c r="J1193" s="19"/>
      <c r="K1193" s="19"/>
      <c r="L1193" s="19"/>
      <c r="M1193" s="19"/>
      <c r="N1193" s="20" t="s">
        <v>39</v>
      </c>
      <c r="O1193" s="19"/>
      <c r="P1193" s="19"/>
      <c r="Q1193" s="19"/>
      <c r="R1193" s="19"/>
      <c r="S1193" s="19"/>
      <c r="T1193" s="19"/>
      <c r="U1193" s="19"/>
      <c r="V1193" s="19"/>
    </row>
    <row r="1194">
      <c r="A1194" s="25"/>
      <c r="B1194" s="19"/>
      <c r="C1194" s="19"/>
      <c r="D1194" s="19"/>
      <c r="E1194" s="19"/>
      <c r="F1194" s="17" t="str">
        <f>IFERROR(__xludf.DUMMYFUNCTION("""COMPUTED_VALUE"""),"")</f>
        <v/>
      </c>
      <c r="G1194" s="20"/>
      <c r="H1194" s="19"/>
      <c r="I1194" s="19"/>
      <c r="J1194" s="19"/>
      <c r="K1194" s="19"/>
      <c r="L1194" s="19"/>
      <c r="M1194" s="19"/>
      <c r="N1194" s="20" t="s">
        <v>39</v>
      </c>
      <c r="O1194" s="19"/>
      <c r="P1194" s="19"/>
      <c r="Q1194" s="19"/>
      <c r="R1194" s="19"/>
      <c r="S1194" s="19"/>
      <c r="T1194" s="19"/>
      <c r="U1194" s="19"/>
      <c r="V1194" s="19"/>
    </row>
    <row r="1195">
      <c r="A1195" s="25"/>
      <c r="B1195" s="19"/>
      <c r="C1195" s="19"/>
      <c r="D1195" s="19"/>
      <c r="E1195" s="19"/>
      <c r="F1195" s="17" t="str">
        <f>IFERROR(__xludf.DUMMYFUNCTION("""COMPUTED_VALUE"""),"")</f>
        <v/>
      </c>
      <c r="G1195" s="20"/>
      <c r="H1195" s="19"/>
      <c r="I1195" s="19"/>
      <c r="J1195" s="19"/>
      <c r="K1195" s="19"/>
      <c r="L1195" s="19"/>
      <c r="M1195" s="19"/>
      <c r="N1195" s="20" t="s">
        <v>39</v>
      </c>
      <c r="O1195" s="19"/>
      <c r="P1195" s="19"/>
      <c r="Q1195" s="19"/>
      <c r="R1195" s="19"/>
      <c r="S1195" s="19"/>
      <c r="T1195" s="19"/>
      <c r="U1195" s="19"/>
      <c r="V1195" s="19"/>
    </row>
    <row r="1196">
      <c r="A1196" s="25"/>
      <c r="B1196" s="19"/>
      <c r="C1196" s="19"/>
      <c r="D1196" s="19"/>
      <c r="E1196" s="19"/>
      <c r="F1196" s="17" t="str">
        <f>IFERROR(__xludf.DUMMYFUNCTION("""COMPUTED_VALUE"""),"")</f>
        <v/>
      </c>
      <c r="G1196" s="20"/>
      <c r="H1196" s="19"/>
      <c r="I1196" s="19"/>
      <c r="J1196" s="19"/>
      <c r="K1196" s="19"/>
      <c r="L1196" s="19"/>
      <c r="M1196" s="19"/>
      <c r="N1196" s="20" t="s">
        <v>39</v>
      </c>
      <c r="O1196" s="19"/>
      <c r="P1196" s="19"/>
      <c r="Q1196" s="19"/>
      <c r="R1196" s="19"/>
      <c r="S1196" s="19"/>
      <c r="T1196" s="19"/>
      <c r="U1196" s="19"/>
      <c r="V1196" s="19"/>
    </row>
    <row r="1197">
      <c r="A1197" s="25"/>
      <c r="B1197" s="19"/>
      <c r="C1197" s="19"/>
      <c r="D1197" s="19"/>
      <c r="E1197" s="19"/>
      <c r="F1197" s="17" t="str">
        <f>IFERROR(__xludf.DUMMYFUNCTION("""COMPUTED_VALUE"""),"")</f>
        <v/>
      </c>
      <c r="G1197" s="20"/>
      <c r="H1197" s="19"/>
      <c r="I1197" s="19"/>
      <c r="J1197" s="19"/>
      <c r="K1197" s="19"/>
      <c r="L1197" s="19"/>
      <c r="M1197" s="19"/>
      <c r="N1197" s="20" t="s">
        <v>39</v>
      </c>
      <c r="O1197" s="19"/>
      <c r="P1197" s="19"/>
      <c r="Q1197" s="19"/>
      <c r="R1197" s="19"/>
      <c r="S1197" s="19"/>
      <c r="T1197" s="19"/>
      <c r="U1197" s="19"/>
      <c r="V1197" s="19"/>
    </row>
    <row r="1198">
      <c r="A1198" s="25"/>
      <c r="B1198" s="19"/>
      <c r="C1198" s="19"/>
      <c r="D1198" s="19"/>
      <c r="E1198" s="19"/>
      <c r="F1198" s="17" t="str">
        <f>IFERROR(__xludf.DUMMYFUNCTION("""COMPUTED_VALUE"""),"")</f>
        <v/>
      </c>
      <c r="G1198" s="20"/>
      <c r="H1198" s="19"/>
      <c r="I1198" s="19"/>
      <c r="J1198" s="19"/>
      <c r="K1198" s="19"/>
      <c r="L1198" s="19"/>
      <c r="M1198" s="19"/>
      <c r="N1198" s="20" t="s">
        <v>39</v>
      </c>
      <c r="O1198" s="19"/>
      <c r="P1198" s="19"/>
      <c r="Q1198" s="19"/>
      <c r="R1198" s="19"/>
      <c r="S1198" s="19"/>
      <c r="T1198" s="19"/>
      <c r="U1198" s="19"/>
      <c r="V1198" s="19"/>
    </row>
    <row r="1199">
      <c r="A1199" s="25"/>
      <c r="B1199" s="19"/>
      <c r="C1199" s="19"/>
      <c r="D1199" s="19"/>
      <c r="E1199" s="19"/>
      <c r="F1199" s="17" t="str">
        <f>IFERROR(__xludf.DUMMYFUNCTION("""COMPUTED_VALUE"""),"")</f>
        <v/>
      </c>
      <c r="G1199" s="20"/>
      <c r="H1199" s="19"/>
      <c r="I1199" s="19"/>
      <c r="J1199" s="19"/>
      <c r="K1199" s="19"/>
      <c r="L1199" s="19"/>
      <c r="M1199" s="19"/>
      <c r="N1199" s="20" t="s">
        <v>39</v>
      </c>
      <c r="O1199" s="19"/>
      <c r="P1199" s="19"/>
      <c r="Q1199" s="19"/>
      <c r="R1199" s="19"/>
      <c r="S1199" s="19"/>
      <c r="T1199" s="19"/>
      <c r="U1199" s="19"/>
      <c r="V1199" s="19"/>
    </row>
    <row r="1200">
      <c r="A1200" s="25"/>
      <c r="B1200" s="19"/>
      <c r="C1200" s="19"/>
      <c r="D1200" s="19"/>
      <c r="E1200" s="19"/>
      <c r="F1200" s="17" t="str">
        <f>IFERROR(__xludf.DUMMYFUNCTION("""COMPUTED_VALUE"""),"")</f>
        <v/>
      </c>
      <c r="G1200" s="20"/>
      <c r="H1200" s="19"/>
      <c r="I1200" s="19"/>
      <c r="J1200" s="19"/>
      <c r="K1200" s="19"/>
      <c r="L1200" s="19"/>
      <c r="M1200" s="19"/>
      <c r="N1200" s="20" t="s">
        <v>39</v>
      </c>
      <c r="O1200" s="19"/>
      <c r="P1200" s="19"/>
      <c r="Q1200" s="19"/>
      <c r="R1200" s="19"/>
      <c r="S1200" s="19"/>
      <c r="T1200" s="19"/>
      <c r="U1200" s="19"/>
      <c r="V1200" s="19"/>
    </row>
    <row r="1201">
      <c r="A1201" s="25"/>
      <c r="B1201" s="19"/>
      <c r="C1201" s="19"/>
      <c r="D1201" s="19"/>
      <c r="E1201" s="19"/>
      <c r="F1201" s="17" t="str">
        <f>IFERROR(__xludf.DUMMYFUNCTION("""COMPUTED_VALUE"""),"")</f>
        <v/>
      </c>
      <c r="G1201" s="20"/>
      <c r="H1201" s="19"/>
      <c r="I1201" s="19"/>
      <c r="J1201" s="19"/>
      <c r="K1201" s="19"/>
      <c r="L1201" s="19"/>
      <c r="M1201" s="19"/>
      <c r="N1201" s="20" t="s">
        <v>39</v>
      </c>
      <c r="O1201" s="19"/>
      <c r="P1201" s="19"/>
      <c r="Q1201" s="19"/>
      <c r="R1201" s="19"/>
      <c r="S1201" s="19"/>
      <c r="T1201" s="19"/>
      <c r="U1201" s="19"/>
      <c r="V1201" s="19"/>
    </row>
    <row r="1202">
      <c r="A1202" s="25"/>
      <c r="B1202" s="19"/>
      <c r="C1202" s="19"/>
      <c r="D1202" s="19"/>
      <c r="E1202" s="19"/>
      <c r="F1202" s="17" t="str">
        <f>IFERROR(__xludf.DUMMYFUNCTION("""COMPUTED_VALUE"""),"")</f>
        <v/>
      </c>
      <c r="G1202" s="20"/>
      <c r="H1202" s="19"/>
      <c r="I1202" s="19"/>
      <c r="J1202" s="19"/>
      <c r="K1202" s="19"/>
      <c r="L1202" s="19"/>
      <c r="M1202" s="19"/>
      <c r="N1202" s="20" t="s">
        <v>39</v>
      </c>
      <c r="O1202" s="19"/>
      <c r="P1202" s="19"/>
      <c r="Q1202" s="19"/>
      <c r="R1202" s="19"/>
      <c r="S1202" s="19"/>
      <c r="T1202" s="19"/>
      <c r="U1202" s="19"/>
      <c r="V1202" s="19"/>
    </row>
    <row r="1203">
      <c r="A1203" s="25"/>
      <c r="B1203" s="19"/>
      <c r="C1203" s="19"/>
      <c r="D1203" s="19"/>
      <c r="E1203" s="19"/>
      <c r="F1203" s="17" t="str">
        <f>IFERROR(__xludf.DUMMYFUNCTION("""COMPUTED_VALUE"""),"")</f>
        <v/>
      </c>
      <c r="G1203" s="20"/>
      <c r="H1203" s="19"/>
      <c r="I1203" s="19"/>
      <c r="J1203" s="19"/>
      <c r="K1203" s="19"/>
      <c r="L1203" s="19"/>
      <c r="M1203" s="19"/>
      <c r="N1203" s="20" t="s">
        <v>39</v>
      </c>
      <c r="O1203" s="19"/>
      <c r="P1203" s="19"/>
      <c r="Q1203" s="19"/>
      <c r="R1203" s="19"/>
      <c r="S1203" s="19"/>
      <c r="T1203" s="19"/>
      <c r="U1203" s="19"/>
      <c r="V1203" s="19"/>
    </row>
    <row r="1204">
      <c r="A1204" s="25"/>
      <c r="B1204" s="19"/>
      <c r="C1204" s="19"/>
      <c r="D1204" s="19"/>
      <c r="E1204" s="19"/>
      <c r="F1204" s="17" t="str">
        <f>IFERROR(__xludf.DUMMYFUNCTION("""COMPUTED_VALUE"""),"")</f>
        <v/>
      </c>
      <c r="G1204" s="20"/>
      <c r="H1204" s="19"/>
      <c r="I1204" s="19"/>
      <c r="J1204" s="19"/>
      <c r="K1204" s="19"/>
      <c r="L1204" s="19"/>
      <c r="M1204" s="19"/>
      <c r="N1204" s="20" t="s">
        <v>39</v>
      </c>
      <c r="O1204" s="19"/>
      <c r="P1204" s="19"/>
      <c r="Q1204" s="19"/>
      <c r="R1204" s="19"/>
      <c r="S1204" s="19"/>
      <c r="T1204" s="19"/>
      <c r="U1204" s="19"/>
      <c r="V1204" s="19"/>
    </row>
    <row r="1205">
      <c r="A1205" s="25"/>
      <c r="B1205" s="19"/>
      <c r="C1205" s="19"/>
      <c r="D1205" s="19"/>
      <c r="E1205" s="19"/>
      <c r="F1205" s="17" t="str">
        <f>IFERROR(__xludf.DUMMYFUNCTION("""COMPUTED_VALUE"""),"")</f>
        <v/>
      </c>
      <c r="G1205" s="20"/>
      <c r="H1205" s="19"/>
      <c r="I1205" s="19"/>
      <c r="J1205" s="19"/>
      <c r="K1205" s="19"/>
      <c r="L1205" s="19"/>
      <c r="M1205" s="19"/>
      <c r="N1205" s="20" t="s">
        <v>39</v>
      </c>
      <c r="O1205" s="19"/>
      <c r="P1205" s="19"/>
      <c r="Q1205" s="19"/>
      <c r="R1205" s="19"/>
      <c r="S1205" s="19"/>
      <c r="T1205" s="19"/>
      <c r="U1205" s="19"/>
      <c r="V1205" s="19"/>
    </row>
    <row r="1206">
      <c r="A1206" s="25"/>
      <c r="B1206" s="19"/>
      <c r="C1206" s="19"/>
      <c r="D1206" s="19"/>
      <c r="E1206" s="19"/>
      <c r="F1206" s="17" t="str">
        <f>IFERROR(__xludf.DUMMYFUNCTION("""COMPUTED_VALUE"""),"")</f>
        <v/>
      </c>
      <c r="G1206" s="20"/>
      <c r="H1206" s="19"/>
      <c r="I1206" s="19"/>
      <c r="J1206" s="19"/>
      <c r="K1206" s="19"/>
      <c r="L1206" s="19"/>
      <c r="M1206" s="19"/>
      <c r="N1206" s="20" t="s">
        <v>39</v>
      </c>
      <c r="O1206" s="19"/>
      <c r="P1206" s="19"/>
      <c r="Q1206" s="19"/>
      <c r="R1206" s="19"/>
      <c r="S1206" s="19"/>
      <c r="T1206" s="19"/>
      <c r="U1206" s="19"/>
      <c r="V1206" s="19"/>
    </row>
    <row r="1207">
      <c r="A1207" s="25"/>
      <c r="B1207" s="19"/>
      <c r="C1207" s="19"/>
      <c r="D1207" s="19"/>
      <c r="E1207" s="19"/>
      <c r="F1207" s="17" t="str">
        <f>IFERROR(__xludf.DUMMYFUNCTION("""COMPUTED_VALUE"""),"")</f>
        <v/>
      </c>
      <c r="G1207" s="20"/>
      <c r="H1207" s="19"/>
      <c r="I1207" s="19"/>
      <c r="J1207" s="19"/>
      <c r="K1207" s="19"/>
      <c r="L1207" s="19"/>
      <c r="M1207" s="19"/>
      <c r="N1207" s="20" t="s">
        <v>39</v>
      </c>
      <c r="O1207" s="19"/>
      <c r="P1207" s="19"/>
      <c r="Q1207" s="19"/>
      <c r="R1207" s="19"/>
      <c r="S1207" s="19"/>
      <c r="T1207" s="19"/>
      <c r="U1207" s="19"/>
      <c r="V1207" s="19"/>
    </row>
    <row r="1208">
      <c r="A1208" s="25"/>
      <c r="B1208" s="19"/>
      <c r="C1208" s="19"/>
      <c r="D1208" s="19"/>
      <c r="E1208" s="19"/>
      <c r="F1208" s="17" t="str">
        <f>IFERROR(__xludf.DUMMYFUNCTION("""COMPUTED_VALUE"""),"")</f>
        <v/>
      </c>
      <c r="G1208" s="20"/>
      <c r="H1208" s="19"/>
      <c r="I1208" s="19"/>
      <c r="J1208" s="19"/>
      <c r="K1208" s="19"/>
      <c r="L1208" s="19"/>
      <c r="M1208" s="19"/>
      <c r="N1208" s="20" t="s">
        <v>39</v>
      </c>
      <c r="O1208" s="19"/>
      <c r="P1208" s="19"/>
      <c r="Q1208" s="19"/>
      <c r="R1208" s="19"/>
      <c r="S1208" s="19"/>
      <c r="T1208" s="19"/>
      <c r="U1208" s="19"/>
      <c r="V1208" s="19"/>
    </row>
    <row r="1209">
      <c r="A1209" s="25"/>
      <c r="B1209" s="19"/>
      <c r="C1209" s="19"/>
      <c r="D1209" s="19"/>
      <c r="E1209" s="19"/>
      <c r="F1209" s="17" t="str">
        <f>IFERROR(__xludf.DUMMYFUNCTION("""COMPUTED_VALUE"""),"")</f>
        <v/>
      </c>
      <c r="G1209" s="20"/>
      <c r="H1209" s="19"/>
      <c r="I1209" s="19"/>
      <c r="J1209" s="19"/>
      <c r="K1209" s="19"/>
      <c r="L1209" s="19"/>
      <c r="M1209" s="19"/>
      <c r="N1209" s="20" t="s">
        <v>39</v>
      </c>
      <c r="O1209" s="19"/>
      <c r="P1209" s="19"/>
      <c r="Q1209" s="19"/>
      <c r="R1209" s="19"/>
      <c r="S1209" s="19"/>
      <c r="T1209" s="19"/>
      <c r="U1209" s="19"/>
      <c r="V1209" s="19"/>
    </row>
    <row r="1210">
      <c r="A1210" s="25"/>
      <c r="B1210" s="19"/>
      <c r="C1210" s="19"/>
      <c r="D1210" s="19"/>
      <c r="E1210" s="19"/>
      <c r="F1210" s="17" t="str">
        <f>IFERROR(__xludf.DUMMYFUNCTION("""COMPUTED_VALUE"""),"")</f>
        <v/>
      </c>
      <c r="G1210" s="20"/>
      <c r="H1210" s="19"/>
      <c r="I1210" s="19"/>
      <c r="J1210" s="19"/>
      <c r="K1210" s="19"/>
      <c r="L1210" s="19"/>
      <c r="M1210" s="19"/>
      <c r="N1210" s="20" t="s">
        <v>39</v>
      </c>
      <c r="O1210" s="19"/>
      <c r="P1210" s="19"/>
      <c r="Q1210" s="19"/>
      <c r="R1210" s="19"/>
      <c r="S1210" s="19"/>
      <c r="T1210" s="19"/>
      <c r="U1210" s="19"/>
      <c r="V1210" s="19"/>
    </row>
    <row r="1211">
      <c r="A1211" s="25"/>
      <c r="B1211" s="19"/>
      <c r="C1211" s="19"/>
      <c r="D1211" s="19"/>
      <c r="E1211" s="19"/>
      <c r="F1211" s="17" t="str">
        <f>IFERROR(__xludf.DUMMYFUNCTION("""COMPUTED_VALUE"""),"")</f>
        <v/>
      </c>
      <c r="G1211" s="20"/>
      <c r="H1211" s="19"/>
      <c r="I1211" s="19"/>
      <c r="J1211" s="19"/>
      <c r="K1211" s="19"/>
      <c r="L1211" s="19"/>
      <c r="M1211" s="19"/>
      <c r="N1211" s="20" t="s">
        <v>39</v>
      </c>
      <c r="O1211" s="19"/>
      <c r="P1211" s="19"/>
      <c r="Q1211" s="19"/>
      <c r="R1211" s="19"/>
      <c r="S1211" s="19"/>
      <c r="T1211" s="19"/>
      <c r="U1211" s="19"/>
      <c r="V1211" s="19"/>
    </row>
    <row r="1212">
      <c r="A1212" s="25"/>
      <c r="B1212" s="19"/>
      <c r="C1212" s="19"/>
      <c r="D1212" s="19"/>
      <c r="E1212" s="19"/>
      <c r="F1212" s="17" t="str">
        <f>IFERROR(__xludf.DUMMYFUNCTION("""COMPUTED_VALUE"""),"")</f>
        <v/>
      </c>
      <c r="G1212" s="20"/>
      <c r="H1212" s="19"/>
      <c r="I1212" s="19"/>
      <c r="J1212" s="19"/>
      <c r="K1212" s="19"/>
      <c r="L1212" s="19"/>
      <c r="M1212" s="19"/>
      <c r="N1212" s="20" t="s">
        <v>39</v>
      </c>
      <c r="O1212" s="19"/>
      <c r="P1212" s="19"/>
      <c r="Q1212" s="19"/>
      <c r="R1212" s="19"/>
      <c r="S1212" s="19"/>
      <c r="T1212" s="19"/>
      <c r="U1212" s="19"/>
      <c r="V1212" s="19"/>
    </row>
    <row r="1213">
      <c r="A1213" s="25"/>
      <c r="B1213" s="19"/>
      <c r="C1213" s="19"/>
      <c r="D1213" s="19"/>
      <c r="E1213" s="19"/>
      <c r="F1213" s="17" t="str">
        <f>IFERROR(__xludf.DUMMYFUNCTION("""COMPUTED_VALUE"""),"")</f>
        <v/>
      </c>
      <c r="G1213" s="20"/>
      <c r="H1213" s="19"/>
      <c r="I1213" s="19"/>
      <c r="J1213" s="19"/>
      <c r="K1213" s="19"/>
      <c r="L1213" s="19"/>
      <c r="M1213" s="19"/>
      <c r="N1213" s="20" t="s">
        <v>39</v>
      </c>
      <c r="O1213" s="19"/>
      <c r="P1213" s="19"/>
      <c r="Q1213" s="19"/>
      <c r="R1213" s="19"/>
      <c r="S1213" s="19"/>
      <c r="T1213" s="19"/>
      <c r="U1213" s="19"/>
      <c r="V1213" s="19"/>
    </row>
    <row r="1214">
      <c r="A1214" s="25"/>
      <c r="B1214" s="19"/>
      <c r="C1214" s="19"/>
      <c r="D1214" s="19"/>
      <c r="E1214" s="19"/>
      <c r="F1214" s="17" t="str">
        <f>IFERROR(__xludf.DUMMYFUNCTION("""COMPUTED_VALUE"""),"")</f>
        <v/>
      </c>
      <c r="G1214" s="20"/>
      <c r="H1214" s="19"/>
      <c r="I1214" s="19"/>
      <c r="J1214" s="19"/>
      <c r="K1214" s="19"/>
      <c r="L1214" s="19"/>
      <c r="M1214" s="19"/>
      <c r="N1214" s="20" t="s">
        <v>39</v>
      </c>
      <c r="O1214" s="19"/>
      <c r="P1214" s="19"/>
      <c r="Q1214" s="19"/>
      <c r="R1214" s="19"/>
      <c r="S1214" s="19"/>
      <c r="T1214" s="19"/>
      <c r="U1214" s="19"/>
      <c r="V1214" s="19"/>
    </row>
    <row r="1215">
      <c r="A1215" s="25"/>
      <c r="B1215" s="19"/>
      <c r="C1215" s="19"/>
      <c r="D1215" s="19"/>
      <c r="E1215" s="19"/>
      <c r="F1215" s="17" t="str">
        <f>IFERROR(__xludf.DUMMYFUNCTION("""COMPUTED_VALUE"""),"")</f>
        <v/>
      </c>
      <c r="G1215" s="20"/>
      <c r="H1215" s="19"/>
      <c r="I1215" s="19"/>
      <c r="J1215" s="19"/>
      <c r="K1215" s="19"/>
      <c r="L1215" s="19"/>
      <c r="M1215" s="19"/>
      <c r="N1215" s="20" t="s">
        <v>39</v>
      </c>
      <c r="O1215" s="19"/>
      <c r="P1215" s="19"/>
      <c r="Q1215" s="19"/>
      <c r="R1215" s="19"/>
      <c r="S1215" s="19"/>
      <c r="T1215" s="19"/>
      <c r="U1215" s="19"/>
      <c r="V1215" s="19"/>
    </row>
    <row r="1216">
      <c r="A1216" s="25"/>
      <c r="B1216" s="19"/>
      <c r="C1216" s="19"/>
      <c r="D1216" s="19"/>
      <c r="E1216" s="19"/>
      <c r="F1216" s="17" t="str">
        <f>IFERROR(__xludf.DUMMYFUNCTION("""COMPUTED_VALUE"""),"")</f>
        <v/>
      </c>
      <c r="G1216" s="20"/>
      <c r="H1216" s="19"/>
      <c r="I1216" s="19"/>
      <c r="J1216" s="19"/>
      <c r="K1216" s="19"/>
      <c r="L1216" s="19"/>
      <c r="M1216" s="19"/>
      <c r="N1216" s="20" t="s">
        <v>39</v>
      </c>
      <c r="O1216" s="19"/>
      <c r="P1216" s="19"/>
      <c r="Q1216" s="19"/>
      <c r="R1216" s="19"/>
      <c r="S1216" s="19"/>
      <c r="T1216" s="19"/>
      <c r="U1216" s="19"/>
      <c r="V1216" s="19"/>
    </row>
    <row r="1217">
      <c r="A1217" s="25"/>
      <c r="B1217" s="19"/>
      <c r="C1217" s="19"/>
      <c r="D1217" s="19"/>
      <c r="E1217" s="19"/>
      <c r="F1217" s="17" t="str">
        <f>IFERROR(__xludf.DUMMYFUNCTION("""COMPUTED_VALUE"""),"")</f>
        <v/>
      </c>
      <c r="G1217" s="20"/>
      <c r="H1217" s="19"/>
      <c r="I1217" s="19"/>
      <c r="J1217" s="19"/>
      <c r="K1217" s="19"/>
      <c r="L1217" s="19"/>
      <c r="M1217" s="19"/>
      <c r="N1217" s="20" t="s">
        <v>39</v>
      </c>
      <c r="O1217" s="19"/>
      <c r="P1217" s="19"/>
      <c r="Q1217" s="19"/>
      <c r="R1217" s="19"/>
      <c r="S1217" s="19"/>
      <c r="T1217" s="19"/>
      <c r="U1217" s="19"/>
      <c r="V1217" s="19"/>
    </row>
    <row r="1218">
      <c r="A1218" s="25"/>
      <c r="B1218" s="19"/>
      <c r="C1218" s="19"/>
      <c r="D1218" s="19"/>
      <c r="E1218" s="19"/>
      <c r="F1218" s="17" t="str">
        <f>IFERROR(__xludf.DUMMYFUNCTION("""COMPUTED_VALUE"""),"")</f>
        <v/>
      </c>
      <c r="G1218" s="20"/>
      <c r="H1218" s="19"/>
      <c r="I1218" s="19"/>
      <c r="J1218" s="19"/>
      <c r="K1218" s="19"/>
      <c r="L1218" s="19"/>
      <c r="M1218" s="19"/>
      <c r="N1218" s="20" t="s">
        <v>39</v>
      </c>
      <c r="O1218" s="19"/>
      <c r="P1218" s="19"/>
      <c r="Q1218" s="19"/>
      <c r="R1218" s="19"/>
      <c r="S1218" s="19"/>
      <c r="T1218" s="19"/>
      <c r="U1218" s="19"/>
      <c r="V1218" s="19"/>
    </row>
    <row r="1219">
      <c r="A1219" s="25"/>
      <c r="B1219" s="19"/>
      <c r="C1219" s="19"/>
      <c r="D1219" s="19"/>
      <c r="E1219" s="19"/>
      <c r="F1219" s="17" t="str">
        <f>IFERROR(__xludf.DUMMYFUNCTION("""COMPUTED_VALUE"""),"")</f>
        <v/>
      </c>
      <c r="G1219" s="20"/>
      <c r="H1219" s="19"/>
      <c r="I1219" s="19"/>
      <c r="J1219" s="19"/>
      <c r="K1219" s="19"/>
      <c r="L1219" s="19"/>
      <c r="M1219" s="19"/>
      <c r="N1219" s="20" t="s">
        <v>39</v>
      </c>
      <c r="O1219" s="19"/>
      <c r="P1219" s="19"/>
      <c r="Q1219" s="19"/>
      <c r="R1219" s="19"/>
      <c r="S1219" s="19"/>
      <c r="T1219" s="19"/>
      <c r="U1219" s="19"/>
      <c r="V1219" s="19"/>
    </row>
    <row r="1220">
      <c r="A1220" s="25"/>
      <c r="B1220" s="19"/>
      <c r="C1220" s="19"/>
      <c r="D1220" s="19"/>
      <c r="E1220" s="19"/>
      <c r="F1220" s="17" t="str">
        <f>IFERROR(__xludf.DUMMYFUNCTION("""COMPUTED_VALUE"""),"")</f>
        <v/>
      </c>
      <c r="G1220" s="20"/>
      <c r="H1220" s="19"/>
      <c r="I1220" s="19"/>
      <c r="J1220" s="19"/>
      <c r="K1220" s="19"/>
      <c r="L1220" s="19"/>
      <c r="M1220" s="19"/>
      <c r="N1220" s="20" t="s">
        <v>39</v>
      </c>
      <c r="O1220" s="19"/>
      <c r="P1220" s="19"/>
      <c r="Q1220" s="19"/>
      <c r="R1220" s="19"/>
      <c r="S1220" s="19"/>
      <c r="T1220" s="19"/>
      <c r="U1220" s="19"/>
      <c r="V1220" s="19"/>
    </row>
    <row r="1221">
      <c r="A1221" s="25"/>
      <c r="B1221" s="19"/>
      <c r="C1221" s="19"/>
      <c r="D1221" s="19"/>
      <c r="E1221" s="19"/>
      <c r="F1221" s="17" t="str">
        <f>IFERROR(__xludf.DUMMYFUNCTION("""COMPUTED_VALUE"""),"")</f>
        <v/>
      </c>
      <c r="G1221" s="20"/>
      <c r="H1221" s="19"/>
      <c r="I1221" s="19"/>
      <c r="J1221" s="19"/>
      <c r="K1221" s="19"/>
      <c r="L1221" s="19"/>
      <c r="M1221" s="19"/>
      <c r="N1221" s="20" t="s">
        <v>39</v>
      </c>
      <c r="O1221" s="19"/>
      <c r="P1221" s="19"/>
      <c r="Q1221" s="19"/>
      <c r="R1221" s="19"/>
      <c r="S1221" s="19"/>
      <c r="T1221" s="19"/>
      <c r="U1221" s="19"/>
      <c r="V1221" s="19"/>
    </row>
    <row r="1222">
      <c r="A1222" s="25"/>
      <c r="B1222" s="19"/>
      <c r="C1222" s="19"/>
      <c r="D1222" s="19"/>
      <c r="E1222" s="19"/>
      <c r="F1222" s="17" t="str">
        <f>IFERROR(__xludf.DUMMYFUNCTION("""COMPUTED_VALUE"""),"")</f>
        <v/>
      </c>
      <c r="G1222" s="20"/>
      <c r="H1222" s="19"/>
      <c r="I1222" s="19"/>
      <c r="J1222" s="19"/>
      <c r="K1222" s="19"/>
      <c r="L1222" s="19"/>
      <c r="M1222" s="19"/>
      <c r="N1222" s="20" t="s">
        <v>39</v>
      </c>
      <c r="O1222" s="19"/>
      <c r="P1222" s="19"/>
      <c r="Q1222" s="19"/>
      <c r="R1222" s="19"/>
      <c r="S1222" s="19"/>
      <c r="T1222" s="19"/>
      <c r="U1222" s="19"/>
      <c r="V1222" s="19"/>
    </row>
    <row r="1223">
      <c r="A1223" s="25"/>
      <c r="B1223" s="19"/>
      <c r="C1223" s="19"/>
      <c r="D1223" s="19"/>
      <c r="E1223" s="19"/>
      <c r="F1223" s="17" t="str">
        <f>IFERROR(__xludf.DUMMYFUNCTION("""COMPUTED_VALUE"""),"")</f>
        <v/>
      </c>
      <c r="G1223" s="20"/>
      <c r="H1223" s="19"/>
      <c r="I1223" s="19"/>
      <c r="J1223" s="19"/>
      <c r="K1223" s="19"/>
      <c r="L1223" s="19"/>
      <c r="M1223" s="19"/>
      <c r="N1223" s="20" t="s">
        <v>39</v>
      </c>
      <c r="O1223" s="19"/>
      <c r="P1223" s="19"/>
      <c r="Q1223" s="19"/>
      <c r="R1223" s="19"/>
      <c r="S1223" s="19"/>
      <c r="T1223" s="19"/>
      <c r="U1223" s="19"/>
      <c r="V1223" s="19"/>
    </row>
    <row r="1224">
      <c r="A1224" s="25"/>
      <c r="B1224" s="19"/>
      <c r="C1224" s="19"/>
      <c r="D1224" s="19"/>
      <c r="E1224" s="19"/>
      <c r="F1224" s="17" t="str">
        <f>IFERROR(__xludf.DUMMYFUNCTION("""COMPUTED_VALUE"""),"")</f>
        <v/>
      </c>
      <c r="G1224" s="20"/>
      <c r="H1224" s="19"/>
      <c r="I1224" s="19"/>
      <c r="J1224" s="19"/>
      <c r="K1224" s="19"/>
      <c r="L1224" s="19"/>
      <c r="M1224" s="19"/>
      <c r="N1224" s="20" t="s">
        <v>39</v>
      </c>
      <c r="O1224" s="19"/>
      <c r="P1224" s="19"/>
      <c r="Q1224" s="19"/>
      <c r="R1224" s="19"/>
      <c r="S1224" s="19"/>
      <c r="T1224" s="19"/>
      <c r="U1224" s="19"/>
      <c r="V1224" s="19"/>
    </row>
    <row r="1225">
      <c r="A1225" s="25"/>
      <c r="B1225" s="19"/>
      <c r="C1225" s="19"/>
      <c r="D1225" s="19"/>
      <c r="E1225" s="19"/>
      <c r="F1225" s="17" t="str">
        <f>IFERROR(__xludf.DUMMYFUNCTION("""COMPUTED_VALUE"""),"")</f>
        <v/>
      </c>
      <c r="G1225" s="20"/>
      <c r="H1225" s="19"/>
      <c r="I1225" s="19"/>
      <c r="J1225" s="19"/>
      <c r="K1225" s="19"/>
      <c r="L1225" s="19"/>
      <c r="M1225" s="19"/>
      <c r="N1225" s="20" t="s">
        <v>39</v>
      </c>
      <c r="O1225" s="19"/>
      <c r="P1225" s="19"/>
      <c r="Q1225" s="19"/>
      <c r="R1225" s="19"/>
      <c r="S1225" s="19"/>
      <c r="T1225" s="19"/>
      <c r="U1225" s="19"/>
      <c r="V1225" s="19"/>
    </row>
    <row r="1226">
      <c r="A1226" s="25"/>
      <c r="B1226" s="19"/>
      <c r="C1226" s="19"/>
      <c r="D1226" s="19"/>
      <c r="E1226" s="19"/>
      <c r="F1226" s="17" t="str">
        <f>IFERROR(__xludf.DUMMYFUNCTION("""COMPUTED_VALUE"""),"")</f>
        <v/>
      </c>
      <c r="G1226" s="20"/>
      <c r="H1226" s="19"/>
      <c r="I1226" s="19"/>
      <c r="J1226" s="19"/>
      <c r="K1226" s="19"/>
      <c r="L1226" s="19"/>
      <c r="M1226" s="19"/>
      <c r="N1226" s="20" t="s">
        <v>39</v>
      </c>
      <c r="O1226" s="19"/>
      <c r="P1226" s="19"/>
      <c r="Q1226" s="19"/>
      <c r="R1226" s="19"/>
      <c r="S1226" s="19"/>
      <c r="T1226" s="19"/>
      <c r="U1226" s="19"/>
      <c r="V1226" s="19"/>
    </row>
    <row r="1227">
      <c r="A1227" s="25"/>
      <c r="B1227" s="19"/>
      <c r="C1227" s="19"/>
      <c r="D1227" s="19"/>
      <c r="E1227" s="19"/>
      <c r="F1227" s="17" t="str">
        <f>IFERROR(__xludf.DUMMYFUNCTION("""COMPUTED_VALUE"""),"")</f>
        <v/>
      </c>
      <c r="G1227" s="20"/>
      <c r="H1227" s="19"/>
      <c r="I1227" s="19"/>
      <c r="J1227" s="19"/>
      <c r="K1227" s="19"/>
      <c r="L1227" s="19"/>
      <c r="M1227" s="19"/>
      <c r="N1227" s="20" t="s">
        <v>39</v>
      </c>
      <c r="O1227" s="19"/>
      <c r="P1227" s="19"/>
      <c r="Q1227" s="19"/>
      <c r="R1227" s="19"/>
      <c r="S1227" s="19"/>
      <c r="T1227" s="19"/>
      <c r="U1227" s="19"/>
      <c r="V1227" s="19"/>
    </row>
    <row r="1228">
      <c r="A1228" s="25"/>
      <c r="B1228" s="19"/>
      <c r="C1228" s="19"/>
      <c r="D1228" s="19"/>
      <c r="E1228" s="19"/>
      <c r="F1228" s="17" t="str">
        <f>IFERROR(__xludf.DUMMYFUNCTION("""COMPUTED_VALUE"""),"")</f>
        <v/>
      </c>
      <c r="G1228" s="20"/>
      <c r="H1228" s="19"/>
      <c r="I1228" s="19"/>
      <c r="J1228" s="19"/>
      <c r="K1228" s="19"/>
      <c r="L1228" s="19"/>
      <c r="M1228" s="19"/>
      <c r="N1228" s="20" t="s">
        <v>39</v>
      </c>
      <c r="O1228" s="19"/>
      <c r="P1228" s="19"/>
      <c r="Q1228" s="19"/>
      <c r="R1228" s="19"/>
      <c r="S1228" s="19"/>
      <c r="T1228" s="19"/>
      <c r="U1228" s="19"/>
      <c r="V1228" s="19"/>
    </row>
    <row r="1229">
      <c r="A1229" s="25"/>
      <c r="B1229" s="19"/>
      <c r="C1229" s="19"/>
      <c r="D1229" s="19"/>
      <c r="E1229" s="19"/>
      <c r="F1229" s="17" t="str">
        <f>IFERROR(__xludf.DUMMYFUNCTION("""COMPUTED_VALUE"""),"")</f>
        <v/>
      </c>
      <c r="G1229" s="20"/>
      <c r="H1229" s="19"/>
      <c r="I1229" s="19"/>
      <c r="J1229" s="19"/>
      <c r="K1229" s="19"/>
      <c r="L1229" s="19"/>
      <c r="M1229" s="19"/>
      <c r="N1229" s="20" t="s">
        <v>39</v>
      </c>
      <c r="O1229" s="19"/>
      <c r="P1229" s="19"/>
      <c r="Q1229" s="19"/>
      <c r="R1229" s="19"/>
      <c r="S1229" s="19"/>
      <c r="T1229" s="19"/>
      <c r="U1229" s="19"/>
      <c r="V1229" s="19"/>
    </row>
    <row r="1230">
      <c r="A1230" s="25"/>
      <c r="B1230" s="19"/>
      <c r="C1230" s="19"/>
      <c r="D1230" s="19"/>
      <c r="E1230" s="19"/>
      <c r="F1230" s="17" t="str">
        <f>IFERROR(__xludf.DUMMYFUNCTION("""COMPUTED_VALUE"""),"")</f>
        <v/>
      </c>
      <c r="G1230" s="20"/>
      <c r="H1230" s="19"/>
      <c r="I1230" s="19"/>
      <c r="J1230" s="19"/>
      <c r="K1230" s="19"/>
      <c r="L1230" s="19"/>
      <c r="M1230" s="19"/>
      <c r="N1230" s="20" t="s">
        <v>39</v>
      </c>
      <c r="O1230" s="19"/>
      <c r="P1230" s="19"/>
      <c r="Q1230" s="19"/>
      <c r="R1230" s="19"/>
      <c r="S1230" s="19"/>
      <c r="T1230" s="19"/>
      <c r="U1230" s="19"/>
      <c r="V1230" s="19"/>
    </row>
    <row r="1231">
      <c r="A1231" s="25"/>
      <c r="B1231" s="19"/>
      <c r="C1231" s="19"/>
      <c r="D1231" s="19"/>
      <c r="E1231" s="19"/>
      <c r="F1231" s="17" t="str">
        <f>IFERROR(__xludf.DUMMYFUNCTION("""COMPUTED_VALUE"""),"")</f>
        <v/>
      </c>
      <c r="G1231" s="20"/>
      <c r="H1231" s="19"/>
      <c r="I1231" s="19"/>
      <c r="J1231" s="19"/>
      <c r="K1231" s="19"/>
      <c r="L1231" s="19"/>
      <c r="M1231" s="19"/>
      <c r="N1231" s="20" t="s">
        <v>39</v>
      </c>
      <c r="O1231" s="19"/>
      <c r="P1231" s="19"/>
      <c r="Q1231" s="19"/>
      <c r="R1231" s="19"/>
      <c r="S1231" s="19"/>
      <c r="T1231" s="19"/>
      <c r="U1231" s="19"/>
      <c r="V1231" s="19"/>
    </row>
    <row r="1232">
      <c r="A1232" s="25"/>
      <c r="B1232" s="19"/>
      <c r="C1232" s="19"/>
      <c r="D1232" s="19"/>
      <c r="E1232" s="19"/>
      <c r="F1232" s="17" t="str">
        <f>IFERROR(__xludf.DUMMYFUNCTION("""COMPUTED_VALUE"""),"")</f>
        <v/>
      </c>
      <c r="G1232" s="20"/>
      <c r="H1232" s="19"/>
      <c r="I1232" s="19"/>
      <c r="J1232" s="19"/>
      <c r="K1232" s="19"/>
      <c r="L1232" s="19"/>
      <c r="M1232" s="19"/>
      <c r="N1232" s="20" t="s">
        <v>39</v>
      </c>
      <c r="O1232" s="19"/>
      <c r="P1232" s="19"/>
      <c r="Q1232" s="19"/>
      <c r="R1232" s="19"/>
      <c r="S1232" s="19"/>
      <c r="T1232" s="19"/>
      <c r="U1232" s="19"/>
      <c r="V1232" s="19"/>
    </row>
    <row r="1233">
      <c r="A1233" s="25"/>
      <c r="B1233" s="19"/>
      <c r="C1233" s="19"/>
      <c r="D1233" s="19"/>
      <c r="E1233" s="19"/>
      <c r="F1233" s="17" t="str">
        <f>IFERROR(__xludf.DUMMYFUNCTION("""COMPUTED_VALUE"""),"")</f>
        <v/>
      </c>
      <c r="G1233" s="20"/>
      <c r="H1233" s="19"/>
      <c r="I1233" s="19"/>
      <c r="J1233" s="19"/>
      <c r="K1233" s="19"/>
      <c r="L1233" s="19"/>
      <c r="M1233" s="19"/>
      <c r="N1233" s="20" t="s">
        <v>39</v>
      </c>
      <c r="O1233" s="19"/>
      <c r="P1233" s="19"/>
      <c r="Q1233" s="19"/>
      <c r="R1233" s="19"/>
      <c r="S1233" s="19"/>
      <c r="T1233" s="19"/>
      <c r="U1233" s="19"/>
      <c r="V1233" s="19"/>
    </row>
    <row r="1234">
      <c r="A1234" s="25"/>
      <c r="B1234" s="19"/>
      <c r="C1234" s="19"/>
      <c r="D1234" s="19"/>
      <c r="E1234" s="19"/>
      <c r="F1234" s="17" t="str">
        <f>IFERROR(__xludf.DUMMYFUNCTION("""COMPUTED_VALUE"""),"")</f>
        <v/>
      </c>
      <c r="G1234" s="20"/>
      <c r="H1234" s="19"/>
      <c r="I1234" s="19"/>
      <c r="J1234" s="19"/>
      <c r="K1234" s="19"/>
      <c r="L1234" s="19"/>
      <c r="M1234" s="19"/>
      <c r="N1234" s="20" t="s">
        <v>39</v>
      </c>
      <c r="O1234" s="19"/>
      <c r="P1234" s="19"/>
      <c r="Q1234" s="19"/>
      <c r="R1234" s="19"/>
      <c r="S1234" s="19"/>
      <c r="T1234" s="19"/>
      <c r="U1234" s="19"/>
      <c r="V1234" s="19"/>
    </row>
    <row r="1235">
      <c r="A1235" s="25"/>
      <c r="B1235" s="19"/>
      <c r="C1235" s="19"/>
      <c r="D1235" s="19"/>
      <c r="E1235" s="19"/>
      <c r="F1235" s="17" t="str">
        <f>IFERROR(__xludf.DUMMYFUNCTION("""COMPUTED_VALUE"""),"")</f>
        <v/>
      </c>
      <c r="G1235" s="20"/>
      <c r="H1235" s="19"/>
      <c r="I1235" s="19"/>
      <c r="J1235" s="19"/>
      <c r="K1235" s="19"/>
      <c r="L1235" s="19"/>
      <c r="M1235" s="19"/>
      <c r="N1235" s="20" t="s">
        <v>39</v>
      </c>
      <c r="O1235" s="19"/>
      <c r="P1235" s="19"/>
      <c r="Q1235" s="19"/>
      <c r="R1235" s="19"/>
      <c r="S1235" s="19"/>
      <c r="T1235" s="19"/>
      <c r="U1235" s="19"/>
      <c r="V1235" s="19"/>
    </row>
    <row r="1236">
      <c r="A1236" s="25"/>
      <c r="B1236" s="19"/>
      <c r="C1236" s="19"/>
      <c r="D1236" s="19"/>
      <c r="E1236" s="19"/>
      <c r="F1236" s="17" t="str">
        <f>IFERROR(__xludf.DUMMYFUNCTION("""COMPUTED_VALUE"""),"")</f>
        <v/>
      </c>
      <c r="G1236" s="20"/>
      <c r="H1236" s="19"/>
      <c r="I1236" s="19"/>
      <c r="J1236" s="19"/>
      <c r="K1236" s="19"/>
      <c r="L1236" s="19"/>
      <c r="M1236" s="19"/>
      <c r="N1236" s="20" t="s">
        <v>39</v>
      </c>
      <c r="O1236" s="19"/>
      <c r="P1236" s="19"/>
      <c r="Q1236" s="19"/>
      <c r="R1236" s="19"/>
      <c r="S1236" s="19"/>
      <c r="T1236" s="19"/>
      <c r="U1236" s="19"/>
      <c r="V1236" s="19"/>
    </row>
    <row r="1237">
      <c r="A1237" s="25"/>
      <c r="B1237" s="19"/>
      <c r="C1237" s="19"/>
      <c r="D1237" s="19"/>
      <c r="E1237" s="19"/>
      <c r="F1237" s="17" t="str">
        <f>IFERROR(__xludf.DUMMYFUNCTION("""COMPUTED_VALUE"""),"")</f>
        <v/>
      </c>
      <c r="G1237" s="20"/>
      <c r="H1237" s="19"/>
      <c r="I1237" s="19"/>
      <c r="J1237" s="19"/>
      <c r="K1237" s="19"/>
      <c r="L1237" s="19"/>
      <c r="M1237" s="19"/>
      <c r="N1237" s="20" t="s">
        <v>39</v>
      </c>
      <c r="O1237" s="19"/>
      <c r="P1237" s="19"/>
      <c r="Q1237" s="19"/>
      <c r="R1237" s="19"/>
      <c r="S1237" s="19"/>
      <c r="T1237" s="19"/>
      <c r="U1237" s="19"/>
      <c r="V1237" s="19"/>
    </row>
    <row r="1238">
      <c r="A1238" s="25"/>
      <c r="B1238" s="19"/>
      <c r="C1238" s="19"/>
      <c r="D1238" s="19"/>
      <c r="E1238" s="19"/>
      <c r="F1238" s="17" t="str">
        <f>IFERROR(__xludf.DUMMYFUNCTION("""COMPUTED_VALUE"""),"")</f>
        <v/>
      </c>
      <c r="G1238" s="20"/>
      <c r="H1238" s="19"/>
      <c r="I1238" s="19"/>
      <c r="J1238" s="19"/>
      <c r="K1238" s="19"/>
      <c r="L1238" s="19"/>
      <c r="M1238" s="19"/>
      <c r="N1238" s="20" t="s">
        <v>39</v>
      </c>
      <c r="O1238" s="19"/>
      <c r="P1238" s="19"/>
      <c r="Q1238" s="19"/>
      <c r="R1238" s="19"/>
      <c r="S1238" s="19"/>
      <c r="T1238" s="19"/>
      <c r="U1238" s="19"/>
      <c r="V1238" s="19"/>
    </row>
    <row r="1239">
      <c r="A1239" s="25"/>
      <c r="B1239" s="19"/>
      <c r="C1239" s="19"/>
      <c r="D1239" s="19"/>
      <c r="E1239" s="19"/>
      <c r="F1239" s="17" t="str">
        <f>IFERROR(__xludf.DUMMYFUNCTION("""COMPUTED_VALUE"""),"")</f>
        <v/>
      </c>
      <c r="G1239" s="20"/>
      <c r="H1239" s="19"/>
      <c r="I1239" s="19"/>
      <c r="J1239" s="19"/>
      <c r="K1239" s="19"/>
      <c r="L1239" s="19"/>
      <c r="M1239" s="19"/>
      <c r="N1239" s="20" t="s">
        <v>39</v>
      </c>
      <c r="O1239" s="19"/>
      <c r="P1239" s="19"/>
      <c r="Q1239" s="19"/>
      <c r="R1239" s="19"/>
      <c r="S1239" s="19"/>
      <c r="T1239" s="19"/>
      <c r="U1239" s="19"/>
      <c r="V1239" s="19"/>
    </row>
    <row r="1240">
      <c r="A1240" s="25"/>
      <c r="B1240" s="19"/>
      <c r="C1240" s="19"/>
      <c r="D1240" s="19"/>
      <c r="E1240" s="19"/>
      <c r="F1240" s="17" t="str">
        <f>IFERROR(__xludf.DUMMYFUNCTION("""COMPUTED_VALUE"""),"")</f>
        <v/>
      </c>
      <c r="G1240" s="20"/>
      <c r="H1240" s="19"/>
      <c r="I1240" s="19"/>
      <c r="J1240" s="19"/>
      <c r="K1240" s="19"/>
      <c r="L1240" s="19"/>
      <c r="M1240" s="19"/>
      <c r="N1240" s="20" t="s">
        <v>39</v>
      </c>
      <c r="O1240" s="19"/>
      <c r="P1240" s="19"/>
      <c r="Q1240" s="19"/>
      <c r="R1240" s="19"/>
      <c r="S1240" s="19"/>
      <c r="T1240" s="19"/>
      <c r="U1240" s="19"/>
      <c r="V1240" s="19"/>
    </row>
    <row r="1241">
      <c r="A1241" s="25"/>
      <c r="B1241" s="19"/>
      <c r="C1241" s="19"/>
      <c r="D1241" s="19"/>
      <c r="E1241" s="19"/>
      <c r="F1241" s="17" t="str">
        <f>IFERROR(__xludf.DUMMYFUNCTION("""COMPUTED_VALUE"""),"")</f>
        <v/>
      </c>
      <c r="G1241" s="20"/>
      <c r="H1241" s="19"/>
      <c r="I1241" s="19"/>
      <c r="J1241" s="19"/>
      <c r="K1241" s="19"/>
      <c r="L1241" s="19"/>
      <c r="M1241" s="19"/>
      <c r="N1241" s="20" t="s">
        <v>39</v>
      </c>
      <c r="O1241" s="19"/>
      <c r="P1241" s="19"/>
      <c r="Q1241" s="19"/>
      <c r="R1241" s="19"/>
      <c r="S1241" s="19"/>
      <c r="T1241" s="19"/>
      <c r="U1241" s="19"/>
      <c r="V1241" s="19"/>
    </row>
    <row r="1242">
      <c r="A1242" s="25"/>
      <c r="B1242" s="19"/>
      <c r="C1242" s="19"/>
      <c r="D1242" s="19"/>
      <c r="E1242" s="19"/>
      <c r="F1242" s="17" t="str">
        <f>IFERROR(__xludf.DUMMYFUNCTION("""COMPUTED_VALUE"""),"")</f>
        <v/>
      </c>
      <c r="G1242" s="20"/>
      <c r="H1242" s="19"/>
      <c r="I1242" s="19"/>
      <c r="J1242" s="19"/>
      <c r="K1242" s="19"/>
      <c r="L1242" s="19"/>
      <c r="M1242" s="19"/>
      <c r="N1242" s="20" t="s">
        <v>39</v>
      </c>
      <c r="O1242" s="19"/>
      <c r="P1242" s="19"/>
      <c r="Q1242" s="19"/>
      <c r="R1242" s="19"/>
      <c r="S1242" s="19"/>
      <c r="T1242" s="19"/>
      <c r="U1242" s="19"/>
      <c r="V1242" s="19"/>
    </row>
    <row r="1243">
      <c r="A1243" s="25"/>
      <c r="B1243" s="19"/>
      <c r="C1243" s="19"/>
      <c r="D1243" s="19"/>
      <c r="E1243" s="19"/>
      <c r="F1243" s="17" t="str">
        <f>IFERROR(__xludf.DUMMYFUNCTION("""COMPUTED_VALUE"""),"")</f>
        <v/>
      </c>
      <c r="G1243" s="20"/>
      <c r="H1243" s="19"/>
      <c r="I1243" s="19"/>
      <c r="J1243" s="19"/>
      <c r="K1243" s="19"/>
      <c r="L1243" s="19"/>
      <c r="M1243" s="19"/>
      <c r="N1243" s="20" t="s">
        <v>39</v>
      </c>
      <c r="O1243" s="19"/>
      <c r="P1243" s="19"/>
      <c r="Q1243" s="19"/>
      <c r="R1243" s="19"/>
      <c r="S1243" s="19"/>
      <c r="T1243" s="19"/>
      <c r="U1243" s="19"/>
      <c r="V1243" s="19"/>
    </row>
    <row r="1244">
      <c r="A1244" s="25"/>
      <c r="B1244" s="19"/>
      <c r="C1244" s="19"/>
      <c r="D1244" s="19"/>
      <c r="E1244" s="19"/>
      <c r="F1244" s="17" t="str">
        <f>IFERROR(__xludf.DUMMYFUNCTION("""COMPUTED_VALUE"""),"")</f>
        <v/>
      </c>
      <c r="G1244" s="20"/>
      <c r="H1244" s="19"/>
      <c r="I1244" s="19"/>
      <c r="J1244" s="19"/>
      <c r="K1244" s="19"/>
      <c r="L1244" s="19"/>
      <c r="M1244" s="19"/>
      <c r="N1244" s="20" t="s">
        <v>39</v>
      </c>
      <c r="O1244" s="19"/>
      <c r="P1244" s="19"/>
      <c r="Q1244" s="19"/>
      <c r="R1244" s="19"/>
      <c r="S1244" s="19"/>
      <c r="T1244" s="19"/>
      <c r="U1244" s="19"/>
      <c r="V1244" s="19"/>
    </row>
    <row r="1245">
      <c r="A1245" s="25"/>
      <c r="B1245" s="19"/>
      <c r="C1245" s="19"/>
      <c r="D1245" s="19"/>
      <c r="E1245" s="19"/>
      <c r="F1245" s="17" t="str">
        <f>IFERROR(__xludf.DUMMYFUNCTION("""COMPUTED_VALUE"""),"")</f>
        <v/>
      </c>
      <c r="G1245" s="20"/>
      <c r="H1245" s="19"/>
      <c r="I1245" s="19"/>
      <c r="J1245" s="19"/>
      <c r="K1245" s="19"/>
      <c r="L1245" s="19"/>
      <c r="M1245" s="19"/>
      <c r="N1245" s="20" t="s">
        <v>39</v>
      </c>
      <c r="O1245" s="19"/>
      <c r="P1245" s="19"/>
      <c r="Q1245" s="19"/>
      <c r="R1245" s="19"/>
      <c r="S1245" s="19"/>
      <c r="T1245" s="19"/>
      <c r="U1245" s="19"/>
      <c r="V1245" s="19"/>
    </row>
    <row r="1246">
      <c r="A1246" s="25"/>
      <c r="B1246" s="19"/>
      <c r="C1246" s="19"/>
      <c r="D1246" s="19"/>
      <c r="E1246" s="19"/>
      <c r="F1246" s="17" t="str">
        <f>IFERROR(__xludf.DUMMYFUNCTION("""COMPUTED_VALUE"""),"")</f>
        <v/>
      </c>
      <c r="G1246" s="20"/>
      <c r="H1246" s="19"/>
      <c r="I1246" s="19"/>
      <c r="J1246" s="19"/>
      <c r="K1246" s="19"/>
      <c r="L1246" s="19"/>
      <c r="M1246" s="19"/>
      <c r="N1246" s="20" t="s">
        <v>39</v>
      </c>
      <c r="O1246" s="19"/>
      <c r="P1246" s="19"/>
      <c r="Q1246" s="19"/>
      <c r="R1246" s="19"/>
      <c r="S1246" s="19"/>
      <c r="T1246" s="19"/>
      <c r="U1246" s="19"/>
      <c r="V1246" s="19"/>
    </row>
    <row r="1247">
      <c r="A1247" s="25"/>
      <c r="B1247" s="19"/>
      <c r="C1247" s="19"/>
      <c r="D1247" s="19"/>
      <c r="E1247" s="19"/>
      <c r="F1247" s="17" t="str">
        <f>IFERROR(__xludf.DUMMYFUNCTION("""COMPUTED_VALUE"""),"")</f>
        <v/>
      </c>
      <c r="G1247" s="20"/>
      <c r="H1247" s="19"/>
      <c r="I1247" s="19"/>
      <c r="J1247" s="19"/>
      <c r="K1247" s="19"/>
      <c r="L1247" s="19"/>
      <c r="M1247" s="19"/>
      <c r="N1247" s="20" t="s">
        <v>39</v>
      </c>
      <c r="O1247" s="19"/>
      <c r="P1247" s="19"/>
      <c r="Q1247" s="19"/>
      <c r="R1247" s="19"/>
      <c r="S1247" s="19"/>
      <c r="T1247" s="19"/>
      <c r="U1247" s="19"/>
      <c r="V1247" s="19"/>
    </row>
    <row r="1248">
      <c r="A1248" s="25"/>
      <c r="B1248" s="19"/>
      <c r="C1248" s="19"/>
      <c r="D1248" s="19"/>
      <c r="E1248" s="19"/>
      <c r="F1248" s="17" t="str">
        <f>IFERROR(__xludf.DUMMYFUNCTION("""COMPUTED_VALUE"""),"")</f>
        <v/>
      </c>
      <c r="G1248" s="20"/>
      <c r="H1248" s="19"/>
      <c r="I1248" s="19"/>
      <c r="J1248" s="19"/>
      <c r="K1248" s="19"/>
      <c r="L1248" s="19"/>
      <c r="M1248" s="19"/>
      <c r="N1248" s="20" t="s">
        <v>39</v>
      </c>
      <c r="O1248" s="19"/>
      <c r="P1248" s="19"/>
      <c r="Q1248" s="19"/>
      <c r="R1248" s="19"/>
      <c r="S1248" s="19"/>
      <c r="T1248" s="19"/>
      <c r="U1248" s="19"/>
      <c r="V1248" s="19"/>
    </row>
    <row r="1249">
      <c r="A1249" s="25"/>
      <c r="B1249" s="19"/>
      <c r="C1249" s="19"/>
      <c r="D1249" s="19"/>
      <c r="E1249" s="19"/>
      <c r="F1249" s="17" t="str">
        <f>IFERROR(__xludf.DUMMYFUNCTION("""COMPUTED_VALUE"""),"")</f>
        <v/>
      </c>
      <c r="G1249" s="20"/>
      <c r="H1249" s="19"/>
      <c r="I1249" s="19"/>
      <c r="J1249" s="19"/>
      <c r="K1249" s="19"/>
      <c r="L1249" s="19"/>
      <c r="M1249" s="19"/>
      <c r="N1249" s="20" t="s">
        <v>39</v>
      </c>
      <c r="O1249" s="19"/>
      <c r="P1249" s="19"/>
      <c r="Q1249" s="19"/>
      <c r="R1249" s="19"/>
      <c r="S1249" s="19"/>
      <c r="T1249" s="19"/>
      <c r="U1249" s="19"/>
      <c r="V1249" s="19"/>
    </row>
    <row r="1250">
      <c r="A1250" s="25"/>
      <c r="B1250" s="19"/>
      <c r="C1250" s="19"/>
      <c r="D1250" s="19"/>
      <c r="E1250" s="19"/>
      <c r="F1250" s="17" t="str">
        <f>IFERROR(__xludf.DUMMYFUNCTION("""COMPUTED_VALUE"""),"")</f>
        <v/>
      </c>
      <c r="G1250" s="20"/>
      <c r="H1250" s="19"/>
      <c r="I1250" s="19"/>
      <c r="J1250" s="19"/>
      <c r="K1250" s="19"/>
      <c r="L1250" s="19"/>
      <c r="M1250" s="19"/>
      <c r="N1250" s="20" t="s">
        <v>39</v>
      </c>
      <c r="O1250" s="19"/>
      <c r="P1250" s="19"/>
      <c r="Q1250" s="19"/>
      <c r="R1250" s="19"/>
      <c r="S1250" s="19"/>
      <c r="T1250" s="19"/>
      <c r="U1250" s="19"/>
      <c r="V1250" s="19"/>
    </row>
    <row r="1251">
      <c r="A1251" s="25"/>
      <c r="B1251" s="19"/>
      <c r="C1251" s="19"/>
      <c r="D1251" s="19"/>
      <c r="E1251" s="19"/>
      <c r="F1251" s="17" t="str">
        <f>IFERROR(__xludf.DUMMYFUNCTION("""COMPUTED_VALUE"""),"")</f>
        <v/>
      </c>
      <c r="G1251" s="20"/>
      <c r="H1251" s="19"/>
      <c r="I1251" s="19"/>
      <c r="J1251" s="19"/>
      <c r="K1251" s="19"/>
      <c r="L1251" s="19"/>
      <c r="M1251" s="19"/>
      <c r="N1251" s="20" t="s">
        <v>39</v>
      </c>
      <c r="O1251" s="19"/>
      <c r="P1251" s="19"/>
      <c r="Q1251" s="19"/>
      <c r="R1251" s="19"/>
      <c r="S1251" s="19"/>
      <c r="T1251" s="19"/>
      <c r="U1251" s="19"/>
      <c r="V1251" s="19"/>
    </row>
    <row r="1252">
      <c r="A1252" s="25"/>
      <c r="B1252" s="19"/>
      <c r="C1252" s="19"/>
      <c r="D1252" s="19"/>
      <c r="E1252" s="19"/>
      <c r="F1252" s="17" t="str">
        <f>IFERROR(__xludf.DUMMYFUNCTION("""COMPUTED_VALUE"""),"")</f>
        <v/>
      </c>
      <c r="G1252" s="20"/>
      <c r="H1252" s="19"/>
      <c r="I1252" s="19"/>
      <c r="J1252" s="19"/>
      <c r="K1252" s="19"/>
      <c r="L1252" s="19"/>
      <c r="M1252" s="19"/>
      <c r="N1252" s="20" t="s">
        <v>39</v>
      </c>
      <c r="O1252" s="19"/>
      <c r="P1252" s="19"/>
      <c r="Q1252" s="19"/>
      <c r="R1252" s="19"/>
      <c r="S1252" s="19"/>
      <c r="T1252" s="19"/>
      <c r="U1252" s="19"/>
      <c r="V1252" s="19"/>
    </row>
    <row r="1253">
      <c r="A1253" s="25"/>
      <c r="B1253" s="19"/>
      <c r="C1253" s="19"/>
      <c r="D1253" s="19"/>
      <c r="E1253" s="19"/>
      <c r="F1253" s="17" t="str">
        <f>IFERROR(__xludf.DUMMYFUNCTION("""COMPUTED_VALUE"""),"")</f>
        <v/>
      </c>
      <c r="G1253" s="20"/>
      <c r="H1253" s="19"/>
      <c r="I1253" s="19"/>
      <c r="J1253" s="19"/>
      <c r="K1253" s="19"/>
      <c r="L1253" s="19"/>
      <c r="M1253" s="19"/>
      <c r="N1253" s="20" t="s">
        <v>39</v>
      </c>
      <c r="O1253" s="19"/>
      <c r="P1253" s="19"/>
      <c r="Q1253" s="19"/>
      <c r="R1253" s="19"/>
      <c r="S1253" s="19"/>
      <c r="T1253" s="19"/>
      <c r="U1253" s="19"/>
      <c r="V1253" s="19"/>
    </row>
    <row r="1254">
      <c r="A1254" s="25"/>
      <c r="B1254" s="19"/>
      <c r="C1254" s="19"/>
      <c r="D1254" s="19"/>
      <c r="E1254" s="19"/>
      <c r="F1254" s="17" t="str">
        <f>IFERROR(__xludf.DUMMYFUNCTION("""COMPUTED_VALUE"""),"")</f>
        <v/>
      </c>
      <c r="G1254" s="20"/>
      <c r="H1254" s="19"/>
      <c r="I1254" s="19"/>
      <c r="J1254" s="19"/>
      <c r="K1254" s="19"/>
      <c r="L1254" s="19"/>
      <c r="M1254" s="19"/>
      <c r="N1254" s="20" t="s">
        <v>39</v>
      </c>
      <c r="O1254" s="19"/>
      <c r="P1254" s="19"/>
      <c r="Q1254" s="19"/>
      <c r="R1254" s="19"/>
      <c r="S1254" s="19"/>
      <c r="T1254" s="19"/>
      <c r="U1254" s="19"/>
      <c r="V1254" s="19"/>
    </row>
    <row r="1255">
      <c r="A1255" s="25"/>
      <c r="B1255" s="19"/>
      <c r="C1255" s="19"/>
      <c r="D1255" s="19"/>
      <c r="E1255" s="19"/>
      <c r="F1255" s="17" t="str">
        <f>IFERROR(__xludf.DUMMYFUNCTION("""COMPUTED_VALUE"""),"")</f>
        <v/>
      </c>
      <c r="G1255" s="20"/>
      <c r="H1255" s="19"/>
      <c r="I1255" s="19"/>
      <c r="J1255" s="19"/>
      <c r="K1255" s="19"/>
      <c r="L1255" s="19"/>
      <c r="M1255" s="19"/>
      <c r="N1255" s="20" t="s">
        <v>39</v>
      </c>
      <c r="O1255" s="19"/>
      <c r="P1255" s="19"/>
      <c r="Q1255" s="19"/>
      <c r="R1255" s="19"/>
      <c r="S1255" s="19"/>
      <c r="T1255" s="19"/>
      <c r="U1255" s="19"/>
      <c r="V1255" s="19"/>
    </row>
    <row r="1256">
      <c r="A1256" s="25"/>
      <c r="B1256" s="19"/>
      <c r="C1256" s="19"/>
      <c r="D1256" s="19"/>
      <c r="E1256" s="19"/>
      <c r="F1256" s="17" t="str">
        <f>IFERROR(__xludf.DUMMYFUNCTION("""COMPUTED_VALUE"""),"")</f>
        <v/>
      </c>
      <c r="G1256" s="20"/>
      <c r="H1256" s="19"/>
      <c r="I1256" s="19"/>
      <c r="J1256" s="19"/>
      <c r="K1256" s="19"/>
      <c r="L1256" s="19"/>
      <c r="M1256" s="19"/>
      <c r="N1256" s="20" t="s">
        <v>39</v>
      </c>
      <c r="O1256" s="19"/>
      <c r="P1256" s="19"/>
      <c r="Q1256" s="19"/>
      <c r="R1256" s="19"/>
      <c r="S1256" s="19"/>
      <c r="T1256" s="19"/>
      <c r="U1256" s="19"/>
      <c r="V1256" s="19"/>
    </row>
    <row r="1257">
      <c r="A1257" s="25"/>
      <c r="B1257" s="19"/>
      <c r="C1257" s="19"/>
      <c r="D1257" s="19"/>
      <c r="E1257" s="19"/>
      <c r="F1257" s="17" t="str">
        <f>IFERROR(__xludf.DUMMYFUNCTION("""COMPUTED_VALUE"""),"")</f>
        <v/>
      </c>
      <c r="G1257" s="20"/>
      <c r="H1257" s="19"/>
      <c r="I1257" s="19"/>
      <c r="J1257" s="19"/>
      <c r="K1257" s="19"/>
      <c r="L1257" s="19"/>
      <c r="M1257" s="19"/>
      <c r="N1257" s="20" t="s">
        <v>39</v>
      </c>
      <c r="O1257" s="19"/>
      <c r="P1257" s="19"/>
      <c r="Q1257" s="19"/>
      <c r="R1257" s="19"/>
      <c r="S1257" s="19"/>
      <c r="T1257" s="19"/>
      <c r="U1257" s="19"/>
      <c r="V1257" s="19"/>
    </row>
    <row r="1258">
      <c r="A1258" s="25"/>
      <c r="B1258" s="19"/>
      <c r="C1258" s="19"/>
      <c r="D1258" s="19"/>
      <c r="E1258" s="19"/>
      <c r="F1258" s="17" t="str">
        <f>IFERROR(__xludf.DUMMYFUNCTION("""COMPUTED_VALUE"""),"")</f>
        <v/>
      </c>
      <c r="G1258" s="20"/>
      <c r="H1258" s="19"/>
      <c r="I1258" s="19"/>
      <c r="J1258" s="19"/>
      <c r="K1258" s="19"/>
      <c r="L1258" s="19"/>
      <c r="M1258" s="19"/>
      <c r="N1258" s="20" t="s">
        <v>39</v>
      </c>
      <c r="O1258" s="19"/>
      <c r="P1258" s="19"/>
      <c r="Q1258" s="19"/>
      <c r="R1258" s="19"/>
      <c r="S1258" s="19"/>
      <c r="T1258" s="19"/>
      <c r="U1258" s="19"/>
      <c r="V1258" s="19"/>
    </row>
    <row r="1259">
      <c r="A1259" s="25"/>
      <c r="B1259" s="19"/>
      <c r="C1259" s="19"/>
      <c r="D1259" s="19"/>
      <c r="E1259" s="19"/>
      <c r="F1259" s="17" t="str">
        <f>IFERROR(__xludf.DUMMYFUNCTION("""COMPUTED_VALUE"""),"")</f>
        <v/>
      </c>
      <c r="G1259" s="20"/>
      <c r="H1259" s="19"/>
      <c r="I1259" s="19"/>
      <c r="J1259" s="19"/>
      <c r="K1259" s="19"/>
      <c r="L1259" s="19"/>
      <c r="M1259" s="19"/>
      <c r="N1259" s="20" t="s">
        <v>39</v>
      </c>
      <c r="O1259" s="19"/>
      <c r="P1259" s="19"/>
      <c r="Q1259" s="19"/>
      <c r="R1259" s="19"/>
      <c r="S1259" s="19"/>
      <c r="T1259" s="19"/>
      <c r="U1259" s="19"/>
      <c r="V1259" s="19"/>
    </row>
    <row r="1260">
      <c r="A1260" s="25"/>
      <c r="B1260" s="19"/>
      <c r="C1260" s="19"/>
      <c r="D1260" s="19"/>
      <c r="E1260" s="19"/>
      <c r="F1260" s="17" t="str">
        <f>IFERROR(__xludf.DUMMYFUNCTION("""COMPUTED_VALUE"""),"")</f>
        <v/>
      </c>
      <c r="G1260" s="20"/>
      <c r="H1260" s="19"/>
      <c r="I1260" s="19"/>
      <c r="J1260" s="19"/>
      <c r="K1260" s="19"/>
      <c r="L1260" s="19"/>
      <c r="M1260" s="19"/>
      <c r="N1260" s="20" t="s">
        <v>39</v>
      </c>
      <c r="O1260" s="19"/>
      <c r="P1260" s="19"/>
      <c r="Q1260" s="19"/>
      <c r="R1260" s="19"/>
      <c r="S1260" s="19"/>
      <c r="T1260" s="19"/>
      <c r="U1260" s="19"/>
      <c r="V1260" s="19"/>
    </row>
    <row r="1261">
      <c r="A1261" s="25"/>
      <c r="B1261" s="19"/>
      <c r="C1261" s="19"/>
      <c r="D1261" s="19"/>
      <c r="E1261" s="19"/>
      <c r="F1261" s="17" t="str">
        <f>IFERROR(__xludf.DUMMYFUNCTION("""COMPUTED_VALUE"""),"")</f>
        <v/>
      </c>
      <c r="G1261" s="20"/>
      <c r="H1261" s="19"/>
      <c r="I1261" s="19"/>
      <c r="J1261" s="19"/>
      <c r="K1261" s="19"/>
      <c r="L1261" s="19"/>
      <c r="M1261" s="19"/>
      <c r="N1261" s="20" t="s">
        <v>39</v>
      </c>
      <c r="O1261" s="19"/>
      <c r="P1261" s="19"/>
      <c r="Q1261" s="19"/>
      <c r="R1261" s="19"/>
      <c r="S1261" s="19"/>
      <c r="T1261" s="19"/>
      <c r="U1261" s="19"/>
      <c r="V1261" s="19"/>
    </row>
    <row r="1262">
      <c r="A1262" s="25"/>
      <c r="B1262" s="19"/>
      <c r="C1262" s="19"/>
      <c r="D1262" s="19"/>
      <c r="E1262" s="19"/>
      <c r="F1262" s="17" t="str">
        <f>IFERROR(__xludf.DUMMYFUNCTION("""COMPUTED_VALUE"""),"")</f>
        <v/>
      </c>
      <c r="G1262" s="20"/>
      <c r="H1262" s="19"/>
      <c r="I1262" s="19"/>
      <c r="J1262" s="19"/>
      <c r="K1262" s="19"/>
      <c r="L1262" s="19"/>
      <c r="M1262" s="19"/>
      <c r="N1262" s="20" t="s">
        <v>39</v>
      </c>
      <c r="O1262" s="19"/>
      <c r="P1262" s="19"/>
      <c r="Q1262" s="19"/>
      <c r="R1262" s="19"/>
      <c r="S1262" s="19"/>
      <c r="T1262" s="19"/>
      <c r="U1262" s="19"/>
      <c r="V1262" s="19"/>
    </row>
    <row r="1263">
      <c r="A1263" s="25"/>
      <c r="B1263" s="19"/>
      <c r="C1263" s="19"/>
      <c r="D1263" s="19"/>
      <c r="E1263" s="19"/>
      <c r="F1263" s="17" t="str">
        <f>IFERROR(__xludf.DUMMYFUNCTION("""COMPUTED_VALUE"""),"")</f>
        <v/>
      </c>
      <c r="G1263" s="20"/>
      <c r="H1263" s="19"/>
      <c r="I1263" s="19"/>
      <c r="J1263" s="19"/>
      <c r="K1263" s="19"/>
      <c r="L1263" s="19"/>
      <c r="M1263" s="19"/>
      <c r="N1263" s="20" t="s">
        <v>39</v>
      </c>
      <c r="O1263" s="19"/>
      <c r="P1263" s="19"/>
      <c r="Q1263" s="19"/>
      <c r="R1263" s="19"/>
      <c r="S1263" s="19"/>
      <c r="T1263" s="19"/>
      <c r="U1263" s="19"/>
      <c r="V1263" s="19"/>
    </row>
    <row r="1264">
      <c r="A1264" s="25"/>
      <c r="B1264" s="19"/>
      <c r="C1264" s="19"/>
      <c r="D1264" s="19"/>
      <c r="E1264" s="19"/>
      <c r="F1264" s="17" t="str">
        <f>IFERROR(__xludf.DUMMYFUNCTION("""COMPUTED_VALUE"""),"")</f>
        <v/>
      </c>
      <c r="G1264" s="20"/>
      <c r="H1264" s="19"/>
      <c r="I1264" s="19"/>
      <c r="J1264" s="19"/>
      <c r="K1264" s="19"/>
      <c r="L1264" s="19"/>
      <c r="M1264" s="19"/>
      <c r="N1264" s="20" t="s">
        <v>39</v>
      </c>
      <c r="O1264" s="19"/>
      <c r="P1264" s="19"/>
      <c r="Q1264" s="19"/>
      <c r="R1264" s="19"/>
      <c r="S1264" s="19"/>
      <c r="T1264" s="19"/>
      <c r="U1264" s="19"/>
      <c r="V1264" s="19"/>
    </row>
    <row r="1265">
      <c r="A1265" s="25"/>
      <c r="B1265" s="19"/>
      <c r="C1265" s="19"/>
      <c r="D1265" s="19"/>
      <c r="E1265" s="19"/>
      <c r="F1265" s="17" t="str">
        <f>IFERROR(__xludf.DUMMYFUNCTION("""COMPUTED_VALUE"""),"")</f>
        <v/>
      </c>
      <c r="G1265" s="20"/>
      <c r="H1265" s="19"/>
      <c r="I1265" s="19"/>
      <c r="J1265" s="19"/>
      <c r="K1265" s="19"/>
      <c r="L1265" s="19"/>
      <c r="M1265" s="19"/>
      <c r="N1265" s="20" t="s">
        <v>39</v>
      </c>
      <c r="O1265" s="19"/>
      <c r="P1265" s="19"/>
      <c r="Q1265" s="19"/>
      <c r="R1265" s="19"/>
      <c r="S1265" s="19"/>
      <c r="T1265" s="19"/>
      <c r="U1265" s="19"/>
      <c r="V1265" s="19"/>
    </row>
    <row r="1266">
      <c r="A1266" s="25"/>
      <c r="B1266" s="19"/>
      <c r="C1266" s="19"/>
      <c r="D1266" s="19"/>
      <c r="E1266" s="19"/>
      <c r="F1266" s="17" t="str">
        <f>IFERROR(__xludf.DUMMYFUNCTION("""COMPUTED_VALUE"""),"")</f>
        <v/>
      </c>
      <c r="G1266" s="20"/>
      <c r="H1266" s="19"/>
      <c r="I1266" s="19"/>
      <c r="J1266" s="19"/>
      <c r="K1266" s="19"/>
      <c r="L1266" s="19"/>
      <c r="M1266" s="19"/>
      <c r="N1266" s="20" t="s">
        <v>39</v>
      </c>
      <c r="O1266" s="19"/>
      <c r="P1266" s="19"/>
      <c r="Q1266" s="19"/>
      <c r="R1266" s="19"/>
      <c r="S1266" s="19"/>
      <c r="T1266" s="19"/>
      <c r="U1266" s="19"/>
      <c r="V1266" s="19"/>
    </row>
    <row r="1267">
      <c r="A1267" s="25"/>
      <c r="B1267" s="19"/>
      <c r="C1267" s="19"/>
      <c r="D1267" s="19"/>
      <c r="E1267" s="19"/>
      <c r="F1267" s="17" t="str">
        <f>IFERROR(__xludf.DUMMYFUNCTION("""COMPUTED_VALUE"""),"")</f>
        <v/>
      </c>
      <c r="G1267" s="20"/>
      <c r="H1267" s="19"/>
      <c r="I1267" s="19"/>
      <c r="J1267" s="19"/>
      <c r="K1267" s="19"/>
      <c r="L1267" s="19"/>
      <c r="M1267" s="19"/>
      <c r="N1267" s="20" t="s">
        <v>39</v>
      </c>
      <c r="O1267" s="19"/>
      <c r="P1267" s="19"/>
      <c r="Q1267" s="19"/>
      <c r="R1267" s="19"/>
      <c r="S1267" s="19"/>
      <c r="T1267" s="19"/>
      <c r="U1267" s="19"/>
      <c r="V1267" s="19"/>
    </row>
    <row r="1268">
      <c r="A1268" s="25"/>
      <c r="B1268" s="19"/>
      <c r="C1268" s="19"/>
      <c r="D1268" s="19"/>
      <c r="E1268" s="19"/>
      <c r="F1268" s="17" t="str">
        <f>IFERROR(__xludf.DUMMYFUNCTION("""COMPUTED_VALUE"""),"")</f>
        <v/>
      </c>
      <c r="G1268" s="20"/>
      <c r="H1268" s="19"/>
      <c r="I1268" s="19"/>
      <c r="J1268" s="19"/>
      <c r="K1268" s="19"/>
      <c r="L1268" s="19"/>
      <c r="M1268" s="19"/>
      <c r="N1268" s="20" t="s">
        <v>39</v>
      </c>
      <c r="O1268" s="19"/>
      <c r="P1268" s="19"/>
      <c r="Q1268" s="19"/>
      <c r="R1268" s="19"/>
      <c r="S1268" s="19"/>
      <c r="T1268" s="19"/>
      <c r="U1268" s="19"/>
      <c r="V1268" s="19"/>
    </row>
    <row r="1269">
      <c r="A1269" s="25"/>
      <c r="B1269" s="19"/>
      <c r="C1269" s="19"/>
      <c r="D1269" s="19"/>
      <c r="E1269" s="19"/>
      <c r="F1269" s="17" t="str">
        <f>IFERROR(__xludf.DUMMYFUNCTION("""COMPUTED_VALUE"""),"")</f>
        <v/>
      </c>
      <c r="G1269" s="20"/>
      <c r="H1269" s="19"/>
      <c r="I1269" s="19"/>
      <c r="J1269" s="19"/>
      <c r="K1269" s="19"/>
      <c r="L1269" s="19"/>
      <c r="M1269" s="19"/>
      <c r="N1269" s="20" t="s">
        <v>39</v>
      </c>
      <c r="O1269" s="19"/>
      <c r="P1269" s="19"/>
      <c r="Q1269" s="19"/>
      <c r="R1269" s="19"/>
      <c r="S1269" s="19"/>
      <c r="T1269" s="19"/>
      <c r="U1269" s="19"/>
      <c r="V1269" s="19"/>
    </row>
    <row r="1270">
      <c r="A1270" s="25"/>
      <c r="B1270" s="19"/>
      <c r="C1270" s="19"/>
      <c r="D1270" s="19"/>
      <c r="E1270" s="19"/>
      <c r="F1270" s="17" t="str">
        <f>IFERROR(__xludf.DUMMYFUNCTION("""COMPUTED_VALUE"""),"")</f>
        <v/>
      </c>
      <c r="G1270" s="20"/>
      <c r="H1270" s="19"/>
      <c r="I1270" s="19"/>
      <c r="J1270" s="19"/>
      <c r="K1270" s="19"/>
      <c r="L1270" s="19"/>
      <c r="M1270" s="19"/>
      <c r="N1270" s="20" t="s">
        <v>39</v>
      </c>
      <c r="O1270" s="19"/>
      <c r="P1270" s="19"/>
      <c r="Q1270" s="19"/>
      <c r="R1270" s="19"/>
      <c r="S1270" s="19"/>
      <c r="T1270" s="19"/>
      <c r="U1270" s="19"/>
      <c r="V1270" s="19"/>
    </row>
    <row r="1271">
      <c r="A1271" s="25"/>
      <c r="B1271" s="19"/>
      <c r="C1271" s="19"/>
      <c r="D1271" s="19"/>
      <c r="E1271" s="19"/>
      <c r="F1271" s="17" t="str">
        <f>IFERROR(__xludf.DUMMYFUNCTION("""COMPUTED_VALUE"""),"")</f>
        <v/>
      </c>
      <c r="G1271" s="20"/>
      <c r="H1271" s="19"/>
      <c r="I1271" s="19"/>
      <c r="J1271" s="19"/>
      <c r="K1271" s="19"/>
      <c r="L1271" s="19"/>
      <c r="M1271" s="19"/>
      <c r="N1271" s="20" t="s">
        <v>39</v>
      </c>
      <c r="O1271" s="19"/>
      <c r="P1271" s="19"/>
      <c r="Q1271" s="19"/>
      <c r="R1271" s="19"/>
      <c r="S1271" s="19"/>
      <c r="T1271" s="19"/>
      <c r="U1271" s="19"/>
      <c r="V1271" s="19"/>
    </row>
    <row r="1272">
      <c r="A1272" s="25"/>
      <c r="B1272" s="19"/>
      <c r="C1272" s="19"/>
      <c r="D1272" s="19"/>
      <c r="E1272" s="19"/>
      <c r="F1272" s="17" t="str">
        <f>IFERROR(__xludf.DUMMYFUNCTION("""COMPUTED_VALUE"""),"")</f>
        <v/>
      </c>
      <c r="G1272" s="20"/>
      <c r="H1272" s="19"/>
      <c r="I1272" s="19"/>
      <c r="J1272" s="19"/>
      <c r="K1272" s="19"/>
      <c r="L1272" s="19"/>
      <c r="M1272" s="19"/>
      <c r="N1272" s="20" t="s">
        <v>39</v>
      </c>
      <c r="O1272" s="19"/>
      <c r="P1272" s="19"/>
      <c r="Q1272" s="19"/>
      <c r="R1272" s="19"/>
      <c r="S1272" s="19"/>
      <c r="T1272" s="19"/>
      <c r="U1272" s="19"/>
      <c r="V1272" s="19"/>
    </row>
    <row r="1273">
      <c r="A1273" s="25"/>
      <c r="B1273" s="19"/>
      <c r="C1273" s="19"/>
      <c r="D1273" s="19"/>
      <c r="E1273" s="19"/>
      <c r="F1273" s="17" t="str">
        <f>IFERROR(__xludf.DUMMYFUNCTION("""COMPUTED_VALUE"""),"")</f>
        <v/>
      </c>
      <c r="G1273" s="20"/>
      <c r="H1273" s="19"/>
      <c r="I1273" s="19"/>
      <c r="J1273" s="19"/>
      <c r="K1273" s="19"/>
      <c r="L1273" s="19"/>
      <c r="M1273" s="19"/>
      <c r="N1273" s="20" t="s">
        <v>39</v>
      </c>
      <c r="O1273" s="19"/>
      <c r="P1273" s="19"/>
      <c r="Q1273" s="19"/>
      <c r="R1273" s="19"/>
      <c r="S1273" s="19"/>
      <c r="T1273" s="19"/>
      <c r="U1273" s="19"/>
      <c r="V1273" s="19"/>
    </row>
    <row r="1274">
      <c r="A1274" s="25"/>
      <c r="B1274" s="19"/>
      <c r="C1274" s="19"/>
      <c r="D1274" s="19"/>
      <c r="E1274" s="19"/>
      <c r="F1274" s="17" t="str">
        <f>IFERROR(__xludf.DUMMYFUNCTION("""COMPUTED_VALUE"""),"")</f>
        <v/>
      </c>
      <c r="G1274" s="20"/>
      <c r="H1274" s="19"/>
      <c r="I1274" s="19"/>
      <c r="J1274" s="19"/>
      <c r="K1274" s="19"/>
      <c r="L1274" s="19"/>
      <c r="M1274" s="19"/>
      <c r="N1274" s="20" t="s">
        <v>39</v>
      </c>
      <c r="O1274" s="19"/>
      <c r="P1274" s="19"/>
      <c r="Q1274" s="19"/>
      <c r="R1274" s="19"/>
      <c r="S1274" s="19"/>
      <c r="T1274" s="19"/>
      <c r="U1274" s="19"/>
      <c r="V1274" s="19"/>
    </row>
    <row r="1275">
      <c r="A1275" s="25"/>
      <c r="B1275" s="19"/>
      <c r="C1275" s="19"/>
      <c r="D1275" s="19"/>
      <c r="E1275" s="19"/>
      <c r="F1275" s="17" t="str">
        <f>IFERROR(__xludf.DUMMYFUNCTION("""COMPUTED_VALUE"""),"")</f>
        <v/>
      </c>
      <c r="G1275" s="20"/>
      <c r="H1275" s="19"/>
      <c r="I1275" s="19"/>
      <c r="J1275" s="19"/>
      <c r="K1275" s="19"/>
      <c r="L1275" s="19"/>
      <c r="M1275" s="19"/>
      <c r="N1275" s="20" t="s">
        <v>39</v>
      </c>
      <c r="O1275" s="19"/>
      <c r="P1275" s="19"/>
      <c r="Q1275" s="19"/>
      <c r="R1275" s="19"/>
      <c r="S1275" s="19"/>
      <c r="T1275" s="19"/>
      <c r="U1275" s="19"/>
      <c r="V1275" s="19"/>
    </row>
    <row r="1276">
      <c r="A1276" s="25"/>
      <c r="B1276" s="19"/>
      <c r="C1276" s="19"/>
      <c r="D1276" s="19"/>
      <c r="E1276" s="19"/>
      <c r="F1276" s="17" t="str">
        <f>IFERROR(__xludf.DUMMYFUNCTION("""COMPUTED_VALUE"""),"")</f>
        <v/>
      </c>
      <c r="G1276" s="20"/>
      <c r="H1276" s="19"/>
      <c r="I1276" s="19"/>
      <c r="J1276" s="19"/>
      <c r="K1276" s="19"/>
      <c r="L1276" s="19"/>
      <c r="M1276" s="19"/>
      <c r="N1276" s="20" t="s">
        <v>39</v>
      </c>
      <c r="O1276" s="19"/>
      <c r="P1276" s="19"/>
      <c r="Q1276" s="19"/>
      <c r="R1276" s="19"/>
      <c r="S1276" s="19"/>
      <c r="T1276" s="19"/>
      <c r="U1276" s="19"/>
      <c r="V1276" s="19"/>
    </row>
    <row r="1277">
      <c r="A1277" s="25"/>
      <c r="B1277" s="19"/>
      <c r="C1277" s="19"/>
      <c r="D1277" s="19"/>
      <c r="E1277" s="19"/>
      <c r="F1277" s="17" t="str">
        <f>IFERROR(__xludf.DUMMYFUNCTION("""COMPUTED_VALUE"""),"")</f>
        <v/>
      </c>
      <c r="G1277" s="20"/>
      <c r="H1277" s="19"/>
      <c r="I1277" s="19"/>
      <c r="J1277" s="19"/>
      <c r="K1277" s="19"/>
      <c r="L1277" s="19"/>
      <c r="M1277" s="19"/>
      <c r="N1277" s="20" t="s">
        <v>39</v>
      </c>
      <c r="O1277" s="19"/>
      <c r="P1277" s="19"/>
      <c r="Q1277" s="19"/>
      <c r="R1277" s="19"/>
      <c r="S1277" s="19"/>
      <c r="T1277" s="19"/>
      <c r="U1277" s="19"/>
      <c r="V1277" s="19"/>
    </row>
    <row r="1278">
      <c r="A1278" s="25"/>
      <c r="B1278" s="19"/>
      <c r="C1278" s="19"/>
      <c r="D1278" s="19"/>
      <c r="E1278" s="19"/>
      <c r="F1278" s="17" t="str">
        <f>IFERROR(__xludf.DUMMYFUNCTION("""COMPUTED_VALUE"""),"")</f>
        <v/>
      </c>
      <c r="G1278" s="20"/>
      <c r="H1278" s="19"/>
      <c r="I1278" s="19"/>
      <c r="J1278" s="19"/>
      <c r="K1278" s="19"/>
      <c r="L1278" s="19"/>
      <c r="M1278" s="19"/>
      <c r="N1278" s="20" t="s">
        <v>39</v>
      </c>
      <c r="O1278" s="19"/>
      <c r="P1278" s="19"/>
      <c r="Q1278" s="19"/>
      <c r="R1278" s="19"/>
      <c r="S1278" s="19"/>
      <c r="T1278" s="19"/>
      <c r="U1278" s="19"/>
      <c r="V1278" s="19"/>
    </row>
    <row r="1279">
      <c r="A1279" s="25"/>
      <c r="B1279" s="19"/>
      <c r="C1279" s="19"/>
      <c r="D1279" s="19"/>
      <c r="E1279" s="19"/>
      <c r="F1279" s="17" t="str">
        <f>IFERROR(__xludf.DUMMYFUNCTION("""COMPUTED_VALUE"""),"")</f>
        <v/>
      </c>
      <c r="G1279" s="20"/>
      <c r="H1279" s="19"/>
      <c r="I1279" s="19"/>
      <c r="J1279" s="19"/>
      <c r="K1279" s="19"/>
      <c r="L1279" s="19"/>
      <c r="M1279" s="19"/>
      <c r="N1279" s="20" t="s">
        <v>39</v>
      </c>
      <c r="O1279" s="19"/>
      <c r="P1279" s="19"/>
      <c r="Q1279" s="19"/>
      <c r="R1279" s="19"/>
      <c r="S1279" s="19"/>
      <c r="T1279" s="19"/>
      <c r="U1279" s="19"/>
      <c r="V1279" s="19"/>
    </row>
    <row r="1280">
      <c r="A1280" s="25"/>
      <c r="B1280" s="19"/>
      <c r="C1280" s="19"/>
      <c r="D1280" s="19"/>
      <c r="E1280" s="19"/>
      <c r="F1280" s="17" t="str">
        <f>IFERROR(__xludf.DUMMYFUNCTION("""COMPUTED_VALUE"""),"")</f>
        <v/>
      </c>
      <c r="G1280" s="20"/>
      <c r="H1280" s="19"/>
      <c r="I1280" s="19"/>
      <c r="J1280" s="19"/>
      <c r="K1280" s="19"/>
      <c r="L1280" s="19"/>
      <c r="M1280" s="19"/>
      <c r="N1280" s="20" t="s">
        <v>39</v>
      </c>
      <c r="O1280" s="19"/>
      <c r="P1280" s="19"/>
      <c r="Q1280" s="19"/>
      <c r="R1280" s="19"/>
      <c r="S1280" s="19"/>
      <c r="T1280" s="19"/>
      <c r="U1280" s="19"/>
      <c r="V1280" s="19"/>
    </row>
    <row r="1281">
      <c r="A1281" s="25"/>
      <c r="B1281" s="19"/>
      <c r="C1281" s="19"/>
      <c r="D1281" s="19"/>
      <c r="E1281" s="19"/>
      <c r="F1281" s="17" t="str">
        <f>IFERROR(__xludf.DUMMYFUNCTION("""COMPUTED_VALUE"""),"")</f>
        <v/>
      </c>
      <c r="G1281" s="20"/>
      <c r="H1281" s="19"/>
      <c r="I1281" s="19"/>
      <c r="J1281" s="19"/>
      <c r="K1281" s="19"/>
      <c r="L1281" s="19"/>
      <c r="M1281" s="19"/>
      <c r="N1281" s="20" t="s">
        <v>39</v>
      </c>
      <c r="O1281" s="19"/>
      <c r="P1281" s="19"/>
      <c r="Q1281" s="19"/>
      <c r="R1281" s="19"/>
      <c r="S1281" s="19"/>
      <c r="T1281" s="19"/>
      <c r="U1281" s="19"/>
      <c r="V1281" s="19"/>
    </row>
    <row r="1282">
      <c r="A1282" s="25"/>
      <c r="B1282" s="19"/>
      <c r="C1282" s="19"/>
      <c r="D1282" s="19"/>
      <c r="E1282" s="19"/>
      <c r="F1282" s="17" t="str">
        <f>IFERROR(__xludf.DUMMYFUNCTION("""COMPUTED_VALUE"""),"")</f>
        <v/>
      </c>
      <c r="G1282" s="20"/>
      <c r="H1282" s="19"/>
      <c r="I1282" s="19"/>
      <c r="J1282" s="19"/>
      <c r="K1282" s="19"/>
      <c r="L1282" s="19"/>
      <c r="M1282" s="19"/>
      <c r="N1282" s="20" t="s">
        <v>39</v>
      </c>
      <c r="O1282" s="19"/>
      <c r="P1282" s="19"/>
      <c r="Q1282" s="19"/>
      <c r="R1282" s="19"/>
      <c r="S1282" s="19"/>
      <c r="T1282" s="19"/>
      <c r="U1282" s="19"/>
      <c r="V1282" s="19"/>
    </row>
    <row r="1283">
      <c r="A1283" s="25"/>
      <c r="B1283" s="19"/>
      <c r="C1283" s="19"/>
      <c r="D1283" s="19"/>
      <c r="E1283" s="19"/>
      <c r="F1283" s="17" t="str">
        <f>IFERROR(__xludf.DUMMYFUNCTION("""COMPUTED_VALUE"""),"")</f>
        <v/>
      </c>
      <c r="G1283" s="20"/>
      <c r="H1283" s="19"/>
      <c r="I1283" s="19"/>
      <c r="J1283" s="19"/>
      <c r="K1283" s="19"/>
      <c r="L1283" s="19"/>
      <c r="M1283" s="19"/>
      <c r="N1283" s="20" t="s">
        <v>39</v>
      </c>
      <c r="O1283" s="19"/>
      <c r="P1283" s="19"/>
      <c r="Q1283" s="19"/>
      <c r="R1283" s="19"/>
      <c r="S1283" s="19"/>
      <c r="T1283" s="19"/>
      <c r="U1283" s="19"/>
      <c r="V1283" s="19"/>
    </row>
    <row r="1284">
      <c r="A1284" s="25"/>
      <c r="B1284" s="19"/>
      <c r="C1284" s="19"/>
      <c r="D1284" s="19"/>
      <c r="E1284" s="19"/>
      <c r="F1284" s="17" t="str">
        <f>IFERROR(__xludf.DUMMYFUNCTION("""COMPUTED_VALUE"""),"")</f>
        <v/>
      </c>
      <c r="G1284" s="20"/>
      <c r="H1284" s="19"/>
      <c r="I1284" s="19"/>
      <c r="J1284" s="19"/>
      <c r="K1284" s="19"/>
      <c r="L1284" s="19"/>
      <c r="M1284" s="19"/>
      <c r="N1284" s="20" t="s">
        <v>39</v>
      </c>
      <c r="O1284" s="19"/>
      <c r="P1284" s="19"/>
      <c r="Q1284" s="19"/>
      <c r="R1284" s="19"/>
      <c r="S1284" s="19"/>
      <c r="T1284" s="19"/>
      <c r="U1284" s="19"/>
      <c r="V1284" s="19"/>
    </row>
    <row r="1285">
      <c r="A1285" s="25"/>
      <c r="B1285" s="19"/>
      <c r="C1285" s="19"/>
      <c r="D1285" s="19"/>
      <c r="E1285" s="19"/>
      <c r="F1285" s="17" t="str">
        <f>IFERROR(__xludf.DUMMYFUNCTION("""COMPUTED_VALUE"""),"")</f>
        <v/>
      </c>
      <c r="G1285" s="20"/>
      <c r="H1285" s="19"/>
      <c r="I1285" s="19"/>
      <c r="J1285" s="19"/>
      <c r="K1285" s="19"/>
      <c r="L1285" s="19"/>
      <c r="M1285" s="19"/>
      <c r="N1285" s="20" t="s">
        <v>39</v>
      </c>
      <c r="O1285" s="19"/>
      <c r="P1285" s="19"/>
      <c r="Q1285" s="19"/>
      <c r="R1285" s="19"/>
      <c r="S1285" s="19"/>
      <c r="T1285" s="19"/>
      <c r="U1285" s="19"/>
      <c r="V1285" s="19"/>
    </row>
    <row r="1286">
      <c r="A1286" s="25"/>
      <c r="B1286" s="19"/>
      <c r="C1286" s="19"/>
      <c r="D1286" s="19"/>
      <c r="E1286" s="19"/>
      <c r="F1286" s="17" t="str">
        <f>IFERROR(__xludf.DUMMYFUNCTION("""COMPUTED_VALUE"""),"")</f>
        <v/>
      </c>
      <c r="G1286" s="20"/>
      <c r="H1286" s="19"/>
      <c r="I1286" s="19"/>
      <c r="J1286" s="19"/>
      <c r="K1286" s="19"/>
      <c r="L1286" s="19"/>
      <c r="M1286" s="19"/>
      <c r="N1286" s="20" t="s">
        <v>39</v>
      </c>
      <c r="O1286" s="19"/>
      <c r="P1286" s="19"/>
      <c r="Q1286" s="19"/>
      <c r="R1286" s="19"/>
      <c r="S1286" s="19"/>
      <c r="T1286" s="19"/>
      <c r="U1286" s="19"/>
      <c r="V1286" s="19"/>
    </row>
    <row r="1287">
      <c r="A1287" s="25"/>
      <c r="B1287" s="19"/>
      <c r="C1287" s="19"/>
      <c r="D1287" s="19"/>
      <c r="E1287" s="19"/>
      <c r="F1287" s="17" t="str">
        <f>IFERROR(__xludf.DUMMYFUNCTION("""COMPUTED_VALUE"""),"")</f>
        <v/>
      </c>
      <c r="G1287" s="20"/>
      <c r="H1287" s="19"/>
      <c r="I1287" s="19"/>
      <c r="J1287" s="19"/>
      <c r="K1287" s="19"/>
      <c r="L1287" s="19"/>
      <c r="M1287" s="19"/>
      <c r="N1287" s="20" t="s">
        <v>39</v>
      </c>
      <c r="O1287" s="19"/>
      <c r="P1287" s="19"/>
      <c r="Q1287" s="19"/>
      <c r="R1287" s="19"/>
      <c r="S1287" s="19"/>
      <c r="T1287" s="19"/>
      <c r="U1287" s="19"/>
      <c r="V1287" s="19"/>
    </row>
    <row r="1288">
      <c r="A1288" s="25"/>
      <c r="B1288" s="19"/>
      <c r="C1288" s="19"/>
      <c r="D1288" s="19"/>
      <c r="E1288" s="19"/>
      <c r="F1288" s="17" t="str">
        <f>IFERROR(__xludf.DUMMYFUNCTION("""COMPUTED_VALUE"""),"")</f>
        <v/>
      </c>
      <c r="G1288" s="20"/>
      <c r="H1288" s="19"/>
      <c r="I1288" s="19"/>
      <c r="J1288" s="19"/>
      <c r="K1288" s="19"/>
      <c r="L1288" s="19"/>
      <c r="M1288" s="19"/>
      <c r="N1288" s="20" t="s">
        <v>39</v>
      </c>
      <c r="O1288" s="19"/>
      <c r="P1288" s="19"/>
      <c r="Q1288" s="19"/>
      <c r="R1288" s="19"/>
      <c r="S1288" s="19"/>
      <c r="T1288" s="19"/>
      <c r="U1288" s="19"/>
      <c r="V1288" s="19"/>
    </row>
    <row r="1289">
      <c r="A1289" s="25"/>
      <c r="B1289" s="19"/>
      <c r="C1289" s="19"/>
      <c r="D1289" s="19"/>
      <c r="E1289" s="19"/>
      <c r="F1289" s="17" t="str">
        <f>IFERROR(__xludf.DUMMYFUNCTION("""COMPUTED_VALUE"""),"")</f>
        <v/>
      </c>
      <c r="G1289" s="20"/>
      <c r="H1289" s="19"/>
      <c r="I1289" s="19"/>
      <c r="J1289" s="19"/>
      <c r="K1289" s="19"/>
      <c r="L1289" s="19"/>
      <c r="M1289" s="19"/>
      <c r="N1289" s="20" t="s">
        <v>39</v>
      </c>
      <c r="O1289" s="19"/>
      <c r="P1289" s="19"/>
      <c r="Q1289" s="19"/>
      <c r="R1289" s="19"/>
      <c r="S1289" s="19"/>
      <c r="T1289" s="19"/>
      <c r="U1289" s="19"/>
      <c r="V1289" s="19"/>
    </row>
    <row r="1290">
      <c r="A1290" s="25"/>
      <c r="B1290" s="19"/>
      <c r="C1290" s="19"/>
      <c r="D1290" s="19"/>
      <c r="E1290" s="19"/>
      <c r="F1290" s="17" t="str">
        <f>IFERROR(__xludf.DUMMYFUNCTION("""COMPUTED_VALUE"""),"")</f>
        <v/>
      </c>
      <c r="G1290" s="20"/>
      <c r="H1290" s="19"/>
      <c r="I1290" s="19"/>
      <c r="J1290" s="19"/>
      <c r="K1290" s="19"/>
      <c r="L1290" s="19"/>
      <c r="M1290" s="19"/>
      <c r="N1290" s="20" t="s">
        <v>39</v>
      </c>
      <c r="O1290" s="19"/>
      <c r="P1290" s="19"/>
      <c r="Q1290" s="19"/>
      <c r="R1290" s="19"/>
      <c r="S1290" s="19"/>
      <c r="T1290" s="19"/>
      <c r="U1290" s="19"/>
      <c r="V1290" s="19"/>
    </row>
    <row r="1291">
      <c r="A1291" s="25"/>
      <c r="B1291" s="19"/>
      <c r="C1291" s="19"/>
      <c r="D1291" s="19"/>
      <c r="E1291" s="19"/>
      <c r="F1291" s="17" t="str">
        <f>IFERROR(__xludf.DUMMYFUNCTION("""COMPUTED_VALUE"""),"")</f>
        <v/>
      </c>
      <c r="G1291" s="20"/>
      <c r="H1291" s="19"/>
      <c r="I1291" s="19"/>
      <c r="J1291" s="19"/>
      <c r="K1291" s="19"/>
      <c r="L1291" s="19"/>
      <c r="M1291" s="19"/>
      <c r="N1291" s="20" t="s">
        <v>39</v>
      </c>
      <c r="O1291" s="19"/>
      <c r="P1291" s="19"/>
      <c r="Q1291" s="19"/>
      <c r="R1291" s="19"/>
      <c r="S1291" s="19"/>
      <c r="T1291" s="19"/>
      <c r="U1291" s="19"/>
      <c r="V1291" s="19"/>
    </row>
    <row r="1292">
      <c r="A1292" s="25"/>
      <c r="B1292" s="19"/>
      <c r="C1292" s="19"/>
      <c r="D1292" s="19"/>
      <c r="E1292" s="19"/>
      <c r="F1292" s="17" t="str">
        <f>IFERROR(__xludf.DUMMYFUNCTION("""COMPUTED_VALUE"""),"")</f>
        <v/>
      </c>
      <c r="G1292" s="20"/>
      <c r="H1292" s="19"/>
      <c r="I1292" s="19"/>
      <c r="J1292" s="19"/>
      <c r="K1292" s="19"/>
      <c r="L1292" s="19"/>
      <c r="M1292" s="19"/>
      <c r="N1292" s="20" t="s">
        <v>39</v>
      </c>
      <c r="O1292" s="19"/>
      <c r="P1292" s="19"/>
      <c r="Q1292" s="19"/>
      <c r="R1292" s="19"/>
      <c r="S1292" s="19"/>
      <c r="T1292" s="19"/>
      <c r="U1292" s="19"/>
      <c r="V1292" s="19"/>
    </row>
    <row r="1293">
      <c r="A1293" s="25"/>
      <c r="B1293" s="19"/>
      <c r="C1293" s="19"/>
      <c r="D1293" s="19"/>
      <c r="E1293" s="19"/>
      <c r="F1293" s="17" t="str">
        <f>IFERROR(__xludf.DUMMYFUNCTION("""COMPUTED_VALUE"""),"")</f>
        <v/>
      </c>
      <c r="G1293" s="20"/>
      <c r="H1293" s="19"/>
      <c r="I1293" s="19"/>
      <c r="J1293" s="19"/>
      <c r="K1293" s="19"/>
      <c r="L1293" s="19"/>
      <c r="M1293" s="19"/>
      <c r="N1293" s="20" t="s">
        <v>39</v>
      </c>
      <c r="O1293" s="19"/>
      <c r="P1293" s="19"/>
      <c r="Q1293" s="19"/>
      <c r="R1293" s="19"/>
      <c r="S1293" s="19"/>
      <c r="T1293" s="19"/>
      <c r="U1293" s="19"/>
      <c r="V1293" s="19"/>
    </row>
    <row r="1294">
      <c r="A1294" s="25"/>
      <c r="B1294" s="19"/>
      <c r="C1294" s="19"/>
      <c r="D1294" s="19"/>
      <c r="E1294" s="19"/>
      <c r="F1294" s="17" t="str">
        <f>IFERROR(__xludf.DUMMYFUNCTION("""COMPUTED_VALUE"""),"")</f>
        <v/>
      </c>
      <c r="G1294" s="20"/>
      <c r="H1294" s="19"/>
      <c r="I1294" s="19"/>
      <c r="J1294" s="19"/>
      <c r="K1294" s="19"/>
      <c r="L1294" s="19"/>
      <c r="M1294" s="19"/>
      <c r="N1294" s="20" t="s">
        <v>39</v>
      </c>
      <c r="O1294" s="19"/>
      <c r="P1294" s="19"/>
      <c r="Q1294" s="19"/>
      <c r="R1294" s="19"/>
      <c r="S1294" s="19"/>
      <c r="T1294" s="19"/>
      <c r="U1294" s="19"/>
      <c r="V1294" s="19"/>
    </row>
    <row r="1295">
      <c r="A1295" s="25"/>
      <c r="B1295" s="19"/>
      <c r="C1295" s="19"/>
      <c r="D1295" s="19"/>
      <c r="E1295" s="19"/>
      <c r="F1295" s="17" t="str">
        <f>IFERROR(__xludf.DUMMYFUNCTION("""COMPUTED_VALUE"""),"")</f>
        <v/>
      </c>
      <c r="G1295" s="20"/>
      <c r="H1295" s="19"/>
      <c r="I1295" s="19"/>
      <c r="J1295" s="19"/>
      <c r="K1295" s="19"/>
      <c r="L1295" s="19"/>
      <c r="M1295" s="19"/>
      <c r="N1295" s="20" t="s">
        <v>39</v>
      </c>
      <c r="O1295" s="19"/>
      <c r="P1295" s="19"/>
      <c r="Q1295" s="19"/>
      <c r="R1295" s="19"/>
      <c r="S1295" s="19"/>
      <c r="T1295" s="19"/>
      <c r="U1295" s="19"/>
      <c r="V1295" s="19"/>
    </row>
    <row r="1296">
      <c r="A1296" s="25"/>
      <c r="B1296" s="19"/>
      <c r="C1296" s="19"/>
      <c r="D1296" s="19"/>
      <c r="E1296" s="19"/>
      <c r="F1296" s="17" t="str">
        <f>IFERROR(__xludf.DUMMYFUNCTION("""COMPUTED_VALUE"""),"")</f>
        <v/>
      </c>
      <c r="G1296" s="20"/>
      <c r="H1296" s="19"/>
      <c r="I1296" s="19"/>
      <c r="J1296" s="19"/>
      <c r="K1296" s="19"/>
      <c r="L1296" s="19"/>
      <c r="M1296" s="19"/>
      <c r="N1296" s="20" t="s">
        <v>39</v>
      </c>
      <c r="O1296" s="19"/>
      <c r="P1296" s="19"/>
      <c r="Q1296" s="19"/>
      <c r="R1296" s="19"/>
      <c r="S1296" s="19"/>
      <c r="T1296" s="19"/>
      <c r="U1296" s="19"/>
      <c r="V1296" s="19"/>
    </row>
    <row r="1297">
      <c r="A1297" s="25"/>
      <c r="B1297" s="19"/>
      <c r="C1297" s="19"/>
      <c r="D1297" s="19"/>
      <c r="E1297" s="19"/>
      <c r="F1297" s="17" t="str">
        <f>IFERROR(__xludf.DUMMYFUNCTION("""COMPUTED_VALUE"""),"")</f>
        <v/>
      </c>
      <c r="G1297" s="20"/>
      <c r="H1297" s="19"/>
      <c r="I1297" s="19"/>
      <c r="J1297" s="19"/>
      <c r="K1297" s="19"/>
      <c r="L1297" s="19"/>
      <c r="M1297" s="19"/>
      <c r="N1297" s="20" t="s">
        <v>39</v>
      </c>
      <c r="O1297" s="19"/>
      <c r="P1297" s="19"/>
      <c r="Q1297" s="19"/>
      <c r="R1297" s="19"/>
      <c r="S1297" s="19"/>
      <c r="T1297" s="19"/>
      <c r="U1297" s="19"/>
      <c r="V1297" s="19"/>
    </row>
    <row r="1298">
      <c r="A1298" s="25"/>
      <c r="B1298" s="19"/>
      <c r="C1298" s="19"/>
      <c r="D1298" s="19"/>
      <c r="E1298" s="19"/>
      <c r="F1298" s="17" t="str">
        <f>IFERROR(__xludf.DUMMYFUNCTION("""COMPUTED_VALUE"""),"")</f>
        <v/>
      </c>
      <c r="G1298" s="20"/>
      <c r="H1298" s="19"/>
      <c r="I1298" s="19"/>
      <c r="J1298" s="19"/>
      <c r="K1298" s="19"/>
      <c r="L1298" s="19"/>
      <c r="M1298" s="19"/>
      <c r="N1298" s="20" t="s">
        <v>39</v>
      </c>
      <c r="O1298" s="19"/>
      <c r="P1298" s="19"/>
      <c r="Q1298" s="19"/>
      <c r="R1298" s="19"/>
      <c r="S1298" s="19"/>
      <c r="T1298" s="19"/>
      <c r="U1298" s="19"/>
      <c r="V1298" s="19"/>
    </row>
    <row r="1299">
      <c r="A1299" s="25"/>
      <c r="B1299" s="19"/>
      <c r="C1299" s="19"/>
      <c r="D1299" s="19"/>
      <c r="E1299" s="19"/>
      <c r="F1299" s="17" t="str">
        <f>IFERROR(__xludf.DUMMYFUNCTION("""COMPUTED_VALUE"""),"")</f>
        <v/>
      </c>
      <c r="G1299" s="20"/>
      <c r="H1299" s="19"/>
      <c r="I1299" s="19"/>
      <c r="J1299" s="19"/>
      <c r="K1299" s="19"/>
      <c r="L1299" s="19"/>
      <c r="M1299" s="19"/>
      <c r="N1299" s="20" t="s">
        <v>39</v>
      </c>
      <c r="O1299" s="19"/>
      <c r="P1299" s="19"/>
      <c r="Q1299" s="19"/>
      <c r="R1299" s="19"/>
      <c r="S1299" s="19"/>
      <c r="T1299" s="19"/>
      <c r="U1299" s="19"/>
      <c r="V1299" s="19"/>
    </row>
    <row r="1300">
      <c r="A1300" s="25"/>
      <c r="B1300" s="19"/>
      <c r="C1300" s="19"/>
      <c r="D1300" s="19"/>
      <c r="E1300" s="19"/>
      <c r="F1300" s="17" t="str">
        <f>IFERROR(__xludf.DUMMYFUNCTION("""COMPUTED_VALUE"""),"")</f>
        <v/>
      </c>
      <c r="G1300" s="20"/>
      <c r="H1300" s="19"/>
      <c r="I1300" s="19"/>
      <c r="J1300" s="19"/>
      <c r="K1300" s="19"/>
      <c r="L1300" s="19"/>
      <c r="M1300" s="19"/>
      <c r="N1300" s="20" t="s">
        <v>39</v>
      </c>
      <c r="O1300" s="19"/>
      <c r="P1300" s="19"/>
      <c r="Q1300" s="19"/>
      <c r="R1300" s="19"/>
      <c r="S1300" s="19"/>
      <c r="T1300" s="19"/>
      <c r="U1300" s="19"/>
      <c r="V1300" s="19"/>
    </row>
    <row r="1301">
      <c r="A1301" s="25"/>
      <c r="B1301" s="19"/>
      <c r="C1301" s="19"/>
      <c r="D1301" s="19"/>
      <c r="E1301" s="19"/>
      <c r="F1301" s="17" t="str">
        <f>IFERROR(__xludf.DUMMYFUNCTION("""COMPUTED_VALUE"""),"")</f>
        <v/>
      </c>
      <c r="G1301" s="20"/>
      <c r="H1301" s="19"/>
      <c r="I1301" s="19"/>
      <c r="J1301" s="19"/>
      <c r="K1301" s="19"/>
      <c r="L1301" s="19"/>
      <c r="M1301" s="19"/>
      <c r="N1301" s="20" t="s">
        <v>39</v>
      </c>
      <c r="O1301" s="19"/>
      <c r="P1301" s="19"/>
      <c r="Q1301" s="19"/>
      <c r="R1301" s="19"/>
      <c r="S1301" s="19"/>
      <c r="T1301" s="19"/>
      <c r="U1301" s="19"/>
      <c r="V1301" s="19"/>
    </row>
    <row r="1302">
      <c r="A1302" s="25"/>
      <c r="B1302" s="19"/>
      <c r="C1302" s="19"/>
      <c r="D1302" s="19"/>
      <c r="E1302" s="19"/>
      <c r="F1302" s="17" t="str">
        <f>IFERROR(__xludf.DUMMYFUNCTION("""COMPUTED_VALUE"""),"")</f>
        <v/>
      </c>
      <c r="G1302" s="20"/>
      <c r="H1302" s="19"/>
      <c r="I1302" s="19"/>
      <c r="J1302" s="19"/>
      <c r="K1302" s="19"/>
      <c r="L1302" s="19"/>
      <c r="M1302" s="19"/>
      <c r="N1302" s="20" t="s">
        <v>39</v>
      </c>
      <c r="O1302" s="19"/>
      <c r="P1302" s="19"/>
      <c r="Q1302" s="19"/>
      <c r="R1302" s="19"/>
      <c r="S1302" s="19"/>
      <c r="T1302" s="19"/>
      <c r="U1302" s="19"/>
      <c r="V1302" s="19"/>
    </row>
    <row r="1303">
      <c r="A1303" s="25"/>
      <c r="B1303" s="19"/>
      <c r="C1303" s="19"/>
      <c r="D1303" s="19"/>
      <c r="E1303" s="19"/>
      <c r="F1303" s="17" t="str">
        <f>IFERROR(__xludf.DUMMYFUNCTION("""COMPUTED_VALUE"""),"")</f>
        <v/>
      </c>
      <c r="G1303" s="20"/>
      <c r="H1303" s="19"/>
      <c r="I1303" s="19"/>
      <c r="J1303" s="19"/>
      <c r="K1303" s="19"/>
      <c r="L1303" s="19"/>
      <c r="M1303" s="19"/>
      <c r="N1303" s="20" t="s">
        <v>39</v>
      </c>
      <c r="O1303" s="19"/>
      <c r="P1303" s="19"/>
      <c r="Q1303" s="19"/>
      <c r="R1303" s="19"/>
      <c r="S1303" s="19"/>
      <c r="T1303" s="19"/>
      <c r="U1303" s="19"/>
      <c r="V1303" s="19"/>
    </row>
    <row r="1304">
      <c r="A1304" s="25"/>
      <c r="B1304" s="19"/>
      <c r="C1304" s="19"/>
      <c r="D1304" s="19"/>
      <c r="E1304" s="19"/>
      <c r="F1304" s="17" t="str">
        <f>IFERROR(__xludf.DUMMYFUNCTION("""COMPUTED_VALUE"""),"")</f>
        <v/>
      </c>
      <c r="G1304" s="20"/>
      <c r="H1304" s="19"/>
      <c r="I1304" s="19"/>
      <c r="J1304" s="19"/>
      <c r="K1304" s="19"/>
      <c r="L1304" s="19"/>
      <c r="M1304" s="19"/>
      <c r="N1304" s="20" t="s">
        <v>39</v>
      </c>
      <c r="O1304" s="19"/>
      <c r="P1304" s="19"/>
      <c r="Q1304" s="19"/>
      <c r="R1304" s="19"/>
      <c r="S1304" s="19"/>
      <c r="T1304" s="19"/>
      <c r="U1304" s="19"/>
      <c r="V1304" s="19"/>
    </row>
    <row r="1305">
      <c r="A1305" s="25"/>
      <c r="B1305" s="19"/>
      <c r="C1305" s="19"/>
      <c r="D1305" s="19"/>
      <c r="E1305" s="19"/>
      <c r="F1305" s="17" t="str">
        <f>IFERROR(__xludf.DUMMYFUNCTION("""COMPUTED_VALUE"""),"")</f>
        <v/>
      </c>
      <c r="G1305" s="20"/>
      <c r="H1305" s="19"/>
      <c r="I1305" s="19"/>
      <c r="J1305" s="19"/>
      <c r="K1305" s="19"/>
      <c r="L1305" s="19"/>
      <c r="M1305" s="19"/>
      <c r="N1305" s="20" t="s">
        <v>39</v>
      </c>
      <c r="O1305" s="19"/>
      <c r="P1305" s="19"/>
      <c r="Q1305" s="19"/>
      <c r="R1305" s="19"/>
      <c r="S1305" s="19"/>
      <c r="T1305" s="19"/>
      <c r="U1305" s="19"/>
      <c r="V1305" s="19"/>
    </row>
    <row r="1306">
      <c r="A1306" s="25"/>
      <c r="B1306" s="19"/>
      <c r="C1306" s="19"/>
      <c r="D1306" s="19"/>
      <c r="E1306" s="19"/>
      <c r="F1306" s="17" t="str">
        <f>IFERROR(__xludf.DUMMYFUNCTION("""COMPUTED_VALUE"""),"")</f>
        <v/>
      </c>
      <c r="G1306" s="20"/>
      <c r="H1306" s="19"/>
      <c r="I1306" s="19"/>
      <c r="J1306" s="19"/>
      <c r="K1306" s="19"/>
      <c r="L1306" s="19"/>
      <c r="M1306" s="19"/>
      <c r="N1306" s="20" t="s">
        <v>39</v>
      </c>
      <c r="O1306" s="19"/>
      <c r="P1306" s="19"/>
      <c r="Q1306" s="19"/>
      <c r="R1306" s="19"/>
      <c r="S1306" s="19"/>
      <c r="T1306" s="19"/>
      <c r="U1306" s="19"/>
      <c r="V1306" s="19"/>
    </row>
    <row r="1307">
      <c r="A1307" s="25"/>
      <c r="B1307" s="19"/>
      <c r="C1307" s="19"/>
      <c r="D1307" s="19"/>
      <c r="E1307" s="19"/>
      <c r="F1307" s="17" t="str">
        <f>IFERROR(__xludf.DUMMYFUNCTION("""COMPUTED_VALUE"""),"")</f>
        <v/>
      </c>
      <c r="G1307" s="20"/>
      <c r="H1307" s="19"/>
      <c r="I1307" s="19"/>
      <c r="J1307" s="19"/>
      <c r="K1307" s="19"/>
      <c r="L1307" s="19"/>
      <c r="M1307" s="19"/>
      <c r="N1307" s="20" t="s">
        <v>39</v>
      </c>
      <c r="O1307" s="19"/>
      <c r="P1307" s="19"/>
      <c r="Q1307" s="19"/>
      <c r="R1307" s="19"/>
      <c r="S1307" s="19"/>
      <c r="T1307" s="19"/>
      <c r="U1307" s="19"/>
      <c r="V1307" s="19"/>
    </row>
    <row r="1308">
      <c r="A1308" s="25"/>
      <c r="B1308" s="19"/>
      <c r="C1308" s="19"/>
      <c r="D1308" s="19"/>
      <c r="E1308" s="19"/>
      <c r="F1308" s="17" t="str">
        <f>IFERROR(__xludf.DUMMYFUNCTION("""COMPUTED_VALUE"""),"")</f>
        <v/>
      </c>
      <c r="G1308" s="20"/>
      <c r="H1308" s="19"/>
      <c r="I1308" s="19"/>
      <c r="J1308" s="19"/>
      <c r="K1308" s="19"/>
      <c r="L1308" s="19"/>
      <c r="M1308" s="19"/>
      <c r="N1308" s="20" t="s">
        <v>39</v>
      </c>
      <c r="O1308" s="19"/>
      <c r="P1308" s="19"/>
      <c r="Q1308" s="19"/>
      <c r="R1308" s="19"/>
      <c r="S1308" s="19"/>
      <c r="T1308" s="19"/>
      <c r="U1308" s="19"/>
      <c r="V1308" s="19"/>
    </row>
    <row r="1309">
      <c r="A1309" s="25"/>
      <c r="B1309" s="19"/>
      <c r="C1309" s="19"/>
      <c r="D1309" s="19"/>
      <c r="E1309" s="19"/>
      <c r="F1309" s="17" t="str">
        <f>IFERROR(__xludf.DUMMYFUNCTION("""COMPUTED_VALUE"""),"")</f>
        <v/>
      </c>
      <c r="G1309" s="20"/>
      <c r="H1309" s="19"/>
      <c r="I1309" s="19"/>
      <c r="J1309" s="19"/>
      <c r="K1309" s="19"/>
      <c r="L1309" s="19"/>
      <c r="M1309" s="19"/>
      <c r="N1309" s="20" t="s">
        <v>39</v>
      </c>
      <c r="O1309" s="19"/>
      <c r="P1309" s="19"/>
      <c r="Q1309" s="19"/>
      <c r="R1309" s="19"/>
      <c r="S1309" s="19"/>
      <c r="T1309" s="19"/>
      <c r="U1309" s="19"/>
      <c r="V1309" s="19"/>
    </row>
    <row r="1310">
      <c r="A1310" s="25"/>
      <c r="B1310" s="19"/>
      <c r="C1310" s="19"/>
      <c r="D1310" s="19"/>
      <c r="E1310" s="19"/>
      <c r="F1310" s="17" t="str">
        <f>IFERROR(__xludf.DUMMYFUNCTION("""COMPUTED_VALUE"""),"")</f>
        <v/>
      </c>
      <c r="G1310" s="20"/>
      <c r="H1310" s="19"/>
      <c r="I1310" s="19"/>
      <c r="J1310" s="19"/>
      <c r="K1310" s="19"/>
      <c r="L1310" s="19"/>
      <c r="M1310" s="19"/>
      <c r="N1310" s="20" t="s">
        <v>39</v>
      </c>
      <c r="O1310" s="19"/>
      <c r="P1310" s="19"/>
      <c r="Q1310" s="19"/>
      <c r="R1310" s="19"/>
      <c r="S1310" s="19"/>
      <c r="T1310" s="19"/>
      <c r="U1310" s="19"/>
      <c r="V1310" s="19"/>
    </row>
    <row r="1311">
      <c r="A1311" s="25"/>
      <c r="B1311" s="19"/>
      <c r="C1311" s="19"/>
      <c r="D1311" s="19"/>
      <c r="E1311" s="19"/>
      <c r="F1311" s="17" t="str">
        <f>IFERROR(__xludf.DUMMYFUNCTION("""COMPUTED_VALUE"""),"")</f>
        <v/>
      </c>
      <c r="G1311" s="20"/>
      <c r="H1311" s="19"/>
      <c r="I1311" s="19"/>
      <c r="J1311" s="19"/>
      <c r="K1311" s="19"/>
      <c r="L1311" s="19"/>
      <c r="M1311" s="19"/>
      <c r="N1311" s="20" t="s">
        <v>39</v>
      </c>
      <c r="O1311" s="19"/>
      <c r="P1311" s="19"/>
      <c r="Q1311" s="19"/>
      <c r="R1311" s="19"/>
      <c r="S1311" s="19"/>
      <c r="T1311" s="19"/>
      <c r="U1311" s="19"/>
      <c r="V1311" s="19"/>
    </row>
    <row r="1312">
      <c r="A1312" s="25"/>
      <c r="B1312" s="19"/>
      <c r="C1312" s="19"/>
      <c r="D1312" s="19"/>
      <c r="E1312" s="19"/>
      <c r="F1312" s="17" t="str">
        <f>IFERROR(__xludf.DUMMYFUNCTION("""COMPUTED_VALUE"""),"")</f>
        <v/>
      </c>
      <c r="G1312" s="20"/>
      <c r="H1312" s="19"/>
      <c r="I1312" s="19"/>
      <c r="J1312" s="19"/>
      <c r="K1312" s="19"/>
      <c r="L1312" s="19"/>
      <c r="M1312" s="19"/>
      <c r="N1312" s="20" t="s">
        <v>39</v>
      </c>
      <c r="O1312" s="19"/>
      <c r="P1312" s="19"/>
      <c r="Q1312" s="19"/>
      <c r="R1312" s="19"/>
      <c r="S1312" s="19"/>
      <c r="T1312" s="19"/>
      <c r="U1312" s="19"/>
      <c r="V1312" s="19"/>
    </row>
    <row r="1313">
      <c r="A1313" s="25"/>
      <c r="B1313" s="19"/>
      <c r="C1313" s="19"/>
      <c r="D1313" s="19"/>
      <c r="E1313" s="19"/>
      <c r="F1313" s="17" t="str">
        <f>IFERROR(__xludf.DUMMYFUNCTION("""COMPUTED_VALUE"""),"")</f>
        <v/>
      </c>
      <c r="G1313" s="20"/>
      <c r="H1313" s="19"/>
      <c r="I1313" s="19"/>
      <c r="J1313" s="19"/>
      <c r="K1313" s="19"/>
      <c r="L1313" s="19"/>
      <c r="M1313" s="19"/>
      <c r="N1313" s="20" t="s">
        <v>39</v>
      </c>
      <c r="O1313" s="19"/>
      <c r="P1313" s="19"/>
      <c r="Q1313" s="19"/>
      <c r="R1313" s="19"/>
      <c r="S1313" s="19"/>
      <c r="T1313" s="19"/>
      <c r="U1313" s="19"/>
      <c r="V1313" s="19"/>
    </row>
    <row r="1314">
      <c r="A1314" s="25"/>
      <c r="B1314" s="19"/>
      <c r="C1314" s="19"/>
      <c r="D1314" s="19"/>
      <c r="E1314" s="19"/>
      <c r="F1314" s="17" t="str">
        <f>IFERROR(__xludf.DUMMYFUNCTION("""COMPUTED_VALUE"""),"")</f>
        <v/>
      </c>
      <c r="G1314" s="20"/>
      <c r="H1314" s="19"/>
      <c r="I1314" s="19"/>
      <c r="J1314" s="19"/>
      <c r="K1314" s="19"/>
      <c r="L1314" s="19"/>
      <c r="M1314" s="19"/>
      <c r="N1314" s="20" t="s">
        <v>39</v>
      </c>
      <c r="O1314" s="19"/>
      <c r="P1314" s="19"/>
      <c r="Q1314" s="19"/>
      <c r="R1314" s="19"/>
      <c r="S1314" s="19"/>
      <c r="T1314" s="19"/>
      <c r="U1314" s="19"/>
      <c r="V1314" s="19"/>
    </row>
    <row r="1315">
      <c r="A1315" s="25"/>
      <c r="B1315" s="19"/>
      <c r="C1315" s="19"/>
      <c r="D1315" s="19"/>
      <c r="E1315" s="19"/>
      <c r="F1315" s="17" t="str">
        <f>IFERROR(__xludf.DUMMYFUNCTION("""COMPUTED_VALUE"""),"")</f>
        <v/>
      </c>
      <c r="G1315" s="20"/>
      <c r="H1315" s="19"/>
      <c r="I1315" s="19"/>
      <c r="J1315" s="19"/>
      <c r="K1315" s="19"/>
      <c r="L1315" s="19"/>
      <c r="M1315" s="19"/>
      <c r="N1315" s="20" t="s">
        <v>39</v>
      </c>
      <c r="O1315" s="19"/>
      <c r="P1315" s="19"/>
      <c r="Q1315" s="19"/>
      <c r="R1315" s="19"/>
      <c r="S1315" s="19"/>
      <c r="T1315" s="19"/>
      <c r="U1315" s="19"/>
      <c r="V1315" s="19"/>
    </row>
    <row r="1316">
      <c r="A1316" s="25"/>
      <c r="B1316" s="19"/>
      <c r="C1316" s="19"/>
      <c r="D1316" s="19"/>
      <c r="E1316" s="19"/>
      <c r="F1316" s="17" t="str">
        <f>IFERROR(__xludf.DUMMYFUNCTION("""COMPUTED_VALUE"""),"")</f>
        <v/>
      </c>
      <c r="G1316" s="20"/>
      <c r="H1316" s="19"/>
      <c r="I1316" s="19"/>
      <c r="J1316" s="19"/>
      <c r="K1316" s="19"/>
      <c r="L1316" s="19"/>
      <c r="M1316" s="19"/>
      <c r="N1316" s="20" t="s">
        <v>39</v>
      </c>
      <c r="O1316" s="19"/>
      <c r="P1316" s="19"/>
      <c r="Q1316" s="19"/>
      <c r="R1316" s="19"/>
      <c r="S1316" s="19"/>
      <c r="T1316" s="19"/>
      <c r="U1316" s="19"/>
      <c r="V1316" s="19"/>
    </row>
    <row r="1317">
      <c r="A1317" s="25"/>
      <c r="B1317" s="19"/>
      <c r="C1317" s="19"/>
      <c r="D1317" s="19"/>
      <c r="E1317" s="19"/>
      <c r="F1317" s="17" t="str">
        <f>IFERROR(__xludf.DUMMYFUNCTION("""COMPUTED_VALUE"""),"")</f>
        <v/>
      </c>
      <c r="G1317" s="20"/>
      <c r="H1317" s="19"/>
      <c r="I1317" s="19"/>
      <c r="J1317" s="19"/>
      <c r="K1317" s="19"/>
      <c r="L1317" s="19"/>
      <c r="M1317" s="19"/>
      <c r="N1317" s="20" t="s">
        <v>39</v>
      </c>
      <c r="O1317" s="19"/>
      <c r="P1317" s="19"/>
      <c r="Q1317" s="19"/>
      <c r="R1317" s="19"/>
      <c r="S1317" s="19"/>
      <c r="T1317" s="19"/>
      <c r="U1317" s="19"/>
      <c r="V1317" s="19"/>
    </row>
    <row r="1318">
      <c r="A1318" s="25"/>
      <c r="B1318" s="19"/>
      <c r="C1318" s="19"/>
      <c r="D1318" s="19"/>
      <c r="E1318" s="19"/>
      <c r="F1318" s="17" t="str">
        <f>IFERROR(__xludf.DUMMYFUNCTION("""COMPUTED_VALUE"""),"")</f>
        <v/>
      </c>
      <c r="G1318" s="20"/>
      <c r="H1318" s="19"/>
      <c r="I1318" s="19"/>
      <c r="J1318" s="19"/>
      <c r="K1318" s="19"/>
      <c r="L1318" s="19"/>
      <c r="M1318" s="19"/>
      <c r="N1318" s="20" t="s">
        <v>39</v>
      </c>
      <c r="O1318" s="19"/>
      <c r="P1318" s="19"/>
      <c r="Q1318" s="19"/>
      <c r="R1318" s="19"/>
      <c r="S1318" s="19"/>
      <c r="T1318" s="19"/>
      <c r="U1318" s="19"/>
      <c r="V1318" s="19"/>
    </row>
    <row r="1319">
      <c r="A1319" s="25"/>
      <c r="B1319" s="19"/>
      <c r="C1319" s="19"/>
      <c r="D1319" s="19"/>
      <c r="E1319" s="19"/>
      <c r="F1319" s="17" t="str">
        <f>IFERROR(__xludf.DUMMYFUNCTION("""COMPUTED_VALUE"""),"")</f>
        <v/>
      </c>
      <c r="G1319" s="20"/>
      <c r="H1319" s="19"/>
      <c r="I1319" s="19"/>
      <c r="J1319" s="19"/>
      <c r="K1319" s="19"/>
      <c r="L1319" s="19"/>
      <c r="M1319" s="19"/>
      <c r="N1319" s="20" t="s">
        <v>39</v>
      </c>
      <c r="O1319" s="19"/>
      <c r="P1319" s="19"/>
      <c r="Q1319" s="19"/>
      <c r="R1319" s="19"/>
      <c r="S1319" s="19"/>
      <c r="T1319" s="19"/>
      <c r="U1319" s="19"/>
      <c r="V1319" s="19"/>
    </row>
    <row r="1320">
      <c r="A1320" s="25"/>
      <c r="B1320" s="19"/>
      <c r="C1320" s="19"/>
      <c r="D1320" s="19"/>
      <c r="E1320" s="19"/>
      <c r="F1320" s="17" t="str">
        <f>IFERROR(__xludf.DUMMYFUNCTION("""COMPUTED_VALUE"""),"")</f>
        <v/>
      </c>
      <c r="G1320" s="20"/>
      <c r="H1320" s="19"/>
      <c r="I1320" s="19"/>
      <c r="J1320" s="19"/>
      <c r="K1320" s="19"/>
      <c r="L1320" s="19"/>
      <c r="M1320" s="19"/>
      <c r="N1320" s="20" t="s">
        <v>39</v>
      </c>
      <c r="O1320" s="19"/>
      <c r="P1320" s="19"/>
      <c r="Q1320" s="19"/>
      <c r="R1320" s="19"/>
      <c r="S1320" s="19"/>
      <c r="T1320" s="19"/>
      <c r="U1320" s="19"/>
      <c r="V1320" s="19"/>
    </row>
    <row r="1321">
      <c r="A1321" s="25"/>
      <c r="B1321" s="19"/>
      <c r="C1321" s="19"/>
      <c r="D1321" s="19"/>
      <c r="E1321" s="19"/>
      <c r="F1321" s="17" t="str">
        <f>IFERROR(__xludf.DUMMYFUNCTION("""COMPUTED_VALUE"""),"")</f>
        <v/>
      </c>
      <c r="G1321" s="20"/>
      <c r="H1321" s="19"/>
      <c r="I1321" s="19"/>
      <c r="J1321" s="19"/>
      <c r="K1321" s="19"/>
      <c r="L1321" s="19"/>
      <c r="M1321" s="19"/>
      <c r="N1321" s="20" t="s">
        <v>39</v>
      </c>
      <c r="O1321" s="19"/>
      <c r="P1321" s="19"/>
      <c r="Q1321" s="19"/>
      <c r="R1321" s="19"/>
      <c r="S1321" s="19"/>
      <c r="T1321" s="19"/>
      <c r="U1321" s="19"/>
      <c r="V1321" s="19"/>
    </row>
    <row r="1322">
      <c r="A1322" s="25"/>
      <c r="B1322" s="19"/>
      <c r="C1322" s="19"/>
      <c r="D1322" s="19"/>
      <c r="E1322" s="19"/>
      <c r="F1322" s="17" t="str">
        <f>IFERROR(__xludf.DUMMYFUNCTION("""COMPUTED_VALUE"""),"")</f>
        <v/>
      </c>
      <c r="G1322" s="20"/>
      <c r="H1322" s="19"/>
      <c r="I1322" s="19"/>
      <c r="J1322" s="19"/>
      <c r="K1322" s="19"/>
      <c r="L1322" s="19"/>
      <c r="M1322" s="19"/>
      <c r="N1322" s="20" t="s">
        <v>39</v>
      </c>
      <c r="O1322" s="19"/>
      <c r="P1322" s="19"/>
      <c r="Q1322" s="19"/>
      <c r="R1322" s="19"/>
      <c r="S1322" s="19"/>
      <c r="T1322" s="19"/>
      <c r="U1322" s="19"/>
      <c r="V1322" s="19"/>
    </row>
    <row r="1323">
      <c r="A1323" s="25"/>
      <c r="B1323" s="19"/>
      <c r="C1323" s="19"/>
      <c r="D1323" s="19"/>
      <c r="E1323" s="19"/>
      <c r="F1323" s="17" t="str">
        <f>IFERROR(__xludf.DUMMYFUNCTION("""COMPUTED_VALUE"""),"")</f>
        <v/>
      </c>
      <c r="G1323" s="20"/>
      <c r="H1323" s="19"/>
      <c r="I1323" s="19"/>
      <c r="J1323" s="19"/>
      <c r="K1323" s="19"/>
      <c r="L1323" s="19"/>
      <c r="M1323" s="19"/>
      <c r="N1323" s="20" t="s">
        <v>39</v>
      </c>
      <c r="O1323" s="19"/>
      <c r="P1323" s="19"/>
      <c r="Q1323" s="19"/>
      <c r="R1323" s="19"/>
      <c r="S1323" s="19"/>
      <c r="T1323" s="19"/>
      <c r="U1323" s="19"/>
      <c r="V1323" s="19"/>
    </row>
    <row r="1324">
      <c r="A1324" s="25"/>
      <c r="B1324" s="19"/>
      <c r="C1324" s="19"/>
      <c r="D1324" s="19"/>
      <c r="E1324" s="19"/>
      <c r="F1324" s="17" t="str">
        <f>IFERROR(__xludf.DUMMYFUNCTION("""COMPUTED_VALUE"""),"")</f>
        <v/>
      </c>
      <c r="G1324" s="20"/>
      <c r="H1324" s="19"/>
      <c r="I1324" s="19"/>
      <c r="J1324" s="19"/>
      <c r="K1324" s="19"/>
      <c r="L1324" s="19"/>
      <c r="M1324" s="19"/>
      <c r="N1324" s="20" t="s">
        <v>39</v>
      </c>
      <c r="O1324" s="19"/>
      <c r="P1324" s="19"/>
      <c r="Q1324" s="19"/>
      <c r="R1324" s="19"/>
      <c r="S1324" s="19"/>
      <c r="T1324" s="19"/>
      <c r="U1324" s="19"/>
      <c r="V1324" s="19"/>
    </row>
    <row r="1325">
      <c r="A1325" s="25"/>
      <c r="B1325" s="19"/>
      <c r="C1325" s="19"/>
      <c r="D1325" s="19"/>
      <c r="E1325" s="19"/>
      <c r="F1325" s="17" t="str">
        <f>IFERROR(__xludf.DUMMYFUNCTION("""COMPUTED_VALUE"""),"")</f>
        <v/>
      </c>
      <c r="G1325" s="20"/>
      <c r="H1325" s="19"/>
      <c r="I1325" s="19"/>
      <c r="J1325" s="19"/>
      <c r="K1325" s="19"/>
      <c r="L1325" s="19"/>
      <c r="M1325" s="19"/>
      <c r="N1325" s="20" t="s">
        <v>39</v>
      </c>
      <c r="O1325" s="19"/>
      <c r="P1325" s="19"/>
      <c r="Q1325" s="19"/>
      <c r="R1325" s="19"/>
      <c r="S1325" s="19"/>
      <c r="T1325" s="19"/>
      <c r="U1325" s="19"/>
      <c r="V1325" s="19"/>
    </row>
    <row r="1326">
      <c r="A1326" s="25"/>
      <c r="B1326" s="19"/>
      <c r="C1326" s="19"/>
      <c r="D1326" s="19"/>
      <c r="E1326" s="19"/>
      <c r="F1326" s="17" t="str">
        <f>IFERROR(__xludf.DUMMYFUNCTION("""COMPUTED_VALUE"""),"")</f>
        <v/>
      </c>
      <c r="G1326" s="20"/>
      <c r="H1326" s="19"/>
      <c r="I1326" s="19"/>
      <c r="J1326" s="19"/>
      <c r="K1326" s="19"/>
      <c r="L1326" s="19"/>
      <c r="M1326" s="19"/>
      <c r="N1326" s="20" t="s">
        <v>39</v>
      </c>
      <c r="O1326" s="19"/>
      <c r="P1326" s="19"/>
      <c r="Q1326" s="19"/>
      <c r="R1326" s="19"/>
      <c r="S1326" s="19"/>
      <c r="T1326" s="19"/>
      <c r="U1326" s="19"/>
      <c r="V1326" s="19"/>
    </row>
    <row r="1327">
      <c r="A1327" s="25"/>
      <c r="B1327" s="19"/>
      <c r="C1327" s="19"/>
      <c r="D1327" s="19"/>
      <c r="E1327" s="19"/>
      <c r="F1327" s="17" t="str">
        <f>IFERROR(__xludf.DUMMYFUNCTION("""COMPUTED_VALUE"""),"")</f>
        <v/>
      </c>
      <c r="G1327" s="20"/>
      <c r="H1327" s="19"/>
      <c r="I1327" s="19"/>
      <c r="J1327" s="19"/>
      <c r="K1327" s="19"/>
      <c r="L1327" s="19"/>
      <c r="M1327" s="19"/>
      <c r="N1327" s="20" t="s">
        <v>39</v>
      </c>
      <c r="O1327" s="19"/>
      <c r="P1327" s="19"/>
      <c r="Q1327" s="19"/>
      <c r="R1327" s="19"/>
      <c r="S1327" s="19"/>
      <c r="T1327" s="19"/>
      <c r="U1327" s="19"/>
      <c r="V1327" s="19"/>
    </row>
    <row r="1328">
      <c r="A1328" s="25"/>
      <c r="B1328" s="19"/>
      <c r="C1328" s="19"/>
      <c r="D1328" s="19"/>
      <c r="E1328" s="19"/>
      <c r="F1328" s="17" t="str">
        <f>IFERROR(__xludf.DUMMYFUNCTION("""COMPUTED_VALUE"""),"")</f>
        <v/>
      </c>
      <c r="G1328" s="20"/>
      <c r="H1328" s="19"/>
      <c r="I1328" s="19"/>
      <c r="J1328" s="19"/>
      <c r="K1328" s="19"/>
      <c r="L1328" s="19"/>
      <c r="M1328" s="19"/>
      <c r="N1328" s="20" t="s">
        <v>39</v>
      </c>
      <c r="O1328" s="19"/>
      <c r="P1328" s="19"/>
      <c r="Q1328" s="19"/>
      <c r="R1328" s="19"/>
      <c r="S1328" s="19"/>
      <c r="T1328" s="19"/>
      <c r="U1328" s="19"/>
      <c r="V1328" s="19"/>
    </row>
    <row r="1329">
      <c r="A1329" s="25"/>
      <c r="B1329" s="19"/>
      <c r="C1329" s="19"/>
      <c r="D1329" s="19"/>
      <c r="E1329" s="19"/>
      <c r="F1329" s="17" t="str">
        <f>IFERROR(__xludf.DUMMYFUNCTION("""COMPUTED_VALUE"""),"")</f>
        <v/>
      </c>
      <c r="G1329" s="20"/>
      <c r="H1329" s="19"/>
      <c r="I1329" s="19"/>
      <c r="J1329" s="19"/>
      <c r="K1329" s="19"/>
      <c r="L1329" s="19"/>
      <c r="M1329" s="19"/>
      <c r="N1329" s="20" t="s">
        <v>39</v>
      </c>
      <c r="O1329" s="19"/>
      <c r="P1329" s="19"/>
      <c r="Q1329" s="19"/>
      <c r="R1329" s="19"/>
      <c r="S1329" s="19"/>
      <c r="T1329" s="19"/>
      <c r="U1329" s="19"/>
      <c r="V1329" s="19"/>
    </row>
    <row r="1330">
      <c r="A1330" s="25"/>
      <c r="B1330" s="19"/>
      <c r="C1330" s="19"/>
      <c r="D1330" s="19"/>
      <c r="E1330" s="19"/>
      <c r="F1330" s="17" t="str">
        <f>IFERROR(__xludf.DUMMYFUNCTION("""COMPUTED_VALUE"""),"")</f>
        <v/>
      </c>
      <c r="G1330" s="20"/>
      <c r="H1330" s="19"/>
      <c r="I1330" s="19"/>
      <c r="J1330" s="19"/>
      <c r="K1330" s="19"/>
      <c r="L1330" s="19"/>
      <c r="M1330" s="19"/>
      <c r="N1330" s="20" t="s">
        <v>39</v>
      </c>
      <c r="O1330" s="19"/>
      <c r="P1330" s="19"/>
      <c r="Q1330" s="19"/>
      <c r="R1330" s="19"/>
      <c r="S1330" s="19"/>
      <c r="T1330" s="19"/>
      <c r="U1330" s="19"/>
      <c r="V1330" s="19"/>
    </row>
    <row r="1331">
      <c r="A1331" s="25"/>
      <c r="B1331" s="19"/>
      <c r="C1331" s="19"/>
      <c r="D1331" s="19"/>
      <c r="E1331" s="19"/>
      <c r="F1331" s="17" t="str">
        <f>IFERROR(__xludf.DUMMYFUNCTION("""COMPUTED_VALUE"""),"")</f>
        <v/>
      </c>
      <c r="G1331" s="20"/>
      <c r="H1331" s="19"/>
      <c r="I1331" s="19"/>
      <c r="J1331" s="19"/>
      <c r="K1331" s="19"/>
      <c r="L1331" s="19"/>
      <c r="M1331" s="19"/>
      <c r="N1331" s="20" t="s">
        <v>39</v>
      </c>
      <c r="O1331" s="19"/>
      <c r="P1331" s="19"/>
      <c r="Q1331" s="19"/>
      <c r="R1331" s="19"/>
      <c r="S1331" s="19"/>
      <c r="T1331" s="19"/>
      <c r="U1331" s="19"/>
      <c r="V1331" s="19"/>
    </row>
    <row r="1332">
      <c r="A1332" s="25"/>
      <c r="B1332" s="19"/>
      <c r="C1332" s="19"/>
      <c r="D1332" s="19"/>
      <c r="E1332" s="19"/>
      <c r="F1332" s="17" t="str">
        <f>IFERROR(__xludf.DUMMYFUNCTION("""COMPUTED_VALUE"""),"")</f>
        <v/>
      </c>
      <c r="G1332" s="20"/>
      <c r="H1332" s="19"/>
      <c r="I1332" s="19"/>
      <c r="J1332" s="19"/>
      <c r="K1332" s="19"/>
      <c r="L1332" s="19"/>
      <c r="M1332" s="19"/>
      <c r="N1332" s="20" t="s">
        <v>39</v>
      </c>
      <c r="O1332" s="19"/>
      <c r="P1332" s="19"/>
      <c r="Q1332" s="19"/>
      <c r="R1332" s="19"/>
      <c r="S1332" s="19"/>
      <c r="T1332" s="19"/>
      <c r="U1332" s="19"/>
      <c r="V1332" s="19"/>
    </row>
    <row r="1333">
      <c r="A1333" s="25"/>
      <c r="B1333" s="19"/>
      <c r="C1333" s="19"/>
      <c r="D1333" s="19"/>
      <c r="E1333" s="19"/>
      <c r="F1333" s="17" t="str">
        <f>IFERROR(__xludf.DUMMYFUNCTION("""COMPUTED_VALUE"""),"")</f>
        <v/>
      </c>
      <c r="G1333" s="20"/>
      <c r="H1333" s="19"/>
      <c r="I1333" s="19"/>
      <c r="J1333" s="19"/>
      <c r="K1333" s="19"/>
      <c r="L1333" s="19"/>
      <c r="M1333" s="19"/>
      <c r="N1333" s="20" t="s">
        <v>39</v>
      </c>
      <c r="O1333" s="19"/>
      <c r="P1333" s="19"/>
      <c r="Q1333" s="19"/>
      <c r="R1333" s="19"/>
      <c r="S1333" s="19"/>
      <c r="T1333" s="19"/>
      <c r="U1333" s="19"/>
      <c r="V1333" s="19"/>
    </row>
    <row r="1334">
      <c r="A1334" s="25"/>
      <c r="B1334" s="19"/>
      <c r="C1334" s="19"/>
      <c r="D1334" s="19"/>
      <c r="E1334" s="19"/>
      <c r="F1334" s="17" t="str">
        <f>IFERROR(__xludf.DUMMYFUNCTION("""COMPUTED_VALUE"""),"")</f>
        <v/>
      </c>
      <c r="G1334" s="20"/>
      <c r="H1334" s="19"/>
      <c r="I1334" s="19"/>
      <c r="J1334" s="19"/>
      <c r="K1334" s="19"/>
      <c r="L1334" s="19"/>
      <c r="M1334" s="19"/>
      <c r="N1334" s="20" t="s">
        <v>39</v>
      </c>
      <c r="O1334" s="19"/>
      <c r="P1334" s="19"/>
      <c r="Q1334" s="19"/>
      <c r="R1334" s="19"/>
      <c r="S1334" s="19"/>
      <c r="T1334" s="19"/>
      <c r="U1334" s="19"/>
      <c r="V1334" s="19"/>
    </row>
    <row r="1335">
      <c r="A1335" s="25"/>
      <c r="B1335" s="19"/>
      <c r="C1335" s="19"/>
      <c r="D1335" s="19"/>
      <c r="E1335" s="19"/>
      <c r="F1335" s="17" t="str">
        <f>IFERROR(__xludf.DUMMYFUNCTION("""COMPUTED_VALUE"""),"")</f>
        <v/>
      </c>
      <c r="G1335" s="20"/>
      <c r="H1335" s="19"/>
      <c r="I1335" s="19"/>
      <c r="J1335" s="19"/>
      <c r="K1335" s="19"/>
      <c r="L1335" s="19"/>
      <c r="M1335" s="19"/>
      <c r="N1335" s="20" t="s">
        <v>39</v>
      </c>
      <c r="O1335" s="19"/>
      <c r="P1335" s="19"/>
      <c r="Q1335" s="19"/>
      <c r="R1335" s="19"/>
      <c r="S1335" s="19"/>
      <c r="T1335" s="19"/>
      <c r="U1335" s="19"/>
      <c r="V1335" s="19"/>
    </row>
    <row r="1336">
      <c r="A1336" s="25"/>
      <c r="B1336" s="19"/>
      <c r="C1336" s="19"/>
      <c r="D1336" s="19"/>
      <c r="E1336" s="19"/>
      <c r="F1336" s="17" t="str">
        <f>IFERROR(__xludf.DUMMYFUNCTION("""COMPUTED_VALUE"""),"")</f>
        <v/>
      </c>
      <c r="G1336" s="20"/>
      <c r="H1336" s="19"/>
      <c r="I1336" s="19"/>
      <c r="J1336" s="19"/>
      <c r="K1336" s="19"/>
      <c r="L1336" s="19"/>
      <c r="M1336" s="19"/>
      <c r="N1336" s="20" t="s">
        <v>39</v>
      </c>
      <c r="O1336" s="19"/>
      <c r="P1336" s="19"/>
      <c r="Q1336" s="19"/>
      <c r="R1336" s="19"/>
      <c r="S1336" s="19"/>
      <c r="T1336" s="19"/>
      <c r="U1336" s="19"/>
      <c r="V1336" s="19"/>
    </row>
    <row r="1337">
      <c r="A1337" s="25"/>
      <c r="B1337" s="19"/>
      <c r="C1337" s="19"/>
      <c r="D1337" s="19"/>
      <c r="E1337" s="19"/>
      <c r="F1337" s="17" t="str">
        <f>IFERROR(__xludf.DUMMYFUNCTION("""COMPUTED_VALUE"""),"")</f>
        <v/>
      </c>
      <c r="G1337" s="20"/>
      <c r="H1337" s="19"/>
      <c r="I1337" s="19"/>
      <c r="J1337" s="19"/>
      <c r="K1337" s="19"/>
      <c r="L1337" s="19"/>
      <c r="M1337" s="19"/>
      <c r="N1337" s="20" t="s">
        <v>39</v>
      </c>
      <c r="O1337" s="19"/>
      <c r="P1337" s="19"/>
      <c r="Q1337" s="19"/>
      <c r="R1337" s="19"/>
      <c r="S1337" s="19"/>
      <c r="T1337" s="19"/>
      <c r="U1337" s="19"/>
      <c r="V1337" s="19"/>
    </row>
    <row r="1338">
      <c r="A1338" s="25"/>
      <c r="B1338" s="19"/>
      <c r="C1338" s="19"/>
      <c r="D1338" s="19"/>
      <c r="E1338" s="19"/>
      <c r="F1338" s="17" t="str">
        <f>IFERROR(__xludf.DUMMYFUNCTION("""COMPUTED_VALUE"""),"")</f>
        <v/>
      </c>
      <c r="G1338" s="20"/>
      <c r="H1338" s="19"/>
      <c r="I1338" s="19"/>
      <c r="J1338" s="19"/>
      <c r="K1338" s="19"/>
      <c r="L1338" s="19"/>
      <c r="M1338" s="19"/>
      <c r="N1338" s="20" t="s">
        <v>39</v>
      </c>
      <c r="O1338" s="19"/>
      <c r="P1338" s="19"/>
      <c r="Q1338" s="19"/>
      <c r="R1338" s="19"/>
      <c r="S1338" s="19"/>
      <c r="T1338" s="19"/>
      <c r="U1338" s="19"/>
      <c r="V1338" s="19"/>
    </row>
    <row r="1339">
      <c r="A1339" s="25"/>
      <c r="B1339" s="19"/>
      <c r="C1339" s="19"/>
      <c r="D1339" s="19"/>
      <c r="E1339" s="19"/>
      <c r="F1339" s="17" t="str">
        <f>IFERROR(__xludf.DUMMYFUNCTION("""COMPUTED_VALUE"""),"")</f>
        <v/>
      </c>
      <c r="G1339" s="20"/>
      <c r="H1339" s="19"/>
      <c r="I1339" s="19"/>
      <c r="J1339" s="19"/>
      <c r="K1339" s="19"/>
      <c r="L1339" s="19"/>
      <c r="M1339" s="19"/>
      <c r="N1339" s="20" t="s">
        <v>39</v>
      </c>
      <c r="O1339" s="19"/>
      <c r="P1339" s="19"/>
      <c r="Q1339" s="19"/>
      <c r="R1339" s="19"/>
      <c r="S1339" s="19"/>
      <c r="T1339" s="19"/>
      <c r="U1339" s="19"/>
      <c r="V1339" s="19"/>
    </row>
    <row r="1340">
      <c r="A1340" s="25"/>
      <c r="B1340" s="19"/>
      <c r="C1340" s="19"/>
      <c r="D1340" s="19"/>
      <c r="E1340" s="19"/>
      <c r="F1340" s="17" t="str">
        <f>IFERROR(__xludf.DUMMYFUNCTION("""COMPUTED_VALUE"""),"")</f>
        <v/>
      </c>
      <c r="G1340" s="20"/>
      <c r="H1340" s="19"/>
      <c r="I1340" s="19"/>
      <c r="J1340" s="19"/>
      <c r="K1340" s="19"/>
      <c r="L1340" s="19"/>
      <c r="M1340" s="19"/>
      <c r="N1340" s="20" t="s">
        <v>39</v>
      </c>
      <c r="O1340" s="19"/>
      <c r="P1340" s="19"/>
      <c r="Q1340" s="19"/>
      <c r="R1340" s="19"/>
      <c r="S1340" s="19"/>
      <c r="T1340" s="19"/>
      <c r="U1340" s="19"/>
      <c r="V1340" s="19"/>
    </row>
    <row r="1341">
      <c r="A1341" s="25"/>
      <c r="B1341" s="19"/>
      <c r="C1341" s="19"/>
      <c r="D1341" s="19"/>
      <c r="E1341" s="19"/>
      <c r="F1341" s="17" t="str">
        <f>IFERROR(__xludf.DUMMYFUNCTION("""COMPUTED_VALUE"""),"")</f>
        <v/>
      </c>
      <c r="G1341" s="20"/>
      <c r="H1341" s="19"/>
      <c r="I1341" s="19"/>
      <c r="J1341" s="19"/>
      <c r="K1341" s="19"/>
      <c r="L1341" s="19"/>
      <c r="M1341" s="19"/>
      <c r="N1341" s="20" t="s">
        <v>39</v>
      </c>
      <c r="O1341" s="19"/>
      <c r="P1341" s="19"/>
      <c r="Q1341" s="19"/>
      <c r="R1341" s="19"/>
      <c r="S1341" s="19"/>
      <c r="T1341" s="19"/>
      <c r="U1341" s="19"/>
      <c r="V1341" s="19"/>
    </row>
    <row r="1342">
      <c r="A1342" s="25"/>
      <c r="B1342" s="19"/>
      <c r="C1342" s="19"/>
      <c r="D1342" s="19"/>
      <c r="E1342" s="19"/>
      <c r="F1342" s="17" t="str">
        <f>IFERROR(__xludf.DUMMYFUNCTION("""COMPUTED_VALUE"""),"")</f>
        <v/>
      </c>
      <c r="G1342" s="20"/>
      <c r="H1342" s="19"/>
      <c r="I1342" s="19"/>
      <c r="J1342" s="19"/>
      <c r="K1342" s="19"/>
      <c r="L1342" s="19"/>
      <c r="M1342" s="19"/>
      <c r="N1342" s="20" t="s">
        <v>39</v>
      </c>
      <c r="O1342" s="19"/>
      <c r="P1342" s="19"/>
      <c r="Q1342" s="19"/>
      <c r="R1342" s="19"/>
      <c r="S1342" s="19"/>
      <c r="T1342" s="19"/>
      <c r="U1342" s="19"/>
      <c r="V1342" s="19"/>
    </row>
    <row r="1343">
      <c r="A1343" s="25"/>
      <c r="B1343" s="19"/>
      <c r="C1343" s="19"/>
      <c r="D1343" s="19"/>
      <c r="E1343" s="19"/>
      <c r="F1343" s="17" t="str">
        <f>IFERROR(__xludf.DUMMYFUNCTION("""COMPUTED_VALUE"""),"")</f>
        <v/>
      </c>
      <c r="G1343" s="20"/>
      <c r="H1343" s="19"/>
      <c r="I1343" s="19"/>
      <c r="J1343" s="19"/>
      <c r="K1343" s="19"/>
      <c r="L1343" s="19"/>
      <c r="M1343" s="19"/>
      <c r="N1343" s="20" t="s">
        <v>39</v>
      </c>
      <c r="O1343" s="19"/>
      <c r="P1343" s="19"/>
      <c r="Q1343" s="19"/>
      <c r="R1343" s="19"/>
      <c r="S1343" s="19"/>
      <c r="T1343" s="19"/>
      <c r="U1343" s="19"/>
      <c r="V1343" s="19"/>
    </row>
    <row r="1344">
      <c r="A1344" s="25"/>
      <c r="B1344" s="19"/>
      <c r="C1344" s="19"/>
      <c r="D1344" s="19"/>
      <c r="E1344" s="19"/>
      <c r="F1344" s="17" t="str">
        <f>IFERROR(__xludf.DUMMYFUNCTION("""COMPUTED_VALUE"""),"")</f>
        <v/>
      </c>
      <c r="G1344" s="20"/>
      <c r="H1344" s="19"/>
      <c r="I1344" s="19"/>
      <c r="J1344" s="19"/>
      <c r="K1344" s="19"/>
      <c r="L1344" s="19"/>
      <c r="M1344" s="19"/>
      <c r="N1344" s="20" t="s">
        <v>39</v>
      </c>
      <c r="O1344" s="19"/>
      <c r="P1344" s="19"/>
      <c r="Q1344" s="19"/>
      <c r="R1344" s="19"/>
      <c r="S1344" s="19"/>
      <c r="T1344" s="19"/>
      <c r="U1344" s="19"/>
      <c r="V1344" s="19"/>
    </row>
    <row r="1345">
      <c r="A1345" s="25"/>
      <c r="B1345" s="19"/>
      <c r="C1345" s="19"/>
      <c r="D1345" s="19"/>
      <c r="E1345" s="19"/>
      <c r="F1345" s="17" t="str">
        <f>IFERROR(__xludf.DUMMYFUNCTION("""COMPUTED_VALUE"""),"")</f>
        <v/>
      </c>
      <c r="G1345" s="20"/>
      <c r="H1345" s="19"/>
      <c r="I1345" s="19"/>
      <c r="J1345" s="19"/>
      <c r="K1345" s="19"/>
      <c r="L1345" s="19"/>
      <c r="M1345" s="19"/>
      <c r="N1345" s="20" t="s">
        <v>39</v>
      </c>
      <c r="O1345" s="19"/>
      <c r="P1345" s="19"/>
      <c r="Q1345" s="19"/>
      <c r="R1345" s="19"/>
      <c r="S1345" s="19"/>
      <c r="T1345" s="19"/>
      <c r="U1345" s="19"/>
      <c r="V1345" s="19"/>
    </row>
    <row r="1346">
      <c r="A1346" s="25"/>
      <c r="B1346" s="19"/>
      <c r="C1346" s="19"/>
      <c r="D1346" s="19"/>
      <c r="E1346" s="19"/>
      <c r="F1346" s="17" t="str">
        <f>IFERROR(__xludf.DUMMYFUNCTION("""COMPUTED_VALUE"""),"")</f>
        <v/>
      </c>
      <c r="G1346" s="20"/>
      <c r="H1346" s="19"/>
      <c r="I1346" s="19"/>
      <c r="J1346" s="19"/>
      <c r="K1346" s="19"/>
      <c r="L1346" s="19"/>
      <c r="M1346" s="19"/>
      <c r="N1346" s="20" t="s">
        <v>39</v>
      </c>
      <c r="O1346" s="19"/>
      <c r="P1346" s="19"/>
      <c r="Q1346" s="19"/>
      <c r="R1346" s="19"/>
      <c r="S1346" s="19"/>
      <c r="T1346" s="19"/>
      <c r="U1346" s="19"/>
      <c r="V1346" s="19"/>
    </row>
    <row r="1347">
      <c r="A1347" s="25"/>
      <c r="B1347" s="19"/>
      <c r="C1347" s="19"/>
      <c r="D1347" s="19"/>
      <c r="E1347" s="19"/>
      <c r="F1347" s="17" t="str">
        <f>IFERROR(__xludf.DUMMYFUNCTION("""COMPUTED_VALUE"""),"")</f>
        <v/>
      </c>
      <c r="G1347" s="20"/>
      <c r="H1347" s="19"/>
      <c r="I1347" s="19"/>
      <c r="J1347" s="19"/>
      <c r="K1347" s="19"/>
      <c r="L1347" s="19"/>
      <c r="M1347" s="19"/>
      <c r="N1347" s="20" t="s">
        <v>39</v>
      </c>
      <c r="O1347" s="19"/>
      <c r="P1347" s="19"/>
      <c r="Q1347" s="19"/>
      <c r="R1347" s="19"/>
      <c r="S1347" s="19"/>
      <c r="T1347" s="19"/>
      <c r="U1347" s="19"/>
      <c r="V1347" s="19"/>
    </row>
    <row r="1348">
      <c r="A1348" s="25"/>
      <c r="B1348" s="19"/>
      <c r="C1348" s="19"/>
      <c r="D1348" s="19"/>
      <c r="E1348" s="19"/>
      <c r="F1348" s="17" t="str">
        <f>IFERROR(__xludf.DUMMYFUNCTION("""COMPUTED_VALUE"""),"")</f>
        <v/>
      </c>
      <c r="G1348" s="20"/>
      <c r="H1348" s="19"/>
      <c r="I1348" s="19"/>
      <c r="J1348" s="19"/>
      <c r="K1348" s="19"/>
      <c r="L1348" s="19"/>
      <c r="M1348" s="19"/>
      <c r="N1348" s="20" t="s">
        <v>39</v>
      </c>
      <c r="O1348" s="19"/>
      <c r="P1348" s="19"/>
      <c r="Q1348" s="19"/>
      <c r="R1348" s="19"/>
      <c r="S1348" s="19"/>
      <c r="T1348" s="19"/>
      <c r="U1348" s="19"/>
      <c r="V1348" s="19"/>
    </row>
    <row r="1349">
      <c r="A1349" s="25"/>
      <c r="B1349" s="19"/>
      <c r="C1349" s="19"/>
      <c r="D1349" s="19"/>
      <c r="E1349" s="19"/>
      <c r="F1349" s="17" t="str">
        <f>IFERROR(__xludf.DUMMYFUNCTION("""COMPUTED_VALUE"""),"")</f>
        <v/>
      </c>
      <c r="G1349" s="20"/>
      <c r="H1349" s="19"/>
      <c r="I1349" s="19"/>
      <c r="J1349" s="19"/>
      <c r="K1349" s="19"/>
      <c r="L1349" s="19"/>
      <c r="M1349" s="19"/>
      <c r="N1349" s="20" t="s">
        <v>39</v>
      </c>
      <c r="O1349" s="19"/>
      <c r="P1349" s="19"/>
      <c r="Q1349" s="19"/>
      <c r="R1349" s="19"/>
      <c r="S1349" s="19"/>
      <c r="T1349" s="19"/>
      <c r="U1349" s="19"/>
      <c r="V1349" s="19"/>
    </row>
    <row r="1350">
      <c r="A1350" s="25"/>
      <c r="B1350" s="19"/>
      <c r="C1350" s="19"/>
      <c r="D1350" s="19"/>
      <c r="E1350" s="19"/>
      <c r="F1350" s="17" t="str">
        <f>IFERROR(__xludf.DUMMYFUNCTION("""COMPUTED_VALUE"""),"")</f>
        <v/>
      </c>
      <c r="G1350" s="20"/>
      <c r="H1350" s="19"/>
      <c r="I1350" s="19"/>
      <c r="J1350" s="19"/>
      <c r="K1350" s="19"/>
      <c r="L1350" s="19"/>
      <c r="M1350" s="19"/>
      <c r="N1350" s="20" t="s">
        <v>39</v>
      </c>
      <c r="O1350" s="19"/>
      <c r="P1350" s="19"/>
      <c r="Q1350" s="19"/>
      <c r="R1350" s="19"/>
      <c r="S1350" s="19"/>
      <c r="T1350" s="19"/>
      <c r="U1350" s="19"/>
      <c r="V1350" s="19"/>
    </row>
    <row r="1351">
      <c r="A1351" s="25"/>
      <c r="B1351" s="19"/>
      <c r="C1351" s="19"/>
      <c r="D1351" s="19"/>
      <c r="E1351" s="19"/>
      <c r="F1351" s="17" t="str">
        <f>IFERROR(__xludf.DUMMYFUNCTION("""COMPUTED_VALUE"""),"")</f>
        <v/>
      </c>
      <c r="G1351" s="20"/>
      <c r="H1351" s="19"/>
      <c r="I1351" s="19"/>
      <c r="J1351" s="19"/>
      <c r="K1351" s="19"/>
      <c r="L1351" s="19"/>
      <c r="M1351" s="19"/>
      <c r="N1351" s="20" t="s">
        <v>39</v>
      </c>
      <c r="O1351" s="19"/>
      <c r="P1351" s="19"/>
      <c r="Q1351" s="19"/>
      <c r="R1351" s="19"/>
      <c r="S1351" s="19"/>
      <c r="T1351" s="19"/>
      <c r="U1351" s="19"/>
      <c r="V1351" s="19"/>
    </row>
    <row r="1352">
      <c r="A1352" s="25"/>
      <c r="B1352" s="19"/>
      <c r="C1352" s="19"/>
      <c r="D1352" s="19"/>
      <c r="E1352" s="19"/>
      <c r="F1352" s="17" t="str">
        <f>IFERROR(__xludf.DUMMYFUNCTION("""COMPUTED_VALUE"""),"")</f>
        <v/>
      </c>
      <c r="G1352" s="20"/>
      <c r="H1352" s="19"/>
      <c r="I1352" s="19"/>
      <c r="J1352" s="19"/>
      <c r="K1352" s="19"/>
      <c r="L1352" s="19"/>
      <c r="M1352" s="19"/>
      <c r="N1352" s="20" t="s">
        <v>39</v>
      </c>
      <c r="O1352" s="19"/>
      <c r="P1352" s="19"/>
      <c r="Q1352" s="19"/>
      <c r="R1352" s="19"/>
      <c r="S1352" s="19"/>
      <c r="T1352" s="19"/>
      <c r="U1352" s="19"/>
      <c r="V1352" s="19"/>
    </row>
    <row r="1353">
      <c r="A1353" s="25"/>
      <c r="B1353" s="19"/>
      <c r="C1353" s="19"/>
      <c r="D1353" s="19"/>
      <c r="E1353" s="19"/>
      <c r="F1353" s="17" t="str">
        <f>IFERROR(__xludf.DUMMYFUNCTION("""COMPUTED_VALUE"""),"")</f>
        <v/>
      </c>
      <c r="G1353" s="20"/>
      <c r="H1353" s="19"/>
      <c r="I1353" s="19"/>
      <c r="J1353" s="19"/>
      <c r="K1353" s="19"/>
      <c r="L1353" s="19"/>
      <c r="M1353" s="19"/>
      <c r="N1353" s="20" t="s">
        <v>39</v>
      </c>
      <c r="O1353" s="19"/>
      <c r="P1353" s="19"/>
      <c r="Q1353" s="19"/>
      <c r="R1353" s="19"/>
      <c r="S1353" s="19"/>
      <c r="T1353" s="19"/>
      <c r="U1353" s="19"/>
      <c r="V1353" s="19"/>
    </row>
    <row r="1354">
      <c r="A1354" s="25"/>
      <c r="B1354" s="19"/>
      <c r="C1354" s="19"/>
      <c r="D1354" s="19"/>
      <c r="E1354" s="19"/>
      <c r="F1354" s="17" t="str">
        <f>IFERROR(__xludf.DUMMYFUNCTION("""COMPUTED_VALUE"""),"")</f>
        <v/>
      </c>
      <c r="G1354" s="20"/>
      <c r="H1354" s="19"/>
      <c r="I1354" s="19"/>
      <c r="J1354" s="19"/>
      <c r="K1354" s="19"/>
      <c r="L1354" s="19"/>
      <c r="M1354" s="19"/>
      <c r="N1354" s="20" t="s">
        <v>39</v>
      </c>
      <c r="O1354" s="19"/>
      <c r="P1354" s="19"/>
      <c r="Q1354" s="19"/>
      <c r="R1354" s="19"/>
      <c r="S1354" s="19"/>
      <c r="T1354" s="19"/>
      <c r="U1354" s="19"/>
      <c r="V1354" s="19"/>
    </row>
    <row r="1355">
      <c r="A1355" s="25"/>
      <c r="B1355" s="19"/>
      <c r="C1355" s="19"/>
      <c r="D1355" s="19"/>
      <c r="E1355" s="19"/>
      <c r="F1355" s="17" t="str">
        <f>IFERROR(__xludf.DUMMYFUNCTION("""COMPUTED_VALUE"""),"")</f>
        <v/>
      </c>
      <c r="G1355" s="20"/>
      <c r="H1355" s="19"/>
      <c r="I1355" s="19"/>
      <c r="J1355" s="19"/>
      <c r="K1355" s="19"/>
      <c r="L1355" s="19"/>
      <c r="M1355" s="19"/>
      <c r="N1355" s="20" t="s">
        <v>39</v>
      </c>
      <c r="O1355" s="19"/>
      <c r="P1355" s="19"/>
      <c r="Q1355" s="19"/>
      <c r="R1355" s="19"/>
      <c r="S1355" s="19"/>
      <c r="T1355" s="19"/>
      <c r="U1355" s="19"/>
      <c r="V1355" s="19"/>
    </row>
    <row r="1356">
      <c r="A1356" s="25"/>
      <c r="B1356" s="19"/>
      <c r="C1356" s="19"/>
      <c r="D1356" s="19"/>
      <c r="E1356" s="19"/>
      <c r="F1356" s="17" t="str">
        <f>IFERROR(__xludf.DUMMYFUNCTION("""COMPUTED_VALUE"""),"")</f>
        <v/>
      </c>
      <c r="G1356" s="20"/>
      <c r="H1356" s="19"/>
      <c r="I1356" s="19"/>
      <c r="J1356" s="19"/>
      <c r="K1356" s="19"/>
      <c r="L1356" s="19"/>
      <c r="M1356" s="19"/>
      <c r="N1356" s="20" t="s">
        <v>39</v>
      </c>
      <c r="O1356" s="19"/>
      <c r="P1356" s="19"/>
      <c r="Q1356" s="19"/>
      <c r="R1356" s="19"/>
      <c r="S1356" s="19"/>
      <c r="T1356" s="19"/>
      <c r="U1356" s="19"/>
      <c r="V1356" s="19"/>
    </row>
    <row r="1357">
      <c r="A1357" s="25"/>
      <c r="B1357" s="19"/>
      <c r="C1357" s="19"/>
      <c r="D1357" s="19"/>
      <c r="E1357" s="19"/>
      <c r="F1357" s="17" t="str">
        <f>IFERROR(__xludf.DUMMYFUNCTION("""COMPUTED_VALUE"""),"")</f>
        <v/>
      </c>
      <c r="G1357" s="20"/>
      <c r="H1357" s="19"/>
      <c r="I1357" s="19"/>
      <c r="J1357" s="19"/>
      <c r="K1357" s="19"/>
      <c r="L1357" s="19"/>
      <c r="M1357" s="19"/>
      <c r="N1357" s="20" t="s">
        <v>39</v>
      </c>
      <c r="O1357" s="19"/>
      <c r="P1357" s="19"/>
      <c r="Q1357" s="19"/>
      <c r="R1357" s="19"/>
      <c r="S1357" s="19"/>
      <c r="T1357" s="19"/>
      <c r="U1357" s="19"/>
      <c r="V1357" s="19"/>
    </row>
    <row r="1358">
      <c r="A1358" s="25"/>
      <c r="B1358" s="19"/>
      <c r="C1358" s="19"/>
      <c r="D1358" s="19"/>
      <c r="E1358" s="19"/>
      <c r="F1358" s="17" t="str">
        <f>IFERROR(__xludf.DUMMYFUNCTION("""COMPUTED_VALUE"""),"")</f>
        <v/>
      </c>
      <c r="G1358" s="20"/>
      <c r="H1358" s="19"/>
      <c r="I1358" s="19"/>
      <c r="J1358" s="19"/>
      <c r="K1358" s="19"/>
      <c r="L1358" s="19"/>
      <c r="M1358" s="19"/>
      <c r="N1358" s="20" t="s">
        <v>39</v>
      </c>
      <c r="O1358" s="19"/>
      <c r="P1358" s="19"/>
      <c r="Q1358" s="19"/>
      <c r="R1358" s="19"/>
      <c r="S1358" s="19"/>
      <c r="T1358" s="19"/>
      <c r="U1358" s="19"/>
      <c r="V1358" s="19"/>
    </row>
    <row r="1359">
      <c r="A1359" s="25"/>
      <c r="B1359" s="19"/>
      <c r="C1359" s="19"/>
      <c r="D1359" s="19"/>
      <c r="E1359" s="19"/>
      <c r="F1359" s="17" t="str">
        <f>IFERROR(__xludf.DUMMYFUNCTION("""COMPUTED_VALUE"""),"")</f>
        <v/>
      </c>
      <c r="G1359" s="20"/>
      <c r="H1359" s="19"/>
      <c r="I1359" s="19"/>
      <c r="J1359" s="19"/>
      <c r="K1359" s="19"/>
      <c r="L1359" s="19"/>
      <c r="M1359" s="19"/>
      <c r="N1359" s="20" t="s">
        <v>39</v>
      </c>
      <c r="O1359" s="19"/>
      <c r="P1359" s="19"/>
      <c r="Q1359" s="19"/>
      <c r="R1359" s="19"/>
      <c r="S1359" s="19"/>
      <c r="T1359" s="19"/>
      <c r="U1359" s="19"/>
      <c r="V1359" s="19"/>
    </row>
    <row r="1360">
      <c r="A1360" s="25"/>
      <c r="B1360" s="19"/>
      <c r="C1360" s="19"/>
      <c r="D1360" s="19"/>
      <c r="E1360" s="19"/>
      <c r="F1360" s="17" t="str">
        <f>IFERROR(__xludf.DUMMYFUNCTION("""COMPUTED_VALUE"""),"")</f>
        <v/>
      </c>
      <c r="G1360" s="20"/>
      <c r="H1360" s="19"/>
      <c r="I1360" s="19"/>
      <c r="J1360" s="19"/>
      <c r="K1360" s="19"/>
      <c r="L1360" s="19"/>
      <c r="M1360" s="19"/>
      <c r="N1360" s="20" t="s">
        <v>39</v>
      </c>
      <c r="O1360" s="19"/>
      <c r="P1360" s="19"/>
      <c r="Q1360" s="19"/>
      <c r="R1360" s="19"/>
      <c r="S1360" s="19"/>
      <c r="T1360" s="19"/>
      <c r="U1360" s="19"/>
      <c r="V1360" s="19"/>
    </row>
    <row r="1361">
      <c r="A1361" s="25"/>
      <c r="B1361" s="19"/>
      <c r="C1361" s="19"/>
      <c r="D1361" s="19"/>
      <c r="E1361" s="19"/>
      <c r="F1361" s="17" t="str">
        <f>IFERROR(__xludf.DUMMYFUNCTION("""COMPUTED_VALUE"""),"")</f>
        <v/>
      </c>
      <c r="G1361" s="20"/>
      <c r="H1361" s="19"/>
      <c r="I1361" s="19"/>
      <c r="J1361" s="19"/>
      <c r="K1361" s="19"/>
      <c r="L1361" s="19"/>
      <c r="M1361" s="19"/>
      <c r="N1361" s="20" t="s">
        <v>39</v>
      </c>
      <c r="O1361" s="19"/>
      <c r="P1361" s="19"/>
      <c r="Q1361" s="19"/>
      <c r="R1361" s="19"/>
      <c r="S1361" s="19"/>
      <c r="T1361" s="19"/>
      <c r="U1361" s="19"/>
      <c r="V1361" s="19"/>
    </row>
    <row r="1362">
      <c r="A1362" s="25"/>
      <c r="B1362" s="19"/>
      <c r="C1362" s="19"/>
      <c r="D1362" s="19"/>
      <c r="E1362" s="19"/>
      <c r="F1362" s="17" t="str">
        <f>IFERROR(__xludf.DUMMYFUNCTION("""COMPUTED_VALUE"""),"")</f>
        <v/>
      </c>
      <c r="G1362" s="20"/>
      <c r="H1362" s="19"/>
      <c r="I1362" s="19"/>
      <c r="J1362" s="19"/>
      <c r="K1362" s="19"/>
      <c r="L1362" s="19"/>
      <c r="M1362" s="19"/>
      <c r="N1362" s="20" t="s">
        <v>39</v>
      </c>
      <c r="O1362" s="19"/>
      <c r="P1362" s="19"/>
      <c r="Q1362" s="19"/>
      <c r="R1362" s="19"/>
      <c r="S1362" s="19"/>
      <c r="T1362" s="19"/>
      <c r="U1362" s="19"/>
      <c r="V1362" s="19"/>
    </row>
    <row r="1363">
      <c r="A1363" s="25"/>
      <c r="B1363" s="19"/>
      <c r="C1363" s="19"/>
      <c r="D1363" s="19"/>
      <c r="E1363" s="19"/>
      <c r="F1363" s="17" t="str">
        <f>IFERROR(__xludf.DUMMYFUNCTION("""COMPUTED_VALUE"""),"")</f>
        <v/>
      </c>
      <c r="G1363" s="20"/>
      <c r="H1363" s="19"/>
      <c r="I1363" s="19"/>
      <c r="J1363" s="19"/>
      <c r="K1363" s="19"/>
      <c r="L1363" s="19"/>
      <c r="M1363" s="19"/>
      <c r="N1363" s="20" t="s">
        <v>39</v>
      </c>
      <c r="O1363" s="19"/>
      <c r="P1363" s="19"/>
      <c r="Q1363" s="19"/>
      <c r="R1363" s="19"/>
      <c r="S1363" s="19"/>
      <c r="T1363" s="19"/>
      <c r="U1363" s="19"/>
      <c r="V1363" s="19"/>
    </row>
    <row r="1364">
      <c r="A1364" s="25"/>
      <c r="B1364" s="19"/>
      <c r="C1364" s="19"/>
      <c r="D1364" s="19"/>
      <c r="E1364" s="19"/>
      <c r="F1364" s="17" t="str">
        <f>IFERROR(__xludf.DUMMYFUNCTION("""COMPUTED_VALUE"""),"")</f>
        <v/>
      </c>
      <c r="G1364" s="20"/>
      <c r="H1364" s="19"/>
      <c r="I1364" s="19"/>
      <c r="J1364" s="19"/>
      <c r="K1364" s="19"/>
      <c r="L1364" s="19"/>
      <c r="M1364" s="19"/>
      <c r="N1364" s="20" t="s">
        <v>39</v>
      </c>
      <c r="O1364" s="19"/>
      <c r="P1364" s="19"/>
      <c r="Q1364" s="19"/>
      <c r="R1364" s="19"/>
      <c r="S1364" s="19"/>
      <c r="T1364" s="19"/>
      <c r="U1364" s="19"/>
      <c r="V1364" s="19"/>
    </row>
    <row r="1365">
      <c r="A1365" s="25"/>
      <c r="B1365" s="19"/>
      <c r="C1365" s="19"/>
      <c r="D1365" s="19"/>
      <c r="E1365" s="19"/>
      <c r="F1365" s="17" t="str">
        <f>IFERROR(__xludf.DUMMYFUNCTION("""COMPUTED_VALUE"""),"")</f>
        <v/>
      </c>
      <c r="G1365" s="20"/>
      <c r="H1365" s="19"/>
      <c r="I1365" s="19"/>
      <c r="J1365" s="19"/>
      <c r="K1365" s="19"/>
      <c r="L1365" s="19"/>
      <c r="M1365" s="19"/>
      <c r="N1365" s="20" t="s">
        <v>39</v>
      </c>
      <c r="O1365" s="19"/>
      <c r="P1365" s="19"/>
      <c r="Q1365" s="19"/>
      <c r="R1365" s="19"/>
      <c r="S1365" s="19"/>
      <c r="T1365" s="19"/>
      <c r="U1365" s="19"/>
      <c r="V1365" s="19"/>
    </row>
    <row r="1366">
      <c r="A1366" s="25"/>
      <c r="B1366" s="19"/>
      <c r="C1366" s="19"/>
      <c r="D1366" s="19"/>
      <c r="E1366" s="19"/>
      <c r="F1366" s="17" t="str">
        <f>IFERROR(__xludf.DUMMYFUNCTION("""COMPUTED_VALUE"""),"")</f>
        <v/>
      </c>
      <c r="G1366" s="20"/>
      <c r="H1366" s="19"/>
      <c r="I1366" s="19"/>
      <c r="J1366" s="19"/>
      <c r="K1366" s="19"/>
      <c r="L1366" s="19"/>
      <c r="M1366" s="19"/>
      <c r="N1366" s="20" t="s">
        <v>39</v>
      </c>
      <c r="O1366" s="19"/>
      <c r="P1366" s="19"/>
      <c r="Q1366" s="19"/>
      <c r="R1366" s="19"/>
      <c r="S1366" s="19"/>
      <c r="T1366" s="19"/>
      <c r="U1366" s="19"/>
      <c r="V1366" s="19"/>
    </row>
    <row r="1367">
      <c r="A1367" s="25"/>
      <c r="B1367" s="19"/>
      <c r="C1367" s="19"/>
      <c r="D1367" s="19"/>
      <c r="E1367" s="19"/>
      <c r="F1367" s="17" t="str">
        <f>IFERROR(__xludf.DUMMYFUNCTION("""COMPUTED_VALUE"""),"")</f>
        <v/>
      </c>
      <c r="G1367" s="20"/>
      <c r="H1367" s="19"/>
      <c r="I1367" s="19"/>
      <c r="J1367" s="19"/>
      <c r="K1367" s="19"/>
      <c r="L1367" s="19"/>
      <c r="M1367" s="19"/>
      <c r="N1367" s="20" t="s">
        <v>39</v>
      </c>
      <c r="O1367" s="19"/>
      <c r="P1367" s="19"/>
      <c r="Q1367" s="19"/>
      <c r="R1367" s="19"/>
      <c r="S1367" s="19"/>
      <c r="T1367" s="19"/>
      <c r="U1367" s="19"/>
      <c r="V1367" s="19"/>
    </row>
    <row r="1368">
      <c r="A1368" s="25"/>
      <c r="B1368" s="19"/>
      <c r="C1368" s="19"/>
      <c r="D1368" s="19"/>
      <c r="E1368" s="19"/>
      <c r="F1368" s="17" t="str">
        <f>IFERROR(__xludf.DUMMYFUNCTION("""COMPUTED_VALUE"""),"")</f>
        <v/>
      </c>
      <c r="G1368" s="20"/>
      <c r="H1368" s="19"/>
      <c r="I1368" s="19"/>
      <c r="J1368" s="19"/>
      <c r="K1368" s="19"/>
      <c r="L1368" s="19"/>
      <c r="M1368" s="19"/>
      <c r="N1368" s="20" t="s">
        <v>39</v>
      </c>
      <c r="O1368" s="19"/>
      <c r="P1368" s="19"/>
      <c r="Q1368" s="19"/>
      <c r="R1368" s="19"/>
      <c r="S1368" s="19"/>
      <c r="T1368" s="19"/>
      <c r="U1368" s="19"/>
      <c r="V1368" s="19"/>
    </row>
    <row r="1369">
      <c r="A1369" s="25"/>
      <c r="B1369" s="19"/>
      <c r="C1369" s="19"/>
      <c r="D1369" s="19"/>
      <c r="E1369" s="19"/>
      <c r="F1369" s="17" t="str">
        <f>IFERROR(__xludf.DUMMYFUNCTION("""COMPUTED_VALUE"""),"")</f>
        <v/>
      </c>
      <c r="G1369" s="20"/>
      <c r="H1369" s="19"/>
      <c r="I1369" s="19"/>
      <c r="J1369" s="19"/>
      <c r="K1369" s="19"/>
      <c r="L1369" s="19"/>
      <c r="M1369" s="19"/>
      <c r="N1369" s="20" t="s">
        <v>39</v>
      </c>
      <c r="O1369" s="19"/>
      <c r="P1369" s="19"/>
      <c r="Q1369" s="19"/>
      <c r="R1369" s="19"/>
      <c r="S1369" s="19"/>
      <c r="T1369" s="19"/>
      <c r="U1369" s="19"/>
      <c r="V1369" s="19"/>
    </row>
    <row r="1370">
      <c r="A1370" s="25"/>
      <c r="B1370" s="19"/>
      <c r="C1370" s="19"/>
      <c r="D1370" s="19"/>
      <c r="E1370" s="19"/>
      <c r="F1370" s="17" t="str">
        <f>IFERROR(__xludf.DUMMYFUNCTION("""COMPUTED_VALUE"""),"")</f>
        <v/>
      </c>
      <c r="G1370" s="20"/>
      <c r="H1370" s="19"/>
      <c r="I1370" s="19"/>
      <c r="J1370" s="19"/>
      <c r="K1370" s="19"/>
      <c r="L1370" s="19"/>
      <c r="M1370" s="19"/>
      <c r="N1370" s="20" t="s">
        <v>39</v>
      </c>
      <c r="O1370" s="19"/>
      <c r="P1370" s="19"/>
      <c r="Q1370" s="19"/>
      <c r="R1370" s="19"/>
      <c r="S1370" s="19"/>
      <c r="T1370" s="19"/>
      <c r="U1370" s="19"/>
      <c r="V1370" s="19"/>
    </row>
    <row r="1371">
      <c r="A1371" s="25"/>
      <c r="B1371" s="19"/>
      <c r="C1371" s="19"/>
      <c r="D1371" s="19"/>
      <c r="E1371" s="19"/>
      <c r="F1371" s="17" t="str">
        <f>IFERROR(__xludf.DUMMYFUNCTION("""COMPUTED_VALUE"""),"")</f>
        <v/>
      </c>
      <c r="G1371" s="20"/>
      <c r="H1371" s="19"/>
      <c r="I1371" s="19"/>
      <c r="J1371" s="19"/>
      <c r="K1371" s="19"/>
      <c r="L1371" s="19"/>
      <c r="M1371" s="19"/>
      <c r="N1371" s="20" t="s">
        <v>39</v>
      </c>
      <c r="O1371" s="19"/>
      <c r="P1371" s="19"/>
      <c r="Q1371" s="19"/>
      <c r="R1371" s="19"/>
      <c r="S1371" s="19"/>
      <c r="T1371" s="19"/>
      <c r="U1371" s="19"/>
      <c r="V1371" s="19"/>
    </row>
    <row r="1372">
      <c r="A1372" s="25"/>
      <c r="B1372" s="19"/>
      <c r="C1372" s="19"/>
      <c r="D1372" s="19"/>
      <c r="E1372" s="19"/>
      <c r="F1372" s="17" t="str">
        <f>IFERROR(__xludf.DUMMYFUNCTION("""COMPUTED_VALUE"""),"")</f>
        <v/>
      </c>
      <c r="G1372" s="20"/>
      <c r="H1372" s="19"/>
      <c r="I1372" s="19"/>
      <c r="J1372" s="19"/>
      <c r="K1372" s="19"/>
      <c r="L1372" s="19"/>
      <c r="M1372" s="19"/>
      <c r="N1372" s="20" t="s">
        <v>39</v>
      </c>
      <c r="O1372" s="19"/>
      <c r="P1372" s="19"/>
      <c r="Q1372" s="19"/>
      <c r="R1372" s="19"/>
      <c r="S1372" s="19"/>
      <c r="T1372" s="19"/>
      <c r="U1372" s="19"/>
      <c r="V1372" s="19"/>
    </row>
    <row r="1373">
      <c r="A1373" s="25"/>
      <c r="B1373" s="19"/>
      <c r="C1373" s="19"/>
      <c r="D1373" s="19"/>
      <c r="E1373" s="19"/>
      <c r="F1373" s="17" t="str">
        <f>IFERROR(__xludf.DUMMYFUNCTION("""COMPUTED_VALUE"""),"")</f>
        <v/>
      </c>
      <c r="G1373" s="20"/>
      <c r="H1373" s="19"/>
      <c r="I1373" s="19"/>
      <c r="J1373" s="19"/>
      <c r="K1373" s="19"/>
      <c r="L1373" s="19"/>
      <c r="M1373" s="19"/>
      <c r="N1373" s="20" t="s">
        <v>39</v>
      </c>
      <c r="O1373" s="19"/>
      <c r="P1373" s="19"/>
      <c r="Q1373" s="19"/>
      <c r="R1373" s="19"/>
      <c r="S1373" s="19"/>
      <c r="T1373" s="19"/>
      <c r="U1373" s="19"/>
      <c r="V1373" s="19"/>
    </row>
    <row r="1374">
      <c r="A1374" s="25"/>
      <c r="B1374" s="19"/>
      <c r="C1374" s="19"/>
      <c r="D1374" s="19"/>
      <c r="E1374" s="19"/>
      <c r="F1374" s="17" t="str">
        <f>IFERROR(__xludf.DUMMYFUNCTION("""COMPUTED_VALUE"""),"")</f>
        <v/>
      </c>
      <c r="G1374" s="20"/>
      <c r="H1374" s="19"/>
      <c r="I1374" s="19"/>
      <c r="J1374" s="19"/>
      <c r="K1374" s="19"/>
      <c r="L1374" s="19"/>
      <c r="M1374" s="19"/>
      <c r="N1374" s="20" t="s">
        <v>39</v>
      </c>
      <c r="O1374" s="19"/>
      <c r="P1374" s="19"/>
      <c r="Q1374" s="19"/>
      <c r="R1374" s="19"/>
      <c r="S1374" s="19"/>
      <c r="T1374" s="19"/>
      <c r="U1374" s="19"/>
      <c r="V1374" s="19"/>
    </row>
    <row r="1375">
      <c r="A1375" s="25"/>
      <c r="B1375" s="19"/>
      <c r="C1375" s="19"/>
      <c r="D1375" s="19"/>
      <c r="E1375" s="19"/>
      <c r="F1375" s="17" t="str">
        <f>IFERROR(__xludf.DUMMYFUNCTION("""COMPUTED_VALUE"""),"")</f>
        <v/>
      </c>
      <c r="G1375" s="20"/>
      <c r="H1375" s="19"/>
      <c r="I1375" s="19"/>
      <c r="J1375" s="19"/>
      <c r="K1375" s="19"/>
      <c r="L1375" s="19"/>
      <c r="M1375" s="19"/>
      <c r="N1375" s="20" t="s">
        <v>39</v>
      </c>
      <c r="O1375" s="19"/>
      <c r="P1375" s="19"/>
      <c r="Q1375" s="19"/>
      <c r="R1375" s="19"/>
      <c r="S1375" s="19"/>
      <c r="T1375" s="19"/>
      <c r="U1375" s="19"/>
      <c r="V1375" s="19"/>
    </row>
    <row r="1376">
      <c r="A1376" s="25"/>
      <c r="B1376" s="19"/>
      <c r="C1376" s="19"/>
      <c r="D1376" s="19"/>
      <c r="E1376" s="19"/>
      <c r="F1376" s="17" t="str">
        <f>IFERROR(__xludf.DUMMYFUNCTION("""COMPUTED_VALUE"""),"")</f>
        <v/>
      </c>
      <c r="G1376" s="20"/>
      <c r="H1376" s="19"/>
      <c r="I1376" s="19"/>
      <c r="J1376" s="19"/>
      <c r="K1376" s="19"/>
      <c r="L1376" s="19"/>
      <c r="M1376" s="19"/>
      <c r="N1376" s="20" t="s">
        <v>39</v>
      </c>
      <c r="O1376" s="19"/>
      <c r="P1376" s="19"/>
      <c r="Q1376" s="19"/>
      <c r="R1376" s="19"/>
      <c r="S1376" s="19"/>
      <c r="T1376" s="19"/>
      <c r="U1376" s="19"/>
      <c r="V1376" s="19"/>
    </row>
    <row r="1377">
      <c r="A1377" s="25"/>
      <c r="B1377" s="19"/>
      <c r="C1377" s="19"/>
      <c r="D1377" s="19"/>
      <c r="E1377" s="19"/>
      <c r="F1377" s="17" t="str">
        <f>IFERROR(__xludf.DUMMYFUNCTION("""COMPUTED_VALUE"""),"")</f>
        <v/>
      </c>
      <c r="G1377" s="20"/>
      <c r="H1377" s="19"/>
      <c r="I1377" s="19"/>
      <c r="J1377" s="19"/>
      <c r="K1377" s="19"/>
      <c r="L1377" s="19"/>
      <c r="M1377" s="19"/>
      <c r="N1377" s="20" t="s">
        <v>39</v>
      </c>
      <c r="O1377" s="19"/>
      <c r="P1377" s="19"/>
      <c r="Q1377" s="19"/>
      <c r="R1377" s="19"/>
      <c r="S1377" s="19"/>
      <c r="T1377" s="19"/>
      <c r="U1377" s="19"/>
      <c r="V1377" s="19"/>
    </row>
    <row r="1378">
      <c r="A1378" s="25"/>
      <c r="B1378" s="19"/>
      <c r="C1378" s="19"/>
      <c r="D1378" s="19"/>
      <c r="E1378" s="19"/>
      <c r="F1378" s="17" t="str">
        <f>IFERROR(__xludf.DUMMYFUNCTION("""COMPUTED_VALUE"""),"")</f>
        <v/>
      </c>
      <c r="G1378" s="20"/>
      <c r="H1378" s="19"/>
      <c r="I1378" s="19"/>
      <c r="J1378" s="19"/>
      <c r="K1378" s="19"/>
      <c r="L1378" s="19"/>
      <c r="M1378" s="19"/>
      <c r="N1378" s="20" t="s">
        <v>39</v>
      </c>
      <c r="O1378" s="19"/>
      <c r="P1378" s="19"/>
      <c r="Q1378" s="19"/>
      <c r="R1378" s="19"/>
      <c r="S1378" s="19"/>
      <c r="T1378" s="19"/>
      <c r="U1378" s="19"/>
      <c r="V1378" s="19"/>
    </row>
    <row r="1379">
      <c r="A1379" s="25"/>
      <c r="B1379" s="19"/>
      <c r="C1379" s="19"/>
      <c r="D1379" s="19"/>
      <c r="E1379" s="19"/>
      <c r="F1379" s="17" t="str">
        <f>IFERROR(__xludf.DUMMYFUNCTION("""COMPUTED_VALUE"""),"")</f>
        <v/>
      </c>
      <c r="G1379" s="20"/>
      <c r="H1379" s="19"/>
      <c r="I1379" s="19"/>
      <c r="J1379" s="19"/>
      <c r="K1379" s="19"/>
      <c r="L1379" s="19"/>
      <c r="M1379" s="19"/>
      <c r="N1379" s="20" t="s">
        <v>39</v>
      </c>
      <c r="O1379" s="19"/>
      <c r="P1379" s="19"/>
      <c r="Q1379" s="19"/>
      <c r="R1379" s="19"/>
      <c r="S1379" s="19"/>
      <c r="T1379" s="19"/>
      <c r="U1379" s="19"/>
      <c r="V1379" s="19"/>
    </row>
    <row r="1380">
      <c r="A1380" s="25"/>
      <c r="B1380" s="19"/>
      <c r="C1380" s="19"/>
      <c r="D1380" s="19"/>
      <c r="E1380" s="19"/>
      <c r="F1380" s="17" t="str">
        <f>IFERROR(__xludf.DUMMYFUNCTION("""COMPUTED_VALUE"""),"")</f>
        <v/>
      </c>
      <c r="G1380" s="20"/>
      <c r="H1380" s="19"/>
      <c r="I1380" s="19"/>
      <c r="J1380" s="19"/>
      <c r="K1380" s="19"/>
      <c r="L1380" s="19"/>
      <c r="M1380" s="19"/>
      <c r="N1380" s="20" t="s">
        <v>39</v>
      </c>
      <c r="O1380" s="19"/>
      <c r="P1380" s="19"/>
      <c r="Q1380" s="19"/>
      <c r="R1380" s="19"/>
      <c r="S1380" s="19"/>
      <c r="T1380" s="19"/>
      <c r="U1380" s="19"/>
      <c r="V1380" s="19"/>
    </row>
    <row r="1381">
      <c r="A1381" s="25"/>
      <c r="B1381" s="19"/>
      <c r="C1381" s="19"/>
      <c r="D1381" s="19"/>
      <c r="E1381" s="19"/>
      <c r="F1381" s="17" t="str">
        <f>IFERROR(__xludf.DUMMYFUNCTION("""COMPUTED_VALUE"""),"")</f>
        <v/>
      </c>
      <c r="G1381" s="20"/>
      <c r="H1381" s="19"/>
      <c r="I1381" s="19"/>
      <c r="J1381" s="19"/>
      <c r="K1381" s="19"/>
      <c r="L1381" s="19"/>
      <c r="M1381" s="19"/>
      <c r="N1381" s="20" t="s">
        <v>39</v>
      </c>
      <c r="O1381" s="19"/>
      <c r="P1381" s="19"/>
      <c r="Q1381" s="19"/>
      <c r="R1381" s="19"/>
      <c r="S1381" s="19"/>
      <c r="T1381" s="19"/>
      <c r="U1381" s="19"/>
      <c r="V1381" s="19"/>
    </row>
    <row r="1382">
      <c r="A1382" s="25"/>
      <c r="B1382" s="19"/>
      <c r="C1382" s="19"/>
      <c r="D1382" s="19"/>
      <c r="E1382" s="19"/>
      <c r="F1382" s="17" t="str">
        <f>IFERROR(__xludf.DUMMYFUNCTION("""COMPUTED_VALUE"""),"")</f>
        <v/>
      </c>
      <c r="G1382" s="20"/>
      <c r="H1382" s="19"/>
      <c r="I1382" s="19"/>
      <c r="J1382" s="19"/>
      <c r="K1382" s="19"/>
      <c r="L1382" s="19"/>
      <c r="M1382" s="19"/>
      <c r="N1382" s="20" t="s">
        <v>39</v>
      </c>
      <c r="O1382" s="19"/>
      <c r="P1382" s="19"/>
      <c r="Q1382" s="19"/>
      <c r="R1382" s="19"/>
      <c r="S1382" s="19"/>
      <c r="T1382" s="19"/>
      <c r="U1382" s="19"/>
      <c r="V1382" s="19"/>
    </row>
    <row r="1383">
      <c r="A1383" s="25"/>
      <c r="B1383" s="19"/>
      <c r="C1383" s="19"/>
      <c r="D1383" s="19"/>
      <c r="E1383" s="19"/>
      <c r="F1383" s="17" t="str">
        <f>IFERROR(__xludf.DUMMYFUNCTION("""COMPUTED_VALUE"""),"")</f>
        <v/>
      </c>
      <c r="G1383" s="20"/>
      <c r="H1383" s="19"/>
      <c r="I1383" s="19"/>
      <c r="J1383" s="19"/>
      <c r="K1383" s="19"/>
      <c r="L1383" s="19"/>
      <c r="M1383" s="19"/>
      <c r="N1383" s="20" t="s">
        <v>39</v>
      </c>
      <c r="O1383" s="19"/>
      <c r="P1383" s="19"/>
      <c r="Q1383" s="19"/>
      <c r="R1383" s="19"/>
      <c r="S1383" s="19"/>
      <c r="T1383" s="19"/>
      <c r="U1383" s="19"/>
      <c r="V1383" s="19"/>
    </row>
    <row r="1384">
      <c r="A1384" s="25"/>
      <c r="B1384" s="19"/>
      <c r="C1384" s="19"/>
      <c r="D1384" s="19"/>
      <c r="E1384" s="19"/>
      <c r="F1384" s="17" t="str">
        <f>IFERROR(__xludf.DUMMYFUNCTION("""COMPUTED_VALUE"""),"")</f>
        <v/>
      </c>
      <c r="G1384" s="20"/>
      <c r="H1384" s="19"/>
      <c r="I1384" s="19"/>
      <c r="J1384" s="19"/>
      <c r="K1384" s="19"/>
      <c r="L1384" s="19"/>
      <c r="M1384" s="19"/>
      <c r="N1384" s="20" t="s">
        <v>39</v>
      </c>
      <c r="O1384" s="19"/>
      <c r="P1384" s="19"/>
      <c r="Q1384" s="19"/>
      <c r="R1384" s="19"/>
      <c r="S1384" s="19"/>
      <c r="T1384" s="19"/>
      <c r="U1384" s="19"/>
      <c r="V1384" s="19"/>
    </row>
    <row r="1385">
      <c r="A1385" s="25"/>
      <c r="B1385" s="19"/>
      <c r="C1385" s="19"/>
      <c r="D1385" s="19"/>
      <c r="E1385" s="19"/>
      <c r="F1385" s="17" t="str">
        <f>IFERROR(__xludf.DUMMYFUNCTION("""COMPUTED_VALUE"""),"")</f>
        <v/>
      </c>
      <c r="G1385" s="20"/>
      <c r="H1385" s="19"/>
      <c r="I1385" s="19"/>
      <c r="J1385" s="19"/>
      <c r="K1385" s="19"/>
      <c r="L1385" s="19"/>
      <c r="M1385" s="19"/>
      <c r="N1385" s="20" t="s">
        <v>39</v>
      </c>
      <c r="O1385" s="19"/>
      <c r="P1385" s="19"/>
      <c r="Q1385" s="19"/>
      <c r="R1385" s="19"/>
      <c r="S1385" s="19"/>
      <c r="T1385" s="19"/>
      <c r="U1385" s="19"/>
      <c r="V1385" s="19"/>
    </row>
    <row r="1386">
      <c r="A1386" s="25"/>
      <c r="B1386" s="19"/>
      <c r="C1386" s="19"/>
      <c r="D1386" s="19"/>
      <c r="E1386" s="19"/>
      <c r="F1386" s="17" t="str">
        <f>IFERROR(__xludf.DUMMYFUNCTION("""COMPUTED_VALUE"""),"")</f>
        <v/>
      </c>
      <c r="G1386" s="20"/>
      <c r="H1386" s="19"/>
      <c r="I1386" s="19"/>
      <c r="J1386" s="19"/>
      <c r="K1386" s="19"/>
      <c r="L1386" s="19"/>
      <c r="M1386" s="19"/>
      <c r="N1386" s="20" t="s">
        <v>39</v>
      </c>
      <c r="O1386" s="19"/>
      <c r="P1386" s="19"/>
      <c r="Q1386" s="19"/>
      <c r="R1386" s="19"/>
      <c r="S1386" s="19"/>
      <c r="T1386" s="19"/>
      <c r="U1386" s="19"/>
      <c r="V1386" s="19"/>
    </row>
    <row r="1387">
      <c r="A1387" s="25"/>
      <c r="B1387" s="19"/>
      <c r="C1387" s="19"/>
      <c r="D1387" s="19"/>
      <c r="E1387" s="19"/>
      <c r="F1387" s="17" t="str">
        <f>IFERROR(__xludf.DUMMYFUNCTION("""COMPUTED_VALUE"""),"")</f>
        <v/>
      </c>
      <c r="G1387" s="20"/>
      <c r="H1387" s="19"/>
      <c r="I1387" s="19"/>
      <c r="J1387" s="19"/>
      <c r="K1387" s="19"/>
      <c r="L1387" s="19"/>
      <c r="M1387" s="19"/>
      <c r="N1387" s="20" t="s">
        <v>39</v>
      </c>
      <c r="O1387" s="19"/>
      <c r="P1387" s="19"/>
      <c r="Q1387" s="19"/>
      <c r="R1387" s="19"/>
      <c r="S1387" s="19"/>
      <c r="T1387" s="19"/>
      <c r="U1387" s="19"/>
      <c r="V1387" s="19"/>
    </row>
    <row r="1388">
      <c r="A1388" s="25"/>
      <c r="B1388" s="19"/>
      <c r="C1388" s="19"/>
      <c r="D1388" s="19"/>
      <c r="E1388" s="19"/>
      <c r="F1388" s="17" t="str">
        <f>IFERROR(__xludf.DUMMYFUNCTION("""COMPUTED_VALUE"""),"")</f>
        <v/>
      </c>
      <c r="G1388" s="20"/>
      <c r="H1388" s="19"/>
      <c r="I1388" s="19"/>
      <c r="J1388" s="19"/>
      <c r="K1388" s="19"/>
      <c r="L1388" s="19"/>
      <c r="M1388" s="19"/>
      <c r="N1388" s="20" t="s">
        <v>39</v>
      </c>
      <c r="O1388" s="19"/>
      <c r="P1388" s="19"/>
      <c r="Q1388" s="19"/>
      <c r="R1388" s="19"/>
      <c r="S1388" s="19"/>
      <c r="T1388" s="19"/>
      <c r="U1388" s="19"/>
      <c r="V1388" s="19"/>
    </row>
    <row r="1389">
      <c r="A1389" s="25"/>
      <c r="B1389" s="19"/>
      <c r="C1389" s="19"/>
      <c r="D1389" s="19"/>
      <c r="E1389" s="19"/>
      <c r="F1389" s="17" t="str">
        <f>IFERROR(__xludf.DUMMYFUNCTION("""COMPUTED_VALUE"""),"")</f>
        <v/>
      </c>
      <c r="G1389" s="20"/>
      <c r="H1389" s="19"/>
      <c r="I1389" s="19"/>
      <c r="J1389" s="19"/>
      <c r="K1389" s="19"/>
      <c r="L1389" s="19"/>
      <c r="M1389" s="19"/>
      <c r="N1389" s="20" t="s">
        <v>39</v>
      </c>
      <c r="O1389" s="19"/>
      <c r="P1389" s="19"/>
      <c r="Q1389" s="19"/>
      <c r="R1389" s="19"/>
      <c r="S1389" s="19"/>
      <c r="T1389" s="19"/>
      <c r="U1389" s="19"/>
      <c r="V1389" s="19"/>
    </row>
    <row r="1390">
      <c r="A1390" s="25"/>
      <c r="B1390" s="19"/>
      <c r="C1390" s="19"/>
      <c r="D1390" s="19"/>
      <c r="E1390" s="19"/>
      <c r="F1390" s="17" t="str">
        <f>IFERROR(__xludf.DUMMYFUNCTION("""COMPUTED_VALUE"""),"")</f>
        <v/>
      </c>
      <c r="G1390" s="20"/>
      <c r="H1390" s="19"/>
      <c r="I1390" s="19"/>
      <c r="J1390" s="19"/>
      <c r="K1390" s="19"/>
      <c r="L1390" s="19"/>
      <c r="M1390" s="19"/>
      <c r="N1390" s="20" t="s">
        <v>39</v>
      </c>
      <c r="O1390" s="19"/>
      <c r="P1390" s="19"/>
      <c r="Q1390" s="19"/>
      <c r="R1390" s="19"/>
      <c r="S1390" s="19"/>
      <c r="T1390" s="19"/>
      <c r="U1390" s="19"/>
      <c r="V1390" s="19"/>
    </row>
    <row r="1391">
      <c r="A1391" s="25"/>
      <c r="B1391" s="19"/>
      <c r="C1391" s="19"/>
      <c r="D1391" s="19"/>
      <c r="E1391" s="19"/>
      <c r="F1391" s="17" t="str">
        <f>IFERROR(__xludf.DUMMYFUNCTION("""COMPUTED_VALUE"""),"")</f>
        <v/>
      </c>
      <c r="G1391" s="20"/>
      <c r="H1391" s="19"/>
      <c r="I1391" s="19"/>
      <c r="J1391" s="19"/>
      <c r="K1391" s="19"/>
      <c r="L1391" s="19"/>
      <c r="M1391" s="19"/>
      <c r="N1391" s="20" t="s">
        <v>39</v>
      </c>
      <c r="O1391" s="19"/>
      <c r="P1391" s="19"/>
      <c r="Q1391" s="19"/>
      <c r="R1391" s="19"/>
      <c r="S1391" s="19"/>
      <c r="T1391" s="19"/>
      <c r="U1391" s="19"/>
      <c r="V1391" s="19"/>
    </row>
    <row r="1392">
      <c r="A1392" s="25"/>
      <c r="B1392" s="19"/>
      <c r="C1392" s="19"/>
      <c r="D1392" s="19"/>
      <c r="E1392" s="19"/>
      <c r="F1392" s="17" t="str">
        <f>IFERROR(__xludf.DUMMYFUNCTION("""COMPUTED_VALUE"""),"")</f>
        <v/>
      </c>
      <c r="G1392" s="20"/>
      <c r="H1392" s="19"/>
      <c r="I1392" s="19"/>
      <c r="J1392" s="19"/>
      <c r="K1392" s="19"/>
      <c r="L1392" s="19"/>
      <c r="M1392" s="19"/>
      <c r="N1392" s="20" t="s">
        <v>39</v>
      </c>
      <c r="O1392" s="19"/>
      <c r="P1392" s="19"/>
      <c r="Q1392" s="19"/>
      <c r="R1392" s="19"/>
      <c r="S1392" s="19"/>
      <c r="T1392" s="19"/>
      <c r="U1392" s="19"/>
      <c r="V1392" s="19"/>
    </row>
    <row r="1393">
      <c r="A1393" s="25"/>
      <c r="B1393" s="19"/>
      <c r="C1393" s="19"/>
      <c r="D1393" s="19"/>
      <c r="E1393" s="19"/>
      <c r="F1393" s="17" t="str">
        <f>IFERROR(__xludf.DUMMYFUNCTION("""COMPUTED_VALUE"""),"")</f>
        <v/>
      </c>
      <c r="G1393" s="20"/>
      <c r="H1393" s="19"/>
      <c r="I1393" s="19"/>
      <c r="J1393" s="19"/>
      <c r="K1393" s="19"/>
      <c r="L1393" s="19"/>
      <c r="M1393" s="19"/>
      <c r="N1393" s="20" t="s">
        <v>39</v>
      </c>
      <c r="O1393" s="19"/>
      <c r="P1393" s="19"/>
      <c r="Q1393" s="19"/>
      <c r="R1393" s="19"/>
      <c r="S1393" s="19"/>
      <c r="T1393" s="19"/>
      <c r="U1393" s="19"/>
      <c r="V1393" s="19"/>
    </row>
    <row r="1394">
      <c r="A1394" s="25"/>
      <c r="B1394" s="19"/>
      <c r="C1394" s="19"/>
      <c r="D1394" s="19"/>
      <c r="E1394" s="19"/>
      <c r="F1394" s="17" t="str">
        <f>IFERROR(__xludf.DUMMYFUNCTION("""COMPUTED_VALUE"""),"")</f>
        <v/>
      </c>
      <c r="G1394" s="20"/>
      <c r="H1394" s="19"/>
      <c r="I1394" s="19"/>
      <c r="J1394" s="19"/>
      <c r="K1394" s="19"/>
      <c r="L1394" s="19"/>
      <c r="M1394" s="19"/>
      <c r="N1394" s="20" t="s">
        <v>39</v>
      </c>
      <c r="O1394" s="19"/>
      <c r="P1394" s="19"/>
      <c r="Q1394" s="19"/>
      <c r="R1394" s="19"/>
      <c r="S1394" s="19"/>
      <c r="T1394" s="19"/>
      <c r="U1394" s="19"/>
      <c r="V1394" s="19"/>
    </row>
    <row r="1395">
      <c r="A1395" s="25"/>
      <c r="B1395" s="19"/>
      <c r="C1395" s="19"/>
      <c r="D1395" s="19"/>
      <c r="E1395" s="19"/>
      <c r="F1395" s="17" t="str">
        <f>IFERROR(__xludf.DUMMYFUNCTION("""COMPUTED_VALUE"""),"")</f>
        <v/>
      </c>
      <c r="G1395" s="20"/>
      <c r="H1395" s="19"/>
      <c r="I1395" s="19"/>
      <c r="J1395" s="19"/>
      <c r="K1395" s="19"/>
      <c r="L1395" s="19"/>
      <c r="M1395" s="19"/>
      <c r="N1395" s="20" t="s">
        <v>39</v>
      </c>
      <c r="O1395" s="19"/>
      <c r="P1395" s="19"/>
      <c r="Q1395" s="19"/>
      <c r="R1395" s="19"/>
      <c r="S1395" s="19"/>
      <c r="T1395" s="19"/>
      <c r="U1395" s="19"/>
      <c r="V1395" s="19"/>
    </row>
    <row r="1396">
      <c r="A1396" s="25"/>
      <c r="B1396" s="19"/>
      <c r="C1396" s="19"/>
      <c r="D1396" s="19"/>
      <c r="E1396" s="19"/>
      <c r="F1396" s="17" t="str">
        <f>IFERROR(__xludf.DUMMYFUNCTION("""COMPUTED_VALUE"""),"")</f>
        <v/>
      </c>
      <c r="G1396" s="20"/>
      <c r="H1396" s="19"/>
      <c r="I1396" s="19"/>
      <c r="J1396" s="19"/>
      <c r="K1396" s="19"/>
      <c r="L1396" s="19"/>
      <c r="M1396" s="19"/>
      <c r="N1396" s="20" t="s">
        <v>39</v>
      </c>
      <c r="O1396" s="19"/>
      <c r="P1396" s="19"/>
      <c r="Q1396" s="19"/>
      <c r="R1396" s="19"/>
      <c r="S1396" s="19"/>
      <c r="T1396" s="19"/>
      <c r="U1396" s="19"/>
      <c r="V1396" s="19"/>
    </row>
    <row r="1397">
      <c r="A1397" s="25"/>
      <c r="B1397" s="19"/>
      <c r="C1397" s="19"/>
      <c r="D1397" s="19"/>
      <c r="E1397" s="19"/>
      <c r="F1397" s="17" t="str">
        <f>IFERROR(__xludf.DUMMYFUNCTION("""COMPUTED_VALUE"""),"")</f>
        <v/>
      </c>
      <c r="G1397" s="20"/>
      <c r="H1397" s="19"/>
      <c r="I1397" s="19"/>
      <c r="J1397" s="19"/>
      <c r="K1397" s="19"/>
      <c r="L1397" s="19"/>
      <c r="M1397" s="19"/>
      <c r="N1397" s="20" t="s">
        <v>39</v>
      </c>
      <c r="O1397" s="19"/>
      <c r="P1397" s="19"/>
      <c r="Q1397" s="19"/>
      <c r="R1397" s="19"/>
      <c r="S1397" s="19"/>
      <c r="T1397" s="19"/>
      <c r="U1397" s="19"/>
      <c r="V1397" s="19"/>
    </row>
    <row r="1398">
      <c r="A1398" s="25"/>
      <c r="B1398" s="19"/>
      <c r="C1398" s="19"/>
      <c r="D1398" s="19"/>
      <c r="E1398" s="19"/>
      <c r="F1398" s="17" t="str">
        <f>IFERROR(__xludf.DUMMYFUNCTION("""COMPUTED_VALUE"""),"")</f>
        <v/>
      </c>
      <c r="G1398" s="20"/>
      <c r="H1398" s="19"/>
      <c r="I1398" s="19"/>
      <c r="J1398" s="19"/>
      <c r="K1398" s="19"/>
      <c r="L1398" s="19"/>
      <c r="M1398" s="19"/>
      <c r="N1398" s="20" t="s">
        <v>39</v>
      </c>
      <c r="O1398" s="19"/>
      <c r="P1398" s="19"/>
      <c r="Q1398" s="19"/>
      <c r="R1398" s="19"/>
      <c r="S1398" s="19"/>
      <c r="T1398" s="19"/>
      <c r="U1398" s="19"/>
      <c r="V1398" s="19"/>
    </row>
    <row r="1399">
      <c r="A1399" s="25"/>
      <c r="B1399" s="19"/>
      <c r="C1399" s="19"/>
      <c r="D1399" s="19"/>
      <c r="E1399" s="19"/>
      <c r="F1399" s="17" t="str">
        <f>IFERROR(__xludf.DUMMYFUNCTION("""COMPUTED_VALUE"""),"")</f>
        <v/>
      </c>
      <c r="G1399" s="20"/>
      <c r="H1399" s="19"/>
      <c r="I1399" s="19"/>
      <c r="J1399" s="19"/>
      <c r="K1399" s="19"/>
      <c r="L1399" s="19"/>
      <c r="M1399" s="19"/>
      <c r="N1399" s="20" t="s">
        <v>39</v>
      </c>
      <c r="O1399" s="19"/>
      <c r="P1399" s="19"/>
      <c r="Q1399" s="19"/>
      <c r="R1399" s="19"/>
      <c r="S1399" s="19"/>
      <c r="T1399" s="19"/>
      <c r="U1399" s="19"/>
      <c r="V1399" s="19"/>
    </row>
    <row r="1400">
      <c r="A1400" s="25"/>
      <c r="B1400" s="19"/>
      <c r="C1400" s="19"/>
      <c r="D1400" s="19"/>
      <c r="E1400" s="19"/>
      <c r="F1400" s="17" t="str">
        <f>IFERROR(__xludf.DUMMYFUNCTION("""COMPUTED_VALUE"""),"")</f>
        <v/>
      </c>
      <c r="G1400" s="20"/>
      <c r="H1400" s="19"/>
      <c r="I1400" s="19"/>
      <c r="J1400" s="19"/>
      <c r="K1400" s="19"/>
      <c r="L1400" s="19"/>
      <c r="M1400" s="19"/>
      <c r="N1400" s="20" t="s">
        <v>39</v>
      </c>
      <c r="O1400" s="19"/>
      <c r="P1400" s="19"/>
      <c r="Q1400" s="19"/>
      <c r="R1400" s="19"/>
      <c r="S1400" s="19"/>
      <c r="T1400" s="19"/>
      <c r="U1400" s="19"/>
      <c r="V1400" s="19"/>
    </row>
    <row r="1401">
      <c r="A1401" s="25"/>
      <c r="B1401" s="19"/>
      <c r="C1401" s="19"/>
      <c r="D1401" s="19"/>
      <c r="E1401" s="19"/>
      <c r="F1401" s="17" t="str">
        <f>IFERROR(__xludf.DUMMYFUNCTION("""COMPUTED_VALUE"""),"")</f>
        <v/>
      </c>
      <c r="G1401" s="20"/>
      <c r="H1401" s="19"/>
      <c r="I1401" s="19"/>
      <c r="J1401" s="19"/>
      <c r="K1401" s="19"/>
      <c r="L1401" s="19"/>
      <c r="M1401" s="19"/>
      <c r="N1401" s="20" t="s">
        <v>39</v>
      </c>
      <c r="O1401" s="19"/>
      <c r="P1401" s="19"/>
      <c r="Q1401" s="19"/>
      <c r="R1401" s="19"/>
      <c r="S1401" s="19"/>
      <c r="T1401" s="19"/>
      <c r="U1401" s="19"/>
      <c r="V1401" s="19"/>
    </row>
    <row r="1402">
      <c r="A1402" s="25"/>
      <c r="B1402" s="19"/>
      <c r="C1402" s="19"/>
      <c r="D1402" s="19"/>
      <c r="E1402" s="19"/>
      <c r="F1402" s="17" t="str">
        <f>IFERROR(__xludf.DUMMYFUNCTION("""COMPUTED_VALUE"""),"")</f>
        <v/>
      </c>
      <c r="G1402" s="20"/>
      <c r="H1402" s="19"/>
      <c r="I1402" s="19"/>
      <c r="J1402" s="19"/>
      <c r="K1402" s="19"/>
      <c r="L1402" s="19"/>
      <c r="M1402" s="19"/>
      <c r="N1402" s="20" t="s">
        <v>39</v>
      </c>
      <c r="O1402" s="19"/>
      <c r="P1402" s="19"/>
      <c r="Q1402" s="19"/>
      <c r="R1402" s="19"/>
      <c r="S1402" s="19"/>
      <c r="T1402" s="19"/>
      <c r="U1402" s="19"/>
      <c r="V1402" s="19"/>
    </row>
    <row r="1403">
      <c r="A1403" s="25"/>
      <c r="B1403" s="19"/>
      <c r="C1403" s="19"/>
      <c r="D1403" s="19"/>
      <c r="E1403" s="19"/>
      <c r="F1403" s="17" t="str">
        <f>IFERROR(__xludf.DUMMYFUNCTION("""COMPUTED_VALUE"""),"")</f>
        <v/>
      </c>
      <c r="G1403" s="20"/>
      <c r="H1403" s="19"/>
      <c r="I1403" s="19"/>
      <c r="J1403" s="19"/>
      <c r="K1403" s="19"/>
      <c r="L1403" s="19"/>
      <c r="M1403" s="19"/>
      <c r="N1403" s="20" t="s">
        <v>39</v>
      </c>
      <c r="O1403" s="19"/>
      <c r="P1403" s="19"/>
      <c r="Q1403" s="19"/>
      <c r="R1403" s="19"/>
      <c r="S1403" s="19"/>
      <c r="T1403" s="19"/>
      <c r="U1403" s="19"/>
      <c r="V1403" s="19"/>
    </row>
    <row r="1404">
      <c r="A1404" s="25"/>
      <c r="B1404" s="19"/>
      <c r="C1404" s="19"/>
      <c r="D1404" s="19"/>
      <c r="E1404" s="19"/>
      <c r="F1404" s="17" t="str">
        <f>IFERROR(__xludf.DUMMYFUNCTION("""COMPUTED_VALUE"""),"")</f>
        <v/>
      </c>
      <c r="G1404" s="20"/>
      <c r="H1404" s="19"/>
      <c r="I1404" s="19"/>
      <c r="J1404" s="19"/>
      <c r="K1404" s="19"/>
      <c r="L1404" s="19"/>
      <c r="M1404" s="19"/>
      <c r="N1404" s="20" t="s">
        <v>39</v>
      </c>
      <c r="O1404" s="19"/>
      <c r="P1404" s="19"/>
      <c r="Q1404" s="19"/>
      <c r="R1404" s="19"/>
      <c r="S1404" s="19"/>
      <c r="T1404" s="19"/>
      <c r="U1404" s="19"/>
      <c r="V1404" s="19"/>
    </row>
    <row r="1405">
      <c r="A1405" s="25"/>
      <c r="B1405" s="19"/>
      <c r="C1405" s="19"/>
      <c r="D1405" s="19"/>
      <c r="E1405" s="19"/>
      <c r="F1405" s="17" t="str">
        <f>IFERROR(__xludf.DUMMYFUNCTION("""COMPUTED_VALUE"""),"")</f>
        <v/>
      </c>
      <c r="G1405" s="20"/>
      <c r="H1405" s="19"/>
      <c r="I1405" s="19"/>
      <c r="J1405" s="19"/>
      <c r="K1405" s="19"/>
      <c r="L1405" s="19"/>
      <c r="M1405" s="19"/>
      <c r="N1405" s="20" t="s">
        <v>39</v>
      </c>
      <c r="O1405" s="19"/>
      <c r="P1405" s="19"/>
      <c r="Q1405" s="19"/>
      <c r="R1405" s="19"/>
      <c r="S1405" s="19"/>
      <c r="T1405" s="19"/>
      <c r="U1405" s="19"/>
      <c r="V1405" s="19"/>
    </row>
    <row r="1406">
      <c r="A1406" s="25"/>
      <c r="B1406" s="19"/>
      <c r="C1406" s="19"/>
      <c r="D1406" s="19"/>
      <c r="E1406" s="19"/>
      <c r="F1406" s="17" t="str">
        <f>IFERROR(__xludf.DUMMYFUNCTION("""COMPUTED_VALUE"""),"")</f>
        <v/>
      </c>
      <c r="G1406" s="20"/>
      <c r="H1406" s="19"/>
      <c r="I1406" s="19"/>
      <c r="J1406" s="19"/>
      <c r="K1406" s="19"/>
      <c r="L1406" s="19"/>
      <c r="M1406" s="19"/>
      <c r="N1406" s="20" t="s">
        <v>39</v>
      </c>
      <c r="O1406" s="19"/>
      <c r="P1406" s="19"/>
      <c r="Q1406" s="19"/>
      <c r="R1406" s="19"/>
      <c r="S1406" s="19"/>
      <c r="T1406" s="19"/>
      <c r="U1406" s="19"/>
      <c r="V1406" s="19"/>
    </row>
    <row r="1407">
      <c r="A1407" s="25"/>
      <c r="B1407" s="19"/>
      <c r="C1407" s="19"/>
      <c r="D1407" s="19"/>
      <c r="E1407" s="19"/>
      <c r="F1407" s="17" t="str">
        <f>IFERROR(__xludf.DUMMYFUNCTION("""COMPUTED_VALUE"""),"")</f>
        <v/>
      </c>
      <c r="G1407" s="20"/>
      <c r="H1407" s="19"/>
      <c r="I1407" s="19"/>
      <c r="J1407" s="19"/>
      <c r="K1407" s="19"/>
      <c r="L1407" s="19"/>
      <c r="M1407" s="19"/>
      <c r="N1407" s="20" t="s">
        <v>39</v>
      </c>
      <c r="O1407" s="19"/>
      <c r="P1407" s="19"/>
      <c r="Q1407" s="19"/>
      <c r="R1407" s="19"/>
      <c r="S1407" s="19"/>
      <c r="T1407" s="19"/>
      <c r="U1407" s="19"/>
      <c r="V1407" s="19"/>
    </row>
    <row r="1408">
      <c r="A1408" s="25"/>
      <c r="B1408" s="19"/>
      <c r="C1408" s="19"/>
      <c r="D1408" s="19"/>
      <c r="E1408" s="19"/>
      <c r="F1408" s="17" t="str">
        <f>IFERROR(__xludf.DUMMYFUNCTION("""COMPUTED_VALUE"""),"")</f>
        <v/>
      </c>
      <c r="G1408" s="20"/>
      <c r="H1408" s="19"/>
      <c r="I1408" s="19"/>
      <c r="J1408" s="19"/>
      <c r="K1408" s="19"/>
      <c r="L1408" s="19"/>
      <c r="M1408" s="19"/>
      <c r="N1408" s="20" t="s">
        <v>39</v>
      </c>
      <c r="O1408" s="19"/>
      <c r="P1408" s="19"/>
      <c r="Q1408" s="19"/>
      <c r="R1408" s="19"/>
      <c r="S1408" s="19"/>
      <c r="T1408" s="19"/>
      <c r="U1408" s="19"/>
      <c r="V1408" s="19"/>
    </row>
    <row r="1409">
      <c r="A1409" s="25"/>
      <c r="B1409" s="19"/>
      <c r="C1409" s="19"/>
      <c r="D1409" s="19"/>
      <c r="E1409" s="19"/>
      <c r="F1409" s="17" t="str">
        <f>IFERROR(__xludf.DUMMYFUNCTION("""COMPUTED_VALUE"""),"")</f>
        <v/>
      </c>
      <c r="G1409" s="20"/>
      <c r="H1409" s="19"/>
      <c r="I1409" s="19"/>
      <c r="J1409" s="19"/>
      <c r="K1409" s="19"/>
      <c r="L1409" s="19"/>
      <c r="M1409" s="19"/>
      <c r="N1409" s="20" t="s">
        <v>39</v>
      </c>
      <c r="O1409" s="19"/>
      <c r="P1409" s="19"/>
      <c r="Q1409" s="19"/>
      <c r="R1409" s="19"/>
      <c r="S1409" s="19"/>
      <c r="T1409" s="19"/>
      <c r="U1409" s="19"/>
      <c r="V1409" s="19"/>
    </row>
    <row r="1410">
      <c r="A1410" s="25"/>
      <c r="B1410" s="19"/>
      <c r="C1410" s="19"/>
      <c r="D1410" s="19"/>
      <c r="E1410" s="19"/>
      <c r="F1410" s="17" t="str">
        <f>IFERROR(__xludf.DUMMYFUNCTION("""COMPUTED_VALUE"""),"")</f>
        <v/>
      </c>
      <c r="G1410" s="20"/>
      <c r="H1410" s="19"/>
      <c r="I1410" s="19"/>
      <c r="J1410" s="19"/>
      <c r="K1410" s="19"/>
      <c r="L1410" s="19"/>
      <c r="M1410" s="19"/>
      <c r="N1410" s="20" t="s">
        <v>39</v>
      </c>
      <c r="O1410" s="19"/>
      <c r="P1410" s="19"/>
      <c r="Q1410" s="19"/>
      <c r="R1410" s="19"/>
      <c r="S1410" s="19"/>
      <c r="T1410" s="19"/>
      <c r="U1410" s="19"/>
      <c r="V1410" s="19"/>
    </row>
    <row r="1411">
      <c r="A1411" s="25"/>
      <c r="B1411" s="19"/>
      <c r="C1411" s="19"/>
      <c r="D1411" s="19"/>
      <c r="E1411" s="19"/>
      <c r="F1411" s="17" t="str">
        <f>IFERROR(__xludf.DUMMYFUNCTION("""COMPUTED_VALUE"""),"")</f>
        <v/>
      </c>
      <c r="G1411" s="20"/>
      <c r="H1411" s="19"/>
      <c r="I1411" s="19"/>
      <c r="J1411" s="19"/>
      <c r="K1411" s="19"/>
      <c r="L1411" s="19"/>
      <c r="M1411" s="19"/>
      <c r="N1411" s="20" t="s">
        <v>39</v>
      </c>
      <c r="O1411" s="19"/>
      <c r="P1411" s="19"/>
      <c r="Q1411" s="19"/>
      <c r="R1411" s="19"/>
      <c r="S1411" s="19"/>
      <c r="T1411" s="19"/>
      <c r="U1411" s="19"/>
      <c r="V1411" s="19"/>
    </row>
    <row r="1412">
      <c r="A1412" s="25"/>
      <c r="B1412" s="19"/>
      <c r="C1412" s="19"/>
      <c r="D1412" s="19"/>
      <c r="E1412" s="19"/>
      <c r="F1412" s="17" t="str">
        <f>IFERROR(__xludf.DUMMYFUNCTION("""COMPUTED_VALUE"""),"")</f>
        <v/>
      </c>
      <c r="G1412" s="20"/>
      <c r="H1412" s="19"/>
      <c r="I1412" s="19"/>
      <c r="J1412" s="19"/>
      <c r="K1412" s="19"/>
      <c r="L1412" s="19"/>
      <c r="M1412" s="19"/>
      <c r="N1412" s="20" t="s">
        <v>39</v>
      </c>
      <c r="O1412" s="19"/>
      <c r="P1412" s="19"/>
      <c r="Q1412" s="19"/>
      <c r="R1412" s="19"/>
      <c r="S1412" s="19"/>
      <c r="T1412" s="19"/>
      <c r="U1412" s="19"/>
      <c r="V1412" s="19"/>
    </row>
    <row r="1413">
      <c r="A1413" s="25"/>
      <c r="B1413" s="19"/>
      <c r="C1413" s="19"/>
      <c r="D1413" s="19"/>
      <c r="E1413" s="19"/>
      <c r="F1413" s="17" t="str">
        <f>IFERROR(__xludf.DUMMYFUNCTION("""COMPUTED_VALUE"""),"")</f>
        <v/>
      </c>
      <c r="G1413" s="20"/>
      <c r="H1413" s="19"/>
      <c r="I1413" s="19"/>
      <c r="J1413" s="19"/>
      <c r="K1413" s="19"/>
      <c r="L1413" s="19"/>
      <c r="M1413" s="19"/>
      <c r="N1413" s="20" t="s">
        <v>39</v>
      </c>
      <c r="O1413" s="19"/>
      <c r="P1413" s="19"/>
      <c r="Q1413" s="19"/>
      <c r="R1413" s="19"/>
      <c r="S1413" s="19"/>
      <c r="T1413" s="19"/>
      <c r="U1413" s="19"/>
      <c r="V1413" s="19"/>
    </row>
    <row r="1414">
      <c r="A1414" s="25"/>
      <c r="B1414" s="19"/>
      <c r="C1414" s="19"/>
      <c r="D1414" s="19"/>
      <c r="E1414" s="19"/>
      <c r="F1414" s="17" t="str">
        <f>IFERROR(__xludf.DUMMYFUNCTION("""COMPUTED_VALUE"""),"")</f>
        <v/>
      </c>
      <c r="G1414" s="20"/>
      <c r="H1414" s="19"/>
      <c r="I1414" s="19"/>
      <c r="J1414" s="19"/>
      <c r="K1414" s="19"/>
      <c r="L1414" s="19"/>
      <c r="M1414" s="19"/>
      <c r="N1414" s="20" t="s">
        <v>39</v>
      </c>
      <c r="O1414" s="19"/>
      <c r="P1414" s="19"/>
      <c r="Q1414" s="19"/>
      <c r="R1414" s="19"/>
      <c r="S1414" s="19"/>
      <c r="T1414" s="19"/>
      <c r="U1414" s="19"/>
      <c r="V1414" s="19"/>
    </row>
    <row r="1415">
      <c r="A1415" s="25"/>
      <c r="B1415" s="19"/>
      <c r="C1415" s="19"/>
      <c r="D1415" s="19"/>
      <c r="E1415" s="19"/>
      <c r="F1415" s="17" t="str">
        <f>IFERROR(__xludf.DUMMYFUNCTION("""COMPUTED_VALUE"""),"")</f>
        <v/>
      </c>
      <c r="G1415" s="20"/>
      <c r="H1415" s="19"/>
      <c r="I1415" s="19"/>
      <c r="J1415" s="19"/>
      <c r="K1415" s="19"/>
      <c r="L1415" s="19"/>
      <c r="M1415" s="19"/>
      <c r="N1415" s="20" t="s">
        <v>39</v>
      </c>
      <c r="O1415" s="19"/>
      <c r="P1415" s="19"/>
      <c r="Q1415" s="19"/>
      <c r="R1415" s="19"/>
      <c r="S1415" s="19"/>
      <c r="T1415" s="19"/>
      <c r="U1415" s="19"/>
      <c r="V1415" s="19"/>
    </row>
    <row r="1416">
      <c r="A1416" s="25"/>
      <c r="B1416" s="19"/>
      <c r="C1416" s="19"/>
      <c r="D1416" s="19"/>
      <c r="E1416" s="19"/>
      <c r="F1416" s="17" t="str">
        <f>IFERROR(__xludf.DUMMYFUNCTION("""COMPUTED_VALUE"""),"")</f>
        <v/>
      </c>
      <c r="G1416" s="20"/>
      <c r="H1416" s="19"/>
      <c r="I1416" s="19"/>
      <c r="J1416" s="19"/>
      <c r="K1416" s="19"/>
      <c r="L1416" s="19"/>
      <c r="M1416" s="19"/>
      <c r="N1416" s="20" t="s">
        <v>39</v>
      </c>
      <c r="O1416" s="19"/>
      <c r="P1416" s="19"/>
      <c r="Q1416" s="19"/>
      <c r="R1416" s="19"/>
      <c r="S1416" s="19"/>
      <c r="T1416" s="19"/>
      <c r="U1416" s="19"/>
      <c r="V1416" s="19"/>
    </row>
    <row r="1417">
      <c r="A1417" s="25"/>
      <c r="B1417" s="19"/>
      <c r="C1417" s="19"/>
      <c r="D1417" s="19"/>
      <c r="E1417" s="19"/>
      <c r="F1417" s="17" t="str">
        <f>IFERROR(__xludf.DUMMYFUNCTION("""COMPUTED_VALUE"""),"")</f>
        <v/>
      </c>
      <c r="G1417" s="20"/>
      <c r="H1417" s="19"/>
      <c r="I1417" s="19"/>
      <c r="J1417" s="19"/>
      <c r="K1417" s="19"/>
      <c r="L1417" s="19"/>
      <c r="M1417" s="19"/>
      <c r="N1417" s="20" t="s">
        <v>39</v>
      </c>
      <c r="O1417" s="19"/>
      <c r="P1417" s="19"/>
      <c r="Q1417" s="19"/>
      <c r="R1417" s="19"/>
      <c r="S1417" s="19"/>
      <c r="T1417" s="19"/>
      <c r="U1417" s="19"/>
      <c r="V1417" s="19"/>
    </row>
    <row r="1418">
      <c r="A1418" s="25"/>
      <c r="B1418" s="19"/>
      <c r="C1418" s="19"/>
      <c r="D1418" s="19"/>
      <c r="E1418" s="19"/>
      <c r="F1418" s="17" t="str">
        <f>IFERROR(__xludf.DUMMYFUNCTION("""COMPUTED_VALUE"""),"")</f>
        <v/>
      </c>
      <c r="G1418" s="20"/>
      <c r="H1418" s="19"/>
      <c r="I1418" s="19"/>
      <c r="J1418" s="19"/>
      <c r="K1418" s="19"/>
      <c r="L1418" s="19"/>
      <c r="M1418" s="19"/>
      <c r="N1418" s="20" t="s">
        <v>39</v>
      </c>
      <c r="O1418" s="19"/>
      <c r="P1418" s="19"/>
      <c r="Q1418" s="19"/>
      <c r="R1418" s="19"/>
      <c r="S1418" s="19"/>
      <c r="T1418" s="19"/>
      <c r="U1418" s="19"/>
      <c r="V1418" s="19"/>
    </row>
    <row r="1419">
      <c r="A1419" s="25"/>
      <c r="B1419" s="19"/>
      <c r="C1419" s="19"/>
      <c r="D1419" s="19"/>
      <c r="E1419" s="19"/>
      <c r="F1419" s="17" t="str">
        <f>IFERROR(__xludf.DUMMYFUNCTION("""COMPUTED_VALUE"""),"")</f>
        <v/>
      </c>
      <c r="G1419" s="20"/>
      <c r="H1419" s="19"/>
      <c r="I1419" s="19"/>
      <c r="J1419" s="19"/>
      <c r="K1419" s="19"/>
      <c r="L1419" s="19"/>
      <c r="M1419" s="19"/>
      <c r="N1419" s="20" t="s">
        <v>39</v>
      </c>
      <c r="O1419" s="19"/>
      <c r="P1419" s="19"/>
      <c r="Q1419" s="19"/>
      <c r="R1419" s="19"/>
      <c r="S1419" s="19"/>
      <c r="T1419" s="19"/>
      <c r="U1419" s="19"/>
      <c r="V1419" s="19"/>
    </row>
    <row r="1420">
      <c r="A1420" s="25"/>
      <c r="B1420" s="19"/>
      <c r="C1420" s="19"/>
      <c r="D1420" s="19"/>
      <c r="E1420" s="19"/>
      <c r="F1420" s="17" t="str">
        <f>IFERROR(__xludf.DUMMYFUNCTION("""COMPUTED_VALUE"""),"")</f>
        <v/>
      </c>
      <c r="G1420" s="20"/>
      <c r="H1420" s="19"/>
      <c r="I1420" s="19"/>
      <c r="J1420" s="19"/>
      <c r="K1420" s="19"/>
      <c r="L1420" s="19"/>
      <c r="M1420" s="19"/>
      <c r="N1420" s="20" t="s">
        <v>39</v>
      </c>
      <c r="O1420" s="19"/>
      <c r="P1420" s="19"/>
      <c r="Q1420" s="19"/>
      <c r="R1420" s="19"/>
      <c r="S1420" s="19"/>
      <c r="T1420" s="19"/>
      <c r="U1420" s="19"/>
      <c r="V1420" s="19"/>
    </row>
    <row r="1421">
      <c r="A1421" s="25"/>
      <c r="B1421" s="19"/>
      <c r="C1421" s="19"/>
      <c r="D1421" s="19"/>
      <c r="E1421" s="19"/>
      <c r="F1421" s="17" t="str">
        <f>IFERROR(__xludf.DUMMYFUNCTION("""COMPUTED_VALUE"""),"")</f>
        <v/>
      </c>
      <c r="G1421" s="20"/>
      <c r="H1421" s="19"/>
      <c r="I1421" s="19"/>
      <c r="J1421" s="19"/>
      <c r="K1421" s="19"/>
      <c r="L1421" s="19"/>
      <c r="M1421" s="19"/>
      <c r="N1421" s="20" t="s">
        <v>39</v>
      </c>
      <c r="O1421" s="19"/>
      <c r="P1421" s="19"/>
      <c r="Q1421" s="19"/>
      <c r="R1421" s="19"/>
      <c r="S1421" s="19"/>
      <c r="T1421" s="19"/>
      <c r="U1421" s="19"/>
      <c r="V1421" s="19"/>
    </row>
    <row r="1422">
      <c r="A1422" s="25"/>
      <c r="B1422" s="19"/>
      <c r="C1422" s="19"/>
      <c r="D1422" s="19"/>
      <c r="E1422" s="19"/>
      <c r="F1422" s="17" t="str">
        <f>IFERROR(__xludf.DUMMYFUNCTION("""COMPUTED_VALUE"""),"")</f>
        <v/>
      </c>
      <c r="G1422" s="20"/>
      <c r="H1422" s="19"/>
      <c r="I1422" s="19"/>
      <c r="J1422" s="19"/>
      <c r="K1422" s="19"/>
      <c r="L1422" s="19"/>
      <c r="M1422" s="19"/>
      <c r="N1422" s="20" t="s">
        <v>39</v>
      </c>
      <c r="O1422" s="19"/>
      <c r="P1422" s="19"/>
      <c r="Q1422" s="19"/>
      <c r="R1422" s="19"/>
      <c r="S1422" s="19"/>
      <c r="T1422" s="19"/>
      <c r="U1422" s="19"/>
      <c r="V1422" s="19"/>
    </row>
    <row r="1423">
      <c r="A1423" s="25"/>
      <c r="B1423" s="19"/>
      <c r="C1423" s="19"/>
      <c r="D1423" s="19"/>
      <c r="E1423" s="19"/>
      <c r="F1423" s="17" t="str">
        <f>IFERROR(__xludf.DUMMYFUNCTION("""COMPUTED_VALUE"""),"")</f>
        <v/>
      </c>
      <c r="G1423" s="20"/>
      <c r="H1423" s="19"/>
      <c r="I1423" s="19"/>
      <c r="J1423" s="19"/>
      <c r="K1423" s="19"/>
      <c r="L1423" s="19"/>
      <c r="M1423" s="19"/>
      <c r="N1423" s="20" t="s">
        <v>39</v>
      </c>
      <c r="O1423" s="19"/>
      <c r="P1423" s="19"/>
      <c r="Q1423" s="19"/>
      <c r="R1423" s="19"/>
      <c r="S1423" s="19"/>
      <c r="T1423" s="19"/>
      <c r="U1423" s="19"/>
      <c r="V1423" s="19"/>
    </row>
    <row r="1424">
      <c r="A1424" s="25"/>
      <c r="B1424" s="19"/>
      <c r="C1424" s="19"/>
      <c r="D1424" s="19"/>
      <c r="E1424" s="19"/>
      <c r="F1424" s="17" t="str">
        <f>IFERROR(__xludf.DUMMYFUNCTION("""COMPUTED_VALUE"""),"")</f>
        <v/>
      </c>
      <c r="G1424" s="20"/>
      <c r="H1424" s="19"/>
      <c r="I1424" s="19"/>
      <c r="J1424" s="19"/>
      <c r="K1424" s="19"/>
      <c r="L1424" s="19"/>
      <c r="M1424" s="19"/>
      <c r="N1424" s="20" t="s">
        <v>39</v>
      </c>
      <c r="O1424" s="19"/>
      <c r="P1424" s="19"/>
      <c r="Q1424" s="19"/>
      <c r="R1424" s="19"/>
      <c r="S1424" s="19"/>
      <c r="T1424" s="19"/>
      <c r="U1424" s="19"/>
      <c r="V1424" s="19"/>
    </row>
    <row r="1425">
      <c r="A1425" s="25"/>
      <c r="B1425" s="19"/>
      <c r="C1425" s="19"/>
      <c r="D1425" s="19"/>
      <c r="E1425" s="19"/>
      <c r="F1425" s="17" t="str">
        <f>IFERROR(__xludf.DUMMYFUNCTION("""COMPUTED_VALUE"""),"")</f>
        <v/>
      </c>
      <c r="G1425" s="20"/>
      <c r="H1425" s="19"/>
      <c r="I1425" s="19"/>
      <c r="J1425" s="19"/>
      <c r="K1425" s="19"/>
      <c r="L1425" s="19"/>
      <c r="M1425" s="19"/>
      <c r="N1425" s="20" t="s">
        <v>39</v>
      </c>
      <c r="O1425" s="19"/>
      <c r="P1425" s="19"/>
      <c r="Q1425" s="19"/>
      <c r="R1425" s="19"/>
      <c r="S1425" s="19"/>
      <c r="T1425" s="19"/>
      <c r="U1425" s="19"/>
      <c r="V1425" s="19"/>
    </row>
    <row r="1426">
      <c r="A1426" s="25"/>
      <c r="B1426" s="19"/>
      <c r="C1426" s="19"/>
      <c r="D1426" s="19"/>
      <c r="E1426" s="19"/>
      <c r="F1426" s="17" t="str">
        <f>IFERROR(__xludf.DUMMYFUNCTION("""COMPUTED_VALUE"""),"")</f>
        <v/>
      </c>
      <c r="G1426" s="20"/>
      <c r="H1426" s="19"/>
      <c r="I1426" s="19"/>
      <c r="J1426" s="19"/>
      <c r="K1426" s="19"/>
      <c r="L1426" s="19"/>
      <c r="M1426" s="19"/>
      <c r="N1426" s="20" t="s">
        <v>39</v>
      </c>
      <c r="O1426" s="19"/>
      <c r="P1426" s="19"/>
      <c r="Q1426" s="19"/>
      <c r="R1426" s="19"/>
      <c r="S1426" s="19"/>
      <c r="T1426" s="19"/>
      <c r="U1426" s="19"/>
      <c r="V1426" s="19"/>
    </row>
    <row r="1427">
      <c r="A1427" s="25"/>
      <c r="B1427" s="19"/>
      <c r="C1427" s="19"/>
      <c r="D1427" s="19"/>
      <c r="E1427" s="19"/>
      <c r="F1427" s="17" t="str">
        <f>IFERROR(__xludf.DUMMYFUNCTION("""COMPUTED_VALUE"""),"")</f>
        <v/>
      </c>
      <c r="G1427" s="20"/>
      <c r="H1427" s="19"/>
      <c r="I1427" s="19"/>
      <c r="J1427" s="19"/>
      <c r="K1427" s="19"/>
      <c r="L1427" s="19"/>
      <c r="M1427" s="19"/>
      <c r="N1427" s="20" t="s">
        <v>39</v>
      </c>
      <c r="O1427" s="19"/>
      <c r="P1427" s="19"/>
      <c r="Q1427" s="19"/>
      <c r="R1427" s="19"/>
      <c r="S1427" s="19"/>
      <c r="T1427" s="19"/>
      <c r="U1427" s="19"/>
      <c r="V1427" s="19"/>
    </row>
    <row r="1428">
      <c r="A1428" s="25"/>
      <c r="B1428" s="19"/>
      <c r="C1428" s="19"/>
      <c r="D1428" s="19"/>
      <c r="E1428" s="19"/>
      <c r="F1428" s="17" t="str">
        <f>IFERROR(__xludf.DUMMYFUNCTION("""COMPUTED_VALUE"""),"")</f>
        <v/>
      </c>
      <c r="G1428" s="20"/>
      <c r="H1428" s="19"/>
      <c r="I1428" s="19"/>
      <c r="J1428" s="19"/>
      <c r="K1428" s="19"/>
      <c r="L1428" s="19"/>
      <c r="M1428" s="19"/>
      <c r="N1428" s="20" t="s">
        <v>39</v>
      </c>
      <c r="O1428" s="19"/>
      <c r="P1428" s="19"/>
      <c r="Q1428" s="19"/>
      <c r="R1428" s="19"/>
      <c r="S1428" s="19"/>
      <c r="T1428" s="19"/>
      <c r="U1428" s="19"/>
      <c r="V1428" s="19"/>
    </row>
    <row r="1429">
      <c r="A1429" s="25"/>
      <c r="B1429" s="19"/>
      <c r="C1429" s="19"/>
      <c r="D1429" s="19"/>
      <c r="E1429" s="19"/>
      <c r="F1429" s="17" t="str">
        <f>IFERROR(__xludf.DUMMYFUNCTION("""COMPUTED_VALUE"""),"")</f>
        <v/>
      </c>
      <c r="G1429" s="20"/>
      <c r="H1429" s="19"/>
      <c r="I1429" s="19"/>
      <c r="J1429" s="19"/>
      <c r="K1429" s="19"/>
      <c r="L1429" s="19"/>
      <c r="M1429" s="19"/>
      <c r="N1429" s="20" t="s">
        <v>39</v>
      </c>
      <c r="O1429" s="19"/>
      <c r="P1429" s="19"/>
      <c r="Q1429" s="19"/>
      <c r="R1429" s="19"/>
      <c r="S1429" s="19"/>
      <c r="T1429" s="19"/>
      <c r="U1429" s="19"/>
      <c r="V1429" s="19"/>
    </row>
    <row r="1430">
      <c r="A1430" s="25"/>
      <c r="B1430" s="19"/>
      <c r="C1430" s="19"/>
      <c r="D1430" s="19"/>
      <c r="E1430" s="19"/>
      <c r="F1430" s="17" t="str">
        <f>IFERROR(__xludf.DUMMYFUNCTION("""COMPUTED_VALUE"""),"")</f>
        <v/>
      </c>
      <c r="G1430" s="20"/>
      <c r="H1430" s="19"/>
      <c r="I1430" s="19"/>
      <c r="J1430" s="19"/>
      <c r="K1430" s="19"/>
      <c r="L1430" s="19"/>
      <c r="M1430" s="19"/>
      <c r="N1430" s="20" t="s">
        <v>39</v>
      </c>
      <c r="O1430" s="19"/>
      <c r="P1430" s="19"/>
      <c r="Q1430" s="19"/>
      <c r="R1430" s="19"/>
      <c r="S1430" s="19"/>
      <c r="T1430" s="19"/>
      <c r="U1430" s="19"/>
      <c r="V1430" s="19"/>
    </row>
    <row r="1431">
      <c r="A1431" s="25"/>
      <c r="B1431" s="19"/>
      <c r="C1431" s="19"/>
      <c r="D1431" s="19"/>
      <c r="E1431" s="19"/>
      <c r="F1431" s="17" t="str">
        <f>IFERROR(__xludf.DUMMYFUNCTION("""COMPUTED_VALUE"""),"")</f>
        <v/>
      </c>
      <c r="G1431" s="20"/>
      <c r="H1431" s="19"/>
      <c r="I1431" s="19"/>
      <c r="J1431" s="19"/>
      <c r="K1431" s="19"/>
      <c r="L1431" s="19"/>
      <c r="M1431" s="19"/>
      <c r="N1431" s="20" t="s">
        <v>39</v>
      </c>
      <c r="O1431" s="19"/>
      <c r="P1431" s="19"/>
      <c r="Q1431" s="19"/>
      <c r="R1431" s="19"/>
      <c r="S1431" s="19"/>
      <c r="T1431" s="19"/>
      <c r="U1431" s="19"/>
      <c r="V1431" s="19"/>
    </row>
    <row r="1432">
      <c r="A1432" s="25"/>
      <c r="B1432" s="19"/>
      <c r="C1432" s="19"/>
      <c r="D1432" s="19"/>
      <c r="E1432" s="19"/>
      <c r="F1432" s="17" t="str">
        <f>IFERROR(__xludf.DUMMYFUNCTION("""COMPUTED_VALUE"""),"")</f>
        <v/>
      </c>
      <c r="G1432" s="20"/>
      <c r="H1432" s="19"/>
      <c r="I1432" s="19"/>
      <c r="J1432" s="19"/>
      <c r="K1432" s="19"/>
      <c r="L1432" s="19"/>
      <c r="M1432" s="19"/>
      <c r="N1432" s="20" t="s">
        <v>39</v>
      </c>
      <c r="O1432" s="19"/>
      <c r="P1432" s="19"/>
      <c r="Q1432" s="19"/>
      <c r="R1432" s="19"/>
      <c r="S1432" s="19"/>
      <c r="T1432" s="19"/>
      <c r="U1432" s="19"/>
      <c r="V1432" s="19"/>
    </row>
    <row r="1433">
      <c r="A1433" s="25"/>
      <c r="B1433" s="19"/>
      <c r="C1433" s="19"/>
      <c r="D1433" s="19"/>
      <c r="E1433" s="19"/>
      <c r="F1433" s="17" t="str">
        <f>IFERROR(__xludf.DUMMYFUNCTION("""COMPUTED_VALUE"""),"")</f>
        <v/>
      </c>
      <c r="G1433" s="20"/>
      <c r="H1433" s="19"/>
      <c r="I1433" s="19"/>
      <c r="J1433" s="19"/>
      <c r="K1433" s="19"/>
      <c r="L1433" s="19"/>
      <c r="M1433" s="19"/>
      <c r="N1433" s="20" t="s">
        <v>39</v>
      </c>
      <c r="O1433" s="19"/>
      <c r="P1433" s="19"/>
      <c r="Q1433" s="19"/>
      <c r="R1433" s="19"/>
      <c r="S1433" s="19"/>
      <c r="T1433" s="19"/>
      <c r="U1433" s="19"/>
      <c r="V1433" s="19"/>
    </row>
    <row r="1434">
      <c r="A1434" s="25"/>
      <c r="B1434" s="19"/>
      <c r="C1434" s="19"/>
      <c r="D1434" s="19"/>
      <c r="E1434" s="19"/>
      <c r="F1434" s="17" t="str">
        <f>IFERROR(__xludf.DUMMYFUNCTION("""COMPUTED_VALUE"""),"")</f>
        <v/>
      </c>
      <c r="G1434" s="20"/>
      <c r="H1434" s="19"/>
      <c r="I1434" s="19"/>
      <c r="J1434" s="19"/>
      <c r="K1434" s="19"/>
      <c r="L1434" s="19"/>
      <c r="M1434" s="19"/>
      <c r="N1434" s="20" t="s">
        <v>39</v>
      </c>
      <c r="O1434" s="19"/>
      <c r="P1434" s="19"/>
      <c r="Q1434" s="19"/>
      <c r="R1434" s="19"/>
      <c r="S1434" s="19"/>
      <c r="T1434" s="19"/>
      <c r="U1434" s="19"/>
      <c r="V1434" s="19"/>
    </row>
    <row r="1435">
      <c r="A1435" s="25"/>
      <c r="B1435" s="19"/>
      <c r="C1435" s="19"/>
      <c r="D1435" s="19"/>
      <c r="E1435" s="19"/>
      <c r="F1435" s="17" t="str">
        <f>IFERROR(__xludf.DUMMYFUNCTION("""COMPUTED_VALUE"""),"")</f>
        <v/>
      </c>
      <c r="G1435" s="20"/>
      <c r="H1435" s="19"/>
      <c r="I1435" s="19"/>
      <c r="J1435" s="19"/>
      <c r="K1435" s="19"/>
      <c r="L1435" s="19"/>
      <c r="M1435" s="19"/>
      <c r="N1435" s="20" t="s">
        <v>39</v>
      </c>
      <c r="O1435" s="19"/>
      <c r="P1435" s="19"/>
      <c r="Q1435" s="19"/>
      <c r="R1435" s="19"/>
      <c r="S1435" s="19"/>
      <c r="T1435" s="19"/>
      <c r="U1435" s="19"/>
      <c r="V1435" s="19"/>
    </row>
    <row r="1436">
      <c r="A1436" s="25"/>
      <c r="B1436" s="19"/>
      <c r="C1436" s="19"/>
      <c r="D1436" s="19"/>
      <c r="E1436" s="19"/>
      <c r="F1436" s="17" t="str">
        <f>IFERROR(__xludf.DUMMYFUNCTION("""COMPUTED_VALUE"""),"")</f>
        <v/>
      </c>
      <c r="G1436" s="20"/>
      <c r="H1436" s="19"/>
      <c r="I1436" s="19"/>
      <c r="J1436" s="19"/>
      <c r="K1436" s="19"/>
      <c r="L1436" s="19"/>
      <c r="M1436" s="19"/>
      <c r="N1436" s="20" t="s">
        <v>39</v>
      </c>
      <c r="O1436" s="19"/>
      <c r="P1436" s="19"/>
      <c r="Q1436" s="19"/>
      <c r="R1436" s="19"/>
      <c r="S1436" s="19"/>
      <c r="T1436" s="19"/>
      <c r="U1436" s="19"/>
      <c r="V1436" s="19"/>
    </row>
    <row r="1437">
      <c r="A1437" s="25"/>
      <c r="B1437" s="19"/>
      <c r="C1437" s="19"/>
      <c r="D1437" s="19"/>
      <c r="E1437" s="19"/>
      <c r="F1437" s="17" t="str">
        <f>IFERROR(__xludf.DUMMYFUNCTION("""COMPUTED_VALUE"""),"")</f>
        <v/>
      </c>
      <c r="G1437" s="20"/>
      <c r="H1437" s="19"/>
      <c r="I1437" s="19"/>
      <c r="J1437" s="19"/>
      <c r="K1437" s="19"/>
      <c r="L1437" s="19"/>
      <c r="M1437" s="19"/>
      <c r="N1437" s="20" t="s">
        <v>39</v>
      </c>
      <c r="O1437" s="19"/>
      <c r="P1437" s="19"/>
      <c r="Q1437" s="19"/>
      <c r="R1437" s="19"/>
      <c r="S1437" s="19"/>
      <c r="T1437" s="19"/>
      <c r="U1437" s="19"/>
      <c r="V1437" s="19"/>
    </row>
    <row r="1438">
      <c r="A1438" s="25"/>
      <c r="B1438" s="19"/>
      <c r="C1438" s="19"/>
      <c r="D1438" s="19"/>
      <c r="E1438" s="19"/>
      <c r="F1438" s="17" t="str">
        <f>IFERROR(__xludf.DUMMYFUNCTION("""COMPUTED_VALUE"""),"")</f>
        <v/>
      </c>
      <c r="G1438" s="20"/>
      <c r="H1438" s="19"/>
      <c r="I1438" s="19"/>
      <c r="J1438" s="19"/>
      <c r="K1438" s="19"/>
      <c r="L1438" s="19"/>
      <c r="M1438" s="19"/>
      <c r="N1438" s="20" t="s">
        <v>39</v>
      </c>
      <c r="O1438" s="19"/>
      <c r="P1438" s="19"/>
      <c r="Q1438" s="19"/>
      <c r="R1438" s="19"/>
      <c r="S1438" s="19"/>
      <c r="T1438" s="19"/>
      <c r="U1438" s="19"/>
      <c r="V1438" s="19"/>
    </row>
    <row r="1439">
      <c r="A1439" s="25"/>
      <c r="B1439" s="19"/>
      <c r="C1439" s="19"/>
      <c r="D1439" s="19"/>
      <c r="E1439" s="19"/>
      <c r="F1439" s="17" t="str">
        <f>IFERROR(__xludf.DUMMYFUNCTION("""COMPUTED_VALUE"""),"")</f>
        <v/>
      </c>
      <c r="G1439" s="20"/>
      <c r="H1439" s="19"/>
      <c r="I1439" s="19"/>
      <c r="J1439" s="19"/>
      <c r="K1439" s="19"/>
      <c r="L1439" s="19"/>
      <c r="M1439" s="19"/>
      <c r="N1439" s="20" t="s">
        <v>39</v>
      </c>
      <c r="O1439" s="19"/>
      <c r="P1439" s="19"/>
      <c r="Q1439" s="19"/>
      <c r="R1439" s="19"/>
      <c r="S1439" s="19"/>
      <c r="T1439" s="19"/>
      <c r="U1439" s="19"/>
      <c r="V1439" s="19"/>
    </row>
    <row r="1440">
      <c r="A1440" s="25"/>
      <c r="B1440" s="19"/>
      <c r="C1440" s="19"/>
      <c r="D1440" s="19"/>
      <c r="E1440" s="19"/>
      <c r="F1440" s="17" t="str">
        <f>IFERROR(__xludf.DUMMYFUNCTION("""COMPUTED_VALUE"""),"")</f>
        <v/>
      </c>
      <c r="G1440" s="20"/>
      <c r="H1440" s="19"/>
      <c r="I1440" s="19"/>
      <c r="J1440" s="19"/>
      <c r="K1440" s="19"/>
      <c r="L1440" s="19"/>
      <c r="M1440" s="19"/>
      <c r="N1440" s="20" t="s">
        <v>39</v>
      </c>
      <c r="O1440" s="19"/>
      <c r="P1440" s="19"/>
      <c r="Q1440" s="19"/>
      <c r="R1440" s="19"/>
      <c r="S1440" s="19"/>
      <c r="T1440" s="19"/>
      <c r="U1440" s="19"/>
      <c r="V1440" s="19"/>
    </row>
    <row r="1441">
      <c r="A1441" s="25"/>
      <c r="B1441" s="19"/>
      <c r="C1441" s="19"/>
      <c r="D1441" s="19"/>
      <c r="E1441" s="19"/>
      <c r="F1441" s="17" t="str">
        <f>IFERROR(__xludf.DUMMYFUNCTION("""COMPUTED_VALUE"""),"")</f>
        <v/>
      </c>
      <c r="G1441" s="20"/>
      <c r="H1441" s="19"/>
      <c r="I1441" s="19"/>
      <c r="J1441" s="19"/>
      <c r="K1441" s="19"/>
      <c r="L1441" s="19"/>
      <c r="M1441" s="19"/>
      <c r="N1441" s="20" t="s">
        <v>39</v>
      </c>
      <c r="O1441" s="19"/>
      <c r="P1441" s="19"/>
      <c r="Q1441" s="19"/>
      <c r="R1441" s="19"/>
      <c r="S1441" s="19"/>
      <c r="T1441" s="19"/>
      <c r="U1441" s="19"/>
      <c r="V1441" s="19"/>
    </row>
    <row r="1442">
      <c r="A1442" s="25"/>
      <c r="B1442" s="19"/>
      <c r="C1442" s="19"/>
      <c r="D1442" s="19"/>
      <c r="E1442" s="19"/>
      <c r="F1442" s="17" t="str">
        <f>IFERROR(__xludf.DUMMYFUNCTION("""COMPUTED_VALUE"""),"")</f>
        <v/>
      </c>
      <c r="G1442" s="20"/>
      <c r="H1442" s="19"/>
      <c r="I1442" s="19"/>
      <c r="J1442" s="19"/>
      <c r="K1442" s="19"/>
      <c r="L1442" s="19"/>
      <c r="M1442" s="19"/>
      <c r="N1442" s="20" t="s">
        <v>39</v>
      </c>
      <c r="O1442" s="19"/>
      <c r="P1442" s="19"/>
      <c r="Q1442" s="19"/>
      <c r="R1442" s="19"/>
      <c r="S1442" s="19"/>
      <c r="T1442" s="19"/>
      <c r="U1442" s="19"/>
      <c r="V1442" s="19"/>
    </row>
    <row r="1443">
      <c r="A1443" s="25"/>
      <c r="B1443" s="19"/>
      <c r="C1443" s="19"/>
      <c r="D1443" s="19"/>
      <c r="E1443" s="19"/>
      <c r="F1443" s="17" t="str">
        <f>IFERROR(__xludf.DUMMYFUNCTION("""COMPUTED_VALUE"""),"")</f>
        <v/>
      </c>
      <c r="G1443" s="20"/>
      <c r="H1443" s="19"/>
      <c r="I1443" s="19"/>
      <c r="J1443" s="19"/>
      <c r="K1443" s="19"/>
      <c r="L1443" s="19"/>
      <c r="M1443" s="19"/>
      <c r="N1443" s="20" t="s">
        <v>39</v>
      </c>
      <c r="O1443" s="19"/>
      <c r="P1443" s="19"/>
      <c r="Q1443" s="19"/>
      <c r="R1443" s="19"/>
      <c r="S1443" s="19"/>
      <c r="T1443" s="19"/>
      <c r="U1443" s="19"/>
      <c r="V1443" s="19"/>
    </row>
    <row r="1444">
      <c r="A1444" s="25"/>
      <c r="B1444" s="19"/>
      <c r="C1444" s="19"/>
      <c r="D1444" s="19"/>
      <c r="E1444" s="19"/>
      <c r="F1444" s="17" t="str">
        <f>IFERROR(__xludf.DUMMYFUNCTION("""COMPUTED_VALUE"""),"")</f>
        <v/>
      </c>
      <c r="G1444" s="20"/>
      <c r="H1444" s="19"/>
      <c r="I1444" s="19"/>
      <c r="J1444" s="19"/>
      <c r="K1444" s="19"/>
      <c r="L1444" s="19"/>
      <c r="M1444" s="19"/>
      <c r="N1444" s="20" t="s">
        <v>39</v>
      </c>
      <c r="O1444" s="19"/>
      <c r="P1444" s="19"/>
      <c r="Q1444" s="19"/>
      <c r="R1444" s="19"/>
      <c r="S1444" s="19"/>
      <c r="T1444" s="19"/>
      <c r="U1444" s="19"/>
      <c r="V1444" s="19"/>
    </row>
    <row r="1445">
      <c r="A1445" s="25"/>
      <c r="B1445" s="19"/>
      <c r="C1445" s="19"/>
      <c r="D1445" s="19"/>
      <c r="E1445" s="19"/>
      <c r="F1445" s="17" t="str">
        <f>IFERROR(__xludf.DUMMYFUNCTION("""COMPUTED_VALUE"""),"")</f>
        <v/>
      </c>
      <c r="G1445" s="20"/>
      <c r="H1445" s="19"/>
      <c r="I1445" s="19"/>
      <c r="J1445" s="19"/>
      <c r="K1445" s="19"/>
      <c r="L1445" s="19"/>
      <c r="M1445" s="19"/>
      <c r="N1445" s="20" t="s">
        <v>39</v>
      </c>
      <c r="O1445" s="19"/>
      <c r="P1445" s="19"/>
      <c r="Q1445" s="19"/>
      <c r="R1445" s="19"/>
      <c r="S1445" s="19"/>
      <c r="T1445" s="19"/>
      <c r="U1445" s="19"/>
      <c r="V1445" s="19"/>
    </row>
    <row r="1446">
      <c r="A1446" s="25"/>
      <c r="B1446" s="19"/>
      <c r="C1446" s="19"/>
      <c r="D1446" s="19"/>
      <c r="E1446" s="19"/>
      <c r="F1446" s="17" t="str">
        <f>IFERROR(__xludf.DUMMYFUNCTION("""COMPUTED_VALUE"""),"")</f>
        <v/>
      </c>
      <c r="G1446" s="20"/>
      <c r="H1446" s="19"/>
      <c r="I1446" s="19"/>
      <c r="J1446" s="19"/>
      <c r="K1446" s="19"/>
      <c r="L1446" s="19"/>
      <c r="M1446" s="19"/>
      <c r="N1446" s="20" t="s">
        <v>39</v>
      </c>
      <c r="O1446" s="19"/>
      <c r="P1446" s="19"/>
      <c r="Q1446" s="19"/>
      <c r="R1446" s="19"/>
      <c r="S1446" s="19"/>
      <c r="T1446" s="19"/>
      <c r="U1446" s="19"/>
      <c r="V1446" s="19"/>
    </row>
    <row r="1447">
      <c r="A1447" s="25"/>
      <c r="B1447" s="19"/>
      <c r="C1447" s="19"/>
      <c r="D1447" s="19"/>
      <c r="E1447" s="19"/>
      <c r="F1447" s="17" t="str">
        <f>IFERROR(__xludf.DUMMYFUNCTION("""COMPUTED_VALUE"""),"")</f>
        <v/>
      </c>
      <c r="G1447" s="20"/>
      <c r="H1447" s="19"/>
      <c r="I1447" s="19"/>
      <c r="J1447" s="19"/>
      <c r="K1447" s="19"/>
      <c r="L1447" s="19"/>
      <c r="M1447" s="19"/>
      <c r="N1447" s="20" t="s">
        <v>39</v>
      </c>
      <c r="O1447" s="19"/>
      <c r="P1447" s="19"/>
      <c r="Q1447" s="19"/>
      <c r="R1447" s="19"/>
      <c r="S1447" s="19"/>
      <c r="T1447" s="19"/>
      <c r="U1447" s="19"/>
      <c r="V1447" s="19"/>
    </row>
    <row r="1448">
      <c r="A1448" s="25"/>
      <c r="B1448" s="19"/>
      <c r="C1448" s="19"/>
      <c r="D1448" s="19"/>
      <c r="E1448" s="19"/>
      <c r="F1448" s="17" t="str">
        <f>IFERROR(__xludf.DUMMYFUNCTION("""COMPUTED_VALUE"""),"")</f>
        <v/>
      </c>
      <c r="G1448" s="20"/>
      <c r="H1448" s="19"/>
      <c r="I1448" s="19"/>
      <c r="J1448" s="19"/>
      <c r="K1448" s="19"/>
      <c r="L1448" s="19"/>
      <c r="M1448" s="19"/>
      <c r="N1448" s="20" t="s">
        <v>39</v>
      </c>
      <c r="O1448" s="19"/>
      <c r="P1448" s="19"/>
      <c r="Q1448" s="19"/>
      <c r="R1448" s="19"/>
      <c r="S1448" s="19"/>
      <c r="T1448" s="19"/>
      <c r="U1448" s="19"/>
      <c r="V1448" s="19"/>
    </row>
    <row r="1449">
      <c r="A1449" s="25"/>
      <c r="B1449" s="19"/>
      <c r="C1449" s="19"/>
      <c r="D1449" s="19"/>
      <c r="E1449" s="19"/>
      <c r="F1449" s="17" t="str">
        <f>IFERROR(__xludf.DUMMYFUNCTION("""COMPUTED_VALUE"""),"")</f>
        <v/>
      </c>
      <c r="G1449" s="20"/>
      <c r="H1449" s="19"/>
      <c r="I1449" s="19"/>
      <c r="J1449" s="19"/>
      <c r="K1449" s="19"/>
      <c r="L1449" s="19"/>
      <c r="M1449" s="19"/>
      <c r="N1449" s="20" t="s">
        <v>39</v>
      </c>
      <c r="O1449" s="19"/>
      <c r="P1449" s="19"/>
      <c r="Q1449" s="19"/>
      <c r="R1449" s="19"/>
      <c r="S1449" s="19"/>
      <c r="T1449" s="19"/>
      <c r="U1449" s="19"/>
      <c r="V1449" s="19"/>
    </row>
    <row r="1450">
      <c r="A1450" s="25"/>
      <c r="B1450" s="19"/>
      <c r="C1450" s="19"/>
      <c r="D1450" s="19"/>
      <c r="E1450" s="19"/>
      <c r="F1450" s="17" t="str">
        <f>IFERROR(__xludf.DUMMYFUNCTION("""COMPUTED_VALUE"""),"")</f>
        <v/>
      </c>
      <c r="G1450" s="20"/>
      <c r="H1450" s="19"/>
      <c r="I1450" s="19"/>
      <c r="J1450" s="19"/>
      <c r="K1450" s="19"/>
      <c r="L1450" s="19"/>
      <c r="M1450" s="19"/>
      <c r="N1450" s="20" t="s">
        <v>39</v>
      </c>
      <c r="O1450" s="19"/>
      <c r="P1450" s="19"/>
      <c r="Q1450" s="19"/>
      <c r="R1450" s="19"/>
      <c r="S1450" s="19"/>
      <c r="T1450" s="19"/>
      <c r="U1450" s="19"/>
      <c r="V1450" s="19"/>
    </row>
    <row r="1451">
      <c r="A1451" s="25"/>
      <c r="B1451" s="19"/>
      <c r="C1451" s="19"/>
      <c r="D1451" s="19"/>
      <c r="E1451" s="19"/>
      <c r="F1451" s="17" t="str">
        <f>IFERROR(__xludf.DUMMYFUNCTION("""COMPUTED_VALUE"""),"")</f>
        <v/>
      </c>
      <c r="G1451" s="20"/>
      <c r="H1451" s="19"/>
      <c r="I1451" s="19"/>
      <c r="J1451" s="19"/>
      <c r="K1451" s="19"/>
      <c r="L1451" s="19"/>
      <c r="M1451" s="19"/>
      <c r="N1451" s="20" t="s">
        <v>39</v>
      </c>
      <c r="O1451" s="19"/>
      <c r="P1451" s="19"/>
      <c r="Q1451" s="19"/>
      <c r="R1451" s="19"/>
      <c r="S1451" s="19"/>
      <c r="T1451" s="19"/>
      <c r="U1451" s="19"/>
      <c r="V1451" s="19"/>
    </row>
    <row r="1452">
      <c r="A1452" s="25"/>
      <c r="B1452" s="19"/>
      <c r="C1452" s="19"/>
      <c r="D1452" s="19"/>
      <c r="E1452" s="19"/>
      <c r="F1452" s="17" t="str">
        <f>IFERROR(__xludf.DUMMYFUNCTION("""COMPUTED_VALUE"""),"")</f>
        <v/>
      </c>
      <c r="G1452" s="20"/>
      <c r="H1452" s="19"/>
      <c r="I1452" s="19"/>
      <c r="J1452" s="19"/>
      <c r="K1452" s="19"/>
      <c r="L1452" s="19"/>
      <c r="M1452" s="19"/>
      <c r="N1452" s="20" t="s">
        <v>39</v>
      </c>
      <c r="O1452" s="19"/>
      <c r="P1452" s="19"/>
      <c r="Q1452" s="19"/>
      <c r="R1452" s="19"/>
      <c r="S1452" s="19"/>
      <c r="T1452" s="19"/>
      <c r="U1452" s="19"/>
      <c r="V1452" s="19"/>
    </row>
    <row r="1453">
      <c r="A1453" s="25"/>
      <c r="B1453" s="19"/>
      <c r="C1453" s="19"/>
      <c r="D1453" s="19"/>
      <c r="E1453" s="19"/>
      <c r="F1453" s="17" t="str">
        <f>IFERROR(__xludf.DUMMYFUNCTION("""COMPUTED_VALUE"""),"")</f>
        <v/>
      </c>
      <c r="G1453" s="20"/>
      <c r="H1453" s="19"/>
      <c r="I1453" s="19"/>
      <c r="J1453" s="19"/>
      <c r="K1453" s="19"/>
      <c r="L1453" s="19"/>
      <c r="M1453" s="19"/>
      <c r="N1453" s="20" t="s">
        <v>39</v>
      </c>
      <c r="O1453" s="19"/>
      <c r="P1453" s="19"/>
      <c r="Q1453" s="19"/>
      <c r="R1453" s="19"/>
      <c r="S1453" s="19"/>
      <c r="T1453" s="19"/>
      <c r="U1453" s="19"/>
      <c r="V1453" s="19"/>
    </row>
    <row r="1454">
      <c r="A1454" s="25"/>
      <c r="B1454" s="19"/>
      <c r="C1454" s="19"/>
      <c r="D1454" s="19"/>
      <c r="E1454" s="19"/>
      <c r="F1454" s="17" t="str">
        <f>IFERROR(__xludf.DUMMYFUNCTION("""COMPUTED_VALUE"""),"")</f>
        <v/>
      </c>
      <c r="G1454" s="20"/>
      <c r="H1454" s="19"/>
      <c r="I1454" s="19"/>
      <c r="J1454" s="19"/>
      <c r="K1454" s="19"/>
      <c r="L1454" s="19"/>
      <c r="M1454" s="19"/>
      <c r="N1454" s="20" t="s">
        <v>39</v>
      </c>
      <c r="O1454" s="19"/>
      <c r="P1454" s="19"/>
      <c r="Q1454" s="19"/>
      <c r="R1454" s="19"/>
      <c r="S1454" s="19"/>
      <c r="T1454" s="19"/>
      <c r="U1454" s="19"/>
      <c r="V1454" s="19"/>
    </row>
    <row r="1455">
      <c r="A1455" s="25"/>
      <c r="B1455" s="19"/>
      <c r="C1455" s="19"/>
      <c r="D1455" s="19"/>
      <c r="E1455" s="19"/>
      <c r="F1455" s="17" t="str">
        <f>IFERROR(__xludf.DUMMYFUNCTION("""COMPUTED_VALUE"""),"")</f>
        <v/>
      </c>
      <c r="G1455" s="20"/>
      <c r="H1455" s="19"/>
      <c r="I1455" s="19"/>
      <c r="J1455" s="19"/>
      <c r="K1455" s="19"/>
      <c r="L1455" s="19"/>
      <c r="M1455" s="19"/>
      <c r="N1455" s="20" t="s">
        <v>39</v>
      </c>
      <c r="O1455" s="19"/>
      <c r="P1455" s="19"/>
      <c r="Q1455" s="19"/>
      <c r="R1455" s="19"/>
      <c r="S1455" s="19"/>
      <c r="T1455" s="19"/>
      <c r="U1455" s="19"/>
      <c r="V1455" s="19"/>
    </row>
    <row r="1456">
      <c r="A1456" s="25"/>
      <c r="B1456" s="19"/>
      <c r="C1456" s="19"/>
      <c r="D1456" s="19"/>
      <c r="E1456" s="19"/>
      <c r="F1456" s="17" t="str">
        <f>IFERROR(__xludf.DUMMYFUNCTION("""COMPUTED_VALUE"""),"")</f>
        <v/>
      </c>
      <c r="G1456" s="20"/>
      <c r="H1456" s="19"/>
      <c r="I1456" s="19"/>
      <c r="J1456" s="19"/>
      <c r="K1456" s="19"/>
      <c r="L1456" s="19"/>
      <c r="M1456" s="19"/>
      <c r="N1456" s="20" t="s">
        <v>39</v>
      </c>
      <c r="O1456" s="19"/>
      <c r="P1456" s="19"/>
      <c r="Q1456" s="19"/>
      <c r="R1456" s="19"/>
      <c r="S1456" s="19"/>
      <c r="T1456" s="19"/>
      <c r="U1456" s="19"/>
      <c r="V1456" s="19"/>
    </row>
    <row r="1457">
      <c r="A1457" s="25"/>
      <c r="B1457" s="19"/>
      <c r="C1457" s="19"/>
      <c r="D1457" s="19"/>
      <c r="E1457" s="19"/>
      <c r="F1457" s="17" t="str">
        <f>IFERROR(__xludf.DUMMYFUNCTION("""COMPUTED_VALUE"""),"")</f>
        <v/>
      </c>
      <c r="G1457" s="20"/>
      <c r="H1457" s="19"/>
      <c r="I1457" s="19"/>
      <c r="J1457" s="19"/>
      <c r="K1457" s="19"/>
      <c r="L1457" s="19"/>
      <c r="M1457" s="19"/>
      <c r="N1457" s="20" t="s">
        <v>39</v>
      </c>
      <c r="O1457" s="19"/>
      <c r="P1457" s="19"/>
      <c r="Q1457" s="19"/>
      <c r="R1457" s="19"/>
      <c r="S1457" s="19"/>
      <c r="T1457" s="19"/>
      <c r="U1457" s="19"/>
      <c r="V1457" s="19"/>
    </row>
    <row r="1458">
      <c r="A1458" s="25"/>
      <c r="B1458" s="19"/>
      <c r="C1458" s="19"/>
      <c r="D1458" s="19"/>
      <c r="E1458" s="19"/>
      <c r="F1458" s="17" t="str">
        <f>IFERROR(__xludf.DUMMYFUNCTION("""COMPUTED_VALUE"""),"")</f>
        <v/>
      </c>
      <c r="G1458" s="20"/>
      <c r="H1458" s="19"/>
      <c r="I1458" s="19"/>
      <c r="J1458" s="19"/>
      <c r="K1458" s="19"/>
      <c r="L1458" s="19"/>
      <c r="M1458" s="19"/>
      <c r="N1458" s="20" t="s">
        <v>39</v>
      </c>
      <c r="O1458" s="19"/>
      <c r="P1458" s="19"/>
      <c r="Q1458" s="19"/>
      <c r="R1458" s="19"/>
      <c r="S1458" s="19"/>
      <c r="T1458" s="19"/>
      <c r="U1458" s="19"/>
      <c r="V1458" s="19"/>
    </row>
    <row r="1459">
      <c r="A1459" s="25"/>
      <c r="B1459" s="19"/>
      <c r="C1459" s="19"/>
      <c r="D1459" s="19"/>
      <c r="E1459" s="19"/>
      <c r="F1459" s="17" t="str">
        <f>IFERROR(__xludf.DUMMYFUNCTION("""COMPUTED_VALUE"""),"")</f>
        <v/>
      </c>
      <c r="G1459" s="20"/>
      <c r="H1459" s="19"/>
      <c r="I1459" s="19"/>
      <c r="J1459" s="19"/>
      <c r="K1459" s="19"/>
      <c r="L1459" s="19"/>
      <c r="M1459" s="19"/>
      <c r="N1459" s="20" t="s">
        <v>39</v>
      </c>
      <c r="O1459" s="19"/>
      <c r="P1459" s="19"/>
      <c r="Q1459" s="19"/>
      <c r="R1459" s="19"/>
      <c r="S1459" s="19"/>
      <c r="T1459" s="19"/>
      <c r="U1459" s="19"/>
      <c r="V1459" s="19"/>
    </row>
    <row r="1460">
      <c r="A1460" s="25"/>
      <c r="B1460" s="19"/>
      <c r="C1460" s="19"/>
      <c r="D1460" s="19"/>
      <c r="E1460" s="19"/>
      <c r="F1460" s="17" t="str">
        <f>IFERROR(__xludf.DUMMYFUNCTION("""COMPUTED_VALUE"""),"")</f>
        <v/>
      </c>
      <c r="G1460" s="20"/>
      <c r="H1460" s="19"/>
      <c r="I1460" s="19"/>
      <c r="J1460" s="19"/>
      <c r="K1460" s="19"/>
      <c r="L1460" s="19"/>
      <c r="M1460" s="19"/>
      <c r="N1460" s="20" t="s">
        <v>39</v>
      </c>
      <c r="O1460" s="19"/>
      <c r="P1460" s="19"/>
      <c r="Q1460" s="19"/>
      <c r="R1460" s="19"/>
      <c r="S1460" s="19"/>
      <c r="T1460" s="19"/>
      <c r="U1460" s="19"/>
      <c r="V1460" s="19"/>
    </row>
    <row r="1461">
      <c r="A1461" s="25"/>
      <c r="B1461" s="19"/>
      <c r="C1461" s="19"/>
      <c r="D1461" s="19"/>
      <c r="E1461" s="19"/>
      <c r="F1461" s="17" t="str">
        <f>IFERROR(__xludf.DUMMYFUNCTION("""COMPUTED_VALUE"""),"")</f>
        <v/>
      </c>
      <c r="G1461" s="20"/>
      <c r="H1461" s="19"/>
      <c r="I1461" s="19"/>
      <c r="J1461" s="19"/>
      <c r="K1461" s="19"/>
      <c r="L1461" s="19"/>
      <c r="M1461" s="19"/>
      <c r="N1461" s="20" t="s">
        <v>39</v>
      </c>
      <c r="O1461" s="19"/>
      <c r="P1461" s="19"/>
      <c r="Q1461" s="19"/>
      <c r="R1461" s="19"/>
      <c r="S1461" s="19"/>
      <c r="T1461" s="19"/>
      <c r="U1461" s="19"/>
      <c r="V1461" s="19"/>
    </row>
    <row r="1462">
      <c r="A1462" s="25"/>
      <c r="B1462" s="19"/>
      <c r="C1462" s="19"/>
      <c r="D1462" s="19"/>
      <c r="E1462" s="19"/>
      <c r="F1462" s="17" t="str">
        <f>IFERROR(__xludf.DUMMYFUNCTION("""COMPUTED_VALUE"""),"")</f>
        <v/>
      </c>
      <c r="G1462" s="20"/>
      <c r="H1462" s="19"/>
      <c r="I1462" s="19"/>
      <c r="J1462" s="19"/>
      <c r="K1462" s="19"/>
      <c r="L1462" s="19"/>
      <c r="M1462" s="19"/>
      <c r="N1462" s="20" t="s">
        <v>39</v>
      </c>
      <c r="O1462" s="19"/>
      <c r="P1462" s="19"/>
      <c r="Q1462" s="19"/>
      <c r="R1462" s="19"/>
      <c r="S1462" s="19"/>
      <c r="T1462" s="19"/>
      <c r="U1462" s="19"/>
      <c r="V1462" s="19"/>
    </row>
    <row r="1463">
      <c r="A1463" s="25"/>
      <c r="B1463" s="19"/>
      <c r="C1463" s="19"/>
      <c r="D1463" s="19"/>
      <c r="E1463" s="19"/>
      <c r="F1463" s="17" t="str">
        <f>IFERROR(__xludf.DUMMYFUNCTION("""COMPUTED_VALUE"""),"")</f>
        <v/>
      </c>
      <c r="G1463" s="20"/>
      <c r="H1463" s="19"/>
      <c r="I1463" s="19"/>
      <c r="J1463" s="19"/>
      <c r="K1463" s="19"/>
      <c r="L1463" s="19"/>
      <c r="M1463" s="19"/>
      <c r="N1463" s="20" t="s">
        <v>39</v>
      </c>
      <c r="O1463" s="19"/>
      <c r="P1463" s="19"/>
      <c r="Q1463" s="19"/>
      <c r="R1463" s="19"/>
      <c r="S1463" s="19"/>
      <c r="T1463" s="19"/>
      <c r="U1463" s="19"/>
      <c r="V1463" s="19"/>
    </row>
    <row r="1464">
      <c r="A1464" s="25"/>
      <c r="B1464" s="19"/>
      <c r="C1464" s="19"/>
      <c r="D1464" s="19"/>
      <c r="E1464" s="19"/>
      <c r="F1464" s="17" t="str">
        <f>IFERROR(__xludf.DUMMYFUNCTION("""COMPUTED_VALUE"""),"")</f>
        <v/>
      </c>
      <c r="G1464" s="20"/>
      <c r="H1464" s="19"/>
      <c r="I1464" s="19"/>
      <c r="J1464" s="19"/>
      <c r="K1464" s="19"/>
      <c r="L1464" s="19"/>
      <c r="M1464" s="19"/>
      <c r="N1464" s="20" t="s">
        <v>39</v>
      </c>
      <c r="O1464" s="19"/>
      <c r="P1464" s="19"/>
      <c r="Q1464" s="19"/>
      <c r="R1464" s="19"/>
      <c r="S1464" s="19"/>
      <c r="T1464" s="19"/>
      <c r="U1464" s="19"/>
      <c r="V1464" s="19"/>
    </row>
    <row r="1465">
      <c r="A1465" s="25"/>
      <c r="B1465" s="19"/>
      <c r="C1465" s="19"/>
      <c r="D1465" s="19"/>
      <c r="E1465" s="19"/>
      <c r="F1465" s="17" t="str">
        <f>IFERROR(__xludf.DUMMYFUNCTION("""COMPUTED_VALUE"""),"")</f>
        <v/>
      </c>
      <c r="G1465" s="20"/>
      <c r="H1465" s="19"/>
      <c r="I1465" s="19"/>
      <c r="J1465" s="19"/>
      <c r="K1465" s="19"/>
      <c r="L1465" s="19"/>
      <c r="M1465" s="19"/>
      <c r="N1465" s="20" t="s">
        <v>39</v>
      </c>
      <c r="O1465" s="19"/>
      <c r="P1465" s="19"/>
      <c r="Q1465" s="19"/>
      <c r="R1465" s="19"/>
      <c r="S1465" s="19"/>
      <c r="T1465" s="19"/>
      <c r="U1465" s="19"/>
      <c r="V1465" s="19"/>
    </row>
    <row r="1466">
      <c r="A1466" s="25"/>
      <c r="B1466" s="19"/>
      <c r="C1466" s="19"/>
      <c r="D1466" s="19"/>
      <c r="E1466" s="19"/>
      <c r="F1466" s="17" t="str">
        <f>IFERROR(__xludf.DUMMYFUNCTION("""COMPUTED_VALUE"""),"")</f>
        <v/>
      </c>
      <c r="G1466" s="20"/>
      <c r="H1466" s="19"/>
      <c r="I1466" s="19"/>
      <c r="J1466" s="19"/>
      <c r="K1466" s="19"/>
      <c r="L1466" s="19"/>
      <c r="M1466" s="19"/>
      <c r="N1466" s="20" t="s">
        <v>39</v>
      </c>
      <c r="O1466" s="19"/>
      <c r="P1466" s="19"/>
      <c r="Q1466" s="19"/>
      <c r="R1466" s="19"/>
      <c r="S1466" s="19"/>
      <c r="T1466" s="19"/>
      <c r="U1466" s="19"/>
      <c r="V1466" s="19"/>
    </row>
    <row r="1467">
      <c r="A1467" s="25"/>
      <c r="B1467" s="19"/>
      <c r="C1467" s="19"/>
      <c r="D1467" s="19"/>
      <c r="E1467" s="19"/>
      <c r="F1467" s="17" t="str">
        <f>IFERROR(__xludf.DUMMYFUNCTION("""COMPUTED_VALUE"""),"")</f>
        <v/>
      </c>
      <c r="G1467" s="20"/>
      <c r="H1467" s="19"/>
      <c r="I1467" s="19"/>
      <c r="J1467" s="19"/>
      <c r="K1467" s="19"/>
      <c r="L1467" s="19"/>
      <c r="M1467" s="19"/>
      <c r="N1467" s="20" t="s">
        <v>39</v>
      </c>
      <c r="O1467" s="19"/>
      <c r="P1467" s="19"/>
      <c r="Q1467" s="19"/>
      <c r="R1467" s="19"/>
      <c r="S1467" s="19"/>
      <c r="T1467" s="19"/>
      <c r="U1467" s="19"/>
      <c r="V1467" s="19"/>
    </row>
    <row r="1468">
      <c r="A1468" s="25"/>
      <c r="B1468" s="19"/>
      <c r="C1468" s="19"/>
      <c r="D1468" s="19"/>
      <c r="E1468" s="19"/>
      <c r="F1468" s="17" t="str">
        <f>IFERROR(__xludf.DUMMYFUNCTION("""COMPUTED_VALUE"""),"")</f>
        <v/>
      </c>
      <c r="G1468" s="20"/>
      <c r="H1468" s="19"/>
      <c r="I1468" s="19"/>
      <c r="J1468" s="19"/>
      <c r="K1468" s="19"/>
      <c r="L1468" s="19"/>
      <c r="M1468" s="19"/>
      <c r="N1468" s="20" t="s">
        <v>39</v>
      </c>
      <c r="O1468" s="19"/>
      <c r="P1468" s="19"/>
      <c r="Q1468" s="19"/>
      <c r="R1468" s="19"/>
      <c r="S1468" s="19"/>
      <c r="T1468" s="19"/>
      <c r="U1468" s="19"/>
      <c r="V1468" s="19"/>
    </row>
    <row r="1469">
      <c r="A1469" s="25"/>
      <c r="B1469" s="19"/>
      <c r="C1469" s="19"/>
      <c r="D1469" s="19"/>
      <c r="E1469" s="19"/>
      <c r="F1469" s="17" t="str">
        <f>IFERROR(__xludf.DUMMYFUNCTION("""COMPUTED_VALUE"""),"")</f>
        <v/>
      </c>
      <c r="G1469" s="20"/>
      <c r="H1469" s="19"/>
      <c r="I1469" s="19"/>
      <c r="J1469" s="19"/>
      <c r="K1469" s="19"/>
      <c r="L1469" s="19"/>
      <c r="M1469" s="19"/>
      <c r="N1469" s="20" t="s">
        <v>39</v>
      </c>
      <c r="O1469" s="19"/>
      <c r="P1469" s="19"/>
      <c r="Q1469" s="19"/>
      <c r="R1469" s="19"/>
      <c r="S1469" s="19"/>
      <c r="T1469" s="19"/>
      <c r="U1469" s="19"/>
      <c r="V1469" s="19"/>
    </row>
    <row r="1470">
      <c r="A1470" s="25"/>
      <c r="B1470" s="19"/>
      <c r="C1470" s="19"/>
      <c r="D1470" s="19"/>
      <c r="E1470" s="19"/>
      <c r="F1470" s="17" t="str">
        <f>IFERROR(__xludf.DUMMYFUNCTION("""COMPUTED_VALUE"""),"")</f>
        <v/>
      </c>
      <c r="G1470" s="20"/>
      <c r="H1470" s="19"/>
      <c r="I1470" s="19"/>
      <c r="J1470" s="19"/>
      <c r="K1470" s="19"/>
      <c r="L1470" s="19"/>
      <c r="M1470" s="19"/>
      <c r="N1470" s="20" t="s">
        <v>39</v>
      </c>
      <c r="O1470" s="19"/>
      <c r="P1470" s="19"/>
      <c r="Q1470" s="19"/>
      <c r="R1470" s="19"/>
      <c r="S1470" s="19"/>
      <c r="T1470" s="19"/>
      <c r="U1470" s="19"/>
      <c r="V1470" s="19"/>
    </row>
    <row r="1471">
      <c r="A1471" s="25"/>
      <c r="B1471" s="19"/>
      <c r="C1471" s="19"/>
      <c r="D1471" s="19"/>
      <c r="E1471" s="19"/>
      <c r="F1471" s="17" t="str">
        <f>IFERROR(__xludf.DUMMYFUNCTION("""COMPUTED_VALUE"""),"")</f>
        <v/>
      </c>
      <c r="G1471" s="20"/>
      <c r="H1471" s="19"/>
      <c r="I1471" s="19"/>
      <c r="J1471" s="19"/>
      <c r="K1471" s="19"/>
      <c r="L1471" s="19"/>
      <c r="M1471" s="19"/>
      <c r="N1471" s="20" t="s">
        <v>39</v>
      </c>
      <c r="O1471" s="19"/>
      <c r="P1471" s="19"/>
      <c r="Q1471" s="19"/>
      <c r="R1471" s="19"/>
      <c r="S1471" s="19"/>
      <c r="T1471" s="19"/>
      <c r="U1471" s="19"/>
      <c r="V1471" s="19"/>
    </row>
    <row r="1472">
      <c r="A1472" s="25"/>
      <c r="B1472" s="19"/>
      <c r="C1472" s="19"/>
      <c r="D1472" s="19"/>
      <c r="E1472" s="19"/>
      <c r="F1472" s="17" t="str">
        <f>IFERROR(__xludf.DUMMYFUNCTION("""COMPUTED_VALUE"""),"")</f>
        <v/>
      </c>
      <c r="G1472" s="20"/>
      <c r="H1472" s="19"/>
      <c r="I1472" s="19"/>
      <c r="J1472" s="19"/>
      <c r="K1472" s="19"/>
      <c r="L1472" s="19"/>
      <c r="M1472" s="19"/>
      <c r="N1472" s="20" t="s">
        <v>39</v>
      </c>
      <c r="O1472" s="19"/>
      <c r="P1472" s="19"/>
      <c r="Q1472" s="19"/>
      <c r="R1472" s="19"/>
      <c r="S1472" s="19"/>
      <c r="T1472" s="19"/>
      <c r="U1472" s="19"/>
      <c r="V1472" s="19"/>
    </row>
    <row r="1473">
      <c r="A1473" s="25"/>
      <c r="B1473" s="19"/>
      <c r="C1473" s="19"/>
      <c r="D1473" s="19"/>
      <c r="E1473" s="19"/>
      <c r="F1473" s="17" t="str">
        <f>IFERROR(__xludf.DUMMYFUNCTION("""COMPUTED_VALUE"""),"")</f>
        <v/>
      </c>
      <c r="G1473" s="20"/>
      <c r="H1473" s="19"/>
      <c r="I1473" s="19"/>
      <c r="J1473" s="19"/>
      <c r="K1473" s="19"/>
      <c r="L1473" s="19"/>
      <c r="M1473" s="19"/>
      <c r="N1473" s="20" t="s">
        <v>39</v>
      </c>
      <c r="O1473" s="19"/>
      <c r="P1473" s="19"/>
      <c r="Q1473" s="19"/>
      <c r="R1473" s="19"/>
      <c r="S1473" s="19"/>
      <c r="T1473" s="19"/>
      <c r="U1473" s="19"/>
      <c r="V1473" s="19"/>
    </row>
    <row r="1474">
      <c r="A1474" s="25"/>
      <c r="B1474" s="19"/>
      <c r="C1474" s="19"/>
      <c r="D1474" s="19"/>
      <c r="E1474" s="19"/>
      <c r="F1474" s="17" t="str">
        <f>IFERROR(__xludf.DUMMYFUNCTION("""COMPUTED_VALUE"""),"")</f>
        <v/>
      </c>
      <c r="G1474" s="20"/>
      <c r="H1474" s="19"/>
      <c r="I1474" s="19"/>
      <c r="J1474" s="19"/>
      <c r="K1474" s="19"/>
      <c r="L1474" s="19"/>
      <c r="M1474" s="19"/>
      <c r="N1474" s="20" t="s">
        <v>39</v>
      </c>
      <c r="O1474" s="19"/>
      <c r="P1474" s="19"/>
      <c r="Q1474" s="19"/>
      <c r="R1474" s="19"/>
      <c r="S1474" s="19"/>
      <c r="T1474" s="19"/>
      <c r="U1474" s="19"/>
      <c r="V1474" s="19"/>
    </row>
    <row r="1475">
      <c r="A1475" s="25"/>
      <c r="B1475" s="19"/>
      <c r="C1475" s="19"/>
      <c r="D1475" s="19"/>
      <c r="E1475" s="19"/>
      <c r="F1475" s="17" t="str">
        <f>IFERROR(__xludf.DUMMYFUNCTION("""COMPUTED_VALUE"""),"")</f>
        <v/>
      </c>
      <c r="G1475" s="20"/>
      <c r="H1475" s="19"/>
      <c r="I1475" s="19"/>
      <c r="J1475" s="19"/>
      <c r="K1475" s="19"/>
      <c r="L1475" s="19"/>
      <c r="M1475" s="19"/>
      <c r="N1475" s="20" t="s">
        <v>39</v>
      </c>
      <c r="O1475" s="19"/>
      <c r="P1475" s="19"/>
      <c r="Q1475" s="19"/>
      <c r="R1475" s="19"/>
      <c r="S1475" s="19"/>
      <c r="T1475" s="19"/>
      <c r="U1475" s="19"/>
      <c r="V1475" s="19"/>
    </row>
    <row r="1476">
      <c r="A1476" s="25"/>
      <c r="B1476" s="19"/>
      <c r="C1476" s="19"/>
      <c r="D1476" s="19"/>
      <c r="E1476" s="19"/>
      <c r="F1476" s="17" t="str">
        <f>IFERROR(__xludf.DUMMYFUNCTION("""COMPUTED_VALUE"""),"")</f>
        <v/>
      </c>
      <c r="G1476" s="20"/>
      <c r="H1476" s="19"/>
      <c r="I1476" s="19"/>
      <c r="J1476" s="19"/>
      <c r="K1476" s="19"/>
      <c r="L1476" s="19"/>
      <c r="M1476" s="19"/>
      <c r="N1476" s="20" t="s">
        <v>39</v>
      </c>
      <c r="O1476" s="19"/>
      <c r="P1476" s="19"/>
      <c r="Q1476" s="19"/>
      <c r="R1476" s="19"/>
      <c r="S1476" s="19"/>
      <c r="T1476" s="19"/>
      <c r="U1476" s="19"/>
      <c r="V1476" s="19"/>
    </row>
    <row r="1477">
      <c r="A1477" s="25"/>
      <c r="B1477" s="19"/>
      <c r="C1477" s="19"/>
      <c r="D1477" s="19"/>
      <c r="E1477" s="19"/>
      <c r="F1477" s="17" t="str">
        <f>IFERROR(__xludf.DUMMYFUNCTION("""COMPUTED_VALUE"""),"")</f>
        <v/>
      </c>
      <c r="G1477" s="20"/>
      <c r="H1477" s="19"/>
      <c r="I1477" s="19"/>
      <c r="J1477" s="19"/>
      <c r="K1477" s="19"/>
      <c r="L1477" s="19"/>
      <c r="M1477" s="19"/>
      <c r="N1477" s="20" t="s">
        <v>39</v>
      </c>
      <c r="O1477" s="19"/>
      <c r="P1477" s="19"/>
      <c r="Q1477" s="19"/>
      <c r="R1477" s="19"/>
      <c r="S1477" s="19"/>
      <c r="T1477" s="19"/>
      <c r="U1477" s="19"/>
      <c r="V1477" s="19"/>
    </row>
    <row r="1478">
      <c r="A1478" s="25"/>
      <c r="B1478" s="19"/>
      <c r="C1478" s="19"/>
      <c r="D1478" s="19"/>
      <c r="E1478" s="19"/>
      <c r="F1478" s="17" t="str">
        <f>IFERROR(__xludf.DUMMYFUNCTION("""COMPUTED_VALUE"""),"")</f>
        <v/>
      </c>
      <c r="G1478" s="20"/>
      <c r="H1478" s="19"/>
      <c r="I1478" s="19"/>
      <c r="J1478" s="19"/>
      <c r="K1478" s="19"/>
      <c r="L1478" s="19"/>
      <c r="M1478" s="19"/>
      <c r="N1478" s="20" t="s">
        <v>39</v>
      </c>
      <c r="O1478" s="19"/>
      <c r="P1478" s="19"/>
      <c r="Q1478" s="19"/>
      <c r="R1478" s="19"/>
      <c r="S1478" s="19"/>
      <c r="T1478" s="19"/>
      <c r="U1478" s="19"/>
      <c r="V1478" s="19"/>
    </row>
    <row r="1479">
      <c r="A1479" s="25"/>
      <c r="B1479" s="19"/>
      <c r="C1479" s="19"/>
      <c r="D1479" s="19"/>
      <c r="E1479" s="19"/>
      <c r="F1479" s="17" t="str">
        <f>IFERROR(__xludf.DUMMYFUNCTION("""COMPUTED_VALUE"""),"")</f>
        <v/>
      </c>
      <c r="G1479" s="20"/>
      <c r="H1479" s="19"/>
      <c r="I1479" s="19"/>
      <c r="J1479" s="19"/>
      <c r="K1479" s="19"/>
      <c r="L1479" s="19"/>
      <c r="M1479" s="19"/>
      <c r="N1479" s="20" t="s">
        <v>39</v>
      </c>
      <c r="O1479" s="19"/>
      <c r="P1479" s="19"/>
      <c r="Q1479" s="19"/>
      <c r="R1479" s="19"/>
      <c r="S1479" s="19"/>
      <c r="T1479" s="19"/>
      <c r="U1479" s="19"/>
      <c r="V1479" s="19"/>
    </row>
    <row r="1480">
      <c r="A1480" s="25"/>
      <c r="B1480" s="19"/>
      <c r="C1480" s="19"/>
      <c r="D1480" s="19"/>
      <c r="E1480" s="19"/>
      <c r="F1480" s="17" t="str">
        <f>IFERROR(__xludf.DUMMYFUNCTION("""COMPUTED_VALUE"""),"")</f>
        <v/>
      </c>
      <c r="G1480" s="20"/>
      <c r="H1480" s="19"/>
      <c r="I1480" s="19"/>
      <c r="J1480" s="19"/>
      <c r="K1480" s="19"/>
      <c r="L1480" s="19"/>
      <c r="M1480" s="19"/>
      <c r="N1480" s="20" t="s">
        <v>39</v>
      </c>
      <c r="O1480" s="19"/>
      <c r="P1480" s="19"/>
      <c r="Q1480" s="19"/>
      <c r="R1480" s="19"/>
      <c r="S1480" s="19"/>
      <c r="T1480" s="19"/>
      <c r="U1480" s="19"/>
      <c r="V1480" s="19"/>
    </row>
    <row r="1481">
      <c r="A1481" s="25"/>
      <c r="B1481" s="19"/>
      <c r="C1481" s="19"/>
      <c r="D1481" s="19"/>
      <c r="E1481" s="19"/>
      <c r="F1481" s="17" t="str">
        <f>IFERROR(__xludf.DUMMYFUNCTION("""COMPUTED_VALUE"""),"")</f>
        <v/>
      </c>
      <c r="G1481" s="20"/>
      <c r="H1481" s="19"/>
      <c r="I1481" s="19"/>
      <c r="J1481" s="19"/>
      <c r="K1481" s="19"/>
      <c r="L1481" s="19"/>
      <c r="M1481" s="19"/>
      <c r="N1481" s="20" t="s">
        <v>39</v>
      </c>
      <c r="O1481" s="19"/>
      <c r="P1481" s="19"/>
      <c r="Q1481" s="19"/>
      <c r="R1481" s="19"/>
      <c r="S1481" s="19"/>
      <c r="T1481" s="19"/>
      <c r="U1481" s="19"/>
      <c r="V1481" s="19"/>
    </row>
    <row r="1482">
      <c r="A1482" s="25"/>
      <c r="B1482" s="19"/>
      <c r="C1482" s="19"/>
      <c r="D1482" s="19"/>
      <c r="E1482" s="19"/>
      <c r="F1482" s="17" t="str">
        <f>IFERROR(__xludf.DUMMYFUNCTION("""COMPUTED_VALUE"""),"")</f>
        <v/>
      </c>
      <c r="G1482" s="20"/>
      <c r="H1482" s="19"/>
      <c r="I1482" s="19"/>
      <c r="J1482" s="19"/>
      <c r="K1482" s="19"/>
      <c r="L1482" s="19"/>
      <c r="M1482" s="19"/>
      <c r="N1482" s="20" t="s">
        <v>39</v>
      </c>
      <c r="O1482" s="19"/>
      <c r="P1482" s="19"/>
      <c r="Q1482" s="19"/>
      <c r="R1482" s="19"/>
      <c r="S1482" s="19"/>
      <c r="T1482" s="19"/>
      <c r="U1482" s="19"/>
      <c r="V1482" s="19"/>
    </row>
    <row r="1483">
      <c r="A1483" s="25"/>
      <c r="B1483" s="19"/>
      <c r="C1483" s="19"/>
      <c r="D1483" s="19"/>
      <c r="E1483" s="19"/>
      <c r="F1483" s="17" t="str">
        <f>IFERROR(__xludf.DUMMYFUNCTION("""COMPUTED_VALUE"""),"")</f>
        <v/>
      </c>
      <c r="G1483" s="20"/>
      <c r="H1483" s="19"/>
      <c r="I1483" s="19"/>
      <c r="J1483" s="19"/>
      <c r="K1483" s="19"/>
      <c r="L1483" s="19"/>
      <c r="M1483" s="19"/>
      <c r="N1483" s="20" t="s">
        <v>39</v>
      </c>
      <c r="O1483" s="19"/>
      <c r="P1483" s="19"/>
      <c r="Q1483" s="19"/>
      <c r="R1483" s="19"/>
      <c r="S1483" s="19"/>
      <c r="T1483" s="19"/>
      <c r="U1483" s="19"/>
      <c r="V1483" s="19"/>
    </row>
    <row r="1484">
      <c r="A1484" s="25"/>
      <c r="B1484" s="19"/>
      <c r="C1484" s="19"/>
      <c r="D1484" s="19"/>
      <c r="E1484" s="19"/>
      <c r="F1484" s="17" t="str">
        <f>IFERROR(__xludf.DUMMYFUNCTION("""COMPUTED_VALUE"""),"")</f>
        <v/>
      </c>
      <c r="G1484" s="20"/>
      <c r="H1484" s="19"/>
      <c r="I1484" s="19"/>
      <c r="J1484" s="19"/>
      <c r="K1484" s="19"/>
      <c r="L1484" s="19"/>
      <c r="M1484" s="19"/>
      <c r="N1484" s="20" t="s">
        <v>39</v>
      </c>
      <c r="O1484" s="19"/>
      <c r="P1484" s="19"/>
      <c r="Q1484" s="19"/>
      <c r="R1484" s="19"/>
      <c r="S1484" s="19"/>
      <c r="T1484" s="19"/>
      <c r="U1484" s="19"/>
      <c r="V1484" s="19"/>
    </row>
    <row r="1485">
      <c r="A1485" s="25"/>
      <c r="B1485" s="19"/>
      <c r="C1485" s="19"/>
      <c r="D1485" s="19"/>
      <c r="E1485" s="19"/>
      <c r="F1485" s="17" t="str">
        <f>IFERROR(__xludf.DUMMYFUNCTION("""COMPUTED_VALUE"""),"")</f>
        <v/>
      </c>
      <c r="G1485" s="20"/>
      <c r="H1485" s="19"/>
      <c r="I1485" s="19"/>
      <c r="J1485" s="19"/>
      <c r="K1485" s="19"/>
      <c r="L1485" s="19"/>
      <c r="M1485" s="19"/>
      <c r="N1485" s="20" t="s">
        <v>39</v>
      </c>
      <c r="O1485" s="19"/>
      <c r="P1485" s="19"/>
      <c r="Q1485" s="19"/>
      <c r="R1485" s="19"/>
      <c r="S1485" s="19"/>
      <c r="T1485" s="19"/>
      <c r="U1485" s="19"/>
      <c r="V1485" s="19"/>
    </row>
    <row r="1486">
      <c r="A1486" s="25"/>
      <c r="B1486" s="19"/>
      <c r="C1486" s="19"/>
      <c r="D1486" s="19"/>
      <c r="E1486" s="19"/>
      <c r="F1486" s="17" t="str">
        <f>IFERROR(__xludf.DUMMYFUNCTION("""COMPUTED_VALUE"""),"")</f>
        <v/>
      </c>
      <c r="G1486" s="20"/>
      <c r="H1486" s="19"/>
      <c r="I1486" s="19"/>
      <c r="J1486" s="19"/>
      <c r="K1486" s="19"/>
      <c r="L1486" s="19"/>
      <c r="M1486" s="19"/>
      <c r="N1486" s="20" t="s">
        <v>39</v>
      </c>
      <c r="O1486" s="19"/>
      <c r="P1486" s="19"/>
      <c r="Q1486" s="19"/>
      <c r="R1486" s="19"/>
      <c r="S1486" s="19"/>
      <c r="T1486" s="19"/>
      <c r="U1486" s="19"/>
      <c r="V1486" s="19"/>
    </row>
    <row r="1487">
      <c r="A1487" s="25"/>
      <c r="B1487" s="19"/>
      <c r="C1487" s="19"/>
      <c r="D1487" s="19"/>
      <c r="E1487" s="19"/>
      <c r="F1487" s="17" t="str">
        <f>IFERROR(__xludf.DUMMYFUNCTION("""COMPUTED_VALUE"""),"")</f>
        <v/>
      </c>
      <c r="G1487" s="20"/>
      <c r="H1487" s="19"/>
      <c r="I1487" s="19"/>
      <c r="J1487" s="19"/>
      <c r="K1487" s="19"/>
      <c r="L1487" s="19"/>
      <c r="M1487" s="19"/>
      <c r="N1487" s="20" t="s">
        <v>39</v>
      </c>
      <c r="O1487" s="19"/>
      <c r="P1487" s="19"/>
      <c r="Q1487" s="19"/>
      <c r="R1487" s="19"/>
      <c r="S1487" s="19"/>
      <c r="T1487" s="19"/>
      <c r="U1487" s="19"/>
      <c r="V1487" s="19"/>
    </row>
    <row r="1488">
      <c r="A1488" s="25"/>
      <c r="B1488" s="19"/>
      <c r="C1488" s="19"/>
      <c r="D1488" s="19"/>
      <c r="E1488" s="19"/>
      <c r="F1488" s="17" t="str">
        <f>IFERROR(__xludf.DUMMYFUNCTION("""COMPUTED_VALUE"""),"")</f>
        <v/>
      </c>
      <c r="G1488" s="20"/>
      <c r="H1488" s="19"/>
      <c r="I1488" s="19"/>
      <c r="J1488" s="19"/>
      <c r="K1488" s="19"/>
      <c r="L1488" s="19"/>
      <c r="M1488" s="19"/>
      <c r="N1488" s="20" t="s">
        <v>39</v>
      </c>
      <c r="O1488" s="19"/>
      <c r="P1488" s="19"/>
      <c r="Q1488" s="19"/>
      <c r="R1488" s="19"/>
      <c r="S1488" s="19"/>
      <c r="T1488" s="19"/>
      <c r="U1488" s="19"/>
      <c r="V1488" s="19"/>
    </row>
    <row r="1489">
      <c r="A1489" s="25"/>
      <c r="B1489" s="19"/>
      <c r="C1489" s="19"/>
      <c r="D1489" s="19"/>
      <c r="E1489" s="19"/>
      <c r="F1489" s="17" t="str">
        <f>IFERROR(__xludf.DUMMYFUNCTION("""COMPUTED_VALUE"""),"")</f>
        <v/>
      </c>
      <c r="G1489" s="20"/>
      <c r="H1489" s="19"/>
      <c r="I1489" s="19"/>
      <c r="J1489" s="19"/>
      <c r="K1489" s="19"/>
      <c r="L1489" s="19"/>
      <c r="M1489" s="19"/>
      <c r="N1489" s="20" t="s">
        <v>39</v>
      </c>
      <c r="O1489" s="19"/>
      <c r="P1489" s="19"/>
      <c r="Q1489" s="19"/>
      <c r="R1489" s="19"/>
      <c r="S1489" s="19"/>
      <c r="T1489" s="19"/>
      <c r="U1489" s="19"/>
      <c r="V1489" s="19"/>
    </row>
    <row r="1490">
      <c r="A1490" s="25"/>
      <c r="B1490" s="19"/>
      <c r="C1490" s="19"/>
      <c r="D1490" s="19"/>
      <c r="E1490" s="19"/>
      <c r="F1490" s="17" t="str">
        <f>IFERROR(__xludf.DUMMYFUNCTION("""COMPUTED_VALUE"""),"")</f>
        <v/>
      </c>
      <c r="G1490" s="20"/>
      <c r="H1490" s="19"/>
      <c r="I1490" s="19"/>
      <c r="J1490" s="19"/>
      <c r="K1490" s="19"/>
      <c r="L1490" s="19"/>
      <c r="M1490" s="19"/>
      <c r="N1490" s="20" t="s">
        <v>39</v>
      </c>
      <c r="O1490" s="19"/>
      <c r="P1490" s="19"/>
      <c r="Q1490" s="19"/>
      <c r="R1490" s="19"/>
      <c r="S1490" s="19"/>
      <c r="T1490" s="19"/>
      <c r="U1490" s="19"/>
      <c r="V1490" s="19"/>
    </row>
    <row r="1491">
      <c r="A1491" s="25"/>
      <c r="B1491" s="19"/>
      <c r="C1491" s="19"/>
      <c r="D1491" s="19"/>
      <c r="E1491" s="19"/>
      <c r="F1491" s="17" t="str">
        <f>IFERROR(__xludf.DUMMYFUNCTION("""COMPUTED_VALUE"""),"")</f>
        <v/>
      </c>
      <c r="G1491" s="20"/>
      <c r="H1491" s="19"/>
      <c r="I1491" s="19"/>
      <c r="J1491" s="19"/>
      <c r="K1491" s="19"/>
      <c r="L1491" s="19"/>
      <c r="M1491" s="19"/>
      <c r="N1491" s="20" t="s">
        <v>39</v>
      </c>
      <c r="O1491" s="19"/>
      <c r="P1491" s="19"/>
      <c r="Q1491" s="19"/>
      <c r="R1491" s="19"/>
      <c r="S1491" s="19"/>
      <c r="T1491" s="19"/>
      <c r="U1491" s="19"/>
      <c r="V1491" s="19"/>
    </row>
    <row r="1492">
      <c r="A1492" s="25"/>
      <c r="B1492" s="19"/>
      <c r="C1492" s="19"/>
      <c r="D1492" s="19"/>
      <c r="E1492" s="19"/>
      <c r="F1492" s="17" t="str">
        <f>IFERROR(__xludf.DUMMYFUNCTION("""COMPUTED_VALUE"""),"")</f>
        <v/>
      </c>
      <c r="G1492" s="20"/>
      <c r="H1492" s="19"/>
      <c r="I1492" s="19"/>
      <c r="J1492" s="19"/>
      <c r="K1492" s="19"/>
      <c r="L1492" s="19"/>
      <c r="M1492" s="19"/>
      <c r="N1492" s="20" t="s">
        <v>39</v>
      </c>
      <c r="O1492" s="19"/>
      <c r="P1492" s="19"/>
      <c r="Q1492" s="19"/>
      <c r="R1492" s="19"/>
      <c r="S1492" s="19"/>
      <c r="T1492" s="19"/>
      <c r="U1492" s="19"/>
      <c r="V1492" s="19"/>
    </row>
    <row r="1493">
      <c r="A1493" s="25"/>
      <c r="B1493" s="19"/>
      <c r="C1493" s="19"/>
      <c r="D1493" s="19"/>
      <c r="E1493" s="19"/>
      <c r="F1493" s="17" t="str">
        <f>IFERROR(__xludf.DUMMYFUNCTION("""COMPUTED_VALUE"""),"")</f>
        <v/>
      </c>
      <c r="G1493" s="20"/>
      <c r="H1493" s="19"/>
      <c r="I1493" s="19"/>
      <c r="J1493" s="19"/>
      <c r="K1493" s="19"/>
      <c r="L1493" s="19"/>
      <c r="M1493" s="19"/>
      <c r="N1493" s="20" t="s">
        <v>39</v>
      </c>
      <c r="O1493" s="19"/>
      <c r="P1493" s="19"/>
      <c r="Q1493" s="19"/>
      <c r="R1493" s="19"/>
      <c r="S1493" s="19"/>
      <c r="T1493" s="19"/>
      <c r="U1493" s="19"/>
      <c r="V1493" s="19"/>
    </row>
    <row r="1494">
      <c r="A1494" s="25"/>
      <c r="B1494" s="19"/>
      <c r="C1494" s="19"/>
      <c r="D1494" s="19"/>
      <c r="E1494" s="19"/>
      <c r="F1494" s="17" t="str">
        <f>IFERROR(__xludf.DUMMYFUNCTION("""COMPUTED_VALUE"""),"")</f>
        <v/>
      </c>
      <c r="G1494" s="20"/>
      <c r="H1494" s="19"/>
      <c r="I1494" s="19"/>
      <c r="J1494" s="19"/>
      <c r="K1494" s="19"/>
      <c r="L1494" s="19"/>
      <c r="M1494" s="19"/>
      <c r="N1494" s="20" t="s">
        <v>39</v>
      </c>
      <c r="O1494" s="19"/>
      <c r="P1494" s="19"/>
      <c r="Q1494" s="19"/>
      <c r="R1494" s="19"/>
      <c r="S1494" s="19"/>
      <c r="T1494" s="19"/>
      <c r="U1494" s="19"/>
      <c r="V1494" s="19"/>
    </row>
    <row r="1495">
      <c r="A1495" s="25"/>
      <c r="B1495" s="19"/>
      <c r="C1495" s="19"/>
      <c r="D1495" s="19"/>
      <c r="E1495" s="19"/>
      <c r="F1495" s="17" t="str">
        <f>IFERROR(__xludf.DUMMYFUNCTION("""COMPUTED_VALUE"""),"")</f>
        <v/>
      </c>
      <c r="G1495" s="20"/>
      <c r="H1495" s="19"/>
      <c r="I1495" s="19"/>
      <c r="J1495" s="19"/>
      <c r="K1495" s="19"/>
      <c r="L1495" s="19"/>
      <c r="M1495" s="19"/>
      <c r="N1495" s="20" t="s">
        <v>39</v>
      </c>
      <c r="O1495" s="19"/>
      <c r="P1495" s="19"/>
      <c r="Q1495" s="19"/>
      <c r="R1495" s="19"/>
      <c r="S1495" s="19"/>
      <c r="T1495" s="19"/>
      <c r="U1495" s="19"/>
      <c r="V1495" s="19"/>
    </row>
    <row r="1496">
      <c r="A1496" s="25"/>
      <c r="B1496" s="19"/>
      <c r="C1496" s="19"/>
      <c r="D1496" s="19"/>
      <c r="E1496" s="19"/>
      <c r="F1496" s="17" t="str">
        <f>IFERROR(__xludf.DUMMYFUNCTION("""COMPUTED_VALUE"""),"")</f>
        <v/>
      </c>
      <c r="G1496" s="20"/>
      <c r="H1496" s="19"/>
      <c r="I1496" s="19"/>
      <c r="J1496" s="19"/>
      <c r="K1496" s="19"/>
      <c r="L1496" s="19"/>
      <c r="M1496" s="19"/>
      <c r="N1496" s="20" t="s">
        <v>39</v>
      </c>
      <c r="O1496" s="19"/>
      <c r="P1496" s="19"/>
      <c r="Q1496" s="19"/>
      <c r="R1496" s="19"/>
      <c r="S1496" s="19"/>
      <c r="T1496" s="19"/>
      <c r="U1496" s="19"/>
      <c r="V1496" s="19"/>
    </row>
    <row r="1497">
      <c r="A1497" s="25"/>
      <c r="B1497" s="19"/>
      <c r="C1497" s="19"/>
      <c r="D1497" s="19"/>
      <c r="E1497" s="19"/>
      <c r="F1497" s="17" t="str">
        <f>IFERROR(__xludf.DUMMYFUNCTION("""COMPUTED_VALUE"""),"")</f>
        <v/>
      </c>
      <c r="G1497" s="20"/>
      <c r="H1497" s="19"/>
      <c r="I1497" s="19"/>
      <c r="J1497" s="19"/>
      <c r="K1497" s="19"/>
      <c r="L1497" s="19"/>
      <c r="M1497" s="19"/>
      <c r="N1497" s="20" t="s">
        <v>39</v>
      </c>
      <c r="O1497" s="19"/>
      <c r="P1497" s="19"/>
      <c r="Q1497" s="19"/>
      <c r="R1497" s="19"/>
      <c r="S1497" s="19"/>
      <c r="T1497" s="19"/>
      <c r="U1497" s="19"/>
      <c r="V1497" s="19"/>
    </row>
    <row r="1498">
      <c r="A1498" s="25"/>
      <c r="B1498" s="19"/>
      <c r="C1498" s="19"/>
      <c r="D1498" s="19"/>
      <c r="E1498" s="19"/>
      <c r="F1498" s="17" t="str">
        <f>IFERROR(__xludf.DUMMYFUNCTION("""COMPUTED_VALUE"""),"")</f>
        <v/>
      </c>
      <c r="G1498" s="20"/>
      <c r="H1498" s="19"/>
      <c r="I1498" s="19"/>
      <c r="J1498" s="19"/>
      <c r="K1498" s="19"/>
      <c r="L1498" s="19"/>
      <c r="M1498" s="19"/>
      <c r="N1498" s="20" t="s">
        <v>39</v>
      </c>
      <c r="O1498" s="19"/>
      <c r="P1498" s="19"/>
      <c r="Q1498" s="19"/>
      <c r="R1498" s="19"/>
      <c r="S1498" s="19"/>
      <c r="T1498" s="19"/>
      <c r="U1498" s="19"/>
      <c r="V1498" s="19"/>
    </row>
    <row r="1499">
      <c r="A1499" s="25"/>
      <c r="B1499" s="19"/>
      <c r="C1499" s="19"/>
      <c r="D1499" s="19"/>
      <c r="E1499" s="19"/>
      <c r="F1499" s="17" t="str">
        <f>IFERROR(__xludf.DUMMYFUNCTION("""COMPUTED_VALUE"""),"")</f>
        <v/>
      </c>
      <c r="G1499" s="20"/>
      <c r="H1499" s="19"/>
      <c r="I1499" s="19"/>
      <c r="J1499" s="19"/>
      <c r="K1499" s="19"/>
      <c r="L1499" s="19"/>
      <c r="M1499" s="19"/>
      <c r="N1499" s="20" t="s">
        <v>39</v>
      </c>
      <c r="O1499" s="19"/>
      <c r="P1499" s="19"/>
      <c r="Q1499" s="19"/>
      <c r="R1499" s="19"/>
      <c r="S1499" s="19"/>
      <c r="T1499" s="19"/>
      <c r="U1499" s="19"/>
      <c r="V1499" s="19"/>
    </row>
    <row r="1500">
      <c r="A1500" s="25"/>
      <c r="B1500" s="19"/>
      <c r="C1500" s="19"/>
      <c r="D1500" s="19"/>
      <c r="E1500" s="19"/>
      <c r="F1500" s="17" t="str">
        <f>IFERROR(__xludf.DUMMYFUNCTION("""COMPUTED_VALUE"""),"")</f>
        <v/>
      </c>
      <c r="G1500" s="20"/>
      <c r="H1500" s="19"/>
      <c r="I1500" s="19"/>
      <c r="J1500" s="19"/>
      <c r="K1500" s="19"/>
      <c r="L1500" s="19"/>
      <c r="M1500" s="19"/>
      <c r="N1500" s="20" t="s">
        <v>39</v>
      </c>
      <c r="O1500" s="19"/>
      <c r="P1500" s="19"/>
      <c r="Q1500" s="19"/>
      <c r="R1500" s="19"/>
      <c r="S1500" s="19"/>
      <c r="T1500" s="19"/>
      <c r="U1500" s="19"/>
      <c r="V1500" s="19"/>
    </row>
    <row r="1501">
      <c r="A1501" s="25"/>
      <c r="B1501" s="19"/>
      <c r="C1501" s="19"/>
      <c r="D1501" s="19"/>
      <c r="E1501" s="19"/>
      <c r="F1501" s="17" t="str">
        <f>IFERROR(__xludf.DUMMYFUNCTION("""COMPUTED_VALUE"""),"")</f>
        <v/>
      </c>
      <c r="G1501" s="20"/>
      <c r="H1501" s="19"/>
      <c r="I1501" s="19"/>
      <c r="J1501" s="19"/>
      <c r="K1501" s="19"/>
      <c r="L1501" s="19"/>
      <c r="M1501" s="19"/>
      <c r="N1501" s="20" t="s">
        <v>39</v>
      </c>
      <c r="O1501" s="19"/>
      <c r="P1501" s="19"/>
      <c r="Q1501" s="19"/>
      <c r="R1501" s="19"/>
      <c r="S1501" s="19"/>
      <c r="T1501" s="19"/>
      <c r="U1501" s="19"/>
      <c r="V1501" s="19"/>
    </row>
    <row r="1502">
      <c r="A1502" s="25"/>
      <c r="B1502" s="19"/>
      <c r="C1502" s="19"/>
      <c r="D1502" s="19"/>
      <c r="E1502" s="19"/>
      <c r="F1502" s="17" t="str">
        <f>IFERROR(__xludf.DUMMYFUNCTION("""COMPUTED_VALUE"""),"")</f>
        <v/>
      </c>
      <c r="G1502" s="20"/>
      <c r="H1502" s="19"/>
      <c r="I1502" s="19"/>
      <c r="J1502" s="19"/>
      <c r="K1502" s="19"/>
      <c r="L1502" s="19"/>
      <c r="M1502" s="19"/>
      <c r="N1502" s="20" t="s">
        <v>39</v>
      </c>
      <c r="O1502" s="19"/>
      <c r="P1502" s="19"/>
      <c r="Q1502" s="19"/>
      <c r="R1502" s="19"/>
      <c r="S1502" s="19"/>
      <c r="T1502" s="19"/>
      <c r="U1502" s="19"/>
      <c r="V1502" s="19"/>
    </row>
    <row r="1503">
      <c r="A1503" s="25"/>
      <c r="B1503" s="19"/>
      <c r="C1503" s="19"/>
      <c r="D1503" s="19"/>
      <c r="E1503" s="19"/>
      <c r="F1503" s="17" t="str">
        <f>IFERROR(__xludf.DUMMYFUNCTION("""COMPUTED_VALUE"""),"")</f>
        <v/>
      </c>
      <c r="G1503" s="20"/>
      <c r="H1503" s="19"/>
      <c r="I1503" s="19"/>
      <c r="J1503" s="19"/>
      <c r="K1503" s="19"/>
      <c r="L1503" s="19"/>
      <c r="M1503" s="19"/>
      <c r="N1503" s="20" t="s">
        <v>39</v>
      </c>
      <c r="O1503" s="19"/>
      <c r="P1503" s="19"/>
      <c r="Q1503" s="19"/>
      <c r="R1503" s="19"/>
      <c r="S1503" s="19"/>
      <c r="T1503" s="19"/>
      <c r="U1503" s="19"/>
      <c r="V1503" s="19"/>
    </row>
    <row r="1504">
      <c r="A1504" s="25"/>
      <c r="B1504" s="19"/>
      <c r="C1504" s="19"/>
      <c r="D1504" s="19"/>
      <c r="E1504" s="19"/>
      <c r="F1504" s="17" t="str">
        <f>IFERROR(__xludf.DUMMYFUNCTION("""COMPUTED_VALUE"""),"")</f>
        <v/>
      </c>
      <c r="G1504" s="20"/>
      <c r="H1504" s="19"/>
      <c r="I1504" s="19"/>
      <c r="J1504" s="19"/>
      <c r="K1504" s="19"/>
      <c r="L1504" s="19"/>
      <c r="M1504" s="19"/>
      <c r="N1504" s="20" t="s">
        <v>39</v>
      </c>
      <c r="O1504" s="19"/>
      <c r="P1504" s="19"/>
      <c r="Q1504" s="19"/>
      <c r="R1504" s="19"/>
      <c r="S1504" s="19"/>
      <c r="T1504" s="19"/>
      <c r="U1504" s="19"/>
      <c r="V1504" s="19"/>
    </row>
    <row r="1505">
      <c r="A1505" s="25"/>
      <c r="B1505" s="19"/>
      <c r="C1505" s="19"/>
      <c r="D1505" s="19"/>
      <c r="E1505" s="19"/>
      <c r="F1505" s="17" t="str">
        <f>IFERROR(__xludf.DUMMYFUNCTION("""COMPUTED_VALUE"""),"")</f>
        <v/>
      </c>
      <c r="G1505" s="20"/>
      <c r="H1505" s="19"/>
      <c r="I1505" s="19"/>
      <c r="J1505" s="19"/>
      <c r="K1505" s="19"/>
      <c r="L1505" s="19"/>
      <c r="M1505" s="19"/>
      <c r="N1505" s="20" t="s">
        <v>39</v>
      </c>
      <c r="O1505" s="19"/>
      <c r="P1505" s="19"/>
      <c r="Q1505" s="19"/>
      <c r="R1505" s="19"/>
      <c r="S1505" s="19"/>
      <c r="T1505" s="19"/>
      <c r="U1505" s="19"/>
      <c r="V1505" s="19"/>
    </row>
    <row r="1506">
      <c r="A1506" s="25"/>
      <c r="B1506" s="19"/>
      <c r="C1506" s="19"/>
      <c r="D1506" s="19"/>
      <c r="E1506" s="19"/>
      <c r="F1506" s="17" t="str">
        <f>IFERROR(__xludf.DUMMYFUNCTION("""COMPUTED_VALUE"""),"")</f>
        <v/>
      </c>
      <c r="G1506" s="20"/>
      <c r="H1506" s="19"/>
      <c r="I1506" s="19"/>
      <c r="J1506" s="19"/>
      <c r="K1506" s="19"/>
      <c r="L1506" s="19"/>
      <c r="M1506" s="19"/>
      <c r="N1506" s="20" t="s">
        <v>39</v>
      </c>
      <c r="O1506" s="19"/>
      <c r="P1506" s="19"/>
      <c r="Q1506" s="19"/>
      <c r="R1506" s="19"/>
      <c r="S1506" s="19"/>
      <c r="T1506" s="19"/>
      <c r="U1506" s="19"/>
      <c r="V1506" s="19"/>
    </row>
    <row r="1507">
      <c r="A1507" s="25"/>
      <c r="B1507" s="19"/>
      <c r="C1507" s="19"/>
      <c r="D1507" s="19"/>
      <c r="E1507" s="19"/>
      <c r="F1507" s="17" t="str">
        <f>IFERROR(__xludf.DUMMYFUNCTION("""COMPUTED_VALUE"""),"")</f>
        <v/>
      </c>
      <c r="G1507" s="20"/>
      <c r="H1507" s="19"/>
      <c r="I1507" s="19"/>
      <c r="J1507" s="19"/>
      <c r="K1507" s="19"/>
      <c r="L1507" s="19"/>
      <c r="M1507" s="19"/>
      <c r="N1507" s="20" t="s">
        <v>39</v>
      </c>
      <c r="O1507" s="19"/>
      <c r="P1507" s="19"/>
      <c r="Q1507" s="19"/>
      <c r="R1507" s="19"/>
      <c r="S1507" s="19"/>
      <c r="T1507" s="19"/>
      <c r="U1507" s="19"/>
      <c r="V1507" s="19"/>
    </row>
    <row r="1508">
      <c r="A1508" s="25"/>
      <c r="B1508" s="19"/>
      <c r="C1508" s="19"/>
      <c r="D1508" s="19"/>
      <c r="E1508" s="19"/>
      <c r="F1508" s="17" t="str">
        <f>IFERROR(__xludf.DUMMYFUNCTION("""COMPUTED_VALUE"""),"")</f>
        <v/>
      </c>
      <c r="G1508" s="20"/>
      <c r="H1508" s="19"/>
      <c r="I1508" s="19"/>
      <c r="J1508" s="19"/>
      <c r="K1508" s="19"/>
      <c r="L1508" s="19"/>
      <c r="M1508" s="19"/>
      <c r="N1508" s="20" t="s">
        <v>39</v>
      </c>
      <c r="O1508" s="19"/>
      <c r="P1508" s="19"/>
      <c r="Q1508" s="19"/>
      <c r="R1508" s="19"/>
      <c r="S1508" s="19"/>
      <c r="T1508" s="19"/>
      <c r="U1508" s="19"/>
      <c r="V1508" s="19"/>
    </row>
    <row r="1509">
      <c r="A1509" s="25"/>
      <c r="B1509" s="19"/>
      <c r="C1509" s="19"/>
      <c r="D1509" s="19"/>
      <c r="E1509" s="19"/>
      <c r="F1509" s="17" t="str">
        <f>IFERROR(__xludf.DUMMYFUNCTION("""COMPUTED_VALUE"""),"")</f>
        <v/>
      </c>
      <c r="G1509" s="20"/>
      <c r="H1509" s="19"/>
      <c r="I1509" s="19"/>
      <c r="J1509" s="19"/>
      <c r="K1509" s="19"/>
      <c r="L1509" s="19"/>
      <c r="M1509" s="19"/>
      <c r="N1509" s="20" t="s">
        <v>39</v>
      </c>
      <c r="O1509" s="19"/>
      <c r="P1509" s="19"/>
      <c r="Q1509" s="19"/>
      <c r="R1509" s="19"/>
      <c r="S1509" s="19"/>
      <c r="T1509" s="19"/>
      <c r="U1509" s="19"/>
      <c r="V1509" s="19"/>
    </row>
    <row r="1510">
      <c r="A1510" s="25"/>
      <c r="B1510" s="19"/>
      <c r="C1510" s="19"/>
      <c r="D1510" s="19"/>
      <c r="E1510" s="19"/>
      <c r="F1510" s="17" t="str">
        <f>IFERROR(__xludf.DUMMYFUNCTION("""COMPUTED_VALUE"""),"")</f>
        <v/>
      </c>
      <c r="G1510" s="20"/>
      <c r="H1510" s="19"/>
      <c r="I1510" s="19"/>
      <c r="J1510" s="19"/>
      <c r="K1510" s="19"/>
      <c r="L1510" s="19"/>
      <c r="M1510" s="19"/>
      <c r="N1510" s="20" t="s">
        <v>39</v>
      </c>
      <c r="O1510" s="19"/>
      <c r="P1510" s="19"/>
      <c r="Q1510" s="19"/>
      <c r="R1510" s="19"/>
      <c r="S1510" s="19"/>
      <c r="T1510" s="19"/>
      <c r="U1510" s="19"/>
      <c r="V1510" s="19"/>
    </row>
    <row r="1511">
      <c r="A1511" s="25"/>
      <c r="B1511" s="19"/>
      <c r="C1511" s="19"/>
      <c r="D1511" s="19"/>
      <c r="E1511" s="19"/>
      <c r="F1511" s="17" t="str">
        <f>IFERROR(__xludf.DUMMYFUNCTION("""COMPUTED_VALUE"""),"")</f>
        <v/>
      </c>
      <c r="G1511" s="20"/>
      <c r="H1511" s="19"/>
      <c r="I1511" s="19"/>
      <c r="J1511" s="19"/>
      <c r="K1511" s="19"/>
      <c r="L1511" s="19"/>
      <c r="M1511" s="19"/>
      <c r="N1511" s="20" t="s">
        <v>39</v>
      </c>
      <c r="O1511" s="19"/>
      <c r="P1511" s="19"/>
      <c r="Q1511" s="19"/>
      <c r="R1511" s="19"/>
      <c r="S1511" s="19"/>
      <c r="T1511" s="19"/>
      <c r="U1511" s="19"/>
      <c r="V1511" s="19"/>
    </row>
    <row r="1512">
      <c r="A1512" s="25"/>
      <c r="B1512" s="19"/>
      <c r="C1512" s="19"/>
      <c r="D1512" s="19"/>
      <c r="E1512" s="19"/>
      <c r="F1512" s="17" t="str">
        <f>IFERROR(__xludf.DUMMYFUNCTION("""COMPUTED_VALUE"""),"")</f>
        <v/>
      </c>
      <c r="G1512" s="20"/>
      <c r="H1512" s="19"/>
      <c r="I1512" s="19"/>
      <c r="J1512" s="19"/>
      <c r="K1512" s="19"/>
      <c r="L1512" s="19"/>
      <c r="M1512" s="19"/>
      <c r="N1512" s="20" t="s">
        <v>39</v>
      </c>
      <c r="O1512" s="19"/>
      <c r="P1512" s="19"/>
      <c r="Q1512" s="19"/>
      <c r="R1512" s="19"/>
      <c r="S1512" s="19"/>
      <c r="T1512" s="19"/>
      <c r="U1512" s="19"/>
      <c r="V1512" s="19"/>
    </row>
    <row r="1513">
      <c r="A1513" s="25"/>
      <c r="B1513" s="19"/>
      <c r="C1513" s="19"/>
      <c r="D1513" s="19"/>
      <c r="E1513" s="19"/>
      <c r="F1513" s="17" t="str">
        <f>IFERROR(__xludf.DUMMYFUNCTION("""COMPUTED_VALUE"""),"")</f>
        <v/>
      </c>
      <c r="G1513" s="20"/>
      <c r="H1513" s="19"/>
      <c r="I1513" s="19"/>
      <c r="J1513" s="19"/>
      <c r="K1513" s="19"/>
      <c r="L1513" s="19"/>
      <c r="M1513" s="19"/>
      <c r="N1513" s="20" t="s">
        <v>39</v>
      </c>
      <c r="O1513" s="19"/>
      <c r="P1513" s="19"/>
      <c r="Q1513" s="19"/>
      <c r="R1513" s="19"/>
      <c r="S1513" s="19"/>
      <c r="T1513" s="19"/>
      <c r="U1513" s="19"/>
      <c r="V1513" s="19"/>
    </row>
    <row r="1514">
      <c r="A1514" s="25"/>
      <c r="B1514" s="19"/>
      <c r="C1514" s="19"/>
      <c r="D1514" s="19"/>
      <c r="E1514" s="19"/>
      <c r="F1514" s="17" t="str">
        <f>IFERROR(__xludf.DUMMYFUNCTION("""COMPUTED_VALUE"""),"")</f>
        <v/>
      </c>
      <c r="G1514" s="20"/>
      <c r="H1514" s="19"/>
      <c r="I1514" s="19"/>
      <c r="J1514" s="19"/>
      <c r="K1514" s="19"/>
      <c r="L1514" s="19"/>
      <c r="M1514" s="19"/>
      <c r="N1514" s="20" t="s">
        <v>39</v>
      </c>
      <c r="O1514" s="19"/>
      <c r="P1514" s="19"/>
      <c r="Q1514" s="19"/>
      <c r="R1514" s="19"/>
      <c r="S1514" s="19"/>
      <c r="T1514" s="19"/>
      <c r="U1514" s="19"/>
      <c r="V1514" s="19"/>
    </row>
    <row r="1515">
      <c r="A1515" s="25"/>
      <c r="B1515" s="19"/>
      <c r="C1515" s="19"/>
      <c r="D1515" s="19"/>
      <c r="E1515" s="19"/>
      <c r="F1515" s="17" t="str">
        <f>IFERROR(__xludf.DUMMYFUNCTION("""COMPUTED_VALUE"""),"")</f>
        <v/>
      </c>
      <c r="G1515" s="20"/>
      <c r="H1515" s="19"/>
      <c r="I1515" s="19"/>
      <c r="J1515" s="19"/>
      <c r="K1515" s="19"/>
      <c r="L1515" s="19"/>
      <c r="M1515" s="19"/>
      <c r="N1515" s="20" t="s">
        <v>39</v>
      </c>
      <c r="O1515" s="19"/>
      <c r="P1515" s="19"/>
      <c r="Q1515" s="19"/>
      <c r="R1515" s="19"/>
      <c r="S1515" s="19"/>
      <c r="T1515" s="19"/>
      <c r="U1515" s="19"/>
      <c r="V1515" s="19"/>
    </row>
    <row r="1516">
      <c r="A1516" s="25"/>
      <c r="B1516" s="19"/>
      <c r="C1516" s="19"/>
      <c r="D1516" s="19"/>
      <c r="E1516" s="19"/>
      <c r="F1516" s="17" t="str">
        <f>IFERROR(__xludf.DUMMYFUNCTION("""COMPUTED_VALUE"""),"")</f>
        <v/>
      </c>
      <c r="G1516" s="20"/>
      <c r="H1516" s="19"/>
      <c r="I1516" s="19"/>
      <c r="J1516" s="19"/>
      <c r="K1516" s="19"/>
      <c r="L1516" s="19"/>
      <c r="M1516" s="19"/>
      <c r="N1516" s="20" t="s">
        <v>39</v>
      </c>
      <c r="O1516" s="19"/>
      <c r="P1516" s="19"/>
      <c r="Q1516" s="19"/>
      <c r="R1516" s="19"/>
      <c r="S1516" s="19"/>
      <c r="T1516" s="19"/>
      <c r="U1516" s="19"/>
      <c r="V1516" s="19"/>
    </row>
    <row r="1517">
      <c r="A1517" s="25"/>
      <c r="B1517" s="19"/>
      <c r="C1517" s="19"/>
      <c r="D1517" s="19"/>
      <c r="E1517" s="19"/>
      <c r="F1517" s="17" t="str">
        <f>IFERROR(__xludf.DUMMYFUNCTION("""COMPUTED_VALUE"""),"")</f>
        <v/>
      </c>
      <c r="G1517" s="20"/>
      <c r="H1517" s="19"/>
      <c r="I1517" s="19"/>
      <c r="J1517" s="19"/>
      <c r="K1517" s="19"/>
      <c r="L1517" s="19"/>
      <c r="M1517" s="19"/>
      <c r="N1517" s="20" t="s">
        <v>39</v>
      </c>
      <c r="O1517" s="19"/>
      <c r="P1517" s="19"/>
      <c r="Q1517" s="19"/>
      <c r="R1517" s="19"/>
      <c r="S1517" s="19"/>
      <c r="T1517" s="19"/>
      <c r="U1517" s="19"/>
      <c r="V1517" s="19"/>
    </row>
    <row r="1518">
      <c r="A1518" s="25"/>
      <c r="B1518" s="19"/>
      <c r="C1518" s="19"/>
      <c r="D1518" s="19"/>
      <c r="E1518" s="19"/>
      <c r="F1518" s="17" t="str">
        <f>IFERROR(__xludf.DUMMYFUNCTION("""COMPUTED_VALUE"""),"")</f>
        <v/>
      </c>
      <c r="G1518" s="20"/>
      <c r="H1518" s="19"/>
      <c r="I1518" s="19"/>
      <c r="J1518" s="19"/>
      <c r="K1518" s="19"/>
      <c r="L1518" s="19"/>
      <c r="M1518" s="19"/>
      <c r="N1518" s="20" t="s">
        <v>39</v>
      </c>
      <c r="O1518" s="19"/>
      <c r="P1518" s="19"/>
      <c r="Q1518" s="19"/>
      <c r="R1518" s="19"/>
      <c r="S1518" s="19"/>
      <c r="T1518" s="19"/>
      <c r="U1518" s="19"/>
      <c r="V1518" s="19"/>
    </row>
    <row r="1519">
      <c r="A1519" s="25"/>
      <c r="B1519" s="19"/>
      <c r="C1519" s="19"/>
      <c r="D1519" s="19"/>
      <c r="E1519" s="19"/>
      <c r="F1519" s="17" t="str">
        <f>IFERROR(__xludf.DUMMYFUNCTION("""COMPUTED_VALUE"""),"")</f>
        <v/>
      </c>
      <c r="G1519" s="20"/>
      <c r="H1519" s="19"/>
      <c r="I1519" s="19"/>
      <c r="J1519" s="19"/>
      <c r="K1519" s="19"/>
      <c r="L1519" s="19"/>
      <c r="M1519" s="19"/>
      <c r="N1519" s="20" t="s">
        <v>39</v>
      </c>
      <c r="O1519" s="19"/>
      <c r="P1519" s="19"/>
      <c r="Q1519" s="19"/>
      <c r="R1519" s="19"/>
      <c r="S1519" s="19"/>
      <c r="T1519" s="19"/>
      <c r="U1519" s="19"/>
      <c r="V1519" s="19"/>
    </row>
    <row r="1520">
      <c r="A1520" s="25"/>
      <c r="B1520" s="19"/>
      <c r="C1520" s="19"/>
      <c r="D1520" s="19"/>
      <c r="E1520" s="19"/>
      <c r="F1520" s="17" t="str">
        <f>IFERROR(__xludf.DUMMYFUNCTION("""COMPUTED_VALUE"""),"")</f>
        <v/>
      </c>
      <c r="G1520" s="20"/>
      <c r="H1520" s="19"/>
      <c r="I1520" s="19"/>
      <c r="J1520" s="19"/>
      <c r="K1520" s="19"/>
      <c r="L1520" s="19"/>
      <c r="M1520" s="19"/>
      <c r="N1520" s="20" t="s">
        <v>39</v>
      </c>
      <c r="O1520" s="19"/>
      <c r="P1520" s="19"/>
      <c r="Q1520" s="19"/>
      <c r="R1520" s="19"/>
      <c r="S1520" s="19"/>
      <c r="T1520" s="19"/>
      <c r="U1520" s="19"/>
      <c r="V1520" s="19"/>
    </row>
    <row r="1521">
      <c r="A1521" s="25"/>
      <c r="B1521" s="19"/>
      <c r="C1521" s="19"/>
      <c r="D1521" s="19"/>
      <c r="E1521" s="19"/>
      <c r="F1521" s="17" t="str">
        <f>IFERROR(__xludf.DUMMYFUNCTION("""COMPUTED_VALUE"""),"")</f>
        <v/>
      </c>
      <c r="G1521" s="20"/>
      <c r="H1521" s="19"/>
      <c r="I1521" s="19"/>
      <c r="J1521" s="19"/>
      <c r="K1521" s="19"/>
      <c r="L1521" s="19"/>
      <c r="M1521" s="19"/>
      <c r="N1521" s="20" t="s">
        <v>39</v>
      </c>
      <c r="O1521" s="19"/>
      <c r="P1521" s="19"/>
      <c r="Q1521" s="19"/>
      <c r="R1521" s="19"/>
      <c r="S1521" s="19"/>
      <c r="T1521" s="19"/>
      <c r="U1521" s="19"/>
      <c r="V1521" s="19"/>
    </row>
    <row r="1522">
      <c r="A1522" s="25"/>
      <c r="B1522" s="19"/>
      <c r="C1522" s="19"/>
      <c r="D1522" s="19"/>
      <c r="E1522" s="19"/>
      <c r="F1522" s="17" t="str">
        <f>IFERROR(__xludf.DUMMYFUNCTION("""COMPUTED_VALUE"""),"")</f>
        <v/>
      </c>
      <c r="G1522" s="20"/>
      <c r="H1522" s="19"/>
      <c r="I1522" s="19"/>
      <c r="J1522" s="19"/>
      <c r="K1522" s="19"/>
      <c r="L1522" s="19"/>
      <c r="M1522" s="19"/>
      <c r="N1522" s="20" t="s">
        <v>39</v>
      </c>
      <c r="O1522" s="19"/>
      <c r="P1522" s="19"/>
      <c r="Q1522" s="19"/>
      <c r="R1522" s="19"/>
      <c r="S1522" s="19"/>
      <c r="T1522" s="19"/>
      <c r="U1522" s="19"/>
      <c r="V1522" s="19"/>
    </row>
    <row r="1523">
      <c r="A1523" s="25"/>
      <c r="B1523" s="19"/>
      <c r="C1523" s="19"/>
      <c r="D1523" s="19"/>
      <c r="E1523" s="19"/>
      <c r="F1523" s="17" t="str">
        <f>IFERROR(__xludf.DUMMYFUNCTION("""COMPUTED_VALUE"""),"")</f>
        <v/>
      </c>
      <c r="G1523" s="20"/>
      <c r="H1523" s="19"/>
      <c r="I1523" s="19"/>
      <c r="J1523" s="19"/>
      <c r="K1523" s="19"/>
      <c r="L1523" s="19"/>
      <c r="M1523" s="19"/>
      <c r="N1523" s="20" t="s">
        <v>39</v>
      </c>
      <c r="O1523" s="19"/>
      <c r="P1523" s="19"/>
      <c r="Q1523" s="19"/>
      <c r="R1523" s="19"/>
      <c r="S1523" s="19"/>
      <c r="T1523" s="19"/>
      <c r="U1523" s="19"/>
      <c r="V1523" s="19"/>
    </row>
    <row r="1524">
      <c r="A1524" s="25"/>
      <c r="B1524" s="19"/>
      <c r="C1524" s="19"/>
      <c r="D1524" s="19"/>
      <c r="E1524" s="19"/>
      <c r="F1524" s="17" t="str">
        <f>IFERROR(__xludf.DUMMYFUNCTION("""COMPUTED_VALUE"""),"")</f>
        <v/>
      </c>
      <c r="G1524" s="20"/>
      <c r="H1524" s="19"/>
      <c r="I1524" s="19"/>
      <c r="J1524" s="19"/>
      <c r="K1524" s="19"/>
      <c r="L1524" s="19"/>
      <c r="M1524" s="19"/>
      <c r="N1524" s="20" t="s">
        <v>39</v>
      </c>
      <c r="O1524" s="19"/>
      <c r="P1524" s="19"/>
      <c r="Q1524" s="19"/>
      <c r="R1524" s="19"/>
      <c r="S1524" s="19"/>
      <c r="T1524" s="19"/>
      <c r="U1524" s="19"/>
      <c r="V1524" s="19"/>
    </row>
    <row r="1525">
      <c r="A1525" s="25"/>
      <c r="B1525" s="19"/>
      <c r="C1525" s="19"/>
      <c r="D1525" s="19"/>
      <c r="E1525" s="19"/>
      <c r="F1525" s="17" t="str">
        <f>IFERROR(__xludf.DUMMYFUNCTION("""COMPUTED_VALUE"""),"")</f>
        <v/>
      </c>
      <c r="G1525" s="20"/>
      <c r="H1525" s="19"/>
      <c r="I1525" s="19"/>
      <c r="J1525" s="19"/>
      <c r="K1525" s="19"/>
      <c r="L1525" s="19"/>
      <c r="M1525" s="19"/>
      <c r="N1525" s="20" t="s">
        <v>39</v>
      </c>
      <c r="O1525" s="19"/>
      <c r="P1525" s="19"/>
      <c r="Q1525" s="19"/>
      <c r="R1525" s="19"/>
      <c r="S1525" s="19"/>
      <c r="T1525" s="19"/>
      <c r="U1525" s="19"/>
      <c r="V1525" s="19"/>
    </row>
    <row r="1526">
      <c r="A1526" s="25"/>
      <c r="B1526" s="19"/>
      <c r="C1526" s="19"/>
      <c r="D1526" s="19"/>
      <c r="E1526" s="19"/>
      <c r="F1526" s="17" t="str">
        <f>IFERROR(__xludf.DUMMYFUNCTION("""COMPUTED_VALUE"""),"")</f>
        <v/>
      </c>
      <c r="G1526" s="20"/>
      <c r="H1526" s="19"/>
      <c r="I1526" s="19"/>
      <c r="J1526" s="19"/>
      <c r="K1526" s="19"/>
      <c r="L1526" s="19"/>
      <c r="M1526" s="19"/>
      <c r="N1526" s="20" t="s">
        <v>39</v>
      </c>
      <c r="O1526" s="19"/>
      <c r="P1526" s="19"/>
      <c r="Q1526" s="19"/>
      <c r="R1526" s="19"/>
      <c r="S1526" s="19"/>
      <c r="T1526" s="19"/>
      <c r="U1526" s="19"/>
      <c r="V1526" s="19"/>
    </row>
    <row r="1527">
      <c r="A1527" s="25"/>
      <c r="B1527" s="19"/>
      <c r="C1527" s="19"/>
      <c r="D1527" s="19"/>
      <c r="E1527" s="19"/>
      <c r="F1527" s="17" t="str">
        <f>IFERROR(__xludf.DUMMYFUNCTION("""COMPUTED_VALUE"""),"")</f>
        <v/>
      </c>
      <c r="G1527" s="20"/>
      <c r="H1527" s="19"/>
      <c r="I1527" s="19"/>
      <c r="J1527" s="19"/>
      <c r="K1527" s="19"/>
      <c r="L1527" s="19"/>
      <c r="M1527" s="19"/>
      <c r="N1527" s="20" t="s">
        <v>39</v>
      </c>
      <c r="O1527" s="19"/>
      <c r="P1527" s="19"/>
      <c r="Q1527" s="19"/>
      <c r="R1527" s="19"/>
      <c r="S1527" s="19"/>
      <c r="T1527" s="19"/>
      <c r="U1527" s="19"/>
      <c r="V1527" s="19"/>
    </row>
    <row r="1528">
      <c r="A1528" s="25"/>
      <c r="B1528" s="19"/>
      <c r="C1528" s="19"/>
      <c r="D1528" s="19"/>
      <c r="E1528" s="19"/>
      <c r="F1528" s="17" t="str">
        <f>IFERROR(__xludf.DUMMYFUNCTION("""COMPUTED_VALUE"""),"")</f>
        <v/>
      </c>
      <c r="G1528" s="20"/>
      <c r="H1528" s="19"/>
      <c r="I1528" s="19"/>
      <c r="J1528" s="19"/>
      <c r="K1528" s="19"/>
      <c r="L1528" s="19"/>
      <c r="M1528" s="19"/>
      <c r="N1528" s="20" t="s">
        <v>39</v>
      </c>
      <c r="O1528" s="19"/>
      <c r="P1528" s="19"/>
      <c r="Q1528" s="19"/>
      <c r="R1528" s="19"/>
      <c r="S1528" s="19"/>
      <c r="T1528" s="19"/>
      <c r="U1528" s="19"/>
      <c r="V1528" s="19"/>
    </row>
    <row r="1529">
      <c r="A1529" s="25"/>
      <c r="B1529" s="19"/>
      <c r="C1529" s="19"/>
      <c r="D1529" s="19"/>
      <c r="E1529" s="19"/>
      <c r="F1529" s="17" t="str">
        <f>IFERROR(__xludf.DUMMYFUNCTION("""COMPUTED_VALUE"""),"")</f>
        <v/>
      </c>
      <c r="G1529" s="20"/>
      <c r="H1529" s="19"/>
      <c r="I1529" s="19"/>
      <c r="J1529" s="19"/>
      <c r="K1529" s="19"/>
      <c r="L1529" s="19"/>
      <c r="M1529" s="19"/>
      <c r="N1529" s="20" t="s">
        <v>39</v>
      </c>
      <c r="O1529" s="19"/>
      <c r="P1529" s="19"/>
      <c r="Q1529" s="19"/>
      <c r="R1529" s="19"/>
      <c r="S1529" s="19"/>
      <c r="T1529" s="19"/>
      <c r="U1529" s="19"/>
      <c r="V1529" s="19"/>
    </row>
    <row r="1530">
      <c r="A1530" s="25"/>
      <c r="B1530" s="19"/>
      <c r="C1530" s="19"/>
      <c r="D1530" s="19"/>
      <c r="E1530" s="19"/>
      <c r="F1530" s="17" t="str">
        <f>IFERROR(__xludf.DUMMYFUNCTION("""COMPUTED_VALUE"""),"")</f>
        <v/>
      </c>
      <c r="G1530" s="20"/>
      <c r="H1530" s="19"/>
      <c r="I1530" s="19"/>
      <c r="J1530" s="19"/>
      <c r="K1530" s="19"/>
      <c r="L1530" s="19"/>
      <c r="M1530" s="19"/>
      <c r="N1530" s="20" t="s">
        <v>39</v>
      </c>
      <c r="O1530" s="19"/>
      <c r="P1530" s="19"/>
      <c r="Q1530" s="19"/>
      <c r="R1530" s="19"/>
      <c r="S1530" s="19"/>
      <c r="T1530" s="19"/>
      <c r="U1530" s="19"/>
      <c r="V1530" s="19"/>
    </row>
    <row r="1531">
      <c r="A1531" s="25"/>
      <c r="B1531" s="19"/>
      <c r="C1531" s="19"/>
      <c r="D1531" s="19"/>
      <c r="E1531" s="19"/>
      <c r="F1531" s="17" t="str">
        <f>IFERROR(__xludf.DUMMYFUNCTION("""COMPUTED_VALUE"""),"")</f>
        <v/>
      </c>
      <c r="G1531" s="20"/>
      <c r="H1531" s="19"/>
      <c r="I1531" s="19"/>
      <c r="J1531" s="19"/>
      <c r="K1531" s="19"/>
      <c r="L1531" s="19"/>
      <c r="M1531" s="19"/>
      <c r="N1531" s="20" t="s">
        <v>39</v>
      </c>
      <c r="O1531" s="19"/>
      <c r="P1531" s="19"/>
      <c r="Q1531" s="19"/>
      <c r="R1531" s="19"/>
      <c r="S1531" s="19"/>
      <c r="T1531" s="19"/>
      <c r="U1531" s="19"/>
      <c r="V1531" s="19"/>
    </row>
    <row r="1532">
      <c r="A1532" s="25"/>
      <c r="B1532" s="19"/>
      <c r="C1532" s="19"/>
      <c r="D1532" s="19"/>
      <c r="E1532" s="19"/>
      <c r="F1532" s="17" t="str">
        <f>IFERROR(__xludf.DUMMYFUNCTION("""COMPUTED_VALUE"""),"")</f>
        <v/>
      </c>
      <c r="G1532" s="20"/>
      <c r="H1532" s="19"/>
      <c r="I1532" s="19"/>
      <c r="J1532" s="19"/>
      <c r="K1532" s="19"/>
      <c r="L1532" s="19"/>
      <c r="M1532" s="19"/>
      <c r="N1532" s="20" t="s">
        <v>39</v>
      </c>
      <c r="O1532" s="19"/>
      <c r="P1532" s="19"/>
      <c r="Q1532" s="19"/>
      <c r="R1532" s="19"/>
      <c r="S1532" s="19"/>
      <c r="T1532" s="19"/>
      <c r="U1532" s="19"/>
      <c r="V1532" s="19"/>
    </row>
    <row r="1533">
      <c r="A1533" s="25"/>
      <c r="B1533" s="19"/>
      <c r="C1533" s="19"/>
      <c r="D1533" s="19"/>
      <c r="E1533" s="19"/>
      <c r="F1533" s="17" t="str">
        <f>IFERROR(__xludf.DUMMYFUNCTION("""COMPUTED_VALUE"""),"")</f>
        <v/>
      </c>
      <c r="G1533" s="20"/>
      <c r="H1533" s="19"/>
      <c r="I1533" s="19"/>
      <c r="J1533" s="19"/>
      <c r="K1533" s="19"/>
      <c r="L1533" s="19"/>
      <c r="M1533" s="19"/>
      <c r="N1533" s="20" t="s">
        <v>39</v>
      </c>
      <c r="O1533" s="19"/>
      <c r="P1533" s="19"/>
      <c r="Q1533" s="19"/>
      <c r="R1533" s="19"/>
      <c r="S1533" s="19"/>
      <c r="T1533" s="19"/>
      <c r="U1533" s="19"/>
      <c r="V1533" s="19"/>
    </row>
    <row r="1534">
      <c r="A1534" s="25"/>
      <c r="B1534" s="19"/>
      <c r="C1534" s="19"/>
      <c r="D1534" s="19"/>
      <c r="E1534" s="19"/>
      <c r="F1534" s="17" t="str">
        <f>IFERROR(__xludf.DUMMYFUNCTION("""COMPUTED_VALUE"""),"")</f>
        <v/>
      </c>
      <c r="G1534" s="20"/>
      <c r="H1534" s="19"/>
      <c r="I1534" s="19"/>
      <c r="J1534" s="19"/>
      <c r="K1534" s="19"/>
      <c r="L1534" s="19"/>
      <c r="M1534" s="19"/>
      <c r="N1534" s="20" t="s">
        <v>39</v>
      </c>
      <c r="O1534" s="19"/>
      <c r="P1534" s="19"/>
      <c r="Q1534" s="19"/>
      <c r="R1534" s="19"/>
      <c r="S1534" s="19"/>
      <c r="T1534" s="19"/>
      <c r="U1534" s="19"/>
      <c r="V1534" s="19"/>
    </row>
    <row r="1535">
      <c r="A1535" s="25"/>
      <c r="B1535" s="19"/>
      <c r="C1535" s="19"/>
      <c r="D1535" s="19"/>
      <c r="E1535" s="19"/>
      <c r="F1535" s="17" t="str">
        <f>IFERROR(__xludf.DUMMYFUNCTION("""COMPUTED_VALUE"""),"")</f>
        <v/>
      </c>
      <c r="G1535" s="20"/>
      <c r="H1535" s="19"/>
      <c r="I1535" s="19"/>
      <c r="J1535" s="19"/>
      <c r="K1535" s="19"/>
      <c r="L1535" s="19"/>
      <c r="M1535" s="19"/>
      <c r="N1535" s="20" t="s">
        <v>39</v>
      </c>
      <c r="O1535" s="19"/>
      <c r="P1535" s="19"/>
      <c r="Q1535" s="19"/>
      <c r="R1535" s="19"/>
      <c r="S1535" s="19"/>
      <c r="T1535" s="19"/>
      <c r="U1535" s="19"/>
      <c r="V1535" s="19"/>
    </row>
    <row r="1536">
      <c r="A1536" s="25"/>
      <c r="B1536" s="19"/>
      <c r="C1536" s="19"/>
      <c r="D1536" s="19"/>
      <c r="E1536" s="19"/>
      <c r="F1536" s="17" t="str">
        <f>IFERROR(__xludf.DUMMYFUNCTION("""COMPUTED_VALUE"""),"")</f>
        <v/>
      </c>
      <c r="G1536" s="20"/>
      <c r="H1536" s="19"/>
      <c r="I1536" s="19"/>
      <c r="J1536" s="19"/>
      <c r="K1536" s="19"/>
      <c r="L1536" s="19"/>
      <c r="M1536" s="19"/>
      <c r="N1536" s="20" t="s">
        <v>39</v>
      </c>
      <c r="O1536" s="19"/>
      <c r="P1536" s="19"/>
      <c r="Q1536" s="19"/>
      <c r="R1536" s="19"/>
      <c r="S1536" s="19"/>
      <c r="T1536" s="19"/>
      <c r="U1536" s="19"/>
      <c r="V1536" s="19"/>
    </row>
    <row r="1537">
      <c r="A1537" s="25"/>
      <c r="B1537" s="19"/>
      <c r="C1537" s="19"/>
      <c r="D1537" s="19"/>
      <c r="E1537" s="19"/>
      <c r="F1537" s="17" t="str">
        <f>IFERROR(__xludf.DUMMYFUNCTION("""COMPUTED_VALUE"""),"")</f>
        <v/>
      </c>
      <c r="G1537" s="20"/>
      <c r="H1537" s="19"/>
      <c r="I1537" s="19"/>
      <c r="J1537" s="19"/>
      <c r="K1537" s="19"/>
      <c r="L1537" s="19"/>
      <c r="M1537" s="19"/>
      <c r="N1537" s="20" t="s">
        <v>39</v>
      </c>
      <c r="O1537" s="19"/>
      <c r="P1537" s="19"/>
      <c r="Q1537" s="19"/>
      <c r="R1537" s="19"/>
      <c r="S1537" s="19"/>
      <c r="T1537" s="19"/>
      <c r="U1537" s="19"/>
      <c r="V1537" s="19"/>
    </row>
    <row r="1538">
      <c r="A1538" s="25"/>
      <c r="B1538" s="19"/>
      <c r="C1538" s="19"/>
      <c r="D1538" s="19"/>
      <c r="E1538" s="19"/>
      <c r="F1538" s="17" t="str">
        <f>IFERROR(__xludf.DUMMYFUNCTION("""COMPUTED_VALUE"""),"")</f>
        <v/>
      </c>
      <c r="G1538" s="20"/>
      <c r="H1538" s="19"/>
      <c r="I1538" s="19"/>
      <c r="J1538" s="19"/>
      <c r="K1538" s="19"/>
      <c r="L1538" s="19"/>
      <c r="M1538" s="19"/>
      <c r="N1538" s="20" t="s">
        <v>39</v>
      </c>
      <c r="O1538" s="19"/>
      <c r="P1538" s="19"/>
      <c r="Q1538" s="19"/>
      <c r="R1538" s="19"/>
      <c r="S1538" s="19"/>
      <c r="T1538" s="19"/>
      <c r="U1538" s="19"/>
      <c r="V1538" s="19"/>
    </row>
    <row r="1539">
      <c r="A1539" s="25"/>
      <c r="B1539" s="19"/>
      <c r="C1539" s="19"/>
      <c r="D1539" s="19"/>
      <c r="E1539" s="19"/>
      <c r="F1539" s="17" t="str">
        <f>IFERROR(__xludf.DUMMYFUNCTION("""COMPUTED_VALUE"""),"")</f>
        <v/>
      </c>
      <c r="G1539" s="20"/>
      <c r="H1539" s="19"/>
      <c r="I1539" s="19"/>
      <c r="J1539" s="19"/>
      <c r="K1539" s="19"/>
      <c r="L1539" s="19"/>
      <c r="M1539" s="19"/>
      <c r="N1539" s="20" t="s">
        <v>39</v>
      </c>
      <c r="O1539" s="19"/>
      <c r="P1539" s="19"/>
      <c r="Q1539" s="19"/>
      <c r="R1539" s="19"/>
      <c r="S1539" s="19"/>
      <c r="T1539" s="19"/>
      <c r="U1539" s="19"/>
      <c r="V1539" s="19"/>
    </row>
    <row r="1540">
      <c r="A1540" s="25"/>
      <c r="B1540" s="19"/>
      <c r="C1540" s="19"/>
      <c r="D1540" s="19"/>
      <c r="E1540" s="19"/>
      <c r="F1540" s="17" t="str">
        <f>IFERROR(__xludf.DUMMYFUNCTION("""COMPUTED_VALUE"""),"")</f>
        <v/>
      </c>
      <c r="G1540" s="20"/>
      <c r="H1540" s="19"/>
      <c r="I1540" s="19"/>
      <c r="J1540" s="19"/>
      <c r="K1540" s="19"/>
      <c r="L1540" s="19"/>
      <c r="M1540" s="19"/>
      <c r="N1540" s="20" t="s">
        <v>39</v>
      </c>
      <c r="O1540" s="19"/>
      <c r="P1540" s="19"/>
      <c r="Q1540" s="19"/>
      <c r="R1540" s="19"/>
      <c r="S1540" s="19"/>
      <c r="T1540" s="19"/>
      <c r="U1540" s="19"/>
      <c r="V1540" s="19"/>
    </row>
    <row r="1541">
      <c r="A1541" s="25"/>
      <c r="B1541" s="19"/>
      <c r="C1541" s="19"/>
      <c r="D1541" s="19"/>
      <c r="E1541" s="19"/>
      <c r="F1541" s="17" t="str">
        <f>IFERROR(__xludf.DUMMYFUNCTION("""COMPUTED_VALUE"""),"")</f>
        <v/>
      </c>
      <c r="G1541" s="20"/>
      <c r="H1541" s="19"/>
      <c r="I1541" s="19"/>
      <c r="J1541" s="19"/>
      <c r="K1541" s="19"/>
      <c r="L1541" s="19"/>
      <c r="M1541" s="19"/>
      <c r="N1541" s="20" t="s">
        <v>39</v>
      </c>
      <c r="O1541" s="19"/>
      <c r="P1541" s="19"/>
      <c r="Q1541" s="19"/>
      <c r="R1541" s="19"/>
      <c r="S1541" s="19"/>
      <c r="T1541" s="19"/>
      <c r="U1541" s="19"/>
      <c r="V1541" s="19"/>
    </row>
    <row r="1542">
      <c r="A1542" s="25"/>
      <c r="B1542" s="19"/>
      <c r="C1542" s="19"/>
      <c r="D1542" s="19"/>
      <c r="E1542" s="19"/>
      <c r="F1542" s="17" t="str">
        <f>IFERROR(__xludf.DUMMYFUNCTION("""COMPUTED_VALUE"""),"")</f>
        <v/>
      </c>
      <c r="G1542" s="20"/>
      <c r="H1542" s="19"/>
      <c r="I1542" s="19"/>
      <c r="J1542" s="19"/>
      <c r="K1542" s="19"/>
      <c r="L1542" s="19"/>
      <c r="M1542" s="19"/>
      <c r="N1542" s="20" t="s">
        <v>39</v>
      </c>
      <c r="O1542" s="19"/>
      <c r="P1542" s="19"/>
      <c r="Q1542" s="19"/>
      <c r="R1542" s="19"/>
      <c r="S1542" s="19"/>
      <c r="T1542" s="19"/>
      <c r="U1542" s="19"/>
      <c r="V1542" s="19"/>
    </row>
    <row r="1543">
      <c r="A1543" s="25"/>
      <c r="B1543" s="19"/>
      <c r="C1543" s="19"/>
      <c r="D1543" s="19"/>
      <c r="E1543" s="19"/>
      <c r="F1543" s="17" t="str">
        <f>IFERROR(__xludf.DUMMYFUNCTION("""COMPUTED_VALUE"""),"")</f>
        <v/>
      </c>
      <c r="G1543" s="20"/>
      <c r="H1543" s="19"/>
      <c r="I1543" s="19"/>
      <c r="J1543" s="19"/>
      <c r="K1543" s="19"/>
      <c r="L1543" s="19"/>
      <c r="M1543" s="19"/>
      <c r="N1543" s="20" t="s">
        <v>39</v>
      </c>
      <c r="O1543" s="19"/>
      <c r="P1543" s="19"/>
      <c r="Q1543" s="19"/>
      <c r="R1543" s="19"/>
      <c r="S1543" s="19"/>
      <c r="T1543" s="19"/>
      <c r="U1543" s="19"/>
      <c r="V1543" s="19"/>
    </row>
    <row r="1544">
      <c r="A1544" s="25"/>
      <c r="B1544" s="19"/>
      <c r="C1544" s="19"/>
      <c r="D1544" s="19"/>
      <c r="E1544" s="19"/>
      <c r="F1544" s="17" t="str">
        <f>IFERROR(__xludf.DUMMYFUNCTION("""COMPUTED_VALUE"""),"")</f>
        <v/>
      </c>
      <c r="G1544" s="20"/>
      <c r="H1544" s="19"/>
      <c r="I1544" s="19"/>
      <c r="J1544" s="19"/>
      <c r="K1544" s="19"/>
      <c r="L1544" s="19"/>
      <c r="M1544" s="19"/>
      <c r="N1544" s="20" t="s">
        <v>39</v>
      </c>
      <c r="O1544" s="19"/>
      <c r="P1544" s="19"/>
      <c r="Q1544" s="19"/>
      <c r="R1544" s="19"/>
      <c r="S1544" s="19"/>
      <c r="T1544" s="19"/>
      <c r="U1544" s="19"/>
      <c r="V1544" s="19"/>
    </row>
    <row r="1545">
      <c r="A1545" s="25"/>
      <c r="B1545" s="19"/>
      <c r="C1545" s="19"/>
      <c r="D1545" s="19"/>
      <c r="E1545" s="19"/>
      <c r="F1545" s="17" t="str">
        <f>IFERROR(__xludf.DUMMYFUNCTION("""COMPUTED_VALUE"""),"")</f>
        <v/>
      </c>
      <c r="G1545" s="20"/>
      <c r="H1545" s="19"/>
      <c r="I1545" s="19"/>
      <c r="J1545" s="19"/>
      <c r="K1545" s="19"/>
      <c r="L1545" s="19"/>
      <c r="M1545" s="19"/>
      <c r="N1545" s="20" t="s">
        <v>39</v>
      </c>
      <c r="O1545" s="19"/>
      <c r="P1545" s="19"/>
      <c r="Q1545" s="19"/>
      <c r="R1545" s="19"/>
      <c r="S1545" s="19"/>
      <c r="T1545" s="19"/>
      <c r="U1545" s="19"/>
      <c r="V1545" s="19"/>
    </row>
    <row r="1546">
      <c r="A1546" s="25"/>
      <c r="B1546" s="19"/>
      <c r="C1546" s="19"/>
      <c r="D1546" s="19"/>
      <c r="E1546" s="19"/>
      <c r="F1546" s="17" t="str">
        <f>IFERROR(__xludf.DUMMYFUNCTION("""COMPUTED_VALUE"""),"")</f>
        <v/>
      </c>
      <c r="G1546" s="20"/>
      <c r="H1546" s="19"/>
      <c r="I1546" s="19"/>
      <c r="J1546" s="19"/>
      <c r="K1546" s="19"/>
      <c r="L1546" s="19"/>
      <c r="M1546" s="19"/>
      <c r="N1546" s="20" t="s">
        <v>39</v>
      </c>
      <c r="O1546" s="19"/>
      <c r="P1546" s="19"/>
      <c r="Q1546" s="19"/>
      <c r="R1546" s="19"/>
      <c r="S1546" s="19"/>
      <c r="T1546" s="19"/>
      <c r="U1546" s="19"/>
      <c r="V1546" s="19"/>
    </row>
    <row r="1547">
      <c r="A1547" s="25"/>
      <c r="B1547" s="19"/>
      <c r="C1547" s="19"/>
      <c r="D1547" s="19"/>
      <c r="E1547" s="19"/>
      <c r="F1547" s="17" t="str">
        <f>IFERROR(__xludf.DUMMYFUNCTION("""COMPUTED_VALUE"""),"")</f>
        <v/>
      </c>
      <c r="G1547" s="20"/>
      <c r="H1547" s="19"/>
      <c r="I1547" s="19"/>
      <c r="J1547" s="19"/>
      <c r="K1547" s="19"/>
      <c r="L1547" s="19"/>
      <c r="M1547" s="19"/>
      <c r="N1547" s="20" t="s">
        <v>39</v>
      </c>
      <c r="O1547" s="19"/>
      <c r="P1547" s="19"/>
      <c r="Q1547" s="19"/>
      <c r="R1547" s="19"/>
      <c r="S1547" s="19"/>
      <c r="T1547" s="19"/>
      <c r="U1547" s="19"/>
      <c r="V1547" s="19"/>
    </row>
    <row r="1548">
      <c r="A1548" s="25"/>
      <c r="B1548" s="19"/>
      <c r="C1548" s="19"/>
      <c r="D1548" s="19"/>
      <c r="E1548" s="19"/>
      <c r="F1548" s="17" t="str">
        <f>IFERROR(__xludf.DUMMYFUNCTION("""COMPUTED_VALUE"""),"")</f>
        <v/>
      </c>
      <c r="G1548" s="20"/>
      <c r="H1548" s="19"/>
      <c r="I1548" s="19"/>
      <c r="J1548" s="19"/>
      <c r="K1548" s="19"/>
      <c r="L1548" s="19"/>
      <c r="M1548" s="19"/>
      <c r="N1548" s="20" t="s">
        <v>39</v>
      </c>
      <c r="O1548" s="19"/>
      <c r="P1548" s="19"/>
      <c r="Q1548" s="19"/>
      <c r="R1548" s="19"/>
      <c r="S1548" s="19"/>
      <c r="T1548" s="19"/>
      <c r="U1548" s="19"/>
      <c r="V1548" s="19"/>
    </row>
    <row r="1549">
      <c r="A1549" s="25"/>
      <c r="B1549" s="19"/>
      <c r="C1549" s="19"/>
      <c r="D1549" s="19"/>
      <c r="E1549" s="19"/>
      <c r="F1549" s="17" t="str">
        <f>IFERROR(__xludf.DUMMYFUNCTION("""COMPUTED_VALUE"""),"")</f>
        <v/>
      </c>
      <c r="G1549" s="20"/>
      <c r="H1549" s="19"/>
      <c r="I1549" s="19"/>
      <c r="J1549" s="19"/>
      <c r="K1549" s="19"/>
      <c r="L1549" s="19"/>
      <c r="M1549" s="19"/>
      <c r="N1549" s="20" t="s">
        <v>39</v>
      </c>
      <c r="O1549" s="19"/>
      <c r="P1549" s="19"/>
      <c r="Q1549" s="19"/>
      <c r="R1549" s="19"/>
      <c r="S1549" s="19"/>
      <c r="T1549" s="19"/>
      <c r="U1549" s="19"/>
      <c r="V1549" s="19"/>
    </row>
    <row r="1550">
      <c r="A1550" s="25"/>
      <c r="B1550" s="19"/>
      <c r="C1550" s="19"/>
      <c r="D1550" s="19"/>
      <c r="E1550" s="19"/>
      <c r="F1550" s="17" t="str">
        <f>IFERROR(__xludf.DUMMYFUNCTION("""COMPUTED_VALUE"""),"")</f>
        <v/>
      </c>
      <c r="G1550" s="20"/>
      <c r="H1550" s="19"/>
      <c r="I1550" s="19"/>
      <c r="J1550" s="19"/>
      <c r="K1550" s="19"/>
      <c r="L1550" s="19"/>
      <c r="M1550" s="19"/>
      <c r="N1550" s="20" t="s">
        <v>39</v>
      </c>
      <c r="O1550" s="19"/>
      <c r="P1550" s="19"/>
      <c r="Q1550" s="19"/>
      <c r="R1550" s="19"/>
      <c r="S1550" s="19"/>
      <c r="T1550" s="19"/>
      <c r="U1550" s="19"/>
      <c r="V1550" s="19"/>
    </row>
    <row r="1551">
      <c r="A1551" s="25"/>
      <c r="B1551" s="19"/>
      <c r="C1551" s="19"/>
      <c r="D1551" s="19"/>
      <c r="E1551" s="19"/>
      <c r="F1551" s="17" t="str">
        <f>IFERROR(__xludf.DUMMYFUNCTION("""COMPUTED_VALUE"""),"")</f>
        <v/>
      </c>
      <c r="G1551" s="20"/>
      <c r="H1551" s="19"/>
      <c r="I1551" s="19"/>
      <c r="J1551" s="19"/>
      <c r="K1551" s="19"/>
      <c r="L1551" s="19"/>
      <c r="M1551" s="19"/>
      <c r="N1551" s="20" t="s">
        <v>39</v>
      </c>
      <c r="O1551" s="19"/>
      <c r="P1551" s="19"/>
      <c r="Q1551" s="19"/>
      <c r="R1551" s="19"/>
      <c r="S1551" s="19"/>
      <c r="T1551" s="19"/>
      <c r="U1551" s="19"/>
      <c r="V1551" s="19"/>
    </row>
    <row r="1552">
      <c r="A1552" s="25"/>
      <c r="B1552" s="19"/>
      <c r="C1552" s="19"/>
      <c r="D1552" s="19"/>
      <c r="E1552" s="19"/>
      <c r="F1552" s="17" t="str">
        <f>IFERROR(__xludf.DUMMYFUNCTION("""COMPUTED_VALUE"""),"")</f>
        <v/>
      </c>
      <c r="G1552" s="20"/>
      <c r="H1552" s="19"/>
      <c r="I1552" s="19"/>
      <c r="J1552" s="19"/>
      <c r="K1552" s="19"/>
      <c r="L1552" s="19"/>
      <c r="M1552" s="19"/>
      <c r="N1552" s="20" t="s">
        <v>39</v>
      </c>
      <c r="O1552" s="19"/>
      <c r="P1552" s="19"/>
      <c r="Q1552" s="19"/>
      <c r="R1552" s="19"/>
      <c r="S1552" s="19"/>
      <c r="T1552" s="19"/>
      <c r="U1552" s="19"/>
      <c r="V1552" s="19"/>
    </row>
    <row r="1553">
      <c r="A1553" s="25"/>
      <c r="B1553" s="19"/>
      <c r="C1553" s="19"/>
      <c r="D1553" s="19"/>
      <c r="E1553" s="19"/>
      <c r="F1553" s="17" t="str">
        <f>IFERROR(__xludf.DUMMYFUNCTION("""COMPUTED_VALUE"""),"")</f>
        <v/>
      </c>
      <c r="G1553" s="20"/>
      <c r="H1553" s="19"/>
      <c r="I1553" s="19"/>
      <c r="J1553" s="19"/>
      <c r="K1553" s="19"/>
      <c r="L1553" s="19"/>
      <c r="M1553" s="19"/>
      <c r="N1553" s="20" t="s">
        <v>39</v>
      </c>
      <c r="O1553" s="19"/>
      <c r="P1553" s="19"/>
      <c r="Q1553" s="19"/>
      <c r="R1553" s="19"/>
      <c r="S1553" s="19"/>
      <c r="T1553" s="19"/>
      <c r="U1553" s="19"/>
      <c r="V1553" s="19"/>
    </row>
    <row r="1554">
      <c r="A1554" s="25"/>
      <c r="B1554" s="19"/>
      <c r="C1554" s="19"/>
      <c r="D1554" s="19"/>
      <c r="E1554" s="19"/>
      <c r="F1554" s="17" t="str">
        <f>IFERROR(__xludf.DUMMYFUNCTION("""COMPUTED_VALUE"""),"")</f>
        <v/>
      </c>
      <c r="G1554" s="20"/>
      <c r="H1554" s="19"/>
      <c r="I1554" s="19"/>
      <c r="J1554" s="19"/>
      <c r="K1554" s="19"/>
      <c r="L1554" s="19"/>
      <c r="M1554" s="19"/>
      <c r="N1554" s="20" t="s">
        <v>39</v>
      </c>
      <c r="O1554" s="19"/>
      <c r="P1554" s="19"/>
      <c r="Q1554" s="19"/>
      <c r="R1554" s="19"/>
      <c r="S1554" s="19"/>
      <c r="T1554" s="19"/>
      <c r="U1554" s="19"/>
      <c r="V1554" s="19"/>
    </row>
    <row r="1555">
      <c r="A1555" s="25"/>
      <c r="B1555" s="19"/>
      <c r="C1555" s="19"/>
      <c r="D1555" s="19"/>
      <c r="E1555" s="19"/>
      <c r="F1555" s="17" t="str">
        <f>IFERROR(__xludf.DUMMYFUNCTION("""COMPUTED_VALUE"""),"")</f>
        <v/>
      </c>
      <c r="G1555" s="20"/>
      <c r="H1555" s="19"/>
      <c r="I1555" s="19"/>
      <c r="J1555" s="19"/>
      <c r="K1555" s="19"/>
      <c r="L1555" s="19"/>
      <c r="M1555" s="19"/>
      <c r="N1555" s="20" t="s">
        <v>39</v>
      </c>
      <c r="O1555" s="19"/>
      <c r="P1555" s="19"/>
      <c r="Q1555" s="19"/>
      <c r="R1555" s="19"/>
      <c r="S1555" s="19"/>
      <c r="T1555" s="19"/>
      <c r="U1555" s="19"/>
      <c r="V1555" s="19"/>
    </row>
    <row r="1556">
      <c r="A1556" s="25"/>
      <c r="B1556" s="19"/>
      <c r="C1556" s="19"/>
      <c r="D1556" s="19"/>
      <c r="E1556" s="19"/>
      <c r="F1556" s="17" t="str">
        <f>IFERROR(__xludf.DUMMYFUNCTION("""COMPUTED_VALUE"""),"")</f>
        <v/>
      </c>
      <c r="G1556" s="20"/>
      <c r="H1556" s="19"/>
      <c r="I1556" s="19"/>
      <c r="J1556" s="19"/>
      <c r="K1556" s="19"/>
      <c r="L1556" s="19"/>
      <c r="M1556" s="19"/>
      <c r="N1556" s="20" t="s">
        <v>39</v>
      </c>
      <c r="O1556" s="19"/>
      <c r="P1556" s="19"/>
      <c r="Q1556" s="19"/>
      <c r="R1556" s="19"/>
      <c r="S1556" s="19"/>
      <c r="T1556" s="19"/>
      <c r="U1556" s="19"/>
      <c r="V1556" s="19"/>
    </row>
    <row r="1557">
      <c r="A1557" s="25"/>
      <c r="B1557" s="19"/>
      <c r="C1557" s="19"/>
      <c r="D1557" s="19"/>
      <c r="E1557" s="19"/>
      <c r="F1557" s="17" t="str">
        <f>IFERROR(__xludf.DUMMYFUNCTION("""COMPUTED_VALUE"""),"")</f>
        <v/>
      </c>
      <c r="G1557" s="20"/>
      <c r="H1557" s="19"/>
      <c r="I1557" s="19"/>
      <c r="J1557" s="19"/>
      <c r="K1557" s="19"/>
      <c r="L1557" s="19"/>
      <c r="M1557" s="19"/>
      <c r="N1557" s="20" t="s">
        <v>39</v>
      </c>
      <c r="O1557" s="19"/>
      <c r="P1557" s="19"/>
      <c r="Q1557" s="19"/>
      <c r="R1557" s="19"/>
      <c r="S1557" s="19"/>
      <c r="T1557" s="19"/>
      <c r="U1557" s="19"/>
      <c r="V1557" s="19"/>
    </row>
    <row r="1558">
      <c r="A1558" s="25"/>
      <c r="B1558" s="19"/>
      <c r="C1558" s="19"/>
      <c r="D1558" s="19"/>
      <c r="E1558" s="19"/>
      <c r="F1558" s="17" t="str">
        <f>IFERROR(__xludf.DUMMYFUNCTION("""COMPUTED_VALUE"""),"")</f>
        <v/>
      </c>
      <c r="G1558" s="20"/>
      <c r="H1558" s="19"/>
      <c r="I1558" s="19"/>
      <c r="J1558" s="19"/>
      <c r="K1558" s="19"/>
      <c r="L1558" s="19"/>
      <c r="M1558" s="19"/>
      <c r="N1558" s="20" t="s">
        <v>39</v>
      </c>
      <c r="O1558" s="19"/>
      <c r="P1558" s="19"/>
      <c r="Q1558" s="19"/>
      <c r="R1558" s="19"/>
      <c r="S1558" s="19"/>
      <c r="T1558" s="19"/>
      <c r="U1558" s="19"/>
      <c r="V1558" s="19"/>
    </row>
    <row r="1559">
      <c r="A1559" s="25"/>
      <c r="B1559" s="19"/>
      <c r="C1559" s="19"/>
      <c r="D1559" s="19"/>
      <c r="E1559" s="19"/>
      <c r="F1559" s="17" t="str">
        <f>IFERROR(__xludf.DUMMYFUNCTION("""COMPUTED_VALUE"""),"")</f>
        <v/>
      </c>
      <c r="G1559" s="20"/>
      <c r="H1559" s="19"/>
      <c r="I1559" s="19"/>
      <c r="J1559" s="19"/>
      <c r="K1559" s="19"/>
      <c r="L1559" s="19"/>
      <c r="M1559" s="19"/>
      <c r="N1559" s="20" t="s">
        <v>39</v>
      </c>
      <c r="O1559" s="19"/>
      <c r="P1559" s="19"/>
      <c r="Q1559" s="19"/>
      <c r="R1559" s="19"/>
      <c r="S1559" s="19"/>
      <c r="T1559" s="19"/>
      <c r="U1559" s="19"/>
      <c r="V1559" s="19"/>
    </row>
    <row r="1560">
      <c r="A1560" s="25"/>
      <c r="B1560" s="19"/>
      <c r="C1560" s="19"/>
      <c r="D1560" s="19"/>
      <c r="E1560" s="19"/>
      <c r="F1560" s="17" t="str">
        <f>IFERROR(__xludf.DUMMYFUNCTION("""COMPUTED_VALUE"""),"")</f>
        <v/>
      </c>
      <c r="G1560" s="20"/>
      <c r="H1560" s="19"/>
      <c r="I1560" s="19"/>
      <c r="J1560" s="19"/>
      <c r="K1560" s="19"/>
      <c r="L1560" s="19"/>
      <c r="M1560" s="19"/>
      <c r="N1560" s="20" t="s">
        <v>39</v>
      </c>
      <c r="O1560" s="19"/>
      <c r="P1560" s="19"/>
      <c r="Q1560" s="19"/>
      <c r="R1560" s="19"/>
      <c r="S1560" s="19"/>
      <c r="T1560" s="19"/>
      <c r="U1560" s="19"/>
      <c r="V1560" s="19"/>
    </row>
    <row r="1561">
      <c r="A1561" s="25"/>
      <c r="B1561" s="19"/>
      <c r="C1561" s="19"/>
      <c r="D1561" s="19"/>
      <c r="E1561" s="19"/>
      <c r="F1561" s="17" t="str">
        <f>IFERROR(__xludf.DUMMYFUNCTION("""COMPUTED_VALUE"""),"")</f>
        <v/>
      </c>
      <c r="G1561" s="20"/>
      <c r="H1561" s="19"/>
      <c r="I1561" s="19"/>
      <c r="J1561" s="19"/>
      <c r="K1561" s="19"/>
      <c r="L1561" s="19"/>
      <c r="M1561" s="19"/>
      <c r="N1561" s="20" t="s">
        <v>39</v>
      </c>
      <c r="O1561" s="19"/>
      <c r="P1561" s="19"/>
      <c r="Q1561" s="19"/>
      <c r="R1561" s="19"/>
      <c r="S1561" s="19"/>
      <c r="T1561" s="19"/>
      <c r="U1561" s="19"/>
      <c r="V1561" s="19"/>
    </row>
    <row r="1562">
      <c r="A1562" s="25"/>
      <c r="B1562" s="19"/>
      <c r="C1562" s="19"/>
      <c r="D1562" s="19"/>
      <c r="E1562" s="19"/>
      <c r="F1562" s="17" t="str">
        <f>IFERROR(__xludf.DUMMYFUNCTION("""COMPUTED_VALUE"""),"")</f>
        <v/>
      </c>
      <c r="G1562" s="20"/>
      <c r="H1562" s="19"/>
      <c r="I1562" s="19"/>
      <c r="J1562" s="19"/>
      <c r="K1562" s="19"/>
      <c r="L1562" s="19"/>
      <c r="M1562" s="19"/>
      <c r="N1562" s="20" t="s">
        <v>39</v>
      </c>
      <c r="O1562" s="19"/>
      <c r="P1562" s="19"/>
      <c r="Q1562" s="19"/>
      <c r="R1562" s="19"/>
      <c r="S1562" s="19"/>
      <c r="T1562" s="19"/>
      <c r="U1562" s="19"/>
      <c r="V1562" s="19"/>
    </row>
    <row r="1563">
      <c r="A1563" s="25"/>
      <c r="B1563" s="19"/>
      <c r="C1563" s="19"/>
      <c r="D1563" s="19"/>
      <c r="E1563" s="19"/>
      <c r="F1563" s="17" t="str">
        <f>IFERROR(__xludf.DUMMYFUNCTION("""COMPUTED_VALUE"""),"")</f>
        <v/>
      </c>
      <c r="G1563" s="20"/>
      <c r="H1563" s="19"/>
      <c r="I1563" s="19"/>
      <c r="J1563" s="19"/>
      <c r="K1563" s="19"/>
      <c r="L1563" s="19"/>
      <c r="M1563" s="19"/>
      <c r="N1563" s="20" t="s">
        <v>39</v>
      </c>
      <c r="O1563" s="19"/>
      <c r="P1563" s="19"/>
      <c r="Q1563" s="19"/>
      <c r="R1563" s="19"/>
      <c r="S1563" s="19"/>
      <c r="T1563" s="19"/>
      <c r="U1563" s="19"/>
      <c r="V1563" s="19"/>
    </row>
    <row r="1564">
      <c r="A1564" s="25"/>
      <c r="B1564" s="19"/>
      <c r="C1564" s="19"/>
      <c r="D1564" s="19"/>
      <c r="E1564" s="19"/>
      <c r="F1564" s="17" t="str">
        <f>IFERROR(__xludf.DUMMYFUNCTION("""COMPUTED_VALUE"""),"")</f>
        <v/>
      </c>
      <c r="G1564" s="20"/>
      <c r="H1564" s="19"/>
      <c r="I1564" s="19"/>
      <c r="J1564" s="19"/>
      <c r="K1564" s="19"/>
      <c r="L1564" s="19"/>
      <c r="M1564" s="19"/>
      <c r="N1564" s="20" t="s">
        <v>39</v>
      </c>
      <c r="O1564" s="19"/>
      <c r="P1564" s="19"/>
      <c r="Q1564" s="19"/>
      <c r="R1564" s="19"/>
      <c r="S1564" s="19"/>
      <c r="T1564" s="19"/>
      <c r="U1564" s="19"/>
      <c r="V1564" s="19"/>
    </row>
    <row r="1565">
      <c r="A1565" s="25"/>
      <c r="B1565" s="19"/>
      <c r="C1565" s="19"/>
      <c r="D1565" s="19"/>
      <c r="E1565" s="19"/>
      <c r="F1565" s="17" t="str">
        <f>IFERROR(__xludf.DUMMYFUNCTION("""COMPUTED_VALUE"""),"")</f>
        <v/>
      </c>
      <c r="G1565" s="20"/>
      <c r="H1565" s="19"/>
      <c r="I1565" s="19"/>
      <c r="J1565" s="19"/>
      <c r="K1565" s="19"/>
      <c r="L1565" s="19"/>
      <c r="M1565" s="19"/>
      <c r="N1565" s="20" t="s">
        <v>39</v>
      </c>
      <c r="O1565" s="19"/>
      <c r="P1565" s="19"/>
      <c r="Q1565" s="19"/>
      <c r="R1565" s="19"/>
      <c r="S1565" s="19"/>
      <c r="T1565" s="19"/>
      <c r="U1565" s="19"/>
      <c r="V1565" s="19"/>
    </row>
    <row r="1566">
      <c r="A1566" s="25"/>
      <c r="B1566" s="19"/>
      <c r="C1566" s="19"/>
      <c r="D1566" s="19"/>
      <c r="E1566" s="19"/>
      <c r="F1566" s="17" t="str">
        <f>IFERROR(__xludf.DUMMYFUNCTION("""COMPUTED_VALUE"""),"")</f>
        <v/>
      </c>
      <c r="G1566" s="20"/>
      <c r="H1566" s="19"/>
      <c r="I1566" s="19"/>
      <c r="J1566" s="19"/>
      <c r="K1566" s="19"/>
      <c r="L1566" s="19"/>
      <c r="M1566" s="19"/>
      <c r="N1566" s="20" t="s">
        <v>39</v>
      </c>
      <c r="O1566" s="19"/>
      <c r="P1566" s="19"/>
      <c r="Q1566" s="19"/>
      <c r="R1566" s="19"/>
      <c r="S1566" s="19"/>
      <c r="T1566" s="19"/>
      <c r="U1566" s="19"/>
      <c r="V1566" s="19"/>
    </row>
    <row r="1567">
      <c r="A1567" s="25"/>
      <c r="B1567" s="19"/>
      <c r="C1567" s="19"/>
      <c r="D1567" s="19"/>
      <c r="E1567" s="19"/>
      <c r="F1567" s="17" t="str">
        <f>IFERROR(__xludf.DUMMYFUNCTION("""COMPUTED_VALUE"""),"")</f>
        <v/>
      </c>
      <c r="G1567" s="20"/>
      <c r="H1567" s="19"/>
      <c r="I1567" s="19"/>
      <c r="J1567" s="19"/>
      <c r="K1567" s="19"/>
      <c r="L1567" s="19"/>
      <c r="M1567" s="19"/>
      <c r="N1567" s="20" t="s">
        <v>39</v>
      </c>
      <c r="O1567" s="19"/>
      <c r="P1567" s="19"/>
      <c r="Q1567" s="19"/>
      <c r="R1567" s="19"/>
      <c r="S1567" s="19"/>
      <c r="T1567" s="19"/>
      <c r="U1567" s="19"/>
      <c r="V1567" s="19"/>
    </row>
    <row r="1568">
      <c r="A1568" s="25"/>
      <c r="B1568" s="19"/>
      <c r="C1568" s="19"/>
      <c r="D1568" s="19"/>
      <c r="E1568" s="19"/>
      <c r="F1568" s="17" t="str">
        <f>IFERROR(__xludf.DUMMYFUNCTION("""COMPUTED_VALUE"""),"")</f>
        <v/>
      </c>
      <c r="G1568" s="20"/>
      <c r="H1568" s="19"/>
      <c r="I1568" s="19"/>
      <c r="J1568" s="19"/>
      <c r="K1568" s="19"/>
      <c r="L1568" s="19"/>
      <c r="M1568" s="19"/>
      <c r="N1568" s="20" t="s">
        <v>39</v>
      </c>
      <c r="O1568" s="19"/>
      <c r="P1568" s="19"/>
      <c r="Q1568" s="19"/>
      <c r="R1568" s="19"/>
      <c r="S1568" s="19"/>
      <c r="T1568" s="19"/>
      <c r="U1568" s="19"/>
      <c r="V1568" s="19"/>
    </row>
    <row r="1569">
      <c r="A1569" s="25"/>
      <c r="B1569" s="19"/>
      <c r="C1569" s="19"/>
      <c r="D1569" s="19"/>
      <c r="E1569" s="19"/>
      <c r="F1569" s="17" t="str">
        <f>IFERROR(__xludf.DUMMYFUNCTION("""COMPUTED_VALUE"""),"")</f>
        <v/>
      </c>
      <c r="G1569" s="20"/>
      <c r="H1569" s="19"/>
      <c r="I1569" s="19"/>
      <c r="J1569" s="19"/>
      <c r="K1569" s="19"/>
      <c r="L1569" s="19"/>
      <c r="M1569" s="19"/>
      <c r="N1569" s="20" t="s">
        <v>39</v>
      </c>
      <c r="O1569" s="19"/>
      <c r="P1569" s="19"/>
      <c r="Q1569" s="19"/>
      <c r="R1569" s="19"/>
      <c r="S1569" s="19"/>
      <c r="T1569" s="19"/>
      <c r="U1569" s="19"/>
      <c r="V1569" s="19"/>
    </row>
    <row r="1570">
      <c r="A1570" s="25"/>
      <c r="B1570" s="19"/>
      <c r="C1570" s="19"/>
      <c r="D1570" s="19"/>
      <c r="E1570" s="19"/>
      <c r="F1570" s="17" t="str">
        <f>IFERROR(__xludf.DUMMYFUNCTION("""COMPUTED_VALUE"""),"")</f>
        <v/>
      </c>
      <c r="G1570" s="20"/>
      <c r="H1570" s="19"/>
      <c r="I1570" s="19"/>
      <c r="J1570" s="19"/>
      <c r="K1570" s="19"/>
      <c r="L1570" s="19"/>
      <c r="M1570" s="19"/>
      <c r="N1570" s="20" t="s">
        <v>39</v>
      </c>
      <c r="O1570" s="19"/>
      <c r="P1570" s="19"/>
      <c r="Q1570" s="19"/>
      <c r="R1570" s="19"/>
      <c r="S1570" s="19"/>
      <c r="T1570" s="19"/>
      <c r="U1570" s="19"/>
      <c r="V1570" s="19"/>
    </row>
    <row r="1571">
      <c r="A1571" s="25"/>
      <c r="B1571" s="19"/>
      <c r="C1571" s="19"/>
      <c r="D1571" s="19"/>
      <c r="E1571" s="19"/>
      <c r="F1571" s="17" t="str">
        <f>IFERROR(__xludf.DUMMYFUNCTION("""COMPUTED_VALUE"""),"")</f>
        <v/>
      </c>
      <c r="G1571" s="20"/>
      <c r="H1571" s="19"/>
      <c r="I1571" s="19"/>
      <c r="J1571" s="19"/>
      <c r="K1571" s="19"/>
      <c r="L1571" s="19"/>
      <c r="M1571" s="19"/>
      <c r="N1571" s="20" t="s">
        <v>39</v>
      </c>
      <c r="O1571" s="19"/>
      <c r="P1571" s="19"/>
      <c r="Q1571" s="19"/>
      <c r="R1571" s="19"/>
      <c r="S1571" s="19"/>
      <c r="T1571" s="19"/>
      <c r="U1571" s="19"/>
      <c r="V1571" s="19"/>
    </row>
    <row r="1572">
      <c r="A1572" s="25"/>
      <c r="B1572" s="19"/>
      <c r="C1572" s="19"/>
      <c r="D1572" s="19"/>
      <c r="E1572" s="19"/>
      <c r="F1572" s="17" t="str">
        <f>IFERROR(__xludf.DUMMYFUNCTION("""COMPUTED_VALUE"""),"")</f>
        <v/>
      </c>
      <c r="G1572" s="20"/>
      <c r="H1572" s="19"/>
      <c r="I1572" s="19"/>
      <c r="J1572" s="19"/>
      <c r="K1572" s="19"/>
      <c r="L1572" s="19"/>
      <c r="M1572" s="19"/>
      <c r="N1572" s="20" t="s">
        <v>39</v>
      </c>
      <c r="O1572" s="19"/>
      <c r="P1572" s="19"/>
      <c r="Q1572" s="19"/>
      <c r="R1572" s="19"/>
      <c r="S1572" s="19"/>
      <c r="T1572" s="19"/>
      <c r="U1572" s="19"/>
      <c r="V1572" s="19"/>
    </row>
    <row r="1573">
      <c r="A1573" s="25"/>
      <c r="B1573" s="19"/>
      <c r="C1573" s="19"/>
      <c r="D1573" s="19"/>
      <c r="E1573" s="19"/>
      <c r="F1573" s="17" t="str">
        <f>IFERROR(__xludf.DUMMYFUNCTION("""COMPUTED_VALUE"""),"")</f>
        <v/>
      </c>
      <c r="G1573" s="20"/>
      <c r="H1573" s="19"/>
      <c r="I1573" s="19"/>
      <c r="J1573" s="19"/>
      <c r="K1573" s="19"/>
      <c r="L1573" s="19"/>
      <c r="M1573" s="19"/>
      <c r="N1573" s="20" t="s">
        <v>39</v>
      </c>
      <c r="O1573" s="19"/>
      <c r="P1573" s="19"/>
      <c r="Q1573" s="19"/>
      <c r="R1573" s="19"/>
      <c r="S1573" s="19"/>
      <c r="T1573" s="19"/>
      <c r="U1573" s="19"/>
      <c r="V1573" s="19"/>
    </row>
    <row r="1574">
      <c r="A1574" s="25"/>
      <c r="B1574" s="19"/>
      <c r="C1574" s="19"/>
      <c r="D1574" s="19"/>
      <c r="E1574" s="19"/>
      <c r="F1574" s="17" t="str">
        <f>IFERROR(__xludf.DUMMYFUNCTION("""COMPUTED_VALUE"""),"")</f>
        <v/>
      </c>
      <c r="G1574" s="20"/>
      <c r="H1574" s="19"/>
      <c r="I1574" s="19"/>
      <c r="J1574" s="19"/>
      <c r="K1574" s="19"/>
      <c r="L1574" s="19"/>
      <c r="M1574" s="19"/>
      <c r="N1574" s="20" t="s">
        <v>39</v>
      </c>
      <c r="O1574" s="19"/>
      <c r="P1574" s="19"/>
      <c r="Q1574" s="19"/>
      <c r="R1574" s="19"/>
      <c r="S1574" s="19"/>
      <c r="T1574" s="19"/>
      <c r="U1574" s="19"/>
      <c r="V1574" s="19"/>
    </row>
    <row r="1575">
      <c r="A1575" s="25"/>
      <c r="B1575" s="19"/>
      <c r="C1575" s="19"/>
      <c r="D1575" s="19"/>
      <c r="E1575" s="19"/>
      <c r="F1575" s="17" t="str">
        <f>IFERROR(__xludf.DUMMYFUNCTION("""COMPUTED_VALUE"""),"")</f>
        <v/>
      </c>
      <c r="G1575" s="20"/>
      <c r="H1575" s="19"/>
      <c r="I1575" s="19"/>
      <c r="J1575" s="19"/>
      <c r="K1575" s="19"/>
      <c r="L1575" s="19"/>
      <c r="M1575" s="19"/>
      <c r="N1575" s="20" t="s">
        <v>39</v>
      </c>
      <c r="O1575" s="19"/>
      <c r="P1575" s="19"/>
      <c r="Q1575" s="19"/>
      <c r="R1575" s="19"/>
      <c r="S1575" s="19"/>
      <c r="T1575" s="19"/>
      <c r="U1575" s="19"/>
      <c r="V1575" s="19"/>
    </row>
    <row r="1576">
      <c r="A1576" s="25"/>
      <c r="B1576" s="19"/>
      <c r="C1576" s="19"/>
      <c r="D1576" s="19"/>
      <c r="E1576" s="19"/>
      <c r="F1576" s="17" t="str">
        <f>IFERROR(__xludf.DUMMYFUNCTION("""COMPUTED_VALUE"""),"")</f>
        <v/>
      </c>
      <c r="G1576" s="20"/>
      <c r="H1576" s="19"/>
      <c r="I1576" s="19"/>
      <c r="J1576" s="19"/>
      <c r="K1576" s="19"/>
      <c r="L1576" s="19"/>
      <c r="M1576" s="19"/>
      <c r="N1576" s="20" t="s">
        <v>39</v>
      </c>
      <c r="O1576" s="19"/>
      <c r="P1576" s="19"/>
      <c r="Q1576" s="19"/>
      <c r="R1576" s="19"/>
      <c r="S1576" s="19"/>
      <c r="T1576" s="19"/>
      <c r="U1576" s="19"/>
      <c r="V1576" s="19"/>
    </row>
    <row r="1577">
      <c r="A1577" s="25"/>
      <c r="B1577" s="19"/>
      <c r="C1577" s="19"/>
      <c r="D1577" s="19"/>
      <c r="E1577" s="19"/>
      <c r="F1577" s="17" t="str">
        <f>IFERROR(__xludf.DUMMYFUNCTION("""COMPUTED_VALUE"""),"")</f>
        <v/>
      </c>
      <c r="G1577" s="20"/>
      <c r="H1577" s="19"/>
      <c r="I1577" s="19"/>
      <c r="J1577" s="19"/>
      <c r="K1577" s="19"/>
      <c r="L1577" s="19"/>
      <c r="M1577" s="19"/>
      <c r="N1577" s="20" t="s">
        <v>39</v>
      </c>
      <c r="O1577" s="19"/>
      <c r="P1577" s="19"/>
      <c r="Q1577" s="19"/>
      <c r="R1577" s="19"/>
      <c r="S1577" s="19"/>
      <c r="T1577" s="19"/>
      <c r="U1577" s="19"/>
      <c r="V1577" s="19"/>
    </row>
    <row r="1578">
      <c r="A1578" s="25"/>
      <c r="B1578" s="19"/>
      <c r="C1578" s="19"/>
      <c r="D1578" s="19"/>
      <c r="E1578" s="19"/>
      <c r="F1578" s="17" t="str">
        <f>IFERROR(__xludf.DUMMYFUNCTION("""COMPUTED_VALUE"""),"")</f>
        <v/>
      </c>
      <c r="G1578" s="20"/>
      <c r="H1578" s="19"/>
      <c r="I1578" s="19"/>
      <c r="J1578" s="19"/>
      <c r="K1578" s="19"/>
      <c r="L1578" s="19"/>
      <c r="M1578" s="19"/>
      <c r="N1578" s="20" t="s">
        <v>39</v>
      </c>
      <c r="O1578" s="19"/>
      <c r="P1578" s="19"/>
      <c r="Q1578" s="19"/>
      <c r="R1578" s="19"/>
      <c r="S1578" s="19"/>
      <c r="T1578" s="19"/>
      <c r="U1578" s="19"/>
      <c r="V1578" s="19"/>
    </row>
    <row r="1579">
      <c r="A1579" s="25"/>
      <c r="B1579" s="19"/>
      <c r="C1579" s="19"/>
      <c r="D1579" s="19"/>
      <c r="E1579" s="19"/>
      <c r="F1579" s="17" t="str">
        <f>IFERROR(__xludf.DUMMYFUNCTION("""COMPUTED_VALUE"""),"")</f>
        <v/>
      </c>
      <c r="G1579" s="20"/>
      <c r="H1579" s="19"/>
      <c r="I1579" s="19"/>
      <c r="J1579" s="19"/>
      <c r="K1579" s="19"/>
      <c r="L1579" s="19"/>
      <c r="M1579" s="19"/>
      <c r="N1579" s="20" t="s">
        <v>39</v>
      </c>
      <c r="O1579" s="19"/>
      <c r="P1579" s="19"/>
      <c r="Q1579" s="19"/>
      <c r="R1579" s="19"/>
      <c r="S1579" s="19"/>
      <c r="T1579" s="19"/>
      <c r="U1579" s="19"/>
      <c r="V1579" s="19"/>
    </row>
    <row r="1580">
      <c r="A1580" s="25"/>
      <c r="B1580" s="19"/>
      <c r="C1580" s="19"/>
      <c r="D1580" s="19"/>
      <c r="E1580" s="19"/>
      <c r="F1580" s="17" t="str">
        <f>IFERROR(__xludf.DUMMYFUNCTION("""COMPUTED_VALUE"""),"")</f>
        <v/>
      </c>
      <c r="G1580" s="20"/>
      <c r="H1580" s="19"/>
      <c r="I1580" s="19"/>
      <c r="J1580" s="19"/>
      <c r="K1580" s="19"/>
      <c r="L1580" s="19"/>
      <c r="M1580" s="19"/>
      <c r="N1580" s="20" t="s">
        <v>39</v>
      </c>
      <c r="O1580" s="19"/>
      <c r="P1580" s="19"/>
      <c r="Q1580" s="19"/>
      <c r="R1580" s="19"/>
      <c r="S1580" s="19"/>
      <c r="T1580" s="19"/>
      <c r="U1580" s="19"/>
      <c r="V1580" s="19"/>
    </row>
    <row r="1581">
      <c r="A1581" s="25"/>
      <c r="B1581" s="19"/>
      <c r="C1581" s="19"/>
      <c r="D1581" s="19"/>
      <c r="E1581" s="19"/>
      <c r="F1581" s="17" t="str">
        <f>IFERROR(__xludf.DUMMYFUNCTION("""COMPUTED_VALUE"""),"")</f>
        <v/>
      </c>
      <c r="G1581" s="20"/>
      <c r="H1581" s="19"/>
      <c r="I1581" s="19"/>
      <c r="J1581" s="19"/>
      <c r="K1581" s="19"/>
      <c r="L1581" s="19"/>
      <c r="M1581" s="19"/>
      <c r="N1581" s="20" t="s">
        <v>39</v>
      </c>
      <c r="O1581" s="19"/>
      <c r="P1581" s="19"/>
      <c r="Q1581" s="19"/>
      <c r="R1581" s="19"/>
      <c r="S1581" s="19"/>
      <c r="T1581" s="19"/>
      <c r="U1581" s="19"/>
      <c r="V1581" s="19"/>
    </row>
    <row r="1582">
      <c r="A1582" s="25"/>
      <c r="B1582" s="19"/>
      <c r="C1582" s="19"/>
      <c r="D1582" s="19"/>
      <c r="E1582" s="19"/>
      <c r="F1582" s="17" t="str">
        <f>IFERROR(__xludf.DUMMYFUNCTION("""COMPUTED_VALUE"""),"")</f>
        <v/>
      </c>
      <c r="G1582" s="20"/>
      <c r="H1582" s="19"/>
      <c r="I1582" s="19"/>
      <c r="J1582" s="19"/>
      <c r="K1582" s="19"/>
      <c r="L1582" s="19"/>
      <c r="M1582" s="19"/>
      <c r="N1582" s="20" t="s">
        <v>39</v>
      </c>
      <c r="O1582" s="19"/>
      <c r="P1582" s="19"/>
      <c r="Q1582" s="19"/>
      <c r="R1582" s="19"/>
      <c r="S1582" s="19"/>
      <c r="T1582" s="19"/>
      <c r="U1582" s="19"/>
      <c r="V1582" s="19"/>
    </row>
    <row r="1583">
      <c r="A1583" s="25"/>
      <c r="B1583" s="19"/>
      <c r="C1583" s="19"/>
      <c r="D1583" s="19"/>
      <c r="E1583" s="19"/>
      <c r="F1583" s="17" t="str">
        <f>IFERROR(__xludf.DUMMYFUNCTION("""COMPUTED_VALUE"""),"")</f>
        <v/>
      </c>
      <c r="G1583" s="20"/>
      <c r="H1583" s="19"/>
      <c r="I1583" s="19"/>
      <c r="J1583" s="19"/>
      <c r="K1583" s="19"/>
      <c r="L1583" s="19"/>
      <c r="M1583" s="19"/>
      <c r="N1583" s="20" t="s">
        <v>39</v>
      </c>
      <c r="O1583" s="19"/>
      <c r="P1583" s="19"/>
      <c r="Q1583" s="19"/>
      <c r="R1583" s="19"/>
      <c r="S1583" s="19"/>
      <c r="T1583" s="19"/>
      <c r="U1583" s="19"/>
      <c r="V1583" s="19"/>
    </row>
    <row r="1584">
      <c r="A1584" s="25"/>
      <c r="B1584" s="19"/>
      <c r="C1584" s="19"/>
      <c r="D1584" s="19"/>
      <c r="E1584" s="19"/>
      <c r="F1584" s="17" t="str">
        <f>IFERROR(__xludf.DUMMYFUNCTION("""COMPUTED_VALUE"""),"")</f>
        <v/>
      </c>
      <c r="G1584" s="20"/>
      <c r="H1584" s="19"/>
      <c r="I1584" s="19"/>
      <c r="J1584" s="19"/>
      <c r="K1584" s="19"/>
      <c r="L1584" s="19"/>
      <c r="M1584" s="19"/>
      <c r="N1584" s="20" t="s">
        <v>39</v>
      </c>
      <c r="O1584" s="19"/>
      <c r="P1584" s="19"/>
      <c r="Q1584" s="19"/>
      <c r="R1584" s="19"/>
      <c r="S1584" s="19"/>
      <c r="T1584" s="19"/>
      <c r="U1584" s="19"/>
      <c r="V1584" s="19"/>
    </row>
    <row r="1585">
      <c r="A1585" s="25"/>
      <c r="B1585" s="19"/>
      <c r="C1585" s="19"/>
      <c r="D1585" s="19"/>
      <c r="E1585" s="19"/>
      <c r="F1585" s="17" t="str">
        <f>IFERROR(__xludf.DUMMYFUNCTION("""COMPUTED_VALUE"""),"")</f>
        <v/>
      </c>
      <c r="G1585" s="20"/>
      <c r="H1585" s="19"/>
      <c r="I1585" s="19"/>
      <c r="J1585" s="19"/>
      <c r="K1585" s="19"/>
      <c r="L1585" s="19"/>
      <c r="M1585" s="19"/>
      <c r="N1585" s="20" t="s">
        <v>39</v>
      </c>
      <c r="O1585" s="19"/>
      <c r="P1585" s="19"/>
      <c r="Q1585" s="19"/>
      <c r="R1585" s="19"/>
      <c r="S1585" s="19"/>
      <c r="T1585" s="19"/>
      <c r="U1585" s="19"/>
      <c r="V1585" s="19"/>
    </row>
    <row r="1586">
      <c r="A1586" s="25"/>
      <c r="B1586" s="19"/>
      <c r="C1586" s="19"/>
      <c r="D1586" s="19"/>
      <c r="E1586" s="19"/>
      <c r="F1586" s="17" t="str">
        <f>IFERROR(__xludf.DUMMYFUNCTION("""COMPUTED_VALUE"""),"")</f>
        <v/>
      </c>
      <c r="G1586" s="20"/>
      <c r="H1586" s="19"/>
      <c r="I1586" s="19"/>
      <c r="J1586" s="19"/>
      <c r="K1586" s="19"/>
      <c r="L1586" s="19"/>
      <c r="M1586" s="19"/>
      <c r="N1586" s="20" t="s">
        <v>39</v>
      </c>
      <c r="O1586" s="19"/>
      <c r="P1586" s="19"/>
      <c r="Q1586" s="19"/>
      <c r="R1586" s="19"/>
      <c r="S1586" s="19"/>
      <c r="T1586" s="19"/>
      <c r="U1586" s="19"/>
      <c r="V1586" s="19"/>
    </row>
    <row r="1587">
      <c r="A1587" s="25"/>
      <c r="B1587" s="19"/>
      <c r="C1587" s="19"/>
      <c r="D1587" s="19"/>
      <c r="E1587" s="19"/>
      <c r="F1587" s="17" t="str">
        <f>IFERROR(__xludf.DUMMYFUNCTION("""COMPUTED_VALUE"""),"")</f>
        <v/>
      </c>
      <c r="G1587" s="20"/>
      <c r="H1587" s="19"/>
      <c r="I1587" s="19"/>
      <c r="J1587" s="19"/>
      <c r="K1587" s="19"/>
      <c r="L1587" s="19"/>
      <c r="M1587" s="19"/>
      <c r="N1587" s="20" t="s">
        <v>39</v>
      </c>
      <c r="O1587" s="19"/>
      <c r="P1587" s="19"/>
      <c r="Q1587" s="19"/>
      <c r="R1587" s="19"/>
      <c r="S1587" s="19"/>
      <c r="T1587" s="19"/>
      <c r="U1587" s="19"/>
      <c r="V1587" s="19"/>
    </row>
    <row r="1588">
      <c r="A1588" s="25"/>
      <c r="B1588" s="19"/>
      <c r="C1588" s="19"/>
      <c r="D1588" s="19"/>
      <c r="E1588" s="19"/>
      <c r="F1588" s="17" t="str">
        <f>IFERROR(__xludf.DUMMYFUNCTION("""COMPUTED_VALUE"""),"")</f>
        <v/>
      </c>
      <c r="G1588" s="20"/>
      <c r="H1588" s="19"/>
      <c r="I1588" s="19"/>
      <c r="J1588" s="19"/>
      <c r="K1588" s="19"/>
      <c r="L1588" s="19"/>
      <c r="M1588" s="19"/>
      <c r="N1588" s="20" t="s">
        <v>39</v>
      </c>
      <c r="O1588" s="19"/>
      <c r="P1588" s="19"/>
      <c r="Q1588" s="19"/>
      <c r="R1588" s="19"/>
      <c r="S1588" s="19"/>
      <c r="T1588" s="19"/>
      <c r="U1588" s="19"/>
      <c r="V1588" s="19"/>
    </row>
    <row r="1589">
      <c r="A1589" s="25"/>
      <c r="B1589" s="19"/>
      <c r="C1589" s="19"/>
      <c r="D1589" s="19"/>
      <c r="E1589" s="19"/>
      <c r="F1589" s="17" t="str">
        <f>IFERROR(__xludf.DUMMYFUNCTION("""COMPUTED_VALUE"""),"")</f>
        <v/>
      </c>
      <c r="G1589" s="20"/>
      <c r="H1589" s="19"/>
      <c r="I1589" s="19"/>
      <c r="J1589" s="19"/>
      <c r="K1589" s="19"/>
      <c r="L1589" s="19"/>
      <c r="M1589" s="19"/>
      <c r="N1589" s="20" t="s">
        <v>39</v>
      </c>
      <c r="O1589" s="19"/>
      <c r="P1589" s="19"/>
      <c r="Q1589" s="19"/>
      <c r="R1589" s="19"/>
      <c r="S1589" s="19"/>
      <c r="T1589" s="19"/>
      <c r="U1589" s="19"/>
      <c r="V1589" s="19"/>
    </row>
    <row r="1590">
      <c r="A1590" s="25"/>
      <c r="B1590" s="19"/>
      <c r="C1590" s="19"/>
      <c r="D1590" s="19"/>
      <c r="E1590" s="19"/>
      <c r="F1590" s="17" t="str">
        <f>IFERROR(__xludf.DUMMYFUNCTION("""COMPUTED_VALUE"""),"")</f>
        <v/>
      </c>
      <c r="G1590" s="20"/>
      <c r="H1590" s="19"/>
      <c r="I1590" s="19"/>
      <c r="J1590" s="19"/>
      <c r="K1590" s="19"/>
      <c r="L1590" s="19"/>
      <c r="M1590" s="19"/>
      <c r="N1590" s="20" t="s">
        <v>39</v>
      </c>
      <c r="O1590" s="19"/>
      <c r="P1590" s="19"/>
      <c r="Q1590" s="19"/>
      <c r="R1590" s="19"/>
      <c r="S1590" s="19"/>
      <c r="T1590" s="19"/>
      <c r="U1590" s="19"/>
      <c r="V1590" s="19"/>
    </row>
    <row r="1591">
      <c r="A1591" s="25"/>
      <c r="B1591" s="19"/>
      <c r="C1591" s="19"/>
      <c r="D1591" s="19"/>
      <c r="E1591" s="19"/>
      <c r="F1591" s="17" t="str">
        <f>IFERROR(__xludf.DUMMYFUNCTION("""COMPUTED_VALUE"""),"")</f>
        <v/>
      </c>
      <c r="G1591" s="20"/>
      <c r="H1591" s="19"/>
      <c r="I1591" s="19"/>
      <c r="J1591" s="19"/>
      <c r="K1591" s="19"/>
      <c r="L1591" s="19"/>
      <c r="M1591" s="19"/>
      <c r="N1591" s="20" t="s">
        <v>39</v>
      </c>
      <c r="O1591" s="19"/>
      <c r="P1591" s="19"/>
      <c r="Q1591" s="19"/>
      <c r="R1591" s="19"/>
      <c r="S1591" s="19"/>
      <c r="T1591" s="19"/>
      <c r="U1591" s="19"/>
      <c r="V1591" s="19"/>
    </row>
    <row r="1592">
      <c r="A1592" s="25"/>
      <c r="B1592" s="19"/>
      <c r="C1592" s="19"/>
      <c r="D1592" s="19"/>
      <c r="E1592" s="19"/>
      <c r="F1592" s="17" t="str">
        <f>IFERROR(__xludf.DUMMYFUNCTION("""COMPUTED_VALUE"""),"")</f>
        <v/>
      </c>
      <c r="G1592" s="20"/>
      <c r="H1592" s="19"/>
      <c r="I1592" s="19"/>
      <c r="J1592" s="19"/>
      <c r="K1592" s="19"/>
      <c r="L1592" s="19"/>
      <c r="M1592" s="19"/>
      <c r="N1592" s="20" t="s">
        <v>39</v>
      </c>
      <c r="O1592" s="19"/>
      <c r="P1592" s="19"/>
      <c r="Q1592" s="19"/>
      <c r="R1592" s="19"/>
      <c r="S1592" s="19"/>
      <c r="T1592" s="19"/>
      <c r="U1592" s="19"/>
      <c r="V1592" s="19"/>
    </row>
    <row r="1593">
      <c r="A1593" s="25"/>
      <c r="B1593" s="19"/>
      <c r="C1593" s="19"/>
      <c r="D1593" s="19"/>
      <c r="E1593" s="19"/>
      <c r="F1593" s="17" t="str">
        <f>IFERROR(__xludf.DUMMYFUNCTION("""COMPUTED_VALUE"""),"")</f>
        <v/>
      </c>
      <c r="G1593" s="20"/>
      <c r="H1593" s="19"/>
      <c r="I1593" s="19"/>
      <c r="J1593" s="19"/>
      <c r="K1593" s="19"/>
      <c r="L1593" s="19"/>
      <c r="M1593" s="19"/>
      <c r="N1593" s="20" t="s">
        <v>39</v>
      </c>
      <c r="O1593" s="19"/>
      <c r="P1593" s="19"/>
      <c r="Q1593" s="19"/>
      <c r="R1593" s="19"/>
      <c r="S1593" s="19"/>
      <c r="T1593" s="19"/>
      <c r="U1593" s="19"/>
      <c r="V1593" s="19"/>
    </row>
    <row r="1594">
      <c r="A1594" s="25"/>
      <c r="B1594" s="19"/>
      <c r="C1594" s="19"/>
      <c r="D1594" s="19"/>
      <c r="E1594" s="19"/>
      <c r="F1594" s="17" t="str">
        <f>IFERROR(__xludf.DUMMYFUNCTION("""COMPUTED_VALUE"""),"")</f>
        <v/>
      </c>
      <c r="G1594" s="20"/>
      <c r="H1594" s="19"/>
      <c r="I1594" s="19"/>
      <c r="J1594" s="19"/>
      <c r="K1594" s="19"/>
      <c r="L1594" s="19"/>
      <c r="M1594" s="19"/>
      <c r="N1594" s="20" t="s">
        <v>39</v>
      </c>
      <c r="O1594" s="19"/>
      <c r="P1594" s="19"/>
      <c r="Q1594" s="19"/>
      <c r="R1594" s="19"/>
      <c r="S1594" s="19"/>
      <c r="T1594" s="19"/>
      <c r="U1594" s="19"/>
      <c r="V1594" s="19"/>
    </row>
    <row r="1595">
      <c r="A1595" s="25"/>
      <c r="B1595" s="19"/>
      <c r="C1595" s="19"/>
      <c r="D1595" s="19"/>
      <c r="E1595" s="19"/>
      <c r="F1595" s="17" t="str">
        <f>IFERROR(__xludf.DUMMYFUNCTION("""COMPUTED_VALUE"""),"")</f>
        <v/>
      </c>
      <c r="G1595" s="20"/>
      <c r="H1595" s="19"/>
      <c r="I1595" s="19"/>
      <c r="J1595" s="19"/>
      <c r="K1595" s="19"/>
      <c r="L1595" s="19"/>
      <c r="M1595" s="19"/>
      <c r="N1595" s="20" t="s">
        <v>39</v>
      </c>
      <c r="O1595" s="19"/>
      <c r="P1595" s="19"/>
      <c r="Q1595" s="19"/>
      <c r="R1595" s="19"/>
      <c r="S1595" s="19"/>
      <c r="T1595" s="19"/>
      <c r="U1595" s="19"/>
      <c r="V1595" s="19"/>
    </row>
    <row r="1596">
      <c r="A1596" s="25"/>
      <c r="B1596" s="19"/>
      <c r="C1596" s="19"/>
      <c r="D1596" s="19"/>
      <c r="E1596" s="19"/>
      <c r="F1596" s="17" t="str">
        <f>IFERROR(__xludf.DUMMYFUNCTION("""COMPUTED_VALUE"""),"")</f>
        <v/>
      </c>
      <c r="G1596" s="20"/>
      <c r="H1596" s="19"/>
      <c r="I1596" s="19"/>
      <c r="J1596" s="19"/>
      <c r="K1596" s="19"/>
      <c r="L1596" s="19"/>
      <c r="M1596" s="19"/>
      <c r="N1596" s="20" t="s">
        <v>39</v>
      </c>
      <c r="O1596" s="19"/>
      <c r="P1596" s="19"/>
      <c r="Q1596" s="19"/>
      <c r="R1596" s="19"/>
      <c r="S1596" s="19"/>
      <c r="T1596" s="19"/>
      <c r="U1596" s="19"/>
      <c r="V1596" s="19"/>
    </row>
    <row r="1597">
      <c r="A1597" s="25"/>
      <c r="B1597" s="19"/>
      <c r="C1597" s="19"/>
      <c r="D1597" s="19"/>
      <c r="E1597" s="19"/>
      <c r="F1597" s="17" t="str">
        <f>IFERROR(__xludf.DUMMYFUNCTION("""COMPUTED_VALUE"""),"")</f>
        <v/>
      </c>
      <c r="G1597" s="20"/>
      <c r="H1597" s="19"/>
      <c r="I1597" s="19"/>
      <c r="J1597" s="19"/>
      <c r="K1597" s="19"/>
      <c r="L1597" s="19"/>
      <c r="M1597" s="19"/>
      <c r="N1597" s="20" t="s">
        <v>39</v>
      </c>
      <c r="O1597" s="19"/>
      <c r="P1597" s="19"/>
      <c r="Q1597" s="19"/>
      <c r="R1597" s="19"/>
      <c r="S1597" s="19"/>
      <c r="T1597" s="19"/>
      <c r="U1597" s="19"/>
      <c r="V1597" s="19"/>
    </row>
    <row r="1598">
      <c r="A1598" s="25"/>
      <c r="B1598" s="19"/>
      <c r="C1598" s="19"/>
      <c r="D1598" s="19"/>
      <c r="E1598" s="19"/>
      <c r="F1598" s="17" t="str">
        <f>IFERROR(__xludf.DUMMYFUNCTION("""COMPUTED_VALUE"""),"")</f>
        <v/>
      </c>
      <c r="G1598" s="20"/>
      <c r="H1598" s="19"/>
      <c r="I1598" s="19"/>
      <c r="J1598" s="19"/>
      <c r="K1598" s="19"/>
      <c r="L1598" s="19"/>
      <c r="M1598" s="19"/>
      <c r="N1598" s="20" t="s">
        <v>39</v>
      </c>
      <c r="O1598" s="19"/>
      <c r="P1598" s="19"/>
      <c r="Q1598" s="19"/>
      <c r="R1598" s="19"/>
      <c r="S1598" s="19"/>
      <c r="T1598" s="19"/>
      <c r="U1598" s="19"/>
      <c r="V1598" s="19"/>
    </row>
    <row r="1599">
      <c r="A1599" s="25"/>
      <c r="B1599" s="19"/>
      <c r="C1599" s="19"/>
      <c r="D1599" s="19"/>
      <c r="E1599" s="19"/>
      <c r="F1599" s="17" t="str">
        <f>IFERROR(__xludf.DUMMYFUNCTION("""COMPUTED_VALUE"""),"")</f>
        <v/>
      </c>
      <c r="G1599" s="20"/>
      <c r="H1599" s="19"/>
      <c r="I1599" s="19"/>
      <c r="J1599" s="19"/>
      <c r="K1599" s="19"/>
      <c r="L1599" s="19"/>
      <c r="M1599" s="19"/>
      <c r="N1599" s="20" t="s">
        <v>39</v>
      </c>
      <c r="O1599" s="19"/>
      <c r="P1599" s="19"/>
      <c r="Q1599" s="19"/>
      <c r="R1599" s="19"/>
      <c r="S1599" s="19"/>
      <c r="T1599" s="19"/>
      <c r="U1599" s="19"/>
      <c r="V1599" s="19"/>
    </row>
    <row r="1600">
      <c r="A1600" s="25"/>
      <c r="B1600" s="19"/>
      <c r="C1600" s="19"/>
      <c r="D1600" s="19"/>
      <c r="E1600" s="19"/>
      <c r="F1600" s="17" t="str">
        <f>IFERROR(__xludf.DUMMYFUNCTION("""COMPUTED_VALUE"""),"")</f>
        <v/>
      </c>
      <c r="G1600" s="20"/>
      <c r="H1600" s="19"/>
      <c r="I1600" s="19"/>
      <c r="J1600" s="19"/>
      <c r="K1600" s="19"/>
      <c r="L1600" s="19"/>
      <c r="M1600" s="19"/>
      <c r="N1600" s="20" t="s">
        <v>39</v>
      </c>
      <c r="O1600" s="19"/>
      <c r="P1600" s="19"/>
      <c r="Q1600" s="19"/>
      <c r="R1600" s="19"/>
      <c r="S1600" s="19"/>
      <c r="T1600" s="19"/>
      <c r="U1600" s="19"/>
      <c r="V1600" s="19"/>
    </row>
    <row r="1601">
      <c r="A1601" s="25"/>
      <c r="B1601" s="19"/>
      <c r="C1601" s="19"/>
      <c r="D1601" s="19"/>
      <c r="E1601" s="19"/>
      <c r="F1601" s="17" t="str">
        <f>IFERROR(__xludf.DUMMYFUNCTION("""COMPUTED_VALUE"""),"")</f>
        <v/>
      </c>
      <c r="G1601" s="20"/>
      <c r="H1601" s="19"/>
      <c r="I1601" s="19"/>
      <c r="J1601" s="19"/>
      <c r="K1601" s="19"/>
      <c r="L1601" s="19"/>
      <c r="M1601" s="19"/>
      <c r="N1601" s="20" t="s">
        <v>39</v>
      </c>
      <c r="O1601" s="19"/>
      <c r="P1601" s="19"/>
      <c r="Q1601" s="19"/>
      <c r="R1601" s="19"/>
      <c r="S1601" s="19"/>
      <c r="T1601" s="19"/>
      <c r="U1601" s="19"/>
      <c r="V1601" s="19"/>
    </row>
    <row r="1602">
      <c r="A1602" s="25"/>
      <c r="B1602" s="19"/>
      <c r="C1602" s="19"/>
      <c r="D1602" s="19"/>
      <c r="E1602" s="19"/>
      <c r="F1602" s="17" t="str">
        <f>IFERROR(__xludf.DUMMYFUNCTION("""COMPUTED_VALUE"""),"")</f>
        <v/>
      </c>
      <c r="G1602" s="20"/>
      <c r="H1602" s="19"/>
      <c r="I1602" s="19"/>
      <c r="J1602" s="19"/>
      <c r="K1602" s="19"/>
      <c r="L1602" s="19"/>
      <c r="M1602" s="19"/>
      <c r="N1602" s="20" t="s">
        <v>39</v>
      </c>
      <c r="O1602" s="19"/>
      <c r="P1602" s="19"/>
      <c r="Q1602" s="19"/>
      <c r="R1602" s="19"/>
      <c r="S1602" s="19"/>
      <c r="T1602" s="19"/>
      <c r="U1602" s="19"/>
      <c r="V1602" s="19"/>
    </row>
    <row r="1603">
      <c r="A1603" s="25"/>
      <c r="B1603" s="19"/>
      <c r="C1603" s="19"/>
      <c r="D1603" s="19"/>
      <c r="E1603" s="19"/>
      <c r="F1603" s="17" t="str">
        <f>IFERROR(__xludf.DUMMYFUNCTION("""COMPUTED_VALUE"""),"")</f>
        <v/>
      </c>
      <c r="G1603" s="20"/>
      <c r="H1603" s="19"/>
      <c r="I1603" s="19"/>
      <c r="J1603" s="19"/>
      <c r="K1603" s="19"/>
      <c r="L1603" s="19"/>
      <c r="M1603" s="19"/>
      <c r="N1603" s="20" t="s">
        <v>39</v>
      </c>
      <c r="O1603" s="19"/>
      <c r="P1603" s="19"/>
      <c r="Q1603" s="19"/>
      <c r="R1603" s="19"/>
      <c r="S1603" s="19"/>
      <c r="T1603" s="19"/>
      <c r="U1603" s="19"/>
      <c r="V1603" s="19"/>
    </row>
    <row r="1604">
      <c r="A1604" s="25"/>
      <c r="B1604" s="19"/>
      <c r="C1604" s="19"/>
      <c r="D1604" s="19"/>
      <c r="E1604" s="19"/>
      <c r="F1604" s="17" t="str">
        <f>IFERROR(__xludf.DUMMYFUNCTION("""COMPUTED_VALUE"""),"")</f>
        <v/>
      </c>
      <c r="G1604" s="20"/>
      <c r="H1604" s="19"/>
      <c r="I1604" s="19"/>
      <c r="J1604" s="19"/>
      <c r="K1604" s="19"/>
      <c r="L1604" s="19"/>
      <c r="M1604" s="19"/>
      <c r="N1604" s="20" t="s">
        <v>39</v>
      </c>
      <c r="O1604" s="19"/>
      <c r="P1604" s="19"/>
      <c r="Q1604" s="19"/>
      <c r="R1604" s="19"/>
      <c r="S1604" s="19"/>
      <c r="T1604" s="19"/>
      <c r="U1604" s="19"/>
      <c r="V1604" s="19"/>
    </row>
    <row r="1605">
      <c r="A1605" s="25"/>
      <c r="B1605" s="19"/>
      <c r="C1605" s="19"/>
      <c r="D1605" s="19"/>
      <c r="E1605" s="19"/>
      <c r="F1605" s="17" t="str">
        <f>IFERROR(__xludf.DUMMYFUNCTION("""COMPUTED_VALUE"""),"")</f>
        <v/>
      </c>
      <c r="G1605" s="20"/>
      <c r="H1605" s="19"/>
      <c r="I1605" s="19"/>
      <c r="J1605" s="19"/>
      <c r="K1605" s="19"/>
      <c r="L1605" s="19"/>
      <c r="M1605" s="19"/>
      <c r="N1605" s="20" t="s">
        <v>39</v>
      </c>
      <c r="O1605" s="19"/>
      <c r="P1605" s="19"/>
      <c r="Q1605" s="19"/>
      <c r="R1605" s="19"/>
      <c r="S1605" s="19"/>
      <c r="T1605" s="19"/>
      <c r="U1605" s="19"/>
      <c r="V1605" s="19"/>
    </row>
    <row r="1606">
      <c r="A1606" s="25"/>
      <c r="B1606" s="19"/>
      <c r="C1606" s="19"/>
      <c r="D1606" s="19"/>
      <c r="E1606" s="19"/>
      <c r="F1606" s="17" t="str">
        <f>IFERROR(__xludf.DUMMYFUNCTION("""COMPUTED_VALUE"""),"")</f>
        <v/>
      </c>
      <c r="G1606" s="20"/>
      <c r="H1606" s="19"/>
      <c r="I1606" s="19"/>
      <c r="J1606" s="19"/>
      <c r="K1606" s="19"/>
      <c r="L1606" s="19"/>
      <c r="M1606" s="19"/>
      <c r="N1606" s="20" t="s">
        <v>39</v>
      </c>
      <c r="O1606" s="19"/>
      <c r="P1606" s="19"/>
      <c r="Q1606" s="19"/>
      <c r="R1606" s="19"/>
      <c r="S1606" s="19"/>
      <c r="T1606" s="19"/>
      <c r="U1606" s="19"/>
      <c r="V1606" s="19"/>
    </row>
    <row r="1607">
      <c r="A1607" s="25"/>
      <c r="B1607" s="19"/>
      <c r="C1607" s="19"/>
      <c r="D1607" s="19"/>
      <c r="E1607" s="19"/>
      <c r="F1607" s="17" t="str">
        <f>IFERROR(__xludf.DUMMYFUNCTION("""COMPUTED_VALUE"""),"")</f>
        <v/>
      </c>
      <c r="G1607" s="20"/>
      <c r="H1607" s="19"/>
      <c r="I1607" s="19"/>
      <c r="J1607" s="19"/>
      <c r="K1607" s="19"/>
      <c r="L1607" s="19"/>
      <c r="M1607" s="19"/>
      <c r="N1607" s="20" t="s">
        <v>39</v>
      </c>
      <c r="O1607" s="19"/>
      <c r="P1607" s="19"/>
      <c r="Q1607" s="19"/>
      <c r="R1607" s="19"/>
      <c r="S1607" s="19"/>
      <c r="T1607" s="19"/>
      <c r="U1607" s="19"/>
      <c r="V1607" s="19"/>
    </row>
    <row r="1608">
      <c r="A1608" s="25"/>
      <c r="B1608" s="19"/>
      <c r="C1608" s="19"/>
      <c r="D1608" s="19"/>
      <c r="E1608" s="19"/>
      <c r="F1608" s="17" t="str">
        <f>IFERROR(__xludf.DUMMYFUNCTION("""COMPUTED_VALUE"""),"")</f>
        <v/>
      </c>
      <c r="G1608" s="20"/>
      <c r="H1608" s="19"/>
      <c r="I1608" s="19"/>
      <c r="J1608" s="19"/>
      <c r="K1608" s="19"/>
      <c r="L1608" s="19"/>
      <c r="M1608" s="19"/>
      <c r="N1608" s="20" t="s">
        <v>39</v>
      </c>
      <c r="O1608" s="19"/>
      <c r="P1608" s="19"/>
      <c r="Q1608" s="19"/>
      <c r="R1608" s="19"/>
      <c r="S1608" s="19"/>
      <c r="T1608" s="19"/>
      <c r="U1608" s="19"/>
      <c r="V1608" s="19"/>
    </row>
    <row r="1609">
      <c r="A1609" s="25"/>
      <c r="B1609" s="19"/>
      <c r="C1609" s="19"/>
      <c r="D1609" s="19"/>
      <c r="E1609" s="19"/>
      <c r="F1609" s="17" t="str">
        <f>IFERROR(__xludf.DUMMYFUNCTION("""COMPUTED_VALUE"""),"")</f>
        <v/>
      </c>
      <c r="G1609" s="20"/>
      <c r="H1609" s="19"/>
      <c r="I1609" s="19"/>
      <c r="J1609" s="19"/>
      <c r="K1609" s="19"/>
      <c r="L1609" s="19"/>
      <c r="M1609" s="19"/>
      <c r="N1609" s="20" t="s">
        <v>39</v>
      </c>
      <c r="O1609" s="19"/>
      <c r="P1609" s="19"/>
      <c r="Q1609" s="19"/>
      <c r="R1609" s="19"/>
      <c r="S1609" s="19"/>
      <c r="T1609" s="19"/>
      <c r="U1609" s="19"/>
      <c r="V1609" s="19"/>
    </row>
    <row r="1610">
      <c r="A1610" s="25"/>
      <c r="B1610" s="19"/>
      <c r="C1610" s="19"/>
      <c r="D1610" s="19"/>
      <c r="E1610" s="19"/>
      <c r="F1610" s="17" t="str">
        <f>IFERROR(__xludf.DUMMYFUNCTION("""COMPUTED_VALUE"""),"")</f>
        <v/>
      </c>
      <c r="G1610" s="20"/>
      <c r="H1610" s="19"/>
      <c r="I1610" s="19"/>
      <c r="J1610" s="19"/>
      <c r="K1610" s="19"/>
      <c r="L1610" s="19"/>
      <c r="M1610" s="19"/>
      <c r="N1610" s="20" t="s">
        <v>39</v>
      </c>
      <c r="O1610" s="19"/>
      <c r="P1610" s="19"/>
      <c r="Q1610" s="19"/>
      <c r="R1610" s="19"/>
      <c r="S1610" s="19"/>
      <c r="T1610" s="19"/>
      <c r="U1610" s="19"/>
      <c r="V1610" s="19"/>
    </row>
    <row r="1611">
      <c r="A1611" s="25"/>
      <c r="B1611" s="19"/>
      <c r="C1611" s="19"/>
      <c r="D1611" s="19"/>
      <c r="E1611" s="19"/>
      <c r="F1611" s="17" t="str">
        <f>IFERROR(__xludf.DUMMYFUNCTION("""COMPUTED_VALUE"""),"")</f>
        <v/>
      </c>
      <c r="G1611" s="20"/>
      <c r="H1611" s="19"/>
      <c r="I1611" s="19"/>
      <c r="J1611" s="19"/>
      <c r="K1611" s="19"/>
      <c r="L1611" s="19"/>
      <c r="M1611" s="19"/>
      <c r="N1611" s="20" t="s">
        <v>39</v>
      </c>
      <c r="O1611" s="19"/>
      <c r="P1611" s="19"/>
      <c r="Q1611" s="19"/>
      <c r="R1611" s="19"/>
      <c r="S1611" s="19"/>
      <c r="T1611" s="19"/>
      <c r="U1611" s="19"/>
      <c r="V1611" s="19"/>
    </row>
    <row r="1612">
      <c r="A1612" s="25"/>
      <c r="B1612" s="19"/>
      <c r="C1612" s="19"/>
      <c r="D1612" s="19"/>
      <c r="E1612" s="19"/>
      <c r="F1612" s="17" t="str">
        <f>IFERROR(__xludf.DUMMYFUNCTION("""COMPUTED_VALUE"""),"")</f>
        <v/>
      </c>
      <c r="G1612" s="20"/>
      <c r="H1612" s="19"/>
      <c r="I1612" s="19"/>
      <c r="J1612" s="19"/>
      <c r="K1612" s="19"/>
      <c r="L1612" s="19"/>
      <c r="M1612" s="19"/>
      <c r="N1612" s="20" t="s">
        <v>39</v>
      </c>
      <c r="O1612" s="19"/>
      <c r="P1612" s="19"/>
      <c r="Q1612" s="19"/>
      <c r="R1612" s="19"/>
      <c r="S1612" s="19"/>
      <c r="T1612" s="19"/>
      <c r="U1612" s="19"/>
      <c r="V1612" s="19"/>
    </row>
    <row r="1613">
      <c r="A1613" s="25"/>
      <c r="B1613" s="19"/>
      <c r="C1613" s="19"/>
      <c r="D1613" s="19"/>
      <c r="E1613" s="19"/>
      <c r="F1613" s="17" t="str">
        <f>IFERROR(__xludf.DUMMYFUNCTION("""COMPUTED_VALUE"""),"")</f>
        <v/>
      </c>
      <c r="G1613" s="20"/>
      <c r="H1613" s="19"/>
      <c r="I1613" s="19"/>
      <c r="J1613" s="19"/>
      <c r="K1613" s="19"/>
      <c r="L1613" s="19"/>
      <c r="M1613" s="19"/>
      <c r="N1613" s="20" t="s">
        <v>39</v>
      </c>
      <c r="O1613" s="19"/>
      <c r="P1613" s="19"/>
      <c r="Q1613" s="19"/>
      <c r="R1613" s="19"/>
      <c r="S1613" s="19"/>
      <c r="T1613" s="19"/>
      <c r="U1613" s="19"/>
      <c r="V1613" s="19"/>
    </row>
    <row r="1614">
      <c r="A1614" s="25"/>
      <c r="B1614" s="19"/>
      <c r="C1614" s="19"/>
      <c r="D1614" s="19"/>
      <c r="E1614" s="19"/>
      <c r="F1614" s="17" t="str">
        <f>IFERROR(__xludf.DUMMYFUNCTION("""COMPUTED_VALUE"""),"")</f>
        <v/>
      </c>
      <c r="G1614" s="20"/>
      <c r="H1614" s="19"/>
      <c r="I1614" s="19"/>
      <c r="J1614" s="19"/>
      <c r="K1614" s="19"/>
      <c r="L1614" s="19"/>
      <c r="M1614" s="19"/>
      <c r="N1614" s="20" t="s">
        <v>39</v>
      </c>
      <c r="O1614" s="19"/>
      <c r="P1614" s="19"/>
      <c r="Q1614" s="19"/>
      <c r="R1614" s="19"/>
      <c r="S1614" s="19"/>
      <c r="T1614" s="19"/>
      <c r="U1614" s="19"/>
      <c r="V1614" s="19"/>
    </row>
    <row r="1615">
      <c r="A1615" s="25"/>
      <c r="B1615" s="19"/>
      <c r="C1615" s="19"/>
      <c r="D1615" s="19"/>
      <c r="E1615" s="19"/>
      <c r="F1615" s="17" t="str">
        <f>IFERROR(__xludf.DUMMYFUNCTION("""COMPUTED_VALUE"""),"")</f>
        <v/>
      </c>
      <c r="G1615" s="20"/>
      <c r="H1615" s="19"/>
      <c r="I1615" s="19"/>
      <c r="J1615" s="19"/>
      <c r="K1615" s="19"/>
      <c r="L1615" s="19"/>
      <c r="M1615" s="19"/>
      <c r="N1615" s="20" t="s">
        <v>39</v>
      </c>
      <c r="O1615" s="19"/>
      <c r="P1615" s="19"/>
      <c r="Q1615" s="19"/>
      <c r="R1615" s="19"/>
      <c r="S1615" s="19"/>
      <c r="T1615" s="19"/>
      <c r="U1615" s="19"/>
      <c r="V1615" s="19"/>
    </row>
    <row r="1616">
      <c r="A1616" s="25"/>
      <c r="B1616" s="19"/>
      <c r="C1616" s="19"/>
      <c r="D1616" s="19"/>
      <c r="E1616" s="19"/>
      <c r="F1616" s="17" t="str">
        <f>IFERROR(__xludf.DUMMYFUNCTION("""COMPUTED_VALUE"""),"")</f>
        <v/>
      </c>
      <c r="G1616" s="20"/>
      <c r="H1616" s="19"/>
      <c r="I1616" s="19"/>
      <c r="J1616" s="19"/>
      <c r="K1616" s="19"/>
      <c r="L1616" s="19"/>
      <c r="M1616" s="19"/>
      <c r="N1616" s="20" t="s">
        <v>39</v>
      </c>
      <c r="O1616" s="19"/>
      <c r="P1616" s="19"/>
      <c r="Q1616" s="19"/>
      <c r="R1616" s="19"/>
      <c r="S1616" s="19"/>
      <c r="T1616" s="19"/>
      <c r="U1616" s="19"/>
      <c r="V1616" s="19"/>
    </row>
    <row r="1617">
      <c r="A1617" s="25"/>
      <c r="B1617" s="19"/>
      <c r="C1617" s="19"/>
      <c r="D1617" s="19"/>
      <c r="E1617" s="19"/>
      <c r="F1617" s="17" t="str">
        <f>IFERROR(__xludf.DUMMYFUNCTION("""COMPUTED_VALUE"""),"")</f>
        <v/>
      </c>
      <c r="G1617" s="20"/>
      <c r="H1617" s="19"/>
      <c r="I1617" s="19"/>
      <c r="J1617" s="19"/>
      <c r="K1617" s="19"/>
      <c r="L1617" s="19"/>
      <c r="M1617" s="19"/>
      <c r="N1617" s="20" t="s">
        <v>39</v>
      </c>
      <c r="O1617" s="19"/>
      <c r="P1617" s="19"/>
      <c r="Q1617" s="19"/>
      <c r="R1617" s="19"/>
      <c r="S1617" s="19"/>
      <c r="T1617" s="19"/>
      <c r="U1617" s="19"/>
      <c r="V1617" s="19"/>
    </row>
    <row r="1618">
      <c r="A1618" s="25"/>
      <c r="B1618" s="19"/>
      <c r="C1618" s="19"/>
      <c r="D1618" s="19"/>
      <c r="E1618" s="19"/>
      <c r="F1618" s="17" t="str">
        <f>IFERROR(__xludf.DUMMYFUNCTION("""COMPUTED_VALUE"""),"")</f>
        <v/>
      </c>
      <c r="G1618" s="20"/>
      <c r="H1618" s="19"/>
      <c r="I1618" s="19"/>
      <c r="J1618" s="19"/>
      <c r="K1618" s="19"/>
      <c r="L1618" s="19"/>
      <c r="M1618" s="19"/>
      <c r="N1618" s="20" t="s">
        <v>39</v>
      </c>
      <c r="O1618" s="19"/>
      <c r="P1618" s="19"/>
      <c r="Q1618" s="19"/>
      <c r="R1618" s="19"/>
      <c r="S1618" s="19"/>
      <c r="T1618" s="19"/>
      <c r="U1618" s="19"/>
      <c r="V1618" s="19"/>
    </row>
    <row r="1619">
      <c r="A1619" s="25"/>
      <c r="B1619" s="19"/>
      <c r="C1619" s="19"/>
      <c r="D1619" s="19"/>
      <c r="E1619" s="19"/>
      <c r="F1619" s="17" t="str">
        <f>IFERROR(__xludf.DUMMYFUNCTION("""COMPUTED_VALUE"""),"")</f>
        <v/>
      </c>
      <c r="G1619" s="20"/>
      <c r="H1619" s="19"/>
      <c r="I1619" s="19"/>
      <c r="J1619" s="19"/>
      <c r="K1619" s="19"/>
      <c r="L1619" s="19"/>
      <c r="M1619" s="19"/>
      <c r="N1619" s="20" t="s">
        <v>39</v>
      </c>
      <c r="O1619" s="19"/>
      <c r="P1619" s="19"/>
      <c r="Q1619" s="19"/>
      <c r="R1619" s="19"/>
      <c r="S1619" s="19"/>
      <c r="T1619" s="19"/>
      <c r="U1619" s="19"/>
      <c r="V1619" s="19"/>
    </row>
    <row r="1620">
      <c r="A1620" s="25"/>
      <c r="B1620" s="19"/>
      <c r="C1620" s="19"/>
      <c r="D1620" s="19"/>
      <c r="E1620" s="19"/>
      <c r="F1620" s="17" t="str">
        <f>IFERROR(__xludf.DUMMYFUNCTION("""COMPUTED_VALUE"""),"")</f>
        <v/>
      </c>
      <c r="G1620" s="20"/>
      <c r="H1620" s="19"/>
      <c r="I1620" s="19"/>
      <c r="J1620" s="19"/>
      <c r="K1620" s="19"/>
      <c r="L1620" s="19"/>
      <c r="M1620" s="19"/>
      <c r="N1620" s="20" t="s">
        <v>39</v>
      </c>
      <c r="O1620" s="19"/>
      <c r="P1620" s="19"/>
      <c r="Q1620" s="19"/>
      <c r="R1620" s="19"/>
      <c r="S1620" s="19"/>
      <c r="T1620" s="19"/>
      <c r="U1620" s="19"/>
      <c r="V1620" s="19"/>
    </row>
    <row r="1621">
      <c r="A1621" s="25"/>
      <c r="B1621" s="19"/>
      <c r="C1621" s="19"/>
      <c r="D1621" s="19"/>
      <c r="E1621" s="19"/>
      <c r="F1621" s="17" t="str">
        <f>IFERROR(__xludf.DUMMYFUNCTION("""COMPUTED_VALUE"""),"")</f>
        <v/>
      </c>
      <c r="G1621" s="20"/>
      <c r="H1621" s="19"/>
      <c r="I1621" s="19"/>
      <c r="J1621" s="19"/>
      <c r="K1621" s="19"/>
      <c r="L1621" s="19"/>
      <c r="M1621" s="19"/>
      <c r="N1621" s="20" t="s">
        <v>39</v>
      </c>
      <c r="O1621" s="19"/>
      <c r="P1621" s="19"/>
      <c r="Q1621" s="19"/>
      <c r="R1621" s="19"/>
      <c r="S1621" s="19"/>
      <c r="T1621" s="19"/>
      <c r="U1621" s="19"/>
      <c r="V1621" s="19"/>
    </row>
    <row r="1622">
      <c r="A1622" s="25"/>
      <c r="B1622" s="19"/>
      <c r="C1622" s="19"/>
      <c r="D1622" s="19"/>
      <c r="E1622" s="19"/>
      <c r="F1622" s="17" t="str">
        <f>IFERROR(__xludf.DUMMYFUNCTION("""COMPUTED_VALUE"""),"")</f>
        <v/>
      </c>
      <c r="G1622" s="20"/>
      <c r="H1622" s="19"/>
      <c r="I1622" s="19"/>
      <c r="J1622" s="19"/>
      <c r="K1622" s="19"/>
      <c r="L1622" s="19"/>
      <c r="M1622" s="19"/>
      <c r="N1622" s="20" t="s">
        <v>39</v>
      </c>
      <c r="O1622" s="19"/>
      <c r="P1622" s="19"/>
      <c r="Q1622" s="19"/>
      <c r="R1622" s="19"/>
      <c r="S1622" s="19"/>
      <c r="T1622" s="19"/>
      <c r="U1622" s="19"/>
      <c r="V1622" s="19"/>
    </row>
    <row r="1623">
      <c r="A1623" s="25"/>
      <c r="B1623" s="19"/>
      <c r="C1623" s="19"/>
      <c r="D1623" s="19"/>
      <c r="E1623" s="19"/>
      <c r="F1623" s="17" t="str">
        <f>IFERROR(__xludf.DUMMYFUNCTION("""COMPUTED_VALUE"""),"")</f>
        <v/>
      </c>
      <c r="G1623" s="20"/>
      <c r="H1623" s="19"/>
      <c r="I1623" s="19"/>
      <c r="J1623" s="19"/>
      <c r="K1623" s="19"/>
      <c r="L1623" s="19"/>
      <c r="M1623" s="19"/>
      <c r="N1623" s="20" t="s">
        <v>39</v>
      </c>
      <c r="O1623" s="19"/>
      <c r="P1623" s="19"/>
      <c r="Q1623" s="19"/>
      <c r="R1623" s="19"/>
      <c r="S1623" s="19"/>
      <c r="T1623" s="19"/>
      <c r="U1623" s="19"/>
      <c r="V1623" s="19"/>
    </row>
    <row r="1624">
      <c r="A1624" s="25"/>
      <c r="B1624" s="19"/>
      <c r="C1624" s="19"/>
      <c r="D1624" s="19"/>
      <c r="E1624" s="19"/>
      <c r="F1624" s="17" t="str">
        <f>IFERROR(__xludf.DUMMYFUNCTION("""COMPUTED_VALUE"""),"")</f>
        <v/>
      </c>
      <c r="G1624" s="20"/>
      <c r="H1624" s="19"/>
      <c r="I1624" s="19"/>
      <c r="J1624" s="19"/>
      <c r="K1624" s="19"/>
      <c r="L1624" s="19"/>
      <c r="M1624" s="19"/>
      <c r="N1624" s="20" t="s">
        <v>39</v>
      </c>
      <c r="O1624" s="19"/>
      <c r="P1624" s="19"/>
      <c r="Q1624" s="19"/>
      <c r="R1624" s="19"/>
      <c r="S1624" s="19"/>
      <c r="T1624" s="19"/>
      <c r="U1624" s="19"/>
      <c r="V1624" s="19"/>
    </row>
    <row r="1625">
      <c r="A1625" s="25"/>
      <c r="B1625" s="19"/>
      <c r="C1625" s="19"/>
      <c r="D1625" s="19"/>
      <c r="E1625" s="19"/>
      <c r="F1625" s="17" t="str">
        <f>IFERROR(__xludf.DUMMYFUNCTION("""COMPUTED_VALUE"""),"")</f>
        <v/>
      </c>
      <c r="G1625" s="20"/>
      <c r="H1625" s="19"/>
      <c r="I1625" s="19"/>
      <c r="J1625" s="19"/>
      <c r="K1625" s="19"/>
      <c r="L1625" s="19"/>
      <c r="M1625" s="19"/>
      <c r="N1625" s="20" t="s">
        <v>39</v>
      </c>
      <c r="O1625" s="19"/>
      <c r="P1625" s="19"/>
      <c r="Q1625" s="19"/>
      <c r="R1625" s="19"/>
      <c r="S1625" s="19"/>
      <c r="T1625" s="19"/>
      <c r="U1625" s="19"/>
      <c r="V1625" s="19"/>
    </row>
    <row r="1626">
      <c r="A1626" s="25"/>
      <c r="B1626" s="19"/>
      <c r="C1626" s="19"/>
      <c r="D1626" s="19"/>
      <c r="E1626" s="19"/>
      <c r="F1626" s="17" t="str">
        <f>IFERROR(__xludf.DUMMYFUNCTION("""COMPUTED_VALUE"""),"")</f>
        <v/>
      </c>
      <c r="G1626" s="20"/>
      <c r="H1626" s="19"/>
      <c r="I1626" s="19"/>
      <c r="J1626" s="19"/>
      <c r="K1626" s="19"/>
      <c r="L1626" s="19"/>
      <c r="M1626" s="19"/>
      <c r="N1626" s="20" t="s">
        <v>39</v>
      </c>
      <c r="O1626" s="19"/>
      <c r="P1626" s="19"/>
      <c r="Q1626" s="19"/>
      <c r="R1626" s="19"/>
      <c r="S1626" s="19"/>
      <c r="T1626" s="19"/>
      <c r="U1626" s="19"/>
      <c r="V1626" s="19"/>
    </row>
    <row r="1627">
      <c r="A1627" s="25"/>
      <c r="B1627" s="19"/>
      <c r="C1627" s="19"/>
      <c r="D1627" s="19"/>
      <c r="E1627" s="19"/>
      <c r="F1627" s="17" t="str">
        <f>IFERROR(__xludf.DUMMYFUNCTION("""COMPUTED_VALUE"""),"")</f>
        <v/>
      </c>
      <c r="G1627" s="20"/>
      <c r="H1627" s="19"/>
      <c r="I1627" s="19"/>
      <c r="J1627" s="19"/>
      <c r="K1627" s="19"/>
      <c r="L1627" s="19"/>
      <c r="M1627" s="19"/>
      <c r="N1627" s="20" t="s">
        <v>39</v>
      </c>
      <c r="O1627" s="19"/>
      <c r="P1627" s="19"/>
      <c r="Q1627" s="19"/>
      <c r="R1627" s="19"/>
      <c r="S1627" s="19"/>
      <c r="T1627" s="19"/>
      <c r="U1627" s="19"/>
      <c r="V1627" s="19"/>
    </row>
    <row r="1628">
      <c r="A1628" s="25"/>
      <c r="B1628" s="19"/>
      <c r="C1628" s="19"/>
      <c r="D1628" s="19"/>
      <c r="E1628" s="19"/>
      <c r="F1628" s="17" t="str">
        <f>IFERROR(__xludf.DUMMYFUNCTION("""COMPUTED_VALUE"""),"")</f>
        <v/>
      </c>
      <c r="G1628" s="20"/>
      <c r="H1628" s="19"/>
      <c r="I1628" s="19"/>
      <c r="J1628" s="19"/>
      <c r="K1628" s="19"/>
      <c r="L1628" s="19"/>
      <c r="M1628" s="19"/>
      <c r="N1628" s="20" t="s">
        <v>39</v>
      </c>
      <c r="O1628" s="19"/>
      <c r="P1628" s="19"/>
      <c r="Q1628" s="19"/>
      <c r="R1628" s="19"/>
      <c r="S1628" s="19"/>
      <c r="T1628" s="19"/>
      <c r="U1628" s="19"/>
      <c r="V1628" s="19"/>
    </row>
    <row r="1629">
      <c r="A1629" s="25"/>
      <c r="B1629" s="19"/>
      <c r="C1629" s="19"/>
      <c r="D1629" s="19"/>
      <c r="E1629" s="19"/>
      <c r="F1629" s="17" t="str">
        <f>IFERROR(__xludf.DUMMYFUNCTION("""COMPUTED_VALUE"""),"")</f>
        <v/>
      </c>
      <c r="G1629" s="20"/>
      <c r="H1629" s="19"/>
      <c r="I1629" s="19"/>
      <c r="J1629" s="19"/>
      <c r="K1629" s="19"/>
      <c r="L1629" s="19"/>
      <c r="M1629" s="19"/>
      <c r="N1629" s="20" t="s">
        <v>39</v>
      </c>
      <c r="O1629" s="19"/>
      <c r="P1629" s="19"/>
      <c r="Q1629" s="19"/>
      <c r="R1629" s="19"/>
      <c r="S1629" s="19"/>
      <c r="T1629" s="19"/>
      <c r="U1629" s="19"/>
      <c r="V1629" s="19"/>
    </row>
    <row r="1630">
      <c r="A1630" s="25"/>
      <c r="B1630" s="19"/>
      <c r="C1630" s="19"/>
      <c r="D1630" s="19"/>
      <c r="E1630" s="19"/>
      <c r="F1630" s="17" t="str">
        <f>IFERROR(__xludf.DUMMYFUNCTION("""COMPUTED_VALUE"""),"")</f>
        <v/>
      </c>
      <c r="G1630" s="20"/>
      <c r="H1630" s="19"/>
      <c r="I1630" s="19"/>
      <c r="J1630" s="19"/>
      <c r="K1630" s="19"/>
      <c r="L1630" s="19"/>
      <c r="M1630" s="19"/>
      <c r="N1630" s="20" t="s">
        <v>39</v>
      </c>
      <c r="O1630" s="19"/>
      <c r="P1630" s="19"/>
      <c r="Q1630" s="19"/>
      <c r="R1630" s="19"/>
      <c r="S1630" s="19"/>
      <c r="T1630" s="19"/>
      <c r="U1630" s="19"/>
      <c r="V1630" s="19"/>
    </row>
    <row r="1631">
      <c r="A1631" s="25"/>
      <c r="B1631" s="19"/>
      <c r="C1631" s="19"/>
      <c r="D1631" s="19"/>
      <c r="E1631" s="19"/>
      <c r="F1631" s="17" t="str">
        <f>IFERROR(__xludf.DUMMYFUNCTION("""COMPUTED_VALUE"""),"")</f>
        <v/>
      </c>
      <c r="G1631" s="20"/>
      <c r="H1631" s="19"/>
      <c r="I1631" s="19"/>
      <c r="J1631" s="19"/>
      <c r="K1631" s="19"/>
      <c r="L1631" s="19"/>
      <c r="M1631" s="19"/>
      <c r="N1631" s="20" t="s">
        <v>39</v>
      </c>
      <c r="O1631" s="19"/>
      <c r="P1631" s="19"/>
      <c r="Q1631" s="19"/>
      <c r="R1631" s="19"/>
      <c r="S1631" s="19"/>
      <c r="T1631" s="19"/>
      <c r="U1631" s="19"/>
      <c r="V1631" s="19"/>
    </row>
    <row r="1632">
      <c r="A1632" s="25"/>
      <c r="B1632" s="19"/>
      <c r="C1632" s="19"/>
      <c r="D1632" s="19"/>
      <c r="E1632" s="19"/>
      <c r="F1632" s="17" t="str">
        <f>IFERROR(__xludf.DUMMYFUNCTION("""COMPUTED_VALUE"""),"")</f>
        <v/>
      </c>
      <c r="G1632" s="20"/>
      <c r="H1632" s="19"/>
      <c r="I1632" s="19"/>
      <c r="J1632" s="19"/>
      <c r="K1632" s="19"/>
      <c r="L1632" s="19"/>
      <c r="M1632" s="19"/>
      <c r="N1632" s="20" t="s">
        <v>39</v>
      </c>
      <c r="O1632" s="19"/>
      <c r="P1632" s="19"/>
      <c r="Q1632" s="19"/>
      <c r="R1632" s="19"/>
      <c r="S1632" s="19"/>
      <c r="T1632" s="19"/>
      <c r="U1632" s="19"/>
      <c r="V1632" s="19"/>
    </row>
    <row r="1633">
      <c r="A1633" s="25"/>
      <c r="B1633" s="19"/>
      <c r="C1633" s="19"/>
      <c r="D1633" s="19"/>
      <c r="E1633" s="19"/>
      <c r="F1633" s="17" t="str">
        <f>IFERROR(__xludf.DUMMYFUNCTION("""COMPUTED_VALUE"""),"")</f>
        <v/>
      </c>
      <c r="G1633" s="20"/>
      <c r="H1633" s="19"/>
      <c r="I1633" s="19"/>
      <c r="J1633" s="19"/>
      <c r="K1633" s="19"/>
      <c r="L1633" s="19"/>
      <c r="M1633" s="19"/>
      <c r="N1633" s="20" t="s">
        <v>39</v>
      </c>
      <c r="O1633" s="19"/>
      <c r="P1633" s="19"/>
      <c r="Q1633" s="19"/>
      <c r="R1633" s="19"/>
      <c r="S1633" s="19"/>
      <c r="T1633" s="19"/>
      <c r="U1633" s="19"/>
      <c r="V1633" s="19"/>
    </row>
    <row r="1634">
      <c r="A1634" s="25"/>
      <c r="B1634" s="19"/>
      <c r="C1634" s="19"/>
      <c r="D1634" s="19"/>
      <c r="E1634" s="19"/>
      <c r="F1634" s="17" t="str">
        <f>IFERROR(__xludf.DUMMYFUNCTION("""COMPUTED_VALUE"""),"")</f>
        <v/>
      </c>
      <c r="G1634" s="20"/>
      <c r="H1634" s="19"/>
      <c r="I1634" s="19"/>
      <c r="J1634" s="19"/>
      <c r="K1634" s="19"/>
      <c r="L1634" s="19"/>
      <c r="M1634" s="19"/>
      <c r="N1634" s="20" t="s">
        <v>39</v>
      </c>
      <c r="O1634" s="19"/>
      <c r="P1634" s="19"/>
      <c r="Q1634" s="19"/>
      <c r="R1634" s="19"/>
      <c r="S1634" s="19"/>
      <c r="T1634" s="19"/>
      <c r="U1634" s="19"/>
      <c r="V1634" s="19"/>
    </row>
    <row r="1635">
      <c r="A1635" s="25"/>
      <c r="B1635" s="19"/>
      <c r="C1635" s="19"/>
      <c r="D1635" s="19"/>
      <c r="E1635" s="19"/>
      <c r="F1635" s="17" t="str">
        <f>IFERROR(__xludf.DUMMYFUNCTION("""COMPUTED_VALUE"""),"")</f>
        <v/>
      </c>
      <c r="G1635" s="20"/>
      <c r="H1635" s="19"/>
      <c r="I1635" s="19"/>
      <c r="J1635" s="19"/>
      <c r="K1635" s="19"/>
      <c r="L1635" s="19"/>
      <c r="M1635" s="19"/>
      <c r="N1635" s="20" t="s">
        <v>39</v>
      </c>
      <c r="O1635" s="19"/>
      <c r="P1635" s="19"/>
      <c r="Q1635" s="19"/>
      <c r="R1635" s="19"/>
      <c r="S1635" s="19"/>
      <c r="T1635" s="19"/>
      <c r="U1635" s="19"/>
      <c r="V1635" s="19"/>
    </row>
    <row r="1636">
      <c r="A1636" s="25"/>
      <c r="B1636" s="19"/>
      <c r="C1636" s="19"/>
      <c r="D1636" s="19"/>
      <c r="E1636" s="19"/>
      <c r="F1636" s="17" t="str">
        <f>IFERROR(__xludf.DUMMYFUNCTION("""COMPUTED_VALUE"""),"")</f>
        <v/>
      </c>
      <c r="G1636" s="20"/>
      <c r="H1636" s="19"/>
      <c r="I1636" s="19"/>
      <c r="J1636" s="19"/>
      <c r="K1636" s="19"/>
      <c r="L1636" s="19"/>
      <c r="M1636" s="19"/>
      <c r="N1636" s="20" t="s">
        <v>39</v>
      </c>
      <c r="O1636" s="19"/>
      <c r="P1636" s="19"/>
      <c r="Q1636" s="19"/>
      <c r="R1636" s="19"/>
      <c r="S1636" s="19"/>
      <c r="T1636" s="19"/>
      <c r="U1636" s="19"/>
      <c r="V1636" s="19"/>
    </row>
    <row r="1637">
      <c r="A1637" s="25"/>
      <c r="B1637" s="19"/>
      <c r="C1637" s="19"/>
      <c r="D1637" s="19"/>
      <c r="E1637" s="19"/>
      <c r="F1637" s="17" t="str">
        <f>IFERROR(__xludf.DUMMYFUNCTION("""COMPUTED_VALUE"""),"")</f>
        <v/>
      </c>
      <c r="G1637" s="20"/>
      <c r="H1637" s="19"/>
      <c r="I1637" s="19"/>
      <c r="J1637" s="19"/>
      <c r="K1637" s="19"/>
      <c r="L1637" s="19"/>
      <c r="M1637" s="19"/>
      <c r="N1637" s="20" t="s">
        <v>39</v>
      </c>
      <c r="O1637" s="19"/>
      <c r="P1637" s="19"/>
      <c r="Q1637" s="19"/>
      <c r="R1637" s="19"/>
      <c r="S1637" s="19"/>
      <c r="T1637" s="19"/>
      <c r="U1637" s="19"/>
      <c r="V1637" s="19"/>
    </row>
    <row r="1638">
      <c r="A1638" s="25"/>
      <c r="B1638" s="19"/>
      <c r="C1638" s="19"/>
      <c r="D1638" s="19"/>
      <c r="E1638" s="19"/>
      <c r="F1638" s="17" t="str">
        <f>IFERROR(__xludf.DUMMYFUNCTION("""COMPUTED_VALUE"""),"")</f>
        <v/>
      </c>
      <c r="G1638" s="20"/>
      <c r="H1638" s="19"/>
      <c r="I1638" s="19"/>
      <c r="J1638" s="19"/>
      <c r="K1638" s="19"/>
      <c r="L1638" s="19"/>
      <c r="M1638" s="19"/>
      <c r="N1638" s="20" t="s">
        <v>39</v>
      </c>
      <c r="O1638" s="19"/>
      <c r="P1638" s="19"/>
      <c r="Q1638" s="19"/>
      <c r="R1638" s="19"/>
      <c r="S1638" s="19"/>
      <c r="T1638" s="19"/>
      <c r="U1638" s="19"/>
      <c r="V1638" s="19"/>
    </row>
    <row r="1639">
      <c r="A1639" s="25"/>
      <c r="B1639" s="19"/>
      <c r="C1639" s="19"/>
      <c r="D1639" s="19"/>
      <c r="E1639" s="19"/>
      <c r="F1639" s="17" t="str">
        <f>IFERROR(__xludf.DUMMYFUNCTION("""COMPUTED_VALUE"""),"")</f>
        <v/>
      </c>
      <c r="G1639" s="20"/>
      <c r="H1639" s="19"/>
      <c r="I1639" s="19"/>
      <c r="J1639" s="19"/>
      <c r="K1639" s="19"/>
      <c r="L1639" s="19"/>
      <c r="M1639" s="19"/>
      <c r="N1639" s="20" t="s">
        <v>39</v>
      </c>
      <c r="O1639" s="19"/>
      <c r="P1639" s="19"/>
      <c r="Q1639" s="19"/>
      <c r="R1639" s="19"/>
      <c r="S1639" s="19"/>
      <c r="T1639" s="19"/>
      <c r="U1639" s="19"/>
      <c r="V1639" s="19"/>
    </row>
    <row r="1640">
      <c r="A1640" s="25"/>
      <c r="B1640" s="19"/>
      <c r="C1640" s="19"/>
      <c r="D1640" s="19"/>
      <c r="E1640" s="19"/>
      <c r="F1640" s="17" t="str">
        <f>IFERROR(__xludf.DUMMYFUNCTION("""COMPUTED_VALUE"""),"")</f>
        <v/>
      </c>
      <c r="G1640" s="20"/>
      <c r="H1640" s="19"/>
      <c r="I1640" s="19"/>
      <c r="J1640" s="19"/>
      <c r="K1640" s="19"/>
      <c r="L1640" s="19"/>
      <c r="M1640" s="19"/>
      <c r="N1640" s="20" t="s">
        <v>39</v>
      </c>
      <c r="O1640" s="19"/>
      <c r="P1640" s="19"/>
      <c r="Q1640" s="19"/>
      <c r="R1640" s="19"/>
      <c r="S1640" s="19"/>
      <c r="T1640" s="19"/>
      <c r="U1640" s="19"/>
      <c r="V1640" s="19"/>
    </row>
    <row r="1641">
      <c r="A1641" s="25"/>
      <c r="B1641" s="19"/>
      <c r="C1641" s="19"/>
      <c r="D1641" s="19"/>
      <c r="E1641" s="19"/>
      <c r="F1641" s="17" t="str">
        <f>IFERROR(__xludf.DUMMYFUNCTION("""COMPUTED_VALUE"""),"")</f>
        <v/>
      </c>
      <c r="G1641" s="20"/>
      <c r="H1641" s="19"/>
      <c r="I1641" s="19"/>
      <c r="J1641" s="19"/>
      <c r="K1641" s="19"/>
      <c r="L1641" s="19"/>
      <c r="M1641" s="19"/>
      <c r="N1641" s="20" t="s">
        <v>39</v>
      </c>
      <c r="O1641" s="19"/>
      <c r="P1641" s="19"/>
      <c r="Q1641" s="19"/>
      <c r="R1641" s="19"/>
      <c r="S1641" s="19"/>
      <c r="T1641" s="19"/>
      <c r="U1641" s="19"/>
      <c r="V1641" s="19"/>
    </row>
    <row r="1642">
      <c r="A1642" s="25"/>
      <c r="B1642" s="19"/>
      <c r="C1642" s="19"/>
      <c r="D1642" s="19"/>
      <c r="E1642" s="19"/>
      <c r="F1642" s="17" t="str">
        <f>IFERROR(__xludf.DUMMYFUNCTION("""COMPUTED_VALUE"""),"")</f>
        <v/>
      </c>
      <c r="G1642" s="20"/>
      <c r="H1642" s="19"/>
      <c r="I1642" s="19"/>
      <c r="J1642" s="19"/>
      <c r="K1642" s="19"/>
      <c r="L1642" s="19"/>
      <c r="M1642" s="19"/>
      <c r="N1642" s="20" t="s">
        <v>39</v>
      </c>
      <c r="O1642" s="19"/>
      <c r="P1642" s="19"/>
      <c r="Q1642" s="19"/>
      <c r="R1642" s="19"/>
      <c r="S1642" s="19"/>
      <c r="T1642" s="19"/>
      <c r="U1642" s="19"/>
      <c r="V1642" s="19"/>
    </row>
    <row r="1643">
      <c r="A1643" s="25"/>
      <c r="B1643" s="19"/>
      <c r="C1643" s="19"/>
      <c r="D1643" s="19"/>
      <c r="E1643" s="19"/>
      <c r="F1643" s="17" t="str">
        <f>IFERROR(__xludf.DUMMYFUNCTION("""COMPUTED_VALUE"""),"")</f>
        <v/>
      </c>
      <c r="G1643" s="20"/>
      <c r="H1643" s="19"/>
      <c r="I1643" s="19"/>
      <c r="J1643" s="19"/>
      <c r="K1643" s="19"/>
      <c r="L1643" s="19"/>
      <c r="M1643" s="19"/>
      <c r="N1643" s="20" t="s">
        <v>39</v>
      </c>
      <c r="O1643" s="19"/>
      <c r="P1643" s="19"/>
      <c r="Q1643" s="19"/>
      <c r="R1643" s="19"/>
      <c r="S1643" s="19"/>
      <c r="T1643" s="19"/>
      <c r="U1643" s="19"/>
      <c r="V1643" s="19"/>
    </row>
    <row r="1644">
      <c r="A1644" s="25"/>
      <c r="B1644" s="19"/>
      <c r="C1644" s="19"/>
      <c r="D1644" s="19"/>
      <c r="E1644" s="19"/>
      <c r="F1644" s="17" t="str">
        <f>IFERROR(__xludf.DUMMYFUNCTION("""COMPUTED_VALUE"""),"")</f>
        <v/>
      </c>
      <c r="G1644" s="20"/>
      <c r="H1644" s="19"/>
      <c r="I1644" s="19"/>
      <c r="J1644" s="19"/>
      <c r="K1644" s="19"/>
      <c r="L1644" s="19"/>
      <c r="M1644" s="19"/>
      <c r="N1644" s="20" t="s">
        <v>39</v>
      </c>
      <c r="O1644" s="19"/>
      <c r="P1644" s="19"/>
      <c r="Q1644" s="19"/>
      <c r="R1644" s="19"/>
      <c r="S1644" s="19"/>
      <c r="T1644" s="19"/>
      <c r="U1644" s="19"/>
      <c r="V1644" s="19"/>
    </row>
    <row r="1645">
      <c r="A1645" s="25"/>
      <c r="B1645" s="19"/>
      <c r="C1645" s="19"/>
      <c r="D1645" s="19"/>
      <c r="E1645" s="19"/>
      <c r="F1645" s="17" t="str">
        <f>IFERROR(__xludf.DUMMYFUNCTION("""COMPUTED_VALUE"""),"")</f>
        <v/>
      </c>
      <c r="G1645" s="20"/>
      <c r="H1645" s="19"/>
      <c r="I1645" s="19"/>
      <c r="J1645" s="19"/>
      <c r="K1645" s="19"/>
      <c r="L1645" s="19"/>
      <c r="M1645" s="19"/>
      <c r="N1645" s="20" t="s">
        <v>39</v>
      </c>
      <c r="O1645" s="19"/>
      <c r="P1645" s="19"/>
      <c r="Q1645" s="19"/>
      <c r="R1645" s="19"/>
      <c r="S1645" s="19"/>
      <c r="T1645" s="19"/>
      <c r="U1645" s="19"/>
      <c r="V1645" s="19"/>
    </row>
    <row r="1646">
      <c r="A1646" s="25"/>
      <c r="B1646" s="19"/>
      <c r="C1646" s="19"/>
      <c r="D1646" s="19"/>
      <c r="E1646" s="19"/>
      <c r="F1646" s="17" t="str">
        <f>IFERROR(__xludf.DUMMYFUNCTION("""COMPUTED_VALUE"""),"")</f>
        <v/>
      </c>
      <c r="G1646" s="20"/>
      <c r="H1646" s="19"/>
      <c r="I1646" s="19"/>
      <c r="J1646" s="19"/>
      <c r="K1646" s="19"/>
      <c r="L1646" s="19"/>
      <c r="M1646" s="19"/>
      <c r="N1646" s="20" t="s">
        <v>39</v>
      </c>
      <c r="O1646" s="19"/>
      <c r="P1646" s="19"/>
      <c r="Q1646" s="19"/>
      <c r="R1646" s="19"/>
      <c r="S1646" s="19"/>
      <c r="T1646" s="19"/>
      <c r="U1646" s="19"/>
      <c r="V1646" s="19"/>
    </row>
    <row r="1647">
      <c r="A1647" s="25"/>
      <c r="B1647" s="19"/>
      <c r="C1647" s="19"/>
      <c r="D1647" s="19"/>
      <c r="E1647" s="19"/>
      <c r="F1647" s="17" t="str">
        <f>IFERROR(__xludf.DUMMYFUNCTION("""COMPUTED_VALUE"""),"")</f>
        <v/>
      </c>
      <c r="G1647" s="20"/>
      <c r="H1647" s="19"/>
      <c r="I1647" s="19"/>
      <c r="J1647" s="19"/>
      <c r="K1647" s="19"/>
      <c r="L1647" s="19"/>
      <c r="M1647" s="19"/>
      <c r="N1647" s="20" t="s">
        <v>39</v>
      </c>
      <c r="O1647" s="19"/>
      <c r="P1647" s="19"/>
      <c r="Q1647" s="19"/>
      <c r="R1647" s="19"/>
      <c r="S1647" s="19"/>
      <c r="T1647" s="19"/>
      <c r="U1647" s="19"/>
      <c r="V1647" s="19"/>
    </row>
    <row r="1648">
      <c r="A1648" s="25"/>
      <c r="B1648" s="19"/>
      <c r="C1648" s="19"/>
      <c r="D1648" s="19"/>
      <c r="E1648" s="19"/>
      <c r="F1648" s="17" t="str">
        <f>IFERROR(__xludf.DUMMYFUNCTION("""COMPUTED_VALUE"""),"")</f>
        <v/>
      </c>
      <c r="G1648" s="20"/>
      <c r="H1648" s="19"/>
      <c r="I1648" s="19"/>
      <c r="J1648" s="19"/>
      <c r="K1648" s="19"/>
      <c r="L1648" s="19"/>
      <c r="M1648" s="19"/>
      <c r="N1648" s="20" t="s">
        <v>39</v>
      </c>
      <c r="O1648" s="19"/>
      <c r="P1648" s="19"/>
      <c r="Q1648" s="19"/>
      <c r="R1648" s="19"/>
      <c r="S1648" s="19"/>
      <c r="T1648" s="19"/>
      <c r="U1648" s="19"/>
      <c r="V1648" s="19"/>
    </row>
    <row r="1649">
      <c r="A1649" s="25"/>
      <c r="B1649" s="19"/>
      <c r="C1649" s="19"/>
      <c r="D1649" s="19"/>
      <c r="E1649" s="19"/>
      <c r="F1649" s="17" t="str">
        <f>IFERROR(__xludf.DUMMYFUNCTION("""COMPUTED_VALUE"""),"")</f>
        <v/>
      </c>
      <c r="G1649" s="20"/>
      <c r="H1649" s="19"/>
      <c r="I1649" s="19"/>
      <c r="J1649" s="19"/>
      <c r="K1649" s="19"/>
      <c r="L1649" s="19"/>
      <c r="M1649" s="19"/>
      <c r="N1649" s="20" t="s">
        <v>39</v>
      </c>
      <c r="O1649" s="19"/>
      <c r="P1649" s="19"/>
      <c r="Q1649" s="19"/>
      <c r="R1649" s="19"/>
      <c r="S1649" s="19"/>
      <c r="T1649" s="19"/>
      <c r="U1649" s="19"/>
      <c r="V1649" s="19"/>
    </row>
    <row r="1650">
      <c r="A1650" s="25"/>
      <c r="B1650" s="19"/>
      <c r="C1650" s="19"/>
      <c r="D1650" s="19"/>
      <c r="E1650" s="19"/>
      <c r="F1650" s="17" t="str">
        <f>IFERROR(__xludf.DUMMYFUNCTION("""COMPUTED_VALUE"""),"")</f>
        <v/>
      </c>
      <c r="G1650" s="20"/>
      <c r="H1650" s="19"/>
      <c r="I1650" s="19"/>
      <c r="J1650" s="19"/>
      <c r="K1650" s="19"/>
      <c r="L1650" s="19"/>
      <c r="M1650" s="19"/>
      <c r="N1650" s="20" t="s">
        <v>39</v>
      </c>
      <c r="O1650" s="19"/>
      <c r="P1650" s="19"/>
      <c r="Q1650" s="19"/>
      <c r="R1650" s="19"/>
      <c r="S1650" s="19"/>
      <c r="T1650" s="19"/>
      <c r="U1650" s="19"/>
      <c r="V1650" s="19"/>
    </row>
    <row r="1651">
      <c r="A1651" s="25"/>
      <c r="B1651" s="19"/>
      <c r="C1651" s="19"/>
      <c r="D1651" s="19"/>
      <c r="E1651" s="19"/>
      <c r="F1651" s="17" t="str">
        <f>IFERROR(__xludf.DUMMYFUNCTION("""COMPUTED_VALUE"""),"")</f>
        <v/>
      </c>
      <c r="G1651" s="20"/>
      <c r="H1651" s="19"/>
      <c r="I1651" s="19"/>
      <c r="J1651" s="19"/>
      <c r="K1651" s="19"/>
      <c r="L1651" s="19"/>
      <c r="M1651" s="19"/>
      <c r="N1651" s="20" t="s">
        <v>39</v>
      </c>
      <c r="O1651" s="19"/>
      <c r="P1651" s="19"/>
      <c r="Q1651" s="19"/>
      <c r="R1651" s="19"/>
      <c r="S1651" s="19"/>
      <c r="T1651" s="19"/>
      <c r="U1651" s="19"/>
      <c r="V1651" s="19"/>
    </row>
    <row r="1652">
      <c r="A1652" s="25"/>
      <c r="B1652" s="19"/>
      <c r="C1652" s="19"/>
      <c r="D1652" s="19"/>
      <c r="E1652" s="19"/>
      <c r="F1652" s="17" t="str">
        <f>IFERROR(__xludf.DUMMYFUNCTION("""COMPUTED_VALUE"""),"")</f>
        <v/>
      </c>
      <c r="G1652" s="20"/>
      <c r="H1652" s="19"/>
      <c r="I1652" s="19"/>
      <c r="J1652" s="19"/>
      <c r="K1652" s="19"/>
      <c r="L1652" s="19"/>
      <c r="M1652" s="19"/>
      <c r="N1652" s="20" t="s">
        <v>39</v>
      </c>
      <c r="O1652" s="19"/>
      <c r="P1652" s="19"/>
      <c r="Q1652" s="19"/>
      <c r="R1652" s="19"/>
      <c r="S1652" s="19"/>
      <c r="T1652" s="19"/>
      <c r="U1652" s="19"/>
      <c r="V1652" s="19"/>
    </row>
    <row r="1653">
      <c r="A1653" s="25"/>
      <c r="B1653" s="19"/>
      <c r="C1653" s="19"/>
      <c r="D1653" s="19"/>
      <c r="E1653" s="19"/>
      <c r="F1653" s="17" t="str">
        <f>IFERROR(__xludf.DUMMYFUNCTION("""COMPUTED_VALUE"""),"")</f>
        <v/>
      </c>
      <c r="G1653" s="20"/>
      <c r="H1653" s="19"/>
      <c r="I1653" s="19"/>
      <c r="J1653" s="19"/>
      <c r="K1653" s="19"/>
      <c r="L1653" s="19"/>
      <c r="M1653" s="19"/>
      <c r="N1653" s="20" t="s">
        <v>39</v>
      </c>
      <c r="O1653" s="19"/>
      <c r="P1653" s="19"/>
      <c r="Q1653" s="19"/>
      <c r="R1653" s="19"/>
      <c r="S1653" s="19"/>
      <c r="T1653" s="19"/>
      <c r="U1653" s="19"/>
      <c r="V1653" s="19"/>
    </row>
    <row r="1654">
      <c r="A1654" s="25"/>
      <c r="B1654" s="19"/>
      <c r="C1654" s="19"/>
      <c r="D1654" s="19"/>
      <c r="E1654" s="19"/>
      <c r="F1654" s="17" t="str">
        <f>IFERROR(__xludf.DUMMYFUNCTION("""COMPUTED_VALUE"""),"")</f>
        <v/>
      </c>
      <c r="G1654" s="20"/>
      <c r="H1654" s="19"/>
      <c r="I1654" s="19"/>
      <c r="J1654" s="19"/>
      <c r="K1654" s="19"/>
      <c r="L1654" s="19"/>
      <c r="M1654" s="19"/>
      <c r="N1654" s="20" t="s">
        <v>39</v>
      </c>
      <c r="O1654" s="19"/>
      <c r="P1654" s="19"/>
      <c r="Q1654" s="19"/>
      <c r="R1654" s="19"/>
      <c r="S1654" s="19"/>
      <c r="T1654" s="19"/>
      <c r="U1654" s="19"/>
      <c r="V1654" s="19"/>
    </row>
    <row r="1655">
      <c r="A1655" s="25"/>
      <c r="B1655" s="19"/>
      <c r="C1655" s="19"/>
      <c r="D1655" s="19"/>
      <c r="E1655" s="19"/>
      <c r="F1655" s="17" t="str">
        <f>IFERROR(__xludf.DUMMYFUNCTION("""COMPUTED_VALUE"""),"")</f>
        <v/>
      </c>
      <c r="G1655" s="20"/>
      <c r="H1655" s="19"/>
      <c r="I1655" s="19"/>
      <c r="J1655" s="19"/>
      <c r="K1655" s="19"/>
      <c r="L1655" s="19"/>
      <c r="M1655" s="19"/>
      <c r="N1655" s="20" t="s">
        <v>39</v>
      </c>
      <c r="O1655" s="19"/>
      <c r="P1655" s="19"/>
      <c r="Q1655" s="19"/>
      <c r="R1655" s="19"/>
      <c r="S1655" s="19"/>
      <c r="T1655" s="19"/>
      <c r="U1655" s="19"/>
      <c r="V1655" s="19"/>
    </row>
    <row r="1656">
      <c r="A1656" s="25"/>
      <c r="B1656" s="19"/>
      <c r="C1656" s="19"/>
      <c r="D1656" s="19"/>
      <c r="E1656" s="19"/>
      <c r="F1656" s="17" t="str">
        <f>IFERROR(__xludf.DUMMYFUNCTION("""COMPUTED_VALUE"""),"")</f>
        <v/>
      </c>
      <c r="G1656" s="20"/>
      <c r="H1656" s="19"/>
      <c r="I1656" s="19"/>
      <c r="J1656" s="19"/>
      <c r="K1656" s="19"/>
      <c r="L1656" s="19"/>
      <c r="M1656" s="19"/>
      <c r="N1656" s="20" t="s">
        <v>39</v>
      </c>
      <c r="O1656" s="19"/>
      <c r="P1656" s="19"/>
      <c r="Q1656" s="19"/>
      <c r="R1656" s="19"/>
      <c r="S1656" s="19"/>
      <c r="T1656" s="19"/>
      <c r="U1656" s="19"/>
      <c r="V1656" s="19"/>
    </row>
    <row r="1657">
      <c r="A1657" s="25"/>
      <c r="B1657" s="19"/>
      <c r="C1657" s="19"/>
      <c r="D1657" s="19"/>
      <c r="E1657" s="19"/>
      <c r="F1657" s="17" t="str">
        <f>IFERROR(__xludf.DUMMYFUNCTION("""COMPUTED_VALUE"""),"")</f>
        <v/>
      </c>
      <c r="G1657" s="20"/>
      <c r="H1657" s="19"/>
      <c r="I1657" s="19"/>
      <c r="J1657" s="19"/>
      <c r="K1657" s="19"/>
      <c r="L1657" s="19"/>
      <c r="M1657" s="19"/>
      <c r="N1657" s="20" t="s">
        <v>39</v>
      </c>
      <c r="O1657" s="19"/>
      <c r="P1657" s="19"/>
      <c r="Q1657" s="19"/>
      <c r="R1657" s="19"/>
      <c r="S1657" s="19"/>
      <c r="T1657" s="19"/>
      <c r="U1657" s="19"/>
      <c r="V1657" s="19"/>
    </row>
    <row r="1658">
      <c r="A1658" s="25"/>
      <c r="B1658" s="19"/>
      <c r="C1658" s="19"/>
      <c r="D1658" s="19"/>
      <c r="E1658" s="19"/>
      <c r="F1658" s="17" t="str">
        <f>IFERROR(__xludf.DUMMYFUNCTION("""COMPUTED_VALUE"""),"")</f>
        <v/>
      </c>
      <c r="G1658" s="20"/>
      <c r="H1658" s="19"/>
      <c r="I1658" s="19"/>
      <c r="J1658" s="19"/>
      <c r="K1658" s="19"/>
      <c r="L1658" s="19"/>
      <c r="M1658" s="19"/>
      <c r="N1658" s="20" t="s">
        <v>39</v>
      </c>
      <c r="O1658" s="19"/>
      <c r="P1658" s="19"/>
      <c r="Q1658" s="19"/>
      <c r="R1658" s="19"/>
      <c r="S1658" s="19"/>
      <c r="T1658" s="19"/>
      <c r="U1658" s="19"/>
      <c r="V1658" s="19"/>
    </row>
    <row r="1659">
      <c r="A1659" s="25"/>
      <c r="B1659" s="19"/>
      <c r="C1659" s="19"/>
      <c r="D1659" s="19"/>
      <c r="E1659" s="19"/>
      <c r="F1659" s="17" t="str">
        <f>IFERROR(__xludf.DUMMYFUNCTION("""COMPUTED_VALUE"""),"")</f>
        <v/>
      </c>
      <c r="G1659" s="20"/>
      <c r="H1659" s="19"/>
      <c r="I1659" s="19"/>
      <c r="J1659" s="19"/>
      <c r="K1659" s="19"/>
      <c r="L1659" s="19"/>
      <c r="M1659" s="19"/>
      <c r="N1659" s="20" t="s">
        <v>39</v>
      </c>
      <c r="O1659" s="19"/>
      <c r="P1659" s="19"/>
      <c r="Q1659" s="19"/>
      <c r="R1659" s="19"/>
      <c r="S1659" s="19"/>
      <c r="T1659" s="19"/>
      <c r="U1659" s="19"/>
      <c r="V1659" s="19"/>
    </row>
    <row r="1660">
      <c r="A1660" s="25"/>
      <c r="B1660" s="19"/>
      <c r="C1660" s="19"/>
      <c r="D1660" s="19"/>
      <c r="E1660" s="19"/>
      <c r="F1660" s="17" t="str">
        <f>IFERROR(__xludf.DUMMYFUNCTION("""COMPUTED_VALUE"""),"")</f>
        <v/>
      </c>
      <c r="G1660" s="20"/>
      <c r="H1660" s="19"/>
      <c r="I1660" s="19"/>
      <c r="J1660" s="19"/>
      <c r="K1660" s="19"/>
      <c r="L1660" s="19"/>
      <c r="M1660" s="19"/>
      <c r="N1660" s="20" t="s">
        <v>39</v>
      </c>
      <c r="O1660" s="19"/>
      <c r="P1660" s="19"/>
      <c r="Q1660" s="19"/>
      <c r="R1660" s="19"/>
      <c r="S1660" s="19"/>
      <c r="T1660" s="19"/>
      <c r="U1660" s="19"/>
      <c r="V1660" s="19"/>
    </row>
    <row r="1661">
      <c r="A1661" s="25"/>
      <c r="B1661" s="19"/>
      <c r="C1661" s="19"/>
      <c r="D1661" s="19"/>
      <c r="E1661" s="19"/>
      <c r="F1661" s="17" t="str">
        <f>IFERROR(__xludf.DUMMYFUNCTION("""COMPUTED_VALUE"""),"")</f>
        <v/>
      </c>
      <c r="G1661" s="20"/>
      <c r="H1661" s="19"/>
      <c r="I1661" s="19"/>
      <c r="J1661" s="19"/>
      <c r="K1661" s="19"/>
      <c r="L1661" s="19"/>
      <c r="M1661" s="19"/>
      <c r="N1661" s="20" t="s">
        <v>39</v>
      </c>
      <c r="O1661" s="19"/>
      <c r="P1661" s="19"/>
      <c r="Q1661" s="19"/>
      <c r="R1661" s="19"/>
      <c r="S1661" s="19"/>
      <c r="T1661" s="19"/>
      <c r="U1661" s="19"/>
      <c r="V1661" s="19"/>
    </row>
    <row r="1662">
      <c r="A1662" s="25"/>
      <c r="B1662" s="19"/>
      <c r="C1662" s="19"/>
      <c r="D1662" s="19"/>
      <c r="E1662" s="19"/>
      <c r="F1662" s="17" t="str">
        <f>IFERROR(__xludf.DUMMYFUNCTION("""COMPUTED_VALUE"""),"")</f>
        <v/>
      </c>
      <c r="G1662" s="20"/>
      <c r="H1662" s="19"/>
      <c r="I1662" s="19"/>
      <c r="J1662" s="19"/>
      <c r="K1662" s="19"/>
      <c r="L1662" s="19"/>
      <c r="M1662" s="19"/>
      <c r="N1662" s="20" t="s">
        <v>39</v>
      </c>
      <c r="O1662" s="19"/>
      <c r="P1662" s="19"/>
      <c r="Q1662" s="19"/>
      <c r="R1662" s="19"/>
      <c r="S1662" s="19"/>
      <c r="T1662" s="19"/>
      <c r="U1662" s="19"/>
      <c r="V1662" s="19"/>
    </row>
    <row r="1663">
      <c r="A1663" s="25"/>
      <c r="B1663" s="19"/>
      <c r="C1663" s="19"/>
      <c r="D1663" s="19"/>
      <c r="E1663" s="19"/>
      <c r="F1663" s="17" t="str">
        <f>IFERROR(__xludf.DUMMYFUNCTION("""COMPUTED_VALUE"""),"")</f>
        <v/>
      </c>
      <c r="G1663" s="20"/>
      <c r="H1663" s="19"/>
      <c r="I1663" s="19"/>
      <c r="J1663" s="19"/>
      <c r="K1663" s="19"/>
      <c r="L1663" s="19"/>
      <c r="M1663" s="19"/>
      <c r="N1663" s="20" t="s">
        <v>39</v>
      </c>
      <c r="O1663" s="19"/>
      <c r="P1663" s="19"/>
      <c r="Q1663" s="19"/>
      <c r="R1663" s="19"/>
      <c r="S1663" s="19"/>
      <c r="T1663" s="19"/>
      <c r="U1663" s="19"/>
      <c r="V1663" s="19"/>
    </row>
    <row r="1664">
      <c r="A1664" s="25"/>
      <c r="B1664" s="19"/>
      <c r="C1664" s="19"/>
      <c r="D1664" s="19"/>
      <c r="E1664" s="19"/>
      <c r="F1664" s="17" t="str">
        <f>IFERROR(__xludf.DUMMYFUNCTION("""COMPUTED_VALUE"""),"")</f>
        <v/>
      </c>
      <c r="G1664" s="20"/>
      <c r="H1664" s="19"/>
      <c r="I1664" s="19"/>
      <c r="J1664" s="19"/>
      <c r="K1664" s="19"/>
      <c r="L1664" s="19"/>
      <c r="M1664" s="19"/>
      <c r="N1664" s="20" t="s">
        <v>39</v>
      </c>
      <c r="O1664" s="19"/>
      <c r="P1664" s="19"/>
      <c r="Q1664" s="19"/>
      <c r="R1664" s="19"/>
      <c r="S1664" s="19"/>
      <c r="T1664" s="19"/>
      <c r="U1664" s="19"/>
      <c r="V1664" s="19"/>
    </row>
    <row r="1665">
      <c r="A1665" s="25"/>
      <c r="B1665" s="19"/>
      <c r="C1665" s="19"/>
      <c r="D1665" s="19"/>
      <c r="E1665" s="19"/>
      <c r="F1665" s="17" t="str">
        <f>IFERROR(__xludf.DUMMYFUNCTION("""COMPUTED_VALUE"""),"")</f>
        <v/>
      </c>
      <c r="G1665" s="20"/>
      <c r="H1665" s="19"/>
      <c r="I1665" s="19"/>
      <c r="J1665" s="19"/>
      <c r="K1665" s="19"/>
      <c r="L1665" s="19"/>
      <c r="M1665" s="19"/>
      <c r="N1665" s="20" t="s">
        <v>39</v>
      </c>
      <c r="O1665" s="19"/>
      <c r="P1665" s="19"/>
      <c r="Q1665" s="19"/>
      <c r="R1665" s="19"/>
      <c r="S1665" s="19"/>
      <c r="T1665" s="19"/>
      <c r="U1665" s="19"/>
      <c r="V1665" s="19"/>
    </row>
    <row r="1666">
      <c r="A1666" s="25"/>
      <c r="B1666" s="19"/>
      <c r="C1666" s="19"/>
      <c r="D1666" s="19"/>
      <c r="E1666" s="19"/>
      <c r="F1666" s="17" t="str">
        <f>IFERROR(__xludf.DUMMYFUNCTION("""COMPUTED_VALUE"""),"")</f>
        <v/>
      </c>
      <c r="G1666" s="20"/>
      <c r="H1666" s="19"/>
      <c r="I1666" s="19"/>
      <c r="J1666" s="19"/>
      <c r="K1666" s="19"/>
      <c r="L1666" s="19"/>
      <c r="M1666" s="19"/>
      <c r="N1666" s="20" t="s">
        <v>39</v>
      </c>
      <c r="O1666" s="19"/>
      <c r="P1666" s="19"/>
      <c r="Q1666" s="19"/>
      <c r="R1666" s="19"/>
      <c r="S1666" s="19"/>
      <c r="T1666" s="19"/>
      <c r="U1666" s="19"/>
      <c r="V1666" s="19"/>
    </row>
    <row r="1667">
      <c r="A1667" s="25"/>
      <c r="B1667" s="19"/>
      <c r="C1667" s="19"/>
      <c r="D1667" s="19"/>
      <c r="E1667" s="19"/>
      <c r="F1667" s="17" t="str">
        <f>IFERROR(__xludf.DUMMYFUNCTION("""COMPUTED_VALUE"""),"")</f>
        <v/>
      </c>
      <c r="G1667" s="20"/>
      <c r="H1667" s="19"/>
      <c r="I1667" s="19"/>
      <c r="J1667" s="19"/>
      <c r="K1667" s="19"/>
      <c r="L1667" s="19"/>
      <c r="M1667" s="19"/>
      <c r="N1667" s="20" t="s">
        <v>39</v>
      </c>
      <c r="O1667" s="19"/>
      <c r="P1667" s="19"/>
      <c r="Q1667" s="19"/>
      <c r="R1667" s="19"/>
      <c r="S1667" s="19"/>
      <c r="T1667" s="19"/>
      <c r="U1667" s="19"/>
      <c r="V1667" s="19"/>
    </row>
    <row r="1668">
      <c r="A1668" s="25"/>
      <c r="B1668" s="19"/>
      <c r="C1668" s="19"/>
      <c r="D1668" s="19"/>
      <c r="E1668" s="19"/>
      <c r="F1668" s="17" t="str">
        <f>IFERROR(__xludf.DUMMYFUNCTION("""COMPUTED_VALUE"""),"")</f>
        <v/>
      </c>
      <c r="G1668" s="20"/>
      <c r="H1668" s="19"/>
      <c r="I1668" s="19"/>
      <c r="J1668" s="19"/>
      <c r="K1668" s="19"/>
      <c r="L1668" s="19"/>
      <c r="M1668" s="19"/>
      <c r="N1668" s="20" t="s">
        <v>39</v>
      </c>
      <c r="O1668" s="19"/>
      <c r="P1668" s="19"/>
      <c r="Q1668" s="19"/>
      <c r="R1668" s="19"/>
      <c r="S1668" s="19"/>
      <c r="T1668" s="19"/>
      <c r="U1668" s="19"/>
      <c r="V1668" s="19"/>
    </row>
    <row r="1669">
      <c r="A1669" s="25"/>
      <c r="B1669" s="19"/>
      <c r="C1669" s="19"/>
      <c r="D1669" s="19"/>
      <c r="E1669" s="19"/>
      <c r="F1669" s="17" t="str">
        <f>IFERROR(__xludf.DUMMYFUNCTION("""COMPUTED_VALUE"""),"")</f>
        <v/>
      </c>
      <c r="G1669" s="20"/>
      <c r="H1669" s="19"/>
      <c r="I1669" s="19"/>
      <c r="J1669" s="19"/>
      <c r="K1669" s="19"/>
      <c r="L1669" s="19"/>
      <c r="M1669" s="19"/>
      <c r="N1669" s="20" t="s">
        <v>39</v>
      </c>
      <c r="O1669" s="19"/>
      <c r="P1669" s="19"/>
      <c r="Q1669" s="19"/>
      <c r="R1669" s="19"/>
      <c r="S1669" s="19"/>
      <c r="T1669" s="19"/>
      <c r="U1669" s="19"/>
      <c r="V1669" s="19"/>
    </row>
    <row r="1670">
      <c r="A1670" s="25"/>
      <c r="B1670" s="19"/>
      <c r="C1670" s="19"/>
      <c r="D1670" s="19"/>
      <c r="E1670" s="19"/>
      <c r="F1670" s="17" t="str">
        <f>IFERROR(__xludf.DUMMYFUNCTION("""COMPUTED_VALUE"""),"")</f>
        <v/>
      </c>
      <c r="G1670" s="20"/>
      <c r="H1670" s="19"/>
      <c r="I1670" s="19"/>
      <c r="J1670" s="19"/>
      <c r="K1670" s="19"/>
      <c r="L1670" s="19"/>
      <c r="M1670" s="19"/>
      <c r="N1670" s="20" t="s">
        <v>39</v>
      </c>
      <c r="O1670" s="19"/>
      <c r="P1670" s="19"/>
      <c r="Q1670" s="19"/>
      <c r="R1670" s="19"/>
      <c r="S1670" s="19"/>
      <c r="T1670" s="19"/>
      <c r="U1670" s="19"/>
      <c r="V1670" s="19"/>
    </row>
    <row r="1671">
      <c r="A1671" s="25"/>
      <c r="B1671" s="19"/>
      <c r="C1671" s="19"/>
      <c r="D1671" s="19"/>
      <c r="E1671" s="19"/>
      <c r="F1671" s="17" t="str">
        <f>IFERROR(__xludf.DUMMYFUNCTION("""COMPUTED_VALUE"""),"")</f>
        <v/>
      </c>
      <c r="G1671" s="20"/>
      <c r="H1671" s="19"/>
      <c r="I1671" s="19"/>
      <c r="J1671" s="19"/>
      <c r="K1671" s="19"/>
      <c r="L1671" s="19"/>
      <c r="M1671" s="19"/>
      <c r="N1671" s="20" t="s">
        <v>39</v>
      </c>
      <c r="O1671" s="19"/>
      <c r="P1671" s="19"/>
      <c r="Q1671" s="19"/>
      <c r="R1671" s="19"/>
      <c r="S1671" s="19"/>
      <c r="T1671" s="19"/>
      <c r="U1671" s="19"/>
      <c r="V1671" s="19"/>
    </row>
    <row r="1672">
      <c r="A1672" s="25"/>
      <c r="B1672" s="19"/>
      <c r="C1672" s="19"/>
      <c r="D1672" s="19"/>
      <c r="E1672" s="19"/>
      <c r="F1672" s="17" t="str">
        <f>IFERROR(__xludf.DUMMYFUNCTION("""COMPUTED_VALUE"""),"")</f>
        <v/>
      </c>
      <c r="G1672" s="20"/>
      <c r="H1672" s="19"/>
      <c r="I1672" s="19"/>
      <c r="J1672" s="19"/>
      <c r="K1672" s="19"/>
      <c r="L1672" s="19"/>
      <c r="M1672" s="19"/>
      <c r="N1672" s="20" t="s">
        <v>39</v>
      </c>
      <c r="O1672" s="19"/>
      <c r="P1672" s="19"/>
      <c r="Q1672" s="19"/>
      <c r="R1672" s="19"/>
      <c r="S1672" s="19"/>
      <c r="T1672" s="19"/>
      <c r="U1672" s="19"/>
      <c r="V1672" s="19"/>
    </row>
    <row r="1673">
      <c r="A1673" s="25"/>
      <c r="B1673" s="19"/>
      <c r="C1673" s="19"/>
      <c r="D1673" s="19"/>
      <c r="E1673" s="19"/>
      <c r="F1673" s="17" t="str">
        <f>IFERROR(__xludf.DUMMYFUNCTION("""COMPUTED_VALUE"""),"")</f>
        <v/>
      </c>
      <c r="G1673" s="20"/>
      <c r="H1673" s="19"/>
      <c r="I1673" s="19"/>
      <c r="J1673" s="19"/>
      <c r="K1673" s="19"/>
      <c r="L1673" s="19"/>
      <c r="M1673" s="19"/>
      <c r="N1673" s="20" t="s">
        <v>39</v>
      </c>
      <c r="O1673" s="19"/>
      <c r="P1673" s="19"/>
      <c r="Q1673" s="19"/>
      <c r="R1673" s="19"/>
      <c r="S1673" s="19"/>
      <c r="T1673" s="19"/>
      <c r="U1673" s="19"/>
      <c r="V1673" s="19"/>
    </row>
    <row r="1674">
      <c r="A1674" s="25"/>
      <c r="B1674" s="19"/>
      <c r="C1674" s="19"/>
      <c r="D1674" s="19"/>
      <c r="E1674" s="19"/>
      <c r="F1674" s="17" t="str">
        <f>IFERROR(__xludf.DUMMYFUNCTION("""COMPUTED_VALUE"""),"")</f>
        <v/>
      </c>
      <c r="G1674" s="20"/>
      <c r="H1674" s="19"/>
      <c r="I1674" s="19"/>
      <c r="J1674" s="19"/>
      <c r="K1674" s="19"/>
      <c r="L1674" s="19"/>
      <c r="M1674" s="19"/>
      <c r="N1674" s="20" t="s">
        <v>39</v>
      </c>
      <c r="O1674" s="19"/>
      <c r="P1674" s="19"/>
      <c r="Q1674" s="19"/>
      <c r="R1674" s="19"/>
      <c r="S1674" s="19"/>
      <c r="T1674" s="19"/>
      <c r="U1674" s="19"/>
      <c r="V1674" s="19"/>
    </row>
    <row r="1675">
      <c r="A1675" s="25"/>
      <c r="B1675" s="19"/>
      <c r="C1675" s="19"/>
      <c r="D1675" s="19"/>
      <c r="E1675" s="19"/>
      <c r="F1675" s="17" t="str">
        <f>IFERROR(__xludf.DUMMYFUNCTION("""COMPUTED_VALUE"""),"")</f>
        <v/>
      </c>
      <c r="G1675" s="20"/>
      <c r="H1675" s="19"/>
      <c r="I1675" s="19"/>
      <c r="J1675" s="19"/>
      <c r="K1675" s="19"/>
      <c r="L1675" s="19"/>
      <c r="M1675" s="19"/>
      <c r="N1675" s="20" t="s">
        <v>39</v>
      </c>
      <c r="O1675" s="19"/>
      <c r="P1675" s="19"/>
      <c r="Q1675" s="19"/>
      <c r="R1675" s="19"/>
      <c r="S1675" s="19"/>
      <c r="T1675" s="19"/>
      <c r="U1675" s="19"/>
      <c r="V1675" s="19"/>
    </row>
    <row r="1676">
      <c r="A1676" s="25"/>
      <c r="B1676" s="19"/>
      <c r="C1676" s="19"/>
      <c r="D1676" s="19"/>
      <c r="E1676" s="19"/>
      <c r="F1676" s="17" t="str">
        <f>IFERROR(__xludf.DUMMYFUNCTION("""COMPUTED_VALUE"""),"")</f>
        <v/>
      </c>
      <c r="G1676" s="20"/>
      <c r="H1676" s="19"/>
      <c r="I1676" s="19"/>
      <c r="J1676" s="19"/>
      <c r="K1676" s="19"/>
      <c r="L1676" s="19"/>
      <c r="M1676" s="19"/>
      <c r="N1676" s="20" t="s">
        <v>39</v>
      </c>
      <c r="O1676" s="19"/>
      <c r="P1676" s="19"/>
      <c r="Q1676" s="19"/>
      <c r="R1676" s="19"/>
      <c r="S1676" s="19"/>
      <c r="T1676" s="19"/>
      <c r="U1676" s="19"/>
      <c r="V1676" s="19"/>
    </row>
    <row r="1677">
      <c r="A1677" s="25"/>
      <c r="B1677" s="19"/>
      <c r="C1677" s="19"/>
      <c r="D1677" s="19"/>
      <c r="E1677" s="19"/>
      <c r="F1677" s="17" t="str">
        <f>IFERROR(__xludf.DUMMYFUNCTION("""COMPUTED_VALUE"""),"")</f>
        <v/>
      </c>
      <c r="G1677" s="20"/>
      <c r="H1677" s="19"/>
      <c r="I1677" s="19"/>
      <c r="J1677" s="19"/>
      <c r="K1677" s="19"/>
      <c r="L1677" s="19"/>
      <c r="M1677" s="19"/>
      <c r="N1677" s="20" t="s">
        <v>39</v>
      </c>
      <c r="O1677" s="19"/>
      <c r="P1677" s="19"/>
      <c r="Q1677" s="19"/>
      <c r="R1677" s="19"/>
      <c r="S1677" s="19"/>
      <c r="T1677" s="19"/>
      <c r="U1677" s="19"/>
      <c r="V1677" s="19"/>
    </row>
    <row r="1678">
      <c r="A1678" s="25"/>
      <c r="B1678" s="19"/>
      <c r="C1678" s="19"/>
      <c r="D1678" s="19"/>
      <c r="E1678" s="19"/>
      <c r="F1678" s="17" t="str">
        <f>IFERROR(__xludf.DUMMYFUNCTION("""COMPUTED_VALUE"""),"")</f>
        <v/>
      </c>
      <c r="G1678" s="20"/>
      <c r="H1678" s="19"/>
      <c r="I1678" s="19"/>
      <c r="J1678" s="19"/>
      <c r="K1678" s="19"/>
      <c r="L1678" s="19"/>
      <c r="M1678" s="19"/>
      <c r="N1678" s="20" t="s">
        <v>39</v>
      </c>
      <c r="O1678" s="19"/>
      <c r="P1678" s="19"/>
      <c r="Q1678" s="19"/>
      <c r="R1678" s="19"/>
      <c r="S1678" s="19"/>
      <c r="T1678" s="19"/>
      <c r="U1678" s="19"/>
      <c r="V1678" s="19"/>
    </row>
    <row r="1679">
      <c r="A1679" s="25"/>
      <c r="B1679" s="19"/>
      <c r="C1679" s="19"/>
      <c r="D1679" s="19"/>
      <c r="E1679" s="19"/>
      <c r="F1679" s="17" t="str">
        <f>IFERROR(__xludf.DUMMYFUNCTION("""COMPUTED_VALUE"""),"")</f>
        <v/>
      </c>
      <c r="G1679" s="20"/>
      <c r="H1679" s="19"/>
      <c r="I1679" s="19"/>
      <c r="J1679" s="19"/>
      <c r="K1679" s="19"/>
      <c r="L1679" s="19"/>
      <c r="M1679" s="19"/>
      <c r="N1679" s="20" t="s">
        <v>39</v>
      </c>
      <c r="O1679" s="19"/>
      <c r="P1679" s="19"/>
      <c r="Q1679" s="19"/>
      <c r="R1679" s="19"/>
      <c r="S1679" s="19"/>
      <c r="T1679" s="19"/>
      <c r="U1679" s="19"/>
      <c r="V1679" s="19"/>
    </row>
    <row r="1680">
      <c r="A1680" s="25"/>
      <c r="B1680" s="19"/>
      <c r="C1680" s="19"/>
      <c r="D1680" s="19"/>
      <c r="E1680" s="19"/>
      <c r="F1680" s="17" t="str">
        <f>IFERROR(__xludf.DUMMYFUNCTION("""COMPUTED_VALUE"""),"")</f>
        <v/>
      </c>
      <c r="G1680" s="20"/>
      <c r="H1680" s="19"/>
      <c r="I1680" s="19"/>
      <c r="J1680" s="19"/>
      <c r="K1680" s="19"/>
      <c r="L1680" s="19"/>
      <c r="M1680" s="19"/>
      <c r="N1680" s="20" t="s">
        <v>39</v>
      </c>
      <c r="O1680" s="19"/>
      <c r="P1680" s="19"/>
      <c r="Q1680" s="19"/>
      <c r="R1680" s="19"/>
      <c r="S1680" s="19"/>
      <c r="T1680" s="19"/>
      <c r="U1680" s="19"/>
      <c r="V1680" s="19"/>
    </row>
    <row r="1681">
      <c r="A1681" s="25"/>
      <c r="B1681" s="19"/>
      <c r="C1681" s="19"/>
      <c r="D1681" s="19"/>
      <c r="E1681" s="19"/>
      <c r="F1681" s="17" t="str">
        <f>IFERROR(__xludf.DUMMYFUNCTION("""COMPUTED_VALUE"""),"")</f>
        <v/>
      </c>
      <c r="G1681" s="20"/>
      <c r="H1681" s="19"/>
      <c r="I1681" s="19"/>
      <c r="J1681" s="19"/>
      <c r="K1681" s="19"/>
      <c r="L1681" s="19"/>
      <c r="M1681" s="19"/>
      <c r="N1681" s="20" t="s">
        <v>39</v>
      </c>
      <c r="O1681" s="19"/>
      <c r="P1681" s="19"/>
      <c r="Q1681" s="19"/>
      <c r="R1681" s="19"/>
      <c r="S1681" s="19"/>
      <c r="T1681" s="19"/>
      <c r="U1681" s="19"/>
      <c r="V1681" s="19"/>
    </row>
    <row r="1682">
      <c r="A1682" s="25"/>
      <c r="B1682" s="19"/>
      <c r="C1682" s="19"/>
      <c r="D1682" s="19"/>
      <c r="E1682" s="19"/>
      <c r="F1682" s="17" t="str">
        <f>IFERROR(__xludf.DUMMYFUNCTION("""COMPUTED_VALUE"""),"")</f>
        <v/>
      </c>
      <c r="G1682" s="20"/>
      <c r="H1682" s="19"/>
      <c r="I1682" s="19"/>
      <c r="J1682" s="19"/>
      <c r="K1682" s="19"/>
      <c r="L1682" s="19"/>
      <c r="M1682" s="19"/>
      <c r="N1682" s="20" t="s">
        <v>39</v>
      </c>
      <c r="O1682" s="19"/>
      <c r="P1682" s="19"/>
      <c r="Q1682" s="19"/>
      <c r="R1682" s="19"/>
      <c r="S1682" s="19"/>
      <c r="T1682" s="19"/>
      <c r="U1682" s="19"/>
      <c r="V1682" s="19"/>
    </row>
    <row r="1683">
      <c r="A1683" s="25"/>
      <c r="B1683" s="19"/>
      <c r="C1683" s="19"/>
      <c r="D1683" s="19"/>
      <c r="E1683" s="19"/>
      <c r="F1683" s="17" t="str">
        <f>IFERROR(__xludf.DUMMYFUNCTION("""COMPUTED_VALUE"""),"")</f>
        <v/>
      </c>
      <c r="G1683" s="20"/>
      <c r="H1683" s="19"/>
      <c r="I1683" s="19"/>
      <c r="J1683" s="19"/>
      <c r="K1683" s="19"/>
      <c r="L1683" s="19"/>
      <c r="M1683" s="19"/>
      <c r="N1683" s="20" t="s">
        <v>39</v>
      </c>
      <c r="O1683" s="19"/>
      <c r="P1683" s="19"/>
      <c r="Q1683" s="19"/>
      <c r="R1683" s="19"/>
      <c r="S1683" s="19"/>
      <c r="T1683" s="19"/>
      <c r="U1683" s="19"/>
      <c r="V1683" s="19"/>
    </row>
    <row r="1684">
      <c r="A1684" s="25"/>
      <c r="B1684" s="19"/>
      <c r="C1684" s="19"/>
      <c r="D1684" s="19"/>
      <c r="E1684" s="19"/>
      <c r="F1684" s="17" t="str">
        <f>IFERROR(__xludf.DUMMYFUNCTION("""COMPUTED_VALUE"""),"")</f>
        <v/>
      </c>
      <c r="G1684" s="20"/>
      <c r="H1684" s="19"/>
      <c r="I1684" s="19"/>
      <c r="J1684" s="19"/>
      <c r="K1684" s="19"/>
      <c r="L1684" s="19"/>
      <c r="M1684" s="19"/>
      <c r="N1684" s="20" t="s">
        <v>39</v>
      </c>
      <c r="O1684" s="19"/>
      <c r="P1684" s="19"/>
      <c r="Q1684" s="19"/>
      <c r="R1684" s="19"/>
      <c r="S1684" s="19"/>
      <c r="T1684" s="19"/>
      <c r="U1684" s="19"/>
      <c r="V1684" s="19"/>
    </row>
    <row r="1685">
      <c r="A1685" s="25"/>
      <c r="B1685" s="19"/>
      <c r="C1685" s="19"/>
      <c r="D1685" s="19"/>
      <c r="E1685" s="19"/>
      <c r="F1685" s="17" t="str">
        <f>IFERROR(__xludf.DUMMYFUNCTION("""COMPUTED_VALUE"""),"")</f>
        <v/>
      </c>
      <c r="G1685" s="20"/>
      <c r="H1685" s="19"/>
      <c r="I1685" s="19"/>
      <c r="J1685" s="19"/>
      <c r="K1685" s="19"/>
      <c r="L1685" s="19"/>
      <c r="M1685" s="19"/>
      <c r="N1685" s="20" t="s">
        <v>39</v>
      </c>
      <c r="O1685" s="19"/>
      <c r="P1685" s="19"/>
      <c r="Q1685" s="19"/>
      <c r="R1685" s="19"/>
      <c r="S1685" s="19"/>
      <c r="T1685" s="19"/>
      <c r="U1685" s="19"/>
      <c r="V1685" s="19"/>
    </row>
    <row r="1686">
      <c r="A1686" s="25"/>
      <c r="B1686" s="19"/>
      <c r="C1686" s="19"/>
      <c r="D1686" s="19"/>
      <c r="E1686" s="19"/>
      <c r="F1686" s="17" t="str">
        <f>IFERROR(__xludf.DUMMYFUNCTION("""COMPUTED_VALUE"""),"")</f>
        <v/>
      </c>
      <c r="G1686" s="20"/>
      <c r="H1686" s="19"/>
      <c r="I1686" s="19"/>
      <c r="J1686" s="19"/>
      <c r="K1686" s="19"/>
      <c r="L1686" s="19"/>
      <c r="M1686" s="19"/>
      <c r="N1686" s="20" t="s">
        <v>39</v>
      </c>
      <c r="O1686" s="19"/>
      <c r="P1686" s="19"/>
      <c r="Q1686" s="19"/>
      <c r="R1686" s="19"/>
      <c r="S1686" s="19"/>
      <c r="T1686" s="19"/>
      <c r="U1686" s="19"/>
      <c r="V1686" s="19"/>
    </row>
    <row r="1687">
      <c r="A1687" s="25"/>
      <c r="B1687" s="19"/>
      <c r="C1687" s="19"/>
      <c r="D1687" s="19"/>
      <c r="E1687" s="19"/>
      <c r="F1687" s="17" t="str">
        <f>IFERROR(__xludf.DUMMYFUNCTION("""COMPUTED_VALUE"""),"")</f>
        <v/>
      </c>
      <c r="G1687" s="20"/>
      <c r="H1687" s="19"/>
      <c r="I1687" s="19"/>
      <c r="J1687" s="19"/>
      <c r="K1687" s="19"/>
      <c r="L1687" s="19"/>
      <c r="M1687" s="19"/>
      <c r="N1687" s="20" t="s">
        <v>39</v>
      </c>
      <c r="O1687" s="19"/>
      <c r="P1687" s="19"/>
      <c r="Q1687" s="19"/>
      <c r="R1687" s="19"/>
      <c r="S1687" s="19"/>
      <c r="T1687" s="19"/>
      <c r="U1687" s="19"/>
      <c r="V1687" s="19"/>
    </row>
    <row r="1688">
      <c r="A1688" s="25"/>
      <c r="B1688" s="19"/>
      <c r="C1688" s="19"/>
      <c r="D1688" s="19"/>
      <c r="E1688" s="19"/>
      <c r="F1688" s="17" t="str">
        <f>IFERROR(__xludf.DUMMYFUNCTION("""COMPUTED_VALUE"""),"")</f>
        <v/>
      </c>
      <c r="G1688" s="20"/>
      <c r="H1688" s="19"/>
      <c r="I1688" s="19"/>
      <c r="J1688" s="19"/>
      <c r="K1688" s="19"/>
      <c r="L1688" s="19"/>
      <c r="M1688" s="19"/>
      <c r="N1688" s="20" t="s">
        <v>39</v>
      </c>
      <c r="O1688" s="19"/>
      <c r="P1688" s="19"/>
      <c r="Q1688" s="19"/>
      <c r="R1688" s="19"/>
      <c r="S1688" s="19"/>
      <c r="T1688" s="19"/>
      <c r="U1688" s="19"/>
      <c r="V1688" s="19"/>
    </row>
    <row r="1689">
      <c r="A1689" s="25"/>
      <c r="B1689" s="19"/>
      <c r="C1689" s="19"/>
      <c r="D1689" s="19"/>
      <c r="E1689" s="19"/>
      <c r="F1689" s="17" t="str">
        <f>IFERROR(__xludf.DUMMYFUNCTION("""COMPUTED_VALUE"""),"")</f>
        <v/>
      </c>
      <c r="G1689" s="20"/>
      <c r="H1689" s="19"/>
      <c r="I1689" s="19"/>
      <c r="J1689" s="19"/>
      <c r="K1689" s="19"/>
      <c r="L1689" s="19"/>
      <c r="M1689" s="19"/>
      <c r="N1689" s="20" t="s">
        <v>39</v>
      </c>
      <c r="O1689" s="19"/>
      <c r="P1689" s="19"/>
      <c r="Q1689" s="19"/>
      <c r="R1689" s="19"/>
      <c r="S1689" s="19"/>
      <c r="T1689" s="19"/>
      <c r="U1689" s="19"/>
      <c r="V1689" s="19"/>
    </row>
    <row r="1690">
      <c r="A1690" s="25"/>
      <c r="B1690" s="19"/>
      <c r="C1690" s="19"/>
      <c r="D1690" s="19"/>
      <c r="E1690" s="19"/>
      <c r="F1690" s="17" t="str">
        <f>IFERROR(__xludf.DUMMYFUNCTION("""COMPUTED_VALUE"""),"")</f>
        <v/>
      </c>
      <c r="G1690" s="20"/>
      <c r="H1690" s="19"/>
      <c r="I1690" s="19"/>
      <c r="J1690" s="19"/>
      <c r="K1690" s="19"/>
      <c r="L1690" s="19"/>
      <c r="M1690" s="19"/>
      <c r="N1690" s="20" t="s">
        <v>39</v>
      </c>
      <c r="O1690" s="19"/>
      <c r="P1690" s="19"/>
      <c r="Q1690" s="19"/>
      <c r="R1690" s="19"/>
      <c r="S1690" s="19"/>
      <c r="T1690" s="19"/>
      <c r="U1690" s="19"/>
      <c r="V1690" s="19"/>
    </row>
    <row r="1691">
      <c r="A1691" s="25"/>
      <c r="B1691" s="19"/>
      <c r="C1691" s="19"/>
      <c r="D1691" s="19"/>
      <c r="E1691" s="19"/>
      <c r="F1691" s="17" t="str">
        <f>IFERROR(__xludf.DUMMYFUNCTION("""COMPUTED_VALUE"""),"")</f>
        <v/>
      </c>
      <c r="G1691" s="20"/>
      <c r="H1691" s="19"/>
      <c r="I1691" s="19"/>
      <c r="J1691" s="19"/>
      <c r="K1691" s="19"/>
      <c r="L1691" s="19"/>
      <c r="M1691" s="19"/>
      <c r="N1691" s="20" t="s">
        <v>39</v>
      </c>
      <c r="O1691" s="19"/>
      <c r="P1691" s="19"/>
      <c r="Q1691" s="19"/>
      <c r="R1691" s="19"/>
      <c r="S1691" s="19"/>
      <c r="T1691" s="19"/>
      <c r="U1691" s="19"/>
      <c r="V1691" s="19"/>
    </row>
    <row r="1692">
      <c r="A1692" s="25"/>
      <c r="B1692" s="19"/>
      <c r="C1692" s="19"/>
      <c r="D1692" s="19"/>
      <c r="E1692" s="19"/>
      <c r="F1692" s="17" t="str">
        <f>IFERROR(__xludf.DUMMYFUNCTION("""COMPUTED_VALUE"""),"")</f>
        <v/>
      </c>
      <c r="G1692" s="20"/>
      <c r="H1692" s="19"/>
      <c r="I1692" s="19"/>
      <c r="J1692" s="19"/>
      <c r="K1692" s="19"/>
      <c r="L1692" s="19"/>
      <c r="M1692" s="19"/>
      <c r="N1692" s="20" t="s">
        <v>39</v>
      </c>
      <c r="O1692" s="19"/>
      <c r="P1692" s="19"/>
      <c r="Q1692" s="19"/>
      <c r="R1692" s="19"/>
      <c r="S1692" s="19"/>
      <c r="T1692" s="19"/>
      <c r="U1692" s="19"/>
      <c r="V1692" s="19"/>
    </row>
    <row r="1693">
      <c r="A1693" s="25"/>
      <c r="B1693" s="19"/>
      <c r="C1693" s="19"/>
      <c r="D1693" s="19"/>
      <c r="E1693" s="19"/>
      <c r="F1693" s="17" t="str">
        <f>IFERROR(__xludf.DUMMYFUNCTION("""COMPUTED_VALUE"""),"")</f>
        <v/>
      </c>
      <c r="G1693" s="20"/>
      <c r="H1693" s="19"/>
      <c r="I1693" s="19"/>
      <c r="J1693" s="19"/>
      <c r="K1693" s="19"/>
      <c r="L1693" s="19"/>
      <c r="M1693" s="19"/>
      <c r="N1693" s="20" t="s">
        <v>39</v>
      </c>
      <c r="O1693" s="19"/>
      <c r="P1693" s="19"/>
      <c r="Q1693" s="19"/>
      <c r="R1693" s="19"/>
      <c r="S1693" s="19"/>
      <c r="T1693" s="19"/>
      <c r="U1693" s="19"/>
      <c r="V1693" s="19"/>
    </row>
    <row r="1694">
      <c r="A1694" s="25"/>
      <c r="B1694" s="19"/>
      <c r="C1694" s="19"/>
      <c r="D1694" s="19"/>
      <c r="E1694" s="19"/>
      <c r="F1694" s="17" t="str">
        <f>IFERROR(__xludf.DUMMYFUNCTION("""COMPUTED_VALUE"""),"")</f>
        <v/>
      </c>
      <c r="G1694" s="20"/>
      <c r="H1694" s="19"/>
      <c r="I1694" s="19"/>
      <c r="J1694" s="19"/>
      <c r="K1694" s="19"/>
      <c r="L1694" s="19"/>
      <c r="M1694" s="19"/>
      <c r="N1694" s="20" t="s">
        <v>39</v>
      </c>
      <c r="O1694" s="19"/>
      <c r="P1694" s="19"/>
      <c r="Q1694" s="19"/>
      <c r="R1694" s="19"/>
      <c r="S1694" s="19"/>
      <c r="T1694" s="19"/>
      <c r="U1694" s="19"/>
      <c r="V1694" s="19"/>
    </row>
    <row r="1695">
      <c r="A1695" s="25"/>
      <c r="B1695" s="19"/>
      <c r="C1695" s="19"/>
      <c r="D1695" s="19"/>
      <c r="E1695" s="19"/>
      <c r="F1695" s="17" t="str">
        <f>IFERROR(__xludf.DUMMYFUNCTION("""COMPUTED_VALUE"""),"")</f>
        <v/>
      </c>
      <c r="G1695" s="20"/>
      <c r="H1695" s="19"/>
      <c r="I1695" s="19"/>
      <c r="J1695" s="19"/>
      <c r="K1695" s="19"/>
      <c r="L1695" s="19"/>
      <c r="M1695" s="19"/>
      <c r="N1695" s="20" t="s">
        <v>39</v>
      </c>
      <c r="O1695" s="19"/>
      <c r="P1695" s="19"/>
      <c r="Q1695" s="19"/>
      <c r="R1695" s="19"/>
      <c r="S1695" s="19"/>
      <c r="T1695" s="19"/>
      <c r="U1695" s="19"/>
      <c r="V1695" s="19"/>
    </row>
    <row r="1696">
      <c r="A1696" s="25"/>
      <c r="B1696" s="19"/>
      <c r="C1696" s="19"/>
      <c r="D1696" s="19"/>
      <c r="E1696" s="19"/>
      <c r="F1696" s="17" t="str">
        <f>IFERROR(__xludf.DUMMYFUNCTION("""COMPUTED_VALUE"""),"")</f>
        <v/>
      </c>
      <c r="G1696" s="20"/>
      <c r="H1696" s="19"/>
      <c r="I1696" s="19"/>
      <c r="J1696" s="19"/>
      <c r="K1696" s="19"/>
      <c r="L1696" s="19"/>
      <c r="M1696" s="19"/>
      <c r="N1696" s="20" t="s">
        <v>39</v>
      </c>
      <c r="O1696" s="19"/>
      <c r="P1696" s="19"/>
      <c r="Q1696" s="19"/>
      <c r="R1696" s="19"/>
      <c r="S1696" s="19"/>
      <c r="T1696" s="19"/>
      <c r="U1696" s="19"/>
      <c r="V1696" s="19"/>
    </row>
    <row r="1697">
      <c r="A1697" s="25"/>
      <c r="B1697" s="19"/>
      <c r="C1697" s="19"/>
      <c r="D1697" s="19"/>
      <c r="E1697" s="19"/>
      <c r="F1697" s="17" t="str">
        <f>IFERROR(__xludf.DUMMYFUNCTION("""COMPUTED_VALUE"""),"")</f>
        <v/>
      </c>
      <c r="G1697" s="20"/>
      <c r="H1697" s="19"/>
      <c r="I1697" s="19"/>
      <c r="J1697" s="19"/>
      <c r="K1697" s="19"/>
      <c r="L1697" s="19"/>
      <c r="M1697" s="19"/>
      <c r="N1697" s="20" t="s">
        <v>39</v>
      </c>
      <c r="O1697" s="19"/>
      <c r="P1697" s="19"/>
      <c r="Q1697" s="19"/>
      <c r="R1697" s="19"/>
      <c r="S1697" s="19"/>
      <c r="T1697" s="19"/>
      <c r="U1697" s="19"/>
      <c r="V1697" s="19"/>
    </row>
    <row r="1698">
      <c r="A1698" s="25"/>
      <c r="B1698" s="19"/>
      <c r="C1698" s="19"/>
      <c r="D1698" s="19"/>
      <c r="E1698" s="19"/>
      <c r="F1698" s="17" t="str">
        <f>IFERROR(__xludf.DUMMYFUNCTION("""COMPUTED_VALUE"""),"")</f>
        <v/>
      </c>
      <c r="G1698" s="20"/>
      <c r="H1698" s="19"/>
      <c r="I1698" s="19"/>
      <c r="J1698" s="19"/>
      <c r="K1698" s="19"/>
      <c r="L1698" s="19"/>
      <c r="M1698" s="19"/>
      <c r="N1698" s="20" t="s">
        <v>39</v>
      </c>
      <c r="O1698" s="19"/>
      <c r="P1698" s="19"/>
      <c r="Q1698" s="19"/>
      <c r="R1698" s="19"/>
      <c r="S1698" s="19"/>
      <c r="T1698" s="19"/>
      <c r="U1698" s="19"/>
      <c r="V1698" s="19"/>
    </row>
    <row r="1699">
      <c r="A1699" s="25"/>
      <c r="B1699" s="19"/>
      <c r="C1699" s="19"/>
      <c r="D1699" s="19"/>
      <c r="E1699" s="19"/>
      <c r="F1699" s="17" t="str">
        <f>IFERROR(__xludf.DUMMYFUNCTION("""COMPUTED_VALUE"""),"")</f>
        <v/>
      </c>
      <c r="G1699" s="20"/>
      <c r="H1699" s="19"/>
      <c r="I1699" s="19"/>
      <c r="J1699" s="19"/>
      <c r="K1699" s="19"/>
      <c r="L1699" s="19"/>
      <c r="M1699" s="19"/>
      <c r="N1699" s="20" t="s">
        <v>39</v>
      </c>
      <c r="O1699" s="19"/>
      <c r="P1699" s="19"/>
      <c r="Q1699" s="19"/>
      <c r="R1699" s="19"/>
      <c r="S1699" s="19"/>
      <c r="T1699" s="19"/>
      <c r="U1699" s="19"/>
      <c r="V1699" s="19"/>
    </row>
    <row r="1700">
      <c r="A1700" s="25"/>
      <c r="B1700" s="19"/>
      <c r="C1700" s="19"/>
      <c r="D1700" s="19"/>
      <c r="E1700" s="19"/>
      <c r="F1700" s="17" t="str">
        <f>IFERROR(__xludf.DUMMYFUNCTION("""COMPUTED_VALUE"""),"")</f>
        <v/>
      </c>
      <c r="G1700" s="20"/>
      <c r="H1700" s="19"/>
      <c r="I1700" s="19"/>
      <c r="J1700" s="19"/>
      <c r="K1700" s="19"/>
      <c r="L1700" s="19"/>
      <c r="M1700" s="19"/>
      <c r="N1700" s="20" t="s">
        <v>39</v>
      </c>
      <c r="O1700" s="19"/>
      <c r="P1700" s="19"/>
      <c r="Q1700" s="19"/>
      <c r="R1700" s="19"/>
      <c r="S1700" s="19"/>
      <c r="T1700" s="19"/>
      <c r="U1700" s="19"/>
      <c r="V1700" s="19"/>
    </row>
    <row r="1701">
      <c r="A1701" s="25"/>
      <c r="B1701" s="19"/>
      <c r="C1701" s="19"/>
      <c r="D1701" s="19"/>
      <c r="E1701" s="19"/>
      <c r="F1701" s="17" t="str">
        <f>IFERROR(__xludf.DUMMYFUNCTION("""COMPUTED_VALUE"""),"")</f>
        <v/>
      </c>
      <c r="G1701" s="20"/>
      <c r="H1701" s="19"/>
      <c r="I1701" s="19"/>
      <c r="J1701" s="19"/>
      <c r="K1701" s="19"/>
      <c r="L1701" s="19"/>
      <c r="M1701" s="19"/>
      <c r="N1701" s="20" t="s">
        <v>39</v>
      </c>
      <c r="O1701" s="19"/>
      <c r="P1701" s="19"/>
      <c r="Q1701" s="19"/>
      <c r="R1701" s="19"/>
      <c r="S1701" s="19"/>
      <c r="T1701" s="19"/>
      <c r="U1701" s="19"/>
      <c r="V1701" s="19"/>
    </row>
    <row r="1702">
      <c r="A1702" s="25"/>
      <c r="B1702" s="19"/>
      <c r="C1702" s="19"/>
      <c r="D1702" s="19"/>
      <c r="E1702" s="19"/>
      <c r="F1702" s="17" t="str">
        <f>IFERROR(__xludf.DUMMYFUNCTION("""COMPUTED_VALUE"""),"")</f>
        <v/>
      </c>
      <c r="G1702" s="20"/>
      <c r="H1702" s="19"/>
      <c r="I1702" s="19"/>
      <c r="J1702" s="19"/>
      <c r="K1702" s="19"/>
      <c r="L1702" s="19"/>
      <c r="M1702" s="19"/>
      <c r="N1702" s="20" t="s">
        <v>39</v>
      </c>
      <c r="O1702" s="19"/>
      <c r="P1702" s="19"/>
      <c r="Q1702" s="19"/>
      <c r="R1702" s="19"/>
      <c r="S1702" s="19"/>
      <c r="T1702" s="19"/>
      <c r="U1702" s="19"/>
      <c r="V1702" s="19"/>
    </row>
    <row r="1703">
      <c r="A1703" s="25"/>
      <c r="B1703" s="19"/>
      <c r="C1703" s="19"/>
      <c r="D1703" s="19"/>
      <c r="E1703" s="19"/>
      <c r="F1703" s="17" t="str">
        <f>IFERROR(__xludf.DUMMYFUNCTION("""COMPUTED_VALUE"""),"")</f>
        <v/>
      </c>
      <c r="G1703" s="20"/>
      <c r="H1703" s="19"/>
      <c r="I1703" s="19"/>
      <c r="J1703" s="19"/>
      <c r="K1703" s="19"/>
      <c r="L1703" s="19"/>
      <c r="M1703" s="19"/>
      <c r="N1703" s="20" t="s">
        <v>39</v>
      </c>
      <c r="O1703" s="19"/>
      <c r="P1703" s="19"/>
      <c r="Q1703" s="19"/>
      <c r="R1703" s="19"/>
      <c r="S1703" s="19"/>
      <c r="T1703" s="19"/>
      <c r="U1703" s="19"/>
      <c r="V1703" s="19"/>
    </row>
    <row r="1704">
      <c r="A1704" s="25"/>
      <c r="B1704" s="19"/>
      <c r="C1704" s="19"/>
      <c r="D1704" s="19"/>
      <c r="E1704" s="19"/>
      <c r="F1704" s="17" t="str">
        <f>IFERROR(__xludf.DUMMYFUNCTION("""COMPUTED_VALUE"""),"")</f>
        <v/>
      </c>
      <c r="G1704" s="20"/>
      <c r="H1704" s="19"/>
      <c r="I1704" s="19"/>
      <c r="J1704" s="19"/>
      <c r="K1704" s="19"/>
      <c r="L1704" s="19"/>
      <c r="M1704" s="19"/>
      <c r="N1704" s="20" t="s">
        <v>39</v>
      </c>
      <c r="O1704" s="19"/>
      <c r="P1704" s="19"/>
      <c r="Q1704" s="19"/>
      <c r="R1704" s="19"/>
      <c r="S1704" s="19"/>
      <c r="T1704" s="19"/>
      <c r="U1704" s="19"/>
      <c r="V1704" s="19"/>
    </row>
    <row r="1705">
      <c r="A1705" s="25"/>
      <c r="B1705" s="19"/>
      <c r="C1705" s="19"/>
      <c r="D1705" s="19"/>
      <c r="E1705" s="19"/>
      <c r="F1705" s="17" t="str">
        <f>IFERROR(__xludf.DUMMYFUNCTION("""COMPUTED_VALUE"""),"")</f>
        <v/>
      </c>
      <c r="G1705" s="20"/>
      <c r="H1705" s="19"/>
      <c r="I1705" s="19"/>
      <c r="J1705" s="19"/>
      <c r="K1705" s="19"/>
      <c r="L1705" s="19"/>
      <c r="M1705" s="19"/>
      <c r="N1705" s="20" t="s">
        <v>39</v>
      </c>
      <c r="O1705" s="19"/>
      <c r="P1705" s="19"/>
      <c r="Q1705" s="19"/>
      <c r="R1705" s="19"/>
      <c r="S1705" s="19"/>
      <c r="T1705" s="19"/>
      <c r="U1705" s="19"/>
      <c r="V1705" s="19"/>
    </row>
    <row r="1706">
      <c r="A1706" s="25"/>
      <c r="B1706" s="19"/>
      <c r="C1706" s="19"/>
      <c r="D1706" s="19"/>
      <c r="E1706" s="19"/>
      <c r="F1706" s="17" t="str">
        <f>IFERROR(__xludf.DUMMYFUNCTION("""COMPUTED_VALUE"""),"")</f>
        <v/>
      </c>
      <c r="G1706" s="20"/>
      <c r="H1706" s="19"/>
      <c r="I1706" s="19"/>
      <c r="J1706" s="19"/>
      <c r="K1706" s="19"/>
      <c r="L1706" s="19"/>
      <c r="M1706" s="19"/>
      <c r="N1706" s="20" t="s">
        <v>39</v>
      </c>
      <c r="O1706" s="19"/>
      <c r="P1706" s="19"/>
      <c r="Q1706" s="19"/>
      <c r="R1706" s="19"/>
      <c r="S1706" s="19"/>
      <c r="T1706" s="19"/>
      <c r="U1706" s="19"/>
      <c r="V1706" s="19"/>
    </row>
    <row r="1707">
      <c r="A1707" s="25"/>
      <c r="B1707" s="19"/>
      <c r="C1707" s="19"/>
      <c r="D1707" s="19"/>
      <c r="E1707" s="19"/>
      <c r="F1707" s="17" t="str">
        <f>IFERROR(__xludf.DUMMYFUNCTION("""COMPUTED_VALUE"""),"")</f>
        <v/>
      </c>
      <c r="G1707" s="20"/>
      <c r="H1707" s="19"/>
      <c r="I1707" s="19"/>
      <c r="J1707" s="19"/>
      <c r="K1707" s="19"/>
      <c r="L1707" s="19"/>
      <c r="M1707" s="19"/>
      <c r="N1707" s="20" t="s">
        <v>39</v>
      </c>
      <c r="O1707" s="19"/>
      <c r="P1707" s="19"/>
      <c r="Q1707" s="19"/>
      <c r="R1707" s="19"/>
      <c r="S1707" s="19"/>
      <c r="T1707" s="19"/>
      <c r="U1707" s="19"/>
      <c r="V1707" s="19"/>
    </row>
    <row r="1708">
      <c r="A1708" s="25"/>
      <c r="B1708" s="19"/>
      <c r="C1708" s="19"/>
      <c r="D1708" s="19"/>
      <c r="E1708" s="19"/>
      <c r="F1708" s="17" t="str">
        <f>IFERROR(__xludf.DUMMYFUNCTION("""COMPUTED_VALUE"""),"")</f>
        <v/>
      </c>
      <c r="G1708" s="20"/>
      <c r="H1708" s="19"/>
      <c r="I1708" s="19"/>
      <c r="J1708" s="19"/>
      <c r="K1708" s="19"/>
      <c r="L1708" s="19"/>
      <c r="M1708" s="19"/>
      <c r="N1708" s="20" t="s">
        <v>39</v>
      </c>
      <c r="O1708" s="19"/>
      <c r="P1708" s="19"/>
      <c r="Q1708" s="19"/>
      <c r="R1708" s="19"/>
      <c r="S1708" s="19"/>
      <c r="T1708" s="19"/>
      <c r="U1708" s="19"/>
      <c r="V1708" s="19"/>
    </row>
    <row r="1709">
      <c r="A1709" s="25"/>
      <c r="B1709" s="19"/>
      <c r="C1709" s="19"/>
      <c r="D1709" s="19"/>
      <c r="E1709" s="19"/>
      <c r="F1709" s="17" t="str">
        <f>IFERROR(__xludf.DUMMYFUNCTION("""COMPUTED_VALUE"""),"")</f>
        <v/>
      </c>
      <c r="G1709" s="20"/>
      <c r="H1709" s="19"/>
      <c r="I1709" s="19"/>
      <c r="J1709" s="19"/>
      <c r="K1709" s="19"/>
      <c r="L1709" s="19"/>
      <c r="M1709" s="19"/>
      <c r="N1709" s="20" t="s">
        <v>39</v>
      </c>
      <c r="O1709" s="19"/>
      <c r="P1709" s="19"/>
      <c r="Q1709" s="19"/>
      <c r="R1709" s="19"/>
      <c r="S1709" s="19"/>
      <c r="T1709" s="19"/>
      <c r="U1709" s="19"/>
      <c r="V1709" s="19"/>
    </row>
    <row r="1710">
      <c r="A1710" s="25"/>
      <c r="B1710" s="19"/>
      <c r="C1710" s="19"/>
      <c r="D1710" s="19"/>
      <c r="E1710" s="19"/>
      <c r="F1710" s="17" t="str">
        <f>IFERROR(__xludf.DUMMYFUNCTION("""COMPUTED_VALUE"""),"")</f>
        <v/>
      </c>
      <c r="G1710" s="20"/>
      <c r="H1710" s="19"/>
      <c r="I1710" s="19"/>
      <c r="J1710" s="19"/>
      <c r="K1710" s="19"/>
      <c r="L1710" s="19"/>
      <c r="M1710" s="19"/>
      <c r="N1710" s="20" t="s">
        <v>39</v>
      </c>
      <c r="O1710" s="19"/>
      <c r="P1710" s="19"/>
      <c r="Q1710" s="19"/>
      <c r="R1710" s="19"/>
      <c r="S1710" s="19"/>
      <c r="T1710" s="19"/>
      <c r="U1710" s="19"/>
      <c r="V1710" s="19"/>
    </row>
    <row r="1711">
      <c r="A1711" s="25"/>
      <c r="B1711" s="19"/>
      <c r="C1711" s="19"/>
      <c r="D1711" s="19"/>
      <c r="E1711" s="19"/>
      <c r="F1711" s="17" t="str">
        <f>IFERROR(__xludf.DUMMYFUNCTION("""COMPUTED_VALUE"""),"")</f>
        <v/>
      </c>
      <c r="G1711" s="20"/>
      <c r="H1711" s="19"/>
      <c r="I1711" s="19"/>
      <c r="J1711" s="19"/>
      <c r="K1711" s="19"/>
      <c r="L1711" s="19"/>
      <c r="M1711" s="19"/>
      <c r="N1711" s="20" t="s">
        <v>39</v>
      </c>
      <c r="O1711" s="19"/>
      <c r="P1711" s="19"/>
      <c r="Q1711" s="19"/>
      <c r="R1711" s="19"/>
      <c r="S1711" s="19"/>
      <c r="T1711" s="19"/>
      <c r="U1711" s="19"/>
      <c r="V1711" s="19"/>
    </row>
    <row r="1712">
      <c r="A1712" s="25"/>
      <c r="B1712" s="19"/>
      <c r="C1712" s="19"/>
      <c r="D1712" s="19"/>
      <c r="E1712" s="19"/>
      <c r="F1712" s="17" t="str">
        <f>IFERROR(__xludf.DUMMYFUNCTION("""COMPUTED_VALUE"""),"")</f>
        <v/>
      </c>
      <c r="G1712" s="20"/>
      <c r="H1712" s="19"/>
      <c r="I1712" s="19"/>
      <c r="J1712" s="19"/>
      <c r="K1712" s="19"/>
      <c r="L1712" s="19"/>
      <c r="M1712" s="19"/>
      <c r="N1712" s="20" t="s">
        <v>39</v>
      </c>
      <c r="O1712" s="19"/>
      <c r="P1712" s="19"/>
      <c r="Q1712" s="19"/>
      <c r="R1712" s="19"/>
      <c r="S1712" s="19"/>
      <c r="T1712" s="19"/>
      <c r="U1712" s="19"/>
      <c r="V1712" s="19"/>
    </row>
    <row r="1713">
      <c r="A1713" s="25"/>
      <c r="B1713" s="19"/>
      <c r="C1713" s="19"/>
      <c r="D1713" s="19"/>
      <c r="E1713" s="19"/>
      <c r="F1713" s="17" t="str">
        <f>IFERROR(__xludf.DUMMYFUNCTION("""COMPUTED_VALUE"""),"")</f>
        <v/>
      </c>
      <c r="G1713" s="20"/>
      <c r="H1713" s="19"/>
      <c r="I1713" s="19"/>
      <c r="J1713" s="19"/>
      <c r="K1713" s="19"/>
      <c r="L1713" s="19"/>
      <c r="M1713" s="19"/>
      <c r="N1713" s="20" t="s">
        <v>39</v>
      </c>
      <c r="O1713" s="19"/>
      <c r="P1713" s="19"/>
      <c r="Q1713" s="19"/>
      <c r="R1713" s="19"/>
      <c r="S1713" s="19"/>
      <c r="T1713" s="19"/>
      <c r="U1713" s="19"/>
      <c r="V1713" s="19"/>
    </row>
    <row r="1714">
      <c r="A1714" s="25"/>
      <c r="B1714" s="19"/>
      <c r="C1714" s="19"/>
      <c r="D1714" s="19"/>
      <c r="E1714" s="19"/>
      <c r="F1714" s="17" t="str">
        <f>IFERROR(__xludf.DUMMYFUNCTION("""COMPUTED_VALUE"""),"")</f>
        <v/>
      </c>
      <c r="G1714" s="20"/>
      <c r="H1714" s="19"/>
      <c r="I1714" s="19"/>
      <c r="J1714" s="19"/>
      <c r="K1714" s="19"/>
      <c r="L1714" s="19"/>
      <c r="M1714" s="19"/>
      <c r="N1714" s="20" t="s">
        <v>39</v>
      </c>
      <c r="O1714" s="19"/>
      <c r="P1714" s="19"/>
      <c r="Q1714" s="19"/>
      <c r="R1714" s="19"/>
      <c r="S1714" s="19"/>
      <c r="T1714" s="19"/>
      <c r="U1714" s="19"/>
      <c r="V1714" s="19"/>
    </row>
    <row r="1715">
      <c r="A1715" s="25"/>
      <c r="B1715" s="19"/>
      <c r="C1715" s="19"/>
      <c r="D1715" s="19"/>
      <c r="E1715" s="19"/>
      <c r="F1715" s="17" t="str">
        <f>IFERROR(__xludf.DUMMYFUNCTION("""COMPUTED_VALUE"""),"")</f>
        <v/>
      </c>
      <c r="G1715" s="20"/>
      <c r="H1715" s="19"/>
      <c r="I1715" s="19"/>
      <c r="J1715" s="19"/>
      <c r="K1715" s="19"/>
      <c r="L1715" s="19"/>
      <c r="M1715" s="19"/>
      <c r="N1715" s="20" t="s">
        <v>39</v>
      </c>
      <c r="O1715" s="19"/>
      <c r="P1715" s="19"/>
      <c r="Q1715" s="19"/>
      <c r="R1715" s="19"/>
      <c r="S1715" s="19"/>
      <c r="T1715" s="19"/>
      <c r="U1715" s="19"/>
      <c r="V1715" s="19"/>
    </row>
    <row r="1716">
      <c r="A1716" s="25"/>
      <c r="B1716" s="19"/>
      <c r="C1716" s="19"/>
      <c r="D1716" s="19"/>
      <c r="E1716" s="19"/>
      <c r="F1716" s="17" t="str">
        <f>IFERROR(__xludf.DUMMYFUNCTION("""COMPUTED_VALUE"""),"")</f>
        <v/>
      </c>
      <c r="G1716" s="20"/>
      <c r="H1716" s="19"/>
      <c r="I1716" s="19"/>
      <c r="J1716" s="19"/>
      <c r="K1716" s="19"/>
      <c r="L1716" s="19"/>
      <c r="M1716" s="19"/>
      <c r="N1716" s="20" t="s">
        <v>39</v>
      </c>
      <c r="O1716" s="19"/>
      <c r="P1716" s="19"/>
      <c r="Q1716" s="19"/>
      <c r="R1716" s="19"/>
      <c r="S1716" s="19"/>
      <c r="T1716" s="19"/>
      <c r="U1716" s="19"/>
      <c r="V1716" s="19"/>
    </row>
    <row r="1717">
      <c r="A1717" s="25"/>
      <c r="B1717" s="19"/>
      <c r="C1717" s="19"/>
      <c r="D1717" s="19"/>
      <c r="E1717" s="19"/>
      <c r="F1717" s="17" t="str">
        <f>IFERROR(__xludf.DUMMYFUNCTION("""COMPUTED_VALUE"""),"")</f>
        <v/>
      </c>
      <c r="G1717" s="20"/>
      <c r="H1717" s="19"/>
      <c r="I1717" s="19"/>
      <c r="J1717" s="19"/>
      <c r="K1717" s="19"/>
      <c r="L1717" s="19"/>
      <c r="M1717" s="19"/>
      <c r="N1717" s="20" t="s">
        <v>39</v>
      </c>
      <c r="O1717" s="19"/>
      <c r="P1717" s="19"/>
      <c r="Q1717" s="19"/>
      <c r="R1717" s="19"/>
      <c r="S1717" s="19"/>
      <c r="T1717" s="19"/>
      <c r="U1717" s="19"/>
      <c r="V1717" s="19"/>
    </row>
    <row r="1718">
      <c r="A1718" s="25"/>
      <c r="B1718" s="19"/>
      <c r="C1718" s="19"/>
      <c r="D1718" s="19"/>
      <c r="E1718" s="19"/>
      <c r="F1718" s="17" t="str">
        <f>IFERROR(__xludf.DUMMYFUNCTION("""COMPUTED_VALUE"""),"")</f>
        <v/>
      </c>
      <c r="G1718" s="20"/>
      <c r="H1718" s="19"/>
      <c r="I1718" s="19"/>
      <c r="J1718" s="19"/>
      <c r="K1718" s="19"/>
      <c r="L1718" s="19"/>
      <c r="M1718" s="19"/>
      <c r="N1718" s="20" t="s">
        <v>39</v>
      </c>
      <c r="O1718" s="19"/>
      <c r="P1718" s="19"/>
      <c r="Q1718" s="19"/>
      <c r="R1718" s="19"/>
      <c r="S1718" s="19"/>
      <c r="T1718" s="19"/>
      <c r="U1718" s="19"/>
      <c r="V1718" s="19"/>
    </row>
    <row r="1719">
      <c r="A1719" s="25"/>
      <c r="B1719" s="19"/>
      <c r="C1719" s="19"/>
      <c r="D1719" s="19"/>
      <c r="E1719" s="19"/>
      <c r="F1719" s="17" t="str">
        <f>IFERROR(__xludf.DUMMYFUNCTION("""COMPUTED_VALUE"""),"")</f>
        <v/>
      </c>
      <c r="G1719" s="20"/>
      <c r="H1719" s="19"/>
      <c r="I1719" s="19"/>
      <c r="J1719" s="19"/>
      <c r="K1719" s="19"/>
      <c r="L1719" s="19"/>
      <c r="M1719" s="19"/>
      <c r="N1719" s="20" t="s">
        <v>39</v>
      </c>
      <c r="O1719" s="19"/>
      <c r="P1719" s="19"/>
      <c r="Q1719" s="19"/>
      <c r="R1719" s="19"/>
      <c r="S1719" s="19"/>
      <c r="T1719" s="19"/>
      <c r="U1719" s="19"/>
      <c r="V1719" s="19"/>
    </row>
    <row r="1720">
      <c r="A1720" s="25"/>
      <c r="B1720" s="19"/>
      <c r="C1720" s="19"/>
      <c r="D1720" s="19"/>
      <c r="E1720" s="19"/>
      <c r="F1720" s="17" t="str">
        <f>IFERROR(__xludf.DUMMYFUNCTION("""COMPUTED_VALUE"""),"")</f>
        <v/>
      </c>
      <c r="G1720" s="20"/>
      <c r="H1720" s="19"/>
      <c r="I1720" s="19"/>
      <c r="J1720" s="19"/>
      <c r="K1720" s="19"/>
      <c r="L1720" s="19"/>
      <c r="M1720" s="19"/>
      <c r="N1720" s="20" t="s">
        <v>39</v>
      </c>
      <c r="O1720" s="19"/>
      <c r="P1720" s="19"/>
      <c r="Q1720" s="19"/>
      <c r="R1720" s="19"/>
      <c r="S1720" s="19"/>
      <c r="T1720" s="19"/>
      <c r="U1720" s="19"/>
      <c r="V1720" s="19"/>
    </row>
    <row r="1721">
      <c r="A1721" s="25"/>
      <c r="B1721" s="19"/>
      <c r="C1721" s="19"/>
      <c r="D1721" s="19"/>
      <c r="E1721" s="19"/>
      <c r="F1721" s="17" t="str">
        <f>IFERROR(__xludf.DUMMYFUNCTION("""COMPUTED_VALUE"""),"")</f>
        <v/>
      </c>
      <c r="G1721" s="20"/>
      <c r="H1721" s="19"/>
      <c r="I1721" s="19"/>
      <c r="J1721" s="19"/>
      <c r="K1721" s="19"/>
      <c r="L1721" s="19"/>
      <c r="M1721" s="19"/>
      <c r="N1721" s="20" t="s">
        <v>39</v>
      </c>
      <c r="O1721" s="19"/>
      <c r="P1721" s="19"/>
      <c r="Q1721" s="19"/>
      <c r="R1721" s="19"/>
      <c r="S1721" s="19"/>
      <c r="T1721" s="19"/>
      <c r="U1721" s="19"/>
      <c r="V1721" s="19"/>
    </row>
    <row r="1722">
      <c r="A1722" s="25"/>
      <c r="B1722" s="19"/>
      <c r="C1722" s="19"/>
      <c r="D1722" s="19"/>
      <c r="E1722" s="19"/>
      <c r="F1722" s="17" t="str">
        <f>IFERROR(__xludf.DUMMYFUNCTION("""COMPUTED_VALUE"""),"")</f>
        <v/>
      </c>
      <c r="G1722" s="20"/>
      <c r="H1722" s="19"/>
      <c r="I1722" s="19"/>
      <c r="J1722" s="19"/>
      <c r="K1722" s="19"/>
      <c r="L1722" s="19"/>
      <c r="M1722" s="19"/>
      <c r="N1722" s="20" t="s">
        <v>39</v>
      </c>
      <c r="O1722" s="19"/>
      <c r="P1722" s="19"/>
      <c r="Q1722" s="19"/>
      <c r="R1722" s="19"/>
      <c r="S1722" s="19"/>
      <c r="T1722" s="19"/>
      <c r="U1722" s="19"/>
      <c r="V1722" s="19"/>
    </row>
    <row r="1723">
      <c r="A1723" s="25"/>
      <c r="B1723" s="19"/>
      <c r="C1723" s="19"/>
      <c r="D1723" s="19"/>
      <c r="E1723" s="19"/>
      <c r="F1723" s="17" t="str">
        <f>IFERROR(__xludf.DUMMYFUNCTION("""COMPUTED_VALUE"""),"")</f>
        <v/>
      </c>
      <c r="G1723" s="20"/>
      <c r="H1723" s="19"/>
      <c r="I1723" s="19"/>
      <c r="J1723" s="19"/>
      <c r="K1723" s="19"/>
      <c r="L1723" s="19"/>
      <c r="M1723" s="19"/>
      <c r="N1723" s="20" t="s">
        <v>39</v>
      </c>
      <c r="O1723" s="19"/>
      <c r="P1723" s="19"/>
      <c r="Q1723" s="19"/>
      <c r="R1723" s="19"/>
      <c r="S1723" s="19"/>
      <c r="T1723" s="19"/>
      <c r="U1723" s="19"/>
      <c r="V1723" s="19"/>
    </row>
    <row r="1724">
      <c r="A1724" s="25"/>
      <c r="B1724" s="19"/>
      <c r="C1724" s="19"/>
      <c r="D1724" s="19"/>
      <c r="E1724" s="19"/>
      <c r="F1724" s="17" t="str">
        <f>IFERROR(__xludf.DUMMYFUNCTION("""COMPUTED_VALUE"""),"")</f>
        <v/>
      </c>
      <c r="G1724" s="20"/>
      <c r="H1724" s="19"/>
      <c r="I1724" s="19"/>
      <c r="J1724" s="19"/>
      <c r="K1724" s="19"/>
      <c r="L1724" s="19"/>
      <c r="M1724" s="19"/>
      <c r="N1724" s="20" t="s">
        <v>39</v>
      </c>
      <c r="O1724" s="19"/>
      <c r="P1724" s="19"/>
      <c r="Q1724" s="19"/>
      <c r="R1724" s="19"/>
      <c r="S1724" s="19"/>
      <c r="T1724" s="19"/>
      <c r="U1724" s="19"/>
      <c r="V1724" s="19"/>
    </row>
    <row r="1725">
      <c r="A1725" s="25"/>
      <c r="B1725" s="19"/>
      <c r="C1725" s="19"/>
      <c r="D1725" s="19"/>
      <c r="E1725" s="19"/>
      <c r="F1725" s="17" t="str">
        <f>IFERROR(__xludf.DUMMYFUNCTION("""COMPUTED_VALUE"""),"")</f>
        <v/>
      </c>
      <c r="G1725" s="20"/>
      <c r="H1725" s="19"/>
      <c r="I1725" s="19"/>
      <c r="J1725" s="19"/>
      <c r="K1725" s="19"/>
      <c r="L1725" s="19"/>
      <c r="M1725" s="19"/>
      <c r="N1725" s="20" t="s">
        <v>39</v>
      </c>
      <c r="O1725" s="19"/>
      <c r="P1725" s="19"/>
      <c r="Q1725" s="19"/>
      <c r="R1725" s="19"/>
      <c r="S1725" s="19"/>
      <c r="T1725" s="19"/>
      <c r="U1725" s="19"/>
      <c r="V1725" s="19"/>
    </row>
    <row r="1726">
      <c r="A1726" s="25"/>
      <c r="B1726" s="19"/>
      <c r="C1726" s="19"/>
      <c r="D1726" s="19"/>
      <c r="E1726" s="19"/>
      <c r="F1726" s="17" t="str">
        <f>IFERROR(__xludf.DUMMYFUNCTION("""COMPUTED_VALUE"""),"")</f>
        <v/>
      </c>
      <c r="G1726" s="20"/>
      <c r="H1726" s="19"/>
      <c r="I1726" s="19"/>
      <c r="J1726" s="19"/>
      <c r="K1726" s="19"/>
      <c r="L1726" s="19"/>
      <c r="M1726" s="19"/>
      <c r="N1726" s="20" t="s">
        <v>39</v>
      </c>
      <c r="O1726" s="19"/>
      <c r="P1726" s="19"/>
      <c r="Q1726" s="19"/>
      <c r="R1726" s="19"/>
      <c r="S1726" s="19"/>
      <c r="T1726" s="19"/>
      <c r="U1726" s="19"/>
      <c r="V1726" s="19"/>
    </row>
    <row r="1727">
      <c r="A1727" s="25"/>
      <c r="B1727" s="19"/>
      <c r="C1727" s="19"/>
      <c r="D1727" s="19"/>
      <c r="E1727" s="19"/>
      <c r="F1727" s="17" t="str">
        <f>IFERROR(__xludf.DUMMYFUNCTION("""COMPUTED_VALUE"""),"")</f>
        <v/>
      </c>
      <c r="G1727" s="20"/>
      <c r="H1727" s="19"/>
      <c r="I1727" s="19"/>
      <c r="J1727" s="19"/>
      <c r="K1727" s="19"/>
      <c r="L1727" s="19"/>
      <c r="M1727" s="19"/>
      <c r="N1727" s="20" t="s">
        <v>39</v>
      </c>
      <c r="O1727" s="19"/>
      <c r="P1727" s="19"/>
      <c r="Q1727" s="19"/>
      <c r="R1727" s="19"/>
      <c r="S1727" s="19"/>
      <c r="T1727" s="19"/>
      <c r="U1727" s="19"/>
      <c r="V1727" s="19"/>
    </row>
    <row r="1728">
      <c r="A1728" s="25"/>
      <c r="B1728" s="19"/>
      <c r="C1728" s="19"/>
      <c r="D1728" s="19"/>
      <c r="E1728" s="19"/>
      <c r="F1728" s="17" t="str">
        <f>IFERROR(__xludf.DUMMYFUNCTION("""COMPUTED_VALUE"""),"")</f>
        <v/>
      </c>
      <c r="G1728" s="20"/>
      <c r="H1728" s="19"/>
      <c r="I1728" s="19"/>
      <c r="J1728" s="19"/>
      <c r="K1728" s="19"/>
      <c r="L1728" s="19"/>
      <c r="M1728" s="19"/>
      <c r="N1728" s="20" t="s">
        <v>39</v>
      </c>
      <c r="O1728" s="19"/>
      <c r="P1728" s="19"/>
      <c r="Q1728" s="19"/>
      <c r="R1728" s="19"/>
      <c r="S1728" s="19"/>
      <c r="T1728" s="19"/>
      <c r="U1728" s="19"/>
      <c r="V1728" s="19"/>
    </row>
    <row r="1729">
      <c r="A1729" s="25"/>
      <c r="B1729" s="19"/>
      <c r="C1729" s="19"/>
      <c r="D1729" s="19"/>
      <c r="E1729" s="19"/>
      <c r="F1729" s="17" t="str">
        <f>IFERROR(__xludf.DUMMYFUNCTION("""COMPUTED_VALUE"""),"")</f>
        <v/>
      </c>
      <c r="G1729" s="20"/>
      <c r="H1729" s="19"/>
      <c r="I1729" s="19"/>
      <c r="J1729" s="19"/>
      <c r="K1729" s="19"/>
      <c r="L1729" s="19"/>
      <c r="M1729" s="19"/>
      <c r="N1729" s="20" t="s">
        <v>39</v>
      </c>
      <c r="O1729" s="19"/>
      <c r="P1729" s="19"/>
      <c r="Q1729" s="19"/>
      <c r="R1729" s="19"/>
      <c r="S1729" s="19"/>
      <c r="T1729" s="19"/>
      <c r="U1729" s="19"/>
      <c r="V1729" s="19"/>
    </row>
    <row r="1730">
      <c r="A1730" s="25"/>
      <c r="B1730" s="19"/>
      <c r="C1730" s="19"/>
      <c r="D1730" s="19"/>
      <c r="E1730" s="19"/>
      <c r="F1730" s="17" t="str">
        <f>IFERROR(__xludf.DUMMYFUNCTION("""COMPUTED_VALUE"""),"")</f>
        <v/>
      </c>
      <c r="G1730" s="20"/>
      <c r="H1730" s="19"/>
      <c r="I1730" s="19"/>
      <c r="J1730" s="19"/>
      <c r="K1730" s="19"/>
      <c r="L1730" s="19"/>
      <c r="M1730" s="19"/>
      <c r="N1730" s="20" t="s">
        <v>39</v>
      </c>
      <c r="O1730" s="19"/>
      <c r="P1730" s="19"/>
      <c r="Q1730" s="19"/>
      <c r="R1730" s="19"/>
      <c r="S1730" s="19"/>
      <c r="T1730" s="19"/>
      <c r="U1730" s="19"/>
      <c r="V1730" s="19"/>
    </row>
    <row r="1731">
      <c r="A1731" s="25"/>
      <c r="B1731" s="19"/>
      <c r="C1731" s="19"/>
      <c r="D1731" s="19"/>
      <c r="E1731" s="19"/>
      <c r="F1731" s="17" t="str">
        <f>IFERROR(__xludf.DUMMYFUNCTION("""COMPUTED_VALUE"""),"")</f>
        <v/>
      </c>
      <c r="G1731" s="20"/>
      <c r="H1731" s="19"/>
      <c r="I1731" s="19"/>
      <c r="J1731" s="19"/>
      <c r="K1731" s="19"/>
      <c r="L1731" s="19"/>
      <c r="M1731" s="19"/>
      <c r="N1731" s="20" t="s">
        <v>39</v>
      </c>
      <c r="O1731" s="19"/>
      <c r="P1731" s="19"/>
      <c r="Q1731" s="19"/>
      <c r="R1731" s="19"/>
      <c r="S1731" s="19"/>
      <c r="T1731" s="19"/>
      <c r="U1731" s="19"/>
      <c r="V1731" s="19"/>
    </row>
    <row r="1732">
      <c r="A1732" s="25"/>
      <c r="B1732" s="19"/>
      <c r="C1732" s="19"/>
      <c r="D1732" s="19"/>
      <c r="E1732" s="19"/>
      <c r="F1732" s="17" t="str">
        <f>IFERROR(__xludf.DUMMYFUNCTION("""COMPUTED_VALUE"""),"")</f>
        <v/>
      </c>
      <c r="G1732" s="20"/>
      <c r="H1732" s="19"/>
      <c r="I1732" s="19"/>
      <c r="J1732" s="19"/>
      <c r="K1732" s="19"/>
      <c r="L1732" s="19"/>
      <c r="M1732" s="19"/>
      <c r="N1732" s="20" t="s">
        <v>39</v>
      </c>
      <c r="O1732" s="19"/>
      <c r="P1732" s="19"/>
      <c r="Q1732" s="19"/>
      <c r="R1732" s="19"/>
      <c r="S1732" s="19"/>
      <c r="T1732" s="19"/>
      <c r="U1732" s="19"/>
      <c r="V1732" s="19"/>
    </row>
    <row r="1733">
      <c r="A1733" s="25"/>
      <c r="B1733" s="19"/>
      <c r="C1733" s="19"/>
      <c r="D1733" s="19"/>
      <c r="E1733" s="19"/>
      <c r="F1733" s="17" t="str">
        <f>IFERROR(__xludf.DUMMYFUNCTION("""COMPUTED_VALUE"""),"")</f>
        <v/>
      </c>
      <c r="G1733" s="20"/>
      <c r="H1733" s="19"/>
      <c r="I1733" s="19"/>
      <c r="J1733" s="19"/>
      <c r="K1733" s="19"/>
      <c r="L1733" s="19"/>
      <c r="M1733" s="19"/>
      <c r="N1733" s="20" t="s">
        <v>39</v>
      </c>
      <c r="O1733" s="19"/>
      <c r="P1733" s="19"/>
      <c r="Q1733" s="19"/>
      <c r="R1733" s="19"/>
      <c r="S1733" s="19"/>
      <c r="T1733" s="19"/>
      <c r="U1733" s="19"/>
      <c r="V1733" s="19"/>
    </row>
    <row r="1734">
      <c r="A1734" s="25"/>
      <c r="B1734" s="19"/>
      <c r="C1734" s="19"/>
      <c r="D1734" s="19"/>
      <c r="E1734" s="19"/>
      <c r="F1734" s="17" t="str">
        <f>IFERROR(__xludf.DUMMYFUNCTION("""COMPUTED_VALUE"""),"")</f>
        <v/>
      </c>
      <c r="G1734" s="20"/>
      <c r="H1734" s="19"/>
      <c r="I1734" s="19"/>
      <c r="J1734" s="19"/>
      <c r="K1734" s="19"/>
      <c r="L1734" s="19"/>
      <c r="M1734" s="19"/>
      <c r="N1734" s="20" t="s">
        <v>39</v>
      </c>
      <c r="O1734" s="19"/>
      <c r="P1734" s="19"/>
      <c r="Q1734" s="19"/>
      <c r="R1734" s="19"/>
      <c r="S1734" s="19"/>
      <c r="T1734" s="19"/>
      <c r="U1734" s="19"/>
      <c r="V1734" s="19"/>
    </row>
    <row r="1735">
      <c r="A1735" s="25"/>
      <c r="B1735" s="19"/>
      <c r="C1735" s="19"/>
      <c r="D1735" s="19"/>
      <c r="E1735" s="19"/>
      <c r="F1735" s="17" t="str">
        <f>IFERROR(__xludf.DUMMYFUNCTION("""COMPUTED_VALUE"""),"")</f>
        <v/>
      </c>
      <c r="G1735" s="20"/>
      <c r="H1735" s="19"/>
      <c r="I1735" s="19"/>
      <c r="J1735" s="19"/>
      <c r="K1735" s="19"/>
      <c r="L1735" s="19"/>
      <c r="M1735" s="19"/>
      <c r="N1735" s="20" t="s">
        <v>39</v>
      </c>
      <c r="O1735" s="19"/>
      <c r="P1735" s="19"/>
      <c r="Q1735" s="19"/>
      <c r="R1735" s="19"/>
      <c r="S1735" s="19"/>
      <c r="T1735" s="19"/>
      <c r="U1735" s="19"/>
      <c r="V1735" s="19"/>
    </row>
    <row r="1736">
      <c r="A1736" s="25"/>
      <c r="B1736" s="19"/>
      <c r="C1736" s="19"/>
      <c r="D1736" s="19"/>
      <c r="E1736" s="19"/>
      <c r="F1736" s="17" t="str">
        <f>IFERROR(__xludf.DUMMYFUNCTION("""COMPUTED_VALUE"""),"")</f>
        <v/>
      </c>
      <c r="G1736" s="20"/>
      <c r="H1736" s="19"/>
      <c r="I1736" s="19"/>
      <c r="J1736" s="19"/>
      <c r="K1736" s="19"/>
      <c r="L1736" s="19"/>
      <c r="M1736" s="19"/>
      <c r="N1736" s="20" t="s">
        <v>39</v>
      </c>
      <c r="O1736" s="19"/>
      <c r="P1736" s="19"/>
      <c r="Q1736" s="19"/>
      <c r="R1736" s="19"/>
      <c r="S1736" s="19"/>
      <c r="T1736" s="19"/>
      <c r="U1736" s="19"/>
      <c r="V1736" s="19"/>
    </row>
    <row r="1737">
      <c r="A1737" s="25"/>
      <c r="B1737" s="19"/>
      <c r="C1737" s="19"/>
      <c r="D1737" s="19"/>
      <c r="E1737" s="19"/>
      <c r="F1737" s="17" t="str">
        <f>IFERROR(__xludf.DUMMYFUNCTION("""COMPUTED_VALUE"""),"")</f>
        <v/>
      </c>
      <c r="G1737" s="20"/>
      <c r="H1737" s="19"/>
      <c r="I1737" s="19"/>
      <c r="J1737" s="19"/>
      <c r="K1737" s="19"/>
      <c r="L1737" s="19"/>
      <c r="M1737" s="19"/>
      <c r="N1737" s="20" t="s">
        <v>39</v>
      </c>
      <c r="O1737" s="19"/>
      <c r="P1737" s="19"/>
      <c r="Q1737" s="19"/>
      <c r="R1737" s="19"/>
      <c r="S1737" s="19"/>
      <c r="T1737" s="19"/>
      <c r="U1737" s="19"/>
      <c r="V1737" s="19"/>
    </row>
    <row r="1738">
      <c r="A1738" s="25"/>
      <c r="B1738" s="19"/>
      <c r="C1738" s="19"/>
      <c r="D1738" s="19"/>
      <c r="E1738" s="19"/>
      <c r="F1738" s="17" t="str">
        <f>IFERROR(__xludf.DUMMYFUNCTION("""COMPUTED_VALUE"""),"")</f>
        <v/>
      </c>
      <c r="G1738" s="20"/>
      <c r="H1738" s="19"/>
      <c r="I1738" s="19"/>
      <c r="J1738" s="19"/>
      <c r="K1738" s="19"/>
      <c r="L1738" s="19"/>
      <c r="M1738" s="19"/>
      <c r="N1738" s="20" t="s">
        <v>39</v>
      </c>
      <c r="O1738" s="19"/>
      <c r="P1738" s="19"/>
      <c r="Q1738" s="19"/>
      <c r="R1738" s="19"/>
      <c r="S1738" s="19"/>
      <c r="T1738" s="19"/>
      <c r="U1738" s="19"/>
      <c r="V1738" s="19"/>
    </row>
    <row r="1739">
      <c r="A1739" s="25"/>
      <c r="B1739" s="19"/>
      <c r="C1739" s="19"/>
      <c r="D1739" s="19"/>
      <c r="E1739" s="19"/>
      <c r="F1739" s="17" t="str">
        <f>IFERROR(__xludf.DUMMYFUNCTION("""COMPUTED_VALUE"""),"")</f>
        <v/>
      </c>
      <c r="G1739" s="20"/>
      <c r="H1739" s="19"/>
      <c r="I1739" s="19"/>
      <c r="J1739" s="19"/>
      <c r="K1739" s="19"/>
      <c r="L1739" s="19"/>
      <c r="M1739" s="19"/>
      <c r="N1739" s="20" t="s">
        <v>39</v>
      </c>
      <c r="O1739" s="19"/>
      <c r="P1739" s="19"/>
      <c r="Q1739" s="19"/>
      <c r="R1739" s="19"/>
      <c r="S1739" s="19"/>
      <c r="T1739" s="19"/>
      <c r="U1739" s="19"/>
      <c r="V1739" s="19"/>
    </row>
    <row r="1740">
      <c r="A1740" s="25"/>
      <c r="B1740" s="19"/>
      <c r="C1740" s="19"/>
      <c r="D1740" s="19"/>
      <c r="E1740" s="19"/>
      <c r="F1740" s="17" t="str">
        <f>IFERROR(__xludf.DUMMYFUNCTION("""COMPUTED_VALUE"""),"")</f>
        <v/>
      </c>
      <c r="G1740" s="20"/>
      <c r="H1740" s="19"/>
      <c r="I1740" s="19"/>
      <c r="J1740" s="19"/>
      <c r="K1740" s="19"/>
      <c r="L1740" s="19"/>
      <c r="M1740" s="19"/>
      <c r="N1740" s="20" t="s">
        <v>39</v>
      </c>
      <c r="O1740" s="19"/>
      <c r="P1740" s="19"/>
      <c r="Q1740" s="19"/>
      <c r="R1740" s="19"/>
      <c r="S1740" s="19"/>
      <c r="T1740" s="19"/>
      <c r="U1740" s="19"/>
      <c r="V1740" s="19"/>
    </row>
    <row r="1741">
      <c r="A1741" s="25"/>
      <c r="B1741" s="19"/>
      <c r="C1741" s="19"/>
      <c r="D1741" s="19"/>
      <c r="E1741" s="19"/>
      <c r="F1741" s="17" t="str">
        <f>IFERROR(__xludf.DUMMYFUNCTION("""COMPUTED_VALUE"""),"")</f>
        <v/>
      </c>
      <c r="G1741" s="20"/>
      <c r="H1741" s="19"/>
      <c r="I1741" s="19"/>
      <c r="J1741" s="19"/>
      <c r="K1741" s="19"/>
      <c r="L1741" s="19"/>
      <c r="M1741" s="19"/>
      <c r="N1741" s="20" t="s">
        <v>39</v>
      </c>
      <c r="O1741" s="19"/>
      <c r="P1741" s="19"/>
      <c r="Q1741" s="19"/>
      <c r="R1741" s="19"/>
      <c r="S1741" s="19"/>
      <c r="T1741" s="19"/>
      <c r="U1741" s="19"/>
      <c r="V1741" s="19"/>
    </row>
    <row r="1742">
      <c r="A1742" s="25"/>
      <c r="B1742" s="19"/>
      <c r="C1742" s="19"/>
      <c r="D1742" s="19"/>
      <c r="E1742" s="19"/>
      <c r="F1742" s="17" t="str">
        <f>IFERROR(__xludf.DUMMYFUNCTION("""COMPUTED_VALUE"""),"")</f>
        <v/>
      </c>
      <c r="G1742" s="20"/>
      <c r="H1742" s="19"/>
      <c r="I1742" s="19"/>
      <c r="J1742" s="19"/>
      <c r="K1742" s="19"/>
      <c r="L1742" s="19"/>
      <c r="M1742" s="19"/>
      <c r="N1742" s="20" t="s">
        <v>39</v>
      </c>
      <c r="O1742" s="19"/>
      <c r="P1742" s="19"/>
      <c r="Q1742" s="19"/>
      <c r="R1742" s="19"/>
      <c r="S1742" s="19"/>
      <c r="T1742" s="19"/>
      <c r="U1742" s="19"/>
      <c r="V1742" s="19"/>
    </row>
    <row r="1743">
      <c r="A1743" s="25"/>
      <c r="B1743" s="19"/>
      <c r="C1743" s="19"/>
      <c r="D1743" s="19"/>
      <c r="E1743" s="19"/>
      <c r="F1743" s="17" t="str">
        <f>IFERROR(__xludf.DUMMYFUNCTION("""COMPUTED_VALUE"""),"")</f>
        <v/>
      </c>
      <c r="G1743" s="20"/>
      <c r="H1743" s="19"/>
      <c r="I1743" s="19"/>
      <c r="J1743" s="19"/>
      <c r="K1743" s="19"/>
      <c r="L1743" s="19"/>
      <c r="M1743" s="19"/>
      <c r="N1743" s="20" t="s">
        <v>39</v>
      </c>
      <c r="O1743" s="19"/>
      <c r="P1743" s="19"/>
      <c r="Q1743" s="19"/>
      <c r="R1743" s="19"/>
      <c r="S1743" s="19"/>
      <c r="T1743" s="19"/>
      <c r="U1743" s="19"/>
      <c r="V1743" s="19"/>
    </row>
    <row r="1744">
      <c r="A1744" s="25"/>
      <c r="B1744" s="19"/>
      <c r="C1744" s="19"/>
      <c r="D1744" s="19"/>
      <c r="E1744" s="19"/>
      <c r="F1744" s="17" t="str">
        <f>IFERROR(__xludf.DUMMYFUNCTION("""COMPUTED_VALUE"""),"")</f>
        <v/>
      </c>
      <c r="G1744" s="20"/>
      <c r="H1744" s="19"/>
      <c r="I1744" s="19"/>
      <c r="J1744" s="19"/>
      <c r="K1744" s="19"/>
      <c r="L1744" s="19"/>
      <c r="M1744" s="19"/>
      <c r="N1744" s="20" t="s">
        <v>39</v>
      </c>
      <c r="O1744" s="19"/>
      <c r="P1744" s="19"/>
      <c r="Q1744" s="19"/>
      <c r="R1744" s="19"/>
      <c r="S1744" s="19"/>
      <c r="T1744" s="19"/>
      <c r="U1744" s="19"/>
      <c r="V1744" s="19"/>
    </row>
    <row r="1745">
      <c r="A1745" s="25"/>
      <c r="B1745" s="19"/>
      <c r="C1745" s="19"/>
      <c r="D1745" s="19"/>
      <c r="E1745" s="19"/>
      <c r="F1745" s="17" t="str">
        <f>IFERROR(__xludf.DUMMYFUNCTION("""COMPUTED_VALUE"""),"")</f>
        <v/>
      </c>
      <c r="G1745" s="20"/>
      <c r="H1745" s="19"/>
      <c r="I1745" s="19"/>
      <c r="J1745" s="19"/>
      <c r="K1745" s="19"/>
      <c r="L1745" s="19"/>
      <c r="M1745" s="19"/>
      <c r="N1745" s="20" t="s">
        <v>39</v>
      </c>
      <c r="O1745" s="19"/>
      <c r="P1745" s="19"/>
      <c r="Q1745" s="19"/>
      <c r="R1745" s="19"/>
      <c r="S1745" s="19"/>
      <c r="T1745" s="19"/>
      <c r="U1745" s="19"/>
      <c r="V1745" s="19"/>
    </row>
    <row r="1746">
      <c r="A1746" s="25"/>
      <c r="B1746" s="19"/>
      <c r="C1746" s="19"/>
      <c r="D1746" s="19"/>
      <c r="E1746" s="19"/>
      <c r="F1746" s="17" t="str">
        <f>IFERROR(__xludf.DUMMYFUNCTION("""COMPUTED_VALUE"""),"")</f>
        <v/>
      </c>
      <c r="G1746" s="20"/>
      <c r="H1746" s="19"/>
      <c r="I1746" s="19"/>
      <c r="J1746" s="19"/>
      <c r="K1746" s="19"/>
      <c r="L1746" s="19"/>
      <c r="M1746" s="19"/>
      <c r="N1746" s="20" t="s">
        <v>39</v>
      </c>
      <c r="O1746" s="19"/>
      <c r="P1746" s="19"/>
      <c r="Q1746" s="19"/>
      <c r="R1746" s="19"/>
      <c r="S1746" s="19"/>
      <c r="T1746" s="19"/>
      <c r="U1746" s="19"/>
      <c r="V1746" s="19"/>
    </row>
    <row r="1747">
      <c r="A1747" s="25"/>
      <c r="B1747" s="19"/>
      <c r="C1747" s="19"/>
      <c r="D1747" s="19"/>
      <c r="E1747" s="19"/>
      <c r="F1747" s="17" t="str">
        <f>IFERROR(__xludf.DUMMYFUNCTION("""COMPUTED_VALUE"""),"")</f>
        <v/>
      </c>
      <c r="G1747" s="20"/>
      <c r="H1747" s="19"/>
      <c r="I1747" s="19"/>
      <c r="J1747" s="19"/>
      <c r="K1747" s="19"/>
      <c r="L1747" s="19"/>
      <c r="M1747" s="19"/>
      <c r="N1747" s="20" t="s">
        <v>39</v>
      </c>
      <c r="O1747" s="19"/>
      <c r="P1747" s="19"/>
      <c r="Q1747" s="19"/>
      <c r="R1747" s="19"/>
      <c r="S1747" s="19"/>
      <c r="T1747" s="19"/>
      <c r="U1747" s="19"/>
      <c r="V1747" s="19"/>
    </row>
    <row r="1748">
      <c r="A1748" s="25"/>
      <c r="B1748" s="19"/>
      <c r="C1748" s="19"/>
      <c r="D1748" s="19"/>
      <c r="E1748" s="19"/>
      <c r="F1748" s="17" t="str">
        <f>IFERROR(__xludf.DUMMYFUNCTION("""COMPUTED_VALUE"""),"")</f>
        <v/>
      </c>
      <c r="G1748" s="20"/>
      <c r="H1748" s="19"/>
      <c r="I1748" s="19"/>
      <c r="J1748" s="19"/>
      <c r="K1748" s="19"/>
      <c r="L1748" s="19"/>
      <c r="M1748" s="19"/>
      <c r="N1748" s="20" t="s">
        <v>39</v>
      </c>
      <c r="O1748" s="19"/>
      <c r="P1748" s="19"/>
      <c r="Q1748" s="19"/>
      <c r="R1748" s="19"/>
      <c r="S1748" s="19"/>
      <c r="T1748" s="19"/>
      <c r="U1748" s="19"/>
      <c r="V1748" s="19"/>
    </row>
    <row r="1749">
      <c r="A1749" s="25"/>
      <c r="B1749" s="19"/>
      <c r="C1749" s="19"/>
      <c r="D1749" s="19"/>
      <c r="E1749" s="19"/>
      <c r="F1749" s="17" t="str">
        <f>IFERROR(__xludf.DUMMYFUNCTION("""COMPUTED_VALUE"""),"")</f>
        <v/>
      </c>
      <c r="G1749" s="20"/>
      <c r="H1749" s="19"/>
      <c r="I1749" s="19"/>
      <c r="J1749" s="19"/>
      <c r="K1749" s="19"/>
      <c r="L1749" s="19"/>
      <c r="M1749" s="19"/>
      <c r="N1749" s="20" t="s">
        <v>39</v>
      </c>
      <c r="O1749" s="19"/>
      <c r="P1749" s="19"/>
      <c r="Q1749" s="19"/>
      <c r="R1749" s="19"/>
      <c r="S1749" s="19"/>
      <c r="T1749" s="19"/>
      <c r="U1749" s="19"/>
      <c r="V1749" s="19"/>
    </row>
    <row r="1750">
      <c r="A1750" s="25"/>
      <c r="B1750" s="19"/>
      <c r="C1750" s="19"/>
      <c r="D1750" s="19"/>
      <c r="E1750" s="19"/>
      <c r="F1750" s="17" t="str">
        <f>IFERROR(__xludf.DUMMYFUNCTION("""COMPUTED_VALUE"""),"")</f>
        <v/>
      </c>
      <c r="G1750" s="20"/>
      <c r="H1750" s="19"/>
      <c r="I1750" s="19"/>
      <c r="J1750" s="19"/>
      <c r="K1750" s="19"/>
      <c r="L1750" s="19"/>
      <c r="M1750" s="19"/>
      <c r="N1750" s="20" t="s">
        <v>39</v>
      </c>
      <c r="O1750" s="19"/>
      <c r="P1750" s="19"/>
      <c r="Q1750" s="19"/>
      <c r="R1750" s="19"/>
      <c r="S1750" s="19"/>
      <c r="T1750" s="19"/>
      <c r="U1750" s="19"/>
      <c r="V1750" s="19"/>
    </row>
    <row r="1751">
      <c r="A1751" s="25"/>
      <c r="B1751" s="19"/>
      <c r="C1751" s="19"/>
      <c r="D1751" s="19"/>
      <c r="E1751" s="19"/>
      <c r="F1751" s="17" t="str">
        <f>IFERROR(__xludf.DUMMYFUNCTION("""COMPUTED_VALUE"""),"")</f>
        <v/>
      </c>
      <c r="G1751" s="20"/>
      <c r="H1751" s="19"/>
      <c r="I1751" s="19"/>
      <c r="J1751" s="19"/>
      <c r="K1751" s="19"/>
      <c r="L1751" s="19"/>
      <c r="M1751" s="19"/>
      <c r="N1751" s="20" t="s">
        <v>39</v>
      </c>
      <c r="O1751" s="19"/>
      <c r="P1751" s="19"/>
      <c r="Q1751" s="19"/>
      <c r="R1751" s="19"/>
      <c r="S1751" s="19"/>
      <c r="T1751" s="19"/>
      <c r="U1751" s="19"/>
      <c r="V1751" s="19"/>
    </row>
    <row r="1752">
      <c r="A1752" s="25"/>
      <c r="B1752" s="19"/>
      <c r="C1752" s="19"/>
      <c r="D1752" s="19"/>
      <c r="E1752" s="19"/>
      <c r="F1752" s="17" t="str">
        <f>IFERROR(__xludf.DUMMYFUNCTION("""COMPUTED_VALUE"""),"")</f>
        <v/>
      </c>
      <c r="G1752" s="20"/>
      <c r="H1752" s="19"/>
      <c r="I1752" s="19"/>
      <c r="J1752" s="19"/>
      <c r="K1752" s="19"/>
      <c r="L1752" s="19"/>
      <c r="M1752" s="19"/>
      <c r="N1752" s="20" t="s">
        <v>39</v>
      </c>
      <c r="O1752" s="19"/>
      <c r="P1752" s="19"/>
      <c r="Q1752" s="19"/>
      <c r="R1752" s="19"/>
      <c r="S1752" s="19"/>
      <c r="T1752" s="19"/>
      <c r="U1752" s="19"/>
      <c r="V1752" s="19"/>
    </row>
    <row r="1753">
      <c r="A1753" s="25"/>
      <c r="B1753" s="19"/>
      <c r="C1753" s="19"/>
      <c r="D1753" s="19"/>
      <c r="E1753" s="19"/>
      <c r="F1753" s="17" t="str">
        <f>IFERROR(__xludf.DUMMYFUNCTION("""COMPUTED_VALUE"""),"")</f>
        <v/>
      </c>
      <c r="G1753" s="20"/>
      <c r="H1753" s="19"/>
      <c r="I1753" s="19"/>
      <c r="J1753" s="19"/>
      <c r="K1753" s="19"/>
      <c r="L1753" s="19"/>
      <c r="M1753" s="19"/>
      <c r="N1753" s="20" t="s">
        <v>39</v>
      </c>
      <c r="O1753" s="19"/>
      <c r="P1753" s="19"/>
      <c r="Q1753" s="19"/>
      <c r="R1753" s="19"/>
      <c r="S1753" s="19"/>
      <c r="T1753" s="19"/>
      <c r="U1753" s="19"/>
      <c r="V1753" s="19"/>
    </row>
    <row r="1754">
      <c r="A1754" s="25"/>
      <c r="B1754" s="19"/>
      <c r="C1754" s="19"/>
      <c r="D1754" s="19"/>
      <c r="E1754" s="19"/>
      <c r="F1754" s="17" t="str">
        <f>IFERROR(__xludf.DUMMYFUNCTION("""COMPUTED_VALUE"""),"")</f>
        <v/>
      </c>
      <c r="G1754" s="20"/>
      <c r="H1754" s="19"/>
      <c r="I1754" s="19"/>
      <c r="J1754" s="19"/>
      <c r="K1754" s="19"/>
      <c r="L1754" s="19"/>
      <c r="M1754" s="19"/>
      <c r="N1754" s="20" t="s">
        <v>39</v>
      </c>
      <c r="O1754" s="19"/>
      <c r="P1754" s="19"/>
      <c r="Q1754" s="19"/>
      <c r="R1754" s="19"/>
      <c r="S1754" s="19"/>
      <c r="T1754" s="19"/>
      <c r="U1754" s="19"/>
      <c r="V1754" s="19"/>
    </row>
    <row r="1755">
      <c r="A1755" s="25"/>
      <c r="B1755" s="19"/>
      <c r="C1755" s="19"/>
      <c r="D1755" s="19"/>
      <c r="E1755" s="19"/>
      <c r="F1755" s="17" t="str">
        <f>IFERROR(__xludf.DUMMYFUNCTION("""COMPUTED_VALUE"""),"")</f>
        <v/>
      </c>
      <c r="G1755" s="20"/>
      <c r="H1755" s="19"/>
      <c r="I1755" s="19"/>
      <c r="J1755" s="19"/>
      <c r="K1755" s="19"/>
      <c r="L1755" s="19"/>
      <c r="M1755" s="19"/>
      <c r="N1755" s="20" t="s">
        <v>39</v>
      </c>
      <c r="O1755" s="19"/>
      <c r="P1755" s="19"/>
      <c r="Q1755" s="19"/>
      <c r="R1755" s="19"/>
      <c r="S1755" s="19"/>
      <c r="T1755" s="19"/>
      <c r="U1755" s="19"/>
      <c r="V1755" s="19"/>
    </row>
    <row r="1756">
      <c r="A1756" s="25"/>
      <c r="B1756" s="19"/>
      <c r="C1756" s="19"/>
      <c r="D1756" s="19"/>
      <c r="E1756" s="19"/>
      <c r="F1756" s="17" t="str">
        <f>IFERROR(__xludf.DUMMYFUNCTION("""COMPUTED_VALUE"""),"")</f>
        <v/>
      </c>
      <c r="G1756" s="20"/>
      <c r="H1756" s="19"/>
      <c r="I1756" s="19"/>
      <c r="J1756" s="19"/>
      <c r="K1756" s="19"/>
      <c r="L1756" s="19"/>
      <c r="M1756" s="19"/>
      <c r="N1756" s="20" t="s">
        <v>39</v>
      </c>
      <c r="O1756" s="19"/>
      <c r="P1756" s="19"/>
      <c r="Q1756" s="19"/>
      <c r="R1756" s="19"/>
      <c r="S1756" s="19"/>
      <c r="T1756" s="19"/>
      <c r="U1756" s="19"/>
      <c r="V1756" s="19"/>
    </row>
    <row r="1757">
      <c r="A1757" s="25"/>
      <c r="B1757" s="19"/>
      <c r="C1757" s="19"/>
      <c r="D1757" s="19"/>
      <c r="E1757" s="19"/>
      <c r="F1757" s="17" t="str">
        <f>IFERROR(__xludf.DUMMYFUNCTION("""COMPUTED_VALUE"""),"")</f>
        <v/>
      </c>
      <c r="G1757" s="20"/>
      <c r="H1757" s="19"/>
      <c r="I1757" s="19"/>
      <c r="J1757" s="19"/>
      <c r="K1757" s="19"/>
      <c r="L1757" s="19"/>
      <c r="M1757" s="19"/>
      <c r="N1757" s="20" t="s">
        <v>39</v>
      </c>
      <c r="O1757" s="19"/>
      <c r="P1757" s="19"/>
      <c r="Q1757" s="19"/>
      <c r="R1757" s="19"/>
      <c r="S1757" s="19"/>
      <c r="T1757" s="19"/>
      <c r="U1757" s="19"/>
      <c r="V1757" s="19"/>
    </row>
    <row r="1758">
      <c r="A1758" s="25"/>
      <c r="B1758" s="19"/>
      <c r="C1758" s="19"/>
      <c r="D1758" s="19"/>
      <c r="E1758" s="19"/>
      <c r="F1758" s="17" t="str">
        <f>IFERROR(__xludf.DUMMYFUNCTION("""COMPUTED_VALUE"""),"")</f>
        <v/>
      </c>
      <c r="G1758" s="20"/>
      <c r="H1758" s="19"/>
      <c r="I1758" s="19"/>
      <c r="J1758" s="19"/>
      <c r="K1758" s="19"/>
      <c r="L1758" s="19"/>
      <c r="M1758" s="19"/>
      <c r="N1758" s="20" t="s">
        <v>39</v>
      </c>
      <c r="O1758" s="19"/>
      <c r="P1758" s="19"/>
      <c r="Q1758" s="19"/>
      <c r="R1758" s="19"/>
      <c r="S1758" s="19"/>
      <c r="T1758" s="19"/>
      <c r="U1758" s="19"/>
      <c r="V1758" s="19"/>
    </row>
    <row r="1759">
      <c r="A1759" s="25"/>
      <c r="B1759" s="19"/>
      <c r="C1759" s="19"/>
      <c r="D1759" s="19"/>
      <c r="E1759" s="19"/>
      <c r="F1759" s="17" t="str">
        <f>IFERROR(__xludf.DUMMYFUNCTION("""COMPUTED_VALUE"""),"")</f>
        <v/>
      </c>
      <c r="G1759" s="20"/>
      <c r="H1759" s="19"/>
      <c r="I1759" s="19"/>
      <c r="J1759" s="19"/>
      <c r="K1759" s="19"/>
      <c r="L1759" s="19"/>
      <c r="M1759" s="19"/>
      <c r="N1759" s="20" t="s">
        <v>39</v>
      </c>
      <c r="O1759" s="19"/>
      <c r="P1759" s="19"/>
      <c r="Q1759" s="19"/>
      <c r="R1759" s="19"/>
      <c r="S1759" s="19"/>
      <c r="T1759" s="19"/>
      <c r="U1759" s="19"/>
      <c r="V1759" s="19"/>
    </row>
    <row r="1760">
      <c r="A1760" s="25"/>
      <c r="B1760" s="19"/>
      <c r="C1760" s="19"/>
      <c r="D1760" s="19"/>
      <c r="E1760" s="19"/>
      <c r="F1760" s="17" t="str">
        <f>IFERROR(__xludf.DUMMYFUNCTION("""COMPUTED_VALUE"""),"")</f>
        <v/>
      </c>
      <c r="G1760" s="20"/>
      <c r="H1760" s="19"/>
      <c r="I1760" s="19"/>
      <c r="J1760" s="19"/>
      <c r="K1760" s="19"/>
      <c r="L1760" s="19"/>
      <c r="M1760" s="19"/>
      <c r="N1760" s="20" t="s">
        <v>39</v>
      </c>
      <c r="O1760" s="19"/>
      <c r="P1760" s="19"/>
      <c r="Q1760" s="19"/>
      <c r="R1760" s="19"/>
      <c r="S1760" s="19"/>
      <c r="T1760" s="19"/>
      <c r="U1760" s="19"/>
      <c r="V1760" s="19"/>
    </row>
    <row r="1761">
      <c r="A1761" s="25"/>
      <c r="B1761" s="19"/>
      <c r="C1761" s="19"/>
      <c r="D1761" s="19"/>
      <c r="E1761" s="19"/>
      <c r="F1761" s="17" t="str">
        <f>IFERROR(__xludf.DUMMYFUNCTION("""COMPUTED_VALUE"""),"")</f>
        <v/>
      </c>
      <c r="G1761" s="20"/>
      <c r="H1761" s="19"/>
      <c r="I1761" s="19"/>
      <c r="J1761" s="19"/>
      <c r="K1761" s="19"/>
      <c r="L1761" s="19"/>
      <c r="M1761" s="19"/>
      <c r="N1761" s="20" t="s">
        <v>39</v>
      </c>
      <c r="O1761" s="19"/>
      <c r="P1761" s="19"/>
      <c r="Q1761" s="19"/>
      <c r="R1761" s="19"/>
      <c r="S1761" s="19"/>
      <c r="T1761" s="19"/>
      <c r="U1761" s="19"/>
      <c r="V1761" s="19"/>
    </row>
    <row r="1762">
      <c r="A1762" s="25"/>
      <c r="B1762" s="19"/>
      <c r="C1762" s="19"/>
      <c r="D1762" s="19"/>
      <c r="E1762" s="19"/>
      <c r="F1762" s="17" t="str">
        <f>IFERROR(__xludf.DUMMYFUNCTION("""COMPUTED_VALUE"""),"")</f>
        <v/>
      </c>
      <c r="G1762" s="20"/>
      <c r="H1762" s="19"/>
      <c r="I1762" s="19"/>
      <c r="J1762" s="19"/>
      <c r="K1762" s="19"/>
      <c r="L1762" s="19"/>
      <c r="M1762" s="19"/>
      <c r="N1762" s="20" t="s">
        <v>39</v>
      </c>
      <c r="O1762" s="19"/>
      <c r="P1762" s="19"/>
      <c r="Q1762" s="19"/>
      <c r="R1762" s="19"/>
      <c r="S1762" s="19"/>
      <c r="T1762" s="19"/>
      <c r="U1762" s="19"/>
      <c r="V1762" s="19"/>
    </row>
    <row r="1763">
      <c r="A1763" s="25"/>
      <c r="B1763" s="19"/>
      <c r="C1763" s="19"/>
      <c r="D1763" s="19"/>
      <c r="E1763" s="19"/>
      <c r="F1763" s="17" t="str">
        <f>IFERROR(__xludf.DUMMYFUNCTION("""COMPUTED_VALUE"""),"")</f>
        <v/>
      </c>
      <c r="G1763" s="20"/>
      <c r="H1763" s="19"/>
      <c r="I1763" s="19"/>
      <c r="J1763" s="19"/>
      <c r="K1763" s="19"/>
      <c r="L1763" s="19"/>
      <c r="M1763" s="19"/>
      <c r="N1763" s="20" t="s">
        <v>39</v>
      </c>
      <c r="O1763" s="19"/>
      <c r="P1763" s="19"/>
      <c r="Q1763" s="19"/>
      <c r="R1763" s="19"/>
      <c r="S1763" s="19"/>
      <c r="T1763" s="19"/>
      <c r="U1763" s="19"/>
      <c r="V1763" s="19"/>
    </row>
    <row r="1764">
      <c r="A1764" s="25"/>
      <c r="B1764" s="19"/>
      <c r="C1764" s="19"/>
      <c r="D1764" s="19"/>
      <c r="E1764" s="19"/>
      <c r="F1764" s="17" t="str">
        <f>IFERROR(__xludf.DUMMYFUNCTION("""COMPUTED_VALUE"""),"")</f>
        <v/>
      </c>
      <c r="G1764" s="20"/>
      <c r="H1764" s="19"/>
      <c r="I1764" s="19"/>
      <c r="J1764" s="19"/>
      <c r="K1764" s="19"/>
      <c r="L1764" s="19"/>
      <c r="M1764" s="19"/>
      <c r="N1764" s="20" t="s">
        <v>39</v>
      </c>
      <c r="O1764" s="19"/>
      <c r="P1764" s="19"/>
      <c r="Q1764" s="19"/>
      <c r="R1764" s="19"/>
      <c r="S1764" s="19"/>
      <c r="T1764" s="19"/>
      <c r="U1764" s="19"/>
      <c r="V1764" s="19"/>
    </row>
    <row r="1765">
      <c r="A1765" s="25"/>
      <c r="B1765" s="19"/>
      <c r="C1765" s="19"/>
      <c r="D1765" s="19"/>
      <c r="E1765" s="19"/>
      <c r="F1765" s="17" t="str">
        <f>IFERROR(__xludf.DUMMYFUNCTION("""COMPUTED_VALUE"""),"")</f>
        <v/>
      </c>
      <c r="G1765" s="20"/>
      <c r="H1765" s="19"/>
      <c r="I1765" s="19"/>
      <c r="J1765" s="19"/>
      <c r="K1765" s="19"/>
      <c r="L1765" s="19"/>
      <c r="M1765" s="19"/>
      <c r="N1765" s="20" t="s">
        <v>39</v>
      </c>
      <c r="O1765" s="19"/>
      <c r="P1765" s="19"/>
      <c r="Q1765" s="19"/>
      <c r="R1765" s="19"/>
      <c r="S1765" s="19"/>
      <c r="T1765" s="19"/>
      <c r="U1765" s="19"/>
      <c r="V1765" s="19"/>
    </row>
    <row r="1766">
      <c r="A1766" s="25"/>
      <c r="B1766" s="19"/>
      <c r="C1766" s="19"/>
      <c r="D1766" s="19"/>
      <c r="E1766" s="19"/>
      <c r="F1766" s="17" t="str">
        <f>IFERROR(__xludf.DUMMYFUNCTION("""COMPUTED_VALUE"""),"")</f>
        <v/>
      </c>
      <c r="G1766" s="20"/>
      <c r="H1766" s="19"/>
      <c r="I1766" s="19"/>
      <c r="J1766" s="19"/>
      <c r="K1766" s="19"/>
      <c r="L1766" s="19"/>
      <c r="M1766" s="19"/>
      <c r="N1766" s="20" t="s">
        <v>39</v>
      </c>
      <c r="O1766" s="19"/>
      <c r="P1766" s="19"/>
      <c r="Q1766" s="19"/>
      <c r="R1766" s="19"/>
      <c r="S1766" s="19"/>
      <c r="T1766" s="19"/>
      <c r="U1766" s="19"/>
      <c r="V1766" s="19"/>
    </row>
    <row r="1767">
      <c r="A1767" s="25"/>
      <c r="B1767" s="19"/>
      <c r="C1767" s="19"/>
      <c r="D1767" s="19"/>
      <c r="E1767" s="19"/>
      <c r="F1767" s="17" t="str">
        <f>IFERROR(__xludf.DUMMYFUNCTION("""COMPUTED_VALUE"""),"")</f>
        <v/>
      </c>
      <c r="G1767" s="20"/>
      <c r="H1767" s="19"/>
      <c r="I1767" s="19"/>
      <c r="J1767" s="19"/>
      <c r="K1767" s="19"/>
      <c r="L1767" s="19"/>
      <c r="M1767" s="19"/>
      <c r="N1767" s="20" t="s">
        <v>39</v>
      </c>
      <c r="O1767" s="19"/>
      <c r="P1767" s="19"/>
      <c r="Q1767" s="19"/>
      <c r="R1767" s="19"/>
      <c r="S1767" s="19"/>
      <c r="T1767" s="19"/>
      <c r="U1767" s="19"/>
      <c r="V1767" s="19"/>
    </row>
    <row r="1768">
      <c r="A1768" s="25"/>
      <c r="B1768" s="19"/>
      <c r="C1768" s="19"/>
      <c r="D1768" s="19"/>
      <c r="E1768" s="19"/>
      <c r="F1768" s="17" t="str">
        <f>IFERROR(__xludf.DUMMYFUNCTION("""COMPUTED_VALUE"""),"")</f>
        <v/>
      </c>
      <c r="G1768" s="20"/>
      <c r="H1768" s="19"/>
      <c r="I1768" s="19"/>
      <c r="J1768" s="19"/>
      <c r="K1768" s="19"/>
      <c r="L1768" s="19"/>
      <c r="M1768" s="19"/>
      <c r="N1768" s="20" t="s">
        <v>39</v>
      </c>
      <c r="O1768" s="19"/>
      <c r="P1768" s="19"/>
      <c r="Q1768" s="19"/>
      <c r="R1768" s="19"/>
      <c r="S1768" s="19"/>
      <c r="T1768" s="19"/>
      <c r="U1768" s="19"/>
      <c r="V1768" s="19"/>
    </row>
    <row r="1769">
      <c r="A1769" s="25"/>
      <c r="B1769" s="19"/>
      <c r="C1769" s="19"/>
      <c r="D1769" s="19"/>
      <c r="E1769" s="19"/>
      <c r="F1769" s="17" t="str">
        <f>IFERROR(__xludf.DUMMYFUNCTION("""COMPUTED_VALUE"""),"")</f>
        <v/>
      </c>
      <c r="G1769" s="20"/>
      <c r="H1769" s="19"/>
      <c r="I1769" s="19"/>
      <c r="J1769" s="19"/>
      <c r="K1769" s="19"/>
      <c r="L1769" s="19"/>
      <c r="M1769" s="19"/>
      <c r="N1769" s="20" t="s">
        <v>39</v>
      </c>
      <c r="O1769" s="19"/>
      <c r="P1769" s="19"/>
      <c r="Q1769" s="19"/>
      <c r="R1769" s="19"/>
      <c r="S1769" s="19"/>
      <c r="T1769" s="19"/>
      <c r="U1769" s="19"/>
      <c r="V1769" s="19"/>
    </row>
    <row r="1770">
      <c r="A1770" s="25"/>
      <c r="B1770" s="19"/>
      <c r="C1770" s="19"/>
      <c r="D1770" s="19"/>
      <c r="E1770" s="19"/>
      <c r="F1770" s="17" t="str">
        <f>IFERROR(__xludf.DUMMYFUNCTION("""COMPUTED_VALUE"""),"")</f>
        <v/>
      </c>
      <c r="G1770" s="20"/>
      <c r="H1770" s="19"/>
      <c r="I1770" s="19"/>
      <c r="J1770" s="19"/>
      <c r="K1770" s="19"/>
      <c r="L1770" s="19"/>
      <c r="M1770" s="19"/>
      <c r="N1770" s="20" t="s">
        <v>39</v>
      </c>
      <c r="O1770" s="19"/>
      <c r="P1770" s="19"/>
      <c r="Q1770" s="19"/>
      <c r="R1770" s="19"/>
      <c r="S1770" s="19"/>
      <c r="T1770" s="19"/>
      <c r="U1770" s="19"/>
      <c r="V1770" s="19"/>
    </row>
    <row r="1771">
      <c r="A1771" s="25"/>
      <c r="B1771" s="19"/>
      <c r="C1771" s="19"/>
      <c r="D1771" s="19"/>
      <c r="E1771" s="19"/>
      <c r="F1771" s="17" t="str">
        <f>IFERROR(__xludf.DUMMYFUNCTION("""COMPUTED_VALUE"""),"")</f>
        <v/>
      </c>
      <c r="G1771" s="20"/>
      <c r="H1771" s="19"/>
      <c r="I1771" s="19"/>
      <c r="J1771" s="19"/>
      <c r="K1771" s="19"/>
      <c r="L1771" s="19"/>
      <c r="M1771" s="19"/>
      <c r="N1771" s="20" t="s">
        <v>39</v>
      </c>
      <c r="O1771" s="19"/>
      <c r="P1771" s="19"/>
      <c r="Q1771" s="19"/>
      <c r="R1771" s="19"/>
      <c r="S1771" s="19"/>
      <c r="T1771" s="19"/>
      <c r="U1771" s="19"/>
      <c r="V1771" s="19"/>
    </row>
    <row r="1772">
      <c r="A1772" s="25"/>
      <c r="B1772" s="19"/>
      <c r="C1772" s="19"/>
      <c r="D1772" s="19"/>
      <c r="E1772" s="19"/>
      <c r="F1772" s="17" t="str">
        <f>IFERROR(__xludf.DUMMYFUNCTION("""COMPUTED_VALUE"""),"")</f>
        <v/>
      </c>
      <c r="G1772" s="20"/>
      <c r="H1772" s="19"/>
      <c r="I1772" s="19"/>
      <c r="J1772" s="19"/>
      <c r="K1772" s="19"/>
      <c r="L1772" s="19"/>
      <c r="M1772" s="19"/>
      <c r="N1772" s="20" t="s">
        <v>39</v>
      </c>
      <c r="O1772" s="19"/>
      <c r="P1772" s="19"/>
      <c r="Q1772" s="19"/>
      <c r="R1772" s="19"/>
      <c r="S1772" s="19"/>
      <c r="T1772" s="19"/>
      <c r="U1772" s="19"/>
      <c r="V1772" s="19"/>
    </row>
    <row r="1773">
      <c r="A1773" s="25"/>
      <c r="B1773" s="19"/>
      <c r="C1773" s="19"/>
      <c r="D1773" s="19"/>
      <c r="E1773" s="19"/>
      <c r="F1773" s="17" t="str">
        <f>IFERROR(__xludf.DUMMYFUNCTION("""COMPUTED_VALUE"""),"")</f>
        <v/>
      </c>
      <c r="G1773" s="20"/>
      <c r="H1773" s="19"/>
      <c r="I1773" s="19"/>
      <c r="J1773" s="19"/>
      <c r="K1773" s="19"/>
      <c r="L1773" s="19"/>
      <c r="M1773" s="19"/>
      <c r="N1773" s="20" t="s">
        <v>39</v>
      </c>
      <c r="O1773" s="19"/>
      <c r="P1773" s="19"/>
      <c r="Q1773" s="19"/>
      <c r="R1773" s="19"/>
      <c r="S1773" s="19"/>
      <c r="T1773" s="19"/>
      <c r="U1773" s="19"/>
      <c r="V1773" s="19"/>
    </row>
    <row r="1774">
      <c r="A1774" s="25"/>
      <c r="B1774" s="19"/>
      <c r="C1774" s="19"/>
      <c r="D1774" s="19"/>
      <c r="E1774" s="19"/>
      <c r="F1774" s="17" t="str">
        <f>IFERROR(__xludf.DUMMYFUNCTION("""COMPUTED_VALUE"""),"")</f>
        <v/>
      </c>
      <c r="G1774" s="20"/>
      <c r="H1774" s="19"/>
      <c r="I1774" s="19"/>
      <c r="J1774" s="19"/>
      <c r="K1774" s="19"/>
      <c r="L1774" s="19"/>
      <c r="M1774" s="19"/>
      <c r="N1774" s="20" t="s">
        <v>39</v>
      </c>
      <c r="O1774" s="19"/>
      <c r="P1774" s="19"/>
      <c r="Q1774" s="19"/>
      <c r="R1774" s="19"/>
      <c r="S1774" s="19"/>
      <c r="T1774" s="19"/>
      <c r="U1774" s="19"/>
      <c r="V1774" s="19"/>
    </row>
    <row r="1775">
      <c r="A1775" s="25"/>
      <c r="B1775" s="19"/>
      <c r="C1775" s="19"/>
      <c r="D1775" s="19"/>
      <c r="E1775" s="19"/>
      <c r="F1775" s="17" t="str">
        <f>IFERROR(__xludf.DUMMYFUNCTION("""COMPUTED_VALUE"""),"")</f>
        <v/>
      </c>
      <c r="G1775" s="20"/>
      <c r="H1775" s="19"/>
      <c r="I1775" s="19"/>
      <c r="J1775" s="19"/>
      <c r="K1775" s="19"/>
      <c r="L1775" s="19"/>
      <c r="M1775" s="19"/>
      <c r="N1775" s="20" t="s">
        <v>39</v>
      </c>
      <c r="O1775" s="19"/>
      <c r="P1775" s="19"/>
      <c r="Q1775" s="19"/>
      <c r="R1775" s="19"/>
      <c r="S1775" s="19"/>
      <c r="T1775" s="19"/>
      <c r="U1775" s="19"/>
      <c r="V1775" s="19"/>
    </row>
    <row r="1776">
      <c r="A1776" s="25"/>
      <c r="B1776" s="19"/>
      <c r="C1776" s="19"/>
      <c r="D1776" s="19"/>
      <c r="E1776" s="19"/>
      <c r="F1776" s="17" t="str">
        <f>IFERROR(__xludf.DUMMYFUNCTION("""COMPUTED_VALUE"""),"")</f>
        <v/>
      </c>
      <c r="G1776" s="20"/>
      <c r="H1776" s="19"/>
      <c r="I1776" s="19"/>
      <c r="J1776" s="19"/>
      <c r="K1776" s="19"/>
      <c r="L1776" s="19"/>
      <c r="M1776" s="19"/>
      <c r="N1776" s="20" t="s">
        <v>39</v>
      </c>
      <c r="O1776" s="19"/>
      <c r="P1776" s="19"/>
      <c r="Q1776" s="19"/>
      <c r="R1776" s="19"/>
      <c r="S1776" s="19"/>
      <c r="T1776" s="19"/>
      <c r="U1776" s="19"/>
      <c r="V1776" s="19"/>
    </row>
    <row r="1777">
      <c r="A1777" s="25"/>
      <c r="B1777" s="19"/>
      <c r="C1777" s="19"/>
      <c r="D1777" s="19"/>
      <c r="E1777" s="19"/>
      <c r="F1777" s="17" t="str">
        <f>IFERROR(__xludf.DUMMYFUNCTION("""COMPUTED_VALUE"""),"")</f>
        <v/>
      </c>
      <c r="G1777" s="20"/>
      <c r="H1777" s="19"/>
      <c r="I1777" s="19"/>
      <c r="J1777" s="19"/>
      <c r="K1777" s="19"/>
      <c r="L1777" s="19"/>
      <c r="M1777" s="19"/>
      <c r="N1777" s="20" t="s">
        <v>39</v>
      </c>
      <c r="O1777" s="19"/>
      <c r="P1777" s="19"/>
      <c r="Q1777" s="19"/>
      <c r="R1777" s="19"/>
      <c r="S1777" s="19"/>
      <c r="T1777" s="19"/>
      <c r="U1777" s="19"/>
      <c r="V1777" s="19"/>
    </row>
    <row r="1778">
      <c r="A1778" s="25"/>
      <c r="B1778" s="19"/>
      <c r="C1778" s="19"/>
      <c r="D1778" s="19"/>
      <c r="E1778" s="19"/>
      <c r="F1778" s="17" t="str">
        <f>IFERROR(__xludf.DUMMYFUNCTION("""COMPUTED_VALUE"""),"")</f>
        <v/>
      </c>
      <c r="G1778" s="20"/>
      <c r="H1778" s="19"/>
      <c r="I1778" s="19"/>
      <c r="J1778" s="19"/>
      <c r="K1778" s="19"/>
      <c r="L1778" s="19"/>
      <c r="M1778" s="19"/>
      <c r="N1778" s="20" t="s">
        <v>39</v>
      </c>
      <c r="O1778" s="19"/>
      <c r="P1778" s="19"/>
      <c r="Q1778" s="19"/>
      <c r="R1778" s="19"/>
      <c r="S1778" s="19"/>
      <c r="T1778" s="19"/>
      <c r="U1778" s="19"/>
      <c r="V1778" s="19"/>
    </row>
    <row r="1779">
      <c r="A1779" s="25"/>
      <c r="B1779" s="19"/>
      <c r="C1779" s="19"/>
      <c r="D1779" s="19"/>
      <c r="E1779" s="19"/>
      <c r="F1779" s="17" t="str">
        <f>IFERROR(__xludf.DUMMYFUNCTION("""COMPUTED_VALUE"""),"")</f>
        <v/>
      </c>
      <c r="G1779" s="20"/>
      <c r="H1779" s="19"/>
      <c r="I1779" s="19"/>
      <c r="J1779" s="19"/>
      <c r="K1779" s="19"/>
      <c r="L1779" s="19"/>
      <c r="M1779" s="19"/>
      <c r="N1779" s="20" t="s">
        <v>39</v>
      </c>
      <c r="O1779" s="19"/>
      <c r="P1779" s="19"/>
      <c r="Q1779" s="19"/>
      <c r="R1779" s="19"/>
      <c r="S1779" s="19"/>
      <c r="T1779" s="19"/>
      <c r="U1779" s="19"/>
      <c r="V1779" s="19"/>
    </row>
    <row r="1780">
      <c r="A1780" s="25"/>
      <c r="B1780" s="19"/>
      <c r="C1780" s="19"/>
      <c r="D1780" s="19"/>
      <c r="E1780" s="19"/>
      <c r="F1780" s="17" t="str">
        <f>IFERROR(__xludf.DUMMYFUNCTION("""COMPUTED_VALUE"""),"")</f>
        <v/>
      </c>
      <c r="G1780" s="20"/>
      <c r="H1780" s="19"/>
      <c r="I1780" s="19"/>
      <c r="J1780" s="19"/>
      <c r="K1780" s="19"/>
      <c r="L1780" s="19"/>
      <c r="M1780" s="19"/>
      <c r="N1780" s="20" t="s">
        <v>39</v>
      </c>
      <c r="O1780" s="19"/>
      <c r="P1780" s="19"/>
      <c r="Q1780" s="19"/>
      <c r="R1780" s="19"/>
      <c r="S1780" s="19"/>
      <c r="T1780" s="19"/>
      <c r="U1780" s="19"/>
      <c r="V1780" s="19"/>
    </row>
    <row r="1781">
      <c r="A1781" s="25"/>
      <c r="B1781" s="19"/>
      <c r="C1781" s="19"/>
      <c r="D1781" s="19"/>
      <c r="E1781" s="19"/>
      <c r="F1781" s="17" t="str">
        <f>IFERROR(__xludf.DUMMYFUNCTION("""COMPUTED_VALUE"""),"")</f>
        <v/>
      </c>
      <c r="G1781" s="20"/>
      <c r="H1781" s="19"/>
      <c r="I1781" s="19"/>
      <c r="J1781" s="19"/>
      <c r="K1781" s="19"/>
      <c r="L1781" s="19"/>
      <c r="M1781" s="19"/>
      <c r="N1781" s="20" t="s">
        <v>39</v>
      </c>
      <c r="O1781" s="19"/>
      <c r="P1781" s="19"/>
      <c r="Q1781" s="19"/>
      <c r="R1781" s="19"/>
      <c r="S1781" s="19"/>
      <c r="T1781" s="19"/>
      <c r="U1781" s="19"/>
      <c r="V1781" s="19"/>
    </row>
    <row r="1782">
      <c r="A1782" s="25"/>
      <c r="B1782" s="19"/>
      <c r="C1782" s="19"/>
      <c r="D1782" s="19"/>
      <c r="E1782" s="19"/>
      <c r="F1782" s="17" t="str">
        <f>IFERROR(__xludf.DUMMYFUNCTION("""COMPUTED_VALUE"""),"")</f>
        <v/>
      </c>
      <c r="G1782" s="20"/>
      <c r="H1782" s="19"/>
      <c r="I1782" s="19"/>
      <c r="J1782" s="19"/>
      <c r="K1782" s="19"/>
      <c r="L1782" s="19"/>
      <c r="M1782" s="19"/>
      <c r="N1782" s="20" t="s">
        <v>39</v>
      </c>
      <c r="O1782" s="19"/>
      <c r="P1782" s="19"/>
      <c r="Q1782" s="19"/>
      <c r="R1782" s="19"/>
      <c r="S1782" s="19"/>
      <c r="T1782" s="19"/>
      <c r="U1782" s="19"/>
      <c r="V1782" s="19"/>
    </row>
    <row r="1783">
      <c r="A1783" s="25"/>
      <c r="B1783" s="19"/>
      <c r="C1783" s="19"/>
      <c r="D1783" s="19"/>
      <c r="E1783" s="19"/>
      <c r="F1783" s="17" t="str">
        <f>IFERROR(__xludf.DUMMYFUNCTION("""COMPUTED_VALUE"""),"")</f>
        <v/>
      </c>
      <c r="G1783" s="20"/>
      <c r="H1783" s="19"/>
      <c r="I1783" s="19"/>
      <c r="J1783" s="19"/>
      <c r="K1783" s="19"/>
      <c r="L1783" s="19"/>
      <c r="M1783" s="19"/>
      <c r="N1783" s="20" t="s">
        <v>39</v>
      </c>
      <c r="O1783" s="19"/>
      <c r="P1783" s="19"/>
      <c r="Q1783" s="19"/>
      <c r="R1783" s="19"/>
      <c r="S1783" s="19"/>
      <c r="T1783" s="19"/>
      <c r="U1783" s="19"/>
      <c r="V1783" s="19"/>
    </row>
    <row r="1784">
      <c r="A1784" s="25"/>
      <c r="B1784" s="19"/>
      <c r="C1784" s="19"/>
      <c r="D1784" s="19"/>
      <c r="E1784" s="19"/>
      <c r="F1784" s="17" t="str">
        <f>IFERROR(__xludf.DUMMYFUNCTION("""COMPUTED_VALUE"""),"")</f>
        <v/>
      </c>
      <c r="G1784" s="20"/>
      <c r="H1784" s="19"/>
      <c r="I1784" s="19"/>
      <c r="J1784" s="19"/>
      <c r="K1784" s="19"/>
      <c r="L1784" s="19"/>
      <c r="M1784" s="19"/>
      <c r="N1784" s="20" t="s">
        <v>39</v>
      </c>
      <c r="O1784" s="19"/>
      <c r="P1784" s="19"/>
      <c r="Q1784" s="19"/>
      <c r="R1784" s="19"/>
      <c r="S1784" s="19"/>
      <c r="T1784" s="19"/>
      <c r="U1784" s="19"/>
      <c r="V1784" s="19"/>
    </row>
    <row r="1785">
      <c r="A1785" s="25"/>
      <c r="B1785" s="19"/>
      <c r="C1785" s="19"/>
      <c r="D1785" s="19"/>
      <c r="E1785" s="19"/>
      <c r="F1785" s="17" t="str">
        <f>IFERROR(__xludf.DUMMYFUNCTION("""COMPUTED_VALUE"""),"")</f>
        <v/>
      </c>
      <c r="G1785" s="20"/>
      <c r="H1785" s="19"/>
      <c r="I1785" s="19"/>
      <c r="J1785" s="19"/>
      <c r="K1785" s="19"/>
      <c r="L1785" s="19"/>
      <c r="M1785" s="19"/>
      <c r="N1785" s="20" t="s">
        <v>39</v>
      </c>
      <c r="O1785" s="19"/>
      <c r="P1785" s="19"/>
      <c r="Q1785" s="19"/>
      <c r="R1785" s="19"/>
      <c r="S1785" s="19"/>
      <c r="T1785" s="19"/>
      <c r="U1785" s="19"/>
      <c r="V1785" s="19"/>
    </row>
    <row r="1786">
      <c r="A1786" s="25"/>
      <c r="B1786" s="19"/>
      <c r="C1786" s="19"/>
      <c r="D1786" s="19"/>
      <c r="E1786" s="19"/>
      <c r="F1786" s="17" t="str">
        <f>IFERROR(__xludf.DUMMYFUNCTION("""COMPUTED_VALUE"""),"")</f>
        <v/>
      </c>
      <c r="G1786" s="20"/>
      <c r="H1786" s="19"/>
      <c r="I1786" s="19"/>
      <c r="J1786" s="19"/>
      <c r="K1786" s="19"/>
      <c r="L1786" s="19"/>
      <c r="M1786" s="19"/>
      <c r="N1786" s="20" t="s">
        <v>39</v>
      </c>
      <c r="O1786" s="19"/>
      <c r="P1786" s="19"/>
      <c r="Q1786" s="19"/>
      <c r="R1786" s="19"/>
      <c r="S1786" s="19"/>
      <c r="T1786" s="19"/>
      <c r="U1786" s="19"/>
      <c r="V1786" s="19"/>
    </row>
    <row r="1787">
      <c r="A1787" s="25"/>
      <c r="B1787" s="19"/>
      <c r="C1787" s="19"/>
      <c r="D1787" s="19"/>
      <c r="E1787" s="19"/>
      <c r="F1787" s="17" t="str">
        <f>IFERROR(__xludf.DUMMYFUNCTION("""COMPUTED_VALUE"""),"")</f>
        <v/>
      </c>
      <c r="G1787" s="20"/>
      <c r="H1787" s="19"/>
      <c r="I1787" s="19"/>
      <c r="J1787" s="19"/>
      <c r="K1787" s="19"/>
      <c r="L1787" s="19"/>
      <c r="M1787" s="19"/>
      <c r="N1787" s="20" t="s">
        <v>39</v>
      </c>
      <c r="O1787" s="19"/>
      <c r="P1787" s="19"/>
      <c r="Q1787" s="19"/>
      <c r="R1787" s="19"/>
      <c r="S1787" s="19"/>
      <c r="T1787" s="19"/>
      <c r="U1787" s="19"/>
      <c r="V1787" s="19"/>
    </row>
    <row r="1788">
      <c r="A1788" s="25"/>
      <c r="B1788" s="19"/>
      <c r="C1788" s="19"/>
      <c r="D1788" s="19"/>
      <c r="E1788" s="19"/>
      <c r="F1788" s="17" t="str">
        <f>IFERROR(__xludf.DUMMYFUNCTION("""COMPUTED_VALUE"""),"")</f>
        <v/>
      </c>
      <c r="G1788" s="20"/>
      <c r="H1788" s="19"/>
      <c r="I1788" s="19"/>
      <c r="J1788" s="19"/>
      <c r="K1788" s="19"/>
      <c r="L1788" s="19"/>
      <c r="M1788" s="19"/>
      <c r="N1788" s="20" t="s">
        <v>39</v>
      </c>
      <c r="O1788" s="19"/>
      <c r="P1788" s="19"/>
      <c r="Q1788" s="19"/>
      <c r="R1788" s="19"/>
      <c r="S1788" s="19"/>
      <c r="T1788" s="19"/>
      <c r="U1788" s="19"/>
      <c r="V1788" s="19"/>
    </row>
    <row r="1789">
      <c r="A1789" s="25"/>
      <c r="B1789" s="19"/>
      <c r="C1789" s="19"/>
      <c r="D1789" s="19"/>
      <c r="E1789" s="19"/>
      <c r="F1789" s="17" t="str">
        <f>IFERROR(__xludf.DUMMYFUNCTION("""COMPUTED_VALUE"""),"")</f>
        <v/>
      </c>
      <c r="G1789" s="20"/>
      <c r="H1789" s="19"/>
      <c r="I1789" s="19"/>
      <c r="J1789" s="19"/>
      <c r="K1789" s="19"/>
      <c r="L1789" s="19"/>
      <c r="M1789" s="19"/>
      <c r="N1789" s="20" t="s">
        <v>39</v>
      </c>
      <c r="O1789" s="19"/>
      <c r="P1789" s="19"/>
      <c r="Q1789" s="19"/>
      <c r="R1789" s="19"/>
      <c r="S1789" s="19"/>
      <c r="T1789" s="19"/>
      <c r="U1789" s="19"/>
      <c r="V1789" s="19"/>
    </row>
    <row r="1790">
      <c r="A1790" s="25"/>
      <c r="B1790" s="19"/>
      <c r="C1790" s="19"/>
      <c r="D1790" s="19"/>
      <c r="E1790" s="19"/>
      <c r="F1790" s="17" t="str">
        <f>IFERROR(__xludf.DUMMYFUNCTION("""COMPUTED_VALUE"""),"")</f>
        <v/>
      </c>
      <c r="G1790" s="20"/>
      <c r="H1790" s="19"/>
      <c r="I1790" s="19"/>
      <c r="J1790" s="19"/>
      <c r="K1790" s="19"/>
      <c r="L1790" s="19"/>
      <c r="M1790" s="19"/>
      <c r="N1790" s="20" t="s">
        <v>39</v>
      </c>
      <c r="O1790" s="19"/>
      <c r="P1790" s="19"/>
      <c r="Q1790" s="19"/>
      <c r="R1790" s="19"/>
      <c r="S1790" s="19"/>
      <c r="T1790" s="19"/>
      <c r="U1790" s="19"/>
      <c r="V1790" s="19"/>
    </row>
    <row r="1791">
      <c r="A1791" s="25"/>
      <c r="B1791" s="19"/>
      <c r="C1791" s="19"/>
      <c r="D1791" s="19"/>
      <c r="E1791" s="19"/>
      <c r="F1791" s="17" t="str">
        <f>IFERROR(__xludf.DUMMYFUNCTION("""COMPUTED_VALUE"""),"")</f>
        <v/>
      </c>
      <c r="G1791" s="20"/>
      <c r="H1791" s="19"/>
      <c r="I1791" s="19"/>
      <c r="J1791" s="19"/>
      <c r="K1791" s="19"/>
      <c r="L1791" s="19"/>
      <c r="M1791" s="19"/>
      <c r="N1791" s="20" t="s">
        <v>39</v>
      </c>
      <c r="O1791" s="19"/>
      <c r="P1791" s="19"/>
      <c r="Q1791" s="19"/>
      <c r="R1791" s="19"/>
      <c r="S1791" s="19"/>
      <c r="T1791" s="19"/>
      <c r="U1791" s="19"/>
      <c r="V1791" s="19"/>
    </row>
    <row r="1792">
      <c r="A1792" s="25"/>
      <c r="B1792" s="19"/>
      <c r="C1792" s="19"/>
      <c r="D1792" s="19"/>
      <c r="E1792" s="19"/>
      <c r="F1792" s="17" t="str">
        <f>IFERROR(__xludf.DUMMYFUNCTION("""COMPUTED_VALUE"""),"")</f>
        <v/>
      </c>
      <c r="G1792" s="20"/>
      <c r="H1792" s="19"/>
      <c r="I1792" s="19"/>
      <c r="J1792" s="19"/>
      <c r="K1792" s="19"/>
      <c r="L1792" s="19"/>
      <c r="M1792" s="19"/>
      <c r="N1792" s="20" t="s">
        <v>39</v>
      </c>
      <c r="O1792" s="19"/>
      <c r="P1792" s="19"/>
      <c r="Q1792" s="19"/>
      <c r="R1792" s="19"/>
      <c r="S1792" s="19"/>
      <c r="T1792" s="19"/>
      <c r="U1792" s="19"/>
      <c r="V1792" s="19"/>
    </row>
    <row r="1793">
      <c r="A1793" s="25"/>
      <c r="B1793" s="19"/>
      <c r="C1793" s="19"/>
      <c r="D1793" s="19"/>
      <c r="E1793" s="19"/>
      <c r="F1793" s="17" t="str">
        <f>IFERROR(__xludf.DUMMYFUNCTION("""COMPUTED_VALUE"""),"")</f>
        <v/>
      </c>
      <c r="G1793" s="20"/>
      <c r="H1793" s="19"/>
      <c r="I1793" s="19"/>
      <c r="J1793" s="19"/>
      <c r="K1793" s="19"/>
      <c r="L1793" s="19"/>
      <c r="M1793" s="19"/>
      <c r="N1793" s="20" t="s">
        <v>39</v>
      </c>
      <c r="O1793" s="19"/>
      <c r="P1793" s="19"/>
      <c r="Q1793" s="19"/>
      <c r="R1793" s="19"/>
      <c r="S1793" s="19"/>
      <c r="T1793" s="19"/>
      <c r="U1793" s="19"/>
      <c r="V1793" s="19"/>
    </row>
    <row r="1794">
      <c r="A1794" s="25"/>
      <c r="B1794" s="19"/>
      <c r="C1794" s="19"/>
      <c r="D1794" s="19"/>
      <c r="E1794" s="19"/>
      <c r="F1794" s="17" t="str">
        <f>IFERROR(__xludf.DUMMYFUNCTION("""COMPUTED_VALUE"""),"")</f>
        <v/>
      </c>
      <c r="G1794" s="20"/>
      <c r="H1794" s="19"/>
      <c r="I1794" s="19"/>
      <c r="J1794" s="19"/>
      <c r="K1794" s="19"/>
      <c r="L1794" s="19"/>
      <c r="M1794" s="19"/>
      <c r="N1794" s="20" t="s">
        <v>39</v>
      </c>
      <c r="O1794" s="19"/>
      <c r="P1794" s="19"/>
      <c r="Q1794" s="19"/>
      <c r="R1794" s="19"/>
      <c r="S1794" s="19"/>
      <c r="T1794" s="19"/>
      <c r="U1794" s="19"/>
      <c r="V1794" s="19"/>
    </row>
    <row r="1795">
      <c r="A1795" s="25"/>
      <c r="B1795" s="19"/>
      <c r="C1795" s="19"/>
      <c r="D1795" s="19"/>
      <c r="E1795" s="19"/>
      <c r="F1795" s="17" t="str">
        <f>IFERROR(__xludf.DUMMYFUNCTION("""COMPUTED_VALUE"""),"")</f>
        <v/>
      </c>
      <c r="G1795" s="20"/>
      <c r="H1795" s="19"/>
      <c r="I1795" s="19"/>
      <c r="J1795" s="19"/>
      <c r="K1795" s="19"/>
      <c r="L1795" s="19"/>
      <c r="M1795" s="19"/>
      <c r="N1795" s="20" t="s">
        <v>39</v>
      </c>
      <c r="O1795" s="19"/>
      <c r="P1795" s="19"/>
      <c r="Q1795" s="19"/>
      <c r="R1795" s="19"/>
      <c r="S1795" s="19"/>
      <c r="T1795" s="19"/>
      <c r="U1795" s="19"/>
      <c r="V1795" s="19"/>
    </row>
    <row r="1796">
      <c r="A1796" s="25"/>
      <c r="B1796" s="19"/>
      <c r="C1796" s="19"/>
      <c r="D1796" s="19"/>
      <c r="E1796" s="19"/>
      <c r="F1796" s="17" t="str">
        <f>IFERROR(__xludf.DUMMYFUNCTION("""COMPUTED_VALUE"""),"")</f>
        <v/>
      </c>
      <c r="G1796" s="20"/>
      <c r="H1796" s="19"/>
      <c r="I1796" s="19"/>
      <c r="J1796" s="19"/>
      <c r="K1796" s="19"/>
      <c r="L1796" s="19"/>
      <c r="M1796" s="19"/>
      <c r="N1796" s="20" t="s">
        <v>39</v>
      </c>
      <c r="O1796" s="19"/>
      <c r="P1796" s="19"/>
      <c r="Q1796" s="19"/>
      <c r="R1796" s="19"/>
      <c r="S1796" s="19"/>
      <c r="T1796" s="19"/>
      <c r="U1796" s="19"/>
      <c r="V1796" s="19"/>
    </row>
    <row r="1797">
      <c r="A1797" s="25"/>
      <c r="B1797" s="19"/>
      <c r="C1797" s="19"/>
      <c r="D1797" s="19"/>
      <c r="E1797" s="19"/>
      <c r="F1797" s="17" t="str">
        <f>IFERROR(__xludf.DUMMYFUNCTION("""COMPUTED_VALUE"""),"")</f>
        <v/>
      </c>
      <c r="G1797" s="20"/>
      <c r="H1797" s="19"/>
      <c r="I1797" s="19"/>
      <c r="J1797" s="19"/>
      <c r="K1797" s="19"/>
      <c r="L1797" s="19"/>
      <c r="M1797" s="19"/>
      <c r="N1797" s="20" t="s">
        <v>39</v>
      </c>
      <c r="O1797" s="19"/>
      <c r="P1797" s="19"/>
      <c r="Q1797" s="19"/>
      <c r="R1797" s="19"/>
      <c r="S1797" s="19"/>
      <c r="T1797" s="19"/>
      <c r="U1797" s="19"/>
      <c r="V1797" s="19"/>
    </row>
    <row r="1798">
      <c r="A1798" s="25"/>
      <c r="B1798" s="19"/>
      <c r="C1798" s="19"/>
      <c r="D1798" s="19"/>
      <c r="E1798" s="19"/>
      <c r="F1798" s="17" t="str">
        <f>IFERROR(__xludf.DUMMYFUNCTION("""COMPUTED_VALUE"""),"")</f>
        <v/>
      </c>
      <c r="G1798" s="20"/>
      <c r="H1798" s="19"/>
      <c r="I1798" s="19"/>
      <c r="J1798" s="19"/>
      <c r="K1798" s="19"/>
      <c r="L1798" s="19"/>
      <c r="M1798" s="19"/>
      <c r="N1798" s="20" t="s">
        <v>39</v>
      </c>
      <c r="O1798" s="19"/>
      <c r="P1798" s="19"/>
      <c r="Q1798" s="19"/>
      <c r="R1798" s="19"/>
      <c r="S1798" s="19"/>
      <c r="T1798" s="19"/>
      <c r="U1798" s="19"/>
      <c r="V1798" s="19"/>
    </row>
    <row r="1799">
      <c r="A1799" s="25"/>
      <c r="B1799" s="19"/>
      <c r="C1799" s="19"/>
      <c r="D1799" s="19"/>
      <c r="E1799" s="19"/>
      <c r="F1799" s="17" t="str">
        <f>IFERROR(__xludf.DUMMYFUNCTION("""COMPUTED_VALUE"""),"")</f>
        <v/>
      </c>
      <c r="G1799" s="20"/>
      <c r="H1799" s="19"/>
      <c r="I1799" s="19"/>
      <c r="J1799" s="19"/>
      <c r="K1799" s="19"/>
      <c r="L1799" s="19"/>
      <c r="M1799" s="19"/>
      <c r="N1799" s="20" t="s">
        <v>39</v>
      </c>
      <c r="O1799" s="19"/>
      <c r="P1799" s="19"/>
      <c r="Q1799" s="19"/>
      <c r="R1799" s="19"/>
      <c r="S1799" s="19"/>
      <c r="T1799" s="19"/>
      <c r="U1799" s="19"/>
      <c r="V1799" s="19"/>
    </row>
    <row r="1800">
      <c r="A1800" s="25"/>
      <c r="B1800" s="19"/>
      <c r="C1800" s="19"/>
      <c r="D1800" s="19"/>
      <c r="E1800" s="19"/>
      <c r="F1800" s="17" t="str">
        <f>IFERROR(__xludf.DUMMYFUNCTION("""COMPUTED_VALUE"""),"")</f>
        <v/>
      </c>
      <c r="G1800" s="20"/>
      <c r="H1800" s="19"/>
      <c r="I1800" s="19"/>
      <c r="J1800" s="19"/>
      <c r="K1800" s="19"/>
      <c r="L1800" s="19"/>
      <c r="M1800" s="19"/>
      <c r="N1800" s="20" t="s">
        <v>39</v>
      </c>
      <c r="O1800" s="19"/>
      <c r="P1800" s="19"/>
      <c r="Q1800" s="19"/>
      <c r="R1800" s="19"/>
      <c r="S1800" s="19"/>
      <c r="T1800" s="19"/>
      <c r="U1800" s="19"/>
      <c r="V1800" s="19"/>
    </row>
    <row r="1801">
      <c r="A1801" s="25"/>
      <c r="B1801" s="19"/>
      <c r="C1801" s="19"/>
      <c r="D1801" s="19"/>
      <c r="E1801" s="19"/>
      <c r="F1801" s="17" t="str">
        <f>IFERROR(__xludf.DUMMYFUNCTION("""COMPUTED_VALUE"""),"")</f>
        <v/>
      </c>
      <c r="G1801" s="20"/>
      <c r="H1801" s="19"/>
      <c r="I1801" s="19"/>
      <c r="J1801" s="19"/>
      <c r="K1801" s="19"/>
      <c r="L1801" s="19"/>
      <c r="M1801" s="19"/>
      <c r="N1801" s="20" t="s">
        <v>39</v>
      </c>
      <c r="O1801" s="19"/>
      <c r="P1801" s="19"/>
      <c r="Q1801" s="19"/>
      <c r="R1801" s="19"/>
      <c r="S1801" s="19"/>
      <c r="T1801" s="19"/>
      <c r="U1801" s="19"/>
      <c r="V1801" s="19"/>
    </row>
    <row r="1802">
      <c r="A1802" s="25"/>
      <c r="B1802" s="19"/>
      <c r="C1802" s="19"/>
      <c r="D1802" s="19"/>
      <c r="E1802" s="19"/>
      <c r="F1802" s="17" t="str">
        <f>IFERROR(__xludf.DUMMYFUNCTION("""COMPUTED_VALUE"""),"")</f>
        <v/>
      </c>
      <c r="G1802" s="20"/>
      <c r="H1802" s="19"/>
      <c r="I1802" s="19"/>
      <c r="J1802" s="19"/>
      <c r="K1802" s="19"/>
      <c r="L1802" s="19"/>
      <c r="M1802" s="19"/>
      <c r="N1802" s="20" t="s">
        <v>39</v>
      </c>
      <c r="O1802" s="19"/>
      <c r="P1802" s="19"/>
      <c r="Q1802" s="19"/>
      <c r="R1802" s="19"/>
      <c r="S1802" s="19"/>
      <c r="T1802" s="19"/>
      <c r="U1802" s="19"/>
      <c r="V1802" s="19"/>
    </row>
    <row r="1803">
      <c r="A1803" s="25"/>
      <c r="B1803" s="19"/>
      <c r="C1803" s="19"/>
      <c r="D1803" s="19"/>
      <c r="E1803" s="19"/>
      <c r="F1803" s="17" t="str">
        <f>IFERROR(__xludf.DUMMYFUNCTION("""COMPUTED_VALUE"""),"")</f>
        <v/>
      </c>
      <c r="G1803" s="20"/>
      <c r="H1803" s="19"/>
      <c r="I1803" s="19"/>
      <c r="J1803" s="19"/>
      <c r="K1803" s="19"/>
      <c r="L1803" s="19"/>
      <c r="M1803" s="19"/>
      <c r="N1803" s="20" t="s">
        <v>39</v>
      </c>
      <c r="O1803" s="19"/>
      <c r="P1803" s="19"/>
      <c r="Q1803" s="19"/>
      <c r="R1803" s="19"/>
      <c r="S1803" s="19"/>
      <c r="T1803" s="19"/>
      <c r="U1803" s="19"/>
      <c r="V1803" s="19"/>
    </row>
    <row r="1804">
      <c r="A1804" s="25"/>
      <c r="B1804" s="19"/>
      <c r="C1804" s="19"/>
      <c r="D1804" s="19"/>
      <c r="E1804" s="19"/>
      <c r="F1804" s="17" t="str">
        <f>IFERROR(__xludf.DUMMYFUNCTION("""COMPUTED_VALUE"""),"")</f>
        <v/>
      </c>
      <c r="G1804" s="20"/>
      <c r="H1804" s="19"/>
      <c r="I1804" s="19"/>
      <c r="J1804" s="19"/>
      <c r="K1804" s="19"/>
      <c r="L1804" s="19"/>
      <c r="M1804" s="19"/>
      <c r="N1804" s="20" t="s">
        <v>39</v>
      </c>
      <c r="O1804" s="19"/>
      <c r="P1804" s="19"/>
      <c r="Q1804" s="19"/>
      <c r="R1804" s="19"/>
      <c r="S1804" s="19"/>
      <c r="T1804" s="19"/>
      <c r="U1804" s="19"/>
      <c r="V1804" s="19"/>
    </row>
    <row r="1805">
      <c r="A1805" s="25"/>
      <c r="B1805" s="19"/>
      <c r="C1805" s="19"/>
      <c r="D1805" s="19"/>
      <c r="E1805" s="19"/>
      <c r="F1805" s="17" t="str">
        <f>IFERROR(__xludf.DUMMYFUNCTION("""COMPUTED_VALUE"""),"")</f>
        <v/>
      </c>
      <c r="G1805" s="20"/>
      <c r="H1805" s="19"/>
      <c r="I1805" s="19"/>
      <c r="J1805" s="19"/>
      <c r="K1805" s="19"/>
      <c r="L1805" s="19"/>
      <c r="M1805" s="19"/>
      <c r="N1805" s="20" t="s">
        <v>39</v>
      </c>
      <c r="O1805" s="19"/>
      <c r="P1805" s="19"/>
      <c r="Q1805" s="19"/>
      <c r="R1805" s="19"/>
      <c r="S1805" s="19"/>
      <c r="T1805" s="19"/>
      <c r="U1805" s="19"/>
      <c r="V1805" s="19"/>
    </row>
    <row r="1806">
      <c r="A1806" s="25"/>
      <c r="B1806" s="19"/>
      <c r="C1806" s="19"/>
      <c r="D1806" s="19"/>
      <c r="E1806" s="19"/>
      <c r="F1806" s="17" t="str">
        <f>IFERROR(__xludf.DUMMYFUNCTION("""COMPUTED_VALUE"""),"")</f>
        <v/>
      </c>
      <c r="G1806" s="20"/>
      <c r="H1806" s="19"/>
      <c r="I1806" s="19"/>
      <c r="J1806" s="19"/>
      <c r="K1806" s="19"/>
      <c r="L1806" s="19"/>
      <c r="M1806" s="19"/>
      <c r="N1806" s="20" t="s">
        <v>39</v>
      </c>
      <c r="O1806" s="19"/>
      <c r="P1806" s="19"/>
      <c r="Q1806" s="19"/>
      <c r="R1806" s="19"/>
      <c r="S1806" s="19"/>
      <c r="T1806" s="19"/>
      <c r="U1806" s="19"/>
      <c r="V1806" s="19"/>
    </row>
    <row r="1807">
      <c r="A1807" s="25"/>
      <c r="B1807" s="19"/>
      <c r="C1807" s="19"/>
      <c r="D1807" s="19"/>
      <c r="E1807" s="19"/>
      <c r="F1807" s="17" t="str">
        <f>IFERROR(__xludf.DUMMYFUNCTION("""COMPUTED_VALUE"""),"")</f>
        <v/>
      </c>
      <c r="G1807" s="20"/>
      <c r="H1807" s="19"/>
      <c r="I1807" s="19"/>
      <c r="J1807" s="19"/>
      <c r="K1807" s="19"/>
      <c r="L1807" s="19"/>
      <c r="M1807" s="19"/>
      <c r="N1807" s="20" t="s">
        <v>39</v>
      </c>
      <c r="O1807" s="19"/>
      <c r="P1807" s="19"/>
      <c r="Q1807" s="19"/>
      <c r="R1807" s="19"/>
      <c r="S1807" s="19"/>
      <c r="T1807" s="19"/>
      <c r="U1807" s="19"/>
      <c r="V1807" s="19"/>
    </row>
    <row r="1808">
      <c r="A1808" s="25"/>
      <c r="B1808" s="19"/>
      <c r="C1808" s="19"/>
      <c r="D1808" s="19"/>
      <c r="E1808" s="19"/>
      <c r="F1808" s="17" t="str">
        <f>IFERROR(__xludf.DUMMYFUNCTION("""COMPUTED_VALUE"""),"")</f>
        <v/>
      </c>
      <c r="G1808" s="20"/>
      <c r="H1808" s="19"/>
      <c r="I1808" s="19"/>
      <c r="J1808" s="19"/>
      <c r="K1808" s="19"/>
      <c r="L1808" s="19"/>
      <c r="M1808" s="19"/>
      <c r="N1808" s="20" t="s">
        <v>39</v>
      </c>
      <c r="O1808" s="19"/>
      <c r="P1808" s="19"/>
      <c r="Q1808" s="19"/>
      <c r="R1808" s="19"/>
      <c r="S1808" s="19"/>
      <c r="T1808" s="19"/>
      <c r="U1808" s="19"/>
      <c r="V1808" s="19"/>
    </row>
    <row r="1809">
      <c r="A1809" s="25"/>
      <c r="B1809" s="19"/>
      <c r="C1809" s="19"/>
      <c r="D1809" s="19"/>
      <c r="E1809" s="19"/>
      <c r="F1809" s="17" t="str">
        <f>IFERROR(__xludf.DUMMYFUNCTION("""COMPUTED_VALUE"""),"")</f>
        <v/>
      </c>
      <c r="G1809" s="20"/>
      <c r="H1809" s="19"/>
      <c r="I1809" s="19"/>
      <c r="J1809" s="19"/>
      <c r="K1809" s="19"/>
      <c r="L1809" s="19"/>
      <c r="M1809" s="19"/>
      <c r="N1809" s="20" t="s">
        <v>39</v>
      </c>
      <c r="O1809" s="19"/>
      <c r="P1809" s="19"/>
      <c r="Q1809" s="19"/>
      <c r="R1809" s="19"/>
      <c r="S1809" s="19"/>
      <c r="T1809" s="19"/>
      <c r="U1809" s="19"/>
      <c r="V1809" s="19"/>
    </row>
    <row r="1810">
      <c r="A1810" s="25"/>
      <c r="B1810" s="19"/>
      <c r="C1810" s="19"/>
      <c r="D1810" s="19"/>
      <c r="E1810" s="19"/>
      <c r="F1810" s="17" t="str">
        <f>IFERROR(__xludf.DUMMYFUNCTION("""COMPUTED_VALUE"""),"")</f>
        <v/>
      </c>
      <c r="G1810" s="20"/>
      <c r="H1810" s="19"/>
      <c r="I1810" s="19"/>
      <c r="J1810" s="19"/>
      <c r="K1810" s="19"/>
      <c r="L1810" s="19"/>
      <c r="M1810" s="19"/>
      <c r="N1810" s="20" t="s">
        <v>39</v>
      </c>
      <c r="O1810" s="19"/>
      <c r="P1810" s="19"/>
      <c r="Q1810" s="19"/>
      <c r="R1810" s="19"/>
      <c r="S1810" s="19"/>
      <c r="T1810" s="19"/>
      <c r="U1810" s="19"/>
      <c r="V1810" s="19"/>
    </row>
    <row r="1811">
      <c r="A1811" s="25"/>
      <c r="B1811" s="19"/>
      <c r="C1811" s="19"/>
      <c r="D1811" s="19"/>
      <c r="E1811" s="19"/>
      <c r="F1811" s="17" t="str">
        <f>IFERROR(__xludf.DUMMYFUNCTION("""COMPUTED_VALUE"""),"")</f>
        <v/>
      </c>
      <c r="G1811" s="20"/>
      <c r="H1811" s="19"/>
      <c r="I1811" s="19"/>
      <c r="J1811" s="19"/>
      <c r="K1811" s="19"/>
      <c r="L1811" s="19"/>
      <c r="M1811" s="19"/>
      <c r="N1811" s="20" t="s">
        <v>39</v>
      </c>
      <c r="O1811" s="19"/>
      <c r="P1811" s="19"/>
      <c r="Q1811" s="19"/>
      <c r="R1811" s="19"/>
      <c r="S1811" s="19"/>
      <c r="T1811" s="19"/>
      <c r="U1811" s="19"/>
      <c r="V1811" s="19"/>
    </row>
    <row r="1812">
      <c r="A1812" s="25"/>
      <c r="B1812" s="19"/>
      <c r="C1812" s="19"/>
      <c r="D1812" s="19"/>
      <c r="E1812" s="19"/>
      <c r="F1812" s="17" t="str">
        <f>IFERROR(__xludf.DUMMYFUNCTION("""COMPUTED_VALUE"""),"")</f>
        <v/>
      </c>
      <c r="G1812" s="20"/>
      <c r="H1812" s="19"/>
      <c r="I1812" s="19"/>
      <c r="J1812" s="19"/>
      <c r="K1812" s="19"/>
      <c r="L1812" s="19"/>
      <c r="M1812" s="19"/>
      <c r="N1812" s="20" t="s">
        <v>39</v>
      </c>
      <c r="O1812" s="19"/>
      <c r="P1812" s="19"/>
      <c r="Q1812" s="19"/>
      <c r="R1812" s="19"/>
      <c r="S1812" s="19"/>
      <c r="T1812" s="19"/>
      <c r="U1812" s="19"/>
      <c r="V1812" s="19"/>
    </row>
    <row r="1813">
      <c r="A1813" s="25"/>
      <c r="B1813" s="19"/>
      <c r="C1813" s="19"/>
      <c r="D1813" s="19"/>
      <c r="E1813" s="19"/>
      <c r="F1813" s="17" t="str">
        <f>IFERROR(__xludf.DUMMYFUNCTION("""COMPUTED_VALUE"""),"")</f>
        <v/>
      </c>
      <c r="G1813" s="20"/>
      <c r="H1813" s="19"/>
      <c r="I1813" s="19"/>
      <c r="J1813" s="19"/>
      <c r="K1813" s="19"/>
      <c r="L1813" s="19"/>
      <c r="M1813" s="19"/>
      <c r="N1813" s="20" t="s">
        <v>39</v>
      </c>
      <c r="O1813" s="19"/>
      <c r="P1813" s="19"/>
      <c r="Q1813" s="19"/>
      <c r="R1813" s="19"/>
      <c r="S1813" s="19"/>
      <c r="T1813" s="19"/>
      <c r="U1813" s="19"/>
      <c r="V1813" s="19"/>
    </row>
    <row r="1814">
      <c r="A1814" s="25"/>
      <c r="B1814" s="19"/>
      <c r="C1814" s="19"/>
      <c r="D1814" s="19"/>
      <c r="E1814" s="19"/>
      <c r="F1814" s="17" t="str">
        <f>IFERROR(__xludf.DUMMYFUNCTION("""COMPUTED_VALUE"""),"")</f>
        <v/>
      </c>
      <c r="G1814" s="20"/>
      <c r="H1814" s="19"/>
      <c r="I1814" s="19"/>
      <c r="J1814" s="19"/>
      <c r="K1814" s="19"/>
      <c r="L1814" s="19"/>
      <c r="M1814" s="19"/>
      <c r="N1814" s="20" t="s">
        <v>39</v>
      </c>
      <c r="O1814" s="19"/>
      <c r="P1814" s="19"/>
      <c r="Q1814" s="19"/>
      <c r="R1814" s="19"/>
      <c r="S1814" s="19"/>
      <c r="T1814" s="19"/>
      <c r="U1814" s="19"/>
      <c r="V1814" s="19"/>
    </row>
    <row r="1815">
      <c r="A1815" s="25"/>
      <c r="B1815" s="19"/>
      <c r="C1815" s="19"/>
      <c r="D1815" s="19"/>
      <c r="E1815" s="19"/>
      <c r="F1815" s="17" t="str">
        <f>IFERROR(__xludf.DUMMYFUNCTION("""COMPUTED_VALUE"""),"")</f>
        <v/>
      </c>
      <c r="G1815" s="20"/>
      <c r="H1815" s="19"/>
      <c r="I1815" s="19"/>
      <c r="J1815" s="19"/>
      <c r="K1815" s="19"/>
      <c r="L1815" s="19"/>
      <c r="M1815" s="19"/>
      <c r="N1815" s="20" t="s">
        <v>39</v>
      </c>
      <c r="O1815" s="19"/>
      <c r="P1815" s="19"/>
      <c r="Q1815" s="19"/>
      <c r="R1815" s="19"/>
      <c r="S1815" s="19"/>
      <c r="T1815" s="19"/>
      <c r="U1815" s="19"/>
      <c r="V1815" s="19"/>
    </row>
    <row r="1816">
      <c r="A1816" s="25"/>
      <c r="B1816" s="19"/>
      <c r="C1816" s="19"/>
      <c r="D1816" s="19"/>
      <c r="E1816" s="19"/>
      <c r="F1816" s="17" t="str">
        <f>IFERROR(__xludf.DUMMYFUNCTION("""COMPUTED_VALUE"""),"")</f>
        <v/>
      </c>
      <c r="G1816" s="20"/>
      <c r="H1816" s="19"/>
      <c r="I1816" s="19"/>
      <c r="J1816" s="19"/>
      <c r="K1816" s="19"/>
      <c r="L1816" s="19"/>
      <c r="M1816" s="19"/>
      <c r="N1816" s="20" t="s">
        <v>39</v>
      </c>
      <c r="O1816" s="19"/>
      <c r="P1816" s="19"/>
      <c r="Q1816" s="19"/>
      <c r="R1816" s="19"/>
      <c r="S1816" s="19"/>
      <c r="T1816" s="19"/>
      <c r="U1816" s="19"/>
      <c r="V1816" s="19"/>
    </row>
    <row r="1817">
      <c r="A1817" s="25"/>
      <c r="B1817" s="19"/>
      <c r="C1817" s="19"/>
      <c r="D1817" s="19"/>
      <c r="E1817" s="19"/>
      <c r="F1817" s="17" t="str">
        <f>IFERROR(__xludf.DUMMYFUNCTION("""COMPUTED_VALUE"""),"")</f>
        <v/>
      </c>
      <c r="G1817" s="20"/>
      <c r="H1817" s="19"/>
      <c r="I1817" s="19"/>
      <c r="J1817" s="19"/>
      <c r="K1817" s="19"/>
      <c r="L1817" s="19"/>
      <c r="M1817" s="19"/>
      <c r="N1817" s="20" t="s">
        <v>39</v>
      </c>
      <c r="O1817" s="19"/>
      <c r="P1817" s="19"/>
      <c r="Q1817" s="19"/>
      <c r="R1817" s="19"/>
      <c r="S1817" s="19"/>
      <c r="T1817" s="19"/>
      <c r="U1817" s="19"/>
      <c r="V1817" s="19"/>
    </row>
    <row r="1818">
      <c r="A1818" s="25"/>
      <c r="B1818" s="19"/>
      <c r="C1818" s="19"/>
      <c r="D1818" s="19"/>
      <c r="E1818" s="19"/>
      <c r="F1818" s="17" t="str">
        <f>IFERROR(__xludf.DUMMYFUNCTION("""COMPUTED_VALUE"""),"")</f>
        <v/>
      </c>
      <c r="G1818" s="20"/>
      <c r="H1818" s="19"/>
      <c r="I1818" s="19"/>
      <c r="J1818" s="19"/>
      <c r="K1818" s="19"/>
      <c r="L1818" s="19"/>
      <c r="M1818" s="19"/>
      <c r="N1818" s="20" t="s">
        <v>39</v>
      </c>
      <c r="O1818" s="19"/>
      <c r="P1818" s="19"/>
      <c r="Q1818" s="19"/>
      <c r="R1818" s="19"/>
      <c r="S1818" s="19"/>
      <c r="T1818" s="19"/>
      <c r="U1818" s="19"/>
      <c r="V1818" s="19"/>
    </row>
    <row r="1819">
      <c r="A1819" s="25"/>
      <c r="B1819" s="19"/>
      <c r="C1819" s="19"/>
      <c r="D1819" s="19"/>
      <c r="E1819" s="19"/>
      <c r="F1819" s="17" t="str">
        <f>IFERROR(__xludf.DUMMYFUNCTION("""COMPUTED_VALUE"""),"")</f>
        <v/>
      </c>
      <c r="G1819" s="20"/>
      <c r="H1819" s="19"/>
      <c r="I1819" s="19"/>
      <c r="J1819" s="19"/>
      <c r="K1819" s="19"/>
      <c r="L1819" s="19"/>
      <c r="M1819" s="19"/>
      <c r="N1819" s="20" t="s">
        <v>39</v>
      </c>
      <c r="O1819" s="19"/>
      <c r="P1819" s="19"/>
      <c r="Q1819" s="19"/>
      <c r="R1819" s="19"/>
      <c r="S1819" s="19"/>
      <c r="T1819" s="19"/>
      <c r="U1819" s="19"/>
      <c r="V1819" s="19"/>
    </row>
    <row r="1820">
      <c r="A1820" s="25"/>
      <c r="B1820" s="19"/>
      <c r="C1820" s="19"/>
      <c r="D1820" s="19"/>
      <c r="E1820" s="19"/>
      <c r="F1820" s="17" t="str">
        <f>IFERROR(__xludf.DUMMYFUNCTION("""COMPUTED_VALUE"""),"")</f>
        <v/>
      </c>
      <c r="G1820" s="20"/>
      <c r="H1820" s="19"/>
      <c r="I1820" s="19"/>
      <c r="J1820" s="19"/>
      <c r="K1820" s="19"/>
      <c r="L1820" s="19"/>
      <c r="M1820" s="19"/>
      <c r="N1820" s="20" t="s">
        <v>39</v>
      </c>
      <c r="O1820" s="19"/>
      <c r="P1820" s="19"/>
      <c r="Q1820" s="19"/>
      <c r="R1820" s="19"/>
      <c r="S1820" s="19"/>
      <c r="T1820" s="19"/>
      <c r="U1820" s="19"/>
      <c r="V1820" s="19"/>
    </row>
    <row r="1821">
      <c r="A1821" s="25"/>
      <c r="B1821" s="19"/>
      <c r="C1821" s="19"/>
      <c r="D1821" s="19"/>
      <c r="E1821" s="19"/>
      <c r="F1821" s="17" t="str">
        <f>IFERROR(__xludf.DUMMYFUNCTION("""COMPUTED_VALUE"""),"")</f>
        <v/>
      </c>
      <c r="G1821" s="20"/>
      <c r="H1821" s="19"/>
      <c r="I1821" s="19"/>
      <c r="J1821" s="19"/>
      <c r="K1821" s="19"/>
      <c r="L1821" s="19"/>
      <c r="M1821" s="19"/>
      <c r="N1821" s="20" t="s">
        <v>39</v>
      </c>
      <c r="O1821" s="19"/>
      <c r="P1821" s="19"/>
      <c r="Q1821" s="19"/>
      <c r="R1821" s="19"/>
      <c r="S1821" s="19"/>
      <c r="T1821" s="19"/>
      <c r="U1821" s="19"/>
      <c r="V1821" s="19"/>
    </row>
    <row r="1822">
      <c r="A1822" s="25"/>
      <c r="B1822" s="19"/>
      <c r="C1822" s="19"/>
      <c r="D1822" s="19"/>
      <c r="E1822" s="19"/>
      <c r="F1822" s="17" t="str">
        <f>IFERROR(__xludf.DUMMYFUNCTION("""COMPUTED_VALUE"""),"")</f>
        <v/>
      </c>
      <c r="G1822" s="20"/>
      <c r="H1822" s="19"/>
      <c r="I1822" s="19"/>
      <c r="J1822" s="19"/>
      <c r="K1822" s="19"/>
      <c r="L1822" s="19"/>
      <c r="M1822" s="19"/>
      <c r="N1822" s="20" t="s">
        <v>39</v>
      </c>
      <c r="O1822" s="19"/>
      <c r="P1822" s="19"/>
      <c r="Q1822" s="19"/>
      <c r="R1822" s="19"/>
      <c r="S1822" s="19"/>
      <c r="T1822" s="19"/>
      <c r="U1822" s="19"/>
      <c r="V1822" s="19"/>
    </row>
    <row r="1823">
      <c r="A1823" s="25"/>
      <c r="B1823" s="19"/>
      <c r="C1823" s="19"/>
      <c r="D1823" s="19"/>
      <c r="E1823" s="19"/>
      <c r="F1823" s="17" t="str">
        <f>IFERROR(__xludf.DUMMYFUNCTION("""COMPUTED_VALUE"""),"")</f>
        <v/>
      </c>
      <c r="G1823" s="20"/>
      <c r="H1823" s="19"/>
      <c r="I1823" s="19"/>
      <c r="J1823" s="19"/>
      <c r="K1823" s="19"/>
      <c r="L1823" s="19"/>
      <c r="M1823" s="19"/>
      <c r="N1823" s="20" t="s">
        <v>39</v>
      </c>
      <c r="O1823" s="19"/>
      <c r="P1823" s="19"/>
      <c r="Q1823" s="19"/>
      <c r="R1823" s="19"/>
      <c r="S1823" s="19"/>
      <c r="T1823" s="19"/>
      <c r="U1823" s="19"/>
      <c r="V1823" s="19"/>
    </row>
    <row r="1824">
      <c r="A1824" s="25"/>
      <c r="B1824" s="19"/>
      <c r="C1824" s="19"/>
      <c r="D1824" s="19"/>
      <c r="E1824" s="19"/>
      <c r="F1824" s="17" t="str">
        <f>IFERROR(__xludf.DUMMYFUNCTION("""COMPUTED_VALUE"""),"")</f>
        <v/>
      </c>
      <c r="G1824" s="20"/>
      <c r="H1824" s="19"/>
      <c r="I1824" s="19"/>
      <c r="J1824" s="19"/>
      <c r="K1824" s="19"/>
      <c r="L1824" s="19"/>
      <c r="M1824" s="19"/>
      <c r="N1824" s="20" t="s">
        <v>39</v>
      </c>
      <c r="O1824" s="19"/>
      <c r="P1824" s="19"/>
      <c r="Q1824" s="19"/>
      <c r="R1824" s="19"/>
      <c r="S1824" s="19"/>
      <c r="T1824" s="19"/>
      <c r="U1824" s="19"/>
      <c r="V1824" s="19"/>
    </row>
    <row r="1825">
      <c r="A1825" s="25"/>
      <c r="B1825" s="19"/>
      <c r="C1825" s="19"/>
      <c r="D1825" s="19"/>
      <c r="E1825" s="19"/>
      <c r="F1825" s="17" t="str">
        <f>IFERROR(__xludf.DUMMYFUNCTION("""COMPUTED_VALUE"""),"")</f>
        <v/>
      </c>
      <c r="G1825" s="20"/>
      <c r="H1825" s="19"/>
      <c r="I1825" s="19"/>
      <c r="J1825" s="19"/>
      <c r="K1825" s="19"/>
      <c r="L1825" s="19"/>
      <c r="M1825" s="19"/>
      <c r="N1825" s="20" t="s">
        <v>39</v>
      </c>
      <c r="O1825" s="19"/>
      <c r="P1825" s="19"/>
      <c r="Q1825" s="19"/>
      <c r="R1825" s="19"/>
      <c r="S1825" s="19"/>
      <c r="T1825" s="19"/>
      <c r="U1825" s="19"/>
      <c r="V1825" s="19"/>
    </row>
    <row r="1826">
      <c r="A1826" s="25"/>
      <c r="B1826" s="19"/>
      <c r="C1826" s="19"/>
      <c r="D1826" s="19"/>
      <c r="E1826" s="19"/>
      <c r="F1826" s="17" t="str">
        <f>IFERROR(__xludf.DUMMYFUNCTION("""COMPUTED_VALUE"""),"")</f>
        <v/>
      </c>
      <c r="G1826" s="20"/>
      <c r="H1826" s="19"/>
      <c r="I1826" s="19"/>
      <c r="J1826" s="19"/>
      <c r="K1826" s="19"/>
      <c r="L1826" s="19"/>
      <c r="M1826" s="19"/>
      <c r="N1826" s="20" t="s">
        <v>39</v>
      </c>
      <c r="O1826" s="19"/>
      <c r="P1826" s="19"/>
      <c r="Q1826" s="19"/>
      <c r="R1826" s="19"/>
      <c r="S1826" s="19"/>
      <c r="T1826" s="19"/>
      <c r="U1826" s="19"/>
      <c r="V1826" s="19"/>
    </row>
    <row r="1827">
      <c r="A1827" s="25"/>
      <c r="B1827" s="19"/>
      <c r="C1827" s="19"/>
      <c r="D1827" s="19"/>
      <c r="E1827" s="19"/>
      <c r="F1827" s="17" t="str">
        <f>IFERROR(__xludf.DUMMYFUNCTION("""COMPUTED_VALUE"""),"")</f>
        <v/>
      </c>
      <c r="G1827" s="20"/>
      <c r="H1827" s="19"/>
      <c r="I1827" s="19"/>
      <c r="J1827" s="19"/>
      <c r="K1827" s="19"/>
      <c r="L1827" s="19"/>
      <c r="M1827" s="19"/>
      <c r="N1827" s="20" t="s">
        <v>39</v>
      </c>
      <c r="O1827" s="19"/>
      <c r="P1827" s="19"/>
      <c r="Q1827" s="19"/>
      <c r="R1827" s="19"/>
      <c r="S1827" s="19"/>
      <c r="T1827" s="19"/>
      <c r="U1827" s="19"/>
      <c r="V1827" s="19"/>
    </row>
    <row r="1828">
      <c r="A1828" s="25"/>
      <c r="B1828" s="19"/>
      <c r="C1828" s="19"/>
      <c r="D1828" s="19"/>
      <c r="E1828" s="19"/>
      <c r="F1828" s="17" t="str">
        <f>IFERROR(__xludf.DUMMYFUNCTION("""COMPUTED_VALUE"""),"")</f>
        <v/>
      </c>
      <c r="G1828" s="20"/>
      <c r="H1828" s="19"/>
      <c r="I1828" s="19"/>
      <c r="J1828" s="19"/>
      <c r="K1828" s="19"/>
      <c r="L1828" s="19"/>
      <c r="M1828" s="19"/>
      <c r="N1828" s="20" t="s">
        <v>39</v>
      </c>
      <c r="O1828" s="19"/>
      <c r="P1828" s="19"/>
      <c r="Q1828" s="19"/>
      <c r="R1828" s="19"/>
      <c r="S1828" s="19"/>
      <c r="T1828" s="19"/>
      <c r="U1828" s="19"/>
      <c r="V1828" s="19"/>
    </row>
    <row r="1829">
      <c r="A1829" s="25"/>
      <c r="B1829" s="19"/>
      <c r="C1829" s="19"/>
      <c r="D1829" s="19"/>
      <c r="E1829" s="19"/>
      <c r="F1829" s="17" t="str">
        <f>IFERROR(__xludf.DUMMYFUNCTION("""COMPUTED_VALUE"""),"")</f>
        <v/>
      </c>
      <c r="G1829" s="20"/>
      <c r="H1829" s="19"/>
      <c r="I1829" s="19"/>
      <c r="J1829" s="19"/>
      <c r="K1829" s="19"/>
      <c r="L1829" s="19"/>
      <c r="M1829" s="19"/>
      <c r="N1829" s="20" t="s">
        <v>39</v>
      </c>
      <c r="O1829" s="19"/>
      <c r="P1829" s="19"/>
      <c r="Q1829" s="19"/>
      <c r="R1829" s="19"/>
      <c r="S1829" s="19"/>
      <c r="T1829" s="19"/>
      <c r="U1829" s="19"/>
      <c r="V1829" s="19"/>
    </row>
    <row r="1830">
      <c r="A1830" s="25"/>
      <c r="B1830" s="19"/>
      <c r="C1830" s="19"/>
      <c r="D1830" s="19"/>
      <c r="E1830" s="19"/>
      <c r="F1830" s="17" t="str">
        <f>IFERROR(__xludf.DUMMYFUNCTION("""COMPUTED_VALUE"""),"")</f>
        <v/>
      </c>
      <c r="G1830" s="20"/>
      <c r="H1830" s="19"/>
      <c r="I1830" s="19"/>
      <c r="J1830" s="19"/>
      <c r="K1830" s="19"/>
      <c r="L1830" s="19"/>
      <c r="M1830" s="19"/>
      <c r="N1830" s="20" t="s">
        <v>39</v>
      </c>
      <c r="O1830" s="19"/>
      <c r="P1830" s="19"/>
      <c r="Q1830" s="19"/>
      <c r="R1830" s="19"/>
      <c r="S1830" s="19"/>
      <c r="T1830" s="19"/>
      <c r="U1830" s="19"/>
      <c r="V1830" s="19"/>
    </row>
    <row r="1831">
      <c r="A1831" s="25"/>
      <c r="B1831" s="19"/>
      <c r="C1831" s="19"/>
      <c r="D1831" s="19"/>
      <c r="E1831" s="19"/>
      <c r="F1831" s="17" t="str">
        <f>IFERROR(__xludf.DUMMYFUNCTION("""COMPUTED_VALUE"""),"")</f>
        <v/>
      </c>
      <c r="G1831" s="20"/>
      <c r="H1831" s="19"/>
      <c r="I1831" s="19"/>
      <c r="J1831" s="19"/>
      <c r="K1831" s="19"/>
      <c r="L1831" s="19"/>
      <c r="M1831" s="19"/>
      <c r="N1831" s="20" t="s">
        <v>39</v>
      </c>
      <c r="O1831" s="19"/>
      <c r="P1831" s="19"/>
      <c r="Q1831" s="19"/>
      <c r="R1831" s="19"/>
      <c r="S1831" s="19"/>
      <c r="T1831" s="19"/>
      <c r="U1831" s="19"/>
      <c r="V1831" s="19"/>
    </row>
    <row r="1832">
      <c r="A1832" s="25"/>
      <c r="B1832" s="19"/>
      <c r="C1832" s="19"/>
      <c r="D1832" s="19"/>
      <c r="E1832" s="19"/>
      <c r="F1832" s="17" t="str">
        <f>IFERROR(__xludf.DUMMYFUNCTION("""COMPUTED_VALUE"""),"")</f>
        <v/>
      </c>
      <c r="G1832" s="20"/>
      <c r="H1832" s="19"/>
      <c r="I1832" s="19"/>
      <c r="J1832" s="19"/>
      <c r="K1832" s="19"/>
      <c r="L1832" s="19"/>
      <c r="M1832" s="19"/>
      <c r="N1832" s="20" t="s">
        <v>39</v>
      </c>
      <c r="O1832" s="19"/>
      <c r="P1832" s="19"/>
      <c r="Q1832" s="19"/>
      <c r="R1832" s="19"/>
      <c r="S1832" s="19"/>
      <c r="T1832" s="19"/>
      <c r="U1832" s="19"/>
      <c r="V1832" s="19"/>
    </row>
    <row r="1833">
      <c r="A1833" s="25"/>
      <c r="B1833" s="19"/>
      <c r="C1833" s="19"/>
      <c r="D1833" s="19"/>
      <c r="E1833" s="19"/>
      <c r="F1833" s="17" t="str">
        <f>IFERROR(__xludf.DUMMYFUNCTION("""COMPUTED_VALUE"""),"")</f>
        <v/>
      </c>
      <c r="G1833" s="20"/>
      <c r="H1833" s="19"/>
      <c r="I1833" s="19"/>
      <c r="J1833" s="19"/>
      <c r="K1833" s="19"/>
      <c r="L1833" s="19"/>
      <c r="M1833" s="19"/>
      <c r="N1833" s="20" t="s">
        <v>39</v>
      </c>
      <c r="O1833" s="19"/>
      <c r="P1833" s="19"/>
      <c r="Q1833" s="19"/>
      <c r="R1833" s="19"/>
      <c r="S1833" s="19"/>
      <c r="T1833" s="19"/>
      <c r="U1833" s="19"/>
      <c r="V1833" s="19"/>
    </row>
    <row r="1834">
      <c r="A1834" s="25"/>
      <c r="B1834" s="19"/>
      <c r="C1834" s="19"/>
      <c r="D1834" s="19"/>
      <c r="E1834" s="19"/>
      <c r="F1834" s="17" t="str">
        <f>IFERROR(__xludf.DUMMYFUNCTION("""COMPUTED_VALUE"""),"")</f>
        <v/>
      </c>
      <c r="G1834" s="20"/>
      <c r="H1834" s="19"/>
      <c r="I1834" s="19"/>
      <c r="J1834" s="19"/>
      <c r="K1834" s="19"/>
      <c r="L1834" s="19"/>
      <c r="M1834" s="19"/>
      <c r="N1834" s="20" t="s">
        <v>39</v>
      </c>
      <c r="O1834" s="19"/>
      <c r="P1834" s="19"/>
      <c r="Q1834" s="19"/>
      <c r="R1834" s="19"/>
      <c r="S1834" s="19"/>
      <c r="T1834" s="19"/>
      <c r="U1834" s="19"/>
      <c r="V1834" s="19"/>
    </row>
    <row r="1835">
      <c r="A1835" s="25"/>
      <c r="B1835" s="19"/>
      <c r="C1835" s="19"/>
      <c r="D1835" s="19"/>
      <c r="E1835" s="19"/>
      <c r="F1835" s="17" t="str">
        <f>IFERROR(__xludf.DUMMYFUNCTION("""COMPUTED_VALUE"""),"")</f>
        <v/>
      </c>
      <c r="G1835" s="20"/>
      <c r="H1835" s="19"/>
      <c r="I1835" s="19"/>
      <c r="J1835" s="19"/>
      <c r="K1835" s="19"/>
      <c r="L1835" s="19"/>
      <c r="M1835" s="19"/>
      <c r="N1835" s="20" t="s">
        <v>39</v>
      </c>
      <c r="O1835" s="19"/>
      <c r="P1835" s="19"/>
      <c r="Q1835" s="19"/>
      <c r="R1835" s="19"/>
      <c r="S1835" s="19"/>
      <c r="T1835" s="19"/>
      <c r="U1835" s="19"/>
      <c r="V1835" s="19"/>
    </row>
    <row r="1836">
      <c r="A1836" s="25"/>
      <c r="B1836" s="19"/>
      <c r="C1836" s="19"/>
      <c r="D1836" s="19"/>
      <c r="E1836" s="19"/>
      <c r="F1836" s="17" t="str">
        <f>IFERROR(__xludf.DUMMYFUNCTION("""COMPUTED_VALUE"""),"")</f>
        <v/>
      </c>
      <c r="G1836" s="20"/>
      <c r="H1836" s="19"/>
      <c r="I1836" s="19"/>
      <c r="J1836" s="19"/>
      <c r="K1836" s="19"/>
      <c r="L1836" s="19"/>
      <c r="M1836" s="19"/>
      <c r="N1836" s="20" t="s">
        <v>39</v>
      </c>
      <c r="O1836" s="19"/>
      <c r="P1836" s="19"/>
      <c r="Q1836" s="19"/>
      <c r="R1836" s="19"/>
      <c r="S1836" s="19"/>
      <c r="T1836" s="19"/>
      <c r="U1836" s="19"/>
      <c r="V1836" s="19"/>
    </row>
    <row r="1837">
      <c r="A1837" s="25"/>
      <c r="B1837" s="19"/>
      <c r="C1837" s="19"/>
      <c r="D1837" s="19"/>
      <c r="E1837" s="19"/>
      <c r="F1837" s="17" t="str">
        <f>IFERROR(__xludf.DUMMYFUNCTION("""COMPUTED_VALUE"""),"")</f>
        <v/>
      </c>
      <c r="G1837" s="20"/>
      <c r="H1837" s="19"/>
      <c r="I1837" s="19"/>
      <c r="J1837" s="19"/>
      <c r="K1837" s="19"/>
      <c r="L1837" s="19"/>
      <c r="M1837" s="19"/>
      <c r="N1837" s="20" t="s">
        <v>39</v>
      </c>
      <c r="O1837" s="19"/>
      <c r="P1837" s="19"/>
      <c r="Q1837" s="19"/>
      <c r="R1837" s="19"/>
      <c r="S1837" s="19"/>
      <c r="T1837" s="19"/>
      <c r="U1837" s="19"/>
      <c r="V1837" s="19"/>
    </row>
    <row r="1838">
      <c r="A1838" s="25"/>
      <c r="B1838" s="19"/>
      <c r="C1838" s="19"/>
      <c r="D1838" s="19"/>
      <c r="E1838" s="19"/>
      <c r="F1838" s="17" t="str">
        <f>IFERROR(__xludf.DUMMYFUNCTION("""COMPUTED_VALUE"""),"")</f>
        <v/>
      </c>
      <c r="G1838" s="20"/>
      <c r="H1838" s="19"/>
      <c r="I1838" s="19"/>
      <c r="J1838" s="19"/>
      <c r="K1838" s="19"/>
      <c r="L1838" s="19"/>
      <c r="M1838" s="19"/>
      <c r="N1838" s="20" t="s">
        <v>39</v>
      </c>
      <c r="O1838" s="19"/>
      <c r="P1838" s="19"/>
      <c r="Q1838" s="19"/>
      <c r="R1838" s="19"/>
      <c r="S1838" s="19"/>
      <c r="T1838" s="19"/>
      <c r="U1838" s="19"/>
      <c r="V1838" s="19"/>
    </row>
    <row r="1839">
      <c r="A1839" s="25"/>
      <c r="B1839" s="19"/>
      <c r="C1839" s="19"/>
      <c r="D1839" s="19"/>
      <c r="E1839" s="19"/>
      <c r="F1839" s="17" t="str">
        <f>IFERROR(__xludf.DUMMYFUNCTION("""COMPUTED_VALUE"""),"")</f>
        <v/>
      </c>
      <c r="G1839" s="20"/>
      <c r="H1839" s="19"/>
      <c r="I1839" s="19"/>
      <c r="J1839" s="19"/>
      <c r="K1839" s="19"/>
      <c r="L1839" s="19"/>
      <c r="M1839" s="19"/>
      <c r="N1839" s="20" t="s">
        <v>39</v>
      </c>
      <c r="O1839" s="19"/>
      <c r="P1839" s="19"/>
      <c r="Q1839" s="19"/>
      <c r="R1839" s="19"/>
      <c r="S1839" s="19"/>
      <c r="T1839" s="19"/>
      <c r="U1839" s="19"/>
      <c r="V1839" s="19"/>
    </row>
    <row r="1840">
      <c r="A1840" s="25"/>
      <c r="B1840" s="19"/>
      <c r="C1840" s="19"/>
      <c r="D1840" s="19"/>
      <c r="E1840" s="19"/>
      <c r="F1840" s="17" t="str">
        <f>IFERROR(__xludf.DUMMYFUNCTION("""COMPUTED_VALUE"""),"")</f>
        <v/>
      </c>
      <c r="G1840" s="20"/>
      <c r="H1840" s="19"/>
      <c r="I1840" s="19"/>
      <c r="J1840" s="19"/>
      <c r="K1840" s="19"/>
      <c r="L1840" s="19"/>
      <c r="M1840" s="19"/>
      <c r="N1840" s="20" t="s">
        <v>39</v>
      </c>
      <c r="O1840" s="19"/>
      <c r="P1840" s="19"/>
      <c r="Q1840" s="19"/>
      <c r="R1840" s="19"/>
      <c r="S1840" s="19"/>
      <c r="T1840" s="19"/>
      <c r="U1840" s="19"/>
      <c r="V1840" s="19"/>
    </row>
    <row r="1841">
      <c r="A1841" s="25"/>
      <c r="B1841" s="19"/>
      <c r="C1841" s="19"/>
      <c r="D1841" s="19"/>
      <c r="E1841" s="19"/>
      <c r="F1841" s="17" t="str">
        <f>IFERROR(__xludf.DUMMYFUNCTION("""COMPUTED_VALUE"""),"")</f>
        <v/>
      </c>
      <c r="G1841" s="20"/>
      <c r="H1841" s="19"/>
      <c r="I1841" s="19"/>
      <c r="J1841" s="19"/>
      <c r="K1841" s="19"/>
      <c r="L1841" s="19"/>
      <c r="M1841" s="19"/>
      <c r="N1841" s="20" t="s">
        <v>39</v>
      </c>
      <c r="O1841" s="19"/>
      <c r="P1841" s="19"/>
      <c r="Q1841" s="19"/>
      <c r="R1841" s="19"/>
      <c r="S1841" s="19"/>
      <c r="T1841" s="19"/>
      <c r="U1841" s="19"/>
      <c r="V1841" s="19"/>
    </row>
    <row r="1842">
      <c r="A1842" s="25"/>
      <c r="B1842" s="19"/>
      <c r="C1842" s="19"/>
      <c r="D1842" s="19"/>
      <c r="E1842" s="19"/>
      <c r="F1842" s="17" t="str">
        <f>IFERROR(__xludf.DUMMYFUNCTION("""COMPUTED_VALUE"""),"")</f>
        <v/>
      </c>
      <c r="G1842" s="20"/>
      <c r="H1842" s="19"/>
      <c r="I1842" s="19"/>
      <c r="J1842" s="19"/>
      <c r="K1842" s="19"/>
      <c r="L1842" s="19"/>
      <c r="M1842" s="19"/>
      <c r="N1842" s="20" t="s">
        <v>39</v>
      </c>
      <c r="O1842" s="19"/>
      <c r="P1842" s="19"/>
      <c r="Q1842" s="19"/>
      <c r="R1842" s="19"/>
      <c r="S1842" s="19"/>
      <c r="T1842" s="19"/>
      <c r="U1842" s="19"/>
      <c r="V1842" s="19"/>
    </row>
    <row r="1843">
      <c r="A1843" s="25"/>
      <c r="B1843" s="19"/>
      <c r="C1843" s="19"/>
      <c r="D1843" s="19"/>
      <c r="E1843" s="19"/>
      <c r="F1843" s="17" t="str">
        <f>IFERROR(__xludf.DUMMYFUNCTION("""COMPUTED_VALUE"""),"")</f>
        <v/>
      </c>
      <c r="G1843" s="20"/>
      <c r="H1843" s="19"/>
      <c r="I1843" s="19"/>
      <c r="J1843" s="19"/>
      <c r="K1843" s="19"/>
      <c r="L1843" s="19"/>
      <c r="M1843" s="19"/>
      <c r="N1843" s="20" t="s">
        <v>39</v>
      </c>
      <c r="O1843" s="19"/>
      <c r="P1843" s="19"/>
      <c r="Q1843" s="19"/>
      <c r="R1843" s="19"/>
      <c r="S1843" s="19"/>
      <c r="T1843" s="19"/>
      <c r="U1843" s="19"/>
      <c r="V1843" s="19"/>
    </row>
    <row r="1844">
      <c r="A1844" s="25"/>
      <c r="B1844" s="19"/>
      <c r="C1844" s="19"/>
      <c r="D1844" s="19"/>
      <c r="E1844" s="19"/>
      <c r="F1844" s="17" t="str">
        <f>IFERROR(__xludf.DUMMYFUNCTION("""COMPUTED_VALUE"""),"")</f>
        <v/>
      </c>
      <c r="G1844" s="20"/>
      <c r="H1844" s="19"/>
      <c r="I1844" s="19"/>
      <c r="J1844" s="19"/>
      <c r="K1844" s="19"/>
      <c r="L1844" s="19"/>
      <c r="M1844" s="19"/>
      <c r="N1844" s="20" t="s">
        <v>39</v>
      </c>
      <c r="O1844" s="19"/>
      <c r="P1844" s="19"/>
      <c r="Q1844" s="19"/>
      <c r="R1844" s="19"/>
      <c r="S1844" s="19"/>
      <c r="T1844" s="19"/>
      <c r="U1844" s="19"/>
      <c r="V1844" s="19"/>
    </row>
    <row r="1845">
      <c r="A1845" s="25"/>
      <c r="B1845" s="19"/>
      <c r="C1845" s="19"/>
      <c r="D1845" s="19"/>
      <c r="E1845" s="19"/>
      <c r="F1845" s="17" t="str">
        <f>IFERROR(__xludf.DUMMYFUNCTION("""COMPUTED_VALUE"""),"")</f>
        <v/>
      </c>
      <c r="G1845" s="20"/>
      <c r="H1845" s="19"/>
      <c r="I1845" s="19"/>
      <c r="J1845" s="19"/>
      <c r="K1845" s="19"/>
      <c r="L1845" s="19"/>
      <c r="M1845" s="19"/>
      <c r="N1845" s="20" t="s">
        <v>39</v>
      </c>
      <c r="O1845" s="19"/>
      <c r="P1845" s="19"/>
      <c r="Q1845" s="19"/>
      <c r="R1845" s="19"/>
      <c r="S1845" s="19"/>
      <c r="T1845" s="19"/>
      <c r="U1845" s="19"/>
      <c r="V1845" s="19"/>
    </row>
    <row r="1846">
      <c r="A1846" s="25"/>
      <c r="B1846" s="19"/>
      <c r="C1846" s="19"/>
      <c r="D1846" s="19"/>
      <c r="E1846" s="19"/>
      <c r="F1846" s="17" t="str">
        <f>IFERROR(__xludf.DUMMYFUNCTION("""COMPUTED_VALUE"""),"")</f>
        <v/>
      </c>
      <c r="G1846" s="20"/>
      <c r="H1846" s="19"/>
      <c r="I1846" s="19"/>
      <c r="J1846" s="19"/>
      <c r="K1846" s="19"/>
      <c r="L1846" s="19"/>
      <c r="M1846" s="19"/>
      <c r="N1846" s="20" t="s">
        <v>39</v>
      </c>
      <c r="O1846" s="19"/>
      <c r="P1846" s="19"/>
      <c r="Q1846" s="19"/>
      <c r="R1846" s="19"/>
      <c r="S1846" s="19"/>
      <c r="T1846" s="19"/>
      <c r="U1846" s="19"/>
      <c r="V1846" s="19"/>
    </row>
    <row r="1847">
      <c r="A1847" s="25"/>
      <c r="B1847" s="19"/>
      <c r="C1847" s="19"/>
      <c r="D1847" s="19"/>
      <c r="E1847" s="19"/>
      <c r="F1847" s="17" t="str">
        <f>IFERROR(__xludf.DUMMYFUNCTION("""COMPUTED_VALUE"""),"")</f>
        <v/>
      </c>
      <c r="G1847" s="20"/>
      <c r="H1847" s="19"/>
      <c r="I1847" s="19"/>
      <c r="J1847" s="19"/>
      <c r="K1847" s="19"/>
      <c r="L1847" s="19"/>
      <c r="M1847" s="19"/>
      <c r="N1847" s="20" t="s">
        <v>39</v>
      </c>
      <c r="O1847" s="19"/>
      <c r="P1847" s="19"/>
      <c r="Q1847" s="19"/>
      <c r="R1847" s="19"/>
      <c r="S1847" s="19"/>
      <c r="T1847" s="19"/>
      <c r="U1847" s="19"/>
      <c r="V1847" s="19"/>
    </row>
    <row r="1848">
      <c r="A1848" s="25"/>
      <c r="B1848" s="19"/>
      <c r="C1848" s="19"/>
      <c r="D1848" s="19"/>
      <c r="E1848" s="19"/>
      <c r="F1848" s="17" t="str">
        <f>IFERROR(__xludf.DUMMYFUNCTION("""COMPUTED_VALUE"""),"")</f>
        <v/>
      </c>
      <c r="G1848" s="20"/>
      <c r="H1848" s="19"/>
      <c r="I1848" s="19"/>
      <c r="J1848" s="19"/>
      <c r="K1848" s="19"/>
      <c r="L1848" s="19"/>
      <c r="M1848" s="19"/>
      <c r="N1848" s="20" t="s">
        <v>39</v>
      </c>
      <c r="O1848" s="19"/>
      <c r="P1848" s="19"/>
      <c r="Q1848" s="19"/>
      <c r="R1848" s="19"/>
      <c r="S1848" s="19"/>
      <c r="T1848" s="19"/>
      <c r="U1848" s="19"/>
      <c r="V1848" s="19"/>
    </row>
    <row r="1849">
      <c r="A1849" s="25"/>
      <c r="B1849" s="19"/>
      <c r="C1849" s="19"/>
      <c r="D1849" s="19"/>
      <c r="E1849" s="19"/>
      <c r="F1849" s="17" t="str">
        <f>IFERROR(__xludf.DUMMYFUNCTION("""COMPUTED_VALUE"""),"")</f>
        <v/>
      </c>
      <c r="G1849" s="20"/>
      <c r="H1849" s="19"/>
      <c r="I1849" s="19"/>
      <c r="J1849" s="19"/>
      <c r="K1849" s="19"/>
      <c r="L1849" s="19"/>
      <c r="M1849" s="19"/>
      <c r="N1849" s="20" t="s">
        <v>39</v>
      </c>
      <c r="O1849" s="19"/>
      <c r="P1849" s="19"/>
      <c r="Q1849" s="19"/>
      <c r="R1849" s="19"/>
      <c r="S1849" s="19"/>
      <c r="T1849" s="19"/>
      <c r="U1849" s="19"/>
      <c r="V1849" s="19"/>
    </row>
    <row r="1850">
      <c r="A1850" s="25"/>
      <c r="B1850" s="19"/>
      <c r="C1850" s="19"/>
      <c r="D1850" s="19"/>
      <c r="E1850" s="19"/>
      <c r="F1850" s="17" t="str">
        <f>IFERROR(__xludf.DUMMYFUNCTION("""COMPUTED_VALUE"""),"")</f>
        <v/>
      </c>
      <c r="G1850" s="20"/>
      <c r="H1850" s="19"/>
      <c r="I1850" s="19"/>
      <c r="J1850" s="19"/>
      <c r="K1850" s="19"/>
      <c r="L1850" s="19"/>
      <c r="M1850" s="19"/>
      <c r="N1850" s="20" t="s">
        <v>39</v>
      </c>
      <c r="O1850" s="19"/>
      <c r="P1850" s="19"/>
      <c r="Q1850" s="19"/>
      <c r="R1850" s="19"/>
      <c r="S1850" s="19"/>
      <c r="T1850" s="19"/>
      <c r="U1850" s="19"/>
      <c r="V1850" s="19"/>
    </row>
    <row r="1851">
      <c r="A1851" s="25"/>
      <c r="B1851" s="19"/>
      <c r="C1851" s="19"/>
      <c r="D1851" s="19"/>
      <c r="E1851" s="19"/>
      <c r="F1851" s="17" t="str">
        <f>IFERROR(__xludf.DUMMYFUNCTION("""COMPUTED_VALUE"""),"")</f>
        <v/>
      </c>
      <c r="G1851" s="20"/>
      <c r="H1851" s="19"/>
      <c r="I1851" s="19"/>
      <c r="J1851" s="19"/>
      <c r="K1851" s="19"/>
      <c r="L1851" s="19"/>
      <c r="M1851" s="19"/>
      <c r="N1851" s="20" t="s">
        <v>39</v>
      </c>
      <c r="O1851" s="19"/>
      <c r="P1851" s="19"/>
      <c r="Q1851" s="19"/>
      <c r="R1851" s="19"/>
      <c r="S1851" s="19"/>
      <c r="T1851" s="19"/>
      <c r="U1851" s="19"/>
      <c r="V1851" s="19"/>
    </row>
    <row r="1852">
      <c r="A1852" s="25"/>
      <c r="B1852" s="19"/>
      <c r="C1852" s="19"/>
      <c r="D1852" s="19"/>
      <c r="E1852" s="19"/>
      <c r="F1852" s="17" t="str">
        <f>IFERROR(__xludf.DUMMYFUNCTION("""COMPUTED_VALUE"""),"")</f>
        <v/>
      </c>
      <c r="G1852" s="20"/>
      <c r="H1852" s="19"/>
      <c r="I1852" s="19"/>
      <c r="J1852" s="19"/>
      <c r="K1852" s="19"/>
      <c r="L1852" s="19"/>
      <c r="M1852" s="19"/>
      <c r="N1852" s="20" t="s">
        <v>39</v>
      </c>
      <c r="O1852" s="19"/>
      <c r="P1852" s="19"/>
      <c r="Q1852" s="19"/>
      <c r="R1852" s="19"/>
      <c r="S1852" s="19"/>
      <c r="T1852" s="19"/>
      <c r="U1852" s="19"/>
      <c r="V1852" s="19"/>
    </row>
    <row r="1853">
      <c r="A1853" s="25"/>
      <c r="B1853" s="19"/>
      <c r="C1853" s="19"/>
      <c r="D1853" s="19"/>
      <c r="E1853" s="19"/>
      <c r="F1853" s="17" t="str">
        <f>IFERROR(__xludf.DUMMYFUNCTION("""COMPUTED_VALUE"""),"")</f>
        <v/>
      </c>
      <c r="G1853" s="20"/>
      <c r="H1853" s="19"/>
      <c r="I1853" s="19"/>
      <c r="J1853" s="19"/>
      <c r="K1853" s="19"/>
      <c r="L1853" s="19"/>
      <c r="M1853" s="19"/>
      <c r="N1853" s="20" t="s">
        <v>39</v>
      </c>
      <c r="O1853" s="19"/>
      <c r="P1853" s="19"/>
      <c r="Q1853" s="19"/>
      <c r="R1853" s="19"/>
      <c r="S1853" s="19"/>
      <c r="T1853" s="19"/>
      <c r="U1853" s="19"/>
      <c r="V1853" s="19"/>
    </row>
    <row r="1854">
      <c r="A1854" s="25"/>
      <c r="B1854" s="19"/>
      <c r="C1854" s="19"/>
      <c r="D1854" s="19"/>
      <c r="E1854" s="19"/>
      <c r="F1854" s="17" t="str">
        <f>IFERROR(__xludf.DUMMYFUNCTION("""COMPUTED_VALUE"""),"")</f>
        <v/>
      </c>
      <c r="G1854" s="20"/>
      <c r="H1854" s="19"/>
      <c r="I1854" s="19"/>
      <c r="J1854" s="19"/>
      <c r="K1854" s="19"/>
      <c r="L1854" s="19"/>
      <c r="M1854" s="19"/>
      <c r="N1854" s="20" t="s">
        <v>39</v>
      </c>
      <c r="O1854" s="19"/>
      <c r="P1854" s="19"/>
      <c r="Q1854" s="19"/>
      <c r="R1854" s="19"/>
      <c r="S1854" s="19"/>
      <c r="T1854" s="19"/>
      <c r="U1854" s="19"/>
      <c r="V1854" s="19"/>
    </row>
    <row r="1855">
      <c r="A1855" s="25"/>
      <c r="B1855" s="19"/>
      <c r="C1855" s="19"/>
      <c r="D1855" s="19"/>
      <c r="E1855" s="19"/>
      <c r="F1855" s="17" t="str">
        <f>IFERROR(__xludf.DUMMYFUNCTION("""COMPUTED_VALUE"""),"")</f>
        <v/>
      </c>
      <c r="G1855" s="20"/>
      <c r="H1855" s="19"/>
      <c r="I1855" s="19"/>
      <c r="J1855" s="19"/>
      <c r="K1855" s="19"/>
      <c r="L1855" s="19"/>
      <c r="M1855" s="19"/>
      <c r="N1855" s="20" t="s">
        <v>39</v>
      </c>
      <c r="O1855" s="19"/>
      <c r="P1855" s="19"/>
      <c r="Q1855" s="19"/>
      <c r="R1855" s="19"/>
      <c r="S1855" s="19"/>
      <c r="T1855" s="19"/>
      <c r="U1855" s="19"/>
      <c r="V1855" s="19"/>
    </row>
    <row r="1856">
      <c r="A1856" s="25"/>
      <c r="B1856" s="19"/>
      <c r="C1856" s="19"/>
      <c r="D1856" s="19"/>
      <c r="E1856" s="19"/>
      <c r="F1856" s="17" t="str">
        <f>IFERROR(__xludf.DUMMYFUNCTION("""COMPUTED_VALUE"""),"")</f>
        <v/>
      </c>
      <c r="G1856" s="20"/>
      <c r="H1856" s="19"/>
      <c r="I1856" s="19"/>
      <c r="J1856" s="19"/>
      <c r="K1856" s="19"/>
      <c r="L1856" s="19"/>
      <c r="M1856" s="19"/>
      <c r="N1856" s="20" t="s">
        <v>39</v>
      </c>
      <c r="O1856" s="19"/>
      <c r="P1856" s="19"/>
      <c r="Q1856" s="19"/>
      <c r="R1856" s="19"/>
      <c r="S1856" s="19"/>
      <c r="T1856" s="19"/>
      <c r="U1856" s="19"/>
      <c r="V1856" s="19"/>
    </row>
    <row r="1857">
      <c r="A1857" s="25"/>
      <c r="B1857" s="19"/>
      <c r="C1857" s="19"/>
      <c r="D1857" s="19"/>
      <c r="E1857" s="19"/>
      <c r="F1857" s="17" t="str">
        <f>IFERROR(__xludf.DUMMYFUNCTION("""COMPUTED_VALUE"""),"")</f>
        <v/>
      </c>
      <c r="G1857" s="20"/>
      <c r="H1857" s="19"/>
      <c r="I1857" s="19"/>
      <c r="J1857" s="19"/>
      <c r="K1857" s="19"/>
      <c r="L1857" s="19"/>
      <c r="M1857" s="19"/>
      <c r="N1857" s="20" t="s">
        <v>39</v>
      </c>
      <c r="O1857" s="19"/>
      <c r="P1857" s="19"/>
      <c r="Q1857" s="19"/>
      <c r="R1857" s="19"/>
      <c r="S1857" s="19"/>
      <c r="T1857" s="19"/>
      <c r="U1857" s="19"/>
      <c r="V1857" s="19"/>
    </row>
    <row r="1858">
      <c r="A1858" s="25"/>
      <c r="B1858" s="19"/>
      <c r="C1858" s="19"/>
      <c r="D1858" s="19"/>
      <c r="E1858" s="19"/>
      <c r="F1858" s="17" t="str">
        <f>IFERROR(__xludf.DUMMYFUNCTION("""COMPUTED_VALUE"""),"")</f>
        <v/>
      </c>
      <c r="G1858" s="20"/>
      <c r="H1858" s="19"/>
      <c r="I1858" s="19"/>
      <c r="J1858" s="19"/>
      <c r="K1858" s="19"/>
      <c r="L1858" s="19"/>
      <c r="M1858" s="19"/>
      <c r="N1858" s="20" t="s">
        <v>39</v>
      </c>
      <c r="O1858" s="19"/>
      <c r="P1858" s="19"/>
      <c r="Q1858" s="19"/>
      <c r="R1858" s="19"/>
      <c r="S1858" s="19"/>
      <c r="T1858" s="19"/>
      <c r="U1858" s="19"/>
      <c r="V1858" s="19"/>
    </row>
    <row r="1859">
      <c r="A1859" s="25"/>
      <c r="B1859" s="19"/>
      <c r="C1859" s="19"/>
      <c r="D1859" s="19"/>
      <c r="E1859" s="19"/>
      <c r="F1859" s="17" t="str">
        <f>IFERROR(__xludf.DUMMYFUNCTION("""COMPUTED_VALUE"""),"")</f>
        <v/>
      </c>
      <c r="G1859" s="20"/>
      <c r="H1859" s="19"/>
      <c r="I1859" s="19"/>
      <c r="J1859" s="19"/>
      <c r="K1859" s="19"/>
      <c r="L1859" s="19"/>
      <c r="M1859" s="19"/>
      <c r="N1859" s="20" t="s">
        <v>39</v>
      </c>
      <c r="O1859" s="19"/>
      <c r="P1859" s="19"/>
      <c r="Q1859" s="19"/>
      <c r="R1859" s="19"/>
      <c r="S1859" s="19"/>
      <c r="T1859" s="19"/>
      <c r="U1859" s="19"/>
      <c r="V1859" s="19"/>
    </row>
    <row r="1860">
      <c r="A1860" s="25"/>
      <c r="B1860" s="19"/>
      <c r="C1860" s="19"/>
      <c r="D1860" s="19"/>
      <c r="E1860" s="19"/>
      <c r="F1860" s="17" t="str">
        <f>IFERROR(__xludf.DUMMYFUNCTION("""COMPUTED_VALUE"""),"")</f>
        <v/>
      </c>
      <c r="G1860" s="20"/>
      <c r="H1860" s="19"/>
      <c r="I1860" s="19"/>
      <c r="J1860" s="19"/>
      <c r="K1860" s="19"/>
      <c r="L1860" s="19"/>
      <c r="M1860" s="19"/>
      <c r="N1860" s="20" t="s">
        <v>39</v>
      </c>
      <c r="O1860" s="19"/>
      <c r="P1860" s="19"/>
      <c r="Q1860" s="19"/>
      <c r="R1860" s="19"/>
      <c r="S1860" s="19"/>
      <c r="T1860" s="19"/>
      <c r="U1860" s="19"/>
      <c r="V1860" s="19"/>
    </row>
    <row r="1861">
      <c r="A1861" s="25"/>
      <c r="B1861" s="19"/>
      <c r="C1861" s="19"/>
      <c r="D1861" s="19"/>
      <c r="E1861" s="19"/>
      <c r="F1861" s="17" t="str">
        <f>IFERROR(__xludf.DUMMYFUNCTION("""COMPUTED_VALUE"""),"")</f>
        <v/>
      </c>
      <c r="G1861" s="20"/>
      <c r="H1861" s="19"/>
      <c r="I1861" s="19"/>
      <c r="J1861" s="19"/>
      <c r="K1861" s="19"/>
      <c r="L1861" s="19"/>
      <c r="M1861" s="19"/>
      <c r="N1861" s="20" t="s">
        <v>39</v>
      </c>
      <c r="O1861" s="19"/>
      <c r="P1861" s="19"/>
      <c r="Q1861" s="19"/>
      <c r="R1861" s="19"/>
      <c r="S1861" s="19"/>
      <c r="T1861" s="19"/>
      <c r="U1861" s="19"/>
      <c r="V1861" s="19"/>
    </row>
    <row r="1862">
      <c r="A1862" s="25"/>
      <c r="B1862" s="19"/>
      <c r="C1862" s="19"/>
      <c r="D1862" s="19"/>
      <c r="E1862" s="19"/>
      <c r="F1862" s="17" t="str">
        <f>IFERROR(__xludf.DUMMYFUNCTION("""COMPUTED_VALUE"""),"")</f>
        <v/>
      </c>
      <c r="G1862" s="20"/>
      <c r="H1862" s="19"/>
      <c r="I1862" s="19"/>
      <c r="J1862" s="19"/>
      <c r="K1862" s="19"/>
      <c r="L1862" s="19"/>
      <c r="M1862" s="19"/>
      <c r="N1862" s="20" t="s">
        <v>39</v>
      </c>
      <c r="O1862" s="19"/>
      <c r="P1862" s="19"/>
      <c r="Q1862" s="19"/>
      <c r="R1862" s="19"/>
      <c r="S1862" s="19"/>
      <c r="T1862" s="19"/>
      <c r="U1862" s="19"/>
      <c r="V1862" s="19"/>
    </row>
    <row r="1863">
      <c r="A1863" s="25"/>
      <c r="B1863" s="19"/>
      <c r="C1863" s="19"/>
      <c r="D1863" s="19"/>
      <c r="E1863" s="19"/>
      <c r="F1863" s="17" t="str">
        <f>IFERROR(__xludf.DUMMYFUNCTION("""COMPUTED_VALUE"""),"")</f>
        <v/>
      </c>
      <c r="G1863" s="20"/>
      <c r="H1863" s="19"/>
      <c r="I1863" s="19"/>
      <c r="J1863" s="19"/>
      <c r="K1863" s="19"/>
      <c r="L1863" s="19"/>
      <c r="M1863" s="19"/>
      <c r="N1863" s="20" t="s">
        <v>39</v>
      </c>
      <c r="O1863" s="19"/>
      <c r="P1863" s="19"/>
      <c r="Q1863" s="19"/>
      <c r="R1863" s="19"/>
      <c r="S1863" s="19"/>
      <c r="T1863" s="19"/>
      <c r="U1863" s="19"/>
      <c r="V1863" s="19"/>
    </row>
    <row r="1864">
      <c r="A1864" s="25"/>
      <c r="B1864" s="19"/>
      <c r="C1864" s="19"/>
      <c r="D1864" s="19"/>
      <c r="E1864" s="19"/>
      <c r="F1864" s="17" t="str">
        <f>IFERROR(__xludf.DUMMYFUNCTION("""COMPUTED_VALUE"""),"")</f>
        <v/>
      </c>
      <c r="G1864" s="20"/>
      <c r="H1864" s="19"/>
      <c r="I1864" s="19"/>
      <c r="J1864" s="19"/>
      <c r="K1864" s="19"/>
      <c r="L1864" s="19"/>
      <c r="M1864" s="19"/>
      <c r="N1864" s="20" t="s">
        <v>39</v>
      </c>
      <c r="O1864" s="19"/>
      <c r="P1864" s="19"/>
      <c r="Q1864" s="19"/>
      <c r="R1864" s="19"/>
      <c r="S1864" s="19"/>
      <c r="T1864" s="19"/>
      <c r="U1864" s="19"/>
      <c r="V1864" s="19"/>
    </row>
    <row r="1865">
      <c r="A1865" s="25"/>
      <c r="B1865" s="19"/>
      <c r="C1865" s="19"/>
      <c r="D1865" s="19"/>
      <c r="E1865" s="19"/>
      <c r="F1865" s="17" t="str">
        <f>IFERROR(__xludf.DUMMYFUNCTION("""COMPUTED_VALUE"""),"")</f>
        <v/>
      </c>
      <c r="G1865" s="20"/>
      <c r="H1865" s="19"/>
      <c r="I1865" s="19"/>
      <c r="J1865" s="19"/>
      <c r="K1865" s="19"/>
      <c r="L1865" s="19"/>
      <c r="M1865" s="19"/>
      <c r="N1865" s="20" t="s">
        <v>39</v>
      </c>
      <c r="O1865" s="19"/>
      <c r="P1865" s="19"/>
      <c r="Q1865" s="19"/>
      <c r="R1865" s="19"/>
      <c r="S1865" s="19"/>
      <c r="T1865" s="19"/>
      <c r="U1865" s="19"/>
      <c r="V1865" s="19"/>
    </row>
    <row r="1866">
      <c r="A1866" s="25"/>
      <c r="B1866" s="19"/>
      <c r="C1866" s="19"/>
      <c r="D1866" s="19"/>
      <c r="E1866" s="19"/>
      <c r="F1866" s="17" t="str">
        <f>IFERROR(__xludf.DUMMYFUNCTION("""COMPUTED_VALUE"""),"")</f>
        <v/>
      </c>
      <c r="G1866" s="20"/>
      <c r="H1866" s="19"/>
      <c r="I1866" s="19"/>
      <c r="J1866" s="19"/>
      <c r="K1866" s="19"/>
      <c r="L1866" s="19"/>
      <c r="M1866" s="19"/>
      <c r="N1866" s="20" t="s">
        <v>39</v>
      </c>
      <c r="O1866" s="19"/>
      <c r="P1866" s="19"/>
      <c r="Q1866" s="19"/>
      <c r="R1866" s="19"/>
      <c r="S1866" s="19"/>
      <c r="T1866" s="19"/>
      <c r="U1866" s="19"/>
      <c r="V1866" s="19"/>
    </row>
    <row r="1867">
      <c r="A1867" s="25"/>
      <c r="B1867" s="19"/>
      <c r="C1867" s="19"/>
      <c r="D1867" s="19"/>
      <c r="E1867" s="19"/>
      <c r="F1867" s="17" t="str">
        <f>IFERROR(__xludf.DUMMYFUNCTION("""COMPUTED_VALUE"""),"")</f>
        <v/>
      </c>
      <c r="G1867" s="20"/>
      <c r="H1867" s="19"/>
      <c r="I1867" s="19"/>
      <c r="J1867" s="19"/>
      <c r="K1867" s="19"/>
      <c r="L1867" s="19"/>
      <c r="M1867" s="19"/>
      <c r="N1867" s="20" t="s">
        <v>39</v>
      </c>
      <c r="O1867" s="19"/>
      <c r="P1867" s="19"/>
      <c r="Q1867" s="19"/>
      <c r="R1867" s="19"/>
      <c r="S1867" s="19"/>
      <c r="T1867" s="19"/>
      <c r="U1867" s="19"/>
      <c r="V1867" s="19"/>
    </row>
    <row r="1868">
      <c r="A1868" s="25"/>
      <c r="B1868" s="19"/>
      <c r="C1868" s="19"/>
      <c r="D1868" s="19"/>
      <c r="E1868" s="19"/>
      <c r="F1868" s="17" t="str">
        <f>IFERROR(__xludf.DUMMYFUNCTION("""COMPUTED_VALUE"""),"")</f>
        <v/>
      </c>
      <c r="G1868" s="20"/>
      <c r="H1868" s="19"/>
      <c r="I1868" s="19"/>
      <c r="J1868" s="19"/>
      <c r="K1868" s="19"/>
      <c r="L1868" s="19"/>
      <c r="M1868" s="19"/>
      <c r="N1868" s="20" t="s">
        <v>39</v>
      </c>
      <c r="O1868" s="19"/>
      <c r="P1868" s="19"/>
      <c r="Q1868" s="19"/>
      <c r="R1868" s="19"/>
      <c r="S1868" s="19"/>
      <c r="T1868" s="19"/>
      <c r="U1868" s="19"/>
      <c r="V1868" s="19"/>
    </row>
    <row r="1869">
      <c r="A1869" s="25"/>
      <c r="B1869" s="19"/>
      <c r="C1869" s="19"/>
      <c r="D1869" s="19"/>
      <c r="E1869" s="19"/>
      <c r="F1869" s="17" t="str">
        <f>IFERROR(__xludf.DUMMYFUNCTION("""COMPUTED_VALUE"""),"")</f>
        <v/>
      </c>
      <c r="G1869" s="20"/>
      <c r="H1869" s="19"/>
      <c r="I1869" s="19"/>
      <c r="J1869" s="19"/>
      <c r="K1869" s="19"/>
      <c r="L1869" s="19"/>
      <c r="M1869" s="19"/>
      <c r="N1869" s="20" t="s">
        <v>39</v>
      </c>
      <c r="O1869" s="19"/>
      <c r="P1869" s="19"/>
      <c r="Q1869" s="19"/>
      <c r="R1869" s="19"/>
      <c r="S1869" s="19"/>
      <c r="T1869" s="19"/>
      <c r="U1869" s="19"/>
      <c r="V1869" s="19"/>
    </row>
    <row r="1870">
      <c r="A1870" s="25"/>
      <c r="B1870" s="19"/>
      <c r="C1870" s="19"/>
      <c r="D1870" s="19"/>
      <c r="E1870" s="19"/>
      <c r="F1870" s="17" t="str">
        <f>IFERROR(__xludf.DUMMYFUNCTION("""COMPUTED_VALUE"""),"")</f>
        <v/>
      </c>
      <c r="G1870" s="20"/>
      <c r="H1870" s="19"/>
      <c r="I1870" s="19"/>
      <c r="J1870" s="19"/>
      <c r="K1870" s="19"/>
      <c r="L1870" s="19"/>
      <c r="M1870" s="19"/>
      <c r="N1870" s="20" t="s">
        <v>39</v>
      </c>
      <c r="O1870" s="19"/>
      <c r="P1870" s="19"/>
      <c r="Q1870" s="19"/>
      <c r="R1870" s="19"/>
      <c r="S1870" s="19"/>
      <c r="T1870" s="19"/>
      <c r="U1870" s="19"/>
      <c r="V1870" s="19"/>
    </row>
    <row r="1871">
      <c r="A1871" s="25"/>
      <c r="B1871" s="19"/>
      <c r="C1871" s="19"/>
      <c r="D1871" s="19"/>
      <c r="E1871" s="19"/>
      <c r="F1871" s="17" t="str">
        <f>IFERROR(__xludf.DUMMYFUNCTION("""COMPUTED_VALUE"""),"")</f>
        <v/>
      </c>
      <c r="G1871" s="20"/>
      <c r="H1871" s="19"/>
      <c r="I1871" s="19"/>
      <c r="J1871" s="19"/>
      <c r="K1871" s="19"/>
      <c r="L1871" s="19"/>
      <c r="M1871" s="19"/>
      <c r="N1871" s="20" t="s">
        <v>39</v>
      </c>
      <c r="O1871" s="19"/>
      <c r="P1871" s="19"/>
      <c r="Q1871" s="19"/>
      <c r="R1871" s="19"/>
      <c r="S1871" s="19"/>
      <c r="T1871" s="19"/>
      <c r="U1871" s="19"/>
      <c r="V1871" s="19"/>
    </row>
    <row r="1872">
      <c r="A1872" s="25"/>
      <c r="B1872" s="19"/>
      <c r="C1872" s="19"/>
      <c r="D1872" s="19"/>
      <c r="E1872" s="19"/>
      <c r="F1872" s="17" t="str">
        <f>IFERROR(__xludf.DUMMYFUNCTION("""COMPUTED_VALUE"""),"")</f>
        <v/>
      </c>
      <c r="G1872" s="20"/>
      <c r="H1872" s="19"/>
      <c r="I1872" s="19"/>
      <c r="J1872" s="19"/>
      <c r="K1872" s="19"/>
      <c r="L1872" s="19"/>
      <c r="M1872" s="19"/>
      <c r="N1872" s="20" t="s">
        <v>39</v>
      </c>
      <c r="O1872" s="19"/>
      <c r="P1872" s="19"/>
      <c r="Q1872" s="19"/>
      <c r="R1872" s="19"/>
      <c r="S1872" s="19"/>
      <c r="T1872" s="19"/>
      <c r="U1872" s="19"/>
      <c r="V1872" s="19"/>
    </row>
    <row r="1873">
      <c r="A1873" s="25"/>
      <c r="B1873" s="19"/>
      <c r="C1873" s="19"/>
      <c r="D1873" s="19"/>
      <c r="E1873" s="19"/>
      <c r="F1873" s="17" t="str">
        <f>IFERROR(__xludf.DUMMYFUNCTION("""COMPUTED_VALUE"""),"")</f>
        <v/>
      </c>
      <c r="G1873" s="20"/>
      <c r="H1873" s="19"/>
      <c r="I1873" s="19"/>
      <c r="J1873" s="19"/>
      <c r="K1873" s="19"/>
      <c r="L1873" s="19"/>
      <c r="M1873" s="19"/>
      <c r="N1873" s="20" t="s">
        <v>39</v>
      </c>
      <c r="O1873" s="19"/>
      <c r="P1873" s="19"/>
      <c r="Q1873" s="19"/>
      <c r="R1873" s="19"/>
      <c r="S1873" s="19"/>
      <c r="T1873" s="19"/>
      <c r="U1873" s="19"/>
      <c r="V1873" s="19"/>
    </row>
    <row r="1874">
      <c r="A1874" s="25"/>
      <c r="B1874" s="19"/>
      <c r="C1874" s="19"/>
      <c r="D1874" s="19"/>
      <c r="E1874" s="19"/>
      <c r="F1874" s="17" t="str">
        <f>IFERROR(__xludf.DUMMYFUNCTION("""COMPUTED_VALUE"""),"")</f>
        <v/>
      </c>
      <c r="G1874" s="20"/>
      <c r="H1874" s="19"/>
      <c r="I1874" s="19"/>
      <c r="J1874" s="19"/>
      <c r="K1874" s="19"/>
      <c r="L1874" s="19"/>
      <c r="M1874" s="19"/>
      <c r="N1874" s="20" t="s">
        <v>39</v>
      </c>
      <c r="O1874" s="19"/>
      <c r="P1874" s="19"/>
      <c r="Q1874" s="19"/>
      <c r="R1874" s="19"/>
      <c r="S1874" s="19"/>
      <c r="T1874" s="19"/>
      <c r="U1874" s="19"/>
      <c r="V1874" s="19"/>
    </row>
    <row r="1875">
      <c r="A1875" s="25"/>
      <c r="B1875" s="19"/>
      <c r="C1875" s="19"/>
      <c r="D1875" s="19"/>
      <c r="E1875" s="19"/>
      <c r="F1875" s="17" t="str">
        <f>IFERROR(__xludf.DUMMYFUNCTION("""COMPUTED_VALUE"""),"")</f>
        <v/>
      </c>
      <c r="G1875" s="20"/>
      <c r="H1875" s="19"/>
      <c r="I1875" s="19"/>
      <c r="J1875" s="19"/>
      <c r="K1875" s="19"/>
      <c r="L1875" s="19"/>
      <c r="M1875" s="19"/>
      <c r="N1875" s="20" t="s">
        <v>39</v>
      </c>
      <c r="O1875" s="19"/>
      <c r="P1875" s="19"/>
      <c r="Q1875" s="19"/>
      <c r="R1875" s="19"/>
      <c r="S1875" s="19"/>
      <c r="T1875" s="19"/>
      <c r="U1875" s="19"/>
      <c r="V1875" s="19"/>
    </row>
    <row r="1876">
      <c r="A1876" s="25"/>
      <c r="B1876" s="19"/>
      <c r="C1876" s="19"/>
      <c r="D1876" s="19"/>
      <c r="E1876" s="19"/>
      <c r="F1876" s="17" t="str">
        <f>IFERROR(__xludf.DUMMYFUNCTION("""COMPUTED_VALUE"""),"")</f>
        <v/>
      </c>
      <c r="G1876" s="20"/>
      <c r="H1876" s="19"/>
      <c r="I1876" s="19"/>
      <c r="J1876" s="19"/>
      <c r="K1876" s="19"/>
      <c r="L1876" s="19"/>
      <c r="M1876" s="19"/>
      <c r="N1876" s="20" t="s">
        <v>39</v>
      </c>
      <c r="O1876" s="19"/>
      <c r="P1876" s="19"/>
      <c r="Q1876" s="19"/>
      <c r="R1876" s="19"/>
      <c r="S1876" s="19"/>
      <c r="T1876" s="19"/>
      <c r="U1876" s="19"/>
      <c r="V1876" s="19"/>
    </row>
    <row r="1877">
      <c r="A1877" s="25"/>
      <c r="B1877" s="19"/>
      <c r="C1877" s="19"/>
      <c r="D1877" s="19"/>
      <c r="E1877" s="19"/>
      <c r="F1877" s="17" t="str">
        <f>IFERROR(__xludf.DUMMYFUNCTION("""COMPUTED_VALUE"""),"")</f>
        <v/>
      </c>
      <c r="G1877" s="20"/>
      <c r="H1877" s="19"/>
      <c r="I1877" s="19"/>
      <c r="J1877" s="19"/>
      <c r="K1877" s="19"/>
      <c r="L1877" s="19"/>
      <c r="M1877" s="19"/>
      <c r="N1877" s="20" t="s">
        <v>39</v>
      </c>
      <c r="O1877" s="19"/>
      <c r="P1877" s="19"/>
      <c r="Q1877" s="19"/>
      <c r="R1877" s="19"/>
      <c r="S1877" s="19"/>
      <c r="T1877" s="19"/>
      <c r="U1877" s="19"/>
      <c r="V1877" s="19"/>
    </row>
    <row r="1878">
      <c r="A1878" s="25"/>
      <c r="B1878" s="19"/>
      <c r="C1878" s="19"/>
      <c r="D1878" s="19"/>
      <c r="E1878" s="19"/>
      <c r="F1878" s="17" t="str">
        <f>IFERROR(__xludf.DUMMYFUNCTION("""COMPUTED_VALUE"""),"")</f>
        <v/>
      </c>
      <c r="G1878" s="20"/>
      <c r="H1878" s="19"/>
      <c r="I1878" s="19"/>
      <c r="J1878" s="19"/>
      <c r="K1878" s="19"/>
      <c r="L1878" s="19"/>
      <c r="M1878" s="19"/>
      <c r="N1878" s="20" t="s">
        <v>39</v>
      </c>
      <c r="O1878" s="19"/>
      <c r="P1878" s="19"/>
      <c r="Q1878" s="19"/>
      <c r="R1878" s="19"/>
      <c r="S1878" s="19"/>
      <c r="T1878" s="19"/>
      <c r="U1878" s="19"/>
      <c r="V1878" s="19"/>
    </row>
    <row r="1879">
      <c r="A1879" s="25"/>
      <c r="B1879" s="19"/>
      <c r="C1879" s="19"/>
      <c r="D1879" s="19"/>
      <c r="E1879" s="19"/>
      <c r="F1879" s="17" t="str">
        <f>IFERROR(__xludf.DUMMYFUNCTION("""COMPUTED_VALUE"""),"")</f>
        <v/>
      </c>
      <c r="G1879" s="20"/>
      <c r="H1879" s="19"/>
      <c r="I1879" s="19"/>
      <c r="J1879" s="19"/>
      <c r="K1879" s="19"/>
      <c r="L1879" s="19"/>
      <c r="M1879" s="19"/>
      <c r="N1879" s="20" t="s">
        <v>39</v>
      </c>
      <c r="O1879" s="19"/>
      <c r="P1879" s="19"/>
      <c r="Q1879" s="19"/>
      <c r="R1879" s="19"/>
      <c r="S1879" s="19"/>
      <c r="T1879" s="19"/>
      <c r="U1879" s="19"/>
      <c r="V1879" s="19"/>
    </row>
    <row r="1880">
      <c r="A1880" s="25"/>
      <c r="B1880" s="19"/>
      <c r="C1880" s="19"/>
      <c r="D1880" s="19"/>
      <c r="E1880" s="19"/>
      <c r="F1880" s="17" t="str">
        <f>IFERROR(__xludf.DUMMYFUNCTION("""COMPUTED_VALUE"""),"")</f>
        <v/>
      </c>
      <c r="G1880" s="20"/>
      <c r="H1880" s="19"/>
      <c r="I1880" s="19"/>
      <c r="J1880" s="19"/>
      <c r="K1880" s="19"/>
      <c r="L1880" s="19"/>
      <c r="M1880" s="19"/>
      <c r="N1880" s="20" t="s">
        <v>39</v>
      </c>
      <c r="O1880" s="19"/>
      <c r="P1880" s="19"/>
      <c r="Q1880" s="19"/>
      <c r="R1880" s="19"/>
      <c r="S1880" s="19"/>
      <c r="T1880" s="19"/>
      <c r="U1880" s="19"/>
      <c r="V1880" s="19"/>
    </row>
    <row r="1881">
      <c r="A1881" s="25"/>
      <c r="B1881" s="19"/>
      <c r="C1881" s="19"/>
      <c r="D1881" s="19"/>
      <c r="E1881" s="19"/>
      <c r="F1881" s="17" t="str">
        <f>IFERROR(__xludf.DUMMYFUNCTION("""COMPUTED_VALUE"""),"")</f>
        <v/>
      </c>
      <c r="G1881" s="20"/>
      <c r="H1881" s="19"/>
      <c r="I1881" s="19"/>
      <c r="J1881" s="19"/>
      <c r="K1881" s="19"/>
      <c r="L1881" s="19"/>
      <c r="M1881" s="19"/>
      <c r="N1881" s="20" t="s">
        <v>39</v>
      </c>
      <c r="O1881" s="19"/>
      <c r="P1881" s="19"/>
      <c r="Q1881" s="19"/>
      <c r="R1881" s="19"/>
      <c r="S1881" s="19"/>
      <c r="T1881" s="19"/>
      <c r="U1881" s="19"/>
      <c r="V1881" s="19"/>
    </row>
    <row r="1882">
      <c r="A1882" s="25"/>
      <c r="B1882" s="19"/>
      <c r="C1882" s="19"/>
      <c r="D1882" s="19"/>
      <c r="E1882" s="19"/>
      <c r="F1882" s="17" t="str">
        <f>IFERROR(__xludf.DUMMYFUNCTION("""COMPUTED_VALUE"""),"")</f>
        <v/>
      </c>
      <c r="G1882" s="20"/>
      <c r="H1882" s="19"/>
      <c r="I1882" s="19"/>
      <c r="J1882" s="19"/>
      <c r="K1882" s="19"/>
      <c r="L1882" s="19"/>
      <c r="M1882" s="19"/>
      <c r="N1882" s="20" t="s">
        <v>39</v>
      </c>
      <c r="O1882" s="19"/>
      <c r="P1882" s="19"/>
      <c r="Q1882" s="19"/>
      <c r="R1882" s="19"/>
      <c r="S1882" s="19"/>
      <c r="T1882" s="19"/>
      <c r="U1882" s="19"/>
      <c r="V1882" s="19"/>
    </row>
    <row r="1883">
      <c r="A1883" s="25"/>
      <c r="B1883" s="19"/>
      <c r="C1883" s="19"/>
      <c r="D1883" s="19"/>
      <c r="E1883" s="19"/>
      <c r="F1883" s="17" t="str">
        <f>IFERROR(__xludf.DUMMYFUNCTION("""COMPUTED_VALUE"""),"")</f>
        <v/>
      </c>
      <c r="G1883" s="20"/>
      <c r="H1883" s="19"/>
      <c r="I1883" s="19"/>
      <c r="J1883" s="19"/>
      <c r="K1883" s="19"/>
      <c r="L1883" s="19"/>
      <c r="M1883" s="19"/>
      <c r="N1883" s="20" t="s">
        <v>39</v>
      </c>
      <c r="O1883" s="19"/>
      <c r="P1883" s="19"/>
      <c r="Q1883" s="19"/>
      <c r="R1883" s="19"/>
      <c r="S1883" s="19"/>
      <c r="T1883" s="19"/>
      <c r="U1883" s="19"/>
      <c r="V1883" s="19"/>
    </row>
    <row r="1884">
      <c r="A1884" s="25"/>
      <c r="B1884" s="19"/>
      <c r="C1884" s="19"/>
      <c r="D1884" s="19"/>
      <c r="E1884" s="19"/>
      <c r="F1884" s="17" t="str">
        <f>IFERROR(__xludf.DUMMYFUNCTION("""COMPUTED_VALUE"""),"")</f>
        <v/>
      </c>
      <c r="G1884" s="20"/>
      <c r="H1884" s="19"/>
      <c r="I1884" s="19"/>
      <c r="J1884" s="19"/>
      <c r="K1884" s="19"/>
      <c r="L1884" s="19"/>
      <c r="M1884" s="19"/>
      <c r="N1884" s="20" t="s">
        <v>39</v>
      </c>
      <c r="O1884" s="19"/>
      <c r="P1884" s="19"/>
      <c r="Q1884" s="19"/>
      <c r="R1884" s="19"/>
      <c r="S1884" s="19"/>
      <c r="T1884" s="19"/>
      <c r="U1884" s="19"/>
      <c r="V1884" s="19"/>
    </row>
    <row r="1885">
      <c r="A1885" s="25"/>
      <c r="B1885" s="19"/>
      <c r="C1885" s="19"/>
      <c r="D1885" s="19"/>
      <c r="E1885" s="19"/>
      <c r="F1885" s="17" t="str">
        <f>IFERROR(__xludf.DUMMYFUNCTION("""COMPUTED_VALUE"""),"")</f>
        <v/>
      </c>
      <c r="G1885" s="20"/>
      <c r="H1885" s="19"/>
      <c r="I1885" s="19"/>
      <c r="J1885" s="19"/>
      <c r="K1885" s="19"/>
      <c r="L1885" s="19"/>
      <c r="M1885" s="19"/>
      <c r="N1885" s="20" t="s">
        <v>39</v>
      </c>
      <c r="O1885" s="19"/>
      <c r="P1885" s="19"/>
      <c r="Q1885" s="19"/>
      <c r="R1885" s="19"/>
      <c r="S1885" s="19"/>
      <c r="T1885" s="19"/>
      <c r="U1885" s="19"/>
      <c r="V1885" s="19"/>
    </row>
    <row r="1886">
      <c r="A1886" s="25"/>
      <c r="B1886" s="19"/>
      <c r="C1886" s="19"/>
      <c r="D1886" s="19"/>
      <c r="E1886" s="19"/>
      <c r="F1886" s="17" t="str">
        <f>IFERROR(__xludf.DUMMYFUNCTION("""COMPUTED_VALUE"""),"")</f>
        <v/>
      </c>
      <c r="G1886" s="20"/>
      <c r="H1886" s="19"/>
      <c r="I1886" s="19"/>
      <c r="J1886" s="19"/>
      <c r="K1886" s="19"/>
      <c r="L1886" s="19"/>
      <c r="M1886" s="19"/>
      <c r="N1886" s="20" t="s">
        <v>39</v>
      </c>
      <c r="O1886" s="19"/>
      <c r="P1886" s="19"/>
      <c r="Q1886" s="19"/>
      <c r="R1886" s="19"/>
      <c r="S1886" s="19"/>
      <c r="T1886" s="19"/>
      <c r="U1886" s="19"/>
      <c r="V1886" s="19"/>
    </row>
    <row r="1887">
      <c r="A1887" s="25"/>
      <c r="B1887" s="19"/>
      <c r="C1887" s="19"/>
      <c r="D1887" s="19"/>
      <c r="E1887" s="19"/>
      <c r="F1887" s="17" t="str">
        <f>IFERROR(__xludf.DUMMYFUNCTION("""COMPUTED_VALUE"""),"")</f>
        <v/>
      </c>
      <c r="G1887" s="20"/>
      <c r="H1887" s="19"/>
      <c r="I1887" s="19"/>
      <c r="J1887" s="19"/>
      <c r="K1887" s="19"/>
      <c r="L1887" s="19"/>
      <c r="M1887" s="19"/>
      <c r="N1887" s="20" t="s">
        <v>39</v>
      </c>
      <c r="O1887" s="19"/>
      <c r="P1887" s="19"/>
      <c r="Q1887" s="19"/>
      <c r="R1887" s="19"/>
      <c r="S1887" s="19"/>
      <c r="T1887" s="19"/>
      <c r="U1887" s="19"/>
      <c r="V1887" s="19"/>
    </row>
    <row r="1888">
      <c r="A1888" s="25"/>
      <c r="B1888" s="19"/>
      <c r="C1888" s="19"/>
      <c r="D1888" s="19"/>
      <c r="E1888" s="19"/>
      <c r="F1888" s="17" t="str">
        <f>IFERROR(__xludf.DUMMYFUNCTION("""COMPUTED_VALUE"""),"")</f>
        <v/>
      </c>
      <c r="G1888" s="20"/>
      <c r="H1888" s="19"/>
      <c r="I1888" s="19"/>
      <c r="J1888" s="19"/>
      <c r="K1888" s="19"/>
      <c r="L1888" s="19"/>
      <c r="M1888" s="19"/>
      <c r="N1888" s="20" t="s">
        <v>39</v>
      </c>
      <c r="O1888" s="19"/>
      <c r="P1888" s="19"/>
      <c r="Q1888" s="19"/>
      <c r="R1888" s="19"/>
      <c r="S1888" s="19"/>
      <c r="T1888" s="19"/>
      <c r="U1888" s="19"/>
      <c r="V1888" s="19"/>
    </row>
    <row r="1889">
      <c r="A1889" s="25"/>
      <c r="B1889" s="19"/>
      <c r="C1889" s="19"/>
      <c r="D1889" s="19"/>
      <c r="E1889" s="19"/>
      <c r="F1889" s="17" t="str">
        <f>IFERROR(__xludf.DUMMYFUNCTION("""COMPUTED_VALUE"""),"")</f>
        <v/>
      </c>
      <c r="G1889" s="20"/>
      <c r="H1889" s="19"/>
      <c r="I1889" s="19"/>
      <c r="J1889" s="19"/>
      <c r="K1889" s="19"/>
      <c r="L1889" s="19"/>
      <c r="M1889" s="19"/>
      <c r="N1889" s="20" t="s">
        <v>39</v>
      </c>
      <c r="O1889" s="19"/>
      <c r="P1889" s="19"/>
      <c r="Q1889" s="19"/>
      <c r="R1889" s="19"/>
      <c r="S1889" s="19"/>
      <c r="T1889" s="19"/>
      <c r="U1889" s="19"/>
      <c r="V1889" s="19"/>
    </row>
    <row r="1890">
      <c r="A1890" s="25"/>
      <c r="B1890" s="19"/>
      <c r="C1890" s="19"/>
      <c r="D1890" s="19"/>
      <c r="E1890" s="19"/>
      <c r="F1890" s="17" t="str">
        <f>IFERROR(__xludf.DUMMYFUNCTION("""COMPUTED_VALUE"""),"")</f>
        <v/>
      </c>
      <c r="G1890" s="20"/>
      <c r="H1890" s="19"/>
      <c r="I1890" s="19"/>
      <c r="J1890" s="19"/>
      <c r="K1890" s="19"/>
      <c r="L1890" s="19"/>
      <c r="M1890" s="19"/>
      <c r="N1890" s="20" t="s">
        <v>39</v>
      </c>
      <c r="O1890" s="19"/>
      <c r="P1890" s="19"/>
      <c r="Q1890" s="19"/>
      <c r="R1890" s="19"/>
      <c r="S1890" s="19"/>
      <c r="T1890" s="19"/>
      <c r="U1890" s="19"/>
      <c r="V1890" s="19"/>
    </row>
    <row r="1891">
      <c r="A1891" s="25"/>
      <c r="B1891" s="19"/>
      <c r="C1891" s="19"/>
      <c r="D1891" s="19"/>
      <c r="E1891" s="19"/>
      <c r="F1891" s="17" t="str">
        <f>IFERROR(__xludf.DUMMYFUNCTION("""COMPUTED_VALUE"""),"")</f>
        <v/>
      </c>
      <c r="G1891" s="20"/>
      <c r="H1891" s="19"/>
      <c r="I1891" s="19"/>
      <c r="J1891" s="19"/>
      <c r="K1891" s="19"/>
      <c r="L1891" s="19"/>
      <c r="M1891" s="19"/>
      <c r="N1891" s="20" t="s">
        <v>39</v>
      </c>
      <c r="O1891" s="19"/>
      <c r="P1891" s="19"/>
      <c r="Q1891" s="19"/>
      <c r="R1891" s="19"/>
      <c r="S1891" s="19"/>
      <c r="T1891" s="19"/>
      <c r="U1891" s="19"/>
      <c r="V1891" s="19"/>
    </row>
    <row r="1892">
      <c r="A1892" s="25"/>
      <c r="B1892" s="19"/>
      <c r="C1892" s="19"/>
      <c r="D1892" s="19"/>
      <c r="E1892" s="19"/>
      <c r="F1892" s="17" t="str">
        <f>IFERROR(__xludf.DUMMYFUNCTION("""COMPUTED_VALUE"""),"")</f>
        <v/>
      </c>
      <c r="G1892" s="20"/>
      <c r="H1892" s="19"/>
      <c r="I1892" s="19"/>
      <c r="J1892" s="19"/>
      <c r="K1892" s="19"/>
      <c r="L1892" s="19"/>
      <c r="M1892" s="19"/>
      <c r="N1892" s="20" t="s">
        <v>39</v>
      </c>
      <c r="O1892" s="19"/>
      <c r="P1892" s="19"/>
      <c r="Q1892" s="19"/>
      <c r="R1892" s="19"/>
      <c r="S1892" s="19"/>
      <c r="T1892" s="19"/>
      <c r="U1892" s="19"/>
      <c r="V1892" s="19"/>
    </row>
    <row r="1893">
      <c r="A1893" s="25"/>
      <c r="B1893" s="19"/>
      <c r="C1893" s="19"/>
      <c r="D1893" s="19"/>
      <c r="E1893" s="19"/>
      <c r="F1893" s="17" t="str">
        <f>IFERROR(__xludf.DUMMYFUNCTION("""COMPUTED_VALUE"""),"")</f>
        <v/>
      </c>
      <c r="G1893" s="20"/>
      <c r="H1893" s="19"/>
      <c r="I1893" s="19"/>
      <c r="J1893" s="19"/>
      <c r="K1893" s="19"/>
      <c r="L1893" s="19"/>
      <c r="M1893" s="19"/>
      <c r="N1893" s="20" t="s">
        <v>39</v>
      </c>
      <c r="O1893" s="19"/>
      <c r="P1893" s="19"/>
      <c r="Q1893" s="19"/>
      <c r="R1893" s="19"/>
      <c r="S1893" s="19"/>
      <c r="T1893" s="19"/>
      <c r="U1893" s="19"/>
      <c r="V1893" s="19"/>
    </row>
    <row r="1894">
      <c r="A1894" s="25"/>
      <c r="B1894" s="19"/>
      <c r="C1894" s="19"/>
      <c r="D1894" s="19"/>
      <c r="E1894" s="19"/>
      <c r="F1894" s="17" t="str">
        <f>IFERROR(__xludf.DUMMYFUNCTION("""COMPUTED_VALUE"""),"")</f>
        <v/>
      </c>
      <c r="G1894" s="20"/>
      <c r="H1894" s="19"/>
      <c r="I1894" s="19"/>
      <c r="J1894" s="19"/>
      <c r="K1894" s="19"/>
      <c r="L1894" s="19"/>
      <c r="M1894" s="19"/>
      <c r="N1894" s="20" t="s">
        <v>39</v>
      </c>
      <c r="O1894" s="19"/>
      <c r="P1894" s="19"/>
      <c r="Q1894" s="19"/>
      <c r="R1894" s="19"/>
      <c r="S1894" s="19"/>
      <c r="T1894" s="19"/>
      <c r="U1894" s="19"/>
      <c r="V1894" s="19"/>
    </row>
    <row r="1895">
      <c r="A1895" s="25"/>
      <c r="B1895" s="19"/>
      <c r="C1895" s="19"/>
      <c r="D1895" s="19"/>
      <c r="E1895" s="19"/>
      <c r="F1895" s="17" t="str">
        <f>IFERROR(__xludf.DUMMYFUNCTION("""COMPUTED_VALUE"""),"")</f>
        <v/>
      </c>
      <c r="G1895" s="20"/>
      <c r="H1895" s="19"/>
      <c r="I1895" s="19"/>
      <c r="J1895" s="19"/>
      <c r="K1895" s="19"/>
      <c r="L1895" s="19"/>
      <c r="M1895" s="19"/>
      <c r="N1895" s="20" t="s">
        <v>39</v>
      </c>
      <c r="O1895" s="19"/>
      <c r="P1895" s="19"/>
      <c r="Q1895" s="19"/>
      <c r="R1895" s="19"/>
      <c r="S1895" s="19"/>
      <c r="T1895" s="19"/>
      <c r="U1895" s="19"/>
      <c r="V1895" s="19"/>
    </row>
    <row r="1896">
      <c r="A1896" s="25"/>
      <c r="B1896" s="19"/>
      <c r="C1896" s="19"/>
      <c r="D1896" s="19"/>
      <c r="E1896" s="19"/>
      <c r="F1896" s="17" t="str">
        <f>IFERROR(__xludf.DUMMYFUNCTION("""COMPUTED_VALUE"""),"")</f>
        <v/>
      </c>
      <c r="G1896" s="20"/>
      <c r="H1896" s="19"/>
      <c r="I1896" s="19"/>
      <c r="J1896" s="19"/>
      <c r="K1896" s="19"/>
      <c r="L1896" s="19"/>
      <c r="M1896" s="19"/>
      <c r="N1896" s="20" t="s">
        <v>39</v>
      </c>
      <c r="O1896" s="19"/>
      <c r="P1896" s="19"/>
      <c r="Q1896" s="19"/>
      <c r="R1896" s="19"/>
      <c r="S1896" s="19"/>
      <c r="T1896" s="19"/>
      <c r="U1896" s="19"/>
      <c r="V1896" s="19"/>
    </row>
    <row r="1897">
      <c r="A1897" s="25"/>
      <c r="B1897" s="19"/>
      <c r="C1897" s="19"/>
      <c r="D1897" s="19"/>
      <c r="E1897" s="19"/>
      <c r="F1897" s="17" t="str">
        <f>IFERROR(__xludf.DUMMYFUNCTION("""COMPUTED_VALUE"""),"")</f>
        <v/>
      </c>
      <c r="G1897" s="20"/>
      <c r="H1897" s="19"/>
      <c r="I1897" s="19"/>
      <c r="J1897" s="19"/>
      <c r="K1897" s="19"/>
      <c r="L1897" s="19"/>
      <c r="M1897" s="19"/>
      <c r="N1897" s="20" t="s">
        <v>39</v>
      </c>
      <c r="O1897" s="19"/>
      <c r="P1897" s="19"/>
      <c r="Q1897" s="19"/>
      <c r="R1897" s="19"/>
      <c r="S1897" s="19"/>
      <c r="T1897" s="19"/>
      <c r="U1897" s="19"/>
      <c r="V1897" s="19"/>
    </row>
    <row r="1898">
      <c r="A1898" s="25"/>
      <c r="B1898" s="19"/>
      <c r="C1898" s="19"/>
      <c r="D1898" s="19"/>
      <c r="E1898" s="19"/>
      <c r="F1898" s="17" t="str">
        <f>IFERROR(__xludf.DUMMYFUNCTION("""COMPUTED_VALUE"""),"")</f>
        <v/>
      </c>
      <c r="G1898" s="20"/>
      <c r="H1898" s="19"/>
      <c r="I1898" s="19"/>
      <c r="J1898" s="19"/>
      <c r="K1898" s="19"/>
      <c r="L1898" s="19"/>
      <c r="M1898" s="19"/>
      <c r="N1898" s="20" t="s">
        <v>39</v>
      </c>
      <c r="O1898" s="19"/>
      <c r="P1898" s="19"/>
      <c r="Q1898" s="19"/>
      <c r="R1898" s="19"/>
      <c r="S1898" s="19"/>
      <c r="T1898" s="19"/>
      <c r="U1898" s="19"/>
      <c r="V1898" s="19"/>
    </row>
    <row r="1899">
      <c r="A1899" s="25"/>
      <c r="B1899" s="19"/>
      <c r="C1899" s="19"/>
      <c r="D1899" s="19"/>
      <c r="E1899" s="19"/>
      <c r="F1899" s="17" t="str">
        <f>IFERROR(__xludf.DUMMYFUNCTION("""COMPUTED_VALUE"""),"")</f>
        <v/>
      </c>
      <c r="G1899" s="20"/>
      <c r="H1899" s="19"/>
      <c r="I1899" s="19"/>
      <c r="J1899" s="19"/>
      <c r="K1899" s="19"/>
      <c r="L1899" s="19"/>
      <c r="M1899" s="19"/>
      <c r="N1899" s="20" t="s">
        <v>39</v>
      </c>
      <c r="O1899" s="19"/>
      <c r="P1899" s="19"/>
      <c r="Q1899" s="19"/>
      <c r="R1899" s="19"/>
      <c r="S1899" s="19"/>
      <c r="T1899" s="19"/>
      <c r="U1899" s="19"/>
      <c r="V1899" s="19"/>
    </row>
    <row r="1900">
      <c r="A1900" s="25"/>
      <c r="B1900" s="19"/>
      <c r="C1900" s="19"/>
      <c r="D1900" s="19"/>
      <c r="E1900" s="19"/>
      <c r="F1900" s="17" t="str">
        <f>IFERROR(__xludf.DUMMYFUNCTION("""COMPUTED_VALUE"""),"")</f>
        <v/>
      </c>
      <c r="G1900" s="20"/>
      <c r="H1900" s="19"/>
      <c r="I1900" s="19"/>
      <c r="J1900" s="19"/>
      <c r="K1900" s="19"/>
      <c r="L1900" s="19"/>
      <c r="M1900" s="19"/>
      <c r="N1900" s="20" t="s">
        <v>39</v>
      </c>
      <c r="O1900" s="19"/>
      <c r="P1900" s="19"/>
      <c r="Q1900" s="19"/>
      <c r="R1900" s="19"/>
      <c r="S1900" s="19"/>
      <c r="T1900" s="19"/>
      <c r="U1900" s="19"/>
      <c r="V1900" s="19"/>
    </row>
    <row r="1901">
      <c r="A1901" s="25"/>
      <c r="B1901" s="19"/>
      <c r="C1901" s="19"/>
      <c r="D1901" s="19"/>
      <c r="E1901" s="19"/>
      <c r="F1901" s="17" t="str">
        <f>IFERROR(__xludf.DUMMYFUNCTION("""COMPUTED_VALUE"""),"")</f>
        <v/>
      </c>
      <c r="G1901" s="20"/>
      <c r="H1901" s="19"/>
      <c r="I1901" s="19"/>
      <c r="J1901" s="19"/>
      <c r="K1901" s="19"/>
      <c r="L1901" s="19"/>
      <c r="M1901" s="19"/>
      <c r="N1901" s="20" t="s">
        <v>39</v>
      </c>
      <c r="O1901" s="19"/>
      <c r="P1901" s="19"/>
      <c r="Q1901" s="19"/>
      <c r="R1901" s="19"/>
      <c r="S1901" s="19"/>
      <c r="T1901" s="19"/>
      <c r="U1901" s="19"/>
      <c r="V1901" s="19"/>
    </row>
    <row r="1902">
      <c r="A1902" s="25"/>
      <c r="B1902" s="19"/>
      <c r="C1902" s="19"/>
      <c r="D1902" s="19"/>
      <c r="E1902" s="19"/>
      <c r="F1902" s="17" t="str">
        <f>IFERROR(__xludf.DUMMYFUNCTION("""COMPUTED_VALUE"""),"")</f>
        <v/>
      </c>
      <c r="G1902" s="20"/>
      <c r="H1902" s="19"/>
      <c r="I1902" s="19"/>
      <c r="J1902" s="19"/>
      <c r="K1902" s="19"/>
      <c r="L1902" s="19"/>
      <c r="M1902" s="19"/>
      <c r="N1902" s="20" t="s">
        <v>39</v>
      </c>
      <c r="O1902" s="19"/>
      <c r="P1902" s="19"/>
      <c r="Q1902" s="19"/>
      <c r="R1902" s="19"/>
      <c r="S1902" s="19"/>
      <c r="T1902" s="19"/>
      <c r="U1902" s="19"/>
      <c r="V1902" s="19"/>
    </row>
    <row r="1903">
      <c r="A1903" s="25"/>
      <c r="B1903" s="19"/>
      <c r="C1903" s="19"/>
      <c r="D1903" s="19"/>
      <c r="E1903" s="19"/>
      <c r="F1903" s="17" t="str">
        <f>IFERROR(__xludf.DUMMYFUNCTION("""COMPUTED_VALUE"""),"")</f>
        <v/>
      </c>
      <c r="G1903" s="20"/>
      <c r="H1903" s="19"/>
      <c r="I1903" s="19"/>
      <c r="J1903" s="19"/>
      <c r="K1903" s="19"/>
      <c r="L1903" s="19"/>
      <c r="M1903" s="19"/>
      <c r="N1903" s="20" t="s">
        <v>39</v>
      </c>
      <c r="O1903" s="19"/>
      <c r="P1903" s="19"/>
      <c r="Q1903" s="19"/>
      <c r="R1903" s="19"/>
      <c r="S1903" s="19"/>
      <c r="T1903" s="19"/>
      <c r="U1903" s="19"/>
      <c r="V1903" s="19"/>
    </row>
    <row r="1904">
      <c r="A1904" s="25"/>
      <c r="B1904" s="19"/>
      <c r="C1904" s="19"/>
      <c r="D1904" s="19"/>
      <c r="E1904" s="19"/>
      <c r="F1904" s="17" t="str">
        <f>IFERROR(__xludf.DUMMYFUNCTION("""COMPUTED_VALUE"""),"")</f>
        <v/>
      </c>
      <c r="G1904" s="20"/>
      <c r="H1904" s="19"/>
      <c r="I1904" s="19"/>
      <c r="J1904" s="19"/>
      <c r="K1904" s="19"/>
      <c r="L1904" s="19"/>
      <c r="M1904" s="19"/>
      <c r="N1904" s="20" t="s">
        <v>39</v>
      </c>
      <c r="O1904" s="19"/>
      <c r="P1904" s="19"/>
      <c r="Q1904" s="19"/>
      <c r="R1904" s="19"/>
      <c r="S1904" s="19"/>
      <c r="T1904" s="19"/>
      <c r="U1904" s="19"/>
      <c r="V1904" s="19"/>
    </row>
    <row r="1905">
      <c r="A1905" s="25"/>
      <c r="B1905" s="19"/>
      <c r="C1905" s="19"/>
      <c r="D1905" s="19"/>
      <c r="E1905" s="19"/>
      <c r="F1905" s="17" t="str">
        <f>IFERROR(__xludf.DUMMYFUNCTION("""COMPUTED_VALUE"""),"")</f>
        <v/>
      </c>
      <c r="G1905" s="20"/>
      <c r="H1905" s="19"/>
      <c r="I1905" s="19"/>
      <c r="J1905" s="19"/>
      <c r="K1905" s="19"/>
      <c r="L1905" s="19"/>
      <c r="M1905" s="19"/>
      <c r="N1905" s="20" t="s">
        <v>39</v>
      </c>
      <c r="O1905" s="19"/>
      <c r="P1905" s="19"/>
      <c r="Q1905" s="19"/>
      <c r="R1905" s="19"/>
      <c r="S1905" s="19"/>
      <c r="T1905" s="19"/>
      <c r="U1905" s="19"/>
      <c r="V1905" s="19"/>
    </row>
    <row r="1906">
      <c r="A1906" s="25"/>
      <c r="B1906" s="19"/>
      <c r="C1906" s="19"/>
      <c r="D1906" s="19"/>
      <c r="E1906" s="19"/>
      <c r="F1906" s="17" t="str">
        <f>IFERROR(__xludf.DUMMYFUNCTION("""COMPUTED_VALUE"""),"")</f>
        <v/>
      </c>
      <c r="G1906" s="20"/>
      <c r="H1906" s="19"/>
      <c r="I1906" s="19"/>
      <c r="J1906" s="19"/>
      <c r="K1906" s="19"/>
      <c r="L1906" s="19"/>
      <c r="M1906" s="19"/>
      <c r="N1906" s="20" t="s">
        <v>39</v>
      </c>
      <c r="O1906" s="19"/>
      <c r="P1906" s="19"/>
      <c r="Q1906" s="19"/>
      <c r="R1906" s="19"/>
      <c r="S1906" s="19"/>
      <c r="T1906" s="19"/>
      <c r="U1906" s="19"/>
      <c r="V1906" s="19"/>
    </row>
    <row r="1907">
      <c r="A1907" s="25"/>
      <c r="B1907" s="19"/>
      <c r="C1907" s="19"/>
      <c r="D1907" s="19"/>
      <c r="E1907" s="19"/>
      <c r="F1907" s="17" t="str">
        <f>IFERROR(__xludf.DUMMYFUNCTION("""COMPUTED_VALUE"""),"")</f>
        <v/>
      </c>
      <c r="G1907" s="20"/>
      <c r="H1907" s="19"/>
      <c r="I1907" s="19"/>
      <c r="J1907" s="19"/>
      <c r="K1907" s="19"/>
      <c r="L1907" s="19"/>
      <c r="M1907" s="19"/>
      <c r="N1907" s="20" t="s">
        <v>39</v>
      </c>
      <c r="O1907" s="19"/>
      <c r="P1907" s="19"/>
      <c r="Q1907" s="19"/>
      <c r="R1907" s="19"/>
      <c r="S1907" s="19"/>
      <c r="T1907" s="19"/>
      <c r="U1907" s="19"/>
      <c r="V1907" s="19"/>
    </row>
    <row r="1908">
      <c r="A1908" s="25"/>
      <c r="B1908" s="19"/>
      <c r="C1908" s="19"/>
      <c r="D1908" s="19"/>
      <c r="E1908" s="19"/>
      <c r="F1908" s="17" t="str">
        <f>IFERROR(__xludf.DUMMYFUNCTION("""COMPUTED_VALUE"""),"")</f>
        <v/>
      </c>
      <c r="G1908" s="20"/>
      <c r="H1908" s="19"/>
      <c r="I1908" s="19"/>
      <c r="J1908" s="19"/>
      <c r="K1908" s="19"/>
      <c r="L1908" s="19"/>
      <c r="M1908" s="19"/>
      <c r="N1908" s="20" t="s">
        <v>39</v>
      </c>
      <c r="O1908" s="19"/>
      <c r="P1908" s="19"/>
      <c r="Q1908" s="19"/>
      <c r="R1908" s="19"/>
      <c r="S1908" s="19"/>
      <c r="T1908" s="19"/>
      <c r="U1908" s="19"/>
      <c r="V1908" s="19"/>
    </row>
    <row r="1909">
      <c r="A1909" s="25"/>
      <c r="B1909" s="19"/>
      <c r="C1909" s="19"/>
      <c r="D1909" s="19"/>
      <c r="E1909" s="19"/>
      <c r="F1909" s="17" t="str">
        <f>IFERROR(__xludf.DUMMYFUNCTION("""COMPUTED_VALUE"""),"")</f>
        <v/>
      </c>
      <c r="G1909" s="20"/>
      <c r="H1909" s="19"/>
      <c r="I1909" s="19"/>
      <c r="J1909" s="19"/>
      <c r="K1909" s="19"/>
      <c r="L1909" s="19"/>
      <c r="M1909" s="19"/>
      <c r="N1909" s="20" t="s">
        <v>39</v>
      </c>
      <c r="O1909" s="19"/>
      <c r="P1909" s="19"/>
      <c r="Q1909" s="19"/>
      <c r="R1909" s="19"/>
      <c r="S1909" s="19"/>
      <c r="T1909" s="19"/>
      <c r="U1909" s="19"/>
      <c r="V1909" s="19"/>
    </row>
    <row r="1910">
      <c r="A1910" s="25"/>
      <c r="B1910" s="19"/>
      <c r="C1910" s="19"/>
      <c r="D1910" s="19"/>
      <c r="E1910" s="19"/>
      <c r="F1910" s="17" t="str">
        <f>IFERROR(__xludf.DUMMYFUNCTION("""COMPUTED_VALUE"""),"")</f>
        <v/>
      </c>
      <c r="G1910" s="20"/>
      <c r="H1910" s="19"/>
      <c r="I1910" s="19"/>
      <c r="J1910" s="19"/>
      <c r="K1910" s="19"/>
      <c r="L1910" s="19"/>
      <c r="M1910" s="19"/>
      <c r="N1910" s="20" t="s">
        <v>39</v>
      </c>
      <c r="O1910" s="19"/>
      <c r="P1910" s="19"/>
      <c r="Q1910" s="19"/>
      <c r="R1910" s="19"/>
      <c r="S1910" s="19"/>
      <c r="T1910" s="19"/>
      <c r="U1910" s="19"/>
      <c r="V1910" s="19"/>
    </row>
    <row r="1911">
      <c r="A1911" s="25"/>
      <c r="B1911" s="19"/>
      <c r="C1911" s="19"/>
      <c r="D1911" s="19"/>
      <c r="E1911" s="19"/>
      <c r="F1911" s="17" t="str">
        <f>IFERROR(__xludf.DUMMYFUNCTION("""COMPUTED_VALUE"""),"")</f>
        <v/>
      </c>
      <c r="G1911" s="20"/>
      <c r="H1911" s="19"/>
      <c r="I1911" s="19"/>
      <c r="J1911" s="19"/>
      <c r="K1911" s="19"/>
      <c r="L1911" s="19"/>
      <c r="M1911" s="19"/>
      <c r="N1911" s="20" t="s">
        <v>39</v>
      </c>
      <c r="O1911" s="19"/>
      <c r="P1911" s="19"/>
      <c r="Q1911" s="19"/>
      <c r="R1911" s="19"/>
      <c r="S1911" s="19"/>
      <c r="T1911" s="19"/>
      <c r="U1911" s="19"/>
      <c r="V1911" s="19"/>
    </row>
    <row r="1912">
      <c r="A1912" s="25"/>
      <c r="B1912" s="19"/>
      <c r="C1912" s="19"/>
      <c r="D1912" s="19"/>
      <c r="E1912" s="19"/>
      <c r="F1912" s="17" t="str">
        <f>IFERROR(__xludf.DUMMYFUNCTION("""COMPUTED_VALUE"""),"")</f>
        <v/>
      </c>
      <c r="G1912" s="20"/>
      <c r="H1912" s="19"/>
      <c r="I1912" s="19"/>
      <c r="J1912" s="19"/>
      <c r="K1912" s="19"/>
      <c r="L1912" s="19"/>
      <c r="M1912" s="19"/>
      <c r="N1912" s="20" t="s">
        <v>39</v>
      </c>
      <c r="O1912" s="19"/>
      <c r="P1912" s="19"/>
      <c r="Q1912" s="19"/>
      <c r="R1912" s="19"/>
      <c r="S1912" s="19"/>
      <c r="T1912" s="19"/>
      <c r="U1912" s="19"/>
      <c r="V1912" s="19"/>
    </row>
    <row r="1913">
      <c r="A1913" s="25"/>
      <c r="B1913" s="19"/>
      <c r="C1913" s="19"/>
      <c r="D1913" s="19"/>
      <c r="E1913" s="19"/>
      <c r="F1913" s="17" t="str">
        <f>IFERROR(__xludf.DUMMYFUNCTION("""COMPUTED_VALUE"""),"")</f>
        <v/>
      </c>
      <c r="G1913" s="20"/>
      <c r="H1913" s="19"/>
      <c r="I1913" s="19"/>
      <c r="J1913" s="19"/>
      <c r="K1913" s="19"/>
      <c r="L1913" s="19"/>
      <c r="M1913" s="19"/>
      <c r="N1913" s="20" t="s">
        <v>39</v>
      </c>
      <c r="O1913" s="19"/>
      <c r="P1913" s="19"/>
      <c r="Q1913" s="19"/>
      <c r="R1913" s="19"/>
      <c r="S1913" s="19"/>
      <c r="T1913" s="19"/>
      <c r="U1913" s="19"/>
      <c r="V1913" s="19"/>
    </row>
    <row r="1914">
      <c r="A1914" s="25"/>
      <c r="B1914" s="19"/>
      <c r="C1914" s="19"/>
      <c r="D1914" s="19"/>
      <c r="E1914" s="19"/>
      <c r="F1914" s="17" t="str">
        <f>IFERROR(__xludf.DUMMYFUNCTION("""COMPUTED_VALUE"""),"")</f>
        <v/>
      </c>
      <c r="G1914" s="20"/>
      <c r="H1914" s="19"/>
      <c r="I1914" s="19"/>
      <c r="J1914" s="19"/>
      <c r="K1914" s="19"/>
      <c r="L1914" s="19"/>
      <c r="M1914" s="19"/>
      <c r="N1914" s="20" t="s">
        <v>39</v>
      </c>
      <c r="O1914" s="19"/>
      <c r="P1914" s="19"/>
      <c r="Q1914" s="19"/>
      <c r="R1914" s="19"/>
      <c r="S1914" s="19"/>
      <c r="T1914" s="19"/>
      <c r="U1914" s="19"/>
      <c r="V1914" s="19"/>
    </row>
    <row r="1915">
      <c r="A1915" s="25"/>
      <c r="B1915" s="19"/>
      <c r="C1915" s="19"/>
      <c r="D1915" s="19"/>
      <c r="E1915" s="19"/>
      <c r="F1915" s="17" t="str">
        <f>IFERROR(__xludf.DUMMYFUNCTION("""COMPUTED_VALUE"""),"")</f>
        <v/>
      </c>
      <c r="G1915" s="20"/>
      <c r="H1915" s="19"/>
      <c r="I1915" s="19"/>
      <c r="J1915" s="19"/>
      <c r="K1915" s="19"/>
      <c r="L1915" s="19"/>
      <c r="M1915" s="19"/>
      <c r="N1915" s="20" t="s">
        <v>39</v>
      </c>
      <c r="O1915" s="19"/>
      <c r="P1915" s="19"/>
      <c r="Q1915" s="19"/>
      <c r="R1915" s="19"/>
      <c r="S1915" s="19"/>
      <c r="T1915" s="19"/>
      <c r="U1915" s="19"/>
      <c r="V1915" s="19"/>
    </row>
    <row r="1916">
      <c r="A1916" s="25"/>
      <c r="B1916" s="19"/>
      <c r="C1916" s="19"/>
      <c r="D1916" s="19"/>
      <c r="E1916" s="19"/>
      <c r="F1916" s="17" t="str">
        <f>IFERROR(__xludf.DUMMYFUNCTION("""COMPUTED_VALUE"""),"")</f>
        <v/>
      </c>
      <c r="G1916" s="20"/>
      <c r="H1916" s="19"/>
      <c r="I1916" s="19"/>
      <c r="J1916" s="19"/>
      <c r="K1916" s="19"/>
      <c r="L1916" s="19"/>
      <c r="M1916" s="19"/>
      <c r="N1916" s="20" t="s">
        <v>39</v>
      </c>
      <c r="O1916" s="19"/>
      <c r="P1916" s="19"/>
      <c r="Q1916" s="19"/>
      <c r="R1916" s="19"/>
      <c r="S1916" s="19"/>
      <c r="T1916" s="19"/>
      <c r="U1916" s="19"/>
      <c r="V1916" s="19"/>
    </row>
    <row r="1917">
      <c r="A1917" s="25"/>
      <c r="B1917" s="19"/>
      <c r="C1917" s="19"/>
      <c r="D1917" s="19"/>
      <c r="E1917" s="19"/>
      <c r="F1917" s="17" t="str">
        <f>IFERROR(__xludf.DUMMYFUNCTION("""COMPUTED_VALUE"""),"")</f>
        <v/>
      </c>
      <c r="G1917" s="20"/>
      <c r="H1917" s="19"/>
      <c r="I1917" s="19"/>
      <c r="J1917" s="19"/>
      <c r="K1917" s="19"/>
      <c r="L1917" s="19"/>
      <c r="M1917" s="19"/>
      <c r="N1917" s="20" t="s">
        <v>39</v>
      </c>
      <c r="O1917" s="19"/>
      <c r="P1917" s="19"/>
      <c r="Q1917" s="19"/>
      <c r="R1917" s="19"/>
      <c r="S1917" s="19"/>
      <c r="T1917" s="19"/>
      <c r="U1917" s="19"/>
      <c r="V1917" s="19"/>
    </row>
    <row r="1918">
      <c r="A1918" s="25"/>
      <c r="B1918" s="19"/>
      <c r="C1918" s="19"/>
      <c r="D1918" s="19"/>
      <c r="E1918" s="19"/>
      <c r="F1918" s="17" t="str">
        <f>IFERROR(__xludf.DUMMYFUNCTION("""COMPUTED_VALUE"""),"")</f>
        <v/>
      </c>
      <c r="G1918" s="20"/>
      <c r="H1918" s="19"/>
      <c r="I1918" s="19"/>
      <c r="J1918" s="19"/>
      <c r="K1918" s="19"/>
      <c r="L1918" s="19"/>
      <c r="M1918" s="19"/>
      <c r="N1918" s="20" t="s">
        <v>39</v>
      </c>
      <c r="O1918" s="19"/>
      <c r="P1918" s="19"/>
      <c r="Q1918" s="19"/>
      <c r="R1918" s="19"/>
      <c r="S1918" s="19"/>
      <c r="T1918" s="19"/>
      <c r="U1918" s="19"/>
      <c r="V1918" s="19"/>
    </row>
    <row r="1919">
      <c r="A1919" s="25"/>
      <c r="B1919" s="19"/>
      <c r="C1919" s="19"/>
      <c r="D1919" s="19"/>
      <c r="E1919" s="19"/>
      <c r="F1919" s="17" t="str">
        <f>IFERROR(__xludf.DUMMYFUNCTION("""COMPUTED_VALUE"""),"")</f>
        <v/>
      </c>
      <c r="G1919" s="20"/>
      <c r="H1919" s="19"/>
      <c r="I1919" s="19"/>
      <c r="J1919" s="19"/>
      <c r="K1919" s="19"/>
      <c r="L1919" s="19"/>
      <c r="M1919" s="19"/>
      <c r="N1919" s="20" t="s">
        <v>39</v>
      </c>
      <c r="O1919" s="19"/>
      <c r="P1919" s="19"/>
      <c r="Q1919" s="19"/>
      <c r="R1919" s="19"/>
      <c r="S1919" s="19"/>
      <c r="T1919" s="19"/>
      <c r="U1919" s="19"/>
      <c r="V1919" s="19"/>
    </row>
    <row r="1920">
      <c r="A1920" s="25"/>
      <c r="B1920" s="19"/>
      <c r="C1920" s="19"/>
      <c r="D1920" s="19"/>
      <c r="E1920" s="19"/>
      <c r="F1920" s="17" t="str">
        <f>IFERROR(__xludf.DUMMYFUNCTION("""COMPUTED_VALUE"""),"")</f>
        <v/>
      </c>
      <c r="G1920" s="20"/>
      <c r="H1920" s="19"/>
      <c r="I1920" s="19"/>
      <c r="J1920" s="19"/>
      <c r="K1920" s="19"/>
      <c r="L1920" s="19"/>
      <c r="M1920" s="19"/>
      <c r="N1920" s="20" t="s">
        <v>39</v>
      </c>
      <c r="O1920" s="19"/>
      <c r="P1920" s="19"/>
      <c r="Q1920" s="19"/>
      <c r="R1920" s="19"/>
      <c r="S1920" s="19"/>
      <c r="T1920" s="19"/>
      <c r="U1920" s="19"/>
      <c r="V1920" s="19"/>
    </row>
    <row r="1921">
      <c r="A1921" s="25"/>
      <c r="B1921" s="19"/>
      <c r="C1921" s="19"/>
      <c r="D1921" s="19"/>
      <c r="E1921" s="19"/>
      <c r="F1921" s="17" t="str">
        <f>IFERROR(__xludf.DUMMYFUNCTION("""COMPUTED_VALUE"""),"")</f>
        <v/>
      </c>
      <c r="G1921" s="20"/>
      <c r="H1921" s="19"/>
      <c r="I1921" s="19"/>
      <c r="J1921" s="19"/>
      <c r="K1921" s="19"/>
      <c r="L1921" s="19"/>
      <c r="M1921" s="19"/>
      <c r="N1921" s="20" t="s">
        <v>39</v>
      </c>
      <c r="O1921" s="19"/>
      <c r="P1921" s="19"/>
      <c r="Q1921" s="19"/>
      <c r="R1921" s="19"/>
      <c r="S1921" s="19"/>
      <c r="T1921" s="19"/>
      <c r="U1921" s="19"/>
      <c r="V1921" s="19"/>
    </row>
    <row r="1922">
      <c r="A1922" s="25"/>
      <c r="B1922" s="19"/>
      <c r="C1922" s="19"/>
      <c r="D1922" s="19"/>
      <c r="E1922" s="19"/>
      <c r="F1922" s="17" t="str">
        <f>IFERROR(__xludf.DUMMYFUNCTION("""COMPUTED_VALUE"""),"")</f>
        <v/>
      </c>
      <c r="G1922" s="20"/>
      <c r="H1922" s="19"/>
      <c r="I1922" s="19"/>
      <c r="J1922" s="19"/>
      <c r="K1922" s="19"/>
      <c r="L1922" s="19"/>
      <c r="M1922" s="19"/>
      <c r="N1922" s="20" t="s">
        <v>39</v>
      </c>
      <c r="O1922" s="19"/>
      <c r="P1922" s="19"/>
      <c r="Q1922" s="19"/>
      <c r="R1922" s="19"/>
      <c r="S1922" s="19"/>
      <c r="T1922" s="19"/>
      <c r="U1922" s="19"/>
      <c r="V1922" s="19"/>
    </row>
    <row r="1923">
      <c r="A1923" s="25"/>
      <c r="B1923" s="19"/>
      <c r="C1923" s="19"/>
      <c r="D1923" s="19"/>
      <c r="E1923" s="19"/>
      <c r="F1923" s="17" t="str">
        <f>IFERROR(__xludf.DUMMYFUNCTION("""COMPUTED_VALUE"""),"")</f>
        <v/>
      </c>
      <c r="G1923" s="20"/>
      <c r="H1923" s="19"/>
      <c r="I1923" s="19"/>
      <c r="J1923" s="19"/>
      <c r="K1923" s="19"/>
      <c r="L1923" s="19"/>
      <c r="M1923" s="19"/>
      <c r="N1923" s="20" t="s">
        <v>39</v>
      </c>
      <c r="O1923" s="19"/>
      <c r="P1923" s="19"/>
      <c r="Q1923" s="19"/>
      <c r="R1923" s="19"/>
      <c r="S1923" s="19"/>
      <c r="T1923" s="19"/>
      <c r="U1923" s="19"/>
      <c r="V1923" s="19"/>
    </row>
    <row r="1924">
      <c r="A1924" s="25"/>
      <c r="B1924" s="19"/>
      <c r="C1924" s="19"/>
      <c r="D1924" s="19"/>
      <c r="E1924" s="19"/>
      <c r="F1924" s="17" t="str">
        <f>IFERROR(__xludf.DUMMYFUNCTION("""COMPUTED_VALUE"""),"")</f>
        <v/>
      </c>
      <c r="G1924" s="20"/>
      <c r="H1924" s="19"/>
      <c r="I1924" s="19"/>
      <c r="J1924" s="19"/>
      <c r="K1924" s="19"/>
      <c r="L1924" s="19"/>
      <c r="M1924" s="19"/>
      <c r="N1924" s="20" t="s">
        <v>39</v>
      </c>
      <c r="O1924" s="19"/>
      <c r="P1924" s="19"/>
      <c r="Q1924" s="19"/>
      <c r="R1924" s="19"/>
      <c r="S1924" s="19"/>
      <c r="T1924" s="19"/>
      <c r="U1924" s="19"/>
      <c r="V1924" s="19"/>
    </row>
    <row r="1925">
      <c r="A1925" s="25"/>
      <c r="B1925" s="19"/>
      <c r="C1925" s="19"/>
      <c r="D1925" s="19"/>
      <c r="E1925" s="19"/>
      <c r="F1925" s="17" t="str">
        <f>IFERROR(__xludf.DUMMYFUNCTION("""COMPUTED_VALUE"""),"")</f>
        <v/>
      </c>
      <c r="G1925" s="20"/>
      <c r="H1925" s="19"/>
      <c r="I1925" s="19"/>
      <c r="J1925" s="19"/>
      <c r="K1925" s="19"/>
      <c r="L1925" s="19"/>
      <c r="M1925" s="19"/>
      <c r="N1925" s="20" t="s">
        <v>39</v>
      </c>
      <c r="O1925" s="19"/>
      <c r="P1925" s="19"/>
      <c r="Q1925" s="19"/>
      <c r="R1925" s="19"/>
      <c r="S1925" s="19"/>
      <c r="T1925" s="19"/>
      <c r="U1925" s="19"/>
      <c r="V1925" s="19"/>
    </row>
    <row r="1926">
      <c r="A1926" s="25"/>
      <c r="B1926" s="19"/>
      <c r="C1926" s="19"/>
      <c r="D1926" s="19"/>
      <c r="E1926" s="19"/>
      <c r="F1926" s="17" t="str">
        <f>IFERROR(__xludf.DUMMYFUNCTION("""COMPUTED_VALUE"""),"")</f>
        <v/>
      </c>
      <c r="G1926" s="20"/>
      <c r="H1926" s="19"/>
      <c r="I1926" s="19"/>
      <c r="J1926" s="19"/>
      <c r="K1926" s="19"/>
      <c r="L1926" s="19"/>
      <c r="M1926" s="19"/>
      <c r="N1926" s="20" t="s">
        <v>39</v>
      </c>
      <c r="O1926" s="19"/>
      <c r="P1926" s="19"/>
      <c r="Q1926" s="19"/>
      <c r="R1926" s="19"/>
      <c r="S1926" s="19"/>
      <c r="T1926" s="19"/>
      <c r="U1926" s="19"/>
      <c r="V1926" s="19"/>
    </row>
    <row r="1927">
      <c r="A1927" s="25"/>
      <c r="B1927" s="19"/>
      <c r="C1927" s="19"/>
      <c r="D1927" s="19"/>
      <c r="E1927" s="19"/>
      <c r="F1927" s="17" t="str">
        <f>IFERROR(__xludf.DUMMYFUNCTION("""COMPUTED_VALUE"""),"")</f>
        <v/>
      </c>
      <c r="G1927" s="20"/>
      <c r="H1927" s="19"/>
      <c r="I1927" s="19"/>
      <c r="J1927" s="19"/>
      <c r="K1927" s="19"/>
      <c r="L1927" s="19"/>
      <c r="M1927" s="19"/>
      <c r="N1927" s="20" t="s">
        <v>39</v>
      </c>
      <c r="O1927" s="19"/>
      <c r="P1927" s="19"/>
      <c r="Q1927" s="19"/>
      <c r="R1927" s="19"/>
      <c r="S1927" s="19"/>
      <c r="T1927" s="19"/>
      <c r="U1927" s="19"/>
      <c r="V1927" s="19"/>
    </row>
    <row r="1928">
      <c r="A1928" s="25"/>
      <c r="B1928" s="19"/>
      <c r="C1928" s="19"/>
      <c r="D1928" s="19"/>
      <c r="E1928" s="19"/>
      <c r="F1928" s="17" t="str">
        <f>IFERROR(__xludf.DUMMYFUNCTION("""COMPUTED_VALUE"""),"")</f>
        <v/>
      </c>
      <c r="G1928" s="20"/>
      <c r="H1928" s="19"/>
      <c r="I1928" s="19"/>
      <c r="J1928" s="19"/>
      <c r="K1928" s="19"/>
      <c r="L1928" s="19"/>
      <c r="M1928" s="19"/>
      <c r="N1928" s="20" t="s">
        <v>39</v>
      </c>
      <c r="O1928" s="19"/>
      <c r="P1928" s="19"/>
      <c r="Q1928" s="19"/>
      <c r="R1928" s="19"/>
      <c r="S1928" s="19"/>
      <c r="T1928" s="19"/>
      <c r="U1928" s="19"/>
      <c r="V1928" s="19"/>
    </row>
    <row r="1929">
      <c r="A1929" s="25"/>
      <c r="B1929" s="19"/>
      <c r="C1929" s="19"/>
      <c r="D1929" s="19"/>
      <c r="E1929" s="19"/>
      <c r="F1929" s="17" t="str">
        <f>IFERROR(__xludf.DUMMYFUNCTION("""COMPUTED_VALUE"""),"")</f>
        <v/>
      </c>
      <c r="G1929" s="20"/>
      <c r="H1929" s="19"/>
      <c r="I1929" s="19"/>
      <c r="J1929" s="19"/>
      <c r="K1929" s="19"/>
      <c r="L1929" s="19"/>
      <c r="M1929" s="19"/>
      <c r="N1929" s="20" t="s">
        <v>39</v>
      </c>
      <c r="O1929" s="19"/>
      <c r="P1929" s="19"/>
      <c r="Q1929" s="19"/>
      <c r="R1929" s="19"/>
      <c r="S1929" s="19"/>
      <c r="T1929" s="19"/>
      <c r="U1929" s="19"/>
      <c r="V1929" s="19"/>
    </row>
    <row r="1930">
      <c r="A1930" s="25"/>
      <c r="B1930" s="19"/>
      <c r="C1930" s="19"/>
      <c r="D1930" s="19"/>
      <c r="E1930" s="19"/>
      <c r="F1930" s="17" t="str">
        <f>IFERROR(__xludf.DUMMYFUNCTION("""COMPUTED_VALUE"""),"")</f>
        <v/>
      </c>
      <c r="G1930" s="20"/>
      <c r="H1930" s="19"/>
      <c r="I1930" s="19"/>
      <c r="J1930" s="19"/>
      <c r="K1930" s="19"/>
      <c r="L1930" s="19"/>
      <c r="M1930" s="19"/>
      <c r="N1930" s="20" t="s">
        <v>39</v>
      </c>
      <c r="O1930" s="19"/>
      <c r="P1930" s="19"/>
      <c r="Q1930" s="19"/>
      <c r="R1930" s="19"/>
      <c r="S1930" s="19"/>
      <c r="T1930" s="19"/>
      <c r="U1930" s="19"/>
      <c r="V1930" s="19"/>
    </row>
    <row r="1931">
      <c r="A1931" s="25"/>
      <c r="B1931" s="19"/>
      <c r="C1931" s="19"/>
      <c r="D1931" s="19"/>
      <c r="E1931" s="19"/>
      <c r="F1931" s="17" t="str">
        <f>IFERROR(__xludf.DUMMYFUNCTION("""COMPUTED_VALUE"""),"")</f>
        <v/>
      </c>
      <c r="G1931" s="20"/>
      <c r="H1931" s="19"/>
      <c r="I1931" s="19"/>
      <c r="J1931" s="19"/>
      <c r="K1931" s="19"/>
      <c r="L1931" s="19"/>
      <c r="M1931" s="19"/>
      <c r="N1931" s="20" t="s">
        <v>39</v>
      </c>
      <c r="O1931" s="19"/>
      <c r="P1931" s="19"/>
      <c r="Q1931" s="19"/>
      <c r="R1931" s="19"/>
      <c r="S1931" s="19"/>
      <c r="T1931" s="19"/>
      <c r="U1931" s="19"/>
      <c r="V1931" s="19"/>
    </row>
    <row r="1932">
      <c r="A1932" s="25"/>
      <c r="B1932" s="19"/>
      <c r="C1932" s="19"/>
      <c r="D1932" s="19"/>
      <c r="E1932" s="19"/>
      <c r="F1932" s="17" t="str">
        <f>IFERROR(__xludf.DUMMYFUNCTION("""COMPUTED_VALUE"""),"")</f>
        <v/>
      </c>
      <c r="G1932" s="20"/>
      <c r="H1932" s="19"/>
      <c r="I1932" s="19"/>
      <c r="J1932" s="19"/>
      <c r="K1932" s="19"/>
      <c r="L1932" s="19"/>
      <c r="M1932" s="19"/>
      <c r="N1932" s="20" t="s">
        <v>39</v>
      </c>
      <c r="O1932" s="19"/>
      <c r="P1932" s="19"/>
      <c r="Q1932" s="19"/>
      <c r="R1932" s="19"/>
      <c r="S1932" s="19"/>
      <c r="T1932" s="19"/>
      <c r="U1932" s="19"/>
      <c r="V1932" s="19"/>
    </row>
    <row r="1933">
      <c r="A1933" s="25"/>
      <c r="B1933" s="19"/>
      <c r="C1933" s="19"/>
      <c r="D1933" s="19"/>
      <c r="E1933" s="19"/>
      <c r="F1933" s="17" t="str">
        <f>IFERROR(__xludf.DUMMYFUNCTION("""COMPUTED_VALUE"""),"")</f>
        <v/>
      </c>
      <c r="G1933" s="20"/>
      <c r="H1933" s="19"/>
      <c r="I1933" s="19"/>
      <c r="J1933" s="19"/>
      <c r="K1933" s="19"/>
      <c r="L1933" s="19"/>
      <c r="M1933" s="19"/>
      <c r="N1933" s="20" t="s">
        <v>39</v>
      </c>
      <c r="O1933" s="19"/>
      <c r="P1933" s="19"/>
      <c r="Q1933" s="19"/>
      <c r="R1933" s="19"/>
      <c r="S1933" s="19"/>
      <c r="T1933" s="19"/>
      <c r="U1933" s="19"/>
      <c r="V1933" s="19"/>
    </row>
    <row r="1934">
      <c r="A1934" s="25"/>
      <c r="B1934" s="19"/>
      <c r="C1934" s="19"/>
      <c r="D1934" s="19"/>
      <c r="E1934" s="19"/>
      <c r="F1934" s="17" t="str">
        <f>IFERROR(__xludf.DUMMYFUNCTION("""COMPUTED_VALUE"""),"")</f>
        <v/>
      </c>
      <c r="G1934" s="20"/>
      <c r="H1934" s="19"/>
      <c r="I1934" s="19"/>
      <c r="J1934" s="19"/>
      <c r="K1934" s="19"/>
      <c r="L1934" s="19"/>
      <c r="M1934" s="19"/>
      <c r="N1934" s="20" t="s">
        <v>39</v>
      </c>
      <c r="O1934" s="19"/>
      <c r="P1934" s="19"/>
      <c r="Q1934" s="19"/>
      <c r="R1934" s="19"/>
      <c r="S1934" s="19"/>
      <c r="T1934" s="19"/>
      <c r="U1934" s="19"/>
      <c r="V1934" s="19"/>
    </row>
    <row r="1935">
      <c r="A1935" s="25"/>
      <c r="B1935" s="19"/>
      <c r="C1935" s="19"/>
      <c r="D1935" s="19"/>
      <c r="E1935" s="19"/>
      <c r="F1935" s="17" t="str">
        <f>IFERROR(__xludf.DUMMYFUNCTION("""COMPUTED_VALUE"""),"")</f>
        <v/>
      </c>
      <c r="G1935" s="20"/>
      <c r="H1935" s="19"/>
      <c r="I1935" s="19"/>
      <c r="J1935" s="19"/>
      <c r="K1935" s="19"/>
      <c r="L1935" s="19"/>
      <c r="M1935" s="19"/>
      <c r="N1935" s="20" t="s">
        <v>39</v>
      </c>
      <c r="O1935" s="19"/>
      <c r="P1935" s="19"/>
      <c r="Q1935" s="19"/>
      <c r="R1935" s="19"/>
      <c r="S1935" s="19"/>
      <c r="T1935" s="19"/>
      <c r="U1935" s="19"/>
      <c r="V1935" s="19"/>
    </row>
    <row r="1936">
      <c r="A1936" s="25"/>
      <c r="B1936" s="19"/>
      <c r="C1936" s="19"/>
      <c r="D1936" s="19"/>
      <c r="E1936" s="19"/>
      <c r="F1936" s="17" t="str">
        <f>IFERROR(__xludf.DUMMYFUNCTION("""COMPUTED_VALUE"""),"")</f>
        <v/>
      </c>
      <c r="G1936" s="20"/>
      <c r="H1936" s="19"/>
      <c r="I1936" s="19"/>
      <c r="J1936" s="19"/>
      <c r="K1936" s="19"/>
      <c r="L1936" s="19"/>
      <c r="M1936" s="19"/>
      <c r="N1936" s="20" t="s">
        <v>39</v>
      </c>
      <c r="O1936" s="19"/>
      <c r="P1936" s="19"/>
      <c r="Q1936" s="19"/>
      <c r="R1936" s="19"/>
      <c r="S1936" s="19"/>
      <c r="T1936" s="19"/>
      <c r="U1936" s="19"/>
      <c r="V1936" s="19"/>
    </row>
    <row r="1937">
      <c r="A1937" s="25"/>
      <c r="B1937" s="19"/>
      <c r="C1937" s="19"/>
      <c r="D1937" s="19"/>
      <c r="E1937" s="19"/>
      <c r="F1937" s="17" t="str">
        <f>IFERROR(__xludf.DUMMYFUNCTION("""COMPUTED_VALUE"""),"")</f>
        <v/>
      </c>
      <c r="G1937" s="20"/>
      <c r="H1937" s="19"/>
      <c r="I1937" s="19"/>
      <c r="J1937" s="19"/>
      <c r="K1937" s="19"/>
      <c r="L1937" s="19"/>
      <c r="M1937" s="19"/>
      <c r="N1937" s="20" t="s">
        <v>39</v>
      </c>
      <c r="O1937" s="19"/>
      <c r="P1937" s="19"/>
      <c r="Q1937" s="19"/>
      <c r="R1937" s="19"/>
      <c r="S1937" s="19"/>
      <c r="T1937" s="19"/>
      <c r="U1937" s="19"/>
      <c r="V1937" s="19"/>
    </row>
    <row r="1938">
      <c r="A1938" s="25"/>
      <c r="B1938" s="19"/>
      <c r="C1938" s="19"/>
      <c r="D1938" s="19"/>
      <c r="E1938" s="19"/>
      <c r="F1938" s="17" t="str">
        <f>IFERROR(__xludf.DUMMYFUNCTION("""COMPUTED_VALUE"""),"")</f>
        <v/>
      </c>
      <c r="G1938" s="20"/>
      <c r="H1938" s="19"/>
      <c r="I1938" s="19"/>
      <c r="J1938" s="19"/>
      <c r="K1938" s="19"/>
      <c r="L1938" s="19"/>
      <c r="M1938" s="19"/>
      <c r="N1938" s="20" t="s">
        <v>39</v>
      </c>
      <c r="O1938" s="19"/>
      <c r="P1938" s="19"/>
      <c r="Q1938" s="19"/>
      <c r="R1938" s="19"/>
      <c r="S1938" s="19"/>
      <c r="T1938" s="19"/>
      <c r="U1938" s="19"/>
      <c r="V1938" s="19"/>
    </row>
    <row r="1939">
      <c r="A1939" s="25"/>
      <c r="B1939" s="19"/>
      <c r="C1939" s="19"/>
      <c r="D1939" s="19"/>
      <c r="E1939" s="19"/>
      <c r="F1939" s="17" t="str">
        <f>IFERROR(__xludf.DUMMYFUNCTION("""COMPUTED_VALUE"""),"")</f>
        <v/>
      </c>
      <c r="G1939" s="20"/>
      <c r="H1939" s="19"/>
      <c r="I1939" s="19"/>
      <c r="J1939" s="19"/>
      <c r="K1939" s="19"/>
      <c r="L1939" s="19"/>
      <c r="M1939" s="19"/>
      <c r="N1939" s="20" t="s">
        <v>39</v>
      </c>
      <c r="O1939" s="19"/>
      <c r="P1939" s="19"/>
      <c r="Q1939" s="19"/>
      <c r="R1939" s="19"/>
      <c r="S1939" s="19"/>
      <c r="T1939" s="19"/>
      <c r="U1939" s="19"/>
      <c r="V1939" s="19"/>
    </row>
    <row r="1940">
      <c r="A1940" s="25"/>
      <c r="B1940" s="19"/>
      <c r="C1940" s="19"/>
      <c r="D1940" s="19"/>
      <c r="E1940" s="19"/>
      <c r="F1940" s="17" t="str">
        <f>IFERROR(__xludf.DUMMYFUNCTION("""COMPUTED_VALUE"""),"")</f>
        <v/>
      </c>
      <c r="G1940" s="20"/>
      <c r="H1940" s="19"/>
      <c r="I1940" s="19"/>
      <c r="J1940" s="19"/>
      <c r="K1940" s="19"/>
      <c r="L1940" s="19"/>
      <c r="M1940" s="19"/>
      <c r="N1940" s="20" t="s">
        <v>39</v>
      </c>
      <c r="O1940" s="19"/>
      <c r="P1940" s="19"/>
      <c r="Q1940" s="19"/>
      <c r="R1940" s="19"/>
      <c r="S1940" s="19"/>
      <c r="T1940" s="19"/>
      <c r="U1940" s="19"/>
      <c r="V1940" s="19"/>
    </row>
    <row r="1941">
      <c r="A1941" s="25"/>
      <c r="B1941" s="19"/>
      <c r="C1941" s="19"/>
      <c r="D1941" s="19"/>
      <c r="E1941" s="19"/>
      <c r="F1941" s="17" t="str">
        <f>IFERROR(__xludf.DUMMYFUNCTION("""COMPUTED_VALUE"""),"")</f>
        <v/>
      </c>
      <c r="G1941" s="20"/>
      <c r="H1941" s="19"/>
      <c r="I1941" s="19"/>
      <c r="J1941" s="19"/>
      <c r="K1941" s="19"/>
      <c r="L1941" s="19"/>
      <c r="M1941" s="19"/>
      <c r="N1941" s="20" t="s">
        <v>39</v>
      </c>
      <c r="O1941" s="19"/>
      <c r="P1941" s="19"/>
      <c r="Q1941" s="19"/>
      <c r="R1941" s="19"/>
      <c r="S1941" s="19"/>
      <c r="T1941" s="19"/>
      <c r="U1941" s="19"/>
      <c r="V1941" s="19"/>
    </row>
    <row r="1942">
      <c r="A1942" s="25"/>
      <c r="B1942" s="19"/>
      <c r="C1942" s="19"/>
      <c r="D1942" s="19"/>
      <c r="E1942" s="19"/>
      <c r="F1942" s="17" t="str">
        <f>IFERROR(__xludf.DUMMYFUNCTION("""COMPUTED_VALUE"""),"")</f>
        <v/>
      </c>
      <c r="G1942" s="20"/>
      <c r="H1942" s="19"/>
      <c r="I1942" s="19"/>
      <c r="J1942" s="19"/>
      <c r="K1942" s="19"/>
      <c r="L1942" s="19"/>
      <c r="M1942" s="19"/>
      <c r="N1942" s="20" t="s">
        <v>39</v>
      </c>
      <c r="O1942" s="19"/>
      <c r="P1942" s="19"/>
      <c r="Q1942" s="19"/>
      <c r="R1942" s="19"/>
      <c r="S1942" s="19"/>
      <c r="T1942" s="19"/>
      <c r="U1942" s="19"/>
      <c r="V1942" s="19"/>
    </row>
    <row r="1943">
      <c r="A1943" s="25"/>
      <c r="B1943" s="19"/>
      <c r="C1943" s="19"/>
      <c r="D1943" s="19"/>
      <c r="E1943" s="19"/>
      <c r="F1943" s="17" t="str">
        <f>IFERROR(__xludf.DUMMYFUNCTION("""COMPUTED_VALUE"""),"")</f>
        <v/>
      </c>
      <c r="G1943" s="20"/>
      <c r="H1943" s="19"/>
      <c r="I1943" s="19"/>
      <c r="J1943" s="19"/>
      <c r="K1943" s="19"/>
      <c r="L1943" s="19"/>
      <c r="M1943" s="19"/>
      <c r="N1943" s="20" t="s">
        <v>39</v>
      </c>
      <c r="O1943" s="19"/>
      <c r="P1943" s="19"/>
      <c r="Q1943" s="19"/>
      <c r="R1943" s="19"/>
      <c r="S1943" s="19"/>
      <c r="T1943" s="19"/>
      <c r="U1943" s="19"/>
      <c r="V1943" s="19"/>
    </row>
    <row r="1944">
      <c r="A1944" s="25"/>
      <c r="B1944" s="19"/>
      <c r="C1944" s="19"/>
      <c r="D1944" s="19"/>
      <c r="E1944" s="19"/>
      <c r="F1944" s="17" t="str">
        <f>IFERROR(__xludf.DUMMYFUNCTION("""COMPUTED_VALUE"""),"")</f>
        <v/>
      </c>
      <c r="G1944" s="20"/>
      <c r="H1944" s="19"/>
      <c r="I1944" s="19"/>
      <c r="J1944" s="19"/>
      <c r="K1944" s="19"/>
      <c r="L1944" s="19"/>
      <c r="M1944" s="19"/>
      <c r="N1944" s="20" t="s">
        <v>39</v>
      </c>
      <c r="O1944" s="19"/>
      <c r="P1944" s="19"/>
      <c r="Q1944" s="19"/>
      <c r="R1944" s="19"/>
      <c r="S1944" s="19"/>
      <c r="T1944" s="19"/>
      <c r="U1944" s="19"/>
      <c r="V1944" s="19"/>
    </row>
    <row r="1945">
      <c r="A1945" s="25"/>
      <c r="B1945" s="19"/>
      <c r="C1945" s="19"/>
      <c r="D1945" s="19"/>
      <c r="E1945" s="19"/>
      <c r="F1945" s="17" t="str">
        <f>IFERROR(__xludf.DUMMYFUNCTION("""COMPUTED_VALUE"""),"")</f>
        <v/>
      </c>
      <c r="G1945" s="20"/>
      <c r="H1945" s="19"/>
      <c r="I1945" s="19"/>
      <c r="J1945" s="19"/>
      <c r="K1945" s="19"/>
      <c r="L1945" s="19"/>
      <c r="M1945" s="19"/>
      <c r="N1945" s="20" t="s">
        <v>39</v>
      </c>
      <c r="O1945" s="19"/>
      <c r="P1945" s="19"/>
      <c r="Q1945" s="19"/>
      <c r="R1945" s="19"/>
      <c r="S1945" s="19"/>
      <c r="T1945" s="19"/>
      <c r="U1945" s="19"/>
      <c r="V1945" s="19"/>
    </row>
    <row r="1946">
      <c r="A1946" s="25"/>
      <c r="B1946" s="19"/>
      <c r="C1946" s="19"/>
      <c r="D1946" s="19"/>
      <c r="E1946" s="19"/>
      <c r="F1946" s="17" t="str">
        <f>IFERROR(__xludf.DUMMYFUNCTION("""COMPUTED_VALUE"""),"")</f>
        <v/>
      </c>
      <c r="G1946" s="20"/>
      <c r="H1946" s="19"/>
      <c r="I1946" s="19"/>
      <c r="J1946" s="19"/>
      <c r="K1946" s="19"/>
      <c r="L1946" s="19"/>
      <c r="M1946" s="19"/>
      <c r="N1946" s="20" t="s">
        <v>39</v>
      </c>
      <c r="O1946" s="19"/>
      <c r="P1946" s="19"/>
      <c r="Q1946" s="19"/>
      <c r="R1946" s="19"/>
      <c r="S1946" s="19"/>
      <c r="T1946" s="19"/>
      <c r="U1946" s="19"/>
      <c r="V1946" s="19"/>
    </row>
    <row r="1947">
      <c r="A1947" s="25"/>
      <c r="B1947" s="19"/>
      <c r="C1947" s="19"/>
      <c r="D1947" s="19"/>
      <c r="E1947" s="19"/>
      <c r="F1947" s="17" t="str">
        <f>IFERROR(__xludf.DUMMYFUNCTION("""COMPUTED_VALUE"""),"")</f>
        <v/>
      </c>
      <c r="G1947" s="20"/>
      <c r="H1947" s="19"/>
      <c r="I1947" s="19"/>
      <c r="J1947" s="19"/>
      <c r="K1947" s="19"/>
      <c r="L1947" s="19"/>
      <c r="M1947" s="19"/>
      <c r="N1947" s="20" t="s">
        <v>39</v>
      </c>
      <c r="O1947" s="19"/>
      <c r="P1947" s="19"/>
      <c r="Q1947" s="19"/>
      <c r="R1947" s="19"/>
      <c r="S1947" s="19"/>
      <c r="T1947" s="19"/>
      <c r="U1947" s="19"/>
      <c r="V1947" s="19"/>
    </row>
    <row r="1948">
      <c r="A1948" s="25"/>
      <c r="B1948" s="19"/>
      <c r="C1948" s="19"/>
      <c r="D1948" s="19"/>
      <c r="E1948" s="19"/>
      <c r="F1948" s="17" t="str">
        <f>IFERROR(__xludf.DUMMYFUNCTION("""COMPUTED_VALUE"""),"")</f>
        <v/>
      </c>
      <c r="G1948" s="20"/>
      <c r="H1948" s="19"/>
      <c r="I1948" s="19"/>
      <c r="J1948" s="19"/>
      <c r="K1948" s="19"/>
      <c r="L1948" s="19"/>
      <c r="M1948" s="19"/>
      <c r="N1948" s="20" t="s">
        <v>39</v>
      </c>
      <c r="O1948" s="19"/>
      <c r="P1948" s="19"/>
      <c r="Q1948" s="19"/>
      <c r="R1948" s="19"/>
      <c r="S1948" s="19"/>
      <c r="T1948" s="19"/>
      <c r="U1948" s="19"/>
      <c r="V1948" s="19"/>
    </row>
    <row r="1949">
      <c r="A1949" s="25"/>
      <c r="B1949" s="19"/>
      <c r="C1949" s="19"/>
      <c r="D1949" s="19"/>
      <c r="E1949" s="19"/>
      <c r="F1949" s="17" t="str">
        <f>IFERROR(__xludf.DUMMYFUNCTION("""COMPUTED_VALUE"""),"")</f>
        <v/>
      </c>
      <c r="G1949" s="20"/>
      <c r="H1949" s="19"/>
      <c r="I1949" s="19"/>
      <c r="J1949" s="19"/>
      <c r="K1949" s="19"/>
      <c r="L1949" s="19"/>
      <c r="M1949" s="19"/>
      <c r="N1949" s="20" t="s">
        <v>39</v>
      </c>
      <c r="O1949" s="19"/>
      <c r="P1949" s="19"/>
      <c r="Q1949" s="19"/>
      <c r="R1949" s="19"/>
      <c r="S1949" s="19"/>
      <c r="T1949" s="19"/>
      <c r="U1949" s="19"/>
      <c r="V1949" s="19"/>
    </row>
    <row r="1950">
      <c r="A1950" s="25"/>
      <c r="B1950" s="19"/>
      <c r="C1950" s="19"/>
      <c r="D1950" s="19"/>
      <c r="E1950" s="19"/>
      <c r="F1950" s="17" t="str">
        <f>IFERROR(__xludf.DUMMYFUNCTION("""COMPUTED_VALUE"""),"")</f>
        <v/>
      </c>
      <c r="G1950" s="20"/>
      <c r="H1950" s="19"/>
      <c r="I1950" s="19"/>
      <c r="J1950" s="19"/>
      <c r="K1950" s="19"/>
      <c r="L1950" s="19"/>
      <c r="M1950" s="19"/>
      <c r="N1950" s="20" t="s">
        <v>39</v>
      </c>
      <c r="O1950" s="19"/>
      <c r="P1950" s="19"/>
      <c r="Q1950" s="19"/>
      <c r="R1950" s="19"/>
      <c r="S1950" s="19"/>
      <c r="T1950" s="19"/>
      <c r="U1950" s="19"/>
      <c r="V1950" s="19"/>
    </row>
    <row r="1951">
      <c r="A1951" s="25"/>
      <c r="B1951" s="19"/>
      <c r="C1951" s="19"/>
      <c r="D1951" s="19"/>
      <c r="E1951" s="19"/>
      <c r="F1951" s="17" t="str">
        <f>IFERROR(__xludf.DUMMYFUNCTION("""COMPUTED_VALUE"""),"")</f>
        <v/>
      </c>
      <c r="G1951" s="20"/>
      <c r="H1951" s="19"/>
      <c r="I1951" s="19"/>
      <c r="J1951" s="19"/>
      <c r="K1951" s="19"/>
      <c r="L1951" s="19"/>
      <c r="M1951" s="19"/>
      <c r="N1951" s="20" t="s">
        <v>39</v>
      </c>
      <c r="O1951" s="19"/>
      <c r="P1951" s="19"/>
      <c r="Q1951" s="19"/>
      <c r="R1951" s="19"/>
      <c r="S1951" s="19"/>
      <c r="T1951" s="19"/>
      <c r="U1951" s="19"/>
      <c r="V1951" s="19"/>
    </row>
    <row r="1952">
      <c r="A1952" s="25"/>
      <c r="B1952" s="19"/>
      <c r="C1952" s="19"/>
      <c r="D1952" s="19"/>
      <c r="E1952" s="19"/>
      <c r="F1952" s="17" t="str">
        <f>IFERROR(__xludf.DUMMYFUNCTION("""COMPUTED_VALUE"""),"")</f>
        <v/>
      </c>
      <c r="G1952" s="20"/>
      <c r="H1952" s="19"/>
      <c r="I1952" s="19"/>
      <c r="J1952" s="19"/>
      <c r="K1952" s="19"/>
      <c r="L1952" s="19"/>
      <c r="M1952" s="19"/>
      <c r="N1952" s="20" t="s">
        <v>39</v>
      </c>
      <c r="O1952" s="19"/>
      <c r="P1952" s="19"/>
      <c r="Q1952" s="19"/>
      <c r="R1952" s="19"/>
      <c r="S1952" s="19"/>
      <c r="T1952" s="19"/>
      <c r="U1952" s="19"/>
      <c r="V1952" s="19"/>
    </row>
    <row r="1953">
      <c r="A1953" s="25"/>
      <c r="B1953" s="19"/>
      <c r="C1953" s="19"/>
      <c r="D1953" s="19"/>
      <c r="E1953" s="19"/>
      <c r="F1953" s="17" t="str">
        <f>IFERROR(__xludf.DUMMYFUNCTION("""COMPUTED_VALUE"""),"")</f>
        <v/>
      </c>
      <c r="G1953" s="20"/>
      <c r="H1953" s="19"/>
      <c r="I1953" s="19"/>
      <c r="J1953" s="19"/>
      <c r="K1953" s="19"/>
      <c r="L1953" s="19"/>
      <c r="M1953" s="19"/>
      <c r="N1953" s="20" t="s">
        <v>39</v>
      </c>
      <c r="O1953" s="19"/>
      <c r="P1953" s="19"/>
      <c r="Q1953" s="19"/>
      <c r="R1953" s="19"/>
      <c r="S1953" s="19"/>
      <c r="T1953" s="19"/>
      <c r="U1953" s="19"/>
      <c r="V1953" s="19"/>
    </row>
    <row r="1954">
      <c r="A1954" s="25"/>
      <c r="B1954" s="19"/>
      <c r="C1954" s="19"/>
      <c r="D1954" s="19"/>
      <c r="E1954" s="19"/>
      <c r="F1954" s="17" t="str">
        <f>IFERROR(__xludf.DUMMYFUNCTION("""COMPUTED_VALUE"""),"")</f>
        <v/>
      </c>
      <c r="G1954" s="20"/>
      <c r="H1954" s="19"/>
      <c r="I1954" s="19"/>
      <c r="J1954" s="19"/>
      <c r="K1954" s="19"/>
      <c r="L1954" s="19"/>
      <c r="M1954" s="19"/>
      <c r="N1954" s="20" t="s">
        <v>39</v>
      </c>
      <c r="O1954" s="19"/>
      <c r="P1954" s="19"/>
      <c r="Q1954" s="19"/>
      <c r="R1954" s="19"/>
      <c r="S1954" s="19"/>
      <c r="T1954" s="19"/>
      <c r="U1954" s="19"/>
      <c r="V1954" s="19"/>
    </row>
    <row r="1955">
      <c r="A1955" s="25"/>
      <c r="B1955" s="19"/>
      <c r="C1955" s="19"/>
      <c r="D1955" s="19"/>
      <c r="E1955" s="19"/>
      <c r="F1955" s="17" t="str">
        <f>IFERROR(__xludf.DUMMYFUNCTION("""COMPUTED_VALUE"""),"")</f>
        <v/>
      </c>
      <c r="G1955" s="20"/>
      <c r="H1955" s="19"/>
      <c r="I1955" s="19"/>
      <c r="J1955" s="19"/>
      <c r="K1955" s="19"/>
      <c r="L1955" s="19"/>
      <c r="M1955" s="19"/>
      <c r="N1955" s="20" t="s">
        <v>39</v>
      </c>
      <c r="O1955" s="19"/>
      <c r="P1955" s="19"/>
      <c r="Q1955" s="19"/>
      <c r="R1955" s="19"/>
      <c r="S1955" s="19"/>
      <c r="T1955" s="19"/>
      <c r="U1955" s="19"/>
      <c r="V1955" s="19"/>
    </row>
    <row r="1956">
      <c r="A1956" s="25"/>
      <c r="B1956" s="19"/>
      <c r="C1956" s="19"/>
      <c r="D1956" s="19"/>
      <c r="E1956" s="19"/>
      <c r="F1956" s="17" t="str">
        <f>IFERROR(__xludf.DUMMYFUNCTION("""COMPUTED_VALUE"""),"")</f>
        <v/>
      </c>
      <c r="G1956" s="20"/>
      <c r="H1956" s="19"/>
      <c r="I1956" s="19"/>
      <c r="J1956" s="19"/>
      <c r="K1956" s="19"/>
      <c r="L1956" s="19"/>
      <c r="M1956" s="19"/>
      <c r="N1956" s="20" t="s">
        <v>39</v>
      </c>
      <c r="O1956" s="19"/>
      <c r="P1956" s="19"/>
      <c r="Q1956" s="19"/>
      <c r="R1956" s="19"/>
      <c r="S1956" s="19"/>
      <c r="T1956" s="19"/>
      <c r="U1956" s="19"/>
      <c r="V1956" s="19"/>
    </row>
    <row r="1957">
      <c r="A1957" s="25"/>
      <c r="B1957" s="19"/>
      <c r="C1957" s="19"/>
      <c r="D1957" s="19"/>
      <c r="E1957" s="19"/>
      <c r="F1957" s="17" t="str">
        <f>IFERROR(__xludf.DUMMYFUNCTION("""COMPUTED_VALUE"""),"")</f>
        <v/>
      </c>
      <c r="G1957" s="20"/>
      <c r="H1957" s="19"/>
      <c r="I1957" s="19"/>
      <c r="J1957" s="19"/>
      <c r="K1957" s="19"/>
      <c r="L1957" s="19"/>
      <c r="M1957" s="19"/>
      <c r="N1957" s="20" t="s">
        <v>39</v>
      </c>
      <c r="O1957" s="19"/>
      <c r="P1957" s="19"/>
      <c r="Q1957" s="19"/>
      <c r="R1957" s="19"/>
      <c r="S1957" s="19"/>
      <c r="T1957" s="19"/>
      <c r="U1957" s="19"/>
      <c r="V1957" s="19"/>
    </row>
    <row r="1958">
      <c r="A1958" s="25"/>
      <c r="B1958" s="19"/>
      <c r="C1958" s="19"/>
      <c r="D1958" s="19"/>
      <c r="E1958" s="19"/>
      <c r="F1958" s="17" t="str">
        <f>IFERROR(__xludf.DUMMYFUNCTION("""COMPUTED_VALUE"""),"")</f>
        <v/>
      </c>
      <c r="G1958" s="20"/>
      <c r="H1958" s="19"/>
      <c r="I1958" s="19"/>
      <c r="J1958" s="19"/>
      <c r="K1958" s="19"/>
      <c r="L1958" s="19"/>
      <c r="M1958" s="19"/>
      <c r="N1958" s="20" t="s">
        <v>39</v>
      </c>
      <c r="O1958" s="19"/>
      <c r="P1958" s="19"/>
      <c r="Q1958" s="19"/>
      <c r="R1958" s="19"/>
      <c r="S1958" s="19"/>
      <c r="T1958" s="19"/>
      <c r="U1958" s="19"/>
      <c r="V1958" s="19"/>
    </row>
    <row r="1959">
      <c r="A1959" s="25"/>
      <c r="B1959" s="19"/>
      <c r="C1959" s="19"/>
      <c r="D1959" s="19"/>
      <c r="E1959" s="19"/>
      <c r="F1959" s="17" t="str">
        <f>IFERROR(__xludf.DUMMYFUNCTION("""COMPUTED_VALUE"""),"")</f>
        <v/>
      </c>
      <c r="G1959" s="20"/>
      <c r="H1959" s="19"/>
      <c r="I1959" s="19"/>
      <c r="J1959" s="19"/>
      <c r="K1959" s="19"/>
      <c r="L1959" s="19"/>
      <c r="M1959" s="19"/>
      <c r="N1959" s="20" t="s">
        <v>39</v>
      </c>
      <c r="O1959" s="19"/>
      <c r="P1959" s="19"/>
      <c r="Q1959" s="19"/>
      <c r="R1959" s="19"/>
      <c r="S1959" s="19"/>
      <c r="T1959" s="19"/>
      <c r="U1959" s="19"/>
      <c r="V1959" s="19"/>
    </row>
    <row r="1960">
      <c r="A1960" s="25"/>
      <c r="B1960" s="19"/>
      <c r="C1960" s="19"/>
      <c r="D1960" s="19"/>
      <c r="E1960" s="19"/>
      <c r="F1960" s="17" t="str">
        <f>IFERROR(__xludf.DUMMYFUNCTION("""COMPUTED_VALUE"""),"")</f>
        <v/>
      </c>
      <c r="G1960" s="20"/>
      <c r="H1960" s="19"/>
      <c r="I1960" s="19"/>
      <c r="J1960" s="19"/>
      <c r="K1960" s="19"/>
      <c r="L1960" s="19"/>
      <c r="M1960" s="19"/>
      <c r="N1960" s="20" t="s">
        <v>39</v>
      </c>
      <c r="O1960" s="19"/>
      <c r="P1960" s="19"/>
      <c r="Q1960" s="19"/>
      <c r="R1960" s="19"/>
      <c r="S1960" s="19"/>
      <c r="T1960" s="19"/>
      <c r="U1960" s="19"/>
      <c r="V1960" s="19"/>
    </row>
    <row r="1961">
      <c r="A1961" s="25"/>
      <c r="B1961" s="19"/>
      <c r="C1961" s="19"/>
      <c r="D1961" s="19"/>
      <c r="E1961" s="19"/>
      <c r="F1961" s="17" t="str">
        <f>IFERROR(__xludf.DUMMYFUNCTION("""COMPUTED_VALUE"""),"")</f>
        <v/>
      </c>
      <c r="G1961" s="20"/>
      <c r="H1961" s="19"/>
      <c r="I1961" s="19"/>
      <c r="J1961" s="19"/>
      <c r="K1961" s="19"/>
      <c r="L1961" s="19"/>
      <c r="M1961" s="19"/>
      <c r="N1961" s="20" t="s">
        <v>39</v>
      </c>
      <c r="O1961" s="19"/>
      <c r="P1961" s="19"/>
      <c r="Q1961" s="19"/>
      <c r="R1961" s="19"/>
      <c r="S1961" s="19"/>
      <c r="T1961" s="19"/>
      <c r="U1961" s="19"/>
      <c r="V1961" s="19"/>
    </row>
    <row r="1962">
      <c r="A1962" s="25"/>
      <c r="B1962" s="19"/>
      <c r="C1962" s="19"/>
      <c r="D1962" s="19"/>
      <c r="E1962" s="19"/>
      <c r="F1962" s="17" t="str">
        <f>IFERROR(__xludf.DUMMYFUNCTION("""COMPUTED_VALUE"""),"")</f>
        <v/>
      </c>
      <c r="G1962" s="20"/>
      <c r="H1962" s="19"/>
      <c r="I1962" s="19"/>
      <c r="J1962" s="19"/>
      <c r="K1962" s="19"/>
      <c r="L1962" s="19"/>
      <c r="M1962" s="19"/>
      <c r="N1962" s="20" t="s">
        <v>39</v>
      </c>
      <c r="O1962" s="19"/>
      <c r="P1962" s="19"/>
      <c r="Q1962" s="19"/>
      <c r="R1962" s="19"/>
      <c r="S1962" s="19"/>
      <c r="T1962" s="19"/>
      <c r="U1962" s="19"/>
      <c r="V1962" s="19"/>
    </row>
    <row r="1963">
      <c r="A1963" s="25"/>
      <c r="B1963" s="19"/>
      <c r="C1963" s="19"/>
      <c r="D1963" s="19"/>
      <c r="E1963" s="19"/>
      <c r="F1963" s="17" t="str">
        <f>IFERROR(__xludf.DUMMYFUNCTION("""COMPUTED_VALUE"""),"")</f>
        <v/>
      </c>
      <c r="G1963" s="20"/>
      <c r="H1963" s="19"/>
      <c r="I1963" s="19"/>
      <c r="J1963" s="19"/>
      <c r="K1963" s="19"/>
      <c r="L1963" s="19"/>
      <c r="M1963" s="19"/>
      <c r="N1963" s="20" t="s">
        <v>39</v>
      </c>
      <c r="O1963" s="19"/>
      <c r="P1963" s="19"/>
      <c r="Q1963" s="19"/>
      <c r="R1963" s="19"/>
      <c r="S1963" s="19"/>
      <c r="T1963" s="19"/>
      <c r="U1963" s="19"/>
      <c r="V1963" s="19"/>
    </row>
    <row r="1964">
      <c r="A1964" s="25"/>
      <c r="B1964" s="19"/>
      <c r="C1964" s="19"/>
      <c r="D1964" s="19"/>
      <c r="E1964" s="19"/>
      <c r="F1964" s="17" t="str">
        <f>IFERROR(__xludf.DUMMYFUNCTION("""COMPUTED_VALUE"""),"")</f>
        <v/>
      </c>
      <c r="G1964" s="20"/>
      <c r="H1964" s="19"/>
      <c r="I1964" s="19"/>
      <c r="J1964" s="19"/>
      <c r="K1964" s="19"/>
      <c r="L1964" s="19"/>
      <c r="M1964" s="19"/>
      <c r="N1964" s="20" t="s">
        <v>39</v>
      </c>
      <c r="O1964" s="19"/>
      <c r="P1964" s="19"/>
      <c r="Q1964" s="19"/>
      <c r="R1964" s="19"/>
      <c r="S1964" s="19"/>
      <c r="T1964" s="19"/>
      <c r="U1964" s="19"/>
      <c r="V1964" s="19"/>
    </row>
    <row r="1965">
      <c r="A1965" s="25"/>
      <c r="B1965" s="19"/>
      <c r="C1965" s="19"/>
      <c r="D1965" s="19"/>
      <c r="E1965" s="19"/>
      <c r="F1965" s="17" t="str">
        <f>IFERROR(__xludf.DUMMYFUNCTION("""COMPUTED_VALUE"""),"")</f>
        <v/>
      </c>
      <c r="G1965" s="20"/>
      <c r="H1965" s="19"/>
      <c r="I1965" s="19"/>
      <c r="J1965" s="19"/>
      <c r="K1965" s="19"/>
      <c r="L1965" s="19"/>
      <c r="M1965" s="19"/>
      <c r="N1965" s="20" t="s">
        <v>39</v>
      </c>
      <c r="O1965" s="19"/>
      <c r="P1965" s="19"/>
      <c r="Q1965" s="19"/>
      <c r="R1965" s="19"/>
      <c r="S1965" s="19"/>
      <c r="T1965" s="19"/>
      <c r="U1965" s="19"/>
      <c r="V1965" s="19"/>
    </row>
    <row r="1966">
      <c r="A1966" s="25"/>
      <c r="B1966" s="19"/>
      <c r="C1966" s="19"/>
      <c r="D1966" s="19"/>
      <c r="E1966" s="19"/>
      <c r="F1966" s="17" t="str">
        <f>IFERROR(__xludf.DUMMYFUNCTION("""COMPUTED_VALUE"""),"")</f>
        <v/>
      </c>
      <c r="G1966" s="20"/>
      <c r="H1966" s="19"/>
      <c r="I1966" s="19"/>
      <c r="J1966" s="19"/>
      <c r="K1966" s="19"/>
      <c r="L1966" s="19"/>
      <c r="M1966" s="19"/>
      <c r="N1966" s="20" t="s">
        <v>39</v>
      </c>
      <c r="O1966" s="19"/>
      <c r="P1966" s="19"/>
      <c r="Q1966" s="19"/>
      <c r="R1966" s="19"/>
      <c r="S1966" s="19"/>
      <c r="T1966" s="19"/>
      <c r="U1966" s="19"/>
      <c r="V1966" s="19"/>
    </row>
    <row r="1967">
      <c r="A1967" s="25"/>
      <c r="B1967" s="19"/>
      <c r="C1967" s="19"/>
      <c r="D1967" s="19"/>
      <c r="E1967" s="19"/>
      <c r="F1967" s="17" t="str">
        <f>IFERROR(__xludf.DUMMYFUNCTION("""COMPUTED_VALUE"""),"")</f>
        <v/>
      </c>
      <c r="G1967" s="20"/>
      <c r="H1967" s="19"/>
      <c r="I1967" s="19"/>
      <c r="J1967" s="19"/>
      <c r="K1967" s="19"/>
      <c r="L1967" s="19"/>
      <c r="M1967" s="19"/>
      <c r="N1967" s="20" t="s">
        <v>39</v>
      </c>
      <c r="O1967" s="19"/>
      <c r="P1967" s="19"/>
      <c r="Q1967" s="19"/>
      <c r="R1967" s="19"/>
      <c r="S1967" s="19"/>
      <c r="T1967" s="19"/>
      <c r="U1967" s="19"/>
      <c r="V1967" s="19"/>
    </row>
    <row r="1968">
      <c r="A1968" s="25"/>
      <c r="B1968" s="19"/>
      <c r="C1968" s="19"/>
      <c r="D1968" s="19"/>
      <c r="E1968" s="19"/>
      <c r="F1968" s="17" t="str">
        <f>IFERROR(__xludf.DUMMYFUNCTION("""COMPUTED_VALUE"""),"")</f>
        <v/>
      </c>
      <c r="G1968" s="20"/>
      <c r="H1968" s="19"/>
      <c r="I1968" s="19"/>
      <c r="J1968" s="19"/>
      <c r="K1968" s="19"/>
      <c r="L1968" s="19"/>
      <c r="M1968" s="19"/>
      <c r="N1968" s="20" t="s">
        <v>39</v>
      </c>
      <c r="O1968" s="19"/>
      <c r="P1968" s="19"/>
      <c r="Q1968" s="19"/>
      <c r="R1968" s="19"/>
      <c r="S1968" s="19"/>
      <c r="T1968" s="19"/>
      <c r="U1968" s="19"/>
      <c r="V1968" s="19"/>
    </row>
    <row r="1969">
      <c r="A1969" s="25"/>
      <c r="B1969" s="19"/>
      <c r="C1969" s="19"/>
      <c r="D1969" s="19"/>
      <c r="E1969" s="19"/>
      <c r="F1969" s="17" t="str">
        <f>IFERROR(__xludf.DUMMYFUNCTION("""COMPUTED_VALUE"""),"")</f>
        <v/>
      </c>
      <c r="G1969" s="20"/>
      <c r="H1969" s="19"/>
      <c r="I1969" s="19"/>
      <c r="J1969" s="19"/>
      <c r="K1969" s="19"/>
      <c r="L1969" s="19"/>
      <c r="M1969" s="19"/>
      <c r="N1969" s="20" t="s">
        <v>39</v>
      </c>
      <c r="O1969" s="19"/>
      <c r="P1969" s="19"/>
      <c r="Q1969" s="19"/>
      <c r="R1969" s="19"/>
      <c r="S1969" s="19"/>
      <c r="T1969" s="19"/>
      <c r="U1969" s="19"/>
      <c r="V1969" s="19"/>
    </row>
    <row r="1970">
      <c r="A1970" s="25"/>
      <c r="B1970" s="19"/>
      <c r="C1970" s="19"/>
      <c r="D1970" s="19"/>
      <c r="E1970" s="19"/>
      <c r="F1970" s="17" t="str">
        <f>IFERROR(__xludf.DUMMYFUNCTION("""COMPUTED_VALUE"""),"")</f>
        <v/>
      </c>
      <c r="G1970" s="20"/>
      <c r="H1970" s="19"/>
      <c r="I1970" s="19"/>
      <c r="J1970" s="19"/>
      <c r="K1970" s="19"/>
      <c r="L1970" s="19"/>
      <c r="M1970" s="19"/>
      <c r="N1970" s="20" t="s">
        <v>39</v>
      </c>
      <c r="O1970" s="19"/>
      <c r="P1970" s="19"/>
      <c r="Q1970" s="19"/>
      <c r="R1970" s="19"/>
      <c r="S1970" s="19"/>
      <c r="T1970" s="19"/>
      <c r="U1970" s="19"/>
      <c r="V1970" s="19"/>
    </row>
    <row r="1971">
      <c r="A1971" s="25"/>
      <c r="B1971" s="19"/>
      <c r="C1971" s="19"/>
      <c r="D1971" s="19"/>
      <c r="E1971" s="19"/>
      <c r="F1971" s="17" t="str">
        <f>IFERROR(__xludf.DUMMYFUNCTION("""COMPUTED_VALUE"""),"")</f>
        <v/>
      </c>
      <c r="G1971" s="20"/>
      <c r="H1971" s="19"/>
      <c r="I1971" s="19"/>
      <c r="J1971" s="19"/>
      <c r="K1971" s="19"/>
      <c r="L1971" s="19"/>
      <c r="M1971" s="19"/>
      <c r="N1971" s="20" t="s">
        <v>39</v>
      </c>
      <c r="O1971" s="19"/>
      <c r="P1971" s="19"/>
      <c r="Q1971" s="19"/>
      <c r="R1971" s="19"/>
      <c r="S1971" s="19"/>
      <c r="T1971" s="19"/>
      <c r="U1971" s="19"/>
      <c r="V1971" s="19"/>
    </row>
    <row r="1972">
      <c r="A1972" s="25"/>
      <c r="B1972" s="19"/>
      <c r="C1972" s="19"/>
      <c r="D1972" s="19"/>
      <c r="E1972" s="19"/>
      <c r="F1972" s="17" t="str">
        <f>IFERROR(__xludf.DUMMYFUNCTION("""COMPUTED_VALUE"""),"")</f>
        <v/>
      </c>
      <c r="G1972" s="20"/>
      <c r="H1972" s="19"/>
      <c r="I1972" s="19"/>
      <c r="J1972" s="19"/>
      <c r="K1972" s="19"/>
      <c r="L1972" s="19"/>
      <c r="M1972" s="19"/>
      <c r="N1972" s="20" t="s">
        <v>39</v>
      </c>
      <c r="O1972" s="19"/>
      <c r="P1972" s="19"/>
      <c r="Q1972" s="19"/>
      <c r="R1972" s="19"/>
      <c r="S1972" s="19"/>
      <c r="T1972" s="19"/>
      <c r="U1972" s="19"/>
      <c r="V1972" s="19"/>
    </row>
    <row r="1973">
      <c r="A1973" s="25"/>
      <c r="B1973" s="19"/>
      <c r="C1973" s="19"/>
      <c r="D1973" s="19"/>
      <c r="E1973" s="19"/>
      <c r="F1973" s="17" t="str">
        <f>IFERROR(__xludf.DUMMYFUNCTION("""COMPUTED_VALUE"""),"")</f>
        <v/>
      </c>
      <c r="G1973" s="20"/>
      <c r="H1973" s="19"/>
      <c r="I1973" s="19"/>
      <c r="J1973" s="19"/>
      <c r="K1973" s="19"/>
      <c r="L1973" s="19"/>
      <c r="M1973" s="19"/>
      <c r="N1973" s="20" t="s">
        <v>39</v>
      </c>
      <c r="O1973" s="19"/>
      <c r="P1973" s="19"/>
      <c r="Q1973" s="19"/>
      <c r="R1973" s="19"/>
      <c r="S1973" s="19"/>
      <c r="T1973" s="19"/>
      <c r="U1973" s="19"/>
      <c r="V1973" s="19"/>
    </row>
    <row r="1974">
      <c r="A1974" s="25"/>
      <c r="B1974" s="19"/>
      <c r="C1974" s="19"/>
      <c r="D1974" s="19"/>
      <c r="E1974" s="19"/>
      <c r="F1974" s="17" t="str">
        <f>IFERROR(__xludf.DUMMYFUNCTION("""COMPUTED_VALUE"""),"")</f>
        <v/>
      </c>
      <c r="G1974" s="20"/>
      <c r="H1974" s="19"/>
      <c r="I1974" s="19"/>
      <c r="J1974" s="19"/>
      <c r="K1974" s="19"/>
      <c r="L1974" s="19"/>
      <c r="M1974" s="19"/>
      <c r="N1974" s="20" t="s">
        <v>39</v>
      </c>
      <c r="O1974" s="19"/>
      <c r="P1974" s="19"/>
      <c r="Q1974" s="19"/>
      <c r="R1974" s="19"/>
      <c r="S1974" s="19"/>
      <c r="T1974" s="19"/>
      <c r="U1974" s="19"/>
      <c r="V1974" s="19"/>
    </row>
    <row r="1975">
      <c r="A1975" s="25"/>
      <c r="B1975" s="19"/>
      <c r="C1975" s="19"/>
      <c r="D1975" s="19"/>
      <c r="E1975" s="19"/>
      <c r="F1975" s="17" t="str">
        <f>IFERROR(__xludf.DUMMYFUNCTION("""COMPUTED_VALUE"""),"")</f>
        <v/>
      </c>
      <c r="G1975" s="20"/>
      <c r="H1975" s="19"/>
      <c r="I1975" s="19"/>
      <c r="J1975" s="19"/>
      <c r="K1975" s="19"/>
      <c r="L1975" s="19"/>
      <c r="M1975" s="19"/>
      <c r="N1975" s="20" t="s">
        <v>39</v>
      </c>
      <c r="O1975" s="19"/>
      <c r="P1975" s="19"/>
      <c r="Q1975" s="19"/>
      <c r="R1975" s="19"/>
      <c r="S1975" s="19"/>
      <c r="T1975" s="19"/>
      <c r="U1975" s="19"/>
      <c r="V1975" s="19"/>
    </row>
    <row r="1976">
      <c r="A1976" s="25"/>
      <c r="B1976" s="19"/>
      <c r="C1976" s="19"/>
      <c r="D1976" s="19"/>
      <c r="E1976" s="19"/>
      <c r="F1976" s="17" t="str">
        <f>IFERROR(__xludf.DUMMYFUNCTION("""COMPUTED_VALUE"""),"")</f>
        <v/>
      </c>
      <c r="G1976" s="20"/>
      <c r="H1976" s="19"/>
      <c r="I1976" s="19"/>
      <c r="J1976" s="19"/>
      <c r="K1976" s="19"/>
      <c r="L1976" s="19"/>
      <c r="M1976" s="19"/>
      <c r="N1976" s="20" t="s">
        <v>39</v>
      </c>
      <c r="O1976" s="19"/>
      <c r="P1976" s="19"/>
      <c r="Q1976" s="19"/>
      <c r="R1976" s="19"/>
      <c r="S1976" s="19"/>
      <c r="T1976" s="19"/>
      <c r="U1976" s="19"/>
      <c r="V1976" s="19"/>
    </row>
    <row r="1977">
      <c r="A1977" s="25"/>
      <c r="B1977" s="19"/>
      <c r="C1977" s="19"/>
      <c r="D1977" s="19"/>
      <c r="E1977" s="19"/>
      <c r="F1977" s="17" t="str">
        <f>IFERROR(__xludf.DUMMYFUNCTION("""COMPUTED_VALUE"""),"")</f>
        <v/>
      </c>
      <c r="G1977" s="20"/>
      <c r="H1977" s="19"/>
      <c r="I1977" s="19"/>
      <c r="J1977" s="19"/>
      <c r="K1977" s="19"/>
      <c r="L1977" s="19"/>
      <c r="M1977" s="19"/>
      <c r="N1977" s="20" t="s">
        <v>39</v>
      </c>
      <c r="O1977" s="19"/>
      <c r="P1977" s="19"/>
      <c r="Q1977" s="19"/>
      <c r="R1977" s="19"/>
      <c r="S1977" s="19"/>
      <c r="T1977" s="19"/>
      <c r="U1977" s="19"/>
      <c r="V1977" s="19"/>
    </row>
    <row r="1978">
      <c r="A1978" s="25"/>
      <c r="B1978" s="19"/>
      <c r="C1978" s="19"/>
      <c r="D1978" s="19"/>
      <c r="E1978" s="19"/>
      <c r="F1978" s="17" t="str">
        <f>IFERROR(__xludf.DUMMYFUNCTION("""COMPUTED_VALUE"""),"")</f>
        <v/>
      </c>
      <c r="G1978" s="20"/>
      <c r="H1978" s="19"/>
      <c r="I1978" s="19"/>
      <c r="J1978" s="19"/>
      <c r="K1978" s="19"/>
      <c r="L1978" s="19"/>
      <c r="M1978" s="19"/>
      <c r="N1978" s="20" t="s">
        <v>39</v>
      </c>
      <c r="O1978" s="19"/>
      <c r="P1978" s="19"/>
      <c r="Q1978" s="19"/>
      <c r="R1978" s="19"/>
      <c r="S1978" s="19"/>
      <c r="T1978" s="19"/>
      <c r="U1978" s="19"/>
      <c r="V1978" s="19"/>
    </row>
    <row r="1979">
      <c r="A1979" s="25"/>
      <c r="B1979" s="19"/>
      <c r="C1979" s="19"/>
      <c r="D1979" s="19"/>
      <c r="E1979" s="19"/>
      <c r="F1979" s="17" t="str">
        <f>IFERROR(__xludf.DUMMYFUNCTION("""COMPUTED_VALUE"""),"")</f>
        <v/>
      </c>
      <c r="G1979" s="20"/>
      <c r="H1979" s="19"/>
      <c r="I1979" s="19"/>
      <c r="J1979" s="19"/>
      <c r="K1979" s="19"/>
      <c r="L1979" s="19"/>
      <c r="M1979" s="19"/>
      <c r="N1979" s="20" t="s">
        <v>39</v>
      </c>
      <c r="O1979" s="19"/>
      <c r="P1979" s="19"/>
      <c r="Q1979" s="19"/>
      <c r="R1979" s="19"/>
      <c r="S1979" s="19"/>
      <c r="T1979" s="19"/>
      <c r="U1979" s="19"/>
      <c r="V1979" s="19"/>
    </row>
    <row r="1980">
      <c r="A1980" s="25"/>
      <c r="B1980" s="19"/>
      <c r="C1980" s="19"/>
      <c r="D1980" s="19"/>
      <c r="E1980" s="19"/>
      <c r="F1980" s="17" t="str">
        <f>IFERROR(__xludf.DUMMYFUNCTION("""COMPUTED_VALUE"""),"")</f>
        <v/>
      </c>
      <c r="G1980" s="20"/>
      <c r="H1980" s="19"/>
      <c r="I1980" s="19"/>
      <c r="J1980" s="19"/>
      <c r="K1980" s="19"/>
      <c r="L1980" s="19"/>
      <c r="M1980" s="19"/>
      <c r="N1980" s="20" t="s">
        <v>39</v>
      </c>
      <c r="O1980" s="19"/>
      <c r="P1980" s="19"/>
      <c r="Q1980" s="19"/>
      <c r="R1980" s="19"/>
      <c r="S1980" s="19"/>
      <c r="T1980" s="19"/>
      <c r="U1980" s="19"/>
      <c r="V1980" s="19"/>
    </row>
    <row r="1981">
      <c r="A1981" s="25"/>
      <c r="B1981" s="19"/>
      <c r="C1981" s="19"/>
      <c r="D1981" s="19"/>
      <c r="E1981" s="19"/>
      <c r="F1981" s="17" t="str">
        <f>IFERROR(__xludf.DUMMYFUNCTION("""COMPUTED_VALUE"""),"")</f>
        <v/>
      </c>
      <c r="G1981" s="20"/>
      <c r="H1981" s="19"/>
      <c r="I1981" s="19"/>
      <c r="J1981" s="19"/>
      <c r="K1981" s="19"/>
      <c r="L1981" s="19"/>
      <c r="M1981" s="19"/>
      <c r="N1981" s="20" t="s">
        <v>39</v>
      </c>
      <c r="O1981" s="19"/>
      <c r="P1981" s="19"/>
      <c r="Q1981" s="19"/>
      <c r="R1981" s="19"/>
      <c r="S1981" s="19"/>
      <c r="T1981" s="19"/>
      <c r="U1981" s="19"/>
      <c r="V1981" s="19"/>
    </row>
    <row r="1982">
      <c r="A1982" s="25"/>
      <c r="B1982" s="19"/>
      <c r="C1982" s="19"/>
      <c r="D1982" s="19"/>
      <c r="E1982" s="19"/>
      <c r="F1982" s="17" t="str">
        <f>IFERROR(__xludf.DUMMYFUNCTION("""COMPUTED_VALUE"""),"")</f>
        <v/>
      </c>
      <c r="G1982" s="20"/>
      <c r="H1982" s="19"/>
      <c r="I1982" s="19"/>
      <c r="J1982" s="19"/>
      <c r="K1982" s="19"/>
      <c r="L1982" s="19"/>
      <c r="M1982" s="19"/>
      <c r="N1982" s="20" t="s">
        <v>39</v>
      </c>
      <c r="O1982" s="19"/>
      <c r="P1982" s="19"/>
      <c r="Q1982" s="19"/>
      <c r="R1982" s="19"/>
      <c r="S1982" s="19"/>
      <c r="T1982" s="19"/>
      <c r="U1982" s="19"/>
      <c r="V1982" s="19"/>
    </row>
    <row r="1983">
      <c r="A1983" s="25"/>
      <c r="B1983" s="19"/>
      <c r="C1983" s="19"/>
      <c r="D1983" s="19"/>
      <c r="E1983" s="19"/>
      <c r="F1983" s="17" t="str">
        <f>IFERROR(__xludf.DUMMYFUNCTION("""COMPUTED_VALUE"""),"")</f>
        <v/>
      </c>
      <c r="G1983" s="20"/>
      <c r="H1983" s="19"/>
      <c r="I1983" s="19"/>
      <c r="J1983" s="19"/>
      <c r="K1983" s="19"/>
      <c r="L1983" s="19"/>
      <c r="M1983" s="19"/>
      <c r="N1983" s="20" t="s">
        <v>39</v>
      </c>
      <c r="O1983" s="19"/>
      <c r="P1983" s="19"/>
      <c r="Q1983" s="19"/>
      <c r="R1983" s="19"/>
      <c r="S1983" s="19"/>
      <c r="T1983" s="19"/>
      <c r="U1983" s="19"/>
      <c r="V1983" s="19"/>
    </row>
    <row r="1984">
      <c r="A1984" s="25"/>
      <c r="B1984" s="19"/>
      <c r="C1984" s="19"/>
      <c r="D1984" s="19"/>
      <c r="E1984" s="19"/>
      <c r="F1984" s="17" t="str">
        <f>IFERROR(__xludf.DUMMYFUNCTION("""COMPUTED_VALUE"""),"")</f>
        <v/>
      </c>
      <c r="G1984" s="20"/>
      <c r="H1984" s="19"/>
      <c r="I1984" s="19"/>
      <c r="J1984" s="19"/>
      <c r="K1984" s="19"/>
      <c r="L1984" s="19"/>
      <c r="M1984" s="19"/>
      <c r="N1984" s="20" t="s">
        <v>39</v>
      </c>
      <c r="O1984" s="19"/>
      <c r="P1984" s="19"/>
      <c r="Q1984" s="19"/>
      <c r="R1984" s="19"/>
      <c r="S1984" s="19"/>
      <c r="T1984" s="19"/>
      <c r="U1984" s="19"/>
      <c r="V1984" s="19"/>
    </row>
    <row r="1985">
      <c r="A1985" s="25"/>
      <c r="B1985" s="19"/>
      <c r="C1985" s="19"/>
      <c r="D1985" s="19"/>
      <c r="E1985" s="19"/>
      <c r="F1985" s="17" t="str">
        <f>IFERROR(__xludf.DUMMYFUNCTION("""COMPUTED_VALUE"""),"")</f>
        <v/>
      </c>
      <c r="G1985" s="20"/>
      <c r="H1985" s="19"/>
      <c r="I1985" s="19"/>
      <c r="J1985" s="19"/>
      <c r="K1985" s="19"/>
      <c r="L1985" s="19"/>
      <c r="M1985" s="19"/>
      <c r="N1985" s="20" t="s">
        <v>39</v>
      </c>
      <c r="O1985" s="19"/>
      <c r="P1985" s="19"/>
      <c r="Q1985" s="19"/>
      <c r="R1985" s="19"/>
      <c r="S1985" s="19"/>
      <c r="T1985" s="19"/>
      <c r="U1985" s="19"/>
      <c r="V1985" s="19"/>
    </row>
    <row r="1986">
      <c r="A1986" s="25"/>
      <c r="B1986" s="19"/>
      <c r="C1986" s="19"/>
      <c r="D1986" s="19"/>
      <c r="E1986" s="19"/>
      <c r="F1986" s="17" t="str">
        <f>IFERROR(__xludf.DUMMYFUNCTION("""COMPUTED_VALUE"""),"")</f>
        <v/>
      </c>
      <c r="G1986" s="20"/>
      <c r="H1986" s="19"/>
      <c r="I1986" s="19"/>
      <c r="J1986" s="19"/>
      <c r="K1986" s="19"/>
      <c r="L1986" s="19"/>
      <c r="M1986" s="19"/>
      <c r="N1986" s="20" t="s">
        <v>39</v>
      </c>
      <c r="O1986" s="19"/>
      <c r="P1986" s="19"/>
      <c r="Q1986" s="19"/>
      <c r="R1986" s="19"/>
      <c r="S1986" s="19"/>
      <c r="T1986" s="19"/>
      <c r="U1986" s="19"/>
      <c r="V1986" s="19"/>
    </row>
    <row r="1987">
      <c r="A1987" s="25"/>
      <c r="B1987" s="19"/>
      <c r="C1987" s="19"/>
      <c r="D1987" s="19"/>
      <c r="E1987" s="19"/>
      <c r="F1987" s="17" t="str">
        <f>IFERROR(__xludf.DUMMYFUNCTION("""COMPUTED_VALUE"""),"")</f>
        <v/>
      </c>
      <c r="G1987" s="20"/>
      <c r="H1987" s="19"/>
      <c r="I1987" s="19"/>
      <c r="J1987" s="19"/>
      <c r="K1987" s="19"/>
      <c r="L1987" s="19"/>
      <c r="M1987" s="19"/>
      <c r="N1987" s="20" t="s">
        <v>39</v>
      </c>
      <c r="O1987" s="19"/>
      <c r="P1987" s="19"/>
      <c r="Q1987" s="19"/>
      <c r="R1987" s="19"/>
      <c r="S1987" s="19"/>
      <c r="T1987" s="19"/>
      <c r="U1987" s="19"/>
      <c r="V1987" s="19"/>
    </row>
    <row r="1988">
      <c r="A1988" s="25"/>
      <c r="B1988" s="19"/>
      <c r="C1988" s="19"/>
      <c r="D1988" s="19"/>
      <c r="E1988" s="19"/>
      <c r="F1988" s="17" t="str">
        <f>IFERROR(__xludf.DUMMYFUNCTION("""COMPUTED_VALUE"""),"")</f>
        <v/>
      </c>
      <c r="G1988" s="20"/>
      <c r="H1988" s="19"/>
      <c r="I1988" s="19"/>
      <c r="J1988" s="19"/>
      <c r="K1988" s="19"/>
      <c r="L1988" s="19"/>
      <c r="M1988" s="19"/>
      <c r="N1988" s="20" t="s">
        <v>39</v>
      </c>
      <c r="O1988" s="19"/>
      <c r="P1988" s="19"/>
      <c r="Q1988" s="19"/>
      <c r="R1988" s="19"/>
      <c r="S1988" s="19"/>
      <c r="T1988" s="19"/>
      <c r="U1988" s="19"/>
      <c r="V1988" s="19"/>
    </row>
    <row r="1989">
      <c r="A1989" s="25"/>
      <c r="B1989" s="19"/>
      <c r="C1989" s="19"/>
      <c r="D1989" s="19"/>
      <c r="E1989" s="19"/>
      <c r="F1989" s="17" t="str">
        <f>IFERROR(__xludf.DUMMYFUNCTION("""COMPUTED_VALUE"""),"")</f>
        <v/>
      </c>
      <c r="G1989" s="20"/>
      <c r="H1989" s="19"/>
      <c r="I1989" s="19"/>
      <c r="J1989" s="19"/>
      <c r="K1989" s="19"/>
      <c r="L1989" s="19"/>
      <c r="M1989" s="19"/>
      <c r="N1989" s="20" t="s">
        <v>39</v>
      </c>
      <c r="O1989" s="19"/>
      <c r="P1989" s="19"/>
      <c r="Q1989" s="19"/>
      <c r="R1989" s="19"/>
      <c r="S1989" s="19"/>
      <c r="T1989" s="19"/>
      <c r="U1989" s="19"/>
      <c r="V1989" s="19"/>
    </row>
    <row r="1990">
      <c r="A1990" s="25"/>
      <c r="B1990" s="19"/>
      <c r="C1990" s="19"/>
      <c r="D1990" s="19"/>
      <c r="E1990" s="19"/>
      <c r="F1990" s="17" t="str">
        <f>IFERROR(__xludf.DUMMYFUNCTION("""COMPUTED_VALUE"""),"")</f>
        <v/>
      </c>
      <c r="G1990" s="20"/>
      <c r="H1990" s="19"/>
      <c r="I1990" s="19"/>
      <c r="J1990" s="19"/>
      <c r="K1990" s="19"/>
      <c r="L1990" s="19"/>
      <c r="M1990" s="19"/>
      <c r="N1990" s="20" t="s">
        <v>39</v>
      </c>
      <c r="O1990" s="19"/>
      <c r="P1990" s="19"/>
      <c r="Q1990" s="19"/>
      <c r="R1990" s="19"/>
      <c r="S1990" s="19"/>
      <c r="T1990" s="19"/>
      <c r="U1990" s="19"/>
      <c r="V1990" s="19"/>
    </row>
    <row r="1991">
      <c r="A1991" s="25"/>
      <c r="B1991" s="19"/>
      <c r="C1991" s="19"/>
      <c r="D1991" s="19"/>
      <c r="E1991" s="19"/>
      <c r="F1991" s="17" t="str">
        <f>IFERROR(__xludf.DUMMYFUNCTION("""COMPUTED_VALUE"""),"")</f>
        <v/>
      </c>
      <c r="G1991" s="20"/>
      <c r="H1991" s="19"/>
      <c r="I1991" s="19"/>
      <c r="J1991" s="19"/>
      <c r="K1991" s="19"/>
      <c r="L1991" s="19"/>
      <c r="M1991" s="19"/>
      <c r="N1991" s="20" t="s">
        <v>39</v>
      </c>
      <c r="O1991" s="19"/>
      <c r="P1991" s="19"/>
      <c r="Q1991" s="19"/>
      <c r="R1991" s="19"/>
      <c r="S1991" s="19"/>
      <c r="T1991" s="19"/>
      <c r="U1991" s="19"/>
      <c r="V1991" s="19"/>
    </row>
    <row r="1992">
      <c r="A1992" s="25"/>
      <c r="B1992" s="19"/>
      <c r="C1992" s="19"/>
      <c r="D1992" s="19"/>
      <c r="E1992" s="19"/>
      <c r="F1992" s="17" t="str">
        <f>IFERROR(__xludf.DUMMYFUNCTION("""COMPUTED_VALUE"""),"")</f>
        <v/>
      </c>
      <c r="G1992" s="20"/>
      <c r="H1992" s="19"/>
      <c r="I1992" s="19"/>
      <c r="J1992" s="19"/>
      <c r="K1992" s="19"/>
      <c r="L1992" s="19"/>
      <c r="M1992" s="19"/>
      <c r="N1992" s="20" t="s">
        <v>39</v>
      </c>
      <c r="O1992" s="19"/>
      <c r="P1992" s="19"/>
      <c r="Q1992" s="19"/>
      <c r="R1992" s="19"/>
      <c r="S1992" s="19"/>
      <c r="T1992" s="19"/>
      <c r="U1992" s="19"/>
      <c r="V1992" s="19"/>
    </row>
    <row r="1993">
      <c r="A1993" s="25"/>
      <c r="B1993" s="19"/>
      <c r="C1993" s="19"/>
      <c r="D1993" s="19"/>
      <c r="E1993" s="19"/>
      <c r="F1993" s="17" t="str">
        <f>IFERROR(__xludf.DUMMYFUNCTION("""COMPUTED_VALUE"""),"")</f>
        <v/>
      </c>
      <c r="G1993" s="20"/>
      <c r="H1993" s="19"/>
      <c r="I1993" s="19"/>
      <c r="J1993" s="19"/>
      <c r="K1993" s="19"/>
      <c r="L1993" s="19"/>
      <c r="M1993" s="19"/>
      <c r="N1993" s="20" t="s">
        <v>39</v>
      </c>
      <c r="O1993" s="19"/>
      <c r="P1993" s="19"/>
      <c r="Q1993" s="19"/>
      <c r="R1993" s="19"/>
      <c r="S1993" s="19"/>
      <c r="T1993" s="19"/>
      <c r="U1993" s="19"/>
      <c r="V1993" s="19"/>
    </row>
    <row r="1994">
      <c r="A1994" s="25"/>
      <c r="B1994" s="19"/>
      <c r="C1994" s="19"/>
      <c r="D1994" s="19"/>
      <c r="E1994" s="19"/>
      <c r="F1994" s="17" t="str">
        <f>IFERROR(__xludf.DUMMYFUNCTION("""COMPUTED_VALUE"""),"")</f>
        <v/>
      </c>
      <c r="G1994" s="20"/>
      <c r="H1994" s="19"/>
      <c r="I1994" s="19"/>
      <c r="J1994" s="19"/>
      <c r="K1994" s="19"/>
      <c r="L1994" s="19"/>
      <c r="M1994" s="19"/>
      <c r="N1994" s="20" t="s">
        <v>39</v>
      </c>
      <c r="O1994" s="19"/>
      <c r="P1994" s="19"/>
      <c r="Q1994" s="19"/>
      <c r="R1994" s="19"/>
      <c r="S1994" s="19"/>
      <c r="T1994" s="19"/>
      <c r="U1994" s="19"/>
      <c r="V1994" s="19"/>
    </row>
    <row r="1995">
      <c r="A1995" s="25"/>
      <c r="B1995" s="19"/>
      <c r="C1995" s="19"/>
      <c r="D1995" s="19"/>
      <c r="E1995" s="19"/>
      <c r="F1995" s="17" t="str">
        <f>IFERROR(__xludf.DUMMYFUNCTION("""COMPUTED_VALUE"""),"")</f>
        <v/>
      </c>
      <c r="G1995" s="20"/>
      <c r="H1995" s="19"/>
      <c r="I1995" s="19"/>
      <c r="J1995" s="19"/>
      <c r="K1995" s="19"/>
      <c r="L1995" s="19"/>
      <c r="M1995" s="19"/>
      <c r="N1995" s="20" t="s">
        <v>39</v>
      </c>
      <c r="O1995" s="19"/>
      <c r="P1995" s="19"/>
      <c r="Q1995" s="19"/>
      <c r="R1995" s="19"/>
      <c r="S1995" s="19"/>
      <c r="T1995" s="19"/>
      <c r="U1995" s="19"/>
      <c r="V1995" s="19"/>
    </row>
    <row r="1996">
      <c r="A1996" s="25"/>
      <c r="B1996" s="19"/>
      <c r="C1996" s="19"/>
      <c r="D1996" s="19"/>
      <c r="E1996" s="19"/>
      <c r="F1996" s="17" t="str">
        <f>IFERROR(__xludf.DUMMYFUNCTION("""COMPUTED_VALUE"""),"")</f>
        <v/>
      </c>
      <c r="G1996" s="20"/>
      <c r="H1996" s="19"/>
      <c r="I1996" s="19"/>
      <c r="J1996" s="19"/>
      <c r="K1996" s="19"/>
      <c r="L1996" s="19"/>
      <c r="M1996" s="19"/>
      <c r="N1996" s="20" t="s">
        <v>39</v>
      </c>
      <c r="O1996" s="19"/>
      <c r="P1996" s="19"/>
      <c r="Q1996" s="19"/>
      <c r="R1996" s="19"/>
      <c r="S1996" s="19"/>
      <c r="T1996" s="19"/>
      <c r="U1996" s="19"/>
      <c r="V1996" s="19"/>
    </row>
    <row r="1997">
      <c r="A1997" s="25"/>
      <c r="B1997" s="19"/>
      <c r="C1997" s="19"/>
      <c r="D1997" s="19"/>
      <c r="E1997" s="19"/>
      <c r="F1997" s="17" t="str">
        <f>IFERROR(__xludf.DUMMYFUNCTION("""COMPUTED_VALUE"""),"")</f>
        <v/>
      </c>
      <c r="G1997" s="20"/>
      <c r="H1997" s="19"/>
      <c r="I1997" s="19"/>
      <c r="J1997" s="19"/>
      <c r="K1997" s="19"/>
      <c r="L1997" s="19"/>
      <c r="M1997" s="19"/>
      <c r="N1997" s="20" t="s">
        <v>39</v>
      </c>
      <c r="O1997" s="19"/>
      <c r="P1997" s="19"/>
      <c r="Q1997" s="19"/>
      <c r="R1997" s="19"/>
      <c r="S1997" s="19"/>
      <c r="T1997" s="19"/>
      <c r="U1997" s="19"/>
      <c r="V1997" s="19"/>
    </row>
    <row r="1998">
      <c r="A1998" s="25"/>
      <c r="B1998" s="19"/>
      <c r="C1998" s="19"/>
      <c r="D1998" s="19"/>
      <c r="E1998" s="19"/>
      <c r="F1998" s="17" t="str">
        <f>IFERROR(__xludf.DUMMYFUNCTION("""COMPUTED_VALUE"""),"")</f>
        <v/>
      </c>
      <c r="G1998" s="20"/>
      <c r="H1998" s="19"/>
      <c r="I1998" s="19"/>
      <c r="J1998" s="19"/>
      <c r="K1998" s="19"/>
      <c r="L1998" s="19"/>
      <c r="M1998" s="19"/>
      <c r="N1998" s="20" t="s">
        <v>39</v>
      </c>
      <c r="O1998" s="19"/>
      <c r="P1998" s="19"/>
      <c r="Q1998" s="19"/>
      <c r="R1998" s="19"/>
      <c r="S1998" s="19"/>
      <c r="T1998" s="19"/>
      <c r="U1998" s="19"/>
      <c r="V1998" s="19"/>
    </row>
    <row r="1999">
      <c r="A1999" s="25"/>
      <c r="B1999" s="19"/>
      <c r="C1999" s="19"/>
      <c r="D1999" s="19"/>
      <c r="E1999" s="19"/>
      <c r="F1999" s="17" t="str">
        <f>IFERROR(__xludf.DUMMYFUNCTION("""COMPUTED_VALUE"""),"")</f>
        <v/>
      </c>
      <c r="G1999" s="20"/>
      <c r="H1999" s="19"/>
      <c r="I1999" s="19"/>
      <c r="J1999" s="19"/>
      <c r="K1999" s="19"/>
      <c r="L1999" s="19"/>
      <c r="M1999" s="19"/>
      <c r="N1999" s="20" t="s">
        <v>39</v>
      </c>
      <c r="O1999" s="19"/>
      <c r="P1999" s="19"/>
      <c r="Q1999" s="19"/>
      <c r="R1999" s="19"/>
      <c r="S1999" s="19"/>
      <c r="T1999" s="19"/>
      <c r="U1999" s="19"/>
      <c r="V1999" s="19"/>
    </row>
    <row r="2000">
      <c r="A2000" s="25"/>
      <c r="B2000" s="19"/>
      <c r="C2000" s="19"/>
      <c r="D2000" s="19"/>
      <c r="E2000" s="19"/>
      <c r="F2000" s="17" t="str">
        <f>IFERROR(__xludf.DUMMYFUNCTION("""COMPUTED_VALUE"""),"")</f>
        <v/>
      </c>
      <c r="G2000" s="20"/>
      <c r="H2000" s="19"/>
      <c r="I2000" s="19"/>
      <c r="J2000" s="19"/>
      <c r="K2000" s="19"/>
      <c r="L2000" s="19"/>
      <c r="M2000" s="19"/>
      <c r="N2000" s="20" t="s">
        <v>39</v>
      </c>
      <c r="O2000" s="19"/>
      <c r="P2000" s="19"/>
      <c r="Q2000" s="19"/>
      <c r="R2000" s="19"/>
      <c r="S2000" s="19"/>
      <c r="T2000" s="19"/>
      <c r="U2000" s="19"/>
      <c r="V2000" s="19"/>
    </row>
    <row r="2001">
      <c r="A2001" s="25"/>
      <c r="B2001" s="19"/>
      <c r="C2001" s="19"/>
      <c r="D2001" s="19"/>
      <c r="E2001" s="19"/>
      <c r="F2001" s="17" t="str">
        <f>IFERROR(__xludf.DUMMYFUNCTION("""COMPUTED_VALUE"""),"")</f>
        <v/>
      </c>
      <c r="G2001" s="20"/>
      <c r="H2001" s="19"/>
      <c r="I2001" s="19"/>
      <c r="J2001" s="19"/>
      <c r="K2001" s="19"/>
      <c r="L2001" s="19"/>
      <c r="M2001" s="19"/>
      <c r="N2001" s="20" t="s">
        <v>39</v>
      </c>
      <c r="O2001" s="19"/>
      <c r="P2001" s="19"/>
      <c r="Q2001" s="19"/>
      <c r="R2001" s="19"/>
      <c r="S2001" s="19"/>
      <c r="T2001" s="19"/>
      <c r="U2001" s="19"/>
      <c r="V2001" s="19"/>
    </row>
    <row r="2002">
      <c r="A2002" s="25"/>
      <c r="B2002" s="19"/>
      <c r="C2002" s="19"/>
      <c r="D2002" s="19"/>
      <c r="E2002" s="19"/>
      <c r="F2002" s="17" t="str">
        <f>IFERROR(__xludf.DUMMYFUNCTION("""COMPUTED_VALUE"""),"")</f>
        <v/>
      </c>
      <c r="G2002" s="20"/>
      <c r="H2002" s="19"/>
      <c r="I2002" s="19"/>
      <c r="J2002" s="19"/>
      <c r="K2002" s="19"/>
      <c r="L2002" s="19"/>
      <c r="M2002" s="19"/>
      <c r="N2002" s="20" t="s">
        <v>39</v>
      </c>
      <c r="O2002" s="19"/>
      <c r="P2002" s="19"/>
      <c r="Q2002" s="19"/>
      <c r="R2002" s="19"/>
      <c r="S2002" s="19"/>
      <c r="T2002" s="19"/>
      <c r="U2002" s="19"/>
      <c r="V2002" s="19"/>
    </row>
    <row r="2003">
      <c r="A2003" s="25"/>
      <c r="B2003" s="19"/>
      <c r="C2003" s="19"/>
      <c r="D2003" s="19"/>
      <c r="E2003" s="19"/>
      <c r="F2003" s="17" t="str">
        <f>IFERROR(__xludf.DUMMYFUNCTION("""COMPUTED_VALUE"""),"")</f>
        <v/>
      </c>
      <c r="G2003" s="20"/>
      <c r="H2003" s="19"/>
      <c r="I2003" s="19"/>
      <c r="J2003" s="19"/>
      <c r="K2003" s="19"/>
      <c r="L2003" s="19"/>
      <c r="M2003" s="19"/>
      <c r="N2003" s="20" t="s">
        <v>39</v>
      </c>
      <c r="O2003" s="19"/>
      <c r="P2003" s="19"/>
      <c r="Q2003" s="19"/>
      <c r="R2003" s="19"/>
      <c r="S2003" s="19"/>
      <c r="T2003" s="19"/>
      <c r="U2003" s="19"/>
      <c r="V2003" s="19"/>
    </row>
    <row r="2004">
      <c r="A2004" s="25"/>
      <c r="B2004" s="19"/>
      <c r="C2004" s="19"/>
      <c r="D2004" s="19"/>
      <c r="E2004" s="19"/>
      <c r="F2004" s="17" t="str">
        <f>IFERROR(__xludf.DUMMYFUNCTION("""COMPUTED_VALUE"""),"")</f>
        <v/>
      </c>
      <c r="G2004" s="20"/>
      <c r="H2004" s="19"/>
      <c r="I2004" s="19"/>
      <c r="J2004" s="19"/>
      <c r="K2004" s="19"/>
      <c r="L2004" s="19"/>
      <c r="M2004" s="19"/>
      <c r="N2004" s="20" t="s">
        <v>39</v>
      </c>
      <c r="O2004" s="19"/>
      <c r="P2004" s="19"/>
      <c r="Q2004" s="19"/>
      <c r="R2004" s="19"/>
      <c r="S2004" s="19"/>
      <c r="T2004" s="19"/>
      <c r="U2004" s="19"/>
      <c r="V2004" s="19"/>
    </row>
    <row r="2005">
      <c r="A2005" s="25"/>
      <c r="B2005" s="19"/>
      <c r="C2005" s="19"/>
      <c r="D2005" s="19"/>
      <c r="E2005" s="19"/>
      <c r="F2005" s="17" t="str">
        <f>IFERROR(__xludf.DUMMYFUNCTION("""COMPUTED_VALUE"""),"")</f>
        <v/>
      </c>
      <c r="G2005" s="20"/>
      <c r="H2005" s="19"/>
      <c r="I2005" s="19"/>
      <c r="J2005" s="19"/>
      <c r="K2005" s="19"/>
      <c r="L2005" s="19"/>
      <c r="M2005" s="19"/>
      <c r="N2005" s="20" t="s">
        <v>39</v>
      </c>
      <c r="O2005" s="19"/>
      <c r="P2005" s="19"/>
      <c r="Q2005" s="19"/>
      <c r="R2005" s="19"/>
      <c r="S2005" s="19"/>
      <c r="T2005" s="19"/>
      <c r="U2005" s="19"/>
      <c r="V2005" s="19"/>
    </row>
    <row r="2006">
      <c r="A2006" s="25"/>
      <c r="B2006" s="19"/>
      <c r="C2006" s="19"/>
      <c r="D2006" s="19"/>
      <c r="E2006" s="19"/>
      <c r="F2006" s="17" t="str">
        <f>IFERROR(__xludf.DUMMYFUNCTION("""COMPUTED_VALUE"""),"")</f>
        <v/>
      </c>
      <c r="G2006" s="20"/>
      <c r="H2006" s="19"/>
      <c r="I2006" s="19"/>
      <c r="J2006" s="19"/>
      <c r="K2006" s="19"/>
      <c r="L2006" s="19"/>
      <c r="M2006" s="19"/>
      <c r="N2006" s="20" t="s">
        <v>39</v>
      </c>
      <c r="O2006" s="19"/>
      <c r="P2006" s="19"/>
      <c r="Q2006" s="19"/>
      <c r="R2006" s="19"/>
      <c r="S2006" s="19"/>
      <c r="T2006" s="19"/>
      <c r="U2006" s="19"/>
      <c r="V2006" s="19"/>
    </row>
    <row r="2007">
      <c r="A2007" s="25"/>
      <c r="B2007" s="19"/>
      <c r="C2007" s="19"/>
      <c r="D2007" s="19"/>
      <c r="E2007" s="19"/>
      <c r="F2007" s="17" t="str">
        <f>IFERROR(__xludf.DUMMYFUNCTION("""COMPUTED_VALUE"""),"")</f>
        <v/>
      </c>
      <c r="G2007" s="20"/>
      <c r="H2007" s="19"/>
      <c r="I2007" s="19"/>
      <c r="J2007" s="19"/>
      <c r="K2007" s="19"/>
      <c r="L2007" s="19"/>
      <c r="M2007" s="19"/>
      <c r="N2007" s="20" t="s">
        <v>39</v>
      </c>
      <c r="O2007" s="19"/>
      <c r="P2007" s="19"/>
      <c r="Q2007" s="19"/>
      <c r="R2007" s="19"/>
      <c r="S2007" s="19"/>
      <c r="T2007" s="19"/>
      <c r="U2007" s="19"/>
      <c r="V2007" s="19"/>
    </row>
    <row r="2008">
      <c r="A2008" s="25"/>
      <c r="B2008" s="19"/>
      <c r="C2008" s="19"/>
      <c r="D2008" s="19"/>
      <c r="E2008" s="19"/>
      <c r="F2008" s="17" t="str">
        <f>IFERROR(__xludf.DUMMYFUNCTION("""COMPUTED_VALUE"""),"")</f>
        <v/>
      </c>
      <c r="G2008" s="20"/>
      <c r="H2008" s="19"/>
      <c r="I2008" s="19"/>
      <c r="J2008" s="19"/>
      <c r="K2008" s="19"/>
      <c r="L2008" s="19"/>
      <c r="M2008" s="19"/>
      <c r="N2008" s="20" t="s">
        <v>39</v>
      </c>
      <c r="O2008" s="19"/>
      <c r="P2008" s="19"/>
      <c r="Q2008" s="19"/>
      <c r="R2008" s="19"/>
      <c r="S2008" s="19"/>
      <c r="T2008" s="19"/>
      <c r="U2008" s="19"/>
      <c r="V2008" s="19"/>
    </row>
    <row r="2009">
      <c r="A2009" s="25"/>
      <c r="B2009" s="19"/>
      <c r="C2009" s="19"/>
      <c r="D2009" s="19"/>
      <c r="E2009" s="19"/>
      <c r="F2009" s="17" t="str">
        <f>IFERROR(__xludf.DUMMYFUNCTION("""COMPUTED_VALUE"""),"")</f>
        <v/>
      </c>
      <c r="G2009" s="20"/>
      <c r="H2009" s="19"/>
      <c r="I2009" s="19"/>
      <c r="J2009" s="19"/>
      <c r="K2009" s="19"/>
      <c r="L2009" s="19"/>
      <c r="M2009" s="19"/>
      <c r="N2009" s="20" t="s">
        <v>39</v>
      </c>
      <c r="O2009" s="19"/>
      <c r="P2009" s="19"/>
      <c r="Q2009" s="19"/>
      <c r="R2009" s="19"/>
      <c r="S2009" s="19"/>
      <c r="T2009" s="19"/>
      <c r="U2009" s="19"/>
      <c r="V2009" s="19"/>
    </row>
    <row r="2010">
      <c r="A2010" s="25"/>
      <c r="B2010" s="19"/>
      <c r="C2010" s="19"/>
      <c r="D2010" s="19"/>
      <c r="E2010" s="19"/>
      <c r="F2010" s="17" t="str">
        <f>IFERROR(__xludf.DUMMYFUNCTION("""COMPUTED_VALUE"""),"")</f>
        <v/>
      </c>
      <c r="G2010" s="20"/>
      <c r="H2010" s="19"/>
      <c r="I2010" s="19"/>
      <c r="J2010" s="19"/>
      <c r="K2010" s="19"/>
      <c r="L2010" s="19"/>
      <c r="M2010" s="19"/>
      <c r="N2010" s="20" t="s">
        <v>39</v>
      </c>
      <c r="O2010" s="19"/>
      <c r="P2010" s="19"/>
      <c r="Q2010" s="19"/>
      <c r="R2010" s="19"/>
      <c r="S2010" s="19"/>
      <c r="T2010" s="19"/>
      <c r="U2010" s="19"/>
      <c r="V2010" s="19"/>
    </row>
    <row r="2011">
      <c r="A2011" s="25"/>
      <c r="B2011" s="19"/>
      <c r="C2011" s="19"/>
      <c r="D2011" s="19"/>
      <c r="E2011" s="19"/>
      <c r="F2011" s="17" t="str">
        <f>IFERROR(__xludf.DUMMYFUNCTION("""COMPUTED_VALUE"""),"")</f>
        <v/>
      </c>
      <c r="G2011" s="20"/>
      <c r="H2011" s="19"/>
      <c r="I2011" s="19"/>
      <c r="J2011" s="19"/>
      <c r="K2011" s="19"/>
      <c r="L2011" s="19"/>
      <c r="M2011" s="19"/>
      <c r="N2011" s="20" t="s">
        <v>39</v>
      </c>
      <c r="O2011" s="19"/>
      <c r="P2011" s="19"/>
      <c r="Q2011" s="19"/>
      <c r="R2011" s="19"/>
      <c r="S2011" s="19"/>
      <c r="T2011" s="19"/>
      <c r="U2011" s="19"/>
      <c r="V2011" s="19"/>
    </row>
    <row r="2012">
      <c r="A2012" s="25"/>
      <c r="B2012" s="19"/>
      <c r="C2012" s="19"/>
      <c r="D2012" s="19"/>
      <c r="E2012" s="19"/>
      <c r="F2012" s="17" t="str">
        <f>IFERROR(__xludf.DUMMYFUNCTION("""COMPUTED_VALUE"""),"")</f>
        <v/>
      </c>
      <c r="G2012" s="20"/>
      <c r="H2012" s="19"/>
      <c r="I2012" s="19"/>
      <c r="J2012" s="19"/>
      <c r="K2012" s="19"/>
      <c r="L2012" s="19"/>
      <c r="M2012" s="19"/>
      <c r="N2012" s="20" t="s">
        <v>39</v>
      </c>
      <c r="O2012" s="19"/>
      <c r="P2012" s="19"/>
      <c r="Q2012" s="19"/>
      <c r="R2012" s="19"/>
      <c r="S2012" s="19"/>
      <c r="T2012" s="19"/>
      <c r="U2012" s="19"/>
      <c r="V2012" s="19"/>
    </row>
    <row r="2013">
      <c r="A2013" s="25"/>
      <c r="B2013" s="19"/>
      <c r="C2013" s="19"/>
      <c r="D2013" s="19"/>
      <c r="E2013" s="19"/>
      <c r="F2013" s="17" t="str">
        <f>IFERROR(__xludf.DUMMYFUNCTION("""COMPUTED_VALUE"""),"")</f>
        <v/>
      </c>
      <c r="G2013" s="20"/>
      <c r="H2013" s="19"/>
      <c r="I2013" s="19"/>
      <c r="J2013" s="19"/>
      <c r="K2013" s="19"/>
      <c r="L2013" s="19"/>
      <c r="M2013" s="19"/>
      <c r="N2013" s="20" t="s">
        <v>39</v>
      </c>
      <c r="O2013" s="19"/>
      <c r="P2013" s="19"/>
      <c r="Q2013" s="19"/>
      <c r="R2013" s="19"/>
      <c r="S2013" s="19"/>
      <c r="T2013" s="19"/>
      <c r="U2013" s="19"/>
      <c r="V2013" s="19"/>
    </row>
    <row r="2014">
      <c r="A2014" s="25"/>
      <c r="B2014" s="19"/>
      <c r="C2014" s="19"/>
      <c r="D2014" s="19"/>
      <c r="E2014" s="19"/>
      <c r="F2014" s="17" t="str">
        <f>IFERROR(__xludf.DUMMYFUNCTION("""COMPUTED_VALUE"""),"")</f>
        <v/>
      </c>
      <c r="G2014" s="20"/>
      <c r="H2014" s="19"/>
      <c r="I2014" s="19"/>
      <c r="J2014" s="19"/>
      <c r="K2014" s="19"/>
      <c r="L2014" s="19"/>
      <c r="M2014" s="19"/>
      <c r="N2014" s="20" t="s">
        <v>39</v>
      </c>
      <c r="O2014" s="19"/>
      <c r="P2014" s="19"/>
      <c r="Q2014" s="19"/>
      <c r="R2014" s="19"/>
      <c r="S2014" s="19"/>
      <c r="T2014" s="19"/>
      <c r="U2014" s="19"/>
      <c r="V2014" s="19"/>
    </row>
    <row r="2015">
      <c r="A2015" s="25"/>
      <c r="B2015" s="19"/>
      <c r="C2015" s="19"/>
      <c r="D2015" s="19"/>
      <c r="E2015" s="19"/>
      <c r="F2015" s="17" t="str">
        <f>IFERROR(__xludf.DUMMYFUNCTION("""COMPUTED_VALUE"""),"")</f>
        <v/>
      </c>
      <c r="G2015" s="20"/>
      <c r="H2015" s="19"/>
      <c r="I2015" s="19"/>
      <c r="J2015" s="19"/>
      <c r="K2015" s="19"/>
      <c r="L2015" s="19"/>
      <c r="M2015" s="19"/>
      <c r="N2015" s="20" t="s">
        <v>39</v>
      </c>
      <c r="O2015" s="19"/>
      <c r="P2015" s="19"/>
      <c r="Q2015" s="19"/>
      <c r="R2015" s="19"/>
      <c r="S2015" s="19"/>
      <c r="T2015" s="19"/>
      <c r="U2015" s="19"/>
      <c r="V2015" s="19"/>
    </row>
    <row r="2016">
      <c r="A2016" s="25"/>
      <c r="B2016" s="19"/>
      <c r="C2016" s="19"/>
      <c r="D2016" s="19"/>
      <c r="E2016" s="19"/>
      <c r="F2016" s="17" t="str">
        <f>IFERROR(__xludf.DUMMYFUNCTION("""COMPUTED_VALUE"""),"")</f>
        <v/>
      </c>
      <c r="G2016" s="20"/>
      <c r="H2016" s="19"/>
      <c r="I2016" s="19"/>
      <c r="J2016" s="19"/>
      <c r="K2016" s="19"/>
      <c r="L2016" s="19"/>
      <c r="M2016" s="19"/>
      <c r="N2016" s="20" t="s">
        <v>39</v>
      </c>
      <c r="O2016" s="19"/>
      <c r="P2016" s="19"/>
      <c r="Q2016" s="19"/>
      <c r="R2016" s="19"/>
      <c r="S2016" s="19"/>
      <c r="T2016" s="19"/>
      <c r="U2016" s="19"/>
      <c r="V2016" s="19"/>
    </row>
    <row r="2017">
      <c r="A2017" s="25"/>
      <c r="B2017" s="19"/>
      <c r="C2017" s="19"/>
      <c r="D2017" s="19"/>
      <c r="E2017" s="19"/>
      <c r="F2017" s="17" t="str">
        <f>IFERROR(__xludf.DUMMYFUNCTION("""COMPUTED_VALUE"""),"")</f>
        <v/>
      </c>
      <c r="G2017" s="20"/>
      <c r="H2017" s="19"/>
      <c r="I2017" s="19"/>
      <c r="J2017" s="19"/>
      <c r="K2017" s="19"/>
      <c r="L2017" s="19"/>
      <c r="M2017" s="19"/>
      <c r="N2017" s="20" t="s">
        <v>39</v>
      </c>
      <c r="O2017" s="19"/>
      <c r="P2017" s="19"/>
      <c r="Q2017" s="19"/>
      <c r="R2017" s="19"/>
      <c r="S2017" s="19"/>
      <c r="T2017" s="19"/>
      <c r="U2017" s="19"/>
      <c r="V2017" s="19"/>
    </row>
    <row r="2018">
      <c r="A2018" s="25"/>
      <c r="B2018" s="19"/>
      <c r="C2018" s="19"/>
      <c r="D2018" s="19"/>
      <c r="E2018" s="19"/>
      <c r="F2018" s="17" t="str">
        <f>IFERROR(__xludf.DUMMYFUNCTION("""COMPUTED_VALUE"""),"")</f>
        <v/>
      </c>
      <c r="G2018" s="20"/>
      <c r="H2018" s="19"/>
      <c r="I2018" s="19"/>
      <c r="J2018" s="19"/>
      <c r="K2018" s="19"/>
      <c r="L2018" s="19"/>
      <c r="M2018" s="19"/>
      <c r="N2018" s="20" t="s">
        <v>39</v>
      </c>
      <c r="O2018" s="19"/>
      <c r="P2018" s="19"/>
      <c r="Q2018" s="19"/>
      <c r="R2018" s="19"/>
      <c r="S2018" s="19"/>
      <c r="T2018" s="19"/>
      <c r="U2018" s="19"/>
      <c r="V2018" s="19"/>
    </row>
    <row r="2019">
      <c r="A2019" s="25"/>
      <c r="B2019" s="19"/>
      <c r="C2019" s="19"/>
      <c r="D2019" s="19"/>
      <c r="E2019" s="19"/>
      <c r="F2019" s="17" t="str">
        <f>IFERROR(__xludf.DUMMYFUNCTION("""COMPUTED_VALUE"""),"")</f>
        <v/>
      </c>
      <c r="G2019" s="20"/>
      <c r="H2019" s="19"/>
      <c r="I2019" s="19"/>
      <c r="J2019" s="19"/>
      <c r="K2019" s="19"/>
      <c r="L2019" s="19"/>
      <c r="M2019" s="19"/>
      <c r="N2019" s="20" t="s">
        <v>39</v>
      </c>
      <c r="O2019" s="19"/>
      <c r="P2019" s="19"/>
      <c r="Q2019" s="19"/>
      <c r="R2019" s="19"/>
      <c r="S2019" s="19"/>
      <c r="T2019" s="19"/>
      <c r="U2019" s="19"/>
      <c r="V2019" s="19"/>
    </row>
    <row r="2020">
      <c r="A2020" s="25"/>
      <c r="B2020" s="19"/>
      <c r="C2020" s="19"/>
      <c r="D2020" s="19"/>
      <c r="E2020" s="19"/>
      <c r="F2020" s="17" t="str">
        <f>IFERROR(__xludf.DUMMYFUNCTION("""COMPUTED_VALUE"""),"")</f>
        <v/>
      </c>
      <c r="G2020" s="20"/>
      <c r="H2020" s="19"/>
      <c r="I2020" s="19"/>
      <c r="J2020" s="19"/>
      <c r="K2020" s="19"/>
      <c r="L2020" s="19"/>
      <c r="M2020" s="19"/>
      <c r="N2020" s="20" t="s">
        <v>39</v>
      </c>
      <c r="O2020" s="19"/>
      <c r="P2020" s="19"/>
      <c r="Q2020" s="19"/>
      <c r="R2020" s="19"/>
      <c r="S2020" s="19"/>
      <c r="T2020" s="19"/>
      <c r="U2020" s="19"/>
      <c r="V2020" s="19"/>
    </row>
    <row r="2021">
      <c r="A2021" s="25"/>
      <c r="B2021" s="19"/>
      <c r="C2021" s="19"/>
      <c r="D2021" s="19"/>
      <c r="E2021" s="19"/>
      <c r="F2021" s="17" t="str">
        <f>IFERROR(__xludf.DUMMYFUNCTION("""COMPUTED_VALUE"""),"")</f>
        <v/>
      </c>
      <c r="G2021" s="20"/>
      <c r="H2021" s="19"/>
      <c r="I2021" s="19"/>
      <c r="J2021" s="19"/>
      <c r="K2021" s="19"/>
      <c r="L2021" s="19"/>
      <c r="M2021" s="19"/>
      <c r="N2021" s="20" t="s">
        <v>39</v>
      </c>
      <c r="O2021" s="19"/>
      <c r="P2021" s="19"/>
      <c r="Q2021" s="19"/>
      <c r="R2021" s="19"/>
      <c r="S2021" s="19"/>
      <c r="T2021" s="19"/>
      <c r="U2021" s="19"/>
      <c r="V2021" s="19"/>
    </row>
    <row r="2022">
      <c r="A2022" s="25"/>
      <c r="B2022" s="19"/>
      <c r="C2022" s="19"/>
      <c r="D2022" s="19"/>
      <c r="E2022" s="19"/>
      <c r="F2022" s="17" t="str">
        <f>IFERROR(__xludf.DUMMYFUNCTION("""COMPUTED_VALUE"""),"")</f>
        <v/>
      </c>
      <c r="G2022" s="20"/>
      <c r="H2022" s="19"/>
      <c r="I2022" s="19"/>
      <c r="J2022" s="19"/>
      <c r="K2022" s="19"/>
      <c r="L2022" s="19"/>
      <c r="M2022" s="19"/>
      <c r="N2022" s="20" t="s">
        <v>39</v>
      </c>
      <c r="O2022" s="19"/>
      <c r="P2022" s="19"/>
      <c r="Q2022" s="19"/>
      <c r="R2022" s="19"/>
      <c r="S2022" s="19"/>
      <c r="T2022" s="19"/>
      <c r="U2022" s="19"/>
      <c r="V2022" s="19"/>
    </row>
    <row r="2023">
      <c r="A2023" s="25"/>
      <c r="B2023" s="19"/>
      <c r="C2023" s="19"/>
      <c r="D2023" s="19"/>
      <c r="E2023" s="19"/>
      <c r="F2023" s="17" t="str">
        <f>IFERROR(__xludf.DUMMYFUNCTION("""COMPUTED_VALUE"""),"")</f>
        <v/>
      </c>
      <c r="G2023" s="20"/>
      <c r="H2023" s="19"/>
      <c r="I2023" s="19"/>
      <c r="J2023" s="19"/>
      <c r="K2023" s="19"/>
      <c r="L2023" s="19"/>
      <c r="M2023" s="19"/>
      <c r="N2023" s="20" t="s">
        <v>39</v>
      </c>
      <c r="O2023" s="19"/>
      <c r="P2023" s="19"/>
      <c r="Q2023" s="19"/>
      <c r="R2023" s="19"/>
      <c r="S2023" s="19"/>
      <c r="T2023" s="19"/>
      <c r="U2023" s="19"/>
      <c r="V2023" s="19"/>
    </row>
    <row r="2024">
      <c r="A2024" s="25"/>
      <c r="B2024" s="19"/>
      <c r="C2024" s="19"/>
      <c r="D2024" s="19"/>
      <c r="E2024" s="19"/>
      <c r="F2024" s="17" t="str">
        <f>IFERROR(__xludf.DUMMYFUNCTION("""COMPUTED_VALUE"""),"")</f>
        <v/>
      </c>
      <c r="G2024" s="20"/>
      <c r="H2024" s="19"/>
      <c r="I2024" s="19"/>
      <c r="J2024" s="19"/>
      <c r="K2024" s="19"/>
      <c r="L2024" s="19"/>
      <c r="M2024" s="19"/>
      <c r="N2024" s="20" t="s">
        <v>39</v>
      </c>
      <c r="O2024" s="19"/>
      <c r="P2024" s="19"/>
      <c r="Q2024" s="19"/>
      <c r="R2024" s="19"/>
      <c r="S2024" s="19"/>
      <c r="T2024" s="19"/>
      <c r="U2024" s="19"/>
      <c r="V2024" s="19"/>
    </row>
    <row r="2025">
      <c r="A2025" s="25"/>
      <c r="B2025" s="19"/>
      <c r="C2025" s="19"/>
      <c r="D2025" s="19"/>
      <c r="E2025" s="19"/>
      <c r="F2025" s="17" t="str">
        <f>IFERROR(__xludf.DUMMYFUNCTION("""COMPUTED_VALUE"""),"")</f>
        <v/>
      </c>
      <c r="G2025" s="20"/>
      <c r="H2025" s="19"/>
      <c r="I2025" s="19"/>
      <c r="J2025" s="19"/>
      <c r="K2025" s="19"/>
      <c r="L2025" s="19"/>
      <c r="M2025" s="19"/>
      <c r="N2025" s="20" t="s">
        <v>39</v>
      </c>
      <c r="O2025" s="19"/>
      <c r="P2025" s="19"/>
      <c r="Q2025" s="19"/>
      <c r="R2025" s="19"/>
      <c r="S2025" s="19"/>
      <c r="T2025" s="19"/>
      <c r="U2025" s="19"/>
      <c r="V2025" s="19"/>
    </row>
    <row r="2026">
      <c r="A2026" s="25"/>
      <c r="B2026" s="19"/>
      <c r="C2026" s="19"/>
      <c r="D2026" s="19"/>
      <c r="E2026" s="19"/>
      <c r="F2026" s="17" t="str">
        <f>IFERROR(__xludf.DUMMYFUNCTION("""COMPUTED_VALUE"""),"")</f>
        <v/>
      </c>
      <c r="G2026" s="20"/>
      <c r="H2026" s="19"/>
      <c r="I2026" s="19"/>
      <c r="J2026" s="19"/>
      <c r="K2026" s="19"/>
      <c r="L2026" s="19"/>
      <c r="M2026" s="19"/>
      <c r="N2026" s="20" t="s">
        <v>39</v>
      </c>
      <c r="O2026" s="19"/>
      <c r="P2026" s="19"/>
      <c r="Q2026" s="19"/>
      <c r="R2026" s="19"/>
      <c r="S2026" s="19"/>
      <c r="T2026" s="19"/>
      <c r="U2026" s="19"/>
      <c r="V2026" s="19"/>
    </row>
    <row r="2027">
      <c r="A2027" s="25"/>
      <c r="B2027" s="19"/>
      <c r="C2027" s="19"/>
      <c r="D2027" s="19"/>
      <c r="E2027" s="19"/>
      <c r="F2027" s="17" t="str">
        <f>IFERROR(__xludf.DUMMYFUNCTION("""COMPUTED_VALUE"""),"")</f>
        <v/>
      </c>
      <c r="G2027" s="20"/>
      <c r="H2027" s="19"/>
      <c r="I2027" s="19"/>
      <c r="J2027" s="19"/>
      <c r="K2027" s="19"/>
      <c r="L2027" s="19"/>
      <c r="M2027" s="19"/>
      <c r="N2027" s="20" t="s">
        <v>39</v>
      </c>
      <c r="O2027" s="19"/>
      <c r="P2027" s="19"/>
      <c r="Q2027" s="19"/>
      <c r="R2027" s="19"/>
      <c r="S2027" s="19"/>
      <c r="T2027" s="19"/>
      <c r="U2027" s="19"/>
      <c r="V2027" s="19"/>
    </row>
    <row r="2028">
      <c r="A2028" s="25"/>
      <c r="B2028" s="19"/>
      <c r="C2028" s="19"/>
      <c r="D2028" s="19"/>
      <c r="E2028" s="19"/>
      <c r="F2028" s="17" t="str">
        <f>IFERROR(__xludf.DUMMYFUNCTION("""COMPUTED_VALUE"""),"")</f>
        <v/>
      </c>
      <c r="G2028" s="20"/>
      <c r="H2028" s="19"/>
      <c r="I2028" s="19"/>
      <c r="J2028" s="19"/>
      <c r="K2028" s="19"/>
      <c r="L2028" s="19"/>
      <c r="M2028" s="19"/>
      <c r="N2028" s="20" t="s">
        <v>39</v>
      </c>
      <c r="O2028" s="19"/>
      <c r="P2028" s="19"/>
      <c r="Q2028" s="19"/>
      <c r="R2028" s="19"/>
      <c r="S2028" s="19"/>
      <c r="T2028" s="19"/>
      <c r="U2028" s="19"/>
      <c r="V2028" s="19"/>
    </row>
    <row r="2029">
      <c r="A2029" s="25"/>
      <c r="B2029" s="19"/>
      <c r="C2029" s="19"/>
      <c r="D2029" s="19"/>
      <c r="E2029" s="19"/>
      <c r="F2029" s="17" t="str">
        <f>IFERROR(__xludf.DUMMYFUNCTION("""COMPUTED_VALUE"""),"")</f>
        <v/>
      </c>
      <c r="G2029" s="20"/>
      <c r="H2029" s="19"/>
      <c r="I2029" s="19"/>
      <c r="J2029" s="19"/>
      <c r="K2029" s="19"/>
      <c r="L2029" s="19"/>
      <c r="M2029" s="19"/>
      <c r="N2029" s="20" t="s">
        <v>39</v>
      </c>
      <c r="O2029" s="19"/>
      <c r="P2029" s="19"/>
      <c r="Q2029" s="19"/>
      <c r="R2029" s="19"/>
      <c r="S2029" s="19"/>
      <c r="T2029" s="19"/>
      <c r="U2029" s="19"/>
      <c r="V2029" s="19"/>
    </row>
    <row r="2030">
      <c r="A2030" s="25"/>
      <c r="B2030" s="19"/>
      <c r="C2030" s="19"/>
      <c r="D2030" s="19"/>
      <c r="E2030" s="19"/>
      <c r="F2030" s="17" t="str">
        <f>IFERROR(__xludf.DUMMYFUNCTION("""COMPUTED_VALUE"""),"")</f>
        <v/>
      </c>
      <c r="G2030" s="20"/>
      <c r="H2030" s="19"/>
      <c r="I2030" s="19"/>
      <c r="J2030" s="19"/>
      <c r="K2030" s="19"/>
      <c r="L2030" s="19"/>
      <c r="M2030" s="19"/>
      <c r="N2030" s="20" t="s">
        <v>39</v>
      </c>
      <c r="O2030" s="19"/>
      <c r="P2030" s="19"/>
      <c r="Q2030" s="19"/>
      <c r="R2030" s="19"/>
      <c r="S2030" s="19"/>
      <c r="T2030" s="19"/>
      <c r="U2030" s="19"/>
      <c r="V2030" s="19"/>
    </row>
    <row r="2031">
      <c r="A2031" s="25"/>
      <c r="B2031" s="19"/>
      <c r="C2031" s="19"/>
      <c r="D2031" s="19"/>
      <c r="E2031" s="19"/>
      <c r="F2031" s="17" t="str">
        <f>IFERROR(__xludf.DUMMYFUNCTION("""COMPUTED_VALUE"""),"")</f>
        <v/>
      </c>
      <c r="G2031" s="20"/>
      <c r="H2031" s="19"/>
      <c r="I2031" s="19"/>
      <c r="J2031" s="19"/>
      <c r="K2031" s="19"/>
      <c r="L2031" s="19"/>
      <c r="M2031" s="19"/>
      <c r="N2031" s="20" t="s">
        <v>39</v>
      </c>
      <c r="O2031" s="19"/>
      <c r="P2031" s="19"/>
      <c r="Q2031" s="19"/>
      <c r="R2031" s="19"/>
      <c r="S2031" s="19"/>
      <c r="T2031" s="19"/>
      <c r="U2031" s="19"/>
      <c r="V2031" s="19"/>
    </row>
    <row r="2032">
      <c r="A2032" s="25"/>
      <c r="B2032" s="19"/>
      <c r="C2032" s="19"/>
      <c r="D2032" s="19"/>
      <c r="E2032" s="19"/>
      <c r="F2032" s="17" t="str">
        <f>IFERROR(__xludf.DUMMYFUNCTION("""COMPUTED_VALUE"""),"")</f>
        <v/>
      </c>
      <c r="G2032" s="20"/>
      <c r="H2032" s="19"/>
      <c r="I2032" s="19"/>
      <c r="J2032" s="19"/>
      <c r="K2032" s="19"/>
      <c r="L2032" s="19"/>
      <c r="M2032" s="19"/>
      <c r="N2032" s="20" t="s">
        <v>39</v>
      </c>
      <c r="O2032" s="19"/>
      <c r="P2032" s="19"/>
      <c r="Q2032" s="19"/>
      <c r="R2032" s="19"/>
      <c r="S2032" s="19"/>
      <c r="T2032" s="19"/>
      <c r="U2032" s="19"/>
      <c r="V2032" s="19"/>
    </row>
    <row r="2033">
      <c r="A2033" s="25"/>
      <c r="B2033" s="19"/>
      <c r="C2033" s="19"/>
      <c r="D2033" s="19"/>
      <c r="E2033" s="19"/>
      <c r="F2033" s="17" t="str">
        <f>IFERROR(__xludf.DUMMYFUNCTION("""COMPUTED_VALUE"""),"")</f>
        <v/>
      </c>
      <c r="G2033" s="20"/>
      <c r="H2033" s="19"/>
      <c r="I2033" s="19"/>
      <c r="J2033" s="19"/>
      <c r="K2033" s="19"/>
      <c r="L2033" s="19"/>
      <c r="M2033" s="19"/>
      <c r="N2033" s="20" t="s">
        <v>39</v>
      </c>
      <c r="O2033" s="19"/>
      <c r="P2033" s="19"/>
      <c r="Q2033" s="19"/>
      <c r="R2033" s="19"/>
      <c r="S2033" s="19"/>
      <c r="T2033" s="19"/>
      <c r="U2033" s="19"/>
      <c r="V2033" s="19"/>
    </row>
    <row r="2034">
      <c r="A2034" s="25"/>
      <c r="B2034" s="19"/>
      <c r="C2034" s="19"/>
      <c r="D2034" s="19"/>
      <c r="E2034" s="19"/>
      <c r="F2034" s="17" t="str">
        <f>IFERROR(__xludf.DUMMYFUNCTION("""COMPUTED_VALUE"""),"")</f>
        <v/>
      </c>
      <c r="G2034" s="20"/>
      <c r="H2034" s="19"/>
      <c r="I2034" s="19"/>
      <c r="J2034" s="19"/>
      <c r="K2034" s="19"/>
      <c r="L2034" s="19"/>
      <c r="M2034" s="19"/>
      <c r="N2034" s="20" t="s">
        <v>39</v>
      </c>
      <c r="O2034" s="19"/>
      <c r="P2034" s="19"/>
      <c r="Q2034" s="19"/>
      <c r="R2034" s="19"/>
      <c r="S2034" s="19"/>
      <c r="T2034" s="19"/>
      <c r="U2034" s="19"/>
      <c r="V2034" s="19"/>
    </row>
    <row r="2035">
      <c r="A2035" s="25"/>
      <c r="B2035" s="19"/>
      <c r="C2035" s="19"/>
      <c r="D2035" s="19"/>
      <c r="E2035" s="19"/>
      <c r="F2035" s="17" t="str">
        <f>IFERROR(__xludf.DUMMYFUNCTION("""COMPUTED_VALUE"""),"")</f>
        <v/>
      </c>
      <c r="G2035" s="20"/>
      <c r="H2035" s="19"/>
      <c r="I2035" s="19"/>
      <c r="J2035" s="19"/>
      <c r="K2035" s="19"/>
      <c r="L2035" s="19"/>
      <c r="M2035" s="19"/>
      <c r="N2035" s="20" t="s">
        <v>39</v>
      </c>
      <c r="O2035" s="19"/>
      <c r="P2035" s="19"/>
      <c r="Q2035" s="19"/>
      <c r="R2035" s="19"/>
      <c r="S2035" s="19"/>
      <c r="T2035" s="19"/>
      <c r="U2035" s="19"/>
      <c r="V2035" s="19"/>
    </row>
    <row r="2036">
      <c r="A2036" s="25"/>
      <c r="B2036" s="19"/>
      <c r="C2036" s="19"/>
      <c r="D2036" s="19"/>
      <c r="E2036" s="19"/>
      <c r="F2036" s="17" t="str">
        <f>IFERROR(__xludf.DUMMYFUNCTION("""COMPUTED_VALUE"""),"")</f>
        <v/>
      </c>
      <c r="G2036" s="20"/>
      <c r="H2036" s="19"/>
      <c r="I2036" s="19"/>
      <c r="J2036" s="19"/>
      <c r="K2036" s="19"/>
      <c r="L2036" s="19"/>
      <c r="M2036" s="19"/>
      <c r="N2036" s="20" t="s">
        <v>39</v>
      </c>
      <c r="O2036" s="19"/>
      <c r="P2036" s="19"/>
      <c r="Q2036" s="19"/>
      <c r="R2036" s="19"/>
      <c r="S2036" s="19"/>
      <c r="T2036" s="19"/>
      <c r="U2036" s="19"/>
      <c r="V2036" s="19"/>
    </row>
    <row r="2037">
      <c r="A2037" s="25"/>
      <c r="B2037" s="19"/>
      <c r="C2037" s="19"/>
      <c r="D2037" s="19"/>
      <c r="E2037" s="19"/>
      <c r="F2037" s="17" t="str">
        <f>IFERROR(__xludf.DUMMYFUNCTION("""COMPUTED_VALUE"""),"")</f>
        <v/>
      </c>
      <c r="G2037" s="20"/>
      <c r="H2037" s="19"/>
      <c r="I2037" s="19"/>
      <c r="J2037" s="19"/>
      <c r="K2037" s="19"/>
      <c r="L2037" s="19"/>
      <c r="M2037" s="19"/>
      <c r="N2037" s="20" t="s">
        <v>39</v>
      </c>
      <c r="O2037" s="19"/>
      <c r="P2037" s="19"/>
      <c r="Q2037" s="19"/>
      <c r="R2037" s="19"/>
      <c r="S2037" s="19"/>
      <c r="T2037" s="19"/>
      <c r="U2037" s="19"/>
      <c r="V2037" s="19"/>
    </row>
    <row r="2038">
      <c r="A2038" s="25"/>
      <c r="B2038" s="19"/>
      <c r="C2038" s="19"/>
      <c r="D2038" s="19"/>
      <c r="E2038" s="19"/>
      <c r="F2038" s="17" t="str">
        <f>IFERROR(__xludf.DUMMYFUNCTION("""COMPUTED_VALUE"""),"")</f>
        <v/>
      </c>
      <c r="G2038" s="20"/>
      <c r="H2038" s="19"/>
      <c r="I2038" s="19"/>
      <c r="J2038" s="19"/>
      <c r="K2038" s="19"/>
      <c r="L2038" s="19"/>
      <c r="M2038" s="19"/>
      <c r="N2038" s="20" t="s">
        <v>39</v>
      </c>
      <c r="O2038" s="19"/>
      <c r="P2038" s="19"/>
      <c r="Q2038" s="19"/>
      <c r="R2038" s="19"/>
      <c r="S2038" s="19"/>
      <c r="T2038" s="19"/>
      <c r="U2038" s="19"/>
      <c r="V2038" s="19"/>
    </row>
    <row r="2039">
      <c r="A2039" s="25"/>
      <c r="B2039" s="19"/>
      <c r="C2039" s="19"/>
      <c r="D2039" s="19"/>
      <c r="E2039" s="19"/>
      <c r="F2039" s="17" t="str">
        <f>IFERROR(__xludf.DUMMYFUNCTION("""COMPUTED_VALUE"""),"")</f>
        <v/>
      </c>
      <c r="G2039" s="20"/>
      <c r="H2039" s="19"/>
      <c r="I2039" s="19"/>
      <c r="J2039" s="19"/>
      <c r="K2039" s="19"/>
      <c r="L2039" s="19"/>
      <c r="M2039" s="19"/>
      <c r="N2039" s="20" t="s">
        <v>39</v>
      </c>
      <c r="O2039" s="19"/>
      <c r="P2039" s="19"/>
      <c r="Q2039" s="19"/>
      <c r="R2039" s="19"/>
      <c r="S2039" s="19"/>
      <c r="T2039" s="19"/>
      <c r="U2039" s="19"/>
      <c r="V2039" s="19"/>
    </row>
    <row r="2040">
      <c r="A2040" s="25"/>
      <c r="B2040" s="19"/>
      <c r="C2040" s="19"/>
      <c r="D2040" s="19"/>
      <c r="E2040" s="19"/>
      <c r="F2040" s="17" t="str">
        <f>IFERROR(__xludf.DUMMYFUNCTION("""COMPUTED_VALUE"""),"")</f>
        <v/>
      </c>
      <c r="G2040" s="20"/>
      <c r="H2040" s="19"/>
      <c r="I2040" s="19"/>
      <c r="J2040" s="19"/>
      <c r="K2040" s="19"/>
      <c r="L2040" s="19"/>
      <c r="M2040" s="19"/>
      <c r="N2040" s="20" t="s">
        <v>39</v>
      </c>
      <c r="O2040" s="19"/>
      <c r="P2040" s="19"/>
      <c r="Q2040" s="19"/>
      <c r="R2040" s="19"/>
      <c r="S2040" s="19"/>
      <c r="T2040" s="19"/>
      <c r="U2040" s="19"/>
      <c r="V2040" s="19"/>
    </row>
    <row r="2041">
      <c r="A2041" s="25"/>
      <c r="B2041" s="19"/>
      <c r="C2041" s="19"/>
      <c r="D2041" s="19"/>
      <c r="E2041" s="19"/>
      <c r="F2041" s="17" t="str">
        <f>IFERROR(__xludf.DUMMYFUNCTION("""COMPUTED_VALUE"""),"")</f>
        <v/>
      </c>
      <c r="G2041" s="20"/>
      <c r="H2041" s="19"/>
      <c r="I2041" s="19"/>
      <c r="J2041" s="19"/>
      <c r="K2041" s="19"/>
      <c r="L2041" s="19"/>
      <c r="M2041" s="19"/>
      <c r="N2041" s="20" t="s">
        <v>39</v>
      </c>
      <c r="O2041" s="19"/>
      <c r="P2041" s="19"/>
      <c r="Q2041" s="19"/>
      <c r="R2041" s="19"/>
      <c r="S2041" s="19"/>
      <c r="T2041" s="19"/>
      <c r="U2041" s="19"/>
      <c r="V2041" s="19"/>
    </row>
    <row r="2042">
      <c r="A2042" s="25"/>
      <c r="B2042" s="19"/>
      <c r="C2042" s="19"/>
      <c r="D2042" s="19"/>
      <c r="E2042" s="19"/>
      <c r="F2042" s="17" t="str">
        <f>IFERROR(__xludf.DUMMYFUNCTION("""COMPUTED_VALUE"""),"")</f>
        <v/>
      </c>
      <c r="G2042" s="20"/>
      <c r="H2042" s="19"/>
      <c r="I2042" s="19"/>
      <c r="J2042" s="19"/>
      <c r="K2042" s="19"/>
      <c r="L2042" s="19"/>
      <c r="M2042" s="19"/>
      <c r="N2042" s="20" t="s">
        <v>39</v>
      </c>
      <c r="O2042" s="19"/>
      <c r="P2042" s="19"/>
      <c r="Q2042" s="19"/>
      <c r="R2042" s="19"/>
      <c r="S2042" s="19"/>
      <c r="T2042" s="19"/>
      <c r="U2042" s="19"/>
      <c r="V2042" s="19"/>
    </row>
    <row r="2043">
      <c r="A2043" s="25"/>
      <c r="B2043" s="19"/>
      <c r="C2043" s="19"/>
      <c r="D2043" s="19"/>
      <c r="E2043" s="19"/>
      <c r="F2043" s="17" t="str">
        <f>IFERROR(__xludf.DUMMYFUNCTION("""COMPUTED_VALUE"""),"")</f>
        <v/>
      </c>
      <c r="G2043" s="20"/>
      <c r="H2043" s="19"/>
      <c r="I2043" s="19"/>
      <c r="J2043" s="19"/>
      <c r="K2043" s="19"/>
      <c r="L2043" s="19"/>
      <c r="M2043" s="19"/>
      <c r="N2043" s="20" t="s">
        <v>39</v>
      </c>
      <c r="O2043" s="19"/>
      <c r="P2043" s="19"/>
      <c r="Q2043" s="19"/>
      <c r="R2043" s="19"/>
      <c r="S2043" s="19"/>
      <c r="T2043" s="19"/>
      <c r="U2043" s="19"/>
      <c r="V2043" s="19"/>
    </row>
    <row r="2044">
      <c r="A2044" s="25"/>
      <c r="B2044" s="19"/>
      <c r="C2044" s="19"/>
      <c r="D2044" s="19"/>
      <c r="E2044" s="19"/>
      <c r="F2044" s="17" t="str">
        <f>IFERROR(__xludf.DUMMYFUNCTION("""COMPUTED_VALUE"""),"")</f>
        <v/>
      </c>
      <c r="G2044" s="20"/>
      <c r="H2044" s="19"/>
      <c r="I2044" s="19"/>
      <c r="J2044" s="19"/>
      <c r="K2044" s="19"/>
      <c r="L2044" s="19"/>
      <c r="M2044" s="19"/>
      <c r="N2044" s="20" t="s">
        <v>39</v>
      </c>
      <c r="O2044" s="19"/>
      <c r="P2044" s="19"/>
      <c r="Q2044" s="19"/>
      <c r="R2044" s="19"/>
      <c r="S2044" s="19"/>
      <c r="T2044" s="19"/>
      <c r="U2044" s="19"/>
      <c r="V2044" s="19"/>
    </row>
    <row r="2045">
      <c r="A2045" s="25"/>
      <c r="B2045" s="19"/>
      <c r="C2045" s="19"/>
      <c r="D2045" s="19"/>
      <c r="E2045" s="19"/>
      <c r="F2045" s="17" t="str">
        <f>IFERROR(__xludf.DUMMYFUNCTION("""COMPUTED_VALUE"""),"")</f>
        <v/>
      </c>
      <c r="G2045" s="20"/>
      <c r="H2045" s="19"/>
      <c r="I2045" s="19"/>
      <c r="J2045" s="19"/>
      <c r="K2045" s="19"/>
      <c r="L2045" s="19"/>
      <c r="M2045" s="19"/>
      <c r="N2045" s="20" t="s">
        <v>39</v>
      </c>
      <c r="O2045" s="19"/>
      <c r="P2045" s="19"/>
      <c r="Q2045" s="19"/>
      <c r="R2045" s="19"/>
      <c r="S2045" s="19"/>
      <c r="T2045" s="19"/>
      <c r="U2045" s="19"/>
      <c r="V2045" s="19"/>
    </row>
    <row r="2046">
      <c r="A2046" s="25"/>
      <c r="B2046" s="19"/>
      <c r="C2046" s="19"/>
      <c r="D2046" s="19"/>
      <c r="E2046" s="19"/>
      <c r="F2046" s="17" t="str">
        <f>IFERROR(__xludf.DUMMYFUNCTION("""COMPUTED_VALUE"""),"")</f>
        <v/>
      </c>
      <c r="G2046" s="20"/>
      <c r="H2046" s="19"/>
      <c r="I2046" s="19"/>
      <c r="J2046" s="19"/>
      <c r="K2046" s="19"/>
      <c r="L2046" s="19"/>
      <c r="M2046" s="19"/>
      <c r="N2046" s="20" t="s">
        <v>39</v>
      </c>
      <c r="O2046" s="19"/>
      <c r="P2046" s="19"/>
      <c r="Q2046" s="19"/>
      <c r="R2046" s="19"/>
      <c r="S2046" s="19"/>
      <c r="T2046" s="19"/>
      <c r="U2046" s="19"/>
      <c r="V2046" s="19"/>
    </row>
    <row r="2047">
      <c r="A2047" s="25"/>
      <c r="B2047" s="19"/>
      <c r="C2047" s="19"/>
      <c r="D2047" s="19"/>
      <c r="E2047" s="19"/>
      <c r="F2047" s="17" t="str">
        <f>IFERROR(__xludf.DUMMYFUNCTION("""COMPUTED_VALUE"""),"")</f>
        <v/>
      </c>
      <c r="G2047" s="20"/>
      <c r="H2047" s="19"/>
      <c r="I2047" s="19"/>
      <c r="J2047" s="19"/>
      <c r="K2047" s="19"/>
      <c r="L2047" s="19"/>
      <c r="M2047" s="19"/>
      <c r="N2047" s="20" t="s">
        <v>39</v>
      </c>
      <c r="O2047" s="19"/>
      <c r="P2047" s="19"/>
      <c r="Q2047" s="19"/>
      <c r="R2047" s="19"/>
      <c r="S2047" s="19"/>
      <c r="T2047" s="19"/>
      <c r="U2047" s="19"/>
      <c r="V2047" s="19"/>
    </row>
    <row r="2048">
      <c r="A2048" s="25"/>
      <c r="B2048" s="19"/>
      <c r="C2048" s="19"/>
      <c r="D2048" s="19"/>
      <c r="E2048" s="19"/>
      <c r="F2048" s="17" t="str">
        <f>IFERROR(__xludf.DUMMYFUNCTION("""COMPUTED_VALUE"""),"")</f>
        <v/>
      </c>
      <c r="G2048" s="20"/>
      <c r="H2048" s="19"/>
      <c r="I2048" s="19"/>
      <c r="J2048" s="19"/>
      <c r="K2048" s="19"/>
      <c r="L2048" s="19"/>
      <c r="M2048" s="19"/>
      <c r="N2048" s="20" t="s">
        <v>39</v>
      </c>
      <c r="O2048" s="19"/>
      <c r="P2048" s="19"/>
      <c r="Q2048" s="19"/>
      <c r="R2048" s="19"/>
      <c r="S2048" s="19"/>
      <c r="T2048" s="19"/>
      <c r="U2048" s="19"/>
      <c r="V2048" s="19"/>
    </row>
    <row r="2049">
      <c r="A2049" s="25"/>
      <c r="B2049" s="19"/>
      <c r="C2049" s="19"/>
      <c r="D2049" s="19"/>
      <c r="E2049" s="19"/>
      <c r="F2049" s="17" t="str">
        <f>IFERROR(__xludf.DUMMYFUNCTION("""COMPUTED_VALUE"""),"")</f>
        <v/>
      </c>
      <c r="G2049" s="20"/>
      <c r="H2049" s="19"/>
      <c r="I2049" s="19"/>
      <c r="J2049" s="19"/>
      <c r="K2049" s="19"/>
      <c r="L2049" s="19"/>
      <c r="M2049" s="19"/>
      <c r="N2049" s="20" t="s">
        <v>39</v>
      </c>
      <c r="O2049" s="19"/>
      <c r="P2049" s="19"/>
      <c r="Q2049" s="19"/>
      <c r="R2049" s="19"/>
      <c r="S2049" s="19"/>
      <c r="T2049" s="19"/>
      <c r="U2049" s="19"/>
      <c r="V2049" s="19"/>
    </row>
    <row r="2050">
      <c r="A2050" s="25"/>
      <c r="B2050" s="19"/>
      <c r="C2050" s="19"/>
      <c r="D2050" s="19"/>
      <c r="E2050" s="19"/>
      <c r="F2050" s="17" t="str">
        <f>IFERROR(__xludf.DUMMYFUNCTION("""COMPUTED_VALUE"""),"")</f>
        <v/>
      </c>
      <c r="G2050" s="20"/>
      <c r="H2050" s="19"/>
      <c r="I2050" s="19"/>
      <c r="J2050" s="19"/>
      <c r="K2050" s="19"/>
      <c r="L2050" s="19"/>
      <c r="M2050" s="19"/>
      <c r="N2050" s="20" t="s">
        <v>39</v>
      </c>
      <c r="O2050" s="19"/>
      <c r="P2050" s="19"/>
      <c r="Q2050" s="19"/>
      <c r="R2050" s="19"/>
      <c r="S2050" s="19"/>
      <c r="T2050" s="19"/>
      <c r="U2050" s="19"/>
      <c r="V2050" s="19"/>
    </row>
    <row r="2051">
      <c r="A2051" s="25"/>
      <c r="B2051" s="19"/>
      <c r="C2051" s="19"/>
      <c r="D2051" s="19"/>
      <c r="E2051" s="19"/>
      <c r="F2051" s="17" t="str">
        <f>IFERROR(__xludf.DUMMYFUNCTION("""COMPUTED_VALUE"""),"")</f>
        <v/>
      </c>
      <c r="G2051" s="20"/>
      <c r="H2051" s="19"/>
      <c r="I2051" s="19"/>
      <c r="J2051" s="19"/>
      <c r="K2051" s="19"/>
      <c r="L2051" s="19"/>
      <c r="M2051" s="19"/>
      <c r="N2051" s="20" t="s">
        <v>39</v>
      </c>
      <c r="O2051" s="19"/>
      <c r="P2051" s="19"/>
      <c r="Q2051" s="19"/>
      <c r="R2051" s="19"/>
      <c r="S2051" s="19"/>
      <c r="T2051" s="19"/>
      <c r="U2051" s="19"/>
      <c r="V2051" s="19"/>
    </row>
    <row r="2052">
      <c r="A2052" s="25"/>
      <c r="B2052" s="19"/>
      <c r="C2052" s="19"/>
      <c r="D2052" s="19"/>
      <c r="E2052" s="19"/>
      <c r="F2052" s="17" t="str">
        <f>IFERROR(__xludf.DUMMYFUNCTION("""COMPUTED_VALUE"""),"")</f>
        <v/>
      </c>
      <c r="G2052" s="20"/>
      <c r="H2052" s="19"/>
      <c r="I2052" s="19"/>
      <c r="J2052" s="19"/>
      <c r="K2052" s="19"/>
      <c r="L2052" s="19"/>
      <c r="M2052" s="19"/>
      <c r="N2052" s="20" t="s">
        <v>39</v>
      </c>
      <c r="O2052" s="19"/>
      <c r="P2052" s="19"/>
      <c r="Q2052" s="19"/>
      <c r="R2052" s="19"/>
      <c r="S2052" s="19"/>
      <c r="T2052" s="19"/>
      <c r="U2052" s="19"/>
      <c r="V2052" s="19"/>
    </row>
    <row r="2053">
      <c r="A2053" s="25"/>
      <c r="B2053" s="19"/>
      <c r="C2053" s="19"/>
      <c r="D2053" s="19"/>
      <c r="E2053" s="19"/>
      <c r="F2053" s="17" t="str">
        <f>IFERROR(__xludf.DUMMYFUNCTION("""COMPUTED_VALUE"""),"")</f>
        <v/>
      </c>
      <c r="G2053" s="20"/>
      <c r="H2053" s="19"/>
      <c r="I2053" s="19"/>
      <c r="J2053" s="19"/>
      <c r="K2053" s="19"/>
      <c r="L2053" s="19"/>
      <c r="M2053" s="19"/>
      <c r="N2053" s="20" t="s">
        <v>39</v>
      </c>
      <c r="O2053" s="19"/>
      <c r="P2053" s="19"/>
      <c r="Q2053" s="19"/>
      <c r="R2053" s="19"/>
      <c r="S2053" s="19"/>
      <c r="T2053" s="19"/>
      <c r="U2053" s="19"/>
      <c r="V2053" s="19"/>
    </row>
    <row r="2054">
      <c r="A2054" s="25"/>
      <c r="B2054" s="19"/>
      <c r="C2054" s="19"/>
      <c r="D2054" s="19"/>
      <c r="E2054" s="19"/>
      <c r="F2054" s="17" t="str">
        <f>IFERROR(__xludf.DUMMYFUNCTION("""COMPUTED_VALUE"""),"")</f>
        <v/>
      </c>
      <c r="G2054" s="20"/>
      <c r="H2054" s="19"/>
      <c r="I2054" s="19"/>
      <c r="J2054" s="19"/>
      <c r="K2054" s="19"/>
      <c r="L2054" s="19"/>
      <c r="M2054" s="19"/>
      <c r="N2054" s="20" t="s">
        <v>39</v>
      </c>
      <c r="O2054" s="19"/>
      <c r="P2054" s="19"/>
      <c r="Q2054" s="19"/>
      <c r="R2054" s="19"/>
      <c r="S2054" s="19"/>
      <c r="T2054" s="19"/>
      <c r="U2054" s="19"/>
      <c r="V2054" s="19"/>
    </row>
    <row r="2055">
      <c r="A2055" s="25"/>
      <c r="B2055" s="19"/>
      <c r="C2055" s="19"/>
      <c r="D2055" s="19"/>
      <c r="E2055" s="19"/>
      <c r="F2055" s="17" t="str">
        <f>IFERROR(__xludf.DUMMYFUNCTION("""COMPUTED_VALUE"""),"")</f>
        <v/>
      </c>
      <c r="G2055" s="20"/>
      <c r="H2055" s="19"/>
      <c r="I2055" s="19"/>
      <c r="J2055" s="19"/>
      <c r="K2055" s="19"/>
      <c r="L2055" s="19"/>
      <c r="M2055" s="19"/>
      <c r="N2055" s="20" t="s">
        <v>39</v>
      </c>
      <c r="O2055" s="19"/>
      <c r="P2055" s="19"/>
      <c r="Q2055" s="19"/>
      <c r="R2055" s="19"/>
      <c r="S2055" s="19"/>
      <c r="T2055" s="19"/>
      <c r="U2055" s="19"/>
      <c r="V2055" s="19"/>
    </row>
    <row r="2056">
      <c r="A2056" s="25"/>
      <c r="B2056" s="19"/>
      <c r="C2056" s="19"/>
      <c r="D2056" s="19"/>
      <c r="E2056" s="19"/>
      <c r="F2056" s="17" t="str">
        <f>IFERROR(__xludf.DUMMYFUNCTION("""COMPUTED_VALUE"""),"")</f>
        <v/>
      </c>
      <c r="G2056" s="20"/>
      <c r="H2056" s="19"/>
      <c r="I2056" s="19"/>
      <c r="J2056" s="19"/>
      <c r="K2056" s="19"/>
      <c r="L2056" s="19"/>
      <c r="M2056" s="19"/>
      <c r="N2056" s="20" t="s">
        <v>39</v>
      </c>
      <c r="O2056" s="19"/>
      <c r="P2056" s="19"/>
      <c r="Q2056" s="19"/>
      <c r="R2056" s="19"/>
      <c r="S2056" s="19"/>
      <c r="T2056" s="19"/>
      <c r="U2056" s="19"/>
      <c r="V2056" s="19"/>
    </row>
    <row r="2057">
      <c r="A2057" s="25"/>
      <c r="B2057" s="19"/>
      <c r="C2057" s="19"/>
      <c r="D2057" s="19"/>
      <c r="E2057" s="19"/>
      <c r="F2057" s="17" t="str">
        <f>IFERROR(__xludf.DUMMYFUNCTION("""COMPUTED_VALUE"""),"")</f>
        <v/>
      </c>
      <c r="G2057" s="20"/>
      <c r="H2057" s="19"/>
      <c r="I2057" s="19"/>
      <c r="J2057" s="19"/>
      <c r="K2057" s="19"/>
      <c r="L2057" s="19"/>
      <c r="M2057" s="19"/>
      <c r="N2057" s="20" t="s">
        <v>39</v>
      </c>
      <c r="O2057" s="19"/>
      <c r="P2057" s="19"/>
      <c r="Q2057" s="19"/>
      <c r="R2057" s="19"/>
      <c r="S2057" s="19"/>
      <c r="T2057" s="19"/>
      <c r="U2057" s="19"/>
      <c r="V2057" s="19"/>
    </row>
    <row r="2058">
      <c r="A2058" s="25"/>
      <c r="B2058" s="19"/>
      <c r="C2058" s="19"/>
      <c r="D2058" s="19"/>
      <c r="E2058" s="19"/>
      <c r="F2058" s="17" t="str">
        <f>IFERROR(__xludf.DUMMYFUNCTION("""COMPUTED_VALUE"""),"")</f>
        <v/>
      </c>
      <c r="G2058" s="20"/>
      <c r="H2058" s="19"/>
      <c r="I2058" s="19"/>
      <c r="J2058" s="19"/>
      <c r="K2058" s="19"/>
      <c r="L2058" s="19"/>
      <c r="M2058" s="19"/>
      <c r="N2058" s="20" t="s">
        <v>39</v>
      </c>
      <c r="O2058" s="19"/>
      <c r="P2058" s="19"/>
      <c r="Q2058" s="19"/>
      <c r="R2058" s="19"/>
      <c r="S2058" s="19"/>
      <c r="T2058" s="19"/>
      <c r="U2058" s="19"/>
      <c r="V2058" s="19"/>
    </row>
    <row r="2059">
      <c r="A2059" s="25"/>
      <c r="B2059" s="19"/>
      <c r="C2059" s="19"/>
      <c r="D2059" s="19"/>
      <c r="E2059" s="19"/>
      <c r="F2059" s="17" t="str">
        <f>IFERROR(__xludf.DUMMYFUNCTION("""COMPUTED_VALUE"""),"")</f>
        <v/>
      </c>
      <c r="G2059" s="20"/>
      <c r="H2059" s="19"/>
      <c r="I2059" s="19"/>
      <c r="J2059" s="19"/>
      <c r="K2059" s="19"/>
      <c r="L2059" s="19"/>
      <c r="M2059" s="19"/>
      <c r="N2059" s="20" t="s">
        <v>39</v>
      </c>
      <c r="O2059" s="19"/>
      <c r="P2059" s="19"/>
      <c r="Q2059" s="19"/>
      <c r="R2059" s="19"/>
      <c r="S2059" s="19"/>
      <c r="T2059" s="19"/>
      <c r="U2059" s="19"/>
      <c r="V2059" s="19"/>
    </row>
    <row r="2060">
      <c r="A2060" s="25"/>
      <c r="B2060" s="19"/>
      <c r="C2060" s="19"/>
      <c r="D2060" s="19"/>
      <c r="E2060" s="19"/>
      <c r="F2060" s="17" t="str">
        <f>IFERROR(__xludf.DUMMYFUNCTION("""COMPUTED_VALUE"""),"")</f>
        <v/>
      </c>
      <c r="G2060" s="20"/>
      <c r="H2060" s="19"/>
      <c r="I2060" s="19"/>
      <c r="J2060" s="19"/>
      <c r="K2060" s="19"/>
      <c r="L2060" s="19"/>
      <c r="M2060" s="19"/>
      <c r="N2060" s="20" t="s">
        <v>39</v>
      </c>
      <c r="O2060" s="19"/>
      <c r="P2060" s="19"/>
      <c r="Q2060" s="19"/>
      <c r="R2060" s="19"/>
      <c r="S2060" s="19"/>
      <c r="T2060" s="19"/>
      <c r="U2060" s="19"/>
      <c r="V2060" s="19"/>
    </row>
    <row r="2061">
      <c r="A2061" s="25"/>
      <c r="B2061" s="19"/>
      <c r="C2061" s="19"/>
      <c r="D2061" s="19"/>
      <c r="E2061" s="19"/>
      <c r="F2061" s="17" t="str">
        <f>IFERROR(__xludf.DUMMYFUNCTION("""COMPUTED_VALUE"""),"")</f>
        <v/>
      </c>
      <c r="G2061" s="20"/>
      <c r="H2061" s="19"/>
      <c r="I2061" s="19"/>
      <c r="J2061" s="19"/>
      <c r="K2061" s="19"/>
      <c r="L2061" s="19"/>
      <c r="M2061" s="19"/>
      <c r="N2061" s="20" t="s">
        <v>39</v>
      </c>
      <c r="O2061" s="19"/>
      <c r="P2061" s="19"/>
      <c r="Q2061" s="19"/>
      <c r="R2061" s="19"/>
      <c r="S2061" s="19"/>
      <c r="T2061" s="19"/>
      <c r="U2061" s="19"/>
      <c r="V2061" s="19"/>
    </row>
    <row r="2062">
      <c r="A2062" s="25"/>
      <c r="B2062" s="19"/>
      <c r="C2062" s="19"/>
      <c r="D2062" s="19"/>
      <c r="E2062" s="19"/>
      <c r="F2062" s="17" t="str">
        <f>IFERROR(__xludf.DUMMYFUNCTION("""COMPUTED_VALUE"""),"")</f>
        <v/>
      </c>
      <c r="G2062" s="20"/>
      <c r="H2062" s="19"/>
      <c r="I2062" s="19"/>
      <c r="J2062" s="19"/>
      <c r="K2062" s="19"/>
      <c r="L2062" s="19"/>
      <c r="M2062" s="19"/>
      <c r="N2062" s="20" t="s">
        <v>39</v>
      </c>
      <c r="O2062" s="19"/>
      <c r="P2062" s="19"/>
      <c r="Q2062" s="19"/>
      <c r="R2062" s="19"/>
      <c r="S2062" s="19"/>
      <c r="T2062" s="19"/>
      <c r="U2062" s="19"/>
      <c r="V2062" s="19"/>
    </row>
    <row r="2063">
      <c r="A2063" s="25"/>
      <c r="B2063" s="19"/>
      <c r="C2063" s="19"/>
      <c r="D2063" s="19"/>
      <c r="E2063" s="19"/>
      <c r="F2063" s="17" t="str">
        <f>IFERROR(__xludf.DUMMYFUNCTION("""COMPUTED_VALUE"""),"")</f>
        <v/>
      </c>
      <c r="G2063" s="20"/>
      <c r="H2063" s="19"/>
      <c r="I2063" s="19"/>
      <c r="J2063" s="19"/>
      <c r="K2063" s="19"/>
      <c r="L2063" s="19"/>
      <c r="M2063" s="19"/>
      <c r="N2063" s="20" t="s">
        <v>39</v>
      </c>
      <c r="O2063" s="19"/>
      <c r="P2063" s="19"/>
      <c r="Q2063" s="19"/>
      <c r="R2063" s="19"/>
      <c r="S2063" s="19"/>
      <c r="T2063" s="19"/>
      <c r="U2063" s="19"/>
      <c r="V2063" s="19"/>
    </row>
    <row r="2064">
      <c r="A2064" s="25"/>
      <c r="B2064" s="19"/>
      <c r="C2064" s="19"/>
      <c r="D2064" s="19"/>
      <c r="E2064" s="19"/>
      <c r="F2064" s="17" t="str">
        <f>IFERROR(__xludf.DUMMYFUNCTION("""COMPUTED_VALUE"""),"")</f>
        <v/>
      </c>
      <c r="G2064" s="20"/>
      <c r="H2064" s="19"/>
      <c r="I2064" s="19"/>
      <c r="J2064" s="19"/>
      <c r="K2064" s="19"/>
      <c r="L2064" s="19"/>
      <c r="M2064" s="19"/>
      <c r="N2064" s="20" t="s">
        <v>39</v>
      </c>
      <c r="O2064" s="19"/>
      <c r="P2064" s="19"/>
      <c r="Q2064" s="19"/>
      <c r="R2064" s="19"/>
      <c r="S2064" s="19"/>
      <c r="T2064" s="19"/>
      <c r="U2064" s="19"/>
      <c r="V2064" s="19"/>
    </row>
    <row r="2065">
      <c r="A2065" s="25"/>
      <c r="B2065" s="19"/>
      <c r="C2065" s="19"/>
      <c r="D2065" s="19"/>
      <c r="E2065" s="19"/>
      <c r="F2065" s="17" t="str">
        <f>IFERROR(__xludf.DUMMYFUNCTION("""COMPUTED_VALUE"""),"")</f>
        <v/>
      </c>
      <c r="G2065" s="20"/>
      <c r="H2065" s="19"/>
      <c r="I2065" s="19"/>
      <c r="J2065" s="19"/>
      <c r="K2065" s="19"/>
      <c r="L2065" s="19"/>
      <c r="M2065" s="19"/>
      <c r="N2065" s="20" t="s">
        <v>39</v>
      </c>
      <c r="O2065" s="19"/>
      <c r="P2065" s="19"/>
      <c r="Q2065" s="19"/>
      <c r="R2065" s="19"/>
      <c r="S2065" s="19"/>
      <c r="T2065" s="19"/>
      <c r="U2065" s="19"/>
      <c r="V2065" s="19"/>
    </row>
    <row r="2066">
      <c r="A2066" s="25"/>
      <c r="B2066" s="19"/>
      <c r="C2066" s="19"/>
      <c r="D2066" s="19"/>
      <c r="E2066" s="19"/>
      <c r="F2066" s="17" t="str">
        <f>IFERROR(__xludf.DUMMYFUNCTION("""COMPUTED_VALUE"""),"")</f>
        <v/>
      </c>
      <c r="G2066" s="20"/>
      <c r="H2066" s="19"/>
      <c r="I2066" s="19"/>
      <c r="J2066" s="19"/>
      <c r="K2066" s="19"/>
      <c r="L2066" s="19"/>
      <c r="M2066" s="19"/>
      <c r="N2066" s="20" t="s">
        <v>39</v>
      </c>
      <c r="O2066" s="19"/>
      <c r="P2066" s="19"/>
      <c r="Q2066" s="19"/>
      <c r="R2066" s="19"/>
      <c r="S2066" s="19"/>
      <c r="T2066" s="19"/>
      <c r="U2066" s="19"/>
      <c r="V2066" s="19"/>
    </row>
    <row r="2067">
      <c r="A2067" s="25"/>
      <c r="B2067" s="19"/>
      <c r="C2067" s="19"/>
      <c r="D2067" s="19"/>
      <c r="E2067" s="19"/>
      <c r="F2067" s="17" t="str">
        <f>IFERROR(__xludf.DUMMYFUNCTION("""COMPUTED_VALUE"""),"")</f>
        <v/>
      </c>
      <c r="G2067" s="20"/>
      <c r="H2067" s="19"/>
      <c r="I2067" s="19"/>
      <c r="J2067" s="19"/>
      <c r="K2067" s="19"/>
      <c r="L2067" s="19"/>
      <c r="M2067" s="19"/>
      <c r="N2067" s="20" t="s">
        <v>39</v>
      </c>
      <c r="O2067" s="19"/>
      <c r="P2067" s="19"/>
      <c r="Q2067" s="19"/>
      <c r="R2067" s="19"/>
      <c r="S2067" s="19"/>
      <c r="T2067" s="19"/>
      <c r="U2067" s="19"/>
      <c r="V2067" s="19"/>
    </row>
    <row r="2068">
      <c r="A2068" s="25"/>
      <c r="B2068" s="19"/>
      <c r="C2068" s="19"/>
      <c r="D2068" s="19"/>
      <c r="E2068" s="19"/>
      <c r="F2068" s="17" t="str">
        <f>IFERROR(__xludf.DUMMYFUNCTION("""COMPUTED_VALUE"""),"")</f>
        <v/>
      </c>
      <c r="G2068" s="20"/>
      <c r="H2068" s="19"/>
      <c r="I2068" s="19"/>
      <c r="J2068" s="19"/>
      <c r="K2068" s="19"/>
      <c r="L2068" s="19"/>
      <c r="M2068" s="19"/>
      <c r="N2068" s="20" t="s">
        <v>39</v>
      </c>
      <c r="O2068" s="19"/>
      <c r="P2068" s="19"/>
      <c r="Q2068" s="19"/>
      <c r="R2068" s="19"/>
      <c r="S2068" s="19"/>
      <c r="T2068" s="19"/>
      <c r="U2068" s="19"/>
      <c r="V2068" s="19"/>
    </row>
    <row r="2069">
      <c r="A2069" s="25"/>
      <c r="B2069" s="19"/>
      <c r="C2069" s="19"/>
      <c r="D2069" s="19"/>
      <c r="E2069" s="19"/>
      <c r="F2069" s="17" t="str">
        <f>IFERROR(__xludf.DUMMYFUNCTION("""COMPUTED_VALUE"""),"")</f>
        <v/>
      </c>
      <c r="G2069" s="20"/>
      <c r="H2069" s="19"/>
      <c r="I2069" s="19"/>
      <c r="J2069" s="19"/>
      <c r="K2069" s="19"/>
      <c r="L2069" s="19"/>
      <c r="M2069" s="19"/>
      <c r="N2069" s="20" t="s">
        <v>39</v>
      </c>
      <c r="O2069" s="19"/>
      <c r="P2069" s="19"/>
      <c r="Q2069" s="19"/>
      <c r="R2069" s="19"/>
      <c r="S2069" s="19"/>
      <c r="T2069" s="19"/>
      <c r="U2069" s="19"/>
      <c r="V2069" s="19"/>
    </row>
    <row r="2070">
      <c r="A2070" s="25"/>
      <c r="B2070" s="19"/>
      <c r="C2070" s="19"/>
      <c r="D2070" s="19"/>
      <c r="E2070" s="19"/>
      <c r="F2070" s="17" t="str">
        <f>IFERROR(__xludf.DUMMYFUNCTION("""COMPUTED_VALUE"""),"")</f>
        <v/>
      </c>
      <c r="G2070" s="20"/>
      <c r="H2070" s="19"/>
      <c r="I2070" s="19"/>
      <c r="J2070" s="19"/>
      <c r="K2070" s="19"/>
      <c r="L2070" s="19"/>
      <c r="M2070" s="19"/>
      <c r="N2070" s="20" t="s">
        <v>39</v>
      </c>
      <c r="O2070" s="19"/>
      <c r="P2070" s="19"/>
      <c r="Q2070" s="19"/>
      <c r="R2070" s="19"/>
      <c r="S2070" s="19"/>
      <c r="T2070" s="19"/>
      <c r="U2070" s="19"/>
      <c r="V2070" s="19"/>
    </row>
    <row r="2071">
      <c r="A2071" s="25"/>
      <c r="B2071" s="19"/>
      <c r="C2071" s="19"/>
      <c r="D2071" s="19"/>
      <c r="E2071" s="19"/>
      <c r="F2071" s="17" t="str">
        <f>IFERROR(__xludf.DUMMYFUNCTION("""COMPUTED_VALUE"""),"")</f>
        <v/>
      </c>
      <c r="G2071" s="20"/>
      <c r="H2071" s="19"/>
      <c r="I2071" s="19"/>
      <c r="J2071" s="19"/>
      <c r="K2071" s="19"/>
      <c r="L2071" s="19"/>
      <c r="M2071" s="19"/>
      <c r="N2071" s="20" t="s">
        <v>39</v>
      </c>
      <c r="O2071" s="19"/>
      <c r="P2071" s="19"/>
      <c r="Q2071" s="19"/>
      <c r="R2071" s="19"/>
      <c r="S2071" s="19"/>
      <c r="T2071" s="19"/>
      <c r="U2071" s="19"/>
      <c r="V2071" s="19"/>
    </row>
    <row r="2072">
      <c r="A2072" s="25"/>
      <c r="B2072" s="19"/>
      <c r="C2072" s="19"/>
      <c r="D2072" s="19"/>
      <c r="E2072" s="19"/>
      <c r="F2072" s="17" t="str">
        <f>IFERROR(__xludf.DUMMYFUNCTION("""COMPUTED_VALUE"""),"")</f>
        <v/>
      </c>
      <c r="G2072" s="20"/>
      <c r="H2072" s="19"/>
      <c r="I2072" s="19"/>
      <c r="J2072" s="19"/>
      <c r="K2072" s="19"/>
      <c r="L2072" s="19"/>
      <c r="M2072" s="19"/>
      <c r="N2072" s="20" t="s">
        <v>39</v>
      </c>
      <c r="O2072" s="19"/>
      <c r="P2072" s="19"/>
      <c r="Q2072" s="19"/>
      <c r="R2072" s="19"/>
      <c r="S2072" s="19"/>
      <c r="T2072" s="19"/>
      <c r="U2072" s="19"/>
      <c r="V2072" s="19"/>
    </row>
    <row r="2073">
      <c r="A2073" s="25"/>
      <c r="B2073" s="19"/>
      <c r="C2073" s="19"/>
      <c r="D2073" s="19"/>
      <c r="E2073" s="19"/>
      <c r="F2073" s="17" t="str">
        <f>IFERROR(__xludf.DUMMYFUNCTION("""COMPUTED_VALUE"""),"")</f>
        <v/>
      </c>
      <c r="G2073" s="20"/>
      <c r="H2073" s="19"/>
      <c r="I2073" s="19"/>
      <c r="J2073" s="19"/>
      <c r="K2073" s="19"/>
      <c r="L2073" s="19"/>
      <c r="M2073" s="19"/>
      <c r="N2073" s="20" t="s">
        <v>39</v>
      </c>
      <c r="O2073" s="19"/>
      <c r="P2073" s="19"/>
      <c r="Q2073" s="19"/>
      <c r="R2073" s="19"/>
      <c r="S2073" s="19"/>
      <c r="T2073" s="19"/>
      <c r="U2073" s="19"/>
      <c r="V2073" s="19"/>
    </row>
    <row r="2074">
      <c r="A2074" s="25"/>
      <c r="B2074" s="19"/>
      <c r="C2074" s="19"/>
      <c r="D2074" s="19"/>
      <c r="E2074" s="19"/>
      <c r="F2074" s="17" t="str">
        <f>IFERROR(__xludf.DUMMYFUNCTION("""COMPUTED_VALUE"""),"")</f>
        <v/>
      </c>
      <c r="G2074" s="20"/>
      <c r="H2074" s="19"/>
      <c r="I2074" s="19"/>
      <c r="J2074" s="19"/>
      <c r="K2074" s="19"/>
      <c r="L2074" s="19"/>
      <c r="M2074" s="19"/>
      <c r="N2074" s="20" t="s">
        <v>39</v>
      </c>
      <c r="O2074" s="19"/>
      <c r="P2074" s="19"/>
      <c r="Q2074" s="19"/>
      <c r="R2074" s="19"/>
      <c r="S2074" s="19"/>
      <c r="T2074" s="19"/>
      <c r="U2074" s="19"/>
      <c r="V2074" s="19"/>
    </row>
    <row r="2075">
      <c r="A2075" s="25"/>
      <c r="B2075" s="19"/>
      <c r="C2075" s="19"/>
      <c r="D2075" s="19"/>
      <c r="E2075" s="19"/>
      <c r="F2075" s="17" t="str">
        <f>IFERROR(__xludf.DUMMYFUNCTION("""COMPUTED_VALUE"""),"")</f>
        <v/>
      </c>
      <c r="G2075" s="20"/>
      <c r="H2075" s="19"/>
      <c r="I2075" s="19"/>
      <c r="J2075" s="19"/>
      <c r="K2075" s="19"/>
      <c r="L2075" s="19"/>
      <c r="M2075" s="19"/>
      <c r="N2075" s="20" t="s">
        <v>39</v>
      </c>
      <c r="O2075" s="19"/>
      <c r="P2075" s="19"/>
      <c r="Q2075" s="19"/>
      <c r="R2075" s="19"/>
      <c r="S2075" s="19"/>
      <c r="T2075" s="19"/>
      <c r="U2075" s="19"/>
      <c r="V2075" s="19"/>
    </row>
    <row r="2076">
      <c r="A2076" s="25"/>
      <c r="B2076" s="19"/>
      <c r="C2076" s="19"/>
      <c r="D2076" s="19"/>
      <c r="E2076" s="19"/>
      <c r="F2076" s="17" t="str">
        <f>IFERROR(__xludf.DUMMYFUNCTION("""COMPUTED_VALUE"""),"")</f>
        <v/>
      </c>
      <c r="G2076" s="20"/>
      <c r="H2076" s="19"/>
      <c r="I2076" s="19"/>
      <c r="J2076" s="19"/>
      <c r="K2076" s="19"/>
      <c r="L2076" s="19"/>
      <c r="M2076" s="19"/>
      <c r="N2076" s="20" t="s">
        <v>39</v>
      </c>
      <c r="O2076" s="19"/>
      <c r="P2076" s="19"/>
      <c r="Q2076" s="19"/>
      <c r="R2076" s="19"/>
      <c r="S2076" s="19"/>
      <c r="T2076" s="19"/>
      <c r="U2076" s="19"/>
      <c r="V2076" s="19"/>
    </row>
    <row r="2077">
      <c r="A2077" s="25"/>
      <c r="B2077" s="19"/>
      <c r="C2077" s="19"/>
      <c r="D2077" s="19"/>
      <c r="E2077" s="19"/>
      <c r="F2077" s="17" t="str">
        <f>IFERROR(__xludf.DUMMYFUNCTION("""COMPUTED_VALUE"""),"")</f>
        <v/>
      </c>
      <c r="G2077" s="20"/>
      <c r="H2077" s="19"/>
      <c r="I2077" s="19"/>
      <c r="J2077" s="19"/>
      <c r="K2077" s="19"/>
      <c r="L2077" s="19"/>
      <c r="M2077" s="19"/>
      <c r="N2077" s="20" t="s">
        <v>39</v>
      </c>
      <c r="O2077" s="19"/>
      <c r="P2077" s="19"/>
      <c r="Q2077" s="19"/>
      <c r="R2077" s="19"/>
      <c r="S2077" s="19"/>
      <c r="T2077" s="19"/>
      <c r="U2077" s="19"/>
      <c r="V2077" s="19"/>
    </row>
    <row r="2078">
      <c r="A2078" s="25"/>
      <c r="B2078" s="19"/>
      <c r="C2078" s="19"/>
      <c r="D2078" s="19"/>
      <c r="E2078" s="19"/>
      <c r="F2078" s="17" t="str">
        <f>IFERROR(__xludf.DUMMYFUNCTION("""COMPUTED_VALUE"""),"")</f>
        <v/>
      </c>
      <c r="G2078" s="20"/>
      <c r="H2078" s="19"/>
      <c r="I2078" s="19"/>
      <c r="J2078" s="19"/>
      <c r="K2078" s="19"/>
      <c r="L2078" s="19"/>
      <c r="M2078" s="19"/>
      <c r="N2078" s="20" t="s">
        <v>39</v>
      </c>
      <c r="O2078" s="19"/>
      <c r="P2078" s="19"/>
      <c r="Q2078" s="19"/>
      <c r="R2078" s="19"/>
      <c r="S2078" s="19"/>
      <c r="T2078" s="19"/>
      <c r="U2078" s="19"/>
      <c r="V2078" s="19"/>
    </row>
    <row r="2079">
      <c r="A2079" s="25"/>
      <c r="B2079" s="19"/>
      <c r="C2079" s="19"/>
      <c r="D2079" s="19"/>
      <c r="E2079" s="19"/>
      <c r="F2079" s="17" t="str">
        <f>IFERROR(__xludf.DUMMYFUNCTION("""COMPUTED_VALUE"""),"")</f>
        <v/>
      </c>
      <c r="G2079" s="20"/>
      <c r="H2079" s="19"/>
      <c r="I2079" s="19"/>
      <c r="J2079" s="19"/>
      <c r="K2079" s="19"/>
      <c r="L2079" s="19"/>
      <c r="M2079" s="19"/>
      <c r="N2079" s="20" t="s">
        <v>39</v>
      </c>
      <c r="O2079" s="19"/>
      <c r="P2079" s="19"/>
      <c r="Q2079" s="19"/>
      <c r="R2079" s="19"/>
      <c r="S2079" s="19"/>
      <c r="T2079" s="19"/>
      <c r="U2079" s="19"/>
      <c r="V2079" s="19"/>
    </row>
    <row r="2080">
      <c r="A2080" s="25"/>
      <c r="B2080" s="19"/>
      <c r="C2080" s="19"/>
      <c r="D2080" s="19"/>
      <c r="E2080" s="19"/>
      <c r="F2080" s="17" t="str">
        <f>IFERROR(__xludf.DUMMYFUNCTION("""COMPUTED_VALUE"""),"")</f>
        <v/>
      </c>
      <c r="G2080" s="20"/>
      <c r="H2080" s="19"/>
      <c r="I2080" s="19"/>
      <c r="J2080" s="19"/>
      <c r="K2080" s="19"/>
      <c r="L2080" s="19"/>
      <c r="M2080" s="19"/>
      <c r="N2080" s="20" t="s">
        <v>39</v>
      </c>
      <c r="O2080" s="19"/>
      <c r="P2080" s="19"/>
      <c r="Q2080" s="19"/>
      <c r="R2080" s="19"/>
      <c r="S2080" s="19"/>
      <c r="T2080" s="19"/>
      <c r="U2080" s="19"/>
      <c r="V2080" s="19"/>
    </row>
    <row r="2081">
      <c r="A2081" s="25"/>
      <c r="B2081" s="19"/>
      <c r="C2081" s="19"/>
      <c r="D2081" s="19"/>
      <c r="E2081" s="19"/>
      <c r="F2081" s="17" t="str">
        <f>IFERROR(__xludf.DUMMYFUNCTION("""COMPUTED_VALUE"""),"")</f>
        <v/>
      </c>
      <c r="G2081" s="20"/>
      <c r="H2081" s="19"/>
      <c r="I2081" s="19"/>
      <c r="J2081" s="19"/>
      <c r="K2081" s="19"/>
      <c r="L2081" s="19"/>
      <c r="M2081" s="19"/>
      <c r="N2081" s="20" t="s">
        <v>39</v>
      </c>
      <c r="O2081" s="19"/>
      <c r="P2081" s="19"/>
      <c r="Q2081" s="19"/>
      <c r="R2081" s="19"/>
      <c r="S2081" s="19"/>
      <c r="T2081" s="19"/>
      <c r="U2081" s="19"/>
      <c r="V2081" s="19"/>
    </row>
    <row r="2082">
      <c r="A2082" s="25"/>
      <c r="B2082" s="19"/>
      <c r="C2082" s="19"/>
      <c r="D2082" s="19"/>
      <c r="E2082" s="19"/>
      <c r="F2082" s="17" t="str">
        <f>IFERROR(__xludf.DUMMYFUNCTION("""COMPUTED_VALUE"""),"")</f>
        <v/>
      </c>
      <c r="G2082" s="20"/>
      <c r="H2082" s="19"/>
      <c r="I2082" s="19"/>
      <c r="J2082" s="19"/>
      <c r="K2082" s="19"/>
      <c r="L2082" s="19"/>
      <c r="M2082" s="19"/>
      <c r="N2082" s="20" t="s">
        <v>39</v>
      </c>
      <c r="O2082" s="19"/>
      <c r="P2082" s="19"/>
      <c r="Q2082" s="19"/>
      <c r="R2082" s="19"/>
      <c r="S2082" s="19"/>
      <c r="T2082" s="19"/>
      <c r="U2082" s="19"/>
      <c r="V2082" s="19"/>
    </row>
    <row r="2083">
      <c r="A2083" s="25"/>
      <c r="B2083" s="19"/>
      <c r="C2083" s="19"/>
      <c r="D2083" s="19"/>
      <c r="E2083" s="19"/>
      <c r="F2083" s="17" t="str">
        <f>IFERROR(__xludf.DUMMYFUNCTION("""COMPUTED_VALUE"""),"")</f>
        <v/>
      </c>
      <c r="G2083" s="20"/>
      <c r="H2083" s="19"/>
      <c r="I2083" s="19"/>
      <c r="J2083" s="19"/>
      <c r="K2083" s="19"/>
      <c r="L2083" s="19"/>
      <c r="M2083" s="19"/>
      <c r="N2083" s="20" t="s">
        <v>39</v>
      </c>
      <c r="O2083" s="19"/>
      <c r="P2083" s="19"/>
      <c r="Q2083" s="19"/>
      <c r="R2083" s="19"/>
      <c r="S2083" s="19"/>
      <c r="T2083" s="19"/>
      <c r="U2083" s="19"/>
      <c r="V2083" s="19"/>
    </row>
    <row r="2084">
      <c r="A2084" s="25"/>
      <c r="B2084" s="19"/>
      <c r="C2084" s="19"/>
      <c r="D2084" s="19"/>
      <c r="E2084" s="19"/>
      <c r="F2084" s="17" t="str">
        <f>IFERROR(__xludf.DUMMYFUNCTION("""COMPUTED_VALUE"""),"")</f>
        <v/>
      </c>
      <c r="G2084" s="20"/>
      <c r="H2084" s="19"/>
      <c r="I2084" s="19"/>
      <c r="J2084" s="19"/>
      <c r="K2084" s="19"/>
      <c r="L2084" s="19"/>
      <c r="M2084" s="19"/>
      <c r="N2084" s="20" t="s">
        <v>39</v>
      </c>
      <c r="O2084" s="19"/>
      <c r="P2084" s="19"/>
      <c r="Q2084" s="19"/>
      <c r="R2084" s="19"/>
      <c r="S2084" s="19"/>
      <c r="T2084" s="19"/>
      <c r="U2084" s="19"/>
      <c r="V2084" s="19"/>
    </row>
    <row r="2085">
      <c r="A2085" s="25"/>
      <c r="B2085" s="19"/>
      <c r="C2085" s="19"/>
      <c r="D2085" s="19"/>
      <c r="E2085" s="19"/>
      <c r="F2085" s="17" t="str">
        <f>IFERROR(__xludf.DUMMYFUNCTION("""COMPUTED_VALUE"""),"")</f>
        <v/>
      </c>
      <c r="G2085" s="20"/>
      <c r="H2085" s="19"/>
      <c r="I2085" s="19"/>
      <c r="J2085" s="19"/>
      <c r="K2085" s="19"/>
      <c r="L2085" s="19"/>
      <c r="M2085" s="19"/>
      <c r="N2085" s="20" t="s">
        <v>39</v>
      </c>
      <c r="O2085" s="19"/>
      <c r="P2085" s="19"/>
      <c r="Q2085" s="19"/>
      <c r="R2085" s="19"/>
      <c r="S2085" s="19"/>
      <c r="T2085" s="19"/>
      <c r="U2085" s="19"/>
      <c r="V2085" s="19"/>
    </row>
    <row r="2086">
      <c r="A2086" s="25"/>
      <c r="B2086" s="19"/>
      <c r="C2086" s="19"/>
      <c r="D2086" s="19"/>
      <c r="E2086" s="19"/>
      <c r="F2086" s="17" t="str">
        <f>IFERROR(__xludf.DUMMYFUNCTION("""COMPUTED_VALUE"""),"")</f>
        <v/>
      </c>
      <c r="G2086" s="20"/>
      <c r="H2086" s="19"/>
      <c r="I2086" s="19"/>
      <c r="J2086" s="19"/>
      <c r="K2086" s="19"/>
      <c r="L2086" s="19"/>
      <c r="M2086" s="19"/>
      <c r="N2086" s="20" t="s">
        <v>39</v>
      </c>
      <c r="O2086" s="19"/>
      <c r="P2086" s="19"/>
      <c r="Q2086" s="19"/>
      <c r="R2086" s="19"/>
      <c r="S2086" s="19"/>
      <c r="T2086" s="19"/>
      <c r="U2086" s="19"/>
      <c r="V2086" s="19"/>
    </row>
    <row r="2087">
      <c r="A2087" s="25"/>
      <c r="B2087" s="19"/>
      <c r="C2087" s="19"/>
      <c r="D2087" s="19"/>
      <c r="E2087" s="19"/>
      <c r="F2087" s="17" t="str">
        <f>IFERROR(__xludf.DUMMYFUNCTION("""COMPUTED_VALUE"""),"")</f>
        <v/>
      </c>
      <c r="G2087" s="20"/>
      <c r="H2087" s="19"/>
      <c r="I2087" s="19"/>
      <c r="J2087" s="19"/>
      <c r="K2087" s="19"/>
      <c r="L2087" s="19"/>
      <c r="M2087" s="19"/>
      <c r="N2087" s="20" t="s">
        <v>39</v>
      </c>
      <c r="O2087" s="19"/>
      <c r="P2087" s="19"/>
      <c r="Q2087" s="19"/>
      <c r="R2087" s="19"/>
      <c r="S2087" s="19"/>
      <c r="T2087" s="19"/>
      <c r="U2087" s="19"/>
      <c r="V2087" s="19"/>
    </row>
    <row r="2088">
      <c r="A2088" s="25"/>
      <c r="B2088" s="19"/>
      <c r="C2088" s="19"/>
      <c r="D2088" s="19"/>
      <c r="E2088" s="19"/>
      <c r="F2088" s="17" t="str">
        <f>IFERROR(__xludf.DUMMYFUNCTION("""COMPUTED_VALUE"""),"")</f>
        <v/>
      </c>
      <c r="G2088" s="20"/>
      <c r="H2088" s="19"/>
      <c r="I2088" s="19"/>
      <c r="J2088" s="19"/>
      <c r="K2088" s="19"/>
      <c r="L2088" s="19"/>
      <c r="M2088" s="19"/>
      <c r="N2088" s="20" t="s">
        <v>39</v>
      </c>
      <c r="O2088" s="19"/>
      <c r="P2088" s="19"/>
      <c r="Q2088" s="19"/>
      <c r="R2088" s="19"/>
      <c r="S2088" s="19"/>
      <c r="T2088" s="19"/>
      <c r="U2088" s="19"/>
      <c r="V2088" s="19"/>
    </row>
    <row r="2089">
      <c r="A2089" s="25"/>
      <c r="B2089" s="19"/>
      <c r="C2089" s="19"/>
      <c r="D2089" s="19"/>
      <c r="E2089" s="19"/>
      <c r="F2089" s="17" t="str">
        <f>IFERROR(__xludf.DUMMYFUNCTION("""COMPUTED_VALUE"""),"")</f>
        <v/>
      </c>
      <c r="G2089" s="20"/>
      <c r="H2089" s="19"/>
      <c r="I2089" s="19"/>
      <c r="J2089" s="19"/>
      <c r="K2089" s="19"/>
      <c r="L2089" s="19"/>
      <c r="M2089" s="19"/>
      <c r="N2089" s="20" t="s">
        <v>39</v>
      </c>
      <c r="O2089" s="19"/>
      <c r="P2089" s="19"/>
      <c r="Q2089" s="19"/>
      <c r="R2089" s="19"/>
      <c r="S2089" s="19"/>
      <c r="T2089" s="19"/>
      <c r="U2089" s="19"/>
      <c r="V2089" s="19"/>
    </row>
    <row r="2090">
      <c r="A2090" s="25"/>
      <c r="B2090" s="19"/>
      <c r="C2090" s="19"/>
      <c r="D2090" s="19"/>
      <c r="E2090" s="19"/>
      <c r="F2090" s="17" t="str">
        <f>IFERROR(__xludf.DUMMYFUNCTION("""COMPUTED_VALUE"""),"")</f>
        <v/>
      </c>
      <c r="G2090" s="20"/>
      <c r="H2090" s="19"/>
      <c r="I2090" s="19"/>
      <c r="J2090" s="19"/>
      <c r="K2090" s="19"/>
      <c r="L2090" s="19"/>
      <c r="M2090" s="19"/>
      <c r="N2090" s="20" t="s">
        <v>39</v>
      </c>
      <c r="O2090" s="19"/>
      <c r="P2090" s="19"/>
      <c r="Q2090" s="19"/>
      <c r="R2090" s="19"/>
      <c r="S2090" s="19"/>
      <c r="T2090" s="19"/>
      <c r="U2090" s="19"/>
      <c r="V2090" s="19"/>
    </row>
    <row r="2091">
      <c r="A2091" s="25"/>
      <c r="B2091" s="19"/>
      <c r="C2091" s="19"/>
      <c r="D2091" s="19"/>
      <c r="E2091" s="19"/>
      <c r="F2091" s="17" t="str">
        <f>IFERROR(__xludf.DUMMYFUNCTION("""COMPUTED_VALUE"""),"")</f>
        <v/>
      </c>
      <c r="G2091" s="20"/>
      <c r="H2091" s="19"/>
      <c r="I2091" s="19"/>
      <c r="J2091" s="19"/>
      <c r="K2091" s="19"/>
      <c r="L2091" s="19"/>
      <c r="M2091" s="19"/>
      <c r="N2091" s="20" t="s">
        <v>39</v>
      </c>
      <c r="O2091" s="19"/>
      <c r="P2091" s="19"/>
      <c r="Q2091" s="19"/>
      <c r="R2091" s="19"/>
      <c r="S2091" s="19"/>
      <c r="T2091" s="19"/>
      <c r="U2091" s="19"/>
      <c r="V2091" s="19"/>
    </row>
    <row r="2092">
      <c r="A2092" s="25"/>
      <c r="B2092" s="19"/>
      <c r="C2092" s="19"/>
      <c r="D2092" s="19"/>
      <c r="E2092" s="19"/>
      <c r="F2092" s="17" t="str">
        <f>IFERROR(__xludf.DUMMYFUNCTION("""COMPUTED_VALUE"""),"")</f>
        <v/>
      </c>
      <c r="G2092" s="20"/>
      <c r="H2092" s="19"/>
      <c r="I2092" s="19"/>
      <c r="J2092" s="19"/>
      <c r="K2092" s="19"/>
      <c r="L2092" s="19"/>
      <c r="M2092" s="19"/>
      <c r="N2092" s="20" t="s">
        <v>39</v>
      </c>
      <c r="O2092" s="19"/>
      <c r="P2092" s="19"/>
      <c r="Q2092" s="19"/>
      <c r="R2092" s="19"/>
      <c r="S2092" s="19"/>
      <c r="T2092" s="19"/>
      <c r="U2092" s="19"/>
      <c r="V2092" s="19"/>
    </row>
    <row r="2093">
      <c r="A2093" s="25"/>
      <c r="B2093" s="19"/>
      <c r="C2093" s="19"/>
      <c r="D2093" s="19"/>
      <c r="E2093" s="19"/>
      <c r="F2093" s="17" t="str">
        <f>IFERROR(__xludf.DUMMYFUNCTION("""COMPUTED_VALUE"""),"")</f>
        <v/>
      </c>
      <c r="G2093" s="20"/>
      <c r="H2093" s="19"/>
      <c r="I2093" s="19"/>
      <c r="J2093" s="19"/>
      <c r="K2093" s="19"/>
      <c r="L2093" s="19"/>
      <c r="M2093" s="19"/>
      <c r="N2093" s="20" t="s">
        <v>39</v>
      </c>
      <c r="O2093" s="19"/>
      <c r="P2093" s="19"/>
      <c r="Q2093" s="19"/>
      <c r="R2093" s="19"/>
      <c r="S2093" s="19"/>
      <c r="T2093" s="19"/>
      <c r="U2093" s="19"/>
      <c r="V2093" s="19"/>
    </row>
    <row r="2094">
      <c r="A2094" s="25"/>
      <c r="B2094" s="19"/>
      <c r="C2094" s="19"/>
      <c r="D2094" s="19"/>
      <c r="E2094" s="19"/>
      <c r="F2094" s="17" t="str">
        <f>IFERROR(__xludf.DUMMYFUNCTION("""COMPUTED_VALUE"""),"")</f>
        <v/>
      </c>
      <c r="G2094" s="20"/>
      <c r="H2094" s="19"/>
      <c r="I2094" s="19"/>
      <c r="J2094" s="19"/>
      <c r="K2094" s="19"/>
      <c r="L2094" s="19"/>
      <c r="M2094" s="19"/>
      <c r="N2094" s="20" t="s">
        <v>39</v>
      </c>
      <c r="O2094" s="19"/>
      <c r="P2094" s="19"/>
      <c r="Q2094" s="19"/>
      <c r="R2094" s="19"/>
      <c r="S2094" s="19"/>
      <c r="T2094" s="19"/>
      <c r="U2094" s="19"/>
      <c r="V2094" s="19"/>
    </row>
    <row r="2095">
      <c r="A2095" s="25"/>
      <c r="B2095" s="19"/>
      <c r="C2095" s="19"/>
      <c r="D2095" s="19"/>
      <c r="E2095" s="19"/>
      <c r="F2095" s="17" t="str">
        <f>IFERROR(__xludf.DUMMYFUNCTION("""COMPUTED_VALUE"""),"")</f>
        <v/>
      </c>
      <c r="G2095" s="20"/>
      <c r="H2095" s="19"/>
      <c r="I2095" s="19"/>
      <c r="J2095" s="19"/>
      <c r="K2095" s="19"/>
      <c r="L2095" s="19"/>
      <c r="M2095" s="19"/>
      <c r="N2095" s="20" t="s">
        <v>39</v>
      </c>
      <c r="O2095" s="19"/>
      <c r="P2095" s="19"/>
      <c r="Q2095" s="19"/>
      <c r="R2095" s="19"/>
      <c r="S2095" s="19"/>
      <c r="T2095" s="19"/>
      <c r="U2095" s="19"/>
      <c r="V2095" s="19"/>
    </row>
    <row r="2096">
      <c r="A2096" s="25"/>
      <c r="B2096" s="19"/>
      <c r="C2096" s="19"/>
      <c r="D2096" s="19"/>
      <c r="E2096" s="19"/>
      <c r="F2096" s="17" t="str">
        <f>IFERROR(__xludf.DUMMYFUNCTION("""COMPUTED_VALUE"""),"")</f>
        <v/>
      </c>
      <c r="G2096" s="20"/>
      <c r="H2096" s="19"/>
      <c r="I2096" s="19"/>
      <c r="J2096" s="19"/>
      <c r="K2096" s="19"/>
      <c r="L2096" s="19"/>
      <c r="M2096" s="19"/>
      <c r="N2096" s="20" t="s">
        <v>39</v>
      </c>
      <c r="O2096" s="19"/>
      <c r="P2096" s="19"/>
      <c r="Q2096" s="19"/>
      <c r="R2096" s="19"/>
      <c r="S2096" s="19"/>
      <c r="T2096" s="19"/>
      <c r="U2096" s="19"/>
      <c r="V2096" s="19"/>
    </row>
    <row r="2097">
      <c r="A2097" s="25"/>
      <c r="B2097" s="19"/>
      <c r="C2097" s="19"/>
      <c r="D2097" s="19"/>
      <c r="E2097" s="19"/>
      <c r="F2097" s="17" t="str">
        <f>IFERROR(__xludf.DUMMYFUNCTION("""COMPUTED_VALUE"""),"")</f>
        <v/>
      </c>
      <c r="G2097" s="20"/>
      <c r="H2097" s="19"/>
      <c r="I2097" s="19"/>
      <c r="J2097" s="19"/>
      <c r="K2097" s="19"/>
      <c r="L2097" s="19"/>
      <c r="M2097" s="19"/>
      <c r="N2097" s="20" t="s">
        <v>39</v>
      </c>
      <c r="O2097" s="19"/>
      <c r="P2097" s="19"/>
      <c r="Q2097" s="19"/>
      <c r="R2097" s="19"/>
      <c r="S2097" s="19"/>
      <c r="T2097" s="19"/>
      <c r="U2097" s="19"/>
      <c r="V2097" s="19"/>
    </row>
    <row r="2098">
      <c r="A2098" s="25"/>
      <c r="B2098" s="19"/>
      <c r="C2098" s="19"/>
      <c r="D2098" s="19"/>
      <c r="E2098" s="19"/>
      <c r="F2098" s="17" t="str">
        <f>IFERROR(__xludf.DUMMYFUNCTION("""COMPUTED_VALUE"""),"")</f>
        <v/>
      </c>
      <c r="G2098" s="20"/>
      <c r="H2098" s="19"/>
      <c r="I2098" s="19"/>
      <c r="J2098" s="19"/>
      <c r="K2098" s="19"/>
      <c r="L2098" s="19"/>
      <c r="M2098" s="19"/>
      <c r="N2098" s="20" t="s">
        <v>39</v>
      </c>
      <c r="O2098" s="19"/>
      <c r="P2098" s="19"/>
      <c r="Q2098" s="19"/>
      <c r="R2098" s="19"/>
      <c r="S2098" s="19"/>
      <c r="T2098" s="19"/>
      <c r="U2098" s="19"/>
      <c r="V2098" s="19"/>
    </row>
    <row r="2099">
      <c r="A2099" s="25"/>
      <c r="B2099" s="19"/>
      <c r="C2099" s="19"/>
      <c r="D2099" s="19"/>
      <c r="E2099" s="19"/>
      <c r="F2099" s="17" t="str">
        <f>IFERROR(__xludf.DUMMYFUNCTION("""COMPUTED_VALUE"""),"")</f>
        <v/>
      </c>
      <c r="G2099" s="20"/>
      <c r="H2099" s="19"/>
      <c r="I2099" s="19"/>
      <c r="J2099" s="19"/>
      <c r="K2099" s="19"/>
      <c r="L2099" s="19"/>
      <c r="M2099" s="19"/>
      <c r="N2099" s="20" t="s">
        <v>39</v>
      </c>
      <c r="O2099" s="19"/>
      <c r="P2099" s="19"/>
      <c r="Q2099" s="19"/>
      <c r="R2099" s="19"/>
      <c r="S2099" s="19"/>
      <c r="T2099" s="19"/>
      <c r="U2099" s="19"/>
      <c r="V2099" s="19"/>
    </row>
    <row r="2100">
      <c r="A2100" s="25"/>
      <c r="B2100" s="19"/>
      <c r="C2100" s="19"/>
      <c r="D2100" s="19"/>
      <c r="E2100" s="19"/>
      <c r="F2100" s="17" t="str">
        <f>IFERROR(__xludf.DUMMYFUNCTION("""COMPUTED_VALUE"""),"")</f>
        <v/>
      </c>
      <c r="G2100" s="20"/>
      <c r="H2100" s="19"/>
      <c r="I2100" s="19"/>
      <c r="J2100" s="19"/>
      <c r="K2100" s="19"/>
      <c r="L2100" s="19"/>
      <c r="M2100" s="19"/>
      <c r="N2100" s="20" t="s">
        <v>39</v>
      </c>
      <c r="O2100" s="19"/>
      <c r="P2100" s="19"/>
      <c r="Q2100" s="19"/>
      <c r="R2100" s="19"/>
      <c r="S2100" s="19"/>
      <c r="T2100" s="19"/>
      <c r="U2100" s="19"/>
      <c r="V2100" s="19"/>
    </row>
    <row r="2101">
      <c r="A2101" s="25"/>
      <c r="B2101" s="19"/>
      <c r="C2101" s="19"/>
      <c r="D2101" s="19"/>
      <c r="E2101" s="19"/>
      <c r="F2101" s="17" t="str">
        <f>IFERROR(__xludf.DUMMYFUNCTION("""COMPUTED_VALUE"""),"")</f>
        <v/>
      </c>
      <c r="G2101" s="20"/>
      <c r="H2101" s="19"/>
      <c r="I2101" s="19"/>
      <c r="J2101" s="19"/>
      <c r="K2101" s="19"/>
      <c r="L2101" s="19"/>
      <c r="M2101" s="19"/>
      <c r="N2101" s="20" t="s">
        <v>39</v>
      </c>
      <c r="O2101" s="19"/>
      <c r="P2101" s="19"/>
      <c r="Q2101" s="19"/>
      <c r="R2101" s="19"/>
      <c r="S2101" s="19"/>
      <c r="T2101" s="19"/>
      <c r="U2101" s="19"/>
      <c r="V2101" s="19"/>
    </row>
    <row r="2102">
      <c r="A2102" s="25"/>
      <c r="B2102" s="19"/>
      <c r="C2102" s="19"/>
      <c r="D2102" s="19"/>
      <c r="E2102" s="19"/>
      <c r="F2102" s="17" t="str">
        <f>IFERROR(__xludf.DUMMYFUNCTION("""COMPUTED_VALUE"""),"")</f>
        <v/>
      </c>
      <c r="G2102" s="20"/>
      <c r="H2102" s="19"/>
      <c r="I2102" s="19"/>
      <c r="J2102" s="19"/>
      <c r="K2102" s="19"/>
      <c r="L2102" s="19"/>
      <c r="M2102" s="19"/>
      <c r="N2102" s="20" t="s">
        <v>39</v>
      </c>
      <c r="O2102" s="19"/>
      <c r="P2102" s="19"/>
      <c r="Q2102" s="19"/>
      <c r="R2102" s="19"/>
      <c r="S2102" s="19"/>
      <c r="T2102" s="19"/>
      <c r="U2102" s="19"/>
      <c r="V2102" s="19"/>
    </row>
    <row r="2103">
      <c r="A2103" s="25"/>
      <c r="B2103" s="19"/>
      <c r="C2103" s="19"/>
      <c r="D2103" s="19"/>
      <c r="E2103" s="19"/>
      <c r="F2103" s="17" t="str">
        <f>IFERROR(__xludf.DUMMYFUNCTION("""COMPUTED_VALUE"""),"")</f>
        <v/>
      </c>
      <c r="G2103" s="20"/>
      <c r="H2103" s="19"/>
      <c r="I2103" s="19"/>
      <c r="J2103" s="19"/>
      <c r="K2103" s="19"/>
      <c r="L2103" s="19"/>
      <c r="M2103" s="19"/>
      <c r="N2103" s="20" t="s">
        <v>39</v>
      </c>
      <c r="O2103" s="19"/>
      <c r="P2103" s="19"/>
      <c r="Q2103" s="19"/>
      <c r="R2103" s="19"/>
      <c r="S2103" s="19"/>
      <c r="T2103" s="19"/>
      <c r="U2103" s="19"/>
      <c r="V2103" s="19"/>
    </row>
    <row r="2104">
      <c r="A2104" s="25"/>
      <c r="B2104" s="19"/>
      <c r="C2104" s="19"/>
      <c r="D2104" s="19"/>
      <c r="E2104" s="19"/>
      <c r="F2104" s="17" t="str">
        <f>IFERROR(__xludf.DUMMYFUNCTION("""COMPUTED_VALUE"""),"")</f>
        <v/>
      </c>
      <c r="G2104" s="20"/>
      <c r="H2104" s="19"/>
      <c r="I2104" s="19"/>
      <c r="J2104" s="19"/>
      <c r="K2104" s="19"/>
      <c r="L2104" s="19"/>
      <c r="M2104" s="19"/>
      <c r="N2104" s="20" t="s">
        <v>39</v>
      </c>
      <c r="O2104" s="19"/>
      <c r="P2104" s="19"/>
      <c r="Q2104" s="19"/>
      <c r="R2104" s="19"/>
      <c r="S2104" s="19"/>
      <c r="T2104" s="19"/>
      <c r="U2104" s="19"/>
      <c r="V2104" s="19"/>
    </row>
    <row r="2105">
      <c r="A2105" s="25"/>
      <c r="B2105" s="19"/>
      <c r="C2105" s="19"/>
      <c r="D2105" s="19"/>
      <c r="E2105" s="19"/>
      <c r="F2105" s="17" t="str">
        <f>IFERROR(__xludf.DUMMYFUNCTION("""COMPUTED_VALUE"""),"")</f>
        <v/>
      </c>
      <c r="G2105" s="20"/>
      <c r="H2105" s="19"/>
      <c r="I2105" s="19"/>
      <c r="J2105" s="19"/>
      <c r="K2105" s="19"/>
      <c r="L2105" s="19"/>
      <c r="M2105" s="19"/>
      <c r="N2105" s="20" t="s">
        <v>39</v>
      </c>
      <c r="O2105" s="19"/>
      <c r="P2105" s="19"/>
      <c r="Q2105" s="19"/>
      <c r="R2105" s="19"/>
      <c r="S2105" s="19"/>
      <c r="T2105" s="19"/>
      <c r="U2105" s="19"/>
      <c r="V2105" s="19"/>
    </row>
    <row r="2106">
      <c r="A2106" s="25"/>
      <c r="B2106" s="19"/>
      <c r="C2106" s="19"/>
      <c r="D2106" s="19"/>
      <c r="E2106" s="19"/>
      <c r="F2106" s="17" t="str">
        <f>IFERROR(__xludf.DUMMYFUNCTION("""COMPUTED_VALUE"""),"")</f>
        <v/>
      </c>
      <c r="G2106" s="20"/>
      <c r="H2106" s="19"/>
      <c r="I2106" s="19"/>
      <c r="J2106" s="19"/>
      <c r="K2106" s="19"/>
      <c r="L2106" s="19"/>
      <c r="M2106" s="19"/>
      <c r="N2106" s="20" t="s">
        <v>39</v>
      </c>
      <c r="O2106" s="19"/>
      <c r="P2106" s="19"/>
      <c r="Q2106" s="19"/>
      <c r="R2106" s="19"/>
      <c r="S2106" s="19"/>
      <c r="T2106" s="19"/>
      <c r="U2106" s="19"/>
      <c r="V2106" s="19"/>
    </row>
    <row r="2107">
      <c r="A2107" s="25"/>
      <c r="B2107" s="19"/>
      <c r="C2107" s="19"/>
      <c r="D2107" s="19"/>
      <c r="E2107" s="19"/>
      <c r="F2107" s="17" t="str">
        <f>IFERROR(__xludf.DUMMYFUNCTION("""COMPUTED_VALUE"""),"")</f>
        <v/>
      </c>
      <c r="G2107" s="20"/>
      <c r="H2107" s="19"/>
      <c r="I2107" s="19"/>
      <c r="J2107" s="19"/>
      <c r="K2107" s="19"/>
      <c r="L2107" s="19"/>
      <c r="M2107" s="19"/>
      <c r="N2107" s="20" t="s">
        <v>39</v>
      </c>
      <c r="O2107" s="19"/>
      <c r="P2107" s="19"/>
      <c r="Q2107" s="19"/>
      <c r="R2107" s="19"/>
      <c r="S2107" s="19"/>
      <c r="T2107" s="19"/>
      <c r="U2107" s="19"/>
      <c r="V2107" s="19"/>
    </row>
    <row r="2108">
      <c r="A2108" s="25"/>
      <c r="B2108" s="19"/>
      <c r="C2108" s="19"/>
      <c r="D2108" s="19"/>
      <c r="E2108" s="19"/>
      <c r="F2108" s="17" t="str">
        <f>IFERROR(__xludf.DUMMYFUNCTION("""COMPUTED_VALUE"""),"")</f>
        <v/>
      </c>
      <c r="G2108" s="20"/>
      <c r="H2108" s="19"/>
      <c r="I2108" s="19"/>
      <c r="J2108" s="19"/>
      <c r="K2108" s="19"/>
      <c r="L2108" s="19"/>
      <c r="M2108" s="19"/>
      <c r="N2108" s="20" t="s">
        <v>39</v>
      </c>
      <c r="O2108" s="19"/>
      <c r="P2108" s="19"/>
      <c r="Q2108" s="19"/>
      <c r="R2108" s="19"/>
      <c r="S2108" s="19"/>
      <c r="T2108" s="19"/>
      <c r="U2108" s="19"/>
      <c r="V2108" s="19"/>
    </row>
    <row r="2109">
      <c r="A2109" s="25"/>
      <c r="B2109" s="19"/>
      <c r="C2109" s="19"/>
      <c r="D2109" s="19"/>
      <c r="E2109" s="19"/>
      <c r="F2109" s="17" t="str">
        <f>IFERROR(__xludf.DUMMYFUNCTION("""COMPUTED_VALUE"""),"")</f>
        <v/>
      </c>
      <c r="G2109" s="20"/>
      <c r="H2109" s="19"/>
      <c r="I2109" s="19"/>
      <c r="J2109" s="19"/>
      <c r="K2109" s="19"/>
      <c r="L2109" s="19"/>
      <c r="M2109" s="19"/>
      <c r="N2109" s="20" t="s">
        <v>39</v>
      </c>
      <c r="O2109" s="19"/>
      <c r="P2109" s="19"/>
      <c r="Q2109" s="19"/>
      <c r="R2109" s="19"/>
      <c r="S2109" s="19"/>
      <c r="T2109" s="19"/>
      <c r="U2109" s="19"/>
      <c r="V2109" s="19"/>
    </row>
    <row r="2110">
      <c r="A2110" s="25"/>
      <c r="B2110" s="19"/>
      <c r="C2110" s="19"/>
      <c r="D2110" s="19"/>
      <c r="E2110" s="19"/>
      <c r="F2110" s="17" t="str">
        <f>IFERROR(__xludf.DUMMYFUNCTION("""COMPUTED_VALUE"""),"")</f>
        <v/>
      </c>
      <c r="G2110" s="20"/>
      <c r="H2110" s="19"/>
      <c r="I2110" s="19"/>
      <c r="J2110" s="19"/>
      <c r="K2110" s="19"/>
      <c r="L2110" s="19"/>
      <c r="M2110" s="19"/>
      <c r="N2110" s="20" t="s">
        <v>39</v>
      </c>
      <c r="O2110" s="19"/>
      <c r="P2110" s="19"/>
      <c r="Q2110" s="19"/>
      <c r="R2110" s="19"/>
      <c r="S2110" s="19"/>
      <c r="T2110" s="19"/>
      <c r="U2110" s="19"/>
      <c r="V2110" s="19"/>
    </row>
    <row r="2111">
      <c r="A2111" s="25"/>
      <c r="B2111" s="19"/>
      <c r="C2111" s="19"/>
      <c r="D2111" s="19"/>
      <c r="E2111" s="19"/>
      <c r="F2111" s="17" t="str">
        <f>IFERROR(__xludf.DUMMYFUNCTION("""COMPUTED_VALUE"""),"")</f>
        <v/>
      </c>
      <c r="G2111" s="20"/>
      <c r="H2111" s="19"/>
      <c r="I2111" s="19"/>
      <c r="J2111" s="19"/>
      <c r="K2111" s="19"/>
      <c r="L2111" s="19"/>
      <c r="M2111" s="19"/>
      <c r="N2111" s="20" t="s">
        <v>39</v>
      </c>
      <c r="O2111" s="19"/>
      <c r="P2111" s="19"/>
      <c r="Q2111" s="19"/>
      <c r="R2111" s="19"/>
      <c r="S2111" s="19"/>
      <c r="T2111" s="19"/>
      <c r="U2111" s="19"/>
      <c r="V2111" s="19"/>
    </row>
    <row r="2112">
      <c r="A2112" s="25"/>
      <c r="B2112" s="19"/>
      <c r="C2112" s="19"/>
      <c r="D2112" s="19"/>
      <c r="E2112" s="19"/>
      <c r="F2112" s="17" t="str">
        <f>IFERROR(__xludf.DUMMYFUNCTION("""COMPUTED_VALUE"""),"")</f>
        <v/>
      </c>
      <c r="G2112" s="20"/>
      <c r="H2112" s="19"/>
      <c r="I2112" s="19"/>
      <c r="J2112" s="19"/>
      <c r="K2112" s="19"/>
      <c r="L2112" s="19"/>
      <c r="M2112" s="19"/>
      <c r="N2112" s="20" t="s">
        <v>39</v>
      </c>
      <c r="O2112" s="19"/>
      <c r="P2112" s="19"/>
      <c r="Q2112" s="19"/>
      <c r="R2112" s="19"/>
      <c r="S2112" s="19"/>
      <c r="T2112" s="19"/>
      <c r="U2112" s="19"/>
      <c r="V2112" s="19"/>
    </row>
    <row r="2113">
      <c r="A2113" s="25"/>
      <c r="B2113" s="19"/>
      <c r="C2113" s="19"/>
      <c r="D2113" s="19"/>
      <c r="E2113" s="19"/>
      <c r="F2113" s="17" t="str">
        <f>IFERROR(__xludf.DUMMYFUNCTION("""COMPUTED_VALUE"""),"")</f>
        <v/>
      </c>
      <c r="G2113" s="20"/>
      <c r="H2113" s="19"/>
      <c r="I2113" s="19"/>
      <c r="J2113" s="19"/>
      <c r="K2113" s="19"/>
      <c r="L2113" s="19"/>
      <c r="M2113" s="19"/>
      <c r="N2113" s="20" t="s">
        <v>39</v>
      </c>
      <c r="O2113" s="19"/>
      <c r="P2113" s="19"/>
      <c r="Q2113" s="19"/>
      <c r="R2113" s="19"/>
      <c r="S2113" s="19"/>
      <c r="T2113" s="19"/>
      <c r="U2113" s="19"/>
      <c r="V2113" s="19"/>
    </row>
    <row r="2114">
      <c r="A2114" s="25"/>
      <c r="B2114" s="19"/>
      <c r="C2114" s="19"/>
      <c r="D2114" s="19"/>
      <c r="E2114" s="19"/>
      <c r="F2114" s="17" t="str">
        <f>IFERROR(__xludf.DUMMYFUNCTION("""COMPUTED_VALUE"""),"")</f>
        <v/>
      </c>
      <c r="G2114" s="20"/>
      <c r="H2114" s="19"/>
      <c r="I2114" s="19"/>
      <c r="J2114" s="19"/>
      <c r="K2114" s="19"/>
      <c r="L2114" s="19"/>
      <c r="M2114" s="19"/>
      <c r="N2114" s="20" t="s">
        <v>39</v>
      </c>
      <c r="O2114" s="19"/>
      <c r="P2114" s="19"/>
      <c r="Q2114" s="19"/>
      <c r="R2114" s="19"/>
      <c r="S2114" s="19"/>
      <c r="T2114" s="19"/>
      <c r="U2114" s="19"/>
      <c r="V2114" s="19"/>
    </row>
    <row r="2115">
      <c r="A2115" s="25"/>
      <c r="B2115" s="19"/>
      <c r="C2115" s="19"/>
      <c r="D2115" s="19"/>
      <c r="E2115" s="19"/>
      <c r="F2115" s="17" t="str">
        <f>IFERROR(__xludf.DUMMYFUNCTION("""COMPUTED_VALUE"""),"")</f>
        <v/>
      </c>
      <c r="G2115" s="20"/>
      <c r="H2115" s="19"/>
      <c r="I2115" s="19"/>
      <c r="J2115" s="19"/>
      <c r="K2115" s="19"/>
      <c r="L2115" s="19"/>
      <c r="M2115" s="19"/>
      <c r="N2115" s="20" t="s">
        <v>39</v>
      </c>
      <c r="O2115" s="19"/>
      <c r="P2115" s="19"/>
      <c r="Q2115" s="19"/>
      <c r="R2115" s="19"/>
      <c r="S2115" s="19"/>
      <c r="T2115" s="19"/>
      <c r="U2115" s="19"/>
      <c r="V2115" s="19"/>
    </row>
    <row r="2116">
      <c r="A2116" s="25"/>
      <c r="B2116" s="19"/>
      <c r="C2116" s="19"/>
      <c r="D2116" s="19"/>
      <c r="E2116" s="19"/>
      <c r="F2116" s="17" t="str">
        <f>IFERROR(__xludf.DUMMYFUNCTION("""COMPUTED_VALUE"""),"")</f>
        <v/>
      </c>
      <c r="G2116" s="20"/>
      <c r="H2116" s="19"/>
      <c r="I2116" s="19"/>
      <c r="J2116" s="19"/>
      <c r="K2116" s="19"/>
      <c r="L2116" s="19"/>
      <c r="M2116" s="19"/>
      <c r="N2116" s="20" t="s">
        <v>39</v>
      </c>
      <c r="O2116" s="19"/>
      <c r="P2116" s="19"/>
      <c r="Q2116" s="19"/>
      <c r="R2116" s="19"/>
      <c r="S2116" s="19"/>
      <c r="T2116" s="19"/>
      <c r="U2116" s="19"/>
      <c r="V2116" s="19"/>
    </row>
    <row r="2117">
      <c r="A2117" s="25"/>
      <c r="B2117" s="19"/>
      <c r="C2117" s="19"/>
      <c r="D2117" s="19"/>
      <c r="E2117" s="19"/>
      <c r="F2117" s="17" t="str">
        <f>IFERROR(__xludf.DUMMYFUNCTION("""COMPUTED_VALUE"""),"")</f>
        <v/>
      </c>
      <c r="G2117" s="20"/>
      <c r="H2117" s="19"/>
      <c r="I2117" s="19"/>
      <c r="J2117" s="19"/>
      <c r="K2117" s="19"/>
      <c r="L2117" s="19"/>
      <c r="M2117" s="19"/>
      <c r="N2117" s="20" t="s">
        <v>39</v>
      </c>
      <c r="O2117" s="19"/>
      <c r="P2117" s="19"/>
      <c r="Q2117" s="19"/>
      <c r="R2117" s="19"/>
      <c r="S2117" s="19"/>
      <c r="T2117" s="19"/>
      <c r="U2117" s="19"/>
      <c r="V2117" s="19"/>
    </row>
    <row r="2118">
      <c r="A2118" s="25"/>
      <c r="B2118" s="19"/>
      <c r="C2118" s="19"/>
      <c r="D2118" s="19"/>
      <c r="E2118" s="19"/>
      <c r="F2118" s="17" t="str">
        <f>IFERROR(__xludf.DUMMYFUNCTION("""COMPUTED_VALUE"""),"")</f>
        <v/>
      </c>
      <c r="G2118" s="20"/>
      <c r="H2118" s="19"/>
      <c r="I2118" s="19"/>
      <c r="J2118" s="19"/>
      <c r="K2118" s="19"/>
      <c r="L2118" s="19"/>
      <c r="M2118" s="19"/>
      <c r="N2118" s="20" t="s">
        <v>39</v>
      </c>
      <c r="O2118" s="19"/>
      <c r="P2118" s="19"/>
      <c r="Q2118" s="19"/>
      <c r="R2118" s="19"/>
      <c r="S2118" s="19"/>
      <c r="T2118" s="19"/>
      <c r="U2118" s="19"/>
      <c r="V2118" s="19"/>
    </row>
    <row r="2119">
      <c r="A2119" s="25"/>
      <c r="B2119" s="19"/>
      <c r="C2119" s="19"/>
      <c r="D2119" s="19"/>
      <c r="E2119" s="19"/>
      <c r="F2119" s="17" t="str">
        <f>IFERROR(__xludf.DUMMYFUNCTION("""COMPUTED_VALUE"""),"")</f>
        <v/>
      </c>
      <c r="G2119" s="20"/>
      <c r="H2119" s="19"/>
      <c r="I2119" s="19"/>
      <c r="J2119" s="19"/>
      <c r="K2119" s="19"/>
      <c r="L2119" s="19"/>
      <c r="M2119" s="19"/>
      <c r="N2119" s="20" t="s">
        <v>39</v>
      </c>
      <c r="O2119" s="19"/>
      <c r="P2119" s="19"/>
      <c r="Q2119" s="19"/>
      <c r="R2119" s="19"/>
      <c r="S2119" s="19"/>
      <c r="T2119" s="19"/>
      <c r="U2119" s="19"/>
      <c r="V2119" s="19"/>
    </row>
    <row r="2120">
      <c r="A2120" s="25"/>
      <c r="B2120" s="19"/>
      <c r="C2120" s="19"/>
      <c r="D2120" s="19"/>
      <c r="E2120" s="19"/>
      <c r="F2120" s="17" t="str">
        <f>IFERROR(__xludf.DUMMYFUNCTION("""COMPUTED_VALUE"""),"")</f>
        <v/>
      </c>
      <c r="G2120" s="20"/>
      <c r="H2120" s="19"/>
      <c r="I2120" s="19"/>
      <c r="J2120" s="19"/>
      <c r="K2120" s="19"/>
      <c r="L2120" s="19"/>
      <c r="M2120" s="19"/>
      <c r="N2120" s="20" t="s">
        <v>39</v>
      </c>
      <c r="O2120" s="19"/>
      <c r="P2120" s="19"/>
      <c r="Q2120" s="19"/>
      <c r="R2120" s="19"/>
      <c r="S2120" s="19"/>
      <c r="T2120" s="19"/>
      <c r="U2120" s="19"/>
      <c r="V2120" s="19"/>
    </row>
    <row r="2121">
      <c r="A2121" s="25"/>
      <c r="B2121" s="19"/>
      <c r="C2121" s="19"/>
      <c r="D2121" s="19"/>
      <c r="E2121" s="19"/>
      <c r="F2121" s="17" t="str">
        <f>IFERROR(__xludf.DUMMYFUNCTION("""COMPUTED_VALUE"""),"")</f>
        <v/>
      </c>
      <c r="G2121" s="20"/>
      <c r="H2121" s="19"/>
      <c r="I2121" s="19"/>
      <c r="J2121" s="19"/>
      <c r="K2121" s="19"/>
      <c r="L2121" s="19"/>
      <c r="M2121" s="19"/>
      <c r="N2121" s="20" t="s">
        <v>39</v>
      </c>
      <c r="O2121" s="19"/>
      <c r="P2121" s="19"/>
      <c r="Q2121" s="19"/>
      <c r="R2121" s="19"/>
      <c r="S2121" s="19"/>
      <c r="T2121" s="19"/>
      <c r="U2121" s="19"/>
      <c r="V2121" s="19"/>
    </row>
    <row r="2122">
      <c r="A2122" s="25"/>
      <c r="B2122" s="19"/>
      <c r="C2122" s="19"/>
      <c r="D2122" s="19"/>
      <c r="E2122" s="19"/>
      <c r="F2122" s="17" t="str">
        <f>IFERROR(__xludf.DUMMYFUNCTION("""COMPUTED_VALUE"""),"")</f>
        <v/>
      </c>
      <c r="G2122" s="20"/>
      <c r="H2122" s="19"/>
      <c r="I2122" s="19"/>
      <c r="J2122" s="19"/>
      <c r="K2122" s="19"/>
      <c r="L2122" s="19"/>
      <c r="M2122" s="19"/>
      <c r="N2122" s="20" t="s">
        <v>39</v>
      </c>
      <c r="O2122" s="19"/>
      <c r="P2122" s="19"/>
      <c r="Q2122" s="19"/>
      <c r="R2122" s="19"/>
      <c r="S2122" s="19"/>
      <c r="T2122" s="19"/>
      <c r="U2122" s="19"/>
      <c r="V2122" s="19"/>
    </row>
    <row r="2123">
      <c r="A2123" s="25"/>
      <c r="B2123" s="19"/>
      <c r="C2123" s="19"/>
      <c r="D2123" s="19"/>
      <c r="E2123" s="19"/>
      <c r="F2123" s="17" t="str">
        <f>IFERROR(__xludf.DUMMYFUNCTION("""COMPUTED_VALUE"""),"")</f>
        <v/>
      </c>
      <c r="G2123" s="20"/>
      <c r="H2123" s="19"/>
      <c r="I2123" s="19"/>
      <c r="J2123" s="19"/>
      <c r="K2123" s="19"/>
      <c r="L2123" s="19"/>
      <c r="M2123" s="19"/>
      <c r="N2123" s="20" t="s">
        <v>39</v>
      </c>
      <c r="O2123" s="19"/>
      <c r="P2123" s="19"/>
      <c r="Q2123" s="19"/>
      <c r="R2123" s="19"/>
      <c r="S2123" s="19"/>
      <c r="T2123" s="19"/>
      <c r="U2123" s="19"/>
      <c r="V2123" s="19"/>
    </row>
    <row r="2124">
      <c r="A2124" s="25"/>
      <c r="B2124" s="19"/>
      <c r="C2124" s="19"/>
      <c r="D2124" s="19"/>
      <c r="E2124" s="19"/>
      <c r="F2124" s="17" t="str">
        <f>IFERROR(__xludf.DUMMYFUNCTION("""COMPUTED_VALUE"""),"")</f>
        <v/>
      </c>
      <c r="G2124" s="20"/>
      <c r="H2124" s="19"/>
      <c r="I2124" s="19"/>
      <c r="J2124" s="19"/>
      <c r="K2124" s="19"/>
      <c r="L2124" s="19"/>
      <c r="M2124" s="19"/>
      <c r="N2124" s="20" t="s">
        <v>39</v>
      </c>
      <c r="O2124" s="19"/>
      <c r="P2124" s="19"/>
      <c r="Q2124" s="19"/>
      <c r="R2124" s="19"/>
      <c r="S2124" s="19"/>
      <c r="T2124" s="19"/>
      <c r="U2124" s="19"/>
      <c r="V2124" s="19"/>
    </row>
    <row r="2125">
      <c r="A2125" s="25"/>
      <c r="B2125" s="19"/>
      <c r="C2125" s="19"/>
      <c r="D2125" s="19"/>
      <c r="E2125" s="19"/>
      <c r="F2125" s="17" t="str">
        <f>IFERROR(__xludf.DUMMYFUNCTION("""COMPUTED_VALUE"""),"")</f>
        <v/>
      </c>
      <c r="G2125" s="20"/>
      <c r="H2125" s="19"/>
      <c r="I2125" s="19"/>
      <c r="J2125" s="19"/>
      <c r="K2125" s="19"/>
      <c r="L2125" s="19"/>
      <c r="M2125" s="19"/>
      <c r="N2125" s="20" t="s">
        <v>39</v>
      </c>
      <c r="O2125" s="19"/>
      <c r="P2125" s="19"/>
      <c r="Q2125" s="19"/>
      <c r="R2125" s="19"/>
      <c r="S2125" s="19"/>
      <c r="T2125" s="19"/>
      <c r="U2125" s="19"/>
      <c r="V2125" s="19"/>
    </row>
    <row r="2126">
      <c r="A2126" s="25"/>
      <c r="B2126" s="19"/>
      <c r="C2126" s="19"/>
      <c r="D2126" s="19"/>
      <c r="E2126" s="19"/>
      <c r="F2126" s="17" t="str">
        <f>IFERROR(__xludf.DUMMYFUNCTION("""COMPUTED_VALUE"""),"")</f>
        <v/>
      </c>
      <c r="G2126" s="20"/>
      <c r="H2126" s="19"/>
      <c r="I2126" s="19"/>
      <c r="J2126" s="19"/>
      <c r="K2126" s="19"/>
      <c r="L2126" s="19"/>
      <c r="M2126" s="19"/>
      <c r="N2126" s="20" t="s">
        <v>39</v>
      </c>
      <c r="O2126" s="19"/>
      <c r="P2126" s="19"/>
      <c r="Q2126" s="19"/>
      <c r="R2126" s="19"/>
      <c r="S2126" s="19"/>
      <c r="T2126" s="19"/>
      <c r="U2126" s="19"/>
      <c r="V2126" s="19"/>
    </row>
    <row r="2127">
      <c r="A2127" s="25"/>
      <c r="B2127" s="19"/>
      <c r="C2127" s="19"/>
      <c r="D2127" s="19"/>
      <c r="E2127" s="19"/>
      <c r="F2127" s="17" t="str">
        <f>IFERROR(__xludf.DUMMYFUNCTION("""COMPUTED_VALUE"""),"")</f>
        <v/>
      </c>
      <c r="G2127" s="20"/>
      <c r="H2127" s="19"/>
      <c r="I2127" s="19"/>
      <c r="J2127" s="19"/>
      <c r="K2127" s="19"/>
      <c r="L2127" s="19"/>
      <c r="M2127" s="19"/>
      <c r="N2127" s="20" t="s">
        <v>39</v>
      </c>
      <c r="O2127" s="19"/>
      <c r="P2127" s="19"/>
      <c r="Q2127" s="19"/>
      <c r="R2127" s="19"/>
      <c r="S2127" s="19"/>
      <c r="T2127" s="19"/>
      <c r="U2127" s="19"/>
      <c r="V2127" s="19"/>
    </row>
    <row r="2128">
      <c r="A2128" s="25"/>
      <c r="B2128" s="19"/>
      <c r="C2128" s="19"/>
      <c r="D2128" s="19"/>
      <c r="E2128" s="19"/>
      <c r="F2128" s="17" t="str">
        <f>IFERROR(__xludf.DUMMYFUNCTION("""COMPUTED_VALUE"""),"")</f>
        <v/>
      </c>
      <c r="G2128" s="20"/>
      <c r="H2128" s="19"/>
      <c r="I2128" s="19"/>
      <c r="J2128" s="19"/>
      <c r="K2128" s="19"/>
      <c r="L2128" s="19"/>
      <c r="M2128" s="19"/>
      <c r="N2128" s="20" t="s">
        <v>39</v>
      </c>
      <c r="O2128" s="19"/>
      <c r="P2128" s="19"/>
      <c r="Q2128" s="19"/>
      <c r="R2128" s="19"/>
      <c r="S2128" s="19"/>
      <c r="T2128" s="19"/>
      <c r="U2128" s="19"/>
      <c r="V2128" s="19"/>
    </row>
    <row r="2129">
      <c r="A2129" s="25"/>
      <c r="B2129" s="19"/>
      <c r="C2129" s="19"/>
      <c r="D2129" s="19"/>
      <c r="E2129" s="19"/>
      <c r="F2129" s="17" t="str">
        <f>IFERROR(__xludf.DUMMYFUNCTION("""COMPUTED_VALUE"""),"")</f>
        <v/>
      </c>
      <c r="G2129" s="20"/>
      <c r="H2129" s="19"/>
      <c r="I2129" s="19"/>
      <c r="J2129" s="19"/>
      <c r="K2129" s="19"/>
      <c r="L2129" s="19"/>
      <c r="M2129" s="19"/>
      <c r="N2129" s="20" t="s">
        <v>39</v>
      </c>
      <c r="O2129" s="19"/>
      <c r="P2129" s="19"/>
      <c r="Q2129" s="19"/>
      <c r="R2129" s="19"/>
      <c r="S2129" s="19"/>
      <c r="T2129" s="19"/>
      <c r="U2129" s="19"/>
      <c r="V2129" s="19"/>
    </row>
    <row r="2130">
      <c r="A2130" s="25"/>
      <c r="B2130" s="19"/>
      <c r="C2130" s="19"/>
      <c r="D2130" s="19"/>
      <c r="E2130" s="19"/>
      <c r="F2130" s="17" t="str">
        <f>IFERROR(__xludf.DUMMYFUNCTION("""COMPUTED_VALUE"""),"")</f>
        <v/>
      </c>
      <c r="G2130" s="20"/>
      <c r="H2130" s="19"/>
      <c r="I2130" s="19"/>
      <c r="J2130" s="19"/>
      <c r="K2130" s="19"/>
      <c r="L2130" s="19"/>
      <c r="M2130" s="19"/>
      <c r="N2130" s="20" t="s">
        <v>39</v>
      </c>
      <c r="O2130" s="19"/>
      <c r="P2130" s="19"/>
      <c r="Q2130" s="19"/>
      <c r="R2130" s="19"/>
      <c r="S2130" s="19"/>
      <c r="T2130" s="19"/>
      <c r="U2130" s="19"/>
      <c r="V2130" s="19"/>
    </row>
    <row r="2131">
      <c r="A2131" s="25"/>
      <c r="B2131" s="19"/>
      <c r="C2131" s="19"/>
      <c r="D2131" s="19"/>
      <c r="E2131" s="19"/>
      <c r="F2131" s="17" t="str">
        <f>IFERROR(__xludf.DUMMYFUNCTION("""COMPUTED_VALUE"""),"")</f>
        <v/>
      </c>
      <c r="G2131" s="20"/>
      <c r="H2131" s="19"/>
      <c r="I2131" s="19"/>
      <c r="J2131" s="19"/>
      <c r="K2131" s="19"/>
      <c r="L2131" s="19"/>
      <c r="M2131" s="19"/>
      <c r="N2131" s="20" t="s">
        <v>39</v>
      </c>
      <c r="O2131" s="19"/>
      <c r="P2131" s="19"/>
      <c r="Q2131" s="19"/>
      <c r="R2131" s="19"/>
      <c r="S2131" s="19"/>
      <c r="T2131" s="19"/>
      <c r="U2131" s="19"/>
      <c r="V2131" s="19"/>
    </row>
    <row r="2132">
      <c r="A2132" s="25"/>
      <c r="B2132" s="19"/>
      <c r="C2132" s="19"/>
      <c r="D2132" s="19"/>
      <c r="E2132" s="19"/>
      <c r="F2132" s="17" t="str">
        <f>IFERROR(__xludf.DUMMYFUNCTION("""COMPUTED_VALUE"""),"")</f>
        <v/>
      </c>
      <c r="G2132" s="20"/>
      <c r="H2132" s="19"/>
      <c r="I2132" s="19"/>
      <c r="J2132" s="19"/>
      <c r="K2132" s="19"/>
      <c r="L2132" s="19"/>
      <c r="M2132" s="19"/>
      <c r="N2132" s="20" t="s">
        <v>39</v>
      </c>
      <c r="O2132" s="19"/>
      <c r="P2132" s="19"/>
      <c r="Q2132" s="19"/>
      <c r="R2132" s="19"/>
      <c r="S2132" s="19"/>
      <c r="T2132" s="19"/>
      <c r="U2132" s="19"/>
      <c r="V2132" s="19"/>
    </row>
    <row r="2133">
      <c r="A2133" s="25"/>
      <c r="B2133" s="19"/>
      <c r="C2133" s="19"/>
      <c r="D2133" s="19"/>
      <c r="E2133" s="19"/>
      <c r="F2133" s="17" t="str">
        <f>IFERROR(__xludf.DUMMYFUNCTION("""COMPUTED_VALUE"""),"")</f>
        <v/>
      </c>
      <c r="G2133" s="20"/>
      <c r="H2133" s="19"/>
      <c r="I2133" s="19"/>
      <c r="J2133" s="19"/>
      <c r="K2133" s="19"/>
      <c r="L2133" s="19"/>
      <c r="M2133" s="19"/>
      <c r="N2133" s="20" t="s">
        <v>39</v>
      </c>
      <c r="O2133" s="19"/>
      <c r="P2133" s="19"/>
      <c r="Q2133" s="19"/>
      <c r="R2133" s="19"/>
      <c r="S2133" s="19"/>
      <c r="T2133" s="19"/>
      <c r="U2133" s="19"/>
      <c r="V2133" s="19"/>
    </row>
    <row r="2134">
      <c r="A2134" s="25"/>
      <c r="B2134" s="19"/>
      <c r="C2134" s="19"/>
      <c r="D2134" s="19"/>
      <c r="E2134" s="19"/>
      <c r="F2134" s="17" t="str">
        <f>IFERROR(__xludf.DUMMYFUNCTION("""COMPUTED_VALUE"""),"")</f>
        <v/>
      </c>
      <c r="G2134" s="20"/>
      <c r="H2134" s="19"/>
      <c r="I2134" s="19"/>
      <c r="J2134" s="19"/>
      <c r="K2134" s="19"/>
      <c r="L2134" s="19"/>
      <c r="M2134" s="19"/>
      <c r="N2134" s="20" t="s">
        <v>39</v>
      </c>
      <c r="O2134" s="19"/>
      <c r="P2134" s="19"/>
      <c r="Q2134" s="19"/>
      <c r="R2134" s="19"/>
      <c r="S2134" s="19"/>
      <c r="T2134" s="19"/>
      <c r="U2134" s="19"/>
      <c r="V2134" s="19"/>
    </row>
    <row r="2135">
      <c r="A2135" s="25"/>
      <c r="B2135" s="19"/>
      <c r="C2135" s="19"/>
      <c r="D2135" s="19"/>
      <c r="E2135" s="19"/>
      <c r="F2135" s="17" t="str">
        <f>IFERROR(__xludf.DUMMYFUNCTION("""COMPUTED_VALUE"""),"")</f>
        <v/>
      </c>
      <c r="G2135" s="20"/>
      <c r="H2135" s="19"/>
      <c r="I2135" s="19"/>
      <c r="J2135" s="19"/>
      <c r="K2135" s="19"/>
      <c r="L2135" s="19"/>
      <c r="M2135" s="19"/>
      <c r="N2135" s="20" t="s">
        <v>39</v>
      </c>
      <c r="O2135" s="19"/>
      <c r="P2135" s="19"/>
      <c r="Q2135" s="19"/>
      <c r="R2135" s="19"/>
      <c r="S2135" s="19"/>
      <c r="T2135" s="19"/>
      <c r="U2135" s="19"/>
      <c r="V2135" s="19"/>
    </row>
    <row r="2136">
      <c r="A2136" s="25"/>
      <c r="B2136" s="19"/>
      <c r="C2136" s="19"/>
      <c r="D2136" s="19"/>
      <c r="E2136" s="19"/>
      <c r="F2136" s="17" t="str">
        <f>IFERROR(__xludf.DUMMYFUNCTION("""COMPUTED_VALUE"""),"")</f>
        <v/>
      </c>
      <c r="G2136" s="20"/>
      <c r="H2136" s="19"/>
      <c r="I2136" s="19"/>
      <c r="J2136" s="19"/>
      <c r="K2136" s="19"/>
      <c r="L2136" s="19"/>
      <c r="M2136" s="19"/>
      <c r="N2136" s="20" t="s">
        <v>39</v>
      </c>
      <c r="O2136" s="19"/>
      <c r="P2136" s="19"/>
      <c r="Q2136" s="19"/>
      <c r="R2136" s="19"/>
      <c r="S2136" s="19"/>
      <c r="T2136" s="19"/>
      <c r="U2136" s="19"/>
      <c r="V2136" s="19"/>
    </row>
    <row r="2137">
      <c r="A2137" s="25"/>
      <c r="B2137" s="19"/>
      <c r="C2137" s="19"/>
      <c r="D2137" s="19"/>
      <c r="E2137" s="19"/>
      <c r="F2137" s="17" t="str">
        <f>IFERROR(__xludf.DUMMYFUNCTION("""COMPUTED_VALUE"""),"")</f>
        <v/>
      </c>
      <c r="G2137" s="20"/>
      <c r="H2137" s="19"/>
      <c r="I2137" s="19"/>
      <c r="J2137" s="19"/>
      <c r="K2137" s="19"/>
      <c r="L2137" s="19"/>
      <c r="M2137" s="19"/>
      <c r="N2137" s="20" t="s">
        <v>39</v>
      </c>
      <c r="O2137" s="19"/>
      <c r="P2137" s="19"/>
      <c r="Q2137" s="19"/>
      <c r="R2137" s="19"/>
      <c r="S2137" s="19"/>
      <c r="T2137" s="19"/>
      <c r="U2137" s="19"/>
      <c r="V2137" s="19"/>
    </row>
    <row r="2138">
      <c r="A2138" s="25"/>
      <c r="B2138" s="19"/>
      <c r="C2138" s="19"/>
      <c r="D2138" s="19"/>
      <c r="E2138" s="19"/>
      <c r="F2138" s="17" t="str">
        <f>IFERROR(__xludf.DUMMYFUNCTION("""COMPUTED_VALUE"""),"")</f>
        <v/>
      </c>
      <c r="G2138" s="20"/>
      <c r="H2138" s="19"/>
      <c r="I2138" s="19"/>
      <c r="J2138" s="19"/>
      <c r="K2138" s="19"/>
      <c r="L2138" s="19"/>
      <c r="M2138" s="19"/>
      <c r="N2138" s="20" t="s">
        <v>39</v>
      </c>
      <c r="O2138" s="19"/>
      <c r="P2138" s="19"/>
      <c r="Q2138" s="19"/>
      <c r="R2138" s="19"/>
      <c r="S2138" s="19"/>
      <c r="T2138" s="19"/>
      <c r="U2138" s="19"/>
      <c r="V2138" s="19"/>
    </row>
    <row r="2139">
      <c r="A2139" s="25"/>
      <c r="B2139" s="19"/>
      <c r="C2139" s="19"/>
      <c r="D2139" s="19"/>
      <c r="E2139" s="19"/>
      <c r="F2139" s="17" t="str">
        <f>IFERROR(__xludf.DUMMYFUNCTION("""COMPUTED_VALUE"""),"")</f>
        <v/>
      </c>
      <c r="G2139" s="20"/>
      <c r="H2139" s="19"/>
      <c r="I2139" s="19"/>
      <c r="J2139" s="19"/>
      <c r="K2139" s="19"/>
      <c r="L2139" s="19"/>
      <c r="M2139" s="19"/>
      <c r="N2139" s="20" t="s">
        <v>39</v>
      </c>
      <c r="O2139" s="19"/>
      <c r="P2139" s="19"/>
      <c r="Q2139" s="19"/>
      <c r="R2139" s="19"/>
      <c r="S2139" s="19"/>
      <c r="T2139" s="19"/>
      <c r="U2139" s="19"/>
      <c r="V2139" s="19"/>
    </row>
    <row r="2140">
      <c r="A2140" s="25"/>
      <c r="B2140" s="19"/>
      <c r="C2140" s="19"/>
      <c r="D2140" s="19"/>
      <c r="E2140" s="19"/>
      <c r="F2140" s="17" t="str">
        <f>IFERROR(__xludf.DUMMYFUNCTION("""COMPUTED_VALUE"""),"")</f>
        <v/>
      </c>
      <c r="G2140" s="20"/>
      <c r="H2140" s="19"/>
      <c r="I2140" s="19"/>
      <c r="J2140" s="19"/>
      <c r="K2140" s="19"/>
      <c r="L2140" s="19"/>
      <c r="M2140" s="19"/>
      <c r="N2140" s="20" t="s">
        <v>39</v>
      </c>
      <c r="O2140" s="19"/>
      <c r="P2140" s="19"/>
      <c r="Q2140" s="19"/>
      <c r="R2140" s="19"/>
      <c r="S2140" s="19"/>
      <c r="T2140" s="19"/>
      <c r="U2140" s="19"/>
      <c r="V2140" s="19"/>
    </row>
    <row r="2141">
      <c r="A2141" s="25"/>
      <c r="B2141" s="19"/>
      <c r="C2141" s="19"/>
      <c r="D2141" s="19"/>
      <c r="E2141" s="19"/>
      <c r="F2141" s="17" t="str">
        <f>IFERROR(__xludf.DUMMYFUNCTION("""COMPUTED_VALUE"""),"")</f>
        <v/>
      </c>
      <c r="G2141" s="20"/>
      <c r="H2141" s="19"/>
      <c r="I2141" s="19"/>
      <c r="J2141" s="19"/>
      <c r="K2141" s="19"/>
      <c r="L2141" s="19"/>
      <c r="M2141" s="19"/>
      <c r="N2141" s="20" t="s">
        <v>39</v>
      </c>
      <c r="O2141" s="19"/>
      <c r="P2141" s="19"/>
      <c r="Q2141" s="19"/>
      <c r="R2141" s="19"/>
      <c r="S2141" s="19"/>
      <c r="T2141" s="19"/>
      <c r="U2141" s="19"/>
      <c r="V2141" s="19"/>
    </row>
    <row r="2142">
      <c r="A2142" s="25"/>
      <c r="B2142" s="19"/>
      <c r="C2142" s="19"/>
      <c r="D2142" s="19"/>
      <c r="E2142" s="19"/>
      <c r="F2142" s="17" t="str">
        <f>IFERROR(__xludf.DUMMYFUNCTION("""COMPUTED_VALUE"""),"")</f>
        <v/>
      </c>
      <c r="G2142" s="20"/>
      <c r="H2142" s="19"/>
      <c r="I2142" s="19"/>
      <c r="J2142" s="19"/>
      <c r="K2142" s="19"/>
      <c r="L2142" s="19"/>
      <c r="M2142" s="19"/>
      <c r="N2142" s="20" t="s">
        <v>39</v>
      </c>
      <c r="O2142" s="19"/>
      <c r="P2142" s="19"/>
      <c r="Q2142" s="19"/>
      <c r="R2142" s="19"/>
      <c r="S2142" s="19"/>
      <c r="T2142" s="19"/>
      <c r="U2142" s="19"/>
      <c r="V2142" s="19"/>
    </row>
    <row r="2143">
      <c r="A2143" s="25"/>
      <c r="B2143" s="19"/>
      <c r="C2143" s="19"/>
      <c r="D2143" s="19"/>
      <c r="E2143" s="19"/>
      <c r="F2143" s="17" t="str">
        <f>IFERROR(__xludf.DUMMYFUNCTION("""COMPUTED_VALUE"""),"")</f>
        <v/>
      </c>
      <c r="G2143" s="20"/>
      <c r="H2143" s="19"/>
      <c r="I2143" s="19"/>
      <c r="J2143" s="19"/>
      <c r="K2143" s="19"/>
      <c r="L2143" s="19"/>
      <c r="M2143" s="19"/>
      <c r="N2143" s="20" t="s">
        <v>39</v>
      </c>
      <c r="O2143" s="19"/>
      <c r="P2143" s="19"/>
      <c r="Q2143" s="19"/>
      <c r="R2143" s="19"/>
      <c r="S2143" s="19"/>
      <c r="T2143" s="19"/>
      <c r="U2143" s="19"/>
      <c r="V2143" s="19"/>
    </row>
    <row r="2144">
      <c r="A2144" s="25"/>
      <c r="B2144" s="19"/>
      <c r="C2144" s="19"/>
      <c r="D2144" s="19"/>
      <c r="E2144" s="19"/>
      <c r="F2144" s="17" t="str">
        <f>IFERROR(__xludf.DUMMYFUNCTION("""COMPUTED_VALUE"""),"")</f>
        <v/>
      </c>
      <c r="G2144" s="20"/>
      <c r="H2144" s="19"/>
      <c r="I2144" s="19"/>
      <c r="J2144" s="19"/>
      <c r="K2144" s="19"/>
      <c r="L2144" s="19"/>
      <c r="M2144" s="19"/>
      <c r="N2144" s="20" t="s">
        <v>39</v>
      </c>
      <c r="O2144" s="19"/>
      <c r="P2144" s="19"/>
      <c r="Q2144" s="19"/>
      <c r="R2144" s="19"/>
      <c r="S2144" s="19"/>
      <c r="T2144" s="19"/>
      <c r="U2144" s="19"/>
      <c r="V2144" s="19"/>
    </row>
    <row r="2145">
      <c r="A2145" s="25"/>
      <c r="B2145" s="19"/>
      <c r="C2145" s="19"/>
      <c r="D2145" s="19"/>
      <c r="E2145" s="19"/>
      <c r="F2145" s="17" t="str">
        <f>IFERROR(__xludf.DUMMYFUNCTION("""COMPUTED_VALUE"""),"")</f>
        <v/>
      </c>
      <c r="G2145" s="20"/>
      <c r="H2145" s="19"/>
      <c r="I2145" s="19"/>
      <c r="J2145" s="19"/>
      <c r="K2145" s="19"/>
      <c r="L2145" s="19"/>
      <c r="M2145" s="19"/>
      <c r="N2145" s="20" t="s">
        <v>39</v>
      </c>
      <c r="O2145" s="19"/>
      <c r="P2145" s="19"/>
      <c r="Q2145" s="19"/>
      <c r="R2145" s="19"/>
      <c r="S2145" s="19"/>
      <c r="T2145" s="19"/>
      <c r="U2145" s="19"/>
      <c r="V2145" s="19"/>
    </row>
    <row r="2146">
      <c r="A2146" s="25"/>
      <c r="B2146" s="19"/>
      <c r="C2146" s="19"/>
      <c r="D2146" s="19"/>
      <c r="E2146" s="19"/>
      <c r="F2146" s="17" t="str">
        <f>IFERROR(__xludf.DUMMYFUNCTION("""COMPUTED_VALUE"""),"")</f>
        <v/>
      </c>
      <c r="G2146" s="20"/>
      <c r="H2146" s="19"/>
      <c r="I2146" s="19"/>
      <c r="J2146" s="19"/>
      <c r="K2146" s="19"/>
      <c r="L2146" s="19"/>
      <c r="M2146" s="19"/>
      <c r="N2146" s="20" t="s">
        <v>39</v>
      </c>
      <c r="O2146" s="19"/>
      <c r="P2146" s="19"/>
      <c r="Q2146" s="19"/>
      <c r="R2146" s="19"/>
      <c r="S2146" s="19"/>
      <c r="T2146" s="19"/>
      <c r="U2146" s="19"/>
      <c r="V2146" s="19"/>
    </row>
    <row r="2147">
      <c r="A2147" s="25"/>
      <c r="B2147" s="19"/>
      <c r="C2147" s="19"/>
      <c r="D2147" s="19"/>
      <c r="E2147" s="19"/>
      <c r="F2147" s="17" t="str">
        <f>IFERROR(__xludf.DUMMYFUNCTION("""COMPUTED_VALUE"""),"")</f>
        <v/>
      </c>
      <c r="G2147" s="20"/>
      <c r="H2147" s="19"/>
      <c r="I2147" s="19"/>
      <c r="J2147" s="19"/>
      <c r="K2147" s="19"/>
      <c r="L2147" s="19"/>
      <c r="M2147" s="19"/>
      <c r="N2147" s="20" t="s">
        <v>39</v>
      </c>
      <c r="O2147" s="19"/>
      <c r="P2147" s="19"/>
      <c r="Q2147" s="19"/>
      <c r="R2147" s="19"/>
      <c r="S2147" s="19"/>
      <c r="T2147" s="19"/>
      <c r="U2147" s="19"/>
      <c r="V2147" s="19"/>
    </row>
    <row r="2148">
      <c r="A2148" s="25"/>
      <c r="B2148" s="19"/>
      <c r="C2148" s="19"/>
      <c r="D2148" s="19"/>
      <c r="E2148" s="19"/>
      <c r="F2148" s="17" t="str">
        <f>IFERROR(__xludf.DUMMYFUNCTION("""COMPUTED_VALUE"""),"")</f>
        <v/>
      </c>
      <c r="G2148" s="20"/>
      <c r="H2148" s="19"/>
      <c r="I2148" s="19"/>
      <c r="J2148" s="19"/>
      <c r="K2148" s="19"/>
      <c r="L2148" s="19"/>
      <c r="M2148" s="19"/>
      <c r="N2148" s="20" t="s">
        <v>39</v>
      </c>
      <c r="O2148" s="19"/>
      <c r="P2148" s="19"/>
      <c r="Q2148" s="19"/>
      <c r="R2148" s="19"/>
      <c r="S2148" s="19"/>
      <c r="T2148" s="19"/>
      <c r="U2148" s="19"/>
      <c r="V2148" s="19"/>
    </row>
    <row r="2149">
      <c r="A2149" s="25"/>
      <c r="B2149" s="19"/>
      <c r="C2149" s="19"/>
      <c r="D2149" s="19"/>
      <c r="E2149" s="19"/>
      <c r="F2149" s="17" t="str">
        <f>IFERROR(__xludf.DUMMYFUNCTION("""COMPUTED_VALUE"""),"")</f>
        <v/>
      </c>
      <c r="G2149" s="20"/>
      <c r="H2149" s="19"/>
      <c r="I2149" s="19"/>
      <c r="J2149" s="19"/>
      <c r="K2149" s="19"/>
      <c r="L2149" s="19"/>
      <c r="M2149" s="19"/>
      <c r="N2149" s="20" t="s">
        <v>39</v>
      </c>
      <c r="O2149" s="19"/>
      <c r="P2149" s="19"/>
      <c r="Q2149" s="19"/>
      <c r="R2149" s="19"/>
      <c r="S2149" s="19"/>
      <c r="T2149" s="19"/>
      <c r="U2149" s="19"/>
      <c r="V2149" s="19"/>
    </row>
    <row r="2150">
      <c r="A2150" s="25"/>
      <c r="B2150" s="19"/>
      <c r="C2150" s="19"/>
      <c r="D2150" s="19"/>
      <c r="E2150" s="19"/>
      <c r="F2150" s="17" t="str">
        <f>IFERROR(__xludf.DUMMYFUNCTION("""COMPUTED_VALUE"""),"")</f>
        <v/>
      </c>
      <c r="G2150" s="20"/>
      <c r="H2150" s="19"/>
      <c r="I2150" s="19"/>
      <c r="J2150" s="19"/>
      <c r="K2150" s="19"/>
      <c r="L2150" s="19"/>
      <c r="M2150" s="19"/>
      <c r="N2150" s="20" t="s">
        <v>39</v>
      </c>
      <c r="O2150" s="19"/>
      <c r="P2150" s="19"/>
      <c r="Q2150" s="19"/>
      <c r="R2150" s="19"/>
      <c r="S2150" s="19"/>
      <c r="T2150" s="19"/>
      <c r="U2150" s="19"/>
      <c r="V2150" s="19"/>
    </row>
    <row r="2151">
      <c r="A2151" s="25"/>
      <c r="B2151" s="19"/>
      <c r="C2151" s="19"/>
      <c r="D2151" s="19"/>
      <c r="E2151" s="19"/>
      <c r="F2151" s="17" t="str">
        <f>IFERROR(__xludf.DUMMYFUNCTION("""COMPUTED_VALUE"""),"")</f>
        <v/>
      </c>
      <c r="G2151" s="20"/>
      <c r="H2151" s="19"/>
      <c r="I2151" s="19"/>
      <c r="J2151" s="19"/>
      <c r="K2151" s="19"/>
      <c r="L2151" s="19"/>
      <c r="M2151" s="19"/>
      <c r="N2151" s="20" t="s">
        <v>39</v>
      </c>
      <c r="O2151" s="19"/>
      <c r="P2151" s="19"/>
      <c r="Q2151" s="19"/>
      <c r="R2151" s="19"/>
      <c r="S2151" s="19"/>
      <c r="T2151" s="19"/>
      <c r="U2151" s="19"/>
      <c r="V2151" s="19"/>
    </row>
    <row r="2152">
      <c r="A2152" s="25"/>
      <c r="B2152" s="19"/>
      <c r="C2152" s="19"/>
      <c r="D2152" s="19"/>
      <c r="E2152" s="19"/>
      <c r="F2152" s="17" t="str">
        <f>IFERROR(__xludf.DUMMYFUNCTION("""COMPUTED_VALUE"""),"")</f>
        <v/>
      </c>
      <c r="G2152" s="20"/>
      <c r="H2152" s="19"/>
      <c r="I2152" s="19"/>
      <c r="J2152" s="19"/>
      <c r="K2152" s="19"/>
      <c r="L2152" s="19"/>
      <c r="M2152" s="19"/>
      <c r="N2152" s="20" t="s">
        <v>39</v>
      </c>
      <c r="O2152" s="19"/>
      <c r="P2152" s="19"/>
      <c r="Q2152" s="19"/>
      <c r="R2152" s="19"/>
      <c r="S2152" s="19"/>
      <c r="T2152" s="19"/>
      <c r="U2152" s="19"/>
      <c r="V2152" s="19"/>
    </row>
    <row r="2153">
      <c r="A2153" s="25"/>
      <c r="B2153" s="19"/>
      <c r="C2153" s="19"/>
      <c r="D2153" s="19"/>
      <c r="E2153" s="19"/>
      <c r="F2153" s="17" t="str">
        <f>IFERROR(__xludf.DUMMYFUNCTION("""COMPUTED_VALUE"""),"")</f>
        <v/>
      </c>
      <c r="G2153" s="20"/>
      <c r="H2153" s="19"/>
      <c r="I2153" s="19"/>
      <c r="J2153" s="19"/>
      <c r="K2153" s="19"/>
      <c r="L2153" s="19"/>
      <c r="M2153" s="19"/>
      <c r="N2153" s="20" t="s">
        <v>39</v>
      </c>
      <c r="O2153" s="19"/>
      <c r="P2153" s="19"/>
      <c r="Q2153" s="19"/>
      <c r="R2153" s="19"/>
      <c r="S2153" s="19"/>
      <c r="T2153" s="19"/>
      <c r="U2153" s="19"/>
      <c r="V2153" s="19"/>
    </row>
    <row r="2154">
      <c r="A2154" s="25"/>
      <c r="B2154" s="19"/>
      <c r="C2154" s="19"/>
      <c r="D2154" s="19"/>
      <c r="E2154" s="19"/>
      <c r="F2154" s="17" t="str">
        <f>IFERROR(__xludf.DUMMYFUNCTION("""COMPUTED_VALUE"""),"")</f>
        <v/>
      </c>
      <c r="G2154" s="20"/>
      <c r="H2154" s="19"/>
      <c r="I2154" s="19"/>
      <c r="J2154" s="19"/>
      <c r="K2154" s="19"/>
      <c r="L2154" s="19"/>
      <c r="M2154" s="19"/>
      <c r="N2154" s="20" t="s">
        <v>39</v>
      </c>
      <c r="O2154" s="19"/>
      <c r="P2154" s="19"/>
      <c r="Q2154" s="19"/>
      <c r="R2154" s="19"/>
      <c r="S2154" s="19"/>
      <c r="T2154" s="19"/>
      <c r="U2154" s="19"/>
      <c r="V2154" s="19"/>
    </row>
    <row r="2155">
      <c r="A2155" s="25"/>
      <c r="B2155" s="19"/>
      <c r="C2155" s="19"/>
      <c r="D2155" s="19"/>
      <c r="E2155" s="19"/>
      <c r="F2155" s="17" t="str">
        <f>IFERROR(__xludf.DUMMYFUNCTION("""COMPUTED_VALUE"""),"")</f>
        <v/>
      </c>
      <c r="G2155" s="20"/>
      <c r="H2155" s="19"/>
      <c r="I2155" s="19"/>
      <c r="J2155" s="19"/>
      <c r="K2155" s="19"/>
      <c r="L2155" s="19"/>
      <c r="M2155" s="19"/>
      <c r="N2155" s="20" t="s">
        <v>39</v>
      </c>
      <c r="O2155" s="19"/>
      <c r="P2155" s="19"/>
      <c r="Q2155" s="19"/>
      <c r="R2155" s="19"/>
      <c r="S2155" s="19"/>
      <c r="T2155" s="19"/>
      <c r="U2155" s="19"/>
      <c r="V2155" s="19"/>
    </row>
    <row r="2156">
      <c r="A2156" s="25"/>
      <c r="B2156" s="19"/>
      <c r="C2156" s="19"/>
      <c r="D2156" s="19"/>
      <c r="E2156" s="19"/>
      <c r="F2156" s="17" t="str">
        <f>IFERROR(__xludf.DUMMYFUNCTION("""COMPUTED_VALUE"""),"")</f>
        <v/>
      </c>
      <c r="G2156" s="20"/>
      <c r="H2156" s="19"/>
      <c r="I2156" s="19"/>
      <c r="J2156" s="19"/>
      <c r="K2156" s="19"/>
      <c r="L2156" s="19"/>
      <c r="M2156" s="19"/>
      <c r="N2156" s="20" t="s">
        <v>39</v>
      </c>
      <c r="O2156" s="19"/>
      <c r="P2156" s="19"/>
      <c r="Q2156" s="19"/>
      <c r="R2156" s="19"/>
      <c r="S2156" s="19"/>
      <c r="T2156" s="19"/>
      <c r="U2156" s="19"/>
      <c r="V2156" s="19"/>
    </row>
    <row r="2157">
      <c r="A2157" s="25"/>
      <c r="B2157" s="19"/>
      <c r="C2157" s="19"/>
      <c r="D2157" s="19"/>
      <c r="E2157" s="19"/>
      <c r="F2157" s="17" t="str">
        <f>IFERROR(__xludf.DUMMYFUNCTION("""COMPUTED_VALUE"""),"")</f>
        <v/>
      </c>
      <c r="G2157" s="20"/>
      <c r="H2157" s="19"/>
      <c r="I2157" s="19"/>
      <c r="J2157" s="19"/>
      <c r="K2157" s="19"/>
      <c r="L2157" s="19"/>
      <c r="M2157" s="19"/>
      <c r="N2157" s="20" t="s">
        <v>39</v>
      </c>
      <c r="O2157" s="19"/>
      <c r="P2157" s="19"/>
      <c r="Q2157" s="19"/>
      <c r="R2157" s="19"/>
      <c r="S2157" s="19"/>
      <c r="T2157" s="19"/>
      <c r="U2157" s="19"/>
      <c r="V2157" s="19"/>
    </row>
    <row r="2158">
      <c r="A2158" s="25"/>
      <c r="B2158" s="19"/>
      <c r="C2158" s="19"/>
      <c r="D2158" s="19"/>
      <c r="E2158" s="19"/>
      <c r="F2158" s="17" t="str">
        <f>IFERROR(__xludf.DUMMYFUNCTION("""COMPUTED_VALUE"""),"")</f>
        <v/>
      </c>
      <c r="G2158" s="20"/>
      <c r="H2158" s="19"/>
      <c r="I2158" s="19"/>
      <c r="J2158" s="19"/>
      <c r="K2158" s="19"/>
      <c r="L2158" s="19"/>
      <c r="M2158" s="19"/>
      <c r="N2158" s="20" t="s">
        <v>39</v>
      </c>
      <c r="O2158" s="19"/>
      <c r="P2158" s="19"/>
      <c r="Q2158" s="19"/>
      <c r="R2158" s="19"/>
      <c r="S2158" s="19"/>
      <c r="T2158" s="19"/>
      <c r="U2158" s="19"/>
      <c r="V2158" s="19"/>
    </row>
    <row r="2159">
      <c r="A2159" s="25"/>
      <c r="B2159" s="19"/>
      <c r="C2159" s="19"/>
      <c r="D2159" s="19"/>
      <c r="E2159" s="19"/>
      <c r="F2159" s="17" t="str">
        <f>IFERROR(__xludf.DUMMYFUNCTION("""COMPUTED_VALUE"""),"")</f>
        <v/>
      </c>
      <c r="G2159" s="20"/>
      <c r="H2159" s="19"/>
      <c r="I2159" s="19"/>
      <c r="J2159" s="19"/>
      <c r="K2159" s="19"/>
      <c r="L2159" s="19"/>
      <c r="M2159" s="19"/>
      <c r="N2159" s="20" t="s">
        <v>39</v>
      </c>
      <c r="O2159" s="19"/>
      <c r="P2159" s="19"/>
      <c r="Q2159" s="19"/>
      <c r="R2159" s="19"/>
      <c r="S2159" s="19"/>
      <c r="T2159" s="19"/>
      <c r="U2159" s="19"/>
      <c r="V2159" s="19"/>
    </row>
    <row r="2160">
      <c r="A2160" s="25"/>
      <c r="B2160" s="19"/>
      <c r="C2160" s="19"/>
      <c r="D2160" s="19"/>
      <c r="E2160" s="19"/>
      <c r="F2160" s="17" t="str">
        <f>IFERROR(__xludf.DUMMYFUNCTION("""COMPUTED_VALUE"""),"")</f>
        <v/>
      </c>
      <c r="G2160" s="20"/>
      <c r="H2160" s="19"/>
      <c r="I2160" s="19"/>
      <c r="J2160" s="19"/>
      <c r="K2160" s="19"/>
      <c r="L2160" s="19"/>
      <c r="M2160" s="19"/>
      <c r="N2160" s="20" t="s">
        <v>39</v>
      </c>
      <c r="O2160" s="19"/>
      <c r="P2160" s="19"/>
      <c r="Q2160" s="19"/>
      <c r="R2160" s="19"/>
      <c r="S2160" s="19"/>
      <c r="T2160" s="19"/>
      <c r="U2160" s="19"/>
      <c r="V2160" s="19"/>
    </row>
    <row r="2161">
      <c r="A2161" s="25"/>
      <c r="B2161" s="19"/>
      <c r="C2161" s="19"/>
      <c r="D2161" s="19"/>
      <c r="E2161" s="19"/>
      <c r="F2161" s="17" t="str">
        <f>IFERROR(__xludf.DUMMYFUNCTION("""COMPUTED_VALUE"""),"")</f>
        <v/>
      </c>
      <c r="G2161" s="20"/>
      <c r="H2161" s="19"/>
      <c r="I2161" s="19"/>
      <c r="J2161" s="19"/>
      <c r="K2161" s="19"/>
      <c r="L2161" s="19"/>
      <c r="M2161" s="19"/>
      <c r="N2161" s="20" t="s">
        <v>39</v>
      </c>
      <c r="O2161" s="19"/>
      <c r="P2161" s="19"/>
      <c r="Q2161" s="19"/>
      <c r="R2161" s="19"/>
      <c r="S2161" s="19"/>
      <c r="T2161" s="19"/>
      <c r="U2161" s="19"/>
      <c r="V2161" s="19"/>
    </row>
    <row r="2162">
      <c r="A2162" s="25"/>
      <c r="B2162" s="19"/>
      <c r="C2162" s="19"/>
      <c r="D2162" s="19"/>
      <c r="E2162" s="19"/>
      <c r="F2162" s="17" t="str">
        <f>IFERROR(__xludf.DUMMYFUNCTION("""COMPUTED_VALUE"""),"")</f>
        <v/>
      </c>
      <c r="G2162" s="20"/>
      <c r="H2162" s="19"/>
      <c r="I2162" s="19"/>
      <c r="J2162" s="19"/>
      <c r="K2162" s="19"/>
      <c r="L2162" s="19"/>
      <c r="M2162" s="19"/>
      <c r="N2162" s="20" t="s">
        <v>39</v>
      </c>
      <c r="O2162" s="19"/>
      <c r="P2162" s="19"/>
      <c r="Q2162" s="19"/>
      <c r="R2162" s="19"/>
      <c r="S2162" s="19"/>
      <c r="T2162" s="19"/>
      <c r="U2162" s="19"/>
      <c r="V2162" s="19"/>
    </row>
    <row r="2163">
      <c r="A2163" s="25"/>
      <c r="B2163" s="19"/>
      <c r="C2163" s="19"/>
      <c r="D2163" s="19"/>
      <c r="E2163" s="19"/>
      <c r="F2163" s="17" t="str">
        <f>IFERROR(__xludf.DUMMYFUNCTION("""COMPUTED_VALUE"""),"")</f>
        <v/>
      </c>
      <c r="G2163" s="20"/>
      <c r="H2163" s="19"/>
      <c r="I2163" s="19"/>
      <c r="J2163" s="19"/>
      <c r="K2163" s="19"/>
      <c r="L2163" s="19"/>
      <c r="M2163" s="19"/>
      <c r="N2163" s="20" t="s">
        <v>39</v>
      </c>
      <c r="O2163" s="19"/>
      <c r="P2163" s="19"/>
      <c r="Q2163" s="19"/>
      <c r="R2163" s="19"/>
      <c r="S2163" s="19"/>
      <c r="T2163" s="19"/>
      <c r="U2163" s="19"/>
      <c r="V2163" s="19"/>
    </row>
    <row r="2164">
      <c r="A2164" s="25"/>
      <c r="B2164" s="19"/>
      <c r="C2164" s="19"/>
      <c r="D2164" s="19"/>
      <c r="E2164" s="19"/>
      <c r="F2164" s="17" t="str">
        <f>IFERROR(__xludf.DUMMYFUNCTION("""COMPUTED_VALUE"""),"")</f>
        <v/>
      </c>
      <c r="G2164" s="20"/>
      <c r="H2164" s="19"/>
      <c r="I2164" s="19"/>
      <c r="J2164" s="19"/>
      <c r="K2164" s="19"/>
      <c r="L2164" s="19"/>
      <c r="M2164" s="19"/>
      <c r="N2164" s="20" t="s">
        <v>39</v>
      </c>
      <c r="O2164" s="19"/>
      <c r="P2164" s="19"/>
      <c r="Q2164" s="19"/>
      <c r="R2164" s="19"/>
      <c r="S2164" s="19"/>
      <c r="T2164" s="19"/>
      <c r="U2164" s="19"/>
      <c r="V2164" s="19"/>
    </row>
    <row r="2165">
      <c r="A2165" s="25"/>
      <c r="B2165" s="19"/>
      <c r="C2165" s="19"/>
      <c r="D2165" s="19"/>
      <c r="E2165" s="19"/>
      <c r="F2165" s="17" t="str">
        <f>IFERROR(__xludf.DUMMYFUNCTION("""COMPUTED_VALUE"""),"")</f>
        <v/>
      </c>
      <c r="G2165" s="20"/>
      <c r="H2165" s="19"/>
      <c r="I2165" s="19"/>
      <c r="J2165" s="19"/>
      <c r="K2165" s="19"/>
      <c r="L2165" s="19"/>
      <c r="M2165" s="19"/>
      <c r="N2165" s="20" t="s">
        <v>39</v>
      </c>
      <c r="O2165" s="19"/>
      <c r="P2165" s="19"/>
      <c r="Q2165" s="19"/>
      <c r="R2165" s="19"/>
      <c r="S2165" s="19"/>
      <c r="T2165" s="19"/>
      <c r="U2165" s="19"/>
      <c r="V2165" s="19"/>
    </row>
    <row r="2166">
      <c r="A2166" s="25"/>
      <c r="B2166" s="19"/>
      <c r="C2166" s="19"/>
      <c r="D2166" s="19"/>
      <c r="E2166" s="19"/>
      <c r="F2166" s="17" t="str">
        <f>IFERROR(__xludf.DUMMYFUNCTION("""COMPUTED_VALUE"""),"")</f>
        <v/>
      </c>
      <c r="G2166" s="20"/>
      <c r="H2166" s="19"/>
      <c r="I2166" s="19"/>
      <c r="J2166" s="19"/>
      <c r="K2166" s="19"/>
      <c r="L2166" s="19"/>
      <c r="M2166" s="19"/>
      <c r="N2166" s="20" t="s">
        <v>39</v>
      </c>
      <c r="O2166" s="19"/>
      <c r="P2166" s="19"/>
      <c r="Q2166" s="19"/>
      <c r="R2166" s="19"/>
      <c r="S2166" s="19"/>
      <c r="T2166" s="19"/>
      <c r="U2166" s="19"/>
      <c r="V2166" s="19"/>
    </row>
    <row r="2167">
      <c r="A2167" s="25"/>
      <c r="B2167" s="19"/>
      <c r="C2167" s="19"/>
      <c r="D2167" s="19"/>
      <c r="E2167" s="19"/>
      <c r="F2167" s="17" t="str">
        <f>IFERROR(__xludf.DUMMYFUNCTION("""COMPUTED_VALUE"""),"")</f>
        <v/>
      </c>
      <c r="G2167" s="20"/>
      <c r="H2167" s="19"/>
      <c r="I2167" s="19"/>
      <c r="J2167" s="19"/>
      <c r="K2167" s="19"/>
      <c r="L2167" s="19"/>
      <c r="M2167" s="19"/>
      <c r="N2167" s="20" t="s">
        <v>39</v>
      </c>
      <c r="O2167" s="19"/>
      <c r="P2167" s="19"/>
      <c r="Q2167" s="19"/>
      <c r="R2167" s="19"/>
      <c r="S2167" s="19"/>
      <c r="T2167" s="19"/>
      <c r="U2167" s="19"/>
      <c r="V2167" s="19"/>
    </row>
    <row r="2168">
      <c r="A2168" s="25"/>
      <c r="B2168" s="19"/>
      <c r="C2168" s="19"/>
      <c r="D2168" s="19"/>
      <c r="E2168" s="19"/>
      <c r="F2168" s="17" t="str">
        <f>IFERROR(__xludf.DUMMYFUNCTION("""COMPUTED_VALUE"""),"")</f>
        <v/>
      </c>
      <c r="G2168" s="20"/>
      <c r="H2168" s="19"/>
      <c r="I2168" s="19"/>
      <c r="J2168" s="19"/>
      <c r="K2168" s="19"/>
      <c r="L2168" s="19"/>
      <c r="M2168" s="19"/>
      <c r="N2168" s="20" t="s">
        <v>39</v>
      </c>
      <c r="O2168" s="19"/>
      <c r="P2168" s="19"/>
      <c r="Q2168" s="19"/>
      <c r="R2168" s="19"/>
      <c r="S2168" s="19"/>
      <c r="T2168" s="19"/>
      <c r="U2168" s="19"/>
      <c r="V2168" s="19"/>
    </row>
    <row r="2169">
      <c r="A2169" s="25"/>
      <c r="B2169" s="19"/>
      <c r="C2169" s="19"/>
      <c r="D2169" s="19"/>
      <c r="E2169" s="19"/>
      <c r="F2169" s="17" t="str">
        <f>IFERROR(__xludf.DUMMYFUNCTION("""COMPUTED_VALUE"""),"")</f>
        <v/>
      </c>
      <c r="G2169" s="20"/>
      <c r="H2169" s="19"/>
      <c r="I2169" s="19"/>
      <c r="J2169" s="19"/>
      <c r="K2169" s="19"/>
      <c r="L2169" s="19"/>
      <c r="M2169" s="19"/>
      <c r="N2169" s="20" t="s">
        <v>39</v>
      </c>
      <c r="O2169" s="19"/>
      <c r="P2169" s="19"/>
      <c r="Q2169" s="19"/>
      <c r="R2169" s="19"/>
      <c r="S2169" s="19"/>
      <c r="T2169" s="19"/>
      <c r="U2169" s="19"/>
      <c r="V2169" s="19"/>
    </row>
    <row r="2170">
      <c r="A2170" s="25"/>
      <c r="B2170" s="19"/>
      <c r="C2170" s="19"/>
      <c r="D2170" s="19"/>
      <c r="E2170" s="19"/>
      <c r="F2170" s="17" t="str">
        <f>IFERROR(__xludf.DUMMYFUNCTION("""COMPUTED_VALUE"""),"")</f>
        <v/>
      </c>
      <c r="G2170" s="20"/>
      <c r="H2170" s="19"/>
      <c r="I2170" s="19"/>
      <c r="J2170" s="19"/>
      <c r="K2170" s="19"/>
      <c r="L2170" s="19"/>
      <c r="M2170" s="19"/>
      <c r="N2170" s="20" t="s">
        <v>39</v>
      </c>
      <c r="O2170" s="19"/>
      <c r="P2170" s="19"/>
      <c r="Q2170" s="19"/>
      <c r="R2170" s="19"/>
      <c r="S2170" s="19"/>
      <c r="T2170" s="19"/>
      <c r="U2170" s="19"/>
      <c r="V2170" s="19"/>
    </row>
    <row r="2171">
      <c r="A2171" s="25"/>
      <c r="B2171" s="19"/>
      <c r="C2171" s="19"/>
      <c r="D2171" s="19"/>
      <c r="E2171" s="19"/>
      <c r="F2171" s="17" t="str">
        <f>IFERROR(__xludf.DUMMYFUNCTION("""COMPUTED_VALUE"""),"")</f>
        <v/>
      </c>
      <c r="G2171" s="20"/>
      <c r="H2171" s="19"/>
      <c r="I2171" s="19"/>
      <c r="J2171" s="19"/>
      <c r="K2171" s="19"/>
      <c r="L2171" s="19"/>
      <c r="M2171" s="19"/>
      <c r="N2171" s="20" t="s">
        <v>39</v>
      </c>
      <c r="O2171" s="19"/>
      <c r="P2171" s="19"/>
      <c r="Q2171" s="19"/>
      <c r="R2171" s="19"/>
      <c r="S2171" s="19"/>
      <c r="T2171" s="19"/>
      <c r="U2171" s="19"/>
      <c r="V2171" s="19"/>
    </row>
    <row r="2172">
      <c r="A2172" s="25"/>
      <c r="B2172" s="19"/>
      <c r="C2172" s="19"/>
      <c r="D2172" s="19"/>
      <c r="E2172" s="19"/>
      <c r="F2172" s="17" t="str">
        <f>IFERROR(__xludf.DUMMYFUNCTION("""COMPUTED_VALUE"""),"")</f>
        <v/>
      </c>
      <c r="G2172" s="20"/>
      <c r="H2172" s="19"/>
      <c r="I2172" s="19"/>
      <c r="J2172" s="19"/>
      <c r="K2172" s="19"/>
      <c r="L2172" s="19"/>
      <c r="M2172" s="19"/>
      <c r="N2172" s="20" t="s">
        <v>39</v>
      </c>
      <c r="O2172" s="19"/>
      <c r="P2172" s="19"/>
      <c r="Q2172" s="19"/>
      <c r="R2172" s="19"/>
      <c r="S2172" s="19"/>
      <c r="T2172" s="19"/>
      <c r="U2172" s="19"/>
      <c r="V2172" s="19"/>
    </row>
    <row r="2173">
      <c r="A2173" s="25"/>
      <c r="B2173" s="19"/>
      <c r="C2173" s="19"/>
      <c r="D2173" s="19"/>
      <c r="E2173" s="19"/>
      <c r="F2173" s="17" t="str">
        <f>IFERROR(__xludf.DUMMYFUNCTION("""COMPUTED_VALUE"""),"")</f>
        <v/>
      </c>
      <c r="G2173" s="20"/>
      <c r="H2173" s="19"/>
      <c r="I2173" s="19"/>
      <c r="J2173" s="19"/>
      <c r="K2173" s="19"/>
      <c r="L2173" s="19"/>
      <c r="M2173" s="19"/>
      <c r="N2173" s="20" t="s">
        <v>39</v>
      </c>
      <c r="O2173" s="19"/>
      <c r="P2173" s="19"/>
      <c r="Q2173" s="19"/>
      <c r="R2173" s="19"/>
      <c r="S2173" s="19"/>
      <c r="T2173" s="19"/>
      <c r="U2173" s="19"/>
      <c r="V2173" s="19"/>
    </row>
    <row r="2174">
      <c r="A2174" s="25"/>
      <c r="B2174" s="19"/>
      <c r="C2174" s="19"/>
      <c r="D2174" s="19"/>
      <c r="E2174" s="19"/>
      <c r="F2174" s="17" t="str">
        <f>IFERROR(__xludf.DUMMYFUNCTION("""COMPUTED_VALUE"""),"")</f>
        <v/>
      </c>
      <c r="G2174" s="20"/>
      <c r="H2174" s="19"/>
      <c r="I2174" s="19"/>
      <c r="J2174" s="19"/>
      <c r="K2174" s="19"/>
      <c r="L2174" s="19"/>
      <c r="M2174" s="19"/>
      <c r="N2174" s="20" t="s">
        <v>39</v>
      </c>
      <c r="O2174" s="19"/>
      <c r="P2174" s="19"/>
      <c r="Q2174" s="19"/>
      <c r="R2174" s="19"/>
      <c r="S2174" s="19"/>
      <c r="T2174" s="19"/>
      <c r="U2174" s="19"/>
      <c r="V2174" s="19"/>
    </row>
    <row r="2175">
      <c r="A2175" s="25"/>
      <c r="B2175" s="19"/>
      <c r="C2175" s="19"/>
      <c r="D2175" s="19"/>
      <c r="E2175" s="19"/>
      <c r="F2175" s="17" t="str">
        <f>IFERROR(__xludf.DUMMYFUNCTION("""COMPUTED_VALUE"""),"")</f>
        <v/>
      </c>
      <c r="G2175" s="20"/>
      <c r="H2175" s="19"/>
      <c r="I2175" s="19"/>
      <c r="J2175" s="19"/>
      <c r="K2175" s="19"/>
      <c r="L2175" s="19"/>
      <c r="M2175" s="19"/>
      <c r="N2175" s="20" t="s">
        <v>39</v>
      </c>
      <c r="O2175" s="19"/>
      <c r="P2175" s="19"/>
      <c r="Q2175" s="19"/>
      <c r="R2175" s="19"/>
      <c r="S2175" s="19"/>
      <c r="T2175" s="19"/>
      <c r="U2175" s="19"/>
      <c r="V2175" s="19"/>
    </row>
    <row r="2176">
      <c r="A2176" s="25"/>
      <c r="B2176" s="19"/>
      <c r="C2176" s="19"/>
      <c r="D2176" s="19"/>
      <c r="E2176" s="19"/>
      <c r="F2176" s="17" t="str">
        <f>IFERROR(__xludf.DUMMYFUNCTION("""COMPUTED_VALUE"""),"")</f>
        <v/>
      </c>
      <c r="G2176" s="20"/>
      <c r="H2176" s="19"/>
      <c r="I2176" s="19"/>
      <c r="J2176" s="19"/>
      <c r="K2176" s="19"/>
      <c r="L2176" s="19"/>
      <c r="M2176" s="19"/>
      <c r="N2176" s="20" t="s">
        <v>39</v>
      </c>
      <c r="O2176" s="19"/>
      <c r="P2176" s="19"/>
      <c r="Q2176" s="19"/>
      <c r="R2176" s="19"/>
      <c r="S2176" s="19"/>
      <c r="T2176" s="19"/>
      <c r="U2176" s="19"/>
      <c r="V2176" s="19"/>
    </row>
    <row r="2177">
      <c r="A2177" s="25"/>
      <c r="B2177" s="19"/>
      <c r="C2177" s="19"/>
      <c r="D2177" s="19"/>
      <c r="E2177" s="19"/>
      <c r="F2177" s="17" t="str">
        <f>IFERROR(__xludf.DUMMYFUNCTION("""COMPUTED_VALUE"""),"")</f>
        <v/>
      </c>
      <c r="G2177" s="20"/>
      <c r="H2177" s="19"/>
      <c r="I2177" s="19"/>
      <c r="J2177" s="19"/>
      <c r="K2177" s="19"/>
      <c r="L2177" s="19"/>
      <c r="M2177" s="19"/>
      <c r="N2177" s="20" t="s">
        <v>39</v>
      </c>
      <c r="O2177" s="19"/>
      <c r="P2177" s="19"/>
      <c r="Q2177" s="19"/>
      <c r="R2177" s="19"/>
      <c r="S2177" s="19"/>
      <c r="T2177" s="19"/>
      <c r="U2177" s="19"/>
      <c r="V2177" s="19"/>
    </row>
    <row r="2178">
      <c r="A2178" s="25"/>
      <c r="B2178" s="19"/>
      <c r="C2178" s="19"/>
      <c r="D2178" s="19"/>
      <c r="E2178" s="19"/>
      <c r="F2178" s="17" t="str">
        <f>IFERROR(__xludf.DUMMYFUNCTION("""COMPUTED_VALUE"""),"")</f>
        <v/>
      </c>
      <c r="G2178" s="20"/>
      <c r="H2178" s="19"/>
      <c r="I2178" s="19"/>
      <c r="J2178" s="19"/>
      <c r="K2178" s="19"/>
      <c r="L2178" s="19"/>
      <c r="M2178" s="19"/>
      <c r="N2178" s="20" t="s">
        <v>39</v>
      </c>
      <c r="O2178" s="19"/>
      <c r="P2178" s="19"/>
      <c r="Q2178" s="19"/>
      <c r="R2178" s="19"/>
      <c r="S2178" s="19"/>
      <c r="T2178" s="19"/>
      <c r="U2178" s="19"/>
      <c r="V2178" s="19"/>
    </row>
    <row r="2179">
      <c r="A2179" s="25"/>
      <c r="B2179" s="19"/>
      <c r="C2179" s="19"/>
      <c r="D2179" s="19"/>
      <c r="E2179" s="19"/>
      <c r="F2179" s="17" t="str">
        <f>IFERROR(__xludf.DUMMYFUNCTION("""COMPUTED_VALUE"""),"")</f>
        <v/>
      </c>
      <c r="G2179" s="20"/>
      <c r="H2179" s="19"/>
      <c r="I2179" s="19"/>
      <c r="J2179" s="19"/>
      <c r="K2179" s="19"/>
      <c r="L2179" s="19"/>
      <c r="M2179" s="19"/>
      <c r="N2179" s="20" t="s">
        <v>39</v>
      </c>
      <c r="O2179" s="19"/>
      <c r="P2179" s="19"/>
      <c r="Q2179" s="19"/>
      <c r="R2179" s="19"/>
      <c r="S2179" s="19"/>
      <c r="T2179" s="19"/>
      <c r="U2179" s="19"/>
      <c r="V2179" s="19"/>
    </row>
    <row r="2180">
      <c r="A2180" s="25"/>
      <c r="B2180" s="19"/>
      <c r="C2180" s="19"/>
      <c r="D2180" s="19"/>
      <c r="E2180" s="19"/>
      <c r="F2180" s="17" t="str">
        <f>IFERROR(__xludf.DUMMYFUNCTION("""COMPUTED_VALUE"""),"")</f>
        <v/>
      </c>
      <c r="G2180" s="20"/>
      <c r="H2180" s="19"/>
      <c r="I2180" s="19"/>
      <c r="J2180" s="19"/>
      <c r="K2180" s="19"/>
      <c r="L2180" s="19"/>
      <c r="M2180" s="19"/>
      <c r="N2180" s="20" t="s">
        <v>39</v>
      </c>
      <c r="O2180" s="19"/>
      <c r="P2180" s="19"/>
      <c r="Q2180" s="19"/>
      <c r="R2180" s="19"/>
      <c r="S2180" s="19"/>
      <c r="T2180" s="19"/>
      <c r="U2180" s="19"/>
      <c r="V2180" s="19"/>
    </row>
    <row r="2181">
      <c r="A2181" s="25"/>
      <c r="B2181" s="19"/>
      <c r="C2181" s="19"/>
      <c r="D2181" s="19"/>
      <c r="E2181" s="19"/>
      <c r="F2181" s="17" t="str">
        <f>IFERROR(__xludf.DUMMYFUNCTION("""COMPUTED_VALUE"""),"")</f>
        <v/>
      </c>
      <c r="G2181" s="20"/>
      <c r="H2181" s="19"/>
      <c r="I2181" s="19"/>
      <c r="J2181" s="19"/>
      <c r="K2181" s="19"/>
      <c r="L2181" s="19"/>
      <c r="M2181" s="19"/>
      <c r="N2181" s="20" t="s">
        <v>39</v>
      </c>
      <c r="O2181" s="19"/>
      <c r="P2181" s="19"/>
      <c r="Q2181" s="19"/>
      <c r="R2181" s="19"/>
      <c r="S2181" s="19"/>
      <c r="T2181" s="19"/>
      <c r="U2181" s="19"/>
      <c r="V2181" s="19"/>
    </row>
    <row r="2182">
      <c r="A2182" s="25"/>
      <c r="B2182" s="19"/>
      <c r="C2182" s="19"/>
      <c r="D2182" s="19"/>
      <c r="E2182" s="19"/>
      <c r="F2182" s="17" t="str">
        <f>IFERROR(__xludf.DUMMYFUNCTION("""COMPUTED_VALUE"""),"")</f>
        <v/>
      </c>
      <c r="G2182" s="20"/>
      <c r="H2182" s="19"/>
      <c r="I2182" s="19"/>
      <c r="J2182" s="19"/>
      <c r="K2182" s="19"/>
      <c r="L2182" s="19"/>
      <c r="M2182" s="19"/>
      <c r="N2182" s="20" t="s">
        <v>39</v>
      </c>
      <c r="O2182" s="19"/>
      <c r="P2182" s="19"/>
      <c r="Q2182" s="19"/>
      <c r="R2182" s="19"/>
      <c r="S2182" s="19"/>
      <c r="T2182" s="19"/>
      <c r="U2182" s="19"/>
      <c r="V2182" s="19"/>
    </row>
    <row r="2183">
      <c r="A2183" s="25"/>
      <c r="B2183" s="19"/>
      <c r="C2183" s="19"/>
      <c r="D2183" s="19"/>
      <c r="E2183" s="19"/>
      <c r="F2183" s="17" t="str">
        <f>IFERROR(__xludf.DUMMYFUNCTION("""COMPUTED_VALUE"""),"")</f>
        <v/>
      </c>
      <c r="G2183" s="20"/>
      <c r="H2183" s="19"/>
      <c r="I2183" s="19"/>
      <c r="J2183" s="19"/>
      <c r="K2183" s="19"/>
      <c r="L2183" s="19"/>
      <c r="M2183" s="19"/>
      <c r="N2183" s="20" t="s">
        <v>39</v>
      </c>
      <c r="O2183" s="19"/>
      <c r="P2183" s="19"/>
      <c r="Q2183" s="19"/>
      <c r="R2183" s="19"/>
      <c r="S2183" s="19"/>
      <c r="T2183" s="19"/>
      <c r="U2183" s="19"/>
      <c r="V2183" s="19"/>
    </row>
    <row r="2184">
      <c r="A2184" s="25"/>
      <c r="B2184" s="19"/>
      <c r="C2184" s="19"/>
      <c r="D2184" s="19"/>
      <c r="E2184" s="19"/>
      <c r="F2184" s="17" t="str">
        <f>IFERROR(__xludf.DUMMYFUNCTION("""COMPUTED_VALUE"""),"")</f>
        <v/>
      </c>
      <c r="G2184" s="20"/>
      <c r="H2184" s="19"/>
      <c r="I2184" s="19"/>
      <c r="J2184" s="19"/>
      <c r="K2184" s="19"/>
      <c r="L2184" s="19"/>
      <c r="M2184" s="19"/>
      <c r="N2184" s="20" t="s">
        <v>39</v>
      </c>
      <c r="O2184" s="19"/>
      <c r="P2184" s="19"/>
      <c r="Q2184" s="19"/>
      <c r="R2184" s="19"/>
      <c r="S2184" s="19"/>
      <c r="T2184" s="19"/>
      <c r="U2184" s="19"/>
      <c r="V2184" s="19"/>
    </row>
    <row r="2185">
      <c r="A2185" s="25"/>
      <c r="B2185" s="19"/>
      <c r="C2185" s="19"/>
      <c r="D2185" s="19"/>
      <c r="E2185" s="19"/>
      <c r="F2185" s="17" t="str">
        <f>IFERROR(__xludf.DUMMYFUNCTION("""COMPUTED_VALUE"""),"")</f>
        <v/>
      </c>
      <c r="G2185" s="20"/>
      <c r="H2185" s="19"/>
      <c r="I2185" s="19"/>
      <c r="J2185" s="19"/>
      <c r="K2185" s="19"/>
      <c r="L2185" s="19"/>
      <c r="M2185" s="19"/>
      <c r="N2185" s="20" t="s">
        <v>39</v>
      </c>
      <c r="O2185" s="19"/>
      <c r="P2185" s="19"/>
      <c r="Q2185" s="19"/>
      <c r="R2185" s="19"/>
      <c r="S2185" s="19"/>
      <c r="T2185" s="19"/>
      <c r="U2185" s="19"/>
      <c r="V2185" s="19"/>
    </row>
    <row r="2186">
      <c r="A2186" s="25"/>
      <c r="B2186" s="19"/>
      <c r="C2186" s="19"/>
      <c r="D2186" s="19"/>
      <c r="E2186" s="19"/>
      <c r="F2186" s="17" t="str">
        <f>IFERROR(__xludf.DUMMYFUNCTION("""COMPUTED_VALUE"""),"")</f>
        <v/>
      </c>
      <c r="G2186" s="20"/>
      <c r="H2186" s="19"/>
      <c r="I2186" s="19"/>
      <c r="J2186" s="19"/>
      <c r="K2186" s="19"/>
      <c r="L2186" s="19"/>
      <c r="M2186" s="19"/>
      <c r="N2186" s="20" t="s">
        <v>39</v>
      </c>
      <c r="O2186" s="19"/>
      <c r="P2186" s="19"/>
      <c r="Q2186" s="19"/>
      <c r="R2186" s="19"/>
      <c r="S2186" s="19"/>
      <c r="T2186" s="19"/>
      <c r="U2186" s="19"/>
      <c r="V2186" s="19"/>
    </row>
    <row r="2187">
      <c r="A2187" s="25"/>
      <c r="B2187" s="19"/>
      <c r="C2187" s="19"/>
      <c r="D2187" s="19"/>
      <c r="E2187" s="19"/>
      <c r="F2187" s="17" t="str">
        <f>IFERROR(__xludf.DUMMYFUNCTION("""COMPUTED_VALUE"""),"")</f>
        <v/>
      </c>
      <c r="G2187" s="20"/>
      <c r="H2187" s="19"/>
      <c r="I2187" s="19"/>
      <c r="J2187" s="19"/>
      <c r="K2187" s="19"/>
      <c r="L2187" s="19"/>
      <c r="M2187" s="19"/>
      <c r="N2187" s="20" t="s">
        <v>39</v>
      </c>
      <c r="O2187" s="19"/>
      <c r="P2187" s="19"/>
      <c r="Q2187" s="19"/>
      <c r="R2187" s="19"/>
      <c r="S2187" s="19"/>
      <c r="T2187" s="19"/>
      <c r="U2187" s="19"/>
      <c r="V2187" s="19"/>
    </row>
    <row r="2188">
      <c r="A2188" s="25"/>
      <c r="B2188" s="19"/>
      <c r="C2188" s="19"/>
      <c r="D2188" s="19"/>
      <c r="E2188" s="19"/>
      <c r="F2188" s="17" t="str">
        <f>IFERROR(__xludf.DUMMYFUNCTION("""COMPUTED_VALUE"""),"")</f>
        <v/>
      </c>
      <c r="G2188" s="20"/>
      <c r="H2188" s="19"/>
      <c r="I2188" s="19"/>
      <c r="J2188" s="19"/>
      <c r="K2188" s="19"/>
      <c r="L2188" s="19"/>
      <c r="M2188" s="19"/>
      <c r="N2188" s="20" t="s">
        <v>39</v>
      </c>
      <c r="O2188" s="19"/>
      <c r="P2188" s="19"/>
      <c r="Q2188" s="19"/>
      <c r="R2188" s="19"/>
      <c r="S2188" s="19"/>
      <c r="T2188" s="19"/>
      <c r="U2188" s="19"/>
      <c r="V2188" s="19"/>
    </row>
    <row r="2189">
      <c r="A2189" s="25"/>
      <c r="B2189" s="19"/>
      <c r="C2189" s="19"/>
      <c r="D2189" s="19"/>
      <c r="E2189" s="19"/>
      <c r="F2189" s="17" t="str">
        <f>IFERROR(__xludf.DUMMYFUNCTION("""COMPUTED_VALUE"""),"")</f>
        <v/>
      </c>
      <c r="G2189" s="20"/>
      <c r="H2189" s="19"/>
      <c r="I2189" s="19"/>
      <c r="J2189" s="19"/>
      <c r="K2189" s="19"/>
      <c r="L2189" s="19"/>
      <c r="M2189" s="19"/>
      <c r="N2189" s="20" t="s">
        <v>39</v>
      </c>
      <c r="O2189" s="19"/>
      <c r="P2189" s="19"/>
      <c r="Q2189" s="19"/>
      <c r="R2189" s="19"/>
      <c r="S2189" s="19"/>
      <c r="T2189" s="19"/>
      <c r="U2189" s="19"/>
      <c r="V2189" s="19"/>
    </row>
    <row r="2190">
      <c r="A2190" s="25"/>
      <c r="B2190" s="19"/>
      <c r="C2190" s="19"/>
      <c r="D2190" s="19"/>
      <c r="E2190" s="19"/>
      <c r="F2190" s="17" t="str">
        <f>IFERROR(__xludf.DUMMYFUNCTION("""COMPUTED_VALUE"""),"")</f>
        <v/>
      </c>
      <c r="G2190" s="20"/>
      <c r="H2190" s="19"/>
      <c r="I2190" s="19"/>
      <c r="J2190" s="19"/>
      <c r="K2190" s="19"/>
      <c r="L2190" s="19"/>
      <c r="M2190" s="19"/>
      <c r="N2190" s="20" t="s">
        <v>39</v>
      </c>
      <c r="O2190" s="19"/>
      <c r="P2190" s="19"/>
      <c r="Q2190" s="19"/>
      <c r="R2190" s="19"/>
      <c r="S2190" s="19"/>
      <c r="T2190" s="19"/>
      <c r="U2190" s="19"/>
      <c r="V2190" s="19"/>
    </row>
    <row r="2191">
      <c r="A2191" s="25"/>
      <c r="B2191" s="19"/>
      <c r="C2191" s="19"/>
      <c r="D2191" s="19"/>
      <c r="E2191" s="19"/>
      <c r="F2191" s="17" t="str">
        <f>IFERROR(__xludf.DUMMYFUNCTION("""COMPUTED_VALUE"""),"")</f>
        <v/>
      </c>
      <c r="G2191" s="20"/>
      <c r="H2191" s="19"/>
      <c r="I2191" s="19"/>
      <c r="J2191" s="19"/>
      <c r="K2191" s="19"/>
      <c r="L2191" s="19"/>
      <c r="M2191" s="19"/>
      <c r="N2191" s="20" t="s">
        <v>39</v>
      </c>
      <c r="O2191" s="19"/>
      <c r="P2191" s="19"/>
      <c r="Q2191" s="19"/>
      <c r="R2191" s="19"/>
      <c r="S2191" s="19"/>
      <c r="T2191" s="19"/>
      <c r="U2191" s="19"/>
      <c r="V2191" s="19"/>
    </row>
    <row r="2192">
      <c r="A2192" s="25"/>
      <c r="B2192" s="19"/>
      <c r="C2192" s="19"/>
      <c r="D2192" s="19"/>
      <c r="E2192" s="19"/>
      <c r="F2192" s="17" t="str">
        <f>IFERROR(__xludf.DUMMYFUNCTION("""COMPUTED_VALUE"""),"")</f>
        <v/>
      </c>
      <c r="G2192" s="20"/>
      <c r="H2192" s="19"/>
      <c r="I2192" s="19"/>
      <c r="J2192" s="19"/>
      <c r="K2192" s="19"/>
      <c r="L2192" s="19"/>
      <c r="M2192" s="19"/>
      <c r="N2192" s="20" t="s">
        <v>39</v>
      </c>
      <c r="O2192" s="19"/>
      <c r="P2192" s="19"/>
      <c r="Q2192" s="19"/>
      <c r="R2192" s="19"/>
      <c r="S2192" s="19"/>
      <c r="T2192" s="19"/>
      <c r="U2192" s="19"/>
      <c r="V2192" s="19"/>
    </row>
    <row r="2193">
      <c r="A2193" s="25"/>
      <c r="B2193" s="19"/>
      <c r="C2193" s="19"/>
      <c r="D2193" s="19"/>
      <c r="E2193" s="19"/>
      <c r="F2193" s="17" t="str">
        <f>IFERROR(__xludf.DUMMYFUNCTION("""COMPUTED_VALUE"""),"")</f>
        <v/>
      </c>
      <c r="G2193" s="20"/>
      <c r="H2193" s="19"/>
      <c r="I2193" s="19"/>
      <c r="J2193" s="19"/>
      <c r="K2193" s="19"/>
      <c r="L2193" s="19"/>
      <c r="M2193" s="19"/>
      <c r="N2193" s="20" t="s">
        <v>39</v>
      </c>
      <c r="O2193" s="19"/>
      <c r="P2193" s="19"/>
      <c r="Q2193" s="19"/>
      <c r="R2193" s="19"/>
      <c r="S2193" s="19"/>
      <c r="T2193" s="19"/>
      <c r="U2193" s="19"/>
      <c r="V2193" s="19"/>
    </row>
    <row r="2194">
      <c r="A2194" s="25"/>
      <c r="B2194" s="19"/>
      <c r="C2194" s="19"/>
      <c r="D2194" s="19"/>
      <c r="E2194" s="19"/>
      <c r="F2194" s="17" t="str">
        <f>IFERROR(__xludf.DUMMYFUNCTION("""COMPUTED_VALUE"""),"")</f>
        <v/>
      </c>
      <c r="G2194" s="20"/>
      <c r="H2194" s="19"/>
      <c r="I2194" s="19"/>
      <c r="J2194" s="19"/>
      <c r="K2194" s="19"/>
      <c r="L2194" s="19"/>
      <c r="M2194" s="19"/>
      <c r="N2194" s="20" t="s">
        <v>39</v>
      </c>
      <c r="O2194" s="19"/>
      <c r="P2194" s="19"/>
      <c r="Q2194" s="19"/>
      <c r="R2194" s="19"/>
      <c r="S2194" s="19"/>
      <c r="T2194" s="19"/>
      <c r="U2194" s="19"/>
      <c r="V2194" s="19"/>
    </row>
    <row r="2195">
      <c r="A2195" s="25"/>
      <c r="B2195" s="19"/>
      <c r="C2195" s="19"/>
      <c r="D2195" s="19"/>
      <c r="E2195" s="19"/>
      <c r="F2195" s="17" t="str">
        <f>IFERROR(__xludf.DUMMYFUNCTION("""COMPUTED_VALUE"""),"")</f>
        <v/>
      </c>
      <c r="G2195" s="20"/>
      <c r="H2195" s="19"/>
      <c r="I2195" s="19"/>
      <c r="J2195" s="19"/>
      <c r="K2195" s="19"/>
      <c r="L2195" s="19"/>
      <c r="M2195" s="19"/>
      <c r="N2195" s="20" t="s">
        <v>39</v>
      </c>
      <c r="O2195" s="19"/>
      <c r="P2195" s="19"/>
      <c r="Q2195" s="19"/>
      <c r="R2195" s="19"/>
      <c r="S2195" s="19"/>
      <c r="T2195" s="19"/>
      <c r="U2195" s="19"/>
      <c r="V2195" s="19"/>
    </row>
    <row r="2196">
      <c r="A2196" s="25"/>
      <c r="B2196" s="19"/>
      <c r="C2196" s="19"/>
      <c r="D2196" s="19"/>
      <c r="E2196" s="19"/>
      <c r="F2196" s="17" t="str">
        <f>IFERROR(__xludf.DUMMYFUNCTION("""COMPUTED_VALUE"""),"")</f>
        <v/>
      </c>
      <c r="G2196" s="20"/>
      <c r="H2196" s="19"/>
      <c r="I2196" s="19"/>
      <c r="J2196" s="19"/>
      <c r="K2196" s="19"/>
      <c r="L2196" s="19"/>
      <c r="M2196" s="19"/>
      <c r="N2196" s="20" t="s">
        <v>39</v>
      </c>
      <c r="O2196" s="19"/>
      <c r="P2196" s="19"/>
      <c r="Q2196" s="19"/>
      <c r="R2196" s="19"/>
      <c r="S2196" s="19"/>
      <c r="T2196" s="19"/>
      <c r="U2196" s="19"/>
      <c r="V2196" s="19"/>
    </row>
    <row r="2197">
      <c r="A2197" s="25"/>
      <c r="B2197" s="19"/>
      <c r="C2197" s="19"/>
      <c r="D2197" s="19"/>
      <c r="E2197" s="19"/>
      <c r="F2197" s="17" t="str">
        <f>IFERROR(__xludf.DUMMYFUNCTION("""COMPUTED_VALUE"""),"")</f>
        <v/>
      </c>
      <c r="G2197" s="20"/>
      <c r="H2197" s="19"/>
      <c r="I2197" s="19"/>
      <c r="J2197" s="19"/>
      <c r="K2197" s="19"/>
      <c r="L2197" s="19"/>
      <c r="M2197" s="19"/>
      <c r="N2197" s="20" t="s">
        <v>39</v>
      </c>
      <c r="O2197" s="19"/>
      <c r="P2197" s="19"/>
      <c r="Q2197" s="19"/>
      <c r="R2197" s="19"/>
      <c r="S2197" s="19"/>
      <c r="T2197" s="19"/>
      <c r="U2197" s="19"/>
      <c r="V2197" s="19"/>
    </row>
    <row r="2198">
      <c r="A2198" s="25"/>
      <c r="B2198" s="19"/>
      <c r="C2198" s="19"/>
      <c r="D2198" s="19"/>
      <c r="E2198" s="19"/>
      <c r="F2198" s="17" t="str">
        <f>IFERROR(__xludf.DUMMYFUNCTION("""COMPUTED_VALUE"""),"")</f>
        <v/>
      </c>
      <c r="G2198" s="20"/>
      <c r="H2198" s="19"/>
      <c r="I2198" s="19"/>
      <c r="J2198" s="19"/>
      <c r="K2198" s="19"/>
      <c r="L2198" s="19"/>
      <c r="M2198" s="19"/>
      <c r="N2198" s="20" t="s">
        <v>39</v>
      </c>
      <c r="O2198" s="19"/>
      <c r="P2198" s="19"/>
      <c r="Q2198" s="19"/>
      <c r="R2198" s="19"/>
      <c r="S2198" s="19"/>
      <c r="T2198" s="19"/>
      <c r="U2198" s="19"/>
      <c r="V2198" s="19"/>
    </row>
    <row r="2199">
      <c r="A2199" s="25"/>
      <c r="B2199" s="19"/>
      <c r="C2199" s="19"/>
      <c r="D2199" s="19"/>
      <c r="E2199" s="19"/>
      <c r="F2199" s="17" t="str">
        <f>IFERROR(__xludf.DUMMYFUNCTION("""COMPUTED_VALUE"""),"")</f>
        <v/>
      </c>
      <c r="G2199" s="20"/>
      <c r="H2199" s="19"/>
      <c r="I2199" s="19"/>
      <c r="J2199" s="19"/>
      <c r="K2199" s="19"/>
      <c r="L2199" s="19"/>
      <c r="M2199" s="19"/>
      <c r="N2199" s="20" t="s">
        <v>39</v>
      </c>
      <c r="O2199" s="19"/>
      <c r="P2199" s="19"/>
      <c r="Q2199" s="19"/>
      <c r="R2199" s="19"/>
      <c r="S2199" s="19"/>
      <c r="T2199" s="19"/>
      <c r="U2199" s="19"/>
      <c r="V2199" s="19"/>
    </row>
    <row r="2200">
      <c r="A2200" s="25"/>
      <c r="B2200" s="19"/>
      <c r="C2200" s="19"/>
      <c r="D2200" s="19"/>
      <c r="E2200" s="19"/>
      <c r="F2200" s="17" t="str">
        <f>IFERROR(__xludf.DUMMYFUNCTION("""COMPUTED_VALUE"""),"")</f>
        <v/>
      </c>
      <c r="G2200" s="20"/>
      <c r="H2200" s="19"/>
      <c r="I2200" s="19"/>
      <c r="J2200" s="19"/>
      <c r="K2200" s="19"/>
      <c r="L2200" s="19"/>
      <c r="M2200" s="19"/>
      <c r="N2200" s="20" t="s">
        <v>39</v>
      </c>
      <c r="O2200" s="19"/>
      <c r="P2200" s="19"/>
      <c r="Q2200" s="19"/>
      <c r="R2200" s="19"/>
      <c r="S2200" s="19"/>
      <c r="T2200" s="19"/>
      <c r="U2200" s="19"/>
      <c r="V2200" s="19"/>
    </row>
    <row r="2201">
      <c r="A2201" s="25"/>
      <c r="B2201" s="19"/>
      <c r="C2201" s="19"/>
      <c r="D2201" s="19"/>
      <c r="E2201" s="19"/>
      <c r="F2201" s="17" t="str">
        <f>IFERROR(__xludf.DUMMYFUNCTION("""COMPUTED_VALUE"""),"")</f>
        <v/>
      </c>
      <c r="G2201" s="20"/>
      <c r="H2201" s="19"/>
      <c r="I2201" s="19"/>
      <c r="J2201" s="19"/>
      <c r="K2201" s="19"/>
      <c r="L2201" s="19"/>
      <c r="M2201" s="19"/>
      <c r="N2201" s="20" t="s">
        <v>39</v>
      </c>
      <c r="O2201" s="19"/>
      <c r="P2201" s="19"/>
      <c r="Q2201" s="19"/>
      <c r="R2201" s="19"/>
      <c r="S2201" s="19"/>
      <c r="T2201" s="19"/>
      <c r="U2201" s="19"/>
      <c r="V2201" s="19"/>
    </row>
    <row r="2202">
      <c r="A2202" s="25"/>
      <c r="B2202" s="19"/>
      <c r="C2202" s="19"/>
      <c r="D2202" s="19"/>
      <c r="E2202" s="19"/>
      <c r="F2202" s="17" t="str">
        <f>IFERROR(__xludf.DUMMYFUNCTION("""COMPUTED_VALUE"""),"")</f>
        <v/>
      </c>
      <c r="G2202" s="20"/>
      <c r="H2202" s="19"/>
      <c r="I2202" s="19"/>
      <c r="J2202" s="19"/>
      <c r="K2202" s="19"/>
      <c r="L2202" s="19"/>
      <c r="M2202" s="19"/>
      <c r="N2202" s="20" t="s">
        <v>39</v>
      </c>
      <c r="O2202" s="19"/>
      <c r="P2202" s="19"/>
      <c r="Q2202" s="19"/>
      <c r="R2202" s="19"/>
      <c r="S2202" s="19"/>
      <c r="T2202" s="19"/>
      <c r="U2202" s="19"/>
      <c r="V2202" s="19"/>
    </row>
    <row r="2203">
      <c r="A2203" s="25"/>
      <c r="B2203" s="19"/>
      <c r="C2203" s="19"/>
      <c r="D2203" s="19"/>
      <c r="E2203" s="19"/>
      <c r="F2203" s="17" t="str">
        <f>IFERROR(__xludf.DUMMYFUNCTION("""COMPUTED_VALUE"""),"")</f>
        <v/>
      </c>
      <c r="G2203" s="20"/>
      <c r="H2203" s="19"/>
      <c r="I2203" s="19"/>
      <c r="J2203" s="19"/>
      <c r="K2203" s="19"/>
      <c r="L2203" s="19"/>
      <c r="M2203" s="19"/>
      <c r="N2203" s="20" t="s">
        <v>39</v>
      </c>
      <c r="O2203" s="19"/>
      <c r="P2203" s="19"/>
      <c r="Q2203" s="19"/>
      <c r="R2203" s="19"/>
      <c r="S2203" s="19"/>
      <c r="T2203" s="19"/>
      <c r="U2203" s="19"/>
      <c r="V2203" s="19"/>
    </row>
    <row r="2204">
      <c r="A2204" s="25"/>
      <c r="B2204" s="19"/>
      <c r="C2204" s="19"/>
      <c r="D2204" s="19"/>
      <c r="E2204" s="19"/>
      <c r="F2204" s="17" t="str">
        <f>IFERROR(__xludf.DUMMYFUNCTION("""COMPUTED_VALUE"""),"")</f>
        <v/>
      </c>
      <c r="G2204" s="20"/>
      <c r="H2204" s="19"/>
      <c r="I2204" s="19"/>
      <c r="J2204" s="19"/>
      <c r="K2204" s="19"/>
      <c r="L2204" s="19"/>
      <c r="M2204" s="19"/>
      <c r="N2204" s="20" t="s">
        <v>39</v>
      </c>
      <c r="O2204" s="19"/>
      <c r="P2204" s="19"/>
      <c r="Q2204" s="19"/>
      <c r="R2204" s="19"/>
      <c r="S2204" s="19"/>
      <c r="T2204" s="19"/>
      <c r="U2204" s="19"/>
      <c r="V2204" s="19"/>
    </row>
    <row r="2205">
      <c r="A2205" s="25"/>
      <c r="B2205" s="19"/>
      <c r="C2205" s="19"/>
      <c r="D2205" s="19"/>
      <c r="E2205" s="19"/>
      <c r="F2205" s="17" t="str">
        <f>IFERROR(__xludf.DUMMYFUNCTION("""COMPUTED_VALUE"""),"")</f>
        <v/>
      </c>
      <c r="G2205" s="20"/>
      <c r="H2205" s="19"/>
      <c r="I2205" s="19"/>
      <c r="J2205" s="19"/>
      <c r="K2205" s="19"/>
      <c r="L2205" s="19"/>
      <c r="M2205" s="19"/>
      <c r="N2205" s="20" t="s">
        <v>39</v>
      </c>
      <c r="O2205" s="19"/>
      <c r="P2205" s="19"/>
      <c r="Q2205" s="19"/>
      <c r="R2205" s="19"/>
      <c r="S2205" s="19"/>
      <c r="T2205" s="19"/>
      <c r="U2205" s="19"/>
      <c r="V2205" s="19"/>
    </row>
    <row r="2206">
      <c r="A2206" s="25"/>
      <c r="B2206" s="19"/>
      <c r="C2206" s="19"/>
      <c r="D2206" s="19"/>
      <c r="E2206" s="19"/>
      <c r="F2206" s="17" t="str">
        <f>IFERROR(__xludf.DUMMYFUNCTION("""COMPUTED_VALUE"""),"")</f>
        <v/>
      </c>
      <c r="G2206" s="20"/>
      <c r="H2206" s="19"/>
      <c r="I2206" s="19"/>
      <c r="J2206" s="19"/>
      <c r="K2206" s="19"/>
      <c r="L2206" s="19"/>
      <c r="M2206" s="19"/>
      <c r="N2206" s="20" t="s">
        <v>39</v>
      </c>
      <c r="O2206" s="19"/>
      <c r="P2206" s="19"/>
      <c r="Q2206" s="19"/>
      <c r="R2206" s="19"/>
      <c r="S2206" s="19"/>
      <c r="T2206" s="19"/>
      <c r="U2206" s="19"/>
      <c r="V2206" s="19"/>
    </row>
    <row r="2207">
      <c r="A2207" s="25"/>
      <c r="B2207" s="19"/>
      <c r="C2207" s="19"/>
      <c r="D2207" s="19"/>
      <c r="E2207" s="19"/>
      <c r="F2207" s="17" t="str">
        <f>IFERROR(__xludf.DUMMYFUNCTION("""COMPUTED_VALUE"""),"")</f>
        <v/>
      </c>
      <c r="G2207" s="20"/>
      <c r="H2207" s="19"/>
      <c r="I2207" s="19"/>
      <c r="J2207" s="19"/>
      <c r="K2207" s="19"/>
      <c r="L2207" s="19"/>
      <c r="M2207" s="19"/>
      <c r="N2207" s="20" t="s">
        <v>39</v>
      </c>
      <c r="O2207" s="19"/>
      <c r="P2207" s="19"/>
      <c r="Q2207" s="19"/>
      <c r="R2207" s="19"/>
      <c r="S2207" s="19"/>
      <c r="T2207" s="19"/>
      <c r="U2207" s="19"/>
      <c r="V2207" s="19"/>
    </row>
    <row r="2208">
      <c r="A2208" s="25"/>
      <c r="B2208" s="19"/>
      <c r="C2208" s="19"/>
      <c r="D2208" s="19"/>
      <c r="E2208" s="19"/>
      <c r="F2208" s="17" t="str">
        <f>IFERROR(__xludf.DUMMYFUNCTION("""COMPUTED_VALUE"""),"")</f>
        <v/>
      </c>
      <c r="G2208" s="20"/>
      <c r="H2208" s="19"/>
      <c r="I2208" s="19"/>
      <c r="J2208" s="19"/>
      <c r="K2208" s="19"/>
      <c r="L2208" s="19"/>
      <c r="M2208" s="19"/>
      <c r="N2208" s="20" t="s">
        <v>39</v>
      </c>
      <c r="O2208" s="19"/>
      <c r="P2208" s="19"/>
      <c r="Q2208" s="19"/>
      <c r="R2208" s="19"/>
      <c r="S2208" s="19"/>
      <c r="T2208" s="19"/>
      <c r="U2208" s="19"/>
      <c r="V2208" s="19"/>
    </row>
    <row r="2209">
      <c r="A2209" s="25"/>
      <c r="B2209" s="19"/>
      <c r="C2209" s="19"/>
      <c r="D2209" s="19"/>
      <c r="E2209" s="19"/>
      <c r="F2209" s="17" t="str">
        <f>IFERROR(__xludf.DUMMYFUNCTION("""COMPUTED_VALUE"""),"")</f>
        <v/>
      </c>
      <c r="G2209" s="20"/>
      <c r="H2209" s="19"/>
      <c r="I2209" s="19"/>
      <c r="J2209" s="19"/>
      <c r="K2209" s="19"/>
      <c r="L2209" s="19"/>
      <c r="M2209" s="19"/>
      <c r="N2209" s="20" t="s">
        <v>39</v>
      </c>
      <c r="O2209" s="19"/>
      <c r="P2209" s="19"/>
      <c r="Q2209" s="19"/>
      <c r="R2209" s="19"/>
      <c r="S2209" s="19"/>
      <c r="T2209" s="19"/>
      <c r="U2209" s="19"/>
      <c r="V2209" s="19"/>
    </row>
    <row r="2210">
      <c r="A2210" s="25"/>
      <c r="B2210" s="19"/>
      <c r="C2210" s="19"/>
      <c r="D2210" s="19"/>
      <c r="E2210" s="19"/>
      <c r="F2210" s="17" t="str">
        <f>IFERROR(__xludf.DUMMYFUNCTION("""COMPUTED_VALUE"""),"")</f>
        <v/>
      </c>
      <c r="G2210" s="20"/>
      <c r="H2210" s="19"/>
      <c r="I2210" s="19"/>
      <c r="J2210" s="19"/>
      <c r="K2210" s="19"/>
      <c r="L2210" s="19"/>
      <c r="M2210" s="19"/>
      <c r="N2210" s="20" t="s">
        <v>39</v>
      </c>
      <c r="O2210" s="19"/>
      <c r="P2210" s="19"/>
      <c r="Q2210" s="19"/>
      <c r="R2210" s="19"/>
      <c r="S2210" s="19"/>
      <c r="T2210" s="19"/>
      <c r="U2210" s="19"/>
      <c r="V2210" s="19"/>
    </row>
    <row r="2211">
      <c r="A2211" s="25"/>
      <c r="B2211" s="19"/>
      <c r="C2211" s="19"/>
      <c r="D2211" s="19"/>
      <c r="E2211" s="19"/>
      <c r="F2211" s="17" t="str">
        <f>IFERROR(__xludf.DUMMYFUNCTION("""COMPUTED_VALUE"""),"")</f>
        <v/>
      </c>
      <c r="G2211" s="20"/>
      <c r="H2211" s="19"/>
      <c r="I2211" s="19"/>
      <c r="J2211" s="19"/>
      <c r="K2211" s="19"/>
      <c r="L2211" s="19"/>
      <c r="M2211" s="19"/>
      <c r="N2211" s="20" t="s">
        <v>39</v>
      </c>
      <c r="O2211" s="19"/>
      <c r="P2211" s="19"/>
      <c r="Q2211" s="19"/>
      <c r="R2211" s="19"/>
      <c r="S2211" s="19"/>
      <c r="T2211" s="19"/>
      <c r="U2211" s="19"/>
      <c r="V2211" s="19"/>
    </row>
    <row r="2212">
      <c r="A2212" s="25"/>
      <c r="B2212" s="19"/>
      <c r="C2212" s="19"/>
      <c r="D2212" s="19"/>
      <c r="E2212" s="19"/>
      <c r="F2212" s="17" t="str">
        <f>IFERROR(__xludf.DUMMYFUNCTION("""COMPUTED_VALUE"""),"")</f>
        <v/>
      </c>
      <c r="G2212" s="20"/>
      <c r="H2212" s="19"/>
      <c r="I2212" s="19"/>
      <c r="J2212" s="19"/>
      <c r="K2212" s="19"/>
      <c r="L2212" s="19"/>
      <c r="M2212" s="19"/>
      <c r="N2212" s="20" t="s">
        <v>39</v>
      </c>
      <c r="O2212" s="19"/>
      <c r="P2212" s="19"/>
      <c r="Q2212" s="19"/>
      <c r="R2212" s="19"/>
      <c r="S2212" s="19"/>
      <c r="T2212" s="19"/>
      <c r="U2212" s="19"/>
      <c r="V2212" s="19"/>
    </row>
    <row r="2213">
      <c r="A2213" s="25"/>
      <c r="B2213" s="19"/>
      <c r="C2213" s="19"/>
      <c r="D2213" s="19"/>
      <c r="E2213" s="19"/>
      <c r="F2213" s="17" t="str">
        <f>IFERROR(__xludf.DUMMYFUNCTION("""COMPUTED_VALUE"""),"")</f>
        <v/>
      </c>
      <c r="G2213" s="20"/>
      <c r="H2213" s="19"/>
      <c r="I2213" s="19"/>
      <c r="J2213" s="19"/>
      <c r="K2213" s="19"/>
      <c r="L2213" s="19"/>
      <c r="M2213" s="19"/>
      <c r="N2213" s="20" t="s">
        <v>39</v>
      </c>
      <c r="O2213" s="19"/>
      <c r="P2213" s="19"/>
      <c r="Q2213" s="19"/>
      <c r="R2213" s="19"/>
      <c r="S2213" s="19"/>
      <c r="T2213" s="19"/>
      <c r="U2213" s="19"/>
      <c r="V2213" s="19"/>
    </row>
    <row r="2214">
      <c r="A2214" s="25"/>
      <c r="B2214" s="19"/>
      <c r="C2214" s="19"/>
      <c r="D2214" s="19"/>
      <c r="E2214" s="19"/>
      <c r="F2214" s="17" t="str">
        <f>IFERROR(__xludf.DUMMYFUNCTION("""COMPUTED_VALUE"""),"")</f>
        <v/>
      </c>
      <c r="G2214" s="20"/>
      <c r="H2214" s="19"/>
      <c r="I2214" s="19"/>
      <c r="J2214" s="19"/>
      <c r="K2214" s="19"/>
      <c r="L2214" s="19"/>
      <c r="M2214" s="19"/>
      <c r="N2214" s="20" t="s">
        <v>39</v>
      </c>
      <c r="O2214" s="19"/>
      <c r="P2214" s="19"/>
      <c r="Q2214" s="19"/>
      <c r="R2214" s="19"/>
      <c r="S2214" s="19"/>
      <c r="T2214" s="19"/>
      <c r="U2214" s="19"/>
      <c r="V2214" s="19"/>
    </row>
    <row r="2215">
      <c r="A2215" s="25"/>
      <c r="B2215" s="19"/>
      <c r="C2215" s="19"/>
      <c r="D2215" s="19"/>
      <c r="E2215" s="19"/>
      <c r="F2215" s="17" t="str">
        <f>IFERROR(__xludf.DUMMYFUNCTION("""COMPUTED_VALUE"""),"")</f>
        <v/>
      </c>
      <c r="G2215" s="20"/>
      <c r="H2215" s="19"/>
      <c r="I2215" s="19"/>
      <c r="J2215" s="19"/>
      <c r="K2215" s="19"/>
      <c r="L2215" s="19"/>
      <c r="M2215" s="19"/>
      <c r="N2215" s="20" t="s">
        <v>39</v>
      </c>
      <c r="O2215" s="19"/>
      <c r="P2215" s="19"/>
      <c r="Q2215" s="19"/>
      <c r="R2215" s="19"/>
      <c r="S2215" s="19"/>
      <c r="T2215" s="19"/>
      <c r="U2215" s="19"/>
      <c r="V2215" s="19"/>
    </row>
    <row r="2216">
      <c r="A2216" s="25"/>
      <c r="B2216" s="19"/>
      <c r="C2216" s="19"/>
      <c r="D2216" s="19"/>
      <c r="E2216" s="19"/>
      <c r="F2216" s="17" t="str">
        <f>IFERROR(__xludf.DUMMYFUNCTION("""COMPUTED_VALUE"""),"")</f>
        <v/>
      </c>
      <c r="G2216" s="20"/>
      <c r="H2216" s="19"/>
      <c r="I2216" s="19"/>
      <c r="J2216" s="19"/>
      <c r="K2216" s="19"/>
      <c r="L2216" s="19"/>
      <c r="M2216" s="19"/>
      <c r="N2216" s="20" t="s">
        <v>39</v>
      </c>
      <c r="O2216" s="19"/>
      <c r="P2216" s="19"/>
      <c r="Q2216" s="19"/>
      <c r="R2216" s="19"/>
      <c r="S2216" s="19"/>
      <c r="T2216" s="19"/>
      <c r="U2216" s="19"/>
      <c r="V2216" s="19"/>
    </row>
    <row r="2217">
      <c r="A2217" s="25"/>
      <c r="B2217" s="19"/>
      <c r="C2217" s="19"/>
      <c r="D2217" s="19"/>
      <c r="E2217" s="19"/>
      <c r="F2217" s="17" t="str">
        <f>IFERROR(__xludf.DUMMYFUNCTION("""COMPUTED_VALUE"""),"")</f>
        <v/>
      </c>
      <c r="G2217" s="20"/>
      <c r="H2217" s="19"/>
      <c r="I2217" s="19"/>
      <c r="J2217" s="19"/>
      <c r="K2217" s="19"/>
      <c r="L2217" s="19"/>
      <c r="M2217" s="19"/>
      <c r="N2217" s="20" t="s">
        <v>39</v>
      </c>
      <c r="O2217" s="19"/>
      <c r="P2217" s="19"/>
      <c r="Q2217" s="19"/>
      <c r="R2217" s="19"/>
      <c r="S2217" s="19"/>
      <c r="T2217" s="19"/>
      <c r="U2217" s="19"/>
      <c r="V2217" s="19"/>
    </row>
    <row r="2218">
      <c r="A2218" s="25"/>
      <c r="B2218" s="19"/>
      <c r="C2218" s="19"/>
      <c r="D2218" s="19"/>
      <c r="E2218" s="19"/>
      <c r="F2218" s="17" t="str">
        <f>IFERROR(__xludf.DUMMYFUNCTION("""COMPUTED_VALUE"""),"")</f>
        <v/>
      </c>
      <c r="G2218" s="20"/>
      <c r="H2218" s="19"/>
      <c r="I2218" s="19"/>
      <c r="J2218" s="19"/>
      <c r="K2218" s="19"/>
      <c r="L2218" s="19"/>
      <c r="M2218" s="19"/>
      <c r="N2218" s="20" t="s">
        <v>39</v>
      </c>
      <c r="O2218" s="19"/>
      <c r="P2218" s="19"/>
      <c r="Q2218" s="19"/>
      <c r="R2218" s="19"/>
      <c r="S2218" s="19"/>
      <c r="T2218" s="19"/>
      <c r="U2218" s="19"/>
      <c r="V2218" s="19"/>
    </row>
    <row r="2219">
      <c r="A2219" s="25"/>
      <c r="B2219" s="19"/>
      <c r="C2219" s="19"/>
      <c r="D2219" s="19"/>
      <c r="E2219" s="19"/>
      <c r="F2219" s="17" t="str">
        <f>IFERROR(__xludf.DUMMYFUNCTION("""COMPUTED_VALUE"""),"")</f>
        <v/>
      </c>
      <c r="G2219" s="20"/>
      <c r="H2219" s="19"/>
      <c r="I2219" s="19"/>
      <c r="J2219" s="19"/>
      <c r="K2219" s="19"/>
      <c r="L2219" s="19"/>
      <c r="M2219" s="19"/>
      <c r="N2219" s="20" t="s">
        <v>39</v>
      </c>
      <c r="O2219" s="19"/>
      <c r="P2219" s="19"/>
      <c r="Q2219" s="19"/>
      <c r="R2219" s="19"/>
      <c r="S2219" s="19"/>
      <c r="T2219" s="19"/>
      <c r="U2219" s="19"/>
      <c r="V2219" s="19"/>
    </row>
    <row r="2220">
      <c r="A2220" s="25"/>
      <c r="B2220" s="19"/>
      <c r="C2220" s="19"/>
      <c r="D2220" s="19"/>
      <c r="E2220" s="19"/>
      <c r="F2220" s="17" t="str">
        <f>IFERROR(__xludf.DUMMYFUNCTION("""COMPUTED_VALUE"""),"")</f>
        <v/>
      </c>
      <c r="G2220" s="20"/>
      <c r="H2220" s="19"/>
      <c r="I2220" s="19"/>
      <c r="J2220" s="19"/>
      <c r="K2220" s="19"/>
      <c r="L2220" s="19"/>
      <c r="M2220" s="19"/>
      <c r="N2220" s="20" t="s">
        <v>39</v>
      </c>
      <c r="O2220" s="19"/>
      <c r="P2220" s="19"/>
      <c r="Q2220" s="19"/>
      <c r="R2220" s="19"/>
      <c r="S2220" s="19"/>
      <c r="T2220" s="19"/>
      <c r="U2220" s="19"/>
      <c r="V2220" s="19"/>
    </row>
    <row r="2221">
      <c r="A2221" s="25"/>
      <c r="B2221" s="19"/>
      <c r="C2221" s="19"/>
      <c r="D2221" s="19"/>
      <c r="E2221" s="19"/>
      <c r="F2221" s="17" t="str">
        <f>IFERROR(__xludf.DUMMYFUNCTION("""COMPUTED_VALUE"""),"")</f>
        <v/>
      </c>
      <c r="G2221" s="20"/>
      <c r="H2221" s="19"/>
      <c r="I2221" s="19"/>
      <c r="J2221" s="19"/>
      <c r="K2221" s="19"/>
      <c r="L2221" s="19"/>
      <c r="M2221" s="19"/>
      <c r="N2221" s="20" t="s">
        <v>39</v>
      </c>
      <c r="O2221" s="19"/>
      <c r="P2221" s="19"/>
      <c r="Q2221" s="19"/>
      <c r="R2221" s="19"/>
      <c r="S2221" s="19"/>
      <c r="T2221" s="19"/>
      <c r="U2221" s="19"/>
      <c r="V2221" s="19"/>
    </row>
    <row r="2222">
      <c r="A2222" s="25"/>
      <c r="B2222" s="19"/>
      <c r="C2222" s="19"/>
      <c r="D2222" s="19"/>
      <c r="E2222" s="19"/>
      <c r="F2222" s="17" t="str">
        <f>IFERROR(__xludf.DUMMYFUNCTION("""COMPUTED_VALUE"""),"")</f>
        <v/>
      </c>
      <c r="G2222" s="20"/>
      <c r="H2222" s="19"/>
      <c r="I2222" s="19"/>
      <c r="J2222" s="19"/>
      <c r="K2222" s="19"/>
      <c r="L2222" s="19"/>
      <c r="M2222" s="19"/>
      <c r="N2222" s="20" t="s">
        <v>39</v>
      </c>
      <c r="O2222" s="19"/>
      <c r="P2222" s="19"/>
      <c r="Q2222" s="19"/>
      <c r="R2222" s="19"/>
      <c r="S2222" s="19"/>
      <c r="T2222" s="19"/>
      <c r="U2222" s="19"/>
      <c r="V2222" s="19"/>
    </row>
    <row r="2223">
      <c r="A2223" s="25"/>
      <c r="B2223" s="19"/>
      <c r="C2223" s="19"/>
      <c r="D2223" s="19"/>
      <c r="E2223" s="19"/>
      <c r="F2223" s="17" t="str">
        <f>IFERROR(__xludf.DUMMYFUNCTION("""COMPUTED_VALUE"""),"")</f>
        <v/>
      </c>
      <c r="G2223" s="20"/>
      <c r="H2223" s="19"/>
      <c r="I2223" s="19"/>
      <c r="J2223" s="19"/>
      <c r="K2223" s="19"/>
      <c r="L2223" s="19"/>
      <c r="M2223" s="19"/>
      <c r="N2223" s="20" t="s">
        <v>39</v>
      </c>
      <c r="O2223" s="19"/>
      <c r="P2223" s="19"/>
      <c r="Q2223" s="19"/>
      <c r="R2223" s="19"/>
      <c r="S2223" s="19"/>
      <c r="T2223" s="19"/>
      <c r="U2223" s="19"/>
      <c r="V2223" s="19"/>
    </row>
    <row r="2224">
      <c r="A2224" s="25"/>
      <c r="B2224" s="19"/>
      <c r="C2224" s="19"/>
      <c r="D2224" s="19"/>
      <c r="E2224" s="19"/>
      <c r="F2224" s="17" t="str">
        <f>IFERROR(__xludf.DUMMYFUNCTION("""COMPUTED_VALUE"""),"")</f>
        <v/>
      </c>
      <c r="G2224" s="20"/>
      <c r="H2224" s="19"/>
      <c r="I2224" s="19"/>
      <c r="J2224" s="19"/>
      <c r="K2224" s="19"/>
      <c r="L2224" s="19"/>
      <c r="M2224" s="19"/>
      <c r="N2224" s="20" t="s">
        <v>39</v>
      </c>
      <c r="O2224" s="19"/>
      <c r="P2224" s="19"/>
      <c r="Q2224" s="19"/>
      <c r="R2224" s="19"/>
      <c r="S2224" s="19"/>
      <c r="T2224" s="19"/>
      <c r="U2224" s="19"/>
      <c r="V2224" s="19"/>
    </row>
    <row r="2225">
      <c r="A2225" s="25"/>
      <c r="B2225" s="19"/>
      <c r="C2225" s="19"/>
      <c r="D2225" s="19"/>
      <c r="E2225" s="19"/>
      <c r="F2225" s="17" t="str">
        <f>IFERROR(__xludf.DUMMYFUNCTION("""COMPUTED_VALUE"""),"")</f>
        <v/>
      </c>
      <c r="G2225" s="20"/>
      <c r="H2225" s="19"/>
      <c r="I2225" s="19"/>
      <c r="J2225" s="19"/>
      <c r="K2225" s="19"/>
      <c r="L2225" s="19"/>
      <c r="M2225" s="19"/>
      <c r="N2225" s="20" t="s">
        <v>39</v>
      </c>
      <c r="O2225" s="19"/>
      <c r="P2225" s="19"/>
      <c r="Q2225" s="19"/>
      <c r="R2225" s="19"/>
      <c r="S2225" s="19"/>
      <c r="T2225" s="19"/>
      <c r="U2225" s="19"/>
      <c r="V2225" s="19"/>
    </row>
    <row r="2226">
      <c r="A2226" s="25"/>
      <c r="B2226" s="19"/>
      <c r="C2226" s="19"/>
      <c r="D2226" s="19"/>
      <c r="E2226" s="19"/>
      <c r="F2226" s="17" t="str">
        <f>IFERROR(__xludf.DUMMYFUNCTION("""COMPUTED_VALUE"""),"")</f>
        <v/>
      </c>
      <c r="G2226" s="20"/>
      <c r="H2226" s="19"/>
      <c r="I2226" s="19"/>
      <c r="J2226" s="19"/>
      <c r="K2226" s="19"/>
      <c r="L2226" s="19"/>
      <c r="M2226" s="19"/>
      <c r="N2226" s="20" t="s">
        <v>39</v>
      </c>
      <c r="O2226" s="19"/>
      <c r="P2226" s="19"/>
      <c r="Q2226" s="19"/>
      <c r="R2226" s="19"/>
      <c r="S2226" s="19"/>
      <c r="T2226" s="19"/>
      <c r="U2226" s="19"/>
      <c r="V2226" s="19"/>
    </row>
    <row r="2227">
      <c r="A2227" s="25"/>
      <c r="B2227" s="19"/>
      <c r="C2227" s="19"/>
      <c r="D2227" s="19"/>
      <c r="E2227" s="19"/>
      <c r="F2227" s="17" t="str">
        <f>IFERROR(__xludf.DUMMYFUNCTION("""COMPUTED_VALUE"""),"")</f>
        <v/>
      </c>
      <c r="G2227" s="20"/>
      <c r="H2227" s="19"/>
      <c r="I2227" s="19"/>
      <c r="J2227" s="19"/>
      <c r="K2227" s="19"/>
      <c r="L2227" s="19"/>
      <c r="M2227" s="19"/>
      <c r="N2227" s="20" t="s">
        <v>39</v>
      </c>
      <c r="O2227" s="19"/>
      <c r="P2227" s="19"/>
      <c r="Q2227" s="19"/>
      <c r="R2227" s="19"/>
      <c r="S2227" s="19"/>
      <c r="T2227" s="19"/>
      <c r="U2227" s="19"/>
      <c r="V2227" s="19"/>
    </row>
    <row r="2228">
      <c r="A2228" s="25"/>
      <c r="B2228" s="19"/>
      <c r="C2228" s="19"/>
      <c r="D2228" s="19"/>
      <c r="E2228" s="19"/>
      <c r="F2228" s="17" t="str">
        <f>IFERROR(__xludf.DUMMYFUNCTION("""COMPUTED_VALUE"""),"")</f>
        <v/>
      </c>
      <c r="G2228" s="20"/>
      <c r="H2228" s="19"/>
      <c r="I2228" s="19"/>
      <c r="J2228" s="19"/>
      <c r="K2228" s="19"/>
      <c r="L2228" s="19"/>
      <c r="M2228" s="19"/>
      <c r="N2228" s="20" t="s">
        <v>39</v>
      </c>
      <c r="O2228" s="19"/>
      <c r="P2228" s="19"/>
      <c r="Q2228" s="19"/>
      <c r="R2228" s="19"/>
      <c r="S2228" s="19"/>
      <c r="T2228" s="19"/>
      <c r="U2228" s="19"/>
      <c r="V2228" s="19"/>
    </row>
    <row r="2229">
      <c r="A2229" s="25"/>
      <c r="B2229" s="19"/>
      <c r="C2229" s="19"/>
      <c r="D2229" s="19"/>
      <c r="E2229" s="19"/>
      <c r="F2229" s="17" t="str">
        <f>IFERROR(__xludf.DUMMYFUNCTION("""COMPUTED_VALUE"""),"")</f>
        <v/>
      </c>
      <c r="G2229" s="20"/>
      <c r="H2229" s="19"/>
      <c r="I2229" s="19"/>
      <c r="J2229" s="19"/>
      <c r="K2229" s="19"/>
      <c r="L2229" s="19"/>
      <c r="M2229" s="19"/>
      <c r="N2229" s="20" t="s">
        <v>39</v>
      </c>
      <c r="O2229" s="19"/>
      <c r="P2229" s="19"/>
      <c r="Q2229" s="19"/>
      <c r="R2229" s="19"/>
      <c r="S2229" s="19"/>
      <c r="T2229" s="19"/>
      <c r="U2229" s="19"/>
      <c r="V2229" s="19"/>
    </row>
    <row r="2230">
      <c r="A2230" s="25"/>
      <c r="B2230" s="19"/>
      <c r="C2230" s="19"/>
      <c r="D2230" s="19"/>
      <c r="E2230" s="19"/>
      <c r="F2230" s="17" t="str">
        <f>IFERROR(__xludf.DUMMYFUNCTION("""COMPUTED_VALUE"""),"")</f>
        <v/>
      </c>
      <c r="G2230" s="20"/>
      <c r="H2230" s="19"/>
      <c r="I2230" s="19"/>
      <c r="J2230" s="19"/>
      <c r="K2230" s="19"/>
      <c r="L2230" s="19"/>
      <c r="M2230" s="19"/>
      <c r="N2230" s="20" t="s">
        <v>39</v>
      </c>
      <c r="O2230" s="19"/>
      <c r="P2230" s="19"/>
      <c r="Q2230" s="19"/>
      <c r="R2230" s="19"/>
      <c r="S2230" s="19"/>
      <c r="T2230" s="19"/>
      <c r="U2230" s="19"/>
      <c r="V2230" s="19"/>
    </row>
    <row r="2231">
      <c r="A2231" s="25"/>
      <c r="B2231" s="19"/>
      <c r="C2231" s="19"/>
      <c r="D2231" s="19"/>
      <c r="E2231" s="19"/>
      <c r="F2231" s="17" t="str">
        <f>IFERROR(__xludf.DUMMYFUNCTION("""COMPUTED_VALUE"""),"")</f>
        <v/>
      </c>
      <c r="G2231" s="20"/>
      <c r="H2231" s="19"/>
      <c r="I2231" s="19"/>
      <c r="J2231" s="19"/>
      <c r="K2231" s="19"/>
      <c r="L2231" s="19"/>
      <c r="M2231" s="19"/>
      <c r="N2231" s="20" t="s">
        <v>39</v>
      </c>
      <c r="O2231" s="19"/>
      <c r="P2231" s="19"/>
      <c r="Q2231" s="19"/>
      <c r="R2231" s="19"/>
      <c r="S2231" s="19"/>
      <c r="T2231" s="19"/>
      <c r="U2231" s="19"/>
      <c r="V2231" s="19"/>
    </row>
    <row r="2232">
      <c r="A2232" s="25"/>
      <c r="B2232" s="19"/>
      <c r="C2232" s="19"/>
      <c r="D2232" s="19"/>
      <c r="E2232" s="19"/>
      <c r="F2232" s="17" t="str">
        <f>IFERROR(__xludf.DUMMYFUNCTION("""COMPUTED_VALUE"""),"")</f>
        <v/>
      </c>
      <c r="G2232" s="20"/>
      <c r="H2232" s="19"/>
      <c r="I2232" s="19"/>
      <c r="J2232" s="19"/>
      <c r="K2232" s="19"/>
      <c r="L2232" s="19"/>
      <c r="M2232" s="19"/>
      <c r="N2232" s="20" t="s">
        <v>39</v>
      </c>
      <c r="O2232" s="19"/>
      <c r="P2232" s="19"/>
      <c r="Q2232" s="19"/>
      <c r="R2232" s="19"/>
      <c r="S2232" s="19"/>
      <c r="T2232" s="19"/>
      <c r="U2232" s="19"/>
      <c r="V2232" s="19"/>
    </row>
    <row r="2233">
      <c r="A2233" s="25"/>
      <c r="B2233" s="19"/>
      <c r="C2233" s="19"/>
      <c r="D2233" s="19"/>
      <c r="E2233" s="19"/>
      <c r="F2233" s="17" t="str">
        <f>IFERROR(__xludf.DUMMYFUNCTION("""COMPUTED_VALUE"""),"")</f>
        <v/>
      </c>
      <c r="G2233" s="20"/>
      <c r="H2233" s="19"/>
      <c r="I2233" s="19"/>
      <c r="J2233" s="19"/>
      <c r="K2233" s="19"/>
      <c r="L2233" s="19"/>
      <c r="M2233" s="19"/>
      <c r="N2233" s="20" t="s">
        <v>39</v>
      </c>
      <c r="O2233" s="19"/>
      <c r="P2233" s="19"/>
      <c r="Q2233" s="19"/>
      <c r="R2233" s="19"/>
      <c r="S2233" s="19"/>
      <c r="T2233" s="19"/>
      <c r="U2233" s="19"/>
      <c r="V2233" s="19"/>
    </row>
    <row r="2234">
      <c r="A2234" s="25"/>
      <c r="B2234" s="19"/>
      <c r="C2234" s="19"/>
      <c r="D2234" s="19"/>
      <c r="E2234" s="19"/>
      <c r="F2234" s="17" t="str">
        <f>IFERROR(__xludf.DUMMYFUNCTION("""COMPUTED_VALUE"""),"")</f>
        <v/>
      </c>
      <c r="G2234" s="20"/>
      <c r="H2234" s="19"/>
      <c r="I2234" s="19"/>
      <c r="J2234" s="19"/>
      <c r="K2234" s="19"/>
      <c r="L2234" s="19"/>
      <c r="M2234" s="19"/>
      <c r="N2234" s="20" t="s">
        <v>39</v>
      </c>
      <c r="O2234" s="19"/>
      <c r="P2234" s="19"/>
      <c r="Q2234" s="19"/>
      <c r="R2234" s="19"/>
      <c r="S2234" s="19"/>
      <c r="T2234" s="19"/>
      <c r="U2234" s="19"/>
      <c r="V2234" s="19"/>
    </row>
    <row r="2235">
      <c r="A2235" s="25"/>
      <c r="B2235" s="19"/>
      <c r="C2235" s="19"/>
      <c r="D2235" s="19"/>
      <c r="E2235" s="19"/>
      <c r="F2235" s="17" t="str">
        <f>IFERROR(__xludf.DUMMYFUNCTION("""COMPUTED_VALUE"""),"")</f>
        <v/>
      </c>
      <c r="G2235" s="20"/>
      <c r="H2235" s="19"/>
      <c r="I2235" s="19"/>
      <c r="J2235" s="19"/>
      <c r="K2235" s="19"/>
      <c r="L2235" s="19"/>
      <c r="M2235" s="19"/>
      <c r="N2235" s="20" t="s">
        <v>39</v>
      </c>
      <c r="O2235" s="19"/>
      <c r="P2235" s="19"/>
      <c r="Q2235" s="19"/>
      <c r="R2235" s="19"/>
      <c r="S2235" s="19"/>
      <c r="T2235" s="19"/>
      <c r="U2235" s="19"/>
      <c r="V2235" s="19"/>
    </row>
    <row r="2236">
      <c r="A2236" s="25"/>
      <c r="B2236" s="19"/>
      <c r="C2236" s="19"/>
      <c r="D2236" s="19"/>
      <c r="E2236" s="19"/>
      <c r="F2236" s="17" t="str">
        <f>IFERROR(__xludf.DUMMYFUNCTION("""COMPUTED_VALUE"""),"")</f>
        <v/>
      </c>
      <c r="G2236" s="20"/>
      <c r="H2236" s="19"/>
      <c r="I2236" s="19"/>
      <c r="J2236" s="19"/>
      <c r="K2236" s="19"/>
      <c r="L2236" s="19"/>
      <c r="M2236" s="19"/>
      <c r="N2236" s="20" t="s">
        <v>39</v>
      </c>
      <c r="O2236" s="19"/>
      <c r="P2236" s="19"/>
      <c r="Q2236" s="19"/>
      <c r="R2236" s="19"/>
      <c r="S2236" s="19"/>
      <c r="T2236" s="19"/>
      <c r="U2236" s="19"/>
      <c r="V2236" s="19"/>
    </row>
    <row r="2237">
      <c r="A2237" s="25"/>
      <c r="B2237" s="19"/>
      <c r="C2237" s="19"/>
      <c r="D2237" s="19"/>
      <c r="E2237" s="19"/>
      <c r="F2237" s="17" t="str">
        <f>IFERROR(__xludf.DUMMYFUNCTION("""COMPUTED_VALUE"""),"")</f>
        <v/>
      </c>
      <c r="G2237" s="20"/>
      <c r="H2237" s="19"/>
      <c r="I2237" s="19"/>
      <c r="J2237" s="19"/>
      <c r="K2237" s="19"/>
      <c r="L2237" s="19"/>
      <c r="M2237" s="19"/>
      <c r="N2237" s="20" t="s">
        <v>39</v>
      </c>
      <c r="O2237" s="19"/>
      <c r="P2237" s="19"/>
      <c r="Q2237" s="19"/>
      <c r="R2237" s="19"/>
      <c r="S2237" s="19"/>
      <c r="T2237" s="19"/>
      <c r="U2237" s="19"/>
      <c r="V2237" s="19"/>
    </row>
    <row r="2238">
      <c r="A2238" s="25"/>
      <c r="B2238" s="19"/>
      <c r="C2238" s="19"/>
      <c r="D2238" s="19"/>
      <c r="E2238" s="19"/>
      <c r="F2238" s="17" t="str">
        <f>IFERROR(__xludf.DUMMYFUNCTION("""COMPUTED_VALUE"""),"")</f>
        <v/>
      </c>
      <c r="G2238" s="20"/>
      <c r="H2238" s="19"/>
      <c r="I2238" s="19"/>
      <c r="J2238" s="19"/>
      <c r="K2238" s="19"/>
      <c r="L2238" s="19"/>
      <c r="M2238" s="19"/>
      <c r="N2238" s="20" t="s">
        <v>39</v>
      </c>
      <c r="O2238" s="19"/>
      <c r="P2238" s="19"/>
      <c r="Q2238" s="19"/>
      <c r="R2238" s="19"/>
      <c r="S2238" s="19"/>
      <c r="T2238" s="19"/>
      <c r="U2238" s="19"/>
      <c r="V2238" s="19"/>
    </row>
    <row r="2239">
      <c r="A2239" s="25"/>
      <c r="B2239" s="19"/>
      <c r="C2239" s="19"/>
      <c r="D2239" s="19"/>
      <c r="E2239" s="19"/>
      <c r="F2239" s="17" t="str">
        <f>IFERROR(__xludf.DUMMYFUNCTION("""COMPUTED_VALUE"""),"")</f>
        <v/>
      </c>
      <c r="G2239" s="20"/>
      <c r="H2239" s="19"/>
      <c r="I2239" s="19"/>
      <c r="J2239" s="19"/>
      <c r="K2239" s="19"/>
      <c r="L2239" s="19"/>
      <c r="M2239" s="19"/>
      <c r="N2239" s="20" t="s">
        <v>39</v>
      </c>
      <c r="O2239" s="19"/>
      <c r="P2239" s="19"/>
      <c r="Q2239" s="19"/>
      <c r="R2239" s="19"/>
      <c r="S2239" s="19"/>
      <c r="T2239" s="19"/>
      <c r="U2239" s="19"/>
      <c r="V2239" s="19"/>
    </row>
    <row r="2240">
      <c r="A2240" s="25"/>
      <c r="B2240" s="19"/>
      <c r="C2240" s="19"/>
      <c r="D2240" s="19"/>
      <c r="E2240" s="19"/>
      <c r="F2240" s="17" t="str">
        <f>IFERROR(__xludf.DUMMYFUNCTION("""COMPUTED_VALUE"""),"")</f>
        <v/>
      </c>
      <c r="G2240" s="20"/>
      <c r="H2240" s="19"/>
      <c r="I2240" s="19"/>
      <c r="J2240" s="19"/>
      <c r="K2240" s="19"/>
      <c r="L2240" s="19"/>
      <c r="M2240" s="19"/>
      <c r="N2240" s="20" t="s">
        <v>39</v>
      </c>
      <c r="O2240" s="19"/>
      <c r="P2240" s="19"/>
      <c r="Q2240" s="19"/>
      <c r="R2240" s="19"/>
      <c r="S2240" s="19"/>
      <c r="T2240" s="19"/>
      <c r="U2240" s="19"/>
      <c r="V2240" s="19"/>
    </row>
    <row r="2241">
      <c r="A2241" s="25"/>
      <c r="B2241" s="19"/>
      <c r="C2241" s="19"/>
      <c r="D2241" s="19"/>
      <c r="E2241" s="19"/>
      <c r="F2241" s="17" t="str">
        <f>IFERROR(__xludf.DUMMYFUNCTION("""COMPUTED_VALUE"""),"")</f>
        <v/>
      </c>
      <c r="G2241" s="20"/>
      <c r="H2241" s="19"/>
      <c r="I2241" s="19"/>
      <c r="J2241" s="19"/>
      <c r="K2241" s="19"/>
      <c r="L2241" s="19"/>
      <c r="M2241" s="19"/>
      <c r="N2241" s="20" t="s">
        <v>39</v>
      </c>
      <c r="O2241" s="19"/>
      <c r="P2241" s="19"/>
      <c r="Q2241" s="19"/>
      <c r="R2241" s="19"/>
      <c r="S2241" s="19"/>
      <c r="T2241" s="19"/>
      <c r="U2241" s="19"/>
      <c r="V2241" s="19"/>
    </row>
    <row r="2242">
      <c r="A2242" s="25"/>
      <c r="B2242" s="19"/>
      <c r="C2242" s="19"/>
      <c r="D2242" s="19"/>
      <c r="E2242" s="19"/>
      <c r="F2242" s="17" t="str">
        <f>IFERROR(__xludf.DUMMYFUNCTION("""COMPUTED_VALUE"""),"")</f>
        <v/>
      </c>
      <c r="G2242" s="20"/>
      <c r="H2242" s="19"/>
      <c r="I2242" s="19"/>
      <c r="J2242" s="19"/>
      <c r="K2242" s="19"/>
      <c r="L2242" s="19"/>
      <c r="M2242" s="19"/>
      <c r="N2242" s="20" t="s">
        <v>39</v>
      </c>
      <c r="O2242" s="19"/>
      <c r="P2242" s="19"/>
      <c r="Q2242" s="19"/>
      <c r="R2242" s="19"/>
      <c r="S2242" s="19"/>
      <c r="T2242" s="19"/>
      <c r="U2242" s="19"/>
      <c r="V2242" s="19"/>
    </row>
    <row r="2243">
      <c r="A2243" s="25"/>
      <c r="B2243" s="19"/>
      <c r="C2243" s="19"/>
      <c r="D2243" s="19"/>
      <c r="E2243" s="19"/>
      <c r="F2243" s="17" t="str">
        <f>IFERROR(__xludf.DUMMYFUNCTION("""COMPUTED_VALUE"""),"")</f>
        <v/>
      </c>
      <c r="G2243" s="20"/>
      <c r="H2243" s="19"/>
      <c r="I2243" s="19"/>
      <c r="J2243" s="19"/>
      <c r="K2243" s="19"/>
      <c r="L2243" s="19"/>
      <c r="M2243" s="19"/>
      <c r="N2243" s="20" t="s">
        <v>39</v>
      </c>
      <c r="O2243" s="19"/>
      <c r="P2243" s="19"/>
      <c r="Q2243" s="19"/>
      <c r="R2243" s="19"/>
      <c r="S2243" s="19"/>
      <c r="T2243" s="19"/>
      <c r="U2243" s="19"/>
      <c r="V2243" s="19"/>
    </row>
    <row r="2244">
      <c r="A2244" s="25"/>
      <c r="B2244" s="19"/>
      <c r="C2244" s="19"/>
      <c r="D2244" s="19"/>
      <c r="E2244" s="19"/>
      <c r="F2244" s="17" t="str">
        <f>IFERROR(__xludf.DUMMYFUNCTION("""COMPUTED_VALUE"""),"")</f>
        <v/>
      </c>
      <c r="G2244" s="20"/>
      <c r="H2244" s="19"/>
      <c r="I2244" s="19"/>
      <c r="J2244" s="19"/>
      <c r="K2244" s="19"/>
      <c r="L2244" s="19"/>
      <c r="M2244" s="19"/>
      <c r="N2244" s="20" t="s">
        <v>39</v>
      </c>
      <c r="O2244" s="19"/>
      <c r="P2244" s="19"/>
      <c r="Q2244" s="19"/>
      <c r="R2244" s="19"/>
      <c r="S2244" s="19"/>
      <c r="T2244" s="19"/>
      <c r="U2244" s="19"/>
      <c r="V2244" s="19"/>
    </row>
    <row r="2245">
      <c r="A2245" s="25"/>
      <c r="B2245" s="19"/>
      <c r="C2245" s="19"/>
      <c r="D2245" s="19"/>
      <c r="E2245" s="19"/>
      <c r="F2245" s="17" t="str">
        <f>IFERROR(__xludf.DUMMYFUNCTION("""COMPUTED_VALUE"""),"")</f>
        <v/>
      </c>
      <c r="G2245" s="20"/>
      <c r="H2245" s="19"/>
      <c r="I2245" s="19"/>
      <c r="J2245" s="19"/>
      <c r="K2245" s="19"/>
      <c r="L2245" s="19"/>
      <c r="M2245" s="19"/>
      <c r="N2245" s="20" t="s">
        <v>39</v>
      </c>
      <c r="O2245" s="19"/>
      <c r="P2245" s="19"/>
      <c r="Q2245" s="19"/>
      <c r="R2245" s="19"/>
      <c r="S2245" s="19"/>
      <c r="T2245" s="19"/>
      <c r="U2245" s="19"/>
      <c r="V2245" s="19"/>
    </row>
    <row r="2246">
      <c r="A2246" s="25"/>
      <c r="B2246" s="19"/>
      <c r="C2246" s="19"/>
      <c r="D2246" s="19"/>
      <c r="E2246" s="19"/>
      <c r="F2246" s="17" t="str">
        <f>IFERROR(__xludf.DUMMYFUNCTION("""COMPUTED_VALUE"""),"")</f>
        <v/>
      </c>
      <c r="G2246" s="20"/>
      <c r="H2246" s="19"/>
      <c r="I2246" s="19"/>
      <c r="J2246" s="19"/>
      <c r="K2246" s="19"/>
      <c r="L2246" s="19"/>
      <c r="M2246" s="19"/>
      <c r="N2246" s="20" t="s">
        <v>39</v>
      </c>
      <c r="O2246" s="19"/>
      <c r="P2246" s="19"/>
      <c r="Q2246" s="19"/>
      <c r="R2246" s="19"/>
      <c r="S2246" s="19"/>
      <c r="T2246" s="19"/>
      <c r="U2246" s="19"/>
      <c r="V2246" s="19"/>
    </row>
    <row r="2247">
      <c r="A2247" s="25"/>
      <c r="B2247" s="19"/>
      <c r="C2247" s="19"/>
      <c r="D2247" s="19"/>
      <c r="E2247" s="19"/>
      <c r="F2247" s="17" t="str">
        <f>IFERROR(__xludf.DUMMYFUNCTION("""COMPUTED_VALUE"""),"")</f>
        <v/>
      </c>
      <c r="G2247" s="20"/>
      <c r="H2247" s="19"/>
      <c r="I2247" s="19"/>
      <c r="J2247" s="19"/>
      <c r="K2247" s="19"/>
      <c r="L2247" s="19"/>
      <c r="M2247" s="19"/>
      <c r="N2247" s="20" t="s">
        <v>39</v>
      </c>
      <c r="O2247" s="19"/>
      <c r="P2247" s="19"/>
      <c r="Q2247" s="19"/>
      <c r="R2247" s="19"/>
      <c r="S2247" s="19"/>
      <c r="T2247" s="19"/>
      <c r="U2247" s="19"/>
      <c r="V2247" s="19"/>
    </row>
    <row r="2248">
      <c r="A2248" s="25"/>
      <c r="B2248" s="19"/>
      <c r="C2248" s="19"/>
      <c r="D2248" s="19"/>
      <c r="E2248" s="19"/>
      <c r="F2248" s="17" t="str">
        <f>IFERROR(__xludf.DUMMYFUNCTION("""COMPUTED_VALUE"""),"")</f>
        <v/>
      </c>
      <c r="G2248" s="20"/>
      <c r="H2248" s="19"/>
      <c r="I2248" s="19"/>
      <c r="J2248" s="19"/>
      <c r="K2248" s="19"/>
      <c r="L2248" s="19"/>
      <c r="M2248" s="19"/>
      <c r="N2248" s="20" t="s">
        <v>39</v>
      </c>
      <c r="O2248" s="19"/>
      <c r="P2248" s="19"/>
      <c r="Q2248" s="19"/>
      <c r="R2248" s="19"/>
      <c r="S2248" s="19"/>
      <c r="T2248" s="19"/>
      <c r="U2248" s="19"/>
      <c r="V2248" s="19"/>
    </row>
    <row r="2249">
      <c r="A2249" s="25"/>
      <c r="B2249" s="19"/>
      <c r="C2249" s="19"/>
      <c r="D2249" s="19"/>
      <c r="E2249" s="19"/>
      <c r="F2249" s="17" t="str">
        <f>IFERROR(__xludf.DUMMYFUNCTION("""COMPUTED_VALUE"""),"")</f>
        <v/>
      </c>
      <c r="G2249" s="20"/>
      <c r="H2249" s="19"/>
      <c r="I2249" s="19"/>
      <c r="J2249" s="19"/>
      <c r="K2249" s="19"/>
      <c r="L2249" s="19"/>
      <c r="M2249" s="19"/>
      <c r="N2249" s="20" t="s">
        <v>39</v>
      </c>
      <c r="O2249" s="19"/>
      <c r="P2249" s="19"/>
      <c r="Q2249" s="19"/>
      <c r="R2249" s="19"/>
      <c r="S2249" s="19"/>
      <c r="T2249" s="19"/>
      <c r="U2249" s="19"/>
      <c r="V2249" s="19"/>
    </row>
    <row r="2250">
      <c r="A2250" s="25"/>
      <c r="B2250" s="19"/>
      <c r="C2250" s="19"/>
      <c r="D2250" s="19"/>
      <c r="E2250" s="19"/>
      <c r="F2250" s="17" t="str">
        <f>IFERROR(__xludf.DUMMYFUNCTION("""COMPUTED_VALUE"""),"")</f>
        <v/>
      </c>
      <c r="G2250" s="20"/>
      <c r="H2250" s="19"/>
      <c r="I2250" s="19"/>
      <c r="J2250" s="19"/>
      <c r="K2250" s="19"/>
      <c r="L2250" s="19"/>
      <c r="M2250" s="19"/>
      <c r="N2250" s="20" t="s">
        <v>39</v>
      </c>
      <c r="O2250" s="19"/>
      <c r="P2250" s="19"/>
      <c r="Q2250" s="19"/>
      <c r="R2250" s="19"/>
      <c r="S2250" s="19"/>
      <c r="T2250" s="19"/>
      <c r="U2250" s="19"/>
      <c r="V2250" s="19"/>
    </row>
    <row r="2251">
      <c r="A2251" s="25"/>
      <c r="B2251" s="19"/>
      <c r="C2251" s="19"/>
      <c r="D2251" s="19"/>
      <c r="E2251" s="19"/>
      <c r="F2251" s="17" t="str">
        <f>IFERROR(__xludf.DUMMYFUNCTION("""COMPUTED_VALUE"""),"")</f>
        <v/>
      </c>
      <c r="G2251" s="20"/>
      <c r="H2251" s="19"/>
      <c r="I2251" s="19"/>
      <c r="J2251" s="19"/>
      <c r="K2251" s="19"/>
      <c r="L2251" s="19"/>
      <c r="M2251" s="19"/>
      <c r="N2251" s="20" t="s">
        <v>39</v>
      </c>
      <c r="O2251" s="19"/>
      <c r="P2251" s="19"/>
      <c r="Q2251" s="19"/>
      <c r="R2251" s="19"/>
      <c r="S2251" s="19"/>
      <c r="T2251" s="19"/>
      <c r="U2251" s="19"/>
      <c r="V2251" s="19"/>
    </row>
    <row r="2252">
      <c r="A2252" s="25"/>
      <c r="B2252" s="19"/>
      <c r="C2252" s="19"/>
      <c r="D2252" s="19"/>
      <c r="E2252" s="19"/>
      <c r="F2252" s="17" t="str">
        <f>IFERROR(__xludf.DUMMYFUNCTION("""COMPUTED_VALUE"""),"")</f>
        <v/>
      </c>
      <c r="G2252" s="20"/>
      <c r="H2252" s="19"/>
      <c r="I2252" s="19"/>
      <c r="J2252" s="19"/>
      <c r="K2252" s="19"/>
      <c r="L2252" s="19"/>
      <c r="M2252" s="19"/>
      <c r="N2252" s="20" t="s">
        <v>39</v>
      </c>
      <c r="O2252" s="19"/>
      <c r="P2252" s="19"/>
      <c r="Q2252" s="19"/>
      <c r="R2252" s="19"/>
      <c r="S2252" s="19"/>
      <c r="T2252" s="19"/>
      <c r="U2252" s="19"/>
      <c r="V2252" s="19"/>
    </row>
    <row r="2253">
      <c r="A2253" s="25"/>
      <c r="B2253" s="19"/>
      <c r="C2253" s="19"/>
      <c r="D2253" s="19"/>
      <c r="E2253" s="19"/>
      <c r="F2253" s="17" t="str">
        <f>IFERROR(__xludf.DUMMYFUNCTION("""COMPUTED_VALUE"""),"")</f>
        <v/>
      </c>
      <c r="G2253" s="20"/>
      <c r="H2253" s="19"/>
      <c r="I2253" s="19"/>
      <c r="J2253" s="19"/>
      <c r="K2253" s="19"/>
      <c r="L2253" s="19"/>
      <c r="M2253" s="19"/>
      <c r="N2253" s="20" t="s">
        <v>39</v>
      </c>
      <c r="O2253" s="19"/>
      <c r="P2253" s="19"/>
      <c r="Q2253" s="19"/>
      <c r="R2253" s="19"/>
      <c r="S2253" s="19"/>
      <c r="T2253" s="19"/>
      <c r="U2253" s="19"/>
      <c r="V2253" s="19"/>
    </row>
    <row r="2254">
      <c r="A2254" s="25"/>
      <c r="B2254" s="19"/>
      <c r="C2254" s="19"/>
      <c r="D2254" s="19"/>
      <c r="E2254" s="19"/>
      <c r="F2254" s="17" t="str">
        <f>IFERROR(__xludf.DUMMYFUNCTION("""COMPUTED_VALUE"""),"")</f>
        <v/>
      </c>
      <c r="G2254" s="20"/>
      <c r="H2254" s="19"/>
      <c r="I2254" s="19"/>
      <c r="J2254" s="19"/>
      <c r="K2254" s="19"/>
      <c r="L2254" s="19"/>
      <c r="M2254" s="19"/>
      <c r="N2254" s="20" t="s">
        <v>39</v>
      </c>
      <c r="O2254" s="19"/>
      <c r="P2254" s="19"/>
      <c r="Q2254" s="19"/>
      <c r="R2254" s="19"/>
      <c r="S2254" s="19"/>
      <c r="T2254" s="19"/>
      <c r="U2254" s="19"/>
      <c r="V2254" s="19"/>
    </row>
    <row r="2255">
      <c r="A2255" s="25"/>
      <c r="B2255" s="19"/>
      <c r="C2255" s="19"/>
      <c r="D2255" s="19"/>
      <c r="E2255" s="19"/>
      <c r="F2255" s="17" t="str">
        <f>IFERROR(__xludf.DUMMYFUNCTION("""COMPUTED_VALUE"""),"")</f>
        <v/>
      </c>
      <c r="G2255" s="20"/>
      <c r="H2255" s="19"/>
      <c r="I2255" s="19"/>
      <c r="J2255" s="19"/>
      <c r="K2255" s="19"/>
      <c r="L2255" s="19"/>
      <c r="M2255" s="19"/>
      <c r="N2255" s="20" t="s">
        <v>39</v>
      </c>
      <c r="O2255" s="19"/>
      <c r="P2255" s="19"/>
      <c r="Q2255" s="19"/>
      <c r="R2255" s="19"/>
      <c r="S2255" s="19"/>
      <c r="T2255" s="19"/>
      <c r="U2255" s="19"/>
      <c r="V2255" s="19"/>
    </row>
    <row r="2256">
      <c r="A2256" s="25"/>
      <c r="B2256" s="19"/>
      <c r="C2256" s="19"/>
      <c r="D2256" s="19"/>
      <c r="E2256" s="19"/>
      <c r="F2256" s="17" t="str">
        <f>IFERROR(__xludf.DUMMYFUNCTION("""COMPUTED_VALUE"""),"")</f>
        <v/>
      </c>
      <c r="G2256" s="20"/>
      <c r="H2256" s="19"/>
      <c r="I2256" s="19"/>
      <c r="J2256" s="19"/>
      <c r="K2256" s="19"/>
      <c r="L2256" s="19"/>
      <c r="M2256" s="19"/>
      <c r="N2256" s="20" t="s">
        <v>39</v>
      </c>
      <c r="O2256" s="19"/>
      <c r="P2256" s="19"/>
      <c r="Q2256" s="19"/>
      <c r="R2256" s="19"/>
      <c r="S2256" s="19"/>
      <c r="T2256" s="19"/>
      <c r="U2256" s="19"/>
      <c r="V2256" s="19"/>
    </row>
    <row r="2257">
      <c r="A2257" s="25"/>
      <c r="B2257" s="19"/>
      <c r="C2257" s="19"/>
      <c r="D2257" s="19"/>
      <c r="E2257" s="19"/>
      <c r="F2257" s="17" t="str">
        <f>IFERROR(__xludf.DUMMYFUNCTION("""COMPUTED_VALUE"""),"")</f>
        <v/>
      </c>
      <c r="G2257" s="20"/>
      <c r="H2257" s="19"/>
      <c r="I2257" s="19"/>
      <c r="J2257" s="19"/>
      <c r="K2257" s="19"/>
      <c r="L2257" s="19"/>
      <c r="M2257" s="19"/>
      <c r="N2257" s="20" t="s">
        <v>39</v>
      </c>
      <c r="O2257" s="19"/>
      <c r="P2257" s="19"/>
      <c r="Q2257" s="19"/>
      <c r="R2257" s="19"/>
      <c r="S2257" s="19"/>
      <c r="T2257" s="19"/>
      <c r="U2257" s="19"/>
      <c r="V2257" s="19"/>
    </row>
    <row r="2258">
      <c r="A2258" s="25"/>
      <c r="B2258" s="19"/>
      <c r="C2258" s="19"/>
      <c r="D2258" s="19"/>
      <c r="E2258" s="19"/>
      <c r="F2258" s="17" t="str">
        <f>IFERROR(__xludf.DUMMYFUNCTION("""COMPUTED_VALUE"""),"")</f>
        <v/>
      </c>
      <c r="G2258" s="20"/>
      <c r="H2258" s="19"/>
      <c r="I2258" s="19"/>
      <c r="J2258" s="19"/>
      <c r="K2258" s="19"/>
      <c r="L2258" s="19"/>
      <c r="M2258" s="19"/>
      <c r="N2258" s="20" t="s">
        <v>39</v>
      </c>
      <c r="O2258" s="19"/>
      <c r="P2258" s="19"/>
      <c r="Q2258" s="19"/>
      <c r="R2258" s="19"/>
      <c r="S2258" s="19"/>
      <c r="T2258" s="19"/>
      <c r="U2258" s="19"/>
      <c r="V2258" s="19"/>
    </row>
    <row r="2259">
      <c r="A2259" s="25"/>
      <c r="B2259" s="19"/>
      <c r="C2259" s="19"/>
      <c r="D2259" s="19"/>
      <c r="E2259" s="19"/>
      <c r="F2259" s="17" t="str">
        <f>IFERROR(__xludf.DUMMYFUNCTION("""COMPUTED_VALUE"""),"")</f>
        <v/>
      </c>
      <c r="G2259" s="20"/>
      <c r="H2259" s="19"/>
      <c r="I2259" s="19"/>
      <c r="J2259" s="19"/>
      <c r="K2259" s="19"/>
      <c r="L2259" s="19"/>
      <c r="M2259" s="19"/>
      <c r="N2259" s="20" t="s">
        <v>39</v>
      </c>
      <c r="O2259" s="19"/>
      <c r="P2259" s="19"/>
      <c r="Q2259" s="19"/>
      <c r="R2259" s="19"/>
      <c r="S2259" s="19"/>
      <c r="T2259" s="19"/>
      <c r="U2259" s="19"/>
      <c r="V2259" s="19"/>
    </row>
    <row r="2260">
      <c r="A2260" s="25"/>
      <c r="B2260" s="19"/>
      <c r="C2260" s="19"/>
      <c r="D2260" s="19"/>
      <c r="E2260" s="19"/>
      <c r="F2260" s="17" t="str">
        <f>IFERROR(__xludf.DUMMYFUNCTION("""COMPUTED_VALUE"""),"")</f>
        <v/>
      </c>
      <c r="G2260" s="20"/>
      <c r="H2260" s="19"/>
      <c r="I2260" s="19"/>
      <c r="J2260" s="19"/>
      <c r="K2260" s="19"/>
      <c r="L2260" s="19"/>
      <c r="M2260" s="19"/>
      <c r="N2260" s="20" t="s">
        <v>39</v>
      </c>
      <c r="O2260" s="19"/>
      <c r="P2260" s="19"/>
      <c r="Q2260" s="19"/>
      <c r="R2260" s="19"/>
      <c r="S2260" s="19"/>
      <c r="T2260" s="19"/>
      <c r="U2260" s="19"/>
      <c r="V2260" s="19"/>
    </row>
    <row r="2261">
      <c r="A2261" s="25"/>
      <c r="B2261" s="19"/>
      <c r="C2261" s="19"/>
      <c r="D2261" s="19"/>
      <c r="E2261" s="19"/>
      <c r="F2261" s="17" t="str">
        <f>IFERROR(__xludf.DUMMYFUNCTION("""COMPUTED_VALUE"""),"")</f>
        <v/>
      </c>
      <c r="G2261" s="20"/>
      <c r="H2261" s="19"/>
      <c r="I2261" s="19"/>
      <c r="J2261" s="19"/>
      <c r="K2261" s="19"/>
      <c r="L2261" s="19"/>
      <c r="M2261" s="19"/>
      <c r="N2261" s="20" t="s">
        <v>39</v>
      </c>
      <c r="O2261" s="19"/>
      <c r="P2261" s="19"/>
      <c r="Q2261" s="19"/>
      <c r="R2261" s="19"/>
      <c r="S2261" s="19"/>
      <c r="T2261" s="19"/>
      <c r="U2261" s="19"/>
      <c r="V2261" s="19"/>
    </row>
    <row r="2262">
      <c r="A2262" s="25"/>
      <c r="B2262" s="19"/>
      <c r="C2262" s="19"/>
      <c r="D2262" s="19"/>
      <c r="E2262" s="19"/>
      <c r="F2262" s="17" t="str">
        <f>IFERROR(__xludf.DUMMYFUNCTION("""COMPUTED_VALUE"""),"")</f>
        <v/>
      </c>
      <c r="G2262" s="20"/>
      <c r="H2262" s="19"/>
      <c r="I2262" s="19"/>
      <c r="J2262" s="19"/>
      <c r="K2262" s="19"/>
      <c r="L2262" s="19"/>
      <c r="M2262" s="19"/>
      <c r="N2262" s="20" t="s">
        <v>39</v>
      </c>
      <c r="O2262" s="19"/>
      <c r="P2262" s="19"/>
      <c r="Q2262" s="19"/>
      <c r="R2262" s="19"/>
      <c r="S2262" s="19"/>
      <c r="T2262" s="19"/>
      <c r="U2262" s="19"/>
      <c r="V2262" s="19"/>
    </row>
    <row r="2263">
      <c r="A2263" s="25"/>
      <c r="B2263" s="19"/>
      <c r="C2263" s="19"/>
      <c r="D2263" s="19"/>
      <c r="E2263" s="19"/>
      <c r="F2263" s="17" t="str">
        <f>IFERROR(__xludf.DUMMYFUNCTION("""COMPUTED_VALUE"""),"")</f>
        <v/>
      </c>
      <c r="G2263" s="20"/>
      <c r="H2263" s="19"/>
      <c r="I2263" s="19"/>
      <c r="J2263" s="19"/>
      <c r="K2263" s="19"/>
      <c r="L2263" s="19"/>
      <c r="M2263" s="19"/>
      <c r="N2263" s="20" t="s">
        <v>39</v>
      </c>
      <c r="O2263" s="19"/>
      <c r="P2263" s="19"/>
      <c r="Q2263" s="19"/>
      <c r="R2263" s="19"/>
      <c r="S2263" s="19"/>
      <c r="T2263" s="19"/>
      <c r="U2263" s="19"/>
      <c r="V2263" s="19"/>
    </row>
    <row r="2264">
      <c r="A2264" s="25"/>
      <c r="B2264" s="19"/>
      <c r="C2264" s="19"/>
      <c r="D2264" s="19"/>
      <c r="E2264" s="19"/>
      <c r="F2264" s="17" t="str">
        <f>IFERROR(__xludf.DUMMYFUNCTION("""COMPUTED_VALUE"""),"")</f>
        <v/>
      </c>
      <c r="G2264" s="20"/>
      <c r="H2264" s="19"/>
      <c r="I2264" s="19"/>
      <c r="J2264" s="19"/>
      <c r="K2264" s="19"/>
      <c r="L2264" s="19"/>
      <c r="M2264" s="19"/>
      <c r="N2264" s="20" t="s">
        <v>39</v>
      </c>
      <c r="O2264" s="19"/>
      <c r="P2264" s="19"/>
      <c r="Q2264" s="19"/>
      <c r="R2264" s="19"/>
      <c r="S2264" s="19"/>
      <c r="T2264" s="19"/>
      <c r="U2264" s="19"/>
      <c r="V2264" s="19"/>
    </row>
    <row r="2265">
      <c r="A2265" s="25"/>
      <c r="B2265" s="19"/>
      <c r="C2265" s="19"/>
      <c r="D2265" s="19"/>
      <c r="E2265" s="19"/>
      <c r="F2265" s="17" t="str">
        <f>IFERROR(__xludf.DUMMYFUNCTION("""COMPUTED_VALUE"""),"")</f>
        <v/>
      </c>
      <c r="G2265" s="20"/>
      <c r="H2265" s="19"/>
      <c r="I2265" s="19"/>
      <c r="J2265" s="19"/>
      <c r="K2265" s="19"/>
      <c r="L2265" s="19"/>
      <c r="M2265" s="19"/>
      <c r="N2265" s="20" t="s">
        <v>39</v>
      </c>
      <c r="O2265" s="19"/>
      <c r="P2265" s="19"/>
      <c r="Q2265" s="19"/>
      <c r="R2265" s="19"/>
      <c r="S2265" s="19"/>
      <c r="T2265" s="19"/>
      <c r="U2265" s="19"/>
      <c r="V2265" s="19"/>
    </row>
    <row r="2266">
      <c r="A2266" s="25"/>
      <c r="B2266" s="19"/>
      <c r="C2266" s="19"/>
      <c r="D2266" s="19"/>
      <c r="E2266" s="19"/>
      <c r="F2266" s="17" t="str">
        <f>IFERROR(__xludf.DUMMYFUNCTION("""COMPUTED_VALUE"""),"")</f>
        <v/>
      </c>
      <c r="G2266" s="20"/>
      <c r="H2266" s="19"/>
      <c r="I2266" s="19"/>
      <c r="J2266" s="19"/>
      <c r="K2266" s="19"/>
      <c r="L2266" s="19"/>
      <c r="M2266" s="19"/>
      <c r="N2266" s="20" t="s">
        <v>39</v>
      </c>
      <c r="O2266" s="19"/>
      <c r="P2266" s="19"/>
      <c r="Q2266" s="19"/>
      <c r="R2266" s="19"/>
      <c r="S2266" s="19"/>
      <c r="T2266" s="19"/>
      <c r="U2266" s="19"/>
      <c r="V2266" s="19"/>
    </row>
    <row r="2267">
      <c r="A2267" s="25"/>
      <c r="B2267" s="19"/>
      <c r="C2267" s="19"/>
      <c r="D2267" s="19"/>
      <c r="E2267" s="19"/>
      <c r="F2267" s="17" t="str">
        <f>IFERROR(__xludf.DUMMYFUNCTION("""COMPUTED_VALUE"""),"")</f>
        <v/>
      </c>
      <c r="G2267" s="20"/>
      <c r="H2267" s="19"/>
      <c r="I2267" s="19"/>
      <c r="J2267" s="19"/>
      <c r="K2267" s="19"/>
      <c r="L2267" s="19"/>
      <c r="M2267" s="19"/>
      <c r="N2267" s="20" t="s">
        <v>39</v>
      </c>
      <c r="O2267" s="19"/>
      <c r="P2267" s="19"/>
      <c r="Q2267" s="19"/>
      <c r="R2267" s="19"/>
      <c r="S2267" s="19"/>
      <c r="T2267" s="19"/>
      <c r="U2267" s="19"/>
      <c r="V2267" s="19"/>
    </row>
    <row r="2268">
      <c r="A2268" s="25"/>
      <c r="B2268" s="19"/>
      <c r="C2268" s="19"/>
      <c r="D2268" s="19"/>
      <c r="E2268" s="19"/>
      <c r="F2268" s="17" t="str">
        <f>IFERROR(__xludf.DUMMYFUNCTION("""COMPUTED_VALUE"""),"")</f>
        <v/>
      </c>
      <c r="G2268" s="20"/>
      <c r="H2268" s="19"/>
      <c r="I2268" s="19"/>
      <c r="J2268" s="19"/>
      <c r="K2268" s="19"/>
      <c r="L2268" s="19"/>
      <c r="M2268" s="19"/>
      <c r="N2268" s="20" t="s">
        <v>39</v>
      </c>
      <c r="O2268" s="19"/>
      <c r="P2268" s="19"/>
      <c r="Q2268" s="19"/>
      <c r="R2268" s="19"/>
      <c r="S2268" s="19"/>
      <c r="T2268" s="19"/>
      <c r="U2268" s="19"/>
      <c r="V2268" s="19"/>
    </row>
    <row r="2269">
      <c r="A2269" s="25"/>
      <c r="B2269" s="19"/>
      <c r="C2269" s="19"/>
      <c r="D2269" s="19"/>
      <c r="E2269" s="19"/>
      <c r="F2269" s="17" t="str">
        <f>IFERROR(__xludf.DUMMYFUNCTION("""COMPUTED_VALUE"""),"")</f>
        <v/>
      </c>
      <c r="G2269" s="20"/>
      <c r="H2269" s="19"/>
      <c r="I2269" s="19"/>
      <c r="J2269" s="19"/>
      <c r="K2269" s="19"/>
      <c r="L2269" s="19"/>
      <c r="M2269" s="19"/>
      <c r="N2269" s="20" t="s">
        <v>39</v>
      </c>
      <c r="O2269" s="19"/>
      <c r="P2269" s="19"/>
      <c r="Q2269" s="19"/>
      <c r="R2269" s="19"/>
      <c r="S2269" s="19"/>
      <c r="T2269" s="19"/>
      <c r="U2269" s="19"/>
      <c r="V2269" s="19"/>
    </row>
    <row r="2270">
      <c r="A2270" s="25"/>
      <c r="B2270" s="19"/>
      <c r="C2270" s="19"/>
      <c r="D2270" s="19"/>
      <c r="E2270" s="19"/>
      <c r="F2270" s="17" t="str">
        <f>IFERROR(__xludf.DUMMYFUNCTION("""COMPUTED_VALUE"""),"")</f>
        <v/>
      </c>
      <c r="G2270" s="20"/>
      <c r="H2270" s="19"/>
      <c r="I2270" s="19"/>
      <c r="J2270" s="19"/>
      <c r="K2270" s="19"/>
      <c r="L2270" s="19"/>
      <c r="M2270" s="19"/>
      <c r="N2270" s="20" t="s">
        <v>39</v>
      </c>
      <c r="O2270" s="19"/>
      <c r="P2270" s="19"/>
      <c r="Q2270" s="19"/>
      <c r="R2270" s="19"/>
      <c r="S2270" s="19"/>
      <c r="T2270" s="19"/>
      <c r="U2270" s="19"/>
      <c r="V2270" s="19"/>
    </row>
    <row r="2271">
      <c r="A2271" s="25"/>
      <c r="B2271" s="19"/>
      <c r="C2271" s="19"/>
      <c r="D2271" s="19"/>
      <c r="E2271" s="19"/>
      <c r="F2271" s="17" t="str">
        <f>IFERROR(__xludf.DUMMYFUNCTION("""COMPUTED_VALUE"""),"")</f>
        <v/>
      </c>
      <c r="G2271" s="20"/>
      <c r="H2271" s="19"/>
      <c r="I2271" s="19"/>
      <c r="J2271" s="19"/>
      <c r="K2271" s="19"/>
      <c r="L2271" s="19"/>
      <c r="M2271" s="19"/>
      <c r="N2271" s="20" t="s">
        <v>39</v>
      </c>
      <c r="O2271" s="19"/>
      <c r="P2271" s="19"/>
      <c r="Q2271" s="19"/>
      <c r="R2271" s="19"/>
      <c r="S2271" s="19"/>
      <c r="T2271" s="19"/>
      <c r="U2271" s="19"/>
      <c r="V2271" s="19"/>
    </row>
    <row r="2272">
      <c r="A2272" s="25"/>
      <c r="B2272" s="19"/>
      <c r="C2272" s="19"/>
      <c r="D2272" s="19"/>
      <c r="E2272" s="19"/>
      <c r="F2272" s="17" t="str">
        <f>IFERROR(__xludf.DUMMYFUNCTION("""COMPUTED_VALUE"""),"")</f>
        <v/>
      </c>
      <c r="G2272" s="20"/>
      <c r="H2272" s="19"/>
      <c r="I2272" s="19"/>
      <c r="J2272" s="19"/>
      <c r="K2272" s="19"/>
      <c r="L2272" s="19"/>
      <c r="M2272" s="19"/>
      <c r="N2272" s="20" t="s">
        <v>39</v>
      </c>
      <c r="O2272" s="19"/>
      <c r="P2272" s="19"/>
      <c r="Q2272" s="19"/>
      <c r="R2272" s="19"/>
      <c r="S2272" s="19"/>
      <c r="T2272" s="19"/>
      <c r="U2272" s="19"/>
      <c r="V2272" s="19"/>
    </row>
    <row r="2273">
      <c r="A2273" s="25"/>
      <c r="B2273" s="19"/>
      <c r="C2273" s="19"/>
      <c r="D2273" s="19"/>
      <c r="E2273" s="19"/>
      <c r="F2273" s="17" t="str">
        <f>IFERROR(__xludf.DUMMYFUNCTION("""COMPUTED_VALUE"""),"")</f>
        <v/>
      </c>
      <c r="G2273" s="20"/>
      <c r="H2273" s="19"/>
      <c r="I2273" s="19"/>
      <c r="J2273" s="19"/>
      <c r="K2273" s="19"/>
      <c r="L2273" s="19"/>
      <c r="M2273" s="19"/>
      <c r="N2273" s="20" t="s">
        <v>39</v>
      </c>
      <c r="O2273" s="19"/>
      <c r="P2273" s="19"/>
      <c r="Q2273" s="19"/>
      <c r="R2273" s="19"/>
      <c r="S2273" s="19"/>
      <c r="T2273" s="19"/>
      <c r="U2273" s="19"/>
      <c r="V2273" s="19"/>
    </row>
    <row r="2274">
      <c r="A2274" s="25"/>
      <c r="B2274" s="19"/>
      <c r="C2274" s="19"/>
      <c r="D2274" s="19"/>
      <c r="E2274" s="19"/>
      <c r="F2274" s="17" t="str">
        <f>IFERROR(__xludf.DUMMYFUNCTION("""COMPUTED_VALUE"""),"")</f>
        <v/>
      </c>
      <c r="G2274" s="20"/>
      <c r="H2274" s="19"/>
      <c r="I2274" s="19"/>
      <c r="J2274" s="19"/>
      <c r="K2274" s="19"/>
      <c r="L2274" s="19"/>
      <c r="M2274" s="19"/>
      <c r="N2274" s="20" t="s">
        <v>39</v>
      </c>
      <c r="O2274" s="19"/>
      <c r="P2274" s="19"/>
      <c r="Q2274" s="19"/>
      <c r="R2274" s="19"/>
      <c r="S2274" s="19"/>
      <c r="T2274" s="19"/>
      <c r="U2274" s="19"/>
      <c r="V2274" s="19"/>
    </row>
    <row r="2275">
      <c r="A2275" s="25"/>
      <c r="B2275" s="19"/>
      <c r="C2275" s="19"/>
      <c r="D2275" s="19"/>
      <c r="E2275" s="19"/>
      <c r="F2275" s="17" t="str">
        <f>IFERROR(__xludf.DUMMYFUNCTION("""COMPUTED_VALUE"""),"")</f>
        <v/>
      </c>
      <c r="G2275" s="20"/>
      <c r="H2275" s="19"/>
      <c r="I2275" s="19"/>
      <c r="J2275" s="19"/>
      <c r="K2275" s="19"/>
      <c r="L2275" s="19"/>
      <c r="M2275" s="19"/>
      <c r="N2275" s="20" t="s">
        <v>39</v>
      </c>
      <c r="O2275" s="19"/>
      <c r="P2275" s="19"/>
      <c r="Q2275" s="19"/>
      <c r="R2275" s="19"/>
      <c r="S2275" s="19"/>
      <c r="T2275" s="19"/>
      <c r="U2275" s="19"/>
      <c r="V2275" s="19"/>
    </row>
    <row r="2276">
      <c r="A2276" s="25"/>
      <c r="B2276" s="19"/>
      <c r="C2276" s="19"/>
      <c r="D2276" s="19"/>
      <c r="E2276" s="19"/>
      <c r="F2276" s="17" t="str">
        <f>IFERROR(__xludf.DUMMYFUNCTION("""COMPUTED_VALUE"""),"")</f>
        <v/>
      </c>
      <c r="G2276" s="20"/>
      <c r="H2276" s="19"/>
      <c r="I2276" s="19"/>
      <c r="J2276" s="19"/>
      <c r="K2276" s="19"/>
      <c r="L2276" s="19"/>
      <c r="M2276" s="19"/>
      <c r="N2276" s="20" t="s">
        <v>39</v>
      </c>
      <c r="O2276" s="19"/>
      <c r="P2276" s="19"/>
      <c r="Q2276" s="19"/>
      <c r="R2276" s="19"/>
      <c r="S2276" s="19"/>
      <c r="T2276" s="19"/>
      <c r="U2276" s="19"/>
      <c r="V2276" s="19"/>
    </row>
    <row r="2277">
      <c r="A2277" s="25"/>
      <c r="B2277" s="19"/>
      <c r="C2277" s="19"/>
      <c r="D2277" s="19"/>
      <c r="E2277" s="19"/>
      <c r="F2277" s="17" t="str">
        <f>IFERROR(__xludf.DUMMYFUNCTION("""COMPUTED_VALUE"""),"")</f>
        <v/>
      </c>
      <c r="G2277" s="20"/>
      <c r="H2277" s="19"/>
      <c r="I2277" s="19"/>
      <c r="J2277" s="19"/>
      <c r="K2277" s="19"/>
      <c r="L2277" s="19"/>
      <c r="M2277" s="19"/>
      <c r="N2277" s="20" t="s">
        <v>39</v>
      </c>
      <c r="O2277" s="19"/>
      <c r="P2277" s="19"/>
      <c r="Q2277" s="19"/>
      <c r="R2277" s="19"/>
      <c r="S2277" s="19"/>
      <c r="T2277" s="19"/>
      <c r="U2277" s="19"/>
      <c r="V2277" s="19"/>
    </row>
    <row r="2278">
      <c r="A2278" s="25"/>
      <c r="B2278" s="19"/>
      <c r="C2278" s="19"/>
      <c r="D2278" s="19"/>
      <c r="E2278" s="19"/>
      <c r="F2278" s="17" t="str">
        <f>IFERROR(__xludf.DUMMYFUNCTION("""COMPUTED_VALUE"""),"")</f>
        <v/>
      </c>
      <c r="G2278" s="20"/>
      <c r="H2278" s="19"/>
      <c r="I2278" s="19"/>
      <c r="J2278" s="19"/>
      <c r="K2278" s="19"/>
      <c r="L2278" s="19"/>
      <c r="M2278" s="19"/>
      <c r="N2278" s="20" t="s">
        <v>39</v>
      </c>
      <c r="O2278" s="19"/>
      <c r="P2278" s="19"/>
      <c r="Q2278" s="19"/>
      <c r="R2278" s="19"/>
      <c r="S2278" s="19"/>
      <c r="T2278" s="19"/>
      <c r="U2278" s="19"/>
      <c r="V2278" s="19"/>
    </row>
    <row r="2279">
      <c r="A2279" s="25"/>
      <c r="B2279" s="19"/>
      <c r="C2279" s="19"/>
      <c r="D2279" s="19"/>
      <c r="E2279" s="19"/>
      <c r="F2279" s="17" t="str">
        <f>IFERROR(__xludf.DUMMYFUNCTION("""COMPUTED_VALUE"""),"")</f>
        <v/>
      </c>
      <c r="G2279" s="20"/>
      <c r="H2279" s="19"/>
      <c r="I2279" s="19"/>
      <c r="J2279" s="19"/>
      <c r="K2279" s="19"/>
      <c r="L2279" s="19"/>
      <c r="M2279" s="19"/>
      <c r="N2279" s="20" t="s">
        <v>39</v>
      </c>
      <c r="O2279" s="19"/>
      <c r="P2279" s="19"/>
      <c r="Q2279" s="19"/>
      <c r="R2279" s="19"/>
      <c r="S2279" s="19"/>
      <c r="T2279" s="19"/>
      <c r="U2279" s="19"/>
      <c r="V2279" s="19"/>
    </row>
    <row r="2280">
      <c r="A2280" s="25"/>
      <c r="B2280" s="19"/>
      <c r="C2280" s="19"/>
      <c r="D2280" s="19"/>
      <c r="E2280" s="19"/>
      <c r="F2280" s="17" t="str">
        <f>IFERROR(__xludf.DUMMYFUNCTION("""COMPUTED_VALUE"""),"")</f>
        <v/>
      </c>
      <c r="G2280" s="20"/>
      <c r="H2280" s="19"/>
      <c r="I2280" s="19"/>
      <c r="J2280" s="19"/>
      <c r="K2280" s="19"/>
      <c r="L2280" s="19"/>
      <c r="M2280" s="19"/>
      <c r="N2280" s="20" t="s">
        <v>39</v>
      </c>
      <c r="O2280" s="19"/>
      <c r="P2280" s="19"/>
      <c r="Q2280" s="19"/>
      <c r="R2280" s="19"/>
      <c r="S2280" s="19"/>
      <c r="T2280" s="19"/>
      <c r="U2280" s="19"/>
      <c r="V2280" s="19"/>
    </row>
    <row r="2281">
      <c r="A2281" s="25"/>
      <c r="B2281" s="19"/>
      <c r="C2281" s="19"/>
      <c r="D2281" s="19"/>
      <c r="E2281" s="19"/>
      <c r="F2281" s="17" t="str">
        <f>IFERROR(__xludf.DUMMYFUNCTION("""COMPUTED_VALUE"""),"")</f>
        <v/>
      </c>
      <c r="G2281" s="20"/>
      <c r="H2281" s="19"/>
      <c r="I2281" s="19"/>
      <c r="J2281" s="19"/>
      <c r="K2281" s="19"/>
      <c r="L2281" s="19"/>
      <c r="M2281" s="19"/>
      <c r="N2281" s="20" t="s">
        <v>39</v>
      </c>
      <c r="O2281" s="19"/>
      <c r="P2281" s="19"/>
      <c r="Q2281" s="19"/>
      <c r="R2281" s="19"/>
      <c r="S2281" s="19"/>
      <c r="T2281" s="19"/>
      <c r="U2281" s="19"/>
      <c r="V2281" s="19"/>
    </row>
    <row r="2282">
      <c r="A2282" s="25"/>
      <c r="B2282" s="19"/>
      <c r="C2282" s="19"/>
      <c r="D2282" s="19"/>
      <c r="E2282" s="19"/>
      <c r="F2282" s="17" t="str">
        <f>IFERROR(__xludf.DUMMYFUNCTION("""COMPUTED_VALUE"""),"")</f>
        <v/>
      </c>
      <c r="G2282" s="20"/>
      <c r="H2282" s="19"/>
      <c r="I2282" s="19"/>
      <c r="J2282" s="19"/>
      <c r="K2282" s="19"/>
      <c r="L2282" s="19"/>
      <c r="M2282" s="19"/>
      <c r="N2282" s="20" t="s">
        <v>39</v>
      </c>
      <c r="O2282" s="19"/>
      <c r="P2282" s="19"/>
      <c r="Q2282" s="19"/>
      <c r="R2282" s="19"/>
      <c r="S2282" s="19"/>
      <c r="T2282" s="19"/>
      <c r="U2282" s="19"/>
      <c r="V2282" s="19"/>
    </row>
    <row r="2283">
      <c r="A2283" s="25"/>
      <c r="B2283" s="19"/>
      <c r="C2283" s="19"/>
      <c r="D2283" s="19"/>
      <c r="E2283" s="19"/>
      <c r="F2283" s="17" t="str">
        <f>IFERROR(__xludf.DUMMYFUNCTION("""COMPUTED_VALUE"""),"")</f>
        <v/>
      </c>
      <c r="G2283" s="20"/>
      <c r="H2283" s="19"/>
      <c r="I2283" s="19"/>
      <c r="J2283" s="19"/>
      <c r="K2283" s="19"/>
      <c r="L2283" s="19"/>
      <c r="M2283" s="19"/>
      <c r="N2283" s="20" t="s">
        <v>39</v>
      </c>
      <c r="O2283" s="19"/>
      <c r="P2283" s="19"/>
      <c r="Q2283" s="19"/>
      <c r="R2283" s="19"/>
      <c r="S2283" s="19"/>
      <c r="T2283" s="19"/>
      <c r="U2283" s="19"/>
      <c r="V2283" s="19"/>
    </row>
    <row r="2284">
      <c r="A2284" s="25"/>
      <c r="B2284" s="19"/>
      <c r="C2284" s="19"/>
      <c r="D2284" s="19"/>
      <c r="E2284" s="19"/>
      <c r="F2284" s="17" t="str">
        <f>IFERROR(__xludf.DUMMYFUNCTION("""COMPUTED_VALUE"""),"")</f>
        <v/>
      </c>
      <c r="G2284" s="20"/>
      <c r="H2284" s="19"/>
      <c r="I2284" s="19"/>
      <c r="J2284" s="19"/>
      <c r="K2284" s="19"/>
      <c r="L2284" s="19"/>
      <c r="M2284" s="19"/>
      <c r="N2284" s="20" t="s">
        <v>39</v>
      </c>
      <c r="O2284" s="19"/>
      <c r="P2284" s="19"/>
      <c r="Q2284" s="19"/>
      <c r="R2284" s="19"/>
      <c r="S2284" s="19"/>
      <c r="T2284" s="19"/>
      <c r="U2284" s="19"/>
      <c r="V2284" s="19"/>
    </row>
    <row r="2285">
      <c r="A2285" s="25"/>
      <c r="B2285" s="19"/>
      <c r="C2285" s="19"/>
      <c r="D2285" s="19"/>
      <c r="E2285" s="19"/>
      <c r="F2285" s="17" t="str">
        <f>IFERROR(__xludf.DUMMYFUNCTION("""COMPUTED_VALUE"""),"")</f>
        <v/>
      </c>
      <c r="G2285" s="20"/>
      <c r="H2285" s="19"/>
      <c r="I2285" s="19"/>
      <c r="J2285" s="19"/>
      <c r="K2285" s="19"/>
      <c r="L2285" s="19"/>
      <c r="M2285" s="19"/>
      <c r="N2285" s="20" t="s">
        <v>39</v>
      </c>
      <c r="O2285" s="19"/>
      <c r="P2285" s="19"/>
      <c r="Q2285" s="19"/>
      <c r="R2285" s="19"/>
      <c r="S2285" s="19"/>
      <c r="T2285" s="19"/>
      <c r="U2285" s="19"/>
      <c r="V2285" s="19"/>
    </row>
    <row r="2286">
      <c r="A2286" s="25"/>
      <c r="B2286" s="19"/>
      <c r="C2286" s="19"/>
      <c r="D2286" s="19"/>
      <c r="E2286" s="19"/>
      <c r="F2286" s="17" t="str">
        <f>IFERROR(__xludf.DUMMYFUNCTION("""COMPUTED_VALUE"""),"")</f>
        <v/>
      </c>
      <c r="G2286" s="20"/>
      <c r="H2286" s="19"/>
      <c r="I2286" s="19"/>
      <c r="J2286" s="19"/>
      <c r="K2286" s="19"/>
      <c r="L2286" s="19"/>
      <c r="M2286" s="19"/>
      <c r="N2286" s="20" t="s">
        <v>39</v>
      </c>
      <c r="O2286" s="19"/>
      <c r="P2286" s="19"/>
      <c r="Q2286" s="19"/>
      <c r="R2286" s="19"/>
      <c r="S2286" s="19"/>
      <c r="T2286" s="19"/>
      <c r="U2286" s="19"/>
      <c r="V2286" s="19"/>
    </row>
    <row r="2287">
      <c r="A2287" s="25"/>
      <c r="B2287" s="19"/>
      <c r="C2287" s="19"/>
      <c r="D2287" s="19"/>
      <c r="E2287" s="19"/>
      <c r="F2287" s="17" t="str">
        <f>IFERROR(__xludf.DUMMYFUNCTION("""COMPUTED_VALUE"""),"")</f>
        <v/>
      </c>
      <c r="G2287" s="20"/>
      <c r="H2287" s="19"/>
      <c r="I2287" s="19"/>
      <c r="J2287" s="19"/>
      <c r="K2287" s="19"/>
      <c r="L2287" s="19"/>
      <c r="M2287" s="19"/>
      <c r="N2287" s="20" t="s">
        <v>39</v>
      </c>
      <c r="O2287" s="19"/>
      <c r="P2287" s="19"/>
      <c r="Q2287" s="19"/>
      <c r="R2287" s="19"/>
      <c r="S2287" s="19"/>
      <c r="T2287" s="19"/>
      <c r="U2287" s="19"/>
      <c r="V2287" s="19"/>
    </row>
    <row r="2288">
      <c r="A2288" s="25"/>
      <c r="B2288" s="19"/>
      <c r="C2288" s="19"/>
      <c r="D2288" s="19"/>
      <c r="E2288" s="19"/>
      <c r="F2288" s="17" t="str">
        <f>IFERROR(__xludf.DUMMYFUNCTION("""COMPUTED_VALUE"""),"")</f>
        <v/>
      </c>
      <c r="G2288" s="20"/>
      <c r="H2288" s="19"/>
      <c r="I2288" s="19"/>
      <c r="J2288" s="19"/>
      <c r="K2288" s="19"/>
      <c r="L2288" s="19"/>
      <c r="M2288" s="19"/>
      <c r="N2288" s="20" t="s">
        <v>39</v>
      </c>
      <c r="O2288" s="19"/>
      <c r="P2288" s="19"/>
      <c r="Q2288" s="19"/>
      <c r="R2288" s="19"/>
      <c r="S2288" s="19"/>
      <c r="T2288" s="19"/>
      <c r="U2288" s="19"/>
      <c r="V2288" s="19"/>
    </row>
    <row r="2289">
      <c r="A2289" s="25"/>
      <c r="B2289" s="19"/>
      <c r="C2289" s="19"/>
      <c r="D2289" s="19"/>
      <c r="E2289" s="19"/>
      <c r="F2289" s="17" t="str">
        <f>IFERROR(__xludf.DUMMYFUNCTION("""COMPUTED_VALUE"""),"")</f>
        <v/>
      </c>
      <c r="G2289" s="20"/>
      <c r="H2289" s="19"/>
      <c r="I2289" s="19"/>
      <c r="J2289" s="19"/>
      <c r="K2289" s="19"/>
      <c r="L2289" s="19"/>
      <c r="M2289" s="19"/>
      <c r="N2289" s="20" t="s">
        <v>39</v>
      </c>
      <c r="O2289" s="19"/>
      <c r="P2289" s="19"/>
      <c r="Q2289" s="19"/>
      <c r="R2289" s="19"/>
      <c r="S2289" s="19"/>
      <c r="T2289" s="19"/>
      <c r="U2289" s="19"/>
      <c r="V2289" s="19"/>
    </row>
    <row r="2290">
      <c r="A2290" s="25"/>
      <c r="B2290" s="19"/>
      <c r="C2290" s="19"/>
      <c r="D2290" s="19"/>
      <c r="E2290" s="19"/>
      <c r="F2290" s="17" t="str">
        <f>IFERROR(__xludf.DUMMYFUNCTION("""COMPUTED_VALUE"""),"")</f>
        <v/>
      </c>
      <c r="G2290" s="20"/>
      <c r="H2290" s="19"/>
      <c r="I2290" s="19"/>
      <c r="J2290" s="19"/>
      <c r="K2290" s="19"/>
      <c r="L2290" s="19"/>
      <c r="M2290" s="19"/>
      <c r="N2290" s="20" t="s">
        <v>39</v>
      </c>
      <c r="O2290" s="19"/>
      <c r="P2290" s="19"/>
      <c r="Q2290" s="19"/>
      <c r="R2290" s="19"/>
      <c r="S2290" s="19"/>
      <c r="T2290" s="19"/>
      <c r="U2290" s="19"/>
      <c r="V2290" s="19"/>
    </row>
    <row r="2291">
      <c r="A2291" s="25"/>
      <c r="B2291" s="19"/>
      <c r="C2291" s="19"/>
      <c r="D2291" s="19"/>
      <c r="E2291" s="19"/>
      <c r="F2291" s="17" t="str">
        <f>IFERROR(__xludf.DUMMYFUNCTION("""COMPUTED_VALUE"""),"")</f>
        <v/>
      </c>
      <c r="G2291" s="20"/>
      <c r="H2291" s="19"/>
      <c r="I2291" s="19"/>
      <c r="J2291" s="19"/>
      <c r="K2291" s="19"/>
      <c r="L2291" s="19"/>
      <c r="M2291" s="19"/>
      <c r="N2291" s="20" t="s">
        <v>39</v>
      </c>
      <c r="O2291" s="19"/>
      <c r="P2291" s="19"/>
      <c r="Q2291" s="19"/>
      <c r="R2291" s="19"/>
      <c r="S2291" s="19"/>
      <c r="T2291" s="19"/>
      <c r="U2291" s="19"/>
      <c r="V2291" s="19"/>
    </row>
    <row r="2292">
      <c r="A2292" s="25"/>
      <c r="B2292" s="19"/>
      <c r="C2292" s="19"/>
      <c r="D2292" s="19"/>
      <c r="E2292" s="19"/>
      <c r="F2292" s="17" t="str">
        <f>IFERROR(__xludf.DUMMYFUNCTION("""COMPUTED_VALUE"""),"")</f>
        <v/>
      </c>
      <c r="G2292" s="20"/>
      <c r="H2292" s="19"/>
      <c r="I2292" s="19"/>
      <c r="J2292" s="19"/>
      <c r="K2292" s="19"/>
      <c r="L2292" s="19"/>
      <c r="M2292" s="19"/>
      <c r="N2292" s="20" t="s">
        <v>39</v>
      </c>
      <c r="O2292" s="19"/>
      <c r="P2292" s="19"/>
      <c r="Q2292" s="19"/>
      <c r="R2292" s="19"/>
      <c r="S2292" s="19"/>
      <c r="T2292" s="19"/>
      <c r="U2292" s="19"/>
      <c r="V2292" s="19"/>
    </row>
    <row r="2293">
      <c r="A2293" s="25"/>
      <c r="B2293" s="19"/>
      <c r="C2293" s="19"/>
      <c r="D2293" s="19"/>
      <c r="E2293" s="19"/>
      <c r="F2293" s="17" t="str">
        <f>IFERROR(__xludf.DUMMYFUNCTION("""COMPUTED_VALUE"""),"")</f>
        <v/>
      </c>
      <c r="G2293" s="20"/>
      <c r="H2293" s="19"/>
      <c r="I2293" s="19"/>
      <c r="J2293" s="19"/>
      <c r="K2293" s="19"/>
      <c r="L2293" s="19"/>
      <c r="M2293" s="19"/>
      <c r="N2293" s="20" t="s">
        <v>39</v>
      </c>
      <c r="O2293" s="19"/>
      <c r="P2293" s="19"/>
      <c r="Q2293" s="19"/>
      <c r="R2293" s="19"/>
      <c r="S2293" s="19"/>
      <c r="T2293" s="19"/>
      <c r="U2293" s="19"/>
      <c r="V2293" s="19"/>
    </row>
    <row r="2294">
      <c r="A2294" s="25"/>
      <c r="B2294" s="19"/>
      <c r="C2294" s="19"/>
      <c r="D2294" s="19"/>
      <c r="E2294" s="19"/>
      <c r="F2294" s="17" t="str">
        <f>IFERROR(__xludf.DUMMYFUNCTION("""COMPUTED_VALUE"""),"")</f>
        <v/>
      </c>
      <c r="G2294" s="20"/>
      <c r="H2294" s="19"/>
      <c r="I2294" s="19"/>
      <c r="J2294" s="19"/>
      <c r="K2294" s="19"/>
      <c r="L2294" s="19"/>
      <c r="M2294" s="19"/>
      <c r="N2294" s="20" t="s">
        <v>39</v>
      </c>
      <c r="O2294" s="19"/>
      <c r="P2294" s="19"/>
      <c r="Q2294" s="19"/>
      <c r="R2294" s="19"/>
      <c r="S2294" s="19"/>
      <c r="T2294" s="19"/>
      <c r="U2294" s="19"/>
      <c r="V2294" s="19"/>
    </row>
    <row r="2295">
      <c r="A2295" s="25"/>
      <c r="B2295" s="19"/>
      <c r="C2295" s="19"/>
      <c r="D2295" s="19"/>
      <c r="E2295" s="19"/>
      <c r="F2295" s="17" t="str">
        <f>IFERROR(__xludf.DUMMYFUNCTION("""COMPUTED_VALUE"""),"")</f>
        <v/>
      </c>
      <c r="G2295" s="20"/>
      <c r="H2295" s="19"/>
      <c r="I2295" s="19"/>
      <c r="J2295" s="19"/>
      <c r="K2295" s="19"/>
      <c r="L2295" s="19"/>
      <c r="M2295" s="19"/>
      <c r="N2295" s="20" t="s">
        <v>39</v>
      </c>
      <c r="O2295" s="19"/>
      <c r="P2295" s="19"/>
      <c r="Q2295" s="19"/>
      <c r="R2295" s="19"/>
      <c r="S2295" s="19"/>
      <c r="T2295" s="19"/>
      <c r="U2295" s="19"/>
      <c r="V2295" s="19"/>
    </row>
    <row r="2296">
      <c r="A2296" s="25"/>
      <c r="B2296" s="19"/>
      <c r="C2296" s="19"/>
      <c r="D2296" s="19"/>
      <c r="E2296" s="19"/>
      <c r="F2296" s="17" t="str">
        <f>IFERROR(__xludf.DUMMYFUNCTION("""COMPUTED_VALUE"""),"")</f>
        <v/>
      </c>
      <c r="G2296" s="20"/>
      <c r="H2296" s="19"/>
      <c r="I2296" s="19"/>
      <c r="J2296" s="19"/>
      <c r="K2296" s="19"/>
      <c r="L2296" s="19"/>
      <c r="M2296" s="19"/>
      <c r="N2296" s="20" t="s">
        <v>39</v>
      </c>
      <c r="O2296" s="19"/>
      <c r="P2296" s="19"/>
      <c r="Q2296" s="19"/>
      <c r="R2296" s="19"/>
      <c r="S2296" s="19"/>
      <c r="T2296" s="19"/>
      <c r="U2296" s="19"/>
      <c r="V2296" s="19"/>
    </row>
    <row r="2297">
      <c r="A2297" s="25"/>
      <c r="B2297" s="19"/>
      <c r="C2297" s="19"/>
      <c r="D2297" s="19"/>
      <c r="E2297" s="19"/>
      <c r="F2297" s="17" t="str">
        <f>IFERROR(__xludf.DUMMYFUNCTION("""COMPUTED_VALUE"""),"")</f>
        <v/>
      </c>
      <c r="G2297" s="20"/>
      <c r="H2297" s="19"/>
      <c r="I2297" s="19"/>
      <c r="J2297" s="19"/>
      <c r="K2297" s="19"/>
      <c r="L2297" s="19"/>
      <c r="M2297" s="19"/>
      <c r="N2297" s="20" t="s">
        <v>39</v>
      </c>
      <c r="O2297" s="19"/>
      <c r="P2297" s="19"/>
      <c r="Q2297" s="19"/>
      <c r="R2297" s="19"/>
      <c r="S2297" s="19"/>
      <c r="T2297" s="19"/>
      <c r="U2297" s="19"/>
      <c r="V2297" s="19"/>
    </row>
    <row r="2298">
      <c r="A2298" s="25"/>
      <c r="B2298" s="19"/>
      <c r="C2298" s="19"/>
      <c r="D2298" s="19"/>
      <c r="E2298" s="19"/>
      <c r="F2298" s="17" t="str">
        <f>IFERROR(__xludf.DUMMYFUNCTION("""COMPUTED_VALUE"""),"")</f>
        <v/>
      </c>
      <c r="G2298" s="20"/>
      <c r="H2298" s="19"/>
      <c r="I2298" s="19"/>
      <c r="J2298" s="19"/>
      <c r="K2298" s="19"/>
      <c r="L2298" s="19"/>
      <c r="M2298" s="19"/>
      <c r="N2298" s="20" t="s">
        <v>39</v>
      </c>
      <c r="O2298" s="19"/>
      <c r="P2298" s="19"/>
      <c r="Q2298" s="19"/>
      <c r="R2298" s="19"/>
      <c r="S2298" s="19"/>
      <c r="T2298" s="19"/>
      <c r="U2298" s="19"/>
      <c r="V2298" s="19"/>
    </row>
    <row r="2299">
      <c r="A2299" s="25"/>
      <c r="B2299" s="19"/>
      <c r="C2299" s="19"/>
      <c r="D2299" s="19"/>
      <c r="E2299" s="19"/>
      <c r="F2299" s="17" t="str">
        <f>IFERROR(__xludf.DUMMYFUNCTION("""COMPUTED_VALUE"""),"")</f>
        <v/>
      </c>
      <c r="G2299" s="20"/>
      <c r="H2299" s="19"/>
      <c r="I2299" s="19"/>
      <c r="J2299" s="19"/>
      <c r="K2299" s="19"/>
      <c r="L2299" s="19"/>
      <c r="M2299" s="19"/>
      <c r="N2299" s="20" t="s">
        <v>39</v>
      </c>
      <c r="O2299" s="19"/>
      <c r="P2299" s="19"/>
      <c r="Q2299" s="19"/>
      <c r="R2299" s="19"/>
      <c r="S2299" s="19"/>
      <c r="T2299" s="19"/>
      <c r="U2299" s="19"/>
      <c r="V2299" s="19"/>
    </row>
    <row r="2300">
      <c r="A2300" s="25"/>
      <c r="B2300" s="19"/>
      <c r="C2300" s="19"/>
      <c r="D2300" s="19"/>
      <c r="E2300" s="19"/>
      <c r="F2300" s="17" t="str">
        <f>IFERROR(__xludf.DUMMYFUNCTION("""COMPUTED_VALUE"""),"")</f>
        <v/>
      </c>
      <c r="G2300" s="20"/>
      <c r="H2300" s="19"/>
      <c r="I2300" s="19"/>
      <c r="J2300" s="19"/>
      <c r="K2300" s="19"/>
      <c r="L2300" s="19"/>
      <c r="M2300" s="19"/>
      <c r="N2300" s="20" t="s">
        <v>39</v>
      </c>
      <c r="O2300" s="19"/>
      <c r="P2300" s="19"/>
      <c r="Q2300" s="19"/>
      <c r="R2300" s="19"/>
      <c r="S2300" s="19"/>
      <c r="T2300" s="19"/>
      <c r="U2300" s="19"/>
      <c r="V2300" s="19"/>
    </row>
    <row r="2301">
      <c r="A2301" s="25"/>
      <c r="B2301" s="19"/>
      <c r="C2301" s="19"/>
      <c r="D2301" s="19"/>
      <c r="E2301" s="19"/>
      <c r="F2301" s="17" t="str">
        <f>IFERROR(__xludf.DUMMYFUNCTION("""COMPUTED_VALUE"""),"")</f>
        <v/>
      </c>
      <c r="G2301" s="20"/>
      <c r="H2301" s="19"/>
      <c r="I2301" s="19"/>
      <c r="J2301" s="19"/>
      <c r="K2301" s="19"/>
      <c r="L2301" s="19"/>
      <c r="M2301" s="19"/>
      <c r="N2301" s="20" t="s">
        <v>39</v>
      </c>
      <c r="O2301" s="19"/>
      <c r="P2301" s="19"/>
      <c r="Q2301" s="19"/>
      <c r="R2301" s="19"/>
      <c r="S2301" s="19"/>
      <c r="T2301" s="19"/>
      <c r="U2301" s="19"/>
      <c r="V2301" s="19"/>
    </row>
    <row r="2302">
      <c r="A2302" s="25"/>
      <c r="B2302" s="19"/>
      <c r="C2302" s="19"/>
      <c r="D2302" s="19"/>
      <c r="E2302" s="19"/>
      <c r="F2302" s="17" t="str">
        <f>IFERROR(__xludf.DUMMYFUNCTION("""COMPUTED_VALUE"""),"")</f>
        <v/>
      </c>
      <c r="G2302" s="20"/>
      <c r="H2302" s="19"/>
      <c r="I2302" s="19"/>
      <c r="J2302" s="19"/>
      <c r="K2302" s="19"/>
      <c r="L2302" s="19"/>
      <c r="M2302" s="19"/>
      <c r="N2302" s="20" t="s">
        <v>39</v>
      </c>
      <c r="O2302" s="19"/>
      <c r="P2302" s="19"/>
      <c r="Q2302" s="19"/>
      <c r="R2302" s="19"/>
      <c r="S2302" s="19"/>
      <c r="T2302" s="19"/>
      <c r="U2302" s="19"/>
      <c r="V2302" s="19"/>
    </row>
    <row r="2303">
      <c r="A2303" s="25"/>
      <c r="B2303" s="19"/>
      <c r="C2303" s="19"/>
      <c r="D2303" s="19"/>
      <c r="E2303" s="19"/>
      <c r="F2303" s="17" t="str">
        <f>IFERROR(__xludf.DUMMYFUNCTION("""COMPUTED_VALUE"""),"")</f>
        <v/>
      </c>
      <c r="G2303" s="20"/>
      <c r="H2303" s="19"/>
      <c r="I2303" s="19"/>
      <c r="J2303" s="19"/>
      <c r="K2303" s="19"/>
      <c r="L2303" s="19"/>
      <c r="M2303" s="19"/>
      <c r="N2303" s="20" t="s">
        <v>39</v>
      </c>
      <c r="O2303" s="19"/>
      <c r="P2303" s="19"/>
      <c r="Q2303" s="19"/>
      <c r="R2303" s="19"/>
      <c r="S2303" s="19"/>
      <c r="T2303" s="19"/>
      <c r="U2303" s="19"/>
      <c r="V2303" s="19"/>
    </row>
    <row r="2304">
      <c r="A2304" s="25"/>
      <c r="B2304" s="19"/>
      <c r="C2304" s="19"/>
      <c r="D2304" s="19"/>
      <c r="E2304" s="19"/>
      <c r="F2304" s="17" t="str">
        <f>IFERROR(__xludf.DUMMYFUNCTION("""COMPUTED_VALUE"""),"")</f>
        <v/>
      </c>
      <c r="G2304" s="20"/>
      <c r="H2304" s="19"/>
      <c r="I2304" s="19"/>
      <c r="J2304" s="19"/>
      <c r="K2304" s="19"/>
      <c r="L2304" s="19"/>
      <c r="M2304" s="19"/>
      <c r="N2304" s="20" t="s">
        <v>39</v>
      </c>
      <c r="O2304" s="19"/>
      <c r="P2304" s="19"/>
      <c r="Q2304" s="19"/>
      <c r="R2304" s="19"/>
      <c r="S2304" s="19"/>
      <c r="T2304" s="19"/>
      <c r="U2304" s="19"/>
      <c r="V2304" s="19"/>
    </row>
    <row r="2305">
      <c r="A2305" s="25"/>
      <c r="B2305" s="19"/>
      <c r="C2305" s="19"/>
      <c r="D2305" s="19"/>
      <c r="E2305" s="19"/>
      <c r="F2305" s="17" t="str">
        <f>IFERROR(__xludf.DUMMYFUNCTION("""COMPUTED_VALUE"""),"")</f>
        <v/>
      </c>
      <c r="G2305" s="20"/>
      <c r="H2305" s="19"/>
      <c r="I2305" s="19"/>
      <c r="J2305" s="19"/>
      <c r="K2305" s="19"/>
      <c r="L2305" s="19"/>
      <c r="M2305" s="19"/>
      <c r="N2305" s="20" t="s">
        <v>39</v>
      </c>
      <c r="O2305" s="19"/>
      <c r="P2305" s="19"/>
      <c r="Q2305" s="19"/>
      <c r="R2305" s="19"/>
      <c r="S2305" s="19"/>
      <c r="T2305" s="19"/>
      <c r="U2305" s="19"/>
      <c r="V2305" s="19"/>
    </row>
    <row r="2306">
      <c r="A2306" s="25"/>
      <c r="B2306" s="19"/>
      <c r="C2306" s="19"/>
      <c r="D2306" s="19"/>
      <c r="E2306" s="19"/>
      <c r="F2306" s="17" t="str">
        <f>IFERROR(__xludf.DUMMYFUNCTION("""COMPUTED_VALUE"""),"")</f>
        <v/>
      </c>
      <c r="G2306" s="20"/>
      <c r="H2306" s="19"/>
      <c r="I2306" s="19"/>
      <c r="J2306" s="19"/>
      <c r="K2306" s="19"/>
      <c r="L2306" s="19"/>
      <c r="M2306" s="19"/>
      <c r="N2306" s="20" t="s">
        <v>39</v>
      </c>
      <c r="O2306" s="19"/>
      <c r="P2306" s="19"/>
      <c r="Q2306" s="19"/>
      <c r="R2306" s="19"/>
      <c r="S2306" s="19"/>
      <c r="T2306" s="19"/>
      <c r="U2306" s="19"/>
      <c r="V2306" s="19"/>
    </row>
    <row r="2307">
      <c r="A2307" s="25"/>
      <c r="B2307" s="19"/>
      <c r="C2307" s="19"/>
      <c r="D2307" s="19"/>
      <c r="E2307" s="19"/>
      <c r="F2307" s="17" t="str">
        <f>IFERROR(__xludf.DUMMYFUNCTION("""COMPUTED_VALUE"""),"")</f>
        <v/>
      </c>
      <c r="G2307" s="20"/>
      <c r="H2307" s="19"/>
      <c r="I2307" s="19"/>
      <c r="J2307" s="19"/>
      <c r="K2307" s="19"/>
      <c r="L2307" s="19"/>
      <c r="M2307" s="19"/>
      <c r="N2307" s="20" t="s">
        <v>39</v>
      </c>
      <c r="O2307" s="19"/>
      <c r="P2307" s="19"/>
      <c r="Q2307" s="19"/>
      <c r="R2307" s="19"/>
      <c r="S2307" s="19"/>
      <c r="T2307" s="19"/>
      <c r="U2307" s="19"/>
      <c r="V2307" s="19"/>
    </row>
    <row r="2308">
      <c r="A2308" s="25"/>
      <c r="B2308" s="19"/>
      <c r="C2308" s="19"/>
      <c r="D2308" s="19"/>
      <c r="E2308" s="19"/>
      <c r="F2308" s="17" t="str">
        <f>IFERROR(__xludf.DUMMYFUNCTION("""COMPUTED_VALUE"""),"")</f>
        <v/>
      </c>
      <c r="G2308" s="20"/>
      <c r="H2308" s="19"/>
      <c r="I2308" s="19"/>
      <c r="J2308" s="19"/>
      <c r="K2308" s="19"/>
      <c r="L2308" s="19"/>
      <c r="M2308" s="19"/>
      <c r="N2308" s="20" t="s">
        <v>39</v>
      </c>
      <c r="O2308" s="19"/>
      <c r="P2308" s="19"/>
      <c r="Q2308" s="19"/>
      <c r="R2308" s="19"/>
      <c r="S2308" s="19"/>
      <c r="T2308" s="19"/>
      <c r="U2308" s="19"/>
      <c r="V2308" s="19"/>
    </row>
    <row r="2309">
      <c r="A2309" s="25"/>
      <c r="B2309" s="19"/>
      <c r="C2309" s="19"/>
      <c r="D2309" s="19"/>
      <c r="E2309" s="19"/>
      <c r="F2309" s="17" t="str">
        <f>IFERROR(__xludf.DUMMYFUNCTION("""COMPUTED_VALUE"""),"")</f>
        <v/>
      </c>
      <c r="G2309" s="20"/>
      <c r="H2309" s="19"/>
      <c r="I2309" s="19"/>
      <c r="J2309" s="19"/>
      <c r="K2309" s="19"/>
      <c r="L2309" s="19"/>
      <c r="M2309" s="19"/>
      <c r="N2309" s="20" t="s">
        <v>39</v>
      </c>
      <c r="O2309" s="19"/>
      <c r="P2309" s="19"/>
      <c r="Q2309" s="19"/>
      <c r="R2309" s="19"/>
      <c r="S2309" s="19"/>
      <c r="T2309" s="19"/>
      <c r="U2309" s="19"/>
      <c r="V2309" s="19"/>
    </row>
    <row r="2310">
      <c r="A2310" s="25"/>
      <c r="B2310" s="19"/>
      <c r="C2310" s="19"/>
      <c r="D2310" s="19"/>
      <c r="E2310" s="19"/>
      <c r="F2310" s="17" t="str">
        <f>IFERROR(__xludf.DUMMYFUNCTION("""COMPUTED_VALUE"""),"")</f>
        <v/>
      </c>
      <c r="G2310" s="20"/>
      <c r="H2310" s="19"/>
      <c r="I2310" s="19"/>
      <c r="J2310" s="19"/>
      <c r="K2310" s="19"/>
      <c r="L2310" s="19"/>
      <c r="M2310" s="19"/>
      <c r="N2310" s="20" t="s">
        <v>39</v>
      </c>
      <c r="O2310" s="19"/>
      <c r="P2310" s="19"/>
      <c r="Q2310" s="19"/>
      <c r="R2310" s="19"/>
      <c r="S2310" s="19"/>
      <c r="T2310" s="19"/>
      <c r="U2310" s="19"/>
      <c r="V2310" s="19"/>
    </row>
    <row r="2311">
      <c r="A2311" s="25"/>
      <c r="B2311" s="19"/>
      <c r="C2311" s="19"/>
      <c r="D2311" s="19"/>
      <c r="E2311" s="19"/>
      <c r="F2311" s="17" t="str">
        <f>IFERROR(__xludf.DUMMYFUNCTION("""COMPUTED_VALUE"""),"")</f>
        <v/>
      </c>
      <c r="G2311" s="20"/>
      <c r="H2311" s="19"/>
      <c r="I2311" s="19"/>
      <c r="J2311" s="19"/>
      <c r="K2311" s="19"/>
      <c r="L2311" s="19"/>
      <c r="M2311" s="19"/>
      <c r="N2311" s="20" t="s">
        <v>39</v>
      </c>
      <c r="O2311" s="19"/>
      <c r="P2311" s="19"/>
      <c r="Q2311" s="19"/>
      <c r="R2311" s="19"/>
      <c r="S2311" s="19"/>
      <c r="T2311" s="19"/>
      <c r="U2311" s="19"/>
      <c r="V2311" s="19"/>
    </row>
    <row r="2312">
      <c r="A2312" s="25"/>
      <c r="B2312" s="19"/>
      <c r="C2312" s="19"/>
      <c r="D2312" s="19"/>
      <c r="E2312" s="19"/>
      <c r="F2312" s="17" t="str">
        <f>IFERROR(__xludf.DUMMYFUNCTION("""COMPUTED_VALUE"""),"")</f>
        <v/>
      </c>
      <c r="G2312" s="20"/>
      <c r="H2312" s="19"/>
      <c r="I2312" s="19"/>
      <c r="J2312" s="19"/>
      <c r="K2312" s="19"/>
      <c r="L2312" s="19"/>
      <c r="M2312" s="19"/>
      <c r="N2312" s="20" t="s">
        <v>39</v>
      </c>
      <c r="O2312" s="19"/>
      <c r="P2312" s="19"/>
      <c r="Q2312" s="19"/>
      <c r="R2312" s="19"/>
      <c r="S2312" s="19"/>
      <c r="T2312" s="19"/>
      <c r="U2312" s="19"/>
      <c r="V2312" s="19"/>
    </row>
    <row r="2313">
      <c r="A2313" s="25"/>
      <c r="B2313" s="19"/>
      <c r="C2313" s="19"/>
      <c r="D2313" s="19"/>
      <c r="E2313" s="19"/>
      <c r="F2313" s="17" t="str">
        <f>IFERROR(__xludf.DUMMYFUNCTION("""COMPUTED_VALUE"""),"")</f>
        <v/>
      </c>
      <c r="G2313" s="20"/>
      <c r="H2313" s="19"/>
      <c r="I2313" s="19"/>
      <c r="J2313" s="19"/>
      <c r="K2313" s="19"/>
      <c r="L2313" s="19"/>
      <c r="M2313" s="19"/>
      <c r="N2313" s="20" t="s">
        <v>39</v>
      </c>
      <c r="O2313" s="19"/>
      <c r="P2313" s="19"/>
      <c r="Q2313" s="19"/>
      <c r="R2313" s="19"/>
      <c r="S2313" s="19"/>
      <c r="T2313" s="19"/>
      <c r="U2313" s="19"/>
      <c r="V2313" s="19"/>
    </row>
    <row r="2314">
      <c r="A2314" s="25"/>
      <c r="B2314" s="19"/>
      <c r="C2314" s="19"/>
      <c r="D2314" s="19"/>
      <c r="E2314" s="19"/>
      <c r="F2314" s="17" t="str">
        <f>IFERROR(__xludf.DUMMYFUNCTION("""COMPUTED_VALUE"""),"")</f>
        <v/>
      </c>
      <c r="G2314" s="20"/>
      <c r="H2314" s="19"/>
      <c r="I2314" s="19"/>
      <c r="J2314" s="19"/>
      <c r="K2314" s="19"/>
      <c r="L2314" s="19"/>
      <c r="M2314" s="19"/>
      <c r="N2314" s="20" t="s">
        <v>39</v>
      </c>
      <c r="O2314" s="19"/>
      <c r="P2314" s="19"/>
      <c r="Q2314" s="19"/>
      <c r="R2314" s="19"/>
      <c r="S2314" s="19"/>
      <c r="T2314" s="19"/>
      <c r="U2314" s="19"/>
      <c r="V2314" s="19"/>
    </row>
    <row r="2315">
      <c r="A2315" s="25"/>
      <c r="B2315" s="19"/>
      <c r="C2315" s="19"/>
      <c r="D2315" s="19"/>
      <c r="E2315" s="19"/>
      <c r="F2315" s="17" t="str">
        <f>IFERROR(__xludf.DUMMYFUNCTION("""COMPUTED_VALUE"""),"")</f>
        <v/>
      </c>
      <c r="G2315" s="20"/>
      <c r="H2315" s="19"/>
      <c r="I2315" s="19"/>
      <c r="J2315" s="19"/>
      <c r="K2315" s="19"/>
      <c r="L2315" s="19"/>
      <c r="M2315" s="19"/>
      <c r="N2315" s="20" t="s">
        <v>39</v>
      </c>
      <c r="O2315" s="19"/>
      <c r="P2315" s="19"/>
      <c r="Q2315" s="19"/>
      <c r="R2315" s="19"/>
      <c r="S2315" s="19"/>
      <c r="T2315" s="19"/>
      <c r="U2315" s="19"/>
      <c r="V2315" s="19"/>
    </row>
    <row r="2316">
      <c r="A2316" s="25"/>
      <c r="B2316" s="19"/>
      <c r="C2316" s="19"/>
      <c r="D2316" s="19"/>
      <c r="E2316" s="19"/>
      <c r="F2316" s="17" t="str">
        <f>IFERROR(__xludf.DUMMYFUNCTION("""COMPUTED_VALUE"""),"")</f>
        <v/>
      </c>
      <c r="G2316" s="20"/>
      <c r="H2316" s="19"/>
      <c r="I2316" s="19"/>
      <c r="J2316" s="19"/>
      <c r="K2316" s="19"/>
      <c r="L2316" s="19"/>
      <c r="M2316" s="19"/>
      <c r="N2316" s="20" t="s">
        <v>39</v>
      </c>
      <c r="O2316" s="19"/>
      <c r="P2316" s="19"/>
      <c r="Q2316" s="19"/>
      <c r="R2316" s="19"/>
      <c r="S2316" s="19"/>
      <c r="T2316" s="19"/>
      <c r="U2316" s="19"/>
      <c r="V2316" s="19"/>
    </row>
    <row r="2317">
      <c r="A2317" s="25"/>
      <c r="B2317" s="19"/>
      <c r="C2317" s="19"/>
      <c r="D2317" s="19"/>
      <c r="E2317" s="19"/>
      <c r="F2317" s="17" t="str">
        <f>IFERROR(__xludf.DUMMYFUNCTION("""COMPUTED_VALUE"""),"")</f>
        <v/>
      </c>
      <c r="G2317" s="20"/>
      <c r="H2317" s="19"/>
      <c r="I2317" s="19"/>
      <c r="J2317" s="19"/>
      <c r="K2317" s="19"/>
      <c r="L2317" s="19"/>
      <c r="M2317" s="19"/>
      <c r="N2317" s="20" t="s">
        <v>39</v>
      </c>
      <c r="O2317" s="19"/>
      <c r="P2317" s="19"/>
      <c r="Q2317" s="19"/>
      <c r="R2317" s="19"/>
      <c r="S2317" s="19"/>
      <c r="T2317" s="19"/>
      <c r="U2317" s="19"/>
      <c r="V2317" s="19"/>
    </row>
    <row r="2318">
      <c r="A2318" s="25"/>
      <c r="B2318" s="19"/>
      <c r="C2318" s="19"/>
      <c r="D2318" s="19"/>
      <c r="E2318" s="19"/>
      <c r="F2318" s="17" t="str">
        <f>IFERROR(__xludf.DUMMYFUNCTION("""COMPUTED_VALUE"""),"")</f>
        <v/>
      </c>
      <c r="G2318" s="20"/>
      <c r="H2318" s="19"/>
      <c r="I2318" s="19"/>
      <c r="J2318" s="19"/>
      <c r="K2318" s="19"/>
      <c r="L2318" s="19"/>
      <c r="M2318" s="19"/>
      <c r="N2318" s="20" t="s">
        <v>39</v>
      </c>
      <c r="O2318" s="19"/>
      <c r="P2318" s="19"/>
      <c r="Q2318" s="19"/>
      <c r="R2318" s="19"/>
      <c r="S2318" s="19"/>
      <c r="T2318" s="19"/>
      <c r="U2318" s="19"/>
      <c r="V2318" s="19"/>
    </row>
    <row r="2319">
      <c r="A2319" s="25"/>
      <c r="B2319" s="19"/>
      <c r="C2319" s="19"/>
      <c r="D2319" s="19"/>
      <c r="E2319" s="19"/>
      <c r="F2319" s="17" t="str">
        <f>IFERROR(__xludf.DUMMYFUNCTION("""COMPUTED_VALUE"""),"")</f>
        <v/>
      </c>
      <c r="G2319" s="20"/>
      <c r="H2319" s="19"/>
      <c r="I2319" s="19"/>
      <c r="J2319" s="19"/>
      <c r="K2319" s="19"/>
      <c r="L2319" s="19"/>
      <c r="M2319" s="19"/>
      <c r="N2319" s="20" t="s">
        <v>39</v>
      </c>
      <c r="O2319" s="19"/>
      <c r="P2319" s="19"/>
      <c r="Q2319" s="19"/>
      <c r="R2319" s="19"/>
      <c r="S2319" s="19"/>
      <c r="T2319" s="19"/>
      <c r="U2319" s="19"/>
      <c r="V2319" s="19"/>
    </row>
    <row r="2320">
      <c r="A2320" s="25"/>
      <c r="B2320" s="19"/>
      <c r="C2320" s="19"/>
      <c r="D2320" s="19"/>
      <c r="E2320" s="19"/>
      <c r="F2320" s="17" t="str">
        <f>IFERROR(__xludf.DUMMYFUNCTION("""COMPUTED_VALUE"""),"")</f>
        <v/>
      </c>
      <c r="G2320" s="20"/>
      <c r="H2320" s="19"/>
      <c r="I2320" s="19"/>
      <c r="J2320" s="19"/>
      <c r="K2320" s="19"/>
      <c r="L2320" s="19"/>
      <c r="M2320" s="19"/>
      <c r="N2320" s="20" t="s">
        <v>39</v>
      </c>
      <c r="O2320" s="19"/>
      <c r="P2320" s="19"/>
      <c r="Q2320" s="19"/>
      <c r="R2320" s="19"/>
      <c r="S2320" s="19"/>
      <c r="T2320" s="19"/>
      <c r="U2320" s="19"/>
      <c r="V2320" s="19"/>
    </row>
    <row r="2321">
      <c r="A2321" s="25"/>
      <c r="B2321" s="19"/>
      <c r="C2321" s="19"/>
      <c r="D2321" s="19"/>
      <c r="E2321" s="19"/>
      <c r="F2321" s="17" t="str">
        <f>IFERROR(__xludf.DUMMYFUNCTION("""COMPUTED_VALUE"""),"")</f>
        <v/>
      </c>
      <c r="G2321" s="20"/>
      <c r="H2321" s="19"/>
      <c r="I2321" s="19"/>
      <c r="J2321" s="19"/>
      <c r="K2321" s="19"/>
      <c r="L2321" s="19"/>
      <c r="M2321" s="19"/>
      <c r="N2321" s="20" t="s">
        <v>39</v>
      </c>
      <c r="O2321" s="19"/>
      <c r="P2321" s="19"/>
      <c r="Q2321" s="19"/>
      <c r="R2321" s="19"/>
      <c r="S2321" s="19"/>
      <c r="T2321" s="19"/>
      <c r="U2321" s="19"/>
      <c r="V2321" s="19"/>
    </row>
    <row r="2322">
      <c r="A2322" s="25"/>
      <c r="B2322" s="19"/>
      <c r="C2322" s="19"/>
      <c r="D2322" s="19"/>
      <c r="E2322" s="19"/>
      <c r="F2322" s="17" t="str">
        <f>IFERROR(__xludf.DUMMYFUNCTION("""COMPUTED_VALUE"""),"")</f>
        <v/>
      </c>
      <c r="G2322" s="20"/>
      <c r="H2322" s="19"/>
      <c r="I2322" s="19"/>
      <c r="J2322" s="19"/>
      <c r="K2322" s="19"/>
      <c r="L2322" s="19"/>
      <c r="M2322" s="19"/>
      <c r="N2322" s="20" t="s">
        <v>39</v>
      </c>
      <c r="O2322" s="19"/>
      <c r="P2322" s="19"/>
      <c r="Q2322" s="19"/>
      <c r="R2322" s="19"/>
      <c r="S2322" s="19"/>
      <c r="T2322" s="19"/>
      <c r="U2322" s="19"/>
      <c r="V2322" s="19"/>
    </row>
    <row r="2323">
      <c r="A2323" s="25"/>
      <c r="B2323" s="19"/>
      <c r="C2323" s="19"/>
      <c r="D2323" s="19"/>
      <c r="E2323" s="19"/>
      <c r="F2323" s="17" t="str">
        <f>IFERROR(__xludf.DUMMYFUNCTION("""COMPUTED_VALUE"""),"")</f>
        <v/>
      </c>
      <c r="G2323" s="20"/>
      <c r="H2323" s="19"/>
      <c r="I2323" s="19"/>
      <c r="J2323" s="19"/>
      <c r="K2323" s="19"/>
      <c r="L2323" s="19"/>
      <c r="M2323" s="19"/>
      <c r="N2323" s="20" t="s">
        <v>39</v>
      </c>
      <c r="O2323" s="19"/>
      <c r="P2323" s="19"/>
      <c r="Q2323" s="19"/>
      <c r="R2323" s="19"/>
      <c r="S2323" s="19"/>
      <c r="T2323" s="19"/>
      <c r="U2323" s="19"/>
      <c r="V2323" s="19"/>
    </row>
    <row r="2324">
      <c r="A2324" s="25"/>
      <c r="B2324" s="19"/>
      <c r="C2324" s="19"/>
      <c r="D2324" s="19"/>
      <c r="E2324" s="19"/>
      <c r="F2324" s="17" t="str">
        <f>IFERROR(__xludf.DUMMYFUNCTION("""COMPUTED_VALUE"""),"")</f>
        <v/>
      </c>
      <c r="G2324" s="20"/>
      <c r="H2324" s="19"/>
      <c r="I2324" s="19"/>
      <c r="J2324" s="19"/>
      <c r="K2324" s="19"/>
      <c r="L2324" s="19"/>
      <c r="M2324" s="19"/>
      <c r="N2324" s="20" t="s">
        <v>39</v>
      </c>
      <c r="O2324" s="19"/>
      <c r="P2324" s="19"/>
      <c r="Q2324" s="19"/>
      <c r="R2324" s="19"/>
      <c r="S2324" s="19"/>
      <c r="T2324" s="19"/>
      <c r="U2324" s="19"/>
      <c r="V2324" s="19"/>
    </row>
    <row r="2325">
      <c r="A2325" s="25"/>
      <c r="B2325" s="19"/>
      <c r="C2325" s="19"/>
      <c r="D2325" s="19"/>
      <c r="E2325" s="19"/>
      <c r="F2325" s="17" t="str">
        <f>IFERROR(__xludf.DUMMYFUNCTION("""COMPUTED_VALUE"""),"")</f>
        <v/>
      </c>
      <c r="G2325" s="20"/>
      <c r="H2325" s="19"/>
      <c r="I2325" s="19"/>
      <c r="J2325" s="19"/>
      <c r="K2325" s="19"/>
      <c r="L2325" s="19"/>
      <c r="M2325" s="19"/>
      <c r="N2325" s="20" t="s">
        <v>39</v>
      </c>
      <c r="O2325" s="19"/>
      <c r="P2325" s="19"/>
      <c r="Q2325" s="19"/>
      <c r="R2325" s="19"/>
      <c r="S2325" s="19"/>
      <c r="T2325" s="19"/>
      <c r="U2325" s="19"/>
      <c r="V2325" s="19"/>
    </row>
    <row r="2326">
      <c r="A2326" s="25"/>
      <c r="B2326" s="19"/>
      <c r="C2326" s="19"/>
      <c r="D2326" s="19"/>
      <c r="E2326" s="19"/>
      <c r="F2326" s="17" t="str">
        <f>IFERROR(__xludf.DUMMYFUNCTION("""COMPUTED_VALUE"""),"")</f>
        <v/>
      </c>
      <c r="G2326" s="20"/>
      <c r="H2326" s="19"/>
      <c r="I2326" s="19"/>
      <c r="J2326" s="19"/>
      <c r="K2326" s="19"/>
      <c r="L2326" s="19"/>
      <c r="M2326" s="19"/>
      <c r="N2326" s="20" t="s">
        <v>39</v>
      </c>
      <c r="O2326" s="19"/>
      <c r="P2326" s="19"/>
      <c r="Q2326" s="19"/>
      <c r="R2326" s="19"/>
      <c r="S2326" s="19"/>
      <c r="T2326" s="19"/>
      <c r="U2326" s="19"/>
      <c r="V2326" s="19"/>
    </row>
    <row r="2327">
      <c r="A2327" s="25"/>
      <c r="B2327" s="19"/>
      <c r="C2327" s="19"/>
      <c r="D2327" s="19"/>
      <c r="E2327" s="19"/>
      <c r="F2327" s="17" t="str">
        <f>IFERROR(__xludf.DUMMYFUNCTION("""COMPUTED_VALUE"""),"")</f>
        <v/>
      </c>
      <c r="G2327" s="20"/>
      <c r="H2327" s="19"/>
      <c r="I2327" s="19"/>
      <c r="J2327" s="19"/>
      <c r="K2327" s="19"/>
      <c r="L2327" s="19"/>
      <c r="M2327" s="19"/>
      <c r="N2327" s="20" t="s">
        <v>39</v>
      </c>
      <c r="O2327" s="19"/>
      <c r="P2327" s="19"/>
      <c r="Q2327" s="19"/>
      <c r="R2327" s="19"/>
      <c r="S2327" s="19"/>
      <c r="T2327" s="19"/>
      <c r="U2327" s="19"/>
      <c r="V2327" s="19"/>
    </row>
    <row r="2328">
      <c r="A2328" s="25"/>
      <c r="B2328" s="19"/>
      <c r="C2328" s="19"/>
      <c r="D2328" s="19"/>
      <c r="E2328" s="19"/>
      <c r="F2328" s="17" t="str">
        <f>IFERROR(__xludf.DUMMYFUNCTION("""COMPUTED_VALUE"""),"")</f>
        <v/>
      </c>
      <c r="G2328" s="20"/>
      <c r="H2328" s="19"/>
      <c r="I2328" s="19"/>
      <c r="J2328" s="19"/>
      <c r="K2328" s="19"/>
      <c r="L2328" s="19"/>
      <c r="M2328" s="19"/>
      <c r="N2328" s="20" t="s">
        <v>39</v>
      </c>
      <c r="O2328" s="19"/>
      <c r="P2328" s="19"/>
      <c r="Q2328" s="19"/>
      <c r="R2328" s="19"/>
      <c r="S2328" s="19"/>
      <c r="T2328" s="19"/>
      <c r="U2328" s="19"/>
      <c r="V2328" s="19"/>
    </row>
    <row r="2329">
      <c r="A2329" s="25"/>
      <c r="B2329" s="19"/>
      <c r="C2329" s="19"/>
      <c r="D2329" s="19"/>
      <c r="E2329" s="19"/>
      <c r="F2329" s="17" t="str">
        <f>IFERROR(__xludf.DUMMYFUNCTION("""COMPUTED_VALUE"""),"")</f>
        <v/>
      </c>
      <c r="G2329" s="20"/>
      <c r="H2329" s="19"/>
      <c r="I2329" s="19"/>
      <c r="J2329" s="19"/>
      <c r="K2329" s="19"/>
      <c r="L2329" s="19"/>
      <c r="M2329" s="19"/>
      <c r="N2329" s="20" t="s">
        <v>39</v>
      </c>
      <c r="O2329" s="19"/>
      <c r="P2329" s="19"/>
      <c r="Q2329" s="19"/>
      <c r="R2329" s="19"/>
      <c r="S2329" s="19"/>
      <c r="T2329" s="19"/>
      <c r="U2329" s="19"/>
      <c r="V2329" s="19"/>
    </row>
    <row r="2330">
      <c r="A2330" s="25"/>
      <c r="B2330" s="19"/>
      <c r="C2330" s="19"/>
      <c r="D2330" s="19"/>
      <c r="E2330" s="19"/>
      <c r="F2330" s="17" t="str">
        <f>IFERROR(__xludf.DUMMYFUNCTION("""COMPUTED_VALUE"""),"")</f>
        <v/>
      </c>
      <c r="G2330" s="20"/>
      <c r="H2330" s="19"/>
      <c r="I2330" s="19"/>
      <c r="J2330" s="19"/>
      <c r="K2330" s="19"/>
      <c r="L2330" s="19"/>
      <c r="M2330" s="19"/>
      <c r="N2330" s="20" t="s">
        <v>39</v>
      </c>
      <c r="O2330" s="19"/>
      <c r="P2330" s="19"/>
      <c r="Q2330" s="19"/>
      <c r="R2330" s="19"/>
      <c r="S2330" s="19"/>
      <c r="T2330" s="19"/>
      <c r="U2330" s="19"/>
      <c r="V2330" s="19"/>
    </row>
    <row r="2331">
      <c r="A2331" s="25"/>
      <c r="B2331" s="19"/>
      <c r="C2331" s="19"/>
      <c r="D2331" s="19"/>
      <c r="E2331" s="19"/>
      <c r="F2331" s="17" t="str">
        <f>IFERROR(__xludf.DUMMYFUNCTION("""COMPUTED_VALUE"""),"")</f>
        <v/>
      </c>
      <c r="G2331" s="20"/>
      <c r="H2331" s="19"/>
      <c r="I2331" s="19"/>
      <c r="J2331" s="19"/>
      <c r="K2331" s="19"/>
      <c r="L2331" s="19"/>
      <c r="M2331" s="19"/>
      <c r="N2331" s="20" t="s">
        <v>39</v>
      </c>
      <c r="O2331" s="19"/>
      <c r="P2331" s="19"/>
      <c r="Q2331" s="19"/>
      <c r="R2331" s="19"/>
      <c r="S2331" s="19"/>
      <c r="T2331" s="19"/>
      <c r="U2331" s="19"/>
      <c r="V2331" s="19"/>
    </row>
    <row r="2332">
      <c r="A2332" s="25"/>
      <c r="B2332" s="19"/>
      <c r="C2332" s="19"/>
      <c r="D2332" s="19"/>
      <c r="E2332" s="19"/>
      <c r="F2332" s="17" t="str">
        <f>IFERROR(__xludf.DUMMYFUNCTION("""COMPUTED_VALUE"""),"")</f>
        <v/>
      </c>
      <c r="G2332" s="20"/>
      <c r="H2332" s="19"/>
      <c r="I2332" s="19"/>
      <c r="J2332" s="19"/>
      <c r="K2332" s="19"/>
      <c r="L2332" s="19"/>
      <c r="M2332" s="19"/>
      <c r="N2332" s="20" t="s">
        <v>39</v>
      </c>
      <c r="O2332" s="19"/>
      <c r="P2332" s="19"/>
      <c r="Q2332" s="19"/>
      <c r="R2332" s="19"/>
      <c r="S2332" s="19"/>
      <c r="T2332" s="19"/>
      <c r="U2332" s="19"/>
      <c r="V2332" s="19"/>
    </row>
    <row r="2333">
      <c r="A2333" s="25"/>
      <c r="B2333" s="19"/>
      <c r="C2333" s="19"/>
      <c r="D2333" s="19"/>
      <c r="E2333" s="19"/>
      <c r="F2333" s="17" t="str">
        <f>IFERROR(__xludf.DUMMYFUNCTION("""COMPUTED_VALUE"""),"")</f>
        <v/>
      </c>
      <c r="G2333" s="20"/>
      <c r="H2333" s="19"/>
      <c r="I2333" s="19"/>
      <c r="J2333" s="19"/>
      <c r="K2333" s="19"/>
      <c r="L2333" s="19"/>
      <c r="M2333" s="19"/>
      <c r="N2333" s="20" t="s">
        <v>39</v>
      </c>
      <c r="O2333" s="19"/>
      <c r="P2333" s="19"/>
      <c r="Q2333" s="19"/>
      <c r="R2333" s="19"/>
      <c r="S2333" s="19"/>
      <c r="T2333" s="19"/>
      <c r="U2333" s="19"/>
      <c r="V2333" s="19"/>
    </row>
    <row r="2334">
      <c r="A2334" s="25"/>
      <c r="B2334" s="19"/>
      <c r="C2334" s="19"/>
      <c r="D2334" s="19"/>
      <c r="E2334" s="19"/>
      <c r="F2334" s="17" t="str">
        <f>IFERROR(__xludf.DUMMYFUNCTION("""COMPUTED_VALUE"""),"")</f>
        <v/>
      </c>
      <c r="G2334" s="20"/>
      <c r="H2334" s="19"/>
      <c r="I2334" s="19"/>
      <c r="J2334" s="19"/>
      <c r="K2334" s="19"/>
      <c r="L2334" s="19"/>
      <c r="M2334" s="19"/>
      <c r="N2334" s="20" t="s">
        <v>39</v>
      </c>
      <c r="O2334" s="19"/>
      <c r="P2334" s="19"/>
      <c r="Q2334" s="19"/>
      <c r="R2334" s="19"/>
      <c r="S2334" s="19"/>
      <c r="T2334" s="19"/>
      <c r="U2334" s="19"/>
      <c r="V2334" s="19"/>
    </row>
    <row r="2335">
      <c r="A2335" s="25"/>
      <c r="B2335" s="19"/>
      <c r="C2335" s="19"/>
      <c r="D2335" s="19"/>
      <c r="E2335" s="19"/>
      <c r="F2335" s="17" t="str">
        <f>IFERROR(__xludf.DUMMYFUNCTION("""COMPUTED_VALUE"""),"")</f>
        <v/>
      </c>
      <c r="G2335" s="20"/>
      <c r="H2335" s="19"/>
      <c r="I2335" s="19"/>
      <c r="J2335" s="19"/>
      <c r="K2335" s="19"/>
      <c r="L2335" s="19"/>
      <c r="M2335" s="19"/>
      <c r="N2335" s="20" t="s">
        <v>39</v>
      </c>
      <c r="O2335" s="19"/>
      <c r="P2335" s="19"/>
      <c r="Q2335" s="19"/>
      <c r="R2335" s="19"/>
      <c r="S2335" s="19"/>
      <c r="T2335" s="19"/>
      <c r="U2335" s="19"/>
      <c r="V2335" s="19"/>
    </row>
    <row r="2336">
      <c r="A2336" s="25"/>
      <c r="B2336" s="19"/>
      <c r="C2336" s="19"/>
      <c r="D2336" s="19"/>
      <c r="E2336" s="19"/>
      <c r="F2336" s="17" t="str">
        <f>IFERROR(__xludf.DUMMYFUNCTION("""COMPUTED_VALUE"""),"")</f>
        <v/>
      </c>
      <c r="G2336" s="20"/>
      <c r="H2336" s="19"/>
      <c r="I2336" s="19"/>
      <c r="J2336" s="19"/>
      <c r="K2336" s="19"/>
      <c r="L2336" s="19"/>
      <c r="M2336" s="19"/>
      <c r="N2336" s="20" t="s">
        <v>39</v>
      </c>
      <c r="O2336" s="19"/>
      <c r="P2336" s="19"/>
      <c r="Q2336" s="19"/>
      <c r="R2336" s="19"/>
      <c r="S2336" s="19"/>
      <c r="T2336" s="19"/>
      <c r="U2336" s="19"/>
      <c r="V2336" s="19"/>
    </row>
    <row r="2337">
      <c r="A2337" s="25"/>
      <c r="B2337" s="19"/>
      <c r="C2337" s="19"/>
      <c r="D2337" s="19"/>
      <c r="E2337" s="19"/>
      <c r="F2337" s="17" t="str">
        <f>IFERROR(__xludf.DUMMYFUNCTION("""COMPUTED_VALUE"""),"")</f>
        <v/>
      </c>
      <c r="G2337" s="20"/>
      <c r="H2337" s="19"/>
      <c r="I2337" s="19"/>
      <c r="J2337" s="19"/>
      <c r="K2337" s="19"/>
      <c r="L2337" s="19"/>
      <c r="M2337" s="19"/>
      <c r="N2337" s="20" t="s">
        <v>39</v>
      </c>
      <c r="O2337" s="19"/>
      <c r="P2337" s="19"/>
      <c r="Q2337" s="19"/>
      <c r="R2337" s="19"/>
      <c r="S2337" s="19"/>
      <c r="T2337" s="19"/>
      <c r="U2337" s="19"/>
      <c r="V2337" s="19"/>
    </row>
    <row r="2338">
      <c r="A2338" s="25"/>
      <c r="B2338" s="19"/>
      <c r="C2338" s="19"/>
      <c r="D2338" s="19"/>
      <c r="E2338" s="19"/>
      <c r="F2338" s="17" t="str">
        <f>IFERROR(__xludf.DUMMYFUNCTION("""COMPUTED_VALUE"""),"")</f>
        <v/>
      </c>
      <c r="G2338" s="20"/>
      <c r="H2338" s="19"/>
      <c r="I2338" s="19"/>
      <c r="J2338" s="19"/>
      <c r="K2338" s="19"/>
      <c r="L2338" s="19"/>
      <c r="M2338" s="19"/>
      <c r="N2338" s="20" t="s">
        <v>39</v>
      </c>
      <c r="O2338" s="19"/>
      <c r="P2338" s="19"/>
      <c r="Q2338" s="19"/>
      <c r="R2338" s="19"/>
      <c r="S2338" s="19"/>
      <c r="T2338" s="19"/>
      <c r="U2338" s="19"/>
      <c r="V2338" s="19"/>
    </row>
    <row r="2339">
      <c r="A2339" s="25"/>
      <c r="B2339" s="19"/>
      <c r="C2339" s="19"/>
      <c r="D2339" s="19"/>
      <c r="E2339" s="19"/>
      <c r="F2339" s="17" t="str">
        <f>IFERROR(__xludf.DUMMYFUNCTION("""COMPUTED_VALUE"""),"")</f>
        <v/>
      </c>
      <c r="G2339" s="20"/>
      <c r="H2339" s="19"/>
      <c r="I2339" s="19"/>
      <c r="J2339" s="19"/>
      <c r="K2339" s="19"/>
      <c r="L2339" s="19"/>
      <c r="M2339" s="19"/>
      <c r="N2339" s="20" t="s">
        <v>39</v>
      </c>
      <c r="O2339" s="19"/>
      <c r="P2339" s="19"/>
      <c r="Q2339" s="19"/>
      <c r="R2339" s="19"/>
      <c r="S2339" s="19"/>
      <c r="T2339" s="19"/>
      <c r="U2339" s="19"/>
      <c r="V2339" s="19"/>
    </row>
    <row r="2340">
      <c r="A2340" s="25"/>
      <c r="B2340" s="19"/>
      <c r="C2340" s="19"/>
      <c r="D2340" s="19"/>
      <c r="E2340" s="19"/>
      <c r="F2340" s="17" t="str">
        <f>IFERROR(__xludf.DUMMYFUNCTION("""COMPUTED_VALUE"""),"")</f>
        <v/>
      </c>
      <c r="G2340" s="20"/>
      <c r="H2340" s="19"/>
      <c r="I2340" s="19"/>
      <c r="J2340" s="19"/>
      <c r="K2340" s="19"/>
      <c r="L2340" s="19"/>
      <c r="M2340" s="19"/>
      <c r="N2340" s="20" t="s">
        <v>39</v>
      </c>
      <c r="O2340" s="19"/>
      <c r="P2340" s="19"/>
      <c r="Q2340" s="19"/>
      <c r="R2340" s="19"/>
      <c r="S2340" s="19"/>
      <c r="T2340" s="19"/>
      <c r="U2340" s="19"/>
      <c r="V2340" s="19"/>
    </row>
    <row r="2341">
      <c r="A2341" s="25"/>
      <c r="B2341" s="19"/>
      <c r="C2341" s="19"/>
      <c r="D2341" s="19"/>
      <c r="E2341" s="19"/>
      <c r="F2341" s="17" t="str">
        <f>IFERROR(__xludf.DUMMYFUNCTION("""COMPUTED_VALUE"""),"")</f>
        <v/>
      </c>
      <c r="G2341" s="20"/>
      <c r="H2341" s="19"/>
      <c r="I2341" s="19"/>
      <c r="J2341" s="19"/>
      <c r="K2341" s="19"/>
      <c r="L2341" s="19"/>
      <c r="M2341" s="19"/>
      <c r="N2341" s="20" t="s">
        <v>39</v>
      </c>
      <c r="O2341" s="19"/>
      <c r="P2341" s="19"/>
      <c r="Q2341" s="19"/>
      <c r="R2341" s="19"/>
      <c r="S2341" s="19"/>
      <c r="T2341" s="19"/>
      <c r="U2341" s="19"/>
      <c r="V2341" s="19"/>
    </row>
    <row r="2342">
      <c r="A2342" s="25"/>
      <c r="B2342" s="19"/>
      <c r="C2342" s="19"/>
      <c r="D2342" s="19"/>
      <c r="E2342" s="19"/>
      <c r="F2342" s="17" t="str">
        <f>IFERROR(__xludf.DUMMYFUNCTION("""COMPUTED_VALUE"""),"")</f>
        <v/>
      </c>
      <c r="G2342" s="20"/>
      <c r="H2342" s="19"/>
      <c r="I2342" s="19"/>
      <c r="J2342" s="19"/>
      <c r="K2342" s="19"/>
      <c r="L2342" s="19"/>
      <c r="M2342" s="19"/>
      <c r="N2342" s="20" t="s">
        <v>39</v>
      </c>
      <c r="O2342" s="19"/>
      <c r="P2342" s="19"/>
      <c r="Q2342" s="19"/>
      <c r="R2342" s="19"/>
      <c r="S2342" s="19"/>
      <c r="T2342" s="19"/>
      <c r="U2342" s="19"/>
      <c r="V2342" s="19"/>
    </row>
    <row r="2343">
      <c r="A2343" s="25"/>
      <c r="B2343" s="19"/>
      <c r="C2343" s="19"/>
      <c r="D2343" s="19"/>
      <c r="E2343" s="19"/>
      <c r="F2343" s="17" t="str">
        <f>IFERROR(__xludf.DUMMYFUNCTION("""COMPUTED_VALUE"""),"")</f>
        <v/>
      </c>
      <c r="G2343" s="20"/>
      <c r="H2343" s="19"/>
      <c r="I2343" s="19"/>
      <c r="J2343" s="19"/>
      <c r="K2343" s="19"/>
      <c r="L2343" s="19"/>
      <c r="M2343" s="19"/>
      <c r="N2343" s="20" t="s">
        <v>39</v>
      </c>
      <c r="O2343" s="19"/>
      <c r="P2343" s="19"/>
      <c r="Q2343" s="19"/>
      <c r="R2343" s="19"/>
      <c r="S2343" s="19"/>
      <c r="T2343" s="19"/>
      <c r="U2343" s="19"/>
      <c r="V2343" s="19"/>
    </row>
    <row r="2344">
      <c r="A2344" s="25"/>
      <c r="B2344" s="19"/>
      <c r="C2344" s="19"/>
      <c r="D2344" s="19"/>
      <c r="E2344" s="19"/>
      <c r="F2344" s="17" t="str">
        <f>IFERROR(__xludf.DUMMYFUNCTION("""COMPUTED_VALUE"""),"")</f>
        <v/>
      </c>
      <c r="G2344" s="20"/>
      <c r="H2344" s="19"/>
      <c r="I2344" s="19"/>
      <c r="J2344" s="19"/>
      <c r="K2344" s="19"/>
      <c r="L2344" s="19"/>
      <c r="M2344" s="19"/>
      <c r="N2344" s="20" t="s">
        <v>39</v>
      </c>
      <c r="O2344" s="19"/>
      <c r="P2344" s="19"/>
      <c r="Q2344" s="19"/>
      <c r="R2344" s="19"/>
      <c r="S2344" s="19"/>
      <c r="T2344" s="19"/>
      <c r="U2344" s="19"/>
      <c r="V2344" s="19"/>
    </row>
    <row r="2345">
      <c r="A2345" s="25"/>
      <c r="B2345" s="19"/>
      <c r="C2345" s="19"/>
      <c r="D2345" s="19"/>
      <c r="E2345" s="19"/>
      <c r="F2345" s="17" t="str">
        <f>IFERROR(__xludf.DUMMYFUNCTION("""COMPUTED_VALUE"""),"")</f>
        <v/>
      </c>
      <c r="G2345" s="20"/>
      <c r="H2345" s="19"/>
      <c r="I2345" s="19"/>
      <c r="J2345" s="19"/>
      <c r="K2345" s="19"/>
      <c r="L2345" s="19"/>
      <c r="M2345" s="19"/>
      <c r="N2345" s="20" t="s">
        <v>39</v>
      </c>
      <c r="O2345" s="19"/>
      <c r="P2345" s="19"/>
      <c r="Q2345" s="19"/>
      <c r="R2345" s="19"/>
      <c r="S2345" s="19"/>
      <c r="T2345" s="19"/>
      <c r="U2345" s="19"/>
      <c r="V2345" s="19"/>
    </row>
    <row r="2346">
      <c r="A2346" s="25"/>
      <c r="B2346" s="19"/>
      <c r="C2346" s="19"/>
      <c r="D2346" s="19"/>
      <c r="E2346" s="19"/>
      <c r="F2346" s="17" t="str">
        <f>IFERROR(__xludf.DUMMYFUNCTION("""COMPUTED_VALUE"""),"")</f>
        <v/>
      </c>
      <c r="G2346" s="20"/>
      <c r="H2346" s="19"/>
      <c r="I2346" s="19"/>
      <c r="J2346" s="19"/>
      <c r="K2346" s="19"/>
      <c r="L2346" s="19"/>
      <c r="M2346" s="19"/>
      <c r="N2346" s="20" t="s">
        <v>39</v>
      </c>
      <c r="O2346" s="19"/>
      <c r="P2346" s="19"/>
      <c r="Q2346" s="19"/>
      <c r="R2346" s="19"/>
      <c r="S2346" s="19"/>
      <c r="T2346" s="19"/>
      <c r="U2346" s="19"/>
      <c r="V2346" s="19"/>
    </row>
    <row r="2347">
      <c r="A2347" s="25"/>
      <c r="B2347" s="19"/>
      <c r="C2347" s="19"/>
      <c r="D2347" s="19"/>
      <c r="E2347" s="19"/>
      <c r="F2347" s="17" t="str">
        <f>IFERROR(__xludf.DUMMYFUNCTION("""COMPUTED_VALUE"""),"")</f>
        <v/>
      </c>
      <c r="G2347" s="20"/>
      <c r="H2347" s="19"/>
      <c r="I2347" s="19"/>
      <c r="J2347" s="19"/>
      <c r="K2347" s="19"/>
      <c r="L2347" s="19"/>
      <c r="M2347" s="19"/>
      <c r="N2347" s="20" t="s">
        <v>39</v>
      </c>
      <c r="O2347" s="19"/>
      <c r="P2347" s="19"/>
      <c r="Q2347" s="19"/>
      <c r="R2347" s="19"/>
      <c r="S2347" s="19"/>
      <c r="T2347" s="19"/>
      <c r="U2347" s="19"/>
      <c r="V2347" s="19"/>
    </row>
    <row r="2348">
      <c r="A2348" s="25"/>
      <c r="B2348" s="19"/>
      <c r="C2348" s="19"/>
      <c r="D2348" s="19"/>
      <c r="E2348" s="19"/>
      <c r="F2348" s="17" t="str">
        <f>IFERROR(__xludf.DUMMYFUNCTION("""COMPUTED_VALUE"""),"")</f>
        <v/>
      </c>
      <c r="G2348" s="20"/>
      <c r="H2348" s="19"/>
      <c r="I2348" s="19"/>
      <c r="J2348" s="19"/>
      <c r="K2348" s="19"/>
      <c r="L2348" s="19"/>
      <c r="M2348" s="19"/>
      <c r="N2348" s="20" t="s">
        <v>39</v>
      </c>
      <c r="O2348" s="19"/>
      <c r="P2348" s="19"/>
      <c r="Q2348" s="19"/>
      <c r="R2348" s="19"/>
      <c r="S2348" s="19"/>
      <c r="T2348" s="19"/>
      <c r="U2348" s="19"/>
      <c r="V2348" s="19"/>
    </row>
    <row r="2349">
      <c r="A2349" s="25"/>
      <c r="B2349" s="19"/>
      <c r="C2349" s="19"/>
      <c r="D2349" s="19"/>
      <c r="E2349" s="19"/>
      <c r="F2349" s="17" t="str">
        <f>IFERROR(__xludf.DUMMYFUNCTION("""COMPUTED_VALUE"""),"")</f>
        <v/>
      </c>
      <c r="G2349" s="20"/>
      <c r="H2349" s="19"/>
      <c r="I2349" s="19"/>
      <c r="J2349" s="19"/>
      <c r="K2349" s="19"/>
      <c r="L2349" s="19"/>
      <c r="M2349" s="19"/>
      <c r="N2349" s="20" t="s">
        <v>39</v>
      </c>
      <c r="O2349" s="19"/>
      <c r="P2349" s="19"/>
      <c r="Q2349" s="19"/>
      <c r="R2349" s="19"/>
      <c r="S2349" s="19"/>
      <c r="T2349" s="19"/>
      <c r="U2349" s="19"/>
      <c r="V2349" s="19"/>
    </row>
    <row r="2350">
      <c r="A2350" s="25"/>
      <c r="B2350" s="19"/>
      <c r="C2350" s="19"/>
      <c r="D2350" s="19"/>
      <c r="E2350" s="19"/>
      <c r="F2350" s="17" t="str">
        <f>IFERROR(__xludf.DUMMYFUNCTION("""COMPUTED_VALUE"""),"")</f>
        <v/>
      </c>
      <c r="G2350" s="20"/>
      <c r="H2350" s="19"/>
      <c r="I2350" s="19"/>
      <c r="J2350" s="19"/>
      <c r="K2350" s="19"/>
      <c r="L2350" s="19"/>
      <c r="M2350" s="19"/>
      <c r="N2350" s="20" t="s">
        <v>39</v>
      </c>
      <c r="O2350" s="19"/>
      <c r="P2350" s="19"/>
      <c r="Q2350" s="19"/>
      <c r="R2350" s="19"/>
      <c r="S2350" s="19"/>
      <c r="T2350" s="19"/>
      <c r="U2350" s="19"/>
      <c r="V2350" s="19"/>
    </row>
    <row r="2351">
      <c r="A2351" s="25"/>
      <c r="B2351" s="19"/>
      <c r="C2351" s="19"/>
      <c r="D2351" s="19"/>
      <c r="E2351" s="19"/>
      <c r="F2351" s="17" t="str">
        <f>IFERROR(__xludf.DUMMYFUNCTION("""COMPUTED_VALUE"""),"")</f>
        <v/>
      </c>
      <c r="G2351" s="20"/>
      <c r="H2351" s="19"/>
      <c r="I2351" s="19"/>
      <c r="J2351" s="19"/>
      <c r="K2351" s="19"/>
      <c r="L2351" s="19"/>
      <c r="M2351" s="19"/>
      <c r="N2351" s="20" t="s">
        <v>39</v>
      </c>
      <c r="O2351" s="19"/>
      <c r="P2351" s="19"/>
      <c r="Q2351" s="19"/>
      <c r="R2351" s="19"/>
      <c r="S2351" s="19"/>
      <c r="T2351" s="19"/>
      <c r="U2351" s="19"/>
      <c r="V2351" s="19"/>
    </row>
    <row r="2352">
      <c r="A2352" s="25"/>
      <c r="B2352" s="19"/>
      <c r="C2352" s="19"/>
      <c r="D2352" s="19"/>
      <c r="E2352" s="19"/>
      <c r="F2352" s="17" t="str">
        <f>IFERROR(__xludf.DUMMYFUNCTION("""COMPUTED_VALUE"""),"")</f>
        <v/>
      </c>
      <c r="G2352" s="20"/>
      <c r="H2352" s="19"/>
      <c r="I2352" s="19"/>
      <c r="J2352" s="19"/>
      <c r="K2352" s="19"/>
      <c r="L2352" s="19"/>
      <c r="M2352" s="19"/>
      <c r="N2352" s="20" t="s">
        <v>39</v>
      </c>
      <c r="O2352" s="19"/>
      <c r="P2352" s="19"/>
      <c r="Q2352" s="19"/>
      <c r="R2352" s="19"/>
      <c r="S2352" s="19"/>
      <c r="T2352" s="19"/>
      <c r="U2352" s="19"/>
      <c r="V2352" s="19"/>
    </row>
    <row r="2353">
      <c r="A2353" s="25"/>
      <c r="B2353" s="19"/>
      <c r="C2353" s="19"/>
      <c r="D2353" s="19"/>
      <c r="E2353" s="19"/>
      <c r="F2353" s="17" t="str">
        <f>IFERROR(__xludf.DUMMYFUNCTION("""COMPUTED_VALUE"""),"")</f>
        <v/>
      </c>
      <c r="G2353" s="20"/>
      <c r="H2353" s="19"/>
      <c r="I2353" s="19"/>
      <c r="J2353" s="19"/>
      <c r="K2353" s="19"/>
      <c r="L2353" s="19"/>
      <c r="M2353" s="19"/>
      <c r="N2353" s="20" t="s">
        <v>39</v>
      </c>
      <c r="O2353" s="19"/>
      <c r="P2353" s="19"/>
      <c r="Q2353" s="19"/>
      <c r="R2353" s="19"/>
      <c r="S2353" s="19"/>
      <c r="T2353" s="19"/>
      <c r="U2353" s="19"/>
      <c r="V2353" s="19"/>
    </row>
    <row r="2354">
      <c r="A2354" s="25"/>
      <c r="B2354" s="19"/>
      <c r="C2354" s="19"/>
      <c r="D2354" s="19"/>
      <c r="E2354" s="19"/>
      <c r="F2354" s="17" t="str">
        <f>IFERROR(__xludf.DUMMYFUNCTION("""COMPUTED_VALUE"""),"")</f>
        <v/>
      </c>
      <c r="G2354" s="20"/>
      <c r="H2354" s="19"/>
      <c r="I2354" s="19"/>
      <c r="J2354" s="19"/>
      <c r="K2354" s="19"/>
      <c r="L2354" s="19"/>
      <c r="M2354" s="19"/>
      <c r="N2354" s="20" t="s">
        <v>39</v>
      </c>
      <c r="O2354" s="19"/>
      <c r="P2354" s="19"/>
      <c r="Q2354" s="19"/>
      <c r="R2354" s="19"/>
      <c r="S2354" s="19"/>
      <c r="T2354" s="19"/>
      <c r="U2354" s="19"/>
      <c r="V2354" s="19"/>
    </row>
    <row r="2355">
      <c r="A2355" s="25"/>
      <c r="B2355" s="19"/>
      <c r="C2355" s="19"/>
      <c r="D2355" s="19"/>
      <c r="E2355" s="19"/>
      <c r="F2355" s="17" t="str">
        <f>IFERROR(__xludf.DUMMYFUNCTION("""COMPUTED_VALUE"""),"")</f>
        <v/>
      </c>
      <c r="G2355" s="20"/>
      <c r="H2355" s="19"/>
      <c r="I2355" s="19"/>
      <c r="J2355" s="19"/>
      <c r="K2355" s="19"/>
      <c r="L2355" s="19"/>
      <c r="M2355" s="19"/>
      <c r="N2355" s="20" t="s">
        <v>39</v>
      </c>
      <c r="O2355" s="19"/>
      <c r="P2355" s="19"/>
      <c r="Q2355" s="19"/>
      <c r="R2355" s="19"/>
      <c r="S2355" s="19"/>
      <c r="T2355" s="19"/>
      <c r="U2355" s="19"/>
      <c r="V2355" s="19"/>
    </row>
    <row r="2356">
      <c r="A2356" s="25"/>
      <c r="B2356" s="19"/>
      <c r="C2356" s="19"/>
      <c r="D2356" s="19"/>
      <c r="E2356" s="19"/>
      <c r="F2356" s="17" t="str">
        <f>IFERROR(__xludf.DUMMYFUNCTION("""COMPUTED_VALUE"""),"")</f>
        <v/>
      </c>
      <c r="G2356" s="20"/>
      <c r="H2356" s="19"/>
      <c r="I2356" s="19"/>
      <c r="J2356" s="19"/>
      <c r="K2356" s="19"/>
      <c r="L2356" s="19"/>
      <c r="M2356" s="19"/>
      <c r="N2356" s="20" t="s">
        <v>39</v>
      </c>
      <c r="O2356" s="19"/>
      <c r="P2356" s="19"/>
      <c r="Q2356" s="19"/>
      <c r="R2356" s="19"/>
      <c r="S2356" s="19"/>
      <c r="T2356" s="19"/>
      <c r="U2356" s="19"/>
      <c r="V2356" s="19"/>
    </row>
    <row r="2357">
      <c r="A2357" s="25"/>
      <c r="B2357" s="19"/>
      <c r="C2357" s="19"/>
      <c r="D2357" s="19"/>
      <c r="E2357" s="19"/>
      <c r="F2357" s="17" t="str">
        <f>IFERROR(__xludf.DUMMYFUNCTION("""COMPUTED_VALUE"""),"")</f>
        <v/>
      </c>
      <c r="G2357" s="20"/>
      <c r="H2357" s="19"/>
      <c r="I2357" s="19"/>
      <c r="J2357" s="19"/>
      <c r="K2357" s="19"/>
      <c r="L2357" s="19"/>
      <c r="M2357" s="19"/>
      <c r="N2357" s="20" t="s">
        <v>39</v>
      </c>
      <c r="O2357" s="19"/>
      <c r="P2357" s="19"/>
      <c r="Q2357" s="19"/>
      <c r="R2357" s="19"/>
      <c r="S2357" s="19"/>
      <c r="T2357" s="19"/>
      <c r="U2357" s="19"/>
      <c r="V2357" s="19"/>
    </row>
    <row r="2358">
      <c r="A2358" s="25"/>
      <c r="B2358" s="19"/>
      <c r="C2358" s="19"/>
      <c r="D2358" s="19"/>
      <c r="E2358" s="19"/>
      <c r="F2358" s="17" t="str">
        <f>IFERROR(__xludf.DUMMYFUNCTION("""COMPUTED_VALUE"""),"")</f>
        <v/>
      </c>
      <c r="G2358" s="20"/>
      <c r="H2358" s="19"/>
      <c r="I2358" s="19"/>
      <c r="J2358" s="19"/>
      <c r="K2358" s="19"/>
      <c r="L2358" s="19"/>
      <c r="M2358" s="19"/>
      <c r="N2358" s="20" t="s">
        <v>39</v>
      </c>
      <c r="O2358" s="19"/>
      <c r="P2358" s="19"/>
      <c r="Q2358" s="19"/>
      <c r="R2358" s="19"/>
      <c r="S2358" s="19"/>
      <c r="T2358" s="19"/>
      <c r="U2358" s="19"/>
      <c r="V2358" s="19"/>
    </row>
    <row r="2359">
      <c r="A2359" s="25"/>
      <c r="B2359" s="19"/>
      <c r="C2359" s="19"/>
      <c r="D2359" s="19"/>
      <c r="E2359" s="19"/>
      <c r="F2359" s="17" t="str">
        <f>IFERROR(__xludf.DUMMYFUNCTION("""COMPUTED_VALUE"""),"")</f>
        <v/>
      </c>
      <c r="G2359" s="20"/>
      <c r="H2359" s="19"/>
      <c r="I2359" s="19"/>
      <c r="J2359" s="19"/>
      <c r="K2359" s="19"/>
      <c r="L2359" s="19"/>
      <c r="M2359" s="19"/>
      <c r="N2359" s="20" t="s">
        <v>39</v>
      </c>
      <c r="O2359" s="19"/>
      <c r="P2359" s="19"/>
      <c r="Q2359" s="19"/>
      <c r="R2359" s="19"/>
      <c r="S2359" s="19"/>
      <c r="T2359" s="19"/>
      <c r="U2359" s="19"/>
      <c r="V2359" s="19"/>
    </row>
    <row r="2360">
      <c r="A2360" s="25"/>
      <c r="B2360" s="19"/>
      <c r="C2360" s="19"/>
      <c r="D2360" s="19"/>
      <c r="E2360" s="19"/>
      <c r="F2360" s="17" t="str">
        <f>IFERROR(__xludf.DUMMYFUNCTION("""COMPUTED_VALUE"""),"")</f>
        <v/>
      </c>
      <c r="G2360" s="20"/>
      <c r="H2360" s="19"/>
      <c r="I2360" s="19"/>
      <c r="J2360" s="19"/>
      <c r="K2360" s="19"/>
      <c r="L2360" s="19"/>
      <c r="M2360" s="19"/>
      <c r="N2360" s="20" t="s">
        <v>39</v>
      </c>
      <c r="O2360" s="19"/>
      <c r="P2360" s="19"/>
      <c r="Q2360" s="19"/>
      <c r="R2360" s="19"/>
      <c r="S2360" s="19"/>
      <c r="T2360" s="19"/>
      <c r="U2360" s="19"/>
      <c r="V2360" s="19"/>
    </row>
    <row r="2361">
      <c r="A2361" s="25"/>
      <c r="B2361" s="19"/>
      <c r="C2361" s="19"/>
      <c r="D2361" s="19"/>
      <c r="E2361" s="19"/>
      <c r="F2361" s="17" t="str">
        <f>IFERROR(__xludf.DUMMYFUNCTION("""COMPUTED_VALUE"""),"")</f>
        <v/>
      </c>
      <c r="G2361" s="20"/>
      <c r="H2361" s="19"/>
      <c r="I2361" s="19"/>
      <c r="J2361" s="19"/>
      <c r="K2361" s="19"/>
      <c r="L2361" s="19"/>
      <c r="M2361" s="19"/>
      <c r="N2361" s="20" t="s">
        <v>39</v>
      </c>
      <c r="O2361" s="19"/>
      <c r="P2361" s="19"/>
      <c r="Q2361" s="19"/>
      <c r="R2361" s="19"/>
      <c r="S2361" s="19"/>
      <c r="T2361" s="19"/>
      <c r="U2361" s="19"/>
      <c r="V2361" s="19"/>
    </row>
    <row r="2362">
      <c r="A2362" s="25"/>
      <c r="B2362" s="19"/>
      <c r="C2362" s="19"/>
      <c r="D2362" s="19"/>
      <c r="E2362" s="19"/>
      <c r="F2362" s="17" t="str">
        <f>IFERROR(__xludf.DUMMYFUNCTION("""COMPUTED_VALUE"""),"")</f>
        <v/>
      </c>
      <c r="G2362" s="20"/>
      <c r="H2362" s="19"/>
      <c r="I2362" s="19"/>
      <c r="J2362" s="19"/>
      <c r="K2362" s="19"/>
      <c r="L2362" s="19"/>
      <c r="M2362" s="19"/>
      <c r="N2362" s="20" t="s">
        <v>39</v>
      </c>
      <c r="O2362" s="19"/>
      <c r="P2362" s="19"/>
      <c r="Q2362" s="19"/>
      <c r="R2362" s="19"/>
      <c r="S2362" s="19"/>
      <c r="T2362" s="19"/>
      <c r="U2362" s="19"/>
      <c r="V2362" s="19"/>
    </row>
    <row r="2363">
      <c r="A2363" s="25"/>
      <c r="B2363" s="19"/>
      <c r="C2363" s="19"/>
      <c r="D2363" s="19"/>
      <c r="E2363" s="19"/>
      <c r="F2363" s="17" t="str">
        <f>IFERROR(__xludf.DUMMYFUNCTION("""COMPUTED_VALUE"""),"")</f>
        <v/>
      </c>
      <c r="G2363" s="20"/>
      <c r="H2363" s="19"/>
      <c r="I2363" s="19"/>
      <c r="J2363" s="19"/>
      <c r="K2363" s="19"/>
      <c r="L2363" s="19"/>
      <c r="M2363" s="19"/>
      <c r="N2363" s="20" t="s">
        <v>39</v>
      </c>
      <c r="O2363" s="19"/>
      <c r="P2363" s="19"/>
      <c r="Q2363" s="19"/>
      <c r="R2363" s="19"/>
      <c r="S2363" s="19"/>
      <c r="T2363" s="19"/>
      <c r="U2363" s="19"/>
      <c r="V2363" s="19"/>
    </row>
    <row r="2364">
      <c r="A2364" s="25"/>
      <c r="B2364" s="19"/>
      <c r="C2364" s="19"/>
      <c r="D2364" s="19"/>
      <c r="E2364" s="19"/>
      <c r="F2364" s="17" t="str">
        <f>IFERROR(__xludf.DUMMYFUNCTION("""COMPUTED_VALUE"""),"")</f>
        <v/>
      </c>
      <c r="G2364" s="20"/>
      <c r="H2364" s="19"/>
      <c r="I2364" s="19"/>
      <c r="J2364" s="19"/>
      <c r="K2364" s="19"/>
      <c r="L2364" s="19"/>
      <c r="M2364" s="19"/>
      <c r="N2364" s="20" t="s">
        <v>39</v>
      </c>
      <c r="O2364" s="19"/>
      <c r="P2364" s="19"/>
      <c r="Q2364" s="19"/>
      <c r="R2364" s="19"/>
      <c r="S2364" s="19"/>
      <c r="T2364" s="19"/>
      <c r="U2364" s="19"/>
      <c r="V2364" s="19"/>
    </row>
    <row r="2365">
      <c r="A2365" s="25"/>
      <c r="B2365" s="19"/>
      <c r="C2365" s="19"/>
      <c r="D2365" s="19"/>
      <c r="E2365" s="19"/>
      <c r="F2365" s="17" t="str">
        <f>IFERROR(__xludf.DUMMYFUNCTION("""COMPUTED_VALUE"""),"")</f>
        <v/>
      </c>
      <c r="G2365" s="20"/>
      <c r="H2365" s="19"/>
      <c r="I2365" s="19"/>
      <c r="J2365" s="19"/>
      <c r="K2365" s="19"/>
      <c r="L2365" s="19"/>
      <c r="M2365" s="19"/>
      <c r="N2365" s="20" t="s">
        <v>39</v>
      </c>
      <c r="O2365" s="19"/>
      <c r="P2365" s="19"/>
      <c r="Q2365" s="19"/>
      <c r="R2365" s="19"/>
      <c r="S2365" s="19"/>
      <c r="T2365" s="19"/>
      <c r="U2365" s="19"/>
      <c r="V2365" s="19"/>
    </row>
    <row r="2366">
      <c r="A2366" s="25"/>
      <c r="B2366" s="19"/>
      <c r="C2366" s="19"/>
      <c r="D2366" s="19"/>
      <c r="E2366" s="19"/>
      <c r="F2366" s="17" t="str">
        <f>IFERROR(__xludf.DUMMYFUNCTION("""COMPUTED_VALUE"""),"")</f>
        <v/>
      </c>
      <c r="G2366" s="20"/>
      <c r="H2366" s="19"/>
      <c r="I2366" s="19"/>
      <c r="J2366" s="19"/>
      <c r="K2366" s="19"/>
      <c r="L2366" s="19"/>
      <c r="M2366" s="19"/>
      <c r="N2366" s="20" t="s">
        <v>39</v>
      </c>
      <c r="O2366" s="19"/>
      <c r="P2366" s="19"/>
      <c r="Q2366" s="19"/>
      <c r="R2366" s="19"/>
      <c r="S2366" s="19"/>
      <c r="T2366" s="19"/>
      <c r="U2366" s="19"/>
      <c r="V2366" s="19"/>
    </row>
    <row r="2367">
      <c r="A2367" s="25"/>
      <c r="B2367" s="19"/>
      <c r="C2367" s="19"/>
      <c r="D2367" s="19"/>
      <c r="E2367" s="19"/>
      <c r="F2367" s="17" t="str">
        <f>IFERROR(__xludf.DUMMYFUNCTION("""COMPUTED_VALUE"""),"")</f>
        <v/>
      </c>
      <c r="G2367" s="20"/>
      <c r="H2367" s="19"/>
      <c r="I2367" s="19"/>
      <c r="J2367" s="19"/>
      <c r="K2367" s="19"/>
      <c r="L2367" s="19"/>
      <c r="M2367" s="19"/>
      <c r="N2367" s="20" t="s">
        <v>39</v>
      </c>
      <c r="O2367" s="19"/>
      <c r="P2367" s="19"/>
      <c r="Q2367" s="19"/>
      <c r="R2367" s="19"/>
      <c r="S2367" s="19"/>
      <c r="T2367" s="19"/>
      <c r="U2367" s="19"/>
      <c r="V2367" s="19"/>
    </row>
    <row r="2368">
      <c r="A2368" s="25"/>
      <c r="B2368" s="19"/>
      <c r="C2368" s="19"/>
      <c r="D2368" s="19"/>
      <c r="E2368" s="19"/>
      <c r="F2368" s="17" t="str">
        <f>IFERROR(__xludf.DUMMYFUNCTION("""COMPUTED_VALUE"""),"")</f>
        <v/>
      </c>
      <c r="G2368" s="20"/>
      <c r="H2368" s="19"/>
      <c r="I2368" s="19"/>
      <c r="J2368" s="19"/>
      <c r="K2368" s="19"/>
      <c r="L2368" s="19"/>
      <c r="M2368" s="19"/>
      <c r="N2368" s="20" t="s">
        <v>39</v>
      </c>
      <c r="O2368" s="19"/>
      <c r="P2368" s="19"/>
      <c r="Q2368" s="19"/>
      <c r="R2368" s="19"/>
      <c r="S2368" s="19"/>
      <c r="T2368" s="19"/>
      <c r="U2368" s="19"/>
      <c r="V2368" s="19"/>
    </row>
    <row r="2369">
      <c r="A2369" s="25"/>
      <c r="B2369" s="19"/>
      <c r="C2369" s="19"/>
      <c r="D2369" s="19"/>
      <c r="E2369" s="19"/>
      <c r="F2369" s="17" t="str">
        <f>IFERROR(__xludf.DUMMYFUNCTION("""COMPUTED_VALUE"""),"")</f>
        <v/>
      </c>
      <c r="G2369" s="20"/>
      <c r="H2369" s="19"/>
      <c r="I2369" s="19"/>
      <c r="J2369" s="19"/>
      <c r="K2369" s="19"/>
      <c r="L2369" s="19"/>
      <c r="M2369" s="19"/>
      <c r="N2369" s="20" t="s">
        <v>39</v>
      </c>
      <c r="O2369" s="19"/>
      <c r="P2369" s="19"/>
      <c r="Q2369" s="19"/>
      <c r="R2369" s="19"/>
      <c r="S2369" s="19"/>
      <c r="T2369" s="19"/>
      <c r="U2369" s="19"/>
      <c r="V2369" s="19"/>
    </row>
    <row r="2370">
      <c r="A2370" s="25"/>
      <c r="B2370" s="19"/>
      <c r="C2370" s="19"/>
      <c r="D2370" s="19"/>
      <c r="E2370" s="19"/>
      <c r="F2370" s="17" t="str">
        <f>IFERROR(__xludf.DUMMYFUNCTION("""COMPUTED_VALUE"""),"")</f>
        <v/>
      </c>
      <c r="G2370" s="20"/>
      <c r="H2370" s="19"/>
      <c r="I2370" s="19"/>
      <c r="J2370" s="19"/>
      <c r="K2370" s="19"/>
      <c r="L2370" s="19"/>
      <c r="M2370" s="19"/>
      <c r="N2370" s="20" t="s">
        <v>39</v>
      </c>
      <c r="O2370" s="19"/>
      <c r="P2370" s="19"/>
      <c r="Q2370" s="19"/>
      <c r="R2370" s="19"/>
      <c r="S2370" s="19"/>
      <c r="T2370" s="19"/>
      <c r="U2370" s="19"/>
      <c r="V2370" s="19"/>
    </row>
    <row r="2371">
      <c r="A2371" s="25"/>
      <c r="B2371" s="19"/>
      <c r="C2371" s="19"/>
      <c r="D2371" s="19"/>
      <c r="E2371" s="19"/>
      <c r="F2371" s="17" t="str">
        <f>IFERROR(__xludf.DUMMYFUNCTION("""COMPUTED_VALUE"""),"")</f>
        <v/>
      </c>
      <c r="G2371" s="20"/>
      <c r="H2371" s="19"/>
      <c r="I2371" s="19"/>
      <c r="J2371" s="19"/>
      <c r="K2371" s="19"/>
      <c r="L2371" s="19"/>
      <c r="M2371" s="19"/>
      <c r="N2371" s="20" t="s">
        <v>39</v>
      </c>
      <c r="O2371" s="19"/>
      <c r="P2371" s="19"/>
      <c r="Q2371" s="19"/>
      <c r="R2371" s="19"/>
      <c r="S2371" s="19"/>
      <c r="T2371" s="19"/>
      <c r="U2371" s="19"/>
      <c r="V2371" s="19"/>
    </row>
    <row r="2372">
      <c r="A2372" s="25"/>
      <c r="B2372" s="19"/>
      <c r="C2372" s="19"/>
      <c r="D2372" s="19"/>
      <c r="E2372" s="19"/>
      <c r="F2372" s="17" t="str">
        <f>IFERROR(__xludf.DUMMYFUNCTION("""COMPUTED_VALUE"""),"")</f>
        <v/>
      </c>
      <c r="G2372" s="20"/>
      <c r="H2372" s="19"/>
      <c r="I2372" s="19"/>
      <c r="J2372" s="19"/>
      <c r="K2372" s="19"/>
      <c r="L2372" s="19"/>
      <c r="M2372" s="19"/>
      <c r="N2372" s="20" t="s">
        <v>39</v>
      </c>
      <c r="O2372" s="19"/>
      <c r="P2372" s="19"/>
      <c r="Q2372" s="19"/>
      <c r="R2372" s="19"/>
      <c r="S2372" s="19"/>
      <c r="T2372" s="19"/>
      <c r="U2372" s="19"/>
      <c r="V2372" s="19"/>
    </row>
    <row r="2373">
      <c r="A2373" s="25"/>
      <c r="B2373" s="19"/>
      <c r="C2373" s="19"/>
      <c r="D2373" s="19"/>
      <c r="E2373" s="19"/>
      <c r="F2373" s="17" t="str">
        <f>IFERROR(__xludf.DUMMYFUNCTION("""COMPUTED_VALUE"""),"")</f>
        <v/>
      </c>
      <c r="G2373" s="20"/>
      <c r="H2373" s="19"/>
      <c r="I2373" s="19"/>
      <c r="J2373" s="19"/>
      <c r="K2373" s="19"/>
      <c r="L2373" s="19"/>
      <c r="M2373" s="19"/>
      <c r="N2373" s="20" t="s">
        <v>39</v>
      </c>
      <c r="O2373" s="19"/>
      <c r="P2373" s="19"/>
      <c r="Q2373" s="19"/>
      <c r="R2373" s="19"/>
      <c r="S2373" s="19"/>
      <c r="T2373" s="19"/>
      <c r="U2373" s="19"/>
      <c r="V2373" s="19"/>
    </row>
    <row r="2374">
      <c r="A2374" s="25"/>
      <c r="B2374" s="19"/>
      <c r="C2374" s="19"/>
      <c r="D2374" s="19"/>
      <c r="E2374" s="19"/>
      <c r="F2374" s="17" t="str">
        <f>IFERROR(__xludf.DUMMYFUNCTION("""COMPUTED_VALUE"""),"")</f>
        <v/>
      </c>
      <c r="G2374" s="20"/>
      <c r="H2374" s="19"/>
      <c r="I2374" s="19"/>
      <c r="J2374" s="19"/>
      <c r="K2374" s="19"/>
      <c r="L2374" s="19"/>
      <c r="M2374" s="19"/>
      <c r="N2374" s="20" t="s">
        <v>39</v>
      </c>
      <c r="O2374" s="19"/>
      <c r="P2374" s="19"/>
      <c r="Q2374" s="19"/>
      <c r="R2374" s="19"/>
      <c r="S2374" s="19"/>
      <c r="T2374" s="19"/>
      <c r="U2374" s="19"/>
      <c r="V2374" s="19"/>
    </row>
    <row r="2375">
      <c r="A2375" s="25"/>
      <c r="B2375" s="19"/>
      <c r="C2375" s="19"/>
      <c r="D2375" s="19"/>
      <c r="E2375" s="19"/>
      <c r="F2375" s="17" t="str">
        <f>IFERROR(__xludf.DUMMYFUNCTION("""COMPUTED_VALUE"""),"")</f>
        <v/>
      </c>
      <c r="G2375" s="20"/>
      <c r="H2375" s="19"/>
      <c r="I2375" s="19"/>
      <c r="J2375" s="19"/>
      <c r="K2375" s="19"/>
      <c r="L2375" s="19"/>
      <c r="M2375" s="19"/>
      <c r="N2375" s="20" t="s">
        <v>39</v>
      </c>
      <c r="O2375" s="19"/>
      <c r="P2375" s="19"/>
      <c r="Q2375" s="19"/>
      <c r="R2375" s="19"/>
      <c r="S2375" s="19"/>
      <c r="T2375" s="19"/>
      <c r="U2375" s="19"/>
      <c r="V2375" s="19"/>
    </row>
    <row r="2376">
      <c r="A2376" s="25"/>
      <c r="B2376" s="19"/>
      <c r="C2376" s="19"/>
      <c r="D2376" s="19"/>
      <c r="E2376" s="19"/>
      <c r="F2376" s="17" t="str">
        <f>IFERROR(__xludf.DUMMYFUNCTION("""COMPUTED_VALUE"""),"")</f>
        <v/>
      </c>
      <c r="G2376" s="20"/>
      <c r="H2376" s="19"/>
      <c r="I2376" s="19"/>
      <c r="J2376" s="19"/>
      <c r="K2376" s="19"/>
      <c r="L2376" s="19"/>
      <c r="M2376" s="19"/>
      <c r="N2376" s="20" t="s">
        <v>39</v>
      </c>
      <c r="O2376" s="19"/>
      <c r="P2376" s="19"/>
      <c r="Q2376" s="19"/>
      <c r="R2376" s="19"/>
      <c r="S2376" s="19"/>
      <c r="T2376" s="19"/>
      <c r="U2376" s="19"/>
      <c r="V2376" s="19"/>
    </row>
    <row r="2377">
      <c r="A2377" s="25"/>
      <c r="B2377" s="19"/>
      <c r="C2377" s="19"/>
      <c r="D2377" s="19"/>
      <c r="E2377" s="19"/>
      <c r="F2377" s="17" t="str">
        <f>IFERROR(__xludf.DUMMYFUNCTION("""COMPUTED_VALUE"""),"")</f>
        <v/>
      </c>
      <c r="G2377" s="20"/>
      <c r="H2377" s="19"/>
      <c r="I2377" s="19"/>
      <c r="J2377" s="19"/>
      <c r="K2377" s="19"/>
      <c r="L2377" s="19"/>
      <c r="M2377" s="19"/>
      <c r="N2377" s="20" t="s">
        <v>39</v>
      </c>
      <c r="O2377" s="19"/>
      <c r="P2377" s="19"/>
      <c r="Q2377" s="19"/>
      <c r="R2377" s="19"/>
      <c r="S2377" s="19"/>
      <c r="T2377" s="19"/>
      <c r="U2377" s="19"/>
      <c r="V2377" s="19"/>
    </row>
    <row r="2378">
      <c r="A2378" s="25"/>
      <c r="B2378" s="19"/>
      <c r="C2378" s="19"/>
      <c r="D2378" s="19"/>
      <c r="E2378" s="19"/>
      <c r="F2378" s="17" t="str">
        <f>IFERROR(__xludf.DUMMYFUNCTION("""COMPUTED_VALUE"""),"")</f>
        <v/>
      </c>
      <c r="G2378" s="20"/>
      <c r="H2378" s="19"/>
      <c r="I2378" s="19"/>
      <c r="J2378" s="19"/>
      <c r="K2378" s="19"/>
      <c r="L2378" s="19"/>
      <c r="M2378" s="19"/>
      <c r="N2378" s="20" t="s">
        <v>39</v>
      </c>
      <c r="O2378" s="19"/>
      <c r="P2378" s="19"/>
      <c r="Q2378" s="19"/>
      <c r="R2378" s="19"/>
      <c r="S2378" s="19"/>
      <c r="T2378" s="19"/>
      <c r="U2378" s="19"/>
      <c r="V2378" s="19"/>
    </row>
    <row r="2379">
      <c r="A2379" s="25"/>
      <c r="B2379" s="19"/>
      <c r="C2379" s="19"/>
      <c r="D2379" s="19"/>
      <c r="E2379" s="19"/>
      <c r="F2379" s="17" t="str">
        <f>IFERROR(__xludf.DUMMYFUNCTION("""COMPUTED_VALUE"""),"")</f>
        <v/>
      </c>
      <c r="G2379" s="20"/>
      <c r="H2379" s="19"/>
      <c r="I2379" s="19"/>
      <c r="J2379" s="19"/>
      <c r="K2379" s="19"/>
      <c r="L2379" s="19"/>
      <c r="M2379" s="19"/>
      <c r="N2379" s="20" t="s">
        <v>39</v>
      </c>
      <c r="O2379" s="19"/>
      <c r="P2379" s="19"/>
      <c r="Q2379" s="19"/>
      <c r="R2379" s="19"/>
      <c r="S2379" s="19"/>
      <c r="T2379" s="19"/>
      <c r="U2379" s="19"/>
      <c r="V2379" s="19"/>
    </row>
    <row r="2380">
      <c r="A2380" s="25"/>
      <c r="B2380" s="19"/>
      <c r="C2380" s="19"/>
      <c r="D2380" s="19"/>
      <c r="E2380" s="19"/>
      <c r="F2380" s="17" t="str">
        <f>IFERROR(__xludf.DUMMYFUNCTION("""COMPUTED_VALUE"""),"")</f>
        <v/>
      </c>
      <c r="G2380" s="20"/>
      <c r="H2380" s="19"/>
      <c r="I2380" s="19"/>
      <c r="J2380" s="19"/>
      <c r="K2380" s="19"/>
      <c r="L2380" s="19"/>
      <c r="M2380" s="19"/>
      <c r="N2380" s="20" t="s">
        <v>39</v>
      </c>
      <c r="O2380" s="19"/>
      <c r="P2380" s="19"/>
      <c r="Q2380" s="19"/>
      <c r="R2380" s="19"/>
      <c r="S2380" s="19"/>
      <c r="T2380" s="19"/>
      <c r="U2380" s="19"/>
      <c r="V2380" s="19"/>
    </row>
    <row r="2381">
      <c r="A2381" s="25"/>
      <c r="B2381" s="19"/>
      <c r="C2381" s="19"/>
      <c r="D2381" s="19"/>
      <c r="E2381" s="19"/>
      <c r="F2381" s="17" t="str">
        <f>IFERROR(__xludf.DUMMYFUNCTION("""COMPUTED_VALUE"""),"")</f>
        <v/>
      </c>
      <c r="G2381" s="20"/>
      <c r="H2381" s="19"/>
      <c r="I2381" s="19"/>
      <c r="J2381" s="19"/>
      <c r="K2381" s="19"/>
      <c r="L2381" s="19"/>
      <c r="M2381" s="19"/>
      <c r="N2381" s="20" t="s">
        <v>39</v>
      </c>
      <c r="O2381" s="19"/>
      <c r="P2381" s="19"/>
      <c r="Q2381" s="19"/>
      <c r="R2381" s="19"/>
      <c r="S2381" s="19"/>
      <c r="T2381" s="19"/>
      <c r="U2381" s="19"/>
      <c r="V2381" s="19"/>
    </row>
    <row r="2382">
      <c r="A2382" s="25"/>
      <c r="B2382" s="19"/>
      <c r="C2382" s="19"/>
      <c r="D2382" s="19"/>
      <c r="E2382" s="19"/>
      <c r="F2382" s="17" t="str">
        <f>IFERROR(__xludf.DUMMYFUNCTION("""COMPUTED_VALUE"""),"")</f>
        <v/>
      </c>
      <c r="G2382" s="20"/>
      <c r="H2382" s="19"/>
      <c r="I2382" s="19"/>
      <c r="J2382" s="19"/>
      <c r="K2382" s="19"/>
      <c r="L2382" s="19"/>
      <c r="M2382" s="19"/>
      <c r="N2382" s="20" t="s">
        <v>39</v>
      </c>
      <c r="O2382" s="19"/>
      <c r="P2382" s="19"/>
      <c r="Q2382" s="19"/>
      <c r="R2382" s="19"/>
      <c r="S2382" s="19"/>
      <c r="T2382" s="19"/>
      <c r="U2382" s="19"/>
      <c r="V2382" s="19"/>
    </row>
    <row r="2383">
      <c r="A2383" s="25"/>
      <c r="B2383" s="19"/>
      <c r="C2383" s="19"/>
      <c r="D2383" s="19"/>
      <c r="E2383" s="19"/>
      <c r="F2383" s="17" t="str">
        <f>IFERROR(__xludf.DUMMYFUNCTION("""COMPUTED_VALUE"""),"")</f>
        <v/>
      </c>
      <c r="G2383" s="20"/>
      <c r="H2383" s="19"/>
      <c r="I2383" s="19"/>
      <c r="J2383" s="19"/>
      <c r="K2383" s="19"/>
      <c r="L2383" s="19"/>
      <c r="M2383" s="19"/>
      <c r="N2383" s="20" t="s">
        <v>39</v>
      </c>
      <c r="O2383" s="19"/>
      <c r="P2383" s="19"/>
      <c r="Q2383" s="19"/>
      <c r="R2383" s="19"/>
      <c r="S2383" s="19"/>
      <c r="T2383" s="19"/>
      <c r="U2383" s="19"/>
      <c r="V2383" s="19"/>
    </row>
    <row r="2384">
      <c r="A2384" s="25"/>
      <c r="B2384" s="19"/>
      <c r="C2384" s="19"/>
      <c r="D2384" s="19"/>
      <c r="E2384" s="19"/>
      <c r="F2384" s="17" t="str">
        <f>IFERROR(__xludf.DUMMYFUNCTION("""COMPUTED_VALUE"""),"")</f>
        <v/>
      </c>
      <c r="G2384" s="20"/>
      <c r="H2384" s="19"/>
      <c r="I2384" s="19"/>
      <c r="J2384" s="19"/>
      <c r="K2384" s="19"/>
      <c r="L2384" s="19"/>
      <c r="M2384" s="19"/>
      <c r="N2384" s="20" t="s">
        <v>39</v>
      </c>
      <c r="O2384" s="19"/>
      <c r="P2384" s="19"/>
      <c r="Q2384" s="19"/>
      <c r="R2384" s="19"/>
      <c r="S2384" s="19"/>
      <c r="T2384" s="19"/>
      <c r="U2384" s="19"/>
      <c r="V2384" s="19"/>
    </row>
    <row r="2385">
      <c r="A2385" s="25"/>
      <c r="B2385" s="19"/>
      <c r="C2385" s="19"/>
      <c r="D2385" s="19"/>
      <c r="E2385" s="19"/>
      <c r="F2385" s="17" t="str">
        <f>IFERROR(__xludf.DUMMYFUNCTION("""COMPUTED_VALUE"""),"")</f>
        <v/>
      </c>
      <c r="G2385" s="20"/>
      <c r="H2385" s="19"/>
      <c r="I2385" s="19"/>
      <c r="J2385" s="19"/>
      <c r="K2385" s="19"/>
      <c r="L2385" s="19"/>
      <c r="M2385" s="19"/>
      <c r="N2385" s="20" t="s">
        <v>39</v>
      </c>
      <c r="O2385" s="19"/>
      <c r="P2385" s="19"/>
      <c r="Q2385" s="19"/>
      <c r="R2385" s="19"/>
      <c r="S2385" s="19"/>
      <c r="T2385" s="19"/>
      <c r="U2385" s="19"/>
      <c r="V2385" s="19"/>
    </row>
    <row r="2386">
      <c r="A2386" s="25"/>
      <c r="B2386" s="19"/>
      <c r="C2386" s="19"/>
      <c r="D2386" s="19"/>
      <c r="E2386" s="19"/>
      <c r="F2386" s="17" t="str">
        <f>IFERROR(__xludf.DUMMYFUNCTION("""COMPUTED_VALUE"""),"")</f>
        <v/>
      </c>
      <c r="G2386" s="20"/>
      <c r="H2386" s="19"/>
      <c r="I2386" s="19"/>
      <c r="J2386" s="19"/>
      <c r="K2386" s="19"/>
      <c r="L2386" s="19"/>
      <c r="M2386" s="19"/>
      <c r="N2386" s="20" t="s">
        <v>39</v>
      </c>
      <c r="O2386" s="19"/>
      <c r="P2386" s="19"/>
      <c r="Q2386" s="19"/>
      <c r="R2386" s="19"/>
      <c r="S2386" s="19"/>
      <c r="T2386" s="19"/>
      <c r="U2386" s="19"/>
      <c r="V2386" s="19"/>
    </row>
    <row r="2387">
      <c r="A2387" s="25"/>
      <c r="B2387" s="19"/>
      <c r="C2387" s="19"/>
      <c r="D2387" s="19"/>
      <c r="E2387" s="19"/>
      <c r="F2387" s="17" t="str">
        <f>IFERROR(__xludf.DUMMYFUNCTION("""COMPUTED_VALUE"""),"")</f>
        <v/>
      </c>
      <c r="G2387" s="20"/>
      <c r="H2387" s="19"/>
      <c r="I2387" s="19"/>
      <c r="J2387" s="19"/>
      <c r="K2387" s="19"/>
      <c r="L2387" s="19"/>
      <c r="M2387" s="19"/>
      <c r="N2387" s="20" t="s">
        <v>39</v>
      </c>
      <c r="O2387" s="19"/>
      <c r="P2387" s="19"/>
      <c r="Q2387" s="19"/>
      <c r="R2387" s="19"/>
      <c r="S2387" s="19"/>
      <c r="T2387" s="19"/>
      <c r="U2387" s="19"/>
      <c r="V2387" s="19"/>
    </row>
    <row r="2388">
      <c r="A2388" s="25"/>
      <c r="B2388" s="19"/>
      <c r="C2388" s="19"/>
      <c r="D2388" s="19"/>
      <c r="E2388" s="19"/>
      <c r="F2388" s="17" t="str">
        <f>IFERROR(__xludf.DUMMYFUNCTION("""COMPUTED_VALUE"""),"")</f>
        <v/>
      </c>
      <c r="G2388" s="20"/>
      <c r="H2388" s="19"/>
      <c r="I2388" s="19"/>
      <c r="J2388" s="19"/>
      <c r="K2388" s="19"/>
      <c r="L2388" s="19"/>
      <c r="M2388" s="19"/>
      <c r="N2388" s="20" t="s">
        <v>39</v>
      </c>
      <c r="O2388" s="19"/>
      <c r="P2388" s="19"/>
      <c r="Q2388" s="19"/>
      <c r="R2388" s="19"/>
      <c r="S2388" s="19"/>
      <c r="T2388" s="19"/>
      <c r="U2388" s="19"/>
      <c r="V2388" s="19"/>
    </row>
    <row r="2389">
      <c r="A2389" s="25"/>
      <c r="B2389" s="19"/>
      <c r="C2389" s="19"/>
      <c r="D2389" s="19"/>
      <c r="E2389" s="19"/>
      <c r="F2389" s="17" t="str">
        <f>IFERROR(__xludf.DUMMYFUNCTION("""COMPUTED_VALUE"""),"")</f>
        <v/>
      </c>
      <c r="G2389" s="20"/>
      <c r="H2389" s="19"/>
      <c r="I2389" s="19"/>
      <c r="J2389" s="19"/>
      <c r="K2389" s="19"/>
      <c r="L2389" s="19"/>
      <c r="M2389" s="19"/>
      <c r="N2389" s="20" t="s">
        <v>39</v>
      </c>
      <c r="O2389" s="19"/>
      <c r="P2389" s="19"/>
      <c r="Q2389" s="19"/>
      <c r="R2389" s="19"/>
      <c r="S2389" s="19"/>
      <c r="T2389" s="19"/>
      <c r="U2389" s="19"/>
      <c r="V2389" s="19"/>
    </row>
    <row r="2390">
      <c r="A2390" s="25"/>
      <c r="B2390" s="19"/>
      <c r="C2390" s="19"/>
      <c r="D2390" s="19"/>
      <c r="E2390" s="19"/>
      <c r="F2390" s="17" t="str">
        <f>IFERROR(__xludf.DUMMYFUNCTION("""COMPUTED_VALUE"""),"")</f>
        <v/>
      </c>
      <c r="G2390" s="20"/>
      <c r="H2390" s="19"/>
      <c r="I2390" s="19"/>
      <c r="J2390" s="19"/>
      <c r="K2390" s="19"/>
      <c r="L2390" s="19"/>
      <c r="M2390" s="19"/>
      <c r="N2390" s="20" t="s">
        <v>39</v>
      </c>
      <c r="O2390" s="19"/>
      <c r="P2390" s="19"/>
      <c r="Q2390" s="19"/>
      <c r="R2390" s="19"/>
      <c r="S2390" s="19"/>
      <c r="T2390" s="19"/>
      <c r="U2390" s="19"/>
      <c r="V2390" s="19"/>
    </row>
    <row r="2391">
      <c r="A2391" s="25"/>
      <c r="B2391" s="19"/>
      <c r="C2391" s="19"/>
      <c r="D2391" s="19"/>
      <c r="E2391" s="19"/>
      <c r="F2391" s="17" t="str">
        <f>IFERROR(__xludf.DUMMYFUNCTION("""COMPUTED_VALUE"""),"")</f>
        <v/>
      </c>
      <c r="G2391" s="20"/>
      <c r="H2391" s="19"/>
      <c r="I2391" s="19"/>
      <c r="J2391" s="19"/>
      <c r="K2391" s="19"/>
      <c r="L2391" s="19"/>
      <c r="M2391" s="19"/>
      <c r="N2391" s="20" t="s">
        <v>39</v>
      </c>
      <c r="O2391" s="19"/>
      <c r="P2391" s="19"/>
      <c r="Q2391" s="19"/>
      <c r="R2391" s="19"/>
      <c r="S2391" s="19"/>
      <c r="T2391" s="19"/>
      <c r="U2391" s="19"/>
      <c r="V2391" s="19"/>
    </row>
    <row r="2392">
      <c r="A2392" s="25"/>
      <c r="B2392" s="19"/>
      <c r="C2392" s="19"/>
      <c r="D2392" s="19"/>
      <c r="E2392" s="19"/>
      <c r="F2392" s="17" t="str">
        <f>IFERROR(__xludf.DUMMYFUNCTION("""COMPUTED_VALUE"""),"")</f>
        <v/>
      </c>
      <c r="G2392" s="20"/>
      <c r="H2392" s="19"/>
      <c r="I2392" s="19"/>
      <c r="J2392" s="19"/>
      <c r="K2392" s="19"/>
      <c r="L2392" s="19"/>
      <c r="M2392" s="19"/>
      <c r="N2392" s="20" t="s">
        <v>39</v>
      </c>
      <c r="O2392" s="19"/>
      <c r="P2392" s="19"/>
      <c r="Q2392" s="19"/>
      <c r="R2392" s="19"/>
      <c r="S2392" s="19"/>
      <c r="T2392" s="19"/>
      <c r="U2392" s="19"/>
      <c r="V2392" s="19"/>
    </row>
    <row r="2393">
      <c r="A2393" s="25"/>
      <c r="B2393" s="19"/>
      <c r="C2393" s="19"/>
      <c r="D2393" s="19"/>
      <c r="E2393" s="19"/>
      <c r="F2393" s="17" t="str">
        <f>IFERROR(__xludf.DUMMYFUNCTION("""COMPUTED_VALUE"""),"")</f>
        <v/>
      </c>
      <c r="G2393" s="20"/>
      <c r="H2393" s="19"/>
      <c r="I2393" s="19"/>
      <c r="J2393" s="19"/>
      <c r="K2393" s="19"/>
      <c r="L2393" s="19"/>
      <c r="M2393" s="19"/>
      <c r="N2393" s="20" t="s">
        <v>39</v>
      </c>
      <c r="O2393" s="19"/>
      <c r="P2393" s="19"/>
      <c r="Q2393" s="19"/>
      <c r="R2393" s="19"/>
      <c r="S2393" s="19"/>
      <c r="T2393" s="19"/>
      <c r="U2393" s="19"/>
      <c r="V2393" s="19"/>
    </row>
    <row r="2394">
      <c r="A2394" s="25"/>
      <c r="B2394" s="19"/>
      <c r="C2394" s="19"/>
      <c r="D2394" s="19"/>
      <c r="E2394" s="19"/>
      <c r="F2394" s="17" t="str">
        <f>IFERROR(__xludf.DUMMYFUNCTION("""COMPUTED_VALUE"""),"")</f>
        <v/>
      </c>
      <c r="G2394" s="20"/>
      <c r="H2394" s="19"/>
      <c r="I2394" s="19"/>
      <c r="J2394" s="19"/>
      <c r="K2394" s="19"/>
      <c r="L2394" s="19"/>
      <c r="M2394" s="19"/>
      <c r="N2394" s="20" t="s">
        <v>39</v>
      </c>
      <c r="O2394" s="19"/>
      <c r="P2394" s="19"/>
      <c r="Q2394" s="19"/>
      <c r="R2394" s="19"/>
      <c r="S2394" s="19"/>
      <c r="T2394" s="19"/>
      <c r="U2394" s="19"/>
      <c r="V2394" s="19"/>
    </row>
    <row r="2395">
      <c r="A2395" s="25"/>
      <c r="B2395" s="19"/>
      <c r="C2395" s="19"/>
      <c r="D2395" s="19"/>
      <c r="E2395" s="19"/>
      <c r="F2395" s="17" t="str">
        <f>IFERROR(__xludf.DUMMYFUNCTION("""COMPUTED_VALUE"""),"")</f>
        <v/>
      </c>
      <c r="G2395" s="20"/>
      <c r="H2395" s="19"/>
      <c r="I2395" s="19"/>
      <c r="J2395" s="19"/>
      <c r="K2395" s="19"/>
      <c r="L2395" s="19"/>
      <c r="M2395" s="19"/>
      <c r="N2395" s="20" t="s">
        <v>39</v>
      </c>
      <c r="O2395" s="19"/>
      <c r="P2395" s="19"/>
      <c r="Q2395" s="19"/>
      <c r="R2395" s="19"/>
      <c r="S2395" s="19"/>
      <c r="T2395" s="19"/>
      <c r="U2395" s="19"/>
      <c r="V2395" s="19"/>
    </row>
    <row r="2396">
      <c r="A2396" s="25"/>
      <c r="B2396" s="19"/>
      <c r="C2396" s="19"/>
      <c r="D2396" s="19"/>
      <c r="E2396" s="19"/>
      <c r="F2396" s="17" t="str">
        <f>IFERROR(__xludf.DUMMYFUNCTION("""COMPUTED_VALUE"""),"")</f>
        <v/>
      </c>
      <c r="G2396" s="20"/>
      <c r="H2396" s="19"/>
      <c r="I2396" s="19"/>
      <c r="J2396" s="19"/>
      <c r="K2396" s="19"/>
      <c r="L2396" s="19"/>
      <c r="M2396" s="19"/>
      <c r="N2396" s="20" t="s">
        <v>39</v>
      </c>
      <c r="O2396" s="19"/>
      <c r="P2396" s="19"/>
      <c r="Q2396" s="19"/>
      <c r="R2396" s="19"/>
      <c r="S2396" s="19"/>
      <c r="T2396" s="19"/>
      <c r="U2396" s="19"/>
      <c r="V2396" s="19"/>
    </row>
    <row r="2397">
      <c r="A2397" s="25"/>
      <c r="B2397" s="19"/>
      <c r="C2397" s="19"/>
      <c r="D2397" s="19"/>
      <c r="E2397" s="19"/>
      <c r="F2397" s="17" t="str">
        <f>IFERROR(__xludf.DUMMYFUNCTION("""COMPUTED_VALUE"""),"")</f>
        <v/>
      </c>
      <c r="G2397" s="20"/>
      <c r="H2397" s="19"/>
      <c r="I2397" s="19"/>
      <c r="J2397" s="19"/>
      <c r="K2397" s="19"/>
      <c r="L2397" s="19"/>
      <c r="M2397" s="19"/>
      <c r="N2397" s="20" t="s">
        <v>39</v>
      </c>
      <c r="O2397" s="19"/>
      <c r="P2397" s="19"/>
      <c r="Q2397" s="19"/>
      <c r="R2397" s="19"/>
      <c r="S2397" s="19"/>
      <c r="T2397" s="19"/>
      <c r="U2397" s="19"/>
      <c r="V2397" s="19"/>
    </row>
    <row r="2398">
      <c r="A2398" s="25"/>
      <c r="B2398" s="19"/>
      <c r="C2398" s="19"/>
      <c r="D2398" s="19"/>
      <c r="E2398" s="19"/>
      <c r="F2398" s="17" t="str">
        <f>IFERROR(__xludf.DUMMYFUNCTION("""COMPUTED_VALUE"""),"")</f>
        <v/>
      </c>
      <c r="G2398" s="20"/>
      <c r="H2398" s="19"/>
      <c r="I2398" s="19"/>
      <c r="J2398" s="19"/>
      <c r="K2398" s="19"/>
      <c r="L2398" s="19"/>
      <c r="M2398" s="19"/>
      <c r="N2398" s="20" t="s">
        <v>39</v>
      </c>
      <c r="O2398" s="19"/>
      <c r="P2398" s="19"/>
      <c r="Q2398" s="19"/>
      <c r="R2398" s="19"/>
      <c r="S2398" s="19"/>
      <c r="T2398" s="19"/>
      <c r="U2398" s="19"/>
      <c r="V2398" s="19"/>
    </row>
    <row r="2399">
      <c r="A2399" s="25"/>
      <c r="B2399" s="19"/>
      <c r="C2399" s="19"/>
      <c r="D2399" s="19"/>
      <c r="E2399" s="19"/>
      <c r="F2399" s="17" t="str">
        <f>IFERROR(__xludf.DUMMYFUNCTION("""COMPUTED_VALUE"""),"")</f>
        <v/>
      </c>
      <c r="G2399" s="20"/>
      <c r="H2399" s="19"/>
      <c r="I2399" s="19"/>
      <c r="J2399" s="19"/>
      <c r="K2399" s="19"/>
      <c r="L2399" s="19"/>
      <c r="M2399" s="19"/>
      <c r="N2399" s="20" t="s">
        <v>39</v>
      </c>
      <c r="O2399" s="19"/>
      <c r="P2399" s="19"/>
      <c r="Q2399" s="19"/>
      <c r="R2399" s="19"/>
      <c r="S2399" s="19"/>
      <c r="T2399" s="19"/>
      <c r="U2399" s="19"/>
      <c r="V2399" s="19"/>
    </row>
    <row r="2400">
      <c r="A2400" s="25"/>
      <c r="B2400" s="19"/>
      <c r="C2400" s="19"/>
      <c r="D2400" s="19"/>
      <c r="E2400" s="19"/>
      <c r="F2400" s="17" t="str">
        <f>IFERROR(__xludf.DUMMYFUNCTION("""COMPUTED_VALUE"""),"")</f>
        <v/>
      </c>
      <c r="G2400" s="20"/>
      <c r="H2400" s="19"/>
      <c r="I2400" s="19"/>
      <c r="J2400" s="19"/>
      <c r="K2400" s="19"/>
      <c r="L2400" s="19"/>
      <c r="M2400" s="19"/>
      <c r="N2400" s="20" t="s">
        <v>39</v>
      </c>
      <c r="O2400" s="19"/>
      <c r="P2400" s="19"/>
      <c r="Q2400" s="19"/>
      <c r="R2400" s="19"/>
      <c r="S2400" s="19"/>
      <c r="T2400" s="19"/>
      <c r="U2400" s="19"/>
      <c r="V2400" s="19"/>
    </row>
    <row r="2401">
      <c r="A2401" s="25"/>
      <c r="B2401" s="19"/>
      <c r="C2401" s="19"/>
      <c r="D2401" s="19"/>
      <c r="E2401" s="19"/>
      <c r="F2401" s="17" t="str">
        <f>IFERROR(__xludf.DUMMYFUNCTION("""COMPUTED_VALUE"""),"")</f>
        <v/>
      </c>
      <c r="G2401" s="20"/>
      <c r="H2401" s="19"/>
      <c r="I2401" s="19"/>
      <c r="J2401" s="19"/>
      <c r="K2401" s="19"/>
      <c r="L2401" s="19"/>
      <c r="M2401" s="19"/>
      <c r="N2401" s="20" t="s">
        <v>39</v>
      </c>
      <c r="O2401" s="19"/>
      <c r="P2401" s="19"/>
      <c r="Q2401" s="19"/>
      <c r="R2401" s="19"/>
      <c r="S2401" s="19"/>
      <c r="T2401" s="19"/>
      <c r="U2401" s="19"/>
      <c r="V2401" s="19"/>
    </row>
    <row r="2402">
      <c r="A2402" s="25"/>
      <c r="B2402" s="19"/>
      <c r="C2402" s="19"/>
      <c r="D2402" s="19"/>
      <c r="E2402" s="19"/>
      <c r="F2402" s="17" t="str">
        <f>IFERROR(__xludf.DUMMYFUNCTION("""COMPUTED_VALUE"""),"")</f>
        <v/>
      </c>
      <c r="G2402" s="20"/>
      <c r="H2402" s="19"/>
      <c r="I2402" s="19"/>
      <c r="J2402" s="19"/>
      <c r="K2402" s="19"/>
      <c r="L2402" s="19"/>
      <c r="M2402" s="19"/>
      <c r="N2402" s="20" t="s">
        <v>39</v>
      </c>
      <c r="O2402" s="19"/>
      <c r="P2402" s="19"/>
      <c r="Q2402" s="19"/>
      <c r="R2402" s="19"/>
      <c r="S2402" s="19"/>
      <c r="T2402" s="19"/>
      <c r="U2402" s="19"/>
      <c r="V2402" s="19"/>
    </row>
    <row r="2403">
      <c r="A2403" s="25"/>
      <c r="B2403" s="19"/>
      <c r="C2403" s="19"/>
      <c r="D2403" s="19"/>
      <c r="E2403" s="19"/>
      <c r="F2403" s="17" t="str">
        <f>IFERROR(__xludf.DUMMYFUNCTION("""COMPUTED_VALUE"""),"")</f>
        <v/>
      </c>
      <c r="G2403" s="20"/>
      <c r="H2403" s="19"/>
      <c r="I2403" s="19"/>
      <c r="J2403" s="19"/>
      <c r="K2403" s="19"/>
      <c r="L2403" s="19"/>
      <c r="M2403" s="19"/>
      <c r="N2403" s="20" t="s">
        <v>39</v>
      </c>
      <c r="O2403" s="19"/>
      <c r="P2403" s="19"/>
      <c r="Q2403" s="19"/>
      <c r="R2403" s="19"/>
      <c r="S2403" s="19"/>
      <c r="T2403" s="19"/>
      <c r="U2403" s="19"/>
      <c r="V2403" s="19"/>
    </row>
    <row r="2404">
      <c r="A2404" s="25"/>
      <c r="B2404" s="19"/>
      <c r="C2404" s="19"/>
      <c r="D2404" s="19"/>
      <c r="E2404" s="19"/>
      <c r="F2404" s="17" t="str">
        <f>IFERROR(__xludf.DUMMYFUNCTION("""COMPUTED_VALUE"""),"")</f>
        <v/>
      </c>
      <c r="G2404" s="20"/>
      <c r="H2404" s="19"/>
      <c r="I2404" s="19"/>
      <c r="J2404" s="19"/>
      <c r="K2404" s="19"/>
      <c r="L2404" s="19"/>
      <c r="M2404" s="19"/>
      <c r="N2404" s="20" t="s">
        <v>39</v>
      </c>
      <c r="O2404" s="19"/>
      <c r="P2404" s="19"/>
      <c r="Q2404" s="19"/>
      <c r="R2404" s="19"/>
      <c r="S2404" s="19"/>
      <c r="T2404" s="19"/>
      <c r="U2404" s="19"/>
      <c r="V2404" s="19"/>
    </row>
    <row r="2405">
      <c r="A2405" s="25"/>
      <c r="B2405" s="19"/>
      <c r="C2405" s="19"/>
      <c r="D2405" s="19"/>
      <c r="E2405" s="19"/>
      <c r="F2405" s="17" t="str">
        <f>IFERROR(__xludf.DUMMYFUNCTION("""COMPUTED_VALUE"""),"")</f>
        <v/>
      </c>
      <c r="G2405" s="20"/>
      <c r="H2405" s="19"/>
      <c r="I2405" s="19"/>
      <c r="J2405" s="19"/>
      <c r="K2405" s="19"/>
      <c r="L2405" s="19"/>
      <c r="M2405" s="19"/>
      <c r="N2405" s="20" t="s">
        <v>39</v>
      </c>
      <c r="O2405" s="19"/>
      <c r="P2405" s="19"/>
      <c r="Q2405" s="19"/>
      <c r="R2405" s="19"/>
      <c r="S2405" s="19"/>
      <c r="T2405" s="19"/>
      <c r="U2405" s="19"/>
      <c r="V2405" s="19"/>
    </row>
    <row r="2406">
      <c r="A2406" s="25"/>
      <c r="B2406" s="19"/>
      <c r="C2406" s="19"/>
      <c r="D2406" s="19"/>
      <c r="E2406" s="19"/>
      <c r="F2406" s="17" t="str">
        <f>IFERROR(__xludf.DUMMYFUNCTION("""COMPUTED_VALUE"""),"")</f>
        <v/>
      </c>
      <c r="G2406" s="20"/>
      <c r="H2406" s="19"/>
      <c r="I2406" s="19"/>
      <c r="J2406" s="19"/>
      <c r="K2406" s="19"/>
      <c r="L2406" s="19"/>
      <c r="M2406" s="19"/>
      <c r="N2406" s="20" t="s">
        <v>39</v>
      </c>
      <c r="O2406" s="19"/>
      <c r="P2406" s="19"/>
      <c r="Q2406" s="19"/>
      <c r="R2406" s="19"/>
      <c r="S2406" s="19"/>
      <c r="T2406" s="19"/>
      <c r="U2406" s="19"/>
      <c r="V2406" s="19"/>
    </row>
    <row r="2407">
      <c r="A2407" s="25"/>
      <c r="B2407" s="19"/>
      <c r="C2407" s="19"/>
      <c r="D2407" s="19"/>
      <c r="E2407" s="19"/>
      <c r="F2407" s="17" t="str">
        <f>IFERROR(__xludf.DUMMYFUNCTION("""COMPUTED_VALUE"""),"")</f>
        <v/>
      </c>
      <c r="G2407" s="20"/>
      <c r="H2407" s="19"/>
      <c r="I2407" s="19"/>
      <c r="J2407" s="19"/>
      <c r="K2407" s="19"/>
      <c r="L2407" s="19"/>
      <c r="M2407" s="19"/>
      <c r="N2407" s="20" t="s">
        <v>39</v>
      </c>
      <c r="O2407" s="19"/>
      <c r="P2407" s="19"/>
      <c r="Q2407" s="19"/>
      <c r="R2407" s="19"/>
      <c r="S2407" s="19"/>
      <c r="T2407" s="19"/>
      <c r="U2407" s="19"/>
      <c r="V2407" s="19"/>
    </row>
    <row r="2408">
      <c r="A2408" s="25"/>
      <c r="B2408" s="19"/>
      <c r="C2408" s="19"/>
      <c r="D2408" s="19"/>
      <c r="E2408" s="19"/>
      <c r="F2408" s="17" t="str">
        <f>IFERROR(__xludf.DUMMYFUNCTION("""COMPUTED_VALUE"""),"")</f>
        <v/>
      </c>
      <c r="G2408" s="20"/>
      <c r="H2408" s="19"/>
      <c r="I2408" s="19"/>
      <c r="J2408" s="19"/>
      <c r="K2408" s="19"/>
      <c r="L2408" s="19"/>
      <c r="M2408" s="19"/>
      <c r="N2408" s="20" t="s">
        <v>39</v>
      </c>
      <c r="O2408" s="19"/>
      <c r="P2408" s="19"/>
      <c r="Q2408" s="19"/>
      <c r="R2408" s="19"/>
      <c r="S2408" s="19"/>
      <c r="T2408" s="19"/>
      <c r="U2408" s="19"/>
      <c r="V2408" s="19"/>
    </row>
    <row r="2409">
      <c r="A2409" s="25"/>
      <c r="B2409" s="19"/>
      <c r="C2409" s="19"/>
      <c r="D2409" s="19"/>
      <c r="E2409" s="19"/>
      <c r="F2409" s="17" t="str">
        <f>IFERROR(__xludf.DUMMYFUNCTION("""COMPUTED_VALUE"""),"")</f>
        <v/>
      </c>
      <c r="G2409" s="20"/>
      <c r="H2409" s="19"/>
      <c r="I2409" s="19"/>
      <c r="J2409" s="19"/>
      <c r="K2409" s="19"/>
      <c r="L2409" s="19"/>
      <c r="M2409" s="19"/>
      <c r="N2409" s="20" t="s">
        <v>39</v>
      </c>
      <c r="O2409" s="19"/>
      <c r="P2409" s="19"/>
      <c r="Q2409" s="19"/>
      <c r="R2409" s="19"/>
      <c r="S2409" s="19"/>
      <c r="T2409" s="19"/>
      <c r="U2409" s="19"/>
      <c r="V2409" s="19"/>
    </row>
    <row r="2410">
      <c r="A2410" s="25"/>
      <c r="B2410" s="19"/>
      <c r="C2410" s="19"/>
      <c r="D2410" s="19"/>
      <c r="E2410" s="19"/>
      <c r="F2410" s="17" t="str">
        <f>IFERROR(__xludf.DUMMYFUNCTION("""COMPUTED_VALUE"""),"")</f>
        <v/>
      </c>
      <c r="G2410" s="20"/>
      <c r="H2410" s="19"/>
      <c r="I2410" s="19"/>
      <c r="J2410" s="19"/>
      <c r="K2410" s="19"/>
      <c r="L2410" s="19"/>
      <c r="M2410" s="19"/>
      <c r="N2410" s="20" t="s">
        <v>39</v>
      </c>
      <c r="O2410" s="19"/>
      <c r="P2410" s="19"/>
      <c r="Q2410" s="19"/>
      <c r="R2410" s="19"/>
      <c r="S2410" s="19"/>
      <c r="T2410" s="19"/>
      <c r="U2410" s="19"/>
      <c r="V2410" s="19"/>
    </row>
    <row r="2411">
      <c r="A2411" s="25"/>
      <c r="B2411" s="19"/>
      <c r="C2411" s="19"/>
      <c r="D2411" s="19"/>
      <c r="E2411" s="19"/>
      <c r="F2411" s="17" t="str">
        <f>IFERROR(__xludf.DUMMYFUNCTION("""COMPUTED_VALUE"""),"")</f>
        <v/>
      </c>
      <c r="G2411" s="20"/>
      <c r="H2411" s="19"/>
      <c r="I2411" s="19"/>
      <c r="J2411" s="19"/>
      <c r="K2411" s="19"/>
      <c r="L2411" s="19"/>
      <c r="M2411" s="19"/>
      <c r="N2411" s="20" t="s">
        <v>39</v>
      </c>
      <c r="O2411" s="19"/>
      <c r="P2411" s="19"/>
      <c r="Q2411" s="19"/>
      <c r="R2411" s="19"/>
      <c r="S2411" s="19"/>
      <c r="T2411" s="19"/>
      <c r="U2411" s="19"/>
      <c r="V2411" s="19"/>
    </row>
    <row r="2412">
      <c r="A2412" s="25"/>
      <c r="B2412" s="19"/>
      <c r="C2412" s="19"/>
      <c r="D2412" s="19"/>
      <c r="E2412" s="19"/>
      <c r="F2412" s="17" t="str">
        <f>IFERROR(__xludf.DUMMYFUNCTION("""COMPUTED_VALUE"""),"")</f>
        <v/>
      </c>
      <c r="G2412" s="20"/>
      <c r="H2412" s="19"/>
      <c r="I2412" s="19"/>
      <c r="J2412" s="19"/>
      <c r="K2412" s="19"/>
      <c r="L2412" s="19"/>
      <c r="M2412" s="19"/>
      <c r="N2412" s="20" t="s">
        <v>39</v>
      </c>
      <c r="O2412" s="19"/>
      <c r="P2412" s="19"/>
      <c r="Q2412" s="19"/>
      <c r="R2412" s="19"/>
      <c r="S2412" s="19"/>
      <c r="T2412" s="19"/>
      <c r="U2412" s="19"/>
      <c r="V2412" s="19"/>
    </row>
    <row r="2413">
      <c r="A2413" s="25"/>
      <c r="B2413" s="19"/>
      <c r="C2413" s="19"/>
      <c r="D2413" s="19"/>
      <c r="E2413" s="19"/>
      <c r="F2413" s="17" t="str">
        <f>IFERROR(__xludf.DUMMYFUNCTION("""COMPUTED_VALUE"""),"")</f>
        <v/>
      </c>
      <c r="G2413" s="20"/>
      <c r="H2413" s="19"/>
      <c r="I2413" s="19"/>
      <c r="J2413" s="19"/>
      <c r="K2413" s="19"/>
      <c r="L2413" s="19"/>
      <c r="M2413" s="19"/>
      <c r="N2413" s="20" t="s">
        <v>39</v>
      </c>
      <c r="O2413" s="19"/>
      <c r="P2413" s="19"/>
      <c r="Q2413" s="19"/>
      <c r="R2413" s="19"/>
      <c r="S2413" s="19"/>
      <c r="T2413" s="19"/>
      <c r="U2413" s="19"/>
      <c r="V2413" s="19"/>
    </row>
    <row r="2414">
      <c r="A2414" s="25"/>
      <c r="B2414" s="19"/>
      <c r="C2414" s="19"/>
      <c r="D2414" s="19"/>
      <c r="E2414" s="19"/>
      <c r="F2414" s="17" t="str">
        <f>IFERROR(__xludf.DUMMYFUNCTION("""COMPUTED_VALUE"""),"")</f>
        <v/>
      </c>
      <c r="G2414" s="20"/>
      <c r="H2414" s="19"/>
      <c r="I2414" s="19"/>
      <c r="J2414" s="19"/>
      <c r="K2414" s="19"/>
      <c r="L2414" s="19"/>
      <c r="M2414" s="19"/>
      <c r="N2414" s="20" t="s">
        <v>39</v>
      </c>
      <c r="O2414" s="19"/>
      <c r="P2414" s="19"/>
      <c r="Q2414" s="19"/>
      <c r="R2414" s="19"/>
      <c r="S2414" s="19"/>
      <c r="T2414" s="19"/>
      <c r="U2414" s="19"/>
      <c r="V2414" s="19"/>
    </row>
    <row r="2415">
      <c r="A2415" s="25"/>
      <c r="B2415" s="19"/>
      <c r="C2415" s="19"/>
      <c r="D2415" s="19"/>
      <c r="E2415" s="19"/>
      <c r="F2415" s="17" t="str">
        <f>IFERROR(__xludf.DUMMYFUNCTION("""COMPUTED_VALUE"""),"")</f>
        <v/>
      </c>
      <c r="G2415" s="20"/>
      <c r="H2415" s="19"/>
      <c r="I2415" s="19"/>
      <c r="J2415" s="19"/>
      <c r="K2415" s="19"/>
      <c r="L2415" s="19"/>
      <c r="M2415" s="19"/>
      <c r="N2415" s="20" t="s">
        <v>39</v>
      </c>
      <c r="O2415" s="19"/>
      <c r="P2415" s="19"/>
      <c r="Q2415" s="19"/>
      <c r="R2415" s="19"/>
      <c r="S2415" s="19"/>
      <c r="T2415" s="19"/>
      <c r="U2415" s="19"/>
      <c r="V2415" s="19"/>
    </row>
    <row r="2416">
      <c r="A2416" s="25"/>
      <c r="B2416" s="19"/>
      <c r="C2416" s="19"/>
      <c r="D2416" s="19"/>
      <c r="E2416" s="19"/>
      <c r="F2416" s="17" t="str">
        <f>IFERROR(__xludf.DUMMYFUNCTION("""COMPUTED_VALUE"""),"")</f>
        <v/>
      </c>
      <c r="G2416" s="20"/>
      <c r="H2416" s="19"/>
      <c r="I2416" s="19"/>
      <c r="J2416" s="19"/>
      <c r="K2416" s="19"/>
      <c r="L2416" s="19"/>
      <c r="M2416" s="19"/>
      <c r="N2416" s="20" t="s">
        <v>39</v>
      </c>
      <c r="O2416" s="19"/>
      <c r="P2416" s="19"/>
      <c r="Q2416" s="19"/>
      <c r="R2416" s="19"/>
      <c r="S2416" s="19"/>
      <c r="T2416" s="19"/>
      <c r="U2416" s="19"/>
      <c r="V2416" s="19"/>
    </row>
    <row r="2417">
      <c r="A2417" s="25"/>
      <c r="B2417" s="19"/>
      <c r="C2417" s="19"/>
      <c r="D2417" s="19"/>
      <c r="E2417" s="19"/>
      <c r="F2417" s="17" t="str">
        <f>IFERROR(__xludf.DUMMYFUNCTION("""COMPUTED_VALUE"""),"")</f>
        <v/>
      </c>
      <c r="G2417" s="20"/>
      <c r="H2417" s="19"/>
      <c r="I2417" s="19"/>
      <c r="J2417" s="19"/>
      <c r="K2417" s="19"/>
      <c r="L2417" s="19"/>
      <c r="M2417" s="19"/>
      <c r="N2417" s="20" t="s">
        <v>39</v>
      </c>
      <c r="O2417" s="19"/>
      <c r="P2417" s="19"/>
      <c r="Q2417" s="19"/>
      <c r="R2417" s="19"/>
      <c r="S2417" s="19"/>
      <c r="T2417" s="19"/>
      <c r="U2417" s="19"/>
      <c r="V2417" s="19"/>
    </row>
    <row r="2418">
      <c r="A2418" s="25"/>
      <c r="B2418" s="19"/>
      <c r="C2418" s="19"/>
      <c r="D2418" s="19"/>
      <c r="E2418" s="19"/>
      <c r="F2418" s="17" t="str">
        <f>IFERROR(__xludf.DUMMYFUNCTION("""COMPUTED_VALUE"""),"")</f>
        <v/>
      </c>
      <c r="G2418" s="20"/>
      <c r="H2418" s="19"/>
      <c r="I2418" s="19"/>
      <c r="J2418" s="19"/>
      <c r="K2418" s="19"/>
      <c r="L2418" s="19"/>
      <c r="M2418" s="19"/>
      <c r="N2418" s="20" t="s">
        <v>39</v>
      </c>
      <c r="O2418" s="19"/>
      <c r="P2418" s="19"/>
      <c r="Q2418" s="19"/>
      <c r="R2418" s="19"/>
      <c r="S2418" s="19"/>
      <c r="T2418" s="19"/>
      <c r="U2418" s="19"/>
      <c r="V2418" s="19"/>
    </row>
    <row r="2419">
      <c r="A2419" s="25"/>
      <c r="B2419" s="19"/>
      <c r="C2419" s="19"/>
      <c r="D2419" s="19"/>
      <c r="E2419" s="19"/>
      <c r="F2419" s="17" t="str">
        <f>IFERROR(__xludf.DUMMYFUNCTION("""COMPUTED_VALUE"""),"")</f>
        <v/>
      </c>
      <c r="G2419" s="20"/>
      <c r="H2419" s="19"/>
      <c r="I2419" s="19"/>
      <c r="J2419" s="19"/>
      <c r="K2419" s="19"/>
      <c r="L2419" s="19"/>
      <c r="M2419" s="19"/>
      <c r="N2419" s="20" t="s">
        <v>39</v>
      </c>
      <c r="O2419" s="19"/>
      <c r="P2419" s="19"/>
      <c r="Q2419" s="19"/>
      <c r="R2419" s="19"/>
      <c r="S2419" s="19"/>
      <c r="T2419" s="19"/>
      <c r="U2419" s="19"/>
      <c r="V2419" s="19"/>
    </row>
    <row r="2420">
      <c r="A2420" s="25"/>
      <c r="B2420" s="19"/>
      <c r="C2420" s="19"/>
      <c r="D2420" s="19"/>
      <c r="E2420" s="19"/>
      <c r="F2420" s="17" t="str">
        <f>IFERROR(__xludf.DUMMYFUNCTION("""COMPUTED_VALUE"""),"")</f>
        <v/>
      </c>
      <c r="G2420" s="20"/>
      <c r="H2420" s="19"/>
      <c r="I2420" s="19"/>
      <c r="J2420" s="19"/>
      <c r="K2420" s="19"/>
      <c r="L2420" s="19"/>
      <c r="M2420" s="19"/>
      <c r="N2420" s="20" t="s">
        <v>39</v>
      </c>
      <c r="O2420" s="19"/>
      <c r="P2420" s="19"/>
      <c r="Q2420" s="19"/>
      <c r="R2420" s="19"/>
      <c r="S2420" s="19"/>
      <c r="T2420" s="19"/>
      <c r="U2420" s="19"/>
      <c r="V2420" s="19"/>
    </row>
    <row r="2421">
      <c r="A2421" s="25"/>
      <c r="B2421" s="19"/>
      <c r="C2421" s="19"/>
      <c r="D2421" s="19"/>
      <c r="E2421" s="19"/>
      <c r="F2421" s="17" t="str">
        <f>IFERROR(__xludf.DUMMYFUNCTION("""COMPUTED_VALUE"""),"")</f>
        <v/>
      </c>
      <c r="G2421" s="20"/>
      <c r="H2421" s="19"/>
      <c r="I2421" s="19"/>
      <c r="J2421" s="19"/>
      <c r="K2421" s="19"/>
      <c r="L2421" s="19"/>
      <c r="M2421" s="19"/>
      <c r="N2421" s="20" t="s">
        <v>39</v>
      </c>
      <c r="O2421" s="19"/>
      <c r="P2421" s="19"/>
      <c r="Q2421" s="19"/>
      <c r="R2421" s="19"/>
      <c r="S2421" s="19"/>
      <c r="T2421" s="19"/>
      <c r="U2421" s="19"/>
      <c r="V2421" s="19"/>
    </row>
    <row r="2422">
      <c r="A2422" s="25"/>
      <c r="B2422" s="19"/>
      <c r="C2422" s="19"/>
      <c r="D2422" s="19"/>
      <c r="E2422" s="19"/>
      <c r="F2422" s="17" t="str">
        <f>IFERROR(__xludf.DUMMYFUNCTION("""COMPUTED_VALUE"""),"")</f>
        <v/>
      </c>
      <c r="G2422" s="20"/>
      <c r="H2422" s="19"/>
      <c r="I2422" s="19"/>
      <c r="J2422" s="19"/>
      <c r="K2422" s="19"/>
      <c r="L2422" s="19"/>
      <c r="M2422" s="19"/>
      <c r="N2422" s="20" t="s">
        <v>39</v>
      </c>
      <c r="O2422" s="19"/>
      <c r="P2422" s="19"/>
      <c r="Q2422" s="19"/>
      <c r="R2422" s="19"/>
      <c r="S2422" s="19"/>
      <c r="T2422" s="19"/>
      <c r="U2422" s="19"/>
      <c r="V2422" s="19"/>
    </row>
    <row r="2423">
      <c r="A2423" s="25"/>
      <c r="B2423" s="19"/>
      <c r="C2423" s="19"/>
      <c r="D2423" s="19"/>
      <c r="E2423" s="19"/>
      <c r="F2423" s="17" t="str">
        <f>IFERROR(__xludf.DUMMYFUNCTION("""COMPUTED_VALUE"""),"")</f>
        <v/>
      </c>
      <c r="G2423" s="20"/>
      <c r="H2423" s="19"/>
      <c r="I2423" s="19"/>
      <c r="J2423" s="19"/>
      <c r="K2423" s="19"/>
      <c r="L2423" s="19"/>
      <c r="M2423" s="19"/>
      <c r="N2423" s="20" t="s">
        <v>39</v>
      </c>
      <c r="O2423" s="19"/>
      <c r="P2423" s="19"/>
      <c r="Q2423" s="19"/>
      <c r="R2423" s="19"/>
      <c r="S2423" s="19"/>
      <c r="T2423" s="19"/>
      <c r="U2423" s="19"/>
      <c r="V2423" s="19"/>
    </row>
    <row r="2424">
      <c r="A2424" s="25"/>
      <c r="B2424" s="19"/>
      <c r="C2424" s="19"/>
      <c r="D2424" s="19"/>
      <c r="E2424" s="19"/>
      <c r="F2424" s="17" t="str">
        <f>IFERROR(__xludf.DUMMYFUNCTION("""COMPUTED_VALUE"""),"")</f>
        <v/>
      </c>
      <c r="G2424" s="20"/>
      <c r="H2424" s="19"/>
      <c r="I2424" s="19"/>
      <c r="J2424" s="19"/>
      <c r="K2424" s="19"/>
      <c r="L2424" s="19"/>
      <c r="M2424" s="19"/>
      <c r="N2424" s="20" t="s">
        <v>39</v>
      </c>
      <c r="O2424" s="19"/>
      <c r="P2424" s="19"/>
      <c r="Q2424" s="19"/>
      <c r="R2424" s="19"/>
      <c r="S2424" s="19"/>
      <c r="T2424" s="19"/>
      <c r="U2424" s="19"/>
      <c r="V2424" s="19"/>
    </row>
    <row r="2425">
      <c r="A2425" s="25"/>
      <c r="B2425" s="19"/>
      <c r="C2425" s="19"/>
      <c r="D2425" s="19"/>
      <c r="E2425" s="19"/>
      <c r="F2425" s="17" t="str">
        <f>IFERROR(__xludf.DUMMYFUNCTION("""COMPUTED_VALUE"""),"")</f>
        <v/>
      </c>
      <c r="G2425" s="20"/>
      <c r="H2425" s="19"/>
      <c r="I2425" s="19"/>
      <c r="J2425" s="19"/>
      <c r="K2425" s="19"/>
      <c r="L2425" s="19"/>
      <c r="M2425" s="19"/>
      <c r="N2425" s="20" t="s">
        <v>39</v>
      </c>
      <c r="O2425" s="19"/>
      <c r="P2425" s="19"/>
      <c r="Q2425" s="19"/>
      <c r="R2425" s="19"/>
      <c r="S2425" s="19"/>
      <c r="T2425" s="19"/>
      <c r="U2425" s="19"/>
      <c r="V2425" s="19"/>
    </row>
    <row r="2426">
      <c r="A2426" s="25"/>
      <c r="B2426" s="19"/>
      <c r="C2426" s="19"/>
      <c r="D2426" s="19"/>
      <c r="E2426" s="19"/>
      <c r="F2426" s="17" t="str">
        <f>IFERROR(__xludf.DUMMYFUNCTION("""COMPUTED_VALUE"""),"")</f>
        <v/>
      </c>
      <c r="G2426" s="20"/>
      <c r="H2426" s="19"/>
      <c r="I2426" s="19"/>
      <c r="J2426" s="19"/>
      <c r="K2426" s="19"/>
      <c r="L2426" s="19"/>
      <c r="M2426" s="19"/>
      <c r="N2426" s="20" t="s">
        <v>39</v>
      </c>
      <c r="O2426" s="19"/>
      <c r="P2426" s="19"/>
      <c r="Q2426" s="19"/>
      <c r="R2426" s="19"/>
      <c r="S2426" s="19"/>
      <c r="T2426" s="19"/>
      <c r="U2426" s="19"/>
      <c r="V2426" s="19"/>
    </row>
    <row r="2427">
      <c r="A2427" s="25"/>
      <c r="B2427" s="19"/>
      <c r="C2427" s="19"/>
      <c r="D2427" s="19"/>
      <c r="E2427" s="19"/>
      <c r="F2427" s="17" t="str">
        <f>IFERROR(__xludf.DUMMYFUNCTION("""COMPUTED_VALUE"""),"")</f>
        <v/>
      </c>
      <c r="G2427" s="20"/>
      <c r="H2427" s="19"/>
      <c r="I2427" s="19"/>
      <c r="J2427" s="19"/>
      <c r="K2427" s="19"/>
      <c r="L2427" s="19"/>
      <c r="M2427" s="19"/>
      <c r="N2427" s="20" t="s">
        <v>39</v>
      </c>
      <c r="O2427" s="19"/>
      <c r="P2427" s="19"/>
      <c r="Q2427" s="19"/>
      <c r="R2427" s="19"/>
      <c r="S2427" s="19"/>
      <c r="T2427" s="19"/>
      <c r="U2427" s="19"/>
      <c r="V2427" s="19"/>
    </row>
    <row r="2428">
      <c r="A2428" s="25"/>
      <c r="B2428" s="19"/>
      <c r="C2428" s="19"/>
      <c r="D2428" s="19"/>
      <c r="E2428" s="19"/>
      <c r="F2428" s="17" t="str">
        <f>IFERROR(__xludf.DUMMYFUNCTION("""COMPUTED_VALUE"""),"")</f>
        <v/>
      </c>
      <c r="G2428" s="20"/>
      <c r="H2428" s="19"/>
      <c r="I2428" s="19"/>
      <c r="J2428" s="19"/>
      <c r="K2428" s="19"/>
      <c r="L2428" s="19"/>
      <c r="M2428" s="19"/>
      <c r="N2428" s="20" t="s">
        <v>39</v>
      </c>
      <c r="O2428" s="19"/>
      <c r="P2428" s="19"/>
      <c r="Q2428" s="19"/>
      <c r="R2428" s="19"/>
      <c r="S2428" s="19"/>
      <c r="T2428" s="19"/>
      <c r="U2428" s="19"/>
      <c r="V2428" s="19"/>
    </row>
    <row r="2429">
      <c r="A2429" s="25"/>
      <c r="B2429" s="19"/>
      <c r="C2429" s="19"/>
      <c r="D2429" s="19"/>
      <c r="E2429" s="19"/>
      <c r="F2429" s="17" t="str">
        <f>IFERROR(__xludf.DUMMYFUNCTION("""COMPUTED_VALUE"""),"")</f>
        <v/>
      </c>
      <c r="G2429" s="20"/>
      <c r="H2429" s="19"/>
      <c r="I2429" s="19"/>
      <c r="J2429" s="19"/>
      <c r="K2429" s="19"/>
      <c r="L2429" s="19"/>
      <c r="M2429" s="19"/>
      <c r="N2429" s="20" t="s">
        <v>39</v>
      </c>
      <c r="O2429" s="19"/>
      <c r="P2429" s="19"/>
      <c r="Q2429" s="19"/>
      <c r="R2429" s="19"/>
      <c r="S2429" s="19"/>
      <c r="T2429" s="19"/>
      <c r="U2429" s="19"/>
      <c r="V2429" s="19"/>
    </row>
    <row r="2430">
      <c r="A2430" s="25"/>
      <c r="B2430" s="19"/>
      <c r="C2430" s="19"/>
      <c r="D2430" s="19"/>
      <c r="E2430" s="19"/>
      <c r="F2430" s="17" t="str">
        <f>IFERROR(__xludf.DUMMYFUNCTION("""COMPUTED_VALUE"""),"")</f>
        <v/>
      </c>
      <c r="G2430" s="20"/>
      <c r="H2430" s="19"/>
      <c r="I2430" s="19"/>
      <c r="J2430" s="19"/>
      <c r="K2430" s="19"/>
      <c r="L2430" s="19"/>
      <c r="M2430" s="19"/>
      <c r="N2430" s="20" t="s">
        <v>39</v>
      </c>
      <c r="O2430" s="19"/>
      <c r="P2430" s="19"/>
      <c r="Q2430" s="19"/>
      <c r="R2430" s="19"/>
      <c r="S2430" s="19"/>
      <c r="T2430" s="19"/>
      <c r="U2430" s="19"/>
      <c r="V2430" s="19"/>
    </row>
    <row r="2431">
      <c r="A2431" s="25"/>
      <c r="B2431" s="19"/>
      <c r="C2431" s="19"/>
      <c r="D2431" s="19"/>
      <c r="E2431" s="19"/>
      <c r="F2431" s="17" t="str">
        <f>IFERROR(__xludf.DUMMYFUNCTION("""COMPUTED_VALUE"""),"")</f>
        <v/>
      </c>
      <c r="G2431" s="20"/>
      <c r="H2431" s="19"/>
      <c r="I2431" s="19"/>
      <c r="J2431" s="19"/>
      <c r="K2431" s="19"/>
      <c r="L2431" s="19"/>
      <c r="M2431" s="19"/>
      <c r="N2431" s="20" t="s">
        <v>39</v>
      </c>
      <c r="O2431" s="19"/>
      <c r="P2431" s="19"/>
      <c r="Q2431" s="19"/>
      <c r="R2431" s="19"/>
      <c r="S2431" s="19"/>
      <c r="T2431" s="19"/>
      <c r="U2431" s="19"/>
      <c r="V2431" s="19"/>
    </row>
    <row r="2432">
      <c r="A2432" s="25"/>
      <c r="B2432" s="19"/>
      <c r="C2432" s="19"/>
      <c r="D2432" s="19"/>
      <c r="E2432" s="19"/>
      <c r="F2432" s="17" t="str">
        <f>IFERROR(__xludf.DUMMYFUNCTION("""COMPUTED_VALUE"""),"")</f>
        <v/>
      </c>
      <c r="G2432" s="20"/>
      <c r="H2432" s="19"/>
      <c r="I2432" s="19"/>
      <c r="J2432" s="19"/>
      <c r="K2432" s="19"/>
      <c r="L2432" s="19"/>
      <c r="M2432" s="19"/>
      <c r="N2432" s="20" t="s">
        <v>39</v>
      </c>
      <c r="O2432" s="19"/>
      <c r="P2432" s="19"/>
      <c r="Q2432" s="19"/>
      <c r="R2432" s="19"/>
      <c r="S2432" s="19"/>
      <c r="T2432" s="19"/>
      <c r="U2432" s="19"/>
      <c r="V2432" s="19"/>
    </row>
    <row r="2433">
      <c r="A2433" s="25"/>
      <c r="B2433" s="19"/>
      <c r="C2433" s="19"/>
      <c r="D2433" s="19"/>
      <c r="E2433" s="19"/>
      <c r="F2433" s="17" t="str">
        <f>IFERROR(__xludf.DUMMYFUNCTION("""COMPUTED_VALUE"""),"")</f>
        <v/>
      </c>
      <c r="G2433" s="20"/>
      <c r="H2433" s="19"/>
      <c r="I2433" s="19"/>
      <c r="J2433" s="19"/>
      <c r="K2433" s="19"/>
      <c r="L2433" s="19"/>
      <c r="M2433" s="19"/>
      <c r="N2433" s="20" t="s">
        <v>39</v>
      </c>
      <c r="O2433" s="19"/>
      <c r="P2433" s="19"/>
      <c r="Q2433" s="19"/>
      <c r="R2433" s="19"/>
      <c r="S2433" s="19"/>
      <c r="T2433" s="19"/>
      <c r="U2433" s="19"/>
      <c r="V2433" s="19"/>
    </row>
    <row r="2434">
      <c r="A2434" s="25"/>
      <c r="B2434" s="19"/>
      <c r="C2434" s="19"/>
      <c r="D2434" s="19"/>
      <c r="E2434" s="19"/>
      <c r="F2434" s="17" t="str">
        <f>IFERROR(__xludf.DUMMYFUNCTION("""COMPUTED_VALUE"""),"")</f>
        <v/>
      </c>
      <c r="G2434" s="20"/>
      <c r="H2434" s="19"/>
      <c r="I2434" s="19"/>
      <c r="J2434" s="19"/>
      <c r="K2434" s="19"/>
      <c r="L2434" s="19"/>
      <c r="M2434" s="19"/>
      <c r="N2434" s="20" t="s">
        <v>39</v>
      </c>
      <c r="O2434" s="19"/>
      <c r="P2434" s="19"/>
      <c r="Q2434" s="19"/>
      <c r="R2434" s="19"/>
      <c r="S2434" s="19"/>
      <c r="T2434" s="19"/>
      <c r="U2434" s="19"/>
      <c r="V2434" s="19"/>
    </row>
    <row r="2435">
      <c r="A2435" s="25"/>
      <c r="B2435" s="19"/>
      <c r="C2435" s="19"/>
      <c r="D2435" s="19"/>
      <c r="E2435" s="19"/>
      <c r="F2435" s="17" t="str">
        <f>IFERROR(__xludf.DUMMYFUNCTION("""COMPUTED_VALUE"""),"")</f>
        <v/>
      </c>
      <c r="G2435" s="20"/>
      <c r="H2435" s="19"/>
      <c r="I2435" s="19"/>
      <c r="J2435" s="19"/>
      <c r="K2435" s="19"/>
      <c r="L2435" s="19"/>
      <c r="M2435" s="19"/>
      <c r="N2435" s="20" t="s">
        <v>39</v>
      </c>
      <c r="O2435" s="19"/>
      <c r="P2435" s="19"/>
      <c r="Q2435" s="19"/>
      <c r="R2435" s="19"/>
      <c r="S2435" s="19"/>
      <c r="T2435" s="19"/>
      <c r="U2435" s="19"/>
      <c r="V2435" s="19"/>
    </row>
    <row r="2436">
      <c r="A2436" s="25"/>
      <c r="B2436" s="19"/>
      <c r="C2436" s="19"/>
      <c r="D2436" s="19"/>
      <c r="E2436" s="19"/>
      <c r="F2436" s="17" t="str">
        <f>IFERROR(__xludf.DUMMYFUNCTION("""COMPUTED_VALUE"""),"")</f>
        <v/>
      </c>
      <c r="G2436" s="20"/>
      <c r="H2436" s="19"/>
      <c r="I2436" s="19"/>
      <c r="J2436" s="19"/>
      <c r="K2436" s="19"/>
      <c r="L2436" s="19"/>
      <c r="M2436" s="19"/>
      <c r="N2436" s="20" t="s">
        <v>39</v>
      </c>
      <c r="O2436" s="19"/>
      <c r="P2436" s="19"/>
      <c r="Q2436" s="19"/>
      <c r="R2436" s="19"/>
      <c r="S2436" s="19"/>
      <c r="T2436" s="19"/>
      <c r="U2436" s="19"/>
      <c r="V2436" s="19"/>
    </row>
    <row r="2437">
      <c r="A2437" s="25"/>
      <c r="B2437" s="19"/>
      <c r="C2437" s="19"/>
      <c r="D2437" s="19"/>
      <c r="E2437" s="19"/>
      <c r="F2437" s="17" t="str">
        <f>IFERROR(__xludf.DUMMYFUNCTION("""COMPUTED_VALUE"""),"")</f>
        <v/>
      </c>
      <c r="G2437" s="20"/>
      <c r="H2437" s="19"/>
      <c r="I2437" s="19"/>
      <c r="J2437" s="19"/>
      <c r="K2437" s="19"/>
      <c r="L2437" s="19"/>
      <c r="M2437" s="19"/>
      <c r="N2437" s="20" t="s">
        <v>39</v>
      </c>
      <c r="O2437" s="19"/>
      <c r="P2437" s="19"/>
      <c r="Q2437" s="19"/>
      <c r="R2437" s="19"/>
      <c r="S2437" s="19"/>
      <c r="T2437" s="19"/>
      <c r="U2437" s="19"/>
      <c r="V2437" s="19"/>
    </row>
    <row r="2438">
      <c r="A2438" s="25"/>
      <c r="B2438" s="19"/>
      <c r="C2438" s="19"/>
      <c r="D2438" s="19"/>
      <c r="E2438" s="19"/>
      <c r="F2438" s="17" t="str">
        <f>IFERROR(__xludf.DUMMYFUNCTION("""COMPUTED_VALUE"""),"")</f>
        <v/>
      </c>
      <c r="G2438" s="20"/>
      <c r="H2438" s="19"/>
      <c r="I2438" s="19"/>
      <c r="J2438" s="19"/>
      <c r="K2438" s="19"/>
      <c r="L2438" s="19"/>
      <c r="M2438" s="19"/>
      <c r="N2438" s="20" t="s">
        <v>39</v>
      </c>
      <c r="O2438" s="19"/>
      <c r="P2438" s="19"/>
      <c r="Q2438" s="19"/>
      <c r="R2438" s="19"/>
      <c r="S2438" s="19"/>
      <c r="T2438" s="19"/>
      <c r="U2438" s="19"/>
      <c r="V2438" s="19"/>
    </row>
    <row r="2439">
      <c r="A2439" s="25"/>
      <c r="B2439" s="19"/>
      <c r="C2439" s="19"/>
      <c r="D2439" s="19"/>
      <c r="E2439" s="19"/>
      <c r="F2439" s="17" t="str">
        <f>IFERROR(__xludf.DUMMYFUNCTION("""COMPUTED_VALUE"""),"")</f>
        <v/>
      </c>
      <c r="G2439" s="20"/>
      <c r="H2439" s="19"/>
      <c r="I2439" s="19"/>
      <c r="J2439" s="19"/>
      <c r="K2439" s="19"/>
      <c r="L2439" s="19"/>
      <c r="M2439" s="19"/>
      <c r="N2439" s="20" t="s">
        <v>39</v>
      </c>
      <c r="O2439" s="19"/>
      <c r="P2439" s="19"/>
      <c r="Q2439" s="19"/>
      <c r="R2439" s="19"/>
      <c r="S2439" s="19"/>
      <c r="T2439" s="19"/>
      <c r="U2439" s="19"/>
      <c r="V2439" s="19"/>
    </row>
    <row r="2440">
      <c r="A2440" s="25"/>
      <c r="B2440" s="19"/>
      <c r="C2440" s="19"/>
      <c r="D2440" s="19"/>
      <c r="E2440" s="19"/>
      <c r="F2440" s="17" t="str">
        <f>IFERROR(__xludf.DUMMYFUNCTION("""COMPUTED_VALUE"""),"")</f>
        <v/>
      </c>
      <c r="G2440" s="20"/>
      <c r="H2440" s="19"/>
      <c r="I2440" s="19"/>
      <c r="J2440" s="19"/>
      <c r="K2440" s="19"/>
      <c r="L2440" s="19"/>
      <c r="M2440" s="19"/>
      <c r="N2440" s="20" t="s">
        <v>39</v>
      </c>
      <c r="O2440" s="19"/>
      <c r="P2440" s="19"/>
      <c r="Q2440" s="19"/>
      <c r="R2440" s="19"/>
      <c r="S2440" s="19"/>
      <c r="T2440" s="19"/>
      <c r="U2440" s="19"/>
      <c r="V2440" s="19"/>
    </row>
    <row r="2441">
      <c r="A2441" s="25"/>
      <c r="B2441" s="19"/>
      <c r="C2441" s="19"/>
      <c r="D2441" s="19"/>
      <c r="E2441" s="19"/>
      <c r="F2441" s="17" t="str">
        <f>IFERROR(__xludf.DUMMYFUNCTION("""COMPUTED_VALUE"""),"")</f>
        <v/>
      </c>
      <c r="G2441" s="20"/>
      <c r="H2441" s="19"/>
      <c r="I2441" s="19"/>
      <c r="J2441" s="19"/>
      <c r="K2441" s="19"/>
      <c r="L2441" s="19"/>
      <c r="M2441" s="19"/>
      <c r="N2441" s="20" t="s">
        <v>39</v>
      </c>
      <c r="O2441" s="19"/>
      <c r="P2441" s="19"/>
      <c r="Q2441" s="19"/>
      <c r="R2441" s="19"/>
      <c r="S2441" s="19"/>
      <c r="T2441" s="19"/>
      <c r="U2441" s="19"/>
      <c r="V2441" s="19"/>
    </row>
    <row r="2442">
      <c r="A2442" s="25"/>
      <c r="B2442" s="19"/>
      <c r="C2442" s="19"/>
      <c r="D2442" s="19"/>
      <c r="E2442" s="19"/>
      <c r="F2442" s="17" t="str">
        <f>IFERROR(__xludf.DUMMYFUNCTION("""COMPUTED_VALUE"""),"")</f>
        <v/>
      </c>
      <c r="G2442" s="20"/>
      <c r="H2442" s="19"/>
      <c r="I2442" s="19"/>
      <c r="J2442" s="19"/>
      <c r="K2442" s="19"/>
      <c r="L2442" s="19"/>
      <c r="M2442" s="19"/>
      <c r="N2442" s="20" t="s">
        <v>39</v>
      </c>
      <c r="O2442" s="19"/>
      <c r="P2442" s="19"/>
      <c r="Q2442" s="19"/>
      <c r="R2442" s="19"/>
      <c r="S2442" s="19"/>
      <c r="T2442" s="19"/>
      <c r="U2442" s="19"/>
      <c r="V2442" s="19"/>
    </row>
    <row r="2443">
      <c r="A2443" s="25"/>
      <c r="B2443" s="19"/>
      <c r="C2443" s="19"/>
      <c r="D2443" s="19"/>
      <c r="E2443" s="19"/>
      <c r="F2443" s="17" t="str">
        <f>IFERROR(__xludf.DUMMYFUNCTION("""COMPUTED_VALUE"""),"")</f>
        <v/>
      </c>
      <c r="G2443" s="20"/>
      <c r="H2443" s="19"/>
      <c r="I2443" s="19"/>
      <c r="J2443" s="19"/>
      <c r="K2443" s="19"/>
      <c r="L2443" s="19"/>
      <c r="M2443" s="19"/>
      <c r="N2443" s="20" t="s">
        <v>39</v>
      </c>
      <c r="O2443" s="19"/>
      <c r="P2443" s="19"/>
      <c r="Q2443" s="19"/>
      <c r="R2443" s="19"/>
      <c r="S2443" s="19"/>
      <c r="T2443" s="19"/>
      <c r="U2443" s="19"/>
      <c r="V2443" s="19"/>
    </row>
    <row r="2444">
      <c r="A2444" s="25"/>
      <c r="B2444" s="19"/>
      <c r="C2444" s="19"/>
      <c r="D2444" s="19"/>
      <c r="E2444" s="19"/>
      <c r="F2444" s="17" t="str">
        <f>IFERROR(__xludf.DUMMYFUNCTION("""COMPUTED_VALUE"""),"")</f>
        <v/>
      </c>
      <c r="G2444" s="20"/>
      <c r="H2444" s="19"/>
      <c r="I2444" s="19"/>
      <c r="J2444" s="19"/>
      <c r="K2444" s="19"/>
      <c r="L2444" s="19"/>
      <c r="M2444" s="19"/>
      <c r="N2444" s="20" t="s">
        <v>39</v>
      </c>
      <c r="O2444" s="19"/>
      <c r="P2444" s="19"/>
      <c r="Q2444" s="19"/>
      <c r="R2444" s="19"/>
      <c r="S2444" s="19"/>
      <c r="T2444" s="19"/>
      <c r="U2444" s="19"/>
      <c r="V2444" s="19"/>
    </row>
    <row r="2445">
      <c r="A2445" s="25"/>
      <c r="B2445" s="19"/>
      <c r="C2445" s="19"/>
      <c r="D2445" s="19"/>
      <c r="E2445" s="19"/>
      <c r="F2445" s="17" t="str">
        <f>IFERROR(__xludf.DUMMYFUNCTION("""COMPUTED_VALUE"""),"")</f>
        <v/>
      </c>
      <c r="G2445" s="20"/>
      <c r="H2445" s="19"/>
      <c r="I2445" s="19"/>
      <c r="J2445" s="19"/>
      <c r="K2445" s="19"/>
      <c r="L2445" s="19"/>
      <c r="M2445" s="19"/>
      <c r="N2445" s="20" t="s">
        <v>39</v>
      </c>
      <c r="O2445" s="19"/>
      <c r="P2445" s="19"/>
      <c r="Q2445" s="19"/>
      <c r="R2445" s="19"/>
      <c r="S2445" s="19"/>
      <c r="T2445" s="19"/>
      <c r="U2445" s="19"/>
      <c r="V2445" s="19"/>
    </row>
    <row r="2446">
      <c r="A2446" s="25"/>
      <c r="B2446" s="19"/>
      <c r="C2446" s="19"/>
      <c r="D2446" s="19"/>
      <c r="E2446" s="19"/>
      <c r="F2446" s="17" t="str">
        <f>IFERROR(__xludf.DUMMYFUNCTION("""COMPUTED_VALUE"""),"")</f>
        <v/>
      </c>
      <c r="G2446" s="20"/>
      <c r="H2446" s="19"/>
      <c r="I2446" s="19"/>
      <c r="J2446" s="19"/>
      <c r="K2446" s="19"/>
      <c r="L2446" s="19"/>
      <c r="M2446" s="19"/>
      <c r="N2446" s="20" t="s">
        <v>39</v>
      </c>
      <c r="O2446" s="19"/>
      <c r="P2446" s="19"/>
      <c r="Q2446" s="19"/>
      <c r="R2446" s="19"/>
      <c r="S2446" s="19"/>
      <c r="T2446" s="19"/>
      <c r="U2446" s="19"/>
      <c r="V2446" s="19"/>
    </row>
    <row r="2447">
      <c r="A2447" s="25"/>
      <c r="B2447" s="19"/>
      <c r="C2447" s="19"/>
      <c r="D2447" s="19"/>
      <c r="E2447" s="19"/>
      <c r="F2447" s="17" t="str">
        <f>IFERROR(__xludf.DUMMYFUNCTION("""COMPUTED_VALUE"""),"")</f>
        <v/>
      </c>
      <c r="G2447" s="20"/>
      <c r="H2447" s="19"/>
      <c r="I2447" s="19"/>
      <c r="J2447" s="19"/>
      <c r="K2447" s="19"/>
      <c r="L2447" s="19"/>
      <c r="M2447" s="19"/>
      <c r="N2447" s="20" t="s">
        <v>39</v>
      </c>
      <c r="O2447" s="19"/>
      <c r="P2447" s="19"/>
      <c r="Q2447" s="19"/>
      <c r="R2447" s="19"/>
      <c r="S2447" s="19"/>
      <c r="T2447" s="19"/>
      <c r="U2447" s="19"/>
      <c r="V2447" s="19"/>
    </row>
    <row r="2448">
      <c r="A2448" s="25"/>
      <c r="B2448" s="19"/>
      <c r="C2448" s="19"/>
      <c r="D2448" s="19"/>
      <c r="E2448" s="19"/>
      <c r="F2448" s="17" t="str">
        <f>IFERROR(__xludf.DUMMYFUNCTION("""COMPUTED_VALUE"""),"")</f>
        <v/>
      </c>
      <c r="G2448" s="20"/>
      <c r="H2448" s="19"/>
      <c r="I2448" s="19"/>
      <c r="J2448" s="19"/>
      <c r="K2448" s="19"/>
      <c r="L2448" s="19"/>
      <c r="M2448" s="19"/>
      <c r="N2448" s="20" t="s">
        <v>39</v>
      </c>
      <c r="O2448" s="19"/>
      <c r="P2448" s="19"/>
      <c r="Q2448" s="19"/>
      <c r="R2448" s="19"/>
      <c r="S2448" s="19"/>
      <c r="T2448" s="19"/>
      <c r="U2448" s="19"/>
      <c r="V2448" s="19"/>
    </row>
    <row r="2449">
      <c r="A2449" s="25"/>
      <c r="B2449" s="19"/>
      <c r="C2449" s="19"/>
      <c r="D2449" s="19"/>
      <c r="E2449" s="19"/>
      <c r="F2449" s="17" t="str">
        <f>IFERROR(__xludf.DUMMYFUNCTION("""COMPUTED_VALUE"""),"")</f>
        <v/>
      </c>
      <c r="G2449" s="20"/>
      <c r="H2449" s="19"/>
      <c r="I2449" s="19"/>
      <c r="J2449" s="19"/>
      <c r="K2449" s="19"/>
      <c r="L2449" s="19"/>
      <c r="M2449" s="19"/>
      <c r="N2449" s="20" t="s">
        <v>39</v>
      </c>
      <c r="O2449" s="19"/>
      <c r="P2449" s="19"/>
      <c r="Q2449" s="19"/>
      <c r="R2449" s="19"/>
      <c r="S2449" s="19"/>
      <c r="T2449" s="19"/>
      <c r="U2449" s="19"/>
      <c r="V2449" s="19"/>
    </row>
    <row r="2450">
      <c r="A2450" s="25"/>
      <c r="B2450" s="19"/>
      <c r="C2450" s="19"/>
      <c r="D2450" s="19"/>
      <c r="E2450" s="19"/>
      <c r="F2450" s="17" t="str">
        <f>IFERROR(__xludf.DUMMYFUNCTION("""COMPUTED_VALUE"""),"")</f>
        <v/>
      </c>
      <c r="G2450" s="20"/>
      <c r="H2450" s="19"/>
      <c r="I2450" s="19"/>
      <c r="J2450" s="19"/>
      <c r="K2450" s="19"/>
      <c r="L2450" s="19"/>
      <c r="M2450" s="19"/>
      <c r="N2450" s="20" t="s">
        <v>39</v>
      </c>
      <c r="O2450" s="19"/>
      <c r="P2450" s="19"/>
      <c r="Q2450" s="19"/>
      <c r="R2450" s="19"/>
      <c r="S2450" s="19"/>
      <c r="T2450" s="19"/>
      <c r="U2450" s="19"/>
      <c r="V2450" s="19"/>
    </row>
    <row r="2451">
      <c r="A2451" s="25"/>
      <c r="B2451" s="19"/>
      <c r="C2451" s="19"/>
      <c r="D2451" s="19"/>
      <c r="E2451" s="19"/>
      <c r="F2451" s="17" t="str">
        <f>IFERROR(__xludf.DUMMYFUNCTION("""COMPUTED_VALUE"""),"")</f>
        <v/>
      </c>
      <c r="G2451" s="20"/>
      <c r="H2451" s="19"/>
      <c r="I2451" s="19"/>
      <c r="J2451" s="19"/>
      <c r="K2451" s="19"/>
      <c r="L2451" s="19"/>
      <c r="M2451" s="19"/>
      <c r="N2451" s="20" t="s">
        <v>39</v>
      </c>
      <c r="O2451" s="19"/>
      <c r="P2451" s="19"/>
      <c r="Q2451" s="19"/>
      <c r="R2451" s="19"/>
      <c r="S2451" s="19"/>
      <c r="T2451" s="19"/>
      <c r="U2451" s="19"/>
      <c r="V2451" s="19"/>
    </row>
    <row r="2452">
      <c r="A2452" s="25"/>
      <c r="B2452" s="19"/>
      <c r="C2452" s="19"/>
      <c r="D2452" s="19"/>
      <c r="E2452" s="19"/>
      <c r="F2452" s="17" t="str">
        <f>IFERROR(__xludf.DUMMYFUNCTION("""COMPUTED_VALUE"""),"")</f>
        <v/>
      </c>
      <c r="G2452" s="20"/>
      <c r="H2452" s="19"/>
      <c r="I2452" s="19"/>
      <c r="J2452" s="19"/>
      <c r="K2452" s="19"/>
      <c r="L2452" s="19"/>
      <c r="M2452" s="19"/>
      <c r="N2452" s="20" t="s">
        <v>39</v>
      </c>
      <c r="O2452" s="19"/>
      <c r="P2452" s="19"/>
      <c r="Q2452" s="19"/>
      <c r="R2452" s="19"/>
      <c r="S2452" s="19"/>
      <c r="T2452" s="19"/>
      <c r="U2452" s="19"/>
      <c r="V2452" s="19"/>
    </row>
    <row r="2453">
      <c r="A2453" s="25"/>
      <c r="B2453" s="19"/>
      <c r="C2453" s="19"/>
      <c r="D2453" s="19"/>
      <c r="E2453" s="19"/>
      <c r="F2453" s="17" t="str">
        <f>IFERROR(__xludf.DUMMYFUNCTION("""COMPUTED_VALUE"""),"")</f>
        <v/>
      </c>
      <c r="G2453" s="20"/>
      <c r="H2453" s="19"/>
      <c r="I2453" s="19"/>
      <c r="J2453" s="19"/>
      <c r="K2453" s="19"/>
      <c r="L2453" s="19"/>
      <c r="M2453" s="19"/>
      <c r="N2453" s="20" t="s">
        <v>39</v>
      </c>
      <c r="O2453" s="19"/>
      <c r="P2453" s="19"/>
      <c r="Q2453" s="19"/>
      <c r="R2453" s="19"/>
      <c r="S2453" s="19"/>
      <c r="T2453" s="19"/>
      <c r="U2453" s="19"/>
      <c r="V2453" s="19"/>
    </row>
    <row r="2454">
      <c r="A2454" s="25"/>
      <c r="B2454" s="19"/>
      <c r="C2454" s="19"/>
      <c r="D2454" s="19"/>
      <c r="E2454" s="19"/>
      <c r="F2454" s="17" t="str">
        <f>IFERROR(__xludf.DUMMYFUNCTION("""COMPUTED_VALUE"""),"")</f>
        <v/>
      </c>
      <c r="G2454" s="20"/>
      <c r="H2454" s="19"/>
      <c r="I2454" s="19"/>
      <c r="J2454" s="19"/>
      <c r="K2454" s="19"/>
      <c r="L2454" s="19"/>
      <c r="M2454" s="19"/>
      <c r="N2454" s="20" t="s">
        <v>39</v>
      </c>
      <c r="O2454" s="19"/>
      <c r="P2454" s="19"/>
      <c r="Q2454" s="19"/>
      <c r="R2454" s="19"/>
      <c r="S2454" s="19"/>
      <c r="T2454" s="19"/>
      <c r="U2454" s="19"/>
      <c r="V2454" s="19"/>
    </row>
    <row r="2455">
      <c r="A2455" s="25"/>
      <c r="B2455" s="19"/>
      <c r="C2455" s="19"/>
      <c r="D2455" s="19"/>
      <c r="E2455" s="19"/>
      <c r="F2455" s="17" t="str">
        <f>IFERROR(__xludf.DUMMYFUNCTION("""COMPUTED_VALUE"""),"")</f>
        <v/>
      </c>
      <c r="G2455" s="20"/>
      <c r="H2455" s="19"/>
      <c r="I2455" s="19"/>
      <c r="J2455" s="19"/>
      <c r="K2455" s="19"/>
      <c r="L2455" s="19"/>
      <c r="M2455" s="19"/>
      <c r="N2455" s="20" t="s">
        <v>39</v>
      </c>
      <c r="O2455" s="19"/>
      <c r="P2455" s="19"/>
      <c r="Q2455" s="19"/>
      <c r="R2455" s="19"/>
      <c r="S2455" s="19"/>
      <c r="T2455" s="19"/>
      <c r="U2455" s="19"/>
      <c r="V2455" s="19"/>
    </row>
    <row r="2456">
      <c r="A2456" s="25"/>
      <c r="B2456" s="19"/>
      <c r="C2456" s="19"/>
      <c r="D2456" s="19"/>
      <c r="E2456" s="19"/>
      <c r="F2456" s="17" t="str">
        <f>IFERROR(__xludf.DUMMYFUNCTION("""COMPUTED_VALUE"""),"")</f>
        <v/>
      </c>
      <c r="G2456" s="20"/>
      <c r="H2456" s="19"/>
      <c r="I2456" s="19"/>
      <c r="J2456" s="19"/>
      <c r="K2456" s="19"/>
      <c r="L2456" s="19"/>
      <c r="M2456" s="19"/>
      <c r="N2456" s="20" t="s">
        <v>39</v>
      </c>
      <c r="O2456" s="19"/>
      <c r="P2456" s="19"/>
      <c r="Q2456" s="19"/>
      <c r="R2456" s="19"/>
      <c r="S2456" s="19"/>
      <c r="T2456" s="19"/>
      <c r="U2456" s="19"/>
      <c r="V2456" s="19"/>
    </row>
    <row r="2457">
      <c r="A2457" s="25"/>
      <c r="B2457" s="19"/>
      <c r="C2457" s="19"/>
      <c r="D2457" s="19"/>
      <c r="E2457" s="19"/>
      <c r="F2457" s="17" t="str">
        <f>IFERROR(__xludf.DUMMYFUNCTION("""COMPUTED_VALUE"""),"")</f>
        <v/>
      </c>
      <c r="G2457" s="20"/>
      <c r="H2457" s="19"/>
      <c r="I2457" s="19"/>
      <c r="J2457" s="19"/>
      <c r="K2457" s="19"/>
      <c r="L2457" s="19"/>
      <c r="M2457" s="19"/>
      <c r="N2457" s="20" t="s">
        <v>39</v>
      </c>
      <c r="O2457" s="19"/>
      <c r="P2457" s="19"/>
      <c r="Q2457" s="19"/>
      <c r="R2457" s="19"/>
      <c r="S2457" s="19"/>
      <c r="T2457" s="19"/>
      <c r="U2457" s="19"/>
      <c r="V2457" s="19"/>
    </row>
    <row r="2458">
      <c r="A2458" s="25"/>
      <c r="B2458" s="19"/>
      <c r="C2458" s="19"/>
      <c r="D2458" s="19"/>
      <c r="E2458" s="19"/>
      <c r="F2458" s="17" t="str">
        <f>IFERROR(__xludf.DUMMYFUNCTION("""COMPUTED_VALUE"""),"")</f>
        <v/>
      </c>
      <c r="G2458" s="20"/>
      <c r="H2458" s="19"/>
      <c r="I2458" s="19"/>
      <c r="J2458" s="19"/>
      <c r="K2458" s="19"/>
      <c r="L2458" s="19"/>
      <c r="M2458" s="19"/>
      <c r="N2458" s="20" t="s">
        <v>39</v>
      </c>
      <c r="O2458" s="19"/>
      <c r="P2458" s="19"/>
      <c r="Q2458" s="19"/>
      <c r="R2458" s="19"/>
      <c r="S2458" s="19"/>
      <c r="T2458" s="19"/>
      <c r="U2458" s="19"/>
      <c r="V2458" s="19"/>
    </row>
    <row r="2459">
      <c r="A2459" s="25"/>
      <c r="B2459" s="19"/>
      <c r="C2459" s="19"/>
      <c r="D2459" s="19"/>
      <c r="E2459" s="19"/>
      <c r="F2459" s="17" t="str">
        <f>IFERROR(__xludf.DUMMYFUNCTION("""COMPUTED_VALUE"""),"")</f>
        <v/>
      </c>
      <c r="G2459" s="20"/>
      <c r="H2459" s="19"/>
      <c r="I2459" s="19"/>
      <c r="J2459" s="19"/>
      <c r="K2459" s="19"/>
      <c r="L2459" s="19"/>
      <c r="M2459" s="19"/>
      <c r="N2459" s="20" t="s">
        <v>39</v>
      </c>
      <c r="O2459" s="19"/>
      <c r="P2459" s="19"/>
      <c r="Q2459" s="19"/>
      <c r="R2459" s="19"/>
      <c r="S2459" s="19"/>
      <c r="T2459" s="19"/>
      <c r="U2459" s="19"/>
      <c r="V2459" s="19"/>
    </row>
    <row r="2460">
      <c r="A2460" s="25"/>
      <c r="B2460" s="19"/>
      <c r="C2460" s="19"/>
      <c r="D2460" s="19"/>
      <c r="E2460" s="19"/>
      <c r="F2460" s="17" t="str">
        <f>IFERROR(__xludf.DUMMYFUNCTION("""COMPUTED_VALUE"""),"")</f>
        <v/>
      </c>
      <c r="G2460" s="20"/>
      <c r="H2460" s="19"/>
      <c r="I2460" s="19"/>
      <c r="J2460" s="19"/>
      <c r="K2460" s="19"/>
      <c r="L2460" s="19"/>
      <c r="M2460" s="19"/>
      <c r="N2460" s="20" t="s">
        <v>39</v>
      </c>
      <c r="O2460" s="19"/>
      <c r="P2460" s="19"/>
      <c r="Q2460" s="19"/>
      <c r="R2460" s="19"/>
      <c r="S2460" s="19"/>
      <c r="T2460" s="19"/>
      <c r="U2460" s="19"/>
      <c r="V2460" s="19"/>
    </row>
    <row r="2461">
      <c r="A2461" s="25"/>
      <c r="B2461" s="19"/>
      <c r="C2461" s="19"/>
      <c r="D2461" s="19"/>
      <c r="E2461" s="19"/>
      <c r="F2461" s="17" t="str">
        <f>IFERROR(__xludf.DUMMYFUNCTION("""COMPUTED_VALUE"""),"")</f>
        <v/>
      </c>
      <c r="G2461" s="20"/>
      <c r="H2461" s="19"/>
      <c r="I2461" s="19"/>
      <c r="J2461" s="19"/>
      <c r="K2461" s="19"/>
      <c r="L2461" s="19"/>
      <c r="M2461" s="19"/>
      <c r="N2461" s="20" t="s">
        <v>39</v>
      </c>
      <c r="O2461" s="19"/>
      <c r="P2461" s="19"/>
      <c r="Q2461" s="19"/>
      <c r="R2461" s="19"/>
      <c r="S2461" s="19"/>
      <c r="T2461" s="19"/>
      <c r="U2461" s="19"/>
      <c r="V2461" s="19"/>
    </row>
    <row r="2462">
      <c r="A2462" s="25"/>
      <c r="B2462" s="19"/>
      <c r="C2462" s="19"/>
      <c r="D2462" s="19"/>
      <c r="E2462" s="19"/>
      <c r="F2462" s="17" t="str">
        <f>IFERROR(__xludf.DUMMYFUNCTION("""COMPUTED_VALUE"""),"")</f>
        <v/>
      </c>
      <c r="G2462" s="20"/>
      <c r="H2462" s="19"/>
      <c r="I2462" s="19"/>
      <c r="J2462" s="19"/>
      <c r="K2462" s="19"/>
      <c r="L2462" s="19"/>
      <c r="M2462" s="19"/>
      <c r="N2462" s="20" t="s">
        <v>39</v>
      </c>
      <c r="O2462" s="19"/>
      <c r="P2462" s="19"/>
      <c r="Q2462" s="19"/>
      <c r="R2462" s="19"/>
      <c r="S2462" s="19"/>
      <c r="T2462" s="19"/>
      <c r="U2462" s="19"/>
      <c r="V2462" s="19"/>
    </row>
    <row r="2463">
      <c r="A2463" s="25"/>
      <c r="B2463" s="19"/>
      <c r="C2463" s="19"/>
      <c r="D2463" s="19"/>
      <c r="E2463" s="19"/>
      <c r="F2463" s="17" t="str">
        <f>IFERROR(__xludf.DUMMYFUNCTION("""COMPUTED_VALUE"""),"")</f>
        <v/>
      </c>
      <c r="G2463" s="20"/>
      <c r="H2463" s="19"/>
      <c r="I2463" s="19"/>
      <c r="J2463" s="19"/>
      <c r="K2463" s="19"/>
      <c r="L2463" s="19"/>
      <c r="M2463" s="19"/>
      <c r="N2463" s="20" t="s">
        <v>39</v>
      </c>
      <c r="O2463" s="19"/>
      <c r="P2463" s="19"/>
      <c r="Q2463" s="19"/>
      <c r="R2463" s="19"/>
      <c r="S2463" s="19"/>
      <c r="T2463" s="19"/>
      <c r="U2463" s="19"/>
      <c r="V2463" s="19"/>
    </row>
    <row r="2464">
      <c r="A2464" s="25"/>
      <c r="B2464" s="19"/>
      <c r="C2464" s="19"/>
      <c r="D2464" s="19"/>
      <c r="E2464" s="19"/>
      <c r="F2464" s="17" t="str">
        <f>IFERROR(__xludf.DUMMYFUNCTION("""COMPUTED_VALUE"""),"")</f>
        <v/>
      </c>
      <c r="G2464" s="20"/>
      <c r="H2464" s="19"/>
      <c r="I2464" s="19"/>
      <c r="J2464" s="19"/>
      <c r="K2464" s="19"/>
      <c r="L2464" s="19"/>
      <c r="M2464" s="19"/>
      <c r="N2464" s="20" t="s">
        <v>39</v>
      </c>
      <c r="O2464" s="19"/>
      <c r="P2464" s="19"/>
      <c r="Q2464" s="19"/>
      <c r="R2464" s="19"/>
      <c r="S2464" s="19"/>
      <c r="T2464" s="19"/>
      <c r="U2464" s="19"/>
      <c r="V2464" s="19"/>
    </row>
    <row r="2465">
      <c r="A2465" s="25"/>
      <c r="B2465" s="19"/>
      <c r="C2465" s="19"/>
      <c r="D2465" s="19"/>
      <c r="E2465" s="19"/>
      <c r="F2465" s="17" t="str">
        <f>IFERROR(__xludf.DUMMYFUNCTION("""COMPUTED_VALUE"""),"")</f>
        <v/>
      </c>
      <c r="G2465" s="20"/>
      <c r="H2465" s="19"/>
      <c r="I2465" s="19"/>
      <c r="J2465" s="19"/>
      <c r="K2465" s="19"/>
      <c r="L2465" s="19"/>
      <c r="M2465" s="19"/>
      <c r="N2465" s="20" t="s">
        <v>39</v>
      </c>
      <c r="O2465" s="19"/>
      <c r="P2465" s="19"/>
      <c r="Q2465" s="19"/>
      <c r="R2465" s="19"/>
      <c r="S2465" s="19"/>
      <c r="T2465" s="19"/>
      <c r="U2465" s="19"/>
      <c r="V2465" s="19"/>
    </row>
    <row r="2466">
      <c r="A2466" s="25"/>
      <c r="B2466" s="19"/>
      <c r="C2466" s="19"/>
      <c r="D2466" s="19"/>
      <c r="E2466" s="19"/>
      <c r="F2466" s="17" t="str">
        <f>IFERROR(__xludf.DUMMYFUNCTION("""COMPUTED_VALUE"""),"")</f>
        <v/>
      </c>
      <c r="G2466" s="20"/>
      <c r="H2466" s="19"/>
      <c r="I2466" s="19"/>
      <c r="J2466" s="19"/>
      <c r="K2466" s="19"/>
      <c r="L2466" s="19"/>
      <c r="M2466" s="19"/>
      <c r="N2466" s="20" t="s">
        <v>39</v>
      </c>
      <c r="O2466" s="19"/>
      <c r="P2466" s="19"/>
      <c r="Q2466" s="19"/>
      <c r="R2466" s="19"/>
      <c r="S2466" s="19"/>
      <c r="T2466" s="19"/>
      <c r="U2466" s="19"/>
      <c r="V2466" s="19"/>
    </row>
    <row r="2467">
      <c r="A2467" s="25"/>
      <c r="B2467" s="19"/>
      <c r="C2467" s="19"/>
      <c r="D2467" s="19"/>
      <c r="E2467" s="19"/>
      <c r="F2467" s="17" t="str">
        <f>IFERROR(__xludf.DUMMYFUNCTION("""COMPUTED_VALUE"""),"")</f>
        <v/>
      </c>
      <c r="G2467" s="20"/>
      <c r="H2467" s="19"/>
      <c r="I2467" s="19"/>
      <c r="J2467" s="19"/>
      <c r="K2467" s="19"/>
      <c r="L2467" s="19"/>
      <c r="M2467" s="19"/>
      <c r="N2467" s="20" t="s">
        <v>39</v>
      </c>
      <c r="O2467" s="19"/>
      <c r="P2467" s="19"/>
      <c r="Q2467" s="19"/>
      <c r="R2467" s="19"/>
      <c r="S2467" s="19"/>
      <c r="T2467" s="19"/>
      <c r="U2467" s="19"/>
      <c r="V2467" s="19"/>
    </row>
    <row r="2468">
      <c r="A2468" s="25"/>
      <c r="B2468" s="19"/>
      <c r="C2468" s="19"/>
      <c r="D2468" s="19"/>
      <c r="E2468" s="19"/>
      <c r="F2468" s="17" t="str">
        <f>IFERROR(__xludf.DUMMYFUNCTION("""COMPUTED_VALUE"""),"")</f>
        <v/>
      </c>
      <c r="G2468" s="20"/>
      <c r="H2468" s="19"/>
      <c r="I2468" s="19"/>
      <c r="J2468" s="19"/>
      <c r="K2468" s="19"/>
      <c r="L2468" s="19"/>
      <c r="M2468" s="19"/>
      <c r="N2468" s="20" t="s">
        <v>39</v>
      </c>
      <c r="O2468" s="19"/>
      <c r="P2468" s="19"/>
      <c r="Q2468" s="19"/>
      <c r="R2468" s="19"/>
      <c r="S2468" s="19"/>
      <c r="T2468" s="19"/>
      <c r="U2468" s="19"/>
      <c r="V2468" s="19"/>
    </row>
    <row r="2469">
      <c r="A2469" s="25"/>
      <c r="B2469" s="19"/>
      <c r="C2469" s="19"/>
      <c r="D2469" s="19"/>
      <c r="E2469" s="19"/>
      <c r="F2469" s="17" t="str">
        <f>IFERROR(__xludf.DUMMYFUNCTION("""COMPUTED_VALUE"""),"")</f>
        <v/>
      </c>
      <c r="G2469" s="20"/>
      <c r="H2469" s="19"/>
      <c r="I2469" s="19"/>
      <c r="J2469" s="19"/>
      <c r="K2469" s="19"/>
      <c r="L2469" s="19"/>
      <c r="M2469" s="19"/>
      <c r="N2469" s="20" t="s">
        <v>39</v>
      </c>
      <c r="O2469" s="19"/>
      <c r="P2469" s="19"/>
      <c r="Q2469" s="19"/>
      <c r="R2469" s="19"/>
      <c r="S2469" s="19"/>
      <c r="T2469" s="19"/>
      <c r="U2469" s="19"/>
      <c r="V2469" s="19"/>
    </row>
    <row r="2470">
      <c r="A2470" s="25"/>
      <c r="B2470" s="19"/>
      <c r="C2470" s="19"/>
      <c r="D2470" s="19"/>
      <c r="E2470" s="19"/>
      <c r="F2470" s="17" t="str">
        <f>IFERROR(__xludf.DUMMYFUNCTION("""COMPUTED_VALUE"""),"")</f>
        <v/>
      </c>
      <c r="G2470" s="20"/>
      <c r="H2470" s="19"/>
      <c r="I2470" s="19"/>
      <c r="J2470" s="19"/>
      <c r="K2470" s="19"/>
      <c r="L2470" s="19"/>
      <c r="M2470" s="19"/>
      <c r="N2470" s="20" t="s">
        <v>39</v>
      </c>
      <c r="O2470" s="19"/>
      <c r="P2470" s="19"/>
      <c r="Q2470" s="19"/>
      <c r="R2470" s="19"/>
      <c r="S2470" s="19"/>
      <c r="T2470" s="19"/>
      <c r="U2470" s="19"/>
      <c r="V2470" s="19"/>
    </row>
    <row r="2471">
      <c r="A2471" s="25"/>
      <c r="B2471" s="19"/>
      <c r="C2471" s="19"/>
      <c r="D2471" s="19"/>
      <c r="E2471" s="19"/>
      <c r="F2471" s="17" t="str">
        <f>IFERROR(__xludf.DUMMYFUNCTION("""COMPUTED_VALUE"""),"")</f>
        <v/>
      </c>
      <c r="G2471" s="20"/>
      <c r="H2471" s="19"/>
      <c r="I2471" s="19"/>
      <c r="J2471" s="19"/>
      <c r="K2471" s="19"/>
      <c r="L2471" s="19"/>
      <c r="M2471" s="19"/>
      <c r="N2471" s="20" t="s">
        <v>39</v>
      </c>
      <c r="O2471" s="19"/>
      <c r="P2471" s="19"/>
      <c r="Q2471" s="19"/>
      <c r="R2471" s="19"/>
      <c r="S2471" s="19"/>
      <c r="T2471" s="19"/>
      <c r="U2471" s="19"/>
      <c r="V2471" s="19"/>
    </row>
    <row r="2472">
      <c r="A2472" s="25"/>
      <c r="B2472" s="19"/>
      <c r="C2472" s="19"/>
      <c r="D2472" s="19"/>
      <c r="E2472" s="19"/>
      <c r="F2472" s="17" t="str">
        <f>IFERROR(__xludf.DUMMYFUNCTION("""COMPUTED_VALUE"""),"")</f>
        <v/>
      </c>
      <c r="G2472" s="20"/>
      <c r="H2472" s="19"/>
      <c r="I2472" s="19"/>
      <c r="J2472" s="19"/>
      <c r="K2472" s="19"/>
      <c r="L2472" s="19"/>
      <c r="M2472" s="19"/>
      <c r="N2472" s="20" t="s">
        <v>39</v>
      </c>
      <c r="O2472" s="19"/>
      <c r="P2472" s="19"/>
      <c r="Q2472" s="19"/>
      <c r="R2472" s="19"/>
      <c r="S2472" s="19"/>
      <c r="T2472" s="19"/>
      <c r="U2472" s="19"/>
      <c r="V2472" s="19"/>
    </row>
    <row r="2473">
      <c r="A2473" s="25"/>
      <c r="B2473" s="19"/>
      <c r="C2473" s="19"/>
      <c r="D2473" s="19"/>
      <c r="E2473" s="19"/>
      <c r="F2473" s="17" t="str">
        <f>IFERROR(__xludf.DUMMYFUNCTION("""COMPUTED_VALUE"""),"")</f>
        <v/>
      </c>
      <c r="G2473" s="20"/>
      <c r="H2473" s="19"/>
      <c r="I2473" s="19"/>
      <c r="J2473" s="19"/>
      <c r="K2473" s="19"/>
      <c r="L2473" s="19"/>
      <c r="M2473" s="19"/>
      <c r="N2473" s="20" t="s">
        <v>39</v>
      </c>
      <c r="O2473" s="19"/>
      <c r="P2473" s="19"/>
      <c r="Q2473" s="19"/>
      <c r="R2473" s="19"/>
      <c r="S2473" s="19"/>
      <c r="T2473" s="19"/>
      <c r="U2473" s="19"/>
      <c r="V2473" s="19"/>
    </row>
    <row r="2474">
      <c r="A2474" s="25"/>
      <c r="B2474" s="19"/>
      <c r="C2474" s="19"/>
      <c r="D2474" s="19"/>
      <c r="E2474" s="19"/>
      <c r="F2474" s="17" t="str">
        <f>IFERROR(__xludf.DUMMYFUNCTION("""COMPUTED_VALUE"""),"")</f>
        <v/>
      </c>
      <c r="G2474" s="20"/>
      <c r="H2474" s="19"/>
      <c r="I2474" s="19"/>
      <c r="J2474" s="19"/>
      <c r="K2474" s="19"/>
      <c r="L2474" s="19"/>
      <c r="M2474" s="19"/>
      <c r="N2474" s="20" t="s">
        <v>39</v>
      </c>
      <c r="O2474" s="19"/>
      <c r="P2474" s="19"/>
      <c r="Q2474" s="19"/>
      <c r="R2474" s="19"/>
      <c r="S2474" s="19"/>
      <c r="T2474" s="19"/>
      <c r="U2474" s="19"/>
      <c r="V2474" s="19"/>
    </row>
    <row r="2475">
      <c r="A2475" s="25"/>
      <c r="B2475" s="19"/>
      <c r="C2475" s="19"/>
      <c r="D2475" s="19"/>
      <c r="E2475" s="19"/>
      <c r="F2475" s="17" t="str">
        <f>IFERROR(__xludf.DUMMYFUNCTION("""COMPUTED_VALUE"""),"")</f>
        <v/>
      </c>
      <c r="G2475" s="20"/>
      <c r="H2475" s="19"/>
      <c r="I2475" s="19"/>
      <c r="J2475" s="19"/>
      <c r="K2475" s="19"/>
      <c r="L2475" s="19"/>
      <c r="M2475" s="19"/>
      <c r="N2475" s="20" t="s">
        <v>39</v>
      </c>
      <c r="O2475" s="19"/>
      <c r="P2475" s="19"/>
      <c r="Q2475" s="19"/>
      <c r="R2475" s="19"/>
      <c r="S2475" s="19"/>
      <c r="T2475" s="19"/>
      <c r="U2475" s="19"/>
      <c r="V2475" s="19"/>
    </row>
    <row r="2476">
      <c r="A2476" s="25"/>
      <c r="B2476" s="19"/>
      <c r="C2476" s="19"/>
      <c r="D2476" s="19"/>
      <c r="E2476" s="19"/>
      <c r="F2476" s="17" t="str">
        <f>IFERROR(__xludf.DUMMYFUNCTION("""COMPUTED_VALUE"""),"")</f>
        <v/>
      </c>
      <c r="G2476" s="20"/>
      <c r="H2476" s="19"/>
      <c r="I2476" s="19"/>
      <c r="J2476" s="19"/>
      <c r="K2476" s="19"/>
      <c r="L2476" s="19"/>
      <c r="M2476" s="19"/>
      <c r="N2476" s="20" t="s">
        <v>39</v>
      </c>
      <c r="O2476" s="19"/>
      <c r="P2476" s="19"/>
      <c r="Q2476" s="19"/>
      <c r="R2476" s="19"/>
      <c r="S2476" s="19"/>
      <c r="T2476" s="19"/>
      <c r="U2476" s="19"/>
      <c r="V2476" s="19"/>
    </row>
    <row r="2477">
      <c r="A2477" s="25"/>
      <c r="B2477" s="19"/>
      <c r="C2477" s="19"/>
      <c r="D2477" s="19"/>
      <c r="E2477" s="19"/>
      <c r="F2477" s="17" t="str">
        <f>IFERROR(__xludf.DUMMYFUNCTION("""COMPUTED_VALUE"""),"")</f>
        <v/>
      </c>
      <c r="G2477" s="20"/>
      <c r="H2477" s="19"/>
      <c r="I2477" s="19"/>
      <c r="J2477" s="19"/>
      <c r="K2477" s="19"/>
      <c r="L2477" s="19"/>
      <c r="M2477" s="19"/>
      <c r="N2477" s="20" t="s">
        <v>39</v>
      </c>
      <c r="O2477" s="19"/>
      <c r="P2477" s="19"/>
      <c r="Q2477" s="19"/>
      <c r="R2477" s="19"/>
      <c r="S2477" s="19"/>
      <c r="T2477" s="19"/>
      <c r="U2477" s="19"/>
      <c r="V2477" s="19"/>
    </row>
    <row r="2478">
      <c r="A2478" s="25"/>
      <c r="B2478" s="19"/>
      <c r="C2478" s="19"/>
      <c r="D2478" s="19"/>
      <c r="E2478" s="19"/>
      <c r="F2478" s="17" t="str">
        <f>IFERROR(__xludf.DUMMYFUNCTION("""COMPUTED_VALUE"""),"")</f>
        <v/>
      </c>
      <c r="G2478" s="20"/>
      <c r="H2478" s="19"/>
      <c r="I2478" s="19"/>
      <c r="J2478" s="19"/>
      <c r="K2478" s="19"/>
      <c r="L2478" s="19"/>
      <c r="M2478" s="19"/>
      <c r="N2478" s="20" t="s">
        <v>39</v>
      </c>
      <c r="O2478" s="19"/>
      <c r="P2478" s="19"/>
      <c r="Q2478" s="19"/>
      <c r="R2478" s="19"/>
      <c r="S2478" s="19"/>
      <c r="T2478" s="19"/>
      <c r="U2478" s="19"/>
      <c r="V2478" s="19"/>
    </row>
    <row r="2479">
      <c r="A2479" s="25"/>
      <c r="B2479" s="19"/>
      <c r="C2479" s="19"/>
      <c r="D2479" s="19"/>
      <c r="E2479" s="19"/>
      <c r="F2479" s="17" t="str">
        <f>IFERROR(__xludf.DUMMYFUNCTION("""COMPUTED_VALUE"""),"")</f>
        <v/>
      </c>
      <c r="G2479" s="20"/>
      <c r="H2479" s="19"/>
      <c r="I2479" s="19"/>
      <c r="J2479" s="19"/>
      <c r="K2479" s="19"/>
      <c r="L2479" s="19"/>
      <c r="M2479" s="19"/>
      <c r="N2479" s="20" t="s">
        <v>39</v>
      </c>
      <c r="O2479" s="19"/>
      <c r="P2479" s="19"/>
      <c r="Q2479" s="19"/>
      <c r="R2479" s="19"/>
      <c r="S2479" s="19"/>
      <c r="T2479" s="19"/>
      <c r="U2479" s="19"/>
      <c r="V2479" s="19"/>
    </row>
    <row r="2480">
      <c r="A2480" s="25"/>
      <c r="B2480" s="19"/>
      <c r="C2480" s="19"/>
      <c r="D2480" s="19"/>
      <c r="E2480" s="19"/>
      <c r="F2480" s="17" t="str">
        <f>IFERROR(__xludf.DUMMYFUNCTION("""COMPUTED_VALUE"""),"")</f>
        <v/>
      </c>
      <c r="G2480" s="20"/>
      <c r="H2480" s="19"/>
      <c r="I2480" s="19"/>
      <c r="J2480" s="19"/>
      <c r="K2480" s="19"/>
      <c r="L2480" s="19"/>
      <c r="M2480" s="19"/>
      <c r="N2480" s="20" t="s">
        <v>39</v>
      </c>
      <c r="O2480" s="19"/>
      <c r="P2480" s="19"/>
      <c r="Q2480" s="19"/>
      <c r="R2480" s="19"/>
      <c r="S2480" s="19"/>
      <c r="T2480" s="19"/>
      <c r="U2480" s="19"/>
      <c r="V2480" s="19"/>
    </row>
    <row r="2481">
      <c r="A2481" s="25"/>
      <c r="B2481" s="19"/>
      <c r="C2481" s="19"/>
      <c r="D2481" s="19"/>
      <c r="E2481" s="19"/>
      <c r="F2481" s="17" t="str">
        <f>IFERROR(__xludf.DUMMYFUNCTION("""COMPUTED_VALUE"""),"")</f>
        <v/>
      </c>
      <c r="G2481" s="20"/>
      <c r="H2481" s="19"/>
      <c r="I2481" s="19"/>
      <c r="J2481" s="19"/>
      <c r="K2481" s="19"/>
      <c r="L2481" s="19"/>
      <c r="M2481" s="19"/>
      <c r="N2481" s="20" t="s">
        <v>39</v>
      </c>
      <c r="O2481" s="19"/>
      <c r="P2481" s="19"/>
      <c r="Q2481" s="19"/>
      <c r="R2481" s="19"/>
      <c r="S2481" s="19"/>
      <c r="T2481" s="19"/>
      <c r="U2481" s="19"/>
      <c r="V2481" s="19"/>
    </row>
    <row r="2482">
      <c r="A2482" s="25"/>
      <c r="B2482" s="19"/>
      <c r="C2482" s="19"/>
      <c r="D2482" s="19"/>
      <c r="E2482" s="19"/>
      <c r="F2482" s="17" t="str">
        <f>IFERROR(__xludf.DUMMYFUNCTION("""COMPUTED_VALUE"""),"")</f>
        <v/>
      </c>
      <c r="G2482" s="20"/>
      <c r="H2482" s="19"/>
      <c r="I2482" s="19"/>
      <c r="J2482" s="19"/>
      <c r="K2482" s="19"/>
      <c r="L2482" s="19"/>
      <c r="M2482" s="19"/>
      <c r="N2482" s="20" t="s">
        <v>39</v>
      </c>
      <c r="O2482" s="19"/>
      <c r="P2482" s="19"/>
      <c r="Q2482" s="19"/>
      <c r="R2482" s="19"/>
      <c r="S2482" s="19"/>
      <c r="T2482" s="19"/>
      <c r="U2482" s="19"/>
      <c r="V2482" s="19"/>
    </row>
    <row r="2483">
      <c r="A2483" s="25"/>
      <c r="B2483" s="19"/>
      <c r="C2483" s="19"/>
      <c r="D2483" s="19"/>
      <c r="E2483" s="19"/>
      <c r="F2483" s="17" t="str">
        <f>IFERROR(__xludf.DUMMYFUNCTION("""COMPUTED_VALUE"""),"")</f>
        <v/>
      </c>
      <c r="G2483" s="20"/>
      <c r="H2483" s="19"/>
      <c r="I2483" s="19"/>
      <c r="J2483" s="19"/>
      <c r="K2483" s="19"/>
      <c r="L2483" s="19"/>
      <c r="M2483" s="19"/>
      <c r="N2483" s="20" t="s">
        <v>39</v>
      </c>
      <c r="O2483" s="19"/>
      <c r="P2483" s="19"/>
      <c r="Q2483" s="19"/>
      <c r="R2483" s="19"/>
      <c r="S2483" s="19"/>
      <c r="T2483" s="19"/>
      <c r="U2483" s="19"/>
      <c r="V2483" s="19"/>
    </row>
    <row r="2484">
      <c r="A2484" s="25"/>
      <c r="B2484" s="19"/>
      <c r="C2484" s="19"/>
      <c r="D2484" s="19"/>
      <c r="E2484" s="19"/>
      <c r="F2484" s="17" t="str">
        <f>IFERROR(__xludf.DUMMYFUNCTION("""COMPUTED_VALUE"""),"")</f>
        <v/>
      </c>
      <c r="G2484" s="20"/>
      <c r="H2484" s="19"/>
      <c r="I2484" s="19"/>
      <c r="J2484" s="19"/>
      <c r="K2484" s="19"/>
      <c r="L2484" s="19"/>
      <c r="M2484" s="19"/>
      <c r="N2484" s="20" t="s">
        <v>39</v>
      </c>
      <c r="O2484" s="19"/>
      <c r="P2484" s="19"/>
      <c r="Q2484" s="19"/>
      <c r="R2484" s="19"/>
      <c r="S2484" s="19"/>
      <c r="T2484" s="19"/>
      <c r="U2484" s="19"/>
      <c r="V2484" s="19"/>
    </row>
    <row r="2485">
      <c r="A2485" s="25"/>
      <c r="B2485" s="19"/>
      <c r="C2485" s="19"/>
      <c r="D2485" s="19"/>
      <c r="E2485" s="19"/>
      <c r="F2485" s="17" t="str">
        <f>IFERROR(__xludf.DUMMYFUNCTION("""COMPUTED_VALUE"""),"")</f>
        <v/>
      </c>
      <c r="G2485" s="20"/>
      <c r="H2485" s="19"/>
      <c r="I2485" s="19"/>
      <c r="J2485" s="19"/>
      <c r="K2485" s="19"/>
      <c r="L2485" s="19"/>
      <c r="M2485" s="19"/>
      <c r="N2485" s="20" t="s">
        <v>39</v>
      </c>
      <c r="O2485" s="19"/>
      <c r="P2485" s="19"/>
      <c r="Q2485" s="19"/>
      <c r="R2485" s="19"/>
      <c r="S2485" s="19"/>
      <c r="T2485" s="19"/>
      <c r="U2485" s="19"/>
      <c r="V2485" s="19"/>
    </row>
    <row r="2486">
      <c r="A2486" s="25"/>
      <c r="B2486" s="19"/>
      <c r="C2486" s="19"/>
      <c r="D2486" s="19"/>
      <c r="E2486" s="19"/>
      <c r="F2486" s="17" t="str">
        <f>IFERROR(__xludf.DUMMYFUNCTION("""COMPUTED_VALUE"""),"")</f>
        <v/>
      </c>
      <c r="G2486" s="20"/>
      <c r="H2486" s="19"/>
      <c r="I2486" s="19"/>
      <c r="J2486" s="19"/>
      <c r="K2486" s="19"/>
      <c r="L2486" s="19"/>
      <c r="M2486" s="19"/>
      <c r="N2486" s="20" t="s">
        <v>39</v>
      </c>
      <c r="O2486" s="19"/>
      <c r="P2486" s="19"/>
      <c r="Q2486" s="19"/>
      <c r="R2486" s="19"/>
      <c r="S2486" s="19"/>
      <c r="T2486" s="19"/>
      <c r="U2486" s="19"/>
      <c r="V2486" s="19"/>
    </row>
    <row r="2487">
      <c r="A2487" s="25"/>
      <c r="B2487" s="19"/>
      <c r="C2487" s="19"/>
      <c r="D2487" s="19"/>
      <c r="E2487" s="19"/>
      <c r="F2487" s="17" t="str">
        <f>IFERROR(__xludf.DUMMYFUNCTION("""COMPUTED_VALUE"""),"")</f>
        <v/>
      </c>
      <c r="G2487" s="20"/>
      <c r="H2487" s="19"/>
      <c r="I2487" s="19"/>
      <c r="J2487" s="19"/>
      <c r="K2487" s="19"/>
      <c r="L2487" s="19"/>
      <c r="M2487" s="19"/>
      <c r="N2487" s="20" t="s">
        <v>39</v>
      </c>
      <c r="O2487" s="19"/>
      <c r="P2487" s="19"/>
      <c r="Q2487" s="19"/>
      <c r="R2487" s="19"/>
      <c r="S2487" s="19"/>
      <c r="T2487" s="19"/>
      <c r="U2487" s="19"/>
      <c r="V2487" s="19"/>
    </row>
    <row r="2488">
      <c r="A2488" s="25"/>
      <c r="B2488" s="19"/>
      <c r="C2488" s="19"/>
      <c r="D2488" s="19"/>
      <c r="E2488" s="19"/>
      <c r="F2488" s="17" t="str">
        <f>IFERROR(__xludf.DUMMYFUNCTION("""COMPUTED_VALUE"""),"")</f>
        <v/>
      </c>
      <c r="G2488" s="20"/>
      <c r="H2488" s="19"/>
      <c r="I2488" s="19"/>
      <c r="J2488" s="19"/>
      <c r="K2488" s="19"/>
      <c r="L2488" s="19"/>
      <c r="M2488" s="19"/>
      <c r="N2488" s="20" t="s">
        <v>39</v>
      </c>
      <c r="O2488" s="19"/>
      <c r="P2488" s="19"/>
      <c r="Q2488" s="19"/>
      <c r="R2488" s="19"/>
      <c r="S2488" s="19"/>
      <c r="T2488" s="19"/>
      <c r="U2488" s="19"/>
      <c r="V2488" s="19"/>
    </row>
    <row r="2489">
      <c r="A2489" s="25"/>
      <c r="B2489" s="19"/>
      <c r="C2489" s="19"/>
      <c r="D2489" s="19"/>
      <c r="E2489" s="19"/>
      <c r="F2489" s="17" t="str">
        <f>IFERROR(__xludf.DUMMYFUNCTION("""COMPUTED_VALUE"""),"")</f>
        <v/>
      </c>
      <c r="G2489" s="20"/>
      <c r="H2489" s="19"/>
      <c r="I2489" s="19"/>
      <c r="J2489" s="19"/>
      <c r="K2489" s="19"/>
      <c r="L2489" s="19"/>
      <c r="M2489" s="19"/>
      <c r="N2489" s="20" t="s">
        <v>39</v>
      </c>
      <c r="O2489" s="19"/>
      <c r="P2489" s="19"/>
      <c r="Q2489" s="19"/>
      <c r="R2489" s="19"/>
      <c r="S2489" s="19"/>
      <c r="T2489" s="19"/>
      <c r="U2489" s="19"/>
      <c r="V2489" s="19"/>
    </row>
    <row r="2490">
      <c r="A2490" s="25"/>
      <c r="B2490" s="19"/>
      <c r="C2490" s="19"/>
      <c r="D2490" s="19"/>
      <c r="E2490" s="19"/>
      <c r="F2490" s="17" t="str">
        <f>IFERROR(__xludf.DUMMYFUNCTION("""COMPUTED_VALUE"""),"")</f>
        <v/>
      </c>
      <c r="G2490" s="20"/>
      <c r="H2490" s="19"/>
      <c r="I2490" s="19"/>
      <c r="J2490" s="19"/>
      <c r="K2490" s="19"/>
      <c r="L2490" s="19"/>
      <c r="M2490" s="19"/>
      <c r="N2490" s="20" t="s">
        <v>39</v>
      </c>
      <c r="O2490" s="19"/>
      <c r="P2490" s="19"/>
      <c r="Q2490" s="19"/>
      <c r="R2490" s="19"/>
      <c r="S2490" s="19"/>
      <c r="T2490" s="19"/>
      <c r="U2490" s="19"/>
      <c r="V2490" s="19"/>
    </row>
    <row r="2491">
      <c r="A2491" s="25"/>
      <c r="B2491" s="19"/>
      <c r="C2491" s="19"/>
      <c r="D2491" s="19"/>
      <c r="E2491" s="19"/>
      <c r="F2491" s="17" t="str">
        <f>IFERROR(__xludf.DUMMYFUNCTION("""COMPUTED_VALUE"""),"")</f>
        <v/>
      </c>
      <c r="G2491" s="20"/>
      <c r="H2491" s="19"/>
      <c r="I2491" s="19"/>
      <c r="J2491" s="19"/>
      <c r="K2491" s="19"/>
      <c r="L2491" s="19"/>
      <c r="M2491" s="19"/>
      <c r="N2491" s="20" t="s">
        <v>39</v>
      </c>
      <c r="O2491" s="19"/>
      <c r="P2491" s="19"/>
      <c r="Q2491" s="19"/>
      <c r="R2491" s="19"/>
      <c r="S2491" s="19"/>
      <c r="T2491" s="19"/>
      <c r="U2491" s="19"/>
      <c r="V2491" s="19"/>
    </row>
    <row r="2492">
      <c r="A2492" s="25"/>
      <c r="B2492" s="19"/>
      <c r="C2492" s="19"/>
      <c r="D2492" s="19"/>
      <c r="E2492" s="19"/>
      <c r="F2492" s="17" t="str">
        <f>IFERROR(__xludf.DUMMYFUNCTION("""COMPUTED_VALUE"""),"")</f>
        <v/>
      </c>
      <c r="G2492" s="20"/>
      <c r="H2492" s="19"/>
      <c r="I2492" s="19"/>
      <c r="J2492" s="19"/>
      <c r="K2492" s="19"/>
      <c r="L2492" s="19"/>
      <c r="M2492" s="19"/>
      <c r="N2492" s="20" t="s">
        <v>39</v>
      </c>
      <c r="O2492" s="19"/>
      <c r="P2492" s="19"/>
      <c r="Q2492" s="19"/>
      <c r="R2492" s="19"/>
      <c r="S2492" s="19"/>
      <c r="T2492" s="19"/>
      <c r="U2492" s="19"/>
      <c r="V2492" s="19"/>
    </row>
    <row r="2493">
      <c r="A2493" s="25"/>
      <c r="B2493" s="19"/>
      <c r="C2493" s="19"/>
      <c r="D2493" s="19"/>
      <c r="E2493" s="19"/>
      <c r="F2493" s="17" t="str">
        <f>IFERROR(__xludf.DUMMYFUNCTION("""COMPUTED_VALUE"""),"")</f>
        <v/>
      </c>
      <c r="G2493" s="20"/>
      <c r="H2493" s="19"/>
      <c r="I2493" s="19"/>
      <c r="J2493" s="19"/>
      <c r="K2493" s="19"/>
      <c r="L2493" s="19"/>
      <c r="M2493" s="19"/>
      <c r="N2493" s="20" t="s">
        <v>39</v>
      </c>
      <c r="O2493" s="19"/>
      <c r="P2493" s="19"/>
      <c r="Q2493" s="19"/>
      <c r="R2493" s="19"/>
      <c r="S2493" s="19"/>
      <c r="T2493" s="19"/>
      <c r="U2493" s="19"/>
      <c r="V2493" s="19"/>
    </row>
    <row r="2494">
      <c r="A2494" s="25"/>
      <c r="B2494" s="19"/>
      <c r="C2494" s="19"/>
      <c r="D2494" s="19"/>
      <c r="E2494" s="19"/>
      <c r="F2494" s="17" t="str">
        <f>IFERROR(__xludf.DUMMYFUNCTION("""COMPUTED_VALUE"""),"")</f>
        <v/>
      </c>
      <c r="G2494" s="20"/>
      <c r="H2494" s="19"/>
      <c r="I2494" s="19"/>
      <c r="J2494" s="19"/>
      <c r="K2494" s="19"/>
      <c r="L2494" s="19"/>
      <c r="M2494" s="19"/>
      <c r="N2494" s="20" t="s">
        <v>39</v>
      </c>
      <c r="O2494" s="19"/>
      <c r="P2494" s="19"/>
      <c r="Q2494" s="19"/>
      <c r="R2494" s="19"/>
      <c r="S2494" s="19"/>
      <c r="T2494" s="19"/>
      <c r="U2494" s="19"/>
      <c r="V2494" s="19"/>
    </row>
    <row r="2495">
      <c r="A2495" s="25"/>
      <c r="B2495" s="19"/>
      <c r="C2495" s="19"/>
      <c r="D2495" s="19"/>
      <c r="E2495" s="19"/>
      <c r="F2495" s="17" t="str">
        <f>IFERROR(__xludf.DUMMYFUNCTION("""COMPUTED_VALUE"""),"")</f>
        <v/>
      </c>
      <c r="G2495" s="20"/>
      <c r="H2495" s="19"/>
      <c r="I2495" s="19"/>
      <c r="J2495" s="19"/>
      <c r="K2495" s="19"/>
      <c r="L2495" s="19"/>
      <c r="M2495" s="19"/>
      <c r="N2495" s="20" t="s">
        <v>39</v>
      </c>
      <c r="O2495" s="19"/>
      <c r="P2495" s="19"/>
      <c r="Q2495" s="19"/>
      <c r="R2495" s="19"/>
      <c r="S2495" s="19"/>
      <c r="T2495" s="19"/>
      <c r="U2495" s="19"/>
      <c r="V2495" s="19"/>
    </row>
    <row r="2496">
      <c r="A2496" s="25"/>
      <c r="B2496" s="19"/>
      <c r="C2496" s="19"/>
      <c r="D2496" s="19"/>
      <c r="E2496" s="19"/>
      <c r="F2496" s="17" t="str">
        <f>IFERROR(__xludf.DUMMYFUNCTION("""COMPUTED_VALUE"""),"")</f>
        <v/>
      </c>
      <c r="G2496" s="20"/>
      <c r="H2496" s="19"/>
      <c r="I2496" s="19"/>
      <c r="J2496" s="19"/>
      <c r="K2496" s="19"/>
      <c r="L2496" s="19"/>
      <c r="M2496" s="19"/>
      <c r="N2496" s="20" t="s">
        <v>39</v>
      </c>
      <c r="O2496" s="19"/>
      <c r="P2496" s="19"/>
      <c r="Q2496" s="19"/>
      <c r="R2496" s="19"/>
      <c r="S2496" s="19"/>
      <c r="T2496" s="19"/>
      <c r="U2496" s="19"/>
      <c r="V2496" s="19"/>
    </row>
    <row r="2497">
      <c r="A2497" s="25"/>
      <c r="B2497" s="19"/>
      <c r="C2497" s="19"/>
      <c r="D2497" s="19"/>
      <c r="E2497" s="19"/>
      <c r="F2497" s="17" t="str">
        <f>IFERROR(__xludf.DUMMYFUNCTION("""COMPUTED_VALUE"""),"")</f>
        <v/>
      </c>
      <c r="G2497" s="20"/>
      <c r="H2497" s="19"/>
      <c r="I2497" s="19"/>
      <c r="J2497" s="19"/>
      <c r="K2497" s="19"/>
      <c r="L2497" s="19"/>
      <c r="M2497" s="19"/>
      <c r="N2497" s="20" t="s">
        <v>39</v>
      </c>
      <c r="O2497" s="19"/>
      <c r="P2497" s="19"/>
      <c r="Q2497" s="19"/>
      <c r="R2497" s="19"/>
      <c r="S2497" s="19"/>
      <c r="T2497" s="19"/>
      <c r="U2497" s="19"/>
      <c r="V2497" s="19"/>
    </row>
    <row r="2498">
      <c r="A2498" s="25"/>
      <c r="B2498" s="19"/>
      <c r="C2498" s="19"/>
      <c r="D2498" s="19"/>
      <c r="E2498" s="19"/>
      <c r="F2498" s="17" t="str">
        <f>IFERROR(__xludf.DUMMYFUNCTION("""COMPUTED_VALUE"""),"")</f>
        <v/>
      </c>
      <c r="G2498" s="20"/>
      <c r="H2498" s="19"/>
      <c r="I2498" s="19"/>
      <c r="J2498" s="19"/>
      <c r="K2498" s="19"/>
      <c r="L2498" s="19"/>
      <c r="M2498" s="19"/>
      <c r="N2498" s="20" t="s">
        <v>39</v>
      </c>
      <c r="O2498" s="19"/>
      <c r="P2498" s="19"/>
      <c r="Q2498" s="19"/>
      <c r="R2498" s="19"/>
      <c r="S2498" s="19"/>
      <c r="T2498" s="19"/>
      <c r="U2498" s="19"/>
      <c r="V2498" s="19"/>
    </row>
    <row r="2499">
      <c r="A2499" s="25"/>
      <c r="B2499" s="19"/>
      <c r="C2499" s="19"/>
      <c r="D2499" s="19"/>
      <c r="E2499" s="19"/>
      <c r="F2499" s="17" t="str">
        <f>IFERROR(__xludf.DUMMYFUNCTION("""COMPUTED_VALUE"""),"")</f>
        <v/>
      </c>
      <c r="G2499" s="20"/>
      <c r="H2499" s="19"/>
      <c r="I2499" s="19"/>
      <c r="J2499" s="19"/>
      <c r="K2499" s="19"/>
      <c r="L2499" s="19"/>
      <c r="M2499" s="19"/>
      <c r="N2499" s="20" t="s">
        <v>39</v>
      </c>
      <c r="O2499" s="19"/>
      <c r="P2499" s="19"/>
      <c r="Q2499" s="19"/>
      <c r="R2499" s="19"/>
      <c r="S2499" s="19"/>
      <c r="T2499" s="19"/>
      <c r="U2499" s="19"/>
      <c r="V2499" s="19"/>
    </row>
    <row r="2500">
      <c r="A2500" s="25"/>
      <c r="B2500" s="19"/>
      <c r="C2500" s="19"/>
      <c r="D2500" s="19"/>
      <c r="E2500" s="19"/>
      <c r="F2500" s="17" t="str">
        <f>IFERROR(__xludf.DUMMYFUNCTION("""COMPUTED_VALUE"""),"")</f>
        <v/>
      </c>
      <c r="G2500" s="20"/>
      <c r="H2500" s="19"/>
      <c r="I2500" s="19"/>
      <c r="J2500" s="19"/>
      <c r="K2500" s="19"/>
      <c r="L2500" s="19"/>
      <c r="M2500" s="19"/>
      <c r="N2500" s="20" t="s">
        <v>39</v>
      </c>
      <c r="O2500" s="19"/>
      <c r="P2500" s="19"/>
      <c r="Q2500" s="19"/>
      <c r="R2500" s="19"/>
      <c r="S2500" s="19"/>
      <c r="T2500" s="19"/>
      <c r="U2500" s="19"/>
      <c r="V2500" s="19"/>
    </row>
    <row r="2501">
      <c r="A2501" s="25"/>
      <c r="B2501" s="19"/>
      <c r="C2501" s="19"/>
      <c r="D2501" s="19"/>
      <c r="E2501" s="19"/>
      <c r="F2501" s="17" t="str">
        <f>IFERROR(__xludf.DUMMYFUNCTION("""COMPUTED_VALUE"""),"")</f>
        <v/>
      </c>
      <c r="G2501" s="20"/>
      <c r="H2501" s="19"/>
      <c r="I2501" s="19"/>
      <c r="J2501" s="19"/>
      <c r="K2501" s="19"/>
      <c r="L2501" s="19"/>
      <c r="M2501" s="19"/>
      <c r="N2501" s="20" t="s">
        <v>39</v>
      </c>
      <c r="O2501" s="19"/>
      <c r="P2501" s="19"/>
      <c r="Q2501" s="19"/>
      <c r="R2501" s="19"/>
      <c r="S2501" s="19"/>
      <c r="T2501" s="19"/>
      <c r="U2501" s="19"/>
      <c r="V2501" s="19"/>
    </row>
    <row r="2502">
      <c r="A2502" s="25"/>
      <c r="B2502" s="19"/>
      <c r="C2502" s="19"/>
      <c r="D2502" s="19"/>
      <c r="E2502" s="19"/>
      <c r="F2502" s="17" t="str">
        <f>IFERROR(__xludf.DUMMYFUNCTION("""COMPUTED_VALUE"""),"")</f>
        <v/>
      </c>
      <c r="G2502" s="20"/>
      <c r="H2502" s="19"/>
      <c r="I2502" s="19"/>
      <c r="J2502" s="19"/>
      <c r="K2502" s="19"/>
      <c r="L2502" s="19"/>
      <c r="M2502" s="19"/>
      <c r="N2502" s="20" t="s">
        <v>39</v>
      </c>
      <c r="O2502" s="19"/>
      <c r="P2502" s="19"/>
      <c r="Q2502" s="19"/>
      <c r="R2502" s="19"/>
      <c r="S2502" s="19"/>
      <c r="T2502" s="19"/>
      <c r="U2502" s="19"/>
      <c r="V2502" s="19"/>
    </row>
    <row r="2503">
      <c r="A2503" s="25"/>
      <c r="B2503" s="19"/>
      <c r="C2503" s="19"/>
      <c r="D2503" s="19"/>
      <c r="E2503" s="19"/>
      <c r="F2503" s="17" t="str">
        <f>IFERROR(__xludf.DUMMYFUNCTION("""COMPUTED_VALUE"""),"")</f>
        <v/>
      </c>
      <c r="G2503" s="20"/>
      <c r="H2503" s="19"/>
      <c r="I2503" s="19"/>
      <c r="J2503" s="19"/>
      <c r="K2503" s="19"/>
      <c r="L2503" s="19"/>
      <c r="M2503" s="19"/>
      <c r="N2503" s="20" t="s">
        <v>39</v>
      </c>
      <c r="O2503" s="19"/>
      <c r="P2503" s="19"/>
      <c r="Q2503" s="19"/>
      <c r="R2503" s="19"/>
      <c r="S2503" s="19"/>
      <c r="T2503" s="19"/>
      <c r="U2503" s="19"/>
      <c r="V2503" s="19"/>
    </row>
    <row r="2504">
      <c r="A2504" s="25"/>
      <c r="B2504" s="19"/>
      <c r="C2504" s="19"/>
      <c r="D2504" s="19"/>
      <c r="E2504" s="19"/>
      <c r="F2504" s="17" t="str">
        <f>IFERROR(__xludf.DUMMYFUNCTION("""COMPUTED_VALUE"""),"")</f>
        <v/>
      </c>
      <c r="G2504" s="20"/>
      <c r="H2504" s="19"/>
      <c r="I2504" s="19"/>
      <c r="J2504" s="19"/>
      <c r="K2504" s="19"/>
      <c r="L2504" s="19"/>
      <c r="M2504" s="19"/>
      <c r="N2504" s="20" t="s">
        <v>39</v>
      </c>
      <c r="O2504" s="19"/>
      <c r="P2504" s="19"/>
      <c r="Q2504" s="19"/>
      <c r="R2504" s="19"/>
      <c r="S2504" s="19"/>
      <c r="T2504" s="19"/>
      <c r="U2504" s="19"/>
      <c r="V2504" s="19"/>
    </row>
    <row r="2505">
      <c r="A2505" s="25"/>
      <c r="B2505" s="19"/>
      <c r="C2505" s="19"/>
      <c r="D2505" s="19"/>
      <c r="E2505" s="19"/>
      <c r="F2505" s="17" t="str">
        <f>IFERROR(__xludf.DUMMYFUNCTION("""COMPUTED_VALUE"""),"")</f>
        <v/>
      </c>
      <c r="G2505" s="20"/>
      <c r="H2505" s="19"/>
      <c r="I2505" s="19"/>
      <c r="J2505" s="19"/>
      <c r="K2505" s="19"/>
      <c r="L2505" s="19"/>
      <c r="M2505" s="19"/>
      <c r="N2505" s="20" t="s">
        <v>39</v>
      </c>
      <c r="O2505" s="19"/>
      <c r="P2505" s="19"/>
      <c r="Q2505" s="19"/>
      <c r="R2505" s="19"/>
      <c r="S2505" s="19"/>
      <c r="T2505" s="19"/>
      <c r="U2505" s="19"/>
      <c r="V2505" s="19"/>
    </row>
    <row r="2506">
      <c r="A2506" s="25"/>
      <c r="B2506" s="19"/>
      <c r="C2506" s="19"/>
      <c r="D2506" s="19"/>
      <c r="E2506" s="19"/>
      <c r="F2506" s="17" t="str">
        <f>IFERROR(__xludf.DUMMYFUNCTION("""COMPUTED_VALUE"""),"")</f>
        <v/>
      </c>
      <c r="G2506" s="20"/>
      <c r="H2506" s="19"/>
      <c r="I2506" s="19"/>
      <c r="J2506" s="19"/>
      <c r="K2506" s="19"/>
      <c r="L2506" s="19"/>
      <c r="M2506" s="19"/>
      <c r="N2506" s="20" t="s">
        <v>39</v>
      </c>
      <c r="O2506" s="19"/>
      <c r="P2506" s="19"/>
      <c r="Q2506" s="19"/>
      <c r="R2506" s="19"/>
      <c r="S2506" s="19"/>
      <c r="T2506" s="19"/>
      <c r="U2506" s="19"/>
      <c r="V2506" s="19"/>
    </row>
    <row r="2507">
      <c r="A2507" s="25"/>
      <c r="B2507" s="19"/>
      <c r="C2507" s="19"/>
      <c r="D2507" s="19"/>
      <c r="E2507" s="19"/>
      <c r="F2507" s="17" t="str">
        <f>IFERROR(__xludf.DUMMYFUNCTION("""COMPUTED_VALUE"""),"")</f>
        <v/>
      </c>
      <c r="G2507" s="20"/>
      <c r="H2507" s="19"/>
      <c r="I2507" s="19"/>
      <c r="J2507" s="19"/>
      <c r="K2507" s="19"/>
      <c r="L2507" s="19"/>
      <c r="M2507" s="19"/>
      <c r="N2507" s="20" t="s">
        <v>39</v>
      </c>
      <c r="O2507" s="19"/>
      <c r="P2507" s="19"/>
      <c r="Q2507" s="19"/>
      <c r="R2507" s="19"/>
      <c r="S2507" s="19"/>
      <c r="T2507" s="19"/>
      <c r="U2507" s="19"/>
      <c r="V2507" s="19"/>
    </row>
    <row r="2508">
      <c r="A2508" s="25"/>
      <c r="B2508" s="19"/>
      <c r="C2508" s="19"/>
      <c r="D2508" s="19"/>
      <c r="E2508" s="19"/>
      <c r="F2508" s="17" t="str">
        <f>IFERROR(__xludf.DUMMYFUNCTION("""COMPUTED_VALUE"""),"")</f>
        <v/>
      </c>
      <c r="G2508" s="20"/>
      <c r="H2508" s="19"/>
      <c r="I2508" s="19"/>
      <c r="J2508" s="19"/>
      <c r="K2508" s="19"/>
      <c r="L2508" s="19"/>
      <c r="M2508" s="19"/>
      <c r="N2508" s="20" t="s">
        <v>39</v>
      </c>
      <c r="O2508" s="19"/>
      <c r="P2508" s="19"/>
      <c r="Q2508" s="19"/>
      <c r="R2508" s="19"/>
      <c r="S2508" s="19"/>
      <c r="T2508" s="19"/>
      <c r="U2508" s="19"/>
      <c r="V2508" s="19"/>
    </row>
    <row r="2509">
      <c r="A2509" s="25"/>
      <c r="B2509" s="19"/>
      <c r="C2509" s="19"/>
      <c r="D2509" s="19"/>
      <c r="E2509" s="19"/>
      <c r="F2509" s="17" t="str">
        <f>IFERROR(__xludf.DUMMYFUNCTION("""COMPUTED_VALUE"""),"")</f>
        <v/>
      </c>
      <c r="G2509" s="20"/>
      <c r="H2509" s="19"/>
      <c r="I2509" s="19"/>
      <c r="J2509" s="19"/>
      <c r="K2509" s="19"/>
      <c r="L2509" s="19"/>
      <c r="M2509" s="19"/>
      <c r="N2509" s="20" t="s">
        <v>39</v>
      </c>
      <c r="O2509" s="19"/>
      <c r="P2509" s="19"/>
      <c r="Q2509" s="19"/>
      <c r="R2509" s="19"/>
      <c r="S2509" s="19"/>
      <c r="T2509" s="19"/>
      <c r="U2509" s="19"/>
      <c r="V2509" s="19"/>
    </row>
    <row r="2510">
      <c r="A2510" s="25"/>
      <c r="B2510" s="19"/>
      <c r="C2510" s="19"/>
      <c r="D2510" s="19"/>
      <c r="E2510" s="19"/>
      <c r="F2510" s="17" t="str">
        <f>IFERROR(__xludf.DUMMYFUNCTION("""COMPUTED_VALUE"""),"")</f>
        <v/>
      </c>
      <c r="G2510" s="20"/>
      <c r="H2510" s="19"/>
      <c r="I2510" s="19"/>
      <c r="J2510" s="19"/>
      <c r="K2510" s="19"/>
      <c r="L2510" s="19"/>
      <c r="M2510" s="19"/>
      <c r="N2510" s="20" t="s">
        <v>39</v>
      </c>
      <c r="O2510" s="19"/>
      <c r="P2510" s="19"/>
      <c r="Q2510" s="19"/>
      <c r="R2510" s="19"/>
      <c r="S2510" s="19"/>
      <c r="T2510" s="19"/>
      <c r="U2510" s="19"/>
      <c r="V2510" s="19"/>
    </row>
    <row r="2511">
      <c r="A2511" s="25"/>
      <c r="B2511" s="19"/>
      <c r="C2511" s="19"/>
      <c r="D2511" s="19"/>
      <c r="E2511" s="19"/>
      <c r="F2511" s="17" t="str">
        <f>IFERROR(__xludf.DUMMYFUNCTION("""COMPUTED_VALUE"""),"")</f>
        <v/>
      </c>
      <c r="G2511" s="20"/>
      <c r="H2511" s="19"/>
      <c r="I2511" s="19"/>
      <c r="J2511" s="19"/>
      <c r="K2511" s="19"/>
      <c r="L2511" s="19"/>
      <c r="M2511" s="19"/>
      <c r="N2511" s="20" t="s">
        <v>39</v>
      </c>
      <c r="O2511" s="19"/>
      <c r="P2511" s="19"/>
      <c r="Q2511" s="19"/>
      <c r="R2511" s="19"/>
      <c r="S2511" s="19"/>
      <c r="T2511" s="19"/>
      <c r="U2511" s="19"/>
      <c r="V2511" s="19"/>
    </row>
    <row r="2512">
      <c r="A2512" s="25"/>
      <c r="B2512" s="19"/>
      <c r="C2512" s="19"/>
      <c r="D2512" s="19"/>
      <c r="E2512" s="19"/>
      <c r="F2512" s="17" t="str">
        <f>IFERROR(__xludf.DUMMYFUNCTION("""COMPUTED_VALUE"""),"")</f>
        <v/>
      </c>
      <c r="G2512" s="20"/>
      <c r="H2512" s="19"/>
      <c r="I2512" s="19"/>
      <c r="J2512" s="19"/>
      <c r="K2512" s="19"/>
      <c r="L2512" s="19"/>
      <c r="M2512" s="19"/>
      <c r="N2512" s="20" t="s">
        <v>39</v>
      </c>
      <c r="O2512" s="19"/>
      <c r="P2512" s="19"/>
      <c r="Q2512" s="19"/>
      <c r="R2512" s="19"/>
      <c r="S2512" s="19"/>
      <c r="T2512" s="19"/>
      <c r="U2512" s="19"/>
      <c r="V2512" s="19"/>
    </row>
    <row r="2513">
      <c r="A2513" s="25"/>
      <c r="B2513" s="19"/>
      <c r="C2513" s="19"/>
      <c r="D2513" s="19"/>
      <c r="E2513" s="19"/>
      <c r="F2513" s="17" t="str">
        <f>IFERROR(__xludf.DUMMYFUNCTION("""COMPUTED_VALUE"""),"")</f>
        <v/>
      </c>
      <c r="G2513" s="20"/>
      <c r="H2513" s="19"/>
      <c r="I2513" s="19"/>
      <c r="J2513" s="19"/>
      <c r="K2513" s="19"/>
      <c r="L2513" s="19"/>
      <c r="M2513" s="19"/>
      <c r="N2513" s="20" t="s">
        <v>39</v>
      </c>
      <c r="O2513" s="19"/>
      <c r="P2513" s="19"/>
      <c r="Q2513" s="19"/>
      <c r="R2513" s="19"/>
      <c r="S2513" s="19"/>
      <c r="T2513" s="19"/>
      <c r="U2513" s="19"/>
      <c r="V2513" s="19"/>
    </row>
    <row r="2514">
      <c r="A2514" s="25"/>
      <c r="B2514" s="19"/>
      <c r="C2514" s="19"/>
      <c r="D2514" s="19"/>
      <c r="E2514" s="19"/>
      <c r="F2514" s="17" t="str">
        <f>IFERROR(__xludf.DUMMYFUNCTION("""COMPUTED_VALUE"""),"")</f>
        <v/>
      </c>
      <c r="G2514" s="20"/>
      <c r="H2514" s="19"/>
      <c r="I2514" s="19"/>
      <c r="J2514" s="19"/>
      <c r="K2514" s="19"/>
      <c r="L2514" s="19"/>
      <c r="M2514" s="19"/>
      <c r="N2514" s="20" t="s">
        <v>39</v>
      </c>
      <c r="O2514" s="19"/>
      <c r="P2514" s="19"/>
      <c r="Q2514" s="19"/>
      <c r="R2514" s="19"/>
      <c r="S2514" s="19"/>
      <c r="T2514" s="19"/>
      <c r="U2514" s="19"/>
      <c r="V2514" s="19"/>
    </row>
    <row r="2515">
      <c r="A2515" s="25"/>
      <c r="B2515" s="19"/>
      <c r="C2515" s="19"/>
      <c r="D2515" s="19"/>
      <c r="E2515" s="19"/>
      <c r="F2515" s="17" t="str">
        <f>IFERROR(__xludf.DUMMYFUNCTION("""COMPUTED_VALUE"""),"")</f>
        <v/>
      </c>
      <c r="G2515" s="20"/>
      <c r="H2515" s="19"/>
      <c r="I2515" s="19"/>
      <c r="J2515" s="19"/>
      <c r="K2515" s="19"/>
      <c r="L2515" s="19"/>
      <c r="M2515" s="19"/>
      <c r="N2515" s="20" t="s">
        <v>39</v>
      </c>
      <c r="O2515" s="19"/>
      <c r="P2515" s="19"/>
      <c r="Q2515" s="19"/>
      <c r="R2515" s="19"/>
      <c r="S2515" s="19"/>
      <c r="T2515" s="19"/>
      <c r="U2515" s="19"/>
      <c r="V2515" s="19"/>
    </row>
    <row r="2516">
      <c r="A2516" s="25"/>
      <c r="B2516" s="19"/>
      <c r="C2516" s="19"/>
      <c r="D2516" s="19"/>
      <c r="E2516" s="19"/>
      <c r="F2516" s="17" t="str">
        <f>IFERROR(__xludf.DUMMYFUNCTION("""COMPUTED_VALUE"""),"")</f>
        <v/>
      </c>
      <c r="G2516" s="20"/>
      <c r="H2516" s="19"/>
      <c r="I2516" s="19"/>
      <c r="J2516" s="19"/>
      <c r="K2516" s="19"/>
      <c r="L2516" s="19"/>
      <c r="M2516" s="19"/>
      <c r="N2516" s="20" t="s">
        <v>39</v>
      </c>
      <c r="O2516" s="19"/>
      <c r="P2516" s="19"/>
      <c r="Q2516" s="19"/>
      <c r="R2516" s="19"/>
      <c r="S2516" s="19"/>
      <c r="T2516" s="19"/>
      <c r="U2516" s="19"/>
      <c r="V2516" s="19"/>
    </row>
    <row r="2517">
      <c r="A2517" s="25"/>
      <c r="B2517" s="19"/>
      <c r="C2517" s="19"/>
      <c r="D2517" s="19"/>
      <c r="E2517" s="19"/>
      <c r="F2517" s="17" t="str">
        <f>IFERROR(__xludf.DUMMYFUNCTION("""COMPUTED_VALUE"""),"")</f>
        <v/>
      </c>
      <c r="G2517" s="20"/>
      <c r="H2517" s="19"/>
      <c r="I2517" s="19"/>
      <c r="J2517" s="19"/>
      <c r="K2517" s="19"/>
      <c r="L2517" s="19"/>
      <c r="M2517" s="19"/>
      <c r="N2517" s="20" t="s">
        <v>39</v>
      </c>
      <c r="O2517" s="19"/>
      <c r="P2517" s="19"/>
      <c r="Q2517" s="19"/>
      <c r="R2517" s="19"/>
      <c r="S2517" s="19"/>
      <c r="T2517" s="19"/>
      <c r="U2517" s="19"/>
      <c r="V2517" s="19"/>
    </row>
    <row r="2518">
      <c r="A2518" s="25"/>
      <c r="B2518" s="19"/>
      <c r="C2518" s="19"/>
      <c r="D2518" s="19"/>
      <c r="E2518" s="19"/>
      <c r="F2518" s="17" t="str">
        <f>IFERROR(__xludf.DUMMYFUNCTION("""COMPUTED_VALUE"""),"")</f>
        <v/>
      </c>
      <c r="G2518" s="20"/>
      <c r="H2518" s="19"/>
      <c r="I2518" s="19"/>
      <c r="J2518" s="19"/>
      <c r="K2518" s="19"/>
      <c r="L2518" s="19"/>
      <c r="M2518" s="19"/>
      <c r="N2518" s="20" t="s">
        <v>39</v>
      </c>
      <c r="O2518" s="19"/>
      <c r="P2518" s="19"/>
      <c r="Q2518" s="19"/>
      <c r="R2518" s="19"/>
      <c r="S2518" s="19"/>
      <c r="T2518" s="19"/>
      <c r="U2518" s="19"/>
      <c r="V2518" s="19"/>
    </row>
    <row r="2519">
      <c r="A2519" s="25"/>
      <c r="B2519" s="19"/>
      <c r="C2519" s="19"/>
      <c r="D2519" s="19"/>
      <c r="E2519" s="19"/>
      <c r="F2519" s="17" t="str">
        <f>IFERROR(__xludf.DUMMYFUNCTION("""COMPUTED_VALUE"""),"")</f>
        <v/>
      </c>
      <c r="G2519" s="20"/>
      <c r="H2519" s="19"/>
      <c r="I2519" s="19"/>
      <c r="J2519" s="19"/>
      <c r="K2519" s="19"/>
      <c r="L2519" s="19"/>
      <c r="M2519" s="19"/>
      <c r="N2519" s="20" t="s">
        <v>39</v>
      </c>
      <c r="O2519" s="19"/>
      <c r="P2519" s="19"/>
      <c r="Q2519" s="19"/>
      <c r="R2519" s="19"/>
      <c r="S2519" s="19"/>
      <c r="T2519" s="19"/>
      <c r="U2519" s="19"/>
      <c r="V2519" s="19"/>
    </row>
    <row r="2520">
      <c r="A2520" s="25"/>
      <c r="B2520" s="19"/>
      <c r="C2520" s="19"/>
      <c r="D2520" s="19"/>
      <c r="E2520" s="19"/>
      <c r="F2520" s="17" t="str">
        <f>IFERROR(__xludf.DUMMYFUNCTION("""COMPUTED_VALUE"""),"")</f>
        <v/>
      </c>
      <c r="G2520" s="20"/>
      <c r="H2520" s="19"/>
      <c r="I2520" s="19"/>
      <c r="J2520" s="19"/>
      <c r="K2520" s="19"/>
      <c r="L2520" s="19"/>
      <c r="M2520" s="19"/>
      <c r="N2520" s="20" t="s">
        <v>39</v>
      </c>
      <c r="O2520" s="19"/>
      <c r="P2520" s="19"/>
      <c r="Q2520" s="19"/>
      <c r="R2520" s="19"/>
      <c r="S2520" s="19"/>
      <c r="T2520" s="19"/>
      <c r="U2520" s="19"/>
      <c r="V2520" s="19"/>
    </row>
    <row r="2521">
      <c r="A2521" s="25"/>
      <c r="B2521" s="19"/>
      <c r="C2521" s="19"/>
      <c r="D2521" s="19"/>
      <c r="E2521" s="19"/>
      <c r="F2521" s="17" t="str">
        <f>IFERROR(__xludf.DUMMYFUNCTION("""COMPUTED_VALUE"""),"")</f>
        <v/>
      </c>
      <c r="G2521" s="20"/>
      <c r="H2521" s="19"/>
      <c r="I2521" s="19"/>
      <c r="J2521" s="19"/>
      <c r="K2521" s="19"/>
      <c r="L2521" s="19"/>
      <c r="M2521" s="19"/>
      <c r="N2521" s="20" t="s">
        <v>39</v>
      </c>
      <c r="O2521" s="19"/>
      <c r="P2521" s="19"/>
      <c r="Q2521" s="19"/>
      <c r="R2521" s="19"/>
      <c r="S2521" s="19"/>
      <c r="T2521" s="19"/>
      <c r="U2521" s="19"/>
      <c r="V2521" s="19"/>
    </row>
    <row r="2522">
      <c r="A2522" s="25"/>
      <c r="B2522" s="19"/>
      <c r="C2522" s="19"/>
      <c r="D2522" s="19"/>
      <c r="E2522" s="19"/>
      <c r="F2522" s="17" t="str">
        <f>IFERROR(__xludf.DUMMYFUNCTION("""COMPUTED_VALUE"""),"")</f>
        <v/>
      </c>
      <c r="G2522" s="20"/>
      <c r="H2522" s="19"/>
      <c r="I2522" s="19"/>
      <c r="J2522" s="19"/>
      <c r="K2522" s="19"/>
      <c r="L2522" s="19"/>
      <c r="M2522" s="19"/>
      <c r="N2522" s="20" t="s">
        <v>39</v>
      </c>
      <c r="O2522" s="19"/>
      <c r="P2522" s="19"/>
      <c r="Q2522" s="19"/>
      <c r="R2522" s="19"/>
      <c r="S2522" s="19"/>
      <c r="T2522" s="19"/>
      <c r="U2522" s="19"/>
      <c r="V2522" s="19"/>
    </row>
    <row r="2523">
      <c r="A2523" s="25"/>
      <c r="B2523" s="19"/>
      <c r="C2523" s="19"/>
      <c r="D2523" s="19"/>
      <c r="E2523" s="19"/>
      <c r="F2523" s="17" t="str">
        <f>IFERROR(__xludf.DUMMYFUNCTION("""COMPUTED_VALUE"""),"")</f>
        <v/>
      </c>
      <c r="G2523" s="20"/>
      <c r="H2523" s="19"/>
      <c r="I2523" s="19"/>
      <c r="J2523" s="19"/>
      <c r="K2523" s="19"/>
      <c r="L2523" s="19"/>
      <c r="M2523" s="19"/>
      <c r="N2523" s="20" t="s">
        <v>39</v>
      </c>
      <c r="O2523" s="19"/>
      <c r="P2523" s="19"/>
      <c r="Q2523" s="19"/>
      <c r="R2523" s="19"/>
      <c r="S2523" s="19"/>
      <c r="T2523" s="19"/>
      <c r="U2523" s="19"/>
      <c r="V2523" s="19"/>
    </row>
    <row r="2524">
      <c r="A2524" s="25"/>
      <c r="B2524" s="19"/>
      <c r="C2524" s="19"/>
      <c r="D2524" s="19"/>
      <c r="E2524" s="19"/>
      <c r="F2524" s="17" t="str">
        <f>IFERROR(__xludf.DUMMYFUNCTION("""COMPUTED_VALUE"""),"")</f>
        <v/>
      </c>
      <c r="G2524" s="20"/>
      <c r="H2524" s="19"/>
      <c r="I2524" s="19"/>
      <c r="J2524" s="19"/>
      <c r="K2524" s="19"/>
      <c r="L2524" s="19"/>
      <c r="M2524" s="19"/>
      <c r="N2524" s="20" t="s">
        <v>39</v>
      </c>
      <c r="O2524" s="19"/>
      <c r="P2524" s="19"/>
      <c r="Q2524" s="19"/>
      <c r="R2524" s="19"/>
      <c r="S2524" s="19"/>
      <c r="T2524" s="19"/>
      <c r="U2524" s="19"/>
      <c r="V2524" s="19"/>
    </row>
    <row r="2525">
      <c r="A2525" s="25"/>
      <c r="B2525" s="19"/>
      <c r="C2525" s="19"/>
      <c r="D2525" s="19"/>
      <c r="E2525" s="19"/>
      <c r="F2525" s="17" t="str">
        <f>IFERROR(__xludf.DUMMYFUNCTION("""COMPUTED_VALUE"""),"")</f>
        <v/>
      </c>
      <c r="G2525" s="20"/>
      <c r="H2525" s="19"/>
      <c r="I2525" s="19"/>
      <c r="J2525" s="19"/>
      <c r="K2525" s="19"/>
      <c r="L2525" s="19"/>
      <c r="M2525" s="19"/>
      <c r="N2525" s="20" t="s">
        <v>39</v>
      </c>
      <c r="O2525" s="19"/>
      <c r="P2525" s="19"/>
      <c r="Q2525" s="19"/>
      <c r="R2525" s="19"/>
      <c r="S2525" s="19"/>
      <c r="T2525" s="19"/>
      <c r="U2525" s="19"/>
      <c r="V2525" s="19"/>
    </row>
    <row r="2526">
      <c r="A2526" s="25"/>
      <c r="B2526" s="19"/>
      <c r="C2526" s="19"/>
      <c r="D2526" s="19"/>
      <c r="E2526" s="19"/>
      <c r="F2526" s="17" t="str">
        <f>IFERROR(__xludf.DUMMYFUNCTION("""COMPUTED_VALUE"""),"")</f>
        <v/>
      </c>
      <c r="G2526" s="20"/>
      <c r="H2526" s="19"/>
      <c r="I2526" s="19"/>
      <c r="J2526" s="19"/>
      <c r="K2526" s="19"/>
      <c r="L2526" s="19"/>
      <c r="M2526" s="19"/>
      <c r="N2526" s="20" t="s">
        <v>39</v>
      </c>
      <c r="O2526" s="19"/>
      <c r="P2526" s="19"/>
      <c r="Q2526" s="19"/>
      <c r="R2526" s="19"/>
      <c r="S2526" s="19"/>
      <c r="T2526" s="19"/>
      <c r="U2526" s="19"/>
      <c r="V2526" s="19"/>
    </row>
    <row r="2527">
      <c r="A2527" s="25"/>
      <c r="B2527" s="19"/>
      <c r="C2527" s="19"/>
      <c r="D2527" s="19"/>
      <c r="E2527" s="19"/>
      <c r="F2527" s="17" t="str">
        <f>IFERROR(__xludf.DUMMYFUNCTION("""COMPUTED_VALUE"""),"")</f>
        <v/>
      </c>
      <c r="G2527" s="20"/>
      <c r="H2527" s="19"/>
      <c r="I2527" s="19"/>
      <c r="J2527" s="19"/>
      <c r="K2527" s="19"/>
      <c r="L2527" s="19"/>
      <c r="M2527" s="19"/>
      <c r="N2527" s="20" t="s">
        <v>39</v>
      </c>
      <c r="O2527" s="19"/>
      <c r="P2527" s="19"/>
      <c r="Q2527" s="19"/>
      <c r="R2527" s="19"/>
      <c r="S2527" s="19"/>
      <c r="T2527" s="19"/>
      <c r="U2527" s="19"/>
      <c r="V2527" s="19"/>
    </row>
    <row r="2528">
      <c r="A2528" s="25"/>
      <c r="B2528" s="19"/>
      <c r="C2528" s="19"/>
      <c r="D2528" s="19"/>
      <c r="E2528" s="19"/>
      <c r="F2528" s="17" t="str">
        <f>IFERROR(__xludf.DUMMYFUNCTION("""COMPUTED_VALUE"""),"")</f>
        <v/>
      </c>
      <c r="G2528" s="20"/>
      <c r="H2528" s="19"/>
      <c r="I2528" s="19"/>
      <c r="J2528" s="19"/>
      <c r="K2528" s="19"/>
      <c r="L2528" s="19"/>
      <c r="M2528" s="19"/>
      <c r="N2528" s="20" t="s">
        <v>39</v>
      </c>
      <c r="O2528" s="19"/>
      <c r="P2528" s="19"/>
      <c r="Q2528" s="19"/>
      <c r="R2528" s="19"/>
      <c r="S2528" s="19"/>
      <c r="T2528" s="19"/>
      <c r="U2528" s="19"/>
      <c r="V2528" s="19"/>
    </row>
    <row r="2529">
      <c r="A2529" s="25"/>
      <c r="B2529" s="19"/>
      <c r="C2529" s="19"/>
      <c r="D2529" s="19"/>
      <c r="E2529" s="19"/>
      <c r="F2529" s="17" t="str">
        <f>IFERROR(__xludf.DUMMYFUNCTION("""COMPUTED_VALUE"""),"")</f>
        <v/>
      </c>
      <c r="G2529" s="20"/>
      <c r="H2529" s="19"/>
      <c r="I2529" s="19"/>
      <c r="J2529" s="19"/>
      <c r="K2529" s="19"/>
      <c r="L2529" s="19"/>
      <c r="M2529" s="19"/>
      <c r="N2529" s="20" t="s">
        <v>39</v>
      </c>
      <c r="O2529" s="19"/>
      <c r="P2529" s="19"/>
      <c r="Q2529" s="19"/>
      <c r="R2529" s="19"/>
      <c r="S2529" s="19"/>
      <c r="T2529" s="19"/>
      <c r="U2529" s="19"/>
      <c r="V2529" s="19"/>
    </row>
    <row r="2530">
      <c r="A2530" s="25"/>
      <c r="B2530" s="19"/>
      <c r="C2530" s="19"/>
      <c r="D2530" s="19"/>
      <c r="E2530" s="19"/>
      <c r="F2530" s="17" t="str">
        <f>IFERROR(__xludf.DUMMYFUNCTION("""COMPUTED_VALUE"""),"")</f>
        <v/>
      </c>
      <c r="G2530" s="20"/>
      <c r="H2530" s="19"/>
      <c r="I2530" s="19"/>
      <c r="J2530" s="19"/>
      <c r="K2530" s="19"/>
      <c r="L2530" s="19"/>
      <c r="M2530" s="19"/>
      <c r="N2530" s="20" t="s">
        <v>39</v>
      </c>
      <c r="O2530" s="19"/>
      <c r="P2530" s="19"/>
      <c r="Q2530" s="19"/>
      <c r="R2530" s="19"/>
      <c r="S2530" s="19"/>
      <c r="T2530" s="19"/>
      <c r="U2530" s="19"/>
      <c r="V2530" s="19"/>
    </row>
    <row r="2531">
      <c r="A2531" s="25"/>
      <c r="B2531" s="19"/>
      <c r="C2531" s="19"/>
      <c r="D2531" s="19"/>
      <c r="E2531" s="19"/>
      <c r="F2531" s="17" t="str">
        <f>IFERROR(__xludf.DUMMYFUNCTION("""COMPUTED_VALUE"""),"")</f>
        <v/>
      </c>
      <c r="G2531" s="20"/>
      <c r="H2531" s="19"/>
      <c r="I2531" s="19"/>
      <c r="J2531" s="19"/>
      <c r="K2531" s="19"/>
      <c r="L2531" s="19"/>
      <c r="M2531" s="19"/>
      <c r="N2531" s="20" t="s">
        <v>39</v>
      </c>
      <c r="O2531" s="19"/>
      <c r="P2531" s="19"/>
      <c r="Q2531" s="19"/>
      <c r="R2531" s="19"/>
      <c r="S2531" s="19"/>
      <c r="T2531" s="19"/>
      <c r="U2531" s="19"/>
      <c r="V2531" s="19"/>
    </row>
    <row r="2532">
      <c r="A2532" s="25"/>
      <c r="B2532" s="19"/>
      <c r="C2532" s="19"/>
      <c r="D2532" s="19"/>
      <c r="E2532" s="19"/>
      <c r="F2532" s="17" t="str">
        <f>IFERROR(__xludf.DUMMYFUNCTION("""COMPUTED_VALUE"""),"")</f>
        <v/>
      </c>
      <c r="G2532" s="20"/>
      <c r="H2532" s="19"/>
      <c r="I2532" s="19"/>
      <c r="J2532" s="19"/>
      <c r="K2532" s="19"/>
      <c r="L2532" s="19"/>
      <c r="M2532" s="19"/>
      <c r="N2532" s="20" t="s">
        <v>39</v>
      </c>
      <c r="O2532" s="19"/>
      <c r="P2532" s="19"/>
      <c r="Q2532" s="19"/>
      <c r="R2532" s="19"/>
      <c r="S2532" s="19"/>
      <c r="T2532" s="19"/>
      <c r="U2532" s="19"/>
      <c r="V2532" s="19"/>
    </row>
    <row r="2533">
      <c r="A2533" s="25"/>
      <c r="B2533" s="19"/>
      <c r="C2533" s="19"/>
      <c r="D2533" s="19"/>
      <c r="E2533" s="19"/>
      <c r="F2533" s="17" t="str">
        <f>IFERROR(__xludf.DUMMYFUNCTION("""COMPUTED_VALUE"""),"")</f>
        <v/>
      </c>
      <c r="G2533" s="20"/>
      <c r="H2533" s="19"/>
      <c r="I2533" s="19"/>
      <c r="J2533" s="19"/>
      <c r="K2533" s="19"/>
      <c r="L2533" s="19"/>
      <c r="M2533" s="19"/>
      <c r="N2533" s="20" t="s">
        <v>39</v>
      </c>
      <c r="O2533" s="19"/>
      <c r="P2533" s="19"/>
      <c r="Q2533" s="19"/>
      <c r="R2533" s="19"/>
      <c r="S2533" s="19"/>
      <c r="T2533" s="19"/>
      <c r="U2533" s="19"/>
      <c r="V2533" s="19"/>
    </row>
    <row r="2534">
      <c r="A2534" s="25"/>
      <c r="B2534" s="19"/>
      <c r="C2534" s="19"/>
      <c r="D2534" s="19"/>
      <c r="E2534" s="19"/>
      <c r="F2534" s="17" t="str">
        <f>IFERROR(__xludf.DUMMYFUNCTION("""COMPUTED_VALUE"""),"")</f>
        <v/>
      </c>
      <c r="G2534" s="20"/>
      <c r="H2534" s="19"/>
      <c r="I2534" s="19"/>
      <c r="J2534" s="19"/>
      <c r="K2534" s="19"/>
      <c r="L2534" s="19"/>
      <c r="M2534" s="19"/>
      <c r="N2534" s="20" t="s">
        <v>39</v>
      </c>
      <c r="O2534" s="19"/>
      <c r="P2534" s="19"/>
      <c r="Q2534" s="19"/>
      <c r="R2534" s="19"/>
      <c r="S2534" s="19"/>
      <c r="T2534" s="19"/>
      <c r="U2534" s="19"/>
      <c r="V2534" s="19"/>
    </row>
    <row r="2535">
      <c r="A2535" s="25"/>
      <c r="B2535" s="19"/>
      <c r="C2535" s="19"/>
      <c r="D2535" s="19"/>
      <c r="E2535" s="19"/>
      <c r="F2535" s="17" t="str">
        <f>IFERROR(__xludf.DUMMYFUNCTION("""COMPUTED_VALUE"""),"")</f>
        <v/>
      </c>
      <c r="G2535" s="20"/>
      <c r="H2535" s="19"/>
      <c r="I2535" s="19"/>
      <c r="J2535" s="19"/>
      <c r="K2535" s="19"/>
      <c r="L2535" s="19"/>
      <c r="M2535" s="19"/>
      <c r="N2535" s="20" t="s">
        <v>39</v>
      </c>
      <c r="O2535" s="19"/>
      <c r="P2535" s="19"/>
      <c r="Q2535" s="19"/>
      <c r="R2535" s="19"/>
      <c r="S2535" s="19"/>
      <c r="T2535" s="19"/>
      <c r="U2535" s="19"/>
      <c r="V2535" s="19"/>
    </row>
    <row r="2536">
      <c r="A2536" s="25"/>
      <c r="B2536" s="19"/>
      <c r="C2536" s="19"/>
      <c r="D2536" s="19"/>
      <c r="E2536" s="19"/>
      <c r="F2536" s="17" t="str">
        <f>IFERROR(__xludf.DUMMYFUNCTION("""COMPUTED_VALUE"""),"")</f>
        <v/>
      </c>
      <c r="G2536" s="20"/>
      <c r="H2536" s="19"/>
      <c r="I2536" s="19"/>
      <c r="J2536" s="19"/>
      <c r="K2536" s="19"/>
      <c r="L2536" s="19"/>
      <c r="M2536" s="19"/>
      <c r="N2536" s="20" t="s">
        <v>39</v>
      </c>
      <c r="O2536" s="19"/>
      <c r="P2536" s="19"/>
      <c r="Q2536" s="19"/>
      <c r="R2536" s="19"/>
      <c r="S2536" s="19"/>
      <c r="T2536" s="19"/>
      <c r="U2536" s="19"/>
      <c r="V2536" s="19"/>
    </row>
    <row r="2537">
      <c r="A2537" s="25"/>
      <c r="B2537" s="19"/>
      <c r="C2537" s="19"/>
      <c r="D2537" s="19"/>
      <c r="E2537" s="19"/>
      <c r="F2537" s="17" t="str">
        <f>IFERROR(__xludf.DUMMYFUNCTION("""COMPUTED_VALUE"""),"")</f>
        <v/>
      </c>
      <c r="G2537" s="20"/>
      <c r="H2537" s="19"/>
      <c r="I2537" s="19"/>
      <c r="J2537" s="19"/>
      <c r="K2537" s="19"/>
      <c r="L2537" s="19"/>
      <c r="M2537" s="19"/>
      <c r="N2537" s="20" t="s">
        <v>39</v>
      </c>
      <c r="O2537" s="19"/>
      <c r="P2537" s="19"/>
      <c r="Q2537" s="19"/>
      <c r="R2537" s="19"/>
      <c r="S2537" s="19"/>
      <c r="T2537" s="19"/>
      <c r="U2537" s="19"/>
      <c r="V2537" s="19"/>
    </row>
    <row r="2538">
      <c r="A2538" s="25"/>
      <c r="B2538" s="19"/>
      <c r="C2538" s="19"/>
      <c r="D2538" s="19"/>
      <c r="E2538" s="19"/>
      <c r="F2538" s="17" t="str">
        <f>IFERROR(__xludf.DUMMYFUNCTION("""COMPUTED_VALUE"""),"")</f>
        <v/>
      </c>
      <c r="G2538" s="20"/>
      <c r="H2538" s="19"/>
      <c r="I2538" s="19"/>
      <c r="J2538" s="19"/>
      <c r="K2538" s="19"/>
      <c r="L2538" s="19"/>
      <c r="M2538" s="19"/>
      <c r="N2538" s="20" t="s">
        <v>39</v>
      </c>
      <c r="O2538" s="19"/>
      <c r="P2538" s="19"/>
      <c r="Q2538" s="19"/>
      <c r="R2538" s="19"/>
      <c r="S2538" s="19"/>
      <c r="T2538" s="19"/>
      <c r="U2538" s="19"/>
      <c r="V2538" s="19"/>
    </row>
    <row r="2539">
      <c r="A2539" s="25"/>
      <c r="B2539" s="19"/>
      <c r="C2539" s="19"/>
      <c r="D2539" s="19"/>
      <c r="E2539" s="19"/>
      <c r="F2539" s="17" t="str">
        <f>IFERROR(__xludf.DUMMYFUNCTION("""COMPUTED_VALUE"""),"")</f>
        <v/>
      </c>
      <c r="G2539" s="20"/>
      <c r="H2539" s="19"/>
      <c r="I2539" s="19"/>
      <c r="J2539" s="19"/>
      <c r="K2539" s="19"/>
      <c r="L2539" s="19"/>
      <c r="M2539" s="19"/>
      <c r="N2539" s="20" t="s">
        <v>39</v>
      </c>
      <c r="O2539" s="19"/>
      <c r="P2539" s="19"/>
      <c r="Q2539" s="19"/>
      <c r="R2539" s="19"/>
      <c r="S2539" s="19"/>
      <c r="T2539" s="19"/>
      <c r="U2539" s="19"/>
      <c r="V2539" s="19"/>
    </row>
    <row r="2540">
      <c r="A2540" s="25"/>
      <c r="B2540" s="19"/>
      <c r="C2540" s="19"/>
      <c r="D2540" s="19"/>
      <c r="E2540" s="19"/>
      <c r="F2540" s="17" t="str">
        <f>IFERROR(__xludf.DUMMYFUNCTION("""COMPUTED_VALUE"""),"")</f>
        <v/>
      </c>
      <c r="G2540" s="20"/>
      <c r="H2540" s="19"/>
      <c r="I2540" s="19"/>
      <c r="J2540" s="19"/>
      <c r="K2540" s="19"/>
      <c r="L2540" s="19"/>
      <c r="M2540" s="19"/>
      <c r="N2540" s="20" t="s">
        <v>39</v>
      </c>
      <c r="O2540" s="19"/>
      <c r="P2540" s="19"/>
      <c r="Q2540" s="19"/>
      <c r="R2540" s="19"/>
      <c r="S2540" s="19"/>
      <c r="T2540" s="19"/>
      <c r="U2540" s="19"/>
      <c r="V2540" s="19"/>
    </row>
    <row r="2541">
      <c r="A2541" s="25"/>
      <c r="B2541" s="19"/>
      <c r="C2541" s="19"/>
      <c r="D2541" s="19"/>
      <c r="E2541" s="19"/>
      <c r="F2541" s="17" t="str">
        <f>IFERROR(__xludf.DUMMYFUNCTION("""COMPUTED_VALUE"""),"")</f>
        <v/>
      </c>
      <c r="G2541" s="20"/>
      <c r="H2541" s="19"/>
      <c r="I2541" s="19"/>
      <c r="J2541" s="19"/>
      <c r="K2541" s="19"/>
      <c r="L2541" s="19"/>
      <c r="M2541" s="19"/>
      <c r="N2541" s="20" t="s">
        <v>39</v>
      </c>
      <c r="O2541" s="19"/>
      <c r="P2541" s="19"/>
      <c r="Q2541" s="19"/>
      <c r="R2541" s="19"/>
      <c r="S2541" s="19"/>
      <c r="T2541" s="19"/>
      <c r="U2541" s="19"/>
      <c r="V2541" s="19"/>
    </row>
    <row r="2542">
      <c r="A2542" s="25"/>
      <c r="B2542" s="19"/>
      <c r="C2542" s="19"/>
      <c r="D2542" s="19"/>
      <c r="E2542" s="19"/>
      <c r="F2542" s="17" t="str">
        <f>IFERROR(__xludf.DUMMYFUNCTION("""COMPUTED_VALUE"""),"")</f>
        <v/>
      </c>
      <c r="G2542" s="20"/>
      <c r="H2542" s="19"/>
      <c r="I2542" s="19"/>
      <c r="J2542" s="19"/>
      <c r="K2542" s="19"/>
      <c r="L2542" s="19"/>
      <c r="M2542" s="19"/>
      <c r="N2542" s="20" t="s">
        <v>39</v>
      </c>
      <c r="O2542" s="19"/>
      <c r="P2542" s="19"/>
      <c r="Q2542" s="19"/>
      <c r="R2542" s="19"/>
      <c r="S2542" s="19"/>
      <c r="T2542" s="19"/>
      <c r="U2542" s="19"/>
      <c r="V2542" s="19"/>
    </row>
    <row r="2543">
      <c r="A2543" s="25"/>
      <c r="B2543" s="19"/>
      <c r="C2543" s="19"/>
      <c r="D2543" s="19"/>
      <c r="E2543" s="19"/>
      <c r="F2543" s="17" t="str">
        <f>IFERROR(__xludf.DUMMYFUNCTION("""COMPUTED_VALUE"""),"")</f>
        <v/>
      </c>
      <c r="G2543" s="20"/>
      <c r="H2543" s="19"/>
      <c r="I2543" s="19"/>
      <c r="J2543" s="19"/>
      <c r="K2543" s="19"/>
      <c r="L2543" s="19"/>
      <c r="M2543" s="19"/>
      <c r="N2543" s="20" t="s">
        <v>39</v>
      </c>
      <c r="O2543" s="19"/>
      <c r="P2543" s="19"/>
      <c r="Q2543" s="19"/>
      <c r="R2543" s="19"/>
      <c r="S2543" s="19"/>
      <c r="T2543" s="19"/>
      <c r="U2543" s="19"/>
      <c r="V2543" s="19"/>
    </row>
    <row r="2544">
      <c r="A2544" s="25"/>
      <c r="B2544" s="19"/>
      <c r="C2544" s="19"/>
      <c r="D2544" s="19"/>
      <c r="E2544" s="19"/>
      <c r="F2544" s="17" t="str">
        <f>IFERROR(__xludf.DUMMYFUNCTION("""COMPUTED_VALUE"""),"")</f>
        <v/>
      </c>
      <c r="G2544" s="20"/>
      <c r="H2544" s="19"/>
      <c r="I2544" s="19"/>
      <c r="J2544" s="19"/>
      <c r="K2544" s="19"/>
      <c r="L2544" s="19"/>
      <c r="M2544" s="19"/>
      <c r="N2544" s="20" t="s">
        <v>39</v>
      </c>
      <c r="O2544" s="19"/>
      <c r="P2544" s="19"/>
      <c r="Q2544" s="19"/>
      <c r="R2544" s="19"/>
      <c r="S2544" s="19"/>
      <c r="T2544" s="19"/>
      <c r="U2544" s="19"/>
      <c r="V2544" s="19"/>
    </row>
    <row r="2545">
      <c r="A2545" s="25"/>
      <c r="B2545" s="19"/>
      <c r="C2545" s="19"/>
      <c r="D2545" s="19"/>
      <c r="E2545" s="19"/>
      <c r="F2545" s="17" t="str">
        <f>IFERROR(__xludf.DUMMYFUNCTION("""COMPUTED_VALUE"""),"")</f>
        <v/>
      </c>
      <c r="G2545" s="20"/>
      <c r="H2545" s="19"/>
      <c r="I2545" s="19"/>
      <c r="J2545" s="19"/>
      <c r="K2545" s="19"/>
      <c r="L2545" s="19"/>
      <c r="M2545" s="19"/>
      <c r="N2545" s="20" t="s">
        <v>39</v>
      </c>
      <c r="O2545" s="19"/>
      <c r="P2545" s="19"/>
      <c r="Q2545" s="19"/>
      <c r="R2545" s="19"/>
      <c r="S2545" s="19"/>
      <c r="T2545" s="19"/>
      <c r="U2545" s="19"/>
      <c r="V2545" s="19"/>
    </row>
    <row r="2546">
      <c r="A2546" s="25"/>
      <c r="B2546" s="19"/>
      <c r="C2546" s="19"/>
      <c r="D2546" s="19"/>
      <c r="E2546" s="19"/>
      <c r="F2546" s="17" t="str">
        <f>IFERROR(__xludf.DUMMYFUNCTION("""COMPUTED_VALUE"""),"")</f>
        <v/>
      </c>
      <c r="G2546" s="20"/>
      <c r="H2546" s="19"/>
      <c r="I2546" s="19"/>
      <c r="J2546" s="19"/>
      <c r="K2546" s="19"/>
      <c r="L2546" s="19"/>
      <c r="M2546" s="19"/>
      <c r="N2546" s="20" t="s">
        <v>39</v>
      </c>
      <c r="O2546" s="19"/>
      <c r="P2546" s="19"/>
      <c r="Q2546" s="19"/>
      <c r="R2546" s="19"/>
      <c r="S2546" s="19"/>
      <c r="T2546" s="19"/>
      <c r="U2546" s="19"/>
      <c r="V2546" s="19"/>
    </row>
    <row r="2547">
      <c r="A2547" s="25"/>
      <c r="B2547" s="19"/>
      <c r="C2547" s="19"/>
      <c r="D2547" s="19"/>
      <c r="E2547" s="19"/>
      <c r="F2547" s="17" t="str">
        <f>IFERROR(__xludf.DUMMYFUNCTION("""COMPUTED_VALUE"""),"")</f>
        <v/>
      </c>
      <c r="G2547" s="20"/>
      <c r="H2547" s="19"/>
      <c r="I2547" s="19"/>
      <c r="J2547" s="19"/>
      <c r="K2547" s="19"/>
      <c r="L2547" s="19"/>
      <c r="M2547" s="19"/>
      <c r="N2547" s="20" t="s">
        <v>39</v>
      </c>
      <c r="O2547" s="19"/>
      <c r="P2547" s="19"/>
      <c r="Q2547" s="19"/>
      <c r="R2547" s="19"/>
      <c r="S2547" s="19"/>
      <c r="T2547" s="19"/>
      <c r="U2547" s="19"/>
      <c r="V2547" s="19"/>
    </row>
    <row r="2548">
      <c r="A2548" s="25"/>
      <c r="B2548" s="19"/>
      <c r="C2548" s="19"/>
      <c r="D2548" s="19"/>
      <c r="E2548" s="19"/>
      <c r="F2548" s="17" t="str">
        <f>IFERROR(__xludf.DUMMYFUNCTION("""COMPUTED_VALUE"""),"")</f>
        <v/>
      </c>
      <c r="G2548" s="20"/>
      <c r="H2548" s="19"/>
      <c r="I2548" s="19"/>
      <c r="J2548" s="19"/>
      <c r="K2548" s="19"/>
      <c r="L2548" s="19"/>
      <c r="M2548" s="19"/>
      <c r="N2548" s="20" t="s">
        <v>39</v>
      </c>
      <c r="O2548" s="19"/>
      <c r="P2548" s="19"/>
      <c r="Q2548" s="19"/>
      <c r="R2548" s="19"/>
      <c r="S2548" s="19"/>
      <c r="T2548" s="19"/>
      <c r="U2548" s="19"/>
      <c r="V2548" s="19"/>
    </row>
    <row r="2549">
      <c r="A2549" s="25"/>
      <c r="B2549" s="19"/>
      <c r="C2549" s="19"/>
      <c r="D2549" s="19"/>
      <c r="E2549" s="19"/>
      <c r="F2549" s="17" t="str">
        <f>IFERROR(__xludf.DUMMYFUNCTION("""COMPUTED_VALUE"""),"")</f>
        <v/>
      </c>
      <c r="G2549" s="20"/>
      <c r="H2549" s="19"/>
      <c r="I2549" s="19"/>
      <c r="J2549" s="19"/>
      <c r="K2549" s="19"/>
      <c r="L2549" s="19"/>
      <c r="M2549" s="19"/>
      <c r="N2549" s="20" t="s">
        <v>39</v>
      </c>
      <c r="O2549" s="19"/>
      <c r="P2549" s="19"/>
      <c r="Q2549" s="19"/>
      <c r="R2549" s="19"/>
      <c r="S2549" s="19"/>
      <c r="T2549" s="19"/>
      <c r="U2549" s="19"/>
      <c r="V2549" s="19"/>
    </row>
    <row r="2550">
      <c r="A2550" s="25"/>
      <c r="B2550" s="19"/>
      <c r="C2550" s="19"/>
      <c r="D2550" s="19"/>
      <c r="E2550" s="19"/>
      <c r="F2550" s="17" t="str">
        <f>IFERROR(__xludf.DUMMYFUNCTION("""COMPUTED_VALUE"""),"")</f>
        <v/>
      </c>
      <c r="G2550" s="20"/>
      <c r="H2550" s="19"/>
      <c r="I2550" s="19"/>
      <c r="J2550" s="19"/>
      <c r="K2550" s="19"/>
      <c r="L2550" s="19"/>
      <c r="M2550" s="19"/>
      <c r="N2550" s="20" t="s">
        <v>39</v>
      </c>
      <c r="O2550" s="19"/>
      <c r="P2550" s="19"/>
      <c r="Q2550" s="19"/>
      <c r="R2550" s="19"/>
      <c r="S2550" s="19"/>
      <c r="T2550" s="19"/>
      <c r="U2550" s="19"/>
      <c r="V2550" s="19"/>
    </row>
    <row r="2551">
      <c r="A2551" s="25"/>
      <c r="B2551" s="19"/>
      <c r="C2551" s="19"/>
      <c r="D2551" s="19"/>
      <c r="E2551" s="19"/>
      <c r="F2551" s="17" t="str">
        <f>IFERROR(__xludf.DUMMYFUNCTION("""COMPUTED_VALUE"""),"")</f>
        <v/>
      </c>
      <c r="G2551" s="20"/>
      <c r="H2551" s="19"/>
      <c r="I2551" s="19"/>
      <c r="J2551" s="19"/>
      <c r="K2551" s="19"/>
      <c r="L2551" s="19"/>
      <c r="M2551" s="19"/>
      <c r="N2551" s="20" t="s">
        <v>39</v>
      </c>
      <c r="O2551" s="19"/>
      <c r="P2551" s="19"/>
      <c r="Q2551" s="19"/>
      <c r="R2551" s="19"/>
      <c r="S2551" s="19"/>
      <c r="T2551" s="19"/>
      <c r="U2551" s="19"/>
      <c r="V2551" s="19"/>
    </row>
    <row r="2552">
      <c r="A2552" s="25"/>
      <c r="B2552" s="19"/>
      <c r="C2552" s="19"/>
      <c r="D2552" s="19"/>
      <c r="E2552" s="19"/>
      <c r="F2552" s="17" t="str">
        <f>IFERROR(__xludf.DUMMYFUNCTION("""COMPUTED_VALUE"""),"")</f>
        <v/>
      </c>
      <c r="G2552" s="20"/>
      <c r="H2552" s="19"/>
      <c r="I2552" s="19"/>
      <c r="J2552" s="19"/>
      <c r="K2552" s="19"/>
      <c r="L2552" s="19"/>
      <c r="M2552" s="19"/>
      <c r="N2552" s="20" t="s">
        <v>39</v>
      </c>
      <c r="O2552" s="19"/>
      <c r="P2552" s="19"/>
      <c r="Q2552" s="19"/>
      <c r="R2552" s="19"/>
      <c r="S2552" s="19"/>
      <c r="T2552" s="19"/>
      <c r="U2552" s="19"/>
      <c r="V2552" s="19"/>
    </row>
    <row r="2553">
      <c r="A2553" s="25"/>
      <c r="B2553" s="19"/>
      <c r="C2553" s="19"/>
      <c r="D2553" s="19"/>
      <c r="E2553" s="19"/>
      <c r="F2553" s="17" t="str">
        <f>IFERROR(__xludf.DUMMYFUNCTION("""COMPUTED_VALUE"""),"")</f>
        <v/>
      </c>
      <c r="G2553" s="20"/>
      <c r="H2553" s="19"/>
      <c r="I2553" s="19"/>
      <c r="J2553" s="19"/>
      <c r="K2553" s="19"/>
      <c r="L2553" s="19"/>
      <c r="M2553" s="19"/>
      <c r="N2553" s="20" t="s">
        <v>39</v>
      </c>
      <c r="O2553" s="19"/>
      <c r="P2553" s="19"/>
      <c r="Q2553" s="19"/>
      <c r="R2553" s="19"/>
      <c r="S2553" s="19"/>
      <c r="T2553" s="19"/>
      <c r="U2553" s="19"/>
      <c r="V2553" s="19"/>
    </row>
    <row r="2554">
      <c r="A2554" s="25"/>
      <c r="B2554" s="19"/>
      <c r="C2554" s="19"/>
      <c r="D2554" s="19"/>
      <c r="E2554" s="19"/>
      <c r="F2554" s="17" t="str">
        <f>IFERROR(__xludf.DUMMYFUNCTION("""COMPUTED_VALUE"""),"")</f>
        <v/>
      </c>
      <c r="G2554" s="20"/>
      <c r="H2554" s="19"/>
      <c r="I2554" s="19"/>
      <c r="J2554" s="19"/>
      <c r="K2554" s="19"/>
      <c r="L2554" s="19"/>
      <c r="M2554" s="19"/>
      <c r="N2554" s="20" t="s">
        <v>39</v>
      </c>
      <c r="O2554" s="19"/>
      <c r="P2554" s="19"/>
      <c r="Q2554" s="19"/>
      <c r="R2554" s="19"/>
      <c r="S2554" s="19"/>
      <c r="T2554" s="19"/>
      <c r="U2554" s="19"/>
      <c r="V2554" s="19"/>
    </row>
    <row r="2555">
      <c r="A2555" s="25"/>
      <c r="B2555" s="19"/>
      <c r="C2555" s="19"/>
      <c r="D2555" s="19"/>
      <c r="E2555" s="19"/>
      <c r="F2555" s="17" t="str">
        <f>IFERROR(__xludf.DUMMYFUNCTION("""COMPUTED_VALUE"""),"")</f>
        <v/>
      </c>
      <c r="G2555" s="20"/>
      <c r="H2555" s="19"/>
      <c r="I2555" s="19"/>
      <c r="J2555" s="19"/>
      <c r="K2555" s="19"/>
      <c r="L2555" s="19"/>
      <c r="M2555" s="19"/>
      <c r="N2555" s="20" t="s">
        <v>39</v>
      </c>
      <c r="O2555" s="19"/>
      <c r="P2555" s="19"/>
      <c r="Q2555" s="19"/>
      <c r="R2555" s="19"/>
      <c r="S2555" s="19"/>
      <c r="T2555" s="19"/>
      <c r="U2555" s="19"/>
      <c r="V2555" s="19"/>
    </row>
    <row r="2556">
      <c r="A2556" s="25"/>
      <c r="B2556" s="19"/>
      <c r="C2556" s="19"/>
      <c r="D2556" s="19"/>
      <c r="E2556" s="19"/>
      <c r="F2556" s="17" t="str">
        <f>IFERROR(__xludf.DUMMYFUNCTION("""COMPUTED_VALUE"""),"")</f>
        <v/>
      </c>
      <c r="G2556" s="20"/>
      <c r="H2556" s="19"/>
      <c r="I2556" s="19"/>
      <c r="J2556" s="19"/>
      <c r="K2556" s="19"/>
      <c r="L2556" s="19"/>
      <c r="M2556" s="19"/>
      <c r="N2556" s="20" t="s">
        <v>39</v>
      </c>
      <c r="O2556" s="19"/>
      <c r="P2556" s="19"/>
      <c r="Q2556" s="19"/>
      <c r="R2556" s="19"/>
      <c r="S2556" s="19"/>
      <c r="T2556" s="19"/>
      <c r="U2556" s="19"/>
      <c r="V2556" s="19"/>
    </row>
    <row r="2557">
      <c r="A2557" s="25"/>
      <c r="B2557" s="19"/>
      <c r="C2557" s="19"/>
      <c r="D2557" s="19"/>
      <c r="E2557" s="19"/>
      <c r="F2557" s="17" t="str">
        <f>IFERROR(__xludf.DUMMYFUNCTION("""COMPUTED_VALUE"""),"")</f>
        <v/>
      </c>
      <c r="G2557" s="20"/>
      <c r="H2557" s="19"/>
      <c r="I2557" s="19"/>
      <c r="J2557" s="19"/>
      <c r="K2557" s="19"/>
      <c r="L2557" s="19"/>
      <c r="M2557" s="19"/>
      <c r="N2557" s="20" t="s">
        <v>39</v>
      </c>
      <c r="O2557" s="19"/>
      <c r="P2557" s="19"/>
      <c r="Q2557" s="19"/>
      <c r="R2557" s="19"/>
      <c r="S2557" s="19"/>
      <c r="T2557" s="19"/>
      <c r="U2557" s="19"/>
      <c r="V2557" s="19"/>
    </row>
    <row r="2558">
      <c r="A2558" s="25"/>
      <c r="B2558" s="19"/>
      <c r="C2558" s="19"/>
      <c r="D2558" s="19"/>
      <c r="E2558" s="19"/>
      <c r="F2558" s="17" t="str">
        <f>IFERROR(__xludf.DUMMYFUNCTION("""COMPUTED_VALUE"""),"")</f>
        <v/>
      </c>
      <c r="G2558" s="20"/>
      <c r="H2558" s="19"/>
      <c r="I2558" s="19"/>
      <c r="J2558" s="19"/>
      <c r="K2558" s="19"/>
      <c r="L2558" s="19"/>
      <c r="M2558" s="19"/>
      <c r="N2558" s="20" t="s">
        <v>39</v>
      </c>
      <c r="O2558" s="19"/>
      <c r="P2558" s="19"/>
      <c r="Q2558" s="19"/>
      <c r="R2558" s="19"/>
      <c r="S2558" s="19"/>
      <c r="T2558" s="19"/>
      <c r="U2558" s="19"/>
      <c r="V2558" s="19"/>
    </row>
    <row r="2559">
      <c r="A2559" s="25"/>
      <c r="B2559" s="19"/>
      <c r="C2559" s="19"/>
      <c r="D2559" s="19"/>
      <c r="E2559" s="19"/>
      <c r="F2559" s="17" t="str">
        <f>IFERROR(__xludf.DUMMYFUNCTION("""COMPUTED_VALUE"""),"")</f>
        <v/>
      </c>
      <c r="G2559" s="20"/>
      <c r="H2559" s="19"/>
      <c r="I2559" s="19"/>
      <c r="J2559" s="19"/>
      <c r="K2559" s="19"/>
      <c r="L2559" s="19"/>
      <c r="M2559" s="19"/>
      <c r="N2559" s="20" t="s">
        <v>39</v>
      </c>
      <c r="O2559" s="19"/>
      <c r="P2559" s="19"/>
      <c r="Q2559" s="19"/>
      <c r="R2559" s="19"/>
      <c r="S2559" s="19"/>
      <c r="T2559" s="19"/>
      <c r="U2559" s="19"/>
      <c r="V2559" s="19"/>
    </row>
    <row r="2560">
      <c r="A2560" s="25"/>
      <c r="B2560" s="19"/>
      <c r="C2560" s="19"/>
      <c r="D2560" s="19"/>
      <c r="E2560" s="19"/>
      <c r="F2560" s="17" t="str">
        <f>IFERROR(__xludf.DUMMYFUNCTION("""COMPUTED_VALUE"""),"")</f>
        <v/>
      </c>
      <c r="G2560" s="20"/>
      <c r="H2560" s="19"/>
      <c r="I2560" s="19"/>
      <c r="J2560" s="19"/>
      <c r="K2560" s="19"/>
      <c r="L2560" s="19"/>
      <c r="M2560" s="19"/>
      <c r="N2560" s="20" t="s">
        <v>39</v>
      </c>
      <c r="O2560" s="19"/>
      <c r="P2560" s="19"/>
      <c r="Q2560" s="19"/>
      <c r="R2560" s="19"/>
      <c r="S2560" s="19"/>
      <c r="T2560" s="19"/>
      <c r="U2560" s="19"/>
      <c r="V2560" s="19"/>
    </row>
    <row r="2561">
      <c r="A2561" s="25"/>
      <c r="B2561" s="19"/>
      <c r="C2561" s="19"/>
      <c r="D2561" s="19"/>
      <c r="E2561" s="19"/>
      <c r="F2561" s="17" t="str">
        <f>IFERROR(__xludf.DUMMYFUNCTION("""COMPUTED_VALUE"""),"")</f>
        <v/>
      </c>
      <c r="G2561" s="20"/>
      <c r="H2561" s="19"/>
      <c r="I2561" s="19"/>
      <c r="J2561" s="19"/>
      <c r="K2561" s="19"/>
      <c r="L2561" s="19"/>
      <c r="M2561" s="19"/>
      <c r="N2561" s="20" t="s">
        <v>39</v>
      </c>
      <c r="O2561" s="19"/>
      <c r="P2561" s="19"/>
      <c r="Q2561" s="19"/>
      <c r="R2561" s="19"/>
      <c r="S2561" s="19"/>
      <c r="T2561" s="19"/>
      <c r="U2561" s="19"/>
      <c r="V2561" s="19"/>
    </row>
    <row r="2562">
      <c r="A2562" s="25"/>
      <c r="B2562" s="19"/>
      <c r="C2562" s="19"/>
      <c r="D2562" s="19"/>
      <c r="E2562" s="19"/>
      <c r="F2562" s="17" t="str">
        <f>IFERROR(__xludf.DUMMYFUNCTION("""COMPUTED_VALUE"""),"")</f>
        <v/>
      </c>
      <c r="G2562" s="20"/>
      <c r="H2562" s="19"/>
      <c r="I2562" s="19"/>
      <c r="J2562" s="19"/>
      <c r="K2562" s="19"/>
      <c r="L2562" s="19"/>
      <c r="M2562" s="19"/>
      <c r="N2562" s="20" t="s">
        <v>39</v>
      </c>
      <c r="O2562" s="19"/>
      <c r="P2562" s="19"/>
      <c r="Q2562" s="19"/>
      <c r="R2562" s="19"/>
      <c r="S2562" s="19"/>
      <c r="T2562" s="19"/>
      <c r="U2562" s="19"/>
      <c r="V2562" s="19"/>
    </row>
    <row r="2563">
      <c r="A2563" s="25"/>
      <c r="B2563" s="19"/>
      <c r="C2563" s="19"/>
      <c r="D2563" s="19"/>
      <c r="E2563" s="19"/>
      <c r="F2563" s="17" t="str">
        <f>IFERROR(__xludf.DUMMYFUNCTION("""COMPUTED_VALUE"""),"")</f>
        <v/>
      </c>
      <c r="G2563" s="20"/>
      <c r="H2563" s="19"/>
      <c r="I2563" s="19"/>
      <c r="J2563" s="19"/>
      <c r="K2563" s="19"/>
      <c r="L2563" s="19"/>
      <c r="M2563" s="19"/>
      <c r="N2563" s="20" t="s">
        <v>39</v>
      </c>
      <c r="O2563" s="19"/>
      <c r="P2563" s="19"/>
      <c r="Q2563" s="19"/>
      <c r="R2563" s="19"/>
      <c r="S2563" s="19"/>
      <c r="T2563" s="19"/>
      <c r="U2563" s="19"/>
      <c r="V2563" s="19"/>
    </row>
    <row r="2564">
      <c r="A2564" s="25"/>
      <c r="B2564" s="19"/>
      <c r="C2564" s="19"/>
      <c r="D2564" s="19"/>
      <c r="E2564" s="19"/>
      <c r="F2564" s="17" t="str">
        <f>IFERROR(__xludf.DUMMYFUNCTION("""COMPUTED_VALUE"""),"")</f>
        <v/>
      </c>
      <c r="G2564" s="20"/>
      <c r="H2564" s="19"/>
      <c r="I2564" s="19"/>
      <c r="J2564" s="19"/>
      <c r="K2564" s="19"/>
      <c r="L2564" s="19"/>
      <c r="M2564" s="19"/>
      <c r="N2564" s="20" t="s">
        <v>39</v>
      </c>
      <c r="O2564" s="19"/>
      <c r="P2564" s="19"/>
      <c r="Q2564" s="19"/>
      <c r="R2564" s="19"/>
      <c r="S2564" s="19"/>
      <c r="T2564" s="19"/>
      <c r="U2564" s="19"/>
      <c r="V2564" s="19"/>
    </row>
    <row r="2565">
      <c r="A2565" s="25"/>
      <c r="B2565" s="19"/>
      <c r="C2565" s="19"/>
      <c r="D2565" s="19"/>
      <c r="E2565" s="19"/>
      <c r="F2565" s="17" t="str">
        <f>IFERROR(__xludf.DUMMYFUNCTION("""COMPUTED_VALUE"""),"")</f>
        <v/>
      </c>
      <c r="G2565" s="20"/>
      <c r="H2565" s="19"/>
      <c r="I2565" s="19"/>
      <c r="J2565" s="19"/>
      <c r="K2565" s="19"/>
      <c r="L2565" s="19"/>
      <c r="M2565" s="19"/>
      <c r="N2565" s="20" t="s">
        <v>39</v>
      </c>
      <c r="O2565" s="19"/>
      <c r="P2565" s="19"/>
      <c r="Q2565" s="19"/>
      <c r="R2565" s="19"/>
      <c r="S2565" s="19"/>
      <c r="T2565" s="19"/>
      <c r="U2565" s="19"/>
      <c r="V2565" s="19"/>
    </row>
    <row r="2566">
      <c r="A2566" s="25"/>
      <c r="B2566" s="19"/>
      <c r="C2566" s="19"/>
      <c r="D2566" s="19"/>
      <c r="E2566" s="19"/>
      <c r="F2566" s="17" t="str">
        <f>IFERROR(__xludf.DUMMYFUNCTION("""COMPUTED_VALUE"""),"")</f>
        <v/>
      </c>
      <c r="G2566" s="20"/>
      <c r="H2566" s="19"/>
      <c r="I2566" s="19"/>
      <c r="J2566" s="19"/>
      <c r="K2566" s="19"/>
      <c r="L2566" s="19"/>
      <c r="M2566" s="19"/>
      <c r="N2566" s="20" t="s">
        <v>39</v>
      </c>
      <c r="O2566" s="19"/>
      <c r="P2566" s="19"/>
      <c r="Q2566" s="19"/>
      <c r="R2566" s="19"/>
      <c r="S2566" s="19"/>
      <c r="T2566" s="19"/>
      <c r="U2566" s="19"/>
      <c r="V2566" s="19"/>
    </row>
    <row r="2567">
      <c r="A2567" s="25"/>
      <c r="B2567" s="19"/>
      <c r="C2567" s="19"/>
      <c r="D2567" s="19"/>
      <c r="E2567" s="19"/>
      <c r="F2567" s="17" t="str">
        <f>IFERROR(__xludf.DUMMYFUNCTION("""COMPUTED_VALUE"""),"")</f>
        <v/>
      </c>
      <c r="G2567" s="20"/>
      <c r="H2567" s="19"/>
      <c r="I2567" s="19"/>
      <c r="J2567" s="19"/>
      <c r="K2567" s="19"/>
      <c r="L2567" s="19"/>
      <c r="M2567" s="19"/>
      <c r="N2567" s="20" t="s">
        <v>39</v>
      </c>
      <c r="O2567" s="19"/>
      <c r="P2567" s="19"/>
      <c r="Q2567" s="19"/>
      <c r="R2567" s="19"/>
      <c r="S2567" s="19"/>
      <c r="T2567" s="19"/>
      <c r="U2567" s="19"/>
      <c r="V2567" s="19"/>
    </row>
    <row r="2568">
      <c r="A2568" s="25"/>
      <c r="B2568" s="19"/>
      <c r="C2568" s="19"/>
      <c r="D2568" s="19"/>
      <c r="E2568" s="19"/>
      <c r="F2568" s="17" t="str">
        <f>IFERROR(__xludf.DUMMYFUNCTION("""COMPUTED_VALUE"""),"")</f>
        <v/>
      </c>
      <c r="G2568" s="20"/>
      <c r="H2568" s="19"/>
      <c r="I2568" s="19"/>
      <c r="J2568" s="19"/>
      <c r="K2568" s="19"/>
      <c r="L2568" s="19"/>
      <c r="M2568" s="19"/>
      <c r="N2568" s="20" t="s">
        <v>39</v>
      </c>
      <c r="O2568" s="19"/>
      <c r="P2568" s="19"/>
      <c r="Q2568" s="19"/>
      <c r="R2568" s="19"/>
      <c r="S2568" s="19"/>
      <c r="T2568" s="19"/>
      <c r="U2568" s="19"/>
      <c r="V2568" s="19"/>
    </row>
    <row r="2569">
      <c r="A2569" s="25"/>
      <c r="B2569" s="19"/>
      <c r="C2569" s="19"/>
      <c r="D2569" s="19"/>
      <c r="E2569" s="19"/>
      <c r="F2569" s="17" t="str">
        <f>IFERROR(__xludf.DUMMYFUNCTION("""COMPUTED_VALUE"""),"")</f>
        <v/>
      </c>
      <c r="G2569" s="20"/>
      <c r="H2569" s="19"/>
      <c r="I2569" s="19"/>
      <c r="J2569" s="19"/>
      <c r="K2569" s="19"/>
      <c r="L2569" s="19"/>
      <c r="M2569" s="19"/>
      <c r="N2569" s="20" t="s">
        <v>39</v>
      </c>
      <c r="O2569" s="19"/>
      <c r="P2569" s="19"/>
      <c r="Q2569" s="19"/>
      <c r="R2569" s="19"/>
      <c r="S2569" s="19"/>
      <c r="T2569" s="19"/>
      <c r="U2569" s="19"/>
      <c r="V2569" s="19"/>
    </row>
    <row r="2570">
      <c r="A2570" s="25"/>
      <c r="B2570" s="19"/>
      <c r="C2570" s="19"/>
      <c r="D2570" s="19"/>
      <c r="E2570" s="19"/>
      <c r="F2570" s="17" t="str">
        <f>IFERROR(__xludf.DUMMYFUNCTION("""COMPUTED_VALUE"""),"")</f>
        <v/>
      </c>
      <c r="G2570" s="20"/>
      <c r="H2570" s="19"/>
      <c r="I2570" s="19"/>
      <c r="J2570" s="19"/>
      <c r="K2570" s="19"/>
      <c r="L2570" s="19"/>
      <c r="M2570" s="19"/>
      <c r="N2570" s="20" t="s">
        <v>39</v>
      </c>
      <c r="O2570" s="19"/>
      <c r="P2570" s="19"/>
      <c r="Q2570" s="19"/>
      <c r="R2570" s="19"/>
      <c r="S2570" s="19"/>
      <c r="T2570" s="19"/>
      <c r="U2570" s="19"/>
      <c r="V2570" s="19"/>
    </row>
    <row r="2571">
      <c r="A2571" s="25"/>
      <c r="B2571" s="19"/>
      <c r="C2571" s="19"/>
      <c r="D2571" s="19"/>
      <c r="E2571" s="19"/>
      <c r="F2571" s="17" t="str">
        <f>IFERROR(__xludf.DUMMYFUNCTION("""COMPUTED_VALUE"""),"")</f>
        <v/>
      </c>
      <c r="G2571" s="20"/>
      <c r="H2571" s="19"/>
      <c r="I2571" s="19"/>
      <c r="J2571" s="19"/>
      <c r="K2571" s="19"/>
      <c r="L2571" s="19"/>
      <c r="M2571" s="19"/>
      <c r="N2571" s="20" t="s">
        <v>39</v>
      </c>
      <c r="O2571" s="19"/>
      <c r="P2571" s="19"/>
      <c r="Q2571" s="19"/>
      <c r="R2571" s="19"/>
      <c r="S2571" s="19"/>
      <c r="T2571" s="19"/>
      <c r="U2571" s="19"/>
      <c r="V2571" s="19"/>
    </row>
    <row r="2572">
      <c r="A2572" s="25"/>
      <c r="B2572" s="19"/>
      <c r="C2572" s="19"/>
      <c r="D2572" s="19"/>
      <c r="E2572" s="19"/>
      <c r="F2572" s="17" t="str">
        <f>IFERROR(__xludf.DUMMYFUNCTION("""COMPUTED_VALUE"""),"")</f>
        <v/>
      </c>
      <c r="G2572" s="20"/>
      <c r="H2572" s="19"/>
      <c r="I2572" s="19"/>
      <c r="J2572" s="19"/>
      <c r="K2572" s="19"/>
      <c r="L2572" s="19"/>
      <c r="M2572" s="19"/>
      <c r="N2572" s="20" t="s">
        <v>39</v>
      </c>
      <c r="O2572" s="19"/>
      <c r="P2572" s="19"/>
      <c r="Q2572" s="19"/>
      <c r="R2572" s="19"/>
      <c r="S2572" s="19"/>
      <c r="T2572" s="19"/>
      <c r="U2572" s="19"/>
      <c r="V2572" s="19"/>
    </row>
    <row r="2573">
      <c r="A2573" s="25"/>
      <c r="B2573" s="19"/>
      <c r="C2573" s="19"/>
      <c r="D2573" s="19"/>
      <c r="E2573" s="19"/>
      <c r="F2573" s="17" t="str">
        <f>IFERROR(__xludf.DUMMYFUNCTION("""COMPUTED_VALUE"""),"")</f>
        <v/>
      </c>
      <c r="G2573" s="20"/>
      <c r="H2573" s="19"/>
      <c r="I2573" s="19"/>
      <c r="J2573" s="19"/>
      <c r="K2573" s="19"/>
      <c r="L2573" s="19"/>
      <c r="M2573" s="19"/>
      <c r="N2573" s="20" t="s">
        <v>39</v>
      </c>
      <c r="O2573" s="19"/>
      <c r="P2573" s="19"/>
      <c r="Q2573" s="19"/>
      <c r="R2573" s="19"/>
      <c r="S2573" s="19"/>
      <c r="T2573" s="19"/>
      <c r="U2573" s="19"/>
      <c r="V2573" s="19"/>
    </row>
    <row r="2574">
      <c r="A2574" s="25"/>
      <c r="B2574" s="19"/>
      <c r="C2574" s="19"/>
      <c r="D2574" s="19"/>
      <c r="E2574" s="19"/>
      <c r="F2574" s="17" t="str">
        <f>IFERROR(__xludf.DUMMYFUNCTION("""COMPUTED_VALUE"""),"")</f>
        <v/>
      </c>
      <c r="G2574" s="20"/>
      <c r="H2574" s="19"/>
      <c r="I2574" s="19"/>
      <c r="J2574" s="19"/>
      <c r="K2574" s="19"/>
      <c r="L2574" s="19"/>
      <c r="M2574" s="19"/>
      <c r="N2574" s="20" t="s">
        <v>39</v>
      </c>
      <c r="O2574" s="19"/>
      <c r="P2574" s="19"/>
      <c r="Q2574" s="19"/>
      <c r="R2574" s="19"/>
      <c r="S2574" s="19"/>
      <c r="T2574" s="19"/>
      <c r="U2574" s="19"/>
      <c r="V2574" s="19"/>
    </row>
    <row r="2575">
      <c r="A2575" s="25"/>
      <c r="B2575" s="19"/>
      <c r="C2575" s="19"/>
      <c r="D2575" s="19"/>
      <c r="E2575" s="19"/>
      <c r="F2575" s="17" t="str">
        <f>IFERROR(__xludf.DUMMYFUNCTION("""COMPUTED_VALUE"""),"")</f>
        <v/>
      </c>
      <c r="G2575" s="20"/>
      <c r="H2575" s="19"/>
      <c r="I2575" s="19"/>
      <c r="J2575" s="19"/>
      <c r="K2575" s="19"/>
      <c r="L2575" s="19"/>
      <c r="M2575" s="19"/>
      <c r="N2575" s="20" t="s">
        <v>39</v>
      </c>
      <c r="O2575" s="19"/>
      <c r="P2575" s="19"/>
      <c r="Q2575" s="19"/>
      <c r="R2575" s="19"/>
      <c r="S2575" s="19"/>
      <c r="T2575" s="19"/>
      <c r="U2575" s="19"/>
      <c r="V2575" s="19"/>
    </row>
    <row r="2576">
      <c r="A2576" s="25"/>
      <c r="B2576" s="19"/>
      <c r="C2576" s="19"/>
      <c r="D2576" s="19"/>
      <c r="E2576" s="19"/>
      <c r="F2576" s="17" t="str">
        <f>IFERROR(__xludf.DUMMYFUNCTION("""COMPUTED_VALUE"""),"")</f>
        <v/>
      </c>
      <c r="G2576" s="20"/>
      <c r="H2576" s="19"/>
      <c r="I2576" s="19"/>
      <c r="J2576" s="19"/>
      <c r="K2576" s="19"/>
      <c r="L2576" s="19"/>
      <c r="M2576" s="19"/>
      <c r="N2576" s="20" t="s">
        <v>39</v>
      </c>
      <c r="O2576" s="19"/>
      <c r="P2576" s="19"/>
      <c r="Q2576" s="19"/>
      <c r="R2576" s="19"/>
      <c r="S2576" s="19"/>
      <c r="T2576" s="19"/>
      <c r="U2576" s="19"/>
      <c r="V2576" s="19"/>
    </row>
    <row r="2577">
      <c r="A2577" s="25"/>
      <c r="B2577" s="19"/>
      <c r="C2577" s="19"/>
      <c r="D2577" s="19"/>
      <c r="E2577" s="19"/>
      <c r="F2577" s="17" t="str">
        <f>IFERROR(__xludf.DUMMYFUNCTION("""COMPUTED_VALUE"""),"")</f>
        <v/>
      </c>
      <c r="G2577" s="20"/>
      <c r="H2577" s="19"/>
      <c r="I2577" s="19"/>
      <c r="J2577" s="19"/>
      <c r="K2577" s="19"/>
      <c r="L2577" s="19"/>
      <c r="M2577" s="19"/>
      <c r="N2577" s="20" t="s">
        <v>39</v>
      </c>
      <c r="O2577" s="19"/>
      <c r="P2577" s="19"/>
      <c r="Q2577" s="19"/>
      <c r="R2577" s="19"/>
      <c r="S2577" s="19"/>
      <c r="T2577" s="19"/>
      <c r="U2577" s="19"/>
      <c r="V2577" s="19"/>
    </row>
    <row r="2578">
      <c r="A2578" s="25"/>
      <c r="B2578" s="19"/>
      <c r="C2578" s="19"/>
      <c r="D2578" s="19"/>
      <c r="E2578" s="19"/>
      <c r="F2578" s="17" t="str">
        <f>IFERROR(__xludf.DUMMYFUNCTION("""COMPUTED_VALUE"""),"")</f>
        <v/>
      </c>
      <c r="G2578" s="20"/>
      <c r="H2578" s="19"/>
      <c r="I2578" s="19"/>
      <c r="J2578" s="19"/>
      <c r="K2578" s="19"/>
      <c r="L2578" s="19"/>
      <c r="M2578" s="19"/>
      <c r="N2578" s="20" t="s">
        <v>39</v>
      </c>
      <c r="O2578" s="19"/>
      <c r="P2578" s="19"/>
      <c r="Q2578" s="19"/>
      <c r="R2578" s="19"/>
      <c r="S2578" s="19"/>
      <c r="T2578" s="19"/>
      <c r="U2578" s="19"/>
      <c r="V2578" s="19"/>
    </row>
    <row r="2579">
      <c r="A2579" s="25"/>
      <c r="B2579" s="19"/>
      <c r="C2579" s="19"/>
      <c r="D2579" s="19"/>
      <c r="E2579" s="19"/>
      <c r="F2579" s="17" t="str">
        <f>IFERROR(__xludf.DUMMYFUNCTION("""COMPUTED_VALUE"""),"")</f>
        <v/>
      </c>
      <c r="G2579" s="20"/>
      <c r="H2579" s="19"/>
      <c r="I2579" s="19"/>
      <c r="J2579" s="19"/>
      <c r="K2579" s="19"/>
      <c r="L2579" s="19"/>
      <c r="M2579" s="19"/>
      <c r="N2579" s="20" t="s">
        <v>39</v>
      </c>
      <c r="O2579" s="19"/>
      <c r="P2579" s="19"/>
      <c r="Q2579" s="19"/>
      <c r="R2579" s="19"/>
      <c r="S2579" s="19"/>
      <c r="T2579" s="19"/>
      <c r="U2579" s="19"/>
      <c r="V2579" s="19"/>
    </row>
    <row r="2580">
      <c r="A2580" s="25"/>
      <c r="B2580" s="19"/>
      <c r="C2580" s="19"/>
      <c r="D2580" s="19"/>
      <c r="E2580" s="19"/>
      <c r="F2580" s="17" t="str">
        <f>IFERROR(__xludf.DUMMYFUNCTION("""COMPUTED_VALUE"""),"")</f>
        <v/>
      </c>
      <c r="G2580" s="20"/>
      <c r="H2580" s="19"/>
      <c r="I2580" s="19"/>
      <c r="J2580" s="19"/>
      <c r="K2580" s="19"/>
      <c r="L2580" s="19"/>
      <c r="M2580" s="19"/>
      <c r="N2580" s="20" t="s">
        <v>39</v>
      </c>
      <c r="O2580" s="19"/>
      <c r="P2580" s="19"/>
      <c r="Q2580" s="19"/>
      <c r="R2580" s="19"/>
      <c r="S2580" s="19"/>
      <c r="T2580" s="19"/>
      <c r="U2580" s="19"/>
      <c r="V2580" s="19"/>
    </row>
    <row r="2581">
      <c r="A2581" s="25"/>
      <c r="B2581" s="19"/>
      <c r="C2581" s="19"/>
      <c r="D2581" s="19"/>
      <c r="E2581" s="19"/>
      <c r="F2581" s="17" t="str">
        <f>IFERROR(__xludf.DUMMYFUNCTION("""COMPUTED_VALUE"""),"")</f>
        <v/>
      </c>
      <c r="G2581" s="20"/>
      <c r="H2581" s="19"/>
      <c r="I2581" s="19"/>
      <c r="J2581" s="19"/>
      <c r="K2581" s="19"/>
      <c r="L2581" s="19"/>
      <c r="M2581" s="19"/>
      <c r="N2581" s="20" t="s">
        <v>39</v>
      </c>
      <c r="O2581" s="19"/>
      <c r="P2581" s="19"/>
      <c r="Q2581" s="19"/>
      <c r="R2581" s="19"/>
      <c r="S2581" s="19"/>
      <c r="T2581" s="19"/>
      <c r="U2581" s="19"/>
      <c r="V2581" s="19"/>
    </row>
    <row r="2582">
      <c r="A2582" s="25"/>
      <c r="B2582" s="19"/>
      <c r="C2582" s="19"/>
      <c r="D2582" s="19"/>
      <c r="E2582" s="19"/>
      <c r="F2582" s="17" t="str">
        <f>IFERROR(__xludf.DUMMYFUNCTION("""COMPUTED_VALUE"""),"")</f>
        <v/>
      </c>
      <c r="G2582" s="20"/>
      <c r="H2582" s="19"/>
      <c r="I2582" s="19"/>
      <c r="J2582" s="19"/>
      <c r="K2582" s="19"/>
      <c r="L2582" s="19"/>
      <c r="M2582" s="19"/>
      <c r="N2582" s="20" t="s">
        <v>39</v>
      </c>
      <c r="O2582" s="19"/>
      <c r="P2582" s="19"/>
      <c r="Q2582" s="19"/>
      <c r="R2582" s="19"/>
      <c r="S2582" s="19"/>
      <c r="T2582" s="19"/>
      <c r="U2582" s="19"/>
      <c r="V2582" s="19"/>
    </row>
    <row r="2583">
      <c r="A2583" s="25"/>
      <c r="B2583" s="19"/>
      <c r="C2583" s="19"/>
      <c r="D2583" s="19"/>
      <c r="E2583" s="19"/>
      <c r="F2583" s="17" t="str">
        <f>IFERROR(__xludf.DUMMYFUNCTION("""COMPUTED_VALUE"""),"")</f>
        <v/>
      </c>
      <c r="G2583" s="20"/>
      <c r="H2583" s="19"/>
      <c r="I2583" s="19"/>
      <c r="J2583" s="19"/>
      <c r="K2583" s="19"/>
      <c r="L2583" s="19"/>
      <c r="M2583" s="19"/>
      <c r="N2583" s="20" t="s">
        <v>39</v>
      </c>
      <c r="O2583" s="19"/>
      <c r="P2583" s="19"/>
      <c r="Q2583" s="19"/>
      <c r="R2583" s="19"/>
      <c r="S2583" s="19"/>
      <c r="T2583" s="19"/>
      <c r="U2583" s="19"/>
      <c r="V2583" s="19"/>
    </row>
    <row r="2584">
      <c r="A2584" s="25"/>
      <c r="B2584" s="19"/>
      <c r="C2584" s="19"/>
      <c r="D2584" s="19"/>
      <c r="E2584" s="19"/>
      <c r="F2584" s="17" t="str">
        <f>IFERROR(__xludf.DUMMYFUNCTION("""COMPUTED_VALUE"""),"")</f>
        <v/>
      </c>
      <c r="G2584" s="20"/>
      <c r="H2584" s="19"/>
      <c r="I2584" s="19"/>
      <c r="J2584" s="19"/>
      <c r="K2584" s="19"/>
      <c r="L2584" s="19"/>
      <c r="M2584" s="19"/>
      <c r="N2584" s="20" t="s">
        <v>39</v>
      </c>
      <c r="O2584" s="19"/>
      <c r="P2584" s="19"/>
      <c r="Q2584" s="19"/>
      <c r="R2584" s="19"/>
      <c r="S2584" s="19"/>
      <c r="T2584" s="19"/>
      <c r="U2584" s="19"/>
      <c r="V2584" s="19"/>
    </row>
    <row r="2585">
      <c r="A2585" s="25"/>
      <c r="B2585" s="19"/>
      <c r="C2585" s="19"/>
      <c r="D2585" s="19"/>
      <c r="E2585" s="19"/>
      <c r="F2585" s="17" t="str">
        <f>IFERROR(__xludf.DUMMYFUNCTION("""COMPUTED_VALUE"""),"")</f>
        <v/>
      </c>
      <c r="G2585" s="20"/>
      <c r="H2585" s="19"/>
      <c r="I2585" s="19"/>
      <c r="J2585" s="19"/>
      <c r="K2585" s="19"/>
      <c r="L2585" s="19"/>
      <c r="M2585" s="19"/>
      <c r="N2585" s="20" t="s">
        <v>39</v>
      </c>
      <c r="O2585" s="19"/>
      <c r="P2585" s="19"/>
      <c r="Q2585" s="19"/>
      <c r="R2585" s="19"/>
      <c r="S2585" s="19"/>
      <c r="T2585" s="19"/>
      <c r="U2585" s="19"/>
      <c r="V2585" s="19"/>
    </row>
    <row r="2586">
      <c r="A2586" s="25"/>
      <c r="B2586" s="19"/>
      <c r="C2586" s="19"/>
      <c r="D2586" s="19"/>
      <c r="E2586" s="19"/>
      <c r="F2586" s="17" t="str">
        <f>IFERROR(__xludf.DUMMYFUNCTION("""COMPUTED_VALUE"""),"")</f>
        <v/>
      </c>
      <c r="G2586" s="20"/>
      <c r="H2586" s="19"/>
      <c r="I2586" s="19"/>
      <c r="J2586" s="19"/>
      <c r="K2586" s="19"/>
      <c r="L2586" s="19"/>
      <c r="M2586" s="19"/>
      <c r="N2586" s="20" t="s">
        <v>39</v>
      </c>
      <c r="O2586" s="19"/>
      <c r="P2586" s="19"/>
      <c r="Q2586" s="19"/>
      <c r="R2586" s="19"/>
      <c r="S2586" s="19"/>
      <c r="T2586" s="19"/>
      <c r="U2586" s="19"/>
      <c r="V2586" s="19"/>
    </row>
    <row r="2587">
      <c r="A2587" s="25"/>
      <c r="B2587" s="19"/>
      <c r="C2587" s="19"/>
      <c r="D2587" s="19"/>
      <c r="E2587" s="19"/>
      <c r="F2587" s="17" t="str">
        <f>IFERROR(__xludf.DUMMYFUNCTION("""COMPUTED_VALUE"""),"")</f>
        <v/>
      </c>
      <c r="G2587" s="20"/>
      <c r="H2587" s="19"/>
      <c r="I2587" s="19"/>
      <c r="J2587" s="19"/>
      <c r="K2587" s="19"/>
      <c r="L2587" s="19"/>
      <c r="M2587" s="19"/>
      <c r="N2587" s="20" t="s">
        <v>39</v>
      </c>
      <c r="O2587" s="19"/>
      <c r="P2587" s="19"/>
      <c r="Q2587" s="19"/>
      <c r="R2587" s="19"/>
      <c r="S2587" s="19"/>
      <c r="T2587" s="19"/>
      <c r="U2587" s="19"/>
      <c r="V2587" s="19"/>
    </row>
    <row r="2588">
      <c r="A2588" s="25"/>
      <c r="B2588" s="19"/>
      <c r="C2588" s="19"/>
      <c r="D2588" s="19"/>
      <c r="E2588" s="19"/>
      <c r="F2588" s="17" t="str">
        <f>IFERROR(__xludf.DUMMYFUNCTION("""COMPUTED_VALUE"""),"")</f>
        <v/>
      </c>
      <c r="G2588" s="20"/>
      <c r="H2588" s="19"/>
      <c r="I2588" s="19"/>
      <c r="J2588" s="19"/>
      <c r="K2588" s="19"/>
      <c r="L2588" s="19"/>
      <c r="M2588" s="19"/>
      <c r="N2588" s="20" t="s">
        <v>39</v>
      </c>
      <c r="O2588" s="19"/>
      <c r="P2588" s="19"/>
      <c r="Q2588" s="19"/>
      <c r="R2588" s="19"/>
      <c r="S2588" s="19"/>
      <c r="T2588" s="19"/>
      <c r="U2588" s="19"/>
      <c r="V2588" s="19"/>
    </row>
    <row r="2589">
      <c r="A2589" s="25"/>
      <c r="B2589" s="19"/>
      <c r="C2589" s="19"/>
      <c r="D2589" s="19"/>
      <c r="E2589" s="19"/>
      <c r="F2589" s="17" t="str">
        <f>IFERROR(__xludf.DUMMYFUNCTION("""COMPUTED_VALUE"""),"")</f>
        <v/>
      </c>
      <c r="G2589" s="20"/>
      <c r="H2589" s="19"/>
      <c r="I2589" s="19"/>
      <c r="J2589" s="19"/>
      <c r="K2589" s="19"/>
      <c r="L2589" s="19"/>
      <c r="M2589" s="19"/>
      <c r="N2589" s="20" t="s">
        <v>39</v>
      </c>
      <c r="O2589" s="19"/>
      <c r="P2589" s="19"/>
      <c r="Q2589" s="19"/>
      <c r="R2589" s="19"/>
      <c r="S2589" s="19"/>
      <c r="T2589" s="19"/>
      <c r="U2589" s="19"/>
      <c r="V2589" s="19"/>
    </row>
    <row r="2590">
      <c r="A2590" s="25"/>
      <c r="B2590" s="19"/>
      <c r="C2590" s="19"/>
      <c r="D2590" s="19"/>
      <c r="E2590" s="19"/>
      <c r="F2590" s="17" t="str">
        <f>IFERROR(__xludf.DUMMYFUNCTION("""COMPUTED_VALUE"""),"")</f>
        <v/>
      </c>
      <c r="G2590" s="20"/>
      <c r="H2590" s="19"/>
      <c r="I2590" s="19"/>
      <c r="J2590" s="19"/>
      <c r="K2590" s="19"/>
      <c r="L2590" s="19"/>
      <c r="M2590" s="19"/>
      <c r="N2590" s="20" t="s">
        <v>39</v>
      </c>
      <c r="O2590" s="19"/>
      <c r="P2590" s="19"/>
      <c r="Q2590" s="19"/>
      <c r="R2590" s="19"/>
      <c r="S2590" s="19"/>
      <c r="T2590" s="19"/>
      <c r="U2590" s="19"/>
      <c r="V2590" s="19"/>
    </row>
    <row r="2591">
      <c r="A2591" s="25"/>
      <c r="B2591" s="19"/>
      <c r="C2591" s="19"/>
      <c r="D2591" s="19"/>
      <c r="E2591" s="19"/>
      <c r="F2591" s="17" t="str">
        <f>IFERROR(__xludf.DUMMYFUNCTION("""COMPUTED_VALUE"""),"")</f>
        <v/>
      </c>
      <c r="G2591" s="20"/>
      <c r="H2591" s="19"/>
      <c r="I2591" s="19"/>
      <c r="J2591" s="19"/>
      <c r="K2591" s="19"/>
      <c r="L2591" s="19"/>
      <c r="M2591" s="19"/>
      <c r="N2591" s="20" t="s">
        <v>39</v>
      </c>
      <c r="O2591" s="19"/>
      <c r="P2591" s="19"/>
      <c r="Q2591" s="19"/>
      <c r="R2591" s="19"/>
      <c r="S2591" s="19"/>
      <c r="T2591" s="19"/>
      <c r="U2591" s="19"/>
      <c r="V2591" s="19"/>
    </row>
    <row r="2592">
      <c r="A2592" s="25"/>
      <c r="B2592" s="19"/>
      <c r="C2592" s="19"/>
      <c r="D2592" s="19"/>
      <c r="E2592" s="19"/>
      <c r="F2592" s="17" t="str">
        <f>IFERROR(__xludf.DUMMYFUNCTION("""COMPUTED_VALUE"""),"")</f>
        <v/>
      </c>
      <c r="G2592" s="20"/>
      <c r="H2592" s="19"/>
      <c r="I2592" s="19"/>
      <c r="J2592" s="19"/>
      <c r="K2592" s="19"/>
      <c r="L2592" s="19"/>
      <c r="M2592" s="19"/>
      <c r="N2592" s="20" t="s">
        <v>39</v>
      </c>
      <c r="O2592" s="19"/>
      <c r="P2592" s="19"/>
      <c r="Q2592" s="19"/>
      <c r="R2592" s="19"/>
      <c r="S2592" s="19"/>
      <c r="T2592" s="19"/>
      <c r="U2592" s="19"/>
      <c r="V2592" s="19"/>
    </row>
    <row r="2593">
      <c r="A2593" s="25"/>
      <c r="B2593" s="19"/>
      <c r="C2593" s="19"/>
      <c r="D2593" s="19"/>
      <c r="E2593" s="19"/>
      <c r="F2593" s="17" t="str">
        <f>IFERROR(__xludf.DUMMYFUNCTION("""COMPUTED_VALUE"""),"")</f>
        <v/>
      </c>
      <c r="G2593" s="20"/>
      <c r="H2593" s="19"/>
      <c r="I2593" s="19"/>
      <c r="J2593" s="19"/>
      <c r="K2593" s="19"/>
      <c r="L2593" s="19"/>
      <c r="M2593" s="19"/>
      <c r="N2593" s="20" t="s">
        <v>39</v>
      </c>
      <c r="O2593" s="19"/>
      <c r="P2593" s="19"/>
      <c r="Q2593" s="19"/>
      <c r="R2593" s="19"/>
      <c r="S2593" s="19"/>
      <c r="T2593" s="19"/>
      <c r="U2593" s="19"/>
      <c r="V2593" s="19"/>
    </row>
    <row r="2594">
      <c r="A2594" s="25"/>
      <c r="B2594" s="19"/>
      <c r="C2594" s="19"/>
      <c r="D2594" s="19"/>
      <c r="E2594" s="19"/>
      <c r="F2594" s="17" t="str">
        <f>IFERROR(__xludf.DUMMYFUNCTION("""COMPUTED_VALUE"""),"")</f>
        <v/>
      </c>
      <c r="G2594" s="20"/>
      <c r="H2594" s="19"/>
      <c r="I2594" s="19"/>
      <c r="J2594" s="19"/>
      <c r="K2594" s="19"/>
      <c r="L2594" s="19"/>
      <c r="M2594" s="19"/>
      <c r="N2594" s="20" t="s">
        <v>39</v>
      </c>
      <c r="O2594" s="19"/>
      <c r="P2594" s="19"/>
      <c r="Q2594" s="19"/>
      <c r="R2594" s="19"/>
      <c r="S2594" s="19"/>
      <c r="T2594" s="19"/>
      <c r="U2594" s="19"/>
      <c r="V2594" s="19"/>
    </row>
    <row r="2595">
      <c r="A2595" s="25"/>
      <c r="B2595" s="19"/>
      <c r="C2595" s="19"/>
      <c r="D2595" s="19"/>
      <c r="E2595" s="19"/>
      <c r="F2595" s="17" t="str">
        <f>IFERROR(__xludf.DUMMYFUNCTION("""COMPUTED_VALUE"""),"")</f>
        <v/>
      </c>
      <c r="G2595" s="20"/>
      <c r="H2595" s="19"/>
      <c r="I2595" s="19"/>
      <c r="J2595" s="19"/>
      <c r="K2595" s="19"/>
      <c r="L2595" s="19"/>
      <c r="M2595" s="19"/>
      <c r="N2595" s="20" t="s">
        <v>39</v>
      </c>
      <c r="O2595" s="19"/>
      <c r="P2595" s="19"/>
      <c r="Q2595" s="19"/>
      <c r="R2595" s="19"/>
      <c r="S2595" s="19"/>
      <c r="T2595" s="19"/>
      <c r="U2595" s="19"/>
      <c r="V2595" s="19"/>
    </row>
    <row r="2596">
      <c r="A2596" s="25"/>
      <c r="B2596" s="19"/>
      <c r="C2596" s="19"/>
      <c r="D2596" s="19"/>
      <c r="E2596" s="19"/>
      <c r="F2596" s="17" t="str">
        <f>IFERROR(__xludf.DUMMYFUNCTION("""COMPUTED_VALUE"""),"")</f>
        <v/>
      </c>
      <c r="G2596" s="20"/>
      <c r="H2596" s="19"/>
      <c r="I2596" s="19"/>
      <c r="J2596" s="19"/>
      <c r="K2596" s="19"/>
      <c r="L2596" s="19"/>
      <c r="M2596" s="19"/>
      <c r="N2596" s="20" t="s">
        <v>39</v>
      </c>
      <c r="O2596" s="19"/>
      <c r="P2596" s="19"/>
      <c r="Q2596" s="19"/>
      <c r="R2596" s="19"/>
      <c r="S2596" s="19"/>
      <c r="T2596" s="19"/>
      <c r="U2596" s="19"/>
      <c r="V2596" s="19"/>
    </row>
    <row r="2597">
      <c r="A2597" s="25"/>
      <c r="B2597" s="19"/>
      <c r="C2597" s="19"/>
      <c r="D2597" s="19"/>
      <c r="E2597" s="19"/>
      <c r="F2597" s="17" t="str">
        <f>IFERROR(__xludf.DUMMYFUNCTION("""COMPUTED_VALUE"""),"")</f>
        <v/>
      </c>
      <c r="G2597" s="20"/>
      <c r="H2597" s="19"/>
      <c r="I2597" s="19"/>
      <c r="J2597" s="19"/>
      <c r="K2597" s="19"/>
      <c r="L2597" s="19"/>
      <c r="M2597" s="19"/>
      <c r="N2597" s="20" t="s">
        <v>39</v>
      </c>
      <c r="O2597" s="19"/>
      <c r="P2597" s="19"/>
      <c r="Q2597" s="19"/>
      <c r="R2597" s="19"/>
      <c r="S2597" s="19"/>
      <c r="T2597" s="19"/>
      <c r="U2597" s="19"/>
      <c r="V2597" s="19"/>
    </row>
    <row r="2598">
      <c r="A2598" s="25"/>
      <c r="B2598" s="19"/>
      <c r="C2598" s="19"/>
      <c r="D2598" s="19"/>
      <c r="E2598" s="19"/>
      <c r="F2598" s="17" t="str">
        <f>IFERROR(__xludf.DUMMYFUNCTION("""COMPUTED_VALUE"""),"")</f>
        <v/>
      </c>
      <c r="G2598" s="20"/>
      <c r="H2598" s="19"/>
      <c r="I2598" s="19"/>
      <c r="J2598" s="19"/>
      <c r="K2598" s="19"/>
      <c r="L2598" s="19"/>
      <c r="M2598" s="19"/>
      <c r="N2598" s="20" t="s">
        <v>39</v>
      </c>
      <c r="O2598" s="19"/>
      <c r="P2598" s="19"/>
      <c r="Q2598" s="19"/>
      <c r="R2598" s="19"/>
      <c r="S2598" s="19"/>
      <c r="T2598" s="19"/>
      <c r="U2598" s="19"/>
      <c r="V2598" s="19"/>
    </row>
    <row r="2599">
      <c r="A2599" s="25"/>
      <c r="B2599" s="19"/>
      <c r="C2599" s="19"/>
      <c r="D2599" s="19"/>
      <c r="E2599" s="19"/>
      <c r="F2599" s="17" t="str">
        <f>IFERROR(__xludf.DUMMYFUNCTION("""COMPUTED_VALUE"""),"")</f>
        <v/>
      </c>
      <c r="G2599" s="20"/>
      <c r="H2599" s="19"/>
      <c r="I2599" s="19"/>
      <c r="J2599" s="19"/>
      <c r="K2599" s="19"/>
      <c r="L2599" s="19"/>
      <c r="M2599" s="19"/>
      <c r="N2599" s="20" t="s">
        <v>39</v>
      </c>
      <c r="O2599" s="19"/>
      <c r="P2599" s="19"/>
      <c r="Q2599" s="19"/>
      <c r="R2599" s="19"/>
      <c r="S2599" s="19"/>
      <c r="T2599" s="19"/>
      <c r="U2599" s="19"/>
      <c r="V2599" s="19"/>
    </row>
    <row r="2600">
      <c r="A2600" s="25"/>
      <c r="B2600" s="19"/>
      <c r="C2600" s="19"/>
      <c r="D2600" s="19"/>
      <c r="E2600" s="19"/>
      <c r="F2600" s="17" t="str">
        <f>IFERROR(__xludf.DUMMYFUNCTION("""COMPUTED_VALUE"""),"")</f>
        <v/>
      </c>
      <c r="G2600" s="20"/>
      <c r="H2600" s="19"/>
      <c r="I2600" s="19"/>
      <c r="J2600" s="19"/>
      <c r="K2600" s="19"/>
      <c r="L2600" s="19"/>
      <c r="M2600" s="19"/>
      <c r="N2600" s="20" t="s">
        <v>39</v>
      </c>
      <c r="O2600" s="19"/>
      <c r="P2600" s="19"/>
      <c r="Q2600" s="19"/>
      <c r="R2600" s="19"/>
      <c r="S2600" s="19"/>
      <c r="T2600" s="19"/>
      <c r="U2600" s="19"/>
      <c r="V2600" s="19"/>
    </row>
    <row r="2601">
      <c r="A2601" s="25"/>
      <c r="B2601" s="19"/>
      <c r="C2601" s="19"/>
      <c r="D2601" s="19"/>
      <c r="E2601" s="19"/>
      <c r="F2601" s="17" t="str">
        <f>IFERROR(__xludf.DUMMYFUNCTION("""COMPUTED_VALUE"""),"")</f>
        <v/>
      </c>
      <c r="G2601" s="20"/>
      <c r="H2601" s="19"/>
      <c r="I2601" s="19"/>
      <c r="J2601" s="19"/>
      <c r="K2601" s="19"/>
      <c r="L2601" s="19"/>
      <c r="M2601" s="19"/>
      <c r="N2601" s="20" t="s">
        <v>39</v>
      </c>
      <c r="O2601" s="19"/>
      <c r="P2601" s="19"/>
      <c r="Q2601" s="19"/>
      <c r="R2601" s="19"/>
      <c r="S2601" s="19"/>
      <c r="T2601" s="19"/>
      <c r="U2601" s="19"/>
      <c r="V2601" s="19"/>
    </row>
    <row r="2602">
      <c r="A2602" s="25"/>
      <c r="B2602" s="19"/>
      <c r="C2602" s="19"/>
      <c r="D2602" s="19"/>
      <c r="E2602" s="19"/>
      <c r="F2602" s="17" t="str">
        <f>IFERROR(__xludf.DUMMYFUNCTION("""COMPUTED_VALUE"""),"")</f>
        <v/>
      </c>
      <c r="G2602" s="20"/>
      <c r="H2602" s="19"/>
      <c r="I2602" s="19"/>
      <c r="J2602" s="19"/>
      <c r="K2602" s="19"/>
      <c r="L2602" s="19"/>
      <c r="M2602" s="19"/>
      <c r="N2602" s="20" t="s">
        <v>39</v>
      </c>
      <c r="O2602" s="19"/>
      <c r="P2602" s="19"/>
      <c r="Q2602" s="19"/>
      <c r="R2602" s="19"/>
      <c r="S2602" s="19"/>
      <c r="T2602" s="19"/>
      <c r="U2602" s="19"/>
      <c r="V2602" s="19"/>
    </row>
    <row r="2603">
      <c r="A2603" s="25"/>
      <c r="B2603" s="19"/>
      <c r="C2603" s="19"/>
      <c r="D2603" s="19"/>
      <c r="E2603" s="19"/>
      <c r="F2603" s="17" t="str">
        <f>IFERROR(__xludf.DUMMYFUNCTION("""COMPUTED_VALUE"""),"")</f>
        <v/>
      </c>
      <c r="G2603" s="20"/>
      <c r="H2603" s="19"/>
      <c r="I2603" s="19"/>
      <c r="J2603" s="19"/>
      <c r="K2603" s="19"/>
      <c r="L2603" s="19"/>
      <c r="M2603" s="19"/>
      <c r="N2603" s="20" t="s">
        <v>39</v>
      </c>
      <c r="O2603" s="19"/>
      <c r="P2603" s="19"/>
      <c r="Q2603" s="19"/>
      <c r="R2603" s="19"/>
      <c r="S2603" s="19"/>
      <c r="T2603" s="19"/>
      <c r="U2603" s="19"/>
      <c r="V2603" s="19"/>
    </row>
    <row r="2604">
      <c r="A2604" s="25"/>
      <c r="B2604" s="19"/>
      <c r="C2604" s="19"/>
      <c r="D2604" s="19"/>
      <c r="E2604" s="19"/>
      <c r="F2604" s="17" t="str">
        <f>IFERROR(__xludf.DUMMYFUNCTION("""COMPUTED_VALUE"""),"")</f>
        <v/>
      </c>
      <c r="G2604" s="20"/>
      <c r="H2604" s="19"/>
      <c r="I2604" s="19"/>
      <c r="J2604" s="19"/>
      <c r="K2604" s="19"/>
      <c r="L2604" s="19"/>
      <c r="M2604" s="19"/>
      <c r="N2604" s="20" t="s">
        <v>39</v>
      </c>
      <c r="O2604" s="19"/>
      <c r="P2604" s="19"/>
      <c r="Q2604" s="19"/>
      <c r="R2604" s="19"/>
      <c r="S2604" s="19"/>
      <c r="T2604" s="19"/>
      <c r="U2604" s="19"/>
      <c r="V2604" s="19"/>
    </row>
    <row r="2605">
      <c r="A2605" s="25"/>
      <c r="B2605" s="19"/>
      <c r="C2605" s="19"/>
      <c r="D2605" s="19"/>
      <c r="E2605" s="19"/>
      <c r="F2605" s="17" t="str">
        <f>IFERROR(__xludf.DUMMYFUNCTION("""COMPUTED_VALUE"""),"")</f>
        <v/>
      </c>
      <c r="G2605" s="20"/>
      <c r="H2605" s="19"/>
      <c r="I2605" s="19"/>
      <c r="J2605" s="19"/>
      <c r="K2605" s="19"/>
      <c r="L2605" s="19"/>
      <c r="M2605" s="19"/>
      <c r="N2605" s="20" t="s">
        <v>39</v>
      </c>
      <c r="O2605" s="19"/>
      <c r="P2605" s="19"/>
      <c r="Q2605" s="19"/>
      <c r="R2605" s="19"/>
      <c r="S2605" s="19"/>
      <c r="T2605" s="19"/>
      <c r="U2605" s="19"/>
      <c r="V2605" s="19"/>
    </row>
    <row r="2606">
      <c r="A2606" s="25"/>
      <c r="B2606" s="19"/>
      <c r="C2606" s="19"/>
      <c r="D2606" s="19"/>
      <c r="E2606" s="19"/>
      <c r="F2606" s="17" t="str">
        <f>IFERROR(__xludf.DUMMYFUNCTION("""COMPUTED_VALUE"""),"")</f>
        <v/>
      </c>
      <c r="G2606" s="20"/>
      <c r="H2606" s="19"/>
      <c r="I2606" s="19"/>
      <c r="J2606" s="19"/>
      <c r="K2606" s="19"/>
      <c r="L2606" s="19"/>
      <c r="M2606" s="19"/>
      <c r="N2606" s="20" t="s">
        <v>39</v>
      </c>
      <c r="O2606" s="19"/>
      <c r="P2606" s="19"/>
      <c r="Q2606" s="19"/>
      <c r="R2606" s="19"/>
      <c r="S2606" s="19"/>
      <c r="T2606" s="19"/>
      <c r="U2606" s="19"/>
      <c r="V2606" s="19"/>
    </row>
    <row r="2607">
      <c r="A2607" s="25"/>
      <c r="B2607" s="19"/>
      <c r="C2607" s="19"/>
      <c r="D2607" s="19"/>
      <c r="E2607" s="19"/>
      <c r="F2607" s="17" t="str">
        <f>IFERROR(__xludf.DUMMYFUNCTION("""COMPUTED_VALUE"""),"")</f>
        <v/>
      </c>
      <c r="G2607" s="20"/>
      <c r="H2607" s="19"/>
      <c r="I2607" s="19"/>
      <c r="J2607" s="19"/>
      <c r="K2607" s="19"/>
      <c r="L2607" s="19"/>
      <c r="M2607" s="19"/>
      <c r="N2607" s="20" t="s">
        <v>39</v>
      </c>
      <c r="O2607" s="19"/>
      <c r="P2607" s="19"/>
      <c r="Q2607" s="19"/>
      <c r="R2607" s="19"/>
      <c r="S2607" s="19"/>
      <c r="T2607" s="19"/>
      <c r="U2607" s="19"/>
      <c r="V2607" s="19"/>
    </row>
    <row r="2608">
      <c r="A2608" s="25"/>
      <c r="B2608" s="19"/>
      <c r="C2608" s="19"/>
      <c r="D2608" s="19"/>
      <c r="E2608" s="19"/>
      <c r="F2608" s="17" t="str">
        <f>IFERROR(__xludf.DUMMYFUNCTION("""COMPUTED_VALUE"""),"")</f>
        <v/>
      </c>
      <c r="G2608" s="20"/>
      <c r="H2608" s="19"/>
      <c r="I2608" s="19"/>
      <c r="J2608" s="19"/>
      <c r="K2608" s="19"/>
      <c r="L2608" s="19"/>
      <c r="M2608" s="19"/>
      <c r="N2608" s="20" t="s">
        <v>39</v>
      </c>
      <c r="O2608" s="19"/>
      <c r="P2608" s="19"/>
      <c r="Q2608" s="19"/>
      <c r="R2608" s="19"/>
      <c r="S2608" s="19"/>
      <c r="T2608" s="19"/>
      <c r="U2608" s="19"/>
      <c r="V2608" s="19"/>
    </row>
    <row r="2609">
      <c r="A2609" s="25"/>
      <c r="B2609" s="19"/>
      <c r="C2609" s="19"/>
      <c r="D2609" s="19"/>
      <c r="E2609" s="19"/>
      <c r="F2609" s="17" t="str">
        <f>IFERROR(__xludf.DUMMYFUNCTION("""COMPUTED_VALUE"""),"")</f>
        <v/>
      </c>
      <c r="G2609" s="20"/>
      <c r="H2609" s="19"/>
      <c r="I2609" s="19"/>
      <c r="J2609" s="19"/>
      <c r="K2609" s="19"/>
      <c r="L2609" s="19"/>
      <c r="M2609" s="19"/>
      <c r="N2609" s="20" t="s">
        <v>39</v>
      </c>
      <c r="O2609" s="19"/>
      <c r="P2609" s="19"/>
      <c r="Q2609" s="19"/>
      <c r="R2609" s="19"/>
      <c r="S2609" s="19"/>
      <c r="T2609" s="19"/>
      <c r="U2609" s="19"/>
      <c r="V2609" s="19"/>
    </row>
    <row r="2610">
      <c r="A2610" s="25"/>
      <c r="B2610" s="19"/>
      <c r="C2610" s="19"/>
      <c r="D2610" s="19"/>
      <c r="E2610" s="19"/>
      <c r="F2610" s="17" t="str">
        <f>IFERROR(__xludf.DUMMYFUNCTION("""COMPUTED_VALUE"""),"")</f>
        <v/>
      </c>
      <c r="G2610" s="20"/>
      <c r="H2610" s="19"/>
      <c r="I2610" s="19"/>
      <c r="J2610" s="19"/>
      <c r="K2610" s="19"/>
      <c r="L2610" s="19"/>
      <c r="M2610" s="19"/>
      <c r="N2610" s="20" t="s">
        <v>39</v>
      </c>
      <c r="O2610" s="19"/>
      <c r="P2610" s="19"/>
      <c r="Q2610" s="19"/>
      <c r="R2610" s="19"/>
      <c r="S2610" s="19"/>
      <c r="T2610" s="19"/>
      <c r="U2610" s="19"/>
      <c r="V2610" s="19"/>
    </row>
    <row r="2611">
      <c r="A2611" s="25"/>
      <c r="B2611" s="19"/>
      <c r="C2611" s="19"/>
      <c r="D2611" s="19"/>
      <c r="E2611" s="19"/>
      <c r="F2611" s="17" t="str">
        <f>IFERROR(__xludf.DUMMYFUNCTION("""COMPUTED_VALUE"""),"")</f>
        <v/>
      </c>
      <c r="G2611" s="20"/>
      <c r="H2611" s="19"/>
      <c r="I2611" s="19"/>
      <c r="J2611" s="19"/>
      <c r="K2611" s="19"/>
      <c r="L2611" s="19"/>
      <c r="M2611" s="19"/>
      <c r="N2611" s="20" t="s">
        <v>39</v>
      </c>
      <c r="O2611" s="19"/>
      <c r="P2611" s="19"/>
      <c r="Q2611" s="19"/>
      <c r="R2611" s="19"/>
      <c r="S2611" s="19"/>
      <c r="T2611" s="19"/>
      <c r="U2611" s="19"/>
      <c r="V2611" s="19"/>
    </row>
    <row r="2612">
      <c r="A2612" s="25"/>
      <c r="B2612" s="19"/>
      <c r="C2612" s="19"/>
      <c r="D2612" s="19"/>
      <c r="E2612" s="19"/>
      <c r="F2612" s="17" t="str">
        <f>IFERROR(__xludf.DUMMYFUNCTION("""COMPUTED_VALUE"""),"")</f>
        <v/>
      </c>
      <c r="G2612" s="20"/>
      <c r="H2612" s="19"/>
      <c r="I2612" s="19"/>
      <c r="J2612" s="19"/>
      <c r="K2612" s="19"/>
      <c r="L2612" s="19"/>
      <c r="M2612" s="19"/>
      <c r="N2612" s="20" t="s">
        <v>39</v>
      </c>
      <c r="O2612" s="19"/>
      <c r="P2612" s="19"/>
      <c r="Q2612" s="19"/>
      <c r="R2612" s="19"/>
      <c r="S2612" s="19"/>
      <c r="T2612" s="19"/>
      <c r="U2612" s="19"/>
      <c r="V2612" s="19"/>
    </row>
    <row r="2613">
      <c r="A2613" s="25"/>
      <c r="B2613" s="19"/>
      <c r="C2613" s="19"/>
      <c r="D2613" s="19"/>
      <c r="E2613" s="19"/>
      <c r="F2613" s="17" t="str">
        <f>IFERROR(__xludf.DUMMYFUNCTION("""COMPUTED_VALUE"""),"")</f>
        <v/>
      </c>
      <c r="G2613" s="20"/>
      <c r="H2613" s="19"/>
      <c r="I2613" s="19"/>
      <c r="J2613" s="19"/>
      <c r="K2613" s="19"/>
      <c r="L2613" s="19"/>
      <c r="M2613" s="19"/>
      <c r="N2613" s="20" t="s">
        <v>39</v>
      </c>
      <c r="O2613" s="19"/>
      <c r="P2613" s="19"/>
      <c r="Q2613" s="19"/>
      <c r="R2613" s="19"/>
      <c r="S2613" s="19"/>
      <c r="T2613" s="19"/>
      <c r="U2613" s="19"/>
      <c r="V2613" s="19"/>
    </row>
    <row r="2614">
      <c r="A2614" s="25"/>
      <c r="B2614" s="19"/>
      <c r="C2614" s="19"/>
      <c r="D2614" s="19"/>
      <c r="E2614" s="19"/>
      <c r="F2614" s="17" t="str">
        <f>IFERROR(__xludf.DUMMYFUNCTION("""COMPUTED_VALUE"""),"")</f>
        <v/>
      </c>
      <c r="G2614" s="20"/>
      <c r="H2614" s="19"/>
      <c r="I2614" s="19"/>
      <c r="J2614" s="19"/>
      <c r="K2614" s="19"/>
      <c r="L2614" s="19"/>
      <c r="M2614" s="19"/>
      <c r="N2614" s="20" t="s">
        <v>39</v>
      </c>
      <c r="O2614" s="19"/>
      <c r="P2614" s="19"/>
      <c r="Q2614" s="19"/>
      <c r="R2614" s="19"/>
      <c r="S2614" s="19"/>
      <c r="T2614" s="19"/>
      <c r="U2614" s="19"/>
      <c r="V2614" s="19"/>
    </row>
    <row r="2615">
      <c r="A2615" s="25"/>
      <c r="B2615" s="19"/>
      <c r="C2615" s="19"/>
      <c r="D2615" s="19"/>
      <c r="E2615" s="19"/>
      <c r="F2615" s="17" t="str">
        <f>IFERROR(__xludf.DUMMYFUNCTION("""COMPUTED_VALUE"""),"")</f>
        <v/>
      </c>
      <c r="G2615" s="20"/>
      <c r="H2615" s="19"/>
      <c r="I2615" s="19"/>
      <c r="J2615" s="19"/>
      <c r="K2615" s="19"/>
      <c r="L2615" s="19"/>
      <c r="M2615" s="19"/>
      <c r="N2615" s="20" t="s">
        <v>39</v>
      </c>
      <c r="O2615" s="19"/>
      <c r="P2615" s="19"/>
      <c r="Q2615" s="19"/>
      <c r="R2615" s="19"/>
      <c r="S2615" s="19"/>
      <c r="T2615" s="19"/>
      <c r="U2615" s="19"/>
      <c r="V2615" s="19"/>
    </row>
    <row r="2616">
      <c r="A2616" s="25"/>
      <c r="B2616" s="19"/>
      <c r="C2616" s="19"/>
      <c r="D2616" s="19"/>
      <c r="E2616" s="19"/>
      <c r="F2616" s="17" t="str">
        <f>IFERROR(__xludf.DUMMYFUNCTION("""COMPUTED_VALUE"""),"")</f>
        <v/>
      </c>
      <c r="G2616" s="20"/>
      <c r="H2616" s="19"/>
      <c r="I2616" s="19"/>
      <c r="J2616" s="19"/>
      <c r="K2616" s="19"/>
      <c r="L2616" s="19"/>
      <c r="M2616" s="19"/>
      <c r="N2616" s="20" t="s">
        <v>39</v>
      </c>
      <c r="O2616" s="19"/>
      <c r="P2616" s="19"/>
      <c r="Q2616" s="19"/>
      <c r="R2616" s="19"/>
      <c r="S2616" s="19"/>
      <c r="T2616" s="19"/>
      <c r="U2616" s="19"/>
      <c r="V2616" s="19"/>
    </row>
    <row r="2617">
      <c r="A2617" s="25"/>
      <c r="B2617" s="19"/>
      <c r="C2617" s="19"/>
      <c r="D2617" s="19"/>
      <c r="E2617" s="19"/>
      <c r="F2617" s="17" t="str">
        <f>IFERROR(__xludf.DUMMYFUNCTION("""COMPUTED_VALUE"""),"")</f>
        <v/>
      </c>
      <c r="G2617" s="20"/>
      <c r="H2617" s="19"/>
      <c r="I2617" s="19"/>
      <c r="J2617" s="19"/>
      <c r="K2617" s="19"/>
      <c r="L2617" s="19"/>
      <c r="M2617" s="19"/>
      <c r="N2617" s="20" t="s">
        <v>39</v>
      </c>
      <c r="O2617" s="19"/>
      <c r="P2617" s="19"/>
      <c r="Q2617" s="19"/>
      <c r="R2617" s="19"/>
      <c r="S2617" s="19"/>
      <c r="T2617" s="19"/>
      <c r="U2617" s="19"/>
      <c r="V2617" s="19"/>
    </row>
    <row r="2618">
      <c r="A2618" s="25"/>
      <c r="B2618" s="19"/>
      <c r="C2618" s="19"/>
      <c r="D2618" s="19"/>
      <c r="E2618" s="19"/>
      <c r="F2618" s="17" t="str">
        <f>IFERROR(__xludf.DUMMYFUNCTION("""COMPUTED_VALUE"""),"")</f>
        <v/>
      </c>
      <c r="G2618" s="20"/>
      <c r="H2618" s="19"/>
      <c r="I2618" s="19"/>
      <c r="J2618" s="19"/>
      <c r="K2618" s="19"/>
      <c r="L2618" s="19"/>
      <c r="M2618" s="19"/>
      <c r="N2618" s="20" t="s">
        <v>39</v>
      </c>
      <c r="O2618" s="19"/>
      <c r="P2618" s="19"/>
      <c r="Q2618" s="19"/>
      <c r="R2618" s="19"/>
      <c r="S2618" s="19"/>
      <c r="T2618" s="19"/>
      <c r="U2618" s="19"/>
      <c r="V2618" s="19"/>
    </row>
    <row r="2619">
      <c r="A2619" s="25"/>
      <c r="B2619" s="19"/>
      <c r="C2619" s="19"/>
      <c r="D2619" s="19"/>
      <c r="E2619" s="19"/>
      <c r="F2619" s="17" t="str">
        <f>IFERROR(__xludf.DUMMYFUNCTION("""COMPUTED_VALUE"""),"")</f>
        <v/>
      </c>
      <c r="G2619" s="20"/>
      <c r="H2619" s="19"/>
      <c r="I2619" s="19"/>
      <c r="J2619" s="19"/>
      <c r="K2619" s="19"/>
      <c r="L2619" s="19"/>
      <c r="M2619" s="19"/>
      <c r="N2619" s="20" t="s">
        <v>39</v>
      </c>
      <c r="O2619" s="19"/>
      <c r="P2619" s="19"/>
      <c r="Q2619" s="19"/>
      <c r="R2619" s="19"/>
      <c r="S2619" s="19"/>
      <c r="T2619" s="19"/>
      <c r="U2619" s="19"/>
      <c r="V2619" s="19"/>
    </row>
    <row r="2620">
      <c r="A2620" s="25"/>
      <c r="B2620" s="19"/>
      <c r="C2620" s="19"/>
      <c r="D2620" s="19"/>
      <c r="E2620" s="19"/>
      <c r="F2620" s="17" t="str">
        <f>IFERROR(__xludf.DUMMYFUNCTION("""COMPUTED_VALUE"""),"")</f>
        <v/>
      </c>
      <c r="G2620" s="20"/>
      <c r="H2620" s="19"/>
      <c r="I2620" s="19"/>
      <c r="J2620" s="19"/>
      <c r="K2620" s="19"/>
      <c r="L2620" s="19"/>
      <c r="M2620" s="19"/>
      <c r="N2620" s="20" t="s">
        <v>39</v>
      </c>
      <c r="O2620" s="19"/>
      <c r="P2620" s="19"/>
      <c r="Q2620" s="19"/>
      <c r="R2620" s="19"/>
      <c r="S2620" s="19"/>
      <c r="T2620" s="19"/>
      <c r="U2620" s="19"/>
      <c r="V2620" s="19"/>
    </row>
    <row r="2621">
      <c r="A2621" s="25"/>
      <c r="B2621" s="19"/>
      <c r="C2621" s="19"/>
      <c r="D2621" s="19"/>
      <c r="E2621" s="19"/>
      <c r="F2621" s="17" t="str">
        <f>IFERROR(__xludf.DUMMYFUNCTION("""COMPUTED_VALUE"""),"")</f>
        <v/>
      </c>
      <c r="G2621" s="20"/>
      <c r="H2621" s="19"/>
      <c r="I2621" s="19"/>
      <c r="J2621" s="19"/>
      <c r="K2621" s="19"/>
      <c r="L2621" s="19"/>
      <c r="M2621" s="19"/>
      <c r="N2621" s="20" t="s">
        <v>39</v>
      </c>
      <c r="O2621" s="19"/>
      <c r="P2621" s="19"/>
      <c r="Q2621" s="19"/>
      <c r="R2621" s="19"/>
      <c r="S2621" s="19"/>
      <c r="T2621" s="19"/>
      <c r="U2621" s="19"/>
      <c r="V2621" s="19"/>
    </row>
    <row r="2622">
      <c r="A2622" s="25"/>
      <c r="B2622" s="19"/>
      <c r="C2622" s="19"/>
      <c r="D2622" s="19"/>
      <c r="E2622" s="19"/>
      <c r="F2622" s="17" t="str">
        <f>IFERROR(__xludf.DUMMYFUNCTION("""COMPUTED_VALUE"""),"")</f>
        <v/>
      </c>
      <c r="G2622" s="20"/>
      <c r="H2622" s="19"/>
      <c r="I2622" s="19"/>
      <c r="J2622" s="19"/>
      <c r="K2622" s="19"/>
      <c r="L2622" s="19"/>
      <c r="M2622" s="19"/>
      <c r="N2622" s="20" t="s">
        <v>39</v>
      </c>
      <c r="O2622" s="19"/>
      <c r="P2622" s="19"/>
      <c r="Q2622" s="19"/>
      <c r="R2622" s="19"/>
      <c r="S2622" s="19"/>
      <c r="T2622" s="19"/>
      <c r="U2622" s="19"/>
      <c r="V2622" s="19"/>
    </row>
    <row r="2623">
      <c r="A2623" s="25"/>
      <c r="B2623" s="19"/>
      <c r="C2623" s="19"/>
      <c r="D2623" s="19"/>
      <c r="E2623" s="19"/>
      <c r="F2623" s="17" t="str">
        <f>IFERROR(__xludf.DUMMYFUNCTION("""COMPUTED_VALUE"""),"")</f>
        <v/>
      </c>
      <c r="G2623" s="20"/>
      <c r="H2623" s="19"/>
      <c r="I2623" s="19"/>
      <c r="J2623" s="19"/>
      <c r="K2623" s="19"/>
      <c r="L2623" s="19"/>
      <c r="M2623" s="19"/>
      <c r="N2623" s="20" t="s">
        <v>39</v>
      </c>
      <c r="O2623" s="19"/>
      <c r="P2623" s="19"/>
      <c r="Q2623" s="19"/>
      <c r="R2623" s="19"/>
      <c r="S2623" s="19"/>
      <c r="T2623" s="19"/>
      <c r="U2623" s="19"/>
      <c r="V2623" s="19"/>
    </row>
    <row r="2624">
      <c r="A2624" s="25"/>
      <c r="B2624" s="19"/>
      <c r="C2624" s="19"/>
      <c r="D2624" s="19"/>
      <c r="E2624" s="19"/>
      <c r="F2624" s="17" t="str">
        <f>IFERROR(__xludf.DUMMYFUNCTION("""COMPUTED_VALUE"""),"")</f>
        <v/>
      </c>
      <c r="G2624" s="20"/>
      <c r="H2624" s="19"/>
      <c r="I2624" s="19"/>
      <c r="J2624" s="19"/>
      <c r="K2624" s="19"/>
      <c r="L2624" s="19"/>
      <c r="M2624" s="19"/>
      <c r="N2624" s="20" t="s">
        <v>39</v>
      </c>
      <c r="O2624" s="19"/>
      <c r="P2624" s="19"/>
      <c r="Q2624" s="19"/>
      <c r="R2624" s="19"/>
      <c r="S2624" s="19"/>
      <c r="T2624" s="19"/>
      <c r="U2624" s="19"/>
      <c r="V2624" s="19"/>
    </row>
    <row r="2625">
      <c r="A2625" s="25"/>
      <c r="B2625" s="19"/>
      <c r="C2625" s="19"/>
      <c r="D2625" s="19"/>
      <c r="E2625" s="19"/>
      <c r="F2625" s="17" t="str">
        <f>IFERROR(__xludf.DUMMYFUNCTION("""COMPUTED_VALUE"""),"")</f>
        <v/>
      </c>
      <c r="G2625" s="20"/>
      <c r="H2625" s="19"/>
      <c r="I2625" s="19"/>
      <c r="J2625" s="19"/>
      <c r="K2625" s="19"/>
      <c r="L2625" s="19"/>
      <c r="M2625" s="19"/>
      <c r="N2625" s="20" t="s">
        <v>39</v>
      </c>
      <c r="O2625" s="19"/>
      <c r="P2625" s="19"/>
      <c r="Q2625" s="19"/>
      <c r="R2625" s="19"/>
      <c r="S2625" s="19"/>
      <c r="T2625" s="19"/>
      <c r="U2625" s="19"/>
      <c r="V2625" s="19"/>
    </row>
    <row r="2626">
      <c r="A2626" s="25"/>
      <c r="B2626" s="19"/>
      <c r="C2626" s="19"/>
      <c r="D2626" s="19"/>
      <c r="E2626" s="19"/>
      <c r="F2626" s="17" t="str">
        <f>IFERROR(__xludf.DUMMYFUNCTION("""COMPUTED_VALUE"""),"")</f>
        <v/>
      </c>
      <c r="G2626" s="20"/>
      <c r="H2626" s="19"/>
      <c r="I2626" s="19"/>
      <c r="J2626" s="19"/>
      <c r="K2626" s="19"/>
      <c r="L2626" s="19"/>
      <c r="M2626" s="19"/>
      <c r="N2626" s="20" t="s">
        <v>39</v>
      </c>
      <c r="O2626" s="19"/>
      <c r="P2626" s="19"/>
      <c r="Q2626" s="19"/>
      <c r="R2626" s="19"/>
      <c r="S2626" s="19"/>
      <c r="T2626" s="19"/>
      <c r="U2626" s="19"/>
      <c r="V2626" s="19"/>
    </row>
    <row r="2627">
      <c r="A2627" s="25"/>
      <c r="B2627" s="19"/>
      <c r="C2627" s="19"/>
      <c r="D2627" s="19"/>
      <c r="E2627" s="19"/>
      <c r="F2627" s="17" t="str">
        <f>IFERROR(__xludf.DUMMYFUNCTION("""COMPUTED_VALUE"""),"")</f>
        <v/>
      </c>
      <c r="G2627" s="20"/>
      <c r="H2627" s="19"/>
      <c r="I2627" s="19"/>
      <c r="J2627" s="19"/>
      <c r="K2627" s="19"/>
      <c r="L2627" s="19"/>
      <c r="M2627" s="19"/>
      <c r="N2627" s="20" t="s">
        <v>39</v>
      </c>
      <c r="O2627" s="19"/>
      <c r="P2627" s="19"/>
      <c r="Q2627" s="19"/>
      <c r="R2627" s="19"/>
      <c r="S2627" s="19"/>
      <c r="T2627" s="19"/>
      <c r="U2627" s="19"/>
      <c r="V2627" s="19"/>
    </row>
    <row r="2628">
      <c r="A2628" s="25"/>
      <c r="B2628" s="19"/>
      <c r="C2628" s="19"/>
      <c r="D2628" s="19"/>
      <c r="E2628" s="19"/>
      <c r="F2628" s="17" t="str">
        <f>IFERROR(__xludf.DUMMYFUNCTION("""COMPUTED_VALUE"""),"")</f>
        <v/>
      </c>
      <c r="G2628" s="20"/>
      <c r="H2628" s="19"/>
      <c r="I2628" s="19"/>
      <c r="J2628" s="19"/>
      <c r="K2628" s="19"/>
      <c r="L2628" s="19"/>
      <c r="M2628" s="19"/>
      <c r="N2628" s="20" t="s">
        <v>39</v>
      </c>
      <c r="O2628" s="19"/>
      <c r="P2628" s="19"/>
      <c r="Q2628" s="19"/>
      <c r="R2628" s="19"/>
      <c r="S2628" s="19"/>
      <c r="T2628" s="19"/>
      <c r="U2628" s="19"/>
      <c r="V2628" s="19"/>
    </row>
    <row r="2629">
      <c r="A2629" s="25"/>
      <c r="B2629" s="19"/>
      <c r="C2629" s="19"/>
      <c r="D2629" s="19"/>
      <c r="E2629" s="19"/>
      <c r="F2629" s="17" t="str">
        <f>IFERROR(__xludf.DUMMYFUNCTION("""COMPUTED_VALUE"""),"")</f>
        <v/>
      </c>
      <c r="G2629" s="20"/>
      <c r="H2629" s="19"/>
      <c r="I2629" s="19"/>
      <c r="J2629" s="19"/>
      <c r="K2629" s="19"/>
      <c r="L2629" s="19"/>
      <c r="M2629" s="19"/>
      <c r="N2629" s="20" t="s">
        <v>39</v>
      </c>
      <c r="O2629" s="19"/>
      <c r="P2629" s="19"/>
      <c r="Q2629" s="19"/>
      <c r="R2629" s="19"/>
      <c r="S2629" s="19"/>
      <c r="T2629" s="19"/>
      <c r="U2629" s="19"/>
      <c r="V2629" s="19"/>
    </row>
    <row r="2630">
      <c r="A2630" s="25"/>
      <c r="B2630" s="19"/>
      <c r="C2630" s="19"/>
      <c r="D2630" s="19"/>
      <c r="E2630" s="19"/>
      <c r="F2630" s="17" t="str">
        <f>IFERROR(__xludf.DUMMYFUNCTION("""COMPUTED_VALUE"""),"")</f>
        <v/>
      </c>
      <c r="G2630" s="20"/>
      <c r="H2630" s="19"/>
      <c r="I2630" s="19"/>
      <c r="J2630" s="19"/>
      <c r="K2630" s="19"/>
      <c r="L2630" s="19"/>
      <c r="M2630" s="19"/>
      <c r="N2630" s="20" t="s">
        <v>39</v>
      </c>
      <c r="O2630" s="19"/>
      <c r="P2630" s="19"/>
      <c r="Q2630" s="19"/>
      <c r="R2630" s="19"/>
      <c r="S2630" s="19"/>
      <c r="T2630" s="19"/>
      <c r="U2630" s="19"/>
      <c r="V2630" s="19"/>
    </row>
    <row r="2631">
      <c r="A2631" s="25"/>
      <c r="B2631" s="19"/>
      <c r="C2631" s="19"/>
      <c r="D2631" s="19"/>
      <c r="E2631" s="19"/>
      <c r="F2631" s="17" t="str">
        <f>IFERROR(__xludf.DUMMYFUNCTION("""COMPUTED_VALUE"""),"")</f>
        <v/>
      </c>
      <c r="G2631" s="20"/>
      <c r="H2631" s="19"/>
      <c r="I2631" s="19"/>
      <c r="J2631" s="19"/>
      <c r="K2631" s="19"/>
      <c r="L2631" s="19"/>
      <c r="M2631" s="19"/>
      <c r="N2631" s="20" t="s">
        <v>39</v>
      </c>
      <c r="O2631" s="19"/>
      <c r="P2631" s="19"/>
      <c r="Q2631" s="19"/>
      <c r="R2631" s="19"/>
      <c r="S2631" s="19"/>
      <c r="T2631" s="19"/>
      <c r="U2631" s="19"/>
      <c r="V2631" s="19"/>
    </row>
    <row r="2632">
      <c r="A2632" s="25"/>
      <c r="B2632" s="19"/>
      <c r="C2632" s="19"/>
      <c r="D2632" s="19"/>
      <c r="E2632" s="19"/>
      <c r="F2632" s="17" t="str">
        <f>IFERROR(__xludf.DUMMYFUNCTION("""COMPUTED_VALUE"""),"")</f>
        <v/>
      </c>
      <c r="G2632" s="20"/>
      <c r="H2632" s="19"/>
      <c r="I2632" s="19"/>
      <c r="J2632" s="19"/>
      <c r="K2632" s="19"/>
      <c r="L2632" s="19"/>
      <c r="M2632" s="19"/>
      <c r="N2632" s="20" t="s">
        <v>39</v>
      </c>
      <c r="O2632" s="19"/>
      <c r="P2632" s="19"/>
      <c r="Q2632" s="19"/>
      <c r="R2632" s="19"/>
      <c r="S2632" s="19"/>
      <c r="T2632" s="19"/>
      <c r="U2632" s="19"/>
      <c r="V2632" s="19"/>
    </row>
    <row r="2633">
      <c r="A2633" s="25"/>
      <c r="B2633" s="19"/>
      <c r="C2633" s="19"/>
      <c r="D2633" s="19"/>
      <c r="E2633" s="19"/>
      <c r="F2633" s="17" t="str">
        <f>IFERROR(__xludf.DUMMYFUNCTION("""COMPUTED_VALUE"""),"")</f>
        <v/>
      </c>
      <c r="G2633" s="20"/>
      <c r="H2633" s="19"/>
      <c r="I2633" s="19"/>
      <c r="J2633" s="19"/>
      <c r="K2633" s="19"/>
      <c r="L2633" s="19"/>
      <c r="M2633" s="19"/>
      <c r="N2633" s="20" t="s">
        <v>39</v>
      </c>
      <c r="O2633" s="19"/>
      <c r="P2633" s="19"/>
      <c r="Q2633" s="19"/>
      <c r="R2633" s="19"/>
      <c r="S2633" s="19"/>
      <c r="T2633" s="19"/>
      <c r="U2633" s="19"/>
      <c r="V2633" s="19"/>
    </row>
    <row r="2634">
      <c r="A2634" s="25"/>
      <c r="B2634" s="19"/>
      <c r="C2634" s="19"/>
      <c r="D2634" s="19"/>
      <c r="E2634" s="19"/>
      <c r="F2634" s="17" t="str">
        <f>IFERROR(__xludf.DUMMYFUNCTION("""COMPUTED_VALUE"""),"")</f>
        <v/>
      </c>
      <c r="G2634" s="20"/>
      <c r="H2634" s="19"/>
      <c r="I2634" s="19"/>
      <c r="J2634" s="19"/>
      <c r="K2634" s="19"/>
      <c r="L2634" s="19"/>
      <c r="M2634" s="19"/>
      <c r="N2634" s="20" t="s">
        <v>39</v>
      </c>
      <c r="O2634" s="19"/>
      <c r="P2634" s="19"/>
      <c r="Q2634" s="19"/>
      <c r="R2634" s="19"/>
      <c r="S2634" s="19"/>
      <c r="T2634" s="19"/>
      <c r="U2634" s="19"/>
      <c r="V2634" s="19"/>
    </row>
    <row r="2635">
      <c r="A2635" s="25"/>
      <c r="B2635" s="19"/>
      <c r="C2635" s="19"/>
      <c r="D2635" s="19"/>
      <c r="E2635" s="19"/>
      <c r="F2635" s="17" t="str">
        <f>IFERROR(__xludf.DUMMYFUNCTION("""COMPUTED_VALUE"""),"")</f>
        <v/>
      </c>
      <c r="G2635" s="20"/>
      <c r="H2635" s="19"/>
      <c r="I2635" s="19"/>
      <c r="J2635" s="19"/>
      <c r="K2635" s="19"/>
      <c r="L2635" s="19"/>
      <c r="M2635" s="19"/>
      <c r="N2635" s="20" t="s">
        <v>39</v>
      </c>
      <c r="O2635" s="19"/>
      <c r="P2635" s="19"/>
      <c r="Q2635" s="19"/>
      <c r="R2635" s="19"/>
      <c r="S2635" s="19"/>
      <c r="T2635" s="19"/>
      <c r="U2635" s="19"/>
      <c r="V2635" s="19"/>
    </row>
    <row r="2636">
      <c r="A2636" s="25"/>
      <c r="B2636" s="19"/>
      <c r="C2636" s="19"/>
      <c r="D2636" s="19"/>
      <c r="E2636" s="19"/>
      <c r="F2636" s="17" t="str">
        <f>IFERROR(__xludf.DUMMYFUNCTION("""COMPUTED_VALUE"""),"")</f>
        <v/>
      </c>
      <c r="G2636" s="20"/>
      <c r="H2636" s="19"/>
      <c r="I2636" s="19"/>
      <c r="J2636" s="19"/>
      <c r="K2636" s="19"/>
      <c r="L2636" s="19"/>
      <c r="M2636" s="19"/>
      <c r="N2636" s="20" t="s">
        <v>39</v>
      </c>
      <c r="O2636" s="19"/>
      <c r="P2636" s="19"/>
      <c r="Q2636" s="19"/>
      <c r="R2636" s="19"/>
      <c r="S2636" s="19"/>
      <c r="T2636" s="19"/>
      <c r="U2636" s="19"/>
      <c r="V2636" s="19"/>
    </row>
    <row r="2637">
      <c r="A2637" s="25"/>
      <c r="B2637" s="19"/>
      <c r="C2637" s="19"/>
      <c r="D2637" s="19"/>
      <c r="E2637" s="19"/>
      <c r="F2637" s="17" t="str">
        <f>IFERROR(__xludf.DUMMYFUNCTION("""COMPUTED_VALUE"""),"")</f>
        <v/>
      </c>
      <c r="G2637" s="20"/>
      <c r="H2637" s="19"/>
      <c r="I2637" s="19"/>
      <c r="J2637" s="19"/>
      <c r="K2637" s="19"/>
      <c r="L2637" s="19"/>
      <c r="M2637" s="19"/>
      <c r="N2637" s="20" t="s">
        <v>39</v>
      </c>
      <c r="O2637" s="19"/>
      <c r="P2637" s="19"/>
      <c r="Q2637" s="19"/>
      <c r="R2637" s="19"/>
      <c r="S2637" s="19"/>
      <c r="T2637" s="19"/>
      <c r="U2637" s="19"/>
      <c r="V2637" s="19"/>
    </row>
    <row r="2638">
      <c r="A2638" s="25"/>
      <c r="B2638" s="19"/>
      <c r="C2638" s="19"/>
      <c r="D2638" s="19"/>
      <c r="E2638" s="19"/>
      <c r="F2638" s="17" t="str">
        <f>IFERROR(__xludf.DUMMYFUNCTION("""COMPUTED_VALUE"""),"")</f>
        <v/>
      </c>
      <c r="G2638" s="20"/>
      <c r="H2638" s="19"/>
      <c r="I2638" s="19"/>
      <c r="J2638" s="19"/>
      <c r="K2638" s="19"/>
      <c r="L2638" s="19"/>
      <c r="M2638" s="19"/>
      <c r="N2638" s="20" t="s">
        <v>39</v>
      </c>
      <c r="O2638" s="19"/>
      <c r="P2638" s="19"/>
      <c r="Q2638" s="19"/>
      <c r="R2638" s="19"/>
      <c r="S2638" s="19"/>
      <c r="T2638" s="19"/>
      <c r="U2638" s="19"/>
      <c r="V2638" s="19"/>
    </row>
    <row r="2639">
      <c r="A2639" s="25"/>
      <c r="B2639" s="19"/>
      <c r="C2639" s="19"/>
      <c r="D2639" s="19"/>
      <c r="E2639" s="19"/>
      <c r="F2639" s="17" t="str">
        <f>IFERROR(__xludf.DUMMYFUNCTION("""COMPUTED_VALUE"""),"")</f>
        <v/>
      </c>
      <c r="G2639" s="20"/>
      <c r="H2639" s="19"/>
      <c r="I2639" s="19"/>
      <c r="J2639" s="19"/>
      <c r="K2639" s="19"/>
      <c r="L2639" s="19"/>
      <c r="M2639" s="19"/>
      <c r="N2639" s="20" t="s">
        <v>39</v>
      </c>
      <c r="O2639" s="19"/>
      <c r="P2639" s="19"/>
      <c r="Q2639" s="19"/>
      <c r="R2639" s="19"/>
      <c r="S2639" s="19"/>
      <c r="T2639" s="19"/>
      <c r="U2639" s="19"/>
      <c r="V2639" s="19"/>
    </row>
    <row r="2640">
      <c r="A2640" s="25"/>
      <c r="B2640" s="19"/>
      <c r="C2640" s="19"/>
      <c r="D2640" s="19"/>
      <c r="E2640" s="19"/>
      <c r="F2640" s="17" t="str">
        <f>IFERROR(__xludf.DUMMYFUNCTION("""COMPUTED_VALUE"""),"")</f>
        <v/>
      </c>
      <c r="G2640" s="20"/>
      <c r="H2640" s="19"/>
      <c r="I2640" s="19"/>
      <c r="J2640" s="19"/>
      <c r="K2640" s="19"/>
      <c r="L2640" s="19"/>
      <c r="M2640" s="19"/>
      <c r="N2640" s="20" t="s">
        <v>39</v>
      </c>
      <c r="O2640" s="19"/>
      <c r="P2640" s="19"/>
      <c r="Q2640" s="19"/>
      <c r="R2640" s="19"/>
      <c r="S2640" s="19"/>
      <c r="T2640" s="19"/>
      <c r="U2640" s="19"/>
      <c r="V2640" s="19"/>
    </row>
    <row r="2641">
      <c r="A2641" s="25"/>
      <c r="B2641" s="19"/>
      <c r="C2641" s="19"/>
      <c r="D2641" s="19"/>
      <c r="E2641" s="19"/>
      <c r="F2641" s="17" t="str">
        <f>IFERROR(__xludf.DUMMYFUNCTION("""COMPUTED_VALUE"""),"")</f>
        <v/>
      </c>
      <c r="G2641" s="20"/>
      <c r="H2641" s="19"/>
      <c r="I2641" s="19"/>
      <c r="J2641" s="19"/>
      <c r="K2641" s="19"/>
      <c r="L2641" s="19"/>
      <c r="M2641" s="19"/>
      <c r="N2641" s="20" t="s">
        <v>39</v>
      </c>
      <c r="O2641" s="19"/>
      <c r="P2641" s="19"/>
      <c r="Q2641" s="19"/>
      <c r="R2641" s="19"/>
      <c r="S2641" s="19"/>
      <c r="T2641" s="19"/>
      <c r="U2641" s="19"/>
      <c r="V2641" s="19"/>
    </row>
    <row r="2642">
      <c r="A2642" s="25"/>
      <c r="B2642" s="19"/>
      <c r="C2642" s="19"/>
      <c r="D2642" s="19"/>
      <c r="E2642" s="19"/>
      <c r="F2642" s="17" t="str">
        <f>IFERROR(__xludf.DUMMYFUNCTION("""COMPUTED_VALUE"""),"")</f>
        <v/>
      </c>
      <c r="G2642" s="20"/>
      <c r="H2642" s="19"/>
      <c r="I2642" s="19"/>
      <c r="J2642" s="19"/>
      <c r="K2642" s="19"/>
      <c r="L2642" s="19"/>
      <c r="M2642" s="19"/>
      <c r="N2642" s="20" t="s">
        <v>39</v>
      </c>
      <c r="O2642" s="19"/>
      <c r="P2642" s="19"/>
      <c r="Q2642" s="19"/>
      <c r="R2642" s="19"/>
      <c r="S2642" s="19"/>
      <c r="T2642" s="19"/>
      <c r="U2642" s="19"/>
      <c r="V2642" s="19"/>
    </row>
    <row r="2643">
      <c r="A2643" s="25"/>
      <c r="B2643" s="19"/>
      <c r="C2643" s="19"/>
      <c r="D2643" s="19"/>
      <c r="E2643" s="19"/>
      <c r="F2643" s="17" t="str">
        <f>IFERROR(__xludf.DUMMYFUNCTION("""COMPUTED_VALUE"""),"")</f>
        <v/>
      </c>
      <c r="G2643" s="20"/>
      <c r="H2643" s="19"/>
      <c r="I2643" s="19"/>
      <c r="J2643" s="19"/>
      <c r="K2643" s="19"/>
      <c r="L2643" s="19"/>
      <c r="M2643" s="19"/>
      <c r="N2643" s="20" t="s">
        <v>39</v>
      </c>
      <c r="O2643" s="19"/>
      <c r="P2643" s="19"/>
      <c r="Q2643" s="19"/>
      <c r="R2643" s="19"/>
      <c r="S2643" s="19"/>
      <c r="T2643" s="19"/>
      <c r="U2643" s="19"/>
      <c r="V2643" s="19"/>
    </row>
    <row r="2644">
      <c r="A2644" s="25"/>
      <c r="B2644" s="19"/>
      <c r="C2644" s="19"/>
      <c r="D2644" s="19"/>
      <c r="E2644" s="19"/>
      <c r="F2644" s="17" t="str">
        <f>IFERROR(__xludf.DUMMYFUNCTION("""COMPUTED_VALUE"""),"")</f>
        <v/>
      </c>
      <c r="G2644" s="20"/>
      <c r="H2644" s="19"/>
      <c r="I2644" s="19"/>
      <c r="J2644" s="19"/>
      <c r="K2644" s="19"/>
      <c r="L2644" s="19"/>
      <c r="M2644" s="19"/>
      <c r="N2644" s="20" t="s">
        <v>39</v>
      </c>
      <c r="O2644" s="19"/>
      <c r="P2644" s="19"/>
      <c r="Q2644" s="19"/>
      <c r="R2644" s="19"/>
      <c r="S2644" s="19"/>
      <c r="T2644" s="19"/>
      <c r="U2644" s="19"/>
      <c r="V2644" s="19"/>
    </row>
    <row r="2645">
      <c r="A2645" s="25"/>
      <c r="B2645" s="19"/>
      <c r="C2645" s="19"/>
      <c r="D2645" s="19"/>
      <c r="E2645" s="19"/>
      <c r="F2645" s="17" t="str">
        <f>IFERROR(__xludf.DUMMYFUNCTION("""COMPUTED_VALUE"""),"")</f>
        <v/>
      </c>
      <c r="G2645" s="20"/>
      <c r="H2645" s="19"/>
      <c r="I2645" s="19"/>
      <c r="J2645" s="19"/>
      <c r="K2645" s="19"/>
      <c r="L2645" s="19"/>
      <c r="M2645" s="19"/>
      <c r="N2645" s="20" t="s">
        <v>39</v>
      </c>
      <c r="O2645" s="19"/>
      <c r="P2645" s="19"/>
      <c r="Q2645" s="19"/>
      <c r="R2645" s="19"/>
      <c r="S2645" s="19"/>
      <c r="T2645" s="19"/>
      <c r="U2645" s="19"/>
      <c r="V2645" s="19"/>
    </row>
    <row r="2646">
      <c r="A2646" s="25"/>
      <c r="B2646" s="19"/>
      <c r="C2646" s="19"/>
      <c r="D2646" s="19"/>
      <c r="E2646" s="19"/>
      <c r="F2646" s="17" t="str">
        <f>IFERROR(__xludf.DUMMYFUNCTION("""COMPUTED_VALUE"""),"")</f>
        <v/>
      </c>
      <c r="G2646" s="20"/>
      <c r="H2646" s="19"/>
      <c r="I2646" s="19"/>
      <c r="J2646" s="19"/>
      <c r="K2646" s="19"/>
      <c r="L2646" s="19"/>
      <c r="M2646" s="19"/>
      <c r="N2646" s="20" t="s">
        <v>39</v>
      </c>
      <c r="O2646" s="19"/>
      <c r="P2646" s="19"/>
      <c r="Q2646" s="19"/>
      <c r="R2646" s="19"/>
      <c r="S2646" s="19"/>
      <c r="T2646" s="19"/>
      <c r="U2646" s="19"/>
      <c r="V2646" s="19"/>
    </row>
    <row r="2647">
      <c r="A2647" s="25"/>
      <c r="B2647" s="19"/>
      <c r="C2647" s="19"/>
      <c r="D2647" s="19"/>
      <c r="E2647" s="19"/>
      <c r="F2647" s="17" t="str">
        <f>IFERROR(__xludf.DUMMYFUNCTION("""COMPUTED_VALUE"""),"")</f>
        <v/>
      </c>
      <c r="G2647" s="20"/>
      <c r="H2647" s="19"/>
      <c r="I2647" s="19"/>
      <c r="J2647" s="19"/>
      <c r="K2647" s="19"/>
      <c r="L2647" s="19"/>
      <c r="M2647" s="19"/>
      <c r="N2647" s="20" t="s">
        <v>39</v>
      </c>
      <c r="O2647" s="19"/>
      <c r="P2647" s="19"/>
      <c r="Q2647" s="19"/>
      <c r="R2647" s="19"/>
      <c r="S2647" s="19"/>
      <c r="T2647" s="19"/>
      <c r="U2647" s="19"/>
      <c r="V2647" s="19"/>
    </row>
    <row r="2648">
      <c r="A2648" s="25"/>
      <c r="B2648" s="19"/>
      <c r="C2648" s="19"/>
      <c r="D2648" s="19"/>
      <c r="E2648" s="19"/>
      <c r="F2648" s="17" t="str">
        <f>IFERROR(__xludf.DUMMYFUNCTION("""COMPUTED_VALUE"""),"")</f>
        <v/>
      </c>
      <c r="G2648" s="20"/>
      <c r="H2648" s="19"/>
      <c r="I2648" s="19"/>
      <c r="J2648" s="19"/>
      <c r="K2648" s="19"/>
      <c r="L2648" s="19"/>
      <c r="M2648" s="19"/>
      <c r="N2648" s="20" t="s">
        <v>39</v>
      </c>
      <c r="O2648" s="19"/>
      <c r="P2648" s="19"/>
      <c r="Q2648" s="19"/>
      <c r="R2648" s="19"/>
      <c r="S2648" s="19"/>
      <c r="T2648" s="19"/>
      <c r="U2648" s="19"/>
      <c r="V2648" s="19"/>
    </row>
    <row r="2649">
      <c r="A2649" s="25"/>
      <c r="B2649" s="19"/>
      <c r="C2649" s="19"/>
      <c r="D2649" s="19"/>
      <c r="E2649" s="19"/>
      <c r="F2649" s="17" t="str">
        <f>IFERROR(__xludf.DUMMYFUNCTION("""COMPUTED_VALUE"""),"")</f>
        <v/>
      </c>
      <c r="G2649" s="20"/>
      <c r="H2649" s="19"/>
      <c r="I2649" s="19"/>
      <c r="J2649" s="19"/>
      <c r="K2649" s="19"/>
      <c r="L2649" s="19"/>
      <c r="M2649" s="19"/>
      <c r="N2649" s="20" t="s">
        <v>39</v>
      </c>
      <c r="O2649" s="19"/>
      <c r="P2649" s="19"/>
      <c r="Q2649" s="19"/>
      <c r="R2649" s="19"/>
      <c r="S2649" s="19"/>
      <c r="T2649" s="19"/>
      <c r="U2649" s="19"/>
      <c r="V2649" s="19"/>
    </row>
    <row r="2650">
      <c r="A2650" s="25"/>
      <c r="B2650" s="19"/>
      <c r="C2650" s="19"/>
      <c r="D2650" s="19"/>
      <c r="E2650" s="19"/>
      <c r="F2650" s="17" t="str">
        <f>IFERROR(__xludf.DUMMYFUNCTION("""COMPUTED_VALUE"""),"")</f>
        <v/>
      </c>
      <c r="G2650" s="20"/>
      <c r="H2650" s="19"/>
      <c r="I2650" s="19"/>
      <c r="J2650" s="19"/>
      <c r="K2650" s="19"/>
      <c r="L2650" s="19"/>
      <c r="M2650" s="19"/>
      <c r="N2650" s="20" t="s">
        <v>39</v>
      </c>
      <c r="O2650" s="19"/>
      <c r="P2650" s="19"/>
      <c r="Q2650" s="19"/>
      <c r="R2650" s="19"/>
      <c r="S2650" s="19"/>
      <c r="T2650" s="19"/>
      <c r="U2650" s="19"/>
      <c r="V2650" s="19"/>
    </row>
    <row r="2651">
      <c r="A2651" s="25"/>
      <c r="B2651" s="19"/>
      <c r="C2651" s="19"/>
      <c r="D2651" s="19"/>
      <c r="E2651" s="19"/>
      <c r="F2651" s="17" t="str">
        <f>IFERROR(__xludf.DUMMYFUNCTION("""COMPUTED_VALUE"""),"")</f>
        <v/>
      </c>
      <c r="G2651" s="20"/>
      <c r="H2651" s="19"/>
      <c r="I2651" s="19"/>
      <c r="J2651" s="19"/>
      <c r="K2651" s="19"/>
      <c r="L2651" s="19"/>
      <c r="M2651" s="19"/>
      <c r="N2651" s="20" t="s">
        <v>39</v>
      </c>
      <c r="O2651" s="19"/>
      <c r="P2651" s="19"/>
      <c r="Q2651" s="19"/>
      <c r="R2651" s="19"/>
      <c r="S2651" s="19"/>
      <c r="T2651" s="19"/>
      <c r="U2651" s="19"/>
      <c r="V2651" s="19"/>
    </row>
    <row r="2652">
      <c r="A2652" s="25"/>
      <c r="B2652" s="19"/>
      <c r="C2652" s="19"/>
      <c r="D2652" s="19"/>
      <c r="E2652" s="19"/>
      <c r="F2652" s="17" t="str">
        <f>IFERROR(__xludf.DUMMYFUNCTION("""COMPUTED_VALUE"""),"")</f>
        <v/>
      </c>
      <c r="G2652" s="20"/>
      <c r="H2652" s="19"/>
      <c r="I2652" s="19"/>
      <c r="J2652" s="19"/>
      <c r="K2652" s="19"/>
      <c r="L2652" s="19"/>
      <c r="M2652" s="19"/>
      <c r="N2652" s="20" t="s">
        <v>39</v>
      </c>
      <c r="O2652" s="19"/>
      <c r="P2652" s="19"/>
      <c r="Q2652" s="19"/>
      <c r="R2652" s="19"/>
      <c r="S2652" s="19"/>
      <c r="T2652" s="19"/>
      <c r="U2652" s="19"/>
      <c r="V2652" s="19"/>
    </row>
    <row r="2653">
      <c r="A2653" s="25"/>
      <c r="B2653" s="19"/>
      <c r="C2653" s="19"/>
      <c r="D2653" s="19"/>
      <c r="E2653" s="19"/>
      <c r="F2653" s="17" t="str">
        <f>IFERROR(__xludf.DUMMYFUNCTION("""COMPUTED_VALUE"""),"")</f>
        <v/>
      </c>
      <c r="G2653" s="20"/>
      <c r="H2653" s="19"/>
      <c r="I2653" s="19"/>
      <c r="J2653" s="19"/>
      <c r="K2653" s="19"/>
      <c r="L2653" s="19"/>
      <c r="M2653" s="19"/>
      <c r="N2653" s="20" t="s">
        <v>39</v>
      </c>
      <c r="O2653" s="19"/>
      <c r="P2653" s="19"/>
      <c r="Q2653" s="19"/>
      <c r="R2653" s="19"/>
      <c r="S2653" s="19"/>
      <c r="T2653" s="19"/>
      <c r="U2653" s="19"/>
      <c r="V2653" s="19"/>
    </row>
    <row r="2654">
      <c r="A2654" s="25"/>
      <c r="B2654" s="19"/>
      <c r="C2654" s="19"/>
      <c r="D2654" s="19"/>
      <c r="E2654" s="19"/>
      <c r="F2654" s="17" t="str">
        <f>IFERROR(__xludf.DUMMYFUNCTION("""COMPUTED_VALUE"""),"")</f>
        <v/>
      </c>
      <c r="G2654" s="20"/>
      <c r="H2654" s="19"/>
      <c r="I2654" s="19"/>
      <c r="J2654" s="19"/>
      <c r="K2654" s="19"/>
      <c r="L2654" s="19"/>
      <c r="M2654" s="19"/>
      <c r="N2654" s="20" t="s">
        <v>39</v>
      </c>
      <c r="O2654" s="19"/>
      <c r="P2654" s="19"/>
      <c r="Q2654" s="19"/>
      <c r="R2654" s="19"/>
      <c r="S2654" s="19"/>
      <c r="T2654" s="19"/>
      <c r="U2654" s="19"/>
      <c r="V2654" s="19"/>
    </row>
    <row r="2655">
      <c r="A2655" s="25"/>
      <c r="B2655" s="19"/>
      <c r="C2655" s="19"/>
      <c r="D2655" s="19"/>
      <c r="E2655" s="19"/>
      <c r="F2655" s="17" t="str">
        <f>IFERROR(__xludf.DUMMYFUNCTION("""COMPUTED_VALUE"""),"")</f>
        <v/>
      </c>
      <c r="G2655" s="20"/>
      <c r="H2655" s="19"/>
      <c r="I2655" s="19"/>
      <c r="J2655" s="19"/>
      <c r="K2655" s="19"/>
      <c r="L2655" s="19"/>
      <c r="M2655" s="19"/>
      <c r="N2655" s="20" t="s">
        <v>39</v>
      </c>
      <c r="O2655" s="19"/>
      <c r="P2655" s="19"/>
      <c r="Q2655" s="19"/>
      <c r="R2655" s="19"/>
      <c r="S2655" s="19"/>
      <c r="T2655" s="19"/>
      <c r="U2655" s="19"/>
      <c r="V2655" s="19"/>
    </row>
    <row r="2656">
      <c r="A2656" s="25"/>
      <c r="B2656" s="19"/>
      <c r="C2656" s="19"/>
      <c r="D2656" s="19"/>
      <c r="E2656" s="19"/>
      <c r="F2656" s="17" t="str">
        <f>IFERROR(__xludf.DUMMYFUNCTION("""COMPUTED_VALUE"""),"")</f>
        <v/>
      </c>
      <c r="G2656" s="20"/>
      <c r="H2656" s="19"/>
      <c r="I2656" s="19"/>
      <c r="J2656" s="19"/>
      <c r="K2656" s="19"/>
      <c r="L2656" s="19"/>
      <c r="M2656" s="19"/>
      <c r="N2656" s="20" t="s">
        <v>39</v>
      </c>
      <c r="O2656" s="19"/>
      <c r="P2656" s="19"/>
      <c r="Q2656" s="19"/>
      <c r="R2656" s="19"/>
      <c r="S2656" s="19"/>
      <c r="T2656" s="19"/>
      <c r="U2656" s="19"/>
      <c r="V2656" s="19"/>
    </row>
    <row r="2657">
      <c r="A2657" s="25"/>
      <c r="B2657" s="19"/>
      <c r="C2657" s="19"/>
      <c r="D2657" s="19"/>
      <c r="E2657" s="19"/>
      <c r="F2657" s="17" t="str">
        <f>IFERROR(__xludf.DUMMYFUNCTION("""COMPUTED_VALUE"""),"")</f>
        <v/>
      </c>
      <c r="G2657" s="20"/>
      <c r="H2657" s="19"/>
      <c r="I2657" s="19"/>
      <c r="J2657" s="19"/>
      <c r="K2657" s="19"/>
      <c r="L2657" s="19"/>
      <c r="M2657" s="19"/>
      <c r="N2657" s="20" t="s">
        <v>39</v>
      </c>
      <c r="O2657" s="19"/>
      <c r="P2657" s="19"/>
      <c r="Q2657" s="19"/>
      <c r="R2657" s="19"/>
      <c r="S2657" s="19"/>
      <c r="T2657" s="19"/>
      <c r="U2657" s="19"/>
      <c r="V2657" s="19"/>
    </row>
    <row r="2658">
      <c r="A2658" s="25"/>
      <c r="B2658" s="19"/>
      <c r="C2658" s="19"/>
      <c r="D2658" s="19"/>
      <c r="E2658" s="19"/>
      <c r="F2658" s="17" t="str">
        <f>IFERROR(__xludf.DUMMYFUNCTION("""COMPUTED_VALUE"""),"")</f>
        <v/>
      </c>
      <c r="G2658" s="20"/>
      <c r="H2658" s="19"/>
      <c r="I2658" s="19"/>
      <c r="J2658" s="19"/>
      <c r="K2658" s="19"/>
      <c r="L2658" s="19"/>
      <c r="M2658" s="19"/>
      <c r="N2658" s="20" t="s">
        <v>39</v>
      </c>
      <c r="O2658" s="19"/>
      <c r="P2658" s="19"/>
      <c r="Q2658" s="19"/>
      <c r="R2658" s="19"/>
      <c r="S2658" s="19"/>
      <c r="T2658" s="19"/>
      <c r="U2658" s="19"/>
      <c r="V2658" s="19"/>
    </row>
    <row r="2659">
      <c r="A2659" s="25"/>
      <c r="B2659" s="19"/>
      <c r="C2659" s="19"/>
      <c r="D2659" s="19"/>
      <c r="E2659" s="19"/>
      <c r="F2659" s="17" t="str">
        <f>IFERROR(__xludf.DUMMYFUNCTION("""COMPUTED_VALUE"""),"")</f>
        <v/>
      </c>
      <c r="G2659" s="20"/>
      <c r="H2659" s="19"/>
      <c r="I2659" s="19"/>
      <c r="J2659" s="19"/>
      <c r="K2659" s="19"/>
      <c r="L2659" s="19"/>
      <c r="M2659" s="19"/>
      <c r="N2659" s="20" t="s">
        <v>39</v>
      </c>
      <c r="O2659" s="19"/>
      <c r="P2659" s="19"/>
      <c r="Q2659" s="19"/>
      <c r="R2659" s="19"/>
      <c r="S2659" s="19"/>
      <c r="T2659" s="19"/>
      <c r="U2659" s="19"/>
      <c r="V2659" s="19"/>
    </row>
    <row r="2660">
      <c r="A2660" s="25"/>
      <c r="B2660" s="19"/>
      <c r="C2660" s="19"/>
      <c r="D2660" s="19"/>
      <c r="E2660" s="19"/>
      <c r="F2660" s="17" t="str">
        <f>IFERROR(__xludf.DUMMYFUNCTION("""COMPUTED_VALUE"""),"")</f>
        <v/>
      </c>
      <c r="G2660" s="20"/>
      <c r="H2660" s="19"/>
      <c r="I2660" s="19"/>
      <c r="J2660" s="19"/>
      <c r="K2660" s="19"/>
      <c r="L2660" s="19"/>
      <c r="M2660" s="19"/>
      <c r="N2660" s="20" t="s">
        <v>39</v>
      </c>
      <c r="O2660" s="19"/>
      <c r="P2660" s="19"/>
      <c r="Q2660" s="19"/>
      <c r="R2660" s="19"/>
      <c r="S2660" s="19"/>
      <c r="T2660" s="19"/>
      <c r="U2660" s="19"/>
      <c r="V2660" s="19"/>
    </row>
    <row r="2661">
      <c r="A2661" s="25"/>
      <c r="B2661" s="19"/>
      <c r="C2661" s="19"/>
      <c r="D2661" s="19"/>
      <c r="E2661" s="19"/>
      <c r="F2661" s="17" t="str">
        <f>IFERROR(__xludf.DUMMYFUNCTION("""COMPUTED_VALUE"""),"")</f>
        <v/>
      </c>
      <c r="G2661" s="20"/>
      <c r="H2661" s="19"/>
      <c r="I2661" s="19"/>
      <c r="J2661" s="19"/>
      <c r="K2661" s="19"/>
      <c r="L2661" s="19"/>
      <c r="M2661" s="19"/>
      <c r="N2661" s="20" t="s">
        <v>39</v>
      </c>
      <c r="O2661" s="19"/>
      <c r="P2661" s="19"/>
      <c r="Q2661" s="19"/>
      <c r="R2661" s="19"/>
      <c r="S2661" s="19"/>
      <c r="T2661" s="19"/>
      <c r="U2661" s="19"/>
      <c r="V2661" s="19"/>
    </row>
    <row r="2662">
      <c r="A2662" s="25"/>
      <c r="B2662" s="19"/>
      <c r="C2662" s="19"/>
      <c r="D2662" s="19"/>
      <c r="E2662" s="19"/>
      <c r="F2662" s="17" t="str">
        <f>IFERROR(__xludf.DUMMYFUNCTION("""COMPUTED_VALUE"""),"")</f>
        <v/>
      </c>
      <c r="G2662" s="20"/>
      <c r="H2662" s="19"/>
      <c r="I2662" s="19"/>
      <c r="J2662" s="19"/>
      <c r="K2662" s="19"/>
      <c r="L2662" s="19"/>
      <c r="M2662" s="19"/>
      <c r="N2662" s="20" t="s">
        <v>39</v>
      </c>
      <c r="O2662" s="19"/>
      <c r="P2662" s="19"/>
      <c r="Q2662" s="19"/>
      <c r="R2662" s="19"/>
      <c r="S2662" s="19"/>
      <c r="T2662" s="19"/>
      <c r="U2662" s="19"/>
      <c r="V2662" s="19"/>
    </row>
    <row r="2663">
      <c r="A2663" s="25"/>
      <c r="B2663" s="19"/>
      <c r="C2663" s="19"/>
      <c r="D2663" s="19"/>
      <c r="E2663" s="19"/>
      <c r="F2663" s="17" t="str">
        <f>IFERROR(__xludf.DUMMYFUNCTION("""COMPUTED_VALUE"""),"")</f>
        <v/>
      </c>
      <c r="G2663" s="20"/>
      <c r="H2663" s="19"/>
      <c r="I2663" s="19"/>
      <c r="J2663" s="19"/>
      <c r="K2663" s="19"/>
      <c r="L2663" s="19"/>
      <c r="M2663" s="19"/>
      <c r="N2663" s="20" t="s">
        <v>39</v>
      </c>
      <c r="O2663" s="19"/>
      <c r="P2663" s="19"/>
      <c r="Q2663" s="19"/>
      <c r="R2663" s="19"/>
      <c r="S2663" s="19"/>
      <c r="T2663" s="19"/>
      <c r="U2663" s="19"/>
      <c r="V2663" s="19"/>
    </row>
    <row r="2664">
      <c r="A2664" s="25"/>
      <c r="B2664" s="19"/>
      <c r="C2664" s="19"/>
      <c r="D2664" s="19"/>
      <c r="E2664" s="19"/>
      <c r="F2664" s="17" t="str">
        <f>IFERROR(__xludf.DUMMYFUNCTION("""COMPUTED_VALUE"""),"")</f>
        <v/>
      </c>
      <c r="G2664" s="20"/>
      <c r="H2664" s="19"/>
      <c r="I2664" s="19"/>
      <c r="J2664" s="19"/>
      <c r="K2664" s="19"/>
      <c r="L2664" s="19"/>
      <c r="M2664" s="19"/>
      <c r="N2664" s="20" t="s">
        <v>39</v>
      </c>
      <c r="O2664" s="19"/>
      <c r="P2664" s="19"/>
      <c r="Q2664" s="19"/>
      <c r="R2664" s="19"/>
      <c r="S2664" s="19"/>
      <c r="T2664" s="19"/>
      <c r="U2664" s="19"/>
      <c r="V2664" s="19"/>
    </row>
    <row r="2665">
      <c r="A2665" s="25"/>
      <c r="B2665" s="19"/>
      <c r="C2665" s="19"/>
      <c r="D2665" s="19"/>
      <c r="E2665" s="19"/>
      <c r="F2665" s="17" t="str">
        <f>IFERROR(__xludf.DUMMYFUNCTION("""COMPUTED_VALUE"""),"")</f>
        <v/>
      </c>
      <c r="G2665" s="20"/>
      <c r="H2665" s="19"/>
      <c r="I2665" s="19"/>
      <c r="J2665" s="19"/>
      <c r="K2665" s="19"/>
      <c r="L2665" s="19"/>
      <c r="M2665" s="19"/>
      <c r="N2665" s="20" t="s">
        <v>39</v>
      </c>
      <c r="O2665" s="19"/>
      <c r="P2665" s="19"/>
      <c r="Q2665" s="19"/>
      <c r="R2665" s="19"/>
      <c r="S2665" s="19"/>
      <c r="T2665" s="19"/>
      <c r="U2665" s="19"/>
      <c r="V2665" s="19"/>
    </row>
    <row r="2666">
      <c r="A2666" s="25"/>
      <c r="B2666" s="19"/>
      <c r="C2666" s="19"/>
      <c r="D2666" s="19"/>
      <c r="E2666" s="19"/>
      <c r="F2666" s="17" t="str">
        <f>IFERROR(__xludf.DUMMYFUNCTION("""COMPUTED_VALUE"""),"")</f>
        <v/>
      </c>
      <c r="G2666" s="20"/>
      <c r="H2666" s="19"/>
      <c r="I2666" s="19"/>
      <c r="J2666" s="19"/>
      <c r="K2666" s="19"/>
      <c r="L2666" s="19"/>
      <c r="M2666" s="19"/>
      <c r="N2666" s="20" t="s">
        <v>39</v>
      </c>
      <c r="O2666" s="19"/>
      <c r="P2666" s="19"/>
      <c r="Q2666" s="19"/>
      <c r="R2666" s="19"/>
      <c r="S2666" s="19"/>
      <c r="T2666" s="19"/>
      <c r="U2666" s="19"/>
      <c r="V2666" s="19"/>
    </row>
    <row r="2667">
      <c r="A2667" s="25"/>
      <c r="B2667" s="19"/>
      <c r="C2667" s="19"/>
      <c r="D2667" s="19"/>
      <c r="E2667" s="19"/>
      <c r="F2667" s="17" t="str">
        <f>IFERROR(__xludf.DUMMYFUNCTION("""COMPUTED_VALUE"""),"")</f>
        <v/>
      </c>
      <c r="G2667" s="20"/>
      <c r="H2667" s="19"/>
      <c r="I2667" s="19"/>
      <c r="J2667" s="19"/>
      <c r="K2667" s="19"/>
      <c r="L2667" s="19"/>
      <c r="M2667" s="19"/>
      <c r="N2667" s="20" t="s">
        <v>39</v>
      </c>
      <c r="O2667" s="19"/>
      <c r="P2667" s="19"/>
      <c r="Q2667" s="19"/>
      <c r="R2667" s="19"/>
      <c r="S2667" s="19"/>
      <c r="T2667" s="19"/>
      <c r="U2667" s="19"/>
      <c r="V2667" s="19"/>
    </row>
    <row r="2668">
      <c r="A2668" s="25"/>
      <c r="B2668" s="19"/>
      <c r="C2668" s="19"/>
      <c r="D2668" s="19"/>
      <c r="E2668" s="19"/>
      <c r="F2668" s="17" t="str">
        <f>IFERROR(__xludf.DUMMYFUNCTION("""COMPUTED_VALUE"""),"")</f>
        <v/>
      </c>
      <c r="G2668" s="20"/>
      <c r="H2668" s="19"/>
      <c r="I2668" s="19"/>
      <c r="J2668" s="19"/>
      <c r="K2668" s="19"/>
      <c r="L2668" s="19"/>
      <c r="M2668" s="19"/>
      <c r="N2668" s="20" t="s">
        <v>39</v>
      </c>
      <c r="O2668" s="19"/>
      <c r="P2668" s="19"/>
      <c r="Q2668" s="19"/>
      <c r="R2668" s="19"/>
      <c r="S2668" s="19"/>
      <c r="T2668" s="19"/>
      <c r="U2668" s="19"/>
      <c r="V2668" s="19"/>
    </row>
    <row r="2669">
      <c r="A2669" s="25"/>
      <c r="B2669" s="19"/>
      <c r="C2669" s="19"/>
      <c r="D2669" s="19"/>
      <c r="E2669" s="19"/>
      <c r="F2669" s="17" t="str">
        <f>IFERROR(__xludf.DUMMYFUNCTION("""COMPUTED_VALUE"""),"")</f>
        <v/>
      </c>
      <c r="G2669" s="20"/>
      <c r="H2669" s="19"/>
      <c r="I2669" s="19"/>
      <c r="J2669" s="19"/>
      <c r="K2669" s="19"/>
      <c r="L2669" s="19"/>
      <c r="M2669" s="19"/>
      <c r="N2669" s="20" t="s">
        <v>39</v>
      </c>
      <c r="O2669" s="19"/>
      <c r="P2669" s="19"/>
      <c r="Q2669" s="19"/>
      <c r="R2669" s="19"/>
      <c r="S2669" s="19"/>
      <c r="T2669" s="19"/>
      <c r="U2669" s="19"/>
      <c r="V2669" s="19"/>
    </row>
    <row r="2670">
      <c r="A2670" s="25"/>
      <c r="B2670" s="19"/>
      <c r="C2670" s="19"/>
      <c r="D2670" s="19"/>
      <c r="E2670" s="19"/>
      <c r="F2670" s="17" t="str">
        <f>IFERROR(__xludf.DUMMYFUNCTION("""COMPUTED_VALUE"""),"")</f>
        <v/>
      </c>
      <c r="G2670" s="20"/>
      <c r="H2670" s="19"/>
      <c r="I2670" s="19"/>
      <c r="J2670" s="19"/>
      <c r="K2670" s="19"/>
      <c r="L2670" s="19"/>
      <c r="M2670" s="19"/>
      <c r="N2670" s="20" t="s">
        <v>39</v>
      </c>
      <c r="O2670" s="19"/>
      <c r="P2670" s="19"/>
      <c r="Q2670" s="19"/>
      <c r="R2670" s="19"/>
      <c r="S2670" s="19"/>
      <c r="T2670" s="19"/>
      <c r="U2670" s="19"/>
      <c r="V2670" s="19"/>
    </row>
    <row r="2671">
      <c r="A2671" s="25"/>
      <c r="B2671" s="19"/>
      <c r="C2671" s="19"/>
      <c r="D2671" s="19"/>
      <c r="E2671" s="19"/>
      <c r="F2671" s="17" t="str">
        <f>IFERROR(__xludf.DUMMYFUNCTION("""COMPUTED_VALUE"""),"")</f>
        <v/>
      </c>
      <c r="G2671" s="20"/>
      <c r="H2671" s="19"/>
      <c r="I2671" s="19"/>
      <c r="J2671" s="19"/>
      <c r="K2671" s="19"/>
      <c r="L2671" s="19"/>
      <c r="M2671" s="19"/>
      <c r="N2671" s="20" t="s">
        <v>39</v>
      </c>
      <c r="O2671" s="19"/>
      <c r="P2671" s="19"/>
      <c r="Q2671" s="19"/>
      <c r="R2671" s="19"/>
      <c r="S2671" s="19"/>
      <c r="T2671" s="19"/>
      <c r="U2671" s="19"/>
      <c r="V2671" s="19"/>
    </row>
    <row r="2672">
      <c r="A2672" s="25"/>
      <c r="B2672" s="19"/>
      <c r="C2672" s="19"/>
      <c r="D2672" s="19"/>
      <c r="E2672" s="19"/>
      <c r="F2672" s="17" t="str">
        <f>IFERROR(__xludf.DUMMYFUNCTION("""COMPUTED_VALUE"""),"")</f>
        <v/>
      </c>
      <c r="G2672" s="20"/>
      <c r="H2672" s="19"/>
      <c r="I2672" s="19"/>
      <c r="J2672" s="19"/>
      <c r="K2672" s="19"/>
      <c r="L2672" s="19"/>
      <c r="M2672" s="19"/>
      <c r="N2672" s="20" t="s">
        <v>39</v>
      </c>
      <c r="O2672" s="19"/>
      <c r="P2672" s="19"/>
      <c r="Q2672" s="19"/>
      <c r="R2672" s="19"/>
      <c r="S2672" s="19"/>
      <c r="T2672" s="19"/>
      <c r="U2672" s="19"/>
      <c r="V2672" s="19"/>
    </row>
    <row r="2673">
      <c r="A2673" s="25"/>
      <c r="B2673" s="19"/>
      <c r="C2673" s="19"/>
      <c r="D2673" s="19"/>
      <c r="E2673" s="19"/>
      <c r="F2673" s="17" t="str">
        <f>IFERROR(__xludf.DUMMYFUNCTION("""COMPUTED_VALUE"""),"")</f>
        <v/>
      </c>
      <c r="G2673" s="20"/>
      <c r="H2673" s="19"/>
      <c r="I2673" s="19"/>
      <c r="J2673" s="19"/>
      <c r="K2673" s="19"/>
      <c r="L2673" s="19"/>
      <c r="M2673" s="19"/>
      <c r="N2673" s="20" t="s">
        <v>39</v>
      </c>
      <c r="O2673" s="19"/>
      <c r="P2673" s="19"/>
      <c r="Q2673" s="19"/>
      <c r="R2673" s="19"/>
      <c r="S2673" s="19"/>
      <c r="T2673" s="19"/>
      <c r="U2673" s="19"/>
      <c r="V2673" s="19"/>
    </row>
    <row r="2674">
      <c r="A2674" s="25"/>
      <c r="B2674" s="19"/>
      <c r="C2674" s="19"/>
      <c r="D2674" s="19"/>
      <c r="E2674" s="19"/>
      <c r="F2674" s="17" t="str">
        <f>IFERROR(__xludf.DUMMYFUNCTION("""COMPUTED_VALUE"""),"")</f>
        <v/>
      </c>
      <c r="G2674" s="20"/>
      <c r="H2674" s="19"/>
      <c r="I2674" s="19"/>
      <c r="J2674" s="19"/>
      <c r="K2674" s="19"/>
      <c r="L2674" s="19"/>
      <c r="M2674" s="19"/>
      <c r="N2674" s="20" t="s">
        <v>39</v>
      </c>
      <c r="O2674" s="19"/>
      <c r="P2674" s="19"/>
      <c r="Q2674" s="19"/>
      <c r="R2674" s="19"/>
      <c r="S2674" s="19"/>
      <c r="T2674" s="19"/>
      <c r="U2674" s="19"/>
      <c r="V2674" s="19"/>
    </row>
    <row r="2675">
      <c r="A2675" s="25"/>
      <c r="B2675" s="19"/>
      <c r="C2675" s="19"/>
      <c r="D2675" s="19"/>
      <c r="E2675" s="19"/>
      <c r="F2675" s="17" t="str">
        <f>IFERROR(__xludf.DUMMYFUNCTION("""COMPUTED_VALUE"""),"")</f>
        <v/>
      </c>
      <c r="G2675" s="20"/>
      <c r="H2675" s="19"/>
      <c r="I2675" s="19"/>
      <c r="J2675" s="19"/>
      <c r="K2675" s="19"/>
      <c r="L2675" s="19"/>
      <c r="M2675" s="19"/>
      <c r="N2675" s="20" t="s">
        <v>39</v>
      </c>
      <c r="O2675" s="19"/>
      <c r="P2675" s="19"/>
      <c r="Q2675" s="19"/>
      <c r="R2675" s="19"/>
      <c r="S2675" s="19"/>
      <c r="T2675" s="19"/>
      <c r="U2675" s="19"/>
      <c r="V2675" s="19"/>
    </row>
    <row r="2676">
      <c r="A2676" s="25"/>
      <c r="B2676" s="19"/>
      <c r="C2676" s="19"/>
      <c r="D2676" s="19"/>
      <c r="E2676" s="19"/>
      <c r="F2676" s="17" t="str">
        <f>IFERROR(__xludf.DUMMYFUNCTION("""COMPUTED_VALUE"""),"")</f>
        <v/>
      </c>
      <c r="G2676" s="20"/>
      <c r="H2676" s="19"/>
      <c r="I2676" s="19"/>
      <c r="J2676" s="19"/>
      <c r="K2676" s="19"/>
      <c r="L2676" s="19"/>
      <c r="M2676" s="19"/>
      <c r="N2676" s="20" t="s">
        <v>39</v>
      </c>
      <c r="O2676" s="19"/>
      <c r="P2676" s="19"/>
      <c r="Q2676" s="19"/>
      <c r="R2676" s="19"/>
      <c r="S2676" s="19"/>
      <c r="T2676" s="19"/>
      <c r="U2676" s="19"/>
      <c r="V2676" s="19"/>
    </row>
    <row r="2677">
      <c r="A2677" s="25"/>
      <c r="B2677" s="19"/>
      <c r="C2677" s="19"/>
      <c r="D2677" s="19"/>
      <c r="E2677" s="19"/>
      <c r="F2677" s="17" t="str">
        <f>IFERROR(__xludf.DUMMYFUNCTION("""COMPUTED_VALUE"""),"")</f>
        <v/>
      </c>
      <c r="G2677" s="20"/>
      <c r="H2677" s="19"/>
      <c r="I2677" s="19"/>
      <c r="J2677" s="19"/>
      <c r="K2677" s="19"/>
      <c r="L2677" s="19"/>
      <c r="M2677" s="19"/>
      <c r="N2677" s="20" t="s">
        <v>39</v>
      </c>
      <c r="O2677" s="19"/>
      <c r="P2677" s="19"/>
      <c r="Q2677" s="19"/>
      <c r="R2677" s="19"/>
      <c r="S2677" s="19"/>
      <c r="T2677" s="19"/>
      <c r="U2677" s="19"/>
      <c r="V2677" s="19"/>
    </row>
    <row r="2678">
      <c r="A2678" s="25"/>
      <c r="B2678" s="19"/>
      <c r="C2678" s="19"/>
      <c r="D2678" s="19"/>
      <c r="E2678" s="19"/>
      <c r="F2678" s="17" t="str">
        <f>IFERROR(__xludf.DUMMYFUNCTION("""COMPUTED_VALUE"""),"")</f>
        <v/>
      </c>
      <c r="G2678" s="20"/>
      <c r="H2678" s="19"/>
      <c r="I2678" s="19"/>
      <c r="J2678" s="19"/>
      <c r="K2678" s="19"/>
      <c r="L2678" s="19"/>
      <c r="M2678" s="19"/>
      <c r="N2678" s="20" t="s">
        <v>39</v>
      </c>
      <c r="O2678" s="19"/>
      <c r="P2678" s="19"/>
      <c r="Q2678" s="19"/>
      <c r="R2678" s="19"/>
      <c r="S2678" s="19"/>
      <c r="T2678" s="19"/>
      <c r="U2678" s="19"/>
      <c r="V2678" s="19"/>
    </row>
    <row r="2679">
      <c r="A2679" s="25"/>
      <c r="B2679" s="19"/>
      <c r="C2679" s="19"/>
      <c r="D2679" s="19"/>
      <c r="E2679" s="19"/>
      <c r="F2679" s="17" t="str">
        <f>IFERROR(__xludf.DUMMYFUNCTION("""COMPUTED_VALUE"""),"")</f>
        <v/>
      </c>
      <c r="G2679" s="20"/>
      <c r="H2679" s="19"/>
      <c r="I2679" s="19"/>
      <c r="J2679" s="19"/>
      <c r="K2679" s="19"/>
      <c r="L2679" s="19"/>
      <c r="M2679" s="19"/>
      <c r="N2679" s="20" t="s">
        <v>39</v>
      </c>
      <c r="O2679" s="19"/>
      <c r="P2679" s="19"/>
      <c r="Q2679" s="19"/>
      <c r="R2679" s="19"/>
      <c r="S2679" s="19"/>
      <c r="T2679" s="19"/>
      <c r="U2679" s="19"/>
      <c r="V2679" s="19"/>
    </row>
    <row r="2680">
      <c r="A2680" s="25"/>
      <c r="B2680" s="19"/>
      <c r="C2680" s="19"/>
      <c r="D2680" s="19"/>
      <c r="E2680" s="19"/>
      <c r="F2680" s="17" t="str">
        <f>IFERROR(__xludf.DUMMYFUNCTION("""COMPUTED_VALUE"""),"")</f>
        <v/>
      </c>
      <c r="G2680" s="20"/>
      <c r="H2680" s="19"/>
      <c r="I2680" s="19"/>
      <c r="J2680" s="19"/>
      <c r="K2680" s="19"/>
      <c r="L2680" s="19"/>
      <c r="M2680" s="19"/>
      <c r="N2680" s="20" t="s">
        <v>39</v>
      </c>
      <c r="O2680" s="19"/>
      <c r="P2680" s="19"/>
      <c r="Q2680" s="19"/>
      <c r="R2680" s="19"/>
      <c r="S2680" s="19"/>
      <c r="T2680" s="19"/>
      <c r="U2680" s="19"/>
      <c r="V2680" s="19"/>
    </row>
    <row r="2681">
      <c r="A2681" s="25"/>
      <c r="B2681" s="19"/>
      <c r="C2681" s="19"/>
      <c r="D2681" s="19"/>
      <c r="E2681" s="19"/>
      <c r="F2681" s="17" t="str">
        <f>IFERROR(__xludf.DUMMYFUNCTION("""COMPUTED_VALUE"""),"")</f>
        <v/>
      </c>
      <c r="G2681" s="20"/>
      <c r="H2681" s="19"/>
      <c r="I2681" s="19"/>
      <c r="J2681" s="19"/>
      <c r="K2681" s="19"/>
      <c r="L2681" s="19"/>
      <c r="M2681" s="19"/>
      <c r="N2681" s="20" t="s">
        <v>39</v>
      </c>
      <c r="O2681" s="19"/>
      <c r="P2681" s="19"/>
      <c r="Q2681" s="19"/>
      <c r="R2681" s="19"/>
      <c r="S2681" s="19"/>
      <c r="T2681" s="19"/>
      <c r="U2681" s="19"/>
      <c r="V2681" s="19"/>
    </row>
    <row r="2682">
      <c r="A2682" s="25"/>
      <c r="B2682" s="19"/>
      <c r="C2682" s="19"/>
      <c r="D2682" s="19"/>
      <c r="E2682" s="19"/>
      <c r="F2682" s="17" t="str">
        <f>IFERROR(__xludf.DUMMYFUNCTION("""COMPUTED_VALUE"""),"")</f>
        <v/>
      </c>
      <c r="G2682" s="20"/>
      <c r="H2682" s="19"/>
      <c r="I2682" s="19"/>
      <c r="J2682" s="19"/>
      <c r="K2682" s="19"/>
      <c r="L2682" s="19"/>
      <c r="M2682" s="19"/>
      <c r="N2682" s="20" t="s">
        <v>39</v>
      </c>
      <c r="O2682" s="19"/>
      <c r="P2682" s="19"/>
      <c r="Q2682" s="19"/>
      <c r="R2682" s="19"/>
      <c r="S2682" s="19"/>
      <c r="T2682" s="19"/>
      <c r="U2682" s="19"/>
      <c r="V2682" s="19"/>
    </row>
    <row r="2683">
      <c r="A2683" s="25"/>
      <c r="B2683" s="19"/>
      <c r="C2683" s="19"/>
      <c r="D2683" s="19"/>
      <c r="E2683" s="19"/>
      <c r="F2683" s="17" t="str">
        <f>IFERROR(__xludf.DUMMYFUNCTION("""COMPUTED_VALUE"""),"")</f>
        <v/>
      </c>
      <c r="G2683" s="20"/>
      <c r="H2683" s="19"/>
      <c r="I2683" s="19"/>
      <c r="J2683" s="19"/>
      <c r="K2683" s="19"/>
      <c r="L2683" s="19"/>
      <c r="M2683" s="19"/>
      <c r="N2683" s="20" t="s">
        <v>39</v>
      </c>
      <c r="O2683" s="19"/>
      <c r="P2683" s="19"/>
      <c r="Q2683" s="19"/>
      <c r="R2683" s="19"/>
      <c r="S2683" s="19"/>
      <c r="T2683" s="19"/>
      <c r="U2683" s="19"/>
      <c r="V2683" s="19"/>
    </row>
    <row r="2684">
      <c r="A2684" s="25"/>
      <c r="B2684" s="19"/>
      <c r="C2684" s="19"/>
      <c r="D2684" s="19"/>
      <c r="E2684" s="19"/>
      <c r="F2684" s="17" t="str">
        <f>IFERROR(__xludf.DUMMYFUNCTION("""COMPUTED_VALUE"""),"")</f>
        <v/>
      </c>
      <c r="G2684" s="20"/>
      <c r="H2684" s="19"/>
      <c r="I2684" s="19"/>
      <c r="J2684" s="19"/>
      <c r="K2684" s="19"/>
      <c r="L2684" s="19"/>
      <c r="M2684" s="19"/>
      <c r="N2684" s="20" t="s">
        <v>39</v>
      </c>
      <c r="O2684" s="19"/>
      <c r="P2684" s="19"/>
      <c r="Q2684" s="19"/>
      <c r="R2684" s="19"/>
      <c r="S2684" s="19"/>
      <c r="T2684" s="19"/>
      <c r="U2684" s="19"/>
      <c r="V2684" s="19"/>
    </row>
    <row r="2685">
      <c r="A2685" s="25"/>
      <c r="B2685" s="19"/>
      <c r="C2685" s="19"/>
      <c r="D2685" s="19"/>
      <c r="E2685" s="19"/>
      <c r="F2685" s="17" t="str">
        <f>IFERROR(__xludf.DUMMYFUNCTION("""COMPUTED_VALUE"""),"")</f>
        <v/>
      </c>
      <c r="G2685" s="20"/>
      <c r="H2685" s="19"/>
      <c r="I2685" s="19"/>
      <c r="J2685" s="19"/>
      <c r="K2685" s="19"/>
      <c r="L2685" s="19"/>
      <c r="M2685" s="19"/>
      <c r="N2685" s="20" t="s">
        <v>39</v>
      </c>
      <c r="O2685" s="19"/>
      <c r="P2685" s="19"/>
      <c r="Q2685" s="19"/>
      <c r="R2685" s="19"/>
      <c r="S2685" s="19"/>
      <c r="T2685" s="19"/>
      <c r="U2685" s="19"/>
      <c r="V2685" s="19"/>
    </row>
    <row r="2686">
      <c r="A2686" s="25"/>
      <c r="B2686" s="19"/>
      <c r="C2686" s="19"/>
      <c r="D2686" s="19"/>
      <c r="E2686" s="19"/>
      <c r="F2686" s="17" t="str">
        <f>IFERROR(__xludf.DUMMYFUNCTION("""COMPUTED_VALUE"""),"")</f>
        <v/>
      </c>
      <c r="G2686" s="20"/>
      <c r="H2686" s="19"/>
      <c r="I2686" s="19"/>
      <c r="J2686" s="19"/>
      <c r="K2686" s="19"/>
      <c r="L2686" s="19"/>
      <c r="M2686" s="19"/>
      <c r="N2686" s="20" t="s">
        <v>39</v>
      </c>
      <c r="O2686" s="19"/>
      <c r="P2686" s="19"/>
      <c r="Q2686" s="19"/>
      <c r="R2686" s="19"/>
      <c r="S2686" s="19"/>
      <c r="T2686" s="19"/>
      <c r="U2686" s="19"/>
      <c r="V2686" s="19"/>
    </row>
    <row r="2687">
      <c r="A2687" s="25"/>
      <c r="B2687" s="19"/>
      <c r="C2687" s="19"/>
      <c r="D2687" s="19"/>
      <c r="E2687" s="19"/>
      <c r="F2687" s="17" t="str">
        <f>IFERROR(__xludf.DUMMYFUNCTION("""COMPUTED_VALUE"""),"")</f>
        <v/>
      </c>
      <c r="G2687" s="20"/>
      <c r="H2687" s="19"/>
      <c r="I2687" s="19"/>
      <c r="J2687" s="19"/>
      <c r="K2687" s="19"/>
      <c r="L2687" s="19"/>
      <c r="M2687" s="19"/>
      <c r="N2687" s="20" t="s">
        <v>39</v>
      </c>
      <c r="O2687" s="19"/>
      <c r="P2687" s="19"/>
      <c r="Q2687" s="19"/>
      <c r="R2687" s="19"/>
      <c r="S2687" s="19"/>
      <c r="T2687" s="19"/>
      <c r="U2687" s="19"/>
      <c r="V2687" s="19"/>
    </row>
    <row r="2688">
      <c r="A2688" s="25"/>
      <c r="B2688" s="19"/>
      <c r="C2688" s="19"/>
      <c r="D2688" s="19"/>
      <c r="E2688" s="19"/>
      <c r="F2688" s="17" t="str">
        <f>IFERROR(__xludf.DUMMYFUNCTION("""COMPUTED_VALUE"""),"")</f>
        <v/>
      </c>
      <c r="G2688" s="20"/>
      <c r="H2688" s="19"/>
      <c r="I2688" s="19"/>
      <c r="J2688" s="19"/>
      <c r="K2688" s="19"/>
      <c r="L2688" s="19"/>
      <c r="M2688" s="19"/>
      <c r="N2688" s="20" t="s">
        <v>39</v>
      </c>
      <c r="O2688" s="19"/>
      <c r="P2688" s="19"/>
      <c r="Q2688" s="19"/>
      <c r="R2688" s="19"/>
      <c r="S2688" s="19"/>
      <c r="T2688" s="19"/>
      <c r="U2688" s="19"/>
      <c r="V2688" s="19"/>
    </row>
    <row r="2689">
      <c r="A2689" s="25"/>
      <c r="B2689" s="19"/>
      <c r="C2689" s="19"/>
      <c r="D2689" s="19"/>
      <c r="E2689" s="19"/>
      <c r="F2689" s="17" t="str">
        <f>IFERROR(__xludf.DUMMYFUNCTION("""COMPUTED_VALUE"""),"")</f>
        <v/>
      </c>
      <c r="G2689" s="20"/>
      <c r="H2689" s="19"/>
      <c r="I2689" s="19"/>
      <c r="J2689" s="19"/>
      <c r="K2689" s="19"/>
      <c r="L2689" s="19"/>
      <c r="M2689" s="19"/>
      <c r="N2689" s="20" t="s">
        <v>39</v>
      </c>
      <c r="O2689" s="19"/>
      <c r="P2689" s="19"/>
      <c r="Q2689" s="19"/>
      <c r="R2689" s="19"/>
      <c r="S2689" s="19"/>
      <c r="T2689" s="19"/>
      <c r="U2689" s="19"/>
      <c r="V2689" s="19"/>
    </row>
    <row r="2690">
      <c r="A2690" s="25"/>
      <c r="B2690" s="19"/>
      <c r="C2690" s="19"/>
      <c r="D2690" s="19"/>
      <c r="E2690" s="19"/>
      <c r="F2690" s="17" t="str">
        <f>IFERROR(__xludf.DUMMYFUNCTION("""COMPUTED_VALUE"""),"")</f>
        <v/>
      </c>
      <c r="G2690" s="20"/>
      <c r="H2690" s="19"/>
      <c r="I2690" s="19"/>
      <c r="J2690" s="19"/>
      <c r="K2690" s="19"/>
      <c r="L2690" s="19"/>
      <c r="M2690" s="19"/>
      <c r="N2690" s="20" t="s">
        <v>39</v>
      </c>
      <c r="O2690" s="19"/>
      <c r="P2690" s="19"/>
      <c r="Q2690" s="19"/>
      <c r="R2690" s="19"/>
      <c r="S2690" s="19"/>
      <c r="T2690" s="19"/>
      <c r="U2690" s="19"/>
      <c r="V2690" s="19"/>
    </row>
    <row r="2691">
      <c r="A2691" s="25"/>
      <c r="B2691" s="19"/>
      <c r="C2691" s="19"/>
      <c r="D2691" s="19"/>
      <c r="E2691" s="19"/>
      <c r="F2691" s="17" t="str">
        <f>IFERROR(__xludf.DUMMYFUNCTION("""COMPUTED_VALUE"""),"")</f>
        <v/>
      </c>
      <c r="G2691" s="20"/>
      <c r="H2691" s="19"/>
      <c r="I2691" s="19"/>
      <c r="J2691" s="19"/>
      <c r="K2691" s="19"/>
      <c r="L2691" s="19"/>
      <c r="M2691" s="19"/>
      <c r="N2691" s="20" t="s">
        <v>39</v>
      </c>
      <c r="O2691" s="19"/>
      <c r="P2691" s="19"/>
      <c r="Q2691" s="19"/>
      <c r="R2691" s="19"/>
      <c r="S2691" s="19"/>
      <c r="T2691" s="19"/>
      <c r="U2691" s="19"/>
      <c r="V2691" s="19"/>
    </row>
    <row r="2692">
      <c r="A2692" s="25"/>
      <c r="B2692" s="19"/>
      <c r="C2692" s="19"/>
      <c r="D2692" s="19"/>
      <c r="E2692" s="19"/>
      <c r="F2692" s="17" t="str">
        <f>IFERROR(__xludf.DUMMYFUNCTION("""COMPUTED_VALUE"""),"")</f>
        <v/>
      </c>
      <c r="G2692" s="20"/>
      <c r="H2692" s="19"/>
      <c r="I2692" s="19"/>
      <c r="J2692" s="19"/>
      <c r="K2692" s="19"/>
      <c r="L2692" s="19"/>
      <c r="M2692" s="19"/>
      <c r="N2692" s="20" t="s">
        <v>39</v>
      </c>
      <c r="O2692" s="19"/>
      <c r="P2692" s="19"/>
      <c r="Q2692" s="19"/>
      <c r="R2692" s="19"/>
      <c r="S2692" s="19"/>
      <c r="T2692" s="19"/>
      <c r="U2692" s="19"/>
      <c r="V2692" s="19"/>
    </row>
    <row r="2693">
      <c r="A2693" s="25"/>
      <c r="B2693" s="19"/>
      <c r="C2693" s="19"/>
      <c r="D2693" s="19"/>
      <c r="E2693" s="19"/>
      <c r="F2693" s="17" t="str">
        <f>IFERROR(__xludf.DUMMYFUNCTION("""COMPUTED_VALUE"""),"")</f>
        <v/>
      </c>
      <c r="G2693" s="20"/>
      <c r="H2693" s="19"/>
      <c r="I2693" s="19"/>
      <c r="J2693" s="19"/>
      <c r="K2693" s="19"/>
      <c r="L2693" s="19"/>
      <c r="M2693" s="19"/>
      <c r="N2693" s="20" t="s">
        <v>39</v>
      </c>
      <c r="O2693" s="19"/>
      <c r="P2693" s="19"/>
      <c r="Q2693" s="19"/>
      <c r="R2693" s="19"/>
      <c r="S2693" s="19"/>
      <c r="T2693" s="19"/>
      <c r="U2693" s="19"/>
      <c r="V2693" s="19"/>
    </row>
    <row r="2694">
      <c r="A2694" s="25"/>
      <c r="B2694" s="19"/>
      <c r="C2694" s="19"/>
      <c r="D2694" s="19"/>
      <c r="E2694" s="19"/>
      <c r="F2694" s="17" t="str">
        <f>IFERROR(__xludf.DUMMYFUNCTION("""COMPUTED_VALUE"""),"")</f>
        <v/>
      </c>
      <c r="G2694" s="20"/>
      <c r="H2694" s="19"/>
      <c r="I2694" s="19"/>
      <c r="J2694" s="19"/>
      <c r="K2694" s="19"/>
      <c r="L2694" s="19"/>
      <c r="M2694" s="19"/>
      <c r="N2694" s="20" t="s">
        <v>39</v>
      </c>
      <c r="O2694" s="19"/>
      <c r="P2694" s="19"/>
      <c r="Q2694" s="19"/>
      <c r="R2694" s="19"/>
      <c r="S2694" s="19"/>
      <c r="T2694" s="19"/>
      <c r="U2694" s="19"/>
      <c r="V2694" s="19"/>
    </row>
    <row r="2695">
      <c r="A2695" s="25"/>
      <c r="B2695" s="19"/>
      <c r="C2695" s="19"/>
      <c r="D2695" s="19"/>
      <c r="E2695" s="19"/>
      <c r="F2695" s="17" t="str">
        <f>IFERROR(__xludf.DUMMYFUNCTION("""COMPUTED_VALUE"""),"")</f>
        <v/>
      </c>
      <c r="G2695" s="20"/>
      <c r="H2695" s="19"/>
      <c r="I2695" s="19"/>
      <c r="J2695" s="19"/>
      <c r="K2695" s="19"/>
      <c r="L2695" s="19"/>
      <c r="M2695" s="19"/>
      <c r="N2695" s="20" t="s">
        <v>39</v>
      </c>
      <c r="O2695" s="19"/>
      <c r="P2695" s="19"/>
      <c r="Q2695" s="19"/>
      <c r="R2695" s="19"/>
      <c r="S2695" s="19"/>
      <c r="T2695" s="19"/>
      <c r="U2695" s="19"/>
      <c r="V2695" s="19"/>
    </row>
    <row r="2696">
      <c r="A2696" s="25"/>
      <c r="B2696" s="19"/>
      <c r="C2696" s="19"/>
      <c r="D2696" s="19"/>
      <c r="E2696" s="19"/>
      <c r="F2696" s="17" t="str">
        <f>IFERROR(__xludf.DUMMYFUNCTION("""COMPUTED_VALUE"""),"")</f>
        <v/>
      </c>
      <c r="G2696" s="20"/>
      <c r="H2696" s="19"/>
      <c r="I2696" s="19"/>
      <c r="J2696" s="19"/>
      <c r="K2696" s="19"/>
      <c r="L2696" s="19"/>
      <c r="M2696" s="19"/>
      <c r="N2696" s="20" t="s">
        <v>39</v>
      </c>
      <c r="O2696" s="19"/>
      <c r="P2696" s="19"/>
      <c r="Q2696" s="19"/>
      <c r="R2696" s="19"/>
      <c r="S2696" s="19"/>
      <c r="T2696" s="19"/>
      <c r="U2696" s="19"/>
      <c r="V2696" s="19"/>
    </row>
    <row r="2697">
      <c r="A2697" s="25"/>
      <c r="B2697" s="19"/>
      <c r="C2697" s="19"/>
      <c r="D2697" s="19"/>
      <c r="E2697" s="19"/>
      <c r="F2697" s="17" t="str">
        <f>IFERROR(__xludf.DUMMYFUNCTION("""COMPUTED_VALUE"""),"")</f>
        <v/>
      </c>
      <c r="G2697" s="20"/>
      <c r="H2697" s="19"/>
      <c r="I2697" s="19"/>
      <c r="J2697" s="19"/>
      <c r="K2697" s="19"/>
      <c r="L2697" s="19"/>
      <c r="M2697" s="19"/>
      <c r="N2697" s="20" t="s">
        <v>39</v>
      </c>
      <c r="O2697" s="19"/>
      <c r="P2697" s="19"/>
      <c r="Q2697" s="19"/>
      <c r="R2697" s="19"/>
      <c r="S2697" s="19"/>
      <c r="T2697" s="19"/>
      <c r="U2697" s="19"/>
      <c r="V2697" s="19"/>
    </row>
    <row r="2698">
      <c r="A2698" s="25"/>
      <c r="B2698" s="19"/>
      <c r="C2698" s="19"/>
      <c r="D2698" s="19"/>
      <c r="E2698" s="19"/>
      <c r="F2698" s="17" t="str">
        <f>IFERROR(__xludf.DUMMYFUNCTION("""COMPUTED_VALUE"""),"")</f>
        <v/>
      </c>
      <c r="G2698" s="20"/>
      <c r="H2698" s="19"/>
      <c r="I2698" s="19"/>
      <c r="J2698" s="19"/>
      <c r="K2698" s="19"/>
      <c r="L2698" s="19"/>
      <c r="M2698" s="19"/>
      <c r="N2698" s="20" t="s">
        <v>39</v>
      </c>
      <c r="O2698" s="19"/>
      <c r="P2698" s="19"/>
      <c r="Q2698" s="19"/>
      <c r="R2698" s="19"/>
      <c r="S2698" s="19"/>
      <c r="T2698" s="19"/>
      <c r="U2698" s="19"/>
      <c r="V2698" s="19"/>
    </row>
    <row r="2699">
      <c r="A2699" s="25"/>
      <c r="B2699" s="19"/>
      <c r="C2699" s="19"/>
      <c r="D2699" s="19"/>
      <c r="E2699" s="19"/>
      <c r="F2699" s="17" t="str">
        <f>IFERROR(__xludf.DUMMYFUNCTION("""COMPUTED_VALUE"""),"")</f>
        <v/>
      </c>
      <c r="G2699" s="20"/>
      <c r="H2699" s="19"/>
      <c r="I2699" s="19"/>
      <c r="J2699" s="19"/>
      <c r="K2699" s="19"/>
      <c r="L2699" s="19"/>
      <c r="M2699" s="19"/>
      <c r="N2699" s="20" t="s">
        <v>39</v>
      </c>
      <c r="O2699" s="19"/>
      <c r="P2699" s="19"/>
      <c r="Q2699" s="19"/>
      <c r="R2699" s="19"/>
      <c r="S2699" s="19"/>
      <c r="T2699" s="19"/>
      <c r="U2699" s="19"/>
      <c r="V2699" s="19"/>
    </row>
    <row r="2700">
      <c r="A2700" s="25"/>
      <c r="B2700" s="19"/>
      <c r="C2700" s="19"/>
      <c r="D2700" s="19"/>
      <c r="E2700" s="19"/>
      <c r="F2700" s="17" t="str">
        <f>IFERROR(__xludf.DUMMYFUNCTION("""COMPUTED_VALUE"""),"")</f>
        <v/>
      </c>
      <c r="G2700" s="20"/>
      <c r="H2700" s="19"/>
      <c r="I2700" s="19"/>
      <c r="J2700" s="19"/>
      <c r="K2700" s="19"/>
      <c r="L2700" s="19"/>
      <c r="M2700" s="19"/>
      <c r="N2700" s="20" t="s">
        <v>39</v>
      </c>
      <c r="O2700" s="19"/>
      <c r="P2700" s="19"/>
      <c r="Q2700" s="19"/>
      <c r="R2700" s="19"/>
      <c r="S2700" s="19"/>
      <c r="T2700" s="19"/>
      <c r="U2700" s="19"/>
      <c r="V2700" s="19"/>
    </row>
    <row r="2701">
      <c r="A2701" s="25"/>
      <c r="B2701" s="19"/>
      <c r="C2701" s="19"/>
      <c r="D2701" s="19"/>
      <c r="E2701" s="19"/>
      <c r="F2701" s="17" t="str">
        <f>IFERROR(__xludf.DUMMYFUNCTION("""COMPUTED_VALUE"""),"")</f>
        <v/>
      </c>
      <c r="G2701" s="20"/>
      <c r="H2701" s="19"/>
      <c r="I2701" s="19"/>
      <c r="J2701" s="19"/>
      <c r="K2701" s="19"/>
      <c r="L2701" s="19"/>
      <c r="M2701" s="19"/>
      <c r="N2701" s="20" t="s">
        <v>39</v>
      </c>
      <c r="O2701" s="19"/>
      <c r="P2701" s="19"/>
      <c r="Q2701" s="19"/>
      <c r="R2701" s="19"/>
      <c r="S2701" s="19"/>
      <c r="T2701" s="19"/>
      <c r="U2701" s="19"/>
      <c r="V2701" s="19"/>
    </row>
    <row r="2702">
      <c r="A2702" s="25"/>
      <c r="B2702" s="19"/>
      <c r="C2702" s="19"/>
      <c r="D2702" s="19"/>
      <c r="E2702" s="19"/>
      <c r="F2702" s="17" t="str">
        <f>IFERROR(__xludf.DUMMYFUNCTION("""COMPUTED_VALUE"""),"")</f>
        <v/>
      </c>
      <c r="G2702" s="20"/>
      <c r="H2702" s="19"/>
      <c r="I2702" s="19"/>
      <c r="J2702" s="19"/>
      <c r="K2702" s="19"/>
      <c r="L2702" s="19"/>
      <c r="M2702" s="19"/>
      <c r="N2702" s="20" t="s">
        <v>39</v>
      </c>
      <c r="O2702" s="19"/>
      <c r="P2702" s="19"/>
      <c r="Q2702" s="19"/>
      <c r="R2702" s="19"/>
      <c r="S2702" s="19"/>
      <c r="T2702" s="19"/>
      <c r="U2702" s="19"/>
      <c r="V2702" s="19"/>
    </row>
    <row r="2703">
      <c r="A2703" s="25"/>
      <c r="B2703" s="19"/>
      <c r="C2703" s="19"/>
      <c r="D2703" s="19"/>
      <c r="E2703" s="19"/>
      <c r="F2703" s="17" t="str">
        <f>IFERROR(__xludf.DUMMYFUNCTION("""COMPUTED_VALUE"""),"")</f>
        <v/>
      </c>
      <c r="G2703" s="20"/>
      <c r="H2703" s="19"/>
      <c r="I2703" s="19"/>
      <c r="J2703" s="19"/>
      <c r="K2703" s="19"/>
      <c r="L2703" s="19"/>
      <c r="M2703" s="19"/>
      <c r="N2703" s="20" t="s">
        <v>39</v>
      </c>
      <c r="O2703" s="19"/>
      <c r="P2703" s="19"/>
      <c r="Q2703" s="19"/>
      <c r="R2703" s="19"/>
      <c r="S2703" s="19"/>
      <c r="T2703" s="19"/>
      <c r="U2703" s="19"/>
      <c r="V2703" s="19"/>
    </row>
    <row r="2704">
      <c r="A2704" s="25"/>
      <c r="B2704" s="19"/>
      <c r="C2704" s="19"/>
      <c r="D2704" s="19"/>
      <c r="E2704" s="19"/>
      <c r="F2704" s="17" t="str">
        <f>IFERROR(__xludf.DUMMYFUNCTION("""COMPUTED_VALUE"""),"")</f>
        <v/>
      </c>
      <c r="G2704" s="20"/>
      <c r="H2704" s="19"/>
      <c r="I2704" s="19"/>
      <c r="J2704" s="19"/>
      <c r="K2704" s="19"/>
      <c r="L2704" s="19"/>
      <c r="M2704" s="19"/>
      <c r="N2704" s="20" t="s">
        <v>39</v>
      </c>
      <c r="O2704" s="19"/>
      <c r="P2704" s="19"/>
      <c r="Q2704" s="19"/>
      <c r="R2704" s="19"/>
      <c r="S2704" s="19"/>
      <c r="T2704" s="19"/>
      <c r="U2704" s="19"/>
      <c r="V2704" s="19"/>
    </row>
    <row r="2705">
      <c r="A2705" s="25"/>
      <c r="B2705" s="19"/>
      <c r="C2705" s="19"/>
      <c r="D2705" s="19"/>
      <c r="E2705" s="19"/>
      <c r="F2705" s="17" t="str">
        <f>IFERROR(__xludf.DUMMYFUNCTION("""COMPUTED_VALUE"""),"")</f>
        <v/>
      </c>
      <c r="G2705" s="20"/>
      <c r="H2705" s="19"/>
      <c r="I2705" s="19"/>
      <c r="J2705" s="19"/>
      <c r="K2705" s="19"/>
      <c r="L2705" s="19"/>
      <c r="M2705" s="19"/>
      <c r="N2705" s="20" t="s">
        <v>39</v>
      </c>
      <c r="O2705" s="19"/>
      <c r="P2705" s="19"/>
      <c r="Q2705" s="19"/>
      <c r="R2705" s="19"/>
      <c r="S2705" s="19"/>
      <c r="T2705" s="19"/>
      <c r="U2705" s="19"/>
      <c r="V2705" s="19"/>
    </row>
    <row r="2706">
      <c r="A2706" s="25"/>
      <c r="B2706" s="19"/>
      <c r="C2706" s="19"/>
      <c r="D2706" s="19"/>
      <c r="E2706" s="19"/>
      <c r="F2706" s="17" t="str">
        <f>IFERROR(__xludf.DUMMYFUNCTION("""COMPUTED_VALUE"""),"")</f>
        <v/>
      </c>
      <c r="G2706" s="20"/>
      <c r="H2706" s="19"/>
      <c r="I2706" s="19"/>
      <c r="J2706" s="19"/>
      <c r="K2706" s="19"/>
      <c r="L2706" s="19"/>
      <c r="M2706" s="19"/>
      <c r="N2706" s="20" t="s">
        <v>39</v>
      </c>
      <c r="O2706" s="19"/>
      <c r="P2706" s="19"/>
      <c r="Q2706" s="19"/>
      <c r="R2706" s="19"/>
      <c r="S2706" s="19"/>
      <c r="T2706" s="19"/>
      <c r="U2706" s="19"/>
      <c r="V2706" s="19"/>
    </row>
    <row r="2707">
      <c r="A2707" s="25"/>
      <c r="B2707" s="19"/>
      <c r="C2707" s="19"/>
      <c r="D2707" s="19"/>
      <c r="E2707" s="19"/>
      <c r="F2707" s="17" t="str">
        <f>IFERROR(__xludf.DUMMYFUNCTION("""COMPUTED_VALUE"""),"")</f>
        <v/>
      </c>
      <c r="G2707" s="20"/>
      <c r="H2707" s="19"/>
      <c r="I2707" s="19"/>
      <c r="J2707" s="19"/>
      <c r="K2707" s="19"/>
      <c r="L2707" s="19"/>
      <c r="M2707" s="19"/>
      <c r="N2707" s="20" t="s">
        <v>39</v>
      </c>
      <c r="O2707" s="19"/>
      <c r="P2707" s="19"/>
      <c r="Q2707" s="19"/>
      <c r="R2707" s="19"/>
      <c r="S2707" s="19"/>
      <c r="T2707" s="19"/>
      <c r="U2707" s="19"/>
      <c r="V2707" s="19"/>
    </row>
    <row r="2708">
      <c r="A2708" s="25"/>
      <c r="B2708" s="19"/>
      <c r="C2708" s="19"/>
      <c r="D2708" s="19"/>
      <c r="E2708" s="19"/>
      <c r="F2708" s="17" t="str">
        <f>IFERROR(__xludf.DUMMYFUNCTION("""COMPUTED_VALUE"""),"")</f>
        <v/>
      </c>
      <c r="G2708" s="20"/>
      <c r="H2708" s="19"/>
      <c r="I2708" s="19"/>
      <c r="J2708" s="19"/>
      <c r="K2708" s="19"/>
      <c r="L2708" s="19"/>
      <c r="M2708" s="19"/>
      <c r="N2708" s="20" t="s">
        <v>39</v>
      </c>
      <c r="O2708" s="19"/>
      <c r="P2708" s="19"/>
      <c r="Q2708" s="19"/>
      <c r="R2708" s="19"/>
      <c r="S2708" s="19"/>
      <c r="T2708" s="19"/>
      <c r="U2708" s="19"/>
      <c r="V2708" s="19"/>
    </row>
    <row r="2709">
      <c r="A2709" s="25"/>
      <c r="B2709" s="19"/>
      <c r="C2709" s="19"/>
      <c r="D2709" s="19"/>
      <c r="E2709" s="19"/>
      <c r="F2709" s="17" t="str">
        <f>IFERROR(__xludf.DUMMYFUNCTION("""COMPUTED_VALUE"""),"")</f>
        <v/>
      </c>
      <c r="G2709" s="20"/>
      <c r="H2709" s="19"/>
      <c r="I2709" s="19"/>
      <c r="J2709" s="19"/>
      <c r="K2709" s="19"/>
      <c r="L2709" s="19"/>
      <c r="M2709" s="19"/>
      <c r="N2709" s="20" t="s">
        <v>39</v>
      </c>
      <c r="O2709" s="19"/>
      <c r="P2709" s="19"/>
      <c r="Q2709" s="19"/>
      <c r="R2709" s="19"/>
      <c r="S2709" s="19"/>
      <c r="T2709" s="19"/>
      <c r="U2709" s="19"/>
      <c r="V2709" s="19"/>
    </row>
    <row r="2710">
      <c r="A2710" s="25"/>
      <c r="B2710" s="19"/>
      <c r="C2710" s="19"/>
      <c r="D2710" s="19"/>
      <c r="E2710" s="19"/>
      <c r="F2710" s="17" t="str">
        <f>IFERROR(__xludf.DUMMYFUNCTION("""COMPUTED_VALUE"""),"")</f>
        <v/>
      </c>
      <c r="G2710" s="20"/>
      <c r="H2710" s="19"/>
      <c r="I2710" s="19"/>
      <c r="J2710" s="19"/>
      <c r="K2710" s="19"/>
      <c r="L2710" s="19"/>
      <c r="M2710" s="19"/>
      <c r="N2710" s="20" t="s">
        <v>39</v>
      </c>
      <c r="O2710" s="19"/>
      <c r="P2710" s="19"/>
      <c r="Q2710" s="19"/>
      <c r="R2710" s="19"/>
      <c r="S2710" s="19"/>
      <c r="T2710" s="19"/>
      <c r="U2710" s="19"/>
      <c r="V2710" s="19"/>
    </row>
    <row r="2711">
      <c r="A2711" s="25"/>
      <c r="B2711" s="19"/>
      <c r="C2711" s="19"/>
      <c r="D2711" s="19"/>
      <c r="E2711" s="19"/>
      <c r="F2711" s="17" t="str">
        <f>IFERROR(__xludf.DUMMYFUNCTION("""COMPUTED_VALUE"""),"")</f>
        <v/>
      </c>
      <c r="G2711" s="20"/>
      <c r="H2711" s="19"/>
      <c r="I2711" s="19"/>
      <c r="J2711" s="19"/>
      <c r="K2711" s="19"/>
      <c r="L2711" s="19"/>
      <c r="M2711" s="19"/>
      <c r="N2711" s="20" t="s">
        <v>39</v>
      </c>
      <c r="O2711" s="19"/>
      <c r="P2711" s="19"/>
      <c r="Q2711" s="19"/>
      <c r="R2711" s="19"/>
      <c r="S2711" s="19"/>
      <c r="T2711" s="19"/>
      <c r="U2711" s="19"/>
      <c r="V2711" s="19"/>
    </row>
    <row r="2712">
      <c r="A2712" s="25"/>
      <c r="B2712" s="19"/>
      <c r="C2712" s="19"/>
      <c r="D2712" s="19"/>
      <c r="E2712" s="19"/>
      <c r="F2712" s="17" t="str">
        <f>IFERROR(__xludf.DUMMYFUNCTION("""COMPUTED_VALUE"""),"")</f>
        <v/>
      </c>
      <c r="G2712" s="20"/>
      <c r="H2712" s="19"/>
      <c r="I2712" s="19"/>
      <c r="J2712" s="19"/>
      <c r="K2712" s="19"/>
      <c r="L2712" s="19"/>
      <c r="M2712" s="19"/>
      <c r="N2712" s="20" t="s">
        <v>39</v>
      </c>
      <c r="O2712" s="19"/>
      <c r="P2712" s="19"/>
      <c r="Q2712" s="19"/>
      <c r="R2712" s="19"/>
      <c r="S2712" s="19"/>
      <c r="T2712" s="19"/>
      <c r="U2712" s="19"/>
      <c r="V2712" s="19"/>
    </row>
    <row r="2713">
      <c r="A2713" s="25"/>
      <c r="B2713" s="19"/>
      <c r="C2713" s="19"/>
      <c r="D2713" s="19"/>
      <c r="E2713" s="19"/>
      <c r="F2713" s="17" t="str">
        <f>IFERROR(__xludf.DUMMYFUNCTION("""COMPUTED_VALUE"""),"")</f>
        <v/>
      </c>
      <c r="G2713" s="20"/>
      <c r="H2713" s="19"/>
      <c r="I2713" s="19"/>
      <c r="J2713" s="19"/>
      <c r="K2713" s="19"/>
      <c r="L2713" s="19"/>
      <c r="M2713" s="19"/>
      <c r="N2713" s="20" t="s">
        <v>39</v>
      </c>
      <c r="O2713" s="19"/>
      <c r="P2713" s="19"/>
      <c r="Q2713" s="19"/>
      <c r="R2713" s="19"/>
      <c r="S2713" s="19"/>
      <c r="T2713" s="19"/>
      <c r="U2713" s="19"/>
      <c r="V2713" s="19"/>
    </row>
    <row r="2714">
      <c r="A2714" s="25"/>
      <c r="B2714" s="19"/>
      <c r="C2714" s="19"/>
      <c r="D2714" s="19"/>
      <c r="E2714" s="19"/>
      <c r="F2714" s="17" t="str">
        <f>IFERROR(__xludf.DUMMYFUNCTION("""COMPUTED_VALUE"""),"")</f>
        <v/>
      </c>
      <c r="G2714" s="20"/>
      <c r="H2714" s="19"/>
      <c r="I2714" s="19"/>
      <c r="J2714" s="19"/>
      <c r="K2714" s="19"/>
      <c r="L2714" s="19"/>
      <c r="M2714" s="19"/>
      <c r="N2714" s="20" t="s">
        <v>39</v>
      </c>
      <c r="O2714" s="19"/>
      <c r="P2714" s="19"/>
      <c r="Q2714" s="19"/>
      <c r="R2714" s="19"/>
      <c r="S2714" s="19"/>
      <c r="T2714" s="19"/>
      <c r="U2714" s="19"/>
      <c r="V2714" s="19"/>
    </row>
    <row r="2715">
      <c r="A2715" s="25"/>
      <c r="B2715" s="19"/>
      <c r="C2715" s="19"/>
      <c r="D2715" s="19"/>
      <c r="E2715" s="19"/>
      <c r="F2715" s="17" t="str">
        <f>IFERROR(__xludf.DUMMYFUNCTION("""COMPUTED_VALUE"""),"")</f>
        <v/>
      </c>
      <c r="G2715" s="20"/>
      <c r="H2715" s="19"/>
      <c r="I2715" s="19"/>
      <c r="J2715" s="19"/>
      <c r="K2715" s="19"/>
      <c r="L2715" s="19"/>
      <c r="M2715" s="19"/>
      <c r="N2715" s="20" t="s">
        <v>39</v>
      </c>
      <c r="O2715" s="19"/>
      <c r="P2715" s="19"/>
      <c r="Q2715" s="19"/>
      <c r="R2715" s="19"/>
      <c r="S2715" s="19"/>
      <c r="T2715" s="19"/>
      <c r="U2715" s="19"/>
      <c r="V2715" s="19"/>
    </row>
    <row r="2716">
      <c r="A2716" s="25"/>
      <c r="B2716" s="19"/>
      <c r="C2716" s="19"/>
      <c r="D2716" s="19"/>
      <c r="E2716" s="19"/>
      <c r="F2716" s="17" t="str">
        <f>IFERROR(__xludf.DUMMYFUNCTION("""COMPUTED_VALUE"""),"")</f>
        <v/>
      </c>
      <c r="G2716" s="20"/>
      <c r="H2716" s="19"/>
      <c r="I2716" s="19"/>
      <c r="J2716" s="19"/>
      <c r="K2716" s="19"/>
      <c r="L2716" s="19"/>
      <c r="M2716" s="19"/>
      <c r="N2716" s="20" t="s">
        <v>39</v>
      </c>
      <c r="O2716" s="19"/>
      <c r="P2716" s="19"/>
      <c r="Q2716" s="19"/>
      <c r="R2716" s="19"/>
      <c r="S2716" s="19"/>
      <c r="T2716" s="19"/>
      <c r="U2716" s="19"/>
      <c r="V2716" s="19"/>
    </row>
    <row r="2717">
      <c r="A2717" s="25"/>
      <c r="B2717" s="19"/>
      <c r="C2717" s="19"/>
      <c r="D2717" s="19"/>
      <c r="E2717" s="19"/>
      <c r="F2717" s="17" t="str">
        <f>IFERROR(__xludf.DUMMYFUNCTION("""COMPUTED_VALUE"""),"")</f>
        <v/>
      </c>
      <c r="G2717" s="20"/>
      <c r="H2717" s="19"/>
      <c r="I2717" s="19"/>
      <c r="J2717" s="19"/>
      <c r="K2717" s="19"/>
      <c r="L2717" s="19"/>
      <c r="M2717" s="19"/>
      <c r="N2717" s="20" t="s">
        <v>39</v>
      </c>
      <c r="O2717" s="19"/>
      <c r="P2717" s="19"/>
      <c r="Q2717" s="19"/>
      <c r="R2717" s="19"/>
      <c r="S2717" s="19"/>
      <c r="T2717" s="19"/>
      <c r="U2717" s="19"/>
      <c r="V2717" s="19"/>
    </row>
    <row r="2718">
      <c r="A2718" s="25"/>
      <c r="B2718" s="19"/>
      <c r="C2718" s="19"/>
      <c r="D2718" s="19"/>
      <c r="E2718" s="19"/>
      <c r="F2718" s="17" t="str">
        <f>IFERROR(__xludf.DUMMYFUNCTION("""COMPUTED_VALUE"""),"")</f>
        <v/>
      </c>
      <c r="G2718" s="20"/>
      <c r="H2718" s="19"/>
      <c r="I2718" s="19"/>
      <c r="J2718" s="19"/>
      <c r="K2718" s="19"/>
      <c r="L2718" s="19"/>
      <c r="M2718" s="19"/>
      <c r="N2718" s="20" t="s">
        <v>39</v>
      </c>
      <c r="O2718" s="19"/>
      <c r="P2718" s="19"/>
      <c r="Q2718" s="19"/>
      <c r="R2718" s="19"/>
      <c r="S2718" s="19"/>
      <c r="T2718" s="19"/>
      <c r="U2718" s="19"/>
      <c r="V2718" s="19"/>
    </row>
    <row r="2719">
      <c r="A2719" s="25"/>
      <c r="B2719" s="19"/>
      <c r="C2719" s="19"/>
      <c r="D2719" s="19"/>
      <c r="E2719" s="19"/>
      <c r="F2719" s="17" t="str">
        <f>IFERROR(__xludf.DUMMYFUNCTION("""COMPUTED_VALUE"""),"")</f>
        <v/>
      </c>
      <c r="G2719" s="20"/>
      <c r="H2719" s="19"/>
      <c r="I2719" s="19"/>
      <c r="J2719" s="19"/>
      <c r="K2719" s="19"/>
      <c r="L2719" s="19"/>
      <c r="M2719" s="19"/>
      <c r="N2719" s="20" t="s">
        <v>39</v>
      </c>
      <c r="O2719" s="19"/>
      <c r="P2719" s="19"/>
      <c r="Q2719" s="19"/>
      <c r="R2719" s="19"/>
      <c r="S2719" s="19"/>
      <c r="T2719" s="19"/>
      <c r="U2719" s="19"/>
      <c r="V2719" s="19"/>
    </row>
    <row r="2720">
      <c r="A2720" s="25"/>
      <c r="B2720" s="19"/>
      <c r="C2720" s="19"/>
      <c r="D2720" s="19"/>
      <c r="E2720" s="19"/>
      <c r="F2720" s="17" t="str">
        <f>IFERROR(__xludf.DUMMYFUNCTION("""COMPUTED_VALUE"""),"")</f>
        <v/>
      </c>
      <c r="G2720" s="20"/>
      <c r="H2720" s="19"/>
      <c r="I2720" s="19"/>
      <c r="J2720" s="19"/>
      <c r="K2720" s="19"/>
      <c r="L2720" s="19"/>
      <c r="M2720" s="19"/>
      <c r="N2720" s="20" t="s">
        <v>39</v>
      </c>
      <c r="O2720" s="19"/>
      <c r="P2720" s="19"/>
      <c r="Q2720" s="19"/>
      <c r="R2720" s="19"/>
      <c r="S2720" s="19"/>
      <c r="T2720" s="19"/>
      <c r="U2720" s="19"/>
      <c r="V2720" s="19"/>
    </row>
    <row r="2721">
      <c r="A2721" s="25"/>
      <c r="B2721" s="19"/>
      <c r="C2721" s="19"/>
      <c r="D2721" s="19"/>
      <c r="E2721" s="19"/>
      <c r="F2721" s="17" t="str">
        <f>IFERROR(__xludf.DUMMYFUNCTION("""COMPUTED_VALUE"""),"")</f>
        <v/>
      </c>
      <c r="G2721" s="20"/>
      <c r="H2721" s="19"/>
      <c r="I2721" s="19"/>
      <c r="J2721" s="19"/>
      <c r="K2721" s="19"/>
      <c r="L2721" s="19"/>
      <c r="M2721" s="19"/>
      <c r="N2721" s="20" t="s">
        <v>39</v>
      </c>
      <c r="O2721" s="19"/>
      <c r="P2721" s="19"/>
      <c r="Q2721" s="19"/>
      <c r="R2721" s="19"/>
      <c r="S2721" s="19"/>
      <c r="T2721" s="19"/>
      <c r="U2721" s="19"/>
      <c r="V2721" s="19"/>
    </row>
    <row r="2722">
      <c r="A2722" s="25"/>
      <c r="B2722" s="19"/>
      <c r="C2722" s="19"/>
      <c r="D2722" s="19"/>
      <c r="E2722" s="19"/>
      <c r="F2722" s="17" t="str">
        <f>IFERROR(__xludf.DUMMYFUNCTION("""COMPUTED_VALUE"""),"")</f>
        <v/>
      </c>
      <c r="G2722" s="20"/>
      <c r="H2722" s="19"/>
      <c r="I2722" s="19"/>
      <c r="J2722" s="19"/>
      <c r="K2722" s="19"/>
      <c r="L2722" s="19"/>
      <c r="M2722" s="19"/>
      <c r="N2722" s="20" t="s">
        <v>39</v>
      </c>
      <c r="O2722" s="19"/>
      <c r="P2722" s="19"/>
      <c r="Q2722" s="19"/>
      <c r="R2722" s="19"/>
      <c r="S2722" s="19"/>
      <c r="T2722" s="19"/>
      <c r="U2722" s="19"/>
      <c r="V2722" s="19"/>
    </row>
    <row r="2723">
      <c r="A2723" s="25"/>
      <c r="B2723" s="19"/>
      <c r="C2723" s="19"/>
      <c r="D2723" s="19"/>
      <c r="E2723" s="19"/>
      <c r="F2723" s="17" t="str">
        <f>IFERROR(__xludf.DUMMYFUNCTION("""COMPUTED_VALUE"""),"")</f>
        <v/>
      </c>
      <c r="G2723" s="20"/>
      <c r="H2723" s="19"/>
      <c r="I2723" s="19"/>
      <c r="J2723" s="19"/>
      <c r="K2723" s="19"/>
      <c r="L2723" s="19"/>
      <c r="M2723" s="19"/>
      <c r="N2723" s="20" t="s">
        <v>39</v>
      </c>
      <c r="O2723" s="19"/>
      <c r="P2723" s="19"/>
      <c r="Q2723" s="19"/>
      <c r="R2723" s="19"/>
      <c r="S2723" s="19"/>
      <c r="T2723" s="19"/>
      <c r="U2723" s="19"/>
      <c r="V2723" s="19"/>
    </row>
    <row r="2724">
      <c r="A2724" s="25"/>
      <c r="B2724" s="19"/>
      <c r="C2724" s="19"/>
      <c r="D2724" s="19"/>
      <c r="E2724" s="19"/>
      <c r="F2724" s="17" t="str">
        <f>IFERROR(__xludf.DUMMYFUNCTION("""COMPUTED_VALUE"""),"")</f>
        <v/>
      </c>
      <c r="G2724" s="20"/>
      <c r="H2724" s="19"/>
      <c r="I2724" s="19"/>
      <c r="J2724" s="19"/>
      <c r="K2724" s="19"/>
      <c r="L2724" s="19"/>
      <c r="M2724" s="19"/>
      <c r="N2724" s="20" t="s">
        <v>39</v>
      </c>
      <c r="O2724" s="19"/>
      <c r="P2724" s="19"/>
      <c r="Q2724" s="19"/>
      <c r="R2724" s="19"/>
      <c r="S2724" s="19"/>
      <c r="T2724" s="19"/>
      <c r="U2724" s="19"/>
      <c r="V2724" s="19"/>
    </row>
    <row r="2725">
      <c r="A2725" s="25"/>
      <c r="B2725" s="19"/>
      <c r="C2725" s="19"/>
      <c r="D2725" s="19"/>
      <c r="E2725" s="19"/>
      <c r="F2725" s="17" t="str">
        <f>IFERROR(__xludf.DUMMYFUNCTION("""COMPUTED_VALUE"""),"")</f>
        <v/>
      </c>
      <c r="G2725" s="20"/>
      <c r="H2725" s="19"/>
      <c r="I2725" s="19"/>
      <c r="J2725" s="19"/>
      <c r="K2725" s="19"/>
      <c r="L2725" s="19"/>
      <c r="M2725" s="19"/>
      <c r="N2725" s="20" t="s">
        <v>39</v>
      </c>
      <c r="O2725" s="19"/>
      <c r="P2725" s="19"/>
      <c r="Q2725" s="19"/>
      <c r="R2725" s="19"/>
      <c r="S2725" s="19"/>
      <c r="T2725" s="19"/>
      <c r="U2725" s="19"/>
      <c r="V2725" s="19"/>
    </row>
    <row r="2726">
      <c r="A2726" s="25"/>
      <c r="B2726" s="19"/>
      <c r="C2726" s="19"/>
      <c r="D2726" s="19"/>
      <c r="E2726" s="19"/>
      <c r="F2726" s="17" t="str">
        <f>IFERROR(__xludf.DUMMYFUNCTION("""COMPUTED_VALUE"""),"")</f>
        <v/>
      </c>
      <c r="G2726" s="20"/>
      <c r="H2726" s="19"/>
      <c r="I2726" s="19"/>
      <c r="J2726" s="19"/>
      <c r="K2726" s="19"/>
      <c r="L2726" s="19"/>
      <c r="M2726" s="19"/>
      <c r="N2726" s="20" t="s">
        <v>39</v>
      </c>
      <c r="O2726" s="19"/>
      <c r="P2726" s="19"/>
      <c r="Q2726" s="19"/>
      <c r="R2726" s="19"/>
      <c r="S2726" s="19"/>
      <c r="T2726" s="19"/>
      <c r="U2726" s="19"/>
      <c r="V2726" s="19"/>
    </row>
    <row r="2727">
      <c r="A2727" s="25"/>
      <c r="B2727" s="19"/>
      <c r="C2727" s="19"/>
      <c r="D2727" s="19"/>
      <c r="E2727" s="19"/>
      <c r="F2727" s="17" t="str">
        <f>IFERROR(__xludf.DUMMYFUNCTION("""COMPUTED_VALUE"""),"")</f>
        <v/>
      </c>
      <c r="G2727" s="20"/>
      <c r="H2727" s="19"/>
      <c r="I2727" s="19"/>
      <c r="J2727" s="19"/>
      <c r="K2727" s="19"/>
      <c r="L2727" s="19"/>
      <c r="M2727" s="19"/>
      <c r="N2727" s="20" t="s">
        <v>39</v>
      </c>
      <c r="O2727" s="19"/>
      <c r="P2727" s="19"/>
      <c r="Q2727" s="19"/>
      <c r="R2727" s="19"/>
      <c r="S2727" s="19"/>
      <c r="T2727" s="19"/>
      <c r="U2727" s="19"/>
      <c r="V2727" s="19"/>
    </row>
    <row r="2728">
      <c r="A2728" s="25"/>
      <c r="B2728" s="19"/>
      <c r="C2728" s="19"/>
      <c r="D2728" s="19"/>
      <c r="E2728" s="19"/>
      <c r="F2728" s="17" t="str">
        <f>IFERROR(__xludf.DUMMYFUNCTION("""COMPUTED_VALUE"""),"")</f>
        <v/>
      </c>
      <c r="G2728" s="20"/>
      <c r="H2728" s="19"/>
      <c r="I2728" s="19"/>
      <c r="J2728" s="19"/>
      <c r="K2728" s="19"/>
      <c r="L2728" s="19"/>
      <c r="M2728" s="19"/>
      <c r="N2728" s="20" t="s">
        <v>39</v>
      </c>
      <c r="O2728" s="19"/>
      <c r="P2728" s="19"/>
      <c r="Q2728" s="19"/>
      <c r="R2728" s="19"/>
      <c r="S2728" s="19"/>
      <c r="T2728" s="19"/>
      <c r="U2728" s="19"/>
      <c r="V2728" s="19"/>
    </row>
    <row r="2729">
      <c r="A2729" s="25"/>
      <c r="B2729" s="19"/>
      <c r="C2729" s="19"/>
      <c r="D2729" s="19"/>
      <c r="E2729" s="19"/>
      <c r="F2729" s="17" t="str">
        <f>IFERROR(__xludf.DUMMYFUNCTION("""COMPUTED_VALUE"""),"")</f>
        <v/>
      </c>
      <c r="G2729" s="20"/>
      <c r="H2729" s="19"/>
      <c r="I2729" s="19"/>
      <c r="J2729" s="19"/>
      <c r="K2729" s="19"/>
      <c r="L2729" s="19"/>
      <c r="M2729" s="19"/>
      <c r="N2729" s="20" t="s">
        <v>39</v>
      </c>
      <c r="O2729" s="19"/>
      <c r="P2729" s="19"/>
      <c r="Q2729" s="19"/>
      <c r="R2729" s="19"/>
      <c r="S2729" s="19"/>
      <c r="T2729" s="19"/>
      <c r="U2729" s="19"/>
      <c r="V2729" s="19"/>
    </row>
    <row r="2730">
      <c r="A2730" s="25"/>
      <c r="B2730" s="19"/>
      <c r="C2730" s="19"/>
      <c r="D2730" s="19"/>
      <c r="E2730" s="19"/>
      <c r="F2730" s="17" t="str">
        <f>IFERROR(__xludf.DUMMYFUNCTION("""COMPUTED_VALUE"""),"")</f>
        <v/>
      </c>
      <c r="G2730" s="20"/>
      <c r="H2730" s="19"/>
      <c r="I2730" s="19"/>
      <c r="J2730" s="19"/>
      <c r="K2730" s="19"/>
      <c r="L2730" s="19"/>
      <c r="M2730" s="19"/>
      <c r="N2730" s="20" t="s">
        <v>39</v>
      </c>
      <c r="O2730" s="19"/>
      <c r="P2730" s="19"/>
      <c r="Q2730" s="19"/>
      <c r="R2730" s="19"/>
      <c r="S2730" s="19"/>
      <c r="T2730" s="19"/>
      <c r="U2730" s="19"/>
      <c r="V2730" s="19"/>
    </row>
    <row r="2731">
      <c r="A2731" s="25"/>
      <c r="B2731" s="19"/>
      <c r="C2731" s="19"/>
      <c r="D2731" s="19"/>
      <c r="E2731" s="19"/>
      <c r="F2731" s="17" t="str">
        <f>IFERROR(__xludf.DUMMYFUNCTION("""COMPUTED_VALUE"""),"")</f>
        <v/>
      </c>
      <c r="G2731" s="20"/>
      <c r="H2731" s="19"/>
      <c r="I2731" s="19"/>
      <c r="J2731" s="19"/>
      <c r="K2731" s="19"/>
      <c r="L2731" s="19"/>
      <c r="M2731" s="19"/>
      <c r="N2731" s="20" t="s">
        <v>39</v>
      </c>
      <c r="O2731" s="19"/>
      <c r="P2731" s="19"/>
      <c r="Q2731" s="19"/>
      <c r="R2731" s="19"/>
      <c r="S2731" s="19"/>
      <c r="T2731" s="19"/>
      <c r="U2731" s="19"/>
      <c r="V2731" s="19"/>
    </row>
    <row r="2732">
      <c r="A2732" s="25"/>
      <c r="B2732" s="19"/>
      <c r="C2732" s="19"/>
      <c r="D2732" s="19"/>
      <c r="E2732" s="19"/>
      <c r="F2732" s="17" t="str">
        <f>IFERROR(__xludf.DUMMYFUNCTION("""COMPUTED_VALUE"""),"")</f>
        <v/>
      </c>
      <c r="G2732" s="20"/>
      <c r="H2732" s="19"/>
      <c r="I2732" s="19"/>
      <c r="J2732" s="19"/>
      <c r="K2732" s="19"/>
      <c r="L2732" s="19"/>
      <c r="M2732" s="19"/>
      <c r="N2732" s="20" t="s">
        <v>39</v>
      </c>
      <c r="O2732" s="19"/>
      <c r="P2732" s="19"/>
      <c r="Q2732" s="19"/>
      <c r="R2732" s="19"/>
      <c r="S2732" s="19"/>
      <c r="T2732" s="19"/>
      <c r="U2732" s="19"/>
      <c r="V2732" s="19"/>
    </row>
    <row r="2733">
      <c r="A2733" s="25"/>
      <c r="B2733" s="19"/>
      <c r="C2733" s="19"/>
      <c r="D2733" s="19"/>
      <c r="E2733" s="19"/>
      <c r="F2733" s="17" t="str">
        <f>IFERROR(__xludf.DUMMYFUNCTION("""COMPUTED_VALUE"""),"")</f>
        <v/>
      </c>
      <c r="G2733" s="20"/>
      <c r="H2733" s="19"/>
      <c r="I2733" s="19"/>
      <c r="J2733" s="19"/>
      <c r="K2733" s="19"/>
      <c r="L2733" s="19"/>
      <c r="M2733" s="19"/>
      <c r="N2733" s="20" t="s">
        <v>39</v>
      </c>
      <c r="O2733" s="19"/>
      <c r="P2733" s="19"/>
      <c r="Q2733" s="19"/>
      <c r="R2733" s="19"/>
      <c r="S2733" s="19"/>
      <c r="T2733" s="19"/>
      <c r="U2733" s="19"/>
      <c r="V2733" s="19"/>
    </row>
    <row r="2734">
      <c r="A2734" s="25"/>
      <c r="B2734" s="19"/>
      <c r="C2734" s="19"/>
      <c r="D2734" s="19"/>
      <c r="E2734" s="19"/>
      <c r="F2734" s="17" t="str">
        <f>IFERROR(__xludf.DUMMYFUNCTION("""COMPUTED_VALUE"""),"")</f>
        <v/>
      </c>
      <c r="G2734" s="20"/>
      <c r="H2734" s="19"/>
      <c r="I2734" s="19"/>
      <c r="J2734" s="19"/>
      <c r="K2734" s="19"/>
      <c r="L2734" s="19"/>
      <c r="M2734" s="19"/>
      <c r="N2734" s="20" t="s">
        <v>39</v>
      </c>
      <c r="O2734" s="19"/>
      <c r="P2734" s="19"/>
      <c r="Q2734" s="19"/>
      <c r="R2734" s="19"/>
      <c r="S2734" s="19"/>
      <c r="T2734" s="19"/>
      <c r="U2734" s="19"/>
      <c r="V2734" s="19"/>
    </row>
    <row r="2735">
      <c r="A2735" s="25"/>
      <c r="B2735" s="19"/>
      <c r="C2735" s="19"/>
      <c r="D2735" s="19"/>
      <c r="E2735" s="19"/>
      <c r="F2735" s="17" t="str">
        <f>IFERROR(__xludf.DUMMYFUNCTION("""COMPUTED_VALUE"""),"")</f>
        <v/>
      </c>
      <c r="G2735" s="20"/>
      <c r="H2735" s="19"/>
      <c r="I2735" s="19"/>
      <c r="J2735" s="19"/>
      <c r="K2735" s="19"/>
      <c r="L2735" s="19"/>
      <c r="M2735" s="19"/>
      <c r="N2735" s="20" t="s">
        <v>39</v>
      </c>
      <c r="O2735" s="19"/>
      <c r="P2735" s="19"/>
      <c r="Q2735" s="19"/>
      <c r="R2735" s="19"/>
      <c r="S2735" s="19"/>
      <c r="T2735" s="19"/>
      <c r="U2735" s="19"/>
      <c r="V2735" s="19"/>
    </row>
    <row r="2736">
      <c r="A2736" s="25"/>
      <c r="B2736" s="19"/>
      <c r="C2736" s="19"/>
      <c r="D2736" s="19"/>
      <c r="E2736" s="19"/>
      <c r="F2736" s="17" t="str">
        <f>IFERROR(__xludf.DUMMYFUNCTION("""COMPUTED_VALUE"""),"")</f>
        <v/>
      </c>
      <c r="G2736" s="20"/>
      <c r="H2736" s="19"/>
      <c r="I2736" s="19"/>
      <c r="J2736" s="19"/>
      <c r="K2736" s="19"/>
      <c r="L2736" s="19"/>
      <c r="M2736" s="19"/>
      <c r="N2736" s="20" t="s">
        <v>39</v>
      </c>
      <c r="O2736" s="19"/>
      <c r="P2736" s="19"/>
      <c r="Q2736" s="19"/>
      <c r="R2736" s="19"/>
      <c r="S2736" s="19"/>
      <c r="T2736" s="19"/>
      <c r="U2736" s="19"/>
      <c r="V2736" s="19"/>
    </row>
    <row r="2737">
      <c r="A2737" s="25"/>
      <c r="B2737" s="19"/>
      <c r="C2737" s="19"/>
      <c r="D2737" s="19"/>
      <c r="E2737" s="19"/>
      <c r="F2737" s="17" t="str">
        <f>IFERROR(__xludf.DUMMYFUNCTION("""COMPUTED_VALUE"""),"")</f>
        <v/>
      </c>
      <c r="G2737" s="20"/>
      <c r="H2737" s="19"/>
      <c r="I2737" s="19"/>
      <c r="J2737" s="19"/>
      <c r="K2737" s="19"/>
      <c r="L2737" s="19"/>
      <c r="M2737" s="19"/>
      <c r="N2737" s="20" t="s">
        <v>39</v>
      </c>
      <c r="O2737" s="19"/>
      <c r="P2737" s="19"/>
      <c r="Q2737" s="19"/>
      <c r="R2737" s="19"/>
      <c r="S2737" s="19"/>
      <c r="T2737" s="19"/>
      <c r="U2737" s="19"/>
      <c r="V2737" s="19"/>
    </row>
    <row r="2738">
      <c r="A2738" s="25"/>
      <c r="B2738" s="19"/>
      <c r="C2738" s="19"/>
      <c r="D2738" s="19"/>
      <c r="E2738" s="19"/>
      <c r="F2738" s="17" t="str">
        <f>IFERROR(__xludf.DUMMYFUNCTION("""COMPUTED_VALUE"""),"")</f>
        <v/>
      </c>
      <c r="G2738" s="20"/>
      <c r="H2738" s="19"/>
      <c r="I2738" s="19"/>
      <c r="J2738" s="19"/>
      <c r="K2738" s="19"/>
      <c r="L2738" s="19"/>
      <c r="M2738" s="19"/>
      <c r="N2738" s="20" t="s">
        <v>39</v>
      </c>
      <c r="O2738" s="19"/>
      <c r="P2738" s="19"/>
      <c r="Q2738" s="19"/>
      <c r="R2738" s="19"/>
      <c r="S2738" s="19"/>
      <c r="T2738" s="19"/>
      <c r="U2738" s="19"/>
      <c r="V2738" s="19"/>
    </row>
    <row r="2739">
      <c r="A2739" s="25"/>
      <c r="B2739" s="19"/>
      <c r="C2739" s="19"/>
      <c r="D2739" s="19"/>
      <c r="E2739" s="19"/>
      <c r="F2739" s="17" t="str">
        <f>IFERROR(__xludf.DUMMYFUNCTION("""COMPUTED_VALUE"""),"")</f>
        <v/>
      </c>
      <c r="G2739" s="20"/>
      <c r="H2739" s="19"/>
      <c r="I2739" s="19"/>
      <c r="J2739" s="19"/>
      <c r="K2739" s="19"/>
      <c r="L2739" s="19"/>
      <c r="M2739" s="19"/>
      <c r="N2739" s="20" t="s">
        <v>39</v>
      </c>
      <c r="O2739" s="19"/>
      <c r="P2739" s="19"/>
      <c r="Q2739" s="19"/>
      <c r="R2739" s="19"/>
      <c r="S2739" s="19"/>
      <c r="T2739" s="19"/>
      <c r="U2739" s="19"/>
      <c r="V2739" s="19"/>
    </row>
    <row r="2740">
      <c r="A2740" s="25"/>
      <c r="B2740" s="19"/>
      <c r="C2740" s="19"/>
      <c r="D2740" s="19"/>
      <c r="E2740" s="19"/>
      <c r="F2740" s="17" t="str">
        <f>IFERROR(__xludf.DUMMYFUNCTION("""COMPUTED_VALUE"""),"")</f>
        <v/>
      </c>
      <c r="G2740" s="20"/>
      <c r="H2740" s="19"/>
      <c r="I2740" s="19"/>
      <c r="J2740" s="19"/>
      <c r="K2740" s="19"/>
      <c r="L2740" s="19"/>
      <c r="M2740" s="19"/>
      <c r="N2740" s="20" t="s">
        <v>39</v>
      </c>
      <c r="O2740" s="19"/>
      <c r="P2740" s="19"/>
      <c r="Q2740" s="19"/>
      <c r="R2740" s="19"/>
      <c r="S2740" s="19"/>
      <c r="T2740" s="19"/>
      <c r="U2740" s="19"/>
      <c r="V2740" s="19"/>
    </row>
    <row r="2741">
      <c r="A2741" s="25"/>
      <c r="B2741" s="19"/>
      <c r="C2741" s="19"/>
      <c r="D2741" s="19"/>
      <c r="E2741" s="19"/>
      <c r="F2741" s="17" t="str">
        <f>IFERROR(__xludf.DUMMYFUNCTION("""COMPUTED_VALUE"""),"")</f>
        <v/>
      </c>
      <c r="G2741" s="20"/>
      <c r="H2741" s="19"/>
      <c r="I2741" s="19"/>
      <c r="J2741" s="19"/>
      <c r="K2741" s="19"/>
      <c r="L2741" s="19"/>
      <c r="M2741" s="19"/>
      <c r="N2741" s="20" t="s">
        <v>39</v>
      </c>
      <c r="O2741" s="19"/>
      <c r="P2741" s="19"/>
      <c r="Q2741" s="19"/>
      <c r="R2741" s="19"/>
      <c r="S2741" s="19"/>
      <c r="T2741" s="19"/>
      <c r="U2741" s="19"/>
      <c r="V2741" s="19"/>
    </row>
    <row r="2742">
      <c r="A2742" s="25"/>
      <c r="B2742" s="19"/>
      <c r="C2742" s="19"/>
      <c r="D2742" s="19"/>
      <c r="E2742" s="19"/>
      <c r="F2742" s="17" t="str">
        <f>IFERROR(__xludf.DUMMYFUNCTION("""COMPUTED_VALUE"""),"")</f>
        <v/>
      </c>
      <c r="G2742" s="20"/>
      <c r="H2742" s="19"/>
      <c r="I2742" s="19"/>
      <c r="J2742" s="19"/>
      <c r="K2742" s="19"/>
      <c r="L2742" s="19"/>
      <c r="M2742" s="19"/>
      <c r="N2742" s="20" t="s">
        <v>39</v>
      </c>
      <c r="O2742" s="19"/>
      <c r="P2742" s="19"/>
      <c r="Q2742" s="19"/>
      <c r="R2742" s="19"/>
      <c r="S2742" s="19"/>
      <c r="T2742" s="19"/>
      <c r="U2742" s="19"/>
      <c r="V2742" s="19"/>
    </row>
    <row r="2743">
      <c r="A2743" s="25"/>
      <c r="B2743" s="19"/>
      <c r="C2743" s="19"/>
      <c r="D2743" s="19"/>
      <c r="E2743" s="19"/>
      <c r="F2743" s="17" t="str">
        <f>IFERROR(__xludf.DUMMYFUNCTION("""COMPUTED_VALUE"""),"")</f>
        <v/>
      </c>
      <c r="G2743" s="20"/>
      <c r="H2743" s="19"/>
      <c r="I2743" s="19"/>
      <c r="J2743" s="19"/>
      <c r="K2743" s="19"/>
      <c r="L2743" s="19"/>
      <c r="M2743" s="19"/>
      <c r="N2743" s="20" t="s">
        <v>39</v>
      </c>
      <c r="O2743" s="19"/>
      <c r="P2743" s="19"/>
      <c r="Q2743" s="19"/>
      <c r="R2743" s="19"/>
      <c r="S2743" s="19"/>
      <c r="T2743" s="19"/>
      <c r="U2743" s="19"/>
      <c r="V2743" s="19"/>
    </row>
    <row r="2744">
      <c r="A2744" s="25"/>
      <c r="B2744" s="19"/>
      <c r="C2744" s="19"/>
      <c r="D2744" s="19"/>
      <c r="E2744" s="19"/>
      <c r="F2744" s="17" t="str">
        <f>IFERROR(__xludf.DUMMYFUNCTION("""COMPUTED_VALUE"""),"")</f>
        <v/>
      </c>
      <c r="G2744" s="20"/>
      <c r="H2744" s="19"/>
      <c r="I2744" s="19"/>
      <c r="J2744" s="19"/>
      <c r="K2744" s="19"/>
      <c r="L2744" s="19"/>
      <c r="M2744" s="19"/>
      <c r="N2744" s="20" t="s">
        <v>39</v>
      </c>
      <c r="O2744" s="19"/>
      <c r="P2744" s="19"/>
      <c r="Q2744" s="19"/>
      <c r="R2744" s="19"/>
      <c r="S2744" s="19"/>
      <c r="T2744" s="19"/>
      <c r="U2744" s="19"/>
      <c r="V2744" s="19"/>
    </row>
    <row r="2745">
      <c r="A2745" s="25"/>
      <c r="B2745" s="19"/>
      <c r="C2745" s="19"/>
      <c r="D2745" s="19"/>
      <c r="E2745" s="19"/>
      <c r="F2745" s="17" t="str">
        <f>IFERROR(__xludf.DUMMYFUNCTION("""COMPUTED_VALUE"""),"")</f>
        <v/>
      </c>
      <c r="G2745" s="20"/>
      <c r="H2745" s="19"/>
      <c r="I2745" s="19"/>
      <c r="J2745" s="19"/>
      <c r="K2745" s="19"/>
      <c r="L2745" s="19"/>
      <c r="M2745" s="19"/>
      <c r="N2745" s="20" t="s">
        <v>39</v>
      </c>
      <c r="O2745" s="19"/>
      <c r="P2745" s="19"/>
      <c r="Q2745" s="19"/>
      <c r="R2745" s="19"/>
      <c r="S2745" s="19"/>
      <c r="T2745" s="19"/>
      <c r="U2745" s="19"/>
      <c r="V2745" s="19"/>
    </row>
    <row r="2746">
      <c r="A2746" s="25"/>
      <c r="B2746" s="19"/>
      <c r="C2746" s="19"/>
      <c r="D2746" s="19"/>
      <c r="E2746" s="19"/>
      <c r="F2746" s="17" t="str">
        <f>IFERROR(__xludf.DUMMYFUNCTION("""COMPUTED_VALUE"""),"")</f>
        <v/>
      </c>
      <c r="G2746" s="20"/>
      <c r="H2746" s="19"/>
      <c r="I2746" s="19"/>
      <c r="J2746" s="19"/>
      <c r="K2746" s="19"/>
      <c r="L2746" s="19"/>
      <c r="M2746" s="19"/>
      <c r="N2746" s="20" t="s">
        <v>39</v>
      </c>
      <c r="O2746" s="19"/>
      <c r="P2746" s="19"/>
      <c r="Q2746" s="19"/>
      <c r="R2746" s="19"/>
      <c r="S2746" s="19"/>
      <c r="T2746" s="19"/>
      <c r="U2746" s="19"/>
      <c r="V2746" s="19"/>
    </row>
    <row r="2747">
      <c r="A2747" s="25"/>
      <c r="B2747" s="19"/>
      <c r="C2747" s="19"/>
      <c r="D2747" s="19"/>
      <c r="E2747" s="19"/>
      <c r="F2747" s="17" t="str">
        <f>IFERROR(__xludf.DUMMYFUNCTION("""COMPUTED_VALUE"""),"")</f>
        <v/>
      </c>
      <c r="G2747" s="20"/>
      <c r="H2747" s="19"/>
      <c r="I2747" s="19"/>
      <c r="J2747" s="19"/>
      <c r="K2747" s="19"/>
      <c r="L2747" s="19"/>
      <c r="M2747" s="19"/>
      <c r="N2747" s="20" t="s">
        <v>39</v>
      </c>
      <c r="O2747" s="19"/>
      <c r="P2747" s="19"/>
      <c r="Q2747" s="19"/>
      <c r="R2747" s="19"/>
      <c r="S2747" s="19"/>
      <c r="T2747" s="19"/>
      <c r="U2747" s="19"/>
      <c r="V2747" s="19"/>
    </row>
    <row r="2748">
      <c r="A2748" s="25"/>
      <c r="B2748" s="19"/>
      <c r="C2748" s="19"/>
      <c r="D2748" s="19"/>
      <c r="E2748" s="19"/>
      <c r="F2748" s="17" t="str">
        <f>IFERROR(__xludf.DUMMYFUNCTION("""COMPUTED_VALUE"""),"")</f>
        <v/>
      </c>
      <c r="G2748" s="20"/>
      <c r="H2748" s="19"/>
      <c r="I2748" s="19"/>
      <c r="J2748" s="19"/>
      <c r="K2748" s="19"/>
      <c r="L2748" s="19"/>
      <c r="M2748" s="19"/>
      <c r="N2748" s="20" t="s">
        <v>39</v>
      </c>
      <c r="O2748" s="19"/>
      <c r="P2748" s="19"/>
      <c r="Q2748" s="19"/>
      <c r="R2748" s="19"/>
      <c r="S2748" s="19"/>
      <c r="T2748" s="19"/>
      <c r="U2748" s="19"/>
      <c r="V2748" s="19"/>
    </row>
    <row r="2749">
      <c r="A2749" s="25"/>
      <c r="B2749" s="19"/>
      <c r="C2749" s="19"/>
      <c r="D2749" s="19"/>
      <c r="E2749" s="19"/>
      <c r="F2749" s="17" t="str">
        <f>IFERROR(__xludf.DUMMYFUNCTION("""COMPUTED_VALUE"""),"")</f>
        <v/>
      </c>
      <c r="G2749" s="20"/>
      <c r="H2749" s="19"/>
      <c r="I2749" s="19"/>
      <c r="J2749" s="19"/>
      <c r="K2749" s="19"/>
      <c r="L2749" s="19"/>
      <c r="M2749" s="19"/>
      <c r="N2749" s="20" t="s">
        <v>39</v>
      </c>
      <c r="O2749" s="19"/>
      <c r="P2749" s="19"/>
      <c r="Q2749" s="19"/>
      <c r="R2749" s="19"/>
      <c r="S2749" s="19"/>
      <c r="T2749" s="19"/>
      <c r="U2749" s="19"/>
      <c r="V2749" s="19"/>
    </row>
    <row r="2750">
      <c r="A2750" s="25"/>
      <c r="B2750" s="19"/>
      <c r="C2750" s="19"/>
      <c r="D2750" s="19"/>
      <c r="E2750" s="19"/>
      <c r="F2750" s="17" t="str">
        <f>IFERROR(__xludf.DUMMYFUNCTION("""COMPUTED_VALUE"""),"")</f>
        <v/>
      </c>
      <c r="G2750" s="20"/>
      <c r="H2750" s="19"/>
      <c r="I2750" s="19"/>
      <c r="J2750" s="19"/>
      <c r="K2750" s="19"/>
      <c r="L2750" s="19"/>
      <c r="M2750" s="19"/>
      <c r="N2750" s="20" t="s">
        <v>39</v>
      </c>
      <c r="O2750" s="19"/>
      <c r="P2750" s="19"/>
      <c r="Q2750" s="19"/>
      <c r="R2750" s="19"/>
      <c r="S2750" s="19"/>
      <c r="T2750" s="19"/>
      <c r="U2750" s="19"/>
      <c r="V2750" s="19"/>
    </row>
    <row r="2751">
      <c r="A2751" s="25"/>
      <c r="B2751" s="19"/>
      <c r="C2751" s="19"/>
      <c r="D2751" s="19"/>
      <c r="E2751" s="19"/>
      <c r="F2751" s="17" t="str">
        <f>IFERROR(__xludf.DUMMYFUNCTION("""COMPUTED_VALUE"""),"")</f>
        <v/>
      </c>
      <c r="G2751" s="20"/>
      <c r="H2751" s="19"/>
      <c r="I2751" s="19"/>
      <c r="J2751" s="19"/>
      <c r="K2751" s="19"/>
      <c r="L2751" s="19"/>
      <c r="M2751" s="19"/>
      <c r="N2751" s="20" t="s">
        <v>39</v>
      </c>
      <c r="O2751" s="19"/>
      <c r="P2751" s="19"/>
      <c r="Q2751" s="19"/>
      <c r="R2751" s="19"/>
      <c r="S2751" s="19"/>
      <c r="T2751" s="19"/>
      <c r="U2751" s="19"/>
      <c r="V2751" s="19"/>
    </row>
    <row r="2752">
      <c r="A2752" s="25"/>
      <c r="B2752" s="19"/>
      <c r="C2752" s="19"/>
      <c r="D2752" s="19"/>
      <c r="E2752" s="19"/>
      <c r="F2752" s="17" t="str">
        <f>IFERROR(__xludf.DUMMYFUNCTION("""COMPUTED_VALUE"""),"")</f>
        <v/>
      </c>
      <c r="G2752" s="20"/>
      <c r="H2752" s="19"/>
      <c r="I2752" s="19"/>
      <c r="J2752" s="19"/>
      <c r="K2752" s="19"/>
      <c r="L2752" s="19"/>
      <c r="M2752" s="19"/>
      <c r="N2752" s="20" t="s">
        <v>39</v>
      </c>
      <c r="O2752" s="19"/>
      <c r="P2752" s="19"/>
      <c r="Q2752" s="19"/>
      <c r="R2752" s="19"/>
      <c r="S2752" s="19"/>
      <c r="T2752" s="19"/>
      <c r="U2752" s="19"/>
      <c r="V2752" s="19"/>
    </row>
    <row r="2753">
      <c r="A2753" s="25"/>
      <c r="B2753" s="19"/>
      <c r="C2753" s="19"/>
      <c r="D2753" s="19"/>
      <c r="E2753" s="19"/>
      <c r="F2753" s="17" t="str">
        <f>IFERROR(__xludf.DUMMYFUNCTION("""COMPUTED_VALUE"""),"")</f>
        <v/>
      </c>
      <c r="G2753" s="20"/>
      <c r="H2753" s="19"/>
      <c r="I2753" s="19"/>
      <c r="J2753" s="19"/>
      <c r="K2753" s="19"/>
      <c r="L2753" s="19"/>
      <c r="M2753" s="19"/>
      <c r="N2753" s="20" t="s">
        <v>39</v>
      </c>
      <c r="O2753" s="19"/>
      <c r="P2753" s="19"/>
      <c r="Q2753" s="19"/>
      <c r="R2753" s="19"/>
      <c r="S2753" s="19"/>
      <c r="T2753" s="19"/>
      <c r="U2753" s="19"/>
      <c r="V2753" s="19"/>
    </row>
    <row r="2754">
      <c r="A2754" s="25"/>
      <c r="B2754" s="19"/>
      <c r="C2754" s="19"/>
      <c r="D2754" s="19"/>
      <c r="E2754" s="19"/>
      <c r="F2754" s="17" t="str">
        <f>IFERROR(__xludf.DUMMYFUNCTION("""COMPUTED_VALUE"""),"")</f>
        <v/>
      </c>
      <c r="G2754" s="20"/>
      <c r="H2754" s="19"/>
      <c r="I2754" s="19"/>
      <c r="J2754" s="19"/>
      <c r="K2754" s="19"/>
      <c r="L2754" s="19"/>
      <c r="M2754" s="19"/>
      <c r="N2754" s="20" t="s">
        <v>39</v>
      </c>
      <c r="O2754" s="19"/>
      <c r="P2754" s="19"/>
      <c r="Q2754" s="19"/>
      <c r="R2754" s="19"/>
      <c r="S2754" s="19"/>
      <c r="T2754" s="19"/>
      <c r="U2754" s="19"/>
      <c r="V2754" s="19"/>
    </row>
    <row r="2755">
      <c r="A2755" s="25"/>
      <c r="B2755" s="19"/>
      <c r="C2755" s="19"/>
      <c r="D2755" s="19"/>
      <c r="E2755" s="19"/>
      <c r="F2755" s="17" t="str">
        <f>IFERROR(__xludf.DUMMYFUNCTION("""COMPUTED_VALUE"""),"")</f>
        <v/>
      </c>
      <c r="G2755" s="20"/>
      <c r="H2755" s="19"/>
      <c r="I2755" s="19"/>
      <c r="J2755" s="19"/>
      <c r="K2755" s="19"/>
      <c r="L2755" s="19"/>
      <c r="M2755" s="19"/>
      <c r="N2755" s="20" t="s">
        <v>39</v>
      </c>
      <c r="O2755" s="19"/>
      <c r="P2755" s="19"/>
      <c r="Q2755" s="19"/>
      <c r="R2755" s="19"/>
      <c r="S2755" s="19"/>
      <c r="T2755" s="19"/>
      <c r="U2755" s="19"/>
      <c r="V2755" s="19"/>
    </row>
    <row r="2756">
      <c r="A2756" s="25"/>
      <c r="B2756" s="19"/>
      <c r="C2756" s="19"/>
      <c r="D2756" s="19"/>
      <c r="E2756" s="19"/>
      <c r="F2756" s="17" t="str">
        <f>IFERROR(__xludf.DUMMYFUNCTION("""COMPUTED_VALUE"""),"")</f>
        <v/>
      </c>
      <c r="G2756" s="20"/>
      <c r="H2756" s="19"/>
      <c r="I2756" s="19"/>
      <c r="J2756" s="19"/>
      <c r="K2756" s="19"/>
      <c r="L2756" s="19"/>
      <c r="M2756" s="19"/>
      <c r="N2756" s="20" t="s">
        <v>39</v>
      </c>
      <c r="O2756" s="19"/>
      <c r="P2756" s="19"/>
      <c r="Q2756" s="19"/>
      <c r="R2756" s="19"/>
      <c r="S2756" s="19"/>
      <c r="T2756" s="19"/>
      <c r="U2756" s="19"/>
      <c r="V2756" s="19"/>
    </row>
    <row r="2757">
      <c r="A2757" s="25"/>
      <c r="B2757" s="19"/>
      <c r="C2757" s="19"/>
      <c r="D2757" s="19"/>
      <c r="E2757" s="19"/>
      <c r="F2757" s="17" t="str">
        <f>IFERROR(__xludf.DUMMYFUNCTION("""COMPUTED_VALUE"""),"")</f>
        <v/>
      </c>
      <c r="G2757" s="20"/>
      <c r="H2757" s="19"/>
      <c r="I2757" s="19"/>
      <c r="J2757" s="19"/>
      <c r="K2757" s="19"/>
      <c r="L2757" s="19"/>
      <c r="M2757" s="19"/>
      <c r="N2757" s="20" t="s">
        <v>39</v>
      </c>
      <c r="O2757" s="19"/>
      <c r="P2757" s="19"/>
      <c r="Q2757" s="19"/>
      <c r="R2757" s="19"/>
      <c r="S2757" s="19"/>
      <c r="T2757" s="19"/>
      <c r="U2757" s="19"/>
      <c r="V2757" s="19"/>
    </row>
    <row r="2758">
      <c r="A2758" s="25"/>
      <c r="B2758" s="19"/>
      <c r="C2758" s="19"/>
      <c r="D2758" s="19"/>
      <c r="E2758" s="19"/>
      <c r="F2758" s="17" t="str">
        <f>IFERROR(__xludf.DUMMYFUNCTION("""COMPUTED_VALUE"""),"")</f>
        <v/>
      </c>
      <c r="G2758" s="20"/>
      <c r="H2758" s="19"/>
      <c r="I2758" s="19"/>
      <c r="J2758" s="19"/>
      <c r="K2758" s="19"/>
      <c r="L2758" s="19"/>
      <c r="M2758" s="19"/>
      <c r="N2758" s="20" t="s">
        <v>39</v>
      </c>
      <c r="O2758" s="19"/>
      <c r="P2758" s="19"/>
      <c r="Q2758" s="19"/>
      <c r="R2758" s="19"/>
      <c r="S2758" s="19"/>
      <c r="T2758" s="19"/>
      <c r="U2758" s="19"/>
      <c r="V2758" s="19"/>
    </row>
    <row r="2759">
      <c r="A2759" s="25"/>
      <c r="B2759" s="19"/>
      <c r="C2759" s="19"/>
      <c r="D2759" s="19"/>
      <c r="E2759" s="19"/>
      <c r="F2759" s="17" t="str">
        <f>IFERROR(__xludf.DUMMYFUNCTION("""COMPUTED_VALUE"""),"")</f>
        <v/>
      </c>
      <c r="G2759" s="20"/>
      <c r="H2759" s="19"/>
      <c r="I2759" s="19"/>
      <c r="J2759" s="19"/>
      <c r="K2759" s="19"/>
      <c r="L2759" s="19"/>
      <c r="M2759" s="19"/>
      <c r="N2759" s="20" t="s">
        <v>39</v>
      </c>
      <c r="O2759" s="19"/>
      <c r="P2759" s="19"/>
      <c r="Q2759" s="19"/>
      <c r="R2759" s="19"/>
      <c r="S2759" s="19"/>
      <c r="T2759" s="19"/>
      <c r="U2759" s="19"/>
      <c r="V2759" s="19"/>
    </row>
    <row r="2760">
      <c r="A2760" s="25"/>
      <c r="B2760" s="19"/>
      <c r="C2760" s="19"/>
      <c r="D2760" s="19"/>
      <c r="E2760" s="19"/>
      <c r="F2760" s="17" t="str">
        <f>IFERROR(__xludf.DUMMYFUNCTION("""COMPUTED_VALUE"""),"")</f>
        <v/>
      </c>
      <c r="G2760" s="20"/>
      <c r="H2760" s="19"/>
      <c r="I2760" s="19"/>
      <c r="J2760" s="19"/>
      <c r="K2760" s="19"/>
      <c r="L2760" s="19"/>
      <c r="M2760" s="19"/>
      <c r="N2760" s="20" t="s">
        <v>39</v>
      </c>
      <c r="O2760" s="19"/>
      <c r="P2760" s="19"/>
      <c r="Q2760" s="19"/>
      <c r="R2760" s="19"/>
      <c r="S2760" s="19"/>
      <c r="T2760" s="19"/>
      <c r="U2760" s="19"/>
      <c r="V2760" s="19"/>
    </row>
    <row r="2761">
      <c r="A2761" s="25"/>
      <c r="B2761" s="19"/>
      <c r="C2761" s="19"/>
      <c r="D2761" s="19"/>
      <c r="E2761" s="19"/>
      <c r="F2761" s="17" t="str">
        <f>IFERROR(__xludf.DUMMYFUNCTION("""COMPUTED_VALUE"""),"")</f>
        <v/>
      </c>
      <c r="G2761" s="20"/>
      <c r="H2761" s="19"/>
      <c r="I2761" s="19"/>
      <c r="J2761" s="19"/>
      <c r="K2761" s="19"/>
      <c r="L2761" s="19"/>
      <c r="M2761" s="19"/>
      <c r="N2761" s="20" t="s">
        <v>39</v>
      </c>
      <c r="O2761" s="19"/>
      <c r="P2761" s="19"/>
      <c r="Q2761" s="19"/>
      <c r="R2761" s="19"/>
      <c r="S2761" s="19"/>
      <c r="T2761" s="19"/>
      <c r="U2761" s="19"/>
      <c r="V2761" s="19"/>
    </row>
    <row r="2762">
      <c r="A2762" s="25"/>
      <c r="B2762" s="19"/>
      <c r="C2762" s="19"/>
      <c r="D2762" s="19"/>
      <c r="E2762" s="19"/>
      <c r="F2762" s="17" t="str">
        <f>IFERROR(__xludf.DUMMYFUNCTION("""COMPUTED_VALUE"""),"")</f>
        <v/>
      </c>
      <c r="G2762" s="20"/>
      <c r="H2762" s="19"/>
      <c r="I2762" s="19"/>
      <c r="J2762" s="19"/>
      <c r="K2762" s="19"/>
      <c r="L2762" s="19"/>
      <c r="M2762" s="19"/>
      <c r="N2762" s="20" t="s">
        <v>39</v>
      </c>
      <c r="O2762" s="19"/>
      <c r="P2762" s="19"/>
      <c r="Q2762" s="19"/>
      <c r="R2762" s="19"/>
      <c r="S2762" s="19"/>
      <c r="T2762" s="19"/>
      <c r="U2762" s="19"/>
      <c r="V2762" s="19"/>
    </row>
    <row r="2763">
      <c r="A2763" s="25"/>
      <c r="B2763" s="19"/>
      <c r="C2763" s="19"/>
      <c r="D2763" s="19"/>
      <c r="E2763" s="19"/>
      <c r="F2763" s="17" t="str">
        <f>IFERROR(__xludf.DUMMYFUNCTION("""COMPUTED_VALUE"""),"")</f>
        <v/>
      </c>
      <c r="G2763" s="20"/>
      <c r="H2763" s="19"/>
      <c r="I2763" s="19"/>
      <c r="J2763" s="19"/>
      <c r="K2763" s="19"/>
      <c r="L2763" s="19"/>
      <c r="M2763" s="19"/>
      <c r="N2763" s="20" t="s">
        <v>39</v>
      </c>
      <c r="O2763" s="19"/>
      <c r="P2763" s="19"/>
      <c r="Q2763" s="19"/>
      <c r="R2763" s="19"/>
      <c r="S2763" s="19"/>
      <c r="T2763" s="19"/>
      <c r="U2763" s="19"/>
      <c r="V2763" s="19"/>
    </row>
    <row r="2764">
      <c r="A2764" s="25"/>
      <c r="B2764" s="19"/>
      <c r="C2764" s="19"/>
      <c r="D2764" s="19"/>
      <c r="E2764" s="19"/>
      <c r="F2764" s="17" t="str">
        <f>IFERROR(__xludf.DUMMYFUNCTION("""COMPUTED_VALUE"""),"")</f>
        <v/>
      </c>
      <c r="G2764" s="20"/>
      <c r="H2764" s="19"/>
      <c r="I2764" s="19"/>
      <c r="J2764" s="19"/>
      <c r="K2764" s="19"/>
      <c r="L2764" s="19"/>
      <c r="M2764" s="19"/>
      <c r="N2764" s="20" t="s">
        <v>39</v>
      </c>
      <c r="O2764" s="19"/>
      <c r="P2764" s="19"/>
      <c r="Q2764" s="19"/>
      <c r="R2764" s="19"/>
      <c r="S2764" s="19"/>
      <c r="T2764" s="19"/>
      <c r="U2764" s="19"/>
      <c r="V2764" s="19"/>
    </row>
    <row r="2765">
      <c r="A2765" s="25"/>
      <c r="B2765" s="19"/>
      <c r="C2765" s="19"/>
      <c r="D2765" s="19"/>
      <c r="E2765" s="19"/>
      <c r="F2765" s="17" t="str">
        <f>IFERROR(__xludf.DUMMYFUNCTION("""COMPUTED_VALUE"""),"")</f>
        <v/>
      </c>
      <c r="G2765" s="20"/>
      <c r="H2765" s="19"/>
      <c r="I2765" s="19"/>
      <c r="J2765" s="19"/>
      <c r="K2765" s="19"/>
      <c r="L2765" s="19"/>
      <c r="M2765" s="19"/>
      <c r="N2765" s="20" t="s">
        <v>39</v>
      </c>
      <c r="O2765" s="19"/>
      <c r="P2765" s="19"/>
      <c r="Q2765" s="19"/>
      <c r="R2765" s="19"/>
      <c r="S2765" s="19"/>
      <c r="T2765" s="19"/>
      <c r="U2765" s="19"/>
      <c r="V2765" s="19"/>
    </row>
    <row r="2766">
      <c r="A2766" s="25"/>
      <c r="B2766" s="19"/>
      <c r="C2766" s="19"/>
      <c r="D2766" s="19"/>
      <c r="E2766" s="19"/>
      <c r="F2766" s="17" t="str">
        <f>IFERROR(__xludf.DUMMYFUNCTION("""COMPUTED_VALUE"""),"")</f>
        <v/>
      </c>
      <c r="G2766" s="20"/>
      <c r="H2766" s="19"/>
      <c r="I2766" s="19"/>
      <c r="J2766" s="19"/>
      <c r="K2766" s="19"/>
      <c r="L2766" s="19"/>
      <c r="M2766" s="19"/>
      <c r="N2766" s="20" t="s">
        <v>39</v>
      </c>
      <c r="O2766" s="19"/>
      <c r="P2766" s="19"/>
      <c r="Q2766" s="19"/>
      <c r="R2766" s="19"/>
      <c r="S2766" s="19"/>
      <c r="T2766" s="19"/>
      <c r="U2766" s="19"/>
      <c r="V2766" s="19"/>
    </row>
    <row r="2767">
      <c r="A2767" s="25"/>
      <c r="B2767" s="19"/>
      <c r="C2767" s="19"/>
      <c r="D2767" s="19"/>
      <c r="E2767" s="19"/>
      <c r="F2767" s="17" t="str">
        <f>IFERROR(__xludf.DUMMYFUNCTION("""COMPUTED_VALUE"""),"")</f>
        <v/>
      </c>
      <c r="G2767" s="20"/>
      <c r="H2767" s="19"/>
      <c r="I2767" s="19"/>
      <c r="J2767" s="19"/>
      <c r="K2767" s="19"/>
      <c r="L2767" s="19"/>
      <c r="M2767" s="19"/>
      <c r="N2767" s="20" t="s">
        <v>39</v>
      </c>
      <c r="O2767" s="19"/>
      <c r="P2767" s="19"/>
      <c r="Q2767" s="19"/>
      <c r="R2767" s="19"/>
      <c r="S2767" s="19"/>
      <c r="T2767" s="19"/>
      <c r="U2767" s="19"/>
      <c r="V2767" s="19"/>
    </row>
    <row r="2768">
      <c r="A2768" s="25"/>
      <c r="B2768" s="19"/>
      <c r="C2768" s="19"/>
      <c r="D2768" s="19"/>
      <c r="E2768" s="19"/>
      <c r="F2768" s="17" t="str">
        <f>IFERROR(__xludf.DUMMYFUNCTION("""COMPUTED_VALUE"""),"")</f>
        <v/>
      </c>
      <c r="G2768" s="20"/>
      <c r="H2768" s="19"/>
      <c r="I2768" s="19"/>
      <c r="J2768" s="19"/>
      <c r="K2768" s="19"/>
      <c r="L2768" s="19"/>
      <c r="M2768" s="19"/>
      <c r="N2768" s="20" t="s">
        <v>39</v>
      </c>
      <c r="O2768" s="19"/>
      <c r="P2768" s="19"/>
      <c r="Q2768" s="19"/>
      <c r="R2768" s="19"/>
      <c r="S2768" s="19"/>
      <c r="T2768" s="19"/>
      <c r="U2768" s="19"/>
      <c r="V2768" s="19"/>
    </row>
    <row r="2769">
      <c r="A2769" s="25"/>
      <c r="B2769" s="19"/>
      <c r="C2769" s="19"/>
      <c r="D2769" s="19"/>
      <c r="E2769" s="19"/>
      <c r="F2769" s="17" t="str">
        <f>IFERROR(__xludf.DUMMYFUNCTION("""COMPUTED_VALUE"""),"")</f>
        <v/>
      </c>
      <c r="G2769" s="20"/>
      <c r="H2769" s="19"/>
      <c r="I2769" s="19"/>
      <c r="J2769" s="19"/>
      <c r="K2769" s="19"/>
      <c r="L2769" s="19"/>
      <c r="M2769" s="19"/>
      <c r="N2769" s="20" t="s">
        <v>39</v>
      </c>
      <c r="O2769" s="19"/>
      <c r="P2769" s="19"/>
      <c r="Q2769" s="19"/>
      <c r="R2769" s="19"/>
      <c r="S2769" s="19"/>
      <c r="T2769" s="19"/>
      <c r="U2769" s="19"/>
      <c r="V2769" s="19"/>
    </row>
    <row r="2770">
      <c r="A2770" s="25"/>
      <c r="B2770" s="19"/>
      <c r="C2770" s="19"/>
      <c r="D2770" s="19"/>
      <c r="E2770" s="19"/>
      <c r="F2770" s="17" t="str">
        <f>IFERROR(__xludf.DUMMYFUNCTION("""COMPUTED_VALUE"""),"")</f>
        <v/>
      </c>
      <c r="G2770" s="20"/>
      <c r="H2770" s="19"/>
      <c r="I2770" s="19"/>
      <c r="J2770" s="19"/>
      <c r="K2770" s="19"/>
      <c r="L2770" s="19"/>
      <c r="M2770" s="19"/>
      <c r="N2770" s="20" t="s">
        <v>39</v>
      </c>
      <c r="O2770" s="19"/>
      <c r="P2770" s="19"/>
      <c r="Q2770" s="19"/>
      <c r="R2770" s="19"/>
      <c r="S2770" s="19"/>
      <c r="T2770" s="19"/>
      <c r="U2770" s="19"/>
      <c r="V2770" s="19"/>
    </row>
    <row r="2771">
      <c r="A2771" s="25"/>
      <c r="B2771" s="19"/>
      <c r="C2771" s="19"/>
      <c r="D2771" s="19"/>
      <c r="E2771" s="19"/>
      <c r="F2771" s="17" t="str">
        <f>IFERROR(__xludf.DUMMYFUNCTION("""COMPUTED_VALUE"""),"")</f>
        <v/>
      </c>
      <c r="G2771" s="20"/>
      <c r="H2771" s="19"/>
      <c r="I2771" s="19"/>
      <c r="J2771" s="19"/>
      <c r="K2771" s="19"/>
      <c r="L2771" s="19"/>
      <c r="M2771" s="19"/>
      <c r="N2771" s="20" t="s">
        <v>39</v>
      </c>
      <c r="O2771" s="19"/>
      <c r="P2771" s="19"/>
      <c r="Q2771" s="19"/>
      <c r="R2771" s="19"/>
      <c r="S2771" s="19"/>
      <c r="T2771" s="19"/>
      <c r="U2771" s="19"/>
      <c r="V2771" s="19"/>
    </row>
    <row r="2772">
      <c r="A2772" s="25"/>
      <c r="B2772" s="19"/>
      <c r="C2772" s="19"/>
      <c r="D2772" s="19"/>
      <c r="E2772" s="19"/>
      <c r="F2772" s="17" t="str">
        <f>IFERROR(__xludf.DUMMYFUNCTION("""COMPUTED_VALUE"""),"")</f>
        <v/>
      </c>
      <c r="G2772" s="20"/>
      <c r="H2772" s="19"/>
      <c r="I2772" s="19"/>
      <c r="J2772" s="19"/>
      <c r="K2772" s="19"/>
      <c r="L2772" s="19"/>
      <c r="M2772" s="19"/>
      <c r="N2772" s="20" t="s">
        <v>39</v>
      </c>
      <c r="O2772" s="19"/>
      <c r="P2772" s="19"/>
      <c r="Q2772" s="19"/>
      <c r="R2772" s="19"/>
      <c r="S2772" s="19"/>
      <c r="T2772" s="19"/>
      <c r="U2772" s="19"/>
      <c r="V2772" s="19"/>
    </row>
    <row r="2773">
      <c r="A2773" s="25"/>
      <c r="B2773" s="19"/>
      <c r="C2773" s="19"/>
      <c r="D2773" s="19"/>
      <c r="E2773" s="19"/>
      <c r="F2773" s="17" t="str">
        <f>IFERROR(__xludf.DUMMYFUNCTION("""COMPUTED_VALUE"""),"")</f>
        <v/>
      </c>
      <c r="G2773" s="20"/>
      <c r="H2773" s="19"/>
      <c r="I2773" s="19"/>
      <c r="J2773" s="19"/>
      <c r="K2773" s="19"/>
      <c r="L2773" s="19"/>
      <c r="M2773" s="19"/>
      <c r="N2773" s="20" t="s">
        <v>39</v>
      </c>
      <c r="O2773" s="19"/>
      <c r="P2773" s="19"/>
      <c r="Q2773" s="19"/>
      <c r="R2773" s="19"/>
      <c r="S2773" s="19"/>
      <c r="T2773" s="19"/>
      <c r="U2773" s="19"/>
      <c r="V2773" s="19"/>
    </row>
    <row r="2774">
      <c r="A2774" s="25"/>
      <c r="B2774" s="19"/>
      <c r="C2774" s="19"/>
      <c r="D2774" s="19"/>
      <c r="E2774" s="19"/>
      <c r="F2774" s="17" t="str">
        <f>IFERROR(__xludf.DUMMYFUNCTION("""COMPUTED_VALUE"""),"")</f>
        <v/>
      </c>
      <c r="G2774" s="20"/>
      <c r="H2774" s="19"/>
      <c r="I2774" s="19"/>
      <c r="J2774" s="19"/>
      <c r="K2774" s="19"/>
      <c r="L2774" s="19"/>
      <c r="M2774" s="19"/>
      <c r="N2774" s="20" t="s">
        <v>39</v>
      </c>
      <c r="O2774" s="19"/>
      <c r="P2774" s="19"/>
      <c r="Q2774" s="19"/>
      <c r="R2774" s="19"/>
      <c r="S2774" s="19"/>
      <c r="T2774" s="19"/>
      <c r="U2774" s="19"/>
      <c r="V2774" s="19"/>
    </row>
    <row r="2775">
      <c r="A2775" s="25"/>
      <c r="B2775" s="19"/>
      <c r="C2775" s="19"/>
      <c r="D2775" s="19"/>
      <c r="E2775" s="19"/>
      <c r="F2775" s="17" t="str">
        <f>IFERROR(__xludf.DUMMYFUNCTION("""COMPUTED_VALUE"""),"")</f>
        <v/>
      </c>
      <c r="G2775" s="20"/>
      <c r="H2775" s="19"/>
      <c r="I2775" s="19"/>
      <c r="J2775" s="19"/>
      <c r="K2775" s="19"/>
      <c r="L2775" s="19"/>
      <c r="M2775" s="19"/>
      <c r="N2775" s="20" t="s">
        <v>39</v>
      </c>
      <c r="O2775" s="19"/>
      <c r="P2775" s="19"/>
      <c r="Q2775" s="19"/>
      <c r="R2775" s="19"/>
      <c r="S2775" s="19"/>
      <c r="T2775" s="19"/>
      <c r="U2775" s="19"/>
      <c r="V2775" s="19"/>
    </row>
    <row r="2776">
      <c r="A2776" s="25"/>
      <c r="B2776" s="19"/>
      <c r="C2776" s="19"/>
      <c r="D2776" s="19"/>
      <c r="E2776" s="19"/>
      <c r="F2776" s="17" t="str">
        <f>IFERROR(__xludf.DUMMYFUNCTION("""COMPUTED_VALUE"""),"")</f>
        <v/>
      </c>
      <c r="G2776" s="20"/>
      <c r="H2776" s="19"/>
      <c r="I2776" s="19"/>
      <c r="J2776" s="19"/>
      <c r="K2776" s="19"/>
      <c r="L2776" s="19"/>
      <c r="M2776" s="19"/>
      <c r="N2776" s="20" t="s">
        <v>39</v>
      </c>
      <c r="O2776" s="19"/>
      <c r="P2776" s="19"/>
      <c r="Q2776" s="19"/>
      <c r="R2776" s="19"/>
      <c r="S2776" s="19"/>
      <c r="T2776" s="19"/>
      <c r="U2776" s="19"/>
      <c r="V2776" s="19"/>
    </row>
    <row r="2777">
      <c r="A2777" s="25"/>
      <c r="B2777" s="19"/>
      <c r="C2777" s="19"/>
      <c r="D2777" s="19"/>
      <c r="E2777" s="19"/>
      <c r="F2777" s="17" t="str">
        <f>IFERROR(__xludf.DUMMYFUNCTION("""COMPUTED_VALUE"""),"")</f>
        <v/>
      </c>
      <c r="G2777" s="20"/>
      <c r="H2777" s="19"/>
      <c r="I2777" s="19"/>
      <c r="J2777" s="19"/>
      <c r="K2777" s="19"/>
      <c r="L2777" s="19"/>
      <c r="M2777" s="19"/>
      <c r="N2777" s="20" t="s">
        <v>39</v>
      </c>
      <c r="O2777" s="19"/>
      <c r="P2777" s="19"/>
      <c r="Q2777" s="19"/>
      <c r="R2777" s="19"/>
      <c r="S2777" s="19"/>
      <c r="T2777" s="19"/>
      <c r="U2777" s="19"/>
      <c r="V2777" s="19"/>
    </row>
    <row r="2778">
      <c r="A2778" s="25"/>
      <c r="B2778" s="19"/>
      <c r="C2778" s="19"/>
      <c r="D2778" s="19"/>
      <c r="E2778" s="19"/>
      <c r="F2778" s="17" t="str">
        <f>IFERROR(__xludf.DUMMYFUNCTION("""COMPUTED_VALUE"""),"")</f>
        <v/>
      </c>
      <c r="G2778" s="20"/>
      <c r="H2778" s="19"/>
      <c r="I2778" s="19"/>
      <c r="J2778" s="19"/>
      <c r="K2778" s="19"/>
      <c r="L2778" s="19"/>
      <c r="M2778" s="19"/>
      <c r="N2778" s="20" t="s">
        <v>39</v>
      </c>
      <c r="O2778" s="19"/>
      <c r="P2778" s="19"/>
      <c r="Q2778" s="19"/>
      <c r="R2778" s="19"/>
      <c r="S2778" s="19"/>
      <c r="T2778" s="19"/>
      <c r="U2778" s="19"/>
      <c r="V2778" s="19"/>
    </row>
    <row r="2779">
      <c r="A2779" s="25"/>
      <c r="B2779" s="19"/>
      <c r="C2779" s="19"/>
      <c r="D2779" s="19"/>
      <c r="E2779" s="19"/>
      <c r="F2779" s="17" t="str">
        <f>IFERROR(__xludf.DUMMYFUNCTION("""COMPUTED_VALUE"""),"")</f>
        <v/>
      </c>
      <c r="G2779" s="20"/>
      <c r="H2779" s="19"/>
      <c r="I2779" s="19"/>
      <c r="J2779" s="19"/>
      <c r="K2779" s="19"/>
      <c r="L2779" s="19"/>
      <c r="M2779" s="19"/>
      <c r="N2779" s="20" t="s">
        <v>39</v>
      </c>
      <c r="O2779" s="19"/>
      <c r="P2779" s="19"/>
      <c r="Q2779" s="19"/>
      <c r="R2779" s="19"/>
      <c r="S2779" s="19"/>
      <c r="T2779" s="19"/>
      <c r="U2779" s="19"/>
      <c r="V2779" s="19"/>
    </row>
    <row r="2780">
      <c r="A2780" s="25"/>
      <c r="B2780" s="19"/>
      <c r="C2780" s="19"/>
      <c r="D2780" s="19"/>
      <c r="E2780" s="19"/>
      <c r="F2780" s="17" t="str">
        <f>IFERROR(__xludf.DUMMYFUNCTION("""COMPUTED_VALUE"""),"")</f>
        <v/>
      </c>
      <c r="G2780" s="20"/>
      <c r="H2780" s="19"/>
      <c r="I2780" s="19"/>
      <c r="J2780" s="19"/>
      <c r="K2780" s="19"/>
      <c r="L2780" s="19"/>
      <c r="M2780" s="19"/>
      <c r="N2780" s="20" t="s">
        <v>39</v>
      </c>
      <c r="O2780" s="19"/>
      <c r="P2780" s="19"/>
      <c r="Q2780" s="19"/>
      <c r="R2780" s="19"/>
      <c r="S2780" s="19"/>
      <c r="T2780" s="19"/>
      <c r="U2780" s="19"/>
      <c r="V2780" s="19"/>
    </row>
    <row r="2781">
      <c r="A2781" s="25"/>
      <c r="B2781" s="19"/>
      <c r="C2781" s="19"/>
      <c r="D2781" s="19"/>
      <c r="E2781" s="19"/>
      <c r="F2781" s="17" t="str">
        <f>IFERROR(__xludf.DUMMYFUNCTION("""COMPUTED_VALUE"""),"")</f>
        <v/>
      </c>
      <c r="G2781" s="20"/>
      <c r="H2781" s="19"/>
      <c r="I2781" s="19"/>
      <c r="J2781" s="19"/>
      <c r="K2781" s="19"/>
      <c r="L2781" s="19"/>
      <c r="M2781" s="19"/>
      <c r="N2781" s="20" t="s">
        <v>39</v>
      </c>
      <c r="O2781" s="19"/>
      <c r="P2781" s="19"/>
      <c r="Q2781" s="19"/>
      <c r="R2781" s="19"/>
      <c r="S2781" s="19"/>
      <c r="T2781" s="19"/>
      <c r="U2781" s="19"/>
      <c r="V2781" s="19"/>
    </row>
    <row r="2782">
      <c r="A2782" s="25"/>
      <c r="B2782" s="19"/>
      <c r="C2782" s="19"/>
      <c r="D2782" s="19"/>
      <c r="E2782" s="19"/>
      <c r="F2782" s="17" t="str">
        <f>IFERROR(__xludf.DUMMYFUNCTION("""COMPUTED_VALUE"""),"")</f>
        <v/>
      </c>
      <c r="G2782" s="20"/>
      <c r="H2782" s="19"/>
      <c r="I2782" s="19"/>
      <c r="J2782" s="19"/>
      <c r="K2782" s="19"/>
      <c r="L2782" s="19"/>
      <c r="M2782" s="19"/>
      <c r="N2782" s="20" t="s">
        <v>39</v>
      </c>
      <c r="O2782" s="19"/>
      <c r="P2782" s="19"/>
      <c r="Q2782" s="19"/>
      <c r="R2782" s="19"/>
      <c r="S2782" s="19"/>
      <c r="T2782" s="19"/>
      <c r="U2782" s="19"/>
      <c r="V2782" s="19"/>
    </row>
    <row r="2783">
      <c r="A2783" s="25"/>
      <c r="B2783" s="19"/>
      <c r="C2783" s="19"/>
      <c r="D2783" s="19"/>
      <c r="E2783" s="19"/>
      <c r="F2783" s="17" t="str">
        <f>IFERROR(__xludf.DUMMYFUNCTION("""COMPUTED_VALUE"""),"")</f>
        <v/>
      </c>
      <c r="G2783" s="20"/>
      <c r="H2783" s="19"/>
      <c r="I2783" s="19"/>
      <c r="J2783" s="19"/>
      <c r="K2783" s="19"/>
      <c r="L2783" s="19"/>
      <c r="M2783" s="19"/>
      <c r="N2783" s="20" t="s">
        <v>39</v>
      </c>
      <c r="O2783" s="19"/>
      <c r="P2783" s="19"/>
      <c r="Q2783" s="19"/>
      <c r="R2783" s="19"/>
      <c r="S2783" s="19"/>
      <c r="T2783" s="19"/>
      <c r="U2783" s="19"/>
      <c r="V2783" s="19"/>
    </row>
    <row r="2784">
      <c r="A2784" s="25"/>
      <c r="B2784" s="19"/>
      <c r="C2784" s="19"/>
      <c r="D2784" s="19"/>
      <c r="E2784" s="19"/>
      <c r="F2784" s="17" t="str">
        <f>IFERROR(__xludf.DUMMYFUNCTION("""COMPUTED_VALUE"""),"")</f>
        <v/>
      </c>
      <c r="G2784" s="20"/>
      <c r="H2784" s="19"/>
      <c r="I2784" s="19"/>
      <c r="J2784" s="19"/>
      <c r="K2784" s="19"/>
      <c r="L2784" s="19"/>
      <c r="M2784" s="19"/>
      <c r="N2784" s="20" t="s">
        <v>39</v>
      </c>
      <c r="O2784" s="19"/>
      <c r="P2784" s="19"/>
      <c r="Q2784" s="19"/>
      <c r="R2784" s="19"/>
      <c r="S2784" s="19"/>
      <c r="T2784" s="19"/>
      <c r="U2784" s="19"/>
      <c r="V2784" s="19"/>
    </row>
    <row r="2785">
      <c r="A2785" s="25"/>
      <c r="B2785" s="19"/>
      <c r="C2785" s="19"/>
      <c r="D2785" s="19"/>
      <c r="E2785" s="19"/>
      <c r="F2785" s="17" t="str">
        <f>IFERROR(__xludf.DUMMYFUNCTION("""COMPUTED_VALUE"""),"")</f>
        <v/>
      </c>
      <c r="G2785" s="20"/>
      <c r="H2785" s="19"/>
      <c r="I2785" s="19"/>
      <c r="J2785" s="19"/>
      <c r="K2785" s="19"/>
      <c r="L2785" s="19"/>
      <c r="M2785" s="19"/>
      <c r="N2785" s="20" t="s">
        <v>39</v>
      </c>
      <c r="O2785" s="19"/>
      <c r="P2785" s="19"/>
      <c r="Q2785" s="19"/>
      <c r="R2785" s="19"/>
      <c r="S2785" s="19"/>
      <c r="T2785" s="19"/>
      <c r="U2785" s="19"/>
      <c r="V2785" s="19"/>
    </row>
    <row r="2786">
      <c r="A2786" s="25"/>
      <c r="B2786" s="19"/>
      <c r="C2786" s="19"/>
      <c r="D2786" s="19"/>
      <c r="E2786" s="19"/>
      <c r="F2786" s="17" t="str">
        <f>IFERROR(__xludf.DUMMYFUNCTION("""COMPUTED_VALUE"""),"")</f>
        <v/>
      </c>
      <c r="G2786" s="20"/>
      <c r="H2786" s="19"/>
      <c r="I2786" s="19"/>
      <c r="J2786" s="19"/>
      <c r="K2786" s="19"/>
      <c r="L2786" s="19"/>
      <c r="M2786" s="19"/>
      <c r="N2786" s="20" t="s">
        <v>39</v>
      </c>
      <c r="O2786" s="19"/>
      <c r="P2786" s="19"/>
      <c r="Q2786" s="19"/>
      <c r="R2786" s="19"/>
      <c r="S2786" s="19"/>
      <c r="T2786" s="19"/>
      <c r="U2786" s="19"/>
      <c r="V2786" s="19"/>
    </row>
    <row r="2787">
      <c r="A2787" s="25"/>
      <c r="B2787" s="19"/>
      <c r="C2787" s="19"/>
      <c r="D2787" s="19"/>
      <c r="E2787" s="19"/>
      <c r="F2787" s="17" t="str">
        <f>IFERROR(__xludf.DUMMYFUNCTION("""COMPUTED_VALUE"""),"")</f>
        <v/>
      </c>
      <c r="G2787" s="20"/>
      <c r="H2787" s="19"/>
      <c r="I2787" s="19"/>
      <c r="J2787" s="19"/>
      <c r="K2787" s="19"/>
      <c r="L2787" s="19"/>
      <c r="M2787" s="19"/>
      <c r="N2787" s="20" t="s">
        <v>39</v>
      </c>
      <c r="O2787" s="19"/>
      <c r="P2787" s="19"/>
      <c r="Q2787" s="19"/>
      <c r="R2787" s="19"/>
      <c r="S2787" s="19"/>
      <c r="T2787" s="19"/>
      <c r="U2787" s="19"/>
      <c r="V2787" s="19"/>
    </row>
    <row r="2788">
      <c r="A2788" s="25"/>
      <c r="B2788" s="19"/>
      <c r="C2788" s="19"/>
      <c r="D2788" s="19"/>
      <c r="E2788" s="19"/>
      <c r="F2788" s="17" t="str">
        <f>IFERROR(__xludf.DUMMYFUNCTION("""COMPUTED_VALUE"""),"")</f>
        <v/>
      </c>
      <c r="G2788" s="20"/>
      <c r="H2788" s="19"/>
      <c r="I2788" s="19"/>
      <c r="J2788" s="19"/>
      <c r="K2788" s="19"/>
      <c r="L2788" s="19"/>
      <c r="M2788" s="19"/>
      <c r="N2788" s="20" t="s">
        <v>39</v>
      </c>
      <c r="O2788" s="19"/>
      <c r="P2788" s="19"/>
      <c r="Q2788" s="19"/>
      <c r="R2788" s="19"/>
      <c r="S2788" s="19"/>
      <c r="T2788" s="19"/>
      <c r="U2788" s="19"/>
      <c r="V2788" s="19"/>
    </row>
    <row r="2789">
      <c r="A2789" s="25"/>
      <c r="B2789" s="19"/>
      <c r="C2789" s="19"/>
      <c r="D2789" s="19"/>
      <c r="E2789" s="19"/>
      <c r="F2789" s="17" t="str">
        <f>IFERROR(__xludf.DUMMYFUNCTION("""COMPUTED_VALUE"""),"")</f>
        <v/>
      </c>
      <c r="G2789" s="20"/>
      <c r="H2789" s="19"/>
      <c r="I2789" s="19"/>
      <c r="J2789" s="19"/>
      <c r="K2789" s="19"/>
      <c r="L2789" s="19"/>
      <c r="M2789" s="19"/>
      <c r="N2789" s="20" t="s">
        <v>39</v>
      </c>
      <c r="O2789" s="19"/>
      <c r="P2789" s="19"/>
      <c r="Q2789" s="19"/>
      <c r="R2789" s="19"/>
      <c r="S2789" s="19"/>
      <c r="T2789" s="19"/>
      <c r="U2789" s="19"/>
      <c r="V2789" s="19"/>
    </row>
    <row r="2790">
      <c r="A2790" s="25"/>
      <c r="B2790" s="19"/>
      <c r="C2790" s="19"/>
      <c r="D2790" s="19"/>
      <c r="E2790" s="19"/>
      <c r="F2790" s="17" t="str">
        <f>IFERROR(__xludf.DUMMYFUNCTION("""COMPUTED_VALUE"""),"")</f>
        <v/>
      </c>
      <c r="G2790" s="20"/>
      <c r="H2790" s="19"/>
      <c r="I2790" s="19"/>
      <c r="J2790" s="19"/>
      <c r="K2790" s="19"/>
      <c r="L2790" s="19"/>
      <c r="M2790" s="19"/>
      <c r="N2790" s="20" t="s">
        <v>39</v>
      </c>
      <c r="O2790" s="19"/>
      <c r="P2790" s="19"/>
      <c r="Q2790" s="19"/>
      <c r="R2790" s="19"/>
      <c r="S2790" s="19"/>
      <c r="T2790" s="19"/>
      <c r="U2790" s="19"/>
      <c r="V2790" s="19"/>
    </row>
    <row r="2791">
      <c r="A2791" s="25"/>
      <c r="B2791" s="19"/>
      <c r="C2791" s="19"/>
      <c r="D2791" s="19"/>
      <c r="E2791" s="19"/>
      <c r="F2791" s="17" t="str">
        <f>IFERROR(__xludf.DUMMYFUNCTION("""COMPUTED_VALUE"""),"")</f>
        <v/>
      </c>
      <c r="G2791" s="20"/>
      <c r="H2791" s="19"/>
      <c r="I2791" s="19"/>
      <c r="J2791" s="19"/>
      <c r="K2791" s="19"/>
      <c r="L2791" s="19"/>
      <c r="M2791" s="19"/>
      <c r="N2791" s="20" t="s">
        <v>39</v>
      </c>
      <c r="O2791" s="19"/>
      <c r="P2791" s="19"/>
      <c r="Q2791" s="19"/>
      <c r="R2791" s="19"/>
      <c r="S2791" s="19"/>
      <c r="T2791" s="19"/>
      <c r="U2791" s="19"/>
      <c r="V2791" s="19"/>
    </row>
    <row r="2792">
      <c r="A2792" s="25"/>
      <c r="B2792" s="19"/>
      <c r="C2792" s="19"/>
      <c r="D2792" s="19"/>
      <c r="E2792" s="19"/>
      <c r="F2792" s="17" t="str">
        <f>IFERROR(__xludf.DUMMYFUNCTION("""COMPUTED_VALUE"""),"")</f>
        <v/>
      </c>
      <c r="G2792" s="20"/>
      <c r="H2792" s="19"/>
      <c r="I2792" s="19"/>
      <c r="J2792" s="19"/>
      <c r="K2792" s="19"/>
      <c r="L2792" s="19"/>
      <c r="M2792" s="19"/>
      <c r="N2792" s="20" t="s">
        <v>39</v>
      </c>
      <c r="O2792" s="19"/>
      <c r="P2792" s="19"/>
      <c r="Q2792" s="19"/>
      <c r="R2792" s="19"/>
      <c r="S2792" s="19"/>
      <c r="T2792" s="19"/>
      <c r="U2792" s="19"/>
      <c r="V2792" s="19"/>
    </row>
    <row r="2793">
      <c r="A2793" s="25"/>
      <c r="B2793" s="19"/>
      <c r="C2793" s="19"/>
      <c r="D2793" s="19"/>
      <c r="E2793" s="19"/>
      <c r="F2793" s="17" t="str">
        <f>IFERROR(__xludf.DUMMYFUNCTION("""COMPUTED_VALUE"""),"")</f>
        <v/>
      </c>
      <c r="G2793" s="20"/>
      <c r="H2793" s="19"/>
      <c r="I2793" s="19"/>
      <c r="J2793" s="19"/>
      <c r="K2793" s="19"/>
      <c r="L2793" s="19"/>
      <c r="M2793" s="19"/>
      <c r="N2793" s="20" t="s">
        <v>39</v>
      </c>
      <c r="O2793" s="19"/>
      <c r="P2793" s="19"/>
      <c r="Q2793" s="19"/>
      <c r="R2793" s="19"/>
      <c r="S2793" s="19"/>
      <c r="T2793" s="19"/>
      <c r="U2793" s="19"/>
      <c r="V2793" s="19"/>
    </row>
    <row r="2794">
      <c r="A2794" s="25"/>
      <c r="B2794" s="19"/>
      <c r="C2794" s="19"/>
      <c r="D2794" s="19"/>
      <c r="E2794" s="19"/>
      <c r="F2794" s="17" t="str">
        <f>IFERROR(__xludf.DUMMYFUNCTION("""COMPUTED_VALUE"""),"")</f>
        <v/>
      </c>
      <c r="G2794" s="20"/>
      <c r="H2794" s="19"/>
      <c r="I2794" s="19"/>
      <c r="J2794" s="19"/>
      <c r="K2794" s="19"/>
      <c r="L2794" s="19"/>
      <c r="M2794" s="19"/>
      <c r="N2794" s="20" t="s">
        <v>39</v>
      </c>
      <c r="O2794" s="19"/>
      <c r="P2794" s="19"/>
      <c r="Q2794" s="19"/>
      <c r="R2794" s="19"/>
      <c r="S2794" s="19"/>
      <c r="T2794" s="19"/>
      <c r="U2794" s="19"/>
      <c r="V2794" s="19"/>
    </row>
    <row r="2795">
      <c r="A2795" s="25"/>
      <c r="B2795" s="19"/>
      <c r="C2795" s="19"/>
      <c r="D2795" s="19"/>
      <c r="E2795" s="19"/>
      <c r="F2795" s="17" t="str">
        <f>IFERROR(__xludf.DUMMYFUNCTION("""COMPUTED_VALUE"""),"")</f>
        <v/>
      </c>
      <c r="G2795" s="20"/>
      <c r="H2795" s="19"/>
      <c r="I2795" s="19"/>
      <c r="J2795" s="19"/>
      <c r="K2795" s="19"/>
      <c r="L2795" s="19"/>
      <c r="M2795" s="19"/>
      <c r="N2795" s="20" t="s">
        <v>39</v>
      </c>
      <c r="O2795" s="19"/>
      <c r="P2795" s="19"/>
      <c r="Q2795" s="19"/>
      <c r="R2795" s="19"/>
      <c r="S2795" s="19"/>
      <c r="T2795" s="19"/>
      <c r="U2795" s="19"/>
      <c r="V2795" s="19"/>
    </row>
    <row r="2796">
      <c r="A2796" s="25"/>
      <c r="B2796" s="19"/>
      <c r="C2796" s="19"/>
      <c r="D2796" s="19"/>
      <c r="E2796" s="19"/>
      <c r="F2796" s="17" t="str">
        <f>IFERROR(__xludf.DUMMYFUNCTION("""COMPUTED_VALUE"""),"")</f>
        <v/>
      </c>
      <c r="G2796" s="20"/>
      <c r="H2796" s="19"/>
      <c r="I2796" s="19"/>
      <c r="J2796" s="19"/>
      <c r="K2796" s="19"/>
      <c r="L2796" s="19"/>
      <c r="M2796" s="19"/>
      <c r="N2796" s="20" t="s">
        <v>39</v>
      </c>
      <c r="O2796" s="19"/>
      <c r="P2796" s="19"/>
      <c r="Q2796" s="19"/>
      <c r="R2796" s="19"/>
      <c r="S2796" s="19"/>
      <c r="T2796" s="19"/>
      <c r="U2796" s="19"/>
      <c r="V2796" s="19"/>
    </row>
    <row r="2797">
      <c r="A2797" s="25"/>
      <c r="B2797" s="19"/>
      <c r="C2797" s="19"/>
      <c r="D2797" s="19"/>
      <c r="E2797" s="19"/>
      <c r="F2797" s="17" t="str">
        <f>IFERROR(__xludf.DUMMYFUNCTION("""COMPUTED_VALUE"""),"")</f>
        <v/>
      </c>
      <c r="G2797" s="20"/>
      <c r="H2797" s="19"/>
      <c r="I2797" s="19"/>
      <c r="J2797" s="19"/>
      <c r="K2797" s="19"/>
      <c r="L2797" s="19"/>
      <c r="M2797" s="19"/>
      <c r="N2797" s="20" t="s">
        <v>39</v>
      </c>
      <c r="O2797" s="19"/>
      <c r="P2797" s="19"/>
      <c r="Q2797" s="19"/>
      <c r="R2797" s="19"/>
      <c r="S2797" s="19"/>
      <c r="T2797" s="19"/>
      <c r="U2797" s="19"/>
      <c r="V2797" s="19"/>
    </row>
    <row r="2798">
      <c r="A2798" s="25"/>
      <c r="B2798" s="19"/>
      <c r="C2798" s="19"/>
      <c r="D2798" s="19"/>
      <c r="E2798" s="19"/>
      <c r="F2798" s="17" t="str">
        <f>IFERROR(__xludf.DUMMYFUNCTION("""COMPUTED_VALUE"""),"")</f>
        <v/>
      </c>
      <c r="G2798" s="20"/>
      <c r="H2798" s="19"/>
      <c r="I2798" s="19"/>
      <c r="J2798" s="19"/>
      <c r="K2798" s="19"/>
      <c r="L2798" s="19"/>
      <c r="M2798" s="19"/>
      <c r="N2798" s="20" t="s">
        <v>39</v>
      </c>
      <c r="O2798" s="19"/>
      <c r="P2798" s="19"/>
      <c r="Q2798" s="19"/>
      <c r="R2798" s="19"/>
      <c r="S2798" s="19"/>
      <c r="T2798" s="19"/>
      <c r="U2798" s="19"/>
      <c r="V2798" s="19"/>
    </row>
    <row r="2799">
      <c r="A2799" s="25"/>
      <c r="B2799" s="19"/>
      <c r="C2799" s="19"/>
      <c r="D2799" s="19"/>
      <c r="E2799" s="19"/>
      <c r="F2799" s="17" t="str">
        <f>IFERROR(__xludf.DUMMYFUNCTION("""COMPUTED_VALUE"""),"")</f>
        <v/>
      </c>
      <c r="G2799" s="20"/>
      <c r="H2799" s="19"/>
      <c r="I2799" s="19"/>
      <c r="J2799" s="19"/>
      <c r="K2799" s="19"/>
      <c r="L2799" s="19"/>
      <c r="M2799" s="19"/>
      <c r="N2799" s="20" t="s">
        <v>39</v>
      </c>
      <c r="O2799" s="19"/>
      <c r="P2799" s="19"/>
      <c r="Q2799" s="19"/>
      <c r="R2799" s="19"/>
      <c r="S2799" s="19"/>
      <c r="T2799" s="19"/>
      <c r="U2799" s="19"/>
      <c r="V2799" s="19"/>
    </row>
    <row r="2800">
      <c r="A2800" s="25"/>
      <c r="B2800" s="19"/>
      <c r="C2800" s="19"/>
      <c r="D2800" s="19"/>
      <c r="E2800" s="19"/>
      <c r="F2800" s="17" t="str">
        <f>IFERROR(__xludf.DUMMYFUNCTION("""COMPUTED_VALUE"""),"")</f>
        <v/>
      </c>
      <c r="G2800" s="20"/>
      <c r="H2800" s="19"/>
      <c r="I2800" s="19"/>
      <c r="J2800" s="19"/>
      <c r="K2800" s="19"/>
      <c r="L2800" s="19"/>
      <c r="M2800" s="19"/>
      <c r="N2800" s="20" t="s">
        <v>39</v>
      </c>
      <c r="O2800" s="19"/>
      <c r="P2800" s="19"/>
      <c r="Q2800" s="19"/>
      <c r="R2800" s="19"/>
      <c r="S2800" s="19"/>
      <c r="T2800" s="19"/>
      <c r="U2800" s="19"/>
      <c r="V2800" s="19"/>
    </row>
    <row r="2801">
      <c r="A2801" s="25"/>
      <c r="B2801" s="19"/>
      <c r="C2801" s="19"/>
      <c r="D2801" s="19"/>
      <c r="E2801" s="19"/>
      <c r="F2801" s="17" t="str">
        <f>IFERROR(__xludf.DUMMYFUNCTION("""COMPUTED_VALUE"""),"")</f>
        <v/>
      </c>
      <c r="G2801" s="20"/>
      <c r="H2801" s="19"/>
      <c r="I2801" s="19"/>
      <c r="J2801" s="19"/>
      <c r="K2801" s="19"/>
      <c r="L2801" s="19"/>
      <c r="M2801" s="19"/>
      <c r="N2801" s="20" t="s">
        <v>39</v>
      </c>
      <c r="O2801" s="19"/>
      <c r="P2801" s="19"/>
      <c r="Q2801" s="19"/>
      <c r="R2801" s="19"/>
      <c r="S2801" s="19"/>
      <c r="T2801" s="19"/>
      <c r="U2801" s="19"/>
      <c r="V2801" s="19"/>
    </row>
    <row r="2802">
      <c r="A2802" s="25"/>
      <c r="B2802" s="19"/>
      <c r="C2802" s="19"/>
      <c r="D2802" s="19"/>
      <c r="E2802" s="19"/>
      <c r="F2802" s="17" t="str">
        <f>IFERROR(__xludf.DUMMYFUNCTION("""COMPUTED_VALUE"""),"")</f>
        <v/>
      </c>
      <c r="G2802" s="20"/>
      <c r="H2802" s="19"/>
      <c r="I2802" s="19"/>
      <c r="J2802" s="19"/>
      <c r="K2802" s="19"/>
      <c r="L2802" s="19"/>
      <c r="M2802" s="19"/>
      <c r="N2802" s="20" t="s">
        <v>39</v>
      </c>
      <c r="O2802" s="19"/>
      <c r="P2802" s="19"/>
      <c r="Q2802" s="19"/>
      <c r="R2802" s="19"/>
      <c r="S2802" s="19"/>
      <c r="T2802" s="19"/>
      <c r="U2802" s="19"/>
      <c r="V2802" s="19"/>
    </row>
    <row r="2803">
      <c r="A2803" s="25"/>
      <c r="B2803" s="19"/>
      <c r="C2803" s="19"/>
      <c r="D2803" s="19"/>
      <c r="E2803" s="19"/>
      <c r="F2803" s="17" t="str">
        <f>IFERROR(__xludf.DUMMYFUNCTION("""COMPUTED_VALUE"""),"")</f>
        <v/>
      </c>
      <c r="G2803" s="20"/>
      <c r="H2803" s="19"/>
      <c r="I2803" s="19"/>
      <c r="J2803" s="19"/>
      <c r="K2803" s="19"/>
      <c r="L2803" s="19"/>
      <c r="M2803" s="19"/>
      <c r="N2803" s="20" t="s">
        <v>39</v>
      </c>
      <c r="O2803" s="19"/>
      <c r="P2803" s="19"/>
      <c r="Q2803" s="19"/>
      <c r="R2803" s="19"/>
      <c r="S2803" s="19"/>
      <c r="T2803" s="19"/>
      <c r="U2803" s="19"/>
      <c r="V2803" s="19"/>
    </row>
    <row r="2804">
      <c r="A2804" s="25"/>
      <c r="B2804" s="19"/>
      <c r="C2804" s="19"/>
      <c r="D2804" s="19"/>
      <c r="E2804" s="19"/>
      <c r="F2804" s="17" t="str">
        <f>IFERROR(__xludf.DUMMYFUNCTION("""COMPUTED_VALUE"""),"")</f>
        <v/>
      </c>
      <c r="G2804" s="20"/>
      <c r="H2804" s="19"/>
      <c r="I2804" s="19"/>
      <c r="J2804" s="19"/>
      <c r="K2804" s="19"/>
      <c r="L2804" s="19"/>
      <c r="M2804" s="19"/>
      <c r="N2804" s="20" t="s">
        <v>39</v>
      </c>
      <c r="O2804" s="19"/>
      <c r="P2804" s="19"/>
      <c r="Q2804" s="19"/>
      <c r="R2804" s="19"/>
      <c r="S2804" s="19"/>
      <c r="T2804" s="19"/>
      <c r="U2804" s="19"/>
      <c r="V2804" s="19"/>
    </row>
    <row r="2805">
      <c r="A2805" s="25"/>
      <c r="B2805" s="19"/>
      <c r="C2805" s="19"/>
      <c r="D2805" s="19"/>
      <c r="E2805" s="19"/>
      <c r="F2805" s="17" t="str">
        <f>IFERROR(__xludf.DUMMYFUNCTION("""COMPUTED_VALUE"""),"")</f>
        <v/>
      </c>
      <c r="G2805" s="20"/>
      <c r="H2805" s="19"/>
      <c r="I2805" s="19"/>
      <c r="J2805" s="19"/>
      <c r="K2805" s="19"/>
      <c r="L2805" s="19"/>
      <c r="M2805" s="19"/>
      <c r="N2805" s="20" t="s">
        <v>39</v>
      </c>
      <c r="O2805" s="19"/>
      <c r="P2805" s="19"/>
      <c r="Q2805" s="19"/>
      <c r="R2805" s="19"/>
      <c r="S2805" s="19"/>
      <c r="T2805" s="19"/>
      <c r="U2805" s="19"/>
      <c r="V2805" s="19"/>
    </row>
    <row r="2806">
      <c r="A2806" s="25"/>
      <c r="B2806" s="19"/>
      <c r="C2806" s="19"/>
      <c r="D2806" s="19"/>
      <c r="E2806" s="19"/>
      <c r="F2806" s="17" t="str">
        <f>IFERROR(__xludf.DUMMYFUNCTION("""COMPUTED_VALUE"""),"")</f>
        <v/>
      </c>
      <c r="G2806" s="20"/>
      <c r="H2806" s="19"/>
      <c r="I2806" s="19"/>
      <c r="J2806" s="19"/>
      <c r="K2806" s="19"/>
      <c r="L2806" s="19"/>
      <c r="M2806" s="19"/>
      <c r="N2806" s="20" t="s">
        <v>39</v>
      </c>
      <c r="O2806" s="19"/>
      <c r="P2806" s="19"/>
      <c r="Q2806" s="19"/>
      <c r="R2806" s="19"/>
      <c r="S2806" s="19"/>
      <c r="T2806" s="19"/>
      <c r="U2806" s="19"/>
      <c r="V2806" s="19"/>
    </row>
    <row r="2807">
      <c r="A2807" s="25"/>
      <c r="B2807" s="19"/>
      <c r="C2807" s="19"/>
      <c r="D2807" s="19"/>
      <c r="E2807" s="19"/>
      <c r="F2807" s="17" t="str">
        <f>IFERROR(__xludf.DUMMYFUNCTION("""COMPUTED_VALUE"""),"")</f>
        <v/>
      </c>
      <c r="G2807" s="20"/>
      <c r="H2807" s="19"/>
      <c r="I2807" s="19"/>
      <c r="J2807" s="19"/>
      <c r="K2807" s="19"/>
      <c r="L2807" s="19"/>
      <c r="M2807" s="19"/>
      <c r="N2807" s="20" t="s">
        <v>39</v>
      </c>
      <c r="O2807" s="19"/>
      <c r="P2807" s="19"/>
      <c r="Q2807" s="19"/>
      <c r="R2807" s="19"/>
      <c r="S2807" s="19"/>
      <c r="T2807" s="19"/>
      <c r="U2807" s="19"/>
      <c r="V2807" s="19"/>
    </row>
    <row r="2808">
      <c r="A2808" s="25"/>
      <c r="B2808" s="19"/>
      <c r="C2808" s="19"/>
      <c r="D2808" s="19"/>
      <c r="E2808" s="19"/>
      <c r="F2808" s="17" t="str">
        <f>IFERROR(__xludf.DUMMYFUNCTION("""COMPUTED_VALUE"""),"")</f>
        <v/>
      </c>
      <c r="G2808" s="20"/>
      <c r="H2808" s="19"/>
      <c r="I2808" s="19"/>
      <c r="J2808" s="19"/>
      <c r="K2808" s="19"/>
      <c r="L2808" s="19"/>
      <c r="M2808" s="19"/>
      <c r="N2808" s="20" t="s">
        <v>39</v>
      </c>
      <c r="O2808" s="19"/>
      <c r="P2808" s="19"/>
      <c r="Q2808" s="19"/>
      <c r="R2808" s="19"/>
      <c r="S2808" s="19"/>
      <c r="T2808" s="19"/>
      <c r="U2808" s="19"/>
      <c r="V2808" s="19"/>
    </row>
    <row r="2809">
      <c r="A2809" s="25"/>
      <c r="B2809" s="19"/>
      <c r="C2809" s="19"/>
      <c r="D2809" s="19"/>
      <c r="E2809" s="19"/>
      <c r="F2809" s="17" t="str">
        <f>IFERROR(__xludf.DUMMYFUNCTION("""COMPUTED_VALUE"""),"")</f>
        <v/>
      </c>
      <c r="G2809" s="20"/>
      <c r="H2809" s="19"/>
      <c r="I2809" s="19"/>
      <c r="J2809" s="19"/>
      <c r="K2809" s="19"/>
      <c r="L2809" s="19"/>
      <c r="M2809" s="19"/>
      <c r="N2809" s="20" t="s">
        <v>39</v>
      </c>
      <c r="O2809" s="19"/>
      <c r="P2809" s="19"/>
      <c r="Q2809" s="19"/>
      <c r="R2809" s="19"/>
      <c r="S2809" s="19"/>
      <c r="T2809" s="19"/>
      <c r="U2809" s="19"/>
      <c r="V2809" s="19"/>
    </row>
    <row r="2810">
      <c r="A2810" s="25"/>
      <c r="B2810" s="19"/>
      <c r="C2810" s="19"/>
      <c r="D2810" s="19"/>
      <c r="E2810" s="19"/>
      <c r="F2810" s="17" t="str">
        <f>IFERROR(__xludf.DUMMYFUNCTION("""COMPUTED_VALUE"""),"")</f>
        <v/>
      </c>
      <c r="G2810" s="20"/>
      <c r="H2810" s="19"/>
      <c r="I2810" s="19"/>
      <c r="J2810" s="19"/>
      <c r="K2810" s="19"/>
      <c r="L2810" s="19"/>
      <c r="M2810" s="19"/>
      <c r="N2810" s="20" t="s">
        <v>39</v>
      </c>
      <c r="O2810" s="19"/>
      <c r="P2810" s="19"/>
      <c r="Q2810" s="19"/>
      <c r="R2810" s="19"/>
      <c r="S2810" s="19"/>
      <c r="T2810" s="19"/>
      <c r="U2810" s="19"/>
      <c r="V2810" s="19"/>
    </row>
    <row r="2811">
      <c r="A2811" s="25"/>
      <c r="B2811" s="19"/>
      <c r="C2811" s="19"/>
      <c r="D2811" s="19"/>
      <c r="E2811" s="19"/>
      <c r="F2811" s="17" t="str">
        <f>IFERROR(__xludf.DUMMYFUNCTION("""COMPUTED_VALUE"""),"")</f>
        <v/>
      </c>
      <c r="G2811" s="20"/>
      <c r="H2811" s="19"/>
      <c r="I2811" s="19"/>
      <c r="J2811" s="19"/>
      <c r="K2811" s="19"/>
      <c r="L2811" s="19"/>
      <c r="M2811" s="19"/>
      <c r="N2811" s="20" t="s">
        <v>39</v>
      </c>
      <c r="O2811" s="19"/>
      <c r="P2811" s="19"/>
      <c r="Q2811" s="19"/>
      <c r="R2811" s="19"/>
      <c r="S2811" s="19"/>
      <c r="T2811" s="19"/>
      <c r="U2811" s="19"/>
      <c r="V2811" s="19"/>
    </row>
    <row r="2812">
      <c r="A2812" s="25"/>
      <c r="B2812" s="19"/>
      <c r="C2812" s="19"/>
      <c r="D2812" s="19"/>
      <c r="E2812" s="19"/>
      <c r="F2812" s="17" t="str">
        <f>IFERROR(__xludf.DUMMYFUNCTION("""COMPUTED_VALUE"""),"")</f>
        <v/>
      </c>
      <c r="G2812" s="20"/>
      <c r="H2812" s="19"/>
      <c r="I2812" s="19"/>
      <c r="J2812" s="19"/>
      <c r="K2812" s="19"/>
      <c r="L2812" s="19"/>
      <c r="M2812" s="19"/>
      <c r="N2812" s="20" t="s">
        <v>39</v>
      </c>
      <c r="O2812" s="19"/>
      <c r="P2812" s="19"/>
      <c r="Q2812" s="19"/>
      <c r="R2812" s="19"/>
      <c r="S2812" s="19"/>
      <c r="T2812" s="19"/>
      <c r="U2812" s="19"/>
      <c r="V2812" s="19"/>
    </row>
    <row r="2813">
      <c r="A2813" s="25"/>
      <c r="B2813" s="19"/>
      <c r="C2813" s="19"/>
      <c r="D2813" s="19"/>
      <c r="E2813" s="19"/>
      <c r="F2813" s="17" t="str">
        <f>IFERROR(__xludf.DUMMYFUNCTION("""COMPUTED_VALUE"""),"")</f>
        <v/>
      </c>
      <c r="G2813" s="20"/>
      <c r="H2813" s="19"/>
      <c r="I2813" s="19"/>
      <c r="J2813" s="19"/>
      <c r="K2813" s="19"/>
      <c r="L2813" s="19"/>
      <c r="M2813" s="19"/>
      <c r="N2813" s="20" t="s">
        <v>39</v>
      </c>
      <c r="O2813" s="19"/>
      <c r="P2813" s="19"/>
      <c r="Q2813" s="19"/>
      <c r="R2813" s="19"/>
      <c r="S2813" s="19"/>
      <c r="T2813" s="19"/>
      <c r="U2813" s="19"/>
      <c r="V2813" s="19"/>
    </row>
    <row r="2814">
      <c r="A2814" s="25"/>
      <c r="B2814" s="19"/>
      <c r="C2814" s="19"/>
      <c r="D2814" s="19"/>
      <c r="E2814" s="19"/>
      <c r="F2814" s="17" t="str">
        <f>IFERROR(__xludf.DUMMYFUNCTION("""COMPUTED_VALUE"""),"")</f>
        <v/>
      </c>
      <c r="G2814" s="20"/>
      <c r="H2814" s="19"/>
      <c r="I2814" s="19"/>
      <c r="J2814" s="19"/>
      <c r="K2814" s="19"/>
      <c r="L2814" s="19"/>
      <c r="M2814" s="19"/>
      <c r="N2814" s="20" t="s">
        <v>39</v>
      </c>
      <c r="O2814" s="19"/>
      <c r="P2814" s="19"/>
      <c r="Q2814" s="19"/>
      <c r="R2814" s="19"/>
      <c r="S2814" s="19"/>
      <c r="T2814" s="19"/>
      <c r="U2814" s="19"/>
      <c r="V2814" s="19"/>
    </row>
    <row r="2815">
      <c r="A2815" s="25"/>
      <c r="B2815" s="19"/>
      <c r="C2815" s="19"/>
      <c r="D2815" s="19"/>
      <c r="E2815" s="19"/>
      <c r="F2815" s="17" t="str">
        <f>IFERROR(__xludf.DUMMYFUNCTION("""COMPUTED_VALUE"""),"")</f>
        <v/>
      </c>
      <c r="G2815" s="20"/>
      <c r="H2815" s="19"/>
      <c r="I2815" s="19"/>
      <c r="J2815" s="19"/>
      <c r="K2815" s="19"/>
      <c r="L2815" s="19"/>
      <c r="M2815" s="19"/>
      <c r="N2815" s="20" t="s">
        <v>39</v>
      </c>
      <c r="O2815" s="19"/>
      <c r="P2815" s="19"/>
      <c r="Q2815" s="19"/>
      <c r="R2815" s="19"/>
      <c r="S2815" s="19"/>
      <c r="T2815" s="19"/>
      <c r="U2815" s="19"/>
      <c r="V2815" s="19"/>
    </row>
    <row r="2816">
      <c r="A2816" s="25"/>
      <c r="B2816" s="19"/>
      <c r="C2816" s="19"/>
      <c r="D2816" s="19"/>
      <c r="E2816" s="19"/>
      <c r="F2816" s="17" t="str">
        <f>IFERROR(__xludf.DUMMYFUNCTION("""COMPUTED_VALUE"""),"")</f>
        <v/>
      </c>
      <c r="G2816" s="20"/>
      <c r="H2816" s="19"/>
      <c r="I2816" s="19"/>
      <c r="J2816" s="19"/>
      <c r="K2816" s="19"/>
      <c r="L2816" s="19"/>
      <c r="M2816" s="19"/>
      <c r="N2816" s="20" t="s">
        <v>39</v>
      </c>
      <c r="O2816" s="19"/>
      <c r="P2816" s="19"/>
      <c r="Q2816" s="19"/>
      <c r="R2816" s="19"/>
      <c r="S2816" s="19"/>
      <c r="T2816" s="19"/>
      <c r="U2816" s="19"/>
      <c r="V2816" s="19"/>
    </row>
    <row r="2817">
      <c r="A2817" s="25"/>
      <c r="B2817" s="19"/>
      <c r="C2817" s="19"/>
      <c r="D2817" s="19"/>
      <c r="E2817" s="19"/>
      <c r="F2817" s="17" t="str">
        <f>IFERROR(__xludf.DUMMYFUNCTION("""COMPUTED_VALUE"""),"")</f>
        <v/>
      </c>
      <c r="G2817" s="20"/>
      <c r="H2817" s="19"/>
      <c r="I2817" s="19"/>
      <c r="J2817" s="19"/>
      <c r="K2817" s="19"/>
      <c r="L2817" s="19"/>
      <c r="M2817" s="19"/>
      <c r="N2817" s="20" t="s">
        <v>39</v>
      </c>
      <c r="O2817" s="19"/>
      <c r="P2817" s="19"/>
      <c r="Q2817" s="19"/>
      <c r="R2817" s="19"/>
      <c r="S2817" s="19"/>
      <c r="T2817" s="19"/>
      <c r="U2817" s="19"/>
      <c r="V2817" s="19"/>
    </row>
    <row r="2818">
      <c r="A2818" s="25"/>
      <c r="B2818" s="19"/>
      <c r="C2818" s="19"/>
      <c r="D2818" s="19"/>
      <c r="E2818" s="19"/>
      <c r="F2818" s="17" t="str">
        <f>IFERROR(__xludf.DUMMYFUNCTION("""COMPUTED_VALUE"""),"")</f>
        <v/>
      </c>
      <c r="G2818" s="20"/>
      <c r="H2818" s="19"/>
      <c r="I2818" s="19"/>
      <c r="J2818" s="19"/>
      <c r="K2818" s="19"/>
      <c r="L2818" s="19"/>
      <c r="M2818" s="19"/>
      <c r="N2818" s="20" t="s">
        <v>39</v>
      </c>
      <c r="O2818" s="19"/>
      <c r="P2818" s="19"/>
      <c r="Q2818" s="19"/>
      <c r="R2818" s="19"/>
      <c r="S2818" s="19"/>
      <c r="T2818" s="19"/>
      <c r="U2818" s="19"/>
      <c r="V2818" s="19"/>
    </row>
    <row r="2819">
      <c r="A2819" s="25"/>
      <c r="B2819" s="19"/>
      <c r="C2819" s="19"/>
      <c r="D2819" s="19"/>
      <c r="E2819" s="19"/>
      <c r="F2819" s="17" t="str">
        <f>IFERROR(__xludf.DUMMYFUNCTION("""COMPUTED_VALUE"""),"")</f>
        <v/>
      </c>
      <c r="G2819" s="20"/>
      <c r="H2819" s="19"/>
      <c r="I2819" s="19"/>
      <c r="J2819" s="19"/>
      <c r="K2819" s="19"/>
      <c r="L2819" s="19"/>
      <c r="M2819" s="19"/>
      <c r="N2819" s="20" t="s">
        <v>39</v>
      </c>
      <c r="O2819" s="19"/>
      <c r="P2819" s="19"/>
      <c r="Q2819" s="19"/>
      <c r="R2819" s="19"/>
      <c r="S2819" s="19"/>
      <c r="T2819" s="19"/>
      <c r="U2819" s="19"/>
      <c r="V2819" s="19"/>
    </row>
    <row r="2820">
      <c r="A2820" s="25"/>
      <c r="B2820" s="19"/>
      <c r="C2820" s="19"/>
      <c r="D2820" s="19"/>
      <c r="E2820" s="19"/>
      <c r="F2820" s="17" t="str">
        <f>IFERROR(__xludf.DUMMYFUNCTION("""COMPUTED_VALUE"""),"")</f>
        <v/>
      </c>
      <c r="G2820" s="20"/>
      <c r="H2820" s="19"/>
      <c r="I2820" s="19"/>
      <c r="J2820" s="19"/>
      <c r="K2820" s="19"/>
      <c r="L2820" s="19"/>
      <c r="M2820" s="19"/>
      <c r="N2820" s="20" t="s">
        <v>39</v>
      </c>
      <c r="O2820" s="19"/>
      <c r="P2820" s="19"/>
      <c r="Q2820" s="19"/>
      <c r="R2820" s="19"/>
      <c r="S2820" s="19"/>
      <c r="T2820" s="19"/>
      <c r="U2820" s="19"/>
      <c r="V2820" s="19"/>
    </row>
    <row r="2821">
      <c r="A2821" s="25"/>
      <c r="B2821" s="19"/>
      <c r="C2821" s="19"/>
      <c r="D2821" s="19"/>
      <c r="E2821" s="19"/>
      <c r="F2821" s="17" t="str">
        <f>IFERROR(__xludf.DUMMYFUNCTION("""COMPUTED_VALUE"""),"")</f>
        <v/>
      </c>
      <c r="G2821" s="20"/>
      <c r="H2821" s="19"/>
      <c r="I2821" s="19"/>
      <c r="J2821" s="19"/>
      <c r="K2821" s="19"/>
      <c r="L2821" s="19"/>
      <c r="M2821" s="19"/>
      <c r="N2821" s="20" t="s">
        <v>39</v>
      </c>
      <c r="O2821" s="19"/>
      <c r="P2821" s="19"/>
      <c r="Q2821" s="19"/>
      <c r="R2821" s="19"/>
      <c r="S2821" s="19"/>
      <c r="T2821" s="19"/>
      <c r="U2821" s="19"/>
      <c r="V2821" s="19"/>
    </row>
    <row r="2822">
      <c r="A2822" s="25"/>
      <c r="B2822" s="19"/>
      <c r="C2822" s="19"/>
      <c r="D2822" s="19"/>
      <c r="E2822" s="19"/>
      <c r="F2822" s="17" t="str">
        <f>IFERROR(__xludf.DUMMYFUNCTION("""COMPUTED_VALUE"""),"")</f>
        <v/>
      </c>
      <c r="G2822" s="20"/>
      <c r="H2822" s="19"/>
      <c r="I2822" s="19"/>
      <c r="J2822" s="19"/>
      <c r="K2822" s="19"/>
      <c r="L2822" s="19"/>
      <c r="M2822" s="19"/>
      <c r="N2822" s="20" t="s">
        <v>39</v>
      </c>
      <c r="O2822" s="19"/>
      <c r="P2822" s="19"/>
      <c r="Q2822" s="19"/>
      <c r="R2822" s="19"/>
      <c r="S2822" s="19"/>
      <c r="T2822" s="19"/>
      <c r="U2822" s="19"/>
      <c r="V2822" s="19"/>
    </row>
    <row r="2823">
      <c r="A2823" s="25"/>
      <c r="B2823" s="19"/>
      <c r="C2823" s="19"/>
      <c r="D2823" s="19"/>
      <c r="E2823" s="19"/>
      <c r="F2823" s="17" t="str">
        <f>IFERROR(__xludf.DUMMYFUNCTION("""COMPUTED_VALUE"""),"")</f>
        <v/>
      </c>
      <c r="G2823" s="20"/>
      <c r="H2823" s="19"/>
      <c r="I2823" s="19"/>
      <c r="J2823" s="19"/>
      <c r="K2823" s="19"/>
      <c r="L2823" s="19"/>
      <c r="M2823" s="19"/>
      <c r="N2823" s="20" t="s">
        <v>39</v>
      </c>
      <c r="O2823" s="19"/>
      <c r="P2823" s="19"/>
      <c r="Q2823" s="19"/>
      <c r="R2823" s="19"/>
      <c r="S2823" s="19"/>
      <c r="T2823" s="19"/>
      <c r="U2823" s="19"/>
      <c r="V2823" s="19"/>
    </row>
    <row r="2824">
      <c r="A2824" s="25"/>
      <c r="B2824" s="19"/>
      <c r="C2824" s="19"/>
      <c r="D2824" s="19"/>
      <c r="E2824" s="19"/>
      <c r="F2824" s="17" t="str">
        <f>IFERROR(__xludf.DUMMYFUNCTION("""COMPUTED_VALUE"""),"")</f>
        <v/>
      </c>
      <c r="G2824" s="20"/>
      <c r="H2824" s="19"/>
      <c r="I2824" s="19"/>
      <c r="J2824" s="19"/>
      <c r="K2824" s="19"/>
      <c r="L2824" s="19"/>
      <c r="M2824" s="19"/>
      <c r="N2824" s="20" t="s">
        <v>39</v>
      </c>
      <c r="O2824" s="19"/>
      <c r="P2824" s="19"/>
      <c r="Q2824" s="19"/>
      <c r="R2824" s="19"/>
      <c r="S2824" s="19"/>
      <c r="T2824" s="19"/>
      <c r="U2824" s="19"/>
      <c r="V2824" s="19"/>
    </row>
    <row r="2825">
      <c r="A2825" s="25"/>
      <c r="B2825" s="19"/>
      <c r="C2825" s="19"/>
      <c r="D2825" s="19"/>
      <c r="E2825" s="19"/>
      <c r="F2825" s="17" t="str">
        <f>IFERROR(__xludf.DUMMYFUNCTION("""COMPUTED_VALUE"""),"")</f>
        <v/>
      </c>
      <c r="G2825" s="20"/>
      <c r="H2825" s="19"/>
      <c r="I2825" s="19"/>
      <c r="J2825" s="19"/>
      <c r="K2825" s="19"/>
      <c r="L2825" s="19"/>
      <c r="M2825" s="19"/>
      <c r="N2825" s="20" t="s">
        <v>39</v>
      </c>
      <c r="O2825" s="19"/>
      <c r="P2825" s="19"/>
      <c r="Q2825" s="19"/>
      <c r="R2825" s="19"/>
      <c r="S2825" s="19"/>
      <c r="T2825" s="19"/>
      <c r="U2825" s="19"/>
      <c r="V2825" s="19"/>
    </row>
    <row r="2826">
      <c r="A2826" s="25"/>
      <c r="B2826" s="19"/>
      <c r="C2826" s="19"/>
      <c r="D2826" s="19"/>
      <c r="E2826" s="19"/>
      <c r="F2826" s="17" t="str">
        <f>IFERROR(__xludf.DUMMYFUNCTION("""COMPUTED_VALUE"""),"")</f>
        <v/>
      </c>
      <c r="G2826" s="20"/>
      <c r="H2826" s="19"/>
      <c r="I2826" s="19"/>
      <c r="J2826" s="19"/>
      <c r="K2826" s="19"/>
      <c r="L2826" s="19"/>
      <c r="M2826" s="19"/>
      <c r="N2826" s="20" t="s">
        <v>39</v>
      </c>
      <c r="O2826" s="19"/>
      <c r="P2826" s="19"/>
      <c r="Q2826" s="19"/>
      <c r="R2826" s="19"/>
      <c r="S2826" s="19"/>
      <c r="T2826" s="19"/>
      <c r="U2826" s="19"/>
      <c r="V2826" s="19"/>
    </row>
    <row r="2827">
      <c r="A2827" s="25"/>
      <c r="B2827" s="19"/>
      <c r="C2827" s="19"/>
      <c r="D2827" s="19"/>
      <c r="E2827" s="19"/>
      <c r="F2827" s="17" t="str">
        <f>IFERROR(__xludf.DUMMYFUNCTION("""COMPUTED_VALUE"""),"")</f>
        <v/>
      </c>
      <c r="G2827" s="20"/>
      <c r="H2827" s="19"/>
      <c r="I2827" s="19"/>
      <c r="J2827" s="19"/>
      <c r="K2827" s="19"/>
      <c r="L2827" s="19"/>
      <c r="M2827" s="19"/>
      <c r="N2827" s="20" t="s">
        <v>39</v>
      </c>
      <c r="O2827" s="19"/>
      <c r="P2827" s="19"/>
      <c r="Q2827" s="19"/>
      <c r="R2827" s="19"/>
      <c r="S2827" s="19"/>
      <c r="T2827" s="19"/>
      <c r="U2827" s="19"/>
      <c r="V2827" s="19"/>
    </row>
    <row r="2828">
      <c r="A2828" s="25"/>
      <c r="B2828" s="19"/>
      <c r="C2828" s="19"/>
      <c r="D2828" s="19"/>
      <c r="E2828" s="19"/>
      <c r="F2828" s="17" t="str">
        <f>IFERROR(__xludf.DUMMYFUNCTION("""COMPUTED_VALUE"""),"")</f>
        <v/>
      </c>
      <c r="G2828" s="20"/>
      <c r="H2828" s="19"/>
      <c r="I2828" s="19"/>
      <c r="J2828" s="19"/>
      <c r="K2828" s="19"/>
      <c r="L2828" s="19"/>
      <c r="M2828" s="19"/>
      <c r="N2828" s="20" t="s">
        <v>39</v>
      </c>
      <c r="O2828" s="19"/>
      <c r="P2828" s="19"/>
      <c r="Q2828" s="19"/>
      <c r="R2828" s="19"/>
      <c r="S2828" s="19"/>
      <c r="T2828" s="19"/>
      <c r="U2828" s="19"/>
      <c r="V2828" s="19"/>
    </row>
    <row r="2829">
      <c r="A2829" s="25"/>
      <c r="B2829" s="19"/>
      <c r="C2829" s="19"/>
      <c r="D2829" s="19"/>
      <c r="E2829" s="19"/>
      <c r="F2829" s="17" t="str">
        <f>IFERROR(__xludf.DUMMYFUNCTION("""COMPUTED_VALUE"""),"")</f>
        <v/>
      </c>
      <c r="G2829" s="20"/>
      <c r="H2829" s="19"/>
      <c r="I2829" s="19"/>
      <c r="J2829" s="19"/>
      <c r="K2829" s="19"/>
      <c r="L2829" s="19"/>
      <c r="M2829" s="19"/>
      <c r="N2829" s="20" t="s">
        <v>39</v>
      </c>
      <c r="O2829" s="19"/>
      <c r="P2829" s="19"/>
      <c r="Q2829" s="19"/>
      <c r="R2829" s="19"/>
      <c r="S2829" s="19"/>
      <c r="T2829" s="19"/>
      <c r="U2829" s="19"/>
      <c r="V2829" s="19"/>
    </row>
    <row r="2830">
      <c r="A2830" s="25"/>
      <c r="B2830" s="19"/>
      <c r="C2830" s="19"/>
      <c r="D2830" s="19"/>
      <c r="E2830" s="19"/>
      <c r="F2830" s="17" t="str">
        <f>IFERROR(__xludf.DUMMYFUNCTION("""COMPUTED_VALUE"""),"")</f>
        <v/>
      </c>
      <c r="G2830" s="20"/>
      <c r="H2830" s="19"/>
      <c r="I2830" s="19"/>
      <c r="J2830" s="19"/>
      <c r="K2830" s="19"/>
      <c r="L2830" s="19"/>
      <c r="M2830" s="19"/>
      <c r="N2830" s="20" t="s">
        <v>39</v>
      </c>
      <c r="O2830" s="19"/>
      <c r="P2830" s="19"/>
      <c r="Q2830" s="19"/>
      <c r="R2830" s="19"/>
      <c r="S2830" s="19"/>
      <c r="T2830" s="19"/>
      <c r="U2830" s="19"/>
      <c r="V2830" s="19"/>
    </row>
    <row r="2831">
      <c r="A2831" s="25"/>
      <c r="B2831" s="19"/>
      <c r="C2831" s="19"/>
      <c r="D2831" s="19"/>
      <c r="E2831" s="19"/>
      <c r="F2831" s="17" t="str">
        <f>IFERROR(__xludf.DUMMYFUNCTION("""COMPUTED_VALUE"""),"")</f>
        <v/>
      </c>
      <c r="G2831" s="20"/>
      <c r="H2831" s="19"/>
      <c r="I2831" s="19"/>
      <c r="J2831" s="19"/>
      <c r="K2831" s="19"/>
      <c r="L2831" s="19"/>
      <c r="M2831" s="19"/>
      <c r="N2831" s="20" t="s">
        <v>39</v>
      </c>
      <c r="O2831" s="19"/>
      <c r="P2831" s="19"/>
      <c r="Q2831" s="19"/>
      <c r="R2831" s="19"/>
      <c r="S2831" s="19"/>
      <c r="T2831" s="19"/>
      <c r="U2831" s="19"/>
      <c r="V2831" s="19"/>
    </row>
    <row r="2832">
      <c r="A2832" s="25"/>
      <c r="B2832" s="19"/>
      <c r="C2832" s="19"/>
      <c r="D2832" s="19"/>
      <c r="E2832" s="19"/>
      <c r="F2832" s="17" t="str">
        <f>IFERROR(__xludf.DUMMYFUNCTION("""COMPUTED_VALUE"""),"")</f>
        <v/>
      </c>
      <c r="G2832" s="20"/>
      <c r="H2832" s="19"/>
      <c r="I2832" s="19"/>
      <c r="J2832" s="19"/>
      <c r="K2832" s="19"/>
      <c r="L2832" s="19"/>
      <c r="M2832" s="19"/>
      <c r="N2832" s="20" t="s">
        <v>39</v>
      </c>
      <c r="O2832" s="19"/>
      <c r="P2832" s="19"/>
      <c r="Q2832" s="19"/>
      <c r="R2832" s="19"/>
      <c r="S2832" s="19"/>
      <c r="T2832" s="19"/>
      <c r="U2832" s="19"/>
      <c r="V2832" s="19"/>
    </row>
    <row r="2833">
      <c r="A2833" s="25"/>
      <c r="B2833" s="19"/>
      <c r="C2833" s="19"/>
      <c r="D2833" s="19"/>
      <c r="E2833" s="19"/>
      <c r="F2833" s="17" t="str">
        <f>IFERROR(__xludf.DUMMYFUNCTION("""COMPUTED_VALUE"""),"")</f>
        <v/>
      </c>
      <c r="G2833" s="20"/>
      <c r="H2833" s="19"/>
      <c r="I2833" s="19"/>
      <c r="J2833" s="19"/>
      <c r="K2833" s="19"/>
      <c r="L2833" s="19"/>
      <c r="M2833" s="19"/>
      <c r="N2833" s="20" t="s">
        <v>39</v>
      </c>
      <c r="O2833" s="19"/>
      <c r="P2833" s="19"/>
      <c r="Q2833" s="19"/>
      <c r="R2833" s="19"/>
      <c r="S2833" s="19"/>
      <c r="T2833" s="19"/>
      <c r="U2833" s="19"/>
      <c r="V2833" s="19"/>
    </row>
    <row r="2834">
      <c r="A2834" s="25"/>
      <c r="B2834" s="19"/>
      <c r="C2834" s="19"/>
      <c r="D2834" s="19"/>
      <c r="E2834" s="19"/>
      <c r="F2834" s="17" t="str">
        <f>IFERROR(__xludf.DUMMYFUNCTION("""COMPUTED_VALUE"""),"")</f>
        <v/>
      </c>
      <c r="G2834" s="20"/>
      <c r="H2834" s="19"/>
      <c r="I2834" s="19"/>
      <c r="J2834" s="19"/>
      <c r="K2834" s="19"/>
      <c r="L2834" s="19"/>
      <c r="M2834" s="19"/>
      <c r="N2834" s="20" t="s">
        <v>39</v>
      </c>
      <c r="O2834" s="19"/>
      <c r="P2834" s="19"/>
      <c r="Q2834" s="19"/>
      <c r="R2834" s="19"/>
      <c r="S2834" s="19"/>
      <c r="T2834" s="19"/>
      <c r="U2834" s="19"/>
      <c r="V2834" s="19"/>
    </row>
    <row r="2835">
      <c r="A2835" s="25"/>
      <c r="B2835" s="19"/>
      <c r="C2835" s="19"/>
      <c r="D2835" s="19"/>
      <c r="E2835" s="19"/>
      <c r="F2835" s="17" t="str">
        <f>IFERROR(__xludf.DUMMYFUNCTION("""COMPUTED_VALUE"""),"")</f>
        <v/>
      </c>
      <c r="G2835" s="20"/>
      <c r="H2835" s="19"/>
      <c r="I2835" s="19"/>
      <c r="J2835" s="19"/>
      <c r="K2835" s="19"/>
      <c r="L2835" s="19"/>
      <c r="M2835" s="19"/>
      <c r="N2835" s="20" t="s">
        <v>39</v>
      </c>
      <c r="O2835" s="19"/>
      <c r="P2835" s="19"/>
      <c r="Q2835" s="19"/>
      <c r="R2835" s="19"/>
      <c r="S2835" s="19"/>
      <c r="T2835" s="19"/>
      <c r="U2835" s="19"/>
      <c r="V2835" s="19"/>
    </row>
    <row r="2836">
      <c r="A2836" s="25"/>
      <c r="B2836" s="19"/>
      <c r="C2836" s="19"/>
      <c r="D2836" s="19"/>
      <c r="E2836" s="19"/>
      <c r="F2836" s="17" t="str">
        <f>IFERROR(__xludf.DUMMYFUNCTION("""COMPUTED_VALUE"""),"")</f>
        <v/>
      </c>
      <c r="G2836" s="20"/>
      <c r="H2836" s="19"/>
      <c r="I2836" s="19"/>
      <c r="J2836" s="19"/>
      <c r="K2836" s="19"/>
      <c r="L2836" s="19"/>
      <c r="M2836" s="19"/>
      <c r="N2836" s="20" t="s">
        <v>39</v>
      </c>
      <c r="O2836" s="19"/>
      <c r="P2836" s="19"/>
      <c r="Q2836" s="19"/>
      <c r="R2836" s="19"/>
      <c r="S2836" s="19"/>
      <c r="T2836" s="19"/>
      <c r="U2836" s="19"/>
      <c r="V2836" s="19"/>
    </row>
    <row r="2837">
      <c r="A2837" s="25"/>
      <c r="B2837" s="19"/>
      <c r="C2837" s="19"/>
      <c r="D2837" s="19"/>
      <c r="E2837" s="19"/>
      <c r="F2837" s="17" t="str">
        <f>IFERROR(__xludf.DUMMYFUNCTION("""COMPUTED_VALUE"""),"")</f>
        <v/>
      </c>
      <c r="G2837" s="20"/>
      <c r="H2837" s="19"/>
      <c r="I2837" s="19"/>
      <c r="J2837" s="19"/>
      <c r="K2837" s="19"/>
      <c r="L2837" s="19"/>
      <c r="M2837" s="19"/>
      <c r="N2837" s="20" t="s">
        <v>39</v>
      </c>
      <c r="O2837" s="19"/>
      <c r="P2837" s="19"/>
      <c r="Q2837" s="19"/>
      <c r="R2837" s="19"/>
      <c r="S2837" s="19"/>
      <c r="T2837" s="19"/>
      <c r="U2837" s="19"/>
      <c r="V2837" s="19"/>
    </row>
    <row r="2838">
      <c r="A2838" s="25"/>
      <c r="B2838" s="19"/>
      <c r="C2838" s="19"/>
      <c r="D2838" s="19"/>
      <c r="E2838" s="19"/>
      <c r="F2838" s="17" t="str">
        <f>IFERROR(__xludf.DUMMYFUNCTION("""COMPUTED_VALUE"""),"")</f>
        <v/>
      </c>
      <c r="G2838" s="20"/>
      <c r="H2838" s="19"/>
      <c r="I2838" s="19"/>
      <c r="J2838" s="19"/>
      <c r="K2838" s="19"/>
      <c r="L2838" s="19"/>
      <c r="M2838" s="19"/>
      <c r="N2838" s="20" t="s">
        <v>39</v>
      </c>
      <c r="O2838" s="19"/>
      <c r="P2838" s="19"/>
      <c r="Q2838" s="19"/>
      <c r="R2838" s="19"/>
      <c r="S2838" s="19"/>
      <c r="T2838" s="19"/>
      <c r="U2838" s="19"/>
      <c r="V2838" s="19"/>
    </row>
    <row r="2839">
      <c r="A2839" s="25"/>
      <c r="B2839" s="19"/>
      <c r="C2839" s="19"/>
      <c r="D2839" s="19"/>
      <c r="E2839" s="19"/>
      <c r="F2839" s="17" t="str">
        <f>IFERROR(__xludf.DUMMYFUNCTION("""COMPUTED_VALUE"""),"")</f>
        <v/>
      </c>
      <c r="G2839" s="20"/>
      <c r="H2839" s="19"/>
      <c r="I2839" s="19"/>
      <c r="J2839" s="19"/>
      <c r="K2839" s="19"/>
      <c r="L2839" s="19"/>
      <c r="M2839" s="19"/>
      <c r="N2839" s="20" t="s">
        <v>39</v>
      </c>
      <c r="O2839" s="19"/>
      <c r="P2839" s="19"/>
      <c r="Q2839" s="19"/>
      <c r="R2839" s="19"/>
      <c r="S2839" s="19"/>
      <c r="T2839" s="19"/>
      <c r="U2839" s="19"/>
      <c r="V2839" s="19"/>
    </row>
    <row r="2840">
      <c r="A2840" s="25"/>
      <c r="B2840" s="19"/>
      <c r="C2840" s="19"/>
      <c r="D2840" s="19"/>
      <c r="E2840" s="19"/>
      <c r="F2840" s="17" t="str">
        <f>IFERROR(__xludf.DUMMYFUNCTION("""COMPUTED_VALUE"""),"")</f>
        <v/>
      </c>
      <c r="G2840" s="20"/>
      <c r="H2840" s="19"/>
      <c r="I2840" s="19"/>
      <c r="J2840" s="19"/>
      <c r="K2840" s="19"/>
      <c r="L2840" s="19"/>
      <c r="M2840" s="19"/>
      <c r="N2840" s="20" t="s">
        <v>39</v>
      </c>
      <c r="O2840" s="19"/>
      <c r="P2840" s="19"/>
      <c r="Q2840" s="19"/>
      <c r="R2840" s="19"/>
      <c r="S2840" s="19"/>
      <c r="T2840" s="19"/>
      <c r="U2840" s="19"/>
      <c r="V2840" s="19"/>
    </row>
    <row r="2841">
      <c r="A2841" s="25"/>
      <c r="B2841" s="19"/>
      <c r="C2841" s="19"/>
      <c r="D2841" s="19"/>
      <c r="E2841" s="19"/>
      <c r="F2841" s="17" t="str">
        <f>IFERROR(__xludf.DUMMYFUNCTION("""COMPUTED_VALUE"""),"")</f>
        <v/>
      </c>
      <c r="G2841" s="20"/>
      <c r="H2841" s="19"/>
      <c r="I2841" s="19"/>
      <c r="J2841" s="19"/>
      <c r="K2841" s="19"/>
      <c r="L2841" s="19"/>
      <c r="M2841" s="19"/>
      <c r="N2841" s="20" t="s">
        <v>39</v>
      </c>
      <c r="O2841" s="19"/>
      <c r="P2841" s="19"/>
      <c r="Q2841" s="19"/>
      <c r="R2841" s="19"/>
      <c r="S2841" s="19"/>
      <c r="T2841" s="19"/>
      <c r="U2841" s="19"/>
      <c r="V2841" s="19"/>
    </row>
    <row r="2842">
      <c r="A2842" s="25"/>
      <c r="B2842" s="19"/>
      <c r="C2842" s="19"/>
      <c r="D2842" s="19"/>
      <c r="E2842" s="19"/>
      <c r="F2842" s="17" t="str">
        <f>IFERROR(__xludf.DUMMYFUNCTION("""COMPUTED_VALUE"""),"")</f>
        <v/>
      </c>
      <c r="G2842" s="20"/>
      <c r="H2842" s="19"/>
      <c r="I2842" s="19"/>
      <c r="J2842" s="19"/>
      <c r="K2842" s="19"/>
      <c r="L2842" s="19"/>
      <c r="M2842" s="19"/>
      <c r="N2842" s="20" t="s">
        <v>39</v>
      </c>
      <c r="O2842" s="19"/>
      <c r="P2842" s="19"/>
      <c r="Q2842" s="19"/>
      <c r="R2842" s="19"/>
      <c r="S2842" s="19"/>
      <c r="T2842" s="19"/>
      <c r="U2842" s="19"/>
      <c r="V2842" s="19"/>
    </row>
    <row r="2843">
      <c r="A2843" s="25"/>
      <c r="B2843" s="19"/>
      <c r="C2843" s="19"/>
      <c r="D2843" s="19"/>
      <c r="E2843" s="19"/>
      <c r="F2843" s="17" t="str">
        <f>IFERROR(__xludf.DUMMYFUNCTION("""COMPUTED_VALUE"""),"")</f>
        <v/>
      </c>
      <c r="G2843" s="20"/>
      <c r="H2843" s="19"/>
      <c r="I2843" s="19"/>
      <c r="J2843" s="19"/>
      <c r="K2843" s="19"/>
      <c r="L2843" s="19"/>
      <c r="M2843" s="19"/>
      <c r="N2843" s="20" t="s">
        <v>39</v>
      </c>
      <c r="O2843" s="19"/>
      <c r="P2843" s="19"/>
      <c r="Q2843" s="19"/>
      <c r="R2843" s="19"/>
      <c r="S2843" s="19"/>
      <c r="T2843" s="19"/>
      <c r="U2843" s="19"/>
      <c r="V2843" s="19"/>
    </row>
    <row r="2844">
      <c r="A2844" s="25"/>
      <c r="B2844" s="19"/>
      <c r="C2844" s="19"/>
      <c r="D2844" s="19"/>
      <c r="E2844" s="19"/>
      <c r="F2844" s="17" t="str">
        <f>IFERROR(__xludf.DUMMYFUNCTION("""COMPUTED_VALUE"""),"")</f>
        <v/>
      </c>
      <c r="G2844" s="20"/>
      <c r="H2844" s="19"/>
      <c r="I2844" s="19"/>
      <c r="J2844" s="19"/>
      <c r="K2844" s="19"/>
      <c r="L2844" s="19"/>
      <c r="M2844" s="19"/>
      <c r="N2844" s="20" t="s">
        <v>39</v>
      </c>
      <c r="O2844" s="19"/>
      <c r="P2844" s="19"/>
      <c r="Q2844" s="19"/>
      <c r="R2844" s="19"/>
      <c r="S2844" s="19"/>
      <c r="T2844" s="19"/>
      <c r="U2844" s="19"/>
      <c r="V2844" s="19"/>
    </row>
    <row r="2845">
      <c r="A2845" s="25"/>
      <c r="B2845" s="19"/>
      <c r="C2845" s="19"/>
      <c r="D2845" s="19"/>
      <c r="E2845" s="19"/>
      <c r="F2845" s="17" t="str">
        <f>IFERROR(__xludf.DUMMYFUNCTION("""COMPUTED_VALUE"""),"")</f>
        <v/>
      </c>
      <c r="G2845" s="20"/>
      <c r="H2845" s="19"/>
      <c r="I2845" s="19"/>
      <c r="J2845" s="19"/>
      <c r="K2845" s="19"/>
      <c r="L2845" s="19"/>
      <c r="M2845" s="19"/>
      <c r="N2845" s="20" t="s">
        <v>39</v>
      </c>
      <c r="O2845" s="19"/>
      <c r="P2845" s="19"/>
      <c r="Q2845" s="19"/>
      <c r="R2845" s="19"/>
      <c r="S2845" s="19"/>
      <c r="T2845" s="19"/>
      <c r="U2845" s="19"/>
      <c r="V2845" s="19"/>
    </row>
    <row r="2846">
      <c r="A2846" s="25"/>
      <c r="B2846" s="19"/>
      <c r="C2846" s="19"/>
      <c r="D2846" s="19"/>
      <c r="E2846" s="19"/>
      <c r="F2846" s="17" t="str">
        <f>IFERROR(__xludf.DUMMYFUNCTION("""COMPUTED_VALUE"""),"")</f>
        <v/>
      </c>
      <c r="G2846" s="20"/>
      <c r="H2846" s="19"/>
      <c r="I2846" s="19"/>
      <c r="J2846" s="19"/>
      <c r="K2846" s="19"/>
      <c r="L2846" s="19"/>
      <c r="M2846" s="19"/>
      <c r="N2846" s="20" t="s">
        <v>39</v>
      </c>
      <c r="O2846" s="19"/>
      <c r="P2846" s="19"/>
      <c r="Q2846" s="19"/>
      <c r="R2846" s="19"/>
      <c r="S2846" s="19"/>
      <c r="T2846" s="19"/>
      <c r="U2846" s="19"/>
      <c r="V2846" s="19"/>
    </row>
    <row r="2847">
      <c r="A2847" s="25"/>
      <c r="B2847" s="19"/>
      <c r="C2847" s="19"/>
      <c r="D2847" s="19"/>
      <c r="E2847" s="19"/>
      <c r="F2847" s="17" t="str">
        <f>IFERROR(__xludf.DUMMYFUNCTION("""COMPUTED_VALUE"""),"")</f>
        <v/>
      </c>
      <c r="G2847" s="20"/>
      <c r="H2847" s="19"/>
      <c r="I2847" s="19"/>
      <c r="J2847" s="19"/>
      <c r="K2847" s="19"/>
      <c r="L2847" s="19"/>
      <c r="M2847" s="19"/>
      <c r="N2847" s="20" t="s">
        <v>39</v>
      </c>
      <c r="O2847" s="19"/>
      <c r="P2847" s="19"/>
      <c r="Q2847" s="19"/>
      <c r="R2847" s="19"/>
      <c r="S2847" s="19"/>
      <c r="T2847" s="19"/>
      <c r="U2847" s="19"/>
      <c r="V2847" s="19"/>
    </row>
    <row r="2848">
      <c r="A2848" s="25"/>
      <c r="B2848" s="19"/>
      <c r="C2848" s="19"/>
      <c r="D2848" s="19"/>
      <c r="E2848" s="19"/>
      <c r="F2848" s="17" t="str">
        <f>IFERROR(__xludf.DUMMYFUNCTION("""COMPUTED_VALUE"""),"")</f>
        <v/>
      </c>
      <c r="G2848" s="20"/>
      <c r="H2848" s="19"/>
      <c r="I2848" s="19"/>
      <c r="J2848" s="19"/>
      <c r="K2848" s="19"/>
      <c r="L2848" s="19"/>
      <c r="M2848" s="19"/>
      <c r="N2848" s="20" t="s">
        <v>39</v>
      </c>
      <c r="O2848" s="19"/>
      <c r="P2848" s="19"/>
      <c r="Q2848" s="19"/>
      <c r="R2848" s="19"/>
      <c r="S2848" s="19"/>
      <c r="T2848" s="19"/>
      <c r="U2848" s="19"/>
      <c r="V2848" s="19"/>
    </row>
    <row r="2849">
      <c r="A2849" s="25"/>
      <c r="B2849" s="19"/>
      <c r="C2849" s="19"/>
      <c r="D2849" s="19"/>
      <c r="E2849" s="19"/>
      <c r="F2849" s="17" t="str">
        <f>IFERROR(__xludf.DUMMYFUNCTION("""COMPUTED_VALUE"""),"")</f>
        <v/>
      </c>
      <c r="G2849" s="20"/>
      <c r="H2849" s="19"/>
      <c r="I2849" s="19"/>
      <c r="J2849" s="19"/>
      <c r="K2849" s="19"/>
      <c r="L2849" s="19"/>
      <c r="M2849" s="19"/>
      <c r="N2849" s="20" t="s">
        <v>39</v>
      </c>
      <c r="O2849" s="19"/>
      <c r="P2849" s="19"/>
      <c r="Q2849" s="19"/>
      <c r="R2849" s="19"/>
      <c r="S2849" s="19"/>
      <c r="T2849" s="19"/>
      <c r="U2849" s="19"/>
      <c r="V2849" s="19"/>
    </row>
    <row r="2850">
      <c r="A2850" s="25"/>
      <c r="B2850" s="19"/>
      <c r="C2850" s="19"/>
      <c r="D2850" s="19"/>
      <c r="E2850" s="19"/>
      <c r="F2850" s="17" t="str">
        <f>IFERROR(__xludf.DUMMYFUNCTION("""COMPUTED_VALUE"""),"")</f>
        <v/>
      </c>
      <c r="G2850" s="20"/>
      <c r="H2850" s="19"/>
      <c r="I2850" s="19"/>
      <c r="J2850" s="19"/>
      <c r="K2850" s="19"/>
      <c r="L2850" s="19"/>
      <c r="M2850" s="19"/>
      <c r="N2850" s="20" t="s">
        <v>39</v>
      </c>
      <c r="O2850" s="19"/>
      <c r="P2850" s="19"/>
      <c r="Q2850" s="19"/>
      <c r="R2850" s="19"/>
      <c r="S2850" s="19"/>
      <c r="T2850" s="19"/>
      <c r="U2850" s="19"/>
      <c r="V2850" s="19"/>
    </row>
    <row r="2851">
      <c r="A2851" s="25"/>
      <c r="B2851" s="19"/>
      <c r="C2851" s="19"/>
      <c r="D2851" s="19"/>
      <c r="E2851" s="19"/>
      <c r="F2851" s="17" t="str">
        <f>IFERROR(__xludf.DUMMYFUNCTION("""COMPUTED_VALUE"""),"")</f>
        <v/>
      </c>
      <c r="G2851" s="20"/>
      <c r="H2851" s="19"/>
      <c r="I2851" s="19"/>
      <c r="J2851" s="19"/>
      <c r="K2851" s="19"/>
      <c r="L2851" s="19"/>
      <c r="M2851" s="19"/>
      <c r="N2851" s="20" t="s">
        <v>39</v>
      </c>
      <c r="O2851" s="19"/>
      <c r="P2851" s="19"/>
      <c r="Q2851" s="19"/>
      <c r="R2851" s="19"/>
      <c r="S2851" s="19"/>
      <c r="T2851" s="19"/>
      <c r="U2851" s="19"/>
      <c r="V2851" s="19"/>
    </row>
    <row r="2852">
      <c r="A2852" s="25"/>
      <c r="B2852" s="19"/>
      <c r="C2852" s="19"/>
      <c r="D2852" s="19"/>
      <c r="E2852" s="19"/>
      <c r="F2852" s="17" t="str">
        <f>IFERROR(__xludf.DUMMYFUNCTION("""COMPUTED_VALUE"""),"")</f>
        <v/>
      </c>
      <c r="G2852" s="20"/>
      <c r="H2852" s="19"/>
      <c r="I2852" s="19"/>
      <c r="J2852" s="19"/>
      <c r="K2852" s="19"/>
      <c r="L2852" s="19"/>
      <c r="M2852" s="19"/>
      <c r="N2852" s="20" t="s">
        <v>39</v>
      </c>
      <c r="O2852" s="19"/>
      <c r="P2852" s="19"/>
      <c r="Q2852" s="19"/>
      <c r="R2852" s="19"/>
      <c r="S2852" s="19"/>
      <c r="T2852" s="19"/>
      <c r="U2852" s="19"/>
      <c r="V2852" s="19"/>
    </row>
    <row r="2853">
      <c r="A2853" s="25"/>
      <c r="B2853" s="19"/>
      <c r="C2853" s="19"/>
      <c r="D2853" s="19"/>
      <c r="E2853" s="19"/>
      <c r="F2853" s="17" t="str">
        <f>IFERROR(__xludf.DUMMYFUNCTION("""COMPUTED_VALUE"""),"")</f>
        <v/>
      </c>
      <c r="G2853" s="20"/>
      <c r="H2853" s="19"/>
      <c r="I2853" s="19"/>
      <c r="J2853" s="19"/>
      <c r="K2853" s="19"/>
      <c r="L2853" s="19"/>
      <c r="M2853" s="19"/>
      <c r="N2853" s="20" t="s">
        <v>39</v>
      </c>
      <c r="O2853" s="19"/>
      <c r="P2853" s="19"/>
      <c r="Q2853" s="19"/>
      <c r="R2853" s="19"/>
      <c r="S2853" s="19"/>
      <c r="T2853" s="19"/>
      <c r="U2853" s="19"/>
      <c r="V2853" s="19"/>
    </row>
    <row r="2854">
      <c r="A2854" s="25"/>
      <c r="B2854" s="19"/>
      <c r="C2854" s="19"/>
      <c r="D2854" s="19"/>
      <c r="E2854" s="19"/>
      <c r="F2854" s="17" t="str">
        <f>IFERROR(__xludf.DUMMYFUNCTION("""COMPUTED_VALUE"""),"")</f>
        <v/>
      </c>
      <c r="G2854" s="20"/>
      <c r="H2854" s="19"/>
      <c r="I2854" s="19"/>
      <c r="J2854" s="19"/>
      <c r="K2854" s="19"/>
      <c r="L2854" s="19"/>
      <c r="M2854" s="19"/>
      <c r="N2854" s="20" t="s">
        <v>39</v>
      </c>
      <c r="O2854" s="19"/>
      <c r="P2854" s="19"/>
      <c r="Q2854" s="19"/>
      <c r="R2854" s="19"/>
      <c r="S2854" s="19"/>
      <c r="T2854" s="19"/>
      <c r="U2854" s="19"/>
      <c r="V2854" s="19"/>
    </row>
    <row r="2855">
      <c r="A2855" s="25"/>
      <c r="B2855" s="19"/>
      <c r="C2855" s="19"/>
      <c r="D2855" s="19"/>
      <c r="E2855" s="19"/>
      <c r="F2855" s="17" t="str">
        <f>IFERROR(__xludf.DUMMYFUNCTION("""COMPUTED_VALUE"""),"")</f>
        <v/>
      </c>
      <c r="G2855" s="20"/>
      <c r="H2855" s="19"/>
      <c r="I2855" s="19"/>
      <c r="J2855" s="19"/>
      <c r="K2855" s="19"/>
      <c r="L2855" s="19"/>
      <c r="M2855" s="19"/>
      <c r="N2855" s="20" t="s">
        <v>39</v>
      </c>
      <c r="O2855" s="19"/>
      <c r="P2855" s="19"/>
      <c r="Q2855" s="19"/>
      <c r="R2855" s="19"/>
      <c r="S2855" s="19"/>
      <c r="T2855" s="19"/>
      <c r="U2855" s="19"/>
      <c r="V2855" s="19"/>
    </row>
    <row r="2856">
      <c r="A2856" s="25"/>
      <c r="B2856" s="19"/>
      <c r="C2856" s="19"/>
      <c r="D2856" s="19"/>
      <c r="E2856" s="19"/>
      <c r="F2856" s="17" t="str">
        <f>IFERROR(__xludf.DUMMYFUNCTION("""COMPUTED_VALUE"""),"")</f>
        <v/>
      </c>
      <c r="G2856" s="20"/>
      <c r="H2856" s="19"/>
      <c r="I2856" s="19"/>
      <c r="J2856" s="19"/>
      <c r="K2856" s="19"/>
      <c r="L2856" s="19"/>
      <c r="M2856" s="19"/>
      <c r="N2856" s="20" t="s">
        <v>39</v>
      </c>
      <c r="O2856" s="19"/>
      <c r="P2856" s="19"/>
      <c r="Q2856" s="19"/>
      <c r="R2856" s="19"/>
      <c r="S2856" s="19"/>
      <c r="T2856" s="19"/>
      <c r="U2856" s="19"/>
      <c r="V2856" s="19"/>
    </row>
    <row r="2857">
      <c r="A2857" s="25"/>
      <c r="B2857" s="19"/>
      <c r="C2857" s="19"/>
      <c r="D2857" s="19"/>
      <c r="E2857" s="19"/>
      <c r="F2857" s="17" t="str">
        <f>IFERROR(__xludf.DUMMYFUNCTION("""COMPUTED_VALUE"""),"")</f>
        <v/>
      </c>
      <c r="G2857" s="20"/>
      <c r="H2857" s="19"/>
      <c r="I2857" s="19"/>
      <c r="J2857" s="19"/>
      <c r="K2857" s="19"/>
      <c r="L2857" s="19"/>
      <c r="M2857" s="19"/>
      <c r="N2857" s="20" t="s">
        <v>39</v>
      </c>
      <c r="O2857" s="19"/>
      <c r="P2857" s="19"/>
      <c r="Q2857" s="19"/>
      <c r="R2857" s="19"/>
      <c r="S2857" s="19"/>
      <c r="T2857" s="19"/>
      <c r="U2857" s="19"/>
      <c r="V2857" s="19"/>
    </row>
    <row r="2858">
      <c r="A2858" s="25"/>
      <c r="B2858" s="19"/>
      <c r="C2858" s="19"/>
      <c r="D2858" s="19"/>
      <c r="E2858" s="19"/>
      <c r="F2858" s="17" t="str">
        <f>IFERROR(__xludf.DUMMYFUNCTION("""COMPUTED_VALUE"""),"")</f>
        <v/>
      </c>
      <c r="G2858" s="20"/>
      <c r="H2858" s="19"/>
      <c r="I2858" s="19"/>
      <c r="J2858" s="19"/>
      <c r="K2858" s="19"/>
      <c r="L2858" s="19"/>
      <c r="M2858" s="19"/>
      <c r="N2858" s="20" t="s">
        <v>39</v>
      </c>
      <c r="O2858" s="19"/>
      <c r="P2858" s="19"/>
      <c r="Q2858" s="19"/>
      <c r="R2858" s="19"/>
      <c r="S2858" s="19"/>
      <c r="T2858" s="19"/>
      <c r="U2858" s="19"/>
      <c r="V2858" s="19"/>
    </row>
    <row r="2859">
      <c r="A2859" s="25"/>
      <c r="B2859" s="19"/>
      <c r="C2859" s="19"/>
      <c r="D2859" s="19"/>
      <c r="E2859" s="19"/>
      <c r="F2859" s="17" t="str">
        <f>IFERROR(__xludf.DUMMYFUNCTION("""COMPUTED_VALUE"""),"")</f>
        <v/>
      </c>
      <c r="G2859" s="20"/>
      <c r="H2859" s="19"/>
      <c r="I2859" s="19"/>
      <c r="J2859" s="19"/>
      <c r="K2859" s="19"/>
      <c r="L2859" s="19"/>
      <c r="M2859" s="19"/>
      <c r="N2859" s="20" t="s">
        <v>39</v>
      </c>
      <c r="O2859" s="19"/>
      <c r="P2859" s="19"/>
      <c r="Q2859" s="19"/>
      <c r="R2859" s="19"/>
      <c r="S2859" s="19"/>
      <c r="T2859" s="19"/>
      <c r="U2859" s="19"/>
      <c r="V2859" s="19"/>
    </row>
    <row r="2860">
      <c r="A2860" s="25"/>
      <c r="B2860" s="19"/>
      <c r="C2860" s="19"/>
      <c r="D2860" s="19"/>
      <c r="E2860" s="19"/>
      <c r="F2860" s="17" t="str">
        <f>IFERROR(__xludf.DUMMYFUNCTION("""COMPUTED_VALUE"""),"")</f>
        <v/>
      </c>
      <c r="G2860" s="20"/>
      <c r="H2860" s="19"/>
      <c r="I2860" s="19"/>
      <c r="J2860" s="19"/>
      <c r="K2860" s="19"/>
      <c r="L2860" s="19"/>
      <c r="M2860" s="19"/>
      <c r="N2860" s="20" t="s">
        <v>39</v>
      </c>
      <c r="O2860" s="19"/>
      <c r="P2860" s="19"/>
      <c r="Q2860" s="19"/>
      <c r="R2860" s="19"/>
      <c r="S2860" s="19"/>
      <c r="T2860" s="19"/>
      <c r="U2860" s="19"/>
      <c r="V2860" s="19"/>
    </row>
    <row r="2861">
      <c r="A2861" s="25"/>
      <c r="B2861" s="19"/>
      <c r="C2861" s="19"/>
      <c r="D2861" s="19"/>
      <c r="E2861" s="19"/>
      <c r="F2861" s="17" t="str">
        <f>IFERROR(__xludf.DUMMYFUNCTION("""COMPUTED_VALUE"""),"")</f>
        <v/>
      </c>
      <c r="G2861" s="20"/>
      <c r="H2861" s="19"/>
      <c r="I2861" s="19"/>
      <c r="J2861" s="19"/>
      <c r="K2861" s="19"/>
      <c r="L2861" s="19"/>
      <c r="M2861" s="19"/>
      <c r="N2861" s="20" t="s">
        <v>39</v>
      </c>
      <c r="O2861" s="19"/>
      <c r="P2861" s="19"/>
      <c r="Q2861" s="19"/>
      <c r="R2861" s="19"/>
      <c r="S2861" s="19"/>
      <c r="T2861" s="19"/>
      <c r="U2861" s="19"/>
      <c r="V2861" s="19"/>
    </row>
    <row r="2862">
      <c r="A2862" s="25"/>
      <c r="B2862" s="19"/>
      <c r="C2862" s="19"/>
      <c r="D2862" s="19"/>
      <c r="E2862" s="19"/>
      <c r="F2862" s="17" t="str">
        <f>IFERROR(__xludf.DUMMYFUNCTION("""COMPUTED_VALUE"""),"")</f>
        <v/>
      </c>
      <c r="G2862" s="20"/>
      <c r="H2862" s="19"/>
      <c r="I2862" s="19"/>
      <c r="J2862" s="19"/>
      <c r="K2862" s="19"/>
      <c r="L2862" s="19"/>
      <c r="M2862" s="19"/>
      <c r="N2862" s="20" t="s">
        <v>39</v>
      </c>
      <c r="O2862" s="19"/>
      <c r="P2862" s="19"/>
      <c r="Q2862" s="19"/>
      <c r="R2862" s="19"/>
      <c r="S2862" s="19"/>
      <c r="T2862" s="19"/>
      <c r="U2862" s="19"/>
      <c r="V2862" s="19"/>
    </row>
    <row r="2863">
      <c r="A2863" s="25"/>
      <c r="B2863" s="19"/>
      <c r="C2863" s="19"/>
      <c r="D2863" s="19"/>
      <c r="E2863" s="19"/>
      <c r="F2863" s="17" t="str">
        <f>IFERROR(__xludf.DUMMYFUNCTION("""COMPUTED_VALUE"""),"")</f>
        <v/>
      </c>
      <c r="G2863" s="20"/>
      <c r="H2863" s="19"/>
      <c r="I2863" s="19"/>
      <c r="J2863" s="19"/>
      <c r="K2863" s="19"/>
      <c r="L2863" s="19"/>
      <c r="M2863" s="19"/>
      <c r="N2863" s="20" t="s">
        <v>39</v>
      </c>
      <c r="O2863" s="19"/>
      <c r="P2863" s="19"/>
      <c r="Q2863" s="19"/>
      <c r="R2863" s="19"/>
      <c r="S2863" s="19"/>
      <c r="T2863" s="19"/>
      <c r="U2863" s="19"/>
      <c r="V2863" s="19"/>
    </row>
    <row r="2864">
      <c r="A2864" s="25"/>
      <c r="B2864" s="19"/>
      <c r="C2864" s="19"/>
      <c r="D2864" s="19"/>
      <c r="E2864" s="19"/>
      <c r="F2864" s="17" t="str">
        <f>IFERROR(__xludf.DUMMYFUNCTION("""COMPUTED_VALUE"""),"")</f>
        <v/>
      </c>
      <c r="G2864" s="20"/>
      <c r="H2864" s="19"/>
      <c r="I2864" s="19"/>
      <c r="J2864" s="19"/>
      <c r="K2864" s="19"/>
      <c r="L2864" s="19"/>
      <c r="M2864" s="19"/>
      <c r="N2864" s="20" t="s">
        <v>39</v>
      </c>
      <c r="O2864" s="19"/>
      <c r="P2864" s="19"/>
      <c r="Q2864" s="19"/>
      <c r="R2864" s="19"/>
      <c r="S2864" s="19"/>
      <c r="T2864" s="19"/>
      <c r="U2864" s="19"/>
      <c r="V2864" s="19"/>
    </row>
    <row r="2865">
      <c r="A2865" s="25"/>
      <c r="B2865" s="19"/>
      <c r="C2865" s="19"/>
      <c r="D2865" s="19"/>
      <c r="E2865" s="19"/>
      <c r="F2865" s="17" t="str">
        <f>IFERROR(__xludf.DUMMYFUNCTION("""COMPUTED_VALUE"""),"")</f>
        <v/>
      </c>
      <c r="G2865" s="20"/>
      <c r="H2865" s="19"/>
      <c r="I2865" s="19"/>
      <c r="J2865" s="19"/>
      <c r="K2865" s="19"/>
      <c r="L2865" s="19"/>
      <c r="M2865" s="19"/>
      <c r="N2865" s="20" t="s">
        <v>39</v>
      </c>
      <c r="O2865" s="19"/>
      <c r="P2865" s="19"/>
      <c r="Q2865" s="19"/>
      <c r="R2865" s="19"/>
      <c r="S2865" s="19"/>
      <c r="T2865" s="19"/>
      <c r="U2865" s="19"/>
      <c r="V2865" s="19"/>
    </row>
    <row r="2866">
      <c r="A2866" s="25"/>
      <c r="B2866" s="19"/>
      <c r="C2866" s="19"/>
      <c r="D2866" s="19"/>
      <c r="E2866" s="19"/>
      <c r="F2866" s="17" t="str">
        <f>IFERROR(__xludf.DUMMYFUNCTION("""COMPUTED_VALUE"""),"")</f>
        <v/>
      </c>
      <c r="G2866" s="20"/>
      <c r="H2866" s="19"/>
      <c r="I2866" s="19"/>
      <c r="J2866" s="19"/>
      <c r="K2866" s="19"/>
      <c r="L2866" s="19"/>
      <c r="M2866" s="19"/>
      <c r="N2866" s="20" t="s">
        <v>39</v>
      </c>
      <c r="O2866" s="19"/>
      <c r="P2866" s="19"/>
      <c r="Q2866" s="19"/>
      <c r="R2866" s="19"/>
      <c r="S2866" s="19"/>
      <c r="T2866" s="19"/>
      <c r="U2866" s="19"/>
      <c r="V2866" s="19"/>
    </row>
    <row r="2867">
      <c r="A2867" s="25"/>
      <c r="B2867" s="19"/>
      <c r="C2867" s="19"/>
      <c r="D2867" s="19"/>
      <c r="E2867" s="19"/>
      <c r="F2867" s="17" t="str">
        <f>IFERROR(__xludf.DUMMYFUNCTION("""COMPUTED_VALUE"""),"")</f>
        <v/>
      </c>
      <c r="G2867" s="20"/>
      <c r="H2867" s="19"/>
      <c r="I2867" s="19"/>
      <c r="J2867" s="19"/>
      <c r="K2867" s="19"/>
      <c r="L2867" s="19"/>
      <c r="M2867" s="19"/>
      <c r="N2867" s="20" t="s">
        <v>39</v>
      </c>
      <c r="O2867" s="19"/>
      <c r="P2867" s="19"/>
      <c r="Q2867" s="19"/>
      <c r="R2867" s="19"/>
      <c r="S2867" s="19"/>
      <c r="T2867" s="19"/>
      <c r="U2867" s="19"/>
      <c r="V2867" s="19"/>
    </row>
    <row r="2868">
      <c r="A2868" s="25"/>
      <c r="B2868" s="19"/>
      <c r="C2868" s="19"/>
      <c r="D2868" s="19"/>
      <c r="E2868" s="19"/>
      <c r="F2868" s="17" t="str">
        <f>IFERROR(__xludf.DUMMYFUNCTION("""COMPUTED_VALUE"""),"")</f>
        <v/>
      </c>
      <c r="G2868" s="20"/>
      <c r="H2868" s="19"/>
      <c r="I2868" s="19"/>
      <c r="J2868" s="19"/>
      <c r="K2868" s="19"/>
      <c r="L2868" s="19"/>
      <c r="M2868" s="19"/>
      <c r="N2868" s="20" t="s">
        <v>39</v>
      </c>
      <c r="O2868" s="19"/>
      <c r="P2868" s="19"/>
      <c r="Q2868" s="19"/>
      <c r="R2868" s="19"/>
      <c r="S2868" s="19"/>
      <c r="T2868" s="19"/>
      <c r="U2868" s="19"/>
      <c r="V2868" s="19"/>
    </row>
    <row r="2869">
      <c r="A2869" s="25"/>
      <c r="B2869" s="19"/>
      <c r="C2869" s="19"/>
      <c r="D2869" s="19"/>
      <c r="E2869" s="19"/>
      <c r="F2869" s="17" t="str">
        <f>IFERROR(__xludf.DUMMYFUNCTION("""COMPUTED_VALUE"""),"")</f>
        <v/>
      </c>
      <c r="G2869" s="20"/>
      <c r="H2869" s="19"/>
      <c r="I2869" s="19"/>
      <c r="J2869" s="19"/>
      <c r="K2869" s="19"/>
      <c r="L2869" s="19"/>
      <c r="M2869" s="19"/>
      <c r="N2869" s="20" t="s">
        <v>39</v>
      </c>
      <c r="O2869" s="19"/>
      <c r="P2869" s="19"/>
      <c r="Q2869" s="19"/>
      <c r="R2869" s="19"/>
      <c r="S2869" s="19"/>
      <c r="T2869" s="19"/>
      <c r="U2869" s="19"/>
      <c r="V2869" s="19"/>
    </row>
    <row r="2870">
      <c r="A2870" s="25"/>
      <c r="B2870" s="19"/>
      <c r="C2870" s="19"/>
      <c r="D2870" s="19"/>
      <c r="E2870" s="19"/>
      <c r="F2870" s="17" t="str">
        <f>IFERROR(__xludf.DUMMYFUNCTION("""COMPUTED_VALUE"""),"")</f>
        <v/>
      </c>
      <c r="G2870" s="20"/>
      <c r="H2870" s="19"/>
      <c r="I2870" s="19"/>
      <c r="J2870" s="19"/>
      <c r="K2870" s="19"/>
      <c r="L2870" s="19"/>
      <c r="M2870" s="19"/>
      <c r="N2870" s="20" t="s">
        <v>39</v>
      </c>
      <c r="O2870" s="19"/>
      <c r="P2870" s="19"/>
      <c r="Q2870" s="19"/>
      <c r="R2870" s="19"/>
      <c r="S2870" s="19"/>
      <c r="T2870" s="19"/>
      <c r="U2870" s="19"/>
      <c r="V2870" s="19"/>
    </row>
    <row r="2871">
      <c r="A2871" s="25"/>
      <c r="B2871" s="19"/>
      <c r="C2871" s="19"/>
      <c r="D2871" s="19"/>
      <c r="E2871" s="19"/>
      <c r="F2871" s="17" t="str">
        <f>IFERROR(__xludf.DUMMYFUNCTION("""COMPUTED_VALUE"""),"")</f>
        <v/>
      </c>
      <c r="G2871" s="20"/>
      <c r="H2871" s="19"/>
      <c r="I2871" s="19"/>
      <c r="J2871" s="19"/>
      <c r="K2871" s="19"/>
      <c r="L2871" s="19"/>
      <c r="M2871" s="19"/>
      <c r="N2871" s="20" t="s">
        <v>39</v>
      </c>
      <c r="O2871" s="19"/>
      <c r="P2871" s="19"/>
      <c r="Q2871" s="19"/>
      <c r="R2871" s="19"/>
      <c r="S2871" s="19"/>
      <c r="T2871" s="19"/>
      <c r="U2871" s="19"/>
      <c r="V2871" s="19"/>
    </row>
    <row r="2872">
      <c r="A2872" s="25"/>
      <c r="B2872" s="19"/>
      <c r="C2872" s="19"/>
      <c r="D2872" s="19"/>
      <c r="E2872" s="19"/>
      <c r="F2872" s="17" t="str">
        <f>IFERROR(__xludf.DUMMYFUNCTION("""COMPUTED_VALUE"""),"")</f>
        <v/>
      </c>
      <c r="G2872" s="20"/>
      <c r="H2872" s="19"/>
      <c r="I2872" s="19"/>
      <c r="J2872" s="19"/>
      <c r="K2872" s="19"/>
      <c r="L2872" s="19"/>
      <c r="M2872" s="19"/>
      <c r="N2872" s="20" t="s">
        <v>39</v>
      </c>
      <c r="O2872" s="19"/>
      <c r="P2872" s="19"/>
      <c r="Q2872" s="19"/>
      <c r="R2872" s="19"/>
      <c r="S2872" s="19"/>
      <c r="T2872" s="19"/>
      <c r="U2872" s="19"/>
      <c r="V2872" s="19"/>
    </row>
    <row r="2873">
      <c r="A2873" s="25"/>
      <c r="B2873" s="19"/>
      <c r="C2873" s="19"/>
      <c r="D2873" s="19"/>
      <c r="E2873" s="19"/>
      <c r="F2873" s="17" t="str">
        <f>IFERROR(__xludf.DUMMYFUNCTION("""COMPUTED_VALUE"""),"")</f>
        <v/>
      </c>
      <c r="G2873" s="20"/>
      <c r="H2873" s="19"/>
      <c r="I2873" s="19"/>
      <c r="J2873" s="19"/>
      <c r="K2873" s="19"/>
      <c r="L2873" s="19"/>
      <c r="M2873" s="19"/>
      <c r="N2873" s="20" t="s">
        <v>39</v>
      </c>
      <c r="O2873" s="19"/>
      <c r="P2873" s="19"/>
      <c r="Q2873" s="19"/>
      <c r="R2873" s="19"/>
      <c r="S2873" s="19"/>
      <c r="T2873" s="19"/>
      <c r="U2873" s="19"/>
      <c r="V2873" s="19"/>
    </row>
    <row r="2874">
      <c r="A2874" s="25"/>
      <c r="B2874" s="19"/>
      <c r="C2874" s="19"/>
      <c r="D2874" s="19"/>
      <c r="E2874" s="19"/>
      <c r="F2874" s="17" t="str">
        <f>IFERROR(__xludf.DUMMYFUNCTION("""COMPUTED_VALUE"""),"")</f>
        <v/>
      </c>
      <c r="G2874" s="20"/>
      <c r="H2874" s="19"/>
      <c r="I2874" s="19"/>
      <c r="J2874" s="19"/>
      <c r="K2874" s="19"/>
      <c r="L2874" s="19"/>
      <c r="M2874" s="19"/>
      <c r="N2874" s="20" t="s">
        <v>39</v>
      </c>
      <c r="O2874" s="19"/>
      <c r="P2874" s="19"/>
      <c r="Q2874" s="19"/>
      <c r="R2874" s="19"/>
      <c r="S2874" s="19"/>
      <c r="T2874" s="19"/>
      <c r="U2874" s="19"/>
      <c r="V2874" s="19"/>
    </row>
    <row r="2875">
      <c r="A2875" s="25"/>
      <c r="B2875" s="19"/>
      <c r="C2875" s="19"/>
      <c r="D2875" s="19"/>
      <c r="E2875" s="19"/>
      <c r="F2875" s="17" t="str">
        <f>IFERROR(__xludf.DUMMYFUNCTION("""COMPUTED_VALUE"""),"")</f>
        <v/>
      </c>
      <c r="G2875" s="20"/>
      <c r="H2875" s="19"/>
      <c r="I2875" s="19"/>
      <c r="J2875" s="19"/>
      <c r="K2875" s="19"/>
      <c r="L2875" s="19"/>
      <c r="M2875" s="19"/>
      <c r="N2875" s="20" t="s">
        <v>39</v>
      </c>
      <c r="O2875" s="19"/>
      <c r="P2875" s="19"/>
      <c r="Q2875" s="19"/>
      <c r="R2875" s="19"/>
      <c r="S2875" s="19"/>
      <c r="T2875" s="19"/>
      <c r="U2875" s="19"/>
      <c r="V2875" s="19"/>
    </row>
    <row r="2876">
      <c r="A2876" s="25"/>
      <c r="B2876" s="19"/>
      <c r="C2876" s="19"/>
      <c r="D2876" s="19"/>
      <c r="E2876" s="19"/>
      <c r="F2876" s="17" t="str">
        <f>IFERROR(__xludf.DUMMYFUNCTION("""COMPUTED_VALUE"""),"")</f>
        <v/>
      </c>
      <c r="G2876" s="20"/>
      <c r="H2876" s="19"/>
      <c r="I2876" s="19"/>
      <c r="J2876" s="19"/>
      <c r="K2876" s="19"/>
      <c r="L2876" s="19"/>
      <c r="M2876" s="19"/>
      <c r="N2876" s="20" t="s">
        <v>39</v>
      </c>
      <c r="O2876" s="19"/>
      <c r="P2876" s="19"/>
      <c r="Q2876" s="19"/>
      <c r="R2876" s="19"/>
      <c r="S2876" s="19"/>
      <c r="T2876" s="19"/>
      <c r="U2876" s="19"/>
      <c r="V2876" s="19"/>
    </row>
    <row r="2877">
      <c r="A2877" s="25"/>
      <c r="B2877" s="19"/>
      <c r="C2877" s="19"/>
      <c r="D2877" s="19"/>
      <c r="E2877" s="19"/>
      <c r="F2877" s="17" t="str">
        <f>IFERROR(__xludf.DUMMYFUNCTION("""COMPUTED_VALUE"""),"")</f>
        <v/>
      </c>
      <c r="G2877" s="20"/>
      <c r="H2877" s="19"/>
      <c r="I2877" s="19"/>
      <c r="J2877" s="19"/>
      <c r="K2877" s="19"/>
      <c r="L2877" s="19"/>
      <c r="M2877" s="19"/>
      <c r="N2877" s="20" t="s">
        <v>39</v>
      </c>
      <c r="O2877" s="19"/>
      <c r="P2877" s="19"/>
      <c r="Q2877" s="19"/>
      <c r="R2877" s="19"/>
      <c r="S2877" s="19"/>
      <c r="T2877" s="19"/>
      <c r="U2877" s="19"/>
      <c r="V2877" s="19"/>
    </row>
    <row r="2878">
      <c r="A2878" s="25"/>
      <c r="B2878" s="19"/>
      <c r="C2878" s="19"/>
      <c r="D2878" s="19"/>
      <c r="E2878" s="19"/>
      <c r="F2878" s="17" t="str">
        <f>IFERROR(__xludf.DUMMYFUNCTION("""COMPUTED_VALUE"""),"")</f>
        <v/>
      </c>
      <c r="G2878" s="20"/>
      <c r="H2878" s="19"/>
      <c r="I2878" s="19"/>
      <c r="J2878" s="19"/>
      <c r="K2878" s="19"/>
      <c r="L2878" s="19"/>
      <c r="M2878" s="19"/>
      <c r="N2878" s="20" t="s">
        <v>39</v>
      </c>
      <c r="O2878" s="19"/>
      <c r="P2878" s="19"/>
      <c r="Q2878" s="19"/>
      <c r="R2878" s="19"/>
      <c r="S2878" s="19"/>
      <c r="T2878" s="19"/>
      <c r="U2878" s="19"/>
      <c r="V2878" s="19"/>
    </row>
    <row r="2879">
      <c r="A2879" s="25"/>
      <c r="B2879" s="19"/>
      <c r="C2879" s="19"/>
      <c r="D2879" s="19"/>
      <c r="E2879" s="19"/>
      <c r="F2879" s="17" t="str">
        <f>IFERROR(__xludf.DUMMYFUNCTION("""COMPUTED_VALUE"""),"")</f>
        <v/>
      </c>
      <c r="G2879" s="20"/>
      <c r="H2879" s="19"/>
      <c r="I2879" s="19"/>
      <c r="J2879" s="19"/>
      <c r="K2879" s="19"/>
      <c r="L2879" s="19"/>
      <c r="M2879" s="19"/>
      <c r="N2879" s="20" t="s">
        <v>39</v>
      </c>
      <c r="O2879" s="19"/>
      <c r="P2879" s="19"/>
      <c r="Q2879" s="19"/>
      <c r="R2879" s="19"/>
      <c r="S2879" s="19"/>
      <c r="T2879" s="19"/>
      <c r="U2879" s="19"/>
      <c r="V2879" s="19"/>
    </row>
    <row r="2880">
      <c r="A2880" s="25"/>
      <c r="B2880" s="19"/>
      <c r="C2880" s="19"/>
      <c r="D2880" s="19"/>
      <c r="E2880" s="19"/>
      <c r="F2880" s="17" t="str">
        <f>IFERROR(__xludf.DUMMYFUNCTION("""COMPUTED_VALUE"""),"")</f>
        <v/>
      </c>
      <c r="G2880" s="20"/>
      <c r="H2880" s="19"/>
      <c r="I2880" s="19"/>
      <c r="J2880" s="19"/>
      <c r="K2880" s="19"/>
      <c r="L2880" s="19"/>
      <c r="M2880" s="19"/>
      <c r="N2880" s="20" t="s">
        <v>39</v>
      </c>
      <c r="O2880" s="19"/>
      <c r="P2880" s="19"/>
      <c r="Q2880" s="19"/>
      <c r="R2880" s="19"/>
      <c r="S2880" s="19"/>
      <c r="T2880" s="19"/>
      <c r="U2880" s="19"/>
      <c r="V2880" s="19"/>
    </row>
    <row r="2881">
      <c r="A2881" s="25"/>
      <c r="B2881" s="19"/>
      <c r="C2881" s="19"/>
      <c r="D2881" s="19"/>
      <c r="E2881" s="19"/>
      <c r="F2881" s="17" t="str">
        <f>IFERROR(__xludf.DUMMYFUNCTION("""COMPUTED_VALUE"""),"")</f>
        <v/>
      </c>
      <c r="G2881" s="20"/>
      <c r="H2881" s="19"/>
      <c r="I2881" s="19"/>
      <c r="J2881" s="19"/>
      <c r="K2881" s="19"/>
      <c r="L2881" s="19"/>
      <c r="M2881" s="19"/>
      <c r="N2881" s="20" t="s">
        <v>39</v>
      </c>
      <c r="O2881" s="19"/>
      <c r="P2881" s="19"/>
      <c r="Q2881" s="19"/>
      <c r="R2881" s="19"/>
      <c r="S2881" s="19"/>
      <c r="T2881" s="19"/>
      <c r="U2881" s="19"/>
      <c r="V2881" s="19"/>
    </row>
    <row r="2882">
      <c r="A2882" s="25"/>
      <c r="B2882" s="19"/>
      <c r="C2882" s="19"/>
      <c r="D2882" s="19"/>
      <c r="E2882" s="19"/>
      <c r="F2882" s="17" t="str">
        <f>IFERROR(__xludf.DUMMYFUNCTION("""COMPUTED_VALUE"""),"")</f>
        <v/>
      </c>
      <c r="G2882" s="20"/>
      <c r="H2882" s="19"/>
      <c r="I2882" s="19"/>
      <c r="J2882" s="19"/>
      <c r="K2882" s="19"/>
      <c r="L2882" s="19"/>
      <c r="M2882" s="19"/>
      <c r="N2882" s="20" t="s">
        <v>39</v>
      </c>
      <c r="O2882" s="19"/>
      <c r="P2882" s="19"/>
      <c r="Q2882" s="19"/>
      <c r="R2882" s="19"/>
      <c r="S2882" s="19"/>
      <c r="T2882" s="19"/>
      <c r="U2882" s="19"/>
      <c r="V2882" s="19"/>
    </row>
    <row r="2883">
      <c r="A2883" s="25"/>
      <c r="B2883" s="19"/>
      <c r="C2883" s="19"/>
      <c r="D2883" s="19"/>
      <c r="E2883" s="19"/>
      <c r="F2883" s="17" t="str">
        <f>IFERROR(__xludf.DUMMYFUNCTION("""COMPUTED_VALUE"""),"")</f>
        <v/>
      </c>
      <c r="G2883" s="20"/>
      <c r="H2883" s="19"/>
      <c r="I2883" s="19"/>
      <c r="J2883" s="19"/>
      <c r="K2883" s="19"/>
      <c r="L2883" s="19"/>
      <c r="M2883" s="19"/>
      <c r="N2883" s="20" t="s">
        <v>39</v>
      </c>
      <c r="O2883" s="19"/>
      <c r="P2883" s="19"/>
      <c r="Q2883" s="19"/>
      <c r="R2883" s="19"/>
      <c r="S2883" s="19"/>
      <c r="T2883" s="19"/>
      <c r="U2883" s="19"/>
      <c r="V2883" s="19"/>
    </row>
    <row r="2884">
      <c r="A2884" s="25"/>
      <c r="B2884" s="19"/>
      <c r="C2884" s="19"/>
      <c r="D2884" s="19"/>
      <c r="E2884" s="19"/>
      <c r="F2884" s="17" t="str">
        <f>IFERROR(__xludf.DUMMYFUNCTION("""COMPUTED_VALUE"""),"")</f>
        <v/>
      </c>
      <c r="G2884" s="20"/>
      <c r="H2884" s="19"/>
      <c r="I2884" s="19"/>
      <c r="J2884" s="19"/>
      <c r="K2884" s="19"/>
      <c r="L2884" s="19"/>
      <c r="M2884" s="19"/>
      <c r="N2884" s="20" t="s">
        <v>39</v>
      </c>
      <c r="O2884" s="19"/>
      <c r="P2884" s="19"/>
      <c r="Q2884" s="19"/>
      <c r="R2884" s="19"/>
      <c r="S2884" s="19"/>
      <c r="T2884" s="19"/>
      <c r="U2884" s="19"/>
      <c r="V2884" s="19"/>
    </row>
    <row r="2885">
      <c r="A2885" s="25"/>
      <c r="B2885" s="19"/>
      <c r="C2885" s="19"/>
      <c r="D2885" s="19"/>
      <c r="E2885" s="19"/>
      <c r="F2885" s="17" t="str">
        <f>IFERROR(__xludf.DUMMYFUNCTION("""COMPUTED_VALUE"""),"")</f>
        <v/>
      </c>
      <c r="G2885" s="20"/>
      <c r="H2885" s="19"/>
      <c r="I2885" s="19"/>
      <c r="J2885" s="19"/>
      <c r="K2885" s="19"/>
      <c r="L2885" s="19"/>
      <c r="M2885" s="19"/>
      <c r="N2885" s="20" t="s">
        <v>39</v>
      </c>
      <c r="O2885" s="19"/>
      <c r="P2885" s="19"/>
      <c r="Q2885" s="19"/>
      <c r="R2885" s="19"/>
      <c r="S2885" s="19"/>
      <c r="T2885" s="19"/>
      <c r="U2885" s="19"/>
      <c r="V2885" s="19"/>
    </row>
    <row r="2886">
      <c r="A2886" s="25"/>
      <c r="B2886" s="19"/>
      <c r="C2886" s="19"/>
      <c r="D2886" s="19"/>
      <c r="E2886" s="19"/>
      <c r="F2886" s="17" t="str">
        <f>IFERROR(__xludf.DUMMYFUNCTION("""COMPUTED_VALUE"""),"")</f>
        <v/>
      </c>
      <c r="G2886" s="20"/>
      <c r="H2886" s="19"/>
      <c r="I2886" s="19"/>
      <c r="J2886" s="19"/>
      <c r="K2886" s="19"/>
      <c r="L2886" s="19"/>
      <c r="M2886" s="19"/>
      <c r="N2886" s="20" t="s">
        <v>39</v>
      </c>
      <c r="O2886" s="19"/>
      <c r="P2886" s="19"/>
      <c r="Q2886" s="19"/>
      <c r="R2886" s="19"/>
      <c r="S2886" s="19"/>
      <c r="T2886" s="19"/>
      <c r="U2886" s="19"/>
      <c r="V2886" s="19"/>
    </row>
    <row r="2887">
      <c r="A2887" s="25"/>
      <c r="B2887" s="19"/>
      <c r="C2887" s="19"/>
      <c r="D2887" s="19"/>
      <c r="E2887" s="19"/>
      <c r="F2887" s="17" t="str">
        <f>IFERROR(__xludf.DUMMYFUNCTION("""COMPUTED_VALUE"""),"")</f>
        <v/>
      </c>
      <c r="G2887" s="20"/>
      <c r="H2887" s="19"/>
      <c r="I2887" s="19"/>
      <c r="J2887" s="19"/>
      <c r="K2887" s="19"/>
      <c r="L2887" s="19"/>
      <c r="M2887" s="19"/>
      <c r="N2887" s="20" t="s">
        <v>39</v>
      </c>
      <c r="O2887" s="19"/>
      <c r="P2887" s="19"/>
      <c r="Q2887" s="19"/>
      <c r="R2887" s="19"/>
      <c r="S2887" s="19"/>
      <c r="T2887" s="19"/>
      <c r="U2887" s="19"/>
      <c r="V2887" s="19"/>
    </row>
    <row r="2888">
      <c r="A2888" s="25"/>
      <c r="B2888" s="19"/>
      <c r="C2888" s="19"/>
      <c r="D2888" s="19"/>
      <c r="E2888" s="19"/>
      <c r="F2888" s="17" t="str">
        <f>IFERROR(__xludf.DUMMYFUNCTION("""COMPUTED_VALUE"""),"")</f>
        <v/>
      </c>
      <c r="G2888" s="20"/>
      <c r="H2888" s="19"/>
      <c r="I2888" s="19"/>
      <c r="J2888" s="19"/>
      <c r="K2888" s="19"/>
      <c r="L2888" s="19"/>
      <c r="M2888" s="19"/>
      <c r="N2888" s="20" t="s">
        <v>39</v>
      </c>
      <c r="O2888" s="19"/>
      <c r="P2888" s="19"/>
      <c r="Q2888" s="19"/>
      <c r="R2888" s="19"/>
      <c r="S2888" s="19"/>
      <c r="T2888" s="19"/>
      <c r="U2888" s="19"/>
      <c r="V2888" s="19"/>
    </row>
    <row r="2889">
      <c r="A2889" s="25"/>
      <c r="B2889" s="19"/>
      <c r="C2889" s="19"/>
      <c r="D2889" s="19"/>
      <c r="E2889" s="19"/>
      <c r="F2889" s="17" t="str">
        <f>IFERROR(__xludf.DUMMYFUNCTION("""COMPUTED_VALUE"""),"")</f>
        <v/>
      </c>
      <c r="G2889" s="20"/>
      <c r="H2889" s="19"/>
      <c r="I2889" s="19"/>
      <c r="J2889" s="19"/>
      <c r="K2889" s="19"/>
      <c r="L2889" s="19"/>
      <c r="M2889" s="19"/>
      <c r="N2889" s="20" t="s">
        <v>39</v>
      </c>
      <c r="O2889" s="19"/>
      <c r="P2889" s="19"/>
      <c r="Q2889" s="19"/>
      <c r="R2889" s="19"/>
      <c r="S2889" s="19"/>
      <c r="T2889" s="19"/>
      <c r="U2889" s="19"/>
      <c r="V2889" s="19"/>
    </row>
    <row r="2890">
      <c r="A2890" s="25"/>
      <c r="B2890" s="19"/>
      <c r="C2890" s="19"/>
      <c r="D2890" s="19"/>
      <c r="E2890" s="19"/>
      <c r="F2890" s="17" t="str">
        <f>IFERROR(__xludf.DUMMYFUNCTION("""COMPUTED_VALUE"""),"")</f>
        <v/>
      </c>
      <c r="G2890" s="20"/>
      <c r="H2890" s="19"/>
      <c r="I2890" s="19"/>
      <c r="J2890" s="19"/>
      <c r="K2890" s="19"/>
      <c r="L2890" s="19"/>
      <c r="M2890" s="19"/>
      <c r="N2890" s="20" t="s">
        <v>39</v>
      </c>
      <c r="O2890" s="19"/>
      <c r="P2890" s="19"/>
      <c r="Q2890" s="19"/>
      <c r="R2890" s="19"/>
      <c r="S2890" s="19"/>
      <c r="T2890" s="19"/>
      <c r="U2890" s="19"/>
      <c r="V2890" s="19"/>
    </row>
    <row r="2891">
      <c r="A2891" s="25"/>
      <c r="B2891" s="19"/>
      <c r="C2891" s="19"/>
      <c r="D2891" s="19"/>
      <c r="E2891" s="19"/>
      <c r="F2891" s="17" t="str">
        <f>IFERROR(__xludf.DUMMYFUNCTION("""COMPUTED_VALUE"""),"")</f>
        <v/>
      </c>
      <c r="G2891" s="20"/>
      <c r="H2891" s="19"/>
      <c r="I2891" s="19"/>
      <c r="J2891" s="19"/>
      <c r="K2891" s="19"/>
      <c r="L2891" s="19"/>
      <c r="M2891" s="19"/>
      <c r="N2891" s="20" t="s">
        <v>39</v>
      </c>
      <c r="O2891" s="19"/>
      <c r="P2891" s="19"/>
      <c r="Q2891" s="19"/>
      <c r="R2891" s="19"/>
      <c r="S2891" s="19"/>
      <c r="T2891" s="19"/>
      <c r="U2891" s="19"/>
      <c r="V2891" s="19"/>
    </row>
    <row r="2892">
      <c r="A2892" s="25"/>
      <c r="B2892" s="19"/>
      <c r="C2892" s="19"/>
      <c r="D2892" s="19"/>
      <c r="E2892" s="19"/>
      <c r="F2892" s="17" t="str">
        <f>IFERROR(__xludf.DUMMYFUNCTION("""COMPUTED_VALUE"""),"")</f>
        <v/>
      </c>
      <c r="G2892" s="20"/>
      <c r="H2892" s="19"/>
      <c r="I2892" s="19"/>
      <c r="J2892" s="19"/>
      <c r="K2892" s="19"/>
      <c r="L2892" s="19"/>
      <c r="M2892" s="19"/>
      <c r="N2892" s="20" t="s">
        <v>39</v>
      </c>
      <c r="O2892" s="19"/>
      <c r="P2892" s="19"/>
      <c r="Q2892" s="19"/>
      <c r="R2892" s="19"/>
      <c r="S2892" s="19"/>
      <c r="T2892" s="19"/>
      <c r="U2892" s="19"/>
      <c r="V2892" s="19"/>
    </row>
    <row r="2893">
      <c r="A2893" s="25"/>
      <c r="B2893" s="19"/>
      <c r="C2893" s="19"/>
      <c r="D2893" s="19"/>
      <c r="E2893" s="19"/>
      <c r="F2893" s="17" t="str">
        <f>IFERROR(__xludf.DUMMYFUNCTION("""COMPUTED_VALUE"""),"")</f>
        <v/>
      </c>
      <c r="G2893" s="20"/>
      <c r="H2893" s="19"/>
      <c r="I2893" s="19"/>
      <c r="J2893" s="19"/>
      <c r="K2893" s="19"/>
      <c r="L2893" s="19"/>
      <c r="M2893" s="19"/>
      <c r="N2893" s="20" t="s">
        <v>39</v>
      </c>
      <c r="O2893" s="19"/>
      <c r="P2893" s="19"/>
      <c r="Q2893" s="19"/>
      <c r="R2893" s="19"/>
      <c r="S2893" s="19"/>
      <c r="T2893" s="19"/>
      <c r="U2893" s="19"/>
      <c r="V2893" s="19"/>
    </row>
    <row r="2894">
      <c r="A2894" s="25"/>
      <c r="B2894" s="19"/>
      <c r="C2894" s="19"/>
      <c r="D2894" s="19"/>
      <c r="E2894" s="19"/>
      <c r="F2894" s="17" t="str">
        <f>IFERROR(__xludf.DUMMYFUNCTION("""COMPUTED_VALUE"""),"")</f>
        <v/>
      </c>
      <c r="G2894" s="20"/>
      <c r="H2894" s="19"/>
      <c r="I2894" s="19"/>
      <c r="J2894" s="19"/>
      <c r="K2894" s="19"/>
      <c r="L2894" s="19"/>
      <c r="M2894" s="19"/>
      <c r="N2894" s="20" t="s">
        <v>39</v>
      </c>
      <c r="O2894" s="19"/>
      <c r="P2894" s="19"/>
      <c r="Q2894" s="19"/>
      <c r="R2894" s="19"/>
      <c r="S2894" s="19"/>
      <c r="T2894" s="19"/>
      <c r="U2894" s="19"/>
      <c r="V2894" s="19"/>
    </row>
    <row r="2895">
      <c r="A2895" s="25"/>
      <c r="B2895" s="19"/>
      <c r="C2895" s="19"/>
      <c r="D2895" s="19"/>
      <c r="E2895" s="19"/>
      <c r="F2895" s="17" t="str">
        <f>IFERROR(__xludf.DUMMYFUNCTION("""COMPUTED_VALUE"""),"")</f>
        <v/>
      </c>
      <c r="G2895" s="20"/>
      <c r="H2895" s="19"/>
      <c r="I2895" s="19"/>
      <c r="J2895" s="19"/>
      <c r="K2895" s="19"/>
      <c r="L2895" s="19"/>
      <c r="M2895" s="19"/>
      <c r="N2895" s="20" t="s">
        <v>39</v>
      </c>
      <c r="O2895" s="19"/>
      <c r="P2895" s="19"/>
      <c r="Q2895" s="19"/>
      <c r="R2895" s="19"/>
      <c r="S2895" s="19"/>
      <c r="T2895" s="19"/>
      <c r="U2895" s="19"/>
      <c r="V2895" s="19"/>
    </row>
    <row r="2896">
      <c r="A2896" s="25"/>
      <c r="B2896" s="19"/>
      <c r="C2896" s="19"/>
      <c r="D2896" s="19"/>
      <c r="E2896" s="19"/>
      <c r="F2896" s="17" t="str">
        <f>IFERROR(__xludf.DUMMYFUNCTION("""COMPUTED_VALUE"""),"")</f>
        <v/>
      </c>
      <c r="G2896" s="20"/>
      <c r="H2896" s="19"/>
      <c r="I2896" s="19"/>
      <c r="J2896" s="19"/>
      <c r="K2896" s="19"/>
      <c r="L2896" s="19"/>
      <c r="M2896" s="19"/>
      <c r="N2896" s="20" t="s">
        <v>39</v>
      </c>
      <c r="O2896" s="19"/>
      <c r="P2896" s="19"/>
      <c r="Q2896" s="19"/>
      <c r="R2896" s="19"/>
      <c r="S2896" s="19"/>
      <c r="T2896" s="19"/>
      <c r="U2896" s="19"/>
      <c r="V2896" s="19"/>
    </row>
    <row r="2897">
      <c r="A2897" s="25"/>
      <c r="B2897" s="19"/>
      <c r="C2897" s="19"/>
      <c r="D2897" s="19"/>
      <c r="E2897" s="19"/>
      <c r="F2897" s="17" t="str">
        <f>IFERROR(__xludf.DUMMYFUNCTION("""COMPUTED_VALUE"""),"")</f>
        <v/>
      </c>
      <c r="G2897" s="20"/>
      <c r="H2897" s="19"/>
      <c r="I2897" s="19"/>
      <c r="J2897" s="19"/>
      <c r="K2897" s="19"/>
      <c r="L2897" s="19"/>
      <c r="M2897" s="19"/>
      <c r="N2897" s="20" t="s">
        <v>39</v>
      </c>
      <c r="O2897" s="19"/>
      <c r="P2897" s="19"/>
      <c r="Q2897" s="19"/>
      <c r="R2897" s="19"/>
      <c r="S2897" s="19"/>
      <c r="T2897" s="19"/>
      <c r="U2897" s="19"/>
      <c r="V2897" s="19"/>
    </row>
    <row r="2898">
      <c r="A2898" s="25"/>
      <c r="B2898" s="19"/>
      <c r="C2898" s="19"/>
      <c r="D2898" s="19"/>
      <c r="E2898" s="19"/>
      <c r="F2898" s="17" t="str">
        <f>IFERROR(__xludf.DUMMYFUNCTION("""COMPUTED_VALUE"""),"")</f>
        <v/>
      </c>
      <c r="G2898" s="20"/>
      <c r="H2898" s="19"/>
      <c r="I2898" s="19"/>
      <c r="J2898" s="19"/>
      <c r="K2898" s="19"/>
      <c r="L2898" s="19"/>
      <c r="M2898" s="19"/>
      <c r="N2898" s="20" t="s">
        <v>39</v>
      </c>
      <c r="O2898" s="19"/>
      <c r="P2898" s="19"/>
      <c r="Q2898" s="19"/>
      <c r="R2898" s="19"/>
      <c r="S2898" s="19"/>
      <c r="T2898" s="19"/>
      <c r="U2898" s="19"/>
      <c r="V2898" s="19"/>
    </row>
    <row r="2899">
      <c r="A2899" s="25"/>
      <c r="B2899" s="19"/>
      <c r="C2899" s="19"/>
      <c r="D2899" s="19"/>
      <c r="E2899" s="19"/>
      <c r="F2899" s="17" t="str">
        <f>IFERROR(__xludf.DUMMYFUNCTION("""COMPUTED_VALUE"""),"")</f>
        <v/>
      </c>
      <c r="G2899" s="20"/>
      <c r="H2899" s="19"/>
      <c r="I2899" s="19"/>
      <c r="J2899" s="19"/>
      <c r="K2899" s="19"/>
      <c r="L2899" s="19"/>
      <c r="M2899" s="19"/>
      <c r="N2899" s="20" t="s">
        <v>39</v>
      </c>
      <c r="O2899" s="19"/>
      <c r="P2899" s="19"/>
      <c r="Q2899" s="19"/>
      <c r="R2899" s="19"/>
      <c r="S2899" s="19"/>
      <c r="T2899" s="19"/>
      <c r="U2899" s="19"/>
      <c r="V2899" s="19"/>
    </row>
    <row r="2900">
      <c r="A2900" s="25"/>
      <c r="B2900" s="19"/>
      <c r="C2900" s="19"/>
      <c r="D2900" s="19"/>
      <c r="E2900" s="19"/>
      <c r="F2900" s="17" t="str">
        <f>IFERROR(__xludf.DUMMYFUNCTION("""COMPUTED_VALUE"""),"")</f>
        <v/>
      </c>
      <c r="G2900" s="20"/>
      <c r="H2900" s="19"/>
      <c r="I2900" s="19"/>
      <c r="J2900" s="19"/>
      <c r="K2900" s="19"/>
      <c r="L2900" s="19"/>
      <c r="M2900" s="19"/>
      <c r="N2900" s="20" t="s">
        <v>39</v>
      </c>
      <c r="O2900" s="19"/>
      <c r="P2900" s="19"/>
      <c r="Q2900" s="19"/>
      <c r="R2900" s="19"/>
      <c r="S2900" s="19"/>
      <c r="T2900" s="19"/>
      <c r="U2900" s="19"/>
      <c r="V2900" s="19"/>
    </row>
    <row r="2901">
      <c r="A2901" s="25"/>
      <c r="B2901" s="19"/>
      <c r="C2901" s="19"/>
      <c r="D2901" s="19"/>
      <c r="E2901" s="19"/>
      <c r="F2901" s="17" t="str">
        <f>IFERROR(__xludf.DUMMYFUNCTION("""COMPUTED_VALUE"""),"")</f>
        <v/>
      </c>
      <c r="G2901" s="20"/>
      <c r="H2901" s="19"/>
      <c r="I2901" s="19"/>
      <c r="J2901" s="19"/>
      <c r="K2901" s="19"/>
      <c r="L2901" s="19"/>
      <c r="M2901" s="19"/>
      <c r="N2901" s="20" t="s">
        <v>39</v>
      </c>
      <c r="O2901" s="19"/>
      <c r="P2901" s="19"/>
      <c r="Q2901" s="19"/>
      <c r="R2901" s="19"/>
      <c r="S2901" s="19"/>
      <c r="T2901" s="19"/>
      <c r="U2901" s="19"/>
      <c r="V2901" s="19"/>
    </row>
    <row r="2902">
      <c r="A2902" s="25"/>
      <c r="B2902" s="19"/>
      <c r="C2902" s="19"/>
      <c r="D2902" s="19"/>
      <c r="E2902" s="19"/>
      <c r="F2902" s="17" t="str">
        <f>IFERROR(__xludf.DUMMYFUNCTION("""COMPUTED_VALUE"""),"")</f>
        <v/>
      </c>
      <c r="G2902" s="20"/>
      <c r="H2902" s="19"/>
      <c r="I2902" s="19"/>
      <c r="J2902" s="19"/>
      <c r="K2902" s="19"/>
      <c r="L2902" s="19"/>
      <c r="M2902" s="19"/>
      <c r="N2902" s="20" t="s">
        <v>39</v>
      </c>
      <c r="O2902" s="19"/>
      <c r="P2902" s="19"/>
      <c r="Q2902" s="19"/>
      <c r="R2902" s="19"/>
      <c r="S2902" s="19"/>
      <c r="T2902" s="19"/>
      <c r="U2902" s="19"/>
      <c r="V2902" s="19"/>
    </row>
    <row r="2903">
      <c r="A2903" s="25"/>
      <c r="B2903" s="19"/>
      <c r="C2903" s="19"/>
      <c r="D2903" s="19"/>
      <c r="E2903" s="19"/>
      <c r="F2903" s="17" t="str">
        <f>IFERROR(__xludf.DUMMYFUNCTION("""COMPUTED_VALUE"""),"")</f>
        <v/>
      </c>
      <c r="G2903" s="20"/>
      <c r="H2903" s="19"/>
      <c r="I2903" s="19"/>
      <c r="J2903" s="19"/>
      <c r="K2903" s="19"/>
      <c r="L2903" s="19"/>
      <c r="M2903" s="19"/>
      <c r="N2903" s="20" t="s">
        <v>39</v>
      </c>
      <c r="O2903" s="19"/>
      <c r="P2903" s="19"/>
      <c r="Q2903" s="19"/>
      <c r="R2903" s="19"/>
      <c r="S2903" s="19"/>
      <c r="T2903" s="19"/>
      <c r="U2903" s="19"/>
      <c r="V2903" s="19"/>
    </row>
    <row r="2904">
      <c r="A2904" s="25"/>
      <c r="B2904" s="19"/>
      <c r="C2904" s="19"/>
      <c r="D2904" s="19"/>
      <c r="E2904" s="19"/>
      <c r="F2904" s="17" t="str">
        <f>IFERROR(__xludf.DUMMYFUNCTION("""COMPUTED_VALUE"""),"")</f>
        <v/>
      </c>
      <c r="G2904" s="20"/>
      <c r="H2904" s="19"/>
      <c r="I2904" s="19"/>
      <c r="J2904" s="19"/>
      <c r="K2904" s="19"/>
      <c r="L2904" s="19"/>
      <c r="M2904" s="19"/>
      <c r="N2904" s="20" t="s">
        <v>39</v>
      </c>
      <c r="O2904" s="19"/>
      <c r="P2904" s="19"/>
      <c r="Q2904" s="19"/>
      <c r="R2904" s="19"/>
      <c r="S2904" s="19"/>
      <c r="T2904" s="19"/>
      <c r="U2904" s="19"/>
      <c r="V2904" s="19"/>
    </row>
    <row r="2905">
      <c r="A2905" s="25"/>
      <c r="B2905" s="19"/>
      <c r="C2905" s="19"/>
      <c r="D2905" s="19"/>
      <c r="E2905" s="19"/>
      <c r="F2905" s="17" t="str">
        <f>IFERROR(__xludf.DUMMYFUNCTION("""COMPUTED_VALUE"""),"")</f>
        <v/>
      </c>
      <c r="G2905" s="20"/>
      <c r="H2905" s="19"/>
      <c r="I2905" s="19"/>
      <c r="J2905" s="19"/>
      <c r="K2905" s="19"/>
      <c r="L2905" s="19"/>
      <c r="M2905" s="19"/>
      <c r="N2905" s="20" t="s">
        <v>39</v>
      </c>
      <c r="O2905" s="19"/>
      <c r="P2905" s="19"/>
      <c r="Q2905" s="19"/>
      <c r="R2905" s="19"/>
      <c r="S2905" s="19"/>
      <c r="T2905" s="19"/>
      <c r="U2905" s="19"/>
      <c r="V2905" s="19"/>
    </row>
    <row r="2906">
      <c r="A2906" s="25"/>
      <c r="B2906" s="19"/>
      <c r="C2906" s="19"/>
      <c r="D2906" s="19"/>
      <c r="E2906" s="19"/>
      <c r="F2906" s="17" t="str">
        <f>IFERROR(__xludf.DUMMYFUNCTION("""COMPUTED_VALUE"""),"")</f>
        <v/>
      </c>
      <c r="G2906" s="20"/>
      <c r="H2906" s="19"/>
      <c r="I2906" s="19"/>
      <c r="J2906" s="19"/>
      <c r="K2906" s="19"/>
      <c r="L2906" s="19"/>
      <c r="M2906" s="19"/>
      <c r="N2906" s="20" t="s">
        <v>39</v>
      </c>
      <c r="O2906" s="19"/>
      <c r="P2906" s="19"/>
      <c r="Q2906" s="19"/>
      <c r="R2906" s="19"/>
      <c r="S2906" s="19"/>
      <c r="T2906" s="19"/>
      <c r="U2906" s="19"/>
      <c r="V2906" s="19"/>
    </row>
    <row r="2907">
      <c r="A2907" s="25"/>
      <c r="B2907" s="19"/>
      <c r="C2907" s="19"/>
      <c r="D2907" s="19"/>
      <c r="E2907" s="19"/>
      <c r="F2907" s="17" t="str">
        <f>IFERROR(__xludf.DUMMYFUNCTION("""COMPUTED_VALUE"""),"")</f>
        <v/>
      </c>
      <c r="G2907" s="20"/>
      <c r="H2907" s="19"/>
      <c r="I2907" s="19"/>
      <c r="J2907" s="19"/>
      <c r="K2907" s="19"/>
      <c r="L2907" s="19"/>
      <c r="M2907" s="19"/>
      <c r="N2907" s="20" t="s">
        <v>39</v>
      </c>
      <c r="O2907" s="19"/>
      <c r="P2907" s="19"/>
      <c r="Q2907" s="19"/>
      <c r="R2907" s="19"/>
      <c r="S2907" s="19"/>
      <c r="T2907" s="19"/>
      <c r="U2907" s="19"/>
      <c r="V2907" s="19"/>
    </row>
    <row r="2908">
      <c r="A2908" s="25"/>
      <c r="B2908" s="19"/>
      <c r="C2908" s="19"/>
      <c r="D2908" s="19"/>
      <c r="E2908" s="19"/>
      <c r="F2908" s="17" t="str">
        <f>IFERROR(__xludf.DUMMYFUNCTION("""COMPUTED_VALUE"""),"")</f>
        <v/>
      </c>
      <c r="G2908" s="20"/>
      <c r="H2908" s="19"/>
      <c r="I2908" s="19"/>
      <c r="J2908" s="19"/>
      <c r="K2908" s="19"/>
      <c r="L2908" s="19"/>
      <c r="M2908" s="19"/>
      <c r="N2908" s="20" t="s">
        <v>39</v>
      </c>
      <c r="O2908" s="19"/>
      <c r="P2908" s="19"/>
      <c r="Q2908" s="19"/>
      <c r="R2908" s="19"/>
      <c r="S2908" s="19"/>
      <c r="T2908" s="19"/>
      <c r="U2908" s="19"/>
      <c r="V2908" s="19"/>
    </row>
    <row r="2909">
      <c r="A2909" s="25"/>
      <c r="B2909" s="19"/>
      <c r="C2909" s="19"/>
      <c r="D2909" s="19"/>
      <c r="E2909" s="19"/>
      <c r="F2909" s="17" t="str">
        <f>IFERROR(__xludf.DUMMYFUNCTION("""COMPUTED_VALUE"""),"")</f>
        <v/>
      </c>
      <c r="G2909" s="20"/>
      <c r="H2909" s="19"/>
      <c r="I2909" s="19"/>
      <c r="J2909" s="19"/>
      <c r="K2909" s="19"/>
      <c r="L2909" s="19"/>
      <c r="M2909" s="19"/>
      <c r="N2909" s="20" t="s">
        <v>39</v>
      </c>
      <c r="O2909" s="19"/>
      <c r="P2909" s="19"/>
      <c r="Q2909" s="19"/>
      <c r="R2909" s="19"/>
      <c r="S2909" s="19"/>
      <c r="T2909" s="19"/>
      <c r="U2909" s="19"/>
      <c r="V2909" s="19"/>
    </row>
    <row r="2910">
      <c r="A2910" s="25"/>
      <c r="B2910" s="19"/>
      <c r="C2910" s="19"/>
      <c r="D2910" s="19"/>
      <c r="E2910" s="19"/>
      <c r="F2910" s="17" t="str">
        <f>IFERROR(__xludf.DUMMYFUNCTION("""COMPUTED_VALUE"""),"")</f>
        <v/>
      </c>
      <c r="G2910" s="20"/>
      <c r="H2910" s="19"/>
      <c r="I2910" s="19"/>
      <c r="J2910" s="19"/>
      <c r="K2910" s="19"/>
      <c r="L2910" s="19"/>
      <c r="M2910" s="19"/>
      <c r="N2910" s="20" t="s">
        <v>39</v>
      </c>
      <c r="O2910" s="19"/>
      <c r="P2910" s="19"/>
      <c r="Q2910" s="19"/>
      <c r="R2910" s="19"/>
      <c r="S2910" s="19"/>
      <c r="T2910" s="19"/>
      <c r="U2910" s="19"/>
      <c r="V2910" s="19"/>
    </row>
    <row r="2911">
      <c r="A2911" s="25"/>
      <c r="B2911" s="19"/>
      <c r="C2911" s="19"/>
      <c r="D2911" s="19"/>
      <c r="E2911" s="19"/>
      <c r="F2911" s="17" t="str">
        <f>IFERROR(__xludf.DUMMYFUNCTION("""COMPUTED_VALUE"""),"")</f>
        <v/>
      </c>
      <c r="G2911" s="20"/>
      <c r="H2911" s="19"/>
      <c r="I2911" s="19"/>
      <c r="J2911" s="19"/>
      <c r="K2911" s="19"/>
      <c r="L2911" s="19"/>
      <c r="M2911" s="19"/>
      <c r="N2911" s="20" t="s">
        <v>39</v>
      </c>
      <c r="O2911" s="19"/>
      <c r="P2911" s="19"/>
      <c r="Q2911" s="19"/>
      <c r="R2911" s="19"/>
      <c r="S2911" s="19"/>
      <c r="T2911" s="19"/>
      <c r="U2911" s="19"/>
      <c r="V2911" s="19"/>
    </row>
    <row r="2912">
      <c r="A2912" s="25"/>
      <c r="B2912" s="19"/>
      <c r="C2912" s="19"/>
      <c r="D2912" s="19"/>
      <c r="E2912" s="19"/>
      <c r="F2912" s="17" t="str">
        <f>IFERROR(__xludf.DUMMYFUNCTION("""COMPUTED_VALUE"""),"")</f>
        <v/>
      </c>
      <c r="G2912" s="20"/>
      <c r="H2912" s="19"/>
      <c r="I2912" s="19"/>
      <c r="J2912" s="19"/>
      <c r="K2912" s="19"/>
      <c r="L2912" s="19"/>
      <c r="M2912" s="19"/>
      <c r="N2912" s="20" t="s">
        <v>39</v>
      </c>
      <c r="O2912" s="19"/>
      <c r="P2912" s="19"/>
      <c r="Q2912" s="19"/>
      <c r="R2912" s="19"/>
      <c r="S2912" s="19"/>
      <c r="T2912" s="19"/>
      <c r="U2912" s="19"/>
      <c r="V2912" s="19"/>
    </row>
    <row r="2913">
      <c r="A2913" s="25"/>
      <c r="B2913" s="19"/>
      <c r="C2913" s="19"/>
      <c r="D2913" s="19"/>
      <c r="E2913" s="19"/>
      <c r="F2913" s="17" t="str">
        <f>IFERROR(__xludf.DUMMYFUNCTION("""COMPUTED_VALUE"""),"")</f>
        <v/>
      </c>
      <c r="G2913" s="20"/>
      <c r="H2913" s="19"/>
      <c r="I2913" s="19"/>
      <c r="J2913" s="19"/>
      <c r="K2913" s="19"/>
      <c r="L2913" s="19"/>
      <c r="M2913" s="19"/>
      <c r="N2913" s="20" t="s">
        <v>39</v>
      </c>
      <c r="O2913" s="19"/>
      <c r="P2913" s="19"/>
      <c r="Q2913" s="19"/>
      <c r="R2913" s="19"/>
      <c r="S2913" s="19"/>
      <c r="T2913" s="19"/>
      <c r="U2913" s="19"/>
      <c r="V2913" s="19"/>
    </row>
    <row r="2914">
      <c r="A2914" s="25"/>
      <c r="B2914" s="19"/>
      <c r="C2914" s="19"/>
      <c r="D2914" s="19"/>
      <c r="E2914" s="19"/>
      <c r="F2914" s="17" t="str">
        <f>IFERROR(__xludf.DUMMYFUNCTION("""COMPUTED_VALUE"""),"")</f>
        <v/>
      </c>
      <c r="G2914" s="20"/>
      <c r="H2914" s="19"/>
      <c r="I2914" s="19"/>
      <c r="J2914" s="19"/>
      <c r="K2914" s="19"/>
      <c r="L2914" s="19"/>
      <c r="M2914" s="19"/>
      <c r="N2914" s="20" t="s">
        <v>39</v>
      </c>
      <c r="O2914" s="19"/>
      <c r="P2914" s="19"/>
      <c r="Q2914" s="19"/>
      <c r="R2914" s="19"/>
      <c r="S2914" s="19"/>
      <c r="T2914" s="19"/>
      <c r="U2914" s="19"/>
      <c r="V2914" s="19"/>
    </row>
    <row r="2915">
      <c r="A2915" s="25"/>
      <c r="B2915" s="19"/>
      <c r="C2915" s="19"/>
      <c r="D2915" s="19"/>
      <c r="E2915" s="19"/>
      <c r="F2915" s="17" t="str">
        <f>IFERROR(__xludf.DUMMYFUNCTION("""COMPUTED_VALUE"""),"")</f>
        <v/>
      </c>
      <c r="G2915" s="20"/>
      <c r="H2915" s="19"/>
      <c r="I2915" s="19"/>
      <c r="J2915" s="19"/>
      <c r="K2915" s="19"/>
      <c r="L2915" s="19"/>
      <c r="M2915" s="19"/>
      <c r="N2915" s="20" t="s">
        <v>39</v>
      </c>
      <c r="O2915" s="19"/>
      <c r="P2915" s="19"/>
      <c r="Q2915" s="19"/>
      <c r="R2915" s="19"/>
      <c r="S2915" s="19"/>
      <c r="T2915" s="19"/>
      <c r="U2915" s="19"/>
      <c r="V2915" s="19"/>
    </row>
    <row r="2916">
      <c r="A2916" s="25"/>
      <c r="B2916" s="19"/>
      <c r="C2916" s="19"/>
      <c r="D2916" s="19"/>
      <c r="E2916" s="19"/>
      <c r="F2916" s="17" t="str">
        <f>IFERROR(__xludf.DUMMYFUNCTION("""COMPUTED_VALUE"""),"")</f>
        <v/>
      </c>
      <c r="G2916" s="20"/>
      <c r="H2916" s="19"/>
      <c r="I2916" s="19"/>
      <c r="J2916" s="19"/>
      <c r="K2916" s="19"/>
      <c r="L2916" s="19"/>
      <c r="M2916" s="19"/>
      <c r="N2916" s="20" t="s">
        <v>39</v>
      </c>
      <c r="O2916" s="19"/>
      <c r="P2916" s="19"/>
      <c r="Q2916" s="19"/>
      <c r="R2916" s="19"/>
      <c r="S2916" s="19"/>
      <c r="T2916" s="19"/>
      <c r="U2916" s="19"/>
      <c r="V2916" s="19"/>
    </row>
    <row r="2917">
      <c r="A2917" s="25"/>
      <c r="B2917" s="19"/>
      <c r="C2917" s="19"/>
      <c r="D2917" s="19"/>
      <c r="E2917" s="19"/>
      <c r="F2917" s="17" t="str">
        <f>IFERROR(__xludf.DUMMYFUNCTION("""COMPUTED_VALUE"""),"")</f>
        <v/>
      </c>
      <c r="G2917" s="20"/>
      <c r="H2917" s="19"/>
      <c r="I2917" s="19"/>
      <c r="J2917" s="19"/>
      <c r="K2917" s="19"/>
      <c r="L2917" s="19"/>
      <c r="M2917" s="19"/>
      <c r="N2917" s="20" t="s">
        <v>39</v>
      </c>
      <c r="O2917" s="19"/>
      <c r="P2917" s="19"/>
      <c r="Q2917" s="19"/>
      <c r="R2917" s="19"/>
      <c r="S2917" s="19"/>
      <c r="T2917" s="19"/>
      <c r="U2917" s="19"/>
      <c r="V2917" s="19"/>
    </row>
    <row r="2918">
      <c r="A2918" s="25"/>
      <c r="B2918" s="19"/>
      <c r="C2918" s="19"/>
      <c r="D2918" s="19"/>
      <c r="E2918" s="19"/>
      <c r="F2918" s="17" t="str">
        <f>IFERROR(__xludf.DUMMYFUNCTION("""COMPUTED_VALUE"""),"")</f>
        <v/>
      </c>
      <c r="G2918" s="20"/>
      <c r="H2918" s="19"/>
      <c r="I2918" s="19"/>
      <c r="J2918" s="19"/>
      <c r="K2918" s="19"/>
      <c r="L2918" s="19"/>
      <c r="M2918" s="19"/>
      <c r="N2918" s="20" t="s">
        <v>39</v>
      </c>
      <c r="O2918" s="19"/>
      <c r="P2918" s="19"/>
      <c r="Q2918" s="19"/>
      <c r="R2918" s="19"/>
      <c r="S2918" s="19"/>
      <c r="T2918" s="19"/>
      <c r="U2918" s="19"/>
      <c r="V2918" s="19"/>
    </row>
    <row r="2919">
      <c r="A2919" s="25"/>
      <c r="B2919" s="19"/>
      <c r="C2919" s="19"/>
      <c r="D2919" s="19"/>
      <c r="E2919" s="19"/>
      <c r="F2919" s="17" t="str">
        <f>IFERROR(__xludf.DUMMYFUNCTION("""COMPUTED_VALUE"""),"")</f>
        <v/>
      </c>
      <c r="G2919" s="20"/>
      <c r="H2919" s="19"/>
      <c r="I2919" s="19"/>
      <c r="J2919" s="19"/>
      <c r="K2919" s="19"/>
      <c r="L2919" s="19"/>
      <c r="M2919" s="19"/>
      <c r="N2919" s="20" t="s">
        <v>39</v>
      </c>
      <c r="O2919" s="19"/>
      <c r="P2919" s="19"/>
      <c r="Q2919" s="19"/>
      <c r="R2919" s="19"/>
      <c r="S2919" s="19"/>
      <c r="T2919" s="19"/>
      <c r="U2919" s="19"/>
      <c r="V2919" s="19"/>
    </row>
    <row r="2920">
      <c r="A2920" s="25"/>
      <c r="B2920" s="19"/>
      <c r="C2920" s="19"/>
      <c r="D2920" s="19"/>
      <c r="E2920" s="19"/>
      <c r="F2920" s="17" t="str">
        <f>IFERROR(__xludf.DUMMYFUNCTION("""COMPUTED_VALUE"""),"")</f>
        <v/>
      </c>
      <c r="G2920" s="20"/>
      <c r="H2920" s="19"/>
      <c r="I2920" s="19"/>
      <c r="J2920" s="19"/>
      <c r="K2920" s="19"/>
      <c r="L2920" s="19"/>
      <c r="M2920" s="19"/>
      <c r="N2920" s="20" t="s">
        <v>39</v>
      </c>
      <c r="O2920" s="19"/>
      <c r="P2920" s="19"/>
      <c r="Q2920" s="19"/>
      <c r="R2920" s="19"/>
      <c r="S2920" s="19"/>
      <c r="T2920" s="19"/>
      <c r="U2920" s="19"/>
      <c r="V2920" s="19"/>
    </row>
    <row r="2921">
      <c r="A2921" s="25"/>
      <c r="B2921" s="19"/>
      <c r="C2921" s="19"/>
      <c r="D2921" s="19"/>
      <c r="E2921" s="19"/>
      <c r="F2921" s="17" t="str">
        <f>IFERROR(__xludf.DUMMYFUNCTION("""COMPUTED_VALUE"""),"")</f>
        <v/>
      </c>
      <c r="G2921" s="20"/>
      <c r="H2921" s="19"/>
      <c r="I2921" s="19"/>
      <c r="J2921" s="19"/>
      <c r="K2921" s="19"/>
      <c r="L2921" s="19"/>
      <c r="M2921" s="19"/>
      <c r="N2921" s="20" t="s">
        <v>39</v>
      </c>
      <c r="O2921" s="19"/>
      <c r="P2921" s="19"/>
      <c r="Q2921" s="19"/>
      <c r="R2921" s="19"/>
      <c r="S2921" s="19"/>
      <c r="T2921" s="19"/>
      <c r="U2921" s="19"/>
      <c r="V2921" s="19"/>
    </row>
    <row r="2922">
      <c r="A2922" s="25"/>
      <c r="B2922" s="19"/>
      <c r="C2922" s="19"/>
      <c r="D2922" s="19"/>
      <c r="E2922" s="19"/>
      <c r="F2922" s="17" t="str">
        <f>IFERROR(__xludf.DUMMYFUNCTION("""COMPUTED_VALUE"""),"")</f>
        <v/>
      </c>
      <c r="G2922" s="20"/>
      <c r="H2922" s="19"/>
      <c r="I2922" s="19"/>
      <c r="J2922" s="19"/>
      <c r="K2922" s="19"/>
      <c r="L2922" s="19"/>
      <c r="M2922" s="19"/>
      <c r="N2922" s="20" t="s">
        <v>39</v>
      </c>
      <c r="O2922" s="19"/>
      <c r="P2922" s="19"/>
      <c r="Q2922" s="19"/>
      <c r="R2922" s="19"/>
      <c r="S2922" s="19"/>
      <c r="T2922" s="19"/>
      <c r="U2922" s="19"/>
      <c r="V2922" s="19"/>
    </row>
    <row r="2923">
      <c r="A2923" s="25"/>
      <c r="B2923" s="19"/>
      <c r="C2923" s="19"/>
      <c r="D2923" s="19"/>
      <c r="E2923" s="19"/>
      <c r="F2923" s="17" t="str">
        <f>IFERROR(__xludf.DUMMYFUNCTION("""COMPUTED_VALUE"""),"")</f>
        <v/>
      </c>
      <c r="G2923" s="20"/>
      <c r="H2923" s="19"/>
      <c r="I2923" s="19"/>
      <c r="J2923" s="19"/>
      <c r="K2923" s="19"/>
      <c r="L2923" s="19"/>
      <c r="M2923" s="19"/>
      <c r="N2923" s="20" t="s">
        <v>39</v>
      </c>
      <c r="O2923" s="19"/>
      <c r="P2923" s="19"/>
      <c r="Q2923" s="19"/>
      <c r="R2923" s="19"/>
      <c r="S2923" s="19"/>
      <c r="T2923" s="19"/>
      <c r="U2923" s="19"/>
      <c r="V2923" s="19"/>
    </row>
    <row r="2924">
      <c r="A2924" s="25"/>
      <c r="B2924" s="19"/>
      <c r="C2924" s="19"/>
      <c r="D2924" s="19"/>
      <c r="E2924" s="19"/>
      <c r="F2924" s="17" t="str">
        <f>IFERROR(__xludf.DUMMYFUNCTION("""COMPUTED_VALUE"""),"")</f>
        <v/>
      </c>
      <c r="G2924" s="20"/>
      <c r="H2924" s="19"/>
      <c r="I2924" s="19"/>
      <c r="J2924" s="19"/>
      <c r="K2924" s="19"/>
      <c r="L2924" s="19"/>
      <c r="M2924" s="19"/>
      <c r="N2924" s="20" t="s">
        <v>39</v>
      </c>
      <c r="O2924" s="19"/>
      <c r="P2924" s="19"/>
      <c r="Q2924" s="19"/>
      <c r="R2924" s="19"/>
      <c r="S2924" s="19"/>
      <c r="T2924" s="19"/>
      <c r="U2924" s="19"/>
      <c r="V2924" s="19"/>
    </row>
    <row r="2925">
      <c r="A2925" s="25"/>
      <c r="B2925" s="19"/>
      <c r="C2925" s="19"/>
      <c r="D2925" s="19"/>
      <c r="E2925" s="19"/>
      <c r="F2925" s="17" t="str">
        <f>IFERROR(__xludf.DUMMYFUNCTION("""COMPUTED_VALUE"""),"")</f>
        <v/>
      </c>
      <c r="G2925" s="20"/>
      <c r="H2925" s="19"/>
      <c r="I2925" s="19"/>
      <c r="J2925" s="19"/>
      <c r="K2925" s="19"/>
      <c r="L2925" s="19"/>
      <c r="M2925" s="19"/>
      <c r="N2925" s="20" t="s">
        <v>39</v>
      </c>
      <c r="O2925" s="19"/>
      <c r="P2925" s="19"/>
      <c r="Q2925" s="19"/>
      <c r="R2925" s="19"/>
      <c r="S2925" s="19"/>
      <c r="T2925" s="19"/>
      <c r="U2925" s="19"/>
      <c r="V2925" s="19"/>
    </row>
    <row r="2926">
      <c r="A2926" s="25"/>
      <c r="B2926" s="19"/>
      <c r="C2926" s="19"/>
      <c r="D2926" s="19"/>
      <c r="E2926" s="19"/>
      <c r="F2926" s="17" t="str">
        <f>IFERROR(__xludf.DUMMYFUNCTION("""COMPUTED_VALUE"""),"")</f>
        <v/>
      </c>
      <c r="G2926" s="20"/>
      <c r="H2926" s="19"/>
      <c r="I2926" s="19"/>
      <c r="J2926" s="19"/>
      <c r="K2926" s="19"/>
      <c r="L2926" s="19"/>
      <c r="M2926" s="19"/>
      <c r="N2926" s="20" t="s">
        <v>39</v>
      </c>
      <c r="O2926" s="19"/>
      <c r="P2926" s="19"/>
      <c r="Q2926" s="19"/>
      <c r="R2926" s="19"/>
      <c r="S2926" s="19"/>
      <c r="T2926" s="19"/>
      <c r="U2926" s="19"/>
      <c r="V2926" s="19"/>
    </row>
    <row r="2927">
      <c r="A2927" s="25"/>
      <c r="B2927" s="19"/>
      <c r="C2927" s="19"/>
      <c r="D2927" s="19"/>
      <c r="E2927" s="19"/>
      <c r="F2927" s="17" t="str">
        <f>IFERROR(__xludf.DUMMYFUNCTION("""COMPUTED_VALUE"""),"")</f>
        <v/>
      </c>
      <c r="G2927" s="20"/>
      <c r="H2927" s="19"/>
      <c r="I2927" s="19"/>
      <c r="J2927" s="19"/>
      <c r="K2927" s="19"/>
      <c r="L2927" s="19"/>
      <c r="M2927" s="19"/>
      <c r="N2927" s="20" t="s">
        <v>39</v>
      </c>
      <c r="O2927" s="19"/>
      <c r="P2927" s="19"/>
      <c r="Q2927" s="19"/>
      <c r="R2927" s="19"/>
      <c r="S2927" s="19"/>
      <c r="T2927" s="19"/>
      <c r="U2927" s="19"/>
      <c r="V2927" s="19"/>
    </row>
    <row r="2928">
      <c r="A2928" s="25"/>
      <c r="B2928" s="19"/>
      <c r="C2928" s="19"/>
      <c r="D2928" s="19"/>
      <c r="E2928" s="19"/>
      <c r="F2928" s="17" t="str">
        <f>IFERROR(__xludf.DUMMYFUNCTION("""COMPUTED_VALUE"""),"")</f>
        <v/>
      </c>
      <c r="G2928" s="20"/>
      <c r="H2928" s="19"/>
      <c r="I2928" s="19"/>
      <c r="J2928" s="19"/>
      <c r="K2928" s="19"/>
      <c r="L2928" s="19"/>
      <c r="M2928" s="19"/>
      <c r="N2928" s="20" t="s">
        <v>39</v>
      </c>
      <c r="O2928" s="19"/>
      <c r="P2928" s="19"/>
      <c r="Q2928" s="19"/>
      <c r="R2928" s="19"/>
      <c r="S2928" s="19"/>
      <c r="T2928" s="19"/>
      <c r="U2928" s="19"/>
      <c r="V2928" s="19"/>
    </row>
    <row r="2929">
      <c r="A2929" s="25"/>
      <c r="B2929" s="19"/>
      <c r="C2929" s="19"/>
      <c r="D2929" s="19"/>
      <c r="E2929" s="19"/>
      <c r="F2929" s="17" t="str">
        <f>IFERROR(__xludf.DUMMYFUNCTION("""COMPUTED_VALUE"""),"")</f>
        <v/>
      </c>
      <c r="G2929" s="20"/>
      <c r="H2929" s="19"/>
      <c r="I2929" s="19"/>
      <c r="J2929" s="19"/>
      <c r="K2929" s="19"/>
      <c r="L2929" s="19"/>
      <c r="M2929" s="19"/>
      <c r="N2929" s="20" t="s">
        <v>39</v>
      </c>
      <c r="O2929" s="19"/>
      <c r="P2929" s="19"/>
      <c r="Q2929" s="19"/>
      <c r="R2929" s="19"/>
      <c r="S2929" s="19"/>
      <c r="T2929" s="19"/>
      <c r="U2929" s="19"/>
      <c r="V2929" s="19"/>
    </row>
    <row r="2930">
      <c r="A2930" s="25"/>
      <c r="B2930" s="19"/>
      <c r="C2930" s="19"/>
      <c r="D2930" s="19"/>
      <c r="E2930" s="19"/>
      <c r="F2930" s="17" t="str">
        <f>IFERROR(__xludf.DUMMYFUNCTION("""COMPUTED_VALUE"""),"")</f>
        <v/>
      </c>
      <c r="G2930" s="20"/>
      <c r="H2930" s="19"/>
      <c r="I2930" s="19"/>
      <c r="J2930" s="19"/>
      <c r="K2930" s="19"/>
      <c r="L2930" s="19"/>
      <c r="M2930" s="19"/>
      <c r="N2930" s="20" t="s">
        <v>39</v>
      </c>
      <c r="O2930" s="19"/>
      <c r="P2930" s="19"/>
      <c r="Q2930" s="19"/>
      <c r="R2930" s="19"/>
      <c r="S2930" s="19"/>
      <c r="T2930" s="19"/>
      <c r="U2930" s="19"/>
      <c r="V2930" s="19"/>
    </row>
    <row r="2931">
      <c r="A2931" s="25"/>
      <c r="B2931" s="19"/>
      <c r="C2931" s="19"/>
      <c r="D2931" s="19"/>
      <c r="E2931" s="19"/>
      <c r="F2931" s="17" t="str">
        <f>IFERROR(__xludf.DUMMYFUNCTION("""COMPUTED_VALUE"""),"")</f>
        <v/>
      </c>
      <c r="G2931" s="20"/>
      <c r="H2931" s="19"/>
      <c r="I2931" s="19"/>
      <c r="J2931" s="19"/>
      <c r="K2931" s="19"/>
      <c r="L2931" s="19"/>
      <c r="M2931" s="19"/>
      <c r="N2931" s="20" t="s">
        <v>39</v>
      </c>
      <c r="O2931" s="19"/>
      <c r="P2931" s="19"/>
      <c r="Q2931" s="19"/>
      <c r="R2931" s="19"/>
      <c r="S2931" s="19"/>
      <c r="T2931" s="19"/>
      <c r="U2931" s="19"/>
      <c r="V2931" s="19"/>
    </row>
    <row r="2932">
      <c r="A2932" s="25"/>
      <c r="B2932" s="19"/>
      <c r="C2932" s="19"/>
      <c r="D2932" s="19"/>
      <c r="E2932" s="19"/>
      <c r="F2932" s="17" t="str">
        <f>IFERROR(__xludf.DUMMYFUNCTION("""COMPUTED_VALUE"""),"")</f>
        <v/>
      </c>
      <c r="G2932" s="20"/>
      <c r="H2932" s="19"/>
      <c r="I2932" s="19"/>
      <c r="J2932" s="19"/>
      <c r="K2932" s="19"/>
      <c r="L2932" s="19"/>
      <c r="M2932" s="19"/>
      <c r="N2932" s="20" t="s">
        <v>39</v>
      </c>
      <c r="O2932" s="19"/>
      <c r="P2932" s="19"/>
      <c r="Q2932" s="19"/>
      <c r="R2932" s="19"/>
      <c r="S2932" s="19"/>
      <c r="T2932" s="19"/>
      <c r="U2932" s="19"/>
      <c r="V2932" s="19"/>
    </row>
    <row r="2933">
      <c r="A2933" s="25"/>
      <c r="B2933" s="19"/>
      <c r="C2933" s="19"/>
      <c r="D2933" s="19"/>
      <c r="E2933" s="19"/>
      <c r="F2933" s="17" t="str">
        <f>IFERROR(__xludf.DUMMYFUNCTION("""COMPUTED_VALUE"""),"")</f>
        <v/>
      </c>
      <c r="G2933" s="20"/>
      <c r="H2933" s="19"/>
      <c r="I2933" s="19"/>
      <c r="J2933" s="19"/>
      <c r="K2933" s="19"/>
      <c r="L2933" s="19"/>
      <c r="M2933" s="19"/>
      <c r="N2933" s="20" t="s">
        <v>39</v>
      </c>
      <c r="O2933" s="19"/>
      <c r="P2933" s="19"/>
      <c r="Q2933" s="19"/>
      <c r="R2933" s="19"/>
      <c r="S2933" s="19"/>
      <c r="T2933" s="19"/>
      <c r="U2933" s="19"/>
      <c r="V2933" s="19"/>
    </row>
    <row r="2934">
      <c r="A2934" s="25"/>
      <c r="B2934" s="19"/>
      <c r="C2934" s="19"/>
      <c r="D2934" s="19"/>
      <c r="E2934" s="19"/>
      <c r="F2934" s="17" t="str">
        <f>IFERROR(__xludf.DUMMYFUNCTION("""COMPUTED_VALUE"""),"")</f>
        <v/>
      </c>
      <c r="G2934" s="20"/>
      <c r="H2934" s="19"/>
      <c r="I2934" s="19"/>
      <c r="J2934" s="19"/>
      <c r="K2934" s="19"/>
      <c r="L2934" s="19"/>
      <c r="M2934" s="19"/>
      <c r="N2934" s="20" t="s">
        <v>39</v>
      </c>
      <c r="O2934" s="19"/>
      <c r="P2934" s="19"/>
      <c r="Q2934" s="19"/>
      <c r="R2934" s="19"/>
      <c r="S2934" s="19"/>
      <c r="T2934" s="19"/>
      <c r="U2934" s="19"/>
      <c r="V2934" s="19"/>
    </row>
    <row r="2935">
      <c r="A2935" s="25"/>
      <c r="B2935" s="19"/>
      <c r="C2935" s="19"/>
      <c r="D2935" s="19"/>
      <c r="E2935" s="19"/>
      <c r="F2935" s="17" t="str">
        <f>IFERROR(__xludf.DUMMYFUNCTION("""COMPUTED_VALUE"""),"")</f>
        <v/>
      </c>
      <c r="G2935" s="20"/>
      <c r="H2935" s="19"/>
      <c r="I2935" s="19"/>
      <c r="J2935" s="19"/>
      <c r="K2935" s="19"/>
      <c r="L2935" s="19"/>
      <c r="M2935" s="19"/>
      <c r="N2935" s="20" t="s">
        <v>39</v>
      </c>
      <c r="O2935" s="19"/>
      <c r="P2935" s="19"/>
      <c r="Q2935" s="19"/>
      <c r="R2935" s="19"/>
      <c r="S2935" s="19"/>
      <c r="T2935" s="19"/>
      <c r="U2935" s="19"/>
      <c r="V2935" s="19"/>
    </row>
    <row r="2936">
      <c r="A2936" s="25"/>
      <c r="B2936" s="19"/>
      <c r="C2936" s="19"/>
      <c r="D2936" s="19"/>
      <c r="E2936" s="19"/>
      <c r="F2936" s="17" t="str">
        <f>IFERROR(__xludf.DUMMYFUNCTION("""COMPUTED_VALUE"""),"")</f>
        <v/>
      </c>
      <c r="G2936" s="20"/>
      <c r="H2936" s="19"/>
      <c r="I2936" s="19"/>
      <c r="J2936" s="19"/>
      <c r="K2936" s="19"/>
      <c r="L2936" s="19"/>
      <c r="M2936" s="19"/>
      <c r="N2936" s="20" t="s">
        <v>39</v>
      </c>
      <c r="O2936" s="19"/>
      <c r="P2936" s="19"/>
      <c r="Q2936" s="19"/>
      <c r="R2936" s="19"/>
      <c r="S2936" s="19"/>
      <c r="T2936" s="19"/>
      <c r="U2936" s="19"/>
      <c r="V2936" s="19"/>
    </row>
    <row r="2937">
      <c r="A2937" s="25"/>
      <c r="B2937" s="19"/>
      <c r="C2937" s="19"/>
      <c r="D2937" s="19"/>
      <c r="E2937" s="19"/>
      <c r="F2937" s="17" t="str">
        <f>IFERROR(__xludf.DUMMYFUNCTION("""COMPUTED_VALUE"""),"")</f>
        <v/>
      </c>
      <c r="G2937" s="20"/>
      <c r="H2937" s="19"/>
      <c r="I2937" s="19"/>
      <c r="J2937" s="19"/>
      <c r="K2937" s="19"/>
      <c r="L2937" s="19"/>
      <c r="M2937" s="19"/>
      <c r="N2937" s="20" t="s">
        <v>39</v>
      </c>
      <c r="O2937" s="19"/>
      <c r="P2937" s="19"/>
      <c r="Q2937" s="19"/>
      <c r="R2937" s="19"/>
      <c r="S2937" s="19"/>
      <c r="T2937" s="19"/>
      <c r="U2937" s="19"/>
      <c r="V2937" s="19"/>
    </row>
    <row r="2938">
      <c r="A2938" s="25"/>
      <c r="B2938" s="19"/>
      <c r="C2938" s="19"/>
      <c r="D2938" s="19"/>
      <c r="E2938" s="19"/>
      <c r="F2938" s="17" t="str">
        <f>IFERROR(__xludf.DUMMYFUNCTION("""COMPUTED_VALUE"""),"")</f>
        <v/>
      </c>
      <c r="G2938" s="20"/>
      <c r="H2938" s="19"/>
      <c r="I2938" s="19"/>
      <c r="J2938" s="19"/>
      <c r="K2938" s="19"/>
      <c r="L2938" s="19"/>
      <c r="M2938" s="19"/>
      <c r="N2938" s="20" t="s">
        <v>39</v>
      </c>
      <c r="O2938" s="19"/>
      <c r="P2938" s="19"/>
      <c r="Q2938" s="19"/>
      <c r="R2938" s="19"/>
      <c r="S2938" s="19"/>
      <c r="T2938" s="19"/>
      <c r="U2938" s="19"/>
      <c r="V2938" s="19"/>
    </row>
    <row r="2939">
      <c r="A2939" s="25"/>
      <c r="B2939" s="19"/>
      <c r="C2939" s="19"/>
      <c r="D2939" s="19"/>
      <c r="E2939" s="19"/>
      <c r="F2939" s="17" t="str">
        <f>IFERROR(__xludf.DUMMYFUNCTION("""COMPUTED_VALUE"""),"")</f>
        <v/>
      </c>
      <c r="G2939" s="20"/>
      <c r="H2939" s="19"/>
      <c r="I2939" s="19"/>
      <c r="J2939" s="19"/>
      <c r="K2939" s="19"/>
      <c r="L2939" s="19"/>
      <c r="M2939" s="19"/>
      <c r="N2939" s="20" t="s">
        <v>39</v>
      </c>
      <c r="O2939" s="19"/>
      <c r="P2939" s="19"/>
      <c r="Q2939" s="19"/>
      <c r="R2939" s="19"/>
      <c r="S2939" s="19"/>
      <c r="T2939" s="19"/>
      <c r="U2939" s="19"/>
      <c r="V2939" s="19"/>
    </row>
    <row r="2940">
      <c r="A2940" s="25"/>
      <c r="B2940" s="19"/>
      <c r="C2940" s="19"/>
      <c r="D2940" s="19"/>
      <c r="E2940" s="19"/>
      <c r="F2940" s="17" t="str">
        <f>IFERROR(__xludf.DUMMYFUNCTION("""COMPUTED_VALUE"""),"")</f>
        <v/>
      </c>
      <c r="G2940" s="20"/>
      <c r="H2940" s="19"/>
      <c r="I2940" s="19"/>
      <c r="J2940" s="19"/>
      <c r="K2940" s="19"/>
      <c r="L2940" s="19"/>
      <c r="M2940" s="19"/>
      <c r="N2940" s="20" t="s">
        <v>39</v>
      </c>
      <c r="O2940" s="19"/>
      <c r="P2940" s="19"/>
      <c r="Q2940" s="19"/>
      <c r="R2940" s="19"/>
      <c r="S2940" s="19"/>
      <c r="T2940" s="19"/>
      <c r="U2940" s="19"/>
      <c r="V2940" s="19"/>
    </row>
    <row r="2941">
      <c r="A2941" s="25"/>
      <c r="B2941" s="19"/>
      <c r="C2941" s="19"/>
      <c r="D2941" s="19"/>
      <c r="E2941" s="19"/>
      <c r="F2941" s="17" t="str">
        <f>IFERROR(__xludf.DUMMYFUNCTION("""COMPUTED_VALUE"""),"")</f>
        <v/>
      </c>
      <c r="G2941" s="20"/>
      <c r="H2941" s="19"/>
      <c r="I2941" s="19"/>
      <c r="J2941" s="19"/>
      <c r="K2941" s="19"/>
      <c r="L2941" s="19"/>
      <c r="M2941" s="19"/>
      <c r="N2941" s="20" t="s">
        <v>39</v>
      </c>
      <c r="O2941" s="19"/>
      <c r="P2941" s="19"/>
      <c r="Q2941" s="19"/>
      <c r="R2941" s="19"/>
      <c r="S2941" s="19"/>
      <c r="T2941" s="19"/>
      <c r="U2941" s="19"/>
      <c r="V2941" s="19"/>
    </row>
    <row r="2942">
      <c r="A2942" s="25"/>
      <c r="B2942" s="19"/>
      <c r="C2942" s="19"/>
      <c r="D2942" s="19"/>
      <c r="E2942" s="19"/>
      <c r="F2942" s="17" t="str">
        <f>IFERROR(__xludf.DUMMYFUNCTION("""COMPUTED_VALUE"""),"")</f>
        <v/>
      </c>
      <c r="G2942" s="20"/>
      <c r="H2942" s="19"/>
      <c r="I2942" s="19"/>
      <c r="J2942" s="19"/>
      <c r="K2942" s="19"/>
      <c r="L2942" s="19"/>
      <c r="M2942" s="19"/>
      <c r="N2942" s="20" t="s">
        <v>39</v>
      </c>
      <c r="O2942" s="19"/>
      <c r="P2942" s="19"/>
      <c r="Q2942" s="19"/>
      <c r="R2942" s="19"/>
      <c r="S2942" s="19"/>
      <c r="T2942" s="19"/>
      <c r="U2942" s="19"/>
      <c r="V2942" s="19"/>
    </row>
    <row r="2943">
      <c r="A2943" s="25"/>
      <c r="B2943" s="19"/>
      <c r="C2943" s="19"/>
      <c r="D2943" s="19"/>
      <c r="E2943" s="19"/>
      <c r="F2943" s="17" t="str">
        <f>IFERROR(__xludf.DUMMYFUNCTION("""COMPUTED_VALUE"""),"")</f>
        <v/>
      </c>
      <c r="G2943" s="20"/>
      <c r="H2943" s="19"/>
      <c r="I2943" s="19"/>
      <c r="J2943" s="19"/>
      <c r="K2943" s="19"/>
      <c r="L2943" s="19"/>
      <c r="M2943" s="19"/>
      <c r="N2943" s="20" t="s">
        <v>39</v>
      </c>
      <c r="O2943" s="19"/>
      <c r="P2943" s="19"/>
      <c r="Q2943" s="19"/>
      <c r="R2943" s="19"/>
      <c r="S2943" s="19"/>
      <c r="T2943" s="19"/>
      <c r="U2943" s="19"/>
      <c r="V2943" s="19"/>
    </row>
    <row r="2944">
      <c r="A2944" s="25"/>
      <c r="B2944" s="19"/>
      <c r="C2944" s="19"/>
      <c r="D2944" s="19"/>
      <c r="E2944" s="19"/>
      <c r="F2944" s="17" t="str">
        <f>IFERROR(__xludf.DUMMYFUNCTION("""COMPUTED_VALUE"""),"")</f>
        <v/>
      </c>
      <c r="G2944" s="20"/>
      <c r="H2944" s="19"/>
      <c r="I2944" s="19"/>
      <c r="J2944" s="19"/>
      <c r="K2944" s="19"/>
      <c r="L2944" s="19"/>
      <c r="M2944" s="19"/>
      <c r="N2944" s="20" t="s">
        <v>39</v>
      </c>
      <c r="O2944" s="19"/>
      <c r="P2944" s="19"/>
      <c r="Q2944" s="19"/>
      <c r="R2944" s="19"/>
      <c r="S2944" s="19"/>
      <c r="T2944" s="19"/>
      <c r="U2944" s="19"/>
      <c r="V2944" s="19"/>
    </row>
    <row r="2945">
      <c r="A2945" s="25"/>
      <c r="B2945" s="19"/>
      <c r="C2945" s="19"/>
      <c r="D2945" s="19"/>
      <c r="E2945" s="19"/>
      <c r="F2945" s="17" t="str">
        <f>IFERROR(__xludf.DUMMYFUNCTION("""COMPUTED_VALUE"""),"")</f>
        <v/>
      </c>
      <c r="G2945" s="20"/>
      <c r="H2945" s="19"/>
      <c r="I2945" s="19"/>
      <c r="J2945" s="19"/>
      <c r="K2945" s="19"/>
      <c r="L2945" s="19"/>
      <c r="M2945" s="19"/>
      <c r="N2945" s="20" t="s">
        <v>39</v>
      </c>
      <c r="O2945" s="19"/>
      <c r="P2945" s="19"/>
      <c r="Q2945" s="19"/>
      <c r="R2945" s="19"/>
      <c r="S2945" s="19"/>
      <c r="T2945" s="19"/>
      <c r="U2945" s="19"/>
      <c r="V2945" s="19"/>
    </row>
    <row r="2946">
      <c r="A2946" s="25"/>
      <c r="B2946" s="19"/>
      <c r="C2946" s="19"/>
      <c r="D2946" s="19"/>
      <c r="E2946" s="19"/>
      <c r="F2946" s="17" t="str">
        <f>IFERROR(__xludf.DUMMYFUNCTION("""COMPUTED_VALUE"""),"")</f>
        <v/>
      </c>
      <c r="G2946" s="20"/>
      <c r="H2946" s="19"/>
      <c r="I2946" s="19"/>
      <c r="J2946" s="19"/>
      <c r="K2946" s="19"/>
      <c r="L2946" s="19"/>
      <c r="M2946" s="19"/>
      <c r="N2946" s="20" t="s">
        <v>39</v>
      </c>
      <c r="O2946" s="19"/>
      <c r="P2946" s="19"/>
      <c r="Q2946" s="19"/>
      <c r="R2946" s="19"/>
      <c r="S2946" s="19"/>
      <c r="T2946" s="19"/>
      <c r="U2946" s="19"/>
      <c r="V2946" s="19"/>
    </row>
    <row r="2947">
      <c r="A2947" s="25"/>
      <c r="B2947" s="19"/>
      <c r="C2947" s="19"/>
      <c r="D2947" s="19"/>
      <c r="E2947" s="19"/>
      <c r="F2947" s="17" t="str">
        <f>IFERROR(__xludf.DUMMYFUNCTION("""COMPUTED_VALUE"""),"")</f>
        <v/>
      </c>
      <c r="G2947" s="20"/>
      <c r="H2947" s="19"/>
      <c r="I2947" s="19"/>
      <c r="J2947" s="19"/>
      <c r="K2947" s="19"/>
      <c r="L2947" s="19"/>
      <c r="M2947" s="19"/>
      <c r="N2947" s="20" t="s">
        <v>39</v>
      </c>
      <c r="O2947" s="19"/>
      <c r="P2947" s="19"/>
      <c r="Q2947" s="19"/>
      <c r="R2947" s="19"/>
      <c r="S2947" s="19"/>
      <c r="T2947" s="19"/>
      <c r="U2947" s="19"/>
      <c r="V2947" s="19"/>
    </row>
    <row r="2948">
      <c r="A2948" s="25"/>
      <c r="B2948" s="19"/>
      <c r="C2948" s="19"/>
      <c r="D2948" s="19"/>
      <c r="E2948" s="19"/>
      <c r="F2948" s="17" t="str">
        <f>IFERROR(__xludf.DUMMYFUNCTION("""COMPUTED_VALUE"""),"")</f>
        <v/>
      </c>
      <c r="G2948" s="20"/>
      <c r="H2948" s="19"/>
      <c r="I2948" s="19"/>
      <c r="J2948" s="19"/>
      <c r="K2948" s="19"/>
      <c r="L2948" s="19"/>
      <c r="M2948" s="19"/>
      <c r="N2948" s="20" t="s">
        <v>39</v>
      </c>
      <c r="O2948" s="19"/>
      <c r="P2948" s="19"/>
      <c r="Q2948" s="19"/>
      <c r="R2948" s="19"/>
      <c r="S2948" s="19"/>
      <c r="T2948" s="19"/>
      <c r="U2948" s="19"/>
      <c r="V2948" s="19"/>
    </row>
    <row r="2949">
      <c r="A2949" s="25"/>
      <c r="B2949" s="19"/>
      <c r="C2949" s="19"/>
      <c r="D2949" s="19"/>
      <c r="E2949" s="19"/>
      <c r="F2949" s="17" t="str">
        <f>IFERROR(__xludf.DUMMYFUNCTION("""COMPUTED_VALUE"""),"")</f>
        <v/>
      </c>
      <c r="G2949" s="20"/>
      <c r="H2949" s="19"/>
      <c r="I2949" s="19"/>
      <c r="J2949" s="19"/>
      <c r="K2949" s="19"/>
      <c r="L2949" s="19"/>
      <c r="M2949" s="19"/>
      <c r="N2949" s="20" t="s">
        <v>39</v>
      </c>
      <c r="O2949" s="19"/>
      <c r="P2949" s="19"/>
      <c r="Q2949" s="19"/>
      <c r="R2949" s="19"/>
      <c r="S2949" s="19"/>
      <c r="T2949" s="19"/>
      <c r="U2949" s="19"/>
      <c r="V2949" s="19"/>
    </row>
    <row r="2950">
      <c r="A2950" s="25"/>
      <c r="B2950" s="19"/>
      <c r="C2950" s="19"/>
      <c r="D2950" s="19"/>
      <c r="E2950" s="19"/>
      <c r="F2950" s="17" t="str">
        <f>IFERROR(__xludf.DUMMYFUNCTION("""COMPUTED_VALUE"""),"")</f>
        <v/>
      </c>
      <c r="G2950" s="20"/>
      <c r="H2950" s="19"/>
      <c r="I2950" s="19"/>
      <c r="J2950" s="19"/>
      <c r="K2950" s="19"/>
      <c r="L2950" s="19"/>
      <c r="M2950" s="19"/>
      <c r="N2950" s="20" t="s">
        <v>39</v>
      </c>
      <c r="O2950" s="19"/>
      <c r="P2950" s="19"/>
      <c r="Q2950" s="19"/>
      <c r="R2950" s="19"/>
      <c r="S2950" s="19"/>
      <c r="T2950" s="19"/>
      <c r="U2950" s="19"/>
      <c r="V2950" s="19"/>
    </row>
    <row r="2951">
      <c r="A2951" s="25"/>
      <c r="B2951" s="19"/>
      <c r="C2951" s="19"/>
      <c r="D2951" s="19"/>
      <c r="E2951" s="19"/>
      <c r="F2951" s="17" t="str">
        <f>IFERROR(__xludf.DUMMYFUNCTION("""COMPUTED_VALUE"""),"")</f>
        <v/>
      </c>
      <c r="G2951" s="20"/>
      <c r="H2951" s="19"/>
      <c r="I2951" s="19"/>
      <c r="J2951" s="19"/>
      <c r="K2951" s="19"/>
      <c r="L2951" s="19"/>
      <c r="M2951" s="19"/>
      <c r="N2951" s="20" t="s">
        <v>39</v>
      </c>
      <c r="O2951" s="19"/>
      <c r="P2951" s="19"/>
      <c r="Q2951" s="19"/>
      <c r="R2951" s="19"/>
      <c r="S2951" s="19"/>
      <c r="T2951" s="19"/>
      <c r="U2951" s="19"/>
      <c r="V2951" s="19"/>
    </row>
    <row r="2952">
      <c r="A2952" s="25"/>
      <c r="B2952" s="19"/>
      <c r="C2952" s="19"/>
      <c r="D2952" s="19"/>
      <c r="E2952" s="19"/>
      <c r="F2952" s="17" t="str">
        <f>IFERROR(__xludf.DUMMYFUNCTION("""COMPUTED_VALUE"""),"")</f>
        <v/>
      </c>
      <c r="G2952" s="20"/>
      <c r="H2952" s="19"/>
      <c r="I2952" s="19"/>
      <c r="J2952" s="19"/>
      <c r="K2952" s="19"/>
      <c r="L2952" s="19"/>
      <c r="M2952" s="19"/>
      <c r="N2952" s="20" t="s">
        <v>39</v>
      </c>
      <c r="O2952" s="19"/>
      <c r="P2952" s="19"/>
      <c r="Q2952" s="19"/>
      <c r="R2952" s="19"/>
      <c r="S2952" s="19"/>
      <c r="T2952" s="19"/>
      <c r="U2952" s="19"/>
      <c r="V2952" s="19"/>
    </row>
    <row r="2953">
      <c r="A2953" s="25"/>
      <c r="B2953" s="19"/>
      <c r="C2953" s="19"/>
      <c r="D2953" s="19"/>
      <c r="E2953" s="19"/>
      <c r="F2953" s="17" t="str">
        <f>IFERROR(__xludf.DUMMYFUNCTION("""COMPUTED_VALUE"""),"")</f>
        <v/>
      </c>
      <c r="G2953" s="20"/>
      <c r="H2953" s="19"/>
      <c r="I2953" s="19"/>
      <c r="J2953" s="19"/>
      <c r="K2953" s="19"/>
      <c r="L2953" s="19"/>
      <c r="M2953" s="19"/>
      <c r="N2953" s="20" t="s">
        <v>39</v>
      </c>
      <c r="O2953" s="19"/>
      <c r="P2953" s="19"/>
      <c r="Q2953" s="19"/>
      <c r="R2953" s="19"/>
      <c r="S2953" s="19"/>
      <c r="T2953" s="19"/>
      <c r="U2953" s="19"/>
      <c r="V2953" s="19"/>
    </row>
    <row r="2954">
      <c r="A2954" s="25"/>
      <c r="B2954" s="19"/>
      <c r="C2954" s="19"/>
      <c r="D2954" s="19"/>
      <c r="E2954" s="19"/>
      <c r="F2954" s="17" t="str">
        <f>IFERROR(__xludf.DUMMYFUNCTION("""COMPUTED_VALUE"""),"")</f>
        <v/>
      </c>
      <c r="G2954" s="20"/>
      <c r="H2954" s="19"/>
      <c r="I2954" s="19"/>
      <c r="J2954" s="19"/>
      <c r="K2954" s="19"/>
      <c r="L2954" s="19"/>
      <c r="M2954" s="19"/>
      <c r="N2954" s="20" t="s">
        <v>39</v>
      </c>
      <c r="O2954" s="19"/>
      <c r="P2954" s="19"/>
      <c r="Q2954" s="19"/>
      <c r="R2954" s="19"/>
      <c r="S2954" s="19"/>
      <c r="T2954" s="19"/>
      <c r="U2954" s="19"/>
      <c r="V2954" s="19"/>
    </row>
    <row r="2955">
      <c r="A2955" s="25"/>
      <c r="B2955" s="19"/>
      <c r="C2955" s="19"/>
      <c r="D2955" s="19"/>
      <c r="E2955" s="19"/>
      <c r="F2955" s="17" t="str">
        <f>IFERROR(__xludf.DUMMYFUNCTION("""COMPUTED_VALUE"""),"")</f>
        <v/>
      </c>
      <c r="G2955" s="20"/>
      <c r="H2955" s="19"/>
      <c r="I2955" s="19"/>
      <c r="J2955" s="19"/>
      <c r="K2955" s="19"/>
      <c r="L2955" s="19"/>
      <c r="M2955" s="19"/>
      <c r="N2955" s="20" t="s">
        <v>39</v>
      </c>
      <c r="O2955" s="19"/>
      <c r="P2955" s="19"/>
      <c r="Q2955" s="19"/>
      <c r="R2955" s="19"/>
      <c r="S2955" s="19"/>
      <c r="T2955" s="19"/>
      <c r="U2955" s="19"/>
      <c r="V2955" s="19"/>
    </row>
    <row r="2956">
      <c r="A2956" s="25"/>
      <c r="B2956" s="19"/>
      <c r="C2956" s="19"/>
      <c r="D2956" s="19"/>
      <c r="E2956" s="19"/>
      <c r="F2956" s="17" t="str">
        <f>IFERROR(__xludf.DUMMYFUNCTION("""COMPUTED_VALUE"""),"")</f>
        <v/>
      </c>
      <c r="G2956" s="20"/>
      <c r="H2956" s="19"/>
      <c r="I2956" s="19"/>
      <c r="J2956" s="19"/>
      <c r="K2956" s="19"/>
      <c r="L2956" s="19"/>
      <c r="M2956" s="19"/>
      <c r="N2956" s="20" t="s">
        <v>39</v>
      </c>
      <c r="O2956" s="19"/>
      <c r="P2956" s="19"/>
      <c r="Q2956" s="19"/>
      <c r="R2956" s="19"/>
      <c r="S2956" s="19"/>
      <c r="T2956" s="19"/>
      <c r="U2956" s="19"/>
      <c r="V2956" s="19"/>
    </row>
    <row r="2957">
      <c r="A2957" s="25"/>
      <c r="B2957" s="19"/>
      <c r="C2957" s="19"/>
      <c r="D2957" s="19"/>
      <c r="E2957" s="19"/>
      <c r="F2957" s="17" t="str">
        <f>IFERROR(__xludf.DUMMYFUNCTION("""COMPUTED_VALUE"""),"")</f>
        <v/>
      </c>
      <c r="G2957" s="20"/>
      <c r="H2957" s="19"/>
      <c r="I2957" s="19"/>
      <c r="J2957" s="19"/>
      <c r="K2957" s="19"/>
      <c r="L2957" s="19"/>
      <c r="M2957" s="19"/>
      <c r="N2957" s="20" t="s">
        <v>39</v>
      </c>
      <c r="O2957" s="19"/>
      <c r="P2957" s="19"/>
      <c r="Q2957" s="19"/>
      <c r="R2957" s="19"/>
      <c r="S2957" s="19"/>
      <c r="T2957" s="19"/>
      <c r="U2957" s="19"/>
      <c r="V2957" s="19"/>
    </row>
    <row r="2958">
      <c r="A2958" s="25"/>
      <c r="B2958" s="19"/>
      <c r="C2958" s="19"/>
      <c r="D2958" s="19"/>
      <c r="E2958" s="19"/>
      <c r="F2958" s="17" t="str">
        <f>IFERROR(__xludf.DUMMYFUNCTION("""COMPUTED_VALUE"""),"")</f>
        <v/>
      </c>
      <c r="G2958" s="20"/>
      <c r="H2958" s="19"/>
      <c r="I2958" s="19"/>
      <c r="J2958" s="19"/>
      <c r="K2958" s="19"/>
      <c r="L2958" s="19"/>
      <c r="M2958" s="19"/>
      <c r="N2958" s="20" t="s">
        <v>39</v>
      </c>
      <c r="O2958" s="19"/>
      <c r="P2958" s="19"/>
      <c r="Q2958" s="19"/>
      <c r="R2958" s="19"/>
      <c r="S2958" s="19"/>
      <c r="T2958" s="19"/>
      <c r="U2958" s="19"/>
      <c r="V2958" s="19"/>
    </row>
    <row r="2959">
      <c r="A2959" s="25"/>
      <c r="B2959" s="19"/>
      <c r="C2959" s="19"/>
      <c r="D2959" s="19"/>
      <c r="E2959" s="19"/>
      <c r="F2959" s="17" t="str">
        <f>IFERROR(__xludf.DUMMYFUNCTION("""COMPUTED_VALUE"""),"")</f>
        <v/>
      </c>
      <c r="G2959" s="20"/>
      <c r="H2959" s="19"/>
      <c r="I2959" s="19"/>
      <c r="J2959" s="19"/>
      <c r="K2959" s="19"/>
      <c r="L2959" s="19"/>
      <c r="M2959" s="19"/>
      <c r="N2959" s="20" t="s">
        <v>39</v>
      </c>
      <c r="O2959" s="19"/>
      <c r="P2959" s="19"/>
      <c r="Q2959" s="19"/>
      <c r="R2959" s="19"/>
      <c r="S2959" s="19"/>
      <c r="T2959" s="19"/>
      <c r="U2959" s="19"/>
      <c r="V2959" s="19"/>
    </row>
    <row r="2960">
      <c r="A2960" s="25"/>
      <c r="B2960" s="19"/>
      <c r="C2960" s="19"/>
      <c r="D2960" s="19"/>
      <c r="E2960" s="19"/>
      <c r="F2960" s="17" t="str">
        <f>IFERROR(__xludf.DUMMYFUNCTION("""COMPUTED_VALUE"""),"")</f>
        <v/>
      </c>
      <c r="G2960" s="20"/>
      <c r="H2960" s="19"/>
      <c r="I2960" s="19"/>
      <c r="J2960" s="19"/>
      <c r="K2960" s="19"/>
      <c r="L2960" s="19"/>
      <c r="M2960" s="19"/>
      <c r="N2960" s="20" t="s">
        <v>39</v>
      </c>
      <c r="O2960" s="19"/>
      <c r="P2960" s="19"/>
      <c r="Q2960" s="19"/>
      <c r="R2960" s="19"/>
      <c r="S2960" s="19"/>
      <c r="T2960" s="19"/>
      <c r="U2960" s="19"/>
      <c r="V2960" s="19"/>
    </row>
    <row r="2961">
      <c r="A2961" s="25"/>
      <c r="B2961" s="19"/>
      <c r="C2961" s="19"/>
      <c r="D2961" s="19"/>
      <c r="E2961" s="19"/>
      <c r="F2961" s="17" t="str">
        <f>IFERROR(__xludf.DUMMYFUNCTION("""COMPUTED_VALUE"""),"")</f>
        <v/>
      </c>
      <c r="G2961" s="20"/>
      <c r="H2961" s="19"/>
      <c r="I2961" s="19"/>
      <c r="J2961" s="19"/>
      <c r="K2961" s="19"/>
      <c r="L2961" s="19"/>
      <c r="M2961" s="19"/>
      <c r="N2961" s="20" t="s">
        <v>39</v>
      </c>
      <c r="O2961" s="19"/>
      <c r="P2961" s="19"/>
      <c r="Q2961" s="19"/>
      <c r="R2961" s="19"/>
      <c r="S2961" s="19"/>
      <c r="T2961" s="19"/>
      <c r="U2961" s="19"/>
      <c r="V2961" s="19"/>
    </row>
    <row r="2962">
      <c r="A2962" s="25"/>
      <c r="B2962" s="19"/>
      <c r="C2962" s="19"/>
      <c r="D2962" s="19"/>
      <c r="E2962" s="19"/>
      <c r="F2962" s="17" t="str">
        <f>IFERROR(__xludf.DUMMYFUNCTION("""COMPUTED_VALUE"""),"")</f>
        <v/>
      </c>
      <c r="G2962" s="20"/>
      <c r="H2962" s="19"/>
      <c r="I2962" s="19"/>
      <c r="J2962" s="19"/>
      <c r="K2962" s="19"/>
      <c r="L2962" s="19"/>
      <c r="M2962" s="19"/>
      <c r="N2962" s="20" t="s">
        <v>39</v>
      </c>
      <c r="O2962" s="19"/>
      <c r="P2962" s="19"/>
      <c r="Q2962" s="19"/>
      <c r="R2962" s="19"/>
      <c r="S2962" s="19"/>
      <c r="T2962" s="19"/>
      <c r="U2962" s="19"/>
      <c r="V2962" s="19"/>
    </row>
    <row r="2963">
      <c r="A2963" s="25"/>
      <c r="B2963" s="19"/>
      <c r="C2963" s="19"/>
      <c r="D2963" s="19"/>
      <c r="E2963" s="19"/>
      <c r="F2963" s="17" t="str">
        <f>IFERROR(__xludf.DUMMYFUNCTION("""COMPUTED_VALUE"""),"")</f>
        <v/>
      </c>
      <c r="G2963" s="20"/>
      <c r="H2963" s="19"/>
      <c r="I2963" s="19"/>
      <c r="J2963" s="19"/>
      <c r="K2963" s="19"/>
      <c r="L2963" s="19"/>
      <c r="M2963" s="19"/>
      <c r="N2963" s="20" t="s">
        <v>39</v>
      </c>
      <c r="O2963" s="19"/>
      <c r="P2963" s="19"/>
      <c r="Q2963" s="19"/>
      <c r="R2963" s="19"/>
      <c r="S2963" s="19"/>
      <c r="T2963" s="19"/>
      <c r="U2963" s="19"/>
      <c r="V2963" s="19"/>
    </row>
    <row r="2964">
      <c r="A2964" s="25"/>
      <c r="B2964" s="19"/>
      <c r="C2964" s="19"/>
      <c r="D2964" s="19"/>
      <c r="E2964" s="19"/>
      <c r="F2964" s="17" t="str">
        <f>IFERROR(__xludf.DUMMYFUNCTION("""COMPUTED_VALUE"""),"")</f>
        <v/>
      </c>
      <c r="G2964" s="20"/>
      <c r="H2964" s="19"/>
      <c r="I2964" s="19"/>
      <c r="J2964" s="19"/>
      <c r="K2964" s="19"/>
      <c r="L2964" s="19"/>
      <c r="M2964" s="19"/>
      <c r="N2964" s="20" t="s">
        <v>39</v>
      </c>
      <c r="O2964" s="19"/>
      <c r="P2964" s="19"/>
      <c r="Q2964" s="19"/>
      <c r="R2964" s="19"/>
      <c r="S2964" s="19"/>
      <c r="T2964" s="19"/>
      <c r="U2964" s="19"/>
      <c r="V2964" s="19"/>
    </row>
    <row r="2965">
      <c r="A2965" s="25"/>
      <c r="B2965" s="19"/>
      <c r="C2965" s="19"/>
      <c r="D2965" s="19"/>
      <c r="E2965" s="19"/>
      <c r="F2965" s="17" t="str">
        <f>IFERROR(__xludf.DUMMYFUNCTION("""COMPUTED_VALUE"""),"")</f>
        <v/>
      </c>
      <c r="G2965" s="20"/>
      <c r="H2965" s="19"/>
      <c r="I2965" s="19"/>
      <c r="J2965" s="19"/>
      <c r="K2965" s="19"/>
      <c r="L2965" s="19"/>
      <c r="M2965" s="19"/>
      <c r="N2965" s="20" t="s">
        <v>39</v>
      </c>
      <c r="O2965" s="19"/>
      <c r="P2965" s="19"/>
      <c r="Q2965" s="19"/>
      <c r="R2965" s="19"/>
      <c r="S2965" s="19"/>
      <c r="T2965" s="19"/>
      <c r="U2965" s="19"/>
      <c r="V2965" s="19"/>
    </row>
    <row r="2966">
      <c r="A2966" s="25"/>
      <c r="B2966" s="19"/>
      <c r="C2966" s="19"/>
      <c r="D2966" s="19"/>
      <c r="E2966" s="19"/>
      <c r="F2966" s="17" t="str">
        <f>IFERROR(__xludf.DUMMYFUNCTION("""COMPUTED_VALUE"""),"")</f>
        <v/>
      </c>
      <c r="G2966" s="20"/>
      <c r="H2966" s="19"/>
      <c r="I2966" s="19"/>
      <c r="J2966" s="19"/>
      <c r="K2966" s="19"/>
      <c r="L2966" s="19"/>
      <c r="M2966" s="19"/>
      <c r="N2966" s="20" t="s">
        <v>39</v>
      </c>
      <c r="O2966" s="19"/>
      <c r="P2966" s="19"/>
      <c r="Q2966" s="19"/>
      <c r="R2966" s="19"/>
      <c r="S2966" s="19"/>
      <c r="T2966" s="19"/>
      <c r="U2966" s="19"/>
      <c r="V2966" s="19"/>
    </row>
    <row r="2967">
      <c r="A2967" s="25"/>
      <c r="B2967" s="19"/>
      <c r="C2967" s="19"/>
      <c r="D2967" s="19"/>
      <c r="E2967" s="19"/>
      <c r="F2967" s="17" t="str">
        <f>IFERROR(__xludf.DUMMYFUNCTION("""COMPUTED_VALUE"""),"")</f>
        <v/>
      </c>
      <c r="G2967" s="20"/>
      <c r="H2967" s="19"/>
      <c r="I2967" s="19"/>
      <c r="J2967" s="19"/>
      <c r="K2967" s="19"/>
      <c r="L2967" s="19"/>
      <c r="M2967" s="19"/>
      <c r="N2967" s="20" t="s">
        <v>39</v>
      </c>
      <c r="O2967" s="19"/>
      <c r="P2967" s="19"/>
      <c r="Q2967" s="19"/>
      <c r="R2967" s="19"/>
      <c r="S2967" s="19"/>
      <c r="T2967" s="19"/>
      <c r="U2967" s="19"/>
      <c r="V2967" s="19"/>
    </row>
    <row r="2968">
      <c r="A2968" s="25"/>
      <c r="B2968" s="19"/>
      <c r="C2968" s="19"/>
      <c r="D2968" s="19"/>
      <c r="E2968" s="19"/>
      <c r="F2968" s="17" t="str">
        <f>IFERROR(__xludf.DUMMYFUNCTION("""COMPUTED_VALUE"""),"")</f>
        <v/>
      </c>
      <c r="G2968" s="20"/>
      <c r="H2968" s="19"/>
      <c r="I2968" s="19"/>
      <c r="J2968" s="19"/>
      <c r="K2968" s="19"/>
      <c r="L2968" s="19"/>
      <c r="M2968" s="19"/>
      <c r="N2968" s="20" t="s">
        <v>39</v>
      </c>
      <c r="O2968" s="19"/>
      <c r="P2968" s="19"/>
      <c r="Q2968" s="19"/>
      <c r="R2968" s="19"/>
      <c r="S2968" s="19"/>
      <c r="T2968" s="19"/>
      <c r="U2968" s="19"/>
      <c r="V2968" s="19"/>
    </row>
    <row r="2969">
      <c r="A2969" s="25"/>
      <c r="B2969" s="19"/>
      <c r="C2969" s="19"/>
      <c r="D2969" s="19"/>
      <c r="E2969" s="19"/>
      <c r="F2969" s="17" t="str">
        <f>IFERROR(__xludf.DUMMYFUNCTION("""COMPUTED_VALUE"""),"")</f>
        <v/>
      </c>
      <c r="G2969" s="20"/>
      <c r="H2969" s="19"/>
      <c r="I2969" s="19"/>
      <c r="J2969" s="19"/>
      <c r="K2969" s="19"/>
      <c r="L2969" s="19"/>
      <c r="M2969" s="19"/>
      <c r="N2969" s="20" t="s">
        <v>39</v>
      </c>
      <c r="O2969" s="19"/>
      <c r="P2969" s="19"/>
      <c r="Q2969" s="19"/>
      <c r="R2969" s="19"/>
      <c r="S2969" s="19"/>
      <c r="T2969" s="19"/>
      <c r="U2969" s="19"/>
      <c r="V2969" s="19"/>
    </row>
    <row r="2970">
      <c r="A2970" s="25"/>
      <c r="B2970" s="19"/>
      <c r="C2970" s="19"/>
      <c r="D2970" s="19"/>
      <c r="E2970" s="19"/>
      <c r="F2970" s="17" t="str">
        <f>IFERROR(__xludf.DUMMYFUNCTION("""COMPUTED_VALUE"""),"")</f>
        <v/>
      </c>
      <c r="G2970" s="20"/>
      <c r="H2970" s="19"/>
      <c r="I2970" s="19"/>
      <c r="J2970" s="19"/>
      <c r="K2970" s="19"/>
      <c r="L2970" s="19"/>
      <c r="M2970" s="19"/>
      <c r="N2970" s="20" t="s">
        <v>39</v>
      </c>
      <c r="O2970" s="19"/>
      <c r="P2970" s="19"/>
      <c r="Q2970" s="19"/>
      <c r="R2970" s="19"/>
      <c r="S2970" s="19"/>
      <c r="T2970" s="19"/>
      <c r="U2970" s="19"/>
      <c r="V2970" s="19"/>
    </row>
    <row r="2971">
      <c r="A2971" s="25"/>
      <c r="B2971" s="19"/>
      <c r="C2971" s="19"/>
      <c r="D2971" s="19"/>
      <c r="E2971" s="19"/>
      <c r="F2971" s="17" t="str">
        <f>IFERROR(__xludf.DUMMYFUNCTION("""COMPUTED_VALUE"""),"")</f>
        <v/>
      </c>
      <c r="G2971" s="20"/>
      <c r="H2971" s="19"/>
      <c r="I2971" s="19"/>
      <c r="J2971" s="19"/>
      <c r="K2971" s="19"/>
      <c r="L2971" s="19"/>
      <c r="M2971" s="19"/>
      <c r="N2971" s="20" t="s">
        <v>39</v>
      </c>
      <c r="O2971" s="19"/>
      <c r="P2971" s="19"/>
      <c r="Q2971" s="19"/>
      <c r="R2971" s="19"/>
      <c r="S2971" s="19"/>
      <c r="T2971" s="19"/>
      <c r="U2971" s="19"/>
      <c r="V2971" s="19"/>
    </row>
    <row r="2972">
      <c r="A2972" s="25"/>
      <c r="B2972" s="19"/>
      <c r="C2972" s="19"/>
      <c r="D2972" s="19"/>
      <c r="E2972" s="19"/>
      <c r="F2972" s="17" t="str">
        <f>IFERROR(__xludf.DUMMYFUNCTION("""COMPUTED_VALUE"""),"")</f>
        <v/>
      </c>
      <c r="G2972" s="20"/>
      <c r="H2972" s="19"/>
      <c r="I2972" s="19"/>
      <c r="J2972" s="19"/>
      <c r="K2972" s="19"/>
      <c r="L2972" s="19"/>
      <c r="M2972" s="19"/>
      <c r="N2972" s="20" t="s">
        <v>39</v>
      </c>
      <c r="O2972" s="19"/>
      <c r="P2972" s="19"/>
      <c r="Q2972" s="19"/>
      <c r="R2972" s="19"/>
      <c r="S2972" s="19"/>
      <c r="T2972" s="19"/>
      <c r="U2972" s="19"/>
      <c r="V2972" s="19"/>
    </row>
    <row r="2973">
      <c r="A2973" s="25"/>
      <c r="B2973" s="19"/>
      <c r="C2973" s="19"/>
      <c r="D2973" s="19"/>
      <c r="E2973" s="19"/>
      <c r="F2973" s="17" t="str">
        <f>IFERROR(__xludf.DUMMYFUNCTION("""COMPUTED_VALUE"""),"")</f>
        <v/>
      </c>
      <c r="G2973" s="20"/>
      <c r="H2973" s="19"/>
      <c r="I2973" s="19"/>
      <c r="J2973" s="19"/>
      <c r="K2973" s="19"/>
      <c r="L2973" s="19"/>
      <c r="M2973" s="19"/>
      <c r="N2973" s="20" t="s">
        <v>39</v>
      </c>
      <c r="O2973" s="19"/>
      <c r="P2973" s="19"/>
      <c r="Q2973" s="19"/>
      <c r="R2973" s="19"/>
      <c r="S2973" s="19"/>
      <c r="T2973" s="19"/>
      <c r="U2973" s="19"/>
      <c r="V2973" s="19"/>
    </row>
    <row r="2974">
      <c r="A2974" s="25"/>
      <c r="B2974" s="19"/>
      <c r="C2974" s="19"/>
      <c r="D2974" s="19"/>
      <c r="E2974" s="19"/>
      <c r="F2974" s="17" t="str">
        <f>IFERROR(__xludf.DUMMYFUNCTION("""COMPUTED_VALUE"""),"")</f>
        <v/>
      </c>
      <c r="G2974" s="20"/>
      <c r="H2974" s="19"/>
      <c r="I2974" s="19"/>
      <c r="J2974" s="19"/>
      <c r="K2974" s="19"/>
      <c r="L2974" s="19"/>
      <c r="M2974" s="19"/>
      <c r="N2974" s="20" t="s">
        <v>39</v>
      </c>
      <c r="O2974" s="19"/>
      <c r="P2974" s="19"/>
      <c r="Q2974" s="19"/>
      <c r="R2974" s="19"/>
      <c r="S2974" s="19"/>
      <c r="T2974" s="19"/>
      <c r="U2974" s="19"/>
      <c r="V2974" s="19"/>
    </row>
    <row r="2975">
      <c r="A2975" s="25"/>
      <c r="B2975" s="19"/>
      <c r="C2975" s="19"/>
      <c r="D2975" s="19"/>
      <c r="E2975" s="19"/>
      <c r="F2975" s="17" t="str">
        <f>IFERROR(__xludf.DUMMYFUNCTION("""COMPUTED_VALUE"""),"")</f>
        <v/>
      </c>
      <c r="G2975" s="20"/>
      <c r="H2975" s="19"/>
      <c r="I2975" s="19"/>
      <c r="J2975" s="19"/>
      <c r="K2975" s="19"/>
      <c r="L2975" s="19"/>
      <c r="M2975" s="19"/>
      <c r="N2975" s="20" t="s">
        <v>39</v>
      </c>
      <c r="O2975" s="19"/>
      <c r="P2975" s="19"/>
      <c r="Q2975" s="19"/>
      <c r="R2975" s="19"/>
      <c r="S2975" s="19"/>
      <c r="T2975" s="19"/>
      <c r="U2975" s="19"/>
      <c r="V2975" s="19"/>
    </row>
    <row r="2976">
      <c r="A2976" s="25"/>
      <c r="B2976" s="19"/>
      <c r="C2976" s="19"/>
      <c r="D2976" s="19"/>
      <c r="E2976" s="19"/>
      <c r="F2976" s="17" t="str">
        <f>IFERROR(__xludf.DUMMYFUNCTION("""COMPUTED_VALUE"""),"")</f>
        <v/>
      </c>
      <c r="G2976" s="20"/>
      <c r="H2976" s="19"/>
      <c r="I2976" s="19"/>
      <c r="J2976" s="19"/>
      <c r="K2976" s="19"/>
      <c r="L2976" s="19"/>
      <c r="M2976" s="19"/>
      <c r="N2976" s="20" t="s">
        <v>39</v>
      </c>
      <c r="O2976" s="19"/>
      <c r="P2976" s="19"/>
      <c r="Q2976" s="19"/>
      <c r="R2976" s="19"/>
      <c r="S2976" s="19"/>
      <c r="T2976" s="19"/>
      <c r="U2976" s="19"/>
      <c r="V2976" s="19"/>
    </row>
    <row r="2977">
      <c r="A2977" s="25"/>
      <c r="B2977" s="19"/>
      <c r="C2977" s="19"/>
      <c r="D2977" s="19"/>
      <c r="E2977" s="19"/>
      <c r="F2977" s="17" t="str">
        <f>IFERROR(__xludf.DUMMYFUNCTION("""COMPUTED_VALUE"""),"")</f>
        <v/>
      </c>
      <c r="G2977" s="20"/>
      <c r="H2977" s="19"/>
      <c r="I2977" s="19"/>
      <c r="J2977" s="19"/>
      <c r="K2977" s="19"/>
      <c r="L2977" s="19"/>
      <c r="M2977" s="19"/>
      <c r="N2977" s="20" t="s">
        <v>39</v>
      </c>
      <c r="O2977" s="19"/>
      <c r="P2977" s="19"/>
      <c r="Q2977" s="19"/>
      <c r="R2977" s="19"/>
      <c r="S2977" s="19"/>
      <c r="T2977" s="19"/>
      <c r="U2977" s="19"/>
      <c r="V2977" s="19"/>
    </row>
    <row r="2978">
      <c r="A2978" s="25"/>
      <c r="B2978" s="19"/>
      <c r="C2978" s="19"/>
      <c r="D2978" s="19"/>
      <c r="E2978" s="19"/>
      <c r="F2978" s="17" t="str">
        <f>IFERROR(__xludf.DUMMYFUNCTION("""COMPUTED_VALUE"""),"")</f>
        <v/>
      </c>
      <c r="G2978" s="20"/>
      <c r="H2978" s="19"/>
      <c r="I2978" s="19"/>
      <c r="J2978" s="19"/>
      <c r="K2978" s="19"/>
      <c r="L2978" s="19"/>
      <c r="M2978" s="19"/>
      <c r="N2978" s="20" t="s">
        <v>39</v>
      </c>
      <c r="O2978" s="19"/>
      <c r="P2978" s="19"/>
      <c r="Q2978" s="19"/>
      <c r="R2978" s="19"/>
      <c r="S2978" s="19"/>
      <c r="T2978" s="19"/>
      <c r="U2978" s="19"/>
      <c r="V2978" s="19"/>
    </row>
    <row r="2979">
      <c r="A2979" s="25"/>
      <c r="B2979" s="19"/>
      <c r="C2979" s="19"/>
      <c r="D2979" s="19"/>
      <c r="E2979" s="19"/>
      <c r="F2979" s="17" t="str">
        <f>IFERROR(__xludf.DUMMYFUNCTION("""COMPUTED_VALUE"""),"")</f>
        <v/>
      </c>
      <c r="G2979" s="20"/>
      <c r="H2979" s="19"/>
      <c r="I2979" s="19"/>
      <c r="J2979" s="19"/>
      <c r="K2979" s="19"/>
      <c r="L2979" s="19"/>
      <c r="M2979" s="19"/>
      <c r="N2979" s="20" t="s">
        <v>39</v>
      </c>
      <c r="O2979" s="19"/>
      <c r="P2979" s="19"/>
      <c r="Q2979" s="19"/>
      <c r="R2979" s="19"/>
      <c r="S2979" s="19"/>
      <c r="T2979" s="19"/>
      <c r="U2979" s="19"/>
      <c r="V2979" s="19"/>
    </row>
    <row r="2980">
      <c r="A2980" s="25"/>
      <c r="B2980" s="19"/>
      <c r="C2980" s="19"/>
      <c r="D2980" s="19"/>
      <c r="E2980" s="19"/>
      <c r="F2980" s="17" t="str">
        <f>IFERROR(__xludf.DUMMYFUNCTION("""COMPUTED_VALUE"""),"")</f>
        <v/>
      </c>
      <c r="G2980" s="20"/>
      <c r="H2980" s="19"/>
      <c r="I2980" s="19"/>
      <c r="J2980" s="19"/>
      <c r="K2980" s="19"/>
      <c r="L2980" s="19"/>
      <c r="M2980" s="19"/>
      <c r="N2980" s="20" t="s">
        <v>39</v>
      </c>
      <c r="O2980" s="19"/>
      <c r="P2980" s="19"/>
      <c r="Q2980" s="19"/>
      <c r="R2980" s="19"/>
      <c r="S2980" s="19"/>
      <c r="T2980" s="19"/>
      <c r="U2980" s="19"/>
      <c r="V2980" s="19"/>
    </row>
    <row r="2981">
      <c r="A2981" s="25"/>
      <c r="B2981" s="19"/>
      <c r="C2981" s="19"/>
      <c r="D2981" s="19"/>
      <c r="E2981" s="19"/>
      <c r="F2981" s="17" t="str">
        <f>IFERROR(__xludf.DUMMYFUNCTION("""COMPUTED_VALUE"""),"")</f>
        <v/>
      </c>
      <c r="G2981" s="20"/>
      <c r="H2981" s="19"/>
      <c r="I2981" s="19"/>
      <c r="J2981" s="19"/>
      <c r="K2981" s="19"/>
      <c r="L2981" s="19"/>
      <c r="M2981" s="19"/>
      <c r="N2981" s="20" t="s">
        <v>39</v>
      </c>
      <c r="O2981" s="19"/>
      <c r="P2981" s="19"/>
      <c r="Q2981" s="19"/>
      <c r="R2981" s="19"/>
      <c r="S2981" s="19"/>
      <c r="T2981" s="19"/>
      <c r="U2981" s="19"/>
      <c r="V2981" s="19"/>
    </row>
    <row r="2982">
      <c r="A2982" s="25"/>
      <c r="B2982" s="19"/>
      <c r="C2982" s="19"/>
      <c r="D2982" s="19"/>
      <c r="E2982" s="19"/>
      <c r="F2982" s="17" t="str">
        <f>IFERROR(__xludf.DUMMYFUNCTION("""COMPUTED_VALUE"""),"")</f>
        <v/>
      </c>
      <c r="G2982" s="20"/>
      <c r="H2982" s="19"/>
      <c r="I2982" s="19"/>
      <c r="J2982" s="19"/>
      <c r="K2982" s="19"/>
      <c r="L2982" s="19"/>
      <c r="M2982" s="19"/>
      <c r="N2982" s="20" t="s">
        <v>39</v>
      </c>
      <c r="O2982" s="19"/>
      <c r="P2982" s="19"/>
      <c r="Q2982" s="19"/>
      <c r="R2982" s="19"/>
      <c r="S2982" s="19"/>
      <c r="T2982" s="19"/>
      <c r="U2982" s="19"/>
      <c r="V2982" s="19"/>
    </row>
    <row r="2983">
      <c r="A2983" s="25"/>
      <c r="B2983" s="19"/>
      <c r="C2983" s="19"/>
      <c r="D2983" s="19"/>
      <c r="E2983" s="19"/>
      <c r="F2983" s="17" t="str">
        <f>IFERROR(__xludf.DUMMYFUNCTION("""COMPUTED_VALUE"""),"")</f>
        <v/>
      </c>
      <c r="G2983" s="20"/>
      <c r="H2983" s="19"/>
      <c r="I2983" s="19"/>
      <c r="J2983" s="19"/>
      <c r="K2983" s="19"/>
      <c r="L2983" s="19"/>
      <c r="M2983" s="19"/>
      <c r="N2983" s="20" t="s">
        <v>39</v>
      </c>
      <c r="O2983" s="19"/>
      <c r="P2983" s="19"/>
      <c r="Q2983" s="19"/>
      <c r="R2983" s="19"/>
      <c r="S2983" s="19"/>
      <c r="T2983" s="19"/>
      <c r="U2983" s="19"/>
      <c r="V2983" s="19"/>
    </row>
    <row r="2984">
      <c r="A2984" s="25"/>
      <c r="B2984" s="19"/>
      <c r="C2984" s="19"/>
      <c r="D2984" s="19"/>
      <c r="E2984" s="19"/>
      <c r="F2984" s="17" t="str">
        <f>IFERROR(__xludf.DUMMYFUNCTION("""COMPUTED_VALUE"""),"")</f>
        <v/>
      </c>
      <c r="G2984" s="20"/>
      <c r="H2984" s="19"/>
      <c r="I2984" s="19"/>
      <c r="J2984" s="19"/>
      <c r="K2984" s="19"/>
      <c r="L2984" s="19"/>
      <c r="M2984" s="19"/>
      <c r="N2984" s="20" t="s">
        <v>39</v>
      </c>
      <c r="O2984" s="19"/>
      <c r="P2984" s="19"/>
      <c r="Q2984" s="19"/>
      <c r="R2984" s="19"/>
      <c r="S2984" s="19"/>
      <c r="T2984" s="19"/>
      <c r="U2984" s="19"/>
      <c r="V2984" s="19"/>
    </row>
    <row r="2985">
      <c r="A2985" s="25"/>
      <c r="B2985" s="19"/>
      <c r="C2985" s="19"/>
      <c r="D2985" s="19"/>
      <c r="E2985" s="19"/>
      <c r="F2985" s="17" t="str">
        <f>IFERROR(__xludf.DUMMYFUNCTION("""COMPUTED_VALUE"""),"")</f>
        <v/>
      </c>
      <c r="G2985" s="20"/>
      <c r="H2985" s="19"/>
      <c r="I2985" s="19"/>
      <c r="J2985" s="19"/>
      <c r="K2985" s="19"/>
      <c r="L2985" s="19"/>
      <c r="M2985" s="19"/>
      <c r="N2985" s="20" t="s">
        <v>39</v>
      </c>
      <c r="O2985" s="19"/>
      <c r="P2985" s="19"/>
      <c r="Q2985" s="19"/>
      <c r="R2985" s="19"/>
      <c r="S2985" s="19"/>
      <c r="T2985" s="19"/>
      <c r="U2985" s="19"/>
      <c r="V2985" s="19"/>
    </row>
    <row r="2986">
      <c r="A2986" s="25"/>
      <c r="B2986" s="19"/>
      <c r="C2986" s="19"/>
      <c r="D2986" s="19"/>
      <c r="E2986" s="19"/>
      <c r="F2986" s="17" t="str">
        <f>IFERROR(__xludf.DUMMYFUNCTION("""COMPUTED_VALUE"""),"")</f>
        <v/>
      </c>
      <c r="G2986" s="20"/>
      <c r="H2986" s="19"/>
      <c r="I2986" s="19"/>
      <c r="J2986" s="19"/>
      <c r="K2986" s="19"/>
      <c r="L2986" s="19"/>
      <c r="M2986" s="19"/>
      <c r="N2986" s="20" t="s">
        <v>39</v>
      </c>
      <c r="O2986" s="19"/>
      <c r="P2986" s="19"/>
      <c r="Q2986" s="19"/>
      <c r="R2986" s="19"/>
      <c r="S2986" s="19"/>
      <c r="T2986" s="19"/>
      <c r="U2986" s="19"/>
      <c r="V2986" s="19"/>
    </row>
    <row r="2987">
      <c r="A2987" s="25"/>
      <c r="B2987" s="19"/>
      <c r="C2987" s="19"/>
      <c r="D2987" s="19"/>
      <c r="E2987" s="19"/>
      <c r="F2987" s="17" t="str">
        <f>IFERROR(__xludf.DUMMYFUNCTION("""COMPUTED_VALUE"""),"")</f>
        <v/>
      </c>
      <c r="G2987" s="20"/>
      <c r="H2987" s="19"/>
      <c r="I2987" s="19"/>
      <c r="J2987" s="19"/>
      <c r="K2987" s="19"/>
      <c r="L2987" s="19"/>
      <c r="M2987" s="19"/>
      <c r="N2987" s="20" t="s">
        <v>39</v>
      </c>
      <c r="O2987" s="19"/>
      <c r="P2987" s="19"/>
      <c r="Q2987" s="19"/>
      <c r="R2987" s="19"/>
      <c r="S2987" s="19"/>
      <c r="T2987" s="19"/>
      <c r="U2987" s="19"/>
      <c r="V2987" s="19"/>
    </row>
    <row r="2988">
      <c r="A2988" s="25"/>
      <c r="B2988" s="19"/>
      <c r="C2988" s="19"/>
      <c r="D2988" s="19"/>
      <c r="E2988" s="19"/>
      <c r="F2988" s="17" t="str">
        <f>IFERROR(__xludf.DUMMYFUNCTION("""COMPUTED_VALUE"""),"")</f>
        <v/>
      </c>
      <c r="G2988" s="20"/>
      <c r="H2988" s="19"/>
      <c r="I2988" s="19"/>
      <c r="J2988" s="19"/>
      <c r="K2988" s="19"/>
      <c r="L2988" s="19"/>
      <c r="M2988" s="19"/>
      <c r="N2988" s="20" t="s">
        <v>39</v>
      </c>
      <c r="O2988" s="19"/>
      <c r="P2988" s="19"/>
      <c r="Q2988" s="19"/>
      <c r="R2988" s="19"/>
      <c r="S2988" s="19"/>
      <c r="T2988" s="19"/>
      <c r="U2988" s="19"/>
      <c r="V2988" s="19"/>
    </row>
    <row r="2989">
      <c r="A2989" s="25"/>
      <c r="B2989" s="19"/>
      <c r="C2989" s="19"/>
      <c r="D2989" s="19"/>
      <c r="E2989" s="19"/>
      <c r="F2989" s="17" t="str">
        <f>IFERROR(__xludf.DUMMYFUNCTION("""COMPUTED_VALUE"""),"")</f>
        <v/>
      </c>
      <c r="G2989" s="20"/>
      <c r="H2989" s="19"/>
      <c r="I2989" s="19"/>
      <c r="J2989" s="19"/>
      <c r="K2989" s="19"/>
      <c r="L2989" s="19"/>
      <c r="M2989" s="19"/>
      <c r="N2989" s="20" t="s">
        <v>39</v>
      </c>
      <c r="O2989" s="19"/>
      <c r="P2989" s="19"/>
      <c r="Q2989" s="19"/>
      <c r="R2989" s="19"/>
      <c r="S2989" s="19"/>
      <c r="T2989" s="19"/>
      <c r="U2989" s="19"/>
      <c r="V2989" s="19"/>
    </row>
    <row r="2990">
      <c r="A2990" s="25"/>
      <c r="B2990" s="19"/>
      <c r="C2990" s="19"/>
      <c r="D2990" s="19"/>
      <c r="E2990" s="19"/>
      <c r="F2990" s="17" t="str">
        <f>IFERROR(__xludf.DUMMYFUNCTION("""COMPUTED_VALUE"""),"")</f>
        <v/>
      </c>
      <c r="G2990" s="20"/>
      <c r="H2990" s="19"/>
      <c r="I2990" s="19"/>
      <c r="J2990" s="19"/>
      <c r="K2990" s="19"/>
      <c r="L2990" s="19"/>
      <c r="M2990" s="19"/>
      <c r="N2990" s="20" t="s">
        <v>39</v>
      </c>
      <c r="O2990" s="19"/>
      <c r="P2990" s="19"/>
      <c r="Q2990" s="19"/>
      <c r="R2990" s="19"/>
      <c r="S2990" s="19"/>
      <c r="T2990" s="19"/>
      <c r="U2990" s="19"/>
      <c r="V2990" s="19"/>
    </row>
    <row r="2991">
      <c r="A2991" s="25"/>
      <c r="B2991" s="19"/>
      <c r="C2991" s="19"/>
      <c r="D2991" s="19"/>
      <c r="E2991" s="19"/>
      <c r="F2991" s="17" t="str">
        <f>IFERROR(__xludf.DUMMYFUNCTION("""COMPUTED_VALUE"""),"")</f>
        <v/>
      </c>
      <c r="G2991" s="20"/>
      <c r="H2991" s="19"/>
      <c r="I2991" s="19"/>
      <c r="J2991" s="19"/>
      <c r="K2991" s="19"/>
      <c r="L2991" s="19"/>
      <c r="M2991" s="19"/>
      <c r="N2991" s="20" t="s">
        <v>39</v>
      </c>
      <c r="O2991" s="19"/>
      <c r="P2991" s="19"/>
      <c r="Q2991" s="19"/>
      <c r="R2991" s="19"/>
      <c r="S2991" s="19"/>
      <c r="T2991" s="19"/>
      <c r="U2991" s="19"/>
      <c r="V2991" s="19"/>
    </row>
    <row r="2992">
      <c r="A2992" s="25"/>
      <c r="B2992" s="19"/>
      <c r="C2992" s="19"/>
      <c r="D2992" s="19"/>
      <c r="E2992" s="19"/>
      <c r="F2992" s="17" t="str">
        <f>IFERROR(__xludf.DUMMYFUNCTION("""COMPUTED_VALUE"""),"")</f>
        <v/>
      </c>
      <c r="G2992" s="20"/>
      <c r="H2992" s="19"/>
      <c r="I2992" s="19"/>
      <c r="J2992" s="19"/>
      <c r="K2992" s="19"/>
      <c r="L2992" s="19"/>
      <c r="M2992" s="19"/>
      <c r="N2992" s="20" t="s">
        <v>39</v>
      </c>
      <c r="O2992" s="19"/>
      <c r="P2992" s="19"/>
      <c r="Q2992" s="19"/>
      <c r="R2992" s="19"/>
      <c r="S2992" s="19"/>
      <c r="T2992" s="19"/>
      <c r="U2992" s="19"/>
      <c r="V2992" s="19"/>
    </row>
    <row r="2993">
      <c r="A2993" s="25"/>
      <c r="B2993" s="19"/>
      <c r="C2993" s="19"/>
      <c r="D2993" s="19"/>
      <c r="E2993" s="19"/>
      <c r="F2993" s="17" t="str">
        <f>IFERROR(__xludf.DUMMYFUNCTION("""COMPUTED_VALUE"""),"")</f>
        <v/>
      </c>
      <c r="G2993" s="20"/>
      <c r="H2993" s="19"/>
      <c r="I2993" s="19"/>
      <c r="J2993" s="19"/>
      <c r="K2993" s="19"/>
      <c r="L2993" s="19"/>
      <c r="M2993" s="19"/>
      <c r="N2993" s="20" t="s">
        <v>39</v>
      </c>
      <c r="O2993" s="19"/>
      <c r="P2993" s="19"/>
      <c r="Q2993" s="19"/>
      <c r="R2993" s="19"/>
      <c r="S2993" s="19"/>
      <c r="T2993" s="19"/>
      <c r="U2993" s="19"/>
      <c r="V2993" s="19"/>
    </row>
    <row r="2994">
      <c r="A2994" s="25"/>
      <c r="B2994" s="19"/>
      <c r="C2994" s="19"/>
      <c r="D2994" s="19"/>
      <c r="E2994" s="19"/>
      <c r="F2994" s="17" t="str">
        <f>IFERROR(__xludf.DUMMYFUNCTION("""COMPUTED_VALUE"""),"")</f>
        <v/>
      </c>
      <c r="G2994" s="20"/>
      <c r="H2994" s="19"/>
      <c r="I2994" s="19"/>
      <c r="J2994" s="19"/>
      <c r="K2994" s="19"/>
      <c r="L2994" s="19"/>
      <c r="M2994" s="19"/>
      <c r="N2994" s="20" t="s">
        <v>39</v>
      </c>
      <c r="O2994" s="19"/>
      <c r="P2994" s="19"/>
      <c r="Q2994" s="19"/>
      <c r="R2994" s="19"/>
      <c r="S2994" s="19"/>
      <c r="T2994" s="19"/>
      <c r="U2994" s="19"/>
      <c r="V2994" s="19"/>
    </row>
    <row r="2995">
      <c r="A2995" s="25"/>
      <c r="B2995" s="19"/>
      <c r="C2995" s="19"/>
      <c r="D2995" s="19"/>
      <c r="E2995" s="19"/>
      <c r="F2995" s="17" t="str">
        <f>IFERROR(__xludf.DUMMYFUNCTION("""COMPUTED_VALUE"""),"")</f>
        <v/>
      </c>
      <c r="G2995" s="20"/>
      <c r="H2995" s="19"/>
      <c r="I2995" s="19"/>
      <c r="J2995" s="19"/>
      <c r="K2995" s="19"/>
      <c r="L2995" s="19"/>
      <c r="M2995" s="19"/>
      <c r="N2995" s="20" t="s">
        <v>39</v>
      </c>
      <c r="O2995" s="19"/>
      <c r="P2995" s="19"/>
      <c r="Q2995" s="19"/>
      <c r="R2995" s="19"/>
      <c r="S2995" s="19"/>
      <c r="T2995" s="19"/>
      <c r="U2995" s="19"/>
      <c r="V2995" s="19"/>
    </row>
    <row r="2996">
      <c r="A2996" s="25"/>
      <c r="B2996" s="19"/>
      <c r="C2996" s="19"/>
      <c r="D2996" s="19"/>
      <c r="E2996" s="19"/>
      <c r="F2996" s="17" t="str">
        <f>IFERROR(__xludf.DUMMYFUNCTION("""COMPUTED_VALUE"""),"")</f>
        <v/>
      </c>
      <c r="G2996" s="20"/>
      <c r="H2996" s="19"/>
      <c r="I2996" s="19"/>
      <c r="J2996" s="19"/>
      <c r="K2996" s="19"/>
      <c r="L2996" s="19"/>
      <c r="M2996" s="19"/>
      <c r="N2996" s="20" t="s">
        <v>39</v>
      </c>
      <c r="O2996" s="19"/>
      <c r="P2996" s="19"/>
      <c r="Q2996" s="19"/>
      <c r="R2996" s="19"/>
      <c r="S2996" s="19"/>
      <c r="T2996" s="19"/>
      <c r="U2996" s="19"/>
      <c r="V2996" s="19"/>
    </row>
    <row r="2997">
      <c r="A2997" s="25"/>
      <c r="B2997" s="19"/>
      <c r="C2997" s="19"/>
      <c r="D2997" s="19"/>
      <c r="E2997" s="19"/>
      <c r="F2997" s="17" t="str">
        <f>IFERROR(__xludf.DUMMYFUNCTION("""COMPUTED_VALUE"""),"")</f>
        <v/>
      </c>
      <c r="G2997" s="20"/>
      <c r="H2997" s="19"/>
      <c r="I2997" s="19"/>
      <c r="J2997" s="19"/>
      <c r="K2997" s="19"/>
      <c r="L2997" s="19"/>
      <c r="M2997" s="19"/>
      <c r="N2997" s="20" t="s">
        <v>39</v>
      </c>
      <c r="O2997" s="19"/>
      <c r="P2997" s="19"/>
      <c r="Q2997" s="19"/>
      <c r="R2997" s="19"/>
      <c r="S2997" s="19"/>
      <c r="T2997" s="19"/>
      <c r="U2997" s="19"/>
      <c r="V2997" s="19"/>
    </row>
    <row r="2998">
      <c r="A2998" s="25"/>
      <c r="B2998" s="19"/>
      <c r="C2998" s="19"/>
      <c r="D2998" s="19"/>
      <c r="E2998" s="19"/>
      <c r="F2998" s="17" t="str">
        <f>IFERROR(__xludf.DUMMYFUNCTION("""COMPUTED_VALUE"""),"")</f>
        <v/>
      </c>
      <c r="G2998" s="20"/>
      <c r="H2998" s="19"/>
      <c r="I2998" s="19"/>
      <c r="J2998" s="19"/>
      <c r="K2998" s="19"/>
      <c r="L2998" s="19"/>
      <c r="M2998" s="19"/>
      <c r="N2998" s="20" t="s">
        <v>39</v>
      </c>
      <c r="O2998" s="19"/>
      <c r="P2998" s="19"/>
      <c r="Q2998" s="19"/>
      <c r="R2998" s="19"/>
      <c r="S2998" s="19"/>
      <c r="T2998" s="19"/>
      <c r="U2998" s="19"/>
      <c r="V2998" s="19"/>
    </row>
    <row r="2999">
      <c r="A2999" s="25"/>
      <c r="B2999" s="19"/>
      <c r="C2999" s="19"/>
      <c r="D2999" s="19"/>
      <c r="E2999" s="19"/>
      <c r="F2999" s="17" t="str">
        <f>IFERROR(__xludf.DUMMYFUNCTION("""COMPUTED_VALUE"""),"")</f>
        <v/>
      </c>
      <c r="G2999" s="20"/>
      <c r="H2999" s="19"/>
      <c r="I2999" s="19"/>
      <c r="J2999" s="19"/>
      <c r="K2999" s="19"/>
      <c r="L2999" s="19"/>
      <c r="M2999" s="19"/>
      <c r="N2999" s="20" t="s">
        <v>39</v>
      </c>
      <c r="O2999" s="19"/>
      <c r="P2999" s="19"/>
      <c r="Q2999" s="19"/>
      <c r="R2999" s="19"/>
      <c r="S2999" s="19"/>
      <c r="T2999" s="19"/>
      <c r="U2999" s="19"/>
      <c r="V2999" s="19"/>
    </row>
    <row r="3000">
      <c r="A3000" s="25"/>
      <c r="B3000" s="19"/>
      <c r="C3000" s="19"/>
      <c r="D3000" s="19"/>
      <c r="E3000" s="19"/>
      <c r="F3000" s="17" t="str">
        <f>IFERROR(__xludf.DUMMYFUNCTION("""COMPUTED_VALUE"""),"")</f>
        <v/>
      </c>
      <c r="G3000" s="20"/>
      <c r="H3000" s="19"/>
      <c r="I3000" s="19"/>
      <c r="J3000" s="19"/>
      <c r="K3000" s="19"/>
      <c r="L3000" s="19"/>
      <c r="M3000" s="19"/>
      <c r="N3000" s="20" t="s">
        <v>39</v>
      </c>
      <c r="O3000" s="19"/>
      <c r="P3000" s="19"/>
      <c r="Q3000" s="19"/>
      <c r="R3000" s="19"/>
      <c r="S3000" s="19"/>
      <c r="T3000" s="19"/>
      <c r="U3000" s="19"/>
      <c r="V3000" s="19"/>
    </row>
    <row r="3001">
      <c r="A3001" s="25"/>
      <c r="B3001" s="19"/>
      <c r="C3001" s="19"/>
      <c r="D3001" s="19"/>
      <c r="E3001" s="19"/>
      <c r="F3001" s="17" t="str">
        <f>IFERROR(__xludf.DUMMYFUNCTION("""COMPUTED_VALUE"""),"")</f>
        <v/>
      </c>
      <c r="G3001" s="20"/>
      <c r="H3001" s="19"/>
      <c r="I3001" s="19"/>
      <c r="J3001" s="19"/>
      <c r="K3001" s="19"/>
      <c r="L3001" s="19"/>
      <c r="M3001" s="19"/>
      <c r="N3001" s="20" t="s">
        <v>39</v>
      </c>
      <c r="O3001" s="19"/>
      <c r="P3001" s="19"/>
      <c r="Q3001" s="19"/>
      <c r="R3001" s="19"/>
      <c r="S3001" s="19"/>
      <c r="T3001" s="19"/>
      <c r="U3001" s="19"/>
      <c r="V3001" s="19"/>
    </row>
    <row r="3002">
      <c r="A3002" s="25"/>
      <c r="B3002" s="19"/>
      <c r="C3002" s="19"/>
      <c r="D3002" s="19"/>
      <c r="E3002" s="19"/>
      <c r="F3002" s="17" t="str">
        <f>IFERROR(__xludf.DUMMYFUNCTION("""COMPUTED_VALUE"""),"")</f>
        <v/>
      </c>
      <c r="G3002" s="20"/>
      <c r="H3002" s="19"/>
      <c r="I3002" s="19"/>
      <c r="J3002" s="19"/>
      <c r="K3002" s="19"/>
      <c r="L3002" s="19"/>
      <c r="M3002" s="19"/>
      <c r="N3002" s="20" t="s">
        <v>39</v>
      </c>
      <c r="O3002" s="19"/>
      <c r="P3002" s="19"/>
      <c r="Q3002" s="19"/>
      <c r="R3002" s="19"/>
      <c r="S3002" s="19"/>
      <c r="T3002" s="19"/>
      <c r="U3002" s="19"/>
      <c r="V3002" s="19"/>
    </row>
    <row r="3003">
      <c r="A3003" s="25"/>
      <c r="B3003" s="19"/>
      <c r="C3003" s="19"/>
      <c r="D3003" s="19"/>
      <c r="E3003" s="19"/>
      <c r="F3003" s="17" t="str">
        <f>IFERROR(__xludf.DUMMYFUNCTION("""COMPUTED_VALUE"""),"")</f>
        <v/>
      </c>
      <c r="G3003" s="20"/>
      <c r="H3003" s="19"/>
      <c r="I3003" s="19"/>
      <c r="J3003" s="19"/>
      <c r="K3003" s="19"/>
      <c r="L3003" s="19"/>
      <c r="M3003" s="19"/>
      <c r="N3003" s="20" t="s">
        <v>39</v>
      </c>
      <c r="O3003" s="19"/>
      <c r="P3003" s="19"/>
      <c r="Q3003" s="19"/>
      <c r="R3003" s="19"/>
      <c r="S3003" s="19"/>
      <c r="T3003" s="19"/>
      <c r="U3003" s="19"/>
      <c r="V3003" s="19"/>
    </row>
    <row r="3004">
      <c r="A3004" s="25"/>
      <c r="B3004" s="19"/>
      <c r="C3004" s="19"/>
      <c r="D3004" s="19"/>
      <c r="E3004" s="19"/>
      <c r="F3004" s="17" t="str">
        <f>IFERROR(__xludf.DUMMYFUNCTION("""COMPUTED_VALUE"""),"")</f>
        <v/>
      </c>
      <c r="G3004" s="20"/>
      <c r="H3004" s="19"/>
      <c r="I3004" s="19"/>
      <c r="J3004" s="19"/>
      <c r="K3004" s="19"/>
      <c r="L3004" s="19"/>
      <c r="M3004" s="19"/>
      <c r="N3004" s="20" t="s">
        <v>39</v>
      </c>
      <c r="O3004" s="19"/>
      <c r="P3004" s="19"/>
      <c r="Q3004" s="19"/>
      <c r="R3004" s="19"/>
      <c r="S3004" s="19"/>
      <c r="T3004" s="19"/>
      <c r="U3004" s="19"/>
      <c r="V3004" s="19"/>
    </row>
    <row r="3005">
      <c r="A3005" s="25"/>
      <c r="B3005" s="19"/>
      <c r="C3005" s="19"/>
      <c r="D3005" s="19"/>
      <c r="E3005" s="19"/>
      <c r="F3005" s="17" t="str">
        <f>IFERROR(__xludf.DUMMYFUNCTION("""COMPUTED_VALUE"""),"")</f>
        <v/>
      </c>
      <c r="G3005" s="20"/>
      <c r="H3005" s="19"/>
      <c r="I3005" s="19"/>
      <c r="J3005" s="19"/>
      <c r="K3005" s="19"/>
      <c r="L3005" s="19"/>
      <c r="M3005" s="19"/>
      <c r="N3005" s="20" t="s">
        <v>39</v>
      </c>
      <c r="O3005" s="19"/>
      <c r="P3005" s="19"/>
      <c r="Q3005" s="19"/>
      <c r="R3005" s="19"/>
      <c r="S3005" s="19"/>
      <c r="T3005" s="19"/>
      <c r="U3005" s="19"/>
      <c r="V3005" s="19"/>
    </row>
    <row r="3006">
      <c r="A3006" s="25"/>
      <c r="B3006" s="19"/>
      <c r="C3006" s="19"/>
      <c r="D3006" s="19"/>
      <c r="E3006" s="19"/>
      <c r="F3006" s="17" t="str">
        <f>IFERROR(__xludf.DUMMYFUNCTION("""COMPUTED_VALUE"""),"")</f>
        <v/>
      </c>
      <c r="G3006" s="20"/>
      <c r="H3006" s="19"/>
      <c r="I3006" s="19"/>
      <c r="J3006" s="19"/>
      <c r="K3006" s="19"/>
      <c r="L3006" s="19"/>
      <c r="M3006" s="19"/>
      <c r="N3006" s="20" t="s">
        <v>39</v>
      </c>
      <c r="O3006" s="19"/>
      <c r="P3006" s="19"/>
      <c r="Q3006" s="19"/>
      <c r="R3006" s="19"/>
      <c r="S3006" s="19"/>
      <c r="T3006" s="19"/>
      <c r="U3006" s="19"/>
      <c r="V3006" s="19"/>
    </row>
    <row r="3007">
      <c r="A3007" s="25"/>
      <c r="B3007" s="19"/>
      <c r="C3007" s="19"/>
      <c r="D3007" s="19"/>
      <c r="E3007" s="19"/>
      <c r="F3007" s="17" t="str">
        <f>IFERROR(__xludf.DUMMYFUNCTION("""COMPUTED_VALUE"""),"")</f>
        <v/>
      </c>
      <c r="G3007" s="20"/>
      <c r="H3007" s="19"/>
      <c r="I3007" s="19"/>
      <c r="J3007" s="19"/>
      <c r="K3007" s="19"/>
      <c r="L3007" s="19"/>
      <c r="M3007" s="19"/>
      <c r="N3007" s="20" t="s">
        <v>39</v>
      </c>
      <c r="O3007" s="19"/>
      <c r="P3007" s="19"/>
      <c r="Q3007" s="19"/>
      <c r="R3007" s="19"/>
      <c r="S3007" s="19"/>
      <c r="T3007" s="19"/>
      <c r="U3007" s="19"/>
      <c r="V3007" s="19"/>
    </row>
    <row r="3008">
      <c r="A3008" s="25"/>
      <c r="B3008" s="19"/>
      <c r="C3008" s="19"/>
      <c r="D3008" s="19"/>
      <c r="E3008" s="19"/>
      <c r="F3008" s="17" t="str">
        <f>IFERROR(__xludf.DUMMYFUNCTION("""COMPUTED_VALUE"""),"")</f>
        <v/>
      </c>
      <c r="G3008" s="20"/>
      <c r="H3008" s="19"/>
      <c r="I3008" s="19"/>
      <c r="J3008" s="19"/>
      <c r="K3008" s="19"/>
      <c r="L3008" s="19"/>
      <c r="M3008" s="19"/>
      <c r="N3008" s="20" t="s">
        <v>39</v>
      </c>
      <c r="O3008" s="19"/>
      <c r="P3008" s="19"/>
      <c r="Q3008" s="19"/>
      <c r="R3008" s="19"/>
      <c r="S3008" s="19"/>
      <c r="T3008" s="19"/>
      <c r="U3008" s="19"/>
      <c r="V3008" s="19"/>
    </row>
    <row r="3009">
      <c r="A3009" s="25"/>
      <c r="B3009" s="19"/>
      <c r="C3009" s="19"/>
      <c r="D3009" s="19"/>
      <c r="E3009" s="19"/>
      <c r="F3009" s="17" t="str">
        <f>IFERROR(__xludf.DUMMYFUNCTION("""COMPUTED_VALUE"""),"")</f>
        <v/>
      </c>
      <c r="G3009" s="20"/>
      <c r="H3009" s="19"/>
      <c r="I3009" s="19"/>
      <c r="J3009" s="19"/>
      <c r="K3009" s="19"/>
      <c r="L3009" s="19"/>
      <c r="M3009" s="19"/>
      <c r="N3009" s="20" t="s">
        <v>39</v>
      </c>
      <c r="O3009" s="19"/>
      <c r="P3009" s="19"/>
      <c r="Q3009" s="19"/>
      <c r="R3009" s="19"/>
      <c r="S3009" s="19"/>
      <c r="T3009" s="19"/>
      <c r="U3009" s="19"/>
      <c r="V3009" s="19"/>
    </row>
    <row r="3010">
      <c r="A3010" s="25"/>
      <c r="B3010" s="19"/>
      <c r="C3010" s="19"/>
      <c r="D3010" s="19"/>
      <c r="E3010" s="19"/>
      <c r="F3010" s="17" t="str">
        <f>IFERROR(__xludf.DUMMYFUNCTION("""COMPUTED_VALUE"""),"")</f>
        <v/>
      </c>
      <c r="G3010" s="20"/>
      <c r="H3010" s="19"/>
      <c r="I3010" s="19"/>
      <c r="J3010" s="19"/>
      <c r="K3010" s="19"/>
      <c r="L3010" s="19"/>
      <c r="M3010" s="19"/>
      <c r="N3010" s="20" t="s">
        <v>39</v>
      </c>
      <c r="O3010" s="19"/>
      <c r="P3010" s="19"/>
      <c r="Q3010" s="19"/>
      <c r="R3010" s="19"/>
      <c r="S3010" s="19"/>
      <c r="T3010" s="19"/>
      <c r="U3010" s="19"/>
      <c r="V3010" s="19"/>
    </row>
    <row r="3011">
      <c r="A3011" s="25"/>
      <c r="B3011" s="19"/>
      <c r="C3011" s="19"/>
      <c r="D3011" s="19"/>
      <c r="E3011" s="19"/>
      <c r="F3011" s="17" t="str">
        <f>IFERROR(__xludf.DUMMYFUNCTION("""COMPUTED_VALUE"""),"")</f>
        <v/>
      </c>
      <c r="G3011" s="20"/>
      <c r="H3011" s="19"/>
      <c r="I3011" s="19"/>
      <c r="J3011" s="19"/>
      <c r="K3011" s="19"/>
      <c r="L3011" s="19"/>
      <c r="M3011" s="19"/>
      <c r="N3011" s="20" t="s">
        <v>39</v>
      </c>
      <c r="O3011" s="19"/>
      <c r="P3011" s="19"/>
      <c r="Q3011" s="19"/>
      <c r="R3011" s="19"/>
      <c r="S3011" s="19"/>
      <c r="T3011" s="19"/>
      <c r="U3011" s="19"/>
      <c r="V3011" s="19"/>
    </row>
    <row r="3012">
      <c r="A3012" s="25"/>
      <c r="B3012" s="19"/>
      <c r="C3012" s="19"/>
      <c r="D3012" s="19"/>
      <c r="E3012" s="19"/>
      <c r="F3012" s="17" t="str">
        <f>IFERROR(__xludf.DUMMYFUNCTION("""COMPUTED_VALUE"""),"")</f>
        <v/>
      </c>
      <c r="G3012" s="20"/>
      <c r="H3012" s="19"/>
      <c r="I3012" s="19"/>
      <c r="J3012" s="19"/>
      <c r="K3012" s="19"/>
      <c r="L3012" s="19"/>
      <c r="M3012" s="19"/>
      <c r="N3012" s="20" t="s">
        <v>39</v>
      </c>
      <c r="O3012" s="19"/>
      <c r="P3012" s="19"/>
      <c r="Q3012" s="19"/>
      <c r="R3012" s="19"/>
      <c r="S3012" s="19"/>
      <c r="T3012" s="19"/>
      <c r="U3012" s="19"/>
      <c r="V3012" s="19"/>
    </row>
    <row r="3013">
      <c r="A3013" s="25"/>
      <c r="B3013" s="19"/>
      <c r="C3013" s="19"/>
      <c r="D3013" s="19"/>
      <c r="E3013" s="19"/>
      <c r="F3013" s="17" t="str">
        <f>IFERROR(__xludf.DUMMYFUNCTION("""COMPUTED_VALUE"""),"")</f>
        <v/>
      </c>
      <c r="G3013" s="20"/>
      <c r="H3013" s="19"/>
      <c r="I3013" s="19"/>
      <c r="J3013" s="19"/>
      <c r="K3013" s="19"/>
      <c r="L3013" s="19"/>
      <c r="M3013" s="19"/>
      <c r="N3013" s="20" t="s">
        <v>39</v>
      </c>
      <c r="O3013" s="19"/>
      <c r="P3013" s="19"/>
      <c r="Q3013" s="19"/>
      <c r="R3013" s="19"/>
      <c r="S3013" s="19"/>
      <c r="T3013" s="19"/>
      <c r="U3013" s="19"/>
      <c r="V3013" s="19"/>
    </row>
    <row r="3014">
      <c r="A3014" s="25"/>
      <c r="B3014" s="19"/>
      <c r="C3014" s="19"/>
      <c r="D3014" s="19"/>
      <c r="E3014" s="19"/>
      <c r="F3014" s="17" t="str">
        <f>IFERROR(__xludf.DUMMYFUNCTION("""COMPUTED_VALUE"""),"")</f>
        <v/>
      </c>
      <c r="G3014" s="20"/>
      <c r="H3014" s="19"/>
      <c r="I3014" s="19"/>
      <c r="J3014" s="19"/>
      <c r="K3014" s="19"/>
      <c r="L3014" s="19"/>
      <c r="M3014" s="19"/>
      <c r="N3014" s="20" t="s">
        <v>39</v>
      </c>
      <c r="O3014" s="19"/>
      <c r="P3014" s="19"/>
      <c r="Q3014" s="19"/>
      <c r="R3014" s="19"/>
      <c r="S3014" s="19"/>
      <c r="T3014" s="19"/>
      <c r="U3014" s="19"/>
      <c r="V3014" s="19"/>
    </row>
    <row r="3015">
      <c r="A3015" s="25"/>
      <c r="B3015" s="19"/>
      <c r="C3015" s="19"/>
      <c r="D3015" s="19"/>
      <c r="E3015" s="19"/>
      <c r="F3015" s="17" t="str">
        <f>IFERROR(__xludf.DUMMYFUNCTION("""COMPUTED_VALUE"""),"")</f>
        <v/>
      </c>
      <c r="G3015" s="20"/>
      <c r="H3015" s="19"/>
      <c r="I3015" s="19"/>
      <c r="J3015" s="19"/>
      <c r="K3015" s="19"/>
      <c r="L3015" s="19"/>
      <c r="M3015" s="19"/>
      <c r="N3015" s="20" t="s">
        <v>39</v>
      </c>
      <c r="O3015" s="19"/>
      <c r="P3015" s="19"/>
      <c r="Q3015" s="19"/>
      <c r="R3015" s="19"/>
      <c r="S3015" s="19"/>
      <c r="T3015" s="19"/>
      <c r="U3015" s="19"/>
      <c r="V3015" s="19"/>
    </row>
    <row r="3016">
      <c r="A3016" s="25"/>
      <c r="B3016" s="19"/>
      <c r="C3016" s="19"/>
      <c r="D3016" s="19"/>
      <c r="E3016" s="19"/>
      <c r="F3016" s="17" t="str">
        <f>IFERROR(__xludf.DUMMYFUNCTION("""COMPUTED_VALUE"""),"")</f>
        <v/>
      </c>
      <c r="G3016" s="20"/>
      <c r="H3016" s="19"/>
      <c r="I3016" s="19"/>
      <c r="J3016" s="19"/>
      <c r="K3016" s="19"/>
      <c r="L3016" s="19"/>
      <c r="M3016" s="19"/>
      <c r="N3016" s="20" t="s">
        <v>39</v>
      </c>
      <c r="O3016" s="19"/>
      <c r="P3016" s="19"/>
      <c r="Q3016" s="19"/>
      <c r="R3016" s="19"/>
      <c r="S3016" s="19"/>
      <c r="T3016" s="19"/>
      <c r="U3016" s="19"/>
      <c r="V3016" s="19"/>
    </row>
    <row r="3017">
      <c r="A3017" s="25"/>
      <c r="B3017" s="19"/>
      <c r="C3017" s="19"/>
      <c r="D3017" s="19"/>
      <c r="E3017" s="19"/>
      <c r="F3017" s="17" t="str">
        <f>IFERROR(__xludf.DUMMYFUNCTION("""COMPUTED_VALUE"""),"")</f>
        <v/>
      </c>
      <c r="G3017" s="20"/>
      <c r="H3017" s="19"/>
      <c r="I3017" s="19"/>
      <c r="J3017" s="19"/>
      <c r="K3017" s="19"/>
      <c r="L3017" s="19"/>
      <c r="M3017" s="19"/>
      <c r="N3017" s="20" t="s">
        <v>39</v>
      </c>
      <c r="O3017" s="19"/>
      <c r="P3017" s="19"/>
      <c r="Q3017" s="19"/>
      <c r="R3017" s="19"/>
      <c r="S3017" s="19"/>
      <c r="T3017" s="19"/>
      <c r="U3017" s="19"/>
      <c r="V3017" s="19"/>
    </row>
    <row r="3018">
      <c r="A3018" s="25"/>
      <c r="B3018" s="19"/>
      <c r="C3018" s="19"/>
      <c r="D3018" s="19"/>
      <c r="E3018" s="19"/>
      <c r="F3018" s="17" t="str">
        <f>IFERROR(__xludf.DUMMYFUNCTION("""COMPUTED_VALUE"""),"")</f>
        <v/>
      </c>
      <c r="G3018" s="20"/>
      <c r="H3018" s="19"/>
      <c r="I3018" s="19"/>
      <c r="J3018" s="19"/>
      <c r="K3018" s="19"/>
      <c r="L3018" s="19"/>
      <c r="M3018" s="19"/>
      <c r="N3018" s="20" t="s">
        <v>39</v>
      </c>
      <c r="O3018" s="19"/>
      <c r="P3018" s="19"/>
      <c r="Q3018" s="19"/>
      <c r="R3018" s="19"/>
      <c r="S3018" s="19"/>
      <c r="T3018" s="19"/>
      <c r="U3018" s="19"/>
      <c r="V3018" s="19"/>
    </row>
    <row r="3019">
      <c r="A3019" s="25"/>
      <c r="B3019" s="19"/>
      <c r="C3019" s="19"/>
      <c r="D3019" s="19"/>
      <c r="E3019" s="19"/>
      <c r="F3019" s="17" t="str">
        <f>IFERROR(__xludf.DUMMYFUNCTION("""COMPUTED_VALUE"""),"")</f>
        <v/>
      </c>
      <c r="G3019" s="20"/>
      <c r="H3019" s="19"/>
      <c r="I3019" s="19"/>
      <c r="J3019" s="19"/>
      <c r="K3019" s="19"/>
      <c r="L3019" s="19"/>
      <c r="M3019" s="19"/>
      <c r="N3019" s="20" t="s">
        <v>39</v>
      </c>
      <c r="O3019" s="19"/>
      <c r="P3019" s="19"/>
      <c r="Q3019" s="19"/>
      <c r="R3019" s="19"/>
      <c r="S3019" s="19"/>
      <c r="T3019" s="19"/>
      <c r="U3019" s="19"/>
      <c r="V3019" s="19"/>
    </row>
    <row r="3020">
      <c r="A3020" s="25"/>
      <c r="B3020" s="19"/>
      <c r="C3020" s="19"/>
      <c r="D3020" s="19"/>
      <c r="E3020" s="19"/>
      <c r="F3020" s="17" t="str">
        <f>IFERROR(__xludf.DUMMYFUNCTION("""COMPUTED_VALUE"""),"")</f>
        <v/>
      </c>
      <c r="G3020" s="20"/>
      <c r="H3020" s="19"/>
      <c r="I3020" s="19"/>
      <c r="J3020" s="19"/>
      <c r="K3020" s="19"/>
      <c r="L3020" s="19"/>
      <c r="M3020" s="19"/>
      <c r="N3020" s="20" t="s">
        <v>39</v>
      </c>
      <c r="O3020" s="19"/>
      <c r="P3020" s="19"/>
      <c r="Q3020" s="19"/>
      <c r="R3020" s="19"/>
      <c r="S3020" s="19"/>
      <c r="T3020" s="19"/>
      <c r="U3020" s="19"/>
      <c r="V3020" s="19"/>
    </row>
    <row r="3021">
      <c r="A3021" s="25"/>
      <c r="B3021" s="19"/>
      <c r="C3021" s="19"/>
      <c r="D3021" s="19"/>
      <c r="E3021" s="19"/>
      <c r="F3021" s="17" t="str">
        <f>IFERROR(__xludf.DUMMYFUNCTION("""COMPUTED_VALUE"""),"")</f>
        <v/>
      </c>
      <c r="G3021" s="20"/>
      <c r="H3021" s="19"/>
      <c r="I3021" s="19"/>
      <c r="J3021" s="19"/>
      <c r="K3021" s="19"/>
      <c r="L3021" s="19"/>
      <c r="M3021" s="19"/>
      <c r="N3021" s="20" t="s">
        <v>39</v>
      </c>
      <c r="O3021" s="19"/>
      <c r="P3021" s="19"/>
      <c r="Q3021" s="19"/>
      <c r="R3021" s="19"/>
      <c r="S3021" s="19"/>
      <c r="T3021" s="19"/>
      <c r="U3021" s="19"/>
      <c r="V3021" s="19"/>
    </row>
    <row r="3022">
      <c r="A3022" s="25"/>
      <c r="B3022" s="19"/>
      <c r="C3022" s="19"/>
      <c r="D3022" s="19"/>
      <c r="E3022" s="19"/>
      <c r="F3022" s="17" t="str">
        <f>IFERROR(__xludf.DUMMYFUNCTION("""COMPUTED_VALUE"""),"")</f>
        <v/>
      </c>
      <c r="G3022" s="20"/>
      <c r="H3022" s="19"/>
      <c r="I3022" s="19"/>
      <c r="J3022" s="19"/>
      <c r="K3022" s="19"/>
      <c r="L3022" s="19"/>
      <c r="M3022" s="19"/>
      <c r="N3022" s="20" t="s">
        <v>39</v>
      </c>
      <c r="O3022" s="19"/>
      <c r="P3022" s="19"/>
      <c r="Q3022" s="19"/>
      <c r="R3022" s="19"/>
      <c r="S3022" s="19"/>
      <c r="T3022" s="19"/>
      <c r="U3022" s="19"/>
      <c r="V3022" s="19"/>
    </row>
    <row r="3023">
      <c r="A3023" s="25"/>
      <c r="B3023" s="19"/>
      <c r="C3023" s="19"/>
      <c r="D3023" s="19"/>
      <c r="E3023" s="19"/>
      <c r="F3023" s="17" t="str">
        <f>IFERROR(__xludf.DUMMYFUNCTION("""COMPUTED_VALUE"""),"")</f>
        <v/>
      </c>
      <c r="G3023" s="20"/>
      <c r="H3023" s="19"/>
      <c r="I3023" s="19"/>
      <c r="J3023" s="19"/>
      <c r="K3023" s="19"/>
      <c r="L3023" s="19"/>
      <c r="M3023" s="19"/>
      <c r="N3023" s="20" t="s">
        <v>39</v>
      </c>
      <c r="O3023" s="19"/>
      <c r="P3023" s="19"/>
      <c r="Q3023" s="19"/>
      <c r="R3023" s="19"/>
      <c r="S3023" s="19"/>
      <c r="T3023" s="19"/>
      <c r="U3023" s="19"/>
      <c r="V3023" s="19"/>
    </row>
    <row r="3024">
      <c r="A3024" s="25"/>
      <c r="B3024" s="19"/>
      <c r="C3024" s="19"/>
      <c r="D3024" s="19"/>
      <c r="E3024" s="19"/>
      <c r="F3024" s="17" t="str">
        <f>IFERROR(__xludf.DUMMYFUNCTION("""COMPUTED_VALUE"""),"")</f>
        <v/>
      </c>
      <c r="G3024" s="20"/>
      <c r="H3024" s="19"/>
      <c r="I3024" s="19"/>
      <c r="J3024" s="19"/>
      <c r="K3024" s="19"/>
      <c r="L3024" s="19"/>
      <c r="M3024" s="19"/>
      <c r="N3024" s="20" t="s">
        <v>39</v>
      </c>
      <c r="O3024" s="19"/>
      <c r="P3024" s="19"/>
      <c r="Q3024" s="19"/>
      <c r="R3024" s="19"/>
      <c r="S3024" s="19"/>
      <c r="T3024" s="19"/>
      <c r="U3024" s="19"/>
      <c r="V3024" s="19"/>
    </row>
    <row r="3025">
      <c r="A3025" s="25"/>
      <c r="B3025" s="19"/>
      <c r="C3025" s="19"/>
      <c r="D3025" s="19"/>
      <c r="E3025" s="19"/>
      <c r="F3025" s="17" t="str">
        <f>IFERROR(__xludf.DUMMYFUNCTION("""COMPUTED_VALUE"""),"")</f>
        <v/>
      </c>
      <c r="G3025" s="20"/>
      <c r="H3025" s="19"/>
      <c r="I3025" s="19"/>
      <c r="J3025" s="19"/>
      <c r="K3025" s="19"/>
      <c r="L3025" s="19"/>
      <c r="M3025" s="19"/>
      <c r="N3025" s="20" t="s">
        <v>39</v>
      </c>
      <c r="O3025" s="19"/>
      <c r="P3025" s="19"/>
      <c r="Q3025" s="19"/>
      <c r="R3025" s="19"/>
      <c r="S3025" s="19"/>
      <c r="T3025" s="19"/>
      <c r="U3025" s="19"/>
      <c r="V3025" s="19"/>
    </row>
    <row r="3026">
      <c r="A3026" s="25"/>
      <c r="B3026" s="19"/>
      <c r="C3026" s="19"/>
      <c r="D3026" s="19"/>
      <c r="E3026" s="19"/>
      <c r="F3026" s="17" t="str">
        <f>IFERROR(__xludf.DUMMYFUNCTION("""COMPUTED_VALUE"""),"")</f>
        <v/>
      </c>
      <c r="G3026" s="20"/>
      <c r="H3026" s="19"/>
      <c r="I3026" s="19"/>
      <c r="J3026" s="19"/>
      <c r="K3026" s="19"/>
      <c r="L3026" s="19"/>
      <c r="M3026" s="19"/>
      <c r="N3026" s="20" t="s">
        <v>39</v>
      </c>
      <c r="O3026" s="19"/>
      <c r="P3026" s="19"/>
      <c r="Q3026" s="19"/>
      <c r="R3026" s="19"/>
      <c r="S3026" s="19"/>
      <c r="T3026" s="19"/>
      <c r="U3026" s="19"/>
      <c r="V3026" s="19"/>
    </row>
    <row r="3027">
      <c r="A3027" s="25"/>
      <c r="B3027" s="19"/>
      <c r="C3027" s="19"/>
      <c r="D3027" s="19"/>
      <c r="E3027" s="19"/>
      <c r="F3027" s="17" t="str">
        <f>IFERROR(__xludf.DUMMYFUNCTION("""COMPUTED_VALUE"""),"")</f>
        <v/>
      </c>
      <c r="G3027" s="20"/>
      <c r="H3027" s="19"/>
      <c r="I3027" s="19"/>
      <c r="J3027" s="19"/>
      <c r="K3027" s="19"/>
      <c r="L3027" s="19"/>
      <c r="M3027" s="19"/>
      <c r="N3027" s="20" t="s">
        <v>39</v>
      </c>
      <c r="O3027" s="19"/>
      <c r="P3027" s="19"/>
      <c r="Q3027" s="19"/>
      <c r="R3027" s="19"/>
      <c r="S3027" s="19"/>
      <c r="T3027" s="19"/>
      <c r="U3027" s="19"/>
      <c r="V3027" s="19"/>
    </row>
    <row r="3028">
      <c r="A3028" s="25"/>
      <c r="B3028" s="19"/>
      <c r="C3028" s="19"/>
      <c r="D3028" s="19"/>
      <c r="E3028" s="19"/>
      <c r="F3028" s="17" t="str">
        <f>IFERROR(__xludf.DUMMYFUNCTION("""COMPUTED_VALUE"""),"")</f>
        <v/>
      </c>
      <c r="G3028" s="20"/>
      <c r="H3028" s="19"/>
      <c r="I3028" s="19"/>
      <c r="J3028" s="19"/>
      <c r="K3028" s="19"/>
      <c r="L3028" s="19"/>
      <c r="M3028" s="19"/>
      <c r="N3028" s="20" t="s">
        <v>39</v>
      </c>
      <c r="O3028" s="19"/>
      <c r="P3028" s="19"/>
      <c r="Q3028" s="19"/>
      <c r="R3028" s="19"/>
      <c r="S3028" s="19"/>
      <c r="T3028" s="19"/>
      <c r="U3028" s="19"/>
      <c r="V3028" s="19"/>
    </row>
    <row r="3029">
      <c r="A3029" s="25"/>
      <c r="B3029" s="19"/>
      <c r="C3029" s="19"/>
      <c r="D3029" s="19"/>
      <c r="E3029" s="19"/>
      <c r="F3029" s="17" t="str">
        <f>IFERROR(__xludf.DUMMYFUNCTION("""COMPUTED_VALUE"""),"")</f>
        <v/>
      </c>
      <c r="G3029" s="20"/>
      <c r="H3029" s="19"/>
      <c r="I3029" s="19"/>
      <c r="J3029" s="19"/>
      <c r="K3029" s="19"/>
      <c r="L3029" s="19"/>
      <c r="M3029" s="19"/>
      <c r="N3029" s="20" t="s">
        <v>39</v>
      </c>
      <c r="O3029" s="19"/>
      <c r="P3029" s="19"/>
      <c r="Q3029" s="19"/>
      <c r="R3029" s="19"/>
      <c r="S3029" s="19"/>
      <c r="T3029" s="19"/>
      <c r="U3029" s="19"/>
      <c r="V3029" s="19"/>
    </row>
    <row r="3030">
      <c r="A3030" s="25"/>
      <c r="B3030" s="19"/>
      <c r="C3030" s="19"/>
      <c r="D3030" s="19"/>
      <c r="E3030" s="19"/>
      <c r="F3030" s="17" t="str">
        <f>IFERROR(__xludf.DUMMYFUNCTION("""COMPUTED_VALUE"""),"")</f>
        <v/>
      </c>
      <c r="G3030" s="20"/>
      <c r="H3030" s="19"/>
      <c r="I3030" s="19"/>
      <c r="J3030" s="19"/>
      <c r="K3030" s="19"/>
      <c r="L3030" s="19"/>
      <c r="M3030" s="19"/>
      <c r="N3030" s="20" t="s">
        <v>39</v>
      </c>
      <c r="O3030" s="19"/>
      <c r="P3030" s="19"/>
      <c r="Q3030" s="19"/>
      <c r="R3030" s="19"/>
      <c r="S3030" s="19"/>
      <c r="T3030" s="19"/>
      <c r="U3030" s="19"/>
      <c r="V3030" s="19"/>
    </row>
    <row r="3031">
      <c r="A3031" s="25"/>
      <c r="B3031" s="19"/>
      <c r="C3031" s="19"/>
      <c r="D3031" s="19"/>
      <c r="E3031" s="19"/>
      <c r="F3031" s="17" t="str">
        <f>IFERROR(__xludf.DUMMYFUNCTION("""COMPUTED_VALUE"""),"")</f>
        <v/>
      </c>
      <c r="G3031" s="20"/>
      <c r="H3031" s="19"/>
      <c r="I3031" s="19"/>
      <c r="J3031" s="19"/>
      <c r="K3031" s="19"/>
      <c r="L3031" s="19"/>
      <c r="M3031" s="19"/>
      <c r="N3031" s="20" t="s">
        <v>39</v>
      </c>
      <c r="O3031" s="19"/>
      <c r="P3031" s="19"/>
      <c r="Q3031" s="19"/>
      <c r="R3031" s="19"/>
      <c r="S3031" s="19"/>
      <c r="T3031" s="19"/>
      <c r="U3031" s="19"/>
      <c r="V3031" s="19"/>
    </row>
    <row r="3032">
      <c r="A3032" s="25"/>
      <c r="B3032" s="19"/>
      <c r="C3032" s="19"/>
      <c r="D3032" s="19"/>
      <c r="E3032" s="19"/>
      <c r="F3032" s="17" t="str">
        <f>IFERROR(__xludf.DUMMYFUNCTION("""COMPUTED_VALUE"""),"")</f>
        <v/>
      </c>
      <c r="G3032" s="20"/>
      <c r="H3032" s="19"/>
      <c r="I3032" s="19"/>
      <c r="J3032" s="19"/>
      <c r="K3032" s="19"/>
      <c r="L3032" s="19"/>
      <c r="M3032" s="19"/>
      <c r="N3032" s="20" t="s">
        <v>39</v>
      </c>
      <c r="O3032" s="19"/>
      <c r="P3032" s="19"/>
      <c r="Q3032" s="19"/>
      <c r="R3032" s="19"/>
      <c r="S3032" s="19"/>
      <c r="T3032" s="19"/>
      <c r="U3032" s="19"/>
      <c r="V3032" s="19"/>
    </row>
    <row r="3033">
      <c r="A3033" s="25"/>
      <c r="B3033" s="19"/>
      <c r="C3033" s="19"/>
      <c r="D3033" s="19"/>
      <c r="E3033" s="19"/>
      <c r="F3033" s="17" t="str">
        <f>IFERROR(__xludf.DUMMYFUNCTION("""COMPUTED_VALUE"""),"")</f>
        <v/>
      </c>
      <c r="G3033" s="20"/>
      <c r="H3033" s="19"/>
      <c r="I3033" s="19"/>
      <c r="J3033" s="19"/>
      <c r="K3033" s="19"/>
      <c r="L3033" s="19"/>
      <c r="M3033" s="19"/>
      <c r="N3033" s="20" t="s">
        <v>39</v>
      </c>
      <c r="O3033" s="19"/>
      <c r="P3033" s="19"/>
      <c r="Q3033" s="19"/>
      <c r="R3033" s="19"/>
      <c r="S3033" s="19"/>
      <c r="T3033" s="19"/>
      <c r="U3033" s="19"/>
      <c r="V3033" s="19"/>
    </row>
    <row r="3034">
      <c r="A3034" s="25"/>
      <c r="B3034" s="19"/>
      <c r="C3034" s="19"/>
      <c r="D3034" s="19"/>
      <c r="E3034" s="19"/>
      <c r="F3034" s="17" t="str">
        <f>IFERROR(__xludf.DUMMYFUNCTION("""COMPUTED_VALUE"""),"")</f>
        <v/>
      </c>
      <c r="G3034" s="20"/>
      <c r="H3034" s="19"/>
      <c r="I3034" s="19"/>
      <c r="J3034" s="19"/>
      <c r="K3034" s="19"/>
      <c r="L3034" s="19"/>
      <c r="M3034" s="19"/>
      <c r="N3034" s="20" t="s">
        <v>39</v>
      </c>
      <c r="O3034" s="19"/>
      <c r="P3034" s="19"/>
      <c r="Q3034" s="19"/>
      <c r="R3034" s="19"/>
      <c r="S3034" s="19"/>
      <c r="T3034" s="19"/>
      <c r="U3034" s="19"/>
      <c r="V3034" s="19"/>
    </row>
    <row r="3035">
      <c r="A3035" s="25"/>
      <c r="B3035" s="19"/>
      <c r="C3035" s="19"/>
      <c r="D3035" s="19"/>
      <c r="E3035" s="19"/>
      <c r="F3035" s="17" t="str">
        <f>IFERROR(__xludf.DUMMYFUNCTION("""COMPUTED_VALUE"""),"")</f>
        <v/>
      </c>
      <c r="G3035" s="20"/>
      <c r="H3035" s="19"/>
      <c r="I3035" s="19"/>
      <c r="J3035" s="19"/>
      <c r="K3035" s="19"/>
      <c r="L3035" s="19"/>
      <c r="M3035" s="19"/>
      <c r="N3035" s="20" t="s">
        <v>39</v>
      </c>
      <c r="O3035" s="19"/>
      <c r="P3035" s="19"/>
      <c r="Q3035" s="19"/>
      <c r="R3035" s="19"/>
      <c r="S3035" s="19"/>
      <c r="T3035" s="19"/>
      <c r="U3035" s="19"/>
      <c r="V3035" s="19"/>
    </row>
    <row r="3036">
      <c r="A3036" s="25"/>
      <c r="B3036" s="19"/>
      <c r="C3036" s="19"/>
      <c r="D3036" s="19"/>
      <c r="E3036" s="19"/>
      <c r="F3036" s="17" t="str">
        <f>IFERROR(__xludf.DUMMYFUNCTION("""COMPUTED_VALUE"""),"")</f>
        <v/>
      </c>
      <c r="G3036" s="20"/>
      <c r="H3036" s="19"/>
      <c r="I3036" s="19"/>
      <c r="J3036" s="19"/>
      <c r="K3036" s="19"/>
      <c r="L3036" s="19"/>
      <c r="M3036" s="19"/>
      <c r="N3036" s="20" t="s">
        <v>39</v>
      </c>
      <c r="O3036" s="19"/>
      <c r="P3036" s="19"/>
      <c r="Q3036" s="19"/>
      <c r="R3036" s="19"/>
      <c r="S3036" s="19"/>
      <c r="T3036" s="19"/>
      <c r="U3036" s="19"/>
      <c r="V3036" s="19"/>
    </row>
    <row r="3037">
      <c r="A3037" s="25"/>
      <c r="B3037" s="19"/>
      <c r="C3037" s="19"/>
      <c r="D3037" s="19"/>
      <c r="E3037" s="19"/>
      <c r="F3037" s="17" t="str">
        <f>IFERROR(__xludf.DUMMYFUNCTION("""COMPUTED_VALUE"""),"")</f>
        <v/>
      </c>
      <c r="G3037" s="20"/>
      <c r="H3037" s="19"/>
      <c r="I3037" s="19"/>
      <c r="J3037" s="19"/>
      <c r="K3037" s="19"/>
      <c r="L3037" s="19"/>
      <c r="M3037" s="19"/>
      <c r="N3037" s="20" t="s">
        <v>39</v>
      </c>
      <c r="O3037" s="19"/>
      <c r="P3037" s="19"/>
      <c r="Q3037" s="19"/>
      <c r="R3037" s="19"/>
      <c r="S3037" s="19"/>
      <c r="T3037" s="19"/>
      <c r="U3037" s="19"/>
      <c r="V3037" s="19"/>
    </row>
    <row r="3038">
      <c r="A3038" s="25"/>
      <c r="B3038" s="19"/>
      <c r="C3038" s="19"/>
      <c r="D3038" s="19"/>
      <c r="E3038" s="19"/>
      <c r="F3038" s="17" t="str">
        <f>IFERROR(__xludf.DUMMYFUNCTION("""COMPUTED_VALUE"""),"")</f>
        <v/>
      </c>
      <c r="G3038" s="20"/>
      <c r="H3038" s="19"/>
      <c r="I3038" s="19"/>
      <c r="J3038" s="19"/>
      <c r="K3038" s="19"/>
      <c r="L3038" s="19"/>
      <c r="M3038" s="19"/>
      <c r="N3038" s="20" t="s">
        <v>39</v>
      </c>
      <c r="O3038" s="19"/>
      <c r="P3038" s="19"/>
      <c r="Q3038" s="19"/>
      <c r="R3038" s="19"/>
      <c r="S3038" s="19"/>
      <c r="T3038" s="19"/>
      <c r="U3038" s="19"/>
      <c r="V3038" s="19"/>
    </row>
    <row r="3039">
      <c r="A3039" s="25"/>
      <c r="B3039" s="19"/>
      <c r="C3039" s="19"/>
      <c r="D3039" s="19"/>
      <c r="E3039" s="19"/>
      <c r="F3039" s="17" t="str">
        <f>IFERROR(__xludf.DUMMYFUNCTION("""COMPUTED_VALUE"""),"")</f>
        <v/>
      </c>
      <c r="G3039" s="20"/>
      <c r="H3039" s="19"/>
      <c r="I3039" s="19"/>
      <c r="J3039" s="19"/>
      <c r="K3039" s="19"/>
      <c r="L3039" s="19"/>
      <c r="M3039" s="19"/>
      <c r="N3039" s="20" t="s">
        <v>39</v>
      </c>
      <c r="O3039" s="19"/>
      <c r="P3039" s="19"/>
      <c r="Q3039" s="19"/>
      <c r="R3039" s="19"/>
      <c r="S3039" s="19"/>
      <c r="T3039" s="19"/>
      <c r="U3039" s="19"/>
      <c r="V3039" s="19"/>
    </row>
    <row r="3040">
      <c r="A3040" s="25"/>
      <c r="B3040" s="19"/>
      <c r="C3040" s="19"/>
      <c r="D3040" s="19"/>
      <c r="E3040" s="19"/>
      <c r="F3040" s="17" t="str">
        <f>IFERROR(__xludf.DUMMYFUNCTION("""COMPUTED_VALUE"""),"")</f>
        <v/>
      </c>
      <c r="G3040" s="20"/>
      <c r="H3040" s="19"/>
      <c r="I3040" s="19"/>
      <c r="J3040" s="19"/>
      <c r="K3040" s="19"/>
      <c r="L3040" s="19"/>
      <c r="M3040" s="19"/>
      <c r="N3040" s="20" t="s">
        <v>39</v>
      </c>
      <c r="O3040" s="19"/>
      <c r="P3040" s="19"/>
      <c r="Q3040" s="19"/>
      <c r="R3040" s="19"/>
      <c r="S3040" s="19"/>
      <c r="T3040" s="19"/>
      <c r="U3040" s="19"/>
      <c r="V3040" s="19"/>
    </row>
    <row r="3041">
      <c r="A3041" s="25"/>
      <c r="B3041" s="19"/>
      <c r="C3041" s="19"/>
      <c r="D3041" s="19"/>
      <c r="E3041" s="19"/>
      <c r="F3041" s="17" t="str">
        <f>IFERROR(__xludf.DUMMYFUNCTION("""COMPUTED_VALUE"""),"")</f>
        <v/>
      </c>
      <c r="G3041" s="20"/>
      <c r="H3041" s="19"/>
      <c r="I3041" s="19"/>
      <c r="J3041" s="19"/>
      <c r="K3041" s="19"/>
      <c r="L3041" s="19"/>
      <c r="M3041" s="19"/>
      <c r="N3041" s="20" t="s">
        <v>39</v>
      </c>
      <c r="O3041" s="19"/>
      <c r="P3041" s="19"/>
      <c r="Q3041" s="19"/>
      <c r="R3041" s="19"/>
      <c r="S3041" s="19"/>
      <c r="T3041" s="19"/>
      <c r="U3041" s="19"/>
      <c r="V3041" s="19"/>
    </row>
    <row r="3042">
      <c r="A3042" s="25"/>
      <c r="B3042" s="19"/>
      <c r="C3042" s="19"/>
      <c r="D3042" s="19"/>
      <c r="E3042" s="19"/>
      <c r="F3042" s="17" t="str">
        <f>IFERROR(__xludf.DUMMYFUNCTION("""COMPUTED_VALUE"""),"")</f>
        <v/>
      </c>
      <c r="G3042" s="20"/>
      <c r="H3042" s="19"/>
      <c r="I3042" s="19"/>
      <c r="J3042" s="19"/>
      <c r="K3042" s="19"/>
      <c r="L3042" s="19"/>
      <c r="M3042" s="19"/>
      <c r="N3042" s="20" t="s">
        <v>39</v>
      </c>
      <c r="O3042" s="19"/>
      <c r="P3042" s="19"/>
      <c r="Q3042" s="19"/>
      <c r="R3042" s="19"/>
      <c r="S3042" s="19"/>
      <c r="T3042" s="19"/>
      <c r="U3042" s="19"/>
      <c r="V3042" s="19"/>
    </row>
    <row r="3043">
      <c r="A3043" s="25"/>
      <c r="B3043" s="19"/>
      <c r="C3043" s="19"/>
      <c r="D3043" s="19"/>
      <c r="E3043" s="19"/>
      <c r="F3043" s="17" t="str">
        <f>IFERROR(__xludf.DUMMYFUNCTION("""COMPUTED_VALUE"""),"")</f>
        <v/>
      </c>
      <c r="G3043" s="20"/>
      <c r="H3043" s="19"/>
      <c r="I3043" s="19"/>
      <c r="J3043" s="19"/>
      <c r="K3043" s="19"/>
      <c r="L3043" s="19"/>
      <c r="M3043" s="19"/>
      <c r="N3043" s="20" t="s">
        <v>39</v>
      </c>
      <c r="O3043" s="19"/>
      <c r="P3043" s="19"/>
      <c r="Q3043" s="19"/>
      <c r="R3043" s="19"/>
      <c r="S3043" s="19"/>
      <c r="T3043" s="19"/>
      <c r="U3043" s="19"/>
      <c r="V3043" s="19"/>
    </row>
    <row r="3044">
      <c r="A3044" s="25"/>
      <c r="B3044" s="19"/>
      <c r="C3044" s="19"/>
      <c r="D3044" s="19"/>
      <c r="E3044" s="19"/>
      <c r="F3044" s="17" t="str">
        <f>IFERROR(__xludf.DUMMYFUNCTION("""COMPUTED_VALUE"""),"")</f>
        <v/>
      </c>
      <c r="G3044" s="20"/>
      <c r="H3044" s="19"/>
      <c r="I3044" s="19"/>
      <c r="J3044" s="19"/>
      <c r="K3044" s="19"/>
      <c r="L3044" s="19"/>
      <c r="M3044" s="19"/>
      <c r="N3044" s="20" t="s">
        <v>39</v>
      </c>
      <c r="O3044" s="19"/>
      <c r="P3044" s="19"/>
      <c r="Q3044" s="19"/>
      <c r="R3044" s="19"/>
      <c r="S3044" s="19"/>
      <c r="T3044" s="19"/>
      <c r="U3044" s="19"/>
      <c r="V3044" s="19"/>
    </row>
    <row r="3045">
      <c r="A3045" s="25"/>
      <c r="B3045" s="19"/>
      <c r="C3045" s="19"/>
      <c r="D3045" s="19"/>
      <c r="E3045" s="19"/>
      <c r="F3045" s="17" t="str">
        <f>IFERROR(__xludf.DUMMYFUNCTION("""COMPUTED_VALUE"""),"")</f>
        <v/>
      </c>
      <c r="G3045" s="20"/>
      <c r="H3045" s="19"/>
      <c r="I3045" s="19"/>
      <c r="J3045" s="19"/>
      <c r="K3045" s="19"/>
      <c r="L3045" s="19"/>
      <c r="M3045" s="19"/>
      <c r="N3045" s="20" t="s">
        <v>39</v>
      </c>
      <c r="O3045" s="19"/>
      <c r="P3045" s="19"/>
      <c r="Q3045" s="19"/>
      <c r="R3045" s="19"/>
      <c r="S3045" s="19"/>
      <c r="T3045" s="19"/>
      <c r="U3045" s="19"/>
      <c r="V3045" s="19"/>
    </row>
    <row r="3046">
      <c r="A3046" s="25"/>
      <c r="B3046" s="19"/>
      <c r="C3046" s="19"/>
      <c r="D3046" s="19"/>
      <c r="E3046" s="19"/>
      <c r="F3046" s="17" t="str">
        <f>IFERROR(__xludf.DUMMYFUNCTION("""COMPUTED_VALUE"""),"")</f>
        <v/>
      </c>
      <c r="G3046" s="20"/>
      <c r="H3046" s="19"/>
      <c r="I3046" s="19"/>
      <c r="J3046" s="19"/>
      <c r="K3046" s="19"/>
      <c r="L3046" s="19"/>
      <c r="M3046" s="19"/>
      <c r="N3046" s="20" t="s">
        <v>39</v>
      </c>
      <c r="O3046" s="19"/>
      <c r="P3046" s="19"/>
      <c r="Q3046" s="19"/>
      <c r="R3046" s="19"/>
      <c r="S3046" s="19"/>
      <c r="T3046" s="19"/>
      <c r="U3046" s="19"/>
      <c r="V3046" s="19"/>
    </row>
    <row r="3047">
      <c r="A3047" s="25"/>
      <c r="B3047" s="19"/>
      <c r="C3047" s="19"/>
      <c r="D3047" s="19"/>
      <c r="E3047" s="19"/>
      <c r="F3047" s="17" t="str">
        <f>IFERROR(__xludf.DUMMYFUNCTION("""COMPUTED_VALUE"""),"")</f>
        <v/>
      </c>
      <c r="G3047" s="20"/>
      <c r="H3047" s="19"/>
      <c r="I3047" s="19"/>
      <c r="J3047" s="19"/>
      <c r="K3047" s="19"/>
      <c r="L3047" s="19"/>
      <c r="M3047" s="19"/>
      <c r="N3047" s="20" t="s">
        <v>39</v>
      </c>
      <c r="O3047" s="19"/>
      <c r="P3047" s="19"/>
      <c r="Q3047" s="19"/>
      <c r="R3047" s="19"/>
      <c r="S3047" s="19"/>
      <c r="T3047" s="19"/>
      <c r="U3047" s="19"/>
      <c r="V3047" s="19"/>
    </row>
    <row r="3048">
      <c r="A3048" s="25"/>
      <c r="B3048" s="19"/>
      <c r="C3048" s="19"/>
      <c r="D3048" s="19"/>
      <c r="E3048" s="19"/>
      <c r="F3048" s="17" t="str">
        <f>IFERROR(__xludf.DUMMYFUNCTION("""COMPUTED_VALUE"""),"")</f>
        <v/>
      </c>
      <c r="G3048" s="20"/>
      <c r="H3048" s="19"/>
      <c r="I3048" s="19"/>
      <c r="J3048" s="19"/>
      <c r="K3048" s="19"/>
      <c r="L3048" s="19"/>
      <c r="M3048" s="19"/>
      <c r="N3048" s="20" t="s">
        <v>39</v>
      </c>
      <c r="O3048" s="19"/>
      <c r="P3048" s="19"/>
      <c r="Q3048" s="19"/>
      <c r="R3048" s="19"/>
      <c r="S3048" s="19"/>
      <c r="T3048" s="19"/>
      <c r="U3048" s="19"/>
      <c r="V3048" s="19"/>
    </row>
    <row r="3049">
      <c r="A3049" s="25"/>
      <c r="B3049" s="19"/>
      <c r="C3049" s="19"/>
      <c r="D3049" s="19"/>
      <c r="E3049" s="19"/>
      <c r="F3049" s="17" t="str">
        <f>IFERROR(__xludf.DUMMYFUNCTION("""COMPUTED_VALUE"""),"")</f>
        <v/>
      </c>
      <c r="G3049" s="20"/>
      <c r="H3049" s="19"/>
      <c r="I3049" s="19"/>
      <c r="J3049" s="19"/>
      <c r="K3049" s="19"/>
      <c r="L3049" s="19"/>
      <c r="M3049" s="19"/>
      <c r="N3049" s="20" t="s">
        <v>39</v>
      </c>
      <c r="O3049" s="19"/>
      <c r="P3049" s="19"/>
      <c r="Q3049" s="19"/>
      <c r="R3049" s="19"/>
      <c r="S3049" s="19"/>
      <c r="T3049" s="19"/>
      <c r="U3049" s="19"/>
      <c r="V3049" s="19"/>
    </row>
    <row r="3050">
      <c r="A3050" s="25"/>
      <c r="B3050" s="19"/>
      <c r="C3050" s="19"/>
      <c r="D3050" s="19"/>
      <c r="E3050" s="19"/>
      <c r="F3050" s="17" t="str">
        <f>IFERROR(__xludf.DUMMYFUNCTION("""COMPUTED_VALUE"""),"")</f>
        <v/>
      </c>
      <c r="G3050" s="20"/>
      <c r="H3050" s="19"/>
      <c r="I3050" s="19"/>
      <c r="J3050" s="19"/>
      <c r="K3050" s="19"/>
      <c r="L3050" s="19"/>
      <c r="M3050" s="19"/>
      <c r="N3050" s="20" t="s">
        <v>39</v>
      </c>
      <c r="O3050" s="19"/>
      <c r="P3050" s="19"/>
      <c r="Q3050" s="19"/>
      <c r="R3050" s="19"/>
      <c r="S3050" s="19"/>
      <c r="T3050" s="19"/>
      <c r="U3050" s="19"/>
      <c r="V3050" s="19"/>
    </row>
    <row r="3051">
      <c r="A3051" s="25"/>
      <c r="B3051" s="19"/>
      <c r="C3051" s="19"/>
      <c r="D3051" s="19"/>
      <c r="E3051" s="19"/>
      <c r="F3051" s="17" t="str">
        <f>IFERROR(__xludf.DUMMYFUNCTION("""COMPUTED_VALUE"""),"")</f>
        <v/>
      </c>
      <c r="G3051" s="20"/>
      <c r="H3051" s="19"/>
      <c r="I3051" s="19"/>
      <c r="J3051" s="19"/>
      <c r="K3051" s="19"/>
      <c r="L3051" s="19"/>
      <c r="M3051" s="19"/>
      <c r="N3051" s="20" t="s">
        <v>39</v>
      </c>
      <c r="O3051" s="19"/>
      <c r="P3051" s="19"/>
      <c r="Q3051" s="19"/>
      <c r="R3051" s="19"/>
      <c r="S3051" s="19"/>
      <c r="T3051" s="19"/>
      <c r="U3051" s="19"/>
      <c r="V3051" s="19"/>
    </row>
    <row r="3052">
      <c r="A3052" s="25"/>
      <c r="B3052" s="19"/>
      <c r="C3052" s="19"/>
      <c r="D3052" s="19"/>
      <c r="E3052" s="19"/>
      <c r="F3052" s="17" t="str">
        <f>IFERROR(__xludf.DUMMYFUNCTION("""COMPUTED_VALUE"""),"")</f>
        <v/>
      </c>
      <c r="G3052" s="20"/>
      <c r="H3052" s="19"/>
      <c r="I3052" s="19"/>
      <c r="J3052" s="19"/>
      <c r="K3052" s="19"/>
      <c r="L3052" s="19"/>
      <c r="M3052" s="19"/>
      <c r="N3052" s="20" t="s">
        <v>39</v>
      </c>
      <c r="O3052" s="19"/>
      <c r="P3052" s="19"/>
      <c r="Q3052" s="19"/>
      <c r="R3052" s="19"/>
      <c r="S3052" s="19"/>
      <c r="T3052" s="19"/>
      <c r="U3052" s="19"/>
      <c r="V3052" s="19"/>
    </row>
    <row r="3053">
      <c r="A3053" s="25"/>
      <c r="B3053" s="19"/>
      <c r="C3053" s="19"/>
      <c r="D3053" s="19"/>
      <c r="E3053" s="19"/>
      <c r="F3053" s="17" t="str">
        <f>IFERROR(__xludf.DUMMYFUNCTION("""COMPUTED_VALUE"""),"")</f>
        <v/>
      </c>
      <c r="G3053" s="20"/>
      <c r="H3053" s="19"/>
      <c r="I3053" s="19"/>
      <c r="J3053" s="19"/>
      <c r="K3053" s="19"/>
      <c r="L3053" s="19"/>
      <c r="M3053" s="19"/>
      <c r="N3053" s="20" t="s">
        <v>39</v>
      </c>
      <c r="O3053" s="19"/>
      <c r="P3053" s="19"/>
      <c r="Q3053" s="19"/>
      <c r="R3053" s="19"/>
      <c r="S3053" s="19"/>
      <c r="T3053" s="19"/>
      <c r="U3053" s="19"/>
      <c r="V3053" s="19"/>
    </row>
    <row r="3054">
      <c r="A3054" s="25"/>
      <c r="B3054" s="19"/>
      <c r="C3054" s="19"/>
      <c r="D3054" s="19"/>
      <c r="E3054" s="19"/>
      <c r="F3054" s="17" t="str">
        <f>IFERROR(__xludf.DUMMYFUNCTION("""COMPUTED_VALUE"""),"")</f>
        <v/>
      </c>
      <c r="G3054" s="20"/>
      <c r="H3054" s="19"/>
      <c r="I3054" s="19"/>
      <c r="J3054" s="19"/>
      <c r="K3054" s="19"/>
      <c r="L3054" s="19"/>
      <c r="M3054" s="19"/>
      <c r="N3054" s="20" t="s">
        <v>39</v>
      </c>
      <c r="O3054" s="19"/>
      <c r="P3054" s="19"/>
      <c r="Q3054" s="19"/>
      <c r="R3054" s="19"/>
      <c r="S3054" s="19"/>
      <c r="T3054" s="19"/>
      <c r="U3054" s="19"/>
      <c r="V3054" s="19"/>
    </row>
    <row r="3055">
      <c r="A3055" s="25"/>
      <c r="B3055" s="19"/>
      <c r="C3055" s="19"/>
      <c r="D3055" s="19"/>
      <c r="E3055" s="19"/>
      <c r="F3055" s="17" t="str">
        <f>IFERROR(__xludf.DUMMYFUNCTION("""COMPUTED_VALUE"""),"")</f>
        <v/>
      </c>
      <c r="G3055" s="20"/>
      <c r="H3055" s="19"/>
      <c r="I3055" s="19"/>
      <c r="J3055" s="19"/>
      <c r="K3055" s="19"/>
      <c r="L3055" s="19"/>
      <c r="M3055" s="19"/>
      <c r="N3055" s="20" t="s">
        <v>39</v>
      </c>
      <c r="O3055" s="19"/>
      <c r="P3055" s="19"/>
      <c r="Q3055" s="19"/>
      <c r="R3055" s="19"/>
      <c r="S3055" s="19"/>
      <c r="T3055" s="19"/>
      <c r="U3055" s="19"/>
      <c r="V3055" s="19"/>
    </row>
    <row r="3056">
      <c r="A3056" s="25"/>
      <c r="B3056" s="19"/>
      <c r="C3056" s="19"/>
      <c r="D3056" s="19"/>
      <c r="E3056" s="19"/>
      <c r="F3056" s="17" t="str">
        <f>IFERROR(__xludf.DUMMYFUNCTION("""COMPUTED_VALUE"""),"")</f>
        <v/>
      </c>
      <c r="G3056" s="20"/>
      <c r="H3056" s="19"/>
      <c r="I3056" s="19"/>
      <c r="J3056" s="19"/>
      <c r="K3056" s="19"/>
      <c r="L3056" s="19"/>
      <c r="M3056" s="19"/>
      <c r="N3056" s="20" t="s">
        <v>39</v>
      </c>
      <c r="O3056" s="19"/>
      <c r="P3056" s="19"/>
      <c r="Q3056" s="19"/>
      <c r="R3056" s="19"/>
      <c r="S3056" s="19"/>
      <c r="T3056" s="19"/>
      <c r="U3056" s="19"/>
      <c r="V3056" s="19"/>
    </row>
    <row r="3057">
      <c r="A3057" s="25"/>
      <c r="B3057" s="19"/>
      <c r="C3057" s="19"/>
      <c r="D3057" s="19"/>
      <c r="E3057" s="19"/>
      <c r="F3057" s="17" t="str">
        <f>IFERROR(__xludf.DUMMYFUNCTION("""COMPUTED_VALUE"""),"")</f>
        <v/>
      </c>
      <c r="G3057" s="20"/>
      <c r="H3057" s="19"/>
      <c r="I3057" s="19"/>
      <c r="J3057" s="19"/>
      <c r="K3057" s="19"/>
      <c r="L3057" s="19"/>
      <c r="M3057" s="19"/>
      <c r="N3057" s="20" t="s">
        <v>39</v>
      </c>
      <c r="O3057" s="19"/>
      <c r="P3057" s="19"/>
      <c r="Q3057" s="19"/>
      <c r="R3057" s="19"/>
      <c r="S3057" s="19"/>
      <c r="T3057" s="19"/>
      <c r="U3057" s="19"/>
      <c r="V3057" s="19"/>
    </row>
    <row r="3058">
      <c r="A3058" s="25"/>
      <c r="B3058" s="19"/>
      <c r="C3058" s="19"/>
      <c r="D3058" s="19"/>
      <c r="E3058" s="19"/>
      <c r="F3058" s="17" t="str">
        <f>IFERROR(__xludf.DUMMYFUNCTION("""COMPUTED_VALUE"""),"")</f>
        <v/>
      </c>
      <c r="G3058" s="20"/>
      <c r="H3058" s="19"/>
      <c r="I3058" s="19"/>
      <c r="J3058" s="19"/>
      <c r="K3058" s="19"/>
      <c r="L3058" s="19"/>
      <c r="M3058" s="19"/>
      <c r="N3058" s="20" t="s">
        <v>39</v>
      </c>
      <c r="O3058" s="19"/>
      <c r="P3058" s="19"/>
      <c r="Q3058" s="19"/>
      <c r="R3058" s="19"/>
      <c r="S3058" s="19"/>
      <c r="T3058" s="19"/>
      <c r="U3058" s="19"/>
      <c r="V3058" s="19"/>
    </row>
    <row r="3059">
      <c r="A3059" s="25"/>
      <c r="B3059" s="19"/>
      <c r="C3059" s="19"/>
      <c r="D3059" s="19"/>
      <c r="E3059" s="19"/>
      <c r="F3059" s="17" t="str">
        <f>IFERROR(__xludf.DUMMYFUNCTION("""COMPUTED_VALUE"""),"")</f>
        <v/>
      </c>
      <c r="G3059" s="20"/>
      <c r="H3059" s="19"/>
      <c r="I3059" s="19"/>
      <c r="J3059" s="19"/>
      <c r="K3059" s="19"/>
      <c r="L3059" s="19"/>
      <c r="M3059" s="19"/>
      <c r="N3059" s="20" t="s">
        <v>39</v>
      </c>
      <c r="O3059" s="19"/>
      <c r="P3059" s="19"/>
      <c r="Q3059" s="19"/>
      <c r="R3059" s="19"/>
      <c r="S3059" s="19"/>
      <c r="T3059" s="19"/>
      <c r="U3059" s="19"/>
      <c r="V3059" s="19"/>
    </row>
  </sheetData>
  <autoFilter ref="$A$2:$V$172"/>
  <conditionalFormatting sqref="F3:F3059">
    <cfRule type="expression" dxfId="0" priority="1">
      <formula>AND(LEN(TRIM($F3))&gt;0,      SUMPRODUCT(--(TRIM(UPPER($F$3:$F3))=TRIM(UPPER($F3))))&gt;1)</formula>
    </cfRule>
  </conditionalFormatting>
  <dataValidations>
    <dataValidation type="list" allowBlank="1" showErrorMessage="1" sqref="I280:I3059">
      <formula1>'Plant KEY'!$G$2:$G1255</formula1>
    </dataValidation>
    <dataValidation type="list" allowBlank="1" showErrorMessage="1" sqref="E50:E54">
      <formula1>'Plant KEY'!$H$2:$H1064</formula1>
    </dataValidation>
    <dataValidation type="list" allowBlank="1" showErrorMessage="1" sqref="H65:H69 H88">
      <formula1>'Plant KEY'!$I$2:$I1068</formula1>
    </dataValidation>
    <dataValidation type="list" allowBlank="1" showErrorMessage="1" sqref="E89:E91">
      <formula1>'Plant KEY'!$H$2:$H1077</formula1>
    </dataValidation>
    <dataValidation type="list" allowBlank="1" showErrorMessage="1" sqref="I50:I54">
      <formula1>'Plant KEY'!$G$2:$G1066</formula1>
    </dataValidation>
    <dataValidation type="list" allowBlank="1" showErrorMessage="1" sqref="E60:E64">
      <formula1>'Plant KEY'!$H$2:$H1065</formula1>
    </dataValidation>
    <dataValidation type="list" allowBlank="1" showErrorMessage="1" sqref="E22:E30 E32:E35 E40">
      <formula1>'Plant KEY'!$H$2:$H1045</formula1>
    </dataValidation>
    <dataValidation type="list" allowBlank="1" showErrorMessage="1" sqref="E106:E107">
      <formula1>'Plant KEY'!$H$2:$H1042</formula1>
    </dataValidation>
    <dataValidation type="list" allowBlank="1" showErrorMessage="1" sqref="E126:E128">
      <formula1>'Plant KEY'!$H$2:$H1090</formula1>
    </dataValidation>
    <dataValidation type="list" allowBlank="1" showErrorMessage="1" sqref="I22:I30 I32:I35 I40">
      <formula1>'Plant KEY'!$G$2:$G1047</formula1>
    </dataValidation>
    <dataValidation type="list" allowBlank="1" showErrorMessage="1" sqref="E103">
      <formula1>'Plant KEY'!$H$2:$H1030</formula1>
    </dataValidation>
    <dataValidation type="list" allowBlank="1" showErrorMessage="1" sqref="I83:I86">
      <formula1>'Plant KEY'!$G$2:$G1082</formula1>
    </dataValidation>
    <dataValidation type="list" allowBlank="1" showErrorMessage="1" sqref="H161:H172 H174:H279">
      <formula1>'Plant KEY'!$I$2:$I1132</formula1>
    </dataValidation>
    <dataValidation type="list" allowBlank="1" showErrorMessage="1" sqref="I97">
      <formula1>'Plant KEY'!$G$2:$G1048</formula1>
    </dataValidation>
    <dataValidation type="list" allowBlank="1" showErrorMessage="1" sqref="H92">
      <formula1>'Plant KEY'!$I$2:$I1129</formula1>
    </dataValidation>
    <dataValidation type="list" allowBlank="1" showErrorMessage="1" sqref="I113:I114">
      <formula1>'Plant KEY'!$G$2:$G1051</formula1>
    </dataValidation>
    <dataValidation type="list" allowBlank="1" showErrorMessage="1" sqref="H133:H160">
      <formula1>'Plant KEY'!$I$2:$I1095</formula1>
    </dataValidation>
    <dataValidation type="list" allowBlank="1" showErrorMessage="1" sqref="H94">
      <formula1>'Plant KEY'!$I$2:$I1047</formula1>
    </dataValidation>
    <dataValidation type="list" allowBlank="1" showErrorMessage="1" sqref="I60:I64">
      <formula1>'Plant KEY'!$G$2:$G1067</formula1>
    </dataValidation>
    <dataValidation type="list" allowBlank="1" showErrorMessage="1" sqref="E36:E39">
      <formula1>'Plant KEY'!$H$2:$H1060</formula1>
    </dataValidation>
    <dataValidation type="list" allowBlank="1" showErrorMessage="1" sqref="H105">
      <formula1>'Plant KEY'!$I$2:$I1040</formula1>
    </dataValidation>
    <dataValidation type="list" allowBlank="1" showErrorMessage="1" sqref="H129:H132">
      <formula1>'Plant KEY'!$I$2:$I1090</formula1>
    </dataValidation>
    <dataValidation type="list" allowBlank="1" showErrorMessage="1" sqref="I19:I20">
      <formula1>'Plant KEY'!$G$2:$G1080</formula1>
    </dataValidation>
    <dataValidation type="list" allowBlank="1" showErrorMessage="1" sqref="I44:I46">
      <formula1>'Plant KEY'!$G$2:$G1064</formula1>
    </dataValidation>
    <dataValidation type="list" allowBlank="1" showErrorMessage="1" sqref="E15">
      <formula1>'Plant KEY'!$H$2:$H1044</formula1>
    </dataValidation>
    <dataValidation type="list" allowBlank="1" showErrorMessage="1" sqref="H173">
      <formula1>'Plant KEY'!$I$2:$I1145</formula1>
    </dataValidation>
    <dataValidation type="list" allowBlank="1" showErrorMessage="1" sqref="I87">
      <formula1>'Plant KEY'!$G$2:$G1085</formula1>
    </dataValidation>
    <dataValidation type="list" allowBlank="1" showErrorMessage="1" sqref="H41:H43">
      <formula1>'Plant KEY'!$I$2:$I1063</formula1>
    </dataValidation>
    <dataValidation type="list" allowBlank="1" showErrorMessage="1" sqref="I95">
      <formula1>'Plant KEY'!$G$2:$G1047</formula1>
    </dataValidation>
    <dataValidation type="list" allowBlank="1" showErrorMessage="1" sqref="I36:I39">
      <formula1>'Plant KEY'!$G$2:$G1062</formula1>
    </dataValidation>
    <dataValidation type="list" allowBlank="1" showErrorMessage="1" sqref="E92">
      <formula1>'Plant KEY'!$H$2:$H1129</formula1>
    </dataValidation>
    <dataValidation type="list" allowBlank="1" showErrorMessage="1" sqref="H5:H12">
      <formula1>'Plant KEY'!$I$2:$I1034</formula1>
    </dataValidation>
    <dataValidation type="list" allowBlank="1" showErrorMessage="1" sqref="E115:E125">
      <formula1>'Plant KEY'!$H$2:$H1080</formula1>
    </dataValidation>
    <dataValidation type="list" allowBlank="1" showErrorMessage="1" sqref="H55:H59 H71">
      <formula1>'Plant KEY'!$I$2:$I1066</formula1>
    </dataValidation>
    <dataValidation type="list" allowBlank="1" showErrorMessage="1" sqref="H72:H82">
      <formula1>'Plant KEY'!$I$2:$I1077</formula1>
    </dataValidation>
    <dataValidation type="list" allowBlank="1" showErrorMessage="1" sqref="E70">
      <formula1>'Plant KEY'!$H$2:$H1054</formula1>
    </dataValidation>
    <dataValidation type="list" allowBlank="1" showErrorMessage="1" sqref="E280:E3059">
      <formula1>'Plant KEY'!$H$2:$H1255</formula1>
    </dataValidation>
    <dataValidation type="list" allowBlank="1" showErrorMessage="1" sqref="I89:I91">
      <formula1>'Plant KEY'!$G$2:$G1077</formula1>
    </dataValidation>
    <dataValidation type="list" allowBlank="1" showErrorMessage="1" sqref="H93">
      <formula1>'Plant KEY'!$I$2:$I1128</formula1>
    </dataValidation>
    <dataValidation type="list" allowBlank="1" showErrorMessage="1" sqref="E13:E14 E31">
      <formula1>'Plant KEY'!$H$2:$H1041</formula1>
    </dataValidation>
    <dataValidation type="list" allowBlank="1" showErrorMessage="1" sqref="H36:H39">
      <formula1>'Plant KEY'!$I$2:$I1062</formula1>
    </dataValidation>
    <dataValidation type="list" allowBlank="1" showErrorMessage="1" sqref="H113:H114">
      <formula1>'Plant KEY'!$I$2:$I1051</formula1>
    </dataValidation>
    <dataValidation type="list" allowBlank="1" showErrorMessage="1" sqref="I99:I102 I106:I107">
      <formula1>'Plant KEY'!$G$2:$G1035</formula1>
    </dataValidation>
    <dataValidation type="list" allowBlank="1" showErrorMessage="1" sqref="E104 E108:E112">
      <formula1>'Plant KEY'!$H$2:$H1041</formula1>
    </dataValidation>
    <dataValidation type="list" allowBlank="1" showErrorMessage="1" sqref="H13:H14 H31">
      <formula1>'Plant KEY'!$I$2:$I1043</formula1>
    </dataValidation>
    <dataValidation type="list" allowBlank="1" showErrorMessage="1" sqref="E94">
      <formula1>'Plant KEY'!$H$2:$H1045</formula1>
    </dataValidation>
    <dataValidation type="list" allowBlank="1" showErrorMessage="1" sqref="H95">
      <formula1>'Plant KEY'!$I$2:$I1047</formula1>
    </dataValidation>
    <dataValidation type="list" allowBlank="1" showErrorMessage="1" sqref="H21">
      <formula1>'Plant KEY'!$I$2:$I1045</formula1>
    </dataValidation>
    <dataValidation type="list" allowBlank="1" showErrorMessage="1" sqref="E99:E102">
      <formula1>'Plant KEY'!$H$2:$H1025</formula1>
    </dataValidation>
    <dataValidation type="list" allowBlank="1" showErrorMessage="1" sqref="I16:I18">
      <formula1>'Plant KEY'!$G$2:$G1069</formula1>
    </dataValidation>
    <dataValidation type="list" allowBlank="1" showErrorMessage="1" sqref="E55:E59 E71">
      <formula1>'Plant KEY'!$H$2:$H1064</formula1>
    </dataValidation>
    <dataValidation type="list" allowBlank="1" showErrorMessage="1" sqref="E16:E18">
      <formula1>'Plant KEY'!$H$2:$H1067</formula1>
    </dataValidation>
    <dataValidation type="list" allowBlank="1" showErrorMessage="1" sqref="H47:H48">
      <formula1>'Plant KEY'!$I$2:$I1065</formula1>
    </dataValidation>
    <dataValidation type="list" allowBlank="1" showErrorMessage="1" sqref="I129:I132">
      <formula1>'Plant KEY'!$G$2:$G1090</formula1>
    </dataValidation>
    <dataValidation type="list" allowBlank="1" showErrorMessage="1" sqref="I3">
      <formula1>'Plant KEY'!$G$2:$G999</formula1>
    </dataValidation>
    <dataValidation type="list" allowBlank="1" showErrorMessage="1" sqref="E83:E86">
      <formula1>'Plant KEY'!$H$2:$H1080</formula1>
    </dataValidation>
    <dataValidation type="list" allowBlank="1" showErrorMessage="1" sqref="H60:H64">
      <formula1>'Plant KEY'!$I$2:$I1067</formula1>
    </dataValidation>
    <dataValidation type="list" allowBlank="1" showErrorMessage="1" sqref="E133:E160">
      <formula1>'Plant KEY'!$H$2:$H1095</formula1>
    </dataValidation>
    <dataValidation type="list" allowBlank="1" showErrorMessage="1" sqref="I49">
      <formula1>'Plant KEY'!$G$2:$G1066</formula1>
    </dataValidation>
    <dataValidation type="list" allowBlank="1" showErrorMessage="1" sqref="E49">
      <formula1>'Plant KEY'!$H$2:$H1064</formula1>
    </dataValidation>
    <dataValidation type="list" allowBlank="1" showErrorMessage="1" sqref="H19:H20">
      <formula1>'Plant KEY'!$I$2:$I1080</formula1>
    </dataValidation>
    <dataValidation type="list" allowBlank="1" showErrorMessage="1" sqref="E98">
      <formula1>'Plant KEY'!$H$2:$H1022</formula1>
    </dataValidation>
    <dataValidation type="list" allowBlank="1" showErrorMessage="1" sqref="I41:I43">
      <formula1>'Plant KEY'!$G$2:$G1063</formula1>
    </dataValidation>
    <dataValidation type="list" allowBlank="1" showErrorMessage="1" sqref="I173">
      <formula1>'Plant KEY'!$G$2:$G1145</formula1>
    </dataValidation>
    <dataValidation type="list" allowBlank="1" showErrorMessage="1" sqref="H87">
      <formula1>'Plant KEY'!$I$2:$I1085</formula1>
    </dataValidation>
    <dataValidation type="list" allowBlank="1" showErrorMessage="1" sqref="I5">
      <formula1>'Plant KEY'!$G$2:$G1033</formula1>
    </dataValidation>
    <dataValidation type="list" allowBlank="1" showErrorMessage="1" sqref="H103:H104 H108:H112">
      <formula1>'Plant KEY'!$I$2:$I1040</formula1>
    </dataValidation>
    <dataValidation type="list" allowBlank="1" showErrorMessage="1" sqref="E129:E132">
      <formula1>'Plant KEY'!$H$2:$H1090</formula1>
    </dataValidation>
    <dataValidation type="list" allowBlank="1" showErrorMessage="1" sqref="E4:E12">
      <formula1>'Plant KEY'!$H$2:$H1021</formula1>
    </dataValidation>
    <dataValidation type="list" allowBlank="1" showErrorMessage="1" sqref="E96">
      <formula1>'Plant KEY'!$H$2:$H1048</formula1>
    </dataValidation>
    <dataValidation type="list" allowBlank="1" showErrorMessage="1" sqref="I98 I105">
      <formula1>'Plant KEY'!$G$2:$G1033</formula1>
    </dataValidation>
    <dataValidation type="list" allowBlank="1" showErrorMessage="1" sqref="I15">
      <formula1>'Plant KEY'!$G$2:$G1046</formula1>
    </dataValidation>
    <dataValidation type="list" allowBlank="1" showErrorMessage="1" sqref="E41:E43">
      <formula1>'Plant KEY'!$H$2:$H1061</formula1>
    </dataValidation>
    <dataValidation type="list" allowBlank="1" showErrorMessage="1" sqref="I65:I69 I88">
      <formula1>'Plant KEY'!$G$2:$G1068</formula1>
    </dataValidation>
    <dataValidation type="list" allowBlank="1" showErrorMessage="1" sqref="H50:H54">
      <formula1>'Plant KEY'!$I$2:$I1066</formula1>
    </dataValidation>
    <dataValidation type="list" allowBlank="1" showErrorMessage="1" sqref="I94">
      <formula1>'Plant KEY'!$G$2:$G1047</formula1>
    </dataValidation>
    <dataValidation type="list" allowBlank="1" showErrorMessage="1" sqref="E3 E44:E46">
      <formula1>'Plant KEY'!$H$2:$H1021</formula1>
    </dataValidation>
    <dataValidation type="list" allowBlank="1" showErrorMessage="1" sqref="E65:E69 E88">
      <formula1>'Plant KEY'!$H$2:$H1066</formula1>
    </dataValidation>
    <dataValidation type="list" allowBlank="1" showErrorMessage="1" sqref="H89:H91">
      <formula1>'Plant KEY'!$I$2:$I1077</formula1>
    </dataValidation>
    <dataValidation type="list" allowBlank="1" showErrorMessage="1" sqref="B3:B3059">
      <formula1>'Plant KEY'!$A:$A</formula1>
    </dataValidation>
    <dataValidation type="list" allowBlank="1" showErrorMessage="1" sqref="E93">
      <formula1>'Plant KEY'!$H$2:$H1128</formula1>
    </dataValidation>
    <dataValidation type="list" allowBlank="1" showErrorMessage="1" sqref="H115:H125">
      <formula1>'Plant KEY'!$I$2:$I1080</formula1>
    </dataValidation>
    <dataValidation type="list" allowBlank="1" showErrorMessage="1" sqref="H98:H102 H106:H107">
      <formula1>'Plant KEY'!$I$2:$I1034</formula1>
    </dataValidation>
    <dataValidation type="list" allowBlank="1" showErrorMessage="1" sqref="I126:I128">
      <formula1>'Plant KEY'!$G$2:$G1090</formula1>
    </dataValidation>
    <dataValidation type="list" allowBlank="1" showErrorMessage="1" sqref="I92">
      <formula1>'Plant KEY'!$G$2:$G1129</formula1>
    </dataValidation>
    <dataValidation type="list" allowBlank="1" showErrorMessage="1" sqref="E161:E172 E174:E279">
      <formula1>'Plant KEY'!$H$2:$H1132</formula1>
    </dataValidation>
    <dataValidation type="list" allowBlank="1" showErrorMessage="1" sqref="H97">
      <formula1>'Plant KEY'!$I$2:$I1048</formula1>
    </dataValidation>
    <dataValidation type="list" allowBlank="1" showErrorMessage="1" sqref="H96">
      <formula1>'Plant KEY'!$I$2:$I1050</formula1>
    </dataValidation>
    <dataValidation type="list" allowBlank="1" showErrorMessage="1" sqref="E95">
      <formula1>'Plant KEY'!$H$2:$H1045</formula1>
    </dataValidation>
    <dataValidation type="list" allowBlank="1" showErrorMessage="1" sqref="C3:C3059">
      <formula1>'Plant KEY'!$C:$C</formula1>
    </dataValidation>
    <dataValidation type="list" allowBlank="1" showErrorMessage="1" sqref="E21">
      <formula1>'Plant KEY'!$H$2:$H1043</formula1>
    </dataValidation>
    <dataValidation type="list" allowBlank="1" showErrorMessage="1" sqref="I13:I14 I31">
      <formula1>'Plant KEY'!$G$2:$G1043</formula1>
    </dataValidation>
    <dataValidation type="list" allowBlank="1" showErrorMessage="1" sqref="H44:H46">
      <formula1>'Plant KEY'!$I$2:$I1064</formula1>
    </dataValidation>
    <dataValidation type="list" allowBlank="1" showErrorMessage="1" sqref="E87">
      <formula1>'Plant KEY'!$H$2:$H1083</formula1>
    </dataValidation>
    <dataValidation type="list" allowBlank="1" showErrorMessage="1" sqref="H3">
      <formula1>'Plant KEY'!$I$2:$I1000</formula1>
    </dataValidation>
    <dataValidation type="list" allowBlank="1" showErrorMessage="1" sqref="I70">
      <formula1>'Plant KEY'!$G$2:$G1056</formula1>
    </dataValidation>
    <dataValidation type="list" allowBlank="1" showErrorMessage="1" sqref="E19:E20">
      <formula1>'Plant KEY'!$H$2:$H1080</formula1>
    </dataValidation>
    <dataValidation type="list" allowBlank="1" showErrorMessage="1" sqref="I4 I21">
      <formula1>'Plant KEY'!$G$2:$G1028</formula1>
    </dataValidation>
    <dataValidation type="list" allowBlank="1" showErrorMessage="1" sqref="H16:H18">
      <formula1>'Plant KEY'!$I$2:$I1069</formula1>
    </dataValidation>
    <dataValidation type="list" allowBlank="1" showErrorMessage="1" sqref="E47:E48">
      <formula1>'Plant KEY'!$H$2:$H1063</formula1>
    </dataValidation>
    <dataValidation type="list" allowBlank="1" showErrorMessage="1" sqref="I47:I48">
      <formula1>'Plant KEY'!$G$2:$G1065</formula1>
    </dataValidation>
    <dataValidation type="list" allowBlank="1" showErrorMessage="1" sqref="E105">
      <formula1>'Plant KEY'!$H$2:$H1030</formula1>
    </dataValidation>
    <dataValidation type="list" allowBlank="1" showErrorMessage="1" sqref="H49">
      <formula1>'Plant KEY'!$I$2:$I1066</formula1>
    </dataValidation>
    <dataValidation type="list" allowBlank="1" showErrorMessage="1" sqref="H83:H86">
      <formula1>'Plant KEY'!$I$2:$I1082</formula1>
    </dataValidation>
    <dataValidation type="list" allowBlank="1" showErrorMessage="1" sqref="E173">
      <formula1>'Plant KEY'!$H$2:$H1145</formula1>
    </dataValidation>
    <dataValidation type="list" allowBlank="1" showErrorMessage="1" sqref="I161:I172 I174:I279">
      <formula1>'Plant KEY'!$G$2:$G1132</formula1>
    </dataValidation>
    <dataValidation type="list" allowBlank="1" showErrorMessage="1" sqref="I93">
      <formula1>'Plant KEY'!$G$2:$G1128</formula1>
    </dataValidation>
    <dataValidation type="list" allowBlank="1" showErrorMessage="1" sqref="I133:I160">
      <formula1>'Plant KEY'!$G$2:$G1095</formula1>
    </dataValidation>
    <dataValidation type="list" allowBlank="1" showErrorMessage="1" sqref="I115:I125">
      <formula1>'Plant KEY'!$G$2:$G1080</formula1>
    </dataValidation>
    <dataValidation type="list" allowBlank="1" showErrorMessage="1" sqref="H126:H128">
      <formula1>'Plant KEY'!$I$2:$I1090</formula1>
    </dataValidation>
    <dataValidation type="list" allowBlank="1" showErrorMessage="1" sqref="H4 H22:H30 H32:H35 H40">
      <formula1>'Plant KEY'!$I$2:$I1029</formula1>
    </dataValidation>
    <dataValidation type="list" allowBlank="1" showErrorMessage="1" sqref="E97">
      <formula1>'Plant KEY'!$H$2:$H1046</formula1>
    </dataValidation>
    <dataValidation type="list" allowBlank="1" showErrorMessage="1" sqref="D3:D3059">
      <formula1>'Plant KEY'!$E:$E</formula1>
    </dataValidation>
    <dataValidation type="list" allowBlank="1" showErrorMessage="1" sqref="I6:I12">
      <formula1>'Plant KEY'!$G$2:$G1035</formula1>
    </dataValidation>
    <dataValidation type="list" allowBlank="1" showErrorMessage="1" sqref="I96">
      <formula1>'Plant KEY'!$G$2:$G1050</formula1>
    </dataValidation>
    <dataValidation type="list" allowBlank="1" showErrorMessage="1" sqref="H280:H3059">
      <formula1>'Plant KEY'!$I$2:$I1255</formula1>
    </dataValidation>
    <dataValidation type="list" allowBlank="1" showErrorMessage="1" sqref="H15">
      <formula1>'Plant KEY'!$I$2:$I1046</formula1>
    </dataValidation>
    <dataValidation type="list" allowBlank="1" showErrorMessage="1" sqref="I55:I59 I71">
      <formula1>'Plant KEY'!$G$2:$G1066</formula1>
    </dataValidation>
    <dataValidation type="list" allowBlank="1" showErrorMessage="1" sqref="E72:E82">
      <formula1>'Plant KEY'!$H$2:$H1075</formula1>
    </dataValidation>
    <dataValidation type="list" allowBlank="1" showErrorMessage="1" sqref="I72:I82">
      <formula1>'Plant KEY'!$G$2:$G1077</formula1>
    </dataValidation>
    <dataValidation type="list" allowBlank="1" showErrorMessage="1" sqref="E113:E114">
      <formula1>'Plant KEY'!$H$2:$H1051</formula1>
    </dataValidation>
    <dataValidation type="list" allowBlank="1" showErrorMessage="1" sqref="I103:I104 I108:I112">
      <formula1>'Plant KEY'!$G$2:$G1040</formula1>
    </dataValidation>
    <dataValidation type="list" allowBlank="1" showErrorMessage="1" sqref="H70">
      <formula1>'Plant KEY'!$I$2:$I1056</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0</v>
      </c>
      <c r="B1" s="26" t="s">
        <v>1028</v>
      </c>
      <c r="C1" s="26" t="s">
        <v>1029</v>
      </c>
      <c r="D1" s="26" t="s">
        <v>1030</v>
      </c>
      <c r="E1" s="26" t="s">
        <v>1031</v>
      </c>
      <c r="F1" s="26" t="s">
        <v>1032</v>
      </c>
      <c r="G1" s="26" t="s">
        <v>1033</v>
      </c>
      <c r="H1" s="26" t="s">
        <v>1034</v>
      </c>
      <c r="I1" s="26" t="s">
        <v>1035</v>
      </c>
      <c r="J1" s="26" t="s">
        <v>1036</v>
      </c>
      <c r="K1" s="26" t="s">
        <v>1037</v>
      </c>
      <c r="L1" s="26"/>
      <c r="M1" s="26"/>
      <c r="N1" s="26"/>
      <c r="O1" s="26"/>
      <c r="P1" s="26"/>
      <c r="Q1" s="26"/>
      <c r="R1" s="26"/>
      <c r="S1" s="26"/>
      <c r="T1" s="26"/>
      <c r="U1" s="26"/>
      <c r="V1" s="26"/>
      <c r="W1" s="26"/>
      <c r="X1" s="26"/>
      <c r="Y1" s="26"/>
      <c r="Z1" s="26"/>
    </row>
    <row r="2">
      <c r="A2" s="27">
        <v>46140.0</v>
      </c>
      <c r="B2" s="28" t="s">
        <v>1038</v>
      </c>
      <c r="D2" s="28">
        <v>30.0</v>
      </c>
      <c r="E2" s="28">
        <v>0.5</v>
      </c>
      <c r="F2" s="29">
        <v>15.0</v>
      </c>
      <c r="G2" s="29">
        <v>6.41</v>
      </c>
      <c r="H2" s="29">
        <v>21.41</v>
      </c>
      <c r="J2" s="28" t="s">
        <v>1039</v>
      </c>
      <c r="K2" s="28" t="s">
        <v>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0</v>
      </c>
      <c r="B1" s="26" t="s">
        <v>1040</v>
      </c>
      <c r="C1" s="26" t="s">
        <v>1041</v>
      </c>
      <c r="D1" s="26" t="s">
        <v>1042</v>
      </c>
      <c r="E1" s="26" t="s">
        <v>1043</v>
      </c>
      <c r="F1" s="26" t="s">
        <v>1044</v>
      </c>
      <c r="G1" s="26" t="s">
        <v>1045</v>
      </c>
      <c r="H1" s="26" t="s">
        <v>1046</v>
      </c>
      <c r="I1" s="26" t="s">
        <v>1035</v>
      </c>
      <c r="J1" s="26" t="s">
        <v>1047</v>
      </c>
      <c r="K1" s="26" t="s">
        <v>1036</v>
      </c>
      <c r="L1" s="26"/>
      <c r="M1" s="26"/>
      <c r="N1" s="26"/>
      <c r="O1" s="26"/>
      <c r="P1" s="26"/>
      <c r="Q1" s="26"/>
      <c r="R1" s="26"/>
      <c r="S1" s="26"/>
      <c r="T1" s="26"/>
      <c r="U1" s="26"/>
      <c r="V1" s="26"/>
      <c r="W1" s="26"/>
      <c r="X1" s="26"/>
      <c r="Y1" s="26"/>
      <c r="Z1" s="26"/>
    </row>
    <row r="2">
      <c r="A2" s="27">
        <v>46140.0</v>
      </c>
      <c r="B2" s="28" t="s">
        <v>1048</v>
      </c>
      <c r="C2" s="28" t="s">
        <v>1049</v>
      </c>
      <c r="D2" s="28" t="s">
        <v>1050</v>
      </c>
      <c r="E2" s="28" t="s">
        <v>1051</v>
      </c>
      <c r="F2" s="29">
        <v>5.0</v>
      </c>
      <c r="G2" s="29">
        <v>1.41</v>
      </c>
      <c r="H2" s="29">
        <v>6.41</v>
      </c>
      <c r="J2" s="28" t="s">
        <v>1039</v>
      </c>
      <c r="K2" s="28" t="s">
        <v>1052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0</v>
      </c>
      <c r="B1" s="30" t="s">
        <v>1028</v>
      </c>
      <c r="C1" s="30" t="s">
        <v>1029</v>
      </c>
      <c r="D1" s="30" t="s">
        <v>1030</v>
      </c>
      <c r="E1" s="31" t="s">
        <v>1053</v>
      </c>
      <c r="F1" s="31" t="s">
        <v>1054</v>
      </c>
      <c r="G1" s="31" t="s">
        <v>1055</v>
      </c>
      <c r="H1" s="31" t="s">
        <v>1056</v>
      </c>
      <c r="I1" s="31" t="s">
        <v>1057</v>
      </c>
      <c r="J1" s="31" t="s">
        <v>1058</v>
      </c>
      <c r="K1" s="31" t="s">
        <v>1059</v>
      </c>
      <c r="L1" s="30" t="s">
        <v>8</v>
      </c>
      <c r="M1" s="30" t="s">
        <v>1035</v>
      </c>
      <c r="N1" s="31" t="s">
        <v>1036</v>
      </c>
      <c r="O1" s="31" t="s">
        <v>1037</v>
      </c>
      <c r="S1" s="31"/>
      <c r="T1" s="31"/>
      <c r="U1" s="30"/>
      <c r="V1" s="30"/>
      <c r="W1" s="30"/>
      <c r="X1" s="30"/>
      <c r="Y1" s="30"/>
      <c r="Z1" s="30"/>
      <c r="AA1" s="30"/>
    </row>
    <row r="2">
      <c r="A2" s="32">
        <v>46136.0</v>
      </c>
      <c r="B2" s="31" t="s">
        <v>1060</v>
      </c>
      <c r="C2" s="31" t="s">
        <v>1061</v>
      </c>
      <c r="D2" s="33">
        <v>25.0</v>
      </c>
      <c r="E2" s="31">
        <v>2.83</v>
      </c>
      <c r="F2" s="34">
        <v>70.75</v>
      </c>
      <c r="G2" s="34">
        <v>52.08</v>
      </c>
      <c r="H2" s="34">
        <v>122.83</v>
      </c>
      <c r="I2" s="31">
        <v>49.0</v>
      </c>
      <c r="J2" s="31">
        <v>171.83</v>
      </c>
      <c r="K2" s="34">
        <v>171.83</v>
      </c>
      <c r="L2" s="31" t="s">
        <v>1062</v>
      </c>
      <c r="M2" s="30"/>
      <c r="N2" s="31" t="s">
        <v>1063</v>
      </c>
      <c r="O2" s="31" t="s">
        <v>22</v>
      </c>
      <c r="S2" s="34"/>
      <c r="T2" s="34"/>
      <c r="U2" s="30"/>
      <c r="V2" s="30"/>
      <c r="W2" s="30"/>
      <c r="X2" s="30"/>
      <c r="Y2" s="30"/>
      <c r="Z2" s="30"/>
      <c r="AA2" s="30"/>
    </row>
    <row r="3">
      <c r="A3" s="32">
        <v>46140.0</v>
      </c>
      <c r="B3" s="31" t="s">
        <v>1038</v>
      </c>
      <c r="C3" s="31" t="s">
        <v>1061</v>
      </c>
      <c r="D3" s="31">
        <v>30.0</v>
      </c>
      <c r="E3" s="31"/>
      <c r="F3" s="34">
        <v>0.0</v>
      </c>
      <c r="G3" s="34">
        <v>0.0</v>
      </c>
      <c r="H3" s="34">
        <v>0.0</v>
      </c>
      <c r="I3" s="30"/>
      <c r="J3" s="30"/>
      <c r="K3" s="34">
        <v>0.0</v>
      </c>
      <c r="L3" s="30"/>
      <c r="M3" s="30"/>
      <c r="N3" s="31" t="s">
        <v>1064</v>
      </c>
      <c r="O3" s="31" t="s">
        <v>22</v>
      </c>
      <c r="S3" s="30"/>
      <c r="T3" s="30"/>
      <c r="U3" s="30"/>
      <c r="V3" s="30"/>
      <c r="W3" s="30"/>
      <c r="X3" s="30"/>
      <c r="Y3" s="30"/>
      <c r="Z3" s="30"/>
      <c r="AA3" s="30"/>
    </row>
    <row r="4">
      <c r="A4" s="32">
        <v>46156.0</v>
      </c>
      <c r="B4" s="31" t="s">
        <v>1065</v>
      </c>
      <c r="C4" s="31" t="s">
        <v>1066</v>
      </c>
      <c r="D4" s="31">
        <v>30.0</v>
      </c>
      <c r="E4" s="31">
        <v>0.5</v>
      </c>
      <c r="F4" s="34">
        <v>15.0</v>
      </c>
      <c r="G4" s="34">
        <v>5.16</v>
      </c>
      <c r="H4" s="34">
        <v>20.16</v>
      </c>
      <c r="I4" s="30"/>
      <c r="J4" s="30"/>
      <c r="K4" s="34">
        <v>20.16</v>
      </c>
      <c r="L4" s="30"/>
      <c r="M4" s="30"/>
      <c r="N4" s="31" t="s">
        <v>1067</v>
      </c>
      <c r="O4" s="31" t="s">
        <v>22</v>
      </c>
      <c r="S4" s="30"/>
      <c r="T4" s="30"/>
      <c r="U4" s="30"/>
      <c r="V4" s="30"/>
      <c r="W4" s="30"/>
      <c r="X4" s="30"/>
      <c r="Y4" s="30"/>
      <c r="Z4" s="30"/>
      <c r="AA4" s="30"/>
    </row>
    <row r="5">
      <c r="A5" s="32"/>
      <c r="B5" s="31"/>
      <c r="C5" s="31"/>
      <c r="D5" s="31"/>
      <c r="E5" s="31"/>
      <c r="F5" s="34"/>
      <c r="G5" s="34"/>
      <c r="H5" s="34"/>
      <c r="I5" s="31"/>
      <c r="J5" s="30"/>
      <c r="K5" s="34"/>
      <c r="L5" s="30"/>
      <c r="M5" s="30"/>
      <c r="N5" s="31"/>
      <c r="O5" s="30"/>
      <c r="S5" s="30"/>
      <c r="T5" s="30"/>
      <c r="U5" s="30"/>
      <c r="V5" s="30"/>
      <c r="W5" s="30"/>
      <c r="X5" s="30"/>
      <c r="Y5" s="30"/>
      <c r="Z5" s="30"/>
      <c r="AA5" s="30"/>
    </row>
    <row r="6">
      <c r="A6" s="32"/>
      <c r="B6" s="31"/>
      <c r="C6" s="31"/>
      <c r="D6" s="31"/>
      <c r="E6" s="31"/>
      <c r="F6" s="34"/>
      <c r="G6" s="34"/>
      <c r="H6" s="34"/>
      <c r="I6" s="31"/>
      <c r="J6" s="31"/>
      <c r="K6" s="31"/>
      <c r="L6" s="30"/>
      <c r="M6" s="30"/>
      <c r="N6" s="31"/>
      <c r="O6" s="30"/>
      <c r="S6" s="30"/>
      <c r="T6" s="30"/>
      <c r="U6" s="30"/>
      <c r="V6" s="30"/>
      <c r="W6" s="30"/>
      <c r="X6" s="30"/>
      <c r="Y6" s="30"/>
      <c r="Z6" s="30"/>
      <c r="AA6" s="30"/>
    </row>
    <row r="7">
      <c r="A7" s="32"/>
      <c r="B7" s="31"/>
      <c r="C7" s="30"/>
      <c r="D7" s="31"/>
      <c r="E7" s="30"/>
      <c r="F7" s="30"/>
      <c r="G7" s="30"/>
      <c r="H7" s="30"/>
      <c r="I7" s="30"/>
      <c r="J7" s="30"/>
      <c r="K7" s="30"/>
      <c r="L7" s="30"/>
      <c r="M7" s="30"/>
      <c r="N7" s="31"/>
      <c r="O7" s="30"/>
      <c r="S7" s="30"/>
      <c r="T7" s="30"/>
      <c r="U7" s="30"/>
      <c r="V7" s="30"/>
      <c r="W7" s="30"/>
      <c r="X7" s="30"/>
      <c r="Y7" s="30"/>
      <c r="Z7" s="30"/>
      <c r="AA7" s="30"/>
    </row>
    <row r="8">
      <c r="A8" s="32"/>
      <c r="B8" s="31"/>
      <c r="C8" s="30"/>
      <c r="D8" s="31"/>
      <c r="E8" s="30"/>
      <c r="F8" s="30"/>
      <c r="G8" s="30"/>
      <c r="H8" s="30"/>
      <c r="I8" s="30"/>
      <c r="J8" s="30"/>
      <c r="K8" s="30"/>
      <c r="L8" s="30"/>
      <c r="M8" s="30"/>
      <c r="N8" s="31"/>
      <c r="O8" s="30"/>
      <c r="S8" s="30"/>
      <c r="T8" s="30"/>
      <c r="U8" s="30"/>
      <c r="V8" s="30"/>
      <c r="W8" s="30"/>
      <c r="X8" s="30"/>
      <c r="Y8" s="30"/>
      <c r="Z8" s="30"/>
      <c r="AA8" s="30"/>
    </row>
    <row r="9">
      <c r="A9" s="32"/>
      <c r="B9" s="31"/>
      <c r="C9" s="30"/>
      <c r="D9" s="31"/>
      <c r="E9" s="30"/>
      <c r="F9" s="30"/>
      <c r="G9" s="30"/>
      <c r="H9" s="30"/>
      <c r="I9" s="30"/>
      <c r="J9" s="30"/>
      <c r="K9" s="30"/>
      <c r="L9" s="31"/>
      <c r="M9" s="30"/>
      <c r="N9" s="31"/>
      <c r="O9" s="31"/>
      <c r="S9" s="30"/>
      <c r="T9" s="30"/>
      <c r="U9" s="30"/>
      <c r="V9" s="30"/>
      <c r="W9" s="30"/>
      <c r="X9" s="30"/>
      <c r="Y9" s="30"/>
      <c r="Z9" s="30"/>
      <c r="AA9" s="30"/>
    </row>
    <row r="10">
      <c r="A10" s="30"/>
      <c r="B10" s="30"/>
      <c r="C10" s="30"/>
      <c r="D10" s="30"/>
      <c r="E10" s="30"/>
      <c r="F10" s="30"/>
      <c r="G10" s="30"/>
      <c r="H10" s="30"/>
      <c r="I10" s="30"/>
      <c r="J10" s="30"/>
      <c r="K10" s="30"/>
      <c r="L10" s="30"/>
      <c r="M10" s="30"/>
      <c r="N10" s="31"/>
      <c r="O10" s="30"/>
      <c r="S10" s="30"/>
      <c r="T10" s="30"/>
      <c r="U10" s="30"/>
      <c r="V10" s="30"/>
      <c r="W10" s="30"/>
      <c r="X10" s="30"/>
      <c r="Y10" s="30"/>
      <c r="Z10" s="30"/>
      <c r="AA10" s="30"/>
    </row>
    <row r="11">
      <c r="A11" s="30"/>
      <c r="B11" s="30"/>
      <c r="C11" s="30"/>
      <c r="D11" s="30"/>
      <c r="E11" s="30"/>
      <c r="F11" s="30"/>
      <c r="G11" s="30"/>
      <c r="H11" s="30"/>
      <c r="I11" s="30"/>
      <c r="J11" s="30"/>
      <c r="K11" s="30"/>
      <c r="L11" s="30"/>
      <c r="M11" s="30"/>
      <c r="N11" s="31"/>
      <c r="O11" s="30"/>
      <c r="S11" s="30"/>
      <c r="T11" s="30"/>
      <c r="U11" s="30"/>
      <c r="V11" s="30"/>
      <c r="W11" s="30"/>
      <c r="X11" s="30"/>
      <c r="Y11" s="30"/>
      <c r="Z11" s="30"/>
      <c r="AA11" s="30"/>
    </row>
    <row r="12">
      <c r="A12" s="30"/>
      <c r="B12" s="30"/>
      <c r="C12" s="30"/>
      <c r="D12" s="30"/>
      <c r="E12" s="30"/>
      <c r="F12" s="30"/>
      <c r="G12" s="30"/>
      <c r="H12" s="30"/>
      <c r="I12" s="30"/>
      <c r="J12" s="30"/>
      <c r="K12" s="30"/>
      <c r="L12" s="30"/>
      <c r="M12" s="30"/>
      <c r="N12" s="31"/>
      <c r="O12" s="30"/>
      <c r="S12" s="30"/>
      <c r="T12" s="30"/>
      <c r="U12" s="30"/>
      <c r="V12" s="30"/>
      <c r="W12" s="30"/>
      <c r="X12" s="30"/>
      <c r="Y12" s="30"/>
      <c r="Z12" s="30"/>
      <c r="AA12" s="30"/>
    </row>
    <row r="13">
      <c r="A13" s="30"/>
      <c r="B13" s="30"/>
      <c r="C13" s="30"/>
      <c r="D13" s="30"/>
      <c r="E13" s="30"/>
      <c r="F13" s="30"/>
      <c r="G13" s="30"/>
      <c r="H13" s="30"/>
      <c r="I13" s="30"/>
      <c r="J13" s="30"/>
      <c r="K13" s="30"/>
      <c r="L13" s="30"/>
      <c r="M13" s="30"/>
      <c r="N13" s="31"/>
      <c r="O13" s="30"/>
      <c r="S13" s="30"/>
      <c r="T13" s="30"/>
      <c r="U13" s="30"/>
      <c r="V13" s="30"/>
      <c r="W13" s="30"/>
      <c r="X13" s="30"/>
      <c r="Y13" s="30"/>
      <c r="Z13" s="30"/>
      <c r="AA13" s="30"/>
    </row>
    <row r="14">
      <c r="A14" s="30"/>
      <c r="B14" s="30"/>
      <c r="C14" s="30"/>
      <c r="D14" s="30"/>
      <c r="E14" s="30"/>
      <c r="F14" s="30"/>
      <c r="G14" s="30"/>
      <c r="H14" s="30"/>
      <c r="I14" s="30"/>
      <c r="J14" s="30"/>
      <c r="K14" s="30"/>
      <c r="L14" s="30"/>
      <c r="M14" s="30"/>
      <c r="N14" s="31"/>
      <c r="O14" s="30"/>
      <c r="S14" s="30"/>
      <c r="T14" s="30"/>
      <c r="U14" s="30"/>
      <c r="V14" s="30"/>
      <c r="W14" s="30"/>
      <c r="X14" s="30"/>
      <c r="Y14" s="30"/>
      <c r="Z14" s="30"/>
      <c r="AA14" s="30"/>
    </row>
    <row r="15">
      <c r="A15" s="30"/>
      <c r="B15" s="30"/>
      <c r="C15" s="30"/>
      <c r="D15" s="30"/>
      <c r="E15" s="30"/>
      <c r="F15" s="30"/>
      <c r="G15" s="30"/>
      <c r="H15" s="30"/>
      <c r="I15" s="30"/>
      <c r="J15" s="30"/>
      <c r="K15" s="30"/>
      <c r="L15" s="30"/>
      <c r="M15" s="30"/>
      <c r="N15" s="31"/>
      <c r="O15" s="30"/>
      <c r="S15" s="30"/>
      <c r="T15" s="30"/>
      <c r="U15" s="30"/>
      <c r="V15" s="30"/>
      <c r="W15" s="30"/>
      <c r="X15" s="30"/>
      <c r="Y15" s="30"/>
      <c r="Z15" s="30"/>
      <c r="AA15" s="30"/>
    </row>
    <row r="16">
      <c r="A16" s="30"/>
      <c r="B16" s="30"/>
      <c r="C16" s="30"/>
      <c r="D16" s="30"/>
      <c r="E16" s="30"/>
      <c r="F16" s="30"/>
      <c r="G16" s="30"/>
      <c r="H16" s="30"/>
      <c r="I16" s="30"/>
      <c r="J16" s="30"/>
      <c r="K16" s="30"/>
      <c r="L16" s="30"/>
      <c r="M16" s="30"/>
      <c r="N16" s="31"/>
      <c r="O16" s="30"/>
      <c r="S16" s="30"/>
      <c r="T16" s="30"/>
      <c r="U16" s="30"/>
      <c r="V16" s="30"/>
      <c r="W16" s="30"/>
      <c r="X16" s="30"/>
      <c r="Y16" s="30"/>
      <c r="Z16" s="30"/>
      <c r="AA16" s="30"/>
    </row>
    <row r="17">
      <c r="A17" s="30"/>
      <c r="B17" s="30"/>
      <c r="C17" s="30"/>
      <c r="D17" s="30"/>
      <c r="E17" s="30"/>
      <c r="F17" s="30"/>
      <c r="G17" s="30"/>
      <c r="H17" s="30"/>
      <c r="I17" s="30"/>
      <c r="J17" s="30"/>
      <c r="K17" s="30"/>
      <c r="L17" s="30"/>
      <c r="M17" s="30"/>
      <c r="N17" s="31"/>
      <c r="O17" s="30"/>
      <c r="S17" s="30"/>
      <c r="T17" s="30"/>
      <c r="U17" s="30"/>
      <c r="V17" s="30"/>
      <c r="W17" s="30"/>
      <c r="X17" s="30"/>
      <c r="Y17" s="30"/>
      <c r="Z17" s="30"/>
      <c r="AA17" s="30"/>
    </row>
    <row r="18">
      <c r="A18" s="30"/>
      <c r="B18" s="30"/>
      <c r="C18" s="30"/>
      <c r="D18" s="30"/>
      <c r="E18" s="30"/>
      <c r="F18" s="30"/>
      <c r="G18" s="30"/>
      <c r="H18" s="30"/>
      <c r="I18" s="30"/>
      <c r="J18" s="30"/>
      <c r="K18" s="30"/>
      <c r="L18" s="30"/>
      <c r="M18" s="30"/>
      <c r="N18" s="31"/>
      <c r="O18" s="30"/>
      <c r="S18" s="30"/>
      <c r="T18" s="30"/>
      <c r="U18" s="30"/>
      <c r="V18" s="30"/>
      <c r="W18" s="30"/>
      <c r="X18" s="30"/>
      <c r="Y18" s="30"/>
      <c r="Z18" s="30"/>
      <c r="AA18" s="30"/>
    </row>
    <row r="19">
      <c r="A19" s="30"/>
      <c r="B19" s="30"/>
      <c r="C19" s="30"/>
      <c r="D19" s="30"/>
      <c r="E19" s="30"/>
      <c r="F19" s="30"/>
      <c r="G19" s="30"/>
      <c r="H19" s="30"/>
      <c r="I19" s="30"/>
      <c r="J19" s="30"/>
      <c r="K19" s="30"/>
      <c r="L19" s="30"/>
      <c r="M19" s="30"/>
      <c r="N19" s="31"/>
      <c r="O19" s="30"/>
      <c r="S19" s="30"/>
      <c r="T19" s="30"/>
      <c r="U19" s="30"/>
      <c r="V19" s="30"/>
      <c r="W19" s="30"/>
      <c r="X19" s="30"/>
      <c r="Y19" s="30"/>
      <c r="Z19" s="30"/>
      <c r="AA19" s="30"/>
    </row>
    <row r="20">
      <c r="A20" s="30"/>
      <c r="B20" s="30"/>
      <c r="C20" s="30"/>
      <c r="D20" s="30"/>
      <c r="E20" s="30"/>
      <c r="F20" s="30"/>
      <c r="G20" s="30"/>
      <c r="H20" s="30"/>
      <c r="I20" s="30"/>
      <c r="J20" s="30"/>
      <c r="K20" s="30"/>
      <c r="L20" s="30"/>
      <c r="M20" s="30"/>
      <c r="N20" s="31"/>
      <c r="O20" s="30"/>
      <c r="S20" s="30"/>
      <c r="T20" s="30"/>
      <c r="U20" s="30"/>
      <c r="V20" s="30"/>
      <c r="W20" s="30"/>
      <c r="X20" s="30"/>
      <c r="Y20" s="30"/>
      <c r="Z20" s="30"/>
      <c r="AA20" s="30"/>
    </row>
    <row r="21">
      <c r="A21" s="30"/>
      <c r="B21" s="30"/>
      <c r="C21" s="30"/>
      <c r="D21" s="30"/>
      <c r="E21" s="30"/>
      <c r="F21" s="30"/>
      <c r="G21" s="30"/>
      <c r="H21" s="30"/>
      <c r="I21" s="30"/>
      <c r="J21" s="30"/>
      <c r="K21" s="30"/>
      <c r="L21" s="30"/>
      <c r="M21" s="30"/>
      <c r="N21" s="31"/>
      <c r="O21" s="30"/>
      <c r="S21" s="30"/>
      <c r="T21" s="30"/>
      <c r="U21" s="30"/>
      <c r="V21" s="30"/>
      <c r="W21" s="30"/>
      <c r="X21" s="30"/>
      <c r="Y21" s="30"/>
      <c r="Z21" s="30"/>
      <c r="AA21" s="30"/>
    </row>
    <row r="22">
      <c r="A22" s="30"/>
      <c r="B22" s="30"/>
      <c r="C22" s="30"/>
      <c r="D22" s="30"/>
      <c r="E22" s="30"/>
      <c r="F22" s="30"/>
      <c r="G22" s="30"/>
      <c r="H22" s="30"/>
      <c r="I22" s="30"/>
      <c r="J22" s="30"/>
      <c r="K22" s="30"/>
      <c r="L22" s="30"/>
      <c r="M22" s="30"/>
      <c r="N22" s="31"/>
      <c r="O22" s="30"/>
      <c r="S22" s="30"/>
      <c r="T22" s="30"/>
      <c r="U22" s="30"/>
      <c r="V22" s="30"/>
      <c r="W22" s="30"/>
      <c r="X22" s="30"/>
      <c r="Y22" s="30"/>
      <c r="Z22" s="30"/>
      <c r="AA22" s="30"/>
    </row>
    <row r="23">
      <c r="A23" s="30"/>
      <c r="B23" s="30"/>
      <c r="C23" s="30"/>
      <c r="D23" s="30"/>
      <c r="E23" s="30"/>
      <c r="F23" s="30"/>
      <c r="G23" s="30"/>
      <c r="H23" s="30"/>
      <c r="I23" s="30"/>
      <c r="J23" s="30"/>
      <c r="K23" s="30"/>
      <c r="L23" s="30"/>
      <c r="M23" s="30"/>
      <c r="N23" s="31"/>
      <c r="O23" s="30"/>
      <c r="S23" s="30"/>
      <c r="T23" s="30"/>
      <c r="U23" s="30"/>
      <c r="V23" s="30"/>
      <c r="W23" s="30"/>
      <c r="X23" s="30"/>
      <c r="Y23" s="30"/>
      <c r="Z23" s="30"/>
      <c r="AA23" s="30"/>
    </row>
    <row r="24">
      <c r="A24" s="30"/>
      <c r="B24" s="30"/>
      <c r="C24" s="30"/>
      <c r="D24" s="30"/>
      <c r="E24" s="30"/>
      <c r="F24" s="30"/>
      <c r="G24" s="30"/>
      <c r="H24" s="30"/>
      <c r="I24" s="30"/>
      <c r="J24" s="30"/>
      <c r="K24" s="30"/>
      <c r="L24" s="30"/>
      <c r="M24" s="30"/>
      <c r="N24" s="31"/>
      <c r="O24" s="30"/>
      <c r="S24" s="30"/>
      <c r="T24" s="30"/>
      <c r="U24" s="30"/>
      <c r="V24" s="30"/>
      <c r="W24" s="30"/>
      <c r="X24" s="30"/>
      <c r="Y24" s="30"/>
      <c r="Z24" s="30"/>
      <c r="AA24" s="30"/>
    </row>
    <row r="25">
      <c r="A25" s="30"/>
      <c r="B25" s="30"/>
      <c r="C25" s="30"/>
      <c r="D25" s="30"/>
      <c r="E25" s="30"/>
      <c r="F25" s="30"/>
      <c r="G25" s="30"/>
      <c r="H25" s="30"/>
      <c r="I25" s="30"/>
      <c r="J25" s="30"/>
      <c r="K25" s="30"/>
      <c r="L25" s="30"/>
      <c r="M25" s="30"/>
      <c r="N25" s="31"/>
      <c r="O25" s="30"/>
      <c r="S25" s="30"/>
      <c r="T25" s="30"/>
      <c r="U25" s="30"/>
      <c r="V25" s="30"/>
      <c r="W25" s="30"/>
      <c r="X25" s="30"/>
      <c r="Y25" s="30"/>
      <c r="Z25" s="30"/>
      <c r="AA25" s="30"/>
    </row>
    <row r="26">
      <c r="A26" s="30"/>
      <c r="B26" s="30"/>
      <c r="C26" s="30"/>
      <c r="D26" s="30"/>
      <c r="E26" s="30"/>
      <c r="F26" s="30"/>
      <c r="G26" s="30"/>
      <c r="H26" s="30"/>
      <c r="I26" s="30"/>
      <c r="J26" s="30"/>
      <c r="K26" s="30"/>
      <c r="L26" s="30"/>
      <c r="M26" s="30"/>
      <c r="N26" s="31"/>
      <c r="O26" s="30"/>
      <c r="S26" s="30"/>
      <c r="T26" s="30"/>
      <c r="U26" s="30"/>
      <c r="V26" s="30"/>
      <c r="W26" s="30"/>
      <c r="X26" s="30"/>
      <c r="Y26" s="30"/>
      <c r="Z26" s="30"/>
      <c r="AA26" s="30"/>
    </row>
    <row r="27">
      <c r="A27" s="30"/>
      <c r="B27" s="30"/>
      <c r="C27" s="30"/>
      <c r="D27" s="30"/>
      <c r="E27" s="30"/>
      <c r="F27" s="30"/>
      <c r="G27" s="30"/>
      <c r="H27" s="30"/>
      <c r="I27" s="30"/>
      <c r="J27" s="30"/>
      <c r="K27" s="30"/>
      <c r="L27" s="30"/>
      <c r="M27" s="30"/>
      <c r="N27" s="31"/>
      <c r="O27" s="30"/>
      <c r="S27" s="30"/>
      <c r="T27" s="30"/>
      <c r="U27" s="30"/>
      <c r="V27" s="30"/>
      <c r="W27" s="30"/>
      <c r="X27" s="30"/>
      <c r="Y27" s="30"/>
      <c r="Z27" s="30"/>
      <c r="AA27" s="30"/>
    </row>
    <row r="28">
      <c r="A28" s="30"/>
      <c r="B28" s="30"/>
      <c r="C28" s="30"/>
      <c r="D28" s="30"/>
      <c r="E28" s="30"/>
      <c r="F28" s="30"/>
      <c r="G28" s="30"/>
      <c r="H28" s="30"/>
      <c r="I28" s="30"/>
      <c r="J28" s="30"/>
      <c r="K28" s="30"/>
      <c r="L28" s="30"/>
      <c r="M28" s="30"/>
      <c r="N28" s="31"/>
      <c r="O28" s="30"/>
      <c r="S28" s="30"/>
      <c r="T28" s="30"/>
      <c r="U28" s="30"/>
      <c r="V28" s="30"/>
      <c r="W28" s="30"/>
      <c r="X28" s="30"/>
      <c r="Y28" s="30"/>
      <c r="Z28" s="30"/>
      <c r="AA28" s="30"/>
    </row>
    <row r="29">
      <c r="A29" s="30"/>
      <c r="B29" s="30"/>
      <c r="C29" s="30"/>
      <c r="D29" s="30"/>
      <c r="E29" s="30"/>
      <c r="F29" s="30"/>
      <c r="G29" s="30"/>
      <c r="H29" s="30"/>
      <c r="I29" s="30"/>
      <c r="J29" s="30"/>
      <c r="K29" s="30"/>
      <c r="L29" s="30"/>
      <c r="M29" s="30"/>
      <c r="N29" s="31"/>
      <c r="O29" s="30"/>
      <c r="S29" s="30"/>
      <c r="T29" s="30"/>
      <c r="U29" s="30"/>
      <c r="V29" s="30"/>
      <c r="W29" s="30"/>
      <c r="X29" s="30"/>
      <c r="Y29" s="30"/>
      <c r="Z29" s="30"/>
      <c r="AA29" s="30"/>
    </row>
    <row r="30">
      <c r="A30" s="30"/>
      <c r="B30" s="30"/>
      <c r="C30" s="30"/>
      <c r="D30" s="30"/>
      <c r="E30" s="30"/>
      <c r="F30" s="30"/>
      <c r="G30" s="30"/>
      <c r="H30" s="30"/>
      <c r="I30" s="30"/>
      <c r="J30" s="30"/>
      <c r="K30" s="30"/>
      <c r="L30" s="30"/>
      <c r="M30" s="30"/>
      <c r="N30" s="31"/>
      <c r="O30" s="30"/>
      <c r="S30" s="30"/>
      <c r="T30" s="30"/>
      <c r="U30" s="30"/>
      <c r="V30" s="30"/>
      <c r="W30" s="30"/>
      <c r="X30" s="30"/>
      <c r="Y30" s="30"/>
      <c r="Z30" s="30"/>
      <c r="AA30" s="30"/>
    </row>
    <row r="31">
      <c r="A31" s="30"/>
      <c r="B31" s="30"/>
      <c r="C31" s="30"/>
      <c r="D31" s="30"/>
      <c r="E31" s="30"/>
      <c r="F31" s="30"/>
      <c r="G31" s="30"/>
      <c r="H31" s="30"/>
      <c r="I31" s="30"/>
      <c r="J31" s="30"/>
      <c r="K31" s="30"/>
      <c r="L31" s="30"/>
      <c r="M31" s="30"/>
      <c r="N31" s="31"/>
      <c r="O31" s="30"/>
      <c r="S31" s="30"/>
      <c r="T31" s="30"/>
      <c r="U31" s="30"/>
      <c r="V31" s="30"/>
      <c r="W31" s="30"/>
      <c r="X31" s="30"/>
      <c r="Y31" s="30"/>
      <c r="Z31" s="30"/>
      <c r="AA31" s="30"/>
    </row>
    <row r="32">
      <c r="A32" s="30"/>
      <c r="B32" s="30"/>
      <c r="C32" s="30"/>
      <c r="D32" s="30"/>
      <c r="E32" s="30"/>
      <c r="F32" s="30"/>
      <c r="G32" s="30"/>
      <c r="H32" s="30"/>
      <c r="I32" s="30"/>
      <c r="J32" s="30"/>
      <c r="K32" s="30"/>
      <c r="L32" s="30"/>
      <c r="M32" s="30"/>
      <c r="N32" s="31"/>
      <c r="O32" s="30"/>
      <c r="S32" s="30"/>
      <c r="T32" s="30"/>
      <c r="U32" s="30"/>
      <c r="V32" s="30"/>
      <c r="W32" s="30"/>
      <c r="X32" s="30"/>
      <c r="Y32" s="30"/>
      <c r="Z32" s="30"/>
      <c r="AA32" s="30"/>
    </row>
    <row r="33">
      <c r="A33" s="30"/>
      <c r="B33" s="30"/>
      <c r="C33" s="30"/>
      <c r="D33" s="30"/>
      <c r="E33" s="30"/>
      <c r="F33" s="30"/>
      <c r="G33" s="30"/>
      <c r="H33" s="30"/>
      <c r="I33" s="30"/>
      <c r="J33" s="30"/>
      <c r="K33" s="30"/>
      <c r="L33" s="30"/>
      <c r="M33" s="30"/>
      <c r="N33" s="31"/>
      <c r="O33" s="30"/>
      <c r="S33" s="30"/>
      <c r="T33" s="30"/>
      <c r="U33" s="30"/>
      <c r="V33" s="30"/>
      <c r="W33" s="30"/>
      <c r="X33" s="30"/>
      <c r="Y33" s="30"/>
      <c r="Z33" s="30"/>
      <c r="AA33" s="30"/>
    </row>
    <row r="34">
      <c r="A34" s="30"/>
      <c r="B34" s="30"/>
      <c r="C34" s="30"/>
      <c r="D34" s="30"/>
      <c r="E34" s="30"/>
      <c r="F34" s="30"/>
      <c r="G34" s="30"/>
      <c r="H34" s="30"/>
      <c r="I34" s="30"/>
      <c r="J34" s="30"/>
      <c r="K34" s="30"/>
      <c r="L34" s="30"/>
      <c r="M34" s="30"/>
      <c r="N34" s="31"/>
      <c r="O34" s="30"/>
      <c r="S34" s="30"/>
      <c r="T34" s="30"/>
      <c r="U34" s="30"/>
      <c r="V34" s="30"/>
      <c r="W34" s="30"/>
      <c r="X34" s="30"/>
      <c r="Y34" s="30"/>
      <c r="Z34" s="30"/>
      <c r="AA34" s="30"/>
    </row>
    <row r="35">
      <c r="A35" s="30"/>
      <c r="B35" s="30"/>
      <c r="C35" s="30"/>
      <c r="D35" s="30"/>
      <c r="E35" s="30"/>
      <c r="F35" s="30"/>
      <c r="G35" s="30"/>
      <c r="H35" s="30"/>
      <c r="I35" s="30"/>
      <c r="J35" s="30"/>
      <c r="K35" s="30"/>
      <c r="L35" s="30"/>
      <c r="M35" s="30"/>
      <c r="N35" s="31"/>
      <c r="O35" s="30"/>
      <c r="S35" s="30"/>
      <c r="T35" s="30"/>
      <c r="U35" s="30"/>
      <c r="V35" s="30"/>
      <c r="W35" s="30"/>
      <c r="X35" s="30"/>
      <c r="Y35" s="30"/>
      <c r="Z35" s="30"/>
      <c r="AA35" s="30"/>
    </row>
    <row r="36">
      <c r="A36" s="30"/>
      <c r="B36" s="30"/>
      <c r="C36" s="30"/>
      <c r="D36" s="30"/>
      <c r="E36" s="30"/>
      <c r="F36" s="30"/>
      <c r="G36" s="30"/>
      <c r="H36" s="30"/>
      <c r="I36" s="30"/>
      <c r="J36" s="30"/>
      <c r="K36" s="30"/>
      <c r="L36" s="30"/>
      <c r="M36" s="30"/>
      <c r="N36" s="31"/>
      <c r="O36" s="30"/>
      <c r="S36" s="30"/>
      <c r="T36" s="30"/>
      <c r="U36" s="30"/>
      <c r="V36" s="30"/>
      <c r="W36" s="30"/>
      <c r="X36" s="30"/>
      <c r="Y36" s="30"/>
      <c r="Z36" s="30"/>
      <c r="AA36" s="30"/>
    </row>
    <row r="37">
      <c r="A37" s="30"/>
      <c r="B37" s="30"/>
      <c r="C37" s="30"/>
      <c r="D37" s="30"/>
      <c r="E37" s="30"/>
      <c r="F37" s="30"/>
      <c r="G37" s="30"/>
      <c r="H37" s="30"/>
      <c r="I37" s="30"/>
      <c r="J37" s="30"/>
      <c r="K37" s="30"/>
      <c r="L37" s="30"/>
      <c r="M37" s="30"/>
      <c r="N37" s="31"/>
      <c r="O37" s="30"/>
      <c r="S37" s="30"/>
      <c r="T37" s="30"/>
      <c r="U37" s="30"/>
      <c r="V37" s="30"/>
      <c r="W37" s="30"/>
      <c r="X37" s="30"/>
      <c r="Y37" s="30"/>
      <c r="Z37" s="30"/>
      <c r="AA37" s="30"/>
    </row>
    <row r="38">
      <c r="A38" s="30"/>
      <c r="B38" s="30"/>
      <c r="C38" s="30"/>
      <c r="D38" s="30"/>
      <c r="E38" s="30"/>
      <c r="F38" s="30"/>
      <c r="G38" s="30"/>
      <c r="H38" s="30"/>
      <c r="I38" s="30"/>
      <c r="J38" s="30"/>
      <c r="K38" s="30"/>
      <c r="L38" s="30"/>
      <c r="M38" s="30"/>
      <c r="N38" s="31"/>
      <c r="O38" s="30"/>
      <c r="S38" s="30"/>
      <c r="T38" s="30"/>
      <c r="U38" s="30"/>
      <c r="V38" s="30"/>
      <c r="W38" s="30"/>
      <c r="X38" s="30"/>
      <c r="Y38" s="30"/>
      <c r="Z38" s="30"/>
      <c r="AA38" s="30"/>
    </row>
    <row r="39">
      <c r="A39" s="30"/>
      <c r="B39" s="30"/>
      <c r="C39" s="30"/>
      <c r="D39" s="30"/>
      <c r="E39" s="30"/>
      <c r="F39" s="30"/>
      <c r="G39" s="30"/>
      <c r="H39" s="30"/>
      <c r="I39" s="30"/>
      <c r="J39" s="30"/>
      <c r="K39" s="30"/>
      <c r="L39" s="30"/>
      <c r="M39" s="30"/>
      <c r="N39" s="31"/>
      <c r="O39" s="30"/>
      <c r="S39" s="30"/>
      <c r="T39" s="30"/>
      <c r="U39" s="30"/>
      <c r="V39" s="30"/>
      <c r="W39" s="30"/>
      <c r="X39" s="30"/>
      <c r="Y39" s="30"/>
      <c r="Z39" s="30"/>
      <c r="AA39" s="30"/>
    </row>
    <row r="40">
      <c r="A40" s="30"/>
      <c r="B40" s="30"/>
      <c r="C40" s="30"/>
      <c r="D40" s="30"/>
      <c r="E40" s="30"/>
      <c r="F40" s="30"/>
      <c r="G40" s="30"/>
      <c r="H40" s="30"/>
      <c r="I40" s="30"/>
      <c r="J40" s="30"/>
      <c r="K40" s="30"/>
      <c r="L40" s="30"/>
      <c r="M40" s="30"/>
      <c r="N40" s="31"/>
      <c r="O40" s="30"/>
      <c r="S40" s="30"/>
      <c r="T40" s="30"/>
      <c r="U40" s="30"/>
      <c r="V40" s="30"/>
      <c r="W40" s="30"/>
      <c r="X40" s="30"/>
      <c r="Y40" s="30"/>
      <c r="Z40" s="30"/>
      <c r="AA40" s="30"/>
    </row>
    <row r="41">
      <c r="A41" s="30"/>
      <c r="B41" s="30"/>
      <c r="C41" s="30"/>
      <c r="D41" s="30"/>
      <c r="E41" s="30"/>
      <c r="F41" s="30"/>
      <c r="G41" s="30"/>
      <c r="H41" s="30"/>
      <c r="I41" s="30"/>
      <c r="J41" s="30"/>
      <c r="K41" s="30"/>
      <c r="L41" s="30"/>
      <c r="M41" s="30"/>
      <c r="N41" s="31"/>
      <c r="O41" s="30"/>
      <c r="S41" s="30"/>
      <c r="T41" s="30"/>
      <c r="U41" s="30"/>
      <c r="V41" s="30"/>
      <c r="W41" s="30"/>
      <c r="X41" s="30"/>
      <c r="Y41" s="30"/>
      <c r="Z41" s="30"/>
      <c r="AA41" s="30"/>
    </row>
    <row r="42">
      <c r="A42" s="30"/>
      <c r="B42" s="30"/>
      <c r="C42" s="30"/>
      <c r="D42" s="30"/>
      <c r="E42" s="30"/>
      <c r="F42" s="30"/>
      <c r="G42" s="30"/>
      <c r="H42" s="30"/>
      <c r="I42" s="30"/>
      <c r="J42" s="30"/>
      <c r="K42" s="30"/>
      <c r="L42" s="30"/>
      <c r="M42" s="30"/>
      <c r="N42" s="31"/>
      <c r="O42" s="30"/>
      <c r="S42" s="30"/>
      <c r="T42" s="30"/>
      <c r="U42" s="30"/>
      <c r="V42" s="30"/>
      <c r="W42" s="30"/>
      <c r="X42" s="30"/>
      <c r="Y42" s="30"/>
      <c r="Z42" s="30"/>
      <c r="AA42" s="30"/>
    </row>
    <row r="43">
      <c r="A43" s="30"/>
      <c r="B43" s="30"/>
      <c r="C43" s="30"/>
      <c r="D43" s="30"/>
      <c r="E43" s="30"/>
      <c r="F43" s="30"/>
      <c r="G43" s="30"/>
      <c r="H43" s="30"/>
      <c r="I43" s="30"/>
      <c r="J43" s="30"/>
      <c r="K43" s="30"/>
      <c r="L43" s="30"/>
      <c r="M43" s="30"/>
      <c r="N43" s="31"/>
      <c r="O43" s="30"/>
      <c r="S43" s="30"/>
      <c r="T43" s="30"/>
      <c r="U43" s="30"/>
      <c r="V43" s="30"/>
      <c r="W43" s="30"/>
      <c r="X43" s="30"/>
      <c r="Y43" s="30"/>
      <c r="Z43" s="30"/>
      <c r="AA43" s="30"/>
    </row>
    <row r="44">
      <c r="A44" s="30"/>
      <c r="B44" s="30"/>
      <c r="C44" s="30"/>
      <c r="D44" s="30"/>
      <c r="E44" s="30"/>
      <c r="F44" s="30"/>
      <c r="G44" s="30"/>
      <c r="H44" s="30"/>
      <c r="I44" s="30"/>
      <c r="J44" s="30"/>
      <c r="K44" s="30"/>
      <c r="L44" s="30"/>
      <c r="M44" s="30"/>
      <c r="N44" s="31"/>
      <c r="O44" s="30"/>
      <c r="S44" s="30"/>
      <c r="T44" s="30"/>
      <c r="U44" s="30"/>
      <c r="V44" s="30"/>
      <c r="W44" s="30"/>
      <c r="X44" s="30"/>
      <c r="Y44" s="30"/>
      <c r="Z44" s="30"/>
      <c r="AA44" s="30"/>
    </row>
    <row r="45">
      <c r="A45" s="30"/>
      <c r="B45" s="30"/>
      <c r="C45" s="30"/>
      <c r="D45" s="30"/>
      <c r="E45" s="30"/>
      <c r="F45" s="30"/>
      <c r="G45" s="30"/>
      <c r="H45" s="30"/>
      <c r="I45" s="30"/>
      <c r="J45" s="30"/>
      <c r="K45" s="30"/>
      <c r="L45" s="30"/>
      <c r="M45" s="30"/>
      <c r="N45" s="31"/>
      <c r="O45" s="30"/>
      <c r="S45" s="30"/>
      <c r="T45" s="30"/>
      <c r="U45" s="30"/>
      <c r="V45" s="30"/>
      <c r="W45" s="30"/>
      <c r="X45" s="30"/>
      <c r="Y45" s="30"/>
      <c r="Z45" s="30"/>
      <c r="AA45" s="30"/>
    </row>
    <row r="46">
      <c r="A46" s="30"/>
      <c r="B46" s="30"/>
      <c r="C46" s="30"/>
      <c r="D46" s="30"/>
      <c r="E46" s="30"/>
      <c r="F46" s="30"/>
      <c r="G46" s="30"/>
      <c r="H46" s="30"/>
      <c r="I46" s="30"/>
      <c r="J46" s="30"/>
      <c r="K46" s="30"/>
      <c r="L46" s="30"/>
      <c r="M46" s="30"/>
      <c r="N46" s="31"/>
      <c r="O46" s="30"/>
      <c r="S46" s="30"/>
      <c r="T46" s="30"/>
      <c r="U46" s="30"/>
      <c r="V46" s="30"/>
      <c r="W46" s="30"/>
      <c r="X46" s="30"/>
      <c r="Y46" s="30"/>
      <c r="Z46" s="30"/>
      <c r="AA46" s="30"/>
    </row>
    <row r="47">
      <c r="A47" s="30"/>
      <c r="B47" s="30"/>
      <c r="C47" s="30"/>
      <c r="D47" s="30"/>
      <c r="E47" s="30"/>
      <c r="F47" s="30"/>
      <c r="G47" s="30"/>
      <c r="H47" s="30"/>
      <c r="I47" s="30"/>
      <c r="J47" s="30"/>
      <c r="K47" s="30"/>
      <c r="L47" s="30"/>
      <c r="M47" s="30"/>
      <c r="N47" s="31"/>
      <c r="O47" s="30"/>
      <c r="S47" s="30"/>
      <c r="T47" s="30"/>
      <c r="U47" s="30"/>
      <c r="V47" s="30"/>
      <c r="W47" s="30"/>
      <c r="X47" s="30"/>
      <c r="Y47" s="30"/>
      <c r="Z47" s="30"/>
      <c r="AA47" s="30"/>
    </row>
    <row r="48">
      <c r="A48" s="30"/>
      <c r="B48" s="30"/>
      <c r="C48" s="30"/>
      <c r="D48" s="30"/>
      <c r="E48" s="30"/>
      <c r="F48" s="30"/>
      <c r="G48" s="30"/>
      <c r="H48" s="30"/>
      <c r="I48" s="30"/>
      <c r="J48" s="30"/>
      <c r="K48" s="30"/>
      <c r="L48" s="30"/>
      <c r="M48" s="30"/>
      <c r="N48" s="31"/>
      <c r="O48" s="30"/>
      <c r="S48" s="30"/>
      <c r="T48" s="30"/>
      <c r="U48" s="30"/>
      <c r="V48" s="30"/>
      <c r="W48" s="30"/>
      <c r="X48" s="30"/>
      <c r="Y48" s="30"/>
      <c r="Z48" s="30"/>
      <c r="AA48" s="30"/>
    </row>
    <row r="49">
      <c r="A49" s="30"/>
      <c r="B49" s="30"/>
      <c r="C49" s="30"/>
      <c r="D49" s="30"/>
      <c r="E49" s="30"/>
      <c r="F49" s="30"/>
      <c r="G49" s="30"/>
      <c r="H49" s="30"/>
      <c r="I49" s="30"/>
      <c r="J49" s="30"/>
      <c r="K49" s="30"/>
      <c r="L49" s="30"/>
      <c r="M49" s="30"/>
      <c r="N49" s="31"/>
      <c r="O49" s="30"/>
      <c r="S49" s="30"/>
      <c r="T49" s="30"/>
      <c r="U49" s="30"/>
      <c r="V49" s="30"/>
      <c r="W49" s="30"/>
      <c r="X49" s="30"/>
      <c r="Y49" s="30"/>
      <c r="Z49" s="30"/>
      <c r="AA49" s="30"/>
    </row>
    <row r="50">
      <c r="A50" s="30"/>
      <c r="B50" s="30"/>
      <c r="C50" s="30"/>
      <c r="D50" s="30"/>
      <c r="E50" s="30"/>
      <c r="F50" s="30"/>
      <c r="G50" s="30"/>
      <c r="H50" s="30"/>
      <c r="I50" s="30"/>
      <c r="J50" s="30"/>
      <c r="K50" s="30"/>
      <c r="L50" s="30"/>
      <c r="M50" s="30"/>
      <c r="N50" s="31"/>
      <c r="O50" s="30"/>
      <c r="S50" s="30"/>
      <c r="T50" s="30"/>
      <c r="U50" s="30"/>
      <c r="V50" s="30"/>
      <c r="W50" s="30"/>
      <c r="X50" s="30"/>
      <c r="Y50" s="30"/>
      <c r="Z50" s="30"/>
      <c r="AA50" s="30"/>
    </row>
    <row r="51">
      <c r="A51" s="30"/>
      <c r="B51" s="30"/>
      <c r="C51" s="30"/>
      <c r="D51" s="30"/>
      <c r="E51" s="30"/>
      <c r="F51" s="30"/>
      <c r="G51" s="30"/>
      <c r="H51" s="30"/>
      <c r="I51" s="30"/>
      <c r="J51" s="30"/>
      <c r="K51" s="30"/>
      <c r="L51" s="30"/>
      <c r="M51" s="30"/>
      <c r="N51" s="31"/>
      <c r="O51" s="30"/>
      <c r="S51" s="30"/>
      <c r="T51" s="30"/>
      <c r="U51" s="30"/>
      <c r="V51" s="30"/>
      <c r="W51" s="30"/>
      <c r="X51" s="30"/>
      <c r="Y51" s="30"/>
      <c r="Z51" s="30"/>
      <c r="AA51" s="30"/>
    </row>
    <row r="52">
      <c r="A52" s="30"/>
      <c r="B52" s="30"/>
      <c r="C52" s="30"/>
      <c r="D52" s="30"/>
      <c r="E52" s="30"/>
      <c r="F52" s="30"/>
      <c r="G52" s="30"/>
      <c r="H52" s="30"/>
      <c r="I52" s="30"/>
      <c r="J52" s="30"/>
      <c r="K52" s="30"/>
      <c r="L52" s="30"/>
      <c r="M52" s="30"/>
      <c r="N52" s="31"/>
      <c r="O52" s="30"/>
      <c r="S52" s="30"/>
      <c r="T52" s="30"/>
      <c r="U52" s="30"/>
      <c r="V52" s="30"/>
      <c r="W52" s="30"/>
      <c r="X52" s="30"/>
      <c r="Y52" s="30"/>
      <c r="Z52" s="30"/>
      <c r="AA52" s="30"/>
    </row>
    <row r="53">
      <c r="A53" s="30"/>
      <c r="B53" s="30"/>
      <c r="C53" s="30"/>
      <c r="D53" s="30"/>
      <c r="E53" s="30"/>
      <c r="F53" s="30"/>
      <c r="G53" s="30"/>
      <c r="H53" s="30"/>
      <c r="I53" s="30"/>
      <c r="J53" s="30"/>
      <c r="K53" s="30"/>
      <c r="L53" s="30"/>
      <c r="M53" s="30"/>
      <c r="N53" s="31"/>
      <c r="O53" s="30"/>
      <c r="S53" s="30"/>
      <c r="T53" s="30"/>
      <c r="U53" s="30"/>
      <c r="V53" s="30"/>
      <c r="W53" s="30"/>
      <c r="X53" s="30"/>
      <c r="Y53" s="30"/>
      <c r="Z53" s="30"/>
      <c r="AA53" s="30"/>
    </row>
    <row r="54">
      <c r="A54" s="30"/>
      <c r="B54" s="30"/>
      <c r="C54" s="30"/>
      <c r="D54" s="30"/>
      <c r="E54" s="30"/>
      <c r="F54" s="30"/>
      <c r="G54" s="30"/>
      <c r="H54" s="30"/>
      <c r="I54" s="30"/>
      <c r="J54" s="30"/>
      <c r="K54" s="30"/>
      <c r="L54" s="30"/>
      <c r="M54" s="30"/>
      <c r="N54" s="31"/>
      <c r="O54" s="30"/>
      <c r="S54" s="30"/>
      <c r="T54" s="30"/>
      <c r="U54" s="30"/>
      <c r="V54" s="30"/>
      <c r="W54" s="30"/>
      <c r="X54" s="30"/>
      <c r="Y54" s="30"/>
      <c r="Z54" s="30"/>
      <c r="AA54" s="30"/>
    </row>
    <row r="55">
      <c r="A55" s="30"/>
      <c r="B55" s="30"/>
      <c r="C55" s="30"/>
      <c r="D55" s="30"/>
      <c r="E55" s="30"/>
      <c r="F55" s="30"/>
      <c r="G55" s="30"/>
      <c r="H55" s="30"/>
      <c r="I55" s="30"/>
      <c r="J55" s="30"/>
      <c r="K55" s="30"/>
      <c r="L55" s="30"/>
      <c r="M55" s="30"/>
      <c r="N55" s="31"/>
      <c r="O55" s="30"/>
      <c r="S55" s="30"/>
      <c r="T55" s="30"/>
      <c r="U55" s="30"/>
      <c r="V55" s="30"/>
      <c r="W55" s="30"/>
      <c r="X55" s="30"/>
      <c r="Y55" s="30"/>
      <c r="Z55" s="30"/>
      <c r="AA55" s="30"/>
    </row>
    <row r="56">
      <c r="A56" s="30"/>
      <c r="B56" s="30"/>
      <c r="C56" s="30"/>
      <c r="D56" s="30"/>
      <c r="E56" s="30"/>
      <c r="F56" s="30"/>
      <c r="G56" s="30"/>
      <c r="H56" s="30"/>
      <c r="I56" s="30"/>
      <c r="J56" s="30"/>
      <c r="K56" s="30"/>
      <c r="L56" s="30"/>
      <c r="M56" s="30"/>
      <c r="N56" s="31"/>
      <c r="O56" s="30"/>
      <c r="S56" s="30"/>
      <c r="T56" s="30"/>
      <c r="U56" s="30"/>
      <c r="V56" s="30"/>
      <c r="W56" s="30"/>
      <c r="X56" s="30"/>
      <c r="Y56" s="30"/>
      <c r="Z56" s="30"/>
      <c r="AA56" s="30"/>
    </row>
    <row r="57">
      <c r="A57" s="30"/>
      <c r="B57" s="30"/>
      <c r="C57" s="30"/>
      <c r="D57" s="30"/>
      <c r="E57" s="30"/>
      <c r="F57" s="30"/>
      <c r="G57" s="30"/>
      <c r="H57" s="30"/>
      <c r="I57" s="30"/>
      <c r="J57" s="30"/>
      <c r="K57" s="30"/>
      <c r="L57" s="30"/>
      <c r="M57" s="30"/>
      <c r="N57" s="31"/>
      <c r="O57" s="30"/>
      <c r="S57" s="30"/>
      <c r="T57" s="30"/>
      <c r="U57" s="30"/>
      <c r="V57" s="30"/>
      <c r="W57" s="30"/>
      <c r="X57" s="30"/>
      <c r="Y57" s="30"/>
      <c r="Z57" s="30"/>
      <c r="AA57" s="30"/>
    </row>
    <row r="58">
      <c r="A58" s="30"/>
      <c r="B58" s="30"/>
      <c r="C58" s="30"/>
      <c r="D58" s="30"/>
      <c r="E58" s="30"/>
      <c r="F58" s="30"/>
      <c r="G58" s="30"/>
      <c r="H58" s="30"/>
      <c r="I58" s="30"/>
      <c r="J58" s="30"/>
      <c r="K58" s="30"/>
      <c r="L58" s="30"/>
      <c r="M58" s="30"/>
      <c r="N58" s="31"/>
      <c r="O58" s="30"/>
      <c r="S58" s="30"/>
      <c r="T58" s="30"/>
      <c r="U58" s="30"/>
      <c r="V58" s="30"/>
      <c r="W58" s="30"/>
      <c r="X58" s="30"/>
      <c r="Y58" s="30"/>
      <c r="Z58" s="30"/>
      <c r="AA58" s="30"/>
    </row>
    <row r="59">
      <c r="A59" s="30"/>
      <c r="B59" s="30"/>
      <c r="C59" s="30"/>
      <c r="D59" s="30"/>
      <c r="E59" s="30"/>
      <c r="F59" s="30"/>
      <c r="G59" s="30"/>
      <c r="H59" s="30"/>
      <c r="I59" s="30"/>
      <c r="J59" s="30"/>
      <c r="K59" s="30"/>
      <c r="L59" s="30"/>
      <c r="M59" s="30"/>
      <c r="N59" s="31"/>
      <c r="O59" s="30"/>
      <c r="S59" s="30"/>
      <c r="T59" s="30"/>
      <c r="U59" s="30"/>
      <c r="V59" s="30"/>
      <c r="W59" s="30"/>
      <c r="X59" s="30"/>
      <c r="Y59" s="30"/>
      <c r="Z59" s="30"/>
      <c r="AA59" s="30"/>
    </row>
    <row r="60">
      <c r="A60" s="30"/>
      <c r="B60" s="30"/>
      <c r="C60" s="30"/>
      <c r="D60" s="30"/>
      <c r="E60" s="30"/>
      <c r="F60" s="30"/>
      <c r="G60" s="30"/>
      <c r="H60" s="30"/>
      <c r="I60" s="30"/>
      <c r="J60" s="30"/>
      <c r="K60" s="30"/>
      <c r="L60" s="30"/>
      <c r="M60" s="30"/>
      <c r="N60" s="31"/>
      <c r="O60" s="30"/>
      <c r="S60" s="30"/>
      <c r="T60" s="30"/>
      <c r="U60" s="30"/>
      <c r="V60" s="30"/>
      <c r="W60" s="30"/>
      <c r="X60" s="30"/>
      <c r="Y60" s="30"/>
      <c r="Z60" s="30"/>
      <c r="AA60" s="30"/>
    </row>
    <row r="61">
      <c r="A61" s="30"/>
      <c r="B61" s="30"/>
      <c r="C61" s="30"/>
      <c r="D61" s="30"/>
      <c r="E61" s="30"/>
      <c r="F61" s="30"/>
      <c r="G61" s="30"/>
      <c r="H61" s="30"/>
      <c r="I61" s="30"/>
      <c r="J61" s="30"/>
      <c r="K61" s="30"/>
      <c r="L61" s="30"/>
      <c r="M61" s="30"/>
      <c r="N61" s="31"/>
      <c r="O61" s="30"/>
      <c r="S61" s="30"/>
      <c r="T61" s="30"/>
      <c r="U61" s="30"/>
      <c r="V61" s="30"/>
      <c r="W61" s="30"/>
      <c r="X61" s="30"/>
      <c r="Y61" s="30"/>
      <c r="Z61" s="30"/>
      <c r="AA61" s="30"/>
    </row>
    <row r="62">
      <c r="A62" s="30"/>
      <c r="B62" s="30"/>
      <c r="C62" s="30"/>
      <c r="D62" s="30"/>
      <c r="E62" s="30"/>
      <c r="F62" s="30"/>
      <c r="G62" s="30"/>
      <c r="H62" s="30"/>
      <c r="I62" s="30"/>
      <c r="J62" s="30"/>
      <c r="K62" s="30"/>
      <c r="L62" s="30"/>
      <c r="M62" s="30"/>
      <c r="N62" s="31"/>
      <c r="O62" s="30"/>
      <c r="S62" s="30"/>
      <c r="T62" s="30"/>
      <c r="U62" s="30"/>
      <c r="V62" s="30"/>
      <c r="W62" s="30"/>
      <c r="X62" s="30"/>
      <c r="Y62" s="30"/>
      <c r="Z62" s="30"/>
      <c r="AA62" s="30"/>
    </row>
    <row r="63">
      <c r="A63" s="30"/>
      <c r="B63" s="30"/>
      <c r="C63" s="30"/>
      <c r="D63" s="30"/>
      <c r="E63" s="30"/>
      <c r="F63" s="30"/>
      <c r="G63" s="30"/>
      <c r="H63" s="30"/>
      <c r="I63" s="30"/>
      <c r="J63" s="30"/>
      <c r="K63" s="30"/>
      <c r="L63" s="30"/>
      <c r="M63" s="30"/>
      <c r="N63" s="31"/>
      <c r="O63" s="30"/>
      <c r="S63" s="30"/>
      <c r="T63" s="30"/>
      <c r="U63" s="30"/>
      <c r="V63" s="30"/>
      <c r="W63" s="30"/>
      <c r="X63" s="30"/>
      <c r="Y63" s="30"/>
      <c r="Z63" s="30"/>
      <c r="AA63" s="30"/>
    </row>
    <row r="64">
      <c r="A64" s="30"/>
      <c r="B64" s="30"/>
      <c r="C64" s="30"/>
      <c r="D64" s="30"/>
      <c r="E64" s="30"/>
      <c r="F64" s="30"/>
      <c r="G64" s="30"/>
      <c r="H64" s="30"/>
      <c r="I64" s="30"/>
      <c r="J64" s="30"/>
      <c r="K64" s="30"/>
      <c r="L64" s="30"/>
      <c r="M64" s="30"/>
      <c r="N64" s="31"/>
      <c r="O64" s="30"/>
      <c r="S64" s="30"/>
      <c r="T64" s="30"/>
      <c r="U64" s="30"/>
      <c r="V64" s="30"/>
      <c r="W64" s="30"/>
      <c r="X64" s="30"/>
      <c r="Y64" s="30"/>
      <c r="Z64" s="30"/>
      <c r="AA64" s="30"/>
    </row>
    <row r="65">
      <c r="A65" s="30"/>
      <c r="B65" s="30"/>
      <c r="C65" s="30"/>
      <c r="D65" s="30"/>
      <c r="E65" s="30"/>
      <c r="F65" s="30"/>
      <c r="G65" s="30"/>
      <c r="H65" s="30"/>
      <c r="I65" s="30"/>
      <c r="J65" s="30"/>
      <c r="K65" s="30"/>
      <c r="L65" s="30"/>
      <c r="M65" s="30"/>
      <c r="N65" s="31"/>
      <c r="O65" s="30"/>
      <c r="S65" s="30"/>
      <c r="T65" s="30"/>
      <c r="U65" s="30"/>
      <c r="V65" s="30"/>
      <c r="W65" s="30"/>
      <c r="X65" s="30"/>
      <c r="Y65" s="30"/>
      <c r="Z65" s="30"/>
      <c r="AA65" s="30"/>
    </row>
    <row r="66">
      <c r="A66" s="30"/>
      <c r="B66" s="30"/>
      <c r="C66" s="30"/>
      <c r="D66" s="30"/>
      <c r="E66" s="30"/>
      <c r="F66" s="30"/>
      <c r="G66" s="30"/>
      <c r="H66" s="30"/>
      <c r="I66" s="30"/>
      <c r="J66" s="30"/>
      <c r="K66" s="30"/>
      <c r="L66" s="30"/>
      <c r="M66" s="30"/>
      <c r="N66" s="31"/>
      <c r="O66" s="30"/>
      <c r="S66" s="30"/>
      <c r="T66" s="30"/>
      <c r="U66" s="30"/>
      <c r="V66" s="30"/>
      <c r="W66" s="30"/>
      <c r="X66" s="30"/>
      <c r="Y66" s="30"/>
      <c r="Z66" s="30"/>
      <c r="AA66" s="30"/>
    </row>
    <row r="67">
      <c r="A67" s="30"/>
      <c r="B67" s="30"/>
      <c r="C67" s="30"/>
      <c r="D67" s="30"/>
      <c r="E67" s="30"/>
      <c r="F67" s="30"/>
      <c r="G67" s="30"/>
      <c r="H67" s="30"/>
      <c r="I67" s="30"/>
      <c r="J67" s="30"/>
      <c r="K67" s="30"/>
      <c r="L67" s="30"/>
      <c r="M67" s="30"/>
      <c r="N67" s="31"/>
      <c r="O67" s="30"/>
      <c r="S67" s="30"/>
      <c r="T67" s="30"/>
      <c r="U67" s="30"/>
      <c r="V67" s="30"/>
      <c r="W67" s="30"/>
      <c r="X67" s="30"/>
      <c r="Y67" s="30"/>
      <c r="Z67" s="30"/>
      <c r="AA67" s="30"/>
    </row>
    <row r="68">
      <c r="A68" s="30"/>
      <c r="B68" s="30"/>
      <c r="C68" s="30"/>
      <c r="D68" s="30"/>
      <c r="E68" s="30"/>
      <c r="F68" s="30"/>
      <c r="G68" s="30"/>
      <c r="H68" s="30"/>
      <c r="I68" s="30"/>
      <c r="J68" s="30"/>
      <c r="K68" s="30"/>
      <c r="L68" s="30"/>
      <c r="M68" s="30"/>
      <c r="N68" s="31"/>
      <c r="O68" s="30"/>
      <c r="S68" s="30"/>
      <c r="T68" s="30"/>
      <c r="U68" s="30"/>
      <c r="V68" s="30"/>
      <c r="W68" s="30"/>
      <c r="X68" s="30"/>
      <c r="Y68" s="30"/>
      <c r="Z68" s="30"/>
      <c r="AA68" s="30"/>
    </row>
    <row r="69">
      <c r="A69" s="30"/>
      <c r="B69" s="30"/>
      <c r="C69" s="30"/>
      <c r="D69" s="30"/>
      <c r="E69" s="30"/>
      <c r="F69" s="30"/>
      <c r="G69" s="30"/>
      <c r="H69" s="30"/>
      <c r="I69" s="30"/>
      <c r="J69" s="30"/>
      <c r="K69" s="30"/>
      <c r="L69" s="30"/>
      <c r="M69" s="30"/>
      <c r="N69" s="31"/>
      <c r="O69" s="30"/>
      <c r="S69" s="30"/>
      <c r="T69" s="30"/>
      <c r="U69" s="30"/>
      <c r="V69" s="30"/>
      <c r="W69" s="30"/>
      <c r="X69" s="30"/>
      <c r="Y69" s="30"/>
      <c r="Z69" s="30"/>
      <c r="AA69" s="30"/>
    </row>
    <row r="70">
      <c r="A70" s="30"/>
      <c r="B70" s="30"/>
      <c r="C70" s="30"/>
      <c r="D70" s="30"/>
      <c r="E70" s="30"/>
      <c r="F70" s="30"/>
      <c r="G70" s="30"/>
      <c r="H70" s="30"/>
      <c r="I70" s="30"/>
      <c r="J70" s="30"/>
      <c r="K70" s="30"/>
      <c r="L70" s="30"/>
      <c r="M70" s="30"/>
      <c r="N70" s="31"/>
      <c r="O70" s="30"/>
      <c r="S70" s="30"/>
      <c r="T70" s="30"/>
      <c r="U70" s="30"/>
      <c r="V70" s="30"/>
      <c r="W70" s="30"/>
      <c r="X70" s="30"/>
      <c r="Y70" s="30"/>
      <c r="Z70" s="30"/>
      <c r="AA70" s="30"/>
    </row>
    <row r="71">
      <c r="A71" s="30"/>
      <c r="B71" s="30"/>
      <c r="C71" s="30"/>
      <c r="D71" s="30"/>
      <c r="E71" s="30"/>
      <c r="F71" s="30"/>
      <c r="G71" s="30"/>
      <c r="H71" s="30"/>
      <c r="I71" s="30"/>
      <c r="J71" s="30"/>
      <c r="K71" s="30"/>
      <c r="L71" s="30"/>
      <c r="M71" s="30"/>
      <c r="N71" s="31"/>
      <c r="O71" s="30"/>
      <c r="S71" s="30"/>
      <c r="T71" s="30"/>
      <c r="U71" s="30"/>
      <c r="V71" s="30"/>
      <c r="W71" s="30"/>
      <c r="X71" s="30"/>
      <c r="Y71" s="30"/>
      <c r="Z71" s="30"/>
      <c r="AA71" s="30"/>
    </row>
    <row r="72">
      <c r="A72" s="30"/>
      <c r="B72" s="30"/>
      <c r="C72" s="30"/>
      <c r="D72" s="30"/>
      <c r="E72" s="30"/>
      <c r="F72" s="30"/>
      <c r="G72" s="30"/>
      <c r="H72" s="30"/>
      <c r="I72" s="30"/>
      <c r="J72" s="30"/>
      <c r="K72" s="30"/>
      <c r="L72" s="30"/>
      <c r="M72" s="30"/>
      <c r="N72" s="31"/>
      <c r="O72" s="30"/>
      <c r="S72" s="30"/>
      <c r="T72" s="30"/>
      <c r="U72" s="30"/>
      <c r="V72" s="30"/>
      <c r="W72" s="30"/>
      <c r="X72" s="30"/>
      <c r="Y72" s="30"/>
      <c r="Z72" s="30"/>
      <c r="AA72" s="30"/>
    </row>
    <row r="73">
      <c r="A73" s="30"/>
      <c r="B73" s="30"/>
      <c r="C73" s="30"/>
      <c r="D73" s="30"/>
      <c r="E73" s="30"/>
      <c r="F73" s="30"/>
      <c r="G73" s="30"/>
      <c r="H73" s="30"/>
      <c r="I73" s="30"/>
      <c r="J73" s="30"/>
      <c r="K73" s="30"/>
      <c r="L73" s="30"/>
      <c r="M73" s="30"/>
      <c r="N73" s="31"/>
      <c r="O73" s="30"/>
      <c r="S73" s="30"/>
      <c r="T73" s="30"/>
      <c r="U73" s="30"/>
      <c r="V73" s="30"/>
      <c r="W73" s="30"/>
      <c r="X73" s="30"/>
      <c r="Y73" s="30"/>
      <c r="Z73" s="30"/>
      <c r="AA73" s="30"/>
    </row>
    <row r="74">
      <c r="A74" s="30"/>
      <c r="B74" s="30"/>
      <c r="C74" s="30"/>
      <c r="D74" s="30"/>
      <c r="E74" s="30"/>
      <c r="F74" s="30"/>
      <c r="G74" s="30"/>
      <c r="H74" s="30"/>
      <c r="I74" s="30"/>
      <c r="J74" s="30"/>
      <c r="K74" s="30"/>
      <c r="L74" s="30"/>
      <c r="M74" s="30"/>
      <c r="N74" s="31"/>
      <c r="O74" s="30"/>
      <c r="S74" s="30"/>
      <c r="T74" s="30"/>
      <c r="U74" s="30"/>
      <c r="V74" s="30"/>
      <c r="W74" s="30"/>
      <c r="X74" s="30"/>
      <c r="Y74" s="30"/>
      <c r="Z74" s="30"/>
      <c r="AA74" s="30"/>
    </row>
    <row r="75">
      <c r="A75" s="30"/>
      <c r="B75" s="30"/>
      <c r="C75" s="30"/>
      <c r="D75" s="30"/>
      <c r="E75" s="30"/>
      <c r="F75" s="30"/>
      <c r="G75" s="30"/>
      <c r="H75" s="30"/>
      <c r="I75" s="30"/>
      <c r="J75" s="30"/>
      <c r="K75" s="30"/>
      <c r="L75" s="30"/>
      <c r="M75" s="30"/>
      <c r="N75" s="31"/>
      <c r="O75" s="30"/>
      <c r="S75" s="30"/>
      <c r="T75" s="30"/>
      <c r="U75" s="30"/>
      <c r="V75" s="30"/>
      <c r="W75" s="30"/>
      <c r="X75" s="30"/>
      <c r="Y75" s="30"/>
      <c r="Z75" s="30"/>
      <c r="AA75" s="30"/>
    </row>
    <row r="76">
      <c r="A76" s="30"/>
      <c r="B76" s="30"/>
      <c r="C76" s="30"/>
      <c r="D76" s="30"/>
      <c r="E76" s="30"/>
      <c r="F76" s="30"/>
      <c r="G76" s="30"/>
      <c r="H76" s="30"/>
      <c r="I76" s="30"/>
      <c r="J76" s="30"/>
      <c r="K76" s="30"/>
      <c r="L76" s="30"/>
      <c r="M76" s="30"/>
      <c r="N76" s="31"/>
      <c r="O76" s="30"/>
      <c r="S76" s="30"/>
      <c r="T76" s="30"/>
      <c r="U76" s="30"/>
      <c r="V76" s="30"/>
      <c r="W76" s="30"/>
      <c r="X76" s="30"/>
      <c r="Y76" s="30"/>
      <c r="Z76" s="30"/>
      <c r="AA76" s="30"/>
    </row>
    <row r="77">
      <c r="A77" s="30"/>
      <c r="B77" s="30"/>
      <c r="C77" s="30"/>
      <c r="D77" s="30"/>
      <c r="E77" s="30"/>
      <c r="F77" s="30"/>
      <c r="G77" s="30"/>
      <c r="H77" s="30"/>
      <c r="I77" s="30"/>
      <c r="J77" s="30"/>
      <c r="K77" s="30"/>
      <c r="L77" s="30"/>
      <c r="M77" s="30"/>
      <c r="N77" s="35"/>
      <c r="O77" s="30"/>
      <c r="S77" s="30"/>
      <c r="T77" s="30"/>
      <c r="U77" s="30"/>
      <c r="V77" s="30"/>
      <c r="W77" s="30"/>
      <c r="X77" s="30"/>
      <c r="Y77" s="30"/>
      <c r="Z77" s="30"/>
      <c r="AA77" s="30"/>
    </row>
    <row r="78">
      <c r="A78" s="30"/>
      <c r="B78" s="30"/>
      <c r="C78" s="30"/>
      <c r="D78" s="30"/>
      <c r="E78" s="30"/>
      <c r="F78" s="30"/>
      <c r="G78" s="30"/>
      <c r="H78" s="30"/>
      <c r="I78" s="30"/>
      <c r="J78" s="30"/>
      <c r="K78" s="30"/>
      <c r="L78" s="30"/>
      <c r="M78" s="30"/>
      <c r="N78" s="31"/>
      <c r="O78" s="30"/>
      <c r="S78" s="30"/>
      <c r="T78" s="30"/>
      <c r="U78" s="30"/>
      <c r="V78" s="30"/>
      <c r="W78" s="30"/>
      <c r="X78" s="30"/>
      <c r="Y78" s="30"/>
      <c r="Z78" s="30"/>
      <c r="AA78" s="30"/>
    </row>
    <row r="79">
      <c r="A79" s="30"/>
      <c r="B79" s="30"/>
      <c r="C79" s="30"/>
      <c r="D79" s="30"/>
      <c r="E79" s="30"/>
      <c r="F79" s="30"/>
      <c r="G79" s="30"/>
      <c r="H79" s="30"/>
      <c r="I79" s="30"/>
      <c r="J79" s="30"/>
      <c r="K79" s="30"/>
      <c r="L79" s="30"/>
      <c r="M79" s="30"/>
      <c r="N79" s="35"/>
      <c r="O79" s="30"/>
      <c r="S79" s="30"/>
      <c r="T79" s="30"/>
      <c r="U79" s="30"/>
      <c r="V79" s="30"/>
      <c r="W79" s="30"/>
      <c r="X79" s="30"/>
      <c r="Y79" s="30"/>
      <c r="Z79" s="30"/>
      <c r="AA79" s="30"/>
    </row>
    <row r="80">
      <c r="A80" s="30"/>
      <c r="B80" s="30"/>
      <c r="C80" s="30"/>
      <c r="D80" s="30"/>
      <c r="E80" s="30"/>
      <c r="F80" s="30"/>
      <c r="G80" s="30"/>
      <c r="H80" s="30"/>
      <c r="I80" s="30"/>
      <c r="J80" s="30"/>
      <c r="K80" s="30"/>
      <c r="L80" s="30"/>
      <c r="M80" s="30"/>
      <c r="N80" s="31"/>
      <c r="O80" s="30"/>
      <c r="S80" s="30"/>
      <c r="T80" s="30"/>
      <c r="U80" s="30"/>
      <c r="V80" s="30"/>
      <c r="W80" s="30"/>
      <c r="X80" s="30"/>
      <c r="Y80" s="30"/>
      <c r="Z80" s="30"/>
      <c r="AA80" s="30"/>
    </row>
    <row r="81">
      <c r="A81" s="30"/>
      <c r="B81" s="30"/>
      <c r="C81" s="30"/>
      <c r="D81" s="30"/>
      <c r="E81" s="30"/>
      <c r="F81" s="30"/>
      <c r="G81" s="30"/>
      <c r="H81" s="30"/>
      <c r="I81" s="30"/>
      <c r="J81" s="30"/>
      <c r="K81" s="30"/>
      <c r="L81" s="30"/>
      <c r="M81" s="30"/>
      <c r="N81" s="31"/>
      <c r="O81" s="30"/>
      <c r="S81" s="30"/>
      <c r="T81" s="30"/>
      <c r="U81" s="30"/>
      <c r="V81" s="30"/>
      <c r="W81" s="30"/>
      <c r="X81" s="30"/>
      <c r="Y81" s="30"/>
      <c r="Z81" s="30"/>
      <c r="AA81" s="30"/>
    </row>
    <row r="82">
      <c r="A82" s="30"/>
      <c r="B82" s="30"/>
      <c r="C82" s="30"/>
      <c r="D82" s="30"/>
      <c r="E82" s="30"/>
      <c r="F82" s="30"/>
      <c r="G82" s="30"/>
      <c r="H82" s="30"/>
      <c r="I82" s="30"/>
      <c r="J82" s="30"/>
      <c r="K82" s="30"/>
      <c r="L82" s="30"/>
      <c r="M82" s="30"/>
      <c r="N82" s="31"/>
      <c r="O82" s="30"/>
      <c r="S82" s="30"/>
      <c r="T82" s="30"/>
      <c r="U82" s="30"/>
      <c r="V82" s="30"/>
      <c r="W82" s="30"/>
      <c r="X82" s="30"/>
      <c r="Y82" s="30"/>
      <c r="Z82" s="30"/>
      <c r="AA82" s="30"/>
    </row>
    <row r="83">
      <c r="A83" s="30"/>
      <c r="B83" s="30"/>
      <c r="C83" s="30"/>
      <c r="D83" s="30"/>
      <c r="E83" s="30"/>
      <c r="F83" s="30"/>
      <c r="G83" s="30"/>
      <c r="H83" s="30"/>
      <c r="I83" s="30"/>
      <c r="J83" s="30"/>
      <c r="K83" s="30"/>
      <c r="L83" s="30"/>
      <c r="M83" s="30"/>
      <c r="N83" s="31"/>
      <c r="O83" s="30"/>
      <c r="S83" s="30"/>
      <c r="T83" s="30"/>
      <c r="U83" s="30"/>
      <c r="V83" s="30"/>
      <c r="W83" s="30"/>
      <c r="X83" s="30"/>
      <c r="Y83" s="30"/>
      <c r="Z83" s="30"/>
      <c r="AA83" s="30"/>
    </row>
    <row r="84">
      <c r="A84" s="30"/>
      <c r="B84" s="30"/>
      <c r="C84" s="30"/>
      <c r="D84" s="30"/>
      <c r="E84" s="30"/>
      <c r="F84" s="30"/>
      <c r="G84" s="30"/>
      <c r="H84" s="30"/>
      <c r="I84" s="30"/>
      <c r="J84" s="30"/>
      <c r="K84" s="30"/>
      <c r="L84" s="30"/>
      <c r="M84" s="30"/>
      <c r="N84" s="31"/>
      <c r="O84" s="30"/>
      <c r="S84" s="30"/>
      <c r="T84" s="30"/>
      <c r="U84" s="30"/>
      <c r="V84" s="30"/>
      <c r="W84" s="30"/>
      <c r="X84" s="30"/>
      <c r="Y84" s="30"/>
      <c r="Z84" s="30"/>
      <c r="AA84" s="30"/>
    </row>
    <row r="85">
      <c r="A85" s="30"/>
      <c r="B85" s="30"/>
      <c r="C85" s="30"/>
      <c r="D85" s="30"/>
      <c r="E85" s="30"/>
      <c r="F85" s="30"/>
      <c r="G85" s="30"/>
      <c r="H85" s="30"/>
      <c r="I85" s="30"/>
      <c r="J85" s="30"/>
      <c r="K85" s="30"/>
      <c r="L85" s="30"/>
      <c r="M85" s="30"/>
      <c r="N85" s="31"/>
      <c r="O85" s="30"/>
      <c r="S85" s="30"/>
      <c r="T85" s="30"/>
      <c r="U85" s="30"/>
      <c r="V85" s="30"/>
      <c r="W85" s="30"/>
      <c r="X85" s="30"/>
      <c r="Y85" s="30"/>
      <c r="Z85" s="30"/>
      <c r="AA85" s="30"/>
    </row>
    <row r="86">
      <c r="A86" s="30"/>
      <c r="B86" s="30"/>
      <c r="C86" s="30"/>
      <c r="D86" s="30"/>
      <c r="E86" s="30"/>
      <c r="F86" s="30"/>
      <c r="G86" s="30"/>
      <c r="H86" s="30"/>
      <c r="I86" s="30"/>
      <c r="J86" s="30"/>
      <c r="K86" s="30"/>
      <c r="L86" s="30"/>
      <c r="M86" s="30"/>
      <c r="N86" s="31"/>
      <c r="O86" s="30"/>
      <c r="S86" s="30"/>
      <c r="T86" s="30"/>
      <c r="U86" s="30"/>
      <c r="V86" s="30"/>
      <c r="W86" s="30"/>
      <c r="X86" s="30"/>
      <c r="Y86" s="30"/>
      <c r="Z86" s="30"/>
      <c r="AA86" s="30"/>
    </row>
    <row r="87">
      <c r="A87" s="30"/>
      <c r="B87" s="30"/>
      <c r="C87" s="30"/>
      <c r="D87" s="30"/>
      <c r="E87" s="30"/>
      <c r="F87" s="30"/>
      <c r="G87" s="30"/>
      <c r="H87" s="30"/>
      <c r="I87" s="30"/>
      <c r="J87" s="30"/>
      <c r="K87" s="30"/>
      <c r="L87" s="30"/>
      <c r="M87" s="30"/>
      <c r="N87" s="31"/>
      <c r="O87" s="30"/>
      <c r="S87" s="30"/>
      <c r="T87" s="30"/>
      <c r="U87" s="30"/>
      <c r="V87" s="30"/>
      <c r="W87" s="30"/>
      <c r="X87" s="30"/>
      <c r="Y87" s="30"/>
      <c r="Z87" s="30"/>
      <c r="AA87" s="30"/>
    </row>
    <row r="88">
      <c r="A88" s="30"/>
      <c r="B88" s="30"/>
      <c r="C88" s="30"/>
      <c r="D88" s="30"/>
      <c r="E88" s="30"/>
      <c r="F88" s="30"/>
      <c r="G88" s="30"/>
      <c r="H88" s="30"/>
      <c r="I88" s="30"/>
      <c r="J88" s="30"/>
      <c r="K88" s="30"/>
      <c r="L88" s="30"/>
      <c r="M88" s="30"/>
      <c r="N88" s="31"/>
      <c r="O88" s="30"/>
      <c r="S88" s="30"/>
      <c r="T88" s="30"/>
      <c r="U88" s="30"/>
      <c r="V88" s="30"/>
      <c r="W88" s="30"/>
      <c r="X88" s="30"/>
      <c r="Y88" s="30"/>
      <c r="Z88" s="30"/>
      <c r="AA88" s="30"/>
    </row>
    <row r="89">
      <c r="A89" s="30"/>
      <c r="B89" s="30"/>
      <c r="C89" s="30"/>
      <c r="D89" s="30"/>
      <c r="E89" s="30"/>
      <c r="F89" s="30"/>
      <c r="G89" s="30"/>
      <c r="H89" s="30"/>
      <c r="I89" s="30"/>
      <c r="J89" s="30"/>
      <c r="K89" s="30"/>
      <c r="L89" s="30"/>
      <c r="M89" s="30"/>
      <c r="N89" s="31"/>
      <c r="O89" s="30"/>
      <c r="S89" s="30"/>
      <c r="T89" s="30"/>
      <c r="U89" s="30"/>
      <c r="V89" s="30"/>
      <c r="W89" s="30"/>
      <c r="X89" s="30"/>
      <c r="Y89" s="30"/>
      <c r="Z89" s="30"/>
      <c r="AA89" s="30"/>
    </row>
    <row r="90">
      <c r="A90" s="30"/>
      <c r="B90" s="30"/>
      <c r="C90" s="30"/>
      <c r="D90" s="30"/>
      <c r="E90" s="30"/>
      <c r="F90" s="30"/>
      <c r="G90" s="30"/>
      <c r="H90" s="30"/>
      <c r="I90" s="30"/>
      <c r="J90" s="30"/>
      <c r="K90" s="30"/>
      <c r="L90" s="30"/>
      <c r="M90" s="30"/>
      <c r="N90" s="31"/>
      <c r="O90" s="30"/>
      <c r="S90" s="30"/>
      <c r="T90" s="30"/>
      <c r="U90" s="30"/>
      <c r="V90" s="30"/>
      <c r="W90" s="30"/>
      <c r="X90" s="30"/>
      <c r="Y90" s="30"/>
      <c r="Z90" s="30"/>
      <c r="AA90" s="30"/>
    </row>
    <row r="91">
      <c r="A91" s="30"/>
      <c r="B91" s="30"/>
      <c r="C91" s="30"/>
      <c r="D91" s="30"/>
      <c r="E91" s="30"/>
      <c r="F91" s="30"/>
      <c r="G91" s="30"/>
      <c r="H91" s="30"/>
      <c r="I91" s="30"/>
      <c r="J91" s="30"/>
      <c r="K91" s="30"/>
      <c r="L91" s="30"/>
      <c r="M91" s="30"/>
      <c r="N91" s="31"/>
      <c r="O91" s="30"/>
      <c r="S91" s="30"/>
      <c r="T91" s="30"/>
      <c r="U91" s="30"/>
      <c r="V91" s="30"/>
      <c r="W91" s="30"/>
      <c r="X91" s="30"/>
      <c r="Y91" s="30"/>
      <c r="Z91" s="30"/>
      <c r="AA91" s="30"/>
    </row>
    <row r="92">
      <c r="A92" s="30"/>
      <c r="B92" s="30"/>
      <c r="C92" s="30"/>
      <c r="D92" s="30"/>
      <c r="E92" s="30"/>
      <c r="F92" s="30"/>
      <c r="G92" s="30"/>
      <c r="H92" s="30"/>
      <c r="I92" s="30"/>
      <c r="J92" s="30"/>
      <c r="K92" s="30"/>
      <c r="L92" s="30"/>
      <c r="M92" s="30"/>
      <c r="N92" s="31"/>
      <c r="O92" s="30"/>
      <c r="S92" s="30"/>
      <c r="T92" s="30"/>
      <c r="U92" s="30"/>
      <c r="V92" s="30"/>
      <c r="W92" s="30"/>
      <c r="X92" s="30"/>
      <c r="Y92" s="30"/>
      <c r="Z92" s="30"/>
      <c r="AA92" s="30"/>
    </row>
    <row r="93">
      <c r="A93" s="30"/>
      <c r="B93" s="30"/>
      <c r="C93" s="30"/>
      <c r="D93" s="30"/>
      <c r="E93" s="30"/>
      <c r="F93" s="30"/>
      <c r="G93" s="30"/>
      <c r="H93" s="30"/>
      <c r="I93" s="30"/>
      <c r="J93" s="30"/>
      <c r="K93" s="30"/>
      <c r="L93" s="30"/>
      <c r="M93" s="30"/>
      <c r="N93" s="31"/>
      <c r="O93" s="30"/>
      <c r="S93" s="30"/>
      <c r="T93" s="30"/>
      <c r="U93" s="30"/>
      <c r="V93" s="30"/>
      <c r="W93" s="30"/>
      <c r="X93" s="30"/>
      <c r="Y93" s="30"/>
      <c r="Z93" s="30"/>
      <c r="AA93" s="30"/>
    </row>
    <row r="94">
      <c r="A94" s="30"/>
      <c r="B94" s="30"/>
      <c r="C94" s="30"/>
      <c r="D94" s="30"/>
      <c r="E94" s="30"/>
      <c r="F94" s="30"/>
      <c r="G94" s="30"/>
      <c r="H94" s="30"/>
      <c r="I94" s="30"/>
      <c r="J94" s="30"/>
      <c r="K94" s="30"/>
      <c r="L94" s="30"/>
      <c r="M94" s="30"/>
      <c r="N94" s="31"/>
      <c r="O94" s="30"/>
      <c r="S94" s="30"/>
      <c r="T94" s="30"/>
      <c r="U94" s="30"/>
      <c r="V94" s="30"/>
      <c r="W94" s="30"/>
      <c r="X94" s="30"/>
      <c r="Y94" s="30"/>
      <c r="Z94" s="30"/>
      <c r="AA94" s="30"/>
    </row>
    <row r="95">
      <c r="A95" s="30"/>
      <c r="B95" s="30"/>
      <c r="C95" s="30"/>
      <c r="D95" s="30"/>
      <c r="E95" s="30"/>
      <c r="F95" s="30"/>
      <c r="G95" s="30"/>
      <c r="H95" s="30"/>
      <c r="I95" s="30"/>
      <c r="J95" s="30"/>
      <c r="K95" s="30"/>
      <c r="L95" s="30"/>
      <c r="M95" s="30"/>
      <c r="N95" s="31"/>
      <c r="O95" s="30"/>
      <c r="S95" s="30"/>
      <c r="T95" s="30"/>
      <c r="U95" s="30"/>
      <c r="V95" s="30"/>
      <c r="W95" s="30"/>
      <c r="X95" s="30"/>
      <c r="Y95" s="30"/>
      <c r="Z95" s="30"/>
      <c r="AA95" s="30"/>
    </row>
    <row r="96">
      <c r="A96" s="30"/>
      <c r="B96" s="30"/>
      <c r="C96" s="30"/>
      <c r="D96" s="30"/>
      <c r="E96" s="30"/>
      <c r="F96" s="30"/>
      <c r="G96" s="30"/>
      <c r="H96" s="30"/>
      <c r="I96" s="30"/>
      <c r="J96" s="30"/>
      <c r="K96" s="30"/>
      <c r="L96" s="30"/>
      <c r="M96" s="30"/>
      <c r="N96" s="31"/>
      <c r="O96" s="30"/>
      <c r="S96" s="30"/>
      <c r="T96" s="30"/>
      <c r="U96" s="30"/>
      <c r="V96" s="30"/>
      <c r="W96" s="30"/>
      <c r="X96" s="30"/>
      <c r="Y96" s="30"/>
      <c r="Z96" s="30"/>
      <c r="AA96" s="30"/>
    </row>
    <row r="97">
      <c r="A97" s="30"/>
      <c r="B97" s="30"/>
      <c r="C97" s="30"/>
      <c r="D97" s="30"/>
      <c r="E97" s="30"/>
      <c r="F97" s="30"/>
      <c r="G97" s="30"/>
      <c r="H97" s="30"/>
      <c r="I97" s="30"/>
      <c r="J97" s="30"/>
      <c r="K97" s="30"/>
      <c r="L97" s="30"/>
      <c r="M97" s="30"/>
      <c r="N97" s="31"/>
      <c r="O97" s="30"/>
      <c r="S97" s="30"/>
      <c r="T97" s="30"/>
      <c r="U97" s="30"/>
      <c r="V97" s="30"/>
      <c r="W97" s="30"/>
      <c r="X97" s="30"/>
      <c r="Y97" s="30"/>
      <c r="Z97" s="30"/>
      <c r="AA97" s="30"/>
    </row>
    <row r="98">
      <c r="A98" s="30"/>
      <c r="B98" s="30"/>
      <c r="C98" s="30"/>
      <c r="D98" s="30"/>
      <c r="E98" s="30"/>
      <c r="F98" s="30"/>
      <c r="G98" s="30"/>
      <c r="H98" s="30"/>
      <c r="I98" s="30"/>
      <c r="J98" s="30"/>
      <c r="K98" s="30"/>
      <c r="L98" s="30"/>
      <c r="M98" s="30"/>
      <c r="N98" s="31"/>
      <c r="O98" s="30"/>
      <c r="S98" s="30"/>
      <c r="T98" s="30"/>
      <c r="U98" s="30"/>
      <c r="V98" s="30"/>
      <c r="W98" s="30"/>
      <c r="X98" s="30"/>
      <c r="Y98" s="30"/>
      <c r="Z98" s="30"/>
      <c r="AA98" s="30"/>
    </row>
    <row r="99">
      <c r="A99" s="30"/>
      <c r="B99" s="30"/>
      <c r="C99" s="30"/>
      <c r="D99" s="30"/>
      <c r="E99" s="30"/>
      <c r="F99" s="30"/>
      <c r="G99" s="30"/>
      <c r="H99" s="30"/>
      <c r="I99" s="30"/>
      <c r="J99" s="30"/>
      <c r="K99" s="30"/>
      <c r="L99" s="30"/>
      <c r="M99" s="30"/>
      <c r="N99" s="31"/>
      <c r="O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1"/>
      <c r="O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1"/>
      <c r="O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1"/>
      <c r="O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1"/>
      <c r="O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1"/>
      <c r="O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1"/>
      <c r="O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1"/>
      <c r="O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1"/>
      <c r="O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1"/>
      <c r="O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1"/>
      <c r="O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1"/>
      <c r="O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1"/>
      <c r="O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1"/>
      <c r="O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1"/>
      <c r="O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1"/>
      <c r="O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1"/>
      <c r="O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1"/>
      <c r="O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1"/>
      <c r="O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1"/>
      <c r="O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1"/>
      <c r="O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1"/>
      <c r="O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1"/>
      <c r="O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1"/>
      <c r="O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1"/>
      <c r="O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1"/>
      <c r="O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1"/>
      <c r="O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1"/>
      <c r="O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1"/>
      <c r="O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1"/>
      <c r="O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1"/>
      <c r="O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1"/>
      <c r="O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1"/>
      <c r="O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1"/>
      <c r="O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1"/>
      <c r="O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1"/>
      <c r="O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1"/>
      <c r="O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1"/>
      <c r="O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1"/>
      <c r="O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1"/>
      <c r="O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1"/>
      <c r="O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1"/>
      <c r="O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1"/>
      <c r="O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1"/>
      <c r="O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1"/>
      <c r="O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1"/>
      <c r="O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1"/>
      <c r="O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1"/>
      <c r="O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1"/>
      <c r="O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1"/>
      <c r="O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1"/>
      <c r="O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1"/>
      <c r="O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1"/>
      <c r="O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1"/>
      <c r="O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1"/>
      <c r="O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1"/>
      <c r="O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1"/>
      <c r="O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1"/>
      <c r="O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1"/>
      <c r="O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1"/>
      <c r="O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1"/>
      <c r="O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1"/>
      <c r="O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1"/>
      <c r="O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1"/>
      <c r="O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1"/>
      <c r="O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1"/>
      <c r="O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1"/>
      <c r="O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1"/>
      <c r="O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1"/>
      <c r="O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1"/>
      <c r="O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1"/>
      <c r="O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1"/>
      <c r="O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1"/>
      <c r="O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1"/>
      <c r="O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1"/>
      <c r="O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1"/>
      <c r="O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1"/>
      <c r="O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1"/>
      <c r="O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1"/>
      <c r="O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1"/>
      <c r="O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1"/>
      <c r="O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1"/>
      <c r="O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1"/>
      <c r="O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1"/>
      <c r="O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1"/>
      <c r="O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1"/>
      <c r="O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1"/>
      <c r="O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1"/>
      <c r="O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1"/>
      <c r="O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1"/>
      <c r="O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1"/>
      <c r="O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1"/>
      <c r="O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1"/>
      <c r="O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1"/>
      <c r="O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1"/>
      <c r="O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1"/>
      <c r="O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1"/>
      <c r="O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1"/>
      <c r="O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1"/>
      <c r="O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1"/>
      <c r="O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1"/>
      <c r="O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1"/>
      <c r="O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1"/>
      <c r="O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1"/>
      <c r="O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1"/>
      <c r="O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1"/>
      <c r="O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1"/>
      <c r="O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1"/>
      <c r="O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1"/>
      <c r="O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1"/>
      <c r="O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1"/>
      <c r="O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1"/>
      <c r="O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1"/>
      <c r="O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1"/>
      <c r="O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1"/>
      <c r="O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1"/>
      <c r="O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1"/>
      <c r="O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1"/>
      <c r="O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1"/>
      <c r="O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1"/>
      <c r="O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1"/>
      <c r="O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1"/>
      <c r="O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1"/>
      <c r="O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1"/>
      <c r="O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1"/>
      <c r="O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1"/>
      <c r="O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1"/>
      <c r="O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1"/>
      <c r="O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1"/>
      <c r="O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1"/>
      <c r="O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1"/>
      <c r="O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1"/>
      <c r="O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1"/>
      <c r="O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1"/>
      <c r="O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1"/>
      <c r="O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1"/>
      <c r="O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1"/>
      <c r="O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1"/>
      <c r="O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1"/>
      <c r="O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1"/>
      <c r="O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1"/>
      <c r="O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1"/>
      <c r="O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1"/>
      <c r="O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1"/>
      <c r="O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1"/>
      <c r="O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1"/>
      <c r="O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1"/>
      <c r="O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1"/>
      <c r="O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1"/>
      <c r="O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1"/>
      <c r="O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1"/>
      <c r="O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1"/>
      <c r="O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1"/>
      <c r="O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1"/>
      <c r="O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1"/>
      <c r="O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1"/>
      <c r="O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1"/>
      <c r="O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1"/>
      <c r="O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1"/>
      <c r="O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1"/>
      <c r="O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1"/>
      <c r="O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1"/>
      <c r="O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1"/>
      <c r="O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1"/>
      <c r="O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1"/>
      <c r="O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1"/>
      <c r="O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1"/>
      <c r="O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1"/>
      <c r="O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1"/>
      <c r="O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1"/>
      <c r="O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1"/>
      <c r="O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1"/>
      <c r="O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1"/>
      <c r="O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1"/>
      <c r="O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1"/>
      <c r="O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1"/>
      <c r="O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1"/>
      <c r="O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1"/>
      <c r="O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1"/>
      <c r="O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1"/>
      <c r="O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1"/>
      <c r="O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1"/>
      <c r="O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1"/>
      <c r="O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1"/>
      <c r="O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1"/>
      <c r="O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1"/>
      <c r="O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1"/>
      <c r="O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1"/>
      <c r="O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1"/>
      <c r="O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1"/>
      <c r="O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1"/>
      <c r="O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1"/>
      <c r="O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1"/>
      <c r="O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1"/>
      <c r="O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1"/>
      <c r="O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1"/>
      <c r="O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1"/>
      <c r="O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1"/>
      <c r="O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1"/>
      <c r="O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1"/>
      <c r="O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1"/>
      <c r="O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5"/>
      <c r="O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1"/>
      <c r="O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1"/>
      <c r="O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1"/>
      <c r="O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1"/>
      <c r="O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1"/>
      <c r="O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1"/>
      <c r="O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1"/>
      <c r="O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1"/>
      <c r="O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1"/>
      <c r="O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1"/>
      <c r="O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1"/>
      <c r="O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1"/>
      <c r="O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1"/>
      <c r="O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5"/>
      <c r="O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1"/>
      <c r="O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1"/>
      <c r="O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5"/>
      <c r="O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1"/>
      <c r="O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1"/>
      <c r="O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1"/>
      <c r="O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1"/>
      <c r="O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1"/>
      <c r="O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1"/>
      <c r="O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1"/>
      <c r="O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1"/>
      <c r="O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1"/>
      <c r="O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1"/>
      <c r="O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1"/>
      <c r="O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1"/>
      <c r="O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1"/>
      <c r="O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1"/>
      <c r="O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1"/>
      <c r="O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1"/>
      <c r="O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5"/>
      <c r="O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1"/>
      <c r="O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1"/>
      <c r="O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1"/>
      <c r="O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1"/>
      <c r="O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1"/>
      <c r="O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1"/>
      <c r="O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1"/>
      <c r="O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1"/>
      <c r="O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1"/>
      <c r="O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1"/>
      <c r="O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1"/>
      <c r="O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1"/>
      <c r="O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1"/>
      <c r="O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1"/>
      <c r="O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5"/>
      <c r="O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1"/>
      <c r="O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1"/>
      <c r="O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1"/>
      <c r="O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1"/>
      <c r="O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1"/>
      <c r="O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1"/>
      <c r="O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1"/>
      <c r="O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1"/>
      <c r="O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1"/>
      <c r="O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1"/>
      <c r="O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1"/>
      <c r="O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1"/>
      <c r="O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1"/>
      <c r="O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1"/>
      <c r="O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1"/>
      <c r="O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1"/>
      <c r="O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1"/>
      <c r="O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1"/>
      <c r="O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1"/>
      <c r="O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1"/>
      <c r="O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1"/>
      <c r="O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1"/>
      <c r="O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1"/>
      <c r="O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1"/>
      <c r="O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1"/>
      <c r="O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1"/>
      <c r="O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1"/>
      <c r="O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1"/>
      <c r="O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1"/>
      <c r="O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1"/>
      <c r="O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1"/>
      <c r="O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1"/>
      <c r="O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1"/>
      <c r="O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1"/>
      <c r="O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1"/>
      <c r="O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1"/>
      <c r="O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1"/>
      <c r="O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1"/>
      <c r="O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1"/>
      <c r="O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1"/>
      <c r="O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1"/>
      <c r="O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1"/>
      <c r="O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1"/>
      <c r="O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1"/>
      <c r="O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5"/>
      <c r="O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1"/>
      <c r="O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1"/>
      <c r="O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1"/>
      <c r="O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1"/>
      <c r="O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1"/>
      <c r="O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1"/>
      <c r="O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1"/>
      <c r="O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1"/>
      <c r="O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1"/>
      <c r="O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1"/>
      <c r="O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1"/>
      <c r="O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1"/>
      <c r="O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1"/>
      <c r="O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1"/>
      <c r="O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1"/>
      <c r="O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1"/>
      <c r="O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1"/>
      <c r="O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1"/>
      <c r="O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1"/>
      <c r="O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1"/>
      <c r="O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1"/>
      <c r="O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1"/>
      <c r="O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1"/>
      <c r="O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1"/>
      <c r="O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1"/>
      <c r="O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1"/>
      <c r="O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1"/>
      <c r="O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1"/>
      <c r="O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1"/>
      <c r="O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1"/>
      <c r="O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1"/>
      <c r="O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1"/>
      <c r="O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1"/>
      <c r="O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1"/>
      <c r="O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1"/>
      <c r="O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1"/>
      <c r="O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1"/>
      <c r="O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1"/>
      <c r="O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1"/>
      <c r="O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1"/>
      <c r="O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1"/>
      <c r="O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1"/>
      <c r="O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1"/>
      <c r="O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1"/>
      <c r="O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1"/>
      <c r="O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1"/>
      <c r="O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1"/>
      <c r="O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1"/>
      <c r="O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1"/>
      <c r="O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1"/>
      <c r="O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1"/>
      <c r="O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1"/>
      <c r="O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1"/>
      <c r="O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1"/>
      <c r="O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1"/>
      <c r="O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1"/>
      <c r="O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1"/>
      <c r="O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1"/>
      <c r="O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1"/>
      <c r="O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1"/>
      <c r="O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1"/>
      <c r="O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1"/>
      <c r="O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1"/>
      <c r="O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1"/>
      <c r="O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1"/>
      <c r="O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1"/>
      <c r="O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5"/>
      <c r="O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1"/>
      <c r="O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1"/>
      <c r="O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1"/>
      <c r="O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1"/>
      <c r="O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1"/>
      <c r="O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1"/>
      <c r="O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1"/>
      <c r="O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1"/>
      <c r="O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1"/>
      <c r="O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1"/>
      <c r="O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1"/>
      <c r="O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1"/>
      <c r="O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1"/>
      <c r="O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1"/>
      <c r="O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1"/>
      <c r="O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1"/>
      <c r="O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1"/>
      <c r="O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1"/>
      <c r="O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1"/>
      <c r="O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1"/>
      <c r="O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1"/>
      <c r="O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1"/>
      <c r="O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1"/>
      <c r="O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1"/>
      <c r="O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1"/>
      <c r="O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1"/>
      <c r="O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1"/>
      <c r="O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1"/>
      <c r="O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1"/>
      <c r="O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1"/>
      <c r="O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1"/>
      <c r="O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1"/>
      <c r="O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1"/>
      <c r="O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1"/>
      <c r="O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1"/>
      <c r="O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1"/>
      <c r="O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1"/>
      <c r="O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1"/>
      <c r="O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1"/>
      <c r="O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1"/>
      <c r="O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1"/>
      <c r="O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1"/>
      <c r="O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1"/>
      <c r="O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1"/>
      <c r="O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1"/>
      <c r="O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1"/>
      <c r="O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1"/>
      <c r="O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1"/>
      <c r="O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1"/>
      <c r="O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1"/>
      <c r="O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1"/>
      <c r="O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1"/>
      <c r="O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1"/>
      <c r="O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1"/>
      <c r="O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1"/>
      <c r="O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1"/>
      <c r="O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1"/>
      <c r="O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1"/>
      <c r="O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1"/>
      <c r="O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1"/>
      <c r="O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1"/>
      <c r="O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1"/>
      <c r="O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1"/>
      <c r="O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5"/>
      <c r="O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1"/>
      <c r="O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1"/>
      <c r="O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1"/>
      <c r="O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1"/>
      <c r="O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1"/>
      <c r="O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1"/>
      <c r="O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1"/>
      <c r="O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1"/>
      <c r="O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1"/>
      <c r="O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1"/>
      <c r="O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1"/>
      <c r="O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1"/>
      <c r="O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1"/>
      <c r="O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1"/>
      <c r="O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1"/>
      <c r="O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1"/>
      <c r="O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1"/>
      <c r="O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1"/>
      <c r="O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1"/>
      <c r="O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1"/>
      <c r="O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1"/>
      <c r="O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1"/>
      <c r="O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1"/>
      <c r="O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1"/>
      <c r="O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1"/>
      <c r="O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1"/>
      <c r="O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1"/>
      <c r="O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5"/>
      <c r="O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5"/>
      <c r="O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1"/>
      <c r="O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1"/>
      <c r="O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1"/>
      <c r="O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1"/>
      <c r="O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1"/>
      <c r="O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1"/>
      <c r="O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1"/>
      <c r="O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1"/>
      <c r="O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5"/>
      <c r="O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1"/>
      <c r="O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1"/>
      <c r="O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1"/>
      <c r="O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1"/>
      <c r="O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1"/>
      <c r="O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1"/>
      <c r="O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1"/>
      <c r="O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1"/>
      <c r="O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1"/>
      <c r="O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1"/>
      <c r="O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1"/>
      <c r="O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1"/>
      <c r="O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1"/>
      <c r="O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1"/>
      <c r="O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1"/>
      <c r="O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1"/>
      <c r="O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1"/>
      <c r="O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1"/>
      <c r="O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1"/>
      <c r="O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1"/>
      <c r="O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1"/>
      <c r="O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1"/>
      <c r="O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1"/>
      <c r="O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1"/>
      <c r="O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1"/>
      <c r="O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1"/>
      <c r="O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1"/>
      <c r="O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1"/>
      <c r="O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1"/>
      <c r="O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1"/>
      <c r="O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1"/>
      <c r="O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1"/>
      <c r="O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1"/>
      <c r="O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5"/>
      <c r="O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1"/>
      <c r="O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1"/>
      <c r="O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1"/>
      <c r="O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1"/>
      <c r="O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1"/>
      <c r="O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1"/>
      <c r="O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1"/>
      <c r="O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1"/>
      <c r="O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1"/>
      <c r="O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1"/>
      <c r="O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1"/>
      <c r="O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1"/>
      <c r="O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1"/>
      <c r="O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1"/>
      <c r="O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1"/>
      <c r="O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1"/>
      <c r="O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1"/>
      <c r="O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1"/>
      <c r="O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1"/>
      <c r="O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5"/>
      <c r="O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1"/>
      <c r="O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1"/>
      <c r="O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1"/>
      <c r="O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1"/>
      <c r="O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1"/>
      <c r="O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1"/>
      <c r="O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1"/>
      <c r="O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1"/>
      <c r="O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1"/>
      <c r="O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1"/>
      <c r="O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1"/>
      <c r="O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1"/>
      <c r="O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1"/>
      <c r="O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1"/>
      <c r="O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1"/>
      <c r="O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1"/>
      <c r="O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1"/>
      <c r="O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1"/>
      <c r="O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1"/>
      <c r="O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1"/>
      <c r="O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1"/>
      <c r="O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1"/>
      <c r="O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1"/>
      <c r="O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1"/>
      <c r="O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1"/>
      <c r="O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5"/>
      <c r="O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1"/>
      <c r="O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1"/>
      <c r="O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1"/>
      <c r="O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1"/>
      <c r="O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1"/>
      <c r="O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1"/>
      <c r="O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1"/>
      <c r="O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1"/>
      <c r="O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1"/>
      <c r="O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1"/>
      <c r="O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1"/>
      <c r="O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1"/>
      <c r="O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1"/>
      <c r="O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1"/>
      <c r="O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1"/>
      <c r="O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1"/>
      <c r="O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1"/>
      <c r="O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1"/>
      <c r="O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1"/>
      <c r="O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1"/>
      <c r="O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1"/>
      <c r="O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1"/>
      <c r="O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1"/>
      <c r="O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1"/>
      <c r="O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1"/>
      <c r="O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1"/>
      <c r="O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1"/>
      <c r="O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1"/>
      <c r="O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1"/>
      <c r="O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1"/>
      <c r="O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1"/>
      <c r="O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1"/>
      <c r="O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1"/>
      <c r="O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1"/>
      <c r="O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1"/>
      <c r="O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1"/>
      <c r="O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1"/>
      <c r="O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1"/>
      <c r="O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1"/>
      <c r="O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1"/>
      <c r="O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1"/>
      <c r="O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1"/>
      <c r="O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1"/>
      <c r="O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1"/>
      <c r="O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1"/>
      <c r="O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1"/>
      <c r="O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1"/>
      <c r="O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1"/>
      <c r="O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1"/>
      <c r="O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1"/>
      <c r="O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1"/>
      <c r="O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1"/>
      <c r="O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1"/>
      <c r="O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1"/>
      <c r="O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1"/>
      <c r="O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5"/>
      <c r="O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1"/>
      <c r="O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1"/>
      <c r="O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1"/>
      <c r="O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1"/>
      <c r="O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1"/>
      <c r="O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1"/>
      <c r="O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1"/>
      <c r="O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5"/>
      <c r="O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1"/>
      <c r="O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1"/>
      <c r="O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1"/>
      <c r="O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1"/>
      <c r="O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1"/>
      <c r="O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1"/>
      <c r="O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1"/>
      <c r="O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1"/>
      <c r="O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1"/>
      <c r="O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1"/>
      <c r="O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1"/>
      <c r="O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1"/>
      <c r="O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1"/>
      <c r="O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1"/>
      <c r="O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1"/>
      <c r="O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1"/>
      <c r="O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1"/>
      <c r="O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1"/>
      <c r="O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1"/>
      <c r="O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1"/>
      <c r="O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1"/>
      <c r="O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1"/>
      <c r="O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1"/>
      <c r="O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1"/>
      <c r="O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1"/>
      <c r="O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1"/>
      <c r="O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1"/>
      <c r="O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1"/>
      <c r="O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1"/>
      <c r="O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1"/>
      <c r="O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1"/>
      <c r="O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1"/>
      <c r="O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1"/>
      <c r="O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1"/>
      <c r="O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1"/>
      <c r="O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1"/>
      <c r="O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1"/>
      <c r="O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1"/>
      <c r="O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1"/>
      <c r="O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1"/>
      <c r="O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5"/>
      <c r="O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1"/>
      <c r="O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1"/>
      <c r="O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1"/>
      <c r="O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1"/>
      <c r="O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1"/>
      <c r="O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1"/>
      <c r="O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1"/>
      <c r="O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1"/>
      <c r="O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1"/>
      <c r="O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1"/>
      <c r="O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1"/>
      <c r="O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1"/>
      <c r="O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1"/>
      <c r="O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1"/>
      <c r="O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1"/>
      <c r="O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1"/>
      <c r="O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1"/>
      <c r="O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1"/>
      <c r="O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1"/>
      <c r="O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1"/>
      <c r="O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1"/>
      <c r="O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1"/>
      <c r="O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1"/>
      <c r="O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1"/>
      <c r="O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1"/>
      <c r="O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1"/>
      <c r="O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1"/>
      <c r="O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1"/>
      <c r="O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1"/>
      <c r="O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1"/>
      <c r="O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1"/>
      <c r="O779" s="30"/>
      <c r="S779" s="30"/>
      <c r="T779" s="30"/>
      <c r="U779" s="30"/>
      <c r="V779" s="30"/>
      <c r="W779" s="30"/>
      <c r="X779" s="30"/>
      <c r="Y779" s="30"/>
      <c r="Z779" s="30"/>
      <c r="AA779" s="30"/>
    </row>
    <row r="780">
      <c r="A780" s="32"/>
      <c r="B780" s="31"/>
      <c r="C780" s="30"/>
      <c r="D780" s="31"/>
      <c r="E780" s="30"/>
      <c r="F780" s="30"/>
      <c r="G780" s="30"/>
      <c r="H780" s="30"/>
      <c r="I780" s="30"/>
      <c r="J780" s="30"/>
      <c r="K780" s="30"/>
      <c r="L780" s="30"/>
      <c r="M780" s="30"/>
      <c r="N780" s="31"/>
      <c r="O780" s="30"/>
      <c r="S780" s="30"/>
      <c r="T780" s="30"/>
      <c r="U780" s="30"/>
      <c r="V780" s="30"/>
      <c r="W780" s="30"/>
      <c r="X780" s="30"/>
      <c r="Y780" s="30"/>
      <c r="Z780" s="30"/>
      <c r="AA780" s="30"/>
    </row>
    <row r="781">
      <c r="A781" s="32"/>
      <c r="B781" s="31"/>
      <c r="C781" s="30"/>
      <c r="D781" s="31"/>
      <c r="E781" s="30"/>
      <c r="F781" s="30"/>
      <c r="G781" s="30"/>
      <c r="H781" s="30"/>
      <c r="I781" s="30"/>
      <c r="J781" s="30"/>
      <c r="K781" s="30"/>
      <c r="L781" s="30"/>
      <c r="M781" s="30"/>
      <c r="N781" s="31"/>
      <c r="O781" s="30"/>
      <c r="S781" s="30"/>
      <c r="T781" s="30"/>
      <c r="U781" s="30"/>
      <c r="V781" s="30"/>
      <c r="W781" s="30"/>
      <c r="X781" s="30"/>
      <c r="Y781" s="30"/>
      <c r="Z781" s="30"/>
      <c r="AA781" s="30"/>
    </row>
    <row r="782">
      <c r="A782" s="32"/>
      <c r="B782" s="31"/>
      <c r="C782" s="30"/>
      <c r="D782" s="31"/>
      <c r="E782" s="30"/>
      <c r="F782" s="30"/>
      <c r="G782" s="30"/>
      <c r="H782" s="30"/>
      <c r="I782" s="30"/>
      <c r="J782" s="30"/>
      <c r="K782" s="30"/>
      <c r="L782" s="30"/>
      <c r="M782" s="30"/>
      <c r="N782" s="31"/>
      <c r="O782" s="30"/>
      <c r="S782" s="30"/>
      <c r="T782" s="30"/>
      <c r="U782" s="30"/>
      <c r="V782" s="30"/>
      <c r="W782" s="30"/>
      <c r="X782" s="30"/>
      <c r="Y782" s="30"/>
      <c r="Z782" s="30"/>
      <c r="AA782" s="30"/>
    </row>
    <row r="783">
      <c r="A783" s="32"/>
      <c r="B783" s="31"/>
      <c r="C783" s="30"/>
      <c r="D783" s="31"/>
      <c r="E783" s="30"/>
      <c r="F783" s="30"/>
      <c r="G783" s="30"/>
      <c r="H783" s="30"/>
      <c r="I783" s="30"/>
      <c r="J783" s="30"/>
      <c r="K783" s="30"/>
      <c r="L783" s="30"/>
      <c r="M783" s="30"/>
      <c r="N783" s="31"/>
      <c r="O783" s="30"/>
      <c r="S783" s="30"/>
      <c r="T783" s="30"/>
      <c r="U783" s="30"/>
      <c r="V783" s="30"/>
      <c r="W783" s="30"/>
      <c r="X783" s="30"/>
      <c r="Y783" s="30"/>
      <c r="Z783" s="30"/>
      <c r="AA783" s="30"/>
    </row>
    <row r="784">
      <c r="A784" s="32"/>
      <c r="B784" s="31"/>
      <c r="C784" s="30"/>
      <c r="D784" s="31"/>
      <c r="E784" s="30"/>
      <c r="F784" s="30"/>
      <c r="G784" s="30"/>
      <c r="H784" s="30"/>
      <c r="I784" s="30"/>
      <c r="J784" s="30"/>
      <c r="K784" s="30"/>
      <c r="L784" s="30"/>
      <c r="M784" s="30"/>
      <c r="N784" s="31"/>
      <c r="O784" s="30"/>
      <c r="S784" s="30"/>
      <c r="T784" s="30"/>
      <c r="U784" s="30"/>
      <c r="V784" s="30"/>
      <c r="W784" s="30"/>
      <c r="X784" s="30"/>
      <c r="Y784" s="30"/>
      <c r="Z784" s="30"/>
      <c r="AA784" s="30"/>
    </row>
    <row r="785">
      <c r="A785" s="32"/>
      <c r="B785" s="31"/>
      <c r="C785" s="30"/>
      <c r="D785" s="31"/>
      <c r="E785" s="30"/>
      <c r="F785" s="30"/>
      <c r="G785" s="30"/>
      <c r="H785" s="30"/>
      <c r="I785" s="30"/>
      <c r="J785" s="30"/>
      <c r="K785" s="30"/>
      <c r="L785" s="30"/>
      <c r="M785" s="30"/>
      <c r="N785" s="31"/>
      <c r="O785" s="30"/>
      <c r="S785" s="30"/>
      <c r="T785" s="30"/>
      <c r="U785" s="30"/>
      <c r="V785" s="30"/>
      <c r="W785" s="30"/>
      <c r="X785" s="30"/>
      <c r="Y785" s="30"/>
      <c r="Z785" s="30"/>
      <c r="AA785" s="30"/>
    </row>
    <row r="786">
      <c r="A786" s="32"/>
      <c r="B786" s="31"/>
      <c r="C786" s="30"/>
      <c r="D786" s="31"/>
      <c r="E786" s="30"/>
      <c r="F786" s="30"/>
      <c r="G786" s="30"/>
      <c r="H786" s="30"/>
      <c r="I786" s="30"/>
      <c r="J786" s="30"/>
      <c r="K786" s="30"/>
      <c r="L786" s="30"/>
      <c r="M786" s="30"/>
      <c r="N786" s="31"/>
      <c r="O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S1000" s="30"/>
      <c r="T1000" s="30"/>
      <c r="U1000" s="30"/>
      <c r="V1000" s="30"/>
      <c r="W1000" s="30"/>
      <c r="X1000" s="30"/>
      <c r="Y1000" s="30"/>
      <c r="Z1000" s="30"/>
      <c r="AA1000"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0</v>
      </c>
      <c r="B1" s="30" t="s">
        <v>1028</v>
      </c>
      <c r="C1" s="30" t="s">
        <v>1029</v>
      </c>
      <c r="D1" s="30" t="s">
        <v>1030</v>
      </c>
      <c r="E1" s="31" t="s">
        <v>1053</v>
      </c>
      <c r="F1" s="31" t="s">
        <v>1068</v>
      </c>
      <c r="G1" s="31" t="s">
        <v>1069</v>
      </c>
      <c r="H1" s="31" t="s">
        <v>1070</v>
      </c>
      <c r="I1" s="30" t="s">
        <v>8</v>
      </c>
      <c r="J1" s="31" t="s">
        <v>1058</v>
      </c>
      <c r="K1" s="31" t="s">
        <v>1059</v>
      </c>
      <c r="L1" s="31" t="s">
        <v>1071</v>
      </c>
      <c r="M1" s="31" t="s">
        <v>1072</v>
      </c>
      <c r="N1" s="30" t="s">
        <v>1035</v>
      </c>
      <c r="O1" s="31" t="s">
        <v>1036</v>
      </c>
      <c r="P1" s="31" t="s">
        <v>1037</v>
      </c>
      <c r="Q1" s="31" t="s">
        <v>1073</v>
      </c>
      <c r="R1" s="30"/>
      <c r="S1" s="30"/>
      <c r="T1" s="30"/>
      <c r="U1" s="30"/>
      <c r="V1" s="30"/>
      <c r="W1" s="30"/>
    </row>
    <row r="2">
      <c r="A2" s="32">
        <v>45771.0</v>
      </c>
      <c r="B2" s="31" t="s">
        <v>1060</v>
      </c>
      <c r="C2" s="31" t="s">
        <v>1061</v>
      </c>
      <c r="D2" s="33">
        <v>25.0</v>
      </c>
      <c r="E2" s="31">
        <v>2.83</v>
      </c>
      <c r="F2" s="34">
        <v>70.75</v>
      </c>
      <c r="G2" s="34">
        <v>16.72</v>
      </c>
      <c r="H2" s="34">
        <v>87.47</v>
      </c>
      <c r="I2" s="31" t="s">
        <v>1062</v>
      </c>
      <c r="J2" s="31">
        <v>171.83</v>
      </c>
      <c r="K2" s="34">
        <v>171.83</v>
      </c>
      <c r="L2" s="34">
        <v>84.36</v>
      </c>
      <c r="M2" s="34">
        <v>49.1</v>
      </c>
      <c r="N2" s="30"/>
      <c r="O2" s="31" t="s">
        <v>1063</v>
      </c>
      <c r="P2" s="31" t="s">
        <v>22</v>
      </c>
      <c r="Q2" s="31" t="s">
        <v>1063</v>
      </c>
      <c r="R2" s="30"/>
      <c r="S2" s="30"/>
      <c r="T2" s="30"/>
      <c r="U2" s="30"/>
      <c r="V2" s="30"/>
      <c r="W2" s="30"/>
    </row>
    <row r="3">
      <c r="A3" s="30"/>
      <c r="B3" s="30"/>
      <c r="C3" s="30"/>
      <c r="D3" s="30"/>
      <c r="E3" s="30"/>
      <c r="F3" s="30"/>
      <c r="G3" s="30"/>
      <c r="H3" s="30"/>
      <c r="I3" s="30"/>
      <c r="J3" s="30"/>
      <c r="K3" s="30"/>
      <c r="L3" s="30"/>
      <c r="M3" s="30"/>
      <c r="N3" s="30"/>
      <c r="O3" s="31"/>
      <c r="P3" s="30"/>
      <c r="Q3" s="30"/>
      <c r="R3" s="30"/>
      <c r="S3" s="30"/>
      <c r="T3" s="30"/>
      <c r="U3" s="30"/>
      <c r="V3" s="30"/>
      <c r="W3" s="30"/>
    </row>
    <row r="4">
      <c r="A4" s="30"/>
      <c r="B4" s="30"/>
      <c r="C4" s="30"/>
      <c r="D4" s="30"/>
      <c r="E4" s="30"/>
      <c r="F4" s="30"/>
      <c r="G4" s="30"/>
      <c r="H4" s="30"/>
      <c r="I4" s="30"/>
      <c r="J4" s="30"/>
      <c r="K4" s="30"/>
      <c r="L4" s="30"/>
      <c r="M4" s="30"/>
      <c r="N4" s="30"/>
      <c r="O4" s="31"/>
      <c r="P4" s="30"/>
      <c r="Q4" s="30"/>
      <c r="R4" s="30"/>
      <c r="S4" s="30"/>
      <c r="T4" s="30"/>
      <c r="U4" s="30"/>
      <c r="V4" s="30"/>
      <c r="W4" s="30"/>
    </row>
    <row r="5">
      <c r="A5" s="30"/>
      <c r="B5" s="30"/>
      <c r="C5" s="30"/>
      <c r="D5" s="30"/>
      <c r="E5" s="30"/>
      <c r="F5" s="30"/>
      <c r="G5" s="30"/>
      <c r="H5" s="30"/>
      <c r="I5" s="30"/>
      <c r="J5" s="30"/>
      <c r="K5" s="30"/>
      <c r="L5" s="30"/>
      <c r="M5" s="30"/>
      <c r="N5" s="30"/>
      <c r="O5" s="31"/>
      <c r="P5" s="30"/>
      <c r="Q5" s="30"/>
      <c r="R5" s="30"/>
      <c r="S5" s="30"/>
      <c r="T5" s="30"/>
      <c r="U5" s="30"/>
      <c r="V5" s="30"/>
      <c r="W5" s="30"/>
    </row>
    <row r="6">
      <c r="A6" s="30"/>
      <c r="B6" s="30"/>
      <c r="C6" s="30"/>
      <c r="D6" s="30"/>
      <c r="E6" s="30"/>
      <c r="F6" s="30"/>
      <c r="G6" s="30"/>
      <c r="H6" s="30"/>
      <c r="I6" s="30"/>
      <c r="J6" s="30"/>
      <c r="K6" s="30"/>
      <c r="L6" s="30"/>
      <c r="M6" s="30"/>
      <c r="N6" s="30"/>
      <c r="O6" s="31"/>
      <c r="P6" s="30"/>
      <c r="Q6" s="30"/>
      <c r="R6" s="30"/>
      <c r="S6" s="30"/>
      <c r="T6" s="30"/>
      <c r="U6" s="30"/>
      <c r="V6" s="30"/>
      <c r="W6" s="30"/>
    </row>
    <row r="7">
      <c r="A7" s="30"/>
      <c r="B7" s="30"/>
      <c r="C7" s="30"/>
      <c r="D7" s="30"/>
      <c r="E7" s="30"/>
      <c r="F7" s="30"/>
      <c r="G7" s="30"/>
      <c r="H7" s="30"/>
      <c r="I7" s="30"/>
      <c r="J7" s="30"/>
      <c r="K7" s="30"/>
      <c r="L7" s="30"/>
      <c r="M7" s="30"/>
      <c r="N7" s="30"/>
      <c r="O7" s="31"/>
      <c r="P7" s="30"/>
      <c r="Q7" s="30"/>
      <c r="R7" s="30"/>
      <c r="S7" s="30"/>
      <c r="T7" s="30"/>
      <c r="U7" s="30"/>
      <c r="V7" s="30"/>
      <c r="W7" s="30"/>
    </row>
    <row r="8">
      <c r="A8" s="30"/>
      <c r="B8" s="30"/>
      <c r="C8" s="30"/>
      <c r="D8" s="30"/>
      <c r="E8" s="30"/>
      <c r="F8" s="30"/>
      <c r="G8" s="30"/>
      <c r="H8" s="30"/>
      <c r="I8" s="30"/>
      <c r="J8" s="30"/>
      <c r="K8" s="30"/>
      <c r="L8" s="30"/>
      <c r="M8" s="30"/>
      <c r="N8" s="30"/>
      <c r="O8" s="31"/>
      <c r="P8" s="30"/>
      <c r="Q8" s="30"/>
      <c r="R8" s="30"/>
      <c r="S8" s="30"/>
      <c r="T8" s="30"/>
      <c r="U8" s="30"/>
      <c r="V8" s="30"/>
      <c r="W8" s="30"/>
    </row>
    <row r="9">
      <c r="A9" s="30"/>
      <c r="B9" s="30"/>
      <c r="C9" s="30"/>
      <c r="D9" s="30"/>
      <c r="E9" s="30"/>
      <c r="F9" s="30"/>
      <c r="G9" s="30"/>
      <c r="H9" s="30"/>
      <c r="I9" s="30"/>
      <c r="J9" s="30"/>
      <c r="K9" s="30"/>
      <c r="L9" s="30"/>
      <c r="M9" s="30"/>
      <c r="N9" s="30"/>
      <c r="O9" s="31"/>
      <c r="P9" s="30"/>
      <c r="Q9" s="30"/>
      <c r="R9" s="30"/>
      <c r="S9" s="30"/>
      <c r="T9" s="30"/>
      <c r="U9" s="30"/>
      <c r="V9" s="30"/>
      <c r="W9" s="30"/>
    </row>
    <row r="10">
      <c r="A10" s="30"/>
      <c r="B10" s="30"/>
      <c r="C10" s="30"/>
      <c r="D10" s="30"/>
      <c r="E10" s="30"/>
      <c r="F10" s="30"/>
      <c r="G10" s="30"/>
      <c r="H10" s="30"/>
      <c r="I10" s="30"/>
      <c r="J10" s="30"/>
      <c r="K10" s="30"/>
      <c r="L10" s="30"/>
      <c r="M10" s="30"/>
      <c r="N10" s="30"/>
      <c r="O10" s="31"/>
      <c r="P10" s="30"/>
      <c r="Q10" s="30"/>
      <c r="R10" s="30"/>
      <c r="S10" s="30"/>
      <c r="T10" s="30"/>
      <c r="U10" s="30"/>
      <c r="V10" s="30"/>
      <c r="W10" s="30"/>
    </row>
    <row r="11">
      <c r="A11" s="30"/>
      <c r="B11" s="30"/>
      <c r="C11" s="30"/>
      <c r="D11" s="30"/>
      <c r="E11" s="30"/>
      <c r="F11" s="30"/>
      <c r="G11" s="30"/>
      <c r="H11" s="30"/>
      <c r="I11" s="30"/>
      <c r="J11" s="30"/>
      <c r="K11" s="30"/>
      <c r="L11" s="30"/>
      <c r="M11" s="30"/>
      <c r="N11" s="30"/>
      <c r="O11" s="31"/>
      <c r="P11" s="30"/>
      <c r="Q11" s="30"/>
      <c r="R11" s="30"/>
      <c r="S11" s="30"/>
      <c r="T11" s="30"/>
      <c r="U11" s="30"/>
      <c r="V11" s="30"/>
      <c r="W11" s="30"/>
    </row>
    <row r="12">
      <c r="A12" s="30"/>
      <c r="B12" s="30"/>
      <c r="C12" s="30"/>
      <c r="D12" s="30"/>
      <c r="E12" s="30"/>
      <c r="F12" s="30"/>
      <c r="G12" s="30"/>
      <c r="H12" s="30"/>
      <c r="I12" s="30"/>
      <c r="J12" s="30"/>
      <c r="K12" s="30"/>
      <c r="L12" s="30"/>
      <c r="M12" s="30"/>
      <c r="N12" s="30"/>
      <c r="O12" s="31"/>
      <c r="P12" s="30"/>
      <c r="Q12" s="30"/>
      <c r="R12" s="30"/>
      <c r="S12" s="30"/>
      <c r="T12" s="30"/>
      <c r="U12" s="30"/>
      <c r="V12" s="30"/>
      <c r="W12" s="30"/>
    </row>
    <row r="13">
      <c r="A13" s="30"/>
      <c r="B13" s="30"/>
      <c r="C13" s="30"/>
      <c r="D13" s="30"/>
      <c r="E13" s="30"/>
      <c r="F13" s="30"/>
      <c r="G13" s="30"/>
      <c r="H13" s="30"/>
      <c r="I13" s="30"/>
      <c r="J13" s="30"/>
      <c r="K13" s="30"/>
      <c r="L13" s="30"/>
      <c r="M13" s="30"/>
      <c r="N13" s="30"/>
      <c r="O13" s="31"/>
      <c r="P13" s="30"/>
      <c r="Q13" s="30"/>
      <c r="R13" s="30"/>
      <c r="S13" s="30"/>
      <c r="T13" s="30"/>
      <c r="U13" s="30"/>
      <c r="V13" s="30"/>
      <c r="W13" s="30"/>
    </row>
    <row r="14">
      <c r="A14" s="30"/>
      <c r="B14" s="30"/>
      <c r="C14" s="30"/>
      <c r="D14" s="30"/>
      <c r="E14" s="30"/>
      <c r="F14" s="30"/>
      <c r="G14" s="30"/>
      <c r="H14" s="30"/>
      <c r="I14" s="30"/>
      <c r="J14" s="30"/>
      <c r="K14" s="30"/>
      <c r="L14" s="30"/>
      <c r="M14" s="30"/>
      <c r="N14" s="30"/>
      <c r="O14" s="31"/>
      <c r="P14" s="30"/>
      <c r="Q14" s="30"/>
      <c r="R14" s="30"/>
      <c r="S14" s="30"/>
      <c r="T14" s="30"/>
      <c r="U14" s="30"/>
      <c r="V14" s="30"/>
      <c r="W14" s="30"/>
    </row>
    <row r="15">
      <c r="A15" s="30"/>
      <c r="B15" s="30"/>
      <c r="C15" s="30"/>
      <c r="D15" s="30"/>
      <c r="E15" s="30"/>
      <c r="F15" s="30"/>
      <c r="G15" s="30"/>
      <c r="H15" s="30"/>
      <c r="I15" s="30"/>
      <c r="J15" s="30"/>
      <c r="K15" s="30"/>
      <c r="L15" s="30"/>
      <c r="M15" s="30"/>
      <c r="N15" s="30"/>
      <c r="O15" s="31"/>
      <c r="P15" s="30"/>
      <c r="Q15" s="30"/>
      <c r="R15" s="30"/>
      <c r="S15" s="30"/>
      <c r="T15" s="30"/>
      <c r="U15" s="30"/>
      <c r="V15" s="30"/>
      <c r="W15" s="30"/>
    </row>
    <row r="16">
      <c r="A16" s="30"/>
      <c r="B16" s="30"/>
      <c r="C16" s="30"/>
      <c r="D16" s="30"/>
      <c r="E16" s="30"/>
      <c r="F16" s="30"/>
      <c r="G16" s="30"/>
      <c r="H16" s="30"/>
      <c r="I16" s="30"/>
      <c r="J16" s="30"/>
      <c r="K16" s="30"/>
      <c r="L16" s="30"/>
      <c r="M16" s="30"/>
      <c r="N16" s="30"/>
      <c r="O16" s="31"/>
      <c r="P16" s="30"/>
      <c r="Q16" s="30"/>
      <c r="R16" s="30"/>
      <c r="S16" s="30"/>
      <c r="T16" s="30"/>
      <c r="U16" s="30"/>
      <c r="V16" s="30"/>
      <c r="W16" s="30"/>
    </row>
    <row r="17">
      <c r="A17" s="30"/>
      <c r="B17" s="30"/>
      <c r="C17" s="30"/>
      <c r="D17" s="30"/>
      <c r="E17" s="30"/>
      <c r="F17" s="30"/>
      <c r="G17" s="30"/>
      <c r="H17" s="30"/>
      <c r="I17" s="30"/>
      <c r="J17" s="30"/>
      <c r="K17" s="30"/>
      <c r="L17" s="30"/>
      <c r="M17" s="30"/>
      <c r="N17" s="30"/>
      <c r="O17" s="31"/>
      <c r="P17" s="30"/>
      <c r="Q17" s="30"/>
      <c r="R17" s="30"/>
      <c r="S17" s="30"/>
      <c r="T17" s="30"/>
      <c r="U17" s="30"/>
      <c r="V17" s="30"/>
      <c r="W17" s="30"/>
    </row>
    <row r="18">
      <c r="A18" s="30"/>
      <c r="B18" s="30"/>
      <c r="C18" s="30"/>
      <c r="D18" s="30"/>
      <c r="E18" s="30"/>
      <c r="F18" s="30"/>
      <c r="G18" s="30"/>
      <c r="H18" s="30"/>
      <c r="I18" s="30"/>
      <c r="J18" s="30"/>
      <c r="K18" s="30"/>
      <c r="L18" s="30"/>
      <c r="M18" s="30"/>
      <c r="N18" s="30"/>
      <c r="O18" s="31"/>
      <c r="P18" s="30"/>
      <c r="Q18" s="30"/>
      <c r="R18" s="30"/>
      <c r="S18" s="30"/>
      <c r="T18" s="30"/>
      <c r="U18" s="30"/>
      <c r="V18" s="30"/>
      <c r="W18" s="30"/>
    </row>
    <row r="19">
      <c r="A19" s="30"/>
      <c r="B19" s="30"/>
      <c r="C19" s="30"/>
      <c r="D19" s="30"/>
      <c r="E19" s="30"/>
      <c r="F19" s="30"/>
      <c r="G19" s="30"/>
      <c r="H19" s="30"/>
      <c r="I19" s="30"/>
      <c r="J19" s="30"/>
      <c r="K19" s="30"/>
      <c r="L19" s="30"/>
      <c r="M19" s="30"/>
      <c r="N19" s="30"/>
      <c r="O19" s="31"/>
      <c r="P19" s="30"/>
      <c r="Q19" s="30"/>
      <c r="R19" s="30"/>
      <c r="S19" s="30"/>
      <c r="T19" s="30"/>
      <c r="U19" s="30"/>
      <c r="V19" s="30"/>
      <c r="W19" s="30"/>
    </row>
    <row r="20">
      <c r="A20" s="30"/>
      <c r="B20" s="30"/>
      <c r="C20" s="30"/>
      <c r="D20" s="30"/>
      <c r="E20" s="30"/>
      <c r="F20" s="30"/>
      <c r="G20" s="30"/>
      <c r="H20" s="30"/>
      <c r="I20" s="30"/>
      <c r="J20" s="30"/>
      <c r="K20" s="30"/>
      <c r="L20" s="30"/>
      <c r="M20" s="30"/>
      <c r="N20" s="30"/>
      <c r="O20" s="31"/>
      <c r="P20" s="30"/>
      <c r="Q20" s="30"/>
      <c r="R20" s="30"/>
      <c r="S20" s="30"/>
      <c r="T20" s="30"/>
      <c r="U20" s="30"/>
      <c r="V20" s="30"/>
      <c r="W20" s="30"/>
    </row>
    <row r="21">
      <c r="A21" s="30"/>
      <c r="B21" s="30"/>
      <c r="C21" s="30"/>
      <c r="D21" s="30"/>
      <c r="E21" s="30"/>
      <c r="F21" s="30"/>
      <c r="G21" s="30"/>
      <c r="H21" s="30"/>
      <c r="I21" s="30"/>
      <c r="J21" s="30"/>
      <c r="K21" s="30"/>
      <c r="L21" s="30"/>
      <c r="M21" s="30"/>
      <c r="N21" s="30"/>
      <c r="O21" s="31"/>
      <c r="P21" s="30"/>
      <c r="Q21" s="30"/>
      <c r="R21" s="30"/>
      <c r="S21" s="30"/>
      <c r="T21" s="30"/>
      <c r="U21" s="30"/>
      <c r="V21" s="30"/>
      <c r="W21" s="30"/>
    </row>
    <row r="22">
      <c r="A22" s="30"/>
      <c r="B22" s="30"/>
      <c r="C22" s="30"/>
      <c r="D22" s="30"/>
      <c r="E22" s="30"/>
      <c r="F22" s="30"/>
      <c r="G22" s="30"/>
      <c r="H22" s="30"/>
      <c r="I22" s="30"/>
      <c r="J22" s="30"/>
      <c r="K22" s="30"/>
      <c r="L22" s="30"/>
      <c r="M22" s="30"/>
      <c r="N22" s="30"/>
      <c r="O22" s="31"/>
      <c r="P22" s="30"/>
      <c r="Q22" s="30"/>
      <c r="R22" s="30"/>
      <c r="S22" s="30"/>
      <c r="T22" s="30"/>
      <c r="U22" s="30"/>
      <c r="V22" s="30"/>
      <c r="W22" s="30"/>
    </row>
    <row r="23">
      <c r="A23" s="30"/>
      <c r="B23" s="30"/>
      <c r="C23" s="30"/>
      <c r="D23" s="30"/>
      <c r="E23" s="30"/>
      <c r="F23" s="30"/>
      <c r="G23" s="30"/>
      <c r="H23" s="30"/>
      <c r="I23" s="30"/>
      <c r="J23" s="30"/>
      <c r="K23" s="30"/>
      <c r="L23" s="30"/>
      <c r="M23" s="30"/>
      <c r="N23" s="30"/>
      <c r="O23" s="31"/>
      <c r="P23" s="30"/>
      <c r="Q23" s="30"/>
      <c r="R23" s="30"/>
      <c r="S23" s="30"/>
      <c r="T23" s="30"/>
      <c r="U23" s="30"/>
      <c r="V23" s="30"/>
      <c r="W23" s="30"/>
    </row>
    <row r="24">
      <c r="A24" s="30"/>
      <c r="B24" s="30"/>
      <c r="C24" s="30"/>
      <c r="D24" s="30"/>
      <c r="E24" s="30"/>
      <c r="F24" s="30"/>
      <c r="G24" s="30"/>
      <c r="H24" s="30"/>
      <c r="I24" s="30"/>
      <c r="J24" s="30"/>
      <c r="K24" s="30"/>
      <c r="L24" s="30"/>
      <c r="M24" s="30"/>
      <c r="N24" s="30"/>
      <c r="O24" s="31"/>
      <c r="P24" s="30"/>
      <c r="Q24" s="30"/>
      <c r="R24" s="30"/>
      <c r="S24" s="30"/>
      <c r="T24" s="30"/>
      <c r="U24" s="30"/>
      <c r="V24" s="30"/>
      <c r="W24" s="30"/>
    </row>
    <row r="25">
      <c r="A25" s="30"/>
      <c r="B25" s="30"/>
      <c r="C25" s="30"/>
      <c r="D25" s="30"/>
      <c r="E25" s="30"/>
      <c r="F25" s="30"/>
      <c r="G25" s="30"/>
      <c r="H25" s="30"/>
      <c r="I25" s="30"/>
      <c r="J25" s="30"/>
      <c r="K25" s="30"/>
      <c r="L25" s="30"/>
      <c r="M25" s="30"/>
      <c r="N25" s="30"/>
      <c r="O25" s="31"/>
      <c r="P25" s="30"/>
      <c r="Q25" s="30"/>
      <c r="R25" s="30"/>
      <c r="S25" s="30"/>
      <c r="T25" s="30"/>
      <c r="U25" s="30"/>
      <c r="V25" s="30"/>
      <c r="W25" s="30"/>
    </row>
    <row r="26">
      <c r="A26" s="30"/>
      <c r="B26" s="30"/>
      <c r="C26" s="30"/>
      <c r="D26" s="30"/>
      <c r="E26" s="30"/>
      <c r="F26" s="30"/>
      <c r="G26" s="30"/>
      <c r="H26" s="30"/>
      <c r="I26" s="30"/>
      <c r="J26" s="30"/>
      <c r="K26" s="30"/>
      <c r="L26" s="30"/>
      <c r="M26" s="30"/>
      <c r="N26" s="30"/>
      <c r="O26" s="31"/>
      <c r="P26" s="30"/>
      <c r="Q26" s="30"/>
      <c r="R26" s="30"/>
      <c r="S26" s="30"/>
      <c r="T26" s="30"/>
      <c r="U26" s="30"/>
      <c r="V26" s="30"/>
      <c r="W26" s="30"/>
    </row>
    <row r="27">
      <c r="A27" s="30"/>
      <c r="B27" s="30"/>
      <c r="C27" s="30"/>
      <c r="D27" s="30"/>
      <c r="E27" s="30"/>
      <c r="F27" s="30"/>
      <c r="G27" s="30"/>
      <c r="H27" s="30"/>
      <c r="I27" s="30"/>
      <c r="J27" s="30"/>
      <c r="K27" s="30"/>
      <c r="L27" s="30"/>
      <c r="M27" s="30"/>
      <c r="N27" s="30"/>
      <c r="O27" s="31"/>
      <c r="P27" s="30"/>
      <c r="Q27" s="30"/>
      <c r="R27" s="30"/>
      <c r="S27" s="30"/>
      <c r="T27" s="30"/>
      <c r="U27" s="30"/>
      <c r="V27" s="30"/>
      <c r="W27" s="30"/>
    </row>
    <row r="28">
      <c r="A28" s="30"/>
      <c r="B28" s="30"/>
      <c r="C28" s="30"/>
      <c r="D28" s="30"/>
      <c r="E28" s="30"/>
      <c r="F28" s="30"/>
      <c r="G28" s="30"/>
      <c r="H28" s="30"/>
      <c r="I28" s="30"/>
      <c r="J28" s="30"/>
      <c r="K28" s="30"/>
      <c r="L28" s="30"/>
      <c r="M28" s="30"/>
      <c r="N28" s="30"/>
      <c r="O28" s="31"/>
      <c r="P28" s="30"/>
      <c r="Q28" s="30"/>
      <c r="R28" s="30"/>
      <c r="S28" s="30"/>
      <c r="T28" s="30"/>
      <c r="U28" s="30"/>
      <c r="V28" s="30"/>
      <c r="W28" s="30"/>
    </row>
    <row r="29">
      <c r="A29" s="30"/>
      <c r="B29" s="30"/>
      <c r="C29" s="30"/>
      <c r="D29" s="30"/>
      <c r="E29" s="30"/>
      <c r="F29" s="30"/>
      <c r="G29" s="30"/>
      <c r="H29" s="30"/>
      <c r="I29" s="30"/>
      <c r="J29" s="30"/>
      <c r="K29" s="30"/>
      <c r="L29" s="30"/>
      <c r="M29" s="30"/>
      <c r="N29" s="30"/>
      <c r="O29" s="31"/>
      <c r="P29" s="30"/>
      <c r="Q29" s="30"/>
      <c r="R29" s="30"/>
      <c r="S29" s="30"/>
      <c r="T29" s="30"/>
      <c r="U29" s="30"/>
      <c r="V29" s="30"/>
      <c r="W29" s="30"/>
    </row>
    <row r="30">
      <c r="A30" s="30"/>
      <c r="B30" s="30"/>
      <c r="C30" s="30"/>
      <c r="D30" s="30"/>
      <c r="E30" s="30"/>
      <c r="F30" s="30"/>
      <c r="G30" s="30"/>
      <c r="H30" s="30"/>
      <c r="I30" s="30"/>
      <c r="J30" s="30"/>
      <c r="K30" s="30"/>
      <c r="L30" s="30"/>
      <c r="M30" s="30"/>
      <c r="N30" s="30"/>
      <c r="O30" s="31"/>
      <c r="P30" s="30"/>
      <c r="Q30" s="30"/>
      <c r="R30" s="30"/>
      <c r="S30" s="30"/>
      <c r="T30" s="30"/>
      <c r="U30" s="30"/>
      <c r="V30" s="30"/>
      <c r="W30" s="30"/>
    </row>
    <row r="31">
      <c r="A31" s="30"/>
      <c r="B31" s="30"/>
      <c r="C31" s="30"/>
      <c r="D31" s="30"/>
      <c r="E31" s="30"/>
      <c r="F31" s="30"/>
      <c r="G31" s="30"/>
      <c r="H31" s="30"/>
      <c r="I31" s="30"/>
      <c r="J31" s="30"/>
      <c r="K31" s="30"/>
      <c r="L31" s="30"/>
      <c r="M31" s="30"/>
      <c r="N31" s="30"/>
      <c r="O31" s="31"/>
      <c r="P31" s="30"/>
      <c r="Q31" s="30"/>
      <c r="R31" s="30"/>
      <c r="S31" s="30"/>
      <c r="T31" s="30"/>
      <c r="U31" s="30"/>
      <c r="V31" s="30"/>
      <c r="W31" s="30"/>
    </row>
    <row r="32">
      <c r="A32" s="30"/>
      <c r="B32" s="30"/>
      <c r="C32" s="30"/>
      <c r="D32" s="30"/>
      <c r="E32" s="30"/>
      <c r="F32" s="30"/>
      <c r="G32" s="30"/>
      <c r="H32" s="30"/>
      <c r="I32" s="30"/>
      <c r="J32" s="30"/>
      <c r="K32" s="30"/>
      <c r="L32" s="30"/>
      <c r="M32" s="30"/>
      <c r="N32" s="30"/>
      <c r="O32" s="31"/>
      <c r="P32" s="30"/>
      <c r="Q32" s="30"/>
      <c r="R32" s="30"/>
      <c r="S32" s="30"/>
      <c r="T32" s="30"/>
      <c r="U32" s="30"/>
      <c r="V32" s="30"/>
      <c r="W32" s="30"/>
    </row>
    <row r="33">
      <c r="A33" s="30"/>
      <c r="B33" s="30"/>
      <c r="C33" s="30"/>
      <c r="D33" s="30"/>
      <c r="E33" s="30"/>
      <c r="F33" s="30"/>
      <c r="G33" s="30"/>
      <c r="H33" s="30"/>
      <c r="I33" s="30"/>
      <c r="J33" s="30"/>
      <c r="K33" s="30"/>
      <c r="L33" s="30"/>
      <c r="M33" s="30"/>
      <c r="N33" s="30"/>
      <c r="O33" s="31"/>
      <c r="P33" s="30"/>
      <c r="Q33" s="30"/>
      <c r="R33" s="30"/>
      <c r="S33" s="30"/>
      <c r="T33" s="30"/>
      <c r="U33" s="30"/>
      <c r="V33" s="30"/>
      <c r="W33" s="30"/>
    </row>
    <row r="34">
      <c r="A34" s="30"/>
      <c r="B34" s="30"/>
      <c r="C34" s="30"/>
      <c r="D34" s="30"/>
      <c r="E34" s="30"/>
      <c r="F34" s="30"/>
      <c r="G34" s="30"/>
      <c r="H34" s="30"/>
      <c r="I34" s="30"/>
      <c r="J34" s="30"/>
      <c r="K34" s="30"/>
      <c r="L34" s="30"/>
      <c r="M34" s="30"/>
      <c r="N34" s="30"/>
      <c r="O34" s="31"/>
      <c r="P34" s="30"/>
      <c r="Q34" s="30"/>
      <c r="R34" s="30"/>
      <c r="S34" s="30"/>
      <c r="T34" s="30"/>
      <c r="U34" s="30"/>
      <c r="V34" s="30"/>
      <c r="W34" s="30"/>
    </row>
    <row r="35">
      <c r="A35" s="30"/>
      <c r="B35" s="30"/>
      <c r="C35" s="30"/>
      <c r="D35" s="30"/>
      <c r="E35" s="30"/>
      <c r="F35" s="30"/>
      <c r="G35" s="30"/>
      <c r="H35" s="30"/>
      <c r="I35" s="30"/>
      <c r="J35" s="30"/>
      <c r="K35" s="30"/>
      <c r="L35" s="30"/>
      <c r="M35" s="30"/>
      <c r="N35" s="30"/>
      <c r="O35" s="31"/>
      <c r="P35" s="30"/>
      <c r="Q35" s="30"/>
      <c r="R35" s="30"/>
      <c r="S35" s="30"/>
      <c r="T35" s="30"/>
      <c r="U35" s="30"/>
      <c r="V35" s="30"/>
      <c r="W35" s="30"/>
    </row>
    <row r="36">
      <c r="A36" s="30"/>
      <c r="B36" s="30"/>
      <c r="C36" s="30"/>
      <c r="D36" s="30"/>
      <c r="E36" s="30"/>
      <c r="F36" s="30"/>
      <c r="G36" s="30"/>
      <c r="H36" s="30"/>
      <c r="I36" s="30"/>
      <c r="J36" s="30"/>
      <c r="K36" s="30"/>
      <c r="L36" s="30"/>
      <c r="M36" s="30"/>
      <c r="N36" s="30"/>
      <c r="O36" s="31"/>
      <c r="P36" s="30"/>
      <c r="Q36" s="30"/>
      <c r="R36" s="30"/>
      <c r="S36" s="30"/>
      <c r="T36" s="30"/>
      <c r="U36" s="30"/>
      <c r="V36" s="30"/>
      <c r="W36" s="30"/>
    </row>
    <row r="37">
      <c r="A37" s="30"/>
      <c r="B37" s="30"/>
      <c r="C37" s="30"/>
      <c r="D37" s="30"/>
      <c r="E37" s="30"/>
      <c r="F37" s="30"/>
      <c r="G37" s="30"/>
      <c r="H37" s="30"/>
      <c r="I37" s="30"/>
      <c r="J37" s="30"/>
      <c r="K37" s="30"/>
      <c r="L37" s="30"/>
      <c r="M37" s="30"/>
      <c r="N37" s="30"/>
      <c r="O37" s="31"/>
      <c r="P37" s="30"/>
      <c r="Q37" s="30"/>
      <c r="R37" s="30"/>
      <c r="S37" s="30"/>
      <c r="T37" s="30"/>
      <c r="U37" s="30"/>
      <c r="V37" s="30"/>
      <c r="W37" s="30"/>
    </row>
    <row r="38">
      <c r="A38" s="30"/>
      <c r="B38" s="30"/>
      <c r="C38" s="30"/>
      <c r="D38" s="30"/>
      <c r="E38" s="30"/>
      <c r="F38" s="30"/>
      <c r="G38" s="30"/>
      <c r="H38" s="30"/>
      <c r="I38" s="30"/>
      <c r="J38" s="30"/>
      <c r="K38" s="30"/>
      <c r="L38" s="30"/>
      <c r="M38" s="30"/>
      <c r="N38" s="30"/>
      <c r="O38" s="31"/>
      <c r="P38" s="30"/>
      <c r="Q38" s="30"/>
      <c r="R38" s="30"/>
      <c r="S38" s="30"/>
      <c r="T38" s="30"/>
      <c r="U38" s="30"/>
      <c r="V38" s="30"/>
      <c r="W38" s="30"/>
    </row>
    <row r="39">
      <c r="A39" s="30"/>
      <c r="B39" s="30"/>
      <c r="C39" s="30"/>
      <c r="D39" s="30"/>
      <c r="E39" s="30"/>
      <c r="F39" s="30"/>
      <c r="G39" s="30"/>
      <c r="H39" s="30"/>
      <c r="I39" s="30"/>
      <c r="J39" s="30"/>
      <c r="K39" s="30"/>
      <c r="L39" s="30"/>
      <c r="M39" s="30"/>
      <c r="N39" s="30"/>
      <c r="O39" s="31"/>
      <c r="P39" s="30"/>
      <c r="Q39" s="30"/>
      <c r="R39" s="30"/>
      <c r="S39" s="30"/>
      <c r="T39" s="30"/>
      <c r="U39" s="30"/>
      <c r="V39" s="30"/>
      <c r="W39" s="30"/>
    </row>
    <row r="40">
      <c r="A40" s="30"/>
      <c r="B40" s="30"/>
      <c r="C40" s="30"/>
      <c r="D40" s="30"/>
      <c r="E40" s="30"/>
      <c r="F40" s="30"/>
      <c r="G40" s="30"/>
      <c r="H40" s="30"/>
      <c r="I40" s="30"/>
      <c r="J40" s="30"/>
      <c r="K40" s="30"/>
      <c r="L40" s="30"/>
      <c r="M40" s="30"/>
      <c r="N40" s="30"/>
      <c r="O40" s="31"/>
      <c r="P40" s="30"/>
      <c r="Q40" s="30"/>
      <c r="R40" s="30"/>
      <c r="S40" s="30"/>
      <c r="T40" s="30"/>
      <c r="U40" s="30"/>
      <c r="V40" s="30"/>
      <c r="W40" s="30"/>
    </row>
    <row r="41">
      <c r="A41" s="30"/>
      <c r="B41" s="30"/>
      <c r="C41" s="30"/>
      <c r="D41" s="30"/>
      <c r="E41" s="30"/>
      <c r="F41" s="30"/>
      <c r="G41" s="30"/>
      <c r="H41" s="30"/>
      <c r="I41" s="30"/>
      <c r="J41" s="30"/>
      <c r="K41" s="30"/>
      <c r="L41" s="30"/>
      <c r="M41" s="30"/>
      <c r="N41" s="30"/>
      <c r="O41" s="31"/>
      <c r="P41" s="30"/>
      <c r="Q41" s="30"/>
      <c r="R41" s="30"/>
      <c r="S41" s="30"/>
      <c r="T41" s="30"/>
      <c r="U41" s="30"/>
      <c r="V41" s="30"/>
      <c r="W41" s="30"/>
    </row>
    <row r="42">
      <c r="A42" s="30"/>
      <c r="B42" s="30"/>
      <c r="C42" s="30"/>
      <c r="D42" s="30"/>
      <c r="E42" s="30"/>
      <c r="F42" s="30"/>
      <c r="G42" s="30"/>
      <c r="H42" s="30"/>
      <c r="I42" s="30"/>
      <c r="J42" s="30"/>
      <c r="K42" s="30"/>
      <c r="L42" s="30"/>
      <c r="M42" s="30"/>
      <c r="N42" s="30"/>
      <c r="O42" s="31"/>
      <c r="P42" s="30"/>
      <c r="Q42" s="30"/>
      <c r="R42" s="30"/>
      <c r="S42" s="30"/>
      <c r="T42" s="30"/>
      <c r="U42" s="30"/>
      <c r="V42" s="30"/>
      <c r="W42" s="30"/>
    </row>
    <row r="43">
      <c r="A43" s="30"/>
      <c r="B43" s="30"/>
      <c r="C43" s="30"/>
      <c r="D43" s="30"/>
      <c r="E43" s="30"/>
      <c r="F43" s="30"/>
      <c r="G43" s="30"/>
      <c r="H43" s="30"/>
      <c r="I43" s="30"/>
      <c r="J43" s="30"/>
      <c r="K43" s="30"/>
      <c r="L43" s="30"/>
      <c r="M43" s="30"/>
      <c r="N43" s="30"/>
      <c r="O43" s="31"/>
      <c r="P43" s="30"/>
      <c r="Q43" s="30"/>
      <c r="R43" s="30"/>
      <c r="S43" s="30"/>
      <c r="T43" s="30"/>
      <c r="U43" s="30"/>
      <c r="V43" s="30"/>
      <c r="W43" s="30"/>
    </row>
    <row r="44">
      <c r="A44" s="30"/>
      <c r="B44" s="30"/>
      <c r="C44" s="30"/>
      <c r="D44" s="30"/>
      <c r="E44" s="30"/>
      <c r="F44" s="30"/>
      <c r="G44" s="30"/>
      <c r="H44" s="30"/>
      <c r="I44" s="30"/>
      <c r="J44" s="30"/>
      <c r="K44" s="30"/>
      <c r="L44" s="30"/>
      <c r="M44" s="30"/>
      <c r="N44" s="30"/>
      <c r="O44" s="31"/>
      <c r="P44" s="30"/>
      <c r="Q44" s="30"/>
      <c r="R44" s="30"/>
      <c r="S44" s="30"/>
      <c r="T44" s="30"/>
      <c r="U44" s="30"/>
      <c r="V44" s="30"/>
      <c r="W44" s="30"/>
    </row>
    <row r="45">
      <c r="A45" s="30"/>
      <c r="B45" s="30"/>
      <c r="C45" s="30"/>
      <c r="D45" s="30"/>
      <c r="E45" s="30"/>
      <c r="F45" s="30"/>
      <c r="G45" s="30"/>
      <c r="H45" s="30"/>
      <c r="I45" s="30"/>
      <c r="J45" s="30"/>
      <c r="K45" s="30"/>
      <c r="L45" s="30"/>
      <c r="M45" s="30"/>
      <c r="N45" s="30"/>
      <c r="O45" s="31"/>
      <c r="P45" s="30"/>
      <c r="Q45" s="30"/>
      <c r="R45" s="30"/>
      <c r="S45" s="30"/>
      <c r="T45" s="30"/>
      <c r="U45" s="30"/>
      <c r="V45" s="30"/>
      <c r="W45" s="30"/>
    </row>
    <row r="46">
      <c r="A46" s="30"/>
      <c r="B46" s="30"/>
      <c r="C46" s="30"/>
      <c r="D46" s="30"/>
      <c r="E46" s="30"/>
      <c r="F46" s="30"/>
      <c r="G46" s="30"/>
      <c r="H46" s="30"/>
      <c r="I46" s="30"/>
      <c r="J46" s="30"/>
      <c r="K46" s="30"/>
      <c r="L46" s="30"/>
      <c r="M46" s="30"/>
      <c r="N46" s="30"/>
      <c r="O46" s="31"/>
      <c r="P46" s="30"/>
      <c r="Q46" s="30"/>
      <c r="R46" s="30"/>
      <c r="S46" s="30"/>
      <c r="T46" s="30"/>
      <c r="U46" s="30"/>
      <c r="V46" s="30"/>
      <c r="W46" s="30"/>
    </row>
    <row r="47">
      <c r="A47" s="30"/>
      <c r="B47" s="30"/>
      <c r="C47" s="30"/>
      <c r="D47" s="30"/>
      <c r="E47" s="30"/>
      <c r="F47" s="30"/>
      <c r="G47" s="30"/>
      <c r="H47" s="30"/>
      <c r="I47" s="30"/>
      <c r="J47" s="30"/>
      <c r="K47" s="30"/>
      <c r="L47" s="30"/>
      <c r="M47" s="30"/>
      <c r="N47" s="30"/>
      <c r="O47" s="31"/>
      <c r="P47" s="30"/>
      <c r="Q47" s="30"/>
      <c r="R47" s="30"/>
      <c r="S47" s="30"/>
      <c r="T47" s="30"/>
      <c r="U47" s="30"/>
      <c r="V47" s="30"/>
      <c r="W47" s="30"/>
    </row>
    <row r="48">
      <c r="A48" s="30"/>
      <c r="B48" s="30"/>
      <c r="C48" s="30"/>
      <c r="D48" s="30"/>
      <c r="E48" s="30"/>
      <c r="F48" s="30"/>
      <c r="G48" s="30"/>
      <c r="H48" s="30"/>
      <c r="I48" s="30"/>
      <c r="J48" s="30"/>
      <c r="K48" s="30"/>
      <c r="L48" s="30"/>
      <c r="M48" s="30"/>
      <c r="N48" s="30"/>
      <c r="O48" s="31"/>
      <c r="P48" s="30"/>
      <c r="Q48" s="30"/>
      <c r="R48" s="30"/>
      <c r="S48" s="30"/>
      <c r="T48" s="30"/>
      <c r="U48" s="30"/>
      <c r="V48" s="30"/>
      <c r="W48" s="30"/>
    </row>
    <row r="49">
      <c r="A49" s="30"/>
      <c r="B49" s="30"/>
      <c r="C49" s="30"/>
      <c r="D49" s="30"/>
      <c r="E49" s="30"/>
      <c r="F49" s="30"/>
      <c r="G49" s="30"/>
      <c r="H49" s="30"/>
      <c r="I49" s="30"/>
      <c r="J49" s="30"/>
      <c r="K49" s="30"/>
      <c r="L49" s="30"/>
      <c r="M49" s="30"/>
      <c r="N49" s="30"/>
      <c r="O49" s="31"/>
      <c r="P49" s="30"/>
      <c r="Q49" s="30"/>
      <c r="R49" s="30"/>
      <c r="S49" s="30"/>
      <c r="T49" s="30"/>
      <c r="U49" s="30"/>
      <c r="V49" s="30"/>
      <c r="W49" s="30"/>
    </row>
    <row r="50">
      <c r="A50" s="30"/>
      <c r="B50" s="30"/>
      <c r="C50" s="30"/>
      <c r="D50" s="30"/>
      <c r="E50" s="30"/>
      <c r="F50" s="30"/>
      <c r="G50" s="30"/>
      <c r="H50" s="30"/>
      <c r="I50" s="30"/>
      <c r="J50" s="30"/>
      <c r="K50" s="30"/>
      <c r="L50" s="30"/>
      <c r="M50" s="30"/>
      <c r="N50" s="30"/>
      <c r="O50" s="31"/>
      <c r="P50" s="30"/>
      <c r="Q50" s="30"/>
      <c r="R50" s="30"/>
      <c r="S50" s="30"/>
      <c r="T50" s="30"/>
      <c r="U50" s="30"/>
      <c r="V50" s="30"/>
      <c r="W50" s="30"/>
    </row>
    <row r="51">
      <c r="A51" s="30"/>
      <c r="B51" s="30"/>
      <c r="C51" s="30"/>
      <c r="D51" s="30"/>
      <c r="E51" s="30"/>
      <c r="F51" s="30"/>
      <c r="G51" s="30"/>
      <c r="H51" s="30"/>
      <c r="I51" s="30"/>
      <c r="J51" s="30"/>
      <c r="K51" s="30"/>
      <c r="L51" s="30"/>
      <c r="M51" s="30"/>
      <c r="N51" s="30"/>
      <c r="O51" s="31"/>
      <c r="P51" s="30"/>
      <c r="Q51" s="30"/>
      <c r="R51" s="30"/>
      <c r="S51" s="30"/>
      <c r="T51" s="30"/>
      <c r="U51" s="30"/>
      <c r="V51" s="30"/>
      <c r="W51" s="30"/>
    </row>
    <row r="52">
      <c r="A52" s="30"/>
      <c r="B52" s="30"/>
      <c r="C52" s="30"/>
      <c r="D52" s="30"/>
      <c r="E52" s="30"/>
      <c r="F52" s="30"/>
      <c r="G52" s="30"/>
      <c r="H52" s="30"/>
      <c r="I52" s="30"/>
      <c r="J52" s="30"/>
      <c r="K52" s="30"/>
      <c r="L52" s="30"/>
      <c r="M52" s="30"/>
      <c r="N52" s="30"/>
      <c r="O52" s="31"/>
      <c r="P52" s="30"/>
      <c r="Q52" s="30"/>
      <c r="R52" s="30"/>
      <c r="S52" s="30"/>
      <c r="T52" s="30"/>
      <c r="U52" s="30"/>
      <c r="V52" s="30"/>
      <c r="W52" s="30"/>
    </row>
    <row r="53">
      <c r="A53" s="30"/>
      <c r="B53" s="30"/>
      <c r="C53" s="30"/>
      <c r="D53" s="30"/>
      <c r="E53" s="30"/>
      <c r="F53" s="30"/>
      <c r="G53" s="30"/>
      <c r="H53" s="30"/>
      <c r="I53" s="30"/>
      <c r="J53" s="30"/>
      <c r="K53" s="30"/>
      <c r="L53" s="30"/>
      <c r="M53" s="30"/>
      <c r="N53" s="30"/>
      <c r="O53" s="31"/>
      <c r="P53" s="30"/>
      <c r="Q53" s="30"/>
      <c r="R53" s="30"/>
      <c r="S53" s="30"/>
      <c r="T53" s="30"/>
      <c r="U53" s="30"/>
      <c r="V53" s="30"/>
      <c r="W53" s="30"/>
    </row>
    <row r="54">
      <c r="A54" s="30"/>
      <c r="B54" s="30"/>
      <c r="C54" s="30"/>
      <c r="D54" s="30"/>
      <c r="E54" s="30"/>
      <c r="F54" s="30"/>
      <c r="G54" s="30"/>
      <c r="H54" s="30"/>
      <c r="I54" s="30"/>
      <c r="J54" s="30"/>
      <c r="K54" s="30"/>
      <c r="L54" s="30"/>
      <c r="M54" s="30"/>
      <c r="N54" s="30"/>
      <c r="O54" s="31"/>
      <c r="P54" s="30"/>
      <c r="Q54" s="30"/>
      <c r="R54" s="30"/>
      <c r="S54" s="30"/>
      <c r="T54" s="30"/>
      <c r="U54" s="30"/>
      <c r="V54" s="30"/>
      <c r="W54" s="30"/>
    </row>
    <row r="55">
      <c r="A55" s="30"/>
      <c r="B55" s="30"/>
      <c r="C55" s="30"/>
      <c r="D55" s="30"/>
      <c r="E55" s="30"/>
      <c r="F55" s="30"/>
      <c r="G55" s="30"/>
      <c r="H55" s="30"/>
      <c r="I55" s="30"/>
      <c r="J55" s="30"/>
      <c r="K55" s="30"/>
      <c r="L55" s="30"/>
      <c r="M55" s="30"/>
      <c r="N55" s="30"/>
      <c r="O55" s="31"/>
      <c r="P55" s="30"/>
      <c r="Q55" s="30"/>
      <c r="R55" s="30"/>
      <c r="S55" s="30"/>
      <c r="T55" s="30"/>
      <c r="U55" s="30"/>
      <c r="V55" s="30"/>
      <c r="W55" s="30"/>
    </row>
    <row r="56">
      <c r="A56" s="30"/>
      <c r="B56" s="30"/>
      <c r="C56" s="30"/>
      <c r="D56" s="30"/>
      <c r="E56" s="30"/>
      <c r="F56" s="30"/>
      <c r="G56" s="30"/>
      <c r="H56" s="30"/>
      <c r="I56" s="30"/>
      <c r="J56" s="30"/>
      <c r="K56" s="30"/>
      <c r="L56" s="30"/>
      <c r="M56" s="30"/>
      <c r="N56" s="30"/>
      <c r="O56" s="31"/>
      <c r="P56" s="30"/>
      <c r="Q56" s="30"/>
      <c r="R56" s="30"/>
      <c r="S56" s="30"/>
      <c r="T56" s="30"/>
      <c r="U56" s="30"/>
      <c r="V56" s="30"/>
      <c r="W56" s="30"/>
    </row>
    <row r="57">
      <c r="A57" s="30"/>
      <c r="B57" s="30"/>
      <c r="C57" s="30"/>
      <c r="D57" s="30"/>
      <c r="E57" s="30"/>
      <c r="F57" s="30"/>
      <c r="G57" s="30"/>
      <c r="H57" s="30"/>
      <c r="I57" s="30"/>
      <c r="J57" s="30"/>
      <c r="K57" s="30"/>
      <c r="L57" s="30"/>
      <c r="M57" s="30"/>
      <c r="N57" s="30"/>
      <c r="O57" s="31"/>
      <c r="P57" s="30"/>
      <c r="Q57" s="30"/>
      <c r="R57" s="30"/>
      <c r="S57" s="30"/>
      <c r="T57" s="30"/>
      <c r="U57" s="30"/>
      <c r="V57" s="30"/>
      <c r="W57" s="30"/>
    </row>
    <row r="58">
      <c r="A58" s="30"/>
      <c r="B58" s="30"/>
      <c r="C58" s="30"/>
      <c r="D58" s="30"/>
      <c r="E58" s="30"/>
      <c r="F58" s="30"/>
      <c r="G58" s="30"/>
      <c r="H58" s="30"/>
      <c r="I58" s="30"/>
      <c r="J58" s="30"/>
      <c r="K58" s="30"/>
      <c r="L58" s="30"/>
      <c r="M58" s="30"/>
      <c r="N58" s="30"/>
      <c r="O58" s="31"/>
      <c r="P58" s="30"/>
      <c r="Q58" s="30"/>
      <c r="R58" s="30"/>
      <c r="S58" s="30"/>
      <c r="T58" s="30"/>
      <c r="U58" s="30"/>
      <c r="V58" s="30"/>
      <c r="W58" s="30"/>
    </row>
    <row r="59">
      <c r="A59" s="30"/>
      <c r="B59" s="30"/>
      <c r="C59" s="30"/>
      <c r="D59" s="30"/>
      <c r="E59" s="30"/>
      <c r="F59" s="30"/>
      <c r="G59" s="30"/>
      <c r="H59" s="30"/>
      <c r="I59" s="30"/>
      <c r="J59" s="30"/>
      <c r="K59" s="30"/>
      <c r="L59" s="30"/>
      <c r="M59" s="30"/>
      <c r="N59" s="30"/>
      <c r="O59" s="31"/>
      <c r="P59" s="30"/>
      <c r="Q59" s="30"/>
      <c r="R59" s="30"/>
      <c r="S59" s="30"/>
      <c r="T59" s="30"/>
      <c r="U59" s="30"/>
      <c r="V59" s="30"/>
      <c r="W59" s="30"/>
    </row>
    <row r="60">
      <c r="A60" s="30"/>
      <c r="B60" s="30"/>
      <c r="C60" s="30"/>
      <c r="D60" s="30"/>
      <c r="E60" s="30"/>
      <c r="F60" s="30"/>
      <c r="G60" s="30"/>
      <c r="H60" s="30"/>
      <c r="I60" s="30"/>
      <c r="J60" s="30"/>
      <c r="K60" s="30"/>
      <c r="L60" s="30"/>
      <c r="M60" s="30"/>
      <c r="N60" s="30"/>
      <c r="O60" s="31"/>
      <c r="P60" s="30"/>
      <c r="Q60" s="30"/>
      <c r="R60" s="30"/>
      <c r="S60" s="30"/>
      <c r="T60" s="30"/>
      <c r="U60" s="30"/>
      <c r="V60" s="30"/>
      <c r="W60" s="30"/>
    </row>
    <row r="61">
      <c r="A61" s="30"/>
      <c r="B61" s="30"/>
      <c r="C61" s="30"/>
      <c r="D61" s="30"/>
      <c r="E61" s="30"/>
      <c r="F61" s="30"/>
      <c r="G61" s="30"/>
      <c r="H61" s="30"/>
      <c r="I61" s="30"/>
      <c r="J61" s="30"/>
      <c r="K61" s="30"/>
      <c r="L61" s="30"/>
      <c r="M61" s="30"/>
      <c r="N61" s="30"/>
      <c r="O61" s="31"/>
      <c r="P61" s="30"/>
      <c r="Q61" s="30"/>
      <c r="R61" s="30"/>
      <c r="S61" s="30"/>
      <c r="T61" s="30"/>
      <c r="U61" s="30"/>
      <c r="V61" s="30"/>
      <c r="W61" s="30"/>
    </row>
    <row r="62">
      <c r="A62" s="30"/>
      <c r="B62" s="30"/>
      <c r="C62" s="30"/>
      <c r="D62" s="30"/>
      <c r="E62" s="30"/>
      <c r="F62" s="30"/>
      <c r="G62" s="30"/>
      <c r="H62" s="30"/>
      <c r="I62" s="30"/>
      <c r="J62" s="30"/>
      <c r="K62" s="30"/>
      <c r="L62" s="30"/>
      <c r="M62" s="30"/>
      <c r="N62" s="30"/>
      <c r="O62" s="31"/>
      <c r="P62" s="30"/>
      <c r="Q62" s="30"/>
      <c r="R62" s="30"/>
      <c r="S62" s="30"/>
      <c r="T62" s="30"/>
      <c r="U62" s="30"/>
      <c r="V62" s="30"/>
      <c r="W62" s="30"/>
    </row>
    <row r="63">
      <c r="A63" s="30"/>
      <c r="B63" s="30"/>
      <c r="C63" s="30"/>
      <c r="D63" s="30"/>
      <c r="E63" s="30"/>
      <c r="F63" s="30"/>
      <c r="G63" s="30"/>
      <c r="H63" s="30"/>
      <c r="I63" s="30"/>
      <c r="J63" s="30"/>
      <c r="K63" s="30"/>
      <c r="L63" s="30"/>
      <c r="M63" s="30"/>
      <c r="N63" s="30"/>
      <c r="O63" s="31"/>
      <c r="P63" s="30"/>
      <c r="Q63" s="30"/>
      <c r="R63" s="30"/>
      <c r="S63" s="30"/>
      <c r="T63" s="30"/>
      <c r="U63" s="30"/>
      <c r="V63" s="30"/>
      <c r="W63" s="30"/>
    </row>
    <row r="64">
      <c r="A64" s="30"/>
      <c r="B64" s="30"/>
      <c r="C64" s="30"/>
      <c r="D64" s="30"/>
      <c r="E64" s="30"/>
      <c r="F64" s="30"/>
      <c r="G64" s="30"/>
      <c r="H64" s="30"/>
      <c r="I64" s="30"/>
      <c r="J64" s="30"/>
      <c r="K64" s="30"/>
      <c r="L64" s="30"/>
      <c r="M64" s="30"/>
      <c r="N64" s="30"/>
      <c r="O64" s="31"/>
      <c r="P64" s="30"/>
      <c r="Q64" s="30"/>
      <c r="R64" s="30"/>
      <c r="S64" s="30"/>
      <c r="T64" s="30"/>
      <c r="U64" s="30"/>
      <c r="V64" s="30"/>
      <c r="W64" s="30"/>
    </row>
    <row r="65">
      <c r="A65" s="30"/>
      <c r="B65" s="30"/>
      <c r="C65" s="30"/>
      <c r="D65" s="30"/>
      <c r="E65" s="30"/>
      <c r="F65" s="30"/>
      <c r="G65" s="30"/>
      <c r="H65" s="30"/>
      <c r="I65" s="30"/>
      <c r="J65" s="30"/>
      <c r="K65" s="30"/>
      <c r="L65" s="30"/>
      <c r="M65" s="30"/>
      <c r="N65" s="30"/>
      <c r="O65" s="31"/>
      <c r="P65" s="30"/>
      <c r="Q65" s="30"/>
      <c r="R65" s="30"/>
      <c r="S65" s="30"/>
      <c r="T65" s="30"/>
      <c r="U65" s="30"/>
      <c r="V65" s="30"/>
      <c r="W65" s="30"/>
    </row>
    <row r="66">
      <c r="A66" s="30"/>
      <c r="B66" s="30"/>
      <c r="C66" s="30"/>
      <c r="D66" s="30"/>
      <c r="E66" s="30"/>
      <c r="F66" s="30"/>
      <c r="G66" s="30"/>
      <c r="H66" s="30"/>
      <c r="I66" s="30"/>
      <c r="J66" s="30"/>
      <c r="K66" s="30"/>
      <c r="L66" s="30"/>
      <c r="M66" s="30"/>
      <c r="N66" s="30"/>
      <c r="O66" s="31"/>
      <c r="P66" s="30"/>
      <c r="Q66" s="30"/>
      <c r="R66" s="30"/>
      <c r="S66" s="30"/>
      <c r="T66" s="30"/>
      <c r="U66" s="30"/>
      <c r="V66" s="30"/>
      <c r="W66" s="30"/>
    </row>
    <row r="67">
      <c r="A67" s="30"/>
      <c r="B67" s="30"/>
      <c r="C67" s="30"/>
      <c r="D67" s="30"/>
      <c r="E67" s="30"/>
      <c r="F67" s="30"/>
      <c r="G67" s="30"/>
      <c r="H67" s="30"/>
      <c r="I67" s="30"/>
      <c r="J67" s="30"/>
      <c r="K67" s="30"/>
      <c r="L67" s="30"/>
      <c r="M67" s="30"/>
      <c r="N67" s="30"/>
      <c r="O67" s="31"/>
      <c r="P67" s="30"/>
      <c r="Q67" s="30"/>
      <c r="R67" s="30"/>
      <c r="S67" s="30"/>
      <c r="T67" s="30"/>
      <c r="U67" s="30"/>
      <c r="V67" s="30"/>
      <c r="W67" s="30"/>
    </row>
    <row r="68">
      <c r="A68" s="30"/>
      <c r="B68" s="30"/>
      <c r="C68" s="30"/>
      <c r="D68" s="30"/>
      <c r="E68" s="30"/>
      <c r="F68" s="30"/>
      <c r="G68" s="30"/>
      <c r="H68" s="30"/>
      <c r="I68" s="30"/>
      <c r="J68" s="30"/>
      <c r="K68" s="30"/>
      <c r="L68" s="30"/>
      <c r="M68" s="30"/>
      <c r="N68" s="30"/>
      <c r="O68" s="31"/>
      <c r="P68" s="30"/>
      <c r="Q68" s="30"/>
      <c r="R68" s="30"/>
      <c r="S68" s="30"/>
      <c r="T68" s="30"/>
      <c r="U68" s="30"/>
      <c r="V68" s="30"/>
      <c r="W68" s="30"/>
    </row>
    <row r="69">
      <c r="A69" s="30"/>
      <c r="B69" s="30"/>
      <c r="C69" s="30"/>
      <c r="D69" s="30"/>
      <c r="E69" s="30"/>
      <c r="F69" s="30"/>
      <c r="G69" s="30"/>
      <c r="H69" s="30"/>
      <c r="I69" s="30"/>
      <c r="J69" s="30"/>
      <c r="K69" s="30"/>
      <c r="L69" s="30"/>
      <c r="M69" s="30"/>
      <c r="N69" s="30"/>
      <c r="O69" s="31"/>
      <c r="P69" s="30"/>
      <c r="Q69" s="30"/>
      <c r="R69" s="30"/>
      <c r="S69" s="30"/>
      <c r="T69" s="30"/>
      <c r="U69" s="30"/>
      <c r="V69" s="30"/>
      <c r="W69" s="30"/>
    </row>
    <row r="70">
      <c r="A70" s="30"/>
      <c r="B70" s="30"/>
      <c r="C70" s="30"/>
      <c r="D70" s="30"/>
      <c r="E70" s="30"/>
      <c r="F70" s="30"/>
      <c r="G70" s="30"/>
      <c r="H70" s="30"/>
      <c r="I70" s="30"/>
      <c r="J70" s="30"/>
      <c r="K70" s="30"/>
      <c r="L70" s="30"/>
      <c r="M70" s="30"/>
      <c r="N70" s="30"/>
      <c r="O70" s="31"/>
      <c r="P70" s="30"/>
      <c r="Q70" s="30"/>
      <c r="R70" s="30"/>
      <c r="S70" s="30"/>
      <c r="T70" s="30"/>
      <c r="U70" s="30"/>
      <c r="V70" s="30"/>
      <c r="W70" s="30"/>
    </row>
    <row r="71">
      <c r="A71" s="30"/>
      <c r="B71" s="30"/>
      <c r="C71" s="30"/>
      <c r="D71" s="30"/>
      <c r="E71" s="30"/>
      <c r="F71" s="30"/>
      <c r="G71" s="30"/>
      <c r="H71" s="30"/>
      <c r="I71" s="30"/>
      <c r="J71" s="30"/>
      <c r="K71" s="30"/>
      <c r="L71" s="30"/>
      <c r="M71" s="30"/>
      <c r="N71" s="30"/>
      <c r="O71" s="31"/>
      <c r="P71" s="30"/>
      <c r="Q71" s="30"/>
      <c r="R71" s="30"/>
      <c r="S71" s="30"/>
      <c r="T71" s="30"/>
      <c r="U71" s="30"/>
      <c r="V71" s="30"/>
      <c r="W71" s="30"/>
    </row>
    <row r="72">
      <c r="A72" s="30"/>
      <c r="B72" s="30"/>
      <c r="C72" s="30"/>
      <c r="D72" s="30"/>
      <c r="E72" s="30"/>
      <c r="F72" s="30"/>
      <c r="G72" s="30"/>
      <c r="H72" s="30"/>
      <c r="I72" s="30"/>
      <c r="J72" s="30"/>
      <c r="K72" s="30"/>
      <c r="L72" s="30"/>
      <c r="M72" s="30"/>
      <c r="N72" s="30"/>
      <c r="O72" s="31"/>
      <c r="P72" s="30"/>
      <c r="Q72" s="30"/>
      <c r="R72" s="30"/>
      <c r="S72" s="30"/>
      <c r="T72" s="30"/>
      <c r="U72" s="30"/>
      <c r="V72" s="30"/>
      <c r="W72" s="30"/>
    </row>
    <row r="73">
      <c r="A73" s="30"/>
      <c r="B73" s="30"/>
      <c r="C73" s="30"/>
      <c r="D73" s="30"/>
      <c r="E73" s="30"/>
      <c r="F73" s="30"/>
      <c r="G73" s="30"/>
      <c r="H73" s="30"/>
      <c r="I73" s="30"/>
      <c r="J73" s="30"/>
      <c r="K73" s="30"/>
      <c r="L73" s="30"/>
      <c r="M73" s="30"/>
      <c r="N73" s="30"/>
      <c r="O73" s="31"/>
      <c r="P73" s="30"/>
      <c r="Q73" s="30"/>
      <c r="R73" s="30"/>
      <c r="S73" s="30"/>
      <c r="T73" s="30"/>
      <c r="U73" s="30"/>
      <c r="V73" s="30"/>
      <c r="W73" s="30"/>
    </row>
    <row r="74">
      <c r="A74" s="30"/>
      <c r="B74" s="30"/>
      <c r="C74" s="30"/>
      <c r="D74" s="30"/>
      <c r="E74" s="30"/>
      <c r="F74" s="30"/>
      <c r="G74" s="30"/>
      <c r="H74" s="30"/>
      <c r="I74" s="30"/>
      <c r="J74" s="30"/>
      <c r="K74" s="30"/>
      <c r="L74" s="30"/>
      <c r="M74" s="30"/>
      <c r="N74" s="30"/>
      <c r="O74" s="31"/>
      <c r="P74" s="30"/>
      <c r="Q74" s="30"/>
      <c r="R74" s="30"/>
      <c r="S74" s="30"/>
      <c r="T74" s="30"/>
      <c r="U74" s="30"/>
      <c r="V74" s="30"/>
      <c r="W74" s="30"/>
    </row>
    <row r="75">
      <c r="A75" s="30"/>
      <c r="B75" s="30"/>
      <c r="C75" s="30"/>
      <c r="D75" s="30"/>
      <c r="E75" s="30"/>
      <c r="F75" s="30"/>
      <c r="G75" s="30"/>
      <c r="H75" s="30"/>
      <c r="I75" s="30"/>
      <c r="J75" s="30"/>
      <c r="K75" s="30"/>
      <c r="L75" s="30"/>
      <c r="M75" s="30"/>
      <c r="N75" s="30"/>
      <c r="O75" s="31"/>
      <c r="P75" s="30"/>
      <c r="Q75" s="30"/>
      <c r="R75" s="30"/>
      <c r="S75" s="30"/>
      <c r="T75" s="30"/>
      <c r="U75" s="30"/>
      <c r="V75" s="30"/>
      <c r="W75" s="30"/>
    </row>
    <row r="76">
      <c r="A76" s="30"/>
      <c r="B76" s="30"/>
      <c r="C76" s="30"/>
      <c r="D76" s="30"/>
      <c r="E76" s="30"/>
      <c r="F76" s="30"/>
      <c r="G76" s="30"/>
      <c r="H76" s="30"/>
      <c r="I76" s="30"/>
      <c r="J76" s="30"/>
      <c r="K76" s="30"/>
      <c r="L76" s="30"/>
      <c r="M76" s="30"/>
      <c r="N76" s="30"/>
      <c r="O76" s="31"/>
      <c r="P76" s="30"/>
      <c r="Q76" s="30"/>
      <c r="R76" s="30"/>
      <c r="S76" s="30"/>
      <c r="T76" s="30"/>
      <c r="U76" s="30"/>
      <c r="V76" s="30"/>
      <c r="W76" s="30"/>
    </row>
    <row r="77">
      <c r="A77" s="30"/>
      <c r="B77" s="30"/>
      <c r="C77" s="30"/>
      <c r="D77" s="30"/>
      <c r="E77" s="30"/>
      <c r="F77" s="30"/>
      <c r="G77" s="30"/>
      <c r="H77" s="30"/>
      <c r="I77" s="30"/>
      <c r="J77" s="30"/>
      <c r="K77" s="30"/>
      <c r="L77" s="30"/>
      <c r="M77" s="30"/>
      <c r="N77" s="30"/>
      <c r="O77" s="35"/>
      <c r="P77" s="30"/>
      <c r="Q77" s="30"/>
      <c r="R77" s="30"/>
      <c r="S77" s="30"/>
      <c r="T77" s="30"/>
      <c r="U77" s="30"/>
      <c r="V77" s="30"/>
      <c r="W77" s="30"/>
    </row>
    <row r="78">
      <c r="A78" s="30"/>
      <c r="B78" s="30"/>
      <c r="C78" s="30"/>
      <c r="D78" s="30"/>
      <c r="E78" s="30"/>
      <c r="F78" s="30"/>
      <c r="G78" s="30"/>
      <c r="H78" s="30"/>
      <c r="I78" s="30"/>
      <c r="J78" s="30"/>
      <c r="K78" s="30"/>
      <c r="L78" s="30"/>
      <c r="M78" s="30"/>
      <c r="N78" s="30"/>
      <c r="O78" s="31"/>
      <c r="P78" s="30"/>
      <c r="Q78" s="30"/>
      <c r="R78" s="30"/>
      <c r="S78" s="30"/>
      <c r="T78" s="30"/>
      <c r="U78" s="30"/>
      <c r="V78" s="30"/>
      <c r="W78" s="30"/>
    </row>
    <row r="79">
      <c r="A79" s="30"/>
      <c r="B79" s="30"/>
      <c r="C79" s="30"/>
      <c r="D79" s="30"/>
      <c r="E79" s="30"/>
      <c r="F79" s="30"/>
      <c r="G79" s="30"/>
      <c r="H79" s="30"/>
      <c r="I79" s="30"/>
      <c r="J79" s="30"/>
      <c r="K79" s="30"/>
      <c r="L79" s="30"/>
      <c r="M79" s="30"/>
      <c r="N79" s="30"/>
      <c r="O79" s="35"/>
      <c r="P79" s="30"/>
      <c r="Q79" s="30"/>
      <c r="R79" s="30"/>
      <c r="S79" s="30"/>
      <c r="T79" s="30"/>
      <c r="U79" s="30"/>
      <c r="V79" s="30"/>
      <c r="W79" s="30"/>
    </row>
    <row r="80">
      <c r="A80" s="30"/>
      <c r="B80" s="30"/>
      <c r="C80" s="30"/>
      <c r="D80" s="30"/>
      <c r="E80" s="30"/>
      <c r="F80" s="30"/>
      <c r="G80" s="30"/>
      <c r="H80" s="30"/>
      <c r="I80" s="30"/>
      <c r="J80" s="30"/>
      <c r="K80" s="30"/>
      <c r="L80" s="30"/>
      <c r="M80" s="30"/>
      <c r="N80" s="30"/>
      <c r="O80" s="31"/>
      <c r="P80" s="30"/>
      <c r="Q80" s="30"/>
      <c r="R80" s="30"/>
      <c r="S80" s="30"/>
      <c r="T80" s="30"/>
      <c r="U80" s="30"/>
      <c r="V80" s="30"/>
      <c r="W80" s="30"/>
    </row>
    <row r="81">
      <c r="A81" s="30"/>
      <c r="B81" s="30"/>
      <c r="C81" s="30"/>
      <c r="D81" s="30"/>
      <c r="E81" s="30"/>
      <c r="F81" s="30"/>
      <c r="G81" s="30"/>
      <c r="H81" s="30"/>
      <c r="I81" s="30"/>
      <c r="J81" s="30"/>
      <c r="K81" s="30"/>
      <c r="L81" s="30"/>
      <c r="M81" s="30"/>
      <c r="N81" s="30"/>
      <c r="O81" s="31"/>
      <c r="P81" s="30"/>
      <c r="Q81" s="30"/>
      <c r="R81" s="30"/>
      <c r="S81" s="30"/>
      <c r="T81" s="30"/>
      <c r="U81" s="30"/>
      <c r="V81" s="30"/>
      <c r="W81" s="30"/>
    </row>
    <row r="82">
      <c r="A82" s="30"/>
      <c r="B82" s="30"/>
      <c r="C82" s="30"/>
      <c r="D82" s="30"/>
      <c r="E82" s="30"/>
      <c r="F82" s="30"/>
      <c r="G82" s="30"/>
      <c r="H82" s="30"/>
      <c r="I82" s="30"/>
      <c r="J82" s="30"/>
      <c r="K82" s="30"/>
      <c r="L82" s="30"/>
      <c r="M82" s="30"/>
      <c r="N82" s="30"/>
      <c r="O82" s="31"/>
      <c r="P82" s="30"/>
      <c r="Q82" s="30"/>
      <c r="R82" s="30"/>
      <c r="S82" s="30"/>
      <c r="T82" s="30"/>
      <c r="U82" s="30"/>
      <c r="V82" s="30"/>
      <c r="W82" s="30"/>
    </row>
    <row r="83">
      <c r="A83" s="30"/>
      <c r="B83" s="30"/>
      <c r="C83" s="30"/>
      <c r="D83" s="30"/>
      <c r="E83" s="30"/>
      <c r="F83" s="30"/>
      <c r="G83" s="30"/>
      <c r="H83" s="30"/>
      <c r="I83" s="30"/>
      <c r="J83" s="30"/>
      <c r="K83" s="30"/>
      <c r="L83" s="30"/>
      <c r="M83" s="30"/>
      <c r="N83" s="30"/>
      <c r="O83" s="31"/>
      <c r="P83" s="30"/>
      <c r="Q83" s="30"/>
      <c r="R83" s="30"/>
      <c r="S83" s="30"/>
      <c r="T83" s="30"/>
      <c r="U83" s="30"/>
      <c r="V83" s="30"/>
      <c r="W83" s="30"/>
    </row>
    <row r="84">
      <c r="A84" s="30"/>
      <c r="B84" s="30"/>
      <c r="C84" s="30"/>
      <c r="D84" s="30"/>
      <c r="E84" s="30"/>
      <c r="F84" s="30"/>
      <c r="G84" s="30"/>
      <c r="H84" s="30"/>
      <c r="I84" s="30"/>
      <c r="J84" s="30"/>
      <c r="K84" s="30"/>
      <c r="L84" s="30"/>
      <c r="M84" s="30"/>
      <c r="N84" s="30"/>
      <c r="O84" s="31"/>
      <c r="P84" s="30"/>
      <c r="Q84" s="30"/>
      <c r="R84" s="30"/>
      <c r="S84" s="30"/>
      <c r="T84" s="30"/>
      <c r="U84" s="30"/>
      <c r="V84" s="30"/>
      <c r="W84" s="30"/>
    </row>
    <row r="85">
      <c r="A85" s="30"/>
      <c r="B85" s="30"/>
      <c r="C85" s="30"/>
      <c r="D85" s="30"/>
      <c r="E85" s="30"/>
      <c r="F85" s="30"/>
      <c r="G85" s="30"/>
      <c r="H85" s="30"/>
      <c r="I85" s="30"/>
      <c r="J85" s="30"/>
      <c r="K85" s="30"/>
      <c r="L85" s="30"/>
      <c r="M85" s="30"/>
      <c r="N85" s="30"/>
      <c r="O85" s="31"/>
      <c r="P85" s="30"/>
      <c r="Q85" s="30"/>
      <c r="R85" s="30"/>
      <c r="S85" s="30"/>
      <c r="T85" s="30"/>
      <c r="U85" s="30"/>
      <c r="V85" s="30"/>
      <c r="W85" s="30"/>
    </row>
    <row r="86">
      <c r="A86" s="30"/>
      <c r="B86" s="30"/>
      <c r="C86" s="30"/>
      <c r="D86" s="30"/>
      <c r="E86" s="30"/>
      <c r="F86" s="30"/>
      <c r="G86" s="30"/>
      <c r="H86" s="30"/>
      <c r="I86" s="30"/>
      <c r="J86" s="30"/>
      <c r="K86" s="30"/>
      <c r="L86" s="30"/>
      <c r="M86" s="30"/>
      <c r="N86" s="30"/>
      <c r="O86" s="31"/>
      <c r="P86" s="30"/>
      <c r="Q86" s="30"/>
      <c r="R86" s="30"/>
      <c r="S86" s="30"/>
      <c r="T86" s="30"/>
      <c r="U86" s="30"/>
      <c r="V86" s="30"/>
      <c r="W86" s="30"/>
    </row>
    <row r="87">
      <c r="A87" s="30"/>
      <c r="B87" s="30"/>
      <c r="C87" s="30"/>
      <c r="D87" s="30"/>
      <c r="E87" s="30"/>
      <c r="F87" s="30"/>
      <c r="G87" s="30"/>
      <c r="H87" s="30"/>
      <c r="I87" s="30"/>
      <c r="J87" s="30"/>
      <c r="K87" s="30"/>
      <c r="L87" s="30"/>
      <c r="M87" s="30"/>
      <c r="N87" s="30"/>
      <c r="O87" s="31"/>
      <c r="P87" s="30"/>
      <c r="Q87" s="30"/>
      <c r="R87" s="30"/>
      <c r="S87" s="30"/>
      <c r="T87" s="30"/>
      <c r="U87" s="30"/>
      <c r="V87" s="30"/>
      <c r="W87" s="30"/>
    </row>
    <row r="88">
      <c r="A88" s="30"/>
      <c r="B88" s="30"/>
      <c r="C88" s="30"/>
      <c r="D88" s="30"/>
      <c r="E88" s="30"/>
      <c r="F88" s="30"/>
      <c r="G88" s="30"/>
      <c r="H88" s="30"/>
      <c r="I88" s="30"/>
      <c r="J88" s="30"/>
      <c r="K88" s="30"/>
      <c r="L88" s="30"/>
      <c r="M88" s="30"/>
      <c r="N88" s="30"/>
      <c r="O88" s="31"/>
      <c r="P88" s="30"/>
      <c r="Q88" s="30"/>
      <c r="R88" s="30"/>
      <c r="S88" s="30"/>
      <c r="T88" s="30"/>
      <c r="U88" s="30"/>
      <c r="V88" s="30"/>
      <c r="W88" s="30"/>
    </row>
    <row r="89">
      <c r="A89" s="30"/>
      <c r="B89" s="30"/>
      <c r="C89" s="30"/>
      <c r="D89" s="30"/>
      <c r="E89" s="30"/>
      <c r="F89" s="30"/>
      <c r="G89" s="30"/>
      <c r="H89" s="30"/>
      <c r="I89" s="30"/>
      <c r="J89" s="30"/>
      <c r="K89" s="30"/>
      <c r="L89" s="30"/>
      <c r="M89" s="30"/>
      <c r="N89" s="30"/>
      <c r="O89" s="31"/>
      <c r="P89" s="30"/>
      <c r="Q89" s="30"/>
      <c r="R89" s="30"/>
      <c r="S89" s="30"/>
      <c r="T89" s="30"/>
      <c r="U89" s="30"/>
      <c r="V89" s="30"/>
      <c r="W89" s="30"/>
    </row>
    <row r="90">
      <c r="A90" s="30"/>
      <c r="B90" s="30"/>
      <c r="C90" s="30"/>
      <c r="D90" s="30"/>
      <c r="E90" s="30"/>
      <c r="F90" s="30"/>
      <c r="G90" s="30"/>
      <c r="H90" s="30"/>
      <c r="I90" s="30"/>
      <c r="J90" s="30"/>
      <c r="K90" s="30"/>
      <c r="L90" s="30"/>
      <c r="M90" s="30"/>
      <c r="N90" s="30"/>
      <c r="O90" s="31"/>
      <c r="P90" s="30"/>
      <c r="Q90" s="30"/>
      <c r="R90" s="30"/>
      <c r="S90" s="30"/>
      <c r="T90" s="30"/>
      <c r="U90" s="30"/>
      <c r="V90" s="30"/>
      <c r="W90" s="30"/>
    </row>
    <row r="91">
      <c r="A91" s="30"/>
      <c r="B91" s="30"/>
      <c r="C91" s="30"/>
      <c r="D91" s="30"/>
      <c r="E91" s="30"/>
      <c r="F91" s="30"/>
      <c r="G91" s="30"/>
      <c r="H91" s="30"/>
      <c r="I91" s="30"/>
      <c r="J91" s="30"/>
      <c r="K91" s="30"/>
      <c r="L91" s="30"/>
      <c r="M91" s="30"/>
      <c r="N91" s="30"/>
      <c r="O91" s="31"/>
      <c r="P91" s="30"/>
      <c r="Q91" s="30"/>
      <c r="R91" s="30"/>
      <c r="S91" s="30"/>
      <c r="T91" s="30"/>
      <c r="U91" s="30"/>
      <c r="V91" s="30"/>
      <c r="W91" s="30"/>
    </row>
    <row r="92">
      <c r="A92" s="30"/>
      <c r="B92" s="30"/>
      <c r="C92" s="30"/>
      <c r="D92" s="30"/>
      <c r="E92" s="30"/>
      <c r="F92" s="30"/>
      <c r="G92" s="30"/>
      <c r="H92" s="30"/>
      <c r="I92" s="30"/>
      <c r="J92" s="30"/>
      <c r="K92" s="30"/>
      <c r="L92" s="30"/>
      <c r="M92" s="30"/>
      <c r="N92" s="30"/>
      <c r="O92" s="31"/>
      <c r="P92" s="30"/>
      <c r="Q92" s="30"/>
      <c r="R92" s="30"/>
      <c r="S92" s="30"/>
      <c r="T92" s="30"/>
      <c r="U92" s="30"/>
      <c r="V92" s="30"/>
      <c r="W92" s="30"/>
    </row>
    <row r="93">
      <c r="A93" s="30"/>
      <c r="B93" s="30"/>
      <c r="C93" s="30"/>
      <c r="D93" s="30"/>
      <c r="E93" s="30"/>
      <c r="F93" s="30"/>
      <c r="G93" s="30"/>
      <c r="H93" s="30"/>
      <c r="I93" s="30"/>
      <c r="J93" s="30"/>
      <c r="K93" s="30"/>
      <c r="L93" s="30"/>
      <c r="M93" s="30"/>
      <c r="N93" s="30"/>
      <c r="O93" s="31"/>
      <c r="P93" s="30"/>
      <c r="Q93" s="30"/>
      <c r="R93" s="30"/>
      <c r="S93" s="30"/>
      <c r="T93" s="30"/>
      <c r="U93" s="30"/>
      <c r="V93" s="30"/>
      <c r="W93" s="30"/>
    </row>
    <row r="94">
      <c r="A94" s="30"/>
      <c r="B94" s="30"/>
      <c r="C94" s="30"/>
      <c r="D94" s="30"/>
      <c r="E94" s="30"/>
      <c r="F94" s="30"/>
      <c r="G94" s="30"/>
      <c r="H94" s="30"/>
      <c r="I94" s="30"/>
      <c r="J94" s="30"/>
      <c r="K94" s="30"/>
      <c r="L94" s="30"/>
      <c r="M94" s="30"/>
      <c r="N94" s="30"/>
      <c r="O94" s="31"/>
      <c r="P94" s="30"/>
      <c r="Q94" s="30"/>
      <c r="R94" s="30"/>
      <c r="S94" s="30"/>
      <c r="T94" s="30"/>
      <c r="U94" s="30"/>
      <c r="V94" s="30"/>
      <c r="W94" s="30"/>
    </row>
    <row r="95">
      <c r="A95" s="30"/>
      <c r="B95" s="30"/>
      <c r="C95" s="30"/>
      <c r="D95" s="30"/>
      <c r="E95" s="30"/>
      <c r="F95" s="30"/>
      <c r="G95" s="30"/>
      <c r="H95" s="30"/>
      <c r="I95" s="30"/>
      <c r="J95" s="30"/>
      <c r="K95" s="30"/>
      <c r="L95" s="30"/>
      <c r="M95" s="30"/>
      <c r="N95" s="30"/>
      <c r="O95" s="31"/>
      <c r="P95" s="30"/>
      <c r="Q95" s="30"/>
      <c r="R95" s="30"/>
      <c r="S95" s="30"/>
      <c r="T95" s="30"/>
      <c r="U95" s="30"/>
      <c r="V95" s="30"/>
      <c r="W95" s="30"/>
    </row>
    <row r="96">
      <c r="A96" s="30"/>
      <c r="B96" s="30"/>
      <c r="C96" s="30"/>
      <c r="D96" s="30"/>
      <c r="E96" s="30"/>
      <c r="F96" s="30"/>
      <c r="G96" s="30"/>
      <c r="H96" s="30"/>
      <c r="I96" s="30"/>
      <c r="J96" s="30"/>
      <c r="K96" s="30"/>
      <c r="L96" s="30"/>
      <c r="M96" s="30"/>
      <c r="N96" s="30"/>
      <c r="O96" s="31"/>
      <c r="P96" s="30"/>
      <c r="Q96" s="30"/>
      <c r="R96" s="30"/>
      <c r="S96" s="30"/>
      <c r="T96" s="30"/>
      <c r="U96" s="30"/>
      <c r="V96" s="30"/>
      <c r="W96" s="30"/>
    </row>
    <row r="97">
      <c r="A97" s="30"/>
      <c r="B97" s="30"/>
      <c r="C97" s="30"/>
      <c r="D97" s="30"/>
      <c r="E97" s="30"/>
      <c r="F97" s="30"/>
      <c r="G97" s="30"/>
      <c r="H97" s="30"/>
      <c r="I97" s="30"/>
      <c r="J97" s="30"/>
      <c r="K97" s="30"/>
      <c r="L97" s="30"/>
      <c r="M97" s="30"/>
      <c r="N97" s="30"/>
      <c r="O97" s="31"/>
      <c r="P97" s="30"/>
      <c r="Q97" s="30"/>
      <c r="R97" s="30"/>
      <c r="S97" s="30"/>
      <c r="T97" s="30"/>
      <c r="U97" s="30"/>
      <c r="V97" s="30"/>
      <c r="W97" s="30"/>
    </row>
    <row r="98">
      <c r="A98" s="30"/>
      <c r="B98" s="30"/>
      <c r="C98" s="30"/>
      <c r="D98" s="30"/>
      <c r="E98" s="30"/>
      <c r="F98" s="30"/>
      <c r="G98" s="30"/>
      <c r="H98" s="30"/>
      <c r="I98" s="30"/>
      <c r="J98" s="30"/>
      <c r="K98" s="30"/>
      <c r="L98" s="30"/>
      <c r="M98" s="30"/>
      <c r="N98" s="30"/>
      <c r="O98" s="31"/>
      <c r="P98" s="30"/>
      <c r="Q98" s="30"/>
      <c r="R98" s="30"/>
      <c r="S98" s="30"/>
      <c r="T98" s="30"/>
      <c r="U98" s="30"/>
      <c r="V98" s="30"/>
      <c r="W98" s="30"/>
    </row>
    <row r="99">
      <c r="A99" s="30"/>
      <c r="B99" s="30"/>
      <c r="C99" s="30"/>
      <c r="D99" s="30"/>
      <c r="E99" s="30"/>
      <c r="F99" s="30"/>
      <c r="G99" s="30"/>
      <c r="H99" s="30"/>
      <c r="I99" s="30"/>
      <c r="J99" s="30"/>
      <c r="K99" s="30"/>
      <c r="L99" s="30"/>
      <c r="M99" s="30"/>
      <c r="N99" s="30"/>
      <c r="O99" s="31"/>
      <c r="P99" s="30"/>
      <c r="Q99" s="30"/>
      <c r="R99" s="30"/>
      <c r="S99" s="30"/>
      <c r="T99" s="30"/>
      <c r="U99" s="30"/>
      <c r="V99" s="30"/>
      <c r="W99" s="30"/>
    </row>
    <row r="100">
      <c r="A100" s="30"/>
      <c r="B100" s="30"/>
      <c r="C100" s="30"/>
      <c r="D100" s="30"/>
      <c r="E100" s="30"/>
      <c r="F100" s="30"/>
      <c r="G100" s="30"/>
      <c r="H100" s="30"/>
      <c r="I100" s="30"/>
      <c r="J100" s="30"/>
      <c r="K100" s="30"/>
      <c r="L100" s="30"/>
      <c r="M100" s="30"/>
      <c r="N100" s="30"/>
      <c r="O100" s="31"/>
      <c r="P100" s="30"/>
      <c r="Q100" s="30"/>
      <c r="R100" s="30"/>
      <c r="S100" s="30"/>
      <c r="T100" s="30"/>
      <c r="U100" s="30"/>
      <c r="V100" s="30"/>
      <c r="W100" s="30"/>
    </row>
    <row r="101">
      <c r="A101" s="30"/>
      <c r="B101" s="30"/>
      <c r="C101" s="30"/>
      <c r="D101" s="30"/>
      <c r="E101" s="30"/>
      <c r="F101" s="30"/>
      <c r="G101" s="30"/>
      <c r="H101" s="30"/>
      <c r="I101" s="30"/>
      <c r="J101" s="30"/>
      <c r="K101" s="30"/>
      <c r="L101" s="30"/>
      <c r="M101" s="30"/>
      <c r="N101" s="30"/>
      <c r="O101" s="31"/>
      <c r="P101" s="30"/>
      <c r="Q101" s="30"/>
      <c r="R101" s="30"/>
      <c r="S101" s="30"/>
      <c r="T101" s="30"/>
      <c r="U101" s="30"/>
      <c r="V101" s="30"/>
      <c r="W101" s="30"/>
    </row>
    <row r="102">
      <c r="A102" s="30"/>
      <c r="B102" s="30"/>
      <c r="C102" s="30"/>
      <c r="D102" s="30"/>
      <c r="E102" s="30"/>
      <c r="F102" s="30"/>
      <c r="G102" s="30"/>
      <c r="H102" s="30"/>
      <c r="I102" s="30"/>
      <c r="J102" s="30"/>
      <c r="K102" s="30"/>
      <c r="L102" s="30"/>
      <c r="M102" s="30"/>
      <c r="N102" s="30"/>
      <c r="O102" s="31"/>
      <c r="P102" s="30"/>
      <c r="Q102" s="30"/>
      <c r="R102" s="30"/>
      <c r="S102" s="30"/>
      <c r="T102" s="30"/>
      <c r="U102" s="30"/>
      <c r="V102" s="30"/>
      <c r="W102" s="30"/>
    </row>
    <row r="103">
      <c r="A103" s="30"/>
      <c r="B103" s="30"/>
      <c r="C103" s="30"/>
      <c r="D103" s="30"/>
      <c r="E103" s="30"/>
      <c r="F103" s="30"/>
      <c r="G103" s="30"/>
      <c r="H103" s="30"/>
      <c r="I103" s="30"/>
      <c r="J103" s="30"/>
      <c r="K103" s="30"/>
      <c r="L103" s="30"/>
      <c r="M103" s="30"/>
      <c r="N103" s="30"/>
      <c r="O103" s="31"/>
      <c r="P103" s="30"/>
      <c r="Q103" s="30"/>
      <c r="R103" s="30"/>
      <c r="S103" s="30"/>
      <c r="T103" s="30"/>
      <c r="U103" s="30"/>
      <c r="V103" s="30"/>
      <c r="W103" s="30"/>
    </row>
    <row r="104">
      <c r="A104" s="30"/>
      <c r="B104" s="30"/>
      <c r="C104" s="30"/>
      <c r="D104" s="30"/>
      <c r="E104" s="30"/>
      <c r="F104" s="30"/>
      <c r="G104" s="30"/>
      <c r="H104" s="30"/>
      <c r="I104" s="30"/>
      <c r="J104" s="30"/>
      <c r="K104" s="30"/>
      <c r="L104" s="30"/>
      <c r="M104" s="30"/>
      <c r="N104" s="30"/>
      <c r="O104" s="31"/>
      <c r="P104" s="30"/>
      <c r="Q104" s="30"/>
      <c r="R104" s="30"/>
      <c r="S104" s="30"/>
      <c r="T104" s="30"/>
      <c r="U104" s="30"/>
      <c r="V104" s="30"/>
      <c r="W104" s="30"/>
    </row>
    <row r="105">
      <c r="A105" s="30"/>
      <c r="B105" s="30"/>
      <c r="C105" s="30"/>
      <c r="D105" s="30"/>
      <c r="E105" s="30"/>
      <c r="F105" s="30"/>
      <c r="G105" s="30"/>
      <c r="H105" s="30"/>
      <c r="I105" s="30"/>
      <c r="J105" s="30"/>
      <c r="K105" s="30"/>
      <c r="L105" s="30"/>
      <c r="M105" s="30"/>
      <c r="N105" s="30"/>
      <c r="O105" s="31"/>
      <c r="P105" s="30"/>
      <c r="Q105" s="30"/>
      <c r="R105" s="30"/>
      <c r="S105" s="30"/>
      <c r="T105" s="30"/>
      <c r="U105" s="30"/>
      <c r="V105" s="30"/>
      <c r="W105" s="30"/>
    </row>
    <row r="106">
      <c r="A106" s="30"/>
      <c r="B106" s="30"/>
      <c r="C106" s="30"/>
      <c r="D106" s="30"/>
      <c r="E106" s="30"/>
      <c r="F106" s="30"/>
      <c r="G106" s="30"/>
      <c r="H106" s="30"/>
      <c r="I106" s="30"/>
      <c r="J106" s="30"/>
      <c r="K106" s="30"/>
      <c r="L106" s="30"/>
      <c r="M106" s="30"/>
      <c r="N106" s="30"/>
      <c r="O106" s="31"/>
      <c r="P106" s="30"/>
      <c r="Q106" s="30"/>
      <c r="R106" s="30"/>
      <c r="S106" s="30"/>
      <c r="T106" s="30"/>
      <c r="U106" s="30"/>
      <c r="V106" s="30"/>
      <c r="W106" s="30"/>
    </row>
    <row r="107">
      <c r="A107" s="30"/>
      <c r="B107" s="30"/>
      <c r="C107" s="30"/>
      <c r="D107" s="30"/>
      <c r="E107" s="30"/>
      <c r="F107" s="30"/>
      <c r="G107" s="30"/>
      <c r="H107" s="30"/>
      <c r="I107" s="30"/>
      <c r="J107" s="30"/>
      <c r="K107" s="30"/>
      <c r="L107" s="30"/>
      <c r="M107" s="30"/>
      <c r="N107" s="30"/>
      <c r="O107" s="31"/>
      <c r="P107" s="30"/>
      <c r="Q107" s="30"/>
      <c r="R107" s="30"/>
      <c r="S107" s="30"/>
      <c r="T107" s="30"/>
      <c r="U107" s="30"/>
      <c r="V107" s="30"/>
      <c r="W107" s="30"/>
    </row>
    <row r="108">
      <c r="A108" s="30"/>
      <c r="B108" s="30"/>
      <c r="C108" s="30"/>
      <c r="D108" s="30"/>
      <c r="E108" s="30"/>
      <c r="F108" s="30"/>
      <c r="G108" s="30"/>
      <c r="H108" s="30"/>
      <c r="I108" s="30"/>
      <c r="J108" s="30"/>
      <c r="K108" s="30"/>
      <c r="L108" s="30"/>
      <c r="M108" s="30"/>
      <c r="N108" s="30"/>
      <c r="O108" s="31"/>
      <c r="P108" s="30"/>
      <c r="Q108" s="30"/>
      <c r="R108" s="30"/>
      <c r="S108" s="30"/>
      <c r="T108" s="30"/>
      <c r="U108" s="30"/>
      <c r="V108" s="30"/>
      <c r="W108" s="30"/>
    </row>
    <row r="109">
      <c r="A109" s="30"/>
      <c r="B109" s="30"/>
      <c r="C109" s="30"/>
      <c r="D109" s="30"/>
      <c r="E109" s="30"/>
      <c r="F109" s="30"/>
      <c r="G109" s="30"/>
      <c r="H109" s="30"/>
      <c r="I109" s="30"/>
      <c r="J109" s="30"/>
      <c r="K109" s="30"/>
      <c r="L109" s="30"/>
      <c r="M109" s="30"/>
      <c r="N109" s="30"/>
      <c r="O109" s="31"/>
      <c r="P109" s="30"/>
      <c r="Q109" s="30"/>
      <c r="R109" s="30"/>
      <c r="S109" s="30"/>
      <c r="T109" s="30"/>
      <c r="U109" s="30"/>
      <c r="V109" s="30"/>
      <c r="W109" s="30"/>
    </row>
    <row r="110">
      <c r="A110" s="30"/>
      <c r="B110" s="30"/>
      <c r="C110" s="30"/>
      <c r="D110" s="30"/>
      <c r="E110" s="30"/>
      <c r="F110" s="30"/>
      <c r="G110" s="30"/>
      <c r="H110" s="30"/>
      <c r="I110" s="30"/>
      <c r="J110" s="30"/>
      <c r="K110" s="30"/>
      <c r="L110" s="30"/>
      <c r="M110" s="30"/>
      <c r="N110" s="30"/>
      <c r="O110" s="31"/>
      <c r="P110" s="30"/>
      <c r="Q110" s="30"/>
      <c r="R110" s="30"/>
      <c r="S110" s="30"/>
      <c r="T110" s="30"/>
      <c r="U110" s="30"/>
      <c r="V110" s="30"/>
      <c r="W110" s="30"/>
    </row>
    <row r="111">
      <c r="A111" s="30"/>
      <c r="B111" s="30"/>
      <c r="C111" s="30"/>
      <c r="D111" s="30"/>
      <c r="E111" s="30"/>
      <c r="F111" s="30"/>
      <c r="G111" s="30"/>
      <c r="H111" s="30"/>
      <c r="I111" s="30"/>
      <c r="J111" s="30"/>
      <c r="K111" s="30"/>
      <c r="L111" s="30"/>
      <c r="M111" s="30"/>
      <c r="N111" s="30"/>
      <c r="O111" s="31"/>
      <c r="P111" s="30"/>
      <c r="Q111" s="30"/>
      <c r="R111" s="30"/>
      <c r="S111" s="30"/>
      <c r="T111" s="30"/>
      <c r="U111" s="30"/>
      <c r="V111" s="30"/>
      <c r="W111" s="30"/>
    </row>
    <row r="112">
      <c r="A112" s="30"/>
      <c r="B112" s="30"/>
      <c r="C112" s="30"/>
      <c r="D112" s="30"/>
      <c r="E112" s="30"/>
      <c r="F112" s="30"/>
      <c r="G112" s="30"/>
      <c r="H112" s="30"/>
      <c r="I112" s="30"/>
      <c r="J112" s="30"/>
      <c r="K112" s="30"/>
      <c r="L112" s="30"/>
      <c r="M112" s="30"/>
      <c r="N112" s="30"/>
      <c r="O112" s="31"/>
      <c r="P112" s="30"/>
      <c r="Q112" s="30"/>
      <c r="R112" s="30"/>
      <c r="S112" s="30"/>
      <c r="T112" s="30"/>
      <c r="U112" s="30"/>
      <c r="V112" s="30"/>
      <c r="W112" s="30"/>
    </row>
    <row r="113">
      <c r="A113" s="30"/>
      <c r="B113" s="30"/>
      <c r="C113" s="30"/>
      <c r="D113" s="30"/>
      <c r="E113" s="30"/>
      <c r="F113" s="30"/>
      <c r="G113" s="30"/>
      <c r="H113" s="30"/>
      <c r="I113" s="30"/>
      <c r="J113" s="30"/>
      <c r="K113" s="30"/>
      <c r="L113" s="30"/>
      <c r="M113" s="30"/>
      <c r="N113" s="30"/>
      <c r="O113" s="31"/>
      <c r="P113" s="30"/>
      <c r="Q113" s="30"/>
      <c r="R113" s="30"/>
      <c r="S113" s="30"/>
      <c r="T113" s="30"/>
      <c r="U113" s="30"/>
      <c r="V113" s="30"/>
      <c r="W113" s="30"/>
    </row>
    <row r="114">
      <c r="A114" s="30"/>
      <c r="B114" s="30"/>
      <c r="C114" s="30"/>
      <c r="D114" s="30"/>
      <c r="E114" s="30"/>
      <c r="F114" s="30"/>
      <c r="G114" s="30"/>
      <c r="H114" s="30"/>
      <c r="I114" s="30"/>
      <c r="J114" s="30"/>
      <c r="K114" s="30"/>
      <c r="L114" s="30"/>
      <c r="M114" s="30"/>
      <c r="N114" s="30"/>
      <c r="O114" s="31"/>
      <c r="P114" s="30"/>
      <c r="Q114" s="30"/>
      <c r="R114" s="30"/>
      <c r="S114" s="30"/>
      <c r="T114" s="30"/>
      <c r="U114" s="30"/>
      <c r="V114" s="30"/>
      <c r="W114" s="30"/>
    </row>
    <row r="115">
      <c r="A115" s="30"/>
      <c r="B115" s="30"/>
      <c r="C115" s="30"/>
      <c r="D115" s="30"/>
      <c r="E115" s="30"/>
      <c r="F115" s="30"/>
      <c r="G115" s="30"/>
      <c r="H115" s="30"/>
      <c r="I115" s="30"/>
      <c r="J115" s="30"/>
      <c r="K115" s="30"/>
      <c r="L115" s="30"/>
      <c r="M115" s="30"/>
      <c r="N115" s="30"/>
      <c r="O115" s="31"/>
      <c r="P115" s="30"/>
      <c r="Q115" s="30"/>
      <c r="R115" s="30"/>
      <c r="S115" s="30"/>
      <c r="T115" s="30"/>
      <c r="U115" s="30"/>
      <c r="V115" s="30"/>
      <c r="W115" s="30"/>
    </row>
    <row r="116">
      <c r="A116" s="30"/>
      <c r="B116" s="30"/>
      <c r="C116" s="30"/>
      <c r="D116" s="30"/>
      <c r="E116" s="30"/>
      <c r="F116" s="30"/>
      <c r="G116" s="30"/>
      <c r="H116" s="30"/>
      <c r="I116" s="30"/>
      <c r="J116" s="30"/>
      <c r="K116" s="30"/>
      <c r="L116" s="30"/>
      <c r="M116" s="30"/>
      <c r="N116" s="30"/>
      <c r="O116" s="31"/>
      <c r="P116" s="30"/>
      <c r="Q116" s="30"/>
      <c r="R116" s="30"/>
      <c r="S116" s="30"/>
      <c r="T116" s="30"/>
      <c r="U116" s="30"/>
      <c r="V116" s="30"/>
      <c r="W116" s="30"/>
    </row>
    <row r="117">
      <c r="A117" s="30"/>
      <c r="B117" s="30"/>
      <c r="C117" s="30"/>
      <c r="D117" s="30"/>
      <c r="E117" s="30"/>
      <c r="F117" s="30"/>
      <c r="G117" s="30"/>
      <c r="H117" s="30"/>
      <c r="I117" s="30"/>
      <c r="J117" s="30"/>
      <c r="K117" s="30"/>
      <c r="L117" s="30"/>
      <c r="M117" s="30"/>
      <c r="N117" s="30"/>
      <c r="O117" s="31"/>
      <c r="P117" s="30"/>
      <c r="Q117" s="30"/>
      <c r="R117" s="30"/>
      <c r="S117" s="30"/>
      <c r="T117" s="30"/>
      <c r="U117" s="30"/>
      <c r="V117" s="30"/>
      <c r="W117" s="30"/>
    </row>
    <row r="118">
      <c r="A118" s="30"/>
      <c r="B118" s="30"/>
      <c r="C118" s="30"/>
      <c r="D118" s="30"/>
      <c r="E118" s="30"/>
      <c r="F118" s="30"/>
      <c r="G118" s="30"/>
      <c r="H118" s="30"/>
      <c r="I118" s="30"/>
      <c r="J118" s="30"/>
      <c r="K118" s="30"/>
      <c r="L118" s="30"/>
      <c r="M118" s="30"/>
      <c r="N118" s="30"/>
      <c r="O118" s="31"/>
      <c r="P118" s="30"/>
      <c r="Q118" s="30"/>
      <c r="R118" s="30"/>
      <c r="S118" s="30"/>
      <c r="T118" s="30"/>
      <c r="U118" s="30"/>
      <c r="V118" s="30"/>
      <c r="W118" s="30"/>
    </row>
    <row r="119">
      <c r="A119" s="30"/>
      <c r="B119" s="30"/>
      <c r="C119" s="30"/>
      <c r="D119" s="30"/>
      <c r="E119" s="30"/>
      <c r="F119" s="30"/>
      <c r="G119" s="30"/>
      <c r="H119" s="30"/>
      <c r="I119" s="30"/>
      <c r="J119" s="30"/>
      <c r="K119" s="30"/>
      <c r="L119" s="30"/>
      <c r="M119" s="30"/>
      <c r="N119" s="30"/>
      <c r="O119" s="31"/>
      <c r="P119" s="30"/>
      <c r="Q119" s="30"/>
      <c r="R119" s="30"/>
      <c r="S119" s="30"/>
      <c r="T119" s="30"/>
      <c r="U119" s="30"/>
      <c r="V119" s="30"/>
      <c r="W119" s="30"/>
    </row>
    <row r="120">
      <c r="A120" s="30"/>
      <c r="B120" s="30"/>
      <c r="C120" s="30"/>
      <c r="D120" s="30"/>
      <c r="E120" s="30"/>
      <c r="F120" s="30"/>
      <c r="G120" s="30"/>
      <c r="H120" s="30"/>
      <c r="I120" s="30"/>
      <c r="J120" s="30"/>
      <c r="K120" s="30"/>
      <c r="L120" s="30"/>
      <c r="M120" s="30"/>
      <c r="N120" s="30"/>
      <c r="O120" s="31"/>
      <c r="P120" s="30"/>
      <c r="Q120" s="30"/>
      <c r="R120" s="30"/>
      <c r="S120" s="30"/>
      <c r="T120" s="30"/>
      <c r="U120" s="30"/>
      <c r="V120" s="30"/>
      <c r="W120" s="30"/>
    </row>
    <row r="121">
      <c r="A121" s="30"/>
      <c r="B121" s="30"/>
      <c r="C121" s="30"/>
      <c r="D121" s="30"/>
      <c r="E121" s="30"/>
      <c r="F121" s="30"/>
      <c r="G121" s="30"/>
      <c r="H121" s="30"/>
      <c r="I121" s="30"/>
      <c r="J121" s="30"/>
      <c r="K121" s="30"/>
      <c r="L121" s="30"/>
      <c r="M121" s="30"/>
      <c r="N121" s="30"/>
      <c r="O121" s="31"/>
      <c r="P121" s="30"/>
      <c r="Q121" s="30"/>
      <c r="R121" s="30"/>
      <c r="S121" s="30"/>
      <c r="T121" s="30"/>
      <c r="U121" s="30"/>
      <c r="V121" s="30"/>
      <c r="W121" s="30"/>
    </row>
    <row r="122">
      <c r="A122" s="30"/>
      <c r="B122" s="30"/>
      <c r="C122" s="30"/>
      <c r="D122" s="30"/>
      <c r="E122" s="30"/>
      <c r="F122" s="30"/>
      <c r="G122" s="30"/>
      <c r="H122" s="30"/>
      <c r="I122" s="30"/>
      <c r="J122" s="30"/>
      <c r="K122" s="30"/>
      <c r="L122" s="30"/>
      <c r="M122" s="30"/>
      <c r="N122" s="30"/>
      <c r="O122" s="31"/>
      <c r="P122" s="30"/>
      <c r="Q122" s="30"/>
      <c r="R122" s="30"/>
      <c r="S122" s="30"/>
      <c r="T122" s="30"/>
      <c r="U122" s="30"/>
      <c r="V122" s="30"/>
      <c r="W122" s="30"/>
    </row>
    <row r="123">
      <c r="A123" s="30"/>
      <c r="B123" s="30"/>
      <c r="C123" s="30"/>
      <c r="D123" s="30"/>
      <c r="E123" s="30"/>
      <c r="F123" s="30"/>
      <c r="G123" s="30"/>
      <c r="H123" s="30"/>
      <c r="I123" s="30"/>
      <c r="J123" s="30"/>
      <c r="K123" s="30"/>
      <c r="L123" s="30"/>
      <c r="M123" s="30"/>
      <c r="N123" s="30"/>
      <c r="O123" s="31"/>
      <c r="P123" s="30"/>
      <c r="Q123" s="30"/>
      <c r="R123" s="30"/>
      <c r="S123" s="30"/>
      <c r="T123" s="30"/>
      <c r="U123" s="30"/>
      <c r="V123" s="30"/>
      <c r="W123" s="30"/>
    </row>
    <row r="124">
      <c r="A124" s="30"/>
      <c r="B124" s="30"/>
      <c r="C124" s="30"/>
      <c r="D124" s="30"/>
      <c r="E124" s="30"/>
      <c r="F124" s="30"/>
      <c r="G124" s="30"/>
      <c r="H124" s="30"/>
      <c r="I124" s="30"/>
      <c r="J124" s="30"/>
      <c r="K124" s="30"/>
      <c r="L124" s="30"/>
      <c r="M124" s="30"/>
      <c r="N124" s="30"/>
      <c r="O124" s="31"/>
      <c r="P124" s="30"/>
      <c r="Q124" s="30"/>
      <c r="R124" s="30"/>
      <c r="S124" s="30"/>
      <c r="T124" s="30"/>
      <c r="U124" s="30"/>
      <c r="V124" s="30"/>
      <c r="W124" s="30"/>
    </row>
    <row r="125">
      <c r="A125" s="30"/>
      <c r="B125" s="30"/>
      <c r="C125" s="30"/>
      <c r="D125" s="30"/>
      <c r="E125" s="30"/>
      <c r="F125" s="30"/>
      <c r="G125" s="30"/>
      <c r="H125" s="30"/>
      <c r="I125" s="30"/>
      <c r="J125" s="30"/>
      <c r="K125" s="30"/>
      <c r="L125" s="30"/>
      <c r="M125" s="30"/>
      <c r="N125" s="30"/>
      <c r="O125" s="31"/>
      <c r="P125" s="30"/>
      <c r="Q125" s="30"/>
      <c r="R125" s="30"/>
      <c r="S125" s="30"/>
      <c r="T125" s="30"/>
      <c r="U125" s="30"/>
      <c r="V125" s="30"/>
      <c r="W125" s="30"/>
    </row>
    <row r="126">
      <c r="A126" s="30"/>
      <c r="B126" s="30"/>
      <c r="C126" s="30"/>
      <c r="D126" s="30"/>
      <c r="E126" s="30"/>
      <c r="F126" s="30"/>
      <c r="G126" s="30"/>
      <c r="H126" s="30"/>
      <c r="I126" s="30"/>
      <c r="J126" s="30"/>
      <c r="K126" s="30"/>
      <c r="L126" s="30"/>
      <c r="M126" s="30"/>
      <c r="N126" s="30"/>
      <c r="O126" s="31"/>
      <c r="P126" s="30"/>
      <c r="Q126" s="30"/>
      <c r="R126" s="30"/>
      <c r="S126" s="30"/>
      <c r="T126" s="30"/>
      <c r="U126" s="30"/>
      <c r="V126" s="30"/>
      <c r="W126" s="30"/>
    </row>
    <row r="127">
      <c r="A127" s="30"/>
      <c r="B127" s="30"/>
      <c r="C127" s="30"/>
      <c r="D127" s="30"/>
      <c r="E127" s="30"/>
      <c r="F127" s="30"/>
      <c r="G127" s="30"/>
      <c r="H127" s="30"/>
      <c r="I127" s="30"/>
      <c r="J127" s="30"/>
      <c r="K127" s="30"/>
      <c r="L127" s="30"/>
      <c r="M127" s="30"/>
      <c r="N127" s="30"/>
      <c r="O127" s="31"/>
      <c r="P127" s="30"/>
      <c r="Q127" s="30"/>
      <c r="R127" s="30"/>
      <c r="S127" s="30"/>
      <c r="T127" s="30"/>
      <c r="U127" s="30"/>
      <c r="V127" s="30"/>
      <c r="W127" s="30"/>
    </row>
    <row r="128">
      <c r="A128" s="30"/>
      <c r="B128" s="30"/>
      <c r="C128" s="30"/>
      <c r="D128" s="30"/>
      <c r="E128" s="30"/>
      <c r="F128" s="30"/>
      <c r="G128" s="30"/>
      <c r="H128" s="30"/>
      <c r="I128" s="30"/>
      <c r="J128" s="30"/>
      <c r="K128" s="30"/>
      <c r="L128" s="30"/>
      <c r="M128" s="30"/>
      <c r="N128" s="30"/>
      <c r="O128" s="31"/>
      <c r="P128" s="30"/>
      <c r="Q128" s="30"/>
      <c r="R128" s="30"/>
      <c r="S128" s="30"/>
      <c r="T128" s="30"/>
      <c r="U128" s="30"/>
      <c r="V128" s="30"/>
      <c r="W128" s="30"/>
    </row>
    <row r="129">
      <c r="A129" s="30"/>
      <c r="B129" s="30"/>
      <c r="C129" s="30"/>
      <c r="D129" s="30"/>
      <c r="E129" s="30"/>
      <c r="F129" s="30"/>
      <c r="G129" s="30"/>
      <c r="H129" s="30"/>
      <c r="I129" s="30"/>
      <c r="J129" s="30"/>
      <c r="K129" s="30"/>
      <c r="L129" s="30"/>
      <c r="M129" s="30"/>
      <c r="N129" s="30"/>
      <c r="O129" s="31"/>
      <c r="P129" s="30"/>
      <c r="Q129" s="30"/>
      <c r="R129" s="30"/>
      <c r="S129" s="30"/>
      <c r="T129" s="30"/>
      <c r="U129" s="30"/>
      <c r="V129" s="30"/>
      <c r="W129" s="30"/>
    </row>
    <row r="130">
      <c r="A130" s="30"/>
      <c r="B130" s="30"/>
      <c r="C130" s="30"/>
      <c r="D130" s="30"/>
      <c r="E130" s="30"/>
      <c r="F130" s="30"/>
      <c r="G130" s="30"/>
      <c r="H130" s="30"/>
      <c r="I130" s="30"/>
      <c r="J130" s="30"/>
      <c r="K130" s="30"/>
      <c r="L130" s="30"/>
      <c r="M130" s="30"/>
      <c r="N130" s="30"/>
      <c r="O130" s="31"/>
      <c r="P130" s="30"/>
      <c r="Q130" s="30"/>
      <c r="R130" s="30"/>
      <c r="S130" s="30"/>
      <c r="T130" s="30"/>
      <c r="U130" s="30"/>
      <c r="V130" s="30"/>
      <c r="W130" s="30"/>
    </row>
    <row r="131">
      <c r="A131" s="30"/>
      <c r="B131" s="30"/>
      <c r="C131" s="30"/>
      <c r="D131" s="30"/>
      <c r="E131" s="30"/>
      <c r="F131" s="30"/>
      <c r="G131" s="30"/>
      <c r="H131" s="30"/>
      <c r="I131" s="30"/>
      <c r="J131" s="30"/>
      <c r="K131" s="30"/>
      <c r="L131" s="30"/>
      <c r="M131" s="30"/>
      <c r="N131" s="30"/>
      <c r="O131" s="31"/>
      <c r="P131" s="30"/>
      <c r="Q131" s="30"/>
      <c r="R131" s="30"/>
      <c r="S131" s="30"/>
      <c r="T131" s="30"/>
      <c r="U131" s="30"/>
      <c r="V131" s="30"/>
      <c r="W131" s="30"/>
    </row>
    <row r="132">
      <c r="A132" s="30"/>
      <c r="B132" s="30"/>
      <c r="C132" s="30"/>
      <c r="D132" s="30"/>
      <c r="E132" s="30"/>
      <c r="F132" s="30"/>
      <c r="G132" s="30"/>
      <c r="H132" s="30"/>
      <c r="I132" s="30"/>
      <c r="J132" s="30"/>
      <c r="K132" s="30"/>
      <c r="L132" s="30"/>
      <c r="M132" s="30"/>
      <c r="N132" s="30"/>
      <c r="O132" s="31"/>
      <c r="P132" s="30"/>
      <c r="Q132" s="30"/>
      <c r="R132" s="30"/>
      <c r="S132" s="30"/>
      <c r="T132" s="30"/>
      <c r="U132" s="30"/>
      <c r="V132" s="30"/>
      <c r="W132" s="30"/>
    </row>
    <row r="133">
      <c r="A133" s="30"/>
      <c r="B133" s="30"/>
      <c r="C133" s="30"/>
      <c r="D133" s="30"/>
      <c r="E133" s="30"/>
      <c r="F133" s="30"/>
      <c r="G133" s="30"/>
      <c r="H133" s="30"/>
      <c r="I133" s="30"/>
      <c r="J133" s="30"/>
      <c r="K133" s="30"/>
      <c r="L133" s="30"/>
      <c r="M133" s="30"/>
      <c r="N133" s="30"/>
      <c r="O133" s="31"/>
      <c r="P133" s="30"/>
      <c r="Q133" s="30"/>
      <c r="R133" s="30"/>
      <c r="S133" s="30"/>
      <c r="T133" s="30"/>
      <c r="U133" s="30"/>
      <c r="V133" s="30"/>
      <c r="W133" s="30"/>
    </row>
    <row r="134">
      <c r="A134" s="30"/>
      <c r="B134" s="30"/>
      <c r="C134" s="30"/>
      <c r="D134" s="30"/>
      <c r="E134" s="30"/>
      <c r="F134" s="30"/>
      <c r="G134" s="30"/>
      <c r="H134" s="30"/>
      <c r="I134" s="30"/>
      <c r="J134" s="30"/>
      <c r="K134" s="30"/>
      <c r="L134" s="30"/>
      <c r="M134" s="30"/>
      <c r="N134" s="30"/>
      <c r="O134" s="31"/>
      <c r="P134" s="30"/>
      <c r="Q134" s="30"/>
      <c r="R134" s="30"/>
      <c r="S134" s="30"/>
      <c r="T134" s="30"/>
      <c r="U134" s="30"/>
      <c r="V134" s="30"/>
      <c r="W134" s="30"/>
    </row>
    <row r="135">
      <c r="A135" s="30"/>
      <c r="B135" s="30"/>
      <c r="C135" s="30"/>
      <c r="D135" s="30"/>
      <c r="E135" s="30"/>
      <c r="F135" s="30"/>
      <c r="G135" s="30"/>
      <c r="H135" s="30"/>
      <c r="I135" s="30"/>
      <c r="J135" s="30"/>
      <c r="K135" s="30"/>
      <c r="L135" s="30"/>
      <c r="M135" s="30"/>
      <c r="N135" s="30"/>
      <c r="O135" s="31"/>
      <c r="P135" s="30"/>
      <c r="Q135" s="30"/>
      <c r="R135" s="30"/>
      <c r="S135" s="30"/>
      <c r="T135" s="30"/>
      <c r="U135" s="30"/>
      <c r="V135" s="30"/>
      <c r="W135" s="30"/>
    </row>
    <row r="136">
      <c r="A136" s="30"/>
      <c r="B136" s="30"/>
      <c r="C136" s="30"/>
      <c r="D136" s="30"/>
      <c r="E136" s="30"/>
      <c r="F136" s="30"/>
      <c r="G136" s="30"/>
      <c r="H136" s="30"/>
      <c r="I136" s="30"/>
      <c r="J136" s="30"/>
      <c r="K136" s="30"/>
      <c r="L136" s="30"/>
      <c r="M136" s="30"/>
      <c r="N136" s="30"/>
      <c r="O136" s="31"/>
      <c r="P136" s="30"/>
      <c r="Q136" s="30"/>
      <c r="R136" s="30"/>
      <c r="S136" s="30"/>
      <c r="T136" s="30"/>
      <c r="U136" s="30"/>
      <c r="V136" s="30"/>
      <c r="W136" s="30"/>
    </row>
    <row r="137">
      <c r="A137" s="30"/>
      <c r="B137" s="30"/>
      <c r="C137" s="30"/>
      <c r="D137" s="30"/>
      <c r="E137" s="30"/>
      <c r="F137" s="30"/>
      <c r="G137" s="30"/>
      <c r="H137" s="30"/>
      <c r="I137" s="30"/>
      <c r="J137" s="30"/>
      <c r="K137" s="30"/>
      <c r="L137" s="30"/>
      <c r="M137" s="30"/>
      <c r="N137" s="30"/>
      <c r="O137" s="31"/>
      <c r="P137" s="30"/>
      <c r="Q137" s="30"/>
      <c r="R137" s="30"/>
      <c r="S137" s="30"/>
      <c r="T137" s="30"/>
      <c r="U137" s="30"/>
      <c r="V137" s="30"/>
      <c r="W137" s="30"/>
    </row>
    <row r="138">
      <c r="A138" s="30"/>
      <c r="B138" s="30"/>
      <c r="C138" s="30"/>
      <c r="D138" s="30"/>
      <c r="E138" s="30"/>
      <c r="F138" s="30"/>
      <c r="G138" s="30"/>
      <c r="H138" s="30"/>
      <c r="I138" s="30"/>
      <c r="J138" s="30"/>
      <c r="K138" s="30"/>
      <c r="L138" s="30"/>
      <c r="M138" s="30"/>
      <c r="N138" s="30"/>
      <c r="O138" s="31"/>
      <c r="P138" s="30"/>
      <c r="Q138" s="30"/>
      <c r="R138" s="30"/>
      <c r="S138" s="30"/>
      <c r="T138" s="30"/>
      <c r="U138" s="30"/>
      <c r="V138" s="30"/>
      <c r="W138" s="30"/>
    </row>
    <row r="139">
      <c r="A139" s="30"/>
      <c r="B139" s="30"/>
      <c r="C139" s="30"/>
      <c r="D139" s="30"/>
      <c r="E139" s="30"/>
      <c r="F139" s="30"/>
      <c r="G139" s="30"/>
      <c r="H139" s="30"/>
      <c r="I139" s="30"/>
      <c r="J139" s="30"/>
      <c r="K139" s="30"/>
      <c r="L139" s="30"/>
      <c r="M139" s="30"/>
      <c r="N139" s="30"/>
      <c r="O139" s="31"/>
      <c r="P139" s="30"/>
      <c r="Q139" s="30"/>
      <c r="R139" s="30"/>
      <c r="S139" s="30"/>
      <c r="T139" s="30"/>
      <c r="U139" s="30"/>
      <c r="V139" s="30"/>
      <c r="W139" s="30"/>
    </row>
    <row r="140">
      <c r="A140" s="30"/>
      <c r="B140" s="30"/>
      <c r="C140" s="30"/>
      <c r="D140" s="30"/>
      <c r="E140" s="30"/>
      <c r="F140" s="30"/>
      <c r="G140" s="30"/>
      <c r="H140" s="30"/>
      <c r="I140" s="30"/>
      <c r="J140" s="30"/>
      <c r="K140" s="30"/>
      <c r="L140" s="30"/>
      <c r="M140" s="30"/>
      <c r="N140" s="30"/>
      <c r="O140" s="31"/>
      <c r="P140" s="30"/>
      <c r="Q140" s="30"/>
      <c r="R140" s="30"/>
      <c r="S140" s="30"/>
      <c r="T140" s="30"/>
      <c r="U140" s="30"/>
      <c r="V140" s="30"/>
      <c r="W140" s="30"/>
    </row>
    <row r="141">
      <c r="A141" s="30"/>
      <c r="B141" s="30"/>
      <c r="C141" s="30"/>
      <c r="D141" s="30"/>
      <c r="E141" s="30"/>
      <c r="F141" s="30"/>
      <c r="G141" s="30"/>
      <c r="H141" s="30"/>
      <c r="I141" s="30"/>
      <c r="J141" s="30"/>
      <c r="K141" s="30"/>
      <c r="L141" s="30"/>
      <c r="M141" s="30"/>
      <c r="N141" s="30"/>
      <c r="O141" s="31"/>
      <c r="P141" s="30"/>
      <c r="Q141" s="30"/>
      <c r="R141" s="30"/>
      <c r="S141" s="30"/>
      <c r="T141" s="30"/>
      <c r="U141" s="30"/>
      <c r="V141" s="30"/>
      <c r="W141" s="30"/>
    </row>
    <row r="142">
      <c r="A142" s="30"/>
      <c r="B142" s="30"/>
      <c r="C142" s="30"/>
      <c r="D142" s="30"/>
      <c r="E142" s="30"/>
      <c r="F142" s="30"/>
      <c r="G142" s="30"/>
      <c r="H142" s="30"/>
      <c r="I142" s="30"/>
      <c r="J142" s="30"/>
      <c r="K142" s="30"/>
      <c r="L142" s="30"/>
      <c r="M142" s="30"/>
      <c r="N142" s="30"/>
      <c r="O142" s="31"/>
      <c r="P142" s="30"/>
      <c r="Q142" s="30"/>
      <c r="R142" s="30"/>
      <c r="S142" s="30"/>
      <c r="T142" s="30"/>
      <c r="U142" s="30"/>
      <c r="V142" s="30"/>
      <c r="W142" s="30"/>
    </row>
    <row r="143">
      <c r="A143" s="30"/>
      <c r="B143" s="30"/>
      <c r="C143" s="30"/>
      <c r="D143" s="30"/>
      <c r="E143" s="30"/>
      <c r="F143" s="30"/>
      <c r="G143" s="30"/>
      <c r="H143" s="30"/>
      <c r="I143" s="30"/>
      <c r="J143" s="30"/>
      <c r="K143" s="30"/>
      <c r="L143" s="30"/>
      <c r="M143" s="30"/>
      <c r="N143" s="30"/>
      <c r="O143" s="31"/>
      <c r="P143" s="30"/>
      <c r="Q143" s="30"/>
      <c r="R143" s="30"/>
      <c r="S143" s="30"/>
      <c r="T143" s="30"/>
      <c r="U143" s="30"/>
      <c r="V143" s="30"/>
      <c r="W143" s="30"/>
    </row>
    <row r="144">
      <c r="A144" s="30"/>
      <c r="B144" s="30"/>
      <c r="C144" s="30"/>
      <c r="D144" s="30"/>
      <c r="E144" s="30"/>
      <c r="F144" s="30"/>
      <c r="G144" s="30"/>
      <c r="H144" s="30"/>
      <c r="I144" s="30"/>
      <c r="J144" s="30"/>
      <c r="K144" s="30"/>
      <c r="L144" s="30"/>
      <c r="M144" s="30"/>
      <c r="N144" s="30"/>
      <c r="O144" s="31"/>
      <c r="P144" s="30"/>
      <c r="Q144" s="30"/>
      <c r="R144" s="30"/>
      <c r="S144" s="30"/>
      <c r="T144" s="30"/>
      <c r="U144" s="30"/>
      <c r="V144" s="30"/>
      <c r="W144" s="30"/>
    </row>
    <row r="145">
      <c r="A145" s="30"/>
      <c r="B145" s="30"/>
      <c r="C145" s="30"/>
      <c r="D145" s="30"/>
      <c r="E145" s="30"/>
      <c r="F145" s="30"/>
      <c r="G145" s="30"/>
      <c r="H145" s="30"/>
      <c r="I145" s="30"/>
      <c r="J145" s="30"/>
      <c r="K145" s="30"/>
      <c r="L145" s="30"/>
      <c r="M145" s="30"/>
      <c r="N145" s="30"/>
      <c r="O145" s="31"/>
      <c r="P145" s="30"/>
      <c r="Q145" s="30"/>
      <c r="R145" s="30"/>
      <c r="S145" s="30"/>
      <c r="T145" s="30"/>
      <c r="U145" s="30"/>
      <c r="V145" s="30"/>
      <c r="W145" s="30"/>
    </row>
    <row r="146">
      <c r="A146" s="30"/>
      <c r="B146" s="30"/>
      <c r="C146" s="30"/>
      <c r="D146" s="30"/>
      <c r="E146" s="30"/>
      <c r="F146" s="30"/>
      <c r="G146" s="30"/>
      <c r="H146" s="30"/>
      <c r="I146" s="30"/>
      <c r="J146" s="30"/>
      <c r="K146" s="30"/>
      <c r="L146" s="30"/>
      <c r="M146" s="30"/>
      <c r="N146" s="30"/>
      <c r="O146" s="31"/>
      <c r="P146" s="30"/>
      <c r="Q146" s="30"/>
      <c r="R146" s="30"/>
      <c r="S146" s="30"/>
      <c r="T146" s="30"/>
      <c r="U146" s="30"/>
      <c r="V146" s="30"/>
      <c r="W146" s="30"/>
    </row>
    <row r="147">
      <c r="A147" s="30"/>
      <c r="B147" s="30"/>
      <c r="C147" s="30"/>
      <c r="D147" s="30"/>
      <c r="E147" s="30"/>
      <c r="F147" s="30"/>
      <c r="G147" s="30"/>
      <c r="H147" s="30"/>
      <c r="I147" s="30"/>
      <c r="J147" s="30"/>
      <c r="K147" s="30"/>
      <c r="L147" s="30"/>
      <c r="M147" s="30"/>
      <c r="N147" s="30"/>
      <c r="O147" s="31"/>
      <c r="P147" s="30"/>
      <c r="Q147" s="30"/>
      <c r="R147" s="30"/>
      <c r="S147" s="30"/>
      <c r="T147" s="30"/>
      <c r="U147" s="30"/>
      <c r="V147" s="30"/>
      <c r="W147" s="30"/>
    </row>
    <row r="148">
      <c r="A148" s="30"/>
      <c r="B148" s="30"/>
      <c r="C148" s="30"/>
      <c r="D148" s="30"/>
      <c r="E148" s="30"/>
      <c r="F148" s="30"/>
      <c r="G148" s="30"/>
      <c r="H148" s="30"/>
      <c r="I148" s="30"/>
      <c r="J148" s="30"/>
      <c r="K148" s="30"/>
      <c r="L148" s="30"/>
      <c r="M148" s="30"/>
      <c r="N148" s="30"/>
      <c r="O148" s="31"/>
      <c r="P148" s="30"/>
      <c r="Q148" s="30"/>
      <c r="R148" s="30"/>
      <c r="S148" s="30"/>
      <c r="T148" s="30"/>
      <c r="U148" s="30"/>
      <c r="V148" s="30"/>
      <c r="W148" s="30"/>
    </row>
    <row r="149">
      <c r="A149" s="30"/>
      <c r="B149" s="30"/>
      <c r="C149" s="30"/>
      <c r="D149" s="30"/>
      <c r="E149" s="30"/>
      <c r="F149" s="30"/>
      <c r="G149" s="30"/>
      <c r="H149" s="30"/>
      <c r="I149" s="30"/>
      <c r="J149" s="30"/>
      <c r="K149" s="30"/>
      <c r="L149" s="30"/>
      <c r="M149" s="30"/>
      <c r="N149" s="30"/>
      <c r="O149" s="31"/>
      <c r="P149" s="30"/>
      <c r="Q149" s="30"/>
      <c r="R149" s="30"/>
      <c r="S149" s="30"/>
      <c r="T149" s="30"/>
      <c r="U149" s="30"/>
      <c r="V149" s="30"/>
      <c r="W149" s="30"/>
    </row>
    <row r="150">
      <c r="A150" s="30"/>
      <c r="B150" s="30"/>
      <c r="C150" s="30"/>
      <c r="D150" s="30"/>
      <c r="E150" s="30"/>
      <c r="F150" s="30"/>
      <c r="G150" s="30"/>
      <c r="H150" s="30"/>
      <c r="I150" s="30"/>
      <c r="J150" s="30"/>
      <c r="K150" s="30"/>
      <c r="L150" s="30"/>
      <c r="M150" s="30"/>
      <c r="N150" s="30"/>
      <c r="O150" s="31"/>
      <c r="P150" s="30"/>
      <c r="Q150" s="30"/>
      <c r="R150" s="30"/>
      <c r="S150" s="30"/>
      <c r="T150" s="30"/>
      <c r="U150" s="30"/>
      <c r="V150" s="30"/>
      <c r="W150" s="30"/>
    </row>
    <row r="151">
      <c r="A151" s="30"/>
      <c r="B151" s="30"/>
      <c r="C151" s="30"/>
      <c r="D151" s="30"/>
      <c r="E151" s="30"/>
      <c r="F151" s="30"/>
      <c r="G151" s="30"/>
      <c r="H151" s="30"/>
      <c r="I151" s="30"/>
      <c r="J151" s="30"/>
      <c r="K151" s="30"/>
      <c r="L151" s="30"/>
      <c r="M151" s="30"/>
      <c r="N151" s="30"/>
      <c r="O151" s="31"/>
      <c r="P151" s="30"/>
      <c r="Q151" s="30"/>
      <c r="R151" s="30"/>
      <c r="S151" s="30"/>
      <c r="T151" s="30"/>
      <c r="U151" s="30"/>
      <c r="V151" s="30"/>
      <c r="W151" s="30"/>
    </row>
    <row r="152">
      <c r="A152" s="30"/>
      <c r="B152" s="30"/>
      <c r="C152" s="30"/>
      <c r="D152" s="30"/>
      <c r="E152" s="30"/>
      <c r="F152" s="30"/>
      <c r="G152" s="30"/>
      <c r="H152" s="30"/>
      <c r="I152" s="30"/>
      <c r="J152" s="30"/>
      <c r="K152" s="30"/>
      <c r="L152" s="30"/>
      <c r="M152" s="30"/>
      <c r="N152" s="30"/>
      <c r="O152" s="31"/>
      <c r="P152" s="30"/>
      <c r="Q152" s="30"/>
      <c r="R152" s="30"/>
      <c r="S152" s="30"/>
      <c r="T152" s="30"/>
      <c r="U152" s="30"/>
      <c r="V152" s="30"/>
      <c r="W152" s="30"/>
    </row>
    <row r="153">
      <c r="A153" s="30"/>
      <c r="B153" s="30"/>
      <c r="C153" s="30"/>
      <c r="D153" s="30"/>
      <c r="E153" s="30"/>
      <c r="F153" s="30"/>
      <c r="G153" s="30"/>
      <c r="H153" s="30"/>
      <c r="I153" s="30"/>
      <c r="J153" s="30"/>
      <c r="K153" s="30"/>
      <c r="L153" s="30"/>
      <c r="M153" s="30"/>
      <c r="N153" s="30"/>
      <c r="O153" s="31"/>
      <c r="P153" s="30"/>
      <c r="Q153" s="30"/>
      <c r="R153" s="30"/>
      <c r="S153" s="30"/>
      <c r="T153" s="30"/>
      <c r="U153" s="30"/>
      <c r="V153" s="30"/>
      <c r="W153" s="30"/>
    </row>
    <row r="154">
      <c r="A154" s="30"/>
      <c r="B154" s="30"/>
      <c r="C154" s="30"/>
      <c r="D154" s="30"/>
      <c r="E154" s="30"/>
      <c r="F154" s="30"/>
      <c r="G154" s="30"/>
      <c r="H154" s="30"/>
      <c r="I154" s="30"/>
      <c r="J154" s="30"/>
      <c r="K154" s="30"/>
      <c r="L154" s="30"/>
      <c r="M154" s="30"/>
      <c r="N154" s="30"/>
      <c r="O154" s="31"/>
      <c r="P154" s="30"/>
      <c r="Q154" s="30"/>
      <c r="R154" s="30"/>
      <c r="S154" s="30"/>
      <c r="T154" s="30"/>
      <c r="U154" s="30"/>
      <c r="V154" s="30"/>
      <c r="W154" s="30"/>
    </row>
    <row r="155">
      <c r="A155" s="30"/>
      <c r="B155" s="30"/>
      <c r="C155" s="30"/>
      <c r="D155" s="30"/>
      <c r="E155" s="30"/>
      <c r="F155" s="30"/>
      <c r="G155" s="30"/>
      <c r="H155" s="30"/>
      <c r="I155" s="30"/>
      <c r="J155" s="30"/>
      <c r="K155" s="30"/>
      <c r="L155" s="30"/>
      <c r="M155" s="30"/>
      <c r="N155" s="30"/>
      <c r="O155" s="31"/>
      <c r="P155" s="30"/>
      <c r="Q155" s="30"/>
      <c r="R155" s="30"/>
      <c r="S155" s="30"/>
      <c r="T155" s="30"/>
      <c r="U155" s="30"/>
      <c r="V155" s="30"/>
      <c r="W155" s="30"/>
    </row>
    <row r="156">
      <c r="A156" s="30"/>
      <c r="B156" s="30"/>
      <c r="C156" s="30"/>
      <c r="D156" s="30"/>
      <c r="E156" s="30"/>
      <c r="F156" s="30"/>
      <c r="G156" s="30"/>
      <c r="H156" s="30"/>
      <c r="I156" s="30"/>
      <c r="J156" s="30"/>
      <c r="K156" s="30"/>
      <c r="L156" s="30"/>
      <c r="M156" s="30"/>
      <c r="N156" s="30"/>
      <c r="O156" s="31"/>
      <c r="P156" s="30"/>
      <c r="Q156" s="30"/>
      <c r="R156" s="30"/>
      <c r="S156" s="30"/>
      <c r="T156" s="30"/>
      <c r="U156" s="30"/>
      <c r="V156" s="30"/>
      <c r="W156" s="30"/>
    </row>
    <row r="157">
      <c r="A157" s="30"/>
      <c r="B157" s="30"/>
      <c r="C157" s="30"/>
      <c r="D157" s="30"/>
      <c r="E157" s="30"/>
      <c r="F157" s="30"/>
      <c r="G157" s="30"/>
      <c r="H157" s="30"/>
      <c r="I157" s="30"/>
      <c r="J157" s="30"/>
      <c r="K157" s="30"/>
      <c r="L157" s="30"/>
      <c r="M157" s="30"/>
      <c r="N157" s="30"/>
      <c r="O157" s="31"/>
      <c r="P157" s="30"/>
      <c r="Q157" s="30"/>
      <c r="R157" s="30"/>
      <c r="S157" s="30"/>
      <c r="T157" s="30"/>
      <c r="U157" s="30"/>
      <c r="V157" s="30"/>
      <c r="W157" s="30"/>
    </row>
    <row r="158">
      <c r="A158" s="30"/>
      <c r="B158" s="30"/>
      <c r="C158" s="30"/>
      <c r="D158" s="30"/>
      <c r="E158" s="30"/>
      <c r="F158" s="30"/>
      <c r="G158" s="30"/>
      <c r="H158" s="30"/>
      <c r="I158" s="30"/>
      <c r="J158" s="30"/>
      <c r="K158" s="30"/>
      <c r="L158" s="30"/>
      <c r="M158" s="30"/>
      <c r="N158" s="30"/>
      <c r="O158" s="31"/>
      <c r="P158" s="30"/>
      <c r="Q158" s="30"/>
      <c r="R158" s="30"/>
      <c r="S158" s="30"/>
      <c r="T158" s="30"/>
      <c r="U158" s="30"/>
      <c r="V158" s="30"/>
      <c r="W158" s="30"/>
    </row>
    <row r="159">
      <c r="A159" s="30"/>
      <c r="B159" s="30"/>
      <c r="C159" s="30"/>
      <c r="D159" s="30"/>
      <c r="E159" s="30"/>
      <c r="F159" s="30"/>
      <c r="G159" s="30"/>
      <c r="H159" s="30"/>
      <c r="I159" s="30"/>
      <c r="J159" s="30"/>
      <c r="K159" s="30"/>
      <c r="L159" s="30"/>
      <c r="M159" s="30"/>
      <c r="N159" s="30"/>
      <c r="O159" s="31"/>
      <c r="P159" s="30"/>
      <c r="Q159" s="30"/>
      <c r="R159" s="30"/>
      <c r="S159" s="30"/>
      <c r="T159" s="30"/>
      <c r="U159" s="30"/>
      <c r="V159" s="30"/>
      <c r="W159" s="30"/>
    </row>
    <row r="160">
      <c r="A160" s="30"/>
      <c r="B160" s="30"/>
      <c r="C160" s="30"/>
      <c r="D160" s="30"/>
      <c r="E160" s="30"/>
      <c r="F160" s="30"/>
      <c r="G160" s="30"/>
      <c r="H160" s="30"/>
      <c r="I160" s="30"/>
      <c r="J160" s="30"/>
      <c r="K160" s="30"/>
      <c r="L160" s="30"/>
      <c r="M160" s="30"/>
      <c r="N160" s="30"/>
      <c r="O160" s="31"/>
      <c r="P160" s="30"/>
      <c r="Q160" s="30"/>
      <c r="R160" s="30"/>
      <c r="S160" s="30"/>
      <c r="T160" s="30"/>
      <c r="U160" s="30"/>
      <c r="V160" s="30"/>
      <c r="W160" s="30"/>
    </row>
    <row r="161">
      <c r="A161" s="30"/>
      <c r="B161" s="30"/>
      <c r="C161" s="30"/>
      <c r="D161" s="30"/>
      <c r="E161" s="30"/>
      <c r="F161" s="30"/>
      <c r="G161" s="30"/>
      <c r="H161" s="30"/>
      <c r="I161" s="30"/>
      <c r="J161" s="30"/>
      <c r="K161" s="30"/>
      <c r="L161" s="30"/>
      <c r="M161" s="30"/>
      <c r="N161" s="30"/>
      <c r="O161" s="31"/>
      <c r="P161" s="30"/>
      <c r="Q161" s="30"/>
      <c r="R161" s="30"/>
      <c r="S161" s="30"/>
      <c r="T161" s="30"/>
      <c r="U161" s="30"/>
      <c r="V161" s="30"/>
      <c r="W161" s="30"/>
    </row>
    <row r="162">
      <c r="A162" s="30"/>
      <c r="B162" s="30"/>
      <c r="C162" s="30"/>
      <c r="D162" s="30"/>
      <c r="E162" s="30"/>
      <c r="F162" s="30"/>
      <c r="G162" s="30"/>
      <c r="H162" s="30"/>
      <c r="I162" s="30"/>
      <c r="J162" s="30"/>
      <c r="K162" s="30"/>
      <c r="L162" s="30"/>
      <c r="M162" s="30"/>
      <c r="N162" s="30"/>
      <c r="O162" s="31"/>
      <c r="P162" s="30"/>
      <c r="Q162" s="30"/>
      <c r="R162" s="30"/>
      <c r="S162" s="30"/>
      <c r="T162" s="30"/>
      <c r="U162" s="30"/>
      <c r="V162" s="30"/>
      <c r="W162" s="30"/>
    </row>
    <row r="163">
      <c r="A163" s="30"/>
      <c r="B163" s="30"/>
      <c r="C163" s="30"/>
      <c r="D163" s="30"/>
      <c r="E163" s="30"/>
      <c r="F163" s="30"/>
      <c r="G163" s="30"/>
      <c r="H163" s="30"/>
      <c r="I163" s="30"/>
      <c r="J163" s="30"/>
      <c r="K163" s="30"/>
      <c r="L163" s="30"/>
      <c r="M163" s="30"/>
      <c r="N163" s="30"/>
      <c r="O163" s="31"/>
      <c r="P163" s="30"/>
      <c r="Q163" s="30"/>
      <c r="R163" s="30"/>
      <c r="S163" s="30"/>
      <c r="T163" s="30"/>
      <c r="U163" s="30"/>
      <c r="V163" s="30"/>
      <c r="W163" s="30"/>
    </row>
    <row r="164">
      <c r="A164" s="30"/>
      <c r="B164" s="30"/>
      <c r="C164" s="30"/>
      <c r="D164" s="30"/>
      <c r="E164" s="30"/>
      <c r="F164" s="30"/>
      <c r="G164" s="30"/>
      <c r="H164" s="30"/>
      <c r="I164" s="30"/>
      <c r="J164" s="30"/>
      <c r="K164" s="30"/>
      <c r="L164" s="30"/>
      <c r="M164" s="30"/>
      <c r="N164" s="30"/>
      <c r="O164" s="31"/>
      <c r="P164" s="30"/>
      <c r="Q164" s="30"/>
      <c r="R164" s="30"/>
      <c r="S164" s="30"/>
      <c r="T164" s="30"/>
      <c r="U164" s="30"/>
      <c r="V164" s="30"/>
      <c r="W164" s="30"/>
    </row>
    <row r="165">
      <c r="A165" s="30"/>
      <c r="B165" s="30"/>
      <c r="C165" s="30"/>
      <c r="D165" s="30"/>
      <c r="E165" s="30"/>
      <c r="F165" s="30"/>
      <c r="G165" s="30"/>
      <c r="H165" s="30"/>
      <c r="I165" s="30"/>
      <c r="J165" s="30"/>
      <c r="K165" s="30"/>
      <c r="L165" s="30"/>
      <c r="M165" s="30"/>
      <c r="N165" s="30"/>
      <c r="O165" s="31"/>
      <c r="P165" s="30"/>
      <c r="Q165" s="30"/>
      <c r="R165" s="30"/>
      <c r="S165" s="30"/>
      <c r="T165" s="30"/>
      <c r="U165" s="30"/>
      <c r="V165" s="30"/>
      <c r="W165" s="30"/>
    </row>
    <row r="166">
      <c r="A166" s="30"/>
      <c r="B166" s="30"/>
      <c r="C166" s="30"/>
      <c r="D166" s="30"/>
      <c r="E166" s="30"/>
      <c r="F166" s="30"/>
      <c r="G166" s="30"/>
      <c r="H166" s="30"/>
      <c r="I166" s="30"/>
      <c r="J166" s="30"/>
      <c r="K166" s="30"/>
      <c r="L166" s="30"/>
      <c r="M166" s="30"/>
      <c r="N166" s="30"/>
      <c r="O166" s="31"/>
      <c r="P166" s="30"/>
      <c r="Q166" s="30"/>
      <c r="R166" s="30"/>
      <c r="S166" s="30"/>
      <c r="T166" s="30"/>
      <c r="U166" s="30"/>
      <c r="V166" s="30"/>
      <c r="W166" s="30"/>
    </row>
    <row r="167">
      <c r="A167" s="30"/>
      <c r="B167" s="30"/>
      <c r="C167" s="30"/>
      <c r="D167" s="30"/>
      <c r="E167" s="30"/>
      <c r="F167" s="30"/>
      <c r="G167" s="30"/>
      <c r="H167" s="30"/>
      <c r="I167" s="30"/>
      <c r="J167" s="30"/>
      <c r="K167" s="30"/>
      <c r="L167" s="30"/>
      <c r="M167" s="30"/>
      <c r="N167" s="30"/>
      <c r="O167" s="31"/>
      <c r="P167" s="30"/>
      <c r="Q167" s="30"/>
      <c r="R167" s="30"/>
      <c r="S167" s="30"/>
      <c r="T167" s="30"/>
      <c r="U167" s="30"/>
      <c r="V167" s="30"/>
      <c r="W167" s="30"/>
    </row>
    <row r="168">
      <c r="A168" s="30"/>
      <c r="B168" s="30"/>
      <c r="C168" s="30"/>
      <c r="D168" s="30"/>
      <c r="E168" s="30"/>
      <c r="F168" s="30"/>
      <c r="G168" s="30"/>
      <c r="H168" s="30"/>
      <c r="I168" s="30"/>
      <c r="J168" s="30"/>
      <c r="K168" s="30"/>
      <c r="L168" s="30"/>
      <c r="M168" s="30"/>
      <c r="N168" s="30"/>
      <c r="O168" s="31"/>
      <c r="P168" s="30"/>
      <c r="Q168" s="30"/>
      <c r="R168" s="30"/>
      <c r="S168" s="30"/>
      <c r="T168" s="30"/>
      <c r="U168" s="30"/>
      <c r="V168" s="30"/>
      <c r="W168" s="30"/>
    </row>
    <row r="169">
      <c r="A169" s="30"/>
      <c r="B169" s="30"/>
      <c r="C169" s="30"/>
      <c r="D169" s="30"/>
      <c r="E169" s="30"/>
      <c r="F169" s="30"/>
      <c r="G169" s="30"/>
      <c r="H169" s="30"/>
      <c r="I169" s="30"/>
      <c r="J169" s="30"/>
      <c r="K169" s="30"/>
      <c r="L169" s="30"/>
      <c r="M169" s="30"/>
      <c r="N169" s="30"/>
      <c r="O169" s="31"/>
      <c r="P169" s="30"/>
      <c r="Q169" s="30"/>
      <c r="R169" s="30"/>
      <c r="S169" s="30"/>
      <c r="T169" s="30"/>
      <c r="U169" s="30"/>
      <c r="V169" s="30"/>
      <c r="W169" s="30"/>
    </row>
    <row r="170">
      <c r="A170" s="30"/>
      <c r="B170" s="30"/>
      <c r="C170" s="30"/>
      <c r="D170" s="30"/>
      <c r="E170" s="30"/>
      <c r="F170" s="30"/>
      <c r="G170" s="30"/>
      <c r="H170" s="30"/>
      <c r="I170" s="30"/>
      <c r="J170" s="30"/>
      <c r="K170" s="30"/>
      <c r="L170" s="30"/>
      <c r="M170" s="30"/>
      <c r="N170" s="30"/>
      <c r="O170" s="31"/>
      <c r="P170" s="30"/>
      <c r="Q170" s="30"/>
      <c r="R170" s="30"/>
      <c r="S170" s="30"/>
      <c r="T170" s="30"/>
      <c r="U170" s="30"/>
      <c r="V170" s="30"/>
      <c r="W170" s="30"/>
    </row>
    <row r="171">
      <c r="A171" s="30"/>
      <c r="B171" s="30"/>
      <c r="C171" s="30"/>
      <c r="D171" s="30"/>
      <c r="E171" s="30"/>
      <c r="F171" s="30"/>
      <c r="G171" s="30"/>
      <c r="H171" s="30"/>
      <c r="I171" s="30"/>
      <c r="J171" s="30"/>
      <c r="K171" s="30"/>
      <c r="L171" s="30"/>
      <c r="M171" s="30"/>
      <c r="N171" s="30"/>
      <c r="O171" s="31"/>
      <c r="P171" s="30"/>
      <c r="Q171" s="30"/>
      <c r="R171" s="30"/>
      <c r="S171" s="30"/>
      <c r="T171" s="30"/>
      <c r="U171" s="30"/>
      <c r="V171" s="30"/>
      <c r="W171" s="30"/>
    </row>
    <row r="172">
      <c r="A172" s="30"/>
      <c r="B172" s="30"/>
      <c r="C172" s="30"/>
      <c r="D172" s="30"/>
      <c r="E172" s="30"/>
      <c r="F172" s="30"/>
      <c r="G172" s="30"/>
      <c r="H172" s="30"/>
      <c r="I172" s="30"/>
      <c r="J172" s="30"/>
      <c r="K172" s="30"/>
      <c r="L172" s="30"/>
      <c r="M172" s="30"/>
      <c r="N172" s="30"/>
      <c r="O172" s="31"/>
      <c r="P172" s="30"/>
      <c r="Q172" s="30"/>
      <c r="R172" s="30"/>
      <c r="S172" s="30"/>
      <c r="T172" s="30"/>
      <c r="U172" s="30"/>
      <c r="V172" s="30"/>
      <c r="W172" s="30"/>
    </row>
    <row r="173">
      <c r="A173" s="30"/>
      <c r="B173" s="30"/>
      <c r="C173" s="30"/>
      <c r="D173" s="30"/>
      <c r="E173" s="30"/>
      <c r="F173" s="30"/>
      <c r="G173" s="30"/>
      <c r="H173" s="30"/>
      <c r="I173" s="30"/>
      <c r="J173" s="30"/>
      <c r="K173" s="30"/>
      <c r="L173" s="30"/>
      <c r="M173" s="30"/>
      <c r="N173" s="30"/>
      <c r="O173" s="31"/>
      <c r="P173" s="30"/>
      <c r="Q173" s="30"/>
      <c r="R173" s="30"/>
      <c r="S173" s="30"/>
      <c r="T173" s="30"/>
      <c r="U173" s="30"/>
      <c r="V173" s="30"/>
      <c r="W173" s="30"/>
    </row>
    <row r="174">
      <c r="A174" s="30"/>
      <c r="B174" s="30"/>
      <c r="C174" s="30"/>
      <c r="D174" s="30"/>
      <c r="E174" s="30"/>
      <c r="F174" s="30"/>
      <c r="G174" s="30"/>
      <c r="H174" s="30"/>
      <c r="I174" s="30"/>
      <c r="J174" s="30"/>
      <c r="K174" s="30"/>
      <c r="L174" s="30"/>
      <c r="M174" s="30"/>
      <c r="N174" s="30"/>
      <c r="O174" s="31"/>
      <c r="P174" s="30"/>
      <c r="Q174" s="30"/>
      <c r="R174" s="30"/>
      <c r="S174" s="30"/>
      <c r="T174" s="30"/>
      <c r="U174" s="30"/>
      <c r="V174" s="30"/>
      <c r="W174" s="30"/>
    </row>
    <row r="175">
      <c r="A175" s="30"/>
      <c r="B175" s="30"/>
      <c r="C175" s="30"/>
      <c r="D175" s="30"/>
      <c r="E175" s="30"/>
      <c r="F175" s="30"/>
      <c r="G175" s="30"/>
      <c r="H175" s="30"/>
      <c r="I175" s="30"/>
      <c r="J175" s="30"/>
      <c r="K175" s="30"/>
      <c r="L175" s="30"/>
      <c r="M175" s="30"/>
      <c r="N175" s="30"/>
      <c r="O175" s="31"/>
      <c r="P175" s="30"/>
      <c r="Q175" s="30"/>
      <c r="R175" s="30"/>
      <c r="S175" s="30"/>
      <c r="T175" s="30"/>
      <c r="U175" s="30"/>
      <c r="V175" s="30"/>
      <c r="W175" s="30"/>
    </row>
    <row r="176">
      <c r="A176" s="30"/>
      <c r="B176" s="30"/>
      <c r="C176" s="30"/>
      <c r="D176" s="30"/>
      <c r="E176" s="30"/>
      <c r="F176" s="30"/>
      <c r="G176" s="30"/>
      <c r="H176" s="30"/>
      <c r="I176" s="30"/>
      <c r="J176" s="30"/>
      <c r="K176" s="30"/>
      <c r="L176" s="30"/>
      <c r="M176" s="30"/>
      <c r="N176" s="30"/>
      <c r="O176" s="31"/>
      <c r="P176" s="30"/>
      <c r="Q176" s="30"/>
      <c r="R176" s="30"/>
      <c r="S176" s="30"/>
      <c r="T176" s="30"/>
      <c r="U176" s="30"/>
      <c r="V176" s="30"/>
      <c r="W176" s="30"/>
    </row>
    <row r="177">
      <c r="A177" s="30"/>
      <c r="B177" s="30"/>
      <c r="C177" s="30"/>
      <c r="D177" s="30"/>
      <c r="E177" s="30"/>
      <c r="F177" s="30"/>
      <c r="G177" s="30"/>
      <c r="H177" s="30"/>
      <c r="I177" s="30"/>
      <c r="J177" s="30"/>
      <c r="K177" s="30"/>
      <c r="L177" s="30"/>
      <c r="M177" s="30"/>
      <c r="N177" s="30"/>
      <c r="O177" s="31"/>
      <c r="P177" s="30"/>
      <c r="Q177" s="30"/>
      <c r="R177" s="30"/>
      <c r="S177" s="30"/>
      <c r="T177" s="30"/>
      <c r="U177" s="30"/>
      <c r="V177" s="30"/>
      <c r="W177" s="30"/>
    </row>
    <row r="178">
      <c r="A178" s="30"/>
      <c r="B178" s="30"/>
      <c r="C178" s="30"/>
      <c r="D178" s="30"/>
      <c r="E178" s="30"/>
      <c r="F178" s="30"/>
      <c r="G178" s="30"/>
      <c r="H178" s="30"/>
      <c r="I178" s="30"/>
      <c r="J178" s="30"/>
      <c r="K178" s="30"/>
      <c r="L178" s="30"/>
      <c r="M178" s="30"/>
      <c r="N178" s="30"/>
      <c r="O178" s="31"/>
      <c r="P178" s="30"/>
      <c r="Q178" s="30"/>
      <c r="R178" s="30"/>
      <c r="S178" s="30"/>
      <c r="T178" s="30"/>
      <c r="U178" s="30"/>
      <c r="V178" s="30"/>
      <c r="W178" s="30"/>
    </row>
    <row r="179">
      <c r="A179" s="30"/>
      <c r="B179" s="30"/>
      <c r="C179" s="30"/>
      <c r="D179" s="30"/>
      <c r="E179" s="30"/>
      <c r="F179" s="30"/>
      <c r="G179" s="30"/>
      <c r="H179" s="30"/>
      <c r="I179" s="30"/>
      <c r="J179" s="30"/>
      <c r="K179" s="30"/>
      <c r="L179" s="30"/>
      <c r="M179" s="30"/>
      <c r="N179" s="30"/>
      <c r="O179" s="31"/>
      <c r="P179" s="30"/>
      <c r="Q179" s="30"/>
      <c r="R179" s="30"/>
      <c r="S179" s="30"/>
      <c r="T179" s="30"/>
      <c r="U179" s="30"/>
      <c r="V179" s="30"/>
      <c r="W179" s="30"/>
    </row>
    <row r="180">
      <c r="A180" s="30"/>
      <c r="B180" s="30"/>
      <c r="C180" s="30"/>
      <c r="D180" s="30"/>
      <c r="E180" s="30"/>
      <c r="F180" s="30"/>
      <c r="G180" s="30"/>
      <c r="H180" s="30"/>
      <c r="I180" s="30"/>
      <c r="J180" s="30"/>
      <c r="K180" s="30"/>
      <c r="L180" s="30"/>
      <c r="M180" s="30"/>
      <c r="N180" s="30"/>
      <c r="O180" s="31"/>
      <c r="P180" s="30"/>
      <c r="Q180" s="30"/>
      <c r="R180" s="30"/>
      <c r="S180" s="30"/>
      <c r="T180" s="30"/>
      <c r="U180" s="30"/>
      <c r="V180" s="30"/>
      <c r="W180" s="30"/>
    </row>
    <row r="181">
      <c r="A181" s="30"/>
      <c r="B181" s="30"/>
      <c r="C181" s="30"/>
      <c r="D181" s="30"/>
      <c r="E181" s="30"/>
      <c r="F181" s="30"/>
      <c r="G181" s="30"/>
      <c r="H181" s="30"/>
      <c r="I181" s="30"/>
      <c r="J181" s="30"/>
      <c r="K181" s="30"/>
      <c r="L181" s="30"/>
      <c r="M181" s="30"/>
      <c r="N181" s="30"/>
      <c r="O181" s="31"/>
      <c r="P181" s="30"/>
      <c r="Q181" s="30"/>
      <c r="R181" s="30"/>
      <c r="S181" s="30"/>
      <c r="T181" s="30"/>
      <c r="U181" s="30"/>
      <c r="V181" s="30"/>
      <c r="W181" s="30"/>
    </row>
    <row r="182">
      <c r="A182" s="30"/>
      <c r="B182" s="30"/>
      <c r="C182" s="30"/>
      <c r="D182" s="30"/>
      <c r="E182" s="30"/>
      <c r="F182" s="30"/>
      <c r="G182" s="30"/>
      <c r="H182" s="30"/>
      <c r="I182" s="30"/>
      <c r="J182" s="30"/>
      <c r="K182" s="30"/>
      <c r="L182" s="30"/>
      <c r="M182" s="30"/>
      <c r="N182" s="30"/>
      <c r="O182" s="31"/>
      <c r="P182" s="30"/>
      <c r="Q182" s="30"/>
      <c r="R182" s="30"/>
      <c r="S182" s="30"/>
      <c r="T182" s="30"/>
      <c r="U182" s="30"/>
      <c r="V182" s="30"/>
      <c r="W182" s="30"/>
    </row>
    <row r="183">
      <c r="A183" s="30"/>
      <c r="B183" s="30"/>
      <c r="C183" s="30"/>
      <c r="D183" s="30"/>
      <c r="E183" s="30"/>
      <c r="F183" s="30"/>
      <c r="G183" s="30"/>
      <c r="H183" s="30"/>
      <c r="I183" s="30"/>
      <c r="J183" s="30"/>
      <c r="K183" s="30"/>
      <c r="L183" s="30"/>
      <c r="M183" s="30"/>
      <c r="N183" s="30"/>
      <c r="O183" s="31"/>
      <c r="P183" s="30"/>
      <c r="Q183" s="30"/>
      <c r="R183" s="30"/>
      <c r="S183" s="30"/>
      <c r="T183" s="30"/>
      <c r="U183" s="30"/>
      <c r="V183" s="30"/>
      <c r="W183" s="30"/>
    </row>
    <row r="184">
      <c r="A184" s="30"/>
      <c r="B184" s="30"/>
      <c r="C184" s="30"/>
      <c r="D184" s="30"/>
      <c r="E184" s="30"/>
      <c r="F184" s="30"/>
      <c r="G184" s="30"/>
      <c r="H184" s="30"/>
      <c r="I184" s="30"/>
      <c r="J184" s="30"/>
      <c r="K184" s="30"/>
      <c r="L184" s="30"/>
      <c r="M184" s="30"/>
      <c r="N184" s="30"/>
      <c r="O184" s="31"/>
      <c r="P184" s="30"/>
      <c r="Q184" s="30"/>
      <c r="R184" s="30"/>
      <c r="S184" s="30"/>
      <c r="T184" s="30"/>
      <c r="U184" s="30"/>
      <c r="V184" s="30"/>
      <c r="W184" s="30"/>
    </row>
    <row r="185">
      <c r="A185" s="30"/>
      <c r="B185" s="30"/>
      <c r="C185" s="30"/>
      <c r="D185" s="30"/>
      <c r="E185" s="30"/>
      <c r="F185" s="30"/>
      <c r="G185" s="30"/>
      <c r="H185" s="30"/>
      <c r="I185" s="30"/>
      <c r="J185" s="30"/>
      <c r="K185" s="30"/>
      <c r="L185" s="30"/>
      <c r="M185" s="30"/>
      <c r="N185" s="30"/>
      <c r="O185" s="31"/>
      <c r="P185" s="30"/>
      <c r="Q185" s="30"/>
      <c r="R185" s="30"/>
      <c r="S185" s="30"/>
      <c r="T185" s="30"/>
      <c r="U185" s="30"/>
      <c r="V185" s="30"/>
      <c r="W185" s="30"/>
    </row>
    <row r="186">
      <c r="A186" s="30"/>
      <c r="B186" s="30"/>
      <c r="C186" s="30"/>
      <c r="D186" s="30"/>
      <c r="E186" s="30"/>
      <c r="F186" s="30"/>
      <c r="G186" s="30"/>
      <c r="H186" s="30"/>
      <c r="I186" s="30"/>
      <c r="J186" s="30"/>
      <c r="K186" s="30"/>
      <c r="L186" s="30"/>
      <c r="M186" s="30"/>
      <c r="N186" s="30"/>
      <c r="O186" s="31"/>
      <c r="P186" s="30"/>
      <c r="Q186" s="30"/>
      <c r="R186" s="30"/>
      <c r="S186" s="30"/>
      <c r="T186" s="30"/>
      <c r="U186" s="30"/>
      <c r="V186" s="30"/>
      <c r="W186" s="30"/>
    </row>
    <row r="187">
      <c r="A187" s="30"/>
      <c r="B187" s="30"/>
      <c r="C187" s="30"/>
      <c r="D187" s="30"/>
      <c r="E187" s="30"/>
      <c r="F187" s="30"/>
      <c r="G187" s="30"/>
      <c r="H187" s="30"/>
      <c r="I187" s="30"/>
      <c r="J187" s="30"/>
      <c r="K187" s="30"/>
      <c r="L187" s="30"/>
      <c r="M187" s="30"/>
      <c r="N187" s="30"/>
      <c r="O187" s="31"/>
      <c r="P187" s="30"/>
      <c r="Q187" s="30"/>
      <c r="R187" s="30"/>
      <c r="S187" s="30"/>
      <c r="T187" s="30"/>
      <c r="U187" s="30"/>
      <c r="V187" s="30"/>
      <c r="W187" s="30"/>
    </row>
    <row r="188">
      <c r="A188" s="30"/>
      <c r="B188" s="30"/>
      <c r="C188" s="30"/>
      <c r="D188" s="30"/>
      <c r="E188" s="30"/>
      <c r="F188" s="30"/>
      <c r="G188" s="30"/>
      <c r="H188" s="30"/>
      <c r="I188" s="30"/>
      <c r="J188" s="30"/>
      <c r="K188" s="30"/>
      <c r="L188" s="30"/>
      <c r="M188" s="30"/>
      <c r="N188" s="30"/>
      <c r="O188" s="31"/>
      <c r="P188" s="30"/>
      <c r="Q188" s="30"/>
      <c r="R188" s="30"/>
      <c r="S188" s="30"/>
      <c r="T188" s="30"/>
      <c r="U188" s="30"/>
      <c r="V188" s="30"/>
      <c r="W188" s="30"/>
    </row>
    <row r="189">
      <c r="A189" s="30"/>
      <c r="B189" s="30"/>
      <c r="C189" s="30"/>
      <c r="D189" s="30"/>
      <c r="E189" s="30"/>
      <c r="F189" s="30"/>
      <c r="G189" s="30"/>
      <c r="H189" s="30"/>
      <c r="I189" s="30"/>
      <c r="J189" s="30"/>
      <c r="K189" s="30"/>
      <c r="L189" s="30"/>
      <c r="M189" s="30"/>
      <c r="N189" s="30"/>
      <c r="O189" s="31"/>
      <c r="P189" s="30"/>
      <c r="Q189" s="30"/>
      <c r="R189" s="30"/>
      <c r="S189" s="30"/>
      <c r="T189" s="30"/>
      <c r="U189" s="30"/>
      <c r="V189" s="30"/>
      <c r="W189" s="30"/>
    </row>
    <row r="190">
      <c r="A190" s="30"/>
      <c r="B190" s="30"/>
      <c r="C190" s="30"/>
      <c r="D190" s="30"/>
      <c r="E190" s="30"/>
      <c r="F190" s="30"/>
      <c r="G190" s="30"/>
      <c r="H190" s="30"/>
      <c r="I190" s="30"/>
      <c r="J190" s="30"/>
      <c r="K190" s="30"/>
      <c r="L190" s="30"/>
      <c r="M190" s="30"/>
      <c r="N190" s="30"/>
      <c r="O190" s="31"/>
      <c r="P190" s="30"/>
      <c r="Q190" s="30"/>
      <c r="R190" s="30"/>
      <c r="S190" s="30"/>
      <c r="T190" s="30"/>
      <c r="U190" s="30"/>
      <c r="V190" s="30"/>
      <c r="W190" s="30"/>
    </row>
    <row r="191">
      <c r="A191" s="30"/>
      <c r="B191" s="30"/>
      <c r="C191" s="30"/>
      <c r="D191" s="30"/>
      <c r="E191" s="30"/>
      <c r="F191" s="30"/>
      <c r="G191" s="30"/>
      <c r="H191" s="30"/>
      <c r="I191" s="30"/>
      <c r="J191" s="30"/>
      <c r="K191" s="30"/>
      <c r="L191" s="30"/>
      <c r="M191" s="30"/>
      <c r="N191" s="30"/>
      <c r="O191" s="31"/>
      <c r="P191" s="30"/>
      <c r="Q191" s="30"/>
      <c r="R191" s="30"/>
      <c r="S191" s="30"/>
      <c r="T191" s="30"/>
      <c r="U191" s="30"/>
      <c r="V191" s="30"/>
      <c r="W191" s="30"/>
    </row>
    <row r="192">
      <c r="A192" s="30"/>
      <c r="B192" s="30"/>
      <c r="C192" s="30"/>
      <c r="D192" s="30"/>
      <c r="E192" s="30"/>
      <c r="F192" s="30"/>
      <c r="G192" s="30"/>
      <c r="H192" s="30"/>
      <c r="I192" s="30"/>
      <c r="J192" s="30"/>
      <c r="K192" s="30"/>
      <c r="L192" s="30"/>
      <c r="M192" s="30"/>
      <c r="N192" s="30"/>
      <c r="O192" s="31"/>
      <c r="P192" s="30"/>
      <c r="Q192" s="30"/>
      <c r="R192" s="30"/>
      <c r="S192" s="30"/>
      <c r="T192" s="30"/>
      <c r="U192" s="30"/>
      <c r="V192" s="30"/>
      <c r="W192" s="30"/>
    </row>
    <row r="193">
      <c r="A193" s="30"/>
      <c r="B193" s="30"/>
      <c r="C193" s="30"/>
      <c r="D193" s="30"/>
      <c r="E193" s="30"/>
      <c r="F193" s="30"/>
      <c r="G193" s="30"/>
      <c r="H193" s="30"/>
      <c r="I193" s="30"/>
      <c r="J193" s="30"/>
      <c r="K193" s="30"/>
      <c r="L193" s="30"/>
      <c r="M193" s="30"/>
      <c r="N193" s="30"/>
      <c r="O193" s="31"/>
      <c r="P193" s="30"/>
      <c r="Q193" s="30"/>
      <c r="R193" s="30"/>
      <c r="S193" s="30"/>
      <c r="T193" s="30"/>
      <c r="U193" s="30"/>
      <c r="V193" s="30"/>
      <c r="W193" s="30"/>
    </row>
    <row r="194">
      <c r="A194" s="30"/>
      <c r="B194" s="30"/>
      <c r="C194" s="30"/>
      <c r="D194" s="30"/>
      <c r="E194" s="30"/>
      <c r="F194" s="30"/>
      <c r="G194" s="30"/>
      <c r="H194" s="30"/>
      <c r="I194" s="30"/>
      <c r="J194" s="30"/>
      <c r="K194" s="30"/>
      <c r="L194" s="30"/>
      <c r="M194" s="30"/>
      <c r="N194" s="30"/>
      <c r="O194" s="31"/>
      <c r="P194" s="30"/>
      <c r="Q194" s="30"/>
      <c r="R194" s="30"/>
      <c r="S194" s="30"/>
      <c r="T194" s="30"/>
      <c r="U194" s="30"/>
      <c r="V194" s="30"/>
      <c r="W194" s="30"/>
    </row>
    <row r="195">
      <c r="A195" s="30"/>
      <c r="B195" s="30"/>
      <c r="C195" s="30"/>
      <c r="D195" s="30"/>
      <c r="E195" s="30"/>
      <c r="F195" s="30"/>
      <c r="G195" s="30"/>
      <c r="H195" s="30"/>
      <c r="I195" s="30"/>
      <c r="J195" s="30"/>
      <c r="K195" s="30"/>
      <c r="L195" s="30"/>
      <c r="M195" s="30"/>
      <c r="N195" s="30"/>
      <c r="O195" s="31"/>
      <c r="P195" s="30"/>
      <c r="Q195" s="30"/>
      <c r="R195" s="30"/>
      <c r="S195" s="30"/>
      <c r="T195" s="30"/>
      <c r="U195" s="30"/>
      <c r="V195" s="30"/>
      <c r="W195" s="30"/>
    </row>
    <row r="196">
      <c r="A196" s="30"/>
      <c r="B196" s="30"/>
      <c r="C196" s="30"/>
      <c r="D196" s="30"/>
      <c r="E196" s="30"/>
      <c r="F196" s="30"/>
      <c r="G196" s="30"/>
      <c r="H196" s="30"/>
      <c r="I196" s="30"/>
      <c r="J196" s="30"/>
      <c r="K196" s="30"/>
      <c r="L196" s="30"/>
      <c r="M196" s="30"/>
      <c r="N196" s="30"/>
      <c r="O196" s="31"/>
      <c r="P196" s="30"/>
      <c r="Q196" s="30"/>
      <c r="R196" s="30"/>
      <c r="S196" s="30"/>
      <c r="T196" s="30"/>
      <c r="U196" s="30"/>
      <c r="V196" s="30"/>
      <c r="W196" s="30"/>
    </row>
    <row r="197">
      <c r="A197" s="30"/>
      <c r="B197" s="30"/>
      <c r="C197" s="30"/>
      <c r="D197" s="30"/>
      <c r="E197" s="30"/>
      <c r="F197" s="30"/>
      <c r="G197" s="30"/>
      <c r="H197" s="30"/>
      <c r="I197" s="30"/>
      <c r="J197" s="30"/>
      <c r="K197" s="30"/>
      <c r="L197" s="30"/>
      <c r="M197" s="30"/>
      <c r="N197" s="30"/>
      <c r="O197" s="31"/>
      <c r="P197" s="30"/>
      <c r="Q197" s="30"/>
      <c r="R197" s="30"/>
      <c r="S197" s="30"/>
      <c r="T197" s="30"/>
      <c r="U197" s="30"/>
      <c r="V197" s="30"/>
      <c r="W197" s="30"/>
    </row>
    <row r="198">
      <c r="A198" s="30"/>
      <c r="B198" s="30"/>
      <c r="C198" s="30"/>
      <c r="D198" s="30"/>
      <c r="E198" s="30"/>
      <c r="F198" s="30"/>
      <c r="G198" s="30"/>
      <c r="H198" s="30"/>
      <c r="I198" s="30"/>
      <c r="J198" s="30"/>
      <c r="K198" s="30"/>
      <c r="L198" s="30"/>
      <c r="M198" s="30"/>
      <c r="N198" s="30"/>
      <c r="O198" s="31"/>
      <c r="P198" s="30"/>
      <c r="Q198" s="30"/>
      <c r="R198" s="30"/>
      <c r="S198" s="30"/>
      <c r="T198" s="30"/>
      <c r="U198" s="30"/>
      <c r="V198" s="30"/>
      <c r="W198" s="30"/>
    </row>
    <row r="199">
      <c r="A199" s="30"/>
      <c r="B199" s="30"/>
      <c r="C199" s="30"/>
      <c r="D199" s="30"/>
      <c r="E199" s="30"/>
      <c r="F199" s="30"/>
      <c r="G199" s="30"/>
      <c r="H199" s="30"/>
      <c r="I199" s="30"/>
      <c r="J199" s="30"/>
      <c r="K199" s="30"/>
      <c r="L199" s="30"/>
      <c r="M199" s="30"/>
      <c r="N199" s="30"/>
      <c r="O199" s="31"/>
      <c r="P199" s="30"/>
      <c r="Q199" s="30"/>
      <c r="R199" s="30"/>
      <c r="S199" s="30"/>
      <c r="T199" s="30"/>
      <c r="U199" s="30"/>
      <c r="V199" s="30"/>
      <c r="W199" s="30"/>
    </row>
    <row r="200">
      <c r="A200" s="30"/>
      <c r="B200" s="30"/>
      <c r="C200" s="30"/>
      <c r="D200" s="30"/>
      <c r="E200" s="30"/>
      <c r="F200" s="30"/>
      <c r="G200" s="30"/>
      <c r="H200" s="30"/>
      <c r="I200" s="30"/>
      <c r="J200" s="30"/>
      <c r="K200" s="30"/>
      <c r="L200" s="30"/>
      <c r="M200" s="30"/>
      <c r="N200" s="30"/>
      <c r="O200" s="31"/>
      <c r="P200" s="30"/>
      <c r="Q200" s="30"/>
      <c r="R200" s="30"/>
      <c r="S200" s="30"/>
      <c r="T200" s="30"/>
      <c r="U200" s="30"/>
      <c r="V200" s="30"/>
      <c r="W200" s="30"/>
    </row>
    <row r="201">
      <c r="A201" s="30"/>
      <c r="B201" s="30"/>
      <c r="C201" s="30"/>
      <c r="D201" s="30"/>
      <c r="E201" s="30"/>
      <c r="F201" s="30"/>
      <c r="G201" s="30"/>
      <c r="H201" s="30"/>
      <c r="I201" s="30"/>
      <c r="J201" s="30"/>
      <c r="K201" s="30"/>
      <c r="L201" s="30"/>
      <c r="M201" s="30"/>
      <c r="N201" s="30"/>
      <c r="O201" s="31"/>
      <c r="P201" s="30"/>
      <c r="Q201" s="30"/>
      <c r="R201" s="30"/>
      <c r="S201" s="30"/>
      <c r="T201" s="30"/>
      <c r="U201" s="30"/>
      <c r="V201" s="30"/>
      <c r="W201" s="30"/>
    </row>
    <row r="202">
      <c r="A202" s="30"/>
      <c r="B202" s="30"/>
      <c r="C202" s="30"/>
      <c r="D202" s="30"/>
      <c r="E202" s="30"/>
      <c r="F202" s="30"/>
      <c r="G202" s="30"/>
      <c r="H202" s="30"/>
      <c r="I202" s="30"/>
      <c r="J202" s="30"/>
      <c r="K202" s="30"/>
      <c r="L202" s="30"/>
      <c r="M202" s="30"/>
      <c r="N202" s="30"/>
      <c r="O202" s="31"/>
      <c r="P202" s="30"/>
      <c r="Q202" s="30"/>
      <c r="R202" s="30"/>
      <c r="S202" s="30"/>
      <c r="T202" s="30"/>
      <c r="U202" s="30"/>
      <c r="V202" s="30"/>
      <c r="W202" s="30"/>
    </row>
    <row r="203">
      <c r="A203" s="30"/>
      <c r="B203" s="30"/>
      <c r="C203" s="30"/>
      <c r="D203" s="30"/>
      <c r="E203" s="30"/>
      <c r="F203" s="30"/>
      <c r="G203" s="30"/>
      <c r="H203" s="30"/>
      <c r="I203" s="30"/>
      <c r="J203" s="30"/>
      <c r="K203" s="30"/>
      <c r="L203" s="30"/>
      <c r="M203" s="30"/>
      <c r="N203" s="30"/>
      <c r="O203" s="31"/>
      <c r="P203" s="30"/>
      <c r="Q203" s="30"/>
      <c r="R203" s="30"/>
      <c r="S203" s="30"/>
      <c r="T203" s="30"/>
      <c r="U203" s="30"/>
      <c r="V203" s="30"/>
      <c r="W203" s="30"/>
    </row>
    <row r="204">
      <c r="A204" s="30"/>
      <c r="B204" s="30"/>
      <c r="C204" s="30"/>
      <c r="D204" s="30"/>
      <c r="E204" s="30"/>
      <c r="F204" s="30"/>
      <c r="G204" s="30"/>
      <c r="H204" s="30"/>
      <c r="I204" s="30"/>
      <c r="J204" s="30"/>
      <c r="K204" s="30"/>
      <c r="L204" s="30"/>
      <c r="M204" s="30"/>
      <c r="N204" s="30"/>
      <c r="O204" s="31"/>
      <c r="P204" s="30"/>
      <c r="Q204" s="30"/>
      <c r="R204" s="30"/>
      <c r="S204" s="30"/>
      <c r="T204" s="30"/>
      <c r="U204" s="30"/>
      <c r="V204" s="30"/>
      <c r="W204" s="30"/>
    </row>
    <row r="205">
      <c r="A205" s="30"/>
      <c r="B205" s="30"/>
      <c r="C205" s="30"/>
      <c r="D205" s="30"/>
      <c r="E205" s="30"/>
      <c r="F205" s="30"/>
      <c r="G205" s="30"/>
      <c r="H205" s="30"/>
      <c r="I205" s="30"/>
      <c r="J205" s="30"/>
      <c r="K205" s="30"/>
      <c r="L205" s="30"/>
      <c r="M205" s="30"/>
      <c r="N205" s="30"/>
      <c r="O205" s="31"/>
      <c r="P205" s="30"/>
      <c r="Q205" s="30"/>
      <c r="R205" s="30"/>
      <c r="S205" s="30"/>
      <c r="T205" s="30"/>
      <c r="U205" s="30"/>
      <c r="V205" s="30"/>
      <c r="W205" s="30"/>
    </row>
    <row r="206">
      <c r="A206" s="30"/>
      <c r="B206" s="30"/>
      <c r="C206" s="30"/>
      <c r="D206" s="30"/>
      <c r="E206" s="30"/>
      <c r="F206" s="30"/>
      <c r="G206" s="30"/>
      <c r="H206" s="30"/>
      <c r="I206" s="30"/>
      <c r="J206" s="30"/>
      <c r="K206" s="30"/>
      <c r="L206" s="30"/>
      <c r="M206" s="30"/>
      <c r="N206" s="30"/>
      <c r="O206" s="31"/>
      <c r="P206" s="30"/>
      <c r="Q206" s="30"/>
      <c r="R206" s="30"/>
      <c r="S206" s="30"/>
      <c r="T206" s="30"/>
      <c r="U206" s="30"/>
      <c r="V206" s="30"/>
      <c r="W206" s="30"/>
    </row>
    <row r="207">
      <c r="A207" s="30"/>
      <c r="B207" s="30"/>
      <c r="C207" s="30"/>
      <c r="D207" s="30"/>
      <c r="E207" s="30"/>
      <c r="F207" s="30"/>
      <c r="G207" s="30"/>
      <c r="H207" s="30"/>
      <c r="I207" s="30"/>
      <c r="J207" s="30"/>
      <c r="K207" s="30"/>
      <c r="L207" s="30"/>
      <c r="M207" s="30"/>
      <c r="N207" s="30"/>
      <c r="O207" s="31"/>
      <c r="P207" s="30"/>
      <c r="Q207" s="30"/>
      <c r="R207" s="30"/>
      <c r="S207" s="30"/>
      <c r="T207" s="30"/>
      <c r="U207" s="30"/>
      <c r="V207" s="30"/>
      <c r="W207" s="30"/>
    </row>
    <row r="208">
      <c r="A208" s="30"/>
      <c r="B208" s="30"/>
      <c r="C208" s="30"/>
      <c r="D208" s="30"/>
      <c r="E208" s="30"/>
      <c r="F208" s="30"/>
      <c r="G208" s="30"/>
      <c r="H208" s="30"/>
      <c r="I208" s="30"/>
      <c r="J208" s="30"/>
      <c r="K208" s="30"/>
      <c r="L208" s="30"/>
      <c r="M208" s="30"/>
      <c r="N208" s="30"/>
      <c r="O208" s="31"/>
      <c r="P208" s="30"/>
      <c r="Q208" s="30"/>
      <c r="R208" s="30"/>
      <c r="S208" s="30"/>
      <c r="T208" s="30"/>
      <c r="U208" s="30"/>
      <c r="V208" s="30"/>
      <c r="W208" s="30"/>
    </row>
    <row r="209">
      <c r="A209" s="30"/>
      <c r="B209" s="30"/>
      <c r="C209" s="30"/>
      <c r="D209" s="30"/>
      <c r="E209" s="30"/>
      <c r="F209" s="30"/>
      <c r="G209" s="30"/>
      <c r="H209" s="30"/>
      <c r="I209" s="30"/>
      <c r="J209" s="30"/>
      <c r="K209" s="30"/>
      <c r="L209" s="30"/>
      <c r="M209" s="30"/>
      <c r="N209" s="30"/>
      <c r="O209" s="31"/>
      <c r="P209" s="30"/>
      <c r="Q209" s="30"/>
      <c r="R209" s="30"/>
      <c r="S209" s="30"/>
      <c r="T209" s="30"/>
      <c r="U209" s="30"/>
      <c r="V209" s="30"/>
      <c r="W209" s="30"/>
    </row>
    <row r="210">
      <c r="A210" s="30"/>
      <c r="B210" s="30"/>
      <c r="C210" s="30"/>
      <c r="D210" s="30"/>
      <c r="E210" s="30"/>
      <c r="F210" s="30"/>
      <c r="G210" s="30"/>
      <c r="H210" s="30"/>
      <c r="I210" s="30"/>
      <c r="J210" s="30"/>
      <c r="K210" s="30"/>
      <c r="L210" s="30"/>
      <c r="M210" s="30"/>
      <c r="N210" s="30"/>
      <c r="O210" s="31"/>
      <c r="P210" s="30"/>
      <c r="Q210" s="30"/>
      <c r="R210" s="30"/>
      <c r="S210" s="30"/>
      <c r="T210" s="30"/>
      <c r="U210" s="30"/>
      <c r="V210" s="30"/>
      <c r="W210" s="30"/>
    </row>
    <row r="211">
      <c r="A211" s="30"/>
      <c r="B211" s="30"/>
      <c r="C211" s="30"/>
      <c r="D211" s="30"/>
      <c r="E211" s="30"/>
      <c r="F211" s="30"/>
      <c r="G211" s="30"/>
      <c r="H211" s="30"/>
      <c r="I211" s="30"/>
      <c r="J211" s="30"/>
      <c r="K211" s="30"/>
      <c r="L211" s="30"/>
      <c r="M211" s="30"/>
      <c r="N211" s="30"/>
      <c r="O211" s="31"/>
      <c r="P211" s="30"/>
      <c r="Q211" s="30"/>
      <c r="R211" s="30"/>
      <c r="S211" s="30"/>
      <c r="T211" s="30"/>
      <c r="U211" s="30"/>
      <c r="V211" s="30"/>
      <c r="W211" s="30"/>
    </row>
    <row r="212">
      <c r="A212" s="30"/>
      <c r="B212" s="30"/>
      <c r="C212" s="30"/>
      <c r="D212" s="30"/>
      <c r="E212" s="30"/>
      <c r="F212" s="30"/>
      <c r="G212" s="30"/>
      <c r="H212" s="30"/>
      <c r="I212" s="30"/>
      <c r="J212" s="30"/>
      <c r="K212" s="30"/>
      <c r="L212" s="30"/>
      <c r="M212" s="30"/>
      <c r="N212" s="30"/>
      <c r="O212" s="31"/>
      <c r="P212" s="30"/>
      <c r="Q212" s="30"/>
      <c r="R212" s="30"/>
      <c r="S212" s="30"/>
      <c r="T212" s="30"/>
      <c r="U212" s="30"/>
      <c r="V212" s="30"/>
      <c r="W212" s="30"/>
    </row>
    <row r="213">
      <c r="A213" s="30"/>
      <c r="B213" s="30"/>
      <c r="C213" s="30"/>
      <c r="D213" s="30"/>
      <c r="E213" s="30"/>
      <c r="F213" s="30"/>
      <c r="G213" s="30"/>
      <c r="H213" s="30"/>
      <c r="I213" s="30"/>
      <c r="J213" s="30"/>
      <c r="K213" s="30"/>
      <c r="L213" s="30"/>
      <c r="M213" s="30"/>
      <c r="N213" s="30"/>
      <c r="O213" s="31"/>
      <c r="P213" s="30"/>
      <c r="Q213" s="30"/>
      <c r="R213" s="30"/>
      <c r="S213" s="30"/>
      <c r="T213" s="30"/>
      <c r="U213" s="30"/>
      <c r="V213" s="30"/>
      <c r="W213" s="30"/>
    </row>
    <row r="214">
      <c r="A214" s="30"/>
      <c r="B214" s="30"/>
      <c r="C214" s="30"/>
      <c r="D214" s="30"/>
      <c r="E214" s="30"/>
      <c r="F214" s="30"/>
      <c r="G214" s="30"/>
      <c r="H214" s="30"/>
      <c r="I214" s="30"/>
      <c r="J214" s="30"/>
      <c r="K214" s="30"/>
      <c r="L214" s="30"/>
      <c r="M214" s="30"/>
      <c r="N214" s="30"/>
      <c r="O214" s="31"/>
      <c r="P214" s="30"/>
      <c r="Q214" s="30"/>
      <c r="R214" s="30"/>
      <c r="S214" s="30"/>
      <c r="T214" s="30"/>
      <c r="U214" s="30"/>
      <c r="V214" s="30"/>
      <c r="W214" s="30"/>
    </row>
    <row r="215">
      <c r="A215" s="30"/>
      <c r="B215" s="30"/>
      <c r="C215" s="30"/>
      <c r="D215" s="30"/>
      <c r="E215" s="30"/>
      <c r="F215" s="30"/>
      <c r="G215" s="30"/>
      <c r="H215" s="30"/>
      <c r="I215" s="30"/>
      <c r="J215" s="30"/>
      <c r="K215" s="30"/>
      <c r="L215" s="30"/>
      <c r="M215" s="30"/>
      <c r="N215" s="30"/>
      <c r="O215" s="31"/>
      <c r="P215" s="30"/>
      <c r="Q215" s="30"/>
      <c r="R215" s="30"/>
      <c r="S215" s="30"/>
      <c r="T215" s="30"/>
      <c r="U215" s="30"/>
      <c r="V215" s="30"/>
      <c r="W215" s="30"/>
    </row>
    <row r="216">
      <c r="A216" s="30"/>
      <c r="B216" s="30"/>
      <c r="C216" s="30"/>
      <c r="D216" s="30"/>
      <c r="E216" s="30"/>
      <c r="F216" s="30"/>
      <c r="G216" s="30"/>
      <c r="H216" s="30"/>
      <c r="I216" s="30"/>
      <c r="J216" s="30"/>
      <c r="K216" s="30"/>
      <c r="L216" s="30"/>
      <c r="M216" s="30"/>
      <c r="N216" s="30"/>
      <c r="O216" s="31"/>
      <c r="P216" s="30"/>
      <c r="Q216" s="30"/>
      <c r="R216" s="30"/>
      <c r="S216" s="30"/>
      <c r="T216" s="30"/>
      <c r="U216" s="30"/>
      <c r="V216" s="30"/>
      <c r="W216" s="30"/>
    </row>
    <row r="217">
      <c r="A217" s="30"/>
      <c r="B217" s="30"/>
      <c r="C217" s="30"/>
      <c r="D217" s="30"/>
      <c r="E217" s="30"/>
      <c r="F217" s="30"/>
      <c r="G217" s="30"/>
      <c r="H217" s="30"/>
      <c r="I217" s="30"/>
      <c r="J217" s="30"/>
      <c r="K217" s="30"/>
      <c r="L217" s="30"/>
      <c r="M217" s="30"/>
      <c r="N217" s="30"/>
      <c r="O217" s="31"/>
      <c r="P217" s="30"/>
      <c r="Q217" s="30"/>
      <c r="R217" s="30"/>
      <c r="S217" s="30"/>
      <c r="T217" s="30"/>
      <c r="U217" s="30"/>
      <c r="V217" s="30"/>
      <c r="W217" s="30"/>
    </row>
    <row r="218">
      <c r="A218" s="30"/>
      <c r="B218" s="30"/>
      <c r="C218" s="30"/>
      <c r="D218" s="30"/>
      <c r="E218" s="30"/>
      <c r="F218" s="30"/>
      <c r="G218" s="30"/>
      <c r="H218" s="30"/>
      <c r="I218" s="30"/>
      <c r="J218" s="30"/>
      <c r="K218" s="30"/>
      <c r="L218" s="30"/>
      <c r="M218" s="30"/>
      <c r="N218" s="30"/>
      <c r="O218" s="31"/>
      <c r="P218" s="30"/>
      <c r="Q218" s="30"/>
      <c r="R218" s="30"/>
      <c r="S218" s="30"/>
      <c r="T218" s="30"/>
      <c r="U218" s="30"/>
      <c r="V218" s="30"/>
      <c r="W218" s="30"/>
    </row>
    <row r="219">
      <c r="A219" s="30"/>
      <c r="B219" s="30"/>
      <c r="C219" s="30"/>
      <c r="D219" s="30"/>
      <c r="E219" s="30"/>
      <c r="F219" s="30"/>
      <c r="G219" s="30"/>
      <c r="H219" s="30"/>
      <c r="I219" s="30"/>
      <c r="J219" s="30"/>
      <c r="K219" s="30"/>
      <c r="L219" s="30"/>
      <c r="M219" s="30"/>
      <c r="N219" s="30"/>
      <c r="O219" s="31"/>
      <c r="P219" s="30"/>
      <c r="Q219" s="30"/>
      <c r="R219" s="30"/>
      <c r="S219" s="30"/>
      <c r="T219" s="30"/>
      <c r="U219" s="30"/>
      <c r="V219" s="30"/>
      <c r="W219" s="30"/>
    </row>
    <row r="220">
      <c r="A220" s="30"/>
      <c r="B220" s="30"/>
      <c r="C220" s="30"/>
      <c r="D220" s="30"/>
      <c r="E220" s="30"/>
      <c r="F220" s="30"/>
      <c r="G220" s="30"/>
      <c r="H220" s="30"/>
      <c r="I220" s="30"/>
      <c r="J220" s="30"/>
      <c r="K220" s="30"/>
      <c r="L220" s="30"/>
      <c r="M220" s="30"/>
      <c r="N220" s="30"/>
      <c r="O220" s="31"/>
      <c r="P220" s="30"/>
      <c r="Q220" s="30"/>
      <c r="R220" s="30"/>
      <c r="S220" s="30"/>
      <c r="T220" s="30"/>
      <c r="U220" s="30"/>
      <c r="V220" s="30"/>
      <c r="W220" s="30"/>
    </row>
    <row r="221">
      <c r="A221" s="30"/>
      <c r="B221" s="30"/>
      <c r="C221" s="30"/>
      <c r="D221" s="30"/>
      <c r="E221" s="30"/>
      <c r="F221" s="30"/>
      <c r="G221" s="30"/>
      <c r="H221" s="30"/>
      <c r="I221" s="30"/>
      <c r="J221" s="30"/>
      <c r="K221" s="30"/>
      <c r="L221" s="30"/>
      <c r="M221" s="30"/>
      <c r="N221" s="30"/>
      <c r="O221" s="31"/>
      <c r="P221" s="30"/>
      <c r="Q221" s="30"/>
      <c r="R221" s="30"/>
      <c r="S221" s="30"/>
      <c r="T221" s="30"/>
      <c r="U221" s="30"/>
      <c r="V221" s="30"/>
      <c r="W221" s="30"/>
    </row>
    <row r="222">
      <c r="A222" s="30"/>
      <c r="B222" s="30"/>
      <c r="C222" s="30"/>
      <c r="D222" s="30"/>
      <c r="E222" s="30"/>
      <c r="F222" s="30"/>
      <c r="G222" s="30"/>
      <c r="H222" s="30"/>
      <c r="I222" s="30"/>
      <c r="J222" s="30"/>
      <c r="K222" s="30"/>
      <c r="L222" s="30"/>
      <c r="M222" s="30"/>
      <c r="N222" s="30"/>
      <c r="O222" s="31"/>
      <c r="P222" s="30"/>
      <c r="Q222" s="30"/>
      <c r="R222" s="30"/>
      <c r="S222" s="30"/>
      <c r="T222" s="30"/>
      <c r="U222" s="30"/>
      <c r="V222" s="30"/>
      <c r="W222" s="30"/>
    </row>
    <row r="223">
      <c r="A223" s="30"/>
      <c r="B223" s="30"/>
      <c r="C223" s="30"/>
      <c r="D223" s="30"/>
      <c r="E223" s="30"/>
      <c r="F223" s="30"/>
      <c r="G223" s="30"/>
      <c r="H223" s="30"/>
      <c r="I223" s="30"/>
      <c r="J223" s="30"/>
      <c r="K223" s="30"/>
      <c r="L223" s="30"/>
      <c r="M223" s="30"/>
      <c r="N223" s="30"/>
      <c r="O223" s="31"/>
      <c r="P223" s="30"/>
      <c r="Q223" s="30"/>
      <c r="R223" s="30"/>
      <c r="S223" s="30"/>
      <c r="T223" s="30"/>
      <c r="U223" s="30"/>
      <c r="V223" s="30"/>
      <c r="W223" s="30"/>
    </row>
    <row r="224">
      <c r="A224" s="30"/>
      <c r="B224" s="30"/>
      <c r="C224" s="30"/>
      <c r="D224" s="30"/>
      <c r="E224" s="30"/>
      <c r="F224" s="30"/>
      <c r="G224" s="30"/>
      <c r="H224" s="30"/>
      <c r="I224" s="30"/>
      <c r="J224" s="30"/>
      <c r="K224" s="30"/>
      <c r="L224" s="30"/>
      <c r="M224" s="30"/>
      <c r="N224" s="30"/>
      <c r="O224" s="31"/>
      <c r="P224" s="30"/>
      <c r="Q224" s="30"/>
      <c r="R224" s="30"/>
      <c r="S224" s="30"/>
      <c r="T224" s="30"/>
      <c r="U224" s="30"/>
      <c r="V224" s="30"/>
      <c r="W224" s="30"/>
    </row>
    <row r="225">
      <c r="A225" s="30"/>
      <c r="B225" s="30"/>
      <c r="C225" s="30"/>
      <c r="D225" s="30"/>
      <c r="E225" s="30"/>
      <c r="F225" s="30"/>
      <c r="G225" s="30"/>
      <c r="H225" s="30"/>
      <c r="I225" s="30"/>
      <c r="J225" s="30"/>
      <c r="K225" s="30"/>
      <c r="L225" s="30"/>
      <c r="M225" s="30"/>
      <c r="N225" s="30"/>
      <c r="O225" s="31"/>
      <c r="P225" s="30"/>
      <c r="Q225" s="30"/>
      <c r="R225" s="30"/>
      <c r="S225" s="30"/>
      <c r="T225" s="30"/>
      <c r="U225" s="30"/>
      <c r="V225" s="30"/>
      <c r="W225" s="30"/>
    </row>
    <row r="226">
      <c r="A226" s="30"/>
      <c r="B226" s="30"/>
      <c r="C226" s="30"/>
      <c r="D226" s="30"/>
      <c r="E226" s="30"/>
      <c r="F226" s="30"/>
      <c r="G226" s="30"/>
      <c r="H226" s="30"/>
      <c r="I226" s="30"/>
      <c r="J226" s="30"/>
      <c r="K226" s="30"/>
      <c r="L226" s="30"/>
      <c r="M226" s="30"/>
      <c r="N226" s="30"/>
      <c r="O226" s="31"/>
      <c r="P226" s="30"/>
      <c r="Q226" s="30"/>
      <c r="R226" s="30"/>
      <c r="S226" s="30"/>
      <c r="T226" s="30"/>
      <c r="U226" s="30"/>
      <c r="V226" s="30"/>
      <c r="W226" s="30"/>
    </row>
    <row r="227">
      <c r="A227" s="30"/>
      <c r="B227" s="30"/>
      <c r="C227" s="30"/>
      <c r="D227" s="30"/>
      <c r="E227" s="30"/>
      <c r="F227" s="30"/>
      <c r="G227" s="30"/>
      <c r="H227" s="30"/>
      <c r="I227" s="30"/>
      <c r="J227" s="30"/>
      <c r="K227" s="30"/>
      <c r="L227" s="30"/>
      <c r="M227" s="30"/>
      <c r="N227" s="30"/>
      <c r="O227" s="31"/>
      <c r="P227" s="30"/>
      <c r="Q227" s="30"/>
      <c r="R227" s="30"/>
      <c r="S227" s="30"/>
      <c r="T227" s="30"/>
      <c r="U227" s="30"/>
      <c r="V227" s="30"/>
      <c r="W227" s="30"/>
    </row>
    <row r="228">
      <c r="A228" s="30"/>
      <c r="B228" s="30"/>
      <c r="C228" s="30"/>
      <c r="D228" s="30"/>
      <c r="E228" s="30"/>
      <c r="F228" s="30"/>
      <c r="G228" s="30"/>
      <c r="H228" s="30"/>
      <c r="I228" s="30"/>
      <c r="J228" s="30"/>
      <c r="K228" s="30"/>
      <c r="L228" s="30"/>
      <c r="M228" s="30"/>
      <c r="N228" s="30"/>
      <c r="O228" s="31"/>
      <c r="P228" s="30"/>
      <c r="Q228" s="30"/>
      <c r="R228" s="30"/>
      <c r="S228" s="30"/>
      <c r="T228" s="30"/>
      <c r="U228" s="30"/>
      <c r="V228" s="30"/>
      <c r="W228" s="30"/>
    </row>
    <row r="229">
      <c r="A229" s="30"/>
      <c r="B229" s="30"/>
      <c r="C229" s="30"/>
      <c r="D229" s="30"/>
      <c r="E229" s="30"/>
      <c r="F229" s="30"/>
      <c r="G229" s="30"/>
      <c r="H229" s="30"/>
      <c r="I229" s="30"/>
      <c r="J229" s="30"/>
      <c r="K229" s="30"/>
      <c r="L229" s="30"/>
      <c r="M229" s="30"/>
      <c r="N229" s="30"/>
      <c r="O229" s="31"/>
      <c r="P229" s="30"/>
      <c r="Q229" s="30"/>
      <c r="R229" s="30"/>
      <c r="S229" s="30"/>
      <c r="T229" s="30"/>
      <c r="U229" s="30"/>
      <c r="V229" s="30"/>
      <c r="W229" s="30"/>
    </row>
    <row r="230">
      <c r="A230" s="30"/>
      <c r="B230" s="30"/>
      <c r="C230" s="30"/>
      <c r="D230" s="30"/>
      <c r="E230" s="30"/>
      <c r="F230" s="30"/>
      <c r="G230" s="30"/>
      <c r="H230" s="30"/>
      <c r="I230" s="30"/>
      <c r="J230" s="30"/>
      <c r="K230" s="30"/>
      <c r="L230" s="30"/>
      <c r="M230" s="30"/>
      <c r="N230" s="30"/>
      <c r="O230" s="31"/>
      <c r="P230" s="30"/>
      <c r="Q230" s="30"/>
      <c r="R230" s="30"/>
      <c r="S230" s="30"/>
      <c r="T230" s="30"/>
      <c r="U230" s="30"/>
      <c r="V230" s="30"/>
      <c r="W230" s="30"/>
    </row>
    <row r="231">
      <c r="A231" s="30"/>
      <c r="B231" s="30"/>
      <c r="C231" s="30"/>
      <c r="D231" s="30"/>
      <c r="E231" s="30"/>
      <c r="F231" s="30"/>
      <c r="G231" s="30"/>
      <c r="H231" s="30"/>
      <c r="I231" s="30"/>
      <c r="J231" s="30"/>
      <c r="K231" s="30"/>
      <c r="L231" s="30"/>
      <c r="M231" s="30"/>
      <c r="N231" s="30"/>
      <c r="O231" s="31"/>
      <c r="P231" s="30"/>
      <c r="Q231" s="30"/>
      <c r="R231" s="30"/>
      <c r="S231" s="30"/>
      <c r="T231" s="30"/>
      <c r="U231" s="30"/>
      <c r="V231" s="30"/>
      <c r="W231" s="30"/>
    </row>
    <row r="232">
      <c r="A232" s="30"/>
      <c r="B232" s="30"/>
      <c r="C232" s="30"/>
      <c r="D232" s="30"/>
      <c r="E232" s="30"/>
      <c r="F232" s="30"/>
      <c r="G232" s="30"/>
      <c r="H232" s="30"/>
      <c r="I232" s="30"/>
      <c r="J232" s="30"/>
      <c r="K232" s="30"/>
      <c r="L232" s="30"/>
      <c r="M232" s="30"/>
      <c r="N232" s="30"/>
      <c r="O232" s="31"/>
      <c r="P232" s="30"/>
      <c r="Q232" s="30"/>
      <c r="R232" s="30"/>
      <c r="S232" s="30"/>
      <c r="T232" s="30"/>
      <c r="U232" s="30"/>
      <c r="V232" s="30"/>
      <c r="W232" s="30"/>
    </row>
    <row r="233">
      <c r="A233" s="30"/>
      <c r="B233" s="30"/>
      <c r="C233" s="30"/>
      <c r="D233" s="30"/>
      <c r="E233" s="30"/>
      <c r="F233" s="30"/>
      <c r="G233" s="30"/>
      <c r="H233" s="30"/>
      <c r="I233" s="30"/>
      <c r="J233" s="30"/>
      <c r="K233" s="30"/>
      <c r="L233" s="30"/>
      <c r="M233" s="30"/>
      <c r="N233" s="30"/>
      <c r="O233" s="31"/>
      <c r="P233" s="30"/>
      <c r="Q233" s="30"/>
      <c r="R233" s="30"/>
      <c r="S233" s="30"/>
      <c r="T233" s="30"/>
      <c r="U233" s="30"/>
      <c r="V233" s="30"/>
      <c r="W233" s="30"/>
    </row>
    <row r="234">
      <c r="A234" s="30"/>
      <c r="B234" s="30"/>
      <c r="C234" s="30"/>
      <c r="D234" s="30"/>
      <c r="E234" s="30"/>
      <c r="F234" s="30"/>
      <c r="G234" s="30"/>
      <c r="H234" s="30"/>
      <c r="I234" s="30"/>
      <c r="J234" s="30"/>
      <c r="K234" s="30"/>
      <c r="L234" s="30"/>
      <c r="M234" s="30"/>
      <c r="N234" s="30"/>
      <c r="O234" s="31"/>
      <c r="P234" s="30"/>
      <c r="Q234" s="30"/>
      <c r="R234" s="30"/>
      <c r="S234" s="30"/>
      <c r="T234" s="30"/>
      <c r="U234" s="30"/>
      <c r="V234" s="30"/>
      <c r="W234" s="30"/>
    </row>
    <row r="235">
      <c r="A235" s="30"/>
      <c r="B235" s="30"/>
      <c r="C235" s="30"/>
      <c r="D235" s="30"/>
      <c r="E235" s="30"/>
      <c r="F235" s="30"/>
      <c r="G235" s="30"/>
      <c r="H235" s="30"/>
      <c r="I235" s="30"/>
      <c r="J235" s="30"/>
      <c r="K235" s="30"/>
      <c r="L235" s="30"/>
      <c r="M235" s="30"/>
      <c r="N235" s="30"/>
      <c r="O235" s="31"/>
      <c r="P235" s="30"/>
      <c r="Q235" s="30"/>
      <c r="R235" s="30"/>
      <c r="S235" s="30"/>
      <c r="T235" s="30"/>
      <c r="U235" s="30"/>
      <c r="V235" s="30"/>
      <c r="W235" s="30"/>
    </row>
    <row r="236">
      <c r="A236" s="30"/>
      <c r="B236" s="30"/>
      <c r="C236" s="30"/>
      <c r="D236" s="30"/>
      <c r="E236" s="30"/>
      <c r="F236" s="30"/>
      <c r="G236" s="30"/>
      <c r="H236" s="30"/>
      <c r="I236" s="30"/>
      <c r="J236" s="30"/>
      <c r="K236" s="30"/>
      <c r="L236" s="30"/>
      <c r="M236" s="30"/>
      <c r="N236" s="30"/>
      <c r="O236" s="31"/>
      <c r="P236" s="30"/>
      <c r="Q236" s="30"/>
      <c r="R236" s="30"/>
      <c r="S236" s="30"/>
      <c r="T236" s="30"/>
      <c r="U236" s="30"/>
      <c r="V236" s="30"/>
      <c r="W236" s="30"/>
    </row>
    <row r="237">
      <c r="A237" s="30"/>
      <c r="B237" s="30"/>
      <c r="C237" s="30"/>
      <c r="D237" s="30"/>
      <c r="E237" s="30"/>
      <c r="F237" s="30"/>
      <c r="G237" s="30"/>
      <c r="H237" s="30"/>
      <c r="I237" s="30"/>
      <c r="J237" s="30"/>
      <c r="K237" s="30"/>
      <c r="L237" s="30"/>
      <c r="M237" s="30"/>
      <c r="N237" s="30"/>
      <c r="O237" s="31"/>
      <c r="P237" s="30"/>
      <c r="Q237" s="30"/>
      <c r="R237" s="30"/>
      <c r="S237" s="30"/>
      <c r="T237" s="30"/>
      <c r="U237" s="30"/>
      <c r="V237" s="30"/>
      <c r="W237" s="30"/>
    </row>
    <row r="238">
      <c r="A238" s="30"/>
      <c r="B238" s="30"/>
      <c r="C238" s="30"/>
      <c r="D238" s="30"/>
      <c r="E238" s="30"/>
      <c r="F238" s="30"/>
      <c r="G238" s="30"/>
      <c r="H238" s="30"/>
      <c r="I238" s="30"/>
      <c r="J238" s="30"/>
      <c r="K238" s="30"/>
      <c r="L238" s="30"/>
      <c r="M238" s="30"/>
      <c r="N238" s="30"/>
      <c r="O238" s="31"/>
      <c r="P238" s="30"/>
      <c r="Q238" s="30"/>
      <c r="R238" s="30"/>
      <c r="S238" s="30"/>
      <c r="T238" s="30"/>
      <c r="U238" s="30"/>
      <c r="V238" s="30"/>
      <c r="W238" s="30"/>
    </row>
    <row r="239">
      <c r="A239" s="30"/>
      <c r="B239" s="30"/>
      <c r="C239" s="30"/>
      <c r="D239" s="30"/>
      <c r="E239" s="30"/>
      <c r="F239" s="30"/>
      <c r="G239" s="30"/>
      <c r="H239" s="30"/>
      <c r="I239" s="30"/>
      <c r="J239" s="30"/>
      <c r="K239" s="30"/>
      <c r="L239" s="30"/>
      <c r="M239" s="30"/>
      <c r="N239" s="30"/>
      <c r="O239" s="31"/>
      <c r="P239" s="30"/>
      <c r="Q239" s="30"/>
      <c r="R239" s="30"/>
      <c r="S239" s="30"/>
      <c r="T239" s="30"/>
      <c r="U239" s="30"/>
      <c r="V239" s="30"/>
      <c r="W239" s="30"/>
    </row>
    <row r="240">
      <c r="A240" s="30"/>
      <c r="B240" s="30"/>
      <c r="C240" s="30"/>
      <c r="D240" s="30"/>
      <c r="E240" s="30"/>
      <c r="F240" s="30"/>
      <c r="G240" s="30"/>
      <c r="H240" s="30"/>
      <c r="I240" s="30"/>
      <c r="J240" s="30"/>
      <c r="K240" s="30"/>
      <c r="L240" s="30"/>
      <c r="M240" s="30"/>
      <c r="N240" s="30"/>
      <c r="O240" s="31"/>
      <c r="P240" s="30"/>
      <c r="Q240" s="30"/>
      <c r="R240" s="30"/>
      <c r="S240" s="30"/>
      <c r="T240" s="30"/>
      <c r="U240" s="30"/>
      <c r="V240" s="30"/>
      <c r="W240" s="30"/>
    </row>
    <row r="241">
      <c r="A241" s="30"/>
      <c r="B241" s="30"/>
      <c r="C241" s="30"/>
      <c r="D241" s="30"/>
      <c r="E241" s="30"/>
      <c r="F241" s="30"/>
      <c r="G241" s="30"/>
      <c r="H241" s="30"/>
      <c r="I241" s="30"/>
      <c r="J241" s="30"/>
      <c r="K241" s="30"/>
      <c r="L241" s="30"/>
      <c r="M241" s="30"/>
      <c r="N241" s="30"/>
      <c r="O241" s="31"/>
      <c r="P241" s="30"/>
      <c r="Q241" s="30"/>
      <c r="R241" s="30"/>
      <c r="S241" s="30"/>
      <c r="T241" s="30"/>
      <c r="U241" s="30"/>
      <c r="V241" s="30"/>
      <c r="W241" s="30"/>
    </row>
    <row r="242">
      <c r="A242" s="30"/>
      <c r="B242" s="30"/>
      <c r="C242" s="30"/>
      <c r="D242" s="30"/>
      <c r="E242" s="30"/>
      <c r="F242" s="30"/>
      <c r="G242" s="30"/>
      <c r="H242" s="30"/>
      <c r="I242" s="30"/>
      <c r="J242" s="30"/>
      <c r="K242" s="30"/>
      <c r="L242" s="30"/>
      <c r="M242" s="30"/>
      <c r="N242" s="30"/>
      <c r="O242" s="31"/>
      <c r="P242" s="30"/>
      <c r="Q242" s="30"/>
      <c r="R242" s="30"/>
      <c r="S242" s="30"/>
      <c r="T242" s="30"/>
      <c r="U242" s="30"/>
      <c r="V242" s="30"/>
      <c r="W242" s="30"/>
    </row>
    <row r="243">
      <c r="A243" s="30"/>
      <c r="B243" s="30"/>
      <c r="C243" s="30"/>
      <c r="D243" s="30"/>
      <c r="E243" s="30"/>
      <c r="F243" s="30"/>
      <c r="G243" s="30"/>
      <c r="H243" s="30"/>
      <c r="I243" s="30"/>
      <c r="J243" s="30"/>
      <c r="K243" s="30"/>
      <c r="L243" s="30"/>
      <c r="M243" s="30"/>
      <c r="N243" s="30"/>
      <c r="O243" s="31"/>
      <c r="P243" s="30"/>
      <c r="Q243" s="30"/>
      <c r="R243" s="30"/>
      <c r="S243" s="30"/>
      <c r="T243" s="30"/>
      <c r="U243" s="30"/>
      <c r="V243" s="30"/>
      <c r="W243" s="30"/>
    </row>
    <row r="244">
      <c r="A244" s="30"/>
      <c r="B244" s="30"/>
      <c r="C244" s="30"/>
      <c r="D244" s="30"/>
      <c r="E244" s="30"/>
      <c r="F244" s="30"/>
      <c r="G244" s="30"/>
      <c r="H244" s="30"/>
      <c r="I244" s="30"/>
      <c r="J244" s="30"/>
      <c r="K244" s="30"/>
      <c r="L244" s="30"/>
      <c r="M244" s="30"/>
      <c r="N244" s="30"/>
      <c r="O244" s="31"/>
      <c r="P244" s="30"/>
      <c r="Q244" s="30"/>
      <c r="R244" s="30"/>
      <c r="S244" s="30"/>
      <c r="T244" s="30"/>
      <c r="U244" s="30"/>
      <c r="V244" s="30"/>
      <c r="W244" s="30"/>
    </row>
    <row r="245">
      <c r="A245" s="30"/>
      <c r="B245" s="30"/>
      <c r="C245" s="30"/>
      <c r="D245" s="30"/>
      <c r="E245" s="30"/>
      <c r="F245" s="30"/>
      <c r="G245" s="30"/>
      <c r="H245" s="30"/>
      <c r="I245" s="30"/>
      <c r="J245" s="30"/>
      <c r="K245" s="30"/>
      <c r="L245" s="30"/>
      <c r="M245" s="30"/>
      <c r="N245" s="30"/>
      <c r="O245" s="31"/>
      <c r="P245" s="30"/>
      <c r="Q245" s="30"/>
      <c r="R245" s="30"/>
      <c r="S245" s="30"/>
      <c r="T245" s="30"/>
      <c r="U245" s="30"/>
      <c r="V245" s="30"/>
      <c r="W245" s="30"/>
    </row>
    <row r="246">
      <c r="A246" s="30"/>
      <c r="B246" s="30"/>
      <c r="C246" s="30"/>
      <c r="D246" s="30"/>
      <c r="E246" s="30"/>
      <c r="F246" s="30"/>
      <c r="G246" s="30"/>
      <c r="H246" s="30"/>
      <c r="I246" s="30"/>
      <c r="J246" s="30"/>
      <c r="K246" s="30"/>
      <c r="L246" s="30"/>
      <c r="M246" s="30"/>
      <c r="N246" s="30"/>
      <c r="O246" s="31"/>
      <c r="P246" s="30"/>
      <c r="Q246" s="30"/>
      <c r="R246" s="30"/>
      <c r="S246" s="30"/>
      <c r="T246" s="30"/>
      <c r="U246" s="30"/>
      <c r="V246" s="30"/>
      <c r="W246" s="30"/>
    </row>
    <row r="247">
      <c r="A247" s="30"/>
      <c r="B247" s="30"/>
      <c r="C247" s="30"/>
      <c r="D247" s="30"/>
      <c r="E247" s="30"/>
      <c r="F247" s="30"/>
      <c r="G247" s="30"/>
      <c r="H247" s="30"/>
      <c r="I247" s="30"/>
      <c r="J247" s="30"/>
      <c r="K247" s="30"/>
      <c r="L247" s="30"/>
      <c r="M247" s="30"/>
      <c r="N247" s="30"/>
      <c r="O247" s="31"/>
      <c r="P247" s="30"/>
      <c r="Q247" s="30"/>
      <c r="R247" s="30"/>
      <c r="S247" s="30"/>
      <c r="T247" s="30"/>
      <c r="U247" s="30"/>
      <c r="V247" s="30"/>
      <c r="W247" s="30"/>
    </row>
    <row r="248">
      <c r="A248" s="30"/>
      <c r="B248" s="30"/>
      <c r="C248" s="30"/>
      <c r="D248" s="30"/>
      <c r="E248" s="30"/>
      <c r="F248" s="30"/>
      <c r="G248" s="30"/>
      <c r="H248" s="30"/>
      <c r="I248" s="30"/>
      <c r="J248" s="30"/>
      <c r="K248" s="30"/>
      <c r="L248" s="30"/>
      <c r="M248" s="30"/>
      <c r="N248" s="30"/>
      <c r="O248" s="31"/>
      <c r="P248" s="30"/>
      <c r="Q248" s="30"/>
      <c r="R248" s="30"/>
      <c r="S248" s="30"/>
      <c r="T248" s="30"/>
      <c r="U248" s="30"/>
      <c r="V248" s="30"/>
      <c r="W248" s="30"/>
    </row>
    <row r="249">
      <c r="A249" s="30"/>
      <c r="B249" s="30"/>
      <c r="C249" s="30"/>
      <c r="D249" s="30"/>
      <c r="E249" s="30"/>
      <c r="F249" s="30"/>
      <c r="G249" s="30"/>
      <c r="H249" s="30"/>
      <c r="I249" s="30"/>
      <c r="J249" s="30"/>
      <c r="K249" s="30"/>
      <c r="L249" s="30"/>
      <c r="M249" s="30"/>
      <c r="N249" s="30"/>
      <c r="O249" s="31"/>
      <c r="P249" s="30"/>
      <c r="Q249" s="30"/>
      <c r="R249" s="30"/>
      <c r="S249" s="30"/>
      <c r="T249" s="30"/>
      <c r="U249" s="30"/>
      <c r="V249" s="30"/>
      <c r="W249" s="30"/>
    </row>
    <row r="250">
      <c r="A250" s="30"/>
      <c r="B250" s="30"/>
      <c r="C250" s="30"/>
      <c r="D250" s="30"/>
      <c r="E250" s="30"/>
      <c r="F250" s="30"/>
      <c r="G250" s="30"/>
      <c r="H250" s="30"/>
      <c r="I250" s="30"/>
      <c r="J250" s="30"/>
      <c r="K250" s="30"/>
      <c r="L250" s="30"/>
      <c r="M250" s="30"/>
      <c r="N250" s="30"/>
      <c r="O250" s="31"/>
      <c r="P250" s="30"/>
      <c r="Q250" s="30"/>
      <c r="R250" s="30"/>
      <c r="S250" s="30"/>
      <c r="T250" s="30"/>
      <c r="U250" s="30"/>
      <c r="V250" s="30"/>
      <c r="W250" s="30"/>
    </row>
    <row r="251">
      <c r="A251" s="30"/>
      <c r="B251" s="30"/>
      <c r="C251" s="30"/>
      <c r="D251" s="30"/>
      <c r="E251" s="30"/>
      <c r="F251" s="30"/>
      <c r="G251" s="30"/>
      <c r="H251" s="30"/>
      <c r="I251" s="30"/>
      <c r="J251" s="30"/>
      <c r="K251" s="30"/>
      <c r="L251" s="30"/>
      <c r="M251" s="30"/>
      <c r="N251" s="30"/>
      <c r="O251" s="31"/>
      <c r="P251" s="30"/>
      <c r="Q251" s="30"/>
      <c r="R251" s="30"/>
      <c r="S251" s="30"/>
      <c r="T251" s="30"/>
      <c r="U251" s="30"/>
      <c r="V251" s="30"/>
      <c r="W251" s="30"/>
    </row>
    <row r="252">
      <c r="A252" s="30"/>
      <c r="B252" s="30"/>
      <c r="C252" s="30"/>
      <c r="D252" s="30"/>
      <c r="E252" s="30"/>
      <c r="F252" s="30"/>
      <c r="G252" s="30"/>
      <c r="H252" s="30"/>
      <c r="I252" s="30"/>
      <c r="J252" s="30"/>
      <c r="K252" s="30"/>
      <c r="L252" s="30"/>
      <c r="M252" s="30"/>
      <c r="N252" s="30"/>
      <c r="O252" s="31"/>
      <c r="P252" s="30"/>
      <c r="Q252" s="30"/>
      <c r="R252" s="30"/>
      <c r="S252" s="30"/>
      <c r="T252" s="30"/>
      <c r="U252" s="30"/>
      <c r="V252" s="30"/>
      <c r="W252" s="30"/>
    </row>
    <row r="253">
      <c r="A253" s="30"/>
      <c r="B253" s="30"/>
      <c r="C253" s="30"/>
      <c r="D253" s="30"/>
      <c r="E253" s="30"/>
      <c r="F253" s="30"/>
      <c r="G253" s="30"/>
      <c r="H253" s="30"/>
      <c r="I253" s="30"/>
      <c r="J253" s="30"/>
      <c r="K253" s="30"/>
      <c r="L253" s="30"/>
      <c r="M253" s="30"/>
      <c r="N253" s="30"/>
      <c r="O253" s="31"/>
      <c r="P253" s="30"/>
      <c r="Q253" s="30"/>
      <c r="R253" s="30"/>
      <c r="S253" s="30"/>
      <c r="T253" s="30"/>
      <c r="U253" s="30"/>
      <c r="V253" s="30"/>
      <c r="W253" s="30"/>
    </row>
    <row r="254">
      <c r="A254" s="30"/>
      <c r="B254" s="30"/>
      <c r="C254" s="30"/>
      <c r="D254" s="30"/>
      <c r="E254" s="30"/>
      <c r="F254" s="30"/>
      <c r="G254" s="30"/>
      <c r="H254" s="30"/>
      <c r="I254" s="30"/>
      <c r="J254" s="30"/>
      <c r="K254" s="30"/>
      <c r="L254" s="30"/>
      <c r="M254" s="30"/>
      <c r="N254" s="30"/>
      <c r="O254" s="31"/>
      <c r="P254" s="30"/>
      <c r="Q254" s="30"/>
      <c r="R254" s="30"/>
      <c r="S254" s="30"/>
      <c r="T254" s="30"/>
      <c r="U254" s="30"/>
      <c r="V254" s="30"/>
      <c r="W254" s="30"/>
    </row>
    <row r="255">
      <c r="A255" s="30"/>
      <c r="B255" s="30"/>
      <c r="C255" s="30"/>
      <c r="D255" s="30"/>
      <c r="E255" s="30"/>
      <c r="F255" s="30"/>
      <c r="G255" s="30"/>
      <c r="H255" s="30"/>
      <c r="I255" s="30"/>
      <c r="J255" s="30"/>
      <c r="K255" s="30"/>
      <c r="L255" s="30"/>
      <c r="M255" s="30"/>
      <c r="N255" s="30"/>
      <c r="O255" s="31"/>
      <c r="P255" s="30"/>
      <c r="Q255" s="30"/>
      <c r="R255" s="30"/>
      <c r="S255" s="30"/>
      <c r="T255" s="30"/>
      <c r="U255" s="30"/>
      <c r="V255" s="30"/>
      <c r="W255" s="30"/>
    </row>
    <row r="256">
      <c r="A256" s="30"/>
      <c r="B256" s="30"/>
      <c r="C256" s="30"/>
      <c r="D256" s="30"/>
      <c r="E256" s="30"/>
      <c r="F256" s="30"/>
      <c r="G256" s="30"/>
      <c r="H256" s="30"/>
      <c r="I256" s="30"/>
      <c r="J256" s="30"/>
      <c r="K256" s="30"/>
      <c r="L256" s="30"/>
      <c r="M256" s="30"/>
      <c r="N256" s="30"/>
      <c r="O256" s="31"/>
      <c r="P256" s="30"/>
      <c r="Q256" s="30"/>
      <c r="R256" s="30"/>
      <c r="S256" s="30"/>
      <c r="T256" s="30"/>
      <c r="U256" s="30"/>
      <c r="V256" s="30"/>
      <c r="W256" s="30"/>
    </row>
    <row r="257">
      <c r="A257" s="30"/>
      <c r="B257" s="30"/>
      <c r="C257" s="30"/>
      <c r="D257" s="30"/>
      <c r="E257" s="30"/>
      <c r="F257" s="30"/>
      <c r="G257" s="30"/>
      <c r="H257" s="30"/>
      <c r="I257" s="30"/>
      <c r="J257" s="30"/>
      <c r="K257" s="30"/>
      <c r="L257" s="30"/>
      <c r="M257" s="30"/>
      <c r="N257" s="30"/>
      <c r="O257" s="31"/>
      <c r="P257" s="30"/>
      <c r="Q257" s="30"/>
      <c r="R257" s="30"/>
      <c r="S257" s="30"/>
      <c r="T257" s="30"/>
      <c r="U257" s="30"/>
      <c r="V257" s="30"/>
      <c r="W257" s="30"/>
    </row>
    <row r="258">
      <c r="A258" s="30"/>
      <c r="B258" s="30"/>
      <c r="C258" s="30"/>
      <c r="D258" s="30"/>
      <c r="E258" s="30"/>
      <c r="F258" s="30"/>
      <c r="G258" s="30"/>
      <c r="H258" s="30"/>
      <c r="I258" s="30"/>
      <c r="J258" s="30"/>
      <c r="K258" s="30"/>
      <c r="L258" s="30"/>
      <c r="M258" s="30"/>
      <c r="N258" s="30"/>
      <c r="O258" s="31"/>
      <c r="P258" s="30"/>
      <c r="Q258" s="30"/>
      <c r="R258" s="30"/>
      <c r="S258" s="30"/>
      <c r="T258" s="30"/>
      <c r="U258" s="30"/>
      <c r="V258" s="30"/>
      <c r="W258" s="30"/>
    </row>
    <row r="259">
      <c r="A259" s="30"/>
      <c r="B259" s="30"/>
      <c r="C259" s="30"/>
      <c r="D259" s="30"/>
      <c r="E259" s="30"/>
      <c r="F259" s="30"/>
      <c r="G259" s="30"/>
      <c r="H259" s="30"/>
      <c r="I259" s="30"/>
      <c r="J259" s="30"/>
      <c r="K259" s="30"/>
      <c r="L259" s="30"/>
      <c r="M259" s="30"/>
      <c r="N259" s="30"/>
      <c r="O259" s="31"/>
      <c r="P259" s="30"/>
      <c r="Q259" s="30"/>
      <c r="R259" s="30"/>
      <c r="S259" s="30"/>
      <c r="T259" s="30"/>
      <c r="U259" s="30"/>
      <c r="V259" s="30"/>
      <c r="W259" s="30"/>
    </row>
    <row r="260">
      <c r="A260" s="30"/>
      <c r="B260" s="30"/>
      <c r="C260" s="30"/>
      <c r="D260" s="30"/>
      <c r="E260" s="30"/>
      <c r="F260" s="30"/>
      <c r="G260" s="30"/>
      <c r="H260" s="30"/>
      <c r="I260" s="30"/>
      <c r="J260" s="30"/>
      <c r="K260" s="30"/>
      <c r="L260" s="30"/>
      <c r="M260" s="30"/>
      <c r="N260" s="30"/>
      <c r="O260" s="31"/>
      <c r="P260" s="30"/>
      <c r="Q260" s="30"/>
      <c r="R260" s="30"/>
      <c r="S260" s="30"/>
      <c r="T260" s="30"/>
      <c r="U260" s="30"/>
      <c r="V260" s="30"/>
      <c r="W260" s="30"/>
    </row>
    <row r="261">
      <c r="A261" s="30"/>
      <c r="B261" s="30"/>
      <c r="C261" s="30"/>
      <c r="D261" s="30"/>
      <c r="E261" s="30"/>
      <c r="F261" s="30"/>
      <c r="G261" s="30"/>
      <c r="H261" s="30"/>
      <c r="I261" s="30"/>
      <c r="J261" s="30"/>
      <c r="K261" s="30"/>
      <c r="L261" s="30"/>
      <c r="M261" s="30"/>
      <c r="N261" s="30"/>
      <c r="O261" s="31"/>
      <c r="P261" s="30"/>
      <c r="Q261" s="30"/>
      <c r="R261" s="30"/>
      <c r="S261" s="30"/>
      <c r="T261" s="30"/>
      <c r="U261" s="30"/>
      <c r="V261" s="30"/>
      <c r="W261" s="30"/>
    </row>
    <row r="262">
      <c r="A262" s="30"/>
      <c r="B262" s="30"/>
      <c r="C262" s="30"/>
      <c r="D262" s="30"/>
      <c r="E262" s="30"/>
      <c r="F262" s="30"/>
      <c r="G262" s="30"/>
      <c r="H262" s="30"/>
      <c r="I262" s="30"/>
      <c r="J262" s="30"/>
      <c r="K262" s="30"/>
      <c r="L262" s="30"/>
      <c r="M262" s="30"/>
      <c r="N262" s="30"/>
      <c r="O262" s="31"/>
      <c r="P262" s="30"/>
      <c r="Q262" s="30"/>
      <c r="R262" s="30"/>
      <c r="S262" s="30"/>
      <c r="T262" s="30"/>
      <c r="U262" s="30"/>
      <c r="V262" s="30"/>
      <c r="W262" s="30"/>
    </row>
    <row r="263">
      <c r="A263" s="30"/>
      <c r="B263" s="30"/>
      <c r="C263" s="30"/>
      <c r="D263" s="30"/>
      <c r="E263" s="30"/>
      <c r="F263" s="30"/>
      <c r="G263" s="30"/>
      <c r="H263" s="30"/>
      <c r="I263" s="30"/>
      <c r="J263" s="30"/>
      <c r="K263" s="30"/>
      <c r="L263" s="30"/>
      <c r="M263" s="30"/>
      <c r="N263" s="30"/>
      <c r="O263" s="31"/>
      <c r="P263" s="30"/>
      <c r="Q263" s="30"/>
      <c r="R263" s="30"/>
      <c r="S263" s="30"/>
      <c r="T263" s="30"/>
      <c r="U263" s="30"/>
      <c r="V263" s="30"/>
      <c r="W263" s="30"/>
    </row>
    <row r="264">
      <c r="A264" s="30"/>
      <c r="B264" s="30"/>
      <c r="C264" s="30"/>
      <c r="D264" s="30"/>
      <c r="E264" s="30"/>
      <c r="F264" s="30"/>
      <c r="G264" s="30"/>
      <c r="H264" s="30"/>
      <c r="I264" s="30"/>
      <c r="J264" s="30"/>
      <c r="K264" s="30"/>
      <c r="L264" s="30"/>
      <c r="M264" s="30"/>
      <c r="N264" s="30"/>
      <c r="O264" s="31"/>
      <c r="P264" s="30"/>
      <c r="Q264" s="30"/>
      <c r="R264" s="30"/>
      <c r="S264" s="30"/>
      <c r="T264" s="30"/>
      <c r="U264" s="30"/>
      <c r="V264" s="30"/>
      <c r="W264" s="30"/>
    </row>
    <row r="265">
      <c r="A265" s="30"/>
      <c r="B265" s="30"/>
      <c r="C265" s="30"/>
      <c r="D265" s="30"/>
      <c r="E265" s="30"/>
      <c r="F265" s="30"/>
      <c r="G265" s="30"/>
      <c r="H265" s="30"/>
      <c r="I265" s="30"/>
      <c r="J265" s="30"/>
      <c r="K265" s="30"/>
      <c r="L265" s="30"/>
      <c r="M265" s="30"/>
      <c r="N265" s="30"/>
      <c r="O265" s="31"/>
      <c r="P265" s="30"/>
      <c r="Q265" s="30"/>
      <c r="R265" s="30"/>
      <c r="S265" s="30"/>
      <c r="T265" s="30"/>
      <c r="U265" s="30"/>
      <c r="V265" s="30"/>
      <c r="W265" s="30"/>
    </row>
    <row r="266">
      <c r="A266" s="30"/>
      <c r="B266" s="30"/>
      <c r="C266" s="30"/>
      <c r="D266" s="30"/>
      <c r="E266" s="30"/>
      <c r="F266" s="30"/>
      <c r="G266" s="30"/>
      <c r="H266" s="30"/>
      <c r="I266" s="30"/>
      <c r="J266" s="30"/>
      <c r="K266" s="30"/>
      <c r="L266" s="30"/>
      <c r="M266" s="30"/>
      <c r="N266" s="30"/>
      <c r="O266" s="31"/>
      <c r="P266" s="30"/>
      <c r="Q266" s="30"/>
      <c r="R266" s="30"/>
      <c r="S266" s="30"/>
      <c r="T266" s="30"/>
      <c r="U266" s="30"/>
      <c r="V266" s="30"/>
      <c r="W266" s="30"/>
    </row>
    <row r="267">
      <c r="A267" s="30"/>
      <c r="B267" s="30"/>
      <c r="C267" s="30"/>
      <c r="D267" s="30"/>
      <c r="E267" s="30"/>
      <c r="F267" s="30"/>
      <c r="G267" s="30"/>
      <c r="H267" s="30"/>
      <c r="I267" s="30"/>
      <c r="J267" s="30"/>
      <c r="K267" s="30"/>
      <c r="L267" s="30"/>
      <c r="M267" s="30"/>
      <c r="N267" s="30"/>
      <c r="O267" s="31"/>
      <c r="P267" s="30"/>
      <c r="Q267" s="30"/>
      <c r="R267" s="30"/>
      <c r="S267" s="30"/>
      <c r="T267" s="30"/>
      <c r="U267" s="30"/>
      <c r="V267" s="30"/>
      <c r="W267" s="30"/>
    </row>
    <row r="268">
      <c r="A268" s="30"/>
      <c r="B268" s="30"/>
      <c r="C268" s="30"/>
      <c r="D268" s="30"/>
      <c r="E268" s="30"/>
      <c r="F268" s="30"/>
      <c r="G268" s="30"/>
      <c r="H268" s="30"/>
      <c r="I268" s="30"/>
      <c r="J268" s="30"/>
      <c r="K268" s="30"/>
      <c r="L268" s="30"/>
      <c r="M268" s="30"/>
      <c r="N268" s="30"/>
      <c r="O268" s="31"/>
      <c r="P268" s="30"/>
      <c r="Q268" s="30"/>
      <c r="R268" s="30"/>
      <c r="S268" s="30"/>
      <c r="T268" s="30"/>
      <c r="U268" s="30"/>
      <c r="V268" s="30"/>
      <c r="W268" s="30"/>
    </row>
    <row r="269">
      <c r="A269" s="30"/>
      <c r="B269" s="30"/>
      <c r="C269" s="30"/>
      <c r="D269" s="30"/>
      <c r="E269" s="30"/>
      <c r="F269" s="30"/>
      <c r="G269" s="30"/>
      <c r="H269" s="30"/>
      <c r="I269" s="30"/>
      <c r="J269" s="30"/>
      <c r="K269" s="30"/>
      <c r="L269" s="30"/>
      <c r="M269" s="30"/>
      <c r="N269" s="30"/>
      <c r="O269" s="31"/>
      <c r="P269" s="30"/>
      <c r="Q269" s="30"/>
      <c r="R269" s="30"/>
      <c r="S269" s="30"/>
      <c r="T269" s="30"/>
      <c r="U269" s="30"/>
      <c r="V269" s="30"/>
      <c r="W269" s="30"/>
    </row>
    <row r="270">
      <c r="A270" s="30"/>
      <c r="B270" s="30"/>
      <c r="C270" s="30"/>
      <c r="D270" s="30"/>
      <c r="E270" s="30"/>
      <c r="F270" s="30"/>
      <c r="G270" s="30"/>
      <c r="H270" s="30"/>
      <c r="I270" s="30"/>
      <c r="J270" s="30"/>
      <c r="K270" s="30"/>
      <c r="L270" s="30"/>
      <c r="M270" s="30"/>
      <c r="N270" s="30"/>
      <c r="O270" s="31"/>
      <c r="P270" s="30"/>
      <c r="Q270" s="30"/>
      <c r="R270" s="30"/>
      <c r="S270" s="30"/>
      <c r="T270" s="30"/>
      <c r="U270" s="30"/>
      <c r="V270" s="30"/>
      <c r="W270" s="30"/>
    </row>
    <row r="271">
      <c r="A271" s="30"/>
      <c r="B271" s="30"/>
      <c r="C271" s="30"/>
      <c r="D271" s="30"/>
      <c r="E271" s="30"/>
      <c r="F271" s="30"/>
      <c r="G271" s="30"/>
      <c r="H271" s="30"/>
      <c r="I271" s="30"/>
      <c r="J271" s="30"/>
      <c r="K271" s="30"/>
      <c r="L271" s="30"/>
      <c r="M271" s="30"/>
      <c r="N271" s="30"/>
      <c r="O271" s="31"/>
      <c r="P271" s="30"/>
      <c r="Q271" s="30"/>
      <c r="R271" s="30"/>
      <c r="S271" s="30"/>
      <c r="T271" s="30"/>
      <c r="U271" s="30"/>
      <c r="V271" s="30"/>
      <c r="W271" s="30"/>
    </row>
    <row r="272">
      <c r="A272" s="30"/>
      <c r="B272" s="30"/>
      <c r="C272" s="30"/>
      <c r="D272" s="30"/>
      <c r="E272" s="30"/>
      <c r="F272" s="30"/>
      <c r="G272" s="30"/>
      <c r="H272" s="30"/>
      <c r="I272" s="30"/>
      <c r="J272" s="30"/>
      <c r="K272" s="30"/>
      <c r="L272" s="30"/>
      <c r="M272" s="30"/>
      <c r="N272" s="30"/>
      <c r="O272" s="31"/>
      <c r="P272" s="30"/>
      <c r="Q272" s="30"/>
      <c r="R272" s="30"/>
      <c r="S272" s="30"/>
      <c r="T272" s="30"/>
      <c r="U272" s="30"/>
      <c r="V272" s="30"/>
      <c r="W272" s="30"/>
    </row>
    <row r="273">
      <c r="A273" s="30"/>
      <c r="B273" s="30"/>
      <c r="C273" s="30"/>
      <c r="D273" s="30"/>
      <c r="E273" s="30"/>
      <c r="F273" s="30"/>
      <c r="G273" s="30"/>
      <c r="H273" s="30"/>
      <c r="I273" s="30"/>
      <c r="J273" s="30"/>
      <c r="K273" s="30"/>
      <c r="L273" s="30"/>
      <c r="M273" s="30"/>
      <c r="N273" s="30"/>
      <c r="O273" s="31"/>
      <c r="P273" s="30"/>
      <c r="Q273" s="30"/>
      <c r="R273" s="30"/>
      <c r="S273" s="30"/>
      <c r="T273" s="30"/>
      <c r="U273" s="30"/>
      <c r="V273" s="30"/>
      <c r="W273" s="30"/>
    </row>
    <row r="274">
      <c r="A274" s="30"/>
      <c r="B274" s="30"/>
      <c r="C274" s="30"/>
      <c r="D274" s="30"/>
      <c r="E274" s="30"/>
      <c r="F274" s="30"/>
      <c r="G274" s="30"/>
      <c r="H274" s="30"/>
      <c r="I274" s="30"/>
      <c r="J274" s="30"/>
      <c r="K274" s="30"/>
      <c r="L274" s="30"/>
      <c r="M274" s="30"/>
      <c r="N274" s="30"/>
      <c r="O274" s="31"/>
      <c r="P274" s="30"/>
      <c r="Q274" s="30"/>
      <c r="R274" s="30"/>
      <c r="S274" s="30"/>
      <c r="T274" s="30"/>
      <c r="U274" s="30"/>
      <c r="V274" s="30"/>
      <c r="W274" s="30"/>
    </row>
    <row r="275">
      <c r="A275" s="30"/>
      <c r="B275" s="30"/>
      <c r="C275" s="30"/>
      <c r="D275" s="30"/>
      <c r="E275" s="30"/>
      <c r="F275" s="30"/>
      <c r="G275" s="30"/>
      <c r="H275" s="30"/>
      <c r="I275" s="30"/>
      <c r="J275" s="30"/>
      <c r="K275" s="30"/>
      <c r="L275" s="30"/>
      <c r="M275" s="30"/>
      <c r="N275" s="30"/>
      <c r="O275" s="31"/>
      <c r="P275" s="30"/>
      <c r="Q275" s="30"/>
      <c r="R275" s="30"/>
      <c r="S275" s="30"/>
      <c r="T275" s="30"/>
      <c r="U275" s="30"/>
      <c r="V275" s="30"/>
      <c r="W275" s="30"/>
    </row>
    <row r="276">
      <c r="A276" s="30"/>
      <c r="B276" s="30"/>
      <c r="C276" s="30"/>
      <c r="D276" s="30"/>
      <c r="E276" s="30"/>
      <c r="F276" s="30"/>
      <c r="G276" s="30"/>
      <c r="H276" s="30"/>
      <c r="I276" s="30"/>
      <c r="J276" s="30"/>
      <c r="K276" s="30"/>
      <c r="L276" s="30"/>
      <c r="M276" s="30"/>
      <c r="N276" s="30"/>
      <c r="O276" s="31"/>
      <c r="P276" s="30"/>
      <c r="Q276" s="30"/>
      <c r="R276" s="30"/>
      <c r="S276" s="30"/>
      <c r="T276" s="30"/>
      <c r="U276" s="30"/>
      <c r="V276" s="30"/>
      <c r="W276" s="30"/>
    </row>
    <row r="277">
      <c r="A277" s="30"/>
      <c r="B277" s="30"/>
      <c r="C277" s="30"/>
      <c r="D277" s="30"/>
      <c r="E277" s="30"/>
      <c r="F277" s="30"/>
      <c r="G277" s="30"/>
      <c r="H277" s="30"/>
      <c r="I277" s="30"/>
      <c r="J277" s="30"/>
      <c r="K277" s="30"/>
      <c r="L277" s="30"/>
      <c r="M277" s="30"/>
      <c r="N277" s="30"/>
      <c r="O277" s="31"/>
      <c r="P277" s="30"/>
      <c r="Q277" s="30"/>
      <c r="R277" s="30"/>
      <c r="S277" s="30"/>
      <c r="T277" s="30"/>
      <c r="U277" s="30"/>
      <c r="V277" s="30"/>
      <c r="W277" s="30"/>
    </row>
    <row r="278">
      <c r="A278" s="30"/>
      <c r="B278" s="30"/>
      <c r="C278" s="30"/>
      <c r="D278" s="30"/>
      <c r="E278" s="30"/>
      <c r="F278" s="30"/>
      <c r="G278" s="30"/>
      <c r="H278" s="30"/>
      <c r="I278" s="30"/>
      <c r="J278" s="30"/>
      <c r="K278" s="30"/>
      <c r="L278" s="30"/>
      <c r="M278" s="30"/>
      <c r="N278" s="30"/>
      <c r="O278" s="31"/>
      <c r="P278" s="30"/>
      <c r="Q278" s="30"/>
      <c r="R278" s="30"/>
      <c r="S278" s="30"/>
      <c r="T278" s="30"/>
      <c r="U278" s="30"/>
      <c r="V278" s="30"/>
      <c r="W278" s="30"/>
    </row>
    <row r="279">
      <c r="A279" s="30"/>
      <c r="B279" s="30"/>
      <c r="C279" s="30"/>
      <c r="D279" s="30"/>
      <c r="E279" s="30"/>
      <c r="F279" s="30"/>
      <c r="G279" s="30"/>
      <c r="H279" s="30"/>
      <c r="I279" s="30"/>
      <c r="J279" s="30"/>
      <c r="K279" s="30"/>
      <c r="L279" s="30"/>
      <c r="M279" s="30"/>
      <c r="N279" s="30"/>
      <c r="O279" s="31"/>
      <c r="P279" s="30"/>
      <c r="Q279" s="30"/>
      <c r="R279" s="30"/>
      <c r="S279" s="30"/>
      <c r="T279" s="30"/>
      <c r="U279" s="30"/>
      <c r="V279" s="30"/>
      <c r="W279" s="30"/>
    </row>
    <row r="280">
      <c r="A280" s="30"/>
      <c r="B280" s="30"/>
      <c r="C280" s="30"/>
      <c r="D280" s="30"/>
      <c r="E280" s="30"/>
      <c r="F280" s="30"/>
      <c r="G280" s="30"/>
      <c r="H280" s="30"/>
      <c r="I280" s="30"/>
      <c r="J280" s="30"/>
      <c r="K280" s="30"/>
      <c r="L280" s="30"/>
      <c r="M280" s="30"/>
      <c r="N280" s="30"/>
      <c r="O280" s="31"/>
      <c r="P280" s="30"/>
      <c r="Q280" s="30"/>
      <c r="R280" s="30"/>
      <c r="S280" s="30"/>
      <c r="T280" s="30"/>
      <c r="U280" s="30"/>
      <c r="V280" s="30"/>
      <c r="W280" s="30"/>
    </row>
    <row r="281">
      <c r="A281" s="30"/>
      <c r="B281" s="30"/>
      <c r="C281" s="30"/>
      <c r="D281" s="30"/>
      <c r="E281" s="30"/>
      <c r="F281" s="30"/>
      <c r="G281" s="30"/>
      <c r="H281" s="30"/>
      <c r="I281" s="30"/>
      <c r="J281" s="30"/>
      <c r="K281" s="30"/>
      <c r="L281" s="30"/>
      <c r="M281" s="30"/>
      <c r="N281" s="30"/>
      <c r="O281" s="31"/>
      <c r="P281" s="30"/>
      <c r="Q281" s="30"/>
      <c r="R281" s="30"/>
      <c r="S281" s="30"/>
      <c r="T281" s="30"/>
      <c r="U281" s="30"/>
      <c r="V281" s="30"/>
      <c r="W281" s="30"/>
    </row>
    <row r="282">
      <c r="A282" s="30"/>
      <c r="B282" s="30"/>
      <c r="C282" s="30"/>
      <c r="D282" s="30"/>
      <c r="E282" s="30"/>
      <c r="F282" s="30"/>
      <c r="G282" s="30"/>
      <c r="H282" s="30"/>
      <c r="I282" s="30"/>
      <c r="J282" s="30"/>
      <c r="K282" s="30"/>
      <c r="L282" s="30"/>
      <c r="M282" s="30"/>
      <c r="N282" s="30"/>
      <c r="O282" s="31"/>
      <c r="P282" s="30"/>
      <c r="Q282" s="30"/>
      <c r="R282" s="30"/>
      <c r="S282" s="30"/>
      <c r="T282" s="30"/>
      <c r="U282" s="30"/>
      <c r="V282" s="30"/>
      <c r="W282" s="30"/>
    </row>
    <row r="283">
      <c r="A283" s="30"/>
      <c r="B283" s="30"/>
      <c r="C283" s="30"/>
      <c r="D283" s="30"/>
      <c r="E283" s="30"/>
      <c r="F283" s="30"/>
      <c r="G283" s="30"/>
      <c r="H283" s="30"/>
      <c r="I283" s="30"/>
      <c r="J283" s="30"/>
      <c r="K283" s="30"/>
      <c r="L283" s="30"/>
      <c r="M283" s="30"/>
      <c r="N283" s="30"/>
      <c r="O283" s="31"/>
      <c r="P283" s="30"/>
      <c r="Q283" s="30"/>
      <c r="R283" s="30"/>
      <c r="S283" s="30"/>
      <c r="T283" s="30"/>
      <c r="U283" s="30"/>
      <c r="V283" s="30"/>
      <c r="W283" s="30"/>
    </row>
    <row r="284">
      <c r="A284" s="30"/>
      <c r="B284" s="30"/>
      <c r="C284" s="30"/>
      <c r="D284" s="30"/>
      <c r="E284" s="30"/>
      <c r="F284" s="30"/>
      <c r="G284" s="30"/>
      <c r="H284" s="30"/>
      <c r="I284" s="30"/>
      <c r="J284" s="30"/>
      <c r="K284" s="30"/>
      <c r="L284" s="30"/>
      <c r="M284" s="30"/>
      <c r="N284" s="30"/>
      <c r="O284" s="31"/>
      <c r="P284" s="30"/>
      <c r="Q284" s="30"/>
      <c r="R284" s="30"/>
      <c r="S284" s="30"/>
      <c r="T284" s="30"/>
      <c r="U284" s="30"/>
      <c r="V284" s="30"/>
      <c r="W284" s="30"/>
    </row>
    <row r="285">
      <c r="A285" s="30"/>
      <c r="B285" s="30"/>
      <c r="C285" s="30"/>
      <c r="D285" s="30"/>
      <c r="E285" s="30"/>
      <c r="F285" s="30"/>
      <c r="G285" s="30"/>
      <c r="H285" s="30"/>
      <c r="I285" s="30"/>
      <c r="J285" s="30"/>
      <c r="K285" s="30"/>
      <c r="L285" s="30"/>
      <c r="M285" s="30"/>
      <c r="N285" s="30"/>
      <c r="O285" s="31"/>
      <c r="P285" s="30"/>
      <c r="Q285" s="30"/>
      <c r="R285" s="30"/>
      <c r="S285" s="30"/>
      <c r="T285" s="30"/>
      <c r="U285" s="30"/>
      <c r="V285" s="30"/>
      <c r="W285" s="30"/>
    </row>
    <row r="286">
      <c r="A286" s="30"/>
      <c r="B286" s="30"/>
      <c r="C286" s="30"/>
      <c r="D286" s="30"/>
      <c r="E286" s="30"/>
      <c r="F286" s="30"/>
      <c r="G286" s="30"/>
      <c r="H286" s="30"/>
      <c r="I286" s="30"/>
      <c r="J286" s="30"/>
      <c r="K286" s="30"/>
      <c r="L286" s="30"/>
      <c r="M286" s="30"/>
      <c r="N286" s="30"/>
      <c r="O286" s="31"/>
      <c r="P286" s="30"/>
      <c r="Q286" s="30"/>
      <c r="R286" s="30"/>
      <c r="S286" s="30"/>
      <c r="T286" s="30"/>
      <c r="U286" s="30"/>
      <c r="V286" s="30"/>
      <c r="W286" s="30"/>
    </row>
    <row r="287">
      <c r="A287" s="30"/>
      <c r="B287" s="30"/>
      <c r="C287" s="30"/>
      <c r="D287" s="30"/>
      <c r="E287" s="30"/>
      <c r="F287" s="30"/>
      <c r="G287" s="30"/>
      <c r="H287" s="30"/>
      <c r="I287" s="30"/>
      <c r="J287" s="30"/>
      <c r="K287" s="30"/>
      <c r="L287" s="30"/>
      <c r="M287" s="30"/>
      <c r="N287" s="30"/>
      <c r="O287" s="31"/>
      <c r="P287" s="30"/>
      <c r="Q287" s="30"/>
      <c r="R287" s="30"/>
      <c r="S287" s="30"/>
      <c r="T287" s="30"/>
      <c r="U287" s="30"/>
      <c r="V287" s="30"/>
      <c r="W287" s="30"/>
    </row>
    <row r="288">
      <c r="A288" s="30"/>
      <c r="B288" s="30"/>
      <c r="C288" s="30"/>
      <c r="D288" s="30"/>
      <c r="E288" s="30"/>
      <c r="F288" s="30"/>
      <c r="G288" s="30"/>
      <c r="H288" s="30"/>
      <c r="I288" s="30"/>
      <c r="J288" s="30"/>
      <c r="K288" s="30"/>
      <c r="L288" s="30"/>
      <c r="M288" s="30"/>
      <c r="N288" s="30"/>
      <c r="O288" s="31"/>
      <c r="P288" s="30"/>
      <c r="Q288" s="30"/>
      <c r="R288" s="30"/>
      <c r="S288" s="30"/>
      <c r="T288" s="30"/>
      <c r="U288" s="30"/>
      <c r="V288" s="30"/>
      <c r="W288" s="30"/>
    </row>
    <row r="289">
      <c r="A289" s="30"/>
      <c r="B289" s="30"/>
      <c r="C289" s="30"/>
      <c r="D289" s="30"/>
      <c r="E289" s="30"/>
      <c r="F289" s="30"/>
      <c r="G289" s="30"/>
      <c r="H289" s="30"/>
      <c r="I289" s="30"/>
      <c r="J289" s="30"/>
      <c r="K289" s="30"/>
      <c r="L289" s="30"/>
      <c r="M289" s="30"/>
      <c r="N289" s="30"/>
      <c r="O289" s="31"/>
      <c r="P289" s="30"/>
      <c r="Q289" s="30"/>
      <c r="R289" s="30"/>
      <c r="S289" s="30"/>
      <c r="T289" s="30"/>
      <c r="U289" s="30"/>
      <c r="V289" s="30"/>
      <c r="W289" s="30"/>
    </row>
    <row r="290">
      <c r="A290" s="30"/>
      <c r="B290" s="30"/>
      <c r="C290" s="30"/>
      <c r="D290" s="30"/>
      <c r="E290" s="30"/>
      <c r="F290" s="30"/>
      <c r="G290" s="30"/>
      <c r="H290" s="30"/>
      <c r="I290" s="30"/>
      <c r="J290" s="30"/>
      <c r="K290" s="30"/>
      <c r="L290" s="30"/>
      <c r="M290" s="30"/>
      <c r="N290" s="30"/>
      <c r="O290" s="31"/>
      <c r="P290" s="30"/>
      <c r="Q290" s="30"/>
      <c r="R290" s="30"/>
      <c r="S290" s="30"/>
      <c r="T290" s="30"/>
      <c r="U290" s="30"/>
      <c r="V290" s="30"/>
      <c r="W290" s="30"/>
    </row>
    <row r="291">
      <c r="A291" s="30"/>
      <c r="B291" s="30"/>
      <c r="C291" s="30"/>
      <c r="D291" s="30"/>
      <c r="E291" s="30"/>
      <c r="F291" s="30"/>
      <c r="G291" s="30"/>
      <c r="H291" s="30"/>
      <c r="I291" s="30"/>
      <c r="J291" s="30"/>
      <c r="K291" s="30"/>
      <c r="L291" s="30"/>
      <c r="M291" s="30"/>
      <c r="N291" s="30"/>
      <c r="O291" s="31"/>
      <c r="P291" s="30"/>
      <c r="Q291" s="30"/>
      <c r="R291" s="30"/>
      <c r="S291" s="30"/>
      <c r="T291" s="30"/>
      <c r="U291" s="30"/>
      <c r="V291" s="30"/>
      <c r="W291" s="30"/>
    </row>
    <row r="292">
      <c r="A292" s="30"/>
      <c r="B292" s="30"/>
      <c r="C292" s="30"/>
      <c r="D292" s="30"/>
      <c r="E292" s="30"/>
      <c r="F292" s="30"/>
      <c r="G292" s="30"/>
      <c r="H292" s="30"/>
      <c r="I292" s="30"/>
      <c r="J292" s="30"/>
      <c r="K292" s="30"/>
      <c r="L292" s="30"/>
      <c r="M292" s="30"/>
      <c r="N292" s="30"/>
      <c r="O292" s="31"/>
      <c r="P292" s="30"/>
      <c r="Q292" s="30"/>
      <c r="R292" s="30"/>
      <c r="S292" s="30"/>
      <c r="T292" s="30"/>
      <c r="U292" s="30"/>
      <c r="V292" s="30"/>
      <c r="W292" s="30"/>
    </row>
    <row r="293">
      <c r="A293" s="30"/>
      <c r="B293" s="30"/>
      <c r="C293" s="30"/>
      <c r="D293" s="30"/>
      <c r="E293" s="30"/>
      <c r="F293" s="30"/>
      <c r="G293" s="30"/>
      <c r="H293" s="30"/>
      <c r="I293" s="30"/>
      <c r="J293" s="30"/>
      <c r="K293" s="30"/>
      <c r="L293" s="30"/>
      <c r="M293" s="30"/>
      <c r="N293" s="30"/>
      <c r="O293" s="31"/>
      <c r="P293" s="30"/>
      <c r="Q293" s="30"/>
      <c r="R293" s="30"/>
      <c r="S293" s="30"/>
      <c r="T293" s="30"/>
      <c r="U293" s="30"/>
      <c r="V293" s="30"/>
      <c r="W293" s="30"/>
    </row>
    <row r="294">
      <c r="A294" s="30"/>
      <c r="B294" s="30"/>
      <c r="C294" s="30"/>
      <c r="D294" s="30"/>
      <c r="E294" s="30"/>
      <c r="F294" s="30"/>
      <c r="G294" s="30"/>
      <c r="H294" s="30"/>
      <c r="I294" s="30"/>
      <c r="J294" s="30"/>
      <c r="K294" s="30"/>
      <c r="L294" s="30"/>
      <c r="M294" s="30"/>
      <c r="N294" s="30"/>
      <c r="O294" s="31"/>
      <c r="P294" s="30"/>
      <c r="Q294" s="30"/>
      <c r="R294" s="30"/>
      <c r="S294" s="30"/>
      <c r="T294" s="30"/>
      <c r="U294" s="30"/>
      <c r="V294" s="30"/>
      <c r="W294" s="30"/>
    </row>
    <row r="295">
      <c r="A295" s="30"/>
      <c r="B295" s="30"/>
      <c r="C295" s="30"/>
      <c r="D295" s="30"/>
      <c r="E295" s="30"/>
      <c r="F295" s="30"/>
      <c r="G295" s="30"/>
      <c r="H295" s="30"/>
      <c r="I295" s="30"/>
      <c r="J295" s="30"/>
      <c r="K295" s="30"/>
      <c r="L295" s="30"/>
      <c r="M295" s="30"/>
      <c r="N295" s="30"/>
      <c r="O295" s="31"/>
      <c r="P295" s="30"/>
      <c r="Q295" s="30"/>
      <c r="R295" s="30"/>
      <c r="S295" s="30"/>
      <c r="T295" s="30"/>
      <c r="U295" s="30"/>
      <c r="V295" s="30"/>
      <c r="W295" s="30"/>
    </row>
    <row r="296">
      <c r="A296" s="30"/>
      <c r="B296" s="30"/>
      <c r="C296" s="30"/>
      <c r="D296" s="30"/>
      <c r="E296" s="30"/>
      <c r="F296" s="30"/>
      <c r="G296" s="30"/>
      <c r="H296" s="30"/>
      <c r="I296" s="30"/>
      <c r="J296" s="30"/>
      <c r="K296" s="30"/>
      <c r="L296" s="30"/>
      <c r="M296" s="30"/>
      <c r="N296" s="30"/>
      <c r="O296" s="31"/>
      <c r="P296" s="30"/>
      <c r="Q296" s="30"/>
      <c r="R296" s="30"/>
      <c r="S296" s="30"/>
      <c r="T296" s="30"/>
      <c r="U296" s="30"/>
      <c r="V296" s="30"/>
      <c r="W296" s="30"/>
    </row>
    <row r="297">
      <c r="A297" s="30"/>
      <c r="B297" s="30"/>
      <c r="C297" s="30"/>
      <c r="D297" s="30"/>
      <c r="E297" s="30"/>
      <c r="F297" s="30"/>
      <c r="G297" s="30"/>
      <c r="H297" s="30"/>
      <c r="I297" s="30"/>
      <c r="J297" s="30"/>
      <c r="K297" s="30"/>
      <c r="L297" s="30"/>
      <c r="M297" s="30"/>
      <c r="N297" s="30"/>
      <c r="O297" s="31"/>
      <c r="P297" s="30"/>
      <c r="Q297" s="30"/>
      <c r="R297" s="30"/>
      <c r="S297" s="30"/>
      <c r="T297" s="30"/>
      <c r="U297" s="30"/>
      <c r="V297" s="30"/>
      <c r="W297" s="30"/>
    </row>
    <row r="298">
      <c r="A298" s="30"/>
      <c r="B298" s="30"/>
      <c r="C298" s="30"/>
      <c r="D298" s="30"/>
      <c r="E298" s="30"/>
      <c r="F298" s="30"/>
      <c r="G298" s="30"/>
      <c r="H298" s="30"/>
      <c r="I298" s="30"/>
      <c r="J298" s="30"/>
      <c r="K298" s="30"/>
      <c r="L298" s="30"/>
      <c r="M298" s="30"/>
      <c r="N298" s="30"/>
      <c r="O298" s="31"/>
      <c r="P298" s="30"/>
      <c r="Q298" s="30"/>
      <c r="R298" s="30"/>
      <c r="S298" s="30"/>
      <c r="T298" s="30"/>
      <c r="U298" s="30"/>
      <c r="V298" s="30"/>
      <c r="W298" s="30"/>
    </row>
    <row r="299">
      <c r="A299" s="30"/>
      <c r="B299" s="30"/>
      <c r="C299" s="30"/>
      <c r="D299" s="30"/>
      <c r="E299" s="30"/>
      <c r="F299" s="30"/>
      <c r="G299" s="30"/>
      <c r="H299" s="30"/>
      <c r="I299" s="30"/>
      <c r="J299" s="30"/>
      <c r="K299" s="30"/>
      <c r="L299" s="30"/>
      <c r="M299" s="30"/>
      <c r="N299" s="30"/>
      <c r="O299" s="31"/>
      <c r="P299" s="30"/>
      <c r="Q299" s="30"/>
      <c r="R299" s="30"/>
      <c r="S299" s="30"/>
      <c r="T299" s="30"/>
      <c r="U299" s="30"/>
      <c r="V299" s="30"/>
      <c r="W299" s="30"/>
    </row>
    <row r="300">
      <c r="A300" s="30"/>
      <c r="B300" s="30"/>
      <c r="C300" s="30"/>
      <c r="D300" s="30"/>
      <c r="E300" s="30"/>
      <c r="F300" s="30"/>
      <c r="G300" s="30"/>
      <c r="H300" s="30"/>
      <c r="I300" s="30"/>
      <c r="J300" s="30"/>
      <c r="K300" s="30"/>
      <c r="L300" s="30"/>
      <c r="M300" s="30"/>
      <c r="N300" s="30"/>
      <c r="O300" s="35"/>
      <c r="P300" s="30"/>
      <c r="Q300" s="30"/>
      <c r="R300" s="30"/>
      <c r="S300" s="30"/>
      <c r="T300" s="30"/>
      <c r="U300" s="30"/>
      <c r="V300" s="30"/>
      <c r="W300" s="30"/>
    </row>
    <row r="301">
      <c r="A301" s="30"/>
      <c r="B301" s="30"/>
      <c r="C301" s="30"/>
      <c r="D301" s="30"/>
      <c r="E301" s="30"/>
      <c r="F301" s="30"/>
      <c r="G301" s="30"/>
      <c r="H301" s="30"/>
      <c r="I301" s="30"/>
      <c r="J301" s="30"/>
      <c r="K301" s="30"/>
      <c r="L301" s="30"/>
      <c r="M301" s="30"/>
      <c r="N301" s="30"/>
      <c r="O301" s="31"/>
      <c r="P301" s="30"/>
      <c r="Q301" s="30"/>
      <c r="R301" s="30"/>
      <c r="S301" s="30"/>
      <c r="T301" s="30"/>
      <c r="U301" s="30"/>
      <c r="V301" s="30"/>
      <c r="W301" s="30"/>
    </row>
    <row r="302">
      <c r="A302" s="30"/>
      <c r="B302" s="30"/>
      <c r="C302" s="30"/>
      <c r="D302" s="30"/>
      <c r="E302" s="30"/>
      <c r="F302" s="30"/>
      <c r="G302" s="30"/>
      <c r="H302" s="30"/>
      <c r="I302" s="30"/>
      <c r="J302" s="30"/>
      <c r="K302" s="30"/>
      <c r="L302" s="30"/>
      <c r="M302" s="30"/>
      <c r="N302" s="30"/>
      <c r="O302" s="31"/>
      <c r="P302" s="30"/>
      <c r="Q302" s="30"/>
      <c r="R302" s="30"/>
      <c r="S302" s="30"/>
      <c r="T302" s="30"/>
      <c r="U302" s="30"/>
      <c r="V302" s="30"/>
      <c r="W302" s="30"/>
    </row>
    <row r="303">
      <c r="A303" s="30"/>
      <c r="B303" s="30"/>
      <c r="C303" s="30"/>
      <c r="D303" s="30"/>
      <c r="E303" s="30"/>
      <c r="F303" s="30"/>
      <c r="G303" s="30"/>
      <c r="H303" s="30"/>
      <c r="I303" s="30"/>
      <c r="J303" s="30"/>
      <c r="K303" s="30"/>
      <c r="L303" s="30"/>
      <c r="M303" s="30"/>
      <c r="N303" s="30"/>
      <c r="O303" s="31"/>
      <c r="P303" s="30"/>
      <c r="Q303" s="30"/>
      <c r="R303" s="30"/>
      <c r="S303" s="30"/>
      <c r="T303" s="30"/>
      <c r="U303" s="30"/>
      <c r="V303" s="30"/>
      <c r="W303" s="30"/>
    </row>
    <row r="304">
      <c r="A304" s="30"/>
      <c r="B304" s="30"/>
      <c r="C304" s="30"/>
      <c r="D304" s="30"/>
      <c r="E304" s="30"/>
      <c r="F304" s="30"/>
      <c r="G304" s="30"/>
      <c r="H304" s="30"/>
      <c r="I304" s="30"/>
      <c r="J304" s="30"/>
      <c r="K304" s="30"/>
      <c r="L304" s="30"/>
      <c r="M304" s="30"/>
      <c r="N304" s="30"/>
      <c r="O304" s="31"/>
      <c r="P304" s="30"/>
      <c r="Q304" s="30"/>
      <c r="R304" s="30"/>
      <c r="S304" s="30"/>
      <c r="T304" s="30"/>
      <c r="U304" s="30"/>
      <c r="V304" s="30"/>
      <c r="W304" s="30"/>
    </row>
    <row r="305">
      <c r="A305" s="30"/>
      <c r="B305" s="30"/>
      <c r="C305" s="30"/>
      <c r="D305" s="30"/>
      <c r="E305" s="30"/>
      <c r="F305" s="30"/>
      <c r="G305" s="30"/>
      <c r="H305" s="30"/>
      <c r="I305" s="30"/>
      <c r="J305" s="30"/>
      <c r="K305" s="30"/>
      <c r="L305" s="30"/>
      <c r="M305" s="30"/>
      <c r="N305" s="30"/>
      <c r="O305" s="31"/>
      <c r="P305" s="30"/>
      <c r="Q305" s="30"/>
      <c r="R305" s="30"/>
      <c r="S305" s="30"/>
      <c r="T305" s="30"/>
      <c r="U305" s="30"/>
      <c r="V305" s="30"/>
      <c r="W305" s="30"/>
    </row>
    <row r="306">
      <c r="A306" s="30"/>
      <c r="B306" s="30"/>
      <c r="C306" s="30"/>
      <c r="D306" s="30"/>
      <c r="E306" s="30"/>
      <c r="F306" s="30"/>
      <c r="G306" s="30"/>
      <c r="H306" s="30"/>
      <c r="I306" s="30"/>
      <c r="J306" s="30"/>
      <c r="K306" s="30"/>
      <c r="L306" s="30"/>
      <c r="M306" s="30"/>
      <c r="N306" s="30"/>
      <c r="O306" s="31"/>
      <c r="P306" s="30"/>
      <c r="Q306" s="30"/>
      <c r="R306" s="30"/>
      <c r="S306" s="30"/>
      <c r="T306" s="30"/>
      <c r="U306" s="30"/>
      <c r="V306" s="30"/>
      <c r="W306" s="30"/>
    </row>
    <row r="307">
      <c r="A307" s="30"/>
      <c r="B307" s="30"/>
      <c r="C307" s="30"/>
      <c r="D307" s="30"/>
      <c r="E307" s="30"/>
      <c r="F307" s="30"/>
      <c r="G307" s="30"/>
      <c r="H307" s="30"/>
      <c r="I307" s="30"/>
      <c r="J307" s="30"/>
      <c r="K307" s="30"/>
      <c r="L307" s="30"/>
      <c r="M307" s="30"/>
      <c r="N307" s="30"/>
      <c r="O307" s="31"/>
      <c r="P307" s="30"/>
      <c r="Q307" s="30"/>
      <c r="R307" s="30"/>
      <c r="S307" s="30"/>
      <c r="T307" s="30"/>
      <c r="U307" s="30"/>
      <c r="V307" s="30"/>
      <c r="W307" s="30"/>
    </row>
    <row r="308">
      <c r="A308" s="30"/>
      <c r="B308" s="30"/>
      <c r="C308" s="30"/>
      <c r="D308" s="30"/>
      <c r="E308" s="30"/>
      <c r="F308" s="30"/>
      <c r="G308" s="30"/>
      <c r="H308" s="30"/>
      <c r="I308" s="30"/>
      <c r="J308" s="30"/>
      <c r="K308" s="30"/>
      <c r="L308" s="30"/>
      <c r="M308" s="30"/>
      <c r="N308" s="30"/>
      <c r="O308" s="31"/>
      <c r="P308" s="30"/>
      <c r="Q308" s="30"/>
      <c r="R308" s="30"/>
      <c r="S308" s="30"/>
      <c r="T308" s="30"/>
      <c r="U308" s="30"/>
      <c r="V308" s="30"/>
      <c r="W308" s="30"/>
    </row>
    <row r="309">
      <c r="A309" s="30"/>
      <c r="B309" s="30"/>
      <c r="C309" s="30"/>
      <c r="D309" s="30"/>
      <c r="E309" s="30"/>
      <c r="F309" s="30"/>
      <c r="G309" s="30"/>
      <c r="H309" s="30"/>
      <c r="I309" s="30"/>
      <c r="J309" s="30"/>
      <c r="K309" s="30"/>
      <c r="L309" s="30"/>
      <c r="M309" s="30"/>
      <c r="N309" s="30"/>
      <c r="O309" s="31"/>
      <c r="P309" s="30"/>
      <c r="Q309" s="30"/>
      <c r="R309" s="30"/>
      <c r="S309" s="30"/>
      <c r="T309" s="30"/>
      <c r="U309" s="30"/>
      <c r="V309" s="30"/>
      <c r="W309" s="30"/>
    </row>
    <row r="310">
      <c r="A310" s="30"/>
      <c r="B310" s="30"/>
      <c r="C310" s="30"/>
      <c r="D310" s="30"/>
      <c r="E310" s="30"/>
      <c r="F310" s="30"/>
      <c r="G310" s="30"/>
      <c r="H310" s="30"/>
      <c r="I310" s="30"/>
      <c r="J310" s="30"/>
      <c r="K310" s="30"/>
      <c r="L310" s="30"/>
      <c r="M310" s="30"/>
      <c r="N310" s="30"/>
      <c r="O310" s="31"/>
      <c r="P310" s="30"/>
      <c r="Q310" s="30"/>
      <c r="R310" s="30"/>
      <c r="S310" s="30"/>
      <c r="T310" s="30"/>
      <c r="U310" s="30"/>
      <c r="V310" s="30"/>
      <c r="W310" s="30"/>
    </row>
    <row r="311">
      <c r="A311" s="30"/>
      <c r="B311" s="30"/>
      <c r="C311" s="30"/>
      <c r="D311" s="30"/>
      <c r="E311" s="30"/>
      <c r="F311" s="30"/>
      <c r="G311" s="30"/>
      <c r="H311" s="30"/>
      <c r="I311" s="30"/>
      <c r="J311" s="30"/>
      <c r="K311" s="30"/>
      <c r="L311" s="30"/>
      <c r="M311" s="30"/>
      <c r="N311" s="30"/>
      <c r="O311" s="31"/>
      <c r="P311" s="30"/>
      <c r="Q311" s="30"/>
      <c r="R311" s="30"/>
      <c r="S311" s="30"/>
      <c r="T311" s="30"/>
      <c r="U311" s="30"/>
      <c r="V311" s="30"/>
      <c r="W311" s="30"/>
    </row>
    <row r="312">
      <c r="A312" s="30"/>
      <c r="B312" s="30"/>
      <c r="C312" s="30"/>
      <c r="D312" s="30"/>
      <c r="E312" s="30"/>
      <c r="F312" s="30"/>
      <c r="G312" s="30"/>
      <c r="H312" s="30"/>
      <c r="I312" s="30"/>
      <c r="J312" s="30"/>
      <c r="K312" s="30"/>
      <c r="L312" s="30"/>
      <c r="M312" s="30"/>
      <c r="N312" s="30"/>
      <c r="O312" s="31"/>
      <c r="P312" s="30"/>
      <c r="Q312" s="30"/>
      <c r="R312" s="30"/>
      <c r="S312" s="30"/>
      <c r="T312" s="30"/>
      <c r="U312" s="30"/>
      <c r="V312" s="30"/>
      <c r="W312" s="30"/>
    </row>
    <row r="313">
      <c r="A313" s="30"/>
      <c r="B313" s="30"/>
      <c r="C313" s="30"/>
      <c r="D313" s="30"/>
      <c r="E313" s="30"/>
      <c r="F313" s="30"/>
      <c r="G313" s="30"/>
      <c r="H313" s="30"/>
      <c r="I313" s="30"/>
      <c r="J313" s="30"/>
      <c r="K313" s="30"/>
      <c r="L313" s="30"/>
      <c r="M313" s="30"/>
      <c r="N313" s="30"/>
      <c r="O313" s="31"/>
      <c r="P313" s="30"/>
      <c r="Q313" s="30"/>
      <c r="R313" s="30"/>
      <c r="S313" s="30"/>
      <c r="T313" s="30"/>
      <c r="U313" s="30"/>
      <c r="V313" s="30"/>
      <c r="W313" s="30"/>
    </row>
    <row r="314">
      <c r="A314" s="30"/>
      <c r="B314" s="30"/>
      <c r="C314" s="30"/>
      <c r="D314" s="30"/>
      <c r="E314" s="30"/>
      <c r="F314" s="30"/>
      <c r="G314" s="30"/>
      <c r="H314" s="30"/>
      <c r="I314" s="30"/>
      <c r="J314" s="30"/>
      <c r="K314" s="30"/>
      <c r="L314" s="30"/>
      <c r="M314" s="30"/>
      <c r="N314" s="30"/>
      <c r="O314" s="35"/>
      <c r="P314" s="30"/>
      <c r="Q314" s="30"/>
      <c r="R314" s="30"/>
      <c r="S314" s="30"/>
      <c r="T314" s="30"/>
      <c r="U314" s="30"/>
      <c r="V314" s="30"/>
      <c r="W314" s="30"/>
    </row>
    <row r="315">
      <c r="A315" s="30"/>
      <c r="B315" s="30"/>
      <c r="C315" s="30"/>
      <c r="D315" s="30"/>
      <c r="E315" s="30"/>
      <c r="F315" s="30"/>
      <c r="G315" s="30"/>
      <c r="H315" s="30"/>
      <c r="I315" s="30"/>
      <c r="J315" s="30"/>
      <c r="K315" s="30"/>
      <c r="L315" s="30"/>
      <c r="M315" s="30"/>
      <c r="N315" s="30"/>
      <c r="O315" s="31"/>
      <c r="P315" s="30"/>
      <c r="Q315" s="30"/>
      <c r="R315" s="30"/>
      <c r="S315" s="30"/>
      <c r="T315" s="30"/>
      <c r="U315" s="30"/>
      <c r="V315" s="30"/>
      <c r="W315" s="30"/>
    </row>
    <row r="316">
      <c r="A316" s="30"/>
      <c r="B316" s="30"/>
      <c r="C316" s="30"/>
      <c r="D316" s="30"/>
      <c r="E316" s="30"/>
      <c r="F316" s="30"/>
      <c r="G316" s="30"/>
      <c r="H316" s="30"/>
      <c r="I316" s="30"/>
      <c r="J316" s="30"/>
      <c r="K316" s="30"/>
      <c r="L316" s="30"/>
      <c r="M316" s="30"/>
      <c r="N316" s="30"/>
      <c r="O316" s="31"/>
      <c r="P316" s="30"/>
      <c r="Q316" s="30"/>
      <c r="R316" s="30"/>
      <c r="S316" s="30"/>
      <c r="T316" s="30"/>
      <c r="U316" s="30"/>
      <c r="V316" s="30"/>
      <c r="W316" s="30"/>
    </row>
    <row r="317">
      <c r="A317" s="30"/>
      <c r="B317" s="30"/>
      <c r="C317" s="30"/>
      <c r="D317" s="30"/>
      <c r="E317" s="30"/>
      <c r="F317" s="30"/>
      <c r="G317" s="30"/>
      <c r="H317" s="30"/>
      <c r="I317" s="30"/>
      <c r="J317" s="30"/>
      <c r="K317" s="30"/>
      <c r="L317" s="30"/>
      <c r="M317" s="30"/>
      <c r="N317" s="30"/>
      <c r="O317" s="35"/>
      <c r="P317" s="30"/>
      <c r="Q317" s="30"/>
      <c r="R317" s="30"/>
      <c r="S317" s="30"/>
      <c r="T317" s="30"/>
      <c r="U317" s="30"/>
      <c r="V317" s="30"/>
      <c r="W317" s="30"/>
    </row>
    <row r="318">
      <c r="A318" s="30"/>
      <c r="B318" s="30"/>
      <c r="C318" s="30"/>
      <c r="D318" s="30"/>
      <c r="E318" s="30"/>
      <c r="F318" s="30"/>
      <c r="G318" s="30"/>
      <c r="H318" s="30"/>
      <c r="I318" s="30"/>
      <c r="J318" s="30"/>
      <c r="K318" s="30"/>
      <c r="L318" s="30"/>
      <c r="M318" s="30"/>
      <c r="N318" s="30"/>
      <c r="O318" s="31"/>
      <c r="P318" s="30"/>
      <c r="Q318" s="30"/>
      <c r="R318" s="30"/>
      <c r="S318" s="30"/>
      <c r="T318" s="30"/>
      <c r="U318" s="30"/>
      <c r="V318" s="30"/>
      <c r="W318" s="30"/>
    </row>
    <row r="319">
      <c r="A319" s="30"/>
      <c r="B319" s="30"/>
      <c r="C319" s="30"/>
      <c r="D319" s="30"/>
      <c r="E319" s="30"/>
      <c r="F319" s="30"/>
      <c r="G319" s="30"/>
      <c r="H319" s="30"/>
      <c r="I319" s="30"/>
      <c r="J319" s="30"/>
      <c r="K319" s="30"/>
      <c r="L319" s="30"/>
      <c r="M319" s="30"/>
      <c r="N319" s="30"/>
      <c r="O319" s="31"/>
      <c r="P319" s="30"/>
      <c r="Q319" s="30"/>
      <c r="R319" s="30"/>
      <c r="S319" s="30"/>
      <c r="T319" s="30"/>
      <c r="U319" s="30"/>
      <c r="V319" s="30"/>
      <c r="W319" s="30"/>
    </row>
    <row r="320">
      <c r="A320" s="30"/>
      <c r="B320" s="30"/>
      <c r="C320" s="30"/>
      <c r="D320" s="30"/>
      <c r="E320" s="30"/>
      <c r="F320" s="30"/>
      <c r="G320" s="30"/>
      <c r="H320" s="30"/>
      <c r="I320" s="30"/>
      <c r="J320" s="30"/>
      <c r="K320" s="30"/>
      <c r="L320" s="30"/>
      <c r="M320" s="30"/>
      <c r="N320" s="30"/>
      <c r="O320" s="31"/>
      <c r="P320" s="30"/>
      <c r="Q320" s="30"/>
      <c r="R320" s="30"/>
      <c r="S320" s="30"/>
      <c r="T320" s="30"/>
      <c r="U320" s="30"/>
      <c r="V320" s="30"/>
      <c r="W320" s="30"/>
    </row>
    <row r="321">
      <c r="A321" s="30"/>
      <c r="B321" s="30"/>
      <c r="C321" s="30"/>
      <c r="D321" s="30"/>
      <c r="E321" s="30"/>
      <c r="F321" s="30"/>
      <c r="G321" s="30"/>
      <c r="H321" s="30"/>
      <c r="I321" s="30"/>
      <c r="J321" s="30"/>
      <c r="K321" s="30"/>
      <c r="L321" s="30"/>
      <c r="M321" s="30"/>
      <c r="N321" s="30"/>
      <c r="O321" s="31"/>
      <c r="P321" s="30"/>
      <c r="Q321" s="30"/>
      <c r="R321" s="30"/>
      <c r="S321" s="30"/>
      <c r="T321" s="30"/>
      <c r="U321" s="30"/>
      <c r="V321" s="30"/>
      <c r="W321" s="30"/>
    </row>
    <row r="322">
      <c r="A322" s="30"/>
      <c r="B322" s="30"/>
      <c r="C322" s="30"/>
      <c r="D322" s="30"/>
      <c r="E322" s="30"/>
      <c r="F322" s="30"/>
      <c r="G322" s="30"/>
      <c r="H322" s="30"/>
      <c r="I322" s="30"/>
      <c r="J322" s="30"/>
      <c r="K322" s="30"/>
      <c r="L322" s="30"/>
      <c r="M322" s="30"/>
      <c r="N322" s="30"/>
      <c r="O322" s="31"/>
      <c r="P322" s="30"/>
      <c r="Q322" s="30"/>
      <c r="R322" s="30"/>
      <c r="S322" s="30"/>
      <c r="T322" s="30"/>
      <c r="U322" s="30"/>
      <c r="V322" s="30"/>
      <c r="W322" s="30"/>
    </row>
    <row r="323">
      <c r="A323" s="30"/>
      <c r="B323" s="30"/>
      <c r="C323" s="30"/>
      <c r="D323" s="30"/>
      <c r="E323" s="30"/>
      <c r="F323" s="30"/>
      <c r="G323" s="30"/>
      <c r="H323" s="30"/>
      <c r="I323" s="30"/>
      <c r="J323" s="30"/>
      <c r="K323" s="30"/>
      <c r="L323" s="30"/>
      <c r="M323" s="30"/>
      <c r="N323" s="30"/>
      <c r="O323" s="31"/>
      <c r="P323" s="30"/>
      <c r="Q323" s="30"/>
      <c r="R323" s="30"/>
      <c r="S323" s="30"/>
      <c r="T323" s="30"/>
      <c r="U323" s="30"/>
      <c r="V323" s="30"/>
      <c r="W323" s="30"/>
    </row>
    <row r="324">
      <c r="A324" s="30"/>
      <c r="B324" s="30"/>
      <c r="C324" s="30"/>
      <c r="D324" s="30"/>
      <c r="E324" s="30"/>
      <c r="F324" s="30"/>
      <c r="G324" s="30"/>
      <c r="H324" s="30"/>
      <c r="I324" s="30"/>
      <c r="J324" s="30"/>
      <c r="K324" s="30"/>
      <c r="L324" s="30"/>
      <c r="M324" s="30"/>
      <c r="N324" s="30"/>
      <c r="O324" s="31"/>
      <c r="P324" s="30"/>
      <c r="Q324" s="30"/>
      <c r="R324" s="30"/>
      <c r="S324" s="30"/>
      <c r="T324" s="30"/>
      <c r="U324" s="30"/>
      <c r="V324" s="30"/>
      <c r="W324" s="30"/>
    </row>
    <row r="325">
      <c r="A325" s="30"/>
      <c r="B325" s="30"/>
      <c r="C325" s="30"/>
      <c r="D325" s="30"/>
      <c r="E325" s="30"/>
      <c r="F325" s="30"/>
      <c r="G325" s="30"/>
      <c r="H325" s="30"/>
      <c r="I325" s="30"/>
      <c r="J325" s="30"/>
      <c r="K325" s="30"/>
      <c r="L325" s="30"/>
      <c r="M325" s="30"/>
      <c r="N325" s="30"/>
      <c r="O325" s="31"/>
      <c r="P325" s="30"/>
      <c r="Q325" s="30"/>
      <c r="R325" s="30"/>
      <c r="S325" s="30"/>
      <c r="T325" s="30"/>
      <c r="U325" s="30"/>
      <c r="V325" s="30"/>
      <c r="W325" s="30"/>
    </row>
    <row r="326">
      <c r="A326" s="30"/>
      <c r="B326" s="30"/>
      <c r="C326" s="30"/>
      <c r="D326" s="30"/>
      <c r="E326" s="30"/>
      <c r="F326" s="30"/>
      <c r="G326" s="30"/>
      <c r="H326" s="30"/>
      <c r="I326" s="30"/>
      <c r="J326" s="30"/>
      <c r="K326" s="30"/>
      <c r="L326" s="30"/>
      <c r="M326" s="30"/>
      <c r="N326" s="30"/>
      <c r="O326" s="31"/>
      <c r="P326" s="30"/>
      <c r="Q326" s="30"/>
      <c r="R326" s="30"/>
      <c r="S326" s="30"/>
      <c r="T326" s="30"/>
      <c r="U326" s="30"/>
      <c r="V326" s="30"/>
      <c r="W326" s="30"/>
    </row>
    <row r="327">
      <c r="A327" s="30"/>
      <c r="B327" s="30"/>
      <c r="C327" s="30"/>
      <c r="D327" s="30"/>
      <c r="E327" s="30"/>
      <c r="F327" s="30"/>
      <c r="G327" s="30"/>
      <c r="H327" s="30"/>
      <c r="I327" s="30"/>
      <c r="J327" s="30"/>
      <c r="K327" s="30"/>
      <c r="L327" s="30"/>
      <c r="M327" s="30"/>
      <c r="N327" s="30"/>
      <c r="O327" s="31"/>
      <c r="P327" s="30"/>
      <c r="Q327" s="30"/>
      <c r="R327" s="30"/>
      <c r="S327" s="30"/>
      <c r="T327" s="30"/>
      <c r="U327" s="30"/>
      <c r="V327" s="30"/>
      <c r="W327" s="30"/>
    </row>
    <row r="328">
      <c r="A328" s="30"/>
      <c r="B328" s="30"/>
      <c r="C328" s="30"/>
      <c r="D328" s="30"/>
      <c r="E328" s="30"/>
      <c r="F328" s="30"/>
      <c r="G328" s="30"/>
      <c r="H328" s="30"/>
      <c r="I328" s="30"/>
      <c r="J328" s="30"/>
      <c r="K328" s="30"/>
      <c r="L328" s="30"/>
      <c r="M328" s="30"/>
      <c r="N328" s="30"/>
      <c r="O328" s="31"/>
      <c r="P328" s="30"/>
      <c r="Q328" s="30"/>
      <c r="R328" s="30"/>
      <c r="S328" s="30"/>
      <c r="T328" s="30"/>
      <c r="U328" s="30"/>
      <c r="V328" s="30"/>
      <c r="W328" s="30"/>
    </row>
    <row r="329">
      <c r="A329" s="30"/>
      <c r="B329" s="30"/>
      <c r="C329" s="30"/>
      <c r="D329" s="30"/>
      <c r="E329" s="30"/>
      <c r="F329" s="30"/>
      <c r="G329" s="30"/>
      <c r="H329" s="30"/>
      <c r="I329" s="30"/>
      <c r="J329" s="30"/>
      <c r="K329" s="30"/>
      <c r="L329" s="30"/>
      <c r="M329" s="30"/>
      <c r="N329" s="30"/>
      <c r="O329" s="31"/>
      <c r="P329" s="30"/>
      <c r="Q329" s="30"/>
      <c r="R329" s="30"/>
      <c r="S329" s="30"/>
      <c r="T329" s="30"/>
      <c r="U329" s="30"/>
      <c r="V329" s="30"/>
      <c r="W329" s="30"/>
    </row>
    <row r="330">
      <c r="A330" s="30"/>
      <c r="B330" s="30"/>
      <c r="C330" s="30"/>
      <c r="D330" s="30"/>
      <c r="E330" s="30"/>
      <c r="F330" s="30"/>
      <c r="G330" s="30"/>
      <c r="H330" s="30"/>
      <c r="I330" s="30"/>
      <c r="J330" s="30"/>
      <c r="K330" s="30"/>
      <c r="L330" s="30"/>
      <c r="M330" s="30"/>
      <c r="N330" s="30"/>
      <c r="O330" s="31"/>
      <c r="P330" s="30"/>
      <c r="Q330" s="30"/>
      <c r="R330" s="30"/>
      <c r="S330" s="30"/>
      <c r="T330" s="30"/>
      <c r="U330" s="30"/>
      <c r="V330" s="30"/>
      <c r="W330" s="30"/>
    </row>
    <row r="331">
      <c r="A331" s="30"/>
      <c r="B331" s="30"/>
      <c r="C331" s="30"/>
      <c r="D331" s="30"/>
      <c r="E331" s="30"/>
      <c r="F331" s="30"/>
      <c r="G331" s="30"/>
      <c r="H331" s="30"/>
      <c r="I331" s="30"/>
      <c r="J331" s="30"/>
      <c r="K331" s="30"/>
      <c r="L331" s="30"/>
      <c r="M331" s="30"/>
      <c r="N331" s="30"/>
      <c r="O331" s="31"/>
      <c r="P331" s="30"/>
      <c r="Q331" s="30"/>
      <c r="R331" s="30"/>
      <c r="S331" s="30"/>
      <c r="T331" s="30"/>
      <c r="U331" s="30"/>
      <c r="V331" s="30"/>
      <c r="W331" s="30"/>
    </row>
    <row r="332">
      <c r="A332" s="30"/>
      <c r="B332" s="30"/>
      <c r="C332" s="30"/>
      <c r="D332" s="30"/>
      <c r="E332" s="30"/>
      <c r="F332" s="30"/>
      <c r="G332" s="30"/>
      <c r="H332" s="30"/>
      <c r="I332" s="30"/>
      <c r="J332" s="30"/>
      <c r="K332" s="30"/>
      <c r="L332" s="30"/>
      <c r="M332" s="30"/>
      <c r="N332" s="30"/>
      <c r="O332" s="31"/>
      <c r="P332" s="30"/>
      <c r="Q332" s="30"/>
      <c r="R332" s="30"/>
      <c r="S332" s="30"/>
      <c r="T332" s="30"/>
      <c r="U332" s="30"/>
      <c r="V332" s="30"/>
      <c r="W332" s="30"/>
    </row>
    <row r="333">
      <c r="A333" s="30"/>
      <c r="B333" s="30"/>
      <c r="C333" s="30"/>
      <c r="D333" s="30"/>
      <c r="E333" s="30"/>
      <c r="F333" s="30"/>
      <c r="G333" s="30"/>
      <c r="H333" s="30"/>
      <c r="I333" s="30"/>
      <c r="J333" s="30"/>
      <c r="K333" s="30"/>
      <c r="L333" s="30"/>
      <c r="M333" s="30"/>
      <c r="N333" s="30"/>
      <c r="O333" s="31"/>
      <c r="P333" s="30"/>
      <c r="Q333" s="30"/>
      <c r="R333" s="30"/>
      <c r="S333" s="30"/>
      <c r="T333" s="30"/>
      <c r="U333" s="30"/>
      <c r="V333" s="30"/>
      <c r="W333" s="30"/>
    </row>
    <row r="334">
      <c r="A334" s="30"/>
      <c r="B334" s="30"/>
      <c r="C334" s="30"/>
      <c r="D334" s="30"/>
      <c r="E334" s="30"/>
      <c r="F334" s="30"/>
      <c r="G334" s="30"/>
      <c r="H334" s="30"/>
      <c r="I334" s="30"/>
      <c r="J334" s="30"/>
      <c r="K334" s="30"/>
      <c r="L334" s="30"/>
      <c r="M334" s="30"/>
      <c r="N334" s="30"/>
      <c r="O334" s="35"/>
      <c r="P334" s="30"/>
      <c r="Q334" s="30"/>
      <c r="R334" s="30"/>
      <c r="S334" s="30"/>
      <c r="T334" s="30"/>
      <c r="U334" s="30"/>
      <c r="V334" s="30"/>
      <c r="W334" s="30"/>
    </row>
    <row r="335">
      <c r="A335" s="30"/>
      <c r="B335" s="30"/>
      <c r="C335" s="30"/>
      <c r="D335" s="30"/>
      <c r="E335" s="30"/>
      <c r="F335" s="30"/>
      <c r="G335" s="30"/>
      <c r="H335" s="30"/>
      <c r="I335" s="30"/>
      <c r="J335" s="30"/>
      <c r="K335" s="30"/>
      <c r="L335" s="30"/>
      <c r="M335" s="30"/>
      <c r="N335" s="30"/>
      <c r="O335" s="31"/>
      <c r="P335" s="30"/>
      <c r="Q335" s="30"/>
      <c r="R335" s="30"/>
      <c r="S335" s="30"/>
      <c r="T335" s="30"/>
      <c r="U335" s="30"/>
      <c r="V335" s="30"/>
      <c r="W335" s="30"/>
    </row>
    <row r="336">
      <c r="A336" s="30"/>
      <c r="B336" s="30"/>
      <c r="C336" s="30"/>
      <c r="D336" s="30"/>
      <c r="E336" s="30"/>
      <c r="F336" s="30"/>
      <c r="G336" s="30"/>
      <c r="H336" s="30"/>
      <c r="I336" s="30"/>
      <c r="J336" s="30"/>
      <c r="K336" s="30"/>
      <c r="L336" s="30"/>
      <c r="M336" s="30"/>
      <c r="N336" s="30"/>
      <c r="O336" s="31"/>
      <c r="P336" s="30"/>
      <c r="Q336" s="30"/>
      <c r="R336" s="30"/>
      <c r="S336" s="30"/>
      <c r="T336" s="30"/>
      <c r="U336" s="30"/>
      <c r="V336" s="30"/>
      <c r="W336" s="30"/>
    </row>
    <row r="337">
      <c r="A337" s="30"/>
      <c r="B337" s="30"/>
      <c r="C337" s="30"/>
      <c r="D337" s="30"/>
      <c r="E337" s="30"/>
      <c r="F337" s="30"/>
      <c r="G337" s="30"/>
      <c r="H337" s="30"/>
      <c r="I337" s="30"/>
      <c r="J337" s="30"/>
      <c r="K337" s="30"/>
      <c r="L337" s="30"/>
      <c r="M337" s="30"/>
      <c r="N337" s="30"/>
      <c r="O337" s="31"/>
      <c r="P337" s="30"/>
      <c r="Q337" s="30"/>
      <c r="R337" s="30"/>
      <c r="S337" s="30"/>
      <c r="T337" s="30"/>
      <c r="U337" s="30"/>
      <c r="V337" s="30"/>
      <c r="W337" s="30"/>
    </row>
    <row r="338">
      <c r="A338" s="30"/>
      <c r="B338" s="30"/>
      <c r="C338" s="30"/>
      <c r="D338" s="30"/>
      <c r="E338" s="30"/>
      <c r="F338" s="30"/>
      <c r="G338" s="30"/>
      <c r="H338" s="30"/>
      <c r="I338" s="30"/>
      <c r="J338" s="30"/>
      <c r="K338" s="30"/>
      <c r="L338" s="30"/>
      <c r="M338" s="30"/>
      <c r="N338" s="30"/>
      <c r="O338" s="31"/>
      <c r="P338" s="30"/>
      <c r="Q338" s="30"/>
      <c r="R338" s="30"/>
      <c r="S338" s="30"/>
      <c r="T338" s="30"/>
      <c r="U338" s="30"/>
      <c r="V338" s="30"/>
      <c r="W338" s="30"/>
    </row>
    <row r="339">
      <c r="A339" s="30"/>
      <c r="B339" s="30"/>
      <c r="C339" s="30"/>
      <c r="D339" s="30"/>
      <c r="E339" s="30"/>
      <c r="F339" s="30"/>
      <c r="G339" s="30"/>
      <c r="H339" s="30"/>
      <c r="I339" s="30"/>
      <c r="J339" s="30"/>
      <c r="K339" s="30"/>
      <c r="L339" s="30"/>
      <c r="M339" s="30"/>
      <c r="N339" s="30"/>
      <c r="O339" s="31"/>
      <c r="P339" s="30"/>
      <c r="Q339" s="30"/>
      <c r="R339" s="30"/>
      <c r="S339" s="30"/>
      <c r="T339" s="30"/>
      <c r="U339" s="30"/>
      <c r="V339" s="30"/>
      <c r="W339" s="30"/>
    </row>
    <row r="340">
      <c r="A340" s="30"/>
      <c r="B340" s="30"/>
      <c r="C340" s="30"/>
      <c r="D340" s="30"/>
      <c r="E340" s="30"/>
      <c r="F340" s="30"/>
      <c r="G340" s="30"/>
      <c r="H340" s="30"/>
      <c r="I340" s="30"/>
      <c r="J340" s="30"/>
      <c r="K340" s="30"/>
      <c r="L340" s="30"/>
      <c r="M340" s="30"/>
      <c r="N340" s="30"/>
      <c r="O340" s="31"/>
      <c r="P340" s="30"/>
      <c r="Q340" s="30"/>
      <c r="R340" s="30"/>
      <c r="S340" s="30"/>
      <c r="T340" s="30"/>
      <c r="U340" s="30"/>
      <c r="V340" s="30"/>
      <c r="W340" s="30"/>
    </row>
    <row r="341">
      <c r="A341" s="30"/>
      <c r="B341" s="30"/>
      <c r="C341" s="30"/>
      <c r="D341" s="30"/>
      <c r="E341" s="30"/>
      <c r="F341" s="30"/>
      <c r="G341" s="30"/>
      <c r="H341" s="30"/>
      <c r="I341" s="30"/>
      <c r="J341" s="30"/>
      <c r="K341" s="30"/>
      <c r="L341" s="30"/>
      <c r="M341" s="30"/>
      <c r="N341" s="30"/>
      <c r="O341" s="31"/>
      <c r="P341" s="30"/>
      <c r="Q341" s="30"/>
      <c r="R341" s="30"/>
      <c r="S341" s="30"/>
      <c r="T341" s="30"/>
      <c r="U341" s="30"/>
      <c r="V341" s="30"/>
      <c r="W341" s="30"/>
    </row>
    <row r="342">
      <c r="A342" s="30"/>
      <c r="B342" s="30"/>
      <c r="C342" s="30"/>
      <c r="D342" s="30"/>
      <c r="E342" s="30"/>
      <c r="F342" s="30"/>
      <c r="G342" s="30"/>
      <c r="H342" s="30"/>
      <c r="I342" s="30"/>
      <c r="J342" s="30"/>
      <c r="K342" s="30"/>
      <c r="L342" s="30"/>
      <c r="M342" s="30"/>
      <c r="N342" s="30"/>
      <c r="O342" s="31"/>
      <c r="P342" s="30"/>
      <c r="Q342" s="30"/>
      <c r="R342" s="30"/>
      <c r="S342" s="30"/>
      <c r="T342" s="30"/>
      <c r="U342" s="30"/>
      <c r="V342" s="30"/>
      <c r="W342" s="30"/>
    </row>
    <row r="343">
      <c r="A343" s="30"/>
      <c r="B343" s="30"/>
      <c r="C343" s="30"/>
      <c r="D343" s="30"/>
      <c r="E343" s="30"/>
      <c r="F343" s="30"/>
      <c r="G343" s="30"/>
      <c r="H343" s="30"/>
      <c r="I343" s="30"/>
      <c r="J343" s="30"/>
      <c r="K343" s="30"/>
      <c r="L343" s="30"/>
      <c r="M343" s="30"/>
      <c r="N343" s="30"/>
      <c r="O343" s="31"/>
      <c r="P343" s="30"/>
      <c r="Q343" s="30"/>
      <c r="R343" s="30"/>
      <c r="S343" s="30"/>
      <c r="T343" s="30"/>
      <c r="U343" s="30"/>
      <c r="V343" s="30"/>
      <c r="W343" s="30"/>
    </row>
    <row r="344">
      <c r="A344" s="30"/>
      <c r="B344" s="30"/>
      <c r="C344" s="30"/>
      <c r="D344" s="30"/>
      <c r="E344" s="30"/>
      <c r="F344" s="30"/>
      <c r="G344" s="30"/>
      <c r="H344" s="30"/>
      <c r="I344" s="30"/>
      <c r="J344" s="30"/>
      <c r="K344" s="30"/>
      <c r="L344" s="30"/>
      <c r="M344" s="30"/>
      <c r="N344" s="30"/>
      <c r="O344" s="31"/>
      <c r="P344" s="30"/>
      <c r="Q344" s="30"/>
      <c r="R344" s="30"/>
      <c r="S344" s="30"/>
      <c r="T344" s="30"/>
      <c r="U344" s="30"/>
      <c r="V344" s="30"/>
      <c r="W344" s="30"/>
    </row>
    <row r="345">
      <c r="A345" s="30"/>
      <c r="B345" s="30"/>
      <c r="C345" s="30"/>
      <c r="D345" s="30"/>
      <c r="E345" s="30"/>
      <c r="F345" s="30"/>
      <c r="G345" s="30"/>
      <c r="H345" s="30"/>
      <c r="I345" s="30"/>
      <c r="J345" s="30"/>
      <c r="K345" s="30"/>
      <c r="L345" s="30"/>
      <c r="M345" s="30"/>
      <c r="N345" s="30"/>
      <c r="O345" s="31"/>
      <c r="P345" s="30"/>
      <c r="Q345" s="30"/>
      <c r="R345" s="30"/>
      <c r="S345" s="30"/>
      <c r="T345" s="30"/>
      <c r="U345" s="30"/>
      <c r="V345" s="30"/>
      <c r="W345" s="30"/>
    </row>
    <row r="346">
      <c r="A346" s="30"/>
      <c r="B346" s="30"/>
      <c r="C346" s="30"/>
      <c r="D346" s="30"/>
      <c r="E346" s="30"/>
      <c r="F346" s="30"/>
      <c r="G346" s="30"/>
      <c r="H346" s="30"/>
      <c r="I346" s="30"/>
      <c r="J346" s="30"/>
      <c r="K346" s="30"/>
      <c r="L346" s="30"/>
      <c r="M346" s="30"/>
      <c r="N346" s="30"/>
      <c r="O346" s="31"/>
      <c r="P346" s="30"/>
      <c r="Q346" s="30"/>
      <c r="R346" s="30"/>
      <c r="S346" s="30"/>
      <c r="T346" s="30"/>
      <c r="U346" s="30"/>
      <c r="V346" s="30"/>
      <c r="W346" s="30"/>
    </row>
    <row r="347">
      <c r="A347" s="30"/>
      <c r="B347" s="30"/>
      <c r="C347" s="30"/>
      <c r="D347" s="30"/>
      <c r="E347" s="30"/>
      <c r="F347" s="30"/>
      <c r="G347" s="30"/>
      <c r="H347" s="30"/>
      <c r="I347" s="30"/>
      <c r="J347" s="30"/>
      <c r="K347" s="30"/>
      <c r="L347" s="30"/>
      <c r="M347" s="30"/>
      <c r="N347" s="30"/>
      <c r="O347" s="31"/>
      <c r="P347" s="30"/>
      <c r="Q347" s="30"/>
      <c r="R347" s="30"/>
      <c r="S347" s="30"/>
      <c r="T347" s="30"/>
      <c r="U347" s="30"/>
      <c r="V347" s="30"/>
      <c r="W347" s="30"/>
    </row>
    <row r="348">
      <c r="A348" s="30"/>
      <c r="B348" s="30"/>
      <c r="C348" s="30"/>
      <c r="D348" s="30"/>
      <c r="E348" s="30"/>
      <c r="F348" s="30"/>
      <c r="G348" s="30"/>
      <c r="H348" s="30"/>
      <c r="I348" s="30"/>
      <c r="J348" s="30"/>
      <c r="K348" s="30"/>
      <c r="L348" s="30"/>
      <c r="M348" s="30"/>
      <c r="N348" s="30"/>
      <c r="O348" s="31"/>
      <c r="P348" s="30"/>
      <c r="Q348" s="30"/>
      <c r="R348" s="30"/>
      <c r="S348" s="30"/>
      <c r="T348" s="30"/>
      <c r="U348" s="30"/>
      <c r="V348" s="30"/>
      <c r="W348" s="30"/>
    </row>
    <row r="349">
      <c r="A349" s="30"/>
      <c r="B349" s="30"/>
      <c r="C349" s="30"/>
      <c r="D349" s="30"/>
      <c r="E349" s="30"/>
      <c r="F349" s="30"/>
      <c r="G349" s="30"/>
      <c r="H349" s="30"/>
      <c r="I349" s="30"/>
      <c r="J349" s="30"/>
      <c r="K349" s="30"/>
      <c r="L349" s="30"/>
      <c r="M349" s="30"/>
      <c r="N349" s="30"/>
      <c r="O349" s="35"/>
      <c r="P349" s="30"/>
      <c r="Q349" s="30"/>
      <c r="R349" s="30"/>
      <c r="S349" s="30"/>
      <c r="T349" s="30"/>
      <c r="U349" s="30"/>
      <c r="V349" s="30"/>
      <c r="W349" s="30"/>
    </row>
    <row r="350">
      <c r="A350" s="30"/>
      <c r="B350" s="30"/>
      <c r="C350" s="30"/>
      <c r="D350" s="30"/>
      <c r="E350" s="30"/>
      <c r="F350" s="30"/>
      <c r="G350" s="30"/>
      <c r="H350" s="30"/>
      <c r="I350" s="30"/>
      <c r="J350" s="30"/>
      <c r="K350" s="30"/>
      <c r="L350" s="30"/>
      <c r="M350" s="30"/>
      <c r="N350" s="30"/>
      <c r="O350" s="31"/>
      <c r="P350" s="30"/>
      <c r="Q350" s="30"/>
      <c r="R350" s="30"/>
      <c r="S350" s="30"/>
      <c r="T350" s="30"/>
      <c r="U350" s="30"/>
      <c r="V350" s="30"/>
      <c r="W350" s="30"/>
    </row>
    <row r="351">
      <c r="A351" s="30"/>
      <c r="B351" s="30"/>
      <c r="C351" s="30"/>
      <c r="D351" s="30"/>
      <c r="E351" s="30"/>
      <c r="F351" s="30"/>
      <c r="G351" s="30"/>
      <c r="H351" s="30"/>
      <c r="I351" s="30"/>
      <c r="J351" s="30"/>
      <c r="K351" s="30"/>
      <c r="L351" s="30"/>
      <c r="M351" s="30"/>
      <c r="N351" s="30"/>
      <c r="O351" s="31"/>
      <c r="P351" s="30"/>
      <c r="Q351" s="30"/>
      <c r="R351" s="30"/>
      <c r="S351" s="30"/>
      <c r="T351" s="30"/>
      <c r="U351" s="30"/>
      <c r="V351" s="30"/>
      <c r="W351" s="30"/>
    </row>
    <row r="352">
      <c r="A352" s="30"/>
      <c r="B352" s="30"/>
      <c r="C352" s="30"/>
      <c r="D352" s="30"/>
      <c r="E352" s="30"/>
      <c r="F352" s="30"/>
      <c r="G352" s="30"/>
      <c r="H352" s="30"/>
      <c r="I352" s="30"/>
      <c r="J352" s="30"/>
      <c r="K352" s="30"/>
      <c r="L352" s="30"/>
      <c r="M352" s="30"/>
      <c r="N352" s="30"/>
      <c r="O352" s="31"/>
      <c r="P352" s="30"/>
      <c r="Q352" s="30"/>
      <c r="R352" s="30"/>
      <c r="S352" s="30"/>
      <c r="T352" s="30"/>
      <c r="U352" s="30"/>
      <c r="V352" s="30"/>
      <c r="W352" s="30"/>
    </row>
    <row r="353">
      <c r="A353" s="30"/>
      <c r="B353" s="30"/>
      <c r="C353" s="30"/>
      <c r="D353" s="30"/>
      <c r="E353" s="30"/>
      <c r="F353" s="30"/>
      <c r="G353" s="30"/>
      <c r="H353" s="30"/>
      <c r="I353" s="30"/>
      <c r="J353" s="30"/>
      <c r="K353" s="30"/>
      <c r="L353" s="30"/>
      <c r="M353" s="30"/>
      <c r="N353" s="30"/>
      <c r="O353" s="31"/>
      <c r="P353" s="30"/>
      <c r="Q353" s="30"/>
      <c r="R353" s="30"/>
      <c r="S353" s="30"/>
      <c r="T353" s="30"/>
      <c r="U353" s="30"/>
      <c r="V353" s="30"/>
      <c r="W353" s="30"/>
    </row>
    <row r="354">
      <c r="A354" s="30"/>
      <c r="B354" s="30"/>
      <c r="C354" s="30"/>
      <c r="D354" s="30"/>
      <c r="E354" s="30"/>
      <c r="F354" s="30"/>
      <c r="G354" s="30"/>
      <c r="H354" s="30"/>
      <c r="I354" s="30"/>
      <c r="J354" s="30"/>
      <c r="K354" s="30"/>
      <c r="L354" s="30"/>
      <c r="M354" s="30"/>
      <c r="N354" s="30"/>
      <c r="O354" s="31"/>
      <c r="P354" s="30"/>
      <c r="Q354" s="30"/>
      <c r="R354" s="30"/>
      <c r="S354" s="30"/>
      <c r="T354" s="30"/>
      <c r="U354" s="30"/>
      <c r="V354" s="30"/>
      <c r="W354" s="30"/>
    </row>
    <row r="355">
      <c r="A355" s="30"/>
      <c r="B355" s="30"/>
      <c r="C355" s="30"/>
      <c r="D355" s="30"/>
      <c r="E355" s="30"/>
      <c r="F355" s="30"/>
      <c r="G355" s="30"/>
      <c r="H355" s="30"/>
      <c r="I355" s="30"/>
      <c r="J355" s="30"/>
      <c r="K355" s="30"/>
      <c r="L355" s="30"/>
      <c r="M355" s="30"/>
      <c r="N355" s="30"/>
      <c r="O355" s="31"/>
      <c r="P355" s="30"/>
      <c r="Q355" s="30"/>
      <c r="R355" s="30"/>
      <c r="S355" s="30"/>
      <c r="T355" s="30"/>
      <c r="U355" s="30"/>
      <c r="V355" s="30"/>
      <c r="W355" s="30"/>
    </row>
    <row r="356">
      <c r="A356" s="30"/>
      <c r="B356" s="30"/>
      <c r="C356" s="30"/>
      <c r="D356" s="30"/>
      <c r="E356" s="30"/>
      <c r="F356" s="30"/>
      <c r="G356" s="30"/>
      <c r="H356" s="30"/>
      <c r="I356" s="30"/>
      <c r="J356" s="30"/>
      <c r="K356" s="30"/>
      <c r="L356" s="30"/>
      <c r="M356" s="30"/>
      <c r="N356" s="30"/>
      <c r="O356" s="31"/>
      <c r="P356" s="30"/>
      <c r="Q356" s="30"/>
      <c r="R356" s="30"/>
      <c r="S356" s="30"/>
      <c r="T356" s="30"/>
      <c r="U356" s="30"/>
      <c r="V356" s="30"/>
      <c r="W356" s="30"/>
    </row>
    <row r="357">
      <c r="A357" s="30"/>
      <c r="B357" s="30"/>
      <c r="C357" s="30"/>
      <c r="D357" s="30"/>
      <c r="E357" s="30"/>
      <c r="F357" s="30"/>
      <c r="G357" s="30"/>
      <c r="H357" s="30"/>
      <c r="I357" s="30"/>
      <c r="J357" s="30"/>
      <c r="K357" s="30"/>
      <c r="L357" s="30"/>
      <c r="M357" s="30"/>
      <c r="N357" s="30"/>
      <c r="O357" s="31"/>
      <c r="P357" s="30"/>
      <c r="Q357" s="30"/>
      <c r="R357" s="30"/>
      <c r="S357" s="30"/>
      <c r="T357" s="30"/>
      <c r="U357" s="30"/>
      <c r="V357" s="30"/>
      <c r="W357" s="30"/>
    </row>
    <row r="358">
      <c r="A358" s="30"/>
      <c r="B358" s="30"/>
      <c r="C358" s="30"/>
      <c r="D358" s="30"/>
      <c r="E358" s="30"/>
      <c r="F358" s="30"/>
      <c r="G358" s="30"/>
      <c r="H358" s="30"/>
      <c r="I358" s="30"/>
      <c r="J358" s="30"/>
      <c r="K358" s="30"/>
      <c r="L358" s="30"/>
      <c r="M358" s="30"/>
      <c r="N358" s="30"/>
      <c r="O358" s="31"/>
      <c r="P358" s="30"/>
      <c r="Q358" s="30"/>
      <c r="R358" s="30"/>
      <c r="S358" s="30"/>
      <c r="T358" s="30"/>
      <c r="U358" s="30"/>
      <c r="V358" s="30"/>
      <c r="W358" s="30"/>
    </row>
    <row r="359">
      <c r="A359" s="30"/>
      <c r="B359" s="30"/>
      <c r="C359" s="30"/>
      <c r="D359" s="30"/>
      <c r="E359" s="30"/>
      <c r="F359" s="30"/>
      <c r="G359" s="30"/>
      <c r="H359" s="30"/>
      <c r="I359" s="30"/>
      <c r="J359" s="30"/>
      <c r="K359" s="30"/>
      <c r="L359" s="30"/>
      <c r="M359" s="30"/>
      <c r="N359" s="30"/>
      <c r="O359" s="31"/>
      <c r="P359" s="30"/>
      <c r="Q359" s="30"/>
      <c r="R359" s="30"/>
      <c r="S359" s="30"/>
      <c r="T359" s="30"/>
      <c r="U359" s="30"/>
      <c r="V359" s="30"/>
      <c r="W359" s="30"/>
    </row>
    <row r="360">
      <c r="A360" s="30"/>
      <c r="B360" s="30"/>
      <c r="C360" s="30"/>
      <c r="D360" s="30"/>
      <c r="E360" s="30"/>
      <c r="F360" s="30"/>
      <c r="G360" s="30"/>
      <c r="H360" s="30"/>
      <c r="I360" s="30"/>
      <c r="J360" s="30"/>
      <c r="K360" s="30"/>
      <c r="L360" s="30"/>
      <c r="M360" s="30"/>
      <c r="N360" s="30"/>
      <c r="O360" s="31"/>
      <c r="P360" s="30"/>
      <c r="Q360" s="30"/>
      <c r="R360" s="30"/>
      <c r="S360" s="30"/>
      <c r="T360" s="30"/>
      <c r="U360" s="30"/>
      <c r="V360" s="30"/>
      <c r="W360" s="30"/>
    </row>
    <row r="361">
      <c r="A361" s="30"/>
      <c r="B361" s="30"/>
      <c r="C361" s="30"/>
      <c r="D361" s="30"/>
      <c r="E361" s="30"/>
      <c r="F361" s="30"/>
      <c r="G361" s="30"/>
      <c r="H361" s="30"/>
      <c r="I361" s="30"/>
      <c r="J361" s="30"/>
      <c r="K361" s="30"/>
      <c r="L361" s="30"/>
      <c r="M361" s="30"/>
      <c r="N361" s="30"/>
      <c r="O361" s="31"/>
      <c r="P361" s="30"/>
      <c r="Q361" s="30"/>
      <c r="R361" s="30"/>
      <c r="S361" s="30"/>
      <c r="T361" s="30"/>
      <c r="U361" s="30"/>
      <c r="V361" s="30"/>
      <c r="W361" s="30"/>
    </row>
    <row r="362">
      <c r="A362" s="30"/>
      <c r="B362" s="30"/>
      <c r="C362" s="30"/>
      <c r="D362" s="30"/>
      <c r="E362" s="30"/>
      <c r="F362" s="30"/>
      <c r="G362" s="30"/>
      <c r="H362" s="30"/>
      <c r="I362" s="30"/>
      <c r="J362" s="30"/>
      <c r="K362" s="30"/>
      <c r="L362" s="30"/>
      <c r="M362" s="30"/>
      <c r="N362" s="30"/>
      <c r="O362" s="31"/>
      <c r="P362" s="30"/>
      <c r="Q362" s="30"/>
      <c r="R362" s="30"/>
      <c r="S362" s="30"/>
      <c r="T362" s="30"/>
      <c r="U362" s="30"/>
      <c r="V362" s="30"/>
      <c r="W362" s="30"/>
    </row>
    <row r="363">
      <c r="A363" s="30"/>
      <c r="B363" s="30"/>
      <c r="C363" s="30"/>
      <c r="D363" s="30"/>
      <c r="E363" s="30"/>
      <c r="F363" s="30"/>
      <c r="G363" s="30"/>
      <c r="H363" s="30"/>
      <c r="I363" s="30"/>
      <c r="J363" s="30"/>
      <c r="K363" s="30"/>
      <c r="L363" s="30"/>
      <c r="M363" s="30"/>
      <c r="N363" s="30"/>
      <c r="O363" s="31"/>
      <c r="P363" s="30"/>
      <c r="Q363" s="30"/>
      <c r="R363" s="30"/>
      <c r="S363" s="30"/>
      <c r="T363" s="30"/>
      <c r="U363" s="30"/>
      <c r="V363" s="30"/>
      <c r="W363" s="30"/>
    </row>
    <row r="364">
      <c r="A364" s="30"/>
      <c r="B364" s="30"/>
      <c r="C364" s="30"/>
      <c r="D364" s="30"/>
      <c r="E364" s="30"/>
      <c r="F364" s="30"/>
      <c r="G364" s="30"/>
      <c r="H364" s="30"/>
      <c r="I364" s="30"/>
      <c r="J364" s="30"/>
      <c r="K364" s="30"/>
      <c r="L364" s="30"/>
      <c r="M364" s="30"/>
      <c r="N364" s="30"/>
      <c r="O364" s="31"/>
      <c r="P364" s="30"/>
      <c r="Q364" s="30"/>
      <c r="R364" s="30"/>
      <c r="S364" s="30"/>
      <c r="T364" s="30"/>
      <c r="U364" s="30"/>
      <c r="V364" s="30"/>
      <c r="W364" s="30"/>
    </row>
    <row r="365">
      <c r="A365" s="30"/>
      <c r="B365" s="30"/>
      <c r="C365" s="30"/>
      <c r="D365" s="30"/>
      <c r="E365" s="30"/>
      <c r="F365" s="30"/>
      <c r="G365" s="30"/>
      <c r="H365" s="30"/>
      <c r="I365" s="30"/>
      <c r="J365" s="30"/>
      <c r="K365" s="30"/>
      <c r="L365" s="30"/>
      <c r="M365" s="30"/>
      <c r="N365" s="30"/>
      <c r="O365" s="31"/>
      <c r="P365" s="30"/>
      <c r="Q365" s="30"/>
      <c r="R365" s="30"/>
      <c r="S365" s="30"/>
      <c r="T365" s="30"/>
      <c r="U365" s="30"/>
      <c r="V365" s="30"/>
      <c r="W365" s="30"/>
    </row>
    <row r="366">
      <c r="A366" s="30"/>
      <c r="B366" s="30"/>
      <c r="C366" s="30"/>
      <c r="D366" s="30"/>
      <c r="E366" s="30"/>
      <c r="F366" s="30"/>
      <c r="G366" s="30"/>
      <c r="H366" s="30"/>
      <c r="I366" s="30"/>
      <c r="J366" s="30"/>
      <c r="K366" s="30"/>
      <c r="L366" s="30"/>
      <c r="M366" s="30"/>
      <c r="N366" s="30"/>
      <c r="O366" s="31"/>
      <c r="P366" s="30"/>
      <c r="Q366" s="30"/>
      <c r="R366" s="30"/>
      <c r="S366" s="30"/>
      <c r="T366" s="30"/>
      <c r="U366" s="30"/>
      <c r="V366" s="30"/>
      <c r="W366" s="30"/>
    </row>
    <row r="367">
      <c r="A367" s="30"/>
      <c r="B367" s="30"/>
      <c r="C367" s="30"/>
      <c r="D367" s="30"/>
      <c r="E367" s="30"/>
      <c r="F367" s="30"/>
      <c r="G367" s="30"/>
      <c r="H367" s="30"/>
      <c r="I367" s="30"/>
      <c r="J367" s="30"/>
      <c r="K367" s="30"/>
      <c r="L367" s="30"/>
      <c r="M367" s="30"/>
      <c r="N367" s="30"/>
      <c r="O367" s="31"/>
      <c r="P367" s="30"/>
      <c r="Q367" s="30"/>
      <c r="R367" s="30"/>
      <c r="S367" s="30"/>
      <c r="T367" s="30"/>
      <c r="U367" s="30"/>
      <c r="V367" s="30"/>
      <c r="W367" s="30"/>
    </row>
    <row r="368">
      <c r="A368" s="30"/>
      <c r="B368" s="30"/>
      <c r="C368" s="30"/>
      <c r="D368" s="30"/>
      <c r="E368" s="30"/>
      <c r="F368" s="30"/>
      <c r="G368" s="30"/>
      <c r="H368" s="30"/>
      <c r="I368" s="30"/>
      <c r="J368" s="30"/>
      <c r="K368" s="30"/>
      <c r="L368" s="30"/>
      <c r="M368" s="30"/>
      <c r="N368" s="30"/>
      <c r="O368" s="31"/>
      <c r="P368" s="30"/>
      <c r="Q368" s="30"/>
      <c r="R368" s="30"/>
      <c r="S368" s="30"/>
      <c r="T368" s="30"/>
      <c r="U368" s="30"/>
      <c r="V368" s="30"/>
      <c r="W368" s="30"/>
    </row>
    <row r="369">
      <c r="A369" s="30"/>
      <c r="B369" s="30"/>
      <c r="C369" s="30"/>
      <c r="D369" s="30"/>
      <c r="E369" s="30"/>
      <c r="F369" s="30"/>
      <c r="G369" s="30"/>
      <c r="H369" s="30"/>
      <c r="I369" s="30"/>
      <c r="J369" s="30"/>
      <c r="K369" s="30"/>
      <c r="L369" s="30"/>
      <c r="M369" s="30"/>
      <c r="N369" s="30"/>
      <c r="O369" s="31"/>
      <c r="P369" s="30"/>
      <c r="Q369" s="30"/>
      <c r="R369" s="30"/>
      <c r="S369" s="30"/>
      <c r="T369" s="30"/>
      <c r="U369" s="30"/>
      <c r="V369" s="30"/>
      <c r="W369" s="30"/>
    </row>
    <row r="370">
      <c r="A370" s="30"/>
      <c r="B370" s="30"/>
      <c r="C370" s="30"/>
      <c r="D370" s="30"/>
      <c r="E370" s="30"/>
      <c r="F370" s="30"/>
      <c r="G370" s="30"/>
      <c r="H370" s="30"/>
      <c r="I370" s="30"/>
      <c r="J370" s="30"/>
      <c r="K370" s="30"/>
      <c r="L370" s="30"/>
      <c r="M370" s="30"/>
      <c r="N370" s="30"/>
      <c r="O370" s="31"/>
      <c r="P370" s="30"/>
      <c r="Q370" s="30"/>
      <c r="R370" s="30"/>
      <c r="S370" s="30"/>
      <c r="T370" s="30"/>
      <c r="U370" s="30"/>
      <c r="V370" s="30"/>
      <c r="W370" s="30"/>
    </row>
    <row r="371">
      <c r="A371" s="30"/>
      <c r="B371" s="30"/>
      <c r="C371" s="30"/>
      <c r="D371" s="30"/>
      <c r="E371" s="30"/>
      <c r="F371" s="30"/>
      <c r="G371" s="30"/>
      <c r="H371" s="30"/>
      <c r="I371" s="30"/>
      <c r="J371" s="30"/>
      <c r="K371" s="30"/>
      <c r="L371" s="30"/>
      <c r="M371" s="30"/>
      <c r="N371" s="30"/>
      <c r="O371" s="31"/>
      <c r="P371" s="30"/>
      <c r="Q371" s="30"/>
      <c r="R371" s="30"/>
      <c r="S371" s="30"/>
      <c r="T371" s="30"/>
      <c r="U371" s="30"/>
      <c r="V371" s="30"/>
      <c r="W371" s="30"/>
    </row>
    <row r="372">
      <c r="A372" s="30"/>
      <c r="B372" s="30"/>
      <c r="C372" s="30"/>
      <c r="D372" s="30"/>
      <c r="E372" s="30"/>
      <c r="F372" s="30"/>
      <c r="G372" s="30"/>
      <c r="H372" s="30"/>
      <c r="I372" s="30"/>
      <c r="J372" s="30"/>
      <c r="K372" s="30"/>
      <c r="L372" s="30"/>
      <c r="M372" s="30"/>
      <c r="N372" s="30"/>
      <c r="O372" s="31"/>
      <c r="P372" s="30"/>
      <c r="Q372" s="30"/>
      <c r="R372" s="30"/>
      <c r="S372" s="30"/>
      <c r="T372" s="30"/>
      <c r="U372" s="30"/>
      <c r="V372" s="30"/>
      <c r="W372" s="30"/>
    </row>
    <row r="373">
      <c r="A373" s="30"/>
      <c r="B373" s="30"/>
      <c r="C373" s="30"/>
      <c r="D373" s="30"/>
      <c r="E373" s="30"/>
      <c r="F373" s="30"/>
      <c r="G373" s="30"/>
      <c r="H373" s="30"/>
      <c r="I373" s="30"/>
      <c r="J373" s="30"/>
      <c r="K373" s="30"/>
      <c r="L373" s="30"/>
      <c r="M373" s="30"/>
      <c r="N373" s="30"/>
      <c r="O373" s="31"/>
      <c r="P373" s="30"/>
      <c r="Q373" s="30"/>
      <c r="R373" s="30"/>
      <c r="S373" s="30"/>
      <c r="T373" s="30"/>
      <c r="U373" s="30"/>
      <c r="V373" s="30"/>
      <c r="W373" s="30"/>
    </row>
    <row r="374">
      <c r="A374" s="30"/>
      <c r="B374" s="30"/>
      <c r="C374" s="30"/>
      <c r="D374" s="30"/>
      <c r="E374" s="30"/>
      <c r="F374" s="30"/>
      <c r="G374" s="30"/>
      <c r="H374" s="30"/>
      <c r="I374" s="30"/>
      <c r="J374" s="30"/>
      <c r="K374" s="30"/>
      <c r="L374" s="30"/>
      <c r="M374" s="30"/>
      <c r="N374" s="30"/>
      <c r="O374" s="31"/>
      <c r="P374" s="30"/>
      <c r="Q374" s="30"/>
      <c r="R374" s="30"/>
      <c r="S374" s="30"/>
      <c r="T374" s="30"/>
      <c r="U374" s="30"/>
      <c r="V374" s="30"/>
      <c r="W374" s="30"/>
    </row>
    <row r="375">
      <c r="A375" s="30"/>
      <c r="B375" s="30"/>
      <c r="C375" s="30"/>
      <c r="D375" s="30"/>
      <c r="E375" s="30"/>
      <c r="F375" s="30"/>
      <c r="G375" s="30"/>
      <c r="H375" s="30"/>
      <c r="I375" s="30"/>
      <c r="J375" s="30"/>
      <c r="K375" s="30"/>
      <c r="L375" s="30"/>
      <c r="M375" s="30"/>
      <c r="N375" s="30"/>
      <c r="O375" s="31"/>
      <c r="P375" s="30"/>
      <c r="Q375" s="30"/>
      <c r="R375" s="30"/>
      <c r="S375" s="30"/>
      <c r="T375" s="30"/>
      <c r="U375" s="30"/>
      <c r="V375" s="30"/>
      <c r="W375" s="30"/>
    </row>
    <row r="376">
      <c r="A376" s="30"/>
      <c r="B376" s="30"/>
      <c r="C376" s="30"/>
      <c r="D376" s="30"/>
      <c r="E376" s="30"/>
      <c r="F376" s="30"/>
      <c r="G376" s="30"/>
      <c r="H376" s="30"/>
      <c r="I376" s="30"/>
      <c r="J376" s="30"/>
      <c r="K376" s="30"/>
      <c r="L376" s="30"/>
      <c r="M376" s="30"/>
      <c r="N376" s="30"/>
      <c r="O376" s="31"/>
      <c r="P376" s="30"/>
      <c r="Q376" s="30"/>
      <c r="R376" s="30"/>
      <c r="S376" s="30"/>
      <c r="T376" s="30"/>
      <c r="U376" s="30"/>
      <c r="V376" s="30"/>
      <c r="W376" s="30"/>
    </row>
    <row r="377">
      <c r="A377" s="30"/>
      <c r="B377" s="30"/>
      <c r="C377" s="30"/>
      <c r="D377" s="30"/>
      <c r="E377" s="30"/>
      <c r="F377" s="30"/>
      <c r="G377" s="30"/>
      <c r="H377" s="30"/>
      <c r="I377" s="30"/>
      <c r="J377" s="30"/>
      <c r="K377" s="30"/>
      <c r="L377" s="30"/>
      <c r="M377" s="30"/>
      <c r="N377" s="30"/>
      <c r="O377" s="31"/>
      <c r="P377" s="30"/>
      <c r="Q377" s="30"/>
      <c r="R377" s="30"/>
      <c r="S377" s="30"/>
      <c r="T377" s="30"/>
      <c r="U377" s="30"/>
      <c r="V377" s="30"/>
      <c r="W377" s="30"/>
    </row>
    <row r="378">
      <c r="A378" s="30"/>
      <c r="B378" s="30"/>
      <c r="C378" s="30"/>
      <c r="D378" s="30"/>
      <c r="E378" s="30"/>
      <c r="F378" s="30"/>
      <c r="G378" s="30"/>
      <c r="H378" s="30"/>
      <c r="I378" s="30"/>
      <c r="J378" s="30"/>
      <c r="K378" s="30"/>
      <c r="L378" s="30"/>
      <c r="M378" s="30"/>
      <c r="N378" s="30"/>
      <c r="O378" s="31"/>
      <c r="P378" s="30"/>
      <c r="Q378" s="30"/>
      <c r="R378" s="30"/>
      <c r="S378" s="30"/>
      <c r="T378" s="30"/>
      <c r="U378" s="30"/>
      <c r="V378" s="30"/>
      <c r="W378" s="30"/>
    </row>
    <row r="379">
      <c r="A379" s="30"/>
      <c r="B379" s="30"/>
      <c r="C379" s="30"/>
      <c r="D379" s="30"/>
      <c r="E379" s="30"/>
      <c r="F379" s="30"/>
      <c r="G379" s="30"/>
      <c r="H379" s="30"/>
      <c r="I379" s="30"/>
      <c r="J379" s="30"/>
      <c r="K379" s="30"/>
      <c r="L379" s="30"/>
      <c r="M379" s="30"/>
      <c r="N379" s="30"/>
      <c r="O379" s="31"/>
      <c r="P379" s="30"/>
      <c r="Q379" s="30"/>
      <c r="R379" s="30"/>
      <c r="S379" s="30"/>
      <c r="T379" s="30"/>
      <c r="U379" s="30"/>
      <c r="V379" s="30"/>
      <c r="W379" s="30"/>
    </row>
    <row r="380">
      <c r="A380" s="30"/>
      <c r="B380" s="30"/>
      <c r="C380" s="30"/>
      <c r="D380" s="30"/>
      <c r="E380" s="30"/>
      <c r="F380" s="30"/>
      <c r="G380" s="30"/>
      <c r="H380" s="30"/>
      <c r="I380" s="30"/>
      <c r="J380" s="30"/>
      <c r="K380" s="30"/>
      <c r="L380" s="30"/>
      <c r="M380" s="30"/>
      <c r="N380" s="30"/>
      <c r="O380" s="31"/>
      <c r="P380" s="30"/>
      <c r="Q380" s="30"/>
      <c r="R380" s="30"/>
      <c r="S380" s="30"/>
      <c r="T380" s="30"/>
      <c r="U380" s="30"/>
      <c r="V380" s="30"/>
      <c r="W380" s="30"/>
    </row>
    <row r="381">
      <c r="A381" s="30"/>
      <c r="B381" s="30"/>
      <c r="C381" s="30"/>
      <c r="D381" s="30"/>
      <c r="E381" s="30"/>
      <c r="F381" s="30"/>
      <c r="G381" s="30"/>
      <c r="H381" s="30"/>
      <c r="I381" s="30"/>
      <c r="J381" s="30"/>
      <c r="K381" s="30"/>
      <c r="L381" s="30"/>
      <c r="M381" s="30"/>
      <c r="N381" s="30"/>
      <c r="O381" s="31"/>
      <c r="P381" s="30"/>
      <c r="Q381" s="30"/>
      <c r="R381" s="30"/>
      <c r="S381" s="30"/>
      <c r="T381" s="30"/>
      <c r="U381" s="30"/>
      <c r="V381" s="30"/>
      <c r="W381" s="30"/>
    </row>
    <row r="382">
      <c r="A382" s="30"/>
      <c r="B382" s="30"/>
      <c r="C382" s="30"/>
      <c r="D382" s="30"/>
      <c r="E382" s="30"/>
      <c r="F382" s="30"/>
      <c r="G382" s="30"/>
      <c r="H382" s="30"/>
      <c r="I382" s="30"/>
      <c r="J382" s="30"/>
      <c r="K382" s="30"/>
      <c r="L382" s="30"/>
      <c r="M382" s="30"/>
      <c r="N382" s="30"/>
      <c r="O382" s="31"/>
      <c r="P382" s="30"/>
      <c r="Q382" s="30"/>
      <c r="R382" s="30"/>
      <c r="S382" s="30"/>
      <c r="T382" s="30"/>
      <c r="U382" s="30"/>
      <c r="V382" s="30"/>
      <c r="W382" s="30"/>
    </row>
    <row r="383">
      <c r="A383" s="30"/>
      <c r="B383" s="30"/>
      <c r="C383" s="30"/>
      <c r="D383" s="30"/>
      <c r="E383" s="30"/>
      <c r="F383" s="30"/>
      <c r="G383" s="30"/>
      <c r="H383" s="30"/>
      <c r="I383" s="30"/>
      <c r="J383" s="30"/>
      <c r="K383" s="30"/>
      <c r="L383" s="30"/>
      <c r="M383" s="30"/>
      <c r="N383" s="30"/>
      <c r="O383" s="31"/>
      <c r="P383" s="30"/>
      <c r="Q383" s="30"/>
      <c r="R383" s="30"/>
      <c r="S383" s="30"/>
      <c r="T383" s="30"/>
      <c r="U383" s="30"/>
      <c r="V383" s="30"/>
      <c r="W383" s="30"/>
    </row>
    <row r="384">
      <c r="A384" s="30"/>
      <c r="B384" s="30"/>
      <c r="C384" s="30"/>
      <c r="D384" s="30"/>
      <c r="E384" s="30"/>
      <c r="F384" s="30"/>
      <c r="G384" s="30"/>
      <c r="H384" s="30"/>
      <c r="I384" s="30"/>
      <c r="J384" s="30"/>
      <c r="K384" s="30"/>
      <c r="L384" s="30"/>
      <c r="M384" s="30"/>
      <c r="N384" s="30"/>
      <c r="O384" s="31"/>
      <c r="P384" s="30"/>
      <c r="Q384" s="30"/>
      <c r="R384" s="30"/>
      <c r="S384" s="30"/>
      <c r="T384" s="30"/>
      <c r="U384" s="30"/>
      <c r="V384" s="30"/>
      <c r="W384" s="30"/>
    </row>
    <row r="385">
      <c r="A385" s="30"/>
      <c r="B385" s="30"/>
      <c r="C385" s="30"/>
      <c r="D385" s="30"/>
      <c r="E385" s="30"/>
      <c r="F385" s="30"/>
      <c r="G385" s="30"/>
      <c r="H385" s="30"/>
      <c r="I385" s="30"/>
      <c r="J385" s="30"/>
      <c r="K385" s="30"/>
      <c r="L385" s="30"/>
      <c r="M385" s="30"/>
      <c r="N385" s="30"/>
      <c r="O385" s="31"/>
      <c r="P385" s="30"/>
      <c r="Q385" s="30"/>
      <c r="R385" s="30"/>
      <c r="S385" s="30"/>
      <c r="T385" s="30"/>
      <c r="U385" s="30"/>
      <c r="V385" s="30"/>
      <c r="W385" s="30"/>
    </row>
    <row r="386">
      <c r="A386" s="30"/>
      <c r="B386" s="30"/>
      <c r="C386" s="30"/>
      <c r="D386" s="30"/>
      <c r="E386" s="30"/>
      <c r="F386" s="30"/>
      <c r="G386" s="30"/>
      <c r="H386" s="30"/>
      <c r="I386" s="30"/>
      <c r="J386" s="30"/>
      <c r="K386" s="30"/>
      <c r="L386" s="30"/>
      <c r="M386" s="30"/>
      <c r="N386" s="30"/>
      <c r="O386" s="31"/>
      <c r="P386" s="30"/>
      <c r="Q386" s="30"/>
      <c r="R386" s="30"/>
      <c r="S386" s="30"/>
      <c r="T386" s="30"/>
      <c r="U386" s="30"/>
      <c r="V386" s="30"/>
      <c r="W386" s="30"/>
    </row>
    <row r="387">
      <c r="A387" s="30"/>
      <c r="B387" s="30"/>
      <c r="C387" s="30"/>
      <c r="D387" s="30"/>
      <c r="E387" s="30"/>
      <c r="F387" s="30"/>
      <c r="G387" s="30"/>
      <c r="H387" s="30"/>
      <c r="I387" s="30"/>
      <c r="J387" s="30"/>
      <c r="K387" s="30"/>
      <c r="L387" s="30"/>
      <c r="M387" s="30"/>
      <c r="N387" s="30"/>
      <c r="O387" s="31"/>
      <c r="P387" s="30"/>
      <c r="Q387" s="30"/>
      <c r="R387" s="30"/>
      <c r="S387" s="30"/>
      <c r="T387" s="30"/>
      <c r="U387" s="30"/>
      <c r="V387" s="30"/>
      <c r="W387" s="30"/>
    </row>
    <row r="388">
      <c r="A388" s="30"/>
      <c r="B388" s="30"/>
      <c r="C388" s="30"/>
      <c r="D388" s="30"/>
      <c r="E388" s="30"/>
      <c r="F388" s="30"/>
      <c r="G388" s="30"/>
      <c r="H388" s="30"/>
      <c r="I388" s="30"/>
      <c r="J388" s="30"/>
      <c r="K388" s="30"/>
      <c r="L388" s="30"/>
      <c r="M388" s="30"/>
      <c r="N388" s="30"/>
      <c r="O388" s="31"/>
      <c r="P388" s="30"/>
      <c r="Q388" s="30"/>
      <c r="R388" s="30"/>
      <c r="S388" s="30"/>
      <c r="T388" s="30"/>
      <c r="U388" s="30"/>
      <c r="V388" s="30"/>
      <c r="W388" s="30"/>
    </row>
    <row r="389">
      <c r="A389" s="30"/>
      <c r="B389" s="30"/>
      <c r="C389" s="30"/>
      <c r="D389" s="30"/>
      <c r="E389" s="30"/>
      <c r="F389" s="30"/>
      <c r="G389" s="30"/>
      <c r="H389" s="30"/>
      <c r="I389" s="30"/>
      <c r="J389" s="30"/>
      <c r="K389" s="30"/>
      <c r="L389" s="30"/>
      <c r="M389" s="30"/>
      <c r="N389" s="30"/>
      <c r="O389" s="31"/>
      <c r="P389" s="30"/>
      <c r="Q389" s="30"/>
      <c r="R389" s="30"/>
      <c r="S389" s="30"/>
      <c r="T389" s="30"/>
      <c r="U389" s="30"/>
      <c r="V389" s="30"/>
      <c r="W389" s="30"/>
    </row>
    <row r="390">
      <c r="A390" s="30"/>
      <c r="B390" s="30"/>
      <c r="C390" s="30"/>
      <c r="D390" s="30"/>
      <c r="E390" s="30"/>
      <c r="F390" s="30"/>
      <c r="G390" s="30"/>
      <c r="H390" s="30"/>
      <c r="I390" s="30"/>
      <c r="J390" s="30"/>
      <c r="K390" s="30"/>
      <c r="L390" s="30"/>
      <c r="M390" s="30"/>
      <c r="N390" s="30"/>
      <c r="O390" s="31"/>
      <c r="P390" s="30"/>
      <c r="Q390" s="30"/>
      <c r="R390" s="30"/>
      <c r="S390" s="30"/>
      <c r="T390" s="30"/>
      <c r="U390" s="30"/>
      <c r="V390" s="30"/>
      <c r="W390" s="30"/>
    </row>
    <row r="391">
      <c r="A391" s="30"/>
      <c r="B391" s="30"/>
      <c r="C391" s="30"/>
      <c r="D391" s="30"/>
      <c r="E391" s="30"/>
      <c r="F391" s="30"/>
      <c r="G391" s="30"/>
      <c r="H391" s="30"/>
      <c r="I391" s="30"/>
      <c r="J391" s="30"/>
      <c r="K391" s="30"/>
      <c r="L391" s="30"/>
      <c r="M391" s="30"/>
      <c r="N391" s="30"/>
      <c r="O391" s="31"/>
      <c r="P391" s="30"/>
      <c r="Q391" s="30"/>
      <c r="R391" s="30"/>
      <c r="S391" s="30"/>
      <c r="T391" s="30"/>
      <c r="U391" s="30"/>
      <c r="V391" s="30"/>
      <c r="W391" s="30"/>
    </row>
    <row r="392">
      <c r="A392" s="30"/>
      <c r="B392" s="30"/>
      <c r="C392" s="30"/>
      <c r="D392" s="30"/>
      <c r="E392" s="30"/>
      <c r="F392" s="30"/>
      <c r="G392" s="30"/>
      <c r="H392" s="30"/>
      <c r="I392" s="30"/>
      <c r="J392" s="30"/>
      <c r="K392" s="30"/>
      <c r="L392" s="30"/>
      <c r="M392" s="30"/>
      <c r="N392" s="30"/>
      <c r="O392" s="31"/>
      <c r="P392" s="30"/>
      <c r="Q392" s="30"/>
      <c r="R392" s="30"/>
      <c r="S392" s="30"/>
      <c r="T392" s="30"/>
      <c r="U392" s="30"/>
      <c r="V392" s="30"/>
      <c r="W392" s="30"/>
    </row>
    <row r="393">
      <c r="A393" s="30"/>
      <c r="B393" s="30"/>
      <c r="C393" s="30"/>
      <c r="D393" s="30"/>
      <c r="E393" s="30"/>
      <c r="F393" s="30"/>
      <c r="G393" s="30"/>
      <c r="H393" s="30"/>
      <c r="I393" s="30"/>
      <c r="J393" s="30"/>
      <c r="K393" s="30"/>
      <c r="L393" s="30"/>
      <c r="M393" s="30"/>
      <c r="N393" s="30"/>
      <c r="O393" s="31"/>
      <c r="P393" s="30"/>
      <c r="Q393" s="30"/>
      <c r="R393" s="30"/>
      <c r="S393" s="30"/>
      <c r="T393" s="30"/>
      <c r="U393" s="30"/>
      <c r="V393" s="30"/>
      <c r="W393" s="30"/>
    </row>
    <row r="394">
      <c r="A394" s="30"/>
      <c r="B394" s="30"/>
      <c r="C394" s="30"/>
      <c r="D394" s="30"/>
      <c r="E394" s="30"/>
      <c r="F394" s="30"/>
      <c r="G394" s="30"/>
      <c r="H394" s="30"/>
      <c r="I394" s="30"/>
      <c r="J394" s="30"/>
      <c r="K394" s="30"/>
      <c r="L394" s="30"/>
      <c r="M394" s="30"/>
      <c r="N394" s="30"/>
      <c r="O394" s="35"/>
      <c r="P394" s="30"/>
      <c r="Q394" s="30"/>
      <c r="R394" s="30"/>
      <c r="S394" s="30"/>
      <c r="T394" s="30"/>
      <c r="U394" s="30"/>
      <c r="V394" s="30"/>
      <c r="W394" s="30"/>
    </row>
    <row r="395">
      <c r="A395" s="30"/>
      <c r="B395" s="30"/>
      <c r="C395" s="30"/>
      <c r="D395" s="30"/>
      <c r="E395" s="30"/>
      <c r="F395" s="30"/>
      <c r="G395" s="30"/>
      <c r="H395" s="30"/>
      <c r="I395" s="30"/>
      <c r="J395" s="30"/>
      <c r="K395" s="30"/>
      <c r="L395" s="30"/>
      <c r="M395" s="30"/>
      <c r="N395" s="30"/>
      <c r="O395" s="31"/>
      <c r="P395" s="30"/>
      <c r="Q395" s="30"/>
      <c r="R395" s="30"/>
      <c r="S395" s="30"/>
      <c r="T395" s="30"/>
      <c r="U395" s="30"/>
      <c r="V395" s="30"/>
      <c r="W395" s="30"/>
    </row>
    <row r="396">
      <c r="A396" s="30"/>
      <c r="B396" s="30"/>
      <c r="C396" s="30"/>
      <c r="D396" s="30"/>
      <c r="E396" s="30"/>
      <c r="F396" s="30"/>
      <c r="G396" s="30"/>
      <c r="H396" s="30"/>
      <c r="I396" s="30"/>
      <c r="J396" s="30"/>
      <c r="K396" s="30"/>
      <c r="L396" s="30"/>
      <c r="M396" s="30"/>
      <c r="N396" s="30"/>
      <c r="O396" s="31"/>
      <c r="P396" s="30"/>
      <c r="Q396" s="30"/>
      <c r="R396" s="30"/>
      <c r="S396" s="30"/>
      <c r="T396" s="30"/>
      <c r="U396" s="30"/>
      <c r="V396" s="30"/>
      <c r="W396" s="30"/>
    </row>
    <row r="397">
      <c r="A397" s="30"/>
      <c r="B397" s="30"/>
      <c r="C397" s="30"/>
      <c r="D397" s="30"/>
      <c r="E397" s="30"/>
      <c r="F397" s="30"/>
      <c r="G397" s="30"/>
      <c r="H397" s="30"/>
      <c r="I397" s="30"/>
      <c r="J397" s="30"/>
      <c r="K397" s="30"/>
      <c r="L397" s="30"/>
      <c r="M397" s="30"/>
      <c r="N397" s="30"/>
      <c r="O397" s="31"/>
      <c r="P397" s="30"/>
      <c r="Q397" s="30"/>
      <c r="R397" s="30"/>
      <c r="S397" s="30"/>
      <c r="T397" s="30"/>
      <c r="U397" s="30"/>
      <c r="V397" s="30"/>
      <c r="W397" s="30"/>
    </row>
    <row r="398">
      <c r="A398" s="30"/>
      <c r="B398" s="30"/>
      <c r="C398" s="30"/>
      <c r="D398" s="30"/>
      <c r="E398" s="30"/>
      <c r="F398" s="30"/>
      <c r="G398" s="30"/>
      <c r="H398" s="30"/>
      <c r="I398" s="30"/>
      <c r="J398" s="30"/>
      <c r="K398" s="30"/>
      <c r="L398" s="30"/>
      <c r="M398" s="30"/>
      <c r="N398" s="30"/>
      <c r="O398" s="31"/>
      <c r="P398" s="30"/>
      <c r="Q398" s="30"/>
      <c r="R398" s="30"/>
      <c r="S398" s="30"/>
      <c r="T398" s="30"/>
      <c r="U398" s="30"/>
      <c r="V398" s="30"/>
      <c r="W398" s="30"/>
    </row>
    <row r="399">
      <c r="A399" s="30"/>
      <c r="B399" s="30"/>
      <c r="C399" s="30"/>
      <c r="D399" s="30"/>
      <c r="E399" s="30"/>
      <c r="F399" s="30"/>
      <c r="G399" s="30"/>
      <c r="H399" s="30"/>
      <c r="I399" s="30"/>
      <c r="J399" s="30"/>
      <c r="K399" s="30"/>
      <c r="L399" s="30"/>
      <c r="M399" s="30"/>
      <c r="N399" s="30"/>
      <c r="O399" s="31"/>
      <c r="P399" s="30"/>
      <c r="Q399" s="30"/>
      <c r="R399" s="30"/>
      <c r="S399" s="30"/>
      <c r="T399" s="30"/>
      <c r="U399" s="30"/>
      <c r="V399" s="30"/>
      <c r="W399" s="30"/>
    </row>
    <row r="400">
      <c r="A400" s="30"/>
      <c r="B400" s="30"/>
      <c r="C400" s="30"/>
      <c r="D400" s="30"/>
      <c r="E400" s="30"/>
      <c r="F400" s="30"/>
      <c r="G400" s="30"/>
      <c r="H400" s="30"/>
      <c r="I400" s="30"/>
      <c r="J400" s="30"/>
      <c r="K400" s="30"/>
      <c r="L400" s="30"/>
      <c r="M400" s="30"/>
      <c r="N400" s="30"/>
      <c r="O400" s="31"/>
      <c r="P400" s="30"/>
      <c r="Q400" s="30"/>
      <c r="R400" s="30"/>
      <c r="S400" s="30"/>
      <c r="T400" s="30"/>
      <c r="U400" s="30"/>
      <c r="V400" s="30"/>
      <c r="W400" s="30"/>
    </row>
    <row r="401">
      <c r="A401" s="30"/>
      <c r="B401" s="30"/>
      <c r="C401" s="30"/>
      <c r="D401" s="30"/>
      <c r="E401" s="30"/>
      <c r="F401" s="30"/>
      <c r="G401" s="30"/>
      <c r="H401" s="30"/>
      <c r="I401" s="30"/>
      <c r="J401" s="30"/>
      <c r="K401" s="30"/>
      <c r="L401" s="30"/>
      <c r="M401" s="30"/>
      <c r="N401" s="30"/>
      <c r="O401" s="31"/>
      <c r="P401" s="30"/>
      <c r="Q401" s="30"/>
      <c r="R401" s="30"/>
      <c r="S401" s="30"/>
      <c r="T401" s="30"/>
      <c r="U401" s="30"/>
      <c r="V401" s="30"/>
      <c r="W401" s="30"/>
    </row>
    <row r="402">
      <c r="A402" s="30"/>
      <c r="B402" s="30"/>
      <c r="C402" s="30"/>
      <c r="D402" s="30"/>
      <c r="E402" s="30"/>
      <c r="F402" s="30"/>
      <c r="G402" s="30"/>
      <c r="H402" s="30"/>
      <c r="I402" s="30"/>
      <c r="J402" s="30"/>
      <c r="K402" s="30"/>
      <c r="L402" s="30"/>
      <c r="M402" s="30"/>
      <c r="N402" s="30"/>
      <c r="O402" s="31"/>
      <c r="P402" s="30"/>
      <c r="Q402" s="30"/>
      <c r="R402" s="30"/>
      <c r="S402" s="30"/>
      <c r="T402" s="30"/>
      <c r="U402" s="30"/>
      <c r="V402" s="30"/>
      <c r="W402" s="30"/>
    </row>
    <row r="403">
      <c r="A403" s="30"/>
      <c r="B403" s="30"/>
      <c r="C403" s="30"/>
      <c r="D403" s="30"/>
      <c r="E403" s="30"/>
      <c r="F403" s="30"/>
      <c r="G403" s="30"/>
      <c r="H403" s="30"/>
      <c r="I403" s="30"/>
      <c r="J403" s="30"/>
      <c r="K403" s="30"/>
      <c r="L403" s="30"/>
      <c r="M403" s="30"/>
      <c r="N403" s="30"/>
      <c r="O403" s="31"/>
      <c r="P403" s="30"/>
      <c r="Q403" s="30"/>
      <c r="R403" s="30"/>
      <c r="S403" s="30"/>
      <c r="T403" s="30"/>
      <c r="U403" s="30"/>
      <c r="V403" s="30"/>
      <c r="W403" s="30"/>
    </row>
    <row r="404">
      <c r="A404" s="30"/>
      <c r="B404" s="30"/>
      <c r="C404" s="30"/>
      <c r="D404" s="30"/>
      <c r="E404" s="30"/>
      <c r="F404" s="30"/>
      <c r="G404" s="30"/>
      <c r="H404" s="30"/>
      <c r="I404" s="30"/>
      <c r="J404" s="30"/>
      <c r="K404" s="30"/>
      <c r="L404" s="30"/>
      <c r="M404" s="30"/>
      <c r="N404" s="30"/>
      <c r="O404" s="31"/>
      <c r="P404" s="30"/>
      <c r="Q404" s="30"/>
      <c r="R404" s="30"/>
      <c r="S404" s="30"/>
      <c r="T404" s="30"/>
      <c r="U404" s="30"/>
      <c r="V404" s="30"/>
      <c r="W404" s="30"/>
    </row>
    <row r="405">
      <c r="A405" s="30"/>
      <c r="B405" s="30"/>
      <c r="C405" s="30"/>
      <c r="D405" s="30"/>
      <c r="E405" s="30"/>
      <c r="F405" s="30"/>
      <c r="G405" s="30"/>
      <c r="H405" s="30"/>
      <c r="I405" s="30"/>
      <c r="J405" s="30"/>
      <c r="K405" s="30"/>
      <c r="L405" s="30"/>
      <c r="M405" s="30"/>
      <c r="N405" s="30"/>
      <c r="O405" s="31"/>
      <c r="P405" s="30"/>
      <c r="Q405" s="30"/>
      <c r="R405" s="30"/>
      <c r="S405" s="30"/>
      <c r="T405" s="30"/>
      <c r="U405" s="30"/>
      <c r="V405" s="30"/>
      <c r="W405" s="30"/>
    </row>
    <row r="406">
      <c r="A406" s="30"/>
      <c r="B406" s="30"/>
      <c r="C406" s="30"/>
      <c r="D406" s="30"/>
      <c r="E406" s="30"/>
      <c r="F406" s="30"/>
      <c r="G406" s="30"/>
      <c r="H406" s="30"/>
      <c r="I406" s="30"/>
      <c r="J406" s="30"/>
      <c r="K406" s="30"/>
      <c r="L406" s="30"/>
      <c r="M406" s="30"/>
      <c r="N406" s="30"/>
      <c r="O406" s="31"/>
      <c r="P406" s="30"/>
      <c r="Q406" s="30"/>
      <c r="R406" s="30"/>
      <c r="S406" s="30"/>
      <c r="T406" s="30"/>
      <c r="U406" s="30"/>
      <c r="V406" s="30"/>
      <c r="W406" s="30"/>
    </row>
    <row r="407">
      <c r="A407" s="30"/>
      <c r="B407" s="30"/>
      <c r="C407" s="30"/>
      <c r="D407" s="30"/>
      <c r="E407" s="30"/>
      <c r="F407" s="30"/>
      <c r="G407" s="30"/>
      <c r="H407" s="30"/>
      <c r="I407" s="30"/>
      <c r="J407" s="30"/>
      <c r="K407" s="30"/>
      <c r="L407" s="30"/>
      <c r="M407" s="30"/>
      <c r="N407" s="30"/>
      <c r="O407" s="31"/>
      <c r="P407" s="30"/>
      <c r="Q407" s="30"/>
      <c r="R407" s="30"/>
      <c r="S407" s="30"/>
      <c r="T407" s="30"/>
      <c r="U407" s="30"/>
      <c r="V407" s="30"/>
      <c r="W407" s="30"/>
    </row>
    <row r="408">
      <c r="A408" s="30"/>
      <c r="B408" s="30"/>
      <c r="C408" s="30"/>
      <c r="D408" s="30"/>
      <c r="E408" s="30"/>
      <c r="F408" s="30"/>
      <c r="G408" s="30"/>
      <c r="H408" s="30"/>
      <c r="I408" s="30"/>
      <c r="J408" s="30"/>
      <c r="K408" s="30"/>
      <c r="L408" s="30"/>
      <c r="M408" s="30"/>
      <c r="N408" s="30"/>
      <c r="O408" s="31"/>
      <c r="P408" s="30"/>
      <c r="Q408" s="30"/>
      <c r="R408" s="30"/>
      <c r="S408" s="30"/>
      <c r="T408" s="30"/>
      <c r="U408" s="30"/>
      <c r="V408" s="30"/>
      <c r="W408" s="30"/>
    </row>
    <row r="409">
      <c r="A409" s="30"/>
      <c r="B409" s="30"/>
      <c r="C409" s="30"/>
      <c r="D409" s="30"/>
      <c r="E409" s="30"/>
      <c r="F409" s="30"/>
      <c r="G409" s="30"/>
      <c r="H409" s="30"/>
      <c r="I409" s="30"/>
      <c r="J409" s="30"/>
      <c r="K409" s="30"/>
      <c r="L409" s="30"/>
      <c r="M409" s="30"/>
      <c r="N409" s="30"/>
      <c r="O409" s="31"/>
      <c r="P409" s="30"/>
      <c r="Q409" s="30"/>
      <c r="R409" s="30"/>
      <c r="S409" s="30"/>
      <c r="T409" s="30"/>
      <c r="U409" s="30"/>
      <c r="V409" s="30"/>
      <c r="W409" s="30"/>
    </row>
    <row r="410">
      <c r="A410" s="30"/>
      <c r="B410" s="30"/>
      <c r="C410" s="30"/>
      <c r="D410" s="30"/>
      <c r="E410" s="30"/>
      <c r="F410" s="30"/>
      <c r="G410" s="30"/>
      <c r="H410" s="30"/>
      <c r="I410" s="30"/>
      <c r="J410" s="30"/>
      <c r="K410" s="30"/>
      <c r="L410" s="30"/>
      <c r="M410" s="30"/>
      <c r="N410" s="30"/>
      <c r="O410" s="31"/>
      <c r="P410" s="30"/>
      <c r="Q410" s="30"/>
      <c r="R410" s="30"/>
      <c r="S410" s="30"/>
      <c r="T410" s="30"/>
      <c r="U410" s="30"/>
      <c r="V410" s="30"/>
      <c r="W410" s="30"/>
    </row>
    <row r="411">
      <c r="A411" s="30"/>
      <c r="B411" s="30"/>
      <c r="C411" s="30"/>
      <c r="D411" s="30"/>
      <c r="E411" s="30"/>
      <c r="F411" s="30"/>
      <c r="G411" s="30"/>
      <c r="H411" s="30"/>
      <c r="I411" s="30"/>
      <c r="J411" s="30"/>
      <c r="K411" s="30"/>
      <c r="L411" s="30"/>
      <c r="M411" s="30"/>
      <c r="N411" s="30"/>
      <c r="O411" s="31"/>
      <c r="P411" s="30"/>
      <c r="Q411" s="30"/>
      <c r="R411" s="30"/>
      <c r="S411" s="30"/>
      <c r="T411" s="30"/>
      <c r="U411" s="30"/>
      <c r="V411" s="30"/>
      <c r="W411" s="30"/>
    </row>
    <row r="412">
      <c r="A412" s="30"/>
      <c r="B412" s="30"/>
      <c r="C412" s="30"/>
      <c r="D412" s="30"/>
      <c r="E412" s="30"/>
      <c r="F412" s="30"/>
      <c r="G412" s="30"/>
      <c r="H412" s="30"/>
      <c r="I412" s="30"/>
      <c r="J412" s="30"/>
      <c r="K412" s="30"/>
      <c r="L412" s="30"/>
      <c r="M412" s="30"/>
      <c r="N412" s="30"/>
      <c r="O412" s="31"/>
      <c r="P412" s="30"/>
      <c r="Q412" s="30"/>
      <c r="R412" s="30"/>
      <c r="S412" s="30"/>
      <c r="T412" s="30"/>
      <c r="U412" s="30"/>
      <c r="V412" s="30"/>
      <c r="W412" s="30"/>
    </row>
    <row r="413">
      <c r="A413" s="30"/>
      <c r="B413" s="30"/>
      <c r="C413" s="30"/>
      <c r="D413" s="30"/>
      <c r="E413" s="30"/>
      <c r="F413" s="30"/>
      <c r="G413" s="30"/>
      <c r="H413" s="30"/>
      <c r="I413" s="30"/>
      <c r="J413" s="30"/>
      <c r="K413" s="30"/>
      <c r="L413" s="30"/>
      <c r="M413" s="30"/>
      <c r="N413" s="30"/>
      <c r="O413" s="31"/>
      <c r="P413" s="30"/>
      <c r="Q413" s="30"/>
      <c r="R413" s="30"/>
      <c r="S413" s="30"/>
      <c r="T413" s="30"/>
      <c r="U413" s="30"/>
      <c r="V413" s="30"/>
      <c r="W413" s="30"/>
    </row>
    <row r="414">
      <c r="A414" s="30"/>
      <c r="B414" s="30"/>
      <c r="C414" s="30"/>
      <c r="D414" s="30"/>
      <c r="E414" s="30"/>
      <c r="F414" s="30"/>
      <c r="G414" s="30"/>
      <c r="H414" s="30"/>
      <c r="I414" s="30"/>
      <c r="J414" s="30"/>
      <c r="K414" s="30"/>
      <c r="L414" s="30"/>
      <c r="M414" s="30"/>
      <c r="N414" s="30"/>
      <c r="O414" s="31"/>
      <c r="P414" s="30"/>
      <c r="Q414" s="30"/>
      <c r="R414" s="30"/>
      <c r="S414" s="30"/>
      <c r="T414" s="30"/>
      <c r="U414" s="30"/>
      <c r="V414" s="30"/>
      <c r="W414" s="30"/>
    </row>
    <row r="415">
      <c r="A415" s="30"/>
      <c r="B415" s="30"/>
      <c r="C415" s="30"/>
      <c r="D415" s="30"/>
      <c r="E415" s="30"/>
      <c r="F415" s="30"/>
      <c r="G415" s="30"/>
      <c r="H415" s="30"/>
      <c r="I415" s="30"/>
      <c r="J415" s="30"/>
      <c r="K415" s="30"/>
      <c r="L415" s="30"/>
      <c r="M415" s="30"/>
      <c r="N415" s="30"/>
      <c r="O415" s="31"/>
      <c r="P415" s="30"/>
      <c r="Q415" s="30"/>
      <c r="R415" s="30"/>
      <c r="S415" s="30"/>
      <c r="T415" s="30"/>
      <c r="U415" s="30"/>
      <c r="V415" s="30"/>
      <c r="W415" s="30"/>
    </row>
    <row r="416">
      <c r="A416" s="30"/>
      <c r="B416" s="30"/>
      <c r="C416" s="30"/>
      <c r="D416" s="30"/>
      <c r="E416" s="30"/>
      <c r="F416" s="30"/>
      <c r="G416" s="30"/>
      <c r="H416" s="30"/>
      <c r="I416" s="30"/>
      <c r="J416" s="30"/>
      <c r="K416" s="30"/>
      <c r="L416" s="30"/>
      <c r="M416" s="30"/>
      <c r="N416" s="30"/>
      <c r="O416" s="31"/>
      <c r="P416" s="30"/>
      <c r="Q416" s="30"/>
      <c r="R416" s="30"/>
      <c r="S416" s="30"/>
      <c r="T416" s="30"/>
      <c r="U416" s="30"/>
      <c r="V416" s="30"/>
      <c r="W416" s="30"/>
    </row>
    <row r="417">
      <c r="A417" s="30"/>
      <c r="B417" s="30"/>
      <c r="C417" s="30"/>
      <c r="D417" s="30"/>
      <c r="E417" s="30"/>
      <c r="F417" s="30"/>
      <c r="G417" s="30"/>
      <c r="H417" s="30"/>
      <c r="I417" s="30"/>
      <c r="J417" s="30"/>
      <c r="K417" s="30"/>
      <c r="L417" s="30"/>
      <c r="M417" s="30"/>
      <c r="N417" s="30"/>
      <c r="O417" s="31"/>
      <c r="P417" s="30"/>
      <c r="Q417" s="30"/>
      <c r="R417" s="30"/>
      <c r="S417" s="30"/>
      <c r="T417" s="30"/>
      <c r="U417" s="30"/>
      <c r="V417" s="30"/>
      <c r="W417" s="30"/>
    </row>
    <row r="418">
      <c r="A418" s="30"/>
      <c r="B418" s="30"/>
      <c r="C418" s="30"/>
      <c r="D418" s="30"/>
      <c r="E418" s="30"/>
      <c r="F418" s="30"/>
      <c r="G418" s="30"/>
      <c r="H418" s="30"/>
      <c r="I418" s="30"/>
      <c r="J418" s="30"/>
      <c r="K418" s="30"/>
      <c r="L418" s="30"/>
      <c r="M418" s="30"/>
      <c r="N418" s="30"/>
      <c r="O418" s="31"/>
      <c r="P418" s="30"/>
      <c r="Q418" s="30"/>
      <c r="R418" s="30"/>
      <c r="S418" s="30"/>
      <c r="T418" s="30"/>
      <c r="U418" s="30"/>
      <c r="V418" s="30"/>
      <c r="W418" s="30"/>
    </row>
    <row r="419">
      <c r="A419" s="30"/>
      <c r="B419" s="30"/>
      <c r="C419" s="30"/>
      <c r="D419" s="30"/>
      <c r="E419" s="30"/>
      <c r="F419" s="30"/>
      <c r="G419" s="30"/>
      <c r="H419" s="30"/>
      <c r="I419" s="30"/>
      <c r="J419" s="30"/>
      <c r="K419" s="30"/>
      <c r="L419" s="30"/>
      <c r="M419" s="30"/>
      <c r="N419" s="30"/>
      <c r="O419" s="31"/>
      <c r="P419" s="30"/>
      <c r="Q419" s="30"/>
      <c r="R419" s="30"/>
      <c r="S419" s="30"/>
      <c r="T419" s="30"/>
      <c r="U419" s="30"/>
      <c r="V419" s="30"/>
      <c r="W419" s="30"/>
    </row>
    <row r="420">
      <c r="A420" s="30"/>
      <c r="B420" s="30"/>
      <c r="C420" s="30"/>
      <c r="D420" s="30"/>
      <c r="E420" s="30"/>
      <c r="F420" s="30"/>
      <c r="G420" s="30"/>
      <c r="H420" s="30"/>
      <c r="I420" s="30"/>
      <c r="J420" s="30"/>
      <c r="K420" s="30"/>
      <c r="L420" s="30"/>
      <c r="M420" s="30"/>
      <c r="N420" s="30"/>
      <c r="O420" s="31"/>
      <c r="P420" s="30"/>
      <c r="Q420" s="30"/>
      <c r="R420" s="30"/>
      <c r="S420" s="30"/>
      <c r="T420" s="30"/>
      <c r="U420" s="30"/>
      <c r="V420" s="30"/>
      <c r="W420" s="30"/>
    </row>
    <row r="421">
      <c r="A421" s="30"/>
      <c r="B421" s="30"/>
      <c r="C421" s="30"/>
      <c r="D421" s="30"/>
      <c r="E421" s="30"/>
      <c r="F421" s="30"/>
      <c r="G421" s="30"/>
      <c r="H421" s="30"/>
      <c r="I421" s="30"/>
      <c r="J421" s="30"/>
      <c r="K421" s="30"/>
      <c r="L421" s="30"/>
      <c r="M421" s="30"/>
      <c r="N421" s="30"/>
      <c r="O421" s="31"/>
      <c r="P421" s="30"/>
      <c r="Q421" s="30"/>
      <c r="R421" s="30"/>
      <c r="S421" s="30"/>
      <c r="T421" s="30"/>
      <c r="U421" s="30"/>
      <c r="V421" s="30"/>
      <c r="W421" s="30"/>
    </row>
    <row r="422">
      <c r="A422" s="30"/>
      <c r="B422" s="30"/>
      <c r="C422" s="30"/>
      <c r="D422" s="30"/>
      <c r="E422" s="30"/>
      <c r="F422" s="30"/>
      <c r="G422" s="30"/>
      <c r="H422" s="30"/>
      <c r="I422" s="30"/>
      <c r="J422" s="30"/>
      <c r="K422" s="30"/>
      <c r="L422" s="30"/>
      <c r="M422" s="30"/>
      <c r="N422" s="30"/>
      <c r="O422" s="31"/>
      <c r="P422" s="30"/>
      <c r="Q422" s="30"/>
      <c r="R422" s="30"/>
      <c r="S422" s="30"/>
      <c r="T422" s="30"/>
      <c r="U422" s="30"/>
      <c r="V422" s="30"/>
      <c r="W422" s="30"/>
    </row>
    <row r="423">
      <c r="A423" s="30"/>
      <c r="B423" s="30"/>
      <c r="C423" s="30"/>
      <c r="D423" s="30"/>
      <c r="E423" s="30"/>
      <c r="F423" s="30"/>
      <c r="G423" s="30"/>
      <c r="H423" s="30"/>
      <c r="I423" s="30"/>
      <c r="J423" s="30"/>
      <c r="K423" s="30"/>
      <c r="L423" s="30"/>
      <c r="M423" s="30"/>
      <c r="N423" s="30"/>
      <c r="O423" s="31"/>
      <c r="P423" s="30"/>
      <c r="Q423" s="30"/>
      <c r="R423" s="30"/>
      <c r="S423" s="30"/>
      <c r="T423" s="30"/>
      <c r="U423" s="30"/>
      <c r="V423" s="30"/>
      <c r="W423" s="30"/>
    </row>
    <row r="424">
      <c r="A424" s="30"/>
      <c r="B424" s="30"/>
      <c r="C424" s="30"/>
      <c r="D424" s="30"/>
      <c r="E424" s="30"/>
      <c r="F424" s="30"/>
      <c r="G424" s="30"/>
      <c r="H424" s="30"/>
      <c r="I424" s="30"/>
      <c r="J424" s="30"/>
      <c r="K424" s="30"/>
      <c r="L424" s="30"/>
      <c r="M424" s="30"/>
      <c r="N424" s="30"/>
      <c r="O424" s="31"/>
      <c r="P424" s="30"/>
      <c r="Q424" s="30"/>
      <c r="R424" s="30"/>
      <c r="S424" s="30"/>
      <c r="T424" s="30"/>
      <c r="U424" s="30"/>
      <c r="V424" s="30"/>
      <c r="W424" s="30"/>
    </row>
    <row r="425">
      <c r="A425" s="30"/>
      <c r="B425" s="30"/>
      <c r="C425" s="30"/>
      <c r="D425" s="30"/>
      <c r="E425" s="30"/>
      <c r="F425" s="30"/>
      <c r="G425" s="30"/>
      <c r="H425" s="30"/>
      <c r="I425" s="30"/>
      <c r="J425" s="30"/>
      <c r="K425" s="30"/>
      <c r="L425" s="30"/>
      <c r="M425" s="30"/>
      <c r="N425" s="30"/>
      <c r="O425" s="31"/>
      <c r="P425" s="30"/>
      <c r="Q425" s="30"/>
      <c r="R425" s="30"/>
      <c r="S425" s="30"/>
      <c r="T425" s="30"/>
      <c r="U425" s="30"/>
      <c r="V425" s="30"/>
      <c r="W425" s="30"/>
    </row>
    <row r="426">
      <c r="A426" s="30"/>
      <c r="B426" s="30"/>
      <c r="C426" s="30"/>
      <c r="D426" s="30"/>
      <c r="E426" s="30"/>
      <c r="F426" s="30"/>
      <c r="G426" s="30"/>
      <c r="H426" s="30"/>
      <c r="I426" s="30"/>
      <c r="J426" s="30"/>
      <c r="K426" s="30"/>
      <c r="L426" s="30"/>
      <c r="M426" s="30"/>
      <c r="N426" s="30"/>
      <c r="O426" s="31"/>
      <c r="P426" s="30"/>
      <c r="Q426" s="30"/>
      <c r="R426" s="30"/>
      <c r="S426" s="30"/>
      <c r="T426" s="30"/>
      <c r="U426" s="30"/>
      <c r="V426" s="30"/>
      <c r="W426" s="30"/>
    </row>
    <row r="427">
      <c r="A427" s="30"/>
      <c r="B427" s="30"/>
      <c r="C427" s="30"/>
      <c r="D427" s="30"/>
      <c r="E427" s="30"/>
      <c r="F427" s="30"/>
      <c r="G427" s="30"/>
      <c r="H427" s="30"/>
      <c r="I427" s="30"/>
      <c r="J427" s="30"/>
      <c r="K427" s="30"/>
      <c r="L427" s="30"/>
      <c r="M427" s="30"/>
      <c r="N427" s="30"/>
      <c r="O427" s="31"/>
      <c r="P427" s="30"/>
      <c r="Q427" s="30"/>
      <c r="R427" s="30"/>
      <c r="S427" s="30"/>
      <c r="T427" s="30"/>
      <c r="U427" s="30"/>
      <c r="V427" s="30"/>
      <c r="W427" s="30"/>
    </row>
    <row r="428">
      <c r="A428" s="30"/>
      <c r="B428" s="30"/>
      <c r="C428" s="30"/>
      <c r="D428" s="30"/>
      <c r="E428" s="30"/>
      <c r="F428" s="30"/>
      <c r="G428" s="30"/>
      <c r="H428" s="30"/>
      <c r="I428" s="30"/>
      <c r="J428" s="30"/>
      <c r="K428" s="30"/>
      <c r="L428" s="30"/>
      <c r="M428" s="30"/>
      <c r="N428" s="30"/>
      <c r="O428" s="31"/>
      <c r="P428" s="30"/>
      <c r="Q428" s="30"/>
      <c r="R428" s="30"/>
      <c r="S428" s="30"/>
      <c r="T428" s="30"/>
      <c r="U428" s="30"/>
      <c r="V428" s="30"/>
      <c r="W428" s="30"/>
    </row>
    <row r="429">
      <c r="A429" s="30"/>
      <c r="B429" s="30"/>
      <c r="C429" s="30"/>
      <c r="D429" s="30"/>
      <c r="E429" s="30"/>
      <c r="F429" s="30"/>
      <c r="G429" s="30"/>
      <c r="H429" s="30"/>
      <c r="I429" s="30"/>
      <c r="J429" s="30"/>
      <c r="K429" s="30"/>
      <c r="L429" s="30"/>
      <c r="M429" s="30"/>
      <c r="N429" s="30"/>
      <c r="O429" s="31"/>
      <c r="P429" s="30"/>
      <c r="Q429" s="30"/>
      <c r="R429" s="30"/>
      <c r="S429" s="30"/>
      <c r="T429" s="30"/>
      <c r="U429" s="30"/>
      <c r="V429" s="30"/>
      <c r="W429" s="30"/>
    </row>
    <row r="430">
      <c r="A430" s="30"/>
      <c r="B430" s="30"/>
      <c r="C430" s="30"/>
      <c r="D430" s="30"/>
      <c r="E430" s="30"/>
      <c r="F430" s="30"/>
      <c r="G430" s="30"/>
      <c r="H430" s="30"/>
      <c r="I430" s="30"/>
      <c r="J430" s="30"/>
      <c r="K430" s="30"/>
      <c r="L430" s="30"/>
      <c r="M430" s="30"/>
      <c r="N430" s="30"/>
      <c r="O430" s="31"/>
      <c r="P430" s="30"/>
      <c r="Q430" s="30"/>
      <c r="R430" s="30"/>
      <c r="S430" s="30"/>
      <c r="T430" s="30"/>
      <c r="U430" s="30"/>
      <c r="V430" s="30"/>
      <c r="W430" s="30"/>
    </row>
    <row r="431">
      <c r="A431" s="30"/>
      <c r="B431" s="30"/>
      <c r="C431" s="30"/>
      <c r="D431" s="30"/>
      <c r="E431" s="30"/>
      <c r="F431" s="30"/>
      <c r="G431" s="30"/>
      <c r="H431" s="30"/>
      <c r="I431" s="30"/>
      <c r="J431" s="30"/>
      <c r="K431" s="30"/>
      <c r="L431" s="30"/>
      <c r="M431" s="30"/>
      <c r="N431" s="30"/>
      <c r="O431" s="31"/>
      <c r="P431" s="30"/>
      <c r="Q431" s="30"/>
      <c r="R431" s="30"/>
      <c r="S431" s="30"/>
      <c r="T431" s="30"/>
      <c r="U431" s="30"/>
      <c r="V431" s="30"/>
      <c r="W431" s="30"/>
    </row>
    <row r="432">
      <c r="A432" s="30"/>
      <c r="B432" s="30"/>
      <c r="C432" s="30"/>
      <c r="D432" s="30"/>
      <c r="E432" s="30"/>
      <c r="F432" s="30"/>
      <c r="G432" s="30"/>
      <c r="H432" s="30"/>
      <c r="I432" s="30"/>
      <c r="J432" s="30"/>
      <c r="K432" s="30"/>
      <c r="L432" s="30"/>
      <c r="M432" s="30"/>
      <c r="N432" s="30"/>
      <c r="O432" s="31"/>
      <c r="P432" s="30"/>
      <c r="Q432" s="30"/>
      <c r="R432" s="30"/>
      <c r="S432" s="30"/>
      <c r="T432" s="30"/>
      <c r="U432" s="30"/>
      <c r="V432" s="30"/>
      <c r="W432" s="30"/>
    </row>
    <row r="433">
      <c r="A433" s="30"/>
      <c r="B433" s="30"/>
      <c r="C433" s="30"/>
      <c r="D433" s="30"/>
      <c r="E433" s="30"/>
      <c r="F433" s="30"/>
      <c r="G433" s="30"/>
      <c r="H433" s="30"/>
      <c r="I433" s="30"/>
      <c r="J433" s="30"/>
      <c r="K433" s="30"/>
      <c r="L433" s="30"/>
      <c r="M433" s="30"/>
      <c r="N433" s="30"/>
      <c r="O433" s="31"/>
      <c r="P433" s="30"/>
      <c r="Q433" s="30"/>
      <c r="R433" s="30"/>
      <c r="S433" s="30"/>
      <c r="T433" s="30"/>
      <c r="U433" s="30"/>
      <c r="V433" s="30"/>
      <c r="W433" s="30"/>
    </row>
    <row r="434">
      <c r="A434" s="30"/>
      <c r="B434" s="30"/>
      <c r="C434" s="30"/>
      <c r="D434" s="30"/>
      <c r="E434" s="30"/>
      <c r="F434" s="30"/>
      <c r="G434" s="30"/>
      <c r="H434" s="30"/>
      <c r="I434" s="30"/>
      <c r="J434" s="30"/>
      <c r="K434" s="30"/>
      <c r="L434" s="30"/>
      <c r="M434" s="30"/>
      <c r="N434" s="30"/>
      <c r="O434" s="31"/>
      <c r="P434" s="30"/>
      <c r="Q434" s="30"/>
      <c r="R434" s="30"/>
      <c r="S434" s="30"/>
      <c r="T434" s="30"/>
      <c r="U434" s="30"/>
      <c r="V434" s="30"/>
      <c r="W434" s="30"/>
    </row>
    <row r="435">
      <c r="A435" s="30"/>
      <c r="B435" s="30"/>
      <c r="C435" s="30"/>
      <c r="D435" s="30"/>
      <c r="E435" s="30"/>
      <c r="F435" s="30"/>
      <c r="G435" s="30"/>
      <c r="H435" s="30"/>
      <c r="I435" s="30"/>
      <c r="J435" s="30"/>
      <c r="K435" s="30"/>
      <c r="L435" s="30"/>
      <c r="M435" s="30"/>
      <c r="N435" s="30"/>
      <c r="O435" s="31"/>
      <c r="P435" s="30"/>
      <c r="Q435" s="30"/>
      <c r="R435" s="30"/>
      <c r="S435" s="30"/>
      <c r="T435" s="30"/>
      <c r="U435" s="30"/>
      <c r="V435" s="30"/>
      <c r="W435" s="30"/>
    </row>
    <row r="436">
      <c r="A436" s="30"/>
      <c r="B436" s="30"/>
      <c r="C436" s="30"/>
      <c r="D436" s="30"/>
      <c r="E436" s="30"/>
      <c r="F436" s="30"/>
      <c r="G436" s="30"/>
      <c r="H436" s="30"/>
      <c r="I436" s="30"/>
      <c r="J436" s="30"/>
      <c r="K436" s="30"/>
      <c r="L436" s="30"/>
      <c r="M436" s="30"/>
      <c r="N436" s="30"/>
      <c r="O436" s="31"/>
      <c r="P436" s="30"/>
      <c r="Q436" s="30"/>
      <c r="R436" s="30"/>
      <c r="S436" s="30"/>
      <c r="T436" s="30"/>
      <c r="U436" s="30"/>
      <c r="V436" s="30"/>
      <c r="W436" s="30"/>
    </row>
    <row r="437">
      <c r="A437" s="30"/>
      <c r="B437" s="30"/>
      <c r="C437" s="30"/>
      <c r="D437" s="30"/>
      <c r="E437" s="30"/>
      <c r="F437" s="30"/>
      <c r="G437" s="30"/>
      <c r="H437" s="30"/>
      <c r="I437" s="30"/>
      <c r="J437" s="30"/>
      <c r="K437" s="30"/>
      <c r="L437" s="30"/>
      <c r="M437" s="30"/>
      <c r="N437" s="30"/>
      <c r="O437" s="31"/>
      <c r="P437" s="30"/>
      <c r="Q437" s="30"/>
      <c r="R437" s="30"/>
      <c r="S437" s="30"/>
      <c r="T437" s="30"/>
      <c r="U437" s="30"/>
      <c r="V437" s="30"/>
      <c r="W437" s="30"/>
    </row>
    <row r="438">
      <c r="A438" s="30"/>
      <c r="B438" s="30"/>
      <c r="C438" s="30"/>
      <c r="D438" s="30"/>
      <c r="E438" s="30"/>
      <c r="F438" s="30"/>
      <c r="G438" s="30"/>
      <c r="H438" s="30"/>
      <c r="I438" s="30"/>
      <c r="J438" s="30"/>
      <c r="K438" s="30"/>
      <c r="L438" s="30"/>
      <c r="M438" s="30"/>
      <c r="N438" s="30"/>
      <c r="O438" s="31"/>
      <c r="P438" s="30"/>
      <c r="Q438" s="30"/>
      <c r="R438" s="30"/>
      <c r="S438" s="30"/>
      <c r="T438" s="30"/>
      <c r="U438" s="30"/>
      <c r="V438" s="30"/>
      <c r="W438" s="30"/>
    </row>
    <row r="439">
      <c r="A439" s="30"/>
      <c r="B439" s="30"/>
      <c r="C439" s="30"/>
      <c r="D439" s="30"/>
      <c r="E439" s="30"/>
      <c r="F439" s="30"/>
      <c r="G439" s="30"/>
      <c r="H439" s="30"/>
      <c r="I439" s="30"/>
      <c r="J439" s="30"/>
      <c r="K439" s="30"/>
      <c r="L439" s="30"/>
      <c r="M439" s="30"/>
      <c r="N439" s="30"/>
      <c r="O439" s="31"/>
      <c r="P439" s="30"/>
      <c r="Q439" s="30"/>
      <c r="R439" s="30"/>
      <c r="S439" s="30"/>
      <c r="T439" s="30"/>
      <c r="U439" s="30"/>
      <c r="V439" s="30"/>
      <c r="W439" s="30"/>
    </row>
    <row r="440">
      <c r="A440" s="30"/>
      <c r="B440" s="30"/>
      <c r="C440" s="30"/>
      <c r="D440" s="30"/>
      <c r="E440" s="30"/>
      <c r="F440" s="30"/>
      <c r="G440" s="30"/>
      <c r="H440" s="30"/>
      <c r="I440" s="30"/>
      <c r="J440" s="30"/>
      <c r="K440" s="30"/>
      <c r="L440" s="30"/>
      <c r="M440" s="30"/>
      <c r="N440" s="30"/>
      <c r="O440" s="31"/>
      <c r="P440" s="30"/>
      <c r="Q440" s="30"/>
      <c r="R440" s="30"/>
      <c r="S440" s="30"/>
      <c r="T440" s="30"/>
      <c r="U440" s="30"/>
      <c r="V440" s="30"/>
      <c r="W440" s="30"/>
    </row>
    <row r="441">
      <c r="A441" s="30"/>
      <c r="B441" s="30"/>
      <c r="C441" s="30"/>
      <c r="D441" s="30"/>
      <c r="E441" s="30"/>
      <c r="F441" s="30"/>
      <c r="G441" s="30"/>
      <c r="H441" s="30"/>
      <c r="I441" s="30"/>
      <c r="J441" s="30"/>
      <c r="K441" s="30"/>
      <c r="L441" s="30"/>
      <c r="M441" s="30"/>
      <c r="N441" s="30"/>
      <c r="O441" s="31"/>
      <c r="P441" s="30"/>
      <c r="Q441" s="30"/>
      <c r="R441" s="30"/>
      <c r="S441" s="30"/>
      <c r="T441" s="30"/>
      <c r="U441" s="30"/>
      <c r="V441" s="30"/>
      <c r="W441" s="30"/>
    </row>
    <row r="442">
      <c r="A442" s="30"/>
      <c r="B442" s="30"/>
      <c r="C442" s="30"/>
      <c r="D442" s="30"/>
      <c r="E442" s="30"/>
      <c r="F442" s="30"/>
      <c r="G442" s="30"/>
      <c r="H442" s="30"/>
      <c r="I442" s="30"/>
      <c r="J442" s="30"/>
      <c r="K442" s="30"/>
      <c r="L442" s="30"/>
      <c r="M442" s="30"/>
      <c r="N442" s="30"/>
      <c r="O442" s="31"/>
      <c r="P442" s="30"/>
      <c r="Q442" s="30"/>
      <c r="R442" s="30"/>
      <c r="S442" s="30"/>
      <c r="T442" s="30"/>
      <c r="U442" s="30"/>
      <c r="V442" s="30"/>
      <c r="W442" s="30"/>
    </row>
    <row r="443">
      <c r="A443" s="30"/>
      <c r="B443" s="30"/>
      <c r="C443" s="30"/>
      <c r="D443" s="30"/>
      <c r="E443" s="30"/>
      <c r="F443" s="30"/>
      <c r="G443" s="30"/>
      <c r="H443" s="30"/>
      <c r="I443" s="30"/>
      <c r="J443" s="30"/>
      <c r="K443" s="30"/>
      <c r="L443" s="30"/>
      <c r="M443" s="30"/>
      <c r="N443" s="30"/>
      <c r="O443" s="31"/>
      <c r="P443" s="30"/>
      <c r="Q443" s="30"/>
      <c r="R443" s="30"/>
      <c r="S443" s="30"/>
      <c r="T443" s="30"/>
      <c r="U443" s="30"/>
      <c r="V443" s="30"/>
      <c r="W443" s="30"/>
    </row>
    <row r="444">
      <c r="A444" s="30"/>
      <c r="B444" s="30"/>
      <c r="C444" s="30"/>
      <c r="D444" s="30"/>
      <c r="E444" s="30"/>
      <c r="F444" s="30"/>
      <c r="G444" s="30"/>
      <c r="H444" s="30"/>
      <c r="I444" s="30"/>
      <c r="J444" s="30"/>
      <c r="K444" s="30"/>
      <c r="L444" s="30"/>
      <c r="M444" s="30"/>
      <c r="N444" s="30"/>
      <c r="O444" s="31"/>
      <c r="P444" s="30"/>
      <c r="Q444" s="30"/>
      <c r="R444" s="30"/>
      <c r="S444" s="30"/>
      <c r="T444" s="30"/>
      <c r="U444" s="30"/>
      <c r="V444" s="30"/>
      <c r="W444" s="30"/>
    </row>
    <row r="445">
      <c r="A445" s="30"/>
      <c r="B445" s="30"/>
      <c r="C445" s="30"/>
      <c r="D445" s="30"/>
      <c r="E445" s="30"/>
      <c r="F445" s="30"/>
      <c r="G445" s="30"/>
      <c r="H445" s="30"/>
      <c r="I445" s="30"/>
      <c r="J445" s="30"/>
      <c r="K445" s="30"/>
      <c r="L445" s="30"/>
      <c r="M445" s="30"/>
      <c r="N445" s="30"/>
      <c r="O445" s="31"/>
      <c r="P445" s="30"/>
      <c r="Q445" s="30"/>
      <c r="R445" s="30"/>
      <c r="S445" s="30"/>
      <c r="T445" s="30"/>
      <c r="U445" s="30"/>
      <c r="V445" s="30"/>
      <c r="W445" s="30"/>
    </row>
    <row r="446">
      <c r="A446" s="30"/>
      <c r="B446" s="30"/>
      <c r="C446" s="30"/>
      <c r="D446" s="30"/>
      <c r="E446" s="30"/>
      <c r="F446" s="30"/>
      <c r="G446" s="30"/>
      <c r="H446" s="30"/>
      <c r="I446" s="30"/>
      <c r="J446" s="30"/>
      <c r="K446" s="30"/>
      <c r="L446" s="30"/>
      <c r="M446" s="30"/>
      <c r="N446" s="30"/>
      <c r="O446" s="31"/>
      <c r="P446" s="30"/>
      <c r="Q446" s="30"/>
      <c r="R446" s="30"/>
      <c r="S446" s="30"/>
      <c r="T446" s="30"/>
      <c r="U446" s="30"/>
      <c r="V446" s="30"/>
      <c r="W446" s="30"/>
    </row>
    <row r="447">
      <c r="A447" s="30"/>
      <c r="B447" s="30"/>
      <c r="C447" s="30"/>
      <c r="D447" s="30"/>
      <c r="E447" s="30"/>
      <c r="F447" s="30"/>
      <c r="G447" s="30"/>
      <c r="H447" s="30"/>
      <c r="I447" s="30"/>
      <c r="J447" s="30"/>
      <c r="K447" s="30"/>
      <c r="L447" s="30"/>
      <c r="M447" s="30"/>
      <c r="N447" s="30"/>
      <c r="O447" s="31"/>
      <c r="P447" s="30"/>
      <c r="Q447" s="30"/>
      <c r="R447" s="30"/>
      <c r="S447" s="30"/>
      <c r="T447" s="30"/>
      <c r="U447" s="30"/>
      <c r="V447" s="30"/>
      <c r="W447" s="30"/>
    </row>
    <row r="448">
      <c r="A448" s="30"/>
      <c r="B448" s="30"/>
      <c r="C448" s="30"/>
      <c r="D448" s="30"/>
      <c r="E448" s="30"/>
      <c r="F448" s="30"/>
      <c r="G448" s="30"/>
      <c r="H448" s="30"/>
      <c r="I448" s="30"/>
      <c r="J448" s="30"/>
      <c r="K448" s="30"/>
      <c r="L448" s="30"/>
      <c r="M448" s="30"/>
      <c r="N448" s="30"/>
      <c r="O448" s="31"/>
      <c r="P448" s="30"/>
      <c r="Q448" s="30"/>
      <c r="R448" s="30"/>
      <c r="S448" s="30"/>
      <c r="T448" s="30"/>
      <c r="U448" s="30"/>
      <c r="V448" s="30"/>
      <c r="W448" s="30"/>
    </row>
    <row r="449">
      <c r="A449" s="30"/>
      <c r="B449" s="30"/>
      <c r="C449" s="30"/>
      <c r="D449" s="30"/>
      <c r="E449" s="30"/>
      <c r="F449" s="30"/>
      <c r="G449" s="30"/>
      <c r="H449" s="30"/>
      <c r="I449" s="30"/>
      <c r="J449" s="30"/>
      <c r="K449" s="30"/>
      <c r="L449" s="30"/>
      <c r="M449" s="30"/>
      <c r="N449" s="30"/>
      <c r="O449" s="31"/>
      <c r="P449" s="30"/>
      <c r="Q449" s="30"/>
      <c r="R449" s="30"/>
      <c r="S449" s="30"/>
      <c r="T449" s="30"/>
      <c r="U449" s="30"/>
      <c r="V449" s="30"/>
      <c r="W449" s="30"/>
    </row>
    <row r="450">
      <c r="A450" s="30"/>
      <c r="B450" s="30"/>
      <c r="C450" s="30"/>
      <c r="D450" s="30"/>
      <c r="E450" s="30"/>
      <c r="F450" s="30"/>
      <c r="G450" s="30"/>
      <c r="H450" s="30"/>
      <c r="I450" s="30"/>
      <c r="J450" s="30"/>
      <c r="K450" s="30"/>
      <c r="L450" s="30"/>
      <c r="M450" s="30"/>
      <c r="N450" s="30"/>
      <c r="O450" s="31"/>
      <c r="P450" s="30"/>
      <c r="Q450" s="30"/>
      <c r="R450" s="30"/>
      <c r="S450" s="30"/>
      <c r="T450" s="30"/>
      <c r="U450" s="30"/>
      <c r="V450" s="30"/>
      <c r="W450" s="30"/>
    </row>
    <row r="451">
      <c r="A451" s="30"/>
      <c r="B451" s="30"/>
      <c r="C451" s="30"/>
      <c r="D451" s="30"/>
      <c r="E451" s="30"/>
      <c r="F451" s="30"/>
      <c r="G451" s="30"/>
      <c r="H451" s="30"/>
      <c r="I451" s="30"/>
      <c r="J451" s="30"/>
      <c r="K451" s="30"/>
      <c r="L451" s="30"/>
      <c r="M451" s="30"/>
      <c r="N451" s="30"/>
      <c r="O451" s="31"/>
      <c r="P451" s="30"/>
      <c r="Q451" s="30"/>
      <c r="R451" s="30"/>
      <c r="S451" s="30"/>
      <c r="T451" s="30"/>
      <c r="U451" s="30"/>
      <c r="V451" s="30"/>
      <c r="W451" s="30"/>
    </row>
    <row r="452">
      <c r="A452" s="30"/>
      <c r="B452" s="30"/>
      <c r="C452" s="30"/>
      <c r="D452" s="30"/>
      <c r="E452" s="30"/>
      <c r="F452" s="30"/>
      <c r="G452" s="30"/>
      <c r="H452" s="30"/>
      <c r="I452" s="30"/>
      <c r="J452" s="30"/>
      <c r="K452" s="30"/>
      <c r="L452" s="30"/>
      <c r="M452" s="30"/>
      <c r="N452" s="30"/>
      <c r="O452" s="31"/>
      <c r="P452" s="30"/>
      <c r="Q452" s="30"/>
      <c r="R452" s="30"/>
      <c r="S452" s="30"/>
      <c r="T452" s="30"/>
      <c r="U452" s="30"/>
      <c r="V452" s="30"/>
      <c r="W452" s="30"/>
    </row>
    <row r="453">
      <c r="A453" s="30"/>
      <c r="B453" s="30"/>
      <c r="C453" s="30"/>
      <c r="D453" s="30"/>
      <c r="E453" s="30"/>
      <c r="F453" s="30"/>
      <c r="G453" s="30"/>
      <c r="H453" s="30"/>
      <c r="I453" s="30"/>
      <c r="J453" s="30"/>
      <c r="K453" s="30"/>
      <c r="L453" s="30"/>
      <c r="M453" s="30"/>
      <c r="N453" s="30"/>
      <c r="O453" s="31"/>
      <c r="P453" s="30"/>
      <c r="Q453" s="30"/>
      <c r="R453" s="30"/>
      <c r="S453" s="30"/>
      <c r="T453" s="30"/>
      <c r="U453" s="30"/>
      <c r="V453" s="30"/>
      <c r="W453" s="30"/>
    </row>
    <row r="454">
      <c r="A454" s="30"/>
      <c r="B454" s="30"/>
      <c r="C454" s="30"/>
      <c r="D454" s="30"/>
      <c r="E454" s="30"/>
      <c r="F454" s="30"/>
      <c r="G454" s="30"/>
      <c r="H454" s="30"/>
      <c r="I454" s="30"/>
      <c r="J454" s="30"/>
      <c r="K454" s="30"/>
      <c r="L454" s="30"/>
      <c r="M454" s="30"/>
      <c r="N454" s="30"/>
      <c r="O454" s="31"/>
      <c r="P454" s="30"/>
      <c r="Q454" s="30"/>
      <c r="R454" s="30"/>
      <c r="S454" s="30"/>
      <c r="T454" s="30"/>
      <c r="U454" s="30"/>
      <c r="V454" s="30"/>
      <c r="W454" s="30"/>
    </row>
    <row r="455">
      <c r="A455" s="30"/>
      <c r="B455" s="30"/>
      <c r="C455" s="30"/>
      <c r="D455" s="30"/>
      <c r="E455" s="30"/>
      <c r="F455" s="30"/>
      <c r="G455" s="30"/>
      <c r="H455" s="30"/>
      <c r="I455" s="30"/>
      <c r="J455" s="30"/>
      <c r="K455" s="30"/>
      <c r="L455" s="30"/>
      <c r="M455" s="30"/>
      <c r="N455" s="30"/>
      <c r="O455" s="31"/>
      <c r="P455" s="30"/>
      <c r="Q455" s="30"/>
      <c r="R455" s="30"/>
      <c r="S455" s="30"/>
      <c r="T455" s="30"/>
      <c r="U455" s="30"/>
      <c r="V455" s="30"/>
      <c r="W455" s="30"/>
    </row>
    <row r="456">
      <c r="A456" s="30"/>
      <c r="B456" s="30"/>
      <c r="C456" s="30"/>
      <c r="D456" s="30"/>
      <c r="E456" s="30"/>
      <c r="F456" s="30"/>
      <c r="G456" s="30"/>
      <c r="H456" s="30"/>
      <c r="I456" s="30"/>
      <c r="J456" s="30"/>
      <c r="K456" s="30"/>
      <c r="L456" s="30"/>
      <c r="M456" s="30"/>
      <c r="N456" s="30"/>
      <c r="O456" s="31"/>
      <c r="P456" s="30"/>
      <c r="Q456" s="30"/>
      <c r="R456" s="30"/>
      <c r="S456" s="30"/>
      <c r="T456" s="30"/>
      <c r="U456" s="30"/>
      <c r="V456" s="30"/>
      <c r="W456" s="30"/>
    </row>
    <row r="457">
      <c r="A457" s="30"/>
      <c r="B457" s="30"/>
      <c r="C457" s="30"/>
      <c r="D457" s="30"/>
      <c r="E457" s="30"/>
      <c r="F457" s="30"/>
      <c r="G457" s="30"/>
      <c r="H457" s="30"/>
      <c r="I457" s="30"/>
      <c r="J457" s="30"/>
      <c r="K457" s="30"/>
      <c r="L457" s="30"/>
      <c r="M457" s="30"/>
      <c r="N457" s="30"/>
      <c r="O457" s="31"/>
      <c r="P457" s="30"/>
      <c r="Q457" s="30"/>
      <c r="R457" s="30"/>
      <c r="S457" s="30"/>
      <c r="T457" s="30"/>
      <c r="U457" s="30"/>
      <c r="V457" s="30"/>
      <c r="W457" s="30"/>
    </row>
    <row r="458">
      <c r="A458" s="30"/>
      <c r="B458" s="30"/>
      <c r="C458" s="30"/>
      <c r="D458" s="30"/>
      <c r="E458" s="30"/>
      <c r="F458" s="30"/>
      <c r="G458" s="30"/>
      <c r="H458" s="30"/>
      <c r="I458" s="30"/>
      <c r="J458" s="30"/>
      <c r="K458" s="30"/>
      <c r="L458" s="30"/>
      <c r="M458" s="30"/>
      <c r="N458" s="30"/>
      <c r="O458" s="31"/>
      <c r="P458" s="30"/>
      <c r="Q458" s="30"/>
      <c r="R458" s="30"/>
      <c r="S458" s="30"/>
      <c r="T458" s="30"/>
      <c r="U458" s="30"/>
      <c r="V458" s="30"/>
      <c r="W458" s="30"/>
    </row>
    <row r="459">
      <c r="A459" s="30"/>
      <c r="B459" s="30"/>
      <c r="C459" s="30"/>
      <c r="D459" s="30"/>
      <c r="E459" s="30"/>
      <c r="F459" s="30"/>
      <c r="G459" s="30"/>
      <c r="H459" s="30"/>
      <c r="I459" s="30"/>
      <c r="J459" s="30"/>
      <c r="K459" s="30"/>
      <c r="L459" s="30"/>
      <c r="M459" s="30"/>
      <c r="N459" s="30"/>
      <c r="O459" s="31"/>
      <c r="P459" s="30"/>
      <c r="Q459" s="30"/>
      <c r="R459" s="30"/>
      <c r="S459" s="30"/>
      <c r="T459" s="30"/>
      <c r="U459" s="30"/>
      <c r="V459" s="30"/>
      <c r="W459" s="30"/>
    </row>
    <row r="460">
      <c r="A460" s="30"/>
      <c r="B460" s="30"/>
      <c r="C460" s="30"/>
      <c r="D460" s="30"/>
      <c r="E460" s="30"/>
      <c r="F460" s="30"/>
      <c r="G460" s="30"/>
      <c r="H460" s="30"/>
      <c r="I460" s="30"/>
      <c r="J460" s="30"/>
      <c r="K460" s="30"/>
      <c r="L460" s="30"/>
      <c r="M460" s="30"/>
      <c r="N460" s="30"/>
      <c r="O460" s="31"/>
      <c r="P460" s="30"/>
      <c r="Q460" s="30"/>
      <c r="R460" s="30"/>
      <c r="S460" s="30"/>
      <c r="T460" s="30"/>
      <c r="U460" s="30"/>
      <c r="V460" s="30"/>
      <c r="W460" s="30"/>
    </row>
    <row r="461">
      <c r="A461" s="30"/>
      <c r="B461" s="30"/>
      <c r="C461" s="30"/>
      <c r="D461" s="30"/>
      <c r="E461" s="30"/>
      <c r="F461" s="30"/>
      <c r="G461" s="30"/>
      <c r="H461" s="30"/>
      <c r="I461" s="30"/>
      <c r="J461" s="30"/>
      <c r="K461" s="30"/>
      <c r="L461" s="30"/>
      <c r="M461" s="30"/>
      <c r="N461" s="30"/>
      <c r="O461" s="35"/>
      <c r="P461" s="30"/>
      <c r="Q461" s="30"/>
      <c r="R461" s="30"/>
      <c r="S461" s="30"/>
      <c r="T461" s="30"/>
      <c r="U461" s="30"/>
      <c r="V461" s="30"/>
      <c r="W461" s="30"/>
    </row>
    <row r="462">
      <c r="A462" s="30"/>
      <c r="B462" s="30"/>
      <c r="C462" s="30"/>
      <c r="D462" s="30"/>
      <c r="E462" s="30"/>
      <c r="F462" s="30"/>
      <c r="G462" s="30"/>
      <c r="H462" s="30"/>
      <c r="I462" s="30"/>
      <c r="J462" s="30"/>
      <c r="K462" s="30"/>
      <c r="L462" s="30"/>
      <c r="M462" s="30"/>
      <c r="N462" s="30"/>
      <c r="O462" s="31"/>
      <c r="P462" s="30"/>
      <c r="Q462" s="30"/>
      <c r="R462" s="30"/>
      <c r="S462" s="30"/>
      <c r="T462" s="30"/>
      <c r="U462" s="30"/>
      <c r="V462" s="30"/>
      <c r="W462" s="30"/>
    </row>
    <row r="463">
      <c r="A463" s="30"/>
      <c r="B463" s="30"/>
      <c r="C463" s="30"/>
      <c r="D463" s="30"/>
      <c r="E463" s="30"/>
      <c r="F463" s="30"/>
      <c r="G463" s="30"/>
      <c r="H463" s="30"/>
      <c r="I463" s="30"/>
      <c r="J463" s="30"/>
      <c r="K463" s="30"/>
      <c r="L463" s="30"/>
      <c r="M463" s="30"/>
      <c r="N463" s="30"/>
      <c r="O463" s="31"/>
      <c r="P463" s="30"/>
      <c r="Q463" s="30"/>
      <c r="R463" s="30"/>
      <c r="S463" s="30"/>
      <c r="T463" s="30"/>
      <c r="U463" s="30"/>
      <c r="V463" s="30"/>
      <c r="W463" s="30"/>
    </row>
    <row r="464">
      <c r="A464" s="30"/>
      <c r="B464" s="30"/>
      <c r="C464" s="30"/>
      <c r="D464" s="30"/>
      <c r="E464" s="30"/>
      <c r="F464" s="30"/>
      <c r="G464" s="30"/>
      <c r="H464" s="30"/>
      <c r="I464" s="30"/>
      <c r="J464" s="30"/>
      <c r="K464" s="30"/>
      <c r="L464" s="30"/>
      <c r="M464" s="30"/>
      <c r="N464" s="30"/>
      <c r="O464" s="31"/>
      <c r="P464" s="30"/>
      <c r="Q464" s="30"/>
      <c r="R464" s="30"/>
      <c r="S464" s="30"/>
      <c r="T464" s="30"/>
      <c r="U464" s="30"/>
      <c r="V464" s="30"/>
      <c r="W464" s="30"/>
    </row>
    <row r="465">
      <c r="A465" s="30"/>
      <c r="B465" s="30"/>
      <c r="C465" s="30"/>
      <c r="D465" s="30"/>
      <c r="E465" s="30"/>
      <c r="F465" s="30"/>
      <c r="G465" s="30"/>
      <c r="H465" s="30"/>
      <c r="I465" s="30"/>
      <c r="J465" s="30"/>
      <c r="K465" s="30"/>
      <c r="L465" s="30"/>
      <c r="M465" s="30"/>
      <c r="N465" s="30"/>
      <c r="O465" s="31"/>
      <c r="P465" s="30"/>
      <c r="Q465" s="30"/>
      <c r="R465" s="30"/>
      <c r="S465" s="30"/>
      <c r="T465" s="30"/>
      <c r="U465" s="30"/>
      <c r="V465" s="30"/>
      <c r="W465" s="30"/>
    </row>
    <row r="466">
      <c r="A466" s="30"/>
      <c r="B466" s="30"/>
      <c r="C466" s="30"/>
      <c r="D466" s="30"/>
      <c r="E466" s="30"/>
      <c r="F466" s="30"/>
      <c r="G466" s="30"/>
      <c r="H466" s="30"/>
      <c r="I466" s="30"/>
      <c r="J466" s="30"/>
      <c r="K466" s="30"/>
      <c r="L466" s="30"/>
      <c r="M466" s="30"/>
      <c r="N466" s="30"/>
      <c r="O466" s="31"/>
      <c r="P466" s="30"/>
      <c r="Q466" s="30"/>
      <c r="R466" s="30"/>
      <c r="S466" s="30"/>
      <c r="T466" s="30"/>
      <c r="U466" s="30"/>
      <c r="V466" s="30"/>
      <c r="W466" s="30"/>
    </row>
    <row r="467">
      <c r="A467" s="30"/>
      <c r="B467" s="30"/>
      <c r="C467" s="30"/>
      <c r="D467" s="30"/>
      <c r="E467" s="30"/>
      <c r="F467" s="30"/>
      <c r="G467" s="30"/>
      <c r="H467" s="30"/>
      <c r="I467" s="30"/>
      <c r="J467" s="30"/>
      <c r="K467" s="30"/>
      <c r="L467" s="30"/>
      <c r="M467" s="30"/>
      <c r="N467" s="30"/>
      <c r="O467" s="31"/>
      <c r="P467" s="30"/>
      <c r="Q467" s="30"/>
      <c r="R467" s="30"/>
      <c r="S467" s="30"/>
      <c r="T467" s="30"/>
      <c r="U467" s="30"/>
      <c r="V467" s="30"/>
      <c r="W467" s="30"/>
    </row>
    <row r="468">
      <c r="A468" s="30"/>
      <c r="B468" s="30"/>
      <c r="C468" s="30"/>
      <c r="D468" s="30"/>
      <c r="E468" s="30"/>
      <c r="F468" s="30"/>
      <c r="G468" s="30"/>
      <c r="H468" s="30"/>
      <c r="I468" s="30"/>
      <c r="J468" s="30"/>
      <c r="K468" s="30"/>
      <c r="L468" s="30"/>
      <c r="M468" s="30"/>
      <c r="N468" s="30"/>
      <c r="O468" s="31"/>
      <c r="P468" s="30"/>
      <c r="Q468" s="30"/>
      <c r="R468" s="30"/>
      <c r="S468" s="30"/>
      <c r="T468" s="30"/>
      <c r="U468" s="30"/>
      <c r="V468" s="30"/>
      <c r="W468" s="30"/>
    </row>
    <row r="469">
      <c r="A469" s="30"/>
      <c r="B469" s="30"/>
      <c r="C469" s="30"/>
      <c r="D469" s="30"/>
      <c r="E469" s="30"/>
      <c r="F469" s="30"/>
      <c r="G469" s="30"/>
      <c r="H469" s="30"/>
      <c r="I469" s="30"/>
      <c r="J469" s="30"/>
      <c r="K469" s="30"/>
      <c r="L469" s="30"/>
      <c r="M469" s="30"/>
      <c r="N469" s="30"/>
      <c r="O469" s="31"/>
      <c r="P469" s="30"/>
      <c r="Q469" s="30"/>
      <c r="R469" s="30"/>
      <c r="S469" s="30"/>
      <c r="T469" s="30"/>
      <c r="U469" s="30"/>
      <c r="V469" s="30"/>
      <c r="W469" s="30"/>
    </row>
    <row r="470">
      <c r="A470" s="30"/>
      <c r="B470" s="30"/>
      <c r="C470" s="30"/>
      <c r="D470" s="30"/>
      <c r="E470" s="30"/>
      <c r="F470" s="30"/>
      <c r="G470" s="30"/>
      <c r="H470" s="30"/>
      <c r="I470" s="30"/>
      <c r="J470" s="30"/>
      <c r="K470" s="30"/>
      <c r="L470" s="30"/>
      <c r="M470" s="30"/>
      <c r="N470" s="30"/>
      <c r="O470" s="31"/>
      <c r="P470" s="30"/>
      <c r="Q470" s="30"/>
      <c r="R470" s="30"/>
      <c r="S470" s="30"/>
      <c r="T470" s="30"/>
      <c r="U470" s="30"/>
      <c r="V470" s="30"/>
      <c r="W470" s="30"/>
    </row>
    <row r="471">
      <c r="A471" s="30"/>
      <c r="B471" s="30"/>
      <c r="C471" s="30"/>
      <c r="D471" s="30"/>
      <c r="E471" s="30"/>
      <c r="F471" s="30"/>
      <c r="G471" s="30"/>
      <c r="H471" s="30"/>
      <c r="I471" s="30"/>
      <c r="J471" s="30"/>
      <c r="K471" s="30"/>
      <c r="L471" s="30"/>
      <c r="M471" s="30"/>
      <c r="N471" s="30"/>
      <c r="O471" s="31"/>
      <c r="P471" s="30"/>
      <c r="Q471" s="30"/>
      <c r="R471" s="30"/>
      <c r="S471" s="30"/>
      <c r="T471" s="30"/>
      <c r="U471" s="30"/>
      <c r="V471" s="30"/>
      <c r="W471" s="30"/>
    </row>
    <row r="472">
      <c r="A472" s="30"/>
      <c r="B472" s="30"/>
      <c r="C472" s="30"/>
      <c r="D472" s="30"/>
      <c r="E472" s="30"/>
      <c r="F472" s="30"/>
      <c r="G472" s="30"/>
      <c r="H472" s="30"/>
      <c r="I472" s="30"/>
      <c r="J472" s="30"/>
      <c r="K472" s="30"/>
      <c r="L472" s="30"/>
      <c r="M472" s="30"/>
      <c r="N472" s="30"/>
      <c r="O472" s="31"/>
      <c r="P472" s="30"/>
      <c r="Q472" s="30"/>
      <c r="R472" s="30"/>
      <c r="S472" s="30"/>
      <c r="T472" s="30"/>
      <c r="U472" s="30"/>
      <c r="V472" s="30"/>
      <c r="W472" s="30"/>
    </row>
    <row r="473">
      <c r="A473" s="30"/>
      <c r="B473" s="30"/>
      <c r="C473" s="30"/>
      <c r="D473" s="30"/>
      <c r="E473" s="30"/>
      <c r="F473" s="30"/>
      <c r="G473" s="30"/>
      <c r="H473" s="30"/>
      <c r="I473" s="30"/>
      <c r="J473" s="30"/>
      <c r="K473" s="30"/>
      <c r="L473" s="30"/>
      <c r="M473" s="30"/>
      <c r="N473" s="30"/>
      <c r="O473" s="31"/>
      <c r="P473" s="30"/>
      <c r="Q473" s="30"/>
      <c r="R473" s="30"/>
      <c r="S473" s="30"/>
      <c r="T473" s="30"/>
      <c r="U473" s="30"/>
      <c r="V473" s="30"/>
      <c r="W473" s="30"/>
    </row>
    <row r="474">
      <c r="A474" s="30"/>
      <c r="B474" s="30"/>
      <c r="C474" s="30"/>
      <c r="D474" s="30"/>
      <c r="E474" s="30"/>
      <c r="F474" s="30"/>
      <c r="G474" s="30"/>
      <c r="H474" s="30"/>
      <c r="I474" s="30"/>
      <c r="J474" s="30"/>
      <c r="K474" s="30"/>
      <c r="L474" s="30"/>
      <c r="M474" s="30"/>
      <c r="N474" s="30"/>
      <c r="O474" s="31"/>
      <c r="P474" s="30"/>
      <c r="Q474" s="30"/>
      <c r="R474" s="30"/>
      <c r="S474" s="30"/>
      <c r="T474" s="30"/>
      <c r="U474" s="30"/>
      <c r="V474" s="30"/>
      <c r="W474" s="30"/>
    </row>
    <row r="475">
      <c r="A475" s="30"/>
      <c r="B475" s="30"/>
      <c r="C475" s="30"/>
      <c r="D475" s="30"/>
      <c r="E475" s="30"/>
      <c r="F475" s="30"/>
      <c r="G475" s="30"/>
      <c r="H475" s="30"/>
      <c r="I475" s="30"/>
      <c r="J475" s="30"/>
      <c r="K475" s="30"/>
      <c r="L475" s="30"/>
      <c r="M475" s="30"/>
      <c r="N475" s="30"/>
      <c r="O475" s="31"/>
      <c r="P475" s="30"/>
      <c r="Q475" s="30"/>
      <c r="R475" s="30"/>
      <c r="S475" s="30"/>
      <c r="T475" s="30"/>
      <c r="U475" s="30"/>
      <c r="V475" s="30"/>
      <c r="W475" s="30"/>
    </row>
    <row r="476">
      <c r="A476" s="30"/>
      <c r="B476" s="30"/>
      <c r="C476" s="30"/>
      <c r="D476" s="30"/>
      <c r="E476" s="30"/>
      <c r="F476" s="30"/>
      <c r="G476" s="30"/>
      <c r="H476" s="30"/>
      <c r="I476" s="30"/>
      <c r="J476" s="30"/>
      <c r="K476" s="30"/>
      <c r="L476" s="30"/>
      <c r="M476" s="30"/>
      <c r="N476" s="30"/>
      <c r="O476" s="31"/>
      <c r="P476" s="30"/>
      <c r="Q476" s="30"/>
      <c r="R476" s="30"/>
      <c r="S476" s="30"/>
      <c r="T476" s="30"/>
      <c r="U476" s="30"/>
      <c r="V476" s="30"/>
      <c r="W476" s="30"/>
    </row>
    <row r="477">
      <c r="A477" s="30"/>
      <c r="B477" s="30"/>
      <c r="C477" s="30"/>
      <c r="D477" s="30"/>
      <c r="E477" s="30"/>
      <c r="F477" s="30"/>
      <c r="G477" s="30"/>
      <c r="H477" s="30"/>
      <c r="I477" s="30"/>
      <c r="J477" s="30"/>
      <c r="K477" s="30"/>
      <c r="L477" s="30"/>
      <c r="M477" s="30"/>
      <c r="N477" s="30"/>
      <c r="O477" s="31"/>
      <c r="P477" s="30"/>
      <c r="Q477" s="30"/>
      <c r="R477" s="30"/>
      <c r="S477" s="30"/>
      <c r="T477" s="30"/>
      <c r="U477" s="30"/>
      <c r="V477" s="30"/>
      <c r="W477" s="30"/>
    </row>
    <row r="478">
      <c r="A478" s="30"/>
      <c r="B478" s="30"/>
      <c r="C478" s="30"/>
      <c r="D478" s="30"/>
      <c r="E478" s="30"/>
      <c r="F478" s="30"/>
      <c r="G478" s="30"/>
      <c r="H478" s="30"/>
      <c r="I478" s="30"/>
      <c r="J478" s="30"/>
      <c r="K478" s="30"/>
      <c r="L478" s="30"/>
      <c r="M478" s="30"/>
      <c r="N478" s="30"/>
      <c r="O478" s="31"/>
      <c r="P478" s="30"/>
      <c r="Q478" s="30"/>
      <c r="R478" s="30"/>
      <c r="S478" s="30"/>
      <c r="T478" s="30"/>
      <c r="U478" s="30"/>
      <c r="V478" s="30"/>
      <c r="W478" s="30"/>
    </row>
    <row r="479">
      <c r="A479" s="30"/>
      <c r="B479" s="30"/>
      <c r="C479" s="30"/>
      <c r="D479" s="30"/>
      <c r="E479" s="30"/>
      <c r="F479" s="30"/>
      <c r="G479" s="30"/>
      <c r="H479" s="30"/>
      <c r="I479" s="30"/>
      <c r="J479" s="30"/>
      <c r="K479" s="30"/>
      <c r="L479" s="30"/>
      <c r="M479" s="30"/>
      <c r="N479" s="30"/>
      <c r="O479" s="31"/>
      <c r="P479" s="30"/>
      <c r="Q479" s="30"/>
      <c r="R479" s="30"/>
      <c r="S479" s="30"/>
      <c r="T479" s="30"/>
      <c r="U479" s="30"/>
      <c r="V479" s="30"/>
      <c r="W479" s="30"/>
    </row>
    <row r="480">
      <c r="A480" s="30"/>
      <c r="B480" s="30"/>
      <c r="C480" s="30"/>
      <c r="D480" s="30"/>
      <c r="E480" s="30"/>
      <c r="F480" s="30"/>
      <c r="G480" s="30"/>
      <c r="H480" s="30"/>
      <c r="I480" s="30"/>
      <c r="J480" s="30"/>
      <c r="K480" s="30"/>
      <c r="L480" s="30"/>
      <c r="M480" s="30"/>
      <c r="N480" s="30"/>
      <c r="O480" s="31"/>
      <c r="P480" s="30"/>
      <c r="Q480" s="30"/>
      <c r="R480" s="30"/>
      <c r="S480" s="30"/>
      <c r="T480" s="30"/>
      <c r="U480" s="30"/>
      <c r="V480" s="30"/>
      <c r="W480" s="30"/>
    </row>
    <row r="481">
      <c r="A481" s="30"/>
      <c r="B481" s="30"/>
      <c r="C481" s="30"/>
      <c r="D481" s="30"/>
      <c r="E481" s="30"/>
      <c r="F481" s="30"/>
      <c r="G481" s="30"/>
      <c r="H481" s="30"/>
      <c r="I481" s="30"/>
      <c r="J481" s="30"/>
      <c r="K481" s="30"/>
      <c r="L481" s="30"/>
      <c r="M481" s="30"/>
      <c r="N481" s="30"/>
      <c r="O481" s="31"/>
      <c r="P481" s="30"/>
      <c r="Q481" s="30"/>
      <c r="R481" s="30"/>
      <c r="S481" s="30"/>
      <c r="T481" s="30"/>
      <c r="U481" s="30"/>
      <c r="V481" s="30"/>
      <c r="W481" s="30"/>
    </row>
    <row r="482">
      <c r="A482" s="30"/>
      <c r="B482" s="30"/>
      <c r="C482" s="30"/>
      <c r="D482" s="30"/>
      <c r="E482" s="30"/>
      <c r="F482" s="30"/>
      <c r="G482" s="30"/>
      <c r="H482" s="30"/>
      <c r="I482" s="30"/>
      <c r="J482" s="30"/>
      <c r="K482" s="30"/>
      <c r="L482" s="30"/>
      <c r="M482" s="30"/>
      <c r="N482" s="30"/>
      <c r="O482" s="31"/>
      <c r="P482" s="30"/>
      <c r="Q482" s="30"/>
      <c r="R482" s="30"/>
      <c r="S482" s="30"/>
      <c r="T482" s="30"/>
      <c r="U482" s="30"/>
      <c r="V482" s="30"/>
      <c r="W482" s="30"/>
    </row>
    <row r="483">
      <c r="A483" s="30"/>
      <c r="B483" s="30"/>
      <c r="C483" s="30"/>
      <c r="D483" s="30"/>
      <c r="E483" s="30"/>
      <c r="F483" s="30"/>
      <c r="G483" s="30"/>
      <c r="H483" s="30"/>
      <c r="I483" s="30"/>
      <c r="J483" s="30"/>
      <c r="K483" s="30"/>
      <c r="L483" s="30"/>
      <c r="M483" s="30"/>
      <c r="N483" s="30"/>
      <c r="O483" s="31"/>
      <c r="P483" s="30"/>
      <c r="Q483" s="30"/>
      <c r="R483" s="30"/>
      <c r="S483" s="30"/>
      <c r="T483" s="30"/>
      <c r="U483" s="30"/>
      <c r="V483" s="30"/>
      <c r="W483" s="30"/>
    </row>
    <row r="484">
      <c r="A484" s="30"/>
      <c r="B484" s="30"/>
      <c r="C484" s="30"/>
      <c r="D484" s="30"/>
      <c r="E484" s="30"/>
      <c r="F484" s="30"/>
      <c r="G484" s="30"/>
      <c r="H484" s="30"/>
      <c r="I484" s="30"/>
      <c r="J484" s="30"/>
      <c r="K484" s="30"/>
      <c r="L484" s="30"/>
      <c r="M484" s="30"/>
      <c r="N484" s="30"/>
      <c r="O484" s="31"/>
      <c r="P484" s="30"/>
      <c r="Q484" s="30"/>
      <c r="R484" s="30"/>
      <c r="S484" s="30"/>
      <c r="T484" s="30"/>
      <c r="U484" s="30"/>
      <c r="V484" s="30"/>
      <c r="W484" s="30"/>
    </row>
    <row r="485">
      <c r="A485" s="30"/>
      <c r="B485" s="30"/>
      <c r="C485" s="30"/>
      <c r="D485" s="30"/>
      <c r="E485" s="30"/>
      <c r="F485" s="30"/>
      <c r="G485" s="30"/>
      <c r="H485" s="30"/>
      <c r="I485" s="30"/>
      <c r="J485" s="30"/>
      <c r="K485" s="30"/>
      <c r="L485" s="30"/>
      <c r="M485" s="30"/>
      <c r="N485" s="30"/>
      <c r="O485" s="31"/>
      <c r="P485" s="30"/>
      <c r="Q485" s="30"/>
      <c r="R485" s="30"/>
      <c r="S485" s="30"/>
      <c r="T485" s="30"/>
      <c r="U485" s="30"/>
      <c r="V485" s="30"/>
      <c r="W485" s="30"/>
    </row>
    <row r="486">
      <c r="A486" s="30"/>
      <c r="B486" s="30"/>
      <c r="C486" s="30"/>
      <c r="D486" s="30"/>
      <c r="E486" s="30"/>
      <c r="F486" s="30"/>
      <c r="G486" s="30"/>
      <c r="H486" s="30"/>
      <c r="I486" s="30"/>
      <c r="J486" s="30"/>
      <c r="K486" s="30"/>
      <c r="L486" s="30"/>
      <c r="M486" s="30"/>
      <c r="N486" s="30"/>
      <c r="O486" s="31"/>
      <c r="P486" s="30"/>
      <c r="Q486" s="30"/>
      <c r="R486" s="30"/>
      <c r="S486" s="30"/>
      <c r="T486" s="30"/>
      <c r="U486" s="30"/>
      <c r="V486" s="30"/>
      <c r="W486" s="30"/>
    </row>
    <row r="487">
      <c r="A487" s="30"/>
      <c r="B487" s="30"/>
      <c r="C487" s="30"/>
      <c r="D487" s="30"/>
      <c r="E487" s="30"/>
      <c r="F487" s="30"/>
      <c r="G487" s="30"/>
      <c r="H487" s="30"/>
      <c r="I487" s="30"/>
      <c r="J487" s="30"/>
      <c r="K487" s="30"/>
      <c r="L487" s="30"/>
      <c r="M487" s="30"/>
      <c r="N487" s="30"/>
      <c r="O487" s="31"/>
      <c r="P487" s="30"/>
      <c r="Q487" s="30"/>
      <c r="R487" s="30"/>
      <c r="S487" s="30"/>
      <c r="T487" s="30"/>
      <c r="U487" s="30"/>
      <c r="V487" s="30"/>
      <c r="W487" s="30"/>
    </row>
    <row r="488">
      <c r="A488" s="30"/>
      <c r="B488" s="30"/>
      <c r="C488" s="30"/>
      <c r="D488" s="30"/>
      <c r="E488" s="30"/>
      <c r="F488" s="30"/>
      <c r="G488" s="30"/>
      <c r="H488" s="30"/>
      <c r="I488" s="30"/>
      <c r="J488" s="30"/>
      <c r="K488" s="30"/>
      <c r="L488" s="30"/>
      <c r="M488" s="30"/>
      <c r="N488" s="30"/>
      <c r="O488" s="31"/>
      <c r="P488" s="30"/>
      <c r="Q488" s="30"/>
      <c r="R488" s="30"/>
      <c r="S488" s="30"/>
      <c r="T488" s="30"/>
      <c r="U488" s="30"/>
      <c r="V488" s="30"/>
      <c r="W488" s="30"/>
    </row>
    <row r="489">
      <c r="A489" s="30"/>
      <c r="B489" s="30"/>
      <c r="C489" s="30"/>
      <c r="D489" s="30"/>
      <c r="E489" s="30"/>
      <c r="F489" s="30"/>
      <c r="G489" s="30"/>
      <c r="H489" s="30"/>
      <c r="I489" s="30"/>
      <c r="J489" s="30"/>
      <c r="K489" s="30"/>
      <c r="L489" s="30"/>
      <c r="M489" s="30"/>
      <c r="N489" s="30"/>
      <c r="O489" s="31"/>
      <c r="P489" s="30"/>
      <c r="Q489" s="30"/>
      <c r="R489" s="30"/>
      <c r="S489" s="30"/>
      <c r="T489" s="30"/>
      <c r="U489" s="30"/>
      <c r="V489" s="30"/>
      <c r="W489" s="30"/>
    </row>
    <row r="490">
      <c r="A490" s="30"/>
      <c r="B490" s="30"/>
      <c r="C490" s="30"/>
      <c r="D490" s="30"/>
      <c r="E490" s="30"/>
      <c r="F490" s="30"/>
      <c r="G490" s="30"/>
      <c r="H490" s="30"/>
      <c r="I490" s="30"/>
      <c r="J490" s="30"/>
      <c r="K490" s="30"/>
      <c r="L490" s="30"/>
      <c r="M490" s="30"/>
      <c r="N490" s="30"/>
      <c r="O490" s="31"/>
      <c r="P490" s="30"/>
      <c r="Q490" s="30"/>
      <c r="R490" s="30"/>
      <c r="S490" s="30"/>
      <c r="T490" s="30"/>
      <c r="U490" s="30"/>
      <c r="V490" s="30"/>
      <c r="W490" s="30"/>
    </row>
    <row r="491">
      <c r="A491" s="30"/>
      <c r="B491" s="30"/>
      <c r="C491" s="30"/>
      <c r="D491" s="30"/>
      <c r="E491" s="30"/>
      <c r="F491" s="30"/>
      <c r="G491" s="30"/>
      <c r="H491" s="30"/>
      <c r="I491" s="30"/>
      <c r="J491" s="30"/>
      <c r="K491" s="30"/>
      <c r="L491" s="30"/>
      <c r="M491" s="30"/>
      <c r="N491" s="30"/>
      <c r="O491" s="31"/>
      <c r="P491" s="30"/>
      <c r="Q491" s="30"/>
      <c r="R491" s="30"/>
      <c r="S491" s="30"/>
      <c r="T491" s="30"/>
      <c r="U491" s="30"/>
      <c r="V491" s="30"/>
      <c r="W491" s="30"/>
    </row>
    <row r="492">
      <c r="A492" s="30"/>
      <c r="B492" s="30"/>
      <c r="C492" s="30"/>
      <c r="D492" s="30"/>
      <c r="E492" s="30"/>
      <c r="F492" s="30"/>
      <c r="G492" s="30"/>
      <c r="H492" s="30"/>
      <c r="I492" s="30"/>
      <c r="J492" s="30"/>
      <c r="K492" s="30"/>
      <c r="L492" s="30"/>
      <c r="M492" s="30"/>
      <c r="N492" s="30"/>
      <c r="O492" s="31"/>
      <c r="P492" s="30"/>
      <c r="Q492" s="30"/>
      <c r="R492" s="30"/>
      <c r="S492" s="30"/>
      <c r="T492" s="30"/>
      <c r="U492" s="30"/>
      <c r="V492" s="30"/>
      <c r="W492" s="30"/>
    </row>
    <row r="493">
      <c r="A493" s="30"/>
      <c r="B493" s="30"/>
      <c r="C493" s="30"/>
      <c r="D493" s="30"/>
      <c r="E493" s="30"/>
      <c r="F493" s="30"/>
      <c r="G493" s="30"/>
      <c r="H493" s="30"/>
      <c r="I493" s="30"/>
      <c r="J493" s="30"/>
      <c r="K493" s="30"/>
      <c r="L493" s="30"/>
      <c r="M493" s="30"/>
      <c r="N493" s="30"/>
      <c r="O493" s="31"/>
      <c r="P493" s="30"/>
      <c r="Q493" s="30"/>
      <c r="R493" s="30"/>
      <c r="S493" s="30"/>
      <c r="T493" s="30"/>
      <c r="U493" s="30"/>
      <c r="V493" s="30"/>
      <c r="W493" s="30"/>
    </row>
    <row r="494">
      <c r="A494" s="30"/>
      <c r="B494" s="30"/>
      <c r="C494" s="30"/>
      <c r="D494" s="30"/>
      <c r="E494" s="30"/>
      <c r="F494" s="30"/>
      <c r="G494" s="30"/>
      <c r="H494" s="30"/>
      <c r="I494" s="30"/>
      <c r="J494" s="30"/>
      <c r="K494" s="30"/>
      <c r="L494" s="30"/>
      <c r="M494" s="30"/>
      <c r="N494" s="30"/>
      <c r="O494" s="31"/>
      <c r="P494" s="30"/>
      <c r="Q494" s="30"/>
      <c r="R494" s="30"/>
      <c r="S494" s="30"/>
      <c r="T494" s="30"/>
      <c r="U494" s="30"/>
      <c r="V494" s="30"/>
      <c r="W494" s="30"/>
    </row>
    <row r="495">
      <c r="A495" s="30"/>
      <c r="B495" s="30"/>
      <c r="C495" s="30"/>
      <c r="D495" s="30"/>
      <c r="E495" s="30"/>
      <c r="F495" s="30"/>
      <c r="G495" s="30"/>
      <c r="H495" s="30"/>
      <c r="I495" s="30"/>
      <c r="J495" s="30"/>
      <c r="K495" s="30"/>
      <c r="L495" s="30"/>
      <c r="M495" s="30"/>
      <c r="N495" s="30"/>
      <c r="O495" s="31"/>
      <c r="P495" s="30"/>
      <c r="Q495" s="30"/>
      <c r="R495" s="30"/>
      <c r="S495" s="30"/>
      <c r="T495" s="30"/>
      <c r="U495" s="30"/>
      <c r="V495" s="30"/>
      <c r="W495" s="30"/>
    </row>
    <row r="496">
      <c r="A496" s="30"/>
      <c r="B496" s="30"/>
      <c r="C496" s="30"/>
      <c r="D496" s="30"/>
      <c r="E496" s="30"/>
      <c r="F496" s="30"/>
      <c r="G496" s="30"/>
      <c r="H496" s="30"/>
      <c r="I496" s="30"/>
      <c r="J496" s="30"/>
      <c r="K496" s="30"/>
      <c r="L496" s="30"/>
      <c r="M496" s="30"/>
      <c r="N496" s="30"/>
      <c r="O496" s="31"/>
      <c r="P496" s="30"/>
      <c r="Q496" s="30"/>
      <c r="R496" s="30"/>
      <c r="S496" s="30"/>
      <c r="T496" s="30"/>
      <c r="U496" s="30"/>
      <c r="V496" s="30"/>
      <c r="W496" s="30"/>
    </row>
    <row r="497">
      <c r="A497" s="30"/>
      <c r="B497" s="30"/>
      <c r="C497" s="30"/>
      <c r="D497" s="30"/>
      <c r="E497" s="30"/>
      <c r="F497" s="30"/>
      <c r="G497" s="30"/>
      <c r="H497" s="30"/>
      <c r="I497" s="30"/>
      <c r="J497" s="30"/>
      <c r="K497" s="30"/>
      <c r="L497" s="30"/>
      <c r="M497" s="30"/>
      <c r="N497" s="30"/>
      <c r="O497" s="31"/>
      <c r="P497" s="30"/>
      <c r="Q497" s="30"/>
      <c r="R497" s="30"/>
      <c r="S497" s="30"/>
      <c r="T497" s="30"/>
      <c r="U497" s="30"/>
      <c r="V497" s="30"/>
      <c r="W497" s="30"/>
    </row>
    <row r="498">
      <c r="A498" s="30"/>
      <c r="B498" s="30"/>
      <c r="C498" s="30"/>
      <c r="D498" s="30"/>
      <c r="E498" s="30"/>
      <c r="F498" s="30"/>
      <c r="G498" s="30"/>
      <c r="H498" s="30"/>
      <c r="I498" s="30"/>
      <c r="J498" s="30"/>
      <c r="K498" s="30"/>
      <c r="L498" s="30"/>
      <c r="M498" s="30"/>
      <c r="N498" s="30"/>
      <c r="O498" s="31"/>
      <c r="P498" s="30"/>
      <c r="Q498" s="30"/>
      <c r="R498" s="30"/>
      <c r="S498" s="30"/>
      <c r="T498" s="30"/>
      <c r="U498" s="30"/>
      <c r="V498" s="30"/>
      <c r="W498" s="30"/>
    </row>
    <row r="499">
      <c r="A499" s="30"/>
      <c r="B499" s="30"/>
      <c r="C499" s="30"/>
      <c r="D499" s="30"/>
      <c r="E499" s="30"/>
      <c r="F499" s="30"/>
      <c r="G499" s="30"/>
      <c r="H499" s="30"/>
      <c r="I499" s="30"/>
      <c r="J499" s="30"/>
      <c r="K499" s="30"/>
      <c r="L499" s="30"/>
      <c r="M499" s="30"/>
      <c r="N499" s="30"/>
      <c r="O499" s="31"/>
      <c r="P499" s="30"/>
      <c r="Q499" s="30"/>
      <c r="R499" s="30"/>
      <c r="S499" s="30"/>
      <c r="T499" s="30"/>
      <c r="U499" s="30"/>
      <c r="V499" s="30"/>
      <c r="W499" s="30"/>
    </row>
    <row r="500">
      <c r="A500" s="30"/>
      <c r="B500" s="30"/>
      <c r="C500" s="30"/>
      <c r="D500" s="30"/>
      <c r="E500" s="30"/>
      <c r="F500" s="30"/>
      <c r="G500" s="30"/>
      <c r="H500" s="30"/>
      <c r="I500" s="30"/>
      <c r="J500" s="30"/>
      <c r="K500" s="30"/>
      <c r="L500" s="30"/>
      <c r="M500" s="30"/>
      <c r="N500" s="30"/>
      <c r="O500" s="31"/>
      <c r="P500" s="30"/>
      <c r="Q500" s="30"/>
      <c r="R500" s="30"/>
      <c r="S500" s="30"/>
      <c r="T500" s="30"/>
      <c r="U500" s="30"/>
      <c r="V500" s="30"/>
      <c r="W500" s="30"/>
    </row>
    <row r="501">
      <c r="A501" s="30"/>
      <c r="B501" s="30"/>
      <c r="C501" s="30"/>
      <c r="D501" s="30"/>
      <c r="E501" s="30"/>
      <c r="F501" s="30"/>
      <c r="G501" s="30"/>
      <c r="H501" s="30"/>
      <c r="I501" s="30"/>
      <c r="J501" s="30"/>
      <c r="K501" s="30"/>
      <c r="L501" s="30"/>
      <c r="M501" s="30"/>
      <c r="N501" s="30"/>
      <c r="O501" s="31"/>
      <c r="P501" s="30"/>
      <c r="Q501" s="30"/>
      <c r="R501" s="30"/>
      <c r="S501" s="30"/>
      <c r="T501" s="30"/>
      <c r="U501" s="30"/>
      <c r="V501" s="30"/>
      <c r="W501" s="30"/>
    </row>
    <row r="502">
      <c r="A502" s="30"/>
      <c r="B502" s="30"/>
      <c r="C502" s="30"/>
      <c r="D502" s="30"/>
      <c r="E502" s="30"/>
      <c r="F502" s="30"/>
      <c r="G502" s="30"/>
      <c r="H502" s="30"/>
      <c r="I502" s="30"/>
      <c r="J502" s="30"/>
      <c r="K502" s="30"/>
      <c r="L502" s="30"/>
      <c r="M502" s="30"/>
      <c r="N502" s="30"/>
      <c r="O502" s="31"/>
      <c r="P502" s="30"/>
      <c r="Q502" s="30"/>
      <c r="R502" s="30"/>
      <c r="S502" s="30"/>
      <c r="T502" s="30"/>
      <c r="U502" s="30"/>
      <c r="V502" s="30"/>
      <c r="W502" s="30"/>
    </row>
    <row r="503">
      <c r="A503" s="30"/>
      <c r="B503" s="30"/>
      <c r="C503" s="30"/>
      <c r="D503" s="30"/>
      <c r="E503" s="30"/>
      <c r="F503" s="30"/>
      <c r="G503" s="30"/>
      <c r="H503" s="30"/>
      <c r="I503" s="30"/>
      <c r="J503" s="30"/>
      <c r="K503" s="30"/>
      <c r="L503" s="30"/>
      <c r="M503" s="30"/>
      <c r="N503" s="30"/>
      <c r="O503" s="31"/>
      <c r="P503" s="30"/>
      <c r="Q503" s="30"/>
      <c r="R503" s="30"/>
      <c r="S503" s="30"/>
      <c r="T503" s="30"/>
      <c r="U503" s="30"/>
      <c r="V503" s="30"/>
      <c r="W503" s="30"/>
    </row>
    <row r="504">
      <c r="A504" s="30"/>
      <c r="B504" s="30"/>
      <c r="C504" s="30"/>
      <c r="D504" s="30"/>
      <c r="E504" s="30"/>
      <c r="F504" s="30"/>
      <c r="G504" s="30"/>
      <c r="H504" s="30"/>
      <c r="I504" s="30"/>
      <c r="J504" s="30"/>
      <c r="K504" s="30"/>
      <c r="L504" s="30"/>
      <c r="M504" s="30"/>
      <c r="N504" s="30"/>
      <c r="O504" s="31"/>
      <c r="P504" s="30"/>
      <c r="Q504" s="30"/>
      <c r="R504" s="30"/>
      <c r="S504" s="30"/>
      <c r="T504" s="30"/>
      <c r="U504" s="30"/>
      <c r="V504" s="30"/>
      <c r="W504" s="30"/>
    </row>
    <row r="505">
      <c r="A505" s="30"/>
      <c r="B505" s="30"/>
      <c r="C505" s="30"/>
      <c r="D505" s="30"/>
      <c r="E505" s="30"/>
      <c r="F505" s="30"/>
      <c r="G505" s="30"/>
      <c r="H505" s="30"/>
      <c r="I505" s="30"/>
      <c r="J505" s="30"/>
      <c r="K505" s="30"/>
      <c r="L505" s="30"/>
      <c r="M505" s="30"/>
      <c r="N505" s="30"/>
      <c r="O505" s="31"/>
      <c r="P505" s="30"/>
      <c r="Q505" s="30"/>
      <c r="R505" s="30"/>
      <c r="S505" s="30"/>
      <c r="T505" s="30"/>
      <c r="U505" s="30"/>
      <c r="V505" s="30"/>
      <c r="W505" s="30"/>
    </row>
    <row r="506">
      <c r="A506" s="30"/>
      <c r="B506" s="30"/>
      <c r="C506" s="30"/>
      <c r="D506" s="30"/>
      <c r="E506" s="30"/>
      <c r="F506" s="30"/>
      <c r="G506" s="30"/>
      <c r="H506" s="30"/>
      <c r="I506" s="30"/>
      <c r="J506" s="30"/>
      <c r="K506" s="30"/>
      <c r="L506" s="30"/>
      <c r="M506" s="30"/>
      <c r="N506" s="30"/>
      <c r="O506" s="31"/>
      <c r="P506" s="30"/>
      <c r="Q506" s="30"/>
      <c r="R506" s="30"/>
      <c r="S506" s="30"/>
      <c r="T506" s="30"/>
      <c r="U506" s="30"/>
      <c r="V506" s="30"/>
      <c r="W506" s="30"/>
    </row>
    <row r="507">
      <c r="A507" s="30"/>
      <c r="B507" s="30"/>
      <c r="C507" s="30"/>
      <c r="D507" s="30"/>
      <c r="E507" s="30"/>
      <c r="F507" s="30"/>
      <c r="G507" s="30"/>
      <c r="H507" s="30"/>
      <c r="I507" s="30"/>
      <c r="J507" s="30"/>
      <c r="K507" s="30"/>
      <c r="L507" s="30"/>
      <c r="M507" s="30"/>
      <c r="N507" s="30"/>
      <c r="O507" s="31"/>
      <c r="P507" s="30"/>
      <c r="Q507" s="30"/>
      <c r="R507" s="30"/>
      <c r="S507" s="30"/>
      <c r="T507" s="30"/>
      <c r="U507" s="30"/>
      <c r="V507" s="30"/>
      <c r="W507" s="30"/>
    </row>
    <row r="508">
      <c r="A508" s="30"/>
      <c r="B508" s="30"/>
      <c r="C508" s="30"/>
      <c r="D508" s="30"/>
      <c r="E508" s="30"/>
      <c r="F508" s="30"/>
      <c r="G508" s="30"/>
      <c r="H508" s="30"/>
      <c r="I508" s="30"/>
      <c r="J508" s="30"/>
      <c r="K508" s="30"/>
      <c r="L508" s="30"/>
      <c r="M508" s="30"/>
      <c r="N508" s="30"/>
      <c r="O508" s="31"/>
      <c r="P508" s="30"/>
      <c r="Q508" s="30"/>
      <c r="R508" s="30"/>
      <c r="S508" s="30"/>
      <c r="T508" s="30"/>
      <c r="U508" s="30"/>
      <c r="V508" s="30"/>
      <c r="W508" s="30"/>
    </row>
    <row r="509">
      <c r="A509" s="30"/>
      <c r="B509" s="30"/>
      <c r="C509" s="30"/>
      <c r="D509" s="30"/>
      <c r="E509" s="30"/>
      <c r="F509" s="30"/>
      <c r="G509" s="30"/>
      <c r="H509" s="30"/>
      <c r="I509" s="30"/>
      <c r="J509" s="30"/>
      <c r="K509" s="30"/>
      <c r="L509" s="30"/>
      <c r="M509" s="30"/>
      <c r="N509" s="30"/>
      <c r="O509" s="31"/>
      <c r="P509" s="30"/>
      <c r="Q509" s="30"/>
      <c r="R509" s="30"/>
      <c r="S509" s="30"/>
      <c r="T509" s="30"/>
      <c r="U509" s="30"/>
      <c r="V509" s="30"/>
      <c r="W509" s="30"/>
    </row>
    <row r="510">
      <c r="A510" s="30"/>
      <c r="B510" s="30"/>
      <c r="C510" s="30"/>
      <c r="D510" s="30"/>
      <c r="E510" s="30"/>
      <c r="F510" s="30"/>
      <c r="G510" s="30"/>
      <c r="H510" s="30"/>
      <c r="I510" s="30"/>
      <c r="J510" s="30"/>
      <c r="K510" s="30"/>
      <c r="L510" s="30"/>
      <c r="M510" s="30"/>
      <c r="N510" s="30"/>
      <c r="O510" s="31"/>
      <c r="P510" s="30"/>
      <c r="Q510" s="30"/>
      <c r="R510" s="30"/>
      <c r="S510" s="30"/>
      <c r="T510" s="30"/>
      <c r="U510" s="30"/>
      <c r="V510" s="30"/>
      <c r="W510" s="30"/>
    </row>
    <row r="511">
      <c r="A511" s="30"/>
      <c r="B511" s="30"/>
      <c r="C511" s="30"/>
      <c r="D511" s="30"/>
      <c r="E511" s="30"/>
      <c r="F511" s="30"/>
      <c r="G511" s="30"/>
      <c r="H511" s="30"/>
      <c r="I511" s="30"/>
      <c r="J511" s="30"/>
      <c r="K511" s="30"/>
      <c r="L511" s="30"/>
      <c r="M511" s="30"/>
      <c r="N511" s="30"/>
      <c r="O511" s="31"/>
      <c r="P511" s="30"/>
      <c r="Q511" s="30"/>
      <c r="R511" s="30"/>
      <c r="S511" s="30"/>
      <c r="T511" s="30"/>
      <c r="U511" s="30"/>
      <c r="V511" s="30"/>
      <c r="W511" s="30"/>
    </row>
    <row r="512">
      <c r="A512" s="30"/>
      <c r="B512" s="30"/>
      <c r="C512" s="30"/>
      <c r="D512" s="30"/>
      <c r="E512" s="30"/>
      <c r="F512" s="30"/>
      <c r="G512" s="30"/>
      <c r="H512" s="30"/>
      <c r="I512" s="30"/>
      <c r="J512" s="30"/>
      <c r="K512" s="30"/>
      <c r="L512" s="30"/>
      <c r="M512" s="30"/>
      <c r="N512" s="30"/>
      <c r="O512" s="31"/>
      <c r="P512" s="30"/>
      <c r="Q512" s="30"/>
      <c r="R512" s="30"/>
      <c r="S512" s="30"/>
      <c r="T512" s="30"/>
      <c r="U512" s="30"/>
      <c r="V512" s="30"/>
      <c r="W512" s="30"/>
    </row>
    <row r="513">
      <c r="A513" s="30"/>
      <c r="B513" s="30"/>
      <c r="C513" s="30"/>
      <c r="D513" s="30"/>
      <c r="E513" s="30"/>
      <c r="F513" s="30"/>
      <c r="G513" s="30"/>
      <c r="H513" s="30"/>
      <c r="I513" s="30"/>
      <c r="J513" s="30"/>
      <c r="K513" s="30"/>
      <c r="L513" s="30"/>
      <c r="M513" s="30"/>
      <c r="N513" s="30"/>
      <c r="O513" s="31"/>
      <c r="P513" s="30"/>
      <c r="Q513" s="30"/>
      <c r="R513" s="30"/>
      <c r="S513" s="30"/>
      <c r="T513" s="30"/>
      <c r="U513" s="30"/>
      <c r="V513" s="30"/>
      <c r="W513" s="30"/>
    </row>
    <row r="514">
      <c r="A514" s="30"/>
      <c r="B514" s="30"/>
      <c r="C514" s="30"/>
      <c r="D514" s="30"/>
      <c r="E514" s="30"/>
      <c r="F514" s="30"/>
      <c r="G514" s="30"/>
      <c r="H514" s="30"/>
      <c r="I514" s="30"/>
      <c r="J514" s="30"/>
      <c r="K514" s="30"/>
      <c r="L514" s="30"/>
      <c r="M514" s="30"/>
      <c r="N514" s="30"/>
      <c r="O514" s="31"/>
      <c r="P514" s="30"/>
      <c r="Q514" s="30"/>
      <c r="R514" s="30"/>
      <c r="S514" s="30"/>
      <c r="T514" s="30"/>
      <c r="U514" s="30"/>
      <c r="V514" s="30"/>
      <c r="W514" s="30"/>
    </row>
    <row r="515">
      <c r="A515" s="30"/>
      <c r="B515" s="30"/>
      <c r="C515" s="30"/>
      <c r="D515" s="30"/>
      <c r="E515" s="30"/>
      <c r="F515" s="30"/>
      <c r="G515" s="30"/>
      <c r="H515" s="30"/>
      <c r="I515" s="30"/>
      <c r="J515" s="30"/>
      <c r="K515" s="30"/>
      <c r="L515" s="30"/>
      <c r="M515" s="30"/>
      <c r="N515" s="30"/>
      <c r="O515" s="31"/>
      <c r="P515" s="30"/>
      <c r="Q515" s="30"/>
      <c r="R515" s="30"/>
      <c r="S515" s="30"/>
      <c r="T515" s="30"/>
      <c r="U515" s="30"/>
      <c r="V515" s="30"/>
      <c r="W515" s="30"/>
    </row>
    <row r="516">
      <c r="A516" s="30"/>
      <c r="B516" s="30"/>
      <c r="C516" s="30"/>
      <c r="D516" s="30"/>
      <c r="E516" s="30"/>
      <c r="F516" s="30"/>
      <c r="G516" s="30"/>
      <c r="H516" s="30"/>
      <c r="I516" s="30"/>
      <c r="J516" s="30"/>
      <c r="K516" s="30"/>
      <c r="L516" s="30"/>
      <c r="M516" s="30"/>
      <c r="N516" s="30"/>
      <c r="O516" s="31"/>
      <c r="P516" s="30"/>
      <c r="Q516" s="30"/>
      <c r="R516" s="30"/>
      <c r="S516" s="30"/>
      <c r="T516" s="30"/>
      <c r="U516" s="30"/>
      <c r="V516" s="30"/>
      <c r="W516" s="30"/>
    </row>
    <row r="517">
      <c r="A517" s="30"/>
      <c r="B517" s="30"/>
      <c r="C517" s="30"/>
      <c r="D517" s="30"/>
      <c r="E517" s="30"/>
      <c r="F517" s="30"/>
      <c r="G517" s="30"/>
      <c r="H517" s="30"/>
      <c r="I517" s="30"/>
      <c r="J517" s="30"/>
      <c r="K517" s="30"/>
      <c r="L517" s="30"/>
      <c r="M517" s="30"/>
      <c r="N517" s="30"/>
      <c r="O517" s="31"/>
      <c r="P517" s="30"/>
      <c r="Q517" s="30"/>
      <c r="R517" s="30"/>
      <c r="S517" s="30"/>
      <c r="T517" s="30"/>
      <c r="U517" s="30"/>
      <c r="V517" s="30"/>
      <c r="W517" s="30"/>
    </row>
    <row r="518">
      <c r="A518" s="30"/>
      <c r="B518" s="30"/>
      <c r="C518" s="30"/>
      <c r="D518" s="30"/>
      <c r="E518" s="30"/>
      <c r="F518" s="30"/>
      <c r="G518" s="30"/>
      <c r="H518" s="30"/>
      <c r="I518" s="30"/>
      <c r="J518" s="30"/>
      <c r="K518" s="30"/>
      <c r="L518" s="30"/>
      <c r="M518" s="30"/>
      <c r="N518" s="30"/>
      <c r="O518" s="31"/>
      <c r="P518" s="30"/>
      <c r="Q518" s="30"/>
      <c r="R518" s="30"/>
      <c r="S518" s="30"/>
      <c r="T518" s="30"/>
      <c r="U518" s="30"/>
      <c r="V518" s="30"/>
      <c r="W518" s="30"/>
    </row>
    <row r="519">
      <c r="A519" s="30"/>
      <c r="B519" s="30"/>
      <c r="C519" s="30"/>
      <c r="D519" s="30"/>
      <c r="E519" s="30"/>
      <c r="F519" s="30"/>
      <c r="G519" s="30"/>
      <c r="H519" s="30"/>
      <c r="I519" s="30"/>
      <c r="J519" s="30"/>
      <c r="K519" s="30"/>
      <c r="L519" s="30"/>
      <c r="M519" s="30"/>
      <c r="N519" s="30"/>
      <c r="O519" s="31"/>
      <c r="P519" s="30"/>
      <c r="Q519" s="30"/>
      <c r="R519" s="30"/>
      <c r="S519" s="30"/>
      <c r="T519" s="30"/>
      <c r="U519" s="30"/>
      <c r="V519" s="30"/>
      <c r="W519" s="30"/>
    </row>
    <row r="520">
      <c r="A520" s="30"/>
      <c r="B520" s="30"/>
      <c r="C520" s="30"/>
      <c r="D520" s="30"/>
      <c r="E520" s="30"/>
      <c r="F520" s="30"/>
      <c r="G520" s="30"/>
      <c r="H520" s="30"/>
      <c r="I520" s="30"/>
      <c r="J520" s="30"/>
      <c r="K520" s="30"/>
      <c r="L520" s="30"/>
      <c r="M520" s="30"/>
      <c r="N520" s="30"/>
      <c r="O520" s="31"/>
      <c r="P520" s="30"/>
      <c r="Q520" s="30"/>
      <c r="R520" s="30"/>
      <c r="S520" s="30"/>
      <c r="T520" s="30"/>
      <c r="U520" s="30"/>
      <c r="V520" s="30"/>
      <c r="W520" s="30"/>
    </row>
    <row r="521">
      <c r="A521" s="30"/>
      <c r="B521" s="30"/>
      <c r="C521" s="30"/>
      <c r="D521" s="30"/>
      <c r="E521" s="30"/>
      <c r="F521" s="30"/>
      <c r="G521" s="30"/>
      <c r="H521" s="30"/>
      <c r="I521" s="30"/>
      <c r="J521" s="30"/>
      <c r="K521" s="30"/>
      <c r="L521" s="30"/>
      <c r="M521" s="30"/>
      <c r="N521" s="30"/>
      <c r="O521" s="31"/>
      <c r="P521" s="30"/>
      <c r="Q521" s="30"/>
      <c r="R521" s="30"/>
      <c r="S521" s="30"/>
      <c r="T521" s="30"/>
      <c r="U521" s="30"/>
      <c r="V521" s="30"/>
      <c r="W521" s="30"/>
    </row>
    <row r="522">
      <c r="A522" s="30"/>
      <c r="B522" s="30"/>
      <c r="C522" s="30"/>
      <c r="D522" s="30"/>
      <c r="E522" s="30"/>
      <c r="F522" s="30"/>
      <c r="G522" s="30"/>
      <c r="H522" s="30"/>
      <c r="I522" s="30"/>
      <c r="J522" s="30"/>
      <c r="K522" s="30"/>
      <c r="L522" s="30"/>
      <c r="M522" s="30"/>
      <c r="N522" s="30"/>
      <c r="O522" s="31"/>
      <c r="P522" s="30"/>
      <c r="Q522" s="30"/>
      <c r="R522" s="30"/>
      <c r="S522" s="30"/>
      <c r="T522" s="30"/>
      <c r="U522" s="30"/>
      <c r="V522" s="30"/>
      <c r="W522" s="30"/>
    </row>
    <row r="523">
      <c r="A523" s="30"/>
      <c r="B523" s="30"/>
      <c r="C523" s="30"/>
      <c r="D523" s="30"/>
      <c r="E523" s="30"/>
      <c r="F523" s="30"/>
      <c r="G523" s="30"/>
      <c r="H523" s="30"/>
      <c r="I523" s="30"/>
      <c r="J523" s="30"/>
      <c r="K523" s="30"/>
      <c r="L523" s="30"/>
      <c r="M523" s="30"/>
      <c r="N523" s="30"/>
      <c r="O523" s="31"/>
      <c r="P523" s="30"/>
      <c r="Q523" s="30"/>
      <c r="R523" s="30"/>
      <c r="S523" s="30"/>
      <c r="T523" s="30"/>
      <c r="U523" s="30"/>
      <c r="V523" s="30"/>
      <c r="W523" s="30"/>
    </row>
    <row r="524">
      <c r="A524" s="30"/>
      <c r="B524" s="30"/>
      <c r="C524" s="30"/>
      <c r="D524" s="30"/>
      <c r="E524" s="30"/>
      <c r="F524" s="30"/>
      <c r="G524" s="30"/>
      <c r="H524" s="30"/>
      <c r="I524" s="30"/>
      <c r="J524" s="30"/>
      <c r="K524" s="30"/>
      <c r="L524" s="30"/>
      <c r="M524" s="30"/>
      <c r="N524" s="30"/>
      <c r="O524" s="31"/>
      <c r="P524" s="30"/>
      <c r="Q524" s="30"/>
      <c r="R524" s="30"/>
      <c r="S524" s="30"/>
      <c r="T524" s="30"/>
      <c r="U524" s="30"/>
      <c r="V524" s="30"/>
      <c r="W524" s="30"/>
    </row>
    <row r="525">
      <c r="A525" s="30"/>
      <c r="B525" s="30"/>
      <c r="C525" s="30"/>
      <c r="D525" s="30"/>
      <c r="E525" s="30"/>
      <c r="F525" s="30"/>
      <c r="G525" s="30"/>
      <c r="H525" s="30"/>
      <c r="I525" s="30"/>
      <c r="J525" s="30"/>
      <c r="K525" s="30"/>
      <c r="L525" s="30"/>
      <c r="M525" s="30"/>
      <c r="N525" s="30"/>
      <c r="O525" s="35"/>
      <c r="P525" s="30"/>
      <c r="Q525" s="30"/>
      <c r="R525" s="30"/>
      <c r="S525" s="30"/>
      <c r="T525" s="30"/>
      <c r="U525" s="30"/>
      <c r="V525" s="30"/>
      <c r="W525" s="30"/>
    </row>
    <row r="526">
      <c r="A526" s="30"/>
      <c r="B526" s="30"/>
      <c r="C526" s="30"/>
      <c r="D526" s="30"/>
      <c r="E526" s="30"/>
      <c r="F526" s="30"/>
      <c r="G526" s="30"/>
      <c r="H526" s="30"/>
      <c r="I526" s="30"/>
      <c r="J526" s="30"/>
      <c r="K526" s="30"/>
      <c r="L526" s="30"/>
      <c r="M526" s="30"/>
      <c r="N526" s="30"/>
      <c r="O526" s="31"/>
      <c r="P526" s="30"/>
      <c r="Q526" s="30"/>
      <c r="R526" s="30"/>
      <c r="S526" s="30"/>
      <c r="T526" s="30"/>
      <c r="U526" s="30"/>
      <c r="V526" s="30"/>
      <c r="W526" s="30"/>
    </row>
    <row r="527">
      <c r="A527" s="30"/>
      <c r="B527" s="30"/>
      <c r="C527" s="30"/>
      <c r="D527" s="30"/>
      <c r="E527" s="30"/>
      <c r="F527" s="30"/>
      <c r="G527" s="30"/>
      <c r="H527" s="30"/>
      <c r="I527" s="30"/>
      <c r="J527" s="30"/>
      <c r="K527" s="30"/>
      <c r="L527" s="30"/>
      <c r="M527" s="30"/>
      <c r="N527" s="30"/>
      <c r="O527" s="31"/>
      <c r="P527" s="30"/>
      <c r="Q527" s="30"/>
      <c r="R527" s="30"/>
      <c r="S527" s="30"/>
      <c r="T527" s="30"/>
      <c r="U527" s="30"/>
      <c r="V527" s="30"/>
      <c r="W527" s="30"/>
    </row>
    <row r="528">
      <c r="A528" s="30"/>
      <c r="B528" s="30"/>
      <c r="C528" s="30"/>
      <c r="D528" s="30"/>
      <c r="E528" s="30"/>
      <c r="F528" s="30"/>
      <c r="G528" s="30"/>
      <c r="H528" s="30"/>
      <c r="I528" s="30"/>
      <c r="J528" s="30"/>
      <c r="K528" s="30"/>
      <c r="L528" s="30"/>
      <c r="M528" s="30"/>
      <c r="N528" s="30"/>
      <c r="O528" s="31"/>
      <c r="P528" s="30"/>
      <c r="Q528" s="30"/>
      <c r="R528" s="30"/>
      <c r="S528" s="30"/>
      <c r="T528" s="30"/>
      <c r="U528" s="30"/>
      <c r="V528" s="30"/>
      <c r="W528" s="30"/>
    </row>
    <row r="529">
      <c r="A529" s="30"/>
      <c r="B529" s="30"/>
      <c r="C529" s="30"/>
      <c r="D529" s="30"/>
      <c r="E529" s="30"/>
      <c r="F529" s="30"/>
      <c r="G529" s="30"/>
      <c r="H529" s="30"/>
      <c r="I529" s="30"/>
      <c r="J529" s="30"/>
      <c r="K529" s="30"/>
      <c r="L529" s="30"/>
      <c r="M529" s="30"/>
      <c r="N529" s="30"/>
      <c r="O529" s="31"/>
      <c r="P529" s="30"/>
      <c r="Q529" s="30"/>
      <c r="R529" s="30"/>
      <c r="S529" s="30"/>
      <c r="T529" s="30"/>
      <c r="U529" s="30"/>
      <c r="V529" s="30"/>
      <c r="W529" s="30"/>
    </row>
    <row r="530">
      <c r="A530" s="30"/>
      <c r="B530" s="30"/>
      <c r="C530" s="30"/>
      <c r="D530" s="30"/>
      <c r="E530" s="30"/>
      <c r="F530" s="30"/>
      <c r="G530" s="30"/>
      <c r="H530" s="30"/>
      <c r="I530" s="30"/>
      <c r="J530" s="30"/>
      <c r="K530" s="30"/>
      <c r="L530" s="30"/>
      <c r="M530" s="30"/>
      <c r="N530" s="30"/>
      <c r="O530" s="31"/>
      <c r="P530" s="30"/>
      <c r="Q530" s="30"/>
      <c r="R530" s="30"/>
      <c r="S530" s="30"/>
      <c r="T530" s="30"/>
      <c r="U530" s="30"/>
      <c r="V530" s="30"/>
      <c r="W530" s="30"/>
    </row>
    <row r="531">
      <c r="A531" s="30"/>
      <c r="B531" s="30"/>
      <c r="C531" s="30"/>
      <c r="D531" s="30"/>
      <c r="E531" s="30"/>
      <c r="F531" s="30"/>
      <c r="G531" s="30"/>
      <c r="H531" s="30"/>
      <c r="I531" s="30"/>
      <c r="J531" s="30"/>
      <c r="K531" s="30"/>
      <c r="L531" s="30"/>
      <c r="M531" s="30"/>
      <c r="N531" s="30"/>
      <c r="O531" s="31"/>
      <c r="P531" s="30"/>
      <c r="Q531" s="30"/>
      <c r="R531" s="30"/>
      <c r="S531" s="30"/>
      <c r="T531" s="30"/>
      <c r="U531" s="30"/>
      <c r="V531" s="30"/>
      <c r="W531" s="30"/>
    </row>
    <row r="532">
      <c r="A532" s="30"/>
      <c r="B532" s="30"/>
      <c r="C532" s="30"/>
      <c r="D532" s="30"/>
      <c r="E532" s="30"/>
      <c r="F532" s="30"/>
      <c r="G532" s="30"/>
      <c r="H532" s="30"/>
      <c r="I532" s="30"/>
      <c r="J532" s="30"/>
      <c r="K532" s="30"/>
      <c r="L532" s="30"/>
      <c r="M532" s="30"/>
      <c r="N532" s="30"/>
      <c r="O532" s="31"/>
      <c r="P532" s="30"/>
      <c r="Q532" s="30"/>
      <c r="R532" s="30"/>
      <c r="S532" s="30"/>
      <c r="T532" s="30"/>
      <c r="U532" s="30"/>
      <c r="V532" s="30"/>
      <c r="W532" s="30"/>
    </row>
    <row r="533">
      <c r="A533" s="30"/>
      <c r="B533" s="30"/>
      <c r="C533" s="30"/>
      <c r="D533" s="30"/>
      <c r="E533" s="30"/>
      <c r="F533" s="30"/>
      <c r="G533" s="30"/>
      <c r="H533" s="30"/>
      <c r="I533" s="30"/>
      <c r="J533" s="30"/>
      <c r="K533" s="30"/>
      <c r="L533" s="30"/>
      <c r="M533" s="30"/>
      <c r="N533" s="30"/>
      <c r="O533" s="31"/>
      <c r="P533" s="30"/>
      <c r="Q533" s="30"/>
      <c r="R533" s="30"/>
      <c r="S533" s="30"/>
      <c r="T533" s="30"/>
      <c r="U533" s="30"/>
      <c r="V533" s="30"/>
      <c r="W533" s="30"/>
    </row>
    <row r="534">
      <c r="A534" s="30"/>
      <c r="B534" s="30"/>
      <c r="C534" s="30"/>
      <c r="D534" s="30"/>
      <c r="E534" s="30"/>
      <c r="F534" s="30"/>
      <c r="G534" s="30"/>
      <c r="H534" s="30"/>
      <c r="I534" s="30"/>
      <c r="J534" s="30"/>
      <c r="K534" s="30"/>
      <c r="L534" s="30"/>
      <c r="M534" s="30"/>
      <c r="N534" s="30"/>
      <c r="O534" s="31"/>
      <c r="P534" s="30"/>
      <c r="Q534" s="30"/>
      <c r="R534" s="30"/>
      <c r="S534" s="30"/>
      <c r="T534" s="30"/>
      <c r="U534" s="30"/>
      <c r="V534" s="30"/>
      <c r="W534" s="30"/>
    </row>
    <row r="535">
      <c r="A535" s="30"/>
      <c r="B535" s="30"/>
      <c r="C535" s="30"/>
      <c r="D535" s="30"/>
      <c r="E535" s="30"/>
      <c r="F535" s="30"/>
      <c r="G535" s="30"/>
      <c r="H535" s="30"/>
      <c r="I535" s="30"/>
      <c r="J535" s="30"/>
      <c r="K535" s="30"/>
      <c r="L535" s="30"/>
      <c r="M535" s="30"/>
      <c r="N535" s="30"/>
      <c r="O535" s="31"/>
      <c r="P535" s="30"/>
      <c r="Q535" s="30"/>
      <c r="R535" s="30"/>
      <c r="S535" s="30"/>
      <c r="T535" s="30"/>
      <c r="U535" s="30"/>
      <c r="V535" s="30"/>
      <c r="W535" s="30"/>
    </row>
    <row r="536">
      <c r="A536" s="30"/>
      <c r="B536" s="30"/>
      <c r="C536" s="30"/>
      <c r="D536" s="30"/>
      <c r="E536" s="30"/>
      <c r="F536" s="30"/>
      <c r="G536" s="30"/>
      <c r="H536" s="30"/>
      <c r="I536" s="30"/>
      <c r="J536" s="30"/>
      <c r="K536" s="30"/>
      <c r="L536" s="30"/>
      <c r="M536" s="30"/>
      <c r="N536" s="30"/>
      <c r="O536" s="31"/>
      <c r="P536" s="30"/>
      <c r="Q536" s="30"/>
      <c r="R536" s="30"/>
      <c r="S536" s="30"/>
      <c r="T536" s="30"/>
      <c r="U536" s="30"/>
      <c r="V536" s="30"/>
      <c r="W536" s="30"/>
    </row>
    <row r="537">
      <c r="A537" s="30"/>
      <c r="B537" s="30"/>
      <c r="C537" s="30"/>
      <c r="D537" s="30"/>
      <c r="E537" s="30"/>
      <c r="F537" s="30"/>
      <c r="G537" s="30"/>
      <c r="H537" s="30"/>
      <c r="I537" s="30"/>
      <c r="J537" s="30"/>
      <c r="K537" s="30"/>
      <c r="L537" s="30"/>
      <c r="M537" s="30"/>
      <c r="N537" s="30"/>
      <c r="O537" s="31"/>
      <c r="P537" s="30"/>
      <c r="Q537" s="30"/>
      <c r="R537" s="30"/>
      <c r="S537" s="30"/>
      <c r="T537" s="30"/>
      <c r="U537" s="30"/>
      <c r="V537" s="30"/>
      <c r="W537" s="30"/>
    </row>
    <row r="538">
      <c r="A538" s="30"/>
      <c r="B538" s="30"/>
      <c r="C538" s="30"/>
      <c r="D538" s="30"/>
      <c r="E538" s="30"/>
      <c r="F538" s="30"/>
      <c r="G538" s="30"/>
      <c r="H538" s="30"/>
      <c r="I538" s="30"/>
      <c r="J538" s="30"/>
      <c r="K538" s="30"/>
      <c r="L538" s="30"/>
      <c r="M538" s="30"/>
      <c r="N538" s="30"/>
      <c r="O538" s="31"/>
      <c r="P538" s="30"/>
      <c r="Q538" s="30"/>
      <c r="R538" s="30"/>
      <c r="S538" s="30"/>
      <c r="T538" s="30"/>
      <c r="U538" s="30"/>
      <c r="V538" s="30"/>
      <c r="W538" s="30"/>
    </row>
    <row r="539">
      <c r="A539" s="30"/>
      <c r="B539" s="30"/>
      <c r="C539" s="30"/>
      <c r="D539" s="30"/>
      <c r="E539" s="30"/>
      <c r="F539" s="30"/>
      <c r="G539" s="30"/>
      <c r="H539" s="30"/>
      <c r="I539" s="30"/>
      <c r="J539" s="30"/>
      <c r="K539" s="30"/>
      <c r="L539" s="30"/>
      <c r="M539" s="30"/>
      <c r="N539" s="30"/>
      <c r="O539" s="31"/>
      <c r="P539" s="30"/>
      <c r="Q539" s="30"/>
      <c r="R539" s="30"/>
      <c r="S539" s="30"/>
      <c r="T539" s="30"/>
      <c r="U539" s="30"/>
      <c r="V539" s="30"/>
      <c r="W539" s="30"/>
    </row>
    <row r="540">
      <c r="A540" s="30"/>
      <c r="B540" s="30"/>
      <c r="C540" s="30"/>
      <c r="D540" s="30"/>
      <c r="E540" s="30"/>
      <c r="F540" s="30"/>
      <c r="G540" s="30"/>
      <c r="H540" s="30"/>
      <c r="I540" s="30"/>
      <c r="J540" s="30"/>
      <c r="K540" s="30"/>
      <c r="L540" s="30"/>
      <c r="M540" s="30"/>
      <c r="N540" s="30"/>
      <c r="O540" s="31"/>
      <c r="P540" s="30"/>
      <c r="Q540" s="30"/>
      <c r="R540" s="30"/>
      <c r="S540" s="30"/>
      <c r="T540" s="30"/>
      <c r="U540" s="30"/>
      <c r="V540" s="30"/>
      <c r="W540" s="30"/>
    </row>
    <row r="541">
      <c r="A541" s="30"/>
      <c r="B541" s="30"/>
      <c r="C541" s="30"/>
      <c r="D541" s="30"/>
      <c r="E541" s="30"/>
      <c r="F541" s="30"/>
      <c r="G541" s="30"/>
      <c r="H541" s="30"/>
      <c r="I541" s="30"/>
      <c r="J541" s="30"/>
      <c r="K541" s="30"/>
      <c r="L541" s="30"/>
      <c r="M541" s="30"/>
      <c r="N541" s="30"/>
      <c r="O541" s="31"/>
      <c r="P541" s="30"/>
      <c r="Q541" s="30"/>
      <c r="R541" s="30"/>
      <c r="S541" s="30"/>
      <c r="T541" s="30"/>
      <c r="U541" s="30"/>
      <c r="V541" s="30"/>
      <c r="W541" s="30"/>
    </row>
    <row r="542">
      <c r="A542" s="30"/>
      <c r="B542" s="30"/>
      <c r="C542" s="30"/>
      <c r="D542" s="30"/>
      <c r="E542" s="30"/>
      <c r="F542" s="30"/>
      <c r="G542" s="30"/>
      <c r="H542" s="30"/>
      <c r="I542" s="30"/>
      <c r="J542" s="30"/>
      <c r="K542" s="30"/>
      <c r="L542" s="30"/>
      <c r="M542" s="30"/>
      <c r="N542" s="30"/>
      <c r="O542" s="31"/>
      <c r="P542" s="30"/>
      <c r="Q542" s="30"/>
      <c r="R542" s="30"/>
      <c r="S542" s="30"/>
      <c r="T542" s="30"/>
      <c r="U542" s="30"/>
      <c r="V542" s="30"/>
      <c r="W542" s="30"/>
    </row>
    <row r="543">
      <c r="A543" s="30"/>
      <c r="B543" s="30"/>
      <c r="C543" s="30"/>
      <c r="D543" s="30"/>
      <c r="E543" s="30"/>
      <c r="F543" s="30"/>
      <c r="G543" s="30"/>
      <c r="H543" s="30"/>
      <c r="I543" s="30"/>
      <c r="J543" s="30"/>
      <c r="K543" s="30"/>
      <c r="L543" s="30"/>
      <c r="M543" s="30"/>
      <c r="N543" s="30"/>
      <c r="O543" s="31"/>
      <c r="P543" s="30"/>
      <c r="Q543" s="30"/>
      <c r="R543" s="30"/>
      <c r="S543" s="30"/>
      <c r="T543" s="30"/>
      <c r="U543" s="30"/>
      <c r="V543" s="30"/>
      <c r="W543" s="30"/>
    </row>
    <row r="544">
      <c r="A544" s="30"/>
      <c r="B544" s="30"/>
      <c r="C544" s="30"/>
      <c r="D544" s="30"/>
      <c r="E544" s="30"/>
      <c r="F544" s="30"/>
      <c r="G544" s="30"/>
      <c r="H544" s="30"/>
      <c r="I544" s="30"/>
      <c r="J544" s="30"/>
      <c r="K544" s="30"/>
      <c r="L544" s="30"/>
      <c r="M544" s="30"/>
      <c r="N544" s="30"/>
      <c r="O544" s="31"/>
      <c r="P544" s="30"/>
      <c r="Q544" s="30"/>
      <c r="R544" s="30"/>
      <c r="S544" s="30"/>
      <c r="T544" s="30"/>
      <c r="U544" s="30"/>
      <c r="V544" s="30"/>
      <c r="W544" s="30"/>
    </row>
    <row r="545">
      <c r="A545" s="30"/>
      <c r="B545" s="30"/>
      <c r="C545" s="30"/>
      <c r="D545" s="30"/>
      <c r="E545" s="30"/>
      <c r="F545" s="30"/>
      <c r="G545" s="30"/>
      <c r="H545" s="30"/>
      <c r="I545" s="30"/>
      <c r="J545" s="30"/>
      <c r="K545" s="30"/>
      <c r="L545" s="30"/>
      <c r="M545" s="30"/>
      <c r="N545" s="30"/>
      <c r="O545" s="31"/>
      <c r="P545" s="30"/>
      <c r="Q545" s="30"/>
      <c r="R545" s="30"/>
      <c r="S545" s="30"/>
      <c r="T545" s="30"/>
      <c r="U545" s="30"/>
      <c r="V545" s="30"/>
      <c r="W545" s="30"/>
    </row>
    <row r="546">
      <c r="A546" s="30"/>
      <c r="B546" s="30"/>
      <c r="C546" s="30"/>
      <c r="D546" s="30"/>
      <c r="E546" s="30"/>
      <c r="F546" s="30"/>
      <c r="G546" s="30"/>
      <c r="H546" s="30"/>
      <c r="I546" s="30"/>
      <c r="J546" s="30"/>
      <c r="K546" s="30"/>
      <c r="L546" s="30"/>
      <c r="M546" s="30"/>
      <c r="N546" s="30"/>
      <c r="O546" s="31"/>
      <c r="P546" s="30"/>
      <c r="Q546" s="30"/>
      <c r="R546" s="30"/>
      <c r="S546" s="30"/>
      <c r="T546" s="30"/>
      <c r="U546" s="30"/>
      <c r="V546" s="30"/>
      <c r="W546" s="30"/>
    </row>
    <row r="547">
      <c r="A547" s="30"/>
      <c r="B547" s="30"/>
      <c r="C547" s="30"/>
      <c r="D547" s="30"/>
      <c r="E547" s="30"/>
      <c r="F547" s="30"/>
      <c r="G547" s="30"/>
      <c r="H547" s="30"/>
      <c r="I547" s="30"/>
      <c r="J547" s="30"/>
      <c r="K547" s="30"/>
      <c r="L547" s="30"/>
      <c r="M547" s="30"/>
      <c r="N547" s="30"/>
      <c r="O547" s="31"/>
      <c r="P547" s="30"/>
      <c r="Q547" s="30"/>
      <c r="R547" s="30"/>
      <c r="S547" s="30"/>
      <c r="T547" s="30"/>
      <c r="U547" s="30"/>
      <c r="V547" s="30"/>
      <c r="W547" s="30"/>
    </row>
    <row r="548">
      <c r="A548" s="30"/>
      <c r="B548" s="30"/>
      <c r="C548" s="30"/>
      <c r="D548" s="30"/>
      <c r="E548" s="30"/>
      <c r="F548" s="30"/>
      <c r="G548" s="30"/>
      <c r="H548" s="30"/>
      <c r="I548" s="30"/>
      <c r="J548" s="30"/>
      <c r="K548" s="30"/>
      <c r="L548" s="30"/>
      <c r="M548" s="30"/>
      <c r="N548" s="30"/>
      <c r="O548" s="31"/>
      <c r="P548" s="30"/>
      <c r="Q548" s="30"/>
      <c r="R548" s="30"/>
      <c r="S548" s="30"/>
      <c r="T548" s="30"/>
      <c r="U548" s="30"/>
      <c r="V548" s="30"/>
      <c r="W548" s="30"/>
    </row>
    <row r="549">
      <c r="A549" s="30"/>
      <c r="B549" s="30"/>
      <c r="C549" s="30"/>
      <c r="D549" s="30"/>
      <c r="E549" s="30"/>
      <c r="F549" s="30"/>
      <c r="G549" s="30"/>
      <c r="H549" s="30"/>
      <c r="I549" s="30"/>
      <c r="J549" s="30"/>
      <c r="K549" s="30"/>
      <c r="L549" s="30"/>
      <c r="M549" s="30"/>
      <c r="N549" s="30"/>
      <c r="O549" s="31"/>
      <c r="P549" s="30"/>
      <c r="Q549" s="30"/>
      <c r="R549" s="30"/>
      <c r="S549" s="30"/>
      <c r="T549" s="30"/>
      <c r="U549" s="30"/>
      <c r="V549" s="30"/>
      <c r="W549" s="30"/>
    </row>
    <row r="550">
      <c r="A550" s="30"/>
      <c r="B550" s="30"/>
      <c r="C550" s="30"/>
      <c r="D550" s="30"/>
      <c r="E550" s="30"/>
      <c r="F550" s="30"/>
      <c r="G550" s="30"/>
      <c r="H550" s="30"/>
      <c r="I550" s="30"/>
      <c r="J550" s="30"/>
      <c r="K550" s="30"/>
      <c r="L550" s="30"/>
      <c r="M550" s="30"/>
      <c r="N550" s="30"/>
      <c r="O550" s="31"/>
      <c r="P550" s="30"/>
      <c r="Q550" s="30"/>
      <c r="R550" s="30"/>
      <c r="S550" s="30"/>
      <c r="T550" s="30"/>
      <c r="U550" s="30"/>
      <c r="V550" s="30"/>
      <c r="W550" s="30"/>
    </row>
    <row r="551">
      <c r="A551" s="30"/>
      <c r="B551" s="30"/>
      <c r="C551" s="30"/>
      <c r="D551" s="30"/>
      <c r="E551" s="30"/>
      <c r="F551" s="30"/>
      <c r="G551" s="30"/>
      <c r="H551" s="30"/>
      <c r="I551" s="30"/>
      <c r="J551" s="30"/>
      <c r="K551" s="30"/>
      <c r="L551" s="30"/>
      <c r="M551" s="30"/>
      <c r="N551" s="30"/>
      <c r="O551" s="31"/>
      <c r="P551" s="30"/>
      <c r="Q551" s="30"/>
      <c r="R551" s="30"/>
      <c r="S551" s="30"/>
      <c r="T551" s="30"/>
      <c r="U551" s="30"/>
      <c r="V551" s="30"/>
      <c r="W551" s="30"/>
    </row>
    <row r="552">
      <c r="A552" s="30"/>
      <c r="B552" s="30"/>
      <c r="C552" s="30"/>
      <c r="D552" s="30"/>
      <c r="E552" s="30"/>
      <c r="F552" s="30"/>
      <c r="G552" s="30"/>
      <c r="H552" s="30"/>
      <c r="I552" s="30"/>
      <c r="J552" s="30"/>
      <c r="K552" s="30"/>
      <c r="L552" s="30"/>
      <c r="M552" s="30"/>
      <c r="N552" s="30"/>
      <c r="O552" s="31"/>
      <c r="P552" s="30"/>
      <c r="Q552" s="30"/>
      <c r="R552" s="30"/>
      <c r="S552" s="30"/>
      <c r="T552" s="30"/>
      <c r="U552" s="30"/>
      <c r="V552" s="30"/>
      <c r="W552" s="30"/>
    </row>
    <row r="553">
      <c r="A553" s="30"/>
      <c r="B553" s="30"/>
      <c r="C553" s="30"/>
      <c r="D553" s="30"/>
      <c r="E553" s="30"/>
      <c r="F553" s="30"/>
      <c r="G553" s="30"/>
      <c r="H553" s="30"/>
      <c r="I553" s="30"/>
      <c r="J553" s="30"/>
      <c r="K553" s="30"/>
      <c r="L553" s="30"/>
      <c r="M553" s="30"/>
      <c r="N553" s="30"/>
      <c r="O553" s="35"/>
      <c r="P553" s="30"/>
      <c r="Q553" s="30"/>
      <c r="R553" s="30"/>
      <c r="S553" s="30"/>
      <c r="T553" s="30"/>
      <c r="U553" s="30"/>
      <c r="V553" s="30"/>
      <c r="W553" s="30"/>
    </row>
    <row r="554">
      <c r="A554" s="30"/>
      <c r="B554" s="30"/>
      <c r="C554" s="30"/>
      <c r="D554" s="30"/>
      <c r="E554" s="30"/>
      <c r="F554" s="30"/>
      <c r="G554" s="30"/>
      <c r="H554" s="30"/>
      <c r="I554" s="30"/>
      <c r="J554" s="30"/>
      <c r="K554" s="30"/>
      <c r="L554" s="30"/>
      <c r="M554" s="30"/>
      <c r="N554" s="30"/>
      <c r="O554" s="35"/>
      <c r="P554" s="30"/>
      <c r="Q554" s="30"/>
      <c r="R554" s="30"/>
      <c r="S554" s="30"/>
      <c r="T554" s="30"/>
      <c r="U554" s="30"/>
      <c r="V554" s="30"/>
      <c r="W554" s="30"/>
    </row>
    <row r="555">
      <c r="A555" s="30"/>
      <c r="B555" s="30"/>
      <c r="C555" s="30"/>
      <c r="D555" s="30"/>
      <c r="E555" s="30"/>
      <c r="F555" s="30"/>
      <c r="G555" s="30"/>
      <c r="H555" s="30"/>
      <c r="I555" s="30"/>
      <c r="J555" s="30"/>
      <c r="K555" s="30"/>
      <c r="L555" s="30"/>
      <c r="M555" s="30"/>
      <c r="N555" s="30"/>
      <c r="O555" s="31"/>
      <c r="P555" s="30"/>
      <c r="Q555" s="30"/>
      <c r="R555" s="30"/>
      <c r="S555" s="30"/>
      <c r="T555" s="30"/>
      <c r="U555" s="30"/>
      <c r="V555" s="30"/>
      <c r="W555" s="30"/>
    </row>
    <row r="556">
      <c r="A556" s="30"/>
      <c r="B556" s="30"/>
      <c r="C556" s="30"/>
      <c r="D556" s="30"/>
      <c r="E556" s="30"/>
      <c r="F556" s="30"/>
      <c r="G556" s="30"/>
      <c r="H556" s="30"/>
      <c r="I556" s="30"/>
      <c r="J556" s="30"/>
      <c r="K556" s="30"/>
      <c r="L556" s="30"/>
      <c r="M556" s="30"/>
      <c r="N556" s="30"/>
      <c r="O556" s="31"/>
      <c r="P556" s="30"/>
      <c r="Q556" s="30"/>
      <c r="R556" s="30"/>
      <c r="S556" s="30"/>
      <c r="T556" s="30"/>
      <c r="U556" s="30"/>
      <c r="V556" s="30"/>
      <c r="W556" s="30"/>
    </row>
    <row r="557">
      <c r="A557" s="30"/>
      <c r="B557" s="30"/>
      <c r="C557" s="30"/>
      <c r="D557" s="30"/>
      <c r="E557" s="30"/>
      <c r="F557" s="30"/>
      <c r="G557" s="30"/>
      <c r="H557" s="30"/>
      <c r="I557" s="30"/>
      <c r="J557" s="30"/>
      <c r="K557" s="30"/>
      <c r="L557" s="30"/>
      <c r="M557" s="30"/>
      <c r="N557" s="30"/>
      <c r="O557" s="31"/>
      <c r="P557" s="30"/>
      <c r="Q557" s="30"/>
      <c r="R557" s="30"/>
      <c r="S557" s="30"/>
      <c r="T557" s="30"/>
      <c r="U557" s="30"/>
      <c r="V557" s="30"/>
      <c r="W557" s="30"/>
    </row>
    <row r="558">
      <c r="A558" s="30"/>
      <c r="B558" s="30"/>
      <c r="C558" s="30"/>
      <c r="D558" s="30"/>
      <c r="E558" s="30"/>
      <c r="F558" s="30"/>
      <c r="G558" s="30"/>
      <c r="H558" s="30"/>
      <c r="I558" s="30"/>
      <c r="J558" s="30"/>
      <c r="K558" s="30"/>
      <c r="L558" s="30"/>
      <c r="M558" s="30"/>
      <c r="N558" s="30"/>
      <c r="O558" s="31"/>
      <c r="P558" s="30"/>
      <c r="Q558" s="30"/>
      <c r="R558" s="30"/>
      <c r="S558" s="30"/>
      <c r="T558" s="30"/>
      <c r="U558" s="30"/>
      <c r="V558" s="30"/>
      <c r="W558" s="30"/>
    </row>
    <row r="559">
      <c r="A559" s="30"/>
      <c r="B559" s="30"/>
      <c r="C559" s="30"/>
      <c r="D559" s="30"/>
      <c r="E559" s="30"/>
      <c r="F559" s="30"/>
      <c r="G559" s="30"/>
      <c r="H559" s="30"/>
      <c r="I559" s="30"/>
      <c r="J559" s="30"/>
      <c r="K559" s="30"/>
      <c r="L559" s="30"/>
      <c r="M559" s="30"/>
      <c r="N559" s="30"/>
      <c r="O559" s="31"/>
      <c r="P559" s="30"/>
      <c r="Q559" s="30"/>
      <c r="R559" s="30"/>
      <c r="S559" s="30"/>
      <c r="T559" s="30"/>
      <c r="U559" s="30"/>
      <c r="V559" s="30"/>
      <c r="W559" s="30"/>
    </row>
    <row r="560">
      <c r="A560" s="30"/>
      <c r="B560" s="30"/>
      <c r="C560" s="30"/>
      <c r="D560" s="30"/>
      <c r="E560" s="30"/>
      <c r="F560" s="30"/>
      <c r="G560" s="30"/>
      <c r="H560" s="30"/>
      <c r="I560" s="30"/>
      <c r="J560" s="30"/>
      <c r="K560" s="30"/>
      <c r="L560" s="30"/>
      <c r="M560" s="30"/>
      <c r="N560" s="30"/>
      <c r="O560" s="31"/>
      <c r="P560" s="30"/>
      <c r="Q560" s="30"/>
      <c r="R560" s="30"/>
      <c r="S560" s="30"/>
      <c r="T560" s="30"/>
      <c r="U560" s="30"/>
      <c r="V560" s="30"/>
      <c r="W560" s="30"/>
    </row>
    <row r="561">
      <c r="A561" s="30"/>
      <c r="B561" s="30"/>
      <c r="C561" s="30"/>
      <c r="D561" s="30"/>
      <c r="E561" s="30"/>
      <c r="F561" s="30"/>
      <c r="G561" s="30"/>
      <c r="H561" s="30"/>
      <c r="I561" s="30"/>
      <c r="J561" s="30"/>
      <c r="K561" s="30"/>
      <c r="L561" s="30"/>
      <c r="M561" s="30"/>
      <c r="N561" s="30"/>
      <c r="O561" s="31"/>
      <c r="P561" s="30"/>
      <c r="Q561" s="30"/>
      <c r="R561" s="30"/>
      <c r="S561" s="30"/>
      <c r="T561" s="30"/>
      <c r="U561" s="30"/>
      <c r="V561" s="30"/>
      <c r="W561" s="30"/>
    </row>
    <row r="562">
      <c r="A562" s="30"/>
      <c r="B562" s="30"/>
      <c r="C562" s="30"/>
      <c r="D562" s="30"/>
      <c r="E562" s="30"/>
      <c r="F562" s="30"/>
      <c r="G562" s="30"/>
      <c r="H562" s="30"/>
      <c r="I562" s="30"/>
      <c r="J562" s="30"/>
      <c r="K562" s="30"/>
      <c r="L562" s="30"/>
      <c r="M562" s="30"/>
      <c r="N562" s="30"/>
      <c r="O562" s="31"/>
      <c r="P562" s="30"/>
      <c r="Q562" s="30"/>
      <c r="R562" s="30"/>
      <c r="S562" s="30"/>
      <c r="T562" s="30"/>
      <c r="U562" s="30"/>
      <c r="V562" s="30"/>
      <c r="W562" s="30"/>
    </row>
    <row r="563">
      <c r="A563" s="30"/>
      <c r="B563" s="30"/>
      <c r="C563" s="30"/>
      <c r="D563" s="30"/>
      <c r="E563" s="30"/>
      <c r="F563" s="30"/>
      <c r="G563" s="30"/>
      <c r="H563" s="30"/>
      <c r="I563" s="30"/>
      <c r="J563" s="30"/>
      <c r="K563" s="30"/>
      <c r="L563" s="30"/>
      <c r="M563" s="30"/>
      <c r="N563" s="30"/>
      <c r="O563" s="35"/>
      <c r="P563" s="30"/>
      <c r="Q563" s="30"/>
      <c r="R563" s="30"/>
      <c r="S563" s="30"/>
      <c r="T563" s="30"/>
      <c r="U563" s="30"/>
      <c r="V563" s="30"/>
      <c r="W563" s="30"/>
    </row>
    <row r="564">
      <c r="A564" s="30"/>
      <c r="B564" s="30"/>
      <c r="C564" s="30"/>
      <c r="D564" s="30"/>
      <c r="E564" s="30"/>
      <c r="F564" s="30"/>
      <c r="G564" s="30"/>
      <c r="H564" s="30"/>
      <c r="I564" s="30"/>
      <c r="J564" s="30"/>
      <c r="K564" s="30"/>
      <c r="L564" s="30"/>
      <c r="M564" s="30"/>
      <c r="N564" s="30"/>
      <c r="O564" s="31"/>
      <c r="P564" s="30"/>
      <c r="Q564" s="30"/>
      <c r="R564" s="30"/>
      <c r="S564" s="30"/>
      <c r="T564" s="30"/>
      <c r="U564" s="30"/>
      <c r="V564" s="30"/>
      <c r="W564" s="30"/>
    </row>
    <row r="565">
      <c r="A565" s="30"/>
      <c r="B565" s="30"/>
      <c r="C565" s="30"/>
      <c r="D565" s="30"/>
      <c r="E565" s="30"/>
      <c r="F565" s="30"/>
      <c r="G565" s="30"/>
      <c r="H565" s="30"/>
      <c r="I565" s="30"/>
      <c r="J565" s="30"/>
      <c r="K565" s="30"/>
      <c r="L565" s="30"/>
      <c r="M565" s="30"/>
      <c r="N565" s="30"/>
      <c r="O565" s="31"/>
      <c r="P565" s="30"/>
      <c r="Q565" s="30"/>
      <c r="R565" s="30"/>
      <c r="S565" s="30"/>
      <c r="T565" s="30"/>
      <c r="U565" s="30"/>
      <c r="V565" s="30"/>
      <c r="W565" s="30"/>
    </row>
    <row r="566">
      <c r="A566" s="30"/>
      <c r="B566" s="30"/>
      <c r="C566" s="30"/>
      <c r="D566" s="30"/>
      <c r="E566" s="30"/>
      <c r="F566" s="30"/>
      <c r="G566" s="30"/>
      <c r="H566" s="30"/>
      <c r="I566" s="30"/>
      <c r="J566" s="30"/>
      <c r="K566" s="30"/>
      <c r="L566" s="30"/>
      <c r="M566" s="30"/>
      <c r="N566" s="30"/>
      <c r="O566" s="31"/>
      <c r="P566" s="30"/>
      <c r="Q566" s="30"/>
      <c r="R566" s="30"/>
      <c r="S566" s="30"/>
      <c r="T566" s="30"/>
      <c r="U566" s="30"/>
      <c r="V566" s="30"/>
      <c r="W566" s="30"/>
    </row>
    <row r="567">
      <c r="A567" s="30"/>
      <c r="B567" s="30"/>
      <c r="C567" s="30"/>
      <c r="D567" s="30"/>
      <c r="E567" s="30"/>
      <c r="F567" s="30"/>
      <c r="G567" s="30"/>
      <c r="H567" s="30"/>
      <c r="I567" s="30"/>
      <c r="J567" s="30"/>
      <c r="K567" s="30"/>
      <c r="L567" s="30"/>
      <c r="M567" s="30"/>
      <c r="N567" s="30"/>
      <c r="O567" s="31"/>
      <c r="P567" s="30"/>
      <c r="Q567" s="30"/>
      <c r="R567" s="30"/>
      <c r="S567" s="30"/>
      <c r="T567" s="30"/>
      <c r="U567" s="30"/>
      <c r="V567" s="30"/>
      <c r="W567" s="30"/>
    </row>
    <row r="568">
      <c r="A568" s="30"/>
      <c r="B568" s="30"/>
      <c r="C568" s="30"/>
      <c r="D568" s="30"/>
      <c r="E568" s="30"/>
      <c r="F568" s="30"/>
      <c r="G568" s="30"/>
      <c r="H568" s="30"/>
      <c r="I568" s="30"/>
      <c r="J568" s="30"/>
      <c r="K568" s="30"/>
      <c r="L568" s="30"/>
      <c r="M568" s="30"/>
      <c r="N568" s="30"/>
      <c r="O568" s="31"/>
      <c r="P568" s="30"/>
      <c r="Q568" s="30"/>
      <c r="R568" s="30"/>
      <c r="S568" s="30"/>
      <c r="T568" s="30"/>
      <c r="U568" s="30"/>
      <c r="V568" s="30"/>
      <c r="W568" s="30"/>
    </row>
    <row r="569">
      <c r="A569" s="30"/>
      <c r="B569" s="30"/>
      <c r="C569" s="30"/>
      <c r="D569" s="30"/>
      <c r="E569" s="30"/>
      <c r="F569" s="30"/>
      <c r="G569" s="30"/>
      <c r="H569" s="30"/>
      <c r="I569" s="30"/>
      <c r="J569" s="30"/>
      <c r="K569" s="30"/>
      <c r="L569" s="30"/>
      <c r="M569" s="30"/>
      <c r="N569" s="30"/>
      <c r="O569" s="31"/>
      <c r="P569" s="30"/>
      <c r="Q569" s="30"/>
      <c r="R569" s="30"/>
      <c r="S569" s="30"/>
      <c r="T569" s="30"/>
      <c r="U569" s="30"/>
      <c r="V569" s="30"/>
      <c r="W569" s="30"/>
    </row>
    <row r="570">
      <c r="A570" s="30"/>
      <c r="B570" s="30"/>
      <c r="C570" s="30"/>
      <c r="D570" s="30"/>
      <c r="E570" s="30"/>
      <c r="F570" s="30"/>
      <c r="G570" s="30"/>
      <c r="H570" s="30"/>
      <c r="I570" s="30"/>
      <c r="J570" s="30"/>
      <c r="K570" s="30"/>
      <c r="L570" s="30"/>
      <c r="M570" s="30"/>
      <c r="N570" s="30"/>
      <c r="O570" s="31"/>
      <c r="P570" s="30"/>
      <c r="Q570" s="30"/>
      <c r="R570" s="30"/>
      <c r="S570" s="30"/>
      <c r="T570" s="30"/>
      <c r="U570" s="30"/>
      <c r="V570" s="30"/>
      <c r="W570" s="30"/>
    </row>
    <row r="571">
      <c r="A571" s="30"/>
      <c r="B571" s="30"/>
      <c r="C571" s="30"/>
      <c r="D571" s="30"/>
      <c r="E571" s="30"/>
      <c r="F571" s="30"/>
      <c r="G571" s="30"/>
      <c r="H571" s="30"/>
      <c r="I571" s="30"/>
      <c r="J571" s="30"/>
      <c r="K571" s="30"/>
      <c r="L571" s="30"/>
      <c r="M571" s="30"/>
      <c r="N571" s="30"/>
      <c r="O571" s="31"/>
      <c r="P571" s="30"/>
      <c r="Q571" s="30"/>
      <c r="R571" s="30"/>
      <c r="S571" s="30"/>
      <c r="T571" s="30"/>
      <c r="U571" s="30"/>
      <c r="V571" s="30"/>
      <c r="W571" s="30"/>
    </row>
    <row r="572">
      <c r="A572" s="30"/>
      <c r="B572" s="30"/>
      <c r="C572" s="30"/>
      <c r="D572" s="30"/>
      <c r="E572" s="30"/>
      <c r="F572" s="30"/>
      <c r="G572" s="30"/>
      <c r="H572" s="30"/>
      <c r="I572" s="30"/>
      <c r="J572" s="30"/>
      <c r="K572" s="30"/>
      <c r="L572" s="30"/>
      <c r="M572" s="30"/>
      <c r="N572" s="30"/>
      <c r="O572" s="31"/>
      <c r="P572" s="30"/>
      <c r="Q572" s="30"/>
      <c r="R572" s="30"/>
      <c r="S572" s="30"/>
      <c r="T572" s="30"/>
      <c r="U572" s="30"/>
      <c r="V572" s="30"/>
      <c r="W572" s="30"/>
    </row>
    <row r="573">
      <c r="A573" s="30"/>
      <c r="B573" s="30"/>
      <c r="C573" s="30"/>
      <c r="D573" s="30"/>
      <c r="E573" s="30"/>
      <c r="F573" s="30"/>
      <c r="G573" s="30"/>
      <c r="H573" s="30"/>
      <c r="I573" s="30"/>
      <c r="J573" s="30"/>
      <c r="K573" s="30"/>
      <c r="L573" s="30"/>
      <c r="M573" s="30"/>
      <c r="N573" s="30"/>
      <c r="O573" s="31"/>
      <c r="P573" s="30"/>
      <c r="Q573" s="30"/>
      <c r="R573" s="30"/>
      <c r="S573" s="30"/>
      <c r="T573" s="30"/>
      <c r="U573" s="30"/>
      <c r="V573" s="30"/>
      <c r="W573" s="30"/>
    </row>
    <row r="574">
      <c r="A574" s="30"/>
      <c r="B574" s="30"/>
      <c r="C574" s="30"/>
      <c r="D574" s="30"/>
      <c r="E574" s="30"/>
      <c r="F574" s="30"/>
      <c r="G574" s="30"/>
      <c r="H574" s="30"/>
      <c r="I574" s="30"/>
      <c r="J574" s="30"/>
      <c r="K574" s="30"/>
      <c r="L574" s="30"/>
      <c r="M574" s="30"/>
      <c r="N574" s="30"/>
      <c r="O574" s="31"/>
      <c r="P574" s="30"/>
      <c r="Q574" s="30"/>
      <c r="R574" s="30"/>
      <c r="S574" s="30"/>
      <c r="T574" s="30"/>
      <c r="U574" s="30"/>
      <c r="V574" s="30"/>
      <c r="W574" s="30"/>
    </row>
    <row r="575">
      <c r="A575" s="30"/>
      <c r="B575" s="30"/>
      <c r="C575" s="30"/>
      <c r="D575" s="30"/>
      <c r="E575" s="30"/>
      <c r="F575" s="30"/>
      <c r="G575" s="30"/>
      <c r="H575" s="30"/>
      <c r="I575" s="30"/>
      <c r="J575" s="30"/>
      <c r="K575" s="30"/>
      <c r="L575" s="30"/>
      <c r="M575" s="30"/>
      <c r="N575" s="30"/>
      <c r="O575" s="31"/>
      <c r="P575" s="30"/>
      <c r="Q575" s="30"/>
      <c r="R575" s="30"/>
      <c r="S575" s="30"/>
      <c r="T575" s="30"/>
      <c r="U575" s="30"/>
      <c r="V575" s="30"/>
      <c r="W575" s="30"/>
    </row>
    <row r="576">
      <c r="A576" s="30"/>
      <c r="B576" s="30"/>
      <c r="C576" s="30"/>
      <c r="D576" s="30"/>
      <c r="E576" s="30"/>
      <c r="F576" s="30"/>
      <c r="G576" s="30"/>
      <c r="H576" s="30"/>
      <c r="I576" s="30"/>
      <c r="J576" s="30"/>
      <c r="K576" s="30"/>
      <c r="L576" s="30"/>
      <c r="M576" s="30"/>
      <c r="N576" s="30"/>
      <c r="O576" s="31"/>
      <c r="P576" s="30"/>
      <c r="Q576" s="30"/>
      <c r="R576" s="30"/>
      <c r="S576" s="30"/>
      <c r="T576" s="30"/>
      <c r="U576" s="30"/>
      <c r="V576" s="30"/>
      <c r="W576" s="30"/>
    </row>
    <row r="577">
      <c r="A577" s="30"/>
      <c r="B577" s="30"/>
      <c r="C577" s="30"/>
      <c r="D577" s="30"/>
      <c r="E577" s="30"/>
      <c r="F577" s="30"/>
      <c r="G577" s="30"/>
      <c r="H577" s="30"/>
      <c r="I577" s="30"/>
      <c r="J577" s="30"/>
      <c r="K577" s="30"/>
      <c r="L577" s="30"/>
      <c r="M577" s="30"/>
      <c r="N577" s="30"/>
      <c r="O577" s="31"/>
      <c r="P577" s="30"/>
      <c r="Q577" s="30"/>
      <c r="R577" s="30"/>
      <c r="S577" s="30"/>
      <c r="T577" s="30"/>
      <c r="U577" s="30"/>
      <c r="V577" s="30"/>
      <c r="W577" s="30"/>
    </row>
    <row r="578">
      <c r="A578" s="30"/>
      <c r="B578" s="30"/>
      <c r="C578" s="30"/>
      <c r="D578" s="30"/>
      <c r="E578" s="30"/>
      <c r="F578" s="30"/>
      <c r="G578" s="30"/>
      <c r="H578" s="30"/>
      <c r="I578" s="30"/>
      <c r="J578" s="30"/>
      <c r="K578" s="30"/>
      <c r="L578" s="30"/>
      <c r="M578" s="30"/>
      <c r="N578" s="30"/>
      <c r="O578" s="31"/>
      <c r="P578" s="30"/>
      <c r="Q578" s="30"/>
      <c r="R578" s="30"/>
      <c r="S578" s="30"/>
      <c r="T578" s="30"/>
      <c r="U578" s="30"/>
      <c r="V578" s="30"/>
      <c r="W578" s="30"/>
    </row>
    <row r="579">
      <c r="A579" s="30"/>
      <c r="B579" s="30"/>
      <c r="C579" s="30"/>
      <c r="D579" s="30"/>
      <c r="E579" s="30"/>
      <c r="F579" s="30"/>
      <c r="G579" s="30"/>
      <c r="H579" s="30"/>
      <c r="I579" s="30"/>
      <c r="J579" s="30"/>
      <c r="K579" s="30"/>
      <c r="L579" s="30"/>
      <c r="M579" s="30"/>
      <c r="N579" s="30"/>
      <c r="O579" s="31"/>
      <c r="P579" s="30"/>
      <c r="Q579" s="30"/>
      <c r="R579" s="30"/>
      <c r="S579" s="30"/>
      <c r="T579" s="30"/>
      <c r="U579" s="30"/>
      <c r="V579" s="30"/>
      <c r="W579" s="30"/>
    </row>
    <row r="580">
      <c r="A580" s="30"/>
      <c r="B580" s="30"/>
      <c r="C580" s="30"/>
      <c r="D580" s="30"/>
      <c r="E580" s="30"/>
      <c r="F580" s="30"/>
      <c r="G580" s="30"/>
      <c r="H580" s="30"/>
      <c r="I580" s="30"/>
      <c r="J580" s="30"/>
      <c r="K580" s="30"/>
      <c r="L580" s="30"/>
      <c r="M580" s="30"/>
      <c r="N580" s="30"/>
      <c r="O580" s="31"/>
      <c r="P580" s="30"/>
      <c r="Q580" s="30"/>
      <c r="R580" s="30"/>
      <c r="S580" s="30"/>
      <c r="T580" s="30"/>
      <c r="U580" s="30"/>
      <c r="V580" s="30"/>
      <c r="W580" s="30"/>
    </row>
    <row r="581">
      <c r="A581" s="30"/>
      <c r="B581" s="30"/>
      <c r="C581" s="30"/>
      <c r="D581" s="30"/>
      <c r="E581" s="30"/>
      <c r="F581" s="30"/>
      <c r="G581" s="30"/>
      <c r="H581" s="30"/>
      <c r="I581" s="30"/>
      <c r="J581" s="30"/>
      <c r="K581" s="30"/>
      <c r="L581" s="30"/>
      <c r="M581" s="30"/>
      <c r="N581" s="30"/>
      <c r="O581" s="31"/>
      <c r="P581" s="30"/>
      <c r="Q581" s="30"/>
      <c r="R581" s="30"/>
      <c r="S581" s="30"/>
      <c r="T581" s="30"/>
      <c r="U581" s="30"/>
      <c r="V581" s="30"/>
      <c r="W581" s="30"/>
    </row>
    <row r="582">
      <c r="A582" s="30"/>
      <c r="B582" s="30"/>
      <c r="C582" s="30"/>
      <c r="D582" s="30"/>
      <c r="E582" s="30"/>
      <c r="F582" s="30"/>
      <c r="G582" s="30"/>
      <c r="H582" s="30"/>
      <c r="I582" s="30"/>
      <c r="J582" s="30"/>
      <c r="K582" s="30"/>
      <c r="L582" s="30"/>
      <c r="M582" s="30"/>
      <c r="N582" s="30"/>
      <c r="O582" s="31"/>
      <c r="P582" s="30"/>
      <c r="Q582" s="30"/>
      <c r="R582" s="30"/>
      <c r="S582" s="30"/>
      <c r="T582" s="30"/>
      <c r="U582" s="30"/>
      <c r="V582" s="30"/>
      <c r="W582" s="30"/>
    </row>
    <row r="583">
      <c r="A583" s="30"/>
      <c r="B583" s="30"/>
      <c r="C583" s="30"/>
      <c r="D583" s="30"/>
      <c r="E583" s="30"/>
      <c r="F583" s="30"/>
      <c r="G583" s="30"/>
      <c r="H583" s="30"/>
      <c r="I583" s="30"/>
      <c r="J583" s="30"/>
      <c r="K583" s="30"/>
      <c r="L583" s="30"/>
      <c r="M583" s="30"/>
      <c r="N583" s="30"/>
      <c r="O583" s="31"/>
      <c r="P583" s="30"/>
      <c r="Q583" s="30"/>
      <c r="R583" s="30"/>
      <c r="S583" s="30"/>
      <c r="T583" s="30"/>
      <c r="U583" s="30"/>
      <c r="V583" s="30"/>
      <c r="W583" s="30"/>
    </row>
    <row r="584">
      <c r="A584" s="30"/>
      <c r="B584" s="30"/>
      <c r="C584" s="30"/>
      <c r="D584" s="30"/>
      <c r="E584" s="30"/>
      <c r="F584" s="30"/>
      <c r="G584" s="30"/>
      <c r="H584" s="30"/>
      <c r="I584" s="30"/>
      <c r="J584" s="30"/>
      <c r="K584" s="30"/>
      <c r="L584" s="30"/>
      <c r="M584" s="30"/>
      <c r="N584" s="30"/>
      <c r="O584" s="31"/>
      <c r="P584" s="30"/>
      <c r="Q584" s="30"/>
      <c r="R584" s="30"/>
      <c r="S584" s="30"/>
      <c r="T584" s="30"/>
      <c r="U584" s="30"/>
      <c r="V584" s="30"/>
      <c r="W584" s="30"/>
    </row>
    <row r="585">
      <c r="A585" s="30"/>
      <c r="B585" s="30"/>
      <c r="C585" s="30"/>
      <c r="D585" s="30"/>
      <c r="E585" s="30"/>
      <c r="F585" s="30"/>
      <c r="G585" s="30"/>
      <c r="H585" s="30"/>
      <c r="I585" s="30"/>
      <c r="J585" s="30"/>
      <c r="K585" s="30"/>
      <c r="L585" s="30"/>
      <c r="M585" s="30"/>
      <c r="N585" s="30"/>
      <c r="O585" s="31"/>
      <c r="P585" s="30"/>
      <c r="Q585" s="30"/>
      <c r="R585" s="30"/>
      <c r="S585" s="30"/>
      <c r="T585" s="30"/>
      <c r="U585" s="30"/>
      <c r="V585" s="30"/>
      <c r="W585" s="30"/>
    </row>
    <row r="586">
      <c r="A586" s="30"/>
      <c r="B586" s="30"/>
      <c r="C586" s="30"/>
      <c r="D586" s="30"/>
      <c r="E586" s="30"/>
      <c r="F586" s="30"/>
      <c r="G586" s="30"/>
      <c r="H586" s="30"/>
      <c r="I586" s="30"/>
      <c r="J586" s="30"/>
      <c r="K586" s="30"/>
      <c r="L586" s="30"/>
      <c r="M586" s="30"/>
      <c r="N586" s="30"/>
      <c r="O586" s="31"/>
      <c r="P586" s="30"/>
      <c r="Q586" s="30"/>
      <c r="R586" s="30"/>
      <c r="S586" s="30"/>
      <c r="T586" s="30"/>
      <c r="U586" s="30"/>
      <c r="V586" s="30"/>
      <c r="W586" s="30"/>
    </row>
    <row r="587">
      <c r="A587" s="30"/>
      <c r="B587" s="30"/>
      <c r="C587" s="30"/>
      <c r="D587" s="30"/>
      <c r="E587" s="30"/>
      <c r="F587" s="30"/>
      <c r="G587" s="30"/>
      <c r="H587" s="30"/>
      <c r="I587" s="30"/>
      <c r="J587" s="30"/>
      <c r="K587" s="30"/>
      <c r="L587" s="30"/>
      <c r="M587" s="30"/>
      <c r="N587" s="30"/>
      <c r="O587" s="31"/>
      <c r="P587" s="30"/>
      <c r="Q587" s="30"/>
      <c r="R587" s="30"/>
      <c r="S587" s="30"/>
      <c r="T587" s="30"/>
      <c r="U587" s="30"/>
      <c r="V587" s="30"/>
      <c r="W587" s="30"/>
    </row>
    <row r="588">
      <c r="A588" s="30"/>
      <c r="B588" s="30"/>
      <c r="C588" s="30"/>
      <c r="D588" s="30"/>
      <c r="E588" s="30"/>
      <c r="F588" s="30"/>
      <c r="G588" s="30"/>
      <c r="H588" s="30"/>
      <c r="I588" s="30"/>
      <c r="J588" s="30"/>
      <c r="K588" s="30"/>
      <c r="L588" s="30"/>
      <c r="M588" s="30"/>
      <c r="N588" s="30"/>
      <c r="O588" s="31"/>
      <c r="P588" s="30"/>
      <c r="Q588" s="30"/>
      <c r="R588" s="30"/>
      <c r="S588" s="30"/>
      <c r="T588" s="30"/>
      <c r="U588" s="30"/>
      <c r="V588" s="30"/>
      <c r="W588" s="30"/>
    </row>
    <row r="589">
      <c r="A589" s="30"/>
      <c r="B589" s="30"/>
      <c r="C589" s="30"/>
      <c r="D589" s="30"/>
      <c r="E589" s="30"/>
      <c r="F589" s="30"/>
      <c r="G589" s="30"/>
      <c r="H589" s="30"/>
      <c r="I589" s="30"/>
      <c r="J589" s="30"/>
      <c r="K589" s="30"/>
      <c r="L589" s="30"/>
      <c r="M589" s="30"/>
      <c r="N589" s="30"/>
      <c r="O589" s="31"/>
      <c r="P589" s="30"/>
      <c r="Q589" s="30"/>
      <c r="R589" s="30"/>
      <c r="S589" s="30"/>
      <c r="T589" s="30"/>
      <c r="U589" s="30"/>
      <c r="V589" s="30"/>
      <c r="W589" s="30"/>
    </row>
    <row r="590">
      <c r="A590" s="30"/>
      <c r="B590" s="30"/>
      <c r="C590" s="30"/>
      <c r="D590" s="30"/>
      <c r="E590" s="30"/>
      <c r="F590" s="30"/>
      <c r="G590" s="30"/>
      <c r="H590" s="30"/>
      <c r="I590" s="30"/>
      <c r="J590" s="30"/>
      <c r="K590" s="30"/>
      <c r="L590" s="30"/>
      <c r="M590" s="30"/>
      <c r="N590" s="30"/>
      <c r="O590" s="31"/>
      <c r="P590" s="30"/>
      <c r="Q590" s="30"/>
      <c r="R590" s="30"/>
      <c r="S590" s="30"/>
      <c r="T590" s="30"/>
      <c r="U590" s="30"/>
      <c r="V590" s="30"/>
      <c r="W590" s="30"/>
    </row>
    <row r="591">
      <c r="A591" s="30"/>
      <c r="B591" s="30"/>
      <c r="C591" s="30"/>
      <c r="D591" s="30"/>
      <c r="E591" s="30"/>
      <c r="F591" s="30"/>
      <c r="G591" s="30"/>
      <c r="H591" s="30"/>
      <c r="I591" s="30"/>
      <c r="J591" s="30"/>
      <c r="K591" s="30"/>
      <c r="L591" s="30"/>
      <c r="M591" s="30"/>
      <c r="N591" s="30"/>
      <c r="O591" s="31"/>
      <c r="P591" s="30"/>
      <c r="Q591" s="30"/>
      <c r="R591" s="30"/>
      <c r="S591" s="30"/>
      <c r="T591" s="30"/>
      <c r="U591" s="30"/>
      <c r="V591" s="30"/>
      <c r="W591" s="30"/>
    </row>
    <row r="592">
      <c r="A592" s="30"/>
      <c r="B592" s="30"/>
      <c r="C592" s="30"/>
      <c r="D592" s="30"/>
      <c r="E592" s="30"/>
      <c r="F592" s="30"/>
      <c r="G592" s="30"/>
      <c r="H592" s="30"/>
      <c r="I592" s="30"/>
      <c r="J592" s="30"/>
      <c r="K592" s="30"/>
      <c r="L592" s="30"/>
      <c r="M592" s="30"/>
      <c r="N592" s="30"/>
      <c r="O592" s="31"/>
      <c r="P592" s="30"/>
      <c r="Q592" s="30"/>
      <c r="R592" s="30"/>
      <c r="S592" s="30"/>
      <c r="T592" s="30"/>
      <c r="U592" s="30"/>
      <c r="V592" s="30"/>
      <c r="W592" s="30"/>
    </row>
    <row r="593">
      <c r="A593" s="30"/>
      <c r="B593" s="30"/>
      <c r="C593" s="30"/>
      <c r="D593" s="30"/>
      <c r="E593" s="30"/>
      <c r="F593" s="30"/>
      <c r="G593" s="30"/>
      <c r="H593" s="30"/>
      <c r="I593" s="30"/>
      <c r="J593" s="30"/>
      <c r="K593" s="30"/>
      <c r="L593" s="30"/>
      <c r="M593" s="30"/>
      <c r="N593" s="30"/>
      <c r="O593" s="31"/>
      <c r="P593" s="30"/>
      <c r="Q593" s="30"/>
      <c r="R593" s="30"/>
      <c r="S593" s="30"/>
      <c r="T593" s="30"/>
      <c r="U593" s="30"/>
      <c r="V593" s="30"/>
      <c r="W593" s="30"/>
    </row>
    <row r="594">
      <c r="A594" s="30"/>
      <c r="B594" s="30"/>
      <c r="C594" s="30"/>
      <c r="D594" s="30"/>
      <c r="E594" s="30"/>
      <c r="F594" s="30"/>
      <c r="G594" s="30"/>
      <c r="H594" s="30"/>
      <c r="I594" s="30"/>
      <c r="J594" s="30"/>
      <c r="K594" s="30"/>
      <c r="L594" s="30"/>
      <c r="M594" s="30"/>
      <c r="N594" s="30"/>
      <c r="O594" s="31"/>
      <c r="P594" s="30"/>
      <c r="Q594" s="30"/>
      <c r="R594" s="30"/>
      <c r="S594" s="30"/>
      <c r="T594" s="30"/>
      <c r="U594" s="30"/>
      <c r="V594" s="30"/>
      <c r="W594" s="30"/>
    </row>
    <row r="595">
      <c r="A595" s="30"/>
      <c r="B595" s="30"/>
      <c r="C595" s="30"/>
      <c r="D595" s="30"/>
      <c r="E595" s="30"/>
      <c r="F595" s="30"/>
      <c r="G595" s="30"/>
      <c r="H595" s="30"/>
      <c r="I595" s="30"/>
      <c r="J595" s="30"/>
      <c r="K595" s="30"/>
      <c r="L595" s="30"/>
      <c r="M595" s="30"/>
      <c r="N595" s="30"/>
      <c r="O595" s="31"/>
      <c r="P595" s="30"/>
      <c r="Q595" s="30"/>
      <c r="R595" s="30"/>
      <c r="S595" s="30"/>
      <c r="T595" s="30"/>
      <c r="U595" s="30"/>
      <c r="V595" s="30"/>
      <c r="W595" s="30"/>
    </row>
    <row r="596">
      <c r="A596" s="30"/>
      <c r="B596" s="30"/>
      <c r="C596" s="30"/>
      <c r="D596" s="30"/>
      <c r="E596" s="30"/>
      <c r="F596" s="30"/>
      <c r="G596" s="30"/>
      <c r="H596" s="30"/>
      <c r="I596" s="30"/>
      <c r="J596" s="30"/>
      <c r="K596" s="30"/>
      <c r="L596" s="30"/>
      <c r="M596" s="30"/>
      <c r="N596" s="30"/>
      <c r="O596" s="31"/>
      <c r="P596" s="30"/>
      <c r="Q596" s="30"/>
      <c r="R596" s="30"/>
      <c r="S596" s="30"/>
      <c r="T596" s="30"/>
      <c r="U596" s="30"/>
      <c r="V596" s="30"/>
      <c r="W596" s="30"/>
    </row>
    <row r="597">
      <c r="A597" s="30"/>
      <c r="B597" s="30"/>
      <c r="C597" s="30"/>
      <c r="D597" s="30"/>
      <c r="E597" s="30"/>
      <c r="F597" s="30"/>
      <c r="G597" s="30"/>
      <c r="H597" s="30"/>
      <c r="I597" s="30"/>
      <c r="J597" s="30"/>
      <c r="K597" s="30"/>
      <c r="L597" s="30"/>
      <c r="M597" s="30"/>
      <c r="N597" s="30"/>
      <c r="O597" s="35"/>
      <c r="P597" s="30"/>
      <c r="Q597" s="30"/>
      <c r="R597" s="30"/>
      <c r="S597" s="30"/>
      <c r="T597" s="30"/>
      <c r="U597" s="30"/>
      <c r="V597" s="30"/>
      <c r="W597" s="30"/>
    </row>
    <row r="598">
      <c r="A598" s="30"/>
      <c r="B598" s="30"/>
      <c r="C598" s="30"/>
      <c r="D598" s="30"/>
      <c r="E598" s="30"/>
      <c r="F598" s="30"/>
      <c r="G598" s="30"/>
      <c r="H598" s="30"/>
      <c r="I598" s="30"/>
      <c r="J598" s="30"/>
      <c r="K598" s="30"/>
      <c r="L598" s="30"/>
      <c r="M598" s="30"/>
      <c r="N598" s="30"/>
      <c r="O598" s="31"/>
      <c r="P598" s="30"/>
      <c r="Q598" s="30"/>
      <c r="R598" s="30"/>
      <c r="S598" s="30"/>
      <c r="T598" s="30"/>
      <c r="U598" s="30"/>
      <c r="V598" s="30"/>
      <c r="W598" s="30"/>
    </row>
    <row r="599">
      <c r="A599" s="30"/>
      <c r="B599" s="30"/>
      <c r="C599" s="30"/>
      <c r="D599" s="30"/>
      <c r="E599" s="30"/>
      <c r="F599" s="30"/>
      <c r="G599" s="30"/>
      <c r="H599" s="30"/>
      <c r="I599" s="30"/>
      <c r="J599" s="30"/>
      <c r="K599" s="30"/>
      <c r="L599" s="30"/>
      <c r="M599" s="30"/>
      <c r="N599" s="30"/>
      <c r="O599" s="31"/>
      <c r="P599" s="30"/>
      <c r="Q599" s="30"/>
      <c r="R599" s="30"/>
      <c r="S599" s="30"/>
      <c r="T599" s="30"/>
      <c r="U599" s="30"/>
      <c r="V599" s="30"/>
      <c r="W599" s="30"/>
    </row>
    <row r="600">
      <c r="A600" s="30"/>
      <c r="B600" s="30"/>
      <c r="C600" s="30"/>
      <c r="D600" s="30"/>
      <c r="E600" s="30"/>
      <c r="F600" s="30"/>
      <c r="G600" s="30"/>
      <c r="H600" s="30"/>
      <c r="I600" s="30"/>
      <c r="J600" s="30"/>
      <c r="K600" s="30"/>
      <c r="L600" s="30"/>
      <c r="M600" s="30"/>
      <c r="N600" s="30"/>
      <c r="O600" s="31"/>
      <c r="P600" s="30"/>
      <c r="Q600" s="30"/>
      <c r="R600" s="30"/>
      <c r="S600" s="30"/>
      <c r="T600" s="30"/>
      <c r="U600" s="30"/>
      <c r="V600" s="30"/>
      <c r="W600" s="30"/>
    </row>
    <row r="601">
      <c r="A601" s="30"/>
      <c r="B601" s="30"/>
      <c r="C601" s="30"/>
      <c r="D601" s="30"/>
      <c r="E601" s="30"/>
      <c r="F601" s="30"/>
      <c r="G601" s="30"/>
      <c r="H601" s="30"/>
      <c r="I601" s="30"/>
      <c r="J601" s="30"/>
      <c r="K601" s="30"/>
      <c r="L601" s="30"/>
      <c r="M601" s="30"/>
      <c r="N601" s="30"/>
      <c r="O601" s="31"/>
      <c r="P601" s="30"/>
      <c r="Q601" s="30"/>
      <c r="R601" s="30"/>
      <c r="S601" s="30"/>
      <c r="T601" s="30"/>
      <c r="U601" s="30"/>
      <c r="V601" s="30"/>
      <c r="W601" s="30"/>
    </row>
    <row r="602">
      <c r="A602" s="30"/>
      <c r="B602" s="30"/>
      <c r="C602" s="30"/>
      <c r="D602" s="30"/>
      <c r="E602" s="30"/>
      <c r="F602" s="30"/>
      <c r="G602" s="30"/>
      <c r="H602" s="30"/>
      <c r="I602" s="30"/>
      <c r="J602" s="30"/>
      <c r="K602" s="30"/>
      <c r="L602" s="30"/>
      <c r="M602" s="30"/>
      <c r="N602" s="30"/>
      <c r="O602" s="31"/>
      <c r="P602" s="30"/>
      <c r="Q602" s="30"/>
      <c r="R602" s="30"/>
      <c r="S602" s="30"/>
      <c r="T602" s="30"/>
      <c r="U602" s="30"/>
      <c r="V602" s="30"/>
      <c r="W602" s="30"/>
    </row>
    <row r="603">
      <c r="A603" s="30"/>
      <c r="B603" s="30"/>
      <c r="C603" s="30"/>
      <c r="D603" s="30"/>
      <c r="E603" s="30"/>
      <c r="F603" s="30"/>
      <c r="G603" s="30"/>
      <c r="H603" s="30"/>
      <c r="I603" s="30"/>
      <c r="J603" s="30"/>
      <c r="K603" s="30"/>
      <c r="L603" s="30"/>
      <c r="M603" s="30"/>
      <c r="N603" s="30"/>
      <c r="O603" s="31"/>
      <c r="P603" s="30"/>
      <c r="Q603" s="30"/>
      <c r="R603" s="30"/>
      <c r="S603" s="30"/>
      <c r="T603" s="30"/>
      <c r="U603" s="30"/>
      <c r="V603" s="30"/>
      <c r="W603" s="30"/>
    </row>
    <row r="604">
      <c r="A604" s="30"/>
      <c r="B604" s="30"/>
      <c r="C604" s="30"/>
      <c r="D604" s="30"/>
      <c r="E604" s="30"/>
      <c r="F604" s="30"/>
      <c r="G604" s="30"/>
      <c r="H604" s="30"/>
      <c r="I604" s="30"/>
      <c r="J604" s="30"/>
      <c r="K604" s="30"/>
      <c r="L604" s="30"/>
      <c r="M604" s="30"/>
      <c r="N604" s="30"/>
      <c r="O604" s="31"/>
      <c r="P604" s="30"/>
      <c r="Q604" s="30"/>
      <c r="R604" s="30"/>
      <c r="S604" s="30"/>
      <c r="T604" s="30"/>
      <c r="U604" s="30"/>
      <c r="V604" s="30"/>
      <c r="W604" s="30"/>
    </row>
    <row r="605">
      <c r="A605" s="30"/>
      <c r="B605" s="30"/>
      <c r="C605" s="30"/>
      <c r="D605" s="30"/>
      <c r="E605" s="30"/>
      <c r="F605" s="30"/>
      <c r="G605" s="30"/>
      <c r="H605" s="30"/>
      <c r="I605" s="30"/>
      <c r="J605" s="30"/>
      <c r="K605" s="30"/>
      <c r="L605" s="30"/>
      <c r="M605" s="30"/>
      <c r="N605" s="30"/>
      <c r="O605" s="31"/>
      <c r="P605" s="30"/>
      <c r="Q605" s="30"/>
      <c r="R605" s="30"/>
      <c r="S605" s="30"/>
      <c r="T605" s="30"/>
      <c r="U605" s="30"/>
      <c r="V605" s="30"/>
      <c r="W605" s="30"/>
    </row>
    <row r="606">
      <c r="A606" s="30"/>
      <c r="B606" s="30"/>
      <c r="C606" s="30"/>
      <c r="D606" s="30"/>
      <c r="E606" s="30"/>
      <c r="F606" s="30"/>
      <c r="G606" s="30"/>
      <c r="H606" s="30"/>
      <c r="I606" s="30"/>
      <c r="J606" s="30"/>
      <c r="K606" s="30"/>
      <c r="L606" s="30"/>
      <c r="M606" s="30"/>
      <c r="N606" s="30"/>
      <c r="O606" s="31"/>
      <c r="P606" s="30"/>
      <c r="Q606" s="30"/>
      <c r="R606" s="30"/>
      <c r="S606" s="30"/>
      <c r="T606" s="30"/>
      <c r="U606" s="30"/>
      <c r="V606" s="30"/>
      <c r="W606" s="30"/>
    </row>
    <row r="607">
      <c r="A607" s="30"/>
      <c r="B607" s="30"/>
      <c r="C607" s="30"/>
      <c r="D607" s="30"/>
      <c r="E607" s="30"/>
      <c r="F607" s="30"/>
      <c r="G607" s="30"/>
      <c r="H607" s="30"/>
      <c r="I607" s="30"/>
      <c r="J607" s="30"/>
      <c r="K607" s="30"/>
      <c r="L607" s="30"/>
      <c r="M607" s="30"/>
      <c r="N607" s="30"/>
      <c r="O607" s="31"/>
      <c r="P607" s="30"/>
      <c r="Q607" s="30"/>
      <c r="R607" s="30"/>
      <c r="S607" s="30"/>
      <c r="T607" s="30"/>
      <c r="U607" s="30"/>
      <c r="V607" s="30"/>
      <c r="W607" s="30"/>
    </row>
    <row r="608">
      <c r="A608" s="30"/>
      <c r="B608" s="30"/>
      <c r="C608" s="30"/>
      <c r="D608" s="30"/>
      <c r="E608" s="30"/>
      <c r="F608" s="30"/>
      <c r="G608" s="30"/>
      <c r="H608" s="30"/>
      <c r="I608" s="30"/>
      <c r="J608" s="30"/>
      <c r="K608" s="30"/>
      <c r="L608" s="30"/>
      <c r="M608" s="30"/>
      <c r="N608" s="30"/>
      <c r="O608" s="31"/>
      <c r="P608" s="30"/>
      <c r="Q608" s="30"/>
      <c r="R608" s="30"/>
      <c r="S608" s="30"/>
      <c r="T608" s="30"/>
      <c r="U608" s="30"/>
      <c r="V608" s="30"/>
      <c r="W608" s="30"/>
    </row>
    <row r="609">
      <c r="A609" s="30"/>
      <c r="B609" s="30"/>
      <c r="C609" s="30"/>
      <c r="D609" s="30"/>
      <c r="E609" s="30"/>
      <c r="F609" s="30"/>
      <c r="G609" s="30"/>
      <c r="H609" s="30"/>
      <c r="I609" s="30"/>
      <c r="J609" s="30"/>
      <c r="K609" s="30"/>
      <c r="L609" s="30"/>
      <c r="M609" s="30"/>
      <c r="N609" s="30"/>
      <c r="O609" s="31"/>
      <c r="P609" s="30"/>
      <c r="Q609" s="30"/>
      <c r="R609" s="30"/>
      <c r="S609" s="30"/>
      <c r="T609" s="30"/>
      <c r="U609" s="30"/>
      <c r="V609" s="30"/>
      <c r="W609" s="30"/>
    </row>
    <row r="610">
      <c r="A610" s="30"/>
      <c r="B610" s="30"/>
      <c r="C610" s="30"/>
      <c r="D610" s="30"/>
      <c r="E610" s="30"/>
      <c r="F610" s="30"/>
      <c r="G610" s="30"/>
      <c r="H610" s="30"/>
      <c r="I610" s="30"/>
      <c r="J610" s="30"/>
      <c r="K610" s="30"/>
      <c r="L610" s="30"/>
      <c r="M610" s="30"/>
      <c r="N610" s="30"/>
      <c r="O610" s="31"/>
      <c r="P610" s="30"/>
      <c r="Q610" s="30"/>
      <c r="R610" s="30"/>
      <c r="S610" s="30"/>
      <c r="T610" s="30"/>
      <c r="U610" s="30"/>
      <c r="V610" s="30"/>
      <c r="W610" s="30"/>
    </row>
    <row r="611">
      <c r="A611" s="30"/>
      <c r="B611" s="30"/>
      <c r="C611" s="30"/>
      <c r="D611" s="30"/>
      <c r="E611" s="30"/>
      <c r="F611" s="30"/>
      <c r="G611" s="30"/>
      <c r="H611" s="30"/>
      <c r="I611" s="30"/>
      <c r="J611" s="30"/>
      <c r="K611" s="30"/>
      <c r="L611" s="30"/>
      <c r="M611" s="30"/>
      <c r="N611" s="30"/>
      <c r="O611" s="31"/>
      <c r="P611" s="30"/>
      <c r="Q611" s="30"/>
      <c r="R611" s="30"/>
      <c r="S611" s="30"/>
      <c r="T611" s="30"/>
      <c r="U611" s="30"/>
      <c r="V611" s="30"/>
      <c r="W611" s="30"/>
    </row>
    <row r="612">
      <c r="A612" s="30"/>
      <c r="B612" s="30"/>
      <c r="C612" s="30"/>
      <c r="D612" s="30"/>
      <c r="E612" s="30"/>
      <c r="F612" s="30"/>
      <c r="G612" s="30"/>
      <c r="H612" s="30"/>
      <c r="I612" s="30"/>
      <c r="J612" s="30"/>
      <c r="K612" s="30"/>
      <c r="L612" s="30"/>
      <c r="M612" s="30"/>
      <c r="N612" s="30"/>
      <c r="O612" s="31"/>
      <c r="P612" s="30"/>
      <c r="Q612" s="30"/>
      <c r="R612" s="30"/>
      <c r="S612" s="30"/>
      <c r="T612" s="30"/>
      <c r="U612" s="30"/>
      <c r="V612" s="30"/>
      <c r="W612" s="30"/>
    </row>
    <row r="613">
      <c r="A613" s="30"/>
      <c r="B613" s="30"/>
      <c r="C613" s="30"/>
      <c r="D613" s="30"/>
      <c r="E613" s="30"/>
      <c r="F613" s="30"/>
      <c r="G613" s="30"/>
      <c r="H613" s="30"/>
      <c r="I613" s="30"/>
      <c r="J613" s="30"/>
      <c r="K613" s="30"/>
      <c r="L613" s="30"/>
      <c r="M613" s="30"/>
      <c r="N613" s="30"/>
      <c r="O613" s="31"/>
      <c r="P613" s="30"/>
      <c r="Q613" s="30"/>
      <c r="R613" s="30"/>
      <c r="S613" s="30"/>
      <c r="T613" s="30"/>
      <c r="U613" s="30"/>
      <c r="V613" s="30"/>
      <c r="W613" s="30"/>
    </row>
    <row r="614">
      <c r="A614" s="30"/>
      <c r="B614" s="30"/>
      <c r="C614" s="30"/>
      <c r="D614" s="30"/>
      <c r="E614" s="30"/>
      <c r="F614" s="30"/>
      <c r="G614" s="30"/>
      <c r="H614" s="30"/>
      <c r="I614" s="30"/>
      <c r="J614" s="30"/>
      <c r="K614" s="30"/>
      <c r="L614" s="30"/>
      <c r="M614" s="30"/>
      <c r="N614" s="30"/>
      <c r="O614" s="31"/>
      <c r="P614" s="30"/>
      <c r="Q614" s="30"/>
      <c r="R614" s="30"/>
      <c r="S614" s="30"/>
      <c r="T614" s="30"/>
      <c r="U614" s="30"/>
      <c r="V614" s="30"/>
      <c r="W614" s="30"/>
    </row>
    <row r="615">
      <c r="A615" s="30"/>
      <c r="B615" s="30"/>
      <c r="C615" s="30"/>
      <c r="D615" s="30"/>
      <c r="E615" s="30"/>
      <c r="F615" s="30"/>
      <c r="G615" s="30"/>
      <c r="H615" s="30"/>
      <c r="I615" s="30"/>
      <c r="J615" s="30"/>
      <c r="K615" s="30"/>
      <c r="L615" s="30"/>
      <c r="M615" s="30"/>
      <c r="N615" s="30"/>
      <c r="O615" s="31"/>
      <c r="P615" s="30"/>
      <c r="Q615" s="30"/>
      <c r="R615" s="30"/>
      <c r="S615" s="30"/>
      <c r="T615" s="30"/>
      <c r="U615" s="30"/>
      <c r="V615" s="30"/>
      <c r="W615" s="30"/>
    </row>
    <row r="616">
      <c r="A616" s="30"/>
      <c r="B616" s="30"/>
      <c r="C616" s="30"/>
      <c r="D616" s="30"/>
      <c r="E616" s="30"/>
      <c r="F616" s="30"/>
      <c r="G616" s="30"/>
      <c r="H616" s="30"/>
      <c r="I616" s="30"/>
      <c r="J616" s="30"/>
      <c r="K616" s="30"/>
      <c r="L616" s="30"/>
      <c r="M616" s="30"/>
      <c r="N616" s="30"/>
      <c r="O616" s="31"/>
      <c r="P616" s="30"/>
      <c r="Q616" s="30"/>
      <c r="R616" s="30"/>
      <c r="S616" s="30"/>
      <c r="T616" s="30"/>
      <c r="U616" s="30"/>
      <c r="V616" s="30"/>
      <c r="W616" s="30"/>
    </row>
    <row r="617">
      <c r="A617" s="30"/>
      <c r="B617" s="30"/>
      <c r="C617" s="30"/>
      <c r="D617" s="30"/>
      <c r="E617" s="30"/>
      <c r="F617" s="30"/>
      <c r="G617" s="30"/>
      <c r="H617" s="30"/>
      <c r="I617" s="30"/>
      <c r="J617" s="30"/>
      <c r="K617" s="30"/>
      <c r="L617" s="30"/>
      <c r="M617" s="30"/>
      <c r="N617" s="30"/>
      <c r="O617" s="35"/>
      <c r="P617" s="30"/>
      <c r="Q617" s="30"/>
      <c r="R617" s="30"/>
      <c r="S617" s="30"/>
      <c r="T617" s="30"/>
      <c r="U617" s="30"/>
      <c r="V617" s="30"/>
      <c r="W617" s="30"/>
    </row>
    <row r="618">
      <c r="A618" s="30"/>
      <c r="B618" s="30"/>
      <c r="C618" s="30"/>
      <c r="D618" s="30"/>
      <c r="E618" s="30"/>
      <c r="F618" s="30"/>
      <c r="G618" s="30"/>
      <c r="H618" s="30"/>
      <c r="I618" s="30"/>
      <c r="J618" s="30"/>
      <c r="K618" s="30"/>
      <c r="L618" s="30"/>
      <c r="M618" s="30"/>
      <c r="N618" s="30"/>
      <c r="O618" s="31"/>
      <c r="P618" s="30"/>
      <c r="Q618" s="30"/>
      <c r="R618" s="30"/>
      <c r="S618" s="30"/>
      <c r="T618" s="30"/>
      <c r="U618" s="30"/>
      <c r="V618" s="30"/>
      <c r="W618" s="30"/>
    </row>
    <row r="619">
      <c r="A619" s="30"/>
      <c r="B619" s="30"/>
      <c r="C619" s="30"/>
      <c r="D619" s="30"/>
      <c r="E619" s="30"/>
      <c r="F619" s="30"/>
      <c r="G619" s="30"/>
      <c r="H619" s="30"/>
      <c r="I619" s="30"/>
      <c r="J619" s="30"/>
      <c r="K619" s="30"/>
      <c r="L619" s="30"/>
      <c r="M619" s="30"/>
      <c r="N619" s="30"/>
      <c r="O619" s="31"/>
      <c r="P619" s="30"/>
      <c r="Q619" s="30"/>
      <c r="R619" s="30"/>
      <c r="S619" s="30"/>
      <c r="T619" s="30"/>
      <c r="U619" s="30"/>
      <c r="V619" s="30"/>
      <c r="W619" s="30"/>
    </row>
    <row r="620">
      <c r="A620" s="30"/>
      <c r="B620" s="30"/>
      <c r="C620" s="30"/>
      <c r="D620" s="30"/>
      <c r="E620" s="30"/>
      <c r="F620" s="30"/>
      <c r="G620" s="30"/>
      <c r="H620" s="30"/>
      <c r="I620" s="30"/>
      <c r="J620" s="30"/>
      <c r="K620" s="30"/>
      <c r="L620" s="30"/>
      <c r="M620" s="30"/>
      <c r="N620" s="30"/>
      <c r="O620" s="31"/>
      <c r="P620" s="30"/>
      <c r="Q620" s="30"/>
      <c r="R620" s="30"/>
      <c r="S620" s="30"/>
      <c r="T620" s="30"/>
      <c r="U620" s="30"/>
      <c r="V620" s="30"/>
      <c r="W620" s="30"/>
    </row>
    <row r="621">
      <c r="A621" s="30"/>
      <c r="B621" s="30"/>
      <c r="C621" s="30"/>
      <c r="D621" s="30"/>
      <c r="E621" s="30"/>
      <c r="F621" s="30"/>
      <c r="G621" s="30"/>
      <c r="H621" s="30"/>
      <c r="I621" s="30"/>
      <c r="J621" s="30"/>
      <c r="K621" s="30"/>
      <c r="L621" s="30"/>
      <c r="M621" s="30"/>
      <c r="N621" s="30"/>
      <c r="O621" s="31"/>
      <c r="P621" s="30"/>
      <c r="Q621" s="30"/>
      <c r="R621" s="30"/>
      <c r="S621" s="30"/>
      <c r="T621" s="30"/>
      <c r="U621" s="30"/>
      <c r="V621" s="30"/>
      <c r="W621" s="30"/>
    </row>
    <row r="622">
      <c r="A622" s="30"/>
      <c r="B622" s="30"/>
      <c r="C622" s="30"/>
      <c r="D622" s="30"/>
      <c r="E622" s="30"/>
      <c r="F622" s="30"/>
      <c r="G622" s="30"/>
      <c r="H622" s="30"/>
      <c r="I622" s="30"/>
      <c r="J622" s="30"/>
      <c r="K622" s="30"/>
      <c r="L622" s="30"/>
      <c r="M622" s="30"/>
      <c r="N622" s="30"/>
      <c r="O622" s="31"/>
      <c r="P622" s="30"/>
      <c r="Q622" s="30"/>
      <c r="R622" s="30"/>
      <c r="S622" s="30"/>
      <c r="T622" s="30"/>
      <c r="U622" s="30"/>
      <c r="V622" s="30"/>
      <c r="W622" s="30"/>
    </row>
    <row r="623">
      <c r="A623" s="30"/>
      <c r="B623" s="30"/>
      <c r="C623" s="30"/>
      <c r="D623" s="30"/>
      <c r="E623" s="30"/>
      <c r="F623" s="30"/>
      <c r="G623" s="30"/>
      <c r="H623" s="30"/>
      <c r="I623" s="30"/>
      <c r="J623" s="30"/>
      <c r="K623" s="30"/>
      <c r="L623" s="30"/>
      <c r="M623" s="30"/>
      <c r="N623" s="30"/>
      <c r="O623" s="31"/>
      <c r="P623" s="30"/>
      <c r="Q623" s="30"/>
      <c r="R623" s="30"/>
      <c r="S623" s="30"/>
      <c r="T623" s="30"/>
      <c r="U623" s="30"/>
      <c r="V623" s="30"/>
      <c r="W623" s="30"/>
    </row>
    <row r="624">
      <c r="A624" s="30"/>
      <c r="B624" s="30"/>
      <c r="C624" s="30"/>
      <c r="D624" s="30"/>
      <c r="E624" s="30"/>
      <c r="F624" s="30"/>
      <c r="G624" s="30"/>
      <c r="H624" s="30"/>
      <c r="I624" s="30"/>
      <c r="J624" s="30"/>
      <c r="K624" s="30"/>
      <c r="L624" s="30"/>
      <c r="M624" s="30"/>
      <c r="N624" s="30"/>
      <c r="O624" s="31"/>
      <c r="P624" s="30"/>
      <c r="Q624" s="30"/>
      <c r="R624" s="30"/>
      <c r="S624" s="30"/>
      <c r="T624" s="30"/>
      <c r="U624" s="30"/>
      <c r="V624" s="30"/>
      <c r="W624" s="30"/>
    </row>
    <row r="625">
      <c r="A625" s="30"/>
      <c r="B625" s="30"/>
      <c r="C625" s="30"/>
      <c r="D625" s="30"/>
      <c r="E625" s="30"/>
      <c r="F625" s="30"/>
      <c r="G625" s="30"/>
      <c r="H625" s="30"/>
      <c r="I625" s="30"/>
      <c r="J625" s="30"/>
      <c r="K625" s="30"/>
      <c r="L625" s="30"/>
      <c r="M625" s="30"/>
      <c r="N625" s="30"/>
      <c r="O625" s="31"/>
      <c r="P625" s="30"/>
      <c r="Q625" s="30"/>
      <c r="R625" s="30"/>
      <c r="S625" s="30"/>
      <c r="T625" s="30"/>
      <c r="U625" s="30"/>
      <c r="V625" s="30"/>
      <c r="W625" s="30"/>
    </row>
    <row r="626">
      <c r="A626" s="30"/>
      <c r="B626" s="30"/>
      <c r="C626" s="30"/>
      <c r="D626" s="30"/>
      <c r="E626" s="30"/>
      <c r="F626" s="30"/>
      <c r="G626" s="30"/>
      <c r="H626" s="30"/>
      <c r="I626" s="30"/>
      <c r="J626" s="30"/>
      <c r="K626" s="30"/>
      <c r="L626" s="30"/>
      <c r="M626" s="30"/>
      <c r="N626" s="30"/>
      <c r="O626" s="31"/>
      <c r="P626" s="30"/>
      <c r="Q626" s="30"/>
      <c r="R626" s="30"/>
      <c r="S626" s="30"/>
      <c r="T626" s="30"/>
      <c r="U626" s="30"/>
      <c r="V626" s="30"/>
      <c r="W626" s="30"/>
    </row>
    <row r="627">
      <c r="A627" s="30"/>
      <c r="B627" s="30"/>
      <c r="C627" s="30"/>
      <c r="D627" s="30"/>
      <c r="E627" s="30"/>
      <c r="F627" s="30"/>
      <c r="G627" s="30"/>
      <c r="H627" s="30"/>
      <c r="I627" s="30"/>
      <c r="J627" s="30"/>
      <c r="K627" s="30"/>
      <c r="L627" s="30"/>
      <c r="M627" s="30"/>
      <c r="N627" s="30"/>
      <c r="O627" s="31"/>
      <c r="P627" s="30"/>
      <c r="Q627" s="30"/>
      <c r="R627" s="30"/>
      <c r="S627" s="30"/>
      <c r="T627" s="30"/>
      <c r="U627" s="30"/>
      <c r="V627" s="30"/>
      <c r="W627" s="30"/>
    </row>
    <row r="628">
      <c r="A628" s="30"/>
      <c r="B628" s="30"/>
      <c r="C628" s="30"/>
      <c r="D628" s="30"/>
      <c r="E628" s="30"/>
      <c r="F628" s="30"/>
      <c r="G628" s="30"/>
      <c r="H628" s="30"/>
      <c r="I628" s="30"/>
      <c r="J628" s="30"/>
      <c r="K628" s="30"/>
      <c r="L628" s="30"/>
      <c r="M628" s="30"/>
      <c r="N628" s="30"/>
      <c r="O628" s="31"/>
      <c r="P628" s="30"/>
      <c r="Q628" s="30"/>
      <c r="R628" s="30"/>
      <c r="S628" s="30"/>
      <c r="T628" s="30"/>
      <c r="U628" s="30"/>
      <c r="V628" s="30"/>
      <c r="W628" s="30"/>
    </row>
    <row r="629">
      <c r="A629" s="30"/>
      <c r="B629" s="30"/>
      <c r="C629" s="30"/>
      <c r="D629" s="30"/>
      <c r="E629" s="30"/>
      <c r="F629" s="30"/>
      <c r="G629" s="30"/>
      <c r="H629" s="30"/>
      <c r="I629" s="30"/>
      <c r="J629" s="30"/>
      <c r="K629" s="30"/>
      <c r="L629" s="30"/>
      <c r="M629" s="30"/>
      <c r="N629" s="30"/>
      <c r="O629" s="31"/>
      <c r="P629" s="30"/>
      <c r="Q629" s="30"/>
      <c r="R629" s="30"/>
      <c r="S629" s="30"/>
      <c r="T629" s="30"/>
      <c r="U629" s="30"/>
      <c r="V629" s="30"/>
      <c r="W629" s="30"/>
    </row>
    <row r="630">
      <c r="A630" s="30"/>
      <c r="B630" s="30"/>
      <c r="C630" s="30"/>
      <c r="D630" s="30"/>
      <c r="E630" s="30"/>
      <c r="F630" s="30"/>
      <c r="G630" s="30"/>
      <c r="H630" s="30"/>
      <c r="I630" s="30"/>
      <c r="J630" s="30"/>
      <c r="K630" s="30"/>
      <c r="L630" s="30"/>
      <c r="M630" s="30"/>
      <c r="N630" s="30"/>
      <c r="O630" s="31"/>
      <c r="P630" s="30"/>
      <c r="Q630" s="30"/>
      <c r="R630" s="30"/>
      <c r="S630" s="30"/>
      <c r="T630" s="30"/>
      <c r="U630" s="30"/>
      <c r="V630" s="30"/>
      <c r="W630" s="30"/>
    </row>
    <row r="631">
      <c r="A631" s="30"/>
      <c r="B631" s="30"/>
      <c r="C631" s="30"/>
      <c r="D631" s="30"/>
      <c r="E631" s="30"/>
      <c r="F631" s="30"/>
      <c r="G631" s="30"/>
      <c r="H631" s="30"/>
      <c r="I631" s="30"/>
      <c r="J631" s="30"/>
      <c r="K631" s="30"/>
      <c r="L631" s="30"/>
      <c r="M631" s="30"/>
      <c r="N631" s="30"/>
      <c r="O631" s="31"/>
      <c r="P631" s="30"/>
      <c r="Q631" s="30"/>
      <c r="R631" s="30"/>
      <c r="S631" s="30"/>
      <c r="T631" s="30"/>
      <c r="U631" s="30"/>
      <c r="V631" s="30"/>
      <c r="W631" s="30"/>
    </row>
    <row r="632">
      <c r="A632" s="30"/>
      <c r="B632" s="30"/>
      <c r="C632" s="30"/>
      <c r="D632" s="30"/>
      <c r="E632" s="30"/>
      <c r="F632" s="30"/>
      <c r="G632" s="30"/>
      <c r="H632" s="30"/>
      <c r="I632" s="30"/>
      <c r="J632" s="30"/>
      <c r="K632" s="30"/>
      <c r="L632" s="30"/>
      <c r="M632" s="30"/>
      <c r="N632" s="30"/>
      <c r="O632" s="31"/>
      <c r="P632" s="30"/>
      <c r="Q632" s="30"/>
      <c r="R632" s="30"/>
      <c r="S632" s="30"/>
      <c r="T632" s="30"/>
      <c r="U632" s="30"/>
      <c r="V632" s="30"/>
      <c r="W632" s="30"/>
    </row>
    <row r="633">
      <c r="A633" s="30"/>
      <c r="B633" s="30"/>
      <c r="C633" s="30"/>
      <c r="D633" s="30"/>
      <c r="E633" s="30"/>
      <c r="F633" s="30"/>
      <c r="G633" s="30"/>
      <c r="H633" s="30"/>
      <c r="I633" s="30"/>
      <c r="J633" s="30"/>
      <c r="K633" s="30"/>
      <c r="L633" s="30"/>
      <c r="M633" s="30"/>
      <c r="N633" s="30"/>
      <c r="O633" s="31"/>
      <c r="P633" s="30"/>
      <c r="Q633" s="30"/>
      <c r="R633" s="30"/>
      <c r="S633" s="30"/>
      <c r="T633" s="30"/>
      <c r="U633" s="30"/>
      <c r="V633" s="30"/>
      <c r="W633" s="30"/>
    </row>
    <row r="634">
      <c r="A634" s="30"/>
      <c r="B634" s="30"/>
      <c r="C634" s="30"/>
      <c r="D634" s="30"/>
      <c r="E634" s="30"/>
      <c r="F634" s="30"/>
      <c r="G634" s="30"/>
      <c r="H634" s="30"/>
      <c r="I634" s="30"/>
      <c r="J634" s="30"/>
      <c r="K634" s="30"/>
      <c r="L634" s="30"/>
      <c r="M634" s="30"/>
      <c r="N634" s="30"/>
      <c r="O634" s="31"/>
      <c r="P634" s="30"/>
      <c r="Q634" s="30"/>
      <c r="R634" s="30"/>
      <c r="S634" s="30"/>
      <c r="T634" s="30"/>
      <c r="U634" s="30"/>
      <c r="V634" s="30"/>
      <c r="W634" s="30"/>
    </row>
    <row r="635">
      <c r="A635" s="30"/>
      <c r="B635" s="30"/>
      <c r="C635" s="30"/>
      <c r="D635" s="30"/>
      <c r="E635" s="30"/>
      <c r="F635" s="30"/>
      <c r="G635" s="30"/>
      <c r="H635" s="30"/>
      <c r="I635" s="30"/>
      <c r="J635" s="30"/>
      <c r="K635" s="30"/>
      <c r="L635" s="30"/>
      <c r="M635" s="30"/>
      <c r="N635" s="30"/>
      <c r="O635" s="31"/>
      <c r="P635" s="30"/>
      <c r="Q635" s="30"/>
      <c r="R635" s="30"/>
      <c r="S635" s="30"/>
      <c r="T635" s="30"/>
      <c r="U635" s="30"/>
      <c r="V635" s="30"/>
      <c r="W635" s="30"/>
    </row>
    <row r="636">
      <c r="A636" s="30"/>
      <c r="B636" s="30"/>
      <c r="C636" s="30"/>
      <c r="D636" s="30"/>
      <c r="E636" s="30"/>
      <c r="F636" s="30"/>
      <c r="G636" s="30"/>
      <c r="H636" s="30"/>
      <c r="I636" s="30"/>
      <c r="J636" s="30"/>
      <c r="K636" s="30"/>
      <c r="L636" s="30"/>
      <c r="M636" s="30"/>
      <c r="N636" s="30"/>
      <c r="O636" s="31"/>
      <c r="P636" s="30"/>
      <c r="Q636" s="30"/>
      <c r="R636" s="30"/>
      <c r="S636" s="30"/>
      <c r="T636" s="30"/>
      <c r="U636" s="30"/>
      <c r="V636" s="30"/>
      <c r="W636" s="30"/>
    </row>
    <row r="637">
      <c r="A637" s="30"/>
      <c r="B637" s="30"/>
      <c r="C637" s="30"/>
      <c r="D637" s="30"/>
      <c r="E637" s="30"/>
      <c r="F637" s="30"/>
      <c r="G637" s="30"/>
      <c r="H637" s="30"/>
      <c r="I637" s="30"/>
      <c r="J637" s="30"/>
      <c r="K637" s="30"/>
      <c r="L637" s="30"/>
      <c r="M637" s="30"/>
      <c r="N637" s="30"/>
      <c r="O637" s="31"/>
      <c r="P637" s="30"/>
      <c r="Q637" s="30"/>
      <c r="R637" s="30"/>
      <c r="S637" s="30"/>
      <c r="T637" s="30"/>
      <c r="U637" s="30"/>
      <c r="V637" s="30"/>
      <c r="W637" s="30"/>
    </row>
    <row r="638">
      <c r="A638" s="30"/>
      <c r="B638" s="30"/>
      <c r="C638" s="30"/>
      <c r="D638" s="30"/>
      <c r="E638" s="30"/>
      <c r="F638" s="30"/>
      <c r="G638" s="30"/>
      <c r="H638" s="30"/>
      <c r="I638" s="30"/>
      <c r="J638" s="30"/>
      <c r="K638" s="30"/>
      <c r="L638" s="30"/>
      <c r="M638" s="30"/>
      <c r="N638" s="30"/>
      <c r="O638" s="31"/>
      <c r="P638" s="30"/>
      <c r="Q638" s="30"/>
      <c r="R638" s="30"/>
      <c r="S638" s="30"/>
      <c r="T638" s="30"/>
      <c r="U638" s="30"/>
      <c r="V638" s="30"/>
      <c r="W638" s="30"/>
    </row>
    <row r="639">
      <c r="A639" s="30"/>
      <c r="B639" s="30"/>
      <c r="C639" s="30"/>
      <c r="D639" s="30"/>
      <c r="E639" s="30"/>
      <c r="F639" s="30"/>
      <c r="G639" s="30"/>
      <c r="H639" s="30"/>
      <c r="I639" s="30"/>
      <c r="J639" s="30"/>
      <c r="K639" s="30"/>
      <c r="L639" s="30"/>
      <c r="M639" s="30"/>
      <c r="N639" s="30"/>
      <c r="O639" s="31"/>
      <c r="P639" s="30"/>
      <c r="Q639" s="30"/>
      <c r="R639" s="30"/>
      <c r="S639" s="30"/>
      <c r="T639" s="30"/>
      <c r="U639" s="30"/>
      <c r="V639" s="30"/>
      <c r="W639" s="30"/>
    </row>
    <row r="640">
      <c r="A640" s="30"/>
      <c r="B640" s="30"/>
      <c r="C640" s="30"/>
      <c r="D640" s="30"/>
      <c r="E640" s="30"/>
      <c r="F640" s="30"/>
      <c r="G640" s="30"/>
      <c r="H640" s="30"/>
      <c r="I640" s="30"/>
      <c r="J640" s="30"/>
      <c r="K640" s="30"/>
      <c r="L640" s="30"/>
      <c r="M640" s="30"/>
      <c r="N640" s="30"/>
      <c r="O640" s="31"/>
      <c r="P640" s="30"/>
      <c r="Q640" s="30"/>
      <c r="R640" s="30"/>
      <c r="S640" s="30"/>
      <c r="T640" s="30"/>
      <c r="U640" s="30"/>
      <c r="V640" s="30"/>
      <c r="W640" s="30"/>
    </row>
    <row r="641">
      <c r="A641" s="30"/>
      <c r="B641" s="30"/>
      <c r="C641" s="30"/>
      <c r="D641" s="30"/>
      <c r="E641" s="30"/>
      <c r="F641" s="30"/>
      <c r="G641" s="30"/>
      <c r="H641" s="30"/>
      <c r="I641" s="30"/>
      <c r="J641" s="30"/>
      <c r="K641" s="30"/>
      <c r="L641" s="30"/>
      <c r="M641" s="30"/>
      <c r="N641" s="30"/>
      <c r="O641" s="31"/>
      <c r="P641" s="30"/>
      <c r="Q641" s="30"/>
      <c r="R641" s="30"/>
      <c r="S641" s="30"/>
      <c r="T641" s="30"/>
      <c r="U641" s="30"/>
      <c r="V641" s="30"/>
      <c r="W641" s="30"/>
    </row>
    <row r="642">
      <c r="A642" s="30"/>
      <c r="B642" s="30"/>
      <c r="C642" s="30"/>
      <c r="D642" s="30"/>
      <c r="E642" s="30"/>
      <c r="F642" s="30"/>
      <c r="G642" s="30"/>
      <c r="H642" s="30"/>
      <c r="I642" s="30"/>
      <c r="J642" s="30"/>
      <c r="K642" s="30"/>
      <c r="L642" s="30"/>
      <c r="M642" s="30"/>
      <c r="N642" s="30"/>
      <c r="O642" s="31"/>
      <c r="P642" s="30"/>
      <c r="Q642" s="30"/>
      <c r="R642" s="30"/>
      <c r="S642" s="30"/>
      <c r="T642" s="30"/>
      <c r="U642" s="30"/>
      <c r="V642" s="30"/>
      <c r="W642" s="30"/>
    </row>
    <row r="643">
      <c r="A643" s="30"/>
      <c r="B643" s="30"/>
      <c r="C643" s="30"/>
      <c r="D643" s="30"/>
      <c r="E643" s="30"/>
      <c r="F643" s="30"/>
      <c r="G643" s="30"/>
      <c r="H643" s="30"/>
      <c r="I643" s="30"/>
      <c r="J643" s="30"/>
      <c r="K643" s="30"/>
      <c r="L643" s="30"/>
      <c r="M643" s="30"/>
      <c r="N643" s="30"/>
      <c r="O643" s="35"/>
      <c r="P643" s="30"/>
      <c r="Q643" s="30"/>
      <c r="R643" s="30"/>
      <c r="S643" s="30"/>
      <c r="T643" s="30"/>
      <c r="U643" s="30"/>
      <c r="V643" s="30"/>
      <c r="W643" s="30"/>
    </row>
    <row r="644">
      <c r="A644" s="30"/>
      <c r="B644" s="30"/>
      <c r="C644" s="30"/>
      <c r="D644" s="30"/>
      <c r="E644" s="30"/>
      <c r="F644" s="30"/>
      <c r="G644" s="30"/>
      <c r="H644" s="30"/>
      <c r="I644" s="30"/>
      <c r="J644" s="30"/>
      <c r="K644" s="30"/>
      <c r="L644" s="30"/>
      <c r="M644" s="30"/>
      <c r="N644" s="30"/>
      <c r="O644" s="31"/>
      <c r="P644" s="30"/>
      <c r="Q644" s="30"/>
      <c r="R644" s="30"/>
      <c r="S644" s="30"/>
      <c r="T644" s="30"/>
      <c r="U644" s="30"/>
      <c r="V644" s="30"/>
      <c r="W644" s="30"/>
    </row>
    <row r="645">
      <c r="A645" s="30"/>
      <c r="B645" s="30"/>
      <c r="C645" s="30"/>
      <c r="D645" s="30"/>
      <c r="E645" s="30"/>
      <c r="F645" s="30"/>
      <c r="G645" s="30"/>
      <c r="H645" s="30"/>
      <c r="I645" s="30"/>
      <c r="J645" s="30"/>
      <c r="K645" s="30"/>
      <c r="L645" s="30"/>
      <c r="M645" s="30"/>
      <c r="N645" s="30"/>
      <c r="O645" s="31"/>
      <c r="P645" s="30"/>
      <c r="Q645" s="30"/>
      <c r="R645" s="30"/>
      <c r="S645" s="30"/>
      <c r="T645" s="30"/>
      <c r="U645" s="30"/>
      <c r="V645" s="30"/>
      <c r="W645" s="30"/>
    </row>
    <row r="646">
      <c r="A646" s="30"/>
      <c r="B646" s="30"/>
      <c r="C646" s="30"/>
      <c r="D646" s="30"/>
      <c r="E646" s="30"/>
      <c r="F646" s="30"/>
      <c r="G646" s="30"/>
      <c r="H646" s="30"/>
      <c r="I646" s="30"/>
      <c r="J646" s="30"/>
      <c r="K646" s="30"/>
      <c r="L646" s="30"/>
      <c r="M646" s="30"/>
      <c r="N646" s="30"/>
      <c r="O646" s="31"/>
      <c r="P646" s="30"/>
      <c r="Q646" s="30"/>
      <c r="R646" s="30"/>
      <c r="S646" s="30"/>
      <c r="T646" s="30"/>
      <c r="U646" s="30"/>
      <c r="V646" s="30"/>
      <c r="W646" s="30"/>
    </row>
    <row r="647">
      <c r="A647" s="30"/>
      <c r="B647" s="30"/>
      <c r="C647" s="30"/>
      <c r="D647" s="30"/>
      <c r="E647" s="30"/>
      <c r="F647" s="30"/>
      <c r="G647" s="30"/>
      <c r="H647" s="30"/>
      <c r="I647" s="30"/>
      <c r="J647" s="30"/>
      <c r="K647" s="30"/>
      <c r="L647" s="30"/>
      <c r="M647" s="30"/>
      <c r="N647" s="30"/>
      <c r="O647" s="31"/>
      <c r="P647" s="30"/>
      <c r="Q647" s="30"/>
      <c r="R647" s="30"/>
      <c r="S647" s="30"/>
      <c r="T647" s="30"/>
      <c r="U647" s="30"/>
      <c r="V647" s="30"/>
      <c r="W647" s="30"/>
    </row>
    <row r="648">
      <c r="A648" s="30"/>
      <c r="B648" s="30"/>
      <c r="C648" s="30"/>
      <c r="D648" s="30"/>
      <c r="E648" s="30"/>
      <c r="F648" s="30"/>
      <c r="G648" s="30"/>
      <c r="H648" s="30"/>
      <c r="I648" s="30"/>
      <c r="J648" s="30"/>
      <c r="K648" s="30"/>
      <c r="L648" s="30"/>
      <c r="M648" s="30"/>
      <c r="N648" s="30"/>
      <c r="O648" s="31"/>
      <c r="P648" s="30"/>
      <c r="Q648" s="30"/>
      <c r="R648" s="30"/>
      <c r="S648" s="30"/>
      <c r="T648" s="30"/>
      <c r="U648" s="30"/>
      <c r="V648" s="30"/>
      <c r="W648" s="30"/>
    </row>
    <row r="649">
      <c r="A649" s="30"/>
      <c r="B649" s="30"/>
      <c r="C649" s="30"/>
      <c r="D649" s="30"/>
      <c r="E649" s="30"/>
      <c r="F649" s="30"/>
      <c r="G649" s="30"/>
      <c r="H649" s="30"/>
      <c r="I649" s="30"/>
      <c r="J649" s="30"/>
      <c r="K649" s="30"/>
      <c r="L649" s="30"/>
      <c r="M649" s="30"/>
      <c r="N649" s="30"/>
      <c r="O649" s="31"/>
      <c r="P649" s="30"/>
      <c r="Q649" s="30"/>
      <c r="R649" s="30"/>
      <c r="S649" s="30"/>
      <c r="T649" s="30"/>
      <c r="U649" s="30"/>
      <c r="V649" s="30"/>
      <c r="W649" s="30"/>
    </row>
    <row r="650">
      <c r="A650" s="30"/>
      <c r="B650" s="30"/>
      <c r="C650" s="30"/>
      <c r="D650" s="30"/>
      <c r="E650" s="30"/>
      <c r="F650" s="30"/>
      <c r="G650" s="30"/>
      <c r="H650" s="30"/>
      <c r="I650" s="30"/>
      <c r="J650" s="30"/>
      <c r="K650" s="30"/>
      <c r="L650" s="30"/>
      <c r="M650" s="30"/>
      <c r="N650" s="30"/>
      <c r="O650" s="31"/>
      <c r="P650" s="30"/>
      <c r="Q650" s="30"/>
      <c r="R650" s="30"/>
      <c r="S650" s="30"/>
      <c r="T650" s="30"/>
      <c r="U650" s="30"/>
      <c r="V650" s="30"/>
      <c r="W650" s="30"/>
    </row>
    <row r="651">
      <c r="A651" s="30"/>
      <c r="B651" s="30"/>
      <c r="C651" s="30"/>
      <c r="D651" s="30"/>
      <c r="E651" s="30"/>
      <c r="F651" s="30"/>
      <c r="G651" s="30"/>
      <c r="H651" s="30"/>
      <c r="I651" s="30"/>
      <c r="J651" s="30"/>
      <c r="K651" s="30"/>
      <c r="L651" s="30"/>
      <c r="M651" s="30"/>
      <c r="N651" s="30"/>
      <c r="O651" s="31"/>
      <c r="P651" s="30"/>
      <c r="Q651" s="30"/>
      <c r="R651" s="30"/>
      <c r="S651" s="30"/>
      <c r="T651" s="30"/>
      <c r="U651" s="30"/>
      <c r="V651" s="30"/>
      <c r="W651" s="30"/>
    </row>
    <row r="652">
      <c r="A652" s="30"/>
      <c r="B652" s="30"/>
      <c r="C652" s="30"/>
      <c r="D652" s="30"/>
      <c r="E652" s="30"/>
      <c r="F652" s="30"/>
      <c r="G652" s="30"/>
      <c r="H652" s="30"/>
      <c r="I652" s="30"/>
      <c r="J652" s="30"/>
      <c r="K652" s="30"/>
      <c r="L652" s="30"/>
      <c r="M652" s="30"/>
      <c r="N652" s="30"/>
      <c r="O652" s="31"/>
      <c r="P652" s="30"/>
      <c r="Q652" s="30"/>
      <c r="R652" s="30"/>
      <c r="S652" s="30"/>
      <c r="T652" s="30"/>
      <c r="U652" s="30"/>
      <c r="V652" s="30"/>
      <c r="W652" s="30"/>
    </row>
    <row r="653">
      <c r="A653" s="30"/>
      <c r="B653" s="30"/>
      <c r="C653" s="30"/>
      <c r="D653" s="30"/>
      <c r="E653" s="30"/>
      <c r="F653" s="30"/>
      <c r="G653" s="30"/>
      <c r="H653" s="30"/>
      <c r="I653" s="30"/>
      <c r="J653" s="30"/>
      <c r="K653" s="30"/>
      <c r="L653" s="30"/>
      <c r="M653" s="30"/>
      <c r="N653" s="30"/>
      <c r="O653" s="31"/>
      <c r="P653" s="30"/>
      <c r="Q653" s="30"/>
      <c r="R653" s="30"/>
      <c r="S653" s="30"/>
      <c r="T653" s="30"/>
      <c r="U653" s="30"/>
      <c r="V653" s="30"/>
      <c r="W653" s="30"/>
    </row>
    <row r="654">
      <c r="A654" s="30"/>
      <c r="B654" s="30"/>
      <c r="C654" s="30"/>
      <c r="D654" s="30"/>
      <c r="E654" s="30"/>
      <c r="F654" s="30"/>
      <c r="G654" s="30"/>
      <c r="H654" s="30"/>
      <c r="I654" s="30"/>
      <c r="J654" s="30"/>
      <c r="K654" s="30"/>
      <c r="L654" s="30"/>
      <c r="M654" s="30"/>
      <c r="N654" s="30"/>
      <c r="O654" s="31"/>
      <c r="P654" s="30"/>
      <c r="Q654" s="30"/>
      <c r="R654" s="30"/>
      <c r="S654" s="30"/>
      <c r="T654" s="30"/>
      <c r="U654" s="30"/>
      <c r="V654" s="30"/>
      <c r="W654" s="30"/>
    </row>
    <row r="655">
      <c r="A655" s="30"/>
      <c r="B655" s="30"/>
      <c r="C655" s="30"/>
      <c r="D655" s="30"/>
      <c r="E655" s="30"/>
      <c r="F655" s="30"/>
      <c r="G655" s="30"/>
      <c r="H655" s="30"/>
      <c r="I655" s="30"/>
      <c r="J655" s="30"/>
      <c r="K655" s="30"/>
      <c r="L655" s="30"/>
      <c r="M655" s="30"/>
      <c r="N655" s="30"/>
      <c r="O655" s="31"/>
      <c r="P655" s="30"/>
      <c r="Q655" s="30"/>
      <c r="R655" s="30"/>
      <c r="S655" s="30"/>
      <c r="T655" s="30"/>
      <c r="U655" s="30"/>
      <c r="V655" s="30"/>
      <c r="W655" s="30"/>
    </row>
    <row r="656">
      <c r="A656" s="30"/>
      <c r="B656" s="30"/>
      <c r="C656" s="30"/>
      <c r="D656" s="30"/>
      <c r="E656" s="30"/>
      <c r="F656" s="30"/>
      <c r="G656" s="30"/>
      <c r="H656" s="30"/>
      <c r="I656" s="30"/>
      <c r="J656" s="30"/>
      <c r="K656" s="30"/>
      <c r="L656" s="30"/>
      <c r="M656" s="30"/>
      <c r="N656" s="30"/>
      <c r="O656" s="31"/>
      <c r="P656" s="30"/>
      <c r="Q656" s="30"/>
      <c r="R656" s="30"/>
      <c r="S656" s="30"/>
      <c r="T656" s="30"/>
      <c r="U656" s="30"/>
      <c r="V656" s="30"/>
      <c r="W656" s="30"/>
    </row>
    <row r="657">
      <c r="A657" s="30"/>
      <c r="B657" s="30"/>
      <c r="C657" s="30"/>
      <c r="D657" s="30"/>
      <c r="E657" s="30"/>
      <c r="F657" s="30"/>
      <c r="G657" s="30"/>
      <c r="H657" s="30"/>
      <c r="I657" s="30"/>
      <c r="J657" s="30"/>
      <c r="K657" s="30"/>
      <c r="L657" s="30"/>
      <c r="M657" s="30"/>
      <c r="N657" s="30"/>
      <c r="O657" s="31"/>
      <c r="P657" s="30"/>
      <c r="Q657" s="30"/>
      <c r="R657" s="30"/>
      <c r="S657" s="30"/>
      <c r="T657" s="30"/>
      <c r="U657" s="30"/>
      <c r="V657" s="30"/>
      <c r="W657" s="30"/>
    </row>
    <row r="658">
      <c r="A658" s="30"/>
      <c r="B658" s="30"/>
      <c r="C658" s="30"/>
      <c r="D658" s="30"/>
      <c r="E658" s="30"/>
      <c r="F658" s="30"/>
      <c r="G658" s="30"/>
      <c r="H658" s="30"/>
      <c r="I658" s="30"/>
      <c r="J658" s="30"/>
      <c r="K658" s="30"/>
      <c r="L658" s="30"/>
      <c r="M658" s="30"/>
      <c r="N658" s="30"/>
      <c r="O658" s="31"/>
      <c r="P658" s="30"/>
      <c r="Q658" s="30"/>
      <c r="R658" s="30"/>
      <c r="S658" s="30"/>
      <c r="T658" s="30"/>
      <c r="U658" s="30"/>
      <c r="V658" s="30"/>
      <c r="W658" s="30"/>
    </row>
    <row r="659">
      <c r="A659" s="30"/>
      <c r="B659" s="30"/>
      <c r="C659" s="30"/>
      <c r="D659" s="30"/>
      <c r="E659" s="30"/>
      <c r="F659" s="30"/>
      <c r="G659" s="30"/>
      <c r="H659" s="30"/>
      <c r="I659" s="30"/>
      <c r="J659" s="30"/>
      <c r="K659" s="30"/>
      <c r="L659" s="30"/>
      <c r="M659" s="30"/>
      <c r="N659" s="30"/>
      <c r="O659" s="31"/>
      <c r="P659" s="30"/>
      <c r="Q659" s="30"/>
      <c r="R659" s="30"/>
      <c r="S659" s="30"/>
      <c r="T659" s="30"/>
      <c r="U659" s="30"/>
      <c r="V659" s="30"/>
      <c r="W659" s="30"/>
    </row>
    <row r="660">
      <c r="A660" s="30"/>
      <c r="B660" s="30"/>
      <c r="C660" s="30"/>
      <c r="D660" s="30"/>
      <c r="E660" s="30"/>
      <c r="F660" s="30"/>
      <c r="G660" s="30"/>
      <c r="H660" s="30"/>
      <c r="I660" s="30"/>
      <c r="J660" s="30"/>
      <c r="K660" s="30"/>
      <c r="L660" s="30"/>
      <c r="M660" s="30"/>
      <c r="N660" s="30"/>
      <c r="O660" s="31"/>
      <c r="P660" s="30"/>
      <c r="Q660" s="30"/>
      <c r="R660" s="30"/>
      <c r="S660" s="30"/>
      <c r="T660" s="30"/>
      <c r="U660" s="30"/>
      <c r="V660" s="30"/>
      <c r="W660" s="30"/>
    </row>
    <row r="661">
      <c r="A661" s="30"/>
      <c r="B661" s="30"/>
      <c r="C661" s="30"/>
      <c r="D661" s="30"/>
      <c r="E661" s="30"/>
      <c r="F661" s="30"/>
      <c r="G661" s="30"/>
      <c r="H661" s="30"/>
      <c r="I661" s="30"/>
      <c r="J661" s="30"/>
      <c r="K661" s="30"/>
      <c r="L661" s="30"/>
      <c r="M661" s="30"/>
      <c r="N661" s="30"/>
      <c r="O661" s="31"/>
      <c r="P661" s="30"/>
      <c r="Q661" s="30"/>
      <c r="R661" s="30"/>
      <c r="S661" s="30"/>
      <c r="T661" s="30"/>
      <c r="U661" s="30"/>
      <c r="V661" s="30"/>
      <c r="W661" s="30"/>
    </row>
    <row r="662">
      <c r="A662" s="30"/>
      <c r="B662" s="30"/>
      <c r="C662" s="30"/>
      <c r="D662" s="30"/>
      <c r="E662" s="30"/>
      <c r="F662" s="30"/>
      <c r="G662" s="30"/>
      <c r="H662" s="30"/>
      <c r="I662" s="30"/>
      <c r="J662" s="30"/>
      <c r="K662" s="30"/>
      <c r="L662" s="30"/>
      <c r="M662" s="30"/>
      <c r="N662" s="30"/>
      <c r="O662" s="31"/>
      <c r="P662" s="30"/>
      <c r="Q662" s="30"/>
      <c r="R662" s="30"/>
      <c r="S662" s="30"/>
      <c r="T662" s="30"/>
      <c r="U662" s="30"/>
      <c r="V662" s="30"/>
      <c r="W662" s="30"/>
    </row>
    <row r="663">
      <c r="A663" s="30"/>
      <c r="B663" s="30"/>
      <c r="C663" s="30"/>
      <c r="D663" s="30"/>
      <c r="E663" s="30"/>
      <c r="F663" s="30"/>
      <c r="G663" s="30"/>
      <c r="H663" s="30"/>
      <c r="I663" s="30"/>
      <c r="J663" s="30"/>
      <c r="K663" s="30"/>
      <c r="L663" s="30"/>
      <c r="M663" s="30"/>
      <c r="N663" s="30"/>
      <c r="O663" s="31"/>
      <c r="P663" s="30"/>
      <c r="Q663" s="30"/>
      <c r="R663" s="30"/>
      <c r="S663" s="30"/>
      <c r="T663" s="30"/>
      <c r="U663" s="30"/>
      <c r="V663" s="30"/>
      <c r="W663" s="30"/>
    </row>
    <row r="664">
      <c r="A664" s="30"/>
      <c r="B664" s="30"/>
      <c r="C664" s="30"/>
      <c r="D664" s="30"/>
      <c r="E664" s="30"/>
      <c r="F664" s="30"/>
      <c r="G664" s="30"/>
      <c r="H664" s="30"/>
      <c r="I664" s="30"/>
      <c r="J664" s="30"/>
      <c r="K664" s="30"/>
      <c r="L664" s="30"/>
      <c r="M664" s="30"/>
      <c r="N664" s="30"/>
      <c r="O664" s="31"/>
      <c r="P664" s="30"/>
      <c r="Q664" s="30"/>
      <c r="R664" s="30"/>
      <c r="S664" s="30"/>
      <c r="T664" s="30"/>
      <c r="U664" s="30"/>
      <c r="V664" s="30"/>
      <c r="W664" s="30"/>
    </row>
    <row r="665">
      <c r="A665" s="30"/>
      <c r="B665" s="30"/>
      <c r="C665" s="30"/>
      <c r="D665" s="30"/>
      <c r="E665" s="30"/>
      <c r="F665" s="30"/>
      <c r="G665" s="30"/>
      <c r="H665" s="30"/>
      <c r="I665" s="30"/>
      <c r="J665" s="30"/>
      <c r="K665" s="30"/>
      <c r="L665" s="30"/>
      <c r="M665" s="30"/>
      <c r="N665" s="30"/>
      <c r="O665" s="31"/>
      <c r="P665" s="30"/>
      <c r="Q665" s="30"/>
      <c r="R665" s="30"/>
      <c r="S665" s="30"/>
      <c r="T665" s="30"/>
      <c r="U665" s="30"/>
      <c r="V665" s="30"/>
      <c r="W665" s="30"/>
    </row>
    <row r="666">
      <c r="A666" s="30"/>
      <c r="B666" s="30"/>
      <c r="C666" s="30"/>
      <c r="D666" s="30"/>
      <c r="E666" s="30"/>
      <c r="F666" s="30"/>
      <c r="G666" s="30"/>
      <c r="H666" s="30"/>
      <c r="I666" s="30"/>
      <c r="J666" s="30"/>
      <c r="K666" s="30"/>
      <c r="L666" s="30"/>
      <c r="M666" s="30"/>
      <c r="N666" s="30"/>
      <c r="O666" s="31"/>
      <c r="P666" s="30"/>
      <c r="Q666" s="30"/>
      <c r="R666" s="30"/>
      <c r="S666" s="30"/>
      <c r="T666" s="30"/>
      <c r="U666" s="30"/>
      <c r="V666" s="30"/>
      <c r="W666" s="30"/>
    </row>
    <row r="667">
      <c r="A667" s="30"/>
      <c r="B667" s="30"/>
      <c r="C667" s="30"/>
      <c r="D667" s="30"/>
      <c r="E667" s="30"/>
      <c r="F667" s="30"/>
      <c r="G667" s="30"/>
      <c r="H667" s="30"/>
      <c r="I667" s="30"/>
      <c r="J667" s="30"/>
      <c r="K667" s="30"/>
      <c r="L667" s="30"/>
      <c r="M667" s="30"/>
      <c r="N667" s="30"/>
      <c r="O667" s="31"/>
      <c r="P667" s="30"/>
      <c r="Q667" s="30"/>
      <c r="R667" s="30"/>
      <c r="S667" s="30"/>
      <c r="T667" s="30"/>
      <c r="U667" s="30"/>
      <c r="V667" s="30"/>
      <c r="W667" s="30"/>
    </row>
    <row r="668">
      <c r="A668" s="30"/>
      <c r="B668" s="30"/>
      <c r="C668" s="30"/>
      <c r="D668" s="30"/>
      <c r="E668" s="30"/>
      <c r="F668" s="30"/>
      <c r="G668" s="30"/>
      <c r="H668" s="30"/>
      <c r="I668" s="30"/>
      <c r="J668" s="30"/>
      <c r="K668" s="30"/>
      <c r="L668" s="30"/>
      <c r="M668" s="30"/>
      <c r="N668" s="30"/>
      <c r="O668" s="31"/>
      <c r="P668" s="30"/>
      <c r="Q668" s="30"/>
      <c r="R668" s="30"/>
      <c r="S668" s="30"/>
      <c r="T668" s="30"/>
      <c r="U668" s="30"/>
      <c r="V668" s="30"/>
      <c r="W668" s="30"/>
    </row>
    <row r="669">
      <c r="A669" s="30"/>
      <c r="B669" s="30"/>
      <c r="C669" s="30"/>
      <c r="D669" s="30"/>
      <c r="E669" s="30"/>
      <c r="F669" s="30"/>
      <c r="G669" s="30"/>
      <c r="H669" s="30"/>
      <c r="I669" s="30"/>
      <c r="J669" s="30"/>
      <c r="K669" s="30"/>
      <c r="L669" s="30"/>
      <c r="M669" s="30"/>
      <c r="N669" s="30"/>
      <c r="O669" s="31"/>
      <c r="P669" s="30"/>
      <c r="Q669" s="30"/>
      <c r="R669" s="30"/>
      <c r="S669" s="30"/>
      <c r="T669" s="30"/>
      <c r="U669" s="30"/>
      <c r="V669" s="30"/>
      <c r="W669" s="30"/>
    </row>
    <row r="670">
      <c r="A670" s="30"/>
      <c r="B670" s="30"/>
      <c r="C670" s="30"/>
      <c r="D670" s="30"/>
      <c r="E670" s="30"/>
      <c r="F670" s="30"/>
      <c r="G670" s="30"/>
      <c r="H670" s="30"/>
      <c r="I670" s="30"/>
      <c r="J670" s="30"/>
      <c r="K670" s="30"/>
      <c r="L670" s="30"/>
      <c r="M670" s="30"/>
      <c r="N670" s="30"/>
      <c r="O670" s="31"/>
      <c r="P670" s="30"/>
      <c r="Q670" s="30"/>
      <c r="R670" s="30"/>
      <c r="S670" s="30"/>
      <c r="T670" s="30"/>
      <c r="U670" s="30"/>
      <c r="V670" s="30"/>
      <c r="W670" s="30"/>
    </row>
    <row r="671">
      <c r="A671" s="30"/>
      <c r="B671" s="30"/>
      <c r="C671" s="30"/>
      <c r="D671" s="30"/>
      <c r="E671" s="30"/>
      <c r="F671" s="30"/>
      <c r="G671" s="30"/>
      <c r="H671" s="30"/>
      <c r="I671" s="30"/>
      <c r="J671" s="30"/>
      <c r="K671" s="30"/>
      <c r="L671" s="30"/>
      <c r="M671" s="30"/>
      <c r="N671" s="30"/>
      <c r="O671" s="31"/>
      <c r="P671" s="30"/>
      <c r="Q671" s="30"/>
      <c r="R671" s="30"/>
      <c r="S671" s="30"/>
      <c r="T671" s="30"/>
      <c r="U671" s="30"/>
      <c r="V671" s="30"/>
      <c r="W671" s="30"/>
    </row>
    <row r="672">
      <c r="A672" s="30"/>
      <c r="B672" s="30"/>
      <c r="C672" s="30"/>
      <c r="D672" s="30"/>
      <c r="E672" s="30"/>
      <c r="F672" s="30"/>
      <c r="G672" s="30"/>
      <c r="H672" s="30"/>
      <c r="I672" s="30"/>
      <c r="J672" s="30"/>
      <c r="K672" s="30"/>
      <c r="L672" s="30"/>
      <c r="M672" s="30"/>
      <c r="N672" s="30"/>
      <c r="O672" s="31"/>
      <c r="P672" s="30"/>
      <c r="Q672" s="30"/>
      <c r="R672" s="30"/>
      <c r="S672" s="30"/>
      <c r="T672" s="30"/>
      <c r="U672" s="30"/>
      <c r="V672" s="30"/>
      <c r="W672" s="30"/>
    </row>
    <row r="673">
      <c r="A673" s="30"/>
      <c r="B673" s="30"/>
      <c r="C673" s="30"/>
      <c r="D673" s="30"/>
      <c r="E673" s="30"/>
      <c r="F673" s="30"/>
      <c r="G673" s="30"/>
      <c r="H673" s="30"/>
      <c r="I673" s="30"/>
      <c r="J673" s="30"/>
      <c r="K673" s="30"/>
      <c r="L673" s="30"/>
      <c r="M673" s="30"/>
      <c r="N673" s="30"/>
      <c r="O673" s="31"/>
      <c r="P673" s="30"/>
      <c r="Q673" s="30"/>
      <c r="R673" s="30"/>
      <c r="S673" s="30"/>
      <c r="T673" s="30"/>
      <c r="U673" s="30"/>
      <c r="V673" s="30"/>
      <c r="W673" s="30"/>
    </row>
    <row r="674">
      <c r="A674" s="30"/>
      <c r="B674" s="30"/>
      <c r="C674" s="30"/>
      <c r="D674" s="30"/>
      <c r="E674" s="30"/>
      <c r="F674" s="30"/>
      <c r="G674" s="30"/>
      <c r="H674" s="30"/>
      <c r="I674" s="30"/>
      <c r="J674" s="30"/>
      <c r="K674" s="30"/>
      <c r="L674" s="30"/>
      <c r="M674" s="30"/>
      <c r="N674" s="30"/>
      <c r="O674" s="31"/>
      <c r="P674" s="30"/>
      <c r="Q674" s="30"/>
      <c r="R674" s="30"/>
      <c r="S674" s="30"/>
      <c r="T674" s="30"/>
      <c r="U674" s="30"/>
      <c r="V674" s="30"/>
      <c r="W674" s="30"/>
    </row>
    <row r="675">
      <c r="A675" s="30"/>
      <c r="B675" s="30"/>
      <c r="C675" s="30"/>
      <c r="D675" s="30"/>
      <c r="E675" s="30"/>
      <c r="F675" s="30"/>
      <c r="G675" s="30"/>
      <c r="H675" s="30"/>
      <c r="I675" s="30"/>
      <c r="J675" s="30"/>
      <c r="K675" s="30"/>
      <c r="L675" s="30"/>
      <c r="M675" s="30"/>
      <c r="N675" s="30"/>
      <c r="O675" s="31"/>
      <c r="P675" s="30"/>
      <c r="Q675" s="30"/>
      <c r="R675" s="30"/>
      <c r="S675" s="30"/>
      <c r="T675" s="30"/>
      <c r="U675" s="30"/>
      <c r="V675" s="30"/>
      <c r="W675" s="30"/>
    </row>
    <row r="676">
      <c r="A676" s="30"/>
      <c r="B676" s="30"/>
      <c r="C676" s="30"/>
      <c r="D676" s="30"/>
      <c r="E676" s="30"/>
      <c r="F676" s="30"/>
      <c r="G676" s="30"/>
      <c r="H676" s="30"/>
      <c r="I676" s="30"/>
      <c r="J676" s="30"/>
      <c r="K676" s="30"/>
      <c r="L676" s="30"/>
      <c r="M676" s="30"/>
      <c r="N676" s="30"/>
      <c r="O676" s="31"/>
      <c r="P676" s="30"/>
      <c r="Q676" s="30"/>
      <c r="R676" s="30"/>
      <c r="S676" s="30"/>
      <c r="T676" s="30"/>
      <c r="U676" s="30"/>
      <c r="V676" s="30"/>
      <c r="W676" s="30"/>
    </row>
    <row r="677">
      <c r="A677" s="30"/>
      <c r="B677" s="30"/>
      <c r="C677" s="30"/>
      <c r="D677" s="30"/>
      <c r="E677" s="30"/>
      <c r="F677" s="30"/>
      <c r="G677" s="30"/>
      <c r="H677" s="30"/>
      <c r="I677" s="30"/>
      <c r="J677" s="30"/>
      <c r="K677" s="30"/>
      <c r="L677" s="30"/>
      <c r="M677" s="30"/>
      <c r="N677" s="30"/>
      <c r="O677" s="31"/>
      <c r="P677" s="30"/>
      <c r="Q677" s="30"/>
      <c r="R677" s="30"/>
      <c r="S677" s="30"/>
      <c r="T677" s="30"/>
      <c r="U677" s="30"/>
      <c r="V677" s="30"/>
      <c r="W677" s="30"/>
    </row>
    <row r="678">
      <c r="A678" s="30"/>
      <c r="B678" s="30"/>
      <c r="C678" s="30"/>
      <c r="D678" s="30"/>
      <c r="E678" s="30"/>
      <c r="F678" s="30"/>
      <c r="G678" s="30"/>
      <c r="H678" s="30"/>
      <c r="I678" s="30"/>
      <c r="J678" s="30"/>
      <c r="K678" s="30"/>
      <c r="L678" s="30"/>
      <c r="M678" s="30"/>
      <c r="N678" s="30"/>
      <c r="O678" s="31"/>
      <c r="P678" s="30"/>
      <c r="Q678" s="30"/>
      <c r="R678" s="30"/>
      <c r="S678" s="30"/>
      <c r="T678" s="30"/>
      <c r="U678" s="30"/>
      <c r="V678" s="30"/>
      <c r="W678" s="30"/>
    </row>
    <row r="679">
      <c r="A679" s="30"/>
      <c r="B679" s="30"/>
      <c r="C679" s="30"/>
      <c r="D679" s="30"/>
      <c r="E679" s="30"/>
      <c r="F679" s="30"/>
      <c r="G679" s="30"/>
      <c r="H679" s="30"/>
      <c r="I679" s="30"/>
      <c r="J679" s="30"/>
      <c r="K679" s="30"/>
      <c r="L679" s="30"/>
      <c r="M679" s="30"/>
      <c r="N679" s="30"/>
      <c r="O679" s="31"/>
      <c r="P679" s="30"/>
      <c r="Q679" s="30"/>
      <c r="R679" s="30"/>
      <c r="S679" s="30"/>
      <c r="T679" s="30"/>
      <c r="U679" s="30"/>
      <c r="V679" s="30"/>
      <c r="W679" s="30"/>
    </row>
    <row r="680">
      <c r="A680" s="30"/>
      <c r="B680" s="30"/>
      <c r="C680" s="30"/>
      <c r="D680" s="30"/>
      <c r="E680" s="30"/>
      <c r="F680" s="30"/>
      <c r="G680" s="30"/>
      <c r="H680" s="30"/>
      <c r="I680" s="30"/>
      <c r="J680" s="30"/>
      <c r="K680" s="30"/>
      <c r="L680" s="30"/>
      <c r="M680" s="30"/>
      <c r="N680" s="30"/>
      <c r="O680" s="31"/>
      <c r="P680" s="30"/>
      <c r="Q680" s="30"/>
      <c r="R680" s="30"/>
      <c r="S680" s="30"/>
      <c r="T680" s="30"/>
      <c r="U680" s="30"/>
      <c r="V680" s="30"/>
      <c r="W680" s="30"/>
    </row>
    <row r="681">
      <c r="A681" s="30"/>
      <c r="B681" s="30"/>
      <c r="C681" s="30"/>
      <c r="D681" s="30"/>
      <c r="E681" s="30"/>
      <c r="F681" s="30"/>
      <c r="G681" s="30"/>
      <c r="H681" s="30"/>
      <c r="I681" s="30"/>
      <c r="J681" s="30"/>
      <c r="K681" s="30"/>
      <c r="L681" s="30"/>
      <c r="M681" s="30"/>
      <c r="N681" s="30"/>
      <c r="O681" s="31"/>
      <c r="P681" s="30"/>
      <c r="Q681" s="30"/>
      <c r="R681" s="30"/>
      <c r="S681" s="30"/>
      <c r="T681" s="30"/>
      <c r="U681" s="30"/>
      <c r="V681" s="30"/>
      <c r="W681" s="30"/>
    </row>
    <row r="682">
      <c r="A682" s="30"/>
      <c r="B682" s="30"/>
      <c r="C682" s="30"/>
      <c r="D682" s="30"/>
      <c r="E682" s="30"/>
      <c r="F682" s="30"/>
      <c r="G682" s="30"/>
      <c r="H682" s="30"/>
      <c r="I682" s="30"/>
      <c r="J682" s="30"/>
      <c r="K682" s="30"/>
      <c r="L682" s="30"/>
      <c r="M682" s="30"/>
      <c r="N682" s="30"/>
      <c r="O682" s="31"/>
      <c r="P682" s="30"/>
      <c r="Q682" s="30"/>
      <c r="R682" s="30"/>
      <c r="S682" s="30"/>
      <c r="T682" s="30"/>
      <c r="U682" s="30"/>
      <c r="V682" s="30"/>
      <c r="W682" s="30"/>
    </row>
    <row r="683">
      <c r="A683" s="30"/>
      <c r="B683" s="30"/>
      <c r="C683" s="30"/>
      <c r="D683" s="30"/>
      <c r="E683" s="30"/>
      <c r="F683" s="30"/>
      <c r="G683" s="30"/>
      <c r="H683" s="30"/>
      <c r="I683" s="30"/>
      <c r="J683" s="30"/>
      <c r="K683" s="30"/>
      <c r="L683" s="30"/>
      <c r="M683" s="30"/>
      <c r="N683" s="30"/>
      <c r="O683" s="31"/>
      <c r="P683" s="30"/>
      <c r="Q683" s="30"/>
      <c r="R683" s="30"/>
      <c r="S683" s="30"/>
      <c r="T683" s="30"/>
      <c r="U683" s="30"/>
      <c r="V683" s="30"/>
      <c r="W683" s="30"/>
    </row>
    <row r="684">
      <c r="A684" s="30"/>
      <c r="B684" s="30"/>
      <c r="C684" s="30"/>
      <c r="D684" s="30"/>
      <c r="E684" s="30"/>
      <c r="F684" s="30"/>
      <c r="G684" s="30"/>
      <c r="H684" s="30"/>
      <c r="I684" s="30"/>
      <c r="J684" s="30"/>
      <c r="K684" s="30"/>
      <c r="L684" s="30"/>
      <c r="M684" s="30"/>
      <c r="N684" s="30"/>
      <c r="O684" s="31"/>
      <c r="P684" s="30"/>
      <c r="Q684" s="30"/>
      <c r="R684" s="30"/>
      <c r="S684" s="30"/>
      <c r="T684" s="30"/>
      <c r="U684" s="30"/>
      <c r="V684" s="30"/>
      <c r="W684" s="30"/>
    </row>
    <row r="685">
      <c r="A685" s="30"/>
      <c r="B685" s="30"/>
      <c r="C685" s="30"/>
      <c r="D685" s="30"/>
      <c r="E685" s="30"/>
      <c r="F685" s="30"/>
      <c r="G685" s="30"/>
      <c r="H685" s="30"/>
      <c r="I685" s="30"/>
      <c r="J685" s="30"/>
      <c r="K685" s="30"/>
      <c r="L685" s="30"/>
      <c r="M685" s="30"/>
      <c r="N685" s="30"/>
      <c r="O685" s="31"/>
      <c r="P685" s="30"/>
      <c r="Q685" s="30"/>
      <c r="R685" s="30"/>
      <c r="S685" s="30"/>
      <c r="T685" s="30"/>
      <c r="U685" s="30"/>
      <c r="V685" s="30"/>
      <c r="W685" s="30"/>
    </row>
    <row r="686">
      <c r="A686" s="30"/>
      <c r="B686" s="30"/>
      <c r="C686" s="30"/>
      <c r="D686" s="30"/>
      <c r="E686" s="30"/>
      <c r="F686" s="30"/>
      <c r="G686" s="30"/>
      <c r="H686" s="30"/>
      <c r="I686" s="30"/>
      <c r="J686" s="30"/>
      <c r="K686" s="30"/>
      <c r="L686" s="30"/>
      <c r="M686" s="30"/>
      <c r="N686" s="30"/>
      <c r="O686" s="31"/>
      <c r="P686" s="30"/>
      <c r="Q686" s="30"/>
      <c r="R686" s="30"/>
      <c r="S686" s="30"/>
      <c r="T686" s="30"/>
      <c r="U686" s="30"/>
      <c r="V686" s="30"/>
      <c r="W686" s="30"/>
    </row>
    <row r="687">
      <c r="A687" s="30"/>
      <c r="B687" s="30"/>
      <c r="C687" s="30"/>
      <c r="D687" s="30"/>
      <c r="E687" s="30"/>
      <c r="F687" s="30"/>
      <c r="G687" s="30"/>
      <c r="H687" s="30"/>
      <c r="I687" s="30"/>
      <c r="J687" s="30"/>
      <c r="K687" s="30"/>
      <c r="L687" s="30"/>
      <c r="M687" s="30"/>
      <c r="N687" s="30"/>
      <c r="O687" s="31"/>
      <c r="P687" s="30"/>
      <c r="Q687" s="30"/>
      <c r="R687" s="30"/>
      <c r="S687" s="30"/>
      <c r="T687" s="30"/>
      <c r="U687" s="30"/>
      <c r="V687" s="30"/>
      <c r="W687" s="30"/>
    </row>
    <row r="688">
      <c r="A688" s="30"/>
      <c r="B688" s="30"/>
      <c r="C688" s="30"/>
      <c r="D688" s="30"/>
      <c r="E688" s="30"/>
      <c r="F688" s="30"/>
      <c r="G688" s="30"/>
      <c r="H688" s="30"/>
      <c r="I688" s="30"/>
      <c r="J688" s="30"/>
      <c r="K688" s="30"/>
      <c r="L688" s="30"/>
      <c r="M688" s="30"/>
      <c r="N688" s="30"/>
      <c r="O688" s="31"/>
      <c r="P688" s="30"/>
      <c r="Q688" s="30"/>
      <c r="R688" s="30"/>
      <c r="S688" s="30"/>
      <c r="T688" s="30"/>
      <c r="U688" s="30"/>
      <c r="V688" s="30"/>
      <c r="W688" s="30"/>
    </row>
    <row r="689">
      <c r="A689" s="30"/>
      <c r="B689" s="30"/>
      <c r="C689" s="30"/>
      <c r="D689" s="30"/>
      <c r="E689" s="30"/>
      <c r="F689" s="30"/>
      <c r="G689" s="30"/>
      <c r="H689" s="30"/>
      <c r="I689" s="30"/>
      <c r="J689" s="30"/>
      <c r="K689" s="30"/>
      <c r="L689" s="30"/>
      <c r="M689" s="30"/>
      <c r="N689" s="30"/>
      <c r="O689" s="31"/>
      <c r="P689" s="30"/>
      <c r="Q689" s="30"/>
      <c r="R689" s="30"/>
      <c r="S689" s="30"/>
      <c r="T689" s="30"/>
      <c r="U689" s="30"/>
      <c r="V689" s="30"/>
      <c r="W689" s="30"/>
    </row>
    <row r="690">
      <c r="A690" s="30"/>
      <c r="B690" s="30"/>
      <c r="C690" s="30"/>
      <c r="D690" s="30"/>
      <c r="E690" s="30"/>
      <c r="F690" s="30"/>
      <c r="G690" s="30"/>
      <c r="H690" s="30"/>
      <c r="I690" s="30"/>
      <c r="J690" s="30"/>
      <c r="K690" s="30"/>
      <c r="L690" s="30"/>
      <c r="M690" s="30"/>
      <c r="N690" s="30"/>
      <c r="O690" s="31"/>
      <c r="P690" s="30"/>
      <c r="Q690" s="30"/>
      <c r="R690" s="30"/>
      <c r="S690" s="30"/>
      <c r="T690" s="30"/>
      <c r="U690" s="30"/>
      <c r="V690" s="30"/>
      <c r="W690" s="30"/>
    </row>
    <row r="691">
      <c r="A691" s="30"/>
      <c r="B691" s="30"/>
      <c r="C691" s="30"/>
      <c r="D691" s="30"/>
      <c r="E691" s="30"/>
      <c r="F691" s="30"/>
      <c r="G691" s="30"/>
      <c r="H691" s="30"/>
      <c r="I691" s="30"/>
      <c r="J691" s="30"/>
      <c r="K691" s="30"/>
      <c r="L691" s="30"/>
      <c r="M691" s="30"/>
      <c r="N691" s="30"/>
      <c r="O691" s="31"/>
      <c r="P691" s="30"/>
      <c r="Q691" s="30"/>
      <c r="R691" s="30"/>
      <c r="S691" s="30"/>
      <c r="T691" s="30"/>
      <c r="U691" s="30"/>
      <c r="V691" s="30"/>
      <c r="W691" s="30"/>
    </row>
    <row r="692">
      <c r="A692" s="30"/>
      <c r="B692" s="30"/>
      <c r="C692" s="30"/>
      <c r="D692" s="30"/>
      <c r="E692" s="30"/>
      <c r="F692" s="30"/>
      <c r="G692" s="30"/>
      <c r="H692" s="30"/>
      <c r="I692" s="30"/>
      <c r="J692" s="30"/>
      <c r="K692" s="30"/>
      <c r="L692" s="30"/>
      <c r="M692" s="30"/>
      <c r="N692" s="30"/>
      <c r="O692" s="31"/>
      <c r="P692" s="30"/>
      <c r="Q692" s="30"/>
      <c r="R692" s="30"/>
      <c r="S692" s="30"/>
      <c r="T692" s="30"/>
      <c r="U692" s="30"/>
      <c r="V692" s="30"/>
      <c r="W692" s="30"/>
    </row>
    <row r="693">
      <c r="A693" s="30"/>
      <c r="B693" s="30"/>
      <c r="C693" s="30"/>
      <c r="D693" s="30"/>
      <c r="E693" s="30"/>
      <c r="F693" s="30"/>
      <c r="G693" s="30"/>
      <c r="H693" s="30"/>
      <c r="I693" s="30"/>
      <c r="J693" s="30"/>
      <c r="K693" s="30"/>
      <c r="L693" s="30"/>
      <c r="M693" s="30"/>
      <c r="N693" s="30"/>
      <c r="O693" s="31"/>
      <c r="P693" s="30"/>
      <c r="Q693" s="30"/>
      <c r="R693" s="30"/>
      <c r="S693" s="30"/>
      <c r="T693" s="30"/>
      <c r="U693" s="30"/>
      <c r="V693" s="30"/>
      <c r="W693" s="30"/>
    </row>
    <row r="694">
      <c r="A694" s="30"/>
      <c r="B694" s="30"/>
      <c r="C694" s="30"/>
      <c r="D694" s="30"/>
      <c r="E694" s="30"/>
      <c r="F694" s="30"/>
      <c r="G694" s="30"/>
      <c r="H694" s="30"/>
      <c r="I694" s="30"/>
      <c r="J694" s="30"/>
      <c r="K694" s="30"/>
      <c r="L694" s="30"/>
      <c r="M694" s="30"/>
      <c r="N694" s="30"/>
      <c r="O694" s="31"/>
      <c r="P694" s="30"/>
      <c r="Q694" s="30"/>
      <c r="R694" s="30"/>
      <c r="S694" s="30"/>
      <c r="T694" s="30"/>
      <c r="U694" s="30"/>
      <c r="V694" s="30"/>
      <c r="W694" s="30"/>
    </row>
    <row r="695">
      <c r="A695" s="30"/>
      <c r="B695" s="30"/>
      <c r="C695" s="30"/>
      <c r="D695" s="30"/>
      <c r="E695" s="30"/>
      <c r="F695" s="30"/>
      <c r="G695" s="30"/>
      <c r="H695" s="30"/>
      <c r="I695" s="30"/>
      <c r="J695" s="30"/>
      <c r="K695" s="30"/>
      <c r="L695" s="30"/>
      <c r="M695" s="30"/>
      <c r="N695" s="30"/>
      <c r="O695" s="31"/>
      <c r="P695" s="30"/>
      <c r="Q695" s="30"/>
      <c r="R695" s="30"/>
      <c r="S695" s="30"/>
      <c r="T695" s="30"/>
      <c r="U695" s="30"/>
      <c r="V695" s="30"/>
      <c r="W695" s="30"/>
    </row>
    <row r="696">
      <c r="A696" s="30"/>
      <c r="B696" s="30"/>
      <c r="C696" s="30"/>
      <c r="D696" s="30"/>
      <c r="E696" s="30"/>
      <c r="F696" s="30"/>
      <c r="G696" s="30"/>
      <c r="H696" s="30"/>
      <c r="I696" s="30"/>
      <c r="J696" s="30"/>
      <c r="K696" s="30"/>
      <c r="L696" s="30"/>
      <c r="M696" s="30"/>
      <c r="N696" s="30"/>
      <c r="O696" s="31"/>
      <c r="P696" s="30"/>
      <c r="Q696" s="30"/>
      <c r="R696" s="30"/>
      <c r="S696" s="30"/>
      <c r="T696" s="30"/>
      <c r="U696" s="30"/>
      <c r="V696" s="30"/>
      <c r="W696" s="30"/>
    </row>
    <row r="697">
      <c r="A697" s="30"/>
      <c r="B697" s="30"/>
      <c r="C697" s="30"/>
      <c r="D697" s="30"/>
      <c r="E697" s="30"/>
      <c r="F697" s="30"/>
      <c r="G697" s="30"/>
      <c r="H697" s="30"/>
      <c r="I697" s="30"/>
      <c r="J697" s="30"/>
      <c r="K697" s="30"/>
      <c r="L697" s="30"/>
      <c r="M697" s="30"/>
      <c r="N697" s="30"/>
      <c r="O697" s="31"/>
      <c r="P697" s="30"/>
      <c r="Q697" s="30"/>
      <c r="R697" s="30"/>
      <c r="S697" s="30"/>
      <c r="T697" s="30"/>
      <c r="U697" s="30"/>
      <c r="V697" s="30"/>
      <c r="W697" s="30"/>
    </row>
    <row r="698">
      <c r="A698" s="30"/>
      <c r="B698" s="30"/>
      <c r="C698" s="30"/>
      <c r="D698" s="30"/>
      <c r="E698" s="30"/>
      <c r="F698" s="30"/>
      <c r="G698" s="30"/>
      <c r="H698" s="30"/>
      <c r="I698" s="30"/>
      <c r="J698" s="30"/>
      <c r="K698" s="30"/>
      <c r="L698" s="30"/>
      <c r="M698" s="30"/>
      <c r="N698" s="30"/>
      <c r="O698" s="31"/>
      <c r="P698" s="30"/>
      <c r="Q698" s="30"/>
      <c r="R698" s="30"/>
      <c r="S698" s="30"/>
      <c r="T698" s="30"/>
      <c r="U698" s="30"/>
      <c r="V698" s="30"/>
      <c r="W698" s="30"/>
    </row>
    <row r="699">
      <c r="A699" s="30"/>
      <c r="B699" s="30"/>
      <c r="C699" s="30"/>
      <c r="D699" s="30"/>
      <c r="E699" s="30"/>
      <c r="F699" s="30"/>
      <c r="G699" s="30"/>
      <c r="H699" s="30"/>
      <c r="I699" s="30"/>
      <c r="J699" s="30"/>
      <c r="K699" s="30"/>
      <c r="L699" s="30"/>
      <c r="M699" s="30"/>
      <c r="N699" s="30"/>
      <c r="O699" s="35"/>
      <c r="P699" s="30"/>
      <c r="Q699" s="30"/>
      <c r="R699" s="30"/>
      <c r="S699" s="30"/>
      <c r="T699" s="30"/>
      <c r="U699" s="30"/>
      <c r="V699" s="30"/>
      <c r="W699" s="30"/>
    </row>
    <row r="700">
      <c r="A700" s="30"/>
      <c r="B700" s="30"/>
      <c r="C700" s="30"/>
      <c r="D700" s="30"/>
      <c r="E700" s="30"/>
      <c r="F700" s="30"/>
      <c r="G700" s="30"/>
      <c r="H700" s="30"/>
      <c r="I700" s="30"/>
      <c r="J700" s="30"/>
      <c r="K700" s="30"/>
      <c r="L700" s="30"/>
      <c r="M700" s="30"/>
      <c r="N700" s="30"/>
      <c r="O700" s="31"/>
      <c r="P700" s="30"/>
      <c r="Q700" s="30"/>
      <c r="R700" s="30"/>
      <c r="S700" s="30"/>
      <c r="T700" s="30"/>
      <c r="U700" s="30"/>
      <c r="V700" s="30"/>
      <c r="W700" s="30"/>
    </row>
    <row r="701">
      <c r="A701" s="30"/>
      <c r="B701" s="30"/>
      <c r="C701" s="30"/>
      <c r="D701" s="30"/>
      <c r="E701" s="30"/>
      <c r="F701" s="30"/>
      <c r="G701" s="30"/>
      <c r="H701" s="30"/>
      <c r="I701" s="30"/>
      <c r="J701" s="30"/>
      <c r="K701" s="30"/>
      <c r="L701" s="30"/>
      <c r="M701" s="30"/>
      <c r="N701" s="30"/>
      <c r="O701" s="31"/>
      <c r="P701" s="30"/>
      <c r="Q701" s="30"/>
      <c r="R701" s="30"/>
      <c r="S701" s="30"/>
      <c r="T701" s="30"/>
      <c r="U701" s="30"/>
      <c r="V701" s="30"/>
      <c r="W701" s="30"/>
    </row>
    <row r="702">
      <c r="A702" s="30"/>
      <c r="B702" s="30"/>
      <c r="C702" s="30"/>
      <c r="D702" s="30"/>
      <c r="E702" s="30"/>
      <c r="F702" s="30"/>
      <c r="G702" s="30"/>
      <c r="H702" s="30"/>
      <c r="I702" s="30"/>
      <c r="J702" s="30"/>
      <c r="K702" s="30"/>
      <c r="L702" s="30"/>
      <c r="M702" s="30"/>
      <c r="N702" s="30"/>
      <c r="O702" s="31"/>
      <c r="P702" s="30"/>
      <c r="Q702" s="30"/>
      <c r="R702" s="30"/>
      <c r="S702" s="30"/>
      <c r="T702" s="30"/>
      <c r="U702" s="30"/>
      <c r="V702" s="30"/>
      <c r="W702" s="30"/>
    </row>
    <row r="703">
      <c r="A703" s="30"/>
      <c r="B703" s="30"/>
      <c r="C703" s="30"/>
      <c r="D703" s="30"/>
      <c r="E703" s="30"/>
      <c r="F703" s="30"/>
      <c r="G703" s="30"/>
      <c r="H703" s="30"/>
      <c r="I703" s="30"/>
      <c r="J703" s="30"/>
      <c r="K703" s="30"/>
      <c r="L703" s="30"/>
      <c r="M703" s="30"/>
      <c r="N703" s="30"/>
      <c r="O703" s="31"/>
      <c r="P703" s="30"/>
      <c r="Q703" s="30"/>
      <c r="R703" s="30"/>
      <c r="S703" s="30"/>
      <c r="T703" s="30"/>
      <c r="U703" s="30"/>
      <c r="V703" s="30"/>
      <c r="W703" s="30"/>
    </row>
    <row r="704">
      <c r="A704" s="30"/>
      <c r="B704" s="30"/>
      <c r="C704" s="30"/>
      <c r="D704" s="30"/>
      <c r="E704" s="30"/>
      <c r="F704" s="30"/>
      <c r="G704" s="30"/>
      <c r="H704" s="30"/>
      <c r="I704" s="30"/>
      <c r="J704" s="30"/>
      <c r="K704" s="30"/>
      <c r="L704" s="30"/>
      <c r="M704" s="30"/>
      <c r="N704" s="30"/>
      <c r="O704" s="31"/>
      <c r="P704" s="30"/>
      <c r="Q704" s="30"/>
      <c r="R704" s="30"/>
      <c r="S704" s="30"/>
      <c r="T704" s="30"/>
      <c r="U704" s="30"/>
      <c r="V704" s="30"/>
      <c r="W704" s="30"/>
    </row>
    <row r="705">
      <c r="A705" s="30"/>
      <c r="B705" s="30"/>
      <c r="C705" s="30"/>
      <c r="D705" s="30"/>
      <c r="E705" s="30"/>
      <c r="F705" s="30"/>
      <c r="G705" s="30"/>
      <c r="H705" s="30"/>
      <c r="I705" s="30"/>
      <c r="J705" s="30"/>
      <c r="K705" s="30"/>
      <c r="L705" s="30"/>
      <c r="M705" s="30"/>
      <c r="N705" s="30"/>
      <c r="O705" s="31"/>
      <c r="P705" s="30"/>
      <c r="Q705" s="30"/>
      <c r="R705" s="30"/>
      <c r="S705" s="30"/>
      <c r="T705" s="30"/>
      <c r="U705" s="30"/>
      <c r="V705" s="30"/>
      <c r="W705" s="30"/>
    </row>
    <row r="706">
      <c r="A706" s="30"/>
      <c r="B706" s="30"/>
      <c r="C706" s="30"/>
      <c r="D706" s="30"/>
      <c r="E706" s="30"/>
      <c r="F706" s="30"/>
      <c r="G706" s="30"/>
      <c r="H706" s="30"/>
      <c r="I706" s="30"/>
      <c r="J706" s="30"/>
      <c r="K706" s="30"/>
      <c r="L706" s="30"/>
      <c r="M706" s="30"/>
      <c r="N706" s="30"/>
      <c r="O706" s="31"/>
      <c r="P706" s="30"/>
      <c r="Q706" s="30"/>
      <c r="R706" s="30"/>
      <c r="S706" s="30"/>
      <c r="T706" s="30"/>
      <c r="U706" s="30"/>
      <c r="V706" s="30"/>
      <c r="W706" s="30"/>
    </row>
    <row r="707">
      <c r="A707" s="30"/>
      <c r="B707" s="30"/>
      <c r="C707" s="30"/>
      <c r="D707" s="30"/>
      <c r="E707" s="30"/>
      <c r="F707" s="30"/>
      <c r="G707" s="30"/>
      <c r="H707" s="30"/>
      <c r="I707" s="30"/>
      <c r="J707" s="30"/>
      <c r="K707" s="30"/>
      <c r="L707" s="30"/>
      <c r="M707" s="30"/>
      <c r="N707" s="30"/>
      <c r="O707" s="35"/>
      <c r="P707" s="30"/>
      <c r="Q707" s="30"/>
      <c r="R707" s="30"/>
      <c r="S707" s="30"/>
      <c r="T707" s="30"/>
      <c r="U707" s="30"/>
      <c r="V707" s="30"/>
      <c r="W707" s="30"/>
    </row>
    <row r="708">
      <c r="A708" s="30"/>
      <c r="B708" s="30"/>
      <c r="C708" s="30"/>
      <c r="D708" s="30"/>
      <c r="E708" s="30"/>
      <c r="F708" s="30"/>
      <c r="G708" s="30"/>
      <c r="H708" s="30"/>
      <c r="I708" s="30"/>
      <c r="J708" s="30"/>
      <c r="K708" s="30"/>
      <c r="L708" s="30"/>
      <c r="M708" s="30"/>
      <c r="N708" s="30"/>
      <c r="O708" s="31"/>
      <c r="P708" s="30"/>
      <c r="Q708" s="30"/>
      <c r="R708" s="30"/>
      <c r="S708" s="30"/>
      <c r="T708" s="30"/>
      <c r="U708" s="30"/>
      <c r="V708" s="30"/>
      <c r="W708" s="30"/>
    </row>
    <row r="709">
      <c r="A709" s="30"/>
      <c r="B709" s="30"/>
      <c r="C709" s="30"/>
      <c r="D709" s="30"/>
      <c r="E709" s="30"/>
      <c r="F709" s="30"/>
      <c r="G709" s="30"/>
      <c r="H709" s="30"/>
      <c r="I709" s="30"/>
      <c r="J709" s="30"/>
      <c r="K709" s="30"/>
      <c r="L709" s="30"/>
      <c r="M709" s="30"/>
      <c r="N709" s="30"/>
      <c r="O709" s="31"/>
      <c r="P709" s="30"/>
      <c r="Q709" s="30"/>
      <c r="R709" s="30"/>
      <c r="S709" s="30"/>
      <c r="T709" s="30"/>
      <c r="U709" s="30"/>
      <c r="V709" s="30"/>
      <c r="W709" s="30"/>
    </row>
    <row r="710">
      <c r="A710" s="30"/>
      <c r="B710" s="30"/>
      <c r="C710" s="30"/>
      <c r="D710" s="30"/>
      <c r="E710" s="30"/>
      <c r="F710" s="30"/>
      <c r="G710" s="30"/>
      <c r="H710" s="30"/>
      <c r="I710" s="30"/>
      <c r="J710" s="30"/>
      <c r="K710" s="30"/>
      <c r="L710" s="30"/>
      <c r="M710" s="30"/>
      <c r="N710" s="30"/>
      <c r="O710" s="31"/>
      <c r="P710" s="30"/>
      <c r="Q710" s="30"/>
      <c r="R710" s="30"/>
      <c r="S710" s="30"/>
      <c r="T710" s="30"/>
      <c r="U710" s="30"/>
      <c r="V710" s="30"/>
      <c r="W710" s="30"/>
    </row>
    <row r="711">
      <c r="A711" s="30"/>
      <c r="B711" s="30"/>
      <c r="C711" s="30"/>
      <c r="D711" s="30"/>
      <c r="E711" s="30"/>
      <c r="F711" s="30"/>
      <c r="G711" s="30"/>
      <c r="H711" s="30"/>
      <c r="I711" s="30"/>
      <c r="J711" s="30"/>
      <c r="K711" s="30"/>
      <c r="L711" s="30"/>
      <c r="M711" s="30"/>
      <c r="N711" s="30"/>
      <c r="O711" s="31"/>
      <c r="P711" s="30"/>
      <c r="Q711" s="30"/>
      <c r="R711" s="30"/>
      <c r="S711" s="30"/>
      <c r="T711" s="30"/>
      <c r="U711" s="30"/>
      <c r="V711" s="30"/>
      <c r="W711" s="30"/>
    </row>
    <row r="712">
      <c r="A712" s="30"/>
      <c r="B712" s="30"/>
      <c r="C712" s="30"/>
      <c r="D712" s="30"/>
      <c r="E712" s="30"/>
      <c r="F712" s="30"/>
      <c r="G712" s="30"/>
      <c r="H712" s="30"/>
      <c r="I712" s="30"/>
      <c r="J712" s="30"/>
      <c r="K712" s="30"/>
      <c r="L712" s="30"/>
      <c r="M712" s="30"/>
      <c r="N712" s="30"/>
      <c r="O712" s="31"/>
      <c r="P712" s="30"/>
      <c r="Q712" s="30"/>
      <c r="R712" s="30"/>
      <c r="S712" s="30"/>
      <c r="T712" s="30"/>
      <c r="U712" s="30"/>
      <c r="V712" s="30"/>
      <c r="W712" s="30"/>
    </row>
    <row r="713">
      <c r="A713" s="30"/>
      <c r="B713" s="30"/>
      <c r="C713" s="30"/>
      <c r="D713" s="30"/>
      <c r="E713" s="30"/>
      <c r="F713" s="30"/>
      <c r="G713" s="30"/>
      <c r="H713" s="30"/>
      <c r="I713" s="30"/>
      <c r="J713" s="30"/>
      <c r="K713" s="30"/>
      <c r="L713" s="30"/>
      <c r="M713" s="30"/>
      <c r="N713" s="30"/>
      <c r="O713" s="31"/>
      <c r="P713" s="30"/>
      <c r="Q713" s="30"/>
      <c r="R713" s="30"/>
      <c r="S713" s="30"/>
      <c r="T713" s="30"/>
      <c r="U713" s="30"/>
      <c r="V713" s="30"/>
      <c r="W713" s="30"/>
    </row>
    <row r="714">
      <c r="A714" s="30"/>
      <c r="B714" s="30"/>
      <c r="C714" s="30"/>
      <c r="D714" s="30"/>
      <c r="E714" s="30"/>
      <c r="F714" s="30"/>
      <c r="G714" s="30"/>
      <c r="H714" s="30"/>
      <c r="I714" s="30"/>
      <c r="J714" s="30"/>
      <c r="K714" s="30"/>
      <c r="L714" s="30"/>
      <c r="M714" s="30"/>
      <c r="N714" s="30"/>
      <c r="O714" s="31"/>
      <c r="P714" s="30"/>
      <c r="Q714" s="30"/>
      <c r="R714" s="30"/>
      <c r="S714" s="30"/>
      <c r="T714" s="30"/>
      <c r="U714" s="30"/>
      <c r="V714" s="30"/>
      <c r="W714" s="30"/>
    </row>
    <row r="715">
      <c r="A715" s="30"/>
      <c r="B715" s="30"/>
      <c r="C715" s="30"/>
      <c r="D715" s="30"/>
      <c r="E715" s="30"/>
      <c r="F715" s="30"/>
      <c r="G715" s="30"/>
      <c r="H715" s="30"/>
      <c r="I715" s="30"/>
      <c r="J715" s="30"/>
      <c r="K715" s="30"/>
      <c r="L715" s="30"/>
      <c r="M715" s="30"/>
      <c r="N715" s="30"/>
      <c r="O715" s="31"/>
      <c r="P715" s="30"/>
      <c r="Q715" s="30"/>
      <c r="R715" s="30"/>
      <c r="S715" s="30"/>
      <c r="T715" s="30"/>
      <c r="U715" s="30"/>
      <c r="V715" s="30"/>
      <c r="W715" s="30"/>
    </row>
    <row r="716">
      <c r="A716" s="30"/>
      <c r="B716" s="30"/>
      <c r="C716" s="30"/>
      <c r="D716" s="30"/>
      <c r="E716" s="30"/>
      <c r="F716" s="30"/>
      <c r="G716" s="30"/>
      <c r="H716" s="30"/>
      <c r="I716" s="30"/>
      <c r="J716" s="30"/>
      <c r="K716" s="30"/>
      <c r="L716" s="30"/>
      <c r="M716" s="30"/>
      <c r="N716" s="30"/>
      <c r="O716" s="31"/>
      <c r="P716" s="30"/>
      <c r="Q716" s="30"/>
      <c r="R716" s="30"/>
      <c r="S716" s="30"/>
      <c r="T716" s="30"/>
      <c r="U716" s="30"/>
      <c r="V716" s="30"/>
      <c r="W716" s="30"/>
    </row>
    <row r="717">
      <c r="A717" s="30"/>
      <c r="B717" s="30"/>
      <c r="C717" s="30"/>
      <c r="D717" s="30"/>
      <c r="E717" s="30"/>
      <c r="F717" s="30"/>
      <c r="G717" s="30"/>
      <c r="H717" s="30"/>
      <c r="I717" s="30"/>
      <c r="J717" s="30"/>
      <c r="K717" s="30"/>
      <c r="L717" s="30"/>
      <c r="M717" s="30"/>
      <c r="N717" s="30"/>
      <c r="O717" s="31"/>
      <c r="P717" s="30"/>
      <c r="Q717" s="30"/>
      <c r="R717" s="30"/>
      <c r="S717" s="30"/>
      <c r="T717" s="30"/>
      <c r="U717" s="30"/>
      <c r="V717" s="30"/>
      <c r="W717" s="30"/>
    </row>
    <row r="718">
      <c r="A718" s="30"/>
      <c r="B718" s="30"/>
      <c r="C718" s="30"/>
      <c r="D718" s="30"/>
      <c r="E718" s="30"/>
      <c r="F718" s="30"/>
      <c r="G718" s="30"/>
      <c r="H718" s="30"/>
      <c r="I718" s="30"/>
      <c r="J718" s="30"/>
      <c r="K718" s="30"/>
      <c r="L718" s="30"/>
      <c r="M718" s="30"/>
      <c r="N718" s="30"/>
      <c r="O718" s="31"/>
      <c r="P718" s="30"/>
      <c r="Q718" s="30"/>
      <c r="R718" s="30"/>
      <c r="S718" s="30"/>
      <c r="T718" s="30"/>
      <c r="U718" s="30"/>
      <c r="V718" s="30"/>
      <c r="W718" s="30"/>
    </row>
    <row r="719">
      <c r="A719" s="30"/>
      <c r="B719" s="30"/>
      <c r="C719" s="30"/>
      <c r="D719" s="30"/>
      <c r="E719" s="30"/>
      <c r="F719" s="30"/>
      <c r="G719" s="30"/>
      <c r="H719" s="30"/>
      <c r="I719" s="30"/>
      <c r="J719" s="30"/>
      <c r="K719" s="30"/>
      <c r="L719" s="30"/>
      <c r="M719" s="30"/>
      <c r="N719" s="30"/>
      <c r="O719" s="31"/>
      <c r="P719" s="30"/>
      <c r="Q719" s="30"/>
      <c r="R719" s="30"/>
      <c r="S719" s="30"/>
      <c r="T719" s="30"/>
      <c r="U719" s="30"/>
      <c r="V719" s="30"/>
      <c r="W719" s="30"/>
    </row>
    <row r="720">
      <c r="A720" s="30"/>
      <c r="B720" s="30"/>
      <c r="C720" s="30"/>
      <c r="D720" s="30"/>
      <c r="E720" s="30"/>
      <c r="F720" s="30"/>
      <c r="G720" s="30"/>
      <c r="H720" s="30"/>
      <c r="I720" s="30"/>
      <c r="J720" s="30"/>
      <c r="K720" s="30"/>
      <c r="L720" s="30"/>
      <c r="M720" s="30"/>
      <c r="N720" s="30"/>
      <c r="O720" s="31"/>
      <c r="P720" s="30"/>
      <c r="Q720" s="30"/>
      <c r="R720" s="30"/>
      <c r="S720" s="30"/>
      <c r="T720" s="30"/>
      <c r="U720" s="30"/>
      <c r="V720" s="30"/>
      <c r="W720" s="30"/>
    </row>
    <row r="721">
      <c r="A721" s="30"/>
      <c r="B721" s="30"/>
      <c r="C721" s="30"/>
      <c r="D721" s="30"/>
      <c r="E721" s="30"/>
      <c r="F721" s="30"/>
      <c r="G721" s="30"/>
      <c r="H721" s="30"/>
      <c r="I721" s="30"/>
      <c r="J721" s="30"/>
      <c r="K721" s="30"/>
      <c r="L721" s="30"/>
      <c r="M721" s="30"/>
      <c r="N721" s="30"/>
      <c r="O721" s="31"/>
      <c r="P721" s="30"/>
      <c r="Q721" s="30"/>
      <c r="R721" s="30"/>
      <c r="S721" s="30"/>
      <c r="T721" s="30"/>
      <c r="U721" s="30"/>
      <c r="V721" s="30"/>
      <c r="W721" s="30"/>
    </row>
    <row r="722">
      <c r="A722" s="30"/>
      <c r="B722" s="30"/>
      <c r="C722" s="30"/>
      <c r="D722" s="30"/>
      <c r="E722" s="30"/>
      <c r="F722" s="30"/>
      <c r="G722" s="30"/>
      <c r="H722" s="30"/>
      <c r="I722" s="30"/>
      <c r="J722" s="30"/>
      <c r="K722" s="30"/>
      <c r="L722" s="30"/>
      <c r="M722" s="30"/>
      <c r="N722" s="30"/>
      <c r="O722" s="31"/>
      <c r="P722" s="30"/>
      <c r="Q722" s="30"/>
      <c r="R722" s="30"/>
      <c r="S722" s="30"/>
      <c r="T722" s="30"/>
      <c r="U722" s="30"/>
      <c r="V722" s="30"/>
      <c r="W722" s="30"/>
    </row>
    <row r="723">
      <c r="A723" s="30"/>
      <c r="B723" s="30"/>
      <c r="C723" s="30"/>
      <c r="D723" s="30"/>
      <c r="E723" s="30"/>
      <c r="F723" s="30"/>
      <c r="G723" s="30"/>
      <c r="H723" s="30"/>
      <c r="I723" s="30"/>
      <c r="J723" s="30"/>
      <c r="K723" s="30"/>
      <c r="L723" s="30"/>
      <c r="M723" s="30"/>
      <c r="N723" s="30"/>
      <c r="O723" s="31"/>
      <c r="P723" s="30"/>
      <c r="Q723" s="30"/>
      <c r="R723" s="30"/>
      <c r="S723" s="30"/>
      <c r="T723" s="30"/>
      <c r="U723" s="30"/>
      <c r="V723" s="30"/>
      <c r="W723" s="30"/>
    </row>
    <row r="724">
      <c r="A724" s="30"/>
      <c r="B724" s="30"/>
      <c r="C724" s="30"/>
      <c r="D724" s="30"/>
      <c r="E724" s="30"/>
      <c r="F724" s="30"/>
      <c r="G724" s="30"/>
      <c r="H724" s="30"/>
      <c r="I724" s="30"/>
      <c r="J724" s="30"/>
      <c r="K724" s="30"/>
      <c r="L724" s="30"/>
      <c r="M724" s="30"/>
      <c r="N724" s="30"/>
      <c r="O724" s="31"/>
      <c r="P724" s="30"/>
      <c r="Q724" s="30"/>
      <c r="R724" s="30"/>
      <c r="S724" s="30"/>
      <c r="T724" s="30"/>
      <c r="U724" s="30"/>
      <c r="V724" s="30"/>
      <c r="W724" s="30"/>
    </row>
    <row r="725">
      <c r="A725" s="30"/>
      <c r="B725" s="30"/>
      <c r="C725" s="30"/>
      <c r="D725" s="30"/>
      <c r="E725" s="30"/>
      <c r="F725" s="30"/>
      <c r="G725" s="30"/>
      <c r="H725" s="30"/>
      <c r="I725" s="30"/>
      <c r="J725" s="30"/>
      <c r="K725" s="30"/>
      <c r="L725" s="30"/>
      <c r="M725" s="30"/>
      <c r="N725" s="30"/>
      <c r="O725" s="31"/>
      <c r="P725" s="30"/>
      <c r="Q725" s="30"/>
      <c r="R725" s="30"/>
      <c r="S725" s="30"/>
      <c r="T725" s="30"/>
      <c r="U725" s="30"/>
      <c r="V725" s="30"/>
      <c r="W725" s="30"/>
    </row>
    <row r="726">
      <c r="A726" s="30"/>
      <c r="B726" s="30"/>
      <c r="C726" s="30"/>
      <c r="D726" s="30"/>
      <c r="E726" s="30"/>
      <c r="F726" s="30"/>
      <c r="G726" s="30"/>
      <c r="H726" s="30"/>
      <c r="I726" s="30"/>
      <c r="J726" s="30"/>
      <c r="K726" s="30"/>
      <c r="L726" s="30"/>
      <c r="M726" s="30"/>
      <c r="N726" s="30"/>
      <c r="O726" s="31"/>
      <c r="P726" s="30"/>
      <c r="Q726" s="30"/>
      <c r="R726" s="30"/>
      <c r="S726" s="30"/>
      <c r="T726" s="30"/>
      <c r="U726" s="30"/>
      <c r="V726" s="30"/>
      <c r="W726" s="30"/>
    </row>
    <row r="727">
      <c r="A727" s="30"/>
      <c r="B727" s="30"/>
      <c r="C727" s="30"/>
      <c r="D727" s="30"/>
      <c r="E727" s="30"/>
      <c r="F727" s="30"/>
      <c r="G727" s="30"/>
      <c r="H727" s="30"/>
      <c r="I727" s="30"/>
      <c r="J727" s="30"/>
      <c r="K727" s="30"/>
      <c r="L727" s="30"/>
      <c r="M727" s="30"/>
      <c r="N727" s="30"/>
      <c r="O727" s="31"/>
      <c r="P727" s="30"/>
      <c r="Q727" s="30"/>
      <c r="R727" s="30"/>
      <c r="S727" s="30"/>
      <c r="T727" s="30"/>
      <c r="U727" s="30"/>
      <c r="V727" s="30"/>
      <c r="W727" s="30"/>
    </row>
    <row r="728">
      <c r="A728" s="30"/>
      <c r="B728" s="30"/>
      <c r="C728" s="30"/>
      <c r="D728" s="30"/>
      <c r="E728" s="30"/>
      <c r="F728" s="30"/>
      <c r="G728" s="30"/>
      <c r="H728" s="30"/>
      <c r="I728" s="30"/>
      <c r="J728" s="30"/>
      <c r="K728" s="30"/>
      <c r="L728" s="30"/>
      <c r="M728" s="30"/>
      <c r="N728" s="30"/>
      <c r="O728" s="31"/>
      <c r="P728" s="30"/>
      <c r="Q728" s="30"/>
      <c r="R728" s="30"/>
      <c r="S728" s="30"/>
      <c r="T728" s="30"/>
      <c r="U728" s="30"/>
      <c r="V728" s="30"/>
      <c r="W728" s="30"/>
    </row>
    <row r="729">
      <c r="A729" s="30"/>
      <c r="B729" s="30"/>
      <c r="C729" s="30"/>
      <c r="D729" s="30"/>
      <c r="E729" s="30"/>
      <c r="F729" s="30"/>
      <c r="G729" s="30"/>
      <c r="H729" s="30"/>
      <c r="I729" s="30"/>
      <c r="J729" s="30"/>
      <c r="K729" s="30"/>
      <c r="L729" s="30"/>
      <c r="M729" s="30"/>
      <c r="N729" s="30"/>
      <c r="O729" s="31"/>
      <c r="P729" s="30"/>
      <c r="Q729" s="30"/>
      <c r="R729" s="30"/>
      <c r="S729" s="30"/>
      <c r="T729" s="30"/>
      <c r="U729" s="30"/>
      <c r="V729" s="30"/>
      <c r="W729" s="30"/>
    </row>
    <row r="730">
      <c r="A730" s="30"/>
      <c r="B730" s="30"/>
      <c r="C730" s="30"/>
      <c r="D730" s="30"/>
      <c r="E730" s="30"/>
      <c r="F730" s="30"/>
      <c r="G730" s="30"/>
      <c r="H730" s="30"/>
      <c r="I730" s="30"/>
      <c r="J730" s="30"/>
      <c r="K730" s="30"/>
      <c r="L730" s="30"/>
      <c r="M730" s="30"/>
      <c r="N730" s="30"/>
      <c r="O730" s="31"/>
      <c r="P730" s="30"/>
      <c r="Q730" s="30"/>
      <c r="R730" s="30"/>
      <c r="S730" s="30"/>
      <c r="T730" s="30"/>
      <c r="U730" s="30"/>
      <c r="V730" s="30"/>
      <c r="W730" s="30"/>
    </row>
    <row r="731">
      <c r="A731" s="30"/>
      <c r="B731" s="30"/>
      <c r="C731" s="30"/>
      <c r="D731" s="30"/>
      <c r="E731" s="30"/>
      <c r="F731" s="30"/>
      <c r="G731" s="30"/>
      <c r="H731" s="30"/>
      <c r="I731" s="30"/>
      <c r="J731" s="30"/>
      <c r="K731" s="30"/>
      <c r="L731" s="30"/>
      <c r="M731" s="30"/>
      <c r="N731" s="30"/>
      <c r="O731" s="31"/>
      <c r="P731" s="30"/>
      <c r="Q731" s="30"/>
      <c r="R731" s="30"/>
      <c r="S731" s="30"/>
      <c r="T731" s="30"/>
      <c r="U731" s="30"/>
      <c r="V731" s="30"/>
      <c r="W731" s="30"/>
    </row>
    <row r="732">
      <c r="A732" s="30"/>
      <c r="B732" s="30"/>
      <c r="C732" s="30"/>
      <c r="D732" s="30"/>
      <c r="E732" s="30"/>
      <c r="F732" s="30"/>
      <c r="G732" s="30"/>
      <c r="H732" s="30"/>
      <c r="I732" s="30"/>
      <c r="J732" s="30"/>
      <c r="K732" s="30"/>
      <c r="L732" s="30"/>
      <c r="M732" s="30"/>
      <c r="N732" s="30"/>
      <c r="O732" s="31"/>
      <c r="P732" s="30"/>
      <c r="Q732" s="30"/>
      <c r="R732" s="30"/>
      <c r="S732" s="30"/>
      <c r="T732" s="30"/>
      <c r="U732" s="30"/>
      <c r="V732" s="30"/>
      <c r="W732" s="30"/>
    </row>
    <row r="733">
      <c r="A733" s="30"/>
      <c r="B733" s="30"/>
      <c r="C733" s="30"/>
      <c r="D733" s="30"/>
      <c r="E733" s="30"/>
      <c r="F733" s="30"/>
      <c r="G733" s="30"/>
      <c r="H733" s="30"/>
      <c r="I733" s="30"/>
      <c r="J733" s="30"/>
      <c r="K733" s="30"/>
      <c r="L733" s="30"/>
      <c r="M733" s="30"/>
      <c r="N733" s="30"/>
      <c r="O733" s="31"/>
      <c r="P733" s="30"/>
      <c r="Q733" s="30"/>
      <c r="R733" s="30"/>
      <c r="S733" s="30"/>
      <c r="T733" s="30"/>
      <c r="U733" s="30"/>
      <c r="V733" s="30"/>
      <c r="W733" s="30"/>
    </row>
    <row r="734">
      <c r="A734" s="30"/>
      <c r="B734" s="30"/>
      <c r="C734" s="30"/>
      <c r="D734" s="30"/>
      <c r="E734" s="30"/>
      <c r="F734" s="30"/>
      <c r="G734" s="30"/>
      <c r="H734" s="30"/>
      <c r="I734" s="30"/>
      <c r="J734" s="30"/>
      <c r="K734" s="30"/>
      <c r="L734" s="30"/>
      <c r="M734" s="30"/>
      <c r="N734" s="30"/>
      <c r="O734" s="31"/>
      <c r="P734" s="30"/>
      <c r="Q734" s="30"/>
      <c r="R734" s="30"/>
      <c r="S734" s="30"/>
      <c r="T734" s="30"/>
      <c r="U734" s="30"/>
      <c r="V734" s="30"/>
      <c r="W734" s="30"/>
    </row>
    <row r="735">
      <c r="A735" s="30"/>
      <c r="B735" s="30"/>
      <c r="C735" s="30"/>
      <c r="D735" s="30"/>
      <c r="E735" s="30"/>
      <c r="F735" s="30"/>
      <c r="G735" s="30"/>
      <c r="H735" s="30"/>
      <c r="I735" s="30"/>
      <c r="J735" s="30"/>
      <c r="K735" s="30"/>
      <c r="L735" s="30"/>
      <c r="M735" s="30"/>
      <c r="N735" s="30"/>
      <c r="O735" s="31"/>
      <c r="P735" s="30"/>
      <c r="Q735" s="30"/>
      <c r="R735" s="30"/>
      <c r="S735" s="30"/>
      <c r="T735" s="30"/>
      <c r="U735" s="30"/>
      <c r="V735" s="30"/>
      <c r="W735" s="30"/>
    </row>
    <row r="736">
      <c r="A736" s="30"/>
      <c r="B736" s="30"/>
      <c r="C736" s="30"/>
      <c r="D736" s="30"/>
      <c r="E736" s="30"/>
      <c r="F736" s="30"/>
      <c r="G736" s="30"/>
      <c r="H736" s="30"/>
      <c r="I736" s="30"/>
      <c r="J736" s="30"/>
      <c r="K736" s="30"/>
      <c r="L736" s="30"/>
      <c r="M736" s="30"/>
      <c r="N736" s="30"/>
      <c r="O736" s="31"/>
      <c r="P736" s="30"/>
      <c r="Q736" s="30"/>
      <c r="R736" s="30"/>
      <c r="S736" s="30"/>
      <c r="T736" s="30"/>
      <c r="U736" s="30"/>
      <c r="V736" s="30"/>
      <c r="W736" s="30"/>
    </row>
    <row r="737">
      <c r="A737" s="30"/>
      <c r="B737" s="30"/>
      <c r="C737" s="30"/>
      <c r="D737" s="30"/>
      <c r="E737" s="30"/>
      <c r="F737" s="30"/>
      <c r="G737" s="30"/>
      <c r="H737" s="30"/>
      <c r="I737" s="30"/>
      <c r="J737" s="30"/>
      <c r="K737" s="30"/>
      <c r="L737" s="30"/>
      <c r="M737" s="30"/>
      <c r="N737" s="30"/>
      <c r="O737" s="31"/>
      <c r="P737" s="30"/>
      <c r="Q737" s="30"/>
      <c r="R737" s="30"/>
      <c r="S737" s="30"/>
      <c r="T737" s="30"/>
      <c r="U737" s="30"/>
      <c r="V737" s="30"/>
      <c r="W737" s="30"/>
    </row>
    <row r="738">
      <c r="A738" s="30"/>
      <c r="B738" s="30"/>
      <c r="C738" s="30"/>
      <c r="D738" s="30"/>
      <c r="E738" s="30"/>
      <c r="F738" s="30"/>
      <c r="G738" s="30"/>
      <c r="H738" s="30"/>
      <c r="I738" s="30"/>
      <c r="J738" s="30"/>
      <c r="K738" s="30"/>
      <c r="L738" s="30"/>
      <c r="M738" s="30"/>
      <c r="N738" s="30"/>
      <c r="O738" s="31"/>
      <c r="P738" s="30"/>
      <c r="Q738" s="30"/>
      <c r="R738" s="30"/>
      <c r="S738" s="30"/>
      <c r="T738" s="30"/>
      <c r="U738" s="30"/>
      <c r="V738" s="30"/>
      <c r="W738" s="30"/>
    </row>
    <row r="739">
      <c r="A739" s="30"/>
      <c r="B739" s="30"/>
      <c r="C739" s="30"/>
      <c r="D739" s="30"/>
      <c r="E739" s="30"/>
      <c r="F739" s="30"/>
      <c r="G739" s="30"/>
      <c r="H739" s="30"/>
      <c r="I739" s="30"/>
      <c r="J739" s="30"/>
      <c r="K739" s="30"/>
      <c r="L739" s="30"/>
      <c r="M739" s="30"/>
      <c r="N739" s="30"/>
      <c r="O739" s="31"/>
      <c r="P739" s="30"/>
      <c r="Q739" s="30"/>
      <c r="R739" s="30"/>
      <c r="S739" s="30"/>
      <c r="T739" s="30"/>
      <c r="U739" s="30"/>
      <c r="V739" s="30"/>
      <c r="W739" s="30"/>
    </row>
    <row r="740">
      <c r="A740" s="30"/>
      <c r="B740" s="30"/>
      <c r="C740" s="30"/>
      <c r="D740" s="30"/>
      <c r="E740" s="30"/>
      <c r="F740" s="30"/>
      <c r="G740" s="30"/>
      <c r="H740" s="30"/>
      <c r="I740" s="30"/>
      <c r="J740" s="30"/>
      <c r="K740" s="30"/>
      <c r="L740" s="30"/>
      <c r="M740" s="30"/>
      <c r="N740" s="30"/>
      <c r="O740" s="31"/>
      <c r="P740" s="30"/>
      <c r="Q740" s="30"/>
      <c r="R740" s="30"/>
      <c r="S740" s="30"/>
      <c r="T740" s="30"/>
      <c r="U740" s="30"/>
      <c r="V740" s="30"/>
      <c r="W740" s="30"/>
    </row>
    <row r="741">
      <c r="A741" s="30"/>
      <c r="B741" s="30"/>
      <c r="C741" s="30"/>
      <c r="D741" s="30"/>
      <c r="E741" s="30"/>
      <c r="F741" s="30"/>
      <c r="G741" s="30"/>
      <c r="H741" s="30"/>
      <c r="I741" s="30"/>
      <c r="J741" s="30"/>
      <c r="K741" s="30"/>
      <c r="L741" s="30"/>
      <c r="M741" s="30"/>
      <c r="N741" s="30"/>
      <c r="O741" s="31"/>
      <c r="P741" s="30"/>
      <c r="Q741" s="30"/>
      <c r="R741" s="30"/>
      <c r="S741" s="30"/>
      <c r="T741" s="30"/>
      <c r="U741" s="30"/>
      <c r="V741" s="30"/>
      <c r="W741" s="30"/>
    </row>
    <row r="742">
      <c r="A742" s="30"/>
      <c r="B742" s="30"/>
      <c r="C742" s="30"/>
      <c r="D742" s="30"/>
      <c r="E742" s="30"/>
      <c r="F742" s="30"/>
      <c r="G742" s="30"/>
      <c r="H742" s="30"/>
      <c r="I742" s="30"/>
      <c r="J742" s="30"/>
      <c r="K742" s="30"/>
      <c r="L742" s="30"/>
      <c r="M742" s="30"/>
      <c r="N742" s="30"/>
      <c r="O742" s="31"/>
      <c r="P742" s="30"/>
      <c r="Q742" s="30"/>
      <c r="R742" s="30"/>
      <c r="S742" s="30"/>
      <c r="T742" s="30"/>
      <c r="U742" s="30"/>
      <c r="V742" s="30"/>
      <c r="W742" s="30"/>
    </row>
    <row r="743">
      <c r="A743" s="30"/>
      <c r="B743" s="30"/>
      <c r="C743" s="30"/>
      <c r="D743" s="30"/>
      <c r="E743" s="30"/>
      <c r="F743" s="30"/>
      <c r="G743" s="30"/>
      <c r="H743" s="30"/>
      <c r="I743" s="30"/>
      <c r="J743" s="30"/>
      <c r="K743" s="30"/>
      <c r="L743" s="30"/>
      <c r="M743" s="30"/>
      <c r="N743" s="30"/>
      <c r="O743" s="31"/>
      <c r="P743" s="30"/>
      <c r="Q743" s="30"/>
      <c r="R743" s="30"/>
      <c r="S743" s="30"/>
      <c r="T743" s="30"/>
      <c r="U743" s="30"/>
      <c r="V743" s="30"/>
      <c r="W743" s="30"/>
    </row>
    <row r="744">
      <c r="A744" s="30"/>
      <c r="B744" s="30"/>
      <c r="C744" s="30"/>
      <c r="D744" s="30"/>
      <c r="E744" s="30"/>
      <c r="F744" s="30"/>
      <c r="G744" s="30"/>
      <c r="H744" s="30"/>
      <c r="I744" s="30"/>
      <c r="J744" s="30"/>
      <c r="K744" s="30"/>
      <c r="L744" s="30"/>
      <c r="M744" s="30"/>
      <c r="N744" s="30"/>
      <c r="O744" s="31"/>
      <c r="P744" s="30"/>
      <c r="Q744" s="30"/>
      <c r="R744" s="30"/>
      <c r="S744" s="30"/>
      <c r="T744" s="30"/>
      <c r="U744" s="30"/>
      <c r="V744" s="30"/>
      <c r="W744" s="30"/>
    </row>
    <row r="745">
      <c r="A745" s="30"/>
      <c r="B745" s="30"/>
      <c r="C745" s="30"/>
      <c r="D745" s="30"/>
      <c r="E745" s="30"/>
      <c r="F745" s="30"/>
      <c r="G745" s="30"/>
      <c r="H745" s="30"/>
      <c r="I745" s="30"/>
      <c r="J745" s="30"/>
      <c r="K745" s="30"/>
      <c r="L745" s="30"/>
      <c r="M745" s="30"/>
      <c r="N745" s="30"/>
      <c r="O745" s="31"/>
      <c r="P745" s="30"/>
      <c r="Q745" s="30"/>
      <c r="R745" s="30"/>
      <c r="S745" s="30"/>
      <c r="T745" s="30"/>
      <c r="U745" s="30"/>
      <c r="V745" s="30"/>
      <c r="W745" s="30"/>
    </row>
    <row r="746">
      <c r="A746" s="30"/>
      <c r="B746" s="30"/>
      <c r="C746" s="30"/>
      <c r="D746" s="30"/>
      <c r="E746" s="30"/>
      <c r="F746" s="30"/>
      <c r="G746" s="30"/>
      <c r="H746" s="30"/>
      <c r="I746" s="30"/>
      <c r="J746" s="30"/>
      <c r="K746" s="30"/>
      <c r="L746" s="30"/>
      <c r="M746" s="30"/>
      <c r="N746" s="30"/>
      <c r="O746" s="31"/>
      <c r="P746" s="30"/>
      <c r="Q746" s="30"/>
      <c r="R746" s="30"/>
      <c r="S746" s="30"/>
      <c r="T746" s="30"/>
      <c r="U746" s="30"/>
      <c r="V746" s="30"/>
      <c r="W746" s="30"/>
    </row>
    <row r="747">
      <c r="A747" s="30"/>
      <c r="B747" s="30"/>
      <c r="C747" s="30"/>
      <c r="D747" s="30"/>
      <c r="E747" s="30"/>
      <c r="F747" s="30"/>
      <c r="G747" s="30"/>
      <c r="H747" s="30"/>
      <c r="I747" s="30"/>
      <c r="J747" s="30"/>
      <c r="K747" s="30"/>
      <c r="L747" s="30"/>
      <c r="M747" s="30"/>
      <c r="N747" s="30"/>
      <c r="O747" s="31"/>
      <c r="P747" s="30"/>
      <c r="Q747" s="30"/>
      <c r="R747" s="30"/>
      <c r="S747" s="30"/>
      <c r="T747" s="30"/>
      <c r="U747" s="30"/>
      <c r="V747" s="30"/>
      <c r="W747" s="30"/>
    </row>
    <row r="748">
      <c r="A748" s="30"/>
      <c r="B748" s="30"/>
      <c r="C748" s="30"/>
      <c r="D748" s="30"/>
      <c r="E748" s="30"/>
      <c r="F748" s="30"/>
      <c r="G748" s="30"/>
      <c r="H748" s="30"/>
      <c r="I748" s="30"/>
      <c r="J748" s="30"/>
      <c r="K748" s="30"/>
      <c r="L748" s="30"/>
      <c r="M748" s="30"/>
      <c r="N748" s="30"/>
      <c r="O748" s="35"/>
      <c r="P748" s="30"/>
      <c r="Q748" s="30"/>
      <c r="R748" s="30"/>
      <c r="S748" s="30"/>
      <c r="T748" s="30"/>
      <c r="U748" s="30"/>
      <c r="V748" s="30"/>
      <c r="W748" s="30"/>
    </row>
    <row r="749">
      <c r="A749" s="30"/>
      <c r="B749" s="30"/>
      <c r="C749" s="30"/>
      <c r="D749" s="30"/>
      <c r="E749" s="30"/>
      <c r="F749" s="30"/>
      <c r="G749" s="30"/>
      <c r="H749" s="30"/>
      <c r="I749" s="30"/>
      <c r="J749" s="30"/>
      <c r="K749" s="30"/>
      <c r="L749" s="30"/>
      <c r="M749" s="30"/>
      <c r="N749" s="30"/>
      <c r="O749" s="31"/>
      <c r="P749" s="30"/>
      <c r="Q749" s="30"/>
      <c r="R749" s="30"/>
      <c r="S749" s="30"/>
      <c r="T749" s="30"/>
      <c r="U749" s="30"/>
      <c r="V749" s="30"/>
      <c r="W749" s="30"/>
    </row>
    <row r="750">
      <c r="A750" s="30"/>
      <c r="B750" s="30"/>
      <c r="C750" s="30"/>
      <c r="D750" s="30"/>
      <c r="E750" s="30"/>
      <c r="F750" s="30"/>
      <c r="G750" s="30"/>
      <c r="H750" s="30"/>
      <c r="I750" s="30"/>
      <c r="J750" s="30"/>
      <c r="K750" s="30"/>
      <c r="L750" s="30"/>
      <c r="M750" s="30"/>
      <c r="N750" s="30"/>
      <c r="O750" s="31"/>
      <c r="P750" s="30"/>
      <c r="Q750" s="30"/>
      <c r="R750" s="30"/>
      <c r="S750" s="30"/>
      <c r="T750" s="30"/>
      <c r="U750" s="30"/>
      <c r="V750" s="30"/>
      <c r="W750" s="30"/>
    </row>
    <row r="751">
      <c r="A751" s="30"/>
      <c r="B751" s="30"/>
      <c r="C751" s="30"/>
      <c r="D751" s="30"/>
      <c r="E751" s="30"/>
      <c r="F751" s="30"/>
      <c r="G751" s="30"/>
      <c r="H751" s="30"/>
      <c r="I751" s="30"/>
      <c r="J751" s="30"/>
      <c r="K751" s="30"/>
      <c r="L751" s="30"/>
      <c r="M751" s="30"/>
      <c r="N751" s="30"/>
      <c r="O751" s="31"/>
      <c r="P751" s="30"/>
      <c r="Q751" s="30"/>
      <c r="R751" s="30"/>
      <c r="S751" s="30"/>
      <c r="T751" s="30"/>
      <c r="U751" s="30"/>
      <c r="V751" s="30"/>
      <c r="W751" s="30"/>
    </row>
    <row r="752">
      <c r="A752" s="30"/>
      <c r="B752" s="30"/>
      <c r="C752" s="30"/>
      <c r="D752" s="30"/>
      <c r="E752" s="30"/>
      <c r="F752" s="30"/>
      <c r="G752" s="30"/>
      <c r="H752" s="30"/>
      <c r="I752" s="30"/>
      <c r="J752" s="30"/>
      <c r="K752" s="30"/>
      <c r="L752" s="30"/>
      <c r="M752" s="30"/>
      <c r="N752" s="30"/>
      <c r="O752" s="31"/>
      <c r="P752" s="30"/>
      <c r="Q752" s="30"/>
      <c r="R752" s="30"/>
      <c r="S752" s="30"/>
      <c r="T752" s="30"/>
      <c r="U752" s="30"/>
      <c r="V752" s="30"/>
      <c r="W752" s="30"/>
    </row>
    <row r="753">
      <c r="A753" s="30"/>
      <c r="B753" s="30"/>
      <c r="C753" s="30"/>
      <c r="D753" s="30"/>
      <c r="E753" s="30"/>
      <c r="F753" s="30"/>
      <c r="G753" s="30"/>
      <c r="H753" s="30"/>
      <c r="I753" s="30"/>
      <c r="J753" s="30"/>
      <c r="K753" s="30"/>
      <c r="L753" s="30"/>
      <c r="M753" s="30"/>
      <c r="N753" s="30"/>
      <c r="O753" s="31"/>
      <c r="P753" s="30"/>
      <c r="Q753" s="30"/>
      <c r="R753" s="30"/>
      <c r="S753" s="30"/>
      <c r="T753" s="30"/>
      <c r="U753" s="30"/>
      <c r="V753" s="30"/>
      <c r="W753" s="30"/>
    </row>
    <row r="754">
      <c r="A754" s="30"/>
      <c r="B754" s="30"/>
      <c r="C754" s="30"/>
      <c r="D754" s="30"/>
      <c r="E754" s="30"/>
      <c r="F754" s="30"/>
      <c r="G754" s="30"/>
      <c r="H754" s="30"/>
      <c r="I754" s="30"/>
      <c r="J754" s="30"/>
      <c r="K754" s="30"/>
      <c r="L754" s="30"/>
      <c r="M754" s="30"/>
      <c r="N754" s="30"/>
      <c r="O754" s="31"/>
      <c r="P754" s="30"/>
      <c r="Q754" s="30"/>
      <c r="R754" s="30"/>
      <c r="S754" s="30"/>
      <c r="T754" s="30"/>
      <c r="U754" s="30"/>
      <c r="V754" s="30"/>
      <c r="W754" s="30"/>
    </row>
    <row r="755">
      <c r="A755" s="30"/>
      <c r="B755" s="30"/>
      <c r="C755" s="30"/>
      <c r="D755" s="30"/>
      <c r="E755" s="30"/>
      <c r="F755" s="30"/>
      <c r="G755" s="30"/>
      <c r="H755" s="30"/>
      <c r="I755" s="30"/>
      <c r="J755" s="30"/>
      <c r="K755" s="30"/>
      <c r="L755" s="30"/>
      <c r="M755" s="30"/>
      <c r="N755" s="30"/>
      <c r="O755" s="31"/>
      <c r="P755" s="30"/>
      <c r="Q755" s="30"/>
      <c r="R755" s="30"/>
      <c r="S755" s="30"/>
      <c r="T755" s="30"/>
      <c r="U755" s="30"/>
      <c r="V755" s="30"/>
      <c r="W755" s="30"/>
    </row>
    <row r="756">
      <c r="A756" s="30"/>
      <c r="B756" s="30"/>
      <c r="C756" s="30"/>
      <c r="D756" s="30"/>
      <c r="E756" s="30"/>
      <c r="F756" s="30"/>
      <c r="G756" s="30"/>
      <c r="H756" s="30"/>
      <c r="I756" s="30"/>
      <c r="J756" s="30"/>
      <c r="K756" s="30"/>
      <c r="L756" s="30"/>
      <c r="M756" s="30"/>
      <c r="N756" s="30"/>
      <c r="O756" s="31"/>
      <c r="P756" s="30"/>
      <c r="Q756" s="30"/>
      <c r="R756" s="30"/>
      <c r="S756" s="30"/>
      <c r="T756" s="30"/>
      <c r="U756" s="30"/>
      <c r="V756" s="30"/>
      <c r="W756" s="30"/>
    </row>
    <row r="757">
      <c r="A757" s="30"/>
      <c r="B757" s="30"/>
      <c r="C757" s="30"/>
      <c r="D757" s="30"/>
      <c r="E757" s="30"/>
      <c r="F757" s="30"/>
      <c r="G757" s="30"/>
      <c r="H757" s="30"/>
      <c r="I757" s="30"/>
      <c r="J757" s="30"/>
      <c r="K757" s="30"/>
      <c r="L757" s="30"/>
      <c r="M757" s="30"/>
      <c r="N757" s="30"/>
      <c r="O757" s="31"/>
      <c r="P757" s="30"/>
      <c r="Q757" s="30"/>
      <c r="R757" s="30"/>
      <c r="S757" s="30"/>
      <c r="T757" s="30"/>
      <c r="U757" s="30"/>
      <c r="V757" s="30"/>
      <c r="W757" s="30"/>
    </row>
    <row r="758">
      <c r="A758" s="30"/>
      <c r="B758" s="30"/>
      <c r="C758" s="30"/>
      <c r="D758" s="30"/>
      <c r="E758" s="30"/>
      <c r="F758" s="30"/>
      <c r="G758" s="30"/>
      <c r="H758" s="30"/>
      <c r="I758" s="30"/>
      <c r="J758" s="30"/>
      <c r="K758" s="30"/>
      <c r="L758" s="30"/>
      <c r="M758" s="30"/>
      <c r="N758" s="30"/>
      <c r="O758" s="31"/>
      <c r="P758" s="30"/>
      <c r="Q758" s="30"/>
      <c r="R758" s="30"/>
      <c r="S758" s="30"/>
      <c r="T758" s="30"/>
      <c r="U758" s="30"/>
      <c r="V758" s="30"/>
      <c r="W758" s="30"/>
    </row>
    <row r="759">
      <c r="A759" s="30"/>
      <c r="B759" s="30"/>
      <c r="C759" s="30"/>
      <c r="D759" s="30"/>
      <c r="E759" s="30"/>
      <c r="F759" s="30"/>
      <c r="G759" s="30"/>
      <c r="H759" s="30"/>
      <c r="I759" s="30"/>
      <c r="J759" s="30"/>
      <c r="K759" s="30"/>
      <c r="L759" s="30"/>
      <c r="M759" s="30"/>
      <c r="N759" s="30"/>
      <c r="O759" s="31"/>
      <c r="P759" s="30"/>
      <c r="Q759" s="30"/>
      <c r="R759" s="30"/>
      <c r="S759" s="30"/>
      <c r="T759" s="30"/>
      <c r="U759" s="30"/>
      <c r="V759" s="30"/>
      <c r="W759" s="30"/>
    </row>
    <row r="760">
      <c r="A760" s="30"/>
      <c r="B760" s="30"/>
      <c r="C760" s="30"/>
      <c r="D760" s="30"/>
      <c r="E760" s="30"/>
      <c r="F760" s="30"/>
      <c r="G760" s="30"/>
      <c r="H760" s="30"/>
      <c r="I760" s="30"/>
      <c r="J760" s="30"/>
      <c r="K760" s="30"/>
      <c r="L760" s="30"/>
      <c r="M760" s="30"/>
      <c r="N760" s="30"/>
      <c r="O760" s="31"/>
      <c r="P760" s="30"/>
      <c r="Q760" s="30"/>
      <c r="R760" s="30"/>
      <c r="S760" s="30"/>
      <c r="T760" s="30"/>
      <c r="U760" s="30"/>
      <c r="V760" s="30"/>
      <c r="W760" s="30"/>
    </row>
    <row r="761">
      <c r="A761" s="30"/>
      <c r="B761" s="30"/>
      <c r="C761" s="30"/>
      <c r="D761" s="30"/>
      <c r="E761" s="30"/>
      <c r="F761" s="30"/>
      <c r="G761" s="30"/>
      <c r="H761" s="30"/>
      <c r="I761" s="30"/>
      <c r="J761" s="30"/>
      <c r="K761" s="30"/>
      <c r="L761" s="30"/>
      <c r="M761" s="30"/>
      <c r="N761" s="30"/>
      <c r="O761" s="31"/>
      <c r="P761" s="30"/>
      <c r="Q761" s="30"/>
      <c r="R761" s="30"/>
      <c r="S761" s="30"/>
      <c r="T761" s="30"/>
      <c r="U761" s="30"/>
      <c r="V761" s="30"/>
      <c r="W761" s="30"/>
    </row>
    <row r="762">
      <c r="A762" s="30"/>
      <c r="B762" s="30"/>
      <c r="C762" s="30"/>
      <c r="D762" s="30"/>
      <c r="E762" s="30"/>
      <c r="F762" s="30"/>
      <c r="G762" s="30"/>
      <c r="H762" s="30"/>
      <c r="I762" s="30"/>
      <c r="J762" s="30"/>
      <c r="K762" s="30"/>
      <c r="L762" s="30"/>
      <c r="M762" s="30"/>
      <c r="N762" s="30"/>
      <c r="O762" s="31"/>
      <c r="P762" s="30"/>
      <c r="Q762" s="30"/>
      <c r="R762" s="30"/>
      <c r="S762" s="30"/>
      <c r="T762" s="30"/>
      <c r="U762" s="30"/>
      <c r="V762" s="30"/>
      <c r="W762" s="30"/>
    </row>
    <row r="763">
      <c r="A763" s="30"/>
      <c r="B763" s="30"/>
      <c r="C763" s="30"/>
      <c r="D763" s="30"/>
      <c r="E763" s="30"/>
      <c r="F763" s="30"/>
      <c r="G763" s="30"/>
      <c r="H763" s="30"/>
      <c r="I763" s="30"/>
      <c r="J763" s="30"/>
      <c r="K763" s="30"/>
      <c r="L763" s="30"/>
      <c r="M763" s="30"/>
      <c r="N763" s="30"/>
      <c r="O763" s="31"/>
      <c r="P763" s="30"/>
      <c r="Q763" s="30"/>
      <c r="R763" s="30"/>
      <c r="S763" s="30"/>
      <c r="T763" s="30"/>
      <c r="U763" s="30"/>
      <c r="V763" s="30"/>
      <c r="W763" s="30"/>
    </row>
    <row r="764">
      <c r="A764" s="30"/>
      <c r="B764" s="30"/>
      <c r="C764" s="30"/>
      <c r="D764" s="30"/>
      <c r="E764" s="30"/>
      <c r="F764" s="30"/>
      <c r="G764" s="30"/>
      <c r="H764" s="30"/>
      <c r="I764" s="30"/>
      <c r="J764" s="30"/>
      <c r="K764" s="30"/>
      <c r="L764" s="30"/>
      <c r="M764" s="30"/>
      <c r="N764" s="30"/>
      <c r="O764" s="31"/>
      <c r="P764" s="30"/>
      <c r="Q764" s="30"/>
      <c r="R764" s="30"/>
      <c r="S764" s="30"/>
      <c r="T764" s="30"/>
      <c r="U764" s="30"/>
      <c r="V764" s="30"/>
      <c r="W764" s="30"/>
    </row>
    <row r="765">
      <c r="A765" s="30"/>
      <c r="B765" s="30"/>
      <c r="C765" s="30"/>
      <c r="D765" s="30"/>
      <c r="E765" s="30"/>
      <c r="F765" s="30"/>
      <c r="G765" s="30"/>
      <c r="H765" s="30"/>
      <c r="I765" s="30"/>
      <c r="J765" s="30"/>
      <c r="K765" s="30"/>
      <c r="L765" s="30"/>
      <c r="M765" s="30"/>
      <c r="N765" s="30"/>
      <c r="O765" s="31"/>
      <c r="P765" s="30"/>
      <c r="Q765" s="30"/>
      <c r="R765" s="30"/>
      <c r="S765" s="30"/>
      <c r="T765" s="30"/>
      <c r="U765" s="30"/>
      <c r="V765" s="30"/>
      <c r="W765" s="30"/>
    </row>
    <row r="766">
      <c r="A766" s="30"/>
      <c r="B766" s="30"/>
      <c r="C766" s="30"/>
      <c r="D766" s="30"/>
      <c r="E766" s="30"/>
      <c r="F766" s="30"/>
      <c r="G766" s="30"/>
      <c r="H766" s="30"/>
      <c r="I766" s="30"/>
      <c r="J766" s="30"/>
      <c r="K766" s="30"/>
      <c r="L766" s="30"/>
      <c r="M766" s="30"/>
      <c r="N766" s="30"/>
      <c r="O766" s="31"/>
      <c r="P766" s="30"/>
      <c r="Q766" s="30"/>
      <c r="R766" s="30"/>
      <c r="S766" s="30"/>
      <c r="T766" s="30"/>
      <c r="U766" s="30"/>
      <c r="V766" s="30"/>
      <c r="W766" s="30"/>
    </row>
    <row r="767">
      <c r="A767" s="30"/>
      <c r="B767" s="30"/>
      <c r="C767" s="30"/>
      <c r="D767" s="30"/>
      <c r="E767" s="30"/>
      <c r="F767" s="30"/>
      <c r="G767" s="30"/>
      <c r="H767" s="30"/>
      <c r="I767" s="30"/>
      <c r="J767" s="30"/>
      <c r="K767" s="30"/>
      <c r="L767" s="30"/>
      <c r="M767" s="30"/>
      <c r="N767" s="30"/>
      <c r="O767" s="31"/>
      <c r="P767" s="30"/>
      <c r="Q767" s="30"/>
      <c r="R767" s="30"/>
      <c r="S767" s="30"/>
      <c r="T767" s="30"/>
      <c r="U767" s="30"/>
      <c r="V767" s="30"/>
      <c r="W767" s="30"/>
    </row>
    <row r="768">
      <c r="A768" s="30"/>
      <c r="B768" s="30"/>
      <c r="C768" s="30"/>
      <c r="D768" s="30"/>
      <c r="E768" s="30"/>
      <c r="F768" s="30"/>
      <c r="G768" s="30"/>
      <c r="H768" s="30"/>
      <c r="I768" s="30"/>
      <c r="J768" s="30"/>
      <c r="K768" s="30"/>
      <c r="L768" s="30"/>
      <c r="M768" s="30"/>
      <c r="N768" s="30"/>
      <c r="O768" s="31"/>
      <c r="P768" s="30"/>
      <c r="Q768" s="30"/>
      <c r="R768" s="30"/>
      <c r="S768" s="30"/>
      <c r="T768" s="30"/>
      <c r="U768" s="30"/>
      <c r="V768" s="30"/>
      <c r="W768" s="30"/>
    </row>
    <row r="769">
      <c r="A769" s="30"/>
      <c r="B769" s="30"/>
      <c r="C769" s="30"/>
      <c r="D769" s="30"/>
      <c r="E769" s="30"/>
      <c r="F769" s="30"/>
      <c r="G769" s="30"/>
      <c r="H769" s="30"/>
      <c r="I769" s="30"/>
      <c r="J769" s="30"/>
      <c r="K769" s="30"/>
      <c r="L769" s="30"/>
      <c r="M769" s="30"/>
      <c r="N769" s="30"/>
      <c r="O769" s="31"/>
      <c r="P769" s="30"/>
      <c r="Q769" s="30"/>
      <c r="R769" s="30"/>
      <c r="S769" s="30"/>
      <c r="T769" s="30"/>
      <c r="U769" s="30"/>
      <c r="V769" s="30"/>
      <c r="W769" s="30"/>
    </row>
    <row r="770">
      <c r="A770" s="30"/>
      <c r="B770" s="30"/>
      <c r="C770" s="30"/>
      <c r="D770" s="30"/>
      <c r="E770" s="30"/>
      <c r="F770" s="30"/>
      <c r="G770" s="30"/>
      <c r="H770" s="30"/>
      <c r="I770" s="30"/>
      <c r="J770" s="30"/>
      <c r="K770" s="30"/>
      <c r="L770" s="30"/>
      <c r="M770" s="30"/>
      <c r="N770" s="30"/>
      <c r="O770" s="31"/>
      <c r="P770" s="30"/>
      <c r="Q770" s="30"/>
      <c r="R770" s="30"/>
      <c r="S770" s="30"/>
      <c r="T770" s="30"/>
      <c r="U770" s="30"/>
      <c r="V770" s="30"/>
      <c r="W770" s="30"/>
    </row>
    <row r="771">
      <c r="A771" s="30"/>
      <c r="B771" s="30"/>
      <c r="C771" s="30"/>
      <c r="D771" s="30"/>
      <c r="E771" s="30"/>
      <c r="F771" s="30"/>
      <c r="G771" s="30"/>
      <c r="H771" s="30"/>
      <c r="I771" s="30"/>
      <c r="J771" s="30"/>
      <c r="K771" s="30"/>
      <c r="L771" s="30"/>
      <c r="M771" s="30"/>
      <c r="N771" s="30"/>
      <c r="O771" s="31"/>
      <c r="P771" s="30"/>
      <c r="Q771" s="30"/>
      <c r="R771" s="30"/>
      <c r="S771" s="30"/>
      <c r="T771" s="30"/>
      <c r="U771" s="30"/>
      <c r="V771" s="30"/>
      <c r="W771" s="30"/>
    </row>
    <row r="772">
      <c r="A772" s="30"/>
      <c r="B772" s="30"/>
      <c r="C772" s="30"/>
      <c r="D772" s="30"/>
      <c r="E772" s="30"/>
      <c r="F772" s="30"/>
      <c r="G772" s="30"/>
      <c r="H772" s="30"/>
      <c r="I772" s="30"/>
      <c r="J772" s="30"/>
      <c r="K772" s="30"/>
      <c r="L772" s="30"/>
      <c r="M772" s="30"/>
      <c r="N772" s="30"/>
      <c r="O772" s="31"/>
      <c r="P772" s="30"/>
      <c r="Q772" s="30"/>
      <c r="R772" s="30"/>
      <c r="S772" s="30"/>
      <c r="T772" s="30"/>
      <c r="U772" s="30"/>
      <c r="V772" s="30"/>
      <c r="W772" s="30"/>
    </row>
    <row r="773">
      <c r="A773" s="30"/>
      <c r="B773" s="30"/>
      <c r="C773" s="30"/>
      <c r="D773" s="30"/>
      <c r="E773" s="30"/>
      <c r="F773" s="30"/>
      <c r="G773" s="30"/>
      <c r="H773" s="30"/>
      <c r="I773" s="30"/>
      <c r="J773" s="30"/>
      <c r="K773" s="30"/>
      <c r="L773" s="30"/>
      <c r="M773" s="30"/>
      <c r="N773" s="30"/>
      <c r="O773" s="31"/>
      <c r="P773" s="30"/>
      <c r="Q773" s="30"/>
      <c r="R773" s="30"/>
      <c r="S773" s="30"/>
      <c r="T773" s="30"/>
      <c r="U773" s="30"/>
      <c r="V773" s="30"/>
      <c r="W773" s="30"/>
    </row>
    <row r="774">
      <c r="A774" s="30"/>
      <c r="B774" s="30"/>
      <c r="C774" s="30"/>
      <c r="D774" s="30"/>
      <c r="E774" s="30"/>
      <c r="F774" s="30"/>
      <c r="G774" s="30"/>
      <c r="H774" s="30"/>
      <c r="I774" s="30"/>
      <c r="J774" s="30"/>
      <c r="K774" s="30"/>
      <c r="L774" s="30"/>
      <c r="M774" s="30"/>
      <c r="N774" s="30"/>
      <c r="O774" s="31"/>
      <c r="P774" s="30"/>
      <c r="Q774" s="30"/>
      <c r="R774" s="30"/>
      <c r="S774" s="30"/>
      <c r="T774" s="30"/>
      <c r="U774" s="30"/>
      <c r="V774" s="30"/>
      <c r="W774" s="30"/>
    </row>
    <row r="775">
      <c r="A775" s="30"/>
      <c r="B775" s="30"/>
      <c r="C775" s="30"/>
      <c r="D775" s="30"/>
      <c r="E775" s="30"/>
      <c r="F775" s="30"/>
      <c r="G775" s="30"/>
      <c r="H775" s="30"/>
      <c r="I775" s="30"/>
      <c r="J775" s="30"/>
      <c r="K775" s="30"/>
      <c r="L775" s="30"/>
      <c r="M775" s="30"/>
      <c r="N775" s="30"/>
      <c r="O775" s="31"/>
      <c r="P775" s="30"/>
      <c r="Q775" s="30"/>
      <c r="R775" s="30"/>
      <c r="S775" s="30"/>
      <c r="T775" s="30"/>
      <c r="U775" s="30"/>
      <c r="V775" s="30"/>
      <c r="W775" s="30"/>
    </row>
    <row r="776">
      <c r="A776" s="30"/>
      <c r="B776" s="30"/>
      <c r="C776" s="30"/>
      <c r="D776" s="30"/>
      <c r="E776" s="30"/>
      <c r="F776" s="30"/>
      <c r="G776" s="30"/>
      <c r="H776" s="30"/>
      <c r="I776" s="30"/>
      <c r="J776" s="30"/>
      <c r="K776" s="30"/>
      <c r="L776" s="30"/>
      <c r="M776" s="30"/>
      <c r="N776" s="30"/>
      <c r="O776" s="31"/>
      <c r="P776" s="30"/>
      <c r="Q776" s="30"/>
      <c r="R776" s="30"/>
      <c r="S776" s="30"/>
      <c r="T776" s="30"/>
      <c r="U776" s="30"/>
      <c r="V776" s="30"/>
      <c r="W776" s="30"/>
    </row>
    <row r="777">
      <c r="A777" s="30"/>
      <c r="B777" s="30"/>
      <c r="C777" s="30"/>
      <c r="D777" s="30"/>
      <c r="E777" s="30"/>
      <c r="F777" s="30"/>
      <c r="G777" s="30"/>
      <c r="H777" s="30"/>
      <c r="I777" s="30"/>
      <c r="J777" s="30"/>
      <c r="K777" s="30"/>
      <c r="L777" s="30"/>
      <c r="M777" s="30"/>
      <c r="N777" s="30"/>
      <c r="O777" s="31"/>
      <c r="P777" s="30"/>
      <c r="Q777" s="30"/>
      <c r="R777" s="30"/>
      <c r="S777" s="30"/>
      <c r="T777" s="30"/>
      <c r="U777" s="30"/>
      <c r="V777" s="30"/>
      <c r="W777" s="30"/>
    </row>
    <row r="778">
      <c r="A778" s="30"/>
      <c r="B778" s="30"/>
      <c r="C778" s="30"/>
      <c r="D778" s="30"/>
      <c r="E778" s="30"/>
      <c r="F778" s="30"/>
      <c r="G778" s="30"/>
      <c r="H778" s="30"/>
      <c r="I778" s="30"/>
      <c r="J778" s="30"/>
      <c r="K778" s="30"/>
      <c r="L778" s="30"/>
      <c r="M778" s="30"/>
      <c r="N778" s="30"/>
      <c r="O778" s="31"/>
      <c r="P778" s="30"/>
      <c r="Q778" s="30"/>
      <c r="R778" s="30"/>
      <c r="S778" s="30"/>
      <c r="T778" s="30"/>
      <c r="U778" s="30"/>
      <c r="V778" s="30"/>
      <c r="W778" s="30"/>
    </row>
    <row r="779">
      <c r="A779" s="30"/>
      <c r="B779" s="30"/>
      <c r="C779" s="30"/>
      <c r="D779" s="30"/>
      <c r="E779" s="30"/>
      <c r="F779" s="30"/>
      <c r="G779" s="30"/>
      <c r="H779" s="30"/>
      <c r="I779" s="30"/>
      <c r="J779" s="30"/>
      <c r="K779" s="30"/>
      <c r="L779" s="30"/>
      <c r="M779" s="30"/>
      <c r="N779" s="30"/>
      <c r="O779" s="31"/>
      <c r="P779" s="30"/>
      <c r="Q779" s="30"/>
      <c r="R779" s="30"/>
      <c r="S779" s="30"/>
      <c r="T779" s="30"/>
      <c r="U779" s="30"/>
      <c r="V779" s="30"/>
      <c r="W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7" max="17" width="18.25"/>
    <col customWidth="1" min="18" max="18" width="26.25"/>
  </cols>
  <sheetData>
    <row r="1">
      <c r="A1" s="36" t="s">
        <v>0</v>
      </c>
      <c r="B1" s="37" t="s">
        <v>1074</v>
      </c>
      <c r="C1" s="37" t="s">
        <v>1075</v>
      </c>
      <c r="D1" s="37" t="s">
        <v>1076</v>
      </c>
      <c r="E1" s="37" t="s">
        <v>1077</v>
      </c>
      <c r="F1" s="38" t="s">
        <v>1078</v>
      </c>
      <c r="G1" s="39" t="s">
        <v>1079</v>
      </c>
      <c r="H1" s="39" t="s">
        <v>1080</v>
      </c>
      <c r="I1" s="39" t="s">
        <v>1081</v>
      </c>
      <c r="J1" s="39" t="s">
        <v>1082</v>
      </c>
      <c r="K1" s="39" t="s">
        <v>1083</v>
      </c>
      <c r="L1" s="40" t="s">
        <v>1084</v>
      </c>
      <c r="M1" s="41" t="s">
        <v>1085</v>
      </c>
      <c r="N1" s="38" t="s">
        <v>1086</v>
      </c>
      <c r="O1" s="38" t="s">
        <v>1087</v>
      </c>
      <c r="P1" s="42" t="s">
        <v>1036</v>
      </c>
      <c r="Q1" s="42" t="s">
        <v>14</v>
      </c>
      <c r="R1" s="42" t="s">
        <v>1088</v>
      </c>
      <c r="S1" s="38"/>
      <c r="T1" s="38"/>
      <c r="U1" s="38"/>
      <c r="V1" s="38"/>
      <c r="W1" s="38"/>
      <c r="X1" s="38"/>
      <c r="Y1" s="38"/>
      <c r="Z1" s="38"/>
      <c r="AA1" s="38"/>
      <c r="AB1" s="43"/>
    </row>
    <row r="2">
      <c r="A2" s="44">
        <v>46099.0</v>
      </c>
      <c r="B2" s="28" t="s">
        <v>1089</v>
      </c>
      <c r="C2" s="28" t="s">
        <v>1090</v>
      </c>
      <c r="D2" s="28" t="s">
        <v>1091</v>
      </c>
      <c r="E2" s="28" t="s">
        <v>1091</v>
      </c>
      <c r="F2" s="29">
        <v>1.0</v>
      </c>
      <c r="G2" s="29">
        <v>18759.0</v>
      </c>
      <c r="I2" s="29">
        <v>0.0</v>
      </c>
      <c r="J2" s="29">
        <v>18759.0</v>
      </c>
      <c r="K2" s="29">
        <v>18759.0</v>
      </c>
      <c r="L2" s="28" t="s">
        <v>508</v>
      </c>
      <c r="M2" s="28">
        <v>4269.0</v>
      </c>
      <c r="P2" s="28" t="s">
        <v>1092</v>
      </c>
      <c r="Q2" s="28" t="s">
        <v>1093</v>
      </c>
    </row>
    <row r="3">
      <c r="A3" s="44">
        <v>46102.0</v>
      </c>
      <c r="B3" s="28" t="s">
        <v>1094</v>
      </c>
      <c r="C3" s="28" t="s">
        <v>1095</v>
      </c>
      <c r="D3" s="28" t="s">
        <v>1096</v>
      </c>
      <c r="E3" s="28" t="s">
        <v>1097</v>
      </c>
      <c r="F3" s="29">
        <v>14.0</v>
      </c>
      <c r="G3" s="29">
        <v>761.74</v>
      </c>
      <c r="I3" s="29">
        <v>0.0</v>
      </c>
      <c r="J3" s="29">
        <v>54.41</v>
      </c>
      <c r="K3" s="29">
        <v>761.74</v>
      </c>
      <c r="L3" s="28" t="s">
        <v>508</v>
      </c>
      <c r="M3" s="28">
        <v>4269.0</v>
      </c>
      <c r="N3" s="28">
        <v>43545.0</v>
      </c>
      <c r="O3" s="28" t="s">
        <v>1098</v>
      </c>
      <c r="P3" s="28" t="s">
        <v>1099</v>
      </c>
      <c r="Q3" s="28" t="s">
        <v>1093</v>
      </c>
      <c r="R3" s="28" t="s">
        <v>1100</v>
      </c>
    </row>
    <row r="4">
      <c r="A4" s="44">
        <v>46090.0</v>
      </c>
      <c r="B4" s="28" t="s">
        <v>1101</v>
      </c>
      <c r="C4" s="28" t="s">
        <v>1102</v>
      </c>
      <c r="D4" s="28" t="s">
        <v>1103</v>
      </c>
      <c r="E4" s="28" t="s">
        <v>1104</v>
      </c>
      <c r="F4" s="29">
        <v>1.0</v>
      </c>
      <c r="G4" s="29">
        <v>108.11</v>
      </c>
      <c r="I4" s="29">
        <v>0.0</v>
      </c>
      <c r="J4" s="29">
        <v>108.11</v>
      </c>
      <c r="K4" s="29">
        <v>108.11</v>
      </c>
      <c r="L4" s="28" t="s">
        <v>508</v>
      </c>
      <c r="M4" s="28">
        <v>4269.0</v>
      </c>
      <c r="P4" s="28" t="s">
        <v>1105</v>
      </c>
      <c r="Q4" s="28" t="s">
        <v>1093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s>
  <sheetData>
    <row r="1">
      <c r="A1" s="31" t="s">
        <v>0</v>
      </c>
      <c r="B1" s="30" t="s">
        <v>1040</v>
      </c>
      <c r="C1" s="30" t="s">
        <v>1041</v>
      </c>
      <c r="D1" s="30" t="s">
        <v>1042</v>
      </c>
      <c r="E1" s="30" t="s">
        <v>1043</v>
      </c>
      <c r="F1" s="31" t="s">
        <v>1044</v>
      </c>
      <c r="G1" s="31" t="s">
        <v>1045</v>
      </c>
      <c r="H1" s="31" t="s">
        <v>1046</v>
      </c>
      <c r="I1" s="30" t="s">
        <v>1035</v>
      </c>
      <c r="J1" s="31" t="s">
        <v>1073</v>
      </c>
      <c r="K1" s="31" t="s">
        <v>1036</v>
      </c>
      <c r="L1" s="31"/>
      <c r="M1" s="30"/>
      <c r="N1" s="30"/>
      <c r="O1" s="30"/>
      <c r="P1" s="30"/>
      <c r="Q1" s="30"/>
      <c r="R1" s="30"/>
      <c r="S1" s="30"/>
      <c r="T1" s="30"/>
      <c r="U1" s="30"/>
      <c r="V1" s="30"/>
      <c r="W1" s="30"/>
      <c r="X1" s="30"/>
    </row>
    <row r="2">
      <c r="A2" s="32">
        <v>46136.0</v>
      </c>
      <c r="B2" s="31" t="s">
        <v>1106</v>
      </c>
      <c r="C2" s="31" t="s">
        <v>1049</v>
      </c>
      <c r="D2" s="31" t="s">
        <v>1107</v>
      </c>
      <c r="E2" s="31" t="s">
        <v>1108</v>
      </c>
      <c r="F2" s="34">
        <v>10.0</v>
      </c>
      <c r="G2" s="34">
        <v>1.31</v>
      </c>
      <c r="H2" s="34">
        <v>11.31</v>
      </c>
      <c r="I2" s="30"/>
      <c r="J2" s="31" t="s">
        <v>1063</v>
      </c>
      <c r="K2" s="31" t="s">
        <v>1109</v>
      </c>
      <c r="L2" s="31"/>
      <c r="M2" s="30"/>
      <c r="N2" s="30"/>
      <c r="O2" s="30"/>
      <c r="P2" s="30"/>
      <c r="Q2" s="30"/>
      <c r="R2" s="30"/>
      <c r="S2" s="30"/>
      <c r="T2" s="30"/>
      <c r="U2" s="30"/>
      <c r="V2" s="30"/>
      <c r="W2" s="30"/>
      <c r="X2" s="30"/>
    </row>
    <row r="3">
      <c r="A3" s="32">
        <v>46136.0</v>
      </c>
      <c r="B3" s="31" t="s">
        <v>1110</v>
      </c>
      <c r="C3" s="31" t="s">
        <v>1111</v>
      </c>
      <c r="D3" s="31" t="s">
        <v>1112</v>
      </c>
      <c r="E3" s="31" t="s">
        <v>1108</v>
      </c>
      <c r="F3" s="34">
        <v>5.0</v>
      </c>
      <c r="G3" s="34">
        <v>1.41</v>
      </c>
      <c r="H3" s="34">
        <v>6.41</v>
      </c>
      <c r="I3" s="31" t="s">
        <v>1113</v>
      </c>
      <c r="J3" s="31" t="s">
        <v>1063</v>
      </c>
      <c r="K3" s="31" t="s">
        <v>1114</v>
      </c>
      <c r="L3" s="31"/>
      <c r="M3" s="30"/>
      <c r="N3" s="30"/>
      <c r="O3" s="30"/>
      <c r="P3" s="30"/>
      <c r="Q3" s="30"/>
      <c r="R3" s="30"/>
      <c r="S3" s="30"/>
      <c r="T3" s="30"/>
      <c r="U3" s="30"/>
      <c r="V3" s="30"/>
      <c r="W3" s="30"/>
      <c r="X3" s="30"/>
    </row>
    <row r="4">
      <c r="A4" s="32">
        <v>46136.0</v>
      </c>
      <c r="B4" s="31" t="s">
        <v>399</v>
      </c>
      <c r="C4" s="31" t="s">
        <v>1049</v>
      </c>
      <c r="D4" s="31" t="s">
        <v>1115</v>
      </c>
      <c r="E4" s="31" t="s">
        <v>1051</v>
      </c>
      <c r="F4" s="34">
        <v>0.0</v>
      </c>
      <c r="G4" s="34">
        <v>5.16</v>
      </c>
      <c r="H4" s="34">
        <v>5.16</v>
      </c>
      <c r="I4" s="30"/>
      <c r="J4" s="31" t="s">
        <v>1063</v>
      </c>
      <c r="K4" s="31" t="s">
        <v>1116</v>
      </c>
      <c r="L4" s="31"/>
      <c r="M4" s="30"/>
      <c r="N4" s="30"/>
      <c r="O4" s="30"/>
      <c r="P4" s="30"/>
      <c r="Q4" s="30"/>
      <c r="R4" s="30"/>
      <c r="S4" s="30"/>
      <c r="T4" s="30"/>
      <c r="U4" s="30"/>
      <c r="V4" s="30"/>
      <c r="W4" s="30"/>
      <c r="X4" s="30"/>
    </row>
    <row r="5">
      <c r="A5" s="32">
        <v>46136.0</v>
      </c>
      <c r="B5" s="31" t="s">
        <v>1117</v>
      </c>
      <c r="C5" s="31" t="s">
        <v>1118</v>
      </c>
      <c r="D5" s="31" t="s">
        <v>1119</v>
      </c>
      <c r="E5" s="31" t="s">
        <v>1120</v>
      </c>
      <c r="F5" s="34">
        <v>12.0</v>
      </c>
      <c r="G5" s="34">
        <v>4.22</v>
      </c>
      <c r="H5" s="34">
        <v>16.22</v>
      </c>
      <c r="I5" s="30"/>
      <c r="J5" s="31" t="s">
        <v>1063</v>
      </c>
      <c r="K5" s="31" t="s">
        <v>1121</v>
      </c>
      <c r="L5" s="31"/>
      <c r="M5" s="30"/>
      <c r="N5" s="30"/>
      <c r="O5" s="30"/>
      <c r="P5" s="30"/>
      <c r="Q5" s="30"/>
      <c r="R5" s="30"/>
      <c r="S5" s="30"/>
      <c r="T5" s="30"/>
      <c r="U5" s="30"/>
      <c r="V5" s="30"/>
      <c r="W5" s="30"/>
      <c r="X5" s="30"/>
    </row>
    <row r="6">
      <c r="A6" s="32">
        <v>46136.0</v>
      </c>
      <c r="B6" s="31" t="s">
        <v>1122</v>
      </c>
      <c r="C6" s="31" t="s">
        <v>1118</v>
      </c>
      <c r="D6" s="31" t="s">
        <v>842</v>
      </c>
      <c r="E6" s="31" t="s">
        <v>1120</v>
      </c>
      <c r="F6" s="34">
        <v>5.0</v>
      </c>
      <c r="G6" s="34">
        <v>1.41</v>
      </c>
      <c r="H6" s="34">
        <v>6.41</v>
      </c>
      <c r="I6" s="31" t="s">
        <v>1123</v>
      </c>
      <c r="J6" s="31" t="s">
        <v>1063</v>
      </c>
      <c r="K6" s="31" t="s">
        <v>1124</v>
      </c>
      <c r="L6" s="31"/>
      <c r="M6" s="30"/>
      <c r="N6" s="30"/>
      <c r="O6" s="30"/>
      <c r="P6" s="30"/>
      <c r="Q6" s="30"/>
      <c r="R6" s="30"/>
      <c r="S6" s="30"/>
      <c r="T6" s="30"/>
      <c r="U6" s="30"/>
      <c r="V6" s="30"/>
      <c r="W6" s="30"/>
      <c r="X6" s="30"/>
    </row>
    <row r="7">
      <c r="A7" s="32">
        <v>46136.0</v>
      </c>
      <c r="B7" s="31" t="s">
        <v>1125</v>
      </c>
      <c r="C7" s="31" t="s">
        <v>1049</v>
      </c>
      <c r="D7" s="31" t="s">
        <v>1126</v>
      </c>
      <c r="E7" s="31" t="s">
        <v>1108</v>
      </c>
      <c r="F7" s="34">
        <v>0.0</v>
      </c>
      <c r="G7" s="34">
        <v>1.41</v>
      </c>
      <c r="H7" s="34">
        <v>1.41</v>
      </c>
      <c r="I7" s="30"/>
      <c r="J7" s="31" t="s">
        <v>1063</v>
      </c>
      <c r="K7" s="31" t="s">
        <v>1127</v>
      </c>
      <c r="L7" s="31"/>
      <c r="M7" s="30"/>
      <c r="N7" s="30"/>
      <c r="O7" s="30"/>
      <c r="P7" s="30"/>
      <c r="Q7" s="30"/>
      <c r="R7" s="30"/>
      <c r="S7" s="30"/>
      <c r="T7" s="30"/>
      <c r="U7" s="30"/>
      <c r="V7" s="30"/>
      <c r="W7" s="30"/>
      <c r="X7" s="30"/>
    </row>
    <row r="8">
      <c r="A8" s="32">
        <v>46136.0</v>
      </c>
      <c r="B8" s="31" t="s">
        <v>41</v>
      </c>
      <c r="C8" s="31" t="s">
        <v>1049</v>
      </c>
      <c r="D8" s="31" t="s">
        <v>1115</v>
      </c>
      <c r="E8" s="31" t="s">
        <v>1108</v>
      </c>
      <c r="F8" s="34">
        <v>0.0</v>
      </c>
      <c r="G8" s="34">
        <v>5.16</v>
      </c>
      <c r="H8" s="34">
        <v>5.16</v>
      </c>
      <c r="I8" s="30"/>
      <c r="J8" s="31" t="s">
        <v>1063</v>
      </c>
      <c r="K8" s="31" t="s">
        <v>1128</v>
      </c>
      <c r="L8" s="31"/>
      <c r="M8" s="30"/>
      <c r="N8" s="30"/>
      <c r="O8" s="30"/>
      <c r="P8" s="30"/>
      <c r="Q8" s="30"/>
      <c r="R8" s="30"/>
      <c r="S8" s="30"/>
      <c r="T8" s="30"/>
      <c r="U8" s="30"/>
      <c r="V8" s="30"/>
      <c r="W8" s="30"/>
      <c r="X8" s="30"/>
    </row>
    <row r="9">
      <c r="A9" s="32">
        <v>46156.0</v>
      </c>
      <c r="B9" s="31" t="s">
        <v>23</v>
      </c>
      <c r="C9" s="31" t="s">
        <v>1049</v>
      </c>
      <c r="D9" s="31" t="s">
        <v>48</v>
      </c>
      <c r="E9" s="31" t="s">
        <v>1129</v>
      </c>
      <c r="F9" s="34">
        <v>0.0</v>
      </c>
      <c r="G9" s="34">
        <v>5.16</v>
      </c>
      <c r="H9" s="34">
        <v>5.16</v>
      </c>
      <c r="I9" s="30"/>
      <c r="J9" s="31" t="s">
        <v>1067</v>
      </c>
      <c r="K9" s="31" t="s">
        <v>1130</v>
      </c>
      <c r="L9" s="30"/>
      <c r="M9" s="30"/>
      <c r="N9" s="30"/>
      <c r="O9" s="30"/>
      <c r="P9" s="30"/>
      <c r="Q9" s="30"/>
      <c r="R9" s="30"/>
      <c r="S9" s="30"/>
      <c r="T9" s="30"/>
      <c r="U9" s="30"/>
      <c r="V9" s="30"/>
      <c r="W9" s="30"/>
      <c r="X9" s="30"/>
    </row>
    <row r="10">
      <c r="A10" s="30"/>
      <c r="B10" s="30"/>
      <c r="C10" s="30"/>
      <c r="D10" s="30"/>
      <c r="E10" s="30"/>
      <c r="F10" s="30"/>
      <c r="G10" s="30"/>
      <c r="H10" s="30"/>
      <c r="I10" s="30"/>
      <c r="J10" s="30"/>
      <c r="K10" s="31"/>
      <c r="L10" s="30"/>
      <c r="M10" s="30"/>
      <c r="N10" s="30"/>
      <c r="O10" s="30"/>
      <c r="P10" s="30"/>
      <c r="Q10" s="30"/>
      <c r="R10" s="30"/>
      <c r="S10" s="30"/>
      <c r="T10" s="30"/>
      <c r="U10" s="30"/>
      <c r="V10" s="30"/>
      <c r="W10" s="30"/>
      <c r="X10" s="30"/>
    </row>
    <row r="11">
      <c r="A11" s="30"/>
      <c r="B11" s="30"/>
      <c r="C11" s="30"/>
      <c r="D11" s="30"/>
      <c r="E11" s="30"/>
      <c r="F11" s="30"/>
      <c r="G11" s="30"/>
      <c r="H11" s="30"/>
      <c r="I11" s="30"/>
      <c r="J11" s="30"/>
      <c r="K11" s="31"/>
      <c r="L11" s="30"/>
      <c r="M11" s="30"/>
      <c r="N11" s="30"/>
      <c r="O11" s="30"/>
      <c r="P11" s="30"/>
      <c r="Q11" s="30"/>
      <c r="R11" s="30"/>
      <c r="S11" s="30"/>
      <c r="T11" s="30"/>
      <c r="U11" s="30"/>
      <c r="V11" s="30"/>
      <c r="W11" s="30"/>
      <c r="X11" s="30"/>
    </row>
    <row r="12">
      <c r="A12" s="30"/>
      <c r="B12" s="30"/>
      <c r="C12" s="30"/>
      <c r="D12" s="30"/>
      <c r="E12" s="30"/>
      <c r="F12" s="30"/>
      <c r="G12" s="30"/>
      <c r="H12" s="30"/>
      <c r="I12" s="30"/>
      <c r="J12" s="30"/>
      <c r="K12" s="31"/>
      <c r="L12" s="30"/>
      <c r="M12" s="30"/>
      <c r="N12" s="30"/>
      <c r="O12" s="30"/>
      <c r="P12" s="30"/>
      <c r="Q12" s="30"/>
      <c r="R12" s="30"/>
      <c r="S12" s="30"/>
      <c r="T12" s="30"/>
      <c r="U12" s="30"/>
      <c r="V12" s="30"/>
      <c r="W12" s="30"/>
      <c r="X12" s="30"/>
    </row>
    <row r="13">
      <c r="A13" s="30"/>
      <c r="B13" s="30"/>
      <c r="C13" s="30"/>
      <c r="D13" s="30"/>
      <c r="E13" s="30"/>
      <c r="F13" s="30"/>
      <c r="G13" s="30"/>
      <c r="H13" s="30"/>
      <c r="I13" s="30"/>
      <c r="J13" s="30"/>
      <c r="K13" s="31"/>
      <c r="L13" s="30"/>
      <c r="M13" s="30"/>
      <c r="N13" s="30"/>
      <c r="O13" s="30"/>
      <c r="P13" s="30"/>
      <c r="Q13" s="30"/>
      <c r="R13" s="30"/>
      <c r="S13" s="30"/>
      <c r="T13" s="30"/>
      <c r="U13" s="30"/>
      <c r="V13" s="30"/>
      <c r="W13" s="30"/>
      <c r="X13" s="30"/>
    </row>
    <row r="14">
      <c r="A14" s="30"/>
      <c r="B14" s="30"/>
      <c r="C14" s="30"/>
      <c r="D14" s="30"/>
      <c r="E14" s="30"/>
      <c r="F14" s="30"/>
      <c r="G14" s="30"/>
      <c r="H14" s="30"/>
      <c r="I14" s="30"/>
      <c r="J14" s="30"/>
      <c r="K14" s="31"/>
      <c r="L14" s="30"/>
      <c r="M14" s="30"/>
      <c r="N14" s="30"/>
      <c r="O14" s="30"/>
      <c r="P14" s="30"/>
      <c r="Q14" s="30"/>
      <c r="R14" s="30"/>
      <c r="S14" s="30"/>
      <c r="T14" s="30"/>
      <c r="U14" s="30"/>
      <c r="V14" s="30"/>
      <c r="W14" s="30"/>
      <c r="X14" s="30"/>
    </row>
    <row r="15">
      <c r="A15" s="30"/>
      <c r="B15" s="30"/>
      <c r="C15" s="30"/>
      <c r="D15" s="30"/>
      <c r="E15" s="30"/>
      <c r="F15" s="30"/>
      <c r="G15" s="30"/>
      <c r="H15" s="30"/>
      <c r="I15" s="30"/>
      <c r="J15" s="30"/>
      <c r="K15" s="31"/>
      <c r="L15" s="30"/>
      <c r="M15" s="30"/>
      <c r="N15" s="30"/>
      <c r="O15" s="30"/>
      <c r="P15" s="30"/>
      <c r="Q15" s="30"/>
      <c r="R15" s="30"/>
      <c r="S15" s="30"/>
      <c r="T15" s="30"/>
      <c r="U15" s="30"/>
      <c r="V15" s="30"/>
      <c r="W15" s="30"/>
      <c r="X15" s="30"/>
    </row>
    <row r="16">
      <c r="A16" s="30"/>
      <c r="B16" s="30"/>
      <c r="C16" s="30"/>
      <c r="D16" s="30"/>
      <c r="E16" s="30"/>
      <c r="F16" s="30"/>
      <c r="G16" s="30"/>
      <c r="H16" s="30"/>
      <c r="I16" s="30"/>
      <c r="J16" s="30"/>
      <c r="K16" s="31"/>
      <c r="L16" s="30"/>
      <c r="M16" s="30"/>
      <c r="N16" s="30"/>
      <c r="O16" s="30"/>
      <c r="P16" s="30"/>
      <c r="Q16" s="30"/>
      <c r="R16" s="30"/>
      <c r="S16" s="30"/>
      <c r="T16" s="30"/>
      <c r="U16" s="30"/>
      <c r="V16" s="30"/>
      <c r="W16" s="30"/>
      <c r="X16" s="30"/>
    </row>
    <row r="17">
      <c r="A17" s="30"/>
      <c r="B17" s="30"/>
      <c r="C17" s="30"/>
      <c r="D17" s="30"/>
      <c r="E17" s="30"/>
      <c r="F17" s="30"/>
      <c r="G17" s="30"/>
      <c r="H17" s="30"/>
      <c r="I17" s="30"/>
      <c r="J17" s="30"/>
      <c r="K17" s="35"/>
      <c r="L17" s="30"/>
      <c r="M17" s="30"/>
      <c r="N17" s="30"/>
      <c r="O17" s="30"/>
      <c r="P17" s="30"/>
      <c r="Q17" s="30"/>
      <c r="R17" s="30"/>
      <c r="S17" s="30"/>
      <c r="T17" s="30"/>
      <c r="U17" s="30"/>
      <c r="V17" s="30"/>
      <c r="W17" s="30"/>
      <c r="X17" s="30"/>
    </row>
    <row r="18">
      <c r="A18" s="30"/>
      <c r="B18" s="30"/>
      <c r="C18" s="30"/>
      <c r="D18" s="30"/>
      <c r="E18" s="30"/>
      <c r="F18" s="30"/>
      <c r="G18" s="30"/>
      <c r="H18" s="30"/>
      <c r="I18" s="30"/>
      <c r="J18" s="30"/>
      <c r="K18" s="31"/>
      <c r="L18" s="30"/>
      <c r="M18" s="30"/>
      <c r="N18" s="30"/>
      <c r="O18" s="30"/>
      <c r="P18" s="30"/>
      <c r="Q18" s="30"/>
      <c r="R18" s="30"/>
      <c r="S18" s="30"/>
      <c r="T18" s="30"/>
      <c r="U18" s="30"/>
      <c r="V18" s="30"/>
      <c r="W18" s="30"/>
      <c r="X18" s="30"/>
    </row>
    <row r="19">
      <c r="A19" s="30"/>
      <c r="B19" s="30"/>
      <c r="C19" s="30"/>
      <c r="D19" s="30"/>
      <c r="E19" s="30"/>
      <c r="F19" s="30"/>
      <c r="G19" s="30"/>
      <c r="H19" s="30"/>
      <c r="I19" s="30"/>
      <c r="J19" s="30"/>
      <c r="K19" s="31"/>
      <c r="L19" s="30"/>
      <c r="M19" s="30"/>
      <c r="N19" s="30"/>
      <c r="O19" s="30"/>
      <c r="P19" s="30"/>
      <c r="Q19" s="30"/>
      <c r="R19" s="30"/>
      <c r="S19" s="30"/>
      <c r="T19" s="30"/>
      <c r="U19" s="30"/>
      <c r="V19" s="30"/>
      <c r="W19" s="30"/>
      <c r="X19" s="30"/>
    </row>
    <row r="20">
      <c r="A20" s="30"/>
      <c r="B20" s="30"/>
      <c r="C20" s="30"/>
      <c r="D20" s="30"/>
      <c r="E20" s="30"/>
      <c r="F20" s="30"/>
      <c r="G20" s="30"/>
      <c r="H20" s="30"/>
      <c r="I20" s="30"/>
      <c r="J20" s="30"/>
      <c r="K20" s="31"/>
      <c r="L20" s="30"/>
      <c r="M20" s="30"/>
      <c r="N20" s="30"/>
      <c r="O20" s="30"/>
      <c r="P20" s="30"/>
      <c r="Q20" s="30"/>
      <c r="R20" s="30"/>
      <c r="S20" s="30"/>
      <c r="T20" s="30"/>
      <c r="U20" s="30"/>
      <c r="V20" s="30"/>
      <c r="W20" s="30"/>
      <c r="X20" s="30"/>
    </row>
    <row r="21">
      <c r="A21" s="30"/>
      <c r="B21" s="30"/>
      <c r="C21" s="30"/>
      <c r="D21" s="30"/>
      <c r="E21" s="30"/>
      <c r="F21" s="30"/>
      <c r="G21" s="30"/>
      <c r="H21" s="30"/>
      <c r="I21" s="30"/>
      <c r="J21" s="30"/>
      <c r="K21" s="35"/>
      <c r="L21" s="30"/>
      <c r="M21" s="30"/>
      <c r="N21" s="30"/>
      <c r="O21" s="30"/>
      <c r="P21" s="30"/>
      <c r="Q21" s="30"/>
      <c r="R21" s="30"/>
      <c r="S21" s="30"/>
      <c r="T21" s="30"/>
      <c r="U21" s="30"/>
      <c r="V21" s="30"/>
      <c r="W21" s="30"/>
      <c r="X21" s="30"/>
    </row>
    <row r="22">
      <c r="A22" s="30"/>
      <c r="B22" s="30"/>
      <c r="C22" s="30"/>
      <c r="D22" s="30"/>
      <c r="E22" s="30"/>
      <c r="F22" s="30"/>
      <c r="G22" s="30"/>
      <c r="H22" s="30"/>
      <c r="I22" s="30"/>
      <c r="J22" s="30"/>
      <c r="K22" s="31"/>
      <c r="L22" s="30"/>
      <c r="M22" s="30"/>
      <c r="N22" s="30"/>
      <c r="O22" s="30"/>
      <c r="P22" s="30"/>
      <c r="Q22" s="30"/>
      <c r="R22" s="30"/>
      <c r="S22" s="30"/>
      <c r="T22" s="30"/>
      <c r="U22" s="30"/>
      <c r="V22" s="30"/>
      <c r="W22" s="30"/>
      <c r="X22" s="30"/>
    </row>
    <row r="23">
      <c r="A23" s="30"/>
      <c r="B23" s="30"/>
      <c r="C23" s="30"/>
      <c r="D23" s="30"/>
      <c r="E23" s="30"/>
      <c r="F23" s="30"/>
      <c r="G23" s="30"/>
      <c r="H23" s="30"/>
      <c r="I23" s="30"/>
      <c r="J23" s="30"/>
      <c r="K23" s="31"/>
      <c r="L23" s="30"/>
      <c r="M23" s="30"/>
      <c r="N23" s="30"/>
      <c r="O23" s="30"/>
      <c r="P23" s="30"/>
      <c r="Q23" s="30"/>
      <c r="R23" s="30"/>
      <c r="S23" s="30"/>
      <c r="T23" s="30"/>
      <c r="U23" s="30"/>
      <c r="V23" s="30"/>
      <c r="W23" s="30"/>
      <c r="X23" s="30"/>
    </row>
    <row r="24">
      <c r="A24" s="30"/>
      <c r="B24" s="30"/>
      <c r="C24" s="30"/>
      <c r="D24" s="30"/>
      <c r="E24" s="30"/>
      <c r="F24" s="30"/>
      <c r="G24" s="30"/>
      <c r="H24" s="30"/>
      <c r="I24" s="30"/>
      <c r="J24" s="30"/>
      <c r="K24" s="31"/>
      <c r="L24" s="30"/>
      <c r="M24" s="30"/>
      <c r="N24" s="30"/>
      <c r="O24" s="30"/>
      <c r="P24" s="30"/>
      <c r="Q24" s="30"/>
      <c r="R24" s="30"/>
      <c r="S24" s="30"/>
      <c r="T24" s="30"/>
      <c r="U24" s="30"/>
      <c r="V24" s="30"/>
      <c r="W24" s="30"/>
      <c r="X24" s="30"/>
    </row>
    <row r="25">
      <c r="A25" s="30"/>
      <c r="B25" s="30"/>
      <c r="C25" s="30"/>
      <c r="D25" s="30"/>
      <c r="E25" s="30"/>
      <c r="F25" s="30"/>
      <c r="G25" s="30"/>
      <c r="H25" s="30"/>
      <c r="I25" s="30"/>
      <c r="J25" s="30"/>
      <c r="K25" s="31"/>
      <c r="L25" s="30"/>
      <c r="M25" s="30"/>
      <c r="N25" s="30"/>
      <c r="O25" s="30"/>
      <c r="P25" s="30"/>
      <c r="Q25" s="30"/>
      <c r="R25" s="30"/>
      <c r="S25" s="30"/>
      <c r="T25" s="30"/>
      <c r="U25" s="30"/>
      <c r="V25" s="30"/>
      <c r="W25" s="30"/>
      <c r="X25" s="30"/>
    </row>
    <row r="26">
      <c r="A26" s="30"/>
      <c r="B26" s="30"/>
      <c r="C26" s="30"/>
      <c r="D26" s="30"/>
      <c r="E26" s="30"/>
      <c r="F26" s="30"/>
      <c r="G26" s="30"/>
      <c r="H26" s="30"/>
      <c r="I26" s="30"/>
      <c r="J26" s="30"/>
      <c r="K26" s="31"/>
      <c r="L26" s="30"/>
      <c r="M26" s="30"/>
      <c r="N26" s="30"/>
      <c r="O26" s="30"/>
      <c r="P26" s="30"/>
      <c r="Q26" s="30"/>
      <c r="R26" s="30"/>
      <c r="S26" s="30"/>
      <c r="T26" s="30"/>
      <c r="U26" s="30"/>
      <c r="V26" s="30"/>
      <c r="W26" s="30"/>
      <c r="X26" s="30"/>
    </row>
    <row r="27">
      <c r="A27" s="30"/>
      <c r="B27" s="30"/>
      <c r="C27" s="30"/>
      <c r="D27" s="30"/>
      <c r="E27" s="30"/>
      <c r="F27" s="30"/>
      <c r="G27" s="30"/>
      <c r="H27" s="30"/>
      <c r="I27" s="30"/>
      <c r="J27" s="30"/>
      <c r="K27" s="31"/>
      <c r="L27" s="30"/>
      <c r="M27" s="30"/>
      <c r="N27" s="30"/>
      <c r="O27" s="30"/>
      <c r="P27" s="30"/>
      <c r="Q27" s="30"/>
      <c r="R27" s="30"/>
      <c r="S27" s="30"/>
      <c r="T27" s="30"/>
      <c r="U27" s="30"/>
      <c r="V27" s="30"/>
      <c r="W27" s="30"/>
      <c r="X27" s="30"/>
    </row>
    <row r="28">
      <c r="A28" s="30"/>
      <c r="B28" s="30"/>
      <c r="C28" s="30"/>
      <c r="D28" s="30"/>
      <c r="E28" s="30"/>
      <c r="F28" s="30"/>
      <c r="G28" s="30"/>
      <c r="H28" s="30"/>
      <c r="I28" s="30"/>
      <c r="J28" s="30"/>
      <c r="K28" s="31"/>
      <c r="L28" s="30"/>
      <c r="M28" s="30"/>
      <c r="N28" s="30"/>
      <c r="O28" s="30"/>
      <c r="P28" s="30"/>
      <c r="Q28" s="30"/>
      <c r="R28" s="30"/>
      <c r="S28" s="30"/>
      <c r="T28" s="30"/>
      <c r="U28" s="30"/>
      <c r="V28" s="30"/>
      <c r="W28" s="30"/>
      <c r="X28" s="30"/>
    </row>
    <row r="29">
      <c r="A29" s="30"/>
      <c r="B29" s="30"/>
      <c r="C29" s="30"/>
      <c r="D29" s="30"/>
      <c r="E29" s="30"/>
      <c r="F29" s="30"/>
      <c r="G29" s="30"/>
      <c r="H29" s="30"/>
      <c r="I29" s="30"/>
      <c r="J29" s="30"/>
      <c r="K29" s="31"/>
      <c r="L29" s="30"/>
      <c r="M29" s="30"/>
      <c r="N29" s="30"/>
      <c r="O29" s="30"/>
      <c r="P29" s="30"/>
      <c r="Q29" s="30"/>
      <c r="R29" s="30"/>
      <c r="S29" s="30"/>
      <c r="T29" s="30"/>
      <c r="U29" s="30"/>
      <c r="V29" s="30"/>
      <c r="W29" s="30"/>
      <c r="X29" s="30"/>
    </row>
    <row r="30">
      <c r="A30" s="30"/>
      <c r="B30" s="30"/>
      <c r="C30" s="30"/>
      <c r="D30" s="30"/>
      <c r="E30" s="30"/>
      <c r="F30" s="30"/>
      <c r="G30" s="30"/>
      <c r="H30" s="30"/>
      <c r="I30" s="30"/>
      <c r="J30" s="30"/>
      <c r="K30" s="31"/>
      <c r="L30" s="30"/>
      <c r="M30" s="30"/>
      <c r="N30" s="30"/>
      <c r="O30" s="30"/>
      <c r="P30" s="30"/>
      <c r="Q30" s="30"/>
      <c r="R30" s="30"/>
      <c r="S30" s="30"/>
      <c r="T30" s="30"/>
      <c r="U30" s="30"/>
      <c r="V30" s="30"/>
      <c r="W30" s="30"/>
      <c r="X30" s="30"/>
    </row>
    <row r="31">
      <c r="A31" s="30"/>
      <c r="B31" s="30"/>
      <c r="C31" s="30"/>
      <c r="D31" s="30"/>
      <c r="E31" s="30"/>
      <c r="F31" s="30"/>
      <c r="G31" s="30"/>
      <c r="H31" s="30"/>
      <c r="I31" s="30"/>
      <c r="J31" s="30"/>
      <c r="K31" s="31"/>
      <c r="L31" s="30"/>
      <c r="M31" s="30"/>
      <c r="N31" s="30"/>
      <c r="O31" s="30"/>
      <c r="P31" s="30"/>
      <c r="Q31" s="30"/>
      <c r="R31" s="30"/>
      <c r="S31" s="30"/>
      <c r="T31" s="30"/>
      <c r="U31" s="30"/>
      <c r="V31" s="30"/>
      <c r="W31" s="30"/>
      <c r="X31" s="30"/>
    </row>
    <row r="32">
      <c r="A32" s="30"/>
      <c r="B32" s="30"/>
      <c r="C32" s="30"/>
      <c r="D32" s="30"/>
      <c r="E32" s="30"/>
      <c r="F32" s="30"/>
      <c r="G32" s="30"/>
      <c r="H32" s="30"/>
      <c r="I32" s="30"/>
      <c r="J32" s="30"/>
      <c r="K32" s="31"/>
      <c r="L32" s="30"/>
      <c r="M32" s="30"/>
      <c r="N32" s="30"/>
      <c r="O32" s="30"/>
      <c r="P32" s="30"/>
      <c r="Q32" s="30"/>
      <c r="R32" s="30"/>
      <c r="S32" s="30"/>
      <c r="T32" s="30"/>
      <c r="U32" s="30"/>
      <c r="V32" s="30"/>
      <c r="W32" s="30"/>
      <c r="X32" s="30"/>
    </row>
    <row r="33">
      <c r="A33" s="30"/>
      <c r="B33" s="30"/>
      <c r="C33" s="30"/>
      <c r="D33" s="30"/>
      <c r="E33" s="30"/>
      <c r="F33" s="30"/>
      <c r="G33" s="30"/>
      <c r="H33" s="30"/>
      <c r="I33" s="30"/>
      <c r="J33" s="30"/>
      <c r="K33" s="31"/>
      <c r="L33" s="30"/>
      <c r="M33" s="30"/>
      <c r="N33" s="30"/>
      <c r="O33" s="30"/>
      <c r="P33" s="30"/>
      <c r="Q33" s="30"/>
      <c r="R33" s="30"/>
      <c r="S33" s="30"/>
      <c r="T33" s="30"/>
      <c r="U33" s="30"/>
      <c r="V33" s="30"/>
      <c r="W33" s="30"/>
      <c r="X33" s="30"/>
    </row>
    <row r="34">
      <c r="A34" s="30"/>
      <c r="B34" s="30"/>
      <c r="C34" s="30"/>
      <c r="D34" s="30"/>
      <c r="E34" s="30"/>
      <c r="F34" s="30"/>
      <c r="G34" s="30"/>
      <c r="H34" s="30"/>
      <c r="I34" s="30"/>
      <c r="J34" s="30"/>
      <c r="K34" s="31"/>
      <c r="L34" s="30"/>
      <c r="M34" s="30"/>
      <c r="N34" s="30"/>
      <c r="O34" s="30"/>
      <c r="P34" s="30"/>
      <c r="Q34" s="30"/>
      <c r="R34" s="30"/>
      <c r="S34" s="30"/>
      <c r="T34" s="30"/>
      <c r="U34" s="30"/>
      <c r="V34" s="30"/>
      <c r="W34" s="30"/>
      <c r="X34" s="30"/>
    </row>
    <row r="35">
      <c r="A35" s="30"/>
      <c r="B35" s="30"/>
      <c r="C35" s="30"/>
      <c r="D35" s="30"/>
      <c r="E35" s="30"/>
      <c r="F35" s="30"/>
      <c r="G35" s="30"/>
      <c r="H35" s="30"/>
      <c r="I35" s="30"/>
      <c r="J35" s="30"/>
      <c r="K35" s="31"/>
      <c r="L35" s="30"/>
      <c r="M35" s="30"/>
      <c r="N35" s="30"/>
      <c r="O35" s="30"/>
      <c r="P35" s="30"/>
      <c r="Q35" s="30"/>
      <c r="R35" s="30"/>
      <c r="S35" s="30"/>
      <c r="T35" s="30"/>
      <c r="U35" s="30"/>
      <c r="V35" s="30"/>
      <c r="W35" s="30"/>
      <c r="X35" s="30"/>
    </row>
    <row r="36">
      <c r="A36" s="30"/>
      <c r="B36" s="30"/>
      <c r="C36" s="30"/>
      <c r="D36" s="30"/>
      <c r="E36" s="30"/>
      <c r="F36" s="30"/>
      <c r="G36" s="30"/>
      <c r="H36" s="30"/>
      <c r="I36" s="30"/>
      <c r="J36" s="30"/>
      <c r="K36" s="35"/>
      <c r="L36" s="30"/>
      <c r="M36" s="30"/>
      <c r="N36" s="30"/>
      <c r="O36" s="30"/>
      <c r="P36" s="30"/>
      <c r="Q36" s="30"/>
      <c r="R36" s="30"/>
      <c r="S36" s="30"/>
      <c r="T36" s="30"/>
      <c r="U36" s="30"/>
      <c r="V36" s="30"/>
      <c r="W36" s="30"/>
      <c r="X36" s="30"/>
    </row>
    <row r="37">
      <c r="A37" s="30"/>
      <c r="B37" s="30"/>
      <c r="C37" s="30"/>
      <c r="D37" s="30"/>
      <c r="E37" s="30"/>
      <c r="F37" s="30"/>
      <c r="G37" s="30"/>
      <c r="H37" s="30"/>
      <c r="I37" s="30"/>
      <c r="J37" s="30"/>
      <c r="K37" s="31"/>
      <c r="L37" s="30"/>
      <c r="M37" s="30"/>
      <c r="N37" s="30"/>
      <c r="O37" s="30"/>
      <c r="P37" s="30"/>
      <c r="Q37" s="30"/>
      <c r="R37" s="30"/>
      <c r="S37" s="30"/>
      <c r="T37" s="30"/>
      <c r="U37" s="30"/>
      <c r="V37" s="30"/>
      <c r="W37" s="30"/>
      <c r="X37" s="30"/>
    </row>
    <row r="38">
      <c r="A38" s="30"/>
      <c r="B38" s="30"/>
      <c r="C38" s="30"/>
      <c r="D38" s="30"/>
      <c r="E38" s="30"/>
      <c r="F38" s="30"/>
      <c r="G38" s="30"/>
      <c r="H38" s="30"/>
      <c r="I38" s="30"/>
      <c r="J38" s="30"/>
      <c r="K38" s="31"/>
      <c r="L38" s="30"/>
      <c r="M38" s="30"/>
      <c r="N38" s="30"/>
      <c r="O38" s="30"/>
      <c r="P38" s="30"/>
      <c r="Q38" s="30"/>
      <c r="R38" s="30"/>
      <c r="S38" s="30"/>
      <c r="T38" s="30"/>
      <c r="U38" s="30"/>
      <c r="V38" s="30"/>
      <c r="W38" s="30"/>
      <c r="X38" s="30"/>
    </row>
    <row r="39">
      <c r="A39" s="30"/>
      <c r="B39" s="30"/>
      <c r="C39" s="30"/>
      <c r="D39" s="30"/>
      <c r="E39" s="30"/>
      <c r="F39" s="30"/>
      <c r="G39" s="30"/>
      <c r="H39" s="30"/>
      <c r="I39" s="30"/>
      <c r="J39" s="30"/>
      <c r="K39" s="31"/>
      <c r="L39" s="30"/>
      <c r="M39" s="30"/>
      <c r="N39" s="30"/>
      <c r="O39" s="30"/>
      <c r="P39" s="30"/>
      <c r="Q39" s="30"/>
      <c r="R39" s="30"/>
      <c r="S39" s="30"/>
      <c r="T39" s="30"/>
      <c r="U39" s="30"/>
      <c r="V39" s="30"/>
      <c r="W39" s="30"/>
      <c r="X39" s="30"/>
    </row>
    <row r="40">
      <c r="A40" s="30"/>
      <c r="B40" s="30"/>
      <c r="C40" s="30"/>
      <c r="D40" s="30"/>
      <c r="E40" s="30"/>
      <c r="F40" s="30"/>
      <c r="G40" s="30"/>
      <c r="H40" s="30"/>
      <c r="I40" s="30"/>
      <c r="J40" s="30"/>
      <c r="K40" s="31"/>
      <c r="L40" s="30"/>
      <c r="M40" s="30"/>
      <c r="N40" s="30"/>
      <c r="O40" s="30"/>
      <c r="P40" s="30"/>
      <c r="Q40" s="30"/>
      <c r="R40" s="30"/>
      <c r="S40" s="30"/>
      <c r="T40" s="30"/>
      <c r="U40" s="30"/>
      <c r="V40" s="30"/>
      <c r="W40" s="30"/>
      <c r="X40" s="30"/>
    </row>
    <row r="41">
      <c r="A41" s="30"/>
      <c r="B41" s="30"/>
      <c r="C41" s="30"/>
      <c r="D41" s="30"/>
      <c r="E41" s="30"/>
      <c r="F41" s="30"/>
      <c r="G41" s="30"/>
      <c r="H41" s="30"/>
      <c r="I41" s="30"/>
      <c r="J41" s="30"/>
      <c r="K41" s="31"/>
      <c r="L41" s="30"/>
      <c r="M41" s="30"/>
      <c r="N41" s="30"/>
      <c r="O41" s="30"/>
      <c r="P41" s="30"/>
      <c r="Q41" s="30"/>
      <c r="R41" s="30"/>
      <c r="S41" s="30"/>
      <c r="T41" s="30"/>
      <c r="U41" s="30"/>
      <c r="V41" s="30"/>
      <c r="W41" s="30"/>
      <c r="X41" s="30"/>
    </row>
    <row r="42">
      <c r="A42" s="30"/>
      <c r="B42" s="30"/>
      <c r="C42" s="30"/>
      <c r="D42" s="30"/>
      <c r="E42" s="30"/>
      <c r="F42" s="30"/>
      <c r="G42" s="30"/>
      <c r="H42" s="30"/>
      <c r="I42" s="30"/>
      <c r="J42" s="30"/>
      <c r="K42" s="31"/>
      <c r="L42" s="30"/>
      <c r="M42" s="30"/>
      <c r="N42" s="30"/>
      <c r="O42" s="30"/>
      <c r="P42" s="30"/>
      <c r="Q42" s="30"/>
      <c r="R42" s="30"/>
      <c r="S42" s="30"/>
      <c r="T42" s="30"/>
      <c r="U42" s="30"/>
      <c r="V42" s="30"/>
      <c r="W42" s="30"/>
      <c r="X42" s="30"/>
    </row>
    <row r="43">
      <c r="A43" s="30"/>
      <c r="B43" s="30"/>
      <c r="C43" s="30"/>
      <c r="D43" s="30"/>
      <c r="E43" s="30"/>
      <c r="F43" s="30"/>
      <c r="G43" s="30"/>
      <c r="H43" s="30"/>
      <c r="I43" s="30"/>
      <c r="J43" s="30"/>
      <c r="K43" s="31"/>
      <c r="L43" s="30"/>
      <c r="M43" s="30"/>
      <c r="N43" s="30"/>
      <c r="O43" s="30"/>
      <c r="P43" s="30"/>
      <c r="Q43" s="30"/>
      <c r="R43" s="30"/>
      <c r="S43" s="30"/>
      <c r="T43" s="30"/>
      <c r="U43" s="30"/>
      <c r="V43" s="30"/>
      <c r="W43" s="30"/>
      <c r="X43" s="30"/>
    </row>
    <row r="44">
      <c r="A44" s="30"/>
      <c r="B44" s="30"/>
      <c r="C44" s="30"/>
      <c r="D44" s="30"/>
      <c r="E44" s="30"/>
      <c r="F44" s="30"/>
      <c r="G44" s="30"/>
      <c r="H44" s="30"/>
      <c r="I44" s="30"/>
      <c r="J44" s="30"/>
      <c r="K44" s="31"/>
      <c r="L44" s="30"/>
      <c r="M44" s="30"/>
      <c r="N44" s="30"/>
      <c r="O44" s="30"/>
      <c r="P44" s="30"/>
      <c r="Q44" s="30"/>
      <c r="R44" s="30"/>
      <c r="S44" s="30"/>
      <c r="T44" s="30"/>
      <c r="U44" s="30"/>
      <c r="V44" s="30"/>
      <c r="W44" s="30"/>
      <c r="X44" s="30"/>
    </row>
    <row r="45">
      <c r="A45" s="30"/>
      <c r="B45" s="30"/>
      <c r="C45" s="30"/>
      <c r="D45" s="30"/>
      <c r="E45" s="30"/>
      <c r="F45" s="30"/>
      <c r="G45" s="30"/>
      <c r="H45" s="30"/>
      <c r="I45" s="30"/>
      <c r="J45" s="30"/>
      <c r="K45" s="31"/>
      <c r="L45" s="30"/>
      <c r="M45" s="30"/>
      <c r="N45" s="30"/>
      <c r="O45" s="30"/>
      <c r="P45" s="30"/>
      <c r="Q45" s="30"/>
      <c r="R45" s="30"/>
      <c r="S45" s="30"/>
      <c r="T45" s="30"/>
      <c r="U45" s="30"/>
      <c r="V45" s="30"/>
      <c r="W45" s="30"/>
      <c r="X45" s="30"/>
    </row>
    <row r="46">
      <c r="A46" s="30"/>
      <c r="B46" s="30"/>
      <c r="C46" s="30"/>
      <c r="D46" s="30"/>
      <c r="E46" s="30"/>
      <c r="F46" s="30"/>
      <c r="G46" s="30"/>
      <c r="H46" s="30"/>
      <c r="I46" s="30"/>
      <c r="J46" s="30"/>
      <c r="K46" s="31"/>
      <c r="L46" s="30"/>
      <c r="M46" s="30"/>
      <c r="N46" s="30"/>
      <c r="O46" s="30"/>
      <c r="P46" s="30"/>
      <c r="Q46" s="30"/>
      <c r="R46" s="30"/>
      <c r="S46" s="30"/>
      <c r="T46" s="30"/>
      <c r="U46" s="30"/>
      <c r="V46" s="30"/>
      <c r="W46" s="30"/>
      <c r="X46" s="30"/>
    </row>
    <row r="47">
      <c r="A47" s="30"/>
      <c r="B47" s="30"/>
      <c r="C47" s="30"/>
      <c r="D47" s="30"/>
      <c r="E47" s="30"/>
      <c r="F47" s="30"/>
      <c r="G47" s="30"/>
      <c r="H47" s="30"/>
      <c r="I47" s="30"/>
      <c r="J47" s="30"/>
      <c r="K47" s="31"/>
      <c r="L47" s="30"/>
      <c r="M47" s="30"/>
      <c r="N47" s="30"/>
      <c r="O47" s="30"/>
      <c r="P47" s="30"/>
      <c r="Q47" s="30"/>
      <c r="R47" s="30"/>
      <c r="S47" s="30"/>
      <c r="T47" s="30"/>
      <c r="U47" s="30"/>
      <c r="V47" s="30"/>
      <c r="W47" s="30"/>
      <c r="X47" s="30"/>
    </row>
    <row r="48">
      <c r="A48" s="30"/>
      <c r="B48" s="30"/>
      <c r="C48" s="30"/>
      <c r="D48" s="30"/>
      <c r="E48" s="30"/>
      <c r="F48" s="30"/>
      <c r="G48" s="30"/>
      <c r="H48" s="30"/>
      <c r="I48" s="30"/>
      <c r="J48" s="30"/>
      <c r="K48" s="31"/>
      <c r="L48" s="30"/>
      <c r="M48" s="30"/>
      <c r="N48" s="30"/>
      <c r="O48" s="30"/>
      <c r="P48" s="30"/>
      <c r="Q48" s="30"/>
      <c r="R48" s="30"/>
      <c r="S48" s="30"/>
      <c r="T48" s="30"/>
      <c r="U48" s="30"/>
      <c r="V48" s="30"/>
      <c r="W48" s="30"/>
      <c r="X48" s="30"/>
    </row>
    <row r="49">
      <c r="A49" s="30"/>
      <c r="B49" s="30"/>
      <c r="C49" s="30"/>
      <c r="D49" s="30"/>
      <c r="E49" s="30"/>
      <c r="F49" s="30"/>
      <c r="G49" s="30"/>
      <c r="H49" s="30"/>
      <c r="I49" s="30"/>
      <c r="J49" s="30"/>
      <c r="K49" s="31"/>
      <c r="L49" s="30"/>
      <c r="M49" s="30"/>
      <c r="N49" s="30"/>
      <c r="O49" s="30"/>
      <c r="P49" s="30"/>
      <c r="Q49" s="30"/>
      <c r="R49" s="30"/>
      <c r="S49" s="30"/>
      <c r="T49" s="30"/>
      <c r="U49" s="30"/>
      <c r="V49" s="30"/>
      <c r="W49" s="30"/>
      <c r="X49" s="30"/>
    </row>
    <row r="50">
      <c r="A50" s="30"/>
      <c r="B50" s="30"/>
      <c r="C50" s="30"/>
      <c r="D50" s="30"/>
      <c r="E50" s="30"/>
      <c r="F50" s="30"/>
      <c r="G50" s="30"/>
      <c r="H50" s="30"/>
      <c r="I50" s="30"/>
      <c r="J50" s="30"/>
      <c r="K50" s="31"/>
      <c r="L50" s="30"/>
      <c r="M50" s="30"/>
      <c r="N50" s="30"/>
      <c r="O50" s="30"/>
      <c r="P50" s="30"/>
      <c r="Q50" s="30"/>
      <c r="R50" s="30"/>
      <c r="S50" s="30"/>
      <c r="T50" s="30"/>
      <c r="U50" s="30"/>
      <c r="V50" s="30"/>
      <c r="W50" s="30"/>
      <c r="X50" s="30"/>
    </row>
    <row r="51">
      <c r="A51" s="30"/>
      <c r="B51" s="30"/>
      <c r="C51" s="30"/>
      <c r="D51" s="30"/>
      <c r="E51" s="30"/>
      <c r="F51" s="30"/>
      <c r="G51" s="30"/>
      <c r="H51" s="30"/>
      <c r="I51" s="30"/>
      <c r="J51" s="30"/>
      <c r="K51" s="31"/>
      <c r="L51" s="30"/>
      <c r="M51" s="30"/>
      <c r="N51" s="30"/>
      <c r="O51" s="30"/>
      <c r="P51" s="30"/>
      <c r="Q51" s="30"/>
      <c r="R51" s="30"/>
      <c r="S51" s="30"/>
      <c r="T51" s="30"/>
      <c r="U51" s="30"/>
      <c r="V51" s="30"/>
      <c r="W51" s="30"/>
      <c r="X51" s="30"/>
    </row>
    <row r="52">
      <c r="A52" s="30"/>
      <c r="B52" s="30"/>
      <c r="C52" s="30"/>
      <c r="D52" s="30"/>
      <c r="E52" s="30"/>
      <c r="F52" s="30"/>
      <c r="G52" s="30"/>
      <c r="H52" s="30"/>
      <c r="I52" s="30"/>
      <c r="J52" s="30"/>
      <c r="K52" s="31"/>
      <c r="L52" s="30"/>
      <c r="M52" s="30"/>
      <c r="N52" s="30"/>
      <c r="O52" s="30"/>
      <c r="P52" s="30"/>
      <c r="Q52" s="30"/>
      <c r="R52" s="30"/>
      <c r="S52" s="30"/>
      <c r="T52" s="30"/>
      <c r="U52" s="30"/>
      <c r="V52" s="30"/>
      <c r="W52" s="30"/>
      <c r="X52" s="30"/>
    </row>
    <row r="53">
      <c r="A53" s="30"/>
      <c r="B53" s="30"/>
      <c r="C53" s="30"/>
      <c r="D53" s="30"/>
      <c r="E53" s="30"/>
      <c r="F53" s="30"/>
      <c r="G53" s="30"/>
      <c r="H53" s="30"/>
      <c r="I53" s="30"/>
      <c r="J53" s="30"/>
      <c r="K53" s="31"/>
      <c r="L53" s="30"/>
      <c r="M53" s="30"/>
      <c r="N53" s="30"/>
      <c r="O53" s="30"/>
      <c r="P53" s="30"/>
      <c r="Q53" s="30"/>
      <c r="R53" s="30"/>
      <c r="S53" s="30"/>
      <c r="T53" s="30"/>
      <c r="U53" s="30"/>
      <c r="V53" s="30"/>
      <c r="W53" s="30"/>
      <c r="X53" s="30"/>
    </row>
    <row r="54">
      <c r="A54" s="30"/>
      <c r="B54" s="30"/>
      <c r="C54" s="30"/>
      <c r="D54" s="30"/>
      <c r="E54" s="30"/>
      <c r="F54" s="30"/>
      <c r="G54" s="30"/>
      <c r="H54" s="30"/>
      <c r="I54" s="30"/>
      <c r="J54" s="30"/>
      <c r="K54" s="31"/>
      <c r="L54" s="30"/>
      <c r="M54" s="30"/>
      <c r="N54" s="30"/>
      <c r="O54" s="30"/>
      <c r="P54" s="30"/>
      <c r="Q54" s="30"/>
      <c r="R54" s="30"/>
      <c r="S54" s="30"/>
      <c r="T54" s="30"/>
      <c r="U54" s="30"/>
      <c r="V54" s="30"/>
      <c r="W54" s="30"/>
      <c r="X54" s="30"/>
    </row>
    <row r="55">
      <c r="A55" s="30"/>
      <c r="B55" s="30"/>
      <c r="C55" s="30"/>
      <c r="D55" s="30"/>
      <c r="E55" s="30"/>
      <c r="F55" s="30"/>
      <c r="G55" s="30"/>
      <c r="H55" s="30"/>
      <c r="I55" s="30"/>
      <c r="J55" s="30"/>
      <c r="K55" s="31"/>
      <c r="L55" s="30"/>
      <c r="M55" s="30"/>
      <c r="N55" s="30"/>
      <c r="O55" s="30"/>
      <c r="P55" s="30"/>
      <c r="Q55" s="30"/>
      <c r="R55" s="30"/>
      <c r="S55" s="30"/>
      <c r="T55" s="30"/>
      <c r="U55" s="30"/>
      <c r="V55" s="30"/>
      <c r="W55" s="30"/>
      <c r="X55" s="30"/>
    </row>
    <row r="56">
      <c r="A56" s="30"/>
      <c r="B56" s="30"/>
      <c r="C56" s="30"/>
      <c r="D56" s="30"/>
      <c r="E56" s="30"/>
      <c r="F56" s="30"/>
      <c r="G56" s="30"/>
      <c r="H56" s="30"/>
      <c r="I56" s="30"/>
      <c r="J56" s="30"/>
      <c r="K56" s="31"/>
      <c r="L56" s="30"/>
      <c r="M56" s="30"/>
      <c r="N56" s="30"/>
      <c r="O56" s="30"/>
      <c r="P56" s="30"/>
      <c r="Q56" s="30"/>
      <c r="R56" s="30"/>
      <c r="S56" s="30"/>
      <c r="T56" s="30"/>
      <c r="U56" s="30"/>
      <c r="V56" s="30"/>
      <c r="W56" s="30"/>
      <c r="X56" s="30"/>
    </row>
    <row r="57">
      <c r="A57" s="30"/>
      <c r="B57" s="30"/>
      <c r="C57" s="30"/>
      <c r="D57" s="30"/>
      <c r="E57" s="30"/>
      <c r="F57" s="30"/>
      <c r="G57" s="30"/>
      <c r="H57" s="30"/>
      <c r="I57" s="30"/>
      <c r="J57" s="30"/>
      <c r="K57" s="31"/>
      <c r="L57" s="30"/>
      <c r="M57" s="30"/>
      <c r="N57" s="30"/>
      <c r="O57" s="30"/>
      <c r="P57" s="30"/>
      <c r="Q57" s="30"/>
      <c r="R57" s="30"/>
      <c r="S57" s="30"/>
      <c r="T57" s="30"/>
      <c r="U57" s="30"/>
      <c r="V57" s="30"/>
      <c r="W57" s="30"/>
      <c r="X57" s="30"/>
    </row>
    <row r="58">
      <c r="A58" s="30"/>
      <c r="B58" s="30"/>
      <c r="C58" s="30"/>
      <c r="D58" s="30"/>
      <c r="E58" s="30"/>
      <c r="F58" s="30"/>
      <c r="G58" s="30"/>
      <c r="H58" s="30"/>
      <c r="I58" s="30"/>
      <c r="J58" s="30"/>
      <c r="K58" s="31"/>
      <c r="L58" s="30"/>
      <c r="M58" s="30"/>
      <c r="N58" s="30"/>
      <c r="O58" s="30"/>
      <c r="P58" s="30"/>
      <c r="Q58" s="30"/>
      <c r="R58" s="30"/>
      <c r="S58" s="30"/>
      <c r="T58" s="30"/>
      <c r="U58" s="30"/>
      <c r="V58" s="30"/>
      <c r="W58" s="30"/>
      <c r="X58" s="30"/>
    </row>
    <row r="59">
      <c r="A59" s="30"/>
      <c r="B59" s="30"/>
      <c r="C59" s="30"/>
      <c r="D59" s="30"/>
      <c r="E59" s="30"/>
      <c r="F59" s="30"/>
      <c r="G59" s="30"/>
      <c r="H59" s="30"/>
      <c r="I59" s="30"/>
      <c r="J59" s="30"/>
      <c r="K59" s="31"/>
      <c r="L59" s="30"/>
      <c r="M59" s="30"/>
      <c r="N59" s="30"/>
      <c r="O59" s="30"/>
      <c r="P59" s="30"/>
      <c r="Q59" s="30"/>
      <c r="R59" s="30"/>
      <c r="S59" s="30"/>
      <c r="T59" s="30"/>
      <c r="U59" s="30"/>
      <c r="V59" s="30"/>
      <c r="W59" s="30"/>
      <c r="X59" s="30"/>
    </row>
    <row r="60">
      <c r="A60" s="30"/>
      <c r="B60" s="30"/>
      <c r="C60" s="30"/>
      <c r="D60" s="30"/>
      <c r="E60" s="30"/>
      <c r="F60" s="30"/>
      <c r="G60" s="30"/>
      <c r="H60" s="30"/>
      <c r="I60" s="30"/>
      <c r="J60" s="30"/>
      <c r="K60" s="31"/>
      <c r="L60" s="30"/>
      <c r="M60" s="30"/>
      <c r="N60" s="30"/>
      <c r="O60" s="30"/>
      <c r="P60" s="30"/>
      <c r="Q60" s="30"/>
      <c r="R60" s="30"/>
      <c r="S60" s="30"/>
      <c r="T60" s="30"/>
      <c r="U60" s="30"/>
      <c r="V60" s="30"/>
      <c r="W60" s="30"/>
      <c r="X60" s="30"/>
    </row>
    <row r="61">
      <c r="A61" s="30"/>
      <c r="B61" s="30"/>
      <c r="C61" s="30"/>
      <c r="D61" s="30"/>
      <c r="E61" s="30"/>
      <c r="F61" s="30"/>
      <c r="G61" s="30"/>
      <c r="H61" s="30"/>
      <c r="I61" s="30"/>
      <c r="J61" s="30"/>
      <c r="K61" s="31"/>
      <c r="L61" s="30"/>
      <c r="M61" s="30"/>
      <c r="N61" s="30"/>
      <c r="O61" s="30"/>
      <c r="P61" s="30"/>
      <c r="Q61" s="30"/>
      <c r="R61" s="30"/>
      <c r="S61" s="30"/>
      <c r="T61" s="30"/>
      <c r="U61" s="30"/>
      <c r="V61" s="30"/>
      <c r="W61" s="30"/>
      <c r="X61" s="30"/>
    </row>
    <row r="62">
      <c r="A62" s="30"/>
      <c r="B62" s="30"/>
      <c r="C62" s="30"/>
      <c r="D62" s="30"/>
      <c r="E62" s="30"/>
      <c r="F62" s="30"/>
      <c r="G62" s="30"/>
      <c r="H62" s="30"/>
      <c r="I62" s="30"/>
      <c r="J62" s="30"/>
      <c r="K62" s="31"/>
      <c r="L62" s="30"/>
      <c r="M62" s="30"/>
      <c r="N62" s="30"/>
      <c r="O62" s="30"/>
      <c r="P62" s="30"/>
      <c r="Q62" s="30"/>
      <c r="R62" s="30"/>
      <c r="S62" s="30"/>
      <c r="T62" s="30"/>
      <c r="U62" s="30"/>
      <c r="V62" s="30"/>
      <c r="W62" s="30"/>
      <c r="X62" s="30"/>
    </row>
    <row r="63">
      <c r="A63" s="30"/>
      <c r="B63" s="30"/>
      <c r="C63" s="30"/>
      <c r="D63" s="30"/>
      <c r="E63" s="30"/>
      <c r="F63" s="30"/>
      <c r="G63" s="30"/>
      <c r="H63" s="30"/>
      <c r="I63" s="30"/>
      <c r="J63" s="30"/>
      <c r="K63" s="31"/>
      <c r="L63" s="30"/>
      <c r="M63" s="30"/>
      <c r="N63" s="30"/>
      <c r="O63" s="30"/>
      <c r="P63" s="30"/>
      <c r="Q63" s="30"/>
      <c r="R63" s="30"/>
      <c r="S63" s="30"/>
      <c r="T63" s="30"/>
      <c r="U63" s="30"/>
      <c r="V63" s="30"/>
      <c r="W63" s="30"/>
      <c r="X63" s="30"/>
    </row>
    <row r="64">
      <c r="A64" s="30"/>
      <c r="B64" s="30"/>
      <c r="C64" s="30"/>
      <c r="D64" s="30"/>
      <c r="E64" s="30"/>
      <c r="F64" s="30"/>
      <c r="G64" s="30"/>
      <c r="H64" s="30"/>
      <c r="I64" s="30"/>
      <c r="J64" s="30"/>
      <c r="K64" s="31"/>
      <c r="L64" s="30"/>
      <c r="M64" s="30"/>
      <c r="N64" s="30"/>
      <c r="O64" s="30"/>
      <c r="P64" s="30"/>
      <c r="Q64" s="30"/>
      <c r="R64" s="30"/>
      <c r="S64" s="30"/>
      <c r="T64" s="30"/>
      <c r="U64" s="30"/>
      <c r="V64" s="30"/>
      <c r="W64" s="30"/>
      <c r="X64" s="30"/>
    </row>
    <row r="65">
      <c r="A65" s="30"/>
      <c r="B65" s="30"/>
      <c r="C65" s="30"/>
      <c r="D65" s="30"/>
      <c r="E65" s="30"/>
      <c r="F65" s="30"/>
      <c r="G65" s="30"/>
      <c r="H65" s="30"/>
      <c r="I65" s="30"/>
      <c r="J65" s="30"/>
      <c r="K65" s="31"/>
      <c r="L65" s="30"/>
      <c r="M65" s="30"/>
      <c r="N65" s="30"/>
      <c r="O65" s="30"/>
      <c r="P65" s="30"/>
      <c r="Q65" s="30"/>
      <c r="R65" s="30"/>
      <c r="S65" s="30"/>
      <c r="T65" s="30"/>
      <c r="U65" s="30"/>
      <c r="V65" s="30"/>
      <c r="W65" s="30"/>
      <c r="X65" s="30"/>
    </row>
    <row r="66">
      <c r="A66" s="30"/>
      <c r="B66" s="30"/>
      <c r="C66" s="30"/>
      <c r="D66" s="30"/>
      <c r="E66" s="30"/>
      <c r="F66" s="30"/>
      <c r="G66" s="30"/>
      <c r="H66" s="30"/>
      <c r="I66" s="30"/>
      <c r="J66" s="30"/>
      <c r="K66" s="31"/>
      <c r="L66" s="30"/>
      <c r="M66" s="30"/>
      <c r="N66" s="30"/>
      <c r="O66" s="30"/>
      <c r="P66" s="30"/>
      <c r="Q66" s="30"/>
      <c r="R66" s="30"/>
      <c r="S66" s="30"/>
      <c r="T66" s="30"/>
      <c r="U66" s="30"/>
      <c r="V66" s="30"/>
      <c r="W66" s="30"/>
      <c r="X66" s="30"/>
    </row>
    <row r="67">
      <c r="A67" s="30"/>
      <c r="B67" s="30"/>
      <c r="C67" s="30"/>
      <c r="D67" s="30"/>
      <c r="E67" s="30"/>
      <c r="F67" s="30"/>
      <c r="G67" s="30"/>
      <c r="H67" s="30"/>
      <c r="I67" s="30"/>
      <c r="J67" s="30"/>
      <c r="K67" s="31"/>
      <c r="L67" s="30"/>
      <c r="M67" s="30"/>
      <c r="N67" s="30"/>
      <c r="O67" s="30"/>
      <c r="P67" s="30"/>
      <c r="Q67" s="30"/>
      <c r="R67" s="30"/>
      <c r="S67" s="30"/>
      <c r="T67" s="30"/>
      <c r="U67" s="30"/>
      <c r="V67" s="30"/>
      <c r="W67" s="30"/>
      <c r="X67" s="30"/>
    </row>
    <row r="68">
      <c r="A68" s="30"/>
      <c r="B68" s="30"/>
      <c r="C68" s="30"/>
      <c r="D68" s="30"/>
      <c r="E68" s="30"/>
      <c r="F68" s="30"/>
      <c r="G68" s="30"/>
      <c r="H68" s="30"/>
      <c r="I68" s="30"/>
      <c r="J68" s="30"/>
      <c r="K68" s="31"/>
      <c r="L68" s="30"/>
      <c r="M68" s="30"/>
      <c r="N68" s="30"/>
      <c r="O68" s="30"/>
      <c r="P68" s="30"/>
      <c r="Q68" s="30"/>
      <c r="R68" s="30"/>
      <c r="S68" s="30"/>
      <c r="T68" s="30"/>
      <c r="U68" s="30"/>
      <c r="V68" s="30"/>
      <c r="W68" s="30"/>
      <c r="X68" s="30"/>
    </row>
    <row r="69">
      <c r="A69" s="30"/>
      <c r="B69" s="30"/>
      <c r="C69" s="30"/>
      <c r="D69" s="30"/>
      <c r="E69" s="30"/>
      <c r="F69" s="30"/>
      <c r="G69" s="30"/>
      <c r="H69" s="30"/>
      <c r="I69" s="30"/>
      <c r="J69" s="30"/>
      <c r="K69" s="31"/>
      <c r="L69" s="30"/>
      <c r="M69" s="30"/>
      <c r="N69" s="30"/>
      <c r="O69" s="30"/>
      <c r="P69" s="30"/>
      <c r="Q69" s="30"/>
      <c r="R69" s="30"/>
      <c r="S69" s="30"/>
      <c r="T69" s="30"/>
      <c r="U69" s="30"/>
      <c r="V69" s="30"/>
      <c r="W69" s="30"/>
      <c r="X69" s="30"/>
    </row>
    <row r="70">
      <c r="A70" s="30"/>
      <c r="B70" s="30"/>
      <c r="C70" s="30"/>
      <c r="D70" s="30"/>
      <c r="E70" s="30"/>
      <c r="F70" s="30"/>
      <c r="G70" s="30"/>
      <c r="H70" s="30"/>
      <c r="I70" s="30"/>
      <c r="J70" s="30"/>
      <c r="K70" s="31"/>
      <c r="L70" s="30"/>
      <c r="M70" s="30"/>
      <c r="N70" s="30"/>
      <c r="O70" s="30"/>
      <c r="P70" s="30"/>
      <c r="Q70" s="30"/>
      <c r="R70" s="30"/>
      <c r="S70" s="30"/>
      <c r="T70" s="30"/>
      <c r="U70" s="30"/>
      <c r="V70" s="30"/>
      <c r="W70" s="30"/>
      <c r="X70" s="30"/>
    </row>
    <row r="71">
      <c r="A71" s="30"/>
      <c r="B71" s="30"/>
      <c r="C71" s="30"/>
      <c r="D71" s="30"/>
      <c r="E71" s="30"/>
      <c r="F71" s="30"/>
      <c r="G71" s="30"/>
      <c r="H71" s="30"/>
      <c r="I71" s="30"/>
      <c r="J71" s="30"/>
      <c r="K71" s="31"/>
      <c r="L71" s="30"/>
      <c r="M71" s="30"/>
      <c r="N71" s="30"/>
      <c r="O71" s="30"/>
      <c r="P71" s="30"/>
      <c r="Q71" s="30"/>
      <c r="R71" s="30"/>
      <c r="S71" s="30"/>
      <c r="T71" s="30"/>
      <c r="U71" s="30"/>
      <c r="V71" s="30"/>
      <c r="W71" s="30"/>
      <c r="X71" s="30"/>
    </row>
    <row r="72">
      <c r="A72" s="30"/>
      <c r="B72" s="30"/>
      <c r="C72" s="30"/>
      <c r="D72" s="30"/>
      <c r="E72" s="30"/>
      <c r="F72" s="30"/>
      <c r="G72" s="30"/>
      <c r="H72" s="30"/>
      <c r="I72" s="30"/>
      <c r="J72" s="30"/>
      <c r="K72" s="31"/>
      <c r="L72" s="30"/>
      <c r="M72" s="30"/>
      <c r="N72" s="30"/>
      <c r="O72" s="30"/>
      <c r="P72" s="30"/>
      <c r="Q72" s="30"/>
      <c r="R72" s="30"/>
      <c r="S72" s="30"/>
      <c r="T72" s="30"/>
      <c r="U72" s="30"/>
      <c r="V72" s="30"/>
      <c r="W72" s="30"/>
      <c r="X72" s="30"/>
    </row>
    <row r="73">
      <c r="A73" s="30"/>
      <c r="B73" s="30"/>
      <c r="C73" s="30"/>
      <c r="D73" s="30"/>
      <c r="E73" s="30"/>
      <c r="F73" s="30"/>
      <c r="G73" s="30"/>
      <c r="H73" s="30"/>
      <c r="I73" s="30"/>
      <c r="J73" s="30"/>
      <c r="K73" s="31"/>
      <c r="L73" s="30"/>
      <c r="M73" s="30"/>
      <c r="N73" s="30"/>
      <c r="O73" s="30"/>
      <c r="P73" s="30"/>
      <c r="Q73" s="30"/>
      <c r="R73" s="30"/>
      <c r="S73" s="30"/>
      <c r="T73" s="30"/>
      <c r="U73" s="30"/>
      <c r="V73" s="30"/>
      <c r="W73" s="30"/>
      <c r="X73" s="30"/>
    </row>
    <row r="74">
      <c r="A74" s="30"/>
      <c r="B74" s="30"/>
      <c r="C74" s="30"/>
      <c r="D74" s="30"/>
      <c r="E74" s="30"/>
      <c r="F74" s="30"/>
      <c r="G74" s="30"/>
      <c r="H74" s="30"/>
      <c r="I74" s="30"/>
      <c r="J74" s="30"/>
      <c r="K74" s="31"/>
      <c r="L74" s="30"/>
      <c r="M74" s="30"/>
      <c r="N74" s="30"/>
      <c r="O74" s="30"/>
      <c r="P74" s="30"/>
      <c r="Q74" s="30"/>
      <c r="R74" s="30"/>
      <c r="S74" s="30"/>
      <c r="T74" s="30"/>
      <c r="U74" s="30"/>
      <c r="V74" s="30"/>
      <c r="W74" s="30"/>
      <c r="X74" s="30"/>
    </row>
    <row r="75">
      <c r="A75" s="30"/>
      <c r="B75" s="30"/>
      <c r="C75" s="30"/>
      <c r="D75" s="30"/>
      <c r="E75" s="30"/>
      <c r="F75" s="30"/>
      <c r="G75" s="30"/>
      <c r="H75" s="30"/>
      <c r="I75" s="30"/>
      <c r="J75" s="30"/>
      <c r="K75" s="31"/>
      <c r="L75" s="30"/>
      <c r="M75" s="30"/>
      <c r="N75" s="30"/>
      <c r="O75" s="30"/>
      <c r="P75" s="30"/>
      <c r="Q75" s="30"/>
      <c r="R75" s="30"/>
      <c r="S75" s="30"/>
      <c r="T75" s="30"/>
      <c r="U75" s="30"/>
      <c r="V75" s="30"/>
      <c r="W75" s="30"/>
      <c r="X75" s="30"/>
    </row>
    <row r="76">
      <c r="A76" s="30"/>
      <c r="B76" s="30"/>
      <c r="C76" s="30"/>
      <c r="D76" s="30"/>
      <c r="E76" s="30"/>
      <c r="F76" s="30"/>
      <c r="G76" s="30"/>
      <c r="H76" s="30"/>
      <c r="I76" s="30"/>
      <c r="J76" s="30"/>
      <c r="K76" s="31"/>
      <c r="L76" s="30"/>
      <c r="M76" s="30"/>
      <c r="N76" s="30"/>
      <c r="O76" s="30"/>
      <c r="P76" s="30"/>
      <c r="Q76" s="30"/>
      <c r="R76" s="30"/>
      <c r="S76" s="30"/>
      <c r="T76" s="30"/>
      <c r="U76" s="30"/>
      <c r="V76" s="30"/>
      <c r="W76" s="30"/>
      <c r="X76" s="30"/>
    </row>
    <row r="77">
      <c r="A77" s="30"/>
      <c r="B77" s="30"/>
      <c r="C77" s="30"/>
      <c r="D77" s="30"/>
      <c r="E77" s="30"/>
      <c r="F77" s="30"/>
      <c r="G77" s="30"/>
      <c r="H77" s="30"/>
      <c r="I77" s="30"/>
      <c r="J77" s="30"/>
      <c r="K77" s="31"/>
      <c r="L77" s="30"/>
      <c r="M77" s="30"/>
      <c r="N77" s="30"/>
      <c r="O77" s="30"/>
      <c r="P77" s="30"/>
      <c r="Q77" s="30"/>
      <c r="R77" s="30"/>
      <c r="S77" s="30"/>
      <c r="T77" s="30"/>
      <c r="U77" s="30"/>
      <c r="V77" s="30"/>
      <c r="W77" s="30"/>
      <c r="X77" s="30"/>
    </row>
    <row r="78">
      <c r="A78" s="30"/>
      <c r="B78" s="30"/>
      <c r="C78" s="30"/>
      <c r="D78" s="30"/>
      <c r="E78" s="30"/>
      <c r="F78" s="30"/>
      <c r="G78" s="30"/>
      <c r="H78" s="30"/>
      <c r="I78" s="30"/>
      <c r="J78" s="30"/>
      <c r="K78" s="31"/>
      <c r="L78" s="30"/>
      <c r="M78" s="30"/>
      <c r="N78" s="30"/>
      <c r="O78" s="30"/>
      <c r="P78" s="30"/>
      <c r="Q78" s="30"/>
      <c r="R78" s="30"/>
      <c r="S78" s="30"/>
      <c r="T78" s="30"/>
      <c r="U78" s="30"/>
      <c r="V78" s="30"/>
      <c r="W78" s="30"/>
      <c r="X78" s="30"/>
    </row>
    <row r="79">
      <c r="A79" s="30"/>
      <c r="B79" s="30"/>
      <c r="C79" s="30"/>
      <c r="D79" s="30"/>
      <c r="E79" s="30"/>
      <c r="F79" s="30"/>
      <c r="G79" s="30"/>
      <c r="H79" s="30"/>
      <c r="I79" s="30"/>
      <c r="J79" s="30"/>
      <c r="K79" s="31"/>
      <c r="L79" s="30"/>
      <c r="M79" s="30"/>
      <c r="N79" s="30"/>
      <c r="O79" s="30"/>
      <c r="P79" s="30"/>
      <c r="Q79" s="30"/>
      <c r="R79" s="30"/>
      <c r="S79" s="30"/>
      <c r="T79" s="30"/>
      <c r="U79" s="30"/>
      <c r="V79" s="30"/>
      <c r="W79" s="30"/>
      <c r="X79" s="30"/>
    </row>
    <row r="80">
      <c r="A80" s="30"/>
      <c r="B80" s="30"/>
      <c r="C80" s="30"/>
      <c r="D80" s="30"/>
      <c r="E80" s="30"/>
      <c r="F80" s="30"/>
      <c r="G80" s="30"/>
      <c r="H80" s="30"/>
      <c r="I80" s="30"/>
      <c r="J80" s="30"/>
      <c r="K80" s="31"/>
      <c r="L80" s="30"/>
      <c r="M80" s="30"/>
      <c r="N80" s="30"/>
      <c r="O80" s="30"/>
      <c r="P80" s="30"/>
      <c r="Q80" s="30"/>
      <c r="R80" s="30"/>
      <c r="S80" s="30"/>
      <c r="T80" s="30"/>
      <c r="U80" s="30"/>
      <c r="V80" s="30"/>
      <c r="W80" s="30"/>
      <c r="X80" s="30"/>
    </row>
    <row r="81">
      <c r="A81" s="30"/>
      <c r="B81" s="30"/>
      <c r="C81" s="30"/>
      <c r="D81" s="30"/>
      <c r="E81" s="30"/>
      <c r="F81" s="30"/>
      <c r="G81" s="30"/>
      <c r="H81" s="30"/>
      <c r="I81" s="30"/>
      <c r="J81" s="30"/>
      <c r="K81" s="31"/>
      <c r="L81" s="30"/>
      <c r="M81" s="30"/>
      <c r="N81" s="30"/>
      <c r="O81" s="30"/>
      <c r="P81" s="30"/>
      <c r="Q81" s="30"/>
      <c r="R81" s="30"/>
      <c r="S81" s="30"/>
      <c r="T81" s="30"/>
      <c r="U81" s="30"/>
      <c r="V81" s="30"/>
      <c r="W81" s="30"/>
      <c r="X81" s="30"/>
    </row>
    <row r="82">
      <c r="A82" s="30"/>
      <c r="B82" s="30"/>
      <c r="C82" s="30"/>
      <c r="D82" s="30"/>
      <c r="E82" s="30"/>
      <c r="F82" s="30"/>
      <c r="G82" s="30"/>
      <c r="H82" s="30"/>
      <c r="I82" s="30"/>
      <c r="J82" s="30"/>
      <c r="K82" s="31"/>
      <c r="L82" s="30"/>
      <c r="M82" s="30"/>
      <c r="N82" s="30"/>
      <c r="O82" s="30"/>
      <c r="P82" s="30"/>
      <c r="Q82" s="30"/>
      <c r="R82" s="30"/>
      <c r="S82" s="30"/>
      <c r="T82" s="30"/>
      <c r="U82" s="30"/>
      <c r="V82" s="30"/>
      <c r="W82" s="30"/>
      <c r="X82" s="30"/>
    </row>
    <row r="83">
      <c r="A83" s="30"/>
      <c r="B83" s="30"/>
      <c r="C83" s="30"/>
      <c r="D83" s="30"/>
      <c r="E83" s="30"/>
      <c r="F83" s="30"/>
      <c r="G83" s="30"/>
      <c r="H83" s="30"/>
      <c r="I83" s="30"/>
      <c r="J83" s="30"/>
      <c r="K83" s="31"/>
      <c r="L83" s="30"/>
      <c r="M83" s="30"/>
      <c r="N83" s="30"/>
      <c r="O83" s="30"/>
      <c r="P83" s="30"/>
      <c r="Q83" s="30"/>
      <c r="R83" s="30"/>
      <c r="S83" s="30"/>
      <c r="T83" s="30"/>
      <c r="U83" s="30"/>
      <c r="V83" s="30"/>
      <c r="W83" s="30"/>
      <c r="X83" s="30"/>
    </row>
    <row r="84">
      <c r="A84" s="30"/>
      <c r="B84" s="30"/>
      <c r="C84" s="30"/>
      <c r="D84" s="30"/>
      <c r="E84" s="30"/>
      <c r="F84" s="30"/>
      <c r="G84" s="30"/>
      <c r="H84" s="30"/>
      <c r="I84" s="30"/>
      <c r="J84" s="30"/>
      <c r="K84" s="31"/>
      <c r="L84" s="30"/>
      <c r="M84" s="30"/>
      <c r="N84" s="30"/>
      <c r="O84" s="30"/>
      <c r="P84" s="30"/>
      <c r="Q84" s="30"/>
      <c r="R84" s="30"/>
      <c r="S84" s="30"/>
      <c r="T84" s="30"/>
      <c r="U84" s="30"/>
      <c r="V84" s="30"/>
      <c r="W84" s="30"/>
      <c r="X84" s="30"/>
    </row>
    <row r="85">
      <c r="A85" s="30"/>
      <c r="B85" s="30"/>
      <c r="C85" s="30"/>
      <c r="D85" s="30"/>
      <c r="E85" s="30"/>
      <c r="F85" s="30"/>
      <c r="G85" s="30"/>
      <c r="H85" s="30"/>
      <c r="I85" s="30"/>
      <c r="J85" s="30"/>
      <c r="K85" s="31"/>
      <c r="L85" s="30"/>
      <c r="M85" s="30"/>
      <c r="N85" s="30"/>
      <c r="O85" s="30"/>
      <c r="P85" s="30"/>
      <c r="Q85" s="30"/>
      <c r="R85" s="30"/>
      <c r="S85" s="30"/>
      <c r="T85" s="30"/>
      <c r="U85" s="30"/>
      <c r="V85" s="30"/>
      <c r="W85" s="30"/>
      <c r="X85" s="30"/>
    </row>
    <row r="86">
      <c r="A86" s="30"/>
      <c r="B86" s="30"/>
      <c r="C86" s="30"/>
      <c r="D86" s="30"/>
      <c r="E86" s="30"/>
      <c r="F86" s="30"/>
      <c r="G86" s="30"/>
      <c r="H86" s="30"/>
      <c r="I86" s="30"/>
      <c r="J86" s="30"/>
      <c r="K86" s="31"/>
      <c r="L86" s="30"/>
      <c r="M86" s="30"/>
      <c r="N86" s="30"/>
      <c r="O86" s="30"/>
      <c r="P86" s="30"/>
      <c r="Q86" s="30"/>
      <c r="R86" s="30"/>
      <c r="S86" s="30"/>
      <c r="T86" s="30"/>
      <c r="U86" s="30"/>
      <c r="V86" s="30"/>
      <c r="W86" s="30"/>
      <c r="X86" s="30"/>
    </row>
    <row r="87">
      <c r="A87" s="30"/>
      <c r="B87" s="30"/>
      <c r="C87" s="30"/>
      <c r="D87" s="30"/>
      <c r="E87" s="30"/>
      <c r="F87" s="30"/>
      <c r="G87" s="30"/>
      <c r="H87" s="30"/>
      <c r="I87" s="30"/>
      <c r="J87" s="30"/>
      <c r="K87" s="31"/>
      <c r="L87" s="30"/>
      <c r="M87" s="30"/>
      <c r="N87" s="30"/>
      <c r="O87" s="30"/>
      <c r="P87" s="30"/>
      <c r="Q87" s="30"/>
      <c r="R87" s="30"/>
      <c r="S87" s="30"/>
      <c r="T87" s="30"/>
      <c r="U87" s="30"/>
      <c r="V87" s="30"/>
      <c r="W87" s="30"/>
      <c r="X87" s="30"/>
    </row>
    <row r="88">
      <c r="A88" s="30"/>
      <c r="B88" s="30"/>
      <c r="C88" s="30"/>
      <c r="D88" s="30"/>
      <c r="E88" s="30"/>
      <c r="F88" s="30"/>
      <c r="G88" s="30"/>
      <c r="H88" s="30"/>
      <c r="I88" s="30"/>
      <c r="J88" s="30"/>
      <c r="K88" s="31"/>
      <c r="L88" s="30"/>
      <c r="M88" s="30"/>
      <c r="N88" s="30"/>
      <c r="O88" s="30"/>
      <c r="P88" s="30"/>
      <c r="Q88" s="30"/>
      <c r="R88" s="30"/>
      <c r="S88" s="30"/>
      <c r="T88" s="30"/>
      <c r="U88" s="30"/>
      <c r="V88" s="30"/>
      <c r="W88" s="30"/>
      <c r="X88" s="30"/>
    </row>
    <row r="89">
      <c r="A89" s="30"/>
      <c r="B89" s="30"/>
      <c r="C89" s="30"/>
      <c r="D89" s="30"/>
      <c r="E89" s="30"/>
      <c r="F89" s="30"/>
      <c r="G89" s="30"/>
      <c r="H89" s="30"/>
      <c r="I89" s="30"/>
      <c r="J89" s="30"/>
      <c r="K89" s="31"/>
      <c r="L89" s="30"/>
      <c r="M89" s="30"/>
      <c r="N89" s="30"/>
      <c r="O89" s="30"/>
      <c r="P89" s="30"/>
      <c r="Q89" s="30"/>
      <c r="R89" s="30"/>
      <c r="S89" s="30"/>
      <c r="T89" s="30"/>
      <c r="U89" s="30"/>
      <c r="V89" s="30"/>
      <c r="W89" s="30"/>
      <c r="X89" s="30"/>
    </row>
    <row r="90">
      <c r="A90" s="30"/>
      <c r="B90" s="30"/>
      <c r="C90" s="30"/>
      <c r="D90" s="30"/>
      <c r="E90" s="30"/>
      <c r="F90" s="30"/>
      <c r="G90" s="30"/>
      <c r="H90" s="30"/>
      <c r="I90" s="30"/>
      <c r="J90" s="30"/>
      <c r="K90" s="31"/>
      <c r="L90" s="30"/>
      <c r="M90" s="30"/>
      <c r="N90" s="30"/>
      <c r="O90" s="30"/>
      <c r="P90" s="30"/>
      <c r="Q90" s="30"/>
      <c r="R90" s="30"/>
      <c r="S90" s="30"/>
      <c r="T90" s="30"/>
      <c r="U90" s="30"/>
      <c r="V90" s="30"/>
      <c r="W90" s="30"/>
      <c r="X90" s="30"/>
    </row>
    <row r="91">
      <c r="A91" s="30"/>
      <c r="B91" s="30"/>
      <c r="C91" s="30"/>
      <c r="D91" s="30"/>
      <c r="E91" s="30"/>
      <c r="F91" s="30"/>
      <c r="G91" s="30"/>
      <c r="H91" s="30"/>
      <c r="I91" s="30"/>
      <c r="J91" s="30"/>
      <c r="K91" s="31"/>
      <c r="L91" s="30"/>
      <c r="M91" s="30"/>
      <c r="N91" s="30"/>
      <c r="O91" s="30"/>
      <c r="P91" s="30"/>
      <c r="Q91" s="30"/>
      <c r="R91" s="30"/>
      <c r="S91" s="30"/>
      <c r="T91" s="30"/>
      <c r="U91" s="30"/>
      <c r="V91" s="30"/>
      <c r="W91" s="30"/>
      <c r="X91" s="30"/>
    </row>
    <row r="92">
      <c r="A92" s="30"/>
      <c r="B92" s="30"/>
      <c r="C92" s="30"/>
      <c r="D92" s="30"/>
      <c r="E92" s="30"/>
      <c r="F92" s="30"/>
      <c r="G92" s="30"/>
      <c r="H92" s="30"/>
      <c r="I92" s="30"/>
      <c r="J92" s="30"/>
      <c r="K92" s="31"/>
      <c r="L92" s="30"/>
      <c r="M92" s="30"/>
      <c r="N92" s="30"/>
      <c r="O92" s="30"/>
      <c r="P92" s="30"/>
      <c r="Q92" s="30"/>
      <c r="R92" s="30"/>
      <c r="S92" s="30"/>
      <c r="T92" s="30"/>
      <c r="U92" s="30"/>
      <c r="V92" s="30"/>
      <c r="W92" s="30"/>
      <c r="X92" s="30"/>
    </row>
    <row r="93">
      <c r="A93" s="30"/>
      <c r="B93" s="30"/>
      <c r="C93" s="30"/>
      <c r="D93" s="30"/>
      <c r="E93" s="30"/>
      <c r="F93" s="30"/>
      <c r="G93" s="30"/>
      <c r="H93" s="30"/>
      <c r="I93" s="30"/>
      <c r="J93" s="30"/>
      <c r="K93" s="35"/>
      <c r="L93" s="30"/>
      <c r="M93" s="30"/>
      <c r="N93" s="30"/>
      <c r="O93" s="30"/>
      <c r="P93" s="30"/>
      <c r="Q93" s="30"/>
      <c r="R93" s="30"/>
      <c r="S93" s="30"/>
      <c r="T93" s="30"/>
      <c r="U93" s="30"/>
      <c r="V93" s="30"/>
      <c r="W93" s="30"/>
      <c r="X93" s="30"/>
    </row>
    <row r="94">
      <c r="A94" s="30"/>
      <c r="B94" s="30"/>
      <c r="C94" s="30"/>
      <c r="D94" s="30"/>
      <c r="E94" s="30"/>
      <c r="F94" s="30"/>
      <c r="G94" s="30"/>
      <c r="H94" s="30"/>
      <c r="I94" s="30"/>
      <c r="J94" s="30"/>
      <c r="K94" s="31"/>
      <c r="L94" s="30"/>
      <c r="M94" s="30"/>
      <c r="N94" s="30"/>
      <c r="O94" s="30"/>
      <c r="P94" s="30"/>
      <c r="Q94" s="30"/>
      <c r="R94" s="30"/>
      <c r="S94" s="30"/>
      <c r="T94" s="30"/>
      <c r="U94" s="30"/>
      <c r="V94" s="30"/>
      <c r="W94" s="30"/>
      <c r="X94" s="30"/>
    </row>
    <row r="95">
      <c r="A95" s="30"/>
      <c r="B95" s="30"/>
      <c r="C95" s="30"/>
      <c r="D95" s="30"/>
      <c r="E95" s="30"/>
      <c r="F95" s="30"/>
      <c r="G95" s="30"/>
      <c r="H95" s="30"/>
      <c r="I95" s="30"/>
      <c r="J95" s="30"/>
      <c r="K95" s="31"/>
      <c r="L95" s="30"/>
      <c r="M95" s="30"/>
      <c r="N95" s="30"/>
      <c r="O95" s="30"/>
      <c r="P95" s="30"/>
      <c r="Q95" s="30"/>
      <c r="R95" s="30"/>
      <c r="S95" s="30"/>
      <c r="T95" s="30"/>
      <c r="U95" s="30"/>
      <c r="V95" s="30"/>
      <c r="W95" s="30"/>
      <c r="X95" s="30"/>
    </row>
    <row r="96">
      <c r="A96" s="30"/>
      <c r="B96" s="30"/>
      <c r="C96" s="30"/>
      <c r="D96" s="30"/>
      <c r="E96" s="30"/>
      <c r="F96" s="30"/>
      <c r="G96" s="30"/>
      <c r="H96" s="30"/>
      <c r="I96" s="30"/>
      <c r="J96" s="30"/>
      <c r="K96" s="31"/>
      <c r="L96" s="30"/>
      <c r="M96" s="30"/>
      <c r="N96" s="30"/>
      <c r="O96" s="30"/>
      <c r="P96" s="30"/>
      <c r="Q96" s="30"/>
      <c r="R96" s="30"/>
      <c r="S96" s="30"/>
      <c r="T96" s="30"/>
      <c r="U96" s="30"/>
      <c r="V96" s="30"/>
      <c r="W96" s="30"/>
      <c r="X96" s="30"/>
    </row>
    <row r="97">
      <c r="A97" s="30"/>
      <c r="B97" s="30"/>
      <c r="C97" s="30"/>
      <c r="D97" s="30"/>
      <c r="E97" s="30"/>
      <c r="F97" s="30"/>
      <c r="G97" s="30"/>
      <c r="H97" s="30"/>
      <c r="I97" s="30"/>
      <c r="J97" s="30"/>
      <c r="K97" s="31"/>
      <c r="L97" s="30"/>
      <c r="M97" s="30"/>
      <c r="N97" s="30"/>
      <c r="O97" s="30"/>
      <c r="P97" s="30"/>
      <c r="Q97" s="30"/>
      <c r="R97" s="30"/>
      <c r="S97" s="30"/>
      <c r="T97" s="30"/>
      <c r="U97" s="30"/>
      <c r="V97" s="30"/>
      <c r="W97" s="30"/>
      <c r="X97" s="30"/>
    </row>
    <row r="98">
      <c r="A98" s="30"/>
      <c r="B98" s="30"/>
      <c r="C98" s="30"/>
      <c r="D98" s="30"/>
      <c r="E98" s="30"/>
      <c r="F98" s="30"/>
      <c r="G98" s="30"/>
      <c r="H98" s="30"/>
      <c r="I98" s="30"/>
      <c r="J98" s="30"/>
      <c r="K98" s="31"/>
      <c r="L98" s="30"/>
      <c r="M98" s="30"/>
      <c r="N98" s="30"/>
      <c r="O98" s="30"/>
      <c r="P98" s="30"/>
      <c r="Q98" s="30"/>
      <c r="R98" s="30"/>
      <c r="S98" s="30"/>
      <c r="T98" s="30"/>
      <c r="U98" s="30"/>
      <c r="V98" s="30"/>
      <c r="W98" s="30"/>
      <c r="X98" s="30"/>
    </row>
    <row r="99">
      <c r="A99" s="30"/>
      <c r="B99" s="30"/>
      <c r="C99" s="30"/>
      <c r="D99" s="30"/>
      <c r="E99" s="30"/>
      <c r="F99" s="30"/>
      <c r="G99" s="30"/>
      <c r="H99" s="30"/>
      <c r="I99" s="30"/>
      <c r="J99" s="30"/>
      <c r="K99" s="31"/>
      <c r="L99" s="30"/>
      <c r="M99" s="30"/>
      <c r="N99" s="30"/>
      <c r="O99" s="30"/>
      <c r="P99" s="30"/>
      <c r="Q99" s="30"/>
      <c r="R99" s="30"/>
      <c r="S99" s="30"/>
      <c r="T99" s="30"/>
      <c r="U99" s="30"/>
      <c r="V99" s="30"/>
      <c r="W99" s="30"/>
      <c r="X99" s="30"/>
    </row>
    <row r="100">
      <c r="A100" s="30"/>
      <c r="B100" s="30"/>
      <c r="C100" s="30"/>
      <c r="D100" s="30"/>
      <c r="E100" s="30"/>
      <c r="F100" s="30"/>
      <c r="G100" s="30"/>
      <c r="H100" s="30"/>
      <c r="I100" s="30"/>
      <c r="J100" s="30"/>
      <c r="K100" s="31"/>
      <c r="L100" s="30"/>
      <c r="M100" s="30"/>
      <c r="N100" s="30"/>
      <c r="O100" s="30"/>
      <c r="P100" s="30"/>
      <c r="Q100" s="30"/>
      <c r="R100" s="30"/>
      <c r="S100" s="30"/>
      <c r="T100" s="30"/>
      <c r="U100" s="30"/>
      <c r="V100" s="30"/>
      <c r="W100" s="30"/>
      <c r="X100" s="30"/>
    </row>
    <row r="101">
      <c r="A101" s="30"/>
      <c r="B101" s="30"/>
      <c r="C101" s="30"/>
      <c r="D101" s="30"/>
      <c r="E101" s="30"/>
      <c r="F101" s="30"/>
      <c r="G101" s="30"/>
      <c r="H101" s="30"/>
      <c r="I101" s="30"/>
      <c r="J101" s="30"/>
      <c r="K101" s="31"/>
      <c r="L101" s="30"/>
      <c r="M101" s="30"/>
      <c r="N101" s="30"/>
      <c r="O101" s="30"/>
      <c r="P101" s="30"/>
      <c r="Q101" s="30"/>
      <c r="R101" s="30"/>
      <c r="S101" s="30"/>
      <c r="T101" s="30"/>
      <c r="U101" s="30"/>
      <c r="V101" s="30"/>
      <c r="W101" s="30"/>
      <c r="X101" s="30"/>
    </row>
    <row r="102">
      <c r="A102" s="30"/>
      <c r="B102" s="30"/>
      <c r="C102" s="30"/>
      <c r="D102" s="30"/>
      <c r="E102" s="30"/>
      <c r="F102" s="30"/>
      <c r="G102" s="30"/>
      <c r="H102" s="30"/>
      <c r="I102" s="30"/>
      <c r="J102" s="30"/>
      <c r="K102" s="31"/>
      <c r="L102" s="30"/>
      <c r="M102" s="30"/>
      <c r="N102" s="30"/>
      <c r="O102" s="30"/>
      <c r="P102" s="30"/>
      <c r="Q102" s="30"/>
      <c r="R102" s="30"/>
      <c r="S102" s="30"/>
      <c r="T102" s="30"/>
      <c r="U102" s="30"/>
      <c r="V102" s="30"/>
      <c r="W102" s="30"/>
      <c r="X102" s="30"/>
    </row>
    <row r="103">
      <c r="A103" s="30"/>
      <c r="B103" s="30"/>
      <c r="C103" s="30"/>
      <c r="D103" s="30"/>
      <c r="E103" s="30"/>
      <c r="F103" s="30"/>
      <c r="G103" s="30"/>
      <c r="H103" s="30"/>
      <c r="I103" s="30"/>
      <c r="J103" s="30"/>
      <c r="K103" s="31"/>
      <c r="L103" s="30"/>
      <c r="M103" s="30"/>
      <c r="N103" s="30"/>
      <c r="O103" s="30"/>
      <c r="P103" s="30"/>
      <c r="Q103" s="30"/>
      <c r="R103" s="30"/>
      <c r="S103" s="30"/>
      <c r="T103" s="30"/>
      <c r="U103" s="30"/>
      <c r="V103" s="30"/>
      <c r="W103" s="30"/>
      <c r="X103" s="30"/>
    </row>
    <row r="104">
      <c r="A104" s="30"/>
      <c r="B104" s="30"/>
      <c r="C104" s="30"/>
      <c r="D104" s="30"/>
      <c r="E104" s="30"/>
      <c r="F104" s="30"/>
      <c r="G104" s="30"/>
      <c r="H104" s="30"/>
      <c r="I104" s="30"/>
      <c r="J104" s="30"/>
      <c r="K104" s="31"/>
      <c r="L104" s="30"/>
      <c r="M104" s="30"/>
      <c r="N104" s="30"/>
      <c r="O104" s="30"/>
      <c r="P104" s="30"/>
      <c r="Q104" s="30"/>
      <c r="R104" s="30"/>
      <c r="S104" s="30"/>
      <c r="T104" s="30"/>
      <c r="U104" s="30"/>
      <c r="V104" s="30"/>
      <c r="W104" s="30"/>
      <c r="X104" s="30"/>
    </row>
    <row r="105">
      <c r="A105" s="30"/>
      <c r="B105" s="30"/>
      <c r="C105" s="30"/>
      <c r="D105" s="30"/>
      <c r="E105" s="30"/>
      <c r="F105" s="30"/>
      <c r="G105" s="30"/>
      <c r="H105" s="30"/>
      <c r="I105" s="30"/>
      <c r="J105" s="30"/>
      <c r="K105" s="31"/>
      <c r="L105" s="30"/>
      <c r="M105" s="30"/>
      <c r="N105" s="30"/>
      <c r="O105" s="30"/>
      <c r="P105" s="30"/>
      <c r="Q105" s="30"/>
      <c r="R105" s="30"/>
      <c r="S105" s="30"/>
      <c r="T105" s="30"/>
      <c r="U105" s="30"/>
      <c r="V105" s="30"/>
      <c r="W105" s="30"/>
      <c r="X105" s="30"/>
    </row>
    <row r="106">
      <c r="A106" s="30"/>
      <c r="B106" s="30"/>
      <c r="C106" s="30"/>
      <c r="D106" s="30"/>
      <c r="E106" s="30"/>
      <c r="F106" s="30"/>
      <c r="G106" s="30"/>
      <c r="H106" s="30"/>
      <c r="I106" s="30"/>
      <c r="J106" s="30"/>
      <c r="K106" s="31"/>
      <c r="L106" s="30"/>
      <c r="M106" s="30"/>
      <c r="N106" s="30"/>
      <c r="O106" s="30"/>
      <c r="P106" s="30"/>
      <c r="Q106" s="30"/>
      <c r="R106" s="30"/>
      <c r="S106" s="30"/>
      <c r="T106" s="30"/>
      <c r="U106" s="30"/>
      <c r="V106" s="30"/>
      <c r="W106" s="30"/>
      <c r="X106" s="30"/>
    </row>
    <row r="107">
      <c r="A107" s="30"/>
      <c r="B107" s="30"/>
      <c r="C107" s="30"/>
      <c r="D107" s="30"/>
      <c r="E107" s="30"/>
      <c r="F107" s="30"/>
      <c r="G107" s="30"/>
      <c r="H107" s="30"/>
      <c r="I107" s="30"/>
      <c r="J107" s="30"/>
      <c r="K107" s="31"/>
      <c r="L107" s="30"/>
      <c r="M107" s="30"/>
      <c r="N107" s="30"/>
      <c r="O107" s="30"/>
      <c r="P107" s="30"/>
      <c r="Q107" s="30"/>
      <c r="R107" s="30"/>
      <c r="S107" s="30"/>
      <c r="T107" s="30"/>
      <c r="U107" s="30"/>
      <c r="V107" s="30"/>
      <c r="W107" s="30"/>
      <c r="X107" s="30"/>
    </row>
    <row r="108">
      <c r="A108" s="30"/>
      <c r="B108" s="30"/>
      <c r="C108" s="30"/>
      <c r="D108" s="30"/>
      <c r="E108" s="30"/>
      <c r="F108" s="30"/>
      <c r="G108" s="30"/>
      <c r="H108" s="30"/>
      <c r="I108" s="30"/>
      <c r="J108" s="30"/>
      <c r="K108" s="31"/>
      <c r="L108" s="30"/>
      <c r="M108" s="30"/>
      <c r="N108" s="30"/>
      <c r="O108" s="30"/>
      <c r="P108" s="30"/>
      <c r="Q108" s="30"/>
      <c r="R108" s="30"/>
      <c r="S108" s="30"/>
      <c r="T108" s="30"/>
      <c r="U108" s="30"/>
      <c r="V108" s="30"/>
      <c r="W108" s="30"/>
      <c r="X108" s="30"/>
    </row>
    <row r="109">
      <c r="A109" s="30"/>
      <c r="B109" s="30"/>
      <c r="C109" s="30"/>
      <c r="D109" s="30"/>
      <c r="E109" s="30"/>
      <c r="F109" s="30"/>
      <c r="G109" s="30"/>
      <c r="H109" s="30"/>
      <c r="I109" s="30"/>
      <c r="J109" s="30"/>
      <c r="K109" s="31"/>
      <c r="L109" s="30"/>
      <c r="M109" s="30"/>
      <c r="N109" s="30"/>
      <c r="O109" s="30"/>
      <c r="P109" s="30"/>
      <c r="Q109" s="30"/>
      <c r="R109" s="30"/>
      <c r="S109" s="30"/>
      <c r="T109" s="30"/>
      <c r="U109" s="30"/>
      <c r="V109" s="30"/>
      <c r="W109" s="30"/>
      <c r="X109" s="30"/>
    </row>
    <row r="110">
      <c r="A110" s="30"/>
      <c r="B110" s="30"/>
      <c r="C110" s="30"/>
      <c r="D110" s="30"/>
      <c r="E110" s="30"/>
      <c r="F110" s="30"/>
      <c r="G110" s="30"/>
      <c r="H110" s="30"/>
      <c r="I110" s="30"/>
      <c r="J110" s="30"/>
      <c r="K110" s="31"/>
      <c r="L110" s="30"/>
      <c r="M110" s="30"/>
      <c r="N110" s="30"/>
      <c r="O110" s="30"/>
      <c r="P110" s="30"/>
      <c r="Q110" s="30"/>
      <c r="R110" s="30"/>
      <c r="S110" s="30"/>
      <c r="T110" s="30"/>
      <c r="U110" s="30"/>
      <c r="V110" s="30"/>
      <c r="W110" s="30"/>
      <c r="X110" s="30"/>
    </row>
    <row r="111">
      <c r="A111" s="30"/>
      <c r="B111" s="30"/>
      <c r="C111" s="30"/>
      <c r="D111" s="30"/>
      <c r="E111" s="30"/>
      <c r="F111" s="30"/>
      <c r="G111" s="30"/>
      <c r="H111" s="30"/>
      <c r="I111" s="30"/>
      <c r="J111" s="30"/>
      <c r="K111" s="31"/>
      <c r="L111" s="30"/>
      <c r="M111" s="30"/>
      <c r="N111" s="30"/>
      <c r="O111" s="30"/>
      <c r="P111" s="30"/>
      <c r="Q111" s="30"/>
      <c r="R111" s="30"/>
      <c r="S111" s="30"/>
      <c r="T111" s="30"/>
      <c r="U111" s="30"/>
      <c r="V111" s="30"/>
      <c r="W111" s="30"/>
      <c r="X111" s="30"/>
    </row>
    <row r="112">
      <c r="A112" s="30"/>
      <c r="B112" s="30"/>
      <c r="C112" s="30"/>
      <c r="D112" s="30"/>
      <c r="E112" s="30"/>
      <c r="F112" s="30"/>
      <c r="G112" s="30"/>
      <c r="H112" s="30"/>
      <c r="I112" s="30"/>
      <c r="J112" s="30"/>
      <c r="K112" s="31"/>
      <c r="L112" s="30"/>
      <c r="M112" s="30"/>
      <c r="N112" s="30"/>
      <c r="O112" s="30"/>
      <c r="P112" s="30"/>
      <c r="Q112" s="30"/>
      <c r="R112" s="30"/>
      <c r="S112" s="30"/>
      <c r="T112" s="30"/>
      <c r="U112" s="30"/>
      <c r="V112" s="30"/>
      <c r="W112" s="30"/>
      <c r="X112" s="30"/>
    </row>
    <row r="113">
      <c r="A113" s="30"/>
      <c r="B113" s="30"/>
      <c r="C113" s="30"/>
      <c r="D113" s="30"/>
      <c r="E113" s="30"/>
      <c r="F113" s="30"/>
      <c r="G113" s="30"/>
      <c r="H113" s="30"/>
      <c r="I113" s="30"/>
      <c r="J113" s="30"/>
      <c r="K113" s="31"/>
      <c r="L113" s="30"/>
      <c r="M113" s="30"/>
      <c r="N113" s="30"/>
      <c r="O113" s="30"/>
      <c r="P113" s="30"/>
      <c r="Q113" s="30"/>
      <c r="R113" s="30"/>
      <c r="S113" s="30"/>
      <c r="T113" s="30"/>
      <c r="U113" s="30"/>
      <c r="V113" s="30"/>
      <c r="W113" s="30"/>
      <c r="X113" s="30"/>
    </row>
    <row r="114">
      <c r="A114" s="30"/>
      <c r="B114" s="30"/>
      <c r="C114" s="30"/>
      <c r="D114" s="30"/>
      <c r="E114" s="30"/>
      <c r="F114" s="30"/>
      <c r="G114" s="30"/>
      <c r="H114" s="30"/>
      <c r="I114" s="30"/>
      <c r="J114" s="30"/>
      <c r="K114" s="31"/>
      <c r="L114" s="30"/>
      <c r="M114" s="30"/>
      <c r="N114" s="30"/>
      <c r="O114" s="30"/>
      <c r="P114" s="30"/>
      <c r="Q114" s="30"/>
      <c r="R114" s="30"/>
      <c r="S114" s="30"/>
      <c r="T114" s="30"/>
      <c r="U114" s="30"/>
      <c r="V114" s="30"/>
      <c r="W114" s="30"/>
      <c r="X114" s="30"/>
    </row>
    <row r="115">
      <c r="A115" s="30"/>
      <c r="B115" s="30"/>
      <c r="C115" s="30"/>
      <c r="D115" s="30"/>
      <c r="E115" s="30"/>
      <c r="F115" s="30"/>
      <c r="G115" s="30"/>
      <c r="H115" s="30"/>
      <c r="I115" s="30"/>
      <c r="J115" s="30"/>
      <c r="K115" s="31"/>
      <c r="L115" s="30"/>
      <c r="M115" s="30"/>
      <c r="N115" s="30"/>
      <c r="O115" s="30"/>
      <c r="P115" s="30"/>
      <c r="Q115" s="30"/>
      <c r="R115" s="30"/>
      <c r="S115" s="30"/>
      <c r="T115" s="30"/>
      <c r="U115" s="30"/>
      <c r="V115" s="30"/>
      <c r="W115" s="30"/>
      <c r="X115" s="30"/>
    </row>
    <row r="116">
      <c r="A116" s="30"/>
      <c r="B116" s="30"/>
      <c r="C116" s="30"/>
      <c r="D116" s="30"/>
      <c r="E116" s="30"/>
      <c r="F116" s="30"/>
      <c r="G116" s="30"/>
      <c r="H116" s="30"/>
      <c r="I116" s="30"/>
      <c r="J116" s="30"/>
      <c r="K116" s="31"/>
      <c r="L116" s="30"/>
      <c r="M116" s="30"/>
      <c r="N116" s="30"/>
      <c r="O116" s="30"/>
      <c r="P116" s="30"/>
      <c r="Q116" s="30"/>
      <c r="R116" s="30"/>
      <c r="S116" s="30"/>
      <c r="T116" s="30"/>
      <c r="U116" s="30"/>
      <c r="V116" s="30"/>
      <c r="W116" s="30"/>
      <c r="X116" s="30"/>
    </row>
    <row r="117">
      <c r="A117" s="30"/>
      <c r="B117" s="30"/>
      <c r="C117" s="30"/>
      <c r="D117" s="30"/>
      <c r="E117" s="30"/>
      <c r="F117" s="30"/>
      <c r="G117" s="30"/>
      <c r="H117" s="30"/>
      <c r="I117" s="30"/>
      <c r="J117" s="30"/>
      <c r="K117" s="31"/>
      <c r="L117" s="30"/>
      <c r="M117" s="30"/>
      <c r="N117" s="30"/>
      <c r="O117" s="30"/>
      <c r="P117" s="30"/>
      <c r="Q117" s="30"/>
      <c r="R117" s="30"/>
      <c r="S117" s="30"/>
      <c r="T117" s="30"/>
      <c r="U117" s="30"/>
      <c r="V117" s="30"/>
      <c r="W117" s="30"/>
      <c r="X117" s="30"/>
    </row>
    <row r="118">
      <c r="A118" s="30"/>
      <c r="B118" s="30"/>
      <c r="C118" s="30"/>
      <c r="D118" s="30"/>
      <c r="E118" s="30"/>
      <c r="F118" s="30"/>
      <c r="G118" s="30"/>
      <c r="H118" s="30"/>
      <c r="I118" s="30"/>
      <c r="J118" s="30"/>
      <c r="K118" s="31"/>
      <c r="L118" s="30"/>
      <c r="M118" s="30"/>
      <c r="N118" s="30"/>
      <c r="O118" s="30"/>
      <c r="P118" s="30"/>
      <c r="Q118" s="30"/>
      <c r="R118" s="30"/>
      <c r="S118" s="30"/>
      <c r="T118" s="30"/>
      <c r="U118" s="30"/>
      <c r="V118" s="30"/>
      <c r="W118" s="30"/>
      <c r="X118" s="30"/>
    </row>
    <row r="119">
      <c r="A119" s="30"/>
      <c r="B119" s="30"/>
      <c r="C119" s="30"/>
      <c r="D119" s="30"/>
      <c r="E119" s="30"/>
      <c r="F119" s="30"/>
      <c r="G119" s="30"/>
      <c r="H119" s="30"/>
      <c r="I119" s="30"/>
      <c r="J119" s="30"/>
      <c r="K119" s="31"/>
      <c r="L119" s="30"/>
      <c r="M119" s="30"/>
      <c r="N119" s="30"/>
      <c r="O119" s="30"/>
      <c r="P119" s="30"/>
      <c r="Q119" s="30"/>
      <c r="R119" s="30"/>
      <c r="S119" s="30"/>
      <c r="T119" s="30"/>
      <c r="U119" s="30"/>
      <c r="V119" s="30"/>
      <c r="W119" s="30"/>
      <c r="X119" s="30"/>
    </row>
    <row r="120">
      <c r="A120" s="30"/>
      <c r="B120" s="30"/>
      <c r="C120" s="30"/>
      <c r="D120" s="30"/>
      <c r="E120" s="30"/>
      <c r="F120" s="30"/>
      <c r="G120" s="30"/>
      <c r="H120" s="30"/>
      <c r="I120" s="30"/>
      <c r="J120" s="30"/>
      <c r="K120" s="31"/>
      <c r="L120" s="30"/>
      <c r="M120" s="30"/>
      <c r="N120" s="30"/>
      <c r="O120" s="30"/>
      <c r="P120" s="30"/>
      <c r="Q120" s="30"/>
      <c r="R120" s="30"/>
      <c r="S120" s="30"/>
      <c r="T120" s="30"/>
      <c r="U120" s="30"/>
      <c r="V120" s="30"/>
      <c r="W120" s="30"/>
      <c r="X120" s="30"/>
    </row>
    <row r="121">
      <c r="A121" s="30"/>
      <c r="B121" s="30"/>
      <c r="C121" s="30"/>
      <c r="D121" s="30"/>
      <c r="E121" s="30"/>
      <c r="F121" s="30"/>
      <c r="G121" s="30"/>
      <c r="H121" s="30"/>
      <c r="I121" s="30"/>
      <c r="J121" s="30"/>
      <c r="K121" s="31"/>
      <c r="L121" s="30"/>
      <c r="M121" s="30"/>
      <c r="N121" s="30"/>
      <c r="O121" s="30"/>
      <c r="P121" s="30"/>
      <c r="Q121" s="30"/>
      <c r="R121" s="30"/>
      <c r="S121" s="30"/>
      <c r="T121" s="30"/>
      <c r="U121" s="30"/>
      <c r="V121" s="30"/>
      <c r="W121" s="30"/>
      <c r="X121" s="30"/>
    </row>
    <row r="122">
      <c r="A122" s="30"/>
      <c r="B122" s="30"/>
      <c r="C122" s="30"/>
      <c r="D122" s="30"/>
      <c r="E122" s="30"/>
      <c r="F122" s="30"/>
      <c r="G122" s="30"/>
      <c r="H122" s="30"/>
      <c r="I122" s="30"/>
      <c r="J122" s="30"/>
      <c r="K122" s="31"/>
      <c r="L122" s="30"/>
      <c r="M122" s="30"/>
      <c r="N122" s="30"/>
      <c r="O122" s="30"/>
      <c r="P122" s="30"/>
      <c r="Q122" s="30"/>
      <c r="R122" s="30"/>
      <c r="S122" s="30"/>
      <c r="T122" s="30"/>
      <c r="U122" s="30"/>
      <c r="V122" s="30"/>
      <c r="W122" s="30"/>
      <c r="X122" s="30"/>
    </row>
    <row r="123">
      <c r="A123" s="30"/>
      <c r="B123" s="30"/>
      <c r="C123" s="30"/>
      <c r="D123" s="30"/>
      <c r="E123" s="30"/>
      <c r="F123" s="30"/>
      <c r="G123" s="30"/>
      <c r="H123" s="30"/>
      <c r="I123" s="30"/>
      <c r="J123" s="30"/>
      <c r="K123" s="31"/>
      <c r="L123" s="30"/>
      <c r="M123" s="30"/>
      <c r="N123" s="30"/>
      <c r="O123" s="30"/>
      <c r="P123" s="30"/>
      <c r="Q123" s="30"/>
      <c r="R123" s="30"/>
      <c r="S123" s="30"/>
      <c r="T123" s="30"/>
      <c r="U123" s="30"/>
      <c r="V123" s="30"/>
      <c r="W123" s="30"/>
      <c r="X123" s="30"/>
    </row>
    <row r="124">
      <c r="A124" s="30"/>
      <c r="B124" s="30"/>
      <c r="C124" s="30"/>
      <c r="D124" s="30"/>
      <c r="E124" s="30"/>
      <c r="F124" s="30"/>
      <c r="G124" s="30"/>
      <c r="H124" s="30"/>
      <c r="I124" s="30"/>
      <c r="J124" s="30"/>
      <c r="K124" s="31"/>
      <c r="L124" s="30"/>
      <c r="M124" s="30"/>
      <c r="N124" s="30"/>
      <c r="O124" s="30"/>
      <c r="P124" s="30"/>
      <c r="Q124" s="30"/>
      <c r="R124" s="30"/>
      <c r="S124" s="30"/>
      <c r="T124" s="30"/>
      <c r="U124" s="30"/>
      <c r="V124" s="30"/>
      <c r="W124" s="30"/>
      <c r="X124" s="30"/>
    </row>
    <row r="125">
      <c r="A125" s="30"/>
      <c r="B125" s="30"/>
      <c r="C125" s="30"/>
      <c r="D125" s="30"/>
      <c r="E125" s="30"/>
      <c r="F125" s="30"/>
      <c r="G125" s="30"/>
      <c r="H125" s="30"/>
      <c r="I125" s="30"/>
      <c r="J125" s="30"/>
      <c r="K125" s="31"/>
      <c r="L125" s="30"/>
      <c r="M125" s="30"/>
      <c r="N125" s="30"/>
      <c r="O125" s="30"/>
      <c r="P125" s="30"/>
      <c r="Q125" s="30"/>
      <c r="R125" s="30"/>
      <c r="S125" s="30"/>
      <c r="T125" s="30"/>
      <c r="U125" s="30"/>
      <c r="V125" s="30"/>
      <c r="W125" s="30"/>
      <c r="X125" s="30"/>
    </row>
    <row r="126">
      <c r="A126" s="30"/>
      <c r="B126" s="30"/>
      <c r="C126" s="30"/>
      <c r="D126" s="30"/>
      <c r="E126" s="30"/>
      <c r="F126" s="30"/>
      <c r="G126" s="30"/>
      <c r="H126" s="30"/>
      <c r="I126" s="30"/>
      <c r="J126" s="30"/>
      <c r="K126" s="31"/>
      <c r="L126" s="30"/>
      <c r="M126" s="30"/>
      <c r="N126" s="30"/>
      <c r="O126" s="30"/>
      <c r="P126" s="30"/>
      <c r="Q126" s="30"/>
      <c r="R126" s="30"/>
      <c r="S126" s="30"/>
      <c r="T126" s="30"/>
      <c r="U126" s="30"/>
      <c r="V126" s="30"/>
      <c r="W126" s="30"/>
      <c r="X126" s="30"/>
    </row>
    <row r="127">
      <c r="A127" s="30"/>
      <c r="B127" s="30"/>
      <c r="C127" s="30"/>
      <c r="D127" s="30"/>
      <c r="E127" s="30"/>
      <c r="F127" s="30"/>
      <c r="G127" s="30"/>
      <c r="H127" s="30"/>
      <c r="I127" s="30"/>
      <c r="J127" s="30"/>
      <c r="K127" s="35"/>
      <c r="L127" s="30"/>
      <c r="M127" s="30"/>
      <c r="N127" s="30"/>
      <c r="O127" s="30"/>
      <c r="P127" s="30"/>
      <c r="Q127" s="30"/>
      <c r="R127" s="30"/>
      <c r="S127" s="30"/>
      <c r="T127" s="30"/>
      <c r="U127" s="30"/>
      <c r="V127" s="30"/>
      <c r="W127" s="30"/>
      <c r="X127" s="30"/>
    </row>
    <row r="128">
      <c r="A128" s="30"/>
      <c r="B128" s="30"/>
      <c r="C128" s="30"/>
      <c r="D128" s="30"/>
      <c r="E128" s="30"/>
      <c r="F128" s="30"/>
      <c r="G128" s="30"/>
      <c r="H128" s="30"/>
      <c r="I128" s="30"/>
      <c r="J128" s="30"/>
      <c r="K128" s="31"/>
      <c r="L128" s="30"/>
      <c r="M128" s="30"/>
      <c r="N128" s="30"/>
      <c r="O128" s="30"/>
      <c r="P128" s="30"/>
      <c r="Q128" s="30"/>
      <c r="R128" s="30"/>
      <c r="S128" s="30"/>
      <c r="T128" s="30"/>
      <c r="U128" s="30"/>
      <c r="V128" s="30"/>
      <c r="W128" s="30"/>
      <c r="X128" s="30"/>
    </row>
    <row r="129">
      <c r="A129" s="30"/>
      <c r="B129" s="30"/>
      <c r="C129" s="30"/>
      <c r="D129" s="30"/>
      <c r="E129" s="30"/>
      <c r="F129" s="30"/>
      <c r="G129" s="30"/>
      <c r="H129" s="30"/>
      <c r="I129" s="30"/>
      <c r="J129" s="30"/>
      <c r="K129" s="31"/>
      <c r="L129" s="30"/>
      <c r="M129" s="30"/>
      <c r="N129" s="30"/>
      <c r="O129" s="30"/>
      <c r="P129" s="30"/>
      <c r="Q129" s="30"/>
      <c r="R129" s="30"/>
      <c r="S129" s="30"/>
      <c r="T129" s="30"/>
      <c r="U129" s="30"/>
      <c r="V129" s="30"/>
      <c r="W129" s="30"/>
      <c r="X129" s="30"/>
    </row>
    <row r="130">
      <c r="A130" s="30"/>
      <c r="B130" s="30"/>
      <c r="C130" s="30"/>
      <c r="D130" s="30"/>
      <c r="E130" s="30"/>
      <c r="F130" s="30"/>
      <c r="G130" s="30"/>
      <c r="H130" s="30"/>
      <c r="I130" s="30"/>
      <c r="J130" s="30"/>
      <c r="K130" s="31"/>
      <c r="L130" s="30"/>
      <c r="M130" s="30"/>
      <c r="N130" s="30"/>
      <c r="O130" s="30"/>
      <c r="P130" s="30"/>
      <c r="Q130" s="30"/>
      <c r="R130" s="30"/>
      <c r="S130" s="30"/>
      <c r="T130" s="30"/>
      <c r="U130" s="30"/>
      <c r="V130" s="30"/>
      <c r="W130" s="30"/>
      <c r="X130" s="30"/>
    </row>
    <row r="131">
      <c r="A131" s="30"/>
      <c r="B131" s="30"/>
      <c r="C131" s="30"/>
      <c r="D131" s="30"/>
      <c r="E131" s="30"/>
      <c r="F131" s="30"/>
      <c r="G131" s="30"/>
      <c r="H131" s="30"/>
      <c r="I131" s="30"/>
      <c r="J131" s="30"/>
      <c r="K131" s="31"/>
      <c r="L131" s="30"/>
      <c r="M131" s="30"/>
      <c r="N131" s="30"/>
      <c r="O131" s="30"/>
      <c r="P131" s="30"/>
      <c r="Q131" s="30"/>
      <c r="R131" s="30"/>
      <c r="S131" s="30"/>
      <c r="T131" s="30"/>
      <c r="U131" s="30"/>
      <c r="V131" s="30"/>
      <c r="W131" s="30"/>
      <c r="X131" s="30"/>
    </row>
    <row r="132">
      <c r="A132" s="30"/>
      <c r="B132" s="30"/>
      <c r="C132" s="30"/>
      <c r="D132" s="30"/>
      <c r="E132" s="30"/>
      <c r="F132" s="30"/>
      <c r="G132" s="30"/>
      <c r="H132" s="30"/>
      <c r="I132" s="30"/>
      <c r="J132" s="30"/>
      <c r="K132" s="31"/>
      <c r="L132" s="30"/>
      <c r="M132" s="30"/>
      <c r="N132" s="30"/>
      <c r="O132" s="30"/>
      <c r="P132" s="30"/>
      <c r="Q132" s="30"/>
      <c r="R132" s="30"/>
      <c r="S132" s="30"/>
      <c r="T132" s="30"/>
      <c r="U132" s="30"/>
      <c r="V132" s="30"/>
      <c r="W132" s="30"/>
      <c r="X132" s="30"/>
    </row>
    <row r="133">
      <c r="A133" s="30"/>
      <c r="B133" s="30"/>
      <c r="C133" s="30"/>
      <c r="D133" s="30"/>
      <c r="E133" s="30"/>
      <c r="F133" s="30"/>
      <c r="G133" s="30"/>
      <c r="H133" s="30"/>
      <c r="I133" s="30"/>
      <c r="J133" s="30"/>
      <c r="K133" s="31"/>
      <c r="L133" s="30"/>
      <c r="M133" s="30"/>
      <c r="N133" s="30"/>
      <c r="O133" s="30"/>
      <c r="P133" s="30"/>
      <c r="Q133" s="30"/>
      <c r="R133" s="30"/>
      <c r="S133" s="30"/>
      <c r="T133" s="30"/>
      <c r="U133" s="30"/>
      <c r="V133" s="30"/>
      <c r="W133" s="30"/>
      <c r="X133" s="30"/>
    </row>
    <row r="134">
      <c r="A134" s="30"/>
      <c r="B134" s="30"/>
      <c r="C134" s="30"/>
      <c r="D134" s="30"/>
      <c r="E134" s="30"/>
      <c r="F134" s="30"/>
      <c r="G134" s="30"/>
      <c r="H134" s="30"/>
      <c r="I134" s="30"/>
      <c r="J134" s="30"/>
      <c r="K134" s="31"/>
      <c r="L134" s="30"/>
      <c r="M134" s="30"/>
      <c r="N134" s="30"/>
      <c r="O134" s="30"/>
      <c r="P134" s="30"/>
      <c r="Q134" s="30"/>
      <c r="R134" s="30"/>
      <c r="S134" s="30"/>
      <c r="T134" s="30"/>
      <c r="U134" s="30"/>
      <c r="V134" s="30"/>
      <c r="W134" s="30"/>
      <c r="X134" s="30"/>
    </row>
    <row r="135">
      <c r="A135" s="30"/>
      <c r="B135" s="30"/>
      <c r="C135" s="30"/>
      <c r="D135" s="30"/>
      <c r="E135" s="30"/>
      <c r="F135" s="30"/>
      <c r="G135" s="30"/>
      <c r="H135" s="30"/>
      <c r="I135" s="30"/>
      <c r="J135" s="30"/>
      <c r="K135" s="35"/>
      <c r="L135" s="30"/>
      <c r="M135" s="30"/>
      <c r="N135" s="30"/>
      <c r="O135" s="30"/>
      <c r="P135" s="30"/>
      <c r="Q135" s="30"/>
      <c r="R135" s="30"/>
      <c r="S135" s="30"/>
      <c r="T135" s="30"/>
      <c r="U135" s="30"/>
      <c r="V135" s="30"/>
      <c r="W135" s="30"/>
      <c r="X135" s="30"/>
    </row>
    <row r="136">
      <c r="A136" s="30"/>
      <c r="B136" s="30"/>
      <c r="C136" s="30"/>
      <c r="D136" s="30"/>
      <c r="E136" s="30"/>
      <c r="F136" s="30"/>
      <c r="G136" s="30"/>
      <c r="H136" s="30"/>
      <c r="I136" s="30"/>
      <c r="J136" s="30"/>
      <c r="K136" s="31"/>
      <c r="L136" s="30"/>
      <c r="M136" s="30"/>
      <c r="N136" s="30"/>
      <c r="O136" s="30"/>
      <c r="P136" s="30"/>
      <c r="Q136" s="30"/>
      <c r="R136" s="30"/>
      <c r="S136" s="30"/>
      <c r="T136" s="30"/>
      <c r="U136" s="30"/>
      <c r="V136" s="30"/>
      <c r="W136" s="30"/>
      <c r="X136" s="30"/>
    </row>
    <row r="137">
      <c r="A137" s="30"/>
      <c r="B137" s="30"/>
      <c r="C137" s="30"/>
      <c r="D137" s="30"/>
      <c r="E137" s="30"/>
      <c r="F137" s="30"/>
      <c r="G137" s="30"/>
      <c r="H137" s="30"/>
      <c r="I137" s="30"/>
      <c r="J137" s="30"/>
      <c r="K137" s="31"/>
      <c r="L137" s="30"/>
      <c r="M137" s="30"/>
      <c r="N137" s="30"/>
      <c r="O137" s="30"/>
      <c r="P137" s="30"/>
      <c r="Q137" s="30"/>
      <c r="R137" s="30"/>
      <c r="S137" s="30"/>
      <c r="T137" s="30"/>
      <c r="U137" s="30"/>
      <c r="V137" s="30"/>
      <c r="W137" s="30"/>
      <c r="X137" s="30"/>
    </row>
    <row r="138">
      <c r="A138" s="30"/>
      <c r="B138" s="30"/>
      <c r="C138" s="30"/>
      <c r="D138" s="30"/>
      <c r="E138" s="30"/>
      <c r="F138" s="30"/>
      <c r="G138" s="30"/>
      <c r="H138" s="30"/>
      <c r="I138" s="30"/>
      <c r="J138" s="30"/>
      <c r="K138" s="31"/>
      <c r="L138" s="30"/>
      <c r="M138" s="30"/>
      <c r="N138" s="30"/>
      <c r="O138" s="30"/>
      <c r="P138" s="30"/>
      <c r="Q138" s="30"/>
      <c r="R138" s="30"/>
      <c r="S138" s="30"/>
      <c r="T138" s="30"/>
      <c r="U138" s="30"/>
      <c r="V138" s="30"/>
      <c r="W138" s="30"/>
      <c r="X138" s="30"/>
    </row>
    <row r="139">
      <c r="A139" s="30"/>
      <c r="B139" s="30"/>
      <c r="C139" s="30"/>
      <c r="D139" s="30"/>
      <c r="E139" s="30"/>
      <c r="F139" s="30"/>
      <c r="G139" s="30"/>
      <c r="H139" s="30"/>
      <c r="I139" s="30"/>
      <c r="J139" s="30"/>
      <c r="K139" s="31"/>
      <c r="L139" s="30"/>
      <c r="M139" s="30"/>
      <c r="N139" s="30"/>
      <c r="O139" s="30"/>
      <c r="P139" s="30"/>
      <c r="Q139" s="30"/>
      <c r="R139" s="30"/>
      <c r="S139" s="30"/>
      <c r="T139" s="30"/>
      <c r="U139" s="30"/>
      <c r="V139" s="30"/>
      <c r="W139" s="30"/>
      <c r="X139" s="30"/>
    </row>
    <row r="140">
      <c r="A140" s="30"/>
      <c r="B140" s="30"/>
      <c r="C140" s="30"/>
      <c r="D140" s="30"/>
      <c r="E140" s="30"/>
      <c r="F140" s="30"/>
      <c r="G140" s="30"/>
      <c r="H140" s="30"/>
      <c r="I140" s="30"/>
      <c r="J140" s="30"/>
      <c r="K140" s="31"/>
      <c r="L140" s="30"/>
      <c r="M140" s="30"/>
      <c r="N140" s="30"/>
      <c r="O140" s="30"/>
      <c r="P140" s="30"/>
      <c r="Q140" s="30"/>
      <c r="R140" s="30"/>
      <c r="S140" s="30"/>
      <c r="T140" s="30"/>
      <c r="U140" s="30"/>
      <c r="V140" s="30"/>
      <c r="W140" s="30"/>
      <c r="X140" s="30"/>
    </row>
    <row r="141">
      <c r="A141" s="30"/>
      <c r="B141" s="30"/>
      <c r="C141" s="30"/>
      <c r="D141" s="30"/>
      <c r="E141" s="30"/>
      <c r="F141" s="30"/>
      <c r="G141" s="30"/>
      <c r="H141" s="30"/>
      <c r="I141" s="30"/>
      <c r="J141" s="30"/>
      <c r="K141" s="31"/>
      <c r="L141" s="30"/>
      <c r="M141" s="30"/>
      <c r="N141" s="30"/>
      <c r="O141" s="30"/>
      <c r="P141" s="30"/>
      <c r="Q141" s="30"/>
      <c r="R141" s="30"/>
      <c r="S141" s="30"/>
      <c r="T141" s="30"/>
      <c r="U141" s="30"/>
      <c r="V141" s="30"/>
      <c r="W141" s="30"/>
      <c r="X141" s="30"/>
    </row>
    <row r="142">
      <c r="A142" s="30"/>
      <c r="B142" s="30"/>
      <c r="C142" s="30"/>
      <c r="D142" s="30"/>
      <c r="E142" s="30"/>
      <c r="F142" s="30"/>
      <c r="G142" s="30"/>
      <c r="H142" s="30"/>
      <c r="I142" s="30"/>
      <c r="J142" s="30"/>
      <c r="K142" s="31"/>
      <c r="L142" s="30"/>
      <c r="M142" s="30"/>
      <c r="N142" s="30"/>
      <c r="O142" s="30"/>
      <c r="P142" s="30"/>
      <c r="Q142" s="30"/>
      <c r="R142" s="30"/>
      <c r="S142" s="30"/>
      <c r="T142" s="30"/>
      <c r="U142" s="30"/>
      <c r="V142" s="30"/>
      <c r="W142" s="30"/>
      <c r="X142" s="30"/>
    </row>
    <row r="143">
      <c r="A143" s="30"/>
      <c r="B143" s="30"/>
      <c r="C143" s="30"/>
      <c r="D143" s="30"/>
      <c r="E143" s="30"/>
      <c r="F143" s="30"/>
      <c r="G143" s="30"/>
      <c r="H143" s="30"/>
      <c r="I143" s="30"/>
      <c r="J143" s="30"/>
      <c r="K143" s="31"/>
      <c r="L143" s="30"/>
      <c r="M143" s="30"/>
      <c r="N143" s="30"/>
      <c r="O143" s="30"/>
      <c r="P143" s="30"/>
      <c r="Q143" s="30"/>
      <c r="R143" s="30"/>
      <c r="S143" s="30"/>
      <c r="T143" s="30"/>
      <c r="U143" s="30"/>
      <c r="V143" s="30"/>
      <c r="W143" s="30"/>
      <c r="X143" s="30"/>
    </row>
    <row r="144">
      <c r="A144" s="30"/>
      <c r="B144" s="30"/>
      <c r="C144" s="30"/>
      <c r="D144" s="30"/>
      <c r="E144" s="30"/>
      <c r="F144" s="30"/>
      <c r="G144" s="30"/>
      <c r="H144" s="30"/>
      <c r="I144" s="30"/>
      <c r="J144" s="30"/>
      <c r="K144" s="31"/>
      <c r="L144" s="30"/>
      <c r="M144" s="30"/>
      <c r="N144" s="30"/>
      <c r="O144" s="30"/>
      <c r="P144" s="30"/>
      <c r="Q144" s="30"/>
      <c r="R144" s="30"/>
      <c r="S144" s="30"/>
      <c r="T144" s="30"/>
      <c r="U144" s="30"/>
      <c r="V144" s="30"/>
      <c r="W144" s="30"/>
      <c r="X144" s="30"/>
    </row>
    <row r="145">
      <c r="A145" s="30"/>
      <c r="B145" s="30"/>
      <c r="C145" s="30"/>
      <c r="D145" s="30"/>
      <c r="E145" s="30"/>
      <c r="F145" s="30"/>
      <c r="G145" s="30"/>
      <c r="H145" s="30"/>
      <c r="I145" s="30"/>
      <c r="J145" s="30"/>
      <c r="K145" s="31"/>
      <c r="L145" s="30"/>
      <c r="M145" s="30"/>
      <c r="N145" s="30"/>
      <c r="O145" s="30"/>
      <c r="P145" s="30"/>
      <c r="Q145" s="30"/>
      <c r="R145" s="30"/>
      <c r="S145" s="30"/>
      <c r="T145" s="30"/>
      <c r="U145" s="30"/>
      <c r="V145" s="30"/>
      <c r="W145" s="30"/>
      <c r="X145" s="30"/>
    </row>
    <row r="146">
      <c r="A146" s="30"/>
      <c r="B146" s="30"/>
      <c r="C146" s="30"/>
      <c r="D146" s="30"/>
      <c r="E146" s="30"/>
      <c r="F146" s="30"/>
      <c r="G146" s="30"/>
      <c r="H146" s="30"/>
      <c r="I146" s="30"/>
      <c r="J146" s="30"/>
      <c r="K146" s="31"/>
      <c r="L146" s="30"/>
      <c r="M146" s="30"/>
      <c r="N146" s="30"/>
      <c r="O146" s="30"/>
      <c r="P146" s="30"/>
      <c r="Q146" s="30"/>
      <c r="R146" s="30"/>
      <c r="S146" s="30"/>
      <c r="T146" s="30"/>
      <c r="U146" s="30"/>
      <c r="V146" s="30"/>
      <c r="W146" s="30"/>
      <c r="X146" s="30"/>
    </row>
    <row r="147">
      <c r="A147" s="30"/>
      <c r="B147" s="30"/>
      <c r="C147" s="30"/>
      <c r="D147" s="30"/>
      <c r="E147" s="30"/>
      <c r="F147" s="30"/>
      <c r="G147" s="30"/>
      <c r="H147" s="30"/>
      <c r="I147" s="30"/>
      <c r="J147" s="30"/>
      <c r="K147" s="31"/>
      <c r="L147" s="30"/>
      <c r="M147" s="30"/>
      <c r="N147" s="30"/>
      <c r="O147" s="30"/>
      <c r="P147" s="30"/>
      <c r="Q147" s="30"/>
      <c r="R147" s="30"/>
      <c r="S147" s="30"/>
      <c r="T147" s="30"/>
      <c r="U147" s="30"/>
      <c r="V147" s="30"/>
      <c r="W147" s="30"/>
      <c r="X147" s="30"/>
    </row>
    <row r="148">
      <c r="A148" s="30"/>
      <c r="B148" s="30"/>
      <c r="C148" s="30"/>
      <c r="D148" s="30"/>
      <c r="E148" s="30"/>
      <c r="F148" s="30"/>
      <c r="G148" s="30"/>
      <c r="H148" s="30"/>
      <c r="I148" s="30"/>
      <c r="J148" s="30"/>
      <c r="K148" s="31"/>
      <c r="L148" s="30"/>
      <c r="M148" s="30"/>
      <c r="N148" s="30"/>
      <c r="O148" s="30"/>
      <c r="P148" s="30"/>
      <c r="Q148" s="30"/>
      <c r="R148" s="30"/>
      <c r="S148" s="30"/>
      <c r="T148" s="30"/>
      <c r="U148" s="30"/>
      <c r="V148" s="30"/>
      <c r="W148" s="30"/>
      <c r="X148" s="30"/>
    </row>
    <row r="149">
      <c r="A149" s="30"/>
      <c r="B149" s="30"/>
      <c r="C149" s="30"/>
      <c r="D149" s="30"/>
      <c r="E149" s="30"/>
      <c r="F149" s="30"/>
      <c r="G149" s="30"/>
      <c r="H149" s="30"/>
      <c r="I149" s="30"/>
      <c r="J149" s="30"/>
      <c r="K149" s="31"/>
      <c r="L149" s="30"/>
      <c r="M149" s="30"/>
      <c r="N149" s="30"/>
      <c r="O149" s="30"/>
      <c r="P149" s="30"/>
      <c r="Q149" s="30"/>
      <c r="R149" s="30"/>
      <c r="S149" s="30"/>
      <c r="T149" s="30"/>
      <c r="U149" s="30"/>
      <c r="V149" s="30"/>
      <c r="W149" s="30"/>
      <c r="X149" s="30"/>
    </row>
    <row r="150">
      <c r="A150" s="30"/>
      <c r="B150" s="30"/>
      <c r="C150" s="30"/>
      <c r="D150" s="30"/>
      <c r="E150" s="30"/>
      <c r="F150" s="30"/>
      <c r="G150" s="30"/>
      <c r="H150" s="30"/>
      <c r="I150" s="30"/>
      <c r="J150" s="30"/>
      <c r="K150" s="31"/>
      <c r="L150" s="30"/>
      <c r="M150" s="30"/>
      <c r="N150" s="30"/>
      <c r="O150" s="30"/>
      <c r="P150" s="30"/>
      <c r="Q150" s="30"/>
      <c r="R150" s="30"/>
      <c r="S150" s="30"/>
      <c r="T150" s="30"/>
      <c r="U150" s="30"/>
      <c r="V150" s="30"/>
      <c r="W150" s="30"/>
      <c r="X150" s="30"/>
    </row>
    <row r="151">
      <c r="A151" s="30"/>
      <c r="B151" s="30"/>
      <c r="C151" s="30"/>
      <c r="D151" s="30"/>
      <c r="E151" s="30"/>
      <c r="F151" s="30"/>
      <c r="G151" s="30"/>
      <c r="H151" s="30"/>
      <c r="I151" s="30"/>
      <c r="J151" s="30"/>
      <c r="K151" s="31"/>
      <c r="L151" s="30"/>
      <c r="M151" s="30"/>
      <c r="N151" s="30"/>
      <c r="O151" s="30"/>
      <c r="P151" s="30"/>
      <c r="Q151" s="30"/>
      <c r="R151" s="30"/>
      <c r="S151" s="30"/>
      <c r="T151" s="30"/>
      <c r="U151" s="30"/>
      <c r="V151" s="30"/>
      <c r="W151" s="30"/>
      <c r="X151" s="30"/>
    </row>
    <row r="152">
      <c r="A152" s="30"/>
      <c r="B152" s="30"/>
      <c r="C152" s="30"/>
      <c r="D152" s="30"/>
      <c r="E152" s="30"/>
      <c r="F152" s="30"/>
      <c r="G152" s="30"/>
      <c r="H152" s="30"/>
      <c r="I152" s="30"/>
      <c r="J152" s="30"/>
      <c r="K152" s="31"/>
      <c r="L152" s="30"/>
      <c r="M152" s="30"/>
      <c r="N152" s="30"/>
      <c r="O152" s="30"/>
      <c r="P152" s="30"/>
      <c r="Q152" s="30"/>
      <c r="R152" s="30"/>
      <c r="S152" s="30"/>
      <c r="T152" s="30"/>
      <c r="U152" s="30"/>
      <c r="V152" s="30"/>
      <c r="W152" s="30"/>
      <c r="X152" s="30"/>
    </row>
    <row r="153">
      <c r="A153" s="30"/>
      <c r="B153" s="30"/>
      <c r="C153" s="30"/>
      <c r="D153" s="30"/>
      <c r="E153" s="30"/>
      <c r="F153" s="30"/>
      <c r="G153" s="30"/>
      <c r="H153" s="30"/>
      <c r="I153" s="30"/>
      <c r="J153" s="30"/>
      <c r="K153" s="31"/>
      <c r="L153" s="30"/>
      <c r="M153" s="30"/>
      <c r="N153" s="30"/>
      <c r="O153" s="30"/>
      <c r="P153" s="30"/>
      <c r="Q153" s="30"/>
      <c r="R153" s="30"/>
      <c r="S153" s="30"/>
      <c r="T153" s="30"/>
      <c r="U153" s="30"/>
      <c r="V153" s="30"/>
      <c r="W153" s="30"/>
      <c r="X153" s="30"/>
    </row>
    <row r="154">
      <c r="A154" s="30"/>
      <c r="B154" s="30"/>
      <c r="C154" s="30"/>
      <c r="D154" s="30"/>
      <c r="E154" s="30"/>
      <c r="F154" s="30"/>
      <c r="G154" s="30"/>
      <c r="H154" s="30"/>
      <c r="I154" s="30"/>
      <c r="J154" s="30"/>
      <c r="K154" s="31"/>
      <c r="L154" s="30"/>
      <c r="M154" s="30"/>
      <c r="N154" s="30"/>
      <c r="O154" s="30"/>
      <c r="P154" s="30"/>
      <c r="Q154" s="30"/>
      <c r="R154" s="30"/>
      <c r="S154" s="30"/>
      <c r="T154" s="30"/>
      <c r="U154" s="30"/>
      <c r="V154" s="30"/>
      <c r="W154" s="30"/>
      <c r="X154" s="30"/>
    </row>
    <row r="155">
      <c r="A155" s="30"/>
      <c r="B155" s="30"/>
      <c r="C155" s="30"/>
      <c r="D155" s="30"/>
      <c r="E155" s="30"/>
      <c r="F155" s="30"/>
      <c r="G155" s="30"/>
      <c r="H155" s="30"/>
      <c r="I155" s="30"/>
      <c r="J155" s="30"/>
      <c r="K155" s="31"/>
      <c r="L155" s="30"/>
      <c r="M155" s="30"/>
      <c r="N155" s="30"/>
      <c r="O155" s="30"/>
      <c r="P155" s="30"/>
      <c r="Q155" s="30"/>
      <c r="R155" s="30"/>
      <c r="S155" s="30"/>
      <c r="T155" s="30"/>
      <c r="U155" s="30"/>
      <c r="V155" s="30"/>
      <c r="W155" s="30"/>
      <c r="X155" s="30"/>
    </row>
    <row r="156">
      <c r="A156" s="30"/>
      <c r="B156" s="30"/>
      <c r="C156" s="30"/>
      <c r="D156" s="30"/>
      <c r="E156" s="30"/>
      <c r="F156" s="30"/>
      <c r="G156" s="30"/>
      <c r="H156" s="30"/>
      <c r="I156" s="30"/>
      <c r="J156" s="30"/>
      <c r="K156" s="31"/>
      <c r="L156" s="30"/>
      <c r="M156" s="30"/>
      <c r="N156" s="30"/>
      <c r="O156" s="30"/>
      <c r="P156" s="30"/>
      <c r="Q156" s="30"/>
      <c r="R156" s="30"/>
      <c r="S156" s="30"/>
      <c r="T156" s="30"/>
      <c r="U156" s="30"/>
      <c r="V156" s="30"/>
      <c r="W156" s="30"/>
      <c r="X156" s="30"/>
    </row>
    <row r="157">
      <c r="A157" s="30"/>
      <c r="B157" s="30"/>
      <c r="C157" s="30"/>
      <c r="D157" s="30"/>
      <c r="E157" s="30"/>
      <c r="F157" s="30"/>
      <c r="G157" s="30"/>
      <c r="H157" s="30"/>
      <c r="I157" s="30"/>
      <c r="J157" s="30"/>
      <c r="K157" s="31"/>
      <c r="L157" s="30"/>
      <c r="M157" s="30"/>
      <c r="N157" s="30"/>
      <c r="O157" s="30"/>
      <c r="P157" s="30"/>
      <c r="Q157" s="30"/>
      <c r="R157" s="30"/>
      <c r="S157" s="30"/>
      <c r="T157" s="30"/>
      <c r="U157" s="30"/>
      <c r="V157" s="30"/>
      <c r="W157" s="30"/>
      <c r="X157" s="30"/>
    </row>
    <row r="158">
      <c r="A158" s="30"/>
      <c r="B158" s="30"/>
      <c r="C158" s="30"/>
      <c r="D158" s="30"/>
      <c r="E158" s="30"/>
      <c r="F158" s="30"/>
      <c r="G158" s="30"/>
      <c r="H158" s="30"/>
      <c r="I158" s="30"/>
      <c r="J158" s="30"/>
      <c r="K158" s="31"/>
      <c r="L158" s="30"/>
      <c r="M158" s="30"/>
      <c r="N158" s="30"/>
      <c r="O158" s="30"/>
      <c r="P158" s="30"/>
      <c r="Q158" s="30"/>
      <c r="R158" s="30"/>
      <c r="S158" s="30"/>
      <c r="T158" s="30"/>
      <c r="U158" s="30"/>
      <c r="V158" s="30"/>
      <c r="W158" s="30"/>
      <c r="X158" s="30"/>
    </row>
    <row r="159">
      <c r="A159" s="30"/>
      <c r="B159" s="30"/>
      <c r="C159" s="30"/>
      <c r="D159" s="30"/>
      <c r="E159" s="30"/>
      <c r="F159" s="30"/>
      <c r="G159" s="30"/>
      <c r="H159" s="30"/>
      <c r="I159" s="30"/>
      <c r="J159" s="30"/>
      <c r="K159" s="31"/>
      <c r="L159" s="30"/>
      <c r="M159" s="30"/>
      <c r="N159" s="30"/>
      <c r="O159" s="30"/>
      <c r="P159" s="30"/>
      <c r="Q159" s="30"/>
      <c r="R159" s="30"/>
      <c r="S159" s="30"/>
      <c r="T159" s="30"/>
      <c r="U159" s="30"/>
      <c r="V159" s="30"/>
      <c r="W159" s="30"/>
      <c r="X159" s="30"/>
    </row>
    <row r="160">
      <c r="A160" s="30"/>
      <c r="B160" s="30"/>
      <c r="C160" s="30"/>
      <c r="D160" s="30"/>
      <c r="E160" s="30"/>
      <c r="F160" s="30"/>
      <c r="G160" s="30"/>
      <c r="H160" s="30"/>
      <c r="I160" s="30"/>
      <c r="J160" s="30"/>
      <c r="K160" s="31"/>
      <c r="L160" s="30"/>
      <c r="M160" s="30"/>
      <c r="N160" s="30"/>
      <c r="O160" s="30"/>
      <c r="P160" s="30"/>
      <c r="Q160" s="30"/>
      <c r="R160" s="30"/>
      <c r="S160" s="30"/>
      <c r="T160" s="30"/>
      <c r="U160" s="30"/>
      <c r="V160" s="30"/>
      <c r="W160" s="30"/>
      <c r="X160" s="30"/>
    </row>
    <row r="161">
      <c r="A161" s="30"/>
      <c r="B161" s="30"/>
      <c r="C161" s="30"/>
      <c r="D161" s="30"/>
      <c r="E161" s="30"/>
      <c r="F161" s="30"/>
      <c r="G161" s="30"/>
      <c r="H161" s="30"/>
      <c r="I161" s="30"/>
      <c r="J161" s="30"/>
      <c r="K161" s="31"/>
      <c r="L161" s="30"/>
      <c r="M161" s="30"/>
      <c r="N161" s="30"/>
      <c r="O161" s="30"/>
      <c r="P161" s="30"/>
      <c r="Q161" s="30"/>
      <c r="R161" s="30"/>
      <c r="S161" s="30"/>
      <c r="T161" s="30"/>
      <c r="U161" s="30"/>
      <c r="V161" s="30"/>
      <c r="W161" s="30"/>
      <c r="X161" s="30"/>
    </row>
    <row r="162">
      <c r="A162" s="30"/>
      <c r="B162" s="30"/>
      <c r="C162" s="30"/>
      <c r="D162" s="30"/>
      <c r="E162" s="30"/>
      <c r="F162" s="30"/>
      <c r="G162" s="30"/>
      <c r="H162" s="30"/>
      <c r="I162" s="30"/>
      <c r="J162" s="30"/>
      <c r="K162" s="31"/>
      <c r="L162" s="30"/>
      <c r="M162" s="30"/>
      <c r="N162" s="30"/>
      <c r="O162" s="30"/>
      <c r="P162" s="30"/>
      <c r="Q162" s="30"/>
      <c r="R162" s="30"/>
      <c r="S162" s="30"/>
      <c r="T162" s="30"/>
      <c r="U162" s="30"/>
      <c r="V162" s="30"/>
      <c r="W162" s="30"/>
      <c r="X162" s="30"/>
    </row>
    <row r="163">
      <c r="A163" s="30"/>
      <c r="B163" s="30"/>
      <c r="C163" s="30"/>
      <c r="D163" s="30"/>
      <c r="E163" s="30"/>
      <c r="F163" s="30"/>
      <c r="G163" s="30"/>
      <c r="H163" s="30"/>
      <c r="I163" s="30"/>
      <c r="J163" s="30"/>
      <c r="K163" s="31"/>
      <c r="L163" s="30"/>
      <c r="M163" s="30"/>
      <c r="N163" s="30"/>
      <c r="O163" s="30"/>
      <c r="P163" s="30"/>
      <c r="Q163" s="30"/>
      <c r="R163" s="30"/>
      <c r="S163" s="30"/>
      <c r="T163" s="30"/>
      <c r="U163" s="30"/>
      <c r="V163" s="30"/>
      <c r="W163" s="30"/>
      <c r="X163" s="30"/>
    </row>
    <row r="164">
      <c r="A164" s="30"/>
      <c r="B164" s="30"/>
      <c r="C164" s="30"/>
      <c r="D164" s="30"/>
      <c r="E164" s="30"/>
      <c r="F164" s="30"/>
      <c r="G164" s="30"/>
      <c r="H164" s="30"/>
      <c r="I164" s="30"/>
      <c r="J164" s="30"/>
      <c r="K164" s="31"/>
      <c r="L164" s="30"/>
      <c r="M164" s="30"/>
      <c r="N164" s="30"/>
      <c r="O164" s="30"/>
      <c r="P164" s="30"/>
      <c r="Q164" s="30"/>
      <c r="R164" s="30"/>
      <c r="S164" s="30"/>
      <c r="T164" s="30"/>
      <c r="U164" s="30"/>
      <c r="V164" s="30"/>
      <c r="W164" s="30"/>
      <c r="X164" s="30"/>
    </row>
    <row r="165">
      <c r="A165" s="30"/>
      <c r="B165" s="30"/>
      <c r="C165" s="30"/>
      <c r="D165" s="30"/>
      <c r="E165" s="30"/>
      <c r="F165" s="30"/>
      <c r="G165" s="30"/>
      <c r="H165" s="30"/>
      <c r="I165" s="30"/>
      <c r="J165" s="30"/>
      <c r="K165" s="31"/>
      <c r="L165" s="30"/>
      <c r="M165" s="30"/>
      <c r="N165" s="30"/>
      <c r="O165" s="30"/>
      <c r="P165" s="30"/>
      <c r="Q165" s="30"/>
      <c r="R165" s="30"/>
      <c r="S165" s="30"/>
      <c r="T165" s="30"/>
      <c r="U165" s="30"/>
      <c r="V165" s="30"/>
      <c r="W165" s="30"/>
      <c r="X165" s="30"/>
    </row>
    <row r="166">
      <c r="A166" s="30"/>
      <c r="B166" s="30"/>
      <c r="C166" s="30"/>
      <c r="D166" s="30"/>
      <c r="E166" s="30"/>
      <c r="F166" s="30"/>
      <c r="G166" s="30"/>
      <c r="H166" s="30"/>
      <c r="I166" s="30"/>
      <c r="J166" s="30"/>
      <c r="K166" s="31"/>
      <c r="L166" s="30"/>
      <c r="M166" s="30"/>
      <c r="N166" s="30"/>
      <c r="O166" s="30"/>
      <c r="P166" s="30"/>
      <c r="Q166" s="30"/>
      <c r="R166" s="30"/>
      <c r="S166" s="30"/>
      <c r="T166" s="30"/>
      <c r="U166" s="30"/>
      <c r="V166" s="30"/>
      <c r="W166" s="30"/>
      <c r="X166" s="30"/>
    </row>
    <row r="167">
      <c r="A167" s="30"/>
      <c r="B167" s="30"/>
      <c r="C167" s="30"/>
      <c r="D167" s="30"/>
      <c r="E167" s="30"/>
      <c r="F167" s="30"/>
      <c r="G167" s="30"/>
      <c r="H167" s="30"/>
      <c r="I167" s="30"/>
      <c r="J167" s="30"/>
      <c r="K167" s="31"/>
      <c r="L167" s="30"/>
      <c r="M167" s="30"/>
      <c r="N167" s="30"/>
      <c r="O167" s="30"/>
      <c r="P167" s="30"/>
      <c r="Q167" s="30"/>
      <c r="R167" s="30"/>
      <c r="S167" s="30"/>
      <c r="T167" s="30"/>
      <c r="U167" s="30"/>
      <c r="V167" s="30"/>
      <c r="W167" s="30"/>
      <c r="X167" s="30"/>
    </row>
    <row r="168">
      <c r="A168" s="30"/>
      <c r="B168" s="30"/>
      <c r="C168" s="30"/>
      <c r="D168" s="30"/>
      <c r="E168" s="30"/>
      <c r="F168" s="30"/>
      <c r="G168" s="30"/>
      <c r="H168" s="30"/>
      <c r="I168" s="30"/>
      <c r="J168" s="30"/>
      <c r="K168" s="31"/>
      <c r="L168" s="30"/>
      <c r="M168" s="30"/>
      <c r="N168" s="30"/>
      <c r="O168" s="30"/>
      <c r="P168" s="30"/>
      <c r="Q168" s="30"/>
      <c r="R168" s="30"/>
      <c r="S168" s="30"/>
      <c r="T168" s="30"/>
      <c r="U168" s="30"/>
      <c r="V168" s="30"/>
      <c r="W168" s="30"/>
      <c r="X168" s="30"/>
    </row>
    <row r="169">
      <c r="A169" s="30"/>
      <c r="B169" s="30"/>
      <c r="C169" s="30"/>
      <c r="D169" s="30"/>
      <c r="E169" s="30"/>
      <c r="F169" s="30"/>
      <c r="G169" s="30"/>
      <c r="H169" s="30"/>
      <c r="I169" s="30"/>
      <c r="J169" s="30"/>
      <c r="K169" s="31"/>
      <c r="L169" s="30"/>
      <c r="M169" s="30"/>
      <c r="N169" s="30"/>
      <c r="O169" s="30"/>
      <c r="P169" s="30"/>
      <c r="Q169" s="30"/>
      <c r="R169" s="30"/>
      <c r="S169" s="30"/>
      <c r="T169" s="30"/>
      <c r="U169" s="30"/>
      <c r="V169" s="30"/>
      <c r="W169" s="30"/>
      <c r="X169" s="30"/>
    </row>
    <row r="170">
      <c r="A170" s="30"/>
      <c r="B170" s="30"/>
      <c r="C170" s="30"/>
      <c r="D170" s="30"/>
      <c r="E170" s="30"/>
      <c r="F170" s="30"/>
      <c r="G170" s="30"/>
      <c r="H170" s="30"/>
      <c r="I170" s="30"/>
      <c r="J170" s="30"/>
      <c r="K170" s="31"/>
      <c r="L170" s="30"/>
      <c r="M170" s="30"/>
      <c r="N170" s="30"/>
      <c r="O170" s="30"/>
      <c r="P170" s="30"/>
      <c r="Q170" s="30"/>
      <c r="R170" s="30"/>
      <c r="S170" s="30"/>
      <c r="T170" s="30"/>
      <c r="U170" s="30"/>
      <c r="V170" s="30"/>
      <c r="W170" s="30"/>
      <c r="X170" s="30"/>
    </row>
    <row r="171">
      <c r="A171" s="30"/>
      <c r="B171" s="30"/>
      <c r="C171" s="30"/>
      <c r="D171" s="30"/>
      <c r="E171" s="30"/>
      <c r="F171" s="30"/>
      <c r="G171" s="30"/>
      <c r="H171" s="30"/>
      <c r="I171" s="30"/>
      <c r="J171" s="30"/>
      <c r="K171" s="31"/>
      <c r="L171" s="30"/>
      <c r="M171" s="30"/>
      <c r="N171" s="30"/>
      <c r="O171" s="30"/>
      <c r="P171" s="30"/>
      <c r="Q171" s="30"/>
      <c r="R171" s="30"/>
      <c r="S171" s="30"/>
      <c r="T171" s="30"/>
      <c r="U171" s="30"/>
      <c r="V171" s="30"/>
      <c r="W171" s="30"/>
      <c r="X171" s="30"/>
    </row>
    <row r="172">
      <c r="A172" s="30"/>
      <c r="B172" s="30"/>
      <c r="C172" s="30"/>
      <c r="D172" s="30"/>
      <c r="E172" s="30"/>
      <c r="F172" s="30"/>
      <c r="G172" s="30"/>
      <c r="H172" s="30"/>
      <c r="I172" s="30"/>
      <c r="J172" s="30"/>
      <c r="K172" s="31"/>
      <c r="L172" s="30"/>
      <c r="M172" s="30"/>
      <c r="N172" s="30"/>
      <c r="O172" s="30"/>
      <c r="P172" s="30"/>
      <c r="Q172" s="30"/>
      <c r="R172" s="30"/>
      <c r="S172" s="30"/>
      <c r="T172" s="30"/>
      <c r="U172" s="30"/>
      <c r="V172" s="30"/>
      <c r="W172" s="30"/>
      <c r="X172" s="30"/>
    </row>
    <row r="173">
      <c r="A173" s="30"/>
      <c r="B173" s="30"/>
      <c r="C173" s="30"/>
      <c r="D173" s="30"/>
      <c r="E173" s="30"/>
      <c r="F173" s="30"/>
      <c r="G173" s="30"/>
      <c r="H173" s="30"/>
      <c r="I173" s="30"/>
      <c r="J173" s="30"/>
      <c r="K173" s="31"/>
      <c r="L173" s="30"/>
      <c r="M173" s="30"/>
      <c r="N173" s="30"/>
      <c r="O173" s="30"/>
      <c r="P173" s="30"/>
      <c r="Q173" s="30"/>
      <c r="R173" s="30"/>
      <c r="S173" s="30"/>
      <c r="T173" s="30"/>
      <c r="U173" s="30"/>
      <c r="V173" s="30"/>
      <c r="W173" s="30"/>
      <c r="X173" s="30"/>
    </row>
    <row r="174">
      <c r="A174" s="30"/>
      <c r="B174" s="30"/>
      <c r="C174" s="30"/>
      <c r="D174" s="30"/>
      <c r="E174" s="30"/>
      <c r="F174" s="30"/>
      <c r="G174" s="30"/>
      <c r="H174" s="30"/>
      <c r="I174" s="30"/>
      <c r="J174" s="30"/>
      <c r="K174" s="31"/>
      <c r="L174" s="30"/>
      <c r="M174" s="30"/>
      <c r="N174" s="30"/>
      <c r="O174" s="30"/>
      <c r="P174" s="30"/>
      <c r="Q174" s="30"/>
      <c r="R174" s="30"/>
      <c r="S174" s="30"/>
      <c r="T174" s="30"/>
      <c r="U174" s="30"/>
      <c r="V174" s="30"/>
      <c r="W174" s="30"/>
      <c r="X174" s="30"/>
    </row>
    <row r="175">
      <c r="A175" s="30"/>
      <c r="B175" s="30"/>
      <c r="C175" s="30"/>
      <c r="D175" s="30"/>
      <c r="E175" s="30"/>
      <c r="F175" s="30"/>
      <c r="G175" s="30"/>
      <c r="H175" s="30"/>
      <c r="I175" s="30"/>
      <c r="J175" s="30"/>
      <c r="K175" s="31"/>
      <c r="L175" s="30"/>
      <c r="M175" s="30"/>
      <c r="N175" s="30"/>
      <c r="O175" s="30"/>
      <c r="P175" s="30"/>
      <c r="Q175" s="30"/>
      <c r="R175" s="30"/>
      <c r="S175" s="30"/>
      <c r="T175" s="30"/>
      <c r="U175" s="30"/>
      <c r="V175" s="30"/>
      <c r="W175" s="30"/>
      <c r="X175" s="30"/>
    </row>
    <row r="176">
      <c r="A176" s="30"/>
      <c r="B176" s="30"/>
      <c r="C176" s="30"/>
      <c r="D176" s="30"/>
      <c r="E176" s="30"/>
      <c r="F176" s="30"/>
      <c r="G176" s="30"/>
      <c r="H176" s="30"/>
      <c r="I176" s="30"/>
      <c r="J176" s="30"/>
      <c r="K176" s="31"/>
      <c r="L176" s="30"/>
      <c r="M176" s="30"/>
      <c r="N176" s="30"/>
      <c r="O176" s="30"/>
      <c r="P176" s="30"/>
      <c r="Q176" s="30"/>
      <c r="R176" s="30"/>
      <c r="S176" s="30"/>
      <c r="T176" s="30"/>
      <c r="U176" s="30"/>
      <c r="V176" s="30"/>
      <c r="W176" s="30"/>
      <c r="X176" s="30"/>
    </row>
    <row r="177">
      <c r="A177" s="30"/>
      <c r="B177" s="30"/>
      <c r="C177" s="30"/>
      <c r="D177" s="30"/>
      <c r="E177" s="30"/>
      <c r="F177" s="30"/>
      <c r="G177" s="30"/>
      <c r="H177" s="30"/>
      <c r="I177" s="30"/>
      <c r="J177" s="30"/>
      <c r="K177" s="31"/>
      <c r="L177" s="30"/>
      <c r="M177" s="30"/>
      <c r="N177" s="30"/>
      <c r="O177" s="30"/>
      <c r="P177" s="30"/>
      <c r="Q177" s="30"/>
      <c r="R177" s="30"/>
      <c r="S177" s="30"/>
      <c r="T177" s="30"/>
      <c r="U177" s="30"/>
      <c r="V177" s="30"/>
      <c r="W177" s="30"/>
      <c r="X177" s="30"/>
    </row>
    <row r="178">
      <c r="A178" s="30"/>
      <c r="B178" s="30"/>
      <c r="C178" s="30"/>
      <c r="D178" s="30"/>
      <c r="E178" s="30"/>
      <c r="F178" s="30"/>
      <c r="G178" s="30"/>
      <c r="H178" s="30"/>
      <c r="I178" s="30"/>
      <c r="J178" s="30"/>
      <c r="K178" s="31"/>
      <c r="L178" s="30"/>
      <c r="M178" s="30"/>
      <c r="N178" s="30"/>
      <c r="O178" s="30"/>
      <c r="P178" s="30"/>
      <c r="Q178" s="30"/>
      <c r="R178" s="30"/>
      <c r="S178" s="30"/>
      <c r="T178" s="30"/>
      <c r="U178" s="30"/>
      <c r="V178" s="30"/>
      <c r="W178" s="30"/>
      <c r="X178" s="30"/>
    </row>
    <row r="179">
      <c r="A179" s="30"/>
      <c r="B179" s="30"/>
      <c r="C179" s="30"/>
      <c r="D179" s="30"/>
      <c r="E179" s="30"/>
      <c r="F179" s="30"/>
      <c r="G179" s="30"/>
      <c r="H179" s="30"/>
      <c r="I179" s="30"/>
      <c r="J179" s="30"/>
      <c r="K179" s="31"/>
      <c r="L179" s="30"/>
      <c r="M179" s="30"/>
      <c r="N179" s="30"/>
      <c r="O179" s="30"/>
      <c r="P179" s="30"/>
      <c r="Q179" s="30"/>
      <c r="R179" s="30"/>
      <c r="S179" s="30"/>
      <c r="T179" s="30"/>
      <c r="U179" s="30"/>
      <c r="V179" s="30"/>
      <c r="W179" s="30"/>
      <c r="X179" s="30"/>
    </row>
    <row r="180">
      <c r="A180" s="30"/>
      <c r="B180" s="30"/>
      <c r="C180" s="30"/>
      <c r="D180" s="30"/>
      <c r="E180" s="30"/>
      <c r="F180" s="30"/>
      <c r="G180" s="30"/>
      <c r="H180" s="30"/>
      <c r="I180" s="30"/>
      <c r="J180" s="30"/>
      <c r="K180" s="31"/>
      <c r="L180" s="30"/>
      <c r="M180" s="30"/>
      <c r="N180" s="30"/>
      <c r="O180" s="30"/>
      <c r="P180" s="30"/>
      <c r="Q180" s="30"/>
      <c r="R180" s="30"/>
      <c r="S180" s="30"/>
      <c r="T180" s="30"/>
      <c r="U180" s="30"/>
      <c r="V180" s="30"/>
      <c r="W180" s="30"/>
      <c r="X180" s="30"/>
    </row>
    <row r="181">
      <c r="A181" s="30"/>
      <c r="B181" s="30"/>
      <c r="C181" s="30"/>
      <c r="D181" s="30"/>
      <c r="E181" s="30"/>
      <c r="F181" s="30"/>
      <c r="G181" s="30"/>
      <c r="H181" s="30"/>
      <c r="I181" s="30"/>
      <c r="J181" s="30"/>
      <c r="K181" s="31"/>
      <c r="L181" s="30"/>
      <c r="M181" s="30"/>
      <c r="N181" s="30"/>
      <c r="O181" s="30"/>
      <c r="P181" s="30"/>
      <c r="Q181" s="30"/>
      <c r="R181" s="30"/>
      <c r="S181" s="30"/>
      <c r="T181" s="30"/>
      <c r="U181" s="30"/>
      <c r="V181" s="30"/>
      <c r="W181" s="30"/>
      <c r="X181" s="30"/>
    </row>
    <row r="182">
      <c r="A182" s="30"/>
      <c r="B182" s="30"/>
      <c r="C182" s="30"/>
      <c r="D182" s="30"/>
      <c r="E182" s="30"/>
      <c r="F182" s="30"/>
      <c r="G182" s="30"/>
      <c r="H182" s="30"/>
      <c r="I182" s="30"/>
      <c r="J182" s="30"/>
      <c r="K182" s="31"/>
      <c r="L182" s="30"/>
      <c r="M182" s="30"/>
      <c r="N182" s="30"/>
      <c r="O182" s="30"/>
      <c r="P182" s="30"/>
      <c r="Q182" s="30"/>
      <c r="R182" s="30"/>
      <c r="S182" s="30"/>
      <c r="T182" s="30"/>
      <c r="U182" s="30"/>
      <c r="V182" s="30"/>
      <c r="W182" s="30"/>
      <c r="X182" s="30"/>
    </row>
    <row r="183">
      <c r="A183" s="30"/>
      <c r="B183" s="30"/>
      <c r="C183" s="30"/>
      <c r="D183" s="30"/>
      <c r="E183" s="30"/>
      <c r="F183" s="30"/>
      <c r="G183" s="30"/>
      <c r="H183" s="30"/>
      <c r="I183" s="30"/>
      <c r="J183" s="30"/>
      <c r="K183" s="31"/>
      <c r="L183" s="30"/>
      <c r="M183" s="30"/>
      <c r="N183" s="30"/>
      <c r="O183" s="30"/>
      <c r="P183" s="30"/>
      <c r="Q183" s="30"/>
      <c r="R183" s="30"/>
      <c r="S183" s="30"/>
      <c r="T183" s="30"/>
      <c r="U183" s="30"/>
      <c r="V183" s="30"/>
      <c r="W183" s="30"/>
      <c r="X183" s="30"/>
    </row>
    <row r="184">
      <c r="A184" s="30"/>
      <c r="B184" s="30"/>
      <c r="C184" s="30"/>
      <c r="D184" s="30"/>
      <c r="E184" s="30"/>
      <c r="F184" s="30"/>
      <c r="G184" s="30"/>
      <c r="H184" s="30"/>
      <c r="I184" s="30"/>
      <c r="J184" s="30"/>
      <c r="K184" s="31"/>
      <c r="L184" s="30"/>
      <c r="M184" s="30"/>
      <c r="N184" s="30"/>
      <c r="O184" s="30"/>
      <c r="P184" s="30"/>
      <c r="Q184" s="30"/>
      <c r="R184" s="30"/>
      <c r="S184" s="30"/>
      <c r="T184" s="30"/>
      <c r="U184" s="30"/>
      <c r="V184" s="30"/>
      <c r="W184" s="30"/>
      <c r="X184" s="30"/>
    </row>
    <row r="185">
      <c r="A185" s="30"/>
      <c r="B185" s="30"/>
      <c r="C185" s="30"/>
      <c r="D185" s="30"/>
      <c r="E185" s="30"/>
      <c r="F185" s="30"/>
      <c r="G185" s="30"/>
      <c r="H185" s="30"/>
      <c r="I185" s="30"/>
      <c r="J185" s="30"/>
      <c r="K185" s="31"/>
      <c r="L185" s="30"/>
      <c r="M185" s="30"/>
      <c r="N185" s="30"/>
      <c r="O185" s="30"/>
      <c r="P185" s="30"/>
      <c r="Q185" s="30"/>
      <c r="R185" s="30"/>
      <c r="S185" s="30"/>
      <c r="T185" s="30"/>
      <c r="U185" s="30"/>
      <c r="V185" s="30"/>
      <c r="W185" s="30"/>
      <c r="X185" s="30"/>
    </row>
    <row r="186">
      <c r="A186" s="30"/>
      <c r="B186" s="30"/>
      <c r="C186" s="30"/>
      <c r="D186" s="30"/>
      <c r="E186" s="30"/>
      <c r="F186" s="30"/>
      <c r="G186" s="30"/>
      <c r="H186" s="30"/>
      <c r="I186" s="30"/>
      <c r="J186" s="30"/>
      <c r="K186" s="31"/>
      <c r="L186" s="30"/>
      <c r="M186" s="30"/>
      <c r="N186" s="30"/>
      <c r="O186" s="30"/>
      <c r="P186" s="30"/>
      <c r="Q186" s="30"/>
      <c r="R186" s="30"/>
      <c r="S186" s="30"/>
      <c r="T186" s="30"/>
      <c r="U186" s="30"/>
      <c r="V186" s="30"/>
      <c r="W186" s="30"/>
      <c r="X186" s="30"/>
    </row>
    <row r="187">
      <c r="A187" s="30"/>
      <c r="B187" s="30"/>
      <c r="C187" s="30"/>
      <c r="D187" s="30"/>
      <c r="E187" s="30"/>
      <c r="F187" s="30"/>
      <c r="G187" s="30"/>
      <c r="H187" s="30"/>
      <c r="I187" s="30"/>
      <c r="J187" s="30"/>
      <c r="K187" s="31"/>
      <c r="L187" s="30"/>
      <c r="M187" s="30"/>
      <c r="N187" s="30"/>
      <c r="O187" s="30"/>
      <c r="P187" s="30"/>
      <c r="Q187" s="30"/>
      <c r="R187" s="30"/>
      <c r="S187" s="30"/>
      <c r="T187" s="30"/>
      <c r="U187" s="30"/>
      <c r="V187" s="30"/>
      <c r="W187" s="30"/>
      <c r="X187" s="30"/>
    </row>
    <row r="188">
      <c r="A188" s="30"/>
      <c r="B188" s="30"/>
      <c r="C188" s="30"/>
      <c r="D188" s="30"/>
      <c r="E188" s="30"/>
      <c r="F188" s="30"/>
      <c r="G188" s="30"/>
      <c r="H188" s="30"/>
      <c r="I188" s="30"/>
      <c r="J188" s="30"/>
      <c r="K188" s="31"/>
      <c r="L188" s="30"/>
      <c r="M188" s="30"/>
      <c r="N188" s="30"/>
      <c r="O188" s="30"/>
      <c r="P188" s="30"/>
      <c r="Q188" s="30"/>
      <c r="R188" s="30"/>
      <c r="S188" s="30"/>
      <c r="T188" s="30"/>
      <c r="U188" s="30"/>
      <c r="V188" s="30"/>
      <c r="W188" s="30"/>
      <c r="X188" s="30"/>
    </row>
    <row r="189">
      <c r="A189" s="30"/>
      <c r="B189" s="30"/>
      <c r="C189" s="30"/>
      <c r="D189" s="30"/>
      <c r="E189" s="30"/>
      <c r="F189" s="30"/>
      <c r="G189" s="30"/>
      <c r="H189" s="30"/>
      <c r="I189" s="30"/>
      <c r="J189" s="30"/>
      <c r="K189" s="31"/>
      <c r="L189" s="30"/>
      <c r="M189" s="30"/>
      <c r="N189" s="30"/>
      <c r="O189" s="30"/>
      <c r="P189" s="30"/>
      <c r="Q189" s="30"/>
      <c r="R189" s="30"/>
      <c r="S189" s="30"/>
      <c r="T189" s="30"/>
      <c r="U189" s="30"/>
      <c r="V189" s="30"/>
      <c r="W189" s="30"/>
      <c r="X189" s="30"/>
    </row>
    <row r="190">
      <c r="A190" s="30"/>
      <c r="B190" s="30"/>
      <c r="C190" s="30"/>
      <c r="D190" s="30"/>
      <c r="E190" s="30"/>
      <c r="F190" s="30"/>
      <c r="G190" s="30"/>
      <c r="H190" s="30"/>
      <c r="I190" s="30"/>
      <c r="J190" s="30"/>
      <c r="K190" s="31"/>
      <c r="L190" s="30"/>
      <c r="M190" s="30"/>
      <c r="N190" s="30"/>
      <c r="O190" s="30"/>
      <c r="P190" s="30"/>
      <c r="Q190" s="30"/>
      <c r="R190" s="30"/>
      <c r="S190" s="30"/>
      <c r="T190" s="30"/>
      <c r="U190" s="30"/>
      <c r="V190" s="30"/>
      <c r="W190" s="30"/>
      <c r="X190" s="30"/>
    </row>
    <row r="191">
      <c r="A191" s="30"/>
      <c r="B191" s="30"/>
      <c r="C191" s="30"/>
      <c r="D191" s="30"/>
      <c r="E191" s="30"/>
      <c r="F191" s="30"/>
      <c r="G191" s="30"/>
      <c r="H191" s="30"/>
      <c r="I191" s="30"/>
      <c r="J191" s="30"/>
      <c r="K191" s="31"/>
      <c r="L191" s="30"/>
      <c r="M191" s="30"/>
      <c r="N191" s="30"/>
      <c r="O191" s="30"/>
      <c r="P191" s="30"/>
      <c r="Q191" s="30"/>
      <c r="R191" s="30"/>
      <c r="S191" s="30"/>
      <c r="T191" s="30"/>
      <c r="U191" s="30"/>
      <c r="V191" s="30"/>
      <c r="W191" s="30"/>
      <c r="X191" s="30"/>
    </row>
    <row r="192">
      <c r="A192" s="30"/>
      <c r="B192" s="30"/>
      <c r="C192" s="30"/>
      <c r="D192" s="30"/>
      <c r="E192" s="30"/>
      <c r="F192" s="30"/>
      <c r="G192" s="30"/>
      <c r="H192" s="30"/>
      <c r="I192" s="30"/>
      <c r="J192" s="30"/>
      <c r="K192" s="31"/>
      <c r="L192" s="30"/>
      <c r="M192" s="30"/>
      <c r="N192" s="30"/>
      <c r="O192" s="30"/>
      <c r="P192" s="30"/>
      <c r="Q192" s="30"/>
      <c r="R192" s="30"/>
      <c r="S192" s="30"/>
      <c r="T192" s="30"/>
      <c r="U192" s="30"/>
      <c r="V192" s="30"/>
      <c r="W192" s="30"/>
      <c r="X192" s="30"/>
    </row>
    <row r="193">
      <c r="A193" s="30"/>
      <c r="B193" s="30"/>
      <c r="C193" s="30"/>
      <c r="D193" s="30"/>
      <c r="E193" s="30"/>
      <c r="F193" s="30"/>
      <c r="G193" s="30"/>
      <c r="H193" s="30"/>
      <c r="I193" s="30"/>
      <c r="J193" s="30"/>
      <c r="K193" s="31"/>
      <c r="L193" s="30"/>
      <c r="M193" s="30"/>
      <c r="N193" s="30"/>
      <c r="O193" s="30"/>
      <c r="P193" s="30"/>
      <c r="Q193" s="30"/>
      <c r="R193" s="30"/>
      <c r="S193" s="30"/>
      <c r="T193" s="30"/>
      <c r="U193" s="30"/>
      <c r="V193" s="30"/>
      <c r="W193" s="30"/>
      <c r="X193" s="30"/>
    </row>
    <row r="194">
      <c r="A194" s="30"/>
      <c r="B194" s="30"/>
      <c r="C194" s="30"/>
      <c r="D194" s="30"/>
      <c r="E194" s="30"/>
      <c r="F194" s="30"/>
      <c r="G194" s="30"/>
      <c r="H194" s="30"/>
      <c r="I194" s="30"/>
      <c r="J194" s="30"/>
      <c r="K194" s="31"/>
      <c r="L194" s="30"/>
      <c r="M194" s="30"/>
      <c r="N194" s="30"/>
      <c r="O194" s="30"/>
      <c r="P194" s="30"/>
      <c r="Q194" s="30"/>
      <c r="R194" s="30"/>
      <c r="S194" s="30"/>
      <c r="T194" s="30"/>
      <c r="U194" s="30"/>
      <c r="V194" s="30"/>
      <c r="W194" s="30"/>
      <c r="X194" s="30"/>
    </row>
    <row r="195">
      <c r="A195" s="30"/>
      <c r="B195" s="30"/>
      <c r="C195" s="30"/>
      <c r="D195" s="30"/>
      <c r="E195" s="30"/>
      <c r="F195" s="30"/>
      <c r="G195" s="30"/>
      <c r="H195" s="30"/>
      <c r="I195" s="30"/>
      <c r="J195" s="30"/>
      <c r="K195" s="31"/>
      <c r="L195" s="30"/>
      <c r="M195" s="30"/>
      <c r="N195" s="30"/>
      <c r="O195" s="30"/>
      <c r="P195" s="30"/>
      <c r="Q195" s="30"/>
      <c r="R195" s="30"/>
      <c r="S195" s="30"/>
      <c r="T195" s="30"/>
      <c r="U195" s="30"/>
      <c r="V195" s="30"/>
      <c r="W195" s="30"/>
      <c r="X195" s="30"/>
    </row>
    <row r="196">
      <c r="A196" s="30"/>
      <c r="B196" s="30"/>
      <c r="C196" s="30"/>
      <c r="D196" s="30"/>
      <c r="E196" s="30"/>
      <c r="F196" s="30"/>
      <c r="G196" s="30"/>
      <c r="H196" s="30"/>
      <c r="I196" s="30"/>
      <c r="J196" s="30"/>
      <c r="K196" s="31"/>
      <c r="L196" s="30"/>
      <c r="M196" s="30"/>
      <c r="N196" s="30"/>
      <c r="O196" s="30"/>
      <c r="P196" s="30"/>
      <c r="Q196" s="30"/>
      <c r="R196" s="30"/>
      <c r="S196" s="30"/>
      <c r="T196" s="30"/>
      <c r="U196" s="30"/>
      <c r="V196" s="30"/>
      <c r="W196" s="30"/>
      <c r="X196" s="30"/>
    </row>
    <row r="197">
      <c r="A197" s="30"/>
      <c r="B197" s="30"/>
      <c r="C197" s="30"/>
      <c r="D197" s="30"/>
      <c r="E197" s="30"/>
      <c r="F197" s="30"/>
      <c r="G197" s="30"/>
      <c r="H197" s="30"/>
      <c r="I197" s="30"/>
      <c r="J197" s="30"/>
      <c r="K197" s="31"/>
      <c r="L197" s="30"/>
      <c r="M197" s="30"/>
      <c r="N197" s="30"/>
      <c r="O197" s="30"/>
      <c r="P197" s="30"/>
      <c r="Q197" s="30"/>
      <c r="R197" s="30"/>
      <c r="S197" s="30"/>
      <c r="T197" s="30"/>
      <c r="U197" s="30"/>
      <c r="V197" s="30"/>
      <c r="W197" s="30"/>
      <c r="X197" s="30"/>
    </row>
    <row r="198">
      <c r="A198" s="30"/>
      <c r="B198" s="30"/>
      <c r="C198" s="30"/>
      <c r="D198" s="30"/>
      <c r="E198" s="30"/>
      <c r="F198" s="30"/>
      <c r="G198" s="30"/>
      <c r="H198" s="30"/>
      <c r="I198" s="30"/>
      <c r="J198" s="30"/>
      <c r="K198" s="31"/>
      <c r="L198" s="30"/>
      <c r="M198" s="30"/>
      <c r="N198" s="30"/>
      <c r="O198" s="30"/>
      <c r="P198" s="30"/>
      <c r="Q198" s="30"/>
      <c r="R198" s="30"/>
      <c r="S198" s="30"/>
      <c r="T198" s="30"/>
      <c r="U198" s="30"/>
      <c r="V198" s="30"/>
      <c r="W198" s="30"/>
      <c r="X198" s="30"/>
    </row>
    <row r="199">
      <c r="A199" s="30"/>
      <c r="B199" s="30"/>
      <c r="C199" s="30"/>
      <c r="D199" s="30"/>
      <c r="E199" s="30"/>
      <c r="F199" s="30"/>
      <c r="G199" s="30"/>
      <c r="H199" s="30"/>
      <c r="I199" s="30"/>
      <c r="J199" s="30"/>
      <c r="K199" s="31"/>
      <c r="L199" s="30"/>
      <c r="M199" s="30"/>
      <c r="N199" s="30"/>
      <c r="O199" s="30"/>
      <c r="P199" s="30"/>
      <c r="Q199" s="30"/>
      <c r="R199" s="30"/>
      <c r="S199" s="30"/>
      <c r="T199" s="30"/>
      <c r="U199" s="30"/>
      <c r="V199" s="30"/>
      <c r="W199" s="30"/>
      <c r="X199" s="30"/>
    </row>
    <row r="200">
      <c r="A200" s="30"/>
      <c r="B200" s="30"/>
      <c r="C200" s="30"/>
      <c r="D200" s="30"/>
      <c r="E200" s="30"/>
      <c r="F200" s="30"/>
      <c r="G200" s="30"/>
      <c r="H200" s="30"/>
      <c r="I200" s="30"/>
      <c r="J200" s="30"/>
      <c r="K200" s="31"/>
      <c r="L200" s="30"/>
      <c r="M200" s="30"/>
      <c r="N200" s="30"/>
      <c r="O200" s="30"/>
      <c r="P200" s="30"/>
      <c r="Q200" s="30"/>
      <c r="R200" s="30"/>
      <c r="S200" s="30"/>
      <c r="T200" s="30"/>
      <c r="U200" s="30"/>
      <c r="V200" s="30"/>
      <c r="W200" s="30"/>
      <c r="X200" s="30"/>
    </row>
    <row r="201">
      <c r="A201" s="30"/>
      <c r="B201" s="30"/>
      <c r="C201" s="30"/>
      <c r="D201" s="30"/>
      <c r="E201" s="30"/>
      <c r="F201" s="30"/>
      <c r="G201" s="30"/>
      <c r="H201" s="30"/>
      <c r="I201" s="30"/>
      <c r="J201" s="30"/>
      <c r="K201" s="31"/>
      <c r="L201" s="30"/>
      <c r="M201" s="30"/>
      <c r="N201" s="30"/>
      <c r="O201" s="30"/>
      <c r="P201" s="30"/>
      <c r="Q201" s="30"/>
      <c r="R201" s="30"/>
      <c r="S201" s="30"/>
      <c r="T201" s="30"/>
      <c r="U201" s="30"/>
      <c r="V201" s="30"/>
      <c r="W201" s="30"/>
      <c r="X201" s="30"/>
    </row>
    <row r="202">
      <c r="A202" s="30"/>
      <c r="B202" s="30"/>
      <c r="C202" s="30"/>
      <c r="D202" s="30"/>
      <c r="E202" s="30"/>
      <c r="F202" s="30"/>
      <c r="G202" s="30"/>
      <c r="H202" s="30"/>
      <c r="I202" s="30"/>
      <c r="J202" s="30"/>
      <c r="K202" s="31"/>
      <c r="L202" s="30"/>
      <c r="M202" s="30"/>
      <c r="N202" s="30"/>
      <c r="O202" s="30"/>
      <c r="P202" s="30"/>
      <c r="Q202" s="30"/>
      <c r="R202" s="30"/>
      <c r="S202" s="30"/>
      <c r="T202" s="30"/>
      <c r="U202" s="30"/>
      <c r="V202" s="30"/>
      <c r="W202" s="30"/>
      <c r="X202" s="30"/>
    </row>
    <row r="203">
      <c r="A203" s="30"/>
      <c r="B203" s="30"/>
      <c r="C203" s="30"/>
      <c r="D203" s="30"/>
      <c r="E203" s="30"/>
      <c r="F203" s="30"/>
      <c r="G203" s="30"/>
      <c r="H203" s="30"/>
      <c r="I203" s="30"/>
      <c r="J203" s="30"/>
      <c r="K203" s="31"/>
      <c r="L203" s="30"/>
      <c r="M203" s="30"/>
      <c r="N203" s="30"/>
      <c r="O203" s="30"/>
      <c r="P203" s="30"/>
      <c r="Q203" s="30"/>
      <c r="R203" s="30"/>
      <c r="S203" s="30"/>
      <c r="T203" s="30"/>
      <c r="U203" s="30"/>
      <c r="V203" s="30"/>
      <c r="W203" s="30"/>
      <c r="X203" s="30"/>
    </row>
    <row r="204">
      <c r="A204" s="30"/>
      <c r="B204" s="30"/>
      <c r="C204" s="30"/>
      <c r="D204" s="30"/>
      <c r="E204" s="30"/>
      <c r="F204" s="30"/>
      <c r="G204" s="30"/>
      <c r="H204" s="30"/>
      <c r="I204" s="30"/>
      <c r="J204" s="30"/>
      <c r="K204" s="31"/>
      <c r="L204" s="30"/>
      <c r="M204" s="30"/>
      <c r="N204" s="30"/>
      <c r="O204" s="30"/>
      <c r="P204" s="30"/>
      <c r="Q204" s="30"/>
      <c r="R204" s="30"/>
      <c r="S204" s="30"/>
      <c r="T204" s="30"/>
      <c r="U204" s="30"/>
      <c r="V204" s="30"/>
      <c r="W204" s="30"/>
      <c r="X204" s="30"/>
    </row>
    <row r="205">
      <c r="A205" s="30"/>
      <c r="B205" s="30"/>
      <c r="C205" s="30"/>
      <c r="D205" s="30"/>
      <c r="E205" s="30"/>
      <c r="F205" s="30"/>
      <c r="G205" s="30"/>
      <c r="H205" s="30"/>
      <c r="I205" s="30"/>
      <c r="J205" s="30"/>
      <c r="K205" s="31"/>
      <c r="L205" s="30"/>
      <c r="M205" s="30"/>
      <c r="N205" s="30"/>
      <c r="O205" s="30"/>
      <c r="P205" s="30"/>
      <c r="Q205" s="30"/>
      <c r="R205" s="30"/>
      <c r="S205" s="30"/>
      <c r="T205" s="30"/>
      <c r="U205" s="30"/>
      <c r="V205" s="30"/>
      <c r="W205" s="30"/>
      <c r="X205" s="30"/>
    </row>
    <row r="206">
      <c r="A206" s="30"/>
      <c r="B206" s="30"/>
      <c r="C206" s="30"/>
      <c r="D206" s="30"/>
      <c r="E206" s="30"/>
      <c r="F206" s="30"/>
      <c r="G206" s="30"/>
      <c r="H206" s="30"/>
      <c r="I206" s="30"/>
      <c r="J206" s="30"/>
      <c r="K206" s="31"/>
      <c r="L206" s="30"/>
      <c r="M206" s="30"/>
      <c r="N206" s="30"/>
      <c r="O206" s="30"/>
      <c r="P206" s="30"/>
      <c r="Q206" s="30"/>
      <c r="R206" s="30"/>
      <c r="S206" s="30"/>
      <c r="T206" s="30"/>
      <c r="U206" s="30"/>
      <c r="V206" s="30"/>
      <c r="W206" s="30"/>
      <c r="X206" s="30"/>
    </row>
    <row r="207">
      <c r="A207" s="30"/>
      <c r="B207" s="30"/>
      <c r="C207" s="30"/>
      <c r="D207" s="30"/>
      <c r="E207" s="30"/>
      <c r="F207" s="30"/>
      <c r="G207" s="30"/>
      <c r="H207" s="30"/>
      <c r="I207" s="30"/>
      <c r="J207" s="30"/>
      <c r="K207" s="31"/>
      <c r="L207" s="30"/>
      <c r="M207" s="30"/>
      <c r="N207" s="30"/>
      <c r="O207" s="30"/>
      <c r="P207" s="30"/>
      <c r="Q207" s="30"/>
      <c r="R207" s="30"/>
      <c r="S207" s="30"/>
      <c r="T207" s="30"/>
      <c r="U207" s="30"/>
      <c r="V207" s="30"/>
      <c r="W207" s="30"/>
      <c r="X207" s="30"/>
    </row>
    <row r="208">
      <c r="A208" s="30"/>
      <c r="B208" s="30"/>
      <c r="C208" s="30"/>
      <c r="D208" s="30"/>
      <c r="E208" s="30"/>
      <c r="F208" s="30"/>
      <c r="G208" s="30"/>
      <c r="H208" s="30"/>
      <c r="I208" s="30"/>
      <c r="J208" s="30"/>
      <c r="K208" s="31"/>
      <c r="L208" s="30"/>
      <c r="M208" s="30"/>
      <c r="N208" s="30"/>
      <c r="O208" s="30"/>
      <c r="P208" s="30"/>
      <c r="Q208" s="30"/>
      <c r="R208" s="30"/>
      <c r="S208" s="30"/>
      <c r="T208" s="30"/>
      <c r="U208" s="30"/>
      <c r="V208" s="30"/>
      <c r="W208" s="30"/>
      <c r="X208" s="30"/>
    </row>
    <row r="209">
      <c r="A209" s="30"/>
      <c r="B209" s="30"/>
      <c r="C209" s="30"/>
      <c r="D209" s="30"/>
      <c r="E209" s="30"/>
      <c r="F209" s="30"/>
      <c r="G209" s="30"/>
      <c r="H209" s="30"/>
      <c r="I209" s="30"/>
      <c r="J209" s="30"/>
      <c r="K209" s="31"/>
      <c r="L209" s="30"/>
      <c r="M209" s="30"/>
      <c r="N209" s="30"/>
      <c r="O209" s="30"/>
      <c r="P209" s="30"/>
      <c r="Q209" s="30"/>
      <c r="R209" s="30"/>
      <c r="S209" s="30"/>
      <c r="T209" s="30"/>
      <c r="U209" s="30"/>
      <c r="V209" s="30"/>
      <c r="W209" s="30"/>
      <c r="X209" s="30"/>
    </row>
    <row r="210">
      <c r="A210" s="30"/>
      <c r="B210" s="30"/>
      <c r="C210" s="30"/>
      <c r="D210" s="30"/>
      <c r="E210" s="30"/>
      <c r="F210" s="30"/>
      <c r="G210" s="30"/>
      <c r="H210" s="30"/>
      <c r="I210" s="30"/>
      <c r="J210" s="30"/>
      <c r="K210" s="31"/>
      <c r="L210" s="30"/>
      <c r="M210" s="30"/>
      <c r="N210" s="30"/>
      <c r="O210" s="30"/>
      <c r="P210" s="30"/>
      <c r="Q210" s="30"/>
      <c r="R210" s="30"/>
      <c r="S210" s="30"/>
      <c r="T210" s="30"/>
      <c r="U210" s="30"/>
      <c r="V210" s="30"/>
      <c r="W210" s="30"/>
      <c r="X210" s="30"/>
    </row>
    <row r="211">
      <c r="A211" s="30"/>
      <c r="B211" s="30"/>
      <c r="C211" s="30"/>
      <c r="D211" s="30"/>
      <c r="E211" s="30"/>
      <c r="F211" s="30"/>
      <c r="G211" s="30"/>
      <c r="H211" s="30"/>
      <c r="I211" s="30"/>
      <c r="J211" s="30"/>
      <c r="K211" s="31"/>
      <c r="L211" s="30"/>
      <c r="M211" s="30"/>
      <c r="N211" s="30"/>
      <c r="O211" s="30"/>
      <c r="P211" s="30"/>
      <c r="Q211" s="30"/>
      <c r="R211" s="30"/>
      <c r="S211" s="30"/>
      <c r="T211" s="30"/>
      <c r="U211" s="30"/>
      <c r="V211" s="30"/>
      <c r="W211" s="30"/>
      <c r="X211" s="30"/>
    </row>
    <row r="212">
      <c r="A212" s="30"/>
      <c r="B212" s="30"/>
      <c r="C212" s="30"/>
      <c r="D212" s="30"/>
      <c r="E212" s="30"/>
      <c r="F212" s="30"/>
      <c r="G212" s="30"/>
      <c r="H212" s="30"/>
      <c r="I212" s="30"/>
      <c r="J212" s="30"/>
      <c r="K212" s="31"/>
      <c r="L212" s="30"/>
      <c r="M212" s="30"/>
      <c r="N212" s="30"/>
      <c r="O212" s="30"/>
      <c r="P212" s="30"/>
      <c r="Q212" s="30"/>
      <c r="R212" s="30"/>
      <c r="S212" s="30"/>
      <c r="T212" s="30"/>
      <c r="U212" s="30"/>
      <c r="V212" s="30"/>
      <c r="W212" s="30"/>
      <c r="X212" s="30"/>
    </row>
    <row r="213">
      <c r="A213" s="30"/>
      <c r="B213" s="30"/>
      <c r="C213" s="30"/>
      <c r="D213" s="30"/>
      <c r="E213" s="30"/>
      <c r="F213" s="30"/>
      <c r="G213" s="30"/>
      <c r="H213" s="30"/>
      <c r="I213" s="30"/>
      <c r="J213" s="30"/>
      <c r="K213" s="31"/>
      <c r="L213" s="30"/>
      <c r="M213" s="30"/>
      <c r="N213" s="30"/>
      <c r="O213" s="30"/>
      <c r="P213" s="30"/>
      <c r="Q213" s="30"/>
      <c r="R213" s="30"/>
      <c r="S213" s="30"/>
      <c r="T213" s="30"/>
      <c r="U213" s="30"/>
      <c r="V213" s="30"/>
      <c r="W213" s="30"/>
      <c r="X213" s="30"/>
    </row>
    <row r="214">
      <c r="A214" s="30"/>
      <c r="B214" s="30"/>
      <c r="C214" s="30"/>
      <c r="D214" s="30"/>
      <c r="E214" s="30"/>
      <c r="F214" s="30"/>
      <c r="G214" s="30"/>
      <c r="H214" s="30"/>
      <c r="I214" s="30"/>
      <c r="J214" s="30"/>
      <c r="K214" s="31"/>
      <c r="L214" s="30"/>
      <c r="M214" s="30"/>
      <c r="N214" s="30"/>
      <c r="O214" s="30"/>
      <c r="P214" s="30"/>
      <c r="Q214" s="30"/>
      <c r="R214" s="30"/>
      <c r="S214" s="30"/>
      <c r="T214" s="30"/>
      <c r="U214" s="30"/>
      <c r="V214" s="30"/>
      <c r="W214" s="30"/>
      <c r="X214" s="30"/>
    </row>
    <row r="215">
      <c r="A215" s="30"/>
      <c r="B215" s="30"/>
      <c r="C215" s="30"/>
      <c r="D215" s="30"/>
      <c r="E215" s="30"/>
      <c r="F215" s="30"/>
      <c r="G215" s="30"/>
      <c r="H215" s="30"/>
      <c r="I215" s="30"/>
      <c r="J215" s="30"/>
      <c r="K215" s="31"/>
      <c r="L215" s="30"/>
      <c r="M215" s="30"/>
      <c r="N215" s="30"/>
      <c r="O215" s="30"/>
      <c r="P215" s="30"/>
      <c r="Q215" s="30"/>
      <c r="R215" s="30"/>
      <c r="S215" s="30"/>
      <c r="T215" s="30"/>
      <c r="U215" s="30"/>
      <c r="V215" s="30"/>
      <c r="W215" s="30"/>
      <c r="X215" s="30"/>
    </row>
    <row r="216">
      <c r="A216" s="30"/>
      <c r="B216" s="30"/>
      <c r="C216" s="30"/>
      <c r="D216" s="30"/>
      <c r="E216" s="30"/>
      <c r="F216" s="30"/>
      <c r="G216" s="30"/>
      <c r="H216" s="30"/>
      <c r="I216" s="30"/>
      <c r="J216" s="30"/>
      <c r="K216" s="31"/>
      <c r="L216" s="30"/>
      <c r="M216" s="30"/>
      <c r="N216" s="30"/>
      <c r="O216" s="30"/>
      <c r="P216" s="30"/>
      <c r="Q216" s="30"/>
      <c r="R216" s="30"/>
      <c r="S216" s="30"/>
      <c r="T216" s="30"/>
      <c r="U216" s="30"/>
      <c r="V216" s="30"/>
      <c r="W216" s="30"/>
      <c r="X216" s="30"/>
    </row>
    <row r="217">
      <c r="A217" s="30"/>
      <c r="B217" s="30"/>
      <c r="C217" s="30"/>
      <c r="D217" s="30"/>
      <c r="E217" s="30"/>
      <c r="F217" s="30"/>
      <c r="G217" s="30"/>
      <c r="H217" s="30"/>
      <c r="I217" s="30"/>
      <c r="J217" s="30"/>
      <c r="K217" s="31"/>
      <c r="L217" s="30"/>
      <c r="M217" s="30"/>
      <c r="N217" s="30"/>
      <c r="O217" s="30"/>
      <c r="P217" s="30"/>
      <c r="Q217" s="30"/>
      <c r="R217" s="30"/>
      <c r="S217" s="30"/>
      <c r="T217" s="30"/>
      <c r="U217" s="30"/>
      <c r="V217" s="30"/>
      <c r="W217" s="30"/>
      <c r="X217" s="30"/>
    </row>
    <row r="218">
      <c r="A218" s="30"/>
      <c r="B218" s="30"/>
      <c r="C218" s="30"/>
      <c r="D218" s="30"/>
      <c r="E218" s="30"/>
      <c r="F218" s="30"/>
      <c r="G218" s="30"/>
      <c r="H218" s="30"/>
      <c r="I218" s="30"/>
      <c r="J218" s="30"/>
      <c r="K218" s="31"/>
      <c r="L218" s="30"/>
      <c r="M218" s="30"/>
      <c r="N218" s="30"/>
      <c r="O218" s="30"/>
      <c r="P218" s="30"/>
      <c r="Q218" s="30"/>
      <c r="R218" s="30"/>
      <c r="S218" s="30"/>
      <c r="T218" s="30"/>
      <c r="U218" s="30"/>
      <c r="V218" s="30"/>
      <c r="W218" s="30"/>
      <c r="X218" s="30"/>
    </row>
    <row r="219">
      <c r="A219" s="30"/>
      <c r="B219" s="30"/>
      <c r="C219" s="30"/>
      <c r="D219" s="30"/>
      <c r="E219" s="30"/>
      <c r="F219" s="30"/>
      <c r="G219" s="30"/>
      <c r="H219" s="30"/>
      <c r="I219" s="30"/>
      <c r="J219" s="30"/>
      <c r="K219" s="31"/>
      <c r="L219" s="30"/>
      <c r="M219" s="30"/>
      <c r="N219" s="30"/>
      <c r="O219" s="30"/>
      <c r="P219" s="30"/>
      <c r="Q219" s="30"/>
      <c r="R219" s="30"/>
      <c r="S219" s="30"/>
      <c r="T219" s="30"/>
      <c r="U219" s="30"/>
      <c r="V219" s="30"/>
      <c r="W219" s="30"/>
      <c r="X219" s="30"/>
    </row>
    <row r="220">
      <c r="A220" s="30"/>
      <c r="B220" s="30"/>
      <c r="C220" s="30"/>
      <c r="D220" s="30"/>
      <c r="E220" s="30"/>
      <c r="F220" s="30"/>
      <c r="G220" s="30"/>
      <c r="H220" s="30"/>
      <c r="I220" s="30"/>
      <c r="J220" s="30"/>
      <c r="K220" s="31"/>
      <c r="L220" s="30"/>
      <c r="M220" s="30"/>
      <c r="N220" s="30"/>
      <c r="O220" s="30"/>
      <c r="P220" s="30"/>
      <c r="Q220" s="30"/>
      <c r="R220" s="30"/>
      <c r="S220" s="30"/>
      <c r="T220" s="30"/>
      <c r="U220" s="30"/>
      <c r="V220" s="30"/>
      <c r="W220" s="30"/>
      <c r="X220" s="30"/>
    </row>
    <row r="221">
      <c r="A221" s="30"/>
      <c r="B221" s="30"/>
      <c r="C221" s="30"/>
      <c r="D221" s="30"/>
      <c r="E221" s="30"/>
      <c r="F221" s="30"/>
      <c r="G221" s="30"/>
      <c r="H221" s="30"/>
      <c r="I221" s="30"/>
      <c r="J221" s="30"/>
      <c r="K221" s="31"/>
      <c r="L221" s="30"/>
      <c r="M221" s="30"/>
      <c r="N221" s="30"/>
      <c r="O221" s="30"/>
      <c r="P221" s="30"/>
      <c r="Q221" s="30"/>
      <c r="R221" s="30"/>
      <c r="S221" s="30"/>
      <c r="T221" s="30"/>
      <c r="U221" s="30"/>
      <c r="V221" s="30"/>
      <c r="W221" s="30"/>
      <c r="X221" s="30"/>
    </row>
    <row r="222">
      <c r="A222" s="30"/>
      <c r="B222" s="30"/>
      <c r="C222" s="30"/>
      <c r="D222" s="30"/>
      <c r="E222" s="30"/>
      <c r="F222" s="30"/>
      <c r="G222" s="30"/>
      <c r="H222" s="30"/>
      <c r="I222" s="30"/>
      <c r="J222" s="30"/>
      <c r="K222" s="31"/>
      <c r="L222" s="30"/>
      <c r="M222" s="30"/>
      <c r="N222" s="30"/>
      <c r="O222" s="30"/>
      <c r="P222" s="30"/>
      <c r="Q222" s="30"/>
      <c r="R222" s="30"/>
      <c r="S222" s="30"/>
      <c r="T222" s="30"/>
      <c r="U222" s="30"/>
      <c r="V222" s="30"/>
      <c r="W222" s="30"/>
      <c r="X222" s="30"/>
    </row>
    <row r="223">
      <c r="A223" s="30"/>
      <c r="B223" s="30"/>
      <c r="C223" s="30"/>
      <c r="D223" s="30"/>
      <c r="E223" s="30"/>
      <c r="F223" s="30"/>
      <c r="G223" s="30"/>
      <c r="H223" s="30"/>
      <c r="I223" s="30"/>
      <c r="J223" s="30"/>
      <c r="K223" s="31"/>
      <c r="L223" s="30"/>
      <c r="M223" s="30"/>
      <c r="N223" s="30"/>
      <c r="O223" s="30"/>
      <c r="P223" s="30"/>
      <c r="Q223" s="30"/>
      <c r="R223" s="30"/>
      <c r="S223" s="30"/>
      <c r="T223" s="30"/>
      <c r="U223" s="30"/>
      <c r="V223" s="30"/>
      <c r="W223" s="30"/>
      <c r="X223" s="30"/>
    </row>
    <row r="224">
      <c r="A224" s="30"/>
      <c r="B224" s="30"/>
      <c r="C224" s="30"/>
      <c r="D224" s="30"/>
      <c r="E224" s="30"/>
      <c r="F224" s="30"/>
      <c r="G224" s="30"/>
      <c r="H224" s="30"/>
      <c r="I224" s="30"/>
      <c r="J224" s="30"/>
      <c r="K224" s="31"/>
      <c r="L224" s="30"/>
      <c r="M224" s="30"/>
      <c r="N224" s="30"/>
      <c r="O224" s="30"/>
      <c r="P224" s="30"/>
      <c r="Q224" s="30"/>
      <c r="R224" s="30"/>
      <c r="S224" s="30"/>
      <c r="T224" s="30"/>
      <c r="U224" s="30"/>
      <c r="V224" s="30"/>
      <c r="W224" s="30"/>
      <c r="X224" s="30"/>
    </row>
    <row r="225">
      <c r="A225" s="30"/>
      <c r="B225" s="30"/>
      <c r="C225" s="30"/>
      <c r="D225" s="30"/>
      <c r="E225" s="30"/>
      <c r="F225" s="30"/>
      <c r="G225" s="30"/>
      <c r="H225" s="30"/>
      <c r="I225" s="30"/>
      <c r="J225" s="30"/>
      <c r="K225" s="31"/>
      <c r="L225" s="30"/>
      <c r="M225" s="30"/>
      <c r="N225" s="30"/>
      <c r="O225" s="30"/>
      <c r="P225" s="30"/>
      <c r="Q225" s="30"/>
      <c r="R225" s="30"/>
      <c r="S225" s="30"/>
      <c r="T225" s="30"/>
      <c r="U225" s="30"/>
      <c r="V225" s="30"/>
      <c r="W225" s="30"/>
      <c r="X225" s="30"/>
    </row>
    <row r="226">
      <c r="A226" s="30"/>
      <c r="B226" s="30"/>
      <c r="C226" s="30"/>
      <c r="D226" s="30"/>
      <c r="E226" s="30"/>
      <c r="F226" s="30"/>
      <c r="G226" s="30"/>
      <c r="H226" s="30"/>
      <c r="I226" s="30"/>
      <c r="J226" s="30"/>
      <c r="K226" s="31"/>
      <c r="L226" s="30"/>
      <c r="M226" s="30"/>
      <c r="N226" s="30"/>
      <c r="O226" s="30"/>
      <c r="P226" s="30"/>
      <c r="Q226" s="30"/>
      <c r="R226" s="30"/>
      <c r="S226" s="30"/>
      <c r="T226" s="30"/>
      <c r="U226" s="30"/>
      <c r="V226" s="30"/>
      <c r="W226" s="30"/>
      <c r="X226" s="30"/>
    </row>
    <row r="227">
      <c r="A227" s="30"/>
      <c r="B227" s="30"/>
      <c r="C227" s="30"/>
      <c r="D227" s="30"/>
      <c r="E227" s="30"/>
      <c r="F227" s="30"/>
      <c r="G227" s="30"/>
      <c r="H227" s="30"/>
      <c r="I227" s="30"/>
      <c r="J227" s="30"/>
      <c r="K227" s="31"/>
      <c r="L227" s="30"/>
      <c r="M227" s="30"/>
      <c r="N227" s="30"/>
      <c r="O227" s="30"/>
      <c r="P227" s="30"/>
      <c r="Q227" s="30"/>
      <c r="R227" s="30"/>
      <c r="S227" s="30"/>
      <c r="T227" s="30"/>
      <c r="U227" s="30"/>
      <c r="V227" s="30"/>
      <c r="W227" s="30"/>
      <c r="X227" s="30"/>
    </row>
    <row r="228">
      <c r="A228" s="30"/>
      <c r="B228" s="30"/>
      <c r="C228" s="30"/>
      <c r="D228" s="30"/>
      <c r="E228" s="30"/>
      <c r="F228" s="30"/>
      <c r="G228" s="30"/>
      <c r="H228" s="30"/>
      <c r="I228" s="30"/>
      <c r="J228" s="30"/>
      <c r="K228" s="31"/>
      <c r="L228" s="30"/>
      <c r="M228" s="30"/>
      <c r="N228" s="30"/>
      <c r="O228" s="30"/>
      <c r="P228" s="30"/>
      <c r="Q228" s="30"/>
      <c r="R228" s="30"/>
      <c r="S228" s="30"/>
      <c r="T228" s="30"/>
      <c r="U228" s="30"/>
      <c r="V228" s="30"/>
      <c r="W228" s="30"/>
      <c r="X228" s="30"/>
    </row>
    <row r="229">
      <c r="A229" s="30"/>
      <c r="B229" s="30"/>
      <c r="C229" s="30"/>
      <c r="D229" s="30"/>
      <c r="E229" s="30"/>
      <c r="F229" s="30"/>
      <c r="G229" s="30"/>
      <c r="H229" s="30"/>
      <c r="I229" s="30"/>
      <c r="J229" s="30"/>
      <c r="K229" s="31"/>
      <c r="L229" s="30"/>
      <c r="M229" s="30"/>
      <c r="N229" s="30"/>
      <c r="O229" s="30"/>
      <c r="P229" s="30"/>
      <c r="Q229" s="30"/>
      <c r="R229" s="30"/>
      <c r="S229" s="30"/>
      <c r="T229" s="30"/>
      <c r="U229" s="30"/>
      <c r="V229" s="30"/>
      <c r="W229" s="30"/>
      <c r="X229" s="30"/>
    </row>
    <row r="230">
      <c r="A230" s="30"/>
      <c r="B230" s="30"/>
      <c r="C230" s="30"/>
      <c r="D230" s="30"/>
      <c r="E230" s="30"/>
      <c r="F230" s="30"/>
      <c r="G230" s="30"/>
      <c r="H230" s="30"/>
      <c r="I230" s="30"/>
      <c r="J230" s="30"/>
      <c r="K230" s="31"/>
      <c r="L230" s="30"/>
      <c r="M230" s="30"/>
      <c r="N230" s="30"/>
      <c r="O230" s="30"/>
      <c r="P230" s="30"/>
      <c r="Q230" s="30"/>
      <c r="R230" s="30"/>
      <c r="S230" s="30"/>
      <c r="T230" s="30"/>
      <c r="U230" s="30"/>
      <c r="V230" s="30"/>
      <c r="W230" s="30"/>
      <c r="X230" s="30"/>
    </row>
    <row r="231">
      <c r="A231" s="30"/>
      <c r="B231" s="30"/>
      <c r="C231" s="30"/>
      <c r="D231" s="30"/>
      <c r="E231" s="30"/>
      <c r="F231" s="30"/>
      <c r="G231" s="30"/>
      <c r="H231" s="30"/>
      <c r="I231" s="30"/>
      <c r="J231" s="30"/>
      <c r="K231" s="31"/>
      <c r="L231" s="30"/>
      <c r="M231" s="30"/>
      <c r="N231" s="30"/>
      <c r="O231" s="30"/>
      <c r="P231" s="30"/>
      <c r="Q231" s="30"/>
      <c r="R231" s="30"/>
      <c r="S231" s="30"/>
      <c r="T231" s="30"/>
      <c r="U231" s="30"/>
      <c r="V231" s="30"/>
      <c r="W231" s="30"/>
      <c r="X231" s="30"/>
    </row>
    <row r="232">
      <c r="A232" s="30"/>
      <c r="B232" s="30"/>
      <c r="C232" s="30"/>
      <c r="D232" s="30"/>
      <c r="E232" s="30"/>
      <c r="F232" s="30"/>
      <c r="G232" s="30"/>
      <c r="H232" s="30"/>
      <c r="I232" s="30"/>
      <c r="J232" s="30"/>
      <c r="K232" s="31"/>
      <c r="L232" s="30"/>
      <c r="M232" s="30"/>
      <c r="N232" s="30"/>
      <c r="O232" s="30"/>
      <c r="P232" s="30"/>
      <c r="Q232" s="30"/>
      <c r="R232" s="30"/>
      <c r="S232" s="30"/>
      <c r="T232" s="30"/>
      <c r="U232" s="30"/>
      <c r="V232" s="30"/>
      <c r="W232" s="30"/>
      <c r="X232" s="30"/>
    </row>
    <row r="233">
      <c r="A233" s="30"/>
      <c r="B233" s="30"/>
      <c r="C233" s="30"/>
      <c r="D233" s="30"/>
      <c r="E233" s="30"/>
      <c r="F233" s="30"/>
      <c r="G233" s="30"/>
      <c r="H233" s="30"/>
      <c r="I233" s="30"/>
      <c r="J233" s="30"/>
      <c r="K233" s="31"/>
      <c r="L233" s="30"/>
      <c r="M233" s="30"/>
      <c r="N233" s="30"/>
      <c r="O233" s="30"/>
      <c r="P233" s="30"/>
      <c r="Q233" s="30"/>
      <c r="R233" s="30"/>
      <c r="S233" s="30"/>
      <c r="T233" s="30"/>
      <c r="U233" s="30"/>
      <c r="V233" s="30"/>
      <c r="W233" s="30"/>
      <c r="X233" s="30"/>
    </row>
    <row r="234">
      <c r="A234" s="30"/>
      <c r="B234" s="30"/>
      <c r="C234" s="30"/>
      <c r="D234" s="30"/>
      <c r="E234" s="30"/>
      <c r="F234" s="30"/>
      <c r="G234" s="30"/>
      <c r="H234" s="30"/>
      <c r="I234" s="30"/>
      <c r="J234" s="30"/>
      <c r="K234" s="31"/>
      <c r="L234" s="30"/>
      <c r="M234" s="30"/>
      <c r="N234" s="30"/>
      <c r="O234" s="30"/>
      <c r="P234" s="30"/>
      <c r="Q234" s="30"/>
      <c r="R234" s="30"/>
      <c r="S234" s="30"/>
      <c r="T234" s="30"/>
      <c r="U234" s="30"/>
      <c r="V234" s="30"/>
      <c r="W234" s="30"/>
      <c r="X234" s="30"/>
    </row>
    <row r="235">
      <c r="A235" s="30"/>
      <c r="B235" s="30"/>
      <c r="C235" s="30"/>
      <c r="D235" s="30"/>
      <c r="E235" s="30"/>
      <c r="F235" s="30"/>
      <c r="G235" s="30"/>
      <c r="H235" s="30"/>
      <c r="I235" s="30"/>
      <c r="J235" s="30"/>
      <c r="K235" s="31"/>
      <c r="L235" s="30"/>
      <c r="M235" s="30"/>
      <c r="N235" s="30"/>
      <c r="O235" s="30"/>
      <c r="P235" s="30"/>
      <c r="Q235" s="30"/>
      <c r="R235" s="30"/>
      <c r="S235" s="30"/>
      <c r="T235" s="30"/>
      <c r="U235" s="30"/>
      <c r="V235" s="30"/>
      <c r="W235" s="30"/>
      <c r="X235" s="30"/>
    </row>
    <row r="236">
      <c r="A236" s="30"/>
      <c r="B236" s="30"/>
      <c r="C236" s="30"/>
      <c r="D236" s="30"/>
      <c r="E236" s="30"/>
      <c r="F236" s="30"/>
      <c r="G236" s="30"/>
      <c r="H236" s="30"/>
      <c r="I236" s="30"/>
      <c r="J236" s="30"/>
      <c r="K236" s="31"/>
      <c r="L236" s="30"/>
      <c r="M236" s="30"/>
      <c r="N236" s="30"/>
      <c r="O236" s="30"/>
      <c r="P236" s="30"/>
      <c r="Q236" s="30"/>
      <c r="R236" s="30"/>
      <c r="S236" s="30"/>
      <c r="T236" s="30"/>
      <c r="U236" s="30"/>
      <c r="V236" s="30"/>
      <c r="W236" s="30"/>
      <c r="X236" s="30"/>
    </row>
    <row r="237">
      <c r="A237" s="30"/>
      <c r="B237" s="30"/>
      <c r="C237" s="30"/>
      <c r="D237" s="30"/>
      <c r="E237" s="30"/>
      <c r="F237" s="30"/>
      <c r="G237" s="30"/>
      <c r="H237" s="30"/>
      <c r="I237" s="30"/>
      <c r="J237" s="30"/>
      <c r="K237" s="31"/>
      <c r="L237" s="30"/>
      <c r="M237" s="30"/>
      <c r="N237" s="30"/>
      <c r="O237" s="30"/>
      <c r="P237" s="30"/>
      <c r="Q237" s="30"/>
      <c r="R237" s="30"/>
      <c r="S237" s="30"/>
      <c r="T237" s="30"/>
      <c r="U237" s="30"/>
      <c r="V237" s="30"/>
      <c r="W237" s="30"/>
      <c r="X237" s="30"/>
    </row>
    <row r="238">
      <c r="A238" s="30"/>
      <c r="B238" s="30"/>
      <c r="C238" s="30"/>
      <c r="D238" s="30"/>
      <c r="E238" s="30"/>
      <c r="F238" s="30"/>
      <c r="G238" s="30"/>
      <c r="H238" s="30"/>
      <c r="I238" s="30"/>
      <c r="J238" s="30"/>
      <c r="K238" s="31"/>
      <c r="L238" s="30"/>
      <c r="M238" s="30"/>
      <c r="N238" s="30"/>
      <c r="O238" s="30"/>
      <c r="P238" s="30"/>
      <c r="Q238" s="30"/>
      <c r="R238" s="30"/>
      <c r="S238" s="30"/>
      <c r="T238" s="30"/>
      <c r="U238" s="30"/>
      <c r="V238" s="30"/>
      <c r="W238" s="30"/>
      <c r="X238" s="30"/>
    </row>
    <row r="239">
      <c r="A239" s="30"/>
      <c r="B239" s="30"/>
      <c r="C239" s="30"/>
      <c r="D239" s="30"/>
      <c r="E239" s="30"/>
      <c r="F239" s="30"/>
      <c r="G239" s="30"/>
      <c r="H239" s="30"/>
      <c r="I239" s="30"/>
      <c r="J239" s="30"/>
      <c r="K239" s="31"/>
      <c r="L239" s="30"/>
      <c r="M239" s="30"/>
      <c r="N239" s="30"/>
      <c r="O239" s="30"/>
      <c r="P239" s="30"/>
      <c r="Q239" s="30"/>
      <c r="R239" s="30"/>
      <c r="S239" s="30"/>
      <c r="T239" s="30"/>
      <c r="U239" s="30"/>
      <c r="V239" s="30"/>
      <c r="W239" s="30"/>
      <c r="X239" s="30"/>
    </row>
    <row r="240">
      <c r="A240" s="30"/>
      <c r="B240" s="30"/>
      <c r="C240" s="30"/>
      <c r="D240" s="30"/>
      <c r="E240" s="30"/>
      <c r="F240" s="30"/>
      <c r="G240" s="30"/>
      <c r="H240" s="30"/>
      <c r="I240" s="30"/>
      <c r="J240" s="30"/>
      <c r="K240" s="31"/>
      <c r="L240" s="30"/>
      <c r="M240" s="30"/>
      <c r="N240" s="30"/>
      <c r="O240" s="30"/>
      <c r="P240" s="30"/>
      <c r="Q240" s="30"/>
      <c r="R240" s="30"/>
      <c r="S240" s="30"/>
      <c r="T240" s="30"/>
      <c r="U240" s="30"/>
      <c r="V240" s="30"/>
      <c r="W240" s="30"/>
      <c r="X240" s="30"/>
    </row>
    <row r="241">
      <c r="A241" s="30"/>
      <c r="B241" s="30"/>
      <c r="C241" s="30"/>
      <c r="D241" s="30"/>
      <c r="E241" s="30"/>
      <c r="F241" s="30"/>
      <c r="G241" s="30"/>
      <c r="H241" s="30"/>
      <c r="I241" s="30"/>
      <c r="J241" s="30"/>
      <c r="K241" s="31"/>
      <c r="L241" s="30"/>
      <c r="M241" s="30"/>
      <c r="N241" s="30"/>
      <c r="O241" s="30"/>
      <c r="P241" s="30"/>
      <c r="Q241" s="30"/>
      <c r="R241" s="30"/>
      <c r="S241" s="30"/>
      <c r="T241" s="30"/>
      <c r="U241" s="30"/>
      <c r="V241" s="30"/>
      <c r="W241" s="30"/>
      <c r="X241" s="30"/>
    </row>
    <row r="242">
      <c r="A242" s="30"/>
      <c r="B242" s="30"/>
      <c r="C242" s="30"/>
      <c r="D242" s="30"/>
      <c r="E242" s="30"/>
      <c r="F242" s="30"/>
      <c r="G242" s="30"/>
      <c r="H242" s="30"/>
      <c r="I242" s="30"/>
      <c r="J242" s="30"/>
      <c r="K242" s="31"/>
      <c r="L242" s="30"/>
      <c r="M242" s="30"/>
      <c r="N242" s="30"/>
      <c r="O242" s="30"/>
      <c r="P242" s="30"/>
      <c r="Q242" s="30"/>
      <c r="R242" s="30"/>
      <c r="S242" s="30"/>
      <c r="T242" s="30"/>
      <c r="U242" s="30"/>
      <c r="V242" s="30"/>
      <c r="W242" s="30"/>
      <c r="X242" s="30"/>
    </row>
    <row r="243">
      <c r="A243" s="30"/>
      <c r="B243" s="30"/>
      <c r="C243" s="30"/>
      <c r="D243" s="30"/>
      <c r="E243" s="30"/>
      <c r="F243" s="30"/>
      <c r="G243" s="30"/>
      <c r="H243" s="30"/>
      <c r="I243" s="30"/>
      <c r="J243" s="30"/>
      <c r="K243" s="31"/>
      <c r="L243" s="30"/>
      <c r="M243" s="30"/>
      <c r="N243" s="30"/>
      <c r="O243" s="30"/>
      <c r="P243" s="30"/>
      <c r="Q243" s="30"/>
      <c r="R243" s="30"/>
      <c r="S243" s="30"/>
      <c r="T243" s="30"/>
      <c r="U243" s="30"/>
      <c r="V243" s="30"/>
      <c r="W243" s="30"/>
      <c r="X243" s="30"/>
    </row>
    <row r="244">
      <c r="A244" s="30"/>
      <c r="B244" s="30"/>
      <c r="C244" s="30"/>
      <c r="D244" s="30"/>
      <c r="E244" s="30"/>
      <c r="F244" s="30"/>
      <c r="G244" s="30"/>
      <c r="H244" s="30"/>
      <c r="I244" s="30"/>
      <c r="J244" s="30"/>
      <c r="K244" s="31"/>
      <c r="L244" s="30"/>
      <c r="M244" s="30"/>
      <c r="N244" s="30"/>
      <c r="O244" s="30"/>
      <c r="P244" s="30"/>
      <c r="Q244" s="30"/>
      <c r="R244" s="30"/>
      <c r="S244" s="30"/>
      <c r="T244" s="30"/>
      <c r="U244" s="30"/>
      <c r="V244" s="30"/>
      <c r="W244" s="30"/>
      <c r="X244" s="30"/>
    </row>
    <row r="245">
      <c r="A245" s="30"/>
      <c r="B245" s="30"/>
      <c r="C245" s="30"/>
      <c r="D245" s="30"/>
      <c r="E245" s="30"/>
      <c r="F245" s="30"/>
      <c r="G245" s="30"/>
      <c r="H245" s="30"/>
      <c r="I245" s="30"/>
      <c r="J245" s="30"/>
      <c r="K245" s="31"/>
      <c r="L245" s="30"/>
      <c r="M245" s="30"/>
      <c r="N245" s="30"/>
      <c r="O245" s="30"/>
      <c r="P245" s="30"/>
      <c r="Q245" s="30"/>
      <c r="R245" s="30"/>
      <c r="S245" s="30"/>
      <c r="T245" s="30"/>
      <c r="U245" s="30"/>
      <c r="V245" s="30"/>
      <c r="W245" s="30"/>
      <c r="X245" s="30"/>
    </row>
    <row r="246">
      <c r="A246" s="30"/>
      <c r="B246" s="30"/>
      <c r="C246" s="30"/>
      <c r="D246" s="30"/>
      <c r="E246" s="30"/>
      <c r="F246" s="30"/>
      <c r="G246" s="30"/>
      <c r="H246" s="30"/>
      <c r="I246" s="30"/>
      <c r="J246" s="30"/>
      <c r="K246" s="31"/>
      <c r="L246" s="30"/>
      <c r="M246" s="30"/>
      <c r="N246" s="30"/>
      <c r="O246" s="30"/>
      <c r="P246" s="30"/>
      <c r="Q246" s="30"/>
      <c r="R246" s="30"/>
      <c r="S246" s="30"/>
      <c r="T246" s="30"/>
      <c r="U246" s="30"/>
      <c r="V246" s="30"/>
      <c r="W246" s="30"/>
      <c r="X246" s="30"/>
    </row>
    <row r="247">
      <c r="A247" s="30"/>
      <c r="B247" s="30"/>
      <c r="C247" s="30"/>
      <c r="D247" s="30"/>
      <c r="E247" s="30"/>
      <c r="F247" s="30"/>
      <c r="G247" s="30"/>
      <c r="H247" s="30"/>
      <c r="I247" s="30"/>
      <c r="J247" s="30"/>
      <c r="K247" s="31"/>
      <c r="L247" s="30"/>
      <c r="M247" s="30"/>
      <c r="N247" s="30"/>
      <c r="O247" s="30"/>
      <c r="P247" s="30"/>
      <c r="Q247" s="30"/>
      <c r="R247" s="30"/>
      <c r="S247" s="30"/>
      <c r="T247" s="30"/>
      <c r="U247" s="30"/>
      <c r="V247" s="30"/>
      <c r="W247" s="30"/>
      <c r="X247" s="30"/>
    </row>
    <row r="248">
      <c r="A248" s="30"/>
      <c r="B248" s="30"/>
      <c r="C248" s="30"/>
      <c r="D248" s="30"/>
      <c r="E248" s="30"/>
      <c r="F248" s="30"/>
      <c r="G248" s="30"/>
      <c r="H248" s="30"/>
      <c r="I248" s="30"/>
      <c r="J248" s="30"/>
      <c r="K248" s="31"/>
      <c r="L248" s="30"/>
      <c r="M248" s="30"/>
      <c r="N248" s="30"/>
      <c r="O248" s="30"/>
      <c r="P248" s="30"/>
      <c r="Q248" s="30"/>
      <c r="R248" s="30"/>
      <c r="S248" s="30"/>
      <c r="T248" s="30"/>
      <c r="U248" s="30"/>
      <c r="V248" s="30"/>
      <c r="W248" s="30"/>
      <c r="X248" s="30"/>
    </row>
    <row r="249">
      <c r="A249" s="30"/>
      <c r="B249" s="30"/>
      <c r="C249" s="30"/>
      <c r="D249" s="30"/>
      <c r="E249" s="30"/>
      <c r="F249" s="30"/>
      <c r="G249" s="30"/>
      <c r="H249" s="30"/>
      <c r="I249" s="30"/>
      <c r="J249" s="30"/>
      <c r="K249" s="31"/>
      <c r="L249" s="30"/>
      <c r="M249" s="30"/>
      <c r="N249" s="30"/>
      <c r="O249" s="30"/>
      <c r="P249" s="30"/>
      <c r="Q249" s="30"/>
      <c r="R249" s="30"/>
      <c r="S249" s="30"/>
      <c r="T249" s="30"/>
      <c r="U249" s="30"/>
      <c r="V249" s="30"/>
      <c r="W249" s="30"/>
      <c r="X249" s="30"/>
    </row>
    <row r="250">
      <c r="A250" s="30"/>
      <c r="B250" s="30"/>
      <c r="C250" s="30"/>
      <c r="D250" s="30"/>
      <c r="E250" s="30"/>
      <c r="F250" s="30"/>
      <c r="G250" s="30"/>
      <c r="H250" s="30"/>
      <c r="I250" s="30"/>
      <c r="J250" s="30"/>
      <c r="K250" s="31"/>
      <c r="L250" s="30"/>
      <c r="M250" s="30"/>
      <c r="N250" s="30"/>
      <c r="O250" s="30"/>
      <c r="P250" s="30"/>
      <c r="Q250" s="30"/>
      <c r="R250" s="30"/>
      <c r="S250" s="30"/>
      <c r="T250" s="30"/>
      <c r="U250" s="30"/>
      <c r="V250" s="30"/>
      <c r="W250" s="30"/>
      <c r="X250" s="30"/>
    </row>
    <row r="251">
      <c r="A251" s="30"/>
      <c r="B251" s="30"/>
      <c r="C251" s="30"/>
      <c r="D251" s="30"/>
      <c r="E251" s="30"/>
      <c r="F251" s="30"/>
      <c r="G251" s="30"/>
      <c r="H251" s="30"/>
      <c r="I251" s="30"/>
      <c r="J251" s="30"/>
      <c r="K251" s="31"/>
      <c r="L251" s="30"/>
      <c r="M251" s="30"/>
      <c r="N251" s="30"/>
      <c r="O251" s="30"/>
      <c r="P251" s="30"/>
      <c r="Q251" s="30"/>
      <c r="R251" s="30"/>
      <c r="S251" s="30"/>
      <c r="T251" s="30"/>
      <c r="U251" s="30"/>
      <c r="V251" s="30"/>
      <c r="W251" s="30"/>
      <c r="X251" s="30"/>
    </row>
    <row r="252">
      <c r="A252" s="30"/>
      <c r="B252" s="30"/>
      <c r="C252" s="30"/>
      <c r="D252" s="30"/>
      <c r="E252" s="30"/>
      <c r="F252" s="30"/>
      <c r="G252" s="30"/>
      <c r="H252" s="30"/>
      <c r="I252" s="30"/>
      <c r="J252" s="30"/>
      <c r="K252" s="31"/>
      <c r="L252" s="30"/>
      <c r="M252" s="30"/>
      <c r="N252" s="30"/>
      <c r="O252" s="30"/>
      <c r="P252" s="30"/>
      <c r="Q252" s="30"/>
      <c r="R252" s="30"/>
      <c r="S252" s="30"/>
      <c r="T252" s="30"/>
      <c r="U252" s="30"/>
      <c r="V252" s="30"/>
      <c r="W252" s="30"/>
      <c r="X252" s="30"/>
    </row>
    <row r="253">
      <c r="A253" s="30"/>
      <c r="B253" s="30"/>
      <c r="C253" s="30"/>
      <c r="D253" s="30"/>
      <c r="E253" s="30"/>
      <c r="F253" s="30"/>
      <c r="G253" s="30"/>
      <c r="H253" s="30"/>
      <c r="I253" s="30"/>
      <c r="J253" s="30"/>
      <c r="K253" s="31"/>
      <c r="L253" s="30"/>
      <c r="M253" s="30"/>
      <c r="N253" s="30"/>
      <c r="O253" s="30"/>
      <c r="P253" s="30"/>
      <c r="Q253" s="30"/>
      <c r="R253" s="30"/>
      <c r="S253" s="30"/>
      <c r="T253" s="30"/>
      <c r="U253" s="30"/>
      <c r="V253" s="30"/>
      <c r="W253" s="30"/>
      <c r="X253" s="30"/>
    </row>
    <row r="254">
      <c r="A254" s="30"/>
      <c r="B254" s="30"/>
      <c r="C254" s="30"/>
      <c r="D254" s="30"/>
      <c r="E254" s="30"/>
      <c r="F254" s="30"/>
      <c r="G254" s="30"/>
      <c r="H254" s="30"/>
      <c r="I254" s="30"/>
      <c r="J254" s="30"/>
      <c r="K254" s="31"/>
      <c r="L254" s="30"/>
      <c r="M254" s="30"/>
      <c r="N254" s="30"/>
      <c r="O254" s="30"/>
      <c r="P254" s="30"/>
      <c r="Q254" s="30"/>
      <c r="R254" s="30"/>
      <c r="S254" s="30"/>
      <c r="T254" s="30"/>
      <c r="U254" s="30"/>
      <c r="V254" s="30"/>
      <c r="W254" s="30"/>
      <c r="X254" s="30"/>
    </row>
    <row r="255">
      <c r="A255" s="30"/>
      <c r="B255" s="30"/>
      <c r="C255" s="30"/>
      <c r="D255" s="30"/>
      <c r="E255" s="30"/>
      <c r="F255" s="30"/>
      <c r="G255" s="30"/>
      <c r="H255" s="30"/>
      <c r="I255" s="30"/>
      <c r="J255" s="30"/>
      <c r="K255" s="31"/>
      <c r="L255" s="30"/>
      <c r="M255" s="30"/>
      <c r="N255" s="30"/>
      <c r="O255" s="30"/>
      <c r="P255" s="30"/>
      <c r="Q255" s="30"/>
      <c r="R255" s="30"/>
      <c r="S255" s="30"/>
      <c r="T255" s="30"/>
      <c r="U255" s="30"/>
      <c r="V255" s="30"/>
      <c r="W255" s="30"/>
      <c r="X255" s="30"/>
    </row>
    <row r="256">
      <c r="A256" s="30"/>
      <c r="B256" s="30"/>
      <c r="C256" s="30"/>
      <c r="D256" s="30"/>
      <c r="E256" s="30"/>
      <c r="F256" s="30"/>
      <c r="G256" s="30"/>
      <c r="H256" s="30"/>
      <c r="I256" s="30"/>
      <c r="J256" s="30"/>
      <c r="K256" s="31"/>
      <c r="L256" s="30"/>
      <c r="M256" s="30"/>
      <c r="N256" s="30"/>
      <c r="O256" s="30"/>
      <c r="P256" s="30"/>
      <c r="Q256" s="30"/>
      <c r="R256" s="30"/>
      <c r="S256" s="30"/>
      <c r="T256" s="30"/>
      <c r="U256" s="30"/>
      <c r="V256" s="30"/>
      <c r="W256" s="30"/>
      <c r="X256" s="30"/>
    </row>
    <row r="257">
      <c r="A257" s="30"/>
      <c r="B257" s="30"/>
      <c r="C257" s="30"/>
      <c r="D257" s="30"/>
      <c r="E257" s="30"/>
      <c r="F257" s="30"/>
      <c r="G257" s="30"/>
      <c r="H257" s="30"/>
      <c r="I257" s="30"/>
      <c r="J257" s="30"/>
      <c r="K257" s="31"/>
      <c r="L257" s="30"/>
      <c r="M257" s="30"/>
      <c r="N257" s="30"/>
      <c r="O257" s="30"/>
      <c r="P257" s="30"/>
      <c r="Q257" s="30"/>
      <c r="R257" s="30"/>
      <c r="S257" s="30"/>
      <c r="T257" s="30"/>
      <c r="U257" s="30"/>
      <c r="V257" s="30"/>
      <c r="W257" s="30"/>
      <c r="X257" s="30"/>
    </row>
    <row r="258">
      <c r="A258" s="30"/>
      <c r="B258" s="30"/>
      <c r="C258" s="30"/>
      <c r="D258" s="30"/>
      <c r="E258" s="30"/>
      <c r="F258" s="30"/>
      <c r="G258" s="30"/>
      <c r="H258" s="30"/>
      <c r="I258" s="30"/>
      <c r="J258" s="30"/>
      <c r="K258" s="31"/>
      <c r="L258" s="30"/>
      <c r="M258" s="30"/>
      <c r="N258" s="30"/>
      <c r="O258" s="30"/>
      <c r="P258" s="30"/>
      <c r="Q258" s="30"/>
      <c r="R258" s="30"/>
      <c r="S258" s="30"/>
      <c r="T258" s="30"/>
      <c r="U258" s="30"/>
      <c r="V258" s="30"/>
      <c r="W258" s="30"/>
      <c r="X258" s="30"/>
    </row>
    <row r="259">
      <c r="A259" s="30"/>
      <c r="B259" s="30"/>
      <c r="C259" s="30"/>
      <c r="D259" s="30"/>
      <c r="E259" s="30"/>
      <c r="F259" s="30"/>
      <c r="G259" s="30"/>
      <c r="H259" s="30"/>
      <c r="I259" s="30"/>
      <c r="J259" s="30"/>
      <c r="K259" s="31"/>
      <c r="L259" s="30"/>
      <c r="M259" s="30"/>
      <c r="N259" s="30"/>
      <c r="O259" s="30"/>
      <c r="P259" s="30"/>
      <c r="Q259" s="30"/>
      <c r="R259" s="30"/>
      <c r="S259" s="30"/>
      <c r="T259" s="30"/>
      <c r="U259" s="30"/>
      <c r="V259" s="30"/>
      <c r="W259" s="30"/>
      <c r="X259" s="30"/>
    </row>
    <row r="260">
      <c r="A260" s="30"/>
      <c r="B260" s="30"/>
      <c r="C260" s="30"/>
      <c r="D260" s="30"/>
      <c r="E260" s="30"/>
      <c r="F260" s="30"/>
      <c r="G260" s="30"/>
      <c r="H260" s="30"/>
      <c r="I260" s="30"/>
      <c r="J260" s="30"/>
      <c r="K260" s="31"/>
      <c r="L260" s="30"/>
      <c r="M260" s="30"/>
      <c r="N260" s="30"/>
      <c r="O260" s="30"/>
      <c r="P260" s="30"/>
      <c r="Q260" s="30"/>
      <c r="R260" s="30"/>
      <c r="S260" s="30"/>
      <c r="T260" s="30"/>
      <c r="U260" s="30"/>
      <c r="V260" s="30"/>
      <c r="W260" s="30"/>
      <c r="X260" s="30"/>
    </row>
    <row r="261">
      <c r="A261" s="30"/>
      <c r="B261" s="30"/>
      <c r="C261" s="30"/>
      <c r="D261" s="30"/>
      <c r="E261" s="30"/>
      <c r="F261" s="30"/>
      <c r="G261" s="30"/>
      <c r="H261" s="30"/>
      <c r="I261" s="30"/>
      <c r="J261" s="30"/>
      <c r="K261" s="31"/>
      <c r="L261" s="30"/>
      <c r="M261" s="30"/>
      <c r="N261" s="30"/>
      <c r="O261" s="30"/>
      <c r="P261" s="30"/>
      <c r="Q261" s="30"/>
      <c r="R261" s="30"/>
      <c r="S261" s="30"/>
      <c r="T261" s="30"/>
      <c r="U261" s="30"/>
      <c r="V261" s="30"/>
      <c r="W261" s="30"/>
      <c r="X261" s="30"/>
    </row>
    <row r="262">
      <c r="A262" s="30"/>
      <c r="B262" s="30"/>
      <c r="C262" s="30"/>
      <c r="D262" s="30"/>
      <c r="E262" s="30"/>
      <c r="F262" s="30"/>
      <c r="G262" s="30"/>
      <c r="H262" s="30"/>
      <c r="I262" s="30"/>
      <c r="J262" s="30"/>
      <c r="K262" s="31"/>
      <c r="L262" s="30"/>
      <c r="M262" s="30"/>
      <c r="N262" s="30"/>
      <c r="O262" s="30"/>
      <c r="P262" s="30"/>
      <c r="Q262" s="30"/>
      <c r="R262" s="30"/>
      <c r="S262" s="30"/>
      <c r="T262" s="30"/>
      <c r="U262" s="30"/>
      <c r="V262" s="30"/>
      <c r="W262" s="30"/>
      <c r="X262" s="30"/>
    </row>
    <row r="263">
      <c r="A263" s="30"/>
      <c r="B263" s="30"/>
      <c r="C263" s="30"/>
      <c r="D263" s="30"/>
      <c r="E263" s="30"/>
      <c r="F263" s="30"/>
      <c r="G263" s="30"/>
      <c r="H263" s="30"/>
      <c r="I263" s="30"/>
      <c r="J263" s="30"/>
      <c r="K263" s="31"/>
      <c r="L263" s="30"/>
      <c r="M263" s="30"/>
      <c r="N263" s="30"/>
      <c r="O263" s="30"/>
      <c r="P263" s="30"/>
      <c r="Q263" s="30"/>
      <c r="R263" s="30"/>
      <c r="S263" s="30"/>
      <c r="T263" s="30"/>
      <c r="U263" s="30"/>
      <c r="V263" s="30"/>
      <c r="W263" s="30"/>
      <c r="X263" s="30"/>
    </row>
    <row r="264">
      <c r="A264" s="30"/>
      <c r="B264" s="30"/>
      <c r="C264" s="30"/>
      <c r="D264" s="30"/>
      <c r="E264" s="30"/>
      <c r="F264" s="30"/>
      <c r="G264" s="30"/>
      <c r="H264" s="30"/>
      <c r="I264" s="30"/>
      <c r="J264" s="30"/>
      <c r="K264" s="31"/>
      <c r="L264" s="30"/>
      <c r="M264" s="30"/>
      <c r="N264" s="30"/>
      <c r="O264" s="30"/>
      <c r="P264" s="30"/>
      <c r="Q264" s="30"/>
      <c r="R264" s="30"/>
      <c r="S264" s="30"/>
      <c r="T264" s="30"/>
      <c r="U264" s="30"/>
      <c r="V264" s="30"/>
      <c r="W264" s="30"/>
      <c r="X264" s="30"/>
    </row>
    <row r="265">
      <c r="A265" s="30"/>
      <c r="B265" s="30"/>
      <c r="C265" s="30"/>
      <c r="D265" s="30"/>
      <c r="E265" s="30"/>
      <c r="F265" s="30"/>
      <c r="G265" s="30"/>
      <c r="H265" s="30"/>
      <c r="I265" s="30"/>
      <c r="J265" s="30"/>
      <c r="K265" s="31"/>
      <c r="L265" s="30"/>
      <c r="M265" s="30"/>
      <c r="N265" s="30"/>
      <c r="O265" s="30"/>
      <c r="P265" s="30"/>
      <c r="Q265" s="30"/>
      <c r="R265" s="30"/>
      <c r="S265" s="30"/>
      <c r="T265" s="30"/>
      <c r="U265" s="30"/>
      <c r="V265" s="30"/>
      <c r="W265" s="30"/>
      <c r="X265" s="30"/>
    </row>
    <row r="266">
      <c r="A266" s="30"/>
      <c r="B266" s="30"/>
      <c r="C266" s="30"/>
      <c r="D266" s="30"/>
      <c r="E266" s="30"/>
      <c r="F266" s="30"/>
      <c r="G266" s="30"/>
      <c r="H266" s="30"/>
      <c r="I266" s="30"/>
      <c r="J266" s="30"/>
      <c r="K266" s="31"/>
      <c r="L266" s="30"/>
      <c r="M266" s="30"/>
      <c r="N266" s="30"/>
      <c r="O266" s="30"/>
      <c r="P266" s="30"/>
      <c r="Q266" s="30"/>
      <c r="R266" s="30"/>
      <c r="S266" s="30"/>
      <c r="T266" s="30"/>
      <c r="U266" s="30"/>
      <c r="V266" s="30"/>
      <c r="W266" s="30"/>
      <c r="X266" s="30"/>
    </row>
    <row r="267">
      <c r="A267" s="30"/>
      <c r="B267" s="30"/>
      <c r="C267" s="30"/>
      <c r="D267" s="30"/>
      <c r="E267" s="30"/>
      <c r="F267" s="30"/>
      <c r="G267" s="30"/>
      <c r="H267" s="30"/>
      <c r="I267" s="30"/>
      <c r="J267" s="30"/>
      <c r="K267" s="31"/>
      <c r="L267" s="30"/>
      <c r="M267" s="30"/>
      <c r="N267" s="30"/>
      <c r="O267" s="30"/>
      <c r="P267" s="30"/>
      <c r="Q267" s="30"/>
      <c r="R267" s="30"/>
      <c r="S267" s="30"/>
      <c r="T267" s="30"/>
      <c r="U267" s="30"/>
      <c r="V267" s="30"/>
      <c r="W267" s="30"/>
      <c r="X267" s="30"/>
    </row>
    <row r="268">
      <c r="A268" s="30"/>
      <c r="B268" s="30"/>
      <c r="C268" s="30"/>
      <c r="D268" s="30"/>
      <c r="E268" s="30"/>
      <c r="F268" s="30"/>
      <c r="G268" s="30"/>
      <c r="H268" s="30"/>
      <c r="I268" s="30"/>
      <c r="J268" s="30"/>
      <c r="K268" s="31"/>
      <c r="L268" s="30"/>
      <c r="M268" s="30"/>
      <c r="N268" s="30"/>
      <c r="O268" s="30"/>
      <c r="P268" s="30"/>
      <c r="Q268" s="30"/>
      <c r="R268" s="30"/>
      <c r="S268" s="30"/>
      <c r="T268" s="30"/>
      <c r="U268" s="30"/>
      <c r="V268" s="30"/>
      <c r="W268" s="30"/>
      <c r="X268" s="30"/>
    </row>
    <row r="269">
      <c r="A269" s="30"/>
      <c r="B269" s="30"/>
      <c r="C269" s="30"/>
      <c r="D269" s="30"/>
      <c r="E269" s="30"/>
      <c r="F269" s="30"/>
      <c r="G269" s="30"/>
      <c r="H269" s="30"/>
      <c r="I269" s="30"/>
      <c r="J269" s="30"/>
      <c r="K269" s="31"/>
      <c r="L269" s="30"/>
      <c r="M269" s="30"/>
      <c r="N269" s="30"/>
      <c r="O269" s="30"/>
      <c r="P269" s="30"/>
      <c r="Q269" s="30"/>
      <c r="R269" s="30"/>
      <c r="S269" s="30"/>
      <c r="T269" s="30"/>
      <c r="U269" s="30"/>
      <c r="V269" s="30"/>
      <c r="W269" s="30"/>
      <c r="X269" s="30"/>
    </row>
    <row r="270">
      <c r="A270" s="30"/>
      <c r="B270" s="30"/>
      <c r="C270" s="30"/>
      <c r="D270" s="30"/>
      <c r="E270" s="30"/>
      <c r="F270" s="30"/>
      <c r="G270" s="30"/>
      <c r="H270" s="30"/>
      <c r="I270" s="30"/>
      <c r="J270" s="30"/>
      <c r="K270" s="31"/>
      <c r="L270" s="30"/>
      <c r="M270" s="30"/>
      <c r="N270" s="30"/>
      <c r="O270" s="30"/>
      <c r="P270" s="30"/>
      <c r="Q270" s="30"/>
      <c r="R270" s="30"/>
      <c r="S270" s="30"/>
      <c r="T270" s="30"/>
      <c r="U270" s="30"/>
      <c r="V270" s="30"/>
      <c r="W270" s="30"/>
      <c r="X270" s="30"/>
    </row>
    <row r="271">
      <c r="A271" s="30"/>
      <c r="B271" s="30"/>
      <c r="C271" s="30"/>
      <c r="D271" s="30"/>
      <c r="E271" s="30"/>
      <c r="F271" s="30"/>
      <c r="G271" s="30"/>
      <c r="H271" s="30"/>
      <c r="I271" s="30"/>
      <c r="J271" s="30"/>
      <c r="K271" s="31"/>
      <c r="L271" s="30"/>
      <c r="M271" s="30"/>
      <c r="N271" s="30"/>
      <c r="O271" s="30"/>
      <c r="P271" s="30"/>
      <c r="Q271" s="30"/>
      <c r="R271" s="30"/>
      <c r="S271" s="30"/>
      <c r="T271" s="30"/>
      <c r="U271" s="30"/>
      <c r="V271" s="30"/>
      <c r="W271" s="30"/>
      <c r="X271" s="30"/>
    </row>
    <row r="272">
      <c r="A272" s="30"/>
      <c r="B272" s="30"/>
      <c r="C272" s="30"/>
      <c r="D272" s="30"/>
      <c r="E272" s="30"/>
      <c r="F272" s="30"/>
      <c r="G272" s="30"/>
      <c r="H272" s="30"/>
      <c r="I272" s="30"/>
      <c r="J272" s="30"/>
      <c r="K272" s="31"/>
      <c r="L272" s="30"/>
      <c r="M272" s="30"/>
      <c r="N272" s="30"/>
      <c r="O272" s="30"/>
      <c r="P272" s="30"/>
      <c r="Q272" s="30"/>
      <c r="R272" s="30"/>
      <c r="S272" s="30"/>
      <c r="T272" s="30"/>
      <c r="U272" s="30"/>
      <c r="V272" s="30"/>
      <c r="W272" s="30"/>
      <c r="X272" s="30"/>
    </row>
    <row r="273">
      <c r="A273" s="30"/>
      <c r="B273" s="30"/>
      <c r="C273" s="30"/>
      <c r="D273" s="30"/>
      <c r="E273" s="30"/>
      <c r="F273" s="30"/>
      <c r="G273" s="30"/>
      <c r="H273" s="30"/>
      <c r="I273" s="30"/>
      <c r="J273" s="30"/>
      <c r="K273" s="31"/>
      <c r="L273" s="30"/>
      <c r="M273" s="30"/>
      <c r="N273" s="30"/>
      <c r="O273" s="30"/>
      <c r="P273" s="30"/>
      <c r="Q273" s="30"/>
      <c r="R273" s="30"/>
      <c r="S273" s="30"/>
      <c r="T273" s="30"/>
      <c r="U273" s="30"/>
      <c r="V273" s="30"/>
      <c r="W273" s="30"/>
      <c r="X273" s="30"/>
    </row>
    <row r="274">
      <c r="A274" s="30"/>
      <c r="B274" s="30"/>
      <c r="C274" s="30"/>
      <c r="D274" s="30"/>
      <c r="E274" s="30"/>
      <c r="F274" s="30"/>
      <c r="G274" s="30"/>
      <c r="H274" s="30"/>
      <c r="I274" s="30"/>
      <c r="J274" s="30"/>
      <c r="K274" s="31"/>
      <c r="L274" s="30"/>
      <c r="M274" s="30"/>
      <c r="N274" s="30"/>
      <c r="O274" s="30"/>
      <c r="P274" s="30"/>
      <c r="Q274" s="30"/>
      <c r="R274" s="30"/>
      <c r="S274" s="30"/>
      <c r="T274" s="30"/>
      <c r="U274" s="30"/>
      <c r="V274" s="30"/>
      <c r="W274" s="30"/>
      <c r="X274" s="30"/>
    </row>
    <row r="275">
      <c r="A275" s="30"/>
      <c r="B275" s="30"/>
      <c r="C275" s="30"/>
      <c r="D275" s="30"/>
      <c r="E275" s="30"/>
      <c r="F275" s="30"/>
      <c r="G275" s="30"/>
      <c r="H275" s="30"/>
      <c r="I275" s="30"/>
      <c r="J275" s="30"/>
      <c r="K275" s="31"/>
      <c r="L275" s="30"/>
      <c r="M275" s="30"/>
      <c r="N275" s="30"/>
      <c r="O275" s="30"/>
      <c r="P275" s="30"/>
      <c r="Q275" s="30"/>
      <c r="R275" s="30"/>
      <c r="S275" s="30"/>
      <c r="T275" s="30"/>
      <c r="U275" s="30"/>
      <c r="V275" s="30"/>
      <c r="W275" s="30"/>
      <c r="X275" s="30"/>
    </row>
    <row r="276">
      <c r="A276" s="30"/>
      <c r="B276" s="30"/>
      <c r="C276" s="30"/>
      <c r="D276" s="30"/>
      <c r="E276" s="30"/>
      <c r="F276" s="30"/>
      <c r="G276" s="30"/>
      <c r="H276" s="30"/>
      <c r="I276" s="30"/>
      <c r="J276" s="30"/>
      <c r="K276" s="35"/>
      <c r="L276" s="30"/>
      <c r="M276" s="30"/>
      <c r="N276" s="30"/>
      <c r="O276" s="30"/>
      <c r="P276" s="30"/>
      <c r="Q276" s="30"/>
      <c r="R276" s="30"/>
      <c r="S276" s="30"/>
      <c r="T276" s="30"/>
      <c r="U276" s="30"/>
      <c r="V276" s="30"/>
      <c r="W276" s="30"/>
      <c r="X276" s="30"/>
    </row>
    <row r="277">
      <c r="A277" s="30"/>
      <c r="B277" s="30"/>
      <c r="C277" s="30"/>
      <c r="D277" s="30"/>
      <c r="E277" s="30"/>
      <c r="F277" s="30"/>
      <c r="G277" s="30"/>
      <c r="H277" s="30"/>
      <c r="I277" s="30"/>
      <c r="J277" s="30"/>
      <c r="K277" s="31"/>
      <c r="L277" s="30"/>
      <c r="M277" s="30"/>
      <c r="N277" s="30"/>
      <c r="O277" s="30"/>
      <c r="P277" s="30"/>
      <c r="Q277" s="30"/>
      <c r="R277" s="30"/>
      <c r="S277" s="30"/>
      <c r="T277" s="30"/>
      <c r="U277" s="30"/>
      <c r="V277" s="30"/>
      <c r="W277" s="30"/>
      <c r="X277" s="30"/>
    </row>
    <row r="278">
      <c r="A278" s="30"/>
      <c r="B278" s="30"/>
      <c r="C278" s="30"/>
      <c r="D278" s="30"/>
      <c r="E278" s="30"/>
      <c r="F278" s="30"/>
      <c r="G278" s="30"/>
      <c r="H278" s="30"/>
      <c r="I278" s="30"/>
      <c r="J278" s="30"/>
      <c r="K278" s="31"/>
      <c r="L278" s="30"/>
      <c r="M278" s="30"/>
      <c r="N278" s="30"/>
      <c r="O278" s="30"/>
      <c r="P278" s="30"/>
      <c r="Q278" s="30"/>
      <c r="R278" s="30"/>
      <c r="S278" s="30"/>
      <c r="T278" s="30"/>
      <c r="U278" s="30"/>
      <c r="V278" s="30"/>
      <c r="W278" s="30"/>
      <c r="X278" s="30"/>
    </row>
    <row r="279">
      <c r="A279" s="30"/>
      <c r="B279" s="30"/>
      <c r="C279" s="30"/>
      <c r="D279" s="30"/>
      <c r="E279" s="30"/>
      <c r="F279" s="30"/>
      <c r="G279" s="30"/>
      <c r="H279" s="30"/>
      <c r="I279" s="30"/>
      <c r="J279" s="30"/>
      <c r="K279" s="35"/>
      <c r="L279" s="30"/>
      <c r="M279" s="30"/>
      <c r="N279" s="30"/>
      <c r="O279" s="30"/>
      <c r="P279" s="30"/>
      <c r="Q279" s="30"/>
      <c r="R279" s="30"/>
      <c r="S279" s="30"/>
      <c r="T279" s="30"/>
      <c r="U279" s="30"/>
      <c r="V279" s="30"/>
      <c r="W279" s="30"/>
      <c r="X279" s="30"/>
    </row>
    <row r="280">
      <c r="A280" s="30"/>
      <c r="B280" s="30"/>
      <c r="C280" s="30"/>
      <c r="D280" s="30"/>
      <c r="E280" s="30"/>
      <c r="F280" s="30"/>
      <c r="G280" s="30"/>
      <c r="H280" s="30"/>
      <c r="I280" s="30"/>
      <c r="J280" s="30"/>
      <c r="K280" s="31"/>
      <c r="L280" s="30"/>
      <c r="M280" s="30"/>
      <c r="N280" s="30"/>
      <c r="O280" s="30"/>
      <c r="P280" s="30"/>
      <c r="Q280" s="30"/>
      <c r="R280" s="30"/>
      <c r="S280" s="30"/>
      <c r="T280" s="30"/>
      <c r="U280" s="30"/>
      <c r="V280" s="30"/>
      <c r="W280" s="30"/>
      <c r="X280" s="30"/>
    </row>
    <row r="281">
      <c r="A281" s="30"/>
      <c r="B281" s="30"/>
      <c r="C281" s="30"/>
      <c r="D281" s="30"/>
      <c r="E281" s="30"/>
      <c r="F281" s="30"/>
      <c r="G281" s="30"/>
      <c r="H281" s="30"/>
      <c r="I281" s="30"/>
      <c r="J281" s="30"/>
      <c r="K281" s="31"/>
      <c r="L281" s="30"/>
      <c r="M281" s="30"/>
      <c r="N281" s="30"/>
      <c r="O281" s="30"/>
      <c r="P281" s="30"/>
      <c r="Q281" s="30"/>
      <c r="R281" s="30"/>
      <c r="S281" s="30"/>
      <c r="T281" s="30"/>
      <c r="U281" s="30"/>
      <c r="V281" s="30"/>
      <c r="W281" s="30"/>
      <c r="X281" s="30"/>
    </row>
    <row r="282">
      <c r="A282" s="30"/>
      <c r="B282" s="30"/>
      <c r="C282" s="30"/>
      <c r="D282" s="30"/>
      <c r="E282" s="30"/>
      <c r="F282" s="30"/>
      <c r="G282" s="30"/>
      <c r="H282" s="30"/>
      <c r="I282" s="30"/>
      <c r="J282" s="30"/>
      <c r="K282" s="31"/>
      <c r="L282" s="30"/>
      <c r="M282" s="30"/>
      <c r="N282" s="30"/>
      <c r="O282" s="30"/>
      <c r="P282" s="30"/>
      <c r="Q282" s="30"/>
      <c r="R282" s="30"/>
      <c r="S282" s="30"/>
      <c r="T282" s="30"/>
      <c r="U282" s="30"/>
      <c r="V282" s="30"/>
      <c r="W282" s="30"/>
      <c r="X282" s="30"/>
    </row>
    <row r="283">
      <c r="A283" s="30"/>
      <c r="B283" s="30"/>
      <c r="C283" s="30"/>
      <c r="D283" s="30"/>
      <c r="E283" s="30"/>
      <c r="F283" s="30"/>
      <c r="G283" s="30"/>
      <c r="H283" s="30"/>
      <c r="I283" s="30"/>
      <c r="J283" s="30"/>
      <c r="K283" s="31"/>
      <c r="L283" s="30"/>
      <c r="M283" s="30"/>
      <c r="N283" s="30"/>
      <c r="O283" s="30"/>
      <c r="P283" s="30"/>
      <c r="Q283" s="30"/>
      <c r="R283" s="30"/>
      <c r="S283" s="30"/>
      <c r="T283" s="30"/>
      <c r="U283" s="30"/>
      <c r="V283" s="30"/>
      <c r="W283" s="30"/>
      <c r="X283" s="30"/>
    </row>
    <row r="284">
      <c r="A284" s="30"/>
      <c r="B284" s="30"/>
      <c r="C284" s="30"/>
      <c r="D284" s="30"/>
      <c r="E284" s="30"/>
      <c r="F284" s="30"/>
      <c r="G284" s="30"/>
      <c r="H284" s="30"/>
      <c r="I284" s="30"/>
      <c r="J284" s="30"/>
      <c r="K284" s="31"/>
      <c r="L284" s="30"/>
      <c r="M284" s="30"/>
      <c r="N284" s="30"/>
      <c r="O284" s="30"/>
      <c r="P284" s="30"/>
      <c r="Q284" s="30"/>
      <c r="R284" s="30"/>
      <c r="S284" s="30"/>
      <c r="T284" s="30"/>
      <c r="U284" s="30"/>
      <c r="V284" s="30"/>
      <c r="W284" s="30"/>
      <c r="X284" s="30"/>
    </row>
    <row r="285">
      <c r="A285" s="30"/>
      <c r="B285" s="30"/>
      <c r="C285" s="30"/>
      <c r="D285" s="30"/>
      <c r="E285" s="30"/>
      <c r="F285" s="30"/>
      <c r="G285" s="30"/>
      <c r="H285" s="30"/>
      <c r="I285" s="30"/>
      <c r="J285" s="30"/>
      <c r="K285" s="31"/>
      <c r="L285" s="30"/>
      <c r="M285" s="30"/>
      <c r="N285" s="30"/>
      <c r="O285" s="30"/>
      <c r="P285" s="30"/>
      <c r="Q285" s="30"/>
      <c r="R285" s="30"/>
      <c r="S285" s="30"/>
      <c r="T285" s="30"/>
      <c r="U285" s="30"/>
      <c r="V285" s="30"/>
      <c r="W285" s="30"/>
      <c r="X285" s="30"/>
    </row>
    <row r="286">
      <c r="A286" s="30"/>
      <c r="B286" s="30"/>
      <c r="C286" s="30"/>
      <c r="D286" s="30"/>
      <c r="E286" s="30"/>
      <c r="F286" s="30"/>
      <c r="G286" s="30"/>
      <c r="H286" s="30"/>
      <c r="I286" s="30"/>
      <c r="J286" s="30"/>
      <c r="K286" s="31"/>
      <c r="L286" s="30"/>
      <c r="M286" s="30"/>
      <c r="N286" s="30"/>
      <c r="O286" s="30"/>
      <c r="P286" s="30"/>
      <c r="Q286" s="30"/>
      <c r="R286" s="30"/>
      <c r="S286" s="30"/>
      <c r="T286" s="30"/>
      <c r="U286" s="30"/>
      <c r="V286" s="30"/>
      <c r="W286" s="30"/>
      <c r="X286" s="30"/>
    </row>
    <row r="287">
      <c r="A287" s="30"/>
      <c r="B287" s="30"/>
      <c r="C287" s="30"/>
      <c r="D287" s="30"/>
      <c r="E287" s="30"/>
      <c r="F287" s="30"/>
      <c r="G287" s="30"/>
      <c r="H287" s="30"/>
      <c r="I287" s="30"/>
      <c r="J287" s="30"/>
      <c r="K287" s="31"/>
      <c r="L287" s="30"/>
      <c r="M287" s="30"/>
      <c r="N287" s="30"/>
      <c r="O287" s="30"/>
      <c r="P287" s="30"/>
      <c r="Q287" s="30"/>
      <c r="R287" s="30"/>
      <c r="S287" s="30"/>
      <c r="T287" s="30"/>
      <c r="U287" s="30"/>
      <c r="V287" s="30"/>
      <c r="W287" s="30"/>
      <c r="X287" s="30"/>
    </row>
    <row r="288">
      <c r="A288" s="30"/>
      <c r="B288" s="30"/>
      <c r="C288" s="30"/>
      <c r="D288" s="30"/>
      <c r="E288" s="30"/>
      <c r="F288" s="30"/>
      <c r="G288" s="30"/>
      <c r="H288" s="30"/>
      <c r="I288" s="30"/>
      <c r="J288" s="30"/>
      <c r="K288" s="31"/>
      <c r="L288" s="30"/>
      <c r="M288" s="30"/>
      <c r="N288" s="30"/>
      <c r="O288" s="30"/>
      <c r="P288" s="30"/>
      <c r="Q288" s="30"/>
      <c r="R288" s="30"/>
      <c r="S288" s="30"/>
      <c r="T288" s="30"/>
      <c r="U288" s="30"/>
      <c r="V288" s="30"/>
      <c r="W288" s="30"/>
      <c r="X288" s="30"/>
    </row>
    <row r="289">
      <c r="A289" s="30"/>
      <c r="B289" s="30"/>
      <c r="C289" s="30"/>
      <c r="D289" s="30"/>
      <c r="E289" s="30"/>
      <c r="F289" s="30"/>
      <c r="G289" s="30"/>
      <c r="H289" s="30"/>
      <c r="I289" s="30"/>
      <c r="J289" s="30"/>
      <c r="K289" s="31"/>
      <c r="L289" s="30"/>
      <c r="M289" s="30"/>
      <c r="N289" s="30"/>
      <c r="O289" s="30"/>
      <c r="P289" s="30"/>
      <c r="Q289" s="30"/>
      <c r="R289" s="30"/>
      <c r="S289" s="30"/>
      <c r="T289" s="30"/>
      <c r="U289" s="30"/>
      <c r="V289" s="30"/>
      <c r="W289" s="30"/>
      <c r="X289" s="30"/>
    </row>
    <row r="290">
      <c r="A290" s="30"/>
      <c r="B290" s="30"/>
      <c r="C290" s="30"/>
      <c r="D290" s="30"/>
      <c r="E290" s="30"/>
      <c r="F290" s="30"/>
      <c r="G290" s="30"/>
      <c r="H290" s="30"/>
      <c r="I290" s="30"/>
      <c r="J290" s="30"/>
      <c r="K290" s="31"/>
      <c r="L290" s="30"/>
      <c r="M290" s="30"/>
      <c r="N290" s="30"/>
      <c r="O290" s="30"/>
      <c r="P290" s="30"/>
      <c r="Q290" s="30"/>
      <c r="R290" s="30"/>
      <c r="S290" s="30"/>
      <c r="T290" s="30"/>
      <c r="U290" s="30"/>
      <c r="V290" s="30"/>
      <c r="W290" s="30"/>
      <c r="X290" s="30"/>
    </row>
    <row r="291">
      <c r="A291" s="30"/>
      <c r="B291" s="30"/>
      <c r="C291" s="30"/>
      <c r="D291" s="30"/>
      <c r="E291" s="30"/>
      <c r="F291" s="30"/>
      <c r="G291" s="30"/>
      <c r="H291" s="30"/>
      <c r="I291" s="30"/>
      <c r="J291" s="30"/>
      <c r="K291" s="31"/>
      <c r="L291" s="30"/>
      <c r="M291" s="30"/>
      <c r="N291" s="30"/>
      <c r="O291" s="30"/>
      <c r="P291" s="30"/>
      <c r="Q291" s="30"/>
      <c r="R291" s="30"/>
      <c r="S291" s="30"/>
      <c r="T291" s="30"/>
      <c r="U291" s="30"/>
      <c r="V291" s="30"/>
      <c r="W291" s="30"/>
      <c r="X291" s="30"/>
    </row>
    <row r="292">
      <c r="A292" s="30"/>
      <c r="B292" s="30"/>
      <c r="C292" s="30"/>
      <c r="D292" s="30"/>
      <c r="E292" s="30"/>
      <c r="F292" s="30"/>
      <c r="G292" s="30"/>
      <c r="H292" s="30"/>
      <c r="I292" s="30"/>
      <c r="J292" s="30"/>
      <c r="K292" s="31"/>
      <c r="L292" s="30"/>
      <c r="M292" s="30"/>
      <c r="N292" s="30"/>
      <c r="O292" s="30"/>
      <c r="P292" s="30"/>
      <c r="Q292" s="30"/>
      <c r="R292" s="30"/>
      <c r="S292" s="30"/>
      <c r="T292" s="30"/>
      <c r="U292" s="30"/>
      <c r="V292" s="30"/>
      <c r="W292" s="30"/>
      <c r="X292" s="30"/>
    </row>
    <row r="293">
      <c r="A293" s="30"/>
      <c r="B293" s="30"/>
      <c r="C293" s="30"/>
      <c r="D293" s="30"/>
      <c r="E293" s="30"/>
      <c r="F293" s="30"/>
      <c r="G293" s="30"/>
      <c r="H293" s="30"/>
      <c r="I293" s="30"/>
      <c r="J293" s="30"/>
      <c r="K293" s="31"/>
      <c r="L293" s="30"/>
      <c r="M293" s="30"/>
      <c r="N293" s="30"/>
      <c r="O293" s="30"/>
      <c r="P293" s="30"/>
      <c r="Q293" s="30"/>
      <c r="R293" s="30"/>
      <c r="S293" s="30"/>
      <c r="T293" s="30"/>
      <c r="U293" s="30"/>
      <c r="V293" s="30"/>
      <c r="W293" s="30"/>
      <c r="X293" s="30"/>
    </row>
    <row r="294">
      <c r="A294" s="30"/>
      <c r="B294" s="30"/>
      <c r="C294" s="30"/>
      <c r="D294" s="30"/>
      <c r="E294" s="30"/>
      <c r="F294" s="30"/>
      <c r="G294" s="30"/>
      <c r="H294" s="30"/>
      <c r="I294" s="30"/>
      <c r="J294" s="30"/>
      <c r="K294" s="31"/>
      <c r="L294" s="30"/>
      <c r="M294" s="30"/>
      <c r="N294" s="30"/>
      <c r="O294" s="30"/>
      <c r="P294" s="30"/>
      <c r="Q294" s="30"/>
      <c r="R294" s="30"/>
      <c r="S294" s="30"/>
      <c r="T294" s="30"/>
      <c r="U294" s="30"/>
      <c r="V294" s="30"/>
      <c r="W294" s="30"/>
      <c r="X294" s="30"/>
    </row>
    <row r="295">
      <c r="A295" s="30"/>
      <c r="B295" s="30"/>
      <c r="C295" s="30"/>
      <c r="D295" s="30"/>
      <c r="E295" s="30"/>
      <c r="F295" s="30"/>
      <c r="G295" s="30"/>
      <c r="H295" s="30"/>
      <c r="I295" s="30"/>
      <c r="J295" s="30"/>
      <c r="K295" s="31"/>
      <c r="L295" s="30"/>
      <c r="M295" s="30"/>
      <c r="N295" s="30"/>
      <c r="O295" s="30"/>
      <c r="P295" s="30"/>
      <c r="Q295" s="30"/>
      <c r="R295" s="30"/>
      <c r="S295" s="30"/>
      <c r="T295" s="30"/>
      <c r="U295" s="30"/>
      <c r="V295" s="30"/>
      <c r="W295" s="30"/>
      <c r="X295" s="30"/>
    </row>
    <row r="296">
      <c r="A296" s="30"/>
      <c r="B296" s="30"/>
      <c r="C296" s="30"/>
      <c r="D296" s="30"/>
      <c r="E296" s="30"/>
      <c r="F296" s="30"/>
      <c r="G296" s="30"/>
      <c r="H296" s="30"/>
      <c r="I296" s="30"/>
      <c r="J296" s="30"/>
      <c r="K296" s="31"/>
      <c r="L296" s="30"/>
      <c r="M296" s="30"/>
      <c r="N296" s="30"/>
      <c r="O296" s="30"/>
      <c r="P296" s="30"/>
      <c r="Q296" s="30"/>
      <c r="R296" s="30"/>
      <c r="S296" s="30"/>
      <c r="T296" s="30"/>
      <c r="U296" s="30"/>
      <c r="V296" s="30"/>
      <c r="W296" s="30"/>
      <c r="X296" s="30"/>
    </row>
    <row r="297">
      <c r="A297" s="30"/>
      <c r="B297" s="30"/>
      <c r="C297" s="30"/>
      <c r="D297" s="30"/>
      <c r="E297" s="30"/>
      <c r="F297" s="30"/>
      <c r="G297" s="30"/>
      <c r="H297" s="30"/>
      <c r="I297" s="30"/>
      <c r="J297" s="30"/>
      <c r="K297" s="31"/>
      <c r="L297" s="30"/>
      <c r="M297" s="30"/>
      <c r="N297" s="30"/>
      <c r="O297" s="30"/>
      <c r="P297" s="30"/>
      <c r="Q297" s="30"/>
      <c r="R297" s="30"/>
      <c r="S297" s="30"/>
      <c r="T297" s="30"/>
      <c r="U297" s="30"/>
      <c r="V297" s="30"/>
      <c r="W297" s="30"/>
      <c r="X297" s="30"/>
    </row>
    <row r="298">
      <c r="A298" s="30"/>
      <c r="B298" s="30"/>
      <c r="C298" s="30"/>
      <c r="D298" s="30"/>
      <c r="E298" s="30"/>
      <c r="F298" s="30"/>
      <c r="G298" s="30"/>
      <c r="H298" s="30"/>
      <c r="I298" s="30"/>
      <c r="J298" s="30"/>
      <c r="K298" s="31"/>
      <c r="L298" s="30"/>
      <c r="M298" s="30"/>
      <c r="N298" s="30"/>
      <c r="O298" s="30"/>
      <c r="P298" s="30"/>
      <c r="Q298" s="30"/>
      <c r="R298" s="30"/>
      <c r="S298" s="30"/>
      <c r="T298" s="30"/>
      <c r="U298" s="30"/>
      <c r="V298" s="30"/>
      <c r="W298" s="30"/>
      <c r="X298" s="30"/>
    </row>
    <row r="299">
      <c r="A299" s="30"/>
      <c r="B299" s="30"/>
      <c r="C299" s="30"/>
      <c r="D299" s="30"/>
      <c r="E299" s="30"/>
      <c r="F299" s="30"/>
      <c r="G299" s="30"/>
      <c r="H299" s="30"/>
      <c r="I299" s="30"/>
      <c r="J299" s="30"/>
      <c r="K299" s="31"/>
      <c r="L299" s="30"/>
      <c r="M299" s="30"/>
      <c r="N299" s="30"/>
      <c r="O299" s="30"/>
      <c r="P299" s="30"/>
      <c r="Q299" s="30"/>
      <c r="R299" s="30"/>
      <c r="S299" s="30"/>
      <c r="T299" s="30"/>
      <c r="U299" s="30"/>
      <c r="V299" s="30"/>
      <c r="W299" s="30"/>
      <c r="X299" s="30"/>
    </row>
    <row r="300">
      <c r="A300" s="30"/>
      <c r="B300" s="30"/>
      <c r="C300" s="30"/>
      <c r="D300" s="30"/>
      <c r="E300" s="30"/>
      <c r="F300" s="30"/>
      <c r="G300" s="30"/>
      <c r="H300" s="30"/>
      <c r="I300" s="30"/>
      <c r="J300" s="30"/>
      <c r="K300" s="31"/>
      <c r="L300" s="30"/>
      <c r="M300" s="30"/>
      <c r="N300" s="30"/>
      <c r="O300" s="30"/>
      <c r="P300" s="30"/>
      <c r="Q300" s="30"/>
      <c r="R300" s="30"/>
      <c r="S300" s="30"/>
      <c r="T300" s="30"/>
      <c r="U300" s="30"/>
      <c r="V300" s="30"/>
      <c r="W300" s="30"/>
      <c r="X300" s="30"/>
    </row>
    <row r="301">
      <c r="A301" s="30"/>
      <c r="B301" s="30"/>
      <c r="C301" s="30"/>
      <c r="D301" s="30"/>
      <c r="E301" s="30"/>
      <c r="F301" s="30"/>
      <c r="G301" s="30"/>
      <c r="H301" s="30"/>
      <c r="I301" s="30"/>
      <c r="J301" s="30"/>
      <c r="K301" s="31"/>
      <c r="L301" s="30"/>
      <c r="M301" s="30"/>
      <c r="N301" s="30"/>
      <c r="O301" s="30"/>
      <c r="P301" s="30"/>
      <c r="Q301" s="30"/>
      <c r="R301" s="30"/>
      <c r="S301" s="30"/>
      <c r="T301" s="30"/>
      <c r="U301" s="30"/>
      <c r="V301" s="30"/>
      <c r="W301" s="30"/>
      <c r="X301" s="30"/>
    </row>
    <row r="302">
      <c r="A302" s="30"/>
      <c r="B302" s="30"/>
      <c r="C302" s="30"/>
      <c r="D302" s="30"/>
      <c r="E302" s="30"/>
      <c r="F302" s="30"/>
      <c r="G302" s="30"/>
      <c r="H302" s="30"/>
      <c r="I302" s="30"/>
      <c r="J302" s="30"/>
      <c r="K302" s="31"/>
      <c r="L302" s="30"/>
      <c r="M302" s="30"/>
      <c r="N302" s="30"/>
      <c r="O302" s="30"/>
      <c r="P302" s="30"/>
      <c r="Q302" s="30"/>
      <c r="R302" s="30"/>
      <c r="S302" s="30"/>
      <c r="T302" s="30"/>
      <c r="U302" s="30"/>
      <c r="V302" s="30"/>
      <c r="W302" s="30"/>
      <c r="X302" s="30"/>
    </row>
    <row r="303">
      <c r="A303" s="30"/>
      <c r="B303" s="30"/>
      <c r="C303" s="30"/>
      <c r="D303" s="30"/>
      <c r="E303" s="30"/>
      <c r="F303" s="30"/>
      <c r="G303" s="30"/>
      <c r="H303" s="30"/>
      <c r="I303" s="30"/>
      <c r="J303" s="30"/>
      <c r="K303" s="31"/>
      <c r="L303" s="30"/>
      <c r="M303" s="30"/>
      <c r="N303" s="30"/>
      <c r="O303" s="30"/>
      <c r="P303" s="30"/>
      <c r="Q303" s="30"/>
      <c r="R303" s="30"/>
      <c r="S303" s="30"/>
      <c r="T303" s="30"/>
      <c r="U303" s="30"/>
      <c r="V303" s="30"/>
      <c r="W303" s="30"/>
      <c r="X303" s="30"/>
    </row>
    <row r="304">
      <c r="A304" s="30"/>
      <c r="B304" s="30"/>
      <c r="C304" s="30"/>
      <c r="D304" s="30"/>
      <c r="E304" s="30"/>
      <c r="F304" s="30"/>
      <c r="G304" s="30"/>
      <c r="H304" s="30"/>
      <c r="I304" s="30"/>
      <c r="J304" s="30"/>
      <c r="K304" s="31"/>
      <c r="L304" s="30"/>
      <c r="M304" s="30"/>
      <c r="N304" s="30"/>
      <c r="O304" s="30"/>
      <c r="P304" s="30"/>
      <c r="Q304" s="30"/>
      <c r="R304" s="30"/>
      <c r="S304" s="30"/>
      <c r="T304" s="30"/>
      <c r="U304" s="30"/>
      <c r="V304" s="30"/>
      <c r="W304" s="30"/>
      <c r="X304" s="30"/>
    </row>
    <row r="305">
      <c r="A305" s="30"/>
      <c r="B305" s="30"/>
      <c r="C305" s="30"/>
      <c r="D305" s="30"/>
      <c r="E305" s="30"/>
      <c r="F305" s="30"/>
      <c r="G305" s="30"/>
      <c r="H305" s="30"/>
      <c r="I305" s="30"/>
      <c r="J305" s="30"/>
      <c r="K305" s="31"/>
      <c r="L305" s="30"/>
      <c r="M305" s="30"/>
      <c r="N305" s="30"/>
      <c r="O305" s="30"/>
      <c r="P305" s="30"/>
      <c r="Q305" s="30"/>
      <c r="R305" s="30"/>
      <c r="S305" s="30"/>
      <c r="T305" s="30"/>
      <c r="U305" s="30"/>
      <c r="V305" s="30"/>
      <c r="W305" s="30"/>
      <c r="X305" s="30"/>
    </row>
    <row r="306">
      <c r="A306" s="30"/>
      <c r="B306" s="30"/>
      <c r="C306" s="30"/>
      <c r="D306" s="30"/>
      <c r="E306" s="30"/>
      <c r="F306" s="30"/>
      <c r="G306" s="30"/>
      <c r="H306" s="30"/>
      <c r="I306" s="30"/>
      <c r="J306" s="30"/>
      <c r="K306" s="31"/>
      <c r="L306" s="30"/>
      <c r="M306" s="30"/>
      <c r="N306" s="30"/>
      <c r="O306" s="30"/>
      <c r="P306" s="30"/>
      <c r="Q306" s="30"/>
      <c r="R306" s="30"/>
      <c r="S306" s="30"/>
      <c r="T306" s="30"/>
      <c r="U306" s="30"/>
      <c r="V306" s="30"/>
      <c r="W306" s="30"/>
      <c r="X306" s="30"/>
    </row>
    <row r="307">
      <c r="A307" s="30"/>
      <c r="B307" s="30"/>
      <c r="C307" s="30"/>
      <c r="D307" s="30"/>
      <c r="E307" s="30"/>
      <c r="F307" s="30"/>
      <c r="G307" s="30"/>
      <c r="H307" s="30"/>
      <c r="I307" s="30"/>
      <c r="J307" s="30"/>
      <c r="K307" s="31"/>
      <c r="L307" s="30"/>
      <c r="M307" s="30"/>
      <c r="N307" s="30"/>
      <c r="O307" s="30"/>
      <c r="P307" s="30"/>
      <c r="Q307" s="30"/>
      <c r="R307" s="30"/>
      <c r="S307" s="30"/>
      <c r="T307" s="30"/>
      <c r="U307" s="30"/>
      <c r="V307" s="30"/>
      <c r="W307" s="30"/>
      <c r="X307" s="30"/>
    </row>
    <row r="308">
      <c r="A308" s="30"/>
      <c r="B308" s="30"/>
      <c r="C308" s="30"/>
      <c r="D308" s="30"/>
      <c r="E308" s="30"/>
      <c r="F308" s="30"/>
      <c r="G308" s="30"/>
      <c r="H308" s="30"/>
      <c r="I308" s="30"/>
      <c r="J308" s="30"/>
      <c r="K308" s="31"/>
      <c r="L308" s="30"/>
      <c r="M308" s="30"/>
      <c r="N308" s="30"/>
      <c r="O308" s="30"/>
      <c r="P308" s="30"/>
      <c r="Q308" s="30"/>
      <c r="R308" s="30"/>
      <c r="S308" s="30"/>
      <c r="T308" s="30"/>
      <c r="U308" s="30"/>
      <c r="V308" s="30"/>
      <c r="W308" s="30"/>
      <c r="X308" s="30"/>
    </row>
    <row r="309">
      <c r="A309" s="30"/>
      <c r="B309" s="30"/>
      <c r="C309" s="30"/>
      <c r="D309" s="30"/>
      <c r="E309" s="30"/>
      <c r="F309" s="30"/>
      <c r="G309" s="30"/>
      <c r="H309" s="30"/>
      <c r="I309" s="30"/>
      <c r="J309" s="30"/>
      <c r="K309" s="31"/>
      <c r="L309" s="30"/>
      <c r="M309" s="30"/>
      <c r="N309" s="30"/>
      <c r="O309" s="30"/>
      <c r="P309" s="30"/>
      <c r="Q309" s="30"/>
      <c r="R309" s="30"/>
      <c r="S309" s="30"/>
      <c r="T309" s="30"/>
      <c r="U309" s="30"/>
      <c r="V309" s="30"/>
      <c r="W309" s="30"/>
      <c r="X309" s="30"/>
    </row>
    <row r="310">
      <c r="A310" s="30"/>
      <c r="B310" s="30"/>
      <c r="C310" s="30"/>
      <c r="D310" s="30"/>
      <c r="E310" s="30"/>
      <c r="F310" s="30"/>
      <c r="G310" s="30"/>
      <c r="H310" s="30"/>
      <c r="I310" s="30"/>
      <c r="J310" s="30"/>
      <c r="K310" s="31"/>
      <c r="L310" s="30"/>
      <c r="M310" s="30"/>
      <c r="N310" s="30"/>
      <c r="O310" s="30"/>
      <c r="P310" s="30"/>
      <c r="Q310" s="30"/>
      <c r="R310" s="30"/>
      <c r="S310" s="30"/>
      <c r="T310" s="30"/>
      <c r="U310" s="30"/>
      <c r="V310" s="30"/>
      <c r="W310" s="30"/>
      <c r="X310" s="30"/>
    </row>
    <row r="311">
      <c r="A311" s="30"/>
      <c r="B311" s="30"/>
      <c r="C311" s="30"/>
      <c r="D311" s="30"/>
      <c r="E311" s="30"/>
      <c r="F311" s="30"/>
      <c r="G311" s="30"/>
      <c r="H311" s="30"/>
      <c r="I311" s="30"/>
      <c r="J311" s="30"/>
      <c r="K311" s="31"/>
      <c r="L311" s="30"/>
      <c r="M311" s="30"/>
      <c r="N311" s="30"/>
      <c r="O311" s="30"/>
      <c r="P311" s="30"/>
      <c r="Q311" s="30"/>
      <c r="R311" s="30"/>
      <c r="S311" s="30"/>
      <c r="T311" s="30"/>
      <c r="U311" s="30"/>
      <c r="V311" s="30"/>
      <c r="W311" s="30"/>
      <c r="X311" s="30"/>
    </row>
    <row r="312">
      <c r="A312" s="30"/>
      <c r="B312" s="30"/>
      <c r="C312" s="30"/>
      <c r="D312" s="30"/>
      <c r="E312" s="30"/>
      <c r="F312" s="30"/>
      <c r="G312" s="30"/>
      <c r="H312" s="30"/>
      <c r="I312" s="30"/>
      <c r="J312" s="30"/>
      <c r="K312" s="31"/>
      <c r="L312" s="30"/>
      <c r="M312" s="30"/>
      <c r="N312" s="30"/>
      <c r="O312" s="30"/>
      <c r="P312" s="30"/>
      <c r="Q312" s="30"/>
      <c r="R312" s="30"/>
      <c r="S312" s="30"/>
      <c r="T312" s="30"/>
      <c r="U312" s="30"/>
      <c r="V312" s="30"/>
      <c r="W312" s="30"/>
      <c r="X312" s="30"/>
    </row>
    <row r="313">
      <c r="A313" s="30"/>
      <c r="B313" s="30"/>
      <c r="C313" s="30"/>
      <c r="D313" s="30"/>
      <c r="E313" s="30"/>
      <c r="F313" s="30"/>
      <c r="G313" s="30"/>
      <c r="H313" s="30"/>
      <c r="I313" s="30"/>
      <c r="J313" s="30"/>
      <c r="K313" s="31"/>
      <c r="L313" s="30"/>
      <c r="M313" s="30"/>
      <c r="N313" s="30"/>
      <c r="O313" s="30"/>
      <c r="P313" s="30"/>
      <c r="Q313" s="30"/>
      <c r="R313" s="30"/>
      <c r="S313" s="30"/>
      <c r="T313" s="30"/>
      <c r="U313" s="30"/>
      <c r="V313" s="30"/>
      <c r="W313" s="30"/>
      <c r="X313" s="30"/>
    </row>
    <row r="314">
      <c r="A314" s="30"/>
      <c r="B314" s="30"/>
      <c r="C314" s="30"/>
      <c r="D314" s="30"/>
      <c r="E314" s="30"/>
      <c r="F314" s="30"/>
      <c r="G314" s="30"/>
      <c r="H314" s="30"/>
      <c r="I314" s="30"/>
      <c r="J314" s="30"/>
      <c r="K314" s="31"/>
      <c r="L314" s="30"/>
      <c r="M314" s="30"/>
      <c r="N314" s="30"/>
      <c r="O314" s="30"/>
      <c r="P314" s="30"/>
      <c r="Q314" s="30"/>
      <c r="R314" s="30"/>
      <c r="S314" s="30"/>
      <c r="T314" s="30"/>
      <c r="U314" s="30"/>
      <c r="V314" s="30"/>
      <c r="W314" s="30"/>
      <c r="X314" s="30"/>
    </row>
    <row r="315">
      <c r="A315" s="30"/>
      <c r="B315" s="30"/>
      <c r="C315" s="30"/>
      <c r="D315" s="30"/>
      <c r="E315" s="30"/>
      <c r="F315" s="30"/>
      <c r="G315" s="30"/>
      <c r="H315" s="30"/>
      <c r="I315" s="30"/>
      <c r="J315" s="30"/>
      <c r="K315" s="31"/>
      <c r="L315" s="30"/>
      <c r="M315" s="30"/>
      <c r="N315" s="30"/>
      <c r="O315" s="30"/>
      <c r="P315" s="30"/>
      <c r="Q315" s="30"/>
      <c r="R315" s="30"/>
      <c r="S315" s="30"/>
      <c r="T315" s="30"/>
      <c r="U315" s="30"/>
      <c r="V315" s="30"/>
      <c r="W315" s="30"/>
      <c r="X315" s="30"/>
    </row>
    <row r="316">
      <c r="A316" s="30"/>
      <c r="B316" s="30"/>
      <c r="C316" s="30"/>
      <c r="D316" s="30"/>
      <c r="E316" s="30"/>
      <c r="F316" s="30"/>
      <c r="G316" s="30"/>
      <c r="H316" s="30"/>
      <c r="I316" s="30"/>
      <c r="J316" s="30"/>
      <c r="K316" s="31"/>
      <c r="L316" s="30"/>
      <c r="M316" s="30"/>
      <c r="N316" s="30"/>
      <c r="O316" s="30"/>
      <c r="P316" s="30"/>
      <c r="Q316" s="30"/>
      <c r="R316" s="30"/>
      <c r="S316" s="30"/>
      <c r="T316" s="30"/>
      <c r="U316" s="30"/>
      <c r="V316" s="30"/>
      <c r="W316" s="30"/>
      <c r="X316" s="30"/>
    </row>
    <row r="317">
      <c r="A317" s="30"/>
      <c r="B317" s="30"/>
      <c r="C317" s="30"/>
      <c r="D317" s="30"/>
      <c r="E317" s="30"/>
      <c r="F317" s="30"/>
      <c r="G317" s="30"/>
      <c r="H317" s="30"/>
      <c r="I317" s="30"/>
      <c r="J317" s="30"/>
      <c r="K317" s="31"/>
      <c r="L317" s="30"/>
      <c r="M317" s="30"/>
      <c r="N317" s="30"/>
      <c r="O317" s="30"/>
      <c r="P317" s="30"/>
      <c r="Q317" s="30"/>
      <c r="R317" s="30"/>
      <c r="S317" s="30"/>
      <c r="T317" s="30"/>
      <c r="U317" s="30"/>
      <c r="V317" s="30"/>
      <c r="W317" s="30"/>
      <c r="X317" s="30"/>
    </row>
    <row r="318">
      <c r="A318" s="30"/>
      <c r="B318" s="30"/>
      <c r="C318" s="30"/>
      <c r="D318" s="30"/>
      <c r="E318" s="30"/>
      <c r="F318" s="30"/>
      <c r="G318" s="30"/>
      <c r="H318" s="30"/>
      <c r="I318" s="30"/>
      <c r="J318" s="30"/>
      <c r="K318" s="31"/>
      <c r="L318" s="30"/>
      <c r="M318" s="30"/>
      <c r="N318" s="30"/>
      <c r="O318" s="30"/>
      <c r="P318" s="30"/>
      <c r="Q318" s="30"/>
      <c r="R318" s="30"/>
      <c r="S318" s="30"/>
      <c r="T318" s="30"/>
      <c r="U318" s="30"/>
      <c r="V318" s="30"/>
      <c r="W318" s="30"/>
      <c r="X318" s="30"/>
    </row>
    <row r="319">
      <c r="A319" s="30"/>
      <c r="B319" s="30"/>
      <c r="C319" s="30"/>
      <c r="D319" s="30"/>
      <c r="E319" s="30"/>
      <c r="F319" s="30"/>
      <c r="G319" s="30"/>
      <c r="H319" s="30"/>
      <c r="I319" s="30"/>
      <c r="J319" s="30"/>
      <c r="K319" s="31"/>
      <c r="L319" s="30"/>
      <c r="M319" s="30"/>
      <c r="N319" s="30"/>
      <c r="O319" s="30"/>
      <c r="P319" s="30"/>
      <c r="Q319" s="30"/>
      <c r="R319" s="30"/>
      <c r="S319" s="30"/>
      <c r="T319" s="30"/>
      <c r="U319" s="30"/>
      <c r="V319" s="30"/>
      <c r="W319" s="30"/>
      <c r="X319" s="30"/>
    </row>
    <row r="320">
      <c r="A320" s="30"/>
      <c r="B320" s="30"/>
      <c r="C320" s="30"/>
      <c r="D320" s="30"/>
      <c r="E320" s="30"/>
      <c r="F320" s="30"/>
      <c r="G320" s="30"/>
      <c r="H320" s="30"/>
      <c r="I320" s="30"/>
      <c r="J320" s="30"/>
      <c r="K320" s="31"/>
      <c r="L320" s="30"/>
      <c r="M320" s="30"/>
      <c r="N320" s="30"/>
      <c r="O320" s="30"/>
      <c r="P320" s="30"/>
      <c r="Q320" s="30"/>
      <c r="R320" s="30"/>
      <c r="S320" s="30"/>
      <c r="T320" s="30"/>
      <c r="U320" s="30"/>
      <c r="V320" s="30"/>
      <c r="W320" s="30"/>
      <c r="X320" s="30"/>
    </row>
    <row r="321">
      <c r="A321" s="30"/>
      <c r="B321" s="30"/>
      <c r="C321" s="30"/>
      <c r="D321" s="30"/>
      <c r="E321" s="30"/>
      <c r="F321" s="30"/>
      <c r="G321" s="30"/>
      <c r="H321" s="30"/>
      <c r="I321" s="30"/>
      <c r="J321" s="30"/>
      <c r="K321" s="31"/>
      <c r="L321" s="30"/>
      <c r="M321" s="30"/>
      <c r="N321" s="30"/>
      <c r="O321" s="30"/>
      <c r="P321" s="30"/>
      <c r="Q321" s="30"/>
      <c r="R321" s="30"/>
      <c r="S321" s="30"/>
      <c r="T321" s="30"/>
      <c r="U321" s="30"/>
      <c r="V321" s="30"/>
      <c r="W321" s="30"/>
      <c r="X321" s="30"/>
    </row>
    <row r="322">
      <c r="A322" s="30"/>
      <c r="B322" s="30"/>
      <c r="C322" s="30"/>
      <c r="D322" s="30"/>
      <c r="E322" s="30"/>
      <c r="F322" s="30"/>
      <c r="G322" s="30"/>
      <c r="H322" s="30"/>
      <c r="I322" s="30"/>
      <c r="J322" s="30"/>
      <c r="K322" s="31"/>
      <c r="L322" s="30"/>
      <c r="M322" s="30"/>
      <c r="N322" s="30"/>
      <c r="O322" s="30"/>
      <c r="P322" s="30"/>
      <c r="Q322" s="30"/>
      <c r="R322" s="30"/>
      <c r="S322" s="30"/>
      <c r="T322" s="30"/>
      <c r="U322" s="30"/>
      <c r="V322" s="30"/>
      <c r="W322" s="30"/>
      <c r="X322" s="30"/>
    </row>
    <row r="323">
      <c r="A323" s="30"/>
      <c r="B323" s="30"/>
      <c r="C323" s="30"/>
      <c r="D323" s="30"/>
      <c r="E323" s="30"/>
      <c r="F323" s="30"/>
      <c r="G323" s="30"/>
      <c r="H323" s="30"/>
      <c r="I323" s="30"/>
      <c r="J323" s="30"/>
      <c r="K323" s="31"/>
      <c r="L323" s="30"/>
      <c r="M323" s="30"/>
      <c r="N323" s="30"/>
      <c r="O323" s="30"/>
      <c r="P323" s="30"/>
      <c r="Q323" s="30"/>
      <c r="R323" s="30"/>
      <c r="S323" s="30"/>
      <c r="T323" s="30"/>
      <c r="U323" s="30"/>
      <c r="V323" s="30"/>
      <c r="W323" s="30"/>
      <c r="X323" s="30"/>
    </row>
    <row r="324">
      <c r="A324" s="30"/>
      <c r="B324" s="30"/>
      <c r="C324" s="30"/>
      <c r="D324" s="30"/>
      <c r="E324" s="30"/>
      <c r="F324" s="30"/>
      <c r="G324" s="30"/>
      <c r="H324" s="30"/>
      <c r="I324" s="30"/>
      <c r="J324" s="30"/>
      <c r="K324" s="31"/>
      <c r="L324" s="30"/>
      <c r="M324" s="30"/>
      <c r="N324" s="30"/>
      <c r="O324" s="30"/>
      <c r="P324" s="30"/>
      <c r="Q324" s="30"/>
      <c r="R324" s="30"/>
      <c r="S324" s="30"/>
      <c r="T324" s="30"/>
      <c r="U324" s="30"/>
      <c r="V324" s="30"/>
      <c r="W324" s="30"/>
      <c r="X324" s="30"/>
    </row>
    <row r="325">
      <c r="A325" s="30"/>
      <c r="B325" s="30"/>
      <c r="C325" s="30"/>
      <c r="D325" s="30"/>
      <c r="E325" s="30"/>
      <c r="F325" s="30"/>
      <c r="G325" s="30"/>
      <c r="H325" s="30"/>
      <c r="I325" s="30"/>
      <c r="J325" s="30"/>
      <c r="K325" s="31"/>
      <c r="L325" s="30"/>
      <c r="M325" s="30"/>
      <c r="N325" s="30"/>
      <c r="O325" s="30"/>
      <c r="P325" s="30"/>
      <c r="Q325" s="30"/>
      <c r="R325" s="30"/>
      <c r="S325" s="30"/>
      <c r="T325" s="30"/>
      <c r="U325" s="30"/>
      <c r="V325" s="30"/>
      <c r="W325" s="30"/>
      <c r="X325" s="30"/>
    </row>
    <row r="326">
      <c r="A326" s="30"/>
      <c r="B326" s="30"/>
      <c r="C326" s="30"/>
      <c r="D326" s="30"/>
      <c r="E326" s="30"/>
      <c r="F326" s="30"/>
      <c r="G326" s="30"/>
      <c r="H326" s="30"/>
      <c r="I326" s="30"/>
      <c r="J326" s="30"/>
      <c r="K326" s="31"/>
      <c r="L326" s="30"/>
      <c r="M326" s="30"/>
      <c r="N326" s="30"/>
      <c r="O326" s="30"/>
      <c r="P326" s="30"/>
      <c r="Q326" s="30"/>
      <c r="R326" s="30"/>
      <c r="S326" s="30"/>
      <c r="T326" s="30"/>
      <c r="U326" s="30"/>
      <c r="V326" s="30"/>
      <c r="W326" s="30"/>
      <c r="X326" s="30"/>
    </row>
    <row r="327">
      <c r="A327" s="30"/>
      <c r="B327" s="30"/>
      <c r="C327" s="30"/>
      <c r="D327" s="30"/>
      <c r="E327" s="30"/>
      <c r="F327" s="30"/>
      <c r="G327" s="30"/>
      <c r="H327" s="30"/>
      <c r="I327" s="30"/>
      <c r="J327" s="30"/>
      <c r="K327" s="31"/>
      <c r="L327" s="30"/>
      <c r="M327" s="30"/>
      <c r="N327" s="30"/>
      <c r="O327" s="30"/>
      <c r="P327" s="30"/>
      <c r="Q327" s="30"/>
      <c r="R327" s="30"/>
      <c r="S327" s="30"/>
      <c r="T327" s="30"/>
      <c r="U327" s="30"/>
      <c r="V327" s="30"/>
      <c r="W327" s="30"/>
      <c r="X327" s="30"/>
    </row>
    <row r="328">
      <c r="A328" s="30"/>
      <c r="B328" s="30"/>
      <c r="C328" s="30"/>
      <c r="D328" s="30"/>
      <c r="E328" s="30"/>
      <c r="F328" s="30"/>
      <c r="G328" s="30"/>
      <c r="H328" s="30"/>
      <c r="I328" s="30"/>
      <c r="J328" s="30"/>
      <c r="K328" s="31"/>
      <c r="L328" s="30"/>
      <c r="M328" s="30"/>
      <c r="N328" s="30"/>
      <c r="O328" s="30"/>
      <c r="P328" s="30"/>
      <c r="Q328" s="30"/>
      <c r="R328" s="30"/>
      <c r="S328" s="30"/>
      <c r="T328" s="30"/>
      <c r="U328" s="30"/>
      <c r="V328" s="30"/>
      <c r="W328" s="30"/>
      <c r="X328" s="30"/>
    </row>
    <row r="329">
      <c r="A329" s="30"/>
      <c r="B329" s="30"/>
      <c r="C329" s="30"/>
      <c r="D329" s="30"/>
      <c r="E329" s="30"/>
      <c r="F329" s="30"/>
      <c r="G329" s="30"/>
      <c r="H329" s="30"/>
      <c r="I329" s="30"/>
      <c r="J329" s="30"/>
      <c r="K329" s="31"/>
      <c r="L329" s="30"/>
      <c r="M329" s="30"/>
      <c r="N329" s="30"/>
      <c r="O329" s="30"/>
      <c r="P329" s="30"/>
      <c r="Q329" s="30"/>
      <c r="R329" s="30"/>
      <c r="S329" s="30"/>
      <c r="T329" s="30"/>
      <c r="U329" s="30"/>
      <c r="V329" s="30"/>
      <c r="W329" s="30"/>
      <c r="X329" s="30"/>
    </row>
    <row r="330">
      <c r="A330" s="30"/>
      <c r="B330" s="30"/>
      <c r="C330" s="30"/>
      <c r="D330" s="30"/>
      <c r="E330" s="30"/>
      <c r="F330" s="30"/>
      <c r="G330" s="30"/>
      <c r="H330" s="30"/>
      <c r="I330" s="30"/>
      <c r="J330" s="30"/>
      <c r="K330" s="31"/>
      <c r="L330" s="30"/>
      <c r="M330" s="30"/>
      <c r="N330" s="30"/>
      <c r="O330" s="30"/>
      <c r="P330" s="30"/>
      <c r="Q330" s="30"/>
      <c r="R330" s="30"/>
      <c r="S330" s="30"/>
      <c r="T330" s="30"/>
      <c r="U330" s="30"/>
      <c r="V330" s="30"/>
      <c r="W330" s="30"/>
      <c r="X330" s="30"/>
    </row>
    <row r="331">
      <c r="A331" s="30"/>
      <c r="B331" s="30"/>
      <c r="C331" s="30"/>
      <c r="D331" s="30"/>
      <c r="E331" s="30"/>
      <c r="F331" s="30"/>
      <c r="G331" s="30"/>
      <c r="H331" s="30"/>
      <c r="I331" s="30"/>
      <c r="J331" s="30"/>
      <c r="K331" s="31"/>
      <c r="L331" s="30"/>
      <c r="M331" s="30"/>
      <c r="N331" s="30"/>
      <c r="O331" s="30"/>
      <c r="P331" s="30"/>
      <c r="Q331" s="30"/>
      <c r="R331" s="30"/>
      <c r="S331" s="30"/>
      <c r="T331" s="30"/>
      <c r="U331" s="30"/>
      <c r="V331" s="30"/>
      <c r="W331" s="30"/>
      <c r="X331" s="30"/>
    </row>
    <row r="332">
      <c r="A332" s="30"/>
      <c r="B332" s="30"/>
      <c r="C332" s="30"/>
      <c r="D332" s="30"/>
      <c r="E332" s="30"/>
      <c r="F332" s="30"/>
      <c r="G332" s="30"/>
      <c r="H332" s="30"/>
      <c r="I332" s="30"/>
      <c r="J332" s="30"/>
      <c r="K332" s="31"/>
      <c r="L332" s="30"/>
      <c r="M332" s="30"/>
      <c r="N332" s="30"/>
      <c r="O332" s="30"/>
      <c r="P332" s="30"/>
      <c r="Q332" s="30"/>
      <c r="R332" s="30"/>
      <c r="S332" s="30"/>
      <c r="T332" s="30"/>
      <c r="U332" s="30"/>
      <c r="V332" s="30"/>
      <c r="W332" s="30"/>
      <c r="X332" s="30"/>
    </row>
    <row r="333">
      <c r="A333" s="30"/>
      <c r="B333" s="30"/>
      <c r="C333" s="30"/>
      <c r="D333" s="30"/>
      <c r="E333" s="30"/>
      <c r="F333" s="30"/>
      <c r="G333" s="30"/>
      <c r="H333" s="30"/>
      <c r="I333" s="30"/>
      <c r="J333" s="30"/>
      <c r="K333" s="31"/>
      <c r="L333" s="30"/>
      <c r="M333" s="30"/>
      <c r="N333" s="30"/>
      <c r="O333" s="30"/>
      <c r="P333" s="30"/>
      <c r="Q333" s="30"/>
      <c r="R333" s="30"/>
      <c r="S333" s="30"/>
      <c r="T333" s="30"/>
      <c r="U333" s="30"/>
      <c r="V333" s="30"/>
      <c r="W333" s="30"/>
      <c r="X333" s="30"/>
    </row>
    <row r="334">
      <c r="A334" s="30"/>
      <c r="B334" s="30"/>
      <c r="C334" s="30"/>
      <c r="D334" s="30"/>
      <c r="E334" s="30"/>
      <c r="F334" s="30"/>
      <c r="G334" s="30"/>
      <c r="H334" s="30"/>
      <c r="I334" s="30"/>
      <c r="J334" s="30"/>
      <c r="K334" s="31"/>
      <c r="L334" s="30"/>
      <c r="M334" s="30"/>
      <c r="N334" s="30"/>
      <c r="O334" s="30"/>
      <c r="P334" s="30"/>
      <c r="Q334" s="30"/>
      <c r="R334" s="30"/>
      <c r="S334" s="30"/>
      <c r="T334" s="30"/>
      <c r="U334" s="30"/>
      <c r="V334" s="30"/>
      <c r="W334" s="30"/>
      <c r="X334" s="30"/>
    </row>
    <row r="335">
      <c r="A335" s="30"/>
      <c r="B335" s="30"/>
      <c r="C335" s="30"/>
      <c r="D335" s="30"/>
      <c r="E335" s="30"/>
      <c r="F335" s="30"/>
      <c r="G335" s="30"/>
      <c r="H335" s="30"/>
      <c r="I335" s="30"/>
      <c r="J335" s="30"/>
      <c r="K335" s="31"/>
      <c r="L335" s="30"/>
      <c r="M335" s="30"/>
      <c r="N335" s="30"/>
      <c r="O335" s="30"/>
      <c r="P335" s="30"/>
      <c r="Q335" s="30"/>
      <c r="R335" s="30"/>
      <c r="S335" s="30"/>
      <c r="T335" s="30"/>
      <c r="U335" s="30"/>
      <c r="V335" s="30"/>
      <c r="W335" s="30"/>
      <c r="X335" s="30"/>
    </row>
    <row r="336">
      <c r="A336" s="30"/>
      <c r="B336" s="30"/>
      <c r="C336" s="30"/>
      <c r="D336" s="30"/>
      <c r="E336" s="30"/>
      <c r="F336" s="30"/>
      <c r="G336" s="30"/>
      <c r="H336" s="30"/>
      <c r="I336" s="30"/>
      <c r="J336" s="30"/>
      <c r="K336" s="31"/>
      <c r="L336" s="30"/>
      <c r="M336" s="30"/>
      <c r="N336" s="30"/>
      <c r="O336" s="30"/>
      <c r="P336" s="30"/>
      <c r="Q336" s="30"/>
      <c r="R336" s="30"/>
      <c r="S336" s="30"/>
      <c r="T336" s="30"/>
      <c r="U336" s="30"/>
      <c r="V336" s="30"/>
      <c r="W336" s="30"/>
      <c r="X336" s="30"/>
    </row>
    <row r="337">
      <c r="A337" s="30"/>
      <c r="B337" s="30"/>
      <c r="C337" s="30"/>
      <c r="D337" s="30"/>
      <c r="E337" s="30"/>
      <c r="F337" s="30"/>
      <c r="G337" s="30"/>
      <c r="H337" s="30"/>
      <c r="I337" s="30"/>
      <c r="J337" s="30"/>
      <c r="K337" s="31"/>
      <c r="L337" s="30"/>
      <c r="M337" s="30"/>
      <c r="N337" s="30"/>
      <c r="O337" s="30"/>
      <c r="P337" s="30"/>
      <c r="Q337" s="30"/>
      <c r="R337" s="30"/>
      <c r="S337" s="30"/>
      <c r="T337" s="30"/>
      <c r="U337" s="30"/>
      <c r="V337" s="30"/>
      <c r="W337" s="30"/>
      <c r="X337" s="30"/>
    </row>
    <row r="338">
      <c r="A338" s="30"/>
      <c r="B338" s="30"/>
      <c r="C338" s="30"/>
      <c r="D338" s="30"/>
      <c r="E338" s="30"/>
      <c r="F338" s="30"/>
      <c r="G338" s="30"/>
      <c r="H338" s="30"/>
      <c r="I338" s="30"/>
      <c r="J338" s="30"/>
      <c r="K338" s="31"/>
      <c r="L338" s="30"/>
      <c r="M338" s="30"/>
      <c r="N338" s="30"/>
      <c r="O338" s="30"/>
      <c r="P338" s="30"/>
      <c r="Q338" s="30"/>
      <c r="R338" s="30"/>
      <c r="S338" s="30"/>
      <c r="T338" s="30"/>
      <c r="U338" s="30"/>
      <c r="V338" s="30"/>
      <c r="W338" s="30"/>
      <c r="X338" s="30"/>
    </row>
    <row r="339">
      <c r="A339" s="30"/>
      <c r="B339" s="30"/>
      <c r="C339" s="30"/>
      <c r="D339" s="30"/>
      <c r="E339" s="30"/>
      <c r="F339" s="30"/>
      <c r="G339" s="30"/>
      <c r="H339" s="30"/>
      <c r="I339" s="30"/>
      <c r="J339" s="30"/>
      <c r="K339" s="31"/>
      <c r="L339" s="30"/>
      <c r="M339" s="30"/>
      <c r="N339" s="30"/>
      <c r="O339" s="30"/>
      <c r="P339" s="30"/>
      <c r="Q339" s="30"/>
      <c r="R339" s="30"/>
      <c r="S339" s="30"/>
      <c r="T339" s="30"/>
      <c r="U339" s="30"/>
      <c r="V339" s="30"/>
      <c r="W339" s="30"/>
      <c r="X339" s="30"/>
    </row>
    <row r="340">
      <c r="A340" s="30"/>
      <c r="B340" s="30"/>
      <c r="C340" s="30"/>
      <c r="D340" s="30"/>
      <c r="E340" s="30"/>
      <c r="F340" s="30"/>
      <c r="G340" s="30"/>
      <c r="H340" s="30"/>
      <c r="I340" s="30"/>
      <c r="J340" s="30"/>
      <c r="K340" s="31"/>
      <c r="L340" s="30"/>
      <c r="M340" s="30"/>
      <c r="N340" s="30"/>
      <c r="O340" s="30"/>
      <c r="P340" s="30"/>
      <c r="Q340" s="30"/>
      <c r="R340" s="30"/>
      <c r="S340" s="30"/>
      <c r="T340" s="30"/>
      <c r="U340" s="30"/>
      <c r="V340" s="30"/>
      <c r="W340" s="30"/>
      <c r="X340" s="30"/>
    </row>
    <row r="341">
      <c r="A341" s="30"/>
      <c r="B341" s="30"/>
      <c r="C341" s="30"/>
      <c r="D341" s="30"/>
      <c r="E341" s="30"/>
      <c r="F341" s="30"/>
      <c r="G341" s="30"/>
      <c r="H341" s="30"/>
      <c r="I341" s="30"/>
      <c r="J341" s="30"/>
      <c r="K341" s="31"/>
      <c r="L341" s="30"/>
      <c r="M341" s="30"/>
      <c r="N341" s="30"/>
      <c r="O341" s="30"/>
      <c r="P341" s="30"/>
      <c r="Q341" s="30"/>
      <c r="R341" s="30"/>
      <c r="S341" s="30"/>
      <c r="T341" s="30"/>
      <c r="U341" s="30"/>
      <c r="V341" s="30"/>
      <c r="W341" s="30"/>
      <c r="X341" s="30"/>
    </row>
    <row r="342">
      <c r="A342" s="30"/>
      <c r="B342" s="30"/>
      <c r="C342" s="30"/>
      <c r="D342" s="30"/>
      <c r="E342" s="30"/>
      <c r="F342" s="30"/>
      <c r="G342" s="30"/>
      <c r="H342" s="30"/>
      <c r="I342" s="30"/>
      <c r="J342" s="30"/>
      <c r="K342" s="31"/>
      <c r="L342" s="30"/>
      <c r="M342" s="30"/>
      <c r="N342" s="30"/>
      <c r="O342" s="30"/>
      <c r="P342" s="30"/>
      <c r="Q342" s="30"/>
      <c r="R342" s="30"/>
      <c r="S342" s="30"/>
      <c r="T342" s="30"/>
      <c r="U342" s="30"/>
      <c r="V342" s="30"/>
      <c r="W342" s="30"/>
      <c r="X342" s="30"/>
    </row>
    <row r="343">
      <c r="A343" s="30"/>
      <c r="B343" s="30"/>
      <c r="C343" s="30"/>
      <c r="D343" s="30"/>
      <c r="E343" s="30"/>
      <c r="F343" s="30"/>
      <c r="G343" s="30"/>
      <c r="H343" s="30"/>
      <c r="I343" s="30"/>
      <c r="J343" s="30"/>
      <c r="K343" s="31"/>
      <c r="L343" s="30"/>
      <c r="M343" s="30"/>
      <c r="N343" s="30"/>
      <c r="O343" s="30"/>
      <c r="P343" s="30"/>
      <c r="Q343" s="30"/>
      <c r="R343" s="30"/>
      <c r="S343" s="30"/>
      <c r="T343" s="30"/>
      <c r="U343" s="30"/>
      <c r="V343" s="30"/>
      <c r="W343" s="30"/>
      <c r="X343" s="30"/>
    </row>
    <row r="344">
      <c r="A344" s="30"/>
      <c r="B344" s="30"/>
      <c r="C344" s="30"/>
      <c r="D344" s="30"/>
      <c r="E344" s="30"/>
      <c r="F344" s="30"/>
      <c r="G344" s="30"/>
      <c r="H344" s="30"/>
      <c r="I344" s="30"/>
      <c r="J344" s="30"/>
      <c r="K344" s="31"/>
      <c r="L344" s="30"/>
      <c r="M344" s="30"/>
      <c r="N344" s="30"/>
      <c r="O344" s="30"/>
      <c r="P344" s="30"/>
      <c r="Q344" s="30"/>
      <c r="R344" s="30"/>
      <c r="S344" s="30"/>
      <c r="T344" s="30"/>
      <c r="U344" s="30"/>
      <c r="V344" s="30"/>
      <c r="W344" s="30"/>
      <c r="X344" s="30"/>
    </row>
    <row r="345">
      <c r="A345" s="30"/>
      <c r="B345" s="30"/>
      <c r="C345" s="30"/>
      <c r="D345" s="30"/>
      <c r="E345" s="30"/>
      <c r="F345" s="30"/>
      <c r="G345" s="30"/>
      <c r="H345" s="30"/>
      <c r="I345" s="30"/>
      <c r="J345" s="30"/>
      <c r="K345" s="31"/>
      <c r="L345" s="30"/>
      <c r="M345" s="30"/>
      <c r="N345" s="30"/>
      <c r="O345" s="30"/>
      <c r="P345" s="30"/>
      <c r="Q345" s="30"/>
      <c r="R345" s="30"/>
      <c r="S345" s="30"/>
      <c r="T345" s="30"/>
      <c r="U345" s="30"/>
      <c r="V345" s="30"/>
      <c r="W345" s="30"/>
      <c r="X345" s="30"/>
    </row>
    <row r="346">
      <c r="A346" s="30"/>
      <c r="B346" s="30"/>
      <c r="C346" s="30"/>
      <c r="D346" s="30"/>
      <c r="E346" s="30"/>
      <c r="F346" s="30"/>
      <c r="G346" s="30"/>
      <c r="H346" s="30"/>
      <c r="I346" s="30"/>
      <c r="J346" s="30"/>
      <c r="K346" s="31"/>
      <c r="L346" s="30"/>
      <c r="M346" s="30"/>
      <c r="N346" s="30"/>
      <c r="O346" s="30"/>
      <c r="P346" s="30"/>
      <c r="Q346" s="30"/>
      <c r="R346" s="30"/>
      <c r="S346" s="30"/>
      <c r="T346" s="30"/>
      <c r="U346" s="30"/>
      <c r="V346" s="30"/>
      <c r="W346" s="30"/>
      <c r="X346" s="30"/>
    </row>
    <row r="347">
      <c r="A347" s="30"/>
      <c r="B347" s="30"/>
      <c r="C347" s="30"/>
      <c r="D347" s="30"/>
      <c r="E347" s="30"/>
      <c r="F347" s="30"/>
      <c r="G347" s="30"/>
      <c r="H347" s="30"/>
      <c r="I347" s="30"/>
      <c r="J347" s="30"/>
      <c r="K347" s="31"/>
      <c r="L347" s="30"/>
      <c r="M347" s="30"/>
      <c r="N347" s="30"/>
      <c r="O347" s="30"/>
      <c r="P347" s="30"/>
      <c r="Q347" s="30"/>
      <c r="R347" s="30"/>
      <c r="S347" s="30"/>
      <c r="T347" s="30"/>
      <c r="U347" s="30"/>
      <c r="V347" s="30"/>
      <c r="W347" s="30"/>
      <c r="X347" s="30"/>
    </row>
    <row r="348">
      <c r="A348" s="30"/>
      <c r="B348" s="30"/>
      <c r="C348" s="30"/>
      <c r="D348" s="30"/>
      <c r="E348" s="30"/>
      <c r="F348" s="30"/>
      <c r="G348" s="30"/>
      <c r="H348" s="30"/>
      <c r="I348" s="30"/>
      <c r="J348" s="30"/>
      <c r="K348" s="31"/>
      <c r="L348" s="30"/>
      <c r="M348" s="30"/>
      <c r="N348" s="30"/>
      <c r="O348" s="30"/>
      <c r="P348" s="30"/>
      <c r="Q348" s="30"/>
      <c r="R348" s="30"/>
      <c r="S348" s="30"/>
      <c r="T348" s="30"/>
      <c r="U348" s="30"/>
      <c r="V348" s="30"/>
      <c r="W348" s="30"/>
      <c r="X348" s="30"/>
    </row>
    <row r="349">
      <c r="A349" s="30"/>
      <c r="B349" s="30"/>
      <c r="C349" s="30"/>
      <c r="D349" s="30"/>
      <c r="E349" s="30"/>
      <c r="F349" s="30"/>
      <c r="G349" s="30"/>
      <c r="H349" s="30"/>
      <c r="I349" s="30"/>
      <c r="J349" s="30"/>
      <c r="K349" s="31"/>
      <c r="L349" s="30"/>
      <c r="M349" s="30"/>
      <c r="N349" s="30"/>
      <c r="O349" s="30"/>
      <c r="P349" s="30"/>
      <c r="Q349" s="30"/>
      <c r="R349" s="30"/>
      <c r="S349" s="30"/>
      <c r="T349" s="30"/>
      <c r="U349" s="30"/>
      <c r="V349" s="30"/>
      <c r="W349" s="30"/>
      <c r="X349" s="30"/>
    </row>
    <row r="350">
      <c r="A350" s="30"/>
      <c r="B350" s="30"/>
      <c r="C350" s="30"/>
      <c r="D350" s="30"/>
      <c r="E350" s="30"/>
      <c r="F350" s="30"/>
      <c r="G350" s="30"/>
      <c r="H350" s="30"/>
      <c r="I350" s="30"/>
      <c r="J350" s="30"/>
      <c r="K350" s="31"/>
      <c r="L350" s="30"/>
      <c r="M350" s="30"/>
      <c r="N350" s="30"/>
      <c r="O350" s="30"/>
      <c r="P350" s="30"/>
      <c r="Q350" s="30"/>
      <c r="R350" s="30"/>
      <c r="S350" s="30"/>
      <c r="T350" s="30"/>
      <c r="U350" s="30"/>
      <c r="V350" s="30"/>
      <c r="W350" s="30"/>
      <c r="X350" s="30"/>
    </row>
    <row r="351">
      <c r="A351" s="30"/>
      <c r="B351" s="30"/>
      <c r="C351" s="30"/>
      <c r="D351" s="30"/>
      <c r="E351" s="30"/>
      <c r="F351" s="30"/>
      <c r="G351" s="30"/>
      <c r="H351" s="30"/>
      <c r="I351" s="30"/>
      <c r="J351" s="30"/>
      <c r="K351" s="31"/>
      <c r="L351" s="30"/>
      <c r="M351" s="30"/>
      <c r="N351" s="30"/>
      <c r="O351" s="30"/>
      <c r="P351" s="30"/>
      <c r="Q351" s="30"/>
      <c r="R351" s="30"/>
      <c r="S351" s="30"/>
      <c r="T351" s="30"/>
      <c r="U351" s="30"/>
      <c r="V351" s="30"/>
      <c r="W351" s="30"/>
      <c r="X351" s="30"/>
    </row>
    <row r="352">
      <c r="A352" s="30"/>
      <c r="B352" s="30"/>
      <c r="C352" s="30"/>
      <c r="D352" s="30"/>
      <c r="E352" s="30"/>
      <c r="F352" s="30"/>
      <c r="G352" s="30"/>
      <c r="H352" s="30"/>
      <c r="I352" s="30"/>
      <c r="J352" s="30"/>
      <c r="K352" s="31"/>
      <c r="L352" s="30"/>
      <c r="M352" s="30"/>
      <c r="N352" s="30"/>
      <c r="O352" s="30"/>
      <c r="P352" s="30"/>
      <c r="Q352" s="30"/>
      <c r="R352" s="30"/>
      <c r="S352" s="30"/>
      <c r="T352" s="30"/>
      <c r="U352" s="30"/>
      <c r="V352" s="30"/>
      <c r="W352" s="30"/>
      <c r="X352" s="30"/>
    </row>
    <row r="353">
      <c r="A353" s="30"/>
      <c r="B353" s="30"/>
      <c r="C353" s="30"/>
      <c r="D353" s="30"/>
      <c r="E353" s="30"/>
      <c r="F353" s="30"/>
      <c r="G353" s="30"/>
      <c r="H353" s="30"/>
      <c r="I353" s="30"/>
      <c r="J353" s="30"/>
      <c r="K353" s="31"/>
      <c r="L353" s="30"/>
      <c r="M353" s="30"/>
      <c r="N353" s="30"/>
      <c r="O353" s="30"/>
      <c r="P353" s="30"/>
      <c r="Q353" s="30"/>
      <c r="R353" s="30"/>
      <c r="S353" s="30"/>
      <c r="T353" s="30"/>
      <c r="U353" s="30"/>
      <c r="V353" s="30"/>
      <c r="W353" s="30"/>
      <c r="X353" s="30"/>
    </row>
    <row r="354">
      <c r="A354" s="30"/>
      <c r="B354" s="30"/>
      <c r="C354" s="30"/>
      <c r="D354" s="30"/>
      <c r="E354" s="30"/>
      <c r="F354" s="30"/>
      <c r="G354" s="30"/>
      <c r="H354" s="30"/>
      <c r="I354" s="30"/>
      <c r="J354" s="30"/>
      <c r="K354" s="31"/>
      <c r="L354" s="30"/>
      <c r="M354" s="30"/>
      <c r="N354" s="30"/>
      <c r="O354" s="30"/>
      <c r="P354" s="30"/>
      <c r="Q354" s="30"/>
      <c r="R354" s="30"/>
      <c r="S354" s="30"/>
      <c r="T354" s="30"/>
      <c r="U354" s="30"/>
      <c r="V354" s="30"/>
      <c r="W354" s="30"/>
      <c r="X354" s="30"/>
    </row>
    <row r="355">
      <c r="A355" s="30"/>
      <c r="B355" s="30"/>
      <c r="C355" s="30"/>
      <c r="D355" s="30"/>
      <c r="E355" s="30"/>
      <c r="F355" s="30"/>
      <c r="G355" s="30"/>
      <c r="H355" s="30"/>
      <c r="I355" s="30"/>
      <c r="J355" s="30"/>
      <c r="K355" s="31"/>
      <c r="L355" s="30"/>
      <c r="M355" s="30"/>
      <c r="N355" s="30"/>
      <c r="O355" s="30"/>
      <c r="P355" s="30"/>
      <c r="Q355" s="30"/>
      <c r="R355" s="30"/>
      <c r="S355" s="30"/>
      <c r="T355" s="30"/>
      <c r="U355" s="30"/>
      <c r="V355" s="30"/>
      <c r="W355" s="30"/>
      <c r="X355" s="30"/>
    </row>
    <row r="356">
      <c r="A356" s="30"/>
      <c r="B356" s="30"/>
      <c r="C356" s="30"/>
      <c r="D356" s="30"/>
      <c r="E356" s="30"/>
      <c r="F356" s="30"/>
      <c r="G356" s="30"/>
      <c r="H356" s="30"/>
      <c r="I356" s="30"/>
      <c r="J356" s="30"/>
      <c r="K356" s="31"/>
      <c r="L356" s="30"/>
      <c r="M356" s="30"/>
      <c r="N356" s="30"/>
      <c r="O356" s="30"/>
      <c r="P356" s="30"/>
      <c r="Q356" s="30"/>
      <c r="R356" s="30"/>
      <c r="S356" s="30"/>
      <c r="T356" s="30"/>
      <c r="U356" s="30"/>
      <c r="V356" s="30"/>
      <c r="W356" s="30"/>
      <c r="X356" s="30"/>
    </row>
    <row r="357">
      <c r="A357" s="30"/>
      <c r="B357" s="30"/>
      <c r="C357" s="30"/>
      <c r="D357" s="30"/>
      <c r="E357" s="30"/>
      <c r="F357" s="30"/>
      <c r="G357" s="30"/>
      <c r="H357" s="30"/>
      <c r="I357" s="30"/>
      <c r="J357" s="30"/>
      <c r="K357" s="31"/>
      <c r="L357" s="30"/>
      <c r="M357" s="30"/>
      <c r="N357" s="30"/>
      <c r="O357" s="30"/>
      <c r="P357" s="30"/>
      <c r="Q357" s="30"/>
      <c r="R357" s="30"/>
      <c r="S357" s="30"/>
      <c r="T357" s="30"/>
      <c r="U357" s="30"/>
      <c r="V357" s="30"/>
      <c r="W357" s="30"/>
      <c r="X357" s="30"/>
    </row>
    <row r="358">
      <c r="A358" s="30"/>
      <c r="B358" s="30"/>
      <c r="C358" s="30"/>
      <c r="D358" s="30"/>
      <c r="E358" s="30"/>
      <c r="F358" s="30"/>
      <c r="G358" s="30"/>
      <c r="H358" s="30"/>
      <c r="I358" s="30"/>
      <c r="J358" s="30"/>
      <c r="K358" s="31"/>
      <c r="L358" s="30"/>
      <c r="M358" s="30"/>
      <c r="N358" s="30"/>
      <c r="O358" s="30"/>
      <c r="P358" s="30"/>
      <c r="Q358" s="30"/>
      <c r="R358" s="30"/>
      <c r="S358" s="30"/>
      <c r="T358" s="30"/>
      <c r="U358" s="30"/>
      <c r="V358" s="30"/>
      <c r="W358" s="30"/>
      <c r="X358" s="30"/>
    </row>
    <row r="359">
      <c r="A359" s="30"/>
      <c r="B359" s="30"/>
      <c r="C359" s="30"/>
      <c r="D359" s="30"/>
      <c r="E359" s="30"/>
      <c r="F359" s="30"/>
      <c r="G359" s="30"/>
      <c r="H359" s="30"/>
      <c r="I359" s="30"/>
      <c r="J359" s="30"/>
      <c r="K359" s="31"/>
      <c r="L359" s="30"/>
      <c r="M359" s="30"/>
      <c r="N359" s="30"/>
      <c r="O359" s="30"/>
      <c r="P359" s="30"/>
      <c r="Q359" s="30"/>
      <c r="R359" s="30"/>
      <c r="S359" s="30"/>
      <c r="T359" s="30"/>
      <c r="U359" s="30"/>
      <c r="V359" s="30"/>
      <c r="W359" s="30"/>
      <c r="X359" s="30"/>
    </row>
    <row r="360">
      <c r="A360" s="30"/>
      <c r="B360" s="30"/>
      <c r="C360" s="30"/>
      <c r="D360" s="30"/>
      <c r="E360" s="30"/>
      <c r="F360" s="30"/>
      <c r="G360" s="30"/>
      <c r="H360" s="30"/>
      <c r="I360" s="30"/>
      <c r="J360" s="30"/>
      <c r="K360" s="31"/>
      <c r="L360" s="30"/>
      <c r="M360" s="30"/>
      <c r="N360" s="30"/>
      <c r="O360" s="30"/>
      <c r="P360" s="30"/>
      <c r="Q360" s="30"/>
      <c r="R360" s="30"/>
      <c r="S360" s="30"/>
      <c r="T360" s="30"/>
      <c r="U360" s="30"/>
      <c r="V360" s="30"/>
      <c r="W360" s="30"/>
      <c r="X360" s="30"/>
    </row>
    <row r="361">
      <c r="A361" s="30"/>
      <c r="B361" s="30"/>
      <c r="C361" s="30"/>
      <c r="D361" s="30"/>
      <c r="E361" s="30"/>
      <c r="F361" s="30"/>
      <c r="G361" s="30"/>
      <c r="H361" s="30"/>
      <c r="I361" s="30"/>
      <c r="J361" s="30"/>
      <c r="K361" s="31"/>
      <c r="L361" s="30"/>
      <c r="M361" s="30"/>
      <c r="N361" s="30"/>
      <c r="O361" s="30"/>
      <c r="P361" s="30"/>
      <c r="Q361" s="30"/>
      <c r="R361" s="30"/>
      <c r="S361" s="30"/>
      <c r="T361" s="30"/>
      <c r="U361" s="30"/>
      <c r="V361" s="30"/>
      <c r="W361" s="30"/>
      <c r="X361" s="30"/>
    </row>
    <row r="362">
      <c r="A362" s="30"/>
      <c r="B362" s="30"/>
      <c r="C362" s="30"/>
      <c r="D362" s="30"/>
      <c r="E362" s="30"/>
      <c r="F362" s="30"/>
      <c r="G362" s="30"/>
      <c r="H362" s="30"/>
      <c r="I362" s="30"/>
      <c r="J362" s="30"/>
      <c r="K362" s="31"/>
      <c r="L362" s="30"/>
      <c r="M362" s="30"/>
      <c r="N362" s="30"/>
      <c r="O362" s="30"/>
      <c r="P362" s="30"/>
      <c r="Q362" s="30"/>
      <c r="R362" s="30"/>
      <c r="S362" s="30"/>
      <c r="T362" s="30"/>
      <c r="U362" s="30"/>
      <c r="V362" s="30"/>
      <c r="W362" s="30"/>
      <c r="X362" s="30"/>
    </row>
    <row r="363">
      <c r="A363" s="30"/>
      <c r="B363" s="30"/>
      <c r="C363" s="30"/>
      <c r="D363" s="30"/>
      <c r="E363" s="30"/>
      <c r="F363" s="30"/>
      <c r="G363" s="30"/>
      <c r="H363" s="30"/>
      <c r="I363" s="30"/>
      <c r="J363" s="30"/>
      <c r="K363" s="31"/>
      <c r="L363" s="30"/>
      <c r="M363" s="30"/>
      <c r="N363" s="30"/>
      <c r="O363" s="30"/>
      <c r="P363" s="30"/>
      <c r="Q363" s="30"/>
      <c r="R363" s="30"/>
      <c r="S363" s="30"/>
      <c r="T363" s="30"/>
      <c r="U363" s="30"/>
      <c r="V363" s="30"/>
      <c r="W363" s="30"/>
      <c r="X363" s="30"/>
    </row>
    <row r="364">
      <c r="A364" s="30"/>
      <c r="B364" s="30"/>
      <c r="C364" s="30"/>
      <c r="D364" s="30"/>
      <c r="E364" s="30"/>
      <c r="F364" s="30"/>
      <c r="G364" s="30"/>
      <c r="H364" s="30"/>
      <c r="I364" s="30"/>
      <c r="J364" s="30"/>
      <c r="K364" s="31"/>
      <c r="L364" s="30"/>
      <c r="M364" s="30"/>
      <c r="N364" s="30"/>
      <c r="O364" s="30"/>
      <c r="P364" s="30"/>
      <c r="Q364" s="30"/>
      <c r="R364" s="30"/>
      <c r="S364" s="30"/>
      <c r="T364" s="30"/>
      <c r="U364" s="30"/>
      <c r="V364" s="30"/>
      <c r="W364" s="30"/>
      <c r="X364" s="30"/>
    </row>
    <row r="365">
      <c r="A365" s="30"/>
      <c r="B365" s="30"/>
      <c r="C365" s="30"/>
      <c r="D365" s="30"/>
      <c r="E365" s="30"/>
      <c r="F365" s="30"/>
      <c r="G365" s="30"/>
      <c r="H365" s="30"/>
      <c r="I365" s="30"/>
      <c r="J365" s="30"/>
      <c r="K365" s="31"/>
      <c r="L365" s="30"/>
      <c r="M365" s="30"/>
      <c r="N365" s="30"/>
      <c r="O365" s="30"/>
      <c r="P365" s="30"/>
      <c r="Q365" s="30"/>
      <c r="R365" s="30"/>
      <c r="S365" s="30"/>
      <c r="T365" s="30"/>
      <c r="U365" s="30"/>
      <c r="V365" s="30"/>
      <c r="W365" s="30"/>
      <c r="X365" s="30"/>
    </row>
    <row r="366">
      <c r="A366" s="30"/>
      <c r="B366" s="30"/>
      <c r="C366" s="30"/>
      <c r="D366" s="30"/>
      <c r="E366" s="30"/>
      <c r="F366" s="30"/>
      <c r="G366" s="30"/>
      <c r="H366" s="30"/>
      <c r="I366" s="30"/>
      <c r="J366" s="30"/>
      <c r="K366" s="31"/>
      <c r="L366" s="30"/>
      <c r="M366" s="30"/>
      <c r="N366" s="30"/>
      <c r="O366" s="30"/>
      <c r="P366" s="30"/>
      <c r="Q366" s="30"/>
      <c r="R366" s="30"/>
      <c r="S366" s="30"/>
      <c r="T366" s="30"/>
      <c r="U366" s="30"/>
      <c r="V366" s="30"/>
      <c r="W366" s="30"/>
      <c r="X366" s="30"/>
    </row>
    <row r="367">
      <c r="A367" s="30"/>
      <c r="B367" s="30"/>
      <c r="C367" s="30"/>
      <c r="D367" s="30"/>
      <c r="E367" s="30"/>
      <c r="F367" s="30"/>
      <c r="G367" s="30"/>
      <c r="H367" s="30"/>
      <c r="I367" s="30"/>
      <c r="J367" s="30"/>
      <c r="K367" s="31"/>
      <c r="L367" s="30"/>
      <c r="M367" s="30"/>
      <c r="N367" s="30"/>
      <c r="O367" s="30"/>
      <c r="P367" s="30"/>
      <c r="Q367" s="30"/>
      <c r="R367" s="30"/>
      <c r="S367" s="30"/>
      <c r="T367" s="30"/>
      <c r="U367" s="30"/>
      <c r="V367" s="30"/>
      <c r="W367" s="30"/>
      <c r="X367" s="30"/>
    </row>
    <row r="368">
      <c r="A368" s="30"/>
      <c r="B368" s="30"/>
      <c r="C368" s="30"/>
      <c r="D368" s="30"/>
      <c r="E368" s="30"/>
      <c r="F368" s="30"/>
      <c r="G368" s="30"/>
      <c r="H368" s="30"/>
      <c r="I368" s="30"/>
      <c r="J368" s="30"/>
      <c r="K368" s="31"/>
      <c r="L368" s="30"/>
      <c r="M368" s="30"/>
      <c r="N368" s="30"/>
      <c r="O368" s="30"/>
      <c r="P368" s="30"/>
      <c r="Q368" s="30"/>
      <c r="R368" s="30"/>
      <c r="S368" s="30"/>
      <c r="T368" s="30"/>
      <c r="U368" s="30"/>
      <c r="V368" s="30"/>
      <c r="W368" s="30"/>
      <c r="X368" s="30"/>
    </row>
    <row r="369">
      <c r="A369" s="30"/>
      <c r="B369" s="30"/>
      <c r="C369" s="30"/>
      <c r="D369" s="30"/>
      <c r="E369" s="30"/>
      <c r="F369" s="30"/>
      <c r="G369" s="30"/>
      <c r="H369" s="30"/>
      <c r="I369" s="30"/>
      <c r="J369" s="30"/>
      <c r="K369" s="31"/>
      <c r="L369" s="30"/>
      <c r="M369" s="30"/>
      <c r="N369" s="30"/>
      <c r="O369" s="30"/>
      <c r="P369" s="30"/>
      <c r="Q369" s="30"/>
      <c r="R369" s="30"/>
      <c r="S369" s="30"/>
      <c r="T369" s="30"/>
      <c r="U369" s="30"/>
      <c r="V369" s="30"/>
      <c r="W369" s="30"/>
      <c r="X369" s="30"/>
    </row>
    <row r="370">
      <c r="A370" s="30"/>
      <c r="B370" s="30"/>
      <c r="C370" s="30"/>
      <c r="D370" s="30"/>
      <c r="E370" s="30"/>
      <c r="F370" s="30"/>
      <c r="G370" s="30"/>
      <c r="H370" s="30"/>
      <c r="I370" s="30"/>
      <c r="J370" s="30"/>
      <c r="K370" s="31"/>
      <c r="L370" s="30"/>
      <c r="M370" s="30"/>
      <c r="N370" s="30"/>
      <c r="O370" s="30"/>
      <c r="P370" s="30"/>
      <c r="Q370" s="30"/>
      <c r="R370" s="30"/>
      <c r="S370" s="30"/>
      <c r="T370" s="30"/>
      <c r="U370" s="30"/>
      <c r="V370" s="30"/>
      <c r="W370" s="30"/>
      <c r="X370" s="30"/>
    </row>
    <row r="371">
      <c r="A371" s="30"/>
      <c r="B371" s="30"/>
      <c r="C371" s="30"/>
      <c r="D371" s="30"/>
      <c r="E371" s="30"/>
      <c r="F371" s="30"/>
      <c r="G371" s="30"/>
      <c r="H371" s="30"/>
      <c r="I371" s="30"/>
      <c r="J371" s="30"/>
      <c r="K371" s="31"/>
      <c r="L371" s="30"/>
      <c r="M371" s="30"/>
      <c r="N371" s="30"/>
      <c r="O371" s="30"/>
      <c r="P371" s="30"/>
      <c r="Q371" s="30"/>
      <c r="R371" s="30"/>
      <c r="S371" s="30"/>
      <c r="T371" s="30"/>
      <c r="U371" s="30"/>
      <c r="V371" s="30"/>
      <c r="W371" s="30"/>
      <c r="X371" s="30"/>
    </row>
    <row r="372">
      <c r="A372" s="30"/>
      <c r="B372" s="30"/>
      <c r="C372" s="30"/>
      <c r="D372" s="30"/>
      <c r="E372" s="30"/>
      <c r="F372" s="30"/>
      <c r="G372" s="30"/>
      <c r="H372" s="30"/>
      <c r="I372" s="30"/>
      <c r="J372" s="30"/>
      <c r="K372" s="31"/>
      <c r="L372" s="30"/>
      <c r="M372" s="30"/>
      <c r="N372" s="30"/>
      <c r="O372" s="30"/>
      <c r="P372" s="30"/>
      <c r="Q372" s="30"/>
      <c r="R372" s="30"/>
      <c r="S372" s="30"/>
      <c r="T372" s="30"/>
      <c r="U372" s="30"/>
      <c r="V372" s="30"/>
      <c r="W372" s="30"/>
      <c r="X372" s="30"/>
    </row>
    <row r="373">
      <c r="A373" s="30"/>
      <c r="B373" s="30"/>
      <c r="C373" s="30"/>
      <c r="D373" s="30"/>
      <c r="E373" s="30"/>
      <c r="F373" s="30"/>
      <c r="G373" s="30"/>
      <c r="H373" s="30"/>
      <c r="I373" s="30"/>
      <c r="J373" s="30"/>
      <c r="K373" s="31"/>
      <c r="L373" s="30"/>
      <c r="M373" s="30"/>
      <c r="N373" s="30"/>
      <c r="O373" s="30"/>
      <c r="P373" s="30"/>
      <c r="Q373" s="30"/>
      <c r="R373" s="30"/>
      <c r="S373" s="30"/>
      <c r="T373" s="30"/>
      <c r="U373" s="30"/>
      <c r="V373" s="30"/>
      <c r="W373" s="30"/>
      <c r="X373" s="30"/>
    </row>
    <row r="374">
      <c r="A374" s="30"/>
      <c r="B374" s="30"/>
      <c r="C374" s="30"/>
      <c r="D374" s="30"/>
      <c r="E374" s="30"/>
      <c r="F374" s="30"/>
      <c r="G374" s="30"/>
      <c r="H374" s="30"/>
      <c r="I374" s="30"/>
      <c r="J374" s="30"/>
      <c r="K374" s="31"/>
      <c r="L374" s="30"/>
      <c r="M374" s="30"/>
      <c r="N374" s="30"/>
      <c r="O374" s="30"/>
      <c r="P374" s="30"/>
      <c r="Q374" s="30"/>
      <c r="R374" s="30"/>
      <c r="S374" s="30"/>
      <c r="T374" s="30"/>
      <c r="U374" s="30"/>
      <c r="V374" s="30"/>
      <c r="W374" s="30"/>
      <c r="X374" s="30"/>
    </row>
    <row r="375">
      <c r="A375" s="30"/>
      <c r="B375" s="30"/>
      <c r="C375" s="30"/>
      <c r="D375" s="30"/>
      <c r="E375" s="30"/>
      <c r="F375" s="30"/>
      <c r="G375" s="30"/>
      <c r="H375" s="30"/>
      <c r="I375" s="30"/>
      <c r="J375" s="30"/>
      <c r="K375" s="31"/>
      <c r="L375" s="30"/>
      <c r="M375" s="30"/>
      <c r="N375" s="30"/>
      <c r="O375" s="30"/>
      <c r="P375" s="30"/>
      <c r="Q375" s="30"/>
      <c r="R375" s="30"/>
      <c r="S375" s="30"/>
      <c r="T375" s="30"/>
      <c r="U375" s="30"/>
      <c r="V375" s="30"/>
      <c r="W375" s="30"/>
      <c r="X375" s="30"/>
    </row>
    <row r="376">
      <c r="A376" s="30"/>
      <c r="B376" s="30"/>
      <c r="C376" s="30"/>
      <c r="D376" s="30"/>
      <c r="E376" s="30"/>
      <c r="F376" s="30"/>
      <c r="G376" s="30"/>
      <c r="H376" s="30"/>
      <c r="I376" s="30"/>
      <c r="J376" s="30"/>
      <c r="K376" s="31"/>
      <c r="L376" s="30"/>
      <c r="M376" s="30"/>
      <c r="N376" s="30"/>
      <c r="O376" s="30"/>
      <c r="P376" s="30"/>
      <c r="Q376" s="30"/>
      <c r="R376" s="30"/>
      <c r="S376" s="30"/>
      <c r="T376" s="30"/>
      <c r="U376" s="30"/>
      <c r="V376" s="30"/>
      <c r="W376" s="30"/>
      <c r="X376" s="30"/>
    </row>
    <row r="377">
      <c r="A377" s="30"/>
      <c r="B377" s="30"/>
      <c r="C377" s="30"/>
      <c r="D377" s="30"/>
      <c r="E377" s="30"/>
      <c r="F377" s="30"/>
      <c r="G377" s="30"/>
      <c r="H377" s="30"/>
      <c r="I377" s="30"/>
      <c r="J377" s="30"/>
      <c r="K377" s="31"/>
      <c r="L377" s="30"/>
      <c r="M377" s="30"/>
      <c r="N377" s="30"/>
      <c r="O377" s="30"/>
      <c r="P377" s="30"/>
      <c r="Q377" s="30"/>
      <c r="R377" s="30"/>
      <c r="S377" s="30"/>
      <c r="T377" s="30"/>
      <c r="U377" s="30"/>
      <c r="V377" s="30"/>
      <c r="W377" s="30"/>
      <c r="X377" s="30"/>
    </row>
    <row r="378">
      <c r="A378" s="30"/>
      <c r="B378" s="30"/>
      <c r="C378" s="30"/>
      <c r="D378" s="30"/>
      <c r="E378" s="30"/>
      <c r="F378" s="30"/>
      <c r="G378" s="30"/>
      <c r="H378" s="30"/>
      <c r="I378" s="30"/>
      <c r="J378" s="30"/>
      <c r="K378" s="31"/>
      <c r="L378" s="30"/>
      <c r="M378" s="30"/>
      <c r="N378" s="30"/>
      <c r="O378" s="30"/>
      <c r="P378" s="30"/>
      <c r="Q378" s="30"/>
      <c r="R378" s="30"/>
      <c r="S378" s="30"/>
      <c r="T378" s="30"/>
      <c r="U378" s="30"/>
      <c r="V378" s="30"/>
      <c r="W378" s="30"/>
      <c r="X378" s="30"/>
    </row>
    <row r="379">
      <c r="A379" s="30"/>
      <c r="B379" s="30"/>
      <c r="C379" s="30"/>
      <c r="D379" s="30"/>
      <c r="E379" s="30"/>
      <c r="F379" s="30"/>
      <c r="G379" s="30"/>
      <c r="H379" s="30"/>
      <c r="I379" s="30"/>
      <c r="J379" s="30"/>
      <c r="K379" s="31"/>
      <c r="L379" s="30"/>
      <c r="M379" s="30"/>
      <c r="N379" s="30"/>
      <c r="O379" s="30"/>
      <c r="P379" s="30"/>
      <c r="Q379" s="30"/>
      <c r="R379" s="30"/>
      <c r="S379" s="30"/>
      <c r="T379" s="30"/>
      <c r="U379" s="30"/>
      <c r="V379" s="30"/>
      <c r="W379" s="30"/>
      <c r="X379" s="30"/>
    </row>
    <row r="380">
      <c r="A380" s="30"/>
      <c r="B380" s="30"/>
      <c r="C380" s="30"/>
      <c r="D380" s="30"/>
      <c r="E380" s="30"/>
      <c r="F380" s="30"/>
      <c r="G380" s="30"/>
      <c r="H380" s="30"/>
      <c r="I380" s="30"/>
      <c r="J380" s="30"/>
      <c r="K380" s="31"/>
      <c r="L380" s="30"/>
      <c r="M380" s="30"/>
      <c r="N380" s="30"/>
      <c r="O380" s="30"/>
      <c r="P380" s="30"/>
      <c r="Q380" s="30"/>
      <c r="R380" s="30"/>
      <c r="S380" s="30"/>
      <c r="T380" s="30"/>
      <c r="U380" s="30"/>
      <c r="V380" s="30"/>
      <c r="W380" s="30"/>
      <c r="X380" s="30"/>
    </row>
    <row r="381">
      <c r="A381" s="30"/>
      <c r="B381" s="30"/>
      <c r="C381" s="30"/>
      <c r="D381" s="30"/>
      <c r="E381" s="30"/>
      <c r="F381" s="30"/>
      <c r="G381" s="30"/>
      <c r="H381" s="30"/>
      <c r="I381" s="30"/>
      <c r="J381" s="30"/>
      <c r="K381" s="31"/>
      <c r="L381" s="30"/>
      <c r="M381" s="30"/>
      <c r="N381" s="30"/>
      <c r="O381" s="30"/>
      <c r="P381" s="30"/>
      <c r="Q381" s="30"/>
      <c r="R381" s="30"/>
      <c r="S381" s="30"/>
      <c r="T381" s="30"/>
      <c r="U381" s="30"/>
      <c r="V381" s="30"/>
      <c r="W381" s="30"/>
      <c r="X381" s="30"/>
    </row>
    <row r="382">
      <c r="A382" s="30"/>
      <c r="B382" s="30"/>
      <c r="C382" s="30"/>
      <c r="D382" s="30"/>
      <c r="E382" s="30"/>
      <c r="F382" s="30"/>
      <c r="G382" s="30"/>
      <c r="H382" s="30"/>
      <c r="I382" s="30"/>
      <c r="J382" s="30"/>
      <c r="K382" s="31"/>
      <c r="L382" s="30"/>
      <c r="M382" s="30"/>
      <c r="N382" s="30"/>
      <c r="O382" s="30"/>
      <c r="P382" s="30"/>
      <c r="Q382" s="30"/>
      <c r="R382" s="30"/>
      <c r="S382" s="30"/>
      <c r="T382" s="30"/>
      <c r="U382" s="30"/>
      <c r="V382" s="30"/>
      <c r="W382" s="30"/>
      <c r="X382" s="30"/>
    </row>
    <row r="383">
      <c r="A383" s="30"/>
      <c r="B383" s="30"/>
      <c r="C383" s="30"/>
      <c r="D383" s="30"/>
      <c r="E383" s="30"/>
      <c r="F383" s="30"/>
      <c r="G383" s="30"/>
      <c r="H383" s="30"/>
      <c r="I383" s="30"/>
      <c r="J383" s="30"/>
      <c r="K383" s="31"/>
      <c r="L383" s="30"/>
      <c r="M383" s="30"/>
      <c r="N383" s="30"/>
      <c r="O383" s="30"/>
      <c r="P383" s="30"/>
      <c r="Q383" s="30"/>
      <c r="R383" s="30"/>
      <c r="S383" s="30"/>
      <c r="T383" s="30"/>
      <c r="U383" s="30"/>
      <c r="V383" s="30"/>
      <c r="W383" s="30"/>
      <c r="X383" s="30"/>
    </row>
    <row r="384">
      <c r="A384" s="30"/>
      <c r="B384" s="30"/>
      <c r="C384" s="30"/>
      <c r="D384" s="30"/>
      <c r="E384" s="30"/>
      <c r="F384" s="30"/>
      <c r="G384" s="30"/>
      <c r="H384" s="30"/>
      <c r="I384" s="30"/>
      <c r="J384" s="30"/>
      <c r="K384" s="31"/>
      <c r="L384" s="30"/>
      <c r="M384" s="30"/>
      <c r="N384" s="30"/>
      <c r="O384" s="30"/>
      <c r="P384" s="30"/>
      <c r="Q384" s="30"/>
      <c r="R384" s="30"/>
      <c r="S384" s="30"/>
      <c r="T384" s="30"/>
      <c r="U384" s="30"/>
      <c r="V384" s="30"/>
      <c r="W384" s="30"/>
      <c r="X384" s="30"/>
    </row>
    <row r="385">
      <c r="A385" s="30"/>
      <c r="B385" s="30"/>
      <c r="C385" s="30"/>
      <c r="D385" s="30"/>
      <c r="E385" s="30"/>
      <c r="F385" s="30"/>
      <c r="G385" s="30"/>
      <c r="H385" s="30"/>
      <c r="I385" s="30"/>
      <c r="J385" s="30"/>
      <c r="K385" s="31"/>
      <c r="L385" s="30"/>
      <c r="M385" s="30"/>
      <c r="N385" s="30"/>
      <c r="O385" s="30"/>
      <c r="P385" s="30"/>
      <c r="Q385" s="30"/>
      <c r="R385" s="30"/>
      <c r="S385" s="30"/>
      <c r="T385" s="30"/>
      <c r="U385" s="30"/>
      <c r="V385" s="30"/>
      <c r="W385" s="30"/>
      <c r="X385" s="30"/>
    </row>
    <row r="386">
      <c r="A386" s="30"/>
      <c r="B386" s="30"/>
      <c r="C386" s="30"/>
      <c r="D386" s="30"/>
      <c r="E386" s="30"/>
      <c r="F386" s="30"/>
      <c r="G386" s="30"/>
      <c r="H386" s="30"/>
      <c r="I386" s="30"/>
      <c r="J386" s="30"/>
      <c r="K386" s="31"/>
      <c r="L386" s="30"/>
      <c r="M386" s="30"/>
      <c r="N386" s="30"/>
      <c r="O386" s="30"/>
      <c r="P386" s="30"/>
      <c r="Q386" s="30"/>
      <c r="R386" s="30"/>
      <c r="S386" s="30"/>
      <c r="T386" s="30"/>
      <c r="U386" s="30"/>
      <c r="V386" s="30"/>
      <c r="W386" s="30"/>
      <c r="X386" s="30"/>
    </row>
    <row r="387">
      <c r="A387" s="30"/>
      <c r="B387" s="30"/>
      <c r="C387" s="30"/>
      <c r="D387" s="30"/>
      <c r="E387" s="30"/>
      <c r="F387" s="30"/>
      <c r="G387" s="30"/>
      <c r="H387" s="30"/>
      <c r="I387" s="30"/>
      <c r="J387" s="30"/>
      <c r="K387" s="31"/>
      <c r="L387" s="30"/>
      <c r="M387" s="30"/>
      <c r="N387" s="30"/>
      <c r="O387" s="30"/>
      <c r="P387" s="30"/>
      <c r="Q387" s="30"/>
      <c r="R387" s="30"/>
      <c r="S387" s="30"/>
      <c r="T387" s="30"/>
      <c r="U387" s="30"/>
      <c r="V387" s="30"/>
      <c r="W387" s="30"/>
      <c r="X387" s="30"/>
    </row>
    <row r="388">
      <c r="A388" s="30"/>
      <c r="B388" s="30"/>
      <c r="C388" s="30"/>
      <c r="D388" s="30"/>
      <c r="E388" s="30"/>
      <c r="F388" s="30"/>
      <c r="G388" s="30"/>
      <c r="H388" s="30"/>
      <c r="I388" s="30"/>
      <c r="J388" s="30"/>
      <c r="K388" s="31"/>
      <c r="L388" s="30"/>
      <c r="M388" s="30"/>
      <c r="N388" s="30"/>
      <c r="O388" s="30"/>
      <c r="P388" s="30"/>
      <c r="Q388" s="30"/>
      <c r="R388" s="30"/>
      <c r="S388" s="30"/>
      <c r="T388" s="30"/>
      <c r="U388" s="30"/>
      <c r="V388" s="30"/>
      <c r="W388" s="30"/>
      <c r="X388" s="30"/>
    </row>
    <row r="389">
      <c r="A389" s="30"/>
      <c r="B389" s="30"/>
      <c r="C389" s="30"/>
      <c r="D389" s="30"/>
      <c r="E389" s="30"/>
      <c r="F389" s="30"/>
      <c r="G389" s="30"/>
      <c r="H389" s="30"/>
      <c r="I389" s="30"/>
      <c r="J389" s="30"/>
      <c r="K389" s="31"/>
      <c r="L389" s="30"/>
      <c r="M389" s="30"/>
      <c r="N389" s="30"/>
      <c r="O389" s="30"/>
      <c r="P389" s="30"/>
      <c r="Q389" s="30"/>
      <c r="R389" s="30"/>
      <c r="S389" s="30"/>
      <c r="T389" s="30"/>
      <c r="U389" s="30"/>
      <c r="V389" s="30"/>
      <c r="W389" s="30"/>
      <c r="X389" s="30"/>
    </row>
    <row r="390">
      <c r="A390" s="30"/>
      <c r="B390" s="30"/>
      <c r="C390" s="30"/>
      <c r="D390" s="30"/>
      <c r="E390" s="30"/>
      <c r="F390" s="30"/>
      <c r="G390" s="30"/>
      <c r="H390" s="30"/>
      <c r="I390" s="30"/>
      <c r="J390" s="30"/>
      <c r="K390" s="31"/>
      <c r="L390" s="30"/>
      <c r="M390" s="30"/>
      <c r="N390" s="30"/>
      <c r="O390" s="30"/>
      <c r="P390" s="30"/>
      <c r="Q390" s="30"/>
      <c r="R390" s="30"/>
      <c r="S390" s="30"/>
      <c r="T390" s="30"/>
      <c r="U390" s="30"/>
      <c r="V390" s="30"/>
      <c r="W390" s="30"/>
      <c r="X390" s="30"/>
    </row>
    <row r="391">
      <c r="A391" s="30"/>
      <c r="B391" s="30"/>
      <c r="C391" s="30"/>
      <c r="D391" s="30"/>
      <c r="E391" s="30"/>
      <c r="F391" s="30"/>
      <c r="G391" s="30"/>
      <c r="H391" s="30"/>
      <c r="I391" s="30"/>
      <c r="J391" s="30"/>
      <c r="K391" s="31"/>
      <c r="L391" s="30"/>
      <c r="M391" s="30"/>
      <c r="N391" s="30"/>
      <c r="O391" s="30"/>
      <c r="P391" s="30"/>
      <c r="Q391" s="30"/>
      <c r="R391" s="30"/>
      <c r="S391" s="30"/>
      <c r="T391" s="30"/>
      <c r="U391" s="30"/>
      <c r="V391" s="30"/>
      <c r="W391" s="30"/>
      <c r="X391" s="30"/>
    </row>
    <row r="392">
      <c r="A392" s="30"/>
      <c r="B392" s="30"/>
      <c r="C392" s="30"/>
      <c r="D392" s="30"/>
      <c r="E392" s="30"/>
      <c r="F392" s="30"/>
      <c r="G392" s="30"/>
      <c r="H392" s="30"/>
      <c r="I392" s="30"/>
      <c r="J392" s="30"/>
      <c r="K392" s="31"/>
      <c r="L392" s="30"/>
      <c r="M392" s="30"/>
      <c r="N392" s="30"/>
      <c r="O392" s="30"/>
      <c r="P392" s="30"/>
      <c r="Q392" s="30"/>
      <c r="R392" s="30"/>
      <c r="S392" s="30"/>
      <c r="T392" s="30"/>
      <c r="U392" s="30"/>
      <c r="V392" s="30"/>
      <c r="W392" s="30"/>
      <c r="X392" s="30"/>
    </row>
    <row r="393">
      <c r="A393" s="30"/>
      <c r="B393" s="30"/>
      <c r="C393" s="30"/>
      <c r="D393" s="30"/>
      <c r="E393" s="30"/>
      <c r="F393" s="30"/>
      <c r="G393" s="30"/>
      <c r="H393" s="30"/>
      <c r="I393" s="30"/>
      <c r="J393" s="30"/>
      <c r="K393" s="31"/>
      <c r="L393" s="30"/>
      <c r="M393" s="30"/>
      <c r="N393" s="30"/>
      <c r="O393" s="30"/>
      <c r="P393" s="30"/>
      <c r="Q393" s="30"/>
      <c r="R393" s="30"/>
      <c r="S393" s="30"/>
      <c r="T393" s="30"/>
      <c r="U393" s="30"/>
      <c r="V393" s="30"/>
      <c r="W393" s="30"/>
      <c r="X393" s="30"/>
    </row>
    <row r="394">
      <c r="A394" s="30"/>
      <c r="B394" s="30"/>
      <c r="C394" s="30"/>
      <c r="D394" s="30"/>
      <c r="E394" s="30"/>
      <c r="F394" s="30"/>
      <c r="G394" s="30"/>
      <c r="H394" s="30"/>
      <c r="I394" s="30"/>
      <c r="J394" s="30"/>
      <c r="K394" s="31"/>
      <c r="L394" s="30"/>
      <c r="M394" s="30"/>
      <c r="N394" s="30"/>
      <c r="O394" s="30"/>
      <c r="P394" s="30"/>
      <c r="Q394" s="30"/>
      <c r="R394" s="30"/>
      <c r="S394" s="30"/>
      <c r="T394" s="30"/>
      <c r="U394" s="30"/>
      <c r="V394" s="30"/>
      <c r="W394" s="30"/>
      <c r="X394" s="30"/>
    </row>
    <row r="395">
      <c r="A395" s="30"/>
      <c r="B395" s="30"/>
      <c r="C395" s="30"/>
      <c r="D395" s="30"/>
      <c r="E395" s="30"/>
      <c r="F395" s="30"/>
      <c r="G395" s="30"/>
      <c r="H395" s="30"/>
      <c r="I395" s="30"/>
      <c r="J395" s="30"/>
      <c r="K395" s="31"/>
      <c r="L395" s="30"/>
      <c r="M395" s="30"/>
      <c r="N395" s="30"/>
      <c r="O395" s="30"/>
      <c r="P395" s="30"/>
      <c r="Q395" s="30"/>
      <c r="R395" s="30"/>
      <c r="S395" s="30"/>
      <c r="T395" s="30"/>
      <c r="U395" s="30"/>
      <c r="V395" s="30"/>
      <c r="W395" s="30"/>
      <c r="X395" s="30"/>
    </row>
    <row r="396">
      <c r="A396" s="30"/>
      <c r="B396" s="30"/>
      <c r="C396" s="30"/>
      <c r="D396" s="30"/>
      <c r="E396" s="30"/>
      <c r="F396" s="30"/>
      <c r="G396" s="30"/>
      <c r="H396" s="30"/>
      <c r="I396" s="30"/>
      <c r="J396" s="30"/>
      <c r="K396" s="31"/>
      <c r="L396" s="30"/>
      <c r="M396" s="30"/>
      <c r="N396" s="30"/>
      <c r="O396" s="30"/>
      <c r="P396" s="30"/>
      <c r="Q396" s="30"/>
      <c r="R396" s="30"/>
      <c r="S396" s="30"/>
      <c r="T396" s="30"/>
      <c r="U396" s="30"/>
      <c r="V396" s="30"/>
      <c r="W396" s="30"/>
      <c r="X396" s="30"/>
    </row>
    <row r="397">
      <c r="A397" s="30"/>
      <c r="B397" s="30"/>
      <c r="C397" s="30"/>
      <c r="D397" s="30"/>
      <c r="E397" s="30"/>
      <c r="F397" s="30"/>
      <c r="G397" s="30"/>
      <c r="H397" s="30"/>
      <c r="I397" s="30"/>
      <c r="J397" s="30"/>
      <c r="K397" s="31"/>
      <c r="L397" s="30"/>
      <c r="M397" s="30"/>
      <c r="N397" s="30"/>
      <c r="O397" s="30"/>
      <c r="P397" s="30"/>
      <c r="Q397" s="30"/>
      <c r="R397" s="30"/>
      <c r="S397" s="30"/>
      <c r="T397" s="30"/>
      <c r="U397" s="30"/>
      <c r="V397" s="30"/>
      <c r="W397" s="30"/>
      <c r="X397" s="30"/>
    </row>
    <row r="398">
      <c r="A398" s="30"/>
      <c r="B398" s="30"/>
      <c r="C398" s="30"/>
      <c r="D398" s="30"/>
      <c r="E398" s="30"/>
      <c r="F398" s="30"/>
      <c r="G398" s="30"/>
      <c r="H398" s="30"/>
      <c r="I398" s="30"/>
      <c r="J398" s="30"/>
      <c r="K398" s="31"/>
      <c r="L398" s="30"/>
      <c r="M398" s="30"/>
      <c r="N398" s="30"/>
      <c r="O398" s="30"/>
      <c r="P398" s="30"/>
      <c r="Q398" s="30"/>
      <c r="R398" s="30"/>
      <c r="S398" s="30"/>
      <c r="T398" s="30"/>
      <c r="U398" s="30"/>
      <c r="V398" s="30"/>
      <c r="W398" s="30"/>
      <c r="X398" s="30"/>
    </row>
    <row r="399">
      <c r="A399" s="30"/>
      <c r="B399" s="30"/>
      <c r="C399" s="30"/>
      <c r="D399" s="30"/>
      <c r="E399" s="30"/>
      <c r="F399" s="30"/>
      <c r="G399" s="30"/>
      <c r="H399" s="30"/>
      <c r="I399" s="30"/>
      <c r="J399" s="30"/>
      <c r="K399" s="31"/>
      <c r="L399" s="30"/>
      <c r="M399" s="30"/>
      <c r="N399" s="30"/>
      <c r="O399" s="30"/>
      <c r="P399" s="30"/>
      <c r="Q399" s="30"/>
      <c r="R399" s="30"/>
      <c r="S399" s="30"/>
      <c r="T399" s="30"/>
      <c r="U399" s="30"/>
      <c r="V399" s="30"/>
      <c r="W399" s="30"/>
      <c r="X399" s="30"/>
    </row>
    <row r="400">
      <c r="A400" s="30"/>
      <c r="B400" s="30"/>
      <c r="C400" s="30"/>
      <c r="D400" s="30"/>
      <c r="E400" s="30"/>
      <c r="F400" s="30"/>
      <c r="G400" s="30"/>
      <c r="H400" s="30"/>
      <c r="I400" s="30"/>
      <c r="J400" s="30"/>
      <c r="K400" s="31"/>
      <c r="L400" s="30"/>
      <c r="M400" s="30"/>
      <c r="N400" s="30"/>
      <c r="O400" s="30"/>
      <c r="P400" s="30"/>
      <c r="Q400" s="30"/>
      <c r="R400" s="30"/>
      <c r="S400" s="30"/>
      <c r="T400" s="30"/>
      <c r="U400" s="30"/>
      <c r="V400" s="30"/>
      <c r="W400" s="30"/>
      <c r="X400" s="30"/>
    </row>
    <row r="401">
      <c r="A401" s="30"/>
      <c r="B401" s="30"/>
      <c r="C401" s="30"/>
      <c r="D401" s="30"/>
      <c r="E401" s="30"/>
      <c r="F401" s="30"/>
      <c r="G401" s="30"/>
      <c r="H401" s="30"/>
      <c r="I401" s="30"/>
      <c r="J401" s="30"/>
      <c r="K401" s="31"/>
      <c r="L401" s="30"/>
      <c r="M401" s="30"/>
      <c r="N401" s="30"/>
      <c r="O401" s="30"/>
      <c r="P401" s="30"/>
      <c r="Q401" s="30"/>
      <c r="R401" s="30"/>
      <c r="S401" s="30"/>
      <c r="T401" s="30"/>
      <c r="U401" s="30"/>
      <c r="V401" s="30"/>
      <c r="W401" s="30"/>
      <c r="X401" s="30"/>
    </row>
    <row r="402">
      <c r="A402" s="30"/>
      <c r="B402" s="30"/>
      <c r="C402" s="30"/>
      <c r="D402" s="30"/>
      <c r="E402" s="30"/>
      <c r="F402" s="30"/>
      <c r="G402" s="30"/>
      <c r="H402" s="30"/>
      <c r="I402" s="30"/>
      <c r="J402" s="30"/>
      <c r="K402" s="31"/>
      <c r="L402" s="30"/>
      <c r="M402" s="30"/>
      <c r="N402" s="30"/>
      <c r="O402" s="30"/>
      <c r="P402" s="30"/>
      <c r="Q402" s="30"/>
      <c r="R402" s="30"/>
      <c r="S402" s="30"/>
      <c r="T402" s="30"/>
      <c r="U402" s="30"/>
      <c r="V402" s="30"/>
      <c r="W402" s="30"/>
      <c r="X402" s="30"/>
    </row>
    <row r="403">
      <c r="A403" s="30"/>
      <c r="B403" s="30"/>
      <c r="C403" s="30"/>
      <c r="D403" s="30"/>
      <c r="E403" s="30"/>
      <c r="F403" s="30"/>
      <c r="G403" s="30"/>
      <c r="H403" s="30"/>
      <c r="I403" s="30"/>
      <c r="J403" s="30"/>
      <c r="K403" s="31"/>
      <c r="L403" s="30"/>
      <c r="M403" s="30"/>
      <c r="N403" s="30"/>
      <c r="O403" s="30"/>
      <c r="P403" s="30"/>
      <c r="Q403" s="30"/>
      <c r="R403" s="30"/>
      <c r="S403" s="30"/>
      <c r="T403" s="30"/>
      <c r="U403" s="30"/>
      <c r="V403" s="30"/>
      <c r="W403" s="30"/>
      <c r="X403" s="30"/>
    </row>
    <row r="404">
      <c r="A404" s="30"/>
      <c r="B404" s="30"/>
      <c r="C404" s="30"/>
      <c r="D404" s="30"/>
      <c r="E404" s="30"/>
      <c r="F404" s="30"/>
      <c r="G404" s="30"/>
      <c r="H404" s="30"/>
      <c r="I404" s="30"/>
      <c r="J404" s="30"/>
      <c r="K404" s="31"/>
      <c r="L404" s="30"/>
      <c r="M404" s="30"/>
      <c r="N404" s="30"/>
      <c r="O404" s="30"/>
      <c r="P404" s="30"/>
      <c r="Q404" s="30"/>
      <c r="R404" s="30"/>
      <c r="S404" s="30"/>
      <c r="T404" s="30"/>
      <c r="U404" s="30"/>
      <c r="V404" s="30"/>
      <c r="W404" s="30"/>
      <c r="X404" s="30"/>
    </row>
    <row r="405">
      <c r="A405" s="30"/>
      <c r="B405" s="30"/>
      <c r="C405" s="30"/>
      <c r="D405" s="30"/>
      <c r="E405" s="30"/>
      <c r="F405" s="30"/>
      <c r="G405" s="30"/>
      <c r="H405" s="30"/>
      <c r="I405" s="30"/>
      <c r="J405" s="30"/>
      <c r="K405" s="31"/>
      <c r="L405" s="30"/>
      <c r="M405" s="30"/>
      <c r="N405" s="30"/>
      <c r="O405" s="30"/>
      <c r="P405" s="30"/>
      <c r="Q405" s="30"/>
      <c r="R405" s="30"/>
      <c r="S405" s="30"/>
      <c r="T405" s="30"/>
      <c r="U405" s="30"/>
      <c r="V405" s="30"/>
      <c r="W405" s="30"/>
      <c r="X405" s="30"/>
    </row>
    <row r="406">
      <c r="A406" s="30"/>
      <c r="B406" s="30"/>
      <c r="C406" s="30"/>
      <c r="D406" s="30"/>
      <c r="E406" s="30"/>
      <c r="F406" s="30"/>
      <c r="G406" s="30"/>
      <c r="H406" s="30"/>
      <c r="I406" s="30"/>
      <c r="J406" s="30"/>
      <c r="K406" s="31"/>
      <c r="L406" s="30"/>
      <c r="M406" s="30"/>
      <c r="N406" s="30"/>
      <c r="O406" s="30"/>
      <c r="P406" s="30"/>
      <c r="Q406" s="30"/>
      <c r="R406" s="30"/>
      <c r="S406" s="30"/>
      <c r="T406" s="30"/>
      <c r="U406" s="30"/>
      <c r="V406" s="30"/>
      <c r="W406" s="30"/>
      <c r="X406" s="30"/>
    </row>
    <row r="407">
      <c r="A407" s="30"/>
      <c r="B407" s="30"/>
      <c r="C407" s="30"/>
      <c r="D407" s="30"/>
      <c r="E407" s="30"/>
      <c r="F407" s="30"/>
      <c r="G407" s="30"/>
      <c r="H407" s="30"/>
      <c r="I407" s="30"/>
      <c r="J407" s="30"/>
      <c r="K407" s="31"/>
      <c r="L407" s="30"/>
      <c r="M407" s="30"/>
      <c r="N407" s="30"/>
      <c r="O407" s="30"/>
      <c r="P407" s="30"/>
      <c r="Q407" s="30"/>
      <c r="R407" s="30"/>
      <c r="S407" s="30"/>
      <c r="T407" s="30"/>
      <c r="U407" s="30"/>
      <c r="V407" s="30"/>
      <c r="W407" s="30"/>
      <c r="X407" s="30"/>
    </row>
    <row r="408">
      <c r="A408" s="30"/>
      <c r="B408" s="30"/>
      <c r="C408" s="30"/>
      <c r="D408" s="30"/>
      <c r="E408" s="30"/>
      <c r="F408" s="30"/>
      <c r="G408" s="30"/>
      <c r="H408" s="30"/>
      <c r="I408" s="30"/>
      <c r="J408" s="30"/>
      <c r="K408" s="31"/>
      <c r="L408" s="30"/>
      <c r="M408" s="30"/>
      <c r="N408" s="30"/>
      <c r="O408" s="30"/>
      <c r="P408" s="30"/>
      <c r="Q408" s="30"/>
      <c r="R408" s="30"/>
      <c r="S408" s="30"/>
      <c r="T408" s="30"/>
      <c r="U408" s="30"/>
      <c r="V408" s="30"/>
      <c r="W408" s="30"/>
      <c r="X408" s="30"/>
    </row>
    <row r="409">
      <c r="A409" s="30"/>
      <c r="B409" s="30"/>
      <c r="C409" s="30"/>
      <c r="D409" s="30"/>
      <c r="E409" s="30"/>
      <c r="F409" s="30"/>
      <c r="G409" s="30"/>
      <c r="H409" s="30"/>
      <c r="I409" s="30"/>
      <c r="J409" s="30"/>
      <c r="K409" s="31"/>
      <c r="L409" s="30"/>
      <c r="M409" s="30"/>
      <c r="N409" s="30"/>
      <c r="O409" s="30"/>
      <c r="P409" s="30"/>
      <c r="Q409" s="30"/>
      <c r="R409" s="30"/>
      <c r="S409" s="30"/>
      <c r="T409" s="30"/>
      <c r="U409" s="30"/>
      <c r="V409" s="30"/>
      <c r="W409" s="30"/>
      <c r="X409" s="30"/>
    </row>
    <row r="410">
      <c r="A410" s="30"/>
      <c r="B410" s="30"/>
      <c r="C410" s="30"/>
      <c r="D410" s="30"/>
      <c r="E410" s="30"/>
      <c r="F410" s="30"/>
      <c r="G410" s="30"/>
      <c r="H410" s="30"/>
      <c r="I410" s="30"/>
      <c r="J410" s="30"/>
      <c r="K410" s="31"/>
      <c r="L410" s="30"/>
      <c r="M410" s="30"/>
      <c r="N410" s="30"/>
      <c r="O410" s="30"/>
      <c r="P410" s="30"/>
      <c r="Q410" s="30"/>
      <c r="R410" s="30"/>
      <c r="S410" s="30"/>
      <c r="T410" s="30"/>
      <c r="U410" s="30"/>
      <c r="V410" s="30"/>
      <c r="W410" s="30"/>
      <c r="X410" s="30"/>
    </row>
    <row r="411">
      <c r="A411" s="30"/>
      <c r="B411" s="30"/>
      <c r="C411" s="30"/>
      <c r="D411" s="30"/>
      <c r="E411" s="30"/>
      <c r="F411" s="30"/>
      <c r="G411" s="30"/>
      <c r="H411" s="30"/>
      <c r="I411" s="30"/>
      <c r="J411" s="30"/>
      <c r="K411" s="31"/>
      <c r="L411" s="30"/>
      <c r="M411" s="30"/>
      <c r="N411" s="30"/>
      <c r="O411" s="30"/>
      <c r="P411" s="30"/>
      <c r="Q411" s="30"/>
      <c r="R411" s="30"/>
      <c r="S411" s="30"/>
      <c r="T411" s="30"/>
      <c r="U411" s="30"/>
      <c r="V411" s="30"/>
      <c r="W411" s="30"/>
      <c r="X411" s="30"/>
    </row>
    <row r="412">
      <c r="A412" s="30"/>
      <c r="B412" s="30"/>
      <c r="C412" s="30"/>
      <c r="D412" s="30"/>
      <c r="E412" s="30"/>
      <c r="F412" s="30"/>
      <c r="G412" s="30"/>
      <c r="H412" s="30"/>
      <c r="I412" s="30"/>
      <c r="J412" s="30"/>
      <c r="K412" s="31"/>
      <c r="L412" s="30"/>
      <c r="M412" s="30"/>
      <c r="N412" s="30"/>
      <c r="O412" s="30"/>
      <c r="P412" s="30"/>
      <c r="Q412" s="30"/>
      <c r="R412" s="30"/>
      <c r="S412" s="30"/>
      <c r="T412" s="30"/>
      <c r="U412" s="30"/>
      <c r="V412" s="30"/>
      <c r="W412" s="30"/>
      <c r="X412" s="30"/>
    </row>
    <row r="413">
      <c r="A413" s="30"/>
      <c r="B413" s="30"/>
      <c r="C413" s="30"/>
      <c r="D413" s="30"/>
      <c r="E413" s="30"/>
      <c r="F413" s="30"/>
      <c r="G413" s="30"/>
      <c r="H413" s="30"/>
      <c r="I413" s="30"/>
      <c r="J413" s="30"/>
      <c r="K413" s="31"/>
      <c r="L413" s="30"/>
      <c r="M413" s="30"/>
      <c r="N413" s="30"/>
      <c r="O413" s="30"/>
      <c r="P413" s="30"/>
      <c r="Q413" s="30"/>
      <c r="R413" s="30"/>
      <c r="S413" s="30"/>
      <c r="T413" s="30"/>
      <c r="U413" s="30"/>
      <c r="V413" s="30"/>
      <c r="W413" s="30"/>
      <c r="X413" s="30"/>
    </row>
    <row r="414">
      <c r="A414" s="30"/>
      <c r="B414" s="30"/>
      <c r="C414" s="30"/>
      <c r="D414" s="30"/>
      <c r="E414" s="30"/>
      <c r="F414" s="30"/>
      <c r="G414" s="30"/>
      <c r="H414" s="30"/>
      <c r="I414" s="30"/>
      <c r="J414" s="30"/>
      <c r="K414" s="31"/>
      <c r="L414" s="30"/>
      <c r="M414" s="30"/>
      <c r="N414" s="30"/>
      <c r="O414" s="30"/>
      <c r="P414" s="30"/>
      <c r="Q414" s="30"/>
      <c r="R414" s="30"/>
      <c r="S414" s="30"/>
      <c r="T414" s="30"/>
      <c r="U414" s="30"/>
      <c r="V414" s="30"/>
      <c r="W414" s="30"/>
      <c r="X414" s="30"/>
    </row>
    <row r="415">
      <c r="A415" s="30"/>
      <c r="B415" s="30"/>
      <c r="C415" s="30"/>
      <c r="D415" s="30"/>
      <c r="E415" s="30"/>
      <c r="F415" s="30"/>
      <c r="G415" s="30"/>
      <c r="H415" s="30"/>
      <c r="I415" s="30"/>
      <c r="J415" s="30"/>
      <c r="K415" s="31"/>
      <c r="L415" s="30"/>
      <c r="M415" s="30"/>
      <c r="N415" s="30"/>
      <c r="O415" s="30"/>
      <c r="P415" s="30"/>
      <c r="Q415" s="30"/>
      <c r="R415" s="30"/>
      <c r="S415" s="30"/>
      <c r="T415" s="30"/>
      <c r="U415" s="30"/>
      <c r="V415" s="30"/>
      <c r="W415" s="30"/>
      <c r="X415" s="30"/>
    </row>
    <row r="416">
      <c r="A416" s="30"/>
      <c r="B416" s="30"/>
      <c r="C416" s="30"/>
      <c r="D416" s="30"/>
      <c r="E416" s="30"/>
      <c r="F416" s="30"/>
      <c r="G416" s="30"/>
      <c r="H416" s="30"/>
      <c r="I416" s="30"/>
      <c r="J416" s="30"/>
      <c r="K416" s="31"/>
      <c r="L416" s="30"/>
      <c r="M416" s="30"/>
      <c r="N416" s="30"/>
      <c r="O416" s="30"/>
      <c r="P416" s="30"/>
      <c r="Q416" s="30"/>
      <c r="R416" s="30"/>
      <c r="S416" s="30"/>
      <c r="T416" s="30"/>
      <c r="U416" s="30"/>
      <c r="V416" s="30"/>
      <c r="W416" s="30"/>
      <c r="X416" s="30"/>
    </row>
    <row r="417">
      <c r="A417" s="30"/>
      <c r="B417" s="30"/>
      <c r="C417" s="30"/>
      <c r="D417" s="30"/>
      <c r="E417" s="30"/>
      <c r="F417" s="30"/>
      <c r="G417" s="30"/>
      <c r="H417" s="30"/>
      <c r="I417" s="30"/>
      <c r="J417" s="30"/>
      <c r="K417" s="31"/>
      <c r="L417" s="30"/>
      <c r="M417" s="30"/>
      <c r="N417" s="30"/>
      <c r="O417" s="30"/>
      <c r="P417" s="30"/>
      <c r="Q417" s="30"/>
      <c r="R417" s="30"/>
      <c r="S417" s="30"/>
      <c r="T417" s="30"/>
      <c r="U417" s="30"/>
      <c r="V417" s="30"/>
      <c r="W417" s="30"/>
      <c r="X417" s="30"/>
    </row>
    <row r="418">
      <c r="A418" s="30"/>
      <c r="B418" s="30"/>
      <c r="C418" s="30"/>
      <c r="D418" s="30"/>
      <c r="E418" s="30"/>
      <c r="F418" s="30"/>
      <c r="G418" s="30"/>
      <c r="H418" s="30"/>
      <c r="I418" s="30"/>
      <c r="J418" s="30"/>
      <c r="K418" s="31"/>
      <c r="L418" s="30"/>
      <c r="M418" s="30"/>
      <c r="N418" s="30"/>
      <c r="O418" s="30"/>
      <c r="P418" s="30"/>
      <c r="Q418" s="30"/>
      <c r="R418" s="30"/>
      <c r="S418" s="30"/>
      <c r="T418" s="30"/>
      <c r="U418" s="30"/>
      <c r="V418" s="30"/>
      <c r="W418" s="30"/>
      <c r="X418" s="30"/>
    </row>
    <row r="419">
      <c r="A419" s="30"/>
      <c r="B419" s="30"/>
      <c r="C419" s="30"/>
      <c r="D419" s="30"/>
      <c r="E419" s="30"/>
      <c r="F419" s="30"/>
      <c r="G419" s="30"/>
      <c r="H419" s="30"/>
      <c r="I419" s="30"/>
      <c r="J419" s="30"/>
      <c r="K419" s="31"/>
      <c r="L419" s="30"/>
      <c r="M419" s="30"/>
      <c r="N419" s="30"/>
      <c r="O419" s="30"/>
      <c r="P419" s="30"/>
      <c r="Q419" s="30"/>
      <c r="R419" s="30"/>
      <c r="S419" s="30"/>
      <c r="T419" s="30"/>
      <c r="U419" s="30"/>
      <c r="V419" s="30"/>
      <c r="W419" s="30"/>
      <c r="X419" s="30"/>
    </row>
    <row r="420">
      <c r="A420" s="30"/>
      <c r="B420" s="30"/>
      <c r="C420" s="30"/>
      <c r="D420" s="30"/>
      <c r="E420" s="30"/>
      <c r="F420" s="30"/>
      <c r="G420" s="30"/>
      <c r="H420" s="30"/>
      <c r="I420" s="30"/>
      <c r="J420" s="30"/>
      <c r="K420" s="31"/>
      <c r="L420" s="30"/>
      <c r="M420" s="30"/>
      <c r="N420" s="30"/>
      <c r="O420" s="30"/>
      <c r="P420" s="30"/>
      <c r="Q420" s="30"/>
      <c r="R420" s="30"/>
      <c r="S420" s="30"/>
      <c r="T420" s="30"/>
      <c r="U420" s="30"/>
      <c r="V420" s="30"/>
      <c r="W420" s="30"/>
      <c r="X420" s="30"/>
    </row>
    <row r="421">
      <c r="A421" s="30"/>
      <c r="B421" s="30"/>
      <c r="C421" s="30"/>
      <c r="D421" s="30"/>
      <c r="E421" s="30"/>
      <c r="F421" s="30"/>
      <c r="G421" s="30"/>
      <c r="H421" s="30"/>
      <c r="I421" s="30"/>
      <c r="J421" s="30"/>
      <c r="K421" s="31"/>
      <c r="L421" s="30"/>
      <c r="M421" s="30"/>
      <c r="N421" s="30"/>
      <c r="O421" s="30"/>
      <c r="P421" s="30"/>
      <c r="Q421" s="30"/>
      <c r="R421" s="30"/>
      <c r="S421" s="30"/>
      <c r="T421" s="30"/>
      <c r="U421" s="30"/>
      <c r="V421" s="30"/>
      <c r="W421" s="30"/>
      <c r="X421" s="30"/>
    </row>
    <row r="422">
      <c r="A422" s="30"/>
      <c r="B422" s="30"/>
      <c r="C422" s="30"/>
      <c r="D422" s="30"/>
      <c r="E422" s="30"/>
      <c r="F422" s="30"/>
      <c r="G422" s="30"/>
      <c r="H422" s="30"/>
      <c r="I422" s="30"/>
      <c r="J422" s="30"/>
      <c r="K422" s="31"/>
      <c r="L422" s="30"/>
      <c r="M422" s="30"/>
      <c r="N422" s="30"/>
      <c r="O422" s="30"/>
      <c r="P422" s="30"/>
      <c r="Q422" s="30"/>
      <c r="R422" s="30"/>
      <c r="S422" s="30"/>
      <c r="T422" s="30"/>
      <c r="U422" s="30"/>
      <c r="V422" s="30"/>
      <c r="W422" s="30"/>
      <c r="X422" s="30"/>
    </row>
    <row r="423">
      <c r="A423" s="30"/>
      <c r="B423" s="30"/>
      <c r="C423" s="30"/>
      <c r="D423" s="30"/>
      <c r="E423" s="30"/>
      <c r="F423" s="30"/>
      <c r="G423" s="30"/>
      <c r="H423" s="30"/>
      <c r="I423" s="30"/>
      <c r="J423" s="30"/>
      <c r="K423" s="31"/>
      <c r="L423" s="30"/>
      <c r="M423" s="30"/>
      <c r="N423" s="30"/>
      <c r="O423" s="30"/>
      <c r="P423" s="30"/>
      <c r="Q423" s="30"/>
      <c r="R423" s="30"/>
      <c r="S423" s="30"/>
      <c r="T423" s="30"/>
      <c r="U423" s="30"/>
      <c r="V423" s="30"/>
      <c r="W423" s="30"/>
      <c r="X423" s="30"/>
    </row>
    <row r="424">
      <c r="A424" s="30"/>
      <c r="B424" s="30"/>
      <c r="C424" s="30"/>
      <c r="D424" s="30"/>
      <c r="E424" s="30"/>
      <c r="F424" s="30"/>
      <c r="G424" s="30"/>
      <c r="H424" s="30"/>
      <c r="I424" s="30"/>
      <c r="J424" s="30"/>
      <c r="K424" s="31"/>
      <c r="L424" s="30"/>
      <c r="M424" s="30"/>
      <c r="N424" s="30"/>
      <c r="O424" s="30"/>
      <c r="P424" s="30"/>
      <c r="Q424" s="30"/>
      <c r="R424" s="30"/>
      <c r="S424" s="30"/>
      <c r="T424" s="30"/>
      <c r="U424" s="30"/>
      <c r="V424" s="30"/>
      <c r="W424" s="30"/>
      <c r="X424" s="30"/>
    </row>
    <row r="425">
      <c r="A425" s="30"/>
      <c r="B425" s="30"/>
      <c r="C425" s="30"/>
      <c r="D425" s="30"/>
      <c r="E425" s="30"/>
      <c r="F425" s="30"/>
      <c r="G425" s="30"/>
      <c r="H425" s="30"/>
      <c r="I425" s="30"/>
      <c r="J425" s="30"/>
      <c r="K425" s="31"/>
      <c r="L425" s="30"/>
      <c r="M425" s="30"/>
      <c r="N425" s="30"/>
      <c r="O425" s="30"/>
      <c r="P425" s="30"/>
      <c r="Q425" s="30"/>
      <c r="R425" s="30"/>
      <c r="S425" s="30"/>
      <c r="T425" s="30"/>
      <c r="U425" s="30"/>
      <c r="V425" s="30"/>
      <c r="W425" s="30"/>
      <c r="X425" s="30"/>
    </row>
    <row r="426">
      <c r="A426" s="30"/>
      <c r="B426" s="30"/>
      <c r="C426" s="30"/>
      <c r="D426" s="30"/>
      <c r="E426" s="30"/>
      <c r="F426" s="30"/>
      <c r="G426" s="30"/>
      <c r="H426" s="30"/>
      <c r="I426" s="30"/>
      <c r="J426" s="30"/>
      <c r="K426" s="31"/>
      <c r="L426" s="30"/>
      <c r="M426" s="30"/>
      <c r="N426" s="30"/>
      <c r="O426" s="30"/>
      <c r="P426" s="30"/>
      <c r="Q426" s="30"/>
      <c r="R426" s="30"/>
      <c r="S426" s="30"/>
      <c r="T426" s="30"/>
      <c r="U426" s="30"/>
      <c r="V426" s="30"/>
      <c r="W426" s="30"/>
      <c r="X426" s="30"/>
    </row>
    <row r="427">
      <c r="A427" s="30"/>
      <c r="B427" s="30"/>
      <c r="C427" s="30"/>
      <c r="D427" s="30"/>
      <c r="E427" s="30"/>
      <c r="F427" s="30"/>
      <c r="G427" s="30"/>
      <c r="H427" s="30"/>
      <c r="I427" s="30"/>
      <c r="J427" s="30"/>
      <c r="K427" s="31"/>
      <c r="L427" s="30"/>
      <c r="M427" s="30"/>
      <c r="N427" s="30"/>
      <c r="O427" s="30"/>
      <c r="P427" s="30"/>
      <c r="Q427" s="30"/>
      <c r="R427" s="30"/>
      <c r="S427" s="30"/>
      <c r="T427" s="30"/>
      <c r="U427" s="30"/>
      <c r="V427" s="30"/>
      <c r="W427" s="30"/>
      <c r="X427" s="30"/>
    </row>
    <row r="428">
      <c r="A428" s="30"/>
      <c r="B428" s="30"/>
      <c r="C428" s="30"/>
      <c r="D428" s="30"/>
      <c r="E428" s="30"/>
      <c r="F428" s="30"/>
      <c r="G428" s="30"/>
      <c r="H428" s="30"/>
      <c r="I428" s="30"/>
      <c r="J428" s="30"/>
      <c r="K428" s="31"/>
      <c r="L428" s="30"/>
      <c r="M428" s="30"/>
      <c r="N428" s="30"/>
      <c r="O428" s="30"/>
      <c r="P428" s="30"/>
      <c r="Q428" s="30"/>
      <c r="R428" s="30"/>
      <c r="S428" s="30"/>
      <c r="T428" s="30"/>
      <c r="U428" s="30"/>
      <c r="V428" s="30"/>
      <c r="W428" s="30"/>
      <c r="X428" s="30"/>
    </row>
    <row r="429">
      <c r="A429" s="30"/>
      <c r="B429" s="30"/>
      <c r="C429" s="30"/>
      <c r="D429" s="30"/>
      <c r="E429" s="30"/>
      <c r="F429" s="30"/>
      <c r="G429" s="30"/>
      <c r="H429" s="30"/>
      <c r="I429" s="30"/>
      <c r="J429" s="30"/>
      <c r="K429" s="31"/>
      <c r="L429" s="30"/>
      <c r="M429" s="30"/>
      <c r="N429" s="30"/>
      <c r="O429" s="30"/>
      <c r="P429" s="30"/>
      <c r="Q429" s="30"/>
      <c r="R429" s="30"/>
      <c r="S429" s="30"/>
      <c r="T429" s="30"/>
      <c r="U429" s="30"/>
      <c r="V429" s="30"/>
      <c r="W429" s="30"/>
      <c r="X429" s="30"/>
    </row>
    <row r="430">
      <c r="A430" s="30"/>
      <c r="B430" s="30"/>
      <c r="C430" s="30"/>
      <c r="D430" s="30"/>
      <c r="E430" s="30"/>
      <c r="F430" s="30"/>
      <c r="G430" s="30"/>
      <c r="H430" s="30"/>
      <c r="I430" s="30"/>
      <c r="J430" s="30"/>
      <c r="K430" s="31"/>
      <c r="L430" s="30"/>
      <c r="M430" s="30"/>
      <c r="N430" s="30"/>
      <c r="O430" s="30"/>
      <c r="P430" s="30"/>
      <c r="Q430" s="30"/>
      <c r="R430" s="30"/>
      <c r="S430" s="30"/>
      <c r="T430" s="30"/>
      <c r="U430" s="30"/>
      <c r="V430" s="30"/>
      <c r="W430" s="30"/>
      <c r="X430" s="30"/>
    </row>
    <row r="431">
      <c r="A431" s="30"/>
      <c r="B431" s="30"/>
      <c r="C431" s="30"/>
      <c r="D431" s="30"/>
      <c r="E431" s="30"/>
      <c r="F431" s="30"/>
      <c r="G431" s="30"/>
      <c r="H431" s="30"/>
      <c r="I431" s="30"/>
      <c r="J431" s="30"/>
      <c r="K431" s="31"/>
      <c r="L431" s="30"/>
      <c r="M431" s="30"/>
      <c r="N431" s="30"/>
      <c r="O431" s="30"/>
      <c r="P431" s="30"/>
      <c r="Q431" s="30"/>
      <c r="R431" s="30"/>
      <c r="S431" s="30"/>
      <c r="T431" s="30"/>
      <c r="U431" s="30"/>
      <c r="V431" s="30"/>
      <c r="W431" s="30"/>
      <c r="X431" s="30"/>
    </row>
    <row r="432">
      <c r="A432" s="30"/>
      <c r="B432" s="30"/>
      <c r="C432" s="30"/>
      <c r="D432" s="30"/>
      <c r="E432" s="30"/>
      <c r="F432" s="30"/>
      <c r="G432" s="30"/>
      <c r="H432" s="30"/>
      <c r="I432" s="30"/>
      <c r="J432" s="30"/>
      <c r="K432" s="31"/>
      <c r="L432" s="30"/>
      <c r="M432" s="30"/>
      <c r="N432" s="30"/>
      <c r="O432" s="30"/>
      <c r="P432" s="30"/>
      <c r="Q432" s="30"/>
      <c r="R432" s="30"/>
      <c r="S432" s="30"/>
      <c r="T432" s="30"/>
      <c r="U432" s="30"/>
      <c r="V432" s="30"/>
      <c r="W432" s="30"/>
      <c r="X432" s="30"/>
    </row>
    <row r="433">
      <c r="A433" s="30"/>
      <c r="B433" s="30"/>
      <c r="C433" s="30"/>
      <c r="D433" s="30"/>
      <c r="E433" s="30"/>
      <c r="F433" s="30"/>
      <c r="G433" s="30"/>
      <c r="H433" s="30"/>
      <c r="I433" s="30"/>
      <c r="J433" s="30"/>
      <c r="K433" s="31"/>
      <c r="L433" s="30"/>
      <c r="M433" s="30"/>
      <c r="N433" s="30"/>
      <c r="O433" s="30"/>
      <c r="P433" s="30"/>
      <c r="Q433" s="30"/>
      <c r="R433" s="30"/>
      <c r="S433" s="30"/>
      <c r="T433" s="30"/>
      <c r="U433" s="30"/>
      <c r="V433" s="30"/>
      <c r="W433" s="30"/>
      <c r="X433" s="30"/>
    </row>
    <row r="434">
      <c r="A434" s="30"/>
      <c r="B434" s="30"/>
      <c r="C434" s="30"/>
      <c r="D434" s="30"/>
      <c r="E434" s="30"/>
      <c r="F434" s="30"/>
      <c r="G434" s="30"/>
      <c r="H434" s="30"/>
      <c r="I434" s="30"/>
      <c r="J434" s="30"/>
      <c r="K434" s="31"/>
      <c r="L434" s="30"/>
      <c r="M434" s="30"/>
      <c r="N434" s="30"/>
      <c r="O434" s="30"/>
      <c r="P434" s="30"/>
      <c r="Q434" s="30"/>
      <c r="R434" s="30"/>
      <c r="S434" s="30"/>
      <c r="T434" s="30"/>
      <c r="U434" s="30"/>
      <c r="V434" s="30"/>
      <c r="W434" s="30"/>
      <c r="X434" s="30"/>
    </row>
    <row r="435">
      <c r="A435" s="30"/>
      <c r="B435" s="30"/>
      <c r="C435" s="30"/>
      <c r="D435" s="30"/>
      <c r="E435" s="30"/>
      <c r="F435" s="30"/>
      <c r="G435" s="30"/>
      <c r="H435" s="30"/>
      <c r="I435" s="30"/>
      <c r="J435" s="30"/>
      <c r="K435" s="31"/>
      <c r="L435" s="30"/>
      <c r="M435" s="30"/>
      <c r="N435" s="30"/>
      <c r="O435" s="30"/>
      <c r="P435" s="30"/>
      <c r="Q435" s="30"/>
      <c r="R435" s="30"/>
      <c r="S435" s="30"/>
      <c r="T435" s="30"/>
      <c r="U435" s="30"/>
      <c r="V435" s="30"/>
      <c r="W435" s="30"/>
      <c r="X435" s="30"/>
    </row>
    <row r="436">
      <c r="A436" s="30"/>
      <c r="B436" s="30"/>
      <c r="C436" s="30"/>
      <c r="D436" s="30"/>
      <c r="E436" s="30"/>
      <c r="F436" s="30"/>
      <c r="G436" s="30"/>
      <c r="H436" s="30"/>
      <c r="I436" s="30"/>
      <c r="J436" s="30"/>
      <c r="K436" s="31"/>
      <c r="L436" s="30"/>
      <c r="M436" s="30"/>
      <c r="N436" s="30"/>
      <c r="O436" s="30"/>
      <c r="P436" s="30"/>
      <c r="Q436" s="30"/>
      <c r="R436" s="30"/>
      <c r="S436" s="30"/>
      <c r="T436" s="30"/>
      <c r="U436" s="30"/>
      <c r="V436" s="30"/>
      <c r="W436" s="30"/>
      <c r="X436" s="30"/>
    </row>
    <row r="437">
      <c r="A437" s="30"/>
      <c r="B437" s="30"/>
      <c r="C437" s="30"/>
      <c r="D437" s="30"/>
      <c r="E437" s="30"/>
      <c r="F437" s="30"/>
      <c r="G437" s="30"/>
      <c r="H437" s="30"/>
      <c r="I437" s="30"/>
      <c r="J437" s="30"/>
      <c r="K437" s="31"/>
      <c r="L437" s="30"/>
      <c r="M437" s="30"/>
      <c r="N437" s="30"/>
      <c r="O437" s="30"/>
      <c r="P437" s="30"/>
      <c r="Q437" s="30"/>
      <c r="R437" s="30"/>
      <c r="S437" s="30"/>
      <c r="T437" s="30"/>
      <c r="U437" s="30"/>
      <c r="V437" s="30"/>
      <c r="W437" s="30"/>
      <c r="X437" s="30"/>
    </row>
    <row r="438">
      <c r="A438" s="30"/>
      <c r="B438" s="30"/>
      <c r="C438" s="30"/>
      <c r="D438" s="30"/>
      <c r="E438" s="30"/>
      <c r="F438" s="30"/>
      <c r="G438" s="30"/>
      <c r="H438" s="30"/>
      <c r="I438" s="30"/>
      <c r="J438" s="30"/>
      <c r="K438" s="31"/>
      <c r="L438" s="30"/>
      <c r="M438" s="30"/>
      <c r="N438" s="30"/>
      <c r="O438" s="30"/>
      <c r="P438" s="30"/>
      <c r="Q438" s="30"/>
      <c r="R438" s="30"/>
      <c r="S438" s="30"/>
      <c r="T438" s="30"/>
      <c r="U438" s="30"/>
      <c r="V438" s="30"/>
      <c r="W438" s="30"/>
      <c r="X438" s="30"/>
    </row>
    <row r="439">
      <c r="A439" s="30"/>
      <c r="B439" s="30"/>
      <c r="C439" s="30"/>
      <c r="D439" s="30"/>
      <c r="E439" s="30"/>
      <c r="F439" s="30"/>
      <c r="G439" s="30"/>
      <c r="H439" s="30"/>
      <c r="I439" s="30"/>
      <c r="J439" s="30"/>
      <c r="K439" s="31"/>
      <c r="L439" s="30"/>
      <c r="M439" s="30"/>
      <c r="N439" s="30"/>
      <c r="O439" s="30"/>
      <c r="P439" s="30"/>
      <c r="Q439" s="30"/>
      <c r="R439" s="30"/>
      <c r="S439" s="30"/>
      <c r="T439" s="30"/>
      <c r="U439" s="30"/>
      <c r="V439" s="30"/>
      <c r="W439" s="30"/>
      <c r="X439" s="30"/>
    </row>
    <row r="440">
      <c r="A440" s="30"/>
      <c r="B440" s="30"/>
      <c r="C440" s="30"/>
      <c r="D440" s="30"/>
      <c r="E440" s="30"/>
      <c r="F440" s="30"/>
      <c r="G440" s="30"/>
      <c r="H440" s="30"/>
      <c r="I440" s="30"/>
      <c r="J440" s="30"/>
      <c r="K440" s="31"/>
      <c r="L440" s="30"/>
      <c r="M440" s="30"/>
      <c r="N440" s="30"/>
      <c r="O440" s="30"/>
      <c r="P440" s="30"/>
      <c r="Q440" s="30"/>
      <c r="R440" s="30"/>
      <c r="S440" s="30"/>
      <c r="T440" s="30"/>
      <c r="U440" s="30"/>
      <c r="V440" s="30"/>
      <c r="W440" s="30"/>
      <c r="X440" s="30"/>
    </row>
    <row r="441">
      <c r="A441" s="30"/>
      <c r="B441" s="30"/>
      <c r="C441" s="30"/>
      <c r="D441" s="30"/>
      <c r="E441" s="30"/>
      <c r="F441" s="30"/>
      <c r="G441" s="30"/>
      <c r="H441" s="30"/>
      <c r="I441" s="30"/>
      <c r="J441" s="30"/>
      <c r="K441" s="31"/>
      <c r="L441" s="30"/>
      <c r="M441" s="30"/>
      <c r="N441" s="30"/>
      <c r="O441" s="30"/>
      <c r="P441" s="30"/>
      <c r="Q441" s="30"/>
      <c r="R441" s="30"/>
      <c r="S441" s="30"/>
      <c r="T441" s="30"/>
      <c r="U441" s="30"/>
      <c r="V441" s="30"/>
      <c r="W441" s="30"/>
      <c r="X441" s="30"/>
    </row>
    <row r="442">
      <c r="A442" s="30"/>
      <c r="B442" s="30"/>
      <c r="C442" s="30"/>
      <c r="D442" s="30"/>
      <c r="E442" s="30"/>
      <c r="F442" s="30"/>
      <c r="G442" s="30"/>
      <c r="H442" s="30"/>
      <c r="I442" s="30"/>
      <c r="J442" s="30"/>
      <c r="K442" s="31"/>
      <c r="L442" s="30"/>
      <c r="M442" s="30"/>
      <c r="N442" s="30"/>
      <c r="O442" s="30"/>
      <c r="P442" s="30"/>
      <c r="Q442" s="30"/>
      <c r="R442" s="30"/>
      <c r="S442" s="30"/>
      <c r="T442" s="30"/>
      <c r="U442" s="30"/>
      <c r="V442" s="30"/>
      <c r="W442" s="30"/>
      <c r="X442" s="30"/>
    </row>
    <row r="443">
      <c r="A443" s="30"/>
      <c r="B443" s="30"/>
      <c r="C443" s="30"/>
      <c r="D443" s="30"/>
      <c r="E443" s="30"/>
      <c r="F443" s="30"/>
      <c r="G443" s="30"/>
      <c r="H443" s="30"/>
      <c r="I443" s="30"/>
      <c r="J443" s="30"/>
      <c r="K443" s="31"/>
      <c r="L443" s="30"/>
      <c r="M443" s="30"/>
      <c r="N443" s="30"/>
      <c r="O443" s="30"/>
      <c r="P443" s="30"/>
      <c r="Q443" s="30"/>
      <c r="R443" s="30"/>
      <c r="S443" s="30"/>
      <c r="T443" s="30"/>
      <c r="U443" s="30"/>
      <c r="V443" s="30"/>
      <c r="W443" s="30"/>
      <c r="X443" s="30"/>
    </row>
    <row r="444">
      <c r="A444" s="30"/>
      <c r="B444" s="30"/>
      <c r="C444" s="30"/>
      <c r="D444" s="30"/>
      <c r="E444" s="30"/>
      <c r="F444" s="30"/>
      <c r="G444" s="30"/>
      <c r="H444" s="30"/>
      <c r="I444" s="30"/>
      <c r="J444" s="30"/>
      <c r="K444" s="31"/>
      <c r="L444" s="30"/>
      <c r="M444" s="30"/>
      <c r="N444" s="30"/>
      <c r="O444" s="30"/>
      <c r="P444" s="30"/>
      <c r="Q444" s="30"/>
      <c r="R444" s="30"/>
      <c r="S444" s="30"/>
      <c r="T444" s="30"/>
      <c r="U444" s="30"/>
      <c r="V444" s="30"/>
      <c r="W444" s="30"/>
      <c r="X444" s="30"/>
    </row>
    <row r="445">
      <c r="A445" s="30"/>
      <c r="B445" s="30"/>
      <c r="C445" s="30"/>
      <c r="D445" s="30"/>
      <c r="E445" s="30"/>
      <c r="F445" s="30"/>
      <c r="G445" s="30"/>
      <c r="H445" s="30"/>
      <c r="I445" s="30"/>
      <c r="J445" s="30"/>
      <c r="K445" s="31"/>
      <c r="L445" s="30"/>
      <c r="M445" s="30"/>
      <c r="N445" s="30"/>
      <c r="O445" s="30"/>
      <c r="P445" s="30"/>
      <c r="Q445" s="30"/>
      <c r="R445" s="30"/>
      <c r="S445" s="30"/>
      <c r="T445" s="30"/>
      <c r="U445" s="30"/>
      <c r="V445" s="30"/>
      <c r="W445" s="30"/>
      <c r="X445" s="30"/>
    </row>
    <row r="446">
      <c r="A446" s="30"/>
      <c r="B446" s="30"/>
      <c r="C446" s="30"/>
      <c r="D446" s="30"/>
      <c r="E446" s="30"/>
      <c r="F446" s="30"/>
      <c r="G446" s="30"/>
      <c r="H446" s="30"/>
      <c r="I446" s="30"/>
      <c r="J446" s="30"/>
      <c r="K446" s="31"/>
      <c r="L446" s="30"/>
      <c r="M446" s="30"/>
      <c r="N446" s="30"/>
      <c r="O446" s="30"/>
      <c r="P446" s="30"/>
      <c r="Q446" s="30"/>
      <c r="R446" s="30"/>
      <c r="S446" s="30"/>
      <c r="T446" s="30"/>
      <c r="U446" s="30"/>
      <c r="V446" s="30"/>
      <c r="W446" s="30"/>
      <c r="X446" s="30"/>
    </row>
    <row r="447">
      <c r="A447" s="30"/>
      <c r="B447" s="30"/>
      <c r="C447" s="30"/>
      <c r="D447" s="30"/>
      <c r="E447" s="30"/>
      <c r="F447" s="30"/>
      <c r="G447" s="30"/>
      <c r="H447" s="30"/>
      <c r="I447" s="30"/>
      <c r="J447" s="30"/>
      <c r="K447" s="31"/>
      <c r="L447" s="30"/>
      <c r="M447" s="30"/>
      <c r="N447" s="30"/>
      <c r="O447" s="30"/>
      <c r="P447" s="30"/>
      <c r="Q447" s="30"/>
      <c r="R447" s="30"/>
      <c r="S447" s="30"/>
      <c r="T447" s="30"/>
      <c r="U447" s="30"/>
      <c r="V447" s="30"/>
      <c r="W447" s="30"/>
      <c r="X447" s="30"/>
    </row>
    <row r="448">
      <c r="A448" s="30"/>
      <c r="B448" s="30"/>
      <c r="C448" s="30"/>
      <c r="D448" s="30"/>
      <c r="E448" s="30"/>
      <c r="F448" s="30"/>
      <c r="G448" s="30"/>
      <c r="H448" s="30"/>
      <c r="I448" s="30"/>
      <c r="J448" s="30"/>
      <c r="K448" s="31"/>
      <c r="L448" s="30"/>
      <c r="M448" s="30"/>
      <c r="N448" s="30"/>
      <c r="O448" s="30"/>
      <c r="P448" s="30"/>
      <c r="Q448" s="30"/>
      <c r="R448" s="30"/>
      <c r="S448" s="30"/>
      <c r="T448" s="30"/>
      <c r="U448" s="30"/>
      <c r="V448" s="30"/>
      <c r="W448" s="30"/>
      <c r="X448" s="30"/>
    </row>
    <row r="449">
      <c r="A449" s="30"/>
      <c r="B449" s="30"/>
      <c r="C449" s="30"/>
      <c r="D449" s="30"/>
      <c r="E449" s="30"/>
      <c r="F449" s="30"/>
      <c r="G449" s="30"/>
      <c r="H449" s="30"/>
      <c r="I449" s="30"/>
      <c r="J449" s="30"/>
      <c r="K449" s="31"/>
      <c r="L449" s="30"/>
      <c r="M449" s="30"/>
      <c r="N449" s="30"/>
      <c r="O449" s="30"/>
      <c r="P449" s="30"/>
      <c r="Q449" s="30"/>
      <c r="R449" s="30"/>
      <c r="S449" s="30"/>
      <c r="T449" s="30"/>
      <c r="U449" s="30"/>
      <c r="V449" s="30"/>
      <c r="W449" s="30"/>
      <c r="X449" s="30"/>
    </row>
    <row r="450">
      <c r="A450" s="30"/>
      <c r="B450" s="30"/>
      <c r="C450" s="30"/>
      <c r="D450" s="30"/>
      <c r="E450" s="30"/>
      <c r="F450" s="30"/>
      <c r="G450" s="30"/>
      <c r="H450" s="30"/>
      <c r="I450" s="30"/>
      <c r="J450" s="30"/>
      <c r="K450" s="31"/>
      <c r="L450" s="30"/>
      <c r="M450" s="30"/>
      <c r="N450" s="30"/>
      <c r="O450" s="30"/>
      <c r="P450" s="30"/>
      <c r="Q450" s="30"/>
      <c r="R450" s="30"/>
      <c r="S450" s="30"/>
      <c r="T450" s="30"/>
      <c r="U450" s="30"/>
      <c r="V450" s="30"/>
      <c r="W450" s="30"/>
      <c r="X450" s="30"/>
    </row>
    <row r="451">
      <c r="A451" s="30"/>
      <c r="B451" s="30"/>
      <c r="C451" s="30"/>
      <c r="D451" s="30"/>
      <c r="E451" s="30"/>
      <c r="F451" s="30"/>
      <c r="G451" s="30"/>
      <c r="H451" s="30"/>
      <c r="I451" s="30"/>
      <c r="J451" s="30"/>
      <c r="K451" s="31"/>
      <c r="L451" s="30"/>
      <c r="M451" s="30"/>
      <c r="N451" s="30"/>
      <c r="O451" s="30"/>
      <c r="P451" s="30"/>
      <c r="Q451" s="30"/>
      <c r="R451" s="30"/>
      <c r="S451" s="30"/>
      <c r="T451" s="30"/>
      <c r="U451" s="30"/>
      <c r="V451" s="30"/>
      <c r="W451" s="30"/>
      <c r="X451" s="30"/>
    </row>
    <row r="452">
      <c r="A452" s="30"/>
      <c r="B452" s="30"/>
      <c r="C452" s="30"/>
      <c r="D452" s="30"/>
      <c r="E452" s="30"/>
      <c r="F452" s="30"/>
      <c r="G452" s="30"/>
      <c r="H452" s="30"/>
      <c r="I452" s="30"/>
      <c r="J452" s="30"/>
      <c r="K452" s="31"/>
      <c r="L452" s="30"/>
      <c r="M452" s="30"/>
      <c r="N452" s="30"/>
      <c r="O452" s="30"/>
      <c r="P452" s="30"/>
      <c r="Q452" s="30"/>
      <c r="R452" s="30"/>
      <c r="S452" s="30"/>
      <c r="T452" s="30"/>
      <c r="U452" s="30"/>
      <c r="V452" s="30"/>
      <c r="W452" s="30"/>
      <c r="X452" s="30"/>
    </row>
    <row r="453">
      <c r="A453" s="30"/>
      <c r="B453" s="30"/>
      <c r="C453" s="30"/>
      <c r="D453" s="30"/>
      <c r="E453" s="30"/>
      <c r="F453" s="30"/>
      <c r="G453" s="30"/>
      <c r="H453" s="30"/>
      <c r="I453" s="30"/>
      <c r="J453" s="30"/>
      <c r="K453" s="31"/>
      <c r="L453" s="30"/>
      <c r="M453" s="30"/>
      <c r="N453" s="30"/>
      <c r="O453" s="30"/>
      <c r="P453" s="30"/>
      <c r="Q453" s="30"/>
      <c r="R453" s="30"/>
      <c r="S453" s="30"/>
      <c r="T453" s="30"/>
      <c r="U453" s="30"/>
      <c r="V453" s="30"/>
      <c r="W453" s="30"/>
      <c r="X453" s="30"/>
    </row>
    <row r="454">
      <c r="A454" s="30"/>
      <c r="B454" s="30"/>
      <c r="C454" s="30"/>
      <c r="D454" s="30"/>
      <c r="E454" s="30"/>
      <c r="F454" s="30"/>
      <c r="G454" s="30"/>
      <c r="H454" s="30"/>
      <c r="I454" s="30"/>
      <c r="J454" s="30"/>
      <c r="K454" s="31"/>
      <c r="L454" s="30"/>
      <c r="M454" s="30"/>
      <c r="N454" s="30"/>
      <c r="O454" s="30"/>
      <c r="P454" s="30"/>
      <c r="Q454" s="30"/>
      <c r="R454" s="30"/>
      <c r="S454" s="30"/>
      <c r="T454" s="30"/>
      <c r="U454" s="30"/>
      <c r="V454" s="30"/>
      <c r="W454" s="30"/>
      <c r="X454" s="30"/>
    </row>
    <row r="455">
      <c r="A455" s="30"/>
      <c r="B455" s="30"/>
      <c r="C455" s="30"/>
      <c r="D455" s="30"/>
      <c r="E455" s="30"/>
      <c r="F455" s="30"/>
      <c r="G455" s="30"/>
      <c r="H455" s="30"/>
      <c r="I455" s="30"/>
      <c r="J455" s="30"/>
      <c r="K455" s="31"/>
      <c r="L455" s="30"/>
      <c r="M455" s="30"/>
      <c r="N455" s="30"/>
      <c r="O455" s="30"/>
      <c r="P455" s="30"/>
      <c r="Q455" s="30"/>
      <c r="R455" s="30"/>
      <c r="S455" s="30"/>
      <c r="T455" s="30"/>
      <c r="U455" s="30"/>
      <c r="V455" s="30"/>
      <c r="W455" s="30"/>
      <c r="X455" s="30"/>
    </row>
    <row r="456">
      <c r="A456" s="30"/>
      <c r="B456" s="30"/>
      <c r="C456" s="30"/>
      <c r="D456" s="30"/>
      <c r="E456" s="30"/>
      <c r="F456" s="30"/>
      <c r="G456" s="30"/>
      <c r="H456" s="30"/>
      <c r="I456" s="30"/>
      <c r="J456" s="30"/>
      <c r="K456" s="31"/>
      <c r="L456" s="30"/>
      <c r="M456" s="30"/>
      <c r="N456" s="30"/>
      <c r="O456" s="30"/>
      <c r="P456" s="30"/>
      <c r="Q456" s="30"/>
      <c r="R456" s="30"/>
      <c r="S456" s="30"/>
      <c r="T456" s="30"/>
      <c r="U456" s="30"/>
      <c r="V456" s="30"/>
      <c r="W456" s="30"/>
      <c r="X456" s="30"/>
    </row>
    <row r="457">
      <c r="A457" s="30"/>
      <c r="B457" s="30"/>
      <c r="C457" s="30"/>
      <c r="D457" s="30"/>
      <c r="E457" s="30"/>
      <c r="F457" s="30"/>
      <c r="G457" s="30"/>
      <c r="H457" s="30"/>
      <c r="I457" s="30"/>
      <c r="J457" s="30"/>
      <c r="K457" s="31"/>
      <c r="L457" s="30"/>
      <c r="M457" s="30"/>
      <c r="N457" s="30"/>
      <c r="O457" s="30"/>
      <c r="P457" s="30"/>
      <c r="Q457" s="30"/>
      <c r="R457" s="30"/>
      <c r="S457" s="30"/>
      <c r="T457" s="30"/>
      <c r="U457" s="30"/>
      <c r="V457" s="30"/>
      <c r="W457" s="30"/>
      <c r="X457" s="30"/>
    </row>
    <row r="458">
      <c r="A458" s="30"/>
      <c r="B458" s="30"/>
      <c r="C458" s="30"/>
      <c r="D458" s="30"/>
      <c r="E458" s="30"/>
      <c r="F458" s="30"/>
      <c r="G458" s="30"/>
      <c r="H458" s="30"/>
      <c r="I458" s="30"/>
      <c r="J458" s="30"/>
      <c r="K458" s="31"/>
      <c r="L458" s="30"/>
      <c r="M458" s="30"/>
      <c r="N458" s="30"/>
      <c r="O458" s="30"/>
      <c r="P458" s="30"/>
      <c r="Q458" s="30"/>
      <c r="R458" s="30"/>
      <c r="S458" s="30"/>
      <c r="T458" s="30"/>
      <c r="U458" s="30"/>
      <c r="V458" s="30"/>
      <c r="W458" s="30"/>
      <c r="X458" s="30"/>
    </row>
    <row r="459">
      <c r="A459" s="30"/>
      <c r="B459" s="30"/>
      <c r="C459" s="30"/>
      <c r="D459" s="30"/>
      <c r="E459" s="30"/>
      <c r="F459" s="30"/>
      <c r="G459" s="30"/>
      <c r="H459" s="30"/>
      <c r="I459" s="30"/>
      <c r="J459" s="30"/>
      <c r="K459" s="35"/>
      <c r="L459" s="30"/>
      <c r="M459" s="30"/>
      <c r="N459" s="30"/>
      <c r="O459" s="30"/>
      <c r="P459" s="30"/>
      <c r="Q459" s="30"/>
      <c r="R459" s="30"/>
      <c r="S459" s="30"/>
      <c r="T459" s="30"/>
      <c r="U459" s="30"/>
      <c r="V459" s="30"/>
      <c r="W459" s="30"/>
      <c r="X459" s="30"/>
    </row>
    <row r="460">
      <c r="A460" s="30"/>
      <c r="B460" s="30"/>
      <c r="C460" s="30"/>
      <c r="D460" s="30"/>
      <c r="E460" s="30"/>
      <c r="F460" s="30"/>
      <c r="G460" s="30"/>
      <c r="H460" s="30"/>
      <c r="I460" s="30"/>
      <c r="J460" s="30"/>
      <c r="K460" s="31"/>
      <c r="L460" s="30"/>
      <c r="M460" s="30"/>
      <c r="N460" s="30"/>
      <c r="O460" s="30"/>
      <c r="P460" s="30"/>
      <c r="Q460" s="30"/>
      <c r="R460" s="30"/>
      <c r="S460" s="30"/>
      <c r="T460" s="30"/>
      <c r="U460" s="30"/>
      <c r="V460" s="30"/>
      <c r="W460" s="30"/>
      <c r="X460" s="30"/>
    </row>
    <row r="461">
      <c r="A461" s="30"/>
      <c r="B461" s="30"/>
      <c r="C461" s="30"/>
      <c r="D461" s="30"/>
      <c r="E461" s="30"/>
      <c r="F461" s="30"/>
      <c r="G461" s="30"/>
      <c r="H461" s="30"/>
      <c r="I461" s="30"/>
      <c r="J461" s="30"/>
      <c r="K461" s="31"/>
      <c r="L461" s="30"/>
      <c r="M461" s="30"/>
      <c r="N461" s="30"/>
      <c r="O461" s="30"/>
      <c r="P461" s="30"/>
      <c r="Q461" s="30"/>
      <c r="R461" s="30"/>
      <c r="S461" s="30"/>
      <c r="T461" s="30"/>
      <c r="U461" s="30"/>
      <c r="V461" s="30"/>
      <c r="W461" s="30"/>
      <c r="X461" s="30"/>
    </row>
    <row r="462">
      <c r="A462" s="30"/>
      <c r="B462" s="30"/>
      <c r="C462" s="30"/>
      <c r="D462" s="30"/>
      <c r="E462" s="30"/>
      <c r="F462" s="30"/>
      <c r="G462" s="30"/>
      <c r="H462" s="30"/>
      <c r="I462" s="30"/>
      <c r="J462" s="30"/>
      <c r="K462" s="31"/>
      <c r="L462" s="30"/>
      <c r="M462" s="30"/>
      <c r="N462" s="30"/>
      <c r="O462" s="30"/>
      <c r="P462" s="30"/>
      <c r="Q462" s="30"/>
      <c r="R462" s="30"/>
      <c r="S462" s="30"/>
      <c r="T462" s="30"/>
      <c r="U462" s="30"/>
      <c r="V462" s="30"/>
      <c r="W462" s="30"/>
      <c r="X462" s="30"/>
    </row>
    <row r="463">
      <c r="A463" s="30"/>
      <c r="B463" s="30"/>
      <c r="C463" s="30"/>
      <c r="D463" s="30"/>
      <c r="E463" s="30"/>
      <c r="F463" s="30"/>
      <c r="G463" s="30"/>
      <c r="H463" s="30"/>
      <c r="I463" s="30"/>
      <c r="J463" s="30"/>
      <c r="K463" s="31"/>
      <c r="L463" s="30"/>
      <c r="M463" s="30"/>
      <c r="N463" s="30"/>
      <c r="O463" s="30"/>
      <c r="P463" s="30"/>
      <c r="Q463" s="30"/>
      <c r="R463" s="30"/>
      <c r="S463" s="30"/>
      <c r="T463" s="30"/>
      <c r="U463" s="30"/>
      <c r="V463" s="30"/>
      <c r="W463" s="30"/>
      <c r="X463" s="30"/>
    </row>
    <row r="464">
      <c r="A464" s="30"/>
      <c r="B464" s="30"/>
      <c r="C464" s="30"/>
      <c r="D464" s="30"/>
      <c r="E464" s="30"/>
      <c r="F464" s="30"/>
      <c r="G464" s="30"/>
      <c r="H464" s="30"/>
      <c r="I464" s="30"/>
      <c r="J464" s="30"/>
      <c r="K464" s="31"/>
      <c r="L464" s="30"/>
      <c r="M464" s="30"/>
      <c r="N464" s="30"/>
      <c r="O464" s="30"/>
      <c r="P464" s="30"/>
      <c r="Q464" s="30"/>
      <c r="R464" s="30"/>
      <c r="S464" s="30"/>
      <c r="T464" s="30"/>
      <c r="U464" s="30"/>
      <c r="V464" s="30"/>
      <c r="W464" s="30"/>
      <c r="X464" s="30"/>
    </row>
    <row r="465">
      <c r="A465" s="30"/>
      <c r="B465" s="30"/>
      <c r="C465" s="30"/>
      <c r="D465" s="30"/>
      <c r="E465" s="30"/>
      <c r="F465" s="30"/>
      <c r="G465" s="30"/>
      <c r="H465" s="30"/>
      <c r="I465" s="30"/>
      <c r="J465" s="30"/>
      <c r="K465" s="31"/>
      <c r="L465" s="30"/>
      <c r="M465" s="30"/>
      <c r="N465" s="30"/>
      <c r="O465" s="30"/>
      <c r="P465" s="30"/>
      <c r="Q465" s="30"/>
      <c r="R465" s="30"/>
      <c r="S465" s="30"/>
      <c r="T465" s="30"/>
      <c r="U465" s="30"/>
      <c r="V465" s="30"/>
      <c r="W465" s="30"/>
      <c r="X465" s="30"/>
    </row>
    <row r="466">
      <c r="A466" s="30"/>
      <c r="B466" s="30"/>
      <c r="C466" s="30"/>
      <c r="D466" s="30"/>
      <c r="E466" s="30"/>
      <c r="F466" s="30"/>
      <c r="G466" s="30"/>
      <c r="H466" s="30"/>
      <c r="I466" s="30"/>
      <c r="J466" s="30"/>
      <c r="K466" s="31"/>
      <c r="L466" s="30"/>
      <c r="M466" s="30"/>
      <c r="N466" s="30"/>
      <c r="O466" s="30"/>
      <c r="P466" s="30"/>
      <c r="Q466" s="30"/>
      <c r="R466" s="30"/>
      <c r="S466" s="30"/>
      <c r="T466" s="30"/>
      <c r="U466" s="30"/>
      <c r="V466" s="30"/>
      <c r="W466" s="30"/>
      <c r="X466" s="30"/>
    </row>
    <row r="467">
      <c r="A467" s="30"/>
      <c r="B467" s="30"/>
      <c r="C467" s="30"/>
      <c r="D467" s="30"/>
      <c r="E467" s="30"/>
      <c r="F467" s="30"/>
      <c r="G467" s="30"/>
      <c r="H467" s="30"/>
      <c r="I467" s="30"/>
      <c r="J467" s="30"/>
      <c r="K467" s="31"/>
      <c r="L467" s="30"/>
      <c r="M467" s="30"/>
      <c r="N467" s="30"/>
      <c r="O467" s="30"/>
      <c r="P467" s="30"/>
      <c r="Q467" s="30"/>
      <c r="R467" s="30"/>
      <c r="S467" s="30"/>
      <c r="T467" s="30"/>
      <c r="U467" s="30"/>
      <c r="V467" s="30"/>
      <c r="W467" s="30"/>
      <c r="X467" s="30"/>
    </row>
    <row r="468">
      <c r="A468" s="30"/>
      <c r="B468" s="30"/>
      <c r="C468" s="30"/>
      <c r="D468" s="30"/>
      <c r="E468" s="30"/>
      <c r="F468" s="30"/>
      <c r="G468" s="30"/>
      <c r="H468" s="30"/>
      <c r="I468" s="30"/>
      <c r="J468" s="30"/>
      <c r="K468" s="31"/>
      <c r="L468" s="30"/>
      <c r="M468" s="30"/>
      <c r="N468" s="30"/>
      <c r="O468" s="30"/>
      <c r="P468" s="30"/>
      <c r="Q468" s="30"/>
      <c r="R468" s="30"/>
      <c r="S468" s="30"/>
      <c r="T468" s="30"/>
      <c r="U468" s="30"/>
      <c r="V468" s="30"/>
      <c r="W468" s="30"/>
      <c r="X468" s="30"/>
    </row>
    <row r="469">
      <c r="A469" s="30"/>
      <c r="B469" s="30"/>
      <c r="C469" s="30"/>
      <c r="D469" s="30"/>
      <c r="E469" s="30"/>
      <c r="F469" s="30"/>
      <c r="G469" s="30"/>
      <c r="H469" s="30"/>
      <c r="I469" s="30"/>
      <c r="J469" s="30"/>
      <c r="K469" s="31"/>
      <c r="L469" s="30"/>
      <c r="M469" s="30"/>
      <c r="N469" s="30"/>
      <c r="O469" s="30"/>
      <c r="P469" s="30"/>
      <c r="Q469" s="30"/>
      <c r="R469" s="30"/>
      <c r="S469" s="30"/>
      <c r="T469" s="30"/>
      <c r="U469" s="30"/>
      <c r="V469" s="30"/>
      <c r="W469" s="30"/>
      <c r="X469" s="30"/>
    </row>
    <row r="470">
      <c r="A470" s="30"/>
      <c r="B470" s="30"/>
      <c r="C470" s="30"/>
      <c r="D470" s="30"/>
      <c r="E470" s="30"/>
      <c r="F470" s="30"/>
      <c r="G470" s="30"/>
      <c r="H470" s="30"/>
      <c r="I470" s="30"/>
      <c r="J470" s="30"/>
      <c r="K470" s="31"/>
      <c r="L470" s="30"/>
      <c r="M470" s="30"/>
      <c r="N470" s="30"/>
      <c r="O470" s="30"/>
      <c r="P470" s="30"/>
      <c r="Q470" s="30"/>
      <c r="R470" s="30"/>
      <c r="S470" s="30"/>
      <c r="T470" s="30"/>
      <c r="U470" s="30"/>
      <c r="V470" s="30"/>
      <c r="W470" s="30"/>
      <c r="X470" s="30"/>
    </row>
    <row r="471">
      <c r="A471" s="30"/>
      <c r="B471" s="30"/>
      <c r="C471" s="30"/>
      <c r="D471" s="30"/>
      <c r="E471" s="30"/>
      <c r="F471" s="30"/>
      <c r="G471" s="30"/>
      <c r="H471" s="30"/>
      <c r="I471" s="30"/>
      <c r="J471" s="30"/>
      <c r="K471" s="31"/>
      <c r="L471" s="30"/>
      <c r="M471" s="30"/>
      <c r="N471" s="30"/>
      <c r="O471" s="30"/>
      <c r="P471" s="30"/>
      <c r="Q471" s="30"/>
      <c r="R471" s="30"/>
      <c r="S471" s="30"/>
      <c r="T471" s="30"/>
      <c r="U471" s="30"/>
      <c r="V471" s="30"/>
      <c r="W471" s="30"/>
      <c r="X471" s="30"/>
    </row>
    <row r="472">
      <c r="A472" s="30"/>
      <c r="B472" s="30"/>
      <c r="C472" s="30"/>
      <c r="D472" s="30"/>
      <c r="E472" s="30"/>
      <c r="F472" s="30"/>
      <c r="G472" s="30"/>
      <c r="H472" s="30"/>
      <c r="I472" s="30"/>
      <c r="J472" s="30"/>
      <c r="K472" s="31"/>
      <c r="L472" s="30"/>
      <c r="M472" s="30"/>
      <c r="N472" s="30"/>
      <c r="O472" s="30"/>
      <c r="P472" s="30"/>
      <c r="Q472" s="30"/>
      <c r="R472" s="30"/>
      <c r="S472" s="30"/>
      <c r="T472" s="30"/>
      <c r="U472" s="30"/>
      <c r="V472" s="30"/>
      <c r="W472" s="30"/>
      <c r="X472" s="30"/>
    </row>
    <row r="473">
      <c r="A473" s="30"/>
      <c r="B473" s="30"/>
      <c r="C473" s="30"/>
      <c r="D473" s="30"/>
      <c r="E473" s="30"/>
      <c r="F473" s="30"/>
      <c r="G473" s="30"/>
      <c r="H473" s="30"/>
      <c r="I473" s="30"/>
      <c r="J473" s="30"/>
      <c r="K473" s="31"/>
      <c r="L473" s="30"/>
      <c r="M473" s="30"/>
      <c r="N473" s="30"/>
      <c r="O473" s="30"/>
      <c r="P473" s="30"/>
      <c r="Q473" s="30"/>
      <c r="R473" s="30"/>
      <c r="S473" s="30"/>
      <c r="T473" s="30"/>
      <c r="U473" s="30"/>
      <c r="V473" s="30"/>
      <c r="W473" s="30"/>
      <c r="X473" s="30"/>
    </row>
    <row r="474">
      <c r="A474" s="30"/>
      <c r="B474" s="30"/>
      <c r="C474" s="30"/>
      <c r="D474" s="30"/>
      <c r="E474" s="30"/>
      <c r="F474" s="30"/>
      <c r="G474" s="30"/>
      <c r="H474" s="30"/>
      <c r="I474" s="30"/>
      <c r="J474" s="30"/>
      <c r="K474" s="31"/>
      <c r="L474" s="30"/>
      <c r="M474" s="30"/>
      <c r="N474" s="30"/>
      <c r="O474" s="30"/>
      <c r="P474" s="30"/>
      <c r="Q474" s="30"/>
      <c r="R474" s="30"/>
      <c r="S474" s="30"/>
      <c r="T474" s="30"/>
      <c r="U474" s="30"/>
      <c r="V474" s="30"/>
      <c r="W474" s="30"/>
      <c r="X474" s="30"/>
    </row>
    <row r="475">
      <c r="A475" s="30"/>
      <c r="B475" s="30"/>
      <c r="C475" s="30"/>
      <c r="D475" s="30"/>
      <c r="E475" s="30"/>
      <c r="F475" s="30"/>
      <c r="G475" s="30"/>
      <c r="H475" s="30"/>
      <c r="I475" s="30"/>
      <c r="J475" s="30"/>
      <c r="K475" s="31"/>
      <c r="L475" s="30"/>
      <c r="M475" s="30"/>
      <c r="N475" s="30"/>
      <c r="O475" s="30"/>
      <c r="P475" s="30"/>
      <c r="Q475" s="30"/>
      <c r="R475" s="30"/>
      <c r="S475" s="30"/>
      <c r="T475" s="30"/>
      <c r="U475" s="30"/>
      <c r="V475" s="30"/>
      <c r="W475" s="30"/>
      <c r="X475" s="30"/>
    </row>
    <row r="476">
      <c r="A476" s="30"/>
      <c r="B476" s="30"/>
      <c r="C476" s="30"/>
      <c r="D476" s="30"/>
      <c r="E476" s="30"/>
      <c r="F476" s="30"/>
      <c r="G476" s="30"/>
      <c r="H476" s="30"/>
      <c r="I476" s="30"/>
      <c r="J476" s="30"/>
      <c r="K476" s="31"/>
      <c r="L476" s="30"/>
      <c r="M476" s="30"/>
      <c r="N476" s="30"/>
      <c r="O476" s="30"/>
      <c r="P476" s="30"/>
      <c r="Q476" s="30"/>
      <c r="R476" s="30"/>
      <c r="S476" s="30"/>
      <c r="T476" s="30"/>
      <c r="U476" s="30"/>
      <c r="V476" s="30"/>
      <c r="W476" s="30"/>
      <c r="X476" s="30"/>
    </row>
    <row r="477">
      <c r="A477" s="30"/>
      <c r="B477" s="30"/>
      <c r="C477" s="30"/>
      <c r="D477" s="30"/>
      <c r="E477" s="30"/>
      <c r="F477" s="30"/>
      <c r="G477" s="30"/>
      <c r="H477" s="30"/>
      <c r="I477" s="30"/>
      <c r="J477" s="30"/>
      <c r="K477" s="31"/>
      <c r="L477" s="30"/>
      <c r="M477" s="30"/>
      <c r="N477" s="30"/>
      <c r="O477" s="30"/>
      <c r="P477" s="30"/>
      <c r="Q477" s="30"/>
      <c r="R477" s="30"/>
      <c r="S477" s="30"/>
      <c r="T477" s="30"/>
      <c r="U477" s="30"/>
      <c r="V477" s="30"/>
      <c r="W477" s="30"/>
      <c r="X477" s="30"/>
    </row>
    <row r="478">
      <c r="A478" s="30"/>
      <c r="B478" s="30"/>
      <c r="C478" s="30"/>
      <c r="D478" s="30"/>
      <c r="E478" s="30"/>
      <c r="F478" s="30"/>
      <c r="G478" s="30"/>
      <c r="H478" s="30"/>
      <c r="I478" s="30"/>
      <c r="J478" s="30"/>
      <c r="K478" s="31"/>
      <c r="L478" s="30"/>
      <c r="M478" s="30"/>
      <c r="N478" s="30"/>
      <c r="O478" s="30"/>
      <c r="P478" s="30"/>
      <c r="Q478" s="30"/>
      <c r="R478" s="30"/>
      <c r="S478" s="30"/>
      <c r="T478" s="30"/>
      <c r="U478" s="30"/>
      <c r="V478" s="30"/>
      <c r="W478" s="30"/>
      <c r="X478" s="30"/>
    </row>
    <row r="479">
      <c r="A479" s="30"/>
      <c r="B479" s="30"/>
      <c r="C479" s="30"/>
      <c r="D479" s="30"/>
      <c r="E479" s="30"/>
      <c r="F479" s="30"/>
      <c r="G479" s="30"/>
      <c r="H479" s="30"/>
      <c r="I479" s="30"/>
      <c r="J479" s="30"/>
      <c r="K479" s="31"/>
      <c r="L479" s="30"/>
      <c r="M479" s="30"/>
      <c r="N479" s="30"/>
      <c r="O479" s="30"/>
      <c r="P479" s="30"/>
      <c r="Q479" s="30"/>
      <c r="R479" s="30"/>
      <c r="S479" s="30"/>
      <c r="T479" s="30"/>
      <c r="U479" s="30"/>
      <c r="V479" s="30"/>
      <c r="W479" s="30"/>
      <c r="X479" s="30"/>
    </row>
    <row r="480">
      <c r="A480" s="30"/>
      <c r="B480" s="30"/>
      <c r="C480" s="30"/>
      <c r="D480" s="30"/>
      <c r="E480" s="30"/>
      <c r="F480" s="30"/>
      <c r="G480" s="30"/>
      <c r="H480" s="30"/>
      <c r="I480" s="30"/>
      <c r="J480" s="30"/>
      <c r="K480" s="31"/>
      <c r="L480" s="30"/>
      <c r="M480" s="30"/>
      <c r="N480" s="30"/>
      <c r="O480" s="30"/>
      <c r="P480" s="30"/>
      <c r="Q480" s="30"/>
      <c r="R480" s="30"/>
      <c r="S480" s="30"/>
      <c r="T480" s="30"/>
      <c r="U480" s="30"/>
      <c r="V480" s="30"/>
      <c r="W480" s="30"/>
      <c r="X480" s="30"/>
    </row>
    <row r="481">
      <c r="A481" s="30"/>
      <c r="B481" s="30"/>
      <c r="C481" s="30"/>
      <c r="D481" s="30"/>
      <c r="E481" s="30"/>
      <c r="F481" s="30"/>
      <c r="G481" s="30"/>
      <c r="H481" s="30"/>
      <c r="I481" s="30"/>
      <c r="J481" s="30"/>
      <c r="K481" s="31"/>
      <c r="L481" s="30"/>
      <c r="M481" s="30"/>
      <c r="N481" s="30"/>
      <c r="O481" s="30"/>
      <c r="P481" s="30"/>
      <c r="Q481" s="30"/>
      <c r="R481" s="30"/>
      <c r="S481" s="30"/>
      <c r="T481" s="30"/>
      <c r="U481" s="30"/>
      <c r="V481" s="30"/>
      <c r="W481" s="30"/>
      <c r="X481" s="30"/>
    </row>
    <row r="482">
      <c r="A482" s="30"/>
      <c r="B482" s="30"/>
      <c r="C482" s="30"/>
      <c r="D482" s="30"/>
      <c r="E482" s="30"/>
      <c r="F482" s="30"/>
      <c r="G482" s="30"/>
      <c r="H482" s="30"/>
      <c r="I482" s="30"/>
      <c r="J482" s="30"/>
      <c r="K482" s="31"/>
      <c r="L482" s="30"/>
      <c r="M482" s="30"/>
      <c r="N482" s="30"/>
      <c r="O482" s="30"/>
      <c r="P482" s="30"/>
      <c r="Q482" s="30"/>
      <c r="R482" s="30"/>
      <c r="S482" s="30"/>
      <c r="T482" s="30"/>
      <c r="U482" s="30"/>
      <c r="V482" s="30"/>
      <c r="W482" s="30"/>
      <c r="X482" s="30"/>
    </row>
    <row r="483">
      <c r="A483" s="30"/>
      <c r="B483" s="30"/>
      <c r="C483" s="30"/>
      <c r="D483" s="30"/>
      <c r="E483" s="30"/>
      <c r="F483" s="30"/>
      <c r="G483" s="30"/>
      <c r="H483" s="30"/>
      <c r="I483" s="30"/>
      <c r="J483" s="30"/>
      <c r="K483" s="31"/>
      <c r="L483" s="30"/>
      <c r="M483" s="30"/>
      <c r="N483" s="30"/>
      <c r="O483" s="30"/>
      <c r="P483" s="30"/>
      <c r="Q483" s="30"/>
      <c r="R483" s="30"/>
      <c r="S483" s="30"/>
      <c r="T483" s="30"/>
      <c r="U483" s="30"/>
      <c r="V483" s="30"/>
      <c r="W483" s="30"/>
      <c r="X483" s="30"/>
    </row>
    <row r="484">
      <c r="A484" s="30"/>
      <c r="B484" s="30"/>
      <c r="C484" s="30"/>
      <c r="D484" s="30"/>
      <c r="E484" s="30"/>
      <c r="F484" s="30"/>
      <c r="G484" s="30"/>
      <c r="H484" s="30"/>
      <c r="I484" s="30"/>
      <c r="J484" s="30"/>
      <c r="K484" s="31"/>
      <c r="L484" s="30"/>
      <c r="M484" s="30"/>
      <c r="N484" s="30"/>
      <c r="O484" s="30"/>
      <c r="P484" s="30"/>
      <c r="Q484" s="30"/>
      <c r="R484" s="30"/>
      <c r="S484" s="30"/>
      <c r="T484" s="30"/>
      <c r="U484" s="30"/>
      <c r="V484" s="30"/>
      <c r="W484" s="30"/>
      <c r="X484" s="30"/>
    </row>
    <row r="485">
      <c r="A485" s="30"/>
      <c r="B485" s="30"/>
      <c r="C485" s="30"/>
      <c r="D485" s="30"/>
      <c r="E485" s="30"/>
      <c r="F485" s="30"/>
      <c r="G485" s="30"/>
      <c r="H485" s="30"/>
      <c r="I485" s="30"/>
      <c r="J485" s="30"/>
      <c r="K485" s="31"/>
      <c r="L485" s="30"/>
      <c r="M485" s="30"/>
      <c r="N485" s="30"/>
      <c r="O485" s="30"/>
      <c r="P485" s="30"/>
      <c r="Q485" s="30"/>
      <c r="R485" s="30"/>
      <c r="S485" s="30"/>
      <c r="T485" s="30"/>
      <c r="U485" s="30"/>
      <c r="V485" s="30"/>
      <c r="W485" s="30"/>
      <c r="X485" s="30"/>
    </row>
    <row r="486">
      <c r="A486" s="30"/>
      <c r="B486" s="30"/>
      <c r="C486" s="30"/>
      <c r="D486" s="30"/>
      <c r="E486" s="30"/>
      <c r="F486" s="30"/>
      <c r="G486" s="30"/>
      <c r="H486" s="30"/>
      <c r="I486" s="30"/>
      <c r="J486" s="30"/>
      <c r="K486" s="31"/>
      <c r="L486" s="30"/>
      <c r="M486" s="30"/>
      <c r="N486" s="30"/>
      <c r="O486" s="30"/>
      <c r="P486" s="30"/>
      <c r="Q486" s="30"/>
      <c r="R486" s="30"/>
      <c r="S486" s="30"/>
      <c r="T486" s="30"/>
      <c r="U486" s="30"/>
      <c r="V486" s="30"/>
      <c r="W486" s="30"/>
      <c r="X486" s="30"/>
    </row>
    <row r="487">
      <c r="A487" s="30"/>
      <c r="B487" s="30"/>
      <c r="C487" s="30"/>
      <c r="D487" s="30"/>
      <c r="E487" s="30"/>
      <c r="F487" s="30"/>
      <c r="G487" s="30"/>
      <c r="H487" s="30"/>
      <c r="I487" s="30"/>
      <c r="J487" s="30"/>
      <c r="K487" s="31"/>
      <c r="L487" s="30"/>
      <c r="M487" s="30"/>
      <c r="N487" s="30"/>
      <c r="O487" s="30"/>
      <c r="P487" s="30"/>
      <c r="Q487" s="30"/>
      <c r="R487" s="30"/>
      <c r="S487" s="30"/>
      <c r="T487" s="30"/>
      <c r="U487" s="30"/>
      <c r="V487" s="30"/>
      <c r="W487" s="30"/>
      <c r="X487" s="30"/>
    </row>
    <row r="488">
      <c r="A488" s="30"/>
      <c r="B488" s="30"/>
      <c r="C488" s="30"/>
      <c r="D488" s="30"/>
      <c r="E488" s="30"/>
      <c r="F488" s="30"/>
      <c r="G488" s="30"/>
      <c r="H488" s="30"/>
      <c r="I488" s="30"/>
      <c r="J488" s="30"/>
      <c r="K488" s="31"/>
      <c r="L488" s="30"/>
      <c r="M488" s="30"/>
      <c r="N488" s="30"/>
      <c r="O488" s="30"/>
      <c r="P488" s="30"/>
      <c r="Q488" s="30"/>
      <c r="R488" s="30"/>
      <c r="S488" s="30"/>
      <c r="T488" s="30"/>
      <c r="U488" s="30"/>
      <c r="V488" s="30"/>
      <c r="W488" s="30"/>
      <c r="X488" s="30"/>
    </row>
    <row r="489">
      <c r="A489" s="30"/>
      <c r="B489" s="30"/>
      <c r="C489" s="30"/>
      <c r="D489" s="30"/>
      <c r="E489" s="30"/>
      <c r="F489" s="30"/>
      <c r="G489" s="30"/>
      <c r="H489" s="30"/>
      <c r="I489" s="30"/>
      <c r="J489" s="30"/>
      <c r="K489" s="31"/>
      <c r="L489" s="30"/>
      <c r="M489" s="30"/>
      <c r="N489" s="30"/>
      <c r="O489" s="30"/>
      <c r="P489" s="30"/>
      <c r="Q489" s="30"/>
      <c r="R489" s="30"/>
      <c r="S489" s="30"/>
      <c r="T489" s="30"/>
      <c r="U489" s="30"/>
      <c r="V489" s="30"/>
      <c r="W489" s="30"/>
      <c r="X489" s="30"/>
    </row>
    <row r="490">
      <c r="A490" s="30"/>
      <c r="B490" s="30"/>
      <c r="C490" s="30"/>
      <c r="D490" s="30"/>
      <c r="E490" s="30"/>
      <c r="F490" s="30"/>
      <c r="G490" s="30"/>
      <c r="H490" s="30"/>
      <c r="I490" s="30"/>
      <c r="J490" s="30"/>
      <c r="K490" s="35"/>
      <c r="L490" s="30"/>
      <c r="M490" s="30"/>
      <c r="N490" s="30"/>
      <c r="O490" s="30"/>
      <c r="P490" s="30"/>
      <c r="Q490" s="30"/>
      <c r="R490" s="30"/>
      <c r="S490" s="30"/>
      <c r="T490" s="30"/>
      <c r="U490" s="30"/>
      <c r="V490" s="30"/>
      <c r="W490" s="30"/>
      <c r="X490" s="30"/>
    </row>
    <row r="491">
      <c r="A491" s="30"/>
      <c r="B491" s="30"/>
      <c r="C491" s="30"/>
      <c r="D491" s="30"/>
      <c r="E491" s="30"/>
      <c r="F491" s="30"/>
      <c r="G491" s="30"/>
      <c r="H491" s="30"/>
      <c r="I491" s="30"/>
      <c r="J491" s="30"/>
      <c r="K491" s="31"/>
      <c r="L491" s="30"/>
      <c r="M491" s="30"/>
      <c r="N491" s="30"/>
      <c r="O491" s="30"/>
      <c r="P491" s="30"/>
      <c r="Q491" s="30"/>
      <c r="R491" s="30"/>
      <c r="S491" s="30"/>
      <c r="T491" s="30"/>
      <c r="U491" s="30"/>
      <c r="V491" s="30"/>
      <c r="W491" s="30"/>
      <c r="X491" s="30"/>
    </row>
    <row r="492">
      <c r="A492" s="30"/>
      <c r="B492" s="30"/>
      <c r="C492" s="30"/>
      <c r="D492" s="30"/>
      <c r="E492" s="30"/>
      <c r="F492" s="30"/>
      <c r="G492" s="30"/>
      <c r="H492" s="30"/>
      <c r="I492" s="30"/>
      <c r="J492" s="30"/>
      <c r="K492" s="31"/>
      <c r="L492" s="30"/>
      <c r="M492" s="30"/>
      <c r="N492" s="30"/>
      <c r="O492" s="30"/>
      <c r="P492" s="30"/>
      <c r="Q492" s="30"/>
      <c r="R492" s="30"/>
      <c r="S492" s="30"/>
      <c r="T492" s="30"/>
      <c r="U492" s="30"/>
      <c r="V492" s="30"/>
      <c r="W492" s="30"/>
      <c r="X492" s="30"/>
    </row>
    <row r="493">
      <c r="A493" s="30"/>
      <c r="B493" s="30"/>
      <c r="C493" s="30"/>
      <c r="D493" s="30"/>
      <c r="E493" s="30"/>
      <c r="F493" s="30"/>
      <c r="G493" s="30"/>
      <c r="H493" s="30"/>
      <c r="I493" s="30"/>
      <c r="J493" s="30"/>
      <c r="K493" s="31"/>
      <c r="L493" s="30"/>
      <c r="M493" s="30"/>
      <c r="N493" s="30"/>
      <c r="O493" s="30"/>
      <c r="P493" s="30"/>
      <c r="Q493" s="30"/>
      <c r="R493" s="30"/>
      <c r="S493" s="30"/>
      <c r="T493" s="30"/>
      <c r="U493" s="30"/>
      <c r="V493" s="30"/>
      <c r="W493" s="30"/>
      <c r="X493" s="30"/>
    </row>
    <row r="494">
      <c r="A494" s="30"/>
      <c r="B494" s="30"/>
      <c r="C494" s="30"/>
      <c r="D494" s="30"/>
      <c r="E494" s="30"/>
      <c r="F494" s="30"/>
      <c r="G494" s="30"/>
      <c r="H494" s="30"/>
      <c r="I494" s="30"/>
      <c r="J494" s="30"/>
      <c r="K494" s="31"/>
      <c r="L494" s="30"/>
      <c r="M494" s="30"/>
      <c r="N494" s="30"/>
      <c r="O494" s="30"/>
      <c r="P494" s="30"/>
      <c r="Q494" s="30"/>
      <c r="R494" s="30"/>
      <c r="S494" s="30"/>
      <c r="T494" s="30"/>
      <c r="U494" s="30"/>
      <c r="V494" s="30"/>
      <c r="W494" s="30"/>
      <c r="X494" s="30"/>
    </row>
    <row r="495">
      <c r="A495" s="30"/>
      <c r="B495" s="30"/>
      <c r="C495" s="30"/>
      <c r="D495" s="30"/>
      <c r="E495" s="30"/>
      <c r="F495" s="30"/>
      <c r="G495" s="30"/>
      <c r="H495" s="30"/>
      <c r="I495" s="30"/>
      <c r="J495" s="30"/>
      <c r="K495" s="31"/>
      <c r="L495" s="30"/>
      <c r="M495" s="30"/>
      <c r="N495" s="30"/>
      <c r="O495" s="30"/>
      <c r="P495" s="30"/>
      <c r="Q495" s="30"/>
      <c r="R495" s="30"/>
      <c r="S495" s="30"/>
      <c r="T495" s="30"/>
      <c r="U495" s="30"/>
      <c r="V495" s="30"/>
      <c r="W495" s="30"/>
      <c r="X495" s="30"/>
    </row>
    <row r="496">
      <c r="A496" s="30"/>
      <c r="B496" s="30"/>
      <c r="C496" s="30"/>
      <c r="D496" s="30"/>
      <c r="E496" s="30"/>
      <c r="F496" s="30"/>
      <c r="G496" s="30"/>
      <c r="H496" s="30"/>
      <c r="I496" s="30"/>
      <c r="J496" s="30"/>
      <c r="K496" s="31"/>
      <c r="L496" s="30"/>
      <c r="M496" s="30"/>
      <c r="N496" s="30"/>
      <c r="O496" s="30"/>
      <c r="P496" s="30"/>
      <c r="Q496" s="30"/>
      <c r="R496" s="30"/>
      <c r="S496" s="30"/>
      <c r="T496" s="30"/>
      <c r="U496" s="30"/>
      <c r="V496" s="30"/>
      <c r="W496" s="30"/>
      <c r="X496" s="30"/>
    </row>
    <row r="497">
      <c r="A497" s="30"/>
      <c r="B497" s="30"/>
      <c r="C497" s="30"/>
      <c r="D497" s="30"/>
      <c r="E497" s="30"/>
      <c r="F497" s="30"/>
      <c r="G497" s="30"/>
      <c r="H497" s="30"/>
      <c r="I497" s="30"/>
      <c r="J497" s="30"/>
      <c r="K497" s="31"/>
      <c r="L497" s="30"/>
      <c r="M497" s="30"/>
      <c r="N497" s="30"/>
      <c r="O497" s="30"/>
      <c r="P497" s="30"/>
      <c r="Q497" s="30"/>
      <c r="R497" s="30"/>
      <c r="S497" s="30"/>
      <c r="T497" s="30"/>
      <c r="U497" s="30"/>
      <c r="V497" s="30"/>
      <c r="W497" s="30"/>
      <c r="X497" s="30"/>
    </row>
    <row r="498">
      <c r="A498" s="30"/>
      <c r="B498" s="30"/>
      <c r="C498" s="30"/>
      <c r="D498" s="30"/>
      <c r="E498" s="30"/>
      <c r="F498" s="30"/>
      <c r="G498" s="30"/>
      <c r="H498" s="30"/>
      <c r="I498" s="30"/>
      <c r="J498" s="30"/>
      <c r="K498" s="31"/>
      <c r="L498" s="30"/>
      <c r="M498" s="30"/>
      <c r="N498" s="30"/>
      <c r="O498" s="30"/>
      <c r="P498" s="30"/>
      <c r="Q498" s="30"/>
      <c r="R498" s="30"/>
      <c r="S498" s="30"/>
      <c r="T498" s="30"/>
      <c r="U498" s="30"/>
      <c r="V498" s="30"/>
      <c r="W498" s="30"/>
      <c r="X498" s="30"/>
    </row>
    <row r="499">
      <c r="A499" s="30"/>
      <c r="B499" s="30"/>
      <c r="C499" s="30"/>
      <c r="D499" s="30"/>
      <c r="E499" s="30"/>
      <c r="F499" s="30"/>
      <c r="G499" s="30"/>
      <c r="H499" s="30"/>
      <c r="I499" s="30"/>
      <c r="J499" s="30"/>
      <c r="K499" s="31"/>
      <c r="L499" s="30"/>
      <c r="M499" s="30"/>
      <c r="N499" s="30"/>
      <c r="O499" s="30"/>
      <c r="P499" s="30"/>
      <c r="Q499" s="30"/>
      <c r="R499" s="30"/>
      <c r="S499" s="30"/>
      <c r="T499" s="30"/>
      <c r="U499" s="30"/>
      <c r="V499" s="30"/>
      <c r="W499" s="30"/>
      <c r="X499" s="30"/>
    </row>
    <row r="500">
      <c r="A500" s="30"/>
      <c r="B500" s="30"/>
      <c r="C500" s="30"/>
      <c r="D500" s="30"/>
      <c r="E500" s="30"/>
      <c r="F500" s="30"/>
      <c r="G500" s="30"/>
      <c r="H500" s="30"/>
      <c r="I500" s="30"/>
      <c r="J500" s="30"/>
      <c r="K500" s="31"/>
      <c r="L500" s="30"/>
      <c r="M500" s="30"/>
      <c r="N500" s="30"/>
      <c r="O500" s="30"/>
      <c r="P500" s="30"/>
      <c r="Q500" s="30"/>
      <c r="R500" s="30"/>
      <c r="S500" s="30"/>
      <c r="T500" s="30"/>
      <c r="U500" s="30"/>
      <c r="V500" s="30"/>
      <c r="W500" s="30"/>
      <c r="X500" s="30"/>
    </row>
    <row r="501">
      <c r="A501" s="30"/>
      <c r="B501" s="30"/>
      <c r="C501" s="30"/>
      <c r="D501" s="30"/>
      <c r="E501" s="30"/>
      <c r="F501" s="30"/>
      <c r="G501" s="30"/>
      <c r="H501" s="30"/>
      <c r="I501" s="30"/>
      <c r="J501" s="30"/>
      <c r="K501" s="31"/>
      <c r="L501" s="30"/>
      <c r="M501" s="30"/>
      <c r="N501" s="30"/>
      <c r="O501" s="30"/>
      <c r="P501" s="30"/>
      <c r="Q501" s="30"/>
      <c r="R501" s="30"/>
      <c r="S501" s="30"/>
      <c r="T501" s="30"/>
      <c r="U501" s="30"/>
      <c r="V501" s="30"/>
      <c r="W501" s="30"/>
      <c r="X501" s="30"/>
    </row>
    <row r="502">
      <c r="A502" s="30"/>
      <c r="B502" s="30"/>
      <c r="C502" s="30"/>
      <c r="D502" s="30"/>
      <c r="E502" s="30"/>
      <c r="F502" s="30"/>
      <c r="G502" s="30"/>
      <c r="H502" s="30"/>
      <c r="I502" s="30"/>
      <c r="J502" s="30"/>
      <c r="K502" s="31"/>
      <c r="L502" s="30"/>
      <c r="M502" s="30"/>
      <c r="N502" s="30"/>
      <c r="O502" s="30"/>
      <c r="P502" s="30"/>
      <c r="Q502" s="30"/>
      <c r="R502" s="30"/>
      <c r="S502" s="30"/>
      <c r="T502" s="30"/>
      <c r="U502" s="30"/>
      <c r="V502" s="30"/>
      <c r="W502" s="30"/>
      <c r="X502" s="30"/>
    </row>
    <row r="503">
      <c r="A503" s="30"/>
      <c r="B503" s="30"/>
      <c r="C503" s="30"/>
      <c r="D503" s="30"/>
      <c r="E503" s="30"/>
      <c r="F503" s="30"/>
      <c r="G503" s="30"/>
      <c r="H503" s="30"/>
      <c r="I503" s="30"/>
      <c r="J503" s="30"/>
      <c r="K503" s="31"/>
      <c r="L503" s="30"/>
      <c r="M503" s="30"/>
      <c r="N503" s="30"/>
      <c r="O503" s="30"/>
      <c r="P503" s="30"/>
      <c r="Q503" s="30"/>
      <c r="R503" s="30"/>
      <c r="S503" s="30"/>
      <c r="T503" s="30"/>
      <c r="U503" s="30"/>
      <c r="V503" s="30"/>
      <c r="W503" s="30"/>
      <c r="X503" s="30"/>
    </row>
    <row r="504">
      <c r="A504" s="30"/>
      <c r="B504" s="30"/>
      <c r="C504" s="30"/>
      <c r="D504" s="30"/>
      <c r="E504" s="30"/>
      <c r="F504" s="30"/>
      <c r="G504" s="30"/>
      <c r="H504" s="30"/>
      <c r="I504" s="30"/>
      <c r="J504" s="30"/>
      <c r="K504" s="31"/>
      <c r="L504" s="30"/>
      <c r="M504" s="30"/>
      <c r="N504" s="30"/>
      <c r="O504" s="30"/>
      <c r="P504" s="30"/>
      <c r="Q504" s="30"/>
      <c r="R504" s="30"/>
      <c r="S504" s="30"/>
      <c r="T504" s="30"/>
      <c r="U504" s="30"/>
      <c r="V504" s="30"/>
      <c r="W504" s="30"/>
      <c r="X504" s="30"/>
    </row>
    <row r="505">
      <c r="A505" s="30"/>
      <c r="B505" s="30"/>
      <c r="C505" s="30"/>
      <c r="D505" s="30"/>
      <c r="E505" s="30"/>
      <c r="F505" s="30"/>
      <c r="G505" s="30"/>
      <c r="H505" s="30"/>
      <c r="I505" s="30"/>
      <c r="J505" s="30"/>
      <c r="K505" s="31"/>
      <c r="L505" s="30"/>
      <c r="M505" s="30"/>
      <c r="N505" s="30"/>
      <c r="O505" s="30"/>
      <c r="P505" s="30"/>
      <c r="Q505" s="30"/>
      <c r="R505" s="30"/>
      <c r="S505" s="30"/>
      <c r="T505" s="30"/>
      <c r="U505" s="30"/>
      <c r="V505" s="30"/>
      <c r="W505" s="30"/>
      <c r="X505" s="30"/>
    </row>
    <row r="506">
      <c r="A506" s="30"/>
      <c r="B506" s="30"/>
      <c r="C506" s="30"/>
      <c r="D506" s="30"/>
      <c r="E506" s="30"/>
      <c r="F506" s="30"/>
      <c r="G506" s="30"/>
      <c r="H506" s="30"/>
      <c r="I506" s="30"/>
      <c r="J506" s="30"/>
      <c r="K506" s="31"/>
      <c r="L506" s="30"/>
      <c r="M506" s="30"/>
      <c r="N506" s="30"/>
      <c r="O506" s="30"/>
      <c r="P506" s="30"/>
      <c r="Q506" s="30"/>
      <c r="R506" s="30"/>
      <c r="S506" s="30"/>
      <c r="T506" s="30"/>
      <c r="U506" s="30"/>
      <c r="V506" s="30"/>
      <c r="W506" s="30"/>
      <c r="X506" s="30"/>
    </row>
    <row r="507">
      <c r="A507" s="30"/>
      <c r="B507" s="30"/>
      <c r="C507" s="30"/>
      <c r="D507" s="30"/>
      <c r="E507" s="30"/>
      <c r="F507" s="30"/>
      <c r="G507" s="30"/>
      <c r="H507" s="30"/>
      <c r="I507" s="30"/>
      <c r="J507" s="30"/>
      <c r="K507" s="31"/>
      <c r="L507" s="30"/>
      <c r="M507" s="30"/>
      <c r="N507" s="30"/>
      <c r="O507" s="30"/>
      <c r="P507" s="30"/>
      <c r="Q507" s="30"/>
      <c r="R507" s="30"/>
      <c r="S507" s="30"/>
      <c r="T507" s="30"/>
      <c r="U507" s="30"/>
      <c r="V507" s="30"/>
      <c r="W507" s="30"/>
      <c r="X507" s="30"/>
    </row>
    <row r="508">
      <c r="A508" s="30"/>
      <c r="B508" s="30"/>
      <c r="C508" s="30"/>
      <c r="D508" s="30"/>
      <c r="E508" s="30"/>
      <c r="F508" s="30"/>
      <c r="G508" s="30"/>
      <c r="H508" s="30"/>
      <c r="I508" s="30"/>
      <c r="J508" s="30"/>
      <c r="K508" s="31"/>
      <c r="L508" s="30"/>
      <c r="M508" s="30"/>
      <c r="N508" s="30"/>
      <c r="O508" s="30"/>
      <c r="P508" s="30"/>
      <c r="Q508" s="30"/>
      <c r="R508" s="30"/>
      <c r="S508" s="30"/>
      <c r="T508" s="30"/>
      <c r="U508" s="30"/>
      <c r="V508" s="30"/>
      <c r="W508" s="30"/>
      <c r="X508" s="30"/>
    </row>
    <row r="509">
      <c r="A509" s="30"/>
      <c r="B509" s="30"/>
      <c r="C509" s="30"/>
      <c r="D509" s="30"/>
      <c r="E509" s="30"/>
      <c r="F509" s="30"/>
      <c r="G509" s="30"/>
      <c r="H509" s="30"/>
      <c r="I509" s="30"/>
      <c r="J509" s="30"/>
      <c r="K509" s="31"/>
      <c r="L509" s="30"/>
      <c r="M509" s="30"/>
      <c r="N509" s="30"/>
      <c r="O509" s="30"/>
      <c r="P509" s="30"/>
      <c r="Q509" s="30"/>
      <c r="R509" s="30"/>
      <c r="S509" s="30"/>
      <c r="T509" s="30"/>
      <c r="U509" s="30"/>
      <c r="V509" s="30"/>
      <c r="W509" s="30"/>
      <c r="X509" s="30"/>
    </row>
    <row r="510">
      <c r="A510" s="30"/>
      <c r="B510" s="30"/>
      <c r="C510" s="30"/>
      <c r="D510" s="30"/>
      <c r="E510" s="30"/>
      <c r="F510" s="30"/>
      <c r="G510" s="30"/>
      <c r="H510" s="30"/>
      <c r="I510" s="30"/>
      <c r="J510" s="30"/>
      <c r="K510" s="31"/>
      <c r="L510" s="30"/>
      <c r="M510" s="30"/>
      <c r="N510" s="30"/>
      <c r="O510" s="30"/>
      <c r="P510" s="30"/>
      <c r="Q510" s="30"/>
      <c r="R510" s="30"/>
      <c r="S510" s="30"/>
      <c r="T510" s="30"/>
      <c r="U510" s="30"/>
      <c r="V510" s="30"/>
      <c r="W510" s="30"/>
      <c r="X510" s="30"/>
    </row>
    <row r="511">
      <c r="A511" s="30"/>
      <c r="B511" s="30"/>
      <c r="C511" s="30"/>
      <c r="D511" s="30"/>
      <c r="E511" s="30"/>
      <c r="F511" s="30"/>
      <c r="G511" s="30"/>
      <c r="H511" s="30"/>
      <c r="I511" s="30"/>
      <c r="J511" s="30"/>
      <c r="K511" s="31"/>
      <c r="L511" s="30"/>
      <c r="M511" s="30"/>
      <c r="N511" s="30"/>
      <c r="O511" s="30"/>
      <c r="P511" s="30"/>
      <c r="Q511" s="30"/>
      <c r="R511" s="30"/>
      <c r="S511" s="30"/>
      <c r="T511" s="30"/>
      <c r="U511" s="30"/>
      <c r="V511" s="30"/>
      <c r="W511" s="30"/>
      <c r="X511" s="30"/>
    </row>
    <row r="512">
      <c r="A512" s="30"/>
      <c r="B512" s="30"/>
      <c r="C512" s="30"/>
      <c r="D512" s="30"/>
      <c r="E512" s="30"/>
      <c r="F512" s="30"/>
      <c r="G512" s="30"/>
      <c r="H512" s="30"/>
      <c r="I512" s="30"/>
      <c r="J512" s="30"/>
      <c r="K512" s="31"/>
      <c r="L512" s="30"/>
      <c r="M512" s="30"/>
      <c r="N512" s="30"/>
      <c r="O512" s="30"/>
      <c r="P512" s="30"/>
      <c r="Q512" s="30"/>
      <c r="R512" s="30"/>
      <c r="S512" s="30"/>
      <c r="T512" s="30"/>
      <c r="U512" s="30"/>
      <c r="V512" s="30"/>
      <c r="W512" s="30"/>
      <c r="X512" s="30"/>
    </row>
    <row r="513">
      <c r="A513" s="30"/>
      <c r="B513" s="30"/>
      <c r="C513" s="30"/>
      <c r="D513" s="30"/>
      <c r="E513" s="30"/>
      <c r="F513" s="30"/>
      <c r="G513" s="30"/>
      <c r="H513" s="30"/>
      <c r="I513" s="30"/>
      <c r="J513" s="30"/>
      <c r="K513" s="31"/>
      <c r="L513" s="30"/>
      <c r="M513" s="30"/>
      <c r="N513" s="30"/>
      <c r="O513" s="30"/>
      <c r="P513" s="30"/>
      <c r="Q513" s="30"/>
      <c r="R513" s="30"/>
      <c r="S513" s="30"/>
      <c r="T513" s="30"/>
      <c r="U513" s="30"/>
      <c r="V513" s="30"/>
      <c r="W513" s="30"/>
      <c r="X513" s="30"/>
    </row>
    <row r="514">
      <c r="A514" s="30"/>
      <c r="B514" s="30"/>
      <c r="C514" s="30"/>
      <c r="D514" s="30"/>
      <c r="E514" s="30"/>
      <c r="F514" s="30"/>
      <c r="G514" s="30"/>
      <c r="H514" s="30"/>
      <c r="I514" s="30"/>
      <c r="J514" s="30"/>
      <c r="K514" s="31"/>
      <c r="L514" s="30"/>
      <c r="M514" s="30"/>
      <c r="N514" s="30"/>
      <c r="O514" s="30"/>
      <c r="P514" s="30"/>
      <c r="Q514" s="30"/>
      <c r="R514" s="30"/>
      <c r="S514" s="30"/>
      <c r="T514" s="30"/>
      <c r="U514" s="30"/>
      <c r="V514" s="30"/>
      <c r="W514" s="30"/>
      <c r="X514" s="30"/>
    </row>
    <row r="515">
      <c r="A515" s="30"/>
      <c r="B515" s="30"/>
      <c r="C515" s="30"/>
      <c r="D515" s="30"/>
      <c r="E515" s="30"/>
      <c r="F515" s="30"/>
      <c r="G515" s="30"/>
      <c r="H515" s="30"/>
      <c r="I515" s="30"/>
      <c r="J515" s="30"/>
      <c r="K515" s="31"/>
      <c r="L515" s="30"/>
      <c r="M515" s="30"/>
      <c r="N515" s="30"/>
      <c r="O515" s="30"/>
      <c r="P515" s="30"/>
      <c r="Q515" s="30"/>
      <c r="R515" s="30"/>
      <c r="S515" s="30"/>
      <c r="T515" s="30"/>
      <c r="U515" s="30"/>
      <c r="V515" s="30"/>
      <c r="W515" s="30"/>
      <c r="X515" s="30"/>
    </row>
    <row r="516">
      <c r="A516" s="30"/>
      <c r="B516" s="30"/>
      <c r="C516" s="30"/>
      <c r="D516" s="30"/>
      <c r="E516" s="30"/>
      <c r="F516" s="30"/>
      <c r="G516" s="30"/>
      <c r="H516" s="30"/>
      <c r="I516" s="30"/>
      <c r="J516" s="30"/>
      <c r="K516" s="31"/>
      <c r="L516" s="30"/>
      <c r="M516" s="30"/>
      <c r="N516" s="30"/>
      <c r="O516" s="30"/>
      <c r="P516" s="30"/>
      <c r="Q516" s="30"/>
      <c r="R516" s="30"/>
      <c r="S516" s="30"/>
      <c r="T516" s="30"/>
      <c r="U516" s="30"/>
      <c r="V516" s="30"/>
      <c r="W516" s="30"/>
      <c r="X516" s="30"/>
    </row>
    <row r="517">
      <c r="A517" s="30"/>
      <c r="B517" s="30"/>
      <c r="C517" s="30"/>
      <c r="D517" s="30"/>
      <c r="E517" s="30"/>
      <c r="F517" s="30"/>
      <c r="G517" s="30"/>
      <c r="H517" s="30"/>
      <c r="I517" s="30"/>
      <c r="J517" s="30"/>
      <c r="K517" s="31"/>
      <c r="L517" s="30"/>
      <c r="M517" s="30"/>
      <c r="N517" s="30"/>
      <c r="O517" s="30"/>
      <c r="P517" s="30"/>
      <c r="Q517" s="30"/>
      <c r="R517" s="30"/>
      <c r="S517" s="30"/>
      <c r="T517" s="30"/>
      <c r="U517" s="30"/>
      <c r="V517" s="30"/>
      <c r="W517" s="30"/>
      <c r="X517" s="30"/>
    </row>
    <row r="518">
      <c r="A518" s="30"/>
      <c r="B518" s="30"/>
      <c r="C518" s="30"/>
      <c r="D518" s="30"/>
      <c r="E518" s="30"/>
      <c r="F518" s="30"/>
      <c r="G518" s="30"/>
      <c r="H518" s="30"/>
      <c r="I518" s="30"/>
      <c r="J518" s="30"/>
      <c r="K518" s="31"/>
      <c r="L518" s="30"/>
      <c r="M518" s="30"/>
      <c r="N518" s="30"/>
      <c r="O518" s="30"/>
      <c r="P518" s="30"/>
      <c r="Q518" s="30"/>
      <c r="R518" s="30"/>
      <c r="S518" s="30"/>
      <c r="T518" s="30"/>
      <c r="U518" s="30"/>
      <c r="V518" s="30"/>
      <c r="W518" s="30"/>
      <c r="X518" s="30"/>
    </row>
    <row r="519">
      <c r="A519" s="30"/>
      <c r="B519" s="30"/>
      <c r="C519" s="30"/>
      <c r="D519" s="30"/>
      <c r="E519" s="30"/>
      <c r="F519" s="30"/>
      <c r="G519" s="30"/>
      <c r="H519" s="30"/>
      <c r="I519" s="30"/>
      <c r="J519" s="30"/>
      <c r="K519" s="31"/>
      <c r="L519" s="30"/>
      <c r="M519" s="30"/>
      <c r="N519" s="30"/>
      <c r="O519" s="30"/>
      <c r="P519" s="30"/>
      <c r="Q519" s="30"/>
      <c r="R519" s="30"/>
      <c r="S519" s="30"/>
      <c r="T519" s="30"/>
      <c r="U519" s="30"/>
      <c r="V519" s="30"/>
      <c r="W519" s="30"/>
      <c r="X519" s="30"/>
    </row>
    <row r="520">
      <c r="A520" s="30"/>
      <c r="B520" s="30"/>
      <c r="C520" s="30"/>
      <c r="D520" s="30"/>
      <c r="E520" s="30"/>
      <c r="F520" s="30"/>
      <c r="G520" s="30"/>
      <c r="H520" s="30"/>
      <c r="I520" s="30"/>
      <c r="J520" s="30"/>
      <c r="K520" s="31"/>
      <c r="L520" s="30"/>
      <c r="M520" s="30"/>
      <c r="N520" s="30"/>
      <c r="O520" s="30"/>
      <c r="P520" s="30"/>
      <c r="Q520" s="30"/>
      <c r="R520" s="30"/>
      <c r="S520" s="30"/>
      <c r="T520" s="30"/>
      <c r="U520" s="30"/>
      <c r="V520" s="30"/>
      <c r="W520" s="30"/>
      <c r="X520" s="30"/>
    </row>
    <row r="521">
      <c r="A521" s="30"/>
      <c r="B521" s="30"/>
      <c r="C521" s="30"/>
      <c r="D521" s="30"/>
      <c r="E521" s="30"/>
      <c r="F521" s="30"/>
      <c r="G521" s="30"/>
      <c r="H521" s="30"/>
      <c r="I521" s="30"/>
      <c r="J521" s="30"/>
      <c r="K521" s="31"/>
      <c r="L521" s="30"/>
      <c r="M521" s="30"/>
      <c r="N521" s="30"/>
      <c r="O521" s="30"/>
      <c r="P521" s="30"/>
      <c r="Q521" s="30"/>
      <c r="R521" s="30"/>
      <c r="S521" s="30"/>
      <c r="T521" s="30"/>
      <c r="U521" s="30"/>
      <c r="V521" s="30"/>
      <c r="W521" s="30"/>
      <c r="X521" s="30"/>
    </row>
    <row r="522">
      <c r="A522" s="30"/>
      <c r="B522" s="30"/>
      <c r="C522" s="30"/>
      <c r="D522" s="30"/>
      <c r="E522" s="30"/>
      <c r="F522" s="30"/>
      <c r="G522" s="30"/>
      <c r="H522" s="30"/>
      <c r="I522" s="30"/>
      <c r="J522" s="30"/>
      <c r="K522" s="31"/>
      <c r="L522" s="30"/>
      <c r="M522" s="30"/>
      <c r="N522" s="30"/>
      <c r="O522" s="30"/>
      <c r="P522" s="30"/>
      <c r="Q522" s="30"/>
      <c r="R522" s="30"/>
      <c r="S522" s="30"/>
      <c r="T522" s="30"/>
      <c r="U522" s="30"/>
      <c r="V522" s="30"/>
      <c r="W522" s="30"/>
      <c r="X522" s="30"/>
    </row>
    <row r="523">
      <c r="A523" s="30"/>
      <c r="B523" s="30"/>
      <c r="C523" s="30"/>
      <c r="D523" s="30"/>
      <c r="E523" s="30"/>
      <c r="F523" s="30"/>
      <c r="G523" s="30"/>
      <c r="H523" s="30"/>
      <c r="I523" s="30"/>
      <c r="J523" s="30"/>
      <c r="K523" s="31"/>
      <c r="L523" s="30"/>
      <c r="M523" s="30"/>
      <c r="N523" s="30"/>
      <c r="O523" s="30"/>
      <c r="P523" s="30"/>
      <c r="Q523" s="30"/>
      <c r="R523" s="30"/>
      <c r="S523" s="30"/>
      <c r="T523" s="30"/>
      <c r="U523" s="30"/>
      <c r="V523" s="30"/>
      <c r="W523" s="30"/>
      <c r="X523" s="30"/>
    </row>
    <row r="524">
      <c r="A524" s="30"/>
      <c r="B524" s="30"/>
      <c r="C524" s="30"/>
      <c r="D524" s="30"/>
      <c r="E524" s="30"/>
      <c r="F524" s="30"/>
      <c r="G524" s="30"/>
      <c r="H524" s="30"/>
      <c r="I524" s="30"/>
      <c r="J524" s="30"/>
      <c r="K524" s="31"/>
      <c r="L524" s="30"/>
      <c r="M524" s="30"/>
      <c r="N524" s="30"/>
      <c r="O524" s="30"/>
      <c r="P524" s="30"/>
      <c r="Q524" s="30"/>
      <c r="R524" s="30"/>
      <c r="S524" s="30"/>
      <c r="T524" s="30"/>
      <c r="U524" s="30"/>
      <c r="V524" s="30"/>
      <c r="W524" s="30"/>
      <c r="X524" s="30"/>
    </row>
    <row r="525">
      <c r="A525" s="30"/>
      <c r="B525" s="30"/>
      <c r="C525" s="30"/>
      <c r="D525" s="30"/>
      <c r="E525" s="30"/>
      <c r="F525" s="30"/>
      <c r="G525" s="30"/>
      <c r="H525" s="30"/>
      <c r="I525" s="30"/>
      <c r="J525" s="30"/>
      <c r="K525" s="31"/>
      <c r="L525" s="30"/>
      <c r="M525" s="30"/>
      <c r="N525" s="30"/>
      <c r="O525" s="30"/>
      <c r="P525" s="30"/>
      <c r="Q525" s="30"/>
      <c r="R525" s="30"/>
      <c r="S525" s="30"/>
      <c r="T525" s="30"/>
      <c r="U525" s="30"/>
      <c r="V525" s="30"/>
      <c r="W525" s="30"/>
      <c r="X525" s="30"/>
    </row>
    <row r="526">
      <c r="A526" s="30"/>
      <c r="B526" s="30"/>
      <c r="C526" s="30"/>
      <c r="D526" s="30"/>
      <c r="E526" s="30"/>
      <c r="F526" s="30"/>
      <c r="G526" s="30"/>
      <c r="H526" s="30"/>
      <c r="I526" s="30"/>
      <c r="J526" s="30"/>
      <c r="K526" s="31"/>
      <c r="L526" s="30"/>
      <c r="M526" s="30"/>
      <c r="N526" s="30"/>
      <c r="O526" s="30"/>
      <c r="P526" s="30"/>
      <c r="Q526" s="30"/>
      <c r="R526" s="30"/>
      <c r="S526" s="30"/>
      <c r="T526" s="30"/>
      <c r="U526" s="30"/>
      <c r="V526" s="30"/>
      <c r="W526" s="30"/>
      <c r="X526" s="30"/>
    </row>
    <row r="527">
      <c r="A527" s="30"/>
      <c r="B527" s="30"/>
      <c r="C527" s="30"/>
      <c r="D527" s="30"/>
      <c r="E527" s="30"/>
      <c r="F527" s="30"/>
      <c r="G527" s="30"/>
      <c r="H527" s="30"/>
      <c r="I527" s="30"/>
      <c r="J527" s="30"/>
      <c r="K527" s="31"/>
      <c r="L527" s="30"/>
      <c r="M527" s="30"/>
      <c r="N527" s="30"/>
      <c r="O527" s="30"/>
      <c r="P527" s="30"/>
      <c r="Q527" s="30"/>
      <c r="R527" s="30"/>
      <c r="S527" s="30"/>
      <c r="T527" s="30"/>
      <c r="U527" s="30"/>
      <c r="V527" s="30"/>
      <c r="W527" s="30"/>
      <c r="X527" s="30"/>
    </row>
    <row r="528">
      <c r="A528" s="30"/>
      <c r="B528" s="30"/>
      <c r="C528" s="30"/>
      <c r="D528" s="30"/>
      <c r="E528" s="30"/>
      <c r="F528" s="30"/>
      <c r="G528" s="30"/>
      <c r="H528" s="30"/>
      <c r="I528" s="30"/>
      <c r="J528" s="30"/>
      <c r="K528" s="31"/>
      <c r="L528" s="30"/>
      <c r="M528" s="30"/>
      <c r="N528" s="30"/>
      <c r="O528" s="30"/>
      <c r="P528" s="30"/>
      <c r="Q528" s="30"/>
      <c r="R528" s="30"/>
      <c r="S528" s="30"/>
      <c r="T528" s="30"/>
      <c r="U528" s="30"/>
      <c r="V528" s="30"/>
      <c r="W528" s="30"/>
      <c r="X528" s="30"/>
    </row>
    <row r="529">
      <c r="A529" s="30"/>
      <c r="B529" s="30"/>
      <c r="C529" s="30"/>
      <c r="D529" s="30"/>
      <c r="E529" s="30"/>
      <c r="F529" s="30"/>
      <c r="G529" s="30"/>
      <c r="H529" s="30"/>
      <c r="I529" s="30"/>
      <c r="J529" s="30"/>
      <c r="K529" s="31"/>
      <c r="L529" s="30"/>
      <c r="M529" s="30"/>
      <c r="N529" s="30"/>
      <c r="O529" s="30"/>
      <c r="P529" s="30"/>
      <c r="Q529" s="30"/>
      <c r="R529" s="30"/>
      <c r="S529" s="30"/>
      <c r="T529" s="30"/>
      <c r="U529" s="30"/>
      <c r="V529" s="30"/>
      <c r="W529" s="30"/>
      <c r="X529" s="30"/>
    </row>
    <row r="530">
      <c r="A530" s="30"/>
      <c r="B530" s="30"/>
      <c r="C530" s="30"/>
      <c r="D530" s="30"/>
      <c r="E530" s="30"/>
      <c r="F530" s="30"/>
      <c r="G530" s="30"/>
      <c r="H530" s="30"/>
      <c r="I530" s="30"/>
      <c r="J530" s="30"/>
      <c r="K530" s="31"/>
      <c r="L530" s="30"/>
      <c r="M530" s="30"/>
      <c r="N530" s="30"/>
      <c r="O530" s="30"/>
      <c r="P530" s="30"/>
      <c r="Q530" s="30"/>
      <c r="R530" s="30"/>
      <c r="S530" s="30"/>
      <c r="T530" s="30"/>
      <c r="U530" s="30"/>
      <c r="V530" s="30"/>
      <c r="W530" s="30"/>
      <c r="X530" s="30"/>
    </row>
    <row r="531">
      <c r="A531" s="30"/>
      <c r="B531" s="30"/>
      <c r="C531" s="30"/>
      <c r="D531" s="30"/>
      <c r="E531" s="30"/>
      <c r="F531" s="30"/>
      <c r="G531" s="30"/>
      <c r="H531" s="30"/>
      <c r="I531" s="30"/>
      <c r="J531" s="30"/>
      <c r="K531" s="31"/>
      <c r="L531" s="30"/>
      <c r="M531" s="30"/>
      <c r="N531" s="30"/>
      <c r="O531" s="30"/>
      <c r="P531" s="30"/>
      <c r="Q531" s="30"/>
      <c r="R531" s="30"/>
      <c r="S531" s="30"/>
      <c r="T531" s="30"/>
      <c r="U531" s="30"/>
      <c r="V531" s="30"/>
      <c r="W531" s="30"/>
      <c r="X531" s="30"/>
    </row>
    <row r="532">
      <c r="A532" s="30"/>
      <c r="B532" s="30"/>
      <c r="C532" s="30"/>
      <c r="D532" s="30"/>
      <c r="E532" s="30"/>
      <c r="F532" s="30"/>
      <c r="G532" s="30"/>
      <c r="H532" s="30"/>
      <c r="I532" s="30"/>
      <c r="J532" s="30"/>
      <c r="K532" s="31"/>
      <c r="L532" s="30"/>
      <c r="M532" s="30"/>
      <c r="N532" s="30"/>
      <c r="O532" s="30"/>
      <c r="P532" s="30"/>
      <c r="Q532" s="30"/>
      <c r="R532" s="30"/>
      <c r="S532" s="30"/>
      <c r="T532" s="30"/>
      <c r="U532" s="30"/>
      <c r="V532" s="30"/>
      <c r="W532" s="30"/>
      <c r="X532" s="30"/>
    </row>
    <row r="533">
      <c r="A533" s="30"/>
      <c r="B533" s="30"/>
      <c r="C533" s="30"/>
      <c r="D533" s="30"/>
      <c r="E533" s="30"/>
      <c r="F533" s="30"/>
      <c r="G533" s="30"/>
      <c r="H533" s="30"/>
      <c r="I533" s="30"/>
      <c r="J533" s="30"/>
      <c r="K533" s="31"/>
      <c r="L533" s="30"/>
      <c r="M533" s="30"/>
      <c r="N533" s="30"/>
      <c r="O533" s="30"/>
      <c r="P533" s="30"/>
      <c r="Q533" s="30"/>
      <c r="R533" s="30"/>
      <c r="S533" s="30"/>
      <c r="T533" s="30"/>
      <c r="U533" s="30"/>
      <c r="V533" s="30"/>
      <c r="W533" s="30"/>
      <c r="X533" s="30"/>
    </row>
    <row r="534">
      <c r="A534" s="30"/>
      <c r="B534" s="30"/>
      <c r="C534" s="30"/>
      <c r="D534" s="30"/>
      <c r="E534" s="30"/>
      <c r="F534" s="30"/>
      <c r="G534" s="30"/>
      <c r="H534" s="30"/>
      <c r="I534" s="30"/>
      <c r="J534" s="30"/>
      <c r="K534" s="31"/>
      <c r="L534" s="30"/>
      <c r="M534" s="30"/>
      <c r="N534" s="30"/>
      <c r="O534" s="30"/>
      <c r="P534" s="30"/>
      <c r="Q534" s="30"/>
      <c r="R534" s="30"/>
      <c r="S534" s="30"/>
      <c r="T534" s="30"/>
      <c r="U534" s="30"/>
      <c r="V534" s="30"/>
      <c r="W534" s="30"/>
      <c r="X534" s="30"/>
    </row>
    <row r="535">
      <c r="A535" s="30"/>
      <c r="B535" s="30"/>
      <c r="C535" s="30"/>
      <c r="D535" s="30"/>
      <c r="E535" s="30"/>
      <c r="F535" s="30"/>
      <c r="G535" s="30"/>
      <c r="H535" s="30"/>
      <c r="I535" s="30"/>
      <c r="J535" s="30"/>
      <c r="K535" s="31"/>
      <c r="L535" s="30"/>
      <c r="M535" s="30"/>
      <c r="N535" s="30"/>
      <c r="O535" s="30"/>
      <c r="P535" s="30"/>
      <c r="Q535" s="30"/>
      <c r="R535" s="30"/>
      <c r="S535" s="30"/>
      <c r="T535" s="30"/>
      <c r="U535" s="30"/>
      <c r="V535" s="30"/>
      <c r="W535" s="30"/>
      <c r="X535" s="30"/>
    </row>
    <row r="536">
      <c r="A536" s="30"/>
      <c r="B536" s="30"/>
      <c r="C536" s="30"/>
      <c r="D536" s="30"/>
      <c r="E536" s="30"/>
      <c r="F536" s="30"/>
      <c r="G536" s="30"/>
      <c r="H536" s="30"/>
      <c r="I536" s="30"/>
      <c r="J536" s="30"/>
      <c r="K536" s="31"/>
      <c r="L536" s="30"/>
      <c r="M536" s="30"/>
      <c r="N536" s="30"/>
      <c r="O536" s="30"/>
      <c r="P536" s="30"/>
      <c r="Q536" s="30"/>
      <c r="R536" s="30"/>
      <c r="S536" s="30"/>
      <c r="T536" s="30"/>
      <c r="U536" s="30"/>
      <c r="V536" s="30"/>
      <c r="W536" s="30"/>
      <c r="X536" s="30"/>
    </row>
    <row r="537">
      <c r="A537" s="30"/>
      <c r="B537" s="30"/>
      <c r="C537" s="30"/>
      <c r="D537" s="30"/>
      <c r="E537" s="30"/>
      <c r="F537" s="30"/>
      <c r="G537" s="30"/>
      <c r="H537" s="30"/>
      <c r="I537" s="30"/>
      <c r="J537" s="30"/>
      <c r="K537" s="31"/>
      <c r="L537" s="30"/>
      <c r="M537" s="30"/>
      <c r="N537" s="30"/>
      <c r="O537" s="30"/>
      <c r="P537" s="30"/>
      <c r="Q537" s="30"/>
      <c r="R537" s="30"/>
      <c r="S537" s="30"/>
      <c r="T537" s="30"/>
      <c r="U537" s="30"/>
      <c r="V537" s="30"/>
      <c r="W537" s="30"/>
      <c r="X537" s="30"/>
    </row>
    <row r="538">
      <c r="A538" s="30"/>
      <c r="B538" s="30"/>
      <c r="C538" s="30"/>
      <c r="D538" s="30"/>
      <c r="E538" s="30"/>
      <c r="F538" s="30"/>
      <c r="G538" s="30"/>
      <c r="H538" s="30"/>
      <c r="I538" s="30"/>
      <c r="J538" s="30"/>
      <c r="K538" s="31"/>
      <c r="L538" s="30"/>
      <c r="M538" s="30"/>
      <c r="N538" s="30"/>
      <c r="O538" s="30"/>
      <c r="P538" s="30"/>
      <c r="Q538" s="30"/>
      <c r="R538" s="30"/>
      <c r="S538" s="30"/>
      <c r="T538" s="30"/>
      <c r="U538" s="30"/>
      <c r="V538" s="30"/>
      <c r="W538" s="30"/>
      <c r="X538" s="30"/>
    </row>
    <row r="539">
      <c r="A539" s="30"/>
      <c r="B539" s="30"/>
      <c r="C539" s="30"/>
      <c r="D539" s="30"/>
      <c r="E539" s="30"/>
      <c r="F539" s="30"/>
      <c r="G539" s="30"/>
      <c r="H539" s="30"/>
      <c r="I539" s="30"/>
      <c r="J539" s="30"/>
      <c r="K539" s="31"/>
      <c r="L539" s="30"/>
      <c r="M539" s="30"/>
      <c r="N539" s="30"/>
      <c r="O539" s="30"/>
      <c r="P539" s="30"/>
      <c r="Q539" s="30"/>
      <c r="R539" s="30"/>
      <c r="S539" s="30"/>
      <c r="T539" s="30"/>
      <c r="U539" s="30"/>
      <c r="V539" s="30"/>
      <c r="W539" s="30"/>
      <c r="X539" s="30"/>
    </row>
    <row r="540">
      <c r="A540" s="30"/>
      <c r="B540" s="30"/>
      <c r="C540" s="30"/>
      <c r="D540" s="30"/>
      <c r="E540" s="30"/>
      <c r="F540" s="30"/>
      <c r="G540" s="30"/>
      <c r="H540" s="30"/>
      <c r="I540" s="30"/>
      <c r="J540" s="30"/>
      <c r="K540" s="31"/>
      <c r="L540" s="30"/>
      <c r="M540" s="30"/>
      <c r="N540" s="30"/>
      <c r="O540" s="30"/>
      <c r="P540" s="30"/>
      <c r="Q540" s="30"/>
      <c r="R540" s="30"/>
      <c r="S540" s="30"/>
      <c r="T540" s="30"/>
      <c r="U540" s="30"/>
      <c r="V540" s="30"/>
      <c r="W540" s="30"/>
      <c r="X540" s="30"/>
    </row>
    <row r="541">
      <c r="A541" s="30"/>
      <c r="B541" s="30"/>
      <c r="C541" s="30"/>
      <c r="D541" s="30"/>
      <c r="E541" s="30"/>
      <c r="F541" s="30"/>
      <c r="G541" s="30"/>
      <c r="H541" s="30"/>
      <c r="I541" s="30"/>
      <c r="J541" s="30"/>
      <c r="K541" s="31"/>
      <c r="L541" s="30"/>
      <c r="M541" s="30"/>
      <c r="N541" s="30"/>
      <c r="O541" s="30"/>
      <c r="P541" s="30"/>
      <c r="Q541" s="30"/>
      <c r="R541" s="30"/>
      <c r="S541" s="30"/>
      <c r="T541" s="30"/>
      <c r="U541" s="30"/>
      <c r="V541" s="30"/>
      <c r="W541" s="30"/>
      <c r="X541" s="30"/>
    </row>
    <row r="542">
      <c r="A542" s="30"/>
      <c r="B542" s="30"/>
      <c r="C542" s="30"/>
      <c r="D542" s="30"/>
      <c r="E542" s="30"/>
      <c r="F542" s="30"/>
      <c r="G542" s="30"/>
      <c r="H542" s="30"/>
      <c r="I542" s="30"/>
      <c r="J542" s="30"/>
      <c r="K542" s="31"/>
      <c r="L542" s="30"/>
      <c r="M542" s="30"/>
      <c r="N542" s="30"/>
      <c r="O542" s="30"/>
      <c r="P542" s="30"/>
      <c r="Q542" s="30"/>
      <c r="R542" s="30"/>
      <c r="S542" s="30"/>
      <c r="T542" s="30"/>
      <c r="U542" s="30"/>
      <c r="V542" s="30"/>
      <c r="W542" s="30"/>
      <c r="X542" s="30"/>
    </row>
    <row r="543">
      <c r="A543" s="30"/>
      <c r="B543" s="30"/>
      <c r="C543" s="30"/>
      <c r="D543" s="30"/>
      <c r="E543" s="30"/>
      <c r="F543" s="30"/>
      <c r="G543" s="30"/>
      <c r="H543" s="30"/>
      <c r="I543" s="30"/>
      <c r="J543" s="30"/>
      <c r="K543" s="31"/>
      <c r="L543" s="30"/>
      <c r="M543" s="30"/>
      <c r="N543" s="30"/>
      <c r="O543" s="30"/>
      <c r="P543" s="30"/>
      <c r="Q543" s="30"/>
      <c r="R543" s="30"/>
      <c r="S543" s="30"/>
      <c r="T543" s="30"/>
      <c r="U543" s="30"/>
      <c r="V543" s="30"/>
      <c r="W543" s="30"/>
      <c r="X543" s="30"/>
    </row>
    <row r="544">
      <c r="A544" s="30"/>
      <c r="B544" s="30"/>
      <c r="C544" s="30"/>
      <c r="D544" s="30"/>
      <c r="E544" s="30"/>
      <c r="F544" s="30"/>
      <c r="G544" s="30"/>
      <c r="H544" s="30"/>
      <c r="I544" s="30"/>
      <c r="J544" s="30"/>
      <c r="K544" s="31"/>
      <c r="L544" s="30"/>
      <c r="M544" s="30"/>
      <c r="N544" s="30"/>
      <c r="O544" s="30"/>
      <c r="P544" s="30"/>
      <c r="Q544" s="30"/>
      <c r="R544" s="30"/>
      <c r="S544" s="30"/>
      <c r="T544" s="30"/>
      <c r="U544" s="30"/>
      <c r="V544" s="30"/>
      <c r="W544" s="30"/>
      <c r="X544" s="30"/>
    </row>
    <row r="545">
      <c r="A545" s="30"/>
      <c r="B545" s="30"/>
      <c r="C545" s="30"/>
      <c r="D545" s="30"/>
      <c r="E545" s="30"/>
      <c r="F545" s="30"/>
      <c r="G545" s="30"/>
      <c r="H545" s="30"/>
      <c r="I545" s="30"/>
      <c r="J545" s="30"/>
      <c r="K545" s="31"/>
      <c r="L545" s="30"/>
      <c r="M545" s="30"/>
      <c r="N545" s="30"/>
      <c r="O545" s="30"/>
      <c r="P545" s="30"/>
      <c r="Q545" s="30"/>
      <c r="R545" s="30"/>
      <c r="S545" s="30"/>
      <c r="T545" s="30"/>
      <c r="U545" s="30"/>
      <c r="V545" s="30"/>
      <c r="W545" s="30"/>
      <c r="X545" s="30"/>
    </row>
    <row r="546">
      <c r="A546" s="30"/>
      <c r="B546" s="30"/>
      <c r="C546" s="30"/>
      <c r="D546" s="30"/>
      <c r="E546" s="30"/>
      <c r="F546" s="30"/>
      <c r="G546" s="30"/>
      <c r="H546" s="30"/>
      <c r="I546" s="30"/>
      <c r="J546" s="30"/>
      <c r="K546" s="31"/>
      <c r="L546" s="30"/>
      <c r="M546" s="30"/>
      <c r="N546" s="30"/>
      <c r="O546" s="30"/>
      <c r="P546" s="30"/>
      <c r="Q546" s="30"/>
      <c r="R546" s="30"/>
      <c r="S546" s="30"/>
      <c r="T546" s="30"/>
      <c r="U546" s="30"/>
      <c r="V546" s="30"/>
      <c r="W546" s="30"/>
      <c r="X546" s="30"/>
    </row>
    <row r="547">
      <c r="A547" s="30"/>
      <c r="B547" s="30"/>
      <c r="C547" s="30"/>
      <c r="D547" s="30"/>
      <c r="E547" s="30"/>
      <c r="F547" s="30"/>
      <c r="G547" s="30"/>
      <c r="H547" s="30"/>
      <c r="I547" s="30"/>
      <c r="J547" s="30"/>
      <c r="K547" s="31"/>
      <c r="L547" s="30"/>
      <c r="M547" s="30"/>
      <c r="N547" s="30"/>
      <c r="O547" s="30"/>
      <c r="P547" s="30"/>
      <c r="Q547" s="30"/>
      <c r="R547" s="30"/>
      <c r="S547" s="30"/>
      <c r="T547" s="30"/>
      <c r="U547" s="30"/>
      <c r="V547" s="30"/>
      <c r="W547" s="30"/>
      <c r="X547" s="30"/>
    </row>
    <row r="548">
      <c r="A548" s="30"/>
      <c r="B548" s="30"/>
      <c r="C548" s="30"/>
      <c r="D548" s="30"/>
      <c r="E548" s="30"/>
      <c r="F548" s="30"/>
      <c r="G548" s="30"/>
      <c r="H548" s="30"/>
      <c r="I548" s="30"/>
      <c r="J548" s="30"/>
      <c r="K548" s="31"/>
      <c r="L548" s="30"/>
      <c r="M548" s="30"/>
      <c r="N548" s="30"/>
      <c r="O548" s="30"/>
      <c r="P548" s="30"/>
      <c r="Q548" s="30"/>
      <c r="R548" s="30"/>
      <c r="S548" s="30"/>
      <c r="T548" s="30"/>
      <c r="U548" s="30"/>
      <c r="V548" s="30"/>
      <c r="W548" s="30"/>
      <c r="X548" s="30"/>
    </row>
    <row r="549">
      <c r="A549" s="30"/>
      <c r="B549" s="30"/>
      <c r="C549" s="30"/>
      <c r="D549" s="30"/>
      <c r="E549" s="30"/>
      <c r="F549" s="30"/>
      <c r="G549" s="30"/>
      <c r="H549" s="30"/>
      <c r="I549" s="30"/>
      <c r="J549" s="30"/>
      <c r="K549" s="31"/>
      <c r="L549" s="30"/>
      <c r="M549" s="30"/>
      <c r="N549" s="30"/>
      <c r="O549" s="30"/>
      <c r="P549" s="30"/>
      <c r="Q549" s="30"/>
      <c r="R549" s="30"/>
      <c r="S549" s="30"/>
      <c r="T549" s="30"/>
      <c r="U549" s="30"/>
      <c r="V549" s="30"/>
      <c r="W549" s="30"/>
      <c r="X549" s="30"/>
    </row>
    <row r="550">
      <c r="A550" s="30"/>
      <c r="B550" s="30"/>
      <c r="C550" s="30"/>
      <c r="D550" s="30"/>
      <c r="E550" s="30"/>
      <c r="F550" s="30"/>
      <c r="G550" s="30"/>
      <c r="H550" s="30"/>
      <c r="I550" s="30"/>
      <c r="J550" s="30"/>
      <c r="K550" s="31"/>
      <c r="L550" s="30"/>
      <c r="M550" s="30"/>
      <c r="N550" s="30"/>
      <c r="O550" s="30"/>
      <c r="P550" s="30"/>
      <c r="Q550" s="30"/>
      <c r="R550" s="30"/>
      <c r="S550" s="30"/>
      <c r="T550" s="30"/>
      <c r="U550" s="30"/>
      <c r="V550" s="30"/>
      <c r="W550" s="30"/>
      <c r="X550" s="30"/>
    </row>
    <row r="551">
      <c r="A551" s="30"/>
      <c r="B551" s="30"/>
      <c r="C551" s="30"/>
      <c r="D551" s="30"/>
      <c r="E551" s="30"/>
      <c r="F551" s="30"/>
      <c r="G551" s="30"/>
      <c r="H551" s="30"/>
      <c r="I551" s="30"/>
      <c r="J551" s="30"/>
      <c r="K551" s="31"/>
      <c r="L551" s="30"/>
      <c r="M551" s="30"/>
      <c r="N551" s="30"/>
      <c r="O551" s="30"/>
      <c r="P551" s="30"/>
      <c r="Q551" s="30"/>
      <c r="R551" s="30"/>
      <c r="S551" s="30"/>
      <c r="T551" s="30"/>
      <c r="U551" s="30"/>
      <c r="V551" s="30"/>
      <c r="W551" s="30"/>
      <c r="X551" s="30"/>
    </row>
    <row r="552">
      <c r="A552" s="30"/>
      <c r="B552" s="30"/>
      <c r="C552" s="30"/>
      <c r="D552" s="30"/>
      <c r="E552" s="30"/>
      <c r="F552" s="30"/>
      <c r="G552" s="30"/>
      <c r="H552" s="30"/>
      <c r="I552" s="30"/>
      <c r="J552" s="30"/>
      <c r="K552" s="31"/>
      <c r="L552" s="30"/>
      <c r="M552" s="30"/>
      <c r="N552" s="30"/>
      <c r="O552" s="30"/>
      <c r="P552" s="30"/>
      <c r="Q552" s="30"/>
      <c r="R552" s="30"/>
      <c r="S552" s="30"/>
      <c r="T552" s="30"/>
      <c r="U552" s="30"/>
      <c r="V552" s="30"/>
      <c r="W552" s="30"/>
      <c r="X552" s="30"/>
    </row>
    <row r="553">
      <c r="A553" s="30"/>
      <c r="B553" s="30"/>
      <c r="C553" s="30"/>
      <c r="D553" s="30"/>
      <c r="E553" s="30"/>
      <c r="F553" s="30"/>
      <c r="G553" s="30"/>
      <c r="H553" s="30"/>
      <c r="I553" s="30"/>
      <c r="J553" s="30"/>
      <c r="K553" s="31"/>
      <c r="L553" s="30"/>
      <c r="M553" s="30"/>
      <c r="N553" s="30"/>
      <c r="O553" s="30"/>
      <c r="P553" s="30"/>
      <c r="Q553" s="30"/>
      <c r="R553" s="30"/>
      <c r="S553" s="30"/>
      <c r="T553" s="30"/>
      <c r="U553" s="30"/>
      <c r="V553" s="30"/>
      <c r="W553" s="30"/>
      <c r="X553" s="30"/>
    </row>
    <row r="554">
      <c r="A554" s="30"/>
      <c r="B554" s="30"/>
      <c r="C554" s="30"/>
      <c r="D554" s="30"/>
      <c r="E554" s="30"/>
      <c r="F554" s="30"/>
      <c r="G554" s="30"/>
      <c r="H554" s="30"/>
      <c r="I554" s="30"/>
      <c r="J554" s="30"/>
      <c r="K554" s="31"/>
      <c r="L554" s="30"/>
      <c r="M554" s="30"/>
      <c r="N554" s="30"/>
      <c r="O554" s="30"/>
      <c r="P554" s="30"/>
      <c r="Q554" s="30"/>
      <c r="R554" s="30"/>
      <c r="S554" s="30"/>
      <c r="T554" s="30"/>
      <c r="U554" s="30"/>
      <c r="V554" s="30"/>
      <c r="W554" s="30"/>
      <c r="X554" s="30"/>
    </row>
    <row r="555">
      <c r="A555" s="30"/>
      <c r="B555" s="30"/>
      <c r="C555" s="30"/>
      <c r="D555" s="30"/>
      <c r="E555" s="30"/>
      <c r="F555" s="30"/>
      <c r="G555" s="30"/>
      <c r="H555" s="30"/>
      <c r="I555" s="30"/>
      <c r="J555" s="30"/>
      <c r="K555" s="31"/>
      <c r="L555" s="30"/>
      <c r="M555" s="30"/>
      <c r="N555" s="30"/>
      <c r="O555" s="30"/>
      <c r="P555" s="30"/>
      <c r="Q555" s="30"/>
      <c r="R555" s="30"/>
      <c r="S555" s="30"/>
      <c r="T555" s="30"/>
      <c r="U555" s="30"/>
      <c r="V555" s="30"/>
      <c r="W555" s="30"/>
      <c r="X555" s="30"/>
    </row>
    <row r="556">
      <c r="A556" s="30"/>
      <c r="B556" s="30"/>
      <c r="C556" s="30"/>
      <c r="D556" s="30"/>
      <c r="E556" s="30"/>
      <c r="F556" s="30"/>
      <c r="G556" s="30"/>
      <c r="H556" s="30"/>
      <c r="I556" s="30"/>
      <c r="J556" s="30"/>
      <c r="K556" s="31"/>
      <c r="L556" s="30"/>
      <c r="M556" s="30"/>
      <c r="N556" s="30"/>
      <c r="O556" s="30"/>
      <c r="P556" s="30"/>
      <c r="Q556" s="30"/>
      <c r="R556" s="30"/>
      <c r="S556" s="30"/>
      <c r="T556" s="30"/>
      <c r="U556" s="30"/>
      <c r="V556" s="30"/>
      <c r="W556" s="30"/>
      <c r="X556" s="30"/>
    </row>
    <row r="557">
      <c r="A557" s="30"/>
      <c r="B557" s="30"/>
      <c r="C557" s="30"/>
      <c r="D557" s="30"/>
      <c r="E557" s="30"/>
      <c r="F557" s="30"/>
      <c r="G557" s="30"/>
      <c r="H557" s="30"/>
      <c r="I557" s="30"/>
      <c r="J557" s="30"/>
      <c r="K557" s="31"/>
      <c r="L557" s="30"/>
      <c r="M557" s="30"/>
      <c r="N557" s="30"/>
      <c r="O557" s="30"/>
      <c r="P557" s="30"/>
      <c r="Q557" s="30"/>
      <c r="R557" s="30"/>
      <c r="S557" s="30"/>
      <c r="T557" s="30"/>
      <c r="U557" s="30"/>
      <c r="V557" s="30"/>
      <c r="W557" s="30"/>
      <c r="X557" s="30"/>
    </row>
    <row r="558">
      <c r="A558" s="30"/>
      <c r="B558" s="30"/>
      <c r="C558" s="30"/>
      <c r="D558" s="30"/>
      <c r="E558" s="30"/>
      <c r="F558" s="30"/>
      <c r="G558" s="30"/>
      <c r="H558" s="30"/>
      <c r="I558" s="30"/>
      <c r="J558" s="30"/>
      <c r="K558" s="31"/>
      <c r="L558" s="30"/>
      <c r="M558" s="30"/>
      <c r="N558" s="30"/>
      <c r="O558" s="30"/>
      <c r="P558" s="30"/>
      <c r="Q558" s="30"/>
      <c r="R558" s="30"/>
      <c r="S558" s="30"/>
      <c r="T558" s="30"/>
      <c r="U558" s="30"/>
      <c r="V558" s="30"/>
      <c r="W558" s="30"/>
      <c r="X558" s="30"/>
    </row>
    <row r="559">
      <c r="A559" s="30"/>
      <c r="B559" s="30"/>
      <c r="C559" s="30"/>
      <c r="D559" s="30"/>
      <c r="E559" s="30"/>
      <c r="F559" s="30"/>
      <c r="G559" s="30"/>
      <c r="H559" s="30"/>
      <c r="I559" s="30"/>
      <c r="J559" s="30"/>
      <c r="K559" s="31"/>
      <c r="L559" s="30"/>
      <c r="M559" s="30"/>
      <c r="N559" s="30"/>
      <c r="O559" s="30"/>
      <c r="P559" s="30"/>
      <c r="Q559" s="30"/>
      <c r="R559" s="30"/>
      <c r="S559" s="30"/>
      <c r="T559" s="30"/>
      <c r="U559" s="30"/>
      <c r="V559" s="30"/>
      <c r="W559" s="30"/>
      <c r="X559" s="30"/>
    </row>
    <row r="560">
      <c r="A560" s="30"/>
      <c r="B560" s="30"/>
      <c r="C560" s="30"/>
      <c r="D560" s="30"/>
      <c r="E560" s="30"/>
      <c r="F560" s="30"/>
      <c r="G560" s="30"/>
      <c r="H560" s="30"/>
      <c r="I560" s="30"/>
      <c r="J560" s="30"/>
      <c r="K560" s="31"/>
      <c r="L560" s="30"/>
      <c r="M560" s="30"/>
      <c r="N560" s="30"/>
      <c r="O560" s="30"/>
      <c r="P560" s="30"/>
      <c r="Q560" s="30"/>
      <c r="R560" s="30"/>
      <c r="S560" s="30"/>
      <c r="T560" s="30"/>
      <c r="U560" s="30"/>
      <c r="V560" s="30"/>
      <c r="W560" s="30"/>
      <c r="X560" s="30"/>
    </row>
    <row r="561">
      <c r="A561" s="30"/>
      <c r="B561" s="30"/>
      <c r="C561" s="30"/>
      <c r="D561" s="30"/>
      <c r="E561" s="30"/>
      <c r="F561" s="30"/>
      <c r="G561" s="30"/>
      <c r="H561" s="30"/>
      <c r="I561" s="30"/>
      <c r="J561" s="30"/>
      <c r="K561" s="31"/>
      <c r="L561" s="30"/>
      <c r="M561" s="30"/>
      <c r="N561" s="30"/>
      <c r="O561" s="30"/>
      <c r="P561" s="30"/>
      <c r="Q561" s="30"/>
      <c r="R561" s="30"/>
      <c r="S561" s="30"/>
      <c r="T561" s="30"/>
      <c r="U561" s="30"/>
      <c r="V561" s="30"/>
      <c r="W561" s="30"/>
      <c r="X561" s="30"/>
    </row>
    <row r="562">
      <c r="A562" s="30"/>
      <c r="B562" s="30"/>
      <c r="C562" s="30"/>
      <c r="D562" s="30"/>
      <c r="E562" s="30"/>
      <c r="F562" s="30"/>
      <c r="G562" s="30"/>
      <c r="H562" s="30"/>
      <c r="I562" s="30"/>
      <c r="J562" s="30"/>
      <c r="K562" s="31"/>
      <c r="L562" s="30"/>
      <c r="M562" s="30"/>
      <c r="N562" s="30"/>
      <c r="O562" s="30"/>
      <c r="P562" s="30"/>
      <c r="Q562" s="30"/>
      <c r="R562" s="30"/>
      <c r="S562" s="30"/>
      <c r="T562" s="30"/>
      <c r="U562" s="30"/>
      <c r="V562" s="30"/>
      <c r="W562" s="30"/>
      <c r="X562" s="30"/>
    </row>
    <row r="563">
      <c r="A563" s="30"/>
      <c r="B563" s="30"/>
      <c r="C563" s="30"/>
      <c r="D563" s="30"/>
      <c r="E563" s="30"/>
      <c r="F563" s="30"/>
      <c r="G563" s="30"/>
      <c r="H563" s="30"/>
      <c r="I563" s="30"/>
      <c r="J563" s="30"/>
      <c r="K563" s="31"/>
      <c r="L563" s="30"/>
      <c r="M563" s="30"/>
      <c r="N563" s="30"/>
      <c r="O563" s="30"/>
      <c r="P563" s="30"/>
      <c r="Q563" s="30"/>
      <c r="R563" s="30"/>
      <c r="S563" s="30"/>
      <c r="T563" s="30"/>
      <c r="U563" s="30"/>
      <c r="V563" s="30"/>
      <c r="W563" s="30"/>
      <c r="X563" s="30"/>
    </row>
    <row r="564">
      <c r="A564" s="30"/>
      <c r="B564" s="30"/>
      <c r="C564" s="30"/>
      <c r="D564" s="30"/>
      <c r="E564" s="30"/>
      <c r="F564" s="30"/>
      <c r="G564" s="30"/>
      <c r="H564" s="30"/>
      <c r="I564" s="30"/>
      <c r="J564" s="30"/>
      <c r="K564" s="31"/>
      <c r="L564" s="30"/>
      <c r="M564" s="30"/>
      <c r="N564" s="30"/>
      <c r="O564" s="30"/>
      <c r="P564" s="30"/>
      <c r="Q564" s="30"/>
      <c r="R564" s="30"/>
      <c r="S564" s="30"/>
      <c r="T564" s="30"/>
      <c r="U564" s="30"/>
      <c r="V564" s="30"/>
      <c r="W564" s="30"/>
      <c r="X564" s="30"/>
    </row>
    <row r="565">
      <c r="A565" s="30"/>
      <c r="B565" s="30"/>
      <c r="C565" s="30"/>
      <c r="D565" s="30"/>
      <c r="E565" s="30"/>
      <c r="F565" s="30"/>
      <c r="G565" s="30"/>
      <c r="H565" s="30"/>
      <c r="I565" s="30"/>
      <c r="J565" s="30"/>
      <c r="K565" s="31"/>
      <c r="L565" s="30"/>
      <c r="M565" s="30"/>
      <c r="N565" s="30"/>
      <c r="O565" s="30"/>
      <c r="P565" s="30"/>
      <c r="Q565" s="30"/>
      <c r="R565" s="30"/>
      <c r="S565" s="30"/>
      <c r="T565" s="30"/>
      <c r="U565" s="30"/>
      <c r="V565" s="30"/>
      <c r="W565" s="30"/>
      <c r="X565" s="30"/>
    </row>
    <row r="566">
      <c r="A566" s="30"/>
      <c r="B566" s="30"/>
      <c r="C566" s="30"/>
      <c r="D566" s="30"/>
      <c r="E566" s="30"/>
      <c r="F566" s="30"/>
      <c r="G566" s="30"/>
      <c r="H566" s="30"/>
      <c r="I566" s="30"/>
      <c r="J566" s="30"/>
      <c r="K566" s="31"/>
      <c r="L566" s="30"/>
      <c r="M566" s="30"/>
      <c r="N566" s="30"/>
      <c r="O566" s="30"/>
      <c r="P566" s="30"/>
      <c r="Q566" s="30"/>
      <c r="R566" s="30"/>
      <c r="S566" s="30"/>
      <c r="T566" s="30"/>
      <c r="U566" s="30"/>
      <c r="V566" s="30"/>
      <c r="W566" s="30"/>
      <c r="X566" s="30"/>
    </row>
    <row r="567">
      <c r="A567" s="30"/>
      <c r="B567" s="30"/>
      <c r="C567" s="30"/>
      <c r="D567" s="30"/>
      <c r="E567" s="30"/>
      <c r="F567" s="30"/>
      <c r="G567" s="30"/>
      <c r="H567" s="30"/>
      <c r="I567" s="30"/>
      <c r="J567" s="30"/>
      <c r="K567" s="31"/>
      <c r="L567" s="30"/>
      <c r="M567" s="30"/>
      <c r="N567" s="30"/>
      <c r="O567" s="30"/>
      <c r="P567" s="30"/>
      <c r="Q567" s="30"/>
      <c r="R567" s="30"/>
      <c r="S567" s="30"/>
      <c r="T567" s="30"/>
      <c r="U567" s="30"/>
      <c r="V567" s="30"/>
      <c r="W567" s="30"/>
      <c r="X567" s="30"/>
    </row>
    <row r="568">
      <c r="A568" s="30"/>
      <c r="B568" s="30"/>
      <c r="C568" s="30"/>
      <c r="D568" s="30"/>
      <c r="E568" s="30"/>
      <c r="F568" s="30"/>
      <c r="G568" s="30"/>
      <c r="H568" s="30"/>
      <c r="I568" s="30"/>
      <c r="J568" s="30"/>
      <c r="K568" s="31"/>
      <c r="L568" s="30"/>
      <c r="M568" s="30"/>
      <c r="N568" s="30"/>
      <c r="O568" s="30"/>
      <c r="P568" s="30"/>
      <c r="Q568" s="30"/>
      <c r="R568" s="30"/>
      <c r="S568" s="30"/>
      <c r="T568" s="30"/>
      <c r="U568" s="30"/>
      <c r="V568" s="30"/>
      <c r="W568" s="30"/>
      <c r="X568" s="30"/>
    </row>
    <row r="569">
      <c r="A569" s="30"/>
      <c r="B569" s="30"/>
      <c r="C569" s="30"/>
      <c r="D569" s="30"/>
      <c r="E569" s="30"/>
      <c r="F569" s="30"/>
      <c r="G569" s="30"/>
      <c r="H569" s="30"/>
      <c r="I569" s="30"/>
      <c r="J569" s="30"/>
      <c r="K569" s="31"/>
      <c r="L569" s="30"/>
      <c r="M569" s="30"/>
      <c r="N569" s="30"/>
      <c r="O569" s="30"/>
      <c r="P569" s="30"/>
      <c r="Q569" s="30"/>
      <c r="R569" s="30"/>
      <c r="S569" s="30"/>
      <c r="T569" s="30"/>
      <c r="U569" s="30"/>
      <c r="V569" s="30"/>
      <c r="W569" s="30"/>
      <c r="X569" s="30"/>
    </row>
    <row r="570">
      <c r="A570" s="30"/>
      <c r="B570" s="30"/>
      <c r="C570" s="30"/>
      <c r="D570" s="30"/>
      <c r="E570" s="30"/>
      <c r="F570" s="30"/>
      <c r="G570" s="30"/>
      <c r="H570" s="30"/>
      <c r="I570" s="30"/>
      <c r="J570" s="30"/>
      <c r="K570" s="31"/>
      <c r="L570" s="30"/>
      <c r="M570" s="30"/>
      <c r="N570" s="30"/>
      <c r="O570" s="30"/>
      <c r="P570" s="30"/>
      <c r="Q570" s="30"/>
      <c r="R570" s="30"/>
      <c r="S570" s="30"/>
      <c r="T570" s="30"/>
      <c r="U570" s="30"/>
      <c r="V570" s="30"/>
      <c r="W570" s="30"/>
      <c r="X570" s="30"/>
    </row>
    <row r="571">
      <c r="A571" s="30"/>
      <c r="B571" s="30"/>
      <c r="C571" s="30"/>
      <c r="D571" s="30"/>
      <c r="E571" s="30"/>
      <c r="F571" s="30"/>
      <c r="G571" s="30"/>
      <c r="H571" s="30"/>
      <c r="I571" s="30"/>
      <c r="J571" s="30"/>
      <c r="K571" s="31"/>
      <c r="L571" s="30"/>
      <c r="M571" s="30"/>
      <c r="N571" s="30"/>
      <c r="O571" s="30"/>
      <c r="P571" s="30"/>
      <c r="Q571" s="30"/>
      <c r="R571" s="30"/>
      <c r="S571" s="30"/>
      <c r="T571" s="30"/>
      <c r="U571" s="30"/>
      <c r="V571" s="30"/>
      <c r="W571" s="30"/>
      <c r="X571" s="30"/>
    </row>
    <row r="572">
      <c r="A572" s="30"/>
      <c r="B572" s="30"/>
      <c r="C572" s="30"/>
      <c r="D572" s="30"/>
      <c r="E572" s="30"/>
      <c r="F572" s="30"/>
      <c r="G572" s="30"/>
      <c r="H572" s="30"/>
      <c r="I572" s="30"/>
      <c r="J572" s="30"/>
      <c r="K572" s="31"/>
      <c r="L572" s="30"/>
      <c r="M572" s="30"/>
      <c r="N572" s="30"/>
      <c r="O572" s="30"/>
      <c r="P572" s="30"/>
      <c r="Q572" s="30"/>
      <c r="R572" s="30"/>
      <c r="S572" s="30"/>
      <c r="T572" s="30"/>
      <c r="U572" s="30"/>
      <c r="V572" s="30"/>
      <c r="W572" s="30"/>
      <c r="X572" s="30"/>
    </row>
    <row r="573">
      <c r="A573" s="30"/>
      <c r="B573" s="30"/>
      <c r="C573" s="30"/>
      <c r="D573" s="30"/>
      <c r="E573" s="30"/>
      <c r="F573" s="30"/>
      <c r="G573" s="30"/>
      <c r="H573" s="30"/>
      <c r="I573" s="30"/>
      <c r="J573" s="30"/>
      <c r="K573" s="31"/>
      <c r="L573" s="30"/>
      <c r="M573" s="30"/>
      <c r="N573" s="30"/>
      <c r="O573" s="30"/>
      <c r="P573" s="30"/>
      <c r="Q573" s="30"/>
      <c r="R573" s="30"/>
      <c r="S573" s="30"/>
      <c r="T573" s="30"/>
      <c r="U573" s="30"/>
      <c r="V573" s="30"/>
      <c r="W573" s="30"/>
      <c r="X573" s="30"/>
    </row>
    <row r="574">
      <c r="A574" s="30"/>
      <c r="B574" s="30"/>
      <c r="C574" s="30"/>
      <c r="D574" s="30"/>
      <c r="E574" s="30"/>
      <c r="F574" s="30"/>
      <c r="G574" s="30"/>
      <c r="H574" s="30"/>
      <c r="I574" s="30"/>
      <c r="J574" s="30"/>
      <c r="K574" s="31"/>
      <c r="L574" s="30"/>
      <c r="M574" s="30"/>
      <c r="N574" s="30"/>
      <c r="O574" s="30"/>
      <c r="P574" s="30"/>
      <c r="Q574" s="30"/>
      <c r="R574" s="30"/>
      <c r="S574" s="30"/>
      <c r="T574" s="30"/>
      <c r="U574" s="30"/>
      <c r="V574" s="30"/>
      <c r="W574" s="30"/>
      <c r="X574" s="30"/>
    </row>
    <row r="575">
      <c r="A575" s="30"/>
      <c r="B575" s="30"/>
      <c r="C575" s="30"/>
      <c r="D575" s="30"/>
      <c r="E575" s="30"/>
      <c r="F575" s="30"/>
      <c r="G575" s="30"/>
      <c r="H575" s="30"/>
      <c r="I575" s="30"/>
      <c r="J575" s="30"/>
      <c r="K575" s="31"/>
      <c r="L575" s="30"/>
      <c r="M575" s="30"/>
      <c r="N575" s="30"/>
      <c r="O575" s="30"/>
      <c r="P575" s="30"/>
      <c r="Q575" s="30"/>
      <c r="R575" s="30"/>
      <c r="S575" s="30"/>
      <c r="T575" s="30"/>
      <c r="U575" s="30"/>
      <c r="V575" s="30"/>
      <c r="W575" s="30"/>
      <c r="X575" s="30"/>
    </row>
    <row r="576">
      <c r="A576" s="30"/>
      <c r="B576" s="30"/>
      <c r="C576" s="30"/>
      <c r="D576" s="30"/>
      <c r="E576" s="30"/>
      <c r="F576" s="30"/>
      <c r="G576" s="30"/>
      <c r="H576" s="30"/>
      <c r="I576" s="30"/>
      <c r="J576" s="30"/>
      <c r="K576" s="31"/>
      <c r="L576" s="30"/>
      <c r="M576" s="30"/>
      <c r="N576" s="30"/>
      <c r="O576" s="30"/>
      <c r="P576" s="30"/>
      <c r="Q576" s="30"/>
      <c r="R576" s="30"/>
      <c r="S576" s="30"/>
      <c r="T576" s="30"/>
      <c r="U576" s="30"/>
      <c r="V576" s="30"/>
      <c r="W576" s="30"/>
      <c r="X576" s="30"/>
    </row>
    <row r="577">
      <c r="A577" s="30"/>
      <c r="B577" s="30"/>
      <c r="C577" s="30"/>
      <c r="D577" s="30"/>
      <c r="E577" s="30"/>
      <c r="F577" s="30"/>
      <c r="G577" s="30"/>
      <c r="H577" s="30"/>
      <c r="I577" s="30"/>
      <c r="J577" s="30"/>
      <c r="K577" s="31"/>
      <c r="L577" s="30"/>
      <c r="M577" s="30"/>
      <c r="N577" s="30"/>
      <c r="O577" s="30"/>
      <c r="P577" s="30"/>
      <c r="Q577" s="30"/>
      <c r="R577" s="30"/>
      <c r="S577" s="30"/>
      <c r="T577" s="30"/>
      <c r="U577" s="30"/>
      <c r="V577" s="30"/>
      <c r="W577" s="30"/>
      <c r="X577" s="30"/>
    </row>
    <row r="578">
      <c r="A578" s="30"/>
      <c r="B578" s="30"/>
      <c r="C578" s="30"/>
      <c r="D578" s="30"/>
      <c r="E578" s="30"/>
      <c r="F578" s="30"/>
      <c r="G578" s="30"/>
      <c r="H578" s="30"/>
      <c r="I578" s="30"/>
      <c r="J578" s="30"/>
      <c r="K578" s="31"/>
      <c r="L578" s="30"/>
      <c r="M578" s="30"/>
      <c r="N578" s="30"/>
      <c r="O578" s="30"/>
      <c r="P578" s="30"/>
      <c r="Q578" s="30"/>
      <c r="R578" s="30"/>
      <c r="S578" s="30"/>
      <c r="T578" s="30"/>
      <c r="U578" s="30"/>
      <c r="V578" s="30"/>
      <c r="W578" s="30"/>
      <c r="X578" s="30"/>
    </row>
    <row r="579">
      <c r="A579" s="30"/>
      <c r="B579" s="30"/>
      <c r="C579" s="30"/>
      <c r="D579" s="30"/>
      <c r="E579" s="30"/>
      <c r="F579" s="30"/>
      <c r="G579" s="30"/>
      <c r="H579" s="30"/>
      <c r="I579" s="30"/>
      <c r="J579" s="30"/>
      <c r="K579" s="31"/>
      <c r="L579" s="30"/>
      <c r="M579" s="30"/>
      <c r="N579" s="30"/>
      <c r="O579" s="30"/>
      <c r="P579" s="30"/>
      <c r="Q579" s="30"/>
      <c r="R579" s="30"/>
      <c r="S579" s="30"/>
      <c r="T579" s="30"/>
      <c r="U579" s="30"/>
      <c r="V579" s="30"/>
      <c r="W579" s="30"/>
      <c r="X579" s="30"/>
    </row>
    <row r="580">
      <c r="A580" s="30"/>
      <c r="B580" s="30"/>
      <c r="C580" s="30"/>
      <c r="D580" s="30"/>
      <c r="E580" s="30"/>
      <c r="F580" s="30"/>
      <c r="G580" s="30"/>
      <c r="H580" s="30"/>
      <c r="I580" s="30"/>
      <c r="J580" s="30"/>
      <c r="K580" s="31"/>
      <c r="L580" s="30"/>
      <c r="M580" s="30"/>
      <c r="N580" s="30"/>
      <c r="O580" s="30"/>
      <c r="P580" s="30"/>
      <c r="Q580" s="30"/>
      <c r="R580" s="30"/>
      <c r="S580" s="30"/>
      <c r="T580" s="30"/>
      <c r="U580" s="30"/>
      <c r="V580" s="30"/>
      <c r="W580" s="30"/>
      <c r="X580" s="30"/>
    </row>
    <row r="581">
      <c r="A581" s="30"/>
      <c r="B581" s="30"/>
      <c r="C581" s="30"/>
      <c r="D581" s="30"/>
      <c r="E581" s="30"/>
      <c r="F581" s="30"/>
      <c r="G581" s="30"/>
      <c r="H581" s="30"/>
      <c r="I581" s="30"/>
      <c r="J581" s="30"/>
      <c r="K581" s="31"/>
      <c r="L581" s="30"/>
      <c r="M581" s="30"/>
      <c r="N581" s="30"/>
      <c r="O581" s="30"/>
      <c r="P581" s="30"/>
      <c r="Q581" s="30"/>
      <c r="R581" s="30"/>
      <c r="S581" s="30"/>
      <c r="T581" s="30"/>
      <c r="U581" s="30"/>
      <c r="V581" s="30"/>
      <c r="W581" s="30"/>
      <c r="X581" s="30"/>
    </row>
    <row r="582">
      <c r="A582" s="30"/>
      <c r="B582" s="30"/>
      <c r="C582" s="30"/>
      <c r="D582" s="30"/>
      <c r="E582" s="30"/>
      <c r="F582" s="30"/>
      <c r="G582" s="30"/>
      <c r="H582" s="30"/>
      <c r="I582" s="30"/>
      <c r="J582" s="30"/>
      <c r="K582" s="31"/>
      <c r="L582" s="30"/>
      <c r="M582" s="30"/>
      <c r="N582" s="30"/>
      <c r="O582" s="30"/>
      <c r="P582" s="30"/>
      <c r="Q582" s="30"/>
      <c r="R582" s="30"/>
      <c r="S582" s="30"/>
      <c r="T582" s="30"/>
      <c r="U582" s="30"/>
      <c r="V582" s="30"/>
      <c r="W582" s="30"/>
      <c r="X582" s="30"/>
    </row>
    <row r="583">
      <c r="A583" s="30"/>
      <c r="B583" s="30"/>
      <c r="C583" s="30"/>
      <c r="D583" s="30"/>
      <c r="E583" s="30"/>
      <c r="F583" s="30"/>
      <c r="G583" s="30"/>
      <c r="H583" s="30"/>
      <c r="I583" s="30"/>
      <c r="J583" s="30"/>
      <c r="K583" s="31"/>
      <c r="L583" s="30"/>
      <c r="M583" s="30"/>
      <c r="N583" s="30"/>
      <c r="O583" s="30"/>
      <c r="P583" s="30"/>
      <c r="Q583" s="30"/>
      <c r="R583" s="30"/>
      <c r="S583" s="30"/>
      <c r="T583" s="30"/>
      <c r="U583" s="30"/>
      <c r="V583" s="30"/>
      <c r="W583" s="30"/>
      <c r="X583" s="30"/>
    </row>
    <row r="584">
      <c r="A584" s="30"/>
      <c r="B584" s="30"/>
      <c r="C584" s="30"/>
      <c r="D584" s="30"/>
      <c r="E584" s="30"/>
      <c r="F584" s="30"/>
      <c r="G584" s="30"/>
      <c r="H584" s="30"/>
      <c r="I584" s="30"/>
      <c r="J584" s="30"/>
      <c r="K584" s="31"/>
      <c r="L584" s="30"/>
      <c r="M584" s="30"/>
      <c r="N584" s="30"/>
      <c r="O584" s="30"/>
      <c r="P584" s="30"/>
      <c r="Q584" s="30"/>
      <c r="R584" s="30"/>
      <c r="S584" s="30"/>
      <c r="T584" s="30"/>
      <c r="U584" s="30"/>
      <c r="V584" s="30"/>
      <c r="W584" s="30"/>
      <c r="X584" s="30"/>
    </row>
    <row r="585">
      <c r="A585" s="30"/>
      <c r="B585" s="30"/>
      <c r="C585" s="30"/>
      <c r="D585" s="30"/>
      <c r="E585" s="30"/>
      <c r="F585" s="30"/>
      <c r="G585" s="30"/>
      <c r="H585" s="30"/>
      <c r="I585" s="30"/>
      <c r="J585" s="30"/>
      <c r="K585" s="31"/>
      <c r="L585" s="30"/>
      <c r="M585" s="30"/>
      <c r="N585" s="30"/>
      <c r="O585" s="30"/>
      <c r="P585" s="30"/>
      <c r="Q585" s="30"/>
      <c r="R585" s="30"/>
      <c r="S585" s="30"/>
      <c r="T585" s="30"/>
      <c r="U585" s="30"/>
      <c r="V585" s="30"/>
      <c r="W585" s="30"/>
      <c r="X585" s="30"/>
    </row>
    <row r="586">
      <c r="A586" s="30"/>
      <c r="B586" s="30"/>
      <c r="C586" s="30"/>
      <c r="D586" s="30"/>
      <c r="E586" s="30"/>
      <c r="F586" s="30"/>
      <c r="G586" s="30"/>
      <c r="H586" s="30"/>
      <c r="I586" s="30"/>
      <c r="J586" s="30"/>
      <c r="K586" s="31"/>
      <c r="L586" s="30"/>
      <c r="M586" s="30"/>
      <c r="N586" s="30"/>
      <c r="O586" s="30"/>
      <c r="P586" s="30"/>
      <c r="Q586" s="30"/>
      <c r="R586" s="30"/>
      <c r="S586" s="30"/>
      <c r="T586" s="30"/>
      <c r="U586" s="30"/>
      <c r="V586" s="30"/>
      <c r="W586" s="30"/>
      <c r="X586" s="30"/>
    </row>
    <row r="587">
      <c r="A587" s="30"/>
      <c r="B587" s="30"/>
      <c r="C587" s="30"/>
      <c r="D587" s="30"/>
      <c r="E587" s="30"/>
      <c r="F587" s="30"/>
      <c r="G587" s="30"/>
      <c r="H587" s="30"/>
      <c r="I587" s="30"/>
      <c r="J587" s="30"/>
      <c r="K587" s="31"/>
      <c r="L587" s="30"/>
      <c r="M587" s="30"/>
      <c r="N587" s="30"/>
      <c r="O587" s="30"/>
      <c r="P587" s="30"/>
      <c r="Q587" s="30"/>
      <c r="R587" s="30"/>
      <c r="S587" s="30"/>
      <c r="T587" s="30"/>
      <c r="U587" s="30"/>
      <c r="V587" s="30"/>
      <c r="W587" s="30"/>
      <c r="X587" s="30"/>
    </row>
    <row r="588">
      <c r="A588" s="30"/>
      <c r="B588" s="30"/>
      <c r="C588" s="30"/>
      <c r="D588" s="30"/>
      <c r="E588" s="30"/>
      <c r="F588" s="30"/>
      <c r="G588" s="30"/>
      <c r="H588" s="30"/>
      <c r="I588" s="30"/>
      <c r="J588" s="30"/>
      <c r="K588" s="31"/>
      <c r="L588" s="30"/>
      <c r="M588" s="30"/>
      <c r="N588" s="30"/>
      <c r="O588" s="30"/>
      <c r="P588" s="30"/>
      <c r="Q588" s="30"/>
      <c r="R588" s="30"/>
      <c r="S588" s="30"/>
      <c r="T588" s="30"/>
      <c r="U588" s="30"/>
      <c r="V588" s="30"/>
      <c r="W588" s="30"/>
      <c r="X588" s="30"/>
    </row>
    <row r="589">
      <c r="A589" s="30"/>
      <c r="B589" s="30"/>
      <c r="C589" s="30"/>
      <c r="D589" s="30"/>
      <c r="E589" s="30"/>
      <c r="F589" s="30"/>
      <c r="G589" s="30"/>
      <c r="H589" s="30"/>
      <c r="I589" s="30"/>
      <c r="J589" s="30"/>
      <c r="K589" s="31"/>
      <c r="L589" s="30"/>
      <c r="M589" s="30"/>
      <c r="N589" s="30"/>
      <c r="O589" s="30"/>
      <c r="P589" s="30"/>
      <c r="Q589" s="30"/>
      <c r="R589" s="30"/>
      <c r="S589" s="30"/>
      <c r="T589" s="30"/>
      <c r="U589" s="30"/>
      <c r="V589" s="30"/>
      <c r="W589" s="30"/>
      <c r="X589" s="30"/>
    </row>
    <row r="590">
      <c r="A590" s="30"/>
      <c r="B590" s="30"/>
      <c r="C590" s="30"/>
      <c r="D590" s="30"/>
      <c r="E590" s="30"/>
      <c r="F590" s="30"/>
      <c r="G590" s="30"/>
      <c r="H590" s="30"/>
      <c r="I590" s="30"/>
      <c r="J590" s="30"/>
      <c r="K590" s="31"/>
      <c r="L590" s="30"/>
      <c r="M590" s="30"/>
      <c r="N590" s="30"/>
      <c r="O590" s="30"/>
      <c r="P590" s="30"/>
      <c r="Q590" s="30"/>
      <c r="R590" s="30"/>
      <c r="S590" s="30"/>
      <c r="T590" s="30"/>
      <c r="U590" s="30"/>
      <c r="V590" s="30"/>
      <c r="W590" s="30"/>
      <c r="X590" s="30"/>
    </row>
    <row r="591">
      <c r="A591" s="30"/>
      <c r="B591" s="30"/>
      <c r="C591" s="30"/>
      <c r="D591" s="30"/>
      <c r="E591" s="30"/>
      <c r="F591" s="30"/>
      <c r="G591" s="30"/>
      <c r="H591" s="30"/>
      <c r="I591" s="30"/>
      <c r="J591" s="30"/>
      <c r="K591" s="31"/>
      <c r="L591" s="30"/>
      <c r="M591" s="30"/>
      <c r="N591" s="30"/>
      <c r="O591" s="30"/>
      <c r="P591" s="30"/>
      <c r="Q591" s="30"/>
      <c r="R591" s="30"/>
      <c r="S591" s="30"/>
      <c r="T591" s="30"/>
      <c r="U591" s="30"/>
      <c r="V591" s="30"/>
      <c r="W591" s="30"/>
      <c r="X591" s="30"/>
    </row>
    <row r="592">
      <c r="A592" s="30"/>
      <c r="B592" s="30"/>
      <c r="C592" s="30"/>
      <c r="D592" s="30"/>
      <c r="E592" s="30"/>
      <c r="F592" s="30"/>
      <c r="G592" s="30"/>
      <c r="H592" s="30"/>
      <c r="I592" s="30"/>
      <c r="J592" s="30"/>
      <c r="K592" s="31"/>
      <c r="L592" s="30"/>
      <c r="M592" s="30"/>
      <c r="N592" s="30"/>
      <c r="O592" s="30"/>
      <c r="P592" s="30"/>
      <c r="Q592" s="30"/>
      <c r="R592" s="30"/>
      <c r="S592" s="30"/>
      <c r="T592" s="30"/>
      <c r="U592" s="30"/>
      <c r="V592" s="30"/>
      <c r="W592" s="30"/>
      <c r="X592" s="30"/>
    </row>
    <row r="593">
      <c r="A593" s="30"/>
      <c r="B593" s="30"/>
      <c r="C593" s="30"/>
      <c r="D593" s="30"/>
      <c r="E593" s="30"/>
      <c r="F593" s="30"/>
      <c r="G593" s="30"/>
      <c r="H593" s="30"/>
      <c r="I593" s="30"/>
      <c r="J593" s="30"/>
      <c r="K593" s="31"/>
      <c r="L593" s="30"/>
      <c r="M593" s="30"/>
      <c r="N593" s="30"/>
      <c r="O593" s="30"/>
      <c r="P593" s="30"/>
      <c r="Q593" s="30"/>
      <c r="R593" s="30"/>
      <c r="S593" s="30"/>
      <c r="T593" s="30"/>
      <c r="U593" s="30"/>
      <c r="V593" s="30"/>
      <c r="W593" s="30"/>
      <c r="X593" s="30"/>
    </row>
    <row r="594">
      <c r="A594" s="30"/>
      <c r="B594" s="30"/>
      <c r="C594" s="30"/>
      <c r="D594" s="30"/>
      <c r="E594" s="30"/>
      <c r="F594" s="30"/>
      <c r="G594" s="30"/>
      <c r="H594" s="30"/>
      <c r="I594" s="30"/>
      <c r="J594" s="30"/>
      <c r="K594" s="31"/>
      <c r="L594" s="30"/>
      <c r="M594" s="30"/>
      <c r="N594" s="30"/>
      <c r="O594" s="30"/>
      <c r="P594" s="30"/>
      <c r="Q594" s="30"/>
      <c r="R594" s="30"/>
      <c r="S594" s="30"/>
      <c r="T594" s="30"/>
      <c r="U594" s="30"/>
      <c r="V594" s="30"/>
      <c r="W594" s="30"/>
      <c r="X594" s="30"/>
    </row>
    <row r="595">
      <c r="A595" s="30"/>
      <c r="B595" s="30"/>
      <c r="C595" s="30"/>
      <c r="D595" s="30"/>
      <c r="E595" s="30"/>
      <c r="F595" s="30"/>
      <c r="G595" s="30"/>
      <c r="H595" s="30"/>
      <c r="I595" s="30"/>
      <c r="J595" s="30"/>
      <c r="K595" s="31"/>
      <c r="L595" s="30"/>
      <c r="M595" s="30"/>
      <c r="N595" s="30"/>
      <c r="O595" s="30"/>
      <c r="P595" s="30"/>
      <c r="Q595" s="30"/>
      <c r="R595" s="30"/>
      <c r="S595" s="30"/>
      <c r="T595" s="30"/>
      <c r="U595" s="30"/>
      <c r="V595" s="30"/>
      <c r="W595" s="30"/>
      <c r="X595" s="30"/>
    </row>
    <row r="596">
      <c r="A596" s="30"/>
      <c r="B596" s="30"/>
      <c r="C596" s="30"/>
      <c r="D596" s="30"/>
      <c r="E596" s="30"/>
      <c r="F596" s="30"/>
      <c r="G596" s="30"/>
      <c r="H596" s="30"/>
      <c r="I596" s="30"/>
      <c r="J596" s="30"/>
      <c r="K596" s="31"/>
      <c r="L596" s="30"/>
      <c r="M596" s="30"/>
      <c r="N596" s="30"/>
      <c r="O596" s="30"/>
      <c r="P596" s="30"/>
      <c r="Q596" s="30"/>
      <c r="R596" s="30"/>
      <c r="S596" s="30"/>
      <c r="T596" s="30"/>
      <c r="U596" s="30"/>
      <c r="V596" s="30"/>
      <c r="W596" s="30"/>
      <c r="X596" s="30"/>
    </row>
    <row r="597">
      <c r="A597" s="30"/>
      <c r="B597" s="30"/>
      <c r="C597" s="30"/>
      <c r="D597" s="30"/>
      <c r="E597" s="30"/>
      <c r="F597" s="30"/>
      <c r="G597" s="30"/>
      <c r="H597" s="30"/>
      <c r="I597" s="30"/>
      <c r="J597" s="30"/>
      <c r="K597" s="31"/>
      <c r="L597" s="30"/>
      <c r="M597" s="30"/>
      <c r="N597" s="30"/>
      <c r="O597" s="30"/>
      <c r="P597" s="30"/>
      <c r="Q597" s="30"/>
      <c r="R597" s="30"/>
      <c r="S597" s="30"/>
      <c r="T597" s="30"/>
      <c r="U597" s="30"/>
      <c r="V597" s="30"/>
      <c r="W597" s="30"/>
      <c r="X597" s="30"/>
    </row>
    <row r="598">
      <c r="A598" s="30"/>
      <c r="B598" s="30"/>
      <c r="C598" s="30"/>
      <c r="D598" s="30"/>
      <c r="E598" s="30"/>
      <c r="F598" s="30"/>
      <c r="G598" s="30"/>
      <c r="H598" s="30"/>
      <c r="I598" s="30"/>
      <c r="J598" s="30"/>
      <c r="K598" s="31"/>
      <c r="L598" s="30"/>
      <c r="M598" s="30"/>
      <c r="N598" s="30"/>
      <c r="O598" s="30"/>
      <c r="P598" s="30"/>
      <c r="Q598" s="30"/>
      <c r="R598" s="30"/>
      <c r="S598" s="30"/>
      <c r="T598" s="30"/>
      <c r="U598" s="30"/>
      <c r="V598" s="30"/>
      <c r="W598" s="30"/>
      <c r="X598" s="30"/>
    </row>
    <row r="599">
      <c r="A599" s="30"/>
      <c r="B599" s="30"/>
      <c r="C599" s="30"/>
      <c r="D599" s="30"/>
      <c r="E599" s="30"/>
      <c r="F599" s="30"/>
      <c r="G599" s="30"/>
      <c r="H599" s="30"/>
      <c r="I599" s="30"/>
      <c r="J599" s="30"/>
      <c r="K599" s="31"/>
      <c r="L599" s="30"/>
      <c r="M599" s="30"/>
      <c r="N599" s="30"/>
      <c r="O599" s="30"/>
      <c r="P599" s="30"/>
      <c r="Q599" s="30"/>
      <c r="R599" s="30"/>
      <c r="S599" s="30"/>
      <c r="T599" s="30"/>
      <c r="U599" s="30"/>
      <c r="V599" s="30"/>
      <c r="W599" s="30"/>
      <c r="X599" s="30"/>
    </row>
    <row r="600">
      <c r="A600" s="30"/>
      <c r="B600" s="30"/>
      <c r="C600" s="30"/>
      <c r="D600" s="30"/>
      <c r="E600" s="30"/>
      <c r="F600" s="30"/>
      <c r="G600" s="30"/>
      <c r="H600" s="30"/>
      <c r="I600" s="30"/>
      <c r="J600" s="30"/>
      <c r="K600" s="35"/>
      <c r="L600" s="30"/>
      <c r="M600" s="30"/>
      <c r="N600" s="30"/>
      <c r="O600" s="30"/>
      <c r="P600" s="30"/>
      <c r="Q600" s="30"/>
      <c r="R600" s="30"/>
      <c r="S600" s="30"/>
      <c r="T600" s="30"/>
      <c r="U600" s="30"/>
      <c r="V600" s="30"/>
      <c r="W600" s="30"/>
      <c r="X600" s="30"/>
    </row>
    <row r="601">
      <c r="A601" s="30"/>
      <c r="B601" s="30"/>
      <c r="C601" s="30"/>
      <c r="D601" s="30"/>
      <c r="E601" s="30"/>
      <c r="F601" s="30"/>
      <c r="G601" s="30"/>
      <c r="H601" s="30"/>
      <c r="I601" s="30"/>
      <c r="J601" s="30"/>
      <c r="K601" s="31"/>
      <c r="L601" s="30"/>
      <c r="M601" s="30"/>
      <c r="N601" s="30"/>
      <c r="O601" s="30"/>
      <c r="P601" s="30"/>
      <c r="Q601" s="30"/>
      <c r="R601" s="30"/>
      <c r="S601" s="30"/>
      <c r="T601" s="30"/>
      <c r="U601" s="30"/>
      <c r="V601" s="30"/>
      <c r="W601" s="30"/>
      <c r="X601" s="30"/>
    </row>
    <row r="602">
      <c r="A602" s="30"/>
      <c r="B602" s="30"/>
      <c r="C602" s="30"/>
      <c r="D602" s="30"/>
      <c r="E602" s="30"/>
      <c r="F602" s="30"/>
      <c r="G602" s="30"/>
      <c r="H602" s="30"/>
      <c r="I602" s="30"/>
      <c r="J602" s="30"/>
      <c r="K602" s="31"/>
      <c r="L602" s="30"/>
      <c r="M602" s="30"/>
      <c r="N602" s="30"/>
      <c r="O602" s="30"/>
      <c r="P602" s="30"/>
      <c r="Q602" s="30"/>
      <c r="R602" s="30"/>
      <c r="S602" s="30"/>
      <c r="T602" s="30"/>
      <c r="U602" s="30"/>
      <c r="V602" s="30"/>
      <c r="W602" s="30"/>
      <c r="X602" s="30"/>
    </row>
    <row r="603">
      <c r="A603" s="30"/>
      <c r="B603" s="30"/>
      <c r="C603" s="30"/>
      <c r="D603" s="30"/>
      <c r="E603" s="30"/>
      <c r="F603" s="30"/>
      <c r="G603" s="30"/>
      <c r="H603" s="30"/>
      <c r="I603" s="30"/>
      <c r="J603" s="30"/>
      <c r="K603" s="31"/>
      <c r="L603" s="30"/>
      <c r="M603" s="30"/>
      <c r="N603" s="30"/>
      <c r="O603" s="30"/>
      <c r="P603" s="30"/>
      <c r="Q603" s="30"/>
      <c r="R603" s="30"/>
      <c r="S603" s="30"/>
      <c r="T603" s="30"/>
      <c r="U603" s="30"/>
      <c r="V603" s="30"/>
      <c r="W603" s="30"/>
      <c r="X603" s="30"/>
    </row>
    <row r="604">
      <c r="A604" s="30"/>
      <c r="B604" s="30"/>
      <c r="C604" s="30"/>
      <c r="D604" s="30"/>
      <c r="E604" s="30"/>
      <c r="F604" s="30"/>
      <c r="G604" s="30"/>
      <c r="H604" s="30"/>
      <c r="I604" s="30"/>
      <c r="J604" s="30"/>
      <c r="K604" s="31"/>
      <c r="L604" s="30"/>
      <c r="M604" s="30"/>
      <c r="N604" s="30"/>
      <c r="O604" s="30"/>
      <c r="P604" s="30"/>
      <c r="Q604" s="30"/>
      <c r="R604" s="30"/>
      <c r="S604" s="30"/>
      <c r="T604" s="30"/>
      <c r="U604" s="30"/>
      <c r="V604" s="30"/>
      <c r="W604" s="30"/>
      <c r="X604" s="30"/>
    </row>
    <row r="605">
      <c r="A605" s="30"/>
      <c r="B605" s="30"/>
      <c r="C605" s="30"/>
      <c r="D605" s="30"/>
      <c r="E605" s="30"/>
      <c r="F605" s="30"/>
      <c r="G605" s="30"/>
      <c r="H605" s="30"/>
      <c r="I605" s="30"/>
      <c r="J605" s="30"/>
      <c r="K605" s="31"/>
      <c r="L605" s="30"/>
      <c r="M605" s="30"/>
      <c r="N605" s="30"/>
      <c r="O605" s="30"/>
      <c r="P605" s="30"/>
      <c r="Q605" s="30"/>
      <c r="R605" s="30"/>
      <c r="S605" s="30"/>
      <c r="T605" s="30"/>
      <c r="U605" s="30"/>
      <c r="V605" s="30"/>
      <c r="W605" s="30"/>
      <c r="X605" s="30"/>
    </row>
    <row r="606">
      <c r="A606" s="30"/>
      <c r="B606" s="30"/>
      <c r="C606" s="30"/>
      <c r="D606" s="30"/>
      <c r="E606" s="30"/>
      <c r="F606" s="30"/>
      <c r="G606" s="30"/>
      <c r="H606" s="30"/>
      <c r="I606" s="30"/>
      <c r="J606" s="30"/>
      <c r="K606" s="31"/>
      <c r="L606" s="30"/>
      <c r="M606" s="30"/>
      <c r="N606" s="30"/>
      <c r="O606" s="30"/>
      <c r="P606" s="30"/>
      <c r="Q606" s="30"/>
      <c r="R606" s="30"/>
      <c r="S606" s="30"/>
      <c r="T606" s="30"/>
      <c r="U606" s="30"/>
      <c r="V606" s="30"/>
      <c r="W606" s="30"/>
      <c r="X606" s="30"/>
    </row>
    <row r="607">
      <c r="A607" s="30"/>
      <c r="B607" s="30"/>
      <c r="C607" s="30"/>
      <c r="D607" s="30"/>
      <c r="E607" s="30"/>
      <c r="F607" s="30"/>
      <c r="G607" s="30"/>
      <c r="H607" s="30"/>
      <c r="I607" s="30"/>
      <c r="J607" s="30"/>
      <c r="K607" s="31"/>
      <c r="L607" s="30"/>
      <c r="M607" s="30"/>
      <c r="N607" s="30"/>
      <c r="O607" s="30"/>
      <c r="P607" s="30"/>
      <c r="Q607" s="30"/>
      <c r="R607" s="30"/>
      <c r="S607" s="30"/>
      <c r="T607" s="30"/>
      <c r="U607" s="30"/>
      <c r="V607" s="30"/>
      <c r="W607" s="30"/>
      <c r="X607" s="30"/>
    </row>
    <row r="608">
      <c r="A608" s="30"/>
      <c r="B608" s="30"/>
      <c r="C608" s="30"/>
      <c r="D608" s="30"/>
      <c r="E608" s="30"/>
      <c r="F608" s="30"/>
      <c r="G608" s="30"/>
      <c r="H608" s="30"/>
      <c r="I608" s="30"/>
      <c r="J608" s="30"/>
      <c r="K608" s="31"/>
      <c r="L608" s="30"/>
      <c r="M608" s="30"/>
      <c r="N608" s="30"/>
      <c r="O608" s="30"/>
      <c r="P608" s="30"/>
      <c r="Q608" s="30"/>
      <c r="R608" s="30"/>
      <c r="S608" s="30"/>
      <c r="T608" s="30"/>
      <c r="U608" s="30"/>
      <c r="V608" s="30"/>
      <c r="W608" s="30"/>
      <c r="X608" s="30"/>
    </row>
    <row r="609">
      <c r="A609" s="30"/>
      <c r="B609" s="30"/>
      <c r="C609" s="30"/>
      <c r="D609" s="30"/>
      <c r="E609" s="30"/>
      <c r="F609" s="30"/>
      <c r="G609" s="30"/>
      <c r="H609" s="30"/>
      <c r="I609" s="30"/>
      <c r="J609" s="30"/>
      <c r="K609" s="31"/>
      <c r="L609" s="30"/>
      <c r="M609" s="30"/>
      <c r="N609" s="30"/>
      <c r="O609" s="30"/>
      <c r="P609" s="30"/>
      <c r="Q609" s="30"/>
      <c r="R609" s="30"/>
      <c r="S609" s="30"/>
      <c r="T609" s="30"/>
      <c r="U609" s="30"/>
      <c r="V609" s="30"/>
      <c r="W609" s="30"/>
      <c r="X609" s="30"/>
    </row>
    <row r="610">
      <c r="A610" s="30"/>
      <c r="B610" s="30"/>
      <c r="C610" s="30"/>
      <c r="D610" s="30"/>
      <c r="E610" s="30"/>
      <c r="F610" s="30"/>
      <c r="G610" s="30"/>
      <c r="H610" s="30"/>
      <c r="I610" s="30"/>
      <c r="J610" s="30"/>
      <c r="K610" s="31"/>
      <c r="L610" s="30"/>
      <c r="M610" s="30"/>
      <c r="N610" s="30"/>
      <c r="O610" s="30"/>
      <c r="P610" s="30"/>
      <c r="Q610" s="30"/>
      <c r="R610" s="30"/>
      <c r="S610" s="30"/>
      <c r="T610" s="30"/>
      <c r="U610" s="30"/>
      <c r="V610" s="30"/>
      <c r="W610" s="30"/>
      <c r="X610" s="30"/>
    </row>
    <row r="611">
      <c r="A611" s="30"/>
      <c r="B611" s="30"/>
      <c r="C611" s="30"/>
      <c r="D611" s="30"/>
      <c r="E611" s="30"/>
      <c r="F611" s="30"/>
      <c r="G611" s="30"/>
      <c r="H611" s="30"/>
      <c r="I611" s="30"/>
      <c r="J611" s="30"/>
      <c r="K611" s="31"/>
      <c r="L611" s="30"/>
      <c r="M611" s="30"/>
      <c r="N611" s="30"/>
      <c r="O611" s="30"/>
      <c r="P611" s="30"/>
      <c r="Q611" s="30"/>
      <c r="R611" s="30"/>
      <c r="S611" s="30"/>
      <c r="T611" s="30"/>
      <c r="U611" s="30"/>
      <c r="V611" s="30"/>
      <c r="W611" s="30"/>
      <c r="X611" s="30"/>
    </row>
    <row r="612">
      <c r="A612" s="30"/>
      <c r="B612" s="30"/>
      <c r="C612" s="30"/>
      <c r="D612" s="30"/>
      <c r="E612" s="30"/>
      <c r="F612" s="30"/>
      <c r="G612" s="30"/>
      <c r="H612" s="30"/>
      <c r="I612" s="30"/>
      <c r="J612" s="30"/>
      <c r="K612" s="31"/>
      <c r="L612" s="30"/>
      <c r="M612" s="30"/>
      <c r="N612" s="30"/>
      <c r="O612" s="30"/>
      <c r="P612" s="30"/>
      <c r="Q612" s="30"/>
      <c r="R612" s="30"/>
      <c r="S612" s="30"/>
      <c r="T612" s="30"/>
      <c r="U612" s="30"/>
      <c r="V612" s="30"/>
      <c r="W612" s="30"/>
      <c r="X612" s="30"/>
    </row>
    <row r="613">
      <c r="A613" s="30"/>
      <c r="B613" s="30"/>
      <c r="C613" s="30"/>
      <c r="D613" s="30"/>
      <c r="E613" s="30"/>
      <c r="F613" s="30"/>
      <c r="G613" s="30"/>
      <c r="H613" s="30"/>
      <c r="I613" s="30"/>
      <c r="J613" s="30"/>
      <c r="K613" s="31"/>
      <c r="L613" s="30"/>
      <c r="M613" s="30"/>
      <c r="N613" s="30"/>
      <c r="O613" s="30"/>
      <c r="P613" s="30"/>
      <c r="Q613" s="30"/>
      <c r="R613" s="30"/>
      <c r="S613" s="30"/>
      <c r="T613" s="30"/>
      <c r="U613" s="30"/>
      <c r="V613" s="30"/>
      <c r="W613" s="30"/>
      <c r="X613" s="30"/>
    </row>
    <row r="614">
      <c r="A614" s="30"/>
      <c r="B614" s="30"/>
      <c r="C614" s="30"/>
      <c r="D614" s="30"/>
      <c r="E614" s="30"/>
      <c r="F614" s="30"/>
      <c r="G614" s="30"/>
      <c r="H614" s="30"/>
      <c r="I614" s="30"/>
      <c r="J614" s="30"/>
      <c r="K614" s="31"/>
      <c r="L614" s="30"/>
      <c r="M614" s="30"/>
      <c r="N614" s="30"/>
      <c r="O614" s="30"/>
      <c r="P614" s="30"/>
      <c r="Q614" s="30"/>
      <c r="R614" s="30"/>
      <c r="S614" s="30"/>
      <c r="T614" s="30"/>
      <c r="U614" s="30"/>
      <c r="V614" s="30"/>
      <c r="W614" s="30"/>
      <c r="X614" s="30"/>
    </row>
    <row r="615">
      <c r="A615" s="30"/>
      <c r="B615" s="30"/>
      <c r="C615" s="30"/>
      <c r="D615" s="30"/>
      <c r="E615" s="30"/>
      <c r="F615" s="30"/>
      <c r="G615" s="30"/>
      <c r="H615" s="30"/>
      <c r="I615" s="30"/>
      <c r="J615" s="30"/>
      <c r="K615" s="31"/>
      <c r="L615" s="30"/>
      <c r="M615" s="30"/>
      <c r="N615" s="30"/>
      <c r="O615" s="30"/>
      <c r="P615" s="30"/>
      <c r="Q615" s="30"/>
      <c r="R615" s="30"/>
      <c r="S615" s="30"/>
      <c r="T615" s="30"/>
      <c r="U615" s="30"/>
      <c r="V615" s="30"/>
      <c r="W615" s="30"/>
      <c r="X615" s="30"/>
    </row>
    <row r="616">
      <c r="A616" s="30"/>
      <c r="B616" s="30"/>
      <c r="C616" s="30"/>
      <c r="D616" s="30"/>
      <c r="E616" s="30"/>
      <c r="F616" s="30"/>
      <c r="G616" s="30"/>
      <c r="H616" s="30"/>
      <c r="I616" s="30"/>
      <c r="J616" s="30"/>
      <c r="K616" s="31"/>
      <c r="L616" s="30"/>
      <c r="M616" s="30"/>
      <c r="N616" s="30"/>
      <c r="O616" s="30"/>
      <c r="P616" s="30"/>
      <c r="Q616" s="30"/>
      <c r="R616" s="30"/>
      <c r="S616" s="30"/>
      <c r="T616" s="30"/>
      <c r="U616" s="30"/>
      <c r="V616" s="30"/>
      <c r="W616" s="30"/>
      <c r="X616" s="30"/>
    </row>
    <row r="617">
      <c r="A617" s="30"/>
      <c r="B617" s="30"/>
      <c r="C617" s="30"/>
      <c r="D617" s="30"/>
      <c r="E617" s="30"/>
      <c r="F617" s="30"/>
      <c r="G617" s="30"/>
      <c r="H617" s="30"/>
      <c r="I617" s="30"/>
      <c r="J617" s="30"/>
      <c r="K617" s="31"/>
      <c r="L617" s="30"/>
      <c r="M617" s="30"/>
      <c r="N617" s="30"/>
      <c r="O617" s="30"/>
      <c r="P617" s="30"/>
      <c r="Q617" s="30"/>
      <c r="R617" s="30"/>
      <c r="S617" s="30"/>
      <c r="T617" s="30"/>
      <c r="U617" s="30"/>
      <c r="V617" s="30"/>
      <c r="W617" s="30"/>
      <c r="X617" s="30"/>
    </row>
    <row r="618">
      <c r="A618" s="30"/>
      <c r="B618" s="30"/>
      <c r="C618" s="30"/>
      <c r="D618" s="30"/>
      <c r="E618" s="30"/>
      <c r="F618" s="30"/>
      <c r="G618" s="30"/>
      <c r="H618" s="30"/>
      <c r="I618" s="30"/>
      <c r="J618" s="30"/>
      <c r="K618" s="31"/>
      <c r="L618" s="30"/>
      <c r="M618" s="30"/>
      <c r="N618" s="30"/>
      <c r="O618" s="30"/>
      <c r="P618" s="30"/>
      <c r="Q618" s="30"/>
      <c r="R618" s="30"/>
      <c r="S618" s="30"/>
      <c r="T618" s="30"/>
      <c r="U618" s="30"/>
      <c r="V618" s="30"/>
      <c r="W618" s="30"/>
      <c r="X618" s="30"/>
    </row>
    <row r="619">
      <c r="A619" s="30"/>
      <c r="B619" s="30"/>
      <c r="C619" s="30"/>
      <c r="D619" s="30"/>
      <c r="E619" s="30"/>
      <c r="F619" s="30"/>
      <c r="G619" s="30"/>
      <c r="H619" s="30"/>
      <c r="I619" s="30"/>
      <c r="J619" s="30"/>
      <c r="K619" s="31"/>
      <c r="L619" s="30"/>
      <c r="M619" s="30"/>
      <c r="N619" s="30"/>
      <c r="O619" s="30"/>
      <c r="P619" s="30"/>
      <c r="Q619" s="30"/>
      <c r="R619" s="30"/>
      <c r="S619" s="30"/>
      <c r="T619" s="30"/>
      <c r="U619" s="30"/>
      <c r="V619" s="30"/>
      <c r="W619" s="30"/>
      <c r="X619" s="30"/>
    </row>
    <row r="620">
      <c r="A620" s="30"/>
      <c r="B620" s="30"/>
      <c r="C620" s="30"/>
      <c r="D620" s="30"/>
      <c r="E620" s="30"/>
      <c r="F620" s="30"/>
      <c r="G620" s="30"/>
      <c r="H620" s="30"/>
      <c r="I620" s="30"/>
      <c r="J620" s="30"/>
      <c r="K620" s="31"/>
      <c r="L620" s="30"/>
      <c r="M620" s="30"/>
      <c r="N620" s="30"/>
      <c r="O620" s="30"/>
      <c r="P620" s="30"/>
      <c r="Q620" s="30"/>
      <c r="R620" s="30"/>
      <c r="S620" s="30"/>
      <c r="T620" s="30"/>
      <c r="U620" s="30"/>
      <c r="V620" s="30"/>
      <c r="W620" s="30"/>
      <c r="X620" s="30"/>
    </row>
    <row r="621">
      <c r="A621" s="30"/>
      <c r="B621" s="30"/>
      <c r="C621" s="30"/>
      <c r="D621" s="30"/>
      <c r="E621" s="30"/>
      <c r="F621" s="30"/>
      <c r="G621" s="30"/>
      <c r="H621" s="30"/>
      <c r="I621" s="30"/>
      <c r="J621" s="30"/>
      <c r="K621" s="31"/>
      <c r="L621" s="30"/>
      <c r="M621" s="30"/>
      <c r="N621" s="30"/>
      <c r="O621" s="30"/>
      <c r="P621" s="30"/>
      <c r="Q621" s="30"/>
      <c r="R621" s="30"/>
      <c r="S621" s="30"/>
      <c r="T621" s="30"/>
      <c r="U621" s="30"/>
      <c r="V621" s="30"/>
      <c r="W621" s="30"/>
      <c r="X621" s="30"/>
    </row>
    <row r="622">
      <c r="A622" s="30"/>
      <c r="B622" s="30"/>
      <c r="C622" s="30"/>
      <c r="D622" s="30"/>
      <c r="E622" s="30"/>
      <c r="F622" s="30"/>
      <c r="G622" s="30"/>
      <c r="H622" s="30"/>
      <c r="I622" s="30"/>
      <c r="J622" s="30"/>
      <c r="K622" s="31"/>
      <c r="L622" s="30"/>
      <c r="M622" s="30"/>
      <c r="N622" s="30"/>
      <c r="O622" s="30"/>
      <c r="P622" s="30"/>
      <c r="Q622" s="30"/>
      <c r="R622" s="30"/>
      <c r="S622" s="30"/>
      <c r="T622" s="30"/>
      <c r="U622" s="30"/>
      <c r="V622" s="30"/>
      <c r="W622" s="30"/>
      <c r="X622" s="30"/>
    </row>
    <row r="623">
      <c r="A623" s="30"/>
      <c r="B623" s="30"/>
      <c r="C623" s="30"/>
      <c r="D623" s="30"/>
      <c r="E623" s="30"/>
      <c r="F623" s="30"/>
      <c r="G623" s="30"/>
      <c r="H623" s="30"/>
      <c r="I623" s="30"/>
      <c r="J623" s="30"/>
      <c r="K623" s="31"/>
      <c r="L623" s="30"/>
      <c r="M623" s="30"/>
      <c r="N623" s="30"/>
      <c r="O623" s="30"/>
      <c r="P623" s="30"/>
      <c r="Q623" s="30"/>
      <c r="R623" s="30"/>
      <c r="S623" s="30"/>
      <c r="T623" s="30"/>
      <c r="U623" s="30"/>
      <c r="V623" s="30"/>
      <c r="W623" s="30"/>
      <c r="X623" s="30"/>
    </row>
    <row r="624">
      <c r="A624" s="30"/>
      <c r="B624" s="30"/>
      <c r="C624" s="30"/>
      <c r="D624" s="30"/>
      <c r="E624" s="30"/>
      <c r="F624" s="30"/>
      <c r="G624" s="30"/>
      <c r="H624" s="30"/>
      <c r="I624" s="30"/>
      <c r="J624" s="30"/>
      <c r="K624" s="31"/>
      <c r="L624" s="30"/>
      <c r="M624" s="30"/>
      <c r="N624" s="30"/>
      <c r="O624" s="30"/>
      <c r="P624" s="30"/>
      <c r="Q624" s="30"/>
      <c r="R624" s="30"/>
      <c r="S624" s="30"/>
      <c r="T624" s="30"/>
      <c r="U624" s="30"/>
      <c r="V624" s="30"/>
      <c r="W624" s="30"/>
      <c r="X624" s="30"/>
    </row>
    <row r="625">
      <c r="A625" s="30"/>
      <c r="B625" s="30"/>
      <c r="C625" s="30"/>
      <c r="D625" s="30"/>
      <c r="E625" s="30"/>
      <c r="F625" s="30"/>
      <c r="G625" s="30"/>
      <c r="H625" s="30"/>
      <c r="I625" s="30"/>
      <c r="J625" s="30"/>
      <c r="K625" s="31"/>
      <c r="L625" s="30"/>
      <c r="M625" s="30"/>
      <c r="N625" s="30"/>
      <c r="O625" s="30"/>
      <c r="P625" s="30"/>
      <c r="Q625" s="30"/>
      <c r="R625" s="30"/>
      <c r="S625" s="30"/>
      <c r="T625" s="30"/>
      <c r="U625" s="30"/>
      <c r="V625" s="30"/>
      <c r="W625" s="30"/>
      <c r="X625" s="30"/>
    </row>
    <row r="626">
      <c r="A626" s="30"/>
      <c r="B626" s="30"/>
      <c r="C626" s="30"/>
      <c r="D626" s="30"/>
      <c r="E626" s="30"/>
      <c r="F626" s="30"/>
      <c r="G626" s="30"/>
      <c r="H626" s="30"/>
      <c r="I626" s="30"/>
      <c r="J626" s="30"/>
      <c r="K626" s="31"/>
      <c r="L626" s="30"/>
      <c r="M626" s="30"/>
      <c r="N626" s="30"/>
      <c r="O626" s="30"/>
      <c r="P626" s="30"/>
      <c r="Q626" s="30"/>
      <c r="R626" s="30"/>
      <c r="S626" s="30"/>
      <c r="T626" s="30"/>
      <c r="U626" s="30"/>
      <c r="V626" s="30"/>
      <c r="W626" s="30"/>
      <c r="X626" s="30"/>
    </row>
    <row r="627">
      <c r="A627" s="30"/>
      <c r="B627" s="30"/>
      <c r="C627" s="30"/>
      <c r="D627" s="30"/>
      <c r="E627" s="30"/>
      <c r="F627" s="30"/>
      <c r="G627" s="30"/>
      <c r="H627" s="30"/>
      <c r="I627" s="30"/>
      <c r="J627" s="30"/>
      <c r="K627" s="31"/>
      <c r="L627" s="30"/>
      <c r="M627" s="30"/>
      <c r="N627" s="30"/>
      <c r="O627" s="30"/>
      <c r="P627" s="30"/>
      <c r="Q627" s="30"/>
      <c r="R627" s="30"/>
      <c r="S627" s="30"/>
      <c r="T627" s="30"/>
      <c r="U627" s="30"/>
      <c r="V627" s="30"/>
      <c r="W627" s="30"/>
      <c r="X627" s="30"/>
    </row>
    <row r="628">
      <c r="A628" s="30"/>
      <c r="B628" s="30"/>
      <c r="C628" s="30"/>
      <c r="D628" s="30"/>
      <c r="E628" s="30"/>
      <c r="F628" s="30"/>
      <c r="G628" s="30"/>
      <c r="H628" s="30"/>
      <c r="I628" s="30"/>
      <c r="J628" s="30"/>
      <c r="K628" s="31"/>
      <c r="L628" s="30"/>
      <c r="M628" s="30"/>
      <c r="N628" s="30"/>
      <c r="O628" s="30"/>
      <c r="P628" s="30"/>
      <c r="Q628" s="30"/>
      <c r="R628" s="30"/>
      <c r="S628" s="30"/>
      <c r="T628" s="30"/>
      <c r="U628" s="30"/>
      <c r="V628" s="30"/>
      <c r="W628" s="30"/>
      <c r="X628" s="30"/>
    </row>
    <row r="629">
      <c r="A629" s="30"/>
      <c r="B629" s="30"/>
      <c r="C629" s="30"/>
      <c r="D629" s="30"/>
      <c r="E629" s="30"/>
      <c r="F629" s="30"/>
      <c r="G629" s="30"/>
      <c r="H629" s="30"/>
      <c r="I629" s="30"/>
      <c r="J629" s="30"/>
      <c r="K629" s="31"/>
      <c r="L629" s="30"/>
      <c r="M629" s="30"/>
      <c r="N629" s="30"/>
      <c r="O629" s="30"/>
      <c r="P629" s="30"/>
      <c r="Q629" s="30"/>
      <c r="R629" s="30"/>
      <c r="S629" s="30"/>
      <c r="T629" s="30"/>
      <c r="U629" s="30"/>
      <c r="V629" s="30"/>
      <c r="W629" s="30"/>
      <c r="X629" s="30"/>
    </row>
    <row r="630">
      <c r="A630" s="30"/>
      <c r="B630" s="30"/>
      <c r="C630" s="30"/>
      <c r="D630" s="30"/>
      <c r="E630" s="30"/>
      <c r="F630" s="30"/>
      <c r="G630" s="30"/>
      <c r="H630" s="30"/>
      <c r="I630" s="30"/>
      <c r="J630" s="30"/>
      <c r="K630" s="31"/>
      <c r="L630" s="30"/>
      <c r="M630" s="30"/>
      <c r="N630" s="30"/>
      <c r="O630" s="30"/>
      <c r="P630" s="30"/>
      <c r="Q630" s="30"/>
      <c r="R630" s="30"/>
      <c r="S630" s="30"/>
      <c r="T630" s="30"/>
      <c r="U630" s="30"/>
      <c r="V630" s="30"/>
      <c r="W630" s="30"/>
      <c r="X630" s="30"/>
    </row>
    <row r="631">
      <c r="A631" s="30"/>
      <c r="B631" s="30"/>
      <c r="C631" s="30"/>
      <c r="D631" s="30"/>
      <c r="E631" s="30"/>
      <c r="F631" s="30"/>
      <c r="G631" s="30"/>
      <c r="H631" s="30"/>
      <c r="I631" s="30"/>
      <c r="J631" s="30"/>
      <c r="K631" s="31"/>
      <c r="L631" s="30"/>
      <c r="M631" s="30"/>
      <c r="N631" s="30"/>
      <c r="O631" s="30"/>
      <c r="P631" s="30"/>
      <c r="Q631" s="30"/>
      <c r="R631" s="30"/>
      <c r="S631" s="30"/>
      <c r="T631" s="30"/>
      <c r="U631" s="30"/>
      <c r="V631" s="30"/>
      <c r="W631" s="30"/>
      <c r="X631" s="30"/>
    </row>
    <row r="632">
      <c r="A632" s="30"/>
      <c r="B632" s="30"/>
      <c r="C632" s="30"/>
      <c r="D632" s="30"/>
      <c r="E632" s="30"/>
      <c r="F632" s="30"/>
      <c r="G632" s="30"/>
      <c r="H632" s="30"/>
      <c r="I632" s="30"/>
      <c r="J632" s="30"/>
      <c r="K632" s="31"/>
      <c r="L632" s="30"/>
      <c r="M632" s="30"/>
      <c r="N632" s="30"/>
      <c r="O632" s="30"/>
      <c r="P632" s="30"/>
      <c r="Q632" s="30"/>
      <c r="R632" s="30"/>
      <c r="S632" s="30"/>
      <c r="T632" s="30"/>
      <c r="U632" s="30"/>
      <c r="V632" s="30"/>
      <c r="W632" s="30"/>
      <c r="X632" s="30"/>
    </row>
    <row r="633">
      <c r="A633" s="30"/>
      <c r="B633" s="30"/>
      <c r="C633" s="30"/>
      <c r="D633" s="30"/>
      <c r="E633" s="30"/>
      <c r="F633" s="30"/>
      <c r="G633" s="30"/>
      <c r="H633" s="30"/>
      <c r="I633" s="30"/>
      <c r="J633" s="30"/>
      <c r="K633" s="31"/>
      <c r="L633" s="30"/>
      <c r="M633" s="30"/>
      <c r="N633" s="30"/>
      <c r="O633" s="30"/>
      <c r="P633" s="30"/>
      <c r="Q633" s="30"/>
      <c r="R633" s="30"/>
      <c r="S633" s="30"/>
      <c r="T633" s="30"/>
      <c r="U633" s="30"/>
      <c r="V633" s="30"/>
      <c r="W633" s="30"/>
      <c r="X633" s="30"/>
    </row>
    <row r="634">
      <c r="A634" s="30"/>
      <c r="B634" s="30"/>
      <c r="C634" s="30"/>
      <c r="D634" s="30"/>
      <c r="E634" s="30"/>
      <c r="F634" s="30"/>
      <c r="G634" s="30"/>
      <c r="H634" s="30"/>
      <c r="I634" s="30"/>
      <c r="J634" s="30"/>
      <c r="K634" s="31"/>
      <c r="L634" s="30"/>
      <c r="M634" s="30"/>
      <c r="N634" s="30"/>
      <c r="O634" s="30"/>
      <c r="P634" s="30"/>
      <c r="Q634" s="30"/>
      <c r="R634" s="30"/>
      <c r="S634" s="30"/>
      <c r="T634" s="30"/>
      <c r="U634" s="30"/>
      <c r="V634" s="30"/>
      <c r="W634" s="30"/>
      <c r="X634" s="30"/>
    </row>
    <row r="635">
      <c r="A635" s="30"/>
      <c r="B635" s="30"/>
      <c r="C635" s="30"/>
      <c r="D635" s="30"/>
      <c r="E635" s="30"/>
      <c r="F635" s="30"/>
      <c r="G635" s="30"/>
      <c r="H635" s="30"/>
      <c r="I635" s="30"/>
      <c r="J635" s="30"/>
      <c r="K635" s="31"/>
      <c r="L635" s="30"/>
      <c r="M635" s="30"/>
      <c r="N635" s="30"/>
      <c r="O635" s="30"/>
      <c r="P635" s="30"/>
      <c r="Q635" s="30"/>
      <c r="R635" s="30"/>
      <c r="S635" s="30"/>
      <c r="T635" s="30"/>
      <c r="U635" s="30"/>
      <c r="V635" s="30"/>
      <c r="W635" s="30"/>
      <c r="X635" s="30"/>
    </row>
    <row r="636">
      <c r="A636" s="30"/>
      <c r="B636" s="30"/>
      <c r="C636" s="30"/>
      <c r="D636" s="30"/>
      <c r="E636" s="30"/>
      <c r="F636" s="30"/>
      <c r="G636" s="30"/>
      <c r="H636" s="30"/>
      <c r="I636" s="30"/>
      <c r="J636" s="30"/>
      <c r="K636" s="31"/>
      <c r="L636" s="30"/>
      <c r="M636" s="30"/>
      <c r="N636" s="30"/>
      <c r="O636" s="30"/>
      <c r="P636" s="30"/>
      <c r="Q636" s="30"/>
      <c r="R636" s="30"/>
      <c r="S636" s="30"/>
      <c r="T636" s="30"/>
      <c r="U636" s="30"/>
      <c r="V636" s="30"/>
      <c r="W636" s="30"/>
      <c r="X636" s="30"/>
    </row>
    <row r="637">
      <c r="A637" s="30"/>
      <c r="B637" s="30"/>
      <c r="C637" s="30"/>
      <c r="D637" s="30"/>
      <c r="E637" s="30"/>
      <c r="F637" s="30"/>
      <c r="G637" s="30"/>
      <c r="H637" s="30"/>
      <c r="I637" s="30"/>
      <c r="J637" s="30"/>
      <c r="K637" s="31"/>
      <c r="L637" s="30"/>
      <c r="M637" s="30"/>
      <c r="N637" s="30"/>
      <c r="O637" s="30"/>
      <c r="P637" s="30"/>
      <c r="Q637" s="30"/>
      <c r="R637" s="30"/>
      <c r="S637" s="30"/>
      <c r="T637" s="30"/>
      <c r="U637" s="30"/>
      <c r="V637" s="30"/>
      <c r="W637" s="30"/>
      <c r="X637" s="30"/>
    </row>
    <row r="638">
      <c r="A638" s="30"/>
      <c r="B638" s="30"/>
      <c r="C638" s="30"/>
      <c r="D638" s="30"/>
      <c r="E638" s="30"/>
      <c r="F638" s="30"/>
      <c r="G638" s="30"/>
      <c r="H638" s="30"/>
      <c r="I638" s="30"/>
      <c r="J638" s="30"/>
      <c r="K638" s="31"/>
      <c r="L638" s="30"/>
      <c r="M638" s="30"/>
      <c r="N638" s="30"/>
      <c r="O638" s="30"/>
      <c r="P638" s="30"/>
      <c r="Q638" s="30"/>
      <c r="R638" s="30"/>
      <c r="S638" s="30"/>
      <c r="T638" s="30"/>
      <c r="U638" s="30"/>
      <c r="V638" s="30"/>
      <c r="W638" s="30"/>
      <c r="X638" s="30"/>
    </row>
    <row r="639">
      <c r="A639" s="30"/>
      <c r="B639" s="30"/>
      <c r="C639" s="30"/>
      <c r="D639" s="30"/>
      <c r="E639" s="30"/>
      <c r="F639" s="30"/>
      <c r="G639" s="30"/>
      <c r="H639" s="30"/>
      <c r="I639" s="30"/>
      <c r="J639" s="30"/>
      <c r="K639" s="31"/>
      <c r="L639" s="30"/>
      <c r="M639" s="30"/>
      <c r="N639" s="30"/>
      <c r="O639" s="30"/>
      <c r="P639" s="30"/>
      <c r="Q639" s="30"/>
      <c r="R639" s="30"/>
      <c r="S639" s="30"/>
      <c r="T639" s="30"/>
      <c r="U639" s="30"/>
      <c r="V639" s="30"/>
      <c r="W639" s="30"/>
      <c r="X639" s="30"/>
    </row>
    <row r="640">
      <c r="A640" s="30"/>
      <c r="B640" s="30"/>
      <c r="C640" s="30"/>
      <c r="D640" s="30"/>
      <c r="E640" s="30"/>
      <c r="F640" s="30"/>
      <c r="G640" s="30"/>
      <c r="H640" s="30"/>
      <c r="I640" s="30"/>
      <c r="J640" s="30"/>
      <c r="K640" s="31"/>
      <c r="L640" s="30"/>
      <c r="M640" s="30"/>
      <c r="N640" s="30"/>
      <c r="O640" s="30"/>
      <c r="P640" s="30"/>
      <c r="Q640" s="30"/>
      <c r="R640" s="30"/>
      <c r="S640" s="30"/>
      <c r="T640" s="30"/>
      <c r="U640" s="30"/>
      <c r="V640" s="30"/>
      <c r="W640" s="30"/>
      <c r="X640" s="30"/>
    </row>
    <row r="641">
      <c r="A641" s="30"/>
      <c r="B641" s="30"/>
      <c r="C641" s="30"/>
      <c r="D641" s="30"/>
      <c r="E641" s="30"/>
      <c r="F641" s="30"/>
      <c r="G641" s="30"/>
      <c r="H641" s="30"/>
      <c r="I641" s="30"/>
      <c r="J641" s="30"/>
      <c r="K641" s="31"/>
      <c r="L641" s="30"/>
      <c r="M641" s="30"/>
      <c r="N641" s="30"/>
      <c r="O641" s="30"/>
      <c r="P641" s="30"/>
      <c r="Q641" s="30"/>
      <c r="R641" s="30"/>
      <c r="S641" s="30"/>
      <c r="T641" s="30"/>
      <c r="U641" s="30"/>
      <c r="V641" s="30"/>
      <c r="W641" s="30"/>
      <c r="X641" s="30"/>
    </row>
    <row r="642">
      <c r="A642" s="30"/>
      <c r="B642" s="30"/>
      <c r="C642" s="30"/>
      <c r="D642" s="30"/>
      <c r="E642" s="30"/>
      <c r="F642" s="30"/>
      <c r="G642" s="30"/>
      <c r="H642" s="30"/>
      <c r="I642" s="30"/>
      <c r="J642" s="30"/>
      <c r="K642" s="31"/>
      <c r="L642" s="30"/>
      <c r="M642" s="30"/>
      <c r="N642" s="30"/>
      <c r="O642" s="30"/>
      <c r="P642" s="30"/>
      <c r="Q642" s="30"/>
      <c r="R642" s="30"/>
      <c r="S642" s="30"/>
      <c r="T642" s="30"/>
      <c r="U642" s="30"/>
      <c r="V642" s="30"/>
      <c r="W642" s="30"/>
      <c r="X642" s="30"/>
    </row>
    <row r="643">
      <c r="A643" s="30"/>
      <c r="B643" s="30"/>
      <c r="C643" s="30"/>
      <c r="D643" s="30"/>
      <c r="E643" s="30"/>
      <c r="F643" s="30"/>
      <c r="G643" s="30"/>
      <c r="H643" s="30"/>
      <c r="I643" s="30"/>
      <c r="J643" s="30"/>
      <c r="K643" s="31"/>
      <c r="L643" s="30"/>
      <c r="M643" s="30"/>
      <c r="N643" s="30"/>
      <c r="O643" s="30"/>
      <c r="P643" s="30"/>
      <c r="Q643" s="30"/>
      <c r="R643" s="30"/>
      <c r="S643" s="30"/>
      <c r="T643" s="30"/>
      <c r="U643" s="30"/>
      <c r="V643" s="30"/>
      <c r="W643" s="30"/>
      <c r="X643" s="30"/>
    </row>
    <row r="644">
      <c r="A644" s="30"/>
      <c r="B644" s="30"/>
      <c r="C644" s="30"/>
      <c r="D644" s="30"/>
      <c r="E644" s="30"/>
      <c r="F644" s="30"/>
      <c r="G644" s="30"/>
      <c r="H644" s="30"/>
      <c r="I644" s="30"/>
      <c r="J644" s="30"/>
      <c r="K644" s="31"/>
      <c r="L644" s="30"/>
      <c r="M644" s="30"/>
      <c r="N644" s="30"/>
      <c r="O644" s="30"/>
      <c r="P644" s="30"/>
      <c r="Q644" s="30"/>
      <c r="R644" s="30"/>
      <c r="S644" s="30"/>
      <c r="T644" s="30"/>
      <c r="U644" s="30"/>
      <c r="V644" s="30"/>
      <c r="W644" s="30"/>
      <c r="X644" s="30"/>
    </row>
    <row r="645">
      <c r="A645" s="30"/>
      <c r="B645" s="30"/>
      <c r="C645" s="30"/>
      <c r="D645" s="30"/>
      <c r="E645" s="30"/>
      <c r="F645" s="30"/>
      <c r="G645" s="30"/>
      <c r="H645" s="30"/>
      <c r="I645" s="30"/>
      <c r="J645" s="30"/>
      <c r="K645" s="31"/>
      <c r="L645" s="30"/>
      <c r="M645" s="30"/>
      <c r="N645" s="30"/>
      <c r="O645" s="30"/>
      <c r="P645" s="30"/>
      <c r="Q645" s="30"/>
      <c r="R645" s="30"/>
      <c r="S645" s="30"/>
      <c r="T645" s="30"/>
      <c r="U645" s="30"/>
      <c r="V645" s="30"/>
      <c r="W645" s="30"/>
      <c r="X645" s="30"/>
    </row>
    <row r="646">
      <c r="A646" s="30"/>
      <c r="B646" s="30"/>
      <c r="C646" s="30"/>
      <c r="D646" s="30"/>
      <c r="E646" s="30"/>
      <c r="F646" s="30"/>
      <c r="G646" s="30"/>
      <c r="H646" s="30"/>
      <c r="I646" s="30"/>
      <c r="J646" s="30"/>
      <c r="K646" s="31"/>
      <c r="L646" s="30"/>
      <c r="M646" s="30"/>
      <c r="N646" s="30"/>
      <c r="O646" s="30"/>
      <c r="P646" s="30"/>
      <c r="Q646" s="30"/>
      <c r="R646" s="30"/>
      <c r="S646" s="30"/>
      <c r="T646" s="30"/>
      <c r="U646" s="30"/>
      <c r="V646" s="30"/>
      <c r="W646" s="30"/>
      <c r="X646" s="30"/>
    </row>
    <row r="647">
      <c r="A647" s="30"/>
      <c r="B647" s="30"/>
      <c r="C647" s="30"/>
      <c r="D647" s="30"/>
      <c r="E647" s="30"/>
      <c r="F647" s="30"/>
      <c r="G647" s="30"/>
      <c r="H647" s="30"/>
      <c r="I647" s="30"/>
      <c r="J647" s="30"/>
      <c r="K647" s="31"/>
      <c r="L647" s="30"/>
      <c r="M647" s="30"/>
      <c r="N647" s="30"/>
      <c r="O647" s="30"/>
      <c r="P647" s="30"/>
      <c r="Q647" s="30"/>
      <c r="R647" s="30"/>
      <c r="S647" s="30"/>
      <c r="T647" s="30"/>
      <c r="U647" s="30"/>
      <c r="V647" s="30"/>
      <c r="W647" s="30"/>
      <c r="X647" s="30"/>
    </row>
    <row r="648">
      <c r="A648" s="30"/>
      <c r="B648" s="30"/>
      <c r="C648" s="30"/>
      <c r="D648" s="30"/>
      <c r="E648" s="30"/>
      <c r="F648" s="30"/>
      <c r="G648" s="30"/>
      <c r="H648" s="30"/>
      <c r="I648" s="30"/>
      <c r="J648" s="30"/>
      <c r="K648" s="31"/>
      <c r="L648" s="30"/>
      <c r="M648" s="30"/>
      <c r="N648" s="30"/>
      <c r="O648" s="30"/>
      <c r="P648" s="30"/>
      <c r="Q648" s="30"/>
      <c r="R648" s="30"/>
      <c r="S648" s="30"/>
      <c r="T648" s="30"/>
      <c r="U648" s="30"/>
      <c r="V648" s="30"/>
      <c r="W648" s="30"/>
      <c r="X648" s="30"/>
    </row>
    <row r="649">
      <c r="A649" s="30"/>
      <c r="B649" s="30"/>
      <c r="C649" s="30"/>
      <c r="D649" s="30"/>
      <c r="E649" s="30"/>
      <c r="F649" s="30"/>
      <c r="G649" s="30"/>
      <c r="H649" s="30"/>
      <c r="I649" s="30"/>
      <c r="J649" s="30"/>
      <c r="K649" s="31"/>
      <c r="L649" s="30"/>
      <c r="M649" s="30"/>
      <c r="N649" s="30"/>
      <c r="O649" s="30"/>
      <c r="P649" s="30"/>
      <c r="Q649" s="30"/>
      <c r="R649" s="30"/>
      <c r="S649" s="30"/>
      <c r="T649" s="30"/>
      <c r="U649" s="30"/>
      <c r="V649" s="30"/>
      <c r="W649" s="30"/>
      <c r="X649" s="30"/>
    </row>
    <row r="650">
      <c r="A650" s="30"/>
      <c r="B650" s="30"/>
      <c r="C650" s="30"/>
      <c r="D650" s="30"/>
      <c r="E650" s="30"/>
      <c r="F650" s="30"/>
      <c r="G650" s="30"/>
      <c r="H650" s="30"/>
      <c r="I650" s="30"/>
      <c r="J650" s="30"/>
      <c r="K650" s="31"/>
      <c r="L650" s="30"/>
      <c r="M650" s="30"/>
      <c r="N650" s="30"/>
      <c r="O650" s="30"/>
      <c r="P650" s="30"/>
      <c r="Q650" s="30"/>
      <c r="R650" s="30"/>
      <c r="S650" s="30"/>
      <c r="T650" s="30"/>
      <c r="U650" s="30"/>
      <c r="V650" s="30"/>
      <c r="W650" s="30"/>
      <c r="X650" s="30"/>
    </row>
    <row r="651">
      <c r="A651" s="30"/>
      <c r="B651" s="30"/>
      <c r="C651" s="30"/>
      <c r="D651" s="30"/>
      <c r="E651" s="30"/>
      <c r="F651" s="30"/>
      <c r="G651" s="30"/>
      <c r="H651" s="30"/>
      <c r="I651" s="30"/>
      <c r="J651" s="30"/>
      <c r="K651" s="31"/>
      <c r="L651" s="30"/>
      <c r="M651" s="30"/>
      <c r="N651" s="30"/>
      <c r="O651" s="30"/>
      <c r="P651" s="30"/>
      <c r="Q651" s="30"/>
      <c r="R651" s="30"/>
      <c r="S651" s="30"/>
      <c r="T651" s="30"/>
      <c r="U651" s="30"/>
      <c r="V651" s="30"/>
      <c r="W651" s="30"/>
      <c r="X651" s="30"/>
    </row>
    <row r="652">
      <c r="A652" s="30"/>
      <c r="B652" s="30"/>
      <c r="C652" s="30"/>
      <c r="D652" s="30"/>
      <c r="E652" s="30"/>
      <c r="F652" s="30"/>
      <c r="G652" s="30"/>
      <c r="H652" s="30"/>
      <c r="I652" s="30"/>
      <c r="J652" s="30"/>
      <c r="K652" s="31"/>
      <c r="L652" s="30"/>
      <c r="M652" s="30"/>
      <c r="N652" s="30"/>
      <c r="O652" s="30"/>
      <c r="P652" s="30"/>
      <c r="Q652" s="30"/>
      <c r="R652" s="30"/>
      <c r="S652" s="30"/>
      <c r="T652" s="30"/>
      <c r="U652" s="30"/>
      <c r="V652" s="30"/>
      <c r="W652" s="30"/>
      <c r="X652" s="30"/>
    </row>
    <row r="653">
      <c r="A653" s="30"/>
      <c r="B653" s="30"/>
      <c r="C653" s="30"/>
      <c r="D653" s="30"/>
      <c r="E653" s="30"/>
      <c r="F653" s="30"/>
      <c r="G653" s="30"/>
      <c r="H653" s="30"/>
      <c r="I653" s="30"/>
      <c r="J653" s="30"/>
      <c r="K653" s="31"/>
      <c r="L653" s="30"/>
      <c r="M653" s="30"/>
      <c r="N653" s="30"/>
      <c r="O653" s="30"/>
      <c r="P653" s="30"/>
      <c r="Q653" s="30"/>
      <c r="R653" s="30"/>
      <c r="S653" s="30"/>
      <c r="T653" s="30"/>
      <c r="U653" s="30"/>
      <c r="V653" s="30"/>
      <c r="W653" s="30"/>
      <c r="X653" s="30"/>
    </row>
    <row r="654">
      <c r="A654" s="30"/>
      <c r="B654" s="30"/>
      <c r="C654" s="30"/>
      <c r="D654" s="30"/>
      <c r="E654" s="30"/>
      <c r="F654" s="30"/>
      <c r="G654" s="30"/>
      <c r="H654" s="30"/>
      <c r="I654" s="30"/>
      <c r="J654" s="30"/>
      <c r="K654" s="31"/>
      <c r="L654" s="30"/>
      <c r="M654" s="30"/>
      <c r="N654" s="30"/>
      <c r="O654" s="30"/>
      <c r="P654" s="30"/>
      <c r="Q654" s="30"/>
      <c r="R654" s="30"/>
      <c r="S654" s="30"/>
      <c r="T654" s="30"/>
      <c r="U654" s="30"/>
      <c r="V654" s="30"/>
      <c r="W654" s="30"/>
      <c r="X654" s="30"/>
    </row>
    <row r="655">
      <c r="A655" s="30"/>
      <c r="B655" s="30"/>
      <c r="C655" s="30"/>
      <c r="D655" s="30"/>
      <c r="E655" s="30"/>
      <c r="F655" s="30"/>
      <c r="G655" s="30"/>
      <c r="H655" s="30"/>
      <c r="I655" s="30"/>
      <c r="J655" s="30"/>
      <c r="K655" s="31"/>
      <c r="L655" s="30"/>
      <c r="M655" s="30"/>
      <c r="N655" s="30"/>
      <c r="O655" s="30"/>
      <c r="P655" s="30"/>
      <c r="Q655" s="30"/>
      <c r="R655" s="30"/>
      <c r="S655" s="30"/>
      <c r="T655" s="30"/>
      <c r="U655" s="30"/>
      <c r="V655" s="30"/>
      <c r="W655" s="30"/>
      <c r="X655" s="30"/>
    </row>
    <row r="656">
      <c r="A656" s="30"/>
      <c r="B656" s="30"/>
      <c r="C656" s="30"/>
      <c r="D656" s="30"/>
      <c r="E656" s="30"/>
      <c r="F656" s="30"/>
      <c r="G656" s="30"/>
      <c r="H656" s="30"/>
      <c r="I656" s="30"/>
      <c r="J656" s="30"/>
      <c r="K656" s="31"/>
      <c r="L656" s="30"/>
      <c r="M656" s="30"/>
      <c r="N656" s="30"/>
      <c r="O656" s="30"/>
      <c r="P656" s="30"/>
      <c r="Q656" s="30"/>
      <c r="R656" s="30"/>
      <c r="S656" s="30"/>
      <c r="T656" s="30"/>
      <c r="U656" s="30"/>
      <c r="V656" s="30"/>
      <c r="W656" s="30"/>
      <c r="X656" s="30"/>
    </row>
    <row r="657">
      <c r="A657" s="30"/>
      <c r="B657" s="30"/>
      <c r="C657" s="30"/>
      <c r="D657" s="30"/>
      <c r="E657" s="30"/>
      <c r="F657" s="30"/>
      <c r="G657" s="30"/>
      <c r="H657" s="30"/>
      <c r="I657" s="30"/>
      <c r="J657" s="30"/>
      <c r="K657" s="31"/>
      <c r="L657" s="30"/>
      <c r="M657" s="30"/>
      <c r="N657" s="30"/>
      <c r="O657" s="30"/>
      <c r="P657" s="30"/>
      <c r="Q657" s="30"/>
      <c r="R657" s="30"/>
      <c r="S657" s="30"/>
      <c r="T657" s="30"/>
      <c r="U657" s="30"/>
      <c r="V657" s="30"/>
      <c r="W657" s="30"/>
      <c r="X657" s="30"/>
    </row>
    <row r="658">
      <c r="A658" s="30"/>
      <c r="B658" s="30"/>
      <c r="C658" s="30"/>
      <c r="D658" s="30"/>
      <c r="E658" s="30"/>
      <c r="F658" s="30"/>
      <c r="G658" s="30"/>
      <c r="H658" s="30"/>
      <c r="I658" s="30"/>
      <c r="J658" s="30"/>
      <c r="K658" s="31"/>
      <c r="L658" s="30"/>
      <c r="M658" s="30"/>
      <c r="N658" s="30"/>
      <c r="O658" s="30"/>
      <c r="P658" s="30"/>
      <c r="Q658" s="30"/>
      <c r="R658" s="30"/>
      <c r="S658" s="30"/>
      <c r="T658" s="30"/>
      <c r="U658" s="30"/>
      <c r="V658" s="30"/>
      <c r="W658" s="30"/>
      <c r="X658" s="30"/>
    </row>
    <row r="659">
      <c r="A659" s="30"/>
      <c r="B659" s="30"/>
      <c r="C659" s="30"/>
      <c r="D659" s="30"/>
      <c r="E659" s="30"/>
      <c r="F659" s="30"/>
      <c r="G659" s="30"/>
      <c r="H659" s="30"/>
      <c r="I659" s="30"/>
      <c r="J659" s="30"/>
      <c r="K659" s="35"/>
      <c r="L659" s="30"/>
      <c r="M659" s="30"/>
      <c r="N659" s="30"/>
      <c r="O659" s="30"/>
      <c r="P659" s="30"/>
      <c r="Q659" s="30"/>
      <c r="R659" s="30"/>
      <c r="S659" s="30"/>
      <c r="T659" s="30"/>
      <c r="U659" s="30"/>
      <c r="V659" s="30"/>
      <c r="W659" s="30"/>
      <c r="X659" s="30"/>
    </row>
    <row r="660">
      <c r="A660" s="30"/>
      <c r="B660" s="30"/>
      <c r="C660" s="30"/>
      <c r="D660" s="30"/>
      <c r="E660" s="30"/>
      <c r="F660" s="30"/>
      <c r="G660" s="30"/>
      <c r="H660" s="30"/>
      <c r="I660" s="30"/>
      <c r="J660" s="30"/>
      <c r="K660" s="31"/>
      <c r="L660" s="30"/>
      <c r="M660" s="30"/>
      <c r="N660" s="30"/>
      <c r="O660" s="30"/>
      <c r="P660" s="30"/>
      <c r="Q660" s="30"/>
      <c r="R660" s="30"/>
      <c r="S660" s="30"/>
      <c r="T660" s="30"/>
      <c r="U660" s="30"/>
      <c r="V660" s="30"/>
      <c r="W660" s="30"/>
      <c r="X660" s="30"/>
    </row>
    <row r="661">
      <c r="A661" s="30"/>
      <c r="B661" s="30"/>
      <c r="C661" s="30"/>
      <c r="D661" s="30"/>
      <c r="E661" s="30"/>
      <c r="F661" s="30"/>
      <c r="G661" s="30"/>
      <c r="H661" s="30"/>
      <c r="I661" s="30"/>
      <c r="J661" s="30"/>
      <c r="K661" s="31"/>
      <c r="L661" s="30"/>
      <c r="M661" s="30"/>
      <c r="N661" s="30"/>
      <c r="O661" s="30"/>
      <c r="P661" s="30"/>
      <c r="Q661" s="30"/>
      <c r="R661" s="30"/>
      <c r="S661" s="30"/>
      <c r="T661" s="30"/>
      <c r="U661" s="30"/>
      <c r="V661" s="30"/>
      <c r="W661" s="30"/>
      <c r="X661" s="30"/>
    </row>
    <row r="662">
      <c r="A662" s="30"/>
      <c r="B662" s="30"/>
      <c r="C662" s="30"/>
      <c r="D662" s="30"/>
      <c r="E662" s="30"/>
      <c r="F662" s="30"/>
      <c r="G662" s="30"/>
      <c r="H662" s="30"/>
      <c r="I662" s="30"/>
      <c r="J662" s="30"/>
      <c r="K662" s="31"/>
      <c r="L662" s="30"/>
      <c r="M662" s="30"/>
      <c r="N662" s="30"/>
      <c r="O662" s="30"/>
      <c r="P662" s="30"/>
      <c r="Q662" s="30"/>
      <c r="R662" s="30"/>
      <c r="S662" s="30"/>
      <c r="T662" s="30"/>
      <c r="U662" s="30"/>
      <c r="V662" s="30"/>
      <c r="W662" s="30"/>
      <c r="X662" s="30"/>
    </row>
    <row r="663">
      <c r="A663" s="30"/>
      <c r="B663" s="30"/>
      <c r="C663" s="30"/>
      <c r="D663" s="30"/>
      <c r="E663" s="30"/>
      <c r="F663" s="30"/>
      <c r="G663" s="30"/>
      <c r="H663" s="30"/>
      <c r="I663" s="30"/>
      <c r="J663" s="30"/>
      <c r="K663" s="31"/>
      <c r="L663" s="30"/>
      <c r="M663" s="30"/>
      <c r="N663" s="30"/>
      <c r="O663" s="30"/>
      <c r="P663" s="30"/>
      <c r="Q663" s="30"/>
      <c r="R663" s="30"/>
      <c r="S663" s="30"/>
      <c r="T663" s="30"/>
      <c r="U663" s="30"/>
      <c r="V663" s="30"/>
      <c r="W663" s="30"/>
      <c r="X663" s="30"/>
    </row>
    <row r="664">
      <c r="A664" s="30"/>
      <c r="B664" s="30"/>
      <c r="C664" s="30"/>
      <c r="D664" s="30"/>
      <c r="E664" s="30"/>
      <c r="F664" s="30"/>
      <c r="G664" s="30"/>
      <c r="H664" s="30"/>
      <c r="I664" s="30"/>
      <c r="J664" s="30"/>
      <c r="K664" s="31"/>
      <c r="L664" s="30"/>
      <c r="M664" s="30"/>
      <c r="N664" s="30"/>
      <c r="O664" s="30"/>
      <c r="P664" s="30"/>
      <c r="Q664" s="30"/>
      <c r="R664" s="30"/>
      <c r="S664" s="30"/>
      <c r="T664" s="30"/>
      <c r="U664" s="30"/>
      <c r="V664" s="30"/>
      <c r="W664" s="30"/>
      <c r="X664" s="30"/>
    </row>
    <row r="665">
      <c r="A665" s="30"/>
      <c r="B665" s="30"/>
      <c r="C665" s="30"/>
      <c r="D665" s="30"/>
      <c r="E665" s="30"/>
      <c r="F665" s="30"/>
      <c r="G665" s="30"/>
      <c r="H665" s="30"/>
      <c r="I665" s="30"/>
      <c r="J665" s="30"/>
      <c r="K665" s="31"/>
      <c r="L665" s="30"/>
      <c r="M665" s="30"/>
      <c r="N665" s="30"/>
      <c r="O665" s="30"/>
      <c r="P665" s="30"/>
      <c r="Q665" s="30"/>
      <c r="R665" s="30"/>
      <c r="S665" s="30"/>
      <c r="T665" s="30"/>
      <c r="U665" s="30"/>
      <c r="V665" s="30"/>
      <c r="W665" s="30"/>
      <c r="X665" s="30"/>
    </row>
    <row r="666">
      <c r="A666" s="30"/>
      <c r="B666" s="30"/>
      <c r="C666" s="30"/>
      <c r="D666" s="30"/>
      <c r="E666" s="30"/>
      <c r="F666" s="30"/>
      <c r="G666" s="30"/>
      <c r="H666" s="30"/>
      <c r="I666" s="30"/>
      <c r="J666" s="30"/>
      <c r="K666" s="31"/>
      <c r="L666" s="30"/>
      <c r="M666" s="30"/>
      <c r="N666" s="30"/>
      <c r="O666" s="30"/>
      <c r="P666" s="30"/>
      <c r="Q666" s="30"/>
      <c r="R666" s="30"/>
      <c r="S666" s="30"/>
      <c r="T666" s="30"/>
      <c r="U666" s="30"/>
      <c r="V666" s="30"/>
      <c r="W666" s="30"/>
      <c r="X666" s="30"/>
    </row>
    <row r="667">
      <c r="A667" s="30"/>
      <c r="B667" s="30"/>
      <c r="C667" s="30"/>
      <c r="D667" s="30"/>
      <c r="E667" s="30"/>
      <c r="F667" s="30"/>
      <c r="G667" s="30"/>
      <c r="H667" s="30"/>
      <c r="I667" s="30"/>
      <c r="J667" s="30"/>
      <c r="K667" s="31"/>
      <c r="L667" s="30"/>
      <c r="M667" s="30"/>
      <c r="N667" s="30"/>
      <c r="O667" s="30"/>
      <c r="P667" s="30"/>
      <c r="Q667" s="30"/>
      <c r="R667" s="30"/>
      <c r="S667" s="30"/>
      <c r="T667" s="30"/>
      <c r="U667" s="30"/>
      <c r="V667" s="30"/>
      <c r="W667" s="30"/>
      <c r="X667" s="30"/>
    </row>
    <row r="668">
      <c r="A668" s="30"/>
      <c r="B668" s="30"/>
      <c r="C668" s="30"/>
      <c r="D668" s="30"/>
      <c r="E668" s="30"/>
      <c r="F668" s="30"/>
      <c r="G668" s="30"/>
      <c r="H668" s="30"/>
      <c r="I668" s="30"/>
      <c r="J668" s="30"/>
      <c r="K668" s="31"/>
      <c r="L668" s="30"/>
      <c r="M668" s="30"/>
      <c r="N668" s="30"/>
      <c r="O668" s="30"/>
      <c r="P668" s="30"/>
      <c r="Q668" s="30"/>
      <c r="R668" s="30"/>
      <c r="S668" s="30"/>
      <c r="T668" s="30"/>
      <c r="U668" s="30"/>
      <c r="V668" s="30"/>
      <c r="W668" s="30"/>
      <c r="X668" s="30"/>
    </row>
    <row r="669">
      <c r="A669" s="30"/>
      <c r="B669" s="30"/>
      <c r="C669" s="30"/>
      <c r="D669" s="30"/>
      <c r="E669" s="30"/>
      <c r="F669" s="30"/>
      <c r="G669" s="30"/>
      <c r="H669" s="30"/>
      <c r="I669" s="30"/>
      <c r="J669" s="30"/>
      <c r="K669" s="31"/>
      <c r="L669" s="30"/>
      <c r="M669" s="30"/>
      <c r="N669" s="30"/>
      <c r="O669" s="30"/>
      <c r="P669" s="30"/>
      <c r="Q669" s="30"/>
      <c r="R669" s="30"/>
      <c r="S669" s="30"/>
      <c r="T669" s="30"/>
      <c r="U669" s="30"/>
      <c r="V669" s="30"/>
      <c r="W669" s="30"/>
      <c r="X669" s="30"/>
    </row>
    <row r="670">
      <c r="A670" s="30"/>
      <c r="B670" s="30"/>
      <c r="C670" s="30"/>
      <c r="D670" s="30"/>
      <c r="E670" s="30"/>
      <c r="F670" s="30"/>
      <c r="G670" s="30"/>
      <c r="H670" s="30"/>
      <c r="I670" s="30"/>
      <c r="J670" s="30"/>
      <c r="K670" s="31"/>
      <c r="L670" s="30"/>
      <c r="M670" s="30"/>
      <c r="N670" s="30"/>
      <c r="O670" s="30"/>
      <c r="P670" s="30"/>
      <c r="Q670" s="30"/>
      <c r="R670" s="30"/>
      <c r="S670" s="30"/>
      <c r="T670" s="30"/>
      <c r="U670" s="30"/>
      <c r="V670" s="30"/>
      <c r="W670" s="30"/>
      <c r="X670" s="30"/>
    </row>
    <row r="671">
      <c r="A671" s="30"/>
      <c r="B671" s="30"/>
      <c r="C671" s="30"/>
      <c r="D671" s="30"/>
      <c r="E671" s="30"/>
      <c r="F671" s="30"/>
      <c r="G671" s="30"/>
      <c r="H671" s="30"/>
      <c r="I671" s="30"/>
      <c r="J671" s="30"/>
      <c r="K671" s="31"/>
      <c r="L671" s="30"/>
      <c r="M671" s="30"/>
      <c r="N671" s="30"/>
      <c r="O671" s="30"/>
      <c r="P671" s="30"/>
      <c r="Q671" s="30"/>
      <c r="R671" s="30"/>
      <c r="S671" s="30"/>
      <c r="T671" s="30"/>
      <c r="U671" s="30"/>
      <c r="V671" s="30"/>
      <c r="W671" s="30"/>
      <c r="X671" s="30"/>
    </row>
    <row r="672">
      <c r="A672" s="30"/>
      <c r="B672" s="30"/>
      <c r="C672" s="30"/>
      <c r="D672" s="30"/>
      <c r="E672" s="30"/>
      <c r="F672" s="30"/>
      <c r="G672" s="30"/>
      <c r="H672" s="30"/>
      <c r="I672" s="30"/>
      <c r="J672" s="30"/>
      <c r="K672" s="31"/>
      <c r="L672" s="30"/>
      <c r="M672" s="30"/>
      <c r="N672" s="30"/>
      <c r="O672" s="30"/>
      <c r="P672" s="30"/>
      <c r="Q672" s="30"/>
      <c r="R672" s="30"/>
      <c r="S672" s="30"/>
      <c r="T672" s="30"/>
      <c r="U672" s="30"/>
      <c r="V672" s="30"/>
      <c r="W672" s="30"/>
      <c r="X672" s="30"/>
    </row>
    <row r="673">
      <c r="A673" s="30"/>
      <c r="B673" s="30"/>
      <c r="C673" s="30"/>
      <c r="D673" s="30"/>
      <c r="E673" s="30"/>
      <c r="F673" s="30"/>
      <c r="G673" s="30"/>
      <c r="H673" s="30"/>
      <c r="I673" s="30"/>
      <c r="J673" s="30"/>
      <c r="K673" s="31"/>
      <c r="L673" s="30"/>
      <c r="M673" s="30"/>
      <c r="N673" s="30"/>
      <c r="O673" s="30"/>
      <c r="P673" s="30"/>
      <c r="Q673" s="30"/>
      <c r="R673" s="30"/>
      <c r="S673" s="30"/>
      <c r="T673" s="30"/>
      <c r="U673" s="30"/>
      <c r="V673" s="30"/>
      <c r="W673" s="30"/>
      <c r="X673" s="30"/>
    </row>
    <row r="674">
      <c r="A674" s="30"/>
      <c r="B674" s="30"/>
      <c r="C674" s="30"/>
      <c r="D674" s="30"/>
      <c r="E674" s="30"/>
      <c r="F674" s="30"/>
      <c r="G674" s="30"/>
      <c r="H674" s="30"/>
      <c r="I674" s="30"/>
      <c r="J674" s="30"/>
      <c r="K674" s="35"/>
      <c r="L674" s="30"/>
      <c r="M674" s="30"/>
      <c r="N674" s="30"/>
      <c r="O674" s="30"/>
      <c r="P674" s="30"/>
      <c r="Q674" s="30"/>
      <c r="R674" s="30"/>
      <c r="S674" s="30"/>
      <c r="T674" s="30"/>
      <c r="U674" s="30"/>
      <c r="V674" s="30"/>
      <c r="W674" s="30"/>
      <c r="X674" s="30"/>
    </row>
    <row r="675">
      <c r="A675" s="30"/>
      <c r="B675" s="30"/>
      <c r="C675" s="30"/>
      <c r="D675" s="30"/>
      <c r="E675" s="30"/>
      <c r="F675" s="30"/>
      <c r="G675" s="30"/>
      <c r="H675" s="30"/>
      <c r="I675" s="30"/>
      <c r="J675" s="30"/>
      <c r="K675" s="31"/>
      <c r="L675" s="30"/>
      <c r="M675" s="30"/>
      <c r="N675" s="30"/>
      <c r="O675" s="30"/>
      <c r="P675" s="30"/>
      <c r="Q675" s="30"/>
      <c r="R675" s="30"/>
      <c r="S675" s="30"/>
      <c r="T675" s="30"/>
      <c r="U675" s="30"/>
      <c r="V675" s="30"/>
      <c r="W675" s="30"/>
      <c r="X675" s="30"/>
    </row>
    <row r="676">
      <c r="A676" s="30"/>
      <c r="B676" s="30"/>
      <c r="C676" s="30"/>
      <c r="D676" s="30"/>
      <c r="E676" s="30"/>
      <c r="F676" s="30"/>
      <c r="G676" s="30"/>
      <c r="H676" s="30"/>
      <c r="I676" s="30"/>
      <c r="J676" s="30"/>
      <c r="K676" s="31"/>
      <c r="L676" s="30"/>
      <c r="M676" s="30"/>
      <c r="N676" s="30"/>
      <c r="O676" s="30"/>
      <c r="P676" s="30"/>
      <c r="Q676" s="30"/>
      <c r="R676" s="30"/>
      <c r="S676" s="30"/>
      <c r="T676" s="30"/>
      <c r="U676" s="30"/>
      <c r="V676" s="30"/>
      <c r="W676" s="30"/>
      <c r="X676" s="30"/>
    </row>
    <row r="677">
      <c r="A677" s="30"/>
      <c r="B677" s="30"/>
      <c r="C677" s="30"/>
      <c r="D677" s="30"/>
      <c r="E677" s="30"/>
      <c r="F677" s="30"/>
      <c r="G677" s="30"/>
      <c r="H677" s="30"/>
      <c r="I677" s="30"/>
      <c r="J677" s="30"/>
      <c r="K677" s="31"/>
      <c r="L677" s="30"/>
      <c r="M677" s="30"/>
      <c r="N677" s="30"/>
      <c r="O677" s="30"/>
      <c r="P677" s="30"/>
      <c r="Q677" s="30"/>
      <c r="R677" s="30"/>
      <c r="S677" s="30"/>
      <c r="T677" s="30"/>
      <c r="U677" s="30"/>
      <c r="V677" s="30"/>
      <c r="W677" s="30"/>
      <c r="X677" s="30"/>
    </row>
    <row r="678">
      <c r="A678" s="30"/>
      <c r="B678" s="30"/>
      <c r="C678" s="30"/>
      <c r="D678" s="30"/>
      <c r="E678" s="30"/>
      <c r="F678" s="30"/>
      <c r="G678" s="30"/>
      <c r="H678" s="30"/>
      <c r="I678" s="30"/>
      <c r="J678" s="30"/>
      <c r="K678" s="31"/>
      <c r="L678" s="30"/>
      <c r="M678" s="30"/>
      <c r="N678" s="30"/>
      <c r="O678" s="30"/>
      <c r="P678" s="30"/>
      <c r="Q678" s="30"/>
      <c r="R678" s="30"/>
      <c r="S678" s="30"/>
      <c r="T678" s="30"/>
      <c r="U678" s="30"/>
      <c r="V678" s="30"/>
      <c r="W678" s="30"/>
      <c r="X678" s="30"/>
    </row>
    <row r="679">
      <c r="A679" s="30"/>
      <c r="B679" s="30"/>
      <c r="C679" s="30"/>
      <c r="D679" s="30"/>
      <c r="E679" s="30"/>
      <c r="F679" s="30"/>
      <c r="G679" s="30"/>
      <c r="H679" s="30"/>
      <c r="I679" s="30"/>
      <c r="J679" s="30"/>
      <c r="K679" s="31"/>
      <c r="L679" s="30"/>
      <c r="M679" s="30"/>
      <c r="N679" s="30"/>
      <c r="O679" s="30"/>
      <c r="P679" s="30"/>
      <c r="Q679" s="30"/>
      <c r="R679" s="30"/>
      <c r="S679" s="30"/>
      <c r="T679" s="30"/>
      <c r="U679" s="30"/>
      <c r="V679" s="30"/>
      <c r="W679" s="30"/>
      <c r="X679" s="30"/>
    </row>
    <row r="680">
      <c r="A680" s="30"/>
      <c r="B680" s="30"/>
      <c r="C680" s="30"/>
      <c r="D680" s="30"/>
      <c r="E680" s="30"/>
      <c r="F680" s="30"/>
      <c r="G680" s="30"/>
      <c r="H680" s="30"/>
      <c r="I680" s="30"/>
      <c r="J680" s="30"/>
      <c r="K680" s="31"/>
      <c r="L680" s="30"/>
      <c r="M680" s="30"/>
      <c r="N680" s="30"/>
      <c r="O680" s="30"/>
      <c r="P680" s="30"/>
      <c r="Q680" s="30"/>
      <c r="R680" s="30"/>
      <c r="S680" s="30"/>
      <c r="T680" s="30"/>
      <c r="U680" s="30"/>
      <c r="V680" s="30"/>
      <c r="W680" s="30"/>
      <c r="X680" s="30"/>
    </row>
    <row r="681">
      <c r="A681" s="30"/>
      <c r="B681" s="30"/>
      <c r="C681" s="30"/>
      <c r="D681" s="30"/>
      <c r="E681" s="30"/>
      <c r="F681" s="30"/>
      <c r="G681" s="30"/>
      <c r="H681" s="30"/>
      <c r="I681" s="30"/>
      <c r="J681" s="30"/>
      <c r="K681" s="31"/>
      <c r="L681" s="30"/>
      <c r="M681" s="30"/>
      <c r="N681" s="30"/>
      <c r="O681" s="30"/>
      <c r="P681" s="30"/>
      <c r="Q681" s="30"/>
      <c r="R681" s="30"/>
      <c r="S681" s="30"/>
      <c r="T681" s="30"/>
      <c r="U681" s="30"/>
      <c r="V681" s="30"/>
      <c r="W681" s="30"/>
      <c r="X681" s="30"/>
    </row>
    <row r="682">
      <c r="A682" s="30"/>
      <c r="B682" s="30"/>
      <c r="C682" s="30"/>
      <c r="D682" s="30"/>
      <c r="E682" s="30"/>
      <c r="F682" s="30"/>
      <c r="G682" s="30"/>
      <c r="H682" s="30"/>
      <c r="I682" s="30"/>
      <c r="J682" s="30"/>
      <c r="K682" s="31"/>
      <c r="L682" s="30"/>
      <c r="M682" s="30"/>
      <c r="N682" s="30"/>
      <c r="O682" s="30"/>
      <c r="P682" s="30"/>
      <c r="Q682" s="30"/>
      <c r="R682" s="30"/>
      <c r="S682" s="30"/>
      <c r="T682" s="30"/>
      <c r="U682" s="30"/>
      <c r="V682" s="30"/>
      <c r="W682" s="30"/>
      <c r="X682" s="30"/>
    </row>
    <row r="683">
      <c r="A683" s="30"/>
      <c r="B683" s="30"/>
      <c r="C683" s="30"/>
      <c r="D683" s="30"/>
      <c r="E683" s="30"/>
      <c r="F683" s="30"/>
      <c r="G683" s="30"/>
      <c r="H683" s="30"/>
      <c r="I683" s="30"/>
      <c r="J683" s="30"/>
      <c r="K683" s="31"/>
      <c r="L683" s="30"/>
      <c r="M683" s="30"/>
      <c r="N683" s="30"/>
      <c r="O683" s="30"/>
      <c r="P683" s="30"/>
      <c r="Q683" s="30"/>
      <c r="R683" s="30"/>
      <c r="S683" s="30"/>
      <c r="T683" s="30"/>
      <c r="U683" s="30"/>
      <c r="V683" s="30"/>
      <c r="W683" s="30"/>
      <c r="X683" s="30"/>
    </row>
    <row r="684">
      <c r="A684" s="30"/>
      <c r="B684" s="30"/>
      <c r="C684" s="30"/>
      <c r="D684" s="30"/>
      <c r="E684" s="30"/>
      <c r="F684" s="30"/>
      <c r="G684" s="30"/>
      <c r="H684" s="30"/>
      <c r="I684" s="30"/>
      <c r="J684" s="30"/>
      <c r="K684" s="31"/>
      <c r="L684" s="30"/>
      <c r="M684" s="30"/>
      <c r="N684" s="30"/>
      <c r="O684" s="30"/>
      <c r="P684" s="30"/>
      <c r="Q684" s="30"/>
      <c r="R684" s="30"/>
      <c r="S684" s="30"/>
      <c r="T684" s="30"/>
      <c r="U684" s="30"/>
      <c r="V684" s="30"/>
      <c r="W684" s="30"/>
      <c r="X684" s="30"/>
    </row>
    <row r="685">
      <c r="A685" s="30"/>
      <c r="B685" s="30"/>
      <c r="C685" s="30"/>
      <c r="D685" s="30"/>
      <c r="E685" s="30"/>
      <c r="F685" s="30"/>
      <c r="G685" s="30"/>
      <c r="H685" s="30"/>
      <c r="I685" s="30"/>
      <c r="J685" s="30"/>
      <c r="K685" s="31"/>
      <c r="L685" s="30"/>
      <c r="M685" s="30"/>
      <c r="N685" s="30"/>
      <c r="O685" s="30"/>
      <c r="P685" s="30"/>
      <c r="Q685" s="30"/>
      <c r="R685" s="30"/>
      <c r="S685" s="30"/>
      <c r="T685" s="30"/>
      <c r="U685" s="30"/>
      <c r="V685" s="30"/>
      <c r="W685" s="30"/>
      <c r="X685" s="30"/>
    </row>
    <row r="686">
      <c r="A686" s="30"/>
      <c r="B686" s="30"/>
      <c r="C686" s="30"/>
      <c r="D686" s="30"/>
      <c r="E686" s="30"/>
      <c r="F686" s="30"/>
      <c r="G686" s="30"/>
      <c r="H686" s="30"/>
      <c r="I686" s="30"/>
      <c r="J686" s="30"/>
      <c r="K686" s="31"/>
      <c r="L686" s="30"/>
      <c r="M686" s="30"/>
      <c r="N686" s="30"/>
      <c r="O686" s="30"/>
      <c r="P686" s="30"/>
      <c r="Q686" s="30"/>
      <c r="R686" s="30"/>
      <c r="S686" s="30"/>
      <c r="T686" s="30"/>
      <c r="U686" s="30"/>
      <c r="V686" s="30"/>
      <c r="W686" s="30"/>
      <c r="X686" s="30"/>
    </row>
    <row r="687">
      <c r="A687" s="30"/>
      <c r="B687" s="30"/>
      <c r="C687" s="30"/>
      <c r="D687" s="30"/>
      <c r="E687" s="30"/>
      <c r="F687" s="30"/>
      <c r="G687" s="30"/>
      <c r="H687" s="30"/>
      <c r="I687" s="30"/>
      <c r="J687" s="30"/>
      <c r="K687" s="31"/>
      <c r="L687" s="30"/>
      <c r="M687" s="30"/>
      <c r="N687" s="30"/>
      <c r="O687" s="30"/>
      <c r="P687" s="30"/>
      <c r="Q687" s="30"/>
      <c r="R687" s="30"/>
      <c r="S687" s="30"/>
      <c r="T687" s="30"/>
      <c r="U687" s="30"/>
      <c r="V687" s="30"/>
      <c r="W687" s="30"/>
      <c r="X687" s="30"/>
    </row>
    <row r="688">
      <c r="A688" s="30"/>
      <c r="B688" s="30"/>
      <c r="C688" s="30"/>
      <c r="D688" s="30"/>
      <c r="E688" s="30"/>
      <c r="F688" s="30"/>
      <c r="G688" s="30"/>
      <c r="H688" s="30"/>
      <c r="I688" s="30"/>
      <c r="J688" s="30"/>
      <c r="K688" s="31"/>
      <c r="L688" s="30"/>
      <c r="M688" s="30"/>
      <c r="N688" s="30"/>
      <c r="O688" s="30"/>
      <c r="P688" s="30"/>
      <c r="Q688" s="30"/>
      <c r="R688" s="30"/>
      <c r="S688" s="30"/>
      <c r="T688" s="30"/>
      <c r="U688" s="30"/>
      <c r="V688" s="30"/>
      <c r="W688" s="30"/>
      <c r="X688" s="30"/>
    </row>
    <row r="689">
      <c r="A689" s="30"/>
      <c r="B689" s="30"/>
      <c r="C689" s="30"/>
      <c r="D689" s="30"/>
      <c r="E689" s="30"/>
      <c r="F689" s="30"/>
      <c r="G689" s="30"/>
      <c r="H689" s="30"/>
      <c r="I689" s="30"/>
      <c r="J689" s="30"/>
      <c r="K689" s="31"/>
      <c r="L689" s="30"/>
      <c r="M689" s="30"/>
      <c r="N689" s="30"/>
      <c r="O689" s="30"/>
      <c r="P689" s="30"/>
      <c r="Q689" s="30"/>
      <c r="R689" s="30"/>
      <c r="S689" s="30"/>
      <c r="T689" s="30"/>
      <c r="U689" s="30"/>
      <c r="V689" s="30"/>
      <c r="W689" s="30"/>
      <c r="X689" s="30"/>
    </row>
    <row r="690">
      <c r="A690" s="30"/>
      <c r="B690" s="30"/>
      <c r="C690" s="30"/>
      <c r="D690" s="30"/>
      <c r="E690" s="30"/>
      <c r="F690" s="30"/>
      <c r="G690" s="30"/>
      <c r="H690" s="30"/>
      <c r="I690" s="30"/>
      <c r="J690" s="30"/>
      <c r="K690" s="31"/>
      <c r="L690" s="30"/>
      <c r="M690" s="30"/>
      <c r="N690" s="30"/>
      <c r="O690" s="30"/>
      <c r="P690" s="30"/>
      <c r="Q690" s="30"/>
      <c r="R690" s="30"/>
      <c r="S690" s="30"/>
      <c r="T690" s="30"/>
      <c r="U690" s="30"/>
      <c r="V690" s="30"/>
      <c r="W690" s="30"/>
      <c r="X690" s="30"/>
    </row>
    <row r="691">
      <c r="A691" s="30"/>
      <c r="B691" s="30"/>
      <c r="C691" s="30"/>
      <c r="D691" s="30"/>
      <c r="E691" s="30"/>
      <c r="F691" s="30"/>
      <c r="G691" s="30"/>
      <c r="H691" s="30"/>
      <c r="I691" s="30"/>
      <c r="J691" s="30"/>
      <c r="K691" s="31"/>
      <c r="L691" s="30"/>
      <c r="M691" s="30"/>
      <c r="N691" s="30"/>
      <c r="O691" s="30"/>
      <c r="P691" s="30"/>
      <c r="Q691" s="30"/>
      <c r="R691" s="30"/>
      <c r="S691" s="30"/>
      <c r="T691" s="30"/>
      <c r="U691" s="30"/>
      <c r="V691" s="30"/>
      <c r="W691" s="30"/>
      <c r="X691" s="30"/>
    </row>
    <row r="692">
      <c r="A692" s="30"/>
      <c r="B692" s="30"/>
      <c r="C692" s="30"/>
      <c r="D692" s="30"/>
      <c r="E692" s="30"/>
      <c r="F692" s="30"/>
      <c r="G692" s="30"/>
      <c r="H692" s="30"/>
      <c r="I692" s="30"/>
      <c r="J692" s="30"/>
      <c r="K692" s="31"/>
      <c r="L692" s="30"/>
      <c r="M692" s="30"/>
      <c r="N692" s="30"/>
      <c r="O692" s="30"/>
      <c r="P692" s="30"/>
      <c r="Q692" s="30"/>
      <c r="R692" s="30"/>
      <c r="S692" s="30"/>
      <c r="T692" s="30"/>
      <c r="U692" s="30"/>
      <c r="V692" s="30"/>
      <c r="W692" s="30"/>
      <c r="X692" s="30"/>
    </row>
    <row r="693">
      <c r="A693" s="30"/>
      <c r="B693" s="30"/>
      <c r="C693" s="30"/>
      <c r="D693" s="30"/>
      <c r="E693" s="30"/>
      <c r="F693" s="30"/>
      <c r="G693" s="30"/>
      <c r="H693" s="30"/>
      <c r="I693" s="30"/>
      <c r="J693" s="30"/>
      <c r="K693" s="31"/>
      <c r="L693" s="30"/>
      <c r="M693" s="30"/>
      <c r="N693" s="30"/>
      <c r="O693" s="30"/>
      <c r="P693" s="30"/>
      <c r="Q693" s="30"/>
      <c r="R693" s="30"/>
      <c r="S693" s="30"/>
      <c r="T693" s="30"/>
      <c r="U693" s="30"/>
      <c r="V693" s="30"/>
      <c r="W693" s="30"/>
      <c r="X693" s="30"/>
    </row>
    <row r="694">
      <c r="A694" s="30"/>
      <c r="B694" s="30"/>
      <c r="C694" s="30"/>
      <c r="D694" s="30"/>
      <c r="E694" s="30"/>
      <c r="F694" s="30"/>
      <c r="G694" s="30"/>
      <c r="H694" s="30"/>
      <c r="I694" s="30"/>
      <c r="J694" s="30"/>
      <c r="K694" s="31"/>
      <c r="L694" s="30"/>
      <c r="M694" s="30"/>
      <c r="N694" s="30"/>
      <c r="O694" s="30"/>
      <c r="P694" s="30"/>
      <c r="Q694" s="30"/>
      <c r="R694" s="30"/>
      <c r="S694" s="30"/>
      <c r="T694" s="30"/>
      <c r="U694" s="30"/>
      <c r="V694" s="30"/>
      <c r="W694" s="30"/>
      <c r="X694" s="30"/>
    </row>
    <row r="695">
      <c r="A695" s="30"/>
      <c r="B695" s="30"/>
      <c r="C695" s="30"/>
      <c r="D695" s="30"/>
      <c r="E695" s="30"/>
      <c r="F695" s="30"/>
      <c r="G695" s="30"/>
      <c r="H695" s="30"/>
      <c r="I695" s="30"/>
      <c r="J695" s="30"/>
      <c r="K695" s="31"/>
      <c r="L695" s="30"/>
      <c r="M695" s="30"/>
      <c r="N695" s="30"/>
      <c r="O695" s="30"/>
      <c r="P695" s="30"/>
      <c r="Q695" s="30"/>
      <c r="R695" s="30"/>
      <c r="S695" s="30"/>
      <c r="T695" s="30"/>
      <c r="U695" s="30"/>
      <c r="V695" s="30"/>
      <c r="W695" s="30"/>
      <c r="X695" s="30"/>
    </row>
    <row r="696">
      <c r="A696" s="30"/>
      <c r="B696" s="30"/>
      <c r="C696" s="30"/>
      <c r="D696" s="30"/>
      <c r="E696" s="30"/>
      <c r="F696" s="30"/>
      <c r="G696" s="30"/>
      <c r="H696" s="30"/>
      <c r="I696" s="30"/>
      <c r="J696" s="30"/>
      <c r="K696" s="31"/>
      <c r="L696" s="30"/>
      <c r="M696" s="30"/>
      <c r="N696" s="30"/>
      <c r="O696" s="30"/>
      <c r="P696" s="30"/>
      <c r="Q696" s="30"/>
      <c r="R696" s="30"/>
      <c r="S696" s="30"/>
      <c r="T696" s="30"/>
      <c r="U696" s="30"/>
      <c r="V696" s="30"/>
      <c r="W696" s="30"/>
      <c r="X696" s="30"/>
    </row>
    <row r="697">
      <c r="A697" s="30"/>
      <c r="B697" s="30"/>
      <c r="C697" s="30"/>
      <c r="D697" s="30"/>
      <c r="E697" s="30"/>
      <c r="F697" s="30"/>
      <c r="G697" s="30"/>
      <c r="H697" s="30"/>
      <c r="I697" s="30"/>
      <c r="J697" s="30"/>
      <c r="K697" s="31"/>
      <c r="L697" s="30"/>
      <c r="M697" s="30"/>
      <c r="N697" s="30"/>
      <c r="O697" s="30"/>
      <c r="P697" s="30"/>
      <c r="Q697" s="30"/>
      <c r="R697" s="30"/>
      <c r="S697" s="30"/>
      <c r="T697" s="30"/>
      <c r="U697" s="30"/>
      <c r="V697" s="30"/>
      <c r="W697" s="30"/>
      <c r="X697" s="30"/>
    </row>
    <row r="698">
      <c r="A698" s="30"/>
      <c r="B698" s="30"/>
      <c r="C698" s="30"/>
      <c r="D698" s="30"/>
      <c r="E698" s="30"/>
      <c r="F698" s="30"/>
      <c r="G698" s="30"/>
      <c r="H698" s="30"/>
      <c r="I698" s="30"/>
      <c r="J698" s="30"/>
      <c r="K698" s="31"/>
      <c r="L698" s="30"/>
      <c r="M698" s="30"/>
      <c r="N698" s="30"/>
      <c r="O698" s="30"/>
      <c r="P698" s="30"/>
      <c r="Q698" s="30"/>
      <c r="R698" s="30"/>
      <c r="S698" s="30"/>
      <c r="T698" s="30"/>
      <c r="U698" s="30"/>
      <c r="V698" s="30"/>
      <c r="W698" s="30"/>
      <c r="X698" s="30"/>
    </row>
    <row r="699">
      <c r="A699" s="30"/>
      <c r="B699" s="30"/>
      <c r="C699" s="30"/>
      <c r="D699" s="30"/>
      <c r="E699" s="30"/>
      <c r="F699" s="30"/>
      <c r="G699" s="30"/>
      <c r="H699" s="30"/>
      <c r="I699" s="30"/>
      <c r="J699" s="30"/>
      <c r="K699" s="31"/>
      <c r="L699" s="30"/>
      <c r="M699" s="30"/>
      <c r="N699" s="30"/>
      <c r="O699" s="30"/>
      <c r="P699" s="30"/>
      <c r="Q699" s="30"/>
      <c r="R699" s="30"/>
      <c r="S699" s="30"/>
      <c r="T699" s="30"/>
      <c r="U699" s="30"/>
      <c r="V699" s="30"/>
      <c r="W699" s="30"/>
      <c r="X699" s="30"/>
    </row>
    <row r="700">
      <c r="A700" s="30"/>
      <c r="B700" s="30"/>
      <c r="C700" s="30"/>
      <c r="D700" s="30"/>
      <c r="E700" s="30"/>
      <c r="F700" s="30"/>
      <c r="G700" s="30"/>
      <c r="H700" s="30"/>
      <c r="I700" s="30"/>
      <c r="J700" s="30"/>
      <c r="K700" s="31"/>
      <c r="L700" s="30"/>
      <c r="M700" s="30"/>
      <c r="N700" s="30"/>
      <c r="O700" s="30"/>
      <c r="P700" s="30"/>
      <c r="Q700" s="30"/>
      <c r="R700" s="30"/>
      <c r="S700" s="30"/>
      <c r="T700" s="30"/>
      <c r="U700" s="30"/>
      <c r="V700" s="30"/>
      <c r="W700" s="30"/>
      <c r="X700" s="30"/>
    </row>
    <row r="701">
      <c r="A701" s="30"/>
      <c r="B701" s="30"/>
      <c r="C701" s="30"/>
      <c r="D701" s="30"/>
      <c r="E701" s="30"/>
      <c r="F701" s="30"/>
      <c r="G701" s="30"/>
      <c r="H701" s="30"/>
      <c r="I701" s="30"/>
      <c r="J701" s="30"/>
      <c r="K701" s="31"/>
      <c r="L701" s="30"/>
      <c r="M701" s="30"/>
      <c r="N701" s="30"/>
      <c r="O701" s="30"/>
      <c r="P701" s="30"/>
      <c r="Q701" s="30"/>
      <c r="R701" s="30"/>
      <c r="S701" s="30"/>
      <c r="T701" s="30"/>
      <c r="U701" s="30"/>
      <c r="V701" s="30"/>
      <c r="W701" s="30"/>
      <c r="X701" s="30"/>
    </row>
    <row r="702">
      <c r="A702" s="30"/>
      <c r="B702" s="30"/>
      <c r="C702" s="30"/>
      <c r="D702" s="30"/>
      <c r="E702" s="30"/>
      <c r="F702" s="30"/>
      <c r="G702" s="30"/>
      <c r="H702" s="30"/>
      <c r="I702" s="30"/>
      <c r="J702" s="30"/>
      <c r="K702" s="31"/>
      <c r="L702" s="30"/>
      <c r="M702" s="30"/>
      <c r="N702" s="30"/>
      <c r="O702" s="30"/>
      <c r="P702" s="30"/>
      <c r="Q702" s="30"/>
      <c r="R702" s="30"/>
      <c r="S702" s="30"/>
      <c r="T702" s="30"/>
      <c r="U702" s="30"/>
      <c r="V702" s="30"/>
      <c r="W702" s="30"/>
      <c r="X702" s="30"/>
    </row>
    <row r="703">
      <c r="A703" s="30"/>
      <c r="B703" s="30"/>
      <c r="C703" s="30"/>
      <c r="D703" s="30"/>
      <c r="E703" s="30"/>
      <c r="F703" s="30"/>
      <c r="G703" s="30"/>
      <c r="H703" s="30"/>
      <c r="I703" s="30"/>
      <c r="J703" s="30"/>
      <c r="K703" s="31"/>
      <c r="L703" s="30"/>
      <c r="M703" s="30"/>
      <c r="N703" s="30"/>
      <c r="O703" s="30"/>
      <c r="P703" s="30"/>
      <c r="Q703" s="30"/>
      <c r="R703" s="30"/>
      <c r="S703" s="30"/>
      <c r="T703" s="30"/>
      <c r="U703" s="30"/>
      <c r="V703" s="30"/>
      <c r="W703" s="30"/>
      <c r="X703" s="30"/>
    </row>
    <row r="704">
      <c r="A704" s="30"/>
      <c r="B704" s="30"/>
      <c r="C704" s="30"/>
      <c r="D704" s="30"/>
      <c r="E704" s="30"/>
      <c r="F704" s="30"/>
      <c r="G704" s="30"/>
      <c r="H704" s="30"/>
      <c r="I704" s="30"/>
      <c r="J704" s="30"/>
      <c r="K704" s="31"/>
      <c r="L704" s="30"/>
      <c r="M704" s="30"/>
      <c r="N704" s="30"/>
      <c r="O704" s="30"/>
      <c r="P704" s="30"/>
      <c r="Q704" s="30"/>
      <c r="R704" s="30"/>
      <c r="S704" s="30"/>
      <c r="T704" s="30"/>
      <c r="U704" s="30"/>
      <c r="V704" s="30"/>
      <c r="W704" s="30"/>
      <c r="X704" s="30"/>
    </row>
    <row r="705">
      <c r="A705" s="30"/>
      <c r="B705" s="30"/>
      <c r="C705" s="30"/>
      <c r="D705" s="30"/>
      <c r="E705" s="30"/>
      <c r="F705" s="30"/>
      <c r="G705" s="30"/>
      <c r="H705" s="30"/>
      <c r="I705" s="30"/>
      <c r="J705" s="30"/>
      <c r="K705" s="31"/>
      <c r="L705" s="30"/>
      <c r="M705" s="30"/>
      <c r="N705" s="30"/>
      <c r="O705" s="30"/>
      <c r="P705" s="30"/>
      <c r="Q705" s="30"/>
      <c r="R705" s="30"/>
      <c r="S705" s="30"/>
      <c r="T705" s="30"/>
      <c r="U705" s="30"/>
      <c r="V705" s="30"/>
      <c r="W705" s="30"/>
      <c r="X705" s="30"/>
    </row>
    <row r="706">
      <c r="A706" s="30"/>
      <c r="B706" s="30"/>
      <c r="C706" s="30"/>
      <c r="D706" s="30"/>
      <c r="E706" s="30"/>
      <c r="F706" s="30"/>
      <c r="G706" s="30"/>
      <c r="H706" s="30"/>
      <c r="I706" s="30"/>
      <c r="J706" s="30"/>
      <c r="K706" s="31"/>
      <c r="L706" s="30"/>
      <c r="M706" s="30"/>
      <c r="N706" s="30"/>
      <c r="O706" s="30"/>
      <c r="P706" s="30"/>
      <c r="Q706" s="30"/>
      <c r="R706" s="30"/>
      <c r="S706" s="30"/>
      <c r="T706" s="30"/>
      <c r="U706" s="30"/>
      <c r="V706" s="30"/>
      <c r="W706" s="30"/>
      <c r="X706" s="30"/>
    </row>
    <row r="707">
      <c r="A707" s="30"/>
      <c r="B707" s="30"/>
      <c r="C707" s="30"/>
      <c r="D707" s="30"/>
      <c r="E707" s="30"/>
      <c r="F707" s="30"/>
      <c r="G707" s="30"/>
      <c r="H707" s="30"/>
      <c r="I707" s="30"/>
      <c r="J707" s="30"/>
      <c r="K707" s="31"/>
      <c r="L707" s="30"/>
      <c r="M707" s="30"/>
      <c r="N707" s="30"/>
      <c r="O707" s="30"/>
      <c r="P707" s="30"/>
      <c r="Q707" s="30"/>
      <c r="R707" s="30"/>
      <c r="S707" s="30"/>
      <c r="T707" s="30"/>
      <c r="U707" s="30"/>
      <c r="V707" s="30"/>
      <c r="W707" s="30"/>
      <c r="X707" s="30"/>
    </row>
    <row r="708">
      <c r="A708" s="30"/>
      <c r="B708" s="30"/>
      <c r="C708" s="30"/>
      <c r="D708" s="30"/>
      <c r="E708" s="30"/>
      <c r="F708" s="30"/>
      <c r="G708" s="30"/>
      <c r="H708" s="30"/>
      <c r="I708" s="30"/>
      <c r="J708" s="30"/>
      <c r="K708" s="31"/>
      <c r="L708" s="30"/>
      <c r="M708" s="30"/>
      <c r="N708" s="30"/>
      <c r="O708" s="30"/>
      <c r="P708" s="30"/>
      <c r="Q708" s="30"/>
      <c r="R708" s="30"/>
      <c r="S708" s="30"/>
      <c r="T708" s="30"/>
      <c r="U708" s="30"/>
      <c r="V708" s="30"/>
      <c r="W708" s="30"/>
      <c r="X708" s="30"/>
    </row>
    <row r="709">
      <c r="A709" s="30"/>
      <c r="B709" s="30"/>
      <c r="C709" s="30"/>
      <c r="D709" s="30"/>
      <c r="E709" s="30"/>
      <c r="F709" s="30"/>
      <c r="G709" s="30"/>
      <c r="H709" s="30"/>
      <c r="I709" s="30"/>
      <c r="J709" s="30"/>
      <c r="K709" s="31"/>
      <c r="L709" s="30"/>
      <c r="M709" s="30"/>
      <c r="N709" s="30"/>
      <c r="O709" s="30"/>
      <c r="P709" s="30"/>
      <c r="Q709" s="30"/>
      <c r="R709" s="30"/>
      <c r="S709" s="30"/>
      <c r="T709" s="30"/>
      <c r="U709" s="30"/>
      <c r="V709" s="30"/>
      <c r="W709" s="30"/>
      <c r="X709" s="30"/>
    </row>
    <row r="710">
      <c r="A710" s="30"/>
      <c r="B710" s="30"/>
      <c r="C710" s="30"/>
      <c r="D710" s="30"/>
      <c r="E710" s="30"/>
      <c r="F710" s="30"/>
      <c r="G710" s="30"/>
      <c r="H710" s="30"/>
      <c r="I710" s="30"/>
      <c r="J710" s="30"/>
      <c r="K710" s="31"/>
      <c r="L710" s="30"/>
      <c r="M710" s="30"/>
      <c r="N710" s="30"/>
      <c r="O710" s="30"/>
      <c r="P710" s="30"/>
      <c r="Q710" s="30"/>
      <c r="R710" s="30"/>
      <c r="S710" s="30"/>
      <c r="T710" s="30"/>
      <c r="U710" s="30"/>
      <c r="V710" s="30"/>
      <c r="W710" s="30"/>
      <c r="X710" s="30"/>
    </row>
    <row r="711">
      <c r="A711" s="30"/>
      <c r="B711" s="30"/>
      <c r="C711" s="30"/>
      <c r="D711" s="30"/>
      <c r="E711" s="30"/>
      <c r="F711" s="30"/>
      <c r="G711" s="30"/>
      <c r="H711" s="30"/>
      <c r="I711" s="30"/>
      <c r="J711" s="30"/>
      <c r="K711" s="31"/>
      <c r="L711" s="30"/>
      <c r="M711" s="30"/>
      <c r="N711" s="30"/>
      <c r="O711" s="30"/>
      <c r="P711" s="30"/>
      <c r="Q711" s="30"/>
      <c r="R711" s="30"/>
      <c r="S711" s="30"/>
      <c r="T711" s="30"/>
      <c r="U711" s="30"/>
      <c r="V711" s="30"/>
      <c r="W711" s="30"/>
      <c r="X711" s="30"/>
    </row>
    <row r="712">
      <c r="A712" s="30"/>
      <c r="B712" s="30"/>
      <c r="C712" s="30"/>
      <c r="D712" s="30"/>
      <c r="E712" s="30"/>
      <c r="F712" s="30"/>
      <c r="G712" s="30"/>
      <c r="H712" s="30"/>
      <c r="I712" s="30"/>
      <c r="J712" s="30"/>
      <c r="K712" s="31"/>
      <c r="L712" s="30"/>
      <c r="M712" s="30"/>
      <c r="N712" s="30"/>
      <c r="O712" s="30"/>
      <c r="P712" s="30"/>
      <c r="Q712" s="30"/>
      <c r="R712" s="30"/>
      <c r="S712" s="30"/>
      <c r="T712" s="30"/>
      <c r="U712" s="30"/>
      <c r="V712" s="30"/>
      <c r="W712" s="30"/>
      <c r="X712" s="30"/>
    </row>
    <row r="713">
      <c r="A713" s="30"/>
      <c r="B713" s="30"/>
      <c r="C713" s="30"/>
      <c r="D713" s="30"/>
      <c r="E713" s="30"/>
      <c r="F713" s="30"/>
      <c r="G713" s="30"/>
      <c r="H713" s="30"/>
      <c r="I713" s="30"/>
      <c r="J713" s="30"/>
      <c r="K713" s="31"/>
      <c r="L713" s="30"/>
      <c r="M713" s="30"/>
      <c r="N713" s="30"/>
      <c r="O713" s="30"/>
      <c r="P713" s="30"/>
      <c r="Q713" s="30"/>
      <c r="R713" s="30"/>
      <c r="S713" s="30"/>
      <c r="T713" s="30"/>
      <c r="U713" s="30"/>
      <c r="V713" s="30"/>
      <c r="W713" s="30"/>
      <c r="X713" s="30"/>
    </row>
    <row r="714">
      <c r="A714" s="30"/>
      <c r="B714" s="30"/>
      <c r="C714" s="30"/>
      <c r="D714" s="30"/>
      <c r="E714" s="30"/>
      <c r="F714" s="30"/>
      <c r="G714" s="30"/>
      <c r="H714" s="30"/>
      <c r="I714" s="30"/>
      <c r="J714" s="30"/>
      <c r="K714" s="31"/>
      <c r="L714" s="30"/>
      <c r="M714" s="30"/>
      <c r="N714" s="30"/>
      <c r="O714" s="30"/>
      <c r="P714" s="30"/>
      <c r="Q714" s="30"/>
      <c r="R714" s="30"/>
      <c r="S714" s="30"/>
      <c r="T714" s="30"/>
      <c r="U714" s="30"/>
      <c r="V714" s="30"/>
      <c r="W714" s="30"/>
      <c r="X714" s="30"/>
    </row>
    <row r="715">
      <c r="A715" s="30"/>
      <c r="B715" s="30"/>
      <c r="C715" s="30"/>
      <c r="D715" s="30"/>
      <c r="E715" s="30"/>
      <c r="F715" s="30"/>
      <c r="G715" s="30"/>
      <c r="H715" s="30"/>
      <c r="I715" s="30"/>
      <c r="J715" s="30"/>
      <c r="K715" s="31"/>
      <c r="L715" s="30"/>
      <c r="M715" s="30"/>
      <c r="N715" s="30"/>
      <c r="O715" s="30"/>
      <c r="P715" s="30"/>
      <c r="Q715" s="30"/>
      <c r="R715" s="30"/>
      <c r="S715" s="30"/>
      <c r="T715" s="30"/>
      <c r="U715" s="30"/>
      <c r="V715" s="30"/>
      <c r="W715" s="30"/>
      <c r="X715" s="30"/>
    </row>
    <row r="716">
      <c r="A716" s="30"/>
      <c r="B716" s="30"/>
      <c r="C716" s="30"/>
      <c r="D716" s="30"/>
      <c r="E716" s="30"/>
      <c r="F716" s="30"/>
      <c r="G716" s="30"/>
      <c r="H716" s="30"/>
      <c r="I716" s="30"/>
      <c r="J716" s="30"/>
      <c r="K716" s="31"/>
      <c r="L716" s="30"/>
      <c r="M716" s="30"/>
      <c r="N716" s="30"/>
      <c r="O716" s="30"/>
      <c r="P716" s="30"/>
      <c r="Q716" s="30"/>
      <c r="R716" s="30"/>
      <c r="S716" s="30"/>
      <c r="T716" s="30"/>
      <c r="U716" s="30"/>
      <c r="V716" s="30"/>
      <c r="W716" s="30"/>
      <c r="X716" s="30"/>
    </row>
    <row r="717">
      <c r="A717" s="30"/>
      <c r="B717" s="30"/>
      <c r="C717" s="30"/>
      <c r="D717" s="30"/>
      <c r="E717" s="30"/>
      <c r="F717" s="30"/>
      <c r="G717" s="30"/>
      <c r="H717" s="30"/>
      <c r="I717" s="30"/>
      <c r="J717" s="30"/>
      <c r="K717" s="31"/>
      <c r="L717" s="30"/>
      <c r="M717" s="30"/>
      <c r="N717" s="30"/>
      <c r="O717" s="30"/>
      <c r="P717" s="30"/>
      <c r="Q717" s="30"/>
      <c r="R717" s="30"/>
      <c r="S717" s="30"/>
      <c r="T717" s="30"/>
      <c r="U717" s="30"/>
      <c r="V717" s="30"/>
      <c r="W717" s="30"/>
      <c r="X717" s="30"/>
    </row>
    <row r="718">
      <c r="A718" s="30"/>
      <c r="B718" s="30"/>
      <c r="C718" s="30"/>
      <c r="D718" s="30"/>
      <c r="E718" s="30"/>
      <c r="F718" s="30"/>
      <c r="G718" s="30"/>
      <c r="H718" s="30"/>
      <c r="I718" s="30"/>
      <c r="J718" s="30"/>
      <c r="K718" s="31"/>
      <c r="L718" s="30"/>
      <c r="M718" s="30"/>
      <c r="N718" s="30"/>
      <c r="O718" s="30"/>
      <c r="P718" s="30"/>
      <c r="Q718" s="30"/>
      <c r="R718" s="30"/>
      <c r="S718" s="30"/>
      <c r="T718" s="30"/>
      <c r="U718" s="30"/>
      <c r="V718" s="30"/>
      <c r="W718" s="30"/>
      <c r="X718" s="30"/>
    </row>
    <row r="719">
      <c r="A719" s="30"/>
      <c r="B719" s="30"/>
      <c r="C719" s="30"/>
      <c r="D719" s="30"/>
      <c r="E719" s="30"/>
      <c r="F719" s="30"/>
      <c r="G719" s="30"/>
      <c r="H719" s="30"/>
      <c r="I719" s="30"/>
      <c r="J719" s="30"/>
      <c r="K719" s="31"/>
      <c r="L719" s="30"/>
      <c r="M719" s="30"/>
      <c r="N719" s="30"/>
      <c r="O719" s="30"/>
      <c r="P719" s="30"/>
      <c r="Q719" s="30"/>
      <c r="R719" s="30"/>
      <c r="S719" s="30"/>
      <c r="T719" s="30"/>
      <c r="U719" s="30"/>
      <c r="V719" s="30"/>
      <c r="W719" s="30"/>
      <c r="X719" s="30"/>
    </row>
    <row r="720">
      <c r="A720" s="30"/>
      <c r="B720" s="30"/>
      <c r="C720" s="30"/>
      <c r="D720" s="30"/>
      <c r="E720" s="30"/>
      <c r="F720" s="30"/>
      <c r="G720" s="30"/>
      <c r="H720" s="30"/>
      <c r="I720" s="30"/>
      <c r="J720" s="30"/>
      <c r="K720" s="31"/>
      <c r="L720" s="30"/>
      <c r="M720" s="30"/>
      <c r="N720" s="30"/>
      <c r="O720" s="30"/>
      <c r="P720" s="30"/>
      <c r="Q720" s="30"/>
      <c r="R720" s="30"/>
      <c r="S720" s="30"/>
      <c r="T720" s="30"/>
      <c r="U720" s="30"/>
      <c r="V720" s="30"/>
      <c r="W720" s="30"/>
      <c r="X720" s="30"/>
    </row>
    <row r="721">
      <c r="A721" s="30"/>
      <c r="B721" s="30"/>
      <c r="C721" s="30"/>
      <c r="D721" s="30"/>
      <c r="E721" s="30"/>
      <c r="F721" s="30"/>
      <c r="G721" s="30"/>
      <c r="H721" s="30"/>
      <c r="I721" s="30"/>
      <c r="J721" s="30"/>
      <c r="K721" s="31"/>
      <c r="L721" s="30"/>
      <c r="M721" s="30"/>
      <c r="N721" s="30"/>
      <c r="O721" s="30"/>
      <c r="P721" s="30"/>
      <c r="Q721" s="30"/>
      <c r="R721" s="30"/>
      <c r="S721" s="30"/>
      <c r="T721" s="30"/>
      <c r="U721" s="30"/>
      <c r="V721" s="30"/>
      <c r="W721" s="30"/>
      <c r="X721" s="30"/>
    </row>
    <row r="722">
      <c r="A722" s="30"/>
      <c r="B722" s="30"/>
      <c r="C722" s="30"/>
      <c r="D722" s="30"/>
      <c r="E722" s="30"/>
      <c r="F722" s="30"/>
      <c r="G722" s="30"/>
      <c r="H722" s="30"/>
      <c r="I722" s="30"/>
      <c r="J722" s="30"/>
      <c r="K722" s="31"/>
      <c r="L722" s="30"/>
      <c r="M722" s="30"/>
      <c r="N722" s="30"/>
      <c r="O722" s="30"/>
      <c r="P722" s="30"/>
      <c r="Q722" s="30"/>
      <c r="R722" s="30"/>
      <c r="S722" s="30"/>
      <c r="T722" s="30"/>
      <c r="U722" s="30"/>
      <c r="V722" s="30"/>
      <c r="W722" s="30"/>
      <c r="X722" s="30"/>
    </row>
    <row r="723">
      <c r="A723" s="30"/>
      <c r="B723" s="30"/>
      <c r="C723" s="30"/>
      <c r="D723" s="30"/>
      <c r="E723" s="30"/>
      <c r="F723" s="30"/>
      <c r="G723" s="30"/>
      <c r="H723" s="30"/>
      <c r="I723" s="30"/>
      <c r="J723" s="30"/>
      <c r="K723" s="31"/>
      <c r="L723" s="30"/>
      <c r="M723" s="30"/>
      <c r="N723" s="30"/>
      <c r="O723" s="30"/>
      <c r="P723" s="30"/>
      <c r="Q723" s="30"/>
      <c r="R723" s="30"/>
      <c r="S723" s="30"/>
      <c r="T723" s="30"/>
      <c r="U723" s="30"/>
      <c r="V723" s="30"/>
      <c r="W723" s="30"/>
      <c r="X723" s="30"/>
    </row>
    <row r="724">
      <c r="A724" s="30"/>
      <c r="B724" s="30"/>
      <c r="C724" s="30"/>
      <c r="D724" s="30"/>
      <c r="E724" s="30"/>
      <c r="F724" s="30"/>
      <c r="G724" s="30"/>
      <c r="H724" s="30"/>
      <c r="I724" s="30"/>
      <c r="J724" s="30"/>
      <c r="K724" s="31"/>
      <c r="L724" s="30"/>
      <c r="M724" s="30"/>
      <c r="N724" s="30"/>
      <c r="O724" s="30"/>
      <c r="P724" s="30"/>
      <c r="Q724" s="30"/>
      <c r="R724" s="30"/>
      <c r="S724" s="30"/>
      <c r="T724" s="30"/>
      <c r="U724" s="30"/>
      <c r="V724" s="30"/>
      <c r="W724" s="30"/>
      <c r="X724" s="30"/>
    </row>
    <row r="725">
      <c r="A725" s="30"/>
      <c r="B725" s="30"/>
      <c r="C725" s="30"/>
      <c r="D725" s="30"/>
      <c r="E725" s="30"/>
      <c r="F725" s="30"/>
      <c r="G725" s="30"/>
      <c r="H725" s="30"/>
      <c r="I725" s="30"/>
      <c r="J725" s="30"/>
      <c r="K725" s="31"/>
      <c r="L725" s="30"/>
      <c r="M725" s="30"/>
      <c r="N725" s="30"/>
      <c r="O725" s="30"/>
      <c r="P725" s="30"/>
      <c r="Q725" s="30"/>
      <c r="R725" s="30"/>
      <c r="S725" s="30"/>
      <c r="T725" s="30"/>
      <c r="U725" s="30"/>
      <c r="V725" s="30"/>
      <c r="W725" s="30"/>
      <c r="X725" s="30"/>
    </row>
    <row r="726">
      <c r="A726" s="30"/>
      <c r="B726" s="30"/>
      <c r="C726" s="30"/>
      <c r="D726" s="30"/>
      <c r="E726" s="30"/>
      <c r="F726" s="30"/>
      <c r="G726" s="30"/>
      <c r="H726" s="30"/>
      <c r="I726" s="30"/>
      <c r="J726" s="30"/>
      <c r="K726" s="31"/>
      <c r="L726" s="30"/>
      <c r="M726" s="30"/>
      <c r="N726" s="30"/>
      <c r="O726" s="30"/>
      <c r="P726" s="30"/>
      <c r="Q726" s="30"/>
      <c r="R726" s="30"/>
      <c r="S726" s="30"/>
      <c r="T726" s="30"/>
      <c r="U726" s="30"/>
      <c r="V726" s="30"/>
      <c r="W726" s="30"/>
      <c r="X726" s="30"/>
    </row>
    <row r="727">
      <c r="A727" s="30"/>
      <c r="B727" s="30"/>
      <c r="C727" s="30"/>
      <c r="D727" s="30"/>
      <c r="E727" s="30"/>
      <c r="F727" s="30"/>
      <c r="G727" s="30"/>
      <c r="H727" s="30"/>
      <c r="I727" s="30"/>
      <c r="J727" s="30"/>
      <c r="K727" s="31"/>
      <c r="L727" s="30"/>
      <c r="M727" s="30"/>
      <c r="N727" s="30"/>
      <c r="O727" s="30"/>
      <c r="P727" s="30"/>
      <c r="Q727" s="30"/>
      <c r="R727" s="30"/>
      <c r="S727" s="30"/>
      <c r="T727" s="30"/>
      <c r="U727" s="30"/>
      <c r="V727" s="30"/>
      <c r="W727" s="30"/>
      <c r="X727" s="30"/>
    </row>
    <row r="728">
      <c r="A728" s="30"/>
      <c r="B728" s="30"/>
      <c r="C728" s="30"/>
      <c r="D728" s="30"/>
      <c r="E728" s="30"/>
      <c r="F728" s="30"/>
      <c r="G728" s="30"/>
      <c r="H728" s="30"/>
      <c r="I728" s="30"/>
      <c r="J728" s="30"/>
      <c r="K728" s="31"/>
      <c r="L728" s="30"/>
      <c r="M728" s="30"/>
      <c r="N728" s="30"/>
      <c r="O728" s="30"/>
      <c r="P728" s="30"/>
      <c r="Q728" s="30"/>
      <c r="R728" s="30"/>
      <c r="S728" s="30"/>
      <c r="T728" s="30"/>
      <c r="U728" s="30"/>
      <c r="V728" s="30"/>
      <c r="W728" s="30"/>
      <c r="X728" s="30"/>
    </row>
    <row r="729">
      <c r="A729" s="30"/>
      <c r="B729" s="30"/>
      <c r="C729" s="30"/>
      <c r="D729" s="30"/>
      <c r="E729" s="30"/>
      <c r="F729" s="30"/>
      <c r="G729" s="30"/>
      <c r="H729" s="30"/>
      <c r="I729" s="30"/>
      <c r="J729" s="30"/>
      <c r="K729" s="31"/>
      <c r="L729" s="30"/>
      <c r="M729" s="30"/>
      <c r="N729" s="30"/>
      <c r="O729" s="30"/>
      <c r="P729" s="30"/>
      <c r="Q729" s="30"/>
      <c r="R729" s="30"/>
      <c r="S729" s="30"/>
      <c r="T729" s="30"/>
      <c r="U729" s="30"/>
      <c r="V729" s="30"/>
      <c r="W729" s="30"/>
      <c r="X729" s="30"/>
    </row>
    <row r="730">
      <c r="A730" s="30"/>
      <c r="B730" s="30"/>
      <c r="C730" s="30"/>
      <c r="D730" s="30"/>
      <c r="E730" s="30"/>
      <c r="F730" s="30"/>
      <c r="G730" s="30"/>
      <c r="H730" s="30"/>
      <c r="I730" s="30"/>
      <c r="J730" s="30"/>
      <c r="K730" s="31"/>
      <c r="L730" s="30"/>
      <c r="M730" s="30"/>
      <c r="N730" s="30"/>
      <c r="O730" s="30"/>
      <c r="P730" s="30"/>
      <c r="Q730" s="30"/>
      <c r="R730" s="30"/>
      <c r="S730" s="30"/>
      <c r="T730" s="30"/>
      <c r="U730" s="30"/>
      <c r="V730" s="30"/>
      <c r="W730" s="30"/>
      <c r="X730" s="30"/>
    </row>
    <row r="731">
      <c r="A731" s="30"/>
      <c r="B731" s="30"/>
      <c r="C731" s="30"/>
      <c r="D731" s="30"/>
      <c r="E731" s="30"/>
      <c r="F731" s="30"/>
      <c r="G731" s="30"/>
      <c r="H731" s="30"/>
      <c r="I731" s="30"/>
      <c r="J731" s="30"/>
      <c r="K731" s="31"/>
      <c r="L731" s="30"/>
      <c r="M731" s="30"/>
      <c r="N731" s="30"/>
      <c r="O731" s="30"/>
      <c r="P731" s="30"/>
      <c r="Q731" s="30"/>
      <c r="R731" s="30"/>
      <c r="S731" s="30"/>
      <c r="T731" s="30"/>
      <c r="U731" s="30"/>
      <c r="V731" s="30"/>
      <c r="W731" s="30"/>
      <c r="X731" s="30"/>
    </row>
    <row r="732">
      <c r="A732" s="30"/>
      <c r="B732" s="30"/>
      <c r="C732" s="30"/>
      <c r="D732" s="30"/>
      <c r="E732" s="30"/>
      <c r="F732" s="30"/>
      <c r="G732" s="30"/>
      <c r="H732" s="30"/>
      <c r="I732" s="30"/>
      <c r="J732" s="30"/>
      <c r="K732" s="31"/>
      <c r="L732" s="30"/>
      <c r="M732" s="30"/>
      <c r="N732" s="30"/>
      <c r="O732" s="30"/>
      <c r="P732" s="30"/>
      <c r="Q732" s="30"/>
      <c r="R732" s="30"/>
      <c r="S732" s="30"/>
      <c r="T732" s="30"/>
      <c r="U732" s="30"/>
      <c r="V732" s="30"/>
      <c r="W732" s="30"/>
      <c r="X732" s="30"/>
    </row>
    <row r="733">
      <c r="A733" s="30"/>
      <c r="B733" s="30"/>
      <c r="C733" s="30"/>
      <c r="D733" s="30"/>
      <c r="E733" s="30"/>
      <c r="F733" s="30"/>
      <c r="G733" s="30"/>
      <c r="H733" s="30"/>
      <c r="I733" s="30"/>
      <c r="J733" s="30"/>
      <c r="K733" s="31"/>
      <c r="L733" s="30"/>
      <c r="M733" s="30"/>
      <c r="N733" s="30"/>
      <c r="O733" s="30"/>
      <c r="P733" s="30"/>
      <c r="Q733" s="30"/>
      <c r="R733" s="30"/>
      <c r="S733" s="30"/>
      <c r="T733" s="30"/>
      <c r="U733" s="30"/>
      <c r="V733" s="30"/>
      <c r="W733" s="30"/>
      <c r="X733" s="30"/>
    </row>
    <row r="734">
      <c r="A734" s="30"/>
      <c r="B734" s="30"/>
      <c r="C734" s="30"/>
      <c r="D734" s="30"/>
      <c r="E734" s="30"/>
      <c r="F734" s="30"/>
      <c r="G734" s="30"/>
      <c r="H734" s="30"/>
      <c r="I734" s="30"/>
      <c r="J734" s="30"/>
      <c r="K734" s="31"/>
      <c r="L734" s="30"/>
      <c r="M734" s="30"/>
      <c r="N734" s="30"/>
      <c r="O734" s="30"/>
      <c r="P734" s="30"/>
      <c r="Q734" s="30"/>
      <c r="R734" s="30"/>
      <c r="S734" s="30"/>
      <c r="T734" s="30"/>
      <c r="U734" s="30"/>
      <c r="V734" s="30"/>
      <c r="W734" s="30"/>
      <c r="X734" s="30"/>
    </row>
    <row r="735">
      <c r="A735" s="30"/>
      <c r="B735" s="30"/>
      <c r="C735" s="30"/>
      <c r="D735" s="30"/>
      <c r="E735" s="30"/>
      <c r="F735" s="30"/>
      <c r="G735" s="30"/>
      <c r="H735" s="30"/>
      <c r="I735" s="30"/>
      <c r="J735" s="30"/>
      <c r="K735" s="31"/>
      <c r="L735" s="30"/>
      <c r="M735" s="30"/>
      <c r="N735" s="30"/>
      <c r="O735" s="30"/>
      <c r="P735" s="30"/>
      <c r="Q735" s="30"/>
      <c r="R735" s="30"/>
      <c r="S735" s="30"/>
      <c r="T735" s="30"/>
      <c r="U735" s="30"/>
      <c r="V735" s="30"/>
      <c r="W735" s="30"/>
      <c r="X735" s="30"/>
    </row>
    <row r="736">
      <c r="A736" s="30"/>
      <c r="B736" s="30"/>
      <c r="C736" s="30"/>
      <c r="D736" s="30"/>
      <c r="E736" s="30"/>
      <c r="F736" s="30"/>
      <c r="G736" s="30"/>
      <c r="H736" s="30"/>
      <c r="I736" s="30"/>
      <c r="J736" s="30"/>
      <c r="K736" s="31"/>
      <c r="L736" s="30"/>
      <c r="M736" s="30"/>
      <c r="N736" s="30"/>
      <c r="O736" s="30"/>
      <c r="P736" s="30"/>
      <c r="Q736" s="30"/>
      <c r="R736" s="30"/>
      <c r="S736" s="30"/>
      <c r="T736" s="30"/>
      <c r="U736" s="30"/>
      <c r="V736" s="30"/>
      <c r="W736" s="30"/>
      <c r="X736" s="30"/>
    </row>
    <row r="737">
      <c r="A737" s="30"/>
      <c r="B737" s="30"/>
      <c r="C737" s="30"/>
      <c r="D737" s="30"/>
      <c r="E737" s="30"/>
      <c r="F737" s="30"/>
      <c r="G737" s="30"/>
      <c r="H737" s="30"/>
      <c r="I737" s="30"/>
      <c r="J737" s="30"/>
      <c r="K737" s="31"/>
      <c r="L737" s="30"/>
      <c r="M737" s="30"/>
      <c r="N737" s="30"/>
      <c r="O737" s="30"/>
      <c r="P737" s="30"/>
      <c r="Q737" s="30"/>
      <c r="R737" s="30"/>
      <c r="S737" s="30"/>
      <c r="T737" s="30"/>
      <c r="U737" s="30"/>
      <c r="V737" s="30"/>
      <c r="W737" s="30"/>
      <c r="X737" s="30"/>
    </row>
    <row r="738">
      <c r="A738" s="30"/>
      <c r="B738" s="30"/>
      <c r="C738" s="30"/>
      <c r="D738" s="30"/>
      <c r="E738" s="30"/>
      <c r="F738" s="30"/>
      <c r="G738" s="30"/>
      <c r="H738" s="30"/>
      <c r="I738" s="30"/>
      <c r="J738" s="30"/>
      <c r="K738" s="31"/>
      <c r="L738" s="30"/>
      <c r="M738" s="30"/>
      <c r="N738" s="30"/>
      <c r="O738" s="30"/>
      <c r="P738" s="30"/>
      <c r="Q738" s="30"/>
      <c r="R738" s="30"/>
      <c r="S738" s="30"/>
      <c r="T738" s="30"/>
      <c r="U738" s="30"/>
      <c r="V738" s="30"/>
      <c r="W738" s="30"/>
      <c r="X738" s="30"/>
    </row>
    <row r="739">
      <c r="A739" s="30"/>
      <c r="B739" s="30"/>
      <c r="C739" s="30"/>
      <c r="D739" s="30"/>
      <c r="E739" s="30"/>
      <c r="F739" s="30"/>
      <c r="G739" s="30"/>
      <c r="H739" s="30"/>
      <c r="I739" s="30"/>
      <c r="J739" s="30"/>
      <c r="K739" s="31"/>
      <c r="L739" s="30"/>
      <c r="M739" s="30"/>
      <c r="N739" s="30"/>
      <c r="O739" s="30"/>
      <c r="P739" s="30"/>
      <c r="Q739" s="30"/>
      <c r="R739" s="30"/>
      <c r="S739" s="30"/>
      <c r="T739" s="30"/>
      <c r="U739" s="30"/>
      <c r="V739" s="30"/>
      <c r="W739" s="30"/>
      <c r="X739" s="30"/>
    </row>
    <row r="740">
      <c r="A740" s="30"/>
      <c r="B740" s="30"/>
      <c r="C740" s="30"/>
      <c r="D740" s="30"/>
      <c r="E740" s="30"/>
      <c r="F740" s="30"/>
      <c r="G740" s="30"/>
      <c r="H740" s="30"/>
      <c r="I740" s="30"/>
      <c r="J740" s="30"/>
      <c r="K740" s="31"/>
      <c r="L740" s="30"/>
      <c r="M740" s="30"/>
      <c r="N740" s="30"/>
      <c r="O740" s="30"/>
      <c r="P740" s="30"/>
      <c r="Q740" s="30"/>
      <c r="R740" s="30"/>
      <c r="S740" s="30"/>
      <c r="T740" s="30"/>
      <c r="U740" s="30"/>
      <c r="V740" s="30"/>
      <c r="W740" s="30"/>
      <c r="X740" s="30"/>
    </row>
    <row r="741">
      <c r="A741" s="30"/>
      <c r="B741" s="30"/>
      <c r="C741" s="30"/>
      <c r="D741" s="30"/>
      <c r="E741" s="30"/>
      <c r="F741" s="30"/>
      <c r="G741" s="30"/>
      <c r="H741" s="30"/>
      <c r="I741" s="30"/>
      <c r="J741" s="30"/>
      <c r="K741" s="31"/>
      <c r="L741" s="30"/>
      <c r="M741" s="30"/>
      <c r="N741" s="30"/>
      <c r="O741" s="30"/>
      <c r="P741" s="30"/>
      <c r="Q741" s="30"/>
      <c r="R741" s="30"/>
      <c r="S741" s="30"/>
      <c r="T741" s="30"/>
      <c r="U741" s="30"/>
      <c r="V741" s="30"/>
      <c r="W741" s="30"/>
      <c r="X741" s="30"/>
    </row>
    <row r="742">
      <c r="A742" s="30"/>
      <c r="B742" s="30"/>
      <c r="C742" s="30"/>
      <c r="D742" s="30"/>
      <c r="E742" s="30"/>
      <c r="F742" s="30"/>
      <c r="G742" s="30"/>
      <c r="H742" s="30"/>
      <c r="I742" s="30"/>
      <c r="J742" s="30"/>
      <c r="K742" s="31"/>
      <c r="L742" s="30"/>
      <c r="M742" s="30"/>
      <c r="N742" s="30"/>
      <c r="O742" s="30"/>
      <c r="P742" s="30"/>
      <c r="Q742" s="30"/>
      <c r="R742" s="30"/>
      <c r="S742" s="30"/>
      <c r="T742" s="30"/>
      <c r="U742" s="30"/>
      <c r="V742" s="30"/>
      <c r="W742" s="30"/>
      <c r="X742" s="30"/>
    </row>
    <row r="743">
      <c r="A743" s="30"/>
      <c r="B743" s="30"/>
      <c r="C743" s="30"/>
      <c r="D743" s="30"/>
      <c r="E743" s="30"/>
      <c r="F743" s="30"/>
      <c r="G743" s="30"/>
      <c r="H743" s="30"/>
      <c r="I743" s="30"/>
      <c r="J743" s="30"/>
      <c r="K743" s="31"/>
      <c r="L743" s="30"/>
      <c r="M743" s="30"/>
      <c r="N743" s="30"/>
      <c r="O743" s="30"/>
      <c r="P743" s="30"/>
      <c r="Q743" s="30"/>
      <c r="R743" s="30"/>
      <c r="S743" s="30"/>
      <c r="T743" s="30"/>
      <c r="U743" s="30"/>
      <c r="V743" s="30"/>
      <c r="W743" s="30"/>
      <c r="X743" s="30"/>
    </row>
    <row r="744">
      <c r="A744" s="30"/>
      <c r="B744" s="30"/>
      <c r="C744" s="30"/>
      <c r="D744" s="30"/>
      <c r="E744" s="30"/>
      <c r="F744" s="30"/>
      <c r="G744" s="30"/>
      <c r="H744" s="30"/>
      <c r="I744" s="30"/>
      <c r="J744" s="30"/>
      <c r="K744" s="31"/>
      <c r="L744" s="30"/>
      <c r="M744" s="30"/>
      <c r="N744" s="30"/>
      <c r="O744" s="30"/>
      <c r="P744" s="30"/>
      <c r="Q744" s="30"/>
      <c r="R744" s="30"/>
      <c r="S744" s="30"/>
      <c r="T744" s="30"/>
      <c r="U744" s="30"/>
      <c r="V744" s="30"/>
      <c r="W744" s="30"/>
      <c r="X744" s="30"/>
    </row>
    <row r="745">
      <c r="A745" s="30"/>
      <c r="B745" s="30"/>
      <c r="C745" s="30"/>
      <c r="D745" s="30"/>
      <c r="E745" s="30"/>
      <c r="F745" s="30"/>
      <c r="G745" s="30"/>
      <c r="H745" s="30"/>
      <c r="I745" s="30"/>
      <c r="J745" s="30"/>
      <c r="K745" s="31"/>
      <c r="L745" s="30"/>
      <c r="M745" s="30"/>
      <c r="N745" s="30"/>
      <c r="O745" s="30"/>
      <c r="P745" s="30"/>
      <c r="Q745" s="30"/>
      <c r="R745" s="30"/>
      <c r="S745" s="30"/>
      <c r="T745" s="30"/>
      <c r="U745" s="30"/>
      <c r="V745" s="30"/>
      <c r="W745" s="30"/>
      <c r="X745" s="30"/>
    </row>
    <row r="746">
      <c r="A746" s="30"/>
      <c r="B746" s="30"/>
      <c r="C746" s="30"/>
      <c r="D746" s="30"/>
      <c r="E746" s="30"/>
      <c r="F746" s="30"/>
      <c r="G746" s="30"/>
      <c r="H746" s="30"/>
      <c r="I746" s="30"/>
      <c r="J746" s="30"/>
      <c r="K746" s="31"/>
      <c r="L746" s="30"/>
      <c r="M746" s="30"/>
      <c r="N746" s="30"/>
      <c r="O746" s="30"/>
      <c r="P746" s="30"/>
      <c r="Q746" s="30"/>
      <c r="R746" s="30"/>
      <c r="S746" s="30"/>
      <c r="T746" s="30"/>
      <c r="U746" s="30"/>
      <c r="V746" s="30"/>
      <c r="W746" s="30"/>
      <c r="X746" s="30"/>
    </row>
    <row r="747">
      <c r="A747" s="30"/>
      <c r="B747" s="30"/>
      <c r="C747" s="30"/>
      <c r="D747" s="30"/>
      <c r="E747" s="30"/>
      <c r="F747" s="30"/>
      <c r="G747" s="30"/>
      <c r="H747" s="30"/>
      <c r="I747" s="30"/>
      <c r="J747" s="30"/>
      <c r="K747" s="31"/>
      <c r="L747" s="30"/>
      <c r="M747" s="30"/>
      <c r="N747" s="30"/>
      <c r="O747" s="30"/>
      <c r="P747" s="30"/>
      <c r="Q747" s="30"/>
      <c r="R747" s="30"/>
      <c r="S747" s="30"/>
      <c r="T747" s="30"/>
      <c r="U747" s="30"/>
      <c r="V747" s="30"/>
      <c r="W747" s="30"/>
      <c r="X747" s="30"/>
    </row>
    <row r="748">
      <c r="A748" s="30"/>
      <c r="B748" s="30"/>
      <c r="C748" s="30"/>
      <c r="D748" s="30"/>
      <c r="E748" s="30"/>
      <c r="F748" s="30"/>
      <c r="G748" s="30"/>
      <c r="H748" s="30"/>
      <c r="I748" s="30"/>
      <c r="J748" s="30"/>
      <c r="K748" s="31"/>
      <c r="L748" s="30"/>
      <c r="M748" s="30"/>
      <c r="N748" s="30"/>
      <c r="O748" s="30"/>
      <c r="P748" s="30"/>
      <c r="Q748" s="30"/>
      <c r="R748" s="30"/>
      <c r="S748" s="30"/>
      <c r="T748" s="30"/>
      <c r="U748" s="30"/>
      <c r="V748" s="30"/>
      <c r="W748" s="30"/>
      <c r="X748" s="30"/>
    </row>
    <row r="749">
      <c r="A749" s="30"/>
      <c r="B749" s="30"/>
      <c r="C749" s="30"/>
      <c r="D749" s="30"/>
      <c r="E749" s="30"/>
      <c r="F749" s="30"/>
      <c r="G749" s="30"/>
      <c r="H749" s="30"/>
      <c r="I749" s="30"/>
      <c r="J749" s="30"/>
      <c r="K749" s="31"/>
      <c r="L749" s="30"/>
      <c r="M749" s="30"/>
      <c r="N749" s="30"/>
      <c r="O749" s="30"/>
      <c r="P749" s="30"/>
      <c r="Q749" s="30"/>
      <c r="R749" s="30"/>
      <c r="S749" s="30"/>
      <c r="T749" s="30"/>
      <c r="U749" s="30"/>
      <c r="V749" s="30"/>
      <c r="W749" s="30"/>
      <c r="X749" s="30"/>
    </row>
    <row r="750">
      <c r="A750" s="30"/>
      <c r="B750" s="30"/>
      <c r="C750" s="30"/>
      <c r="D750" s="30"/>
      <c r="E750" s="30"/>
      <c r="F750" s="30"/>
      <c r="G750" s="30"/>
      <c r="H750" s="30"/>
      <c r="I750" s="30"/>
      <c r="J750" s="30"/>
      <c r="K750" s="31"/>
      <c r="L750" s="30"/>
      <c r="M750" s="30"/>
      <c r="N750" s="30"/>
      <c r="O750" s="30"/>
      <c r="P750" s="30"/>
      <c r="Q750" s="30"/>
      <c r="R750" s="30"/>
      <c r="S750" s="30"/>
      <c r="T750" s="30"/>
      <c r="U750" s="30"/>
      <c r="V750" s="30"/>
      <c r="W750" s="30"/>
      <c r="X750" s="30"/>
    </row>
    <row r="751">
      <c r="A751" s="30"/>
      <c r="B751" s="30"/>
      <c r="C751" s="30"/>
      <c r="D751" s="30"/>
      <c r="E751" s="30"/>
      <c r="F751" s="30"/>
      <c r="G751" s="30"/>
      <c r="H751" s="30"/>
      <c r="I751" s="30"/>
      <c r="J751" s="30"/>
      <c r="K751" s="31"/>
      <c r="L751" s="30"/>
      <c r="M751" s="30"/>
      <c r="N751" s="30"/>
      <c r="O751" s="30"/>
      <c r="P751" s="30"/>
      <c r="Q751" s="30"/>
      <c r="R751" s="30"/>
      <c r="S751" s="30"/>
      <c r="T751" s="30"/>
      <c r="U751" s="30"/>
      <c r="V751" s="30"/>
      <c r="W751" s="30"/>
      <c r="X751" s="30"/>
    </row>
    <row r="752">
      <c r="A752" s="30"/>
      <c r="B752" s="30"/>
      <c r="C752" s="30"/>
      <c r="D752" s="30"/>
      <c r="E752" s="30"/>
      <c r="F752" s="30"/>
      <c r="G752" s="30"/>
      <c r="H752" s="30"/>
      <c r="I752" s="30"/>
      <c r="J752" s="30"/>
      <c r="K752" s="31"/>
      <c r="L752" s="30"/>
      <c r="M752" s="30"/>
      <c r="N752" s="30"/>
      <c r="O752" s="30"/>
      <c r="P752" s="30"/>
      <c r="Q752" s="30"/>
      <c r="R752" s="30"/>
      <c r="S752" s="30"/>
      <c r="T752" s="30"/>
      <c r="U752" s="30"/>
      <c r="V752" s="30"/>
      <c r="W752" s="30"/>
      <c r="X752" s="30"/>
    </row>
    <row r="753">
      <c r="A753" s="30"/>
      <c r="B753" s="30"/>
      <c r="C753" s="30"/>
      <c r="D753" s="30"/>
      <c r="E753" s="30"/>
      <c r="F753" s="30"/>
      <c r="G753" s="30"/>
      <c r="H753" s="30"/>
      <c r="I753" s="30"/>
      <c r="J753" s="30"/>
      <c r="K753" s="31"/>
      <c r="L753" s="30"/>
      <c r="M753" s="30"/>
      <c r="N753" s="30"/>
      <c r="O753" s="30"/>
      <c r="P753" s="30"/>
      <c r="Q753" s="30"/>
      <c r="R753" s="30"/>
      <c r="S753" s="30"/>
      <c r="T753" s="30"/>
      <c r="U753" s="30"/>
      <c r="V753" s="30"/>
      <c r="W753" s="30"/>
      <c r="X753" s="30"/>
    </row>
    <row r="754">
      <c r="A754" s="30"/>
      <c r="B754" s="30"/>
      <c r="C754" s="30"/>
      <c r="D754" s="30"/>
      <c r="E754" s="30"/>
      <c r="F754" s="30"/>
      <c r="G754" s="30"/>
      <c r="H754" s="30"/>
      <c r="I754" s="30"/>
      <c r="J754" s="30"/>
      <c r="K754" s="31"/>
      <c r="L754" s="30"/>
      <c r="M754" s="30"/>
      <c r="N754" s="30"/>
      <c r="O754" s="30"/>
      <c r="P754" s="30"/>
      <c r="Q754" s="30"/>
      <c r="R754" s="30"/>
      <c r="S754" s="30"/>
      <c r="T754" s="30"/>
      <c r="U754" s="30"/>
      <c r="V754" s="30"/>
      <c r="W754" s="30"/>
      <c r="X754" s="30"/>
    </row>
    <row r="755">
      <c r="A755" s="30"/>
      <c r="B755" s="30"/>
      <c r="C755" s="30"/>
      <c r="D755" s="30"/>
      <c r="E755" s="30"/>
      <c r="F755" s="30"/>
      <c r="G755" s="30"/>
      <c r="H755" s="30"/>
      <c r="I755" s="30"/>
      <c r="J755" s="30"/>
      <c r="K755" s="31"/>
      <c r="L755" s="30"/>
      <c r="M755" s="30"/>
      <c r="N755" s="30"/>
      <c r="O755" s="30"/>
      <c r="P755" s="30"/>
      <c r="Q755" s="30"/>
      <c r="R755" s="30"/>
      <c r="S755" s="30"/>
      <c r="T755" s="30"/>
      <c r="U755" s="30"/>
      <c r="V755" s="30"/>
      <c r="W755" s="30"/>
      <c r="X755" s="30"/>
    </row>
    <row r="756">
      <c r="A756" s="30"/>
      <c r="B756" s="30"/>
      <c r="C756" s="30"/>
      <c r="D756" s="30"/>
      <c r="E756" s="30"/>
      <c r="F756" s="30"/>
      <c r="G756" s="30"/>
      <c r="H756" s="30"/>
      <c r="I756" s="30"/>
      <c r="J756" s="30"/>
      <c r="K756" s="31"/>
      <c r="L756" s="30"/>
      <c r="M756" s="30"/>
      <c r="N756" s="30"/>
      <c r="O756" s="30"/>
      <c r="P756" s="30"/>
      <c r="Q756" s="30"/>
      <c r="R756" s="30"/>
      <c r="S756" s="30"/>
      <c r="T756" s="30"/>
      <c r="U756" s="30"/>
      <c r="V756" s="30"/>
      <c r="W756" s="30"/>
      <c r="X756" s="30"/>
    </row>
    <row r="757">
      <c r="A757" s="30"/>
      <c r="B757" s="30"/>
      <c r="C757" s="30"/>
      <c r="D757" s="30"/>
      <c r="E757" s="30"/>
      <c r="F757" s="30"/>
      <c r="G757" s="30"/>
      <c r="H757" s="30"/>
      <c r="I757" s="30"/>
      <c r="J757" s="30"/>
      <c r="K757" s="31"/>
      <c r="L757" s="30"/>
      <c r="M757" s="30"/>
      <c r="N757" s="30"/>
      <c r="O757" s="30"/>
      <c r="P757" s="30"/>
      <c r="Q757" s="30"/>
      <c r="R757" s="30"/>
      <c r="S757" s="30"/>
      <c r="T757" s="30"/>
      <c r="U757" s="30"/>
      <c r="V757" s="30"/>
      <c r="W757" s="30"/>
      <c r="X757" s="30"/>
    </row>
    <row r="758">
      <c r="A758" s="30"/>
      <c r="B758" s="30"/>
      <c r="C758" s="30"/>
      <c r="D758" s="30"/>
      <c r="E758" s="30"/>
      <c r="F758" s="30"/>
      <c r="G758" s="30"/>
      <c r="H758" s="30"/>
      <c r="I758" s="30"/>
      <c r="J758" s="30"/>
      <c r="K758" s="31"/>
      <c r="L758" s="30"/>
      <c r="M758" s="30"/>
      <c r="N758" s="30"/>
      <c r="O758" s="30"/>
      <c r="P758" s="30"/>
      <c r="Q758" s="30"/>
      <c r="R758" s="30"/>
      <c r="S758" s="30"/>
      <c r="T758" s="30"/>
      <c r="U758" s="30"/>
      <c r="V758" s="30"/>
      <c r="W758" s="30"/>
      <c r="X758" s="30"/>
    </row>
    <row r="759">
      <c r="A759" s="30"/>
      <c r="B759" s="30"/>
      <c r="C759" s="30"/>
      <c r="D759" s="30"/>
      <c r="E759" s="30"/>
      <c r="F759" s="30"/>
      <c r="G759" s="30"/>
      <c r="H759" s="30"/>
      <c r="I759" s="30"/>
      <c r="J759" s="30"/>
      <c r="K759" s="31"/>
      <c r="L759" s="30"/>
      <c r="M759" s="30"/>
      <c r="N759" s="30"/>
      <c r="O759" s="30"/>
      <c r="P759" s="30"/>
      <c r="Q759" s="30"/>
      <c r="R759" s="30"/>
      <c r="S759" s="30"/>
      <c r="T759" s="30"/>
      <c r="U759" s="30"/>
      <c r="V759" s="30"/>
      <c r="W759" s="30"/>
      <c r="X759" s="30"/>
    </row>
    <row r="760">
      <c r="A760" s="30"/>
      <c r="B760" s="30"/>
      <c r="C760" s="30"/>
      <c r="D760" s="30"/>
      <c r="E760" s="30"/>
      <c r="F760" s="30"/>
      <c r="G760" s="30"/>
      <c r="H760" s="30"/>
      <c r="I760" s="30"/>
      <c r="J760" s="30"/>
      <c r="K760" s="31"/>
      <c r="L760" s="30"/>
      <c r="M760" s="30"/>
      <c r="N760" s="30"/>
      <c r="O760" s="30"/>
      <c r="P760" s="30"/>
      <c r="Q760" s="30"/>
      <c r="R760" s="30"/>
      <c r="S760" s="30"/>
      <c r="T760" s="30"/>
      <c r="U760" s="30"/>
      <c r="V760" s="30"/>
      <c r="W760" s="30"/>
      <c r="X760" s="30"/>
    </row>
    <row r="761">
      <c r="A761" s="30"/>
      <c r="B761" s="30"/>
      <c r="C761" s="30"/>
      <c r="D761" s="30"/>
      <c r="E761" s="30"/>
      <c r="F761" s="30"/>
      <c r="G761" s="30"/>
      <c r="H761" s="30"/>
      <c r="I761" s="30"/>
      <c r="J761" s="30"/>
      <c r="K761" s="31"/>
      <c r="L761" s="30"/>
      <c r="M761" s="30"/>
      <c r="N761" s="30"/>
      <c r="O761" s="30"/>
      <c r="P761" s="30"/>
      <c r="Q761" s="30"/>
      <c r="R761" s="30"/>
      <c r="S761" s="30"/>
      <c r="T761" s="30"/>
      <c r="U761" s="30"/>
      <c r="V761" s="30"/>
      <c r="W761" s="30"/>
      <c r="X761" s="30"/>
    </row>
    <row r="762">
      <c r="A762" s="30"/>
      <c r="B762" s="30"/>
      <c r="C762" s="30"/>
      <c r="D762" s="30"/>
      <c r="E762" s="30"/>
      <c r="F762" s="30"/>
      <c r="G762" s="30"/>
      <c r="H762" s="30"/>
      <c r="I762" s="30"/>
      <c r="J762" s="30"/>
      <c r="K762" s="31"/>
      <c r="L762" s="30"/>
      <c r="M762" s="30"/>
      <c r="N762" s="30"/>
      <c r="O762" s="30"/>
      <c r="P762" s="30"/>
      <c r="Q762" s="30"/>
      <c r="R762" s="30"/>
      <c r="S762" s="30"/>
      <c r="T762" s="30"/>
      <c r="U762" s="30"/>
      <c r="V762" s="30"/>
      <c r="W762" s="30"/>
      <c r="X762" s="30"/>
    </row>
    <row r="763">
      <c r="A763" s="30"/>
      <c r="B763" s="30"/>
      <c r="C763" s="30"/>
      <c r="D763" s="30"/>
      <c r="E763" s="30"/>
      <c r="F763" s="30"/>
      <c r="G763" s="30"/>
      <c r="H763" s="30"/>
      <c r="I763" s="30"/>
      <c r="J763" s="30"/>
      <c r="K763" s="31"/>
      <c r="L763" s="30"/>
      <c r="M763" s="30"/>
      <c r="N763" s="30"/>
      <c r="O763" s="30"/>
      <c r="P763" s="30"/>
      <c r="Q763" s="30"/>
      <c r="R763" s="30"/>
      <c r="S763" s="30"/>
      <c r="T763" s="30"/>
      <c r="U763" s="30"/>
      <c r="V763" s="30"/>
      <c r="W763" s="30"/>
      <c r="X763" s="30"/>
    </row>
    <row r="764">
      <c r="A764" s="30"/>
      <c r="B764" s="30"/>
      <c r="C764" s="30"/>
      <c r="D764" s="30"/>
      <c r="E764" s="30"/>
      <c r="F764" s="30"/>
      <c r="G764" s="30"/>
      <c r="H764" s="30"/>
      <c r="I764" s="30"/>
      <c r="J764" s="30"/>
      <c r="K764" s="31"/>
      <c r="L764" s="30"/>
      <c r="M764" s="30"/>
      <c r="N764" s="30"/>
      <c r="O764" s="30"/>
      <c r="P764" s="30"/>
      <c r="Q764" s="30"/>
      <c r="R764" s="30"/>
      <c r="S764" s="30"/>
      <c r="T764" s="30"/>
      <c r="U764" s="30"/>
      <c r="V764" s="30"/>
      <c r="W764" s="30"/>
      <c r="X764" s="30"/>
    </row>
    <row r="765">
      <c r="A765" s="30"/>
      <c r="B765" s="30"/>
      <c r="C765" s="30"/>
      <c r="D765" s="30"/>
      <c r="E765" s="30"/>
      <c r="F765" s="30"/>
      <c r="G765" s="30"/>
      <c r="H765" s="30"/>
      <c r="I765" s="30"/>
      <c r="J765" s="30"/>
      <c r="K765" s="31"/>
      <c r="L765" s="30"/>
      <c r="M765" s="30"/>
      <c r="N765" s="30"/>
      <c r="O765" s="30"/>
      <c r="P765" s="30"/>
      <c r="Q765" s="30"/>
      <c r="R765" s="30"/>
      <c r="S765" s="30"/>
      <c r="T765" s="30"/>
      <c r="U765" s="30"/>
      <c r="V765" s="30"/>
      <c r="W765" s="30"/>
      <c r="X765" s="30"/>
    </row>
    <row r="766">
      <c r="A766" s="30"/>
      <c r="B766" s="30"/>
      <c r="C766" s="30"/>
      <c r="D766" s="30"/>
      <c r="E766" s="30"/>
      <c r="F766" s="30"/>
      <c r="G766" s="30"/>
      <c r="H766" s="30"/>
      <c r="I766" s="30"/>
      <c r="J766" s="30"/>
      <c r="K766" s="31"/>
      <c r="L766" s="30"/>
      <c r="M766" s="30"/>
      <c r="N766" s="30"/>
      <c r="O766" s="30"/>
      <c r="P766" s="30"/>
      <c r="Q766" s="30"/>
      <c r="R766" s="30"/>
      <c r="S766" s="30"/>
      <c r="T766" s="30"/>
      <c r="U766" s="30"/>
      <c r="V766" s="30"/>
      <c r="W766" s="30"/>
      <c r="X766" s="30"/>
    </row>
    <row r="767">
      <c r="A767" s="30"/>
      <c r="B767" s="30"/>
      <c r="C767" s="30"/>
      <c r="D767" s="30"/>
      <c r="E767" s="30"/>
      <c r="F767" s="30"/>
      <c r="G767" s="30"/>
      <c r="H767" s="30"/>
      <c r="I767" s="30"/>
      <c r="J767" s="30"/>
      <c r="K767" s="31"/>
      <c r="L767" s="30"/>
      <c r="M767" s="30"/>
      <c r="N767" s="30"/>
      <c r="O767" s="30"/>
      <c r="P767" s="30"/>
      <c r="Q767" s="30"/>
      <c r="R767" s="30"/>
      <c r="S767" s="30"/>
      <c r="T767" s="30"/>
      <c r="U767" s="30"/>
      <c r="V767" s="30"/>
      <c r="W767" s="30"/>
      <c r="X767" s="30"/>
    </row>
    <row r="768">
      <c r="A768" s="30"/>
      <c r="B768" s="30"/>
      <c r="C768" s="30"/>
      <c r="D768" s="30"/>
      <c r="E768" s="30"/>
      <c r="F768" s="30"/>
      <c r="G768" s="30"/>
      <c r="H768" s="30"/>
      <c r="I768" s="30"/>
      <c r="J768" s="30"/>
      <c r="K768" s="31"/>
      <c r="L768" s="30"/>
      <c r="M768" s="30"/>
      <c r="N768" s="30"/>
      <c r="O768" s="30"/>
      <c r="P768" s="30"/>
      <c r="Q768" s="30"/>
      <c r="R768" s="30"/>
      <c r="S768" s="30"/>
      <c r="T768" s="30"/>
      <c r="U768" s="30"/>
      <c r="V768" s="30"/>
      <c r="W768" s="30"/>
      <c r="X768" s="30"/>
    </row>
    <row r="769">
      <c r="A769" s="30"/>
      <c r="B769" s="30"/>
      <c r="C769" s="30"/>
      <c r="D769" s="30"/>
      <c r="E769" s="30"/>
      <c r="F769" s="30"/>
      <c r="G769" s="30"/>
      <c r="H769" s="30"/>
      <c r="I769" s="30"/>
      <c r="J769" s="30"/>
      <c r="K769" s="31"/>
      <c r="L769" s="30"/>
      <c r="M769" s="30"/>
      <c r="N769" s="30"/>
      <c r="O769" s="30"/>
      <c r="P769" s="30"/>
      <c r="Q769" s="30"/>
      <c r="R769" s="30"/>
      <c r="S769" s="30"/>
      <c r="T769" s="30"/>
      <c r="U769" s="30"/>
      <c r="V769" s="30"/>
      <c r="W769" s="30"/>
      <c r="X769" s="30"/>
    </row>
    <row r="770">
      <c r="A770" s="30"/>
      <c r="B770" s="30"/>
      <c r="C770" s="30"/>
      <c r="D770" s="30"/>
      <c r="E770" s="30"/>
      <c r="F770" s="30"/>
      <c r="G770" s="30"/>
      <c r="H770" s="30"/>
      <c r="I770" s="30"/>
      <c r="J770" s="30"/>
      <c r="K770" s="31"/>
      <c r="L770" s="30"/>
      <c r="M770" s="30"/>
      <c r="N770" s="30"/>
      <c r="O770" s="30"/>
      <c r="P770" s="30"/>
      <c r="Q770" s="30"/>
      <c r="R770" s="30"/>
      <c r="S770" s="30"/>
      <c r="T770" s="30"/>
      <c r="U770" s="30"/>
      <c r="V770" s="30"/>
      <c r="W770" s="30"/>
      <c r="X770" s="30"/>
    </row>
    <row r="771">
      <c r="A771" s="30"/>
      <c r="B771" s="30"/>
      <c r="C771" s="30"/>
      <c r="D771" s="30"/>
      <c r="E771" s="30"/>
      <c r="F771" s="30"/>
      <c r="G771" s="30"/>
      <c r="H771" s="30"/>
      <c r="I771" s="30"/>
      <c r="J771" s="30"/>
      <c r="K771" s="31"/>
      <c r="L771" s="30"/>
      <c r="M771" s="30"/>
      <c r="N771" s="30"/>
      <c r="O771" s="30"/>
      <c r="P771" s="30"/>
      <c r="Q771" s="30"/>
      <c r="R771" s="30"/>
      <c r="S771" s="30"/>
      <c r="T771" s="30"/>
      <c r="U771" s="30"/>
      <c r="V771" s="30"/>
      <c r="W771" s="30"/>
      <c r="X771" s="30"/>
    </row>
    <row r="772">
      <c r="A772" s="30"/>
      <c r="B772" s="30"/>
      <c r="C772" s="30"/>
      <c r="D772" s="30"/>
      <c r="E772" s="30"/>
      <c r="F772" s="30"/>
      <c r="G772" s="30"/>
      <c r="H772" s="30"/>
      <c r="I772" s="30"/>
      <c r="J772" s="30"/>
      <c r="K772" s="31"/>
      <c r="L772" s="30"/>
      <c r="M772" s="30"/>
      <c r="N772" s="30"/>
      <c r="O772" s="30"/>
      <c r="P772" s="30"/>
      <c r="Q772" s="30"/>
      <c r="R772" s="30"/>
      <c r="S772" s="30"/>
      <c r="T772" s="30"/>
      <c r="U772" s="30"/>
      <c r="V772" s="30"/>
      <c r="W772" s="30"/>
      <c r="X772" s="30"/>
    </row>
    <row r="773">
      <c r="A773" s="30"/>
      <c r="B773" s="30"/>
      <c r="C773" s="30"/>
      <c r="D773" s="30"/>
      <c r="E773" s="30"/>
      <c r="F773" s="30"/>
      <c r="G773" s="30"/>
      <c r="H773" s="30"/>
      <c r="I773" s="30"/>
      <c r="J773" s="30"/>
      <c r="K773" s="31"/>
      <c r="L773" s="30"/>
      <c r="M773" s="30"/>
      <c r="N773" s="30"/>
      <c r="O773" s="30"/>
      <c r="P773" s="30"/>
      <c r="Q773" s="30"/>
      <c r="R773" s="30"/>
      <c r="S773" s="30"/>
      <c r="T773" s="30"/>
      <c r="U773" s="30"/>
      <c r="V773" s="30"/>
      <c r="W773" s="30"/>
      <c r="X773" s="30"/>
    </row>
    <row r="774">
      <c r="A774" s="30"/>
      <c r="B774" s="30"/>
      <c r="C774" s="30"/>
      <c r="D774" s="30"/>
      <c r="E774" s="30"/>
      <c r="F774" s="30"/>
      <c r="G774" s="30"/>
      <c r="H774" s="30"/>
      <c r="I774" s="30"/>
      <c r="J774" s="30"/>
      <c r="K774" s="31"/>
      <c r="L774" s="30"/>
      <c r="M774" s="30"/>
      <c r="N774" s="30"/>
      <c r="O774" s="30"/>
      <c r="P774" s="30"/>
      <c r="Q774" s="30"/>
      <c r="R774" s="30"/>
      <c r="S774" s="30"/>
      <c r="T774" s="30"/>
      <c r="U774" s="30"/>
      <c r="V774" s="30"/>
      <c r="W774" s="30"/>
      <c r="X774" s="30"/>
    </row>
    <row r="775">
      <c r="A775" s="30"/>
      <c r="B775" s="30"/>
      <c r="C775" s="30"/>
      <c r="D775" s="30"/>
      <c r="E775" s="30"/>
      <c r="F775" s="30"/>
      <c r="G775" s="30"/>
      <c r="H775" s="30"/>
      <c r="I775" s="30"/>
      <c r="J775" s="30"/>
      <c r="K775" s="31"/>
      <c r="L775" s="30"/>
      <c r="M775" s="30"/>
      <c r="N775" s="30"/>
      <c r="O775" s="30"/>
      <c r="P775" s="30"/>
      <c r="Q775" s="30"/>
      <c r="R775" s="30"/>
      <c r="S775" s="30"/>
      <c r="T775" s="30"/>
      <c r="U775" s="30"/>
      <c r="V775" s="30"/>
      <c r="W775" s="30"/>
      <c r="X775" s="30"/>
    </row>
    <row r="776">
      <c r="A776" s="30"/>
      <c r="B776" s="30"/>
      <c r="C776" s="30"/>
      <c r="D776" s="30"/>
      <c r="E776" s="30"/>
      <c r="F776" s="30"/>
      <c r="G776" s="30"/>
      <c r="H776" s="30"/>
      <c r="I776" s="30"/>
      <c r="J776" s="30"/>
      <c r="K776" s="31"/>
      <c r="L776" s="30"/>
      <c r="M776" s="30"/>
      <c r="N776" s="30"/>
      <c r="O776" s="30"/>
      <c r="P776" s="30"/>
      <c r="Q776" s="30"/>
      <c r="R776" s="30"/>
      <c r="S776" s="30"/>
      <c r="T776" s="30"/>
      <c r="U776" s="30"/>
      <c r="V776" s="30"/>
      <c r="W776" s="30"/>
      <c r="X776" s="30"/>
    </row>
    <row r="777">
      <c r="A777" s="30"/>
      <c r="B777" s="30"/>
      <c r="C777" s="30"/>
      <c r="D777" s="30"/>
      <c r="E777" s="30"/>
      <c r="F777" s="30"/>
      <c r="G777" s="30"/>
      <c r="H777" s="30"/>
      <c r="I777" s="30"/>
      <c r="J777" s="30"/>
      <c r="K777" s="31"/>
      <c r="L777" s="30"/>
      <c r="M777" s="30"/>
      <c r="N777" s="30"/>
      <c r="O777" s="30"/>
      <c r="P777" s="30"/>
      <c r="Q777" s="30"/>
      <c r="R777" s="30"/>
      <c r="S777" s="30"/>
      <c r="T777" s="30"/>
      <c r="U777" s="30"/>
      <c r="V777" s="30"/>
      <c r="W777" s="30"/>
      <c r="X777" s="30"/>
    </row>
    <row r="778">
      <c r="A778" s="30"/>
      <c r="B778" s="30"/>
      <c r="C778" s="30"/>
      <c r="D778" s="30"/>
      <c r="E778" s="30"/>
      <c r="F778" s="30"/>
      <c r="G778" s="30"/>
      <c r="H778" s="30"/>
      <c r="I778" s="30"/>
      <c r="J778" s="30"/>
      <c r="K778" s="31"/>
      <c r="L778" s="30"/>
      <c r="M778" s="30"/>
      <c r="N778" s="30"/>
      <c r="O778" s="30"/>
      <c r="P778" s="30"/>
      <c r="Q778" s="30"/>
      <c r="R778" s="30"/>
      <c r="S778" s="30"/>
      <c r="T778" s="30"/>
      <c r="U778" s="30"/>
      <c r="V778" s="30"/>
      <c r="W778" s="30"/>
      <c r="X778" s="30"/>
    </row>
    <row r="779">
      <c r="A779" s="30"/>
      <c r="B779" s="30"/>
      <c r="C779" s="30"/>
      <c r="D779" s="30"/>
      <c r="E779" s="30"/>
      <c r="F779" s="30"/>
      <c r="G779" s="30"/>
      <c r="H779" s="30"/>
      <c r="I779" s="30"/>
      <c r="J779" s="30"/>
      <c r="K779" s="31"/>
      <c r="L779" s="30"/>
      <c r="M779" s="30"/>
      <c r="N779" s="30"/>
      <c r="O779" s="30"/>
      <c r="P779" s="30"/>
      <c r="Q779" s="30"/>
      <c r="R779" s="30"/>
      <c r="S779" s="30"/>
      <c r="T779" s="30"/>
      <c r="U779" s="30"/>
      <c r="V779" s="30"/>
      <c r="W779" s="30"/>
      <c r="X779" s="30"/>
    </row>
    <row r="780">
      <c r="A780" s="30"/>
      <c r="B780" s="30"/>
      <c r="C780" s="30"/>
      <c r="D780" s="30"/>
      <c r="E780" s="30"/>
      <c r="F780" s="30"/>
      <c r="G780" s="30"/>
      <c r="H780" s="30"/>
      <c r="I780" s="30"/>
      <c r="J780" s="30"/>
      <c r="K780" s="31"/>
      <c r="L780" s="30"/>
      <c r="M780" s="30"/>
      <c r="N780" s="30"/>
      <c r="O780" s="30"/>
      <c r="P780" s="30"/>
      <c r="Q780" s="30"/>
      <c r="R780" s="30"/>
      <c r="S780" s="30"/>
      <c r="T780" s="30"/>
      <c r="U780" s="30"/>
      <c r="V780" s="30"/>
      <c r="W780" s="30"/>
      <c r="X780" s="30"/>
    </row>
    <row r="781">
      <c r="A781" s="30"/>
      <c r="B781" s="30"/>
      <c r="C781" s="30"/>
      <c r="D781" s="30"/>
      <c r="E781" s="30"/>
      <c r="F781" s="30"/>
      <c r="G781" s="30"/>
      <c r="H781" s="30"/>
      <c r="I781" s="30"/>
      <c r="J781" s="30"/>
      <c r="K781" s="31"/>
      <c r="L781" s="30"/>
      <c r="M781" s="30"/>
      <c r="N781" s="30"/>
      <c r="O781" s="30"/>
      <c r="P781" s="30"/>
      <c r="Q781" s="30"/>
      <c r="R781" s="30"/>
      <c r="S781" s="30"/>
      <c r="T781" s="30"/>
      <c r="U781" s="30"/>
      <c r="V781" s="30"/>
      <c r="W781" s="30"/>
      <c r="X781" s="30"/>
    </row>
    <row r="782">
      <c r="A782" s="30"/>
      <c r="B782" s="30"/>
      <c r="C782" s="30"/>
      <c r="D782" s="30"/>
      <c r="E782" s="30"/>
      <c r="F782" s="30"/>
      <c r="G782" s="30"/>
      <c r="H782" s="30"/>
      <c r="I782" s="30"/>
      <c r="J782" s="30"/>
      <c r="K782" s="31"/>
      <c r="L782" s="30"/>
      <c r="M782" s="30"/>
      <c r="N782" s="30"/>
      <c r="O782" s="30"/>
      <c r="P782" s="30"/>
      <c r="Q782" s="30"/>
      <c r="R782" s="30"/>
      <c r="S782" s="30"/>
      <c r="T782" s="30"/>
      <c r="U782" s="30"/>
      <c r="V782" s="30"/>
      <c r="W782" s="30"/>
      <c r="X782" s="30"/>
    </row>
    <row r="783">
      <c r="A783" s="30"/>
      <c r="B783" s="30"/>
      <c r="C783" s="30"/>
      <c r="D783" s="30"/>
      <c r="E783" s="30"/>
      <c r="F783" s="30"/>
      <c r="G783" s="30"/>
      <c r="H783" s="30"/>
      <c r="I783" s="30"/>
      <c r="J783" s="30"/>
      <c r="K783" s="31"/>
      <c r="L783" s="30"/>
      <c r="M783" s="30"/>
      <c r="N783" s="30"/>
      <c r="O783" s="30"/>
      <c r="P783" s="30"/>
      <c r="Q783" s="30"/>
      <c r="R783" s="30"/>
      <c r="S783" s="30"/>
      <c r="T783" s="30"/>
      <c r="U783" s="30"/>
      <c r="V783" s="30"/>
      <c r="W783" s="30"/>
      <c r="X783" s="30"/>
    </row>
    <row r="784">
      <c r="A784" s="30"/>
      <c r="B784" s="30"/>
      <c r="C784" s="30"/>
      <c r="D784" s="30"/>
      <c r="E784" s="30"/>
      <c r="F784" s="30"/>
      <c r="G784" s="30"/>
      <c r="H784" s="30"/>
      <c r="I784" s="30"/>
      <c r="J784" s="30"/>
      <c r="K784" s="31"/>
      <c r="L784" s="30"/>
      <c r="M784" s="30"/>
      <c r="N784" s="30"/>
      <c r="O784" s="30"/>
      <c r="P784" s="30"/>
      <c r="Q784" s="30"/>
      <c r="R784" s="30"/>
      <c r="S784" s="30"/>
      <c r="T784" s="30"/>
      <c r="U784" s="30"/>
      <c r="V784" s="30"/>
      <c r="W784" s="30"/>
      <c r="X784" s="30"/>
    </row>
    <row r="785">
      <c r="A785" s="30"/>
      <c r="B785" s="30"/>
      <c r="C785" s="30"/>
      <c r="D785" s="30"/>
      <c r="E785" s="30"/>
      <c r="F785" s="30"/>
      <c r="G785" s="30"/>
      <c r="H785" s="30"/>
      <c r="I785" s="30"/>
      <c r="J785" s="30"/>
      <c r="K785" s="31"/>
      <c r="L785" s="30"/>
      <c r="M785" s="30"/>
      <c r="N785" s="30"/>
      <c r="O785" s="30"/>
      <c r="P785" s="30"/>
      <c r="Q785" s="30"/>
      <c r="R785" s="30"/>
      <c r="S785" s="30"/>
      <c r="T785" s="30"/>
      <c r="U785" s="30"/>
      <c r="V785" s="30"/>
      <c r="W785" s="30"/>
      <c r="X785" s="30"/>
    </row>
    <row r="786">
      <c r="A786" s="30"/>
      <c r="B786" s="30"/>
      <c r="C786" s="30"/>
      <c r="D786" s="30"/>
      <c r="E786" s="30"/>
      <c r="F786" s="30"/>
      <c r="G786" s="30"/>
      <c r="H786" s="30"/>
      <c r="I786" s="30"/>
      <c r="J786" s="30"/>
      <c r="K786" s="31"/>
      <c r="L786" s="30"/>
      <c r="M786" s="30"/>
      <c r="N786" s="30"/>
      <c r="O786" s="30"/>
      <c r="P786" s="30"/>
      <c r="Q786" s="30"/>
      <c r="R786" s="30"/>
      <c r="S786" s="30"/>
      <c r="T786" s="30"/>
      <c r="U786" s="30"/>
      <c r="V786" s="30"/>
      <c r="W786" s="30"/>
      <c r="X786" s="30"/>
    </row>
    <row r="787">
      <c r="A787" s="30"/>
      <c r="B787" s="30"/>
      <c r="C787" s="30"/>
      <c r="D787" s="30"/>
      <c r="E787" s="30"/>
      <c r="F787" s="30"/>
      <c r="G787" s="30"/>
      <c r="H787" s="30"/>
      <c r="I787" s="30"/>
      <c r="J787" s="30"/>
      <c r="K787" s="31"/>
      <c r="L787" s="30"/>
      <c r="M787" s="30"/>
      <c r="N787" s="30"/>
      <c r="O787" s="30"/>
      <c r="P787" s="30"/>
      <c r="Q787" s="30"/>
      <c r="R787" s="30"/>
      <c r="S787" s="30"/>
      <c r="T787" s="30"/>
      <c r="U787" s="30"/>
      <c r="V787" s="30"/>
      <c r="W787" s="30"/>
      <c r="X787" s="30"/>
    </row>
    <row r="788">
      <c r="A788" s="30"/>
      <c r="B788" s="30"/>
      <c r="C788" s="30"/>
      <c r="D788" s="30"/>
      <c r="E788" s="30"/>
      <c r="F788" s="30"/>
      <c r="G788" s="30"/>
      <c r="H788" s="30"/>
      <c r="I788" s="30"/>
      <c r="J788" s="30"/>
      <c r="K788" s="31"/>
      <c r="L788" s="30"/>
      <c r="M788" s="30"/>
      <c r="N788" s="30"/>
      <c r="O788" s="30"/>
      <c r="P788" s="30"/>
      <c r="Q788" s="30"/>
      <c r="R788" s="30"/>
      <c r="S788" s="30"/>
      <c r="T788" s="30"/>
      <c r="U788" s="30"/>
      <c r="V788" s="30"/>
      <c r="W788" s="30"/>
      <c r="X788" s="30"/>
    </row>
    <row r="789">
      <c r="A789" s="30"/>
      <c r="B789" s="30"/>
      <c r="C789" s="30"/>
      <c r="D789" s="30"/>
      <c r="E789" s="30"/>
      <c r="F789" s="30"/>
      <c r="G789" s="30"/>
      <c r="H789" s="30"/>
      <c r="I789" s="30"/>
      <c r="J789" s="30"/>
      <c r="K789" s="31"/>
      <c r="L789" s="30"/>
      <c r="M789" s="30"/>
      <c r="N789" s="30"/>
      <c r="O789" s="30"/>
      <c r="P789" s="30"/>
      <c r="Q789" s="30"/>
      <c r="R789" s="30"/>
      <c r="S789" s="30"/>
      <c r="T789" s="30"/>
      <c r="U789" s="30"/>
      <c r="V789" s="30"/>
      <c r="W789" s="30"/>
      <c r="X789" s="30"/>
    </row>
    <row r="790">
      <c r="A790" s="30"/>
      <c r="B790" s="30"/>
      <c r="C790" s="30"/>
      <c r="D790" s="30"/>
      <c r="E790" s="30"/>
      <c r="F790" s="30"/>
      <c r="G790" s="30"/>
      <c r="H790" s="30"/>
      <c r="I790" s="30"/>
      <c r="J790" s="30"/>
      <c r="K790" s="31"/>
      <c r="L790" s="30"/>
      <c r="M790" s="30"/>
      <c r="N790" s="30"/>
      <c r="O790" s="30"/>
      <c r="P790" s="30"/>
      <c r="Q790" s="30"/>
      <c r="R790" s="30"/>
      <c r="S790" s="30"/>
      <c r="T790" s="30"/>
      <c r="U790" s="30"/>
      <c r="V790" s="30"/>
      <c r="W790" s="30"/>
      <c r="X790" s="30"/>
    </row>
    <row r="791">
      <c r="A791" s="30"/>
      <c r="B791" s="30"/>
      <c r="C791" s="30"/>
      <c r="D791" s="30"/>
      <c r="E791" s="30"/>
      <c r="F791" s="30"/>
      <c r="G791" s="30"/>
      <c r="H791" s="30"/>
      <c r="I791" s="30"/>
      <c r="J791" s="30"/>
      <c r="K791" s="31"/>
      <c r="L791" s="30"/>
      <c r="M791" s="30"/>
      <c r="N791" s="30"/>
      <c r="O791" s="30"/>
      <c r="P791" s="30"/>
      <c r="Q791" s="30"/>
      <c r="R791" s="30"/>
      <c r="S791" s="30"/>
      <c r="T791" s="30"/>
      <c r="U791" s="30"/>
      <c r="V791" s="30"/>
      <c r="W791" s="30"/>
      <c r="X791" s="30"/>
    </row>
    <row r="792">
      <c r="A792" s="30"/>
      <c r="B792" s="30"/>
      <c r="C792" s="30"/>
      <c r="D792" s="30"/>
      <c r="E792" s="30"/>
      <c r="F792" s="30"/>
      <c r="G792" s="30"/>
      <c r="H792" s="30"/>
      <c r="I792" s="30"/>
      <c r="J792" s="30"/>
      <c r="K792" s="31"/>
      <c r="L792" s="30"/>
      <c r="M792" s="30"/>
      <c r="N792" s="30"/>
      <c r="O792" s="30"/>
      <c r="P792" s="30"/>
      <c r="Q792" s="30"/>
      <c r="R792" s="30"/>
      <c r="S792" s="30"/>
      <c r="T792" s="30"/>
      <c r="U792" s="30"/>
      <c r="V792" s="30"/>
      <c r="W792" s="30"/>
      <c r="X792" s="30"/>
    </row>
    <row r="793">
      <c r="A793" s="30"/>
      <c r="B793" s="30"/>
      <c r="C793" s="30"/>
      <c r="D793" s="30"/>
      <c r="E793" s="30"/>
      <c r="F793" s="30"/>
      <c r="G793" s="30"/>
      <c r="H793" s="30"/>
      <c r="I793" s="30"/>
      <c r="J793" s="30"/>
      <c r="K793" s="31"/>
      <c r="L793" s="30"/>
      <c r="M793" s="30"/>
      <c r="N793" s="30"/>
      <c r="O793" s="30"/>
      <c r="P793" s="30"/>
      <c r="Q793" s="30"/>
      <c r="R793" s="30"/>
      <c r="S793" s="30"/>
      <c r="T793" s="30"/>
      <c r="U793" s="30"/>
      <c r="V793" s="30"/>
      <c r="W793" s="30"/>
      <c r="X793" s="30"/>
    </row>
    <row r="794">
      <c r="A794" s="30"/>
      <c r="B794" s="30"/>
      <c r="C794" s="30"/>
      <c r="D794" s="30"/>
      <c r="E794" s="30"/>
      <c r="F794" s="30"/>
      <c r="G794" s="30"/>
      <c r="H794" s="30"/>
      <c r="I794" s="30"/>
      <c r="J794" s="30"/>
      <c r="K794" s="31"/>
      <c r="L794" s="30"/>
      <c r="M794" s="30"/>
      <c r="N794" s="30"/>
      <c r="O794" s="30"/>
      <c r="P794" s="30"/>
      <c r="Q794" s="30"/>
      <c r="R794" s="30"/>
      <c r="S794" s="30"/>
      <c r="T794" s="30"/>
      <c r="U794" s="30"/>
      <c r="V794" s="30"/>
      <c r="W794" s="30"/>
      <c r="X794" s="30"/>
    </row>
    <row r="795">
      <c r="A795" s="30"/>
      <c r="B795" s="30"/>
      <c r="C795" s="30"/>
      <c r="D795" s="30"/>
      <c r="E795" s="30"/>
      <c r="F795" s="30"/>
      <c r="G795" s="30"/>
      <c r="H795" s="30"/>
      <c r="I795" s="30"/>
      <c r="J795" s="30"/>
      <c r="K795" s="31"/>
      <c r="L795" s="30"/>
      <c r="M795" s="30"/>
      <c r="N795" s="30"/>
      <c r="O795" s="30"/>
      <c r="P795" s="30"/>
      <c r="Q795" s="30"/>
      <c r="R795" s="30"/>
      <c r="S795" s="30"/>
      <c r="T795" s="30"/>
      <c r="U795" s="30"/>
      <c r="V795" s="30"/>
      <c r="W795" s="30"/>
      <c r="X795" s="30"/>
    </row>
    <row r="796">
      <c r="A796" s="30"/>
      <c r="B796" s="30"/>
      <c r="C796" s="30"/>
      <c r="D796" s="30"/>
      <c r="E796" s="30"/>
      <c r="F796" s="30"/>
      <c r="G796" s="30"/>
      <c r="H796" s="30"/>
      <c r="I796" s="30"/>
      <c r="J796" s="30"/>
      <c r="K796" s="31"/>
      <c r="L796" s="30"/>
      <c r="M796" s="30"/>
      <c r="N796" s="30"/>
      <c r="O796" s="30"/>
      <c r="P796" s="30"/>
      <c r="Q796" s="30"/>
      <c r="R796" s="30"/>
      <c r="S796" s="30"/>
      <c r="T796" s="30"/>
      <c r="U796" s="30"/>
      <c r="V796" s="30"/>
      <c r="W796" s="30"/>
      <c r="X796" s="30"/>
    </row>
    <row r="797">
      <c r="A797" s="30"/>
      <c r="B797" s="30"/>
      <c r="C797" s="30"/>
      <c r="D797" s="30"/>
      <c r="E797" s="30"/>
      <c r="F797" s="30"/>
      <c r="G797" s="30"/>
      <c r="H797" s="30"/>
      <c r="I797" s="30"/>
      <c r="J797" s="30"/>
      <c r="K797" s="31"/>
      <c r="L797" s="30"/>
      <c r="M797" s="30"/>
      <c r="N797" s="30"/>
      <c r="O797" s="30"/>
      <c r="P797" s="30"/>
      <c r="Q797" s="30"/>
      <c r="R797" s="30"/>
      <c r="S797" s="30"/>
      <c r="T797" s="30"/>
      <c r="U797" s="30"/>
      <c r="V797" s="30"/>
      <c r="W797" s="30"/>
      <c r="X797" s="30"/>
    </row>
    <row r="798">
      <c r="A798" s="30"/>
      <c r="B798" s="30"/>
      <c r="C798" s="30"/>
      <c r="D798" s="30"/>
      <c r="E798" s="30"/>
      <c r="F798" s="30"/>
      <c r="G798" s="30"/>
      <c r="H798" s="30"/>
      <c r="I798" s="30"/>
      <c r="J798" s="30"/>
      <c r="K798" s="31"/>
      <c r="L798" s="30"/>
      <c r="M798" s="30"/>
      <c r="N798" s="30"/>
      <c r="O798" s="30"/>
      <c r="P798" s="30"/>
      <c r="Q798" s="30"/>
      <c r="R798" s="30"/>
      <c r="S798" s="30"/>
      <c r="T798" s="30"/>
      <c r="U798" s="30"/>
      <c r="V798" s="30"/>
      <c r="W798" s="30"/>
      <c r="X798" s="30"/>
    </row>
    <row r="799">
      <c r="A799" s="30"/>
      <c r="B799" s="30"/>
      <c r="C799" s="30"/>
      <c r="D799" s="30"/>
      <c r="E799" s="30"/>
      <c r="F799" s="30"/>
      <c r="G799" s="30"/>
      <c r="H799" s="30"/>
      <c r="I799" s="30"/>
      <c r="J799" s="30"/>
      <c r="K799" s="31"/>
      <c r="L799" s="30"/>
      <c r="M799" s="30"/>
      <c r="N799" s="30"/>
      <c r="O799" s="30"/>
      <c r="P799" s="30"/>
      <c r="Q799" s="30"/>
      <c r="R799" s="30"/>
      <c r="S799" s="30"/>
      <c r="T799" s="30"/>
      <c r="U799" s="30"/>
      <c r="V799" s="30"/>
      <c r="W799" s="30"/>
      <c r="X799" s="30"/>
    </row>
    <row r="800">
      <c r="A800" s="30"/>
      <c r="B800" s="30"/>
      <c r="C800" s="30"/>
      <c r="D800" s="30"/>
      <c r="E800" s="30"/>
      <c r="F800" s="30"/>
      <c r="G800" s="30"/>
      <c r="H800" s="30"/>
      <c r="I800" s="30"/>
      <c r="J800" s="30"/>
      <c r="K800" s="31"/>
      <c r="L800" s="30"/>
      <c r="M800" s="30"/>
      <c r="N800" s="30"/>
      <c r="O800" s="30"/>
      <c r="P800" s="30"/>
      <c r="Q800" s="30"/>
      <c r="R800" s="30"/>
      <c r="S800" s="30"/>
      <c r="T800" s="30"/>
      <c r="U800" s="30"/>
      <c r="V800" s="30"/>
      <c r="W800" s="30"/>
      <c r="X800" s="30"/>
    </row>
    <row r="801">
      <c r="A801" s="30"/>
      <c r="B801" s="30"/>
      <c r="C801" s="30"/>
      <c r="D801" s="30"/>
      <c r="E801" s="30"/>
      <c r="F801" s="30"/>
      <c r="G801" s="30"/>
      <c r="H801" s="30"/>
      <c r="I801" s="30"/>
      <c r="J801" s="30"/>
      <c r="K801" s="31"/>
      <c r="L801" s="30"/>
      <c r="M801" s="30"/>
      <c r="N801" s="30"/>
      <c r="O801" s="30"/>
      <c r="P801" s="30"/>
      <c r="Q801" s="30"/>
      <c r="R801" s="30"/>
      <c r="S801" s="30"/>
      <c r="T801" s="30"/>
      <c r="U801" s="30"/>
      <c r="V801" s="30"/>
      <c r="W801" s="30"/>
      <c r="X801" s="30"/>
    </row>
    <row r="802">
      <c r="A802" s="30"/>
      <c r="B802" s="30"/>
      <c r="C802" s="30"/>
      <c r="D802" s="30"/>
      <c r="E802" s="30"/>
      <c r="F802" s="30"/>
      <c r="G802" s="30"/>
      <c r="H802" s="30"/>
      <c r="I802" s="30"/>
      <c r="J802" s="30"/>
      <c r="K802" s="31"/>
      <c r="L802" s="30"/>
      <c r="M802" s="30"/>
      <c r="N802" s="30"/>
      <c r="O802" s="30"/>
      <c r="P802" s="30"/>
      <c r="Q802" s="30"/>
      <c r="R802" s="30"/>
      <c r="S802" s="30"/>
      <c r="T802" s="30"/>
      <c r="U802" s="30"/>
      <c r="V802" s="30"/>
      <c r="W802" s="30"/>
      <c r="X802" s="30"/>
    </row>
    <row r="803">
      <c r="A803" s="30"/>
      <c r="B803" s="30"/>
      <c r="C803" s="30"/>
      <c r="D803" s="30"/>
      <c r="E803" s="30"/>
      <c r="F803" s="30"/>
      <c r="G803" s="30"/>
      <c r="H803" s="30"/>
      <c r="I803" s="30"/>
      <c r="J803" s="30"/>
      <c r="K803" s="31"/>
      <c r="L803" s="30"/>
      <c r="M803" s="30"/>
      <c r="N803" s="30"/>
      <c r="O803" s="30"/>
      <c r="P803" s="30"/>
      <c r="Q803" s="30"/>
      <c r="R803" s="30"/>
      <c r="S803" s="30"/>
      <c r="T803" s="30"/>
      <c r="U803" s="30"/>
      <c r="V803" s="30"/>
      <c r="W803" s="30"/>
      <c r="X803" s="30"/>
    </row>
    <row r="804">
      <c r="A804" s="30"/>
      <c r="B804" s="30"/>
      <c r="C804" s="30"/>
      <c r="D804" s="30"/>
      <c r="E804" s="30"/>
      <c r="F804" s="30"/>
      <c r="G804" s="30"/>
      <c r="H804" s="30"/>
      <c r="I804" s="30"/>
      <c r="J804" s="30"/>
      <c r="K804" s="31"/>
      <c r="L804" s="30"/>
      <c r="M804" s="30"/>
      <c r="N804" s="30"/>
      <c r="O804" s="30"/>
      <c r="P804" s="30"/>
      <c r="Q804" s="30"/>
      <c r="R804" s="30"/>
      <c r="S804" s="30"/>
      <c r="T804" s="30"/>
      <c r="U804" s="30"/>
      <c r="V804" s="30"/>
      <c r="W804" s="30"/>
      <c r="X804" s="30"/>
    </row>
    <row r="805">
      <c r="A805" s="30"/>
      <c r="B805" s="30"/>
      <c r="C805" s="30"/>
      <c r="D805" s="30"/>
      <c r="E805" s="30"/>
      <c r="F805" s="30"/>
      <c r="G805" s="30"/>
      <c r="H805" s="30"/>
      <c r="I805" s="30"/>
      <c r="J805" s="30"/>
      <c r="K805" s="31"/>
      <c r="L805" s="30"/>
      <c r="M805" s="30"/>
      <c r="N805" s="30"/>
      <c r="O805" s="30"/>
      <c r="P805" s="30"/>
      <c r="Q805" s="30"/>
      <c r="R805" s="30"/>
      <c r="S805" s="30"/>
      <c r="T805" s="30"/>
      <c r="U805" s="30"/>
      <c r="V805" s="30"/>
      <c r="W805" s="30"/>
      <c r="X805" s="30"/>
    </row>
    <row r="806">
      <c r="A806" s="30"/>
      <c r="B806" s="30"/>
      <c r="C806" s="30"/>
      <c r="D806" s="30"/>
      <c r="E806" s="30"/>
      <c r="F806" s="30"/>
      <c r="G806" s="30"/>
      <c r="H806" s="30"/>
      <c r="I806" s="30"/>
      <c r="J806" s="30"/>
      <c r="K806" s="31"/>
      <c r="L806" s="30"/>
      <c r="M806" s="30"/>
      <c r="N806" s="30"/>
      <c r="O806" s="30"/>
      <c r="P806" s="30"/>
      <c r="Q806" s="30"/>
      <c r="R806" s="30"/>
      <c r="S806" s="30"/>
      <c r="T806" s="30"/>
      <c r="U806" s="30"/>
      <c r="V806" s="30"/>
      <c r="W806" s="30"/>
      <c r="X806" s="30"/>
    </row>
    <row r="807">
      <c r="A807" s="30"/>
      <c r="B807" s="30"/>
      <c r="C807" s="30"/>
      <c r="D807" s="30"/>
      <c r="E807" s="30"/>
      <c r="F807" s="30"/>
      <c r="G807" s="30"/>
      <c r="H807" s="30"/>
      <c r="I807" s="30"/>
      <c r="J807" s="30"/>
      <c r="K807" s="31"/>
      <c r="L807" s="30"/>
      <c r="M807" s="30"/>
      <c r="N807" s="30"/>
      <c r="O807" s="30"/>
      <c r="P807" s="30"/>
      <c r="Q807" s="30"/>
      <c r="R807" s="30"/>
      <c r="S807" s="30"/>
      <c r="T807" s="30"/>
      <c r="U807" s="30"/>
      <c r="V807" s="30"/>
      <c r="W807" s="30"/>
      <c r="X807" s="30"/>
    </row>
    <row r="808">
      <c r="A808" s="30"/>
      <c r="B808" s="30"/>
      <c r="C808" s="30"/>
      <c r="D808" s="30"/>
      <c r="E808" s="30"/>
      <c r="F808" s="30"/>
      <c r="G808" s="30"/>
      <c r="H808" s="30"/>
      <c r="I808" s="30"/>
      <c r="J808" s="30"/>
      <c r="K808" s="31"/>
      <c r="L808" s="30"/>
      <c r="M808" s="30"/>
      <c r="N808" s="30"/>
      <c r="O808" s="30"/>
      <c r="P808" s="30"/>
      <c r="Q808" s="30"/>
      <c r="R808" s="30"/>
      <c r="S808" s="30"/>
      <c r="T808" s="30"/>
      <c r="U808" s="30"/>
      <c r="V808" s="30"/>
      <c r="W808" s="30"/>
      <c r="X808" s="30"/>
    </row>
    <row r="809">
      <c r="A809" s="30"/>
      <c r="B809" s="30"/>
      <c r="C809" s="30"/>
      <c r="D809" s="30"/>
      <c r="E809" s="30"/>
      <c r="F809" s="30"/>
      <c r="G809" s="30"/>
      <c r="H809" s="30"/>
      <c r="I809" s="30"/>
      <c r="J809" s="30"/>
      <c r="K809" s="31"/>
      <c r="L809" s="30"/>
      <c r="M809" s="30"/>
      <c r="N809" s="30"/>
      <c r="O809" s="30"/>
      <c r="P809" s="30"/>
      <c r="Q809" s="30"/>
      <c r="R809" s="30"/>
      <c r="S809" s="30"/>
      <c r="T809" s="30"/>
      <c r="U809" s="30"/>
      <c r="V809" s="30"/>
      <c r="W809" s="30"/>
      <c r="X809" s="30"/>
    </row>
    <row r="810">
      <c r="A810" s="30"/>
      <c r="B810" s="30"/>
      <c r="C810" s="30"/>
      <c r="D810" s="30"/>
      <c r="E810" s="30"/>
      <c r="F810" s="30"/>
      <c r="G810" s="30"/>
      <c r="H810" s="30"/>
      <c r="I810" s="30"/>
      <c r="J810" s="30"/>
      <c r="K810" s="31"/>
      <c r="L810" s="30"/>
      <c r="M810" s="30"/>
      <c r="N810" s="30"/>
      <c r="O810" s="30"/>
      <c r="P810" s="30"/>
      <c r="Q810" s="30"/>
      <c r="R810" s="30"/>
      <c r="S810" s="30"/>
      <c r="T810" s="30"/>
      <c r="U810" s="30"/>
      <c r="V810" s="30"/>
      <c r="W810" s="30"/>
      <c r="X810" s="30"/>
    </row>
    <row r="811">
      <c r="A811" s="30"/>
      <c r="B811" s="30"/>
      <c r="C811" s="30"/>
      <c r="D811" s="30"/>
      <c r="E811" s="30"/>
      <c r="F811" s="30"/>
      <c r="G811" s="30"/>
      <c r="H811" s="30"/>
      <c r="I811" s="30"/>
      <c r="J811" s="30"/>
      <c r="K811" s="31"/>
      <c r="L811" s="30"/>
      <c r="M811" s="30"/>
      <c r="N811" s="30"/>
      <c r="O811" s="30"/>
      <c r="P811" s="30"/>
      <c r="Q811" s="30"/>
      <c r="R811" s="30"/>
      <c r="S811" s="30"/>
      <c r="T811" s="30"/>
      <c r="U811" s="30"/>
      <c r="V811" s="30"/>
      <c r="W811" s="30"/>
      <c r="X811" s="30"/>
    </row>
    <row r="812">
      <c r="A812" s="30"/>
      <c r="B812" s="30"/>
      <c r="C812" s="30"/>
      <c r="D812" s="30"/>
      <c r="E812" s="30"/>
      <c r="F812" s="30"/>
      <c r="G812" s="30"/>
      <c r="H812" s="30"/>
      <c r="I812" s="30"/>
      <c r="J812" s="30"/>
      <c r="K812" s="31"/>
      <c r="L812" s="30"/>
      <c r="M812" s="30"/>
      <c r="N812" s="30"/>
      <c r="O812" s="30"/>
      <c r="P812" s="30"/>
      <c r="Q812" s="30"/>
      <c r="R812" s="30"/>
      <c r="S812" s="30"/>
      <c r="T812" s="30"/>
      <c r="U812" s="30"/>
      <c r="V812" s="30"/>
      <c r="W812" s="30"/>
      <c r="X812" s="30"/>
    </row>
    <row r="813">
      <c r="A813" s="30"/>
      <c r="B813" s="30"/>
      <c r="C813" s="30"/>
      <c r="D813" s="30"/>
      <c r="E813" s="30"/>
      <c r="F813" s="30"/>
      <c r="G813" s="30"/>
      <c r="H813" s="30"/>
      <c r="I813" s="30"/>
      <c r="J813" s="30"/>
      <c r="K813" s="31"/>
      <c r="L813" s="30"/>
      <c r="M813" s="30"/>
      <c r="N813" s="30"/>
      <c r="O813" s="30"/>
      <c r="P813" s="30"/>
      <c r="Q813" s="30"/>
      <c r="R813" s="30"/>
      <c r="S813" s="30"/>
      <c r="T813" s="30"/>
      <c r="U813" s="30"/>
      <c r="V813" s="30"/>
      <c r="W813" s="30"/>
      <c r="X813" s="30"/>
    </row>
    <row r="814">
      <c r="A814" s="30"/>
      <c r="B814" s="30"/>
      <c r="C814" s="30"/>
      <c r="D814" s="30"/>
      <c r="E814" s="30"/>
      <c r="F814" s="30"/>
      <c r="G814" s="30"/>
      <c r="H814" s="30"/>
      <c r="I814" s="30"/>
      <c r="J814" s="30"/>
      <c r="K814" s="31"/>
      <c r="L814" s="30"/>
      <c r="M814" s="30"/>
      <c r="N814" s="30"/>
      <c r="O814" s="30"/>
      <c r="P814" s="30"/>
      <c r="Q814" s="30"/>
      <c r="R814" s="30"/>
      <c r="S814" s="30"/>
      <c r="T814" s="30"/>
      <c r="U814" s="30"/>
      <c r="V814" s="30"/>
      <c r="W814" s="30"/>
      <c r="X814" s="30"/>
    </row>
    <row r="815">
      <c r="A815" s="30"/>
      <c r="B815" s="30"/>
      <c r="C815" s="30"/>
      <c r="D815" s="30"/>
      <c r="E815" s="30"/>
      <c r="F815" s="30"/>
      <c r="G815" s="30"/>
      <c r="H815" s="30"/>
      <c r="I815" s="30"/>
      <c r="J815" s="30"/>
      <c r="K815" s="31"/>
      <c r="L815" s="30"/>
      <c r="M815" s="30"/>
      <c r="N815" s="30"/>
      <c r="O815" s="30"/>
      <c r="P815" s="30"/>
      <c r="Q815" s="30"/>
      <c r="R815" s="30"/>
      <c r="S815" s="30"/>
      <c r="T815" s="30"/>
      <c r="U815" s="30"/>
      <c r="V815" s="30"/>
      <c r="W815" s="30"/>
      <c r="X815" s="30"/>
    </row>
    <row r="816">
      <c r="A816" s="30"/>
      <c r="B816" s="30"/>
      <c r="C816" s="30"/>
      <c r="D816" s="30"/>
      <c r="E816" s="30"/>
      <c r="F816" s="30"/>
      <c r="G816" s="30"/>
      <c r="H816" s="30"/>
      <c r="I816" s="30"/>
      <c r="J816" s="30"/>
      <c r="K816" s="31"/>
      <c r="L816" s="30"/>
      <c r="M816" s="30"/>
      <c r="N816" s="30"/>
      <c r="O816" s="30"/>
      <c r="P816" s="30"/>
      <c r="Q816" s="30"/>
      <c r="R816" s="30"/>
      <c r="S816" s="30"/>
      <c r="T816" s="30"/>
      <c r="U816" s="30"/>
      <c r="V816" s="30"/>
      <c r="W816" s="30"/>
      <c r="X816" s="30"/>
    </row>
    <row r="817">
      <c r="A817" s="30"/>
      <c r="B817" s="30"/>
      <c r="C817" s="30"/>
      <c r="D817" s="30"/>
      <c r="E817" s="30"/>
      <c r="F817" s="30"/>
      <c r="G817" s="30"/>
      <c r="H817" s="30"/>
      <c r="I817" s="30"/>
      <c r="J817" s="30"/>
      <c r="K817" s="31"/>
      <c r="L817" s="30"/>
      <c r="M817" s="30"/>
      <c r="N817" s="30"/>
      <c r="O817" s="30"/>
      <c r="P817" s="30"/>
      <c r="Q817" s="30"/>
      <c r="R817" s="30"/>
      <c r="S817" s="30"/>
      <c r="T817" s="30"/>
      <c r="U817" s="30"/>
      <c r="V817" s="30"/>
      <c r="W817" s="30"/>
      <c r="X817" s="30"/>
    </row>
    <row r="818">
      <c r="A818" s="30"/>
      <c r="B818" s="30"/>
      <c r="C818" s="30"/>
      <c r="D818" s="30"/>
      <c r="E818" s="30"/>
      <c r="F818" s="30"/>
      <c r="G818" s="30"/>
      <c r="H818" s="30"/>
      <c r="I818" s="30"/>
      <c r="J818" s="30"/>
      <c r="K818" s="31"/>
      <c r="L818" s="30"/>
      <c r="M818" s="30"/>
      <c r="N818" s="30"/>
      <c r="O818" s="30"/>
      <c r="P818" s="30"/>
      <c r="Q818" s="30"/>
      <c r="R818" s="30"/>
      <c r="S818" s="30"/>
      <c r="T818" s="30"/>
      <c r="U818" s="30"/>
      <c r="V818" s="30"/>
      <c r="W818" s="30"/>
      <c r="X818" s="30"/>
    </row>
    <row r="819">
      <c r="A819" s="30"/>
      <c r="B819" s="30"/>
      <c r="C819" s="30"/>
      <c r="D819" s="30"/>
      <c r="E819" s="30"/>
      <c r="F819" s="30"/>
      <c r="G819" s="30"/>
      <c r="H819" s="30"/>
      <c r="I819" s="30"/>
      <c r="J819" s="30"/>
      <c r="K819" s="31"/>
      <c r="L819" s="30"/>
      <c r="M819" s="30"/>
      <c r="N819" s="30"/>
      <c r="O819" s="30"/>
      <c r="P819" s="30"/>
      <c r="Q819" s="30"/>
      <c r="R819" s="30"/>
      <c r="S819" s="30"/>
      <c r="T819" s="30"/>
      <c r="U819" s="30"/>
      <c r="V819" s="30"/>
      <c r="W819" s="30"/>
      <c r="X819" s="30"/>
    </row>
    <row r="820">
      <c r="A820" s="30"/>
      <c r="B820" s="30"/>
      <c r="C820" s="30"/>
      <c r="D820" s="30"/>
      <c r="E820" s="30"/>
      <c r="F820" s="30"/>
      <c r="G820" s="30"/>
      <c r="H820" s="30"/>
      <c r="I820" s="30"/>
      <c r="J820" s="30"/>
      <c r="K820" s="31"/>
      <c r="L820" s="30"/>
      <c r="M820" s="30"/>
      <c r="N820" s="30"/>
      <c r="O820" s="30"/>
      <c r="P820" s="30"/>
      <c r="Q820" s="30"/>
      <c r="R820" s="30"/>
      <c r="S820" s="30"/>
      <c r="T820" s="30"/>
      <c r="U820" s="30"/>
      <c r="V820" s="30"/>
      <c r="W820" s="30"/>
      <c r="X820" s="30"/>
    </row>
    <row r="821">
      <c r="A821" s="30"/>
      <c r="B821" s="30"/>
      <c r="C821" s="30"/>
      <c r="D821" s="30"/>
      <c r="E821" s="30"/>
      <c r="F821" s="30"/>
      <c r="G821" s="30"/>
      <c r="H821" s="30"/>
      <c r="I821" s="30"/>
      <c r="J821" s="30"/>
      <c r="K821" s="31"/>
      <c r="L821" s="30"/>
      <c r="M821" s="30"/>
      <c r="N821" s="30"/>
      <c r="O821" s="30"/>
      <c r="P821" s="30"/>
      <c r="Q821" s="30"/>
      <c r="R821" s="30"/>
      <c r="S821" s="30"/>
      <c r="T821" s="30"/>
      <c r="U821" s="30"/>
      <c r="V821" s="30"/>
      <c r="W821" s="30"/>
      <c r="X821" s="30"/>
    </row>
    <row r="822">
      <c r="A822" s="30"/>
      <c r="B822" s="30"/>
      <c r="C822" s="30"/>
      <c r="D822" s="30"/>
      <c r="E822" s="30"/>
      <c r="F822" s="30"/>
      <c r="G822" s="30"/>
      <c r="H822" s="30"/>
      <c r="I822" s="30"/>
      <c r="J822" s="30"/>
      <c r="K822" s="31"/>
      <c r="L822" s="30"/>
      <c r="M822" s="30"/>
      <c r="N822" s="30"/>
      <c r="O822" s="30"/>
      <c r="P822" s="30"/>
      <c r="Q822" s="30"/>
      <c r="R822" s="30"/>
      <c r="S822" s="30"/>
      <c r="T822" s="30"/>
      <c r="U822" s="30"/>
      <c r="V822" s="30"/>
      <c r="W822" s="30"/>
      <c r="X822" s="30"/>
    </row>
    <row r="823">
      <c r="A823" s="30"/>
      <c r="B823" s="30"/>
      <c r="C823" s="30"/>
      <c r="D823" s="30"/>
      <c r="E823" s="30"/>
      <c r="F823" s="30"/>
      <c r="G823" s="30"/>
      <c r="H823" s="30"/>
      <c r="I823" s="30"/>
      <c r="J823" s="30"/>
      <c r="K823" s="31"/>
      <c r="L823" s="30"/>
      <c r="M823" s="30"/>
      <c r="N823" s="30"/>
      <c r="O823" s="30"/>
      <c r="P823" s="30"/>
      <c r="Q823" s="30"/>
      <c r="R823" s="30"/>
      <c r="S823" s="30"/>
      <c r="T823" s="30"/>
      <c r="U823" s="30"/>
      <c r="V823" s="30"/>
      <c r="W823" s="30"/>
      <c r="X823" s="30"/>
    </row>
    <row r="824">
      <c r="A824" s="30"/>
      <c r="B824" s="30"/>
      <c r="C824" s="30"/>
      <c r="D824" s="30"/>
      <c r="E824" s="30"/>
      <c r="F824" s="30"/>
      <c r="G824" s="30"/>
      <c r="H824" s="30"/>
      <c r="I824" s="30"/>
      <c r="J824" s="30"/>
      <c r="K824" s="31"/>
      <c r="L824" s="30"/>
      <c r="M824" s="30"/>
      <c r="N824" s="30"/>
      <c r="O824" s="30"/>
      <c r="P824" s="30"/>
      <c r="Q824" s="30"/>
      <c r="R824" s="30"/>
      <c r="S824" s="30"/>
      <c r="T824" s="30"/>
      <c r="U824" s="30"/>
      <c r="V824" s="30"/>
      <c r="W824" s="30"/>
      <c r="X824" s="30"/>
    </row>
    <row r="825">
      <c r="A825" s="30"/>
      <c r="B825" s="30"/>
      <c r="C825" s="30"/>
      <c r="D825" s="30"/>
      <c r="E825" s="30"/>
      <c r="F825" s="30"/>
      <c r="G825" s="30"/>
      <c r="H825" s="30"/>
      <c r="I825" s="30"/>
      <c r="J825" s="30"/>
      <c r="K825" s="31"/>
      <c r="L825" s="30"/>
      <c r="M825" s="30"/>
      <c r="N825" s="30"/>
      <c r="O825" s="30"/>
      <c r="P825" s="30"/>
      <c r="Q825" s="30"/>
      <c r="R825" s="30"/>
      <c r="S825" s="30"/>
      <c r="T825" s="30"/>
      <c r="U825" s="30"/>
      <c r="V825" s="30"/>
      <c r="W825" s="30"/>
      <c r="X825" s="30"/>
    </row>
    <row r="826">
      <c r="A826" s="30"/>
      <c r="B826" s="30"/>
      <c r="C826" s="30"/>
      <c r="D826" s="30"/>
      <c r="E826" s="30"/>
      <c r="F826" s="30"/>
      <c r="G826" s="30"/>
      <c r="H826" s="30"/>
      <c r="I826" s="30"/>
      <c r="J826" s="30"/>
      <c r="K826" s="31"/>
      <c r="L826" s="30"/>
      <c r="M826" s="30"/>
      <c r="N826" s="30"/>
      <c r="O826" s="30"/>
      <c r="P826" s="30"/>
      <c r="Q826" s="30"/>
      <c r="R826" s="30"/>
      <c r="S826" s="30"/>
      <c r="T826" s="30"/>
      <c r="U826" s="30"/>
      <c r="V826" s="30"/>
      <c r="W826" s="30"/>
      <c r="X826" s="30"/>
    </row>
    <row r="827">
      <c r="A827" s="30"/>
      <c r="B827" s="30"/>
      <c r="C827" s="30"/>
      <c r="D827" s="30"/>
      <c r="E827" s="30"/>
      <c r="F827" s="30"/>
      <c r="G827" s="30"/>
      <c r="H827" s="30"/>
      <c r="I827" s="30"/>
      <c r="J827" s="30"/>
      <c r="K827" s="31"/>
      <c r="L827" s="30"/>
      <c r="M827" s="30"/>
      <c r="N827" s="30"/>
      <c r="O827" s="30"/>
      <c r="P827" s="30"/>
      <c r="Q827" s="30"/>
      <c r="R827" s="30"/>
      <c r="S827" s="30"/>
      <c r="T827" s="30"/>
      <c r="U827" s="30"/>
      <c r="V827" s="30"/>
      <c r="W827" s="30"/>
      <c r="X827" s="30"/>
    </row>
    <row r="828">
      <c r="A828" s="30"/>
      <c r="B828" s="30"/>
      <c r="C828" s="30"/>
      <c r="D828" s="30"/>
      <c r="E828" s="30"/>
      <c r="F828" s="30"/>
      <c r="G828" s="30"/>
      <c r="H828" s="30"/>
      <c r="I828" s="30"/>
      <c r="J828" s="30"/>
      <c r="K828" s="31"/>
      <c r="L828" s="30"/>
      <c r="M828" s="30"/>
      <c r="N828" s="30"/>
      <c r="O828" s="30"/>
      <c r="P828" s="30"/>
      <c r="Q828" s="30"/>
      <c r="R828" s="30"/>
      <c r="S828" s="30"/>
      <c r="T828" s="30"/>
      <c r="U828" s="30"/>
      <c r="V828" s="30"/>
      <c r="W828" s="30"/>
      <c r="X828" s="30"/>
    </row>
    <row r="829">
      <c r="A829" s="30"/>
      <c r="B829" s="30"/>
      <c r="C829" s="30"/>
      <c r="D829" s="30"/>
      <c r="E829" s="30"/>
      <c r="F829" s="30"/>
      <c r="G829" s="30"/>
      <c r="H829" s="30"/>
      <c r="I829" s="30"/>
      <c r="J829" s="30"/>
      <c r="K829" s="31"/>
      <c r="L829" s="30"/>
      <c r="M829" s="30"/>
      <c r="N829" s="30"/>
      <c r="O829" s="30"/>
      <c r="P829" s="30"/>
      <c r="Q829" s="30"/>
      <c r="R829" s="30"/>
      <c r="S829" s="30"/>
      <c r="T829" s="30"/>
      <c r="U829" s="30"/>
      <c r="V829" s="30"/>
      <c r="W829" s="30"/>
      <c r="X829" s="30"/>
    </row>
    <row r="830">
      <c r="A830" s="30"/>
      <c r="B830" s="30"/>
      <c r="C830" s="30"/>
      <c r="D830" s="30"/>
      <c r="E830" s="30"/>
      <c r="F830" s="30"/>
      <c r="G830" s="30"/>
      <c r="H830" s="30"/>
      <c r="I830" s="30"/>
      <c r="J830" s="30"/>
      <c r="K830" s="31"/>
      <c r="L830" s="30"/>
      <c r="M830" s="30"/>
      <c r="N830" s="30"/>
      <c r="O830" s="30"/>
      <c r="P830" s="30"/>
      <c r="Q830" s="30"/>
      <c r="R830" s="30"/>
      <c r="S830" s="30"/>
      <c r="T830" s="30"/>
      <c r="U830" s="30"/>
      <c r="V830" s="30"/>
      <c r="W830" s="30"/>
      <c r="X830" s="30"/>
    </row>
    <row r="831">
      <c r="A831" s="30"/>
      <c r="B831" s="30"/>
      <c r="C831" s="30"/>
      <c r="D831" s="30"/>
      <c r="E831" s="30"/>
      <c r="F831" s="30"/>
      <c r="G831" s="30"/>
      <c r="H831" s="30"/>
      <c r="I831" s="30"/>
      <c r="J831" s="30"/>
      <c r="K831" s="31"/>
      <c r="L831" s="30"/>
      <c r="M831" s="30"/>
      <c r="N831" s="30"/>
      <c r="O831" s="30"/>
      <c r="P831" s="30"/>
      <c r="Q831" s="30"/>
      <c r="R831" s="30"/>
      <c r="S831" s="30"/>
      <c r="T831" s="30"/>
      <c r="U831" s="30"/>
      <c r="V831" s="30"/>
      <c r="W831" s="30"/>
      <c r="X831" s="30"/>
    </row>
    <row r="832">
      <c r="A832" s="30"/>
      <c r="B832" s="30"/>
      <c r="C832" s="30"/>
      <c r="D832" s="30"/>
      <c r="E832" s="30"/>
      <c r="F832" s="30"/>
      <c r="G832" s="30"/>
      <c r="H832" s="30"/>
      <c r="I832" s="30"/>
      <c r="J832" s="30"/>
      <c r="K832" s="31"/>
      <c r="L832" s="30"/>
      <c r="M832" s="30"/>
      <c r="N832" s="30"/>
      <c r="O832" s="30"/>
      <c r="P832" s="30"/>
      <c r="Q832" s="30"/>
      <c r="R832" s="30"/>
      <c r="S832" s="30"/>
      <c r="T832" s="30"/>
      <c r="U832" s="30"/>
      <c r="V832" s="30"/>
      <c r="W832" s="30"/>
      <c r="X832" s="30"/>
    </row>
    <row r="833">
      <c r="A833" s="30"/>
      <c r="B833" s="30"/>
      <c r="C833" s="30"/>
      <c r="D833" s="30"/>
      <c r="E833" s="30"/>
      <c r="F833" s="30"/>
      <c r="G833" s="30"/>
      <c r="H833" s="30"/>
      <c r="I833" s="30"/>
      <c r="J833" s="30"/>
      <c r="K833" s="31"/>
      <c r="L833" s="30"/>
      <c r="M833" s="30"/>
      <c r="N833" s="30"/>
      <c r="O833" s="30"/>
      <c r="P833" s="30"/>
      <c r="Q833" s="30"/>
      <c r="R833" s="30"/>
      <c r="S833" s="30"/>
      <c r="T833" s="30"/>
      <c r="U833" s="30"/>
      <c r="V833" s="30"/>
      <c r="W833" s="30"/>
      <c r="X833" s="30"/>
    </row>
    <row r="834">
      <c r="A834" s="30"/>
      <c r="B834" s="30"/>
      <c r="C834" s="30"/>
      <c r="D834" s="30"/>
      <c r="E834" s="30"/>
      <c r="F834" s="30"/>
      <c r="G834" s="30"/>
      <c r="H834" s="30"/>
      <c r="I834" s="30"/>
      <c r="J834" s="30"/>
      <c r="K834" s="31"/>
      <c r="L834" s="30"/>
      <c r="M834" s="30"/>
      <c r="N834" s="30"/>
      <c r="O834" s="30"/>
      <c r="P834" s="30"/>
      <c r="Q834" s="30"/>
      <c r="R834" s="30"/>
      <c r="S834" s="30"/>
      <c r="T834" s="30"/>
      <c r="U834" s="30"/>
      <c r="V834" s="30"/>
      <c r="W834" s="30"/>
      <c r="X834" s="30"/>
    </row>
    <row r="835">
      <c r="A835" s="30"/>
      <c r="B835" s="30"/>
      <c r="C835" s="30"/>
      <c r="D835" s="30"/>
      <c r="E835" s="30"/>
      <c r="F835" s="30"/>
      <c r="G835" s="30"/>
      <c r="H835" s="30"/>
      <c r="I835" s="30"/>
      <c r="J835" s="30"/>
      <c r="K835" s="31"/>
      <c r="L835" s="30"/>
      <c r="M835" s="30"/>
      <c r="N835" s="30"/>
      <c r="O835" s="30"/>
      <c r="P835" s="30"/>
      <c r="Q835" s="30"/>
      <c r="R835" s="30"/>
      <c r="S835" s="30"/>
      <c r="T835" s="30"/>
      <c r="U835" s="30"/>
      <c r="V835" s="30"/>
      <c r="W835" s="30"/>
      <c r="X835" s="30"/>
    </row>
    <row r="836">
      <c r="A836" s="30"/>
      <c r="B836" s="30"/>
      <c r="C836" s="30"/>
      <c r="D836" s="30"/>
      <c r="E836" s="30"/>
      <c r="F836" s="30"/>
      <c r="G836" s="30"/>
      <c r="H836" s="30"/>
      <c r="I836" s="30"/>
      <c r="J836" s="30"/>
      <c r="K836" s="31"/>
      <c r="L836" s="30"/>
      <c r="M836" s="30"/>
      <c r="N836" s="30"/>
      <c r="O836" s="30"/>
      <c r="P836" s="30"/>
      <c r="Q836" s="30"/>
      <c r="R836" s="30"/>
      <c r="S836" s="30"/>
      <c r="T836" s="30"/>
      <c r="U836" s="30"/>
      <c r="V836" s="30"/>
      <c r="W836" s="30"/>
      <c r="X836" s="30"/>
    </row>
    <row r="837">
      <c r="A837" s="30"/>
      <c r="B837" s="30"/>
      <c r="C837" s="30"/>
      <c r="D837" s="30"/>
      <c r="E837" s="30"/>
      <c r="F837" s="30"/>
      <c r="G837" s="30"/>
      <c r="H837" s="30"/>
      <c r="I837" s="30"/>
      <c r="J837" s="30"/>
      <c r="K837" s="31"/>
      <c r="L837" s="30"/>
      <c r="M837" s="30"/>
      <c r="N837" s="30"/>
      <c r="O837" s="30"/>
      <c r="P837" s="30"/>
      <c r="Q837" s="30"/>
      <c r="R837" s="30"/>
      <c r="S837" s="30"/>
      <c r="T837" s="30"/>
      <c r="U837" s="30"/>
      <c r="V837" s="30"/>
      <c r="W837" s="30"/>
      <c r="X837" s="30"/>
    </row>
    <row r="838">
      <c r="A838" s="30"/>
      <c r="B838" s="30"/>
      <c r="C838" s="30"/>
      <c r="D838" s="30"/>
      <c r="E838" s="30"/>
      <c r="F838" s="30"/>
      <c r="G838" s="30"/>
      <c r="H838" s="30"/>
      <c r="I838" s="30"/>
      <c r="J838" s="30"/>
      <c r="K838" s="31"/>
      <c r="L838" s="30"/>
      <c r="M838" s="30"/>
      <c r="N838" s="30"/>
      <c r="O838" s="30"/>
      <c r="P838" s="30"/>
      <c r="Q838" s="30"/>
      <c r="R838" s="30"/>
      <c r="S838" s="30"/>
      <c r="T838" s="30"/>
      <c r="U838" s="30"/>
      <c r="V838" s="30"/>
      <c r="W838" s="30"/>
      <c r="X838" s="30"/>
    </row>
    <row r="839">
      <c r="A839" s="30"/>
      <c r="B839" s="30"/>
      <c r="C839" s="30"/>
      <c r="D839" s="30"/>
      <c r="E839" s="30"/>
      <c r="F839" s="30"/>
      <c r="G839" s="30"/>
      <c r="H839" s="30"/>
      <c r="I839" s="30"/>
      <c r="J839" s="30"/>
      <c r="K839" s="35"/>
      <c r="L839" s="30"/>
      <c r="M839" s="30"/>
      <c r="N839" s="30"/>
      <c r="O839" s="30"/>
      <c r="P839" s="30"/>
      <c r="Q839" s="30"/>
      <c r="R839" s="30"/>
      <c r="S839" s="30"/>
      <c r="T839" s="30"/>
      <c r="U839" s="30"/>
      <c r="V839" s="30"/>
      <c r="W839" s="30"/>
      <c r="X839" s="30"/>
    </row>
    <row r="840">
      <c r="A840" s="30"/>
      <c r="B840" s="30"/>
      <c r="C840" s="30"/>
      <c r="D840" s="30"/>
      <c r="E840" s="30"/>
      <c r="F840" s="30"/>
      <c r="G840" s="30"/>
      <c r="H840" s="30"/>
      <c r="I840" s="30"/>
      <c r="J840" s="30"/>
      <c r="K840" s="31"/>
      <c r="L840" s="30"/>
      <c r="M840" s="30"/>
      <c r="N840" s="30"/>
      <c r="O840" s="30"/>
      <c r="P840" s="30"/>
      <c r="Q840" s="30"/>
      <c r="R840" s="30"/>
      <c r="S840" s="30"/>
      <c r="T840" s="30"/>
      <c r="U840" s="30"/>
      <c r="V840" s="30"/>
      <c r="W840" s="30"/>
      <c r="X840" s="30"/>
    </row>
    <row r="841">
      <c r="A841" s="30"/>
      <c r="B841" s="30"/>
      <c r="C841" s="30"/>
      <c r="D841" s="30"/>
      <c r="E841" s="30"/>
      <c r="F841" s="30"/>
      <c r="G841" s="30"/>
      <c r="H841" s="30"/>
      <c r="I841" s="30"/>
      <c r="J841" s="30"/>
      <c r="K841" s="31"/>
      <c r="L841" s="30"/>
      <c r="M841" s="30"/>
      <c r="N841" s="30"/>
      <c r="O841" s="30"/>
      <c r="P841" s="30"/>
      <c r="Q841" s="30"/>
      <c r="R841" s="30"/>
      <c r="S841" s="30"/>
      <c r="T841" s="30"/>
      <c r="U841" s="30"/>
      <c r="V841" s="30"/>
      <c r="W841" s="30"/>
      <c r="X841" s="30"/>
    </row>
    <row r="842">
      <c r="A842" s="30"/>
      <c r="B842" s="30"/>
      <c r="C842" s="30"/>
      <c r="D842" s="30"/>
      <c r="E842" s="30"/>
      <c r="F842" s="30"/>
      <c r="G842" s="30"/>
      <c r="H842" s="30"/>
      <c r="I842" s="30"/>
      <c r="J842" s="30"/>
      <c r="K842" s="31"/>
      <c r="L842" s="30"/>
      <c r="M842" s="30"/>
      <c r="N842" s="30"/>
      <c r="O842" s="30"/>
      <c r="P842" s="30"/>
      <c r="Q842" s="30"/>
      <c r="R842" s="30"/>
      <c r="S842" s="30"/>
      <c r="T842" s="30"/>
      <c r="U842" s="30"/>
      <c r="V842" s="30"/>
      <c r="W842" s="30"/>
      <c r="X842" s="30"/>
    </row>
    <row r="843">
      <c r="A843" s="30"/>
      <c r="B843" s="30"/>
      <c r="C843" s="30"/>
      <c r="D843" s="30"/>
      <c r="E843" s="30"/>
      <c r="F843" s="30"/>
      <c r="G843" s="30"/>
      <c r="H843" s="30"/>
      <c r="I843" s="30"/>
      <c r="J843" s="30"/>
      <c r="K843" s="31"/>
      <c r="L843" s="30"/>
      <c r="M843" s="30"/>
      <c r="N843" s="30"/>
      <c r="O843" s="30"/>
      <c r="P843" s="30"/>
      <c r="Q843" s="30"/>
      <c r="R843" s="30"/>
      <c r="S843" s="30"/>
      <c r="T843" s="30"/>
      <c r="U843" s="30"/>
      <c r="V843" s="30"/>
      <c r="W843" s="30"/>
      <c r="X843" s="30"/>
    </row>
    <row r="844">
      <c r="A844" s="30"/>
      <c r="B844" s="30"/>
      <c r="C844" s="30"/>
      <c r="D844" s="30"/>
      <c r="E844" s="30"/>
      <c r="F844" s="30"/>
      <c r="G844" s="30"/>
      <c r="H844" s="30"/>
      <c r="I844" s="30"/>
      <c r="J844" s="30"/>
      <c r="K844" s="31"/>
      <c r="L844" s="30"/>
      <c r="M844" s="30"/>
      <c r="N844" s="30"/>
      <c r="O844" s="30"/>
      <c r="P844" s="30"/>
      <c r="Q844" s="30"/>
      <c r="R844" s="30"/>
      <c r="S844" s="30"/>
      <c r="T844" s="30"/>
      <c r="U844" s="30"/>
      <c r="V844" s="30"/>
      <c r="W844" s="30"/>
      <c r="X844" s="30"/>
    </row>
    <row r="845">
      <c r="A845" s="30"/>
      <c r="B845" s="30"/>
      <c r="C845" s="30"/>
      <c r="D845" s="30"/>
      <c r="E845" s="30"/>
      <c r="F845" s="30"/>
      <c r="G845" s="30"/>
      <c r="H845" s="30"/>
      <c r="I845" s="30"/>
      <c r="J845" s="30"/>
      <c r="K845" s="31"/>
      <c r="L845" s="30"/>
      <c r="M845" s="30"/>
      <c r="N845" s="30"/>
      <c r="O845" s="30"/>
      <c r="P845" s="30"/>
      <c r="Q845" s="30"/>
      <c r="R845" s="30"/>
      <c r="S845" s="30"/>
      <c r="T845" s="30"/>
      <c r="U845" s="30"/>
      <c r="V845" s="30"/>
      <c r="W845" s="30"/>
      <c r="X845" s="30"/>
    </row>
    <row r="846">
      <c r="A846" s="30"/>
      <c r="B846" s="30"/>
      <c r="C846" s="30"/>
      <c r="D846" s="30"/>
      <c r="E846" s="30"/>
      <c r="F846" s="30"/>
      <c r="G846" s="30"/>
      <c r="H846" s="30"/>
      <c r="I846" s="30"/>
      <c r="J846" s="30"/>
      <c r="K846" s="31"/>
      <c r="L846" s="30"/>
      <c r="M846" s="30"/>
      <c r="N846" s="30"/>
      <c r="O846" s="30"/>
      <c r="P846" s="30"/>
      <c r="Q846" s="30"/>
      <c r="R846" s="30"/>
      <c r="S846" s="30"/>
      <c r="T846" s="30"/>
      <c r="U846" s="30"/>
      <c r="V846" s="30"/>
      <c r="W846" s="30"/>
      <c r="X846" s="30"/>
    </row>
    <row r="847">
      <c r="A847" s="30"/>
      <c r="B847" s="30"/>
      <c r="C847" s="30"/>
      <c r="D847" s="30"/>
      <c r="E847" s="30"/>
      <c r="F847" s="30"/>
      <c r="G847" s="30"/>
      <c r="H847" s="30"/>
      <c r="I847" s="30"/>
      <c r="J847" s="30"/>
      <c r="K847" s="31"/>
      <c r="L847" s="30"/>
      <c r="M847" s="30"/>
      <c r="N847" s="30"/>
      <c r="O847" s="30"/>
      <c r="P847" s="30"/>
      <c r="Q847" s="30"/>
      <c r="R847" s="30"/>
      <c r="S847" s="30"/>
      <c r="T847" s="30"/>
      <c r="U847" s="30"/>
      <c r="V847" s="30"/>
      <c r="W847" s="30"/>
      <c r="X847" s="30"/>
    </row>
    <row r="848">
      <c r="A848" s="30"/>
      <c r="B848" s="30"/>
      <c r="C848" s="30"/>
      <c r="D848" s="30"/>
      <c r="E848" s="30"/>
      <c r="F848" s="30"/>
      <c r="G848" s="30"/>
      <c r="H848" s="30"/>
      <c r="I848" s="30"/>
      <c r="J848" s="30"/>
      <c r="K848" s="31"/>
      <c r="L848" s="30"/>
      <c r="M848" s="30"/>
      <c r="N848" s="30"/>
      <c r="O848" s="30"/>
      <c r="P848" s="30"/>
      <c r="Q848" s="30"/>
      <c r="R848" s="30"/>
      <c r="S848" s="30"/>
      <c r="T848" s="30"/>
      <c r="U848" s="30"/>
      <c r="V848" s="30"/>
      <c r="W848" s="30"/>
      <c r="X848" s="30"/>
    </row>
    <row r="849">
      <c r="A849" s="30"/>
      <c r="B849" s="30"/>
      <c r="C849" s="30"/>
      <c r="D849" s="30"/>
      <c r="E849" s="30"/>
      <c r="F849" s="30"/>
      <c r="G849" s="30"/>
      <c r="H849" s="30"/>
      <c r="I849" s="30"/>
      <c r="J849" s="30"/>
      <c r="K849" s="31"/>
      <c r="L849" s="30"/>
      <c r="M849" s="30"/>
      <c r="N849" s="30"/>
      <c r="O849" s="30"/>
      <c r="P849" s="30"/>
      <c r="Q849" s="30"/>
      <c r="R849" s="30"/>
      <c r="S849" s="30"/>
      <c r="T849" s="30"/>
      <c r="U849" s="30"/>
      <c r="V849" s="30"/>
      <c r="W849" s="30"/>
      <c r="X849" s="30"/>
    </row>
    <row r="850">
      <c r="A850" s="30"/>
      <c r="B850" s="30"/>
      <c r="C850" s="30"/>
      <c r="D850" s="30"/>
      <c r="E850" s="30"/>
      <c r="F850" s="30"/>
      <c r="G850" s="30"/>
      <c r="H850" s="30"/>
      <c r="I850" s="30"/>
      <c r="J850" s="30"/>
      <c r="K850" s="31"/>
      <c r="L850" s="30"/>
      <c r="M850" s="30"/>
      <c r="N850" s="30"/>
      <c r="O850" s="30"/>
      <c r="P850" s="30"/>
      <c r="Q850" s="30"/>
      <c r="R850" s="30"/>
      <c r="S850" s="30"/>
      <c r="T850" s="30"/>
      <c r="U850" s="30"/>
      <c r="V850" s="30"/>
      <c r="W850" s="30"/>
      <c r="X850" s="30"/>
    </row>
    <row r="851">
      <c r="A851" s="30"/>
      <c r="B851" s="30"/>
      <c r="C851" s="30"/>
      <c r="D851" s="30"/>
      <c r="E851" s="30"/>
      <c r="F851" s="30"/>
      <c r="G851" s="30"/>
      <c r="H851" s="30"/>
      <c r="I851" s="30"/>
      <c r="J851" s="30"/>
      <c r="K851" s="31"/>
      <c r="L851" s="30"/>
      <c r="M851" s="30"/>
      <c r="N851" s="30"/>
      <c r="O851" s="30"/>
      <c r="P851" s="30"/>
      <c r="Q851" s="30"/>
      <c r="R851" s="30"/>
      <c r="S851" s="30"/>
      <c r="T851" s="30"/>
      <c r="U851" s="30"/>
      <c r="V851" s="30"/>
      <c r="W851" s="30"/>
      <c r="X851" s="30"/>
    </row>
    <row r="852">
      <c r="A852" s="30"/>
      <c r="B852" s="30"/>
      <c r="C852" s="30"/>
      <c r="D852" s="30"/>
      <c r="E852" s="30"/>
      <c r="F852" s="30"/>
      <c r="G852" s="30"/>
      <c r="H852" s="30"/>
      <c r="I852" s="30"/>
      <c r="J852" s="30"/>
      <c r="K852" s="31"/>
      <c r="L852" s="30"/>
      <c r="M852" s="30"/>
      <c r="N852" s="30"/>
      <c r="O852" s="30"/>
      <c r="P852" s="30"/>
      <c r="Q852" s="30"/>
      <c r="R852" s="30"/>
      <c r="S852" s="30"/>
      <c r="T852" s="30"/>
      <c r="U852" s="30"/>
      <c r="V852" s="30"/>
      <c r="W852" s="30"/>
      <c r="X852" s="30"/>
    </row>
    <row r="853">
      <c r="A853" s="30"/>
      <c r="B853" s="30"/>
      <c r="C853" s="30"/>
      <c r="D853" s="30"/>
      <c r="E853" s="30"/>
      <c r="F853" s="30"/>
      <c r="G853" s="30"/>
      <c r="H853" s="30"/>
      <c r="I853" s="30"/>
      <c r="J853" s="30"/>
      <c r="K853" s="31"/>
      <c r="L853" s="30"/>
      <c r="M853" s="30"/>
      <c r="N853" s="30"/>
      <c r="O853" s="30"/>
      <c r="P853" s="30"/>
      <c r="Q853" s="30"/>
      <c r="R853" s="30"/>
      <c r="S853" s="30"/>
      <c r="T853" s="30"/>
      <c r="U853" s="30"/>
      <c r="V853" s="30"/>
      <c r="W853" s="30"/>
      <c r="X853" s="30"/>
    </row>
    <row r="854">
      <c r="A854" s="30"/>
      <c r="B854" s="30"/>
      <c r="C854" s="30"/>
      <c r="D854" s="30"/>
      <c r="E854" s="30"/>
      <c r="F854" s="30"/>
      <c r="G854" s="30"/>
      <c r="H854" s="30"/>
      <c r="I854" s="30"/>
      <c r="J854" s="30"/>
      <c r="K854" s="31"/>
      <c r="L854" s="30"/>
      <c r="M854" s="30"/>
      <c r="N854" s="30"/>
      <c r="O854" s="30"/>
      <c r="P854" s="30"/>
      <c r="Q854" s="30"/>
      <c r="R854" s="30"/>
      <c r="S854" s="30"/>
      <c r="T854" s="30"/>
      <c r="U854" s="30"/>
      <c r="V854" s="30"/>
      <c r="W854" s="30"/>
      <c r="X854" s="30"/>
    </row>
    <row r="855">
      <c r="A855" s="30"/>
      <c r="B855" s="30"/>
      <c r="C855" s="30"/>
      <c r="D855" s="30"/>
      <c r="E855" s="30"/>
      <c r="F855" s="30"/>
      <c r="G855" s="30"/>
      <c r="H855" s="30"/>
      <c r="I855" s="30"/>
      <c r="J855" s="30"/>
      <c r="K855" s="31"/>
      <c r="L855" s="30"/>
      <c r="M855" s="30"/>
      <c r="N855" s="30"/>
      <c r="O855" s="30"/>
      <c r="P855" s="30"/>
      <c r="Q855" s="30"/>
      <c r="R855" s="30"/>
      <c r="S855" s="30"/>
      <c r="T855" s="30"/>
      <c r="U855" s="30"/>
      <c r="V855" s="30"/>
      <c r="W855" s="30"/>
      <c r="X855" s="30"/>
    </row>
    <row r="856">
      <c r="A856" s="30"/>
      <c r="B856" s="30"/>
      <c r="C856" s="30"/>
      <c r="D856" s="30"/>
      <c r="E856" s="30"/>
      <c r="F856" s="30"/>
      <c r="G856" s="30"/>
      <c r="H856" s="30"/>
      <c r="I856" s="30"/>
      <c r="J856" s="30"/>
      <c r="K856" s="31"/>
      <c r="L856" s="30"/>
      <c r="M856" s="30"/>
      <c r="N856" s="30"/>
      <c r="O856" s="30"/>
      <c r="P856" s="30"/>
      <c r="Q856" s="30"/>
      <c r="R856" s="30"/>
      <c r="S856" s="30"/>
      <c r="T856" s="30"/>
      <c r="U856" s="30"/>
      <c r="V856" s="30"/>
      <c r="W856" s="30"/>
      <c r="X856" s="30"/>
    </row>
    <row r="857">
      <c r="A857" s="30"/>
      <c r="B857" s="30"/>
      <c r="C857" s="30"/>
      <c r="D857" s="30"/>
      <c r="E857" s="30"/>
      <c r="F857" s="30"/>
      <c r="G857" s="30"/>
      <c r="H857" s="30"/>
      <c r="I857" s="30"/>
      <c r="J857" s="30"/>
      <c r="K857" s="31"/>
      <c r="L857" s="30"/>
      <c r="M857" s="30"/>
      <c r="N857" s="30"/>
      <c r="O857" s="30"/>
      <c r="P857" s="30"/>
      <c r="Q857" s="30"/>
      <c r="R857" s="30"/>
      <c r="S857" s="30"/>
      <c r="T857" s="30"/>
      <c r="U857" s="30"/>
      <c r="V857" s="30"/>
      <c r="W857" s="30"/>
      <c r="X857" s="30"/>
    </row>
    <row r="858">
      <c r="A858" s="30"/>
      <c r="B858" s="30"/>
      <c r="C858" s="30"/>
      <c r="D858" s="30"/>
      <c r="E858" s="30"/>
      <c r="F858" s="30"/>
      <c r="G858" s="30"/>
      <c r="H858" s="30"/>
      <c r="I858" s="30"/>
      <c r="J858" s="30"/>
      <c r="K858" s="31"/>
      <c r="L858" s="30"/>
      <c r="M858" s="30"/>
      <c r="N858" s="30"/>
      <c r="O858" s="30"/>
      <c r="P858" s="30"/>
      <c r="Q858" s="30"/>
      <c r="R858" s="30"/>
      <c r="S858" s="30"/>
      <c r="T858" s="30"/>
      <c r="U858" s="30"/>
      <c r="V858" s="30"/>
      <c r="W858" s="30"/>
      <c r="X858" s="30"/>
    </row>
    <row r="859">
      <c r="A859" s="30"/>
      <c r="B859" s="30"/>
      <c r="C859" s="30"/>
      <c r="D859" s="30"/>
      <c r="E859" s="30"/>
      <c r="F859" s="30"/>
      <c r="G859" s="30"/>
      <c r="H859" s="30"/>
      <c r="I859" s="30"/>
      <c r="J859" s="30"/>
      <c r="K859" s="31"/>
      <c r="L859" s="30"/>
      <c r="M859" s="30"/>
      <c r="N859" s="30"/>
      <c r="O859" s="30"/>
      <c r="P859" s="30"/>
      <c r="Q859" s="30"/>
      <c r="R859" s="30"/>
      <c r="S859" s="30"/>
      <c r="T859" s="30"/>
      <c r="U859" s="30"/>
      <c r="V859" s="30"/>
      <c r="W859" s="30"/>
      <c r="X859" s="30"/>
    </row>
    <row r="860">
      <c r="A860" s="30"/>
      <c r="B860" s="30"/>
      <c r="C860" s="30"/>
      <c r="D860" s="30"/>
      <c r="E860" s="30"/>
      <c r="F860" s="30"/>
      <c r="G860" s="30"/>
      <c r="H860" s="30"/>
      <c r="I860" s="30"/>
      <c r="J860" s="30"/>
      <c r="K860" s="31"/>
      <c r="L860" s="30"/>
      <c r="M860" s="30"/>
      <c r="N860" s="30"/>
      <c r="O860" s="30"/>
      <c r="P860" s="30"/>
      <c r="Q860" s="30"/>
      <c r="R860" s="30"/>
      <c r="S860" s="30"/>
      <c r="T860" s="30"/>
      <c r="U860" s="30"/>
      <c r="V860" s="30"/>
      <c r="W860" s="30"/>
      <c r="X860" s="30"/>
    </row>
    <row r="861">
      <c r="A861" s="30"/>
      <c r="B861" s="30"/>
      <c r="C861" s="30"/>
      <c r="D861" s="30"/>
      <c r="E861" s="30"/>
      <c r="F861" s="30"/>
      <c r="G861" s="30"/>
      <c r="H861" s="30"/>
      <c r="I861" s="30"/>
      <c r="J861" s="30"/>
      <c r="K861" s="31"/>
      <c r="L861" s="30"/>
      <c r="M861" s="30"/>
      <c r="N861" s="30"/>
      <c r="O861" s="30"/>
      <c r="P861" s="30"/>
      <c r="Q861" s="30"/>
      <c r="R861" s="30"/>
      <c r="S861" s="30"/>
      <c r="T861" s="30"/>
      <c r="U861" s="30"/>
      <c r="V861" s="30"/>
      <c r="W861" s="30"/>
      <c r="X861" s="30"/>
    </row>
    <row r="862">
      <c r="A862" s="30"/>
      <c r="B862" s="30"/>
      <c r="C862" s="30"/>
      <c r="D862" s="30"/>
      <c r="E862" s="30"/>
      <c r="F862" s="30"/>
      <c r="G862" s="30"/>
      <c r="H862" s="30"/>
      <c r="I862" s="30"/>
      <c r="J862" s="30"/>
      <c r="K862" s="31"/>
      <c r="L862" s="30"/>
      <c r="M862" s="30"/>
      <c r="N862" s="30"/>
      <c r="O862" s="30"/>
      <c r="P862" s="30"/>
      <c r="Q862" s="30"/>
      <c r="R862" s="30"/>
      <c r="S862" s="30"/>
      <c r="T862" s="30"/>
      <c r="U862" s="30"/>
      <c r="V862" s="30"/>
      <c r="W862" s="30"/>
      <c r="X862" s="30"/>
    </row>
    <row r="863">
      <c r="A863" s="30"/>
      <c r="B863" s="30"/>
      <c r="C863" s="30"/>
      <c r="D863" s="30"/>
      <c r="E863" s="30"/>
      <c r="F863" s="30"/>
      <c r="G863" s="30"/>
      <c r="H863" s="30"/>
      <c r="I863" s="30"/>
      <c r="J863" s="30"/>
      <c r="K863" s="31"/>
      <c r="L863" s="30"/>
      <c r="M863" s="30"/>
      <c r="N863" s="30"/>
      <c r="O863" s="30"/>
      <c r="P863" s="30"/>
      <c r="Q863" s="30"/>
      <c r="R863" s="30"/>
      <c r="S863" s="30"/>
      <c r="T863" s="30"/>
      <c r="U863" s="30"/>
      <c r="V863" s="30"/>
      <c r="W863" s="30"/>
      <c r="X863" s="30"/>
    </row>
    <row r="864">
      <c r="A864" s="30"/>
      <c r="B864" s="30"/>
      <c r="C864" s="30"/>
      <c r="D864" s="30"/>
      <c r="E864" s="30"/>
      <c r="F864" s="30"/>
      <c r="G864" s="30"/>
      <c r="H864" s="30"/>
      <c r="I864" s="30"/>
      <c r="J864" s="30"/>
      <c r="K864" s="31"/>
      <c r="L864" s="30"/>
      <c r="M864" s="30"/>
      <c r="N864" s="30"/>
      <c r="O864" s="30"/>
      <c r="P864" s="30"/>
      <c r="Q864" s="30"/>
      <c r="R864" s="30"/>
      <c r="S864" s="30"/>
      <c r="T864" s="30"/>
      <c r="U864" s="30"/>
      <c r="V864" s="30"/>
      <c r="W864" s="30"/>
      <c r="X864" s="30"/>
    </row>
    <row r="865">
      <c r="A865" s="30"/>
      <c r="B865" s="30"/>
      <c r="C865" s="30"/>
      <c r="D865" s="30"/>
      <c r="E865" s="30"/>
      <c r="F865" s="30"/>
      <c r="G865" s="30"/>
      <c r="H865" s="30"/>
      <c r="I865" s="30"/>
      <c r="J865" s="30"/>
      <c r="K865" s="31"/>
      <c r="L865" s="30"/>
      <c r="M865" s="30"/>
      <c r="N865" s="30"/>
      <c r="O865" s="30"/>
      <c r="P865" s="30"/>
      <c r="Q865" s="30"/>
      <c r="R865" s="30"/>
      <c r="S865" s="30"/>
      <c r="T865" s="30"/>
      <c r="U865" s="30"/>
      <c r="V865" s="30"/>
      <c r="W865" s="30"/>
      <c r="X865" s="30"/>
    </row>
    <row r="866">
      <c r="A866" s="30"/>
      <c r="B866" s="30"/>
      <c r="C866" s="30"/>
      <c r="D866" s="30"/>
      <c r="E866" s="30"/>
      <c r="F866" s="30"/>
      <c r="G866" s="30"/>
      <c r="H866" s="30"/>
      <c r="I866" s="30"/>
      <c r="J866" s="30"/>
      <c r="K866" s="31"/>
      <c r="L866" s="30"/>
      <c r="M866" s="30"/>
      <c r="N866" s="30"/>
      <c r="O866" s="30"/>
      <c r="P866" s="30"/>
      <c r="Q866" s="30"/>
      <c r="R866" s="30"/>
      <c r="S866" s="30"/>
      <c r="T866" s="30"/>
      <c r="U866" s="30"/>
      <c r="V866" s="30"/>
      <c r="W866" s="30"/>
      <c r="X866" s="30"/>
    </row>
    <row r="867">
      <c r="A867" s="30"/>
      <c r="B867" s="30"/>
      <c r="C867" s="30"/>
      <c r="D867" s="30"/>
      <c r="E867" s="30"/>
      <c r="F867" s="30"/>
      <c r="G867" s="30"/>
      <c r="H867" s="30"/>
      <c r="I867" s="30"/>
      <c r="J867" s="30"/>
      <c r="K867" s="31"/>
      <c r="L867" s="30"/>
      <c r="M867" s="30"/>
      <c r="N867" s="30"/>
      <c r="O867" s="30"/>
      <c r="P867" s="30"/>
      <c r="Q867" s="30"/>
      <c r="R867" s="30"/>
      <c r="S867" s="30"/>
      <c r="T867" s="30"/>
      <c r="U867" s="30"/>
      <c r="V867" s="30"/>
      <c r="W867" s="30"/>
      <c r="X867" s="30"/>
    </row>
    <row r="868">
      <c r="A868" s="30"/>
      <c r="B868" s="30"/>
      <c r="C868" s="30"/>
      <c r="D868" s="30"/>
      <c r="E868" s="30"/>
      <c r="F868" s="30"/>
      <c r="G868" s="30"/>
      <c r="H868" s="30"/>
      <c r="I868" s="30"/>
      <c r="J868" s="30"/>
      <c r="K868" s="31"/>
      <c r="L868" s="30"/>
      <c r="M868" s="30"/>
      <c r="N868" s="30"/>
      <c r="O868" s="30"/>
      <c r="P868" s="30"/>
      <c r="Q868" s="30"/>
      <c r="R868" s="30"/>
      <c r="S868" s="30"/>
      <c r="T868" s="30"/>
      <c r="U868" s="30"/>
      <c r="V868" s="30"/>
      <c r="W868" s="30"/>
      <c r="X868" s="30"/>
    </row>
    <row r="869">
      <c r="A869" s="30"/>
      <c r="B869" s="30"/>
      <c r="C869" s="30"/>
      <c r="D869" s="30"/>
      <c r="E869" s="30"/>
      <c r="F869" s="30"/>
      <c r="G869" s="30"/>
      <c r="H869" s="30"/>
      <c r="I869" s="30"/>
      <c r="J869" s="30"/>
      <c r="K869" s="31"/>
      <c r="L869" s="30"/>
      <c r="M869" s="30"/>
      <c r="N869" s="30"/>
      <c r="O869" s="30"/>
      <c r="P869" s="30"/>
      <c r="Q869" s="30"/>
      <c r="R869" s="30"/>
      <c r="S869" s="30"/>
      <c r="T869" s="30"/>
      <c r="U869" s="30"/>
      <c r="V869" s="30"/>
      <c r="W869" s="30"/>
      <c r="X869" s="30"/>
    </row>
    <row r="870">
      <c r="A870" s="30"/>
      <c r="B870" s="30"/>
      <c r="C870" s="30"/>
      <c r="D870" s="30"/>
      <c r="E870" s="30"/>
      <c r="F870" s="30"/>
      <c r="G870" s="30"/>
      <c r="H870" s="30"/>
      <c r="I870" s="30"/>
      <c r="J870" s="30"/>
      <c r="K870" s="31"/>
      <c r="L870" s="30"/>
      <c r="M870" s="30"/>
      <c r="N870" s="30"/>
      <c r="O870" s="30"/>
      <c r="P870" s="30"/>
      <c r="Q870" s="30"/>
      <c r="R870" s="30"/>
      <c r="S870" s="30"/>
      <c r="T870" s="30"/>
      <c r="U870" s="30"/>
      <c r="V870" s="30"/>
      <c r="W870" s="30"/>
      <c r="X870" s="30"/>
    </row>
    <row r="871">
      <c r="A871" s="30"/>
      <c r="B871" s="30"/>
      <c r="C871" s="30"/>
      <c r="D871" s="30"/>
      <c r="E871" s="30"/>
      <c r="F871" s="30"/>
      <c r="G871" s="30"/>
      <c r="H871" s="30"/>
      <c r="I871" s="30"/>
      <c r="J871" s="30"/>
      <c r="K871" s="31"/>
      <c r="L871" s="30"/>
      <c r="M871" s="30"/>
      <c r="N871" s="30"/>
      <c r="O871" s="30"/>
      <c r="P871" s="30"/>
      <c r="Q871" s="30"/>
      <c r="R871" s="30"/>
      <c r="S871" s="30"/>
      <c r="T871" s="30"/>
      <c r="U871" s="30"/>
      <c r="V871" s="30"/>
      <c r="W871" s="30"/>
      <c r="X871" s="30"/>
    </row>
    <row r="872">
      <c r="A872" s="30"/>
      <c r="B872" s="30"/>
      <c r="C872" s="30"/>
      <c r="D872" s="30"/>
      <c r="E872" s="30"/>
      <c r="F872" s="30"/>
      <c r="G872" s="30"/>
      <c r="H872" s="30"/>
      <c r="I872" s="30"/>
      <c r="J872" s="30"/>
      <c r="K872" s="31"/>
      <c r="L872" s="30"/>
      <c r="M872" s="30"/>
      <c r="N872" s="30"/>
      <c r="O872" s="30"/>
      <c r="P872" s="30"/>
      <c r="Q872" s="30"/>
      <c r="R872" s="30"/>
      <c r="S872" s="30"/>
      <c r="T872" s="30"/>
      <c r="U872" s="30"/>
      <c r="V872" s="30"/>
      <c r="W872" s="30"/>
      <c r="X872" s="30"/>
    </row>
    <row r="873">
      <c r="A873" s="30"/>
      <c r="B873" s="30"/>
      <c r="C873" s="30"/>
      <c r="D873" s="30"/>
      <c r="E873" s="30"/>
      <c r="F873" s="30"/>
      <c r="G873" s="30"/>
      <c r="H873" s="30"/>
      <c r="I873" s="30"/>
      <c r="J873" s="30"/>
      <c r="K873" s="31"/>
      <c r="L873" s="30"/>
      <c r="M873" s="30"/>
      <c r="N873" s="30"/>
      <c r="O873" s="30"/>
      <c r="P873" s="30"/>
      <c r="Q873" s="30"/>
      <c r="R873" s="30"/>
      <c r="S873" s="30"/>
      <c r="T873" s="30"/>
      <c r="U873" s="30"/>
      <c r="V873" s="30"/>
      <c r="W873" s="30"/>
      <c r="X873" s="30"/>
    </row>
    <row r="874">
      <c r="A874" s="30"/>
      <c r="B874" s="30"/>
      <c r="C874" s="30"/>
      <c r="D874" s="30"/>
      <c r="E874" s="30"/>
      <c r="F874" s="30"/>
      <c r="G874" s="30"/>
      <c r="H874" s="30"/>
      <c r="I874" s="30"/>
      <c r="J874" s="30"/>
      <c r="K874" s="31"/>
      <c r="L874" s="30"/>
      <c r="M874" s="30"/>
      <c r="N874" s="30"/>
      <c r="O874" s="30"/>
      <c r="P874" s="30"/>
      <c r="Q874" s="30"/>
      <c r="R874" s="30"/>
      <c r="S874" s="30"/>
      <c r="T874" s="30"/>
      <c r="U874" s="30"/>
      <c r="V874" s="30"/>
      <c r="W874" s="30"/>
      <c r="X874" s="30"/>
    </row>
    <row r="875">
      <c r="A875" s="30"/>
      <c r="B875" s="30"/>
      <c r="C875" s="30"/>
      <c r="D875" s="30"/>
      <c r="E875" s="30"/>
      <c r="F875" s="30"/>
      <c r="G875" s="30"/>
      <c r="H875" s="30"/>
      <c r="I875" s="30"/>
      <c r="J875" s="30"/>
      <c r="K875" s="31"/>
      <c r="L875" s="30"/>
      <c r="M875" s="30"/>
      <c r="N875" s="30"/>
      <c r="O875" s="30"/>
      <c r="P875" s="30"/>
      <c r="Q875" s="30"/>
      <c r="R875" s="30"/>
      <c r="S875" s="30"/>
      <c r="T875" s="30"/>
      <c r="U875" s="30"/>
      <c r="V875" s="30"/>
      <c r="W875" s="30"/>
      <c r="X875" s="30"/>
    </row>
    <row r="876">
      <c r="A876" s="30"/>
      <c r="B876" s="30"/>
      <c r="C876" s="30"/>
      <c r="D876" s="30"/>
      <c r="E876" s="30"/>
      <c r="F876" s="30"/>
      <c r="G876" s="30"/>
      <c r="H876" s="30"/>
      <c r="I876" s="30"/>
      <c r="J876" s="30"/>
      <c r="K876" s="31"/>
      <c r="L876" s="30"/>
      <c r="M876" s="30"/>
      <c r="N876" s="30"/>
      <c r="O876" s="30"/>
      <c r="P876" s="30"/>
      <c r="Q876" s="30"/>
      <c r="R876" s="30"/>
      <c r="S876" s="30"/>
      <c r="T876" s="30"/>
      <c r="U876" s="30"/>
      <c r="V876" s="30"/>
      <c r="W876" s="30"/>
      <c r="X876" s="30"/>
    </row>
    <row r="877">
      <c r="A877" s="30"/>
      <c r="B877" s="30"/>
      <c r="C877" s="30"/>
      <c r="D877" s="30"/>
      <c r="E877" s="30"/>
      <c r="F877" s="30"/>
      <c r="G877" s="30"/>
      <c r="H877" s="30"/>
      <c r="I877" s="30"/>
      <c r="J877" s="30"/>
      <c r="K877" s="31"/>
      <c r="L877" s="30"/>
      <c r="M877" s="30"/>
      <c r="N877" s="30"/>
      <c r="O877" s="30"/>
      <c r="P877" s="30"/>
      <c r="Q877" s="30"/>
      <c r="R877" s="30"/>
      <c r="S877" s="30"/>
      <c r="T877" s="30"/>
      <c r="U877" s="30"/>
      <c r="V877" s="30"/>
      <c r="W877" s="30"/>
      <c r="X877" s="30"/>
    </row>
    <row r="878">
      <c r="A878" s="30"/>
      <c r="B878" s="30"/>
      <c r="C878" s="30"/>
      <c r="D878" s="30"/>
      <c r="E878" s="30"/>
      <c r="F878" s="30"/>
      <c r="G878" s="30"/>
      <c r="H878" s="30"/>
      <c r="I878" s="30"/>
      <c r="J878" s="30"/>
      <c r="K878" s="31"/>
      <c r="L878" s="30"/>
      <c r="M878" s="30"/>
      <c r="N878" s="30"/>
      <c r="O878" s="30"/>
      <c r="P878" s="30"/>
      <c r="Q878" s="30"/>
      <c r="R878" s="30"/>
      <c r="S878" s="30"/>
      <c r="T878" s="30"/>
      <c r="U878" s="30"/>
      <c r="V878" s="30"/>
      <c r="W878" s="30"/>
      <c r="X878" s="30"/>
    </row>
    <row r="879">
      <c r="A879" s="30"/>
      <c r="B879" s="30"/>
      <c r="C879" s="30"/>
      <c r="D879" s="30"/>
      <c r="E879" s="30"/>
      <c r="F879" s="30"/>
      <c r="G879" s="30"/>
      <c r="H879" s="30"/>
      <c r="I879" s="30"/>
      <c r="J879" s="30"/>
      <c r="K879" s="31"/>
      <c r="L879" s="30"/>
      <c r="M879" s="30"/>
      <c r="N879" s="30"/>
      <c r="O879" s="30"/>
      <c r="P879" s="30"/>
      <c r="Q879" s="30"/>
      <c r="R879" s="30"/>
      <c r="S879" s="30"/>
      <c r="T879" s="30"/>
      <c r="U879" s="30"/>
      <c r="V879" s="30"/>
      <c r="W879" s="30"/>
      <c r="X879" s="30"/>
    </row>
    <row r="880">
      <c r="A880" s="30"/>
      <c r="B880" s="30"/>
      <c r="C880" s="30"/>
      <c r="D880" s="30"/>
      <c r="E880" s="30"/>
      <c r="F880" s="30"/>
      <c r="G880" s="30"/>
      <c r="H880" s="30"/>
      <c r="I880" s="30"/>
      <c r="J880" s="30"/>
      <c r="K880" s="31"/>
      <c r="L880" s="30"/>
      <c r="M880" s="30"/>
      <c r="N880" s="30"/>
      <c r="O880" s="30"/>
      <c r="P880" s="30"/>
      <c r="Q880" s="30"/>
      <c r="R880" s="30"/>
      <c r="S880" s="30"/>
      <c r="T880" s="30"/>
      <c r="U880" s="30"/>
      <c r="V880" s="30"/>
      <c r="W880" s="30"/>
      <c r="X880" s="30"/>
    </row>
    <row r="881">
      <c r="A881" s="30"/>
      <c r="B881" s="30"/>
      <c r="C881" s="30"/>
      <c r="D881" s="30"/>
      <c r="E881" s="30"/>
      <c r="F881" s="30"/>
      <c r="G881" s="30"/>
      <c r="H881" s="30"/>
      <c r="I881" s="30"/>
      <c r="J881" s="30"/>
      <c r="K881" s="31"/>
      <c r="L881" s="30"/>
      <c r="M881" s="30"/>
      <c r="N881" s="30"/>
      <c r="O881" s="30"/>
      <c r="P881" s="30"/>
      <c r="Q881" s="30"/>
      <c r="R881" s="30"/>
      <c r="S881" s="30"/>
      <c r="T881" s="30"/>
      <c r="U881" s="30"/>
      <c r="V881" s="30"/>
      <c r="W881" s="30"/>
      <c r="X881" s="30"/>
    </row>
    <row r="882">
      <c r="A882" s="30"/>
      <c r="B882" s="30"/>
      <c r="C882" s="30"/>
      <c r="D882" s="30"/>
      <c r="E882" s="30"/>
      <c r="F882" s="30"/>
      <c r="G882" s="30"/>
      <c r="H882" s="30"/>
      <c r="I882" s="30"/>
      <c r="J882" s="30"/>
      <c r="K882" s="31"/>
      <c r="L882" s="30"/>
      <c r="M882" s="30"/>
      <c r="N882" s="30"/>
      <c r="O882" s="30"/>
      <c r="P882" s="30"/>
      <c r="Q882" s="30"/>
      <c r="R882" s="30"/>
      <c r="S882" s="30"/>
      <c r="T882" s="30"/>
      <c r="U882" s="30"/>
      <c r="V882" s="30"/>
      <c r="W882" s="30"/>
      <c r="X882" s="30"/>
    </row>
    <row r="883">
      <c r="A883" s="30"/>
      <c r="B883" s="30"/>
      <c r="C883" s="30"/>
      <c r="D883" s="30"/>
      <c r="E883" s="30"/>
      <c r="F883" s="30"/>
      <c r="G883" s="30"/>
      <c r="H883" s="30"/>
      <c r="I883" s="30"/>
      <c r="J883" s="30"/>
      <c r="K883" s="31"/>
      <c r="L883" s="30"/>
      <c r="M883" s="30"/>
      <c r="N883" s="30"/>
      <c r="O883" s="30"/>
      <c r="P883" s="30"/>
      <c r="Q883" s="30"/>
      <c r="R883" s="30"/>
      <c r="S883" s="30"/>
      <c r="T883" s="30"/>
      <c r="U883" s="30"/>
      <c r="V883" s="30"/>
      <c r="W883" s="30"/>
      <c r="X883" s="30"/>
    </row>
    <row r="884">
      <c r="A884" s="30"/>
      <c r="B884" s="30"/>
      <c r="C884" s="30"/>
      <c r="D884" s="30"/>
      <c r="E884" s="30"/>
      <c r="F884" s="30"/>
      <c r="G884" s="30"/>
      <c r="H884" s="30"/>
      <c r="I884" s="30"/>
      <c r="J884" s="30"/>
      <c r="K884" s="31"/>
      <c r="L884" s="30"/>
      <c r="M884" s="30"/>
      <c r="N884" s="30"/>
      <c r="O884" s="30"/>
      <c r="P884" s="30"/>
      <c r="Q884" s="30"/>
      <c r="R884" s="30"/>
      <c r="S884" s="30"/>
      <c r="T884" s="30"/>
      <c r="U884" s="30"/>
      <c r="V884" s="30"/>
      <c r="W884" s="30"/>
      <c r="X884" s="30"/>
    </row>
    <row r="885">
      <c r="A885" s="30"/>
      <c r="B885" s="30"/>
      <c r="C885" s="30"/>
      <c r="D885" s="30"/>
      <c r="E885" s="30"/>
      <c r="F885" s="30"/>
      <c r="G885" s="30"/>
      <c r="H885" s="30"/>
      <c r="I885" s="30"/>
      <c r="J885" s="30"/>
      <c r="K885" s="31"/>
      <c r="L885" s="30"/>
      <c r="M885" s="30"/>
      <c r="N885" s="30"/>
      <c r="O885" s="30"/>
      <c r="P885" s="30"/>
      <c r="Q885" s="30"/>
      <c r="R885" s="30"/>
      <c r="S885" s="30"/>
      <c r="T885" s="30"/>
      <c r="U885" s="30"/>
      <c r="V885" s="30"/>
      <c r="W885" s="30"/>
      <c r="X885" s="30"/>
    </row>
    <row r="886">
      <c r="A886" s="30"/>
      <c r="B886" s="30"/>
      <c r="C886" s="30"/>
      <c r="D886" s="30"/>
      <c r="E886" s="30"/>
      <c r="F886" s="30"/>
      <c r="G886" s="30"/>
      <c r="H886" s="30"/>
      <c r="I886" s="30"/>
      <c r="J886" s="30"/>
      <c r="K886" s="31"/>
      <c r="L886" s="30"/>
      <c r="M886" s="30"/>
      <c r="N886" s="30"/>
      <c r="O886" s="30"/>
      <c r="P886" s="30"/>
      <c r="Q886" s="30"/>
      <c r="R886" s="30"/>
      <c r="S886" s="30"/>
      <c r="T886" s="30"/>
      <c r="U886" s="30"/>
      <c r="V886" s="30"/>
      <c r="W886" s="30"/>
      <c r="X886" s="30"/>
    </row>
    <row r="887">
      <c r="A887" s="30"/>
      <c r="B887" s="30"/>
      <c r="C887" s="30"/>
      <c r="D887" s="30"/>
      <c r="E887" s="30"/>
      <c r="F887" s="30"/>
      <c r="G887" s="30"/>
      <c r="H887" s="30"/>
      <c r="I887" s="30"/>
      <c r="J887" s="30"/>
      <c r="K887" s="31"/>
      <c r="L887" s="30"/>
      <c r="M887" s="30"/>
      <c r="N887" s="30"/>
      <c r="O887" s="30"/>
      <c r="P887" s="30"/>
      <c r="Q887" s="30"/>
      <c r="R887" s="30"/>
      <c r="S887" s="30"/>
      <c r="T887" s="30"/>
      <c r="U887" s="30"/>
      <c r="V887" s="30"/>
      <c r="W887" s="30"/>
      <c r="X887" s="30"/>
    </row>
    <row r="888">
      <c r="A888" s="30"/>
      <c r="B888" s="30"/>
      <c r="C888" s="30"/>
      <c r="D888" s="30"/>
      <c r="E888" s="30"/>
      <c r="F888" s="30"/>
      <c r="G888" s="30"/>
      <c r="H888" s="30"/>
      <c r="I888" s="30"/>
      <c r="J888" s="30"/>
      <c r="K888" s="31"/>
      <c r="L888" s="30"/>
      <c r="M888" s="30"/>
      <c r="N888" s="30"/>
      <c r="O888" s="30"/>
      <c r="P888" s="30"/>
      <c r="Q888" s="30"/>
      <c r="R888" s="30"/>
      <c r="S888" s="30"/>
      <c r="T888" s="30"/>
      <c r="U888" s="30"/>
      <c r="V888" s="30"/>
      <c r="W888" s="30"/>
      <c r="X888" s="30"/>
    </row>
    <row r="889">
      <c r="A889" s="30"/>
      <c r="B889" s="30"/>
      <c r="C889" s="30"/>
      <c r="D889" s="30"/>
      <c r="E889" s="30"/>
      <c r="F889" s="30"/>
      <c r="G889" s="30"/>
      <c r="H889" s="30"/>
      <c r="I889" s="30"/>
      <c r="J889" s="30"/>
      <c r="K889" s="31"/>
      <c r="L889" s="30"/>
      <c r="M889" s="30"/>
      <c r="N889" s="30"/>
      <c r="O889" s="30"/>
      <c r="P889" s="30"/>
      <c r="Q889" s="30"/>
      <c r="R889" s="30"/>
      <c r="S889" s="30"/>
      <c r="T889" s="30"/>
      <c r="U889" s="30"/>
      <c r="V889" s="30"/>
      <c r="W889" s="30"/>
      <c r="X889" s="30"/>
    </row>
    <row r="890">
      <c r="A890" s="30"/>
      <c r="B890" s="30"/>
      <c r="C890" s="30"/>
      <c r="D890" s="30"/>
      <c r="E890" s="30"/>
      <c r="F890" s="30"/>
      <c r="G890" s="30"/>
      <c r="H890" s="30"/>
      <c r="I890" s="30"/>
      <c r="J890" s="30"/>
      <c r="K890" s="31"/>
      <c r="L890" s="30"/>
      <c r="M890" s="30"/>
      <c r="N890" s="30"/>
      <c r="O890" s="30"/>
      <c r="P890" s="30"/>
      <c r="Q890" s="30"/>
      <c r="R890" s="30"/>
      <c r="S890" s="30"/>
      <c r="T890" s="30"/>
      <c r="U890" s="30"/>
      <c r="V890" s="30"/>
      <c r="W890" s="30"/>
      <c r="X890" s="30"/>
    </row>
    <row r="891">
      <c r="A891" s="30"/>
      <c r="B891" s="30"/>
      <c r="C891" s="30"/>
      <c r="D891" s="30"/>
      <c r="E891" s="30"/>
      <c r="F891" s="30"/>
      <c r="G891" s="30"/>
      <c r="H891" s="30"/>
      <c r="I891" s="30"/>
      <c r="J891" s="30"/>
      <c r="K891" s="31"/>
      <c r="L891" s="30"/>
      <c r="M891" s="30"/>
      <c r="N891" s="30"/>
      <c r="O891" s="30"/>
      <c r="P891" s="30"/>
      <c r="Q891" s="30"/>
      <c r="R891" s="30"/>
      <c r="S891" s="30"/>
      <c r="T891" s="30"/>
      <c r="U891" s="30"/>
      <c r="V891" s="30"/>
      <c r="W891" s="30"/>
      <c r="X891" s="30"/>
    </row>
    <row r="892">
      <c r="A892" s="30"/>
      <c r="B892" s="30"/>
      <c r="C892" s="30"/>
      <c r="D892" s="30"/>
      <c r="E892" s="30"/>
      <c r="F892" s="30"/>
      <c r="G892" s="30"/>
      <c r="H892" s="30"/>
      <c r="I892" s="30"/>
      <c r="J892" s="30"/>
      <c r="K892" s="31"/>
      <c r="L892" s="30"/>
      <c r="M892" s="30"/>
      <c r="N892" s="30"/>
      <c r="O892" s="30"/>
      <c r="P892" s="30"/>
      <c r="Q892" s="30"/>
      <c r="R892" s="30"/>
      <c r="S892" s="30"/>
      <c r="T892" s="30"/>
      <c r="U892" s="30"/>
      <c r="V892" s="30"/>
      <c r="W892" s="30"/>
      <c r="X892" s="30"/>
    </row>
    <row r="893">
      <c r="A893" s="30"/>
      <c r="B893" s="30"/>
      <c r="C893" s="30"/>
      <c r="D893" s="30"/>
      <c r="E893" s="30"/>
      <c r="F893" s="30"/>
      <c r="G893" s="30"/>
      <c r="H893" s="30"/>
      <c r="I893" s="30"/>
      <c r="J893" s="30"/>
      <c r="K893" s="31"/>
      <c r="L893" s="30"/>
      <c r="M893" s="30"/>
      <c r="N893" s="30"/>
      <c r="O893" s="30"/>
      <c r="P893" s="30"/>
      <c r="Q893" s="30"/>
      <c r="R893" s="30"/>
      <c r="S893" s="30"/>
      <c r="T893" s="30"/>
      <c r="U893" s="30"/>
      <c r="V893" s="30"/>
      <c r="W893" s="30"/>
      <c r="X893" s="30"/>
    </row>
    <row r="894">
      <c r="A894" s="30"/>
      <c r="B894" s="30"/>
      <c r="C894" s="30"/>
      <c r="D894" s="30"/>
      <c r="E894" s="30"/>
      <c r="F894" s="30"/>
      <c r="G894" s="30"/>
      <c r="H894" s="30"/>
      <c r="I894" s="30"/>
      <c r="J894" s="30"/>
      <c r="K894" s="45"/>
      <c r="L894" s="30"/>
      <c r="M894" s="30"/>
      <c r="N894" s="30"/>
      <c r="O894" s="30"/>
      <c r="P894" s="30"/>
      <c r="Q894" s="30"/>
      <c r="R894" s="30"/>
      <c r="S894" s="30"/>
      <c r="T894" s="30"/>
      <c r="U894" s="30"/>
      <c r="V894" s="30"/>
      <c r="W894" s="30"/>
      <c r="X894" s="30"/>
    </row>
    <row r="895">
      <c r="A895" s="30"/>
      <c r="B895" s="30"/>
      <c r="C895" s="30"/>
      <c r="D895" s="30"/>
      <c r="E895" s="30"/>
      <c r="F895" s="30"/>
      <c r="G895" s="30"/>
      <c r="H895" s="30"/>
      <c r="I895" s="30"/>
      <c r="J895" s="30"/>
      <c r="K895" s="31"/>
      <c r="L895" s="30"/>
      <c r="M895" s="30"/>
      <c r="N895" s="30"/>
      <c r="O895" s="30"/>
      <c r="P895" s="30"/>
      <c r="Q895" s="30"/>
      <c r="R895" s="30"/>
      <c r="S895" s="30"/>
      <c r="T895" s="30"/>
      <c r="U895" s="30"/>
      <c r="V895" s="30"/>
      <c r="W895" s="30"/>
      <c r="X895" s="30"/>
    </row>
    <row r="896">
      <c r="A896" s="30"/>
      <c r="B896" s="30"/>
      <c r="C896" s="30"/>
      <c r="D896" s="30"/>
      <c r="E896" s="30"/>
      <c r="F896" s="30"/>
      <c r="G896" s="30"/>
      <c r="H896" s="30"/>
      <c r="I896" s="30"/>
      <c r="J896" s="30"/>
      <c r="K896" s="31"/>
      <c r="L896" s="30"/>
      <c r="M896" s="30"/>
      <c r="N896" s="30"/>
      <c r="O896" s="30"/>
      <c r="P896" s="30"/>
      <c r="Q896" s="30"/>
      <c r="R896" s="30"/>
      <c r="S896" s="30"/>
      <c r="T896" s="30"/>
      <c r="U896" s="30"/>
      <c r="V896" s="30"/>
      <c r="W896" s="30"/>
      <c r="X896" s="30"/>
    </row>
    <row r="897">
      <c r="A897" s="30"/>
      <c r="B897" s="30"/>
      <c r="C897" s="30"/>
      <c r="D897" s="30"/>
      <c r="E897" s="30"/>
      <c r="F897" s="30"/>
      <c r="G897" s="30"/>
      <c r="H897" s="30"/>
      <c r="I897" s="30"/>
      <c r="J897" s="30"/>
      <c r="K897" s="31"/>
      <c r="L897" s="30"/>
      <c r="M897" s="30"/>
      <c r="N897" s="30"/>
      <c r="O897" s="30"/>
      <c r="P897" s="30"/>
      <c r="Q897" s="30"/>
      <c r="R897" s="30"/>
      <c r="S897" s="30"/>
      <c r="T897" s="30"/>
      <c r="U897" s="30"/>
      <c r="V897" s="30"/>
      <c r="W897" s="30"/>
      <c r="X897" s="30"/>
    </row>
    <row r="898">
      <c r="A898" s="30"/>
      <c r="B898" s="30"/>
      <c r="C898" s="30"/>
      <c r="D898" s="30"/>
      <c r="E898" s="30"/>
      <c r="F898" s="30"/>
      <c r="G898" s="30"/>
      <c r="H898" s="30"/>
      <c r="I898" s="30"/>
      <c r="J898" s="30"/>
      <c r="K898" s="31"/>
      <c r="L898" s="30"/>
      <c r="M898" s="30"/>
      <c r="N898" s="30"/>
      <c r="O898" s="30"/>
      <c r="P898" s="30"/>
      <c r="Q898" s="30"/>
      <c r="R898" s="30"/>
      <c r="S898" s="30"/>
      <c r="T898" s="30"/>
      <c r="U898" s="30"/>
      <c r="V898" s="30"/>
      <c r="W898" s="30"/>
      <c r="X898" s="30"/>
    </row>
    <row r="899">
      <c r="A899" s="30"/>
      <c r="B899" s="30"/>
      <c r="C899" s="30"/>
      <c r="D899" s="30"/>
      <c r="E899" s="30"/>
      <c r="F899" s="30"/>
      <c r="G899" s="30"/>
      <c r="H899" s="30"/>
      <c r="I899" s="30"/>
      <c r="J899" s="30"/>
      <c r="K899" s="31"/>
      <c r="L899" s="30"/>
      <c r="M899" s="30"/>
      <c r="N899" s="30"/>
      <c r="O899" s="30"/>
      <c r="P899" s="30"/>
      <c r="Q899" s="30"/>
      <c r="R899" s="30"/>
      <c r="S899" s="30"/>
      <c r="T899" s="30"/>
      <c r="U899" s="30"/>
      <c r="V899" s="30"/>
      <c r="W899" s="30"/>
      <c r="X899" s="30"/>
    </row>
    <row r="900">
      <c r="A900" s="30"/>
      <c r="B900" s="30"/>
      <c r="C900" s="30"/>
      <c r="D900" s="30"/>
      <c r="E900" s="30"/>
      <c r="F900" s="30"/>
      <c r="G900" s="30"/>
      <c r="H900" s="30"/>
      <c r="I900" s="30"/>
      <c r="J900" s="30"/>
      <c r="K900" s="35"/>
      <c r="L900" s="30"/>
      <c r="M900" s="30"/>
      <c r="N900" s="30"/>
      <c r="O900" s="30"/>
      <c r="P900" s="30"/>
      <c r="Q900" s="30"/>
      <c r="R900" s="30"/>
      <c r="S900" s="30"/>
      <c r="T900" s="30"/>
      <c r="U900" s="30"/>
      <c r="V900" s="30"/>
      <c r="W900" s="30"/>
      <c r="X900" s="30"/>
    </row>
    <row r="901">
      <c r="A901" s="30"/>
      <c r="B901" s="30"/>
      <c r="C901" s="30"/>
      <c r="D901" s="30"/>
      <c r="E901" s="30"/>
      <c r="F901" s="30"/>
      <c r="G901" s="30"/>
      <c r="H901" s="30"/>
      <c r="I901" s="30"/>
      <c r="J901" s="30"/>
      <c r="K901" s="31"/>
      <c r="L901" s="30"/>
      <c r="M901" s="30"/>
      <c r="N901" s="30"/>
      <c r="O901" s="30"/>
      <c r="P901" s="30"/>
      <c r="Q901" s="30"/>
      <c r="R901" s="30"/>
      <c r="S901" s="30"/>
      <c r="T901" s="30"/>
      <c r="U901" s="30"/>
      <c r="V901" s="30"/>
      <c r="W901" s="30"/>
      <c r="X901" s="30"/>
    </row>
    <row r="902">
      <c r="A902" s="30"/>
      <c r="B902" s="30"/>
      <c r="C902" s="30"/>
      <c r="D902" s="30"/>
      <c r="E902" s="30"/>
      <c r="F902" s="30"/>
      <c r="G902" s="30"/>
      <c r="H902" s="30"/>
      <c r="I902" s="30"/>
      <c r="J902" s="30"/>
      <c r="K902" s="31"/>
      <c r="L902" s="30"/>
      <c r="M902" s="30"/>
      <c r="N902" s="30"/>
      <c r="O902" s="30"/>
      <c r="P902" s="30"/>
      <c r="Q902" s="30"/>
      <c r="R902" s="30"/>
      <c r="S902" s="30"/>
      <c r="T902" s="30"/>
      <c r="U902" s="30"/>
      <c r="V902" s="30"/>
      <c r="W902" s="30"/>
      <c r="X902" s="30"/>
    </row>
    <row r="903">
      <c r="A903" s="30"/>
      <c r="B903" s="30"/>
      <c r="C903" s="30"/>
      <c r="D903" s="30"/>
      <c r="E903" s="30"/>
      <c r="F903" s="30"/>
      <c r="G903" s="30"/>
      <c r="H903" s="30"/>
      <c r="I903" s="30"/>
      <c r="J903" s="30"/>
      <c r="K903" s="31"/>
      <c r="L903" s="30"/>
      <c r="M903" s="30"/>
      <c r="N903" s="30"/>
      <c r="O903" s="30"/>
      <c r="P903" s="30"/>
      <c r="Q903" s="30"/>
      <c r="R903" s="30"/>
      <c r="S903" s="30"/>
      <c r="T903" s="30"/>
      <c r="U903" s="30"/>
      <c r="V903" s="30"/>
      <c r="W903" s="30"/>
      <c r="X903" s="30"/>
    </row>
    <row r="904">
      <c r="A904" s="30"/>
      <c r="B904" s="30"/>
      <c r="C904" s="30"/>
      <c r="D904" s="30"/>
      <c r="E904" s="30"/>
      <c r="F904" s="30"/>
      <c r="G904" s="30"/>
      <c r="H904" s="30"/>
      <c r="I904" s="30"/>
      <c r="J904" s="30"/>
      <c r="K904" s="31"/>
      <c r="L904" s="30"/>
      <c r="M904" s="30"/>
      <c r="N904" s="30"/>
      <c r="O904" s="30"/>
      <c r="P904" s="30"/>
      <c r="Q904" s="30"/>
      <c r="R904" s="30"/>
      <c r="S904" s="30"/>
      <c r="T904" s="30"/>
      <c r="U904" s="30"/>
      <c r="V904" s="30"/>
      <c r="W904" s="30"/>
      <c r="X904" s="30"/>
    </row>
    <row r="905">
      <c r="A905" s="30"/>
      <c r="B905" s="30"/>
      <c r="C905" s="30"/>
      <c r="D905" s="30"/>
      <c r="E905" s="30"/>
      <c r="F905" s="30"/>
      <c r="G905" s="30"/>
      <c r="H905" s="30"/>
      <c r="I905" s="30"/>
      <c r="J905" s="30"/>
      <c r="K905" s="31"/>
      <c r="L905" s="30"/>
      <c r="M905" s="30"/>
      <c r="N905" s="30"/>
      <c r="O905" s="30"/>
      <c r="P905" s="30"/>
      <c r="Q905" s="30"/>
      <c r="R905" s="30"/>
      <c r="S905" s="30"/>
      <c r="T905" s="30"/>
      <c r="U905" s="30"/>
      <c r="V905" s="30"/>
      <c r="W905" s="30"/>
      <c r="X905" s="30"/>
    </row>
    <row r="906">
      <c r="A906" s="30"/>
      <c r="B906" s="30"/>
      <c r="C906" s="30"/>
      <c r="D906" s="30"/>
      <c r="E906" s="30"/>
      <c r="F906" s="30"/>
      <c r="G906" s="30"/>
      <c r="H906" s="30"/>
      <c r="I906" s="30"/>
      <c r="J906" s="30"/>
      <c r="K906" s="31"/>
      <c r="L906" s="30"/>
      <c r="M906" s="30"/>
      <c r="N906" s="30"/>
      <c r="O906" s="30"/>
      <c r="P906" s="30"/>
      <c r="Q906" s="30"/>
      <c r="R906" s="30"/>
      <c r="S906" s="30"/>
      <c r="T906" s="30"/>
      <c r="U906" s="30"/>
      <c r="V906" s="30"/>
      <c r="W906" s="30"/>
      <c r="X906" s="30"/>
    </row>
    <row r="907">
      <c r="A907" s="30"/>
      <c r="B907" s="30"/>
      <c r="C907" s="30"/>
      <c r="D907" s="30"/>
      <c r="E907" s="30"/>
      <c r="F907" s="30"/>
      <c r="G907" s="30"/>
      <c r="H907" s="30"/>
      <c r="I907" s="30"/>
      <c r="J907" s="30"/>
      <c r="K907" s="31"/>
      <c r="L907" s="30"/>
      <c r="M907" s="30"/>
      <c r="N907" s="30"/>
      <c r="O907" s="30"/>
      <c r="P907" s="30"/>
      <c r="Q907" s="30"/>
      <c r="R907" s="30"/>
      <c r="S907" s="30"/>
      <c r="T907" s="30"/>
      <c r="U907" s="30"/>
      <c r="V907" s="30"/>
      <c r="W907" s="30"/>
      <c r="X907" s="30"/>
    </row>
    <row r="908">
      <c r="A908" s="30"/>
      <c r="B908" s="30"/>
      <c r="C908" s="30"/>
      <c r="D908" s="30"/>
      <c r="E908" s="30"/>
      <c r="F908" s="30"/>
      <c r="G908" s="30"/>
      <c r="H908" s="30"/>
      <c r="I908" s="30"/>
      <c r="J908" s="30"/>
      <c r="K908" s="31"/>
      <c r="L908" s="30"/>
      <c r="M908" s="30"/>
      <c r="N908" s="30"/>
      <c r="O908" s="30"/>
      <c r="P908" s="30"/>
      <c r="Q908" s="30"/>
      <c r="R908" s="30"/>
      <c r="S908" s="30"/>
      <c r="T908" s="30"/>
      <c r="U908" s="30"/>
      <c r="V908" s="30"/>
      <c r="W908" s="30"/>
      <c r="X908" s="30"/>
    </row>
    <row r="909">
      <c r="A909" s="30"/>
      <c r="B909" s="30"/>
      <c r="C909" s="30"/>
      <c r="D909" s="30"/>
      <c r="E909" s="30"/>
      <c r="F909" s="30"/>
      <c r="G909" s="30"/>
      <c r="H909" s="30"/>
      <c r="I909" s="30"/>
      <c r="J909" s="30"/>
      <c r="K909" s="31"/>
      <c r="L909" s="30"/>
      <c r="M909" s="30"/>
      <c r="N909" s="30"/>
      <c r="O909" s="30"/>
      <c r="P909" s="30"/>
      <c r="Q909" s="30"/>
      <c r="R909" s="30"/>
      <c r="S909" s="30"/>
      <c r="T909" s="30"/>
      <c r="U909" s="30"/>
      <c r="V909" s="30"/>
      <c r="W909" s="30"/>
      <c r="X909" s="30"/>
    </row>
    <row r="910">
      <c r="A910" s="30"/>
      <c r="B910" s="30"/>
      <c r="C910" s="30"/>
      <c r="D910" s="30"/>
      <c r="E910" s="30"/>
      <c r="F910" s="30"/>
      <c r="G910" s="30"/>
      <c r="H910" s="30"/>
      <c r="I910" s="30"/>
      <c r="J910" s="30"/>
      <c r="K910" s="31"/>
      <c r="L910" s="30"/>
      <c r="M910" s="30"/>
      <c r="N910" s="30"/>
      <c r="O910" s="30"/>
      <c r="P910" s="30"/>
      <c r="Q910" s="30"/>
      <c r="R910" s="30"/>
      <c r="S910" s="30"/>
      <c r="T910" s="30"/>
      <c r="U910" s="30"/>
      <c r="V910" s="30"/>
      <c r="W910" s="30"/>
      <c r="X910" s="30"/>
    </row>
    <row r="911">
      <c r="A911" s="30"/>
      <c r="B911" s="30"/>
      <c r="C911" s="30"/>
      <c r="D911" s="30"/>
      <c r="E911" s="30"/>
      <c r="F911" s="30"/>
      <c r="G911" s="30"/>
      <c r="H911" s="30"/>
      <c r="I911" s="30"/>
      <c r="J911" s="30"/>
      <c r="K911" s="31"/>
      <c r="L911" s="30"/>
      <c r="M911" s="30"/>
      <c r="N911" s="30"/>
      <c r="O911" s="30"/>
      <c r="P911" s="30"/>
      <c r="Q911" s="30"/>
      <c r="R911" s="30"/>
      <c r="S911" s="30"/>
      <c r="T911" s="30"/>
      <c r="U911" s="30"/>
      <c r="V911" s="30"/>
      <c r="W911" s="30"/>
      <c r="X911" s="30"/>
    </row>
    <row r="912">
      <c r="A912" s="30"/>
      <c r="B912" s="30"/>
      <c r="C912" s="30"/>
      <c r="D912" s="30"/>
      <c r="E912" s="30"/>
      <c r="F912" s="30"/>
      <c r="G912" s="30"/>
      <c r="H912" s="30"/>
      <c r="I912" s="30"/>
      <c r="J912" s="30"/>
      <c r="K912" s="31"/>
      <c r="L912" s="30"/>
      <c r="M912" s="30"/>
      <c r="N912" s="30"/>
      <c r="O912" s="30"/>
      <c r="P912" s="30"/>
      <c r="Q912" s="30"/>
      <c r="R912" s="30"/>
      <c r="S912" s="30"/>
      <c r="T912" s="30"/>
      <c r="U912" s="30"/>
      <c r="V912" s="30"/>
      <c r="W912" s="30"/>
      <c r="X912" s="30"/>
    </row>
    <row r="913">
      <c r="A913" s="30"/>
      <c r="B913" s="30"/>
      <c r="C913" s="30"/>
      <c r="D913" s="30"/>
      <c r="E913" s="30"/>
      <c r="F913" s="30"/>
      <c r="G913" s="30"/>
      <c r="H913" s="30"/>
      <c r="I913" s="30"/>
      <c r="J913" s="30"/>
      <c r="K913" s="31"/>
      <c r="L913" s="30"/>
      <c r="M913" s="30"/>
      <c r="N913" s="30"/>
      <c r="O913" s="30"/>
      <c r="P913" s="30"/>
      <c r="Q913" s="30"/>
      <c r="R913" s="30"/>
      <c r="S913" s="30"/>
      <c r="T913" s="30"/>
      <c r="U913" s="30"/>
      <c r="V913" s="30"/>
      <c r="W913" s="30"/>
      <c r="X913" s="30"/>
    </row>
    <row r="914">
      <c r="A914" s="30"/>
      <c r="B914" s="30"/>
      <c r="C914" s="30"/>
      <c r="D914" s="30"/>
      <c r="E914" s="30"/>
      <c r="F914" s="30"/>
      <c r="G914" s="30"/>
      <c r="H914" s="30"/>
      <c r="I914" s="30"/>
      <c r="J914" s="30"/>
      <c r="K914" s="31"/>
      <c r="L914" s="30"/>
      <c r="M914" s="30"/>
      <c r="N914" s="30"/>
      <c r="O914" s="30"/>
      <c r="P914" s="30"/>
      <c r="Q914" s="30"/>
      <c r="R914" s="30"/>
      <c r="S914" s="30"/>
      <c r="T914" s="30"/>
      <c r="U914" s="30"/>
      <c r="V914" s="30"/>
      <c r="W914" s="30"/>
      <c r="X914" s="30"/>
    </row>
    <row r="915">
      <c r="A915" s="30"/>
      <c r="B915" s="30"/>
      <c r="C915" s="30"/>
      <c r="D915" s="30"/>
      <c r="E915" s="30"/>
      <c r="F915" s="30"/>
      <c r="G915" s="30"/>
      <c r="H915" s="30"/>
      <c r="I915" s="30"/>
      <c r="J915" s="30"/>
      <c r="K915" s="31"/>
      <c r="L915" s="30"/>
      <c r="M915" s="30"/>
      <c r="N915" s="30"/>
      <c r="O915" s="30"/>
      <c r="P915" s="30"/>
      <c r="Q915" s="30"/>
      <c r="R915" s="30"/>
      <c r="S915" s="30"/>
      <c r="T915" s="30"/>
      <c r="U915" s="30"/>
      <c r="V915" s="30"/>
      <c r="W915" s="30"/>
      <c r="X915" s="30"/>
    </row>
    <row r="916">
      <c r="A916" s="30"/>
      <c r="B916" s="30"/>
      <c r="C916" s="30"/>
      <c r="D916" s="30"/>
      <c r="E916" s="30"/>
      <c r="F916" s="30"/>
      <c r="G916" s="30"/>
      <c r="H916" s="30"/>
      <c r="I916" s="30"/>
      <c r="J916" s="30"/>
      <c r="K916" s="31"/>
      <c r="L916" s="30"/>
      <c r="M916" s="30"/>
      <c r="N916" s="30"/>
      <c r="O916" s="30"/>
      <c r="P916" s="30"/>
      <c r="Q916" s="30"/>
      <c r="R916" s="30"/>
      <c r="S916" s="30"/>
      <c r="T916" s="30"/>
      <c r="U916" s="30"/>
      <c r="V916" s="30"/>
      <c r="W916" s="30"/>
      <c r="X916" s="30"/>
    </row>
    <row r="917">
      <c r="A917" s="30"/>
      <c r="B917" s="30"/>
      <c r="C917" s="30"/>
      <c r="D917" s="30"/>
      <c r="E917" s="30"/>
      <c r="F917" s="30"/>
      <c r="G917" s="30"/>
      <c r="H917" s="30"/>
      <c r="I917" s="30"/>
      <c r="J917" s="30"/>
      <c r="K917" s="31"/>
      <c r="L917" s="30"/>
      <c r="M917" s="30"/>
      <c r="N917" s="30"/>
      <c r="O917" s="30"/>
      <c r="P917" s="30"/>
      <c r="Q917" s="30"/>
      <c r="R917" s="30"/>
      <c r="S917" s="30"/>
      <c r="T917" s="30"/>
      <c r="U917" s="30"/>
      <c r="V917" s="30"/>
      <c r="W917" s="30"/>
      <c r="X917" s="30"/>
    </row>
    <row r="918">
      <c r="A918" s="30"/>
      <c r="B918" s="30"/>
      <c r="C918" s="30"/>
      <c r="D918" s="30"/>
      <c r="E918" s="30"/>
      <c r="F918" s="30"/>
      <c r="G918" s="30"/>
      <c r="H918" s="30"/>
      <c r="I918" s="30"/>
      <c r="J918" s="30"/>
      <c r="K918" s="31"/>
      <c r="L918" s="30"/>
      <c r="M918" s="30"/>
      <c r="N918" s="30"/>
      <c r="O918" s="30"/>
      <c r="P918" s="30"/>
      <c r="Q918" s="30"/>
      <c r="R918" s="30"/>
      <c r="S918" s="30"/>
      <c r="T918" s="30"/>
      <c r="U918" s="30"/>
      <c r="V918" s="30"/>
      <c r="W918" s="30"/>
      <c r="X918" s="30"/>
    </row>
    <row r="919">
      <c r="A919" s="30"/>
      <c r="B919" s="30"/>
      <c r="C919" s="30"/>
      <c r="D919" s="30"/>
      <c r="E919" s="30"/>
      <c r="F919" s="30"/>
      <c r="G919" s="30"/>
      <c r="H919" s="30"/>
      <c r="I919" s="30"/>
      <c r="J919" s="30"/>
      <c r="K919" s="31"/>
      <c r="L919" s="30"/>
      <c r="M919" s="30"/>
      <c r="N919" s="30"/>
      <c r="O919" s="30"/>
      <c r="P919" s="30"/>
      <c r="Q919" s="30"/>
      <c r="R919" s="30"/>
      <c r="S919" s="30"/>
      <c r="T919" s="30"/>
      <c r="U919" s="30"/>
      <c r="V919" s="30"/>
      <c r="W919" s="30"/>
      <c r="X919" s="30"/>
    </row>
    <row r="920">
      <c r="A920" s="30"/>
      <c r="B920" s="30"/>
      <c r="C920" s="30"/>
      <c r="D920" s="30"/>
      <c r="E920" s="30"/>
      <c r="F920" s="30"/>
      <c r="G920" s="30"/>
      <c r="H920" s="30"/>
      <c r="I920" s="30"/>
      <c r="J920" s="30"/>
      <c r="K920" s="31"/>
      <c r="L920" s="30"/>
      <c r="M920" s="30"/>
      <c r="N920" s="30"/>
      <c r="O920" s="30"/>
      <c r="P920" s="30"/>
      <c r="Q920" s="30"/>
      <c r="R920" s="30"/>
      <c r="S920" s="30"/>
      <c r="T920" s="30"/>
      <c r="U920" s="30"/>
      <c r="V920" s="30"/>
      <c r="W920" s="30"/>
      <c r="X920" s="30"/>
    </row>
    <row r="921">
      <c r="A921" s="30"/>
      <c r="B921" s="30"/>
      <c r="C921" s="30"/>
      <c r="D921" s="30"/>
      <c r="E921" s="30"/>
      <c r="F921" s="30"/>
      <c r="G921" s="30"/>
      <c r="H921" s="30"/>
      <c r="I921" s="30"/>
      <c r="J921" s="30"/>
      <c r="K921" s="31"/>
      <c r="L921" s="30"/>
      <c r="M921" s="30"/>
      <c r="N921" s="30"/>
      <c r="O921" s="30"/>
      <c r="P921" s="30"/>
      <c r="Q921" s="30"/>
      <c r="R921" s="30"/>
      <c r="S921" s="30"/>
      <c r="T921" s="30"/>
      <c r="U921" s="30"/>
      <c r="V921" s="30"/>
      <c r="W921" s="30"/>
      <c r="X921" s="30"/>
    </row>
    <row r="922">
      <c r="A922" s="30"/>
      <c r="B922" s="30"/>
      <c r="C922" s="30"/>
      <c r="D922" s="30"/>
      <c r="E922" s="30"/>
      <c r="F922" s="30"/>
      <c r="G922" s="30"/>
      <c r="H922" s="30"/>
      <c r="I922" s="30"/>
      <c r="J922" s="30"/>
      <c r="K922" s="31"/>
      <c r="L922" s="30"/>
      <c r="M922" s="30"/>
      <c r="N922" s="30"/>
      <c r="O922" s="30"/>
      <c r="P922" s="30"/>
      <c r="Q922" s="30"/>
      <c r="R922" s="30"/>
      <c r="S922" s="30"/>
      <c r="T922" s="30"/>
      <c r="U922" s="30"/>
      <c r="V922" s="30"/>
      <c r="W922" s="30"/>
      <c r="X922" s="30"/>
    </row>
    <row r="923">
      <c r="A923" s="30"/>
      <c r="B923" s="30"/>
      <c r="C923" s="30"/>
      <c r="D923" s="30"/>
      <c r="E923" s="30"/>
      <c r="F923" s="30"/>
      <c r="G923" s="30"/>
      <c r="H923" s="30"/>
      <c r="I923" s="30"/>
      <c r="J923" s="30"/>
      <c r="K923" s="31"/>
      <c r="L923" s="30"/>
      <c r="M923" s="30"/>
      <c r="N923" s="30"/>
      <c r="O923" s="30"/>
      <c r="P923" s="30"/>
      <c r="Q923" s="30"/>
      <c r="R923" s="30"/>
      <c r="S923" s="30"/>
      <c r="T923" s="30"/>
      <c r="U923" s="30"/>
      <c r="V923" s="30"/>
      <c r="W923" s="30"/>
      <c r="X923" s="30"/>
    </row>
    <row r="924">
      <c r="A924" s="30"/>
      <c r="B924" s="30"/>
      <c r="C924" s="30"/>
      <c r="D924" s="30"/>
      <c r="E924" s="30"/>
      <c r="F924" s="30"/>
      <c r="G924" s="30"/>
      <c r="H924" s="30"/>
      <c r="I924" s="30"/>
      <c r="J924" s="30"/>
      <c r="K924" s="31"/>
      <c r="L924" s="30"/>
      <c r="M924" s="30"/>
      <c r="N924" s="30"/>
      <c r="O924" s="30"/>
      <c r="P924" s="30"/>
      <c r="Q924" s="30"/>
      <c r="R924" s="30"/>
      <c r="S924" s="30"/>
      <c r="T924" s="30"/>
      <c r="U924" s="30"/>
      <c r="V924" s="30"/>
      <c r="W924" s="30"/>
      <c r="X924" s="30"/>
    </row>
    <row r="925">
      <c r="A925" s="30"/>
      <c r="B925" s="30"/>
      <c r="C925" s="30"/>
      <c r="D925" s="30"/>
      <c r="E925" s="30"/>
      <c r="F925" s="30"/>
      <c r="G925" s="30"/>
      <c r="H925" s="30"/>
      <c r="I925" s="30"/>
      <c r="J925" s="30"/>
      <c r="K925" s="31"/>
      <c r="L925" s="30"/>
      <c r="M925" s="30"/>
      <c r="N925" s="30"/>
      <c r="O925" s="30"/>
      <c r="P925" s="30"/>
      <c r="Q925" s="30"/>
      <c r="R925" s="30"/>
      <c r="S925" s="30"/>
      <c r="T925" s="30"/>
      <c r="U925" s="30"/>
      <c r="V925" s="30"/>
      <c r="W925" s="30"/>
      <c r="X925" s="30"/>
    </row>
    <row r="926">
      <c r="A926" s="30"/>
      <c r="B926" s="30"/>
      <c r="C926" s="30"/>
      <c r="D926" s="30"/>
      <c r="E926" s="30"/>
      <c r="F926" s="30"/>
      <c r="G926" s="30"/>
      <c r="H926" s="30"/>
      <c r="I926" s="30"/>
      <c r="J926" s="30"/>
      <c r="K926" s="31"/>
      <c r="L926" s="30"/>
      <c r="M926" s="30"/>
      <c r="N926" s="30"/>
      <c r="O926" s="30"/>
      <c r="P926" s="30"/>
      <c r="Q926" s="30"/>
      <c r="R926" s="30"/>
      <c r="S926" s="30"/>
      <c r="T926" s="30"/>
      <c r="U926" s="30"/>
      <c r="V926" s="30"/>
      <c r="W926" s="30"/>
      <c r="X926" s="30"/>
    </row>
    <row r="927">
      <c r="A927" s="30"/>
      <c r="B927" s="30"/>
      <c r="C927" s="30"/>
      <c r="D927" s="30"/>
      <c r="E927" s="30"/>
      <c r="F927" s="30"/>
      <c r="G927" s="30"/>
      <c r="H927" s="30"/>
      <c r="I927" s="30"/>
      <c r="J927" s="30"/>
      <c r="K927" s="31"/>
      <c r="L927" s="30"/>
      <c r="M927" s="30"/>
      <c r="N927" s="30"/>
      <c r="O927" s="30"/>
      <c r="P927" s="30"/>
      <c r="Q927" s="30"/>
      <c r="R927" s="30"/>
      <c r="S927" s="30"/>
      <c r="T927" s="30"/>
      <c r="U927" s="30"/>
      <c r="V927" s="30"/>
      <c r="W927" s="30"/>
      <c r="X927" s="30"/>
    </row>
    <row r="928">
      <c r="A928" s="30"/>
      <c r="B928" s="30"/>
      <c r="C928" s="30"/>
      <c r="D928" s="30"/>
      <c r="E928" s="30"/>
      <c r="F928" s="30"/>
      <c r="G928" s="30"/>
      <c r="H928" s="30"/>
      <c r="I928" s="30"/>
      <c r="J928" s="30"/>
      <c r="K928" s="31"/>
      <c r="L928" s="30"/>
      <c r="M928" s="30"/>
      <c r="N928" s="30"/>
      <c r="O928" s="30"/>
      <c r="P928" s="30"/>
      <c r="Q928" s="30"/>
      <c r="R928" s="30"/>
      <c r="S928" s="30"/>
      <c r="T928" s="30"/>
      <c r="U928" s="30"/>
      <c r="V928" s="30"/>
      <c r="W928" s="30"/>
      <c r="X928" s="30"/>
    </row>
    <row r="929">
      <c r="A929" s="30"/>
      <c r="B929" s="30"/>
      <c r="C929" s="30"/>
      <c r="D929" s="30"/>
      <c r="E929" s="30"/>
      <c r="F929" s="30"/>
      <c r="G929" s="30"/>
      <c r="H929" s="30"/>
      <c r="I929" s="30"/>
      <c r="J929" s="30"/>
      <c r="K929" s="35"/>
      <c r="L929" s="30"/>
      <c r="M929" s="30"/>
      <c r="N929" s="30"/>
      <c r="O929" s="30"/>
      <c r="P929" s="30"/>
      <c r="Q929" s="30"/>
      <c r="R929" s="30"/>
      <c r="S929" s="30"/>
      <c r="T929" s="30"/>
      <c r="U929" s="30"/>
      <c r="V929" s="30"/>
      <c r="W929" s="30"/>
      <c r="X929" s="30"/>
    </row>
    <row r="930">
      <c r="A930" s="30"/>
      <c r="B930" s="30"/>
      <c r="C930" s="30"/>
      <c r="D930" s="30"/>
      <c r="E930" s="30"/>
      <c r="F930" s="30"/>
      <c r="G930" s="30"/>
      <c r="H930" s="30"/>
      <c r="I930" s="30"/>
      <c r="J930" s="30"/>
      <c r="K930" s="31"/>
      <c r="L930" s="30"/>
      <c r="M930" s="30"/>
      <c r="N930" s="30"/>
      <c r="O930" s="30"/>
      <c r="P930" s="30"/>
      <c r="Q930" s="30"/>
      <c r="R930" s="30"/>
      <c r="S930" s="30"/>
      <c r="T930" s="30"/>
      <c r="U930" s="30"/>
      <c r="V930" s="30"/>
      <c r="W930" s="30"/>
      <c r="X930" s="30"/>
    </row>
    <row r="931">
      <c r="A931" s="30"/>
      <c r="B931" s="30"/>
      <c r="C931" s="30"/>
      <c r="D931" s="30"/>
      <c r="E931" s="30"/>
      <c r="F931" s="30"/>
      <c r="G931" s="30"/>
      <c r="H931" s="30"/>
      <c r="I931" s="30"/>
      <c r="J931" s="30"/>
      <c r="K931" s="31"/>
      <c r="L931" s="30"/>
      <c r="M931" s="30"/>
      <c r="N931" s="30"/>
      <c r="O931" s="30"/>
      <c r="P931" s="30"/>
      <c r="Q931" s="30"/>
      <c r="R931" s="30"/>
      <c r="S931" s="30"/>
      <c r="T931" s="30"/>
      <c r="U931" s="30"/>
      <c r="V931" s="30"/>
      <c r="W931" s="30"/>
      <c r="X931" s="30"/>
    </row>
    <row r="932">
      <c r="A932" s="30"/>
      <c r="B932" s="30"/>
      <c r="C932" s="30"/>
      <c r="D932" s="30"/>
      <c r="E932" s="30"/>
      <c r="F932" s="30"/>
      <c r="G932" s="30"/>
      <c r="H932" s="30"/>
      <c r="I932" s="30"/>
      <c r="J932" s="30"/>
      <c r="K932" s="31"/>
      <c r="L932" s="30"/>
      <c r="M932" s="30"/>
      <c r="N932" s="30"/>
      <c r="O932" s="30"/>
      <c r="P932" s="30"/>
      <c r="Q932" s="30"/>
      <c r="R932" s="30"/>
      <c r="S932" s="30"/>
      <c r="T932" s="30"/>
      <c r="U932" s="30"/>
      <c r="V932" s="30"/>
      <c r="W932" s="30"/>
      <c r="X932" s="30"/>
    </row>
    <row r="933">
      <c r="A933" s="30"/>
      <c r="B933" s="30"/>
      <c r="C933" s="30"/>
      <c r="D933" s="30"/>
      <c r="E933" s="30"/>
      <c r="F933" s="30"/>
      <c r="G933" s="30"/>
      <c r="H933" s="30"/>
      <c r="I933" s="30"/>
      <c r="J933" s="30"/>
      <c r="K933" s="31"/>
      <c r="L933" s="30"/>
      <c r="M933" s="30"/>
      <c r="N933" s="30"/>
      <c r="O933" s="30"/>
      <c r="P933" s="30"/>
      <c r="Q933" s="30"/>
      <c r="R933" s="30"/>
      <c r="S933" s="30"/>
      <c r="T933" s="30"/>
      <c r="U933" s="30"/>
      <c r="V933" s="30"/>
      <c r="W933" s="30"/>
      <c r="X933" s="30"/>
    </row>
    <row r="934">
      <c r="A934" s="30"/>
      <c r="B934" s="30"/>
      <c r="C934" s="30"/>
      <c r="D934" s="30"/>
      <c r="E934" s="30"/>
      <c r="F934" s="30"/>
      <c r="G934" s="30"/>
      <c r="H934" s="30"/>
      <c r="I934" s="30"/>
      <c r="J934" s="30"/>
      <c r="K934" s="31"/>
      <c r="L934" s="30"/>
      <c r="M934" s="30"/>
      <c r="N934" s="30"/>
      <c r="O934" s="30"/>
      <c r="P934" s="30"/>
      <c r="Q934" s="30"/>
      <c r="R934" s="30"/>
      <c r="S934" s="30"/>
      <c r="T934" s="30"/>
      <c r="U934" s="30"/>
      <c r="V934" s="30"/>
      <c r="W934" s="30"/>
      <c r="X934" s="30"/>
    </row>
    <row r="935">
      <c r="A935" s="30"/>
      <c r="B935" s="30"/>
      <c r="C935" s="30"/>
      <c r="D935" s="30"/>
      <c r="E935" s="30"/>
      <c r="F935" s="30"/>
      <c r="G935" s="30"/>
      <c r="H935" s="30"/>
      <c r="I935" s="30"/>
      <c r="J935" s="30"/>
      <c r="K935" s="31"/>
      <c r="L935" s="30"/>
      <c r="M935" s="30"/>
      <c r="N935" s="30"/>
      <c r="O935" s="30"/>
      <c r="P935" s="30"/>
      <c r="Q935" s="30"/>
      <c r="R935" s="30"/>
      <c r="S935" s="30"/>
      <c r="T935" s="30"/>
      <c r="U935" s="30"/>
      <c r="V935" s="30"/>
      <c r="W935" s="30"/>
      <c r="X935" s="30"/>
    </row>
    <row r="936">
      <c r="A936" s="30"/>
      <c r="B936" s="30"/>
      <c r="C936" s="30"/>
      <c r="D936" s="30"/>
      <c r="E936" s="30"/>
      <c r="F936" s="30"/>
      <c r="G936" s="30"/>
      <c r="H936" s="30"/>
      <c r="I936" s="30"/>
      <c r="J936" s="30"/>
      <c r="K936" s="31"/>
      <c r="L936" s="30"/>
      <c r="M936" s="30"/>
      <c r="N936" s="30"/>
      <c r="O936" s="30"/>
      <c r="P936" s="30"/>
      <c r="Q936" s="30"/>
      <c r="R936" s="30"/>
      <c r="S936" s="30"/>
      <c r="T936" s="30"/>
      <c r="U936" s="30"/>
      <c r="V936" s="30"/>
      <c r="W936" s="30"/>
      <c r="X936" s="30"/>
    </row>
    <row r="937">
      <c r="A937" s="30"/>
      <c r="B937" s="30"/>
      <c r="C937" s="30"/>
      <c r="D937" s="30"/>
      <c r="E937" s="30"/>
      <c r="F937" s="30"/>
      <c r="G937" s="30"/>
      <c r="H937" s="30"/>
      <c r="I937" s="30"/>
      <c r="J937" s="30"/>
      <c r="K937" s="31"/>
      <c r="L937" s="30"/>
      <c r="M937" s="30"/>
      <c r="N937" s="30"/>
      <c r="O937" s="30"/>
      <c r="P937" s="30"/>
      <c r="Q937" s="30"/>
      <c r="R937" s="30"/>
      <c r="S937" s="30"/>
      <c r="T937" s="30"/>
      <c r="U937" s="30"/>
      <c r="V937" s="30"/>
      <c r="W937" s="30"/>
      <c r="X937" s="30"/>
    </row>
    <row r="938">
      <c r="A938" s="30"/>
      <c r="B938" s="30"/>
      <c r="C938" s="30"/>
      <c r="D938" s="30"/>
      <c r="E938" s="30"/>
      <c r="F938" s="30"/>
      <c r="G938" s="30"/>
      <c r="H938" s="30"/>
      <c r="I938" s="30"/>
      <c r="J938" s="30"/>
      <c r="K938" s="31"/>
      <c r="L938" s="30"/>
      <c r="M938" s="30"/>
      <c r="N938" s="30"/>
      <c r="O938" s="30"/>
      <c r="P938" s="30"/>
      <c r="Q938" s="30"/>
      <c r="R938" s="30"/>
      <c r="S938" s="30"/>
      <c r="T938" s="30"/>
      <c r="U938" s="30"/>
      <c r="V938" s="30"/>
      <c r="W938" s="30"/>
      <c r="X938" s="30"/>
    </row>
    <row r="939">
      <c r="A939" s="30"/>
      <c r="B939" s="30"/>
      <c r="C939" s="30"/>
      <c r="D939" s="30"/>
      <c r="E939" s="30"/>
      <c r="F939" s="30"/>
      <c r="G939" s="30"/>
      <c r="H939" s="30"/>
      <c r="I939" s="30"/>
      <c r="J939" s="30"/>
      <c r="K939" s="31"/>
      <c r="L939" s="30"/>
      <c r="M939" s="30"/>
      <c r="N939" s="30"/>
      <c r="O939" s="30"/>
      <c r="P939" s="30"/>
      <c r="Q939" s="30"/>
      <c r="R939" s="30"/>
      <c r="S939" s="30"/>
      <c r="T939" s="30"/>
      <c r="U939" s="30"/>
      <c r="V939" s="30"/>
      <c r="W939" s="30"/>
      <c r="X939" s="30"/>
    </row>
    <row r="940">
      <c r="A940" s="30"/>
      <c r="B940" s="30"/>
      <c r="C940" s="30"/>
      <c r="D940" s="30"/>
      <c r="E940" s="30"/>
      <c r="F940" s="30"/>
      <c r="G940" s="30"/>
      <c r="H940" s="30"/>
      <c r="I940" s="30"/>
      <c r="J940" s="30"/>
      <c r="K940" s="31"/>
      <c r="L940" s="30"/>
      <c r="M940" s="30"/>
      <c r="N940" s="30"/>
      <c r="O940" s="30"/>
      <c r="P940" s="30"/>
      <c r="Q940" s="30"/>
      <c r="R940" s="30"/>
      <c r="S940" s="30"/>
      <c r="T940" s="30"/>
      <c r="U940" s="30"/>
      <c r="V940" s="30"/>
      <c r="W940" s="30"/>
      <c r="X940" s="30"/>
    </row>
    <row r="941">
      <c r="A941" s="30"/>
      <c r="B941" s="30"/>
      <c r="C941" s="30"/>
      <c r="D941" s="30"/>
      <c r="E941" s="30"/>
      <c r="F941" s="30"/>
      <c r="G941" s="30"/>
      <c r="H941" s="30"/>
      <c r="I941" s="30"/>
      <c r="J941" s="30"/>
      <c r="K941" s="31"/>
      <c r="L941" s="30"/>
      <c r="M941" s="30"/>
      <c r="N941" s="30"/>
      <c r="O941" s="30"/>
      <c r="P941" s="30"/>
      <c r="Q941" s="30"/>
      <c r="R941" s="30"/>
      <c r="S941" s="30"/>
      <c r="T941" s="30"/>
      <c r="U941" s="30"/>
      <c r="V941" s="30"/>
      <c r="W941" s="30"/>
      <c r="X941" s="30"/>
    </row>
    <row r="942">
      <c r="A942" s="30"/>
      <c r="B942" s="30"/>
      <c r="C942" s="30"/>
      <c r="D942" s="30"/>
      <c r="E942" s="30"/>
      <c r="F942" s="30"/>
      <c r="G942" s="30"/>
      <c r="H942" s="30"/>
      <c r="I942" s="30"/>
      <c r="J942" s="30"/>
      <c r="K942" s="31"/>
      <c r="L942" s="30"/>
      <c r="M942" s="30"/>
      <c r="N942" s="30"/>
      <c r="O942" s="30"/>
      <c r="P942" s="30"/>
      <c r="Q942" s="30"/>
      <c r="R942" s="30"/>
      <c r="S942" s="30"/>
      <c r="T942" s="30"/>
      <c r="U942" s="30"/>
      <c r="V942" s="30"/>
      <c r="W942" s="30"/>
      <c r="X942" s="30"/>
    </row>
    <row r="943">
      <c r="A943" s="30"/>
      <c r="B943" s="30"/>
      <c r="C943" s="30"/>
      <c r="D943" s="30"/>
      <c r="E943" s="30"/>
      <c r="F943" s="30"/>
      <c r="G943" s="30"/>
      <c r="H943" s="30"/>
      <c r="I943" s="30"/>
      <c r="J943" s="30"/>
      <c r="K943" s="31"/>
      <c r="L943" s="30"/>
      <c r="M943" s="30"/>
      <c r="N943" s="30"/>
      <c r="O943" s="30"/>
      <c r="P943" s="30"/>
      <c r="Q943" s="30"/>
      <c r="R943" s="30"/>
      <c r="S943" s="30"/>
      <c r="T943" s="30"/>
      <c r="U943" s="30"/>
      <c r="V943" s="30"/>
      <c r="W943" s="30"/>
      <c r="X943" s="30"/>
    </row>
    <row r="944">
      <c r="A944" s="30"/>
      <c r="B944" s="30"/>
      <c r="C944" s="30"/>
      <c r="D944" s="30"/>
      <c r="E944" s="30"/>
      <c r="F944" s="30"/>
      <c r="G944" s="30"/>
      <c r="H944" s="30"/>
      <c r="I944" s="30"/>
      <c r="J944" s="30"/>
      <c r="K944" s="35"/>
      <c r="L944" s="30"/>
      <c r="M944" s="30"/>
      <c r="N944" s="30"/>
      <c r="O944" s="30"/>
      <c r="P944" s="30"/>
      <c r="Q944" s="30"/>
      <c r="R944" s="30"/>
      <c r="S944" s="30"/>
      <c r="T944" s="30"/>
      <c r="U944" s="30"/>
      <c r="V944" s="30"/>
      <c r="W944" s="30"/>
      <c r="X944" s="30"/>
    </row>
    <row r="945">
      <c r="A945" s="30"/>
      <c r="B945" s="30"/>
      <c r="C945" s="30"/>
      <c r="D945" s="30"/>
      <c r="E945" s="30"/>
      <c r="F945" s="30"/>
      <c r="G945" s="30"/>
      <c r="H945" s="30"/>
      <c r="I945" s="30"/>
      <c r="J945" s="30"/>
      <c r="K945" s="31"/>
      <c r="L945" s="30"/>
      <c r="M945" s="30"/>
      <c r="N945" s="30"/>
      <c r="O945" s="30"/>
      <c r="P945" s="30"/>
      <c r="Q945" s="30"/>
      <c r="R945" s="30"/>
      <c r="S945" s="30"/>
      <c r="T945" s="30"/>
      <c r="U945" s="30"/>
      <c r="V945" s="30"/>
      <c r="W945" s="30"/>
      <c r="X945" s="30"/>
    </row>
    <row r="946">
      <c r="A946" s="30"/>
      <c r="B946" s="30"/>
      <c r="C946" s="30"/>
      <c r="D946" s="30"/>
      <c r="E946" s="30"/>
      <c r="F946" s="30"/>
      <c r="G946" s="30"/>
      <c r="H946" s="30"/>
      <c r="I946" s="30"/>
      <c r="J946" s="30"/>
      <c r="K946" s="31"/>
      <c r="L946" s="30"/>
      <c r="M946" s="30"/>
      <c r="N946" s="30"/>
      <c r="O946" s="30"/>
      <c r="P946" s="30"/>
      <c r="Q946" s="30"/>
      <c r="R946" s="30"/>
      <c r="S946" s="30"/>
      <c r="T946" s="30"/>
      <c r="U946" s="30"/>
      <c r="V946" s="30"/>
      <c r="W946" s="30"/>
      <c r="X946" s="30"/>
    </row>
    <row r="947">
      <c r="A947" s="30"/>
      <c r="B947" s="30"/>
      <c r="C947" s="30"/>
      <c r="D947" s="30"/>
      <c r="E947" s="30"/>
      <c r="F947" s="30"/>
      <c r="G947" s="30"/>
      <c r="H947" s="30"/>
      <c r="I947" s="30"/>
      <c r="J947" s="30"/>
      <c r="K947" s="31"/>
      <c r="L947" s="30"/>
      <c r="M947" s="30"/>
      <c r="N947" s="30"/>
      <c r="O947" s="30"/>
      <c r="P947" s="30"/>
      <c r="Q947" s="30"/>
      <c r="R947" s="30"/>
      <c r="S947" s="30"/>
      <c r="T947" s="30"/>
      <c r="U947" s="30"/>
      <c r="V947" s="30"/>
      <c r="W947" s="30"/>
      <c r="X947" s="30"/>
    </row>
    <row r="948">
      <c r="A948" s="30"/>
      <c r="B948" s="30"/>
      <c r="C948" s="30"/>
      <c r="D948" s="30"/>
      <c r="E948" s="30"/>
      <c r="F948" s="30"/>
      <c r="G948" s="30"/>
      <c r="H948" s="30"/>
      <c r="I948" s="30"/>
      <c r="J948" s="30"/>
      <c r="K948" s="31"/>
      <c r="L948" s="30"/>
      <c r="M948" s="30"/>
      <c r="N948" s="30"/>
      <c r="O948" s="30"/>
      <c r="P948" s="30"/>
      <c r="Q948" s="30"/>
      <c r="R948" s="30"/>
      <c r="S948" s="30"/>
      <c r="T948" s="30"/>
      <c r="U948" s="30"/>
      <c r="V948" s="30"/>
      <c r="W948" s="30"/>
      <c r="X948" s="30"/>
    </row>
    <row r="949">
      <c r="A949" s="30"/>
      <c r="B949" s="30"/>
      <c r="C949" s="30"/>
      <c r="D949" s="30"/>
      <c r="E949" s="30"/>
      <c r="F949" s="30"/>
      <c r="G949" s="30"/>
      <c r="H949" s="30"/>
      <c r="I949" s="30"/>
      <c r="J949" s="30"/>
      <c r="K949" s="31"/>
      <c r="L949" s="30"/>
      <c r="M949" s="30"/>
      <c r="N949" s="30"/>
      <c r="O949" s="30"/>
      <c r="P949" s="30"/>
      <c r="Q949" s="30"/>
      <c r="R949" s="30"/>
      <c r="S949" s="30"/>
      <c r="T949" s="30"/>
      <c r="U949" s="30"/>
      <c r="V949" s="30"/>
      <c r="W949" s="30"/>
      <c r="X949" s="30"/>
    </row>
    <row r="950">
      <c r="A950" s="30"/>
      <c r="B950" s="30"/>
      <c r="C950" s="30"/>
      <c r="D950" s="30"/>
      <c r="E950" s="30"/>
      <c r="F950" s="30"/>
      <c r="G950" s="30"/>
      <c r="H950" s="30"/>
      <c r="I950" s="30"/>
      <c r="J950" s="30"/>
      <c r="K950" s="31"/>
      <c r="L950" s="30"/>
      <c r="M950" s="30"/>
      <c r="N950" s="30"/>
      <c r="O950" s="30"/>
      <c r="P950" s="30"/>
      <c r="Q950" s="30"/>
      <c r="R950" s="30"/>
      <c r="S950" s="30"/>
      <c r="T950" s="30"/>
      <c r="U950" s="30"/>
      <c r="V950" s="30"/>
      <c r="W950" s="30"/>
      <c r="X950" s="30"/>
    </row>
    <row r="951">
      <c r="A951" s="30"/>
      <c r="B951" s="30"/>
      <c r="C951" s="30"/>
      <c r="D951" s="30"/>
      <c r="E951" s="30"/>
      <c r="F951" s="30"/>
      <c r="G951" s="30"/>
      <c r="H951" s="30"/>
      <c r="I951" s="30"/>
      <c r="J951" s="30"/>
      <c r="K951" s="31"/>
      <c r="L951" s="30"/>
      <c r="M951" s="30"/>
      <c r="N951" s="30"/>
      <c r="O951" s="30"/>
      <c r="P951" s="30"/>
      <c r="Q951" s="30"/>
      <c r="R951" s="30"/>
      <c r="S951" s="30"/>
      <c r="T951" s="30"/>
      <c r="U951" s="30"/>
      <c r="V951" s="30"/>
      <c r="W951" s="30"/>
      <c r="X951" s="30"/>
    </row>
    <row r="952">
      <c r="A952" s="30"/>
      <c r="B952" s="30"/>
      <c r="C952" s="30"/>
      <c r="D952" s="30"/>
      <c r="E952" s="30"/>
      <c r="F952" s="30"/>
      <c r="G952" s="30"/>
      <c r="H952" s="30"/>
      <c r="I952" s="30"/>
      <c r="J952" s="30"/>
      <c r="K952" s="31"/>
      <c r="L952" s="30"/>
      <c r="M952" s="30"/>
      <c r="N952" s="30"/>
      <c r="O952" s="30"/>
      <c r="P952" s="30"/>
      <c r="Q952" s="30"/>
      <c r="R952" s="30"/>
      <c r="S952" s="30"/>
      <c r="T952" s="30"/>
      <c r="U952" s="30"/>
      <c r="V952" s="30"/>
      <c r="W952" s="30"/>
      <c r="X952" s="30"/>
    </row>
    <row r="953">
      <c r="A953" s="30"/>
      <c r="B953" s="30"/>
      <c r="C953" s="30"/>
      <c r="D953" s="30"/>
      <c r="E953" s="30"/>
      <c r="F953" s="30"/>
      <c r="G953" s="30"/>
      <c r="H953" s="30"/>
      <c r="I953" s="30"/>
      <c r="J953" s="30"/>
      <c r="K953" s="31"/>
      <c r="L953" s="30"/>
      <c r="M953" s="30"/>
      <c r="N953" s="30"/>
      <c r="O953" s="30"/>
      <c r="P953" s="30"/>
      <c r="Q953" s="30"/>
      <c r="R953" s="30"/>
      <c r="S953" s="30"/>
      <c r="T953" s="30"/>
      <c r="U953" s="30"/>
      <c r="V953" s="30"/>
      <c r="W953" s="30"/>
      <c r="X953" s="30"/>
    </row>
    <row r="954">
      <c r="A954" s="30"/>
      <c r="B954" s="30"/>
      <c r="C954" s="30"/>
      <c r="D954" s="30"/>
      <c r="E954" s="30"/>
      <c r="F954" s="30"/>
      <c r="G954" s="30"/>
      <c r="H954" s="30"/>
      <c r="I954" s="30"/>
      <c r="J954" s="30"/>
      <c r="K954" s="31"/>
      <c r="L954" s="30"/>
      <c r="M954" s="30"/>
      <c r="N954" s="30"/>
      <c r="O954" s="30"/>
      <c r="P954" s="30"/>
      <c r="Q954" s="30"/>
      <c r="R954" s="30"/>
      <c r="S954" s="30"/>
      <c r="T954" s="30"/>
      <c r="U954" s="30"/>
      <c r="V954" s="30"/>
      <c r="W954" s="30"/>
      <c r="X954" s="30"/>
    </row>
    <row r="955">
      <c r="A955" s="30"/>
      <c r="B955" s="30"/>
      <c r="C955" s="30"/>
      <c r="D955" s="30"/>
      <c r="E955" s="30"/>
      <c r="F955" s="30"/>
      <c r="G955" s="30"/>
      <c r="H955" s="30"/>
      <c r="I955" s="30"/>
      <c r="J955" s="30"/>
      <c r="K955" s="31"/>
      <c r="L955" s="30"/>
      <c r="M955" s="30"/>
      <c r="N955" s="30"/>
      <c r="O955" s="30"/>
      <c r="P955" s="30"/>
      <c r="Q955" s="30"/>
      <c r="R955" s="30"/>
      <c r="S955" s="30"/>
      <c r="T955" s="30"/>
      <c r="U955" s="30"/>
      <c r="V955" s="30"/>
      <c r="W955" s="30"/>
      <c r="X955" s="30"/>
    </row>
    <row r="956">
      <c r="A956" s="30"/>
      <c r="B956" s="30"/>
      <c r="C956" s="30"/>
      <c r="D956" s="30"/>
      <c r="E956" s="30"/>
      <c r="F956" s="30"/>
      <c r="G956" s="30"/>
      <c r="H956" s="30"/>
      <c r="I956" s="30"/>
      <c r="J956" s="30"/>
      <c r="K956" s="31"/>
      <c r="L956" s="30"/>
      <c r="M956" s="30"/>
      <c r="N956" s="30"/>
      <c r="O956" s="30"/>
      <c r="P956" s="30"/>
      <c r="Q956" s="30"/>
      <c r="R956" s="30"/>
      <c r="S956" s="30"/>
      <c r="T956" s="30"/>
      <c r="U956" s="30"/>
      <c r="V956" s="30"/>
      <c r="W956" s="30"/>
      <c r="X956" s="30"/>
    </row>
    <row r="957">
      <c r="A957" s="30"/>
      <c r="B957" s="30"/>
      <c r="C957" s="30"/>
      <c r="D957" s="30"/>
      <c r="E957" s="30"/>
      <c r="F957" s="30"/>
      <c r="G957" s="30"/>
      <c r="H957" s="30"/>
      <c r="I957" s="30"/>
      <c r="J957" s="30"/>
      <c r="K957" s="31"/>
      <c r="L957" s="30"/>
      <c r="M957" s="30"/>
      <c r="N957" s="30"/>
      <c r="O957" s="30"/>
      <c r="P957" s="30"/>
      <c r="Q957" s="30"/>
      <c r="R957" s="30"/>
      <c r="S957" s="30"/>
      <c r="T957" s="30"/>
      <c r="U957" s="30"/>
      <c r="V957" s="30"/>
      <c r="W957" s="30"/>
      <c r="X957" s="30"/>
    </row>
    <row r="958">
      <c r="A958" s="30"/>
      <c r="B958" s="30"/>
      <c r="C958" s="30"/>
      <c r="D958" s="30"/>
      <c r="E958" s="30"/>
      <c r="F958" s="30"/>
      <c r="G958" s="30"/>
      <c r="H958" s="30"/>
      <c r="I958" s="30"/>
      <c r="J958" s="30"/>
      <c r="K958" s="31"/>
      <c r="L958" s="30"/>
      <c r="M958" s="30"/>
      <c r="N958" s="30"/>
      <c r="O958" s="30"/>
      <c r="P958" s="30"/>
      <c r="Q958" s="30"/>
      <c r="R958" s="30"/>
      <c r="S958" s="30"/>
      <c r="T958" s="30"/>
      <c r="U958" s="30"/>
      <c r="V958" s="30"/>
      <c r="W958" s="30"/>
      <c r="X958" s="30"/>
    </row>
    <row r="959">
      <c r="A959" s="30"/>
      <c r="B959" s="30"/>
      <c r="C959" s="30"/>
      <c r="D959" s="30"/>
      <c r="E959" s="30"/>
      <c r="F959" s="30"/>
      <c r="G959" s="30"/>
      <c r="H959" s="30"/>
      <c r="I959" s="30"/>
      <c r="J959" s="30"/>
      <c r="K959" s="31"/>
      <c r="L959" s="30"/>
      <c r="M959" s="30"/>
      <c r="N959" s="30"/>
      <c r="O959" s="30"/>
      <c r="P959" s="30"/>
      <c r="Q959" s="30"/>
      <c r="R959" s="30"/>
      <c r="S959" s="30"/>
      <c r="T959" s="30"/>
      <c r="U959" s="30"/>
      <c r="V959" s="30"/>
      <c r="W959" s="30"/>
      <c r="X959" s="30"/>
    </row>
    <row r="960">
      <c r="A960" s="30"/>
      <c r="B960" s="30"/>
      <c r="C960" s="30"/>
      <c r="D960" s="30"/>
      <c r="E960" s="30"/>
      <c r="F960" s="30"/>
      <c r="G960" s="30"/>
      <c r="H960" s="30"/>
      <c r="I960" s="30"/>
      <c r="J960" s="30"/>
      <c r="K960" s="31"/>
      <c r="L960" s="30"/>
      <c r="M960" s="30"/>
      <c r="N960" s="30"/>
      <c r="O960" s="30"/>
      <c r="P960" s="30"/>
      <c r="Q960" s="30"/>
      <c r="R960" s="30"/>
      <c r="S960" s="30"/>
      <c r="T960" s="30"/>
      <c r="U960" s="30"/>
      <c r="V960" s="30"/>
      <c r="W960" s="30"/>
      <c r="X960" s="30"/>
    </row>
    <row r="961">
      <c r="A961" s="30"/>
      <c r="B961" s="30"/>
      <c r="C961" s="30"/>
      <c r="D961" s="30"/>
      <c r="E961" s="30"/>
      <c r="F961" s="30"/>
      <c r="G961" s="30"/>
      <c r="H961" s="30"/>
      <c r="I961" s="30"/>
      <c r="J961" s="30"/>
      <c r="K961" s="31"/>
      <c r="L961" s="30"/>
      <c r="M961" s="30"/>
      <c r="N961" s="30"/>
      <c r="O961" s="30"/>
      <c r="P961" s="30"/>
      <c r="Q961" s="30"/>
      <c r="R961" s="30"/>
      <c r="S961" s="30"/>
      <c r="T961" s="30"/>
      <c r="U961" s="30"/>
      <c r="V961" s="30"/>
      <c r="W961" s="30"/>
      <c r="X961" s="30"/>
    </row>
    <row r="962">
      <c r="A962" s="30"/>
      <c r="B962" s="30"/>
      <c r="C962" s="30"/>
      <c r="D962" s="30"/>
      <c r="E962" s="30"/>
      <c r="F962" s="30"/>
      <c r="G962" s="30"/>
      <c r="H962" s="30"/>
      <c r="I962" s="30"/>
      <c r="J962" s="30"/>
      <c r="K962" s="31"/>
      <c r="L962" s="30"/>
      <c r="M962" s="30"/>
      <c r="N962" s="30"/>
      <c r="O962" s="30"/>
      <c r="P962" s="30"/>
      <c r="Q962" s="30"/>
      <c r="R962" s="30"/>
      <c r="S962" s="30"/>
      <c r="T962" s="30"/>
      <c r="U962" s="30"/>
      <c r="V962" s="30"/>
      <c r="W962" s="30"/>
      <c r="X962" s="30"/>
    </row>
    <row r="963">
      <c r="A963" s="30"/>
      <c r="B963" s="30"/>
      <c r="C963" s="30"/>
      <c r="D963" s="30"/>
      <c r="E963" s="30"/>
      <c r="F963" s="30"/>
      <c r="G963" s="30"/>
      <c r="H963" s="30"/>
      <c r="I963" s="30"/>
      <c r="J963" s="30"/>
      <c r="K963" s="31"/>
      <c r="L963" s="30"/>
      <c r="M963" s="30"/>
      <c r="N963" s="30"/>
      <c r="O963" s="30"/>
      <c r="P963" s="30"/>
      <c r="Q963" s="30"/>
      <c r="R963" s="30"/>
      <c r="S963" s="30"/>
      <c r="T963" s="30"/>
      <c r="U963" s="30"/>
      <c r="V963" s="30"/>
      <c r="W963" s="30"/>
      <c r="X963" s="30"/>
    </row>
    <row r="964">
      <c r="A964" s="30"/>
      <c r="B964" s="30"/>
      <c r="C964" s="30"/>
      <c r="D964" s="30"/>
      <c r="E964" s="30"/>
      <c r="F964" s="30"/>
      <c r="G964" s="30"/>
      <c r="H964" s="30"/>
      <c r="I964" s="30"/>
      <c r="J964" s="30"/>
      <c r="K964" s="31"/>
      <c r="L964" s="30"/>
      <c r="M964" s="30"/>
      <c r="N964" s="30"/>
      <c r="O964" s="30"/>
      <c r="P964" s="30"/>
      <c r="Q964" s="30"/>
      <c r="R964" s="30"/>
      <c r="S964" s="30"/>
      <c r="T964" s="30"/>
      <c r="U964" s="30"/>
      <c r="V964" s="30"/>
      <c r="W964" s="30"/>
      <c r="X964" s="30"/>
    </row>
    <row r="965">
      <c r="A965" s="30"/>
      <c r="B965" s="30"/>
      <c r="C965" s="30"/>
      <c r="D965" s="30"/>
      <c r="E965" s="30"/>
      <c r="F965" s="30"/>
      <c r="G965" s="30"/>
      <c r="H965" s="30"/>
      <c r="I965" s="30"/>
      <c r="J965" s="30"/>
      <c r="K965" s="31"/>
      <c r="L965" s="30"/>
      <c r="M965" s="30"/>
      <c r="N965" s="30"/>
      <c r="O965" s="30"/>
      <c r="P965" s="30"/>
      <c r="Q965" s="30"/>
      <c r="R965" s="30"/>
      <c r="S965" s="30"/>
      <c r="T965" s="30"/>
      <c r="U965" s="30"/>
      <c r="V965" s="30"/>
      <c r="W965" s="30"/>
      <c r="X965" s="30"/>
    </row>
    <row r="966">
      <c r="A966" s="30"/>
      <c r="B966" s="30"/>
      <c r="C966" s="30"/>
      <c r="D966" s="30"/>
      <c r="E966" s="30"/>
      <c r="F966" s="30"/>
      <c r="G966" s="30"/>
      <c r="H966" s="30"/>
      <c r="I966" s="30"/>
      <c r="J966" s="30"/>
      <c r="K966" s="31"/>
      <c r="L966" s="30"/>
      <c r="M966" s="30"/>
      <c r="N966" s="30"/>
      <c r="O966" s="30"/>
      <c r="P966" s="30"/>
      <c r="Q966" s="30"/>
      <c r="R966" s="30"/>
      <c r="S966" s="30"/>
      <c r="T966" s="30"/>
      <c r="U966" s="30"/>
      <c r="V966" s="30"/>
      <c r="W966" s="30"/>
      <c r="X966" s="30"/>
    </row>
    <row r="967">
      <c r="A967" s="30"/>
      <c r="B967" s="30"/>
      <c r="C967" s="30"/>
      <c r="D967" s="30"/>
      <c r="E967" s="30"/>
      <c r="F967" s="30"/>
      <c r="G967" s="30"/>
      <c r="H967" s="30"/>
      <c r="I967" s="30"/>
      <c r="J967" s="30"/>
      <c r="K967" s="31"/>
      <c r="L967" s="30"/>
      <c r="M967" s="30"/>
      <c r="N967" s="30"/>
      <c r="O967" s="30"/>
      <c r="P967" s="30"/>
      <c r="Q967" s="30"/>
      <c r="R967" s="30"/>
      <c r="S967" s="30"/>
      <c r="T967" s="30"/>
      <c r="U967" s="30"/>
      <c r="V967" s="30"/>
      <c r="W967" s="30"/>
      <c r="X967" s="30"/>
    </row>
    <row r="968">
      <c r="A968" s="30"/>
      <c r="B968" s="30"/>
      <c r="C968" s="30"/>
      <c r="D968" s="30"/>
      <c r="E968" s="30"/>
      <c r="F968" s="30"/>
      <c r="G968" s="30"/>
      <c r="H968" s="30"/>
      <c r="I968" s="30"/>
      <c r="J968" s="30"/>
      <c r="K968" s="31"/>
      <c r="L968" s="30"/>
      <c r="M968" s="30"/>
      <c r="N968" s="30"/>
      <c r="O968" s="30"/>
      <c r="P968" s="30"/>
      <c r="Q968" s="30"/>
      <c r="R968" s="30"/>
      <c r="S968" s="30"/>
      <c r="T968" s="30"/>
      <c r="U968" s="30"/>
      <c r="V968" s="30"/>
      <c r="W968" s="30"/>
      <c r="X968" s="30"/>
    </row>
    <row r="969">
      <c r="A969" s="30"/>
      <c r="B969" s="30"/>
      <c r="C969" s="30"/>
      <c r="D969" s="30"/>
      <c r="E969" s="30"/>
      <c r="F969" s="30"/>
      <c r="G969" s="30"/>
      <c r="H969" s="30"/>
      <c r="I969" s="30"/>
      <c r="J969" s="30"/>
      <c r="K969" s="31"/>
      <c r="L969" s="30"/>
      <c r="M969" s="30"/>
      <c r="N969" s="30"/>
      <c r="O969" s="30"/>
      <c r="P969" s="30"/>
      <c r="Q969" s="30"/>
      <c r="R969" s="30"/>
      <c r="S969" s="30"/>
      <c r="T969" s="30"/>
      <c r="U969" s="30"/>
      <c r="V969" s="30"/>
      <c r="W969" s="30"/>
      <c r="X969" s="30"/>
    </row>
    <row r="970">
      <c r="A970" s="30"/>
      <c r="B970" s="30"/>
      <c r="C970" s="30"/>
      <c r="D970" s="30"/>
      <c r="E970" s="30"/>
      <c r="F970" s="30"/>
      <c r="G970" s="30"/>
      <c r="H970" s="30"/>
      <c r="I970" s="30"/>
      <c r="J970" s="30"/>
      <c r="K970" s="31"/>
      <c r="L970" s="30"/>
      <c r="M970" s="30"/>
      <c r="N970" s="30"/>
      <c r="O970" s="30"/>
      <c r="P970" s="30"/>
      <c r="Q970" s="30"/>
      <c r="R970" s="30"/>
      <c r="S970" s="30"/>
      <c r="T970" s="30"/>
      <c r="U970" s="30"/>
      <c r="V970" s="30"/>
      <c r="W970" s="30"/>
      <c r="X970" s="30"/>
    </row>
    <row r="971">
      <c r="A971" s="30"/>
      <c r="B971" s="30"/>
      <c r="C971" s="30"/>
      <c r="D971" s="30"/>
      <c r="E971" s="30"/>
      <c r="F971" s="30"/>
      <c r="G971" s="30"/>
      <c r="H971" s="30"/>
      <c r="I971" s="30"/>
      <c r="J971" s="30"/>
      <c r="K971" s="31"/>
      <c r="L971" s="30"/>
      <c r="M971" s="30"/>
      <c r="N971" s="30"/>
      <c r="O971" s="30"/>
      <c r="P971" s="30"/>
      <c r="Q971" s="30"/>
      <c r="R971" s="30"/>
      <c r="S971" s="30"/>
      <c r="T971" s="30"/>
      <c r="U971" s="30"/>
      <c r="V971" s="30"/>
      <c r="W971" s="30"/>
      <c r="X971" s="30"/>
    </row>
    <row r="972">
      <c r="A972" s="30"/>
      <c r="B972" s="30"/>
      <c r="C972" s="30"/>
      <c r="D972" s="30"/>
      <c r="E972" s="30"/>
      <c r="F972" s="30"/>
      <c r="G972" s="30"/>
      <c r="H972" s="30"/>
      <c r="I972" s="30"/>
      <c r="J972" s="30"/>
      <c r="K972" s="31"/>
      <c r="L972" s="30"/>
      <c r="M972" s="30"/>
      <c r="N972" s="30"/>
      <c r="O972" s="30"/>
      <c r="P972" s="30"/>
      <c r="Q972" s="30"/>
      <c r="R972" s="30"/>
      <c r="S972" s="30"/>
      <c r="T972" s="30"/>
      <c r="U972" s="30"/>
      <c r="V972" s="30"/>
      <c r="W972" s="30"/>
      <c r="X972" s="30"/>
    </row>
    <row r="973">
      <c r="A973" s="30"/>
      <c r="B973" s="30"/>
      <c r="C973" s="30"/>
      <c r="D973" s="30"/>
      <c r="E973" s="30"/>
      <c r="F973" s="30"/>
      <c r="G973" s="30"/>
      <c r="H973" s="30"/>
      <c r="I973" s="30"/>
      <c r="J973" s="30"/>
      <c r="K973" s="31"/>
      <c r="L973" s="30"/>
      <c r="M973" s="30"/>
      <c r="N973" s="30"/>
      <c r="O973" s="30"/>
      <c r="P973" s="30"/>
      <c r="Q973" s="30"/>
      <c r="R973" s="30"/>
      <c r="S973" s="30"/>
      <c r="T973" s="30"/>
      <c r="U973" s="30"/>
      <c r="V973" s="30"/>
      <c r="W973" s="30"/>
      <c r="X973" s="30"/>
    </row>
    <row r="974">
      <c r="A974" s="30"/>
      <c r="B974" s="30"/>
      <c r="C974" s="30"/>
      <c r="D974" s="30"/>
      <c r="E974" s="30"/>
      <c r="F974" s="30"/>
      <c r="G974" s="30"/>
      <c r="H974" s="30"/>
      <c r="I974" s="30"/>
      <c r="J974" s="30"/>
      <c r="K974" s="31"/>
      <c r="L974" s="30"/>
      <c r="M974" s="30"/>
      <c r="N974" s="30"/>
      <c r="O974" s="30"/>
      <c r="P974" s="30"/>
      <c r="Q974" s="30"/>
      <c r="R974" s="30"/>
      <c r="S974" s="30"/>
      <c r="T974" s="30"/>
      <c r="U974" s="30"/>
      <c r="V974" s="30"/>
      <c r="W974" s="30"/>
      <c r="X974" s="30"/>
    </row>
    <row r="975">
      <c r="A975" s="30"/>
      <c r="B975" s="30"/>
      <c r="C975" s="30"/>
      <c r="D975" s="30"/>
      <c r="E975" s="30"/>
      <c r="F975" s="30"/>
      <c r="G975" s="30"/>
      <c r="H975" s="30"/>
      <c r="I975" s="30"/>
      <c r="J975" s="30"/>
      <c r="K975" s="31"/>
      <c r="L975" s="30"/>
      <c r="M975" s="30"/>
      <c r="N975" s="30"/>
      <c r="O975" s="30"/>
      <c r="P975" s="30"/>
      <c r="Q975" s="30"/>
      <c r="R975" s="30"/>
      <c r="S975" s="30"/>
      <c r="T975" s="30"/>
      <c r="U975" s="30"/>
      <c r="V975" s="30"/>
      <c r="W975" s="30"/>
      <c r="X975" s="30"/>
    </row>
    <row r="976">
      <c r="A976" s="30"/>
      <c r="B976" s="30"/>
      <c r="C976" s="30"/>
      <c r="D976" s="30"/>
      <c r="E976" s="30"/>
      <c r="F976" s="30"/>
      <c r="G976" s="30"/>
      <c r="H976" s="30"/>
      <c r="I976" s="30"/>
      <c r="J976" s="30"/>
      <c r="K976" s="31"/>
      <c r="L976" s="30"/>
      <c r="M976" s="30"/>
      <c r="N976" s="30"/>
      <c r="O976" s="30"/>
      <c r="P976" s="30"/>
      <c r="Q976" s="30"/>
      <c r="R976" s="30"/>
      <c r="S976" s="30"/>
      <c r="T976" s="30"/>
      <c r="U976" s="30"/>
      <c r="V976" s="30"/>
      <c r="W976" s="30"/>
      <c r="X976" s="30"/>
    </row>
    <row r="977">
      <c r="A977" s="30"/>
      <c r="B977" s="30"/>
      <c r="C977" s="30"/>
      <c r="D977" s="30"/>
      <c r="E977" s="30"/>
      <c r="F977" s="30"/>
      <c r="G977" s="30"/>
      <c r="H977" s="30"/>
      <c r="I977" s="30"/>
      <c r="J977" s="30"/>
      <c r="K977" s="31"/>
      <c r="L977" s="30"/>
      <c r="M977" s="30"/>
      <c r="N977" s="30"/>
      <c r="O977" s="30"/>
      <c r="P977" s="30"/>
      <c r="Q977" s="30"/>
      <c r="R977" s="30"/>
      <c r="S977" s="30"/>
      <c r="T977" s="30"/>
      <c r="U977" s="30"/>
      <c r="V977" s="30"/>
      <c r="W977" s="30"/>
      <c r="X977" s="30"/>
    </row>
    <row r="978">
      <c r="A978" s="30"/>
      <c r="B978" s="30"/>
      <c r="C978" s="30"/>
      <c r="D978" s="30"/>
      <c r="E978" s="30"/>
      <c r="F978" s="30"/>
      <c r="G978" s="30"/>
      <c r="H978" s="30"/>
      <c r="I978" s="30"/>
      <c r="J978" s="30"/>
      <c r="K978" s="31"/>
      <c r="L978" s="30"/>
      <c r="M978" s="30"/>
      <c r="N978" s="30"/>
      <c r="O978" s="30"/>
      <c r="P978" s="30"/>
      <c r="Q978" s="30"/>
      <c r="R978" s="30"/>
      <c r="S978" s="30"/>
      <c r="T978" s="30"/>
      <c r="U978" s="30"/>
      <c r="V978" s="30"/>
      <c r="W978" s="30"/>
      <c r="X978" s="30"/>
    </row>
    <row r="979">
      <c r="A979" s="30"/>
      <c r="B979" s="30"/>
      <c r="C979" s="30"/>
      <c r="D979" s="30"/>
      <c r="E979" s="30"/>
      <c r="F979" s="30"/>
      <c r="G979" s="30"/>
      <c r="H979" s="30"/>
      <c r="I979" s="30"/>
      <c r="J979" s="30"/>
      <c r="K979" s="31"/>
      <c r="L979" s="30"/>
      <c r="M979" s="30"/>
      <c r="N979" s="30"/>
      <c r="O979" s="30"/>
      <c r="P979" s="30"/>
      <c r="Q979" s="30"/>
      <c r="R979" s="30"/>
      <c r="S979" s="30"/>
      <c r="T979" s="30"/>
      <c r="U979" s="30"/>
      <c r="V979" s="30"/>
      <c r="W979" s="30"/>
      <c r="X979" s="30"/>
    </row>
    <row r="980">
      <c r="A980" s="30"/>
      <c r="B980" s="30"/>
      <c r="C980" s="30"/>
      <c r="D980" s="30"/>
      <c r="E980" s="30"/>
      <c r="F980" s="30"/>
      <c r="G980" s="30"/>
      <c r="H980" s="30"/>
      <c r="I980" s="30"/>
      <c r="J980" s="30"/>
      <c r="K980" s="31"/>
      <c r="L980" s="30"/>
      <c r="M980" s="30"/>
      <c r="N980" s="30"/>
      <c r="O980" s="30"/>
      <c r="P980" s="30"/>
      <c r="Q980" s="30"/>
      <c r="R980" s="30"/>
      <c r="S980" s="30"/>
      <c r="T980" s="30"/>
      <c r="U980" s="30"/>
      <c r="V980" s="30"/>
      <c r="W980" s="30"/>
      <c r="X980" s="30"/>
    </row>
    <row r="981">
      <c r="A981" s="30"/>
      <c r="B981" s="30"/>
      <c r="C981" s="30"/>
      <c r="D981" s="30"/>
      <c r="E981" s="30"/>
      <c r="F981" s="30"/>
      <c r="G981" s="30"/>
      <c r="H981" s="30"/>
      <c r="I981" s="30"/>
      <c r="J981" s="30"/>
      <c r="K981" s="31"/>
      <c r="L981" s="30"/>
      <c r="M981" s="30"/>
      <c r="N981" s="30"/>
      <c r="O981" s="30"/>
      <c r="P981" s="30"/>
      <c r="Q981" s="30"/>
      <c r="R981" s="30"/>
      <c r="S981" s="30"/>
      <c r="T981" s="30"/>
      <c r="U981" s="30"/>
      <c r="V981" s="30"/>
      <c r="W981" s="30"/>
      <c r="X981" s="30"/>
    </row>
    <row r="982">
      <c r="A982" s="30"/>
      <c r="B982" s="30"/>
      <c r="C982" s="30"/>
      <c r="D982" s="30"/>
      <c r="E982" s="30"/>
      <c r="F982" s="30"/>
      <c r="G982" s="30"/>
      <c r="H982" s="30"/>
      <c r="I982" s="30"/>
      <c r="J982" s="30"/>
      <c r="K982" s="31"/>
      <c r="L982" s="30"/>
      <c r="M982" s="30"/>
      <c r="N982" s="30"/>
      <c r="O982" s="30"/>
      <c r="P982" s="30"/>
      <c r="Q982" s="30"/>
      <c r="R982" s="30"/>
      <c r="S982" s="30"/>
      <c r="T982" s="30"/>
      <c r="U982" s="30"/>
      <c r="V982" s="30"/>
      <c r="W982" s="30"/>
      <c r="X982" s="30"/>
    </row>
    <row r="983">
      <c r="A983" s="30"/>
      <c r="B983" s="30"/>
      <c r="C983" s="30"/>
      <c r="D983" s="30"/>
      <c r="E983" s="30"/>
      <c r="F983" s="30"/>
      <c r="G983" s="30"/>
      <c r="H983" s="30"/>
      <c r="I983" s="30"/>
      <c r="J983" s="30"/>
      <c r="K983" s="31"/>
      <c r="L983" s="30"/>
      <c r="M983" s="30"/>
      <c r="N983" s="30"/>
      <c r="O983" s="30"/>
      <c r="P983" s="30"/>
      <c r="Q983" s="30"/>
      <c r="R983" s="30"/>
      <c r="S983" s="30"/>
      <c r="T983" s="30"/>
      <c r="U983" s="30"/>
      <c r="V983" s="30"/>
      <c r="W983" s="30"/>
      <c r="X983" s="30"/>
    </row>
    <row r="984">
      <c r="A984" s="30"/>
      <c r="B984" s="30"/>
      <c r="C984" s="30"/>
      <c r="D984" s="30"/>
      <c r="E984" s="30"/>
      <c r="F984" s="30"/>
      <c r="G984" s="30"/>
      <c r="H984" s="30"/>
      <c r="I984" s="30"/>
      <c r="J984" s="30"/>
      <c r="K984" s="35"/>
      <c r="L984" s="30"/>
      <c r="M984" s="30"/>
      <c r="N984" s="30"/>
      <c r="O984" s="30"/>
      <c r="P984" s="30"/>
      <c r="Q984" s="30"/>
      <c r="R984" s="30"/>
      <c r="S984" s="30"/>
      <c r="T984" s="30"/>
      <c r="U984" s="30"/>
      <c r="V984" s="30"/>
      <c r="W984" s="30"/>
      <c r="X984" s="30"/>
    </row>
    <row r="985">
      <c r="A985" s="30"/>
      <c r="B985" s="30"/>
      <c r="C985" s="30"/>
      <c r="D985" s="30"/>
      <c r="E985" s="30"/>
      <c r="F985" s="30"/>
      <c r="G985" s="30"/>
      <c r="H985" s="30"/>
      <c r="I985" s="30"/>
      <c r="J985" s="30"/>
      <c r="K985" s="31"/>
      <c r="L985" s="30"/>
      <c r="M985" s="30"/>
      <c r="N985" s="30"/>
      <c r="O985" s="30"/>
      <c r="P985" s="30"/>
      <c r="Q985" s="30"/>
      <c r="R985" s="30"/>
      <c r="S985" s="30"/>
      <c r="T985" s="30"/>
      <c r="U985" s="30"/>
      <c r="V985" s="30"/>
      <c r="W985" s="30"/>
      <c r="X985" s="30"/>
    </row>
    <row r="986">
      <c r="A986" s="30"/>
      <c r="B986" s="30"/>
      <c r="C986" s="30"/>
      <c r="D986" s="30"/>
      <c r="E986" s="30"/>
      <c r="F986" s="30"/>
      <c r="G986" s="30"/>
      <c r="H986" s="30"/>
      <c r="I986" s="30"/>
      <c r="J986" s="30"/>
      <c r="K986" s="31"/>
      <c r="L986" s="30"/>
      <c r="M986" s="30"/>
      <c r="N986" s="30"/>
      <c r="O986" s="30"/>
      <c r="P986" s="30"/>
      <c r="Q986" s="30"/>
      <c r="R986" s="30"/>
      <c r="S986" s="30"/>
      <c r="T986" s="30"/>
      <c r="U986" s="30"/>
      <c r="V986" s="30"/>
      <c r="W986" s="30"/>
      <c r="X986" s="30"/>
    </row>
    <row r="987">
      <c r="A987" s="30"/>
      <c r="B987" s="30"/>
      <c r="C987" s="30"/>
      <c r="D987" s="30"/>
      <c r="E987" s="30"/>
      <c r="F987" s="30"/>
      <c r="G987" s="30"/>
      <c r="H987" s="30"/>
      <c r="I987" s="30"/>
      <c r="J987" s="30"/>
      <c r="K987" s="31"/>
      <c r="L987" s="30"/>
      <c r="M987" s="30"/>
      <c r="N987" s="30"/>
      <c r="O987" s="30"/>
      <c r="P987" s="30"/>
      <c r="Q987" s="30"/>
      <c r="R987" s="30"/>
      <c r="S987" s="30"/>
      <c r="T987" s="30"/>
      <c r="U987" s="30"/>
      <c r="V987" s="30"/>
      <c r="W987" s="30"/>
      <c r="X987" s="30"/>
    </row>
    <row r="988">
      <c r="A988" s="30"/>
      <c r="B988" s="30"/>
      <c r="C988" s="30"/>
      <c r="D988" s="30"/>
      <c r="E988" s="30"/>
      <c r="F988" s="30"/>
      <c r="G988" s="30"/>
      <c r="H988" s="30"/>
      <c r="I988" s="30"/>
      <c r="J988" s="30"/>
      <c r="K988" s="31"/>
      <c r="L988" s="30"/>
      <c r="M988" s="30"/>
      <c r="N988" s="30"/>
      <c r="O988" s="30"/>
      <c r="P988" s="30"/>
      <c r="Q988" s="30"/>
      <c r="R988" s="30"/>
      <c r="S988" s="30"/>
      <c r="T988" s="30"/>
      <c r="U988" s="30"/>
      <c r="V988" s="30"/>
      <c r="W988" s="30"/>
      <c r="X988" s="30"/>
    </row>
    <row r="989">
      <c r="A989" s="30"/>
      <c r="B989" s="30"/>
      <c r="C989" s="30"/>
      <c r="D989" s="30"/>
      <c r="E989" s="30"/>
      <c r="F989" s="30"/>
      <c r="G989" s="30"/>
      <c r="H989" s="30"/>
      <c r="I989" s="30"/>
      <c r="J989" s="30"/>
      <c r="K989" s="31"/>
      <c r="L989" s="30"/>
      <c r="M989" s="30"/>
      <c r="N989" s="30"/>
      <c r="O989" s="30"/>
      <c r="P989" s="30"/>
      <c r="Q989" s="30"/>
      <c r="R989" s="30"/>
      <c r="S989" s="30"/>
      <c r="T989" s="30"/>
      <c r="U989" s="30"/>
      <c r="V989" s="30"/>
      <c r="W989" s="30"/>
      <c r="X989" s="30"/>
    </row>
    <row r="990">
      <c r="A990" s="30"/>
      <c r="B990" s="30"/>
      <c r="C990" s="30"/>
      <c r="D990" s="30"/>
      <c r="E990" s="30"/>
      <c r="F990" s="30"/>
      <c r="G990" s="30"/>
      <c r="H990" s="30"/>
      <c r="I990" s="30"/>
      <c r="J990" s="30"/>
      <c r="K990" s="31"/>
      <c r="L990" s="30"/>
      <c r="M990" s="30"/>
      <c r="N990" s="30"/>
      <c r="O990" s="30"/>
      <c r="P990" s="30"/>
      <c r="Q990" s="30"/>
      <c r="R990" s="30"/>
      <c r="S990" s="30"/>
      <c r="T990" s="30"/>
      <c r="U990" s="30"/>
      <c r="V990" s="30"/>
      <c r="W990" s="30"/>
      <c r="X990" s="30"/>
    </row>
    <row r="991">
      <c r="A991" s="30"/>
      <c r="B991" s="30"/>
      <c r="C991" s="30"/>
      <c r="D991" s="30"/>
      <c r="E991" s="30"/>
      <c r="F991" s="30"/>
      <c r="G991" s="30"/>
      <c r="H991" s="30"/>
      <c r="I991" s="30"/>
      <c r="J991" s="30"/>
      <c r="K991" s="31"/>
      <c r="L991" s="30"/>
      <c r="M991" s="30"/>
      <c r="N991" s="30"/>
      <c r="O991" s="30"/>
      <c r="P991" s="30"/>
      <c r="Q991" s="30"/>
      <c r="R991" s="30"/>
      <c r="S991" s="30"/>
      <c r="T991" s="30"/>
      <c r="U991" s="30"/>
      <c r="V991" s="30"/>
      <c r="W991" s="30"/>
      <c r="X991" s="30"/>
    </row>
    <row r="992">
      <c r="A992" s="30"/>
      <c r="B992" s="30"/>
      <c r="C992" s="30"/>
      <c r="D992" s="30"/>
      <c r="E992" s="30"/>
      <c r="F992" s="30"/>
      <c r="G992" s="30"/>
      <c r="H992" s="30"/>
      <c r="I992" s="30"/>
      <c r="J992" s="30"/>
      <c r="K992" s="31"/>
      <c r="L992" s="30"/>
      <c r="M992" s="30"/>
      <c r="N992" s="30"/>
      <c r="O992" s="30"/>
      <c r="P992" s="30"/>
      <c r="Q992" s="30"/>
      <c r="R992" s="30"/>
      <c r="S992" s="30"/>
      <c r="T992" s="30"/>
      <c r="U992" s="30"/>
      <c r="V992" s="30"/>
      <c r="W992" s="30"/>
      <c r="X992" s="30"/>
    </row>
    <row r="993">
      <c r="A993" s="30"/>
      <c r="B993" s="30"/>
      <c r="C993" s="30"/>
      <c r="D993" s="30"/>
      <c r="E993" s="30"/>
      <c r="F993" s="30"/>
      <c r="G993" s="30"/>
      <c r="H993" s="30"/>
      <c r="I993" s="30"/>
      <c r="J993" s="30"/>
      <c r="K993" s="31"/>
      <c r="L993" s="30"/>
      <c r="M993" s="30"/>
      <c r="N993" s="30"/>
      <c r="O993" s="30"/>
      <c r="P993" s="30"/>
      <c r="Q993" s="30"/>
      <c r="R993" s="30"/>
      <c r="S993" s="30"/>
      <c r="T993" s="30"/>
      <c r="U993" s="30"/>
      <c r="V993" s="30"/>
      <c r="W993" s="30"/>
      <c r="X993" s="30"/>
    </row>
    <row r="994">
      <c r="A994" s="30"/>
      <c r="B994" s="30"/>
      <c r="C994" s="30"/>
      <c r="D994" s="30"/>
      <c r="E994" s="30"/>
      <c r="F994" s="30"/>
      <c r="G994" s="30"/>
      <c r="H994" s="30"/>
      <c r="I994" s="30"/>
      <c r="J994" s="30"/>
      <c r="K994" s="31"/>
      <c r="L994" s="30"/>
      <c r="M994" s="30"/>
      <c r="N994" s="30"/>
      <c r="O994" s="30"/>
      <c r="P994" s="30"/>
      <c r="Q994" s="30"/>
      <c r="R994" s="30"/>
      <c r="S994" s="30"/>
      <c r="T994" s="30"/>
      <c r="U994" s="30"/>
      <c r="V994" s="30"/>
      <c r="W994" s="30"/>
      <c r="X994" s="30"/>
    </row>
    <row r="995">
      <c r="A995" s="30"/>
      <c r="B995" s="30"/>
      <c r="C995" s="30"/>
      <c r="D995" s="30"/>
      <c r="E995" s="30"/>
      <c r="F995" s="30"/>
      <c r="G995" s="30"/>
      <c r="H995" s="30"/>
      <c r="I995" s="30"/>
      <c r="J995" s="30"/>
      <c r="K995" s="31"/>
      <c r="L995" s="30"/>
      <c r="M995" s="30"/>
      <c r="N995" s="30"/>
      <c r="O995" s="30"/>
      <c r="P995" s="30"/>
      <c r="Q995" s="30"/>
      <c r="R995" s="30"/>
      <c r="S995" s="30"/>
      <c r="T995" s="30"/>
      <c r="U995" s="30"/>
      <c r="V995" s="30"/>
      <c r="W995" s="30"/>
      <c r="X995" s="30"/>
    </row>
    <row r="996">
      <c r="A996" s="30"/>
      <c r="B996" s="30"/>
      <c r="C996" s="30"/>
      <c r="D996" s="30"/>
      <c r="E996" s="30"/>
      <c r="F996" s="30"/>
      <c r="G996" s="30"/>
      <c r="H996" s="30"/>
      <c r="I996" s="30"/>
      <c r="J996" s="30"/>
      <c r="K996" s="31"/>
      <c r="L996" s="30"/>
      <c r="M996" s="30"/>
      <c r="N996" s="30"/>
      <c r="O996" s="30"/>
      <c r="P996" s="30"/>
      <c r="Q996" s="30"/>
      <c r="R996" s="30"/>
      <c r="S996" s="30"/>
      <c r="T996" s="30"/>
      <c r="U996" s="30"/>
      <c r="V996" s="30"/>
      <c r="W996" s="30"/>
      <c r="X996" s="30"/>
    </row>
    <row r="997">
      <c r="A997" s="30"/>
      <c r="B997" s="30"/>
      <c r="C997" s="30"/>
      <c r="D997" s="30"/>
      <c r="E997" s="30"/>
      <c r="F997" s="30"/>
      <c r="G997" s="30"/>
      <c r="H997" s="30"/>
      <c r="I997" s="30"/>
      <c r="J997" s="30"/>
      <c r="K997" s="31"/>
      <c r="L997" s="30"/>
      <c r="M997" s="30"/>
      <c r="N997" s="30"/>
      <c r="O997" s="30"/>
      <c r="P997" s="30"/>
      <c r="Q997" s="30"/>
      <c r="R997" s="30"/>
      <c r="S997" s="30"/>
      <c r="T997" s="30"/>
      <c r="U997" s="30"/>
      <c r="V997" s="30"/>
      <c r="W997" s="30"/>
      <c r="X997" s="30"/>
    </row>
    <row r="998">
      <c r="A998" s="30"/>
      <c r="B998" s="30"/>
      <c r="C998" s="30"/>
      <c r="D998" s="30"/>
      <c r="E998" s="30"/>
      <c r="F998" s="30"/>
      <c r="G998" s="30"/>
      <c r="H998" s="30"/>
      <c r="I998" s="30"/>
      <c r="J998" s="30"/>
      <c r="K998" s="31"/>
      <c r="L998" s="30"/>
      <c r="M998" s="30"/>
      <c r="N998" s="30"/>
      <c r="O998" s="30"/>
      <c r="P998" s="30"/>
      <c r="Q998" s="30"/>
      <c r="R998" s="30"/>
      <c r="S998" s="30"/>
      <c r="T998" s="30"/>
      <c r="U998" s="30"/>
      <c r="V998" s="30"/>
      <c r="W998" s="30"/>
      <c r="X998" s="30"/>
    </row>
    <row r="999">
      <c r="A999" s="30"/>
      <c r="B999" s="30"/>
      <c r="C999" s="30"/>
      <c r="D999" s="30"/>
      <c r="E999" s="30"/>
      <c r="F999" s="30"/>
      <c r="G999" s="30"/>
      <c r="H999" s="30"/>
      <c r="I999" s="30"/>
      <c r="J999" s="30"/>
      <c r="K999" s="31"/>
      <c r="L999" s="30"/>
      <c r="M999" s="30"/>
      <c r="N999" s="30"/>
      <c r="O999" s="30"/>
      <c r="P999" s="30"/>
      <c r="Q999" s="30"/>
      <c r="R999" s="30"/>
      <c r="S999" s="30"/>
      <c r="T999" s="30"/>
      <c r="U999" s="30"/>
      <c r="V999" s="30"/>
      <c r="W999" s="30"/>
      <c r="X999" s="30"/>
    </row>
    <row r="1000">
      <c r="A1000" s="30"/>
      <c r="B1000" s="30"/>
      <c r="C1000" s="30"/>
      <c r="D1000" s="30"/>
      <c r="E1000" s="30"/>
      <c r="F1000" s="30"/>
      <c r="G1000" s="30"/>
      <c r="H1000" s="30"/>
      <c r="I1000" s="30"/>
      <c r="J1000" s="30"/>
      <c r="K1000" s="31"/>
      <c r="L1000" s="30"/>
      <c r="M1000" s="30"/>
      <c r="N1000" s="30"/>
      <c r="O1000" s="30"/>
      <c r="P1000" s="30"/>
      <c r="Q1000" s="30"/>
      <c r="R1000" s="30"/>
      <c r="S1000" s="30"/>
      <c r="T1000" s="30"/>
      <c r="U1000" s="30"/>
      <c r="V1000" s="30"/>
      <c r="W1000" s="30"/>
      <c r="X1000" s="30"/>
    </row>
    <row r="1001">
      <c r="A1001" s="32"/>
      <c r="B1001" s="31"/>
      <c r="C1001" s="31"/>
      <c r="D1001" s="31"/>
      <c r="E1001" s="31"/>
      <c r="F1001" s="34"/>
      <c r="G1001" s="34"/>
      <c r="H1001" s="34"/>
      <c r="I1001" s="34"/>
      <c r="J1001" s="31"/>
      <c r="K1001" s="31"/>
      <c r="L1001" s="30"/>
      <c r="M1001" s="30"/>
      <c r="N1001" s="30"/>
      <c r="O1001" s="30"/>
      <c r="P1001" s="30"/>
      <c r="Q1001" s="30"/>
      <c r="R1001" s="30"/>
      <c r="S1001" s="30"/>
      <c r="T1001" s="30"/>
      <c r="U1001" s="30"/>
      <c r="V1001" s="30"/>
      <c r="W1001" s="30"/>
      <c r="X1001" s="30"/>
    </row>
    <row r="1002">
      <c r="A1002" s="32"/>
      <c r="B1002" s="31"/>
      <c r="C1002" s="31"/>
      <c r="D1002" s="31"/>
      <c r="E1002" s="31"/>
      <c r="F1002" s="34"/>
      <c r="G1002" s="34"/>
      <c r="H1002" s="34"/>
      <c r="I1002" s="34"/>
      <c r="J1002" s="31"/>
      <c r="K1002" s="31"/>
      <c r="L1002" s="30"/>
      <c r="M1002" s="30"/>
      <c r="N1002" s="30"/>
      <c r="O1002" s="30"/>
      <c r="P1002" s="30"/>
      <c r="Q1002" s="30"/>
      <c r="R1002" s="30"/>
      <c r="S1002" s="30"/>
      <c r="T1002" s="30"/>
      <c r="U1002" s="30"/>
      <c r="V1002" s="30"/>
      <c r="W1002" s="30"/>
      <c r="X1002" s="30"/>
    </row>
    <row r="1003">
      <c r="A1003" s="32"/>
      <c r="B1003" s="31"/>
      <c r="C1003" s="31"/>
      <c r="D1003" s="31"/>
      <c r="E1003" s="31"/>
      <c r="F1003" s="34"/>
      <c r="G1003" s="34"/>
      <c r="H1003" s="34"/>
      <c r="I1003" s="34"/>
      <c r="J1003" s="31"/>
      <c r="K1003" s="31"/>
      <c r="L1003" s="30"/>
      <c r="M1003" s="30"/>
      <c r="N1003" s="30"/>
      <c r="O1003" s="30"/>
      <c r="P1003" s="30"/>
      <c r="Q1003" s="30"/>
      <c r="R1003" s="30"/>
      <c r="S1003" s="30"/>
      <c r="T1003" s="30"/>
      <c r="U1003" s="30"/>
      <c r="V1003" s="30"/>
      <c r="W1003" s="30"/>
      <c r="X1003" s="3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7.13"/>
    <col customWidth="1" min="3" max="3" width="22.75"/>
    <col customWidth="1" min="4" max="4" width="7.13"/>
    <col customWidth="1" min="5" max="5" width="34.0"/>
    <col customWidth="1" min="6" max="6" width="7.0"/>
    <col customWidth="1" min="7" max="7" width="19.0"/>
    <col customWidth="1" min="8" max="8" width="7.63"/>
    <col customWidth="1" min="9" max="9" width="18.75"/>
    <col customWidth="1" min="10" max="10" width="23.63"/>
  </cols>
  <sheetData>
    <row r="1">
      <c r="A1" s="46" t="s">
        <v>1131</v>
      </c>
      <c r="B1" s="47" t="s">
        <v>1132</v>
      </c>
      <c r="C1" s="46" t="s">
        <v>2</v>
      </c>
      <c r="D1" s="47" t="s">
        <v>1132</v>
      </c>
      <c r="E1" s="46" t="s">
        <v>1133</v>
      </c>
      <c r="F1" s="47" t="s">
        <v>1132</v>
      </c>
      <c r="G1" s="47" t="s">
        <v>1134</v>
      </c>
      <c r="H1" s="48" t="s">
        <v>4</v>
      </c>
      <c r="I1" s="47" t="s">
        <v>1135</v>
      </c>
      <c r="J1" s="49"/>
      <c r="K1" s="50"/>
      <c r="L1" s="50"/>
      <c r="M1" s="50"/>
      <c r="N1" s="50"/>
      <c r="O1" s="50"/>
      <c r="P1" s="50"/>
      <c r="Q1" s="50"/>
      <c r="R1" s="50"/>
      <c r="S1" s="50"/>
      <c r="T1" s="50"/>
      <c r="U1" s="50"/>
      <c r="V1" s="50"/>
      <c r="W1" s="50"/>
    </row>
    <row r="2">
      <c r="A2" s="51" t="s">
        <v>311</v>
      </c>
      <c r="B2" s="46" t="s">
        <v>1136</v>
      </c>
      <c r="C2" s="51" t="s">
        <v>1017</v>
      </c>
      <c r="D2" s="46" t="s">
        <v>1137</v>
      </c>
      <c r="E2" s="51" t="s">
        <v>77</v>
      </c>
      <c r="F2" s="46" t="s">
        <v>1138</v>
      </c>
      <c r="G2" s="52" t="s">
        <v>1139</v>
      </c>
      <c r="H2" s="53" t="s">
        <v>19</v>
      </c>
      <c r="I2" s="54" t="s">
        <v>1140</v>
      </c>
      <c r="J2" s="21"/>
      <c r="K2" s="50"/>
      <c r="L2" s="50"/>
      <c r="M2" s="50"/>
      <c r="N2" s="50"/>
      <c r="O2" s="50"/>
      <c r="P2" s="50"/>
      <c r="Q2" s="50"/>
      <c r="R2" s="50"/>
      <c r="S2" s="50"/>
      <c r="T2" s="50"/>
      <c r="U2" s="50"/>
      <c r="V2" s="50"/>
      <c r="W2" s="50"/>
    </row>
    <row r="3">
      <c r="A3" s="51" t="s">
        <v>117</v>
      </c>
      <c r="B3" s="46" t="s">
        <v>1141</v>
      </c>
      <c r="C3" s="51" t="s">
        <v>58</v>
      </c>
      <c r="D3" s="46" t="s">
        <v>1142</v>
      </c>
      <c r="E3" s="51" t="s">
        <v>18</v>
      </c>
      <c r="F3" s="46" t="s">
        <v>1143</v>
      </c>
      <c r="G3" s="55" t="s">
        <v>93</v>
      </c>
      <c r="H3" s="53" t="s">
        <v>71</v>
      </c>
      <c r="I3" s="54" t="s">
        <v>80</v>
      </c>
      <c r="J3" s="21"/>
      <c r="K3" s="50"/>
      <c r="L3" s="50"/>
      <c r="M3" s="50"/>
      <c r="N3" s="50"/>
      <c r="O3" s="50"/>
      <c r="P3" s="50"/>
      <c r="Q3" s="50"/>
      <c r="R3" s="50"/>
      <c r="S3" s="50"/>
      <c r="T3" s="50"/>
      <c r="U3" s="50"/>
      <c r="V3" s="50"/>
      <c r="W3" s="50"/>
    </row>
    <row r="4">
      <c r="A4" s="51" t="s">
        <v>43</v>
      </c>
      <c r="B4" s="46" t="s">
        <v>1144</v>
      </c>
      <c r="C4" s="51" t="s">
        <v>377</v>
      </c>
      <c r="D4" s="46" t="s">
        <v>1145</v>
      </c>
      <c r="E4" s="51" t="s">
        <v>1146</v>
      </c>
      <c r="F4" s="46" t="s">
        <v>1147</v>
      </c>
      <c r="G4" s="52" t="s">
        <v>1148</v>
      </c>
      <c r="H4" s="56" t="s">
        <v>267</v>
      </c>
      <c r="I4" s="54" t="s">
        <v>45</v>
      </c>
      <c r="J4" s="21"/>
      <c r="K4" s="50"/>
      <c r="L4" s="50"/>
      <c r="M4" s="50"/>
      <c r="N4" s="50"/>
      <c r="O4" s="50"/>
      <c r="P4" s="50"/>
      <c r="Q4" s="50"/>
      <c r="R4" s="50"/>
      <c r="S4" s="50"/>
      <c r="T4" s="50"/>
      <c r="U4" s="50"/>
      <c r="V4" s="50"/>
      <c r="W4" s="50"/>
    </row>
    <row r="5">
      <c r="A5" s="51" t="s">
        <v>168</v>
      </c>
      <c r="B5" s="46" t="s">
        <v>1149</v>
      </c>
      <c r="C5" s="51" t="s">
        <v>86</v>
      </c>
      <c r="D5" s="46" t="s">
        <v>1150</v>
      </c>
      <c r="E5" s="51" t="s">
        <v>123</v>
      </c>
      <c r="F5" s="46" t="s">
        <v>1151</v>
      </c>
      <c r="G5" s="52" t="s">
        <v>1152</v>
      </c>
      <c r="H5" s="56" t="s">
        <v>143</v>
      </c>
      <c r="I5" s="54" t="s">
        <v>1153</v>
      </c>
      <c r="J5" s="21"/>
      <c r="K5" s="50"/>
      <c r="L5" s="50"/>
      <c r="M5" s="50"/>
      <c r="N5" s="50"/>
      <c r="O5" s="50"/>
      <c r="P5" s="50"/>
      <c r="Q5" s="50"/>
      <c r="R5" s="50"/>
      <c r="S5" s="50"/>
      <c r="T5" s="50"/>
      <c r="U5" s="50"/>
      <c r="V5" s="50"/>
      <c r="W5" s="50"/>
    </row>
    <row r="6">
      <c r="A6" s="51" t="s">
        <v>172</v>
      </c>
      <c r="B6" s="46" t="s">
        <v>1154</v>
      </c>
      <c r="C6" s="51" t="s">
        <v>64</v>
      </c>
      <c r="D6" s="46" t="s">
        <v>1155</v>
      </c>
      <c r="E6" s="51" t="s">
        <v>213</v>
      </c>
      <c r="F6" s="46" t="s">
        <v>1156</v>
      </c>
      <c r="G6" s="52" t="s">
        <v>691</v>
      </c>
      <c r="H6" s="56" t="s">
        <v>129</v>
      </c>
      <c r="I6" s="54" t="s">
        <v>779</v>
      </c>
      <c r="J6" s="21"/>
      <c r="K6" s="50"/>
      <c r="L6" s="50"/>
      <c r="M6" s="50"/>
      <c r="N6" s="50"/>
      <c r="O6" s="50"/>
      <c r="P6" s="50"/>
      <c r="Q6" s="50"/>
      <c r="R6" s="50"/>
      <c r="S6" s="50"/>
      <c r="T6" s="50"/>
      <c r="U6" s="50"/>
      <c r="V6" s="50"/>
      <c r="W6" s="50"/>
    </row>
    <row r="7">
      <c r="A7" s="51" t="s">
        <v>97</v>
      </c>
      <c r="B7" s="46" t="s">
        <v>1157</v>
      </c>
      <c r="C7" s="51" t="s">
        <v>197</v>
      </c>
      <c r="D7" s="46" t="s">
        <v>1158</v>
      </c>
      <c r="E7" s="51" t="s">
        <v>323</v>
      </c>
      <c r="F7" s="46" t="s">
        <v>1159</v>
      </c>
      <c r="G7" s="52" t="s">
        <v>1160</v>
      </c>
      <c r="H7" s="56" t="s">
        <v>265</v>
      </c>
      <c r="I7" s="54" t="s">
        <v>1161</v>
      </c>
      <c r="J7" s="21"/>
      <c r="K7" s="50"/>
      <c r="L7" s="50"/>
      <c r="M7" s="50"/>
      <c r="N7" s="50"/>
      <c r="O7" s="50"/>
      <c r="P7" s="50"/>
      <c r="Q7" s="50"/>
      <c r="R7" s="50"/>
      <c r="S7" s="50"/>
      <c r="T7" s="50"/>
      <c r="U7" s="50"/>
      <c r="V7" s="50"/>
      <c r="W7" s="50"/>
    </row>
    <row r="8">
      <c r="A8" s="51" t="s">
        <v>252</v>
      </c>
      <c r="B8" s="46" t="s">
        <v>1162</v>
      </c>
      <c r="C8" s="51" t="s">
        <v>17</v>
      </c>
      <c r="D8" s="46" t="s">
        <v>1163</v>
      </c>
      <c r="E8" s="51" t="s">
        <v>30</v>
      </c>
      <c r="F8" s="46" t="s">
        <v>1164</v>
      </c>
      <c r="G8" s="52" t="s">
        <v>1165</v>
      </c>
      <c r="H8" s="53"/>
      <c r="I8" s="54" t="s">
        <v>1166</v>
      </c>
      <c r="J8" s="21"/>
      <c r="K8" s="50"/>
      <c r="L8" s="50"/>
      <c r="M8" s="50"/>
      <c r="N8" s="50"/>
      <c r="O8" s="50"/>
      <c r="P8" s="50"/>
      <c r="Q8" s="50"/>
      <c r="R8" s="50"/>
      <c r="S8" s="50"/>
      <c r="T8" s="50"/>
      <c r="U8" s="50"/>
      <c r="V8" s="50"/>
      <c r="W8" s="50"/>
    </row>
    <row r="9">
      <c r="A9" s="49" t="s">
        <v>851</v>
      </c>
      <c r="B9" s="47" t="s">
        <v>1167</v>
      </c>
      <c r="C9" s="49" t="s">
        <v>401</v>
      </c>
      <c r="D9" s="47" t="s">
        <v>1168</v>
      </c>
      <c r="E9" s="57" t="s">
        <v>190</v>
      </c>
      <c r="F9" s="47" t="s">
        <v>1169</v>
      </c>
      <c r="G9" s="52" t="s">
        <v>1170</v>
      </c>
      <c r="H9" s="56" t="s">
        <v>145</v>
      </c>
      <c r="I9" s="54" t="s">
        <v>1171</v>
      </c>
      <c r="J9" s="21"/>
      <c r="K9" s="50"/>
      <c r="L9" s="50"/>
      <c r="M9" s="50"/>
      <c r="N9" s="50"/>
      <c r="O9" s="50"/>
      <c r="P9" s="50"/>
      <c r="Q9" s="50"/>
      <c r="R9" s="50"/>
      <c r="S9" s="50"/>
      <c r="T9" s="50"/>
      <c r="U9" s="50"/>
      <c r="V9" s="50"/>
      <c r="W9" s="50"/>
    </row>
    <row r="10">
      <c r="A10" s="49" t="s">
        <v>815</v>
      </c>
      <c r="B10" s="47" t="s">
        <v>1172</v>
      </c>
      <c r="C10" s="51" t="s">
        <v>370</v>
      </c>
      <c r="D10" s="46" t="s">
        <v>1173</v>
      </c>
      <c r="E10" s="51" t="s">
        <v>36</v>
      </c>
      <c r="F10" s="46" t="s">
        <v>1174</v>
      </c>
      <c r="H10" s="56" t="s">
        <v>269</v>
      </c>
      <c r="I10" s="54" t="s">
        <v>1175</v>
      </c>
      <c r="J10" s="21"/>
      <c r="K10" s="50"/>
      <c r="L10" s="50"/>
      <c r="M10" s="50"/>
      <c r="N10" s="50"/>
      <c r="O10" s="50"/>
      <c r="P10" s="50"/>
      <c r="Q10" s="50"/>
      <c r="R10" s="50"/>
      <c r="S10" s="50"/>
      <c r="T10" s="50"/>
      <c r="U10" s="50"/>
      <c r="V10" s="50"/>
      <c r="W10" s="50"/>
    </row>
    <row r="11">
      <c r="A11" s="49" t="s">
        <v>808</v>
      </c>
      <c r="B11" s="47" t="s">
        <v>1176</v>
      </c>
      <c r="C11" s="58" t="s">
        <v>481</v>
      </c>
      <c r="D11" s="58" t="s">
        <v>1177</v>
      </c>
      <c r="E11" s="51" t="s">
        <v>388</v>
      </c>
      <c r="F11" s="46" t="s">
        <v>1178</v>
      </c>
      <c r="H11" s="56" t="s">
        <v>271</v>
      </c>
      <c r="I11" s="54" t="s">
        <v>1179</v>
      </c>
      <c r="J11" s="21"/>
      <c r="K11" s="50"/>
      <c r="L11" s="50"/>
      <c r="M11" s="50"/>
      <c r="N11" s="50"/>
      <c r="O11" s="50"/>
      <c r="P11" s="50"/>
      <c r="Q11" s="50"/>
      <c r="R11" s="50"/>
      <c r="S11" s="50"/>
      <c r="T11" s="50"/>
      <c r="U11" s="50"/>
      <c r="V11" s="50"/>
      <c r="W11" s="50"/>
    </row>
    <row r="12">
      <c r="A12" s="49" t="s">
        <v>505</v>
      </c>
      <c r="B12" s="47" t="s">
        <v>1180</v>
      </c>
      <c r="C12" s="49" t="s">
        <v>862</v>
      </c>
      <c r="D12" s="47" t="s">
        <v>1181</v>
      </c>
      <c r="E12" s="51" t="s">
        <v>1182</v>
      </c>
      <c r="F12" s="46" t="s">
        <v>1183</v>
      </c>
      <c r="H12" s="53"/>
      <c r="I12" s="54" t="s">
        <v>1184</v>
      </c>
      <c r="J12" s="21"/>
      <c r="K12" s="50"/>
      <c r="L12" s="50"/>
      <c r="M12" s="50"/>
      <c r="N12" s="50"/>
      <c r="O12" s="50"/>
      <c r="P12" s="50"/>
      <c r="Q12" s="50"/>
      <c r="R12" s="50"/>
      <c r="S12" s="50"/>
      <c r="T12" s="50"/>
      <c r="U12" s="50"/>
      <c r="V12" s="50"/>
      <c r="W12" s="50"/>
    </row>
    <row r="13">
      <c r="A13" s="49" t="s">
        <v>846</v>
      </c>
      <c r="B13" s="47" t="s">
        <v>1185</v>
      </c>
      <c r="C13" s="49" t="s">
        <v>963</v>
      </c>
      <c r="D13" s="47" t="s">
        <v>1186</v>
      </c>
      <c r="E13" s="49" t="s">
        <v>55</v>
      </c>
      <c r="F13" s="47" t="s">
        <v>1187</v>
      </c>
      <c r="H13" s="56" t="s">
        <v>298</v>
      </c>
      <c r="I13" s="54" t="s">
        <v>508</v>
      </c>
      <c r="J13" s="21"/>
      <c r="K13" s="50"/>
      <c r="L13" s="50"/>
      <c r="M13" s="50"/>
      <c r="N13" s="50"/>
      <c r="O13" s="50"/>
      <c r="P13" s="50"/>
      <c r="Q13" s="50"/>
      <c r="R13" s="50"/>
      <c r="S13" s="50"/>
      <c r="T13" s="50"/>
      <c r="U13" s="50"/>
      <c r="V13" s="50"/>
      <c r="W13" s="50"/>
    </row>
    <row r="14">
      <c r="A14" s="49" t="s">
        <v>236</v>
      </c>
      <c r="B14" s="47" t="s">
        <v>1188</v>
      </c>
      <c r="C14" s="49" t="s">
        <v>654</v>
      </c>
      <c r="D14" s="47" t="s">
        <v>1189</v>
      </c>
      <c r="E14" s="51" t="s">
        <v>279</v>
      </c>
      <c r="F14" s="46" t="s">
        <v>1190</v>
      </c>
      <c r="H14" s="56" t="s">
        <v>300</v>
      </c>
      <c r="I14" s="54" t="s">
        <v>509</v>
      </c>
      <c r="J14" s="21"/>
      <c r="K14" s="50"/>
      <c r="L14" s="50"/>
      <c r="M14" s="50"/>
      <c r="N14" s="50"/>
      <c r="O14" s="50"/>
      <c r="P14" s="50"/>
      <c r="Q14" s="50"/>
      <c r="R14" s="50"/>
      <c r="S14" s="50"/>
      <c r="T14" s="50"/>
      <c r="U14" s="50"/>
      <c r="V14" s="50"/>
      <c r="W14" s="50"/>
    </row>
    <row r="15">
      <c r="A15" s="51" t="s">
        <v>16</v>
      </c>
      <c r="B15" s="46" t="s">
        <v>1191</v>
      </c>
      <c r="C15" s="49" t="s">
        <v>889</v>
      </c>
      <c r="D15" s="47" t="s">
        <v>1192</v>
      </c>
      <c r="E15" s="51" t="s">
        <v>69</v>
      </c>
      <c r="F15" s="46" t="s">
        <v>1193</v>
      </c>
      <c r="G15" s="50"/>
      <c r="H15" s="53"/>
      <c r="I15" s="50"/>
      <c r="J15" s="21"/>
      <c r="K15" s="50"/>
      <c r="L15" s="50"/>
      <c r="M15" s="50"/>
      <c r="N15" s="50"/>
      <c r="O15" s="50"/>
      <c r="P15" s="50"/>
      <c r="Q15" s="50"/>
      <c r="R15" s="50"/>
      <c r="S15" s="50"/>
      <c r="T15" s="50"/>
      <c r="U15" s="50"/>
      <c r="V15" s="50"/>
      <c r="W15" s="50"/>
    </row>
    <row r="16">
      <c r="A16" s="49" t="s">
        <v>61</v>
      </c>
      <c r="B16" s="47" t="s">
        <v>1194</v>
      </c>
      <c r="C16" s="49" t="s">
        <v>809</v>
      </c>
      <c r="D16" s="47" t="s">
        <v>1195</v>
      </c>
      <c r="E16" s="49" t="s">
        <v>59</v>
      </c>
      <c r="F16" s="47" t="s">
        <v>1196</v>
      </c>
      <c r="G16" s="51"/>
      <c r="H16" s="56" t="s">
        <v>302</v>
      </c>
      <c r="I16" s="50"/>
      <c r="J16" s="21"/>
      <c r="K16" s="50"/>
      <c r="L16" s="50"/>
      <c r="M16" s="50"/>
      <c r="N16" s="50"/>
      <c r="O16" s="50"/>
      <c r="P16" s="50"/>
      <c r="Q16" s="50"/>
      <c r="R16" s="50"/>
      <c r="S16" s="50"/>
      <c r="T16" s="50"/>
      <c r="U16" s="50"/>
      <c r="V16" s="50"/>
      <c r="W16" s="50"/>
    </row>
    <row r="17">
      <c r="A17" s="49" t="s">
        <v>105</v>
      </c>
      <c r="B17" s="46" t="s">
        <v>1197</v>
      </c>
      <c r="C17" s="49" t="s">
        <v>777</v>
      </c>
      <c r="D17" s="47" t="s">
        <v>1198</v>
      </c>
      <c r="E17" s="51" t="s">
        <v>244</v>
      </c>
      <c r="F17" s="46" t="s">
        <v>1199</v>
      </c>
      <c r="G17" s="50"/>
      <c r="H17" s="56" t="s">
        <v>544</v>
      </c>
      <c r="I17" s="50"/>
      <c r="J17" s="21"/>
      <c r="K17" s="50"/>
      <c r="L17" s="50"/>
      <c r="M17" s="50"/>
      <c r="N17" s="50"/>
      <c r="O17" s="50"/>
      <c r="P17" s="50"/>
      <c r="Q17" s="50"/>
      <c r="R17" s="50"/>
      <c r="S17" s="50"/>
      <c r="T17" s="50"/>
      <c r="U17" s="50"/>
      <c r="V17" s="50"/>
      <c r="W17" s="50"/>
    </row>
    <row r="18">
      <c r="A18" s="51" t="s">
        <v>332</v>
      </c>
      <c r="B18" s="46" t="s">
        <v>1200</v>
      </c>
      <c r="C18" s="49" t="s">
        <v>847</v>
      </c>
      <c r="D18" s="47" t="s">
        <v>1201</v>
      </c>
      <c r="E18" s="51" t="s">
        <v>247</v>
      </c>
      <c r="F18" s="46" t="s">
        <v>1202</v>
      </c>
      <c r="G18" s="50"/>
      <c r="H18" s="56" t="s">
        <v>546</v>
      </c>
      <c r="I18" s="50"/>
      <c r="J18" s="21"/>
      <c r="K18" s="50"/>
      <c r="L18" s="50"/>
      <c r="M18" s="50"/>
      <c r="N18" s="50"/>
      <c r="O18" s="50"/>
      <c r="P18" s="50"/>
      <c r="Q18" s="50"/>
      <c r="R18" s="50"/>
      <c r="S18" s="50"/>
      <c r="T18" s="50"/>
      <c r="U18" s="50"/>
      <c r="V18" s="50"/>
      <c r="W18" s="50"/>
    </row>
    <row r="19">
      <c r="A19" s="51" t="s">
        <v>246</v>
      </c>
      <c r="B19" s="46" t="s">
        <v>1203</v>
      </c>
      <c r="C19" s="49" t="s">
        <v>865</v>
      </c>
      <c r="D19" s="47" t="s">
        <v>1204</v>
      </c>
      <c r="E19" s="51" t="s">
        <v>392</v>
      </c>
      <c r="F19" s="46" t="s">
        <v>1205</v>
      </c>
      <c r="G19" s="50"/>
      <c r="H19" s="56" t="s">
        <v>548</v>
      </c>
      <c r="I19" s="50"/>
      <c r="J19" s="21"/>
      <c r="K19" s="50"/>
      <c r="L19" s="50"/>
      <c r="M19" s="50"/>
      <c r="N19" s="50"/>
      <c r="O19" s="50"/>
      <c r="P19" s="50"/>
      <c r="Q19" s="50"/>
      <c r="R19" s="50"/>
      <c r="S19" s="50"/>
      <c r="T19" s="50"/>
      <c r="U19" s="50"/>
      <c r="V19" s="50"/>
      <c r="W19" s="50"/>
    </row>
    <row r="20">
      <c r="A20" s="49" t="s">
        <v>1206</v>
      </c>
      <c r="B20" s="46" t="s">
        <v>1207</v>
      </c>
      <c r="C20" s="49" t="s">
        <v>506</v>
      </c>
      <c r="D20" s="47" t="s">
        <v>1208</v>
      </c>
      <c r="E20" s="51" t="s">
        <v>402</v>
      </c>
      <c r="F20" s="46" t="s">
        <v>1209</v>
      </c>
      <c r="G20" s="50"/>
      <c r="H20" s="53" t="s">
        <v>1210</v>
      </c>
      <c r="I20" s="50"/>
      <c r="J20" s="21"/>
      <c r="K20" s="50"/>
      <c r="L20" s="50"/>
      <c r="M20" s="50"/>
      <c r="N20" s="50"/>
      <c r="O20" s="50"/>
      <c r="P20" s="50"/>
      <c r="Q20" s="50"/>
      <c r="R20" s="50"/>
      <c r="S20" s="50"/>
      <c r="T20" s="50"/>
      <c r="U20" s="50"/>
      <c r="V20" s="50"/>
      <c r="W20" s="50"/>
    </row>
    <row r="21" ht="15.75" customHeight="1">
      <c r="A21" s="51" t="s">
        <v>76</v>
      </c>
      <c r="B21" s="46" t="s">
        <v>1211</v>
      </c>
      <c r="C21" s="49" t="s">
        <v>834</v>
      </c>
      <c r="D21" s="47" t="s">
        <v>1212</v>
      </c>
      <c r="E21" s="51" t="s">
        <v>237</v>
      </c>
      <c r="F21" s="46" t="s">
        <v>1213</v>
      </c>
      <c r="G21" s="50"/>
      <c r="H21" s="53" t="s">
        <v>1214</v>
      </c>
      <c r="I21" s="50"/>
      <c r="J21" s="21"/>
      <c r="K21" s="50"/>
      <c r="L21" s="50"/>
      <c r="M21" s="50"/>
      <c r="N21" s="50"/>
      <c r="O21" s="50"/>
      <c r="P21" s="50"/>
      <c r="Q21" s="50"/>
      <c r="R21" s="50"/>
      <c r="S21" s="50"/>
      <c r="T21" s="50"/>
      <c r="U21" s="50"/>
      <c r="V21" s="50"/>
      <c r="W21" s="50"/>
    </row>
    <row r="22" ht="15.75" customHeight="1">
      <c r="A22" s="51" t="s">
        <v>79</v>
      </c>
      <c r="B22" s="46" t="s">
        <v>1215</v>
      </c>
      <c r="C22" s="49" t="s">
        <v>868</v>
      </c>
      <c r="D22" s="47" t="s">
        <v>1216</v>
      </c>
      <c r="E22" s="51" t="s">
        <v>419</v>
      </c>
      <c r="F22" s="46" t="s">
        <v>1217</v>
      </c>
      <c r="G22" s="50"/>
      <c r="H22" s="56" t="s">
        <v>1218</v>
      </c>
      <c r="I22" s="50"/>
      <c r="J22" s="21"/>
      <c r="K22" s="50"/>
      <c r="L22" s="50"/>
      <c r="M22" s="50"/>
      <c r="N22" s="50"/>
      <c r="O22" s="50"/>
      <c r="P22" s="50"/>
      <c r="Q22" s="50"/>
      <c r="R22" s="50"/>
      <c r="S22" s="50"/>
      <c r="T22" s="50"/>
      <c r="U22" s="50"/>
      <c r="V22" s="50"/>
      <c r="W22" s="50"/>
    </row>
    <row r="23" ht="15.75" customHeight="1">
      <c r="A23" s="51" t="s">
        <v>236</v>
      </c>
      <c r="B23" s="47" t="s">
        <v>1188</v>
      </c>
      <c r="C23" s="49" t="s">
        <v>859</v>
      </c>
      <c r="D23" s="47" t="s">
        <v>1219</v>
      </c>
      <c r="E23" s="51" t="s">
        <v>121</v>
      </c>
      <c r="F23" s="46" t="s">
        <v>1220</v>
      </c>
      <c r="G23" s="50"/>
      <c r="H23" s="53"/>
      <c r="I23" s="50"/>
      <c r="J23" s="21"/>
      <c r="K23" s="50"/>
      <c r="L23" s="50"/>
      <c r="M23" s="50"/>
      <c r="N23" s="50"/>
      <c r="O23" s="50"/>
      <c r="P23" s="50"/>
      <c r="Q23" s="50"/>
      <c r="R23" s="50"/>
      <c r="S23" s="50"/>
      <c r="T23" s="50"/>
      <c r="U23" s="50"/>
      <c r="V23" s="50"/>
      <c r="W23" s="50"/>
    </row>
    <row r="24" ht="15.75" customHeight="1">
      <c r="A24" s="49" t="s">
        <v>1221</v>
      </c>
      <c r="B24" s="46" t="s">
        <v>1222</v>
      </c>
      <c r="C24" s="49" t="s">
        <v>852</v>
      </c>
      <c r="D24" s="47" t="s">
        <v>1223</v>
      </c>
      <c r="E24" s="49" t="s">
        <v>24</v>
      </c>
      <c r="F24" s="47" t="s">
        <v>1224</v>
      </c>
      <c r="G24" s="50"/>
      <c r="H24" s="53" t="s">
        <v>1225</v>
      </c>
      <c r="I24" s="50"/>
      <c r="J24" s="21"/>
      <c r="K24" s="50"/>
      <c r="L24" s="50"/>
      <c r="M24" s="50"/>
      <c r="N24" s="50"/>
      <c r="O24" s="50"/>
      <c r="P24" s="50"/>
      <c r="Q24" s="50"/>
      <c r="R24" s="50"/>
      <c r="S24" s="50"/>
      <c r="T24" s="50"/>
      <c r="U24" s="50"/>
      <c r="V24" s="50"/>
      <c r="W24" s="50"/>
    </row>
    <row r="25" ht="15.75" customHeight="1">
      <c r="A25" s="51" t="s">
        <v>230</v>
      </c>
      <c r="B25" s="46" t="s">
        <v>1226</v>
      </c>
      <c r="C25" s="51" t="s">
        <v>89</v>
      </c>
      <c r="D25" s="46" t="s">
        <v>1227</v>
      </c>
      <c r="E25" s="51" t="s">
        <v>62</v>
      </c>
      <c r="F25" s="46" t="s">
        <v>1228</v>
      </c>
      <c r="G25" s="50"/>
      <c r="H25" s="56" t="s">
        <v>1229</v>
      </c>
      <c r="I25" s="50"/>
      <c r="J25" s="21"/>
      <c r="K25" s="50"/>
      <c r="L25" s="50"/>
      <c r="M25" s="50"/>
      <c r="N25" s="50"/>
      <c r="O25" s="50"/>
      <c r="P25" s="50"/>
      <c r="Q25" s="50"/>
      <c r="R25" s="50"/>
      <c r="S25" s="50"/>
      <c r="T25" s="50"/>
      <c r="U25" s="50"/>
      <c r="V25" s="50"/>
      <c r="W25" s="50"/>
    </row>
    <row r="26" ht="15.75" customHeight="1">
      <c r="A26" s="51" t="s">
        <v>57</v>
      </c>
      <c r="B26" s="46" t="s">
        <v>1230</v>
      </c>
      <c r="C26" s="51" t="s">
        <v>111</v>
      </c>
      <c r="D26" s="46" t="s">
        <v>1231</v>
      </c>
      <c r="E26" s="51" t="s">
        <v>112</v>
      </c>
      <c r="F26" s="46" t="s">
        <v>1232</v>
      </c>
      <c r="G26" s="50"/>
      <c r="H26" s="56" t="s">
        <v>1233</v>
      </c>
      <c r="I26" s="50"/>
      <c r="J26" s="21"/>
      <c r="K26" s="50"/>
      <c r="L26" s="50"/>
      <c r="M26" s="50"/>
      <c r="N26" s="50"/>
      <c r="O26" s="50"/>
      <c r="P26" s="50"/>
      <c r="Q26" s="50"/>
      <c r="R26" s="50"/>
      <c r="S26" s="50"/>
      <c r="T26" s="50"/>
      <c r="U26" s="50"/>
      <c r="V26" s="50"/>
      <c r="W26" s="50"/>
    </row>
    <row r="27" ht="15.75" customHeight="1">
      <c r="A27" s="51" t="s">
        <v>369</v>
      </c>
      <c r="B27" s="46" t="s">
        <v>1234</v>
      </c>
      <c r="C27" s="51" t="s">
        <v>371</v>
      </c>
      <c r="D27" s="46" t="s">
        <v>1235</v>
      </c>
      <c r="E27" s="51" t="s">
        <v>215</v>
      </c>
      <c r="F27" s="46" t="s">
        <v>1236</v>
      </c>
      <c r="G27" s="50"/>
      <c r="H27" s="56" t="s">
        <v>1237</v>
      </c>
      <c r="I27" s="50"/>
      <c r="J27" s="21"/>
      <c r="K27" s="50"/>
      <c r="L27" s="50"/>
      <c r="M27" s="50"/>
      <c r="N27" s="50"/>
      <c r="O27" s="50"/>
      <c r="P27" s="50"/>
      <c r="Q27" s="50"/>
      <c r="R27" s="50"/>
      <c r="S27" s="50"/>
      <c r="T27" s="50"/>
      <c r="U27" s="50"/>
      <c r="V27" s="50"/>
      <c r="W27" s="50"/>
    </row>
    <row r="28" ht="15.75" customHeight="1">
      <c r="A28" s="51" t="s">
        <v>125</v>
      </c>
      <c r="B28" s="47" t="s">
        <v>1238</v>
      </c>
      <c r="C28" s="51" t="s">
        <v>1239</v>
      </c>
      <c r="D28" s="46" t="s">
        <v>1240</v>
      </c>
      <c r="E28" s="51" t="s">
        <v>250</v>
      </c>
      <c r="F28" s="46" t="s">
        <v>1241</v>
      </c>
      <c r="G28" s="50"/>
      <c r="H28" s="56" t="s">
        <v>1242</v>
      </c>
      <c r="I28" s="50"/>
      <c r="J28" s="21"/>
      <c r="K28" s="50"/>
      <c r="L28" s="50"/>
      <c r="M28" s="50"/>
      <c r="N28" s="50"/>
      <c r="O28" s="50"/>
      <c r="P28" s="50"/>
      <c r="Q28" s="50"/>
      <c r="R28" s="50"/>
      <c r="S28" s="50"/>
      <c r="T28" s="50"/>
      <c r="U28" s="50"/>
      <c r="V28" s="50"/>
      <c r="W28" s="50"/>
    </row>
    <row r="29" ht="15.75" customHeight="1">
      <c r="A29" s="51" t="s">
        <v>222</v>
      </c>
      <c r="B29" s="46" t="s">
        <v>1243</v>
      </c>
      <c r="C29" s="51" t="s">
        <v>383</v>
      </c>
      <c r="D29" s="46" t="s">
        <v>1244</v>
      </c>
      <c r="E29" s="51" t="s">
        <v>108</v>
      </c>
      <c r="F29" s="46" t="s">
        <v>1245</v>
      </c>
      <c r="G29" s="50"/>
      <c r="H29" s="56" t="s">
        <v>1246</v>
      </c>
      <c r="I29" s="50"/>
      <c r="J29" s="21"/>
      <c r="K29" s="50"/>
      <c r="L29" s="50"/>
      <c r="M29" s="50"/>
      <c r="N29" s="50"/>
      <c r="O29" s="50"/>
      <c r="P29" s="50"/>
      <c r="Q29" s="50"/>
      <c r="R29" s="50"/>
      <c r="S29" s="50"/>
      <c r="T29" s="50"/>
      <c r="U29" s="50"/>
      <c r="V29" s="50"/>
      <c r="W29" s="50"/>
    </row>
    <row r="30" ht="15.75" customHeight="1">
      <c r="A30" s="51" t="s">
        <v>1247</v>
      </c>
      <c r="B30" s="46" t="s">
        <v>1248</v>
      </c>
      <c r="C30" s="51" t="s">
        <v>51</v>
      </c>
      <c r="D30" s="46" t="s">
        <v>1249</v>
      </c>
      <c r="E30" s="51" t="s">
        <v>67</v>
      </c>
      <c r="F30" s="46" t="s">
        <v>1250</v>
      </c>
      <c r="G30" s="50"/>
      <c r="H30" s="56" t="s">
        <v>1251</v>
      </c>
      <c r="I30" s="50"/>
      <c r="J30" s="21"/>
      <c r="K30" s="50"/>
      <c r="L30" s="50"/>
      <c r="M30" s="50"/>
      <c r="N30" s="50"/>
      <c r="O30" s="50"/>
      <c r="P30" s="50"/>
      <c r="Q30" s="50"/>
      <c r="R30" s="50"/>
      <c r="S30" s="50"/>
      <c r="T30" s="50"/>
      <c r="U30" s="50"/>
      <c r="V30" s="50"/>
      <c r="W30" s="50"/>
    </row>
    <row r="31" ht="15.75" customHeight="1">
      <c r="A31" s="51" t="s">
        <v>101</v>
      </c>
      <c r="B31" s="46" t="s">
        <v>1252</v>
      </c>
      <c r="C31" s="51" t="s">
        <v>26</v>
      </c>
      <c r="D31" s="46" t="s">
        <v>1253</v>
      </c>
      <c r="E31" s="51" t="s">
        <v>103</v>
      </c>
      <c r="F31" s="46" t="s">
        <v>1254</v>
      </c>
      <c r="G31" s="50"/>
      <c r="H31" s="53"/>
      <c r="I31" s="50"/>
      <c r="J31" s="21"/>
      <c r="K31" s="50"/>
      <c r="L31" s="50"/>
      <c r="M31" s="50"/>
      <c r="N31" s="50"/>
      <c r="O31" s="50"/>
      <c r="P31" s="50"/>
      <c r="Q31" s="50"/>
      <c r="R31" s="50"/>
      <c r="S31" s="50"/>
      <c r="T31" s="50"/>
      <c r="U31" s="50"/>
      <c r="V31" s="50"/>
      <c r="W31" s="50"/>
    </row>
    <row r="32" ht="15.75" customHeight="1">
      <c r="A32" s="51" t="s">
        <v>49</v>
      </c>
      <c r="B32" s="46" t="s">
        <v>1255</v>
      </c>
      <c r="C32" s="51" t="s">
        <v>32</v>
      </c>
      <c r="D32" s="46" t="s">
        <v>1256</v>
      </c>
      <c r="E32" s="49" t="s">
        <v>27</v>
      </c>
      <c r="F32" s="47" t="s">
        <v>1257</v>
      </c>
      <c r="G32" s="50"/>
      <c r="H32" s="56" t="s">
        <v>1258</v>
      </c>
      <c r="I32" s="50"/>
      <c r="J32" s="21"/>
      <c r="K32" s="50"/>
      <c r="L32" s="50"/>
      <c r="M32" s="50"/>
      <c r="N32" s="50"/>
      <c r="O32" s="50"/>
      <c r="P32" s="50"/>
      <c r="Q32" s="50"/>
      <c r="R32" s="50"/>
      <c r="S32" s="50"/>
      <c r="T32" s="50"/>
      <c r="U32" s="50"/>
      <c r="V32" s="50"/>
      <c r="W32" s="50"/>
    </row>
    <row r="33" ht="15.75" customHeight="1">
      <c r="A33" s="49" t="s">
        <v>54</v>
      </c>
      <c r="B33" s="47" t="s">
        <v>1259</v>
      </c>
      <c r="C33" s="51" t="s">
        <v>1260</v>
      </c>
      <c r="D33" s="46" t="s">
        <v>1261</v>
      </c>
      <c r="E33" s="51" t="s">
        <v>1262</v>
      </c>
      <c r="F33" s="46" t="s">
        <v>1263</v>
      </c>
      <c r="G33" s="50"/>
      <c r="H33" s="56" t="s">
        <v>1264</v>
      </c>
      <c r="I33" s="50"/>
      <c r="J33" s="21"/>
      <c r="K33" s="50"/>
      <c r="L33" s="50"/>
      <c r="M33" s="50"/>
      <c r="N33" s="50"/>
      <c r="O33" s="50"/>
      <c r="P33" s="50"/>
      <c r="Q33" s="50"/>
      <c r="R33" s="50"/>
      <c r="S33" s="50"/>
      <c r="T33" s="50"/>
      <c r="U33" s="50"/>
      <c r="V33" s="50"/>
      <c r="W33" s="50"/>
    </row>
    <row r="34" ht="15.75" customHeight="1">
      <c r="A34" s="49" t="s">
        <v>110</v>
      </c>
      <c r="B34" s="47" t="s">
        <v>1265</v>
      </c>
      <c r="C34" s="51" t="s">
        <v>278</v>
      </c>
      <c r="D34" s="46" t="s">
        <v>1266</v>
      </c>
      <c r="E34" s="51" t="s">
        <v>228</v>
      </c>
      <c r="F34" s="46" t="s">
        <v>1267</v>
      </c>
      <c r="G34" s="50"/>
      <c r="H34" s="56" t="s">
        <v>1268</v>
      </c>
      <c r="I34" s="50"/>
      <c r="J34" s="21"/>
      <c r="K34" s="50"/>
      <c r="L34" s="50"/>
      <c r="M34" s="50"/>
      <c r="N34" s="50"/>
      <c r="O34" s="50"/>
      <c r="P34" s="50"/>
      <c r="Q34" s="50"/>
      <c r="R34" s="50"/>
      <c r="S34" s="50"/>
      <c r="T34" s="50"/>
      <c r="U34" s="50"/>
      <c r="V34" s="50"/>
      <c r="W34" s="50"/>
    </row>
    <row r="35" ht="15.75" customHeight="1">
      <c r="A35" s="49" t="s">
        <v>138</v>
      </c>
      <c r="B35" s="47" t="s">
        <v>1269</v>
      </c>
      <c r="C35" s="51" t="s">
        <v>23</v>
      </c>
      <c r="D35" s="46" t="s">
        <v>1270</v>
      </c>
      <c r="E35" s="51" t="s">
        <v>169</v>
      </c>
      <c r="F35" s="46" t="s">
        <v>1271</v>
      </c>
      <c r="G35" s="50"/>
      <c r="H35" s="56" t="s">
        <v>1272</v>
      </c>
      <c r="I35" s="50"/>
      <c r="J35" s="21"/>
      <c r="K35" s="50"/>
      <c r="L35" s="50"/>
      <c r="M35" s="50"/>
      <c r="N35" s="50"/>
      <c r="O35" s="50"/>
      <c r="P35" s="50"/>
      <c r="Q35" s="50"/>
      <c r="R35" s="50"/>
      <c r="S35" s="50"/>
      <c r="T35" s="50"/>
      <c r="U35" s="50"/>
      <c r="V35" s="50"/>
      <c r="W35" s="50"/>
    </row>
    <row r="36" ht="15.75" customHeight="1">
      <c r="A36" s="49" t="s">
        <v>166</v>
      </c>
      <c r="B36" s="47" t="s">
        <v>1273</v>
      </c>
      <c r="C36" s="51" t="s">
        <v>73</v>
      </c>
      <c r="D36" s="46" t="s">
        <v>1274</v>
      </c>
      <c r="E36" s="51" t="s">
        <v>1275</v>
      </c>
      <c r="F36" s="46" t="s">
        <v>1276</v>
      </c>
      <c r="G36" s="50"/>
      <c r="H36" s="56" t="s">
        <v>1277</v>
      </c>
      <c r="I36" s="50"/>
      <c r="J36" s="21"/>
      <c r="K36" s="50"/>
      <c r="L36" s="50"/>
      <c r="M36" s="50"/>
      <c r="N36" s="50"/>
      <c r="O36" s="50"/>
      <c r="P36" s="50"/>
      <c r="Q36" s="50"/>
      <c r="R36" s="50"/>
      <c r="S36" s="50"/>
      <c r="T36" s="50"/>
      <c r="U36" s="50"/>
      <c r="V36" s="50"/>
      <c r="W36" s="50"/>
    </row>
    <row r="37" ht="15.75" customHeight="1">
      <c r="A37" s="49" t="s">
        <v>208</v>
      </c>
      <c r="B37" s="47" t="s">
        <v>1278</v>
      </c>
      <c r="C37" s="51" t="s">
        <v>1279</v>
      </c>
      <c r="D37" s="46" t="s">
        <v>1280</v>
      </c>
      <c r="E37" s="51" t="s">
        <v>384</v>
      </c>
      <c r="F37" s="46" t="s">
        <v>1281</v>
      </c>
      <c r="G37" s="50"/>
      <c r="H37" s="56" t="s">
        <v>1282</v>
      </c>
      <c r="I37" s="50"/>
      <c r="J37" s="21"/>
      <c r="K37" s="50"/>
      <c r="L37" s="50"/>
      <c r="M37" s="50"/>
      <c r="N37" s="50"/>
      <c r="O37" s="50"/>
      <c r="P37" s="50"/>
      <c r="Q37" s="50"/>
      <c r="R37" s="50"/>
      <c r="S37" s="50"/>
      <c r="T37" s="50"/>
      <c r="U37" s="50"/>
      <c r="V37" s="50"/>
      <c r="W37" s="50"/>
    </row>
    <row r="38" ht="15.75" customHeight="1">
      <c r="A38" s="49" t="s">
        <v>1016</v>
      </c>
      <c r="B38" s="47" t="s">
        <v>1196</v>
      </c>
      <c r="C38" s="51" t="s">
        <v>102</v>
      </c>
      <c r="D38" s="46" t="s">
        <v>1283</v>
      </c>
      <c r="E38" s="49" t="s">
        <v>209</v>
      </c>
      <c r="F38" s="46" t="s">
        <v>1284</v>
      </c>
      <c r="G38" s="50"/>
      <c r="H38" s="56" t="s">
        <v>1285</v>
      </c>
      <c r="I38" s="50"/>
      <c r="J38" s="21"/>
      <c r="K38" s="50"/>
      <c r="L38" s="50"/>
      <c r="M38" s="50"/>
      <c r="N38" s="50"/>
      <c r="O38" s="50"/>
      <c r="P38" s="50"/>
      <c r="Q38" s="50"/>
      <c r="R38" s="50"/>
      <c r="S38" s="50"/>
      <c r="T38" s="50"/>
      <c r="U38" s="50"/>
      <c r="V38" s="50"/>
      <c r="W38" s="50"/>
    </row>
    <row r="39" ht="15.75" customHeight="1">
      <c r="A39" s="50"/>
      <c r="B39" s="59"/>
      <c r="C39" s="51" t="s">
        <v>219</v>
      </c>
      <c r="D39" s="46" t="s">
        <v>1286</v>
      </c>
      <c r="E39" s="49" t="s">
        <v>99</v>
      </c>
      <c r="F39" s="46" t="s">
        <v>1287</v>
      </c>
      <c r="G39" s="50"/>
      <c r="H39" s="53"/>
      <c r="I39" s="50"/>
      <c r="J39" s="21"/>
      <c r="K39" s="50"/>
      <c r="L39" s="50"/>
      <c r="M39" s="50"/>
      <c r="N39" s="50"/>
      <c r="O39" s="50"/>
      <c r="P39" s="50"/>
      <c r="Q39" s="50"/>
      <c r="R39" s="50"/>
      <c r="S39" s="50"/>
      <c r="T39" s="50"/>
      <c r="U39" s="50"/>
      <c r="V39" s="50"/>
      <c r="W39" s="50"/>
    </row>
    <row r="40" ht="15.75" customHeight="1">
      <c r="A40" s="50"/>
      <c r="B40" s="59"/>
      <c r="C40" s="51" t="s">
        <v>159</v>
      </c>
      <c r="D40" s="46" t="s">
        <v>1288</v>
      </c>
      <c r="E40" s="49" t="s">
        <v>201</v>
      </c>
      <c r="F40" s="47" t="s">
        <v>1249</v>
      </c>
      <c r="G40" s="50"/>
      <c r="H40" s="56" t="s">
        <v>1289</v>
      </c>
      <c r="I40" s="50"/>
      <c r="J40" s="21"/>
      <c r="K40" s="50"/>
      <c r="L40" s="50"/>
      <c r="M40" s="50"/>
      <c r="N40" s="50"/>
      <c r="O40" s="50"/>
      <c r="P40" s="50"/>
      <c r="Q40" s="50"/>
      <c r="R40" s="50"/>
      <c r="S40" s="50"/>
      <c r="T40" s="50"/>
      <c r="U40" s="50"/>
      <c r="V40" s="50"/>
      <c r="W40" s="50"/>
    </row>
    <row r="41" ht="15.75" customHeight="1">
      <c r="A41" s="50"/>
      <c r="B41" s="59"/>
      <c r="C41" s="51" t="s">
        <v>840</v>
      </c>
      <c r="D41" s="46" t="s">
        <v>1290</v>
      </c>
      <c r="E41" s="51" t="s">
        <v>253</v>
      </c>
      <c r="F41" s="46" t="s">
        <v>1291</v>
      </c>
      <c r="G41" s="50"/>
      <c r="H41" s="56" t="s">
        <v>1292</v>
      </c>
      <c r="I41" s="50"/>
      <c r="J41" s="21"/>
      <c r="K41" s="50"/>
      <c r="L41" s="50"/>
      <c r="M41" s="50"/>
      <c r="N41" s="50"/>
      <c r="O41" s="50"/>
      <c r="P41" s="50"/>
      <c r="Q41" s="50"/>
      <c r="R41" s="50"/>
      <c r="S41" s="50"/>
      <c r="T41" s="50"/>
      <c r="U41" s="50"/>
      <c r="V41" s="50"/>
      <c r="W41" s="50"/>
    </row>
    <row r="42" ht="15.75" customHeight="1">
      <c r="A42" s="50"/>
      <c r="B42" s="59"/>
      <c r="C42" s="51" t="s">
        <v>1293</v>
      </c>
      <c r="D42" s="46" t="s">
        <v>1294</v>
      </c>
      <c r="E42" s="51" t="s">
        <v>288</v>
      </c>
      <c r="F42" s="46" t="s">
        <v>1295</v>
      </c>
      <c r="G42" s="50"/>
      <c r="H42" s="53" t="s">
        <v>1296</v>
      </c>
      <c r="I42" s="50"/>
      <c r="J42" s="21"/>
      <c r="K42" s="50"/>
      <c r="L42" s="50"/>
      <c r="M42" s="50"/>
      <c r="N42" s="50"/>
      <c r="O42" s="50"/>
      <c r="P42" s="50"/>
      <c r="Q42" s="50"/>
      <c r="R42" s="50"/>
      <c r="S42" s="50"/>
      <c r="T42" s="50"/>
      <c r="U42" s="50"/>
      <c r="V42" s="50"/>
      <c r="W42" s="50"/>
    </row>
    <row r="43" ht="15.75" customHeight="1">
      <c r="A43" s="50"/>
      <c r="B43" s="59"/>
      <c r="C43" s="49" t="s">
        <v>1297</v>
      </c>
      <c r="D43" s="47" t="s">
        <v>1298</v>
      </c>
      <c r="E43" s="49" t="s">
        <v>1299</v>
      </c>
      <c r="F43" s="47" t="s">
        <v>1300</v>
      </c>
      <c r="G43" s="50"/>
      <c r="H43" s="53" t="s">
        <v>1301</v>
      </c>
      <c r="I43" s="50"/>
      <c r="J43" s="21"/>
      <c r="K43" s="50"/>
      <c r="L43" s="50"/>
      <c r="M43" s="50"/>
      <c r="N43" s="50"/>
      <c r="O43" s="50"/>
      <c r="P43" s="50"/>
      <c r="Q43" s="50"/>
      <c r="R43" s="50"/>
      <c r="S43" s="50"/>
      <c r="T43" s="50"/>
      <c r="U43" s="50"/>
      <c r="V43" s="50"/>
      <c r="W43" s="50"/>
    </row>
    <row r="44" ht="15.75" customHeight="1">
      <c r="A44" s="50"/>
      <c r="B44" s="59"/>
      <c r="C44" s="49" t="s">
        <v>35</v>
      </c>
      <c r="D44" s="47" t="s">
        <v>1302</v>
      </c>
      <c r="E44" s="51" t="s">
        <v>259</v>
      </c>
      <c r="F44" s="46" t="s">
        <v>1303</v>
      </c>
      <c r="G44" s="50"/>
      <c r="H44" s="53" t="s">
        <v>1304</v>
      </c>
      <c r="I44" s="50"/>
      <c r="J44" s="21"/>
      <c r="K44" s="50"/>
      <c r="L44" s="50"/>
      <c r="M44" s="50"/>
      <c r="N44" s="50"/>
      <c r="O44" s="50"/>
      <c r="P44" s="50"/>
      <c r="Q44" s="50"/>
      <c r="R44" s="50"/>
      <c r="S44" s="50"/>
      <c r="T44" s="50"/>
      <c r="U44" s="50"/>
      <c r="V44" s="50"/>
      <c r="W44" s="50"/>
    </row>
    <row r="45" ht="15.75" customHeight="1">
      <c r="A45" s="50"/>
      <c r="B45" s="59"/>
      <c r="C45" s="49" t="s">
        <v>40</v>
      </c>
      <c r="D45" s="47" t="s">
        <v>1196</v>
      </c>
      <c r="E45" s="51" t="s">
        <v>139</v>
      </c>
      <c r="F45" s="46" t="s">
        <v>1305</v>
      </c>
      <c r="G45" s="50"/>
      <c r="H45" s="53" t="s">
        <v>1306</v>
      </c>
      <c r="I45" s="50"/>
      <c r="J45" s="21"/>
      <c r="K45" s="50"/>
      <c r="L45" s="50"/>
      <c r="M45" s="50"/>
      <c r="N45" s="50"/>
      <c r="O45" s="50"/>
      <c r="P45" s="50"/>
      <c r="Q45" s="50"/>
      <c r="R45" s="50"/>
      <c r="S45" s="50"/>
      <c r="T45" s="50"/>
      <c r="U45" s="50"/>
      <c r="V45" s="50"/>
      <c r="W45" s="50"/>
    </row>
    <row r="46" ht="15.75" customHeight="1">
      <c r="A46" s="50"/>
      <c r="B46" s="59"/>
      <c r="C46" s="49" t="s">
        <v>173</v>
      </c>
      <c r="D46" s="47" t="s">
        <v>1307</v>
      </c>
      <c r="E46" s="51" t="s">
        <v>186</v>
      </c>
      <c r="F46" s="46" t="s">
        <v>1198</v>
      </c>
      <c r="G46" s="50"/>
      <c r="H46" s="53" t="s">
        <v>1308</v>
      </c>
      <c r="I46" s="50"/>
      <c r="J46" s="21"/>
      <c r="K46" s="50"/>
      <c r="L46" s="50"/>
      <c r="M46" s="50"/>
      <c r="N46" s="50"/>
      <c r="O46" s="50"/>
      <c r="P46" s="50"/>
      <c r="Q46" s="50"/>
      <c r="R46" s="50"/>
      <c r="S46" s="50"/>
      <c r="T46" s="50"/>
      <c r="U46" s="50"/>
      <c r="V46" s="50"/>
      <c r="W46" s="50"/>
    </row>
    <row r="47" ht="15.75" customHeight="1">
      <c r="A47" s="50"/>
      <c r="B47" s="59"/>
      <c r="C47" s="49" t="s">
        <v>200</v>
      </c>
      <c r="D47" s="47" t="s">
        <v>1178</v>
      </c>
      <c r="E47" s="51" t="s">
        <v>312</v>
      </c>
      <c r="F47" s="46" t="s">
        <v>1309</v>
      </c>
      <c r="G47" s="50"/>
      <c r="H47" s="53" t="s">
        <v>1310</v>
      </c>
      <c r="I47" s="50"/>
      <c r="J47" s="21"/>
      <c r="K47" s="50"/>
      <c r="L47" s="50"/>
      <c r="M47" s="50"/>
      <c r="N47" s="50"/>
      <c r="O47" s="50"/>
      <c r="P47" s="50"/>
      <c r="Q47" s="50"/>
      <c r="R47" s="50"/>
      <c r="S47" s="50"/>
      <c r="T47" s="50"/>
      <c r="U47" s="50"/>
      <c r="V47" s="50"/>
      <c r="W47" s="50"/>
    </row>
    <row r="48" ht="15.75" customHeight="1">
      <c r="A48" s="50"/>
      <c r="B48" s="59"/>
      <c r="C48" s="49" t="s">
        <v>223</v>
      </c>
      <c r="D48" s="47" t="s">
        <v>1311</v>
      </c>
      <c r="E48" s="51" t="s">
        <v>321</v>
      </c>
      <c r="F48" s="46" t="s">
        <v>1312</v>
      </c>
      <c r="G48" s="50"/>
      <c r="H48" s="53" t="s">
        <v>1001</v>
      </c>
      <c r="I48" s="50"/>
      <c r="J48" s="21"/>
      <c r="K48" s="50"/>
      <c r="L48" s="50"/>
      <c r="M48" s="50"/>
      <c r="N48" s="50"/>
      <c r="O48" s="50"/>
      <c r="P48" s="50"/>
      <c r="Q48" s="50"/>
      <c r="R48" s="50"/>
      <c r="S48" s="50"/>
      <c r="T48" s="50"/>
      <c r="U48" s="50"/>
      <c r="V48" s="50"/>
      <c r="W48" s="50"/>
    </row>
    <row r="49" ht="15.75" customHeight="1">
      <c r="A49" s="50"/>
      <c r="B49" s="59"/>
      <c r="C49" s="49" t="s">
        <v>233</v>
      </c>
      <c r="D49" s="47" t="s">
        <v>1313</v>
      </c>
      <c r="E49" s="51" t="s">
        <v>206</v>
      </c>
      <c r="F49" s="46" t="s">
        <v>1314</v>
      </c>
      <c r="G49" s="50"/>
      <c r="H49" s="53" t="s">
        <v>1315</v>
      </c>
      <c r="I49" s="50"/>
      <c r="J49" s="21"/>
      <c r="K49" s="50"/>
      <c r="L49" s="50"/>
      <c r="M49" s="50"/>
      <c r="N49" s="50"/>
      <c r="O49" s="50"/>
      <c r="P49" s="50"/>
      <c r="Q49" s="50"/>
      <c r="R49" s="50"/>
      <c r="S49" s="50"/>
      <c r="T49" s="50"/>
      <c r="U49" s="50"/>
      <c r="V49" s="50"/>
      <c r="W49" s="50"/>
    </row>
    <row r="50" ht="15.75" customHeight="1">
      <c r="A50" s="50"/>
      <c r="B50" s="59"/>
      <c r="C50" s="49" t="s">
        <v>243</v>
      </c>
      <c r="D50" s="47" t="s">
        <v>1316</v>
      </c>
      <c r="E50" s="51" t="s">
        <v>226</v>
      </c>
      <c r="F50" s="46" t="s">
        <v>1317</v>
      </c>
      <c r="G50" s="50"/>
      <c r="H50" s="53" t="s">
        <v>1315</v>
      </c>
      <c r="I50" s="50"/>
      <c r="J50" s="21"/>
      <c r="K50" s="50"/>
      <c r="L50" s="50"/>
      <c r="M50" s="50"/>
      <c r="N50" s="50"/>
      <c r="O50" s="50"/>
      <c r="P50" s="50"/>
      <c r="Q50" s="50"/>
      <c r="R50" s="50"/>
      <c r="S50" s="50"/>
      <c r="T50" s="50"/>
      <c r="U50" s="50"/>
      <c r="V50" s="50"/>
      <c r="W50" s="50"/>
    </row>
    <row r="51" ht="15.75" customHeight="1">
      <c r="A51" s="50"/>
      <c r="B51" s="59"/>
      <c r="C51" s="49" t="s">
        <v>249</v>
      </c>
      <c r="D51" s="47" t="s">
        <v>1190</v>
      </c>
      <c r="E51" s="51" t="s">
        <v>363</v>
      </c>
      <c r="F51" s="46" t="s">
        <v>1318</v>
      </c>
      <c r="G51" s="50"/>
      <c r="H51" s="53"/>
      <c r="I51" s="50"/>
      <c r="J51" s="21"/>
      <c r="K51" s="50"/>
      <c r="L51" s="50"/>
      <c r="M51" s="50"/>
      <c r="N51" s="50"/>
      <c r="O51" s="50"/>
      <c r="P51" s="50"/>
      <c r="Q51" s="50"/>
      <c r="R51" s="50"/>
      <c r="S51" s="50"/>
      <c r="T51" s="50"/>
      <c r="U51" s="50"/>
      <c r="V51" s="50"/>
      <c r="W51" s="50"/>
    </row>
    <row r="52" ht="15.75" customHeight="1">
      <c r="A52" s="50"/>
      <c r="B52" s="59"/>
      <c r="C52" s="49" t="s">
        <v>396</v>
      </c>
      <c r="D52" s="47" t="s">
        <v>1319</v>
      </c>
      <c r="E52" s="49" t="s">
        <v>87</v>
      </c>
      <c r="F52" s="47" t="s">
        <v>1320</v>
      </c>
      <c r="G52" s="50"/>
      <c r="H52" s="53"/>
      <c r="I52" s="50"/>
      <c r="J52" s="21"/>
      <c r="K52" s="50"/>
      <c r="L52" s="50"/>
      <c r="M52" s="50"/>
      <c r="N52" s="50"/>
      <c r="O52" s="50"/>
      <c r="P52" s="50"/>
      <c r="Q52" s="50"/>
      <c r="R52" s="50"/>
      <c r="S52" s="50"/>
      <c r="T52" s="50"/>
      <c r="U52" s="50"/>
      <c r="V52" s="50"/>
      <c r="W52" s="50"/>
    </row>
    <row r="53" ht="15.75" customHeight="1">
      <c r="A53" s="50"/>
      <c r="B53" s="59"/>
      <c r="C53" s="49" t="s">
        <v>398</v>
      </c>
      <c r="D53" s="47" t="s">
        <v>1321</v>
      </c>
      <c r="E53" s="49" t="s">
        <v>838</v>
      </c>
      <c r="F53" s="46" t="s">
        <v>1322</v>
      </c>
      <c r="G53" s="50"/>
      <c r="H53" s="53"/>
      <c r="I53" s="50"/>
      <c r="J53" s="21"/>
      <c r="K53" s="50"/>
      <c r="L53" s="50"/>
      <c r="M53" s="50"/>
      <c r="N53" s="50"/>
      <c r="O53" s="50"/>
      <c r="P53" s="50"/>
      <c r="Q53" s="50"/>
      <c r="R53" s="50"/>
      <c r="S53" s="50"/>
      <c r="T53" s="50"/>
      <c r="U53" s="50"/>
      <c r="V53" s="50"/>
      <c r="W53" s="50"/>
    </row>
    <row r="54" ht="15.75" customHeight="1">
      <c r="A54" s="50"/>
      <c r="B54" s="59"/>
      <c r="C54" s="49" t="s">
        <v>985</v>
      </c>
      <c r="D54" s="47" t="s">
        <v>1199</v>
      </c>
      <c r="E54" s="51" t="s">
        <v>153</v>
      </c>
      <c r="F54" s="46" t="s">
        <v>1323</v>
      </c>
      <c r="G54" s="50"/>
      <c r="H54" s="53"/>
      <c r="I54" s="50"/>
      <c r="J54" s="21"/>
      <c r="K54" s="50"/>
      <c r="L54" s="50"/>
      <c r="M54" s="50"/>
      <c r="N54" s="50"/>
      <c r="O54" s="50"/>
      <c r="P54" s="50"/>
      <c r="Q54" s="50"/>
      <c r="R54" s="50"/>
      <c r="S54" s="50"/>
      <c r="T54" s="50"/>
      <c r="U54" s="50"/>
      <c r="V54" s="50"/>
      <c r="W54" s="50"/>
    </row>
    <row r="55" ht="15.75" customHeight="1">
      <c r="A55" s="50"/>
      <c r="B55" s="59"/>
      <c r="C55" s="50"/>
      <c r="D55" s="59"/>
      <c r="E55" s="51" t="s">
        <v>33</v>
      </c>
      <c r="F55" s="46" t="s">
        <v>1324</v>
      </c>
      <c r="G55" s="50"/>
      <c r="H55" s="53" t="s">
        <v>1325</v>
      </c>
      <c r="I55" s="50"/>
      <c r="J55" s="21"/>
      <c r="K55" s="50"/>
      <c r="L55" s="50"/>
      <c r="M55" s="50"/>
      <c r="N55" s="50"/>
      <c r="O55" s="50"/>
      <c r="P55" s="50"/>
      <c r="Q55" s="50"/>
      <c r="R55" s="50"/>
      <c r="S55" s="50"/>
      <c r="T55" s="50"/>
      <c r="U55" s="50"/>
      <c r="V55" s="50"/>
      <c r="W55" s="50"/>
    </row>
    <row r="56" ht="15.75" customHeight="1">
      <c r="A56" s="50"/>
      <c r="B56" s="59"/>
      <c r="C56" s="50"/>
      <c r="D56" s="59"/>
      <c r="E56" s="51" t="s">
        <v>52</v>
      </c>
      <c r="F56" s="46" t="s">
        <v>1326</v>
      </c>
      <c r="G56" s="50"/>
      <c r="H56" s="53"/>
      <c r="I56" s="50"/>
      <c r="J56" s="21"/>
      <c r="K56" s="50"/>
      <c r="L56" s="50"/>
      <c r="M56" s="50"/>
      <c r="N56" s="50"/>
      <c r="O56" s="50"/>
      <c r="P56" s="50"/>
      <c r="Q56" s="50"/>
      <c r="R56" s="50"/>
      <c r="S56" s="50"/>
      <c r="T56" s="50"/>
      <c r="U56" s="50"/>
      <c r="V56" s="50"/>
      <c r="W56" s="50"/>
    </row>
    <row r="57" ht="15.75" customHeight="1">
      <c r="A57" s="50"/>
      <c r="B57" s="59"/>
      <c r="C57" s="50"/>
      <c r="D57" s="59"/>
      <c r="E57" s="49" t="s">
        <v>106</v>
      </c>
      <c r="F57" s="47" t="s">
        <v>1327</v>
      </c>
      <c r="G57" s="50"/>
      <c r="H57" s="53"/>
      <c r="I57" s="50"/>
      <c r="J57" s="21"/>
      <c r="K57" s="50"/>
      <c r="L57" s="50"/>
      <c r="M57" s="50"/>
      <c r="N57" s="50"/>
      <c r="O57" s="50"/>
      <c r="P57" s="50"/>
      <c r="Q57" s="50"/>
      <c r="R57" s="50"/>
      <c r="S57" s="50"/>
      <c r="T57" s="50"/>
      <c r="U57" s="50"/>
      <c r="V57" s="50"/>
      <c r="W57" s="50"/>
    </row>
    <row r="58" ht="15.75" customHeight="1">
      <c r="A58" s="50"/>
      <c r="B58" s="59"/>
      <c r="C58" s="50"/>
      <c r="D58" s="59"/>
      <c r="E58" s="57" t="s">
        <v>126</v>
      </c>
      <c r="F58" s="47" t="s">
        <v>1328</v>
      </c>
      <c r="G58" s="50"/>
      <c r="H58" s="53"/>
      <c r="I58" s="50"/>
      <c r="J58" s="21"/>
      <c r="K58" s="50"/>
      <c r="L58" s="50"/>
      <c r="M58" s="50"/>
      <c r="N58" s="50"/>
      <c r="O58" s="50"/>
      <c r="P58" s="50"/>
      <c r="Q58" s="50"/>
      <c r="R58" s="50"/>
      <c r="S58" s="50"/>
      <c r="T58" s="50"/>
      <c r="U58" s="50"/>
      <c r="V58" s="50"/>
      <c r="W58" s="50"/>
    </row>
    <row r="59" ht="15.75" customHeight="1">
      <c r="A59" s="50"/>
      <c r="B59" s="59"/>
      <c r="C59" s="50"/>
      <c r="D59" s="59"/>
      <c r="E59" s="51" t="s">
        <v>160</v>
      </c>
      <c r="F59" s="46" t="s">
        <v>1222</v>
      </c>
      <c r="G59" s="50"/>
      <c r="H59" s="53" t="s">
        <v>1329</v>
      </c>
      <c r="I59" s="50"/>
      <c r="J59" s="21"/>
      <c r="K59" s="50"/>
      <c r="L59" s="50"/>
      <c r="M59" s="50"/>
      <c r="N59" s="50"/>
      <c r="O59" s="50"/>
      <c r="P59" s="50"/>
      <c r="Q59" s="50"/>
      <c r="R59" s="50"/>
      <c r="S59" s="50"/>
      <c r="T59" s="50"/>
      <c r="U59" s="50"/>
      <c r="V59" s="50"/>
      <c r="W59" s="50"/>
    </row>
    <row r="60" ht="15.75" customHeight="1">
      <c r="A60" s="50"/>
      <c r="B60" s="59"/>
      <c r="C60" s="50"/>
      <c r="D60" s="59"/>
      <c r="E60" s="51" t="s">
        <v>234</v>
      </c>
      <c r="F60" s="46" t="s">
        <v>1330</v>
      </c>
      <c r="G60" s="50"/>
      <c r="H60" s="56" t="s">
        <v>348</v>
      </c>
      <c r="I60" s="50"/>
      <c r="J60" s="21"/>
      <c r="K60" s="50"/>
      <c r="L60" s="50"/>
      <c r="M60" s="50"/>
      <c r="N60" s="50"/>
      <c r="O60" s="50"/>
      <c r="P60" s="50"/>
      <c r="Q60" s="50"/>
      <c r="R60" s="50"/>
      <c r="S60" s="50"/>
      <c r="T60" s="50"/>
      <c r="U60" s="50"/>
      <c r="V60" s="50"/>
      <c r="W60" s="50"/>
    </row>
    <row r="61" ht="15.75" customHeight="1">
      <c r="A61" s="50"/>
      <c r="B61" s="59"/>
      <c r="C61" s="50"/>
      <c r="D61" s="59"/>
      <c r="E61" s="51" t="s">
        <v>390</v>
      </c>
      <c r="F61" s="46" t="s">
        <v>1208</v>
      </c>
      <c r="G61" s="50"/>
      <c r="H61" s="56" t="s">
        <v>350</v>
      </c>
      <c r="I61" s="50"/>
      <c r="J61" s="21"/>
      <c r="K61" s="50"/>
      <c r="L61" s="50"/>
      <c r="M61" s="50"/>
      <c r="N61" s="50"/>
      <c r="O61" s="50"/>
      <c r="P61" s="50"/>
      <c r="Q61" s="50"/>
      <c r="R61" s="50"/>
      <c r="S61" s="50"/>
      <c r="T61" s="50"/>
      <c r="U61" s="50"/>
      <c r="V61" s="50"/>
      <c r="W61" s="50"/>
    </row>
    <row r="62" ht="15.75" customHeight="1">
      <c r="A62" s="50"/>
      <c r="B62" s="59"/>
      <c r="C62" s="50"/>
      <c r="D62" s="59"/>
      <c r="E62" s="51" t="s">
        <v>283</v>
      </c>
      <c r="F62" s="46" t="s">
        <v>1270</v>
      </c>
      <c r="G62" s="50"/>
      <c r="H62" s="56" t="s">
        <v>352</v>
      </c>
      <c r="I62" s="50"/>
      <c r="J62" s="21"/>
      <c r="K62" s="50"/>
      <c r="L62" s="50"/>
      <c r="M62" s="50"/>
      <c r="N62" s="50"/>
      <c r="O62" s="50"/>
      <c r="P62" s="50"/>
      <c r="Q62" s="50"/>
      <c r="R62" s="50"/>
      <c r="S62" s="50"/>
      <c r="T62" s="50"/>
      <c r="U62" s="50"/>
      <c r="V62" s="50"/>
      <c r="W62" s="50"/>
    </row>
    <row r="63" ht="15.75" customHeight="1">
      <c r="A63" s="50"/>
      <c r="B63" s="59"/>
      <c r="C63" s="50"/>
      <c r="D63" s="59"/>
      <c r="E63" s="49" t="s">
        <v>131</v>
      </c>
      <c r="F63" s="47" t="s">
        <v>1331</v>
      </c>
      <c r="G63" s="50"/>
      <c r="H63" s="56" t="s">
        <v>354</v>
      </c>
      <c r="I63" s="50"/>
      <c r="J63" s="21"/>
      <c r="K63" s="50"/>
      <c r="L63" s="50"/>
      <c r="M63" s="50"/>
      <c r="N63" s="50"/>
      <c r="O63" s="50"/>
      <c r="P63" s="50"/>
      <c r="Q63" s="50"/>
      <c r="R63" s="50"/>
      <c r="S63" s="50"/>
      <c r="T63" s="50"/>
      <c r="U63" s="50"/>
      <c r="V63" s="50"/>
      <c r="W63" s="50"/>
    </row>
    <row r="64" ht="15.75" customHeight="1">
      <c r="A64" s="50"/>
      <c r="B64" s="59"/>
      <c r="C64" s="50"/>
      <c r="D64" s="59"/>
      <c r="E64" s="51" t="s">
        <v>114</v>
      </c>
      <c r="F64" s="46" t="s">
        <v>1332</v>
      </c>
      <c r="G64" s="50"/>
      <c r="H64" s="56" t="s">
        <v>356</v>
      </c>
      <c r="I64" s="50"/>
      <c r="J64" s="21"/>
      <c r="K64" s="50"/>
      <c r="L64" s="50"/>
      <c r="M64" s="50"/>
      <c r="N64" s="50"/>
      <c r="O64" s="50"/>
      <c r="P64" s="50"/>
      <c r="Q64" s="50"/>
      <c r="R64" s="50"/>
      <c r="S64" s="50"/>
      <c r="T64" s="50"/>
      <c r="U64" s="50"/>
      <c r="V64" s="50"/>
      <c r="W64" s="50"/>
    </row>
    <row r="65" ht="15.75" customHeight="1">
      <c r="A65" s="50"/>
      <c r="B65" s="59"/>
      <c r="C65" s="50"/>
      <c r="D65" s="59"/>
      <c r="E65" s="51" t="s">
        <v>273</v>
      </c>
      <c r="F65" s="46" t="s">
        <v>1333</v>
      </c>
      <c r="G65" s="50"/>
      <c r="H65" s="56" t="s">
        <v>454</v>
      </c>
      <c r="I65" s="50"/>
      <c r="J65" s="21"/>
      <c r="K65" s="50"/>
      <c r="L65" s="50"/>
      <c r="M65" s="50"/>
      <c r="N65" s="50"/>
      <c r="O65" s="50"/>
      <c r="P65" s="50"/>
      <c r="Q65" s="50"/>
      <c r="R65" s="50"/>
      <c r="S65" s="50"/>
      <c r="T65" s="50"/>
      <c r="U65" s="50"/>
      <c r="V65" s="50"/>
      <c r="W65" s="50"/>
    </row>
    <row r="66" ht="15.75" customHeight="1">
      <c r="A66" s="50"/>
      <c r="B66" s="59"/>
      <c r="C66" s="50"/>
      <c r="D66" s="59"/>
      <c r="E66" s="51" t="s">
        <v>380</v>
      </c>
      <c r="F66" s="46" t="s">
        <v>1334</v>
      </c>
      <c r="G66" s="50"/>
      <c r="H66" s="56" t="s">
        <v>456</v>
      </c>
      <c r="I66" s="50"/>
      <c r="J66" s="21"/>
      <c r="K66" s="50"/>
      <c r="L66" s="50"/>
      <c r="M66" s="50"/>
      <c r="N66" s="50"/>
      <c r="O66" s="50"/>
      <c r="P66" s="50"/>
      <c r="Q66" s="50"/>
      <c r="R66" s="50"/>
      <c r="S66" s="50"/>
      <c r="T66" s="50"/>
      <c r="U66" s="50"/>
      <c r="V66" s="50"/>
      <c r="W66" s="50"/>
    </row>
    <row r="67" ht="15.75" customHeight="1">
      <c r="A67" s="50"/>
      <c r="B67" s="59"/>
      <c r="C67" s="50"/>
      <c r="D67" s="59"/>
      <c r="E67" s="51" t="s">
        <v>147</v>
      </c>
      <c r="F67" s="46" t="s">
        <v>1335</v>
      </c>
      <c r="G67" s="50"/>
      <c r="H67" s="56" t="s">
        <v>1336</v>
      </c>
      <c r="I67" s="50"/>
      <c r="J67" s="21"/>
      <c r="K67" s="50"/>
      <c r="L67" s="50"/>
      <c r="M67" s="50"/>
      <c r="N67" s="50"/>
      <c r="O67" s="50"/>
      <c r="P67" s="50"/>
      <c r="Q67" s="50"/>
      <c r="R67" s="50"/>
      <c r="S67" s="50"/>
      <c r="T67" s="50"/>
      <c r="U67" s="50"/>
      <c r="V67" s="50"/>
      <c r="W67" s="50"/>
    </row>
    <row r="68" ht="15.75" customHeight="1">
      <c r="A68" s="50"/>
      <c r="B68" s="59"/>
      <c r="C68" s="50"/>
      <c r="D68" s="59"/>
      <c r="E68" s="51" t="s">
        <v>90</v>
      </c>
      <c r="F68" s="46" t="s">
        <v>1337</v>
      </c>
      <c r="G68" s="50"/>
      <c r="H68" s="56" t="s">
        <v>1338</v>
      </c>
      <c r="I68" s="50"/>
      <c r="J68" s="21"/>
      <c r="K68" s="50"/>
      <c r="L68" s="50"/>
      <c r="M68" s="50"/>
      <c r="N68" s="50"/>
      <c r="O68" s="50"/>
      <c r="P68" s="50"/>
      <c r="Q68" s="50"/>
      <c r="R68" s="50"/>
      <c r="S68" s="50"/>
      <c r="T68" s="50"/>
      <c r="U68" s="50"/>
      <c r="V68" s="50"/>
      <c r="W68" s="50"/>
    </row>
    <row r="69" ht="15.75" customHeight="1">
      <c r="A69" s="50"/>
      <c r="B69" s="59"/>
      <c r="C69" s="50"/>
      <c r="D69" s="59"/>
      <c r="E69" s="51" t="s">
        <v>304</v>
      </c>
      <c r="F69" s="46" t="s">
        <v>1339</v>
      </c>
      <c r="G69" s="50"/>
      <c r="H69" s="56" t="s">
        <v>1340</v>
      </c>
      <c r="I69" s="50"/>
      <c r="J69" s="21"/>
      <c r="K69" s="50"/>
      <c r="L69" s="50"/>
      <c r="M69" s="50"/>
      <c r="N69" s="50"/>
      <c r="O69" s="50"/>
      <c r="P69" s="50"/>
      <c r="Q69" s="50"/>
      <c r="R69" s="50"/>
      <c r="S69" s="50"/>
      <c r="T69" s="50"/>
      <c r="U69" s="50"/>
      <c r="V69" s="50"/>
      <c r="W69" s="50"/>
    </row>
    <row r="70" ht="15.75" customHeight="1">
      <c r="A70" s="50"/>
      <c r="B70" s="59"/>
      <c r="C70" s="50"/>
      <c r="D70" s="59"/>
      <c r="E70" s="51" t="s">
        <v>231</v>
      </c>
      <c r="F70" s="46" t="s">
        <v>1341</v>
      </c>
      <c r="G70" s="50"/>
      <c r="H70" s="53"/>
      <c r="I70" s="50"/>
      <c r="J70" s="21"/>
      <c r="K70" s="50"/>
      <c r="L70" s="50"/>
      <c r="M70" s="50"/>
      <c r="N70" s="50"/>
      <c r="O70" s="50"/>
      <c r="P70" s="50"/>
      <c r="Q70" s="50"/>
      <c r="R70" s="50"/>
      <c r="S70" s="50"/>
      <c r="T70" s="50"/>
      <c r="U70" s="50"/>
      <c r="V70" s="50"/>
      <c r="W70" s="50"/>
    </row>
    <row r="71" ht="15.75" customHeight="1">
      <c r="A71" s="50"/>
      <c r="B71" s="59"/>
      <c r="C71" s="50"/>
      <c r="D71" s="59"/>
      <c r="E71" s="51" t="s">
        <v>65</v>
      </c>
      <c r="F71" s="47" t="s">
        <v>1342</v>
      </c>
      <c r="G71" s="50"/>
      <c r="H71" s="53"/>
      <c r="I71" s="50"/>
      <c r="J71" s="21"/>
      <c r="K71" s="50"/>
      <c r="L71" s="50"/>
      <c r="M71" s="50"/>
      <c r="N71" s="50"/>
      <c r="O71" s="50"/>
      <c r="P71" s="50"/>
      <c r="Q71" s="50"/>
      <c r="R71" s="50"/>
      <c r="S71" s="50"/>
      <c r="T71" s="50"/>
      <c r="U71" s="50"/>
      <c r="V71" s="50"/>
      <c r="W71" s="50"/>
    </row>
    <row r="72" ht="15.75" customHeight="1">
      <c r="A72" s="50"/>
      <c r="B72" s="59"/>
      <c r="C72" s="50"/>
      <c r="D72" s="59"/>
      <c r="E72" s="51" t="s">
        <v>404</v>
      </c>
      <c r="F72" s="46" t="s">
        <v>1343</v>
      </c>
      <c r="G72" s="50"/>
      <c r="H72" s="53"/>
      <c r="I72" s="50"/>
      <c r="J72" s="21"/>
      <c r="K72" s="50"/>
      <c r="L72" s="50"/>
      <c r="M72" s="50"/>
      <c r="N72" s="50"/>
      <c r="O72" s="50"/>
      <c r="P72" s="50"/>
      <c r="Q72" s="50"/>
      <c r="R72" s="50"/>
      <c r="S72" s="50"/>
      <c r="T72" s="50"/>
      <c r="U72" s="50"/>
      <c r="V72" s="50"/>
      <c r="W72" s="50"/>
    </row>
    <row r="73" ht="15.75" customHeight="1">
      <c r="A73" s="50"/>
      <c r="B73" s="59"/>
      <c r="C73" s="50"/>
      <c r="D73" s="59"/>
      <c r="E73" s="51" t="s">
        <v>239</v>
      </c>
      <c r="F73" s="46" t="s">
        <v>1344</v>
      </c>
      <c r="G73" s="50"/>
      <c r="H73" s="53"/>
      <c r="I73" s="50"/>
      <c r="J73" s="21"/>
      <c r="K73" s="50"/>
      <c r="L73" s="50"/>
      <c r="M73" s="50"/>
      <c r="N73" s="50"/>
      <c r="O73" s="50"/>
      <c r="P73" s="50"/>
      <c r="Q73" s="50"/>
      <c r="R73" s="50"/>
      <c r="S73" s="50"/>
      <c r="T73" s="50"/>
      <c r="U73" s="50"/>
      <c r="V73" s="50"/>
      <c r="W73" s="50"/>
    </row>
    <row r="74" ht="15.75" customHeight="1">
      <c r="A74" s="50"/>
      <c r="B74" s="59"/>
      <c r="C74" s="50"/>
      <c r="D74" s="59"/>
      <c r="E74" s="49" t="s">
        <v>217</v>
      </c>
      <c r="F74" s="47" t="s">
        <v>1345</v>
      </c>
      <c r="G74" s="50"/>
      <c r="H74" s="53"/>
      <c r="I74" s="50"/>
      <c r="J74" s="21"/>
      <c r="K74" s="50"/>
      <c r="L74" s="50"/>
      <c r="M74" s="50"/>
      <c r="N74" s="50"/>
      <c r="O74" s="50"/>
      <c r="P74" s="50"/>
      <c r="Q74" s="50"/>
      <c r="R74" s="50"/>
      <c r="S74" s="50"/>
      <c r="T74" s="50"/>
      <c r="U74" s="50"/>
      <c r="V74" s="50"/>
      <c r="W74" s="50"/>
    </row>
    <row r="75" ht="15.75" customHeight="1">
      <c r="A75" s="50"/>
      <c r="B75" s="59"/>
      <c r="C75" s="50"/>
      <c r="D75" s="59"/>
      <c r="E75" s="51" t="s">
        <v>336</v>
      </c>
      <c r="F75" s="46" t="s">
        <v>1346</v>
      </c>
      <c r="G75" s="50"/>
      <c r="H75" s="53"/>
      <c r="I75" s="50"/>
      <c r="J75" s="21"/>
      <c r="K75" s="50"/>
      <c r="L75" s="50"/>
      <c r="M75" s="50"/>
      <c r="N75" s="50"/>
      <c r="O75" s="50"/>
      <c r="P75" s="50"/>
      <c r="Q75" s="50"/>
      <c r="R75" s="50"/>
      <c r="S75" s="50"/>
      <c r="T75" s="50"/>
      <c r="U75" s="50"/>
      <c r="V75" s="50"/>
      <c r="W75" s="50"/>
    </row>
    <row r="76" ht="15.75" customHeight="1">
      <c r="A76" s="50"/>
      <c r="B76" s="59"/>
      <c r="C76" s="50"/>
      <c r="D76" s="59"/>
      <c r="E76" s="51" t="s">
        <v>74</v>
      </c>
      <c r="F76" s="46" t="s">
        <v>1180</v>
      </c>
      <c r="G76" s="50"/>
      <c r="H76" s="53"/>
      <c r="I76" s="50"/>
      <c r="J76" s="21"/>
      <c r="K76" s="50"/>
      <c r="L76" s="50"/>
      <c r="M76" s="50"/>
      <c r="N76" s="50"/>
      <c r="O76" s="50"/>
      <c r="P76" s="50"/>
      <c r="Q76" s="50"/>
      <c r="R76" s="50"/>
      <c r="S76" s="50"/>
      <c r="T76" s="50"/>
      <c r="U76" s="50"/>
      <c r="V76" s="50"/>
      <c r="W76" s="50"/>
    </row>
    <row r="77" ht="15.75" customHeight="1">
      <c r="A77" s="50"/>
      <c r="B77" s="59"/>
      <c r="C77" s="50"/>
      <c r="D77" s="59"/>
      <c r="E77" s="51" t="s">
        <v>478</v>
      </c>
      <c r="F77" s="46" t="s">
        <v>1347</v>
      </c>
      <c r="G77" s="50"/>
      <c r="H77" s="53"/>
      <c r="I77" s="50"/>
      <c r="J77" s="21"/>
      <c r="K77" s="50"/>
      <c r="L77" s="50"/>
      <c r="M77" s="50"/>
      <c r="N77" s="50"/>
      <c r="O77" s="50"/>
      <c r="P77" s="50"/>
      <c r="Q77" s="50"/>
      <c r="R77" s="50"/>
      <c r="S77" s="50"/>
      <c r="T77" s="50"/>
      <c r="U77" s="50"/>
      <c r="V77" s="50"/>
      <c r="W77" s="50"/>
    </row>
    <row r="78" ht="15.75" customHeight="1">
      <c r="A78" s="50"/>
      <c r="B78" s="59"/>
      <c r="C78" s="50"/>
      <c r="D78" s="59"/>
      <c r="E78" s="51" t="s">
        <v>41</v>
      </c>
      <c r="F78" s="46" t="s">
        <v>1298</v>
      </c>
      <c r="G78" s="50"/>
      <c r="H78" s="53"/>
      <c r="I78" s="50"/>
      <c r="J78" s="21"/>
      <c r="K78" s="50"/>
      <c r="L78" s="50"/>
      <c r="M78" s="50"/>
      <c r="N78" s="50"/>
      <c r="O78" s="50"/>
      <c r="P78" s="50"/>
      <c r="Q78" s="50"/>
      <c r="R78" s="50"/>
      <c r="S78" s="50"/>
      <c r="T78" s="50"/>
      <c r="U78" s="50"/>
      <c r="V78" s="50"/>
      <c r="W78" s="50"/>
    </row>
    <row r="79" ht="15.75" customHeight="1">
      <c r="A79" s="50"/>
      <c r="B79" s="59"/>
      <c r="C79" s="50"/>
      <c r="D79" s="59"/>
      <c r="E79" s="51" t="s">
        <v>95</v>
      </c>
      <c r="F79" s="46" t="s">
        <v>1348</v>
      </c>
      <c r="G79" s="50"/>
      <c r="H79" s="53"/>
      <c r="I79" s="50"/>
      <c r="J79" s="21"/>
      <c r="K79" s="50"/>
      <c r="L79" s="50"/>
      <c r="M79" s="50"/>
      <c r="N79" s="50"/>
      <c r="O79" s="50"/>
      <c r="P79" s="50"/>
      <c r="Q79" s="50"/>
      <c r="R79" s="50"/>
      <c r="S79" s="50"/>
      <c r="T79" s="50"/>
      <c r="U79" s="50"/>
      <c r="V79" s="50"/>
      <c r="W79" s="50"/>
    </row>
    <row r="80" ht="15.75" customHeight="1">
      <c r="A80" s="50"/>
      <c r="B80" s="59"/>
      <c r="C80" s="50"/>
      <c r="D80" s="59"/>
      <c r="E80" s="51" t="s">
        <v>198</v>
      </c>
      <c r="F80" s="46" t="s">
        <v>1349</v>
      </c>
      <c r="G80" s="50"/>
      <c r="H80" s="53"/>
      <c r="I80" s="50"/>
      <c r="J80" s="21"/>
      <c r="K80" s="50"/>
      <c r="L80" s="50"/>
      <c r="M80" s="50"/>
      <c r="N80" s="50"/>
      <c r="O80" s="50"/>
      <c r="P80" s="50"/>
      <c r="Q80" s="50"/>
      <c r="R80" s="50"/>
      <c r="S80" s="50"/>
      <c r="T80" s="50"/>
      <c r="U80" s="50"/>
      <c r="V80" s="50"/>
      <c r="W80" s="50"/>
    </row>
    <row r="81" ht="15.75" customHeight="1">
      <c r="A81" s="50"/>
      <c r="B81" s="59"/>
      <c r="C81" s="50"/>
      <c r="D81" s="59"/>
      <c r="E81" s="51" t="s">
        <v>399</v>
      </c>
      <c r="F81" s="46" t="s">
        <v>1350</v>
      </c>
      <c r="G81" s="50"/>
      <c r="H81" s="53"/>
      <c r="I81" s="50"/>
      <c r="J81" s="21"/>
      <c r="K81" s="50"/>
      <c r="L81" s="50"/>
      <c r="M81" s="50"/>
      <c r="N81" s="50"/>
      <c r="O81" s="50"/>
      <c r="P81" s="50"/>
      <c r="Q81" s="50"/>
      <c r="R81" s="50"/>
      <c r="S81" s="50"/>
      <c r="T81" s="50"/>
      <c r="U81" s="50"/>
      <c r="V81" s="50"/>
      <c r="W81" s="50"/>
    </row>
    <row r="82" ht="15.75" customHeight="1">
      <c r="A82" s="50"/>
      <c r="B82" s="59"/>
      <c r="C82" s="50"/>
      <c r="D82" s="59"/>
      <c r="E82" s="51" t="s">
        <v>92</v>
      </c>
      <c r="F82" s="46" t="s">
        <v>1351</v>
      </c>
      <c r="G82" s="50"/>
      <c r="H82" s="53"/>
      <c r="I82" s="50"/>
      <c r="J82" s="21"/>
      <c r="K82" s="50"/>
      <c r="L82" s="50"/>
      <c r="M82" s="50"/>
      <c r="N82" s="50"/>
      <c r="O82" s="50"/>
      <c r="P82" s="50"/>
      <c r="Q82" s="50"/>
      <c r="R82" s="50"/>
      <c r="S82" s="50"/>
      <c r="T82" s="50"/>
      <c r="U82" s="50"/>
      <c r="V82" s="50"/>
      <c r="W82" s="50"/>
    </row>
    <row r="83" ht="15.75" customHeight="1">
      <c r="A83" s="50"/>
      <c r="B83" s="59"/>
      <c r="C83" s="50"/>
      <c r="D83" s="59"/>
      <c r="E83" s="51" t="s">
        <v>174</v>
      </c>
      <c r="F83" s="46" t="s">
        <v>1352</v>
      </c>
      <c r="G83" s="50"/>
      <c r="H83" s="53"/>
      <c r="I83" s="50"/>
      <c r="J83" s="21"/>
      <c r="K83" s="50"/>
      <c r="L83" s="50"/>
      <c r="M83" s="50"/>
      <c r="N83" s="50"/>
      <c r="O83" s="50"/>
      <c r="P83" s="50"/>
      <c r="Q83" s="50"/>
      <c r="R83" s="50"/>
      <c r="S83" s="50"/>
      <c r="T83" s="50"/>
      <c r="U83" s="50"/>
      <c r="V83" s="50"/>
      <c r="W83" s="50"/>
    </row>
    <row r="84" ht="15.75" customHeight="1">
      <c r="A84" s="50"/>
      <c r="B84" s="59"/>
      <c r="C84" s="50"/>
      <c r="D84" s="59"/>
      <c r="E84" s="51" t="s">
        <v>180</v>
      </c>
      <c r="F84" s="46" t="s">
        <v>1353</v>
      </c>
      <c r="G84" s="50"/>
      <c r="H84" s="53"/>
      <c r="I84" s="50"/>
      <c r="J84" s="21"/>
      <c r="K84" s="50"/>
      <c r="L84" s="50"/>
      <c r="M84" s="50"/>
      <c r="N84" s="50"/>
      <c r="O84" s="50"/>
      <c r="P84" s="50"/>
      <c r="Q84" s="50"/>
      <c r="R84" s="50"/>
      <c r="S84" s="50"/>
      <c r="T84" s="50"/>
      <c r="U84" s="50"/>
      <c r="V84" s="50"/>
      <c r="W84" s="50"/>
    </row>
    <row r="85" ht="15.75" customHeight="1">
      <c r="A85" s="50"/>
      <c r="B85" s="59"/>
      <c r="C85" s="50"/>
      <c r="D85" s="59"/>
      <c r="E85" s="51" t="s">
        <v>224</v>
      </c>
      <c r="F85" s="46" t="s">
        <v>1354</v>
      </c>
      <c r="G85" s="50"/>
      <c r="H85" s="53"/>
      <c r="I85" s="50"/>
      <c r="J85" s="21"/>
      <c r="K85" s="50"/>
      <c r="L85" s="50"/>
      <c r="M85" s="50"/>
      <c r="N85" s="50"/>
      <c r="O85" s="50"/>
      <c r="P85" s="50"/>
      <c r="Q85" s="50"/>
      <c r="R85" s="50"/>
      <c r="S85" s="50"/>
      <c r="T85" s="50"/>
      <c r="U85" s="50"/>
      <c r="V85" s="50"/>
      <c r="W85" s="50"/>
    </row>
    <row r="86" ht="15.75" customHeight="1">
      <c r="A86" s="50"/>
      <c r="B86" s="59"/>
      <c r="C86" s="50"/>
      <c r="D86" s="59"/>
      <c r="E86" s="51" t="s">
        <v>328</v>
      </c>
      <c r="F86" s="46" t="s">
        <v>1355</v>
      </c>
      <c r="G86" s="50"/>
      <c r="H86" s="53"/>
      <c r="I86" s="50"/>
      <c r="J86" s="21"/>
      <c r="K86" s="50"/>
      <c r="L86" s="50"/>
      <c r="M86" s="50"/>
      <c r="N86" s="50"/>
      <c r="O86" s="50"/>
      <c r="P86" s="50"/>
      <c r="Q86" s="50"/>
      <c r="R86" s="50"/>
      <c r="S86" s="50"/>
      <c r="T86" s="50"/>
      <c r="U86" s="50"/>
      <c r="V86" s="50"/>
      <c r="W86" s="50"/>
    </row>
    <row r="87" ht="15.75" customHeight="1">
      <c r="A87" s="50"/>
      <c r="B87" s="59"/>
      <c r="C87" s="50"/>
      <c r="D87" s="59"/>
      <c r="E87" s="51" t="s">
        <v>319</v>
      </c>
      <c r="F87" s="46" t="s">
        <v>1356</v>
      </c>
      <c r="G87" s="50"/>
      <c r="H87" s="53"/>
      <c r="I87" s="50"/>
      <c r="J87" s="21"/>
      <c r="K87" s="50"/>
      <c r="L87" s="50"/>
      <c r="M87" s="50"/>
      <c r="N87" s="50"/>
      <c r="O87" s="50"/>
      <c r="P87" s="50"/>
      <c r="Q87" s="50"/>
      <c r="R87" s="50"/>
      <c r="S87" s="50"/>
      <c r="T87" s="50"/>
      <c r="U87" s="50"/>
      <c r="V87" s="50"/>
      <c r="W87" s="50"/>
    </row>
    <row r="88" ht="15.75" customHeight="1">
      <c r="A88" s="50"/>
      <c r="B88" s="59"/>
      <c r="C88" s="50"/>
      <c r="D88" s="59"/>
      <c r="E88" s="51" t="s">
        <v>220</v>
      </c>
      <c r="F88" s="46" t="s">
        <v>1357</v>
      </c>
      <c r="G88" s="50"/>
      <c r="H88" s="53"/>
      <c r="I88" s="50"/>
      <c r="J88" s="21"/>
      <c r="K88" s="50"/>
      <c r="L88" s="50"/>
      <c r="M88" s="50"/>
      <c r="N88" s="50"/>
      <c r="O88" s="50"/>
      <c r="P88" s="50"/>
      <c r="Q88" s="50"/>
      <c r="R88" s="50"/>
      <c r="S88" s="50"/>
      <c r="T88" s="50"/>
      <c r="U88" s="50"/>
      <c r="V88" s="50"/>
      <c r="W88" s="50"/>
    </row>
    <row r="89" ht="15.75" customHeight="1">
      <c r="A89" s="50"/>
      <c r="B89" s="59"/>
      <c r="C89" s="50"/>
      <c r="D89" s="59"/>
      <c r="E89" s="51" t="s">
        <v>342</v>
      </c>
      <c r="F89" s="46" t="s">
        <v>1358</v>
      </c>
      <c r="G89" s="50"/>
      <c r="H89" s="53"/>
      <c r="I89" s="50"/>
      <c r="J89" s="21"/>
      <c r="K89" s="50"/>
      <c r="L89" s="50"/>
      <c r="M89" s="50"/>
      <c r="N89" s="50"/>
      <c r="O89" s="50"/>
      <c r="P89" s="50"/>
      <c r="Q89" s="50"/>
      <c r="R89" s="50"/>
      <c r="S89" s="50"/>
      <c r="T89" s="50"/>
      <c r="U89" s="50"/>
      <c r="V89" s="50"/>
      <c r="W89" s="50"/>
    </row>
    <row r="90" ht="15.75" customHeight="1">
      <c r="A90" s="50"/>
      <c r="B90" s="59"/>
      <c r="C90" s="50"/>
      <c r="D90" s="59"/>
      <c r="E90" s="51" t="s">
        <v>470</v>
      </c>
      <c r="F90" s="46" t="s">
        <v>1359</v>
      </c>
      <c r="G90" s="50"/>
      <c r="H90" s="53"/>
      <c r="I90" s="50"/>
      <c r="J90" s="21"/>
      <c r="K90" s="50"/>
      <c r="L90" s="50"/>
      <c r="M90" s="50"/>
      <c r="N90" s="50"/>
      <c r="O90" s="50"/>
      <c r="P90" s="50"/>
      <c r="Q90" s="50"/>
      <c r="R90" s="50"/>
      <c r="S90" s="50"/>
      <c r="T90" s="50"/>
      <c r="U90" s="50"/>
      <c r="V90" s="50"/>
      <c r="W90" s="50"/>
    </row>
    <row r="91" ht="15.75" customHeight="1">
      <c r="A91" s="50"/>
      <c r="B91" s="59"/>
      <c r="C91" s="50"/>
      <c r="D91" s="59"/>
      <c r="E91" s="51" t="s">
        <v>458</v>
      </c>
      <c r="F91" s="46" t="s">
        <v>1360</v>
      </c>
      <c r="G91" s="50"/>
      <c r="H91" s="53"/>
      <c r="I91" s="50"/>
      <c r="J91" s="21"/>
      <c r="K91" s="50"/>
      <c r="L91" s="50"/>
      <c r="M91" s="50"/>
      <c r="N91" s="50"/>
      <c r="O91" s="50"/>
      <c r="P91" s="50"/>
      <c r="Q91" s="50"/>
      <c r="R91" s="50"/>
      <c r="S91" s="50"/>
      <c r="T91" s="50"/>
      <c r="U91" s="50"/>
      <c r="V91" s="50"/>
      <c r="W91" s="50"/>
    </row>
    <row r="92" ht="15.75" customHeight="1">
      <c r="A92" s="50"/>
      <c r="B92" s="59"/>
      <c r="C92" s="50"/>
      <c r="D92" s="59"/>
      <c r="E92" s="51" t="s">
        <v>44</v>
      </c>
      <c r="F92" s="46" t="s">
        <v>1361</v>
      </c>
      <c r="G92" s="50"/>
      <c r="H92" s="53"/>
      <c r="I92" s="50"/>
      <c r="J92" s="21"/>
      <c r="K92" s="50"/>
      <c r="L92" s="50"/>
      <c r="M92" s="50"/>
      <c r="N92" s="50"/>
      <c r="O92" s="50"/>
      <c r="P92" s="50"/>
      <c r="Q92" s="50"/>
      <c r="R92" s="50"/>
      <c r="S92" s="50"/>
      <c r="T92" s="50"/>
      <c r="U92" s="50"/>
      <c r="V92" s="50"/>
      <c r="W92" s="50"/>
    </row>
    <row r="93" ht="15.75" customHeight="1">
      <c r="A93" s="50"/>
      <c r="B93" s="59"/>
      <c r="C93" s="50"/>
      <c r="D93" s="59"/>
      <c r="E93" s="49" t="s">
        <v>1362</v>
      </c>
      <c r="F93" s="46" t="s">
        <v>1363</v>
      </c>
      <c r="G93" s="50"/>
      <c r="H93" s="53"/>
      <c r="I93" s="50"/>
      <c r="J93" s="21"/>
      <c r="K93" s="50"/>
      <c r="L93" s="50"/>
      <c r="M93" s="50"/>
      <c r="N93" s="50"/>
      <c r="O93" s="50"/>
      <c r="P93" s="50"/>
      <c r="Q93" s="50"/>
      <c r="R93" s="50"/>
      <c r="S93" s="50"/>
      <c r="T93" s="50"/>
      <c r="U93" s="50"/>
      <c r="V93" s="50"/>
      <c r="W93" s="50"/>
    </row>
    <row r="94" ht="15.75" customHeight="1">
      <c r="A94" s="50"/>
      <c r="B94" s="59"/>
      <c r="C94" s="50"/>
      <c r="D94" s="59"/>
      <c r="E94" s="51" t="s">
        <v>84</v>
      </c>
      <c r="F94" s="46" t="s">
        <v>1364</v>
      </c>
      <c r="G94" s="50"/>
      <c r="H94" s="53"/>
      <c r="I94" s="50"/>
      <c r="J94" s="21"/>
      <c r="K94" s="50"/>
      <c r="L94" s="50"/>
      <c r="M94" s="50"/>
      <c r="N94" s="50"/>
      <c r="O94" s="50"/>
      <c r="P94" s="50"/>
      <c r="Q94" s="50"/>
      <c r="R94" s="50"/>
      <c r="S94" s="50"/>
      <c r="T94" s="50"/>
      <c r="U94" s="50"/>
      <c r="V94" s="50"/>
      <c r="W94" s="50"/>
    </row>
    <row r="95" ht="15.75" customHeight="1">
      <c r="A95" s="50"/>
      <c r="B95" s="59"/>
      <c r="C95" s="50"/>
      <c r="D95" s="59"/>
      <c r="E95" s="51" t="s">
        <v>119</v>
      </c>
      <c r="F95" s="46" t="s">
        <v>1365</v>
      </c>
      <c r="G95" s="50"/>
      <c r="H95" s="53"/>
      <c r="I95" s="50"/>
      <c r="J95" s="21"/>
      <c r="K95" s="50"/>
      <c r="L95" s="50"/>
      <c r="M95" s="50"/>
      <c r="N95" s="50"/>
      <c r="O95" s="50"/>
      <c r="P95" s="50"/>
      <c r="Q95" s="50"/>
      <c r="R95" s="50"/>
      <c r="S95" s="50"/>
      <c r="T95" s="50"/>
      <c r="U95" s="50"/>
      <c r="V95" s="50"/>
      <c r="W95" s="50"/>
    </row>
    <row r="96" ht="15.75" customHeight="1">
      <c r="A96" s="50"/>
      <c r="B96" s="59"/>
      <c r="C96" s="50"/>
      <c r="D96" s="59"/>
      <c r="E96" s="60" t="s">
        <v>334</v>
      </c>
      <c r="F96" s="61" t="s">
        <v>1366</v>
      </c>
      <c r="G96" s="50"/>
      <c r="H96" s="53"/>
      <c r="I96" s="50"/>
      <c r="J96" s="21"/>
      <c r="K96" s="50"/>
      <c r="L96" s="50"/>
      <c r="M96" s="50"/>
      <c r="N96" s="50"/>
      <c r="O96" s="50"/>
      <c r="P96" s="50"/>
      <c r="Q96" s="50"/>
      <c r="R96" s="50"/>
      <c r="S96" s="50"/>
      <c r="T96" s="50"/>
      <c r="U96" s="50"/>
      <c r="V96" s="50"/>
      <c r="W96" s="50"/>
    </row>
    <row r="97" ht="15.75" customHeight="1">
      <c r="A97" s="50"/>
      <c r="B97" s="59"/>
      <c r="C97" s="50"/>
      <c r="D97" s="59"/>
      <c r="E97" s="49" t="s">
        <v>371</v>
      </c>
      <c r="F97" s="47" t="s">
        <v>1235</v>
      </c>
      <c r="G97" s="50"/>
      <c r="H97" s="53"/>
      <c r="I97" s="50"/>
      <c r="J97" s="21"/>
      <c r="K97" s="50"/>
      <c r="L97" s="50"/>
      <c r="M97" s="50"/>
      <c r="N97" s="50"/>
      <c r="O97" s="50"/>
      <c r="P97" s="50"/>
      <c r="Q97" s="50"/>
      <c r="R97" s="50"/>
      <c r="S97" s="50"/>
      <c r="T97" s="50"/>
      <c r="U97" s="50"/>
      <c r="V97" s="50"/>
      <c r="W97" s="50"/>
    </row>
    <row r="98" ht="15.75" customHeight="1">
      <c r="A98" s="50"/>
      <c r="B98" s="59"/>
      <c r="C98" s="50"/>
      <c r="D98" s="59"/>
      <c r="E98" s="49" t="s">
        <v>373</v>
      </c>
      <c r="F98" s="47" t="s">
        <v>1367</v>
      </c>
      <c r="G98" s="50"/>
      <c r="H98" s="53"/>
      <c r="I98" s="50"/>
      <c r="J98" s="21"/>
      <c r="K98" s="50"/>
      <c r="L98" s="50"/>
      <c r="M98" s="50"/>
      <c r="N98" s="50"/>
      <c r="O98" s="50"/>
      <c r="P98" s="50"/>
      <c r="Q98" s="50"/>
      <c r="R98" s="50"/>
      <c r="S98" s="50"/>
      <c r="T98" s="50"/>
      <c r="U98" s="50"/>
      <c r="V98" s="50"/>
      <c r="W98" s="50"/>
    </row>
    <row r="99" ht="15.75" customHeight="1">
      <c r="A99" s="50"/>
      <c r="B99" s="59"/>
      <c r="C99" s="50"/>
      <c r="D99" s="59"/>
      <c r="E99" s="49" t="s">
        <v>375</v>
      </c>
      <c r="F99" s="47" t="s">
        <v>1158</v>
      </c>
      <c r="G99" s="50"/>
      <c r="H99" s="53"/>
      <c r="I99" s="50"/>
      <c r="J99" s="21"/>
      <c r="K99" s="50"/>
      <c r="L99" s="50"/>
      <c r="M99" s="50"/>
      <c r="N99" s="50"/>
      <c r="O99" s="50"/>
      <c r="P99" s="50"/>
      <c r="Q99" s="50"/>
      <c r="R99" s="50"/>
      <c r="S99" s="50"/>
      <c r="T99" s="50"/>
      <c r="U99" s="50"/>
      <c r="V99" s="50"/>
      <c r="W99" s="50"/>
    </row>
    <row r="100" ht="15.75" customHeight="1">
      <c r="A100" s="50"/>
      <c r="B100" s="59"/>
      <c r="C100" s="50"/>
      <c r="D100" s="59"/>
      <c r="E100" s="62" t="s">
        <v>378</v>
      </c>
      <c r="F100" s="46" t="s">
        <v>1368</v>
      </c>
      <c r="G100" s="50"/>
      <c r="H100" s="53"/>
      <c r="I100" s="50"/>
      <c r="J100" s="21"/>
      <c r="K100" s="50"/>
      <c r="L100" s="50"/>
      <c r="M100" s="50"/>
      <c r="N100" s="50"/>
      <c r="O100" s="50"/>
      <c r="P100" s="50"/>
      <c r="Q100" s="50"/>
      <c r="R100" s="50"/>
      <c r="S100" s="50"/>
      <c r="T100" s="50"/>
      <c r="U100" s="50"/>
      <c r="V100" s="50"/>
      <c r="W100" s="50"/>
    </row>
    <row r="101" ht="15.75" customHeight="1">
      <c r="A101" s="50"/>
      <c r="B101" s="59"/>
      <c r="C101" s="50"/>
      <c r="D101" s="59"/>
      <c r="E101" s="49" t="s">
        <v>386</v>
      </c>
      <c r="F101" s="47" t="s">
        <v>1369</v>
      </c>
      <c r="G101" s="50"/>
      <c r="H101" s="53"/>
      <c r="I101" s="50"/>
      <c r="J101" s="21"/>
      <c r="K101" s="50"/>
      <c r="L101" s="50"/>
      <c r="M101" s="50"/>
      <c r="N101" s="50"/>
      <c r="O101" s="50"/>
      <c r="P101" s="50"/>
      <c r="Q101" s="50"/>
      <c r="R101" s="50"/>
      <c r="S101" s="50"/>
      <c r="T101" s="50"/>
      <c r="U101" s="50"/>
      <c r="V101" s="50"/>
      <c r="W101" s="50"/>
    </row>
    <row r="102" ht="15.75" customHeight="1">
      <c r="A102" s="50"/>
      <c r="B102" s="59"/>
      <c r="C102" s="50"/>
      <c r="D102" s="59"/>
      <c r="E102" s="49" t="s">
        <v>394</v>
      </c>
      <c r="F102" s="47" t="s">
        <v>1370</v>
      </c>
      <c r="G102" s="50"/>
      <c r="H102" s="53"/>
      <c r="I102" s="50"/>
      <c r="J102" s="21"/>
      <c r="K102" s="50"/>
      <c r="L102" s="50"/>
      <c r="M102" s="50"/>
      <c r="N102" s="50"/>
      <c r="O102" s="50"/>
      <c r="P102" s="50"/>
      <c r="Q102" s="50"/>
      <c r="R102" s="50"/>
      <c r="S102" s="50"/>
      <c r="T102" s="50"/>
      <c r="U102" s="50"/>
      <c r="V102" s="50"/>
      <c r="W102" s="50"/>
    </row>
    <row r="103" ht="15.75" customHeight="1">
      <c r="A103" s="50"/>
      <c r="B103" s="59"/>
      <c r="C103" s="50"/>
      <c r="D103" s="59"/>
      <c r="E103" s="49" t="s">
        <v>443</v>
      </c>
      <c r="F103" s="47" t="s">
        <v>1371</v>
      </c>
      <c r="G103" s="50"/>
      <c r="H103" s="53"/>
      <c r="I103" s="50"/>
      <c r="J103" s="21"/>
      <c r="K103" s="50"/>
      <c r="L103" s="50"/>
      <c r="M103" s="50"/>
      <c r="N103" s="50"/>
      <c r="O103" s="50"/>
      <c r="P103" s="50"/>
      <c r="Q103" s="50"/>
      <c r="R103" s="50"/>
      <c r="S103" s="50"/>
      <c r="T103" s="50"/>
      <c r="U103" s="50"/>
      <c r="V103" s="50"/>
      <c r="W103" s="50"/>
    </row>
    <row r="104" ht="15.75" customHeight="1">
      <c r="A104" s="50"/>
      <c r="B104" s="59"/>
      <c r="C104" s="50"/>
      <c r="D104" s="59"/>
      <c r="E104" s="49" t="s">
        <v>474</v>
      </c>
      <c r="F104" s="47" t="s">
        <v>1372</v>
      </c>
      <c r="G104" s="50"/>
      <c r="H104" s="53"/>
      <c r="I104" s="50"/>
      <c r="J104" s="21"/>
      <c r="K104" s="50"/>
      <c r="L104" s="50"/>
      <c r="M104" s="50"/>
      <c r="N104" s="50"/>
      <c r="O104" s="50"/>
      <c r="P104" s="50"/>
      <c r="Q104" s="50"/>
      <c r="R104" s="50"/>
      <c r="S104" s="50"/>
      <c r="T104" s="50"/>
      <c r="U104" s="50"/>
      <c r="V104" s="50"/>
      <c r="W104" s="50"/>
    </row>
    <row r="105" ht="15.75" customHeight="1">
      <c r="A105" s="50"/>
      <c r="B105" s="59"/>
      <c r="C105" s="50"/>
      <c r="D105" s="59"/>
      <c r="E105" s="49" t="s">
        <v>497</v>
      </c>
      <c r="F105" s="47" t="s">
        <v>1373</v>
      </c>
      <c r="G105" s="50"/>
      <c r="H105" s="53"/>
      <c r="I105" s="50"/>
      <c r="J105" s="21"/>
      <c r="K105" s="50"/>
      <c r="L105" s="50"/>
      <c r="M105" s="50"/>
      <c r="N105" s="50"/>
      <c r="O105" s="50"/>
      <c r="P105" s="50"/>
      <c r="Q105" s="50"/>
      <c r="R105" s="50"/>
      <c r="S105" s="50"/>
      <c r="T105" s="50"/>
      <c r="U105" s="50"/>
      <c r="V105" s="50"/>
      <c r="W105" s="50"/>
    </row>
    <row r="106" ht="15.75" customHeight="1">
      <c r="A106" s="50"/>
      <c r="B106" s="59"/>
      <c r="C106" s="50"/>
      <c r="D106" s="59"/>
      <c r="E106" s="49" t="s">
        <v>503</v>
      </c>
      <c r="F106" s="47" t="s">
        <v>1374</v>
      </c>
      <c r="G106" s="50"/>
      <c r="H106" s="53"/>
      <c r="I106" s="50"/>
      <c r="J106" s="21"/>
      <c r="K106" s="50"/>
      <c r="L106" s="50"/>
      <c r="M106" s="50"/>
      <c r="N106" s="50"/>
      <c r="O106" s="50"/>
      <c r="P106" s="50"/>
      <c r="Q106" s="50"/>
      <c r="R106" s="50"/>
      <c r="S106" s="50"/>
      <c r="T106" s="50"/>
      <c r="U106" s="50"/>
      <c r="V106" s="50"/>
      <c r="W106" s="50"/>
    </row>
    <row r="107" ht="15.75" customHeight="1">
      <c r="A107" s="50"/>
      <c r="B107" s="59"/>
      <c r="C107" s="50"/>
      <c r="D107" s="59"/>
      <c r="E107" s="49" t="s">
        <v>896</v>
      </c>
      <c r="F107" s="47" t="s">
        <v>1375</v>
      </c>
      <c r="G107" s="50"/>
      <c r="H107" s="53"/>
      <c r="I107" s="50"/>
      <c r="J107" s="21"/>
      <c r="K107" s="50"/>
      <c r="L107" s="50"/>
      <c r="M107" s="50"/>
      <c r="N107" s="50"/>
      <c r="O107" s="50"/>
      <c r="P107" s="50"/>
      <c r="Q107" s="50"/>
      <c r="R107" s="50"/>
      <c r="S107" s="50"/>
      <c r="T107" s="50"/>
      <c r="U107" s="50"/>
      <c r="V107" s="50"/>
      <c r="W107" s="50"/>
    </row>
    <row r="108" ht="15.75" customHeight="1">
      <c r="A108" s="50"/>
      <c r="B108" s="59"/>
      <c r="C108" s="50"/>
      <c r="D108" s="59"/>
      <c r="E108" s="49" t="s">
        <v>915</v>
      </c>
      <c r="F108" s="47" t="s">
        <v>1376</v>
      </c>
      <c r="G108" s="50"/>
      <c r="H108" s="53"/>
      <c r="I108" s="50"/>
      <c r="J108" s="21"/>
      <c r="K108" s="50"/>
      <c r="L108" s="50"/>
      <c r="M108" s="50"/>
      <c r="N108" s="50"/>
      <c r="O108" s="50"/>
      <c r="P108" s="50"/>
      <c r="Q108" s="50"/>
      <c r="R108" s="50"/>
      <c r="S108" s="50"/>
      <c r="T108" s="50"/>
      <c r="U108" s="50"/>
      <c r="V108" s="50"/>
      <c r="W108" s="50"/>
    </row>
    <row r="109" ht="15.75" customHeight="1">
      <c r="A109" s="50"/>
      <c r="B109" s="59"/>
      <c r="C109" s="50"/>
      <c r="D109" s="59"/>
      <c r="E109" s="28" t="s">
        <v>695</v>
      </c>
      <c r="F109" s="28" t="s">
        <v>1377</v>
      </c>
      <c r="G109" s="50"/>
      <c r="H109" s="53"/>
      <c r="I109" s="50"/>
      <c r="J109" s="21"/>
      <c r="K109" s="50"/>
      <c r="L109" s="50"/>
      <c r="M109" s="50"/>
      <c r="N109" s="50"/>
      <c r="O109" s="50"/>
      <c r="P109" s="50"/>
      <c r="Q109" s="50"/>
      <c r="R109" s="50"/>
      <c r="S109" s="50"/>
      <c r="T109" s="50"/>
      <c r="U109" s="50"/>
      <c r="V109" s="50"/>
      <c r="W109" s="50"/>
    </row>
    <row r="110" ht="15.75" customHeight="1">
      <c r="A110" s="50"/>
      <c r="B110" s="59"/>
      <c r="C110" s="50"/>
      <c r="D110" s="59"/>
      <c r="E110" s="28" t="s">
        <v>193</v>
      </c>
      <c r="F110" s="47" t="s">
        <v>1378</v>
      </c>
      <c r="G110" s="50"/>
      <c r="H110" s="53"/>
      <c r="I110" s="50"/>
      <c r="J110" s="50"/>
      <c r="K110" s="50"/>
      <c r="L110" s="50"/>
      <c r="M110" s="50"/>
      <c r="N110" s="50"/>
      <c r="O110" s="50"/>
      <c r="P110" s="50"/>
      <c r="Q110" s="50"/>
      <c r="R110" s="50"/>
      <c r="S110" s="50"/>
      <c r="T110" s="50"/>
      <c r="U110" s="50"/>
      <c r="V110" s="50"/>
      <c r="W110" s="50"/>
    </row>
    <row r="111" ht="15.75" customHeight="1">
      <c r="A111" s="50"/>
      <c r="B111" s="59"/>
      <c r="C111" s="50"/>
      <c r="D111" s="59"/>
      <c r="E111" s="49" t="s">
        <v>778</v>
      </c>
      <c r="F111" s="47" t="s">
        <v>1379</v>
      </c>
      <c r="G111" s="50"/>
      <c r="H111" s="53"/>
      <c r="I111" s="50"/>
      <c r="J111" s="50"/>
      <c r="K111" s="50"/>
      <c r="L111" s="50"/>
      <c r="M111" s="50"/>
      <c r="N111" s="50"/>
      <c r="O111" s="50"/>
      <c r="P111" s="50"/>
      <c r="Q111" s="50"/>
      <c r="R111" s="50"/>
      <c r="S111" s="50"/>
      <c r="T111" s="50"/>
      <c r="U111" s="50"/>
      <c r="V111" s="50"/>
      <c r="W111" s="50"/>
    </row>
    <row r="112" ht="15.75" customHeight="1">
      <c r="A112" s="50"/>
      <c r="B112" s="59"/>
      <c r="C112" s="50"/>
      <c r="D112" s="59"/>
      <c r="E112" s="28" t="s">
        <v>688</v>
      </c>
      <c r="F112" s="28" t="s">
        <v>1380</v>
      </c>
      <c r="G112" s="50"/>
      <c r="H112" s="53"/>
      <c r="I112" s="50"/>
      <c r="J112" s="50"/>
      <c r="K112" s="50"/>
      <c r="L112" s="50"/>
      <c r="M112" s="50"/>
      <c r="N112" s="50"/>
      <c r="O112" s="50"/>
      <c r="P112" s="50"/>
      <c r="Q112" s="50"/>
      <c r="R112" s="50"/>
      <c r="S112" s="50"/>
      <c r="T112" s="50"/>
      <c r="U112" s="50"/>
      <c r="V112" s="50"/>
      <c r="W112" s="50"/>
    </row>
    <row r="113" ht="15.75" customHeight="1">
      <c r="A113" s="50"/>
      <c r="B113" s="59"/>
      <c r="C113" s="50"/>
      <c r="D113" s="59"/>
      <c r="E113" s="28" t="s">
        <v>494</v>
      </c>
      <c r="F113" s="28" t="s">
        <v>1381</v>
      </c>
      <c r="G113" s="50"/>
      <c r="H113" s="53"/>
      <c r="I113" s="50"/>
      <c r="J113" s="50"/>
      <c r="K113" s="50"/>
      <c r="L113" s="50"/>
      <c r="M113" s="50"/>
      <c r="N113" s="50"/>
      <c r="O113" s="50"/>
      <c r="P113" s="50"/>
      <c r="Q113" s="50"/>
      <c r="R113" s="50"/>
      <c r="S113" s="50"/>
      <c r="T113" s="50"/>
      <c r="U113" s="50"/>
      <c r="V113" s="50"/>
      <c r="W113" s="50"/>
    </row>
    <row r="114" ht="15.75" customHeight="1">
      <c r="A114" s="50"/>
      <c r="B114" s="59"/>
      <c r="C114" s="50"/>
      <c r="D114" s="59"/>
      <c r="E114" s="49" t="s">
        <v>499</v>
      </c>
      <c r="F114" s="47" t="s">
        <v>1382</v>
      </c>
      <c r="G114" s="50"/>
      <c r="H114" s="53"/>
      <c r="I114" s="50"/>
      <c r="J114" s="50"/>
      <c r="K114" s="50"/>
      <c r="L114" s="50"/>
      <c r="M114" s="50"/>
      <c r="N114" s="50"/>
      <c r="O114" s="50"/>
      <c r="P114" s="50"/>
      <c r="Q114" s="50"/>
      <c r="R114" s="50"/>
      <c r="S114" s="50"/>
      <c r="T114" s="50"/>
      <c r="U114" s="50"/>
      <c r="V114" s="50"/>
      <c r="W114" s="50"/>
    </row>
    <row r="115" ht="15.75" customHeight="1">
      <c r="A115" s="50"/>
      <c r="B115" s="59"/>
      <c r="C115" s="50"/>
      <c r="D115" s="59"/>
      <c r="E115" s="49" t="s">
        <v>507</v>
      </c>
      <c r="F115" s="47" t="s">
        <v>1383</v>
      </c>
      <c r="G115" s="50"/>
      <c r="H115" s="53"/>
      <c r="I115" s="50"/>
      <c r="J115" s="50"/>
      <c r="K115" s="50"/>
      <c r="L115" s="50"/>
      <c r="M115" s="50"/>
      <c r="N115" s="50"/>
      <c r="O115" s="50"/>
      <c r="P115" s="50"/>
      <c r="Q115" s="50"/>
      <c r="R115" s="50"/>
      <c r="S115" s="50"/>
      <c r="T115" s="50"/>
      <c r="U115" s="50"/>
      <c r="V115" s="50"/>
      <c r="W115" s="50"/>
    </row>
    <row r="116" ht="15.75" customHeight="1">
      <c r="A116" s="50"/>
      <c r="B116" s="59"/>
      <c r="C116" s="50"/>
      <c r="D116" s="59"/>
      <c r="E116" s="49" t="s">
        <v>511</v>
      </c>
      <c r="F116" s="47" t="s">
        <v>1384</v>
      </c>
      <c r="G116" s="50"/>
      <c r="H116" s="53"/>
      <c r="I116" s="50"/>
      <c r="J116" s="50"/>
      <c r="K116" s="50"/>
      <c r="L116" s="50"/>
      <c r="M116" s="50"/>
      <c r="N116" s="50"/>
      <c r="O116" s="50"/>
      <c r="P116" s="50"/>
      <c r="Q116" s="50"/>
      <c r="R116" s="50"/>
      <c r="S116" s="50"/>
      <c r="T116" s="50"/>
      <c r="U116" s="50"/>
      <c r="V116" s="50"/>
      <c r="W116" s="50"/>
    </row>
    <row r="117" ht="15.75" customHeight="1">
      <c r="A117" s="50"/>
      <c r="B117" s="59"/>
      <c r="C117" s="50"/>
      <c r="D117" s="59"/>
      <c r="E117" s="49" t="s">
        <v>863</v>
      </c>
      <c r="F117" s="47" t="s">
        <v>1385</v>
      </c>
      <c r="G117" s="50"/>
      <c r="H117" s="53"/>
      <c r="I117" s="50"/>
      <c r="J117" s="50"/>
      <c r="K117" s="50"/>
      <c r="L117" s="50"/>
      <c r="M117" s="50"/>
      <c r="N117" s="50"/>
      <c r="O117" s="50"/>
      <c r="P117" s="50"/>
      <c r="Q117" s="50"/>
      <c r="R117" s="50"/>
      <c r="S117" s="50"/>
      <c r="T117" s="50"/>
      <c r="U117" s="50"/>
      <c r="V117" s="50"/>
      <c r="W117" s="50"/>
    </row>
    <row r="118" ht="15.75" customHeight="1">
      <c r="A118" s="50"/>
      <c r="B118" s="59"/>
      <c r="C118" s="50"/>
      <c r="D118" s="59"/>
      <c r="E118" s="49" t="s">
        <v>900</v>
      </c>
      <c r="F118" s="47" t="s">
        <v>1386</v>
      </c>
      <c r="G118" s="50"/>
      <c r="H118" s="53"/>
      <c r="I118" s="50"/>
      <c r="J118" s="50"/>
      <c r="K118" s="50"/>
      <c r="L118" s="50"/>
      <c r="M118" s="50"/>
      <c r="N118" s="50"/>
      <c r="O118" s="50"/>
      <c r="P118" s="50"/>
      <c r="Q118" s="50"/>
      <c r="R118" s="50"/>
      <c r="S118" s="50"/>
      <c r="T118" s="50"/>
      <c r="U118" s="50"/>
      <c r="V118" s="50"/>
      <c r="W118" s="50"/>
    </row>
    <row r="119" ht="15.75" customHeight="1">
      <c r="A119" s="50"/>
      <c r="B119" s="59"/>
      <c r="C119" s="50"/>
      <c r="D119" s="59"/>
      <c r="E119" s="49" t="s">
        <v>523</v>
      </c>
      <c r="F119" s="47" t="s">
        <v>1387</v>
      </c>
      <c r="G119" s="50"/>
      <c r="H119" s="53"/>
      <c r="I119" s="50"/>
      <c r="J119" s="50"/>
      <c r="K119" s="50"/>
      <c r="L119" s="50"/>
      <c r="M119" s="50"/>
      <c r="N119" s="50"/>
      <c r="O119" s="50"/>
      <c r="P119" s="50"/>
      <c r="Q119" s="50"/>
      <c r="R119" s="50"/>
      <c r="S119" s="50"/>
      <c r="T119" s="50"/>
      <c r="U119" s="50"/>
      <c r="V119" s="50"/>
      <c r="W119" s="50"/>
    </row>
    <row r="120" ht="15.75" customHeight="1">
      <c r="A120" s="50"/>
      <c r="B120" s="59"/>
      <c r="C120" s="50"/>
      <c r="D120" s="59"/>
      <c r="E120" s="49" t="s">
        <v>853</v>
      </c>
      <c r="F120" s="47" t="s">
        <v>1388</v>
      </c>
      <c r="G120" s="50"/>
      <c r="H120" s="53"/>
      <c r="I120" s="50"/>
      <c r="J120" s="50"/>
      <c r="K120" s="50"/>
      <c r="L120" s="50"/>
      <c r="M120" s="50"/>
      <c r="N120" s="50"/>
      <c r="O120" s="50"/>
      <c r="P120" s="50"/>
      <c r="Q120" s="50"/>
      <c r="R120" s="50"/>
      <c r="S120" s="50"/>
      <c r="T120" s="50"/>
      <c r="U120" s="50"/>
      <c r="V120" s="50"/>
      <c r="W120" s="50"/>
    </row>
    <row r="121" ht="15.75" customHeight="1">
      <c r="A121" s="50"/>
      <c r="B121" s="59"/>
      <c r="C121" s="50"/>
      <c r="D121" s="59"/>
      <c r="E121" s="49" t="s">
        <v>658</v>
      </c>
      <c r="F121" s="47" t="s">
        <v>1389</v>
      </c>
      <c r="G121" s="50"/>
      <c r="H121" s="53"/>
      <c r="I121" s="50"/>
      <c r="J121" s="50"/>
      <c r="K121" s="50"/>
      <c r="L121" s="50"/>
      <c r="M121" s="50"/>
      <c r="N121" s="50"/>
      <c r="O121" s="50"/>
      <c r="P121" s="50"/>
      <c r="Q121" s="50"/>
      <c r="R121" s="50"/>
      <c r="S121" s="50"/>
      <c r="T121" s="50"/>
      <c r="U121" s="50"/>
      <c r="V121" s="50"/>
      <c r="W121" s="50"/>
    </row>
    <row r="122" ht="15.75" customHeight="1">
      <c r="A122" s="50"/>
      <c r="B122" s="59"/>
      <c r="C122" s="50"/>
      <c r="D122" s="59"/>
      <c r="E122" s="49" t="s">
        <v>736</v>
      </c>
      <c r="F122" s="47" t="s">
        <v>1390</v>
      </c>
      <c r="G122" s="50"/>
      <c r="H122" s="53"/>
      <c r="I122" s="50"/>
      <c r="J122" s="50"/>
      <c r="K122" s="50"/>
      <c r="L122" s="50"/>
      <c r="M122" s="50"/>
      <c r="N122" s="50"/>
      <c r="O122" s="50"/>
      <c r="P122" s="50"/>
      <c r="Q122" s="50"/>
      <c r="R122" s="50"/>
      <c r="S122" s="50"/>
      <c r="T122" s="50"/>
      <c r="U122" s="50"/>
      <c r="V122" s="50"/>
      <c r="W122" s="50"/>
    </row>
    <row r="123" ht="15.75" customHeight="1">
      <c r="A123" s="50"/>
      <c r="B123" s="59"/>
      <c r="C123" s="50"/>
      <c r="D123" s="59"/>
      <c r="E123" s="49" t="s">
        <v>823</v>
      </c>
      <c r="F123" s="47" t="s">
        <v>1391</v>
      </c>
      <c r="G123" s="50"/>
      <c r="H123" s="53"/>
      <c r="I123" s="50"/>
      <c r="J123" s="50"/>
      <c r="K123" s="50"/>
      <c r="L123" s="50"/>
      <c r="M123" s="50"/>
      <c r="N123" s="50"/>
      <c r="O123" s="50"/>
      <c r="P123" s="50"/>
      <c r="Q123" s="50"/>
      <c r="R123" s="50"/>
      <c r="S123" s="50"/>
      <c r="T123" s="50"/>
      <c r="U123" s="50"/>
      <c r="V123" s="50"/>
      <c r="W123" s="50"/>
    </row>
    <row r="124" ht="15.75" customHeight="1">
      <c r="A124" s="50"/>
      <c r="B124" s="59"/>
      <c r="C124" s="50"/>
      <c r="D124" s="59"/>
      <c r="E124" s="49" t="s">
        <v>856</v>
      </c>
      <c r="F124" s="47" t="s">
        <v>1392</v>
      </c>
      <c r="G124" s="50"/>
      <c r="H124" s="53"/>
      <c r="I124" s="50"/>
      <c r="J124" s="50"/>
      <c r="K124" s="50"/>
      <c r="L124" s="50"/>
      <c r="M124" s="50"/>
      <c r="N124" s="50"/>
      <c r="O124" s="50"/>
      <c r="P124" s="50"/>
      <c r="Q124" s="50"/>
      <c r="R124" s="50"/>
      <c r="S124" s="50"/>
      <c r="T124" s="50"/>
      <c r="U124" s="50"/>
      <c r="V124" s="50"/>
      <c r="W124" s="50"/>
    </row>
    <row r="125" ht="15.75" customHeight="1">
      <c r="A125" s="50"/>
      <c r="B125" s="59"/>
      <c r="C125" s="50"/>
      <c r="D125" s="59"/>
      <c r="E125" s="49" t="s">
        <v>516</v>
      </c>
      <c r="F125" s="47" t="s">
        <v>1393</v>
      </c>
      <c r="G125" s="50"/>
      <c r="H125" s="53"/>
      <c r="I125" s="50"/>
      <c r="J125" s="50"/>
      <c r="K125" s="50"/>
      <c r="L125" s="50"/>
      <c r="M125" s="50"/>
      <c r="N125" s="50"/>
      <c r="O125" s="50"/>
      <c r="P125" s="50"/>
      <c r="Q125" s="50"/>
      <c r="R125" s="50"/>
      <c r="S125" s="50"/>
      <c r="T125" s="50"/>
      <c r="U125" s="50"/>
      <c r="V125" s="50"/>
      <c r="W125" s="50"/>
    </row>
    <row r="126" ht="15.75" customHeight="1">
      <c r="A126" s="50"/>
      <c r="B126" s="59"/>
      <c r="C126" s="50"/>
      <c r="D126" s="59"/>
      <c r="E126" s="49" t="s">
        <v>810</v>
      </c>
      <c r="F126" s="47" t="s">
        <v>1227</v>
      </c>
      <c r="G126" s="50"/>
      <c r="H126" s="53"/>
      <c r="I126" s="50"/>
      <c r="J126" s="50"/>
      <c r="K126" s="50"/>
      <c r="L126" s="50"/>
      <c r="M126" s="50"/>
      <c r="N126" s="50"/>
      <c r="O126" s="50"/>
      <c r="P126" s="50"/>
      <c r="Q126" s="50"/>
      <c r="R126" s="50"/>
      <c r="S126" s="50"/>
      <c r="T126" s="50"/>
      <c r="U126" s="50"/>
      <c r="V126" s="50"/>
      <c r="W126" s="50"/>
    </row>
    <row r="127" ht="15.75" customHeight="1">
      <c r="A127" s="50"/>
      <c r="B127" s="59"/>
      <c r="C127" s="50"/>
      <c r="D127" s="59"/>
      <c r="E127" s="49" t="s">
        <v>655</v>
      </c>
      <c r="F127" s="47" t="s">
        <v>1394</v>
      </c>
      <c r="G127" s="50"/>
      <c r="H127" s="53"/>
      <c r="I127" s="50"/>
      <c r="J127" s="50"/>
      <c r="K127" s="50"/>
      <c r="L127" s="50"/>
      <c r="M127" s="50"/>
      <c r="N127" s="50"/>
      <c r="O127" s="50"/>
      <c r="P127" s="50"/>
      <c r="Q127" s="50"/>
      <c r="R127" s="50"/>
      <c r="S127" s="50"/>
      <c r="T127" s="50"/>
      <c r="U127" s="50"/>
      <c r="V127" s="50"/>
      <c r="W127" s="50"/>
    </row>
    <row r="128" ht="15.75" customHeight="1">
      <c r="A128" s="50"/>
      <c r="B128" s="59"/>
      <c r="C128" s="50"/>
      <c r="D128" s="59"/>
      <c r="E128" s="49" t="s">
        <v>753</v>
      </c>
      <c r="F128" s="47" t="s">
        <v>1395</v>
      </c>
      <c r="G128" s="50"/>
      <c r="H128" s="53"/>
      <c r="I128" s="50"/>
      <c r="J128" s="50"/>
      <c r="K128" s="50"/>
      <c r="L128" s="50"/>
      <c r="M128" s="50"/>
      <c r="N128" s="50"/>
      <c r="O128" s="50"/>
      <c r="P128" s="50"/>
      <c r="Q128" s="50"/>
      <c r="R128" s="50"/>
      <c r="S128" s="50"/>
      <c r="T128" s="50"/>
      <c r="U128" s="50"/>
      <c r="V128" s="50"/>
      <c r="W128" s="50"/>
    </row>
    <row r="129" ht="15.75" customHeight="1">
      <c r="A129" s="50"/>
      <c r="B129" s="59"/>
      <c r="C129" s="50"/>
      <c r="D129" s="59"/>
      <c r="E129" s="49" t="s">
        <v>492</v>
      </c>
      <c r="F129" s="47" t="s">
        <v>1396</v>
      </c>
      <c r="G129" s="50"/>
      <c r="H129" s="53"/>
      <c r="I129" s="50"/>
      <c r="J129" s="50"/>
      <c r="K129" s="50"/>
      <c r="L129" s="50"/>
      <c r="M129" s="50"/>
      <c r="N129" s="50"/>
      <c r="O129" s="50"/>
      <c r="P129" s="50"/>
      <c r="Q129" s="50"/>
      <c r="R129" s="50"/>
      <c r="S129" s="50"/>
      <c r="T129" s="50"/>
      <c r="U129" s="50"/>
      <c r="V129" s="50"/>
      <c r="W129" s="50"/>
    </row>
    <row r="130" ht="15.75" customHeight="1">
      <c r="A130" s="50"/>
      <c r="B130" s="59"/>
      <c r="C130" s="50"/>
      <c r="D130" s="59"/>
      <c r="E130" s="49" t="s">
        <v>926</v>
      </c>
      <c r="F130" s="47" t="s">
        <v>1397</v>
      </c>
      <c r="G130" s="50"/>
      <c r="H130" s="53"/>
      <c r="I130" s="50"/>
      <c r="J130" s="50"/>
      <c r="K130" s="50"/>
      <c r="L130" s="50"/>
      <c r="M130" s="50"/>
      <c r="N130" s="50"/>
      <c r="O130" s="50"/>
      <c r="P130" s="50"/>
      <c r="Q130" s="50"/>
      <c r="R130" s="50"/>
      <c r="S130" s="50"/>
      <c r="T130" s="50"/>
      <c r="U130" s="50"/>
      <c r="V130" s="50"/>
      <c r="W130" s="50"/>
    </row>
    <row r="131" ht="15.75" customHeight="1">
      <c r="A131" s="50"/>
      <c r="B131" s="59"/>
      <c r="C131" s="50"/>
      <c r="D131" s="59"/>
      <c r="E131" s="49" t="s">
        <v>518</v>
      </c>
      <c r="F131" s="47" t="s">
        <v>1398</v>
      </c>
      <c r="G131" s="50"/>
      <c r="H131" s="53"/>
      <c r="I131" s="50"/>
      <c r="J131" s="50"/>
      <c r="K131" s="50"/>
      <c r="L131" s="50"/>
      <c r="M131" s="50"/>
      <c r="N131" s="50"/>
      <c r="O131" s="50"/>
      <c r="P131" s="50"/>
      <c r="Q131" s="50"/>
      <c r="R131" s="50"/>
      <c r="S131" s="50"/>
      <c r="T131" s="50"/>
      <c r="U131" s="50"/>
      <c r="V131" s="50"/>
      <c r="W131" s="50"/>
    </row>
    <row r="132" ht="15.75" customHeight="1">
      <c r="A132" s="50"/>
      <c r="B132" s="59"/>
      <c r="C132" s="50"/>
      <c r="D132" s="59"/>
      <c r="E132" s="49" t="s">
        <v>848</v>
      </c>
      <c r="F132" s="47" t="s">
        <v>1399</v>
      </c>
      <c r="G132" s="50"/>
      <c r="H132" s="53"/>
      <c r="I132" s="50"/>
      <c r="J132" s="50"/>
      <c r="K132" s="50"/>
      <c r="L132" s="50"/>
      <c r="M132" s="50"/>
      <c r="N132" s="50"/>
      <c r="O132" s="50"/>
      <c r="P132" s="50"/>
      <c r="Q132" s="50"/>
      <c r="R132" s="50"/>
      <c r="S132" s="50"/>
      <c r="T132" s="50"/>
      <c r="U132" s="50"/>
      <c r="V132" s="50"/>
      <c r="W132" s="50"/>
    </row>
    <row r="133" ht="15.75" customHeight="1">
      <c r="A133" s="50"/>
      <c r="B133" s="59"/>
      <c r="C133" s="50"/>
      <c r="D133" s="59"/>
      <c r="E133" s="49" t="s">
        <v>684</v>
      </c>
      <c r="F133" s="47" t="s">
        <v>1400</v>
      </c>
      <c r="G133" s="50"/>
      <c r="H133" s="53"/>
      <c r="I133" s="50"/>
      <c r="J133" s="50"/>
      <c r="K133" s="50"/>
      <c r="L133" s="50"/>
      <c r="M133" s="50"/>
      <c r="N133" s="50"/>
      <c r="O133" s="50"/>
      <c r="P133" s="50"/>
      <c r="Q133" s="50"/>
      <c r="R133" s="50"/>
      <c r="S133" s="50"/>
      <c r="T133" s="50"/>
      <c r="U133" s="50"/>
      <c r="V133" s="50"/>
      <c r="W133" s="50"/>
    </row>
    <row r="134" ht="15.75" customHeight="1">
      <c r="A134" s="50"/>
      <c r="B134" s="59"/>
      <c r="C134" s="50"/>
      <c r="D134" s="59"/>
      <c r="E134" s="49" t="s">
        <v>890</v>
      </c>
      <c r="F134" s="47" t="s">
        <v>1401</v>
      </c>
      <c r="G134" s="50"/>
      <c r="H134" s="53"/>
      <c r="I134" s="50"/>
      <c r="J134" s="50"/>
      <c r="K134" s="50"/>
      <c r="L134" s="50"/>
      <c r="M134" s="50"/>
      <c r="N134" s="50"/>
      <c r="O134" s="50"/>
      <c r="P134" s="50"/>
      <c r="Q134" s="50"/>
      <c r="R134" s="50"/>
      <c r="S134" s="50"/>
      <c r="T134" s="50"/>
      <c r="U134" s="50"/>
      <c r="V134" s="50"/>
      <c r="W134" s="50"/>
    </row>
    <row r="135" ht="15.75" customHeight="1">
      <c r="A135" s="50"/>
      <c r="B135" s="59"/>
      <c r="C135" s="50"/>
      <c r="D135" s="59"/>
      <c r="E135" s="49" t="s">
        <v>482</v>
      </c>
      <c r="F135" s="47" t="s">
        <v>1402</v>
      </c>
      <c r="G135" s="50"/>
      <c r="H135" s="53"/>
      <c r="I135" s="50"/>
      <c r="J135" s="50"/>
      <c r="K135" s="50"/>
      <c r="L135" s="50"/>
      <c r="M135" s="50"/>
      <c r="N135" s="50"/>
      <c r="O135" s="50"/>
      <c r="P135" s="50"/>
      <c r="Q135" s="50"/>
      <c r="R135" s="50"/>
      <c r="S135" s="50"/>
      <c r="T135" s="50"/>
      <c r="U135" s="50"/>
      <c r="V135" s="50"/>
      <c r="W135" s="50"/>
    </row>
    <row r="136" ht="15.75" customHeight="1">
      <c r="A136" s="50"/>
      <c r="B136" s="59"/>
      <c r="C136" s="50"/>
      <c r="D136" s="59"/>
      <c r="E136" s="49" t="s">
        <v>528</v>
      </c>
      <c r="F136" s="47" t="s">
        <v>1403</v>
      </c>
      <c r="G136" s="50"/>
      <c r="H136" s="53"/>
      <c r="I136" s="50"/>
      <c r="J136" s="50"/>
      <c r="K136" s="50"/>
      <c r="L136" s="50"/>
      <c r="M136" s="50"/>
      <c r="N136" s="50"/>
      <c r="O136" s="50"/>
      <c r="P136" s="50"/>
      <c r="Q136" s="50"/>
      <c r="R136" s="50"/>
      <c r="S136" s="50"/>
      <c r="T136" s="50"/>
      <c r="U136" s="50"/>
      <c r="V136" s="50"/>
      <c r="W136" s="50"/>
    </row>
    <row r="137" ht="15.75" customHeight="1">
      <c r="A137" s="50"/>
      <c r="B137" s="59"/>
      <c r="C137" s="50"/>
      <c r="D137" s="59"/>
      <c r="E137" s="49" t="s">
        <v>501</v>
      </c>
      <c r="F137" s="47" t="s">
        <v>1404</v>
      </c>
      <c r="G137" s="50"/>
      <c r="H137" s="53"/>
      <c r="I137" s="50"/>
      <c r="J137" s="50"/>
      <c r="K137" s="50"/>
      <c r="L137" s="50"/>
      <c r="M137" s="50"/>
      <c r="N137" s="50"/>
      <c r="O137" s="50"/>
      <c r="P137" s="50"/>
      <c r="Q137" s="50"/>
      <c r="R137" s="50"/>
      <c r="S137" s="50"/>
      <c r="T137" s="50"/>
      <c r="U137" s="50"/>
      <c r="V137" s="50"/>
      <c r="W137" s="50"/>
    </row>
    <row r="138" ht="15.75" customHeight="1">
      <c r="A138" s="50"/>
      <c r="B138" s="59"/>
      <c r="C138" s="50"/>
      <c r="D138" s="59"/>
      <c r="E138" s="49" t="s">
        <v>487</v>
      </c>
      <c r="F138" s="47" t="s">
        <v>1405</v>
      </c>
      <c r="G138" s="50"/>
      <c r="H138" s="53"/>
      <c r="I138" s="50"/>
      <c r="J138" s="50"/>
      <c r="K138" s="50"/>
      <c r="L138" s="50"/>
      <c r="M138" s="50"/>
      <c r="N138" s="50"/>
      <c r="O138" s="50"/>
      <c r="P138" s="50"/>
      <c r="Q138" s="50"/>
      <c r="R138" s="50"/>
      <c r="S138" s="50"/>
      <c r="T138" s="50"/>
      <c r="U138" s="50"/>
      <c r="V138" s="50"/>
      <c r="W138" s="50"/>
    </row>
    <row r="139" ht="15.75" customHeight="1">
      <c r="A139" s="50"/>
      <c r="B139" s="59"/>
      <c r="C139" s="50"/>
      <c r="D139" s="59"/>
      <c r="E139" s="49" t="s">
        <v>945</v>
      </c>
      <c r="F139" s="47" t="s">
        <v>1406</v>
      </c>
      <c r="G139" s="50"/>
      <c r="H139" s="53"/>
      <c r="I139" s="50"/>
      <c r="J139" s="50"/>
      <c r="K139" s="50"/>
      <c r="L139" s="50"/>
      <c r="M139" s="50"/>
      <c r="N139" s="50"/>
      <c r="O139" s="50"/>
      <c r="P139" s="50"/>
      <c r="Q139" s="50"/>
      <c r="R139" s="50"/>
      <c r="S139" s="50"/>
      <c r="T139" s="50"/>
      <c r="U139" s="50"/>
      <c r="V139" s="50"/>
      <c r="W139" s="50"/>
    </row>
    <row r="140" ht="15.75" customHeight="1">
      <c r="A140" s="50"/>
      <c r="B140" s="59"/>
      <c r="C140" s="50"/>
      <c r="D140" s="59"/>
      <c r="E140" s="49" t="s">
        <v>701</v>
      </c>
      <c r="F140" s="47" t="s">
        <v>1207</v>
      </c>
      <c r="G140" s="50"/>
      <c r="H140" s="53"/>
      <c r="I140" s="50"/>
      <c r="J140" s="50"/>
      <c r="K140" s="50"/>
      <c r="L140" s="50"/>
      <c r="M140" s="50"/>
      <c r="N140" s="50"/>
      <c r="O140" s="50"/>
      <c r="P140" s="50"/>
      <c r="Q140" s="50"/>
      <c r="R140" s="50"/>
      <c r="S140" s="50"/>
      <c r="T140" s="50"/>
      <c r="U140" s="50"/>
      <c r="V140" s="50"/>
      <c r="W140" s="50"/>
    </row>
    <row r="141" ht="15.75" customHeight="1">
      <c r="A141" s="50"/>
      <c r="B141" s="59"/>
      <c r="C141" s="50"/>
      <c r="D141" s="59"/>
      <c r="E141" s="49" t="s">
        <v>813</v>
      </c>
      <c r="F141" s="47" t="s">
        <v>1407</v>
      </c>
      <c r="G141" s="50"/>
      <c r="H141" s="53"/>
      <c r="I141" s="50"/>
      <c r="J141" s="50"/>
      <c r="K141" s="50"/>
      <c r="L141" s="50"/>
      <c r="M141" s="50"/>
      <c r="N141" s="50"/>
      <c r="O141" s="50"/>
      <c r="P141" s="50"/>
      <c r="Q141" s="50"/>
      <c r="R141" s="50"/>
      <c r="S141" s="50"/>
      <c r="T141" s="50"/>
      <c r="U141" s="50"/>
      <c r="V141" s="50"/>
      <c r="W141" s="50"/>
    </row>
    <row r="142" ht="15.75" customHeight="1">
      <c r="A142" s="50"/>
      <c r="B142" s="59"/>
      <c r="C142" s="50"/>
      <c r="D142" s="59"/>
      <c r="E142" s="49" t="s">
        <v>930</v>
      </c>
      <c r="F142" s="47" t="s">
        <v>1408</v>
      </c>
      <c r="G142" s="50"/>
      <c r="H142" s="53"/>
      <c r="I142" s="50"/>
      <c r="J142" s="50"/>
      <c r="K142" s="50"/>
      <c r="L142" s="50"/>
      <c r="M142" s="50"/>
      <c r="N142" s="50"/>
      <c r="O142" s="50"/>
      <c r="P142" s="50"/>
      <c r="Q142" s="50"/>
      <c r="R142" s="50"/>
      <c r="S142" s="50"/>
      <c r="T142" s="50"/>
      <c r="U142" s="50"/>
      <c r="V142" s="50"/>
      <c r="W142" s="50"/>
    </row>
    <row r="143" ht="15.75" customHeight="1">
      <c r="A143" s="50"/>
      <c r="B143" s="59"/>
      <c r="C143" s="50"/>
      <c r="D143" s="59"/>
      <c r="E143" s="49" t="s">
        <v>941</v>
      </c>
      <c r="F143" s="47" t="s">
        <v>1409</v>
      </c>
      <c r="G143" s="50"/>
      <c r="H143" s="53"/>
      <c r="I143" s="50"/>
      <c r="J143" s="50"/>
      <c r="K143" s="50"/>
      <c r="L143" s="50"/>
      <c r="M143" s="50"/>
      <c r="N143" s="50"/>
      <c r="O143" s="50"/>
      <c r="P143" s="50"/>
      <c r="Q143" s="50"/>
      <c r="R143" s="50"/>
      <c r="S143" s="50"/>
      <c r="T143" s="50"/>
      <c r="U143" s="50"/>
      <c r="V143" s="50"/>
      <c r="W143" s="50"/>
    </row>
    <row r="144" ht="15.75" customHeight="1">
      <c r="A144" s="50"/>
      <c r="B144" s="59"/>
      <c r="C144" s="50"/>
      <c r="D144" s="59"/>
      <c r="E144" s="49" t="s">
        <v>531</v>
      </c>
      <c r="F144" s="47" t="s">
        <v>1410</v>
      </c>
      <c r="G144" s="50"/>
      <c r="H144" s="53"/>
      <c r="I144" s="50"/>
      <c r="J144" s="50"/>
      <c r="K144" s="50"/>
      <c r="L144" s="50"/>
      <c r="M144" s="50"/>
      <c r="N144" s="50"/>
      <c r="O144" s="50"/>
      <c r="P144" s="50"/>
      <c r="Q144" s="50"/>
      <c r="R144" s="50"/>
      <c r="S144" s="50"/>
      <c r="T144" s="50"/>
      <c r="U144" s="50"/>
      <c r="V144" s="50"/>
      <c r="W144" s="50"/>
    </row>
    <row r="145" ht="15.75" customHeight="1">
      <c r="A145" s="50"/>
      <c r="B145" s="59"/>
      <c r="C145" s="50"/>
      <c r="D145" s="59"/>
      <c r="E145" s="49" t="s">
        <v>866</v>
      </c>
      <c r="F145" s="47" t="s">
        <v>1204</v>
      </c>
      <c r="G145" s="50"/>
      <c r="H145" s="53"/>
      <c r="I145" s="50"/>
      <c r="J145" s="50"/>
      <c r="K145" s="50"/>
      <c r="L145" s="50"/>
      <c r="M145" s="50"/>
      <c r="N145" s="50"/>
      <c r="O145" s="50"/>
      <c r="P145" s="50"/>
      <c r="Q145" s="50"/>
      <c r="R145" s="50"/>
      <c r="S145" s="50"/>
      <c r="T145" s="50"/>
      <c r="U145" s="50"/>
      <c r="V145" s="50"/>
      <c r="W145" s="50"/>
    </row>
    <row r="146" ht="15.75" customHeight="1">
      <c r="A146" s="50"/>
      <c r="B146" s="59"/>
      <c r="C146" s="50"/>
      <c r="D146" s="59"/>
      <c r="E146" s="49" t="s">
        <v>742</v>
      </c>
      <c r="F146" s="47" t="s">
        <v>1411</v>
      </c>
      <c r="G146" s="50"/>
      <c r="H146" s="53"/>
      <c r="I146" s="50"/>
      <c r="J146" s="50"/>
      <c r="K146" s="50"/>
      <c r="L146" s="50"/>
      <c r="M146" s="50"/>
      <c r="N146" s="50"/>
      <c r="O146" s="50"/>
      <c r="P146" s="50"/>
      <c r="Q146" s="50"/>
      <c r="R146" s="50"/>
      <c r="S146" s="50"/>
      <c r="T146" s="50"/>
      <c r="U146" s="50"/>
      <c r="V146" s="50"/>
      <c r="W146" s="50"/>
    </row>
    <row r="147" ht="15.75" customHeight="1">
      <c r="A147" s="50"/>
      <c r="B147" s="59"/>
      <c r="C147" s="50"/>
      <c r="D147" s="59"/>
      <c r="E147" s="49" t="s">
        <v>904</v>
      </c>
      <c r="F147" s="47" t="s">
        <v>1412</v>
      </c>
      <c r="G147" s="50"/>
      <c r="H147" s="53"/>
      <c r="I147" s="50"/>
      <c r="J147" s="50"/>
      <c r="K147" s="50"/>
      <c r="L147" s="50"/>
      <c r="M147" s="50"/>
      <c r="N147" s="50"/>
      <c r="O147" s="50"/>
      <c r="P147" s="50"/>
      <c r="Q147" s="50"/>
      <c r="R147" s="50"/>
      <c r="S147" s="50"/>
      <c r="T147" s="50"/>
      <c r="U147" s="50"/>
      <c r="V147" s="50"/>
      <c r="W147" s="50"/>
    </row>
    <row r="148" ht="15.75" customHeight="1">
      <c r="A148" s="50"/>
      <c r="B148" s="59"/>
      <c r="C148" s="50"/>
      <c r="D148" s="59"/>
      <c r="E148" s="49" t="s">
        <v>670</v>
      </c>
      <c r="F148" s="47" t="s">
        <v>1413</v>
      </c>
      <c r="G148" s="50"/>
      <c r="H148" s="53"/>
      <c r="I148" s="50"/>
      <c r="J148" s="50"/>
      <c r="K148" s="50"/>
      <c r="L148" s="50"/>
      <c r="M148" s="50"/>
      <c r="N148" s="50"/>
      <c r="O148" s="50"/>
      <c r="P148" s="50"/>
      <c r="Q148" s="50"/>
      <c r="R148" s="50"/>
      <c r="S148" s="50"/>
      <c r="T148" s="50"/>
      <c r="U148" s="50"/>
      <c r="V148" s="50"/>
      <c r="W148" s="50"/>
    </row>
    <row r="149" ht="15.75" customHeight="1">
      <c r="A149" s="50"/>
      <c r="B149" s="59"/>
      <c r="C149" s="50"/>
      <c r="D149" s="59"/>
      <c r="E149" s="49" t="s">
        <v>490</v>
      </c>
      <c r="F149" s="47" t="s">
        <v>1414</v>
      </c>
      <c r="G149" s="50"/>
      <c r="H149" s="53"/>
      <c r="I149" s="50"/>
      <c r="J149" s="50"/>
      <c r="K149" s="50"/>
      <c r="L149" s="50"/>
      <c r="M149" s="50"/>
      <c r="N149" s="50"/>
      <c r="O149" s="50"/>
      <c r="P149" s="50"/>
      <c r="Q149" s="50"/>
      <c r="R149" s="50"/>
      <c r="S149" s="50"/>
      <c r="T149" s="50"/>
      <c r="U149" s="50"/>
      <c r="V149" s="50"/>
      <c r="W149" s="50"/>
    </row>
    <row r="150" ht="15.75" customHeight="1">
      <c r="A150" s="50"/>
      <c r="B150" s="59"/>
      <c r="C150" s="50"/>
      <c r="D150" s="59"/>
      <c r="E150" s="49" t="s">
        <v>665</v>
      </c>
      <c r="F150" s="47" t="s">
        <v>1415</v>
      </c>
      <c r="G150" s="50"/>
      <c r="H150" s="53"/>
      <c r="I150" s="50"/>
      <c r="J150" s="50"/>
      <c r="K150" s="50"/>
      <c r="L150" s="50"/>
      <c r="M150" s="50"/>
      <c r="N150" s="50"/>
      <c r="O150" s="50"/>
      <c r="P150" s="50"/>
      <c r="Q150" s="50"/>
      <c r="R150" s="50"/>
      <c r="S150" s="50"/>
      <c r="T150" s="50"/>
      <c r="U150" s="50"/>
      <c r="V150" s="50"/>
      <c r="W150" s="50"/>
    </row>
    <row r="151" ht="15.75" customHeight="1">
      <c r="A151" s="50"/>
      <c r="B151" s="59"/>
      <c r="C151" s="50"/>
      <c r="D151" s="59"/>
      <c r="E151" s="49" t="s">
        <v>869</v>
      </c>
      <c r="F151" s="47" t="s">
        <v>1416</v>
      </c>
      <c r="G151" s="50"/>
      <c r="H151" s="53"/>
      <c r="I151" s="50"/>
      <c r="J151" s="50"/>
      <c r="K151" s="50"/>
      <c r="L151" s="50"/>
      <c r="M151" s="50"/>
      <c r="N151" s="50"/>
      <c r="O151" s="50"/>
      <c r="P151" s="50"/>
      <c r="Q151" s="50"/>
      <c r="R151" s="50"/>
      <c r="S151" s="50"/>
      <c r="T151" s="50"/>
      <c r="U151" s="50"/>
      <c r="V151" s="50"/>
      <c r="W151" s="50"/>
    </row>
    <row r="152" ht="15.75" customHeight="1">
      <c r="A152" s="50"/>
      <c r="B152" s="59"/>
      <c r="C152" s="50"/>
      <c r="D152" s="59"/>
      <c r="E152" s="49" t="s">
        <v>802</v>
      </c>
      <c r="F152" s="47" t="s">
        <v>1417</v>
      </c>
      <c r="G152" s="50"/>
      <c r="H152" s="53"/>
      <c r="I152" s="50"/>
      <c r="J152" s="50"/>
      <c r="K152" s="50"/>
      <c r="L152" s="50"/>
      <c r="M152" s="50"/>
      <c r="N152" s="50"/>
      <c r="O152" s="50"/>
      <c r="P152" s="50"/>
      <c r="Q152" s="50"/>
      <c r="R152" s="50"/>
      <c r="S152" s="50"/>
      <c r="T152" s="50"/>
      <c r="U152" s="50"/>
      <c r="V152" s="50"/>
      <c r="W152" s="50"/>
    </row>
    <row r="153" ht="15.75" customHeight="1">
      <c r="A153" s="50"/>
      <c r="B153" s="59"/>
      <c r="C153" s="50"/>
      <c r="D153" s="59"/>
      <c r="E153" s="49" t="s">
        <v>485</v>
      </c>
      <c r="F153" s="47" t="s">
        <v>1274</v>
      </c>
      <c r="G153" s="50"/>
      <c r="H153" s="53"/>
      <c r="I153" s="50"/>
      <c r="J153" s="50"/>
      <c r="K153" s="50"/>
      <c r="L153" s="50"/>
      <c r="M153" s="50"/>
      <c r="N153" s="50"/>
      <c r="O153" s="50"/>
      <c r="P153" s="50"/>
      <c r="Q153" s="50"/>
      <c r="R153" s="50"/>
      <c r="S153" s="50"/>
      <c r="T153" s="50"/>
      <c r="U153" s="50"/>
      <c r="V153" s="50"/>
      <c r="W153" s="50"/>
    </row>
    <row r="154" ht="15.75" customHeight="1">
      <c r="A154" s="50"/>
      <c r="B154" s="59"/>
      <c r="C154" s="50"/>
      <c r="D154" s="59"/>
      <c r="E154" s="49" t="s">
        <v>835</v>
      </c>
      <c r="F154" s="47" t="s">
        <v>1418</v>
      </c>
      <c r="G154" s="50"/>
      <c r="H154" s="53"/>
      <c r="I154" s="50"/>
      <c r="J154" s="50"/>
      <c r="K154" s="50"/>
      <c r="L154" s="50"/>
      <c r="M154" s="50"/>
      <c r="N154" s="50"/>
      <c r="O154" s="50"/>
      <c r="P154" s="50"/>
      <c r="Q154" s="50"/>
      <c r="R154" s="50"/>
      <c r="S154" s="50"/>
      <c r="T154" s="50"/>
      <c r="U154" s="50"/>
      <c r="V154" s="50"/>
      <c r="W154" s="50"/>
    </row>
    <row r="155" ht="15.75" customHeight="1">
      <c r="A155" s="50"/>
      <c r="B155" s="59"/>
      <c r="C155" s="50"/>
      <c r="D155" s="59"/>
      <c r="E155" s="49" t="s">
        <v>860</v>
      </c>
      <c r="F155" s="47" t="s">
        <v>1219</v>
      </c>
      <c r="G155" s="50"/>
      <c r="H155" s="53"/>
      <c r="I155" s="50"/>
      <c r="J155" s="50"/>
      <c r="K155" s="50"/>
      <c r="L155" s="50"/>
      <c r="M155" s="50"/>
      <c r="N155" s="50"/>
      <c r="O155" s="50"/>
      <c r="P155" s="50"/>
      <c r="Q155" s="50"/>
      <c r="R155" s="50"/>
      <c r="S155" s="50"/>
      <c r="T155" s="50"/>
      <c r="U155" s="50"/>
      <c r="V155" s="50"/>
      <c r="W155" s="50"/>
    </row>
    <row r="156" ht="15.75" customHeight="1">
      <c r="A156" s="50"/>
      <c r="B156" s="59"/>
      <c r="C156" s="50"/>
      <c r="D156" s="59"/>
      <c r="E156" s="49" t="s">
        <v>699</v>
      </c>
      <c r="F156" s="47" t="s">
        <v>1419</v>
      </c>
      <c r="G156" s="50"/>
      <c r="H156" s="53"/>
      <c r="I156" s="50"/>
      <c r="J156" s="50"/>
      <c r="K156" s="50"/>
      <c r="L156" s="50"/>
      <c r="M156" s="50"/>
      <c r="N156" s="50"/>
      <c r="O156" s="50"/>
      <c r="P156" s="50"/>
      <c r="Q156" s="50"/>
      <c r="R156" s="50"/>
      <c r="S156" s="50"/>
      <c r="T156" s="50"/>
      <c r="U156" s="50"/>
      <c r="V156" s="50"/>
      <c r="W156" s="50"/>
    </row>
    <row r="157" ht="15.75" customHeight="1">
      <c r="A157" s="50"/>
      <c r="B157" s="59"/>
      <c r="C157" s="50"/>
      <c r="D157" s="59"/>
      <c r="E157" s="49" t="s">
        <v>840</v>
      </c>
      <c r="F157" s="47" t="s">
        <v>1420</v>
      </c>
      <c r="G157" s="50"/>
      <c r="H157" s="53"/>
      <c r="I157" s="50"/>
      <c r="J157" s="50"/>
      <c r="K157" s="50"/>
      <c r="L157" s="50"/>
      <c r="M157" s="50"/>
      <c r="N157" s="50"/>
      <c r="O157" s="50"/>
      <c r="P157" s="50"/>
      <c r="Q157" s="50"/>
      <c r="R157" s="50"/>
      <c r="S157" s="50"/>
      <c r="T157" s="50"/>
      <c r="U157" s="50"/>
      <c r="V157" s="50"/>
      <c r="W157" s="50"/>
    </row>
    <row r="158" ht="15.75" customHeight="1">
      <c r="A158" s="50"/>
      <c r="B158" s="59"/>
      <c r="C158" s="50"/>
      <c r="D158" s="59"/>
      <c r="E158" s="49" t="s">
        <v>830</v>
      </c>
      <c r="F158" s="47" t="s">
        <v>1421</v>
      </c>
      <c r="G158" s="50"/>
      <c r="H158" s="53"/>
      <c r="I158" s="50"/>
      <c r="J158" s="50"/>
      <c r="K158" s="50"/>
      <c r="L158" s="50"/>
      <c r="M158" s="50"/>
      <c r="N158" s="50"/>
      <c r="O158" s="50"/>
      <c r="P158" s="50"/>
      <c r="Q158" s="50"/>
      <c r="R158" s="50"/>
      <c r="S158" s="50"/>
      <c r="T158" s="50"/>
      <c r="U158" s="50"/>
      <c r="V158" s="50"/>
      <c r="W158" s="50"/>
    </row>
    <row r="159" ht="15.75" customHeight="1">
      <c r="A159" s="50"/>
      <c r="B159" s="59"/>
      <c r="C159" s="50"/>
      <c r="D159" s="59"/>
      <c r="E159" s="49" t="s">
        <v>798</v>
      </c>
      <c r="F159" s="47" t="s">
        <v>1422</v>
      </c>
      <c r="G159" s="50"/>
      <c r="H159" s="53"/>
      <c r="I159" s="50"/>
      <c r="J159" s="50"/>
      <c r="K159" s="50"/>
      <c r="L159" s="50"/>
      <c r="M159" s="50"/>
      <c r="N159" s="50"/>
      <c r="O159" s="50"/>
      <c r="P159" s="50"/>
      <c r="Q159" s="50"/>
      <c r="R159" s="50"/>
      <c r="S159" s="50"/>
      <c r="T159" s="50"/>
      <c r="U159" s="50"/>
      <c r="V159" s="50"/>
      <c r="W159" s="50"/>
    </row>
    <row r="160" ht="15.75" customHeight="1">
      <c r="A160" s="50"/>
      <c r="B160" s="59"/>
      <c r="C160" s="50"/>
      <c r="D160" s="59"/>
      <c r="E160" s="49" t="s">
        <v>697</v>
      </c>
      <c r="F160" s="47" t="s">
        <v>1423</v>
      </c>
      <c r="G160" s="50"/>
      <c r="H160" s="53"/>
      <c r="I160" s="50"/>
      <c r="J160" s="50"/>
      <c r="K160" s="50"/>
      <c r="L160" s="50"/>
      <c r="M160" s="50"/>
      <c r="N160" s="50"/>
      <c r="O160" s="50"/>
      <c r="P160" s="50"/>
      <c r="Q160" s="50"/>
      <c r="R160" s="50"/>
      <c r="S160" s="50"/>
      <c r="T160" s="50"/>
      <c r="U160" s="50"/>
      <c r="V160" s="50"/>
      <c r="W160" s="50"/>
    </row>
    <row r="161" ht="15.75" customHeight="1">
      <c r="A161" s="50"/>
      <c r="B161" s="59"/>
      <c r="C161" s="50"/>
      <c r="D161" s="59"/>
      <c r="E161" s="49" t="s">
        <v>771</v>
      </c>
      <c r="F161" s="47" t="s">
        <v>1424</v>
      </c>
      <c r="G161" s="50"/>
      <c r="H161" s="53"/>
      <c r="I161" s="50"/>
      <c r="J161" s="50"/>
      <c r="K161" s="50"/>
      <c r="L161" s="50"/>
      <c r="M161" s="50"/>
      <c r="N161" s="50"/>
      <c r="O161" s="50"/>
      <c r="P161" s="50"/>
      <c r="Q161" s="50"/>
      <c r="R161" s="50"/>
      <c r="S161" s="50"/>
      <c r="T161" s="50"/>
      <c r="U161" s="50"/>
      <c r="V161" s="50"/>
      <c r="W161" s="50"/>
    </row>
    <row r="162" ht="15.75" customHeight="1">
      <c r="A162" s="50"/>
      <c r="B162" s="59"/>
      <c r="C162" s="50"/>
      <c r="D162" s="59"/>
      <c r="E162" s="49" t="s">
        <v>971</v>
      </c>
      <c r="F162" s="47" t="s">
        <v>1425</v>
      </c>
      <c r="G162" s="50"/>
      <c r="H162" s="53"/>
      <c r="I162" s="50"/>
      <c r="J162" s="50"/>
      <c r="K162" s="50"/>
      <c r="L162" s="50"/>
      <c r="M162" s="50"/>
      <c r="N162" s="50"/>
      <c r="O162" s="50"/>
      <c r="P162" s="50"/>
      <c r="Q162" s="50"/>
      <c r="R162" s="50"/>
      <c r="S162" s="50"/>
      <c r="T162" s="50"/>
      <c r="U162" s="50"/>
      <c r="V162" s="50"/>
      <c r="W162" s="50"/>
    </row>
    <row r="163" ht="15.75" customHeight="1">
      <c r="A163" s="50"/>
      <c r="B163" s="59"/>
      <c r="C163" s="50"/>
      <c r="D163" s="59"/>
      <c r="E163" s="49" t="s">
        <v>976</v>
      </c>
      <c r="F163" s="47" t="s">
        <v>1426</v>
      </c>
      <c r="G163" s="50"/>
      <c r="H163" s="53"/>
      <c r="I163" s="50"/>
      <c r="J163" s="50"/>
      <c r="K163" s="50"/>
      <c r="L163" s="50"/>
      <c r="M163" s="50"/>
      <c r="N163" s="50"/>
      <c r="O163" s="50"/>
      <c r="P163" s="50"/>
      <c r="Q163" s="50"/>
      <c r="R163" s="50"/>
      <c r="S163" s="50"/>
      <c r="T163" s="50"/>
      <c r="U163" s="50"/>
      <c r="V163" s="50"/>
      <c r="W163" s="50"/>
    </row>
    <row r="164" ht="15.75" customHeight="1">
      <c r="A164" s="50"/>
      <c r="B164" s="59"/>
      <c r="C164" s="50"/>
      <c r="D164" s="59"/>
      <c r="E164" s="49" t="s">
        <v>677</v>
      </c>
      <c r="F164" s="47" t="s">
        <v>1427</v>
      </c>
      <c r="G164" s="50"/>
      <c r="H164" s="53"/>
      <c r="I164" s="50"/>
      <c r="J164" s="50"/>
      <c r="K164" s="50"/>
      <c r="L164" s="50"/>
      <c r="M164" s="50"/>
      <c r="N164" s="50"/>
      <c r="O164" s="50"/>
      <c r="P164" s="50"/>
      <c r="Q164" s="50"/>
      <c r="R164" s="50"/>
      <c r="S164" s="50"/>
      <c r="T164" s="50"/>
      <c r="U164" s="50"/>
      <c r="V164" s="50"/>
      <c r="W164" s="50"/>
    </row>
    <row r="165" ht="15.75" customHeight="1">
      <c r="A165" s="50"/>
      <c r="B165" s="59"/>
      <c r="C165" s="50"/>
      <c r="D165" s="59"/>
      <c r="E165" s="49" t="s">
        <v>759</v>
      </c>
      <c r="F165" s="47" t="s">
        <v>1428</v>
      </c>
      <c r="G165" s="50"/>
      <c r="H165" s="53"/>
      <c r="I165" s="50"/>
      <c r="J165" s="50"/>
      <c r="K165" s="50"/>
      <c r="L165" s="50"/>
      <c r="M165" s="50"/>
      <c r="N165" s="50"/>
      <c r="O165" s="50"/>
      <c r="P165" s="50"/>
      <c r="Q165" s="50"/>
      <c r="R165" s="50"/>
      <c r="S165" s="50"/>
      <c r="T165" s="50"/>
      <c r="U165" s="50"/>
      <c r="V165" s="50"/>
      <c r="W165" s="50"/>
    </row>
    <row r="166" ht="15.75" customHeight="1">
      <c r="A166" s="50"/>
      <c r="B166" s="59"/>
      <c r="C166" s="50"/>
      <c r="D166" s="59"/>
      <c r="E166" s="49" t="s">
        <v>526</v>
      </c>
      <c r="F166" s="47" t="s">
        <v>1429</v>
      </c>
      <c r="G166" s="50"/>
      <c r="H166" s="53"/>
      <c r="I166" s="50"/>
      <c r="J166" s="50"/>
      <c r="K166" s="50"/>
      <c r="L166" s="50"/>
      <c r="M166" s="50"/>
      <c r="N166" s="50"/>
      <c r="O166" s="50"/>
      <c r="P166" s="50"/>
      <c r="Q166" s="50"/>
      <c r="R166" s="50"/>
      <c r="S166" s="50"/>
      <c r="T166" s="50"/>
      <c r="U166" s="50"/>
      <c r="V166" s="50"/>
      <c r="W166" s="50"/>
    </row>
    <row r="167" ht="15.75" customHeight="1">
      <c r="A167" s="50"/>
      <c r="B167" s="59"/>
      <c r="C167" s="50"/>
      <c r="D167" s="59"/>
      <c r="E167" s="49" t="s">
        <v>765</v>
      </c>
      <c r="F167" s="47" t="s">
        <v>1430</v>
      </c>
      <c r="G167" s="50"/>
      <c r="H167" s="53"/>
      <c r="I167" s="50"/>
      <c r="J167" s="50"/>
      <c r="K167" s="50"/>
      <c r="L167" s="50"/>
      <c r="M167" s="50"/>
      <c r="N167" s="50"/>
      <c r="O167" s="50"/>
      <c r="P167" s="50"/>
      <c r="Q167" s="50"/>
      <c r="R167" s="50"/>
      <c r="S167" s="50"/>
      <c r="T167" s="50"/>
      <c r="U167" s="50"/>
      <c r="V167" s="50"/>
      <c r="W167" s="50"/>
    </row>
    <row r="168" ht="15.75" customHeight="1">
      <c r="A168" s="50"/>
      <c r="B168" s="59"/>
      <c r="C168" s="50"/>
      <c r="D168" s="59"/>
      <c r="E168" s="49" t="s">
        <v>964</v>
      </c>
      <c r="F168" s="47" t="s">
        <v>1431</v>
      </c>
      <c r="G168" s="50"/>
      <c r="H168" s="53"/>
      <c r="I168" s="50"/>
      <c r="J168" s="50"/>
      <c r="K168" s="50"/>
      <c r="L168" s="50"/>
      <c r="M168" s="50"/>
      <c r="N168" s="50"/>
      <c r="O168" s="50"/>
      <c r="P168" s="50"/>
      <c r="Q168" s="50"/>
      <c r="R168" s="50"/>
      <c r="S168" s="50"/>
      <c r="T168" s="50"/>
      <c r="U168" s="50"/>
      <c r="V168" s="50"/>
      <c r="W168" s="50"/>
    </row>
    <row r="169" ht="15.75" customHeight="1">
      <c r="A169" s="50"/>
      <c r="B169" s="59"/>
      <c r="C169" s="50"/>
      <c r="D169" s="59"/>
      <c r="E169" s="49" t="s">
        <v>986</v>
      </c>
      <c r="F169" s="47" t="s">
        <v>1432</v>
      </c>
      <c r="G169" s="50"/>
      <c r="H169" s="53"/>
      <c r="I169" s="50"/>
      <c r="J169" s="50"/>
      <c r="K169" s="50"/>
      <c r="L169" s="50"/>
      <c r="M169" s="50"/>
      <c r="N169" s="50"/>
      <c r="O169" s="50"/>
      <c r="P169" s="50"/>
      <c r="Q169" s="50"/>
      <c r="R169" s="50"/>
      <c r="S169" s="50"/>
      <c r="T169" s="50"/>
      <c r="U169" s="50"/>
      <c r="V169" s="50"/>
      <c r="W169" s="50"/>
    </row>
    <row r="170" ht="15.75" customHeight="1">
      <c r="A170" s="50"/>
      <c r="B170" s="59"/>
      <c r="C170" s="50"/>
      <c r="D170" s="59"/>
      <c r="E170" s="49" t="s">
        <v>991</v>
      </c>
      <c r="F170" s="47" t="s">
        <v>1433</v>
      </c>
      <c r="G170" s="50"/>
      <c r="H170" s="53"/>
      <c r="I170" s="50"/>
      <c r="J170" s="50"/>
      <c r="K170" s="50"/>
      <c r="L170" s="50"/>
      <c r="M170" s="50"/>
      <c r="N170" s="50"/>
      <c r="O170" s="50"/>
      <c r="P170" s="50"/>
      <c r="Q170" s="50"/>
      <c r="R170" s="50"/>
      <c r="S170" s="50"/>
      <c r="T170" s="50"/>
      <c r="U170" s="50"/>
      <c r="V170" s="50"/>
      <c r="W170" s="50"/>
    </row>
    <row r="171" ht="15.75" customHeight="1">
      <c r="A171" s="50"/>
      <c r="B171" s="59"/>
      <c r="C171" s="50"/>
      <c r="D171" s="59"/>
      <c r="E171" s="49" t="s">
        <v>996</v>
      </c>
      <c r="F171" s="47" t="s">
        <v>1434</v>
      </c>
      <c r="G171" s="50"/>
      <c r="H171" s="53"/>
      <c r="I171" s="50"/>
      <c r="J171" s="50"/>
      <c r="K171" s="50"/>
      <c r="L171" s="50"/>
      <c r="M171" s="50"/>
      <c r="N171" s="50"/>
      <c r="O171" s="50"/>
      <c r="P171" s="50"/>
      <c r="Q171" s="50"/>
      <c r="R171" s="50"/>
      <c r="S171" s="50"/>
      <c r="T171" s="50"/>
      <c r="U171" s="50"/>
      <c r="V171" s="50"/>
      <c r="W171" s="50"/>
    </row>
    <row r="172" ht="15.75" customHeight="1">
      <c r="A172" s="50"/>
      <c r="B172" s="59"/>
      <c r="C172" s="50"/>
      <c r="D172" s="59"/>
      <c r="E172" s="49" t="s">
        <v>1018</v>
      </c>
      <c r="F172" s="47" t="s">
        <v>1435</v>
      </c>
      <c r="G172" s="50"/>
      <c r="H172" s="53"/>
      <c r="I172" s="50"/>
      <c r="J172" s="50"/>
      <c r="K172" s="50"/>
      <c r="L172" s="50"/>
      <c r="M172" s="50"/>
      <c r="N172" s="50"/>
      <c r="O172" s="50"/>
      <c r="P172" s="50"/>
      <c r="Q172" s="50"/>
      <c r="R172" s="50"/>
      <c r="S172" s="50"/>
      <c r="T172" s="50"/>
      <c r="U172" s="50"/>
      <c r="V172" s="50"/>
      <c r="W172" s="50"/>
    </row>
    <row r="173" ht="15.75" customHeight="1">
      <c r="A173" s="50"/>
      <c r="B173" s="59"/>
      <c r="C173" s="50"/>
      <c r="D173" s="59"/>
      <c r="E173" s="50"/>
      <c r="F173" s="59"/>
      <c r="G173" s="50"/>
      <c r="H173" s="53"/>
      <c r="I173" s="50"/>
      <c r="J173" s="50"/>
      <c r="K173" s="50"/>
      <c r="L173" s="50"/>
      <c r="M173" s="50"/>
      <c r="N173" s="50"/>
      <c r="O173" s="50"/>
      <c r="P173" s="50"/>
      <c r="Q173" s="50"/>
      <c r="R173" s="50"/>
      <c r="S173" s="50"/>
      <c r="T173" s="50"/>
      <c r="U173" s="50"/>
      <c r="V173" s="50"/>
      <c r="W173" s="50"/>
    </row>
    <row r="174" ht="15.75" customHeight="1">
      <c r="A174" s="50"/>
      <c r="B174" s="59"/>
      <c r="C174" s="50"/>
      <c r="D174" s="59"/>
      <c r="E174" s="50"/>
      <c r="F174" s="59"/>
      <c r="G174" s="50"/>
      <c r="H174" s="53"/>
      <c r="I174" s="50"/>
      <c r="J174" s="50"/>
      <c r="K174" s="50"/>
      <c r="L174" s="50"/>
      <c r="M174" s="50"/>
      <c r="N174" s="50"/>
      <c r="O174" s="50"/>
      <c r="P174" s="50"/>
      <c r="Q174" s="50"/>
      <c r="R174" s="50"/>
      <c r="S174" s="50"/>
      <c r="T174" s="50"/>
      <c r="U174" s="50"/>
      <c r="V174" s="50"/>
      <c r="W174" s="50"/>
    </row>
    <row r="175" ht="15.75" customHeight="1">
      <c r="A175" s="50"/>
      <c r="B175" s="59"/>
      <c r="C175" s="50"/>
      <c r="D175" s="59"/>
      <c r="E175" s="50"/>
      <c r="F175" s="59"/>
      <c r="G175" s="50"/>
      <c r="H175" s="53"/>
      <c r="I175" s="50"/>
      <c r="J175" s="50"/>
      <c r="K175" s="50"/>
      <c r="L175" s="50"/>
      <c r="M175" s="50"/>
      <c r="N175" s="50"/>
      <c r="O175" s="50"/>
      <c r="P175" s="50"/>
      <c r="Q175" s="50"/>
      <c r="R175" s="50"/>
      <c r="S175" s="50"/>
      <c r="T175" s="50"/>
      <c r="U175" s="50"/>
      <c r="V175" s="50"/>
      <c r="W175" s="50"/>
    </row>
    <row r="176" ht="15.75" customHeight="1">
      <c r="A176" s="50"/>
      <c r="B176" s="59"/>
      <c r="C176" s="50"/>
      <c r="D176" s="59"/>
      <c r="E176" s="50"/>
      <c r="F176" s="59"/>
      <c r="G176" s="50"/>
      <c r="H176" s="53"/>
      <c r="I176" s="50"/>
      <c r="J176" s="50"/>
      <c r="K176" s="50"/>
      <c r="L176" s="50"/>
      <c r="M176" s="50"/>
      <c r="N176" s="50"/>
      <c r="O176" s="50"/>
      <c r="P176" s="50"/>
      <c r="Q176" s="50"/>
      <c r="R176" s="50"/>
      <c r="S176" s="50"/>
      <c r="T176" s="50"/>
      <c r="U176" s="50"/>
      <c r="V176" s="50"/>
      <c r="W176" s="50"/>
    </row>
    <row r="177" ht="15.75" customHeight="1">
      <c r="A177" s="50"/>
      <c r="B177" s="59"/>
      <c r="C177" s="50"/>
      <c r="D177" s="59"/>
      <c r="E177" s="50"/>
      <c r="F177" s="59"/>
      <c r="G177" s="50"/>
      <c r="H177" s="53"/>
      <c r="I177" s="50"/>
      <c r="J177" s="50"/>
      <c r="K177" s="50"/>
      <c r="L177" s="50"/>
      <c r="M177" s="50"/>
      <c r="N177" s="50"/>
      <c r="O177" s="50"/>
      <c r="P177" s="50"/>
      <c r="Q177" s="50"/>
      <c r="R177" s="50"/>
      <c r="S177" s="50"/>
      <c r="T177" s="50"/>
      <c r="U177" s="50"/>
      <c r="V177" s="50"/>
      <c r="W177" s="50"/>
    </row>
    <row r="178" ht="15.75" customHeight="1">
      <c r="A178" s="50"/>
      <c r="B178" s="59"/>
      <c r="C178" s="50"/>
      <c r="D178" s="59"/>
      <c r="E178" s="50"/>
      <c r="F178" s="59"/>
      <c r="G178" s="50"/>
      <c r="H178" s="53"/>
      <c r="I178" s="50"/>
      <c r="J178" s="50"/>
      <c r="K178" s="50"/>
      <c r="L178" s="50"/>
      <c r="M178" s="50"/>
      <c r="N178" s="50"/>
      <c r="O178" s="50"/>
      <c r="P178" s="50"/>
      <c r="Q178" s="50"/>
      <c r="R178" s="50"/>
      <c r="S178" s="50"/>
      <c r="T178" s="50"/>
      <c r="U178" s="50"/>
      <c r="V178" s="50"/>
      <c r="W178" s="50"/>
    </row>
    <row r="179" ht="15.75" customHeight="1">
      <c r="A179" s="50"/>
      <c r="B179" s="59"/>
      <c r="C179" s="50"/>
      <c r="D179" s="59"/>
      <c r="E179" s="50"/>
      <c r="F179" s="59"/>
      <c r="G179" s="50"/>
      <c r="H179" s="53"/>
      <c r="I179" s="50"/>
      <c r="J179" s="50"/>
      <c r="K179" s="50"/>
      <c r="L179" s="50"/>
      <c r="M179" s="50"/>
      <c r="N179" s="50"/>
      <c r="O179" s="50"/>
      <c r="P179" s="50"/>
      <c r="Q179" s="50"/>
      <c r="R179" s="50"/>
      <c r="S179" s="50"/>
      <c r="T179" s="50"/>
      <c r="U179" s="50"/>
      <c r="V179" s="50"/>
      <c r="W179" s="50"/>
    </row>
    <row r="180" ht="15.75" customHeight="1">
      <c r="A180" s="50"/>
      <c r="B180" s="59"/>
      <c r="C180" s="50"/>
      <c r="D180" s="59"/>
      <c r="E180" s="50"/>
      <c r="F180" s="59"/>
      <c r="G180" s="50"/>
      <c r="H180" s="53"/>
      <c r="I180" s="50"/>
      <c r="J180" s="50"/>
      <c r="K180" s="50"/>
      <c r="L180" s="50"/>
      <c r="M180" s="50"/>
      <c r="N180" s="50"/>
      <c r="O180" s="50"/>
      <c r="P180" s="50"/>
      <c r="Q180" s="50"/>
      <c r="R180" s="50"/>
      <c r="S180" s="50"/>
      <c r="T180" s="50"/>
      <c r="U180" s="50"/>
      <c r="V180" s="50"/>
      <c r="W180" s="50"/>
    </row>
    <row r="181" ht="15.75" customHeight="1">
      <c r="A181" s="50"/>
      <c r="B181" s="59"/>
      <c r="C181" s="50"/>
      <c r="D181" s="59"/>
      <c r="E181" s="50"/>
      <c r="F181" s="59"/>
      <c r="G181" s="50"/>
      <c r="H181" s="53"/>
      <c r="I181" s="50"/>
      <c r="J181" s="50"/>
      <c r="K181" s="50"/>
      <c r="L181" s="50"/>
      <c r="M181" s="50"/>
      <c r="N181" s="50"/>
      <c r="O181" s="50"/>
      <c r="P181" s="50"/>
      <c r="Q181" s="50"/>
      <c r="R181" s="50"/>
      <c r="S181" s="50"/>
      <c r="T181" s="50"/>
      <c r="U181" s="50"/>
      <c r="V181" s="50"/>
      <c r="W181" s="50"/>
    </row>
    <row r="182" ht="15.75" customHeight="1">
      <c r="A182" s="50"/>
      <c r="B182" s="59"/>
      <c r="C182" s="50"/>
      <c r="D182" s="59"/>
      <c r="E182" s="50"/>
      <c r="F182" s="59"/>
      <c r="G182" s="50"/>
      <c r="H182" s="53"/>
      <c r="I182" s="50"/>
      <c r="J182" s="50"/>
      <c r="K182" s="50"/>
      <c r="L182" s="50"/>
      <c r="M182" s="50"/>
      <c r="N182" s="50"/>
      <c r="O182" s="50"/>
      <c r="P182" s="50"/>
      <c r="Q182" s="50"/>
      <c r="R182" s="50"/>
      <c r="S182" s="50"/>
      <c r="T182" s="50"/>
      <c r="U182" s="50"/>
      <c r="V182" s="50"/>
      <c r="W182" s="50"/>
    </row>
    <row r="183" ht="15.75" customHeight="1">
      <c r="A183" s="50"/>
      <c r="B183" s="59"/>
      <c r="C183" s="50"/>
      <c r="D183" s="59"/>
      <c r="E183" s="50"/>
      <c r="F183" s="59"/>
      <c r="G183" s="50"/>
      <c r="H183" s="53"/>
      <c r="I183" s="50"/>
      <c r="J183" s="50"/>
      <c r="K183" s="50"/>
      <c r="L183" s="50"/>
      <c r="M183" s="50"/>
      <c r="N183" s="50"/>
      <c r="O183" s="50"/>
      <c r="P183" s="50"/>
      <c r="Q183" s="50"/>
      <c r="R183" s="50"/>
      <c r="S183" s="50"/>
      <c r="T183" s="50"/>
      <c r="U183" s="50"/>
      <c r="V183" s="50"/>
      <c r="W183" s="50"/>
    </row>
    <row r="184" ht="15.75" customHeight="1">
      <c r="A184" s="50"/>
      <c r="B184" s="59"/>
      <c r="C184" s="50"/>
      <c r="D184" s="59"/>
      <c r="E184" s="50"/>
      <c r="F184" s="59"/>
      <c r="G184" s="50"/>
      <c r="H184" s="53"/>
      <c r="I184" s="50"/>
      <c r="J184" s="50"/>
      <c r="K184" s="50"/>
      <c r="L184" s="50"/>
      <c r="M184" s="50"/>
      <c r="N184" s="50"/>
      <c r="O184" s="50"/>
      <c r="P184" s="50"/>
      <c r="Q184" s="50"/>
      <c r="R184" s="50"/>
      <c r="S184" s="50"/>
      <c r="T184" s="50"/>
      <c r="U184" s="50"/>
      <c r="V184" s="50"/>
      <c r="W184" s="50"/>
    </row>
    <row r="185" ht="15.75" customHeight="1">
      <c r="A185" s="50"/>
      <c r="B185" s="59"/>
      <c r="C185" s="50"/>
      <c r="D185" s="59"/>
      <c r="E185" s="50"/>
      <c r="F185" s="59"/>
      <c r="G185" s="50"/>
      <c r="H185" s="53"/>
      <c r="I185" s="50"/>
      <c r="J185" s="50"/>
      <c r="K185" s="50"/>
      <c r="L185" s="50"/>
      <c r="M185" s="50"/>
      <c r="N185" s="50"/>
      <c r="O185" s="50"/>
      <c r="P185" s="50"/>
      <c r="Q185" s="50"/>
      <c r="R185" s="50"/>
      <c r="S185" s="50"/>
      <c r="T185" s="50"/>
      <c r="U185" s="50"/>
      <c r="V185" s="50"/>
      <c r="W185" s="50"/>
    </row>
    <row r="186" ht="15.75" customHeight="1">
      <c r="A186" s="50"/>
      <c r="B186" s="59"/>
      <c r="C186" s="50"/>
      <c r="D186" s="59"/>
      <c r="E186" s="50"/>
      <c r="F186" s="59"/>
      <c r="G186" s="50"/>
      <c r="H186" s="53"/>
      <c r="I186" s="50"/>
      <c r="J186" s="50"/>
      <c r="K186" s="50"/>
      <c r="L186" s="50"/>
      <c r="M186" s="50"/>
      <c r="N186" s="50"/>
      <c r="O186" s="50"/>
      <c r="P186" s="50"/>
      <c r="Q186" s="50"/>
      <c r="R186" s="50"/>
      <c r="S186" s="50"/>
      <c r="T186" s="50"/>
      <c r="U186" s="50"/>
      <c r="V186" s="50"/>
      <c r="W186" s="50"/>
    </row>
    <row r="187" ht="15.75" customHeight="1">
      <c r="A187" s="50"/>
      <c r="B187" s="59"/>
      <c r="C187" s="50"/>
      <c r="D187" s="59"/>
      <c r="E187" s="50"/>
      <c r="F187" s="59"/>
      <c r="G187" s="50"/>
      <c r="H187" s="53"/>
      <c r="I187" s="50"/>
      <c r="J187" s="50"/>
      <c r="K187" s="50"/>
      <c r="L187" s="50"/>
      <c r="M187" s="50"/>
      <c r="N187" s="50"/>
      <c r="O187" s="50"/>
      <c r="P187" s="50"/>
      <c r="Q187" s="50"/>
      <c r="R187" s="50"/>
      <c r="S187" s="50"/>
      <c r="T187" s="50"/>
      <c r="U187" s="50"/>
      <c r="V187" s="50"/>
      <c r="W187" s="50"/>
    </row>
    <row r="188" ht="15.75" customHeight="1">
      <c r="A188" s="50"/>
      <c r="B188" s="59"/>
      <c r="C188" s="50"/>
      <c r="D188" s="59"/>
      <c r="E188" s="50"/>
      <c r="F188" s="59"/>
      <c r="G188" s="50"/>
      <c r="H188" s="53"/>
      <c r="I188" s="50"/>
      <c r="J188" s="50"/>
      <c r="K188" s="50"/>
      <c r="L188" s="50"/>
      <c r="M188" s="50"/>
      <c r="N188" s="50"/>
      <c r="O188" s="50"/>
      <c r="P188" s="50"/>
      <c r="Q188" s="50"/>
      <c r="R188" s="50"/>
      <c r="S188" s="50"/>
      <c r="T188" s="50"/>
      <c r="U188" s="50"/>
      <c r="V188" s="50"/>
      <c r="W188" s="50"/>
    </row>
    <row r="189" ht="15.75" customHeight="1">
      <c r="A189" s="50"/>
      <c r="B189" s="59"/>
      <c r="C189" s="50"/>
      <c r="D189" s="59"/>
      <c r="E189" s="50"/>
      <c r="F189" s="59"/>
      <c r="G189" s="50"/>
      <c r="H189" s="53"/>
      <c r="I189" s="50"/>
      <c r="J189" s="50"/>
      <c r="K189" s="50"/>
      <c r="L189" s="50"/>
      <c r="M189" s="50"/>
      <c r="N189" s="50"/>
      <c r="O189" s="50"/>
      <c r="P189" s="50"/>
      <c r="Q189" s="50"/>
      <c r="R189" s="50"/>
      <c r="S189" s="50"/>
      <c r="T189" s="50"/>
      <c r="U189" s="50"/>
      <c r="V189" s="50"/>
      <c r="W189" s="50"/>
    </row>
    <row r="190" ht="15.75" customHeight="1">
      <c r="A190" s="50"/>
      <c r="B190" s="59"/>
      <c r="C190" s="50"/>
      <c r="D190" s="59"/>
      <c r="E190" s="50"/>
      <c r="F190" s="59"/>
      <c r="G190" s="50"/>
      <c r="H190" s="53"/>
      <c r="I190" s="50"/>
      <c r="J190" s="50"/>
      <c r="K190" s="50"/>
      <c r="L190" s="50"/>
      <c r="M190" s="50"/>
      <c r="N190" s="50"/>
      <c r="O190" s="50"/>
      <c r="P190" s="50"/>
      <c r="Q190" s="50"/>
      <c r="R190" s="50"/>
      <c r="S190" s="50"/>
      <c r="T190" s="50"/>
      <c r="U190" s="50"/>
      <c r="V190" s="50"/>
      <c r="W190" s="50"/>
    </row>
    <row r="191" ht="15.75" customHeight="1">
      <c r="A191" s="50"/>
      <c r="B191" s="59"/>
      <c r="C191" s="50"/>
      <c r="D191" s="59"/>
      <c r="E191" s="50"/>
      <c r="F191" s="59"/>
      <c r="G191" s="50"/>
      <c r="H191" s="53"/>
      <c r="I191" s="50"/>
      <c r="J191" s="50"/>
      <c r="K191" s="50"/>
      <c r="L191" s="50"/>
      <c r="M191" s="50"/>
      <c r="N191" s="50"/>
      <c r="O191" s="50"/>
      <c r="P191" s="50"/>
      <c r="Q191" s="50"/>
      <c r="R191" s="50"/>
      <c r="S191" s="50"/>
      <c r="T191" s="50"/>
      <c r="U191" s="50"/>
      <c r="V191" s="50"/>
      <c r="W191" s="50"/>
    </row>
    <row r="192" ht="15.75" customHeight="1">
      <c r="A192" s="50"/>
      <c r="B192" s="59"/>
      <c r="C192" s="50"/>
      <c r="D192" s="59"/>
      <c r="E192" s="50"/>
      <c r="F192" s="59"/>
      <c r="G192" s="50"/>
      <c r="H192" s="53"/>
      <c r="I192" s="50"/>
      <c r="J192" s="50"/>
      <c r="K192" s="50"/>
      <c r="L192" s="50"/>
      <c r="M192" s="50"/>
      <c r="N192" s="50"/>
      <c r="O192" s="50"/>
      <c r="P192" s="50"/>
      <c r="Q192" s="50"/>
      <c r="R192" s="50"/>
      <c r="S192" s="50"/>
      <c r="T192" s="50"/>
      <c r="U192" s="50"/>
      <c r="V192" s="50"/>
      <c r="W192" s="50"/>
    </row>
    <row r="193" ht="15.75" customHeight="1">
      <c r="A193" s="50"/>
      <c r="B193" s="59"/>
      <c r="C193" s="50"/>
      <c r="D193" s="59"/>
      <c r="E193" s="50"/>
      <c r="F193" s="59"/>
      <c r="G193" s="50"/>
      <c r="H193" s="53"/>
      <c r="I193" s="50"/>
      <c r="J193" s="50"/>
      <c r="K193" s="50"/>
      <c r="L193" s="50"/>
      <c r="M193" s="50"/>
      <c r="N193" s="50"/>
      <c r="O193" s="50"/>
      <c r="P193" s="50"/>
      <c r="Q193" s="50"/>
      <c r="R193" s="50"/>
      <c r="S193" s="50"/>
      <c r="T193" s="50"/>
      <c r="U193" s="50"/>
      <c r="V193" s="50"/>
      <c r="W193" s="50"/>
    </row>
    <row r="194" ht="15.75" customHeight="1">
      <c r="A194" s="50"/>
      <c r="B194" s="59"/>
      <c r="C194" s="50"/>
      <c r="D194" s="59"/>
      <c r="E194" s="50"/>
      <c r="F194" s="59"/>
      <c r="G194" s="50"/>
      <c r="H194" s="53"/>
      <c r="I194" s="50"/>
      <c r="J194" s="50"/>
      <c r="K194" s="50"/>
      <c r="L194" s="50"/>
      <c r="M194" s="50"/>
      <c r="N194" s="50"/>
      <c r="O194" s="50"/>
      <c r="P194" s="50"/>
      <c r="Q194" s="50"/>
      <c r="R194" s="50"/>
      <c r="S194" s="50"/>
      <c r="T194" s="50"/>
      <c r="U194" s="50"/>
      <c r="V194" s="50"/>
      <c r="W194" s="50"/>
    </row>
    <row r="195" ht="15.75" customHeight="1">
      <c r="A195" s="50"/>
      <c r="B195" s="59"/>
      <c r="C195" s="50"/>
      <c r="D195" s="59"/>
      <c r="E195" s="50"/>
      <c r="F195" s="59"/>
      <c r="G195" s="50"/>
      <c r="H195" s="53"/>
      <c r="I195" s="50"/>
      <c r="J195" s="50"/>
      <c r="K195" s="50"/>
      <c r="L195" s="50"/>
      <c r="M195" s="50"/>
      <c r="N195" s="50"/>
      <c r="O195" s="50"/>
      <c r="P195" s="50"/>
      <c r="Q195" s="50"/>
      <c r="R195" s="50"/>
      <c r="S195" s="50"/>
      <c r="T195" s="50"/>
      <c r="U195" s="50"/>
      <c r="V195" s="50"/>
      <c r="W195" s="50"/>
    </row>
    <row r="196" ht="15.75" customHeight="1">
      <c r="A196" s="50"/>
      <c r="B196" s="59"/>
      <c r="C196" s="50"/>
      <c r="D196" s="59"/>
      <c r="E196" s="50"/>
      <c r="F196" s="59"/>
      <c r="G196" s="50"/>
      <c r="H196" s="53"/>
      <c r="I196" s="50"/>
      <c r="J196" s="50"/>
      <c r="K196" s="50"/>
      <c r="L196" s="50"/>
      <c r="M196" s="50"/>
      <c r="N196" s="50"/>
      <c r="O196" s="50"/>
      <c r="P196" s="50"/>
      <c r="Q196" s="50"/>
      <c r="R196" s="50"/>
      <c r="S196" s="50"/>
      <c r="T196" s="50"/>
      <c r="U196" s="50"/>
      <c r="V196" s="50"/>
      <c r="W196" s="50"/>
    </row>
    <row r="197" ht="15.75" customHeight="1">
      <c r="A197" s="50"/>
      <c r="B197" s="59"/>
      <c r="C197" s="50"/>
      <c r="D197" s="59"/>
      <c r="E197" s="50"/>
      <c r="F197" s="59"/>
      <c r="G197" s="50"/>
      <c r="H197" s="53"/>
      <c r="I197" s="50"/>
      <c r="J197" s="50"/>
      <c r="K197" s="50"/>
      <c r="L197" s="50"/>
      <c r="M197" s="50"/>
      <c r="N197" s="50"/>
      <c r="O197" s="50"/>
      <c r="P197" s="50"/>
      <c r="Q197" s="50"/>
      <c r="R197" s="50"/>
      <c r="S197" s="50"/>
      <c r="T197" s="50"/>
      <c r="U197" s="50"/>
      <c r="V197" s="50"/>
      <c r="W197" s="50"/>
    </row>
    <row r="198" ht="15.75" customHeight="1">
      <c r="A198" s="50"/>
      <c r="B198" s="59"/>
      <c r="C198" s="50"/>
      <c r="D198" s="59"/>
      <c r="E198" s="50"/>
      <c r="F198" s="59"/>
      <c r="G198" s="50"/>
      <c r="H198" s="53"/>
      <c r="I198" s="50"/>
      <c r="J198" s="50"/>
      <c r="K198" s="50"/>
      <c r="L198" s="50"/>
      <c r="M198" s="50"/>
      <c r="N198" s="50"/>
      <c r="O198" s="50"/>
      <c r="P198" s="50"/>
      <c r="Q198" s="50"/>
      <c r="R198" s="50"/>
      <c r="S198" s="50"/>
      <c r="T198" s="50"/>
      <c r="U198" s="50"/>
      <c r="V198" s="50"/>
      <c r="W198" s="50"/>
    </row>
    <row r="199" ht="15.75" customHeight="1">
      <c r="A199" s="50"/>
      <c r="B199" s="59"/>
      <c r="C199" s="50"/>
      <c r="D199" s="59"/>
      <c r="E199" s="50"/>
      <c r="F199" s="59"/>
      <c r="G199" s="50"/>
      <c r="H199" s="53"/>
      <c r="I199" s="50"/>
      <c r="J199" s="50"/>
      <c r="K199" s="50"/>
      <c r="L199" s="50"/>
      <c r="M199" s="50"/>
      <c r="N199" s="50"/>
      <c r="O199" s="50"/>
      <c r="P199" s="50"/>
      <c r="Q199" s="50"/>
      <c r="R199" s="50"/>
      <c r="S199" s="50"/>
      <c r="T199" s="50"/>
      <c r="U199" s="50"/>
      <c r="V199" s="50"/>
      <c r="W199" s="50"/>
    </row>
    <row r="200" ht="15.75" customHeight="1">
      <c r="A200" s="50"/>
      <c r="B200" s="59"/>
      <c r="C200" s="50"/>
      <c r="D200" s="59"/>
      <c r="E200" s="50"/>
      <c r="F200" s="59"/>
      <c r="G200" s="50"/>
      <c r="H200" s="53"/>
      <c r="I200" s="50"/>
      <c r="J200" s="50"/>
      <c r="K200" s="50"/>
      <c r="L200" s="50"/>
      <c r="M200" s="50"/>
      <c r="N200" s="50"/>
      <c r="O200" s="50"/>
      <c r="P200" s="50"/>
      <c r="Q200" s="50"/>
      <c r="R200" s="50"/>
      <c r="S200" s="50"/>
      <c r="T200" s="50"/>
      <c r="U200" s="50"/>
      <c r="V200" s="50"/>
      <c r="W200" s="50"/>
    </row>
    <row r="201" ht="15.75" customHeight="1">
      <c r="A201" s="50"/>
      <c r="B201" s="59"/>
      <c r="C201" s="50"/>
      <c r="D201" s="59"/>
      <c r="E201" s="50"/>
      <c r="F201" s="59"/>
      <c r="G201" s="50"/>
      <c r="H201" s="53"/>
      <c r="I201" s="50"/>
      <c r="J201" s="50"/>
      <c r="K201" s="50"/>
      <c r="L201" s="50"/>
      <c r="M201" s="50"/>
      <c r="N201" s="50"/>
      <c r="O201" s="50"/>
      <c r="P201" s="50"/>
      <c r="Q201" s="50"/>
      <c r="R201" s="50"/>
      <c r="S201" s="50"/>
      <c r="T201" s="50"/>
      <c r="U201" s="50"/>
      <c r="V201" s="50"/>
      <c r="W201" s="50"/>
    </row>
    <row r="202" ht="15.75" customHeight="1">
      <c r="A202" s="50"/>
      <c r="B202" s="59"/>
      <c r="C202" s="50"/>
      <c r="D202" s="59"/>
      <c r="E202" s="50"/>
      <c r="F202" s="59"/>
      <c r="G202" s="50"/>
      <c r="H202" s="53"/>
      <c r="I202" s="50"/>
      <c r="J202" s="50"/>
      <c r="K202" s="50"/>
      <c r="L202" s="50"/>
      <c r="M202" s="50"/>
      <c r="N202" s="50"/>
      <c r="O202" s="50"/>
      <c r="P202" s="50"/>
      <c r="Q202" s="50"/>
      <c r="R202" s="50"/>
      <c r="S202" s="50"/>
      <c r="T202" s="50"/>
      <c r="U202" s="50"/>
      <c r="V202" s="50"/>
      <c r="W202" s="50"/>
    </row>
    <row r="203" ht="15.75" customHeight="1">
      <c r="A203" s="50"/>
      <c r="B203" s="59"/>
      <c r="C203" s="50"/>
      <c r="D203" s="59"/>
      <c r="E203" s="50"/>
      <c r="F203" s="59"/>
      <c r="G203" s="50"/>
      <c r="H203" s="53"/>
      <c r="I203" s="50"/>
      <c r="J203" s="50"/>
      <c r="K203" s="50"/>
      <c r="L203" s="50"/>
      <c r="M203" s="50"/>
      <c r="N203" s="50"/>
      <c r="O203" s="50"/>
      <c r="P203" s="50"/>
      <c r="Q203" s="50"/>
      <c r="R203" s="50"/>
      <c r="S203" s="50"/>
      <c r="T203" s="50"/>
      <c r="U203" s="50"/>
      <c r="V203" s="50"/>
      <c r="W203" s="50"/>
    </row>
    <row r="204" ht="15.75" customHeight="1">
      <c r="A204" s="50"/>
      <c r="B204" s="59"/>
      <c r="C204" s="50"/>
      <c r="D204" s="59"/>
      <c r="E204" s="50"/>
      <c r="F204" s="59"/>
      <c r="G204" s="50"/>
      <c r="H204" s="53"/>
      <c r="I204" s="50"/>
      <c r="J204" s="50"/>
      <c r="K204" s="50"/>
      <c r="L204" s="50"/>
      <c r="M204" s="50"/>
      <c r="N204" s="50"/>
      <c r="O204" s="50"/>
      <c r="P204" s="50"/>
      <c r="Q204" s="50"/>
      <c r="R204" s="50"/>
      <c r="S204" s="50"/>
      <c r="T204" s="50"/>
      <c r="U204" s="50"/>
      <c r="V204" s="50"/>
      <c r="W204" s="50"/>
    </row>
    <row r="205" ht="15.75" customHeight="1">
      <c r="A205" s="50"/>
      <c r="B205" s="59"/>
      <c r="C205" s="50"/>
      <c r="D205" s="59"/>
      <c r="E205" s="50"/>
      <c r="F205" s="59"/>
      <c r="G205" s="50"/>
      <c r="H205" s="53"/>
      <c r="I205" s="50"/>
      <c r="J205" s="50"/>
      <c r="K205" s="50"/>
      <c r="L205" s="50"/>
      <c r="M205" s="50"/>
      <c r="N205" s="50"/>
      <c r="O205" s="50"/>
      <c r="P205" s="50"/>
      <c r="Q205" s="50"/>
      <c r="R205" s="50"/>
      <c r="S205" s="50"/>
      <c r="T205" s="50"/>
      <c r="U205" s="50"/>
      <c r="V205" s="50"/>
      <c r="W205" s="50"/>
    </row>
    <row r="206" ht="15.75" customHeight="1">
      <c r="A206" s="50"/>
      <c r="B206" s="59"/>
      <c r="C206" s="50"/>
      <c r="D206" s="59"/>
      <c r="E206" s="50"/>
      <c r="F206" s="59"/>
      <c r="G206" s="50"/>
      <c r="H206" s="53"/>
      <c r="I206" s="50"/>
      <c r="J206" s="50"/>
      <c r="K206" s="50"/>
      <c r="L206" s="50"/>
      <c r="M206" s="50"/>
      <c r="N206" s="50"/>
      <c r="O206" s="50"/>
      <c r="P206" s="50"/>
      <c r="Q206" s="50"/>
      <c r="R206" s="50"/>
      <c r="S206" s="50"/>
      <c r="T206" s="50"/>
      <c r="U206" s="50"/>
      <c r="V206" s="50"/>
      <c r="W206" s="50"/>
    </row>
    <row r="207" ht="15.75" customHeight="1">
      <c r="A207" s="50"/>
      <c r="B207" s="59"/>
      <c r="C207" s="50"/>
      <c r="D207" s="59"/>
      <c r="E207" s="50"/>
      <c r="F207" s="59"/>
      <c r="G207" s="50"/>
      <c r="H207" s="53"/>
      <c r="I207" s="50"/>
      <c r="J207" s="50"/>
      <c r="K207" s="50"/>
      <c r="L207" s="50"/>
      <c r="M207" s="50"/>
      <c r="N207" s="50"/>
      <c r="O207" s="50"/>
      <c r="P207" s="50"/>
      <c r="Q207" s="50"/>
      <c r="R207" s="50"/>
      <c r="S207" s="50"/>
      <c r="T207" s="50"/>
      <c r="U207" s="50"/>
      <c r="V207" s="50"/>
      <c r="W207" s="50"/>
    </row>
    <row r="208" ht="15.75" customHeight="1">
      <c r="A208" s="50"/>
      <c r="B208" s="59"/>
      <c r="C208" s="50"/>
      <c r="D208" s="59"/>
      <c r="E208" s="50"/>
      <c r="F208" s="59"/>
      <c r="G208" s="50"/>
      <c r="H208" s="53"/>
      <c r="I208" s="50"/>
      <c r="J208" s="50"/>
      <c r="K208" s="50"/>
      <c r="L208" s="50"/>
      <c r="M208" s="50"/>
      <c r="N208" s="50"/>
      <c r="O208" s="50"/>
      <c r="P208" s="50"/>
      <c r="Q208" s="50"/>
      <c r="R208" s="50"/>
      <c r="S208" s="50"/>
      <c r="T208" s="50"/>
      <c r="U208" s="50"/>
      <c r="V208" s="50"/>
      <c r="W208" s="50"/>
    </row>
    <row r="209" ht="15.75" customHeight="1">
      <c r="A209" s="50"/>
      <c r="B209" s="59"/>
      <c r="C209" s="50"/>
      <c r="D209" s="59"/>
      <c r="E209" s="50"/>
      <c r="F209" s="59"/>
      <c r="G209" s="50"/>
      <c r="H209" s="53"/>
      <c r="I209" s="50"/>
      <c r="J209" s="50"/>
      <c r="K209" s="50"/>
      <c r="L209" s="50"/>
      <c r="M209" s="50"/>
      <c r="N209" s="50"/>
      <c r="O209" s="50"/>
      <c r="P209" s="50"/>
      <c r="Q209" s="50"/>
      <c r="R209" s="50"/>
      <c r="S209" s="50"/>
      <c r="T209" s="50"/>
      <c r="U209" s="50"/>
      <c r="V209" s="50"/>
      <c r="W209" s="50"/>
    </row>
    <row r="210" ht="15.75" customHeight="1">
      <c r="A210" s="50"/>
      <c r="B210" s="59"/>
      <c r="C210" s="50"/>
      <c r="D210" s="59"/>
      <c r="E210" s="50"/>
      <c r="F210" s="59"/>
      <c r="G210" s="50"/>
      <c r="H210" s="53"/>
      <c r="I210" s="50"/>
      <c r="J210" s="50"/>
      <c r="K210" s="50"/>
      <c r="L210" s="50"/>
      <c r="M210" s="50"/>
      <c r="N210" s="50"/>
      <c r="O210" s="50"/>
      <c r="P210" s="50"/>
      <c r="Q210" s="50"/>
      <c r="R210" s="50"/>
      <c r="S210" s="50"/>
      <c r="T210" s="50"/>
      <c r="U210" s="50"/>
      <c r="V210" s="50"/>
      <c r="W210" s="50"/>
    </row>
    <row r="211" ht="15.75" customHeight="1">
      <c r="A211" s="50"/>
      <c r="B211" s="59"/>
      <c r="C211" s="50"/>
      <c r="D211" s="59"/>
      <c r="E211" s="50"/>
      <c r="F211" s="59"/>
      <c r="G211" s="50"/>
      <c r="H211" s="53"/>
      <c r="I211" s="50"/>
      <c r="J211" s="50"/>
      <c r="K211" s="50"/>
      <c r="L211" s="50"/>
      <c r="M211" s="50"/>
      <c r="N211" s="50"/>
      <c r="O211" s="50"/>
      <c r="P211" s="50"/>
      <c r="Q211" s="50"/>
      <c r="R211" s="50"/>
      <c r="S211" s="50"/>
      <c r="T211" s="50"/>
      <c r="U211" s="50"/>
      <c r="V211" s="50"/>
      <c r="W211" s="50"/>
    </row>
    <row r="212" ht="15.75" customHeight="1">
      <c r="A212" s="50"/>
      <c r="B212" s="59"/>
      <c r="C212" s="50"/>
      <c r="D212" s="59"/>
      <c r="E212" s="50"/>
      <c r="F212" s="59"/>
      <c r="G212" s="50"/>
      <c r="H212" s="53"/>
      <c r="I212" s="50"/>
      <c r="J212" s="50"/>
      <c r="K212" s="50"/>
      <c r="L212" s="50"/>
      <c r="M212" s="50"/>
      <c r="N212" s="50"/>
      <c r="O212" s="50"/>
      <c r="P212" s="50"/>
      <c r="Q212" s="50"/>
      <c r="R212" s="50"/>
      <c r="S212" s="50"/>
      <c r="T212" s="50"/>
      <c r="U212" s="50"/>
      <c r="V212" s="50"/>
      <c r="W212" s="50"/>
    </row>
    <row r="213" ht="15.75" customHeight="1">
      <c r="A213" s="50"/>
      <c r="B213" s="59"/>
      <c r="C213" s="50"/>
      <c r="D213" s="59"/>
      <c r="E213" s="50"/>
      <c r="F213" s="59"/>
      <c r="G213" s="50"/>
      <c r="H213" s="53"/>
      <c r="I213" s="50"/>
      <c r="J213" s="50"/>
      <c r="K213" s="50"/>
      <c r="L213" s="50"/>
      <c r="M213" s="50"/>
      <c r="N213" s="50"/>
      <c r="O213" s="50"/>
      <c r="P213" s="50"/>
      <c r="Q213" s="50"/>
      <c r="R213" s="50"/>
      <c r="S213" s="50"/>
      <c r="T213" s="50"/>
      <c r="U213" s="50"/>
      <c r="V213" s="50"/>
      <c r="W213" s="50"/>
    </row>
    <row r="214" ht="15.75" customHeight="1">
      <c r="A214" s="50"/>
      <c r="B214" s="59"/>
      <c r="C214" s="50"/>
      <c r="D214" s="59"/>
      <c r="E214" s="50"/>
      <c r="F214" s="59"/>
      <c r="G214" s="50"/>
      <c r="H214" s="53"/>
      <c r="I214" s="50"/>
      <c r="J214" s="50"/>
      <c r="K214" s="50"/>
      <c r="L214" s="50"/>
      <c r="M214" s="50"/>
      <c r="N214" s="50"/>
      <c r="O214" s="50"/>
      <c r="P214" s="50"/>
      <c r="Q214" s="50"/>
      <c r="R214" s="50"/>
      <c r="S214" s="50"/>
      <c r="T214" s="50"/>
      <c r="U214" s="50"/>
      <c r="V214" s="50"/>
      <c r="W214" s="50"/>
    </row>
    <row r="215" ht="15.75" customHeight="1">
      <c r="A215" s="50"/>
      <c r="B215" s="59"/>
      <c r="C215" s="50"/>
      <c r="D215" s="59"/>
      <c r="E215" s="50"/>
      <c r="F215" s="59"/>
      <c r="G215" s="50"/>
      <c r="H215" s="53"/>
      <c r="I215" s="50"/>
      <c r="J215" s="50"/>
      <c r="K215" s="50"/>
      <c r="L215" s="50"/>
      <c r="M215" s="50"/>
      <c r="N215" s="50"/>
      <c r="O215" s="50"/>
      <c r="P215" s="50"/>
      <c r="Q215" s="50"/>
      <c r="R215" s="50"/>
      <c r="S215" s="50"/>
      <c r="T215" s="50"/>
      <c r="U215" s="50"/>
      <c r="V215" s="50"/>
      <c r="W215" s="50"/>
    </row>
    <row r="216" ht="15.75" customHeight="1">
      <c r="A216" s="50"/>
      <c r="B216" s="59"/>
      <c r="C216" s="50"/>
      <c r="D216" s="59"/>
      <c r="E216" s="50"/>
      <c r="F216" s="59"/>
      <c r="G216" s="50"/>
      <c r="H216" s="53"/>
      <c r="I216" s="50"/>
      <c r="J216" s="50"/>
      <c r="K216" s="50"/>
      <c r="L216" s="50"/>
      <c r="M216" s="50"/>
      <c r="N216" s="50"/>
      <c r="O216" s="50"/>
      <c r="P216" s="50"/>
      <c r="Q216" s="50"/>
      <c r="R216" s="50"/>
      <c r="S216" s="50"/>
      <c r="T216" s="50"/>
      <c r="U216" s="50"/>
      <c r="V216" s="50"/>
      <c r="W216" s="50"/>
    </row>
    <row r="217" ht="15.75" customHeight="1">
      <c r="A217" s="50"/>
      <c r="B217" s="59"/>
      <c r="C217" s="50"/>
      <c r="D217" s="59"/>
      <c r="E217" s="50"/>
      <c r="F217" s="59"/>
      <c r="G217" s="50"/>
      <c r="H217" s="53"/>
      <c r="I217" s="50"/>
      <c r="J217" s="50"/>
      <c r="K217" s="50"/>
      <c r="L217" s="50"/>
      <c r="M217" s="50"/>
      <c r="N217" s="50"/>
      <c r="O217" s="50"/>
      <c r="P217" s="50"/>
      <c r="Q217" s="50"/>
      <c r="R217" s="50"/>
      <c r="S217" s="50"/>
      <c r="T217" s="50"/>
      <c r="U217" s="50"/>
      <c r="V217" s="50"/>
      <c r="W217" s="50"/>
    </row>
    <row r="218" ht="15.75" customHeight="1">
      <c r="A218" s="50"/>
      <c r="B218" s="59"/>
      <c r="C218" s="50"/>
      <c r="D218" s="59"/>
      <c r="E218" s="50"/>
      <c r="F218" s="59"/>
      <c r="G218" s="50"/>
      <c r="H218" s="53"/>
      <c r="I218" s="50"/>
      <c r="J218" s="50"/>
      <c r="K218" s="50"/>
      <c r="L218" s="50"/>
      <c r="M218" s="50"/>
      <c r="N218" s="50"/>
      <c r="O218" s="50"/>
      <c r="P218" s="50"/>
      <c r="Q218" s="50"/>
      <c r="R218" s="50"/>
      <c r="S218" s="50"/>
      <c r="T218" s="50"/>
      <c r="U218" s="50"/>
      <c r="V218" s="50"/>
      <c r="W218" s="50"/>
    </row>
    <row r="219" ht="15.75" customHeight="1">
      <c r="A219" s="50"/>
      <c r="B219" s="59"/>
      <c r="C219" s="50"/>
      <c r="D219" s="59"/>
      <c r="E219" s="50"/>
      <c r="F219" s="59"/>
      <c r="G219" s="50"/>
      <c r="H219" s="53"/>
      <c r="I219" s="50"/>
      <c r="J219" s="50"/>
      <c r="K219" s="50"/>
      <c r="L219" s="50"/>
      <c r="M219" s="50"/>
      <c r="N219" s="50"/>
      <c r="O219" s="50"/>
      <c r="P219" s="50"/>
      <c r="Q219" s="50"/>
      <c r="R219" s="50"/>
      <c r="S219" s="50"/>
      <c r="T219" s="50"/>
      <c r="U219" s="50"/>
      <c r="V219" s="50"/>
      <c r="W219" s="50"/>
    </row>
    <row r="220" ht="15.75" customHeight="1">
      <c r="A220" s="50"/>
      <c r="B220" s="59"/>
      <c r="C220" s="50"/>
      <c r="D220" s="59"/>
      <c r="E220" s="50"/>
      <c r="F220" s="59"/>
      <c r="G220" s="50"/>
      <c r="H220" s="53"/>
      <c r="I220" s="50"/>
      <c r="J220" s="50"/>
      <c r="K220" s="50"/>
      <c r="L220" s="50"/>
      <c r="M220" s="50"/>
      <c r="N220" s="50"/>
      <c r="O220" s="50"/>
      <c r="P220" s="50"/>
      <c r="Q220" s="50"/>
      <c r="R220" s="50"/>
      <c r="S220" s="50"/>
      <c r="T220" s="50"/>
      <c r="U220" s="50"/>
      <c r="V220" s="50"/>
      <c r="W220" s="50"/>
    </row>
    <row r="221" ht="15.75" customHeight="1">
      <c r="A221" s="50"/>
      <c r="B221" s="59"/>
      <c r="C221" s="50"/>
      <c r="D221" s="59"/>
      <c r="E221" s="50"/>
      <c r="F221" s="59"/>
      <c r="G221" s="50"/>
      <c r="H221" s="53"/>
      <c r="I221" s="50"/>
      <c r="J221" s="50"/>
      <c r="K221" s="50"/>
      <c r="L221" s="50"/>
      <c r="M221" s="50"/>
      <c r="N221" s="50"/>
      <c r="O221" s="50"/>
      <c r="P221" s="50"/>
      <c r="Q221" s="50"/>
      <c r="R221" s="50"/>
      <c r="S221" s="50"/>
      <c r="T221" s="50"/>
      <c r="U221" s="50"/>
      <c r="V221" s="50"/>
      <c r="W221" s="50"/>
    </row>
    <row r="222" ht="15.75" customHeight="1">
      <c r="A222" s="50"/>
      <c r="B222" s="59"/>
      <c r="C222" s="50"/>
      <c r="D222" s="59"/>
      <c r="E222" s="50"/>
      <c r="F222" s="59"/>
      <c r="G222" s="50"/>
      <c r="H222" s="53"/>
      <c r="I222" s="50"/>
      <c r="J222" s="50"/>
      <c r="K222" s="50"/>
      <c r="L222" s="50"/>
      <c r="M222" s="50"/>
      <c r="N222" s="50"/>
      <c r="O222" s="50"/>
      <c r="P222" s="50"/>
      <c r="Q222" s="50"/>
      <c r="R222" s="50"/>
      <c r="S222" s="50"/>
      <c r="T222" s="50"/>
      <c r="U222" s="50"/>
      <c r="V222" s="50"/>
      <c r="W222" s="50"/>
    </row>
    <row r="223" ht="15.75" customHeight="1">
      <c r="A223" s="50"/>
      <c r="B223" s="59"/>
      <c r="C223" s="50"/>
      <c r="D223" s="59"/>
      <c r="E223" s="50"/>
      <c r="F223" s="59"/>
      <c r="G223" s="50"/>
      <c r="H223" s="53"/>
      <c r="I223" s="50"/>
      <c r="J223" s="50"/>
      <c r="K223" s="50"/>
      <c r="L223" s="50"/>
      <c r="M223" s="50"/>
      <c r="N223" s="50"/>
      <c r="O223" s="50"/>
      <c r="P223" s="50"/>
      <c r="Q223" s="50"/>
      <c r="R223" s="50"/>
      <c r="S223" s="50"/>
      <c r="T223" s="50"/>
      <c r="U223" s="50"/>
      <c r="V223" s="50"/>
      <c r="W223" s="50"/>
    </row>
    <row r="224" ht="15.75" customHeight="1">
      <c r="A224" s="50"/>
      <c r="B224" s="59"/>
      <c r="C224" s="50"/>
      <c r="D224" s="59"/>
      <c r="E224" s="50"/>
      <c r="F224" s="59"/>
      <c r="G224" s="50"/>
      <c r="H224" s="53"/>
      <c r="I224" s="50"/>
      <c r="J224" s="50"/>
      <c r="K224" s="50"/>
      <c r="L224" s="50"/>
      <c r="M224" s="50"/>
      <c r="N224" s="50"/>
      <c r="O224" s="50"/>
      <c r="P224" s="50"/>
      <c r="Q224" s="50"/>
      <c r="R224" s="50"/>
      <c r="S224" s="50"/>
      <c r="T224" s="50"/>
      <c r="U224" s="50"/>
      <c r="V224" s="50"/>
      <c r="W224" s="50"/>
    </row>
    <row r="225" ht="15.75" customHeight="1">
      <c r="A225" s="50"/>
      <c r="B225" s="59"/>
      <c r="C225" s="50"/>
      <c r="D225" s="59"/>
      <c r="E225" s="50"/>
      <c r="F225" s="59"/>
      <c r="G225" s="50"/>
      <c r="H225" s="53"/>
      <c r="I225" s="50"/>
      <c r="J225" s="50"/>
      <c r="K225" s="50"/>
      <c r="L225" s="50"/>
      <c r="M225" s="50"/>
      <c r="N225" s="50"/>
      <c r="O225" s="50"/>
      <c r="P225" s="50"/>
      <c r="Q225" s="50"/>
      <c r="R225" s="50"/>
      <c r="S225" s="50"/>
      <c r="T225" s="50"/>
      <c r="U225" s="50"/>
      <c r="V225" s="50"/>
      <c r="W225" s="50"/>
    </row>
    <row r="226" ht="15.75" customHeight="1">
      <c r="A226" s="50"/>
      <c r="B226" s="59"/>
      <c r="C226" s="50"/>
      <c r="D226" s="59"/>
      <c r="E226" s="50"/>
      <c r="F226" s="59"/>
      <c r="G226" s="50"/>
      <c r="H226" s="53"/>
      <c r="I226" s="50"/>
      <c r="J226" s="50"/>
      <c r="K226" s="50"/>
      <c r="L226" s="50"/>
      <c r="M226" s="50"/>
      <c r="N226" s="50"/>
      <c r="O226" s="50"/>
      <c r="P226" s="50"/>
      <c r="Q226" s="50"/>
      <c r="R226" s="50"/>
      <c r="S226" s="50"/>
      <c r="T226" s="50"/>
      <c r="U226" s="50"/>
      <c r="V226" s="50"/>
      <c r="W226" s="50"/>
    </row>
    <row r="227" ht="15.75" customHeight="1">
      <c r="A227" s="50"/>
      <c r="B227" s="59"/>
      <c r="C227" s="50"/>
      <c r="D227" s="59"/>
      <c r="E227" s="50"/>
      <c r="F227" s="59"/>
      <c r="G227" s="50"/>
      <c r="H227" s="53"/>
      <c r="I227" s="50"/>
      <c r="J227" s="50"/>
      <c r="K227" s="50"/>
      <c r="L227" s="50"/>
      <c r="M227" s="50"/>
      <c r="N227" s="50"/>
      <c r="O227" s="50"/>
      <c r="P227" s="50"/>
      <c r="Q227" s="50"/>
      <c r="R227" s="50"/>
      <c r="S227" s="50"/>
      <c r="T227" s="50"/>
      <c r="U227" s="50"/>
      <c r="V227" s="50"/>
      <c r="W227" s="50"/>
    </row>
    <row r="228" ht="15.75" customHeight="1">
      <c r="A228" s="50"/>
      <c r="B228" s="59"/>
      <c r="C228" s="50"/>
      <c r="D228" s="59"/>
      <c r="E228" s="50"/>
      <c r="F228" s="59"/>
      <c r="G228" s="50"/>
      <c r="H228" s="53"/>
      <c r="I228" s="50"/>
      <c r="J228" s="50"/>
      <c r="K228" s="50"/>
      <c r="L228" s="50"/>
      <c r="M228" s="50"/>
      <c r="N228" s="50"/>
      <c r="O228" s="50"/>
      <c r="P228" s="50"/>
      <c r="Q228" s="50"/>
      <c r="R228" s="50"/>
      <c r="S228" s="50"/>
      <c r="T228" s="50"/>
      <c r="U228" s="50"/>
      <c r="V228" s="50"/>
      <c r="W228" s="50"/>
    </row>
    <row r="229" ht="15.75" customHeight="1">
      <c r="A229" s="50"/>
      <c r="B229" s="59"/>
      <c r="C229" s="50"/>
      <c r="D229" s="59"/>
      <c r="E229" s="50"/>
      <c r="F229" s="59"/>
      <c r="G229" s="50"/>
      <c r="H229" s="53"/>
      <c r="I229" s="50"/>
      <c r="J229" s="50"/>
      <c r="K229" s="50"/>
      <c r="L229" s="50"/>
      <c r="M229" s="50"/>
      <c r="N229" s="50"/>
      <c r="O229" s="50"/>
      <c r="P229" s="50"/>
      <c r="Q229" s="50"/>
      <c r="R229" s="50"/>
      <c r="S229" s="50"/>
      <c r="T229" s="50"/>
      <c r="U229" s="50"/>
      <c r="V229" s="50"/>
      <c r="W229" s="50"/>
    </row>
    <row r="230" ht="15.75" customHeight="1">
      <c r="A230" s="50"/>
      <c r="B230" s="59"/>
      <c r="C230" s="50"/>
      <c r="D230" s="59"/>
      <c r="E230" s="50"/>
      <c r="F230" s="59"/>
      <c r="G230" s="50"/>
      <c r="H230" s="53"/>
      <c r="I230" s="50"/>
      <c r="J230" s="50"/>
      <c r="K230" s="50"/>
      <c r="L230" s="50"/>
      <c r="M230" s="50"/>
      <c r="N230" s="50"/>
      <c r="O230" s="50"/>
      <c r="P230" s="50"/>
      <c r="Q230" s="50"/>
      <c r="R230" s="50"/>
      <c r="S230" s="50"/>
      <c r="T230" s="50"/>
      <c r="U230" s="50"/>
      <c r="V230" s="50"/>
      <c r="W230" s="50"/>
    </row>
    <row r="231" ht="15.75" customHeight="1">
      <c r="A231" s="50"/>
      <c r="B231" s="59"/>
      <c r="C231" s="50"/>
      <c r="D231" s="59"/>
      <c r="E231" s="50"/>
      <c r="F231" s="59"/>
      <c r="G231" s="50"/>
      <c r="H231" s="53"/>
      <c r="I231" s="50"/>
      <c r="J231" s="50"/>
      <c r="K231" s="50"/>
      <c r="L231" s="50"/>
      <c r="M231" s="50"/>
      <c r="N231" s="50"/>
      <c r="O231" s="50"/>
      <c r="P231" s="50"/>
      <c r="Q231" s="50"/>
      <c r="R231" s="50"/>
      <c r="S231" s="50"/>
      <c r="T231" s="50"/>
      <c r="U231" s="50"/>
      <c r="V231" s="50"/>
      <c r="W231" s="50"/>
    </row>
    <row r="232" ht="15.75" customHeight="1">
      <c r="A232" s="50"/>
      <c r="B232" s="59"/>
      <c r="C232" s="50"/>
      <c r="D232" s="59"/>
      <c r="E232" s="50"/>
      <c r="F232" s="59"/>
      <c r="G232" s="50"/>
      <c r="H232" s="53"/>
      <c r="I232" s="50"/>
      <c r="J232" s="50"/>
      <c r="K232" s="50"/>
      <c r="L232" s="50"/>
      <c r="M232" s="50"/>
      <c r="N232" s="50"/>
      <c r="O232" s="50"/>
      <c r="P232" s="50"/>
      <c r="Q232" s="50"/>
      <c r="R232" s="50"/>
      <c r="S232" s="50"/>
      <c r="T232" s="50"/>
      <c r="U232" s="50"/>
      <c r="V232" s="50"/>
      <c r="W232" s="50"/>
    </row>
    <row r="233" ht="15.75" customHeight="1">
      <c r="A233" s="50"/>
      <c r="B233" s="59"/>
      <c r="C233" s="50"/>
      <c r="D233" s="59"/>
      <c r="E233" s="50"/>
      <c r="F233" s="59"/>
      <c r="G233" s="50"/>
      <c r="H233" s="53"/>
      <c r="I233" s="50"/>
      <c r="J233" s="50"/>
      <c r="K233" s="50"/>
      <c r="L233" s="50"/>
      <c r="M233" s="50"/>
      <c r="N233" s="50"/>
      <c r="O233" s="50"/>
      <c r="P233" s="50"/>
      <c r="Q233" s="50"/>
      <c r="R233" s="50"/>
      <c r="S233" s="50"/>
      <c r="T233" s="50"/>
      <c r="U233" s="50"/>
      <c r="V233" s="50"/>
      <c r="W233" s="50"/>
    </row>
    <row r="234" ht="15.75" customHeight="1">
      <c r="A234" s="50"/>
      <c r="B234" s="59"/>
      <c r="C234" s="50"/>
      <c r="D234" s="59"/>
      <c r="E234" s="50"/>
      <c r="F234" s="59"/>
      <c r="G234" s="50"/>
      <c r="H234" s="53"/>
      <c r="I234" s="50"/>
      <c r="J234" s="50"/>
      <c r="K234" s="50"/>
      <c r="L234" s="50"/>
      <c r="M234" s="50"/>
      <c r="N234" s="50"/>
      <c r="O234" s="50"/>
      <c r="P234" s="50"/>
      <c r="Q234" s="50"/>
      <c r="R234" s="50"/>
      <c r="S234" s="50"/>
      <c r="T234" s="50"/>
      <c r="U234" s="50"/>
      <c r="V234" s="50"/>
      <c r="W234" s="50"/>
    </row>
    <row r="235" ht="15.75" customHeight="1">
      <c r="A235" s="50"/>
      <c r="B235" s="59"/>
      <c r="C235" s="50"/>
      <c r="D235" s="59"/>
      <c r="E235" s="50"/>
      <c r="F235" s="59"/>
      <c r="G235" s="50"/>
      <c r="H235" s="53"/>
      <c r="I235" s="50"/>
      <c r="J235" s="50"/>
      <c r="K235" s="50"/>
      <c r="L235" s="50"/>
      <c r="M235" s="50"/>
      <c r="N235" s="50"/>
      <c r="O235" s="50"/>
      <c r="P235" s="50"/>
      <c r="Q235" s="50"/>
      <c r="R235" s="50"/>
      <c r="S235" s="50"/>
      <c r="T235" s="50"/>
      <c r="U235" s="50"/>
      <c r="V235" s="50"/>
      <c r="W235" s="50"/>
    </row>
    <row r="236" ht="15.75" customHeight="1">
      <c r="A236" s="50"/>
      <c r="B236" s="59"/>
      <c r="C236" s="50"/>
      <c r="D236" s="59"/>
      <c r="E236" s="50"/>
      <c r="F236" s="59"/>
      <c r="G236" s="50"/>
      <c r="H236" s="53"/>
      <c r="I236" s="50"/>
      <c r="J236" s="50"/>
      <c r="K236" s="50"/>
      <c r="L236" s="50"/>
      <c r="M236" s="50"/>
      <c r="N236" s="50"/>
      <c r="O236" s="50"/>
      <c r="P236" s="50"/>
      <c r="Q236" s="50"/>
      <c r="R236" s="50"/>
      <c r="S236" s="50"/>
      <c r="T236" s="50"/>
      <c r="U236" s="50"/>
      <c r="V236" s="50"/>
      <c r="W236" s="50"/>
    </row>
    <row r="237" ht="15.75" customHeight="1">
      <c r="A237" s="50"/>
      <c r="B237" s="59"/>
      <c r="C237" s="50"/>
      <c r="D237" s="59"/>
      <c r="E237" s="50"/>
      <c r="F237" s="59"/>
      <c r="G237" s="50"/>
      <c r="H237" s="53"/>
      <c r="I237" s="50"/>
      <c r="J237" s="50"/>
      <c r="K237" s="50"/>
      <c r="L237" s="50"/>
      <c r="M237" s="50"/>
      <c r="N237" s="50"/>
      <c r="O237" s="50"/>
      <c r="P237" s="50"/>
      <c r="Q237" s="50"/>
      <c r="R237" s="50"/>
      <c r="S237" s="50"/>
      <c r="T237" s="50"/>
      <c r="U237" s="50"/>
      <c r="V237" s="50"/>
      <c r="W237" s="50"/>
    </row>
    <row r="238" ht="15.75" customHeight="1">
      <c r="A238" s="50"/>
      <c r="B238" s="59"/>
      <c r="C238" s="50"/>
      <c r="D238" s="59"/>
      <c r="E238" s="50"/>
      <c r="F238" s="59"/>
      <c r="G238" s="50"/>
      <c r="H238" s="53"/>
      <c r="I238" s="50"/>
      <c r="J238" s="50"/>
      <c r="K238" s="50"/>
      <c r="L238" s="50"/>
      <c r="M238" s="50"/>
      <c r="N238" s="50"/>
      <c r="O238" s="50"/>
      <c r="P238" s="50"/>
      <c r="Q238" s="50"/>
      <c r="R238" s="50"/>
      <c r="S238" s="50"/>
      <c r="T238" s="50"/>
      <c r="U238" s="50"/>
      <c r="V238" s="50"/>
      <c r="W238" s="50"/>
    </row>
    <row r="239" ht="15.75" customHeight="1">
      <c r="A239" s="50"/>
      <c r="B239" s="59"/>
      <c r="C239" s="50"/>
      <c r="D239" s="59"/>
      <c r="E239" s="50"/>
      <c r="F239" s="59"/>
      <c r="G239" s="50"/>
      <c r="H239" s="53"/>
      <c r="I239" s="50"/>
      <c r="J239" s="50"/>
      <c r="K239" s="50"/>
      <c r="L239" s="50"/>
      <c r="M239" s="50"/>
      <c r="N239" s="50"/>
      <c r="O239" s="50"/>
      <c r="P239" s="50"/>
      <c r="Q239" s="50"/>
      <c r="R239" s="50"/>
      <c r="S239" s="50"/>
      <c r="T239" s="50"/>
      <c r="U239" s="50"/>
      <c r="V239" s="50"/>
      <c r="W239" s="50"/>
    </row>
    <row r="240" ht="15.75" customHeight="1">
      <c r="A240" s="50"/>
      <c r="B240" s="59"/>
      <c r="C240" s="50"/>
      <c r="D240" s="59"/>
      <c r="E240" s="50"/>
      <c r="F240" s="59"/>
      <c r="G240" s="50"/>
      <c r="H240" s="53"/>
      <c r="I240" s="50"/>
      <c r="J240" s="50"/>
      <c r="K240" s="50"/>
      <c r="L240" s="50"/>
      <c r="M240" s="50"/>
      <c r="N240" s="50"/>
      <c r="O240" s="50"/>
      <c r="P240" s="50"/>
      <c r="Q240" s="50"/>
      <c r="R240" s="50"/>
      <c r="S240" s="50"/>
      <c r="T240" s="50"/>
      <c r="U240" s="50"/>
      <c r="V240" s="50"/>
      <c r="W240" s="50"/>
    </row>
    <row r="241" ht="15.75" customHeight="1">
      <c r="A241" s="50"/>
      <c r="B241" s="59"/>
      <c r="C241" s="50"/>
      <c r="D241" s="59"/>
      <c r="E241" s="50"/>
      <c r="F241" s="59"/>
      <c r="G241" s="50"/>
      <c r="H241" s="53"/>
      <c r="I241" s="50"/>
      <c r="J241" s="50"/>
      <c r="K241" s="50"/>
      <c r="L241" s="50"/>
      <c r="M241" s="50"/>
      <c r="N241" s="50"/>
      <c r="O241" s="50"/>
      <c r="P241" s="50"/>
      <c r="Q241" s="50"/>
      <c r="R241" s="50"/>
      <c r="S241" s="50"/>
      <c r="T241" s="50"/>
      <c r="U241" s="50"/>
      <c r="V241" s="50"/>
      <c r="W241" s="50"/>
    </row>
    <row r="242" ht="15.75" customHeight="1">
      <c r="A242" s="50"/>
      <c r="B242" s="59"/>
      <c r="C242" s="50"/>
      <c r="D242" s="59"/>
      <c r="E242" s="50"/>
      <c r="F242" s="59"/>
      <c r="G242" s="50"/>
      <c r="H242" s="53"/>
      <c r="I242" s="50"/>
      <c r="J242" s="50"/>
      <c r="K242" s="50"/>
      <c r="L242" s="50"/>
      <c r="M242" s="50"/>
      <c r="N242" s="50"/>
      <c r="O242" s="50"/>
      <c r="P242" s="50"/>
      <c r="Q242" s="50"/>
      <c r="R242" s="50"/>
      <c r="S242" s="50"/>
      <c r="T242" s="50"/>
      <c r="U242" s="50"/>
      <c r="V242" s="50"/>
      <c r="W242" s="50"/>
    </row>
    <row r="243" ht="15.75" customHeight="1">
      <c r="A243" s="50"/>
      <c r="B243" s="59"/>
      <c r="C243" s="50"/>
      <c r="D243" s="59"/>
      <c r="E243" s="50"/>
      <c r="F243" s="59"/>
      <c r="G243" s="50"/>
      <c r="H243" s="53"/>
      <c r="I243" s="50"/>
      <c r="J243" s="50"/>
      <c r="K243" s="50"/>
      <c r="L243" s="50"/>
      <c r="M243" s="50"/>
      <c r="N243" s="50"/>
      <c r="O243" s="50"/>
      <c r="P243" s="50"/>
      <c r="Q243" s="50"/>
      <c r="R243" s="50"/>
      <c r="S243" s="50"/>
      <c r="T243" s="50"/>
      <c r="U243" s="50"/>
      <c r="V243" s="50"/>
      <c r="W243" s="50"/>
    </row>
    <row r="244" ht="15.75" customHeight="1">
      <c r="A244" s="50"/>
      <c r="B244" s="59"/>
      <c r="C244" s="50"/>
      <c r="D244" s="59"/>
      <c r="E244" s="50"/>
      <c r="F244" s="59"/>
      <c r="G244" s="50"/>
      <c r="H244" s="53"/>
      <c r="I244" s="50"/>
      <c r="J244" s="50"/>
      <c r="K244" s="50"/>
      <c r="L244" s="50"/>
      <c r="M244" s="50"/>
      <c r="N244" s="50"/>
      <c r="O244" s="50"/>
      <c r="P244" s="50"/>
      <c r="Q244" s="50"/>
      <c r="R244" s="50"/>
      <c r="S244" s="50"/>
      <c r="T244" s="50"/>
      <c r="U244" s="50"/>
      <c r="V244" s="50"/>
      <c r="W244" s="50"/>
    </row>
    <row r="245" ht="15.75" customHeight="1">
      <c r="A245" s="50"/>
      <c r="B245" s="59"/>
      <c r="C245" s="50"/>
      <c r="D245" s="59"/>
      <c r="E245" s="50"/>
      <c r="F245" s="59"/>
      <c r="G245" s="50"/>
      <c r="H245" s="53"/>
      <c r="I245" s="50"/>
      <c r="J245" s="50"/>
      <c r="K245" s="50"/>
      <c r="L245" s="50"/>
      <c r="M245" s="50"/>
      <c r="N245" s="50"/>
      <c r="O245" s="50"/>
      <c r="P245" s="50"/>
      <c r="Q245" s="50"/>
      <c r="R245" s="50"/>
      <c r="S245" s="50"/>
      <c r="T245" s="50"/>
      <c r="U245" s="50"/>
      <c r="V245" s="50"/>
      <c r="W245" s="50"/>
    </row>
    <row r="246" ht="15.75" customHeight="1">
      <c r="A246" s="50"/>
      <c r="B246" s="59"/>
      <c r="C246" s="50"/>
      <c r="D246" s="59"/>
      <c r="E246" s="50"/>
      <c r="F246" s="59"/>
      <c r="G246" s="50"/>
      <c r="H246" s="53"/>
      <c r="I246" s="50"/>
      <c r="J246" s="50"/>
      <c r="K246" s="50"/>
      <c r="L246" s="50"/>
      <c r="M246" s="50"/>
      <c r="N246" s="50"/>
      <c r="O246" s="50"/>
      <c r="P246" s="50"/>
      <c r="Q246" s="50"/>
      <c r="R246" s="50"/>
      <c r="S246" s="50"/>
      <c r="T246" s="50"/>
      <c r="U246" s="50"/>
      <c r="V246" s="50"/>
      <c r="W246" s="50"/>
    </row>
    <row r="247" ht="15.75" customHeight="1">
      <c r="A247" s="50"/>
      <c r="B247" s="59"/>
      <c r="C247" s="50"/>
      <c r="D247" s="59"/>
      <c r="E247" s="50"/>
      <c r="F247" s="59"/>
      <c r="G247" s="50"/>
      <c r="H247" s="53"/>
      <c r="I247" s="50"/>
      <c r="J247" s="50"/>
      <c r="K247" s="50"/>
      <c r="L247" s="50"/>
      <c r="M247" s="50"/>
      <c r="N247" s="50"/>
      <c r="O247" s="50"/>
      <c r="P247" s="50"/>
      <c r="Q247" s="50"/>
      <c r="R247" s="50"/>
      <c r="S247" s="50"/>
      <c r="T247" s="50"/>
      <c r="U247" s="50"/>
      <c r="V247" s="50"/>
      <c r="W247" s="50"/>
    </row>
    <row r="248" ht="15.75" customHeight="1">
      <c r="A248" s="50"/>
      <c r="B248" s="59"/>
      <c r="C248" s="50"/>
      <c r="D248" s="59"/>
      <c r="E248" s="50"/>
      <c r="F248" s="59"/>
      <c r="G248" s="50"/>
      <c r="H248" s="53"/>
      <c r="I248" s="50"/>
      <c r="J248" s="50"/>
      <c r="K248" s="50"/>
      <c r="L248" s="50"/>
      <c r="M248" s="50"/>
      <c r="N248" s="50"/>
      <c r="O248" s="50"/>
      <c r="P248" s="50"/>
      <c r="Q248" s="50"/>
      <c r="R248" s="50"/>
      <c r="S248" s="50"/>
      <c r="T248" s="50"/>
      <c r="U248" s="50"/>
      <c r="V248" s="50"/>
      <c r="W248" s="50"/>
    </row>
    <row r="249" ht="15.75" customHeight="1">
      <c r="A249" s="50"/>
      <c r="B249" s="59"/>
      <c r="C249" s="50"/>
      <c r="D249" s="59"/>
      <c r="E249" s="50"/>
      <c r="F249" s="59"/>
      <c r="G249" s="50"/>
      <c r="H249" s="53"/>
      <c r="I249" s="50"/>
      <c r="J249" s="50"/>
      <c r="K249" s="50"/>
      <c r="L249" s="50"/>
      <c r="M249" s="50"/>
      <c r="N249" s="50"/>
      <c r="O249" s="50"/>
      <c r="P249" s="50"/>
      <c r="Q249" s="50"/>
      <c r="R249" s="50"/>
      <c r="S249" s="50"/>
      <c r="T249" s="50"/>
      <c r="U249" s="50"/>
      <c r="V249" s="50"/>
      <c r="W249" s="50"/>
    </row>
    <row r="250" ht="15.75" customHeight="1">
      <c r="A250" s="50"/>
      <c r="B250" s="59"/>
      <c r="C250" s="50"/>
      <c r="D250" s="59"/>
      <c r="E250" s="50"/>
      <c r="F250" s="59"/>
      <c r="G250" s="50"/>
      <c r="H250" s="53"/>
      <c r="I250" s="50"/>
      <c r="J250" s="50"/>
      <c r="K250" s="50"/>
      <c r="L250" s="50"/>
      <c r="M250" s="50"/>
      <c r="N250" s="50"/>
      <c r="O250" s="50"/>
      <c r="P250" s="50"/>
      <c r="Q250" s="50"/>
      <c r="R250" s="50"/>
      <c r="S250" s="50"/>
      <c r="T250" s="50"/>
      <c r="U250" s="50"/>
      <c r="V250" s="50"/>
      <c r="W250" s="50"/>
    </row>
    <row r="251" ht="15.75" customHeight="1">
      <c r="A251" s="50"/>
      <c r="B251" s="59"/>
      <c r="C251" s="50"/>
      <c r="D251" s="59"/>
      <c r="E251" s="50"/>
      <c r="F251" s="59"/>
      <c r="G251" s="50"/>
      <c r="H251" s="53"/>
      <c r="I251" s="50"/>
      <c r="J251" s="50"/>
      <c r="K251" s="50"/>
      <c r="L251" s="50"/>
      <c r="M251" s="50"/>
      <c r="N251" s="50"/>
      <c r="O251" s="50"/>
      <c r="P251" s="50"/>
      <c r="Q251" s="50"/>
      <c r="R251" s="50"/>
      <c r="S251" s="50"/>
      <c r="T251" s="50"/>
      <c r="U251" s="50"/>
      <c r="V251" s="50"/>
      <c r="W251" s="50"/>
    </row>
    <row r="252" ht="15.75" customHeight="1">
      <c r="A252" s="50"/>
      <c r="B252" s="59"/>
      <c r="C252" s="50"/>
      <c r="D252" s="59"/>
      <c r="E252" s="50"/>
      <c r="F252" s="59"/>
      <c r="G252" s="50"/>
      <c r="H252" s="53"/>
      <c r="I252" s="50"/>
      <c r="J252" s="50"/>
      <c r="K252" s="50"/>
      <c r="L252" s="50"/>
      <c r="M252" s="50"/>
      <c r="N252" s="50"/>
      <c r="O252" s="50"/>
      <c r="P252" s="50"/>
      <c r="Q252" s="50"/>
      <c r="R252" s="50"/>
      <c r="S252" s="50"/>
      <c r="T252" s="50"/>
      <c r="U252" s="50"/>
      <c r="V252" s="50"/>
      <c r="W252" s="50"/>
    </row>
    <row r="253" ht="15.75" customHeight="1">
      <c r="A253" s="50"/>
      <c r="B253" s="59"/>
      <c r="C253" s="50"/>
      <c r="D253" s="59"/>
      <c r="E253" s="50"/>
      <c r="F253" s="59"/>
      <c r="G253" s="50"/>
      <c r="H253" s="53"/>
      <c r="I253" s="50"/>
      <c r="J253" s="50"/>
      <c r="K253" s="50"/>
      <c r="L253" s="50"/>
      <c r="M253" s="50"/>
      <c r="N253" s="50"/>
      <c r="O253" s="50"/>
      <c r="P253" s="50"/>
      <c r="Q253" s="50"/>
      <c r="R253" s="50"/>
      <c r="S253" s="50"/>
      <c r="T253" s="50"/>
      <c r="U253" s="50"/>
      <c r="V253" s="50"/>
      <c r="W253" s="50"/>
    </row>
    <row r="254" ht="15.75" customHeight="1">
      <c r="A254" s="50"/>
      <c r="B254" s="59"/>
      <c r="C254" s="50"/>
      <c r="D254" s="59"/>
      <c r="E254" s="50"/>
      <c r="F254" s="59"/>
      <c r="G254" s="50"/>
      <c r="H254" s="53"/>
      <c r="I254" s="50"/>
      <c r="J254" s="50"/>
      <c r="K254" s="50"/>
      <c r="L254" s="50"/>
      <c r="M254" s="50"/>
      <c r="N254" s="50"/>
      <c r="O254" s="50"/>
      <c r="P254" s="50"/>
      <c r="Q254" s="50"/>
      <c r="R254" s="50"/>
      <c r="S254" s="50"/>
      <c r="T254" s="50"/>
      <c r="U254" s="50"/>
      <c r="V254" s="50"/>
      <c r="W254" s="50"/>
    </row>
    <row r="255" ht="15.75" customHeight="1">
      <c r="A255" s="50"/>
      <c r="B255" s="59"/>
      <c r="C255" s="50"/>
      <c r="D255" s="59"/>
      <c r="E255" s="50"/>
      <c r="F255" s="59"/>
      <c r="G255" s="50"/>
      <c r="H255" s="53"/>
      <c r="I255" s="50"/>
      <c r="J255" s="50"/>
      <c r="K255" s="50"/>
      <c r="L255" s="50"/>
      <c r="M255" s="50"/>
      <c r="N255" s="50"/>
      <c r="O255" s="50"/>
      <c r="P255" s="50"/>
      <c r="Q255" s="50"/>
      <c r="R255" s="50"/>
      <c r="S255" s="50"/>
      <c r="T255" s="50"/>
      <c r="U255" s="50"/>
      <c r="V255" s="50"/>
      <c r="W255" s="50"/>
    </row>
    <row r="256" ht="15.75" customHeight="1">
      <c r="A256" s="50"/>
      <c r="B256" s="59"/>
      <c r="C256" s="50"/>
      <c r="D256" s="59"/>
      <c r="E256" s="50"/>
      <c r="F256" s="59"/>
      <c r="G256" s="50"/>
      <c r="H256" s="53"/>
      <c r="I256" s="50"/>
      <c r="J256" s="50"/>
      <c r="K256" s="50"/>
      <c r="L256" s="50"/>
      <c r="M256" s="50"/>
      <c r="N256" s="50"/>
      <c r="O256" s="50"/>
      <c r="P256" s="50"/>
      <c r="Q256" s="50"/>
      <c r="R256" s="50"/>
      <c r="S256" s="50"/>
      <c r="T256" s="50"/>
      <c r="U256" s="50"/>
      <c r="V256" s="50"/>
      <c r="W256" s="50"/>
    </row>
    <row r="257" ht="15.75" customHeight="1">
      <c r="A257" s="50"/>
      <c r="B257" s="59"/>
      <c r="C257" s="50"/>
      <c r="D257" s="59"/>
      <c r="E257" s="50"/>
      <c r="F257" s="59"/>
      <c r="G257" s="50"/>
      <c r="H257" s="53"/>
      <c r="I257" s="50"/>
      <c r="J257" s="50"/>
      <c r="K257" s="50"/>
      <c r="L257" s="50"/>
      <c r="M257" s="50"/>
      <c r="N257" s="50"/>
      <c r="O257" s="50"/>
      <c r="P257" s="50"/>
      <c r="Q257" s="50"/>
      <c r="R257" s="50"/>
      <c r="S257" s="50"/>
      <c r="T257" s="50"/>
      <c r="U257" s="50"/>
      <c r="V257" s="50"/>
      <c r="W257" s="50"/>
    </row>
    <row r="258" ht="15.75" customHeight="1">
      <c r="A258" s="50"/>
      <c r="B258" s="59"/>
      <c r="C258" s="50"/>
      <c r="D258" s="59"/>
      <c r="E258" s="50"/>
      <c r="F258" s="59"/>
      <c r="G258" s="50"/>
      <c r="H258" s="53"/>
      <c r="I258" s="50"/>
      <c r="J258" s="50"/>
      <c r="K258" s="50"/>
      <c r="L258" s="50"/>
      <c r="M258" s="50"/>
      <c r="N258" s="50"/>
      <c r="O258" s="50"/>
      <c r="P258" s="50"/>
      <c r="Q258" s="50"/>
      <c r="R258" s="50"/>
      <c r="S258" s="50"/>
      <c r="T258" s="50"/>
      <c r="U258" s="50"/>
      <c r="V258" s="50"/>
      <c r="W258" s="50"/>
    </row>
    <row r="259" ht="15.75" customHeight="1">
      <c r="A259" s="50"/>
      <c r="B259" s="59"/>
      <c r="C259" s="50"/>
      <c r="D259" s="59"/>
      <c r="E259" s="50"/>
      <c r="F259" s="59"/>
      <c r="G259" s="50"/>
      <c r="H259" s="53"/>
      <c r="I259" s="50"/>
      <c r="J259" s="50"/>
      <c r="K259" s="50"/>
      <c r="L259" s="50"/>
      <c r="M259" s="50"/>
      <c r="N259" s="50"/>
      <c r="O259" s="50"/>
      <c r="P259" s="50"/>
      <c r="Q259" s="50"/>
      <c r="R259" s="50"/>
      <c r="S259" s="50"/>
      <c r="T259" s="50"/>
      <c r="U259" s="50"/>
      <c r="V259" s="50"/>
      <c r="W259" s="50"/>
    </row>
    <row r="260" ht="15.75" customHeight="1">
      <c r="A260" s="50"/>
      <c r="B260" s="59"/>
      <c r="C260" s="50"/>
      <c r="D260" s="59"/>
      <c r="E260" s="50"/>
      <c r="F260" s="59"/>
      <c r="G260" s="50"/>
      <c r="H260" s="53"/>
      <c r="I260" s="50"/>
      <c r="J260" s="50"/>
      <c r="K260" s="50"/>
      <c r="L260" s="50"/>
      <c r="M260" s="50"/>
      <c r="N260" s="50"/>
      <c r="O260" s="50"/>
      <c r="P260" s="50"/>
      <c r="Q260" s="50"/>
      <c r="R260" s="50"/>
      <c r="S260" s="50"/>
      <c r="T260" s="50"/>
      <c r="U260" s="50"/>
      <c r="V260" s="50"/>
      <c r="W260" s="50"/>
    </row>
    <row r="261" ht="15.75" customHeight="1">
      <c r="A261" s="50"/>
      <c r="B261" s="59"/>
      <c r="C261" s="50"/>
      <c r="D261" s="59"/>
      <c r="E261" s="50"/>
      <c r="F261" s="59"/>
      <c r="G261" s="50"/>
      <c r="H261" s="53"/>
      <c r="I261" s="50"/>
      <c r="J261" s="50"/>
      <c r="K261" s="50"/>
      <c r="L261" s="50"/>
      <c r="M261" s="50"/>
      <c r="N261" s="50"/>
      <c r="O261" s="50"/>
      <c r="P261" s="50"/>
      <c r="Q261" s="50"/>
      <c r="R261" s="50"/>
      <c r="S261" s="50"/>
      <c r="T261" s="50"/>
      <c r="U261" s="50"/>
      <c r="V261" s="50"/>
      <c r="W261" s="50"/>
    </row>
    <row r="262" ht="15.75" customHeight="1">
      <c r="A262" s="50"/>
      <c r="B262" s="59"/>
      <c r="C262" s="50"/>
      <c r="D262" s="59"/>
      <c r="E262" s="50"/>
      <c r="F262" s="59"/>
      <c r="G262" s="50"/>
      <c r="H262" s="53"/>
      <c r="I262" s="50"/>
      <c r="J262" s="50"/>
      <c r="K262" s="50"/>
      <c r="L262" s="50"/>
      <c r="M262" s="50"/>
      <c r="N262" s="50"/>
      <c r="O262" s="50"/>
      <c r="P262" s="50"/>
      <c r="Q262" s="50"/>
      <c r="R262" s="50"/>
      <c r="S262" s="50"/>
      <c r="T262" s="50"/>
      <c r="U262" s="50"/>
      <c r="V262" s="50"/>
      <c r="W262" s="50"/>
    </row>
    <row r="263" ht="15.75" customHeight="1">
      <c r="A263" s="50"/>
      <c r="B263" s="59"/>
      <c r="C263" s="50"/>
      <c r="D263" s="59"/>
      <c r="E263" s="50"/>
      <c r="F263" s="59"/>
      <c r="G263" s="50"/>
      <c r="H263" s="53"/>
      <c r="I263" s="50"/>
      <c r="J263" s="50"/>
      <c r="K263" s="50"/>
      <c r="L263" s="50"/>
      <c r="M263" s="50"/>
      <c r="N263" s="50"/>
      <c r="O263" s="50"/>
      <c r="P263" s="50"/>
      <c r="Q263" s="50"/>
      <c r="R263" s="50"/>
      <c r="S263" s="50"/>
      <c r="T263" s="50"/>
      <c r="U263" s="50"/>
      <c r="V263" s="50"/>
      <c r="W263" s="50"/>
    </row>
    <row r="264" ht="15.75" customHeight="1">
      <c r="A264" s="50"/>
      <c r="B264" s="59"/>
      <c r="C264" s="50"/>
      <c r="D264" s="59"/>
      <c r="E264" s="50"/>
      <c r="F264" s="59"/>
      <c r="G264" s="50"/>
      <c r="H264" s="53"/>
      <c r="I264" s="50"/>
      <c r="J264" s="50"/>
      <c r="K264" s="50"/>
      <c r="L264" s="50"/>
      <c r="M264" s="50"/>
      <c r="N264" s="50"/>
      <c r="O264" s="50"/>
      <c r="P264" s="50"/>
      <c r="Q264" s="50"/>
      <c r="R264" s="50"/>
      <c r="S264" s="50"/>
      <c r="T264" s="50"/>
      <c r="U264" s="50"/>
      <c r="V264" s="50"/>
      <c r="W264" s="50"/>
    </row>
    <row r="265" ht="15.75" customHeight="1">
      <c r="A265" s="50"/>
      <c r="B265" s="59"/>
      <c r="C265" s="50"/>
      <c r="D265" s="59"/>
      <c r="E265" s="50"/>
      <c r="F265" s="59"/>
      <c r="G265" s="50"/>
      <c r="H265" s="53"/>
      <c r="I265" s="50"/>
      <c r="J265" s="50"/>
      <c r="K265" s="50"/>
      <c r="L265" s="50"/>
      <c r="M265" s="50"/>
      <c r="N265" s="50"/>
      <c r="O265" s="50"/>
      <c r="P265" s="50"/>
      <c r="Q265" s="50"/>
      <c r="R265" s="50"/>
      <c r="S265" s="50"/>
      <c r="T265" s="50"/>
      <c r="U265" s="50"/>
      <c r="V265" s="50"/>
      <c r="W265" s="50"/>
    </row>
    <row r="266" ht="15.75" customHeight="1">
      <c r="A266" s="50"/>
      <c r="B266" s="59"/>
      <c r="C266" s="50"/>
      <c r="D266" s="59"/>
      <c r="E266" s="50"/>
      <c r="F266" s="59"/>
      <c r="G266" s="50"/>
      <c r="H266" s="53"/>
      <c r="I266" s="50"/>
      <c r="J266" s="50"/>
      <c r="K266" s="50"/>
      <c r="L266" s="50"/>
      <c r="M266" s="50"/>
      <c r="N266" s="50"/>
      <c r="O266" s="50"/>
      <c r="P266" s="50"/>
      <c r="Q266" s="50"/>
      <c r="R266" s="50"/>
      <c r="S266" s="50"/>
      <c r="T266" s="50"/>
      <c r="U266" s="50"/>
      <c r="V266" s="50"/>
      <c r="W266" s="50"/>
    </row>
    <row r="267" ht="15.75" customHeight="1">
      <c r="A267" s="50"/>
      <c r="B267" s="59"/>
      <c r="C267" s="50"/>
      <c r="D267" s="59"/>
      <c r="E267" s="50"/>
      <c r="F267" s="59"/>
      <c r="G267" s="50"/>
      <c r="H267" s="53"/>
      <c r="I267" s="50"/>
      <c r="J267" s="50"/>
      <c r="K267" s="50"/>
      <c r="L267" s="50"/>
      <c r="M267" s="50"/>
      <c r="N267" s="50"/>
      <c r="O267" s="50"/>
      <c r="P267" s="50"/>
      <c r="Q267" s="50"/>
      <c r="R267" s="50"/>
      <c r="S267" s="50"/>
      <c r="T267" s="50"/>
      <c r="U267" s="50"/>
      <c r="V267" s="50"/>
      <c r="W267" s="50"/>
    </row>
    <row r="268" ht="15.75" customHeight="1">
      <c r="A268" s="50"/>
      <c r="B268" s="59"/>
      <c r="C268" s="50"/>
      <c r="D268" s="59"/>
      <c r="E268" s="50"/>
      <c r="F268" s="59"/>
      <c r="G268" s="50"/>
      <c r="H268" s="53"/>
      <c r="I268" s="50"/>
      <c r="J268" s="50"/>
      <c r="K268" s="50"/>
      <c r="L268" s="50"/>
      <c r="M268" s="50"/>
      <c r="N268" s="50"/>
      <c r="O268" s="50"/>
      <c r="P268" s="50"/>
      <c r="Q268" s="50"/>
      <c r="R268" s="50"/>
      <c r="S268" s="50"/>
      <c r="T268" s="50"/>
      <c r="U268" s="50"/>
      <c r="V268" s="50"/>
      <c r="W268" s="50"/>
    </row>
    <row r="269" ht="15.75" customHeight="1">
      <c r="A269" s="50"/>
      <c r="B269" s="59"/>
      <c r="C269" s="50"/>
      <c r="D269" s="59"/>
      <c r="E269" s="50"/>
      <c r="F269" s="59"/>
      <c r="G269" s="50"/>
      <c r="H269" s="53"/>
      <c r="I269" s="50"/>
      <c r="J269" s="50"/>
      <c r="K269" s="50"/>
      <c r="L269" s="50"/>
      <c r="M269" s="50"/>
      <c r="N269" s="50"/>
      <c r="O269" s="50"/>
      <c r="P269" s="50"/>
      <c r="Q269" s="50"/>
      <c r="R269" s="50"/>
      <c r="S269" s="50"/>
      <c r="T269" s="50"/>
      <c r="U269" s="50"/>
      <c r="V269" s="50"/>
      <c r="W269" s="50"/>
    </row>
    <row r="270" ht="15.75" customHeight="1">
      <c r="A270" s="50"/>
      <c r="B270" s="59"/>
      <c r="C270" s="50"/>
      <c r="D270" s="59"/>
      <c r="E270" s="50"/>
      <c r="F270" s="59"/>
      <c r="G270" s="50"/>
      <c r="H270" s="53"/>
      <c r="I270" s="50"/>
      <c r="J270" s="50"/>
      <c r="K270" s="50"/>
      <c r="L270" s="50"/>
      <c r="M270" s="50"/>
      <c r="N270" s="50"/>
      <c r="O270" s="50"/>
      <c r="P270" s="50"/>
      <c r="Q270" s="50"/>
      <c r="R270" s="50"/>
      <c r="S270" s="50"/>
      <c r="T270" s="50"/>
      <c r="U270" s="50"/>
      <c r="V270" s="50"/>
      <c r="W270" s="50"/>
    </row>
    <row r="271" ht="15.75" customHeight="1">
      <c r="A271" s="50"/>
      <c r="B271" s="59"/>
      <c r="C271" s="50"/>
      <c r="D271" s="59"/>
      <c r="E271" s="50"/>
      <c r="F271" s="59"/>
      <c r="G271" s="50"/>
      <c r="H271" s="53"/>
      <c r="I271" s="50"/>
      <c r="J271" s="50"/>
      <c r="K271" s="50"/>
      <c r="L271" s="50"/>
      <c r="M271" s="50"/>
      <c r="N271" s="50"/>
      <c r="O271" s="50"/>
      <c r="P271" s="50"/>
      <c r="Q271" s="50"/>
      <c r="R271" s="50"/>
      <c r="S271" s="50"/>
      <c r="T271" s="50"/>
      <c r="U271" s="50"/>
      <c r="V271" s="50"/>
      <c r="W271" s="50"/>
    </row>
    <row r="272" ht="15.75" customHeight="1">
      <c r="A272" s="50"/>
      <c r="B272" s="59"/>
      <c r="C272" s="50"/>
      <c r="D272" s="59"/>
      <c r="E272" s="50"/>
      <c r="F272" s="59"/>
      <c r="G272" s="50"/>
      <c r="H272" s="53"/>
      <c r="I272" s="50"/>
      <c r="J272" s="50"/>
      <c r="K272" s="50"/>
      <c r="L272" s="50"/>
      <c r="M272" s="50"/>
      <c r="N272" s="50"/>
      <c r="O272" s="50"/>
      <c r="P272" s="50"/>
      <c r="Q272" s="50"/>
      <c r="R272" s="50"/>
      <c r="S272" s="50"/>
      <c r="T272" s="50"/>
      <c r="U272" s="50"/>
      <c r="V272" s="50"/>
      <c r="W272" s="50"/>
    </row>
    <row r="273" ht="15.75" customHeight="1">
      <c r="A273" s="50"/>
      <c r="B273" s="59"/>
      <c r="C273" s="50"/>
      <c r="D273" s="59"/>
      <c r="E273" s="50"/>
      <c r="F273" s="59"/>
      <c r="G273" s="50"/>
      <c r="H273" s="53"/>
      <c r="I273" s="50"/>
      <c r="J273" s="50"/>
      <c r="K273" s="50"/>
      <c r="L273" s="50"/>
      <c r="M273" s="50"/>
      <c r="N273" s="50"/>
      <c r="O273" s="50"/>
      <c r="P273" s="50"/>
      <c r="Q273" s="50"/>
      <c r="R273" s="50"/>
      <c r="S273" s="50"/>
      <c r="T273" s="50"/>
      <c r="U273" s="50"/>
      <c r="V273" s="50"/>
      <c r="W273" s="50"/>
    </row>
    <row r="274" ht="15.75" customHeight="1">
      <c r="A274" s="50"/>
      <c r="B274" s="59"/>
      <c r="C274" s="50"/>
      <c r="D274" s="59"/>
      <c r="E274" s="50"/>
      <c r="F274" s="59"/>
      <c r="G274" s="50"/>
      <c r="H274" s="53"/>
      <c r="I274" s="50"/>
      <c r="J274" s="50"/>
      <c r="K274" s="50"/>
      <c r="L274" s="50"/>
      <c r="M274" s="50"/>
      <c r="N274" s="50"/>
      <c r="O274" s="50"/>
      <c r="P274" s="50"/>
      <c r="Q274" s="50"/>
      <c r="R274" s="50"/>
      <c r="S274" s="50"/>
      <c r="T274" s="50"/>
      <c r="U274" s="50"/>
      <c r="V274" s="50"/>
      <c r="W274" s="50"/>
    </row>
    <row r="275" ht="15.75" customHeight="1">
      <c r="A275" s="50"/>
      <c r="B275" s="59"/>
      <c r="C275" s="50"/>
      <c r="D275" s="59"/>
      <c r="E275" s="50"/>
      <c r="F275" s="59"/>
      <c r="G275" s="50"/>
      <c r="H275" s="53"/>
      <c r="I275" s="50"/>
      <c r="J275" s="50"/>
      <c r="K275" s="50"/>
      <c r="L275" s="50"/>
      <c r="M275" s="50"/>
      <c r="N275" s="50"/>
      <c r="O275" s="50"/>
      <c r="P275" s="50"/>
      <c r="Q275" s="50"/>
      <c r="R275" s="50"/>
      <c r="S275" s="50"/>
      <c r="T275" s="50"/>
      <c r="U275" s="50"/>
      <c r="V275" s="50"/>
      <c r="W275" s="50"/>
    </row>
    <row r="276" ht="15.75" customHeight="1">
      <c r="A276" s="50"/>
      <c r="B276" s="59"/>
      <c r="C276" s="50"/>
      <c r="D276" s="59"/>
      <c r="E276" s="50"/>
      <c r="F276" s="59"/>
      <c r="G276" s="50"/>
      <c r="H276" s="53"/>
      <c r="I276" s="50"/>
      <c r="J276" s="50"/>
      <c r="K276" s="50"/>
      <c r="L276" s="50"/>
      <c r="M276" s="50"/>
      <c r="N276" s="50"/>
      <c r="O276" s="50"/>
      <c r="P276" s="50"/>
      <c r="Q276" s="50"/>
      <c r="R276" s="50"/>
      <c r="S276" s="50"/>
      <c r="T276" s="50"/>
      <c r="U276" s="50"/>
      <c r="V276" s="50"/>
      <c r="W276" s="50"/>
    </row>
    <row r="277" ht="15.75" customHeight="1">
      <c r="A277" s="50"/>
      <c r="B277" s="59"/>
      <c r="C277" s="50"/>
      <c r="D277" s="59"/>
      <c r="E277" s="50"/>
      <c r="F277" s="59"/>
      <c r="G277" s="50"/>
      <c r="H277" s="53"/>
      <c r="I277" s="50"/>
      <c r="J277" s="50"/>
      <c r="K277" s="50"/>
      <c r="L277" s="50"/>
      <c r="M277" s="50"/>
      <c r="N277" s="50"/>
      <c r="O277" s="50"/>
      <c r="P277" s="50"/>
      <c r="Q277" s="50"/>
      <c r="R277" s="50"/>
      <c r="S277" s="50"/>
      <c r="T277" s="50"/>
      <c r="U277" s="50"/>
      <c r="V277" s="50"/>
      <c r="W277" s="50"/>
    </row>
    <row r="278" ht="15.75" customHeight="1">
      <c r="A278" s="50"/>
      <c r="B278" s="59"/>
      <c r="C278" s="50"/>
      <c r="D278" s="59"/>
      <c r="E278" s="50"/>
      <c r="F278" s="59"/>
      <c r="G278" s="50"/>
      <c r="H278" s="53"/>
      <c r="I278" s="50"/>
      <c r="J278" s="50"/>
      <c r="K278" s="50"/>
      <c r="L278" s="50"/>
      <c r="M278" s="50"/>
      <c r="N278" s="50"/>
      <c r="O278" s="50"/>
      <c r="P278" s="50"/>
      <c r="Q278" s="50"/>
      <c r="R278" s="50"/>
      <c r="S278" s="50"/>
      <c r="T278" s="50"/>
      <c r="U278" s="50"/>
      <c r="V278" s="50"/>
      <c r="W278" s="50"/>
    </row>
    <row r="279" ht="15.75" customHeight="1">
      <c r="A279" s="50"/>
      <c r="B279" s="59"/>
      <c r="C279" s="50"/>
      <c r="D279" s="59"/>
      <c r="E279" s="50"/>
      <c r="F279" s="59"/>
      <c r="G279" s="50"/>
      <c r="H279" s="53"/>
      <c r="I279" s="50"/>
      <c r="J279" s="50"/>
      <c r="K279" s="50"/>
      <c r="L279" s="50"/>
      <c r="M279" s="50"/>
      <c r="N279" s="50"/>
      <c r="O279" s="50"/>
      <c r="P279" s="50"/>
      <c r="Q279" s="50"/>
      <c r="R279" s="50"/>
      <c r="S279" s="50"/>
      <c r="T279" s="50"/>
      <c r="U279" s="50"/>
      <c r="V279" s="50"/>
      <c r="W279" s="50"/>
    </row>
    <row r="280" ht="15.75" customHeight="1">
      <c r="A280" s="50"/>
      <c r="B280" s="59"/>
      <c r="C280" s="50"/>
      <c r="D280" s="59"/>
      <c r="E280" s="50"/>
      <c r="F280" s="59"/>
      <c r="G280" s="50"/>
      <c r="H280" s="53"/>
      <c r="I280" s="50"/>
      <c r="J280" s="50"/>
      <c r="K280" s="50"/>
      <c r="L280" s="50"/>
      <c r="M280" s="50"/>
      <c r="N280" s="50"/>
      <c r="O280" s="50"/>
      <c r="P280" s="50"/>
      <c r="Q280" s="50"/>
      <c r="R280" s="50"/>
      <c r="S280" s="50"/>
      <c r="T280" s="50"/>
      <c r="U280" s="50"/>
      <c r="V280" s="50"/>
      <c r="W280" s="50"/>
    </row>
    <row r="281" ht="15.75" customHeight="1">
      <c r="A281" s="50"/>
      <c r="B281" s="59"/>
      <c r="C281" s="50"/>
      <c r="D281" s="59"/>
      <c r="E281" s="50"/>
      <c r="F281" s="59"/>
      <c r="G281" s="50"/>
      <c r="H281" s="53"/>
      <c r="I281" s="50"/>
      <c r="J281" s="50"/>
      <c r="K281" s="50"/>
      <c r="L281" s="50"/>
      <c r="M281" s="50"/>
      <c r="N281" s="50"/>
      <c r="O281" s="50"/>
      <c r="P281" s="50"/>
      <c r="Q281" s="50"/>
      <c r="R281" s="50"/>
      <c r="S281" s="50"/>
      <c r="T281" s="50"/>
      <c r="U281" s="50"/>
      <c r="V281" s="50"/>
      <c r="W281" s="50"/>
    </row>
    <row r="282" ht="15.75" customHeight="1">
      <c r="A282" s="50"/>
      <c r="B282" s="59"/>
      <c r="C282" s="50"/>
      <c r="D282" s="59"/>
      <c r="E282" s="50"/>
      <c r="F282" s="59"/>
      <c r="G282" s="50"/>
      <c r="H282" s="53"/>
      <c r="I282" s="50"/>
      <c r="J282" s="50"/>
      <c r="K282" s="50"/>
      <c r="L282" s="50"/>
      <c r="M282" s="50"/>
      <c r="N282" s="50"/>
      <c r="O282" s="50"/>
      <c r="P282" s="50"/>
      <c r="Q282" s="50"/>
      <c r="R282" s="50"/>
      <c r="S282" s="50"/>
      <c r="T282" s="50"/>
      <c r="U282" s="50"/>
      <c r="V282" s="50"/>
      <c r="W282" s="50"/>
    </row>
    <row r="283" ht="15.75" customHeight="1">
      <c r="A283" s="50"/>
      <c r="B283" s="59"/>
      <c r="C283" s="50"/>
      <c r="D283" s="59"/>
      <c r="E283" s="50"/>
      <c r="F283" s="59"/>
      <c r="G283" s="50"/>
      <c r="H283" s="53"/>
      <c r="I283" s="50"/>
      <c r="J283" s="50"/>
      <c r="K283" s="50"/>
      <c r="L283" s="50"/>
      <c r="M283" s="50"/>
      <c r="N283" s="50"/>
      <c r="O283" s="50"/>
      <c r="P283" s="50"/>
      <c r="Q283" s="50"/>
      <c r="R283" s="50"/>
      <c r="S283" s="50"/>
      <c r="T283" s="50"/>
      <c r="U283" s="50"/>
      <c r="V283" s="50"/>
      <c r="W283" s="50"/>
    </row>
    <row r="284" ht="15.75" customHeight="1">
      <c r="A284" s="50"/>
      <c r="B284" s="59"/>
      <c r="C284" s="50"/>
      <c r="D284" s="59"/>
      <c r="E284" s="50"/>
      <c r="F284" s="59"/>
      <c r="G284" s="50"/>
      <c r="H284" s="53"/>
      <c r="I284" s="50"/>
      <c r="J284" s="50"/>
      <c r="K284" s="50"/>
      <c r="L284" s="50"/>
      <c r="M284" s="50"/>
      <c r="N284" s="50"/>
      <c r="O284" s="50"/>
      <c r="P284" s="50"/>
      <c r="Q284" s="50"/>
      <c r="R284" s="50"/>
      <c r="S284" s="50"/>
      <c r="T284" s="50"/>
      <c r="U284" s="50"/>
      <c r="V284" s="50"/>
      <c r="W284" s="50"/>
    </row>
    <row r="285">
      <c r="A285" s="50"/>
      <c r="B285" s="59"/>
      <c r="C285" s="50"/>
      <c r="D285" s="59"/>
      <c r="E285" s="50"/>
      <c r="F285" s="59"/>
      <c r="G285" s="50"/>
      <c r="H285" s="53"/>
      <c r="I285" s="50"/>
      <c r="J285" s="50"/>
      <c r="K285" s="50"/>
      <c r="L285" s="50"/>
      <c r="M285" s="50"/>
      <c r="N285" s="50"/>
      <c r="O285" s="50"/>
      <c r="P285" s="50"/>
      <c r="Q285" s="50"/>
      <c r="R285" s="50"/>
      <c r="S285" s="50"/>
      <c r="T285" s="50"/>
      <c r="U285" s="50"/>
      <c r="V285" s="50"/>
      <c r="W285" s="50"/>
    </row>
    <row r="286">
      <c r="A286" s="50"/>
      <c r="B286" s="59"/>
      <c r="C286" s="50"/>
      <c r="D286" s="59"/>
      <c r="E286" s="50"/>
      <c r="F286" s="59"/>
      <c r="G286" s="50"/>
      <c r="H286" s="53"/>
      <c r="I286" s="50"/>
      <c r="J286" s="50"/>
      <c r="K286" s="50"/>
      <c r="L286" s="50"/>
      <c r="M286" s="50"/>
      <c r="N286" s="50"/>
      <c r="O286" s="50"/>
      <c r="P286" s="50"/>
      <c r="Q286" s="50"/>
      <c r="R286" s="50"/>
      <c r="S286" s="50"/>
      <c r="T286" s="50"/>
      <c r="U286" s="50"/>
      <c r="V286" s="50"/>
      <c r="W286" s="50"/>
    </row>
    <row r="287">
      <c r="A287" s="50"/>
      <c r="B287" s="59"/>
      <c r="C287" s="50"/>
      <c r="D287" s="59"/>
      <c r="E287" s="50"/>
      <c r="F287" s="59"/>
      <c r="G287" s="50"/>
      <c r="H287" s="53"/>
      <c r="I287" s="50"/>
      <c r="J287" s="50"/>
      <c r="K287" s="50"/>
      <c r="L287" s="50"/>
      <c r="M287" s="50"/>
      <c r="N287" s="50"/>
      <c r="O287" s="50"/>
      <c r="P287" s="50"/>
      <c r="Q287" s="50"/>
      <c r="R287" s="50"/>
      <c r="S287" s="50"/>
      <c r="T287" s="50"/>
      <c r="U287" s="50"/>
      <c r="V287" s="50"/>
      <c r="W287" s="50"/>
    </row>
    <row r="288">
      <c r="A288" s="50"/>
      <c r="B288" s="59"/>
      <c r="C288" s="50"/>
      <c r="D288" s="59"/>
      <c r="E288" s="50"/>
      <c r="F288" s="59"/>
      <c r="G288" s="50"/>
      <c r="H288" s="53"/>
      <c r="I288" s="50"/>
      <c r="J288" s="50"/>
      <c r="K288" s="50"/>
      <c r="L288" s="50"/>
      <c r="M288" s="50"/>
      <c r="N288" s="50"/>
      <c r="O288" s="50"/>
      <c r="P288" s="50"/>
      <c r="Q288" s="50"/>
      <c r="R288" s="50"/>
      <c r="S288" s="50"/>
      <c r="T288" s="50"/>
      <c r="U288" s="50"/>
      <c r="V288" s="50"/>
      <c r="W288" s="50"/>
    </row>
    <row r="289">
      <c r="A289" s="50"/>
      <c r="B289" s="59"/>
      <c r="C289" s="50"/>
      <c r="D289" s="59"/>
      <c r="E289" s="50"/>
      <c r="F289" s="59"/>
      <c r="G289" s="50"/>
      <c r="H289" s="53"/>
      <c r="I289" s="50"/>
      <c r="J289" s="50"/>
      <c r="K289" s="50"/>
      <c r="L289" s="50"/>
      <c r="M289" s="50"/>
      <c r="N289" s="50"/>
      <c r="O289" s="50"/>
      <c r="P289" s="50"/>
      <c r="Q289" s="50"/>
      <c r="R289" s="50"/>
      <c r="S289" s="50"/>
      <c r="T289" s="50"/>
      <c r="U289" s="50"/>
      <c r="V289" s="50"/>
      <c r="W289" s="50"/>
    </row>
    <row r="290">
      <c r="A290" s="50"/>
      <c r="B290" s="59"/>
      <c r="C290" s="50"/>
      <c r="D290" s="59"/>
      <c r="E290" s="50"/>
      <c r="F290" s="59"/>
      <c r="G290" s="50"/>
      <c r="H290" s="53"/>
      <c r="I290" s="50"/>
      <c r="J290" s="50"/>
      <c r="K290" s="50"/>
      <c r="L290" s="50"/>
      <c r="M290" s="50"/>
      <c r="N290" s="50"/>
      <c r="O290" s="50"/>
      <c r="P290" s="50"/>
      <c r="Q290" s="50"/>
      <c r="R290" s="50"/>
      <c r="S290" s="50"/>
      <c r="T290" s="50"/>
      <c r="U290" s="50"/>
      <c r="V290" s="50"/>
      <c r="W290" s="50"/>
    </row>
    <row r="291">
      <c r="A291" s="50"/>
      <c r="B291" s="59"/>
      <c r="C291" s="50"/>
      <c r="D291" s="59"/>
      <c r="E291" s="50"/>
      <c r="F291" s="59"/>
      <c r="G291" s="50"/>
      <c r="H291" s="53"/>
      <c r="I291" s="50"/>
      <c r="J291" s="50"/>
      <c r="K291" s="50"/>
      <c r="L291" s="50"/>
      <c r="M291" s="50"/>
      <c r="N291" s="50"/>
      <c r="O291" s="50"/>
      <c r="P291" s="50"/>
      <c r="Q291" s="50"/>
      <c r="R291" s="50"/>
      <c r="S291" s="50"/>
      <c r="T291" s="50"/>
      <c r="U291" s="50"/>
      <c r="V291" s="50"/>
      <c r="W291" s="50"/>
    </row>
    <row r="292">
      <c r="A292" s="50"/>
      <c r="B292" s="59"/>
      <c r="C292" s="50"/>
      <c r="D292" s="59"/>
      <c r="E292" s="50"/>
      <c r="F292" s="59"/>
      <c r="G292" s="50"/>
      <c r="H292" s="53"/>
      <c r="I292" s="50"/>
      <c r="J292" s="50"/>
      <c r="K292" s="50"/>
      <c r="L292" s="50"/>
      <c r="M292" s="50"/>
      <c r="N292" s="50"/>
      <c r="O292" s="50"/>
      <c r="P292" s="50"/>
      <c r="Q292" s="50"/>
      <c r="R292" s="50"/>
      <c r="S292" s="50"/>
      <c r="T292" s="50"/>
      <c r="U292" s="50"/>
      <c r="V292" s="50"/>
      <c r="W292" s="50"/>
    </row>
    <row r="293">
      <c r="A293" s="50"/>
      <c r="B293" s="59"/>
      <c r="C293" s="50"/>
      <c r="D293" s="59"/>
      <c r="E293" s="50"/>
      <c r="F293" s="59"/>
      <c r="G293" s="50"/>
      <c r="H293" s="53"/>
      <c r="I293" s="50"/>
      <c r="J293" s="50"/>
      <c r="K293" s="50"/>
      <c r="L293" s="50"/>
      <c r="M293" s="50"/>
      <c r="N293" s="50"/>
      <c r="O293" s="50"/>
      <c r="P293" s="50"/>
      <c r="Q293" s="50"/>
      <c r="R293" s="50"/>
      <c r="S293" s="50"/>
      <c r="T293" s="50"/>
      <c r="U293" s="50"/>
      <c r="V293" s="50"/>
      <c r="W293" s="50"/>
    </row>
    <row r="294">
      <c r="A294" s="50"/>
      <c r="B294" s="59"/>
      <c r="C294" s="50"/>
      <c r="D294" s="59"/>
      <c r="E294" s="50"/>
      <c r="F294" s="59"/>
      <c r="G294" s="50"/>
      <c r="H294" s="53"/>
      <c r="I294" s="50"/>
      <c r="J294" s="50"/>
      <c r="K294" s="50"/>
      <c r="L294" s="50"/>
      <c r="M294" s="50"/>
      <c r="N294" s="50"/>
      <c r="O294" s="50"/>
      <c r="P294" s="50"/>
      <c r="Q294" s="50"/>
      <c r="R294" s="50"/>
      <c r="S294" s="50"/>
      <c r="T294" s="50"/>
      <c r="U294" s="50"/>
      <c r="V294" s="50"/>
      <c r="W294" s="50"/>
    </row>
    <row r="295">
      <c r="A295" s="50"/>
      <c r="B295" s="59"/>
      <c r="C295" s="50"/>
      <c r="D295" s="59"/>
      <c r="E295" s="50"/>
      <c r="F295" s="59"/>
      <c r="G295" s="50"/>
      <c r="H295" s="53"/>
      <c r="I295" s="50"/>
      <c r="J295" s="50"/>
      <c r="K295" s="50"/>
      <c r="L295" s="50"/>
      <c r="M295" s="50"/>
      <c r="N295" s="50"/>
      <c r="O295" s="50"/>
      <c r="P295" s="50"/>
      <c r="Q295" s="50"/>
      <c r="R295" s="50"/>
      <c r="S295" s="50"/>
      <c r="T295" s="50"/>
      <c r="U295" s="50"/>
      <c r="V295" s="50"/>
      <c r="W295" s="50"/>
    </row>
    <row r="296">
      <c r="A296" s="50"/>
      <c r="B296" s="59"/>
      <c r="C296" s="50"/>
      <c r="D296" s="59"/>
      <c r="E296" s="50"/>
      <c r="F296" s="59"/>
      <c r="G296" s="50"/>
      <c r="H296" s="53"/>
      <c r="I296" s="50"/>
      <c r="J296" s="50"/>
      <c r="K296" s="50"/>
      <c r="L296" s="50"/>
      <c r="M296" s="50"/>
      <c r="N296" s="50"/>
      <c r="O296" s="50"/>
      <c r="P296" s="50"/>
      <c r="Q296" s="50"/>
      <c r="R296" s="50"/>
      <c r="S296" s="50"/>
      <c r="T296" s="50"/>
      <c r="U296" s="50"/>
      <c r="V296" s="50"/>
      <c r="W296" s="50"/>
    </row>
    <row r="297">
      <c r="A297" s="50"/>
      <c r="B297" s="59"/>
      <c r="C297" s="50"/>
      <c r="D297" s="59"/>
      <c r="E297" s="50"/>
      <c r="F297" s="59"/>
      <c r="G297" s="50"/>
      <c r="H297" s="53"/>
      <c r="I297" s="50"/>
      <c r="J297" s="50"/>
      <c r="K297" s="50"/>
      <c r="L297" s="50"/>
      <c r="M297" s="50"/>
      <c r="N297" s="50"/>
      <c r="O297" s="50"/>
      <c r="P297" s="50"/>
      <c r="Q297" s="50"/>
      <c r="R297" s="50"/>
      <c r="S297" s="50"/>
      <c r="T297" s="50"/>
      <c r="U297" s="50"/>
      <c r="V297" s="50"/>
      <c r="W297" s="50"/>
    </row>
    <row r="298">
      <c r="A298" s="50"/>
      <c r="B298" s="59"/>
      <c r="C298" s="50"/>
      <c r="D298" s="59"/>
      <c r="E298" s="50"/>
      <c r="F298" s="59"/>
      <c r="G298" s="50"/>
      <c r="H298" s="53"/>
      <c r="I298" s="50"/>
      <c r="J298" s="50"/>
      <c r="K298" s="50"/>
      <c r="L298" s="50"/>
      <c r="M298" s="50"/>
      <c r="N298" s="50"/>
      <c r="O298" s="50"/>
      <c r="P298" s="50"/>
      <c r="Q298" s="50"/>
      <c r="R298" s="50"/>
      <c r="S298" s="50"/>
      <c r="T298" s="50"/>
      <c r="U298" s="50"/>
      <c r="V298" s="50"/>
      <c r="W298" s="50"/>
    </row>
    <row r="299">
      <c r="A299" s="50"/>
      <c r="B299" s="59"/>
      <c r="C299" s="50"/>
      <c r="D299" s="59"/>
      <c r="E299" s="50"/>
      <c r="F299" s="59"/>
      <c r="G299" s="50"/>
      <c r="H299" s="53"/>
      <c r="I299" s="50"/>
      <c r="J299" s="50"/>
      <c r="K299" s="50"/>
      <c r="L299" s="50"/>
      <c r="M299" s="50"/>
      <c r="N299" s="50"/>
      <c r="O299" s="50"/>
      <c r="P299" s="50"/>
      <c r="Q299" s="50"/>
      <c r="R299" s="50"/>
      <c r="S299" s="50"/>
      <c r="T299" s="50"/>
      <c r="U299" s="50"/>
      <c r="V299" s="50"/>
      <c r="W299" s="50"/>
    </row>
    <row r="300">
      <c r="A300" s="50"/>
      <c r="B300" s="59"/>
      <c r="C300" s="50"/>
      <c r="D300" s="59"/>
      <c r="E300" s="50"/>
      <c r="F300" s="59"/>
      <c r="G300" s="50"/>
      <c r="H300" s="53"/>
      <c r="I300" s="50"/>
      <c r="J300" s="50"/>
      <c r="K300" s="50"/>
      <c r="L300" s="50"/>
      <c r="M300" s="50"/>
      <c r="N300" s="50"/>
      <c r="O300" s="50"/>
      <c r="P300" s="50"/>
      <c r="Q300" s="50"/>
      <c r="R300" s="50"/>
      <c r="S300" s="50"/>
      <c r="T300" s="50"/>
      <c r="U300" s="50"/>
      <c r="V300" s="50"/>
      <c r="W300" s="50"/>
    </row>
    <row r="301">
      <c r="A301" s="50"/>
      <c r="B301" s="59"/>
      <c r="C301" s="50"/>
      <c r="D301" s="59"/>
      <c r="E301" s="50"/>
      <c r="F301" s="59"/>
      <c r="G301" s="50"/>
      <c r="H301" s="53"/>
      <c r="I301" s="50"/>
      <c r="J301" s="50"/>
      <c r="K301" s="50"/>
      <c r="L301" s="50"/>
      <c r="M301" s="50"/>
      <c r="N301" s="50"/>
      <c r="O301" s="50"/>
      <c r="P301" s="50"/>
      <c r="Q301" s="50"/>
      <c r="R301" s="50"/>
      <c r="S301" s="50"/>
      <c r="T301" s="50"/>
      <c r="U301" s="50"/>
      <c r="V301" s="50"/>
      <c r="W301" s="50"/>
    </row>
    <row r="302">
      <c r="A302" s="50"/>
      <c r="B302" s="59"/>
      <c r="C302" s="50"/>
      <c r="D302" s="59"/>
      <c r="E302" s="50"/>
      <c r="F302" s="59"/>
      <c r="G302" s="50"/>
      <c r="H302" s="53"/>
      <c r="I302" s="50"/>
      <c r="J302" s="50"/>
      <c r="K302" s="50"/>
      <c r="L302" s="50"/>
      <c r="M302" s="50"/>
      <c r="N302" s="50"/>
      <c r="O302" s="50"/>
      <c r="P302" s="50"/>
      <c r="Q302" s="50"/>
      <c r="R302" s="50"/>
      <c r="S302" s="50"/>
      <c r="T302" s="50"/>
      <c r="U302" s="50"/>
      <c r="V302" s="50"/>
      <c r="W302" s="50"/>
    </row>
    <row r="303">
      <c r="A303" s="50"/>
      <c r="B303" s="59"/>
      <c r="C303" s="50"/>
      <c r="D303" s="59"/>
      <c r="E303" s="50"/>
      <c r="F303" s="59"/>
      <c r="G303" s="50"/>
      <c r="H303" s="53"/>
      <c r="I303" s="50"/>
      <c r="J303" s="50"/>
      <c r="K303" s="50"/>
      <c r="L303" s="50"/>
      <c r="M303" s="50"/>
      <c r="N303" s="50"/>
      <c r="O303" s="50"/>
      <c r="P303" s="50"/>
      <c r="Q303" s="50"/>
      <c r="R303" s="50"/>
      <c r="S303" s="50"/>
      <c r="T303" s="50"/>
      <c r="U303" s="50"/>
      <c r="V303" s="50"/>
      <c r="W303" s="50"/>
    </row>
    <row r="304">
      <c r="A304" s="50"/>
      <c r="B304" s="59"/>
      <c r="C304" s="50"/>
      <c r="D304" s="59"/>
      <c r="E304" s="50"/>
      <c r="F304" s="59"/>
      <c r="G304" s="50"/>
      <c r="H304" s="53"/>
      <c r="I304" s="50"/>
      <c r="J304" s="50"/>
      <c r="K304" s="50"/>
      <c r="L304" s="50"/>
      <c r="M304" s="50"/>
      <c r="N304" s="50"/>
      <c r="O304" s="50"/>
      <c r="P304" s="50"/>
      <c r="Q304" s="50"/>
      <c r="R304" s="50"/>
      <c r="S304" s="50"/>
      <c r="T304" s="50"/>
      <c r="U304" s="50"/>
      <c r="V304" s="50"/>
      <c r="W304" s="50"/>
    </row>
    <row r="305">
      <c r="A305" s="50"/>
      <c r="B305" s="59"/>
      <c r="C305" s="50"/>
      <c r="D305" s="59"/>
      <c r="E305" s="50"/>
      <c r="F305" s="59"/>
      <c r="G305" s="50"/>
      <c r="H305" s="53"/>
      <c r="I305" s="50"/>
      <c r="J305" s="50"/>
      <c r="K305" s="50"/>
      <c r="L305" s="50"/>
      <c r="M305" s="50"/>
      <c r="N305" s="50"/>
      <c r="O305" s="50"/>
      <c r="P305" s="50"/>
      <c r="Q305" s="50"/>
      <c r="R305" s="50"/>
      <c r="S305" s="50"/>
      <c r="T305" s="50"/>
      <c r="U305" s="50"/>
      <c r="V305" s="50"/>
      <c r="W305" s="50"/>
    </row>
    <row r="306">
      <c r="A306" s="50"/>
      <c r="B306" s="59"/>
      <c r="C306" s="50"/>
      <c r="D306" s="59"/>
      <c r="E306" s="50"/>
      <c r="F306" s="59"/>
      <c r="G306" s="50"/>
      <c r="H306" s="63"/>
      <c r="I306" s="50"/>
      <c r="J306" s="50"/>
      <c r="K306" s="50"/>
      <c r="L306" s="50"/>
      <c r="M306" s="50"/>
      <c r="N306" s="50"/>
      <c r="O306" s="50"/>
      <c r="P306" s="50"/>
      <c r="Q306" s="50"/>
      <c r="R306" s="50"/>
      <c r="S306" s="50"/>
      <c r="T306" s="50"/>
      <c r="U306" s="50"/>
      <c r="V306" s="50"/>
      <c r="W306" s="50"/>
    </row>
    <row r="307">
      <c r="A307" s="50"/>
      <c r="B307" s="59"/>
      <c r="C307" s="50"/>
      <c r="D307" s="59"/>
      <c r="E307" s="50"/>
      <c r="F307" s="59"/>
      <c r="G307" s="50"/>
      <c r="H307" s="63"/>
      <c r="I307" s="50"/>
      <c r="J307" s="50"/>
      <c r="K307" s="50"/>
      <c r="L307" s="50"/>
      <c r="M307" s="50"/>
      <c r="N307" s="50"/>
      <c r="O307" s="50"/>
      <c r="P307" s="50"/>
      <c r="Q307" s="50"/>
      <c r="R307" s="50"/>
      <c r="S307" s="50"/>
      <c r="T307" s="50"/>
      <c r="U307" s="50"/>
      <c r="V307" s="50"/>
      <c r="W307" s="50"/>
    </row>
    <row r="308">
      <c r="A308" s="50"/>
      <c r="B308" s="59"/>
      <c r="C308" s="50"/>
      <c r="D308" s="59"/>
      <c r="E308" s="50"/>
      <c r="F308" s="59"/>
      <c r="G308" s="50"/>
      <c r="H308" s="63"/>
      <c r="I308" s="50"/>
      <c r="J308" s="50"/>
      <c r="K308" s="50"/>
      <c r="L308" s="50"/>
      <c r="M308" s="50"/>
      <c r="N308" s="50"/>
      <c r="O308" s="50"/>
      <c r="P308" s="50"/>
      <c r="Q308" s="50"/>
      <c r="R308" s="50"/>
      <c r="S308" s="50"/>
      <c r="T308" s="50"/>
      <c r="U308" s="50"/>
      <c r="V308" s="50"/>
      <c r="W308" s="50"/>
    </row>
    <row r="309">
      <c r="A309" s="50"/>
      <c r="B309" s="59"/>
      <c r="C309" s="50"/>
      <c r="D309" s="59"/>
      <c r="E309" s="50"/>
      <c r="F309" s="59"/>
      <c r="G309" s="50"/>
      <c r="H309" s="63"/>
      <c r="I309" s="50"/>
      <c r="J309" s="50"/>
      <c r="K309" s="50"/>
      <c r="L309" s="50"/>
      <c r="M309" s="50"/>
      <c r="N309" s="50"/>
      <c r="O309" s="50"/>
      <c r="P309" s="50"/>
      <c r="Q309" s="50"/>
      <c r="R309" s="50"/>
      <c r="S309" s="50"/>
      <c r="T309" s="50"/>
      <c r="U309" s="50"/>
      <c r="V309" s="50"/>
      <c r="W309" s="50"/>
    </row>
    <row r="310">
      <c r="A310" s="50"/>
      <c r="B310" s="59"/>
      <c r="C310" s="50"/>
      <c r="D310" s="59"/>
      <c r="E310" s="50"/>
      <c r="F310" s="59"/>
      <c r="G310" s="50"/>
      <c r="H310" s="63"/>
      <c r="I310" s="50"/>
      <c r="J310" s="50"/>
      <c r="K310" s="50"/>
      <c r="L310" s="50"/>
      <c r="M310" s="50"/>
      <c r="N310" s="50"/>
      <c r="O310" s="50"/>
      <c r="P310" s="50"/>
      <c r="Q310" s="50"/>
      <c r="R310" s="50"/>
      <c r="S310" s="50"/>
      <c r="T310" s="50"/>
      <c r="U310" s="50"/>
      <c r="V310" s="50"/>
      <c r="W310" s="50"/>
    </row>
    <row r="311">
      <c r="A311" s="50"/>
      <c r="B311" s="59"/>
      <c r="C311" s="50"/>
      <c r="D311" s="59"/>
      <c r="E311" s="50"/>
      <c r="F311" s="59"/>
      <c r="G311" s="50"/>
      <c r="H311" s="63"/>
      <c r="I311" s="50"/>
      <c r="J311" s="50"/>
      <c r="K311" s="50"/>
      <c r="L311" s="50"/>
      <c r="M311" s="50"/>
      <c r="N311" s="50"/>
      <c r="O311" s="50"/>
      <c r="P311" s="50"/>
      <c r="Q311" s="50"/>
      <c r="R311" s="50"/>
      <c r="S311" s="50"/>
      <c r="T311" s="50"/>
      <c r="U311" s="50"/>
      <c r="V311" s="50"/>
      <c r="W311" s="50"/>
    </row>
    <row r="312">
      <c r="A312" s="50"/>
      <c r="B312" s="59"/>
      <c r="C312" s="50"/>
      <c r="D312" s="59"/>
      <c r="E312" s="50"/>
      <c r="F312" s="59"/>
      <c r="G312" s="50"/>
      <c r="H312" s="63"/>
      <c r="I312" s="50"/>
      <c r="J312" s="50"/>
      <c r="K312" s="50"/>
      <c r="L312" s="50"/>
      <c r="M312" s="50"/>
      <c r="N312" s="50"/>
      <c r="O312" s="50"/>
      <c r="P312" s="50"/>
      <c r="Q312" s="50"/>
      <c r="R312" s="50"/>
      <c r="S312" s="50"/>
      <c r="T312" s="50"/>
      <c r="U312" s="50"/>
      <c r="V312" s="50"/>
      <c r="W312" s="50"/>
    </row>
    <row r="313">
      <c r="A313" s="50"/>
      <c r="B313" s="59"/>
      <c r="C313" s="50"/>
      <c r="D313" s="59"/>
      <c r="E313" s="50"/>
      <c r="F313" s="59"/>
      <c r="G313" s="50"/>
      <c r="H313" s="63"/>
      <c r="I313" s="50"/>
      <c r="J313" s="50"/>
      <c r="K313" s="50"/>
      <c r="L313" s="50"/>
      <c r="M313" s="50"/>
      <c r="N313" s="50"/>
      <c r="O313" s="50"/>
      <c r="P313" s="50"/>
      <c r="Q313" s="50"/>
      <c r="R313" s="50"/>
      <c r="S313" s="50"/>
      <c r="T313" s="50"/>
      <c r="U313" s="50"/>
      <c r="V313" s="50"/>
      <c r="W313" s="50"/>
    </row>
    <row r="314">
      <c r="A314" s="50"/>
      <c r="B314" s="59"/>
      <c r="C314" s="50"/>
      <c r="D314" s="59"/>
      <c r="E314" s="50"/>
      <c r="F314" s="59"/>
      <c r="G314" s="50"/>
      <c r="H314" s="63"/>
      <c r="I314" s="50"/>
      <c r="J314" s="50"/>
      <c r="K314" s="50"/>
      <c r="L314" s="50"/>
      <c r="M314" s="50"/>
      <c r="N314" s="50"/>
      <c r="O314" s="50"/>
      <c r="P314" s="50"/>
      <c r="Q314" s="50"/>
      <c r="R314" s="50"/>
      <c r="S314" s="50"/>
      <c r="T314" s="50"/>
      <c r="U314" s="50"/>
      <c r="V314" s="50"/>
      <c r="W314" s="50"/>
    </row>
    <row r="315">
      <c r="A315" s="50"/>
      <c r="B315" s="59"/>
      <c r="C315" s="50"/>
      <c r="D315" s="59"/>
      <c r="E315" s="50"/>
      <c r="F315" s="59"/>
      <c r="G315" s="50"/>
      <c r="H315" s="63"/>
      <c r="I315" s="50"/>
      <c r="J315" s="50"/>
      <c r="K315" s="50"/>
      <c r="L315" s="50"/>
      <c r="M315" s="50"/>
      <c r="N315" s="50"/>
      <c r="O315" s="50"/>
      <c r="P315" s="50"/>
      <c r="Q315" s="50"/>
      <c r="R315" s="50"/>
      <c r="S315" s="50"/>
      <c r="T315" s="50"/>
      <c r="U315" s="50"/>
      <c r="V315" s="50"/>
      <c r="W315" s="50"/>
    </row>
    <row r="316">
      <c r="A316" s="50"/>
      <c r="B316" s="59"/>
      <c r="C316" s="50"/>
      <c r="D316" s="59"/>
      <c r="E316" s="50"/>
      <c r="F316" s="59"/>
      <c r="G316" s="50"/>
      <c r="H316" s="63"/>
      <c r="I316" s="50"/>
      <c r="J316" s="50"/>
      <c r="K316" s="50"/>
      <c r="L316" s="50"/>
      <c r="M316" s="50"/>
      <c r="N316" s="50"/>
      <c r="O316" s="50"/>
      <c r="P316" s="50"/>
      <c r="Q316" s="50"/>
      <c r="R316" s="50"/>
      <c r="S316" s="50"/>
      <c r="T316" s="50"/>
      <c r="U316" s="50"/>
      <c r="V316" s="50"/>
      <c r="W316" s="50"/>
    </row>
    <row r="317">
      <c r="A317" s="50"/>
      <c r="B317" s="59"/>
      <c r="C317" s="50"/>
      <c r="D317" s="59"/>
      <c r="E317" s="50"/>
      <c r="F317" s="59"/>
      <c r="G317" s="50"/>
      <c r="H317" s="63"/>
      <c r="I317" s="50"/>
      <c r="J317" s="50"/>
      <c r="K317" s="50"/>
      <c r="L317" s="50"/>
      <c r="M317" s="50"/>
      <c r="N317" s="50"/>
      <c r="O317" s="50"/>
      <c r="P317" s="50"/>
      <c r="Q317" s="50"/>
      <c r="R317" s="50"/>
      <c r="S317" s="50"/>
      <c r="T317" s="50"/>
      <c r="U317" s="50"/>
      <c r="V317" s="50"/>
      <c r="W317" s="50"/>
    </row>
    <row r="318">
      <c r="A318" s="50"/>
      <c r="B318" s="59"/>
      <c r="C318" s="50"/>
      <c r="D318" s="59"/>
      <c r="E318" s="50"/>
      <c r="F318" s="59"/>
      <c r="G318" s="50"/>
      <c r="H318" s="63"/>
      <c r="I318" s="50"/>
      <c r="J318" s="50"/>
      <c r="K318" s="50"/>
      <c r="L318" s="50"/>
      <c r="M318" s="50"/>
      <c r="N318" s="50"/>
      <c r="O318" s="50"/>
      <c r="P318" s="50"/>
      <c r="Q318" s="50"/>
      <c r="R318" s="50"/>
      <c r="S318" s="50"/>
      <c r="T318" s="50"/>
      <c r="U318" s="50"/>
      <c r="V318" s="50"/>
      <c r="W318" s="50"/>
    </row>
    <row r="319">
      <c r="A319" s="50"/>
      <c r="B319" s="59"/>
      <c r="C319" s="50"/>
      <c r="D319" s="59"/>
      <c r="E319" s="50"/>
      <c r="F319" s="59"/>
      <c r="G319" s="50"/>
      <c r="H319" s="63"/>
      <c r="I319" s="50"/>
      <c r="J319" s="50"/>
      <c r="K319" s="50"/>
      <c r="L319" s="50"/>
      <c r="M319" s="50"/>
      <c r="N319" s="50"/>
      <c r="O319" s="50"/>
      <c r="P319" s="50"/>
      <c r="Q319" s="50"/>
      <c r="R319" s="50"/>
      <c r="S319" s="50"/>
      <c r="T319" s="50"/>
      <c r="U319" s="50"/>
      <c r="V319" s="50"/>
      <c r="W319" s="50"/>
    </row>
    <row r="320">
      <c r="A320" s="50"/>
      <c r="B320" s="59"/>
      <c r="C320" s="50"/>
      <c r="D320" s="59"/>
      <c r="E320" s="50"/>
      <c r="F320" s="59"/>
      <c r="G320" s="50"/>
      <c r="H320" s="63"/>
      <c r="I320" s="50"/>
      <c r="J320" s="50"/>
      <c r="K320" s="50"/>
      <c r="L320" s="50"/>
      <c r="M320" s="50"/>
      <c r="N320" s="50"/>
      <c r="O320" s="50"/>
      <c r="P320" s="50"/>
      <c r="Q320" s="50"/>
      <c r="R320" s="50"/>
      <c r="S320" s="50"/>
      <c r="T320" s="50"/>
      <c r="U320" s="50"/>
      <c r="V320" s="50"/>
      <c r="W320" s="50"/>
    </row>
    <row r="321">
      <c r="A321" s="50"/>
      <c r="B321" s="59"/>
      <c r="C321" s="50"/>
      <c r="D321" s="59"/>
      <c r="E321" s="50"/>
      <c r="F321" s="59"/>
      <c r="G321" s="50"/>
      <c r="H321" s="63"/>
      <c r="I321" s="50"/>
      <c r="J321" s="50"/>
      <c r="K321" s="50"/>
      <c r="L321" s="50"/>
      <c r="M321" s="50"/>
      <c r="N321" s="50"/>
      <c r="O321" s="50"/>
      <c r="P321" s="50"/>
      <c r="Q321" s="50"/>
      <c r="R321" s="50"/>
      <c r="S321" s="50"/>
      <c r="T321" s="50"/>
      <c r="U321" s="50"/>
      <c r="V321" s="50"/>
      <c r="W321" s="50"/>
    </row>
    <row r="322">
      <c r="A322" s="50"/>
      <c r="B322" s="59"/>
      <c r="C322" s="50"/>
      <c r="D322" s="59"/>
      <c r="E322" s="50"/>
      <c r="F322" s="59"/>
      <c r="G322" s="50"/>
      <c r="H322" s="63"/>
      <c r="I322" s="50"/>
      <c r="J322" s="50"/>
      <c r="K322" s="50"/>
      <c r="L322" s="50"/>
      <c r="M322" s="50"/>
      <c r="N322" s="50"/>
      <c r="O322" s="50"/>
      <c r="P322" s="50"/>
      <c r="Q322" s="50"/>
      <c r="R322" s="50"/>
      <c r="S322" s="50"/>
      <c r="T322" s="50"/>
      <c r="U322" s="50"/>
      <c r="V322" s="50"/>
      <c r="W322" s="50"/>
    </row>
    <row r="323">
      <c r="A323" s="50"/>
      <c r="B323" s="59"/>
      <c r="C323" s="50"/>
      <c r="D323" s="59"/>
      <c r="E323" s="50"/>
      <c r="F323" s="59"/>
      <c r="G323" s="50"/>
      <c r="H323" s="63"/>
      <c r="I323" s="50"/>
      <c r="J323" s="50"/>
      <c r="K323" s="50"/>
      <c r="L323" s="50"/>
      <c r="M323" s="50"/>
      <c r="N323" s="50"/>
      <c r="O323" s="50"/>
      <c r="P323" s="50"/>
      <c r="Q323" s="50"/>
      <c r="R323" s="50"/>
      <c r="S323" s="50"/>
      <c r="T323" s="50"/>
      <c r="U323" s="50"/>
      <c r="V323" s="50"/>
      <c r="W323" s="50"/>
    </row>
    <row r="324">
      <c r="A324" s="50"/>
      <c r="B324" s="59"/>
      <c r="C324" s="50"/>
      <c r="D324" s="59"/>
      <c r="E324" s="50"/>
      <c r="F324" s="59"/>
      <c r="G324" s="50"/>
      <c r="H324" s="63"/>
      <c r="I324" s="50"/>
      <c r="J324" s="50"/>
      <c r="K324" s="50"/>
      <c r="L324" s="50"/>
      <c r="M324" s="50"/>
      <c r="N324" s="50"/>
      <c r="O324" s="50"/>
      <c r="P324" s="50"/>
      <c r="Q324" s="50"/>
      <c r="R324" s="50"/>
      <c r="S324" s="50"/>
      <c r="T324" s="50"/>
      <c r="U324" s="50"/>
      <c r="V324" s="50"/>
      <c r="W324" s="50"/>
    </row>
    <row r="325">
      <c r="A325" s="50"/>
      <c r="B325" s="59"/>
      <c r="C325" s="50"/>
      <c r="D325" s="59"/>
      <c r="E325" s="50"/>
      <c r="F325" s="59"/>
      <c r="G325" s="50"/>
      <c r="H325" s="63"/>
      <c r="I325" s="50"/>
      <c r="J325" s="50"/>
      <c r="K325" s="50"/>
      <c r="L325" s="50"/>
      <c r="M325" s="50"/>
      <c r="N325" s="50"/>
      <c r="O325" s="50"/>
      <c r="P325" s="50"/>
      <c r="Q325" s="50"/>
      <c r="R325" s="50"/>
      <c r="S325" s="50"/>
      <c r="T325" s="50"/>
      <c r="U325" s="50"/>
      <c r="V325" s="50"/>
      <c r="W325" s="50"/>
    </row>
    <row r="326">
      <c r="A326" s="50"/>
      <c r="B326" s="59"/>
      <c r="C326" s="50"/>
      <c r="D326" s="59"/>
      <c r="E326" s="50"/>
      <c r="F326" s="59"/>
      <c r="G326" s="50"/>
      <c r="H326" s="63"/>
      <c r="I326" s="50"/>
      <c r="J326" s="50"/>
      <c r="K326" s="50"/>
      <c r="L326" s="50"/>
      <c r="M326" s="50"/>
      <c r="N326" s="50"/>
      <c r="O326" s="50"/>
      <c r="P326" s="50"/>
      <c r="Q326" s="50"/>
      <c r="R326" s="50"/>
      <c r="S326" s="50"/>
      <c r="T326" s="50"/>
      <c r="U326" s="50"/>
      <c r="V326" s="50"/>
      <c r="W326" s="50"/>
    </row>
    <row r="327">
      <c r="A327" s="50"/>
      <c r="B327" s="59"/>
      <c r="C327" s="50"/>
      <c r="D327" s="59"/>
      <c r="E327" s="50"/>
      <c r="F327" s="59"/>
      <c r="G327" s="50"/>
      <c r="H327" s="63"/>
      <c r="I327" s="50"/>
      <c r="J327" s="50"/>
      <c r="K327" s="50"/>
      <c r="L327" s="50"/>
      <c r="M327" s="50"/>
      <c r="N327" s="50"/>
      <c r="O327" s="50"/>
      <c r="P327" s="50"/>
      <c r="Q327" s="50"/>
      <c r="R327" s="50"/>
      <c r="S327" s="50"/>
      <c r="T327" s="50"/>
      <c r="U327" s="50"/>
      <c r="V327" s="50"/>
      <c r="W327" s="50"/>
    </row>
    <row r="328">
      <c r="A328" s="50"/>
      <c r="B328" s="59"/>
      <c r="C328" s="50"/>
      <c r="D328" s="59"/>
      <c r="E328" s="50"/>
      <c r="F328" s="59"/>
      <c r="G328" s="50"/>
      <c r="H328" s="63"/>
      <c r="I328" s="50"/>
      <c r="J328" s="50"/>
      <c r="K328" s="50"/>
      <c r="L328" s="50"/>
      <c r="M328" s="50"/>
      <c r="N328" s="50"/>
      <c r="O328" s="50"/>
      <c r="P328" s="50"/>
      <c r="Q328" s="50"/>
      <c r="R328" s="50"/>
      <c r="S328" s="50"/>
      <c r="T328" s="50"/>
      <c r="U328" s="50"/>
      <c r="V328" s="50"/>
      <c r="W328" s="50"/>
    </row>
    <row r="329">
      <c r="A329" s="50"/>
      <c r="B329" s="59"/>
      <c r="C329" s="50"/>
      <c r="D329" s="59"/>
      <c r="E329" s="50"/>
      <c r="F329" s="59"/>
      <c r="G329" s="50"/>
      <c r="H329" s="63"/>
      <c r="I329" s="50"/>
      <c r="J329" s="50"/>
      <c r="K329" s="50"/>
      <c r="L329" s="50"/>
      <c r="M329" s="50"/>
      <c r="N329" s="50"/>
      <c r="O329" s="50"/>
      <c r="P329" s="50"/>
      <c r="Q329" s="50"/>
      <c r="R329" s="50"/>
      <c r="S329" s="50"/>
      <c r="T329" s="50"/>
      <c r="U329" s="50"/>
      <c r="V329" s="50"/>
      <c r="W329" s="50"/>
    </row>
    <row r="330">
      <c r="A330" s="50"/>
      <c r="B330" s="59"/>
      <c r="C330" s="50"/>
      <c r="D330" s="59"/>
      <c r="E330" s="50"/>
      <c r="F330" s="59"/>
      <c r="G330" s="50"/>
      <c r="H330" s="63"/>
      <c r="I330" s="50"/>
      <c r="J330" s="50"/>
      <c r="K330" s="50"/>
      <c r="L330" s="50"/>
      <c r="M330" s="50"/>
      <c r="N330" s="50"/>
      <c r="O330" s="50"/>
      <c r="P330" s="50"/>
      <c r="Q330" s="50"/>
      <c r="R330" s="50"/>
      <c r="S330" s="50"/>
      <c r="T330" s="50"/>
      <c r="U330" s="50"/>
      <c r="V330" s="50"/>
      <c r="W330" s="50"/>
    </row>
    <row r="331">
      <c r="A331" s="50"/>
      <c r="B331" s="59"/>
      <c r="C331" s="50"/>
      <c r="D331" s="59"/>
      <c r="E331" s="50"/>
      <c r="F331" s="59"/>
      <c r="G331" s="50"/>
      <c r="H331" s="63"/>
      <c r="I331" s="50"/>
      <c r="J331" s="50"/>
      <c r="K331" s="50"/>
      <c r="L331" s="50"/>
      <c r="M331" s="50"/>
      <c r="N331" s="50"/>
      <c r="O331" s="50"/>
      <c r="P331" s="50"/>
      <c r="Q331" s="50"/>
      <c r="R331" s="50"/>
      <c r="S331" s="50"/>
      <c r="T331" s="50"/>
      <c r="U331" s="50"/>
      <c r="V331" s="50"/>
      <c r="W331" s="50"/>
    </row>
    <row r="332">
      <c r="A332" s="50"/>
      <c r="B332" s="59"/>
      <c r="C332" s="50"/>
      <c r="D332" s="59"/>
      <c r="E332" s="50"/>
      <c r="F332" s="59"/>
      <c r="G332" s="50"/>
      <c r="H332" s="63"/>
      <c r="I332" s="50"/>
      <c r="J332" s="50"/>
      <c r="K332" s="50"/>
      <c r="L332" s="50"/>
      <c r="M332" s="50"/>
      <c r="N332" s="50"/>
      <c r="O332" s="50"/>
      <c r="P332" s="50"/>
      <c r="Q332" s="50"/>
      <c r="R332" s="50"/>
      <c r="S332" s="50"/>
      <c r="T332" s="50"/>
      <c r="U332" s="50"/>
      <c r="V332" s="50"/>
      <c r="W332" s="50"/>
    </row>
    <row r="333">
      <c r="A333" s="50"/>
      <c r="B333" s="59"/>
      <c r="C333" s="50"/>
      <c r="D333" s="59"/>
      <c r="E333" s="50"/>
      <c r="F333" s="59"/>
      <c r="G333" s="50"/>
      <c r="H333" s="63"/>
      <c r="I333" s="50"/>
      <c r="J333" s="50"/>
      <c r="K333" s="50"/>
      <c r="L333" s="50"/>
      <c r="M333" s="50"/>
      <c r="N333" s="50"/>
      <c r="O333" s="50"/>
      <c r="P333" s="50"/>
      <c r="Q333" s="50"/>
      <c r="R333" s="50"/>
      <c r="S333" s="50"/>
      <c r="T333" s="50"/>
      <c r="U333" s="50"/>
      <c r="V333" s="50"/>
      <c r="W333" s="50"/>
    </row>
    <row r="334">
      <c r="A334" s="50"/>
      <c r="B334" s="59"/>
      <c r="C334" s="50"/>
      <c r="D334" s="59"/>
      <c r="E334" s="50"/>
      <c r="F334" s="59"/>
      <c r="G334" s="50"/>
      <c r="H334" s="63"/>
      <c r="I334" s="50"/>
      <c r="J334" s="50"/>
      <c r="K334" s="50"/>
      <c r="L334" s="50"/>
      <c r="M334" s="50"/>
      <c r="N334" s="50"/>
      <c r="O334" s="50"/>
      <c r="P334" s="50"/>
      <c r="Q334" s="50"/>
      <c r="R334" s="50"/>
      <c r="S334" s="50"/>
      <c r="T334" s="50"/>
      <c r="U334" s="50"/>
      <c r="V334" s="50"/>
      <c r="W334" s="50"/>
    </row>
    <row r="335">
      <c r="A335" s="50"/>
      <c r="B335" s="59"/>
      <c r="C335" s="50"/>
      <c r="D335" s="59"/>
      <c r="E335" s="50"/>
      <c r="F335" s="59"/>
      <c r="G335" s="50"/>
      <c r="H335" s="63"/>
      <c r="I335" s="50"/>
      <c r="J335" s="50"/>
      <c r="K335" s="50"/>
      <c r="L335" s="50"/>
      <c r="M335" s="50"/>
      <c r="N335" s="50"/>
      <c r="O335" s="50"/>
      <c r="P335" s="50"/>
      <c r="Q335" s="50"/>
      <c r="R335" s="50"/>
      <c r="S335" s="50"/>
      <c r="T335" s="50"/>
      <c r="U335" s="50"/>
      <c r="V335" s="50"/>
      <c r="W335" s="50"/>
    </row>
    <row r="336">
      <c r="A336" s="50"/>
      <c r="B336" s="59"/>
      <c r="C336" s="50"/>
      <c r="D336" s="59"/>
      <c r="E336" s="50"/>
      <c r="F336" s="59"/>
      <c r="G336" s="50"/>
      <c r="H336" s="63"/>
      <c r="I336" s="50"/>
      <c r="J336" s="50"/>
      <c r="K336" s="50"/>
      <c r="L336" s="50"/>
      <c r="M336" s="50"/>
      <c r="N336" s="50"/>
      <c r="O336" s="50"/>
      <c r="P336" s="50"/>
      <c r="Q336" s="50"/>
      <c r="R336" s="50"/>
      <c r="S336" s="50"/>
      <c r="T336" s="50"/>
      <c r="U336" s="50"/>
      <c r="V336" s="50"/>
      <c r="W336" s="50"/>
    </row>
    <row r="337">
      <c r="A337" s="50"/>
      <c r="B337" s="59"/>
      <c r="C337" s="50"/>
      <c r="D337" s="59"/>
      <c r="E337" s="50"/>
      <c r="F337" s="59"/>
      <c r="G337" s="50"/>
      <c r="H337" s="63"/>
      <c r="I337" s="50"/>
      <c r="J337" s="50"/>
      <c r="K337" s="50"/>
      <c r="L337" s="50"/>
      <c r="M337" s="50"/>
      <c r="N337" s="50"/>
      <c r="O337" s="50"/>
      <c r="P337" s="50"/>
      <c r="Q337" s="50"/>
      <c r="R337" s="50"/>
      <c r="S337" s="50"/>
      <c r="T337" s="50"/>
      <c r="U337" s="50"/>
      <c r="V337" s="50"/>
      <c r="W337" s="50"/>
    </row>
    <row r="338">
      <c r="A338" s="50"/>
      <c r="B338" s="59"/>
      <c r="C338" s="50"/>
      <c r="D338" s="59"/>
      <c r="E338" s="50"/>
      <c r="F338" s="59"/>
      <c r="G338" s="50"/>
      <c r="H338" s="63"/>
      <c r="I338" s="50"/>
      <c r="J338" s="50"/>
      <c r="K338" s="50"/>
      <c r="L338" s="50"/>
      <c r="M338" s="50"/>
      <c r="N338" s="50"/>
      <c r="O338" s="50"/>
      <c r="P338" s="50"/>
      <c r="Q338" s="50"/>
      <c r="R338" s="50"/>
      <c r="S338" s="50"/>
      <c r="T338" s="50"/>
      <c r="U338" s="50"/>
      <c r="V338" s="50"/>
      <c r="W338" s="50"/>
    </row>
    <row r="339">
      <c r="A339" s="50"/>
      <c r="B339" s="59"/>
      <c r="C339" s="50"/>
      <c r="D339" s="59"/>
      <c r="E339" s="50"/>
      <c r="F339" s="59"/>
      <c r="G339" s="50"/>
      <c r="H339" s="63"/>
      <c r="I339" s="50"/>
      <c r="J339" s="50"/>
      <c r="K339" s="50"/>
      <c r="L339" s="50"/>
      <c r="M339" s="50"/>
      <c r="N339" s="50"/>
      <c r="O339" s="50"/>
      <c r="P339" s="50"/>
      <c r="Q339" s="50"/>
      <c r="R339" s="50"/>
      <c r="S339" s="50"/>
      <c r="T339" s="50"/>
      <c r="U339" s="50"/>
      <c r="V339" s="50"/>
      <c r="W339" s="50"/>
    </row>
    <row r="340">
      <c r="A340" s="50"/>
      <c r="B340" s="59"/>
      <c r="C340" s="50"/>
      <c r="D340" s="59"/>
      <c r="E340" s="50"/>
      <c r="F340" s="59"/>
      <c r="G340" s="50"/>
      <c r="H340" s="63"/>
      <c r="I340" s="50"/>
      <c r="J340" s="50"/>
      <c r="K340" s="50"/>
      <c r="L340" s="50"/>
      <c r="M340" s="50"/>
      <c r="N340" s="50"/>
      <c r="O340" s="50"/>
      <c r="P340" s="50"/>
      <c r="Q340" s="50"/>
      <c r="R340" s="50"/>
      <c r="S340" s="50"/>
      <c r="T340" s="50"/>
      <c r="U340" s="50"/>
      <c r="V340" s="50"/>
      <c r="W340" s="50"/>
    </row>
    <row r="341">
      <c r="A341" s="50"/>
      <c r="B341" s="59"/>
      <c r="C341" s="50"/>
      <c r="D341" s="59"/>
      <c r="E341" s="50"/>
      <c r="F341" s="59"/>
      <c r="G341" s="50"/>
      <c r="H341" s="63"/>
      <c r="I341" s="50"/>
      <c r="J341" s="50"/>
      <c r="K341" s="50"/>
      <c r="L341" s="50"/>
      <c r="M341" s="50"/>
      <c r="N341" s="50"/>
      <c r="O341" s="50"/>
      <c r="P341" s="50"/>
      <c r="Q341" s="50"/>
      <c r="R341" s="50"/>
      <c r="S341" s="50"/>
      <c r="T341" s="50"/>
      <c r="U341" s="50"/>
      <c r="V341" s="50"/>
      <c r="W341" s="50"/>
    </row>
    <row r="342">
      <c r="A342" s="50"/>
      <c r="B342" s="59"/>
      <c r="C342" s="50"/>
      <c r="D342" s="59"/>
      <c r="E342" s="50"/>
      <c r="F342" s="59"/>
      <c r="G342" s="50"/>
      <c r="H342" s="63"/>
      <c r="I342" s="50"/>
      <c r="J342" s="50"/>
      <c r="K342" s="50"/>
      <c r="L342" s="50"/>
      <c r="M342" s="50"/>
      <c r="N342" s="50"/>
      <c r="O342" s="50"/>
      <c r="P342" s="50"/>
      <c r="Q342" s="50"/>
      <c r="R342" s="50"/>
      <c r="S342" s="50"/>
      <c r="T342" s="50"/>
      <c r="U342" s="50"/>
      <c r="V342" s="50"/>
      <c r="W342" s="50"/>
    </row>
    <row r="343">
      <c r="A343" s="50"/>
      <c r="B343" s="59"/>
      <c r="C343" s="50"/>
      <c r="D343" s="59"/>
      <c r="E343" s="50"/>
      <c r="F343" s="59"/>
      <c r="G343" s="50"/>
      <c r="H343" s="63"/>
      <c r="I343" s="50"/>
      <c r="J343" s="50"/>
      <c r="K343" s="50"/>
      <c r="L343" s="50"/>
      <c r="M343" s="50"/>
      <c r="N343" s="50"/>
      <c r="O343" s="50"/>
      <c r="P343" s="50"/>
      <c r="Q343" s="50"/>
      <c r="R343" s="50"/>
      <c r="S343" s="50"/>
      <c r="T343" s="50"/>
      <c r="U343" s="50"/>
      <c r="V343" s="50"/>
      <c r="W343" s="50"/>
    </row>
    <row r="344">
      <c r="A344" s="50"/>
      <c r="B344" s="59"/>
      <c r="C344" s="50"/>
      <c r="D344" s="59"/>
      <c r="E344" s="50"/>
      <c r="F344" s="59"/>
      <c r="G344" s="50"/>
      <c r="H344" s="63"/>
      <c r="I344" s="50"/>
      <c r="J344" s="50"/>
      <c r="K344" s="50"/>
      <c r="L344" s="50"/>
      <c r="M344" s="50"/>
      <c r="N344" s="50"/>
      <c r="O344" s="50"/>
      <c r="P344" s="50"/>
      <c r="Q344" s="50"/>
      <c r="R344" s="50"/>
      <c r="S344" s="50"/>
      <c r="T344" s="50"/>
      <c r="U344" s="50"/>
      <c r="V344" s="50"/>
      <c r="W344" s="50"/>
    </row>
    <row r="345">
      <c r="A345" s="50"/>
      <c r="B345" s="59"/>
      <c r="C345" s="50"/>
      <c r="D345" s="59"/>
      <c r="E345" s="50"/>
      <c r="F345" s="59"/>
      <c r="G345" s="50"/>
      <c r="H345" s="63"/>
      <c r="I345" s="50"/>
      <c r="J345" s="50"/>
      <c r="K345" s="50"/>
      <c r="L345" s="50"/>
      <c r="M345" s="50"/>
      <c r="N345" s="50"/>
      <c r="O345" s="50"/>
      <c r="P345" s="50"/>
      <c r="Q345" s="50"/>
      <c r="R345" s="50"/>
      <c r="S345" s="50"/>
      <c r="T345" s="50"/>
      <c r="U345" s="50"/>
      <c r="V345" s="50"/>
      <c r="W345" s="50"/>
    </row>
    <row r="346">
      <c r="A346" s="50"/>
      <c r="B346" s="59"/>
      <c r="C346" s="50"/>
      <c r="D346" s="59"/>
      <c r="E346" s="50"/>
      <c r="F346" s="59"/>
      <c r="G346" s="50"/>
      <c r="H346" s="63"/>
      <c r="I346" s="50"/>
      <c r="J346" s="50"/>
      <c r="K346" s="50"/>
      <c r="L346" s="50"/>
      <c r="M346" s="50"/>
      <c r="N346" s="50"/>
      <c r="O346" s="50"/>
      <c r="P346" s="50"/>
      <c r="Q346" s="50"/>
      <c r="R346" s="50"/>
      <c r="S346" s="50"/>
      <c r="T346" s="50"/>
      <c r="U346" s="50"/>
      <c r="V346" s="50"/>
      <c r="W346" s="50"/>
    </row>
    <row r="347">
      <c r="A347" s="50"/>
      <c r="B347" s="59"/>
      <c r="C347" s="50"/>
      <c r="D347" s="59"/>
      <c r="E347" s="50"/>
      <c r="F347" s="59"/>
      <c r="G347" s="50"/>
      <c r="H347" s="63"/>
      <c r="I347" s="50"/>
      <c r="J347" s="50"/>
      <c r="K347" s="50"/>
      <c r="L347" s="50"/>
      <c r="M347" s="50"/>
      <c r="N347" s="50"/>
      <c r="O347" s="50"/>
      <c r="P347" s="50"/>
      <c r="Q347" s="50"/>
      <c r="R347" s="50"/>
      <c r="S347" s="50"/>
      <c r="T347" s="50"/>
      <c r="U347" s="50"/>
      <c r="V347" s="50"/>
      <c r="W347" s="50"/>
    </row>
    <row r="348">
      <c r="A348" s="50"/>
      <c r="B348" s="59"/>
      <c r="C348" s="50"/>
      <c r="D348" s="59"/>
      <c r="E348" s="50"/>
      <c r="F348" s="59"/>
      <c r="G348" s="50"/>
      <c r="H348" s="63"/>
      <c r="I348" s="50"/>
      <c r="J348" s="50"/>
      <c r="K348" s="50"/>
      <c r="L348" s="50"/>
      <c r="M348" s="50"/>
      <c r="N348" s="50"/>
      <c r="O348" s="50"/>
      <c r="P348" s="50"/>
      <c r="Q348" s="50"/>
      <c r="R348" s="50"/>
      <c r="S348" s="50"/>
      <c r="T348" s="50"/>
      <c r="U348" s="50"/>
      <c r="V348" s="50"/>
      <c r="W348" s="50"/>
    </row>
    <row r="349">
      <c r="A349" s="50"/>
      <c r="B349" s="59"/>
      <c r="C349" s="50"/>
      <c r="D349" s="59"/>
      <c r="E349" s="50"/>
      <c r="F349" s="59"/>
      <c r="G349" s="50"/>
      <c r="H349" s="63"/>
      <c r="I349" s="50"/>
      <c r="J349" s="50"/>
      <c r="K349" s="50"/>
      <c r="L349" s="50"/>
      <c r="M349" s="50"/>
      <c r="N349" s="50"/>
      <c r="O349" s="50"/>
      <c r="P349" s="50"/>
      <c r="Q349" s="50"/>
      <c r="R349" s="50"/>
      <c r="S349" s="50"/>
      <c r="T349" s="50"/>
      <c r="U349" s="50"/>
      <c r="V349" s="50"/>
      <c r="W349" s="50"/>
    </row>
    <row r="350">
      <c r="A350" s="50"/>
      <c r="B350" s="59"/>
      <c r="C350" s="50"/>
      <c r="D350" s="59"/>
      <c r="E350" s="50"/>
      <c r="F350" s="59"/>
      <c r="G350" s="50"/>
      <c r="H350" s="63"/>
      <c r="I350" s="50"/>
      <c r="J350" s="50"/>
      <c r="K350" s="50"/>
      <c r="L350" s="50"/>
      <c r="M350" s="50"/>
      <c r="N350" s="50"/>
      <c r="O350" s="50"/>
      <c r="P350" s="50"/>
      <c r="Q350" s="50"/>
      <c r="R350" s="50"/>
      <c r="S350" s="50"/>
      <c r="T350" s="50"/>
      <c r="U350" s="50"/>
      <c r="V350" s="50"/>
      <c r="W350" s="50"/>
    </row>
    <row r="351">
      <c r="A351" s="50"/>
      <c r="B351" s="59"/>
      <c r="C351" s="50"/>
      <c r="D351" s="59"/>
      <c r="E351" s="50"/>
      <c r="F351" s="59"/>
      <c r="G351" s="50"/>
      <c r="H351" s="63"/>
      <c r="I351" s="50"/>
      <c r="J351" s="50"/>
      <c r="K351" s="50"/>
      <c r="L351" s="50"/>
      <c r="M351" s="50"/>
      <c r="N351" s="50"/>
      <c r="O351" s="50"/>
      <c r="P351" s="50"/>
      <c r="Q351" s="50"/>
      <c r="R351" s="50"/>
      <c r="S351" s="50"/>
      <c r="T351" s="50"/>
      <c r="U351" s="50"/>
      <c r="V351" s="50"/>
      <c r="W351" s="50"/>
    </row>
    <row r="352">
      <c r="A352" s="50"/>
      <c r="B352" s="59"/>
      <c r="C352" s="50"/>
      <c r="D352" s="59"/>
      <c r="E352" s="50"/>
      <c r="F352" s="59"/>
      <c r="G352" s="50"/>
      <c r="H352" s="63"/>
      <c r="I352" s="50"/>
      <c r="J352" s="50"/>
      <c r="K352" s="50"/>
      <c r="L352" s="50"/>
      <c r="M352" s="50"/>
      <c r="N352" s="50"/>
      <c r="O352" s="50"/>
      <c r="P352" s="50"/>
      <c r="Q352" s="50"/>
      <c r="R352" s="50"/>
      <c r="S352" s="50"/>
      <c r="T352" s="50"/>
      <c r="U352" s="50"/>
      <c r="V352" s="50"/>
      <c r="W352" s="50"/>
    </row>
    <row r="353">
      <c r="A353" s="50"/>
      <c r="B353" s="59"/>
      <c r="C353" s="50"/>
      <c r="D353" s="59"/>
      <c r="E353" s="50"/>
      <c r="F353" s="59"/>
      <c r="G353" s="50"/>
      <c r="H353" s="63"/>
      <c r="I353" s="50"/>
      <c r="J353" s="50"/>
      <c r="K353" s="50"/>
      <c r="L353" s="50"/>
      <c r="M353" s="50"/>
      <c r="N353" s="50"/>
      <c r="O353" s="50"/>
      <c r="P353" s="50"/>
      <c r="Q353" s="50"/>
      <c r="R353" s="50"/>
      <c r="S353" s="50"/>
      <c r="T353" s="50"/>
      <c r="U353" s="50"/>
      <c r="V353" s="50"/>
      <c r="W353" s="50"/>
    </row>
    <row r="354">
      <c r="A354" s="50"/>
      <c r="B354" s="59"/>
      <c r="C354" s="50"/>
      <c r="D354" s="59"/>
      <c r="E354" s="50"/>
      <c r="F354" s="59"/>
      <c r="G354" s="50"/>
      <c r="H354" s="63"/>
      <c r="I354" s="50"/>
      <c r="J354" s="50"/>
      <c r="K354" s="50"/>
      <c r="L354" s="50"/>
      <c r="M354" s="50"/>
      <c r="N354" s="50"/>
      <c r="O354" s="50"/>
      <c r="P354" s="50"/>
      <c r="Q354" s="50"/>
      <c r="R354" s="50"/>
      <c r="S354" s="50"/>
      <c r="T354" s="50"/>
      <c r="U354" s="50"/>
      <c r="V354" s="50"/>
      <c r="W354" s="50"/>
    </row>
    <row r="355">
      <c r="A355" s="50"/>
      <c r="B355" s="59"/>
      <c r="C355" s="50"/>
      <c r="D355" s="59"/>
      <c r="E355" s="50"/>
      <c r="F355" s="59"/>
      <c r="G355" s="50"/>
      <c r="H355" s="63"/>
      <c r="I355" s="50"/>
      <c r="J355" s="50"/>
      <c r="K355" s="50"/>
      <c r="L355" s="50"/>
      <c r="M355" s="50"/>
      <c r="N355" s="50"/>
      <c r="O355" s="50"/>
      <c r="P355" s="50"/>
      <c r="Q355" s="50"/>
      <c r="R355" s="50"/>
      <c r="S355" s="50"/>
      <c r="T355" s="50"/>
      <c r="U355" s="50"/>
      <c r="V355" s="50"/>
      <c r="W355" s="50"/>
    </row>
    <row r="356">
      <c r="A356" s="50"/>
      <c r="B356" s="59"/>
      <c r="C356" s="50"/>
      <c r="D356" s="59"/>
      <c r="E356" s="50"/>
      <c r="F356" s="59"/>
      <c r="G356" s="50"/>
      <c r="H356" s="63"/>
      <c r="I356" s="50"/>
      <c r="J356" s="50"/>
      <c r="K356" s="50"/>
      <c r="L356" s="50"/>
      <c r="M356" s="50"/>
      <c r="N356" s="50"/>
      <c r="O356" s="50"/>
      <c r="P356" s="50"/>
      <c r="Q356" s="50"/>
      <c r="R356" s="50"/>
      <c r="S356" s="50"/>
      <c r="T356" s="50"/>
      <c r="U356" s="50"/>
      <c r="V356" s="50"/>
      <c r="W356" s="50"/>
    </row>
    <row r="357">
      <c r="A357" s="50"/>
      <c r="B357" s="59"/>
      <c r="C357" s="50"/>
      <c r="D357" s="59"/>
      <c r="E357" s="50"/>
      <c r="F357" s="59"/>
      <c r="G357" s="50"/>
      <c r="H357" s="63"/>
      <c r="I357" s="50"/>
      <c r="J357" s="50"/>
      <c r="K357" s="50"/>
      <c r="L357" s="50"/>
      <c r="M357" s="50"/>
      <c r="N357" s="50"/>
      <c r="O357" s="50"/>
      <c r="P357" s="50"/>
      <c r="Q357" s="50"/>
      <c r="R357" s="50"/>
      <c r="S357" s="50"/>
      <c r="T357" s="50"/>
      <c r="U357" s="50"/>
      <c r="V357" s="50"/>
      <c r="W357" s="50"/>
    </row>
    <row r="358">
      <c r="A358" s="50"/>
      <c r="B358" s="59"/>
      <c r="C358" s="50"/>
      <c r="D358" s="59"/>
      <c r="E358" s="50"/>
      <c r="F358" s="59"/>
      <c r="G358" s="50"/>
      <c r="H358" s="63"/>
      <c r="I358" s="50"/>
      <c r="J358" s="50"/>
      <c r="K358" s="50"/>
      <c r="L358" s="50"/>
      <c r="M358" s="50"/>
      <c r="N358" s="50"/>
      <c r="O358" s="50"/>
      <c r="P358" s="50"/>
      <c r="Q358" s="50"/>
      <c r="R358" s="50"/>
      <c r="S358" s="50"/>
      <c r="T358" s="50"/>
      <c r="U358" s="50"/>
      <c r="V358" s="50"/>
      <c r="W358" s="50"/>
    </row>
    <row r="359">
      <c r="A359" s="50"/>
      <c r="B359" s="59"/>
      <c r="C359" s="50"/>
      <c r="D359" s="59"/>
      <c r="E359" s="50"/>
      <c r="F359" s="59"/>
      <c r="G359" s="50"/>
      <c r="H359" s="63"/>
      <c r="I359" s="50"/>
      <c r="J359" s="50"/>
      <c r="K359" s="50"/>
      <c r="L359" s="50"/>
      <c r="M359" s="50"/>
      <c r="N359" s="50"/>
      <c r="O359" s="50"/>
      <c r="P359" s="50"/>
      <c r="Q359" s="50"/>
      <c r="R359" s="50"/>
      <c r="S359" s="50"/>
      <c r="T359" s="50"/>
      <c r="U359" s="50"/>
      <c r="V359" s="50"/>
      <c r="W359" s="50"/>
    </row>
    <row r="360">
      <c r="A360" s="50"/>
      <c r="B360" s="59"/>
      <c r="C360" s="50"/>
      <c r="D360" s="59"/>
      <c r="E360" s="50"/>
      <c r="F360" s="59"/>
      <c r="G360" s="50"/>
      <c r="H360" s="63"/>
      <c r="I360" s="50"/>
      <c r="J360" s="50"/>
      <c r="K360" s="50"/>
      <c r="L360" s="50"/>
      <c r="M360" s="50"/>
      <c r="N360" s="50"/>
      <c r="O360" s="50"/>
      <c r="P360" s="50"/>
      <c r="Q360" s="50"/>
      <c r="R360" s="50"/>
      <c r="S360" s="50"/>
      <c r="T360" s="50"/>
      <c r="U360" s="50"/>
      <c r="V360" s="50"/>
      <c r="W360" s="50"/>
    </row>
    <row r="361">
      <c r="A361" s="50"/>
      <c r="B361" s="59"/>
      <c r="C361" s="50"/>
      <c r="D361" s="59"/>
      <c r="E361" s="50"/>
      <c r="F361" s="59"/>
      <c r="G361" s="50"/>
      <c r="H361" s="63"/>
      <c r="I361" s="50"/>
      <c r="J361" s="50"/>
      <c r="K361" s="50"/>
      <c r="L361" s="50"/>
      <c r="M361" s="50"/>
      <c r="N361" s="50"/>
      <c r="O361" s="50"/>
      <c r="P361" s="50"/>
      <c r="Q361" s="50"/>
      <c r="R361" s="50"/>
      <c r="S361" s="50"/>
      <c r="T361" s="50"/>
      <c r="U361" s="50"/>
      <c r="V361" s="50"/>
      <c r="W361" s="50"/>
    </row>
    <row r="362">
      <c r="A362" s="50"/>
      <c r="B362" s="59"/>
      <c r="C362" s="50"/>
      <c r="D362" s="59"/>
      <c r="E362" s="50"/>
      <c r="F362" s="59"/>
      <c r="G362" s="50"/>
      <c r="H362" s="63"/>
      <c r="I362" s="50"/>
      <c r="J362" s="50"/>
      <c r="K362" s="50"/>
      <c r="L362" s="50"/>
      <c r="M362" s="50"/>
      <c r="N362" s="50"/>
      <c r="O362" s="50"/>
      <c r="P362" s="50"/>
      <c r="Q362" s="50"/>
      <c r="R362" s="50"/>
      <c r="S362" s="50"/>
      <c r="T362" s="50"/>
      <c r="U362" s="50"/>
      <c r="V362" s="50"/>
      <c r="W362" s="50"/>
    </row>
    <row r="363">
      <c r="A363" s="50"/>
      <c r="B363" s="59"/>
      <c r="C363" s="50"/>
      <c r="D363" s="59"/>
      <c r="E363" s="50"/>
      <c r="F363" s="59"/>
      <c r="G363" s="50"/>
      <c r="H363" s="63"/>
      <c r="I363" s="50"/>
      <c r="J363" s="50"/>
      <c r="K363" s="50"/>
      <c r="L363" s="50"/>
      <c r="M363" s="50"/>
      <c r="N363" s="50"/>
      <c r="O363" s="50"/>
      <c r="P363" s="50"/>
      <c r="Q363" s="50"/>
      <c r="R363" s="50"/>
      <c r="S363" s="50"/>
      <c r="T363" s="50"/>
      <c r="U363" s="50"/>
      <c r="V363" s="50"/>
      <c r="W363" s="50"/>
    </row>
    <row r="364">
      <c r="A364" s="50"/>
      <c r="B364" s="59"/>
      <c r="C364" s="50"/>
      <c r="D364" s="59"/>
      <c r="E364" s="50"/>
      <c r="F364" s="59"/>
      <c r="G364" s="50"/>
      <c r="H364" s="63"/>
      <c r="I364" s="50"/>
      <c r="J364" s="50"/>
      <c r="K364" s="50"/>
      <c r="L364" s="50"/>
      <c r="M364" s="50"/>
      <c r="N364" s="50"/>
      <c r="O364" s="50"/>
      <c r="P364" s="50"/>
      <c r="Q364" s="50"/>
      <c r="R364" s="50"/>
      <c r="S364" s="50"/>
      <c r="T364" s="50"/>
      <c r="U364" s="50"/>
      <c r="V364" s="50"/>
      <c r="W364" s="50"/>
    </row>
    <row r="365">
      <c r="A365" s="50"/>
      <c r="B365" s="59"/>
      <c r="C365" s="50"/>
      <c r="D365" s="59"/>
      <c r="E365" s="50"/>
      <c r="F365" s="59"/>
      <c r="G365" s="50"/>
      <c r="H365" s="63"/>
      <c r="I365" s="50"/>
      <c r="J365" s="50"/>
      <c r="K365" s="50"/>
      <c r="L365" s="50"/>
      <c r="M365" s="50"/>
      <c r="N365" s="50"/>
      <c r="O365" s="50"/>
      <c r="P365" s="50"/>
      <c r="Q365" s="50"/>
      <c r="R365" s="50"/>
      <c r="S365" s="50"/>
      <c r="T365" s="50"/>
      <c r="U365" s="50"/>
      <c r="V365" s="50"/>
      <c r="W365" s="50"/>
    </row>
    <row r="366">
      <c r="A366" s="50"/>
      <c r="B366" s="59"/>
      <c r="C366" s="50"/>
      <c r="D366" s="59"/>
      <c r="E366" s="50"/>
      <c r="F366" s="59"/>
      <c r="G366" s="50"/>
      <c r="H366" s="63"/>
      <c r="I366" s="50"/>
      <c r="J366" s="50"/>
      <c r="K366" s="50"/>
      <c r="L366" s="50"/>
      <c r="M366" s="50"/>
      <c r="N366" s="50"/>
      <c r="O366" s="50"/>
      <c r="P366" s="50"/>
      <c r="Q366" s="50"/>
      <c r="R366" s="50"/>
      <c r="S366" s="50"/>
      <c r="T366" s="50"/>
      <c r="U366" s="50"/>
      <c r="V366" s="50"/>
      <c r="W366" s="50"/>
    </row>
    <row r="367">
      <c r="A367" s="50"/>
      <c r="B367" s="59"/>
      <c r="C367" s="50"/>
      <c r="D367" s="59"/>
      <c r="E367" s="50"/>
      <c r="F367" s="59"/>
      <c r="G367" s="50"/>
      <c r="H367" s="63"/>
      <c r="I367" s="50"/>
      <c r="J367" s="50"/>
      <c r="K367" s="50"/>
      <c r="L367" s="50"/>
      <c r="M367" s="50"/>
      <c r="N367" s="50"/>
      <c r="O367" s="50"/>
      <c r="P367" s="50"/>
      <c r="Q367" s="50"/>
      <c r="R367" s="50"/>
      <c r="S367" s="50"/>
      <c r="T367" s="50"/>
      <c r="U367" s="50"/>
      <c r="V367" s="50"/>
      <c r="W367" s="50"/>
    </row>
    <row r="368">
      <c r="A368" s="50"/>
      <c r="B368" s="59"/>
      <c r="C368" s="50"/>
      <c r="D368" s="59"/>
      <c r="E368" s="50"/>
      <c r="F368" s="59"/>
      <c r="G368" s="50"/>
      <c r="H368" s="63"/>
      <c r="I368" s="50"/>
      <c r="J368" s="50"/>
      <c r="K368" s="50"/>
      <c r="L368" s="50"/>
      <c r="M368" s="50"/>
      <c r="N368" s="50"/>
      <c r="O368" s="50"/>
      <c r="P368" s="50"/>
      <c r="Q368" s="50"/>
      <c r="R368" s="50"/>
      <c r="S368" s="50"/>
      <c r="T368" s="50"/>
      <c r="U368" s="50"/>
      <c r="V368" s="50"/>
      <c r="W368" s="50"/>
    </row>
    <row r="369">
      <c r="A369" s="50"/>
      <c r="B369" s="59"/>
      <c r="C369" s="50"/>
      <c r="D369" s="59"/>
      <c r="E369" s="50"/>
      <c r="F369" s="59"/>
      <c r="G369" s="50"/>
      <c r="H369" s="63"/>
      <c r="I369" s="50"/>
      <c r="J369" s="50"/>
      <c r="K369" s="50"/>
      <c r="L369" s="50"/>
      <c r="M369" s="50"/>
      <c r="N369" s="50"/>
      <c r="O369" s="50"/>
      <c r="P369" s="50"/>
      <c r="Q369" s="50"/>
      <c r="R369" s="50"/>
      <c r="S369" s="50"/>
      <c r="T369" s="50"/>
      <c r="U369" s="50"/>
      <c r="V369" s="50"/>
      <c r="W369" s="50"/>
    </row>
    <row r="370">
      <c r="A370" s="50"/>
      <c r="B370" s="59"/>
      <c r="C370" s="50"/>
      <c r="D370" s="59"/>
      <c r="E370" s="50"/>
      <c r="F370" s="59"/>
      <c r="G370" s="50"/>
      <c r="H370" s="63"/>
      <c r="I370" s="50"/>
      <c r="J370" s="50"/>
      <c r="K370" s="50"/>
      <c r="L370" s="50"/>
      <c r="M370" s="50"/>
      <c r="N370" s="50"/>
      <c r="O370" s="50"/>
      <c r="P370" s="50"/>
      <c r="Q370" s="50"/>
      <c r="R370" s="50"/>
      <c r="S370" s="50"/>
      <c r="T370" s="50"/>
      <c r="U370" s="50"/>
      <c r="V370" s="50"/>
      <c r="W370" s="50"/>
    </row>
    <row r="371">
      <c r="A371" s="50"/>
      <c r="B371" s="59"/>
      <c r="C371" s="50"/>
      <c r="D371" s="59"/>
      <c r="E371" s="50"/>
      <c r="F371" s="59"/>
      <c r="G371" s="50"/>
      <c r="H371" s="63"/>
      <c r="I371" s="50"/>
      <c r="J371" s="50"/>
      <c r="K371" s="50"/>
      <c r="L371" s="50"/>
      <c r="M371" s="50"/>
      <c r="N371" s="50"/>
      <c r="O371" s="50"/>
      <c r="P371" s="50"/>
      <c r="Q371" s="50"/>
      <c r="R371" s="50"/>
      <c r="S371" s="50"/>
      <c r="T371" s="50"/>
      <c r="U371" s="50"/>
      <c r="V371" s="50"/>
      <c r="W371" s="50"/>
    </row>
    <row r="372">
      <c r="A372" s="50"/>
      <c r="B372" s="59"/>
      <c r="C372" s="50"/>
      <c r="D372" s="59"/>
      <c r="E372" s="50"/>
      <c r="F372" s="59"/>
      <c r="G372" s="50"/>
      <c r="H372" s="63"/>
      <c r="I372" s="50"/>
      <c r="J372" s="50"/>
      <c r="K372" s="50"/>
      <c r="L372" s="50"/>
      <c r="M372" s="50"/>
      <c r="N372" s="50"/>
      <c r="O372" s="50"/>
      <c r="P372" s="50"/>
      <c r="Q372" s="50"/>
      <c r="R372" s="50"/>
      <c r="S372" s="50"/>
      <c r="T372" s="50"/>
      <c r="U372" s="50"/>
      <c r="V372" s="50"/>
      <c r="W372" s="50"/>
    </row>
    <row r="373">
      <c r="A373" s="50"/>
      <c r="B373" s="59"/>
      <c r="C373" s="50"/>
      <c r="D373" s="59"/>
      <c r="E373" s="50"/>
      <c r="F373" s="59"/>
      <c r="G373" s="50"/>
      <c r="H373" s="63"/>
      <c r="I373" s="50"/>
      <c r="J373" s="50"/>
      <c r="K373" s="50"/>
      <c r="L373" s="50"/>
      <c r="M373" s="50"/>
      <c r="N373" s="50"/>
      <c r="O373" s="50"/>
      <c r="P373" s="50"/>
      <c r="Q373" s="50"/>
      <c r="R373" s="50"/>
      <c r="S373" s="50"/>
      <c r="T373" s="50"/>
      <c r="U373" s="50"/>
      <c r="V373" s="50"/>
      <c r="W373" s="50"/>
    </row>
    <row r="374">
      <c r="A374" s="50"/>
      <c r="B374" s="59"/>
      <c r="C374" s="50"/>
      <c r="D374" s="59"/>
      <c r="E374" s="50"/>
      <c r="F374" s="59"/>
      <c r="G374" s="50"/>
      <c r="H374" s="63"/>
      <c r="I374" s="50"/>
      <c r="J374" s="50"/>
      <c r="K374" s="50"/>
      <c r="L374" s="50"/>
      <c r="M374" s="50"/>
      <c r="N374" s="50"/>
      <c r="O374" s="50"/>
      <c r="P374" s="50"/>
      <c r="Q374" s="50"/>
      <c r="R374" s="50"/>
      <c r="S374" s="50"/>
      <c r="T374" s="50"/>
      <c r="U374" s="50"/>
      <c r="V374" s="50"/>
      <c r="W374" s="50"/>
    </row>
    <row r="375">
      <c r="A375" s="50"/>
      <c r="B375" s="59"/>
      <c r="C375" s="50"/>
      <c r="D375" s="59"/>
      <c r="E375" s="50"/>
      <c r="F375" s="59"/>
      <c r="G375" s="50"/>
      <c r="H375" s="63"/>
      <c r="I375" s="50"/>
      <c r="J375" s="50"/>
      <c r="K375" s="50"/>
      <c r="L375" s="50"/>
      <c r="M375" s="50"/>
      <c r="N375" s="50"/>
      <c r="O375" s="50"/>
      <c r="P375" s="50"/>
      <c r="Q375" s="50"/>
      <c r="R375" s="50"/>
      <c r="S375" s="50"/>
      <c r="T375" s="50"/>
      <c r="U375" s="50"/>
      <c r="V375" s="50"/>
      <c r="W375" s="50"/>
    </row>
    <row r="376">
      <c r="A376" s="50"/>
      <c r="B376" s="59"/>
      <c r="C376" s="50"/>
      <c r="D376" s="59"/>
      <c r="E376" s="50"/>
      <c r="F376" s="59"/>
      <c r="G376" s="50"/>
      <c r="H376" s="63"/>
      <c r="I376" s="50"/>
      <c r="J376" s="50"/>
      <c r="K376" s="50"/>
      <c r="L376" s="50"/>
      <c r="M376" s="50"/>
      <c r="N376" s="50"/>
      <c r="O376" s="50"/>
      <c r="P376" s="50"/>
      <c r="Q376" s="50"/>
      <c r="R376" s="50"/>
      <c r="S376" s="50"/>
      <c r="T376" s="50"/>
      <c r="U376" s="50"/>
      <c r="V376" s="50"/>
      <c r="W376" s="50"/>
    </row>
    <row r="377">
      <c r="A377" s="50"/>
      <c r="B377" s="59"/>
      <c r="C377" s="50"/>
      <c r="D377" s="59"/>
      <c r="E377" s="50"/>
      <c r="F377" s="59"/>
      <c r="G377" s="50"/>
      <c r="H377" s="63"/>
      <c r="I377" s="50"/>
      <c r="J377" s="50"/>
      <c r="K377" s="50"/>
      <c r="L377" s="50"/>
      <c r="M377" s="50"/>
      <c r="N377" s="50"/>
      <c r="O377" s="50"/>
      <c r="P377" s="50"/>
      <c r="Q377" s="50"/>
      <c r="R377" s="50"/>
      <c r="S377" s="50"/>
      <c r="T377" s="50"/>
      <c r="U377" s="50"/>
      <c r="V377" s="50"/>
      <c r="W377" s="50"/>
    </row>
    <row r="378">
      <c r="A378" s="50"/>
      <c r="B378" s="59"/>
      <c r="C378" s="50"/>
      <c r="D378" s="59"/>
      <c r="E378" s="50"/>
      <c r="F378" s="59"/>
      <c r="G378" s="50"/>
      <c r="H378" s="63"/>
      <c r="I378" s="50"/>
      <c r="J378" s="50"/>
      <c r="K378" s="50"/>
      <c r="L378" s="50"/>
      <c r="M378" s="50"/>
      <c r="N378" s="50"/>
      <c r="O378" s="50"/>
      <c r="P378" s="50"/>
      <c r="Q378" s="50"/>
      <c r="R378" s="50"/>
      <c r="S378" s="50"/>
      <c r="T378" s="50"/>
      <c r="U378" s="50"/>
      <c r="V378" s="50"/>
      <c r="W378" s="50"/>
    </row>
    <row r="379">
      <c r="A379" s="50"/>
      <c r="B379" s="59"/>
      <c r="C379" s="50"/>
      <c r="D379" s="59"/>
      <c r="E379" s="50"/>
      <c r="F379" s="59"/>
      <c r="G379" s="50"/>
      <c r="H379" s="63"/>
      <c r="I379" s="50"/>
      <c r="J379" s="50"/>
      <c r="K379" s="50"/>
      <c r="L379" s="50"/>
      <c r="M379" s="50"/>
      <c r="N379" s="50"/>
      <c r="O379" s="50"/>
      <c r="P379" s="50"/>
      <c r="Q379" s="50"/>
      <c r="R379" s="50"/>
      <c r="S379" s="50"/>
      <c r="T379" s="50"/>
      <c r="U379" s="50"/>
      <c r="V379" s="50"/>
      <c r="W379" s="50"/>
    </row>
    <row r="380">
      <c r="A380" s="50"/>
      <c r="B380" s="59"/>
      <c r="C380" s="50"/>
      <c r="D380" s="59"/>
      <c r="E380" s="50"/>
      <c r="F380" s="59"/>
      <c r="G380" s="50"/>
      <c r="H380" s="63"/>
      <c r="I380" s="50"/>
      <c r="J380" s="50"/>
      <c r="K380" s="50"/>
      <c r="L380" s="50"/>
      <c r="M380" s="50"/>
      <c r="N380" s="50"/>
      <c r="O380" s="50"/>
      <c r="P380" s="50"/>
      <c r="Q380" s="50"/>
      <c r="R380" s="50"/>
      <c r="S380" s="50"/>
      <c r="T380" s="50"/>
      <c r="U380" s="50"/>
      <c r="V380" s="50"/>
      <c r="W380" s="50"/>
    </row>
    <row r="381">
      <c r="A381" s="50"/>
      <c r="B381" s="59"/>
      <c r="C381" s="50"/>
      <c r="D381" s="59"/>
      <c r="E381" s="50"/>
      <c r="F381" s="59"/>
      <c r="G381" s="50"/>
      <c r="H381" s="63"/>
      <c r="I381" s="50"/>
      <c r="J381" s="50"/>
      <c r="K381" s="50"/>
      <c r="L381" s="50"/>
      <c r="M381" s="50"/>
      <c r="N381" s="50"/>
      <c r="O381" s="50"/>
      <c r="P381" s="50"/>
      <c r="Q381" s="50"/>
      <c r="R381" s="50"/>
      <c r="S381" s="50"/>
      <c r="T381" s="50"/>
      <c r="U381" s="50"/>
      <c r="V381" s="50"/>
      <c r="W381" s="50"/>
    </row>
    <row r="382">
      <c r="A382" s="50"/>
      <c r="B382" s="59"/>
      <c r="C382" s="50"/>
      <c r="D382" s="59"/>
      <c r="E382" s="50"/>
      <c r="F382" s="59"/>
      <c r="G382" s="50"/>
      <c r="H382" s="63"/>
      <c r="I382" s="50"/>
      <c r="J382" s="50"/>
      <c r="K382" s="50"/>
      <c r="L382" s="50"/>
      <c r="M382" s="50"/>
      <c r="N382" s="50"/>
      <c r="O382" s="50"/>
      <c r="P382" s="50"/>
      <c r="Q382" s="50"/>
      <c r="R382" s="50"/>
      <c r="S382" s="50"/>
      <c r="T382" s="50"/>
      <c r="U382" s="50"/>
      <c r="V382" s="50"/>
      <c r="W382" s="50"/>
    </row>
    <row r="383">
      <c r="A383" s="50"/>
      <c r="B383" s="59"/>
      <c r="C383" s="50"/>
      <c r="D383" s="59"/>
      <c r="E383" s="50"/>
      <c r="F383" s="59"/>
      <c r="G383" s="50"/>
      <c r="H383" s="63"/>
      <c r="I383" s="50"/>
      <c r="J383" s="50"/>
      <c r="K383" s="50"/>
      <c r="L383" s="50"/>
      <c r="M383" s="50"/>
      <c r="N383" s="50"/>
      <c r="O383" s="50"/>
      <c r="P383" s="50"/>
      <c r="Q383" s="50"/>
      <c r="R383" s="50"/>
      <c r="S383" s="50"/>
      <c r="T383" s="50"/>
      <c r="U383" s="50"/>
      <c r="V383" s="50"/>
      <c r="W383" s="50"/>
    </row>
    <row r="384">
      <c r="A384" s="50"/>
      <c r="B384" s="59"/>
      <c r="C384" s="50"/>
      <c r="D384" s="59"/>
      <c r="E384" s="50"/>
      <c r="F384" s="59"/>
      <c r="G384" s="50"/>
      <c r="H384" s="63"/>
      <c r="I384" s="50"/>
      <c r="J384" s="50"/>
      <c r="K384" s="50"/>
      <c r="L384" s="50"/>
      <c r="M384" s="50"/>
      <c r="N384" s="50"/>
      <c r="O384" s="50"/>
      <c r="P384" s="50"/>
      <c r="Q384" s="50"/>
      <c r="R384" s="50"/>
      <c r="S384" s="50"/>
      <c r="T384" s="50"/>
      <c r="U384" s="50"/>
      <c r="V384" s="50"/>
      <c r="W384" s="50"/>
    </row>
    <row r="385">
      <c r="A385" s="50"/>
      <c r="B385" s="59"/>
      <c r="C385" s="50"/>
      <c r="D385" s="59"/>
      <c r="E385" s="50"/>
      <c r="F385" s="59"/>
      <c r="G385" s="50"/>
      <c r="H385" s="63"/>
      <c r="I385" s="50"/>
      <c r="J385" s="50"/>
      <c r="K385" s="50"/>
      <c r="L385" s="50"/>
      <c r="M385" s="50"/>
      <c r="N385" s="50"/>
      <c r="O385" s="50"/>
      <c r="P385" s="50"/>
      <c r="Q385" s="50"/>
      <c r="R385" s="50"/>
      <c r="S385" s="50"/>
      <c r="T385" s="50"/>
      <c r="U385" s="50"/>
      <c r="V385" s="50"/>
      <c r="W385" s="50"/>
    </row>
    <row r="386">
      <c r="A386" s="50"/>
      <c r="B386" s="59"/>
      <c r="C386" s="50"/>
      <c r="D386" s="59"/>
      <c r="E386" s="50"/>
      <c r="F386" s="59"/>
      <c r="G386" s="50"/>
      <c r="H386" s="63"/>
      <c r="I386" s="50"/>
      <c r="J386" s="50"/>
      <c r="K386" s="50"/>
      <c r="L386" s="50"/>
      <c r="M386" s="50"/>
      <c r="N386" s="50"/>
      <c r="O386" s="50"/>
      <c r="P386" s="50"/>
      <c r="Q386" s="50"/>
      <c r="R386" s="50"/>
      <c r="S386" s="50"/>
      <c r="T386" s="50"/>
      <c r="U386" s="50"/>
      <c r="V386" s="50"/>
      <c r="W386" s="50"/>
    </row>
    <row r="387">
      <c r="A387" s="50"/>
      <c r="B387" s="59"/>
      <c r="C387" s="50"/>
      <c r="D387" s="59"/>
      <c r="E387" s="50"/>
      <c r="F387" s="59"/>
      <c r="G387" s="50"/>
      <c r="H387" s="63"/>
      <c r="I387" s="50"/>
      <c r="J387" s="50"/>
      <c r="K387" s="50"/>
      <c r="L387" s="50"/>
      <c r="M387" s="50"/>
      <c r="N387" s="50"/>
      <c r="O387" s="50"/>
      <c r="P387" s="50"/>
      <c r="Q387" s="50"/>
      <c r="R387" s="50"/>
      <c r="S387" s="50"/>
      <c r="T387" s="50"/>
      <c r="U387" s="50"/>
      <c r="V387" s="50"/>
      <c r="W387" s="50"/>
    </row>
    <row r="388">
      <c r="A388" s="50"/>
      <c r="B388" s="59"/>
      <c r="C388" s="50"/>
      <c r="D388" s="59"/>
      <c r="E388" s="50"/>
      <c r="F388" s="59"/>
      <c r="G388" s="50"/>
      <c r="H388" s="63"/>
      <c r="I388" s="50"/>
      <c r="J388" s="50"/>
      <c r="K388" s="50"/>
      <c r="L388" s="50"/>
      <c r="M388" s="50"/>
      <c r="N388" s="50"/>
      <c r="O388" s="50"/>
      <c r="P388" s="50"/>
      <c r="Q388" s="50"/>
      <c r="R388" s="50"/>
      <c r="S388" s="50"/>
      <c r="T388" s="50"/>
      <c r="U388" s="50"/>
      <c r="V388" s="50"/>
      <c r="W388" s="50"/>
    </row>
    <row r="389">
      <c r="A389" s="50"/>
      <c r="B389" s="59"/>
      <c r="C389" s="50"/>
      <c r="D389" s="59"/>
      <c r="E389" s="50"/>
      <c r="F389" s="59"/>
      <c r="G389" s="50"/>
      <c r="H389" s="63"/>
      <c r="I389" s="50"/>
      <c r="J389" s="50"/>
      <c r="K389" s="50"/>
      <c r="L389" s="50"/>
      <c r="M389" s="50"/>
      <c r="N389" s="50"/>
      <c r="O389" s="50"/>
      <c r="P389" s="50"/>
      <c r="Q389" s="50"/>
      <c r="R389" s="50"/>
      <c r="S389" s="50"/>
      <c r="T389" s="50"/>
      <c r="U389" s="50"/>
      <c r="V389" s="50"/>
      <c r="W389" s="50"/>
    </row>
    <row r="390">
      <c r="A390" s="50"/>
      <c r="B390" s="59"/>
      <c r="C390" s="50"/>
      <c r="D390" s="59"/>
      <c r="E390" s="50"/>
      <c r="F390" s="59"/>
      <c r="G390" s="50"/>
      <c r="H390" s="63"/>
      <c r="I390" s="50"/>
      <c r="J390" s="50"/>
      <c r="K390" s="50"/>
      <c r="L390" s="50"/>
      <c r="M390" s="50"/>
      <c r="N390" s="50"/>
      <c r="O390" s="50"/>
      <c r="P390" s="50"/>
      <c r="Q390" s="50"/>
      <c r="R390" s="50"/>
      <c r="S390" s="50"/>
      <c r="T390" s="50"/>
      <c r="U390" s="50"/>
      <c r="V390" s="50"/>
      <c r="W390" s="50"/>
    </row>
    <row r="391">
      <c r="A391" s="50"/>
      <c r="B391" s="59"/>
      <c r="C391" s="50"/>
      <c r="D391" s="59"/>
      <c r="E391" s="50"/>
      <c r="F391" s="59"/>
      <c r="G391" s="50"/>
      <c r="H391" s="63"/>
      <c r="I391" s="50"/>
      <c r="J391" s="50"/>
      <c r="K391" s="50"/>
      <c r="L391" s="50"/>
      <c r="M391" s="50"/>
      <c r="N391" s="50"/>
      <c r="O391" s="50"/>
      <c r="P391" s="50"/>
      <c r="Q391" s="50"/>
      <c r="R391" s="50"/>
      <c r="S391" s="50"/>
      <c r="T391" s="50"/>
      <c r="U391" s="50"/>
      <c r="V391" s="50"/>
      <c r="W391" s="50"/>
    </row>
    <row r="392">
      <c r="A392" s="50"/>
      <c r="B392" s="59"/>
      <c r="C392" s="50"/>
      <c r="D392" s="59"/>
      <c r="E392" s="50"/>
      <c r="F392" s="59"/>
      <c r="G392" s="50"/>
      <c r="H392" s="63"/>
      <c r="I392" s="50"/>
      <c r="J392" s="50"/>
      <c r="K392" s="50"/>
      <c r="L392" s="50"/>
      <c r="M392" s="50"/>
      <c r="N392" s="50"/>
      <c r="O392" s="50"/>
      <c r="P392" s="50"/>
      <c r="Q392" s="50"/>
      <c r="R392" s="50"/>
      <c r="S392" s="50"/>
      <c r="T392" s="50"/>
      <c r="U392" s="50"/>
      <c r="V392" s="50"/>
      <c r="W392" s="50"/>
    </row>
    <row r="393">
      <c r="A393" s="50"/>
      <c r="B393" s="59"/>
      <c r="C393" s="50"/>
      <c r="D393" s="59"/>
      <c r="E393" s="50"/>
      <c r="F393" s="59"/>
      <c r="G393" s="50"/>
      <c r="H393" s="63"/>
      <c r="I393" s="50"/>
      <c r="J393" s="50"/>
      <c r="K393" s="50"/>
      <c r="L393" s="50"/>
      <c r="M393" s="50"/>
      <c r="N393" s="50"/>
      <c r="O393" s="50"/>
      <c r="P393" s="50"/>
      <c r="Q393" s="50"/>
      <c r="R393" s="50"/>
      <c r="S393" s="50"/>
      <c r="T393" s="50"/>
      <c r="U393" s="50"/>
      <c r="V393" s="50"/>
      <c r="W393" s="50"/>
    </row>
    <row r="394">
      <c r="A394" s="50"/>
      <c r="B394" s="59"/>
      <c r="C394" s="50"/>
      <c r="D394" s="59"/>
      <c r="E394" s="50"/>
      <c r="F394" s="59"/>
      <c r="G394" s="50"/>
      <c r="H394" s="63"/>
      <c r="I394" s="50"/>
      <c r="J394" s="50"/>
      <c r="K394" s="50"/>
      <c r="L394" s="50"/>
      <c r="M394" s="50"/>
      <c r="N394" s="50"/>
      <c r="O394" s="50"/>
      <c r="P394" s="50"/>
      <c r="Q394" s="50"/>
      <c r="R394" s="50"/>
      <c r="S394" s="50"/>
      <c r="T394" s="50"/>
      <c r="U394" s="50"/>
      <c r="V394" s="50"/>
      <c r="W394" s="50"/>
    </row>
    <row r="395">
      <c r="A395" s="50"/>
      <c r="B395" s="59"/>
      <c r="C395" s="50"/>
      <c r="D395" s="59"/>
      <c r="E395" s="50"/>
      <c r="F395" s="59"/>
      <c r="G395" s="50"/>
      <c r="H395" s="63"/>
      <c r="I395" s="50"/>
      <c r="J395" s="50"/>
      <c r="K395" s="50"/>
      <c r="L395" s="50"/>
      <c r="M395" s="50"/>
      <c r="N395" s="50"/>
      <c r="O395" s="50"/>
      <c r="P395" s="50"/>
      <c r="Q395" s="50"/>
      <c r="R395" s="50"/>
      <c r="S395" s="50"/>
      <c r="T395" s="50"/>
      <c r="U395" s="50"/>
      <c r="V395" s="50"/>
      <c r="W395" s="50"/>
    </row>
    <row r="396">
      <c r="A396" s="50"/>
      <c r="B396" s="59"/>
      <c r="C396" s="50"/>
      <c r="D396" s="59"/>
      <c r="E396" s="50"/>
      <c r="F396" s="59"/>
      <c r="G396" s="50"/>
      <c r="H396" s="63"/>
      <c r="I396" s="50"/>
      <c r="J396" s="50"/>
      <c r="K396" s="50"/>
      <c r="L396" s="50"/>
      <c r="M396" s="50"/>
      <c r="N396" s="50"/>
      <c r="O396" s="50"/>
      <c r="P396" s="50"/>
      <c r="Q396" s="50"/>
      <c r="R396" s="50"/>
      <c r="S396" s="50"/>
      <c r="T396" s="50"/>
      <c r="U396" s="50"/>
      <c r="V396" s="50"/>
      <c r="W396" s="50"/>
    </row>
    <row r="397">
      <c r="A397" s="50"/>
      <c r="B397" s="59"/>
      <c r="C397" s="50"/>
      <c r="D397" s="59"/>
      <c r="E397" s="50"/>
      <c r="F397" s="59"/>
      <c r="G397" s="50"/>
      <c r="H397" s="63"/>
      <c r="I397" s="50"/>
      <c r="J397" s="50"/>
      <c r="K397" s="50"/>
      <c r="L397" s="50"/>
      <c r="M397" s="50"/>
      <c r="N397" s="50"/>
      <c r="O397" s="50"/>
      <c r="P397" s="50"/>
      <c r="Q397" s="50"/>
      <c r="R397" s="50"/>
      <c r="S397" s="50"/>
      <c r="T397" s="50"/>
      <c r="U397" s="50"/>
      <c r="V397" s="50"/>
      <c r="W397" s="50"/>
    </row>
    <row r="398">
      <c r="A398" s="50"/>
      <c r="B398" s="59"/>
      <c r="C398" s="50"/>
      <c r="D398" s="59"/>
      <c r="E398" s="50"/>
      <c r="F398" s="59"/>
      <c r="G398" s="50"/>
      <c r="H398" s="63"/>
      <c r="I398" s="50"/>
      <c r="J398" s="50"/>
      <c r="K398" s="50"/>
      <c r="L398" s="50"/>
      <c r="M398" s="50"/>
      <c r="N398" s="50"/>
      <c r="O398" s="50"/>
      <c r="P398" s="50"/>
      <c r="Q398" s="50"/>
      <c r="R398" s="50"/>
      <c r="S398" s="50"/>
      <c r="T398" s="50"/>
      <c r="U398" s="50"/>
      <c r="V398" s="50"/>
      <c r="W398" s="50"/>
    </row>
    <row r="399">
      <c r="A399" s="50"/>
      <c r="B399" s="59"/>
      <c r="C399" s="50"/>
      <c r="D399" s="59"/>
      <c r="E399" s="50"/>
      <c r="F399" s="59"/>
      <c r="G399" s="50"/>
      <c r="H399" s="63"/>
      <c r="I399" s="50"/>
      <c r="J399" s="50"/>
      <c r="K399" s="50"/>
      <c r="L399" s="50"/>
      <c r="M399" s="50"/>
      <c r="N399" s="50"/>
      <c r="O399" s="50"/>
      <c r="P399" s="50"/>
      <c r="Q399" s="50"/>
      <c r="R399" s="50"/>
      <c r="S399" s="50"/>
      <c r="T399" s="50"/>
      <c r="U399" s="50"/>
      <c r="V399" s="50"/>
      <c r="W399" s="50"/>
    </row>
    <row r="400">
      <c r="A400" s="50"/>
      <c r="B400" s="59"/>
      <c r="C400" s="50"/>
      <c r="D400" s="59"/>
      <c r="E400" s="50"/>
      <c r="F400" s="59"/>
      <c r="G400" s="50"/>
      <c r="H400" s="63"/>
      <c r="I400" s="50"/>
      <c r="J400" s="50"/>
      <c r="K400" s="50"/>
      <c r="L400" s="50"/>
      <c r="M400" s="50"/>
      <c r="N400" s="50"/>
      <c r="O400" s="50"/>
      <c r="P400" s="50"/>
      <c r="Q400" s="50"/>
      <c r="R400" s="50"/>
      <c r="S400" s="50"/>
      <c r="T400" s="50"/>
      <c r="U400" s="50"/>
      <c r="V400" s="50"/>
      <c r="W400" s="50"/>
    </row>
    <row r="401">
      <c r="A401" s="50"/>
      <c r="B401" s="59"/>
      <c r="C401" s="50"/>
      <c r="D401" s="59"/>
      <c r="E401" s="50"/>
      <c r="F401" s="59"/>
      <c r="G401" s="50"/>
      <c r="H401" s="63"/>
      <c r="I401" s="50"/>
      <c r="J401" s="50"/>
      <c r="K401" s="50"/>
      <c r="L401" s="50"/>
      <c r="M401" s="50"/>
      <c r="N401" s="50"/>
      <c r="O401" s="50"/>
      <c r="P401" s="50"/>
      <c r="Q401" s="50"/>
      <c r="R401" s="50"/>
      <c r="S401" s="50"/>
      <c r="T401" s="50"/>
      <c r="U401" s="50"/>
      <c r="V401" s="50"/>
      <c r="W401" s="50"/>
    </row>
    <row r="402">
      <c r="A402" s="50"/>
      <c r="B402" s="59"/>
      <c r="C402" s="50"/>
      <c r="D402" s="59"/>
      <c r="E402" s="50"/>
      <c r="F402" s="59"/>
      <c r="G402" s="50"/>
      <c r="H402" s="63"/>
      <c r="I402" s="50"/>
      <c r="J402" s="50"/>
      <c r="K402" s="50"/>
      <c r="L402" s="50"/>
      <c r="M402" s="50"/>
      <c r="N402" s="50"/>
      <c r="O402" s="50"/>
      <c r="P402" s="50"/>
      <c r="Q402" s="50"/>
      <c r="R402" s="50"/>
      <c r="S402" s="50"/>
      <c r="T402" s="50"/>
      <c r="U402" s="50"/>
      <c r="V402" s="50"/>
      <c r="W402" s="50"/>
    </row>
    <row r="403">
      <c r="A403" s="50"/>
      <c r="B403" s="59"/>
      <c r="C403" s="50"/>
      <c r="D403" s="59"/>
      <c r="E403" s="50"/>
      <c r="F403" s="59"/>
      <c r="G403" s="50"/>
      <c r="H403" s="63"/>
      <c r="I403" s="50"/>
      <c r="J403" s="50"/>
      <c r="K403" s="50"/>
      <c r="L403" s="50"/>
      <c r="M403" s="50"/>
      <c r="N403" s="50"/>
      <c r="O403" s="50"/>
      <c r="P403" s="50"/>
      <c r="Q403" s="50"/>
      <c r="R403" s="50"/>
      <c r="S403" s="50"/>
      <c r="T403" s="50"/>
      <c r="U403" s="50"/>
      <c r="V403" s="50"/>
      <c r="W403" s="50"/>
    </row>
    <row r="404">
      <c r="A404" s="50"/>
      <c r="B404" s="59"/>
      <c r="C404" s="50"/>
      <c r="D404" s="59"/>
      <c r="E404" s="50"/>
      <c r="F404" s="59"/>
      <c r="G404" s="50"/>
      <c r="H404" s="63"/>
      <c r="I404" s="50"/>
      <c r="J404" s="50"/>
      <c r="K404" s="50"/>
      <c r="L404" s="50"/>
      <c r="M404" s="50"/>
      <c r="N404" s="50"/>
      <c r="O404" s="50"/>
      <c r="P404" s="50"/>
      <c r="Q404" s="50"/>
      <c r="R404" s="50"/>
      <c r="S404" s="50"/>
      <c r="T404" s="50"/>
      <c r="U404" s="50"/>
      <c r="V404" s="50"/>
      <c r="W404" s="50"/>
    </row>
    <row r="405">
      <c r="A405" s="50"/>
      <c r="B405" s="59"/>
      <c r="C405" s="50"/>
      <c r="D405" s="59"/>
      <c r="E405" s="50"/>
      <c r="F405" s="59"/>
      <c r="G405" s="50"/>
      <c r="H405" s="63"/>
      <c r="I405" s="50"/>
      <c r="J405" s="50"/>
      <c r="K405" s="50"/>
      <c r="L405" s="50"/>
      <c r="M405" s="50"/>
      <c r="N405" s="50"/>
      <c r="O405" s="50"/>
      <c r="P405" s="50"/>
      <c r="Q405" s="50"/>
      <c r="R405" s="50"/>
      <c r="S405" s="50"/>
      <c r="T405" s="50"/>
      <c r="U405" s="50"/>
      <c r="V405" s="50"/>
      <c r="W405" s="50"/>
    </row>
    <row r="406">
      <c r="A406" s="50"/>
      <c r="B406" s="59"/>
      <c r="C406" s="50"/>
      <c r="D406" s="59"/>
      <c r="E406" s="50"/>
      <c r="F406" s="59"/>
      <c r="G406" s="50"/>
      <c r="H406" s="63"/>
      <c r="I406" s="50"/>
      <c r="J406" s="50"/>
      <c r="K406" s="50"/>
      <c r="L406" s="50"/>
      <c r="M406" s="50"/>
      <c r="N406" s="50"/>
      <c r="O406" s="50"/>
      <c r="P406" s="50"/>
      <c r="Q406" s="50"/>
      <c r="R406" s="50"/>
      <c r="S406" s="50"/>
      <c r="T406" s="50"/>
      <c r="U406" s="50"/>
      <c r="V406" s="50"/>
      <c r="W406" s="50"/>
    </row>
    <row r="407">
      <c r="A407" s="50"/>
      <c r="B407" s="59"/>
      <c r="C407" s="50"/>
      <c r="D407" s="59"/>
      <c r="E407" s="50"/>
      <c r="F407" s="59"/>
      <c r="G407" s="50"/>
      <c r="H407" s="63"/>
      <c r="I407" s="50"/>
      <c r="J407" s="50"/>
      <c r="K407" s="50"/>
      <c r="L407" s="50"/>
      <c r="M407" s="50"/>
      <c r="N407" s="50"/>
      <c r="O407" s="50"/>
      <c r="P407" s="50"/>
      <c r="Q407" s="50"/>
      <c r="R407" s="50"/>
      <c r="S407" s="50"/>
      <c r="T407" s="50"/>
      <c r="U407" s="50"/>
      <c r="V407" s="50"/>
      <c r="W407" s="50"/>
    </row>
    <row r="408">
      <c r="A408" s="50"/>
      <c r="B408" s="59"/>
      <c r="C408" s="50"/>
      <c r="D408" s="59"/>
      <c r="E408" s="50"/>
      <c r="F408" s="59"/>
      <c r="G408" s="50"/>
      <c r="H408" s="63"/>
      <c r="I408" s="50"/>
      <c r="J408" s="50"/>
      <c r="K408" s="50"/>
      <c r="L408" s="50"/>
      <c r="M408" s="50"/>
      <c r="N408" s="50"/>
      <c r="O408" s="50"/>
      <c r="P408" s="50"/>
      <c r="Q408" s="50"/>
      <c r="R408" s="50"/>
      <c r="S408" s="50"/>
      <c r="T408" s="50"/>
      <c r="U408" s="50"/>
      <c r="V408" s="50"/>
      <c r="W408" s="50"/>
    </row>
    <row r="409">
      <c r="A409" s="50"/>
      <c r="B409" s="59"/>
      <c r="C409" s="50"/>
      <c r="D409" s="59"/>
      <c r="E409" s="50"/>
      <c r="F409" s="59"/>
      <c r="G409" s="50"/>
      <c r="H409" s="63"/>
      <c r="I409" s="50"/>
      <c r="J409" s="50"/>
      <c r="K409" s="50"/>
      <c r="L409" s="50"/>
      <c r="M409" s="50"/>
      <c r="N409" s="50"/>
      <c r="O409" s="50"/>
      <c r="P409" s="50"/>
      <c r="Q409" s="50"/>
      <c r="R409" s="50"/>
      <c r="S409" s="50"/>
      <c r="T409" s="50"/>
      <c r="U409" s="50"/>
      <c r="V409" s="50"/>
      <c r="W409" s="50"/>
    </row>
    <row r="410">
      <c r="A410" s="50"/>
      <c r="B410" s="59"/>
      <c r="C410" s="50"/>
      <c r="D410" s="59"/>
      <c r="E410" s="50"/>
      <c r="F410" s="59"/>
      <c r="G410" s="50"/>
      <c r="H410" s="63"/>
      <c r="I410" s="50"/>
      <c r="J410" s="50"/>
      <c r="K410" s="50"/>
      <c r="L410" s="50"/>
      <c r="M410" s="50"/>
      <c r="N410" s="50"/>
      <c r="O410" s="50"/>
      <c r="P410" s="50"/>
      <c r="Q410" s="50"/>
      <c r="R410" s="50"/>
      <c r="S410" s="50"/>
      <c r="T410" s="50"/>
      <c r="U410" s="50"/>
      <c r="V410" s="50"/>
      <c r="W410" s="50"/>
    </row>
    <row r="411">
      <c r="A411" s="50"/>
      <c r="B411" s="59"/>
      <c r="C411" s="50"/>
      <c r="D411" s="59"/>
      <c r="E411" s="50"/>
      <c r="F411" s="59"/>
      <c r="G411" s="50"/>
      <c r="H411" s="63"/>
      <c r="I411" s="50"/>
      <c r="J411" s="50"/>
      <c r="K411" s="50"/>
      <c r="L411" s="50"/>
      <c r="M411" s="50"/>
      <c r="N411" s="50"/>
      <c r="O411" s="50"/>
      <c r="P411" s="50"/>
      <c r="Q411" s="50"/>
      <c r="R411" s="50"/>
      <c r="S411" s="50"/>
      <c r="T411" s="50"/>
      <c r="U411" s="50"/>
      <c r="V411" s="50"/>
      <c r="W411" s="50"/>
    </row>
    <row r="412">
      <c r="A412" s="50"/>
      <c r="B412" s="59"/>
      <c r="C412" s="50"/>
      <c r="D412" s="59"/>
      <c r="E412" s="50"/>
      <c r="F412" s="59"/>
      <c r="G412" s="50"/>
      <c r="H412" s="63"/>
      <c r="I412" s="50"/>
      <c r="J412" s="50"/>
      <c r="K412" s="50"/>
      <c r="L412" s="50"/>
      <c r="M412" s="50"/>
      <c r="N412" s="50"/>
      <c r="O412" s="50"/>
      <c r="P412" s="50"/>
      <c r="Q412" s="50"/>
      <c r="R412" s="50"/>
      <c r="S412" s="50"/>
      <c r="T412" s="50"/>
      <c r="U412" s="50"/>
      <c r="V412" s="50"/>
      <c r="W412" s="50"/>
    </row>
    <row r="413">
      <c r="A413" s="50"/>
      <c r="B413" s="59"/>
      <c r="C413" s="50"/>
      <c r="D413" s="59"/>
      <c r="E413" s="50"/>
      <c r="F413" s="59"/>
      <c r="G413" s="50"/>
      <c r="H413" s="63"/>
      <c r="I413" s="50"/>
      <c r="J413" s="50"/>
      <c r="K413" s="50"/>
      <c r="L413" s="50"/>
      <c r="M413" s="50"/>
      <c r="N413" s="50"/>
      <c r="O413" s="50"/>
      <c r="P413" s="50"/>
      <c r="Q413" s="50"/>
      <c r="R413" s="50"/>
      <c r="S413" s="50"/>
      <c r="T413" s="50"/>
      <c r="U413" s="50"/>
      <c r="V413" s="50"/>
      <c r="W413" s="50"/>
    </row>
    <row r="414">
      <c r="A414" s="50"/>
      <c r="B414" s="59"/>
      <c r="C414" s="50"/>
      <c r="D414" s="59"/>
      <c r="E414" s="50"/>
      <c r="F414" s="59"/>
      <c r="G414" s="50"/>
      <c r="H414" s="63"/>
      <c r="I414" s="50"/>
      <c r="J414" s="50"/>
      <c r="K414" s="50"/>
      <c r="L414" s="50"/>
      <c r="M414" s="50"/>
      <c r="N414" s="50"/>
      <c r="O414" s="50"/>
      <c r="P414" s="50"/>
      <c r="Q414" s="50"/>
      <c r="R414" s="50"/>
      <c r="S414" s="50"/>
      <c r="T414" s="50"/>
      <c r="U414" s="50"/>
      <c r="V414" s="50"/>
      <c r="W414" s="50"/>
    </row>
    <row r="415">
      <c r="A415" s="50"/>
      <c r="B415" s="59"/>
      <c r="C415" s="50"/>
      <c r="D415" s="59"/>
      <c r="E415" s="50"/>
      <c r="F415" s="59"/>
      <c r="G415" s="50"/>
      <c r="H415" s="63"/>
      <c r="I415" s="50"/>
      <c r="J415" s="50"/>
      <c r="K415" s="50"/>
      <c r="L415" s="50"/>
      <c r="M415" s="50"/>
      <c r="N415" s="50"/>
      <c r="O415" s="50"/>
      <c r="P415" s="50"/>
      <c r="Q415" s="50"/>
      <c r="R415" s="50"/>
      <c r="S415" s="50"/>
      <c r="T415" s="50"/>
      <c r="U415" s="50"/>
      <c r="V415" s="50"/>
      <c r="W415" s="50"/>
    </row>
    <row r="416">
      <c r="A416" s="50"/>
      <c r="B416" s="59"/>
      <c r="C416" s="50"/>
      <c r="D416" s="59"/>
      <c r="E416" s="50"/>
      <c r="F416" s="59"/>
      <c r="G416" s="50"/>
      <c r="H416" s="63"/>
      <c r="I416" s="50"/>
      <c r="J416" s="50"/>
      <c r="K416" s="50"/>
      <c r="L416" s="50"/>
      <c r="M416" s="50"/>
      <c r="N416" s="50"/>
      <c r="O416" s="50"/>
      <c r="P416" s="50"/>
      <c r="Q416" s="50"/>
      <c r="R416" s="50"/>
      <c r="S416" s="50"/>
      <c r="T416" s="50"/>
      <c r="U416" s="50"/>
      <c r="V416" s="50"/>
      <c r="W416" s="50"/>
    </row>
    <row r="417">
      <c r="A417" s="50"/>
      <c r="B417" s="59"/>
      <c r="C417" s="50"/>
      <c r="D417" s="59"/>
      <c r="E417" s="50"/>
      <c r="F417" s="59"/>
      <c r="G417" s="50"/>
      <c r="H417" s="63"/>
      <c r="I417" s="50"/>
      <c r="J417" s="50"/>
      <c r="K417" s="50"/>
      <c r="L417" s="50"/>
      <c r="M417" s="50"/>
      <c r="N417" s="50"/>
      <c r="O417" s="50"/>
      <c r="P417" s="50"/>
      <c r="Q417" s="50"/>
      <c r="R417" s="50"/>
      <c r="S417" s="50"/>
      <c r="T417" s="50"/>
      <c r="U417" s="50"/>
      <c r="V417" s="50"/>
      <c r="W417" s="50"/>
    </row>
    <row r="418">
      <c r="A418" s="50"/>
      <c r="B418" s="59"/>
      <c r="C418" s="50"/>
      <c r="D418" s="59"/>
      <c r="E418" s="50"/>
      <c r="F418" s="59"/>
      <c r="G418" s="50"/>
      <c r="H418" s="63"/>
      <c r="I418" s="50"/>
      <c r="J418" s="50"/>
      <c r="K418" s="50"/>
      <c r="L418" s="50"/>
      <c r="M418" s="50"/>
      <c r="N418" s="50"/>
      <c r="O418" s="50"/>
      <c r="P418" s="50"/>
      <c r="Q418" s="50"/>
      <c r="R418" s="50"/>
      <c r="S418" s="50"/>
      <c r="T418" s="50"/>
      <c r="U418" s="50"/>
      <c r="V418" s="50"/>
      <c r="W418" s="50"/>
    </row>
    <row r="419">
      <c r="A419" s="50"/>
      <c r="B419" s="59"/>
      <c r="C419" s="50"/>
      <c r="D419" s="59"/>
      <c r="E419" s="50"/>
      <c r="F419" s="59"/>
      <c r="G419" s="50"/>
      <c r="H419" s="63"/>
      <c r="I419" s="50"/>
      <c r="J419" s="50"/>
      <c r="K419" s="50"/>
      <c r="L419" s="50"/>
      <c r="M419" s="50"/>
      <c r="N419" s="50"/>
      <c r="O419" s="50"/>
      <c r="P419" s="50"/>
      <c r="Q419" s="50"/>
      <c r="R419" s="50"/>
      <c r="S419" s="50"/>
      <c r="T419" s="50"/>
      <c r="U419" s="50"/>
      <c r="V419" s="50"/>
      <c r="W419" s="50"/>
    </row>
    <row r="420">
      <c r="A420" s="50"/>
      <c r="B420" s="59"/>
      <c r="C420" s="50"/>
      <c r="D420" s="59"/>
      <c r="E420" s="50"/>
      <c r="F420" s="59"/>
      <c r="G420" s="50"/>
      <c r="H420" s="63"/>
      <c r="I420" s="50"/>
      <c r="J420" s="50"/>
      <c r="K420" s="50"/>
      <c r="L420" s="50"/>
      <c r="M420" s="50"/>
      <c r="N420" s="50"/>
      <c r="O420" s="50"/>
      <c r="P420" s="50"/>
      <c r="Q420" s="50"/>
      <c r="R420" s="50"/>
      <c r="S420" s="50"/>
      <c r="T420" s="50"/>
      <c r="U420" s="50"/>
      <c r="V420" s="50"/>
      <c r="W420" s="50"/>
    </row>
    <row r="421">
      <c r="A421" s="50"/>
      <c r="B421" s="59"/>
      <c r="C421" s="50"/>
      <c r="D421" s="59"/>
      <c r="E421" s="50"/>
      <c r="F421" s="59"/>
      <c r="G421" s="50"/>
      <c r="H421" s="63"/>
      <c r="I421" s="50"/>
      <c r="J421" s="50"/>
      <c r="K421" s="50"/>
      <c r="L421" s="50"/>
      <c r="M421" s="50"/>
      <c r="N421" s="50"/>
      <c r="O421" s="50"/>
      <c r="P421" s="50"/>
      <c r="Q421" s="50"/>
      <c r="R421" s="50"/>
      <c r="S421" s="50"/>
      <c r="T421" s="50"/>
      <c r="U421" s="50"/>
      <c r="V421" s="50"/>
      <c r="W421" s="50"/>
    </row>
    <row r="422">
      <c r="A422" s="50"/>
      <c r="B422" s="59"/>
      <c r="C422" s="50"/>
      <c r="D422" s="59"/>
      <c r="E422" s="50"/>
      <c r="F422" s="59"/>
      <c r="G422" s="50"/>
      <c r="H422" s="63"/>
      <c r="I422" s="50"/>
      <c r="J422" s="50"/>
      <c r="K422" s="50"/>
      <c r="L422" s="50"/>
      <c r="M422" s="50"/>
      <c r="N422" s="50"/>
      <c r="O422" s="50"/>
      <c r="P422" s="50"/>
      <c r="Q422" s="50"/>
      <c r="R422" s="50"/>
      <c r="S422" s="50"/>
      <c r="T422" s="50"/>
      <c r="U422" s="50"/>
      <c r="V422" s="50"/>
      <c r="W422" s="50"/>
    </row>
    <row r="423">
      <c r="A423" s="50"/>
      <c r="B423" s="59"/>
      <c r="C423" s="50"/>
      <c r="D423" s="59"/>
      <c r="E423" s="50"/>
      <c r="F423" s="59"/>
      <c r="G423" s="50"/>
      <c r="H423" s="63"/>
      <c r="I423" s="50"/>
      <c r="J423" s="50"/>
      <c r="K423" s="50"/>
      <c r="L423" s="50"/>
      <c r="M423" s="50"/>
      <c r="N423" s="50"/>
      <c r="O423" s="50"/>
      <c r="P423" s="50"/>
      <c r="Q423" s="50"/>
      <c r="R423" s="50"/>
      <c r="S423" s="50"/>
      <c r="T423" s="50"/>
      <c r="U423" s="50"/>
      <c r="V423" s="50"/>
      <c r="W423" s="50"/>
    </row>
    <row r="424">
      <c r="A424" s="50"/>
      <c r="B424" s="59"/>
      <c r="C424" s="50"/>
      <c r="D424" s="59"/>
      <c r="E424" s="50"/>
      <c r="F424" s="59"/>
      <c r="G424" s="50"/>
      <c r="H424" s="63"/>
      <c r="I424" s="50"/>
      <c r="J424" s="50"/>
      <c r="K424" s="50"/>
      <c r="L424" s="50"/>
      <c r="M424" s="50"/>
      <c r="N424" s="50"/>
      <c r="O424" s="50"/>
      <c r="P424" s="50"/>
      <c r="Q424" s="50"/>
      <c r="R424" s="50"/>
      <c r="S424" s="50"/>
      <c r="T424" s="50"/>
      <c r="U424" s="50"/>
      <c r="V424" s="50"/>
      <c r="W424" s="50"/>
    </row>
    <row r="425">
      <c r="A425" s="50"/>
      <c r="B425" s="59"/>
      <c r="C425" s="50"/>
      <c r="D425" s="59"/>
      <c r="E425" s="50"/>
      <c r="F425" s="59"/>
      <c r="G425" s="50"/>
      <c r="H425" s="63"/>
      <c r="I425" s="50"/>
      <c r="J425" s="50"/>
      <c r="K425" s="50"/>
      <c r="L425" s="50"/>
      <c r="M425" s="50"/>
      <c r="N425" s="50"/>
      <c r="O425" s="50"/>
      <c r="P425" s="50"/>
      <c r="Q425" s="50"/>
      <c r="R425" s="50"/>
      <c r="S425" s="50"/>
      <c r="T425" s="50"/>
      <c r="U425" s="50"/>
      <c r="V425" s="50"/>
      <c r="W425" s="50"/>
    </row>
    <row r="426">
      <c r="A426" s="50"/>
      <c r="B426" s="59"/>
      <c r="C426" s="50"/>
      <c r="D426" s="59"/>
      <c r="E426" s="50"/>
      <c r="F426" s="59"/>
      <c r="G426" s="50"/>
      <c r="H426" s="63"/>
      <c r="I426" s="50"/>
      <c r="J426" s="50"/>
      <c r="K426" s="50"/>
      <c r="L426" s="50"/>
      <c r="M426" s="50"/>
      <c r="N426" s="50"/>
      <c r="O426" s="50"/>
      <c r="P426" s="50"/>
      <c r="Q426" s="50"/>
      <c r="R426" s="50"/>
      <c r="S426" s="50"/>
      <c r="T426" s="50"/>
      <c r="U426" s="50"/>
      <c r="V426" s="50"/>
      <c r="W426" s="50"/>
    </row>
    <row r="427">
      <c r="A427" s="50"/>
      <c r="B427" s="59"/>
      <c r="C427" s="50"/>
      <c r="D427" s="59"/>
      <c r="E427" s="50"/>
      <c r="F427" s="59"/>
      <c r="G427" s="50"/>
      <c r="H427" s="63"/>
      <c r="I427" s="50"/>
      <c r="J427" s="50"/>
      <c r="K427" s="50"/>
      <c r="L427" s="50"/>
      <c r="M427" s="50"/>
      <c r="N427" s="50"/>
      <c r="O427" s="50"/>
      <c r="P427" s="50"/>
      <c r="Q427" s="50"/>
      <c r="R427" s="50"/>
      <c r="S427" s="50"/>
      <c r="T427" s="50"/>
      <c r="U427" s="50"/>
      <c r="V427" s="50"/>
      <c r="W427" s="50"/>
    </row>
    <row r="428">
      <c r="A428" s="50"/>
      <c r="B428" s="59"/>
      <c r="C428" s="50"/>
      <c r="D428" s="59"/>
      <c r="E428" s="50"/>
      <c r="F428" s="59"/>
      <c r="G428" s="50"/>
      <c r="H428" s="63"/>
      <c r="I428" s="50"/>
      <c r="J428" s="50"/>
      <c r="K428" s="50"/>
      <c r="L428" s="50"/>
      <c r="M428" s="50"/>
      <c r="N428" s="50"/>
      <c r="O428" s="50"/>
      <c r="P428" s="50"/>
      <c r="Q428" s="50"/>
      <c r="R428" s="50"/>
      <c r="S428" s="50"/>
      <c r="T428" s="50"/>
      <c r="U428" s="50"/>
      <c r="V428" s="50"/>
      <c r="W428" s="50"/>
    </row>
    <row r="429">
      <c r="A429" s="50"/>
      <c r="B429" s="59"/>
      <c r="C429" s="50"/>
      <c r="D429" s="59"/>
      <c r="E429" s="50"/>
      <c r="F429" s="59"/>
      <c r="G429" s="50"/>
      <c r="H429" s="63"/>
      <c r="I429" s="50"/>
      <c r="J429" s="50"/>
      <c r="K429" s="50"/>
      <c r="L429" s="50"/>
      <c r="M429" s="50"/>
      <c r="N429" s="50"/>
      <c r="O429" s="50"/>
      <c r="P429" s="50"/>
      <c r="Q429" s="50"/>
      <c r="R429" s="50"/>
      <c r="S429" s="50"/>
      <c r="T429" s="50"/>
      <c r="U429" s="50"/>
      <c r="V429" s="50"/>
      <c r="W429" s="50"/>
    </row>
    <row r="430">
      <c r="A430" s="50"/>
      <c r="B430" s="59"/>
      <c r="C430" s="50"/>
      <c r="D430" s="59"/>
      <c r="E430" s="50"/>
      <c r="F430" s="59"/>
      <c r="G430" s="50"/>
      <c r="H430" s="63"/>
      <c r="I430" s="50"/>
      <c r="J430" s="50"/>
      <c r="K430" s="50"/>
      <c r="L430" s="50"/>
      <c r="M430" s="50"/>
      <c r="N430" s="50"/>
      <c r="O430" s="50"/>
      <c r="P430" s="50"/>
      <c r="Q430" s="50"/>
      <c r="R430" s="50"/>
      <c r="S430" s="50"/>
      <c r="T430" s="50"/>
      <c r="U430" s="50"/>
      <c r="V430" s="50"/>
      <c r="W430" s="50"/>
    </row>
    <row r="431">
      <c r="A431" s="50"/>
      <c r="B431" s="59"/>
      <c r="C431" s="50"/>
      <c r="D431" s="59"/>
      <c r="E431" s="50"/>
      <c r="F431" s="59"/>
      <c r="G431" s="50"/>
      <c r="H431" s="63"/>
      <c r="I431" s="50"/>
      <c r="J431" s="50"/>
      <c r="K431" s="50"/>
      <c r="L431" s="50"/>
      <c r="M431" s="50"/>
      <c r="N431" s="50"/>
      <c r="O431" s="50"/>
      <c r="P431" s="50"/>
      <c r="Q431" s="50"/>
      <c r="R431" s="50"/>
      <c r="S431" s="50"/>
      <c r="T431" s="50"/>
      <c r="U431" s="50"/>
      <c r="V431" s="50"/>
      <c r="W431" s="50"/>
    </row>
    <row r="432">
      <c r="A432" s="50"/>
      <c r="B432" s="59"/>
      <c r="C432" s="50"/>
      <c r="D432" s="59"/>
      <c r="E432" s="50"/>
      <c r="F432" s="59"/>
      <c r="G432" s="50"/>
      <c r="H432" s="63"/>
      <c r="I432" s="50"/>
      <c r="J432" s="50"/>
      <c r="K432" s="50"/>
      <c r="L432" s="50"/>
      <c r="M432" s="50"/>
      <c r="N432" s="50"/>
      <c r="O432" s="50"/>
      <c r="P432" s="50"/>
      <c r="Q432" s="50"/>
      <c r="R432" s="50"/>
      <c r="S432" s="50"/>
      <c r="T432" s="50"/>
      <c r="U432" s="50"/>
      <c r="V432" s="50"/>
      <c r="W432" s="50"/>
    </row>
    <row r="433">
      <c r="A433" s="50"/>
      <c r="B433" s="59"/>
      <c r="C433" s="50"/>
      <c r="D433" s="59"/>
      <c r="E433" s="50"/>
      <c r="F433" s="59"/>
      <c r="G433" s="50"/>
      <c r="H433" s="63"/>
      <c r="I433" s="50"/>
      <c r="J433" s="50"/>
      <c r="K433" s="50"/>
      <c r="L433" s="50"/>
      <c r="M433" s="50"/>
      <c r="N433" s="50"/>
      <c r="O433" s="50"/>
      <c r="P433" s="50"/>
      <c r="Q433" s="50"/>
      <c r="R433" s="50"/>
      <c r="S433" s="50"/>
      <c r="T433" s="50"/>
      <c r="U433" s="50"/>
      <c r="V433" s="50"/>
      <c r="W433" s="50"/>
    </row>
    <row r="434">
      <c r="A434" s="50"/>
      <c r="B434" s="59"/>
      <c r="C434" s="50"/>
      <c r="D434" s="59"/>
      <c r="E434" s="50"/>
      <c r="F434" s="59"/>
      <c r="G434" s="50"/>
      <c r="H434" s="63"/>
      <c r="I434" s="50"/>
      <c r="J434" s="50"/>
      <c r="K434" s="50"/>
      <c r="L434" s="50"/>
      <c r="M434" s="50"/>
      <c r="N434" s="50"/>
      <c r="O434" s="50"/>
      <c r="P434" s="50"/>
      <c r="Q434" s="50"/>
      <c r="R434" s="50"/>
      <c r="S434" s="50"/>
      <c r="T434" s="50"/>
      <c r="U434" s="50"/>
      <c r="V434" s="50"/>
      <c r="W434" s="50"/>
    </row>
    <row r="435">
      <c r="A435" s="50"/>
      <c r="B435" s="59"/>
      <c r="C435" s="50"/>
      <c r="D435" s="59"/>
      <c r="E435" s="50"/>
      <c r="F435" s="59"/>
      <c r="G435" s="50"/>
      <c r="H435" s="63"/>
      <c r="I435" s="50"/>
      <c r="J435" s="50"/>
      <c r="K435" s="50"/>
      <c r="L435" s="50"/>
      <c r="M435" s="50"/>
      <c r="N435" s="50"/>
      <c r="O435" s="50"/>
      <c r="P435" s="50"/>
      <c r="Q435" s="50"/>
      <c r="R435" s="50"/>
      <c r="S435" s="50"/>
      <c r="T435" s="50"/>
      <c r="U435" s="50"/>
      <c r="V435" s="50"/>
      <c r="W435" s="50"/>
    </row>
    <row r="436">
      <c r="A436" s="50"/>
      <c r="B436" s="59"/>
      <c r="C436" s="50"/>
      <c r="D436" s="59"/>
      <c r="E436" s="50"/>
      <c r="F436" s="59"/>
      <c r="G436" s="50"/>
      <c r="H436" s="63"/>
      <c r="I436" s="50"/>
      <c r="J436" s="50"/>
      <c r="K436" s="50"/>
      <c r="L436" s="50"/>
      <c r="M436" s="50"/>
      <c r="N436" s="50"/>
      <c r="O436" s="50"/>
      <c r="P436" s="50"/>
      <c r="Q436" s="50"/>
      <c r="R436" s="50"/>
      <c r="S436" s="50"/>
      <c r="T436" s="50"/>
      <c r="U436" s="50"/>
      <c r="V436" s="50"/>
      <c r="W436" s="50"/>
    </row>
    <row r="437">
      <c r="A437" s="50"/>
      <c r="B437" s="59"/>
      <c r="C437" s="50"/>
      <c r="D437" s="59"/>
      <c r="E437" s="50"/>
      <c r="F437" s="59"/>
      <c r="G437" s="50"/>
      <c r="H437" s="63"/>
      <c r="I437" s="50"/>
      <c r="J437" s="50"/>
      <c r="K437" s="50"/>
      <c r="L437" s="50"/>
      <c r="M437" s="50"/>
      <c r="N437" s="50"/>
      <c r="O437" s="50"/>
      <c r="P437" s="50"/>
      <c r="Q437" s="50"/>
      <c r="R437" s="50"/>
      <c r="S437" s="50"/>
      <c r="T437" s="50"/>
      <c r="U437" s="50"/>
      <c r="V437" s="50"/>
      <c r="W437" s="50"/>
    </row>
    <row r="438">
      <c r="A438" s="50"/>
      <c r="B438" s="59"/>
      <c r="C438" s="50"/>
      <c r="D438" s="59"/>
      <c r="E438" s="50"/>
      <c r="F438" s="59"/>
      <c r="G438" s="50"/>
      <c r="H438" s="63"/>
      <c r="I438" s="50"/>
      <c r="J438" s="50"/>
      <c r="K438" s="50"/>
      <c r="L438" s="50"/>
      <c r="M438" s="50"/>
      <c r="N438" s="50"/>
      <c r="O438" s="50"/>
      <c r="P438" s="50"/>
      <c r="Q438" s="50"/>
      <c r="R438" s="50"/>
      <c r="S438" s="50"/>
      <c r="T438" s="50"/>
      <c r="U438" s="50"/>
      <c r="V438" s="50"/>
      <c r="W438" s="50"/>
    </row>
    <row r="439">
      <c r="A439" s="50"/>
      <c r="B439" s="59"/>
      <c r="C439" s="50"/>
      <c r="D439" s="59"/>
      <c r="E439" s="50"/>
      <c r="F439" s="59"/>
      <c r="G439" s="50"/>
      <c r="H439" s="63"/>
      <c r="I439" s="50"/>
      <c r="J439" s="50"/>
      <c r="K439" s="50"/>
      <c r="L439" s="50"/>
      <c r="M439" s="50"/>
      <c r="N439" s="50"/>
      <c r="O439" s="50"/>
      <c r="P439" s="50"/>
      <c r="Q439" s="50"/>
      <c r="R439" s="50"/>
      <c r="S439" s="50"/>
      <c r="T439" s="50"/>
      <c r="U439" s="50"/>
      <c r="V439" s="50"/>
      <c r="W439" s="50"/>
    </row>
    <row r="440">
      <c r="A440" s="50"/>
      <c r="B440" s="59"/>
      <c r="C440" s="50"/>
      <c r="D440" s="59"/>
      <c r="E440" s="50"/>
      <c r="F440" s="59"/>
      <c r="G440" s="50"/>
      <c r="H440" s="63"/>
      <c r="I440" s="50"/>
      <c r="J440" s="50"/>
      <c r="K440" s="50"/>
      <c r="L440" s="50"/>
      <c r="M440" s="50"/>
      <c r="N440" s="50"/>
      <c r="O440" s="50"/>
      <c r="P440" s="50"/>
      <c r="Q440" s="50"/>
      <c r="R440" s="50"/>
      <c r="S440" s="50"/>
      <c r="T440" s="50"/>
      <c r="U440" s="50"/>
      <c r="V440" s="50"/>
      <c r="W440" s="50"/>
    </row>
    <row r="441">
      <c r="A441" s="50"/>
      <c r="B441" s="59"/>
      <c r="C441" s="50"/>
      <c r="D441" s="59"/>
      <c r="E441" s="50"/>
      <c r="F441" s="59"/>
      <c r="G441" s="50"/>
      <c r="H441" s="63"/>
      <c r="I441" s="50"/>
      <c r="J441" s="50"/>
      <c r="K441" s="50"/>
      <c r="L441" s="50"/>
      <c r="M441" s="50"/>
      <c r="N441" s="50"/>
      <c r="O441" s="50"/>
      <c r="P441" s="50"/>
      <c r="Q441" s="50"/>
      <c r="R441" s="50"/>
      <c r="S441" s="50"/>
      <c r="T441" s="50"/>
      <c r="U441" s="50"/>
      <c r="V441" s="50"/>
      <c r="W441" s="50"/>
    </row>
    <row r="442">
      <c r="A442" s="50"/>
      <c r="B442" s="59"/>
      <c r="C442" s="50"/>
      <c r="D442" s="59"/>
      <c r="E442" s="50"/>
      <c r="F442" s="59"/>
      <c r="G442" s="50"/>
      <c r="H442" s="63"/>
      <c r="I442" s="50"/>
      <c r="J442" s="50"/>
      <c r="K442" s="50"/>
      <c r="L442" s="50"/>
      <c r="M442" s="50"/>
      <c r="N442" s="50"/>
      <c r="O442" s="50"/>
      <c r="P442" s="50"/>
      <c r="Q442" s="50"/>
      <c r="R442" s="50"/>
      <c r="S442" s="50"/>
      <c r="T442" s="50"/>
      <c r="U442" s="50"/>
      <c r="V442" s="50"/>
      <c r="W442" s="50"/>
    </row>
    <row r="443">
      <c r="A443" s="50"/>
      <c r="B443" s="59"/>
      <c r="C443" s="50"/>
      <c r="D443" s="59"/>
      <c r="E443" s="50"/>
      <c r="F443" s="59"/>
      <c r="G443" s="50"/>
      <c r="H443" s="63"/>
      <c r="I443" s="50"/>
      <c r="J443" s="50"/>
      <c r="K443" s="50"/>
      <c r="L443" s="50"/>
      <c r="M443" s="50"/>
      <c r="N443" s="50"/>
      <c r="O443" s="50"/>
      <c r="P443" s="50"/>
      <c r="Q443" s="50"/>
      <c r="R443" s="50"/>
      <c r="S443" s="50"/>
      <c r="T443" s="50"/>
      <c r="U443" s="50"/>
      <c r="V443" s="50"/>
      <c r="W443" s="50"/>
    </row>
    <row r="444">
      <c r="A444" s="50"/>
      <c r="B444" s="59"/>
      <c r="C444" s="50"/>
      <c r="D444" s="59"/>
      <c r="E444" s="50"/>
      <c r="F444" s="59"/>
      <c r="G444" s="50"/>
      <c r="H444" s="63"/>
      <c r="I444" s="50"/>
      <c r="J444" s="50"/>
      <c r="K444" s="50"/>
      <c r="L444" s="50"/>
      <c r="M444" s="50"/>
      <c r="N444" s="50"/>
      <c r="O444" s="50"/>
      <c r="P444" s="50"/>
      <c r="Q444" s="50"/>
      <c r="R444" s="50"/>
      <c r="S444" s="50"/>
      <c r="T444" s="50"/>
      <c r="U444" s="50"/>
      <c r="V444" s="50"/>
      <c r="W444" s="50"/>
    </row>
    <row r="445">
      <c r="A445" s="50"/>
      <c r="B445" s="59"/>
      <c r="C445" s="50"/>
      <c r="D445" s="59"/>
      <c r="E445" s="50"/>
      <c r="F445" s="59"/>
      <c r="G445" s="50"/>
      <c r="H445" s="63"/>
      <c r="I445" s="50"/>
      <c r="J445" s="50"/>
      <c r="K445" s="50"/>
      <c r="L445" s="50"/>
      <c r="M445" s="50"/>
      <c r="N445" s="50"/>
      <c r="O445" s="50"/>
      <c r="P445" s="50"/>
      <c r="Q445" s="50"/>
      <c r="R445" s="50"/>
      <c r="S445" s="50"/>
      <c r="T445" s="50"/>
      <c r="U445" s="50"/>
      <c r="V445" s="50"/>
      <c r="W445" s="50"/>
    </row>
    <row r="446">
      <c r="A446" s="50"/>
      <c r="B446" s="59"/>
      <c r="C446" s="50"/>
      <c r="D446" s="59"/>
      <c r="E446" s="50"/>
      <c r="F446" s="59"/>
      <c r="G446" s="50"/>
      <c r="H446" s="63"/>
      <c r="I446" s="50"/>
      <c r="J446" s="50"/>
      <c r="K446" s="50"/>
      <c r="L446" s="50"/>
      <c r="M446" s="50"/>
      <c r="N446" s="50"/>
      <c r="O446" s="50"/>
      <c r="P446" s="50"/>
      <c r="Q446" s="50"/>
      <c r="R446" s="50"/>
      <c r="S446" s="50"/>
      <c r="T446" s="50"/>
      <c r="U446" s="50"/>
      <c r="V446" s="50"/>
      <c r="W446" s="50"/>
    </row>
    <row r="447">
      <c r="A447" s="50"/>
      <c r="B447" s="59"/>
      <c r="C447" s="50"/>
      <c r="D447" s="59"/>
      <c r="E447" s="50"/>
      <c r="F447" s="59"/>
      <c r="G447" s="50"/>
      <c r="H447" s="63"/>
      <c r="I447" s="50"/>
      <c r="J447" s="50"/>
      <c r="K447" s="50"/>
      <c r="L447" s="50"/>
      <c r="M447" s="50"/>
      <c r="N447" s="50"/>
      <c r="O447" s="50"/>
      <c r="P447" s="50"/>
      <c r="Q447" s="50"/>
      <c r="R447" s="50"/>
      <c r="S447" s="50"/>
      <c r="T447" s="50"/>
      <c r="U447" s="50"/>
      <c r="V447" s="50"/>
      <c r="W447" s="50"/>
    </row>
    <row r="448">
      <c r="A448" s="50"/>
      <c r="B448" s="59"/>
      <c r="C448" s="50"/>
      <c r="D448" s="59"/>
      <c r="E448" s="50"/>
      <c r="F448" s="59"/>
      <c r="G448" s="50"/>
      <c r="H448" s="63"/>
      <c r="I448" s="50"/>
      <c r="J448" s="50"/>
      <c r="K448" s="50"/>
      <c r="L448" s="50"/>
      <c r="M448" s="50"/>
      <c r="N448" s="50"/>
      <c r="O448" s="50"/>
      <c r="P448" s="50"/>
      <c r="Q448" s="50"/>
      <c r="R448" s="50"/>
      <c r="S448" s="50"/>
      <c r="T448" s="50"/>
      <c r="U448" s="50"/>
      <c r="V448" s="50"/>
      <c r="W448" s="50"/>
    </row>
    <row r="449">
      <c r="A449" s="50"/>
      <c r="B449" s="59"/>
      <c r="C449" s="50"/>
      <c r="D449" s="59"/>
      <c r="E449" s="50"/>
      <c r="F449" s="59"/>
      <c r="G449" s="50"/>
      <c r="H449" s="63"/>
      <c r="I449" s="50"/>
      <c r="J449" s="50"/>
      <c r="K449" s="50"/>
      <c r="L449" s="50"/>
      <c r="M449" s="50"/>
      <c r="N449" s="50"/>
      <c r="O449" s="50"/>
      <c r="P449" s="50"/>
      <c r="Q449" s="50"/>
      <c r="R449" s="50"/>
      <c r="S449" s="50"/>
      <c r="T449" s="50"/>
      <c r="U449" s="50"/>
      <c r="V449" s="50"/>
      <c r="W449" s="50"/>
    </row>
    <row r="450">
      <c r="A450" s="50"/>
      <c r="B450" s="59"/>
      <c r="C450" s="50"/>
      <c r="D450" s="59"/>
      <c r="E450" s="50"/>
      <c r="F450" s="59"/>
      <c r="G450" s="50"/>
      <c r="H450" s="63"/>
      <c r="I450" s="50"/>
      <c r="J450" s="50"/>
      <c r="K450" s="50"/>
      <c r="L450" s="50"/>
      <c r="M450" s="50"/>
      <c r="N450" s="50"/>
      <c r="O450" s="50"/>
      <c r="P450" s="50"/>
      <c r="Q450" s="50"/>
      <c r="R450" s="50"/>
      <c r="S450" s="50"/>
      <c r="T450" s="50"/>
      <c r="U450" s="50"/>
      <c r="V450" s="50"/>
      <c r="W450" s="50"/>
    </row>
    <row r="451">
      <c r="A451" s="50"/>
      <c r="B451" s="59"/>
      <c r="C451" s="50"/>
      <c r="D451" s="59"/>
      <c r="E451" s="50"/>
      <c r="F451" s="59"/>
      <c r="G451" s="50"/>
      <c r="H451" s="63"/>
      <c r="I451" s="50"/>
      <c r="J451" s="50"/>
      <c r="K451" s="50"/>
      <c r="L451" s="50"/>
      <c r="M451" s="50"/>
      <c r="N451" s="50"/>
      <c r="O451" s="50"/>
      <c r="P451" s="50"/>
      <c r="Q451" s="50"/>
      <c r="R451" s="50"/>
      <c r="S451" s="50"/>
      <c r="T451" s="50"/>
      <c r="U451" s="50"/>
      <c r="V451" s="50"/>
      <c r="W451" s="50"/>
    </row>
    <row r="452">
      <c r="A452" s="50"/>
      <c r="B452" s="59"/>
      <c r="C452" s="50"/>
      <c r="D452" s="59"/>
      <c r="E452" s="50"/>
      <c r="F452" s="59"/>
      <c r="G452" s="50"/>
      <c r="H452" s="63"/>
      <c r="I452" s="50"/>
      <c r="J452" s="50"/>
      <c r="K452" s="50"/>
      <c r="L452" s="50"/>
      <c r="M452" s="50"/>
      <c r="N452" s="50"/>
      <c r="O452" s="50"/>
      <c r="P452" s="50"/>
      <c r="Q452" s="50"/>
      <c r="R452" s="50"/>
      <c r="S452" s="50"/>
      <c r="T452" s="50"/>
      <c r="U452" s="50"/>
      <c r="V452" s="50"/>
      <c r="W452" s="50"/>
    </row>
    <row r="453">
      <c r="A453" s="50"/>
      <c r="B453" s="59"/>
      <c r="C453" s="50"/>
      <c r="D453" s="59"/>
      <c r="E453" s="50"/>
      <c r="F453" s="59"/>
      <c r="G453" s="50"/>
      <c r="H453" s="63"/>
      <c r="I453" s="50"/>
      <c r="J453" s="50"/>
      <c r="K453" s="50"/>
      <c r="L453" s="50"/>
      <c r="M453" s="50"/>
      <c r="N453" s="50"/>
      <c r="O453" s="50"/>
      <c r="P453" s="50"/>
      <c r="Q453" s="50"/>
      <c r="R453" s="50"/>
      <c r="S453" s="50"/>
      <c r="T453" s="50"/>
      <c r="U453" s="50"/>
      <c r="V453" s="50"/>
      <c r="W453" s="50"/>
    </row>
    <row r="454">
      <c r="A454" s="50"/>
      <c r="B454" s="59"/>
      <c r="C454" s="50"/>
      <c r="D454" s="59"/>
      <c r="E454" s="50"/>
      <c r="F454" s="59"/>
      <c r="G454" s="50"/>
      <c r="H454" s="63"/>
      <c r="I454" s="50"/>
      <c r="J454" s="50"/>
      <c r="K454" s="50"/>
      <c r="L454" s="50"/>
      <c r="M454" s="50"/>
      <c r="N454" s="50"/>
      <c r="O454" s="50"/>
      <c r="P454" s="50"/>
      <c r="Q454" s="50"/>
      <c r="R454" s="50"/>
      <c r="S454" s="50"/>
      <c r="T454" s="50"/>
      <c r="U454" s="50"/>
      <c r="V454" s="50"/>
      <c r="W454" s="50"/>
    </row>
    <row r="455">
      <c r="A455" s="50"/>
      <c r="B455" s="59"/>
      <c r="C455" s="50"/>
      <c r="D455" s="59"/>
      <c r="E455" s="50"/>
      <c r="F455" s="59"/>
      <c r="G455" s="50"/>
      <c r="H455" s="63"/>
      <c r="I455" s="50"/>
      <c r="J455" s="50"/>
      <c r="K455" s="50"/>
      <c r="L455" s="50"/>
      <c r="M455" s="50"/>
      <c r="N455" s="50"/>
      <c r="O455" s="50"/>
      <c r="P455" s="50"/>
      <c r="Q455" s="50"/>
      <c r="R455" s="50"/>
      <c r="S455" s="50"/>
      <c r="T455" s="50"/>
      <c r="U455" s="50"/>
      <c r="V455" s="50"/>
      <c r="W455" s="50"/>
    </row>
    <row r="456">
      <c r="A456" s="50"/>
      <c r="B456" s="59"/>
      <c r="C456" s="50"/>
      <c r="D456" s="59"/>
      <c r="E456" s="50"/>
      <c r="F456" s="59"/>
      <c r="G456" s="50"/>
      <c r="H456" s="63"/>
      <c r="I456" s="50"/>
      <c r="J456" s="50"/>
      <c r="K456" s="50"/>
      <c r="L456" s="50"/>
      <c r="M456" s="50"/>
      <c r="N456" s="50"/>
      <c r="O456" s="50"/>
      <c r="P456" s="50"/>
      <c r="Q456" s="50"/>
      <c r="R456" s="50"/>
      <c r="S456" s="50"/>
      <c r="T456" s="50"/>
      <c r="U456" s="50"/>
      <c r="V456" s="50"/>
      <c r="W456" s="50"/>
    </row>
    <row r="457">
      <c r="A457" s="50"/>
      <c r="B457" s="59"/>
      <c r="C457" s="50"/>
      <c r="D457" s="59"/>
      <c r="E457" s="50"/>
      <c r="F457" s="59"/>
      <c r="G457" s="50"/>
      <c r="H457" s="63"/>
      <c r="I457" s="50"/>
      <c r="J457" s="50"/>
      <c r="K457" s="50"/>
      <c r="L457" s="50"/>
      <c r="M457" s="50"/>
      <c r="N457" s="50"/>
      <c r="O457" s="50"/>
      <c r="P457" s="50"/>
      <c r="Q457" s="50"/>
      <c r="R457" s="50"/>
      <c r="S457" s="50"/>
      <c r="T457" s="50"/>
      <c r="U457" s="50"/>
      <c r="V457" s="50"/>
      <c r="W457" s="50"/>
    </row>
    <row r="458">
      <c r="A458" s="50"/>
      <c r="B458" s="59"/>
      <c r="C458" s="50"/>
      <c r="D458" s="59"/>
      <c r="E458" s="50"/>
      <c r="F458" s="59"/>
      <c r="G458" s="50"/>
      <c r="H458" s="63"/>
      <c r="I458" s="50"/>
      <c r="J458" s="50"/>
      <c r="K458" s="50"/>
      <c r="L458" s="50"/>
      <c r="M458" s="50"/>
      <c r="N458" s="50"/>
      <c r="O458" s="50"/>
      <c r="P458" s="50"/>
      <c r="Q458" s="50"/>
      <c r="R458" s="50"/>
      <c r="S458" s="50"/>
      <c r="T458" s="50"/>
      <c r="U458" s="50"/>
      <c r="V458" s="50"/>
      <c r="W458" s="50"/>
    </row>
    <row r="459">
      <c r="A459" s="50"/>
      <c r="B459" s="59"/>
      <c r="C459" s="50"/>
      <c r="D459" s="59"/>
      <c r="E459" s="50"/>
      <c r="F459" s="59"/>
      <c r="G459" s="50"/>
      <c r="H459" s="63"/>
      <c r="I459" s="50"/>
      <c r="J459" s="50"/>
      <c r="K459" s="50"/>
      <c r="L459" s="50"/>
      <c r="M459" s="50"/>
      <c r="N459" s="50"/>
      <c r="O459" s="50"/>
      <c r="P459" s="50"/>
      <c r="Q459" s="50"/>
      <c r="R459" s="50"/>
      <c r="S459" s="50"/>
      <c r="T459" s="50"/>
      <c r="U459" s="50"/>
      <c r="V459" s="50"/>
      <c r="W459" s="50"/>
    </row>
    <row r="460">
      <c r="A460" s="50"/>
      <c r="B460" s="59"/>
      <c r="C460" s="50"/>
      <c r="D460" s="59"/>
      <c r="E460" s="50"/>
      <c r="F460" s="59"/>
      <c r="G460" s="50"/>
      <c r="H460" s="63"/>
      <c r="I460" s="50"/>
      <c r="J460" s="50"/>
      <c r="K460" s="50"/>
      <c r="L460" s="50"/>
      <c r="M460" s="50"/>
      <c r="N460" s="50"/>
      <c r="O460" s="50"/>
      <c r="P460" s="50"/>
      <c r="Q460" s="50"/>
      <c r="R460" s="50"/>
      <c r="S460" s="50"/>
      <c r="T460" s="50"/>
      <c r="U460" s="50"/>
      <c r="V460" s="50"/>
      <c r="W460" s="50"/>
    </row>
    <row r="461">
      <c r="A461" s="50"/>
      <c r="B461" s="59"/>
      <c r="C461" s="50"/>
      <c r="D461" s="59"/>
      <c r="E461" s="50"/>
      <c r="F461" s="59"/>
      <c r="G461" s="50"/>
      <c r="H461" s="63"/>
      <c r="I461" s="50"/>
      <c r="J461" s="50"/>
      <c r="K461" s="50"/>
      <c r="L461" s="50"/>
      <c r="M461" s="50"/>
      <c r="N461" s="50"/>
      <c r="O461" s="50"/>
      <c r="P461" s="50"/>
      <c r="Q461" s="50"/>
      <c r="R461" s="50"/>
      <c r="S461" s="50"/>
      <c r="T461" s="50"/>
      <c r="U461" s="50"/>
      <c r="V461" s="50"/>
      <c r="W461" s="50"/>
    </row>
    <row r="462">
      <c r="A462" s="50"/>
      <c r="B462" s="59"/>
      <c r="C462" s="50"/>
      <c r="D462" s="59"/>
      <c r="E462" s="50"/>
      <c r="F462" s="59"/>
      <c r="G462" s="50"/>
      <c r="H462" s="63"/>
      <c r="I462" s="50"/>
      <c r="J462" s="50"/>
      <c r="K462" s="50"/>
      <c r="L462" s="50"/>
      <c r="M462" s="50"/>
      <c r="N462" s="50"/>
      <c r="O462" s="50"/>
      <c r="P462" s="50"/>
      <c r="Q462" s="50"/>
      <c r="R462" s="50"/>
      <c r="S462" s="50"/>
      <c r="T462" s="50"/>
      <c r="U462" s="50"/>
      <c r="V462" s="50"/>
      <c r="W462" s="50"/>
    </row>
    <row r="463">
      <c r="A463" s="50"/>
      <c r="B463" s="59"/>
      <c r="C463" s="50"/>
      <c r="D463" s="59"/>
      <c r="E463" s="50"/>
      <c r="F463" s="59"/>
      <c r="G463" s="50"/>
      <c r="H463" s="63"/>
      <c r="I463" s="50"/>
      <c r="J463" s="50"/>
      <c r="K463" s="50"/>
      <c r="L463" s="50"/>
      <c r="M463" s="50"/>
      <c r="N463" s="50"/>
      <c r="O463" s="50"/>
      <c r="P463" s="50"/>
      <c r="Q463" s="50"/>
      <c r="R463" s="50"/>
      <c r="S463" s="50"/>
      <c r="T463" s="50"/>
      <c r="U463" s="50"/>
      <c r="V463" s="50"/>
      <c r="W463" s="50"/>
    </row>
    <row r="464">
      <c r="A464" s="50"/>
      <c r="B464" s="59"/>
      <c r="C464" s="50"/>
      <c r="D464" s="59"/>
      <c r="E464" s="50"/>
      <c r="F464" s="59"/>
      <c r="G464" s="50"/>
      <c r="H464" s="63"/>
      <c r="I464" s="50"/>
      <c r="J464" s="50"/>
      <c r="K464" s="50"/>
      <c r="L464" s="50"/>
      <c r="M464" s="50"/>
      <c r="N464" s="50"/>
      <c r="O464" s="50"/>
      <c r="P464" s="50"/>
      <c r="Q464" s="50"/>
      <c r="R464" s="50"/>
      <c r="S464" s="50"/>
      <c r="T464" s="50"/>
      <c r="U464" s="50"/>
      <c r="V464" s="50"/>
      <c r="W464" s="50"/>
    </row>
    <row r="465">
      <c r="A465" s="50"/>
      <c r="B465" s="59"/>
      <c r="C465" s="50"/>
      <c r="D465" s="59"/>
      <c r="E465" s="50"/>
      <c r="F465" s="59"/>
      <c r="G465" s="50"/>
      <c r="H465" s="63"/>
      <c r="I465" s="50"/>
      <c r="J465" s="50"/>
      <c r="K465" s="50"/>
      <c r="L465" s="50"/>
      <c r="M465" s="50"/>
      <c r="N465" s="50"/>
      <c r="O465" s="50"/>
      <c r="P465" s="50"/>
      <c r="Q465" s="50"/>
      <c r="R465" s="50"/>
      <c r="S465" s="50"/>
      <c r="T465" s="50"/>
      <c r="U465" s="50"/>
      <c r="V465" s="50"/>
      <c r="W465" s="50"/>
    </row>
    <row r="466">
      <c r="A466" s="50"/>
      <c r="B466" s="59"/>
      <c r="C466" s="50"/>
      <c r="D466" s="59"/>
      <c r="E466" s="50"/>
      <c r="F466" s="59"/>
      <c r="G466" s="50"/>
      <c r="H466" s="63"/>
      <c r="I466" s="50"/>
      <c r="J466" s="50"/>
      <c r="K466" s="50"/>
      <c r="L466" s="50"/>
      <c r="M466" s="50"/>
      <c r="N466" s="50"/>
      <c r="O466" s="50"/>
      <c r="P466" s="50"/>
      <c r="Q466" s="50"/>
      <c r="R466" s="50"/>
      <c r="S466" s="50"/>
      <c r="T466" s="50"/>
      <c r="U466" s="50"/>
      <c r="V466" s="50"/>
      <c r="W466" s="50"/>
    </row>
    <row r="467">
      <c r="A467" s="50"/>
      <c r="B467" s="59"/>
      <c r="C467" s="50"/>
      <c r="D467" s="59"/>
      <c r="E467" s="50"/>
      <c r="F467" s="59"/>
      <c r="G467" s="50"/>
      <c r="H467" s="63"/>
      <c r="I467" s="50"/>
      <c r="J467" s="50"/>
      <c r="K467" s="50"/>
      <c r="L467" s="50"/>
      <c r="M467" s="50"/>
      <c r="N467" s="50"/>
      <c r="O467" s="50"/>
      <c r="P467" s="50"/>
      <c r="Q467" s="50"/>
      <c r="R467" s="50"/>
      <c r="S467" s="50"/>
      <c r="T467" s="50"/>
      <c r="U467" s="50"/>
      <c r="V467" s="50"/>
      <c r="W467" s="50"/>
    </row>
    <row r="468">
      <c r="A468" s="50"/>
      <c r="B468" s="59"/>
      <c r="C468" s="50"/>
      <c r="D468" s="59"/>
      <c r="E468" s="50"/>
      <c r="F468" s="59"/>
      <c r="G468" s="50"/>
      <c r="H468" s="63"/>
      <c r="I468" s="50"/>
      <c r="J468" s="50"/>
      <c r="K468" s="50"/>
      <c r="L468" s="50"/>
      <c r="M468" s="50"/>
      <c r="N468" s="50"/>
      <c r="O468" s="50"/>
      <c r="P468" s="50"/>
      <c r="Q468" s="50"/>
      <c r="R468" s="50"/>
      <c r="S468" s="50"/>
      <c r="T468" s="50"/>
      <c r="U468" s="50"/>
      <c r="V468" s="50"/>
      <c r="W468" s="50"/>
    </row>
    <row r="469">
      <c r="A469" s="50"/>
      <c r="B469" s="59"/>
      <c r="C469" s="50"/>
      <c r="D469" s="59"/>
      <c r="E469" s="50"/>
      <c r="F469" s="59"/>
      <c r="G469" s="50"/>
      <c r="H469" s="63"/>
      <c r="I469" s="50"/>
      <c r="J469" s="50"/>
      <c r="K469" s="50"/>
      <c r="L469" s="50"/>
      <c r="M469" s="50"/>
      <c r="N469" s="50"/>
      <c r="O469" s="50"/>
      <c r="P469" s="50"/>
      <c r="Q469" s="50"/>
      <c r="R469" s="50"/>
      <c r="S469" s="50"/>
      <c r="T469" s="50"/>
      <c r="U469" s="50"/>
      <c r="V469" s="50"/>
      <c r="W469" s="50"/>
    </row>
    <row r="470">
      <c r="A470" s="50"/>
      <c r="B470" s="59"/>
      <c r="C470" s="50"/>
      <c r="D470" s="59"/>
      <c r="E470" s="50"/>
      <c r="F470" s="59"/>
      <c r="G470" s="50"/>
      <c r="H470" s="63"/>
      <c r="I470" s="50"/>
      <c r="J470" s="50"/>
      <c r="K470" s="50"/>
      <c r="L470" s="50"/>
      <c r="M470" s="50"/>
      <c r="N470" s="50"/>
      <c r="O470" s="50"/>
      <c r="P470" s="50"/>
      <c r="Q470" s="50"/>
      <c r="R470" s="50"/>
      <c r="S470" s="50"/>
      <c r="T470" s="50"/>
      <c r="U470" s="50"/>
      <c r="V470" s="50"/>
      <c r="W470" s="50"/>
    </row>
    <row r="471">
      <c r="A471" s="50"/>
      <c r="B471" s="59"/>
      <c r="C471" s="50"/>
      <c r="D471" s="59"/>
      <c r="E471" s="50"/>
      <c r="F471" s="59"/>
      <c r="G471" s="50"/>
      <c r="H471" s="63"/>
      <c r="I471" s="50"/>
      <c r="J471" s="50"/>
      <c r="K471" s="50"/>
      <c r="L471" s="50"/>
      <c r="M471" s="50"/>
      <c r="N471" s="50"/>
      <c r="O471" s="50"/>
      <c r="P471" s="50"/>
      <c r="Q471" s="50"/>
      <c r="R471" s="50"/>
      <c r="S471" s="50"/>
      <c r="T471" s="50"/>
      <c r="U471" s="50"/>
      <c r="V471" s="50"/>
      <c r="W471" s="50"/>
    </row>
    <row r="472">
      <c r="A472" s="50"/>
      <c r="B472" s="59"/>
      <c r="C472" s="50"/>
      <c r="D472" s="59"/>
      <c r="E472" s="50"/>
      <c r="F472" s="59"/>
      <c r="G472" s="50"/>
      <c r="H472" s="63"/>
      <c r="I472" s="50"/>
      <c r="J472" s="50"/>
      <c r="K472" s="50"/>
      <c r="L472" s="50"/>
      <c r="M472" s="50"/>
      <c r="N472" s="50"/>
      <c r="O472" s="50"/>
      <c r="P472" s="50"/>
      <c r="Q472" s="50"/>
      <c r="R472" s="50"/>
      <c r="S472" s="50"/>
      <c r="T472" s="50"/>
      <c r="U472" s="50"/>
      <c r="V472" s="50"/>
      <c r="W472" s="50"/>
    </row>
    <row r="473">
      <c r="A473" s="50"/>
      <c r="B473" s="59"/>
      <c r="C473" s="50"/>
      <c r="D473" s="59"/>
      <c r="E473" s="50"/>
      <c r="F473" s="59"/>
      <c r="G473" s="50"/>
      <c r="H473" s="63"/>
      <c r="I473" s="50"/>
      <c r="J473" s="50"/>
      <c r="K473" s="50"/>
      <c r="L473" s="50"/>
      <c r="M473" s="50"/>
      <c r="N473" s="50"/>
      <c r="O473" s="50"/>
      <c r="P473" s="50"/>
      <c r="Q473" s="50"/>
      <c r="R473" s="50"/>
      <c r="S473" s="50"/>
      <c r="T473" s="50"/>
      <c r="U473" s="50"/>
      <c r="V473" s="50"/>
      <c r="W473" s="50"/>
    </row>
    <row r="474">
      <c r="A474" s="50"/>
      <c r="B474" s="59"/>
      <c r="C474" s="50"/>
      <c r="D474" s="59"/>
      <c r="E474" s="50"/>
      <c r="F474" s="59"/>
      <c r="G474" s="50"/>
      <c r="H474" s="63"/>
      <c r="I474" s="50"/>
      <c r="J474" s="50"/>
      <c r="K474" s="50"/>
      <c r="L474" s="50"/>
      <c r="M474" s="50"/>
      <c r="N474" s="50"/>
      <c r="O474" s="50"/>
      <c r="P474" s="50"/>
      <c r="Q474" s="50"/>
      <c r="R474" s="50"/>
      <c r="S474" s="50"/>
      <c r="T474" s="50"/>
      <c r="U474" s="50"/>
      <c r="V474" s="50"/>
      <c r="W474" s="50"/>
    </row>
    <row r="475">
      <c r="A475" s="50"/>
      <c r="B475" s="59"/>
      <c r="C475" s="50"/>
      <c r="D475" s="59"/>
      <c r="E475" s="50"/>
      <c r="F475" s="59"/>
      <c r="G475" s="50"/>
      <c r="H475" s="63"/>
      <c r="I475" s="50"/>
      <c r="J475" s="50"/>
      <c r="K475" s="50"/>
      <c r="L475" s="50"/>
      <c r="M475" s="50"/>
      <c r="N475" s="50"/>
      <c r="O475" s="50"/>
      <c r="P475" s="50"/>
      <c r="Q475" s="50"/>
      <c r="R475" s="50"/>
      <c r="S475" s="50"/>
      <c r="T475" s="50"/>
      <c r="U475" s="50"/>
      <c r="V475" s="50"/>
      <c r="W475" s="50"/>
    </row>
    <row r="476">
      <c r="A476" s="50"/>
      <c r="B476" s="59"/>
      <c r="C476" s="50"/>
      <c r="D476" s="59"/>
      <c r="E476" s="50"/>
      <c r="F476" s="59"/>
      <c r="G476" s="50"/>
      <c r="H476" s="63"/>
      <c r="I476" s="50"/>
      <c r="J476" s="50"/>
      <c r="K476" s="50"/>
      <c r="L476" s="50"/>
      <c r="M476" s="50"/>
      <c r="N476" s="50"/>
      <c r="O476" s="50"/>
      <c r="P476" s="50"/>
      <c r="Q476" s="50"/>
      <c r="R476" s="50"/>
      <c r="S476" s="50"/>
      <c r="T476" s="50"/>
      <c r="U476" s="50"/>
      <c r="V476" s="50"/>
      <c r="W476" s="50"/>
    </row>
    <row r="477">
      <c r="A477" s="50"/>
      <c r="B477" s="59"/>
      <c r="C477" s="50"/>
      <c r="D477" s="59"/>
      <c r="E477" s="50"/>
      <c r="F477" s="59"/>
      <c r="G477" s="50"/>
      <c r="H477" s="63"/>
      <c r="I477" s="50"/>
      <c r="J477" s="50"/>
      <c r="K477" s="50"/>
      <c r="L477" s="50"/>
      <c r="M477" s="50"/>
      <c r="N477" s="50"/>
      <c r="O477" s="50"/>
      <c r="P477" s="50"/>
      <c r="Q477" s="50"/>
      <c r="R477" s="50"/>
      <c r="S477" s="50"/>
      <c r="T477" s="50"/>
      <c r="U477" s="50"/>
      <c r="V477" s="50"/>
      <c r="W477" s="50"/>
    </row>
    <row r="478">
      <c r="A478" s="50"/>
      <c r="B478" s="59"/>
      <c r="C478" s="50"/>
      <c r="D478" s="59"/>
      <c r="E478" s="50"/>
      <c r="F478" s="59"/>
      <c r="G478" s="50"/>
      <c r="H478" s="63"/>
      <c r="I478" s="50"/>
      <c r="J478" s="50"/>
      <c r="K478" s="50"/>
      <c r="L478" s="50"/>
      <c r="M478" s="50"/>
      <c r="N478" s="50"/>
      <c r="O478" s="50"/>
      <c r="P478" s="50"/>
      <c r="Q478" s="50"/>
      <c r="R478" s="50"/>
      <c r="S478" s="50"/>
      <c r="T478" s="50"/>
      <c r="U478" s="50"/>
      <c r="V478" s="50"/>
      <c r="W478" s="50"/>
    </row>
    <row r="479">
      <c r="A479" s="50"/>
      <c r="B479" s="59"/>
      <c r="C479" s="50"/>
      <c r="D479" s="59"/>
      <c r="E479" s="50"/>
      <c r="F479" s="59"/>
      <c r="G479" s="50"/>
      <c r="H479" s="63"/>
      <c r="I479" s="50"/>
      <c r="J479" s="50"/>
      <c r="K479" s="50"/>
      <c r="L479" s="50"/>
      <c r="M479" s="50"/>
      <c r="N479" s="50"/>
      <c r="O479" s="50"/>
      <c r="P479" s="50"/>
      <c r="Q479" s="50"/>
      <c r="R479" s="50"/>
      <c r="S479" s="50"/>
      <c r="T479" s="50"/>
      <c r="U479" s="50"/>
      <c r="V479" s="50"/>
      <c r="W479" s="50"/>
    </row>
    <row r="480">
      <c r="A480" s="50"/>
      <c r="B480" s="59"/>
      <c r="C480" s="50"/>
      <c r="D480" s="59"/>
      <c r="E480" s="50"/>
      <c r="F480" s="59"/>
      <c r="G480" s="50"/>
      <c r="H480" s="63"/>
      <c r="I480" s="50"/>
      <c r="J480" s="50"/>
      <c r="K480" s="50"/>
      <c r="L480" s="50"/>
      <c r="M480" s="50"/>
      <c r="N480" s="50"/>
      <c r="O480" s="50"/>
      <c r="P480" s="50"/>
      <c r="Q480" s="50"/>
      <c r="R480" s="50"/>
      <c r="S480" s="50"/>
      <c r="T480" s="50"/>
      <c r="U480" s="50"/>
      <c r="V480" s="50"/>
      <c r="W480" s="50"/>
    </row>
    <row r="481">
      <c r="A481" s="50"/>
      <c r="B481" s="59"/>
      <c r="C481" s="50"/>
      <c r="D481" s="59"/>
      <c r="E481" s="50"/>
      <c r="F481" s="59"/>
      <c r="G481" s="50"/>
      <c r="H481" s="63"/>
      <c r="I481" s="50"/>
      <c r="J481" s="50"/>
      <c r="K481" s="50"/>
      <c r="L481" s="50"/>
      <c r="M481" s="50"/>
      <c r="N481" s="50"/>
      <c r="O481" s="50"/>
      <c r="P481" s="50"/>
      <c r="Q481" s="50"/>
      <c r="R481" s="50"/>
      <c r="S481" s="50"/>
      <c r="T481" s="50"/>
      <c r="U481" s="50"/>
      <c r="V481" s="50"/>
      <c r="W481" s="50"/>
    </row>
    <row r="482">
      <c r="A482" s="50"/>
      <c r="B482" s="59"/>
      <c r="C482" s="50"/>
      <c r="D482" s="59"/>
      <c r="E482" s="50"/>
      <c r="F482" s="59"/>
      <c r="G482" s="50"/>
      <c r="H482" s="63"/>
      <c r="I482" s="50"/>
      <c r="J482" s="50"/>
      <c r="K482" s="50"/>
      <c r="L482" s="50"/>
      <c r="M482" s="50"/>
      <c r="N482" s="50"/>
      <c r="O482" s="50"/>
      <c r="P482" s="50"/>
      <c r="Q482" s="50"/>
      <c r="R482" s="50"/>
      <c r="S482" s="50"/>
      <c r="T482" s="50"/>
      <c r="U482" s="50"/>
      <c r="V482" s="50"/>
      <c r="W482" s="50"/>
    </row>
    <row r="483">
      <c r="A483" s="50"/>
      <c r="B483" s="59"/>
      <c r="C483" s="50"/>
      <c r="D483" s="59"/>
      <c r="E483" s="50"/>
      <c r="F483" s="59"/>
      <c r="G483" s="50"/>
      <c r="H483" s="63"/>
      <c r="I483" s="50"/>
      <c r="J483" s="50"/>
      <c r="K483" s="50"/>
      <c r="L483" s="50"/>
      <c r="M483" s="50"/>
      <c r="N483" s="50"/>
      <c r="O483" s="50"/>
      <c r="P483" s="50"/>
      <c r="Q483" s="50"/>
      <c r="R483" s="50"/>
      <c r="S483" s="50"/>
      <c r="T483" s="50"/>
      <c r="U483" s="50"/>
      <c r="V483" s="50"/>
      <c r="W483" s="50"/>
    </row>
    <row r="484">
      <c r="A484" s="50"/>
      <c r="B484" s="59"/>
      <c r="C484" s="50"/>
      <c r="D484" s="59"/>
      <c r="E484" s="50"/>
      <c r="F484" s="59"/>
      <c r="G484" s="50"/>
      <c r="H484" s="63"/>
      <c r="I484" s="50"/>
      <c r="J484" s="50"/>
      <c r="K484" s="50"/>
      <c r="L484" s="50"/>
      <c r="M484" s="50"/>
      <c r="N484" s="50"/>
      <c r="O484" s="50"/>
      <c r="P484" s="50"/>
      <c r="Q484" s="50"/>
      <c r="R484" s="50"/>
      <c r="S484" s="50"/>
      <c r="T484" s="50"/>
      <c r="U484" s="50"/>
      <c r="V484" s="50"/>
      <c r="W484" s="50"/>
    </row>
    <row r="485">
      <c r="A485" s="50"/>
      <c r="B485" s="59"/>
      <c r="C485" s="50"/>
      <c r="D485" s="59"/>
      <c r="E485" s="50"/>
      <c r="F485" s="59"/>
      <c r="G485" s="50"/>
      <c r="H485" s="63"/>
      <c r="I485" s="50"/>
      <c r="J485" s="50"/>
      <c r="K485" s="50"/>
      <c r="L485" s="50"/>
      <c r="M485" s="50"/>
      <c r="N485" s="50"/>
      <c r="O485" s="50"/>
      <c r="P485" s="50"/>
      <c r="Q485" s="50"/>
      <c r="R485" s="50"/>
      <c r="S485" s="50"/>
      <c r="T485" s="50"/>
      <c r="U485" s="50"/>
      <c r="V485" s="50"/>
      <c r="W485" s="50"/>
    </row>
    <row r="486">
      <c r="A486" s="50"/>
      <c r="B486" s="59"/>
      <c r="C486" s="50"/>
      <c r="D486" s="59"/>
      <c r="E486" s="50"/>
      <c r="F486" s="59"/>
      <c r="G486" s="50"/>
      <c r="H486" s="63"/>
      <c r="I486" s="50"/>
      <c r="J486" s="50"/>
      <c r="K486" s="50"/>
      <c r="L486" s="50"/>
      <c r="M486" s="50"/>
      <c r="N486" s="50"/>
      <c r="O486" s="50"/>
      <c r="P486" s="50"/>
      <c r="Q486" s="50"/>
      <c r="R486" s="50"/>
      <c r="S486" s="50"/>
      <c r="T486" s="50"/>
      <c r="U486" s="50"/>
      <c r="V486" s="50"/>
      <c r="W486" s="50"/>
    </row>
    <row r="487">
      <c r="A487" s="50"/>
      <c r="B487" s="59"/>
      <c r="C487" s="50"/>
      <c r="D487" s="59"/>
      <c r="E487" s="50"/>
      <c r="F487" s="59"/>
      <c r="G487" s="50"/>
      <c r="H487" s="63"/>
      <c r="I487" s="50"/>
      <c r="J487" s="50"/>
      <c r="K487" s="50"/>
      <c r="L487" s="50"/>
      <c r="M487" s="50"/>
      <c r="N487" s="50"/>
      <c r="O487" s="50"/>
      <c r="P487" s="50"/>
      <c r="Q487" s="50"/>
      <c r="R487" s="50"/>
      <c r="S487" s="50"/>
      <c r="T487" s="50"/>
      <c r="U487" s="50"/>
      <c r="V487" s="50"/>
      <c r="W487" s="50"/>
    </row>
    <row r="488">
      <c r="A488" s="50"/>
      <c r="B488" s="59"/>
      <c r="C488" s="50"/>
      <c r="D488" s="59"/>
      <c r="E488" s="50"/>
      <c r="F488" s="59"/>
      <c r="G488" s="50"/>
      <c r="H488" s="63"/>
      <c r="I488" s="50"/>
      <c r="J488" s="50"/>
      <c r="K488" s="50"/>
      <c r="L488" s="50"/>
      <c r="M488" s="50"/>
      <c r="N488" s="50"/>
      <c r="O488" s="50"/>
      <c r="P488" s="50"/>
      <c r="Q488" s="50"/>
      <c r="R488" s="50"/>
      <c r="S488" s="50"/>
      <c r="T488" s="50"/>
      <c r="U488" s="50"/>
      <c r="V488" s="50"/>
      <c r="W488" s="50"/>
    </row>
    <row r="489">
      <c r="A489" s="50"/>
      <c r="B489" s="59"/>
      <c r="C489" s="50"/>
      <c r="D489" s="59"/>
      <c r="E489" s="50"/>
      <c r="F489" s="59"/>
      <c r="G489" s="50"/>
      <c r="H489" s="63"/>
      <c r="I489" s="50"/>
      <c r="J489" s="50"/>
      <c r="K489" s="50"/>
      <c r="L489" s="50"/>
      <c r="M489" s="50"/>
      <c r="N489" s="50"/>
      <c r="O489" s="50"/>
      <c r="P489" s="50"/>
      <c r="Q489" s="50"/>
      <c r="R489" s="50"/>
      <c r="S489" s="50"/>
      <c r="T489" s="50"/>
      <c r="U489" s="50"/>
      <c r="V489" s="50"/>
      <c r="W489" s="50"/>
    </row>
    <row r="490">
      <c r="A490" s="50"/>
      <c r="B490" s="59"/>
      <c r="C490" s="50"/>
      <c r="D490" s="59"/>
      <c r="E490" s="50"/>
      <c r="F490" s="59"/>
      <c r="G490" s="50"/>
      <c r="H490" s="63"/>
      <c r="I490" s="50"/>
      <c r="J490" s="50"/>
      <c r="K490" s="50"/>
      <c r="L490" s="50"/>
      <c r="M490" s="50"/>
      <c r="N490" s="50"/>
      <c r="O490" s="50"/>
      <c r="P490" s="50"/>
      <c r="Q490" s="50"/>
      <c r="R490" s="50"/>
      <c r="S490" s="50"/>
      <c r="T490" s="50"/>
      <c r="U490" s="50"/>
      <c r="V490" s="50"/>
      <c r="W490" s="50"/>
    </row>
    <row r="491">
      <c r="A491" s="50"/>
      <c r="B491" s="59"/>
      <c r="C491" s="50"/>
      <c r="D491" s="59"/>
      <c r="E491" s="50"/>
      <c r="F491" s="59"/>
      <c r="G491" s="50"/>
      <c r="H491" s="63"/>
      <c r="I491" s="50"/>
      <c r="J491" s="50"/>
      <c r="K491" s="50"/>
      <c r="L491" s="50"/>
      <c r="M491" s="50"/>
      <c r="N491" s="50"/>
      <c r="O491" s="50"/>
      <c r="P491" s="50"/>
      <c r="Q491" s="50"/>
      <c r="R491" s="50"/>
      <c r="S491" s="50"/>
      <c r="T491" s="50"/>
      <c r="U491" s="50"/>
      <c r="V491" s="50"/>
      <c r="W491" s="50"/>
    </row>
    <row r="492">
      <c r="A492" s="50"/>
      <c r="B492" s="59"/>
      <c r="C492" s="50"/>
      <c r="D492" s="59"/>
      <c r="E492" s="50"/>
      <c r="F492" s="59"/>
      <c r="G492" s="50"/>
      <c r="H492" s="63"/>
      <c r="I492" s="50"/>
      <c r="J492" s="50"/>
      <c r="K492" s="50"/>
      <c r="L492" s="50"/>
      <c r="M492" s="50"/>
      <c r="N492" s="50"/>
      <c r="O492" s="50"/>
      <c r="P492" s="50"/>
      <c r="Q492" s="50"/>
      <c r="R492" s="50"/>
      <c r="S492" s="50"/>
      <c r="T492" s="50"/>
      <c r="U492" s="50"/>
      <c r="V492" s="50"/>
      <c r="W492" s="50"/>
    </row>
    <row r="493">
      <c r="A493" s="50"/>
      <c r="B493" s="59"/>
      <c r="C493" s="50"/>
      <c r="D493" s="59"/>
      <c r="E493" s="50"/>
      <c r="F493" s="59"/>
      <c r="G493" s="50"/>
      <c r="H493" s="63"/>
      <c r="I493" s="50"/>
      <c r="J493" s="50"/>
      <c r="K493" s="50"/>
      <c r="L493" s="50"/>
      <c r="M493" s="50"/>
      <c r="N493" s="50"/>
      <c r="O493" s="50"/>
      <c r="P493" s="50"/>
      <c r="Q493" s="50"/>
      <c r="R493" s="50"/>
      <c r="S493" s="50"/>
      <c r="T493" s="50"/>
      <c r="U493" s="50"/>
      <c r="V493" s="50"/>
      <c r="W493" s="50"/>
    </row>
    <row r="494">
      <c r="A494" s="50"/>
      <c r="B494" s="59"/>
      <c r="C494" s="50"/>
      <c r="D494" s="59"/>
      <c r="E494" s="50"/>
      <c r="F494" s="59"/>
      <c r="G494" s="50"/>
      <c r="H494" s="63"/>
      <c r="I494" s="50"/>
      <c r="J494" s="50"/>
      <c r="K494" s="50"/>
      <c r="L494" s="50"/>
      <c r="M494" s="50"/>
      <c r="N494" s="50"/>
      <c r="O494" s="50"/>
      <c r="P494" s="50"/>
      <c r="Q494" s="50"/>
      <c r="R494" s="50"/>
      <c r="S494" s="50"/>
      <c r="T494" s="50"/>
      <c r="U494" s="50"/>
      <c r="V494" s="50"/>
      <c r="W494" s="50"/>
    </row>
    <row r="495">
      <c r="A495" s="50"/>
      <c r="B495" s="59"/>
      <c r="C495" s="50"/>
      <c r="D495" s="59"/>
      <c r="E495" s="50"/>
      <c r="F495" s="59"/>
      <c r="G495" s="50"/>
      <c r="H495" s="63"/>
      <c r="I495" s="50"/>
      <c r="J495" s="50"/>
      <c r="K495" s="50"/>
      <c r="L495" s="50"/>
      <c r="M495" s="50"/>
      <c r="N495" s="50"/>
      <c r="O495" s="50"/>
      <c r="P495" s="50"/>
      <c r="Q495" s="50"/>
      <c r="R495" s="50"/>
      <c r="S495" s="50"/>
      <c r="T495" s="50"/>
      <c r="U495" s="50"/>
      <c r="V495" s="50"/>
      <c r="W495" s="50"/>
    </row>
    <row r="496">
      <c r="A496" s="50"/>
      <c r="B496" s="59"/>
      <c r="C496" s="50"/>
      <c r="D496" s="59"/>
      <c r="E496" s="50"/>
      <c r="F496" s="59"/>
      <c r="G496" s="50"/>
      <c r="H496" s="63"/>
      <c r="I496" s="50"/>
      <c r="J496" s="50"/>
      <c r="K496" s="50"/>
      <c r="L496" s="50"/>
      <c r="M496" s="50"/>
      <c r="N496" s="50"/>
      <c r="O496" s="50"/>
      <c r="P496" s="50"/>
      <c r="Q496" s="50"/>
      <c r="R496" s="50"/>
      <c r="S496" s="50"/>
      <c r="T496" s="50"/>
      <c r="U496" s="50"/>
      <c r="V496" s="50"/>
      <c r="W496" s="50"/>
    </row>
    <row r="497">
      <c r="A497" s="50"/>
      <c r="B497" s="59"/>
      <c r="C497" s="50"/>
      <c r="D497" s="59"/>
      <c r="E497" s="50"/>
      <c r="F497" s="59"/>
      <c r="G497" s="50"/>
      <c r="H497" s="63"/>
      <c r="I497" s="50"/>
      <c r="J497" s="50"/>
      <c r="K497" s="50"/>
      <c r="L497" s="50"/>
      <c r="M497" s="50"/>
      <c r="N497" s="50"/>
      <c r="O497" s="50"/>
      <c r="P497" s="50"/>
      <c r="Q497" s="50"/>
      <c r="R497" s="50"/>
      <c r="S497" s="50"/>
      <c r="T497" s="50"/>
      <c r="U497" s="50"/>
      <c r="V497" s="50"/>
      <c r="W497" s="50"/>
    </row>
    <row r="498">
      <c r="A498" s="50"/>
      <c r="B498" s="59"/>
      <c r="C498" s="50"/>
      <c r="D498" s="59"/>
      <c r="E498" s="50"/>
      <c r="F498" s="59"/>
      <c r="G498" s="50"/>
      <c r="H498" s="63"/>
      <c r="I498" s="50"/>
      <c r="J498" s="50"/>
      <c r="K498" s="50"/>
      <c r="L498" s="50"/>
      <c r="M498" s="50"/>
      <c r="N498" s="50"/>
      <c r="O498" s="50"/>
      <c r="P498" s="50"/>
      <c r="Q498" s="50"/>
      <c r="R498" s="50"/>
      <c r="S498" s="50"/>
      <c r="T498" s="50"/>
      <c r="U498" s="50"/>
      <c r="V498" s="50"/>
      <c r="W498" s="50"/>
    </row>
    <row r="499">
      <c r="A499" s="50"/>
      <c r="B499" s="59"/>
      <c r="C499" s="50"/>
      <c r="D499" s="59"/>
      <c r="E499" s="50"/>
      <c r="F499" s="59"/>
      <c r="G499" s="50"/>
      <c r="H499" s="63"/>
      <c r="I499" s="50"/>
      <c r="J499" s="50"/>
      <c r="K499" s="50"/>
      <c r="L499" s="50"/>
      <c r="M499" s="50"/>
      <c r="N499" s="50"/>
      <c r="O499" s="50"/>
      <c r="P499" s="50"/>
      <c r="Q499" s="50"/>
      <c r="R499" s="50"/>
      <c r="S499" s="50"/>
      <c r="T499" s="50"/>
      <c r="U499" s="50"/>
      <c r="V499" s="50"/>
      <c r="W499" s="50"/>
    </row>
    <row r="500">
      <c r="A500" s="50"/>
      <c r="B500" s="59"/>
      <c r="C500" s="50"/>
      <c r="D500" s="59"/>
      <c r="E500" s="50"/>
      <c r="F500" s="59"/>
      <c r="G500" s="50"/>
      <c r="H500" s="63"/>
      <c r="I500" s="50"/>
      <c r="J500" s="50"/>
      <c r="K500" s="50"/>
      <c r="L500" s="50"/>
      <c r="M500" s="50"/>
      <c r="N500" s="50"/>
      <c r="O500" s="50"/>
      <c r="P500" s="50"/>
      <c r="Q500" s="50"/>
      <c r="R500" s="50"/>
      <c r="S500" s="50"/>
      <c r="T500" s="50"/>
      <c r="U500" s="50"/>
      <c r="V500" s="50"/>
      <c r="W500" s="50"/>
    </row>
    <row r="501">
      <c r="A501" s="50"/>
      <c r="B501" s="59"/>
      <c r="C501" s="50"/>
      <c r="D501" s="59"/>
      <c r="E501" s="50"/>
      <c r="F501" s="59"/>
      <c r="G501" s="50"/>
      <c r="H501" s="63"/>
      <c r="I501" s="50"/>
      <c r="J501" s="50"/>
      <c r="K501" s="50"/>
      <c r="L501" s="50"/>
      <c r="M501" s="50"/>
      <c r="N501" s="50"/>
      <c r="O501" s="50"/>
      <c r="P501" s="50"/>
      <c r="Q501" s="50"/>
      <c r="R501" s="50"/>
      <c r="S501" s="50"/>
      <c r="T501" s="50"/>
      <c r="U501" s="50"/>
      <c r="V501" s="50"/>
      <c r="W501" s="50"/>
    </row>
    <row r="502">
      <c r="A502" s="50"/>
      <c r="B502" s="59"/>
      <c r="C502" s="50"/>
      <c r="D502" s="59"/>
      <c r="E502" s="50"/>
      <c r="F502" s="59"/>
      <c r="G502" s="50"/>
      <c r="H502" s="63"/>
      <c r="I502" s="50"/>
      <c r="J502" s="50"/>
      <c r="K502" s="50"/>
      <c r="L502" s="50"/>
      <c r="M502" s="50"/>
      <c r="N502" s="50"/>
      <c r="O502" s="50"/>
      <c r="P502" s="50"/>
      <c r="Q502" s="50"/>
      <c r="R502" s="50"/>
      <c r="S502" s="50"/>
      <c r="T502" s="50"/>
      <c r="U502" s="50"/>
      <c r="V502" s="50"/>
      <c r="W502" s="50"/>
    </row>
    <row r="503">
      <c r="A503" s="50"/>
      <c r="B503" s="59"/>
      <c r="C503" s="50"/>
      <c r="D503" s="59"/>
      <c r="E503" s="50"/>
      <c r="F503" s="59"/>
      <c r="G503" s="50"/>
      <c r="H503" s="63"/>
      <c r="I503" s="50"/>
      <c r="J503" s="50"/>
      <c r="K503" s="50"/>
      <c r="L503" s="50"/>
      <c r="M503" s="50"/>
      <c r="N503" s="50"/>
      <c r="O503" s="50"/>
      <c r="P503" s="50"/>
      <c r="Q503" s="50"/>
      <c r="R503" s="50"/>
      <c r="S503" s="50"/>
      <c r="T503" s="50"/>
      <c r="U503" s="50"/>
      <c r="V503" s="50"/>
      <c r="W503" s="50"/>
    </row>
    <row r="504">
      <c r="A504" s="50"/>
      <c r="B504" s="59"/>
      <c r="C504" s="50"/>
      <c r="D504" s="59"/>
      <c r="E504" s="50"/>
      <c r="F504" s="59"/>
      <c r="G504" s="50"/>
      <c r="H504" s="63"/>
      <c r="I504" s="50"/>
      <c r="J504" s="50"/>
      <c r="K504" s="50"/>
      <c r="L504" s="50"/>
      <c r="M504" s="50"/>
      <c r="N504" s="50"/>
      <c r="O504" s="50"/>
      <c r="P504" s="50"/>
      <c r="Q504" s="50"/>
      <c r="R504" s="50"/>
      <c r="S504" s="50"/>
      <c r="T504" s="50"/>
      <c r="U504" s="50"/>
      <c r="V504" s="50"/>
      <c r="W504" s="50"/>
    </row>
    <row r="505">
      <c r="A505" s="50"/>
      <c r="B505" s="59"/>
      <c r="C505" s="50"/>
      <c r="D505" s="59"/>
      <c r="E505" s="50"/>
      <c r="F505" s="59"/>
      <c r="G505" s="50"/>
      <c r="H505" s="63"/>
      <c r="I505" s="50"/>
      <c r="J505" s="50"/>
      <c r="K505" s="50"/>
      <c r="L505" s="50"/>
      <c r="M505" s="50"/>
      <c r="N505" s="50"/>
      <c r="O505" s="50"/>
      <c r="P505" s="50"/>
      <c r="Q505" s="50"/>
      <c r="R505" s="50"/>
      <c r="S505" s="50"/>
      <c r="T505" s="50"/>
      <c r="U505" s="50"/>
      <c r="V505" s="50"/>
      <c r="W505" s="50"/>
    </row>
    <row r="506">
      <c r="A506" s="50"/>
      <c r="B506" s="59"/>
      <c r="C506" s="50"/>
      <c r="D506" s="59"/>
      <c r="E506" s="50"/>
      <c r="F506" s="59"/>
      <c r="G506" s="50"/>
      <c r="H506" s="63"/>
      <c r="I506" s="50"/>
      <c r="J506" s="50"/>
      <c r="K506" s="50"/>
      <c r="L506" s="50"/>
      <c r="M506" s="50"/>
      <c r="N506" s="50"/>
      <c r="O506" s="50"/>
      <c r="P506" s="50"/>
      <c r="Q506" s="50"/>
      <c r="R506" s="50"/>
      <c r="S506" s="50"/>
      <c r="T506" s="50"/>
      <c r="U506" s="50"/>
      <c r="V506" s="50"/>
      <c r="W506" s="50"/>
    </row>
    <row r="507">
      <c r="A507" s="50"/>
      <c r="B507" s="59"/>
      <c r="C507" s="50"/>
      <c r="D507" s="59"/>
      <c r="E507" s="50"/>
      <c r="F507" s="59"/>
      <c r="G507" s="50"/>
      <c r="H507" s="63"/>
      <c r="I507" s="50"/>
      <c r="J507" s="50"/>
      <c r="K507" s="50"/>
      <c r="L507" s="50"/>
      <c r="M507" s="50"/>
      <c r="N507" s="50"/>
      <c r="O507" s="50"/>
      <c r="P507" s="50"/>
      <c r="Q507" s="50"/>
      <c r="R507" s="50"/>
      <c r="S507" s="50"/>
      <c r="T507" s="50"/>
      <c r="U507" s="50"/>
      <c r="V507" s="50"/>
      <c r="W507" s="50"/>
    </row>
    <row r="508">
      <c r="A508" s="50"/>
      <c r="B508" s="59"/>
      <c r="C508" s="50"/>
      <c r="D508" s="59"/>
      <c r="E508" s="50"/>
      <c r="F508" s="59"/>
      <c r="G508" s="50"/>
      <c r="H508" s="63"/>
      <c r="I508" s="50"/>
      <c r="J508" s="50"/>
      <c r="K508" s="50"/>
      <c r="L508" s="50"/>
      <c r="M508" s="50"/>
      <c r="N508" s="50"/>
      <c r="O508" s="50"/>
      <c r="P508" s="50"/>
      <c r="Q508" s="50"/>
      <c r="R508" s="50"/>
      <c r="S508" s="50"/>
      <c r="T508" s="50"/>
      <c r="U508" s="50"/>
      <c r="V508" s="50"/>
      <c r="W508" s="50"/>
    </row>
    <row r="509">
      <c r="A509" s="50"/>
      <c r="B509" s="59"/>
      <c r="C509" s="50"/>
      <c r="D509" s="59"/>
      <c r="E509" s="50"/>
      <c r="F509" s="59"/>
      <c r="G509" s="50"/>
      <c r="H509" s="63"/>
      <c r="I509" s="50"/>
      <c r="J509" s="50"/>
      <c r="K509" s="50"/>
      <c r="L509" s="50"/>
      <c r="M509" s="50"/>
      <c r="N509" s="50"/>
      <c r="O509" s="50"/>
      <c r="P509" s="50"/>
      <c r="Q509" s="50"/>
      <c r="R509" s="50"/>
      <c r="S509" s="50"/>
      <c r="T509" s="50"/>
      <c r="U509" s="50"/>
      <c r="V509" s="50"/>
      <c r="W509" s="50"/>
    </row>
    <row r="510">
      <c r="A510" s="50"/>
      <c r="B510" s="59"/>
      <c r="C510" s="50"/>
      <c r="D510" s="59"/>
      <c r="E510" s="50"/>
      <c r="F510" s="59"/>
      <c r="G510" s="50"/>
      <c r="H510" s="63"/>
      <c r="I510" s="50"/>
      <c r="J510" s="50"/>
      <c r="K510" s="50"/>
      <c r="L510" s="50"/>
      <c r="M510" s="50"/>
      <c r="N510" s="50"/>
      <c r="O510" s="50"/>
      <c r="P510" s="50"/>
      <c r="Q510" s="50"/>
      <c r="R510" s="50"/>
      <c r="S510" s="50"/>
      <c r="T510" s="50"/>
      <c r="U510" s="50"/>
      <c r="V510" s="50"/>
      <c r="W510" s="50"/>
    </row>
    <row r="511">
      <c r="A511" s="50"/>
      <c r="B511" s="59"/>
      <c r="C511" s="50"/>
      <c r="D511" s="59"/>
      <c r="E511" s="50"/>
      <c r="F511" s="59"/>
      <c r="G511" s="50"/>
      <c r="H511" s="63"/>
      <c r="I511" s="50"/>
      <c r="J511" s="50"/>
      <c r="K511" s="50"/>
      <c r="L511" s="50"/>
      <c r="M511" s="50"/>
      <c r="N511" s="50"/>
      <c r="O511" s="50"/>
      <c r="P511" s="50"/>
      <c r="Q511" s="50"/>
      <c r="R511" s="50"/>
      <c r="S511" s="50"/>
      <c r="T511" s="50"/>
      <c r="U511" s="50"/>
      <c r="V511" s="50"/>
      <c r="W511" s="50"/>
    </row>
    <row r="512">
      <c r="A512" s="50"/>
      <c r="B512" s="59"/>
      <c r="C512" s="50"/>
      <c r="D512" s="59"/>
      <c r="E512" s="50"/>
      <c r="F512" s="59"/>
      <c r="G512" s="50"/>
      <c r="H512" s="63"/>
      <c r="I512" s="50"/>
      <c r="J512" s="50"/>
      <c r="K512" s="50"/>
      <c r="L512" s="50"/>
      <c r="M512" s="50"/>
      <c r="N512" s="50"/>
      <c r="O512" s="50"/>
      <c r="P512" s="50"/>
      <c r="Q512" s="50"/>
      <c r="R512" s="50"/>
      <c r="S512" s="50"/>
      <c r="T512" s="50"/>
      <c r="U512" s="50"/>
      <c r="V512" s="50"/>
      <c r="W512" s="50"/>
    </row>
    <row r="513">
      <c r="A513" s="50"/>
      <c r="B513" s="59"/>
      <c r="C513" s="50"/>
      <c r="D513" s="59"/>
      <c r="E513" s="50"/>
      <c r="F513" s="59"/>
      <c r="G513" s="50"/>
      <c r="H513" s="63"/>
      <c r="I513" s="50"/>
      <c r="J513" s="50"/>
      <c r="K513" s="50"/>
      <c r="L513" s="50"/>
      <c r="M513" s="50"/>
      <c r="N513" s="50"/>
      <c r="O513" s="50"/>
      <c r="P513" s="50"/>
      <c r="Q513" s="50"/>
      <c r="R513" s="50"/>
      <c r="S513" s="50"/>
      <c r="T513" s="50"/>
      <c r="U513" s="50"/>
      <c r="V513" s="50"/>
      <c r="W513" s="50"/>
    </row>
    <row r="514">
      <c r="A514" s="50"/>
      <c r="B514" s="59"/>
      <c r="C514" s="50"/>
      <c r="D514" s="59"/>
      <c r="E514" s="50"/>
      <c r="F514" s="59"/>
      <c r="G514" s="50"/>
      <c r="H514" s="63"/>
      <c r="I514" s="50"/>
      <c r="J514" s="50"/>
      <c r="K514" s="50"/>
      <c r="L514" s="50"/>
      <c r="M514" s="50"/>
      <c r="N514" s="50"/>
      <c r="O514" s="50"/>
      <c r="P514" s="50"/>
      <c r="Q514" s="50"/>
      <c r="R514" s="50"/>
      <c r="S514" s="50"/>
      <c r="T514" s="50"/>
      <c r="U514" s="50"/>
      <c r="V514" s="50"/>
      <c r="W514" s="50"/>
    </row>
    <row r="515">
      <c r="A515" s="50"/>
      <c r="B515" s="59"/>
      <c r="C515" s="50"/>
      <c r="D515" s="59"/>
      <c r="E515" s="50"/>
      <c r="F515" s="59"/>
      <c r="G515" s="50"/>
      <c r="H515" s="63"/>
      <c r="I515" s="50"/>
      <c r="J515" s="50"/>
      <c r="K515" s="50"/>
      <c r="L515" s="50"/>
      <c r="M515" s="50"/>
      <c r="N515" s="50"/>
      <c r="O515" s="50"/>
      <c r="P515" s="50"/>
      <c r="Q515" s="50"/>
      <c r="R515" s="50"/>
      <c r="S515" s="50"/>
      <c r="T515" s="50"/>
      <c r="U515" s="50"/>
      <c r="V515" s="50"/>
      <c r="W515" s="50"/>
    </row>
    <row r="516">
      <c r="A516" s="50"/>
      <c r="B516" s="59"/>
      <c r="C516" s="50"/>
      <c r="D516" s="59"/>
      <c r="E516" s="50"/>
      <c r="F516" s="59"/>
      <c r="G516" s="50"/>
      <c r="H516" s="63"/>
      <c r="I516" s="50"/>
      <c r="J516" s="50"/>
      <c r="K516" s="50"/>
      <c r="L516" s="50"/>
      <c r="M516" s="50"/>
      <c r="N516" s="50"/>
      <c r="O516" s="50"/>
      <c r="P516" s="50"/>
      <c r="Q516" s="50"/>
      <c r="R516" s="50"/>
      <c r="S516" s="50"/>
      <c r="T516" s="50"/>
      <c r="U516" s="50"/>
      <c r="V516" s="50"/>
      <c r="W516" s="50"/>
    </row>
    <row r="517">
      <c r="A517" s="50"/>
      <c r="B517" s="59"/>
      <c r="C517" s="50"/>
      <c r="D517" s="59"/>
      <c r="E517" s="50"/>
      <c r="F517" s="59"/>
      <c r="G517" s="50"/>
      <c r="H517" s="63"/>
      <c r="I517" s="50"/>
      <c r="J517" s="50"/>
      <c r="K517" s="50"/>
      <c r="L517" s="50"/>
      <c r="M517" s="50"/>
      <c r="N517" s="50"/>
      <c r="O517" s="50"/>
      <c r="P517" s="50"/>
      <c r="Q517" s="50"/>
      <c r="R517" s="50"/>
      <c r="S517" s="50"/>
      <c r="T517" s="50"/>
      <c r="U517" s="50"/>
      <c r="V517" s="50"/>
      <c r="W517" s="50"/>
    </row>
    <row r="518">
      <c r="A518" s="50"/>
      <c r="B518" s="59"/>
      <c r="C518" s="50"/>
      <c r="D518" s="59"/>
      <c r="E518" s="50"/>
      <c r="F518" s="59"/>
      <c r="G518" s="50"/>
      <c r="H518" s="63"/>
      <c r="I518" s="50"/>
      <c r="J518" s="50"/>
      <c r="K518" s="50"/>
      <c r="L518" s="50"/>
      <c r="M518" s="50"/>
      <c r="N518" s="50"/>
      <c r="O518" s="50"/>
      <c r="P518" s="50"/>
      <c r="Q518" s="50"/>
      <c r="R518" s="50"/>
      <c r="S518" s="50"/>
      <c r="T518" s="50"/>
      <c r="U518" s="50"/>
      <c r="V518" s="50"/>
      <c r="W518" s="50"/>
    </row>
    <row r="519">
      <c r="A519" s="50"/>
      <c r="B519" s="59"/>
      <c r="C519" s="50"/>
      <c r="D519" s="59"/>
      <c r="E519" s="50"/>
      <c r="F519" s="59"/>
      <c r="G519" s="50"/>
      <c r="H519" s="63"/>
      <c r="I519" s="50"/>
      <c r="J519" s="50"/>
      <c r="K519" s="50"/>
      <c r="L519" s="50"/>
      <c r="M519" s="50"/>
      <c r="N519" s="50"/>
      <c r="O519" s="50"/>
      <c r="P519" s="50"/>
      <c r="Q519" s="50"/>
      <c r="R519" s="50"/>
      <c r="S519" s="50"/>
      <c r="T519" s="50"/>
      <c r="U519" s="50"/>
      <c r="V519" s="50"/>
      <c r="W519" s="50"/>
    </row>
    <row r="520">
      <c r="A520" s="50"/>
      <c r="B520" s="59"/>
      <c r="C520" s="50"/>
      <c r="D520" s="59"/>
      <c r="E520" s="50"/>
      <c r="F520" s="59"/>
      <c r="G520" s="50"/>
      <c r="H520" s="63"/>
      <c r="I520" s="50"/>
      <c r="J520" s="50"/>
      <c r="K520" s="50"/>
      <c r="L520" s="50"/>
      <c r="M520" s="50"/>
      <c r="N520" s="50"/>
      <c r="O520" s="50"/>
      <c r="P520" s="50"/>
      <c r="Q520" s="50"/>
      <c r="R520" s="50"/>
      <c r="S520" s="50"/>
      <c r="T520" s="50"/>
      <c r="U520" s="50"/>
      <c r="V520" s="50"/>
      <c r="W520" s="50"/>
    </row>
    <row r="521">
      <c r="A521" s="50"/>
      <c r="B521" s="59"/>
      <c r="C521" s="50"/>
      <c r="D521" s="59"/>
      <c r="E521" s="50"/>
      <c r="F521" s="59"/>
      <c r="G521" s="50"/>
      <c r="H521" s="63"/>
      <c r="I521" s="50"/>
      <c r="J521" s="50"/>
      <c r="K521" s="50"/>
      <c r="L521" s="50"/>
      <c r="M521" s="50"/>
      <c r="N521" s="50"/>
      <c r="O521" s="50"/>
      <c r="P521" s="50"/>
      <c r="Q521" s="50"/>
      <c r="R521" s="50"/>
      <c r="S521" s="50"/>
      <c r="T521" s="50"/>
      <c r="U521" s="50"/>
      <c r="V521" s="50"/>
      <c r="W521" s="50"/>
    </row>
    <row r="522">
      <c r="A522" s="50"/>
      <c r="B522" s="59"/>
      <c r="C522" s="50"/>
      <c r="D522" s="59"/>
      <c r="E522" s="50"/>
      <c r="F522" s="59"/>
      <c r="G522" s="50"/>
      <c r="H522" s="63"/>
      <c r="I522" s="50"/>
      <c r="J522" s="50"/>
      <c r="K522" s="50"/>
      <c r="L522" s="50"/>
      <c r="M522" s="50"/>
      <c r="N522" s="50"/>
      <c r="O522" s="50"/>
      <c r="P522" s="50"/>
      <c r="Q522" s="50"/>
      <c r="R522" s="50"/>
      <c r="S522" s="50"/>
      <c r="T522" s="50"/>
      <c r="U522" s="50"/>
      <c r="V522" s="50"/>
      <c r="W522" s="50"/>
    </row>
    <row r="523">
      <c r="A523" s="50"/>
      <c r="B523" s="59"/>
      <c r="C523" s="50"/>
      <c r="D523" s="59"/>
      <c r="E523" s="50"/>
      <c r="F523" s="59"/>
      <c r="G523" s="50"/>
      <c r="H523" s="63"/>
      <c r="I523" s="50"/>
      <c r="J523" s="50"/>
      <c r="K523" s="50"/>
      <c r="L523" s="50"/>
      <c r="M523" s="50"/>
      <c r="N523" s="50"/>
      <c r="O523" s="50"/>
      <c r="P523" s="50"/>
      <c r="Q523" s="50"/>
      <c r="R523" s="50"/>
      <c r="S523" s="50"/>
      <c r="T523" s="50"/>
      <c r="U523" s="50"/>
      <c r="V523" s="50"/>
      <c r="W523" s="50"/>
    </row>
    <row r="524">
      <c r="A524" s="50"/>
      <c r="B524" s="59"/>
      <c r="C524" s="50"/>
      <c r="D524" s="59"/>
      <c r="E524" s="50"/>
      <c r="F524" s="59"/>
      <c r="G524" s="50"/>
      <c r="H524" s="63"/>
      <c r="I524" s="50"/>
      <c r="J524" s="50"/>
      <c r="K524" s="50"/>
      <c r="L524" s="50"/>
      <c r="M524" s="50"/>
      <c r="N524" s="50"/>
      <c r="O524" s="50"/>
      <c r="P524" s="50"/>
      <c r="Q524" s="50"/>
      <c r="R524" s="50"/>
      <c r="S524" s="50"/>
      <c r="T524" s="50"/>
      <c r="U524" s="50"/>
      <c r="V524" s="50"/>
      <c r="W524" s="50"/>
    </row>
    <row r="525">
      <c r="A525" s="50"/>
      <c r="B525" s="59"/>
      <c r="C525" s="50"/>
      <c r="D525" s="59"/>
      <c r="E525" s="50"/>
      <c r="F525" s="59"/>
      <c r="G525" s="50"/>
      <c r="H525" s="63"/>
      <c r="I525" s="50"/>
      <c r="J525" s="50"/>
      <c r="K525" s="50"/>
      <c r="L525" s="50"/>
      <c r="M525" s="50"/>
      <c r="N525" s="50"/>
      <c r="O525" s="50"/>
      <c r="P525" s="50"/>
      <c r="Q525" s="50"/>
      <c r="R525" s="50"/>
      <c r="S525" s="50"/>
      <c r="T525" s="50"/>
      <c r="U525" s="50"/>
      <c r="V525" s="50"/>
      <c r="W525" s="50"/>
    </row>
    <row r="526">
      <c r="A526" s="50"/>
      <c r="B526" s="59"/>
      <c r="C526" s="50"/>
      <c r="D526" s="59"/>
      <c r="E526" s="50"/>
      <c r="F526" s="59"/>
      <c r="G526" s="50"/>
      <c r="H526" s="63"/>
      <c r="I526" s="50"/>
      <c r="J526" s="50"/>
      <c r="K526" s="50"/>
      <c r="L526" s="50"/>
      <c r="M526" s="50"/>
      <c r="N526" s="50"/>
      <c r="O526" s="50"/>
      <c r="P526" s="50"/>
      <c r="Q526" s="50"/>
      <c r="R526" s="50"/>
      <c r="S526" s="50"/>
      <c r="T526" s="50"/>
      <c r="U526" s="50"/>
      <c r="V526" s="50"/>
      <c r="W526" s="50"/>
    </row>
    <row r="527">
      <c r="A527" s="50"/>
      <c r="B527" s="59"/>
      <c r="C527" s="50"/>
      <c r="D527" s="59"/>
      <c r="E527" s="50"/>
      <c r="F527" s="59"/>
      <c r="G527" s="50"/>
      <c r="H527" s="63"/>
      <c r="I527" s="50"/>
      <c r="J527" s="50"/>
      <c r="K527" s="50"/>
      <c r="L527" s="50"/>
      <c r="M527" s="50"/>
      <c r="N527" s="50"/>
      <c r="O527" s="50"/>
      <c r="P527" s="50"/>
      <c r="Q527" s="50"/>
      <c r="R527" s="50"/>
      <c r="S527" s="50"/>
      <c r="T527" s="50"/>
      <c r="U527" s="50"/>
      <c r="V527" s="50"/>
      <c r="W527" s="50"/>
    </row>
    <row r="528">
      <c r="A528" s="50"/>
      <c r="B528" s="59"/>
      <c r="C528" s="50"/>
      <c r="D528" s="59"/>
      <c r="E528" s="50"/>
      <c r="F528" s="59"/>
      <c r="G528" s="50"/>
      <c r="H528" s="63"/>
      <c r="I528" s="50"/>
      <c r="J528" s="50"/>
      <c r="K528" s="50"/>
      <c r="L528" s="50"/>
      <c r="M528" s="50"/>
      <c r="N528" s="50"/>
      <c r="O528" s="50"/>
      <c r="P528" s="50"/>
      <c r="Q528" s="50"/>
      <c r="R528" s="50"/>
      <c r="S528" s="50"/>
      <c r="T528" s="50"/>
      <c r="U528" s="50"/>
      <c r="V528" s="50"/>
      <c r="W528" s="50"/>
    </row>
    <row r="529">
      <c r="A529" s="50"/>
      <c r="B529" s="59"/>
      <c r="C529" s="50"/>
      <c r="D529" s="59"/>
      <c r="E529" s="50"/>
      <c r="F529" s="59"/>
      <c r="G529" s="50"/>
      <c r="H529" s="63"/>
      <c r="I529" s="50"/>
      <c r="J529" s="50"/>
      <c r="K529" s="50"/>
      <c r="L529" s="50"/>
      <c r="M529" s="50"/>
      <c r="N529" s="50"/>
      <c r="O529" s="50"/>
      <c r="P529" s="50"/>
      <c r="Q529" s="50"/>
      <c r="R529" s="50"/>
      <c r="S529" s="50"/>
      <c r="T529" s="50"/>
      <c r="U529" s="50"/>
      <c r="V529" s="50"/>
      <c r="W529" s="50"/>
    </row>
    <row r="530">
      <c r="A530" s="50"/>
      <c r="B530" s="59"/>
      <c r="C530" s="50"/>
      <c r="D530" s="59"/>
      <c r="E530" s="50"/>
      <c r="F530" s="59"/>
      <c r="G530" s="50"/>
      <c r="H530" s="63"/>
      <c r="I530" s="50"/>
      <c r="J530" s="50"/>
      <c r="K530" s="50"/>
      <c r="L530" s="50"/>
      <c r="M530" s="50"/>
      <c r="N530" s="50"/>
      <c r="O530" s="50"/>
      <c r="P530" s="50"/>
      <c r="Q530" s="50"/>
      <c r="R530" s="50"/>
      <c r="S530" s="50"/>
      <c r="T530" s="50"/>
      <c r="U530" s="50"/>
      <c r="V530" s="50"/>
      <c r="W530" s="50"/>
    </row>
    <row r="531">
      <c r="A531" s="50"/>
      <c r="B531" s="59"/>
      <c r="C531" s="50"/>
      <c r="D531" s="59"/>
      <c r="E531" s="50"/>
      <c r="F531" s="59"/>
      <c r="G531" s="50"/>
      <c r="H531" s="63"/>
      <c r="I531" s="50"/>
      <c r="J531" s="50"/>
      <c r="K531" s="50"/>
      <c r="L531" s="50"/>
      <c r="M531" s="50"/>
      <c r="N531" s="50"/>
      <c r="O531" s="50"/>
      <c r="P531" s="50"/>
      <c r="Q531" s="50"/>
      <c r="R531" s="50"/>
      <c r="S531" s="50"/>
      <c r="T531" s="50"/>
      <c r="U531" s="50"/>
      <c r="V531" s="50"/>
      <c r="W531" s="50"/>
    </row>
    <row r="532">
      <c r="A532" s="50"/>
      <c r="B532" s="59"/>
      <c r="C532" s="50"/>
      <c r="D532" s="59"/>
      <c r="E532" s="50"/>
      <c r="F532" s="59"/>
      <c r="G532" s="50"/>
      <c r="H532" s="63"/>
      <c r="I532" s="50"/>
      <c r="J532" s="50"/>
      <c r="K532" s="50"/>
      <c r="L532" s="50"/>
      <c r="M532" s="50"/>
      <c r="N532" s="50"/>
      <c r="O532" s="50"/>
      <c r="P532" s="50"/>
      <c r="Q532" s="50"/>
      <c r="R532" s="50"/>
      <c r="S532" s="50"/>
      <c r="T532" s="50"/>
      <c r="U532" s="50"/>
      <c r="V532" s="50"/>
      <c r="W532" s="50"/>
    </row>
    <row r="533">
      <c r="A533" s="50"/>
      <c r="B533" s="59"/>
      <c r="C533" s="50"/>
      <c r="D533" s="59"/>
      <c r="E533" s="50"/>
      <c r="F533" s="59"/>
      <c r="G533" s="50"/>
      <c r="H533" s="63"/>
      <c r="I533" s="50"/>
      <c r="J533" s="50"/>
      <c r="K533" s="50"/>
      <c r="L533" s="50"/>
      <c r="M533" s="50"/>
      <c r="N533" s="50"/>
      <c r="O533" s="50"/>
      <c r="P533" s="50"/>
      <c r="Q533" s="50"/>
      <c r="R533" s="50"/>
      <c r="S533" s="50"/>
      <c r="T533" s="50"/>
      <c r="U533" s="50"/>
      <c r="V533" s="50"/>
      <c r="W533" s="50"/>
    </row>
    <row r="534">
      <c r="A534" s="50"/>
      <c r="B534" s="59"/>
      <c r="C534" s="50"/>
      <c r="D534" s="59"/>
      <c r="E534" s="50"/>
      <c r="F534" s="59"/>
      <c r="G534" s="50"/>
      <c r="H534" s="63"/>
      <c r="I534" s="50"/>
      <c r="J534" s="50"/>
      <c r="K534" s="50"/>
      <c r="L534" s="50"/>
      <c r="M534" s="50"/>
      <c r="N534" s="50"/>
      <c r="O534" s="50"/>
      <c r="P534" s="50"/>
      <c r="Q534" s="50"/>
      <c r="R534" s="50"/>
      <c r="S534" s="50"/>
      <c r="T534" s="50"/>
      <c r="U534" s="50"/>
      <c r="V534" s="50"/>
      <c r="W534" s="50"/>
    </row>
    <row r="535">
      <c r="A535" s="50"/>
      <c r="B535" s="59"/>
      <c r="C535" s="50"/>
      <c r="D535" s="59"/>
      <c r="E535" s="50"/>
      <c r="F535" s="59"/>
      <c r="G535" s="50"/>
      <c r="H535" s="63"/>
      <c r="I535" s="50"/>
      <c r="J535" s="50"/>
      <c r="K535" s="50"/>
      <c r="L535" s="50"/>
      <c r="M535" s="50"/>
      <c r="N535" s="50"/>
      <c r="O535" s="50"/>
      <c r="P535" s="50"/>
      <c r="Q535" s="50"/>
      <c r="R535" s="50"/>
      <c r="S535" s="50"/>
      <c r="T535" s="50"/>
      <c r="U535" s="50"/>
      <c r="V535" s="50"/>
      <c r="W535" s="50"/>
    </row>
    <row r="536">
      <c r="A536" s="50"/>
      <c r="B536" s="59"/>
      <c r="C536" s="50"/>
      <c r="D536" s="59"/>
      <c r="E536" s="50"/>
      <c r="F536" s="59"/>
      <c r="G536" s="50"/>
      <c r="H536" s="63"/>
      <c r="I536" s="50"/>
      <c r="J536" s="50"/>
      <c r="K536" s="50"/>
      <c r="L536" s="50"/>
      <c r="M536" s="50"/>
      <c r="N536" s="50"/>
      <c r="O536" s="50"/>
      <c r="P536" s="50"/>
      <c r="Q536" s="50"/>
      <c r="R536" s="50"/>
      <c r="S536" s="50"/>
      <c r="T536" s="50"/>
      <c r="U536" s="50"/>
      <c r="V536" s="50"/>
      <c r="W536" s="50"/>
    </row>
    <row r="537">
      <c r="A537" s="50"/>
      <c r="B537" s="59"/>
      <c r="C537" s="50"/>
      <c r="D537" s="59"/>
      <c r="E537" s="50"/>
      <c r="F537" s="59"/>
      <c r="G537" s="50"/>
      <c r="H537" s="63"/>
      <c r="I537" s="50"/>
      <c r="J537" s="50"/>
      <c r="K537" s="50"/>
      <c r="L537" s="50"/>
      <c r="M537" s="50"/>
      <c r="N537" s="50"/>
      <c r="O537" s="50"/>
      <c r="P537" s="50"/>
      <c r="Q537" s="50"/>
      <c r="R537" s="50"/>
      <c r="S537" s="50"/>
      <c r="T537" s="50"/>
      <c r="U537" s="50"/>
      <c r="V537" s="50"/>
      <c r="W537" s="50"/>
    </row>
    <row r="538">
      <c r="A538" s="50"/>
      <c r="B538" s="59"/>
      <c r="C538" s="50"/>
      <c r="D538" s="59"/>
      <c r="E538" s="50"/>
      <c r="F538" s="59"/>
      <c r="G538" s="50"/>
      <c r="H538" s="63"/>
      <c r="I538" s="50"/>
      <c r="J538" s="50"/>
      <c r="K538" s="50"/>
      <c r="L538" s="50"/>
      <c r="M538" s="50"/>
      <c r="N538" s="50"/>
      <c r="O538" s="50"/>
      <c r="P538" s="50"/>
      <c r="Q538" s="50"/>
      <c r="R538" s="50"/>
      <c r="S538" s="50"/>
      <c r="T538" s="50"/>
      <c r="U538" s="50"/>
      <c r="V538" s="50"/>
      <c r="W538" s="50"/>
    </row>
    <row r="539">
      <c r="A539" s="50"/>
      <c r="B539" s="59"/>
      <c r="C539" s="50"/>
      <c r="D539" s="59"/>
      <c r="E539" s="50"/>
      <c r="F539" s="59"/>
      <c r="G539" s="50"/>
      <c r="H539" s="63"/>
      <c r="I539" s="50"/>
      <c r="J539" s="50"/>
      <c r="K539" s="50"/>
      <c r="L539" s="50"/>
      <c r="M539" s="50"/>
      <c r="N539" s="50"/>
      <c r="O539" s="50"/>
      <c r="P539" s="50"/>
      <c r="Q539" s="50"/>
      <c r="R539" s="50"/>
      <c r="S539" s="50"/>
      <c r="T539" s="50"/>
      <c r="U539" s="50"/>
      <c r="V539" s="50"/>
      <c r="W539" s="50"/>
    </row>
    <row r="540">
      <c r="A540" s="50"/>
      <c r="B540" s="59"/>
      <c r="C540" s="50"/>
      <c r="D540" s="59"/>
      <c r="E540" s="50"/>
      <c r="F540" s="59"/>
      <c r="G540" s="50"/>
      <c r="H540" s="63"/>
      <c r="I540" s="50"/>
      <c r="J540" s="50"/>
      <c r="K540" s="50"/>
      <c r="L540" s="50"/>
      <c r="M540" s="50"/>
      <c r="N540" s="50"/>
      <c r="O540" s="50"/>
      <c r="P540" s="50"/>
      <c r="Q540" s="50"/>
      <c r="R540" s="50"/>
      <c r="S540" s="50"/>
      <c r="T540" s="50"/>
      <c r="U540" s="50"/>
      <c r="V540" s="50"/>
      <c r="W540" s="50"/>
    </row>
    <row r="541">
      <c r="A541" s="50"/>
      <c r="B541" s="59"/>
      <c r="C541" s="50"/>
      <c r="D541" s="59"/>
      <c r="E541" s="50"/>
      <c r="F541" s="59"/>
      <c r="G541" s="50"/>
      <c r="H541" s="63"/>
      <c r="I541" s="50"/>
      <c r="J541" s="50"/>
      <c r="K541" s="50"/>
      <c r="L541" s="50"/>
      <c r="M541" s="50"/>
      <c r="N541" s="50"/>
      <c r="O541" s="50"/>
      <c r="P541" s="50"/>
      <c r="Q541" s="50"/>
      <c r="R541" s="50"/>
      <c r="S541" s="50"/>
      <c r="T541" s="50"/>
      <c r="U541" s="50"/>
      <c r="V541" s="50"/>
      <c r="W541" s="50"/>
    </row>
    <row r="542">
      <c r="A542" s="50"/>
      <c r="B542" s="59"/>
      <c r="C542" s="50"/>
      <c r="D542" s="59"/>
      <c r="E542" s="50"/>
      <c r="F542" s="59"/>
      <c r="G542" s="50"/>
      <c r="H542" s="63"/>
      <c r="I542" s="50"/>
      <c r="J542" s="50"/>
      <c r="K542" s="50"/>
      <c r="L542" s="50"/>
      <c r="M542" s="50"/>
      <c r="N542" s="50"/>
      <c r="O542" s="50"/>
      <c r="P542" s="50"/>
      <c r="Q542" s="50"/>
      <c r="R542" s="50"/>
      <c r="S542" s="50"/>
      <c r="T542" s="50"/>
      <c r="U542" s="50"/>
      <c r="V542" s="50"/>
      <c r="W542" s="50"/>
    </row>
    <row r="543">
      <c r="A543" s="50"/>
      <c r="B543" s="59"/>
      <c r="C543" s="50"/>
      <c r="D543" s="59"/>
      <c r="E543" s="50"/>
      <c r="F543" s="59"/>
      <c r="G543" s="50"/>
      <c r="H543" s="63"/>
      <c r="I543" s="50"/>
      <c r="J543" s="50"/>
      <c r="K543" s="50"/>
      <c r="L543" s="50"/>
      <c r="M543" s="50"/>
      <c r="N543" s="50"/>
      <c r="O543" s="50"/>
      <c r="P543" s="50"/>
      <c r="Q543" s="50"/>
      <c r="R543" s="50"/>
      <c r="S543" s="50"/>
      <c r="T543" s="50"/>
      <c r="U543" s="50"/>
      <c r="V543" s="50"/>
      <c r="W543" s="50"/>
    </row>
    <row r="544">
      <c r="A544" s="50"/>
      <c r="B544" s="59"/>
      <c r="C544" s="50"/>
      <c r="D544" s="59"/>
      <c r="E544" s="50"/>
      <c r="F544" s="59"/>
      <c r="G544" s="50"/>
      <c r="H544" s="63"/>
      <c r="I544" s="50"/>
      <c r="J544" s="50"/>
      <c r="K544" s="50"/>
      <c r="L544" s="50"/>
      <c r="M544" s="50"/>
      <c r="N544" s="50"/>
      <c r="O544" s="50"/>
      <c r="P544" s="50"/>
      <c r="Q544" s="50"/>
      <c r="R544" s="50"/>
      <c r="S544" s="50"/>
      <c r="T544" s="50"/>
      <c r="U544" s="50"/>
      <c r="V544" s="50"/>
      <c r="W544" s="50"/>
    </row>
    <row r="545">
      <c r="A545" s="50"/>
      <c r="B545" s="59"/>
      <c r="C545" s="50"/>
      <c r="D545" s="59"/>
      <c r="E545" s="50"/>
      <c r="F545" s="59"/>
      <c r="G545" s="50"/>
      <c r="H545" s="63"/>
      <c r="I545" s="50"/>
      <c r="J545" s="50"/>
      <c r="K545" s="50"/>
      <c r="L545" s="50"/>
      <c r="M545" s="50"/>
      <c r="N545" s="50"/>
      <c r="O545" s="50"/>
      <c r="P545" s="50"/>
      <c r="Q545" s="50"/>
      <c r="R545" s="50"/>
      <c r="S545" s="50"/>
      <c r="T545" s="50"/>
      <c r="U545" s="50"/>
      <c r="V545" s="50"/>
      <c r="W545" s="50"/>
    </row>
    <row r="546">
      <c r="A546" s="50"/>
      <c r="B546" s="59"/>
      <c r="C546" s="50"/>
      <c r="D546" s="59"/>
      <c r="E546" s="50"/>
      <c r="F546" s="59"/>
      <c r="G546" s="50"/>
      <c r="H546" s="63"/>
      <c r="I546" s="50"/>
      <c r="J546" s="50"/>
      <c r="K546" s="50"/>
      <c r="L546" s="50"/>
      <c r="M546" s="50"/>
      <c r="N546" s="50"/>
      <c r="O546" s="50"/>
      <c r="P546" s="50"/>
      <c r="Q546" s="50"/>
      <c r="R546" s="50"/>
      <c r="S546" s="50"/>
      <c r="T546" s="50"/>
      <c r="U546" s="50"/>
      <c r="V546" s="50"/>
      <c r="W546" s="50"/>
    </row>
    <row r="547">
      <c r="A547" s="50"/>
      <c r="B547" s="59"/>
      <c r="C547" s="50"/>
      <c r="D547" s="59"/>
      <c r="E547" s="50"/>
      <c r="F547" s="59"/>
      <c r="G547" s="50"/>
      <c r="H547" s="63"/>
      <c r="I547" s="50"/>
      <c r="J547" s="50"/>
      <c r="K547" s="50"/>
      <c r="L547" s="50"/>
      <c r="M547" s="50"/>
      <c r="N547" s="50"/>
      <c r="O547" s="50"/>
      <c r="P547" s="50"/>
      <c r="Q547" s="50"/>
      <c r="R547" s="50"/>
      <c r="S547" s="50"/>
      <c r="T547" s="50"/>
      <c r="U547" s="50"/>
      <c r="V547" s="50"/>
      <c r="W547" s="50"/>
    </row>
    <row r="548">
      <c r="A548" s="50"/>
      <c r="B548" s="59"/>
      <c r="C548" s="50"/>
      <c r="D548" s="59"/>
      <c r="E548" s="50"/>
      <c r="F548" s="59"/>
      <c r="G548" s="50"/>
      <c r="H548" s="63"/>
      <c r="I548" s="50"/>
      <c r="J548" s="50"/>
      <c r="K548" s="50"/>
      <c r="L548" s="50"/>
      <c r="M548" s="50"/>
      <c r="N548" s="50"/>
      <c r="O548" s="50"/>
      <c r="P548" s="50"/>
      <c r="Q548" s="50"/>
      <c r="R548" s="50"/>
      <c r="S548" s="50"/>
      <c r="T548" s="50"/>
      <c r="U548" s="50"/>
      <c r="V548" s="50"/>
      <c r="W548" s="50"/>
    </row>
    <row r="549">
      <c r="A549" s="50"/>
      <c r="B549" s="59"/>
      <c r="C549" s="50"/>
      <c r="D549" s="59"/>
      <c r="E549" s="50"/>
      <c r="F549" s="59"/>
      <c r="G549" s="50"/>
      <c r="H549" s="63"/>
      <c r="I549" s="50"/>
      <c r="J549" s="50"/>
      <c r="K549" s="50"/>
      <c r="L549" s="50"/>
      <c r="M549" s="50"/>
      <c r="N549" s="50"/>
      <c r="O549" s="50"/>
      <c r="P549" s="50"/>
      <c r="Q549" s="50"/>
      <c r="R549" s="50"/>
      <c r="S549" s="50"/>
      <c r="T549" s="50"/>
      <c r="U549" s="50"/>
      <c r="V549" s="50"/>
      <c r="W549" s="50"/>
    </row>
    <row r="550">
      <c r="A550" s="50"/>
      <c r="B550" s="59"/>
      <c r="C550" s="50"/>
      <c r="D550" s="59"/>
      <c r="E550" s="50"/>
      <c r="F550" s="59"/>
      <c r="G550" s="50"/>
      <c r="H550" s="63"/>
      <c r="I550" s="50"/>
      <c r="J550" s="50"/>
      <c r="K550" s="50"/>
      <c r="L550" s="50"/>
      <c r="M550" s="50"/>
      <c r="N550" s="50"/>
      <c r="O550" s="50"/>
      <c r="P550" s="50"/>
      <c r="Q550" s="50"/>
      <c r="R550" s="50"/>
      <c r="S550" s="50"/>
      <c r="T550" s="50"/>
      <c r="U550" s="50"/>
      <c r="V550" s="50"/>
      <c r="W550" s="50"/>
    </row>
    <row r="551">
      <c r="A551" s="50"/>
      <c r="B551" s="59"/>
      <c r="C551" s="50"/>
      <c r="D551" s="59"/>
      <c r="E551" s="50"/>
      <c r="F551" s="59"/>
      <c r="G551" s="50"/>
      <c r="H551" s="63"/>
      <c r="I551" s="50"/>
      <c r="J551" s="50"/>
      <c r="K551" s="50"/>
      <c r="L551" s="50"/>
      <c r="M551" s="50"/>
      <c r="N551" s="50"/>
      <c r="O551" s="50"/>
      <c r="P551" s="50"/>
      <c r="Q551" s="50"/>
      <c r="R551" s="50"/>
      <c r="S551" s="50"/>
      <c r="T551" s="50"/>
      <c r="U551" s="50"/>
      <c r="V551" s="50"/>
      <c r="W551" s="50"/>
    </row>
    <row r="552">
      <c r="A552" s="50"/>
      <c r="B552" s="59"/>
      <c r="C552" s="50"/>
      <c r="D552" s="59"/>
      <c r="E552" s="50"/>
      <c r="F552" s="59"/>
      <c r="G552" s="50"/>
      <c r="H552" s="63"/>
      <c r="I552" s="50"/>
      <c r="J552" s="50"/>
      <c r="K552" s="50"/>
      <c r="L552" s="50"/>
      <c r="M552" s="50"/>
      <c r="N552" s="50"/>
      <c r="O552" s="50"/>
      <c r="P552" s="50"/>
      <c r="Q552" s="50"/>
      <c r="R552" s="50"/>
      <c r="S552" s="50"/>
      <c r="T552" s="50"/>
      <c r="U552" s="50"/>
      <c r="V552" s="50"/>
      <c r="W552" s="50"/>
    </row>
    <row r="553">
      <c r="A553" s="50"/>
      <c r="B553" s="59"/>
      <c r="C553" s="50"/>
      <c r="D553" s="59"/>
      <c r="E553" s="50"/>
      <c r="F553" s="59"/>
      <c r="G553" s="50"/>
      <c r="H553" s="63"/>
      <c r="I553" s="50"/>
      <c r="J553" s="50"/>
      <c r="K553" s="50"/>
      <c r="L553" s="50"/>
      <c r="M553" s="50"/>
      <c r="N553" s="50"/>
      <c r="O553" s="50"/>
      <c r="P553" s="50"/>
      <c r="Q553" s="50"/>
      <c r="R553" s="50"/>
      <c r="S553" s="50"/>
      <c r="T553" s="50"/>
      <c r="U553" s="50"/>
      <c r="V553" s="50"/>
      <c r="W553" s="50"/>
    </row>
    <row r="554">
      <c r="A554" s="50"/>
      <c r="B554" s="59"/>
      <c r="C554" s="50"/>
      <c r="D554" s="59"/>
      <c r="E554" s="50"/>
      <c r="F554" s="59"/>
      <c r="G554" s="50"/>
      <c r="H554" s="63"/>
      <c r="I554" s="50"/>
      <c r="J554" s="50"/>
      <c r="K554" s="50"/>
      <c r="L554" s="50"/>
      <c r="M554" s="50"/>
      <c r="N554" s="50"/>
      <c r="O554" s="50"/>
      <c r="P554" s="50"/>
      <c r="Q554" s="50"/>
      <c r="R554" s="50"/>
      <c r="S554" s="50"/>
      <c r="T554" s="50"/>
      <c r="U554" s="50"/>
      <c r="V554" s="50"/>
      <c r="W554" s="50"/>
    </row>
    <row r="555">
      <c r="A555" s="50"/>
      <c r="B555" s="59"/>
      <c r="C555" s="50"/>
      <c r="D555" s="59"/>
      <c r="E555" s="50"/>
      <c r="F555" s="59"/>
      <c r="G555" s="50"/>
      <c r="H555" s="63"/>
      <c r="I555" s="50"/>
      <c r="J555" s="50"/>
      <c r="K555" s="50"/>
      <c r="L555" s="50"/>
      <c r="M555" s="50"/>
      <c r="N555" s="50"/>
      <c r="O555" s="50"/>
      <c r="P555" s="50"/>
      <c r="Q555" s="50"/>
      <c r="R555" s="50"/>
      <c r="S555" s="50"/>
      <c r="T555" s="50"/>
      <c r="U555" s="50"/>
      <c r="V555" s="50"/>
      <c r="W555" s="50"/>
    </row>
    <row r="556">
      <c r="A556" s="50"/>
      <c r="B556" s="59"/>
      <c r="C556" s="50"/>
      <c r="D556" s="59"/>
      <c r="E556" s="50"/>
      <c r="F556" s="59"/>
      <c r="G556" s="50"/>
      <c r="H556" s="63"/>
      <c r="I556" s="50"/>
      <c r="J556" s="50"/>
      <c r="K556" s="50"/>
      <c r="L556" s="50"/>
      <c r="M556" s="50"/>
      <c r="N556" s="50"/>
      <c r="O556" s="50"/>
      <c r="P556" s="50"/>
      <c r="Q556" s="50"/>
      <c r="R556" s="50"/>
      <c r="S556" s="50"/>
      <c r="T556" s="50"/>
      <c r="U556" s="50"/>
      <c r="V556" s="50"/>
      <c r="W556" s="50"/>
    </row>
    <row r="557">
      <c r="A557" s="50"/>
      <c r="B557" s="59"/>
      <c r="C557" s="50"/>
      <c r="D557" s="59"/>
      <c r="E557" s="50"/>
      <c r="F557" s="59"/>
      <c r="G557" s="50"/>
      <c r="H557" s="63"/>
      <c r="I557" s="50"/>
      <c r="J557" s="50"/>
      <c r="K557" s="50"/>
      <c r="L557" s="50"/>
      <c r="M557" s="50"/>
      <c r="N557" s="50"/>
      <c r="O557" s="50"/>
      <c r="P557" s="50"/>
      <c r="Q557" s="50"/>
      <c r="R557" s="50"/>
      <c r="S557" s="50"/>
      <c r="T557" s="50"/>
      <c r="U557" s="50"/>
      <c r="V557" s="50"/>
      <c r="W557" s="50"/>
    </row>
    <row r="558">
      <c r="A558" s="50"/>
      <c r="B558" s="59"/>
      <c r="C558" s="50"/>
      <c r="D558" s="59"/>
      <c r="E558" s="50"/>
      <c r="F558" s="59"/>
      <c r="G558" s="50"/>
      <c r="H558" s="63"/>
      <c r="I558" s="50"/>
      <c r="J558" s="50"/>
      <c r="K558" s="50"/>
      <c r="L558" s="50"/>
      <c r="M558" s="50"/>
      <c r="N558" s="50"/>
      <c r="O558" s="50"/>
      <c r="P558" s="50"/>
      <c r="Q558" s="50"/>
      <c r="R558" s="50"/>
      <c r="S558" s="50"/>
      <c r="T558" s="50"/>
      <c r="U558" s="50"/>
      <c r="V558" s="50"/>
      <c r="W558" s="50"/>
    </row>
    <row r="559">
      <c r="A559" s="50"/>
      <c r="B559" s="59"/>
      <c r="C559" s="50"/>
      <c r="D559" s="59"/>
      <c r="E559" s="50"/>
      <c r="F559" s="59"/>
      <c r="G559" s="50"/>
      <c r="H559" s="63"/>
      <c r="I559" s="50"/>
      <c r="J559" s="50"/>
      <c r="K559" s="50"/>
      <c r="L559" s="50"/>
      <c r="M559" s="50"/>
      <c r="N559" s="50"/>
      <c r="O559" s="50"/>
      <c r="P559" s="50"/>
      <c r="Q559" s="50"/>
      <c r="R559" s="50"/>
      <c r="S559" s="50"/>
      <c r="T559" s="50"/>
      <c r="U559" s="50"/>
      <c r="V559" s="50"/>
      <c r="W559" s="50"/>
    </row>
    <row r="560">
      <c r="A560" s="50"/>
      <c r="B560" s="59"/>
      <c r="C560" s="50"/>
      <c r="D560" s="59"/>
      <c r="E560" s="50"/>
      <c r="F560" s="59"/>
      <c r="G560" s="50"/>
      <c r="H560" s="63"/>
      <c r="I560" s="50"/>
      <c r="J560" s="50"/>
      <c r="K560" s="50"/>
      <c r="L560" s="50"/>
      <c r="M560" s="50"/>
      <c r="N560" s="50"/>
      <c r="O560" s="50"/>
      <c r="P560" s="50"/>
      <c r="Q560" s="50"/>
      <c r="R560" s="50"/>
      <c r="S560" s="50"/>
      <c r="T560" s="50"/>
      <c r="U560" s="50"/>
      <c r="V560" s="50"/>
      <c r="W560" s="50"/>
    </row>
    <row r="561">
      <c r="A561" s="50"/>
      <c r="B561" s="59"/>
      <c r="C561" s="50"/>
      <c r="D561" s="59"/>
      <c r="E561" s="50"/>
      <c r="F561" s="59"/>
      <c r="G561" s="50"/>
      <c r="H561" s="63"/>
      <c r="I561" s="50"/>
      <c r="J561" s="50"/>
      <c r="K561" s="50"/>
      <c r="L561" s="50"/>
      <c r="M561" s="50"/>
      <c r="N561" s="50"/>
      <c r="O561" s="50"/>
      <c r="P561" s="50"/>
      <c r="Q561" s="50"/>
      <c r="R561" s="50"/>
      <c r="S561" s="50"/>
      <c r="T561" s="50"/>
      <c r="U561" s="50"/>
      <c r="V561" s="50"/>
      <c r="W561" s="50"/>
    </row>
    <row r="562">
      <c r="A562" s="50"/>
      <c r="B562" s="59"/>
      <c r="C562" s="50"/>
      <c r="D562" s="59"/>
      <c r="E562" s="50"/>
      <c r="F562" s="59"/>
      <c r="G562" s="50"/>
      <c r="H562" s="63"/>
      <c r="I562" s="50"/>
      <c r="J562" s="50"/>
      <c r="K562" s="50"/>
      <c r="L562" s="50"/>
      <c r="M562" s="50"/>
      <c r="N562" s="50"/>
      <c r="O562" s="50"/>
      <c r="P562" s="50"/>
      <c r="Q562" s="50"/>
      <c r="R562" s="50"/>
      <c r="S562" s="50"/>
      <c r="T562" s="50"/>
      <c r="U562" s="50"/>
      <c r="V562" s="50"/>
      <c r="W562" s="50"/>
    </row>
    <row r="563">
      <c r="A563" s="50"/>
      <c r="B563" s="59"/>
      <c r="C563" s="50"/>
      <c r="D563" s="59"/>
      <c r="E563" s="50"/>
      <c r="F563" s="59"/>
      <c r="G563" s="50"/>
      <c r="H563" s="63"/>
      <c r="I563" s="50"/>
      <c r="J563" s="50"/>
      <c r="K563" s="50"/>
      <c r="L563" s="50"/>
      <c r="M563" s="50"/>
      <c r="N563" s="50"/>
      <c r="O563" s="50"/>
      <c r="P563" s="50"/>
      <c r="Q563" s="50"/>
      <c r="R563" s="50"/>
      <c r="S563" s="50"/>
      <c r="T563" s="50"/>
      <c r="U563" s="50"/>
      <c r="V563" s="50"/>
      <c r="W563" s="50"/>
    </row>
    <row r="564">
      <c r="A564" s="50"/>
      <c r="B564" s="59"/>
      <c r="C564" s="50"/>
      <c r="D564" s="59"/>
      <c r="E564" s="50"/>
      <c r="F564" s="59"/>
      <c r="G564" s="50"/>
      <c r="H564" s="63"/>
      <c r="I564" s="50"/>
      <c r="J564" s="50"/>
      <c r="K564" s="50"/>
      <c r="L564" s="50"/>
      <c r="M564" s="50"/>
      <c r="N564" s="50"/>
      <c r="O564" s="50"/>
      <c r="P564" s="50"/>
      <c r="Q564" s="50"/>
      <c r="R564" s="50"/>
      <c r="S564" s="50"/>
      <c r="T564" s="50"/>
      <c r="U564" s="50"/>
      <c r="V564" s="50"/>
      <c r="W564" s="50"/>
    </row>
    <row r="565">
      <c r="A565" s="50"/>
      <c r="B565" s="59"/>
      <c r="C565" s="50"/>
      <c r="D565" s="59"/>
      <c r="E565" s="50"/>
      <c r="F565" s="59"/>
      <c r="G565" s="50"/>
      <c r="H565" s="63"/>
      <c r="I565" s="50"/>
      <c r="J565" s="50"/>
      <c r="K565" s="50"/>
      <c r="L565" s="50"/>
      <c r="M565" s="50"/>
      <c r="N565" s="50"/>
      <c r="O565" s="50"/>
      <c r="P565" s="50"/>
      <c r="Q565" s="50"/>
      <c r="R565" s="50"/>
      <c r="S565" s="50"/>
      <c r="T565" s="50"/>
      <c r="U565" s="50"/>
      <c r="V565" s="50"/>
      <c r="W565" s="50"/>
    </row>
    <row r="566">
      <c r="A566" s="50"/>
      <c r="B566" s="59"/>
      <c r="C566" s="50"/>
      <c r="D566" s="59"/>
      <c r="E566" s="50"/>
      <c r="F566" s="59"/>
      <c r="G566" s="50"/>
      <c r="H566" s="63"/>
      <c r="I566" s="50"/>
      <c r="J566" s="50"/>
      <c r="K566" s="50"/>
      <c r="L566" s="50"/>
      <c r="M566" s="50"/>
      <c r="N566" s="50"/>
      <c r="O566" s="50"/>
      <c r="P566" s="50"/>
      <c r="Q566" s="50"/>
      <c r="R566" s="50"/>
      <c r="S566" s="50"/>
      <c r="T566" s="50"/>
      <c r="U566" s="50"/>
      <c r="V566" s="50"/>
      <c r="W566" s="50"/>
    </row>
    <row r="567">
      <c r="A567" s="50"/>
      <c r="B567" s="59"/>
      <c r="C567" s="50"/>
      <c r="D567" s="59"/>
      <c r="E567" s="50"/>
      <c r="F567" s="59"/>
      <c r="G567" s="50"/>
      <c r="H567" s="63"/>
      <c r="I567" s="50"/>
      <c r="J567" s="50"/>
      <c r="K567" s="50"/>
      <c r="L567" s="50"/>
      <c r="M567" s="50"/>
      <c r="N567" s="50"/>
      <c r="O567" s="50"/>
      <c r="P567" s="50"/>
      <c r="Q567" s="50"/>
      <c r="R567" s="50"/>
      <c r="S567" s="50"/>
      <c r="T567" s="50"/>
      <c r="U567" s="50"/>
      <c r="V567" s="50"/>
      <c r="W567" s="50"/>
    </row>
    <row r="568">
      <c r="A568" s="50"/>
      <c r="B568" s="59"/>
      <c r="C568" s="50"/>
      <c r="D568" s="59"/>
      <c r="E568" s="50"/>
      <c r="F568" s="59"/>
      <c r="G568" s="50"/>
      <c r="H568" s="63"/>
      <c r="I568" s="50"/>
      <c r="J568" s="50"/>
      <c r="K568" s="50"/>
      <c r="L568" s="50"/>
      <c r="M568" s="50"/>
      <c r="N568" s="50"/>
      <c r="O568" s="50"/>
      <c r="P568" s="50"/>
      <c r="Q568" s="50"/>
      <c r="R568" s="50"/>
      <c r="S568" s="50"/>
      <c r="T568" s="50"/>
      <c r="U568" s="50"/>
      <c r="V568" s="50"/>
      <c r="W568" s="50"/>
    </row>
    <row r="569">
      <c r="A569" s="50"/>
      <c r="B569" s="59"/>
      <c r="C569" s="50"/>
      <c r="D569" s="59"/>
      <c r="E569" s="50"/>
      <c r="F569" s="59"/>
      <c r="G569" s="50"/>
      <c r="H569" s="63"/>
      <c r="I569" s="50"/>
      <c r="J569" s="50"/>
      <c r="K569" s="50"/>
      <c r="L569" s="50"/>
      <c r="M569" s="50"/>
      <c r="N569" s="50"/>
      <c r="O569" s="50"/>
      <c r="P569" s="50"/>
      <c r="Q569" s="50"/>
      <c r="R569" s="50"/>
      <c r="S569" s="50"/>
      <c r="T569" s="50"/>
      <c r="U569" s="50"/>
      <c r="V569" s="50"/>
      <c r="W569" s="50"/>
    </row>
    <row r="570">
      <c r="A570" s="50"/>
      <c r="B570" s="59"/>
      <c r="C570" s="50"/>
      <c r="D570" s="59"/>
      <c r="E570" s="50"/>
      <c r="F570" s="59"/>
      <c r="G570" s="50"/>
      <c r="H570" s="63"/>
      <c r="I570" s="50"/>
      <c r="J570" s="50"/>
      <c r="K570" s="50"/>
      <c r="L570" s="50"/>
      <c r="M570" s="50"/>
      <c r="N570" s="50"/>
      <c r="O570" s="50"/>
      <c r="P570" s="50"/>
      <c r="Q570" s="50"/>
      <c r="R570" s="50"/>
      <c r="S570" s="50"/>
      <c r="T570" s="50"/>
      <c r="U570" s="50"/>
      <c r="V570" s="50"/>
      <c r="W570" s="50"/>
    </row>
    <row r="571">
      <c r="A571" s="50"/>
      <c r="B571" s="59"/>
      <c r="C571" s="50"/>
      <c r="D571" s="59"/>
      <c r="E571" s="50"/>
      <c r="F571" s="59"/>
      <c r="G571" s="50"/>
      <c r="H571" s="63"/>
      <c r="I571" s="50"/>
      <c r="J571" s="50"/>
      <c r="K571" s="50"/>
      <c r="L571" s="50"/>
      <c r="M571" s="50"/>
      <c r="N571" s="50"/>
      <c r="O571" s="50"/>
      <c r="P571" s="50"/>
      <c r="Q571" s="50"/>
      <c r="R571" s="50"/>
      <c r="S571" s="50"/>
      <c r="T571" s="50"/>
      <c r="U571" s="50"/>
      <c r="V571" s="50"/>
      <c r="W571" s="50"/>
    </row>
    <row r="572">
      <c r="A572" s="50"/>
      <c r="B572" s="59"/>
      <c r="C572" s="50"/>
      <c r="D572" s="59"/>
      <c r="E572" s="50"/>
      <c r="F572" s="59"/>
      <c r="G572" s="50"/>
      <c r="H572" s="63"/>
      <c r="I572" s="50"/>
      <c r="J572" s="50"/>
      <c r="K572" s="50"/>
      <c r="L572" s="50"/>
      <c r="M572" s="50"/>
      <c r="N572" s="50"/>
      <c r="O572" s="50"/>
      <c r="P572" s="50"/>
      <c r="Q572" s="50"/>
      <c r="R572" s="50"/>
      <c r="S572" s="50"/>
      <c r="T572" s="50"/>
      <c r="U572" s="50"/>
      <c r="V572" s="50"/>
      <c r="W572" s="50"/>
    </row>
    <row r="573">
      <c r="A573" s="50"/>
      <c r="B573" s="59"/>
      <c r="C573" s="50"/>
      <c r="D573" s="59"/>
      <c r="E573" s="50"/>
      <c r="F573" s="59"/>
      <c r="G573" s="50"/>
      <c r="H573" s="63"/>
      <c r="I573" s="50"/>
      <c r="J573" s="50"/>
      <c r="K573" s="50"/>
      <c r="L573" s="50"/>
      <c r="M573" s="50"/>
      <c r="N573" s="50"/>
      <c r="O573" s="50"/>
      <c r="P573" s="50"/>
      <c r="Q573" s="50"/>
      <c r="R573" s="50"/>
      <c r="S573" s="50"/>
      <c r="T573" s="50"/>
      <c r="U573" s="50"/>
      <c r="V573" s="50"/>
      <c r="W573" s="50"/>
    </row>
    <row r="574">
      <c r="A574" s="50"/>
      <c r="B574" s="59"/>
      <c r="C574" s="50"/>
      <c r="D574" s="59"/>
      <c r="E574" s="50"/>
      <c r="F574" s="59"/>
      <c r="G574" s="50"/>
      <c r="H574" s="63"/>
      <c r="I574" s="50"/>
      <c r="J574" s="50"/>
      <c r="K574" s="50"/>
      <c r="L574" s="50"/>
      <c r="M574" s="50"/>
      <c r="N574" s="50"/>
      <c r="O574" s="50"/>
      <c r="P574" s="50"/>
      <c r="Q574" s="50"/>
      <c r="R574" s="50"/>
      <c r="S574" s="50"/>
      <c r="T574" s="50"/>
      <c r="U574" s="50"/>
      <c r="V574" s="50"/>
      <c r="W574" s="50"/>
    </row>
    <row r="575">
      <c r="A575" s="50"/>
      <c r="B575" s="59"/>
      <c r="C575" s="50"/>
      <c r="D575" s="59"/>
      <c r="E575" s="50"/>
      <c r="F575" s="59"/>
      <c r="G575" s="50"/>
      <c r="H575" s="63"/>
      <c r="I575" s="50"/>
      <c r="J575" s="50"/>
      <c r="K575" s="50"/>
      <c r="L575" s="50"/>
      <c r="M575" s="50"/>
      <c r="N575" s="50"/>
      <c r="O575" s="50"/>
      <c r="P575" s="50"/>
      <c r="Q575" s="50"/>
      <c r="R575" s="50"/>
      <c r="S575" s="50"/>
      <c r="T575" s="50"/>
      <c r="U575" s="50"/>
      <c r="V575" s="50"/>
      <c r="W575" s="50"/>
    </row>
    <row r="576">
      <c r="A576" s="50"/>
      <c r="B576" s="59"/>
      <c r="C576" s="50"/>
      <c r="D576" s="59"/>
      <c r="E576" s="50"/>
      <c r="F576" s="59"/>
      <c r="G576" s="50"/>
      <c r="H576" s="63"/>
      <c r="I576" s="50"/>
      <c r="J576" s="50"/>
      <c r="K576" s="50"/>
      <c r="L576" s="50"/>
      <c r="M576" s="50"/>
      <c r="N576" s="50"/>
      <c r="O576" s="50"/>
      <c r="P576" s="50"/>
      <c r="Q576" s="50"/>
      <c r="R576" s="50"/>
      <c r="S576" s="50"/>
      <c r="T576" s="50"/>
      <c r="U576" s="50"/>
      <c r="V576" s="50"/>
      <c r="W576" s="50"/>
    </row>
    <row r="577">
      <c r="A577" s="50"/>
      <c r="B577" s="59"/>
      <c r="C577" s="50"/>
      <c r="D577" s="59"/>
      <c r="E577" s="50"/>
      <c r="F577" s="59"/>
      <c r="G577" s="50"/>
      <c r="H577" s="63"/>
      <c r="I577" s="50"/>
      <c r="J577" s="50"/>
      <c r="K577" s="50"/>
      <c r="L577" s="50"/>
      <c r="M577" s="50"/>
      <c r="N577" s="50"/>
      <c r="O577" s="50"/>
      <c r="P577" s="50"/>
      <c r="Q577" s="50"/>
      <c r="R577" s="50"/>
      <c r="S577" s="50"/>
      <c r="T577" s="50"/>
      <c r="U577" s="50"/>
      <c r="V577" s="50"/>
      <c r="W577" s="50"/>
    </row>
    <row r="578">
      <c r="A578" s="50"/>
      <c r="B578" s="59"/>
      <c r="C578" s="50"/>
      <c r="D578" s="59"/>
      <c r="E578" s="50"/>
      <c r="F578" s="59"/>
      <c r="G578" s="50"/>
      <c r="H578" s="63"/>
      <c r="I578" s="50"/>
      <c r="J578" s="50"/>
      <c r="K578" s="50"/>
      <c r="L578" s="50"/>
      <c r="M578" s="50"/>
      <c r="N578" s="50"/>
      <c r="O578" s="50"/>
      <c r="P578" s="50"/>
      <c r="Q578" s="50"/>
      <c r="R578" s="50"/>
      <c r="S578" s="50"/>
      <c r="T578" s="50"/>
      <c r="U578" s="50"/>
      <c r="V578" s="50"/>
      <c r="W578" s="50"/>
    </row>
    <row r="579">
      <c r="A579" s="50"/>
      <c r="B579" s="59"/>
      <c r="C579" s="50"/>
      <c r="D579" s="59"/>
      <c r="E579" s="50"/>
      <c r="F579" s="59"/>
      <c r="G579" s="50"/>
      <c r="H579" s="63"/>
      <c r="I579" s="50"/>
      <c r="J579" s="50"/>
      <c r="K579" s="50"/>
      <c r="L579" s="50"/>
      <c r="M579" s="50"/>
      <c r="N579" s="50"/>
      <c r="O579" s="50"/>
      <c r="P579" s="50"/>
      <c r="Q579" s="50"/>
      <c r="R579" s="50"/>
      <c r="S579" s="50"/>
      <c r="T579" s="50"/>
      <c r="U579" s="50"/>
      <c r="V579" s="50"/>
      <c r="W579" s="50"/>
    </row>
    <row r="580">
      <c r="A580" s="50"/>
      <c r="B580" s="59"/>
      <c r="C580" s="50"/>
      <c r="D580" s="59"/>
      <c r="E580" s="50"/>
      <c r="F580" s="59"/>
      <c r="G580" s="50"/>
      <c r="H580" s="63"/>
      <c r="I580" s="50"/>
      <c r="J580" s="50"/>
      <c r="K580" s="50"/>
      <c r="L580" s="50"/>
      <c r="M580" s="50"/>
      <c r="N580" s="50"/>
      <c r="O580" s="50"/>
      <c r="P580" s="50"/>
      <c r="Q580" s="50"/>
      <c r="R580" s="50"/>
      <c r="S580" s="50"/>
      <c r="T580" s="50"/>
      <c r="U580" s="50"/>
      <c r="V580" s="50"/>
      <c r="W580" s="50"/>
    </row>
    <row r="581">
      <c r="A581" s="50"/>
      <c r="B581" s="59"/>
      <c r="C581" s="50"/>
      <c r="D581" s="59"/>
      <c r="E581" s="50"/>
      <c r="F581" s="59"/>
      <c r="G581" s="50"/>
      <c r="H581" s="63"/>
      <c r="I581" s="50"/>
      <c r="J581" s="50"/>
      <c r="K581" s="50"/>
      <c r="L581" s="50"/>
      <c r="M581" s="50"/>
      <c r="N581" s="50"/>
      <c r="O581" s="50"/>
      <c r="P581" s="50"/>
      <c r="Q581" s="50"/>
      <c r="R581" s="50"/>
      <c r="S581" s="50"/>
      <c r="T581" s="50"/>
      <c r="U581" s="50"/>
      <c r="V581" s="50"/>
      <c r="W581" s="50"/>
    </row>
    <row r="582">
      <c r="A582" s="50"/>
      <c r="B582" s="59"/>
      <c r="C582" s="50"/>
      <c r="D582" s="59"/>
      <c r="E582" s="50"/>
      <c r="F582" s="59"/>
      <c r="G582" s="50"/>
      <c r="H582" s="63"/>
      <c r="I582" s="50"/>
      <c r="J582" s="50"/>
      <c r="K582" s="50"/>
      <c r="L582" s="50"/>
      <c r="M582" s="50"/>
      <c r="N582" s="50"/>
      <c r="O582" s="50"/>
      <c r="P582" s="50"/>
      <c r="Q582" s="50"/>
      <c r="R582" s="50"/>
      <c r="S582" s="50"/>
      <c r="T582" s="50"/>
      <c r="U582" s="50"/>
      <c r="V582" s="50"/>
      <c r="W582" s="50"/>
    </row>
    <row r="583">
      <c r="A583" s="50"/>
      <c r="B583" s="59"/>
      <c r="C583" s="50"/>
      <c r="D583" s="59"/>
      <c r="E583" s="50"/>
      <c r="F583" s="59"/>
      <c r="G583" s="50"/>
      <c r="H583" s="63"/>
      <c r="I583" s="50"/>
      <c r="J583" s="50"/>
      <c r="K583" s="50"/>
      <c r="L583" s="50"/>
      <c r="M583" s="50"/>
      <c r="N583" s="50"/>
      <c r="O583" s="50"/>
      <c r="P583" s="50"/>
      <c r="Q583" s="50"/>
      <c r="R583" s="50"/>
      <c r="S583" s="50"/>
      <c r="T583" s="50"/>
      <c r="U583" s="50"/>
      <c r="V583" s="50"/>
      <c r="W583" s="50"/>
    </row>
    <row r="584">
      <c r="A584" s="50"/>
      <c r="B584" s="59"/>
      <c r="C584" s="50"/>
      <c r="D584" s="59"/>
      <c r="E584" s="50"/>
      <c r="F584" s="59"/>
      <c r="G584" s="50"/>
      <c r="H584" s="63"/>
      <c r="I584" s="50"/>
      <c r="J584" s="50"/>
      <c r="K584" s="50"/>
      <c r="L584" s="50"/>
      <c r="M584" s="50"/>
      <c r="N584" s="50"/>
      <c r="O584" s="50"/>
      <c r="P584" s="50"/>
      <c r="Q584" s="50"/>
      <c r="R584" s="50"/>
      <c r="S584" s="50"/>
      <c r="T584" s="50"/>
      <c r="U584" s="50"/>
      <c r="V584" s="50"/>
      <c r="W584" s="50"/>
    </row>
    <row r="585">
      <c r="A585" s="50"/>
      <c r="B585" s="59"/>
      <c r="C585" s="50"/>
      <c r="D585" s="59"/>
      <c r="E585" s="50"/>
      <c r="F585" s="59"/>
      <c r="G585" s="50"/>
      <c r="H585" s="63"/>
      <c r="I585" s="50"/>
      <c r="J585" s="50"/>
      <c r="K585" s="50"/>
      <c r="L585" s="50"/>
      <c r="M585" s="50"/>
      <c r="N585" s="50"/>
      <c r="O585" s="50"/>
      <c r="P585" s="50"/>
      <c r="Q585" s="50"/>
      <c r="R585" s="50"/>
      <c r="S585" s="50"/>
      <c r="T585" s="50"/>
      <c r="U585" s="50"/>
      <c r="V585" s="50"/>
      <c r="W585" s="50"/>
    </row>
    <row r="586">
      <c r="A586" s="50"/>
      <c r="B586" s="59"/>
      <c r="C586" s="50"/>
      <c r="D586" s="59"/>
      <c r="E586" s="50"/>
      <c r="F586" s="59"/>
      <c r="G586" s="50"/>
      <c r="H586" s="63"/>
      <c r="I586" s="50"/>
      <c r="J586" s="50"/>
      <c r="K586" s="50"/>
      <c r="L586" s="50"/>
      <c r="M586" s="50"/>
      <c r="N586" s="50"/>
      <c r="O586" s="50"/>
      <c r="P586" s="50"/>
      <c r="Q586" s="50"/>
      <c r="R586" s="50"/>
      <c r="S586" s="50"/>
      <c r="T586" s="50"/>
      <c r="U586" s="50"/>
      <c r="V586" s="50"/>
      <c r="W586" s="50"/>
    </row>
    <row r="587">
      <c r="A587" s="50"/>
      <c r="B587" s="59"/>
      <c r="C587" s="50"/>
      <c r="D587" s="59"/>
      <c r="E587" s="50"/>
      <c r="F587" s="59"/>
      <c r="G587" s="50"/>
      <c r="H587" s="63"/>
      <c r="I587" s="50"/>
      <c r="J587" s="50"/>
      <c r="K587" s="50"/>
      <c r="L587" s="50"/>
      <c r="M587" s="50"/>
      <c r="N587" s="50"/>
      <c r="O587" s="50"/>
      <c r="P587" s="50"/>
      <c r="Q587" s="50"/>
      <c r="R587" s="50"/>
      <c r="S587" s="50"/>
      <c r="T587" s="50"/>
      <c r="U587" s="50"/>
      <c r="V587" s="50"/>
      <c r="W587" s="50"/>
    </row>
    <row r="588">
      <c r="A588" s="50"/>
      <c r="B588" s="59"/>
      <c r="C588" s="50"/>
      <c r="D588" s="59"/>
      <c r="E588" s="50"/>
      <c r="F588" s="59"/>
      <c r="G588" s="50"/>
      <c r="H588" s="63"/>
      <c r="I588" s="50"/>
      <c r="J588" s="50"/>
      <c r="K588" s="50"/>
      <c r="L588" s="50"/>
      <c r="M588" s="50"/>
      <c r="N588" s="50"/>
      <c r="O588" s="50"/>
      <c r="P588" s="50"/>
      <c r="Q588" s="50"/>
      <c r="R588" s="50"/>
      <c r="S588" s="50"/>
      <c r="T588" s="50"/>
      <c r="U588" s="50"/>
      <c r="V588" s="50"/>
      <c r="W588" s="50"/>
    </row>
    <row r="589">
      <c r="A589" s="50"/>
      <c r="B589" s="59"/>
      <c r="C589" s="50"/>
      <c r="D589" s="59"/>
      <c r="E589" s="50"/>
      <c r="F589" s="59"/>
      <c r="G589" s="50"/>
      <c r="H589" s="63"/>
      <c r="I589" s="50"/>
      <c r="J589" s="50"/>
      <c r="K589" s="50"/>
      <c r="L589" s="50"/>
      <c r="M589" s="50"/>
      <c r="N589" s="50"/>
      <c r="O589" s="50"/>
      <c r="P589" s="50"/>
      <c r="Q589" s="50"/>
      <c r="R589" s="50"/>
      <c r="S589" s="50"/>
      <c r="T589" s="50"/>
      <c r="U589" s="50"/>
      <c r="V589" s="50"/>
      <c r="W589" s="50"/>
    </row>
    <row r="590">
      <c r="A590" s="50"/>
      <c r="B590" s="59"/>
      <c r="C590" s="50"/>
      <c r="D590" s="59"/>
      <c r="E590" s="50"/>
      <c r="F590" s="59"/>
      <c r="G590" s="50"/>
      <c r="H590" s="63"/>
      <c r="I590" s="50"/>
      <c r="J590" s="50"/>
      <c r="K590" s="50"/>
      <c r="L590" s="50"/>
      <c r="M590" s="50"/>
      <c r="N590" s="50"/>
      <c r="O590" s="50"/>
      <c r="P590" s="50"/>
      <c r="Q590" s="50"/>
      <c r="R590" s="50"/>
      <c r="S590" s="50"/>
      <c r="T590" s="50"/>
      <c r="U590" s="50"/>
      <c r="V590" s="50"/>
      <c r="W590" s="50"/>
    </row>
    <row r="591">
      <c r="A591" s="50"/>
      <c r="B591" s="59"/>
      <c r="C591" s="50"/>
      <c r="D591" s="59"/>
      <c r="E591" s="50"/>
      <c r="F591" s="59"/>
      <c r="G591" s="50"/>
      <c r="H591" s="63"/>
      <c r="I591" s="50"/>
      <c r="J591" s="50"/>
      <c r="K591" s="50"/>
      <c r="L591" s="50"/>
      <c r="M591" s="50"/>
      <c r="N591" s="50"/>
      <c r="O591" s="50"/>
      <c r="P591" s="50"/>
      <c r="Q591" s="50"/>
      <c r="R591" s="50"/>
      <c r="S591" s="50"/>
      <c r="T591" s="50"/>
      <c r="U591" s="50"/>
      <c r="V591" s="50"/>
      <c r="W591" s="50"/>
    </row>
    <row r="592">
      <c r="A592" s="50"/>
      <c r="B592" s="59"/>
      <c r="C592" s="50"/>
      <c r="D592" s="59"/>
      <c r="E592" s="50"/>
      <c r="F592" s="59"/>
      <c r="G592" s="50"/>
      <c r="H592" s="63"/>
      <c r="I592" s="50"/>
      <c r="J592" s="50"/>
      <c r="K592" s="50"/>
      <c r="L592" s="50"/>
      <c r="M592" s="50"/>
      <c r="N592" s="50"/>
      <c r="O592" s="50"/>
      <c r="P592" s="50"/>
      <c r="Q592" s="50"/>
      <c r="R592" s="50"/>
      <c r="S592" s="50"/>
      <c r="T592" s="50"/>
      <c r="U592" s="50"/>
      <c r="V592" s="50"/>
      <c r="W592" s="50"/>
    </row>
    <row r="593">
      <c r="A593" s="50"/>
      <c r="B593" s="59"/>
      <c r="C593" s="50"/>
      <c r="D593" s="59"/>
      <c r="E593" s="50"/>
      <c r="F593" s="59"/>
      <c r="G593" s="50"/>
      <c r="H593" s="63"/>
      <c r="I593" s="50"/>
      <c r="J593" s="50"/>
      <c r="K593" s="50"/>
      <c r="L593" s="50"/>
      <c r="M593" s="50"/>
      <c r="N593" s="50"/>
      <c r="O593" s="50"/>
      <c r="P593" s="50"/>
      <c r="Q593" s="50"/>
      <c r="R593" s="50"/>
      <c r="S593" s="50"/>
      <c r="T593" s="50"/>
      <c r="U593" s="50"/>
      <c r="V593" s="50"/>
      <c r="W593" s="50"/>
    </row>
    <row r="594">
      <c r="A594" s="50"/>
      <c r="B594" s="59"/>
      <c r="C594" s="50"/>
      <c r="D594" s="59"/>
      <c r="E594" s="50"/>
      <c r="F594" s="59"/>
      <c r="G594" s="50"/>
      <c r="H594" s="63"/>
      <c r="I594" s="50"/>
      <c r="J594" s="50"/>
      <c r="K594" s="50"/>
      <c r="L594" s="50"/>
      <c r="M594" s="50"/>
      <c r="N594" s="50"/>
      <c r="O594" s="50"/>
      <c r="P594" s="50"/>
      <c r="Q594" s="50"/>
      <c r="R594" s="50"/>
      <c r="S594" s="50"/>
      <c r="T594" s="50"/>
      <c r="U594" s="50"/>
      <c r="V594" s="50"/>
      <c r="W594" s="50"/>
    </row>
    <row r="595">
      <c r="A595" s="50"/>
      <c r="B595" s="59"/>
      <c r="C595" s="50"/>
      <c r="D595" s="59"/>
      <c r="E595" s="50"/>
      <c r="F595" s="59"/>
      <c r="G595" s="50"/>
      <c r="H595" s="63"/>
      <c r="I595" s="50"/>
      <c r="J595" s="50"/>
      <c r="K595" s="50"/>
      <c r="L595" s="50"/>
      <c r="M595" s="50"/>
      <c r="N595" s="50"/>
      <c r="O595" s="50"/>
      <c r="P595" s="50"/>
      <c r="Q595" s="50"/>
      <c r="R595" s="50"/>
      <c r="S595" s="50"/>
      <c r="T595" s="50"/>
      <c r="U595" s="50"/>
      <c r="V595" s="50"/>
      <c r="W595" s="50"/>
    </row>
    <row r="596">
      <c r="A596" s="50"/>
      <c r="B596" s="59"/>
      <c r="C596" s="50"/>
      <c r="D596" s="59"/>
      <c r="E596" s="50"/>
      <c r="F596" s="59"/>
      <c r="G596" s="50"/>
      <c r="H596" s="63"/>
      <c r="I596" s="50"/>
      <c r="J596" s="50"/>
      <c r="K596" s="50"/>
      <c r="L596" s="50"/>
      <c r="M596" s="50"/>
      <c r="N596" s="50"/>
      <c r="O596" s="50"/>
      <c r="P596" s="50"/>
      <c r="Q596" s="50"/>
      <c r="R596" s="50"/>
      <c r="S596" s="50"/>
      <c r="T596" s="50"/>
      <c r="U596" s="50"/>
      <c r="V596" s="50"/>
      <c r="W596" s="50"/>
    </row>
    <row r="597">
      <c r="A597" s="50"/>
      <c r="B597" s="59"/>
      <c r="C597" s="50"/>
      <c r="D597" s="59"/>
      <c r="E597" s="50"/>
      <c r="F597" s="59"/>
      <c r="G597" s="50"/>
      <c r="H597" s="63"/>
      <c r="I597" s="50"/>
      <c r="J597" s="50"/>
      <c r="K597" s="50"/>
      <c r="L597" s="50"/>
      <c r="M597" s="50"/>
      <c r="N597" s="50"/>
      <c r="O597" s="50"/>
      <c r="P597" s="50"/>
      <c r="Q597" s="50"/>
      <c r="R597" s="50"/>
      <c r="S597" s="50"/>
      <c r="T597" s="50"/>
      <c r="U597" s="50"/>
      <c r="V597" s="50"/>
      <c r="W597" s="50"/>
    </row>
    <row r="598">
      <c r="A598" s="50"/>
      <c r="B598" s="59"/>
      <c r="C598" s="50"/>
      <c r="D598" s="59"/>
      <c r="E598" s="50"/>
      <c r="F598" s="59"/>
      <c r="G598" s="50"/>
      <c r="H598" s="63"/>
      <c r="I598" s="50"/>
      <c r="J598" s="50"/>
      <c r="K598" s="50"/>
      <c r="L598" s="50"/>
      <c r="M598" s="50"/>
      <c r="N598" s="50"/>
      <c r="O598" s="50"/>
      <c r="P598" s="50"/>
      <c r="Q598" s="50"/>
      <c r="R598" s="50"/>
      <c r="S598" s="50"/>
      <c r="T598" s="50"/>
      <c r="U598" s="50"/>
      <c r="V598" s="50"/>
      <c r="W598" s="50"/>
    </row>
    <row r="599">
      <c r="A599" s="50"/>
      <c r="B599" s="59"/>
      <c r="C599" s="50"/>
      <c r="D599" s="59"/>
      <c r="E599" s="50"/>
      <c r="F599" s="59"/>
      <c r="G599" s="50"/>
      <c r="H599" s="63"/>
      <c r="I599" s="50"/>
      <c r="J599" s="50"/>
      <c r="K599" s="50"/>
      <c r="L599" s="50"/>
      <c r="M599" s="50"/>
      <c r="N599" s="50"/>
      <c r="O599" s="50"/>
      <c r="P599" s="50"/>
      <c r="Q599" s="50"/>
      <c r="R599" s="50"/>
      <c r="S599" s="50"/>
      <c r="T599" s="50"/>
      <c r="U599" s="50"/>
      <c r="V599" s="50"/>
      <c r="W599" s="50"/>
    </row>
    <row r="600">
      <c r="A600" s="50"/>
      <c r="B600" s="59"/>
      <c r="C600" s="50"/>
      <c r="D600" s="59"/>
      <c r="E600" s="50"/>
      <c r="F600" s="59"/>
      <c r="G600" s="50"/>
      <c r="H600" s="63"/>
      <c r="I600" s="50"/>
      <c r="J600" s="50"/>
      <c r="K600" s="50"/>
      <c r="L600" s="50"/>
      <c r="M600" s="50"/>
      <c r="N600" s="50"/>
      <c r="O600" s="50"/>
      <c r="P600" s="50"/>
      <c r="Q600" s="50"/>
      <c r="R600" s="50"/>
      <c r="S600" s="50"/>
      <c r="T600" s="50"/>
      <c r="U600" s="50"/>
      <c r="V600" s="50"/>
      <c r="W600" s="50"/>
    </row>
    <row r="601">
      <c r="A601" s="50"/>
      <c r="B601" s="59"/>
      <c r="C601" s="50"/>
      <c r="D601" s="59"/>
      <c r="E601" s="50"/>
      <c r="F601" s="59"/>
      <c r="G601" s="50"/>
      <c r="H601" s="63"/>
      <c r="I601" s="50"/>
      <c r="J601" s="50"/>
      <c r="K601" s="50"/>
      <c r="L601" s="50"/>
      <c r="M601" s="50"/>
      <c r="N601" s="50"/>
      <c r="O601" s="50"/>
      <c r="P601" s="50"/>
      <c r="Q601" s="50"/>
      <c r="R601" s="50"/>
      <c r="S601" s="50"/>
      <c r="T601" s="50"/>
      <c r="U601" s="50"/>
      <c r="V601" s="50"/>
      <c r="W601" s="50"/>
    </row>
    <row r="602">
      <c r="A602" s="50"/>
      <c r="B602" s="59"/>
      <c r="C602" s="50"/>
      <c r="D602" s="59"/>
      <c r="E602" s="50"/>
      <c r="F602" s="59"/>
      <c r="G602" s="50"/>
      <c r="H602" s="63"/>
      <c r="I602" s="50"/>
      <c r="J602" s="50"/>
      <c r="K602" s="50"/>
      <c r="L602" s="50"/>
      <c r="M602" s="50"/>
      <c r="N602" s="50"/>
      <c r="O602" s="50"/>
      <c r="P602" s="50"/>
      <c r="Q602" s="50"/>
      <c r="R602" s="50"/>
      <c r="S602" s="50"/>
      <c r="T602" s="50"/>
      <c r="U602" s="50"/>
      <c r="V602" s="50"/>
      <c r="W602" s="50"/>
    </row>
    <row r="603">
      <c r="A603" s="50"/>
      <c r="B603" s="59"/>
      <c r="C603" s="50"/>
      <c r="D603" s="59"/>
      <c r="E603" s="50"/>
      <c r="F603" s="59"/>
      <c r="G603" s="50"/>
      <c r="H603" s="63"/>
      <c r="I603" s="50"/>
      <c r="J603" s="50"/>
      <c r="K603" s="50"/>
      <c r="L603" s="50"/>
      <c r="M603" s="50"/>
      <c r="N603" s="50"/>
      <c r="O603" s="50"/>
      <c r="P603" s="50"/>
      <c r="Q603" s="50"/>
      <c r="R603" s="50"/>
      <c r="S603" s="50"/>
      <c r="T603" s="50"/>
      <c r="U603" s="50"/>
      <c r="V603" s="50"/>
      <c r="W603" s="50"/>
    </row>
    <row r="604">
      <c r="A604" s="50"/>
      <c r="B604" s="59"/>
      <c r="C604" s="50"/>
      <c r="D604" s="59"/>
      <c r="E604" s="50"/>
      <c r="F604" s="59"/>
      <c r="G604" s="50"/>
      <c r="H604" s="63"/>
      <c r="I604" s="50"/>
      <c r="J604" s="50"/>
      <c r="K604" s="50"/>
      <c r="L604" s="50"/>
      <c r="M604" s="50"/>
      <c r="N604" s="50"/>
      <c r="O604" s="50"/>
      <c r="P604" s="50"/>
      <c r="Q604" s="50"/>
      <c r="R604" s="50"/>
      <c r="S604" s="50"/>
      <c r="T604" s="50"/>
      <c r="U604" s="50"/>
      <c r="V604" s="50"/>
      <c r="W604" s="50"/>
    </row>
    <row r="605">
      <c r="A605" s="50"/>
      <c r="B605" s="59"/>
      <c r="C605" s="50"/>
      <c r="D605" s="59"/>
      <c r="E605" s="50"/>
      <c r="F605" s="59"/>
      <c r="G605" s="50"/>
      <c r="H605" s="63"/>
      <c r="I605" s="50"/>
      <c r="J605" s="50"/>
      <c r="K605" s="50"/>
      <c r="L605" s="50"/>
      <c r="M605" s="50"/>
      <c r="N605" s="50"/>
      <c r="O605" s="50"/>
      <c r="P605" s="50"/>
      <c r="Q605" s="50"/>
      <c r="R605" s="50"/>
      <c r="S605" s="50"/>
      <c r="T605" s="50"/>
      <c r="U605" s="50"/>
      <c r="V605" s="50"/>
      <c r="W605" s="50"/>
    </row>
    <row r="606">
      <c r="A606" s="50"/>
      <c r="B606" s="59"/>
      <c r="C606" s="50"/>
      <c r="D606" s="59"/>
      <c r="E606" s="50"/>
      <c r="F606" s="59"/>
      <c r="G606" s="50"/>
      <c r="H606" s="63"/>
      <c r="I606" s="50"/>
      <c r="J606" s="50"/>
      <c r="K606" s="50"/>
      <c r="L606" s="50"/>
      <c r="M606" s="50"/>
      <c r="N606" s="50"/>
      <c r="O606" s="50"/>
      <c r="P606" s="50"/>
      <c r="Q606" s="50"/>
      <c r="R606" s="50"/>
      <c r="S606" s="50"/>
      <c r="T606" s="50"/>
      <c r="U606" s="50"/>
      <c r="V606" s="50"/>
      <c r="W606" s="50"/>
    </row>
    <row r="607">
      <c r="A607" s="50"/>
      <c r="B607" s="59"/>
      <c r="C607" s="50"/>
      <c r="D607" s="59"/>
      <c r="E607" s="50"/>
      <c r="F607" s="59"/>
      <c r="G607" s="50"/>
      <c r="H607" s="63"/>
      <c r="I607" s="50"/>
      <c r="J607" s="50"/>
      <c r="K607" s="50"/>
      <c r="L607" s="50"/>
      <c r="M607" s="50"/>
      <c r="N607" s="50"/>
      <c r="O607" s="50"/>
      <c r="P607" s="50"/>
      <c r="Q607" s="50"/>
      <c r="R607" s="50"/>
      <c r="S607" s="50"/>
      <c r="T607" s="50"/>
      <c r="U607" s="50"/>
      <c r="V607" s="50"/>
      <c r="W607" s="50"/>
    </row>
    <row r="608">
      <c r="A608" s="50"/>
      <c r="B608" s="59"/>
      <c r="C608" s="50"/>
      <c r="D608" s="59"/>
      <c r="E608" s="50"/>
      <c r="F608" s="59"/>
      <c r="G608" s="50"/>
      <c r="H608" s="63"/>
      <c r="I608" s="50"/>
      <c r="J608" s="50"/>
      <c r="K608" s="50"/>
      <c r="L608" s="50"/>
      <c r="M608" s="50"/>
      <c r="N608" s="50"/>
      <c r="O608" s="50"/>
      <c r="P608" s="50"/>
      <c r="Q608" s="50"/>
      <c r="R608" s="50"/>
      <c r="S608" s="50"/>
      <c r="T608" s="50"/>
      <c r="U608" s="50"/>
      <c r="V608" s="50"/>
      <c r="W608" s="50"/>
    </row>
    <row r="609">
      <c r="A609" s="50"/>
      <c r="B609" s="59"/>
      <c r="C609" s="50"/>
      <c r="D609" s="59"/>
      <c r="E609" s="50"/>
      <c r="F609" s="59"/>
      <c r="G609" s="50"/>
      <c r="H609" s="63"/>
      <c r="I609" s="50"/>
      <c r="J609" s="50"/>
      <c r="K609" s="50"/>
      <c r="L609" s="50"/>
      <c r="M609" s="50"/>
      <c r="N609" s="50"/>
      <c r="O609" s="50"/>
      <c r="P609" s="50"/>
      <c r="Q609" s="50"/>
      <c r="R609" s="50"/>
      <c r="S609" s="50"/>
      <c r="T609" s="50"/>
      <c r="U609" s="50"/>
      <c r="V609" s="50"/>
      <c r="W609" s="50"/>
    </row>
    <row r="610">
      <c r="A610" s="50"/>
      <c r="B610" s="59"/>
      <c r="C610" s="50"/>
      <c r="D610" s="59"/>
      <c r="E610" s="50"/>
      <c r="F610" s="59"/>
      <c r="G610" s="50"/>
      <c r="H610" s="63"/>
      <c r="I610" s="50"/>
      <c r="J610" s="50"/>
      <c r="K610" s="50"/>
      <c r="L610" s="50"/>
      <c r="M610" s="50"/>
      <c r="N610" s="50"/>
      <c r="O610" s="50"/>
      <c r="P610" s="50"/>
      <c r="Q610" s="50"/>
      <c r="R610" s="50"/>
      <c r="S610" s="50"/>
      <c r="T610" s="50"/>
      <c r="U610" s="50"/>
      <c r="V610" s="50"/>
      <c r="W610" s="50"/>
    </row>
    <row r="611">
      <c r="A611" s="50"/>
      <c r="B611" s="59"/>
      <c r="C611" s="50"/>
      <c r="D611" s="59"/>
      <c r="E611" s="50"/>
      <c r="F611" s="59"/>
      <c r="G611" s="50"/>
      <c r="H611" s="63"/>
      <c r="I611" s="50"/>
      <c r="J611" s="50"/>
      <c r="K611" s="50"/>
      <c r="L611" s="50"/>
      <c r="M611" s="50"/>
      <c r="N611" s="50"/>
      <c r="O611" s="50"/>
      <c r="P611" s="50"/>
      <c r="Q611" s="50"/>
      <c r="R611" s="50"/>
      <c r="S611" s="50"/>
      <c r="T611" s="50"/>
      <c r="U611" s="50"/>
      <c r="V611" s="50"/>
      <c r="W611" s="50"/>
    </row>
    <row r="612">
      <c r="A612" s="50"/>
      <c r="B612" s="59"/>
      <c r="C612" s="50"/>
      <c r="D612" s="59"/>
      <c r="E612" s="50"/>
      <c r="F612" s="59"/>
      <c r="G612" s="50"/>
      <c r="H612" s="63"/>
      <c r="I612" s="50"/>
      <c r="J612" s="50"/>
      <c r="K612" s="50"/>
      <c r="L612" s="50"/>
      <c r="M612" s="50"/>
      <c r="N612" s="50"/>
      <c r="O612" s="50"/>
      <c r="P612" s="50"/>
      <c r="Q612" s="50"/>
      <c r="R612" s="50"/>
      <c r="S612" s="50"/>
      <c r="T612" s="50"/>
      <c r="U612" s="50"/>
      <c r="V612" s="50"/>
      <c r="W612" s="50"/>
    </row>
    <row r="613">
      <c r="A613" s="50"/>
      <c r="B613" s="59"/>
      <c r="C613" s="50"/>
      <c r="D613" s="59"/>
      <c r="E613" s="50"/>
      <c r="F613" s="59"/>
      <c r="G613" s="50"/>
      <c r="H613" s="63"/>
      <c r="I613" s="50"/>
      <c r="J613" s="50"/>
      <c r="K613" s="50"/>
      <c r="L613" s="50"/>
      <c r="M613" s="50"/>
      <c r="N613" s="50"/>
      <c r="O613" s="50"/>
      <c r="P613" s="50"/>
      <c r="Q613" s="50"/>
      <c r="R613" s="50"/>
      <c r="S613" s="50"/>
      <c r="T613" s="50"/>
      <c r="U613" s="50"/>
      <c r="V613" s="50"/>
      <c r="W613" s="50"/>
    </row>
    <row r="614">
      <c r="A614" s="50"/>
      <c r="B614" s="59"/>
      <c r="C614" s="50"/>
      <c r="D614" s="59"/>
      <c r="E614" s="50"/>
      <c r="F614" s="59"/>
      <c r="G614" s="50"/>
      <c r="H614" s="63"/>
      <c r="I614" s="50"/>
      <c r="J614" s="50"/>
      <c r="K614" s="50"/>
      <c r="L614" s="50"/>
      <c r="M614" s="50"/>
      <c r="N614" s="50"/>
      <c r="O614" s="50"/>
      <c r="P614" s="50"/>
      <c r="Q614" s="50"/>
      <c r="R614" s="50"/>
      <c r="S614" s="50"/>
      <c r="T614" s="50"/>
      <c r="U614" s="50"/>
      <c r="V614" s="50"/>
      <c r="W614" s="50"/>
    </row>
    <row r="615">
      <c r="A615" s="50"/>
      <c r="B615" s="59"/>
      <c r="C615" s="50"/>
      <c r="D615" s="59"/>
      <c r="E615" s="50"/>
      <c r="F615" s="59"/>
      <c r="G615" s="50"/>
      <c r="H615" s="63"/>
      <c r="I615" s="50"/>
      <c r="J615" s="50"/>
      <c r="K615" s="50"/>
      <c r="L615" s="50"/>
      <c r="M615" s="50"/>
      <c r="N615" s="50"/>
      <c r="O615" s="50"/>
      <c r="P615" s="50"/>
      <c r="Q615" s="50"/>
      <c r="R615" s="50"/>
      <c r="S615" s="50"/>
      <c r="T615" s="50"/>
      <c r="U615" s="50"/>
      <c r="V615" s="50"/>
      <c r="W615" s="50"/>
    </row>
    <row r="616">
      <c r="A616" s="50"/>
      <c r="B616" s="59"/>
      <c r="C616" s="50"/>
      <c r="D616" s="59"/>
      <c r="E616" s="50"/>
      <c r="F616" s="59"/>
      <c r="G616" s="50"/>
      <c r="H616" s="63"/>
      <c r="I616" s="50"/>
      <c r="J616" s="50"/>
      <c r="K616" s="50"/>
      <c r="L616" s="50"/>
      <c r="M616" s="50"/>
      <c r="N616" s="50"/>
      <c r="O616" s="50"/>
      <c r="P616" s="50"/>
      <c r="Q616" s="50"/>
      <c r="R616" s="50"/>
      <c r="S616" s="50"/>
      <c r="T616" s="50"/>
      <c r="U616" s="50"/>
      <c r="V616" s="50"/>
      <c r="W616" s="50"/>
    </row>
    <row r="617">
      <c r="A617" s="50"/>
      <c r="B617" s="59"/>
      <c r="C617" s="50"/>
      <c r="D617" s="59"/>
      <c r="E617" s="50"/>
      <c r="F617" s="59"/>
      <c r="G617" s="50"/>
      <c r="H617" s="63"/>
      <c r="I617" s="50"/>
      <c r="J617" s="50"/>
      <c r="K617" s="50"/>
      <c r="L617" s="50"/>
      <c r="M617" s="50"/>
      <c r="N617" s="50"/>
      <c r="O617" s="50"/>
      <c r="P617" s="50"/>
      <c r="Q617" s="50"/>
      <c r="R617" s="50"/>
      <c r="S617" s="50"/>
      <c r="T617" s="50"/>
      <c r="U617" s="50"/>
      <c r="V617" s="50"/>
      <c r="W617" s="50"/>
    </row>
    <row r="618">
      <c r="A618" s="50"/>
      <c r="B618" s="59"/>
      <c r="C618" s="50"/>
      <c r="D618" s="59"/>
      <c r="E618" s="50"/>
      <c r="F618" s="59"/>
      <c r="G618" s="50"/>
      <c r="H618" s="63"/>
      <c r="I618" s="50"/>
      <c r="J618" s="50"/>
      <c r="K618" s="50"/>
      <c r="L618" s="50"/>
      <c r="M618" s="50"/>
      <c r="N618" s="50"/>
      <c r="O618" s="50"/>
      <c r="P618" s="50"/>
      <c r="Q618" s="50"/>
      <c r="R618" s="50"/>
      <c r="S618" s="50"/>
      <c r="T618" s="50"/>
      <c r="U618" s="50"/>
      <c r="V618" s="50"/>
      <c r="W618" s="50"/>
    </row>
    <row r="619">
      <c r="A619" s="50"/>
      <c r="B619" s="59"/>
      <c r="C619" s="50"/>
      <c r="D619" s="59"/>
      <c r="E619" s="50"/>
      <c r="F619" s="59"/>
      <c r="G619" s="50"/>
      <c r="H619" s="63"/>
      <c r="I619" s="50"/>
      <c r="J619" s="50"/>
      <c r="K619" s="50"/>
      <c r="L619" s="50"/>
      <c r="M619" s="50"/>
      <c r="N619" s="50"/>
      <c r="O619" s="50"/>
      <c r="P619" s="50"/>
      <c r="Q619" s="50"/>
      <c r="R619" s="50"/>
      <c r="S619" s="50"/>
      <c r="T619" s="50"/>
      <c r="U619" s="50"/>
      <c r="V619" s="50"/>
      <c r="W619" s="50"/>
    </row>
    <row r="620">
      <c r="A620" s="50"/>
      <c r="B620" s="59"/>
      <c r="C620" s="50"/>
      <c r="D620" s="59"/>
      <c r="E620" s="50"/>
      <c r="F620" s="59"/>
      <c r="G620" s="50"/>
      <c r="H620" s="63"/>
      <c r="I620" s="50"/>
      <c r="J620" s="50"/>
      <c r="K620" s="50"/>
      <c r="L620" s="50"/>
      <c r="M620" s="50"/>
      <c r="N620" s="50"/>
      <c r="O620" s="50"/>
      <c r="P620" s="50"/>
      <c r="Q620" s="50"/>
      <c r="R620" s="50"/>
      <c r="S620" s="50"/>
      <c r="T620" s="50"/>
      <c r="U620" s="50"/>
      <c r="V620" s="50"/>
      <c r="W620" s="50"/>
    </row>
    <row r="621">
      <c r="A621" s="50"/>
      <c r="B621" s="59"/>
      <c r="C621" s="50"/>
      <c r="D621" s="59"/>
      <c r="E621" s="50"/>
      <c r="F621" s="59"/>
      <c r="G621" s="50"/>
      <c r="H621" s="63"/>
      <c r="I621" s="50"/>
      <c r="J621" s="50"/>
      <c r="K621" s="50"/>
      <c r="L621" s="50"/>
      <c r="M621" s="50"/>
      <c r="N621" s="50"/>
      <c r="O621" s="50"/>
      <c r="P621" s="50"/>
      <c r="Q621" s="50"/>
      <c r="R621" s="50"/>
      <c r="S621" s="50"/>
      <c r="T621" s="50"/>
      <c r="U621" s="50"/>
      <c r="V621" s="50"/>
      <c r="W621" s="50"/>
    </row>
    <row r="622">
      <c r="A622" s="50"/>
      <c r="B622" s="59"/>
      <c r="C622" s="50"/>
      <c r="D622" s="59"/>
      <c r="E622" s="50"/>
      <c r="F622" s="59"/>
      <c r="G622" s="50"/>
      <c r="H622" s="63"/>
      <c r="I622" s="50"/>
      <c r="J622" s="50"/>
      <c r="K622" s="50"/>
      <c r="L622" s="50"/>
      <c r="M622" s="50"/>
      <c r="N622" s="50"/>
      <c r="O622" s="50"/>
      <c r="P622" s="50"/>
      <c r="Q622" s="50"/>
      <c r="R622" s="50"/>
      <c r="S622" s="50"/>
      <c r="T622" s="50"/>
      <c r="U622" s="50"/>
      <c r="V622" s="50"/>
      <c r="W622" s="50"/>
    </row>
    <row r="623">
      <c r="A623" s="50"/>
      <c r="B623" s="59"/>
      <c r="C623" s="50"/>
      <c r="D623" s="59"/>
      <c r="E623" s="50"/>
      <c r="F623" s="59"/>
      <c r="G623" s="50"/>
      <c r="H623" s="63"/>
      <c r="I623" s="50"/>
      <c r="J623" s="50"/>
      <c r="K623" s="50"/>
      <c r="L623" s="50"/>
      <c r="M623" s="50"/>
      <c r="N623" s="50"/>
      <c r="O623" s="50"/>
      <c r="P623" s="50"/>
      <c r="Q623" s="50"/>
      <c r="R623" s="50"/>
      <c r="S623" s="50"/>
      <c r="T623" s="50"/>
      <c r="U623" s="50"/>
      <c r="V623" s="50"/>
      <c r="W623" s="50"/>
    </row>
    <row r="624">
      <c r="A624" s="50"/>
      <c r="B624" s="59"/>
      <c r="C624" s="50"/>
      <c r="D624" s="59"/>
      <c r="E624" s="50"/>
      <c r="F624" s="59"/>
      <c r="G624" s="50"/>
      <c r="H624" s="63"/>
      <c r="I624" s="50"/>
      <c r="J624" s="50"/>
      <c r="K624" s="50"/>
      <c r="L624" s="50"/>
      <c r="M624" s="50"/>
      <c r="N624" s="50"/>
      <c r="O624" s="50"/>
      <c r="P624" s="50"/>
      <c r="Q624" s="50"/>
      <c r="R624" s="50"/>
      <c r="S624" s="50"/>
      <c r="T624" s="50"/>
      <c r="U624" s="50"/>
      <c r="V624" s="50"/>
      <c r="W624" s="50"/>
    </row>
    <row r="625">
      <c r="A625" s="50"/>
      <c r="B625" s="59"/>
      <c r="C625" s="50"/>
      <c r="D625" s="59"/>
      <c r="E625" s="50"/>
      <c r="F625" s="59"/>
      <c r="G625" s="50"/>
      <c r="H625" s="63"/>
      <c r="I625" s="50"/>
      <c r="J625" s="50"/>
      <c r="K625" s="50"/>
      <c r="L625" s="50"/>
      <c r="M625" s="50"/>
      <c r="N625" s="50"/>
      <c r="O625" s="50"/>
      <c r="P625" s="50"/>
      <c r="Q625" s="50"/>
      <c r="R625" s="50"/>
      <c r="S625" s="50"/>
      <c r="T625" s="50"/>
      <c r="U625" s="50"/>
      <c r="V625" s="50"/>
      <c r="W625" s="50"/>
    </row>
    <row r="626">
      <c r="A626" s="50"/>
      <c r="B626" s="59"/>
      <c r="C626" s="50"/>
      <c r="D626" s="59"/>
      <c r="E626" s="50"/>
      <c r="F626" s="59"/>
      <c r="G626" s="50"/>
      <c r="H626" s="63"/>
      <c r="I626" s="50"/>
      <c r="J626" s="50"/>
      <c r="K626" s="50"/>
      <c r="L626" s="50"/>
      <c r="M626" s="50"/>
      <c r="N626" s="50"/>
      <c r="O626" s="50"/>
      <c r="P626" s="50"/>
      <c r="Q626" s="50"/>
      <c r="R626" s="50"/>
      <c r="S626" s="50"/>
      <c r="T626" s="50"/>
      <c r="U626" s="50"/>
      <c r="V626" s="50"/>
      <c r="W626" s="50"/>
    </row>
    <row r="627">
      <c r="A627" s="50"/>
      <c r="B627" s="59"/>
      <c r="C627" s="50"/>
      <c r="D627" s="59"/>
      <c r="E627" s="50"/>
      <c r="F627" s="59"/>
      <c r="G627" s="50"/>
      <c r="H627" s="63"/>
      <c r="I627" s="50"/>
      <c r="J627" s="50"/>
      <c r="K627" s="50"/>
      <c r="L627" s="50"/>
      <c r="M627" s="50"/>
      <c r="N627" s="50"/>
      <c r="O627" s="50"/>
      <c r="P627" s="50"/>
      <c r="Q627" s="50"/>
      <c r="R627" s="50"/>
      <c r="S627" s="50"/>
      <c r="T627" s="50"/>
      <c r="U627" s="50"/>
      <c r="V627" s="50"/>
      <c r="W627" s="50"/>
    </row>
    <row r="628">
      <c r="A628" s="50"/>
      <c r="B628" s="59"/>
      <c r="C628" s="50"/>
      <c r="D628" s="59"/>
      <c r="E628" s="50"/>
      <c r="F628" s="59"/>
      <c r="G628" s="50"/>
      <c r="H628" s="63"/>
      <c r="I628" s="50"/>
      <c r="J628" s="50"/>
      <c r="K628" s="50"/>
      <c r="L628" s="50"/>
      <c r="M628" s="50"/>
      <c r="N628" s="50"/>
      <c r="O628" s="50"/>
      <c r="P628" s="50"/>
      <c r="Q628" s="50"/>
      <c r="R628" s="50"/>
      <c r="S628" s="50"/>
      <c r="T628" s="50"/>
      <c r="U628" s="50"/>
      <c r="V628" s="50"/>
      <c r="W628" s="50"/>
    </row>
    <row r="629">
      <c r="A629" s="50"/>
      <c r="B629" s="59"/>
      <c r="C629" s="50"/>
      <c r="D629" s="59"/>
      <c r="E629" s="50"/>
      <c r="F629" s="59"/>
      <c r="G629" s="50"/>
      <c r="H629" s="63"/>
      <c r="I629" s="50"/>
      <c r="J629" s="50"/>
      <c r="K629" s="50"/>
      <c r="L629" s="50"/>
      <c r="M629" s="50"/>
      <c r="N629" s="50"/>
      <c r="O629" s="50"/>
      <c r="P629" s="50"/>
      <c r="Q629" s="50"/>
      <c r="R629" s="50"/>
      <c r="S629" s="50"/>
      <c r="T629" s="50"/>
      <c r="U629" s="50"/>
      <c r="V629" s="50"/>
      <c r="W629" s="50"/>
    </row>
    <row r="630">
      <c r="A630" s="50"/>
      <c r="B630" s="59"/>
      <c r="C630" s="50"/>
      <c r="D630" s="59"/>
      <c r="E630" s="50"/>
      <c r="F630" s="59"/>
      <c r="G630" s="50"/>
      <c r="H630" s="63"/>
      <c r="I630" s="50"/>
      <c r="J630" s="50"/>
      <c r="K630" s="50"/>
      <c r="L630" s="50"/>
      <c r="M630" s="50"/>
      <c r="N630" s="50"/>
      <c r="O630" s="50"/>
      <c r="P630" s="50"/>
      <c r="Q630" s="50"/>
      <c r="R630" s="50"/>
      <c r="S630" s="50"/>
      <c r="T630" s="50"/>
      <c r="U630" s="50"/>
      <c r="V630" s="50"/>
      <c r="W630" s="50"/>
    </row>
    <row r="631">
      <c r="A631" s="50"/>
      <c r="B631" s="59"/>
      <c r="C631" s="50"/>
      <c r="D631" s="59"/>
      <c r="E631" s="50"/>
      <c r="F631" s="59"/>
      <c r="G631" s="50"/>
      <c r="H631" s="63"/>
      <c r="I631" s="50"/>
      <c r="J631" s="50"/>
      <c r="K631" s="50"/>
      <c r="L631" s="50"/>
      <c r="M631" s="50"/>
      <c r="N631" s="50"/>
      <c r="O631" s="50"/>
      <c r="P631" s="50"/>
      <c r="Q631" s="50"/>
      <c r="R631" s="50"/>
      <c r="S631" s="50"/>
      <c r="T631" s="50"/>
      <c r="U631" s="50"/>
      <c r="V631" s="50"/>
      <c r="W631" s="50"/>
    </row>
    <row r="632">
      <c r="A632" s="50"/>
      <c r="B632" s="59"/>
      <c r="C632" s="50"/>
      <c r="D632" s="59"/>
      <c r="E632" s="50"/>
      <c r="F632" s="59"/>
      <c r="G632" s="50"/>
      <c r="H632" s="63"/>
      <c r="I632" s="50"/>
      <c r="J632" s="50"/>
      <c r="K632" s="50"/>
      <c r="L632" s="50"/>
      <c r="M632" s="50"/>
      <c r="N632" s="50"/>
      <c r="O632" s="50"/>
      <c r="P632" s="50"/>
      <c r="Q632" s="50"/>
      <c r="R632" s="50"/>
      <c r="S632" s="50"/>
      <c r="T632" s="50"/>
      <c r="U632" s="50"/>
      <c r="V632" s="50"/>
      <c r="W632" s="50"/>
    </row>
    <row r="633">
      <c r="A633" s="50"/>
      <c r="B633" s="59"/>
      <c r="C633" s="50"/>
      <c r="D633" s="59"/>
      <c r="E633" s="50"/>
      <c r="F633" s="59"/>
      <c r="G633" s="50"/>
      <c r="H633" s="63"/>
      <c r="I633" s="50"/>
      <c r="J633" s="50"/>
      <c r="K633" s="50"/>
      <c r="L633" s="50"/>
      <c r="M633" s="50"/>
      <c r="N633" s="50"/>
      <c r="O633" s="50"/>
      <c r="P633" s="50"/>
      <c r="Q633" s="50"/>
      <c r="R633" s="50"/>
      <c r="S633" s="50"/>
      <c r="T633" s="50"/>
      <c r="U633" s="50"/>
      <c r="V633" s="50"/>
      <c r="W633" s="50"/>
    </row>
    <row r="634">
      <c r="A634" s="50"/>
      <c r="B634" s="59"/>
      <c r="C634" s="50"/>
      <c r="D634" s="59"/>
      <c r="E634" s="50"/>
      <c r="F634" s="59"/>
      <c r="G634" s="50"/>
      <c r="H634" s="63"/>
      <c r="I634" s="50"/>
      <c r="J634" s="50"/>
      <c r="K634" s="50"/>
      <c r="L634" s="50"/>
      <c r="M634" s="50"/>
      <c r="N634" s="50"/>
      <c r="O634" s="50"/>
      <c r="P634" s="50"/>
      <c r="Q634" s="50"/>
      <c r="R634" s="50"/>
      <c r="S634" s="50"/>
      <c r="T634" s="50"/>
      <c r="U634" s="50"/>
      <c r="V634" s="50"/>
      <c r="W634" s="50"/>
    </row>
    <row r="635">
      <c r="A635" s="50"/>
      <c r="B635" s="59"/>
      <c r="C635" s="50"/>
      <c r="D635" s="59"/>
      <c r="E635" s="50"/>
      <c r="F635" s="59"/>
      <c r="G635" s="50"/>
      <c r="H635" s="63"/>
      <c r="I635" s="50"/>
      <c r="J635" s="50"/>
      <c r="K635" s="50"/>
      <c r="L635" s="50"/>
      <c r="M635" s="50"/>
      <c r="N635" s="50"/>
      <c r="O635" s="50"/>
      <c r="P635" s="50"/>
      <c r="Q635" s="50"/>
      <c r="R635" s="50"/>
      <c r="S635" s="50"/>
      <c r="T635" s="50"/>
      <c r="U635" s="50"/>
      <c r="V635" s="50"/>
      <c r="W635" s="50"/>
    </row>
    <row r="636">
      <c r="A636" s="50"/>
      <c r="B636" s="59"/>
      <c r="C636" s="50"/>
      <c r="D636" s="59"/>
      <c r="E636" s="50"/>
      <c r="F636" s="59"/>
      <c r="G636" s="50"/>
      <c r="H636" s="63"/>
      <c r="I636" s="50"/>
      <c r="J636" s="50"/>
      <c r="K636" s="50"/>
      <c r="L636" s="50"/>
      <c r="M636" s="50"/>
      <c r="N636" s="50"/>
      <c r="O636" s="50"/>
      <c r="P636" s="50"/>
      <c r="Q636" s="50"/>
      <c r="R636" s="50"/>
      <c r="S636" s="50"/>
      <c r="T636" s="50"/>
      <c r="U636" s="50"/>
      <c r="V636" s="50"/>
      <c r="W636" s="50"/>
    </row>
    <row r="637">
      <c r="A637" s="50"/>
      <c r="B637" s="59"/>
      <c r="C637" s="50"/>
      <c r="D637" s="59"/>
      <c r="E637" s="50"/>
      <c r="F637" s="59"/>
      <c r="G637" s="50"/>
      <c r="H637" s="63"/>
      <c r="I637" s="50"/>
      <c r="J637" s="50"/>
      <c r="K637" s="50"/>
      <c r="L637" s="50"/>
      <c r="M637" s="50"/>
      <c r="N637" s="50"/>
      <c r="O637" s="50"/>
      <c r="P637" s="50"/>
      <c r="Q637" s="50"/>
      <c r="R637" s="50"/>
      <c r="S637" s="50"/>
      <c r="T637" s="50"/>
      <c r="U637" s="50"/>
      <c r="V637" s="50"/>
      <c r="W637" s="50"/>
    </row>
    <row r="638">
      <c r="A638" s="50"/>
      <c r="B638" s="59"/>
      <c r="C638" s="50"/>
      <c r="D638" s="59"/>
      <c r="E638" s="50"/>
      <c r="F638" s="59"/>
      <c r="G638" s="50"/>
      <c r="H638" s="63"/>
      <c r="I638" s="50"/>
      <c r="J638" s="50"/>
      <c r="K638" s="50"/>
      <c r="L638" s="50"/>
      <c r="M638" s="50"/>
      <c r="N638" s="50"/>
      <c r="O638" s="50"/>
      <c r="P638" s="50"/>
      <c r="Q638" s="50"/>
      <c r="R638" s="50"/>
      <c r="S638" s="50"/>
      <c r="T638" s="50"/>
      <c r="U638" s="50"/>
      <c r="V638" s="50"/>
      <c r="W638" s="50"/>
    </row>
    <row r="639">
      <c r="A639" s="50"/>
      <c r="B639" s="59"/>
      <c r="C639" s="50"/>
      <c r="D639" s="59"/>
      <c r="E639" s="50"/>
      <c r="F639" s="59"/>
      <c r="G639" s="50"/>
      <c r="H639" s="63"/>
      <c r="I639" s="50"/>
      <c r="J639" s="50"/>
      <c r="K639" s="50"/>
      <c r="L639" s="50"/>
      <c r="M639" s="50"/>
      <c r="N639" s="50"/>
      <c r="O639" s="50"/>
      <c r="P639" s="50"/>
      <c r="Q639" s="50"/>
      <c r="R639" s="50"/>
      <c r="S639" s="50"/>
      <c r="T639" s="50"/>
      <c r="U639" s="50"/>
      <c r="V639" s="50"/>
      <c r="W639" s="50"/>
    </row>
    <row r="640">
      <c r="A640" s="50"/>
      <c r="B640" s="59"/>
      <c r="C640" s="50"/>
      <c r="D640" s="59"/>
      <c r="E640" s="50"/>
      <c r="F640" s="59"/>
      <c r="G640" s="50"/>
      <c r="H640" s="63"/>
      <c r="I640" s="50"/>
      <c r="J640" s="50"/>
      <c r="K640" s="50"/>
      <c r="L640" s="50"/>
      <c r="M640" s="50"/>
      <c r="N640" s="50"/>
      <c r="O640" s="50"/>
      <c r="P640" s="50"/>
      <c r="Q640" s="50"/>
      <c r="R640" s="50"/>
      <c r="S640" s="50"/>
      <c r="T640" s="50"/>
      <c r="U640" s="50"/>
      <c r="V640" s="50"/>
      <c r="W640" s="50"/>
    </row>
    <row r="641">
      <c r="A641" s="50"/>
      <c r="B641" s="59"/>
      <c r="C641" s="50"/>
      <c r="D641" s="59"/>
      <c r="E641" s="50"/>
      <c r="F641" s="59"/>
      <c r="G641" s="50"/>
      <c r="H641" s="63"/>
      <c r="I641" s="50"/>
      <c r="J641" s="50"/>
      <c r="K641" s="50"/>
      <c r="L641" s="50"/>
      <c r="M641" s="50"/>
      <c r="N641" s="50"/>
      <c r="O641" s="50"/>
      <c r="P641" s="50"/>
      <c r="Q641" s="50"/>
      <c r="R641" s="50"/>
      <c r="S641" s="50"/>
      <c r="T641" s="50"/>
      <c r="U641" s="50"/>
      <c r="V641" s="50"/>
      <c r="W641" s="50"/>
    </row>
    <row r="642">
      <c r="A642" s="50"/>
      <c r="B642" s="59"/>
      <c r="C642" s="50"/>
      <c r="D642" s="59"/>
      <c r="E642" s="50"/>
      <c r="F642" s="59"/>
      <c r="G642" s="50"/>
      <c r="H642" s="63"/>
      <c r="I642" s="50"/>
      <c r="J642" s="50"/>
      <c r="K642" s="50"/>
      <c r="L642" s="50"/>
      <c r="M642" s="50"/>
      <c r="N642" s="50"/>
      <c r="O642" s="50"/>
      <c r="P642" s="50"/>
      <c r="Q642" s="50"/>
      <c r="R642" s="50"/>
      <c r="S642" s="50"/>
      <c r="T642" s="50"/>
      <c r="U642" s="50"/>
      <c r="V642" s="50"/>
      <c r="W642" s="50"/>
    </row>
    <row r="643">
      <c r="A643" s="50"/>
      <c r="B643" s="59"/>
      <c r="C643" s="50"/>
      <c r="D643" s="59"/>
      <c r="E643" s="50"/>
      <c r="F643" s="59"/>
      <c r="G643" s="50"/>
      <c r="H643" s="63"/>
      <c r="I643" s="50"/>
      <c r="J643" s="50"/>
      <c r="K643" s="50"/>
      <c r="L643" s="50"/>
      <c r="M643" s="50"/>
      <c r="N643" s="50"/>
      <c r="O643" s="50"/>
      <c r="P643" s="50"/>
      <c r="Q643" s="50"/>
      <c r="R643" s="50"/>
      <c r="S643" s="50"/>
      <c r="T643" s="50"/>
      <c r="U643" s="50"/>
      <c r="V643" s="50"/>
      <c r="W643" s="50"/>
    </row>
    <row r="644">
      <c r="A644" s="50"/>
      <c r="B644" s="59"/>
      <c r="C644" s="50"/>
      <c r="D644" s="59"/>
      <c r="E644" s="50"/>
      <c r="F644" s="59"/>
      <c r="G644" s="50"/>
      <c r="H644" s="63"/>
      <c r="I644" s="50"/>
      <c r="J644" s="50"/>
      <c r="K644" s="50"/>
      <c r="L644" s="50"/>
      <c r="M644" s="50"/>
      <c r="N644" s="50"/>
      <c r="O644" s="50"/>
      <c r="P644" s="50"/>
      <c r="Q644" s="50"/>
      <c r="R644" s="50"/>
      <c r="S644" s="50"/>
      <c r="T644" s="50"/>
      <c r="U644" s="50"/>
      <c r="V644" s="50"/>
      <c r="W644" s="50"/>
    </row>
    <row r="645">
      <c r="A645" s="50"/>
      <c r="B645" s="59"/>
      <c r="C645" s="50"/>
      <c r="D645" s="59"/>
      <c r="E645" s="50"/>
      <c r="F645" s="59"/>
      <c r="G645" s="50"/>
      <c r="H645" s="63"/>
      <c r="I645" s="50"/>
      <c r="J645" s="50"/>
      <c r="K645" s="50"/>
      <c r="L645" s="50"/>
      <c r="M645" s="50"/>
      <c r="N645" s="50"/>
      <c r="O645" s="50"/>
      <c r="P645" s="50"/>
      <c r="Q645" s="50"/>
      <c r="R645" s="50"/>
      <c r="S645" s="50"/>
      <c r="T645" s="50"/>
      <c r="U645" s="50"/>
      <c r="V645" s="50"/>
      <c r="W645" s="50"/>
    </row>
    <row r="646">
      <c r="A646" s="50"/>
      <c r="B646" s="59"/>
      <c r="C646" s="50"/>
      <c r="D646" s="59"/>
      <c r="E646" s="50"/>
      <c r="F646" s="59"/>
      <c r="G646" s="50"/>
      <c r="H646" s="63"/>
      <c r="I646" s="50"/>
      <c r="J646" s="50"/>
      <c r="K646" s="50"/>
      <c r="L646" s="50"/>
      <c r="M646" s="50"/>
      <c r="N646" s="50"/>
      <c r="O646" s="50"/>
      <c r="P646" s="50"/>
      <c r="Q646" s="50"/>
      <c r="R646" s="50"/>
      <c r="S646" s="50"/>
      <c r="T646" s="50"/>
      <c r="U646" s="50"/>
      <c r="V646" s="50"/>
      <c r="W646" s="50"/>
    </row>
    <row r="647">
      <c r="A647" s="50"/>
      <c r="B647" s="59"/>
      <c r="C647" s="50"/>
      <c r="D647" s="59"/>
      <c r="E647" s="50"/>
      <c r="F647" s="59"/>
      <c r="G647" s="50"/>
      <c r="H647" s="63"/>
      <c r="I647" s="50"/>
      <c r="J647" s="50"/>
      <c r="K647" s="50"/>
      <c r="L647" s="50"/>
      <c r="M647" s="50"/>
      <c r="N647" s="50"/>
      <c r="O647" s="50"/>
      <c r="P647" s="50"/>
      <c r="Q647" s="50"/>
      <c r="R647" s="50"/>
      <c r="S647" s="50"/>
      <c r="T647" s="50"/>
      <c r="U647" s="50"/>
      <c r="V647" s="50"/>
      <c r="W647" s="50"/>
    </row>
    <row r="648">
      <c r="A648" s="50"/>
      <c r="B648" s="59"/>
      <c r="C648" s="50"/>
      <c r="D648" s="59"/>
      <c r="E648" s="50"/>
      <c r="F648" s="59"/>
      <c r="G648" s="50"/>
      <c r="H648" s="63"/>
      <c r="I648" s="50"/>
      <c r="J648" s="50"/>
      <c r="K648" s="50"/>
      <c r="L648" s="50"/>
      <c r="M648" s="50"/>
      <c r="N648" s="50"/>
      <c r="O648" s="50"/>
      <c r="P648" s="50"/>
      <c r="Q648" s="50"/>
      <c r="R648" s="50"/>
      <c r="S648" s="50"/>
      <c r="T648" s="50"/>
      <c r="U648" s="50"/>
      <c r="V648" s="50"/>
      <c r="W648" s="50"/>
    </row>
    <row r="649">
      <c r="A649" s="50"/>
      <c r="B649" s="59"/>
      <c r="C649" s="50"/>
      <c r="D649" s="59"/>
      <c r="E649" s="50"/>
      <c r="F649" s="59"/>
      <c r="G649" s="50"/>
      <c r="H649" s="63"/>
      <c r="I649" s="50"/>
      <c r="J649" s="50"/>
      <c r="K649" s="50"/>
      <c r="L649" s="50"/>
      <c r="M649" s="50"/>
      <c r="N649" s="50"/>
      <c r="O649" s="50"/>
      <c r="P649" s="50"/>
      <c r="Q649" s="50"/>
      <c r="R649" s="50"/>
      <c r="S649" s="50"/>
      <c r="T649" s="50"/>
      <c r="U649" s="50"/>
      <c r="V649" s="50"/>
      <c r="W649" s="50"/>
    </row>
    <row r="650">
      <c r="A650" s="50"/>
      <c r="B650" s="59"/>
      <c r="C650" s="50"/>
      <c r="D650" s="59"/>
      <c r="E650" s="50"/>
      <c r="F650" s="59"/>
      <c r="G650" s="50"/>
      <c r="H650" s="63"/>
      <c r="I650" s="50"/>
      <c r="J650" s="50"/>
      <c r="K650" s="50"/>
      <c r="L650" s="50"/>
      <c r="M650" s="50"/>
      <c r="N650" s="50"/>
      <c r="O650" s="50"/>
      <c r="P650" s="50"/>
      <c r="Q650" s="50"/>
      <c r="R650" s="50"/>
      <c r="S650" s="50"/>
      <c r="T650" s="50"/>
      <c r="U650" s="50"/>
      <c r="V650" s="50"/>
      <c r="W650" s="50"/>
    </row>
    <row r="651">
      <c r="A651" s="50"/>
      <c r="B651" s="59"/>
      <c r="C651" s="50"/>
      <c r="D651" s="59"/>
      <c r="E651" s="50"/>
      <c r="F651" s="59"/>
      <c r="G651" s="50"/>
      <c r="H651" s="63"/>
      <c r="I651" s="50"/>
      <c r="J651" s="50"/>
      <c r="K651" s="50"/>
      <c r="L651" s="50"/>
      <c r="M651" s="50"/>
      <c r="N651" s="50"/>
      <c r="O651" s="50"/>
      <c r="P651" s="50"/>
      <c r="Q651" s="50"/>
      <c r="R651" s="50"/>
      <c r="S651" s="50"/>
      <c r="T651" s="50"/>
      <c r="U651" s="50"/>
      <c r="V651" s="50"/>
      <c r="W651" s="50"/>
    </row>
    <row r="652">
      <c r="A652" s="50"/>
      <c r="B652" s="59"/>
      <c r="C652" s="50"/>
      <c r="D652" s="59"/>
      <c r="E652" s="50"/>
      <c r="F652" s="59"/>
      <c r="G652" s="50"/>
      <c r="H652" s="63"/>
      <c r="I652" s="50"/>
      <c r="J652" s="50"/>
      <c r="K652" s="50"/>
      <c r="L652" s="50"/>
      <c r="M652" s="50"/>
      <c r="N652" s="50"/>
      <c r="O652" s="50"/>
      <c r="P652" s="50"/>
      <c r="Q652" s="50"/>
      <c r="R652" s="50"/>
      <c r="S652" s="50"/>
      <c r="T652" s="50"/>
      <c r="U652" s="50"/>
      <c r="V652" s="50"/>
      <c r="W652" s="50"/>
    </row>
    <row r="653">
      <c r="A653" s="50"/>
      <c r="B653" s="59"/>
      <c r="C653" s="50"/>
      <c r="D653" s="59"/>
      <c r="E653" s="50"/>
      <c r="F653" s="59"/>
      <c r="G653" s="50"/>
      <c r="H653" s="63"/>
      <c r="I653" s="50"/>
      <c r="J653" s="50"/>
      <c r="K653" s="50"/>
      <c r="L653" s="50"/>
      <c r="M653" s="50"/>
      <c r="N653" s="50"/>
      <c r="O653" s="50"/>
      <c r="P653" s="50"/>
      <c r="Q653" s="50"/>
      <c r="R653" s="50"/>
      <c r="S653" s="50"/>
      <c r="T653" s="50"/>
      <c r="U653" s="50"/>
      <c r="V653" s="50"/>
      <c r="W653" s="50"/>
    </row>
    <row r="654">
      <c r="A654" s="50"/>
      <c r="B654" s="59"/>
      <c r="C654" s="50"/>
      <c r="D654" s="59"/>
      <c r="E654" s="50"/>
      <c r="F654" s="59"/>
      <c r="G654" s="50"/>
      <c r="H654" s="63"/>
      <c r="I654" s="50"/>
      <c r="J654" s="50"/>
      <c r="K654" s="50"/>
      <c r="L654" s="50"/>
      <c r="M654" s="50"/>
      <c r="N654" s="50"/>
      <c r="O654" s="50"/>
      <c r="P654" s="50"/>
      <c r="Q654" s="50"/>
      <c r="R654" s="50"/>
      <c r="S654" s="50"/>
      <c r="T654" s="50"/>
      <c r="U654" s="50"/>
      <c r="V654" s="50"/>
      <c r="W654" s="50"/>
    </row>
    <row r="655">
      <c r="A655" s="50"/>
      <c r="B655" s="59"/>
      <c r="C655" s="50"/>
      <c r="D655" s="59"/>
      <c r="E655" s="50"/>
      <c r="F655" s="59"/>
      <c r="G655" s="50"/>
      <c r="H655" s="63"/>
      <c r="I655" s="50"/>
      <c r="J655" s="50"/>
      <c r="K655" s="50"/>
      <c r="L655" s="50"/>
      <c r="M655" s="50"/>
      <c r="N655" s="50"/>
      <c r="O655" s="50"/>
      <c r="P655" s="50"/>
      <c r="Q655" s="50"/>
      <c r="R655" s="50"/>
      <c r="S655" s="50"/>
      <c r="T655" s="50"/>
      <c r="U655" s="50"/>
      <c r="V655" s="50"/>
      <c r="W655" s="50"/>
    </row>
    <row r="656">
      <c r="A656" s="50"/>
      <c r="B656" s="59"/>
      <c r="C656" s="50"/>
      <c r="D656" s="59"/>
      <c r="E656" s="50"/>
      <c r="F656" s="59"/>
      <c r="G656" s="50"/>
      <c r="H656" s="63"/>
      <c r="I656" s="50"/>
      <c r="J656" s="50"/>
      <c r="K656" s="50"/>
      <c r="L656" s="50"/>
      <c r="M656" s="50"/>
      <c r="N656" s="50"/>
      <c r="O656" s="50"/>
      <c r="P656" s="50"/>
      <c r="Q656" s="50"/>
      <c r="R656" s="50"/>
      <c r="S656" s="50"/>
      <c r="T656" s="50"/>
      <c r="U656" s="50"/>
      <c r="V656" s="50"/>
      <c r="W656" s="50"/>
    </row>
    <row r="657">
      <c r="A657" s="50"/>
      <c r="B657" s="59"/>
      <c r="C657" s="50"/>
      <c r="D657" s="59"/>
      <c r="E657" s="50"/>
      <c r="F657" s="59"/>
      <c r="G657" s="50"/>
      <c r="H657" s="63"/>
      <c r="I657" s="50"/>
      <c r="J657" s="50"/>
      <c r="K657" s="50"/>
      <c r="L657" s="50"/>
      <c r="M657" s="50"/>
      <c r="N657" s="50"/>
      <c r="O657" s="50"/>
      <c r="P657" s="50"/>
      <c r="Q657" s="50"/>
      <c r="R657" s="50"/>
      <c r="S657" s="50"/>
      <c r="T657" s="50"/>
      <c r="U657" s="50"/>
      <c r="V657" s="50"/>
      <c r="W657" s="50"/>
    </row>
    <row r="658">
      <c r="A658" s="50"/>
      <c r="B658" s="59"/>
      <c r="C658" s="50"/>
      <c r="D658" s="59"/>
      <c r="E658" s="50"/>
      <c r="F658" s="59"/>
      <c r="G658" s="50"/>
      <c r="H658" s="63"/>
      <c r="I658" s="50"/>
      <c r="J658" s="50"/>
      <c r="K658" s="50"/>
      <c r="L658" s="50"/>
      <c r="M658" s="50"/>
      <c r="N658" s="50"/>
      <c r="O658" s="50"/>
      <c r="P658" s="50"/>
      <c r="Q658" s="50"/>
      <c r="R658" s="50"/>
      <c r="S658" s="50"/>
      <c r="T658" s="50"/>
      <c r="U658" s="50"/>
      <c r="V658" s="50"/>
      <c r="W658" s="50"/>
    </row>
    <row r="659">
      <c r="A659" s="50"/>
      <c r="B659" s="59"/>
      <c r="C659" s="50"/>
      <c r="D659" s="59"/>
      <c r="E659" s="50"/>
      <c r="F659" s="59"/>
      <c r="G659" s="50"/>
      <c r="H659" s="63"/>
      <c r="I659" s="50"/>
      <c r="J659" s="50"/>
      <c r="K659" s="50"/>
      <c r="L659" s="50"/>
      <c r="M659" s="50"/>
      <c r="N659" s="50"/>
      <c r="O659" s="50"/>
      <c r="P659" s="50"/>
      <c r="Q659" s="50"/>
      <c r="R659" s="50"/>
      <c r="S659" s="50"/>
      <c r="T659" s="50"/>
      <c r="U659" s="50"/>
      <c r="V659" s="50"/>
      <c r="W659" s="50"/>
    </row>
    <row r="660">
      <c r="A660" s="50"/>
      <c r="B660" s="59"/>
      <c r="C660" s="50"/>
      <c r="D660" s="59"/>
      <c r="E660" s="50"/>
      <c r="F660" s="59"/>
      <c r="G660" s="50"/>
      <c r="H660" s="63"/>
      <c r="I660" s="50"/>
      <c r="J660" s="50"/>
      <c r="K660" s="50"/>
      <c r="L660" s="50"/>
      <c r="M660" s="50"/>
      <c r="N660" s="50"/>
      <c r="O660" s="50"/>
      <c r="P660" s="50"/>
      <c r="Q660" s="50"/>
      <c r="R660" s="50"/>
      <c r="S660" s="50"/>
      <c r="T660" s="50"/>
      <c r="U660" s="50"/>
      <c r="V660" s="50"/>
      <c r="W660" s="50"/>
    </row>
    <row r="661">
      <c r="A661" s="50"/>
      <c r="B661" s="59"/>
      <c r="C661" s="50"/>
      <c r="D661" s="59"/>
      <c r="E661" s="50"/>
      <c r="F661" s="59"/>
      <c r="G661" s="50"/>
      <c r="H661" s="63"/>
      <c r="I661" s="50"/>
      <c r="J661" s="50"/>
      <c r="K661" s="50"/>
      <c r="L661" s="50"/>
      <c r="M661" s="50"/>
      <c r="N661" s="50"/>
      <c r="O661" s="50"/>
      <c r="P661" s="50"/>
      <c r="Q661" s="50"/>
      <c r="R661" s="50"/>
      <c r="S661" s="50"/>
      <c r="T661" s="50"/>
      <c r="U661" s="50"/>
      <c r="V661" s="50"/>
      <c r="W661" s="50"/>
    </row>
    <row r="662">
      <c r="A662" s="50"/>
      <c r="B662" s="59"/>
      <c r="C662" s="50"/>
      <c r="D662" s="59"/>
      <c r="E662" s="50"/>
      <c r="F662" s="59"/>
      <c r="G662" s="50"/>
      <c r="H662" s="63"/>
      <c r="I662" s="50"/>
      <c r="J662" s="50"/>
      <c r="K662" s="50"/>
      <c r="L662" s="50"/>
      <c r="M662" s="50"/>
      <c r="N662" s="50"/>
      <c r="O662" s="50"/>
      <c r="P662" s="50"/>
      <c r="Q662" s="50"/>
      <c r="R662" s="50"/>
      <c r="S662" s="50"/>
      <c r="T662" s="50"/>
      <c r="U662" s="50"/>
      <c r="V662" s="50"/>
      <c r="W662" s="50"/>
    </row>
    <row r="663">
      <c r="A663" s="50"/>
      <c r="B663" s="59"/>
      <c r="C663" s="50"/>
      <c r="D663" s="59"/>
      <c r="E663" s="50"/>
      <c r="F663" s="59"/>
      <c r="G663" s="50"/>
      <c r="H663" s="63"/>
      <c r="I663" s="50"/>
      <c r="J663" s="50"/>
      <c r="K663" s="50"/>
      <c r="L663" s="50"/>
      <c r="M663" s="50"/>
      <c r="N663" s="50"/>
      <c r="O663" s="50"/>
      <c r="P663" s="50"/>
      <c r="Q663" s="50"/>
      <c r="R663" s="50"/>
      <c r="S663" s="50"/>
      <c r="T663" s="50"/>
      <c r="U663" s="50"/>
      <c r="V663" s="50"/>
      <c r="W663" s="50"/>
    </row>
    <row r="664">
      <c r="A664" s="50"/>
      <c r="B664" s="59"/>
      <c r="C664" s="50"/>
      <c r="D664" s="59"/>
      <c r="E664" s="50"/>
      <c r="F664" s="59"/>
      <c r="G664" s="50"/>
      <c r="H664" s="63"/>
      <c r="I664" s="50"/>
      <c r="J664" s="50"/>
      <c r="K664" s="50"/>
      <c r="L664" s="50"/>
      <c r="M664" s="50"/>
      <c r="N664" s="50"/>
      <c r="O664" s="50"/>
      <c r="P664" s="50"/>
      <c r="Q664" s="50"/>
      <c r="R664" s="50"/>
      <c r="S664" s="50"/>
      <c r="T664" s="50"/>
      <c r="U664" s="50"/>
      <c r="V664" s="50"/>
      <c r="W664" s="50"/>
    </row>
    <row r="665">
      <c r="A665" s="50"/>
      <c r="B665" s="59"/>
      <c r="C665" s="50"/>
      <c r="D665" s="59"/>
      <c r="E665" s="50"/>
      <c r="F665" s="59"/>
      <c r="G665" s="50"/>
      <c r="H665" s="63"/>
      <c r="I665" s="50"/>
      <c r="J665" s="50"/>
      <c r="K665" s="50"/>
      <c r="L665" s="50"/>
      <c r="M665" s="50"/>
      <c r="N665" s="50"/>
      <c r="O665" s="50"/>
      <c r="P665" s="50"/>
      <c r="Q665" s="50"/>
      <c r="R665" s="50"/>
      <c r="S665" s="50"/>
      <c r="T665" s="50"/>
      <c r="U665" s="50"/>
      <c r="V665" s="50"/>
      <c r="W665" s="50"/>
    </row>
    <row r="666">
      <c r="A666" s="50"/>
      <c r="B666" s="59"/>
      <c r="C666" s="50"/>
      <c r="D666" s="59"/>
      <c r="E666" s="50"/>
      <c r="F666" s="59"/>
      <c r="G666" s="50"/>
      <c r="H666" s="63"/>
      <c r="I666" s="50"/>
      <c r="J666" s="50"/>
      <c r="K666" s="50"/>
      <c r="L666" s="50"/>
      <c r="M666" s="50"/>
      <c r="N666" s="50"/>
      <c r="O666" s="50"/>
      <c r="P666" s="50"/>
      <c r="Q666" s="50"/>
      <c r="R666" s="50"/>
      <c r="S666" s="50"/>
      <c r="T666" s="50"/>
      <c r="U666" s="50"/>
      <c r="V666" s="50"/>
      <c r="W666" s="50"/>
    </row>
    <row r="667">
      <c r="A667" s="50"/>
      <c r="B667" s="59"/>
      <c r="C667" s="50"/>
      <c r="D667" s="59"/>
      <c r="E667" s="50"/>
      <c r="F667" s="59"/>
      <c r="G667" s="50"/>
      <c r="H667" s="63"/>
      <c r="I667" s="50"/>
      <c r="J667" s="50"/>
      <c r="K667" s="50"/>
      <c r="L667" s="50"/>
      <c r="M667" s="50"/>
      <c r="N667" s="50"/>
      <c r="O667" s="50"/>
      <c r="P667" s="50"/>
      <c r="Q667" s="50"/>
      <c r="R667" s="50"/>
      <c r="S667" s="50"/>
      <c r="T667" s="50"/>
      <c r="U667" s="50"/>
      <c r="V667" s="50"/>
      <c r="W667" s="50"/>
    </row>
    <row r="668">
      <c r="A668" s="50"/>
      <c r="B668" s="59"/>
      <c r="C668" s="50"/>
      <c r="D668" s="59"/>
      <c r="E668" s="50"/>
      <c r="F668" s="59"/>
      <c r="G668" s="50"/>
      <c r="H668" s="63"/>
      <c r="I668" s="50"/>
      <c r="J668" s="50"/>
      <c r="K668" s="50"/>
      <c r="L668" s="50"/>
      <c r="M668" s="50"/>
      <c r="N668" s="50"/>
      <c r="O668" s="50"/>
      <c r="P668" s="50"/>
      <c r="Q668" s="50"/>
      <c r="R668" s="50"/>
      <c r="S668" s="50"/>
      <c r="T668" s="50"/>
      <c r="U668" s="50"/>
      <c r="V668" s="50"/>
      <c r="W668" s="50"/>
    </row>
    <row r="669">
      <c r="A669" s="50"/>
      <c r="B669" s="59"/>
      <c r="C669" s="50"/>
      <c r="D669" s="59"/>
      <c r="E669" s="50"/>
      <c r="F669" s="59"/>
      <c r="G669" s="50"/>
      <c r="H669" s="63"/>
      <c r="I669" s="50"/>
      <c r="J669" s="50"/>
      <c r="K669" s="50"/>
      <c r="L669" s="50"/>
      <c r="M669" s="50"/>
      <c r="N669" s="50"/>
      <c r="O669" s="50"/>
      <c r="P669" s="50"/>
      <c r="Q669" s="50"/>
      <c r="R669" s="50"/>
      <c r="S669" s="50"/>
      <c r="T669" s="50"/>
      <c r="U669" s="50"/>
      <c r="V669" s="50"/>
      <c r="W669" s="50"/>
    </row>
    <row r="670">
      <c r="A670" s="50"/>
      <c r="B670" s="59"/>
      <c r="C670" s="50"/>
      <c r="D670" s="59"/>
      <c r="E670" s="50"/>
      <c r="F670" s="59"/>
      <c r="G670" s="50"/>
      <c r="H670" s="63"/>
      <c r="I670" s="50"/>
      <c r="J670" s="50"/>
      <c r="K670" s="50"/>
      <c r="L670" s="50"/>
      <c r="M670" s="50"/>
      <c r="N670" s="50"/>
      <c r="O670" s="50"/>
      <c r="P670" s="50"/>
      <c r="Q670" s="50"/>
      <c r="R670" s="50"/>
      <c r="S670" s="50"/>
      <c r="T670" s="50"/>
      <c r="U670" s="50"/>
      <c r="V670" s="50"/>
      <c r="W670" s="50"/>
    </row>
    <row r="671">
      <c r="A671" s="50"/>
      <c r="B671" s="59"/>
      <c r="C671" s="50"/>
      <c r="D671" s="59"/>
      <c r="E671" s="50"/>
      <c r="F671" s="59"/>
      <c r="G671" s="50"/>
      <c r="H671" s="63"/>
      <c r="I671" s="50"/>
      <c r="J671" s="50"/>
      <c r="K671" s="50"/>
      <c r="L671" s="50"/>
      <c r="M671" s="50"/>
      <c r="N671" s="50"/>
      <c r="O671" s="50"/>
      <c r="P671" s="50"/>
      <c r="Q671" s="50"/>
      <c r="R671" s="50"/>
      <c r="S671" s="50"/>
      <c r="T671" s="50"/>
      <c r="U671" s="50"/>
      <c r="V671" s="50"/>
      <c r="W671" s="50"/>
    </row>
    <row r="672">
      <c r="A672" s="50"/>
      <c r="B672" s="59"/>
      <c r="C672" s="50"/>
      <c r="D672" s="59"/>
      <c r="E672" s="50"/>
      <c r="F672" s="59"/>
      <c r="G672" s="50"/>
      <c r="H672" s="63"/>
      <c r="I672" s="50"/>
      <c r="J672" s="50"/>
      <c r="K672" s="50"/>
      <c r="L672" s="50"/>
      <c r="M672" s="50"/>
      <c r="N672" s="50"/>
      <c r="O672" s="50"/>
      <c r="P672" s="50"/>
      <c r="Q672" s="50"/>
      <c r="R672" s="50"/>
      <c r="S672" s="50"/>
      <c r="T672" s="50"/>
      <c r="U672" s="50"/>
      <c r="V672" s="50"/>
      <c r="W672" s="50"/>
    </row>
    <row r="673">
      <c r="A673" s="50"/>
      <c r="B673" s="59"/>
      <c r="C673" s="50"/>
      <c r="D673" s="59"/>
      <c r="E673" s="50"/>
      <c r="F673" s="59"/>
      <c r="G673" s="50"/>
      <c r="H673" s="63"/>
      <c r="I673" s="50"/>
      <c r="J673" s="50"/>
      <c r="K673" s="50"/>
      <c r="L673" s="50"/>
      <c r="M673" s="50"/>
      <c r="N673" s="50"/>
      <c r="O673" s="50"/>
      <c r="P673" s="50"/>
      <c r="Q673" s="50"/>
      <c r="R673" s="50"/>
      <c r="S673" s="50"/>
      <c r="T673" s="50"/>
      <c r="U673" s="50"/>
      <c r="V673" s="50"/>
      <c r="W673" s="50"/>
    </row>
    <row r="674">
      <c r="A674" s="50"/>
      <c r="B674" s="59"/>
      <c r="C674" s="50"/>
      <c r="D674" s="59"/>
      <c r="E674" s="50"/>
      <c r="F674" s="59"/>
      <c r="G674" s="50"/>
      <c r="H674" s="63"/>
      <c r="I674" s="50"/>
      <c r="J674" s="50"/>
      <c r="K674" s="50"/>
      <c r="L674" s="50"/>
      <c r="M674" s="50"/>
      <c r="N674" s="50"/>
      <c r="O674" s="50"/>
      <c r="P674" s="50"/>
      <c r="Q674" s="50"/>
      <c r="R674" s="50"/>
      <c r="S674" s="50"/>
      <c r="T674" s="50"/>
      <c r="U674" s="50"/>
      <c r="V674" s="50"/>
      <c r="W674" s="50"/>
    </row>
    <row r="675">
      <c r="A675" s="50"/>
      <c r="B675" s="59"/>
      <c r="C675" s="50"/>
      <c r="D675" s="59"/>
      <c r="E675" s="50"/>
      <c r="F675" s="59"/>
      <c r="G675" s="50"/>
      <c r="H675" s="63"/>
      <c r="I675" s="50"/>
      <c r="J675" s="50"/>
      <c r="K675" s="50"/>
      <c r="L675" s="50"/>
      <c r="M675" s="50"/>
      <c r="N675" s="50"/>
      <c r="O675" s="50"/>
      <c r="P675" s="50"/>
      <c r="Q675" s="50"/>
      <c r="R675" s="50"/>
      <c r="S675" s="50"/>
      <c r="T675" s="50"/>
      <c r="U675" s="50"/>
      <c r="V675" s="50"/>
      <c r="W675" s="50"/>
    </row>
    <row r="676">
      <c r="A676" s="50"/>
      <c r="B676" s="59"/>
      <c r="C676" s="50"/>
      <c r="D676" s="59"/>
      <c r="E676" s="50"/>
      <c r="F676" s="59"/>
      <c r="G676" s="50"/>
      <c r="H676" s="63"/>
      <c r="I676" s="50"/>
      <c r="J676" s="50"/>
      <c r="K676" s="50"/>
      <c r="L676" s="50"/>
      <c r="M676" s="50"/>
      <c r="N676" s="50"/>
      <c r="O676" s="50"/>
      <c r="P676" s="50"/>
      <c r="Q676" s="50"/>
      <c r="R676" s="50"/>
      <c r="S676" s="50"/>
      <c r="T676" s="50"/>
      <c r="U676" s="50"/>
      <c r="V676" s="50"/>
      <c r="W676" s="50"/>
    </row>
    <row r="677">
      <c r="A677" s="50"/>
      <c r="B677" s="59"/>
      <c r="C677" s="50"/>
      <c r="D677" s="59"/>
      <c r="E677" s="50"/>
      <c r="F677" s="59"/>
      <c r="G677" s="50"/>
      <c r="H677" s="63"/>
      <c r="I677" s="50"/>
      <c r="J677" s="50"/>
      <c r="K677" s="50"/>
      <c r="L677" s="50"/>
      <c r="M677" s="50"/>
      <c r="N677" s="50"/>
      <c r="O677" s="50"/>
      <c r="P677" s="50"/>
      <c r="Q677" s="50"/>
      <c r="R677" s="50"/>
      <c r="S677" s="50"/>
      <c r="T677" s="50"/>
      <c r="U677" s="50"/>
      <c r="V677" s="50"/>
      <c r="W677" s="50"/>
    </row>
    <row r="678">
      <c r="A678" s="50"/>
      <c r="B678" s="59"/>
      <c r="C678" s="50"/>
      <c r="D678" s="59"/>
      <c r="E678" s="50"/>
      <c r="F678" s="59"/>
      <c r="G678" s="50"/>
      <c r="H678" s="63"/>
      <c r="I678" s="50"/>
      <c r="J678" s="50"/>
      <c r="K678" s="50"/>
      <c r="L678" s="50"/>
      <c r="M678" s="50"/>
      <c r="N678" s="50"/>
      <c r="O678" s="50"/>
      <c r="P678" s="50"/>
      <c r="Q678" s="50"/>
      <c r="R678" s="50"/>
      <c r="S678" s="50"/>
      <c r="T678" s="50"/>
      <c r="U678" s="50"/>
      <c r="V678" s="50"/>
      <c r="W678" s="50"/>
    </row>
    <row r="679">
      <c r="A679" s="50"/>
      <c r="B679" s="59"/>
      <c r="C679" s="50"/>
      <c r="D679" s="59"/>
      <c r="E679" s="50"/>
      <c r="F679" s="59"/>
      <c r="G679" s="50"/>
      <c r="H679" s="63"/>
      <c r="I679" s="50"/>
      <c r="J679" s="50"/>
      <c r="K679" s="50"/>
      <c r="L679" s="50"/>
      <c r="M679" s="50"/>
      <c r="N679" s="50"/>
      <c r="O679" s="50"/>
      <c r="P679" s="50"/>
      <c r="Q679" s="50"/>
      <c r="R679" s="50"/>
      <c r="S679" s="50"/>
      <c r="T679" s="50"/>
      <c r="U679" s="50"/>
      <c r="V679" s="50"/>
      <c r="W679" s="50"/>
    </row>
    <row r="680">
      <c r="A680" s="50"/>
      <c r="B680" s="59"/>
      <c r="C680" s="50"/>
      <c r="D680" s="59"/>
      <c r="E680" s="50"/>
      <c r="F680" s="59"/>
      <c r="G680" s="50"/>
      <c r="H680" s="63"/>
      <c r="I680" s="50"/>
      <c r="J680" s="50"/>
      <c r="K680" s="50"/>
      <c r="L680" s="50"/>
      <c r="M680" s="50"/>
      <c r="N680" s="50"/>
      <c r="O680" s="50"/>
      <c r="P680" s="50"/>
      <c r="Q680" s="50"/>
      <c r="R680" s="50"/>
      <c r="S680" s="50"/>
      <c r="T680" s="50"/>
      <c r="U680" s="50"/>
      <c r="V680" s="50"/>
      <c r="W680" s="50"/>
    </row>
    <row r="681">
      <c r="A681" s="50"/>
      <c r="B681" s="59"/>
      <c r="C681" s="50"/>
      <c r="D681" s="59"/>
      <c r="E681" s="50"/>
      <c r="F681" s="59"/>
      <c r="G681" s="50"/>
      <c r="H681" s="63"/>
      <c r="I681" s="50"/>
      <c r="J681" s="50"/>
      <c r="K681" s="50"/>
      <c r="L681" s="50"/>
      <c r="M681" s="50"/>
      <c r="N681" s="50"/>
      <c r="O681" s="50"/>
      <c r="P681" s="50"/>
      <c r="Q681" s="50"/>
      <c r="R681" s="50"/>
      <c r="S681" s="50"/>
      <c r="T681" s="50"/>
      <c r="U681" s="50"/>
      <c r="V681" s="50"/>
      <c r="W681" s="50"/>
    </row>
    <row r="682">
      <c r="A682" s="50"/>
      <c r="B682" s="59"/>
      <c r="C682" s="50"/>
      <c r="D682" s="59"/>
      <c r="E682" s="50"/>
      <c r="F682" s="59"/>
      <c r="G682" s="50"/>
      <c r="H682" s="63"/>
      <c r="I682" s="50"/>
      <c r="J682" s="50"/>
      <c r="K682" s="50"/>
      <c r="L682" s="50"/>
      <c r="M682" s="50"/>
      <c r="N682" s="50"/>
      <c r="O682" s="50"/>
      <c r="P682" s="50"/>
      <c r="Q682" s="50"/>
      <c r="R682" s="50"/>
      <c r="S682" s="50"/>
      <c r="T682" s="50"/>
      <c r="U682" s="50"/>
      <c r="V682" s="50"/>
      <c r="W682" s="50"/>
    </row>
    <row r="683">
      <c r="A683" s="50"/>
      <c r="B683" s="59"/>
      <c r="C683" s="50"/>
      <c r="D683" s="59"/>
      <c r="E683" s="50"/>
      <c r="F683" s="59"/>
      <c r="G683" s="50"/>
      <c r="H683" s="63"/>
      <c r="I683" s="50"/>
      <c r="J683" s="50"/>
      <c r="K683" s="50"/>
      <c r="L683" s="50"/>
      <c r="M683" s="50"/>
      <c r="N683" s="50"/>
      <c r="O683" s="50"/>
      <c r="P683" s="50"/>
      <c r="Q683" s="50"/>
      <c r="R683" s="50"/>
      <c r="S683" s="50"/>
      <c r="T683" s="50"/>
      <c r="U683" s="50"/>
      <c r="V683" s="50"/>
      <c r="W683" s="50"/>
    </row>
    <row r="684">
      <c r="A684" s="50"/>
      <c r="B684" s="59"/>
      <c r="C684" s="50"/>
      <c r="D684" s="59"/>
      <c r="E684" s="50"/>
      <c r="F684" s="59"/>
      <c r="G684" s="50"/>
      <c r="H684" s="63"/>
      <c r="I684" s="50"/>
      <c r="J684" s="50"/>
      <c r="K684" s="50"/>
      <c r="L684" s="50"/>
      <c r="M684" s="50"/>
      <c r="N684" s="50"/>
      <c r="O684" s="50"/>
      <c r="P684" s="50"/>
      <c r="Q684" s="50"/>
      <c r="R684" s="50"/>
      <c r="S684" s="50"/>
      <c r="T684" s="50"/>
      <c r="U684" s="50"/>
      <c r="V684" s="50"/>
      <c r="W684" s="50"/>
    </row>
    <row r="685">
      <c r="A685" s="50"/>
      <c r="B685" s="59"/>
      <c r="C685" s="50"/>
      <c r="D685" s="59"/>
      <c r="E685" s="50"/>
      <c r="F685" s="59"/>
      <c r="G685" s="50"/>
      <c r="H685" s="63"/>
      <c r="I685" s="50"/>
      <c r="J685" s="50"/>
      <c r="K685" s="50"/>
      <c r="L685" s="50"/>
      <c r="M685" s="50"/>
      <c r="N685" s="50"/>
      <c r="O685" s="50"/>
      <c r="P685" s="50"/>
      <c r="Q685" s="50"/>
      <c r="R685" s="50"/>
      <c r="S685" s="50"/>
      <c r="T685" s="50"/>
      <c r="U685" s="50"/>
      <c r="V685" s="50"/>
      <c r="W685" s="50"/>
    </row>
    <row r="686">
      <c r="A686" s="50"/>
      <c r="B686" s="59"/>
      <c r="C686" s="50"/>
      <c r="D686" s="59"/>
      <c r="E686" s="50"/>
      <c r="F686" s="59"/>
      <c r="G686" s="50"/>
      <c r="H686" s="63"/>
      <c r="I686" s="50"/>
      <c r="J686" s="50"/>
      <c r="K686" s="50"/>
      <c r="L686" s="50"/>
      <c r="M686" s="50"/>
      <c r="N686" s="50"/>
      <c r="O686" s="50"/>
      <c r="P686" s="50"/>
      <c r="Q686" s="50"/>
      <c r="R686" s="50"/>
      <c r="S686" s="50"/>
      <c r="T686" s="50"/>
      <c r="U686" s="50"/>
      <c r="V686" s="50"/>
      <c r="W686" s="50"/>
    </row>
    <row r="687">
      <c r="A687" s="50"/>
      <c r="B687" s="59"/>
      <c r="C687" s="50"/>
      <c r="D687" s="59"/>
      <c r="E687" s="50"/>
      <c r="F687" s="59"/>
      <c r="G687" s="50"/>
      <c r="H687" s="63"/>
      <c r="I687" s="50"/>
      <c r="J687" s="50"/>
      <c r="K687" s="50"/>
      <c r="L687" s="50"/>
      <c r="M687" s="50"/>
      <c r="N687" s="50"/>
      <c r="O687" s="50"/>
      <c r="P687" s="50"/>
      <c r="Q687" s="50"/>
      <c r="R687" s="50"/>
      <c r="S687" s="50"/>
      <c r="T687" s="50"/>
      <c r="U687" s="50"/>
      <c r="V687" s="50"/>
      <c r="W687" s="50"/>
    </row>
    <row r="688">
      <c r="A688" s="50"/>
      <c r="B688" s="59"/>
      <c r="C688" s="50"/>
      <c r="D688" s="59"/>
      <c r="E688" s="50"/>
      <c r="F688" s="59"/>
      <c r="G688" s="50"/>
      <c r="H688" s="63"/>
      <c r="I688" s="50"/>
      <c r="J688" s="50"/>
      <c r="K688" s="50"/>
      <c r="L688" s="50"/>
      <c r="M688" s="50"/>
      <c r="N688" s="50"/>
      <c r="O688" s="50"/>
      <c r="P688" s="50"/>
      <c r="Q688" s="50"/>
      <c r="R688" s="50"/>
      <c r="S688" s="50"/>
      <c r="T688" s="50"/>
      <c r="U688" s="50"/>
      <c r="V688" s="50"/>
      <c r="W688" s="50"/>
    </row>
    <row r="689">
      <c r="A689" s="50"/>
      <c r="B689" s="59"/>
      <c r="C689" s="50"/>
      <c r="D689" s="59"/>
      <c r="E689" s="50"/>
      <c r="F689" s="59"/>
      <c r="G689" s="50"/>
      <c r="H689" s="63"/>
      <c r="I689" s="50"/>
      <c r="J689" s="50"/>
      <c r="K689" s="50"/>
      <c r="L689" s="50"/>
      <c r="M689" s="50"/>
      <c r="N689" s="50"/>
      <c r="O689" s="50"/>
      <c r="P689" s="50"/>
      <c r="Q689" s="50"/>
      <c r="R689" s="50"/>
      <c r="S689" s="50"/>
      <c r="T689" s="50"/>
      <c r="U689" s="50"/>
      <c r="V689" s="50"/>
      <c r="W689" s="50"/>
    </row>
    <row r="690">
      <c r="A690" s="50"/>
      <c r="B690" s="59"/>
      <c r="C690" s="50"/>
      <c r="D690" s="59"/>
      <c r="E690" s="50"/>
      <c r="F690" s="59"/>
      <c r="G690" s="50"/>
      <c r="H690" s="63"/>
      <c r="I690" s="50"/>
      <c r="J690" s="50"/>
      <c r="K690" s="50"/>
      <c r="L690" s="50"/>
      <c r="M690" s="50"/>
      <c r="N690" s="50"/>
      <c r="O690" s="50"/>
      <c r="P690" s="50"/>
      <c r="Q690" s="50"/>
      <c r="R690" s="50"/>
      <c r="S690" s="50"/>
      <c r="T690" s="50"/>
      <c r="U690" s="50"/>
      <c r="V690" s="50"/>
      <c r="W690" s="50"/>
    </row>
    <row r="691">
      <c r="A691" s="50"/>
      <c r="B691" s="59"/>
      <c r="C691" s="50"/>
      <c r="D691" s="59"/>
      <c r="E691" s="50"/>
      <c r="F691" s="59"/>
      <c r="G691" s="50"/>
      <c r="H691" s="63"/>
      <c r="I691" s="50"/>
      <c r="J691" s="50"/>
      <c r="K691" s="50"/>
      <c r="L691" s="50"/>
      <c r="M691" s="50"/>
      <c r="N691" s="50"/>
      <c r="O691" s="50"/>
      <c r="P691" s="50"/>
      <c r="Q691" s="50"/>
      <c r="R691" s="50"/>
      <c r="S691" s="50"/>
      <c r="T691" s="50"/>
      <c r="U691" s="50"/>
      <c r="V691" s="50"/>
      <c r="W691" s="50"/>
    </row>
    <row r="692">
      <c r="A692" s="50"/>
      <c r="B692" s="59"/>
      <c r="C692" s="50"/>
      <c r="D692" s="59"/>
      <c r="E692" s="50"/>
      <c r="F692" s="59"/>
      <c r="G692" s="50"/>
      <c r="H692" s="63"/>
      <c r="I692" s="50"/>
      <c r="J692" s="50"/>
      <c r="K692" s="50"/>
      <c r="L692" s="50"/>
      <c r="M692" s="50"/>
      <c r="N692" s="50"/>
      <c r="O692" s="50"/>
      <c r="P692" s="50"/>
      <c r="Q692" s="50"/>
      <c r="R692" s="50"/>
      <c r="S692" s="50"/>
      <c r="T692" s="50"/>
      <c r="U692" s="50"/>
      <c r="V692" s="50"/>
      <c r="W692" s="50"/>
    </row>
    <row r="693">
      <c r="A693" s="50"/>
      <c r="B693" s="59"/>
      <c r="C693" s="50"/>
      <c r="D693" s="59"/>
      <c r="E693" s="50"/>
      <c r="F693" s="59"/>
      <c r="G693" s="50"/>
      <c r="H693" s="63"/>
      <c r="I693" s="50"/>
      <c r="J693" s="50"/>
      <c r="K693" s="50"/>
      <c r="L693" s="50"/>
      <c r="M693" s="50"/>
      <c r="N693" s="50"/>
      <c r="O693" s="50"/>
      <c r="P693" s="50"/>
      <c r="Q693" s="50"/>
      <c r="R693" s="50"/>
      <c r="S693" s="50"/>
      <c r="T693" s="50"/>
      <c r="U693" s="50"/>
      <c r="V693" s="50"/>
      <c r="W693" s="50"/>
    </row>
    <row r="694">
      <c r="A694" s="50"/>
      <c r="B694" s="59"/>
      <c r="C694" s="50"/>
      <c r="D694" s="59"/>
      <c r="E694" s="50"/>
      <c r="F694" s="59"/>
      <c r="G694" s="50"/>
      <c r="H694" s="63"/>
      <c r="I694" s="50"/>
      <c r="J694" s="50"/>
      <c r="K694" s="50"/>
      <c r="L694" s="50"/>
      <c r="M694" s="50"/>
      <c r="N694" s="50"/>
      <c r="O694" s="50"/>
      <c r="P694" s="50"/>
      <c r="Q694" s="50"/>
      <c r="R694" s="50"/>
      <c r="S694" s="50"/>
      <c r="T694" s="50"/>
      <c r="U694" s="50"/>
      <c r="V694" s="50"/>
      <c r="W694" s="50"/>
    </row>
    <row r="695">
      <c r="A695" s="50"/>
      <c r="B695" s="59"/>
      <c r="C695" s="50"/>
      <c r="D695" s="59"/>
      <c r="E695" s="50"/>
      <c r="F695" s="59"/>
      <c r="G695" s="50"/>
      <c r="H695" s="63"/>
      <c r="I695" s="50"/>
      <c r="J695" s="50"/>
      <c r="K695" s="50"/>
      <c r="L695" s="50"/>
      <c r="M695" s="50"/>
      <c r="N695" s="50"/>
      <c r="O695" s="50"/>
      <c r="P695" s="50"/>
      <c r="Q695" s="50"/>
      <c r="R695" s="50"/>
      <c r="S695" s="50"/>
      <c r="T695" s="50"/>
      <c r="U695" s="50"/>
      <c r="V695" s="50"/>
      <c r="W695" s="50"/>
    </row>
    <row r="696">
      <c r="A696" s="50"/>
      <c r="B696" s="59"/>
      <c r="C696" s="50"/>
      <c r="D696" s="59"/>
      <c r="E696" s="50"/>
      <c r="F696" s="59"/>
      <c r="G696" s="50"/>
      <c r="H696" s="63"/>
      <c r="I696" s="50"/>
      <c r="J696" s="50"/>
      <c r="K696" s="50"/>
      <c r="L696" s="50"/>
      <c r="M696" s="50"/>
      <c r="N696" s="50"/>
      <c r="O696" s="50"/>
      <c r="P696" s="50"/>
      <c r="Q696" s="50"/>
      <c r="R696" s="50"/>
      <c r="S696" s="50"/>
      <c r="T696" s="50"/>
      <c r="U696" s="50"/>
      <c r="V696" s="50"/>
      <c r="W696" s="50"/>
    </row>
    <row r="697">
      <c r="A697" s="50"/>
      <c r="B697" s="59"/>
      <c r="C697" s="50"/>
      <c r="D697" s="59"/>
      <c r="E697" s="50"/>
      <c r="F697" s="59"/>
      <c r="G697" s="50"/>
      <c r="H697" s="63"/>
      <c r="I697" s="50"/>
      <c r="J697" s="50"/>
      <c r="K697" s="50"/>
      <c r="L697" s="50"/>
      <c r="M697" s="50"/>
      <c r="N697" s="50"/>
      <c r="O697" s="50"/>
      <c r="P697" s="50"/>
      <c r="Q697" s="50"/>
      <c r="R697" s="50"/>
      <c r="S697" s="50"/>
      <c r="T697" s="50"/>
      <c r="U697" s="50"/>
      <c r="V697" s="50"/>
      <c r="W697" s="50"/>
    </row>
    <row r="698">
      <c r="A698" s="50"/>
      <c r="B698" s="59"/>
      <c r="C698" s="50"/>
      <c r="D698" s="59"/>
      <c r="E698" s="50"/>
      <c r="F698" s="59"/>
      <c r="G698" s="50"/>
      <c r="H698" s="63"/>
      <c r="I698" s="50"/>
      <c r="J698" s="50"/>
      <c r="K698" s="50"/>
      <c r="L698" s="50"/>
      <c r="M698" s="50"/>
      <c r="N698" s="50"/>
      <c r="O698" s="50"/>
      <c r="P698" s="50"/>
      <c r="Q698" s="50"/>
      <c r="R698" s="50"/>
      <c r="S698" s="50"/>
      <c r="T698" s="50"/>
      <c r="U698" s="50"/>
      <c r="V698" s="50"/>
      <c r="W698" s="50"/>
    </row>
    <row r="699">
      <c r="A699" s="50"/>
      <c r="B699" s="59"/>
      <c r="C699" s="50"/>
      <c r="D699" s="59"/>
      <c r="E699" s="50"/>
      <c r="F699" s="59"/>
      <c r="G699" s="50"/>
      <c r="H699" s="63"/>
      <c r="I699" s="50"/>
      <c r="J699" s="50"/>
      <c r="K699" s="50"/>
      <c r="L699" s="50"/>
      <c r="M699" s="50"/>
      <c r="N699" s="50"/>
      <c r="O699" s="50"/>
      <c r="P699" s="50"/>
      <c r="Q699" s="50"/>
      <c r="R699" s="50"/>
      <c r="S699" s="50"/>
      <c r="T699" s="50"/>
      <c r="U699" s="50"/>
      <c r="V699" s="50"/>
      <c r="W699" s="50"/>
    </row>
    <row r="700">
      <c r="A700" s="50"/>
      <c r="B700" s="59"/>
      <c r="C700" s="50"/>
      <c r="D700" s="59"/>
      <c r="E700" s="50"/>
      <c r="F700" s="59"/>
      <c r="G700" s="50"/>
      <c r="H700" s="63"/>
      <c r="I700" s="50"/>
      <c r="J700" s="50"/>
      <c r="K700" s="50"/>
      <c r="L700" s="50"/>
      <c r="M700" s="50"/>
      <c r="N700" s="50"/>
      <c r="O700" s="50"/>
      <c r="P700" s="50"/>
      <c r="Q700" s="50"/>
      <c r="R700" s="50"/>
      <c r="S700" s="50"/>
      <c r="T700" s="50"/>
      <c r="U700" s="50"/>
      <c r="V700" s="50"/>
      <c r="W700" s="50"/>
    </row>
    <row r="701">
      <c r="A701" s="50"/>
      <c r="B701" s="59"/>
      <c r="C701" s="50"/>
      <c r="D701" s="59"/>
      <c r="E701" s="50"/>
      <c r="F701" s="59"/>
      <c r="G701" s="50"/>
      <c r="H701" s="63"/>
      <c r="I701" s="50"/>
      <c r="J701" s="50"/>
      <c r="K701" s="50"/>
      <c r="L701" s="50"/>
      <c r="M701" s="50"/>
      <c r="N701" s="50"/>
      <c r="O701" s="50"/>
      <c r="P701" s="50"/>
      <c r="Q701" s="50"/>
      <c r="R701" s="50"/>
      <c r="S701" s="50"/>
      <c r="T701" s="50"/>
      <c r="U701" s="50"/>
      <c r="V701" s="50"/>
      <c r="W701" s="50"/>
    </row>
    <row r="702">
      <c r="A702" s="50"/>
      <c r="B702" s="59"/>
      <c r="C702" s="50"/>
      <c r="D702" s="59"/>
      <c r="E702" s="50"/>
      <c r="F702" s="59"/>
      <c r="G702" s="50"/>
      <c r="H702" s="63"/>
      <c r="I702" s="50"/>
      <c r="J702" s="50"/>
      <c r="K702" s="50"/>
      <c r="L702" s="50"/>
      <c r="M702" s="50"/>
      <c r="N702" s="50"/>
      <c r="O702" s="50"/>
      <c r="P702" s="50"/>
      <c r="Q702" s="50"/>
      <c r="R702" s="50"/>
      <c r="S702" s="50"/>
      <c r="T702" s="50"/>
      <c r="U702" s="50"/>
      <c r="V702" s="50"/>
      <c r="W702" s="50"/>
    </row>
    <row r="703">
      <c r="A703" s="50"/>
      <c r="B703" s="59"/>
      <c r="C703" s="50"/>
      <c r="D703" s="59"/>
      <c r="E703" s="50"/>
      <c r="F703" s="59"/>
      <c r="G703" s="50"/>
      <c r="H703" s="63"/>
      <c r="I703" s="50"/>
      <c r="J703" s="50"/>
      <c r="K703" s="50"/>
      <c r="L703" s="50"/>
      <c r="M703" s="50"/>
      <c r="N703" s="50"/>
      <c r="O703" s="50"/>
      <c r="P703" s="50"/>
      <c r="Q703" s="50"/>
      <c r="R703" s="50"/>
      <c r="S703" s="50"/>
      <c r="T703" s="50"/>
      <c r="U703" s="50"/>
      <c r="V703" s="50"/>
      <c r="W703" s="50"/>
    </row>
    <row r="704">
      <c r="A704" s="50"/>
      <c r="B704" s="59"/>
      <c r="C704" s="50"/>
      <c r="D704" s="59"/>
      <c r="E704" s="50"/>
      <c r="F704" s="59"/>
      <c r="G704" s="50"/>
      <c r="H704" s="63"/>
      <c r="I704" s="50"/>
      <c r="J704" s="50"/>
      <c r="K704" s="50"/>
      <c r="L704" s="50"/>
      <c r="M704" s="50"/>
      <c r="N704" s="50"/>
      <c r="O704" s="50"/>
      <c r="P704" s="50"/>
      <c r="Q704" s="50"/>
      <c r="R704" s="50"/>
      <c r="S704" s="50"/>
      <c r="T704" s="50"/>
      <c r="U704" s="50"/>
      <c r="V704" s="50"/>
      <c r="W704" s="50"/>
    </row>
    <row r="705">
      <c r="A705" s="50"/>
      <c r="B705" s="59"/>
      <c r="C705" s="50"/>
      <c r="D705" s="59"/>
      <c r="E705" s="50"/>
      <c r="F705" s="59"/>
      <c r="G705" s="50"/>
      <c r="H705" s="63"/>
      <c r="I705" s="50"/>
      <c r="J705" s="50"/>
      <c r="K705" s="50"/>
      <c r="L705" s="50"/>
      <c r="M705" s="50"/>
      <c r="N705" s="50"/>
      <c r="O705" s="50"/>
      <c r="P705" s="50"/>
      <c r="Q705" s="50"/>
      <c r="R705" s="50"/>
      <c r="S705" s="50"/>
      <c r="T705" s="50"/>
      <c r="U705" s="50"/>
      <c r="V705" s="50"/>
      <c r="W705" s="50"/>
    </row>
    <row r="706">
      <c r="A706" s="50"/>
      <c r="B706" s="59"/>
      <c r="C706" s="50"/>
      <c r="D706" s="59"/>
      <c r="E706" s="50"/>
      <c r="F706" s="59"/>
      <c r="G706" s="50"/>
      <c r="H706" s="63"/>
      <c r="I706" s="50"/>
      <c r="J706" s="50"/>
      <c r="K706" s="50"/>
      <c r="L706" s="50"/>
      <c r="M706" s="50"/>
      <c r="N706" s="50"/>
      <c r="O706" s="50"/>
      <c r="P706" s="50"/>
      <c r="Q706" s="50"/>
      <c r="R706" s="50"/>
      <c r="S706" s="50"/>
      <c r="T706" s="50"/>
      <c r="U706" s="50"/>
      <c r="V706" s="50"/>
      <c r="W706" s="50"/>
    </row>
    <row r="707">
      <c r="A707" s="50"/>
      <c r="B707" s="59"/>
      <c r="C707" s="50"/>
      <c r="D707" s="59"/>
      <c r="E707" s="50"/>
      <c r="F707" s="59"/>
      <c r="G707" s="50"/>
      <c r="H707" s="63"/>
      <c r="I707" s="50"/>
      <c r="J707" s="50"/>
      <c r="K707" s="50"/>
      <c r="L707" s="50"/>
      <c r="M707" s="50"/>
      <c r="N707" s="50"/>
      <c r="O707" s="50"/>
      <c r="P707" s="50"/>
      <c r="Q707" s="50"/>
      <c r="R707" s="50"/>
      <c r="S707" s="50"/>
      <c r="T707" s="50"/>
      <c r="U707" s="50"/>
      <c r="V707" s="50"/>
      <c r="W707" s="50"/>
    </row>
    <row r="708">
      <c r="A708" s="50"/>
      <c r="B708" s="59"/>
      <c r="C708" s="50"/>
      <c r="D708" s="59"/>
      <c r="E708" s="50"/>
      <c r="F708" s="59"/>
      <c r="G708" s="50"/>
      <c r="H708" s="63"/>
      <c r="I708" s="50"/>
      <c r="J708" s="50"/>
      <c r="K708" s="50"/>
      <c r="L708" s="50"/>
      <c r="M708" s="50"/>
      <c r="N708" s="50"/>
      <c r="O708" s="50"/>
      <c r="P708" s="50"/>
      <c r="Q708" s="50"/>
      <c r="R708" s="50"/>
      <c r="S708" s="50"/>
      <c r="T708" s="50"/>
      <c r="U708" s="50"/>
      <c r="V708" s="50"/>
      <c r="W708" s="50"/>
    </row>
    <row r="709">
      <c r="A709" s="50"/>
      <c r="B709" s="59"/>
      <c r="C709" s="50"/>
      <c r="D709" s="59"/>
      <c r="E709" s="50"/>
      <c r="F709" s="59"/>
      <c r="G709" s="50"/>
      <c r="H709" s="63"/>
      <c r="I709" s="50"/>
      <c r="J709" s="50"/>
      <c r="K709" s="50"/>
      <c r="L709" s="50"/>
      <c r="M709" s="50"/>
      <c r="N709" s="50"/>
      <c r="O709" s="50"/>
      <c r="P709" s="50"/>
      <c r="Q709" s="50"/>
      <c r="R709" s="50"/>
      <c r="S709" s="50"/>
      <c r="T709" s="50"/>
      <c r="U709" s="50"/>
      <c r="V709" s="50"/>
      <c r="W709" s="50"/>
    </row>
    <row r="710">
      <c r="A710" s="50"/>
      <c r="B710" s="59"/>
      <c r="C710" s="50"/>
      <c r="D710" s="59"/>
      <c r="E710" s="50"/>
      <c r="F710" s="59"/>
      <c r="G710" s="50"/>
      <c r="H710" s="63"/>
      <c r="I710" s="50"/>
      <c r="J710" s="50"/>
      <c r="K710" s="50"/>
      <c r="L710" s="50"/>
      <c r="M710" s="50"/>
      <c r="N710" s="50"/>
      <c r="O710" s="50"/>
      <c r="P710" s="50"/>
      <c r="Q710" s="50"/>
      <c r="R710" s="50"/>
      <c r="S710" s="50"/>
      <c r="T710" s="50"/>
      <c r="U710" s="50"/>
      <c r="V710" s="50"/>
      <c r="W710" s="50"/>
    </row>
    <row r="711">
      <c r="A711" s="50"/>
      <c r="B711" s="59"/>
      <c r="C711" s="50"/>
      <c r="D711" s="59"/>
      <c r="E711" s="50"/>
      <c r="F711" s="59"/>
      <c r="G711" s="50"/>
      <c r="H711" s="63"/>
      <c r="I711" s="50"/>
      <c r="J711" s="50"/>
      <c r="K711" s="50"/>
      <c r="L711" s="50"/>
      <c r="M711" s="50"/>
      <c r="N711" s="50"/>
      <c r="O711" s="50"/>
      <c r="P711" s="50"/>
      <c r="Q711" s="50"/>
      <c r="R711" s="50"/>
      <c r="S711" s="50"/>
      <c r="T711" s="50"/>
      <c r="U711" s="50"/>
      <c r="V711" s="50"/>
      <c r="W711" s="50"/>
    </row>
    <row r="712">
      <c r="A712" s="50"/>
      <c r="B712" s="59"/>
      <c r="C712" s="50"/>
      <c r="D712" s="59"/>
      <c r="E712" s="50"/>
      <c r="F712" s="59"/>
      <c r="G712" s="50"/>
      <c r="H712" s="63"/>
      <c r="I712" s="50"/>
      <c r="J712" s="50"/>
      <c r="K712" s="50"/>
      <c r="L712" s="50"/>
      <c r="M712" s="50"/>
      <c r="N712" s="50"/>
      <c r="O712" s="50"/>
      <c r="P712" s="50"/>
      <c r="Q712" s="50"/>
      <c r="R712" s="50"/>
      <c r="S712" s="50"/>
      <c r="T712" s="50"/>
      <c r="U712" s="50"/>
      <c r="V712" s="50"/>
      <c r="W712" s="50"/>
    </row>
    <row r="713">
      <c r="A713" s="50"/>
      <c r="B713" s="59"/>
      <c r="C713" s="50"/>
      <c r="D713" s="59"/>
      <c r="E713" s="50"/>
      <c r="F713" s="59"/>
      <c r="G713" s="50"/>
      <c r="H713" s="63"/>
      <c r="I713" s="50"/>
      <c r="J713" s="50"/>
      <c r="K713" s="50"/>
      <c r="L713" s="50"/>
      <c r="M713" s="50"/>
      <c r="N713" s="50"/>
      <c r="O713" s="50"/>
      <c r="P713" s="50"/>
      <c r="Q713" s="50"/>
      <c r="R713" s="50"/>
      <c r="S713" s="50"/>
      <c r="T713" s="50"/>
      <c r="U713" s="50"/>
      <c r="V713" s="50"/>
      <c r="W713" s="50"/>
    </row>
    <row r="714">
      <c r="A714" s="50"/>
      <c r="B714" s="59"/>
      <c r="C714" s="50"/>
      <c r="D714" s="59"/>
      <c r="E714" s="50"/>
      <c r="F714" s="59"/>
      <c r="G714" s="50"/>
      <c r="H714" s="63"/>
      <c r="I714" s="50"/>
      <c r="J714" s="50"/>
      <c r="K714" s="50"/>
      <c r="L714" s="50"/>
      <c r="M714" s="50"/>
      <c r="N714" s="50"/>
      <c r="O714" s="50"/>
      <c r="P714" s="50"/>
      <c r="Q714" s="50"/>
      <c r="R714" s="50"/>
      <c r="S714" s="50"/>
      <c r="T714" s="50"/>
      <c r="U714" s="50"/>
      <c r="V714" s="50"/>
      <c r="W714" s="50"/>
    </row>
    <row r="715">
      <c r="A715" s="50"/>
      <c r="B715" s="59"/>
      <c r="C715" s="50"/>
      <c r="D715" s="59"/>
      <c r="E715" s="50"/>
      <c r="F715" s="59"/>
      <c r="G715" s="50"/>
      <c r="H715" s="63"/>
      <c r="I715" s="50"/>
      <c r="J715" s="50"/>
      <c r="K715" s="50"/>
      <c r="L715" s="50"/>
      <c r="M715" s="50"/>
      <c r="N715" s="50"/>
      <c r="O715" s="50"/>
      <c r="P715" s="50"/>
      <c r="Q715" s="50"/>
      <c r="R715" s="50"/>
      <c r="S715" s="50"/>
      <c r="T715" s="50"/>
      <c r="U715" s="50"/>
      <c r="V715" s="50"/>
      <c r="W715" s="50"/>
    </row>
    <row r="716">
      <c r="A716" s="50"/>
      <c r="B716" s="59"/>
      <c r="C716" s="50"/>
      <c r="D716" s="59"/>
      <c r="E716" s="50"/>
      <c r="F716" s="59"/>
      <c r="G716" s="50"/>
      <c r="H716" s="63"/>
      <c r="I716" s="50"/>
      <c r="J716" s="50"/>
      <c r="K716" s="50"/>
      <c r="L716" s="50"/>
      <c r="M716" s="50"/>
      <c r="N716" s="50"/>
      <c r="O716" s="50"/>
      <c r="P716" s="50"/>
      <c r="Q716" s="50"/>
      <c r="R716" s="50"/>
      <c r="S716" s="50"/>
      <c r="T716" s="50"/>
      <c r="U716" s="50"/>
      <c r="V716" s="50"/>
      <c r="W716" s="50"/>
    </row>
    <row r="717">
      <c r="A717" s="50"/>
      <c r="B717" s="59"/>
      <c r="C717" s="50"/>
      <c r="D717" s="59"/>
      <c r="E717" s="50"/>
      <c r="F717" s="59"/>
      <c r="G717" s="50"/>
      <c r="H717" s="63"/>
      <c r="I717" s="50"/>
      <c r="J717" s="50"/>
      <c r="K717" s="50"/>
      <c r="L717" s="50"/>
      <c r="M717" s="50"/>
      <c r="N717" s="50"/>
      <c r="O717" s="50"/>
      <c r="P717" s="50"/>
      <c r="Q717" s="50"/>
      <c r="R717" s="50"/>
      <c r="S717" s="50"/>
      <c r="T717" s="50"/>
      <c r="U717" s="50"/>
      <c r="V717" s="50"/>
      <c r="W717" s="50"/>
    </row>
    <row r="718">
      <c r="A718" s="50"/>
      <c r="B718" s="59"/>
      <c r="C718" s="50"/>
      <c r="D718" s="59"/>
      <c r="E718" s="50"/>
      <c r="F718" s="59"/>
      <c r="G718" s="50"/>
      <c r="H718" s="63"/>
      <c r="I718" s="50"/>
      <c r="J718" s="50"/>
      <c r="K718" s="50"/>
      <c r="L718" s="50"/>
      <c r="M718" s="50"/>
      <c r="N718" s="50"/>
      <c r="O718" s="50"/>
      <c r="P718" s="50"/>
      <c r="Q718" s="50"/>
      <c r="R718" s="50"/>
      <c r="S718" s="50"/>
      <c r="T718" s="50"/>
      <c r="U718" s="50"/>
      <c r="V718" s="50"/>
      <c r="W718" s="50"/>
    </row>
    <row r="719">
      <c r="A719" s="50"/>
      <c r="B719" s="59"/>
      <c r="C719" s="50"/>
      <c r="D719" s="59"/>
      <c r="E719" s="50"/>
      <c r="F719" s="59"/>
      <c r="G719" s="50"/>
      <c r="H719" s="63"/>
      <c r="I719" s="50"/>
      <c r="J719" s="50"/>
      <c r="K719" s="50"/>
      <c r="L719" s="50"/>
      <c r="M719" s="50"/>
      <c r="N719" s="50"/>
      <c r="O719" s="50"/>
      <c r="P719" s="50"/>
      <c r="Q719" s="50"/>
      <c r="R719" s="50"/>
      <c r="S719" s="50"/>
      <c r="T719" s="50"/>
      <c r="U719" s="50"/>
      <c r="V719" s="50"/>
      <c r="W719" s="50"/>
    </row>
    <row r="720">
      <c r="A720" s="50"/>
      <c r="B720" s="59"/>
      <c r="C720" s="50"/>
      <c r="D720" s="59"/>
      <c r="E720" s="50"/>
      <c r="F720" s="59"/>
      <c r="G720" s="50"/>
      <c r="H720" s="63"/>
      <c r="I720" s="50"/>
      <c r="J720" s="50"/>
      <c r="K720" s="50"/>
      <c r="L720" s="50"/>
      <c r="M720" s="50"/>
      <c r="N720" s="50"/>
      <c r="O720" s="50"/>
      <c r="P720" s="50"/>
      <c r="Q720" s="50"/>
      <c r="R720" s="50"/>
      <c r="S720" s="50"/>
      <c r="T720" s="50"/>
      <c r="U720" s="50"/>
      <c r="V720" s="50"/>
      <c r="W720" s="50"/>
    </row>
    <row r="721">
      <c r="A721" s="50"/>
      <c r="B721" s="59"/>
      <c r="C721" s="50"/>
      <c r="D721" s="59"/>
      <c r="E721" s="50"/>
      <c r="F721" s="59"/>
      <c r="G721" s="50"/>
      <c r="H721" s="63"/>
      <c r="I721" s="50"/>
      <c r="J721" s="50"/>
      <c r="K721" s="50"/>
      <c r="L721" s="50"/>
      <c r="M721" s="50"/>
      <c r="N721" s="50"/>
      <c r="O721" s="50"/>
      <c r="P721" s="50"/>
      <c r="Q721" s="50"/>
      <c r="R721" s="50"/>
      <c r="S721" s="50"/>
      <c r="T721" s="50"/>
      <c r="U721" s="50"/>
      <c r="V721" s="50"/>
      <c r="W721" s="50"/>
    </row>
    <row r="722">
      <c r="A722" s="50"/>
      <c r="B722" s="59"/>
      <c r="C722" s="50"/>
      <c r="D722" s="59"/>
      <c r="E722" s="50"/>
      <c r="F722" s="59"/>
      <c r="G722" s="50"/>
      <c r="H722" s="63"/>
      <c r="I722" s="50"/>
      <c r="J722" s="50"/>
      <c r="K722" s="50"/>
      <c r="L722" s="50"/>
      <c r="M722" s="50"/>
      <c r="N722" s="50"/>
      <c r="O722" s="50"/>
      <c r="P722" s="50"/>
      <c r="Q722" s="50"/>
      <c r="R722" s="50"/>
      <c r="S722" s="50"/>
      <c r="T722" s="50"/>
      <c r="U722" s="50"/>
      <c r="V722" s="50"/>
      <c r="W722" s="50"/>
    </row>
    <row r="723">
      <c r="A723" s="50"/>
      <c r="B723" s="59"/>
      <c r="C723" s="50"/>
      <c r="D723" s="59"/>
      <c r="E723" s="50"/>
      <c r="F723" s="59"/>
      <c r="G723" s="50"/>
      <c r="H723" s="63"/>
      <c r="I723" s="50"/>
      <c r="J723" s="50"/>
      <c r="K723" s="50"/>
      <c r="L723" s="50"/>
      <c r="M723" s="50"/>
      <c r="N723" s="50"/>
      <c r="O723" s="50"/>
      <c r="P723" s="50"/>
      <c r="Q723" s="50"/>
      <c r="R723" s="50"/>
      <c r="S723" s="50"/>
      <c r="T723" s="50"/>
      <c r="U723" s="50"/>
      <c r="V723" s="50"/>
      <c r="W723" s="50"/>
    </row>
    <row r="724">
      <c r="A724" s="50"/>
      <c r="B724" s="59"/>
      <c r="C724" s="50"/>
      <c r="D724" s="59"/>
      <c r="E724" s="50"/>
      <c r="F724" s="59"/>
      <c r="G724" s="50"/>
      <c r="H724" s="63"/>
      <c r="I724" s="50"/>
      <c r="J724" s="50"/>
      <c r="K724" s="50"/>
      <c r="L724" s="50"/>
      <c r="M724" s="50"/>
      <c r="N724" s="50"/>
      <c r="O724" s="50"/>
      <c r="P724" s="50"/>
      <c r="Q724" s="50"/>
      <c r="R724" s="50"/>
      <c r="S724" s="50"/>
      <c r="T724" s="50"/>
      <c r="U724" s="50"/>
      <c r="V724" s="50"/>
      <c r="W724" s="50"/>
    </row>
    <row r="725">
      <c r="A725" s="50"/>
      <c r="B725" s="59"/>
      <c r="C725" s="50"/>
      <c r="D725" s="59"/>
      <c r="E725" s="50"/>
      <c r="F725" s="59"/>
      <c r="G725" s="50"/>
      <c r="H725" s="63"/>
      <c r="I725" s="50"/>
      <c r="J725" s="50"/>
      <c r="K725" s="50"/>
      <c r="L725" s="50"/>
      <c r="M725" s="50"/>
      <c r="N725" s="50"/>
      <c r="O725" s="50"/>
      <c r="P725" s="50"/>
      <c r="Q725" s="50"/>
      <c r="R725" s="50"/>
      <c r="S725" s="50"/>
      <c r="T725" s="50"/>
      <c r="U725" s="50"/>
      <c r="V725" s="50"/>
      <c r="W725" s="50"/>
    </row>
    <row r="726">
      <c r="A726" s="50"/>
      <c r="B726" s="59"/>
      <c r="C726" s="50"/>
      <c r="D726" s="59"/>
      <c r="E726" s="50"/>
      <c r="F726" s="59"/>
      <c r="G726" s="50"/>
      <c r="H726" s="63"/>
      <c r="I726" s="50"/>
      <c r="J726" s="50"/>
      <c r="K726" s="50"/>
      <c r="L726" s="50"/>
      <c r="M726" s="50"/>
      <c r="N726" s="50"/>
      <c r="O726" s="50"/>
      <c r="P726" s="50"/>
      <c r="Q726" s="50"/>
      <c r="R726" s="50"/>
      <c r="S726" s="50"/>
      <c r="T726" s="50"/>
      <c r="U726" s="50"/>
      <c r="V726" s="50"/>
      <c r="W726" s="50"/>
    </row>
    <row r="727">
      <c r="A727" s="50"/>
      <c r="B727" s="59"/>
      <c r="C727" s="50"/>
      <c r="D727" s="59"/>
      <c r="E727" s="50"/>
      <c r="F727" s="59"/>
      <c r="G727" s="50"/>
      <c r="H727" s="63"/>
      <c r="I727" s="50"/>
      <c r="J727" s="50"/>
      <c r="K727" s="50"/>
      <c r="L727" s="50"/>
      <c r="M727" s="50"/>
      <c r="N727" s="50"/>
      <c r="O727" s="50"/>
      <c r="P727" s="50"/>
      <c r="Q727" s="50"/>
      <c r="R727" s="50"/>
      <c r="S727" s="50"/>
      <c r="T727" s="50"/>
      <c r="U727" s="50"/>
      <c r="V727" s="50"/>
      <c r="W727" s="50"/>
    </row>
    <row r="728">
      <c r="A728" s="50"/>
      <c r="B728" s="59"/>
      <c r="C728" s="50"/>
      <c r="D728" s="59"/>
      <c r="E728" s="50"/>
      <c r="F728" s="59"/>
      <c r="G728" s="50"/>
      <c r="H728" s="63"/>
      <c r="I728" s="50"/>
      <c r="J728" s="50"/>
      <c r="K728" s="50"/>
      <c r="L728" s="50"/>
      <c r="M728" s="50"/>
      <c r="N728" s="50"/>
      <c r="O728" s="50"/>
      <c r="P728" s="50"/>
      <c r="Q728" s="50"/>
      <c r="R728" s="50"/>
      <c r="S728" s="50"/>
      <c r="T728" s="50"/>
      <c r="U728" s="50"/>
      <c r="V728" s="50"/>
      <c r="W728" s="50"/>
    </row>
    <row r="729">
      <c r="A729" s="50"/>
      <c r="B729" s="59"/>
      <c r="C729" s="50"/>
      <c r="D729" s="59"/>
      <c r="E729" s="50"/>
      <c r="F729" s="59"/>
      <c r="G729" s="50"/>
      <c r="H729" s="63"/>
      <c r="I729" s="50"/>
      <c r="J729" s="50"/>
      <c r="K729" s="50"/>
      <c r="L729" s="50"/>
      <c r="M729" s="50"/>
      <c r="N729" s="50"/>
      <c r="O729" s="50"/>
      <c r="P729" s="50"/>
      <c r="Q729" s="50"/>
      <c r="R729" s="50"/>
      <c r="S729" s="50"/>
      <c r="T729" s="50"/>
      <c r="U729" s="50"/>
      <c r="V729" s="50"/>
      <c r="W729" s="50"/>
    </row>
    <row r="730">
      <c r="A730" s="50"/>
      <c r="B730" s="59"/>
      <c r="C730" s="50"/>
      <c r="D730" s="59"/>
      <c r="E730" s="50"/>
      <c r="F730" s="59"/>
      <c r="G730" s="50"/>
      <c r="H730" s="63"/>
      <c r="I730" s="50"/>
      <c r="J730" s="50"/>
      <c r="K730" s="50"/>
      <c r="L730" s="50"/>
      <c r="M730" s="50"/>
      <c r="N730" s="50"/>
      <c r="O730" s="50"/>
      <c r="P730" s="50"/>
      <c r="Q730" s="50"/>
      <c r="R730" s="50"/>
      <c r="S730" s="50"/>
      <c r="T730" s="50"/>
      <c r="U730" s="50"/>
      <c r="V730" s="50"/>
      <c r="W730" s="50"/>
    </row>
    <row r="731">
      <c r="A731" s="50"/>
      <c r="B731" s="59"/>
      <c r="C731" s="50"/>
      <c r="D731" s="59"/>
      <c r="E731" s="50"/>
      <c r="F731" s="59"/>
      <c r="G731" s="50"/>
      <c r="H731" s="63"/>
      <c r="I731" s="50"/>
      <c r="J731" s="50"/>
      <c r="K731" s="50"/>
      <c r="L731" s="50"/>
      <c r="M731" s="50"/>
      <c r="N731" s="50"/>
      <c r="O731" s="50"/>
      <c r="P731" s="50"/>
      <c r="Q731" s="50"/>
      <c r="R731" s="50"/>
      <c r="S731" s="50"/>
      <c r="T731" s="50"/>
      <c r="U731" s="50"/>
      <c r="V731" s="50"/>
      <c r="W731" s="50"/>
    </row>
    <row r="732">
      <c r="A732" s="50"/>
      <c r="B732" s="59"/>
      <c r="C732" s="50"/>
      <c r="D732" s="59"/>
      <c r="E732" s="50"/>
      <c r="F732" s="59"/>
      <c r="G732" s="50"/>
      <c r="H732" s="63"/>
      <c r="I732" s="50"/>
      <c r="J732" s="50"/>
      <c r="K732" s="50"/>
      <c r="L732" s="50"/>
      <c r="M732" s="50"/>
      <c r="N732" s="50"/>
      <c r="O732" s="50"/>
      <c r="P732" s="50"/>
      <c r="Q732" s="50"/>
      <c r="R732" s="50"/>
      <c r="S732" s="50"/>
      <c r="T732" s="50"/>
      <c r="U732" s="50"/>
      <c r="V732" s="50"/>
      <c r="W732" s="50"/>
    </row>
    <row r="733">
      <c r="A733" s="50"/>
      <c r="B733" s="59"/>
      <c r="C733" s="50"/>
      <c r="D733" s="59"/>
      <c r="E733" s="50"/>
      <c r="F733" s="59"/>
      <c r="G733" s="50"/>
      <c r="H733" s="63"/>
      <c r="I733" s="50"/>
      <c r="J733" s="50"/>
      <c r="K733" s="50"/>
      <c r="L733" s="50"/>
      <c r="M733" s="50"/>
      <c r="N733" s="50"/>
      <c r="O733" s="50"/>
      <c r="P733" s="50"/>
      <c r="Q733" s="50"/>
      <c r="R733" s="50"/>
      <c r="S733" s="50"/>
      <c r="T733" s="50"/>
      <c r="U733" s="50"/>
      <c r="V733" s="50"/>
      <c r="W733" s="50"/>
    </row>
    <row r="734">
      <c r="A734" s="50"/>
      <c r="B734" s="59"/>
      <c r="C734" s="50"/>
      <c r="D734" s="59"/>
      <c r="E734" s="50"/>
      <c r="F734" s="59"/>
      <c r="G734" s="50"/>
      <c r="H734" s="63"/>
      <c r="I734" s="50"/>
      <c r="J734" s="50"/>
      <c r="K734" s="50"/>
      <c r="L734" s="50"/>
      <c r="M734" s="50"/>
      <c r="N734" s="50"/>
      <c r="O734" s="50"/>
      <c r="P734" s="50"/>
      <c r="Q734" s="50"/>
      <c r="R734" s="50"/>
      <c r="S734" s="50"/>
      <c r="T734" s="50"/>
      <c r="U734" s="50"/>
      <c r="V734" s="50"/>
      <c r="W734" s="50"/>
    </row>
    <row r="735">
      <c r="A735" s="50"/>
      <c r="B735" s="59"/>
      <c r="C735" s="50"/>
      <c r="D735" s="59"/>
      <c r="E735" s="50"/>
      <c r="F735" s="59"/>
      <c r="G735" s="50"/>
      <c r="H735" s="63"/>
      <c r="I735" s="50"/>
      <c r="J735" s="50"/>
      <c r="K735" s="50"/>
      <c r="L735" s="50"/>
      <c r="M735" s="50"/>
      <c r="N735" s="50"/>
      <c r="O735" s="50"/>
      <c r="P735" s="50"/>
      <c r="Q735" s="50"/>
      <c r="R735" s="50"/>
      <c r="S735" s="50"/>
      <c r="T735" s="50"/>
      <c r="U735" s="50"/>
      <c r="V735" s="50"/>
      <c r="W735" s="50"/>
    </row>
    <row r="736">
      <c r="A736" s="50"/>
      <c r="B736" s="59"/>
      <c r="C736" s="50"/>
      <c r="D736" s="59"/>
      <c r="E736" s="50"/>
      <c r="F736" s="59"/>
      <c r="G736" s="50"/>
      <c r="H736" s="63"/>
      <c r="I736" s="50"/>
      <c r="J736" s="50"/>
      <c r="K736" s="50"/>
      <c r="L736" s="50"/>
      <c r="M736" s="50"/>
      <c r="N736" s="50"/>
      <c r="O736" s="50"/>
      <c r="P736" s="50"/>
      <c r="Q736" s="50"/>
      <c r="R736" s="50"/>
      <c r="S736" s="50"/>
      <c r="T736" s="50"/>
      <c r="U736" s="50"/>
      <c r="V736" s="50"/>
      <c r="W736" s="50"/>
    </row>
    <row r="737">
      <c r="A737" s="50"/>
      <c r="B737" s="59"/>
      <c r="C737" s="50"/>
      <c r="D737" s="59"/>
      <c r="E737" s="50"/>
      <c r="F737" s="59"/>
      <c r="G737" s="50"/>
      <c r="H737" s="63"/>
      <c r="I737" s="50"/>
      <c r="J737" s="50"/>
      <c r="K737" s="50"/>
      <c r="L737" s="50"/>
      <c r="M737" s="50"/>
      <c r="N737" s="50"/>
      <c r="O737" s="50"/>
      <c r="P737" s="50"/>
      <c r="Q737" s="50"/>
      <c r="R737" s="50"/>
      <c r="S737" s="50"/>
      <c r="T737" s="50"/>
      <c r="U737" s="50"/>
      <c r="V737" s="50"/>
      <c r="W737" s="50"/>
    </row>
    <row r="738">
      <c r="A738" s="50"/>
      <c r="B738" s="59"/>
      <c r="C738" s="50"/>
      <c r="D738" s="59"/>
      <c r="E738" s="50"/>
      <c r="F738" s="59"/>
      <c r="G738" s="50"/>
      <c r="H738" s="63"/>
      <c r="I738" s="50"/>
      <c r="J738" s="50"/>
      <c r="K738" s="50"/>
      <c r="L738" s="50"/>
      <c r="M738" s="50"/>
      <c r="N738" s="50"/>
      <c r="O738" s="50"/>
      <c r="P738" s="50"/>
      <c r="Q738" s="50"/>
      <c r="R738" s="50"/>
      <c r="S738" s="50"/>
      <c r="T738" s="50"/>
      <c r="U738" s="50"/>
      <c r="V738" s="50"/>
      <c r="W738" s="50"/>
    </row>
    <row r="739">
      <c r="A739" s="50"/>
      <c r="B739" s="59"/>
      <c r="C739" s="50"/>
      <c r="D739" s="59"/>
      <c r="E739" s="50"/>
      <c r="F739" s="59"/>
      <c r="G739" s="50"/>
      <c r="H739" s="63"/>
      <c r="I739" s="50"/>
      <c r="J739" s="50"/>
      <c r="K739" s="50"/>
      <c r="L739" s="50"/>
      <c r="M739" s="50"/>
      <c r="N739" s="50"/>
      <c r="O739" s="50"/>
      <c r="P739" s="50"/>
      <c r="Q739" s="50"/>
      <c r="R739" s="50"/>
      <c r="S739" s="50"/>
      <c r="T739" s="50"/>
      <c r="U739" s="50"/>
      <c r="V739" s="50"/>
      <c r="W739" s="50"/>
    </row>
    <row r="740">
      <c r="A740" s="50"/>
      <c r="B740" s="59"/>
      <c r="C740" s="50"/>
      <c r="D740" s="59"/>
      <c r="E740" s="50"/>
      <c r="F740" s="59"/>
      <c r="G740" s="50"/>
      <c r="H740" s="63"/>
      <c r="I740" s="50"/>
      <c r="J740" s="50"/>
      <c r="K740" s="50"/>
      <c r="L740" s="50"/>
      <c r="M740" s="50"/>
      <c r="N740" s="50"/>
      <c r="O740" s="50"/>
      <c r="P740" s="50"/>
      <c r="Q740" s="50"/>
      <c r="R740" s="50"/>
      <c r="S740" s="50"/>
      <c r="T740" s="50"/>
      <c r="U740" s="50"/>
      <c r="V740" s="50"/>
      <c r="W740" s="50"/>
    </row>
    <row r="741">
      <c r="A741" s="50"/>
      <c r="B741" s="59"/>
      <c r="C741" s="50"/>
      <c r="D741" s="59"/>
      <c r="E741" s="50"/>
      <c r="F741" s="59"/>
      <c r="G741" s="50"/>
      <c r="H741" s="63"/>
      <c r="I741" s="50"/>
      <c r="J741" s="50"/>
      <c r="K741" s="50"/>
      <c r="L741" s="50"/>
      <c r="M741" s="50"/>
      <c r="N741" s="50"/>
      <c r="O741" s="50"/>
      <c r="P741" s="50"/>
      <c r="Q741" s="50"/>
      <c r="R741" s="50"/>
      <c r="S741" s="50"/>
      <c r="T741" s="50"/>
      <c r="U741" s="50"/>
      <c r="V741" s="50"/>
      <c r="W741" s="50"/>
    </row>
    <row r="742">
      <c r="A742" s="50"/>
      <c r="B742" s="59"/>
      <c r="C742" s="50"/>
      <c r="D742" s="59"/>
      <c r="E742" s="50"/>
      <c r="F742" s="59"/>
      <c r="G742" s="50"/>
      <c r="H742" s="63"/>
      <c r="I742" s="50"/>
      <c r="J742" s="50"/>
      <c r="K742" s="50"/>
      <c r="L742" s="50"/>
      <c r="M742" s="50"/>
      <c r="N742" s="50"/>
      <c r="O742" s="50"/>
      <c r="P742" s="50"/>
      <c r="Q742" s="50"/>
      <c r="R742" s="50"/>
      <c r="S742" s="50"/>
      <c r="T742" s="50"/>
      <c r="U742" s="50"/>
      <c r="V742" s="50"/>
      <c r="W742" s="50"/>
    </row>
    <row r="743">
      <c r="A743" s="50"/>
      <c r="B743" s="59"/>
      <c r="C743" s="50"/>
      <c r="D743" s="59"/>
      <c r="E743" s="50"/>
      <c r="F743" s="59"/>
      <c r="G743" s="50"/>
      <c r="H743" s="63"/>
      <c r="I743" s="50"/>
      <c r="J743" s="50"/>
      <c r="K743" s="50"/>
      <c r="L743" s="50"/>
      <c r="M743" s="50"/>
      <c r="N743" s="50"/>
      <c r="O743" s="50"/>
      <c r="P743" s="50"/>
      <c r="Q743" s="50"/>
      <c r="R743" s="50"/>
      <c r="S743" s="50"/>
      <c r="T743" s="50"/>
      <c r="U743" s="50"/>
      <c r="V743" s="50"/>
      <c r="W743" s="50"/>
    </row>
    <row r="744">
      <c r="A744" s="50"/>
      <c r="B744" s="59"/>
      <c r="C744" s="50"/>
      <c r="D744" s="59"/>
      <c r="E744" s="50"/>
      <c r="F744" s="59"/>
      <c r="G744" s="50"/>
      <c r="H744" s="63"/>
      <c r="I744" s="50"/>
      <c r="J744" s="50"/>
      <c r="K744" s="50"/>
      <c r="L744" s="50"/>
      <c r="M744" s="50"/>
      <c r="N744" s="50"/>
      <c r="O744" s="50"/>
      <c r="P744" s="50"/>
      <c r="Q744" s="50"/>
      <c r="R744" s="50"/>
      <c r="S744" s="50"/>
      <c r="T744" s="50"/>
      <c r="U744" s="50"/>
      <c r="V744" s="50"/>
      <c r="W744" s="50"/>
    </row>
    <row r="745">
      <c r="A745" s="50"/>
      <c r="B745" s="59"/>
      <c r="C745" s="50"/>
      <c r="D745" s="59"/>
      <c r="E745" s="50"/>
      <c r="F745" s="59"/>
      <c r="G745" s="50"/>
      <c r="H745" s="63"/>
      <c r="I745" s="50"/>
      <c r="J745" s="50"/>
      <c r="K745" s="50"/>
      <c r="L745" s="50"/>
      <c r="M745" s="50"/>
      <c r="N745" s="50"/>
      <c r="O745" s="50"/>
      <c r="P745" s="50"/>
      <c r="Q745" s="50"/>
      <c r="R745" s="50"/>
      <c r="S745" s="50"/>
      <c r="T745" s="50"/>
      <c r="U745" s="50"/>
      <c r="V745" s="50"/>
      <c r="W745" s="50"/>
    </row>
    <row r="746">
      <c r="A746" s="50"/>
      <c r="B746" s="59"/>
      <c r="C746" s="50"/>
      <c r="D746" s="59"/>
      <c r="E746" s="50"/>
      <c r="F746" s="59"/>
      <c r="G746" s="50"/>
      <c r="H746" s="63"/>
      <c r="I746" s="50"/>
      <c r="J746" s="50"/>
      <c r="K746" s="50"/>
      <c r="L746" s="50"/>
      <c r="M746" s="50"/>
      <c r="N746" s="50"/>
      <c r="O746" s="50"/>
      <c r="P746" s="50"/>
      <c r="Q746" s="50"/>
      <c r="R746" s="50"/>
      <c r="S746" s="50"/>
      <c r="T746" s="50"/>
      <c r="U746" s="50"/>
      <c r="V746" s="50"/>
      <c r="W746" s="50"/>
    </row>
    <row r="747">
      <c r="A747" s="50"/>
      <c r="B747" s="59"/>
      <c r="C747" s="50"/>
      <c r="D747" s="59"/>
      <c r="E747" s="50"/>
      <c r="F747" s="59"/>
      <c r="G747" s="50"/>
      <c r="H747" s="63"/>
      <c r="I747" s="50"/>
      <c r="J747" s="50"/>
      <c r="K747" s="50"/>
      <c r="L747" s="50"/>
      <c r="M747" s="50"/>
      <c r="N747" s="50"/>
      <c r="O747" s="50"/>
      <c r="P747" s="50"/>
      <c r="Q747" s="50"/>
      <c r="R747" s="50"/>
      <c r="S747" s="50"/>
      <c r="T747" s="50"/>
      <c r="U747" s="50"/>
      <c r="V747" s="50"/>
      <c r="W747" s="50"/>
    </row>
    <row r="748">
      <c r="A748" s="50"/>
      <c r="B748" s="59"/>
      <c r="C748" s="50"/>
      <c r="D748" s="59"/>
      <c r="E748" s="50"/>
      <c r="F748" s="59"/>
      <c r="G748" s="50"/>
      <c r="H748" s="63"/>
      <c r="I748" s="50"/>
      <c r="J748" s="50"/>
      <c r="K748" s="50"/>
      <c r="L748" s="50"/>
      <c r="M748" s="50"/>
      <c r="N748" s="50"/>
      <c r="O748" s="50"/>
      <c r="P748" s="50"/>
      <c r="Q748" s="50"/>
      <c r="R748" s="50"/>
      <c r="S748" s="50"/>
      <c r="T748" s="50"/>
      <c r="U748" s="50"/>
      <c r="V748" s="50"/>
      <c r="W748" s="50"/>
    </row>
    <row r="749">
      <c r="A749" s="50"/>
      <c r="B749" s="59"/>
      <c r="C749" s="50"/>
      <c r="D749" s="59"/>
      <c r="E749" s="50"/>
      <c r="F749" s="59"/>
      <c r="G749" s="50"/>
      <c r="H749" s="63"/>
      <c r="I749" s="50"/>
      <c r="J749" s="50"/>
      <c r="K749" s="50"/>
      <c r="L749" s="50"/>
      <c r="M749" s="50"/>
      <c r="N749" s="50"/>
      <c r="O749" s="50"/>
      <c r="P749" s="50"/>
      <c r="Q749" s="50"/>
      <c r="R749" s="50"/>
      <c r="S749" s="50"/>
      <c r="T749" s="50"/>
      <c r="U749" s="50"/>
      <c r="V749" s="50"/>
      <c r="W749" s="50"/>
    </row>
    <row r="750">
      <c r="A750" s="50"/>
      <c r="B750" s="59"/>
      <c r="C750" s="50"/>
      <c r="D750" s="59"/>
      <c r="E750" s="50"/>
      <c r="F750" s="59"/>
      <c r="G750" s="50"/>
      <c r="H750" s="63"/>
      <c r="I750" s="50"/>
      <c r="J750" s="50"/>
      <c r="K750" s="50"/>
      <c r="L750" s="50"/>
      <c r="M750" s="50"/>
      <c r="N750" s="50"/>
      <c r="O750" s="50"/>
      <c r="P750" s="50"/>
      <c r="Q750" s="50"/>
      <c r="R750" s="50"/>
      <c r="S750" s="50"/>
      <c r="T750" s="50"/>
      <c r="U750" s="50"/>
      <c r="V750" s="50"/>
      <c r="W750" s="50"/>
    </row>
    <row r="751">
      <c r="A751" s="50"/>
      <c r="B751" s="59"/>
      <c r="C751" s="50"/>
      <c r="D751" s="59"/>
      <c r="E751" s="50"/>
      <c r="F751" s="59"/>
      <c r="G751" s="50"/>
      <c r="H751" s="63"/>
      <c r="I751" s="50"/>
      <c r="J751" s="50"/>
      <c r="K751" s="50"/>
      <c r="L751" s="50"/>
      <c r="M751" s="50"/>
      <c r="N751" s="50"/>
      <c r="O751" s="50"/>
      <c r="P751" s="50"/>
      <c r="Q751" s="50"/>
      <c r="R751" s="50"/>
      <c r="S751" s="50"/>
      <c r="T751" s="50"/>
      <c r="U751" s="50"/>
      <c r="V751" s="50"/>
      <c r="W751" s="50"/>
    </row>
    <row r="752">
      <c r="A752" s="50"/>
      <c r="B752" s="59"/>
      <c r="C752" s="50"/>
      <c r="D752" s="59"/>
      <c r="E752" s="50"/>
      <c r="F752" s="59"/>
      <c r="G752" s="50"/>
      <c r="H752" s="63"/>
      <c r="I752" s="50"/>
      <c r="J752" s="50"/>
      <c r="K752" s="50"/>
      <c r="L752" s="50"/>
      <c r="M752" s="50"/>
      <c r="N752" s="50"/>
      <c r="O752" s="50"/>
      <c r="P752" s="50"/>
      <c r="Q752" s="50"/>
      <c r="R752" s="50"/>
      <c r="S752" s="50"/>
      <c r="T752" s="50"/>
      <c r="U752" s="50"/>
      <c r="V752" s="50"/>
      <c r="W752" s="50"/>
    </row>
    <row r="753">
      <c r="A753" s="50"/>
      <c r="B753" s="59"/>
      <c r="C753" s="50"/>
      <c r="D753" s="59"/>
      <c r="E753" s="50"/>
      <c r="F753" s="59"/>
      <c r="G753" s="50"/>
      <c r="H753" s="63"/>
      <c r="I753" s="50"/>
      <c r="J753" s="50"/>
      <c r="K753" s="50"/>
      <c r="L753" s="50"/>
      <c r="M753" s="50"/>
      <c r="N753" s="50"/>
      <c r="O753" s="50"/>
      <c r="P753" s="50"/>
      <c r="Q753" s="50"/>
      <c r="R753" s="50"/>
      <c r="S753" s="50"/>
      <c r="T753" s="50"/>
      <c r="U753" s="50"/>
      <c r="V753" s="50"/>
      <c r="W753" s="50"/>
    </row>
    <row r="754">
      <c r="A754" s="50"/>
      <c r="B754" s="59"/>
      <c r="C754" s="50"/>
      <c r="D754" s="59"/>
      <c r="E754" s="50"/>
      <c r="F754" s="59"/>
      <c r="G754" s="50"/>
      <c r="H754" s="63"/>
      <c r="I754" s="50"/>
      <c r="J754" s="50"/>
      <c r="K754" s="50"/>
      <c r="L754" s="50"/>
      <c r="M754" s="50"/>
      <c r="N754" s="50"/>
      <c r="O754" s="50"/>
      <c r="P754" s="50"/>
      <c r="Q754" s="50"/>
      <c r="R754" s="50"/>
      <c r="S754" s="50"/>
      <c r="T754" s="50"/>
      <c r="U754" s="50"/>
      <c r="V754" s="50"/>
      <c r="W754" s="50"/>
    </row>
    <row r="755">
      <c r="A755" s="50"/>
      <c r="B755" s="59"/>
      <c r="C755" s="50"/>
      <c r="D755" s="59"/>
      <c r="E755" s="50"/>
      <c r="F755" s="59"/>
      <c r="G755" s="50"/>
      <c r="H755" s="63"/>
      <c r="I755" s="50"/>
      <c r="J755" s="50"/>
      <c r="K755" s="50"/>
      <c r="L755" s="50"/>
      <c r="M755" s="50"/>
      <c r="N755" s="50"/>
      <c r="O755" s="50"/>
      <c r="P755" s="50"/>
      <c r="Q755" s="50"/>
      <c r="R755" s="50"/>
      <c r="S755" s="50"/>
      <c r="T755" s="50"/>
      <c r="U755" s="50"/>
      <c r="V755" s="50"/>
      <c r="W755" s="50"/>
    </row>
    <row r="756">
      <c r="A756" s="50"/>
      <c r="B756" s="59"/>
      <c r="C756" s="50"/>
      <c r="D756" s="59"/>
      <c r="E756" s="50"/>
      <c r="F756" s="59"/>
      <c r="G756" s="50"/>
      <c r="H756" s="63"/>
      <c r="I756" s="50"/>
      <c r="J756" s="50"/>
      <c r="K756" s="50"/>
      <c r="L756" s="50"/>
      <c r="M756" s="50"/>
      <c r="N756" s="50"/>
      <c r="O756" s="50"/>
      <c r="P756" s="50"/>
      <c r="Q756" s="50"/>
      <c r="R756" s="50"/>
      <c r="S756" s="50"/>
      <c r="T756" s="50"/>
      <c r="U756" s="50"/>
      <c r="V756" s="50"/>
      <c r="W756" s="50"/>
    </row>
    <row r="757">
      <c r="A757" s="50"/>
      <c r="B757" s="59"/>
      <c r="C757" s="50"/>
      <c r="D757" s="59"/>
      <c r="E757" s="50"/>
      <c r="F757" s="59"/>
      <c r="G757" s="50"/>
      <c r="H757" s="63"/>
      <c r="I757" s="50"/>
      <c r="J757" s="50"/>
      <c r="K757" s="50"/>
      <c r="L757" s="50"/>
      <c r="M757" s="50"/>
      <c r="N757" s="50"/>
      <c r="O757" s="50"/>
      <c r="P757" s="50"/>
      <c r="Q757" s="50"/>
      <c r="R757" s="50"/>
      <c r="S757" s="50"/>
      <c r="T757" s="50"/>
      <c r="U757" s="50"/>
      <c r="V757" s="50"/>
      <c r="W757" s="50"/>
    </row>
    <row r="758">
      <c r="A758" s="50"/>
      <c r="B758" s="59"/>
      <c r="C758" s="50"/>
      <c r="D758" s="59"/>
      <c r="E758" s="50"/>
      <c r="F758" s="59"/>
      <c r="G758" s="50"/>
      <c r="H758" s="63"/>
      <c r="I758" s="50"/>
      <c r="J758" s="50"/>
      <c r="K758" s="50"/>
      <c r="L758" s="50"/>
      <c r="M758" s="50"/>
      <c r="N758" s="50"/>
      <c r="O758" s="50"/>
      <c r="P758" s="50"/>
      <c r="Q758" s="50"/>
      <c r="R758" s="50"/>
      <c r="S758" s="50"/>
      <c r="T758" s="50"/>
      <c r="U758" s="50"/>
      <c r="V758" s="50"/>
      <c r="W758" s="50"/>
    </row>
    <row r="759">
      <c r="A759" s="50"/>
      <c r="B759" s="59"/>
      <c r="C759" s="50"/>
      <c r="D759" s="59"/>
      <c r="E759" s="50"/>
      <c r="F759" s="59"/>
      <c r="G759" s="50"/>
      <c r="H759" s="63"/>
      <c r="I759" s="50"/>
      <c r="J759" s="50"/>
      <c r="K759" s="50"/>
      <c r="L759" s="50"/>
      <c r="M759" s="50"/>
      <c r="N759" s="50"/>
      <c r="O759" s="50"/>
      <c r="P759" s="50"/>
      <c r="Q759" s="50"/>
      <c r="R759" s="50"/>
      <c r="S759" s="50"/>
      <c r="T759" s="50"/>
      <c r="U759" s="50"/>
      <c r="V759" s="50"/>
      <c r="W759" s="50"/>
    </row>
    <row r="760">
      <c r="A760" s="50"/>
      <c r="B760" s="59"/>
      <c r="C760" s="50"/>
      <c r="D760" s="59"/>
      <c r="E760" s="50"/>
      <c r="F760" s="59"/>
      <c r="G760" s="50"/>
      <c r="H760" s="63"/>
      <c r="I760" s="50"/>
      <c r="J760" s="50"/>
      <c r="K760" s="50"/>
      <c r="L760" s="50"/>
      <c r="M760" s="50"/>
      <c r="N760" s="50"/>
      <c r="O760" s="50"/>
      <c r="P760" s="50"/>
      <c r="Q760" s="50"/>
      <c r="R760" s="50"/>
      <c r="S760" s="50"/>
      <c r="T760" s="50"/>
      <c r="U760" s="50"/>
      <c r="V760" s="50"/>
      <c r="W760" s="50"/>
    </row>
    <row r="761">
      <c r="A761" s="50"/>
      <c r="B761" s="59"/>
      <c r="C761" s="50"/>
      <c r="D761" s="59"/>
      <c r="E761" s="50"/>
      <c r="F761" s="59"/>
      <c r="G761" s="50"/>
      <c r="H761" s="63"/>
      <c r="I761" s="50"/>
      <c r="J761" s="50"/>
      <c r="K761" s="50"/>
      <c r="L761" s="50"/>
      <c r="M761" s="50"/>
      <c r="N761" s="50"/>
      <c r="O761" s="50"/>
      <c r="P761" s="50"/>
      <c r="Q761" s="50"/>
      <c r="R761" s="50"/>
      <c r="S761" s="50"/>
      <c r="T761" s="50"/>
      <c r="U761" s="50"/>
      <c r="V761" s="50"/>
      <c r="W761" s="50"/>
    </row>
    <row r="762">
      <c r="A762" s="50"/>
      <c r="B762" s="59"/>
      <c r="C762" s="50"/>
      <c r="D762" s="59"/>
      <c r="E762" s="50"/>
      <c r="F762" s="59"/>
      <c r="G762" s="50"/>
      <c r="H762" s="63"/>
      <c r="I762" s="50"/>
      <c r="J762" s="50"/>
      <c r="K762" s="50"/>
      <c r="L762" s="50"/>
      <c r="M762" s="50"/>
      <c r="N762" s="50"/>
      <c r="O762" s="50"/>
      <c r="P762" s="50"/>
      <c r="Q762" s="50"/>
      <c r="R762" s="50"/>
      <c r="S762" s="50"/>
      <c r="T762" s="50"/>
      <c r="U762" s="50"/>
      <c r="V762" s="50"/>
      <c r="W762" s="50"/>
    </row>
    <row r="763">
      <c r="A763" s="50"/>
      <c r="B763" s="59"/>
      <c r="C763" s="50"/>
      <c r="D763" s="59"/>
      <c r="E763" s="50"/>
      <c r="F763" s="59"/>
      <c r="G763" s="50"/>
      <c r="H763" s="63"/>
      <c r="I763" s="50"/>
      <c r="J763" s="50"/>
      <c r="K763" s="50"/>
      <c r="L763" s="50"/>
      <c r="M763" s="50"/>
      <c r="N763" s="50"/>
      <c r="O763" s="50"/>
      <c r="P763" s="50"/>
      <c r="Q763" s="50"/>
      <c r="R763" s="50"/>
      <c r="S763" s="50"/>
      <c r="T763" s="50"/>
      <c r="U763" s="50"/>
      <c r="V763" s="50"/>
      <c r="W763" s="50"/>
    </row>
    <row r="764">
      <c r="A764" s="50"/>
      <c r="B764" s="59"/>
      <c r="C764" s="50"/>
      <c r="D764" s="59"/>
      <c r="E764" s="50"/>
      <c r="F764" s="59"/>
      <c r="G764" s="50"/>
      <c r="H764" s="63"/>
      <c r="I764" s="50"/>
      <c r="J764" s="50"/>
      <c r="K764" s="50"/>
      <c r="L764" s="50"/>
      <c r="M764" s="50"/>
      <c r="N764" s="50"/>
      <c r="O764" s="50"/>
      <c r="P764" s="50"/>
      <c r="Q764" s="50"/>
      <c r="R764" s="50"/>
      <c r="S764" s="50"/>
      <c r="T764" s="50"/>
      <c r="U764" s="50"/>
      <c r="V764" s="50"/>
      <c r="W764" s="50"/>
    </row>
    <row r="765">
      <c r="A765" s="50"/>
      <c r="B765" s="59"/>
      <c r="C765" s="50"/>
      <c r="D765" s="59"/>
      <c r="E765" s="50"/>
      <c r="F765" s="59"/>
      <c r="G765" s="50"/>
      <c r="H765" s="63"/>
      <c r="I765" s="50"/>
      <c r="J765" s="50"/>
      <c r="K765" s="50"/>
      <c r="L765" s="50"/>
      <c r="M765" s="50"/>
      <c r="N765" s="50"/>
      <c r="O765" s="50"/>
      <c r="P765" s="50"/>
      <c r="Q765" s="50"/>
      <c r="R765" s="50"/>
      <c r="S765" s="50"/>
      <c r="T765" s="50"/>
      <c r="U765" s="50"/>
      <c r="V765" s="50"/>
      <c r="W765" s="50"/>
    </row>
    <row r="766">
      <c r="A766" s="50"/>
      <c r="B766" s="59"/>
      <c r="C766" s="50"/>
      <c r="D766" s="59"/>
      <c r="E766" s="50"/>
      <c r="F766" s="59"/>
      <c r="G766" s="50"/>
      <c r="H766" s="63"/>
      <c r="I766" s="50"/>
      <c r="J766" s="50"/>
      <c r="K766" s="50"/>
      <c r="L766" s="50"/>
      <c r="M766" s="50"/>
      <c r="N766" s="50"/>
      <c r="O766" s="50"/>
      <c r="P766" s="50"/>
      <c r="Q766" s="50"/>
      <c r="R766" s="50"/>
      <c r="S766" s="50"/>
      <c r="T766" s="50"/>
      <c r="U766" s="50"/>
      <c r="V766" s="50"/>
      <c r="W766" s="50"/>
    </row>
    <row r="767">
      <c r="A767" s="50"/>
      <c r="B767" s="59"/>
      <c r="C767" s="50"/>
      <c r="D767" s="59"/>
      <c r="E767" s="50"/>
      <c r="F767" s="59"/>
      <c r="G767" s="50"/>
      <c r="H767" s="63"/>
      <c r="I767" s="50"/>
      <c r="J767" s="50"/>
      <c r="K767" s="50"/>
      <c r="L767" s="50"/>
      <c r="M767" s="50"/>
      <c r="N767" s="50"/>
      <c r="O767" s="50"/>
      <c r="P767" s="50"/>
      <c r="Q767" s="50"/>
      <c r="R767" s="50"/>
      <c r="S767" s="50"/>
      <c r="T767" s="50"/>
      <c r="U767" s="50"/>
      <c r="V767" s="50"/>
      <c r="W767" s="50"/>
    </row>
    <row r="768">
      <c r="A768" s="50"/>
      <c r="B768" s="59"/>
      <c r="C768" s="50"/>
      <c r="D768" s="59"/>
      <c r="E768" s="50"/>
      <c r="F768" s="59"/>
      <c r="G768" s="50"/>
      <c r="H768" s="63"/>
      <c r="I768" s="50"/>
      <c r="J768" s="50"/>
      <c r="K768" s="50"/>
      <c r="L768" s="50"/>
      <c r="M768" s="50"/>
      <c r="N768" s="50"/>
      <c r="O768" s="50"/>
      <c r="P768" s="50"/>
      <c r="Q768" s="50"/>
      <c r="R768" s="50"/>
      <c r="S768" s="50"/>
      <c r="T768" s="50"/>
      <c r="U768" s="50"/>
      <c r="V768" s="50"/>
      <c r="W768" s="50"/>
    </row>
    <row r="769">
      <c r="A769" s="50"/>
      <c r="B769" s="59"/>
      <c r="C769" s="50"/>
      <c r="D769" s="59"/>
      <c r="E769" s="50"/>
      <c r="F769" s="59"/>
      <c r="G769" s="50"/>
      <c r="H769" s="63"/>
      <c r="I769" s="50"/>
      <c r="J769" s="50"/>
      <c r="K769" s="50"/>
      <c r="L769" s="50"/>
      <c r="M769" s="50"/>
      <c r="N769" s="50"/>
      <c r="O769" s="50"/>
      <c r="P769" s="50"/>
      <c r="Q769" s="50"/>
      <c r="R769" s="50"/>
      <c r="S769" s="50"/>
      <c r="T769" s="50"/>
      <c r="U769" s="50"/>
      <c r="V769" s="50"/>
      <c r="W769" s="50"/>
    </row>
    <row r="770">
      <c r="A770" s="50"/>
      <c r="B770" s="59"/>
      <c r="C770" s="50"/>
      <c r="D770" s="59"/>
      <c r="E770" s="50"/>
      <c r="F770" s="59"/>
      <c r="G770" s="50"/>
      <c r="H770" s="63"/>
      <c r="I770" s="50"/>
      <c r="J770" s="50"/>
      <c r="K770" s="50"/>
      <c r="L770" s="50"/>
      <c r="M770" s="50"/>
      <c r="N770" s="50"/>
      <c r="O770" s="50"/>
      <c r="P770" s="50"/>
      <c r="Q770" s="50"/>
      <c r="R770" s="50"/>
      <c r="S770" s="50"/>
      <c r="T770" s="50"/>
      <c r="U770" s="50"/>
      <c r="V770" s="50"/>
      <c r="W770" s="50"/>
    </row>
    <row r="771">
      <c r="A771" s="50"/>
      <c r="B771" s="59"/>
      <c r="C771" s="50"/>
      <c r="D771" s="59"/>
      <c r="E771" s="50"/>
      <c r="F771" s="59"/>
      <c r="G771" s="50"/>
      <c r="H771" s="63"/>
      <c r="I771" s="50"/>
      <c r="J771" s="50"/>
      <c r="K771" s="50"/>
      <c r="L771" s="50"/>
      <c r="M771" s="50"/>
      <c r="N771" s="50"/>
      <c r="O771" s="50"/>
      <c r="P771" s="50"/>
      <c r="Q771" s="50"/>
      <c r="R771" s="50"/>
      <c r="S771" s="50"/>
      <c r="T771" s="50"/>
      <c r="U771" s="50"/>
      <c r="V771" s="50"/>
      <c r="W771" s="50"/>
    </row>
    <row r="772">
      <c r="A772" s="50"/>
      <c r="B772" s="59"/>
      <c r="C772" s="50"/>
      <c r="D772" s="59"/>
      <c r="E772" s="50"/>
      <c r="F772" s="59"/>
      <c r="G772" s="50"/>
      <c r="H772" s="63"/>
      <c r="I772" s="50"/>
      <c r="J772" s="50"/>
      <c r="K772" s="50"/>
      <c r="L772" s="50"/>
      <c r="M772" s="50"/>
      <c r="N772" s="50"/>
      <c r="O772" s="50"/>
      <c r="P772" s="50"/>
      <c r="Q772" s="50"/>
      <c r="R772" s="50"/>
      <c r="S772" s="50"/>
      <c r="T772" s="50"/>
      <c r="U772" s="50"/>
      <c r="V772" s="50"/>
      <c r="W772" s="50"/>
    </row>
    <row r="773">
      <c r="A773" s="50"/>
      <c r="B773" s="59"/>
      <c r="C773" s="50"/>
      <c r="D773" s="59"/>
      <c r="E773" s="50"/>
      <c r="F773" s="59"/>
      <c r="G773" s="50"/>
      <c r="H773" s="63"/>
      <c r="I773" s="50"/>
      <c r="J773" s="50"/>
      <c r="K773" s="50"/>
      <c r="L773" s="50"/>
      <c r="M773" s="50"/>
      <c r="N773" s="50"/>
      <c r="O773" s="50"/>
      <c r="P773" s="50"/>
      <c r="Q773" s="50"/>
      <c r="R773" s="50"/>
      <c r="S773" s="50"/>
      <c r="T773" s="50"/>
      <c r="U773" s="50"/>
      <c r="V773" s="50"/>
      <c r="W773" s="50"/>
    </row>
    <row r="774">
      <c r="A774" s="50"/>
      <c r="B774" s="59"/>
      <c r="C774" s="50"/>
      <c r="D774" s="59"/>
      <c r="E774" s="50"/>
      <c r="F774" s="59"/>
      <c r="G774" s="50"/>
      <c r="H774" s="63"/>
      <c r="I774" s="50"/>
      <c r="J774" s="50"/>
      <c r="K774" s="50"/>
      <c r="L774" s="50"/>
      <c r="M774" s="50"/>
      <c r="N774" s="50"/>
      <c r="O774" s="50"/>
      <c r="P774" s="50"/>
      <c r="Q774" s="50"/>
      <c r="R774" s="50"/>
      <c r="S774" s="50"/>
      <c r="T774" s="50"/>
      <c r="U774" s="50"/>
      <c r="V774" s="50"/>
      <c r="W774" s="50"/>
    </row>
    <row r="775">
      <c r="A775" s="50"/>
      <c r="B775" s="59"/>
      <c r="C775" s="50"/>
      <c r="D775" s="59"/>
      <c r="E775" s="50"/>
      <c r="F775" s="59"/>
      <c r="G775" s="50"/>
      <c r="H775" s="63"/>
      <c r="I775" s="50"/>
      <c r="J775" s="50"/>
      <c r="K775" s="50"/>
      <c r="L775" s="50"/>
      <c r="M775" s="50"/>
      <c r="N775" s="50"/>
      <c r="O775" s="50"/>
      <c r="P775" s="50"/>
      <c r="Q775" s="50"/>
      <c r="R775" s="50"/>
      <c r="S775" s="50"/>
      <c r="T775" s="50"/>
      <c r="U775" s="50"/>
      <c r="V775" s="50"/>
      <c r="W775" s="50"/>
    </row>
    <row r="776">
      <c r="A776" s="50"/>
      <c r="B776" s="59"/>
      <c r="C776" s="50"/>
      <c r="D776" s="59"/>
      <c r="E776" s="50"/>
      <c r="F776" s="59"/>
      <c r="G776" s="50"/>
      <c r="H776" s="63"/>
      <c r="I776" s="50"/>
      <c r="J776" s="50"/>
      <c r="K776" s="50"/>
      <c r="L776" s="50"/>
      <c r="M776" s="50"/>
      <c r="N776" s="50"/>
      <c r="O776" s="50"/>
      <c r="P776" s="50"/>
      <c r="Q776" s="50"/>
      <c r="R776" s="50"/>
      <c r="S776" s="50"/>
      <c r="T776" s="50"/>
      <c r="U776" s="50"/>
      <c r="V776" s="50"/>
      <c r="W776" s="50"/>
    </row>
    <row r="777">
      <c r="A777" s="50"/>
      <c r="B777" s="59"/>
      <c r="C777" s="50"/>
      <c r="D777" s="59"/>
      <c r="E777" s="50"/>
      <c r="F777" s="59"/>
      <c r="G777" s="50"/>
      <c r="H777" s="63"/>
      <c r="I777" s="50"/>
      <c r="J777" s="50"/>
      <c r="K777" s="50"/>
      <c r="L777" s="50"/>
      <c r="M777" s="50"/>
      <c r="N777" s="50"/>
      <c r="O777" s="50"/>
      <c r="P777" s="50"/>
      <c r="Q777" s="50"/>
      <c r="R777" s="50"/>
      <c r="S777" s="50"/>
      <c r="T777" s="50"/>
      <c r="U777" s="50"/>
      <c r="V777" s="50"/>
      <c r="W777" s="50"/>
    </row>
    <row r="778">
      <c r="A778" s="50"/>
      <c r="B778" s="59"/>
      <c r="C778" s="50"/>
      <c r="D778" s="59"/>
      <c r="E778" s="50"/>
      <c r="F778" s="59"/>
      <c r="G778" s="50"/>
      <c r="H778" s="63"/>
      <c r="I778" s="50"/>
      <c r="J778" s="50"/>
      <c r="K778" s="50"/>
      <c r="L778" s="50"/>
      <c r="M778" s="50"/>
      <c r="N778" s="50"/>
      <c r="O778" s="50"/>
      <c r="P778" s="50"/>
      <c r="Q778" s="50"/>
      <c r="R778" s="50"/>
      <c r="S778" s="50"/>
      <c r="T778" s="50"/>
      <c r="U778" s="50"/>
      <c r="V778" s="50"/>
      <c r="W778" s="50"/>
    </row>
    <row r="779">
      <c r="A779" s="50"/>
      <c r="B779" s="59"/>
      <c r="C779" s="50"/>
      <c r="D779" s="59"/>
      <c r="E779" s="50"/>
      <c r="F779" s="59"/>
      <c r="G779" s="50"/>
      <c r="H779" s="63"/>
      <c r="I779" s="50"/>
      <c r="J779" s="50"/>
      <c r="K779" s="50"/>
      <c r="L779" s="50"/>
      <c r="M779" s="50"/>
      <c r="N779" s="50"/>
      <c r="O779" s="50"/>
      <c r="P779" s="50"/>
      <c r="Q779" s="50"/>
      <c r="R779" s="50"/>
      <c r="S779" s="50"/>
      <c r="T779" s="50"/>
      <c r="U779" s="50"/>
      <c r="V779" s="50"/>
      <c r="W779" s="50"/>
    </row>
    <row r="780">
      <c r="A780" s="50"/>
      <c r="B780" s="59"/>
      <c r="C780" s="50"/>
      <c r="D780" s="59"/>
      <c r="E780" s="50"/>
      <c r="F780" s="59"/>
      <c r="G780" s="50"/>
      <c r="H780" s="63"/>
      <c r="I780" s="50"/>
      <c r="J780" s="50"/>
      <c r="K780" s="50"/>
      <c r="L780" s="50"/>
      <c r="M780" s="50"/>
      <c r="N780" s="50"/>
      <c r="O780" s="50"/>
      <c r="P780" s="50"/>
      <c r="Q780" s="50"/>
      <c r="R780" s="50"/>
      <c r="S780" s="50"/>
      <c r="T780" s="50"/>
      <c r="U780" s="50"/>
      <c r="V780" s="50"/>
      <c r="W780" s="50"/>
    </row>
    <row r="781">
      <c r="A781" s="50"/>
      <c r="B781" s="59"/>
      <c r="C781" s="50"/>
      <c r="D781" s="59"/>
      <c r="E781" s="50"/>
      <c r="F781" s="59"/>
      <c r="G781" s="50"/>
      <c r="H781" s="63"/>
      <c r="I781" s="50"/>
      <c r="J781" s="50"/>
      <c r="K781" s="50"/>
      <c r="L781" s="50"/>
      <c r="M781" s="50"/>
      <c r="N781" s="50"/>
      <c r="O781" s="50"/>
      <c r="P781" s="50"/>
      <c r="Q781" s="50"/>
      <c r="R781" s="50"/>
      <c r="S781" s="50"/>
      <c r="T781" s="50"/>
      <c r="U781" s="50"/>
      <c r="V781" s="50"/>
      <c r="W781" s="50"/>
    </row>
    <row r="782">
      <c r="A782" s="50"/>
      <c r="B782" s="59"/>
      <c r="C782" s="50"/>
      <c r="D782" s="59"/>
      <c r="E782" s="50"/>
      <c r="F782" s="59"/>
      <c r="G782" s="50"/>
      <c r="H782" s="63"/>
      <c r="I782" s="50"/>
      <c r="J782" s="50"/>
      <c r="K782" s="50"/>
      <c r="L782" s="50"/>
      <c r="M782" s="50"/>
      <c r="N782" s="50"/>
      <c r="O782" s="50"/>
      <c r="P782" s="50"/>
      <c r="Q782" s="50"/>
      <c r="R782" s="50"/>
      <c r="S782" s="50"/>
      <c r="T782" s="50"/>
      <c r="U782" s="50"/>
      <c r="V782" s="50"/>
      <c r="W782" s="50"/>
    </row>
    <row r="783">
      <c r="A783" s="50"/>
      <c r="B783" s="59"/>
      <c r="C783" s="50"/>
      <c r="D783" s="59"/>
      <c r="E783" s="50"/>
      <c r="F783" s="59"/>
      <c r="G783" s="50"/>
      <c r="H783" s="63"/>
      <c r="I783" s="50"/>
      <c r="J783" s="50"/>
      <c r="K783" s="50"/>
      <c r="L783" s="50"/>
      <c r="M783" s="50"/>
      <c r="N783" s="50"/>
      <c r="O783" s="50"/>
      <c r="P783" s="50"/>
      <c r="Q783" s="50"/>
      <c r="R783" s="50"/>
      <c r="S783" s="50"/>
      <c r="T783" s="50"/>
      <c r="U783" s="50"/>
      <c r="V783" s="50"/>
      <c r="W783" s="50"/>
    </row>
    <row r="784">
      <c r="A784" s="50"/>
      <c r="B784" s="59"/>
      <c r="C784" s="50"/>
      <c r="D784" s="59"/>
      <c r="E784" s="50"/>
      <c r="F784" s="59"/>
      <c r="G784" s="50"/>
      <c r="H784" s="63"/>
      <c r="I784" s="50"/>
      <c r="J784" s="50"/>
      <c r="K784" s="50"/>
      <c r="L784" s="50"/>
      <c r="M784" s="50"/>
      <c r="N784" s="50"/>
      <c r="O784" s="50"/>
      <c r="P784" s="50"/>
      <c r="Q784" s="50"/>
      <c r="R784" s="50"/>
      <c r="S784" s="50"/>
      <c r="T784" s="50"/>
      <c r="U784" s="50"/>
      <c r="V784" s="50"/>
      <c r="W784" s="50"/>
    </row>
    <row r="785">
      <c r="A785" s="50"/>
      <c r="B785" s="59"/>
      <c r="C785" s="50"/>
      <c r="D785" s="59"/>
      <c r="E785" s="50"/>
      <c r="F785" s="59"/>
      <c r="G785" s="50"/>
      <c r="H785" s="63"/>
      <c r="I785" s="50"/>
      <c r="J785" s="50"/>
      <c r="K785" s="50"/>
      <c r="L785" s="50"/>
      <c r="M785" s="50"/>
      <c r="N785" s="50"/>
      <c r="O785" s="50"/>
      <c r="P785" s="50"/>
      <c r="Q785" s="50"/>
      <c r="R785" s="50"/>
      <c r="S785" s="50"/>
      <c r="T785" s="50"/>
      <c r="U785" s="50"/>
      <c r="V785" s="50"/>
      <c r="W785" s="50"/>
    </row>
    <row r="786">
      <c r="A786" s="50"/>
      <c r="B786" s="59"/>
      <c r="C786" s="50"/>
      <c r="D786" s="59"/>
      <c r="E786" s="50"/>
      <c r="F786" s="59"/>
      <c r="G786" s="50"/>
      <c r="H786" s="63"/>
      <c r="I786" s="50"/>
      <c r="J786" s="50"/>
      <c r="K786" s="50"/>
      <c r="L786" s="50"/>
      <c r="M786" s="50"/>
      <c r="N786" s="50"/>
      <c r="O786" s="50"/>
      <c r="P786" s="50"/>
      <c r="Q786" s="50"/>
      <c r="R786" s="50"/>
      <c r="S786" s="50"/>
      <c r="T786" s="50"/>
      <c r="U786" s="50"/>
      <c r="V786" s="50"/>
      <c r="W786" s="50"/>
    </row>
    <row r="787">
      <c r="A787" s="50"/>
      <c r="B787" s="59"/>
      <c r="C787" s="50"/>
      <c r="D787" s="59"/>
      <c r="E787" s="50"/>
      <c r="F787" s="59"/>
      <c r="G787" s="50"/>
      <c r="H787" s="63"/>
      <c r="I787" s="50"/>
      <c r="J787" s="50"/>
      <c r="K787" s="50"/>
      <c r="L787" s="50"/>
      <c r="M787" s="50"/>
      <c r="N787" s="50"/>
      <c r="O787" s="50"/>
      <c r="P787" s="50"/>
      <c r="Q787" s="50"/>
      <c r="R787" s="50"/>
      <c r="S787" s="50"/>
      <c r="T787" s="50"/>
      <c r="U787" s="50"/>
      <c r="V787" s="50"/>
      <c r="W787" s="50"/>
    </row>
    <row r="788">
      <c r="A788" s="50"/>
      <c r="B788" s="59"/>
      <c r="C788" s="50"/>
      <c r="D788" s="59"/>
      <c r="E788" s="50"/>
      <c r="F788" s="59"/>
      <c r="G788" s="50"/>
      <c r="H788" s="63"/>
      <c r="I788" s="50"/>
      <c r="J788" s="50"/>
      <c r="K788" s="50"/>
      <c r="L788" s="50"/>
      <c r="M788" s="50"/>
      <c r="N788" s="50"/>
      <c r="O788" s="50"/>
      <c r="P788" s="50"/>
      <c r="Q788" s="50"/>
      <c r="R788" s="50"/>
      <c r="S788" s="50"/>
      <c r="T788" s="50"/>
      <c r="U788" s="50"/>
      <c r="V788" s="50"/>
      <c r="W788" s="50"/>
    </row>
    <row r="789">
      <c r="A789" s="50"/>
      <c r="B789" s="59"/>
      <c r="C789" s="50"/>
      <c r="D789" s="59"/>
      <c r="E789" s="50"/>
      <c r="F789" s="59"/>
      <c r="G789" s="50"/>
      <c r="H789" s="63"/>
      <c r="I789" s="50"/>
      <c r="J789" s="50"/>
      <c r="K789" s="50"/>
      <c r="L789" s="50"/>
      <c r="M789" s="50"/>
      <c r="N789" s="50"/>
      <c r="O789" s="50"/>
      <c r="P789" s="50"/>
      <c r="Q789" s="50"/>
      <c r="R789" s="50"/>
      <c r="S789" s="50"/>
      <c r="T789" s="50"/>
      <c r="U789" s="50"/>
      <c r="V789" s="50"/>
      <c r="W789" s="50"/>
    </row>
    <row r="790">
      <c r="A790" s="50"/>
      <c r="B790" s="59"/>
      <c r="C790" s="50"/>
      <c r="D790" s="59"/>
      <c r="E790" s="50"/>
      <c r="F790" s="59"/>
      <c r="G790" s="50"/>
      <c r="H790" s="63"/>
      <c r="I790" s="50"/>
      <c r="J790" s="50"/>
      <c r="K790" s="50"/>
      <c r="L790" s="50"/>
      <c r="M790" s="50"/>
      <c r="N790" s="50"/>
      <c r="O790" s="50"/>
      <c r="P790" s="50"/>
      <c r="Q790" s="50"/>
      <c r="R790" s="50"/>
      <c r="S790" s="50"/>
      <c r="T790" s="50"/>
      <c r="U790" s="50"/>
      <c r="V790" s="50"/>
      <c r="W790" s="50"/>
    </row>
    <row r="791">
      <c r="A791" s="50"/>
      <c r="B791" s="59"/>
      <c r="C791" s="50"/>
      <c r="D791" s="59"/>
      <c r="E791" s="50"/>
      <c r="F791" s="59"/>
      <c r="G791" s="50"/>
      <c r="H791" s="63"/>
      <c r="I791" s="50"/>
      <c r="J791" s="50"/>
      <c r="K791" s="50"/>
      <c r="L791" s="50"/>
      <c r="M791" s="50"/>
      <c r="N791" s="50"/>
      <c r="O791" s="50"/>
      <c r="P791" s="50"/>
      <c r="Q791" s="50"/>
      <c r="R791" s="50"/>
      <c r="S791" s="50"/>
      <c r="T791" s="50"/>
      <c r="U791" s="50"/>
      <c r="V791" s="50"/>
      <c r="W791" s="50"/>
    </row>
    <row r="792">
      <c r="A792" s="50"/>
      <c r="B792" s="59"/>
      <c r="C792" s="50"/>
      <c r="D792" s="59"/>
      <c r="E792" s="50"/>
      <c r="F792" s="59"/>
      <c r="G792" s="50"/>
      <c r="H792" s="63"/>
      <c r="I792" s="50"/>
      <c r="J792" s="50"/>
      <c r="K792" s="50"/>
      <c r="L792" s="50"/>
      <c r="M792" s="50"/>
      <c r="N792" s="50"/>
      <c r="O792" s="50"/>
      <c r="P792" s="50"/>
      <c r="Q792" s="50"/>
      <c r="R792" s="50"/>
      <c r="S792" s="50"/>
      <c r="T792" s="50"/>
      <c r="U792" s="50"/>
      <c r="V792" s="50"/>
      <c r="W792" s="50"/>
    </row>
    <row r="793">
      <c r="A793" s="50"/>
      <c r="B793" s="59"/>
      <c r="C793" s="50"/>
      <c r="D793" s="59"/>
      <c r="E793" s="50"/>
      <c r="F793" s="59"/>
      <c r="G793" s="50"/>
      <c r="H793" s="63"/>
      <c r="I793" s="50"/>
      <c r="J793" s="50"/>
      <c r="K793" s="50"/>
      <c r="L793" s="50"/>
      <c r="M793" s="50"/>
      <c r="N793" s="50"/>
      <c r="O793" s="50"/>
      <c r="P793" s="50"/>
      <c r="Q793" s="50"/>
      <c r="R793" s="50"/>
      <c r="S793" s="50"/>
      <c r="T793" s="50"/>
      <c r="U793" s="50"/>
      <c r="V793" s="50"/>
      <c r="W793" s="50"/>
    </row>
    <row r="794">
      <c r="A794" s="50"/>
      <c r="B794" s="59"/>
      <c r="C794" s="50"/>
      <c r="D794" s="59"/>
      <c r="E794" s="50"/>
      <c r="F794" s="59"/>
      <c r="G794" s="50"/>
      <c r="H794" s="63"/>
      <c r="I794" s="50"/>
      <c r="J794" s="50"/>
      <c r="K794" s="50"/>
      <c r="L794" s="50"/>
      <c r="M794" s="50"/>
      <c r="N794" s="50"/>
      <c r="O794" s="50"/>
      <c r="P794" s="50"/>
      <c r="Q794" s="50"/>
      <c r="R794" s="50"/>
      <c r="S794" s="50"/>
      <c r="T794" s="50"/>
      <c r="U794" s="50"/>
      <c r="V794" s="50"/>
      <c r="W794" s="50"/>
    </row>
    <row r="795">
      <c r="A795" s="50"/>
      <c r="B795" s="59"/>
      <c r="C795" s="50"/>
      <c r="D795" s="59"/>
      <c r="E795" s="50"/>
      <c r="F795" s="59"/>
      <c r="G795" s="50"/>
      <c r="H795" s="63"/>
      <c r="I795" s="50"/>
      <c r="J795" s="50"/>
      <c r="K795" s="50"/>
      <c r="L795" s="50"/>
      <c r="M795" s="50"/>
      <c r="N795" s="50"/>
      <c r="O795" s="50"/>
      <c r="P795" s="50"/>
      <c r="Q795" s="50"/>
      <c r="R795" s="50"/>
      <c r="S795" s="50"/>
      <c r="T795" s="50"/>
      <c r="U795" s="50"/>
      <c r="V795" s="50"/>
      <c r="W795" s="50"/>
    </row>
    <row r="796">
      <c r="A796" s="50"/>
      <c r="B796" s="59"/>
      <c r="C796" s="50"/>
      <c r="D796" s="59"/>
      <c r="E796" s="50"/>
      <c r="F796" s="59"/>
      <c r="G796" s="50"/>
      <c r="H796" s="63"/>
      <c r="I796" s="50"/>
      <c r="J796" s="50"/>
      <c r="K796" s="50"/>
      <c r="L796" s="50"/>
      <c r="M796" s="50"/>
      <c r="N796" s="50"/>
      <c r="O796" s="50"/>
      <c r="P796" s="50"/>
      <c r="Q796" s="50"/>
      <c r="R796" s="50"/>
      <c r="S796" s="50"/>
      <c r="T796" s="50"/>
      <c r="U796" s="50"/>
      <c r="V796" s="50"/>
      <c r="W796" s="50"/>
    </row>
    <row r="797">
      <c r="A797" s="50"/>
      <c r="B797" s="59"/>
      <c r="C797" s="50"/>
      <c r="D797" s="59"/>
      <c r="E797" s="50"/>
      <c r="F797" s="59"/>
      <c r="G797" s="50"/>
      <c r="H797" s="63"/>
      <c r="I797" s="50"/>
      <c r="J797" s="50"/>
      <c r="K797" s="50"/>
      <c r="L797" s="50"/>
      <c r="M797" s="50"/>
      <c r="N797" s="50"/>
      <c r="O797" s="50"/>
      <c r="P797" s="50"/>
      <c r="Q797" s="50"/>
      <c r="R797" s="50"/>
      <c r="S797" s="50"/>
      <c r="T797" s="50"/>
      <c r="U797" s="50"/>
      <c r="V797" s="50"/>
      <c r="W797" s="50"/>
    </row>
    <row r="798">
      <c r="A798" s="50"/>
      <c r="B798" s="59"/>
      <c r="C798" s="50"/>
      <c r="D798" s="59"/>
      <c r="E798" s="50"/>
      <c r="F798" s="59"/>
      <c r="G798" s="50"/>
      <c r="H798" s="63"/>
      <c r="I798" s="50"/>
      <c r="J798" s="50"/>
      <c r="K798" s="50"/>
      <c r="L798" s="50"/>
      <c r="M798" s="50"/>
      <c r="N798" s="50"/>
      <c r="O798" s="50"/>
      <c r="P798" s="50"/>
      <c r="Q798" s="50"/>
      <c r="R798" s="50"/>
      <c r="S798" s="50"/>
      <c r="T798" s="50"/>
      <c r="U798" s="50"/>
      <c r="V798" s="50"/>
      <c r="W798" s="50"/>
    </row>
    <row r="799">
      <c r="A799" s="50"/>
      <c r="B799" s="59"/>
      <c r="C799" s="50"/>
      <c r="D799" s="59"/>
      <c r="E799" s="50"/>
      <c r="F799" s="59"/>
      <c r="G799" s="50"/>
      <c r="H799" s="63"/>
      <c r="I799" s="50"/>
      <c r="J799" s="50"/>
      <c r="K799" s="50"/>
      <c r="L799" s="50"/>
      <c r="M799" s="50"/>
      <c r="N799" s="50"/>
      <c r="O799" s="50"/>
      <c r="P799" s="50"/>
      <c r="Q799" s="50"/>
      <c r="R799" s="50"/>
      <c r="S799" s="50"/>
      <c r="T799" s="50"/>
      <c r="U799" s="50"/>
      <c r="V799" s="50"/>
      <c r="W799" s="50"/>
    </row>
    <row r="800">
      <c r="A800" s="50"/>
      <c r="B800" s="59"/>
      <c r="C800" s="50"/>
      <c r="D800" s="59"/>
      <c r="E800" s="50"/>
      <c r="F800" s="59"/>
      <c r="G800" s="50"/>
      <c r="H800" s="63"/>
      <c r="I800" s="50"/>
      <c r="J800" s="50"/>
      <c r="K800" s="50"/>
      <c r="L800" s="50"/>
      <c r="M800" s="50"/>
      <c r="N800" s="50"/>
      <c r="O800" s="50"/>
      <c r="P800" s="50"/>
      <c r="Q800" s="50"/>
      <c r="R800" s="50"/>
      <c r="S800" s="50"/>
      <c r="T800" s="50"/>
      <c r="U800" s="50"/>
      <c r="V800" s="50"/>
      <c r="W800" s="50"/>
    </row>
    <row r="801">
      <c r="A801" s="50"/>
      <c r="B801" s="59"/>
      <c r="C801" s="50"/>
      <c r="D801" s="59"/>
      <c r="E801" s="50"/>
      <c r="F801" s="59"/>
      <c r="G801" s="50"/>
      <c r="H801" s="63"/>
      <c r="I801" s="50"/>
      <c r="J801" s="50"/>
      <c r="K801" s="50"/>
      <c r="L801" s="50"/>
      <c r="M801" s="50"/>
      <c r="N801" s="50"/>
      <c r="O801" s="50"/>
      <c r="P801" s="50"/>
      <c r="Q801" s="50"/>
      <c r="R801" s="50"/>
      <c r="S801" s="50"/>
      <c r="T801" s="50"/>
      <c r="U801" s="50"/>
      <c r="V801" s="50"/>
      <c r="W801" s="50"/>
    </row>
    <row r="802">
      <c r="A802" s="50"/>
      <c r="B802" s="59"/>
      <c r="C802" s="50"/>
      <c r="D802" s="59"/>
      <c r="E802" s="50"/>
      <c r="F802" s="59"/>
      <c r="G802" s="50"/>
      <c r="H802" s="63"/>
      <c r="I802" s="50"/>
      <c r="J802" s="50"/>
      <c r="K802" s="50"/>
      <c r="L802" s="50"/>
      <c r="M802" s="50"/>
      <c r="N802" s="50"/>
      <c r="O802" s="50"/>
      <c r="P802" s="50"/>
      <c r="Q802" s="50"/>
      <c r="R802" s="50"/>
      <c r="S802" s="50"/>
      <c r="T802" s="50"/>
      <c r="U802" s="50"/>
      <c r="V802" s="50"/>
      <c r="W802" s="50"/>
    </row>
    <row r="803">
      <c r="A803" s="50"/>
      <c r="B803" s="59"/>
      <c r="C803" s="50"/>
      <c r="D803" s="59"/>
      <c r="E803" s="50"/>
      <c r="F803" s="59"/>
      <c r="G803" s="50"/>
      <c r="H803" s="63"/>
      <c r="I803" s="50"/>
      <c r="J803" s="50"/>
      <c r="K803" s="50"/>
      <c r="L803" s="50"/>
      <c r="M803" s="50"/>
      <c r="N803" s="50"/>
      <c r="O803" s="50"/>
      <c r="P803" s="50"/>
      <c r="Q803" s="50"/>
      <c r="R803" s="50"/>
      <c r="S803" s="50"/>
      <c r="T803" s="50"/>
      <c r="U803" s="50"/>
      <c r="V803" s="50"/>
      <c r="W803" s="50"/>
    </row>
    <row r="804">
      <c r="A804" s="50"/>
      <c r="B804" s="59"/>
      <c r="C804" s="50"/>
      <c r="D804" s="59"/>
      <c r="E804" s="50"/>
      <c r="F804" s="59"/>
      <c r="G804" s="50"/>
      <c r="H804" s="63"/>
      <c r="I804" s="50"/>
      <c r="J804" s="50"/>
      <c r="K804" s="50"/>
      <c r="L804" s="50"/>
      <c r="M804" s="50"/>
      <c r="N804" s="50"/>
      <c r="O804" s="50"/>
      <c r="P804" s="50"/>
      <c r="Q804" s="50"/>
      <c r="R804" s="50"/>
      <c r="S804" s="50"/>
      <c r="T804" s="50"/>
      <c r="U804" s="50"/>
      <c r="V804" s="50"/>
      <c r="W804" s="50"/>
    </row>
    <row r="805">
      <c r="A805" s="50"/>
      <c r="B805" s="59"/>
      <c r="C805" s="50"/>
      <c r="D805" s="59"/>
      <c r="E805" s="50"/>
      <c r="F805" s="59"/>
      <c r="G805" s="50"/>
      <c r="H805" s="63"/>
      <c r="I805" s="50"/>
      <c r="J805" s="50"/>
      <c r="K805" s="50"/>
      <c r="L805" s="50"/>
      <c r="M805" s="50"/>
      <c r="N805" s="50"/>
      <c r="O805" s="50"/>
      <c r="P805" s="50"/>
      <c r="Q805" s="50"/>
      <c r="R805" s="50"/>
      <c r="S805" s="50"/>
      <c r="T805" s="50"/>
      <c r="U805" s="50"/>
      <c r="V805" s="50"/>
      <c r="W805" s="50"/>
    </row>
    <row r="806">
      <c r="A806" s="50"/>
      <c r="B806" s="59"/>
      <c r="C806" s="50"/>
      <c r="D806" s="59"/>
      <c r="E806" s="50"/>
      <c r="F806" s="59"/>
      <c r="G806" s="50"/>
      <c r="H806" s="63"/>
      <c r="I806" s="50"/>
      <c r="J806" s="50"/>
      <c r="K806" s="50"/>
      <c r="L806" s="50"/>
      <c r="M806" s="50"/>
      <c r="N806" s="50"/>
      <c r="O806" s="50"/>
      <c r="P806" s="50"/>
      <c r="Q806" s="50"/>
      <c r="R806" s="50"/>
      <c r="S806" s="50"/>
      <c r="T806" s="50"/>
      <c r="U806" s="50"/>
      <c r="V806" s="50"/>
      <c r="W806" s="50"/>
    </row>
    <row r="807">
      <c r="A807" s="50"/>
      <c r="B807" s="59"/>
      <c r="C807" s="50"/>
      <c r="D807" s="59"/>
      <c r="E807" s="50"/>
      <c r="F807" s="59"/>
      <c r="G807" s="50"/>
      <c r="H807" s="63"/>
      <c r="I807" s="50"/>
      <c r="J807" s="50"/>
      <c r="K807" s="50"/>
      <c r="L807" s="50"/>
      <c r="M807" s="50"/>
      <c r="N807" s="50"/>
      <c r="O807" s="50"/>
      <c r="P807" s="50"/>
      <c r="Q807" s="50"/>
      <c r="R807" s="50"/>
      <c r="S807" s="50"/>
      <c r="T807" s="50"/>
      <c r="U807" s="50"/>
      <c r="V807" s="50"/>
      <c r="W807" s="50"/>
    </row>
    <row r="808">
      <c r="A808" s="50"/>
      <c r="B808" s="59"/>
      <c r="C808" s="50"/>
      <c r="D808" s="59"/>
      <c r="E808" s="50"/>
      <c r="F808" s="59"/>
      <c r="G808" s="50"/>
      <c r="H808" s="63"/>
      <c r="I808" s="50"/>
      <c r="J808" s="50"/>
      <c r="K808" s="50"/>
      <c r="L808" s="50"/>
      <c r="M808" s="50"/>
      <c r="N808" s="50"/>
      <c r="O808" s="50"/>
      <c r="P808" s="50"/>
      <c r="Q808" s="50"/>
      <c r="R808" s="50"/>
      <c r="S808" s="50"/>
      <c r="T808" s="50"/>
      <c r="U808" s="50"/>
      <c r="V808" s="50"/>
      <c r="W808" s="50"/>
    </row>
    <row r="809">
      <c r="A809" s="50"/>
      <c r="B809" s="59"/>
      <c r="C809" s="50"/>
      <c r="D809" s="59"/>
      <c r="E809" s="50"/>
      <c r="F809" s="59"/>
      <c r="G809" s="50"/>
      <c r="H809" s="63"/>
      <c r="I809" s="50"/>
      <c r="J809" s="50"/>
      <c r="K809" s="50"/>
      <c r="L809" s="50"/>
      <c r="M809" s="50"/>
      <c r="N809" s="50"/>
      <c r="O809" s="50"/>
      <c r="P809" s="50"/>
      <c r="Q809" s="50"/>
      <c r="R809" s="50"/>
      <c r="S809" s="50"/>
      <c r="T809" s="50"/>
      <c r="U809" s="50"/>
      <c r="V809" s="50"/>
      <c r="W809" s="50"/>
    </row>
    <row r="810">
      <c r="A810" s="50"/>
      <c r="B810" s="59"/>
      <c r="C810" s="50"/>
      <c r="D810" s="59"/>
      <c r="E810" s="50"/>
      <c r="F810" s="59"/>
      <c r="G810" s="50"/>
      <c r="H810" s="63"/>
      <c r="I810" s="50"/>
      <c r="J810" s="50"/>
      <c r="K810" s="50"/>
      <c r="L810" s="50"/>
      <c r="M810" s="50"/>
      <c r="N810" s="50"/>
      <c r="O810" s="50"/>
      <c r="P810" s="50"/>
      <c r="Q810" s="50"/>
      <c r="R810" s="50"/>
      <c r="S810" s="50"/>
      <c r="T810" s="50"/>
      <c r="U810" s="50"/>
      <c r="V810" s="50"/>
      <c r="W810" s="50"/>
    </row>
    <row r="811">
      <c r="A811" s="50"/>
      <c r="B811" s="59"/>
      <c r="C811" s="50"/>
      <c r="D811" s="59"/>
      <c r="E811" s="50"/>
      <c r="F811" s="59"/>
      <c r="G811" s="50"/>
      <c r="H811" s="63"/>
      <c r="I811" s="50"/>
      <c r="J811" s="50"/>
      <c r="K811" s="50"/>
      <c r="L811" s="50"/>
      <c r="M811" s="50"/>
      <c r="N811" s="50"/>
      <c r="O811" s="50"/>
      <c r="P811" s="50"/>
      <c r="Q811" s="50"/>
      <c r="R811" s="50"/>
      <c r="S811" s="50"/>
      <c r="T811" s="50"/>
      <c r="U811" s="50"/>
      <c r="V811" s="50"/>
      <c r="W811" s="50"/>
    </row>
    <row r="812">
      <c r="A812" s="50"/>
      <c r="B812" s="59"/>
      <c r="C812" s="50"/>
      <c r="D812" s="59"/>
      <c r="E812" s="50"/>
      <c r="F812" s="59"/>
      <c r="G812" s="50"/>
      <c r="H812" s="63"/>
      <c r="I812" s="50"/>
      <c r="J812" s="50"/>
      <c r="K812" s="50"/>
      <c r="L812" s="50"/>
      <c r="M812" s="50"/>
      <c r="N812" s="50"/>
      <c r="O812" s="50"/>
      <c r="P812" s="50"/>
      <c r="Q812" s="50"/>
      <c r="R812" s="50"/>
      <c r="S812" s="50"/>
      <c r="T812" s="50"/>
      <c r="U812" s="50"/>
      <c r="V812" s="50"/>
      <c r="W812" s="50"/>
    </row>
    <row r="813">
      <c r="A813" s="50"/>
      <c r="B813" s="59"/>
      <c r="C813" s="50"/>
      <c r="D813" s="59"/>
      <c r="E813" s="50"/>
      <c r="F813" s="59"/>
      <c r="G813" s="50"/>
      <c r="H813" s="63"/>
      <c r="I813" s="50"/>
      <c r="J813" s="50"/>
      <c r="K813" s="50"/>
      <c r="L813" s="50"/>
      <c r="M813" s="50"/>
      <c r="N813" s="50"/>
      <c r="O813" s="50"/>
      <c r="P813" s="50"/>
      <c r="Q813" s="50"/>
      <c r="R813" s="50"/>
      <c r="S813" s="50"/>
      <c r="T813" s="50"/>
      <c r="U813" s="50"/>
      <c r="V813" s="50"/>
      <c r="W813" s="50"/>
    </row>
    <row r="814">
      <c r="A814" s="50"/>
      <c r="B814" s="59"/>
      <c r="C814" s="50"/>
      <c r="D814" s="59"/>
      <c r="E814" s="50"/>
      <c r="F814" s="59"/>
      <c r="G814" s="50"/>
      <c r="H814" s="63"/>
      <c r="I814" s="50"/>
      <c r="J814" s="50"/>
      <c r="K814" s="50"/>
      <c r="L814" s="50"/>
      <c r="M814" s="50"/>
      <c r="N814" s="50"/>
      <c r="O814" s="50"/>
      <c r="P814" s="50"/>
      <c r="Q814" s="50"/>
      <c r="R814" s="50"/>
      <c r="S814" s="50"/>
      <c r="T814" s="50"/>
      <c r="U814" s="50"/>
      <c r="V814" s="50"/>
      <c r="W814" s="50"/>
    </row>
    <row r="815">
      <c r="A815" s="50"/>
      <c r="B815" s="59"/>
      <c r="C815" s="50"/>
      <c r="D815" s="59"/>
      <c r="E815" s="50"/>
      <c r="F815" s="59"/>
      <c r="G815" s="50"/>
      <c r="H815" s="63"/>
      <c r="I815" s="50"/>
      <c r="J815" s="50"/>
      <c r="K815" s="50"/>
      <c r="L815" s="50"/>
      <c r="M815" s="50"/>
      <c r="N815" s="50"/>
      <c r="O815" s="50"/>
      <c r="P815" s="50"/>
      <c r="Q815" s="50"/>
      <c r="R815" s="50"/>
      <c r="S815" s="50"/>
      <c r="T815" s="50"/>
      <c r="U815" s="50"/>
      <c r="V815" s="50"/>
      <c r="W815" s="50"/>
    </row>
    <row r="816">
      <c r="A816" s="50"/>
      <c r="B816" s="59"/>
      <c r="C816" s="50"/>
      <c r="D816" s="59"/>
      <c r="E816" s="50"/>
      <c r="F816" s="59"/>
      <c r="G816" s="50"/>
      <c r="H816" s="63"/>
      <c r="I816" s="50"/>
      <c r="J816" s="50"/>
      <c r="K816" s="50"/>
      <c r="L816" s="50"/>
      <c r="M816" s="50"/>
      <c r="N816" s="50"/>
      <c r="O816" s="50"/>
      <c r="P816" s="50"/>
      <c r="Q816" s="50"/>
      <c r="R816" s="50"/>
      <c r="S816" s="50"/>
      <c r="T816" s="50"/>
      <c r="U816" s="50"/>
      <c r="V816" s="50"/>
      <c r="W816" s="50"/>
    </row>
    <row r="817">
      <c r="A817" s="50"/>
      <c r="B817" s="59"/>
      <c r="C817" s="50"/>
      <c r="D817" s="59"/>
      <c r="E817" s="50"/>
      <c r="F817" s="59"/>
      <c r="G817" s="50"/>
      <c r="H817" s="63"/>
      <c r="I817" s="50"/>
      <c r="J817" s="50"/>
      <c r="K817" s="50"/>
      <c r="L817" s="50"/>
      <c r="M817" s="50"/>
      <c r="N817" s="50"/>
      <c r="O817" s="50"/>
      <c r="P817" s="50"/>
      <c r="Q817" s="50"/>
      <c r="R817" s="50"/>
      <c r="S817" s="50"/>
      <c r="T817" s="50"/>
      <c r="U817" s="50"/>
      <c r="V817" s="50"/>
      <c r="W817" s="50"/>
    </row>
    <row r="818">
      <c r="A818" s="50"/>
      <c r="B818" s="59"/>
      <c r="C818" s="50"/>
      <c r="D818" s="59"/>
      <c r="E818" s="50"/>
      <c r="F818" s="59"/>
      <c r="G818" s="50"/>
      <c r="H818" s="63"/>
      <c r="I818" s="50"/>
      <c r="J818" s="50"/>
      <c r="K818" s="50"/>
      <c r="L818" s="50"/>
      <c r="M818" s="50"/>
      <c r="N818" s="50"/>
      <c r="O818" s="50"/>
      <c r="P818" s="50"/>
      <c r="Q818" s="50"/>
      <c r="R818" s="50"/>
      <c r="S818" s="50"/>
      <c r="T818" s="50"/>
      <c r="U818" s="50"/>
      <c r="V818" s="50"/>
      <c r="W818" s="50"/>
    </row>
    <row r="819">
      <c r="A819" s="50"/>
      <c r="B819" s="59"/>
      <c r="C819" s="50"/>
      <c r="D819" s="59"/>
      <c r="E819" s="50"/>
      <c r="F819" s="59"/>
      <c r="G819" s="50"/>
      <c r="H819" s="63"/>
      <c r="I819" s="50"/>
      <c r="J819" s="50"/>
      <c r="K819" s="50"/>
      <c r="L819" s="50"/>
      <c r="M819" s="50"/>
      <c r="N819" s="50"/>
      <c r="O819" s="50"/>
      <c r="P819" s="50"/>
      <c r="Q819" s="50"/>
      <c r="R819" s="50"/>
      <c r="S819" s="50"/>
      <c r="T819" s="50"/>
      <c r="U819" s="50"/>
      <c r="V819" s="50"/>
      <c r="W819" s="50"/>
    </row>
    <row r="820">
      <c r="A820" s="50"/>
      <c r="B820" s="59"/>
      <c r="C820" s="50"/>
      <c r="D820" s="59"/>
      <c r="E820" s="50"/>
      <c r="F820" s="59"/>
      <c r="G820" s="50"/>
      <c r="H820" s="63"/>
      <c r="I820" s="50"/>
      <c r="J820" s="50"/>
      <c r="K820" s="50"/>
      <c r="L820" s="50"/>
      <c r="M820" s="50"/>
      <c r="N820" s="50"/>
      <c r="O820" s="50"/>
      <c r="P820" s="50"/>
      <c r="Q820" s="50"/>
      <c r="R820" s="50"/>
      <c r="S820" s="50"/>
      <c r="T820" s="50"/>
      <c r="U820" s="50"/>
      <c r="V820" s="50"/>
      <c r="W820" s="50"/>
    </row>
    <row r="821">
      <c r="A821" s="50"/>
      <c r="B821" s="59"/>
      <c r="C821" s="50"/>
      <c r="D821" s="59"/>
      <c r="E821" s="50"/>
      <c r="F821" s="59"/>
      <c r="G821" s="50"/>
      <c r="H821" s="63"/>
      <c r="I821" s="50"/>
      <c r="J821" s="50"/>
      <c r="K821" s="50"/>
      <c r="L821" s="50"/>
      <c r="M821" s="50"/>
      <c r="N821" s="50"/>
      <c r="O821" s="50"/>
      <c r="P821" s="50"/>
      <c r="Q821" s="50"/>
      <c r="R821" s="50"/>
      <c r="S821" s="50"/>
      <c r="T821" s="50"/>
      <c r="U821" s="50"/>
      <c r="V821" s="50"/>
      <c r="W821" s="50"/>
    </row>
    <row r="822">
      <c r="A822" s="50"/>
      <c r="B822" s="59"/>
      <c r="C822" s="50"/>
      <c r="D822" s="59"/>
      <c r="E822" s="50"/>
      <c r="F822" s="59"/>
      <c r="G822" s="50"/>
      <c r="H822" s="63"/>
      <c r="I822" s="50"/>
      <c r="J822" s="50"/>
      <c r="K822" s="50"/>
      <c r="L822" s="50"/>
      <c r="M822" s="50"/>
      <c r="N822" s="50"/>
      <c r="O822" s="50"/>
      <c r="P822" s="50"/>
      <c r="Q822" s="50"/>
      <c r="R822" s="50"/>
      <c r="S822" s="50"/>
      <c r="T822" s="50"/>
      <c r="U822" s="50"/>
      <c r="V822" s="50"/>
      <c r="W822" s="50"/>
    </row>
    <row r="823">
      <c r="A823" s="50"/>
      <c r="B823" s="59"/>
      <c r="C823" s="50"/>
      <c r="D823" s="59"/>
      <c r="E823" s="50"/>
      <c r="F823" s="59"/>
      <c r="G823" s="50"/>
      <c r="H823" s="63"/>
      <c r="I823" s="50"/>
      <c r="J823" s="50"/>
      <c r="K823" s="50"/>
      <c r="L823" s="50"/>
      <c r="M823" s="50"/>
      <c r="N823" s="50"/>
      <c r="O823" s="50"/>
      <c r="P823" s="50"/>
      <c r="Q823" s="50"/>
      <c r="R823" s="50"/>
      <c r="S823" s="50"/>
      <c r="T823" s="50"/>
      <c r="U823" s="50"/>
      <c r="V823" s="50"/>
      <c r="W823" s="50"/>
    </row>
    <row r="824">
      <c r="A824" s="50"/>
      <c r="B824" s="59"/>
      <c r="C824" s="50"/>
      <c r="D824" s="59"/>
      <c r="E824" s="50"/>
      <c r="F824" s="59"/>
      <c r="G824" s="50"/>
      <c r="H824" s="63"/>
      <c r="I824" s="50"/>
      <c r="J824" s="50"/>
      <c r="K824" s="50"/>
      <c r="L824" s="50"/>
      <c r="M824" s="50"/>
      <c r="N824" s="50"/>
      <c r="O824" s="50"/>
      <c r="P824" s="50"/>
      <c r="Q824" s="50"/>
      <c r="R824" s="50"/>
      <c r="S824" s="50"/>
      <c r="T824" s="50"/>
      <c r="U824" s="50"/>
      <c r="V824" s="50"/>
      <c r="W824" s="50"/>
    </row>
    <row r="825">
      <c r="A825" s="50"/>
      <c r="B825" s="59"/>
      <c r="C825" s="50"/>
      <c r="D825" s="59"/>
      <c r="E825" s="50"/>
      <c r="F825" s="59"/>
      <c r="G825" s="50"/>
      <c r="H825" s="63"/>
      <c r="I825" s="50"/>
      <c r="J825" s="50"/>
      <c r="K825" s="50"/>
      <c r="L825" s="50"/>
      <c r="M825" s="50"/>
      <c r="N825" s="50"/>
      <c r="O825" s="50"/>
      <c r="P825" s="50"/>
      <c r="Q825" s="50"/>
      <c r="R825" s="50"/>
      <c r="S825" s="50"/>
      <c r="T825" s="50"/>
      <c r="U825" s="50"/>
      <c r="V825" s="50"/>
      <c r="W825" s="50"/>
    </row>
    <row r="826">
      <c r="A826" s="50"/>
      <c r="B826" s="59"/>
      <c r="C826" s="50"/>
      <c r="D826" s="59"/>
      <c r="E826" s="50"/>
      <c r="F826" s="59"/>
      <c r="G826" s="50"/>
      <c r="H826" s="63"/>
      <c r="I826" s="50"/>
      <c r="J826" s="50"/>
      <c r="K826" s="50"/>
      <c r="L826" s="50"/>
      <c r="M826" s="50"/>
      <c r="N826" s="50"/>
      <c r="O826" s="50"/>
      <c r="P826" s="50"/>
      <c r="Q826" s="50"/>
      <c r="R826" s="50"/>
      <c r="S826" s="50"/>
      <c r="T826" s="50"/>
      <c r="U826" s="50"/>
      <c r="V826" s="50"/>
      <c r="W826" s="50"/>
    </row>
    <row r="827">
      <c r="A827" s="50"/>
      <c r="B827" s="59"/>
      <c r="C827" s="50"/>
      <c r="D827" s="59"/>
      <c r="E827" s="50"/>
      <c r="F827" s="59"/>
      <c r="G827" s="50"/>
      <c r="H827" s="63"/>
      <c r="I827" s="50"/>
      <c r="J827" s="50"/>
      <c r="K827" s="50"/>
      <c r="L827" s="50"/>
      <c r="M827" s="50"/>
      <c r="N827" s="50"/>
      <c r="O827" s="50"/>
      <c r="P827" s="50"/>
      <c r="Q827" s="50"/>
      <c r="R827" s="50"/>
      <c r="S827" s="50"/>
      <c r="T827" s="50"/>
      <c r="U827" s="50"/>
      <c r="V827" s="50"/>
      <c r="W827" s="50"/>
    </row>
    <row r="828">
      <c r="A828" s="50"/>
      <c r="B828" s="59"/>
      <c r="C828" s="50"/>
      <c r="D828" s="59"/>
      <c r="E828" s="50"/>
      <c r="F828" s="59"/>
      <c r="G828" s="50"/>
      <c r="H828" s="63"/>
      <c r="I828" s="50"/>
      <c r="J828" s="50"/>
      <c r="K828" s="50"/>
      <c r="L828" s="50"/>
      <c r="M828" s="50"/>
      <c r="N828" s="50"/>
      <c r="O828" s="50"/>
      <c r="P828" s="50"/>
      <c r="Q828" s="50"/>
      <c r="R828" s="50"/>
      <c r="S828" s="50"/>
      <c r="T828" s="50"/>
      <c r="U828" s="50"/>
      <c r="V828" s="50"/>
      <c r="W828" s="50"/>
    </row>
    <row r="829">
      <c r="A829" s="50"/>
      <c r="B829" s="59"/>
      <c r="C829" s="50"/>
      <c r="D829" s="59"/>
      <c r="E829" s="50"/>
      <c r="F829" s="59"/>
      <c r="G829" s="50"/>
      <c r="H829" s="63"/>
      <c r="I829" s="50"/>
      <c r="J829" s="50"/>
      <c r="K829" s="50"/>
      <c r="L829" s="50"/>
      <c r="M829" s="50"/>
      <c r="N829" s="50"/>
      <c r="O829" s="50"/>
      <c r="P829" s="50"/>
      <c r="Q829" s="50"/>
      <c r="R829" s="50"/>
      <c r="S829" s="50"/>
      <c r="T829" s="50"/>
      <c r="U829" s="50"/>
      <c r="V829" s="50"/>
      <c r="W829" s="50"/>
    </row>
    <row r="830">
      <c r="A830" s="50"/>
      <c r="B830" s="59"/>
      <c r="C830" s="50"/>
      <c r="D830" s="59"/>
      <c r="E830" s="50"/>
      <c r="F830" s="59"/>
      <c r="G830" s="50"/>
      <c r="H830" s="63"/>
      <c r="I830" s="50"/>
      <c r="J830" s="50"/>
      <c r="K830" s="50"/>
      <c r="L830" s="50"/>
      <c r="M830" s="50"/>
      <c r="N830" s="50"/>
      <c r="O830" s="50"/>
      <c r="P830" s="50"/>
      <c r="Q830" s="50"/>
      <c r="R830" s="50"/>
      <c r="S830" s="50"/>
      <c r="T830" s="50"/>
      <c r="U830" s="50"/>
      <c r="V830" s="50"/>
      <c r="W830" s="50"/>
    </row>
    <row r="831">
      <c r="A831" s="50"/>
      <c r="B831" s="59"/>
      <c r="C831" s="50"/>
      <c r="D831" s="59"/>
      <c r="E831" s="50"/>
      <c r="F831" s="59"/>
      <c r="G831" s="50"/>
      <c r="H831" s="63"/>
      <c r="I831" s="50"/>
      <c r="J831" s="50"/>
      <c r="K831" s="50"/>
      <c r="L831" s="50"/>
      <c r="M831" s="50"/>
      <c r="N831" s="50"/>
      <c r="O831" s="50"/>
      <c r="P831" s="50"/>
      <c r="Q831" s="50"/>
      <c r="R831" s="50"/>
      <c r="S831" s="50"/>
      <c r="T831" s="50"/>
      <c r="U831" s="50"/>
      <c r="V831" s="50"/>
      <c r="W831" s="50"/>
    </row>
    <row r="832">
      <c r="A832" s="50"/>
      <c r="B832" s="59"/>
      <c r="C832" s="50"/>
      <c r="D832" s="59"/>
      <c r="E832" s="50"/>
      <c r="F832" s="59"/>
      <c r="G832" s="50"/>
      <c r="H832" s="63"/>
      <c r="I832" s="50"/>
      <c r="J832" s="50"/>
      <c r="K832" s="50"/>
      <c r="L832" s="50"/>
      <c r="M832" s="50"/>
      <c r="N832" s="50"/>
      <c r="O832" s="50"/>
      <c r="P832" s="50"/>
      <c r="Q832" s="50"/>
      <c r="R832" s="50"/>
      <c r="S832" s="50"/>
      <c r="T832" s="50"/>
      <c r="U832" s="50"/>
      <c r="V832" s="50"/>
      <c r="W832" s="50"/>
    </row>
    <row r="833">
      <c r="A833" s="50"/>
      <c r="B833" s="59"/>
      <c r="C833" s="50"/>
      <c r="D833" s="59"/>
      <c r="E833" s="50"/>
      <c r="F833" s="59"/>
      <c r="G833" s="50"/>
      <c r="H833" s="63"/>
      <c r="I833" s="50"/>
      <c r="J833" s="50"/>
      <c r="K833" s="50"/>
      <c r="L833" s="50"/>
      <c r="M833" s="50"/>
      <c r="N833" s="50"/>
      <c r="O833" s="50"/>
      <c r="P833" s="50"/>
      <c r="Q833" s="50"/>
      <c r="R833" s="50"/>
      <c r="S833" s="50"/>
      <c r="T833" s="50"/>
      <c r="U833" s="50"/>
      <c r="V833" s="50"/>
      <c r="W833" s="50"/>
    </row>
    <row r="834">
      <c r="A834" s="50"/>
      <c r="B834" s="59"/>
      <c r="C834" s="50"/>
      <c r="D834" s="59"/>
      <c r="E834" s="50"/>
      <c r="F834" s="59"/>
      <c r="G834" s="50"/>
      <c r="H834" s="63"/>
      <c r="I834" s="50"/>
      <c r="J834" s="50"/>
      <c r="K834" s="50"/>
      <c r="L834" s="50"/>
      <c r="M834" s="50"/>
      <c r="N834" s="50"/>
      <c r="O834" s="50"/>
      <c r="P834" s="50"/>
      <c r="Q834" s="50"/>
      <c r="R834" s="50"/>
      <c r="S834" s="50"/>
      <c r="T834" s="50"/>
      <c r="U834" s="50"/>
      <c r="V834" s="50"/>
      <c r="W834" s="50"/>
    </row>
    <row r="835">
      <c r="A835" s="50"/>
      <c r="B835" s="59"/>
      <c r="C835" s="50"/>
      <c r="D835" s="59"/>
      <c r="E835" s="50"/>
      <c r="F835" s="59"/>
      <c r="G835" s="50"/>
      <c r="H835" s="63"/>
      <c r="I835" s="50"/>
      <c r="J835" s="50"/>
      <c r="K835" s="50"/>
      <c r="L835" s="50"/>
      <c r="M835" s="50"/>
      <c r="N835" s="50"/>
      <c r="O835" s="50"/>
      <c r="P835" s="50"/>
      <c r="Q835" s="50"/>
      <c r="R835" s="50"/>
      <c r="S835" s="50"/>
      <c r="T835" s="50"/>
      <c r="U835" s="50"/>
      <c r="V835" s="50"/>
      <c r="W835" s="50"/>
    </row>
    <row r="836">
      <c r="A836" s="50"/>
      <c r="B836" s="59"/>
      <c r="C836" s="50"/>
      <c r="D836" s="59"/>
      <c r="E836" s="50"/>
      <c r="F836" s="59"/>
      <c r="G836" s="50"/>
      <c r="H836" s="63"/>
      <c r="I836" s="50"/>
      <c r="J836" s="50"/>
      <c r="K836" s="50"/>
      <c r="L836" s="50"/>
      <c r="M836" s="50"/>
      <c r="N836" s="50"/>
      <c r="O836" s="50"/>
      <c r="P836" s="50"/>
      <c r="Q836" s="50"/>
      <c r="R836" s="50"/>
      <c r="S836" s="50"/>
      <c r="T836" s="50"/>
      <c r="U836" s="50"/>
      <c r="V836" s="50"/>
      <c r="W836" s="50"/>
    </row>
    <row r="837">
      <c r="A837" s="50"/>
      <c r="B837" s="59"/>
      <c r="C837" s="50"/>
      <c r="D837" s="59"/>
      <c r="E837" s="50"/>
      <c r="F837" s="59"/>
      <c r="G837" s="50"/>
      <c r="H837" s="63"/>
      <c r="I837" s="50"/>
      <c r="J837" s="50"/>
      <c r="K837" s="50"/>
      <c r="L837" s="50"/>
      <c r="M837" s="50"/>
      <c r="N837" s="50"/>
      <c r="O837" s="50"/>
      <c r="P837" s="50"/>
      <c r="Q837" s="50"/>
      <c r="R837" s="50"/>
      <c r="S837" s="50"/>
      <c r="T837" s="50"/>
      <c r="U837" s="50"/>
      <c r="V837" s="50"/>
      <c r="W837" s="50"/>
    </row>
    <row r="838">
      <c r="A838" s="50"/>
      <c r="B838" s="59"/>
      <c r="C838" s="50"/>
      <c r="D838" s="59"/>
      <c r="E838" s="50"/>
      <c r="F838" s="59"/>
      <c r="G838" s="50"/>
      <c r="H838" s="63"/>
      <c r="I838" s="50"/>
      <c r="J838" s="50"/>
      <c r="K838" s="50"/>
      <c r="L838" s="50"/>
      <c r="M838" s="50"/>
      <c r="N838" s="50"/>
      <c r="O838" s="50"/>
      <c r="P838" s="50"/>
      <c r="Q838" s="50"/>
      <c r="R838" s="50"/>
      <c r="S838" s="50"/>
      <c r="T838" s="50"/>
      <c r="U838" s="50"/>
      <c r="V838" s="50"/>
      <c r="W838" s="50"/>
    </row>
    <row r="839">
      <c r="A839" s="50"/>
      <c r="B839" s="59"/>
      <c r="C839" s="50"/>
      <c r="D839" s="59"/>
      <c r="E839" s="50"/>
      <c r="F839" s="59"/>
      <c r="G839" s="50"/>
      <c r="H839" s="63"/>
      <c r="I839" s="50"/>
      <c r="J839" s="50"/>
      <c r="K839" s="50"/>
      <c r="L839" s="50"/>
      <c r="M839" s="50"/>
      <c r="N839" s="50"/>
      <c r="O839" s="50"/>
      <c r="P839" s="50"/>
      <c r="Q839" s="50"/>
      <c r="R839" s="50"/>
      <c r="S839" s="50"/>
      <c r="T839" s="50"/>
      <c r="U839" s="50"/>
      <c r="V839" s="50"/>
      <c r="W839" s="50"/>
    </row>
    <row r="840">
      <c r="A840" s="50"/>
      <c r="B840" s="59"/>
      <c r="C840" s="50"/>
      <c r="D840" s="59"/>
      <c r="E840" s="50"/>
      <c r="F840" s="59"/>
      <c r="G840" s="50"/>
      <c r="H840" s="63"/>
      <c r="I840" s="50"/>
      <c r="J840" s="50"/>
      <c r="K840" s="50"/>
      <c r="L840" s="50"/>
      <c r="M840" s="50"/>
      <c r="N840" s="50"/>
      <c r="O840" s="50"/>
      <c r="P840" s="50"/>
      <c r="Q840" s="50"/>
      <c r="R840" s="50"/>
      <c r="S840" s="50"/>
      <c r="T840" s="50"/>
      <c r="U840" s="50"/>
      <c r="V840" s="50"/>
      <c r="W840" s="50"/>
    </row>
    <row r="841">
      <c r="A841" s="50"/>
      <c r="B841" s="59"/>
      <c r="C841" s="50"/>
      <c r="D841" s="59"/>
      <c r="E841" s="50"/>
      <c r="F841" s="59"/>
      <c r="G841" s="50"/>
      <c r="H841" s="63"/>
      <c r="I841" s="50"/>
      <c r="J841" s="50"/>
      <c r="K841" s="50"/>
      <c r="L841" s="50"/>
      <c r="M841" s="50"/>
      <c r="N841" s="50"/>
      <c r="O841" s="50"/>
      <c r="P841" s="50"/>
      <c r="Q841" s="50"/>
      <c r="R841" s="50"/>
      <c r="S841" s="50"/>
      <c r="T841" s="50"/>
      <c r="U841" s="50"/>
      <c r="V841" s="50"/>
      <c r="W841" s="50"/>
    </row>
    <row r="842">
      <c r="A842" s="50"/>
      <c r="B842" s="59"/>
      <c r="C842" s="50"/>
      <c r="D842" s="59"/>
      <c r="E842" s="50"/>
      <c r="F842" s="59"/>
      <c r="G842" s="50"/>
      <c r="H842" s="63"/>
      <c r="I842" s="50"/>
      <c r="J842" s="50"/>
      <c r="K842" s="50"/>
      <c r="L842" s="50"/>
      <c r="M842" s="50"/>
      <c r="N842" s="50"/>
      <c r="O842" s="50"/>
      <c r="P842" s="50"/>
      <c r="Q842" s="50"/>
      <c r="R842" s="50"/>
      <c r="S842" s="50"/>
      <c r="T842" s="50"/>
      <c r="U842" s="50"/>
      <c r="V842" s="50"/>
      <c r="W842" s="50"/>
    </row>
    <row r="843">
      <c r="A843" s="50"/>
      <c r="B843" s="59"/>
      <c r="C843" s="50"/>
      <c r="D843" s="59"/>
      <c r="E843" s="50"/>
      <c r="F843" s="59"/>
      <c r="G843" s="50"/>
      <c r="H843" s="63"/>
      <c r="I843" s="50"/>
      <c r="J843" s="50"/>
      <c r="K843" s="50"/>
      <c r="L843" s="50"/>
      <c r="M843" s="50"/>
      <c r="N843" s="50"/>
      <c r="O843" s="50"/>
      <c r="P843" s="50"/>
      <c r="Q843" s="50"/>
      <c r="R843" s="50"/>
      <c r="S843" s="50"/>
      <c r="T843" s="50"/>
      <c r="U843" s="50"/>
      <c r="V843" s="50"/>
      <c r="W843" s="50"/>
    </row>
    <row r="844">
      <c r="A844" s="50"/>
      <c r="B844" s="59"/>
      <c r="C844" s="50"/>
      <c r="D844" s="59"/>
      <c r="E844" s="50"/>
      <c r="F844" s="59"/>
      <c r="G844" s="50"/>
      <c r="H844" s="63"/>
      <c r="I844" s="50"/>
      <c r="J844" s="50"/>
      <c r="K844" s="50"/>
      <c r="L844" s="50"/>
      <c r="M844" s="50"/>
      <c r="N844" s="50"/>
      <c r="O844" s="50"/>
      <c r="P844" s="50"/>
      <c r="Q844" s="50"/>
      <c r="R844" s="50"/>
      <c r="S844" s="50"/>
      <c r="T844" s="50"/>
      <c r="U844" s="50"/>
      <c r="V844" s="50"/>
      <c r="W844" s="50"/>
    </row>
    <row r="845">
      <c r="A845" s="50"/>
      <c r="B845" s="59"/>
      <c r="C845" s="50"/>
      <c r="D845" s="59"/>
      <c r="E845" s="50"/>
      <c r="F845" s="59"/>
      <c r="G845" s="50"/>
      <c r="H845" s="63"/>
      <c r="I845" s="50"/>
      <c r="J845" s="50"/>
      <c r="K845" s="50"/>
      <c r="L845" s="50"/>
      <c r="M845" s="50"/>
      <c r="N845" s="50"/>
      <c r="O845" s="50"/>
      <c r="P845" s="50"/>
      <c r="Q845" s="50"/>
      <c r="R845" s="50"/>
      <c r="S845" s="50"/>
      <c r="T845" s="50"/>
      <c r="U845" s="50"/>
      <c r="V845" s="50"/>
      <c r="W845" s="50"/>
    </row>
    <row r="846">
      <c r="A846" s="50"/>
      <c r="B846" s="59"/>
      <c r="C846" s="50"/>
      <c r="D846" s="59"/>
      <c r="E846" s="50"/>
      <c r="F846" s="59"/>
      <c r="G846" s="50"/>
      <c r="H846" s="63"/>
      <c r="I846" s="50"/>
      <c r="J846" s="50"/>
      <c r="K846" s="50"/>
      <c r="L846" s="50"/>
      <c r="M846" s="50"/>
      <c r="N846" s="50"/>
      <c r="O846" s="50"/>
      <c r="P846" s="50"/>
      <c r="Q846" s="50"/>
      <c r="R846" s="50"/>
      <c r="S846" s="50"/>
      <c r="T846" s="50"/>
      <c r="U846" s="50"/>
      <c r="V846" s="50"/>
      <c r="W846" s="50"/>
    </row>
    <row r="847">
      <c r="A847" s="50"/>
      <c r="B847" s="59"/>
      <c r="C847" s="50"/>
      <c r="D847" s="59"/>
      <c r="E847" s="50"/>
      <c r="F847" s="59"/>
      <c r="G847" s="50"/>
      <c r="H847" s="63"/>
      <c r="I847" s="50"/>
      <c r="J847" s="50"/>
      <c r="K847" s="50"/>
      <c r="L847" s="50"/>
      <c r="M847" s="50"/>
      <c r="N847" s="50"/>
      <c r="O847" s="50"/>
      <c r="P847" s="50"/>
      <c r="Q847" s="50"/>
      <c r="R847" s="50"/>
      <c r="S847" s="50"/>
      <c r="T847" s="50"/>
      <c r="U847" s="50"/>
      <c r="V847" s="50"/>
      <c r="W847" s="50"/>
    </row>
    <row r="848">
      <c r="A848" s="50"/>
      <c r="B848" s="59"/>
      <c r="C848" s="50"/>
      <c r="D848" s="59"/>
      <c r="E848" s="50"/>
      <c r="F848" s="59"/>
      <c r="G848" s="50"/>
      <c r="H848" s="63"/>
      <c r="I848" s="50"/>
      <c r="J848" s="50"/>
      <c r="K848" s="50"/>
      <c r="L848" s="50"/>
      <c r="M848" s="50"/>
      <c r="N848" s="50"/>
      <c r="O848" s="50"/>
      <c r="P848" s="50"/>
      <c r="Q848" s="50"/>
      <c r="R848" s="50"/>
      <c r="S848" s="50"/>
      <c r="T848" s="50"/>
      <c r="U848" s="50"/>
      <c r="V848" s="50"/>
      <c r="W848" s="50"/>
    </row>
    <row r="849">
      <c r="A849" s="50"/>
      <c r="B849" s="59"/>
      <c r="C849" s="50"/>
      <c r="D849" s="59"/>
      <c r="E849" s="50"/>
      <c r="F849" s="59"/>
      <c r="G849" s="50"/>
      <c r="H849" s="63"/>
      <c r="I849" s="50"/>
      <c r="J849" s="50"/>
      <c r="K849" s="50"/>
      <c r="L849" s="50"/>
      <c r="M849" s="50"/>
      <c r="N849" s="50"/>
      <c r="O849" s="50"/>
      <c r="P849" s="50"/>
      <c r="Q849" s="50"/>
      <c r="R849" s="50"/>
      <c r="S849" s="50"/>
      <c r="T849" s="50"/>
      <c r="U849" s="50"/>
      <c r="V849" s="50"/>
      <c r="W849" s="50"/>
    </row>
    <row r="850">
      <c r="A850" s="50"/>
      <c r="B850" s="59"/>
      <c r="C850" s="50"/>
      <c r="D850" s="59"/>
      <c r="E850" s="50"/>
      <c r="F850" s="59"/>
      <c r="G850" s="50"/>
      <c r="H850" s="63"/>
      <c r="I850" s="50"/>
      <c r="J850" s="50"/>
      <c r="K850" s="50"/>
      <c r="L850" s="50"/>
      <c r="M850" s="50"/>
      <c r="N850" s="50"/>
      <c r="O850" s="50"/>
      <c r="P850" s="50"/>
      <c r="Q850" s="50"/>
      <c r="R850" s="50"/>
      <c r="S850" s="50"/>
      <c r="T850" s="50"/>
      <c r="U850" s="50"/>
      <c r="V850" s="50"/>
      <c r="W850" s="50"/>
    </row>
    <row r="851">
      <c r="A851" s="50"/>
      <c r="B851" s="59"/>
      <c r="C851" s="50"/>
      <c r="D851" s="59"/>
      <c r="E851" s="50"/>
      <c r="F851" s="59"/>
      <c r="G851" s="50"/>
      <c r="H851" s="63"/>
      <c r="I851" s="50"/>
      <c r="J851" s="50"/>
      <c r="K851" s="50"/>
      <c r="L851" s="50"/>
      <c r="M851" s="50"/>
      <c r="N851" s="50"/>
      <c r="O851" s="50"/>
      <c r="P851" s="50"/>
      <c r="Q851" s="50"/>
      <c r="R851" s="50"/>
      <c r="S851" s="50"/>
      <c r="T851" s="50"/>
      <c r="U851" s="50"/>
      <c r="V851" s="50"/>
      <c r="W851" s="50"/>
    </row>
    <row r="852">
      <c r="A852" s="50"/>
      <c r="B852" s="59"/>
      <c r="C852" s="50"/>
      <c r="D852" s="59"/>
      <c r="E852" s="50"/>
      <c r="F852" s="59"/>
      <c r="G852" s="50"/>
      <c r="H852" s="63"/>
      <c r="I852" s="50"/>
      <c r="J852" s="50"/>
      <c r="K852" s="50"/>
      <c r="L852" s="50"/>
      <c r="M852" s="50"/>
      <c r="N852" s="50"/>
      <c r="O852" s="50"/>
      <c r="P852" s="50"/>
      <c r="Q852" s="50"/>
      <c r="R852" s="50"/>
      <c r="S852" s="50"/>
      <c r="T852" s="50"/>
      <c r="U852" s="50"/>
      <c r="V852" s="50"/>
      <c r="W852" s="50"/>
    </row>
    <row r="853">
      <c r="A853" s="50"/>
      <c r="B853" s="59"/>
      <c r="C853" s="50"/>
      <c r="D853" s="59"/>
      <c r="E853" s="50"/>
      <c r="F853" s="59"/>
      <c r="G853" s="50"/>
      <c r="H853" s="63"/>
      <c r="I853" s="50"/>
      <c r="J853" s="50"/>
      <c r="K853" s="50"/>
      <c r="L853" s="50"/>
      <c r="M853" s="50"/>
      <c r="N853" s="50"/>
      <c r="O853" s="50"/>
      <c r="P853" s="50"/>
      <c r="Q853" s="50"/>
      <c r="R853" s="50"/>
      <c r="S853" s="50"/>
      <c r="T853" s="50"/>
      <c r="U853" s="50"/>
      <c r="V853" s="50"/>
      <c r="W853" s="50"/>
    </row>
    <row r="854">
      <c r="A854" s="50"/>
      <c r="B854" s="59"/>
      <c r="C854" s="50"/>
      <c r="D854" s="59"/>
      <c r="E854" s="50"/>
      <c r="F854" s="59"/>
      <c r="G854" s="50"/>
      <c r="H854" s="63"/>
      <c r="I854" s="50"/>
      <c r="J854" s="50"/>
      <c r="K854" s="50"/>
      <c r="L854" s="50"/>
      <c r="M854" s="50"/>
      <c r="N854" s="50"/>
      <c r="O854" s="50"/>
      <c r="P854" s="50"/>
      <c r="Q854" s="50"/>
      <c r="R854" s="50"/>
      <c r="S854" s="50"/>
      <c r="T854" s="50"/>
      <c r="U854" s="50"/>
      <c r="V854" s="50"/>
      <c r="W854" s="50"/>
    </row>
    <row r="855">
      <c r="A855" s="50"/>
      <c r="B855" s="59"/>
      <c r="C855" s="50"/>
      <c r="D855" s="59"/>
      <c r="E855" s="50"/>
      <c r="F855" s="59"/>
      <c r="G855" s="50"/>
      <c r="H855" s="63"/>
      <c r="I855" s="50"/>
      <c r="J855" s="50"/>
      <c r="K855" s="50"/>
      <c r="L855" s="50"/>
      <c r="M855" s="50"/>
      <c r="N855" s="50"/>
      <c r="O855" s="50"/>
      <c r="P855" s="50"/>
      <c r="Q855" s="50"/>
      <c r="R855" s="50"/>
      <c r="S855" s="50"/>
      <c r="T855" s="50"/>
      <c r="U855" s="50"/>
      <c r="V855" s="50"/>
      <c r="W855" s="50"/>
    </row>
    <row r="856">
      <c r="A856" s="50"/>
      <c r="B856" s="59"/>
      <c r="C856" s="50"/>
      <c r="D856" s="59"/>
      <c r="E856" s="50"/>
      <c r="F856" s="59"/>
      <c r="G856" s="50"/>
      <c r="H856" s="63"/>
      <c r="I856" s="50"/>
      <c r="J856" s="50"/>
      <c r="K856" s="50"/>
      <c r="L856" s="50"/>
      <c r="M856" s="50"/>
      <c r="N856" s="50"/>
      <c r="O856" s="50"/>
      <c r="P856" s="50"/>
      <c r="Q856" s="50"/>
      <c r="R856" s="50"/>
      <c r="S856" s="50"/>
      <c r="T856" s="50"/>
      <c r="U856" s="50"/>
      <c r="V856" s="50"/>
      <c r="W856" s="50"/>
    </row>
    <row r="857">
      <c r="A857" s="50"/>
      <c r="B857" s="59"/>
      <c r="C857" s="50"/>
      <c r="D857" s="59"/>
      <c r="E857" s="50"/>
      <c r="F857" s="59"/>
      <c r="G857" s="50"/>
      <c r="H857" s="63"/>
      <c r="I857" s="50"/>
      <c r="J857" s="50"/>
      <c r="K857" s="50"/>
      <c r="L857" s="50"/>
      <c r="M857" s="50"/>
      <c r="N857" s="50"/>
      <c r="O857" s="50"/>
      <c r="P857" s="50"/>
      <c r="Q857" s="50"/>
      <c r="R857" s="50"/>
      <c r="S857" s="50"/>
      <c r="T857" s="50"/>
      <c r="U857" s="50"/>
      <c r="V857" s="50"/>
      <c r="W857" s="50"/>
    </row>
    <row r="858">
      <c r="A858" s="50"/>
      <c r="B858" s="59"/>
      <c r="C858" s="50"/>
      <c r="D858" s="59"/>
      <c r="E858" s="50"/>
      <c r="F858" s="59"/>
      <c r="G858" s="50"/>
      <c r="H858" s="63"/>
      <c r="I858" s="50"/>
      <c r="J858" s="50"/>
      <c r="K858" s="50"/>
      <c r="L858" s="50"/>
      <c r="M858" s="50"/>
      <c r="N858" s="50"/>
      <c r="O858" s="50"/>
      <c r="P858" s="50"/>
      <c r="Q858" s="50"/>
      <c r="R858" s="50"/>
      <c r="S858" s="50"/>
      <c r="T858" s="50"/>
      <c r="U858" s="50"/>
      <c r="V858" s="50"/>
      <c r="W858" s="50"/>
    </row>
    <row r="859">
      <c r="A859" s="50"/>
      <c r="B859" s="59"/>
      <c r="C859" s="50"/>
      <c r="D859" s="59"/>
      <c r="E859" s="50"/>
      <c r="F859" s="59"/>
      <c r="G859" s="50"/>
      <c r="H859" s="63"/>
      <c r="I859" s="50"/>
      <c r="J859" s="50"/>
      <c r="K859" s="50"/>
      <c r="L859" s="50"/>
      <c r="M859" s="50"/>
      <c r="N859" s="50"/>
      <c r="O859" s="50"/>
      <c r="P859" s="50"/>
      <c r="Q859" s="50"/>
      <c r="R859" s="50"/>
      <c r="S859" s="50"/>
      <c r="T859" s="50"/>
      <c r="U859" s="50"/>
      <c r="V859" s="50"/>
      <c r="W859" s="50"/>
    </row>
    <row r="860">
      <c r="A860" s="50"/>
      <c r="B860" s="59"/>
      <c r="C860" s="50"/>
      <c r="D860" s="59"/>
      <c r="E860" s="50"/>
      <c r="F860" s="59"/>
      <c r="G860" s="50"/>
      <c r="H860" s="63"/>
      <c r="I860" s="50"/>
      <c r="J860" s="50"/>
      <c r="K860" s="50"/>
      <c r="L860" s="50"/>
      <c r="M860" s="50"/>
      <c r="N860" s="50"/>
      <c r="O860" s="50"/>
      <c r="P860" s="50"/>
      <c r="Q860" s="50"/>
      <c r="R860" s="50"/>
      <c r="S860" s="50"/>
      <c r="T860" s="50"/>
      <c r="U860" s="50"/>
      <c r="V860" s="50"/>
      <c r="W860" s="50"/>
    </row>
    <row r="861">
      <c r="A861" s="50"/>
      <c r="B861" s="59"/>
      <c r="C861" s="50"/>
      <c r="D861" s="59"/>
      <c r="E861" s="50"/>
      <c r="F861" s="59"/>
      <c r="G861" s="50"/>
      <c r="H861" s="63"/>
      <c r="I861" s="50"/>
      <c r="J861" s="50"/>
      <c r="K861" s="50"/>
      <c r="L861" s="50"/>
      <c r="M861" s="50"/>
      <c r="N861" s="50"/>
      <c r="O861" s="50"/>
      <c r="P861" s="50"/>
      <c r="Q861" s="50"/>
      <c r="R861" s="50"/>
      <c r="S861" s="50"/>
      <c r="T861" s="50"/>
      <c r="U861" s="50"/>
      <c r="V861" s="50"/>
      <c r="W861" s="50"/>
    </row>
    <row r="862">
      <c r="A862" s="50"/>
      <c r="B862" s="59"/>
      <c r="C862" s="50"/>
      <c r="D862" s="59"/>
      <c r="E862" s="50"/>
      <c r="F862" s="59"/>
      <c r="G862" s="50"/>
      <c r="H862" s="63"/>
      <c r="I862" s="50"/>
      <c r="J862" s="50"/>
      <c r="K862" s="50"/>
      <c r="L862" s="50"/>
      <c r="M862" s="50"/>
      <c r="N862" s="50"/>
      <c r="O862" s="50"/>
      <c r="P862" s="50"/>
      <c r="Q862" s="50"/>
      <c r="R862" s="50"/>
      <c r="S862" s="50"/>
      <c r="T862" s="50"/>
      <c r="U862" s="50"/>
      <c r="V862" s="50"/>
      <c r="W862" s="50"/>
    </row>
    <row r="863">
      <c r="A863" s="50"/>
      <c r="B863" s="59"/>
      <c r="C863" s="50"/>
      <c r="D863" s="59"/>
      <c r="E863" s="50"/>
      <c r="F863" s="59"/>
      <c r="G863" s="50"/>
      <c r="H863" s="63"/>
      <c r="I863" s="50"/>
      <c r="J863" s="50"/>
      <c r="K863" s="50"/>
      <c r="L863" s="50"/>
      <c r="M863" s="50"/>
      <c r="N863" s="50"/>
      <c r="O863" s="50"/>
      <c r="P863" s="50"/>
      <c r="Q863" s="50"/>
      <c r="R863" s="50"/>
      <c r="S863" s="50"/>
      <c r="T863" s="50"/>
      <c r="U863" s="50"/>
      <c r="V863" s="50"/>
      <c r="W863" s="50"/>
    </row>
    <row r="864">
      <c r="A864" s="50"/>
      <c r="B864" s="59"/>
      <c r="C864" s="50"/>
      <c r="D864" s="59"/>
      <c r="E864" s="50"/>
      <c r="F864" s="59"/>
      <c r="G864" s="50"/>
      <c r="H864" s="63"/>
      <c r="I864" s="50"/>
      <c r="J864" s="50"/>
      <c r="K864" s="50"/>
      <c r="L864" s="50"/>
      <c r="M864" s="50"/>
      <c r="N864" s="50"/>
      <c r="O864" s="50"/>
      <c r="P864" s="50"/>
      <c r="Q864" s="50"/>
      <c r="R864" s="50"/>
      <c r="S864" s="50"/>
      <c r="T864" s="50"/>
      <c r="U864" s="50"/>
      <c r="V864" s="50"/>
      <c r="W864" s="50"/>
    </row>
    <row r="865">
      <c r="A865" s="50"/>
      <c r="B865" s="59"/>
      <c r="C865" s="50"/>
      <c r="D865" s="59"/>
      <c r="E865" s="50"/>
      <c r="F865" s="59"/>
      <c r="G865" s="50"/>
      <c r="H865" s="63"/>
      <c r="I865" s="50"/>
      <c r="J865" s="50"/>
      <c r="K865" s="50"/>
      <c r="L865" s="50"/>
      <c r="M865" s="50"/>
      <c r="N865" s="50"/>
      <c r="O865" s="50"/>
      <c r="P865" s="50"/>
      <c r="Q865" s="50"/>
      <c r="R865" s="50"/>
      <c r="S865" s="50"/>
      <c r="T865" s="50"/>
      <c r="U865" s="50"/>
      <c r="V865" s="50"/>
      <c r="W865" s="50"/>
    </row>
    <row r="866">
      <c r="A866" s="50"/>
      <c r="B866" s="59"/>
      <c r="C866" s="50"/>
      <c r="D866" s="59"/>
      <c r="E866" s="50"/>
      <c r="F866" s="59"/>
      <c r="G866" s="50"/>
      <c r="H866" s="63"/>
      <c r="I866" s="50"/>
      <c r="J866" s="50"/>
      <c r="K866" s="50"/>
      <c r="L866" s="50"/>
      <c r="M866" s="50"/>
      <c r="N866" s="50"/>
      <c r="O866" s="50"/>
      <c r="P866" s="50"/>
      <c r="Q866" s="50"/>
      <c r="R866" s="50"/>
      <c r="S866" s="50"/>
      <c r="T866" s="50"/>
      <c r="U866" s="50"/>
      <c r="V866" s="50"/>
      <c r="W866" s="50"/>
    </row>
    <row r="867">
      <c r="A867" s="50"/>
      <c r="B867" s="59"/>
      <c r="C867" s="50"/>
      <c r="D867" s="59"/>
      <c r="E867" s="50"/>
      <c r="F867" s="59"/>
      <c r="G867" s="50"/>
      <c r="H867" s="63"/>
      <c r="I867" s="50"/>
      <c r="J867" s="50"/>
      <c r="K867" s="50"/>
      <c r="L867" s="50"/>
      <c r="M867" s="50"/>
      <c r="N867" s="50"/>
      <c r="O867" s="50"/>
      <c r="P867" s="50"/>
      <c r="Q867" s="50"/>
      <c r="R867" s="50"/>
      <c r="S867" s="50"/>
      <c r="T867" s="50"/>
      <c r="U867" s="50"/>
      <c r="V867" s="50"/>
      <c r="W867" s="50"/>
    </row>
    <row r="868">
      <c r="A868" s="50"/>
      <c r="B868" s="59"/>
      <c r="C868" s="50"/>
      <c r="D868" s="59"/>
      <c r="E868" s="50"/>
      <c r="F868" s="59"/>
      <c r="G868" s="50"/>
      <c r="H868" s="63"/>
      <c r="I868" s="50"/>
      <c r="J868" s="50"/>
      <c r="K868" s="50"/>
      <c r="L868" s="50"/>
      <c r="M868" s="50"/>
      <c r="N868" s="50"/>
      <c r="O868" s="50"/>
      <c r="P868" s="50"/>
      <c r="Q868" s="50"/>
      <c r="R868" s="50"/>
      <c r="S868" s="50"/>
      <c r="T868" s="50"/>
      <c r="U868" s="50"/>
      <c r="V868" s="50"/>
      <c r="W868" s="50"/>
    </row>
    <row r="869">
      <c r="A869" s="50"/>
      <c r="B869" s="59"/>
      <c r="C869" s="50"/>
      <c r="D869" s="59"/>
      <c r="E869" s="50"/>
      <c r="F869" s="59"/>
      <c r="G869" s="50"/>
      <c r="H869" s="63"/>
      <c r="I869" s="50"/>
      <c r="J869" s="50"/>
      <c r="K869" s="50"/>
      <c r="L869" s="50"/>
      <c r="M869" s="50"/>
      <c r="N869" s="50"/>
      <c r="O869" s="50"/>
      <c r="P869" s="50"/>
      <c r="Q869" s="50"/>
      <c r="R869" s="50"/>
      <c r="S869" s="50"/>
      <c r="T869" s="50"/>
      <c r="U869" s="50"/>
      <c r="V869" s="50"/>
      <c r="W869" s="50"/>
    </row>
    <row r="870">
      <c r="A870" s="50"/>
      <c r="B870" s="59"/>
      <c r="C870" s="50"/>
      <c r="D870" s="59"/>
      <c r="E870" s="50"/>
      <c r="F870" s="59"/>
      <c r="G870" s="50"/>
      <c r="H870" s="63"/>
      <c r="I870" s="50"/>
      <c r="J870" s="50"/>
      <c r="K870" s="50"/>
      <c r="L870" s="50"/>
      <c r="M870" s="50"/>
      <c r="N870" s="50"/>
      <c r="O870" s="50"/>
      <c r="P870" s="50"/>
      <c r="Q870" s="50"/>
      <c r="R870" s="50"/>
      <c r="S870" s="50"/>
      <c r="T870" s="50"/>
      <c r="U870" s="50"/>
      <c r="V870" s="50"/>
      <c r="W870" s="50"/>
    </row>
    <row r="871">
      <c r="A871" s="50"/>
      <c r="B871" s="59"/>
      <c r="C871" s="50"/>
      <c r="D871" s="59"/>
      <c r="E871" s="50"/>
      <c r="F871" s="59"/>
      <c r="G871" s="50"/>
      <c r="H871" s="63"/>
      <c r="I871" s="50"/>
      <c r="J871" s="50"/>
      <c r="K871" s="50"/>
      <c r="L871" s="50"/>
      <c r="M871" s="50"/>
      <c r="N871" s="50"/>
      <c r="O871" s="50"/>
      <c r="P871" s="50"/>
      <c r="Q871" s="50"/>
      <c r="R871" s="50"/>
      <c r="S871" s="50"/>
      <c r="T871" s="50"/>
      <c r="U871" s="50"/>
      <c r="V871" s="50"/>
      <c r="W871" s="50"/>
    </row>
    <row r="872">
      <c r="A872" s="50"/>
      <c r="B872" s="59"/>
      <c r="C872" s="50"/>
      <c r="D872" s="59"/>
      <c r="E872" s="50"/>
      <c r="F872" s="59"/>
      <c r="G872" s="50"/>
      <c r="H872" s="63"/>
      <c r="I872" s="50"/>
      <c r="J872" s="50"/>
      <c r="K872" s="50"/>
      <c r="L872" s="50"/>
      <c r="M872" s="50"/>
      <c r="N872" s="50"/>
      <c r="O872" s="50"/>
      <c r="P872" s="50"/>
      <c r="Q872" s="50"/>
      <c r="R872" s="50"/>
      <c r="S872" s="50"/>
      <c r="T872" s="50"/>
      <c r="U872" s="50"/>
      <c r="V872" s="50"/>
      <c r="W872" s="50"/>
    </row>
    <row r="873">
      <c r="A873" s="50"/>
      <c r="B873" s="59"/>
      <c r="C873" s="50"/>
      <c r="D873" s="59"/>
      <c r="E873" s="50"/>
      <c r="F873" s="59"/>
      <c r="G873" s="50"/>
      <c r="H873" s="63"/>
      <c r="I873" s="50"/>
      <c r="J873" s="50"/>
      <c r="K873" s="50"/>
      <c r="L873" s="50"/>
      <c r="M873" s="50"/>
      <c r="N873" s="50"/>
      <c r="O873" s="50"/>
      <c r="P873" s="50"/>
      <c r="Q873" s="50"/>
      <c r="R873" s="50"/>
      <c r="S873" s="50"/>
      <c r="T873" s="50"/>
      <c r="U873" s="50"/>
      <c r="V873" s="50"/>
      <c r="W873" s="50"/>
    </row>
    <row r="874">
      <c r="A874" s="50"/>
      <c r="B874" s="59"/>
      <c r="C874" s="50"/>
      <c r="D874" s="59"/>
      <c r="E874" s="50"/>
      <c r="F874" s="59"/>
      <c r="G874" s="50"/>
      <c r="H874" s="63"/>
      <c r="I874" s="50"/>
      <c r="J874" s="50"/>
      <c r="K874" s="50"/>
      <c r="L874" s="50"/>
      <c r="M874" s="50"/>
      <c r="N874" s="50"/>
      <c r="O874" s="50"/>
      <c r="P874" s="50"/>
      <c r="Q874" s="50"/>
      <c r="R874" s="50"/>
      <c r="S874" s="50"/>
      <c r="T874" s="50"/>
      <c r="U874" s="50"/>
      <c r="V874" s="50"/>
      <c r="W874" s="50"/>
    </row>
    <row r="875">
      <c r="A875" s="50"/>
      <c r="B875" s="59"/>
      <c r="C875" s="50"/>
      <c r="D875" s="59"/>
      <c r="E875" s="50"/>
      <c r="F875" s="59"/>
      <c r="G875" s="50"/>
      <c r="H875" s="63"/>
      <c r="I875" s="50"/>
      <c r="J875" s="50"/>
      <c r="K875" s="50"/>
      <c r="L875" s="50"/>
      <c r="M875" s="50"/>
      <c r="N875" s="50"/>
      <c r="O875" s="50"/>
      <c r="P875" s="50"/>
      <c r="Q875" s="50"/>
      <c r="R875" s="50"/>
      <c r="S875" s="50"/>
      <c r="T875" s="50"/>
      <c r="U875" s="50"/>
      <c r="V875" s="50"/>
      <c r="W875" s="50"/>
    </row>
    <row r="876">
      <c r="A876" s="50"/>
      <c r="B876" s="59"/>
      <c r="C876" s="50"/>
      <c r="D876" s="59"/>
      <c r="E876" s="50"/>
      <c r="F876" s="59"/>
      <c r="G876" s="50"/>
      <c r="H876" s="63"/>
      <c r="I876" s="50"/>
      <c r="J876" s="50"/>
      <c r="K876" s="50"/>
      <c r="L876" s="50"/>
      <c r="M876" s="50"/>
      <c r="N876" s="50"/>
      <c r="O876" s="50"/>
      <c r="P876" s="50"/>
      <c r="Q876" s="50"/>
      <c r="R876" s="50"/>
      <c r="S876" s="50"/>
      <c r="T876" s="50"/>
      <c r="U876" s="50"/>
      <c r="V876" s="50"/>
      <c r="W876" s="50"/>
    </row>
    <row r="877">
      <c r="A877" s="50"/>
      <c r="B877" s="59"/>
      <c r="C877" s="50"/>
      <c r="D877" s="59"/>
      <c r="E877" s="50"/>
      <c r="F877" s="59"/>
      <c r="G877" s="50"/>
      <c r="H877" s="63"/>
      <c r="I877" s="50"/>
      <c r="J877" s="50"/>
      <c r="K877" s="50"/>
      <c r="L877" s="50"/>
      <c r="M877" s="50"/>
      <c r="N877" s="50"/>
      <c r="O877" s="50"/>
      <c r="P877" s="50"/>
      <c r="Q877" s="50"/>
      <c r="R877" s="50"/>
      <c r="S877" s="50"/>
      <c r="T877" s="50"/>
      <c r="U877" s="50"/>
      <c r="V877" s="50"/>
      <c r="W877" s="50"/>
    </row>
    <row r="878">
      <c r="A878" s="50"/>
      <c r="B878" s="59"/>
      <c r="C878" s="50"/>
      <c r="D878" s="59"/>
      <c r="E878" s="50"/>
      <c r="F878" s="59"/>
      <c r="G878" s="50"/>
      <c r="H878" s="63"/>
      <c r="I878" s="50"/>
      <c r="J878" s="50"/>
      <c r="K878" s="50"/>
      <c r="L878" s="50"/>
      <c r="M878" s="50"/>
      <c r="N878" s="50"/>
      <c r="O878" s="50"/>
      <c r="P878" s="50"/>
      <c r="Q878" s="50"/>
      <c r="R878" s="50"/>
      <c r="S878" s="50"/>
      <c r="T878" s="50"/>
      <c r="U878" s="50"/>
      <c r="V878" s="50"/>
      <c r="W878" s="50"/>
    </row>
    <row r="879">
      <c r="A879" s="50"/>
      <c r="B879" s="59"/>
      <c r="C879" s="50"/>
      <c r="D879" s="59"/>
      <c r="E879" s="50"/>
      <c r="F879" s="59"/>
      <c r="G879" s="50"/>
      <c r="H879" s="63"/>
      <c r="I879" s="50"/>
      <c r="J879" s="50"/>
      <c r="K879" s="50"/>
      <c r="L879" s="50"/>
      <c r="M879" s="50"/>
      <c r="N879" s="50"/>
      <c r="O879" s="50"/>
      <c r="P879" s="50"/>
      <c r="Q879" s="50"/>
      <c r="R879" s="50"/>
      <c r="S879" s="50"/>
      <c r="T879" s="50"/>
      <c r="U879" s="50"/>
      <c r="V879" s="50"/>
      <c r="W879" s="50"/>
    </row>
    <row r="880">
      <c r="A880" s="50"/>
      <c r="B880" s="59"/>
      <c r="C880" s="50"/>
      <c r="D880" s="59"/>
      <c r="E880" s="50"/>
      <c r="F880" s="59"/>
      <c r="G880" s="50"/>
      <c r="H880" s="63"/>
      <c r="I880" s="50"/>
      <c r="J880" s="50"/>
      <c r="K880" s="50"/>
      <c r="L880" s="50"/>
      <c r="M880" s="50"/>
      <c r="N880" s="50"/>
      <c r="O880" s="50"/>
      <c r="P880" s="50"/>
      <c r="Q880" s="50"/>
      <c r="R880" s="50"/>
      <c r="S880" s="50"/>
      <c r="T880" s="50"/>
      <c r="U880" s="50"/>
      <c r="V880" s="50"/>
      <c r="W880" s="50"/>
    </row>
    <row r="881">
      <c r="A881" s="50"/>
      <c r="B881" s="59"/>
      <c r="C881" s="50"/>
      <c r="D881" s="59"/>
      <c r="E881" s="50"/>
      <c r="F881" s="59"/>
      <c r="G881" s="50"/>
      <c r="H881" s="63"/>
      <c r="I881" s="50"/>
      <c r="J881" s="50"/>
      <c r="K881" s="50"/>
      <c r="L881" s="50"/>
      <c r="M881" s="50"/>
      <c r="N881" s="50"/>
      <c r="O881" s="50"/>
      <c r="P881" s="50"/>
      <c r="Q881" s="50"/>
      <c r="R881" s="50"/>
      <c r="S881" s="50"/>
      <c r="T881" s="50"/>
      <c r="U881" s="50"/>
      <c r="V881" s="50"/>
      <c r="W881" s="50"/>
    </row>
    <row r="882">
      <c r="A882" s="50"/>
      <c r="B882" s="59"/>
      <c r="C882" s="50"/>
      <c r="D882" s="59"/>
      <c r="E882" s="50"/>
      <c r="F882" s="59"/>
      <c r="G882" s="50"/>
      <c r="H882" s="63"/>
      <c r="I882" s="50"/>
      <c r="J882" s="50"/>
      <c r="K882" s="50"/>
      <c r="L882" s="50"/>
      <c r="M882" s="50"/>
      <c r="N882" s="50"/>
      <c r="O882" s="50"/>
      <c r="P882" s="50"/>
      <c r="Q882" s="50"/>
      <c r="R882" s="50"/>
      <c r="S882" s="50"/>
      <c r="T882" s="50"/>
      <c r="U882" s="50"/>
      <c r="V882" s="50"/>
      <c r="W882" s="50"/>
    </row>
    <row r="883">
      <c r="A883" s="50"/>
      <c r="B883" s="59"/>
      <c r="C883" s="50"/>
      <c r="D883" s="59"/>
      <c r="E883" s="50"/>
      <c r="F883" s="59"/>
      <c r="G883" s="50"/>
      <c r="H883" s="63"/>
      <c r="I883" s="50"/>
      <c r="J883" s="50"/>
      <c r="K883" s="50"/>
      <c r="L883" s="50"/>
      <c r="M883" s="50"/>
      <c r="N883" s="50"/>
      <c r="O883" s="50"/>
      <c r="P883" s="50"/>
      <c r="Q883" s="50"/>
      <c r="R883" s="50"/>
      <c r="S883" s="50"/>
      <c r="T883" s="50"/>
      <c r="U883" s="50"/>
      <c r="V883" s="50"/>
      <c r="W883" s="50"/>
    </row>
    <row r="884">
      <c r="A884" s="50"/>
      <c r="B884" s="59"/>
      <c r="C884" s="50"/>
      <c r="D884" s="59"/>
      <c r="E884" s="50"/>
      <c r="F884" s="59"/>
      <c r="G884" s="50"/>
      <c r="H884" s="63"/>
      <c r="I884" s="50"/>
      <c r="J884" s="50"/>
      <c r="K884" s="50"/>
      <c r="L884" s="50"/>
      <c r="M884" s="50"/>
      <c r="N884" s="50"/>
      <c r="O884" s="50"/>
      <c r="P884" s="50"/>
      <c r="Q884" s="50"/>
      <c r="R884" s="50"/>
      <c r="S884" s="50"/>
      <c r="T884" s="50"/>
      <c r="U884" s="50"/>
      <c r="V884" s="50"/>
      <c r="W884" s="50"/>
    </row>
    <row r="885">
      <c r="A885" s="50"/>
      <c r="B885" s="59"/>
      <c r="C885" s="50"/>
      <c r="D885" s="59"/>
      <c r="E885" s="50"/>
      <c r="F885" s="59"/>
      <c r="G885" s="50"/>
      <c r="H885" s="63"/>
      <c r="I885" s="50"/>
      <c r="J885" s="50"/>
      <c r="K885" s="50"/>
      <c r="L885" s="50"/>
      <c r="M885" s="50"/>
      <c r="N885" s="50"/>
      <c r="O885" s="50"/>
      <c r="P885" s="50"/>
      <c r="Q885" s="50"/>
      <c r="R885" s="50"/>
      <c r="S885" s="50"/>
      <c r="T885" s="50"/>
      <c r="U885" s="50"/>
      <c r="V885" s="50"/>
      <c r="W885" s="50"/>
    </row>
    <row r="886">
      <c r="A886" s="50"/>
      <c r="B886" s="59"/>
      <c r="C886" s="50"/>
      <c r="D886" s="59"/>
      <c r="E886" s="50"/>
      <c r="F886" s="59"/>
      <c r="G886" s="50"/>
      <c r="H886" s="63"/>
      <c r="I886" s="50"/>
      <c r="J886" s="50"/>
      <c r="K886" s="50"/>
      <c r="L886" s="50"/>
      <c r="M886" s="50"/>
      <c r="N886" s="50"/>
      <c r="O886" s="50"/>
      <c r="P886" s="50"/>
      <c r="Q886" s="50"/>
      <c r="R886" s="50"/>
      <c r="S886" s="50"/>
      <c r="T886" s="50"/>
      <c r="U886" s="50"/>
      <c r="V886" s="50"/>
      <c r="W886" s="50"/>
    </row>
    <row r="887">
      <c r="A887" s="50"/>
      <c r="B887" s="59"/>
      <c r="C887" s="50"/>
      <c r="D887" s="59"/>
      <c r="E887" s="50"/>
      <c r="F887" s="59"/>
      <c r="G887" s="50"/>
      <c r="H887" s="63"/>
      <c r="I887" s="50"/>
      <c r="J887" s="50"/>
      <c r="K887" s="50"/>
      <c r="L887" s="50"/>
      <c r="M887" s="50"/>
      <c r="N887" s="50"/>
      <c r="O887" s="50"/>
      <c r="P887" s="50"/>
      <c r="Q887" s="50"/>
      <c r="R887" s="50"/>
      <c r="S887" s="50"/>
      <c r="T887" s="50"/>
      <c r="U887" s="50"/>
      <c r="V887" s="50"/>
      <c r="W887" s="50"/>
    </row>
    <row r="888">
      <c r="A888" s="50"/>
      <c r="B888" s="59"/>
      <c r="C888" s="50"/>
      <c r="D888" s="59"/>
      <c r="E888" s="50"/>
      <c r="F888" s="59"/>
      <c r="G888" s="50"/>
      <c r="H888" s="63"/>
      <c r="I888" s="50"/>
      <c r="J888" s="50"/>
      <c r="K888" s="50"/>
      <c r="L888" s="50"/>
      <c r="M888" s="50"/>
      <c r="N888" s="50"/>
      <c r="O888" s="50"/>
      <c r="P888" s="50"/>
      <c r="Q888" s="50"/>
      <c r="R888" s="50"/>
      <c r="S888" s="50"/>
      <c r="T888" s="50"/>
      <c r="U888" s="50"/>
      <c r="V888" s="50"/>
      <c r="W888" s="50"/>
    </row>
    <row r="889">
      <c r="A889" s="50"/>
      <c r="B889" s="59"/>
      <c r="C889" s="50"/>
      <c r="D889" s="59"/>
      <c r="E889" s="50"/>
      <c r="F889" s="59"/>
      <c r="G889" s="50"/>
      <c r="H889" s="63"/>
      <c r="I889" s="50"/>
      <c r="J889" s="50"/>
      <c r="K889" s="50"/>
      <c r="L889" s="50"/>
      <c r="M889" s="50"/>
      <c r="N889" s="50"/>
      <c r="O889" s="50"/>
      <c r="P889" s="50"/>
      <c r="Q889" s="50"/>
      <c r="R889" s="50"/>
      <c r="S889" s="50"/>
      <c r="T889" s="50"/>
      <c r="U889" s="50"/>
      <c r="V889" s="50"/>
      <c r="W889" s="50"/>
    </row>
    <row r="890">
      <c r="A890" s="50"/>
      <c r="B890" s="59"/>
      <c r="C890" s="50"/>
      <c r="D890" s="59"/>
      <c r="E890" s="50"/>
      <c r="F890" s="59"/>
      <c r="G890" s="50"/>
      <c r="H890" s="63"/>
      <c r="I890" s="50"/>
      <c r="J890" s="50"/>
      <c r="K890" s="50"/>
      <c r="L890" s="50"/>
      <c r="M890" s="50"/>
      <c r="N890" s="50"/>
      <c r="O890" s="50"/>
      <c r="P890" s="50"/>
      <c r="Q890" s="50"/>
      <c r="R890" s="50"/>
      <c r="S890" s="50"/>
      <c r="T890" s="50"/>
      <c r="U890" s="50"/>
      <c r="V890" s="50"/>
      <c r="W890" s="50"/>
    </row>
    <row r="891">
      <c r="A891" s="50"/>
      <c r="B891" s="59"/>
      <c r="C891" s="50"/>
      <c r="D891" s="59"/>
      <c r="E891" s="50"/>
      <c r="F891" s="59"/>
      <c r="G891" s="50"/>
      <c r="H891" s="63"/>
      <c r="I891" s="50"/>
      <c r="J891" s="50"/>
      <c r="K891" s="50"/>
      <c r="L891" s="50"/>
      <c r="M891" s="50"/>
      <c r="N891" s="50"/>
      <c r="O891" s="50"/>
      <c r="P891" s="50"/>
      <c r="Q891" s="50"/>
      <c r="R891" s="50"/>
      <c r="S891" s="50"/>
      <c r="T891" s="50"/>
      <c r="U891" s="50"/>
      <c r="V891" s="50"/>
      <c r="W891" s="50"/>
    </row>
    <row r="892">
      <c r="A892" s="50"/>
      <c r="B892" s="59"/>
      <c r="C892" s="50"/>
      <c r="D892" s="59"/>
      <c r="E892" s="50"/>
      <c r="F892" s="59"/>
      <c r="G892" s="50"/>
      <c r="H892" s="63"/>
      <c r="I892" s="50"/>
      <c r="J892" s="50"/>
      <c r="K892" s="50"/>
      <c r="L892" s="50"/>
      <c r="M892" s="50"/>
      <c r="N892" s="50"/>
      <c r="O892" s="50"/>
      <c r="P892" s="50"/>
      <c r="Q892" s="50"/>
      <c r="R892" s="50"/>
      <c r="S892" s="50"/>
      <c r="T892" s="50"/>
      <c r="U892" s="50"/>
      <c r="V892" s="50"/>
      <c r="W892" s="50"/>
    </row>
    <row r="893">
      <c r="A893" s="50"/>
      <c r="B893" s="59"/>
      <c r="C893" s="50"/>
      <c r="D893" s="59"/>
      <c r="E893" s="50"/>
      <c r="F893" s="59"/>
      <c r="G893" s="50"/>
      <c r="H893" s="63"/>
      <c r="I893" s="50"/>
      <c r="J893" s="50"/>
      <c r="K893" s="50"/>
      <c r="L893" s="50"/>
      <c r="M893" s="50"/>
      <c r="N893" s="50"/>
      <c r="O893" s="50"/>
      <c r="P893" s="50"/>
      <c r="Q893" s="50"/>
      <c r="R893" s="50"/>
      <c r="S893" s="50"/>
      <c r="T893" s="50"/>
      <c r="U893" s="50"/>
      <c r="V893" s="50"/>
      <c r="W893" s="50"/>
    </row>
    <row r="894">
      <c r="A894" s="50"/>
      <c r="B894" s="59"/>
      <c r="C894" s="50"/>
      <c r="D894" s="59"/>
      <c r="E894" s="50"/>
      <c r="F894" s="59"/>
      <c r="G894" s="50"/>
      <c r="H894" s="63"/>
      <c r="I894" s="50"/>
      <c r="J894" s="50"/>
      <c r="K894" s="50"/>
      <c r="L894" s="50"/>
      <c r="M894" s="50"/>
      <c r="N894" s="50"/>
      <c r="O894" s="50"/>
      <c r="P894" s="50"/>
      <c r="Q894" s="50"/>
      <c r="R894" s="50"/>
      <c r="S894" s="50"/>
      <c r="T894" s="50"/>
      <c r="U894" s="50"/>
      <c r="V894" s="50"/>
      <c r="W894" s="50"/>
    </row>
    <row r="895">
      <c r="A895" s="50"/>
      <c r="B895" s="59"/>
      <c r="C895" s="50"/>
      <c r="D895" s="59"/>
      <c r="E895" s="50"/>
      <c r="F895" s="59"/>
      <c r="G895" s="50"/>
      <c r="H895" s="63"/>
      <c r="I895" s="50"/>
      <c r="J895" s="50"/>
      <c r="K895" s="50"/>
      <c r="L895" s="50"/>
      <c r="M895" s="50"/>
      <c r="N895" s="50"/>
      <c r="O895" s="50"/>
      <c r="P895" s="50"/>
      <c r="Q895" s="50"/>
      <c r="R895" s="50"/>
      <c r="S895" s="50"/>
      <c r="T895" s="50"/>
      <c r="U895" s="50"/>
      <c r="V895" s="50"/>
      <c r="W895" s="50"/>
    </row>
    <row r="896">
      <c r="A896" s="50"/>
      <c r="B896" s="59"/>
      <c r="C896" s="50"/>
      <c r="D896" s="59"/>
      <c r="E896" s="50"/>
      <c r="F896" s="59"/>
      <c r="G896" s="50"/>
      <c r="H896" s="63"/>
      <c r="I896" s="50"/>
      <c r="J896" s="50"/>
      <c r="K896" s="50"/>
      <c r="L896" s="50"/>
      <c r="M896" s="50"/>
      <c r="N896" s="50"/>
      <c r="O896" s="50"/>
      <c r="P896" s="50"/>
      <c r="Q896" s="50"/>
      <c r="R896" s="50"/>
      <c r="S896" s="50"/>
      <c r="T896" s="50"/>
      <c r="U896" s="50"/>
      <c r="V896" s="50"/>
      <c r="W896" s="50"/>
    </row>
    <row r="897">
      <c r="A897" s="50"/>
      <c r="B897" s="59"/>
      <c r="C897" s="50"/>
      <c r="D897" s="59"/>
      <c r="E897" s="50"/>
      <c r="F897" s="59"/>
      <c r="G897" s="50"/>
      <c r="H897" s="63"/>
      <c r="I897" s="50"/>
      <c r="J897" s="50"/>
      <c r="K897" s="50"/>
      <c r="L897" s="50"/>
      <c r="M897" s="50"/>
      <c r="N897" s="50"/>
      <c r="O897" s="50"/>
      <c r="P897" s="50"/>
      <c r="Q897" s="50"/>
      <c r="R897" s="50"/>
      <c r="S897" s="50"/>
      <c r="T897" s="50"/>
      <c r="U897" s="50"/>
      <c r="V897" s="50"/>
      <c r="W897" s="50"/>
    </row>
    <row r="898">
      <c r="A898" s="50"/>
      <c r="B898" s="59"/>
      <c r="C898" s="50"/>
      <c r="D898" s="59"/>
      <c r="E898" s="50"/>
      <c r="F898" s="59"/>
      <c r="G898" s="50"/>
      <c r="H898" s="63"/>
      <c r="I898" s="50"/>
      <c r="J898" s="50"/>
      <c r="K898" s="50"/>
      <c r="L898" s="50"/>
      <c r="M898" s="50"/>
      <c r="N898" s="50"/>
      <c r="O898" s="50"/>
      <c r="P898" s="50"/>
      <c r="Q898" s="50"/>
      <c r="R898" s="50"/>
      <c r="S898" s="50"/>
      <c r="T898" s="50"/>
      <c r="U898" s="50"/>
      <c r="V898" s="50"/>
      <c r="W898" s="50"/>
    </row>
    <row r="899">
      <c r="A899" s="50"/>
      <c r="B899" s="59"/>
      <c r="C899" s="50"/>
      <c r="D899" s="59"/>
      <c r="E899" s="50"/>
      <c r="F899" s="59"/>
      <c r="G899" s="50"/>
      <c r="H899" s="63"/>
      <c r="I899" s="50"/>
      <c r="J899" s="50"/>
      <c r="K899" s="50"/>
      <c r="L899" s="50"/>
      <c r="M899" s="50"/>
      <c r="N899" s="50"/>
      <c r="O899" s="50"/>
      <c r="P899" s="50"/>
      <c r="Q899" s="50"/>
      <c r="R899" s="50"/>
      <c r="S899" s="50"/>
      <c r="T899" s="50"/>
      <c r="U899" s="50"/>
      <c r="V899" s="50"/>
      <c r="W899" s="50"/>
    </row>
    <row r="900">
      <c r="A900" s="50"/>
      <c r="B900" s="59"/>
      <c r="C900" s="50"/>
      <c r="D900" s="59"/>
      <c r="E900" s="50"/>
      <c r="F900" s="59"/>
      <c r="G900" s="50"/>
      <c r="H900" s="63"/>
      <c r="I900" s="50"/>
      <c r="J900" s="50"/>
      <c r="K900" s="50"/>
      <c r="L900" s="50"/>
      <c r="M900" s="50"/>
      <c r="N900" s="50"/>
      <c r="O900" s="50"/>
      <c r="P900" s="50"/>
      <c r="Q900" s="50"/>
      <c r="R900" s="50"/>
      <c r="S900" s="50"/>
      <c r="T900" s="50"/>
      <c r="U900" s="50"/>
      <c r="V900" s="50"/>
      <c r="W900" s="50"/>
    </row>
    <row r="901">
      <c r="A901" s="50"/>
      <c r="B901" s="59"/>
      <c r="C901" s="50"/>
      <c r="D901" s="59"/>
      <c r="E901" s="50"/>
      <c r="F901" s="59"/>
      <c r="G901" s="50"/>
      <c r="H901" s="63"/>
      <c r="I901" s="50"/>
      <c r="J901" s="50"/>
      <c r="K901" s="50"/>
      <c r="L901" s="50"/>
      <c r="M901" s="50"/>
      <c r="N901" s="50"/>
      <c r="O901" s="50"/>
      <c r="P901" s="50"/>
      <c r="Q901" s="50"/>
      <c r="R901" s="50"/>
      <c r="S901" s="50"/>
      <c r="T901" s="50"/>
      <c r="U901" s="50"/>
      <c r="V901" s="50"/>
      <c r="W901" s="50"/>
    </row>
    <row r="902">
      <c r="A902" s="50"/>
      <c r="B902" s="59"/>
      <c r="C902" s="50"/>
      <c r="D902" s="59"/>
      <c r="E902" s="50"/>
      <c r="F902" s="59"/>
      <c r="G902" s="50"/>
      <c r="H902" s="63"/>
      <c r="I902" s="50"/>
      <c r="J902" s="50"/>
      <c r="K902" s="50"/>
      <c r="L902" s="50"/>
      <c r="M902" s="50"/>
      <c r="N902" s="50"/>
      <c r="O902" s="50"/>
      <c r="P902" s="50"/>
      <c r="Q902" s="50"/>
      <c r="R902" s="50"/>
      <c r="S902" s="50"/>
      <c r="T902" s="50"/>
      <c r="U902" s="50"/>
      <c r="V902" s="50"/>
      <c r="W902" s="50"/>
    </row>
    <row r="903">
      <c r="A903" s="50"/>
      <c r="B903" s="59"/>
      <c r="C903" s="50"/>
      <c r="D903" s="59"/>
      <c r="E903" s="50"/>
      <c r="F903" s="59"/>
      <c r="G903" s="50"/>
      <c r="H903" s="63"/>
      <c r="I903" s="50"/>
      <c r="J903" s="50"/>
      <c r="K903" s="50"/>
      <c r="L903" s="50"/>
      <c r="M903" s="50"/>
      <c r="N903" s="50"/>
      <c r="O903" s="50"/>
      <c r="P903" s="50"/>
      <c r="Q903" s="50"/>
      <c r="R903" s="50"/>
      <c r="S903" s="50"/>
      <c r="T903" s="50"/>
      <c r="U903" s="50"/>
      <c r="V903" s="50"/>
      <c r="W903" s="50"/>
    </row>
    <row r="904">
      <c r="A904" s="50"/>
      <c r="B904" s="59"/>
      <c r="C904" s="50"/>
      <c r="D904" s="59"/>
      <c r="E904" s="50"/>
      <c r="F904" s="59"/>
      <c r="G904" s="50"/>
      <c r="H904" s="63"/>
      <c r="I904" s="50"/>
      <c r="J904" s="50"/>
      <c r="K904" s="50"/>
      <c r="L904" s="50"/>
      <c r="M904" s="50"/>
      <c r="N904" s="50"/>
      <c r="O904" s="50"/>
      <c r="P904" s="50"/>
      <c r="Q904" s="50"/>
      <c r="R904" s="50"/>
      <c r="S904" s="50"/>
      <c r="T904" s="50"/>
      <c r="U904" s="50"/>
      <c r="V904" s="50"/>
      <c r="W904" s="50"/>
    </row>
    <row r="905">
      <c r="A905" s="50"/>
      <c r="B905" s="59"/>
      <c r="C905" s="50"/>
      <c r="D905" s="59"/>
      <c r="E905" s="50"/>
      <c r="F905" s="59"/>
      <c r="G905" s="50"/>
      <c r="H905" s="63"/>
      <c r="I905" s="50"/>
      <c r="J905" s="50"/>
      <c r="K905" s="50"/>
      <c r="L905" s="50"/>
      <c r="M905" s="50"/>
      <c r="N905" s="50"/>
      <c r="O905" s="50"/>
      <c r="P905" s="50"/>
      <c r="Q905" s="50"/>
      <c r="R905" s="50"/>
      <c r="S905" s="50"/>
      <c r="T905" s="50"/>
      <c r="U905" s="50"/>
      <c r="V905" s="50"/>
      <c r="W905" s="50"/>
    </row>
    <row r="906">
      <c r="A906" s="50"/>
      <c r="B906" s="59"/>
      <c r="C906" s="50"/>
      <c r="D906" s="59"/>
      <c r="E906" s="50"/>
      <c r="F906" s="59"/>
      <c r="G906" s="50"/>
      <c r="H906" s="63"/>
      <c r="I906" s="50"/>
      <c r="J906" s="50"/>
      <c r="K906" s="50"/>
      <c r="L906" s="50"/>
      <c r="M906" s="50"/>
      <c r="N906" s="50"/>
      <c r="O906" s="50"/>
      <c r="P906" s="50"/>
      <c r="Q906" s="50"/>
      <c r="R906" s="50"/>
      <c r="S906" s="50"/>
      <c r="T906" s="50"/>
      <c r="U906" s="50"/>
      <c r="V906" s="50"/>
      <c r="W906" s="50"/>
    </row>
    <row r="907">
      <c r="A907" s="50"/>
      <c r="B907" s="59"/>
      <c r="C907" s="50"/>
      <c r="D907" s="59"/>
      <c r="E907" s="50"/>
      <c r="F907" s="59"/>
      <c r="G907" s="50"/>
      <c r="H907" s="63"/>
      <c r="I907" s="50"/>
      <c r="J907" s="50"/>
      <c r="K907" s="50"/>
      <c r="L907" s="50"/>
      <c r="M907" s="50"/>
      <c r="N907" s="50"/>
      <c r="O907" s="50"/>
      <c r="P907" s="50"/>
      <c r="Q907" s="50"/>
      <c r="R907" s="50"/>
      <c r="S907" s="50"/>
      <c r="T907" s="50"/>
      <c r="U907" s="50"/>
      <c r="V907" s="50"/>
      <c r="W907" s="50"/>
    </row>
    <row r="908">
      <c r="A908" s="50"/>
      <c r="B908" s="59"/>
      <c r="C908" s="50"/>
      <c r="D908" s="59"/>
      <c r="E908" s="50"/>
      <c r="F908" s="59"/>
      <c r="G908" s="50"/>
      <c r="H908" s="63"/>
      <c r="I908" s="50"/>
      <c r="J908" s="50"/>
      <c r="K908" s="50"/>
      <c r="L908" s="50"/>
      <c r="M908" s="50"/>
      <c r="N908" s="50"/>
      <c r="O908" s="50"/>
      <c r="P908" s="50"/>
      <c r="Q908" s="50"/>
      <c r="R908" s="50"/>
      <c r="S908" s="50"/>
      <c r="T908" s="50"/>
      <c r="U908" s="50"/>
      <c r="V908" s="50"/>
      <c r="W908" s="50"/>
    </row>
    <row r="909">
      <c r="A909" s="50"/>
      <c r="B909" s="59"/>
      <c r="C909" s="50"/>
      <c r="D909" s="59"/>
      <c r="E909" s="50"/>
      <c r="F909" s="59"/>
      <c r="G909" s="50"/>
      <c r="H909" s="63"/>
      <c r="I909" s="50"/>
      <c r="J909" s="50"/>
      <c r="K909" s="50"/>
      <c r="L909" s="50"/>
      <c r="M909" s="50"/>
      <c r="N909" s="50"/>
      <c r="O909" s="50"/>
      <c r="P909" s="50"/>
      <c r="Q909" s="50"/>
      <c r="R909" s="50"/>
      <c r="S909" s="50"/>
      <c r="T909" s="50"/>
      <c r="U909" s="50"/>
      <c r="V909" s="50"/>
      <c r="W909" s="50"/>
    </row>
    <row r="910">
      <c r="A910" s="50"/>
      <c r="B910" s="59"/>
      <c r="C910" s="50"/>
      <c r="D910" s="59"/>
      <c r="E910" s="50"/>
      <c r="F910" s="59"/>
      <c r="G910" s="50"/>
      <c r="H910" s="63"/>
      <c r="I910" s="50"/>
      <c r="J910" s="50"/>
      <c r="K910" s="50"/>
      <c r="L910" s="50"/>
      <c r="M910" s="50"/>
      <c r="N910" s="50"/>
      <c r="O910" s="50"/>
      <c r="P910" s="50"/>
      <c r="Q910" s="50"/>
      <c r="R910" s="50"/>
      <c r="S910" s="50"/>
      <c r="T910" s="50"/>
      <c r="U910" s="50"/>
      <c r="V910" s="50"/>
      <c r="W910" s="50"/>
    </row>
    <row r="911">
      <c r="A911" s="50"/>
      <c r="B911" s="59"/>
      <c r="C911" s="50"/>
      <c r="D911" s="59"/>
      <c r="E911" s="50"/>
      <c r="F911" s="59"/>
      <c r="G911" s="50"/>
      <c r="H911" s="63"/>
      <c r="I911" s="50"/>
      <c r="J911" s="50"/>
      <c r="K911" s="50"/>
      <c r="L911" s="50"/>
      <c r="M911" s="50"/>
      <c r="N911" s="50"/>
      <c r="O911" s="50"/>
      <c r="P911" s="50"/>
      <c r="Q911" s="50"/>
      <c r="R911" s="50"/>
      <c r="S911" s="50"/>
      <c r="T911" s="50"/>
      <c r="U911" s="50"/>
      <c r="V911" s="50"/>
      <c r="W911" s="50"/>
    </row>
    <row r="912">
      <c r="A912" s="50"/>
      <c r="B912" s="59"/>
      <c r="C912" s="50"/>
      <c r="D912" s="59"/>
      <c r="E912" s="50"/>
      <c r="F912" s="59"/>
      <c r="G912" s="50"/>
      <c r="H912" s="63"/>
      <c r="I912" s="50"/>
      <c r="J912" s="50"/>
      <c r="K912" s="50"/>
      <c r="L912" s="50"/>
      <c r="M912" s="50"/>
      <c r="N912" s="50"/>
      <c r="O912" s="50"/>
      <c r="P912" s="50"/>
      <c r="Q912" s="50"/>
      <c r="R912" s="50"/>
      <c r="S912" s="50"/>
      <c r="T912" s="50"/>
      <c r="U912" s="50"/>
      <c r="V912" s="50"/>
      <c r="W912" s="50"/>
    </row>
    <row r="913">
      <c r="A913" s="50"/>
      <c r="B913" s="59"/>
      <c r="C913" s="50"/>
      <c r="D913" s="59"/>
      <c r="E913" s="50"/>
      <c r="F913" s="59"/>
      <c r="G913" s="50"/>
      <c r="H913" s="63"/>
      <c r="I913" s="50"/>
      <c r="J913" s="50"/>
      <c r="K913" s="50"/>
      <c r="L913" s="50"/>
      <c r="M913" s="50"/>
      <c r="N913" s="50"/>
      <c r="O913" s="50"/>
      <c r="P913" s="50"/>
      <c r="Q913" s="50"/>
      <c r="R913" s="50"/>
      <c r="S913" s="50"/>
      <c r="T913" s="50"/>
      <c r="U913" s="50"/>
      <c r="V913" s="50"/>
      <c r="W913" s="50"/>
    </row>
    <row r="914">
      <c r="A914" s="50"/>
      <c r="B914" s="59"/>
      <c r="C914" s="50"/>
      <c r="D914" s="59"/>
      <c r="E914" s="50"/>
      <c r="F914" s="59"/>
      <c r="G914" s="50"/>
      <c r="H914" s="63"/>
      <c r="I914" s="50"/>
      <c r="J914" s="50"/>
      <c r="K914" s="50"/>
      <c r="L914" s="50"/>
      <c r="M914" s="50"/>
      <c r="N914" s="50"/>
      <c r="O914" s="50"/>
      <c r="P914" s="50"/>
      <c r="Q914" s="50"/>
      <c r="R914" s="50"/>
      <c r="S914" s="50"/>
      <c r="T914" s="50"/>
      <c r="U914" s="50"/>
      <c r="V914" s="50"/>
      <c r="W914" s="50"/>
    </row>
    <row r="915">
      <c r="A915" s="50"/>
      <c r="B915" s="59"/>
      <c r="C915" s="50"/>
      <c r="D915" s="59"/>
      <c r="E915" s="50"/>
      <c r="F915" s="59"/>
      <c r="G915" s="50"/>
      <c r="H915" s="63"/>
      <c r="I915" s="50"/>
      <c r="J915" s="50"/>
      <c r="K915" s="50"/>
      <c r="L915" s="50"/>
      <c r="M915" s="50"/>
      <c r="N915" s="50"/>
      <c r="O915" s="50"/>
      <c r="P915" s="50"/>
      <c r="Q915" s="50"/>
      <c r="R915" s="50"/>
      <c r="S915" s="50"/>
      <c r="T915" s="50"/>
      <c r="U915" s="50"/>
      <c r="V915" s="50"/>
      <c r="W915" s="50"/>
    </row>
    <row r="916">
      <c r="A916" s="50"/>
      <c r="B916" s="59"/>
      <c r="C916" s="50"/>
      <c r="D916" s="59"/>
      <c r="E916" s="50"/>
      <c r="F916" s="59"/>
      <c r="G916" s="50"/>
      <c r="H916" s="63"/>
      <c r="I916" s="50"/>
      <c r="J916" s="50"/>
      <c r="K916" s="50"/>
      <c r="L916" s="50"/>
      <c r="M916" s="50"/>
      <c r="N916" s="50"/>
      <c r="O916" s="50"/>
      <c r="P916" s="50"/>
      <c r="Q916" s="50"/>
      <c r="R916" s="50"/>
      <c r="S916" s="50"/>
      <c r="T916" s="50"/>
      <c r="U916" s="50"/>
      <c r="V916" s="50"/>
      <c r="W916" s="50"/>
    </row>
    <row r="917">
      <c r="A917" s="50"/>
      <c r="B917" s="59"/>
      <c r="C917" s="50"/>
      <c r="D917" s="59"/>
      <c r="E917" s="50"/>
      <c r="F917" s="59"/>
      <c r="G917" s="50"/>
      <c r="H917" s="63"/>
      <c r="I917" s="50"/>
      <c r="J917" s="50"/>
      <c r="K917" s="50"/>
      <c r="L917" s="50"/>
      <c r="M917" s="50"/>
      <c r="N917" s="50"/>
      <c r="O917" s="50"/>
      <c r="P917" s="50"/>
      <c r="Q917" s="50"/>
      <c r="R917" s="50"/>
      <c r="S917" s="50"/>
      <c r="T917" s="50"/>
      <c r="U917" s="50"/>
      <c r="V917" s="50"/>
      <c r="W917" s="50"/>
    </row>
    <row r="918">
      <c r="A918" s="50"/>
      <c r="B918" s="59"/>
      <c r="C918" s="50"/>
      <c r="D918" s="59"/>
      <c r="E918" s="50"/>
      <c r="F918" s="59"/>
      <c r="G918" s="50"/>
      <c r="H918" s="63"/>
      <c r="I918" s="50"/>
      <c r="J918" s="50"/>
      <c r="K918" s="50"/>
      <c r="L918" s="50"/>
      <c r="M918" s="50"/>
      <c r="N918" s="50"/>
      <c r="O918" s="50"/>
      <c r="P918" s="50"/>
      <c r="Q918" s="50"/>
      <c r="R918" s="50"/>
      <c r="S918" s="50"/>
      <c r="T918" s="50"/>
      <c r="U918" s="50"/>
      <c r="V918" s="50"/>
      <c r="W918" s="50"/>
    </row>
    <row r="919">
      <c r="A919" s="50"/>
      <c r="B919" s="59"/>
      <c r="C919" s="50"/>
      <c r="D919" s="59"/>
      <c r="E919" s="50"/>
      <c r="F919" s="59"/>
      <c r="G919" s="50"/>
      <c r="H919" s="63"/>
      <c r="I919" s="50"/>
      <c r="J919" s="50"/>
      <c r="K919" s="50"/>
      <c r="L919" s="50"/>
      <c r="M919" s="50"/>
      <c r="N919" s="50"/>
      <c r="O919" s="50"/>
      <c r="P919" s="50"/>
      <c r="Q919" s="50"/>
      <c r="R919" s="50"/>
      <c r="S919" s="50"/>
      <c r="T919" s="50"/>
      <c r="U919" s="50"/>
      <c r="V919" s="50"/>
      <c r="W919" s="50"/>
    </row>
    <row r="920">
      <c r="A920" s="50"/>
      <c r="B920" s="59"/>
      <c r="C920" s="50"/>
      <c r="D920" s="59"/>
      <c r="E920" s="50"/>
      <c r="F920" s="59"/>
      <c r="G920" s="50"/>
      <c r="H920" s="63"/>
      <c r="I920" s="50"/>
      <c r="J920" s="50"/>
      <c r="K920" s="50"/>
      <c r="L920" s="50"/>
      <c r="M920" s="50"/>
      <c r="N920" s="50"/>
      <c r="O920" s="50"/>
      <c r="P920" s="50"/>
      <c r="Q920" s="50"/>
      <c r="R920" s="50"/>
      <c r="S920" s="50"/>
      <c r="T920" s="50"/>
      <c r="U920" s="50"/>
      <c r="V920" s="50"/>
      <c r="W920" s="50"/>
    </row>
    <row r="921">
      <c r="A921" s="50"/>
      <c r="B921" s="59"/>
      <c r="C921" s="50"/>
      <c r="D921" s="59"/>
      <c r="E921" s="50"/>
      <c r="F921" s="59"/>
      <c r="G921" s="50"/>
      <c r="H921" s="63"/>
      <c r="I921" s="50"/>
      <c r="J921" s="50"/>
      <c r="K921" s="50"/>
      <c r="L921" s="50"/>
      <c r="M921" s="50"/>
      <c r="N921" s="50"/>
      <c r="O921" s="50"/>
      <c r="P921" s="50"/>
      <c r="Q921" s="50"/>
      <c r="R921" s="50"/>
      <c r="S921" s="50"/>
      <c r="T921" s="50"/>
      <c r="U921" s="50"/>
      <c r="V921" s="50"/>
      <c r="W921" s="50"/>
    </row>
    <row r="922">
      <c r="A922" s="50"/>
      <c r="B922" s="59"/>
      <c r="C922" s="50"/>
      <c r="D922" s="59"/>
      <c r="E922" s="50"/>
      <c r="F922" s="59"/>
      <c r="G922" s="50"/>
      <c r="H922" s="63"/>
      <c r="I922" s="50"/>
      <c r="J922" s="50"/>
      <c r="K922" s="50"/>
      <c r="L922" s="50"/>
      <c r="M922" s="50"/>
      <c r="N922" s="50"/>
      <c r="O922" s="50"/>
      <c r="P922" s="50"/>
      <c r="Q922" s="50"/>
      <c r="R922" s="50"/>
      <c r="S922" s="50"/>
      <c r="T922" s="50"/>
      <c r="U922" s="50"/>
      <c r="V922" s="50"/>
      <c r="W922" s="50"/>
    </row>
    <row r="923">
      <c r="A923" s="50"/>
      <c r="B923" s="59"/>
      <c r="C923" s="50"/>
      <c r="D923" s="59"/>
      <c r="E923" s="50"/>
      <c r="F923" s="59"/>
      <c r="G923" s="50"/>
      <c r="H923" s="63"/>
      <c r="I923" s="50"/>
      <c r="J923" s="50"/>
      <c r="K923" s="50"/>
      <c r="L923" s="50"/>
      <c r="M923" s="50"/>
      <c r="N923" s="50"/>
      <c r="O923" s="50"/>
      <c r="P923" s="50"/>
      <c r="Q923" s="50"/>
      <c r="R923" s="50"/>
      <c r="S923" s="50"/>
      <c r="T923" s="50"/>
      <c r="U923" s="50"/>
      <c r="V923" s="50"/>
      <c r="W923" s="50"/>
    </row>
    <row r="924">
      <c r="A924" s="50"/>
      <c r="B924" s="59"/>
      <c r="C924" s="50"/>
      <c r="D924" s="59"/>
      <c r="E924" s="50"/>
      <c r="F924" s="59"/>
      <c r="G924" s="50"/>
      <c r="H924" s="63"/>
      <c r="I924" s="50"/>
      <c r="J924" s="50"/>
      <c r="K924" s="50"/>
      <c r="L924" s="50"/>
      <c r="M924" s="50"/>
      <c r="N924" s="50"/>
      <c r="O924" s="50"/>
      <c r="P924" s="50"/>
      <c r="Q924" s="50"/>
      <c r="R924" s="50"/>
      <c r="S924" s="50"/>
      <c r="T924" s="50"/>
      <c r="U924" s="50"/>
      <c r="V924" s="50"/>
      <c r="W924" s="50"/>
    </row>
    <row r="925">
      <c r="A925" s="50"/>
      <c r="B925" s="59"/>
      <c r="C925" s="50"/>
      <c r="D925" s="59"/>
      <c r="E925" s="50"/>
      <c r="F925" s="59"/>
      <c r="G925" s="50"/>
      <c r="H925" s="63"/>
      <c r="I925" s="50"/>
      <c r="J925" s="50"/>
      <c r="K925" s="50"/>
      <c r="L925" s="50"/>
      <c r="M925" s="50"/>
      <c r="N925" s="50"/>
      <c r="O925" s="50"/>
      <c r="P925" s="50"/>
      <c r="Q925" s="50"/>
      <c r="R925" s="50"/>
      <c r="S925" s="50"/>
      <c r="T925" s="50"/>
      <c r="U925" s="50"/>
      <c r="V925" s="50"/>
      <c r="W925" s="50"/>
    </row>
    <row r="926">
      <c r="A926" s="50"/>
      <c r="B926" s="59"/>
      <c r="C926" s="50"/>
      <c r="D926" s="59"/>
      <c r="E926" s="50"/>
      <c r="F926" s="59"/>
      <c r="G926" s="50"/>
      <c r="H926" s="63"/>
      <c r="I926" s="50"/>
      <c r="J926" s="50"/>
      <c r="K926" s="50"/>
      <c r="L926" s="50"/>
      <c r="M926" s="50"/>
      <c r="N926" s="50"/>
      <c r="O926" s="50"/>
      <c r="P926" s="50"/>
      <c r="Q926" s="50"/>
      <c r="R926" s="50"/>
      <c r="S926" s="50"/>
      <c r="T926" s="50"/>
      <c r="U926" s="50"/>
      <c r="V926" s="50"/>
      <c r="W926" s="50"/>
    </row>
    <row r="927">
      <c r="A927" s="50"/>
      <c r="B927" s="59"/>
      <c r="C927" s="50"/>
      <c r="D927" s="59"/>
      <c r="E927" s="50"/>
      <c r="F927" s="59"/>
      <c r="G927" s="50"/>
      <c r="H927" s="63"/>
      <c r="I927" s="50"/>
      <c r="J927" s="50"/>
      <c r="K927" s="50"/>
      <c r="L927" s="50"/>
      <c r="M927" s="50"/>
      <c r="N927" s="50"/>
      <c r="O927" s="50"/>
      <c r="P927" s="50"/>
      <c r="Q927" s="50"/>
      <c r="R927" s="50"/>
      <c r="S927" s="50"/>
      <c r="T927" s="50"/>
      <c r="U927" s="50"/>
      <c r="V927" s="50"/>
      <c r="W927" s="50"/>
    </row>
    <row r="928">
      <c r="A928" s="50"/>
      <c r="B928" s="59"/>
      <c r="C928" s="50"/>
      <c r="D928" s="59"/>
      <c r="E928" s="50"/>
      <c r="F928" s="59"/>
      <c r="G928" s="50"/>
      <c r="H928" s="63"/>
      <c r="I928" s="50"/>
      <c r="J928" s="50"/>
      <c r="K928" s="50"/>
      <c r="L928" s="50"/>
      <c r="M928" s="50"/>
      <c r="N928" s="50"/>
      <c r="O928" s="50"/>
      <c r="P928" s="50"/>
      <c r="Q928" s="50"/>
      <c r="R928" s="50"/>
      <c r="S928" s="50"/>
      <c r="T928" s="50"/>
      <c r="U928" s="50"/>
      <c r="V928" s="50"/>
      <c r="W928" s="50"/>
    </row>
    <row r="929">
      <c r="A929" s="50"/>
      <c r="B929" s="59"/>
      <c r="C929" s="50"/>
      <c r="D929" s="59"/>
      <c r="E929" s="50"/>
      <c r="F929" s="59"/>
      <c r="G929" s="50"/>
      <c r="H929" s="63"/>
      <c r="I929" s="50"/>
      <c r="J929" s="50"/>
      <c r="K929" s="50"/>
      <c r="L929" s="50"/>
      <c r="M929" s="50"/>
      <c r="N929" s="50"/>
      <c r="O929" s="50"/>
      <c r="P929" s="50"/>
      <c r="Q929" s="50"/>
      <c r="R929" s="50"/>
      <c r="S929" s="50"/>
      <c r="T929" s="50"/>
      <c r="U929" s="50"/>
      <c r="V929" s="50"/>
      <c r="W929" s="50"/>
    </row>
    <row r="930">
      <c r="A930" s="50"/>
      <c r="B930" s="59"/>
      <c r="C930" s="50"/>
      <c r="D930" s="59"/>
      <c r="E930" s="50"/>
      <c r="F930" s="59"/>
      <c r="G930" s="50"/>
      <c r="H930" s="63"/>
      <c r="I930" s="50"/>
      <c r="J930" s="50"/>
      <c r="K930" s="50"/>
      <c r="L930" s="50"/>
      <c r="M930" s="50"/>
      <c r="N930" s="50"/>
      <c r="O930" s="50"/>
      <c r="P930" s="50"/>
      <c r="Q930" s="50"/>
      <c r="R930" s="50"/>
      <c r="S930" s="50"/>
      <c r="T930" s="50"/>
      <c r="U930" s="50"/>
      <c r="V930" s="50"/>
      <c r="W930" s="50"/>
    </row>
    <row r="931">
      <c r="A931" s="50"/>
      <c r="B931" s="59"/>
      <c r="C931" s="50"/>
      <c r="D931" s="59"/>
      <c r="E931" s="50"/>
      <c r="F931" s="59"/>
      <c r="G931" s="50"/>
      <c r="H931" s="63"/>
      <c r="I931" s="50"/>
      <c r="J931" s="50"/>
      <c r="K931" s="50"/>
      <c r="L931" s="50"/>
      <c r="M931" s="50"/>
      <c r="N931" s="50"/>
      <c r="O931" s="50"/>
      <c r="P931" s="50"/>
      <c r="Q931" s="50"/>
      <c r="R931" s="50"/>
      <c r="S931" s="50"/>
      <c r="T931" s="50"/>
      <c r="U931" s="50"/>
      <c r="V931" s="50"/>
      <c r="W931" s="50"/>
    </row>
    <row r="932">
      <c r="A932" s="50"/>
      <c r="B932" s="59"/>
      <c r="C932" s="50"/>
      <c r="D932" s="59"/>
      <c r="E932" s="50"/>
      <c r="F932" s="59"/>
      <c r="G932" s="50"/>
      <c r="H932" s="63"/>
      <c r="I932" s="50"/>
      <c r="J932" s="50"/>
      <c r="K932" s="50"/>
      <c r="L932" s="50"/>
      <c r="M932" s="50"/>
      <c r="N932" s="50"/>
      <c r="O932" s="50"/>
      <c r="P932" s="50"/>
      <c r="Q932" s="50"/>
      <c r="R932" s="50"/>
      <c r="S932" s="50"/>
      <c r="T932" s="50"/>
      <c r="U932" s="50"/>
      <c r="V932" s="50"/>
      <c r="W932" s="50"/>
    </row>
    <row r="933">
      <c r="A933" s="50"/>
      <c r="B933" s="59"/>
      <c r="C933" s="50"/>
      <c r="D933" s="59"/>
      <c r="E933" s="50"/>
      <c r="F933" s="59"/>
      <c r="G933" s="50"/>
      <c r="H933" s="63"/>
      <c r="I933" s="50"/>
      <c r="J933" s="50"/>
      <c r="K933" s="50"/>
      <c r="L933" s="50"/>
      <c r="M933" s="50"/>
      <c r="N933" s="50"/>
      <c r="O933" s="50"/>
      <c r="P933" s="50"/>
      <c r="Q933" s="50"/>
      <c r="R933" s="50"/>
      <c r="S933" s="50"/>
      <c r="T933" s="50"/>
      <c r="U933" s="50"/>
      <c r="V933" s="50"/>
      <c r="W933" s="50"/>
    </row>
    <row r="934">
      <c r="A934" s="50"/>
      <c r="B934" s="59"/>
      <c r="C934" s="50"/>
      <c r="D934" s="59"/>
      <c r="E934" s="50"/>
      <c r="F934" s="59"/>
      <c r="G934" s="50"/>
      <c r="H934" s="63"/>
      <c r="I934" s="50"/>
      <c r="J934" s="50"/>
      <c r="K934" s="50"/>
      <c r="L934" s="50"/>
      <c r="M934" s="50"/>
      <c r="N934" s="50"/>
      <c r="O934" s="50"/>
      <c r="P934" s="50"/>
      <c r="Q934" s="50"/>
      <c r="R934" s="50"/>
      <c r="S934" s="50"/>
      <c r="T934" s="50"/>
      <c r="U934" s="50"/>
      <c r="V934" s="50"/>
      <c r="W934" s="50"/>
    </row>
    <row r="935">
      <c r="A935" s="50"/>
      <c r="B935" s="59"/>
      <c r="C935" s="50"/>
      <c r="D935" s="59"/>
      <c r="E935" s="50"/>
      <c r="F935" s="59"/>
      <c r="G935" s="50"/>
      <c r="H935" s="63"/>
      <c r="I935" s="50"/>
      <c r="J935" s="50"/>
      <c r="K935" s="50"/>
      <c r="L935" s="50"/>
      <c r="M935" s="50"/>
      <c r="N935" s="50"/>
      <c r="O935" s="50"/>
      <c r="P935" s="50"/>
      <c r="Q935" s="50"/>
      <c r="R935" s="50"/>
      <c r="S935" s="50"/>
      <c r="T935" s="50"/>
      <c r="U935" s="50"/>
      <c r="V935" s="50"/>
      <c r="W935" s="50"/>
    </row>
    <row r="936">
      <c r="A936" s="50"/>
      <c r="B936" s="59"/>
      <c r="C936" s="50"/>
      <c r="D936" s="59"/>
      <c r="E936" s="50"/>
      <c r="F936" s="59"/>
      <c r="G936" s="50"/>
      <c r="H936" s="63"/>
      <c r="I936" s="50"/>
      <c r="J936" s="50"/>
      <c r="K936" s="50"/>
      <c r="L936" s="50"/>
      <c r="M936" s="50"/>
      <c r="N936" s="50"/>
      <c r="O936" s="50"/>
      <c r="P936" s="50"/>
      <c r="Q936" s="50"/>
      <c r="R936" s="50"/>
      <c r="S936" s="50"/>
      <c r="T936" s="50"/>
      <c r="U936" s="50"/>
      <c r="V936" s="50"/>
      <c r="W936" s="50"/>
    </row>
    <row r="937">
      <c r="A937" s="50"/>
      <c r="B937" s="59"/>
      <c r="C937" s="50"/>
      <c r="D937" s="59"/>
      <c r="E937" s="50"/>
      <c r="F937" s="59"/>
      <c r="G937" s="50"/>
      <c r="H937" s="63"/>
      <c r="I937" s="50"/>
      <c r="J937" s="50"/>
      <c r="K937" s="50"/>
      <c r="L937" s="50"/>
      <c r="M937" s="50"/>
      <c r="N937" s="50"/>
      <c r="O937" s="50"/>
      <c r="P937" s="50"/>
      <c r="Q937" s="50"/>
      <c r="R937" s="50"/>
      <c r="S937" s="50"/>
      <c r="T937" s="50"/>
      <c r="U937" s="50"/>
      <c r="V937" s="50"/>
      <c r="W937" s="50"/>
    </row>
    <row r="938">
      <c r="A938" s="50"/>
      <c r="B938" s="59"/>
      <c r="C938" s="50"/>
      <c r="D938" s="59"/>
      <c r="E938" s="50"/>
      <c r="F938" s="59"/>
      <c r="G938" s="50"/>
      <c r="H938" s="63"/>
      <c r="I938" s="50"/>
      <c r="J938" s="50"/>
      <c r="K938" s="50"/>
      <c r="L938" s="50"/>
      <c r="M938" s="50"/>
      <c r="N938" s="50"/>
      <c r="O938" s="50"/>
      <c r="P938" s="50"/>
      <c r="Q938" s="50"/>
      <c r="R938" s="50"/>
      <c r="S938" s="50"/>
      <c r="T938" s="50"/>
      <c r="U938" s="50"/>
      <c r="V938" s="50"/>
      <c r="W938" s="50"/>
    </row>
    <row r="939">
      <c r="A939" s="50"/>
      <c r="B939" s="59"/>
      <c r="C939" s="50"/>
      <c r="D939" s="59"/>
      <c r="E939" s="50"/>
      <c r="F939" s="59"/>
      <c r="G939" s="50"/>
      <c r="H939" s="63"/>
      <c r="I939" s="50"/>
      <c r="J939" s="50"/>
      <c r="K939" s="50"/>
      <c r="L939" s="50"/>
      <c r="M939" s="50"/>
      <c r="N939" s="50"/>
      <c r="O939" s="50"/>
      <c r="P939" s="50"/>
      <c r="Q939" s="50"/>
      <c r="R939" s="50"/>
      <c r="S939" s="50"/>
      <c r="T939" s="50"/>
      <c r="U939" s="50"/>
      <c r="V939" s="50"/>
      <c r="W939" s="50"/>
    </row>
    <row r="940">
      <c r="A940" s="50"/>
      <c r="B940" s="59"/>
      <c r="C940" s="50"/>
      <c r="D940" s="59"/>
      <c r="E940" s="50"/>
      <c r="F940" s="59"/>
      <c r="G940" s="50"/>
      <c r="H940" s="63"/>
      <c r="I940" s="50"/>
      <c r="J940" s="50"/>
      <c r="K940" s="50"/>
      <c r="L940" s="50"/>
      <c r="M940" s="50"/>
      <c r="N940" s="50"/>
      <c r="O940" s="50"/>
      <c r="P940" s="50"/>
      <c r="Q940" s="50"/>
      <c r="R940" s="50"/>
      <c r="S940" s="50"/>
      <c r="T940" s="50"/>
      <c r="U940" s="50"/>
      <c r="V940" s="50"/>
      <c r="W940" s="50"/>
    </row>
    <row r="941">
      <c r="A941" s="50"/>
      <c r="B941" s="59"/>
      <c r="C941" s="50"/>
      <c r="D941" s="59"/>
      <c r="E941" s="50"/>
      <c r="F941" s="59"/>
      <c r="G941" s="50"/>
      <c r="H941" s="63"/>
      <c r="I941" s="50"/>
      <c r="J941" s="50"/>
      <c r="K941" s="50"/>
      <c r="L941" s="50"/>
      <c r="M941" s="50"/>
      <c r="N941" s="50"/>
      <c r="O941" s="50"/>
      <c r="P941" s="50"/>
      <c r="Q941" s="50"/>
      <c r="R941" s="50"/>
      <c r="S941" s="50"/>
      <c r="T941" s="50"/>
      <c r="U941" s="50"/>
      <c r="V941" s="50"/>
      <c r="W941" s="50"/>
    </row>
    <row r="942">
      <c r="A942" s="50"/>
      <c r="B942" s="59"/>
      <c r="C942" s="50"/>
      <c r="D942" s="59"/>
      <c r="E942" s="50"/>
      <c r="F942" s="59"/>
      <c r="G942" s="50"/>
      <c r="H942" s="63"/>
      <c r="I942" s="50"/>
      <c r="J942" s="50"/>
      <c r="K942" s="50"/>
      <c r="L942" s="50"/>
      <c r="M942" s="50"/>
      <c r="N942" s="50"/>
      <c r="O942" s="50"/>
      <c r="P942" s="50"/>
      <c r="Q942" s="50"/>
      <c r="R942" s="50"/>
      <c r="S942" s="50"/>
      <c r="T942" s="50"/>
      <c r="U942" s="50"/>
      <c r="V942" s="50"/>
      <c r="W942" s="50"/>
    </row>
    <row r="943">
      <c r="A943" s="50"/>
      <c r="B943" s="59"/>
      <c r="C943" s="50"/>
      <c r="D943" s="59"/>
      <c r="E943" s="50"/>
      <c r="F943" s="59"/>
      <c r="G943" s="50"/>
      <c r="H943" s="63"/>
      <c r="I943" s="50"/>
      <c r="J943" s="50"/>
      <c r="K943" s="50"/>
      <c r="L943" s="50"/>
      <c r="M943" s="50"/>
      <c r="N943" s="50"/>
      <c r="O943" s="50"/>
      <c r="P943" s="50"/>
      <c r="Q943" s="50"/>
      <c r="R943" s="50"/>
      <c r="S943" s="50"/>
      <c r="T943" s="50"/>
      <c r="U943" s="50"/>
      <c r="V943" s="50"/>
      <c r="W943" s="50"/>
    </row>
    <row r="944">
      <c r="A944" s="50"/>
      <c r="B944" s="59"/>
      <c r="C944" s="50"/>
      <c r="D944" s="59"/>
      <c r="E944" s="50"/>
      <c r="F944" s="59"/>
      <c r="G944" s="50"/>
      <c r="H944" s="63"/>
      <c r="I944" s="50"/>
      <c r="J944" s="50"/>
      <c r="K944" s="50"/>
      <c r="L944" s="50"/>
      <c r="M944" s="50"/>
      <c r="N944" s="50"/>
      <c r="O944" s="50"/>
      <c r="P944" s="50"/>
      <c r="Q944" s="50"/>
      <c r="R944" s="50"/>
      <c r="S944" s="50"/>
      <c r="T944" s="50"/>
      <c r="U944" s="50"/>
      <c r="V944" s="50"/>
      <c r="W944" s="50"/>
    </row>
    <row r="945">
      <c r="A945" s="50"/>
      <c r="B945" s="59"/>
      <c r="C945" s="50"/>
      <c r="D945" s="59"/>
      <c r="E945" s="50"/>
      <c r="F945" s="59"/>
      <c r="G945" s="50"/>
      <c r="H945" s="63"/>
      <c r="I945" s="50"/>
      <c r="J945" s="50"/>
      <c r="K945" s="50"/>
      <c r="L945" s="50"/>
      <c r="M945" s="50"/>
      <c r="N945" s="50"/>
      <c r="O945" s="50"/>
      <c r="P945" s="50"/>
      <c r="Q945" s="50"/>
      <c r="R945" s="50"/>
      <c r="S945" s="50"/>
      <c r="T945" s="50"/>
      <c r="U945" s="50"/>
      <c r="V945" s="50"/>
      <c r="W945" s="50"/>
    </row>
    <row r="946">
      <c r="A946" s="50"/>
      <c r="B946" s="59"/>
      <c r="C946" s="50"/>
      <c r="D946" s="59"/>
      <c r="E946" s="50"/>
      <c r="F946" s="59"/>
      <c r="G946" s="50"/>
      <c r="H946" s="63"/>
      <c r="I946" s="50"/>
      <c r="J946" s="50"/>
      <c r="K946" s="50"/>
      <c r="L946" s="50"/>
      <c r="M946" s="50"/>
      <c r="N946" s="50"/>
      <c r="O946" s="50"/>
      <c r="P946" s="50"/>
      <c r="Q946" s="50"/>
      <c r="R946" s="50"/>
      <c r="S946" s="50"/>
      <c r="T946" s="50"/>
      <c r="U946" s="50"/>
      <c r="V946" s="50"/>
      <c r="W946" s="50"/>
    </row>
    <row r="947">
      <c r="A947" s="50"/>
      <c r="B947" s="59"/>
      <c r="C947" s="50"/>
      <c r="D947" s="59"/>
      <c r="E947" s="50"/>
      <c r="F947" s="59"/>
      <c r="G947" s="50"/>
      <c r="H947" s="63"/>
      <c r="I947" s="50"/>
      <c r="J947" s="50"/>
      <c r="K947" s="50"/>
      <c r="L947" s="50"/>
      <c r="M947" s="50"/>
      <c r="N947" s="50"/>
      <c r="O947" s="50"/>
      <c r="P947" s="50"/>
      <c r="Q947" s="50"/>
      <c r="R947" s="50"/>
      <c r="S947" s="50"/>
      <c r="T947" s="50"/>
      <c r="U947" s="50"/>
      <c r="V947" s="50"/>
      <c r="W947" s="50"/>
    </row>
    <row r="948">
      <c r="A948" s="50"/>
      <c r="B948" s="59"/>
      <c r="C948" s="50"/>
      <c r="D948" s="59"/>
      <c r="E948" s="50"/>
      <c r="F948" s="59"/>
      <c r="G948" s="50"/>
      <c r="H948" s="63"/>
      <c r="I948" s="50"/>
      <c r="J948" s="50"/>
      <c r="K948" s="50"/>
      <c r="L948" s="50"/>
      <c r="M948" s="50"/>
      <c r="N948" s="50"/>
      <c r="O948" s="50"/>
      <c r="P948" s="50"/>
      <c r="Q948" s="50"/>
      <c r="R948" s="50"/>
      <c r="S948" s="50"/>
      <c r="T948" s="50"/>
      <c r="U948" s="50"/>
      <c r="V948" s="50"/>
      <c r="W948" s="50"/>
    </row>
    <row r="949">
      <c r="A949" s="50"/>
      <c r="B949" s="59"/>
      <c r="C949" s="50"/>
      <c r="D949" s="59"/>
      <c r="E949" s="50"/>
      <c r="F949" s="59"/>
      <c r="G949" s="50"/>
      <c r="H949" s="63"/>
      <c r="I949" s="50"/>
      <c r="J949" s="50"/>
      <c r="K949" s="50"/>
      <c r="L949" s="50"/>
      <c r="M949" s="50"/>
      <c r="N949" s="50"/>
      <c r="O949" s="50"/>
      <c r="P949" s="50"/>
      <c r="Q949" s="50"/>
      <c r="R949" s="50"/>
      <c r="S949" s="50"/>
      <c r="T949" s="50"/>
      <c r="U949" s="50"/>
      <c r="V949" s="50"/>
      <c r="W949" s="50"/>
    </row>
    <row r="950">
      <c r="A950" s="50"/>
      <c r="B950" s="59"/>
      <c r="C950" s="50"/>
      <c r="D950" s="59"/>
      <c r="E950" s="50"/>
      <c r="F950" s="59"/>
      <c r="G950" s="50"/>
      <c r="H950" s="63"/>
      <c r="I950" s="50"/>
      <c r="J950" s="50"/>
      <c r="K950" s="50"/>
      <c r="L950" s="50"/>
      <c r="M950" s="50"/>
      <c r="N950" s="50"/>
      <c r="O950" s="50"/>
      <c r="P950" s="50"/>
      <c r="Q950" s="50"/>
      <c r="R950" s="50"/>
      <c r="S950" s="50"/>
      <c r="T950" s="50"/>
      <c r="U950" s="50"/>
      <c r="V950" s="50"/>
      <c r="W950" s="50"/>
    </row>
    <row r="951">
      <c r="A951" s="50"/>
      <c r="B951" s="59"/>
      <c r="C951" s="50"/>
      <c r="D951" s="59"/>
      <c r="E951" s="50"/>
      <c r="F951" s="59"/>
      <c r="G951" s="50"/>
      <c r="H951" s="63"/>
      <c r="I951" s="50"/>
      <c r="J951" s="50"/>
      <c r="K951" s="50"/>
      <c r="L951" s="50"/>
      <c r="M951" s="50"/>
      <c r="N951" s="50"/>
      <c r="O951" s="50"/>
      <c r="P951" s="50"/>
      <c r="Q951" s="50"/>
      <c r="R951" s="50"/>
      <c r="S951" s="50"/>
      <c r="T951" s="50"/>
      <c r="U951" s="50"/>
      <c r="V951" s="50"/>
      <c r="W951" s="50"/>
    </row>
    <row r="952">
      <c r="A952" s="50"/>
      <c r="B952" s="59"/>
      <c r="C952" s="50"/>
      <c r="D952" s="59"/>
      <c r="E952" s="50"/>
      <c r="F952" s="59"/>
      <c r="G952" s="50"/>
      <c r="H952" s="63"/>
      <c r="I952" s="50"/>
      <c r="J952" s="50"/>
      <c r="K952" s="50"/>
      <c r="L952" s="50"/>
      <c r="M952" s="50"/>
      <c r="N952" s="50"/>
      <c r="O952" s="50"/>
      <c r="P952" s="50"/>
      <c r="Q952" s="50"/>
      <c r="R952" s="50"/>
      <c r="S952" s="50"/>
      <c r="T952" s="50"/>
      <c r="U952" s="50"/>
      <c r="V952" s="50"/>
      <c r="W952" s="50"/>
    </row>
    <row r="953">
      <c r="A953" s="50"/>
      <c r="B953" s="59"/>
      <c r="C953" s="50"/>
      <c r="D953" s="59"/>
      <c r="E953" s="50"/>
      <c r="F953" s="59"/>
      <c r="G953" s="50"/>
      <c r="H953" s="63"/>
      <c r="I953" s="50"/>
      <c r="J953" s="50"/>
      <c r="K953" s="50"/>
      <c r="L953" s="50"/>
      <c r="M953" s="50"/>
      <c r="N953" s="50"/>
      <c r="O953" s="50"/>
      <c r="P953" s="50"/>
      <c r="Q953" s="50"/>
      <c r="R953" s="50"/>
      <c r="S953" s="50"/>
      <c r="T953" s="50"/>
      <c r="U953" s="50"/>
      <c r="V953" s="50"/>
      <c r="W953" s="50"/>
    </row>
    <row r="954">
      <c r="A954" s="50"/>
      <c r="B954" s="59"/>
      <c r="C954" s="50"/>
      <c r="D954" s="59"/>
      <c r="E954" s="50"/>
      <c r="F954" s="59"/>
      <c r="G954" s="50"/>
      <c r="H954" s="63"/>
      <c r="I954" s="50"/>
      <c r="J954" s="50"/>
      <c r="K954" s="50"/>
      <c r="L954" s="50"/>
      <c r="M954" s="50"/>
      <c r="N954" s="50"/>
      <c r="O954" s="50"/>
      <c r="P954" s="50"/>
      <c r="Q954" s="50"/>
      <c r="R954" s="50"/>
      <c r="S954" s="50"/>
      <c r="T954" s="50"/>
      <c r="U954" s="50"/>
      <c r="V954" s="50"/>
      <c r="W954" s="50"/>
    </row>
    <row r="955">
      <c r="A955" s="50"/>
      <c r="B955" s="59"/>
      <c r="C955" s="50"/>
      <c r="D955" s="59"/>
      <c r="E955" s="50"/>
      <c r="F955" s="59"/>
      <c r="G955" s="50"/>
      <c r="H955" s="63"/>
      <c r="I955" s="50"/>
      <c r="J955" s="50"/>
      <c r="K955" s="50"/>
      <c r="L955" s="50"/>
      <c r="M955" s="50"/>
      <c r="N955" s="50"/>
      <c r="O955" s="50"/>
      <c r="P955" s="50"/>
      <c r="Q955" s="50"/>
      <c r="R955" s="50"/>
      <c r="S955" s="50"/>
      <c r="T955" s="50"/>
      <c r="U955" s="50"/>
      <c r="V955" s="50"/>
      <c r="W955" s="50"/>
    </row>
    <row r="956">
      <c r="A956" s="50"/>
      <c r="B956" s="59"/>
      <c r="C956" s="50"/>
      <c r="D956" s="59"/>
      <c r="E956" s="50"/>
      <c r="F956" s="59"/>
      <c r="G956" s="50"/>
      <c r="H956" s="63"/>
      <c r="I956" s="50"/>
      <c r="J956" s="50"/>
      <c r="K956" s="50"/>
      <c r="L956" s="50"/>
      <c r="M956" s="50"/>
      <c r="N956" s="50"/>
      <c r="O956" s="50"/>
      <c r="P956" s="50"/>
      <c r="Q956" s="50"/>
      <c r="R956" s="50"/>
      <c r="S956" s="50"/>
      <c r="T956" s="50"/>
      <c r="U956" s="50"/>
      <c r="V956" s="50"/>
      <c r="W956" s="50"/>
    </row>
    <row r="957">
      <c r="A957" s="50"/>
      <c r="B957" s="59"/>
      <c r="C957" s="50"/>
      <c r="D957" s="59"/>
      <c r="E957" s="50"/>
      <c r="F957" s="59"/>
      <c r="G957" s="50"/>
      <c r="H957" s="63"/>
      <c r="I957" s="50"/>
      <c r="J957" s="50"/>
      <c r="K957" s="50"/>
      <c r="L957" s="50"/>
      <c r="M957" s="50"/>
      <c r="N957" s="50"/>
      <c r="O957" s="50"/>
      <c r="P957" s="50"/>
      <c r="Q957" s="50"/>
      <c r="R957" s="50"/>
      <c r="S957" s="50"/>
      <c r="T957" s="50"/>
      <c r="U957" s="50"/>
      <c r="V957" s="50"/>
      <c r="W957" s="50"/>
    </row>
    <row r="958">
      <c r="A958" s="50"/>
      <c r="B958" s="59"/>
      <c r="C958" s="50"/>
      <c r="D958" s="59"/>
      <c r="E958" s="50"/>
      <c r="F958" s="59"/>
      <c r="G958" s="50"/>
      <c r="H958" s="63"/>
      <c r="I958" s="50"/>
      <c r="J958" s="50"/>
      <c r="K958" s="50"/>
      <c r="L958" s="50"/>
      <c r="M958" s="50"/>
      <c r="N958" s="50"/>
      <c r="O958" s="50"/>
      <c r="P958" s="50"/>
      <c r="Q958" s="50"/>
      <c r="R958" s="50"/>
      <c r="S958" s="50"/>
      <c r="T958" s="50"/>
      <c r="U958" s="50"/>
      <c r="V958" s="50"/>
      <c r="W958" s="50"/>
    </row>
    <row r="959">
      <c r="A959" s="50"/>
      <c r="B959" s="59"/>
      <c r="C959" s="50"/>
      <c r="D959" s="59"/>
      <c r="E959" s="50"/>
      <c r="F959" s="59"/>
      <c r="G959" s="50"/>
      <c r="H959" s="63"/>
      <c r="I959" s="50"/>
      <c r="J959" s="50"/>
      <c r="K959" s="50"/>
      <c r="L959" s="50"/>
      <c r="M959" s="50"/>
      <c r="N959" s="50"/>
      <c r="O959" s="50"/>
      <c r="P959" s="50"/>
      <c r="Q959" s="50"/>
      <c r="R959" s="50"/>
      <c r="S959" s="50"/>
      <c r="T959" s="50"/>
      <c r="U959" s="50"/>
      <c r="V959" s="50"/>
      <c r="W959" s="50"/>
    </row>
    <row r="960">
      <c r="A960" s="50"/>
      <c r="B960" s="59"/>
      <c r="C960" s="50"/>
      <c r="D960" s="59"/>
      <c r="E960" s="50"/>
      <c r="F960" s="59"/>
      <c r="G960" s="50"/>
      <c r="H960" s="63"/>
      <c r="I960" s="50"/>
      <c r="J960" s="50"/>
      <c r="K960" s="50"/>
      <c r="L960" s="50"/>
      <c r="M960" s="50"/>
      <c r="N960" s="50"/>
      <c r="O960" s="50"/>
      <c r="P960" s="50"/>
      <c r="Q960" s="50"/>
      <c r="R960" s="50"/>
      <c r="S960" s="50"/>
      <c r="T960" s="50"/>
      <c r="U960" s="50"/>
      <c r="V960" s="50"/>
      <c r="W960" s="50"/>
    </row>
    <row r="961">
      <c r="A961" s="50"/>
      <c r="B961" s="59"/>
      <c r="C961" s="50"/>
      <c r="D961" s="59"/>
      <c r="E961" s="50"/>
      <c r="F961" s="59"/>
      <c r="G961" s="50"/>
      <c r="H961" s="63"/>
      <c r="I961" s="50"/>
      <c r="J961" s="50"/>
      <c r="K961" s="50"/>
      <c r="L961" s="50"/>
      <c r="M961" s="50"/>
      <c r="N961" s="50"/>
      <c r="O961" s="50"/>
      <c r="P961" s="50"/>
      <c r="Q961" s="50"/>
      <c r="R961" s="50"/>
      <c r="S961" s="50"/>
      <c r="T961" s="50"/>
      <c r="U961" s="50"/>
      <c r="V961" s="50"/>
      <c r="W961" s="50"/>
    </row>
    <row r="962">
      <c r="A962" s="50"/>
      <c r="B962" s="59"/>
      <c r="C962" s="50"/>
      <c r="D962" s="59"/>
      <c r="E962" s="50"/>
      <c r="F962" s="59"/>
      <c r="G962" s="50"/>
      <c r="H962" s="63"/>
      <c r="I962" s="50"/>
      <c r="J962" s="50"/>
      <c r="K962" s="50"/>
      <c r="L962" s="50"/>
      <c r="M962" s="50"/>
      <c r="N962" s="50"/>
      <c r="O962" s="50"/>
      <c r="P962" s="50"/>
      <c r="Q962" s="50"/>
      <c r="R962" s="50"/>
      <c r="S962" s="50"/>
      <c r="T962" s="50"/>
      <c r="U962" s="50"/>
      <c r="V962" s="50"/>
      <c r="W962" s="50"/>
    </row>
    <row r="963">
      <c r="A963" s="50"/>
      <c r="B963" s="59"/>
      <c r="C963" s="50"/>
      <c r="D963" s="59"/>
      <c r="E963" s="50"/>
      <c r="F963" s="59"/>
      <c r="G963" s="50"/>
      <c r="H963" s="63"/>
      <c r="I963" s="50"/>
      <c r="J963" s="50"/>
      <c r="K963" s="50"/>
      <c r="L963" s="50"/>
      <c r="M963" s="50"/>
      <c r="N963" s="50"/>
      <c r="O963" s="50"/>
      <c r="P963" s="50"/>
      <c r="Q963" s="50"/>
      <c r="R963" s="50"/>
      <c r="S963" s="50"/>
      <c r="T963" s="50"/>
      <c r="U963" s="50"/>
      <c r="V963" s="50"/>
      <c r="W963" s="50"/>
    </row>
    <row r="964">
      <c r="A964" s="50"/>
      <c r="B964" s="59"/>
      <c r="C964" s="50"/>
      <c r="D964" s="59"/>
      <c r="E964" s="50"/>
      <c r="F964" s="59"/>
      <c r="G964" s="50"/>
      <c r="H964" s="63"/>
      <c r="I964" s="50"/>
      <c r="J964" s="50"/>
      <c r="K964" s="50"/>
      <c r="L964" s="50"/>
      <c r="M964" s="50"/>
      <c r="N964" s="50"/>
      <c r="O964" s="50"/>
      <c r="P964" s="50"/>
      <c r="Q964" s="50"/>
      <c r="R964" s="50"/>
      <c r="S964" s="50"/>
      <c r="T964" s="50"/>
      <c r="U964" s="50"/>
      <c r="V964" s="50"/>
      <c r="W964" s="50"/>
    </row>
    <row r="965">
      <c r="A965" s="50"/>
      <c r="B965" s="59"/>
      <c r="C965" s="50"/>
      <c r="D965" s="59"/>
      <c r="E965" s="50"/>
      <c r="F965" s="59"/>
      <c r="G965" s="50"/>
      <c r="H965" s="63"/>
      <c r="I965" s="50"/>
      <c r="J965" s="50"/>
      <c r="K965" s="50"/>
      <c r="L965" s="50"/>
      <c r="M965" s="50"/>
      <c r="N965" s="50"/>
      <c r="O965" s="50"/>
      <c r="P965" s="50"/>
      <c r="Q965" s="50"/>
      <c r="R965" s="50"/>
      <c r="S965" s="50"/>
      <c r="T965" s="50"/>
      <c r="U965" s="50"/>
      <c r="V965" s="50"/>
      <c r="W965" s="50"/>
    </row>
    <row r="966">
      <c r="A966" s="50"/>
      <c r="B966" s="59"/>
      <c r="C966" s="50"/>
      <c r="D966" s="59"/>
      <c r="E966" s="50"/>
      <c r="F966" s="59"/>
      <c r="G966" s="50"/>
      <c r="H966" s="63"/>
      <c r="I966" s="50"/>
      <c r="J966" s="50"/>
      <c r="K966" s="50"/>
      <c r="L966" s="50"/>
      <c r="M966" s="50"/>
      <c r="N966" s="50"/>
      <c r="O966" s="50"/>
      <c r="P966" s="50"/>
      <c r="Q966" s="50"/>
      <c r="R966" s="50"/>
      <c r="S966" s="50"/>
      <c r="T966" s="50"/>
      <c r="U966" s="50"/>
      <c r="V966" s="50"/>
      <c r="W966" s="50"/>
    </row>
    <row r="967">
      <c r="A967" s="50"/>
      <c r="B967" s="59"/>
      <c r="C967" s="50"/>
      <c r="D967" s="59"/>
      <c r="E967" s="50"/>
      <c r="F967" s="59"/>
      <c r="G967" s="50"/>
      <c r="H967" s="63"/>
      <c r="I967" s="50"/>
      <c r="J967" s="50"/>
      <c r="K967" s="50"/>
      <c r="L967" s="50"/>
      <c r="M967" s="50"/>
      <c r="N967" s="50"/>
      <c r="O967" s="50"/>
      <c r="P967" s="50"/>
      <c r="Q967" s="50"/>
      <c r="R967" s="50"/>
      <c r="S967" s="50"/>
      <c r="T967" s="50"/>
      <c r="U967" s="50"/>
      <c r="V967" s="50"/>
      <c r="W967" s="50"/>
    </row>
    <row r="968">
      <c r="A968" s="50"/>
      <c r="B968" s="59"/>
      <c r="C968" s="50"/>
      <c r="D968" s="59"/>
      <c r="E968" s="50"/>
      <c r="F968" s="59"/>
      <c r="G968" s="50"/>
      <c r="H968" s="63"/>
      <c r="I968" s="50"/>
      <c r="J968" s="50"/>
      <c r="K968" s="50"/>
      <c r="L968" s="50"/>
      <c r="M968" s="50"/>
      <c r="N968" s="50"/>
      <c r="O968" s="50"/>
      <c r="P968" s="50"/>
      <c r="Q968" s="50"/>
      <c r="R968" s="50"/>
      <c r="S968" s="50"/>
      <c r="T968" s="50"/>
      <c r="U968" s="50"/>
      <c r="V968" s="50"/>
      <c r="W968" s="50"/>
    </row>
    <row r="969">
      <c r="A969" s="50"/>
      <c r="B969" s="59"/>
      <c r="C969" s="50"/>
      <c r="D969" s="59"/>
      <c r="E969" s="50"/>
      <c r="F969" s="59"/>
      <c r="G969" s="50"/>
      <c r="H969" s="63"/>
      <c r="I969" s="50"/>
      <c r="J969" s="50"/>
      <c r="K969" s="50"/>
      <c r="L969" s="50"/>
      <c r="M969" s="50"/>
      <c r="N969" s="50"/>
      <c r="O969" s="50"/>
      <c r="P969" s="50"/>
      <c r="Q969" s="50"/>
      <c r="R969" s="50"/>
      <c r="S969" s="50"/>
      <c r="T969" s="50"/>
      <c r="U969" s="50"/>
      <c r="V969" s="50"/>
      <c r="W969" s="50"/>
    </row>
    <row r="970">
      <c r="A970" s="50"/>
      <c r="B970" s="59"/>
      <c r="C970" s="50"/>
      <c r="D970" s="59"/>
      <c r="E970" s="50"/>
      <c r="F970" s="59"/>
      <c r="G970" s="50"/>
      <c r="H970" s="63"/>
      <c r="I970" s="50"/>
      <c r="J970" s="50"/>
      <c r="K970" s="50"/>
      <c r="L970" s="50"/>
      <c r="M970" s="50"/>
      <c r="N970" s="50"/>
      <c r="O970" s="50"/>
      <c r="P970" s="50"/>
      <c r="Q970" s="50"/>
      <c r="R970" s="50"/>
      <c r="S970" s="50"/>
      <c r="T970" s="50"/>
      <c r="U970" s="50"/>
      <c r="V970" s="50"/>
      <c r="W970" s="50"/>
    </row>
    <row r="971">
      <c r="A971" s="50"/>
      <c r="B971" s="59"/>
      <c r="C971" s="50"/>
      <c r="D971" s="59"/>
      <c r="E971" s="50"/>
      <c r="F971" s="59"/>
      <c r="G971" s="50"/>
      <c r="H971" s="63"/>
      <c r="I971" s="50"/>
      <c r="J971" s="50"/>
      <c r="K971" s="50"/>
      <c r="L971" s="50"/>
      <c r="M971" s="50"/>
      <c r="N971" s="50"/>
      <c r="O971" s="50"/>
      <c r="P971" s="50"/>
      <c r="Q971" s="50"/>
      <c r="R971" s="50"/>
      <c r="S971" s="50"/>
      <c r="T971" s="50"/>
      <c r="U971" s="50"/>
      <c r="V971" s="50"/>
      <c r="W971" s="50"/>
    </row>
    <row r="972">
      <c r="A972" s="50"/>
      <c r="B972" s="59"/>
      <c r="C972" s="50"/>
      <c r="D972" s="59"/>
      <c r="E972" s="50"/>
      <c r="F972" s="59"/>
      <c r="G972" s="50"/>
      <c r="H972" s="63"/>
      <c r="I972" s="50"/>
      <c r="J972" s="50"/>
      <c r="K972" s="50"/>
      <c r="L972" s="50"/>
      <c r="M972" s="50"/>
      <c r="N972" s="50"/>
      <c r="O972" s="50"/>
      <c r="P972" s="50"/>
      <c r="Q972" s="50"/>
      <c r="R972" s="50"/>
      <c r="S972" s="50"/>
      <c r="T972" s="50"/>
      <c r="U972" s="50"/>
      <c r="V972" s="50"/>
      <c r="W972" s="50"/>
    </row>
    <row r="973">
      <c r="A973" s="50"/>
      <c r="B973" s="59"/>
      <c r="C973" s="50"/>
      <c r="D973" s="59"/>
      <c r="E973" s="50"/>
      <c r="F973" s="59"/>
      <c r="G973" s="50"/>
      <c r="H973" s="63"/>
      <c r="I973" s="50"/>
      <c r="J973" s="50"/>
      <c r="K973" s="50"/>
      <c r="L973" s="50"/>
      <c r="M973" s="50"/>
      <c r="N973" s="50"/>
      <c r="O973" s="50"/>
      <c r="P973" s="50"/>
      <c r="Q973" s="50"/>
      <c r="R973" s="50"/>
      <c r="S973" s="50"/>
      <c r="T973" s="50"/>
      <c r="U973" s="50"/>
      <c r="V973" s="50"/>
      <c r="W973" s="50"/>
    </row>
    <row r="974">
      <c r="A974" s="50"/>
      <c r="B974" s="59"/>
      <c r="C974" s="50"/>
      <c r="D974" s="59"/>
      <c r="E974" s="50"/>
      <c r="F974" s="59"/>
      <c r="G974" s="50"/>
      <c r="H974" s="63"/>
      <c r="I974" s="50"/>
      <c r="J974" s="50"/>
      <c r="K974" s="50"/>
      <c r="L974" s="50"/>
      <c r="M974" s="50"/>
      <c r="N974" s="50"/>
      <c r="O974" s="50"/>
      <c r="P974" s="50"/>
      <c r="Q974" s="50"/>
      <c r="R974" s="50"/>
      <c r="S974" s="50"/>
      <c r="T974" s="50"/>
      <c r="U974" s="50"/>
      <c r="V974" s="50"/>
      <c r="W974" s="50"/>
    </row>
    <row r="975">
      <c r="A975" s="50"/>
      <c r="B975" s="59"/>
      <c r="C975" s="50"/>
      <c r="D975" s="59"/>
      <c r="E975" s="50"/>
      <c r="F975" s="59"/>
      <c r="G975" s="50"/>
      <c r="H975" s="63"/>
      <c r="I975" s="50"/>
      <c r="J975" s="50"/>
      <c r="K975" s="50"/>
      <c r="L975" s="50"/>
      <c r="M975" s="50"/>
      <c r="N975" s="50"/>
      <c r="O975" s="50"/>
      <c r="P975" s="50"/>
      <c r="Q975" s="50"/>
      <c r="R975" s="50"/>
      <c r="S975" s="50"/>
      <c r="T975" s="50"/>
      <c r="U975" s="50"/>
      <c r="V975" s="50"/>
      <c r="W975" s="50"/>
    </row>
    <row r="976">
      <c r="A976" s="50"/>
      <c r="B976" s="59"/>
      <c r="C976" s="50"/>
      <c r="D976" s="59"/>
      <c r="E976" s="50"/>
      <c r="F976" s="59"/>
      <c r="G976" s="50"/>
      <c r="H976" s="63"/>
      <c r="I976" s="50"/>
      <c r="J976" s="50"/>
      <c r="K976" s="50"/>
      <c r="L976" s="50"/>
      <c r="M976" s="50"/>
      <c r="N976" s="50"/>
      <c r="O976" s="50"/>
      <c r="P976" s="50"/>
      <c r="Q976" s="50"/>
      <c r="R976" s="50"/>
      <c r="S976" s="50"/>
      <c r="T976" s="50"/>
      <c r="U976" s="50"/>
      <c r="V976" s="50"/>
      <c r="W976" s="50"/>
    </row>
    <row r="977">
      <c r="A977" s="50"/>
      <c r="B977" s="59"/>
      <c r="C977" s="50"/>
      <c r="D977" s="59"/>
      <c r="E977" s="50"/>
      <c r="F977" s="59"/>
      <c r="G977" s="50"/>
      <c r="H977" s="63"/>
      <c r="I977" s="50"/>
      <c r="J977" s="50"/>
      <c r="K977" s="50"/>
      <c r="L977" s="50"/>
      <c r="M977" s="50"/>
      <c r="N977" s="50"/>
      <c r="O977" s="50"/>
      <c r="P977" s="50"/>
      <c r="Q977" s="50"/>
      <c r="R977" s="50"/>
      <c r="S977" s="50"/>
      <c r="T977" s="50"/>
      <c r="U977" s="50"/>
      <c r="V977" s="50"/>
      <c r="W977" s="50"/>
    </row>
    <row r="978">
      <c r="A978" s="50"/>
      <c r="B978" s="59"/>
      <c r="C978" s="50"/>
      <c r="D978" s="59"/>
      <c r="E978" s="50"/>
      <c r="F978" s="59"/>
      <c r="G978" s="50"/>
      <c r="H978" s="63"/>
      <c r="I978" s="50"/>
      <c r="J978" s="50"/>
      <c r="K978" s="50"/>
      <c r="L978" s="50"/>
      <c r="M978" s="50"/>
      <c r="N978" s="50"/>
      <c r="O978" s="50"/>
      <c r="P978" s="50"/>
      <c r="Q978" s="50"/>
      <c r="R978" s="50"/>
      <c r="S978" s="50"/>
      <c r="T978" s="50"/>
      <c r="U978" s="50"/>
      <c r="V978" s="50"/>
      <c r="W978" s="50"/>
    </row>
    <row r="979">
      <c r="A979" s="50"/>
      <c r="B979" s="59"/>
      <c r="C979" s="50"/>
      <c r="D979" s="59"/>
      <c r="E979" s="50"/>
      <c r="F979" s="59"/>
      <c r="G979" s="50"/>
      <c r="H979" s="63"/>
      <c r="I979" s="50"/>
      <c r="J979" s="50"/>
      <c r="K979" s="50"/>
      <c r="L979" s="50"/>
      <c r="M979" s="50"/>
      <c r="N979" s="50"/>
      <c r="O979" s="50"/>
      <c r="P979" s="50"/>
      <c r="Q979" s="50"/>
      <c r="R979" s="50"/>
      <c r="S979" s="50"/>
      <c r="T979" s="50"/>
      <c r="U979" s="50"/>
      <c r="V979" s="50"/>
      <c r="W979" s="50"/>
    </row>
    <row r="980">
      <c r="A980" s="50"/>
      <c r="B980" s="59"/>
      <c r="C980" s="50"/>
      <c r="D980" s="59"/>
      <c r="E980" s="50"/>
      <c r="F980" s="59"/>
      <c r="G980" s="50"/>
      <c r="H980" s="63"/>
      <c r="I980" s="50"/>
      <c r="J980" s="50"/>
      <c r="K980" s="50"/>
      <c r="L980" s="50"/>
      <c r="M980" s="50"/>
      <c r="N980" s="50"/>
      <c r="O980" s="50"/>
      <c r="P980" s="50"/>
      <c r="Q980" s="50"/>
      <c r="R980" s="50"/>
      <c r="S980" s="50"/>
      <c r="T980" s="50"/>
      <c r="U980" s="50"/>
      <c r="V980" s="50"/>
      <c r="W980" s="50"/>
    </row>
    <row r="981">
      <c r="A981" s="50"/>
      <c r="B981" s="59"/>
      <c r="C981" s="50"/>
      <c r="D981" s="59"/>
      <c r="E981" s="50"/>
      <c r="F981" s="59"/>
      <c r="G981" s="50"/>
      <c r="H981" s="63"/>
      <c r="I981" s="50"/>
      <c r="J981" s="50"/>
      <c r="K981" s="50"/>
      <c r="L981" s="50"/>
      <c r="M981" s="50"/>
      <c r="N981" s="50"/>
      <c r="O981" s="50"/>
      <c r="P981" s="50"/>
      <c r="Q981" s="50"/>
      <c r="R981" s="50"/>
      <c r="S981" s="50"/>
      <c r="T981" s="50"/>
      <c r="U981" s="50"/>
      <c r="V981" s="50"/>
      <c r="W981" s="50"/>
    </row>
    <row r="982">
      <c r="A982" s="50"/>
      <c r="B982" s="59"/>
      <c r="C982" s="50"/>
      <c r="D982" s="59"/>
      <c r="E982" s="50"/>
      <c r="F982" s="59"/>
      <c r="G982" s="50"/>
      <c r="H982" s="63"/>
      <c r="I982" s="50"/>
      <c r="J982" s="50"/>
      <c r="K982" s="50"/>
      <c r="L982" s="50"/>
      <c r="M982" s="50"/>
      <c r="N982" s="50"/>
      <c r="O982" s="50"/>
      <c r="P982" s="50"/>
      <c r="Q982" s="50"/>
      <c r="R982" s="50"/>
      <c r="S982" s="50"/>
      <c r="T982" s="50"/>
      <c r="U982" s="50"/>
      <c r="V982" s="50"/>
      <c r="W982" s="50"/>
    </row>
    <row r="983">
      <c r="A983" s="50"/>
      <c r="B983" s="59"/>
      <c r="C983" s="50"/>
      <c r="D983" s="59"/>
      <c r="E983" s="50"/>
      <c r="F983" s="59"/>
      <c r="G983" s="50"/>
      <c r="H983" s="63"/>
      <c r="I983" s="50"/>
      <c r="J983" s="50"/>
      <c r="K983" s="50"/>
      <c r="L983" s="50"/>
      <c r="M983" s="50"/>
      <c r="N983" s="50"/>
      <c r="O983" s="50"/>
      <c r="P983" s="50"/>
      <c r="Q983" s="50"/>
      <c r="R983" s="50"/>
      <c r="S983" s="50"/>
      <c r="T983" s="50"/>
      <c r="U983" s="50"/>
      <c r="V983" s="50"/>
      <c r="W983" s="50"/>
    </row>
    <row r="984">
      <c r="A984" s="50"/>
      <c r="B984" s="59"/>
      <c r="C984" s="50"/>
      <c r="D984" s="59"/>
      <c r="E984" s="50"/>
      <c r="F984" s="59"/>
      <c r="G984" s="50"/>
      <c r="H984" s="63"/>
      <c r="I984" s="50"/>
      <c r="J984" s="50"/>
      <c r="K984" s="50"/>
      <c r="L984" s="50"/>
      <c r="M984" s="50"/>
      <c r="N984" s="50"/>
      <c r="O984" s="50"/>
      <c r="P984" s="50"/>
      <c r="Q984" s="50"/>
      <c r="R984" s="50"/>
      <c r="S984" s="50"/>
      <c r="T984" s="50"/>
      <c r="U984" s="50"/>
      <c r="V984" s="50"/>
      <c r="W984" s="50"/>
    </row>
    <row r="985">
      <c r="A985" s="50"/>
      <c r="B985" s="59"/>
      <c r="C985" s="50"/>
      <c r="D985" s="59"/>
      <c r="E985" s="50"/>
      <c r="F985" s="59"/>
      <c r="G985" s="50"/>
      <c r="H985" s="63"/>
      <c r="I985" s="50"/>
      <c r="J985" s="50"/>
      <c r="K985" s="50"/>
      <c r="L985" s="50"/>
      <c r="M985" s="50"/>
      <c r="N985" s="50"/>
      <c r="O985" s="50"/>
      <c r="P985" s="50"/>
      <c r="Q985" s="50"/>
      <c r="R985" s="50"/>
      <c r="S985" s="50"/>
      <c r="T985" s="50"/>
      <c r="U985" s="50"/>
      <c r="V985" s="50"/>
      <c r="W985" s="50"/>
    </row>
    <row r="986">
      <c r="A986" s="50"/>
      <c r="B986" s="59"/>
      <c r="C986" s="50"/>
      <c r="D986" s="59"/>
      <c r="E986" s="50"/>
      <c r="F986" s="59"/>
      <c r="G986" s="50"/>
      <c r="H986" s="63"/>
      <c r="I986" s="50"/>
      <c r="J986" s="50"/>
      <c r="K986" s="50"/>
      <c r="L986" s="50"/>
      <c r="M986" s="50"/>
      <c r="N986" s="50"/>
      <c r="O986" s="50"/>
      <c r="P986" s="50"/>
      <c r="Q986" s="50"/>
      <c r="R986" s="50"/>
      <c r="S986" s="50"/>
      <c r="T986" s="50"/>
      <c r="U986" s="50"/>
      <c r="V986" s="50"/>
      <c r="W986" s="50"/>
    </row>
    <row r="987">
      <c r="A987" s="50"/>
      <c r="B987" s="59"/>
      <c r="C987" s="50"/>
      <c r="D987" s="59"/>
      <c r="E987" s="50"/>
      <c r="F987" s="59"/>
      <c r="G987" s="50"/>
      <c r="H987" s="63"/>
      <c r="I987" s="50"/>
      <c r="J987" s="50"/>
      <c r="K987" s="50"/>
      <c r="L987" s="50"/>
      <c r="M987" s="50"/>
      <c r="N987" s="50"/>
      <c r="O987" s="50"/>
      <c r="P987" s="50"/>
      <c r="Q987" s="50"/>
      <c r="R987" s="50"/>
      <c r="S987" s="50"/>
      <c r="T987" s="50"/>
      <c r="U987" s="50"/>
      <c r="V987" s="50"/>
      <c r="W987" s="50"/>
    </row>
    <row r="988">
      <c r="A988" s="50"/>
      <c r="B988" s="59"/>
      <c r="C988" s="50"/>
      <c r="D988" s="59"/>
      <c r="E988" s="50"/>
      <c r="F988" s="59"/>
      <c r="G988" s="50"/>
      <c r="H988" s="63"/>
      <c r="I988" s="50"/>
      <c r="J988" s="50"/>
      <c r="K988" s="50"/>
      <c r="L988" s="50"/>
      <c r="M988" s="50"/>
      <c r="N988" s="50"/>
      <c r="O988" s="50"/>
      <c r="P988" s="50"/>
      <c r="Q988" s="50"/>
      <c r="R988" s="50"/>
      <c r="S988" s="50"/>
      <c r="T988" s="50"/>
      <c r="U988" s="50"/>
      <c r="V988" s="50"/>
      <c r="W988" s="50"/>
    </row>
    <row r="989">
      <c r="A989" s="50"/>
      <c r="B989" s="59"/>
      <c r="C989" s="50"/>
      <c r="D989" s="59"/>
      <c r="E989" s="50"/>
      <c r="F989" s="59"/>
      <c r="G989" s="50"/>
      <c r="H989" s="63"/>
      <c r="I989" s="50"/>
      <c r="J989" s="50"/>
      <c r="K989" s="50"/>
      <c r="L989" s="50"/>
      <c r="M989" s="50"/>
      <c r="N989" s="50"/>
      <c r="O989" s="50"/>
      <c r="P989" s="50"/>
      <c r="Q989" s="50"/>
      <c r="R989" s="50"/>
      <c r="S989" s="50"/>
      <c r="T989" s="50"/>
      <c r="U989" s="50"/>
      <c r="V989" s="50"/>
      <c r="W989" s="50"/>
    </row>
    <row r="990">
      <c r="A990" s="50"/>
      <c r="B990" s="59"/>
      <c r="C990" s="50"/>
      <c r="D990" s="59"/>
      <c r="E990" s="50"/>
      <c r="F990" s="59"/>
      <c r="G990" s="50"/>
      <c r="H990" s="63"/>
      <c r="I990" s="50"/>
      <c r="J990" s="50"/>
      <c r="K990" s="50"/>
      <c r="L990" s="50"/>
      <c r="M990" s="50"/>
      <c r="N990" s="50"/>
      <c r="O990" s="50"/>
      <c r="P990" s="50"/>
      <c r="Q990" s="50"/>
      <c r="R990" s="50"/>
      <c r="S990" s="50"/>
      <c r="T990" s="50"/>
      <c r="U990" s="50"/>
      <c r="V990" s="50"/>
      <c r="W990" s="50"/>
    </row>
    <row r="991">
      <c r="A991" s="50"/>
      <c r="B991" s="59"/>
      <c r="C991" s="50"/>
      <c r="D991" s="59"/>
      <c r="E991" s="50"/>
      <c r="F991" s="59"/>
      <c r="G991" s="50"/>
      <c r="H991" s="63"/>
      <c r="I991" s="50"/>
      <c r="J991" s="50"/>
      <c r="K991" s="50"/>
      <c r="L991" s="50"/>
      <c r="M991" s="50"/>
      <c r="N991" s="50"/>
      <c r="O991" s="50"/>
      <c r="P991" s="50"/>
      <c r="Q991" s="50"/>
      <c r="R991" s="50"/>
      <c r="S991" s="50"/>
      <c r="T991" s="50"/>
      <c r="U991" s="50"/>
      <c r="V991" s="50"/>
      <c r="W991" s="50"/>
    </row>
    <row r="992">
      <c r="A992" s="50"/>
      <c r="B992" s="59"/>
      <c r="C992" s="50"/>
      <c r="D992" s="59"/>
      <c r="E992" s="50"/>
      <c r="F992" s="59"/>
      <c r="G992" s="50"/>
      <c r="H992" s="63"/>
      <c r="I992" s="50"/>
      <c r="J992" s="50"/>
      <c r="K992" s="50"/>
      <c r="L992" s="50"/>
      <c r="M992" s="50"/>
      <c r="N992" s="50"/>
      <c r="O992" s="50"/>
      <c r="P992" s="50"/>
      <c r="Q992" s="50"/>
      <c r="R992" s="50"/>
      <c r="S992" s="50"/>
      <c r="T992" s="50"/>
      <c r="U992" s="50"/>
      <c r="V992" s="50"/>
      <c r="W992" s="50"/>
    </row>
    <row r="993">
      <c r="A993" s="50"/>
      <c r="B993" s="59"/>
      <c r="C993" s="50"/>
      <c r="D993" s="59"/>
      <c r="E993" s="50"/>
      <c r="F993" s="59"/>
      <c r="G993" s="50"/>
      <c r="H993" s="63"/>
      <c r="I993" s="50"/>
      <c r="J993" s="50"/>
      <c r="K993" s="50"/>
      <c r="L993" s="50"/>
      <c r="M993" s="50"/>
      <c r="N993" s="50"/>
      <c r="O993" s="50"/>
      <c r="P993" s="50"/>
      <c r="Q993" s="50"/>
      <c r="R993" s="50"/>
      <c r="S993" s="50"/>
      <c r="T993" s="50"/>
      <c r="U993" s="50"/>
      <c r="V993" s="50"/>
      <c r="W993" s="50"/>
    </row>
    <row r="994">
      <c r="A994" s="50"/>
      <c r="B994" s="59"/>
      <c r="C994" s="50"/>
      <c r="D994" s="59"/>
      <c r="E994" s="50"/>
      <c r="F994" s="59"/>
      <c r="G994" s="50"/>
      <c r="H994" s="63"/>
      <c r="I994" s="50"/>
      <c r="J994" s="50"/>
      <c r="K994" s="50"/>
      <c r="L994" s="50"/>
      <c r="M994" s="50"/>
      <c r="N994" s="50"/>
      <c r="O994" s="50"/>
      <c r="P994" s="50"/>
      <c r="Q994" s="50"/>
      <c r="R994" s="50"/>
      <c r="S994" s="50"/>
      <c r="T994" s="50"/>
      <c r="U994" s="50"/>
      <c r="V994" s="50"/>
      <c r="W994" s="50"/>
    </row>
    <row r="995">
      <c r="A995" s="50"/>
      <c r="B995" s="59"/>
      <c r="C995" s="50"/>
      <c r="D995" s="59"/>
      <c r="E995" s="50"/>
      <c r="F995" s="59"/>
      <c r="G995" s="50"/>
      <c r="H995" s="63"/>
      <c r="I995" s="50"/>
      <c r="J995" s="50"/>
      <c r="K995" s="50"/>
      <c r="L995" s="50"/>
      <c r="M995" s="50"/>
      <c r="N995" s="50"/>
      <c r="O995" s="50"/>
      <c r="P995" s="50"/>
      <c r="Q995" s="50"/>
      <c r="R995" s="50"/>
      <c r="S995" s="50"/>
      <c r="T995" s="50"/>
      <c r="U995" s="50"/>
      <c r="V995" s="50"/>
      <c r="W995" s="50"/>
    </row>
    <row r="996">
      <c r="A996" s="50"/>
      <c r="B996" s="59"/>
      <c r="C996" s="50"/>
      <c r="D996" s="59"/>
      <c r="E996" s="50"/>
      <c r="F996" s="59"/>
      <c r="G996" s="50"/>
      <c r="H996" s="63"/>
      <c r="I996" s="50"/>
      <c r="J996" s="50"/>
      <c r="K996" s="50"/>
      <c r="L996" s="50"/>
      <c r="M996" s="50"/>
      <c r="N996" s="50"/>
      <c r="O996" s="50"/>
      <c r="P996" s="50"/>
      <c r="Q996" s="50"/>
      <c r="R996" s="50"/>
      <c r="S996" s="50"/>
      <c r="T996" s="50"/>
      <c r="U996" s="50"/>
      <c r="V996" s="50"/>
      <c r="W996" s="50"/>
    </row>
    <row r="997">
      <c r="A997" s="50"/>
      <c r="B997" s="59"/>
      <c r="C997" s="50"/>
      <c r="D997" s="59"/>
      <c r="E997" s="50"/>
      <c r="F997" s="59"/>
      <c r="G997" s="50"/>
      <c r="H997" s="63"/>
      <c r="I997" s="50"/>
      <c r="J997" s="50"/>
      <c r="K997" s="50"/>
      <c r="L997" s="50"/>
      <c r="M997" s="50"/>
      <c r="N997" s="50"/>
      <c r="O997" s="50"/>
      <c r="P997" s="50"/>
      <c r="Q997" s="50"/>
      <c r="R997" s="50"/>
      <c r="S997" s="50"/>
      <c r="T997" s="50"/>
      <c r="U997" s="50"/>
      <c r="V997" s="50"/>
      <c r="W997" s="50"/>
    </row>
    <row r="998">
      <c r="A998" s="50"/>
      <c r="B998" s="59"/>
      <c r="C998" s="50"/>
      <c r="D998" s="59"/>
      <c r="E998" s="50"/>
      <c r="F998" s="59"/>
      <c r="G998" s="50"/>
      <c r="H998" s="63"/>
      <c r="I998" s="50"/>
      <c r="J998" s="50"/>
      <c r="K998" s="50"/>
      <c r="L998" s="50"/>
      <c r="M998" s="50"/>
      <c r="N998" s="50"/>
      <c r="O998" s="50"/>
      <c r="P998" s="50"/>
      <c r="Q998" s="50"/>
      <c r="R998" s="50"/>
      <c r="S998" s="50"/>
      <c r="T998" s="50"/>
      <c r="U998" s="50"/>
      <c r="V998" s="50"/>
      <c r="W998" s="50"/>
    </row>
    <row r="999">
      <c r="A999" s="50"/>
      <c r="B999" s="59"/>
      <c r="C999" s="50"/>
      <c r="D999" s="59"/>
      <c r="E999" s="50"/>
      <c r="F999" s="59"/>
      <c r="G999" s="50"/>
      <c r="H999" s="63"/>
      <c r="I999" s="50"/>
      <c r="J999" s="50"/>
      <c r="K999" s="50"/>
      <c r="L999" s="50"/>
      <c r="M999" s="50"/>
      <c r="N999" s="50"/>
      <c r="O999" s="50"/>
      <c r="P999" s="50"/>
      <c r="Q999" s="50"/>
      <c r="R999" s="50"/>
      <c r="S999" s="50"/>
      <c r="T999" s="50"/>
      <c r="U999" s="50"/>
      <c r="V999" s="50"/>
      <c r="W999" s="50"/>
    </row>
    <row r="1000">
      <c r="A1000" s="50"/>
      <c r="B1000" s="59"/>
      <c r="C1000" s="50"/>
      <c r="D1000" s="59"/>
      <c r="E1000" s="50"/>
      <c r="F1000" s="59"/>
      <c r="G1000" s="50"/>
      <c r="H1000" s="63"/>
      <c r="I1000" s="50"/>
      <c r="J1000" s="50"/>
      <c r="K1000" s="50"/>
      <c r="L1000" s="50"/>
      <c r="M1000" s="50"/>
      <c r="N1000" s="50"/>
      <c r="O1000" s="50"/>
      <c r="P1000" s="50"/>
      <c r="Q1000" s="50"/>
      <c r="R1000" s="50"/>
      <c r="S1000" s="50"/>
      <c r="T1000" s="50"/>
      <c r="U1000" s="50"/>
      <c r="V1000" s="50"/>
      <c r="W1000" s="50"/>
    </row>
    <row r="1001">
      <c r="A1001" s="50"/>
      <c r="B1001" s="59"/>
      <c r="C1001" s="50"/>
      <c r="D1001" s="59"/>
      <c r="E1001" s="50"/>
      <c r="F1001" s="59"/>
      <c r="G1001" s="50"/>
      <c r="H1001" s="63"/>
      <c r="I1001" s="50"/>
      <c r="J1001" s="50"/>
      <c r="K1001" s="50"/>
      <c r="L1001" s="50"/>
      <c r="M1001" s="50"/>
      <c r="N1001" s="50"/>
      <c r="O1001" s="50"/>
      <c r="P1001" s="50"/>
      <c r="Q1001" s="50"/>
      <c r="R1001" s="50"/>
      <c r="S1001" s="50"/>
      <c r="T1001" s="50"/>
      <c r="U1001" s="50"/>
      <c r="V1001" s="50"/>
      <c r="W1001" s="50"/>
    </row>
    <row r="1002">
      <c r="A1002" s="50"/>
      <c r="B1002" s="59"/>
      <c r="C1002" s="50"/>
      <c r="D1002" s="59"/>
      <c r="E1002" s="50"/>
      <c r="F1002" s="59"/>
      <c r="G1002" s="50"/>
      <c r="H1002" s="63"/>
      <c r="I1002" s="50"/>
      <c r="J1002" s="50"/>
      <c r="K1002" s="50"/>
      <c r="L1002" s="50"/>
      <c r="M1002" s="50"/>
      <c r="N1002" s="50"/>
      <c r="O1002" s="50"/>
      <c r="P1002" s="50"/>
      <c r="Q1002" s="50"/>
      <c r="R1002" s="50"/>
      <c r="S1002" s="50"/>
      <c r="T1002" s="50"/>
      <c r="U1002" s="50"/>
      <c r="V1002" s="50"/>
      <c r="W1002" s="50"/>
    </row>
    <row r="1003">
      <c r="A1003" s="50"/>
      <c r="B1003" s="59"/>
      <c r="C1003" s="50"/>
      <c r="D1003" s="59"/>
      <c r="E1003" s="50"/>
      <c r="F1003" s="59"/>
      <c r="G1003" s="50"/>
      <c r="H1003" s="63"/>
      <c r="I1003" s="50"/>
      <c r="J1003" s="50"/>
      <c r="K1003" s="50"/>
      <c r="L1003" s="50"/>
      <c r="M1003" s="50"/>
      <c r="N1003" s="50"/>
      <c r="O1003" s="50"/>
      <c r="P1003" s="50"/>
      <c r="Q1003" s="50"/>
      <c r="R1003" s="50"/>
      <c r="S1003" s="50"/>
      <c r="T1003" s="50"/>
      <c r="U1003" s="50"/>
      <c r="V1003" s="50"/>
      <c r="W1003" s="50"/>
    </row>
    <row r="1004">
      <c r="A1004" s="50"/>
      <c r="B1004" s="59"/>
      <c r="C1004" s="50"/>
      <c r="D1004" s="59"/>
      <c r="E1004" s="50"/>
      <c r="F1004" s="59"/>
      <c r="G1004" s="50"/>
      <c r="H1004" s="63"/>
      <c r="I1004" s="50"/>
      <c r="J1004" s="50"/>
      <c r="K1004" s="50"/>
      <c r="L1004" s="50"/>
      <c r="M1004" s="50"/>
      <c r="N1004" s="50"/>
      <c r="O1004" s="50"/>
      <c r="P1004" s="50"/>
      <c r="Q1004" s="50"/>
      <c r="R1004" s="50"/>
      <c r="S1004" s="50"/>
      <c r="T1004" s="50"/>
      <c r="U1004" s="50"/>
      <c r="V1004" s="50"/>
      <c r="W1004" s="50"/>
    </row>
    <row r="1005">
      <c r="A1005" s="50"/>
      <c r="B1005" s="59"/>
      <c r="C1005" s="50"/>
      <c r="D1005" s="59"/>
      <c r="E1005" s="50"/>
      <c r="F1005" s="59"/>
      <c r="G1005" s="50"/>
      <c r="H1005" s="63"/>
      <c r="I1005" s="50"/>
      <c r="J1005" s="50"/>
      <c r="K1005" s="50"/>
      <c r="L1005" s="50"/>
      <c r="M1005" s="50"/>
      <c r="N1005" s="50"/>
      <c r="O1005" s="50"/>
      <c r="P1005" s="50"/>
      <c r="Q1005" s="50"/>
      <c r="R1005" s="50"/>
      <c r="S1005" s="50"/>
      <c r="T1005" s="50"/>
      <c r="U1005" s="50"/>
      <c r="V1005" s="50"/>
      <c r="W1005" s="50"/>
    </row>
    <row r="1006">
      <c r="A1006" s="50"/>
      <c r="B1006" s="59"/>
      <c r="C1006" s="50"/>
      <c r="D1006" s="59"/>
      <c r="E1006" s="50"/>
      <c r="F1006" s="59"/>
      <c r="G1006" s="50"/>
      <c r="H1006" s="63"/>
      <c r="I1006" s="50"/>
      <c r="J1006" s="50"/>
      <c r="K1006" s="50"/>
      <c r="L1006" s="50"/>
      <c r="M1006" s="50"/>
      <c r="N1006" s="50"/>
      <c r="O1006" s="50"/>
      <c r="P1006" s="50"/>
      <c r="Q1006" s="50"/>
      <c r="R1006" s="50"/>
      <c r="S1006" s="50"/>
      <c r="T1006" s="50"/>
      <c r="U1006" s="50"/>
      <c r="V1006" s="50"/>
      <c r="W1006" s="50"/>
    </row>
    <row r="1007">
      <c r="A1007" s="50"/>
      <c r="B1007" s="59"/>
      <c r="C1007" s="50"/>
      <c r="D1007" s="59"/>
      <c r="E1007" s="50"/>
      <c r="F1007" s="59"/>
      <c r="G1007" s="50"/>
      <c r="H1007" s="63"/>
      <c r="I1007" s="50"/>
      <c r="J1007" s="50"/>
      <c r="K1007" s="50"/>
      <c r="L1007" s="50"/>
      <c r="M1007" s="50"/>
      <c r="N1007" s="50"/>
      <c r="O1007" s="50"/>
      <c r="P1007" s="50"/>
      <c r="Q1007" s="50"/>
      <c r="R1007" s="50"/>
      <c r="S1007" s="50"/>
      <c r="T1007" s="50"/>
      <c r="U1007" s="50"/>
      <c r="V1007" s="50"/>
      <c r="W1007" s="50"/>
    </row>
    <row r="1008">
      <c r="A1008" s="50"/>
      <c r="B1008" s="59"/>
      <c r="C1008" s="50"/>
      <c r="D1008" s="59"/>
      <c r="E1008" s="50"/>
      <c r="F1008" s="59"/>
      <c r="G1008" s="50"/>
      <c r="H1008" s="63"/>
      <c r="I1008" s="50"/>
      <c r="J1008" s="50"/>
      <c r="K1008" s="50"/>
      <c r="L1008" s="50"/>
      <c r="M1008" s="50"/>
      <c r="N1008" s="50"/>
      <c r="O1008" s="50"/>
      <c r="P1008" s="50"/>
      <c r="Q1008" s="50"/>
      <c r="R1008" s="50"/>
      <c r="S1008" s="50"/>
      <c r="T1008" s="50"/>
      <c r="U1008" s="50"/>
      <c r="V1008" s="50"/>
      <c r="W1008" s="50"/>
    </row>
    <row r="1009">
      <c r="A1009" s="50"/>
      <c r="B1009" s="59"/>
      <c r="C1009" s="50"/>
      <c r="D1009" s="59"/>
      <c r="E1009" s="50"/>
      <c r="F1009" s="59"/>
      <c r="G1009" s="50"/>
      <c r="H1009" s="63"/>
      <c r="I1009" s="50"/>
      <c r="J1009" s="50"/>
      <c r="K1009" s="50"/>
      <c r="L1009" s="50"/>
      <c r="M1009" s="50"/>
      <c r="N1009" s="50"/>
      <c r="O1009" s="50"/>
      <c r="P1009" s="50"/>
      <c r="Q1009" s="50"/>
      <c r="R1009" s="50"/>
      <c r="S1009" s="50"/>
      <c r="T1009" s="50"/>
      <c r="U1009" s="50"/>
      <c r="V1009" s="50"/>
      <c r="W1009" s="50"/>
    </row>
    <row r="1010">
      <c r="A1010" s="50"/>
      <c r="B1010" s="59"/>
      <c r="C1010" s="50"/>
      <c r="D1010" s="59"/>
      <c r="E1010" s="50"/>
      <c r="F1010" s="59"/>
      <c r="G1010" s="50"/>
      <c r="H1010" s="63"/>
      <c r="I1010" s="50"/>
      <c r="J1010" s="50"/>
      <c r="K1010" s="50"/>
      <c r="L1010" s="50"/>
      <c r="M1010" s="50"/>
      <c r="N1010" s="50"/>
      <c r="O1010" s="50"/>
      <c r="P1010" s="50"/>
      <c r="Q1010" s="50"/>
      <c r="R1010" s="50"/>
      <c r="S1010" s="50"/>
      <c r="T1010" s="50"/>
      <c r="U1010" s="50"/>
      <c r="V1010" s="50"/>
      <c r="W1010" s="50"/>
    </row>
    <row r="1011">
      <c r="A1011" s="50"/>
      <c r="B1011" s="59"/>
      <c r="C1011" s="50"/>
      <c r="D1011" s="59"/>
      <c r="E1011" s="50"/>
      <c r="F1011" s="59"/>
      <c r="G1011" s="50"/>
      <c r="H1011" s="63"/>
      <c r="I1011" s="50"/>
      <c r="J1011" s="50"/>
      <c r="K1011" s="50"/>
      <c r="L1011" s="50"/>
      <c r="M1011" s="50"/>
      <c r="N1011" s="50"/>
      <c r="O1011" s="50"/>
      <c r="P1011" s="50"/>
      <c r="Q1011" s="50"/>
      <c r="R1011" s="50"/>
      <c r="S1011" s="50"/>
      <c r="T1011" s="50"/>
      <c r="U1011" s="50"/>
      <c r="V1011" s="50"/>
      <c r="W1011" s="50"/>
    </row>
    <row r="1012">
      <c r="A1012" s="50"/>
      <c r="B1012" s="59"/>
      <c r="C1012" s="50"/>
      <c r="D1012" s="59"/>
      <c r="E1012" s="50"/>
      <c r="F1012" s="59"/>
      <c r="G1012" s="50"/>
      <c r="H1012" s="63"/>
      <c r="I1012" s="50"/>
      <c r="J1012" s="50"/>
      <c r="K1012" s="50"/>
      <c r="L1012" s="50"/>
      <c r="M1012" s="50"/>
      <c r="N1012" s="50"/>
      <c r="O1012" s="50"/>
      <c r="P1012" s="50"/>
      <c r="Q1012" s="50"/>
      <c r="R1012" s="50"/>
      <c r="S1012" s="50"/>
      <c r="T1012" s="50"/>
      <c r="U1012" s="50"/>
      <c r="V1012" s="50"/>
      <c r="W1012" s="50"/>
    </row>
    <row r="1013">
      <c r="A1013" s="50"/>
      <c r="B1013" s="59"/>
      <c r="C1013" s="50"/>
      <c r="D1013" s="59"/>
      <c r="E1013" s="50"/>
      <c r="F1013" s="59"/>
      <c r="G1013" s="50"/>
      <c r="H1013" s="63"/>
      <c r="I1013" s="50"/>
      <c r="J1013" s="50"/>
      <c r="K1013" s="50"/>
      <c r="L1013" s="50"/>
      <c r="M1013" s="50"/>
      <c r="N1013" s="50"/>
      <c r="O1013" s="50"/>
      <c r="P1013" s="50"/>
      <c r="Q1013" s="50"/>
      <c r="R1013" s="50"/>
      <c r="S1013" s="50"/>
      <c r="T1013" s="50"/>
      <c r="U1013" s="50"/>
      <c r="V1013" s="50"/>
      <c r="W1013" s="50"/>
    </row>
    <row r="1014">
      <c r="A1014" s="50"/>
      <c r="B1014" s="59"/>
      <c r="C1014" s="50"/>
      <c r="D1014" s="59"/>
      <c r="E1014" s="50"/>
      <c r="F1014" s="59"/>
      <c r="G1014" s="50"/>
      <c r="H1014" s="63"/>
      <c r="I1014" s="50"/>
      <c r="J1014" s="50"/>
      <c r="K1014" s="50"/>
      <c r="L1014" s="50"/>
      <c r="M1014" s="50"/>
      <c r="N1014" s="50"/>
      <c r="O1014" s="50"/>
      <c r="P1014" s="50"/>
      <c r="Q1014" s="50"/>
      <c r="R1014" s="50"/>
      <c r="S1014" s="50"/>
      <c r="T1014" s="50"/>
      <c r="U1014" s="50"/>
      <c r="V1014" s="50"/>
      <c r="W1014" s="50"/>
    </row>
    <row r="1015">
      <c r="A1015" s="50"/>
      <c r="B1015" s="59"/>
      <c r="C1015" s="50"/>
      <c r="D1015" s="59"/>
      <c r="E1015" s="50"/>
      <c r="F1015" s="59"/>
      <c r="G1015" s="50"/>
      <c r="H1015" s="63"/>
      <c r="I1015" s="50"/>
      <c r="J1015" s="50"/>
      <c r="K1015" s="50"/>
      <c r="L1015" s="50"/>
      <c r="M1015" s="50"/>
      <c r="N1015" s="50"/>
      <c r="O1015" s="50"/>
      <c r="P1015" s="50"/>
      <c r="Q1015" s="50"/>
      <c r="R1015" s="50"/>
      <c r="S1015" s="50"/>
      <c r="T1015" s="50"/>
      <c r="U1015" s="50"/>
      <c r="V1015" s="50"/>
      <c r="W1015" s="50"/>
    </row>
    <row r="1016">
      <c r="A1016" s="50"/>
      <c r="B1016" s="59"/>
      <c r="C1016" s="50"/>
      <c r="D1016" s="59"/>
      <c r="E1016" s="50"/>
      <c r="F1016" s="59"/>
      <c r="G1016" s="50"/>
      <c r="H1016" s="63"/>
      <c r="I1016" s="50"/>
      <c r="J1016" s="50"/>
      <c r="K1016" s="50"/>
      <c r="L1016" s="50"/>
      <c r="M1016" s="50"/>
      <c r="N1016" s="50"/>
      <c r="O1016" s="50"/>
      <c r="P1016" s="50"/>
      <c r="Q1016" s="50"/>
      <c r="R1016" s="50"/>
      <c r="S1016" s="50"/>
      <c r="T1016" s="50"/>
      <c r="U1016" s="50"/>
      <c r="V1016" s="50"/>
      <c r="W1016" s="50"/>
    </row>
    <row r="1017">
      <c r="A1017" s="50"/>
      <c r="B1017" s="59"/>
      <c r="C1017" s="50"/>
      <c r="D1017" s="59"/>
      <c r="E1017" s="50"/>
      <c r="F1017" s="59"/>
      <c r="G1017" s="50"/>
      <c r="H1017" s="63"/>
      <c r="I1017" s="50"/>
      <c r="J1017" s="50"/>
      <c r="K1017" s="50"/>
      <c r="L1017" s="50"/>
      <c r="M1017" s="50"/>
      <c r="N1017" s="50"/>
      <c r="O1017" s="50"/>
      <c r="P1017" s="50"/>
      <c r="Q1017" s="50"/>
      <c r="R1017" s="50"/>
      <c r="S1017" s="50"/>
      <c r="T1017" s="50"/>
      <c r="U1017" s="50"/>
      <c r="V1017" s="50"/>
      <c r="W1017" s="50"/>
    </row>
    <row r="1018">
      <c r="A1018" s="50"/>
      <c r="B1018" s="59"/>
      <c r="C1018" s="50"/>
      <c r="D1018" s="59"/>
      <c r="E1018" s="50"/>
      <c r="F1018" s="59"/>
      <c r="G1018" s="50"/>
      <c r="H1018" s="63"/>
      <c r="I1018" s="50"/>
      <c r="J1018" s="50"/>
      <c r="K1018" s="50"/>
      <c r="L1018" s="50"/>
      <c r="M1018" s="50"/>
      <c r="N1018" s="50"/>
      <c r="O1018" s="50"/>
      <c r="P1018" s="50"/>
      <c r="Q1018" s="50"/>
      <c r="R1018" s="50"/>
      <c r="S1018" s="50"/>
      <c r="T1018" s="50"/>
      <c r="U1018" s="50"/>
      <c r="V1018" s="50"/>
      <c r="W1018" s="50"/>
    </row>
    <row r="1019">
      <c r="A1019" s="50"/>
      <c r="B1019" s="59"/>
      <c r="C1019" s="50"/>
      <c r="D1019" s="59"/>
      <c r="E1019" s="50"/>
      <c r="F1019" s="59"/>
      <c r="G1019" s="50"/>
      <c r="H1019" s="63"/>
      <c r="I1019" s="50"/>
      <c r="J1019" s="50"/>
      <c r="K1019" s="50"/>
      <c r="L1019" s="50"/>
      <c r="M1019" s="50"/>
      <c r="N1019" s="50"/>
      <c r="O1019" s="50"/>
      <c r="P1019" s="50"/>
      <c r="Q1019" s="50"/>
      <c r="R1019" s="50"/>
      <c r="S1019" s="50"/>
      <c r="T1019" s="50"/>
      <c r="U1019" s="50"/>
      <c r="V1019" s="50"/>
      <c r="W1019" s="50"/>
    </row>
    <row r="1020">
      <c r="A1020" s="50"/>
      <c r="B1020" s="59"/>
      <c r="C1020" s="50"/>
      <c r="D1020" s="59"/>
      <c r="E1020" s="50"/>
      <c r="F1020" s="59"/>
      <c r="G1020" s="50"/>
      <c r="H1020" s="63"/>
      <c r="I1020" s="50"/>
      <c r="J1020" s="50"/>
      <c r="K1020" s="50"/>
      <c r="L1020" s="50"/>
      <c r="M1020" s="50"/>
      <c r="N1020" s="50"/>
      <c r="O1020" s="50"/>
      <c r="P1020" s="50"/>
      <c r="Q1020" s="50"/>
      <c r="R1020" s="50"/>
      <c r="S1020" s="50"/>
      <c r="T1020" s="50"/>
      <c r="U1020" s="50"/>
      <c r="V1020" s="50"/>
      <c r="W1020" s="50"/>
    </row>
    <row r="1021">
      <c r="A1021" s="50"/>
      <c r="B1021" s="59"/>
      <c r="C1021" s="50"/>
      <c r="D1021" s="59"/>
      <c r="E1021" s="50"/>
      <c r="F1021" s="59"/>
      <c r="G1021" s="50"/>
      <c r="H1021" s="63"/>
      <c r="I1021" s="50"/>
      <c r="J1021" s="50"/>
      <c r="K1021" s="50"/>
      <c r="L1021" s="50"/>
      <c r="M1021" s="50"/>
      <c r="N1021" s="50"/>
      <c r="O1021" s="50"/>
      <c r="P1021" s="50"/>
      <c r="Q1021" s="50"/>
      <c r="R1021" s="50"/>
      <c r="S1021" s="50"/>
      <c r="T1021" s="50"/>
      <c r="U1021" s="50"/>
      <c r="V1021" s="50"/>
      <c r="W1021" s="50"/>
    </row>
    <row r="1022">
      <c r="A1022" s="50"/>
      <c r="B1022" s="59"/>
      <c r="C1022" s="50"/>
      <c r="D1022" s="59"/>
      <c r="E1022" s="64"/>
      <c r="F1022" s="59"/>
      <c r="G1022" s="50"/>
      <c r="H1022" s="65"/>
      <c r="I1022" s="50"/>
      <c r="J1022" s="50"/>
      <c r="K1022" s="50"/>
      <c r="L1022" s="50"/>
      <c r="M1022" s="50"/>
      <c r="N1022" s="50"/>
      <c r="O1022" s="50"/>
      <c r="P1022" s="50"/>
      <c r="Q1022" s="50"/>
      <c r="R1022" s="50"/>
      <c r="S1022" s="50"/>
      <c r="T1022" s="50"/>
      <c r="U1022" s="50"/>
      <c r="V1022" s="50"/>
      <c r="W1022" s="50"/>
    </row>
    <row r="1023">
      <c r="A1023" s="50"/>
      <c r="B1023" s="59"/>
      <c r="C1023" s="50"/>
      <c r="D1023" s="59"/>
      <c r="E1023" s="64"/>
      <c r="F1023" s="64"/>
      <c r="G1023" s="50"/>
      <c r="H1023" s="65"/>
      <c r="I1023" s="50"/>
      <c r="J1023" s="50"/>
      <c r="K1023" s="50"/>
      <c r="L1023" s="50"/>
      <c r="M1023" s="50"/>
      <c r="N1023" s="50"/>
      <c r="O1023" s="50"/>
      <c r="P1023" s="50"/>
      <c r="Q1023" s="50"/>
      <c r="R1023" s="50"/>
      <c r="S1023" s="50"/>
      <c r="T1023" s="50"/>
      <c r="U1023" s="50"/>
      <c r="V1023" s="50"/>
      <c r="W1023" s="50"/>
    </row>
    <row r="1024">
      <c r="A1024" s="50"/>
      <c r="B1024" s="59"/>
      <c r="C1024" s="50"/>
      <c r="D1024" s="59"/>
      <c r="E1024" s="64"/>
      <c r="F1024" s="64"/>
      <c r="G1024" s="50"/>
      <c r="I1024" s="50"/>
      <c r="J1024" s="50"/>
      <c r="K1024" s="50"/>
      <c r="L1024" s="50"/>
      <c r="M1024" s="50"/>
      <c r="N1024" s="50"/>
      <c r="O1024" s="50"/>
      <c r="P1024" s="50"/>
      <c r="Q1024" s="50"/>
      <c r="R1024" s="50"/>
      <c r="S1024" s="50"/>
      <c r="T1024" s="50"/>
      <c r="U1024" s="50"/>
      <c r="V1024" s="50"/>
      <c r="W1024" s="50"/>
    </row>
    <row r="1025">
      <c r="A1025" s="50"/>
      <c r="B1025" s="59"/>
      <c r="C1025" s="50"/>
      <c r="D1025" s="59"/>
      <c r="E1025" s="64"/>
      <c r="F1025" s="64"/>
      <c r="G1025" s="50"/>
      <c r="I1025" s="50"/>
      <c r="J1025" s="50"/>
      <c r="K1025" s="50"/>
      <c r="L1025" s="50"/>
      <c r="M1025" s="50"/>
      <c r="N1025" s="50"/>
      <c r="O1025" s="50"/>
      <c r="P1025" s="50"/>
      <c r="Q1025" s="50"/>
      <c r="R1025" s="50"/>
      <c r="S1025" s="50"/>
      <c r="T1025" s="50"/>
      <c r="U1025" s="50"/>
      <c r="V1025" s="50"/>
      <c r="W1025" s="50"/>
    </row>
    <row r="1026">
      <c r="A1026" s="50"/>
      <c r="B1026" s="59"/>
      <c r="C1026" s="50"/>
      <c r="D1026" s="59"/>
      <c r="E1026" s="64"/>
      <c r="F1026" s="64"/>
      <c r="G1026" s="50"/>
      <c r="I1026" s="50"/>
      <c r="J1026" s="50"/>
      <c r="K1026" s="50"/>
      <c r="L1026" s="50"/>
      <c r="M1026" s="50"/>
      <c r="N1026" s="50"/>
      <c r="O1026" s="50"/>
      <c r="P1026" s="50"/>
      <c r="Q1026" s="50"/>
      <c r="R1026" s="50"/>
      <c r="S1026" s="50"/>
      <c r="T1026" s="50"/>
      <c r="U1026" s="50"/>
      <c r="V1026" s="50"/>
      <c r="W1026" s="50"/>
    </row>
    <row r="1027">
      <c r="A1027" s="50"/>
      <c r="B1027" s="59"/>
      <c r="C1027" s="50"/>
      <c r="D1027" s="59"/>
      <c r="F1027" s="64"/>
      <c r="G1027" s="50"/>
      <c r="I1027" s="50"/>
      <c r="J1027" s="50"/>
      <c r="K1027" s="50"/>
      <c r="L1027" s="50"/>
      <c r="M1027" s="50"/>
      <c r="N1027" s="50"/>
      <c r="O1027" s="50"/>
      <c r="P1027" s="50"/>
      <c r="Q1027" s="50"/>
      <c r="R1027" s="50"/>
      <c r="S1027" s="50"/>
      <c r="T1027" s="50"/>
      <c r="U1027" s="50"/>
      <c r="V1027" s="50"/>
      <c r="W1027" s="50"/>
    </row>
    <row r="1028">
      <c r="A1028" s="50"/>
      <c r="B1028" s="59"/>
      <c r="C1028" s="50"/>
      <c r="D1028" s="59"/>
      <c r="G1028" s="50"/>
      <c r="I1028" s="50"/>
      <c r="J1028" s="50"/>
      <c r="K1028" s="50"/>
      <c r="L1028" s="50"/>
      <c r="M1028" s="50"/>
      <c r="N1028" s="50"/>
      <c r="O1028" s="50"/>
      <c r="P1028" s="50"/>
      <c r="Q1028" s="50"/>
      <c r="R1028" s="50"/>
      <c r="S1028" s="50"/>
      <c r="T1028" s="50"/>
      <c r="U1028" s="50"/>
      <c r="V1028" s="50"/>
      <c r="W1028" s="50"/>
    </row>
    <row r="1029">
      <c r="A1029" s="50"/>
      <c r="B1029" s="59"/>
      <c r="C1029" s="50"/>
      <c r="D1029" s="59"/>
      <c r="G1029" s="50"/>
      <c r="I1029" s="50"/>
      <c r="J1029" s="50"/>
      <c r="K1029" s="50"/>
      <c r="L1029" s="50"/>
      <c r="M1029" s="50"/>
      <c r="N1029" s="50"/>
      <c r="O1029" s="50"/>
      <c r="P1029" s="50"/>
      <c r="Q1029" s="50"/>
      <c r="R1029" s="50"/>
      <c r="S1029" s="50"/>
      <c r="T1029" s="50"/>
      <c r="U1029" s="50"/>
      <c r="V1029" s="50"/>
      <c r="W1029" s="50"/>
    </row>
    <row r="1030">
      <c r="A1030" s="50"/>
      <c r="B1030" s="59"/>
      <c r="G1030" s="50"/>
      <c r="I1030" s="50"/>
      <c r="J1030" s="50"/>
      <c r="K1030" s="50"/>
      <c r="L1030" s="50"/>
      <c r="M1030" s="50"/>
      <c r="N1030" s="50"/>
      <c r="O1030" s="50"/>
      <c r="P1030" s="50"/>
      <c r="Q1030" s="50"/>
      <c r="R1030" s="50"/>
      <c r="S1030" s="50"/>
      <c r="T1030" s="50"/>
      <c r="U1030" s="50"/>
      <c r="V1030" s="50"/>
      <c r="W1030" s="50"/>
    </row>
    <row r="1031">
      <c r="A1031" s="50"/>
      <c r="B1031" s="59"/>
      <c r="G1031" s="50"/>
      <c r="I1031" s="50"/>
      <c r="J1031" s="50"/>
      <c r="K1031" s="50"/>
      <c r="L1031" s="50"/>
      <c r="M1031" s="50"/>
      <c r="N1031" s="50"/>
      <c r="O1031" s="50"/>
      <c r="P1031" s="50"/>
      <c r="Q1031" s="50"/>
      <c r="R1031" s="50"/>
      <c r="S1031" s="50"/>
      <c r="T1031" s="50"/>
      <c r="U1031" s="50"/>
      <c r="V1031" s="50"/>
      <c r="W1031" s="50"/>
    </row>
    <row r="1032">
      <c r="G1032" s="50"/>
      <c r="I1032" s="50"/>
      <c r="J1032" s="50"/>
      <c r="K1032" s="50"/>
      <c r="L1032" s="50"/>
      <c r="M1032" s="50"/>
      <c r="N1032" s="50"/>
      <c r="O1032" s="50"/>
      <c r="P1032" s="50"/>
      <c r="Q1032" s="50"/>
      <c r="R1032" s="50"/>
      <c r="S1032" s="50"/>
      <c r="T1032" s="50"/>
      <c r="U1032" s="50"/>
      <c r="V1032" s="50"/>
      <c r="W1032" s="50"/>
    </row>
    <row r="1033">
      <c r="I1033" s="50"/>
      <c r="J1033" s="50"/>
      <c r="K1033" s="50"/>
      <c r="L1033" s="50"/>
      <c r="M1033" s="50"/>
      <c r="N1033" s="50"/>
      <c r="O1033" s="50"/>
      <c r="P1033" s="50"/>
      <c r="Q1033" s="50"/>
      <c r="R1033" s="50"/>
      <c r="S1033" s="50"/>
      <c r="T1033" s="50"/>
      <c r="U1033" s="50"/>
      <c r="V1033" s="50"/>
      <c r="W1033" s="50"/>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88"/>
    <col customWidth="1" min="3" max="3" width="28.25"/>
    <col customWidth="1" min="4" max="4" width="11.88"/>
    <col customWidth="1" min="5" max="5" width="9.88"/>
    <col customWidth="1" min="6" max="6" width="12.38"/>
    <col customWidth="1" min="8" max="8" width="9.88"/>
    <col customWidth="1" min="9" max="9" width="11.5"/>
    <col customWidth="1" min="10" max="10" width="11.75"/>
    <col customWidth="1" min="11" max="11" width="11.63"/>
    <col customWidth="1" min="12" max="12" width="8.38"/>
    <col customWidth="1" min="17" max="17" width="20.25"/>
  </cols>
  <sheetData>
    <row r="1">
      <c r="A1" s="66"/>
      <c r="B1" s="67"/>
      <c r="C1" s="67"/>
      <c r="D1" s="68"/>
      <c r="E1" s="68"/>
      <c r="F1" s="68"/>
      <c r="G1" s="68"/>
      <c r="H1" s="68"/>
      <c r="I1" s="69"/>
      <c r="J1" s="67"/>
      <c r="K1" s="67"/>
      <c r="L1" s="67"/>
      <c r="M1" s="67"/>
      <c r="N1" s="67"/>
      <c r="O1" s="67"/>
      <c r="P1" s="67"/>
      <c r="Q1" s="70"/>
      <c r="R1" s="68"/>
      <c r="S1" s="68"/>
      <c r="T1" s="67"/>
      <c r="U1" s="68"/>
      <c r="V1" s="68"/>
      <c r="W1" s="67"/>
      <c r="X1" s="67"/>
      <c r="Y1" s="67"/>
      <c r="Z1" s="67"/>
      <c r="AA1" s="67"/>
      <c r="AB1" s="67"/>
      <c r="AC1" s="67"/>
    </row>
    <row r="2">
      <c r="A2" s="70" t="s">
        <v>0</v>
      </c>
      <c r="B2" s="70" t="s">
        <v>5</v>
      </c>
      <c r="C2" s="70" t="s">
        <v>1436</v>
      </c>
      <c r="D2" s="71" t="s">
        <v>1437</v>
      </c>
      <c r="E2" s="71" t="s">
        <v>1438</v>
      </c>
      <c r="F2" s="71" t="s">
        <v>1439</v>
      </c>
      <c r="G2" s="71" t="s">
        <v>1440</v>
      </c>
      <c r="H2" s="71" t="s">
        <v>1071</v>
      </c>
      <c r="I2" s="72" t="s">
        <v>1072</v>
      </c>
      <c r="J2" s="70" t="s">
        <v>8</v>
      </c>
      <c r="K2" s="70" t="s">
        <v>1035</v>
      </c>
      <c r="L2" s="70" t="s">
        <v>1036</v>
      </c>
      <c r="M2" s="70" t="s">
        <v>1441</v>
      </c>
      <c r="N2" s="70" t="s">
        <v>1442</v>
      </c>
      <c r="O2" s="70" t="s">
        <v>1443</v>
      </c>
      <c r="P2" s="70" t="s">
        <v>1444</v>
      </c>
      <c r="Q2" s="73" t="s">
        <v>14</v>
      </c>
      <c r="R2" s="71" t="s">
        <v>1445</v>
      </c>
      <c r="S2" s="71" t="s">
        <v>6</v>
      </c>
      <c r="T2" s="70" t="s">
        <v>15</v>
      </c>
      <c r="U2" s="71" t="s">
        <v>1446</v>
      </c>
      <c r="V2" s="71" t="s">
        <v>1447</v>
      </c>
      <c r="W2" s="67"/>
      <c r="X2" s="67"/>
      <c r="Y2" s="67"/>
      <c r="Z2" s="67"/>
      <c r="AA2" s="67"/>
      <c r="AB2" s="67"/>
      <c r="AC2" s="67"/>
    </row>
    <row r="3">
      <c r="A3" s="74">
        <v>42181.0</v>
      </c>
      <c r="B3" s="70" t="s">
        <v>1448</v>
      </c>
      <c r="C3" s="70" t="s">
        <v>1449</v>
      </c>
      <c r="D3" s="71">
        <v>0.0</v>
      </c>
      <c r="E3" s="71">
        <v>0.0</v>
      </c>
      <c r="F3" s="68"/>
      <c r="G3" s="68"/>
      <c r="H3" s="68"/>
      <c r="I3" s="69"/>
      <c r="J3" s="70" t="s">
        <v>1450</v>
      </c>
      <c r="K3" s="67"/>
      <c r="L3" s="70" t="s">
        <v>1451</v>
      </c>
      <c r="M3" s="75">
        <v>1.0</v>
      </c>
      <c r="N3" s="75">
        <v>0.0</v>
      </c>
      <c r="O3" s="75">
        <v>0.0</v>
      </c>
      <c r="P3" s="75">
        <v>1.0</v>
      </c>
      <c r="Q3" s="70" t="s">
        <v>22</v>
      </c>
      <c r="R3" s="71">
        <v>0.0</v>
      </c>
      <c r="S3" s="71">
        <v>0.0</v>
      </c>
      <c r="T3" s="67"/>
      <c r="U3" s="71">
        <v>0.0</v>
      </c>
      <c r="V3" s="68"/>
      <c r="W3" s="67"/>
      <c r="X3" s="67"/>
      <c r="Y3" s="67"/>
      <c r="Z3" s="67"/>
      <c r="AA3" s="67"/>
      <c r="AB3" s="67"/>
      <c r="AC3" s="67"/>
    </row>
    <row r="4">
      <c r="A4" s="74">
        <v>42181.0</v>
      </c>
      <c r="B4" s="70" t="s">
        <v>1452</v>
      </c>
      <c r="C4" s="70" t="s">
        <v>1449</v>
      </c>
      <c r="D4" s="71">
        <v>0.0</v>
      </c>
      <c r="E4" s="71">
        <v>0.0</v>
      </c>
      <c r="F4" s="68"/>
      <c r="G4" s="68"/>
      <c r="H4" s="68"/>
      <c r="I4" s="69"/>
      <c r="J4" s="70" t="s">
        <v>1450</v>
      </c>
      <c r="K4" s="67"/>
      <c r="L4" s="70" t="s">
        <v>1453</v>
      </c>
      <c r="M4" s="75">
        <v>1.0</v>
      </c>
      <c r="N4" s="75">
        <v>0.0</v>
      </c>
      <c r="O4" s="75">
        <v>0.0</v>
      </c>
      <c r="P4" s="75">
        <v>1.0</v>
      </c>
      <c r="Q4" s="70" t="s">
        <v>22</v>
      </c>
      <c r="R4" s="71">
        <v>0.0</v>
      </c>
      <c r="S4" s="71">
        <v>0.0</v>
      </c>
      <c r="T4" s="67"/>
      <c r="U4" s="71">
        <v>0.0</v>
      </c>
      <c r="V4" s="68"/>
      <c r="W4" s="67"/>
      <c r="X4" s="67"/>
      <c r="Y4" s="67"/>
      <c r="Z4" s="67"/>
      <c r="AA4" s="67"/>
      <c r="AB4" s="67"/>
      <c r="AC4" s="67"/>
    </row>
    <row r="5">
      <c r="A5" s="74">
        <v>45866.0</v>
      </c>
      <c r="B5" s="70" t="s">
        <v>1454</v>
      </c>
      <c r="C5" s="70" t="s">
        <v>1455</v>
      </c>
      <c r="D5" s="71">
        <v>3.66</v>
      </c>
      <c r="E5" s="71">
        <v>0.0</v>
      </c>
      <c r="F5" s="68"/>
      <c r="G5" s="68"/>
      <c r="H5" s="68"/>
      <c r="I5" s="69"/>
      <c r="J5" s="70" t="s">
        <v>1450</v>
      </c>
      <c r="K5" s="67"/>
      <c r="L5" s="70" t="s">
        <v>1456</v>
      </c>
      <c r="M5" s="75">
        <v>1.0</v>
      </c>
      <c r="N5" s="75">
        <v>0.0</v>
      </c>
      <c r="O5" s="75">
        <v>0.0</v>
      </c>
      <c r="P5" s="75">
        <v>1.0</v>
      </c>
      <c r="Q5" s="76" t="s">
        <v>22</v>
      </c>
      <c r="R5" s="71">
        <v>0.0</v>
      </c>
      <c r="S5" s="71">
        <v>3.66</v>
      </c>
      <c r="T5" s="67"/>
      <c r="U5" s="71">
        <v>0.25</v>
      </c>
      <c r="V5" s="71">
        <v>0.25</v>
      </c>
      <c r="W5" s="67"/>
      <c r="X5" s="67"/>
      <c r="Y5" s="67"/>
      <c r="Z5" s="67"/>
      <c r="AA5" s="67"/>
      <c r="AB5" s="67"/>
      <c r="AC5" s="67"/>
    </row>
    <row r="6">
      <c r="A6" s="74">
        <v>45873.0</v>
      </c>
      <c r="B6" s="70" t="s">
        <v>1457</v>
      </c>
      <c r="C6" s="70" t="s">
        <v>1458</v>
      </c>
      <c r="D6" s="71">
        <v>0.0</v>
      </c>
      <c r="E6" s="71">
        <v>0.0</v>
      </c>
      <c r="F6" s="68"/>
      <c r="G6" s="68"/>
      <c r="H6" s="71"/>
      <c r="I6" s="72"/>
      <c r="J6" s="70" t="s">
        <v>1450</v>
      </c>
      <c r="K6" s="67"/>
      <c r="L6" s="70" t="s">
        <v>1459</v>
      </c>
      <c r="M6" s="75">
        <v>1.0</v>
      </c>
      <c r="N6" s="75">
        <v>0.0</v>
      </c>
      <c r="O6" s="75">
        <v>0.0</v>
      </c>
      <c r="P6" s="75">
        <v>1.0</v>
      </c>
      <c r="Q6" s="76" t="s">
        <v>22</v>
      </c>
      <c r="R6" s="71">
        <v>0.0</v>
      </c>
      <c r="S6" s="71">
        <v>0.0</v>
      </c>
      <c r="T6" s="70"/>
      <c r="U6" s="71">
        <v>0.0</v>
      </c>
      <c r="V6" s="71"/>
      <c r="W6" s="67"/>
      <c r="X6" s="67"/>
      <c r="Y6" s="67"/>
      <c r="Z6" s="67"/>
      <c r="AA6" s="67"/>
      <c r="AB6" s="67"/>
      <c r="AC6" s="67"/>
    </row>
    <row r="7">
      <c r="A7" s="74">
        <v>45880.0</v>
      </c>
      <c r="B7" s="70" t="s">
        <v>1460</v>
      </c>
      <c r="C7" s="70" t="s">
        <v>1461</v>
      </c>
      <c r="D7" s="71">
        <v>10.99</v>
      </c>
      <c r="E7" s="71">
        <v>0.0</v>
      </c>
      <c r="F7" s="71">
        <v>40.0</v>
      </c>
      <c r="G7" s="68"/>
      <c r="H7" s="71">
        <v>29.01</v>
      </c>
      <c r="I7" s="72">
        <v>0.7252500000000001</v>
      </c>
      <c r="J7" s="70" t="s">
        <v>1462</v>
      </c>
      <c r="K7" s="67"/>
      <c r="L7" s="70" t="s">
        <v>1463</v>
      </c>
      <c r="M7" s="75">
        <v>1.0</v>
      </c>
      <c r="N7" s="75">
        <v>0.0</v>
      </c>
      <c r="O7" s="75">
        <v>0.0</v>
      </c>
      <c r="P7" s="75">
        <v>1.0</v>
      </c>
      <c r="Q7" s="76" t="s">
        <v>22</v>
      </c>
      <c r="R7" s="71">
        <v>0.0</v>
      </c>
      <c r="S7" s="71">
        <v>10.99</v>
      </c>
      <c r="T7" s="67"/>
      <c r="U7" s="71">
        <v>0.0</v>
      </c>
      <c r="V7" s="71"/>
      <c r="W7" s="67"/>
      <c r="X7" s="67"/>
      <c r="Y7" s="67"/>
      <c r="Z7" s="67"/>
      <c r="AA7" s="67"/>
      <c r="AB7" s="67"/>
      <c r="AC7" s="67"/>
    </row>
    <row r="8">
      <c r="A8" s="74">
        <v>45881.0</v>
      </c>
      <c r="B8" s="70" t="s">
        <v>1464</v>
      </c>
      <c r="C8" s="70" t="s">
        <v>1465</v>
      </c>
      <c r="D8" s="71">
        <v>7.79</v>
      </c>
      <c r="E8" s="71">
        <v>12.99</v>
      </c>
      <c r="F8" s="68"/>
      <c r="G8" s="68"/>
      <c r="H8" s="68"/>
      <c r="I8" s="69"/>
      <c r="J8" s="70" t="s">
        <v>1450</v>
      </c>
      <c r="K8" s="67"/>
      <c r="L8" s="70" t="s">
        <v>1466</v>
      </c>
      <c r="M8" s="75">
        <v>1.0</v>
      </c>
      <c r="N8" s="75">
        <v>0.0</v>
      </c>
      <c r="O8" s="75">
        <v>0.0</v>
      </c>
      <c r="P8" s="75">
        <v>1.0</v>
      </c>
      <c r="Q8" s="70" t="s">
        <v>22</v>
      </c>
      <c r="R8" s="71">
        <v>0.0</v>
      </c>
      <c r="S8" s="71">
        <v>7.79</v>
      </c>
      <c r="T8" s="67"/>
      <c r="U8" s="71">
        <v>0.0</v>
      </c>
      <c r="V8" s="71">
        <v>12.99</v>
      </c>
      <c r="W8" s="67"/>
      <c r="X8" s="67"/>
      <c r="Y8" s="67"/>
      <c r="Z8" s="67"/>
      <c r="AA8" s="67"/>
      <c r="AB8" s="67"/>
      <c r="AC8" s="67"/>
    </row>
    <row r="9">
      <c r="A9" s="74">
        <v>45885.0</v>
      </c>
      <c r="B9" s="70" t="s">
        <v>1467</v>
      </c>
      <c r="C9" s="70" t="s">
        <v>1468</v>
      </c>
      <c r="D9" s="71">
        <v>0.0</v>
      </c>
      <c r="E9" s="71">
        <v>0.0</v>
      </c>
      <c r="F9" s="68"/>
      <c r="G9" s="68"/>
      <c r="H9" s="68"/>
      <c r="I9" s="69"/>
      <c r="J9" s="70" t="s">
        <v>1450</v>
      </c>
      <c r="K9" s="67"/>
      <c r="L9" s="70" t="s">
        <v>1469</v>
      </c>
      <c r="M9" s="75">
        <v>1.0</v>
      </c>
      <c r="N9" s="75">
        <v>0.0</v>
      </c>
      <c r="O9" s="75">
        <v>0.0</v>
      </c>
      <c r="P9" s="75">
        <v>1.0</v>
      </c>
      <c r="Q9" s="70" t="s">
        <v>22</v>
      </c>
      <c r="R9" s="71">
        <v>0.92</v>
      </c>
      <c r="S9" s="71">
        <v>0.92</v>
      </c>
      <c r="T9" s="70"/>
      <c r="U9" s="71">
        <v>0.0</v>
      </c>
      <c r="V9" s="71"/>
      <c r="W9" s="67"/>
      <c r="X9" s="67"/>
      <c r="Y9" s="67"/>
      <c r="Z9" s="67"/>
      <c r="AA9" s="67"/>
      <c r="AB9" s="67"/>
      <c r="AC9" s="67"/>
    </row>
    <row r="10">
      <c r="A10" s="74">
        <v>45885.0</v>
      </c>
      <c r="B10" s="70" t="s">
        <v>1470</v>
      </c>
      <c r="C10" s="70" t="s">
        <v>1471</v>
      </c>
      <c r="D10" s="71">
        <v>0.0</v>
      </c>
      <c r="E10" s="71">
        <v>0.0</v>
      </c>
      <c r="F10" s="68"/>
      <c r="G10" s="68"/>
      <c r="H10" s="71"/>
      <c r="I10" s="72"/>
      <c r="J10" s="70" t="s">
        <v>1450</v>
      </c>
      <c r="K10" s="67"/>
      <c r="L10" s="70" t="s">
        <v>1472</v>
      </c>
      <c r="M10" s="75">
        <v>1.0</v>
      </c>
      <c r="N10" s="75">
        <v>0.0</v>
      </c>
      <c r="O10" s="75">
        <v>0.0</v>
      </c>
      <c r="P10" s="75">
        <v>1.0</v>
      </c>
      <c r="Q10" s="70" t="s">
        <v>22</v>
      </c>
      <c r="R10" s="71">
        <v>0.5</v>
      </c>
      <c r="S10" s="71">
        <v>0.5</v>
      </c>
      <c r="T10" s="67"/>
      <c r="U10" s="71">
        <v>5.0</v>
      </c>
      <c r="V10" s="71">
        <v>5.0</v>
      </c>
      <c r="W10" s="67"/>
      <c r="X10" s="67"/>
      <c r="Y10" s="67"/>
      <c r="Z10" s="67"/>
      <c r="AA10" s="67"/>
      <c r="AB10" s="67"/>
      <c r="AC10" s="67"/>
    </row>
    <row r="11">
      <c r="A11" s="74">
        <v>45886.0</v>
      </c>
      <c r="B11" s="70" t="s">
        <v>1473</v>
      </c>
      <c r="C11" s="70" t="s">
        <v>1474</v>
      </c>
      <c r="D11" s="71">
        <v>5.0</v>
      </c>
      <c r="E11" s="71">
        <v>0.0</v>
      </c>
      <c r="F11" s="68"/>
      <c r="G11" s="68"/>
      <c r="H11" s="68"/>
      <c r="I11" s="69"/>
      <c r="J11" s="70" t="s">
        <v>1450</v>
      </c>
      <c r="K11" s="67"/>
      <c r="L11" s="70" t="s">
        <v>1475</v>
      </c>
      <c r="M11" s="75">
        <v>1.0</v>
      </c>
      <c r="N11" s="75">
        <v>0.0</v>
      </c>
      <c r="O11" s="75">
        <v>0.0</v>
      </c>
      <c r="P11" s="75">
        <v>1.0</v>
      </c>
      <c r="Q11" s="70" t="s">
        <v>22</v>
      </c>
      <c r="R11" s="71">
        <v>0.0</v>
      </c>
      <c r="S11" s="71">
        <v>5.0</v>
      </c>
      <c r="T11" s="67"/>
      <c r="U11" s="71">
        <v>0.0</v>
      </c>
      <c r="V11" s="71"/>
      <c r="W11" s="67"/>
      <c r="X11" s="67"/>
      <c r="Y11" s="67"/>
      <c r="Z11" s="67"/>
      <c r="AA11" s="67"/>
      <c r="AB11" s="67"/>
      <c r="AC11" s="67"/>
    </row>
    <row r="12">
      <c r="A12" s="74">
        <v>45886.0</v>
      </c>
      <c r="B12" s="70" t="s">
        <v>1476</v>
      </c>
      <c r="C12" s="70" t="s">
        <v>1477</v>
      </c>
      <c r="D12" s="71">
        <v>19.98</v>
      </c>
      <c r="E12" s="71">
        <v>0.0</v>
      </c>
      <c r="F12" s="68"/>
      <c r="G12" s="68"/>
      <c r="H12" s="68"/>
      <c r="I12" s="69"/>
      <c r="J12" s="70" t="s">
        <v>1450</v>
      </c>
      <c r="K12" s="67"/>
      <c r="L12" s="70" t="s">
        <v>1478</v>
      </c>
      <c r="M12" s="75">
        <v>1.0</v>
      </c>
      <c r="N12" s="75">
        <v>0.0</v>
      </c>
      <c r="O12" s="75">
        <v>0.0</v>
      </c>
      <c r="P12" s="75">
        <v>1.0</v>
      </c>
      <c r="Q12" s="70" t="s">
        <v>22</v>
      </c>
      <c r="R12" s="71">
        <v>0.0</v>
      </c>
      <c r="S12" s="71">
        <v>19.98</v>
      </c>
      <c r="T12" s="67"/>
      <c r="U12" s="71">
        <v>0.0</v>
      </c>
      <c r="V12" s="71"/>
      <c r="W12" s="67"/>
      <c r="X12" s="67"/>
      <c r="Y12" s="67"/>
      <c r="Z12" s="67"/>
      <c r="AA12" s="67"/>
      <c r="AB12" s="67"/>
      <c r="AC12" s="67"/>
    </row>
    <row r="13">
      <c r="A13" s="74">
        <v>45886.0</v>
      </c>
      <c r="B13" s="70" t="s">
        <v>1479</v>
      </c>
      <c r="C13" s="70" t="s">
        <v>1480</v>
      </c>
      <c r="D13" s="71">
        <v>19.98</v>
      </c>
      <c r="E13" s="71">
        <v>0.0</v>
      </c>
      <c r="F13" s="68"/>
      <c r="G13" s="68"/>
      <c r="H13" s="68"/>
      <c r="I13" s="69"/>
      <c r="J13" s="70" t="s">
        <v>1481</v>
      </c>
      <c r="K13" s="67"/>
      <c r="L13" s="70" t="s">
        <v>1482</v>
      </c>
      <c r="M13" s="75">
        <v>1.0</v>
      </c>
      <c r="N13" s="75">
        <v>0.0</v>
      </c>
      <c r="O13" s="75">
        <v>0.0</v>
      </c>
      <c r="P13" s="75">
        <v>1.0</v>
      </c>
      <c r="Q13" s="70" t="s">
        <v>22</v>
      </c>
      <c r="R13" s="71">
        <v>0.0</v>
      </c>
      <c r="S13" s="71">
        <v>19.98</v>
      </c>
      <c r="T13" s="67"/>
      <c r="U13" s="71">
        <v>0.0</v>
      </c>
      <c r="V13" s="71"/>
      <c r="W13" s="67"/>
      <c r="X13" s="67"/>
      <c r="Y13" s="67"/>
      <c r="Z13" s="67"/>
      <c r="AA13" s="67"/>
      <c r="AB13" s="67"/>
      <c r="AC13" s="67"/>
    </row>
    <row r="14">
      <c r="A14" s="74">
        <v>45886.0</v>
      </c>
      <c r="B14" s="70" t="s">
        <v>1483</v>
      </c>
      <c r="C14" s="70" t="s">
        <v>1484</v>
      </c>
      <c r="D14" s="71">
        <v>7.5</v>
      </c>
      <c r="E14" s="71">
        <v>0.0</v>
      </c>
      <c r="F14" s="71">
        <v>25.0</v>
      </c>
      <c r="G14" s="68"/>
      <c r="H14" s="71">
        <v>16.08</v>
      </c>
      <c r="I14" s="72">
        <v>0.6431999999999999</v>
      </c>
      <c r="J14" s="70" t="s">
        <v>1462</v>
      </c>
      <c r="K14" s="67"/>
      <c r="L14" s="67" t="s">
        <v>1485</v>
      </c>
      <c r="M14" s="75">
        <v>1.0</v>
      </c>
      <c r="N14" s="75">
        <v>0.0</v>
      </c>
      <c r="O14" s="75">
        <v>0.0</v>
      </c>
      <c r="P14" s="75">
        <v>1.0</v>
      </c>
      <c r="Q14" s="76" t="s">
        <v>22</v>
      </c>
      <c r="R14" s="71">
        <v>1.42</v>
      </c>
      <c r="S14" s="71">
        <v>8.92</v>
      </c>
      <c r="T14" s="70"/>
      <c r="U14" s="71">
        <v>0.0</v>
      </c>
      <c r="V14" s="71"/>
      <c r="W14" s="67"/>
      <c r="X14" s="67"/>
      <c r="Y14" s="67"/>
      <c r="Z14" s="67"/>
      <c r="AA14" s="67"/>
      <c r="AB14" s="67"/>
      <c r="AC14" s="67"/>
    </row>
    <row r="15">
      <c r="A15" s="74">
        <v>45888.0</v>
      </c>
      <c r="B15" s="70" t="s">
        <v>1486</v>
      </c>
      <c r="C15" s="70" t="s">
        <v>1487</v>
      </c>
      <c r="D15" s="71">
        <v>0.0</v>
      </c>
      <c r="E15" s="71">
        <v>0.0</v>
      </c>
      <c r="F15" s="68"/>
      <c r="G15" s="68"/>
      <c r="H15" s="68"/>
      <c r="I15" s="69"/>
      <c r="J15" s="70" t="s">
        <v>1450</v>
      </c>
      <c r="K15" s="67"/>
      <c r="L15" s="70" t="s">
        <v>1488</v>
      </c>
      <c r="M15" s="75">
        <v>1.0</v>
      </c>
      <c r="N15" s="75">
        <v>0.0</v>
      </c>
      <c r="O15" s="75">
        <v>0.0</v>
      </c>
      <c r="P15" s="75">
        <v>1.0</v>
      </c>
      <c r="Q15" s="76" t="s">
        <v>22</v>
      </c>
      <c r="R15" s="71">
        <v>0.29</v>
      </c>
      <c r="S15" s="71">
        <v>0.29</v>
      </c>
      <c r="T15" s="70"/>
      <c r="U15" s="71">
        <v>0.0</v>
      </c>
      <c r="V15" s="71"/>
      <c r="W15" s="67"/>
      <c r="X15" s="67"/>
      <c r="Y15" s="67"/>
      <c r="Z15" s="67"/>
      <c r="AA15" s="67"/>
      <c r="AB15" s="67"/>
      <c r="AC15" s="67"/>
    </row>
    <row r="16">
      <c r="A16" s="74">
        <v>45889.0</v>
      </c>
      <c r="B16" s="70" t="s">
        <v>1489</v>
      </c>
      <c r="C16" s="70" t="s">
        <v>1490</v>
      </c>
      <c r="D16" s="71">
        <v>10.2</v>
      </c>
      <c r="E16" s="71">
        <v>24.99</v>
      </c>
      <c r="F16" s="71">
        <v>30.0</v>
      </c>
      <c r="G16" s="68"/>
      <c r="H16" s="71">
        <v>18.45</v>
      </c>
      <c r="I16" s="72">
        <v>0.615</v>
      </c>
      <c r="J16" s="70" t="s">
        <v>1462</v>
      </c>
      <c r="K16" s="67"/>
      <c r="L16" s="70" t="s">
        <v>1491</v>
      </c>
      <c r="M16" s="75">
        <v>1.0</v>
      </c>
      <c r="N16" s="75">
        <v>0.0</v>
      </c>
      <c r="O16" s="75">
        <v>0.0</v>
      </c>
      <c r="P16" s="75">
        <v>1.0</v>
      </c>
      <c r="Q16" s="70" t="s">
        <v>22</v>
      </c>
      <c r="R16" s="71">
        <v>1.35</v>
      </c>
      <c r="S16" s="71">
        <v>11.55</v>
      </c>
      <c r="T16" s="67"/>
      <c r="U16" s="71">
        <v>0.0</v>
      </c>
      <c r="V16" s="71">
        <v>24.99</v>
      </c>
      <c r="W16" s="67"/>
      <c r="X16" s="67"/>
      <c r="Y16" s="67"/>
      <c r="Z16" s="67"/>
      <c r="AA16" s="67"/>
      <c r="AB16" s="67"/>
      <c r="AC16" s="67"/>
    </row>
    <row r="17">
      <c r="A17" s="74">
        <v>45889.0</v>
      </c>
      <c r="B17" s="70" t="s">
        <v>1492</v>
      </c>
      <c r="C17" s="70" t="s">
        <v>1490</v>
      </c>
      <c r="D17" s="71">
        <v>10.2</v>
      </c>
      <c r="E17" s="71">
        <v>24.99</v>
      </c>
      <c r="F17" s="68"/>
      <c r="G17" s="68"/>
      <c r="H17" s="68"/>
      <c r="I17" s="69"/>
      <c r="J17" s="70" t="s">
        <v>1450</v>
      </c>
      <c r="K17" s="67"/>
      <c r="L17" s="70" t="s">
        <v>1493</v>
      </c>
      <c r="M17" s="75">
        <v>1.0</v>
      </c>
      <c r="N17" s="75">
        <v>0.0</v>
      </c>
      <c r="O17" s="75">
        <v>0.0</v>
      </c>
      <c r="P17" s="75">
        <v>1.0</v>
      </c>
      <c r="Q17" s="70" t="s">
        <v>22</v>
      </c>
      <c r="R17" s="71">
        <v>1.35</v>
      </c>
      <c r="S17" s="71">
        <v>11.55</v>
      </c>
      <c r="T17" s="67"/>
      <c r="U17" s="71">
        <v>0.0</v>
      </c>
      <c r="V17" s="71">
        <v>24.99</v>
      </c>
      <c r="W17" s="67"/>
      <c r="X17" s="67"/>
      <c r="Y17" s="67"/>
      <c r="Z17" s="67"/>
      <c r="AA17" s="67"/>
      <c r="AB17" s="67"/>
      <c r="AC17" s="67"/>
    </row>
    <row r="18">
      <c r="A18" s="74">
        <v>45890.0</v>
      </c>
      <c r="B18" s="70" t="s">
        <v>1494</v>
      </c>
      <c r="C18" s="70" t="s">
        <v>1487</v>
      </c>
      <c r="D18" s="71">
        <v>0.0</v>
      </c>
      <c r="E18" s="71">
        <v>0.0</v>
      </c>
      <c r="F18" s="71">
        <v>45.0</v>
      </c>
      <c r="G18" s="68"/>
      <c r="H18" s="71">
        <v>44.71</v>
      </c>
      <c r="I18" s="72">
        <v>0.9935555555555555</v>
      </c>
      <c r="J18" s="70" t="s">
        <v>1450</v>
      </c>
      <c r="K18" s="67"/>
      <c r="L18" s="67" t="s">
        <v>1495</v>
      </c>
      <c r="M18" s="75">
        <v>1.0</v>
      </c>
      <c r="N18" s="75">
        <v>0.0</v>
      </c>
      <c r="O18" s="75">
        <v>0.0</v>
      </c>
      <c r="P18" s="75">
        <v>1.0</v>
      </c>
      <c r="Q18" s="76" t="s">
        <v>22</v>
      </c>
      <c r="R18" s="71">
        <v>0.29</v>
      </c>
      <c r="S18" s="71">
        <v>0.29</v>
      </c>
      <c r="T18" s="70"/>
      <c r="U18" s="71">
        <v>0.0</v>
      </c>
      <c r="V18" s="71"/>
      <c r="W18" s="67"/>
      <c r="X18" s="67"/>
      <c r="Y18" s="67"/>
      <c r="Z18" s="67"/>
      <c r="AA18" s="67"/>
      <c r="AB18" s="67"/>
      <c r="AC18" s="67"/>
    </row>
    <row r="19">
      <c r="A19" s="74">
        <v>45890.0</v>
      </c>
      <c r="B19" s="70" t="s">
        <v>1496</v>
      </c>
      <c r="C19" s="70" t="s">
        <v>1497</v>
      </c>
      <c r="D19" s="71">
        <v>1.95</v>
      </c>
      <c r="E19" s="71">
        <v>4.25</v>
      </c>
      <c r="F19" s="68"/>
      <c r="G19" s="68"/>
      <c r="H19" s="68"/>
      <c r="I19" s="69"/>
      <c r="J19" s="70" t="s">
        <v>1450</v>
      </c>
      <c r="K19" s="67"/>
      <c r="L19" s="70" t="s">
        <v>1498</v>
      </c>
      <c r="M19" s="75">
        <v>1.0</v>
      </c>
      <c r="N19" s="75">
        <v>0.0</v>
      </c>
      <c r="O19" s="75">
        <v>0.0</v>
      </c>
      <c r="P19" s="75">
        <v>1.0</v>
      </c>
      <c r="Q19" s="70" t="s">
        <v>22</v>
      </c>
      <c r="R19" s="71">
        <v>0.92</v>
      </c>
      <c r="S19" s="71">
        <v>2.87</v>
      </c>
      <c r="T19" s="67"/>
      <c r="U19" s="71">
        <v>0.0</v>
      </c>
      <c r="V19" s="71">
        <v>4.25</v>
      </c>
      <c r="W19" s="67"/>
      <c r="X19" s="67"/>
      <c r="Y19" s="67"/>
      <c r="Z19" s="67"/>
      <c r="AA19" s="67"/>
      <c r="AB19" s="67"/>
      <c r="AC19" s="67"/>
    </row>
    <row r="20">
      <c r="A20" s="74">
        <v>45890.0</v>
      </c>
      <c r="B20" s="70" t="s">
        <v>1499</v>
      </c>
      <c r="C20" s="70" t="s">
        <v>1500</v>
      </c>
      <c r="D20" s="71">
        <v>6.0</v>
      </c>
      <c r="E20" s="71">
        <v>12.99</v>
      </c>
      <c r="F20" s="68"/>
      <c r="G20" s="68"/>
      <c r="H20" s="68"/>
      <c r="I20" s="69"/>
      <c r="J20" s="70" t="s">
        <v>1450</v>
      </c>
      <c r="K20" s="67"/>
      <c r="L20" s="70" t="s">
        <v>1501</v>
      </c>
      <c r="M20" s="75">
        <v>1.0</v>
      </c>
      <c r="N20" s="75">
        <v>0.0</v>
      </c>
      <c r="O20" s="75">
        <v>0.0</v>
      </c>
      <c r="P20" s="75">
        <v>1.0</v>
      </c>
      <c r="Q20" s="70" t="s">
        <v>22</v>
      </c>
      <c r="R20" s="71">
        <v>0.5</v>
      </c>
      <c r="S20" s="71">
        <v>6.5</v>
      </c>
      <c r="T20" s="67"/>
      <c r="U20" s="71">
        <v>5.0</v>
      </c>
      <c r="V20" s="71">
        <v>17.99</v>
      </c>
      <c r="W20" s="67"/>
      <c r="X20" s="67"/>
      <c r="Y20" s="67"/>
      <c r="Z20" s="67"/>
      <c r="AA20" s="67"/>
      <c r="AB20" s="67"/>
      <c r="AC20" s="67"/>
    </row>
    <row r="21">
      <c r="A21" s="74">
        <v>45890.0</v>
      </c>
      <c r="B21" s="70" t="s">
        <v>1502</v>
      </c>
      <c r="C21" s="70" t="s">
        <v>1503</v>
      </c>
      <c r="D21" s="71">
        <v>12.5</v>
      </c>
      <c r="E21" s="71">
        <v>0.0</v>
      </c>
      <c r="F21" s="68"/>
      <c r="G21" s="68"/>
      <c r="H21" s="68"/>
      <c r="I21" s="69"/>
      <c r="J21" s="70" t="s">
        <v>1450</v>
      </c>
      <c r="K21" s="67"/>
      <c r="L21" s="70" t="s">
        <v>1504</v>
      </c>
      <c r="M21" s="75">
        <v>1.0</v>
      </c>
      <c r="N21" s="75">
        <v>0.0</v>
      </c>
      <c r="O21" s="75">
        <v>0.0</v>
      </c>
      <c r="P21" s="75">
        <v>1.0</v>
      </c>
      <c r="Q21" s="70" t="s">
        <v>22</v>
      </c>
      <c r="R21" s="71">
        <v>0.0</v>
      </c>
      <c r="S21" s="71">
        <v>12.5</v>
      </c>
      <c r="T21" s="67"/>
      <c r="U21" s="71">
        <v>0.0</v>
      </c>
      <c r="V21" s="68"/>
      <c r="W21" s="67"/>
      <c r="X21" s="67"/>
      <c r="Y21" s="67"/>
      <c r="Z21" s="67"/>
      <c r="AA21" s="67"/>
      <c r="AB21" s="67"/>
      <c r="AC21" s="67"/>
    </row>
    <row r="22">
      <c r="A22" s="74">
        <v>45891.0</v>
      </c>
      <c r="B22" s="70" t="s">
        <v>1505</v>
      </c>
      <c r="C22" s="70" t="s">
        <v>1474</v>
      </c>
      <c r="D22" s="71">
        <v>3.33</v>
      </c>
      <c r="E22" s="71">
        <v>0.0</v>
      </c>
      <c r="F22" s="68"/>
      <c r="G22" s="68"/>
      <c r="H22" s="71"/>
      <c r="I22" s="72"/>
      <c r="J22" s="70" t="s">
        <v>1450</v>
      </c>
      <c r="K22" s="67"/>
      <c r="L22" s="67" t="s">
        <v>1506</v>
      </c>
      <c r="M22" s="75">
        <v>1.0</v>
      </c>
      <c r="N22" s="75">
        <v>0.0</v>
      </c>
      <c r="O22" s="75">
        <v>0.0</v>
      </c>
      <c r="P22" s="75">
        <v>1.0</v>
      </c>
      <c r="Q22" s="76" t="s">
        <v>22</v>
      </c>
      <c r="R22" s="71">
        <v>0.5</v>
      </c>
      <c r="S22" s="71">
        <v>3.83</v>
      </c>
      <c r="T22" s="70"/>
      <c r="U22" s="71">
        <v>5.0</v>
      </c>
      <c r="V22" s="71">
        <v>5.0</v>
      </c>
      <c r="W22" s="67"/>
      <c r="X22" s="67"/>
      <c r="Y22" s="67"/>
      <c r="Z22" s="67"/>
      <c r="AA22" s="67"/>
      <c r="AB22" s="67"/>
      <c r="AC22" s="67"/>
    </row>
    <row r="23">
      <c r="A23" s="74">
        <v>45891.0</v>
      </c>
      <c r="B23" s="70" t="s">
        <v>1507</v>
      </c>
      <c r="C23" s="70" t="s">
        <v>1474</v>
      </c>
      <c r="D23" s="71">
        <v>2.75</v>
      </c>
      <c r="E23" s="71">
        <v>0.0</v>
      </c>
      <c r="F23" s="68"/>
      <c r="G23" s="68"/>
      <c r="H23" s="68"/>
      <c r="I23" s="69"/>
      <c r="J23" s="70" t="s">
        <v>1450</v>
      </c>
      <c r="K23" s="67"/>
      <c r="L23" s="70" t="s">
        <v>1508</v>
      </c>
      <c r="M23" s="75">
        <v>1.0</v>
      </c>
      <c r="N23" s="75">
        <v>0.0</v>
      </c>
      <c r="O23" s="75">
        <v>0.0</v>
      </c>
      <c r="P23" s="75">
        <v>1.0</v>
      </c>
      <c r="Q23" s="70" t="s">
        <v>22</v>
      </c>
      <c r="R23" s="71">
        <v>1.35</v>
      </c>
      <c r="S23" s="71">
        <v>4.1</v>
      </c>
      <c r="T23" s="67"/>
      <c r="U23" s="71">
        <v>0.0</v>
      </c>
      <c r="V23" s="71"/>
      <c r="W23" s="67"/>
      <c r="X23" s="67"/>
      <c r="Y23" s="67"/>
      <c r="Z23" s="67"/>
      <c r="AA23" s="67"/>
      <c r="AB23" s="67"/>
      <c r="AC23" s="67"/>
    </row>
    <row r="24">
      <c r="A24" s="74">
        <v>45891.0</v>
      </c>
      <c r="B24" s="70" t="s">
        <v>1509</v>
      </c>
      <c r="C24" s="70" t="s">
        <v>1474</v>
      </c>
      <c r="D24" s="71">
        <v>1.57</v>
      </c>
      <c r="E24" s="71">
        <v>0.0</v>
      </c>
      <c r="F24" s="68"/>
      <c r="G24" s="68"/>
      <c r="H24" s="68"/>
      <c r="I24" s="69"/>
      <c r="J24" s="70" t="s">
        <v>1450</v>
      </c>
      <c r="K24" s="67"/>
      <c r="L24" s="70" t="s">
        <v>1510</v>
      </c>
      <c r="M24" s="75">
        <v>1.0</v>
      </c>
      <c r="N24" s="75">
        <v>0.0</v>
      </c>
      <c r="O24" s="75">
        <v>0.0</v>
      </c>
      <c r="P24" s="75">
        <v>1.0</v>
      </c>
      <c r="Q24" s="76" t="s">
        <v>22</v>
      </c>
      <c r="R24" s="71">
        <v>0.5</v>
      </c>
      <c r="S24" s="71">
        <v>2.07</v>
      </c>
      <c r="T24" s="70"/>
      <c r="U24" s="71">
        <v>5.0</v>
      </c>
      <c r="V24" s="71">
        <v>5.0</v>
      </c>
      <c r="W24" s="67"/>
      <c r="X24" s="67"/>
      <c r="Y24" s="67"/>
      <c r="Z24" s="67"/>
      <c r="AA24" s="67"/>
      <c r="AB24" s="67"/>
      <c r="AC24" s="67"/>
    </row>
    <row r="25">
      <c r="A25" s="74">
        <v>45891.0</v>
      </c>
      <c r="B25" s="70" t="s">
        <v>1511</v>
      </c>
      <c r="C25" s="70" t="s">
        <v>1474</v>
      </c>
      <c r="D25" s="71">
        <v>1.57</v>
      </c>
      <c r="E25" s="71">
        <v>0.0</v>
      </c>
      <c r="F25" s="68"/>
      <c r="G25" s="68"/>
      <c r="H25" s="68"/>
      <c r="I25" s="69"/>
      <c r="J25" s="70" t="s">
        <v>1450</v>
      </c>
      <c r="K25" s="67"/>
      <c r="L25" s="70" t="s">
        <v>1512</v>
      </c>
      <c r="M25" s="75">
        <v>1.0</v>
      </c>
      <c r="N25" s="75">
        <v>0.0</v>
      </c>
      <c r="O25" s="75">
        <v>0.0</v>
      </c>
      <c r="P25" s="75">
        <v>1.0</v>
      </c>
      <c r="Q25" s="70" t="s">
        <v>22</v>
      </c>
      <c r="R25" s="71">
        <v>0.5</v>
      </c>
      <c r="S25" s="71">
        <v>2.07</v>
      </c>
      <c r="T25" s="67"/>
      <c r="U25" s="71">
        <v>5.0</v>
      </c>
      <c r="V25" s="71">
        <v>5.0</v>
      </c>
      <c r="W25" s="67"/>
      <c r="X25" s="67"/>
      <c r="Y25" s="67"/>
      <c r="Z25" s="67"/>
      <c r="AA25" s="67"/>
      <c r="AB25" s="67"/>
      <c r="AC25" s="67"/>
    </row>
    <row r="26">
      <c r="A26" s="74">
        <v>45891.0</v>
      </c>
      <c r="B26" s="70" t="s">
        <v>1513</v>
      </c>
      <c r="C26" s="70" t="s">
        <v>1474</v>
      </c>
      <c r="D26" s="71">
        <v>1.57</v>
      </c>
      <c r="E26" s="71">
        <v>0.0</v>
      </c>
      <c r="F26" s="71">
        <v>20.0</v>
      </c>
      <c r="G26" s="68"/>
      <c r="H26" s="71">
        <v>17.51</v>
      </c>
      <c r="I26" s="72">
        <v>0.8755000000000001</v>
      </c>
      <c r="J26" s="70" t="s">
        <v>1450</v>
      </c>
      <c r="K26" s="67"/>
      <c r="L26" s="67" t="s">
        <v>1514</v>
      </c>
      <c r="M26" s="75">
        <v>1.0</v>
      </c>
      <c r="N26" s="75">
        <v>0.0</v>
      </c>
      <c r="O26" s="75">
        <v>0.0</v>
      </c>
      <c r="P26" s="75">
        <v>1.0</v>
      </c>
      <c r="Q26" s="76" t="s">
        <v>22</v>
      </c>
      <c r="R26" s="71">
        <v>0.92</v>
      </c>
      <c r="S26" s="71">
        <v>2.49</v>
      </c>
      <c r="T26" s="70"/>
      <c r="U26" s="71">
        <v>0.0</v>
      </c>
      <c r="V26" s="71"/>
      <c r="W26" s="67"/>
      <c r="X26" s="67"/>
      <c r="Y26" s="67"/>
      <c r="Z26" s="67"/>
      <c r="AA26" s="67"/>
      <c r="AB26" s="67"/>
      <c r="AC26" s="67"/>
    </row>
    <row r="27">
      <c r="A27" s="74">
        <v>45891.0</v>
      </c>
      <c r="B27" s="70" t="s">
        <v>1515</v>
      </c>
      <c r="C27" s="70" t="s">
        <v>1474</v>
      </c>
      <c r="D27" s="71">
        <v>3.33</v>
      </c>
      <c r="E27" s="71">
        <v>0.0</v>
      </c>
      <c r="F27" s="68"/>
      <c r="G27" s="68"/>
      <c r="H27" s="71"/>
      <c r="I27" s="72"/>
      <c r="J27" s="70" t="s">
        <v>1450</v>
      </c>
      <c r="K27" s="67"/>
      <c r="L27" s="70" t="s">
        <v>1516</v>
      </c>
      <c r="M27" s="75">
        <v>1.0</v>
      </c>
      <c r="N27" s="75">
        <v>0.0</v>
      </c>
      <c r="O27" s="75">
        <v>0.0</v>
      </c>
      <c r="P27" s="75">
        <v>1.0</v>
      </c>
      <c r="Q27" s="76" t="s">
        <v>22</v>
      </c>
      <c r="R27" s="71">
        <v>1.06</v>
      </c>
      <c r="S27" s="71">
        <v>4.39</v>
      </c>
      <c r="T27" s="67"/>
      <c r="U27" s="71">
        <v>5.0</v>
      </c>
      <c r="V27" s="71">
        <v>5.0</v>
      </c>
      <c r="W27" s="67"/>
      <c r="X27" s="67"/>
      <c r="Y27" s="67"/>
      <c r="Z27" s="67"/>
      <c r="AA27" s="67"/>
      <c r="AB27" s="67"/>
      <c r="AC27" s="67"/>
    </row>
    <row r="28">
      <c r="A28" s="74">
        <v>45891.0</v>
      </c>
      <c r="B28" s="70" t="s">
        <v>1517</v>
      </c>
      <c r="C28" s="70" t="s">
        <v>1474</v>
      </c>
      <c r="D28" s="71">
        <v>3.33</v>
      </c>
      <c r="E28" s="71">
        <v>0.0</v>
      </c>
      <c r="F28" s="68"/>
      <c r="G28" s="68"/>
      <c r="H28" s="71"/>
      <c r="I28" s="72"/>
      <c r="J28" s="70" t="s">
        <v>1450</v>
      </c>
      <c r="K28" s="67"/>
      <c r="L28" s="70" t="s">
        <v>1518</v>
      </c>
      <c r="M28" s="75">
        <v>1.0</v>
      </c>
      <c r="N28" s="75">
        <v>0.0</v>
      </c>
      <c r="O28" s="75">
        <v>0.0</v>
      </c>
      <c r="P28" s="75">
        <v>1.0</v>
      </c>
      <c r="Q28" s="76" t="s">
        <v>22</v>
      </c>
      <c r="R28" s="71">
        <v>1.06</v>
      </c>
      <c r="S28" s="71">
        <v>4.39</v>
      </c>
      <c r="T28" s="70"/>
      <c r="U28" s="71">
        <v>5.0</v>
      </c>
      <c r="V28" s="71">
        <v>5.0</v>
      </c>
      <c r="W28" s="67"/>
      <c r="X28" s="67"/>
      <c r="Y28" s="67"/>
      <c r="Z28" s="67"/>
      <c r="AA28" s="67"/>
      <c r="AB28" s="67"/>
      <c r="AC28" s="67"/>
    </row>
    <row r="29">
      <c r="A29" s="74">
        <v>45891.0</v>
      </c>
      <c r="B29" s="70" t="s">
        <v>1519</v>
      </c>
      <c r="C29" s="70" t="s">
        <v>1474</v>
      </c>
      <c r="D29" s="71">
        <v>3.33</v>
      </c>
      <c r="E29" s="71">
        <v>0.0</v>
      </c>
      <c r="F29" s="68"/>
      <c r="G29" s="68"/>
      <c r="H29" s="68"/>
      <c r="I29" s="69"/>
      <c r="J29" s="70" t="s">
        <v>1450</v>
      </c>
      <c r="K29" s="67"/>
      <c r="L29" s="70" t="s">
        <v>1520</v>
      </c>
      <c r="M29" s="75">
        <v>1.0</v>
      </c>
      <c r="N29" s="75">
        <v>0.0</v>
      </c>
      <c r="O29" s="75">
        <v>0.0</v>
      </c>
      <c r="P29" s="75">
        <v>1.0</v>
      </c>
      <c r="Q29" s="76" t="s">
        <v>22</v>
      </c>
      <c r="R29" s="71">
        <v>1.06</v>
      </c>
      <c r="S29" s="71">
        <v>4.39</v>
      </c>
      <c r="T29" s="70"/>
      <c r="U29" s="71">
        <v>5.0</v>
      </c>
      <c r="V29" s="71">
        <v>5.0</v>
      </c>
      <c r="W29" s="67"/>
      <c r="X29" s="67"/>
      <c r="Y29" s="67"/>
      <c r="Z29" s="67"/>
      <c r="AA29" s="67"/>
      <c r="AB29" s="67"/>
      <c r="AC29" s="67"/>
    </row>
    <row r="30">
      <c r="A30" s="74">
        <v>45891.0</v>
      </c>
      <c r="B30" s="70" t="s">
        <v>1521</v>
      </c>
      <c r="C30" s="70" t="s">
        <v>1474</v>
      </c>
      <c r="D30" s="71">
        <v>3.33</v>
      </c>
      <c r="E30" s="71">
        <v>0.0</v>
      </c>
      <c r="F30" s="68"/>
      <c r="G30" s="68"/>
      <c r="H30" s="68"/>
      <c r="I30" s="69"/>
      <c r="J30" s="70" t="s">
        <v>1450</v>
      </c>
      <c r="K30" s="67"/>
      <c r="L30" s="70" t="s">
        <v>1522</v>
      </c>
      <c r="M30" s="75">
        <v>1.0</v>
      </c>
      <c r="N30" s="75">
        <v>0.0</v>
      </c>
      <c r="O30" s="75">
        <v>0.0</v>
      </c>
      <c r="P30" s="75">
        <v>1.0</v>
      </c>
      <c r="Q30" s="70" t="s">
        <v>22</v>
      </c>
      <c r="R30" s="71">
        <v>0.29</v>
      </c>
      <c r="S30" s="71">
        <v>3.62</v>
      </c>
      <c r="T30" s="67"/>
      <c r="U30" s="71">
        <v>0.0</v>
      </c>
      <c r="V30" s="71"/>
      <c r="W30" s="67"/>
      <c r="X30" s="67"/>
      <c r="Y30" s="67"/>
      <c r="Z30" s="67"/>
      <c r="AA30" s="67"/>
      <c r="AB30" s="67"/>
      <c r="AC30" s="67"/>
    </row>
    <row r="31">
      <c r="A31" s="74">
        <v>45892.0</v>
      </c>
      <c r="B31" s="70" t="s">
        <v>1523</v>
      </c>
      <c r="C31" s="70" t="s">
        <v>1524</v>
      </c>
      <c r="D31" s="71">
        <v>14.99</v>
      </c>
      <c r="E31" s="71">
        <v>0.0</v>
      </c>
      <c r="F31" s="68"/>
      <c r="G31" s="68"/>
      <c r="H31" s="68"/>
      <c r="I31" s="69"/>
      <c r="J31" s="70" t="s">
        <v>1450</v>
      </c>
      <c r="K31" s="67"/>
      <c r="L31" s="70" t="s">
        <v>1525</v>
      </c>
      <c r="M31" s="75">
        <v>1.0</v>
      </c>
      <c r="N31" s="75">
        <v>0.0</v>
      </c>
      <c r="O31" s="75">
        <v>0.0</v>
      </c>
      <c r="P31" s="75">
        <v>1.0</v>
      </c>
      <c r="Q31" s="70" t="s">
        <v>22</v>
      </c>
      <c r="R31" s="71">
        <v>1.35</v>
      </c>
      <c r="S31" s="71">
        <v>16.34</v>
      </c>
      <c r="T31" s="70"/>
      <c r="U31" s="71">
        <v>0.0</v>
      </c>
      <c r="V31" s="71"/>
      <c r="W31" s="67"/>
      <c r="X31" s="67"/>
      <c r="Y31" s="67"/>
      <c r="Z31" s="67"/>
      <c r="AA31" s="67"/>
      <c r="AB31" s="67"/>
      <c r="AC31" s="67"/>
    </row>
    <row r="32">
      <c r="A32" s="74">
        <v>45892.0</v>
      </c>
      <c r="B32" s="70" t="s">
        <v>1526</v>
      </c>
      <c r="C32" s="70" t="s">
        <v>1527</v>
      </c>
      <c r="D32" s="71">
        <v>19.98</v>
      </c>
      <c r="E32" s="71">
        <v>0.0</v>
      </c>
      <c r="F32" s="68"/>
      <c r="G32" s="68"/>
      <c r="H32" s="71"/>
      <c r="I32" s="72"/>
      <c r="J32" s="70" t="s">
        <v>1450</v>
      </c>
      <c r="K32" s="67"/>
      <c r="L32" s="70" t="s">
        <v>1528</v>
      </c>
      <c r="M32" s="75">
        <v>1.0</v>
      </c>
      <c r="N32" s="75">
        <v>0.0</v>
      </c>
      <c r="O32" s="75">
        <v>0.0</v>
      </c>
      <c r="P32" s="75">
        <v>1.0</v>
      </c>
      <c r="Q32" s="70" t="s">
        <v>22</v>
      </c>
      <c r="R32" s="71">
        <v>0.61</v>
      </c>
      <c r="S32" s="71">
        <v>20.59</v>
      </c>
      <c r="T32" s="70"/>
      <c r="U32" s="71">
        <v>5.0</v>
      </c>
      <c r="V32" s="71">
        <v>5.0</v>
      </c>
      <c r="W32" s="67"/>
      <c r="X32" s="67"/>
      <c r="Y32" s="67"/>
      <c r="Z32" s="67"/>
      <c r="AA32" s="67"/>
      <c r="AB32" s="67"/>
      <c r="AC32" s="67"/>
    </row>
    <row r="33">
      <c r="A33" s="74">
        <v>45892.0</v>
      </c>
      <c r="B33" s="70" t="s">
        <v>1529</v>
      </c>
      <c r="C33" s="70" t="s">
        <v>1530</v>
      </c>
      <c r="D33" s="71">
        <v>5.4</v>
      </c>
      <c r="E33" s="71">
        <v>0.0</v>
      </c>
      <c r="F33" s="68"/>
      <c r="G33" s="68"/>
      <c r="H33" s="68"/>
      <c r="I33" s="69"/>
      <c r="J33" s="70" t="s">
        <v>1450</v>
      </c>
      <c r="K33" s="67"/>
      <c r="L33" s="70" t="s">
        <v>1531</v>
      </c>
      <c r="M33" s="75">
        <v>1.0</v>
      </c>
      <c r="N33" s="75">
        <v>0.0</v>
      </c>
      <c r="O33" s="75">
        <v>0.0</v>
      </c>
      <c r="P33" s="75">
        <v>1.0</v>
      </c>
      <c r="Q33" s="70" t="s">
        <v>22</v>
      </c>
      <c r="R33" s="71">
        <v>0.13</v>
      </c>
      <c r="S33" s="71">
        <v>5.53</v>
      </c>
      <c r="T33" s="67"/>
      <c r="U33" s="71">
        <v>0.0</v>
      </c>
      <c r="V33" s="71"/>
      <c r="W33" s="67"/>
      <c r="X33" s="67"/>
      <c r="Y33" s="67"/>
      <c r="Z33" s="67"/>
      <c r="AA33" s="67"/>
      <c r="AB33" s="67"/>
      <c r="AC33" s="67"/>
    </row>
    <row r="34">
      <c r="A34" s="74">
        <v>45892.0</v>
      </c>
      <c r="B34" s="70" t="s">
        <v>1532</v>
      </c>
      <c r="C34" s="70" t="s">
        <v>1530</v>
      </c>
      <c r="D34" s="71">
        <v>5.4</v>
      </c>
      <c r="E34" s="71">
        <v>0.0</v>
      </c>
      <c r="F34" s="68"/>
      <c r="G34" s="68"/>
      <c r="H34" s="68"/>
      <c r="I34" s="69"/>
      <c r="J34" s="70" t="s">
        <v>1450</v>
      </c>
      <c r="K34" s="67"/>
      <c r="L34" s="70" t="s">
        <v>1533</v>
      </c>
      <c r="M34" s="75">
        <v>1.0</v>
      </c>
      <c r="N34" s="75">
        <v>0.0</v>
      </c>
      <c r="O34" s="75">
        <v>0.0</v>
      </c>
      <c r="P34" s="75">
        <v>1.0</v>
      </c>
      <c r="Q34" s="70" t="s">
        <v>22</v>
      </c>
      <c r="R34" s="71">
        <v>0.13</v>
      </c>
      <c r="S34" s="71">
        <v>5.53</v>
      </c>
      <c r="T34" s="70"/>
      <c r="U34" s="71">
        <v>0.0</v>
      </c>
      <c r="V34" s="71"/>
      <c r="W34" s="67"/>
      <c r="X34" s="67"/>
      <c r="Y34" s="67"/>
      <c r="Z34" s="67"/>
      <c r="AA34" s="67"/>
      <c r="AB34" s="67"/>
      <c r="AC34" s="67"/>
    </row>
    <row r="35">
      <c r="A35" s="74">
        <v>45892.0</v>
      </c>
      <c r="B35" s="70" t="s">
        <v>1534</v>
      </c>
      <c r="C35" s="70" t="s">
        <v>1524</v>
      </c>
      <c r="D35" s="71">
        <v>14.99</v>
      </c>
      <c r="E35" s="71">
        <v>0.0</v>
      </c>
      <c r="F35" s="68"/>
      <c r="G35" s="68"/>
      <c r="H35" s="68"/>
      <c r="I35" s="69"/>
      <c r="J35" s="70" t="s">
        <v>1450</v>
      </c>
      <c r="K35" s="67"/>
      <c r="L35" s="70" t="s">
        <v>1535</v>
      </c>
      <c r="M35" s="75">
        <v>1.0</v>
      </c>
      <c r="N35" s="75">
        <v>0.0</v>
      </c>
      <c r="O35" s="75">
        <v>0.0</v>
      </c>
      <c r="P35" s="75">
        <v>1.0</v>
      </c>
      <c r="Q35" s="70" t="s">
        <v>22</v>
      </c>
      <c r="R35" s="71">
        <v>1.35</v>
      </c>
      <c r="S35" s="71">
        <v>16.34</v>
      </c>
      <c r="T35" s="67"/>
      <c r="U35" s="71">
        <v>0.0</v>
      </c>
      <c r="V35" s="68"/>
      <c r="W35" s="67"/>
      <c r="X35" s="67"/>
      <c r="Y35" s="67"/>
      <c r="Z35" s="67"/>
      <c r="AA35" s="67"/>
      <c r="AB35" s="67"/>
      <c r="AC35" s="67"/>
    </row>
    <row r="36">
      <c r="A36" s="74">
        <v>45893.0</v>
      </c>
      <c r="B36" s="70" t="s">
        <v>1536</v>
      </c>
      <c r="C36" s="70" t="s">
        <v>1537</v>
      </c>
      <c r="D36" s="71">
        <v>2.5</v>
      </c>
      <c r="E36" s="71">
        <v>3.75</v>
      </c>
      <c r="F36" s="68"/>
      <c r="G36" s="68"/>
      <c r="H36" s="68"/>
      <c r="I36" s="69"/>
      <c r="J36" s="70" t="s">
        <v>1450</v>
      </c>
      <c r="K36" s="67"/>
      <c r="L36" s="70" t="s">
        <v>1538</v>
      </c>
      <c r="M36" s="75">
        <v>1.0</v>
      </c>
      <c r="N36" s="75">
        <v>0.0</v>
      </c>
      <c r="O36" s="75">
        <v>0.0</v>
      </c>
      <c r="P36" s="75">
        <v>1.0</v>
      </c>
      <c r="Q36" s="70" t="s">
        <v>22</v>
      </c>
      <c r="R36" s="71">
        <v>0.0</v>
      </c>
      <c r="S36" s="71">
        <v>2.5</v>
      </c>
      <c r="T36" s="67"/>
      <c r="U36" s="71">
        <v>0.0</v>
      </c>
      <c r="V36" s="71">
        <v>3.75</v>
      </c>
      <c r="W36" s="67"/>
      <c r="X36" s="67"/>
      <c r="Y36" s="67"/>
      <c r="Z36" s="67"/>
      <c r="AA36" s="67"/>
      <c r="AB36" s="67"/>
      <c r="AC36" s="67"/>
    </row>
    <row r="37">
      <c r="A37" s="74">
        <v>45893.0</v>
      </c>
      <c r="B37" s="70" t="s">
        <v>1539</v>
      </c>
      <c r="C37" s="70" t="s">
        <v>1537</v>
      </c>
      <c r="D37" s="71">
        <v>2.5</v>
      </c>
      <c r="E37" s="71">
        <v>3.75</v>
      </c>
      <c r="F37" s="68"/>
      <c r="G37" s="68"/>
      <c r="H37" s="68"/>
      <c r="I37" s="69"/>
      <c r="J37" s="70" t="s">
        <v>1450</v>
      </c>
      <c r="K37" s="67"/>
      <c r="L37" s="70" t="s">
        <v>1540</v>
      </c>
      <c r="M37" s="75">
        <v>1.0</v>
      </c>
      <c r="N37" s="75">
        <v>0.0</v>
      </c>
      <c r="O37" s="75">
        <v>0.0</v>
      </c>
      <c r="P37" s="75">
        <v>1.0</v>
      </c>
      <c r="Q37" s="70" t="s">
        <v>22</v>
      </c>
      <c r="R37" s="71">
        <v>0.5</v>
      </c>
      <c r="S37" s="71">
        <v>3.0</v>
      </c>
      <c r="T37" s="67"/>
      <c r="U37" s="71">
        <v>5.0</v>
      </c>
      <c r="V37" s="71">
        <v>8.75</v>
      </c>
      <c r="W37" s="67"/>
      <c r="X37" s="67"/>
      <c r="Y37" s="67"/>
      <c r="Z37" s="67"/>
      <c r="AA37" s="67"/>
      <c r="AB37" s="67"/>
      <c r="AC37" s="67"/>
    </row>
    <row r="38">
      <c r="A38" s="74">
        <v>45893.0</v>
      </c>
      <c r="B38" s="70" t="s">
        <v>1541</v>
      </c>
      <c r="C38" s="70" t="s">
        <v>1542</v>
      </c>
      <c r="D38" s="71">
        <v>0.0</v>
      </c>
      <c r="E38" s="71">
        <v>0.0</v>
      </c>
      <c r="F38" s="68"/>
      <c r="G38" s="68"/>
      <c r="H38" s="68"/>
      <c r="I38" s="69"/>
      <c r="J38" s="70" t="s">
        <v>1450</v>
      </c>
      <c r="K38" s="67"/>
      <c r="L38" s="70" t="s">
        <v>1543</v>
      </c>
      <c r="M38" s="75">
        <v>1.0</v>
      </c>
      <c r="N38" s="75">
        <v>0.0</v>
      </c>
      <c r="O38" s="75">
        <v>0.0</v>
      </c>
      <c r="P38" s="75">
        <v>1.0</v>
      </c>
      <c r="Q38" s="70" t="s">
        <v>22</v>
      </c>
      <c r="R38" s="71">
        <v>1.42</v>
      </c>
      <c r="S38" s="71">
        <v>1.42</v>
      </c>
      <c r="T38" s="67"/>
      <c r="U38" s="71">
        <v>0.0</v>
      </c>
      <c r="V38" s="68"/>
      <c r="W38" s="67"/>
      <c r="X38" s="67"/>
      <c r="Y38" s="67"/>
      <c r="Z38" s="67"/>
      <c r="AA38" s="67"/>
      <c r="AB38" s="67"/>
      <c r="AC38" s="67"/>
    </row>
    <row r="39">
      <c r="A39" s="74">
        <v>45893.0</v>
      </c>
      <c r="B39" s="70" t="s">
        <v>1544</v>
      </c>
      <c r="C39" s="70" t="s">
        <v>1545</v>
      </c>
      <c r="D39" s="71">
        <v>3.33</v>
      </c>
      <c r="E39" s="71">
        <v>2.83</v>
      </c>
      <c r="F39" s="68"/>
      <c r="G39" s="68"/>
      <c r="H39" s="68"/>
      <c r="I39" s="69"/>
      <c r="J39" s="70" t="s">
        <v>1450</v>
      </c>
      <c r="K39" s="67"/>
      <c r="L39" s="70" t="s">
        <v>1546</v>
      </c>
      <c r="M39" s="75">
        <v>1.0</v>
      </c>
      <c r="N39" s="75">
        <v>0.0</v>
      </c>
      <c r="O39" s="75">
        <v>0.0</v>
      </c>
      <c r="P39" s="75">
        <v>1.0</v>
      </c>
      <c r="Q39" s="70" t="s">
        <v>22</v>
      </c>
      <c r="R39" s="71">
        <v>0.5</v>
      </c>
      <c r="S39" s="71">
        <v>3.83</v>
      </c>
      <c r="T39" s="67"/>
      <c r="U39" s="71">
        <v>5.0</v>
      </c>
      <c r="V39" s="71">
        <v>7.83</v>
      </c>
      <c r="W39" s="67"/>
      <c r="X39" s="67"/>
      <c r="Y39" s="67"/>
      <c r="Z39" s="67"/>
      <c r="AA39" s="67"/>
      <c r="AB39" s="67"/>
      <c r="AC39" s="67"/>
    </row>
    <row r="40">
      <c r="A40" s="74">
        <v>45893.0</v>
      </c>
      <c r="B40" s="70" t="s">
        <v>1547</v>
      </c>
      <c r="C40" s="70" t="s">
        <v>1545</v>
      </c>
      <c r="D40" s="71">
        <v>3.33</v>
      </c>
      <c r="E40" s="71">
        <v>2.83</v>
      </c>
      <c r="F40" s="68"/>
      <c r="G40" s="68"/>
      <c r="H40" s="68"/>
      <c r="I40" s="69"/>
      <c r="J40" s="70" t="s">
        <v>1450</v>
      </c>
      <c r="K40" s="67"/>
      <c r="L40" s="70" t="s">
        <v>1548</v>
      </c>
      <c r="M40" s="75">
        <v>1.0</v>
      </c>
      <c r="N40" s="75">
        <v>0.0</v>
      </c>
      <c r="O40" s="75">
        <v>0.0</v>
      </c>
      <c r="P40" s="75">
        <v>1.0</v>
      </c>
      <c r="Q40" s="70" t="s">
        <v>22</v>
      </c>
      <c r="R40" s="71">
        <v>0.67</v>
      </c>
      <c r="S40" s="71">
        <v>4.0</v>
      </c>
      <c r="T40" s="70"/>
      <c r="U40" s="71">
        <v>0.0</v>
      </c>
      <c r="V40" s="71">
        <v>2.83</v>
      </c>
      <c r="W40" s="67"/>
      <c r="X40" s="67"/>
      <c r="Y40" s="67"/>
      <c r="Z40" s="67"/>
      <c r="AA40" s="67"/>
      <c r="AB40" s="67"/>
      <c r="AC40" s="67"/>
    </row>
    <row r="41">
      <c r="A41" s="74">
        <v>45893.0</v>
      </c>
      <c r="B41" s="70" t="s">
        <v>1549</v>
      </c>
      <c r="C41" s="70" t="s">
        <v>1545</v>
      </c>
      <c r="D41" s="71">
        <v>3.33</v>
      </c>
      <c r="E41" s="71">
        <v>2.83</v>
      </c>
      <c r="F41" s="68"/>
      <c r="G41" s="68"/>
      <c r="H41" s="71"/>
      <c r="I41" s="72"/>
      <c r="J41" s="70" t="s">
        <v>1450</v>
      </c>
      <c r="K41" s="67"/>
      <c r="L41" s="70" t="s">
        <v>1550</v>
      </c>
      <c r="M41" s="75">
        <v>1.0</v>
      </c>
      <c r="N41" s="75">
        <v>0.0</v>
      </c>
      <c r="O41" s="75">
        <v>0.0</v>
      </c>
      <c r="P41" s="75">
        <v>1.0</v>
      </c>
      <c r="Q41" s="76" t="s">
        <v>22</v>
      </c>
      <c r="R41" s="71">
        <v>0.67</v>
      </c>
      <c r="S41" s="71">
        <v>4.0</v>
      </c>
      <c r="T41" s="70"/>
      <c r="U41" s="71">
        <v>0.0</v>
      </c>
      <c r="V41" s="71">
        <v>2.83</v>
      </c>
      <c r="W41" s="67"/>
      <c r="X41" s="67"/>
      <c r="Y41" s="67"/>
      <c r="Z41" s="67"/>
      <c r="AA41" s="67"/>
      <c r="AB41" s="67"/>
      <c r="AC41" s="67"/>
    </row>
    <row r="42">
      <c r="A42" s="74">
        <v>45893.0</v>
      </c>
      <c r="B42" s="70" t="s">
        <v>1551</v>
      </c>
      <c r="C42" s="70" t="s">
        <v>1542</v>
      </c>
      <c r="D42" s="71">
        <v>0.0</v>
      </c>
      <c r="E42" s="71">
        <v>0.0</v>
      </c>
      <c r="F42" s="68"/>
      <c r="G42" s="68"/>
      <c r="H42" s="71"/>
      <c r="I42" s="72"/>
      <c r="J42" s="70" t="s">
        <v>1450</v>
      </c>
      <c r="K42" s="67"/>
      <c r="L42" s="70" t="s">
        <v>1552</v>
      </c>
      <c r="M42" s="75">
        <v>1.0</v>
      </c>
      <c r="N42" s="75">
        <v>0.0</v>
      </c>
      <c r="O42" s="75">
        <v>0.0</v>
      </c>
      <c r="P42" s="75">
        <v>1.0</v>
      </c>
      <c r="Q42" s="76" t="s">
        <v>22</v>
      </c>
      <c r="R42" s="71">
        <v>0.29</v>
      </c>
      <c r="S42" s="71">
        <v>0.29</v>
      </c>
      <c r="T42" s="70"/>
      <c r="U42" s="71">
        <v>0.0</v>
      </c>
      <c r="V42" s="71"/>
      <c r="W42" s="67"/>
      <c r="X42" s="67"/>
      <c r="Y42" s="67"/>
      <c r="Z42" s="67"/>
      <c r="AA42" s="67"/>
      <c r="AB42" s="67"/>
      <c r="AC42" s="67"/>
    </row>
    <row r="43">
      <c r="A43" s="74">
        <v>45893.0</v>
      </c>
      <c r="B43" s="70" t="s">
        <v>1553</v>
      </c>
      <c r="C43" s="70" t="s">
        <v>1537</v>
      </c>
      <c r="D43" s="71">
        <v>2.5</v>
      </c>
      <c r="E43" s="71">
        <v>3.75</v>
      </c>
      <c r="F43" s="71">
        <v>20.0</v>
      </c>
      <c r="G43" s="68"/>
      <c r="H43" s="71">
        <v>17.5</v>
      </c>
      <c r="I43" s="72">
        <v>0.875</v>
      </c>
      <c r="J43" s="70" t="s">
        <v>1462</v>
      </c>
      <c r="K43" s="67"/>
      <c r="L43" s="67" t="s">
        <v>1554</v>
      </c>
      <c r="M43" s="75">
        <v>1.0</v>
      </c>
      <c r="N43" s="75">
        <v>0.0</v>
      </c>
      <c r="O43" s="75">
        <v>0.0</v>
      </c>
      <c r="P43" s="75">
        <v>1.0</v>
      </c>
      <c r="Q43" s="76" t="s">
        <v>22</v>
      </c>
      <c r="R43" s="71">
        <v>0.0</v>
      </c>
      <c r="S43" s="71">
        <v>2.5</v>
      </c>
      <c r="T43" s="70"/>
      <c r="U43" s="71">
        <v>0.0</v>
      </c>
      <c r="V43" s="71">
        <v>3.75</v>
      </c>
      <c r="W43" s="67"/>
      <c r="X43" s="67"/>
      <c r="Y43" s="67"/>
      <c r="Z43" s="67"/>
      <c r="AA43" s="67"/>
      <c r="AB43" s="67"/>
      <c r="AC43" s="67"/>
    </row>
    <row r="44">
      <c r="A44" s="74">
        <v>45893.0</v>
      </c>
      <c r="B44" s="70" t="s">
        <v>1555</v>
      </c>
      <c r="C44" s="70" t="s">
        <v>1537</v>
      </c>
      <c r="D44" s="71">
        <v>2.5</v>
      </c>
      <c r="E44" s="71">
        <v>3.75</v>
      </c>
      <c r="F44" s="68"/>
      <c r="G44" s="68"/>
      <c r="H44" s="68"/>
      <c r="I44" s="69"/>
      <c r="J44" s="70" t="s">
        <v>1450</v>
      </c>
      <c r="K44" s="67"/>
      <c r="L44" s="70" t="s">
        <v>1556</v>
      </c>
      <c r="M44" s="75">
        <v>1.0</v>
      </c>
      <c r="N44" s="75">
        <v>0.0</v>
      </c>
      <c r="O44" s="75">
        <v>0.0</v>
      </c>
      <c r="P44" s="75">
        <v>1.0</v>
      </c>
      <c r="Q44" s="70" t="s">
        <v>22</v>
      </c>
      <c r="R44" s="71">
        <v>0.5</v>
      </c>
      <c r="S44" s="71">
        <v>3.0</v>
      </c>
      <c r="T44" s="67"/>
      <c r="U44" s="71">
        <v>5.0</v>
      </c>
      <c r="V44" s="71">
        <v>8.75</v>
      </c>
      <c r="W44" s="67"/>
      <c r="X44" s="67"/>
      <c r="Y44" s="67"/>
      <c r="Z44" s="67"/>
      <c r="AA44" s="67"/>
      <c r="AB44" s="67"/>
      <c r="AC44" s="67"/>
    </row>
    <row r="45">
      <c r="A45" s="74">
        <v>45893.0</v>
      </c>
      <c r="B45" s="70" t="s">
        <v>1557</v>
      </c>
      <c r="C45" s="70" t="s">
        <v>1537</v>
      </c>
      <c r="D45" s="71">
        <v>2.5</v>
      </c>
      <c r="E45" s="71">
        <v>3.75</v>
      </c>
      <c r="F45" s="68"/>
      <c r="G45" s="68"/>
      <c r="H45" s="68"/>
      <c r="I45" s="69"/>
      <c r="J45" s="70" t="s">
        <v>1450</v>
      </c>
      <c r="K45" s="67"/>
      <c r="L45" s="70" t="s">
        <v>1558</v>
      </c>
      <c r="M45" s="75">
        <v>1.0</v>
      </c>
      <c r="N45" s="75">
        <v>0.0</v>
      </c>
      <c r="O45" s="75">
        <v>0.0</v>
      </c>
      <c r="P45" s="75">
        <v>1.0</v>
      </c>
      <c r="Q45" s="70" t="s">
        <v>22</v>
      </c>
      <c r="R45" s="71">
        <v>0.92</v>
      </c>
      <c r="S45" s="71">
        <v>3.42</v>
      </c>
      <c r="T45" s="67"/>
      <c r="U45" s="71">
        <v>0.0</v>
      </c>
      <c r="V45" s="71">
        <v>3.75</v>
      </c>
      <c r="W45" s="67"/>
      <c r="X45" s="67"/>
      <c r="Y45" s="67"/>
      <c r="Z45" s="67"/>
      <c r="AA45" s="67"/>
      <c r="AB45" s="67"/>
      <c r="AC45" s="67"/>
    </row>
    <row r="46">
      <c r="A46" s="74">
        <v>45893.0</v>
      </c>
      <c r="B46" s="70" t="s">
        <v>1559</v>
      </c>
      <c r="C46" s="70" t="s">
        <v>1537</v>
      </c>
      <c r="D46" s="71">
        <v>2.5</v>
      </c>
      <c r="E46" s="71">
        <v>3.75</v>
      </c>
      <c r="F46" s="68"/>
      <c r="G46" s="68"/>
      <c r="H46" s="68"/>
      <c r="I46" s="69"/>
      <c r="J46" s="70" t="s">
        <v>1450</v>
      </c>
      <c r="K46" s="67"/>
      <c r="L46" s="70" t="s">
        <v>1560</v>
      </c>
      <c r="M46" s="75">
        <v>1.0</v>
      </c>
      <c r="N46" s="75">
        <v>0.0</v>
      </c>
      <c r="O46" s="75">
        <v>0.0</v>
      </c>
      <c r="P46" s="75">
        <v>1.0</v>
      </c>
      <c r="Q46" s="76" t="s">
        <v>22</v>
      </c>
      <c r="R46" s="71">
        <v>0.47</v>
      </c>
      <c r="S46" s="71">
        <v>2.97</v>
      </c>
      <c r="T46" s="67"/>
      <c r="U46" s="71">
        <v>0.0</v>
      </c>
      <c r="V46" s="71">
        <v>3.75</v>
      </c>
      <c r="W46" s="67"/>
      <c r="X46" s="67"/>
      <c r="Y46" s="67"/>
      <c r="Z46" s="67"/>
      <c r="AA46" s="67"/>
      <c r="AB46" s="67"/>
      <c r="AC46" s="67"/>
    </row>
    <row r="47">
      <c r="A47" s="74">
        <v>45893.0</v>
      </c>
      <c r="B47" s="70" t="s">
        <v>1561</v>
      </c>
      <c r="C47" s="70" t="s">
        <v>1537</v>
      </c>
      <c r="D47" s="71">
        <v>2.5</v>
      </c>
      <c r="E47" s="71">
        <v>3.75</v>
      </c>
      <c r="F47" s="68"/>
      <c r="G47" s="68"/>
      <c r="H47" s="68"/>
      <c r="I47" s="69"/>
      <c r="J47" s="70" t="s">
        <v>1450</v>
      </c>
      <c r="K47" s="67"/>
      <c r="L47" s="70" t="s">
        <v>1562</v>
      </c>
      <c r="M47" s="75">
        <v>1.0</v>
      </c>
      <c r="N47" s="75">
        <v>0.0</v>
      </c>
      <c r="O47" s="75">
        <v>0.0</v>
      </c>
      <c r="P47" s="75">
        <v>1.0</v>
      </c>
      <c r="Q47" s="70" t="s">
        <v>22</v>
      </c>
      <c r="R47" s="71">
        <v>0.92</v>
      </c>
      <c r="S47" s="71">
        <v>3.42</v>
      </c>
      <c r="T47" s="70"/>
      <c r="U47" s="71">
        <v>0.0</v>
      </c>
      <c r="V47" s="71">
        <v>3.75</v>
      </c>
      <c r="W47" s="67"/>
      <c r="X47" s="67"/>
      <c r="Y47" s="67"/>
      <c r="Z47" s="67"/>
      <c r="AA47" s="67"/>
      <c r="AB47" s="67"/>
      <c r="AC47" s="67"/>
    </row>
    <row r="48">
      <c r="A48" s="74">
        <v>45894.0</v>
      </c>
      <c r="B48" s="70" t="s">
        <v>1563</v>
      </c>
      <c r="C48" s="70" t="s">
        <v>1564</v>
      </c>
      <c r="D48" s="71">
        <v>0.0</v>
      </c>
      <c r="E48" s="71">
        <v>0.0</v>
      </c>
      <c r="F48" s="68"/>
      <c r="G48" s="68"/>
      <c r="H48" s="68"/>
      <c r="I48" s="69"/>
      <c r="J48" s="70" t="s">
        <v>1450</v>
      </c>
      <c r="K48" s="67"/>
      <c r="L48" s="70" t="s">
        <v>1565</v>
      </c>
      <c r="M48" s="75">
        <v>1.0</v>
      </c>
      <c r="N48" s="75">
        <v>0.0</v>
      </c>
      <c r="O48" s="75">
        <v>0.0</v>
      </c>
      <c r="P48" s="75">
        <v>1.0</v>
      </c>
      <c r="Q48" s="76" t="s">
        <v>22</v>
      </c>
      <c r="R48" s="71">
        <v>1.35</v>
      </c>
      <c r="S48" s="71">
        <v>1.35</v>
      </c>
      <c r="T48" s="67"/>
      <c r="U48" s="71">
        <v>0.0</v>
      </c>
      <c r="V48" s="71"/>
      <c r="W48" s="67"/>
      <c r="X48" s="67"/>
      <c r="Y48" s="67"/>
      <c r="Z48" s="67"/>
      <c r="AA48" s="67"/>
      <c r="AB48" s="67"/>
      <c r="AC48" s="67"/>
    </row>
    <row r="49">
      <c r="A49" s="74">
        <v>45894.0</v>
      </c>
      <c r="B49" s="70" t="s">
        <v>1566</v>
      </c>
      <c r="C49" s="70" t="s">
        <v>1564</v>
      </c>
      <c r="D49" s="71">
        <v>0.0</v>
      </c>
      <c r="E49" s="71">
        <v>0.0</v>
      </c>
      <c r="F49" s="68"/>
      <c r="G49" s="68"/>
      <c r="H49" s="68"/>
      <c r="I49" s="69"/>
      <c r="J49" s="70" t="s">
        <v>1450</v>
      </c>
      <c r="K49" s="67"/>
      <c r="L49" s="70" t="s">
        <v>1567</v>
      </c>
      <c r="M49" s="75">
        <v>1.0</v>
      </c>
      <c r="N49" s="75">
        <v>0.0</v>
      </c>
      <c r="O49" s="75">
        <v>0.0</v>
      </c>
      <c r="P49" s="75">
        <v>1.0</v>
      </c>
      <c r="Q49" s="70" t="s">
        <v>22</v>
      </c>
      <c r="R49" s="71">
        <v>1.35</v>
      </c>
      <c r="S49" s="71">
        <v>1.35</v>
      </c>
      <c r="T49" s="70"/>
      <c r="U49" s="71">
        <v>0.0</v>
      </c>
      <c r="V49" s="71"/>
      <c r="W49" s="67"/>
      <c r="X49" s="67"/>
      <c r="Y49" s="67"/>
      <c r="Z49" s="67"/>
      <c r="AA49" s="67"/>
      <c r="AB49" s="67"/>
      <c r="AC49" s="67"/>
    </row>
    <row r="50">
      <c r="A50" s="74">
        <v>45896.0</v>
      </c>
      <c r="B50" s="70" t="s">
        <v>1568</v>
      </c>
      <c r="C50" s="70" t="s">
        <v>1569</v>
      </c>
      <c r="D50" s="71">
        <v>4.4</v>
      </c>
      <c r="E50" s="71">
        <v>0.0</v>
      </c>
      <c r="F50" s="71">
        <v>35.0</v>
      </c>
      <c r="G50" s="68"/>
      <c r="H50" s="71">
        <v>29.25</v>
      </c>
      <c r="I50" s="72">
        <v>0.8357142857142857</v>
      </c>
      <c r="J50" s="70" t="s">
        <v>1462</v>
      </c>
      <c r="K50" s="67"/>
      <c r="L50" s="70" t="s">
        <v>1570</v>
      </c>
      <c r="M50" s="75">
        <v>1.0</v>
      </c>
      <c r="N50" s="75">
        <v>0.0</v>
      </c>
      <c r="O50" s="75">
        <v>0.0</v>
      </c>
      <c r="P50" s="75">
        <v>1.0</v>
      </c>
      <c r="Q50" s="70" t="s">
        <v>22</v>
      </c>
      <c r="R50" s="71">
        <v>1.35</v>
      </c>
      <c r="S50" s="71">
        <v>5.75</v>
      </c>
      <c r="T50" s="70"/>
      <c r="U50" s="71">
        <v>0.0</v>
      </c>
      <c r="V50" s="71"/>
      <c r="W50" s="67"/>
      <c r="X50" s="67"/>
      <c r="Y50" s="67"/>
      <c r="Z50" s="67"/>
      <c r="AA50" s="67"/>
      <c r="AB50" s="67"/>
      <c r="AC50" s="67"/>
    </row>
    <row r="51">
      <c r="A51" s="74">
        <v>45896.0</v>
      </c>
      <c r="B51" s="70" t="s">
        <v>1571</v>
      </c>
      <c r="C51" s="70" t="s">
        <v>1484</v>
      </c>
      <c r="D51" s="71">
        <v>9.99</v>
      </c>
      <c r="E51" s="71">
        <v>0.0</v>
      </c>
      <c r="F51" s="68"/>
      <c r="G51" s="68"/>
      <c r="H51" s="68"/>
      <c r="I51" s="69"/>
      <c r="J51" s="70" t="s">
        <v>1450</v>
      </c>
      <c r="K51" s="67"/>
      <c r="L51" s="70" t="s">
        <v>1572</v>
      </c>
      <c r="M51" s="75">
        <v>1.0</v>
      </c>
      <c r="N51" s="75">
        <v>0.0</v>
      </c>
      <c r="O51" s="75">
        <v>0.0</v>
      </c>
      <c r="P51" s="75">
        <v>1.0</v>
      </c>
      <c r="Q51" s="70" t="s">
        <v>22</v>
      </c>
      <c r="R51" s="71">
        <v>0.94</v>
      </c>
      <c r="S51" s="71">
        <v>10.93</v>
      </c>
      <c r="T51" s="70"/>
      <c r="U51" s="71">
        <v>0.0</v>
      </c>
      <c r="V51" s="71"/>
      <c r="W51" s="67"/>
      <c r="X51" s="67"/>
      <c r="Y51" s="67"/>
      <c r="Z51" s="67"/>
      <c r="AA51" s="67"/>
      <c r="AB51" s="67"/>
      <c r="AC51" s="67"/>
    </row>
    <row r="52">
      <c r="A52" s="74">
        <v>45896.0</v>
      </c>
      <c r="B52" s="70" t="s">
        <v>1573</v>
      </c>
      <c r="C52" s="70" t="s">
        <v>1569</v>
      </c>
      <c r="D52" s="71">
        <v>2.2</v>
      </c>
      <c r="E52" s="71">
        <v>0.0</v>
      </c>
      <c r="F52" s="68"/>
      <c r="G52" s="68"/>
      <c r="H52" s="68"/>
      <c r="I52" s="69"/>
      <c r="J52" s="70" t="s">
        <v>1450</v>
      </c>
      <c r="K52" s="67"/>
      <c r="L52" s="70" t="s">
        <v>1574</v>
      </c>
      <c r="M52" s="75">
        <v>1.0</v>
      </c>
      <c r="N52" s="75">
        <v>0.0</v>
      </c>
      <c r="O52" s="75">
        <v>0.0</v>
      </c>
      <c r="P52" s="75">
        <v>1.0</v>
      </c>
      <c r="Q52" s="70" t="s">
        <v>22</v>
      </c>
      <c r="R52" s="71">
        <v>0.13</v>
      </c>
      <c r="S52" s="71">
        <v>2.33</v>
      </c>
      <c r="T52" s="67"/>
      <c r="U52" s="71">
        <v>0.0</v>
      </c>
      <c r="V52" s="71"/>
      <c r="W52" s="67"/>
      <c r="X52" s="67"/>
      <c r="Y52" s="67"/>
      <c r="Z52" s="67"/>
      <c r="AA52" s="67"/>
      <c r="AB52" s="67"/>
      <c r="AC52" s="67"/>
    </row>
    <row r="53">
      <c r="A53" s="74">
        <v>45896.0</v>
      </c>
      <c r="B53" s="70" t="s">
        <v>1575</v>
      </c>
      <c r="C53" s="70" t="s">
        <v>1569</v>
      </c>
      <c r="D53" s="71">
        <v>4.4</v>
      </c>
      <c r="E53" s="71">
        <v>0.0</v>
      </c>
      <c r="F53" s="71">
        <v>16.0</v>
      </c>
      <c r="G53" s="68"/>
      <c r="H53" s="71">
        <v>11.31</v>
      </c>
      <c r="I53" s="72">
        <v>0.706875</v>
      </c>
      <c r="J53" s="70" t="s">
        <v>1462</v>
      </c>
      <c r="K53" s="67"/>
      <c r="L53" s="70" t="s">
        <v>1576</v>
      </c>
      <c r="M53" s="75">
        <v>1.0</v>
      </c>
      <c r="N53" s="75">
        <v>0.0</v>
      </c>
      <c r="O53" s="75">
        <v>0.0</v>
      </c>
      <c r="P53" s="75">
        <v>1.0</v>
      </c>
      <c r="Q53" s="70" t="s">
        <v>22</v>
      </c>
      <c r="R53" s="71">
        <v>0.29</v>
      </c>
      <c r="S53" s="71">
        <v>4.69</v>
      </c>
      <c r="T53" s="67"/>
      <c r="U53" s="71">
        <v>0.0</v>
      </c>
      <c r="V53" s="71"/>
      <c r="W53" s="67"/>
      <c r="X53" s="67"/>
      <c r="Y53" s="67"/>
      <c r="Z53" s="67"/>
      <c r="AA53" s="67"/>
      <c r="AB53" s="67"/>
      <c r="AC53" s="67"/>
    </row>
    <row r="54">
      <c r="A54" s="74">
        <v>45896.0</v>
      </c>
      <c r="B54" s="70" t="s">
        <v>1577</v>
      </c>
      <c r="C54" s="70" t="s">
        <v>1569</v>
      </c>
      <c r="D54" s="71">
        <v>3.3</v>
      </c>
      <c r="E54" s="71">
        <v>0.0</v>
      </c>
      <c r="F54" s="68"/>
      <c r="G54" s="68"/>
      <c r="H54" s="68"/>
      <c r="I54" s="69"/>
      <c r="J54" s="70" t="s">
        <v>1450</v>
      </c>
      <c r="K54" s="67"/>
      <c r="L54" s="70" t="s">
        <v>1578</v>
      </c>
      <c r="M54" s="75">
        <v>1.0</v>
      </c>
      <c r="N54" s="75">
        <v>0.0</v>
      </c>
      <c r="O54" s="75">
        <v>0.0</v>
      </c>
      <c r="P54" s="75">
        <v>1.0</v>
      </c>
      <c r="Q54" s="70" t="s">
        <v>22</v>
      </c>
      <c r="R54" s="71">
        <v>1.35</v>
      </c>
      <c r="S54" s="71">
        <v>4.65</v>
      </c>
      <c r="T54" s="67"/>
      <c r="U54" s="71">
        <v>0.0</v>
      </c>
      <c r="V54" s="71"/>
      <c r="W54" s="67"/>
      <c r="X54" s="67"/>
      <c r="Y54" s="67"/>
      <c r="Z54" s="67"/>
      <c r="AA54" s="67"/>
      <c r="AB54" s="67"/>
      <c r="AC54" s="67"/>
    </row>
    <row r="55">
      <c r="A55" s="74">
        <v>45896.0</v>
      </c>
      <c r="B55" s="70" t="s">
        <v>1579</v>
      </c>
      <c r="C55" s="70" t="s">
        <v>1569</v>
      </c>
      <c r="D55" s="71">
        <v>3.3</v>
      </c>
      <c r="E55" s="71">
        <v>0.0</v>
      </c>
      <c r="F55" s="71">
        <v>25.0</v>
      </c>
      <c r="G55" s="68"/>
      <c r="H55" s="71">
        <v>21.24</v>
      </c>
      <c r="I55" s="72">
        <v>0.8495999999999999</v>
      </c>
      <c r="J55" s="70" t="s">
        <v>1462</v>
      </c>
      <c r="K55" s="67"/>
      <c r="L55" s="70" t="s">
        <v>1580</v>
      </c>
      <c r="M55" s="75">
        <v>1.0</v>
      </c>
      <c r="N55" s="75">
        <v>0.0</v>
      </c>
      <c r="O55" s="75">
        <v>0.0</v>
      </c>
      <c r="P55" s="75">
        <v>1.0</v>
      </c>
      <c r="Q55" s="70" t="s">
        <v>22</v>
      </c>
      <c r="R55" s="71">
        <v>0.46</v>
      </c>
      <c r="S55" s="71">
        <v>3.76</v>
      </c>
      <c r="T55" s="67"/>
      <c r="U55" s="71">
        <v>5.0</v>
      </c>
      <c r="V55" s="71">
        <v>5.0</v>
      </c>
      <c r="W55" s="67"/>
      <c r="X55" s="67"/>
      <c r="Y55" s="67"/>
      <c r="Z55" s="67"/>
      <c r="AA55" s="67"/>
      <c r="AB55" s="67"/>
      <c r="AC55" s="67"/>
    </row>
    <row r="56">
      <c r="A56" s="74">
        <v>45897.0</v>
      </c>
      <c r="B56" s="70" t="s">
        <v>1581</v>
      </c>
      <c r="C56" s="70" t="s">
        <v>1468</v>
      </c>
      <c r="D56" s="71">
        <v>0.0</v>
      </c>
      <c r="E56" s="71">
        <v>0.0</v>
      </c>
      <c r="F56" s="71">
        <v>0.0</v>
      </c>
      <c r="G56" s="68"/>
      <c r="H56" s="71"/>
      <c r="I56" s="72"/>
      <c r="J56" s="70" t="s">
        <v>1450</v>
      </c>
      <c r="K56" s="67"/>
      <c r="L56" s="67" t="s">
        <v>1582</v>
      </c>
      <c r="M56" s="75">
        <v>1.0</v>
      </c>
      <c r="N56" s="75">
        <v>0.0</v>
      </c>
      <c r="O56" s="75">
        <v>0.0</v>
      </c>
      <c r="P56" s="75">
        <v>1.0</v>
      </c>
      <c r="Q56" s="76" t="s">
        <v>22</v>
      </c>
      <c r="R56" s="71">
        <v>0.0</v>
      </c>
      <c r="S56" s="71">
        <v>0.0</v>
      </c>
      <c r="T56" s="70"/>
      <c r="U56" s="71">
        <v>0.0</v>
      </c>
      <c r="V56" s="71"/>
      <c r="W56" s="67"/>
      <c r="X56" s="67"/>
      <c r="Y56" s="67"/>
      <c r="Z56" s="67"/>
      <c r="AA56" s="67"/>
      <c r="AB56" s="67"/>
      <c r="AC56" s="67"/>
    </row>
    <row r="57">
      <c r="A57" s="74">
        <v>45897.0</v>
      </c>
      <c r="B57" s="70" t="s">
        <v>1583</v>
      </c>
      <c r="C57" s="70" t="s">
        <v>1471</v>
      </c>
      <c r="D57" s="71">
        <v>0.0</v>
      </c>
      <c r="E57" s="71">
        <v>0.0</v>
      </c>
      <c r="F57" s="68"/>
      <c r="G57" s="68"/>
      <c r="H57" s="68"/>
      <c r="I57" s="69"/>
      <c r="J57" s="70" t="s">
        <v>1450</v>
      </c>
      <c r="K57" s="67"/>
      <c r="L57" s="67" t="s">
        <v>1584</v>
      </c>
      <c r="M57" s="75">
        <v>1.0</v>
      </c>
      <c r="N57" s="75">
        <v>0.0</v>
      </c>
      <c r="O57" s="75">
        <v>0.0</v>
      </c>
      <c r="P57" s="75">
        <v>1.0</v>
      </c>
      <c r="Q57" s="76" t="s">
        <v>22</v>
      </c>
      <c r="R57" s="71">
        <v>0.0</v>
      </c>
      <c r="S57" s="71">
        <v>0.0</v>
      </c>
      <c r="T57" s="70"/>
      <c r="U57" s="71">
        <v>0.0</v>
      </c>
      <c r="V57" s="71"/>
      <c r="W57" s="67"/>
      <c r="X57" s="67"/>
      <c r="Y57" s="67"/>
      <c r="Z57" s="67"/>
      <c r="AA57" s="67"/>
      <c r="AB57" s="67"/>
      <c r="AC57" s="67"/>
    </row>
    <row r="58">
      <c r="A58" s="74">
        <v>45897.0</v>
      </c>
      <c r="B58" s="70" t="s">
        <v>1585</v>
      </c>
      <c r="C58" s="70" t="s">
        <v>1487</v>
      </c>
      <c r="D58" s="71">
        <v>0.0</v>
      </c>
      <c r="E58" s="71">
        <v>0.0</v>
      </c>
      <c r="F58" s="68"/>
      <c r="G58" s="68"/>
      <c r="H58" s="68"/>
      <c r="I58" s="69"/>
      <c r="J58" s="70" t="s">
        <v>1450</v>
      </c>
      <c r="K58" s="67"/>
      <c r="L58" s="70" t="s">
        <v>1586</v>
      </c>
      <c r="M58" s="75">
        <v>1.0</v>
      </c>
      <c r="N58" s="75">
        <v>0.0</v>
      </c>
      <c r="O58" s="75">
        <v>0.0</v>
      </c>
      <c r="P58" s="75">
        <v>1.0</v>
      </c>
      <c r="Q58" s="76" t="s">
        <v>22</v>
      </c>
      <c r="R58" s="71">
        <v>0.0</v>
      </c>
      <c r="S58" s="71">
        <v>0.0</v>
      </c>
      <c r="T58" s="67"/>
      <c r="U58" s="71">
        <v>0.0</v>
      </c>
      <c r="V58" s="71"/>
      <c r="W58" s="67"/>
      <c r="X58" s="67"/>
      <c r="Y58" s="67"/>
      <c r="Z58" s="67"/>
      <c r="AA58" s="67"/>
      <c r="AB58" s="67"/>
      <c r="AC58" s="67"/>
    </row>
    <row r="59">
      <c r="A59" s="74">
        <v>45897.0</v>
      </c>
      <c r="B59" s="70" t="s">
        <v>1587</v>
      </c>
      <c r="C59" s="70" t="s">
        <v>1588</v>
      </c>
      <c r="D59" s="71">
        <v>7.0</v>
      </c>
      <c r="E59" s="71">
        <v>0.0</v>
      </c>
      <c r="F59" s="68"/>
      <c r="G59" s="68"/>
      <c r="H59" s="68"/>
      <c r="I59" s="69"/>
      <c r="J59" s="70" t="s">
        <v>1450</v>
      </c>
      <c r="K59" s="67"/>
      <c r="L59" s="70" t="s">
        <v>1589</v>
      </c>
      <c r="M59" s="75">
        <v>1.0</v>
      </c>
      <c r="N59" s="75">
        <v>0.0</v>
      </c>
      <c r="O59" s="75">
        <v>0.0</v>
      </c>
      <c r="P59" s="75">
        <v>1.0</v>
      </c>
      <c r="Q59" s="76" t="s">
        <v>22</v>
      </c>
      <c r="R59" s="71">
        <v>0.0</v>
      </c>
      <c r="S59" s="71">
        <v>7.0</v>
      </c>
      <c r="T59" s="70"/>
      <c r="U59" s="71">
        <v>0.0</v>
      </c>
      <c r="V59" s="71"/>
      <c r="W59" s="67"/>
      <c r="X59" s="67"/>
      <c r="Y59" s="67"/>
      <c r="Z59" s="67"/>
      <c r="AA59" s="67"/>
      <c r="AB59" s="67"/>
      <c r="AC59" s="67"/>
    </row>
    <row r="60">
      <c r="A60" s="74">
        <v>45897.0</v>
      </c>
      <c r="B60" s="70" t="s">
        <v>1590</v>
      </c>
      <c r="C60" s="70" t="s">
        <v>1591</v>
      </c>
      <c r="D60" s="71">
        <v>0.0</v>
      </c>
      <c r="E60" s="71">
        <v>0.0</v>
      </c>
      <c r="F60" s="68"/>
      <c r="G60" s="68"/>
      <c r="H60" s="68"/>
      <c r="I60" s="69"/>
      <c r="J60" s="70" t="s">
        <v>1450</v>
      </c>
      <c r="K60" s="67"/>
      <c r="L60" s="70" t="s">
        <v>1592</v>
      </c>
      <c r="M60" s="75">
        <v>1.0</v>
      </c>
      <c r="N60" s="75">
        <v>0.0</v>
      </c>
      <c r="O60" s="75">
        <v>0.0</v>
      </c>
      <c r="P60" s="75">
        <v>1.0</v>
      </c>
      <c r="Q60" s="70" t="s">
        <v>22</v>
      </c>
      <c r="R60" s="71">
        <v>0.0</v>
      </c>
      <c r="S60" s="71">
        <v>0.0</v>
      </c>
      <c r="T60" s="70"/>
      <c r="U60" s="71">
        <v>0.0</v>
      </c>
      <c r="V60" s="71"/>
      <c r="W60" s="67"/>
      <c r="X60" s="67"/>
      <c r="Y60" s="67"/>
      <c r="Z60" s="67"/>
      <c r="AA60" s="67"/>
      <c r="AB60" s="67"/>
      <c r="AC60" s="67"/>
    </row>
    <row r="61">
      <c r="A61" s="74">
        <v>45897.0</v>
      </c>
      <c r="B61" s="70" t="s">
        <v>1593</v>
      </c>
      <c r="C61" s="70" t="s">
        <v>1594</v>
      </c>
      <c r="D61" s="71">
        <v>16.19</v>
      </c>
      <c r="E61" s="71">
        <v>26.99</v>
      </c>
      <c r="F61" s="68"/>
      <c r="G61" s="68"/>
      <c r="H61" s="71">
        <v>-16.69</v>
      </c>
      <c r="I61" s="72">
        <v>-1.0</v>
      </c>
      <c r="J61" s="70" t="s">
        <v>1595</v>
      </c>
      <c r="K61" s="67"/>
      <c r="L61" s="70" t="s">
        <v>1596</v>
      </c>
      <c r="M61" s="75">
        <v>1.0</v>
      </c>
      <c r="N61" s="75">
        <v>0.0</v>
      </c>
      <c r="O61" s="75">
        <v>1.0</v>
      </c>
      <c r="P61" s="75">
        <v>0.0</v>
      </c>
      <c r="Q61" s="70" t="s">
        <v>22</v>
      </c>
      <c r="R61" s="71">
        <v>0.5</v>
      </c>
      <c r="S61" s="71">
        <v>16.69</v>
      </c>
      <c r="T61" s="67"/>
      <c r="U61" s="71">
        <v>5.0</v>
      </c>
      <c r="V61" s="71">
        <v>31.99</v>
      </c>
      <c r="W61" s="67"/>
      <c r="X61" s="67"/>
      <c r="Y61" s="67"/>
      <c r="Z61" s="67"/>
      <c r="AA61" s="67"/>
      <c r="AB61" s="67"/>
      <c r="AC61" s="67"/>
    </row>
    <row r="62">
      <c r="A62" s="74">
        <v>45897.0</v>
      </c>
      <c r="B62" s="70" t="s">
        <v>1597</v>
      </c>
      <c r="C62" s="70" t="s">
        <v>1588</v>
      </c>
      <c r="D62" s="71">
        <v>2.43</v>
      </c>
      <c r="E62" s="71">
        <v>0.0</v>
      </c>
      <c r="F62" s="68"/>
      <c r="G62" s="68"/>
      <c r="H62" s="68"/>
      <c r="I62" s="69"/>
      <c r="J62" s="70" t="s">
        <v>1450</v>
      </c>
      <c r="K62" s="67"/>
      <c r="L62" s="70" t="s">
        <v>1598</v>
      </c>
      <c r="M62" s="75">
        <v>1.0</v>
      </c>
      <c r="N62" s="75">
        <v>0.0</v>
      </c>
      <c r="O62" s="75">
        <v>0.0</v>
      </c>
      <c r="P62" s="75">
        <v>1.0</v>
      </c>
      <c r="Q62" s="70" t="s">
        <v>22</v>
      </c>
      <c r="R62" s="71">
        <v>0.94</v>
      </c>
      <c r="S62" s="71">
        <v>3.37</v>
      </c>
      <c r="T62" s="67"/>
      <c r="U62" s="71">
        <v>0.0</v>
      </c>
      <c r="V62" s="71"/>
      <c r="W62" s="67"/>
      <c r="X62" s="67"/>
      <c r="Y62" s="67"/>
      <c r="Z62" s="67"/>
      <c r="AA62" s="67"/>
      <c r="AB62" s="67"/>
      <c r="AC62" s="67"/>
    </row>
    <row r="63">
      <c r="A63" s="74">
        <v>45897.0</v>
      </c>
      <c r="B63" s="70" t="s">
        <v>1599</v>
      </c>
      <c r="C63" s="70" t="s">
        <v>1588</v>
      </c>
      <c r="D63" s="71">
        <v>2.43</v>
      </c>
      <c r="E63" s="71">
        <v>0.0</v>
      </c>
      <c r="F63" s="68"/>
      <c r="G63" s="68"/>
      <c r="H63" s="68"/>
      <c r="I63" s="69"/>
      <c r="J63" s="70" t="s">
        <v>1450</v>
      </c>
      <c r="K63" s="67"/>
      <c r="L63" s="70" t="s">
        <v>1600</v>
      </c>
      <c r="M63" s="75">
        <v>1.0</v>
      </c>
      <c r="N63" s="75">
        <v>0.0</v>
      </c>
      <c r="O63" s="75">
        <v>0.0</v>
      </c>
      <c r="P63" s="75">
        <v>1.0</v>
      </c>
      <c r="Q63" s="70" t="s">
        <v>22</v>
      </c>
      <c r="R63" s="71">
        <v>0.94</v>
      </c>
      <c r="S63" s="71">
        <v>3.37</v>
      </c>
      <c r="T63" s="67"/>
      <c r="U63" s="71">
        <v>0.0</v>
      </c>
      <c r="V63" s="71"/>
      <c r="W63" s="67"/>
      <c r="X63" s="67"/>
      <c r="Y63" s="67"/>
      <c r="Z63" s="67"/>
      <c r="AA63" s="67"/>
      <c r="AB63" s="67"/>
      <c r="AC63" s="67"/>
    </row>
    <row r="64">
      <c r="A64" s="74">
        <v>45897.0</v>
      </c>
      <c r="B64" s="70" t="s">
        <v>1601</v>
      </c>
      <c r="C64" s="70" t="s">
        <v>1588</v>
      </c>
      <c r="D64" s="71">
        <v>2.43</v>
      </c>
      <c r="E64" s="71">
        <v>0.0</v>
      </c>
      <c r="F64" s="68"/>
      <c r="G64" s="68"/>
      <c r="H64" s="68"/>
      <c r="I64" s="69"/>
      <c r="J64" s="70" t="s">
        <v>1602</v>
      </c>
      <c r="K64" s="67"/>
      <c r="L64" s="70" t="s">
        <v>1603</v>
      </c>
      <c r="M64" s="75">
        <v>1.0</v>
      </c>
      <c r="N64" s="75">
        <v>0.0</v>
      </c>
      <c r="O64" s="75">
        <v>1.0</v>
      </c>
      <c r="P64" s="75">
        <v>0.0</v>
      </c>
      <c r="Q64" s="70" t="s">
        <v>22</v>
      </c>
      <c r="R64" s="71">
        <v>1.35</v>
      </c>
      <c r="S64" s="71">
        <v>3.78</v>
      </c>
      <c r="T64" s="67"/>
      <c r="U64" s="71">
        <v>0.0</v>
      </c>
      <c r="V64" s="71"/>
      <c r="W64" s="67"/>
      <c r="X64" s="67"/>
      <c r="Y64" s="67"/>
      <c r="Z64" s="67"/>
      <c r="AA64" s="67"/>
      <c r="AB64" s="67"/>
      <c r="AC64" s="67"/>
    </row>
    <row r="65">
      <c r="A65" s="74">
        <v>45897.0</v>
      </c>
      <c r="B65" s="70" t="s">
        <v>1604</v>
      </c>
      <c r="C65" s="70" t="s">
        <v>1605</v>
      </c>
      <c r="D65" s="71">
        <v>3.33</v>
      </c>
      <c r="E65" s="71">
        <v>0.0</v>
      </c>
      <c r="F65" s="68"/>
      <c r="G65" s="68"/>
      <c r="H65" s="71"/>
      <c r="I65" s="72"/>
      <c r="J65" s="70" t="s">
        <v>1450</v>
      </c>
      <c r="K65" s="67"/>
      <c r="L65" s="70" t="s">
        <v>1606</v>
      </c>
      <c r="M65" s="75">
        <v>1.0</v>
      </c>
      <c r="N65" s="75">
        <v>0.0</v>
      </c>
      <c r="O65" s="75">
        <v>0.0</v>
      </c>
      <c r="P65" s="75">
        <v>1.0</v>
      </c>
      <c r="Q65" s="76" t="s">
        <v>22</v>
      </c>
      <c r="R65" s="71">
        <v>0.5</v>
      </c>
      <c r="S65" s="71">
        <v>3.83</v>
      </c>
      <c r="T65" s="70"/>
      <c r="U65" s="71">
        <v>5.0</v>
      </c>
      <c r="V65" s="71">
        <v>5.0</v>
      </c>
      <c r="W65" s="67"/>
      <c r="X65" s="67"/>
      <c r="Y65" s="67"/>
      <c r="Z65" s="67"/>
      <c r="AA65" s="67"/>
      <c r="AB65" s="67"/>
      <c r="AC65" s="67"/>
    </row>
    <row r="66">
      <c r="A66" s="74">
        <v>45897.0</v>
      </c>
      <c r="B66" s="70" t="s">
        <v>1607</v>
      </c>
      <c r="C66" s="70" t="s">
        <v>1605</v>
      </c>
      <c r="D66" s="71">
        <v>3.33</v>
      </c>
      <c r="E66" s="71">
        <v>0.0</v>
      </c>
      <c r="F66" s="68"/>
      <c r="G66" s="68"/>
      <c r="H66" s="71"/>
      <c r="I66" s="72"/>
      <c r="J66" s="70" t="s">
        <v>1450</v>
      </c>
      <c r="K66" s="67"/>
      <c r="L66" s="67" t="s">
        <v>1608</v>
      </c>
      <c r="M66" s="75">
        <v>1.0</v>
      </c>
      <c r="N66" s="75">
        <v>0.0</v>
      </c>
      <c r="O66" s="75">
        <v>0.0</v>
      </c>
      <c r="P66" s="75">
        <v>1.0</v>
      </c>
      <c r="Q66" s="76" t="s">
        <v>22</v>
      </c>
      <c r="R66" s="71">
        <v>0.92</v>
      </c>
      <c r="S66" s="71">
        <v>4.25</v>
      </c>
      <c r="T66" s="67"/>
      <c r="U66" s="71">
        <v>0.0</v>
      </c>
      <c r="V66" s="71"/>
      <c r="W66" s="67"/>
      <c r="X66" s="67"/>
      <c r="Y66" s="67"/>
      <c r="Z66" s="67"/>
      <c r="AA66" s="67"/>
      <c r="AB66" s="67"/>
      <c r="AC66" s="67"/>
    </row>
    <row r="67">
      <c r="A67" s="74">
        <v>45897.0</v>
      </c>
      <c r="B67" s="70" t="s">
        <v>1609</v>
      </c>
      <c r="C67" s="70" t="s">
        <v>1474</v>
      </c>
      <c r="D67" s="71">
        <v>2.2</v>
      </c>
      <c r="E67" s="71">
        <v>5.0</v>
      </c>
      <c r="F67" s="68"/>
      <c r="G67" s="68"/>
      <c r="H67" s="71"/>
      <c r="I67" s="72"/>
      <c r="J67" s="70" t="s">
        <v>1450</v>
      </c>
      <c r="K67" s="67"/>
      <c r="L67" s="70" t="s">
        <v>1610</v>
      </c>
      <c r="M67" s="75">
        <v>1.0</v>
      </c>
      <c r="N67" s="75">
        <v>0.0</v>
      </c>
      <c r="O67" s="75">
        <v>0.0</v>
      </c>
      <c r="P67" s="75">
        <v>1.0</v>
      </c>
      <c r="Q67" s="76" t="s">
        <v>22</v>
      </c>
      <c r="R67" s="71">
        <v>0.94</v>
      </c>
      <c r="S67" s="71">
        <v>3.14</v>
      </c>
      <c r="T67" s="70"/>
      <c r="U67" s="71">
        <v>0.0</v>
      </c>
      <c r="V67" s="71">
        <v>5.0</v>
      </c>
      <c r="W67" s="67"/>
      <c r="X67" s="67"/>
      <c r="Y67" s="67"/>
      <c r="Z67" s="67"/>
      <c r="AA67" s="67"/>
      <c r="AB67" s="67"/>
      <c r="AC67" s="67"/>
    </row>
    <row r="68">
      <c r="A68" s="74">
        <v>45897.0</v>
      </c>
      <c r="B68" s="70" t="s">
        <v>1611</v>
      </c>
      <c r="C68" s="70" t="s">
        <v>1474</v>
      </c>
      <c r="D68" s="71">
        <v>2.2</v>
      </c>
      <c r="E68" s="71">
        <v>5.0</v>
      </c>
      <c r="F68" s="68"/>
      <c r="G68" s="68"/>
      <c r="H68" s="68"/>
      <c r="I68" s="69"/>
      <c r="J68" s="70" t="s">
        <v>1450</v>
      </c>
      <c r="K68" s="67"/>
      <c r="L68" s="70" t="s">
        <v>1612</v>
      </c>
      <c r="M68" s="75">
        <v>1.0</v>
      </c>
      <c r="N68" s="75">
        <v>0.0</v>
      </c>
      <c r="O68" s="75">
        <v>0.0</v>
      </c>
      <c r="P68" s="75">
        <v>1.0</v>
      </c>
      <c r="Q68" s="70" t="s">
        <v>22</v>
      </c>
      <c r="R68" s="71">
        <v>0.5</v>
      </c>
      <c r="S68" s="71">
        <v>2.7</v>
      </c>
      <c r="T68" s="70"/>
      <c r="U68" s="71">
        <v>5.0</v>
      </c>
      <c r="V68" s="71">
        <v>10.0</v>
      </c>
      <c r="W68" s="67"/>
      <c r="X68" s="67"/>
      <c r="Y68" s="67"/>
      <c r="Z68" s="67"/>
      <c r="AA68" s="67"/>
      <c r="AB68" s="67"/>
      <c r="AC68" s="67"/>
    </row>
    <row r="69">
      <c r="A69" s="74">
        <v>45898.0</v>
      </c>
      <c r="B69" s="70" t="s">
        <v>1613</v>
      </c>
      <c r="C69" s="70" t="s">
        <v>1542</v>
      </c>
      <c r="D69" s="71">
        <v>0.0</v>
      </c>
      <c r="E69" s="71">
        <v>0.0</v>
      </c>
      <c r="F69" s="68"/>
      <c r="G69" s="68"/>
      <c r="H69" s="68"/>
      <c r="I69" s="69"/>
      <c r="J69" s="70" t="s">
        <v>1450</v>
      </c>
      <c r="K69" s="67"/>
      <c r="L69" s="70" t="s">
        <v>1614</v>
      </c>
      <c r="M69" s="75">
        <v>1.0</v>
      </c>
      <c r="N69" s="75">
        <v>0.0</v>
      </c>
      <c r="O69" s="75">
        <v>0.0</v>
      </c>
      <c r="P69" s="75">
        <v>1.0</v>
      </c>
      <c r="Q69" s="76" t="s">
        <v>22</v>
      </c>
      <c r="R69" s="71">
        <v>0.5</v>
      </c>
      <c r="S69" s="71">
        <v>0.5</v>
      </c>
      <c r="T69" s="70"/>
      <c r="U69" s="71">
        <v>5.0</v>
      </c>
      <c r="V69" s="71">
        <v>5.0</v>
      </c>
      <c r="W69" s="67"/>
      <c r="X69" s="67"/>
      <c r="Y69" s="67"/>
      <c r="Z69" s="67"/>
      <c r="AA69" s="67"/>
      <c r="AB69" s="67"/>
      <c r="AC69" s="67"/>
    </row>
    <row r="70">
      <c r="A70" s="74">
        <v>45898.0</v>
      </c>
      <c r="B70" s="70" t="s">
        <v>1615</v>
      </c>
      <c r="C70" s="70" t="s">
        <v>1471</v>
      </c>
      <c r="D70" s="71">
        <v>0.0</v>
      </c>
      <c r="E70" s="71">
        <v>0.0</v>
      </c>
      <c r="F70" s="68"/>
      <c r="G70" s="68"/>
      <c r="H70" s="68"/>
      <c r="I70" s="69"/>
      <c r="J70" s="70" t="s">
        <v>1602</v>
      </c>
      <c r="K70" s="67"/>
      <c r="L70" s="70" t="s">
        <v>1616</v>
      </c>
      <c r="M70" s="75">
        <v>1.0</v>
      </c>
      <c r="N70" s="75">
        <v>0.0</v>
      </c>
      <c r="O70" s="75">
        <v>1.0</v>
      </c>
      <c r="P70" s="75">
        <v>0.0</v>
      </c>
      <c r="Q70" s="70" t="s">
        <v>22</v>
      </c>
      <c r="R70" s="71">
        <v>4.5</v>
      </c>
      <c r="S70" s="71">
        <v>4.5</v>
      </c>
      <c r="T70" s="70"/>
      <c r="U70" s="71">
        <v>0.0</v>
      </c>
      <c r="V70" s="71"/>
      <c r="W70" s="67"/>
      <c r="X70" s="67"/>
      <c r="Y70" s="67"/>
      <c r="Z70" s="67"/>
      <c r="AA70" s="67"/>
      <c r="AB70" s="67"/>
      <c r="AC70" s="67"/>
    </row>
    <row r="71">
      <c r="A71" s="74">
        <v>45898.0</v>
      </c>
      <c r="B71" s="70" t="s">
        <v>1617</v>
      </c>
      <c r="C71" s="70" t="s">
        <v>1564</v>
      </c>
      <c r="D71" s="71">
        <v>0.0</v>
      </c>
      <c r="E71" s="71">
        <v>0.0</v>
      </c>
      <c r="F71" s="71">
        <v>12.0</v>
      </c>
      <c r="G71" s="68"/>
      <c r="H71" s="71">
        <v>7.5</v>
      </c>
      <c r="I71" s="72">
        <v>0.625</v>
      </c>
      <c r="J71" s="70" t="s">
        <v>1462</v>
      </c>
      <c r="K71" s="67"/>
      <c r="L71" s="70" t="s">
        <v>1618</v>
      </c>
      <c r="M71" s="75">
        <v>1.0</v>
      </c>
      <c r="N71" s="75">
        <v>0.0</v>
      </c>
      <c r="O71" s="75">
        <v>0.0</v>
      </c>
      <c r="P71" s="75">
        <v>1.0</v>
      </c>
      <c r="Q71" s="70" t="s">
        <v>22</v>
      </c>
      <c r="R71" s="71">
        <v>4.5</v>
      </c>
      <c r="S71" s="71">
        <v>4.5</v>
      </c>
      <c r="T71" s="67"/>
      <c r="U71" s="71">
        <v>0.0</v>
      </c>
      <c r="V71" s="71"/>
      <c r="W71" s="67"/>
      <c r="X71" s="67"/>
      <c r="Y71" s="67"/>
      <c r="Z71" s="67"/>
      <c r="AA71" s="67"/>
      <c r="AB71" s="67"/>
      <c r="AC71" s="67"/>
    </row>
    <row r="72">
      <c r="A72" s="74">
        <v>45898.0</v>
      </c>
      <c r="B72" s="70" t="s">
        <v>1619</v>
      </c>
      <c r="C72" s="70" t="s">
        <v>1542</v>
      </c>
      <c r="D72" s="71">
        <v>0.0</v>
      </c>
      <c r="E72" s="71">
        <v>0.0</v>
      </c>
      <c r="F72" s="68"/>
      <c r="G72" s="68"/>
      <c r="H72" s="71"/>
      <c r="I72" s="72"/>
      <c r="J72" s="70" t="s">
        <v>1450</v>
      </c>
      <c r="K72" s="67"/>
      <c r="L72" s="67" t="s">
        <v>1620</v>
      </c>
      <c r="M72" s="75">
        <v>1.0</v>
      </c>
      <c r="N72" s="75">
        <v>0.0</v>
      </c>
      <c r="O72" s="75">
        <v>0.0</v>
      </c>
      <c r="P72" s="75">
        <v>1.0</v>
      </c>
      <c r="Q72" s="76" t="s">
        <v>22</v>
      </c>
      <c r="R72" s="71">
        <v>0.29</v>
      </c>
      <c r="S72" s="71">
        <v>0.29</v>
      </c>
      <c r="T72" s="70"/>
      <c r="U72" s="71">
        <v>0.0</v>
      </c>
      <c r="V72" s="71"/>
      <c r="W72" s="67"/>
      <c r="X72" s="67"/>
      <c r="Y72" s="67"/>
      <c r="Z72" s="67"/>
      <c r="AA72" s="67"/>
      <c r="AB72" s="67"/>
      <c r="AC72" s="67"/>
    </row>
    <row r="73">
      <c r="A73" s="74">
        <v>45898.0</v>
      </c>
      <c r="B73" s="70" t="s">
        <v>1621</v>
      </c>
      <c r="C73" s="70" t="s">
        <v>1497</v>
      </c>
      <c r="D73" s="71">
        <v>7.8</v>
      </c>
      <c r="E73" s="71">
        <v>16.99</v>
      </c>
      <c r="F73" s="68"/>
      <c r="G73" s="68"/>
      <c r="H73" s="68"/>
      <c r="I73" s="69"/>
      <c r="J73" s="70" t="s">
        <v>1450</v>
      </c>
      <c r="K73" s="67"/>
      <c r="L73" s="70" t="s">
        <v>1622</v>
      </c>
      <c r="M73" s="75">
        <v>1.0</v>
      </c>
      <c r="N73" s="75">
        <v>0.0</v>
      </c>
      <c r="O73" s="75">
        <v>0.0</v>
      </c>
      <c r="P73" s="75">
        <v>1.0</v>
      </c>
      <c r="Q73" s="70" t="s">
        <v>22</v>
      </c>
      <c r="R73" s="71">
        <v>4.5</v>
      </c>
      <c r="S73" s="71">
        <v>12.3</v>
      </c>
      <c r="T73" s="70"/>
      <c r="U73" s="71">
        <v>0.0</v>
      </c>
      <c r="V73" s="71">
        <v>16.99</v>
      </c>
      <c r="W73" s="67"/>
      <c r="X73" s="67"/>
      <c r="Y73" s="67"/>
      <c r="Z73" s="67"/>
      <c r="AA73" s="67"/>
      <c r="AB73" s="67"/>
      <c r="AC73" s="67"/>
    </row>
    <row r="74">
      <c r="A74" s="74">
        <v>45898.0</v>
      </c>
      <c r="B74" s="70" t="s">
        <v>1623</v>
      </c>
      <c r="C74" s="70" t="s">
        <v>1468</v>
      </c>
      <c r="D74" s="71">
        <v>0.0</v>
      </c>
      <c r="E74" s="71">
        <v>0.0</v>
      </c>
      <c r="F74" s="68"/>
      <c r="G74" s="68"/>
      <c r="H74" s="71"/>
      <c r="I74" s="72"/>
      <c r="J74" s="70" t="s">
        <v>1450</v>
      </c>
      <c r="K74" s="67"/>
      <c r="L74" s="67" t="s">
        <v>1624</v>
      </c>
      <c r="M74" s="75">
        <v>1.0</v>
      </c>
      <c r="N74" s="75">
        <v>0.0</v>
      </c>
      <c r="O74" s="75">
        <v>0.0</v>
      </c>
      <c r="P74" s="75">
        <v>1.0</v>
      </c>
      <c r="Q74" s="76" t="s">
        <v>22</v>
      </c>
      <c r="R74" s="71">
        <v>0.29</v>
      </c>
      <c r="S74" s="71">
        <v>0.29</v>
      </c>
      <c r="T74" s="70"/>
      <c r="U74" s="71">
        <v>0.0</v>
      </c>
      <c r="V74" s="71"/>
      <c r="W74" s="67"/>
      <c r="X74" s="67"/>
      <c r="Y74" s="67"/>
      <c r="Z74" s="67"/>
      <c r="AA74" s="67"/>
      <c r="AB74" s="67"/>
      <c r="AC74" s="67"/>
    </row>
    <row r="75">
      <c r="A75" s="74">
        <v>45899.0</v>
      </c>
      <c r="B75" s="70" t="s">
        <v>1625</v>
      </c>
      <c r="C75" s="70" t="s">
        <v>1474</v>
      </c>
      <c r="D75" s="71">
        <v>1.57</v>
      </c>
      <c r="E75" s="71">
        <v>0.0</v>
      </c>
      <c r="F75" s="68"/>
      <c r="G75" s="71">
        <v>10.0</v>
      </c>
      <c r="H75" s="71">
        <v>7.08</v>
      </c>
      <c r="I75" s="72">
        <v>0.708</v>
      </c>
      <c r="J75" s="70" t="s">
        <v>1626</v>
      </c>
      <c r="K75" s="67"/>
      <c r="L75" s="70" t="s">
        <v>1627</v>
      </c>
      <c r="M75" s="75">
        <v>1.0</v>
      </c>
      <c r="N75" s="75">
        <v>1.0</v>
      </c>
      <c r="O75" s="75">
        <v>0.0</v>
      </c>
      <c r="P75" s="75">
        <v>0.0</v>
      </c>
      <c r="Q75" s="70" t="s">
        <v>22</v>
      </c>
      <c r="R75" s="71">
        <v>1.35</v>
      </c>
      <c r="S75" s="71">
        <v>2.92</v>
      </c>
      <c r="T75" s="67"/>
      <c r="U75" s="71">
        <v>0.0</v>
      </c>
      <c r="V75" s="71"/>
      <c r="W75" s="67"/>
      <c r="X75" s="67"/>
      <c r="Y75" s="67"/>
      <c r="Z75" s="67"/>
      <c r="AA75" s="67"/>
      <c r="AB75" s="67"/>
      <c r="AC75" s="67"/>
    </row>
    <row r="76">
      <c r="A76" s="74">
        <v>45899.0</v>
      </c>
      <c r="B76" s="70" t="s">
        <v>1628</v>
      </c>
      <c r="C76" s="70" t="s">
        <v>1629</v>
      </c>
      <c r="D76" s="71">
        <v>0.0</v>
      </c>
      <c r="E76" s="71">
        <v>0.0</v>
      </c>
      <c r="F76" s="68"/>
      <c r="G76" s="68"/>
      <c r="H76" s="68"/>
      <c r="I76" s="69"/>
      <c r="J76" s="70" t="s">
        <v>1450</v>
      </c>
      <c r="K76" s="67"/>
      <c r="L76" s="70" t="s">
        <v>1630</v>
      </c>
      <c r="M76" s="75">
        <v>1.0</v>
      </c>
      <c r="N76" s="75">
        <v>0.0</v>
      </c>
      <c r="O76" s="75">
        <v>0.0</v>
      </c>
      <c r="P76" s="75">
        <v>1.0</v>
      </c>
      <c r="Q76" s="76" t="s">
        <v>22</v>
      </c>
      <c r="R76" s="71">
        <v>1.06</v>
      </c>
      <c r="S76" s="71">
        <v>1.06</v>
      </c>
      <c r="T76" s="67"/>
      <c r="U76" s="71">
        <v>5.0</v>
      </c>
      <c r="V76" s="71">
        <v>5.0</v>
      </c>
      <c r="W76" s="67"/>
      <c r="X76" s="67"/>
      <c r="Y76" s="67"/>
      <c r="Z76" s="67"/>
      <c r="AA76" s="67"/>
      <c r="AB76" s="67"/>
      <c r="AC76" s="67"/>
    </row>
    <row r="77">
      <c r="A77" s="74">
        <v>45899.0</v>
      </c>
      <c r="B77" s="70" t="s">
        <v>1631</v>
      </c>
      <c r="C77" s="70" t="s">
        <v>1474</v>
      </c>
      <c r="D77" s="71">
        <v>1.57</v>
      </c>
      <c r="E77" s="71">
        <v>0.0</v>
      </c>
      <c r="F77" s="68"/>
      <c r="G77" s="71">
        <v>7.0</v>
      </c>
      <c r="H77" s="71">
        <v>4.93</v>
      </c>
      <c r="I77" s="72">
        <v>0.7042857142857143</v>
      </c>
      <c r="J77" s="70" t="s">
        <v>1626</v>
      </c>
      <c r="K77" s="67"/>
      <c r="L77" s="70" t="s">
        <v>1632</v>
      </c>
      <c r="M77" s="75">
        <v>1.0</v>
      </c>
      <c r="N77" s="75">
        <v>1.0</v>
      </c>
      <c r="O77" s="75">
        <v>0.0</v>
      </c>
      <c r="P77" s="75">
        <v>0.0</v>
      </c>
      <c r="Q77" s="70" t="s">
        <v>22</v>
      </c>
      <c r="R77" s="71">
        <v>0.5</v>
      </c>
      <c r="S77" s="71">
        <v>2.07</v>
      </c>
      <c r="T77" s="67"/>
      <c r="U77" s="71">
        <v>5.0</v>
      </c>
      <c r="V77" s="71">
        <v>5.0</v>
      </c>
      <c r="W77" s="67"/>
      <c r="X77" s="67"/>
      <c r="Y77" s="67"/>
      <c r="Z77" s="67"/>
      <c r="AA77" s="67"/>
      <c r="AB77" s="67"/>
      <c r="AC77" s="67"/>
    </row>
    <row r="78">
      <c r="A78" s="74">
        <v>45899.0</v>
      </c>
      <c r="B78" s="70" t="s">
        <v>1633</v>
      </c>
      <c r="C78" s="70" t="s">
        <v>1468</v>
      </c>
      <c r="D78" s="71">
        <v>0.0</v>
      </c>
      <c r="E78" s="71">
        <v>0.0</v>
      </c>
      <c r="F78" s="68"/>
      <c r="G78" s="71">
        <v>4.0</v>
      </c>
      <c r="H78" s="71">
        <v>3.5</v>
      </c>
      <c r="I78" s="72">
        <v>0.875</v>
      </c>
      <c r="J78" s="70" t="s">
        <v>1626</v>
      </c>
      <c r="K78" s="67"/>
      <c r="L78" s="70" t="s">
        <v>1634</v>
      </c>
      <c r="M78" s="75">
        <v>1.0</v>
      </c>
      <c r="N78" s="75">
        <v>1.0</v>
      </c>
      <c r="O78" s="75">
        <v>0.0</v>
      </c>
      <c r="P78" s="75">
        <v>0.0</v>
      </c>
      <c r="Q78" s="76" t="s">
        <v>22</v>
      </c>
      <c r="R78" s="71">
        <v>0.5</v>
      </c>
      <c r="S78" s="71">
        <v>0.5</v>
      </c>
      <c r="T78" s="70"/>
      <c r="U78" s="71">
        <v>5.0</v>
      </c>
      <c r="V78" s="71">
        <v>5.0</v>
      </c>
      <c r="W78" s="67"/>
      <c r="X78" s="67"/>
      <c r="Y78" s="67"/>
      <c r="Z78" s="67"/>
      <c r="AA78" s="67"/>
      <c r="AB78" s="67"/>
      <c r="AC78" s="67"/>
    </row>
    <row r="79">
      <c r="A79" s="74">
        <v>45899.0</v>
      </c>
      <c r="B79" s="70" t="s">
        <v>1635</v>
      </c>
      <c r="C79" s="70" t="s">
        <v>1497</v>
      </c>
      <c r="D79" s="71">
        <v>1.95</v>
      </c>
      <c r="E79" s="71">
        <v>4.25</v>
      </c>
      <c r="F79" s="68"/>
      <c r="G79" s="71">
        <v>9.0</v>
      </c>
      <c r="H79" s="71">
        <v>6.76</v>
      </c>
      <c r="I79" s="72">
        <v>0.7511111111111111</v>
      </c>
      <c r="J79" s="70" t="s">
        <v>1626</v>
      </c>
      <c r="K79" s="67"/>
      <c r="L79" s="70" t="s">
        <v>1636</v>
      </c>
      <c r="M79" s="75">
        <v>1.0</v>
      </c>
      <c r="N79" s="75">
        <v>1.0</v>
      </c>
      <c r="O79" s="75">
        <v>0.0</v>
      </c>
      <c r="P79" s="75">
        <v>0.0</v>
      </c>
      <c r="Q79" s="70" t="s">
        <v>22</v>
      </c>
      <c r="R79" s="71">
        <v>0.29</v>
      </c>
      <c r="S79" s="71">
        <v>2.24</v>
      </c>
      <c r="T79" s="70"/>
      <c r="U79" s="71">
        <v>0.0</v>
      </c>
      <c r="V79" s="71">
        <v>4.25</v>
      </c>
      <c r="W79" s="67"/>
      <c r="X79" s="67"/>
      <c r="Y79" s="67"/>
      <c r="Z79" s="67"/>
      <c r="AA79" s="67"/>
      <c r="AB79" s="67"/>
      <c r="AC79" s="67"/>
    </row>
    <row r="80">
      <c r="A80" s="74">
        <v>45899.0</v>
      </c>
      <c r="B80" s="70" t="s">
        <v>1637</v>
      </c>
      <c r="C80" s="70" t="s">
        <v>1497</v>
      </c>
      <c r="D80" s="71">
        <v>1.95</v>
      </c>
      <c r="E80" s="71">
        <v>4.25</v>
      </c>
      <c r="F80" s="68"/>
      <c r="G80" s="71">
        <v>12.0</v>
      </c>
      <c r="H80" s="71">
        <v>9.76</v>
      </c>
      <c r="I80" s="72">
        <v>0.8133333333333334</v>
      </c>
      <c r="J80" s="70" t="s">
        <v>1626</v>
      </c>
      <c r="K80" s="67"/>
      <c r="L80" s="70" t="s">
        <v>1638</v>
      </c>
      <c r="M80" s="75">
        <v>1.0</v>
      </c>
      <c r="N80" s="75">
        <v>1.0</v>
      </c>
      <c r="O80" s="75">
        <v>0.0</v>
      </c>
      <c r="P80" s="75">
        <v>0.0</v>
      </c>
      <c r="Q80" s="70" t="s">
        <v>22</v>
      </c>
      <c r="R80" s="71">
        <v>0.29</v>
      </c>
      <c r="S80" s="71">
        <v>2.24</v>
      </c>
      <c r="T80" s="70"/>
      <c r="U80" s="71">
        <v>0.0</v>
      </c>
      <c r="V80" s="71">
        <v>4.25</v>
      </c>
      <c r="W80" s="67"/>
      <c r="X80" s="67"/>
      <c r="Y80" s="67"/>
      <c r="Z80" s="67"/>
      <c r="AA80" s="67"/>
      <c r="AB80" s="67"/>
      <c r="AC80" s="67"/>
    </row>
    <row r="81">
      <c r="A81" s="74">
        <v>45899.0</v>
      </c>
      <c r="B81" s="70" t="s">
        <v>1639</v>
      </c>
      <c r="C81" s="70" t="s">
        <v>1527</v>
      </c>
      <c r="D81" s="71">
        <v>9.99</v>
      </c>
      <c r="E81" s="71">
        <v>0.0</v>
      </c>
      <c r="F81" s="68"/>
      <c r="G81" s="71">
        <v>10.0</v>
      </c>
      <c r="H81" s="71">
        <v>-0.49</v>
      </c>
      <c r="I81" s="72">
        <v>-0.049</v>
      </c>
      <c r="J81" s="70" t="s">
        <v>1626</v>
      </c>
      <c r="K81" s="67"/>
      <c r="L81" s="70" t="s">
        <v>1640</v>
      </c>
      <c r="M81" s="75">
        <v>1.0</v>
      </c>
      <c r="N81" s="75">
        <v>1.0</v>
      </c>
      <c r="O81" s="75">
        <v>0.0</v>
      </c>
      <c r="P81" s="75">
        <v>0.0</v>
      </c>
      <c r="Q81" s="70" t="s">
        <v>22</v>
      </c>
      <c r="R81" s="71">
        <v>0.5</v>
      </c>
      <c r="S81" s="71">
        <v>10.49</v>
      </c>
      <c r="T81" s="67"/>
      <c r="U81" s="71">
        <v>5.0</v>
      </c>
      <c r="V81" s="71">
        <v>5.0</v>
      </c>
      <c r="W81" s="67"/>
      <c r="X81" s="67"/>
      <c r="Y81" s="67"/>
      <c r="Z81" s="67"/>
      <c r="AA81" s="67"/>
      <c r="AB81" s="67"/>
      <c r="AC81" s="67"/>
    </row>
    <row r="82">
      <c r="A82" s="74">
        <v>45899.0</v>
      </c>
      <c r="B82" s="70" t="s">
        <v>1641</v>
      </c>
      <c r="C82" s="70" t="s">
        <v>1527</v>
      </c>
      <c r="D82" s="71">
        <v>9.99</v>
      </c>
      <c r="E82" s="71">
        <v>0.0</v>
      </c>
      <c r="F82" s="68"/>
      <c r="G82" s="71">
        <v>10.0</v>
      </c>
      <c r="H82" s="71">
        <v>-0.49</v>
      </c>
      <c r="I82" s="72">
        <v>-0.049</v>
      </c>
      <c r="J82" s="70" t="s">
        <v>1626</v>
      </c>
      <c r="K82" s="67"/>
      <c r="L82" s="70" t="s">
        <v>1642</v>
      </c>
      <c r="M82" s="75">
        <v>1.0</v>
      </c>
      <c r="N82" s="75">
        <v>1.0</v>
      </c>
      <c r="O82" s="75">
        <v>0.0</v>
      </c>
      <c r="P82" s="75">
        <v>0.0</v>
      </c>
      <c r="Q82" s="70" t="s">
        <v>22</v>
      </c>
      <c r="R82" s="71">
        <v>0.5</v>
      </c>
      <c r="S82" s="71">
        <v>10.49</v>
      </c>
      <c r="T82" s="67"/>
      <c r="U82" s="71">
        <v>5.0</v>
      </c>
      <c r="V82" s="71">
        <v>5.0</v>
      </c>
      <c r="W82" s="67"/>
      <c r="X82" s="67"/>
      <c r="Y82" s="67"/>
      <c r="Z82" s="67"/>
      <c r="AA82" s="67"/>
      <c r="AB82" s="67"/>
      <c r="AC82" s="67"/>
    </row>
    <row r="83">
      <c r="A83" s="74">
        <v>45899.0</v>
      </c>
      <c r="B83" s="70" t="s">
        <v>1643</v>
      </c>
      <c r="C83" s="70" t="s">
        <v>1542</v>
      </c>
      <c r="D83" s="71">
        <v>0.0</v>
      </c>
      <c r="E83" s="71">
        <v>0.0</v>
      </c>
      <c r="F83" s="68"/>
      <c r="G83" s="71">
        <v>3.0</v>
      </c>
      <c r="H83" s="71">
        <v>2.71</v>
      </c>
      <c r="I83" s="72">
        <v>0.9033333333333333</v>
      </c>
      <c r="J83" s="70" t="s">
        <v>1626</v>
      </c>
      <c r="K83" s="67"/>
      <c r="L83" s="70" t="s">
        <v>1644</v>
      </c>
      <c r="M83" s="75">
        <v>1.0</v>
      </c>
      <c r="N83" s="75">
        <v>1.0</v>
      </c>
      <c r="O83" s="75">
        <v>0.0</v>
      </c>
      <c r="P83" s="75">
        <v>0.0</v>
      </c>
      <c r="Q83" s="70" t="s">
        <v>22</v>
      </c>
      <c r="R83" s="71">
        <v>0.29</v>
      </c>
      <c r="S83" s="71">
        <v>0.29</v>
      </c>
      <c r="T83" s="67"/>
      <c r="U83" s="71">
        <v>0.0</v>
      </c>
      <c r="V83" s="71"/>
      <c r="W83" s="67"/>
      <c r="X83" s="67"/>
      <c r="Y83" s="67"/>
      <c r="Z83" s="67"/>
      <c r="AA83" s="67"/>
      <c r="AB83" s="67"/>
      <c r="AC83" s="67"/>
    </row>
    <row r="84">
      <c r="A84" s="74">
        <v>45899.0</v>
      </c>
      <c r="B84" s="70" t="s">
        <v>1645</v>
      </c>
      <c r="C84" s="70" t="s">
        <v>1545</v>
      </c>
      <c r="D84" s="71">
        <v>3.33</v>
      </c>
      <c r="E84" s="71">
        <v>2.83</v>
      </c>
      <c r="F84" s="68"/>
      <c r="G84" s="71">
        <v>12.0</v>
      </c>
      <c r="H84" s="71">
        <v>8.17</v>
      </c>
      <c r="I84" s="72">
        <v>0.6808333333333333</v>
      </c>
      <c r="J84" s="70" t="s">
        <v>1626</v>
      </c>
      <c r="K84" s="67"/>
      <c r="L84" s="70" t="s">
        <v>1646</v>
      </c>
      <c r="M84" s="75">
        <v>1.0</v>
      </c>
      <c r="N84" s="75">
        <v>1.0</v>
      </c>
      <c r="O84" s="75">
        <v>0.0</v>
      </c>
      <c r="P84" s="75">
        <v>0.0</v>
      </c>
      <c r="Q84" s="70" t="s">
        <v>22</v>
      </c>
      <c r="R84" s="71">
        <v>0.5</v>
      </c>
      <c r="S84" s="71">
        <v>3.83</v>
      </c>
      <c r="T84" s="67"/>
      <c r="U84" s="71">
        <v>5.0</v>
      </c>
      <c r="V84" s="71">
        <v>7.83</v>
      </c>
      <c r="W84" s="67"/>
      <c r="X84" s="67"/>
      <c r="Y84" s="67"/>
      <c r="Z84" s="67"/>
      <c r="AA84" s="67"/>
      <c r="AB84" s="67"/>
      <c r="AC84" s="67"/>
    </row>
    <row r="85">
      <c r="A85" s="74">
        <v>45899.0</v>
      </c>
      <c r="B85" s="70" t="s">
        <v>1647</v>
      </c>
      <c r="C85" s="70" t="s">
        <v>1468</v>
      </c>
      <c r="D85" s="71">
        <v>0.0</v>
      </c>
      <c r="E85" s="71">
        <v>0.0</v>
      </c>
      <c r="F85" s="68"/>
      <c r="G85" s="71">
        <v>2.0</v>
      </c>
      <c r="H85" s="71">
        <v>1.08</v>
      </c>
      <c r="I85" s="72">
        <v>0.54</v>
      </c>
      <c r="J85" s="70" t="s">
        <v>1626</v>
      </c>
      <c r="K85" s="67"/>
      <c r="L85" s="70" t="s">
        <v>1648</v>
      </c>
      <c r="M85" s="75">
        <v>1.0</v>
      </c>
      <c r="N85" s="75">
        <v>1.0</v>
      </c>
      <c r="O85" s="75">
        <v>0.0</v>
      </c>
      <c r="P85" s="75">
        <v>0.0</v>
      </c>
      <c r="Q85" s="76" t="s">
        <v>22</v>
      </c>
      <c r="R85" s="71">
        <v>0.92</v>
      </c>
      <c r="S85" s="71">
        <v>0.92</v>
      </c>
      <c r="T85" s="70"/>
      <c r="U85" s="71">
        <v>0.0</v>
      </c>
      <c r="V85" s="71"/>
      <c r="W85" s="67"/>
      <c r="X85" s="67"/>
      <c r="Y85" s="67"/>
      <c r="Z85" s="67"/>
      <c r="AA85" s="67"/>
      <c r="AB85" s="67"/>
      <c r="AC85" s="67"/>
    </row>
    <row r="86">
      <c r="A86" s="74">
        <v>45899.0</v>
      </c>
      <c r="B86" s="70" t="s">
        <v>1649</v>
      </c>
      <c r="C86" s="70" t="s">
        <v>1629</v>
      </c>
      <c r="D86" s="71">
        <v>0.0</v>
      </c>
      <c r="E86" s="71">
        <v>0.0</v>
      </c>
      <c r="F86" s="68"/>
      <c r="G86" s="68"/>
      <c r="H86" s="71"/>
      <c r="I86" s="72"/>
      <c r="J86" s="70" t="s">
        <v>1450</v>
      </c>
      <c r="K86" s="67"/>
      <c r="L86" s="70" t="s">
        <v>1650</v>
      </c>
      <c r="M86" s="75">
        <v>1.0</v>
      </c>
      <c r="N86" s="75">
        <v>0.0</v>
      </c>
      <c r="O86" s="75">
        <v>0.0</v>
      </c>
      <c r="P86" s="75">
        <v>1.0</v>
      </c>
      <c r="Q86" s="76" t="s">
        <v>22</v>
      </c>
      <c r="R86" s="71">
        <v>1.06</v>
      </c>
      <c r="S86" s="71">
        <v>1.06</v>
      </c>
      <c r="T86" s="70"/>
      <c r="U86" s="71">
        <v>5.0</v>
      </c>
      <c r="V86" s="71">
        <v>5.0</v>
      </c>
      <c r="W86" s="67"/>
      <c r="X86" s="67"/>
      <c r="Y86" s="67"/>
      <c r="Z86" s="67"/>
      <c r="AA86" s="67"/>
      <c r="AB86" s="67"/>
      <c r="AC86" s="67"/>
    </row>
    <row r="87">
      <c r="A87" s="74">
        <v>45899.0</v>
      </c>
      <c r="B87" s="70" t="s">
        <v>1651</v>
      </c>
      <c r="C87" s="70" t="s">
        <v>1629</v>
      </c>
      <c r="D87" s="71">
        <v>0.0</v>
      </c>
      <c r="E87" s="71">
        <v>0.0</v>
      </c>
      <c r="F87" s="68"/>
      <c r="G87" s="68"/>
      <c r="H87" s="68"/>
      <c r="I87" s="69"/>
      <c r="J87" s="70" t="s">
        <v>1450</v>
      </c>
      <c r="K87" s="67"/>
      <c r="L87" s="70" t="s">
        <v>1652</v>
      </c>
      <c r="M87" s="75">
        <v>1.0</v>
      </c>
      <c r="N87" s="75">
        <v>0.0</v>
      </c>
      <c r="O87" s="75">
        <v>0.0</v>
      </c>
      <c r="P87" s="75">
        <v>1.0</v>
      </c>
      <c r="Q87" s="70" t="s">
        <v>22</v>
      </c>
      <c r="R87" s="71">
        <v>4.0</v>
      </c>
      <c r="S87" s="71">
        <v>4.0</v>
      </c>
      <c r="T87" s="67"/>
      <c r="U87" s="71">
        <v>8.0</v>
      </c>
      <c r="V87" s="71">
        <v>8.0</v>
      </c>
      <c r="W87" s="67"/>
      <c r="X87" s="67"/>
      <c r="Y87" s="67"/>
      <c r="Z87" s="67"/>
      <c r="AA87" s="67"/>
      <c r="AB87" s="67"/>
      <c r="AC87" s="67"/>
    </row>
    <row r="88">
      <c r="A88" s="74">
        <v>45899.0</v>
      </c>
      <c r="B88" s="70" t="s">
        <v>1653</v>
      </c>
      <c r="C88" s="70" t="s">
        <v>1500</v>
      </c>
      <c r="D88" s="71">
        <v>6.0</v>
      </c>
      <c r="E88" s="71">
        <v>12.99</v>
      </c>
      <c r="F88" s="68"/>
      <c r="G88" s="71">
        <v>30.0</v>
      </c>
      <c r="H88" s="71">
        <v>22.65</v>
      </c>
      <c r="I88" s="72">
        <v>0.755</v>
      </c>
      <c r="J88" s="70" t="s">
        <v>1626</v>
      </c>
      <c r="K88" s="67"/>
      <c r="L88" s="70" t="s">
        <v>1654</v>
      </c>
      <c r="M88" s="75">
        <v>1.0</v>
      </c>
      <c r="N88" s="75">
        <v>1.0</v>
      </c>
      <c r="O88" s="75">
        <v>0.0</v>
      </c>
      <c r="P88" s="75">
        <v>0.0</v>
      </c>
      <c r="Q88" s="70" t="s">
        <v>22</v>
      </c>
      <c r="R88" s="71">
        <v>1.35</v>
      </c>
      <c r="S88" s="71">
        <v>7.35</v>
      </c>
      <c r="T88" s="67"/>
      <c r="U88" s="71">
        <v>0.0</v>
      </c>
      <c r="V88" s="71">
        <v>12.99</v>
      </c>
      <c r="W88" s="67"/>
      <c r="X88" s="67"/>
      <c r="Y88" s="67"/>
      <c r="Z88" s="67"/>
      <c r="AA88" s="67"/>
      <c r="AB88" s="67"/>
      <c r="AC88" s="67"/>
    </row>
    <row r="89">
      <c r="A89" s="74">
        <v>45899.0</v>
      </c>
      <c r="B89" s="70" t="s">
        <v>1655</v>
      </c>
      <c r="C89" s="70" t="s">
        <v>1497</v>
      </c>
      <c r="D89" s="71">
        <v>7.8</v>
      </c>
      <c r="E89" s="71">
        <v>16.99</v>
      </c>
      <c r="F89" s="68"/>
      <c r="G89" s="71">
        <v>12.0</v>
      </c>
      <c r="H89" s="71">
        <v>2.78</v>
      </c>
      <c r="I89" s="72">
        <v>0.23166666666666666</v>
      </c>
      <c r="J89" s="70" t="s">
        <v>1626</v>
      </c>
      <c r="K89" s="67"/>
      <c r="L89" s="70" t="s">
        <v>1656</v>
      </c>
      <c r="M89" s="75">
        <v>1.0</v>
      </c>
      <c r="N89" s="75">
        <v>1.0</v>
      </c>
      <c r="O89" s="75">
        <v>0.0</v>
      </c>
      <c r="P89" s="75">
        <v>0.0</v>
      </c>
      <c r="Q89" s="70" t="s">
        <v>22</v>
      </c>
      <c r="R89" s="71">
        <v>1.42</v>
      </c>
      <c r="S89" s="71">
        <v>9.22</v>
      </c>
      <c r="T89" s="67"/>
      <c r="U89" s="71">
        <v>0.0</v>
      </c>
      <c r="V89" s="71">
        <v>16.99</v>
      </c>
      <c r="W89" s="67"/>
      <c r="X89" s="67"/>
      <c r="Y89" s="67"/>
      <c r="Z89" s="67"/>
      <c r="AA89" s="67"/>
      <c r="AB89" s="67"/>
      <c r="AC89" s="67"/>
    </row>
    <row r="90">
      <c r="A90" s="74">
        <v>45899.0</v>
      </c>
      <c r="B90" s="70" t="s">
        <v>1657</v>
      </c>
      <c r="C90" s="70" t="s">
        <v>1497</v>
      </c>
      <c r="D90" s="71">
        <v>1.95</v>
      </c>
      <c r="E90" s="71">
        <v>4.25</v>
      </c>
      <c r="F90" s="68"/>
      <c r="G90" s="71">
        <v>12.0</v>
      </c>
      <c r="H90" s="71">
        <v>9.55</v>
      </c>
      <c r="I90" s="72">
        <v>0.7958333333333334</v>
      </c>
      <c r="J90" s="70" t="s">
        <v>1626</v>
      </c>
      <c r="K90" s="67"/>
      <c r="L90" s="70" t="s">
        <v>1658</v>
      </c>
      <c r="M90" s="75">
        <v>1.0</v>
      </c>
      <c r="N90" s="75">
        <v>1.0</v>
      </c>
      <c r="O90" s="75">
        <v>0.0</v>
      </c>
      <c r="P90" s="75">
        <v>0.0</v>
      </c>
      <c r="Q90" s="70" t="s">
        <v>22</v>
      </c>
      <c r="R90" s="71">
        <v>0.5</v>
      </c>
      <c r="S90" s="71">
        <v>2.45</v>
      </c>
      <c r="T90" s="67"/>
      <c r="U90" s="71">
        <v>5.0</v>
      </c>
      <c r="V90" s="71">
        <v>9.25</v>
      </c>
      <c r="W90" s="67"/>
      <c r="X90" s="67"/>
      <c r="Y90" s="67"/>
      <c r="Z90" s="67"/>
      <c r="AA90" s="67"/>
      <c r="AB90" s="67"/>
      <c r="AC90" s="67"/>
    </row>
    <row r="91">
      <c r="A91" s="74">
        <v>45900.0</v>
      </c>
      <c r="B91" s="70" t="s">
        <v>1659</v>
      </c>
      <c r="C91" s="70" t="s">
        <v>1530</v>
      </c>
      <c r="D91" s="71">
        <v>0.0</v>
      </c>
      <c r="E91" s="71">
        <v>0.0</v>
      </c>
      <c r="F91" s="68"/>
      <c r="G91" s="68"/>
      <c r="H91" s="68"/>
      <c r="I91" s="69"/>
      <c r="J91" s="70" t="s">
        <v>1450</v>
      </c>
      <c r="K91" s="67"/>
      <c r="L91" s="70" t="s">
        <v>1660</v>
      </c>
      <c r="M91" s="75">
        <v>1.0</v>
      </c>
      <c r="N91" s="75">
        <v>0.0</v>
      </c>
      <c r="O91" s="75">
        <v>0.0</v>
      </c>
      <c r="P91" s="75">
        <v>1.0</v>
      </c>
      <c r="Q91" s="70" t="s">
        <v>22</v>
      </c>
      <c r="R91" s="71">
        <v>0.24</v>
      </c>
      <c r="S91" s="71">
        <v>0.24</v>
      </c>
      <c r="T91" s="70"/>
      <c r="U91" s="71">
        <v>1.0</v>
      </c>
      <c r="V91" s="71">
        <v>1.0</v>
      </c>
      <c r="W91" s="67"/>
      <c r="X91" s="67"/>
      <c r="Y91" s="67"/>
      <c r="Z91" s="67"/>
      <c r="AA91" s="67"/>
      <c r="AB91" s="67"/>
      <c r="AC91" s="67"/>
    </row>
    <row r="92">
      <c r="A92" s="74">
        <v>45900.0</v>
      </c>
      <c r="B92" s="70" t="s">
        <v>1661</v>
      </c>
      <c r="C92" s="70" t="s">
        <v>1662</v>
      </c>
      <c r="D92" s="71">
        <v>10.0</v>
      </c>
      <c r="E92" s="71">
        <v>0.0</v>
      </c>
      <c r="F92" s="68"/>
      <c r="G92" s="68"/>
      <c r="H92" s="71"/>
      <c r="I92" s="72"/>
      <c r="J92" s="70" t="s">
        <v>1450</v>
      </c>
      <c r="K92" s="67"/>
      <c r="L92" s="70" t="s">
        <v>1663</v>
      </c>
      <c r="M92" s="75">
        <v>1.0</v>
      </c>
      <c r="N92" s="75">
        <v>0.0</v>
      </c>
      <c r="O92" s="75">
        <v>0.0</v>
      </c>
      <c r="P92" s="75">
        <v>1.0</v>
      </c>
      <c r="Q92" s="76" t="s">
        <v>22</v>
      </c>
      <c r="R92" s="71">
        <v>0.5</v>
      </c>
      <c r="S92" s="71">
        <v>10.5</v>
      </c>
      <c r="T92" s="70"/>
      <c r="U92" s="71">
        <v>5.0</v>
      </c>
      <c r="V92" s="71">
        <v>5.0</v>
      </c>
      <c r="W92" s="67"/>
      <c r="X92" s="67"/>
      <c r="Y92" s="67"/>
      <c r="Z92" s="67"/>
      <c r="AA92" s="67"/>
      <c r="AB92" s="67"/>
      <c r="AC92" s="67"/>
    </row>
    <row r="93">
      <c r="A93" s="74">
        <v>45900.0</v>
      </c>
      <c r="B93" s="70" t="s">
        <v>1664</v>
      </c>
      <c r="C93" s="70" t="s">
        <v>1665</v>
      </c>
      <c r="D93" s="71">
        <v>6.08</v>
      </c>
      <c r="E93" s="71">
        <v>0.0</v>
      </c>
      <c r="F93" s="68"/>
      <c r="G93" s="68"/>
      <c r="H93" s="68"/>
      <c r="I93" s="69"/>
      <c r="J93" s="70" t="s">
        <v>1666</v>
      </c>
      <c r="K93" s="67"/>
      <c r="L93" s="70" t="s">
        <v>1667</v>
      </c>
      <c r="M93" s="75">
        <v>1.0</v>
      </c>
      <c r="N93" s="75">
        <v>0.0</v>
      </c>
      <c r="O93" s="75">
        <v>0.0</v>
      </c>
      <c r="P93" s="75">
        <v>1.0</v>
      </c>
      <c r="Q93" s="70" t="s">
        <v>22</v>
      </c>
      <c r="R93" s="71">
        <v>0.29</v>
      </c>
      <c r="S93" s="71">
        <v>6.37</v>
      </c>
      <c r="T93" s="67"/>
      <c r="U93" s="71">
        <v>0.0</v>
      </c>
      <c r="V93" s="71"/>
      <c r="W93" s="67"/>
      <c r="X93" s="67"/>
      <c r="Y93" s="67"/>
      <c r="Z93" s="67"/>
      <c r="AA93" s="67"/>
      <c r="AB93" s="67"/>
      <c r="AC93" s="67"/>
    </row>
    <row r="94">
      <c r="A94" s="74">
        <v>45900.0</v>
      </c>
      <c r="B94" s="70" t="s">
        <v>1668</v>
      </c>
      <c r="C94" s="70" t="s">
        <v>1665</v>
      </c>
      <c r="D94" s="71">
        <v>6.08</v>
      </c>
      <c r="E94" s="71">
        <v>0.0</v>
      </c>
      <c r="F94" s="68"/>
      <c r="G94" s="68"/>
      <c r="H94" s="68"/>
      <c r="I94" s="69"/>
      <c r="J94" s="70" t="s">
        <v>1450</v>
      </c>
      <c r="K94" s="67"/>
      <c r="L94" s="70" t="s">
        <v>1669</v>
      </c>
      <c r="M94" s="75">
        <v>1.0</v>
      </c>
      <c r="N94" s="75">
        <v>0.0</v>
      </c>
      <c r="O94" s="75">
        <v>0.0</v>
      </c>
      <c r="P94" s="75">
        <v>1.0</v>
      </c>
      <c r="Q94" s="70" t="s">
        <v>22</v>
      </c>
      <c r="R94" s="71">
        <v>0.29</v>
      </c>
      <c r="S94" s="71">
        <v>6.37</v>
      </c>
      <c r="T94" s="67"/>
      <c r="U94" s="71">
        <v>0.0</v>
      </c>
      <c r="V94" s="71"/>
      <c r="W94" s="67"/>
      <c r="X94" s="67"/>
      <c r="Y94" s="67"/>
      <c r="Z94" s="67"/>
      <c r="AA94" s="67"/>
      <c r="AB94" s="67"/>
      <c r="AC94" s="67"/>
    </row>
    <row r="95">
      <c r="A95" s="74">
        <v>45900.0</v>
      </c>
      <c r="B95" s="70" t="s">
        <v>1670</v>
      </c>
      <c r="C95" s="70" t="s">
        <v>1530</v>
      </c>
      <c r="D95" s="71">
        <v>0.0</v>
      </c>
      <c r="E95" s="71">
        <v>0.0</v>
      </c>
      <c r="F95" s="71">
        <v>25.0</v>
      </c>
      <c r="G95" s="68"/>
      <c r="H95" s="71">
        <v>24.76</v>
      </c>
      <c r="I95" s="72">
        <v>0.9904000000000001</v>
      </c>
      <c r="J95" s="70" t="s">
        <v>1462</v>
      </c>
      <c r="K95" s="67"/>
      <c r="L95" s="70" t="s">
        <v>1671</v>
      </c>
      <c r="M95" s="75">
        <v>1.0</v>
      </c>
      <c r="N95" s="75">
        <v>0.0</v>
      </c>
      <c r="O95" s="75">
        <v>0.0</v>
      </c>
      <c r="P95" s="75">
        <v>1.0</v>
      </c>
      <c r="Q95" s="70" t="s">
        <v>22</v>
      </c>
      <c r="R95" s="71">
        <v>0.24</v>
      </c>
      <c r="S95" s="71">
        <v>0.24</v>
      </c>
      <c r="T95" s="67"/>
      <c r="U95" s="71">
        <v>1.0</v>
      </c>
      <c r="V95" s="71">
        <v>1.0</v>
      </c>
      <c r="W95" s="67"/>
      <c r="X95" s="67"/>
      <c r="Y95" s="67"/>
      <c r="Z95" s="67"/>
      <c r="AA95" s="67"/>
      <c r="AB95" s="67"/>
      <c r="AC95" s="67"/>
    </row>
    <row r="96">
      <c r="A96" s="74">
        <v>45900.0</v>
      </c>
      <c r="B96" s="70" t="s">
        <v>1672</v>
      </c>
      <c r="C96" s="70" t="s">
        <v>1530</v>
      </c>
      <c r="D96" s="71">
        <v>0.0</v>
      </c>
      <c r="E96" s="71">
        <v>0.0</v>
      </c>
      <c r="F96" s="68"/>
      <c r="G96" s="68"/>
      <c r="H96" s="68"/>
      <c r="I96" s="69"/>
      <c r="J96" s="70" t="s">
        <v>1450</v>
      </c>
      <c r="K96" s="67"/>
      <c r="L96" s="70" t="s">
        <v>1673</v>
      </c>
      <c r="M96" s="75">
        <v>1.0</v>
      </c>
      <c r="N96" s="75">
        <v>0.0</v>
      </c>
      <c r="O96" s="75">
        <v>0.0</v>
      </c>
      <c r="P96" s="75">
        <v>1.0</v>
      </c>
      <c r="Q96" s="70" t="s">
        <v>22</v>
      </c>
      <c r="R96" s="71">
        <v>0.24</v>
      </c>
      <c r="S96" s="71">
        <v>0.24</v>
      </c>
      <c r="T96" s="67"/>
      <c r="U96" s="71">
        <v>1.0</v>
      </c>
      <c r="V96" s="71">
        <v>1.0</v>
      </c>
      <c r="W96" s="67"/>
      <c r="X96" s="67"/>
      <c r="Y96" s="67"/>
      <c r="Z96" s="67"/>
      <c r="AA96" s="67"/>
      <c r="AB96" s="67"/>
      <c r="AC96" s="67"/>
    </row>
    <row r="97">
      <c r="A97" s="74">
        <v>45902.0</v>
      </c>
      <c r="B97" s="70" t="s">
        <v>1674</v>
      </c>
      <c r="C97" s="70" t="s">
        <v>1675</v>
      </c>
      <c r="D97" s="71">
        <v>5.84</v>
      </c>
      <c r="E97" s="71">
        <v>8.99</v>
      </c>
      <c r="F97" s="68"/>
      <c r="G97" s="68"/>
      <c r="H97" s="71">
        <v>-5.84</v>
      </c>
      <c r="I97" s="72">
        <v>-1.0</v>
      </c>
      <c r="J97" s="70" t="s">
        <v>1595</v>
      </c>
      <c r="K97" s="67"/>
      <c r="L97" s="70" t="s">
        <v>1676</v>
      </c>
      <c r="M97" s="75">
        <v>1.0</v>
      </c>
      <c r="N97" s="75">
        <v>0.0</v>
      </c>
      <c r="O97" s="75">
        <v>1.0</v>
      </c>
      <c r="P97" s="75">
        <v>0.0</v>
      </c>
      <c r="Q97" s="76" t="s">
        <v>22</v>
      </c>
      <c r="R97" s="71">
        <v>0.0</v>
      </c>
      <c r="S97" s="71">
        <v>5.84</v>
      </c>
      <c r="T97" s="70"/>
      <c r="U97" s="71">
        <v>0.0</v>
      </c>
      <c r="V97" s="71">
        <v>8.99</v>
      </c>
      <c r="W97" s="67"/>
      <c r="X97" s="67"/>
      <c r="Y97" s="67"/>
      <c r="Z97" s="67"/>
      <c r="AA97" s="67"/>
      <c r="AB97" s="67"/>
      <c r="AC97" s="67"/>
    </row>
    <row r="98">
      <c r="A98" s="74">
        <v>45902.0</v>
      </c>
      <c r="B98" s="70" t="s">
        <v>1677</v>
      </c>
      <c r="C98" s="70" t="s">
        <v>1675</v>
      </c>
      <c r="D98" s="71">
        <v>5.84</v>
      </c>
      <c r="E98" s="71">
        <v>8.99</v>
      </c>
      <c r="F98" s="68"/>
      <c r="G98" s="68"/>
      <c r="H98" s="71">
        <v>-5.84</v>
      </c>
      <c r="I98" s="72">
        <v>-1.0</v>
      </c>
      <c r="J98" s="70" t="s">
        <v>1595</v>
      </c>
      <c r="K98" s="67"/>
      <c r="L98" s="70" t="s">
        <v>1678</v>
      </c>
      <c r="M98" s="75">
        <v>1.0</v>
      </c>
      <c r="N98" s="75">
        <v>0.0</v>
      </c>
      <c r="O98" s="75">
        <v>1.0</v>
      </c>
      <c r="P98" s="75">
        <v>0.0</v>
      </c>
      <c r="Q98" s="76" t="s">
        <v>22</v>
      </c>
      <c r="R98" s="71">
        <v>0.0</v>
      </c>
      <c r="S98" s="71">
        <v>5.84</v>
      </c>
      <c r="T98" s="70"/>
      <c r="U98" s="71">
        <v>0.0</v>
      </c>
      <c r="V98" s="71">
        <v>8.99</v>
      </c>
      <c r="W98" s="67"/>
      <c r="X98" s="67"/>
      <c r="Y98" s="67"/>
      <c r="Z98" s="67"/>
      <c r="AA98" s="67"/>
      <c r="AB98" s="67"/>
      <c r="AC98" s="67"/>
    </row>
    <row r="99">
      <c r="A99" s="74">
        <v>45902.0</v>
      </c>
      <c r="B99" s="70" t="s">
        <v>1679</v>
      </c>
      <c r="C99" s="70" t="s">
        <v>1675</v>
      </c>
      <c r="D99" s="71">
        <v>5.84</v>
      </c>
      <c r="E99" s="71">
        <v>8.99</v>
      </c>
      <c r="F99" s="68"/>
      <c r="G99" s="71">
        <v>10.0</v>
      </c>
      <c r="H99" s="71">
        <v>4.16</v>
      </c>
      <c r="I99" s="72">
        <v>0.41600000000000004</v>
      </c>
      <c r="J99" s="70" t="s">
        <v>1626</v>
      </c>
      <c r="K99" s="67"/>
      <c r="L99" s="70" t="s">
        <v>1680</v>
      </c>
      <c r="M99" s="75">
        <v>1.0</v>
      </c>
      <c r="N99" s="75">
        <v>1.0</v>
      </c>
      <c r="O99" s="75">
        <v>0.0</v>
      </c>
      <c r="P99" s="75">
        <v>0.0</v>
      </c>
      <c r="Q99" s="70" t="s">
        <v>22</v>
      </c>
      <c r="R99" s="71">
        <v>0.0</v>
      </c>
      <c r="S99" s="71">
        <v>5.84</v>
      </c>
      <c r="T99" s="70"/>
      <c r="U99" s="71">
        <v>0.0</v>
      </c>
      <c r="V99" s="71">
        <v>8.99</v>
      </c>
      <c r="W99" s="67"/>
      <c r="X99" s="67"/>
      <c r="Y99" s="67"/>
      <c r="Z99" s="67"/>
      <c r="AA99" s="67"/>
      <c r="AB99" s="67"/>
      <c r="AC99" s="67"/>
    </row>
    <row r="100">
      <c r="A100" s="74">
        <v>45902.0</v>
      </c>
      <c r="B100" s="70" t="s">
        <v>1681</v>
      </c>
      <c r="C100" s="70" t="s">
        <v>1675</v>
      </c>
      <c r="D100" s="71">
        <v>5.84</v>
      </c>
      <c r="E100" s="71">
        <v>8.99</v>
      </c>
      <c r="F100" s="68"/>
      <c r="G100" s="71">
        <v>10.0</v>
      </c>
      <c r="H100" s="71">
        <v>4.16</v>
      </c>
      <c r="I100" s="72">
        <v>0.41600000000000004</v>
      </c>
      <c r="J100" s="70" t="s">
        <v>1626</v>
      </c>
      <c r="K100" s="67"/>
      <c r="L100" s="70" t="s">
        <v>1682</v>
      </c>
      <c r="M100" s="75">
        <v>1.0</v>
      </c>
      <c r="N100" s="75">
        <v>1.0</v>
      </c>
      <c r="O100" s="75">
        <v>0.0</v>
      </c>
      <c r="P100" s="75">
        <v>0.0</v>
      </c>
      <c r="Q100" s="70" t="s">
        <v>22</v>
      </c>
      <c r="R100" s="71">
        <v>0.0</v>
      </c>
      <c r="S100" s="71">
        <v>5.84</v>
      </c>
      <c r="T100" s="70"/>
      <c r="U100" s="71">
        <v>0.0</v>
      </c>
      <c r="V100" s="71">
        <v>8.99</v>
      </c>
      <c r="W100" s="67"/>
      <c r="X100" s="67"/>
      <c r="Y100" s="67"/>
      <c r="Z100" s="67"/>
      <c r="AA100" s="67"/>
      <c r="AB100" s="67"/>
      <c r="AC100" s="67"/>
    </row>
    <row r="101">
      <c r="A101" s="74">
        <v>45902.0</v>
      </c>
      <c r="B101" s="70" t="s">
        <v>1683</v>
      </c>
      <c r="C101" s="70" t="s">
        <v>1684</v>
      </c>
      <c r="D101" s="71">
        <v>4.71</v>
      </c>
      <c r="E101" s="71">
        <v>7.25</v>
      </c>
      <c r="F101" s="68"/>
      <c r="G101" s="68"/>
      <c r="H101" s="68"/>
      <c r="I101" s="69"/>
      <c r="J101" s="70" t="s">
        <v>1450</v>
      </c>
      <c r="K101" s="67"/>
      <c r="L101" s="70" t="s">
        <v>1685</v>
      </c>
      <c r="M101" s="75">
        <v>1.0</v>
      </c>
      <c r="N101" s="75">
        <v>0.0</v>
      </c>
      <c r="O101" s="75">
        <v>0.0</v>
      </c>
      <c r="P101" s="75">
        <v>1.0</v>
      </c>
      <c r="Q101" s="76" t="s">
        <v>22</v>
      </c>
      <c r="R101" s="71">
        <v>0.0</v>
      </c>
      <c r="S101" s="71">
        <v>4.71</v>
      </c>
      <c r="T101" s="70"/>
      <c r="U101" s="71">
        <v>0.0</v>
      </c>
      <c r="V101" s="71">
        <v>7.25</v>
      </c>
      <c r="W101" s="67"/>
      <c r="X101" s="67"/>
      <c r="Y101" s="67"/>
      <c r="Z101" s="67"/>
      <c r="AA101" s="67"/>
      <c r="AB101" s="67"/>
      <c r="AC101" s="67"/>
    </row>
    <row r="102">
      <c r="A102" s="74">
        <v>45902.0</v>
      </c>
      <c r="B102" s="70" t="s">
        <v>1686</v>
      </c>
      <c r="C102" s="70" t="s">
        <v>1684</v>
      </c>
      <c r="D102" s="71">
        <v>4.71</v>
      </c>
      <c r="E102" s="71">
        <v>7.25</v>
      </c>
      <c r="F102" s="68"/>
      <c r="G102" s="68"/>
      <c r="H102" s="68"/>
      <c r="I102" s="69"/>
      <c r="J102" s="70" t="s">
        <v>1450</v>
      </c>
      <c r="K102" s="67"/>
      <c r="L102" s="70" t="s">
        <v>1687</v>
      </c>
      <c r="M102" s="75">
        <v>1.0</v>
      </c>
      <c r="N102" s="75">
        <v>0.0</v>
      </c>
      <c r="O102" s="75">
        <v>0.0</v>
      </c>
      <c r="P102" s="75">
        <v>1.0</v>
      </c>
      <c r="Q102" s="70" t="s">
        <v>22</v>
      </c>
      <c r="R102" s="71">
        <v>0.0</v>
      </c>
      <c r="S102" s="71">
        <v>4.71</v>
      </c>
      <c r="T102" s="67"/>
      <c r="U102" s="71">
        <v>0.0</v>
      </c>
      <c r="V102" s="71">
        <v>7.25</v>
      </c>
      <c r="W102" s="67"/>
      <c r="X102" s="67"/>
      <c r="Y102" s="67"/>
      <c r="Z102" s="67"/>
      <c r="AA102" s="67"/>
      <c r="AB102" s="67"/>
      <c r="AC102" s="67"/>
    </row>
    <row r="103">
      <c r="A103" s="74">
        <v>45902.0</v>
      </c>
      <c r="B103" s="70" t="s">
        <v>1688</v>
      </c>
      <c r="C103" s="70" t="s">
        <v>1684</v>
      </c>
      <c r="D103" s="71">
        <v>4.71</v>
      </c>
      <c r="E103" s="71">
        <v>7.25</v>
      </c>
      <c r="F103" s="68"/>
      <c r="G103" s="68"/>
      <c r="H103" s="68"/>
      <c r="I103" s="69"/>
      <c r="J103" s="70" t="s">
        <v>1450</v>
      </c>
      <c r="K103" s="67"/>
      <c r="L103" s="70" t="s">
        <v>1689</v>
      </c>
      <c r="M103" s="75">
        <v>1.0</v>
      </c>
      <c r="N103" s="75">
        <v>0.0</v>
      </c>
      <c r="O103" s="75">
        <v>0.0</v>
      </c>
      <c r="P103" s="75">
        <v>1.0</v>
      </c>
      <c r="Q103" s="70" t="s">
        <v>22</v>
      </c>
      <c r="R103" s="71">
        <v>0.0</v>
      </c>
      <c r="S103" s="71">
        <v>4.71</v>
      </c>
      <c r="T103" s="67"/>
      <c r="U103" s="71">
        <v>0.0</v>
      </c>
      <c r="V103" s="71">
        <v>7.25</v>
      </c>
      <c r="W103" s="67"/>
      <c r="X103" s="67"/>
      <c r="Y103" s="67"/>
      <c r="Z103" s="67"/>
      <c r="AA103" s="67"/>
      <c r="AB103" s="67"/>
      <c r="AC103" s="67"/>
    </row>
    <row r="104">
      <c r="A104" s="74">
        <v>45904.0</v>
      </c>
      <c r="B104" s="70" t="s">
        <v>1690</v>
      </c>
      <c r="C104" s="70" t="s">
        <v>1691</v>
      </c>
      <c r="D104" s="71">
        <v>15.0</v>
      </c>
      <c r="E104" s="71">
        <v>0.0</v>
      </c>
      <c r="F104" s="68"/>
      <c r="G104" s="68"/>
      <c r="H104" s="71"/>
      <c r="I104" s="72"/>
      <c r="J104" s="70" t="s">
        <v>1692</v>
      </c>
      <c r="K104" s="67"/>
      <c r="L104" s="70" t="s">
        <v>1693</v>
      </c>
      <c r="M104" s="75">
        <v>1.0</v>
      </c>
      <c r="N104" s="75">
        <v>0.0</v>
      </c>
      <c r="O104" s="75">
        <v>1.0</v>
      </c>
      <c r="P104" s="75">
        <v>0.0</v>
      </c>
      <c r="Q104" s="70" t="s">
        <v>22</v>
      </c>
      <c r="R104" s="71">
        <v>0.0</v>
      </c>
      <c r="S104" s="71">
        <v>15.0</v>
      </c>
      <c r="T104" s="70"/>
      <c r="U104" s="71">
        <v>0.0</v>
      </c>
      <c r="V104" s="71"/>
      <c r="W104" s="67"/>
      <c r="X104" s="67"/>
      <c r="Y104" s="67"/>
      <c r="Z104" s="67"/>
      <c r="AA104" s="67"/>
      <c r="AB104" s="67"/>
      <c r="AC104" s="67"/>
    </row>
    <row r="105">
      <c r="A105" s="74">
        <v>45907.0</v>
      </c>
      <c r="B105" s="70" t="s">
        <v>1694</v>
      </c>
      <c r="C105" s="70" t="s">
        <v>1695</v>
      </c>
      <c r="D105" s="71">
        <v>1.0</v>
      </c>
      <c r="E105" s="71">
        <v>0.0</v>
      </c>
      <c r="F105" s="68"/>
      <c r="G105" s="68"/>
      <c r="H105" s="71"/>
      <c r="I105" s="72"/>
      <c r="J105" s="70" t="s">
        <v>1450</v>
      </c>
      <c r="K105" s="67"/>
      <c r="L105" s="67" t="s">
        <v>1696</v>
      </c>
      <c r="M105" s="75">
        <v>1.0</v>
      </c>
      <c r="N105" s="75">
        <v>0.0</v>
      </c>
      <c r="O105" s="75">
        <v>0.0</v>
      </c>
      <c r="P105" s="75">
        <v>1.0</v>
      </c>
      <c r="Q105" s="76" t="s">
        <v>22</v>
      </c>
      <c r="R105" s="71">
        <v>0.5</v>
      </c>
      <c r="S105" s="71">
        <v>1.5</v>
      </c>
      <c r="T105" s="70"/>
      <c r="U105" s="71">
        <v>5.0</v>
      </c>
      <c r="V105" s="71">
        <v>5.0</v>
      </c>
      <c r="W105" s="67"/>
      <c r="X105" s="67"/>
      <c r="Y105" s="67"/>
      <c r="Z105" s="67"/>
      <c r="AA105" s="67"/>
      <c r="AB105" s="67"/>
      <c r="AC105" s="67"/>
    </row>
    <row r="106">
      <c r="A106" s="74">
        <v>45907.0</v>
      </c>
      <c r="B106" s="70" t="s">
        <v>1697</v>
      </c>
      <c r="C106" s="70" t="s">
        <v>1698</v>
      </c>
      <c r="D106" s="71">
        <v>40.0</v>
      </c>
      <c r="E106" s="71">
        <v>0.0</v>
      </c>
      <c r="F106" s="68"/>
      <c r="G106" s="68"/>
      <c r="H106" s="68"/>
      <c r="I106" s="69"/>
      <c r="J106" s="70" t="s">
        <v>1450</v>
      </c>
      <c r="K106" s="67"/>
      <c r="L106" s="70" t="s">
        <v>1699</v>
      </c>
      <c r="M106" s="75">
        <v>1.0</v>
      </c>
      <c r="N106" s="75">
        <v>0.0</v>
      </c>
      <c r="O106" s="75">
        <v>0.0</v>
      </c>
      <c r="P106" s="75">
        <v>1.0</v>
      </c>
      <c r="Q106" s="70" t="s">
        <v>22</v>
      </c>
      <c r="R106" s="71">
        <v>1.35</v>
      </c>
      <c r="S106" s="71">
        <v>41.35</v>
      </c>
      <c r="T106" s="67"/>
      <c r="U106" s="71">
        <v>0.0</v>
      </c>
      <c r="V106" s="71"/>
      <c r="W106" s="67"/>
      <c r="X106" s="67"/>
      <c r="Y106" s="67"/>
      <c r="Z106" s="67"/>
      <c r="AA106" s="67"/>
      <c r="AB106" s="67"/>
      <c r="AC106" s="67"/>
    </row>
    <row r="107">
      <c r="A107" s="74">
        <v>45908.0</v>
      </c>
      <c r="B107" s="70" t="s">
        <v>1700</v>
      </c>
      <c r="C107" s="70" t="s">
        <v>1701</v>
      </c>
      <c r="D107" s="71">
        <v>0.0</v>
      </c>
      <c r="E107" s="71">
        <v>0.0</v>
      </c>
      <c r="F107" s="68"/>
      <c r="G107" s="68"/>
      <c r="H107" s="71"/>
      <c r="I107" s="72"/>
      <c r="J107" s="70" t="s">
        <v>1450</v>
      </c>
      <c r="K107" s="67"/>
      <c r="L107" s="70" t="s">
        <v>1702</v>
      </c>
      <c r="M107" s="75">
        <v>1.0</v>
      </c>
      <c r="N107" s="75">
        <v>0.0</v>
      </c>
      <c r="O107" s="75">
        <v>0.0</v>
      </c>
      <c r="P107" s="75">
        <v>1.0</v>
      </c>
      <c r="Q107" s="70" t="s">
        <v>22</v>
      </c>
      <c r="R107" s="71">
        <v>0.0</v>
      </c>
      <c r="S107" s="71">
        <v>0.0</v>
      </c>
      <c r="T107" s="67"/>
      <c r="U107" s="71">
        <v>0.0</v>
      </c>
      <c r="V107" s="71"/>
      <c r="W107" s="67"/>
      <c r="X107" s="67"/>
      <c r="Y107" s="67"/>
      <c r="Z107" s="67"/>
      <c r="AA107" s="67"/>
      <c r="AB107" s="67"/>
      <c r="AC107" s="67"/>
    </row>
    <row r="108">
      <c r="A108" s="74">
        <v>45909.0</v>
      </c>
      <c r="B108" s="70" t="s">
        <v>1703</v>
      </c>
      <c r="C108" s="70" t="s">
        <v>1704</v>
      </c>
      <c r="D108" s="71">
        <v>4.19</v>
      </c>
      <c r="E108" s="71">
        <v>15.0</v>
      </c>
      <c r="F108" s="68"/>
      <c r="G108" s="68"/>
      <c r="H108" s="71"/>
      <c r="I108" s="72"/>
      <c r="J108" s="70" t="s">
        <v>1450</v>
      </c>
      <c r="K108" s="67"/>
      <c r="L108" s="67" t="s">
        <v>1705</v>
      </c>
      <c r="M108" s="75">
        <v>1.0</v>
      </c>
      <c r="N108" s="75">
        <v>0.0</v>
      </c>
      <c r="O108" s="75">
        <v>0.0</v>
      </c>
      <c r="P108" s="75">
        <v>1.0</v>
      </c>
      <c r="Q108" s="76" t="s">
        <v>22</v>
      </c>
      <c r="R108" s="71">
        <v>0.0</v>
      </c>
      <c r="S108" s="71">
        <v>4.19</v>
      </c>
      <c r="T108" s="70"/>
      <c r="U108" s="71">
        <v>0.0</v>
      </c>
      <c r="V108" s="71">
        <v>15.0</v>
      </c>
      <c r="W108" s="67"/>
      <c r="X108" s="67"/>
      <c r="Y108" s="67"/>
      <c r="Z108" s="67"/>
      <c r="AA108" s="67"/>
      <c r="AB108" s="67"/>
      <c r="AC108" s="67"/>
    </row>
    <row r="109">
      <c r="A109" s="74">
        <v>45909.0</v>
      </c>
      <c r="B109" s="70" t="s">
        <v>1706</v>
      </c>
      <c r="C109" s="70" t="s">
        <v>1707</v>
      </c>
      <c r="D109" s="71">
        <v>4.19</v>
      </c>
      <c r="E109" s="71">
        <v>0.0</v>
      </c>
      <c r="F109" s="68"/>
      <c r="G109" s="68"/>
      <c r="H109" s="68"/>
      <c r="I109" s="69"/>
      <c r="J109" s="70" t="s">
        <v>1450</v>
      </c>
      <c r="K109" s="67"/>
      <c r="L109" s="70" t="s">
        <v>1708</v>
      </c>
      <c r="M109" s="75">
        <v>1.0</v>
      </c>
      <c r="N109" s="75">
        <v>0.0</v>
      </c>
      <c r="O109" s="75">
        <v>0.0</v>
      </c>
      <c r="P109" s="75">
        <v>1.0</v>
      </c>
      <c r="Q109" s="76" t="s">
        <v>22</v>
      </c>
      <c r="R109" s="71">
        <v>0.29</v>
      </c>
      <c r="S109" s="71">
        <v>4.48</v>
      </c>
      <c r="T109" s="67"/>
      <c r="U109" s="71">
        <v>0.0</v>
      </c>
      <c r="V109" s="71"/>
      <c r="W109" s="67"/>
      <c r="X109" s="67"/>
      <c r="Y109" s="67"/>
      <c r="Z109" s="67"/>
      <c r="AA109" s="67"/>
      <c r="AB109" s="67"/>
      <c r="AC109" s="67"/>
    </row>
    <row r="110">
      <c r="A110" s="74">
        <v>45909.0</v>
      </c>
      <c r="B110" s="70" t="s">
        <v>1709</v>
      </c>
      <c r="C110" s="70" t="s">
        <v>1707</v>
      </c>
      <c r="D110" s="71">
        <v>4.19</v>
      </c>
      <c r="E110" s="71">
        <v>0.0</v>
      </c>
      <c r="F110" s="68"/>
      <c r="G110" s="68"/>
      <c r="H110" s="71"/>
      <c r="I110" s="72"/>
      <c r="J110" s="70" t="s">
        <v>1450</v>
      </c>
      <c r="K110" s="67"/>
      <c r="L110" s="70" t="s">
        <v>1710</v>
      </c>
      <c r="M110" s="75">
        <v>1.0</v>
      </c>
      <c r="N110" s="75">
        <v>0.0</v>
      </c>
      <c r="O110" s="75">
        <v>0.0</v>
      </c>
      <c r="P110" s="75">
        <v>1.0</v>
      </c>
      <c r="Q110" s="70" t="s">
        <v>22</v>
      </c>
      <c r="R110" s="71">
        <v>0.5</v>
      </c>
      <c r="S110" s="71">
        <v>4.69</v>
      </c>
      <c r="T110" s="67"/>
      <c r="U110" s="71">
        <v>5.0</v>
      </c>
      <c r="V110" s="71">
        <v>5.0</v>
      </c>
      <c r="W110" s="67"/>
      <c r="X110" s="67"/>
      <c r="Y110" s="67"/>
      <c r="Z110" s="67"/>
      <c r="AA110" s="67"/>
      <c r="AB110" s="67"/>
      <c r="AC110" s="67"/>
    </row>
    <row r="111">
      <c r="A111" s="74">
        <v>45909.0</v>
      </c>
      <c r="B111" s="70" t="s">
        <v>1711</v>
      </c>
      <c r="C111" s="70" t="s">
        <v>1707</v>
      </c>
      <c r="D111" s="71">
        <v>4.19</v>
      </c>
      <c r="E111" s="71">
        <v>0.0</v>
      </c>
      <c r="F111" s="68"/>
      <c r="G111" s="68"/>
      <c r="H111" s="68"/>
      <c r="I111" s="69"/>
      <c r="J111" s="70" t="s">
        <v>1450</v>
      </c>
      <c r="K111" s="67"/>
      <c r="L111" s="70" t="s">
        <v>1712</v>
      </c>
      <c r="M111" s="75">
        <v>1.0</v>
      </c>
      <c r="N111" s="75">
        <v>0.0</v>
      </c>
      <c r="O111" s="75">
        <v>0.0</v>
      </c>
      <c r="P111" s="75">
        <v>1.0</v>
      </c>
      <c r="Q111" s="70" t="s">
        <v>22</v>
      </c>
      <c r="R111" s="71">
        <v>0.5</v>
      </c>
      <c r="S111" s="71">
        <v>4.69</v>
      </c>
      <c r="T111" s="70"/>
      <c r="U111" s="71">
        <v>5.0</v>
      </c>
      <c r="V111" s="71">
        <v>5.0</v>
      </c>
      <c r="W111" s="67"/>
      <c r="X111" s="67"/>
      <c r="Y111" s="67"/>
      <c r="Z111" s="67"/>
      <c r="AA111" s="67"/>
      <c r="AB111" s="67"/>
      <c r="AC111" s="67"/>
    </row>
    <row r="112">
      <c r="A112" s="74">
        <v>45909.0</v>
      </c>
      <c r="B112" s="70" t="s">
        <v>1713</v>
      </c>
      <c r="C112" s="70" t="s">
        <v>1714</v>
      </c>
      <c r="D112" s="71">
        <v>4.19</v>
      </c>
      <c r="E112" s="71">
        <v>0.0</v>
      </c>
      <c r="F112" s="68"/>
      <c r="G112" s="68"/>
      <c r="H112" s="71"/>
      <c r="I112" s="72"/>
      <c r="J112" s="70" t="s">
        <v>1450</v>
      </c>
      <c r="K112" s="67"/>
      <c r="L112" s="70" t="s">
        <v>1715</v>
      </c>
      <c r="M112" s="75">
        <v>1.0</v>
      </c>
      <c r="N112" s="75">
        <v>0.0</v>
      </c>
      <c r="O112" s="75">
        <v>0.0</v>
      </c>
      <c r="P112" s="75">
        <v>1.0</v>
      </c>
      <c r="Q112" s="70" t="s">
        <v>22</v>
      </c>
      <c r="R112" s="71">
        <v>0.0</v>
      </c>
      <c r="S112" s="71">
        <v>4.19</v>
      </c>
      <c r="T112" s="70"/>
      <c r="U112" s="71">
        <v>0.0</v>
      </c>
      <c r="V112" s="71"/>
      <c r="W112" s="67"/>
      <c r="X112" s="67"/>
      <c r="Y112" s="67"/>
      <c r="Z112" s="67"/>
      <c r="AA112" s="67"/>
      <c r="AB112" s="67"/>
      <c r="AC112" s="67"/>
    </row>
    <row r="113">
      <c r="A113" s="74">
        <v>45909.0</v>
      </c>
      <c r="B113" s="70" t="s">
        <v>1716</v>
      </c>
      <c r="C113" s="70" t="s">
        <v>1714</v>
      </c>
      <c r="D113" s="71">
        <v>4.19</v>
      </c>
      <c r="E113" s="71">
        <v>0.0</v>
      </c>
      <c r="F113" s="68"/>
      <c r="G113" s="68"/>
      <c r="H113" s="71"/>
      <c r="I113" s="72"/>
      <c r="J113" s="70" t="s">
        <v>1450</v>
      </c>
      <c r="K113" s="67"/>
      <c r="L113" s="70" t="s">
        <v>1717</v>
      </c>
      <c r="M113" s="75">
        <v>1.0</v>
      </c>
      <c r="N113" s="75">
        <v>0.0</v>
      </c>
      <c r="O113" s="75">
        <v>0.0</v>
      </c>
      <c r="P113" s="75">
        <v>1.0</v>
      </c>
      <c r="Q113" s="70" t="s">
        <v>22</v>
      </c>
      <c r="R113" s="71">
        <v>0.0</v>
      </c>
      <c r="S113" s="71">
        <v>4.19</v>
      </c>
      <c r="T113" s="67"/>
      <c r="U113" s="71">
        <v>0.0</v>
      </c>
      <c r="V113" s="71"/>
      <c r="W113" s="67"/>
      <c r="X113" s="67"/>
      <c r="Y113" s="67"/>
      <c r="Z113" s="67"/>
      <c r="AA113" s="67"/>
      <c r="AB113" s="67"/>
      <c r="AC113" s="67"/>
    </row>
    <row r="114">
      <c r="A114" s="74">
        <v>45909.0</v>
      </c>
      <c r="B114" s="70" t="s">
        <v>1718</v>
      </c>
      <c r="C114" s="70" t="s">
        <v>1714</v>
      </c>
      <c r="D114" s="71">
        <v>4.19</v>
      </c>
      <c r="E114" s="71">
        <v>0.0</v>
      </c>
      <c r="F114" s="68"/>
      <c r="G114" s="68"/>
      <c r="H114" s="68"/>
      <c r="I114" s="69"/>
      <c r="J114" s="70" t="s">
        <v>1450</v>
      </c>
      <c r="K114" s="67"/>
      <c r="L114" s="70" t="s">
        <v>1719</v>
      </c>
      <c r="M114" s="75">
        <v>1.0</v>
      </c>
      <c r="N114" s="75">
        <v>0.0</v>
      </c>
      <c r="O114" s="75">
        <v>0.0</v>
      </c>
      <c r="P114" s="75">
        <v>1.0</v>
      </c>
      <c r="Q114" s="76" t="s">
        <v>22</v>
      </c>
      <c r="R114" s="71">
        <v>0.0</v>
      </c>
      <c r="S114" s="71">
        <v>4.19</v>
      </c>
      <c r="T114" s="70"/>
      <c r="U114" s="71">
        <v>0.0</v>
      </c>
      <c r="V114" s="71"/>
      <c r="W114" s="67"/>
      <c r="X114" s="67"/>
      <c r="Y114" s="67"/>
      <c r="Z114" s="67"/>
      <c r="AA114" s="67"/>
      <c r="AB114" s="67"/>
      <c r="AC114" s="67"/>
    </row>
    <row r="115">
      <c r="A115" s="74">
        <v>45909.0</v>
      </c>
      <c r="B115" s="70" t="s">
        <v>1720</v>
      </c>
      <c r="C115" s="70" t="s">
        <v>1721</v>
      </c>
      <c r="D115" s="71">
        <v>4.19</v>
      </c>
      <c r="E115" s="71">
        <v>0.0</v>
      </c>
      <c r="F115" s="68"/>
      <c r="G115" s="68"/>
      <c r="H115" s="68"/>
      <c r="I115" s="69"/>
      <c r="J115" s="70" t="s">
        <v>1450</v>
      </c>
      <c r="K115" s="67"/>
      <c r="L115" s="70" t="s">
        <v>1722</v>
      </c>
      <c r="M115" s="75">
        <v>1.0</v>
      </c>
      <c r="N115" s="75">
        <v>0.0</v>
      </c>
      <c r="O115" s="75">
        <v>0.0</v>
      </c>
      <c r="P115" s="75">
        <v>1.0</v>
      </c>
      <c r="Q115" s="70" t="s">
        <v>22</v>
      </c>
      <c r="R115" s="71">
        <v>0.0</v>
      </c>
      <c r="S115" s="71">
        <v>4.19</v>
      </c>
      <c r="T115" s="70"/>
      <c r="U115" s="71">
        <v>0.0</v>
      </c>
      <c r="V115" s="71"/>
      <c r="W115" s="67"/>
      <c r="X115" s="67"/>
      <c r="Y115" s="67"/>
      <c r="Z115" s="67"/>
      <c r="AA115" s="67"/>
      <c r="AB115" s="67"/>
      <c r="AC115" s="67"/>
    </row>
    <row r="116">
      <c r="A116" s="74">
        <v>45909.0</v>
      </c>
      <c r="B116" s="70" t="s">
        <v>1723</v>
      </c>
      <c r="C116" s="70" t="s">
        <v>1724</v>
      </c>
      <c r="D116" s="71">
        <v>8.0</v>
      </c>
      <c r="E116" s="71">
        <v>20.0</v>
      </c>
      <c r="F116" s="68"/>
      <c r="G116" s="68"/>
      <c r="H116" s="68"/>
      <c r="I116" s="69"/>
      <c r="J116" s="70" t="s">
        <v>1450</v>
      </c>
      <c r="K116" s="67"/>
      <c r="L116" s="70" t="s">
        <v>1725</v>
      </c>
      <c r="M116" s="75">
        <v>1.0</v>
      </c>
      <c r="N116" s="75">
        <v>0.0</v>
      </c>
      <c r="O116" s="75">
        <v>0.0</v>
      </c>
      <c r="P116" s="75">
        <v>1.0</v>
      </c>
      <c r="Q116" s="70" t="s">
        <v>22</v>
      </c>
      <c r="R116" s="71">
        <v>0.5</v>
      </c>
      <c r="S116" s="71">
        <v>8.5</v>
      </c>
      <c r="T116" s="67"/>
      <c r="U116" s="71">
        <v>5.0</v>
      </c>
      <c r="V116" s="71">
        <v>25.0</v>
      </c>
      <c r="W116" s="67"/>
      <c r="X116" s="67"/>
      <c r="Y116" s="67"/>
      <c r="Z116" s="67"/>
      <c r="AA116" s="67"/>
      <c r="AB116" s="67"/>
      <c r="AC116" s="67"/>
    </row>
    <row r="117">
      <c r="A117" s="74">
        <v>45909.0</v>
      </c>
      <c r="B117" s="70" t="s">
        <v>1726</v>
      </c>
      <c r="C117" s="70" t="s">
        <v>1724</v>
      </c>
      <c r="D117" s="71">
        <v>8.0</v>
      </c>
      <c r="E117" s="71">
        <v>20.0</v>
      </c>
      <c r="F117" s="68"/>
      <c r="G117" s="68"/>
      <c r="H117" s="68"/>
      <c r="I117" s="69"/>
      <c r="J117" s="70" t="s">
        <v>1450</v>
      </c>
      <c r="K117" s="67"/>
      <c r="L117" s="70" t="s">
        <v>1727</v>
      </c>
      <c r="M117" s="75">
        <v>1.0</v>
      </c>
      <c r="N117" s="75">
        <v>0.0</v>
      </c>
      <c r="O117" s="75">
        <v>0.0</v>
      </c>
      <c r="P117" s="75">
        <v>1.0</v>
      </c>
      <c r="Q117" s="70" t="s">
        <v>22</v>
      </c>
      <c r="R117" s="71">
        <v>0.46</v>
      </c>
      <c r="S117" s="71">
        <v>8.46</v>
      </c>
      <c r="T117" s="67"/>
      <c r="U117" s="71">
        <v>5.0</v>
      </c>
      <c r="V117" s="71">
        <v>25.0</v>
      </c>
      <c r="W117" s="67"/>
      <c r="X117" s="67"/>
      <c r="Y117" s="67"/>
      <c r="Z117" s="67"/>
      <c r="AA117" s="67"/>
      <c r="AB117" s="67"/>
      <c r="AC117" s="67"/>
    </row>
    <row r="118">
      <c r="A118" s="74">
        <v>45909.0</v>
      </c>
      <c r="B118" s="70" t="s">
        <v>1728</v>
      </c>
      <c r="C118" s="70" t="s">
        <v>1724</v>
      </c>
      <c r="D118" s="71">
        <v>8.0</v>
      </c>
      <c r="E118" s="71">
        <v>20.0</v>
      </c>
      <c r="F118" s="68"/>
      <c r="G118" s="68"/>
      <c r="H118" s="68"/>
      <c r="I118" s="69"/>
      <c r="J118" s="70" t="s">
        <v>1450</v>
      </c>
      <c r="K118" s="67"/>
      <c r="L118" s="70" t="s">
        <v>1729</v>
      </c>
      <c r="M118" s="75">
        <v>1.0</v>
      </c>
      <c r="N118" s="75">
        <v>0.0</v>
      </c>
      <c r="O118" s="75">
        <v>0.0</v>
      </c>
      <c r="P118" s="75">
        <v>1.0</v>
      </c>
      <c r="Q118" s="70" t="s">
        <v>22</v>
      </c>
      <c r="R118" s="71">
        <v>0.46</v>
      </c>
      <c r="S118" s="71">
        <v>8.46</v>
      </c>
      <c r="T118" s="67"/>
      <c r="U118" s="71">
        <v>5.0</v>
      </c>
      <c r="V118" s="71">
        <v>25.0</v>
      </c>
      <c r="W118" s="67"/>
      <c r="X118" s="67"/>
      <c r="Y118" s="67"/>
      <c r="Z118" s="67"/>
      <c r="AA118" s="67"/>
      <c r="AB118" s="67"/>
      <c r="AC118" s="67"/>
    </row>
    <row r="119">
      <c r="A119" s="74">
        <v>45911.0</v>
      </c>
      <c r="B119" s="70" t="s">
        <v>1730</v>
      </c>
      <c r="C119" s="70" t="s">
        <v>1542</v>
      </c>
      <c r="D119" s="71">
        <v>0.0</v>
      </c>
      <c r="E119" s="71">
        <v>0.0</v>
      </c>
      <c r="F119" s="71">
        <v>6.0</v>
      </c>
      <c r="G119" s="68"/>
      <c r="H119" s="71">
        <v>6.0</v>
      </c>
      <c r="I119" s="72">
        <v>1.0</v>
      </c>
      <c r="J119" s="70" t="s">
        <v>1450</v>
      </c>
      <c r="K119" s="67"/>
      <c r="L119" s="67" t="s">
        <v>1731</v>
      </c>
      <c r="M119" s="75">
        <v>1.0</v>
      </c>
      <c r="N119" s="75">
        <v>0.0</v>
      </c>
      <c r="O119" s="70">
        <v>0.0</v>
      </c>
      <c r="P119" s="75">
        <v>1.0</v>
      </c>
      <c r="Q119" s="76" t="s">
        <v>22</v>
      </c>
      <c r="R119" s="71">
        <v>0.0</v>
      </c>
      <c r="S119" s="71">
        <v>0.0</v>
      </c>
      <c r="T119" s="67"/>
      <c r="U119" s="71">
        <v>0.0</v>
      </c>
      <c r="V119" s="71"/>
      <c r="W119" s="67"/>
      <c r="X119" s="67"/>
      <c r="Y119" s="67"/>
      <c r="Z119" s="67"/>
      <c r="AA119" s="67"/>
      <c r="AB119" s="67"/>
      <c r="AC119" s="67"/>
    </row>
    <row r="120">
      <c r="A120" s="74">
        <v>45911.0</v>
      </c>
      <c r="B120" s="70" t="s">
        <v>1732</v>
      </c>
      <c r="C120" s="70" t="s">
        <v>1468</v>
      </c>
      <c r="D120" s="71">
        <v>0.0</v>
      </c>
      <c r="E120" s="71">
        <v>0.0</v>
      </c>
      <c r="F120" s="68"/>
      <c r="G120" s="68"/>
      <c r="H120" s="68"/>
      <c r="I120" s="69"/>
      <c r="J120" s="70" t="s">
        <v>1450</v>
      </c>
      <c r="K120" s="67"/>
      <c r="L120" s="70" t="s">
        <v>1733</v>
      </c>
      <c r="M120" s="75">
        <v>1.0</v>
      </c>
      <c r="N120" s="75">
        <v>0.0</v>
      </c>
      <c r="O120" s="75">
        <v>0.0</v>
      </c>
      <c r="P120" s="75">
        <v>1.0</v>
      </c>
      <c r="Q120" s="70" t="s">
        <v>22</v>
      </c>
      <c r="R120" s="71">
        <v>0.0</v>
      </c>
      <c r="S120" s="71">
        <v>0.0</v>
      </c>
      <c r="T120" s="67"/>
      <c r="U120" s="71">
        <v>0.0</v>
      </c>
      <c r="V120" s="71"/>
      <c r="W120" s="67"/>
      <c r="X120" s="67"/>
      <c r="Y120" s="67"/>
      <c r="Z120" s="67"/>
      <c r="AA120" s="67"/>
      <c r="AB120" s="67"/>
      <c r="AC120" s="67"/>
    </row>
    <row r="121">
      <c r="A121" s="74">
        <v>45913.0</v>
      </c>
      <c r="B121" s="70" t="s">
        <v>1734</v>
      </c>
      <c r="C121" s="70" t="s">
        <v>1675</v>
      </c>
      <c r="D121" s="71">
        <v>5.84</v>
      </c>
      <c r="E121" s="71">
        <v>8.99</v>
      </c>
      <c r="F121" s="68"/>
      <c r="G121" s="71">
        <v>10.0</v>
      </c>
      <c r="H121" s="71">
        <v>4.16</v>
      </c>
      <c r="I121" s="72">
        <v>0.41600000000000004</v>
      </c>
      <c r="J121" s="70" t="s">
        <v>1626</v>
      </c>
      <c r="K121" s="67"/>
      <c r="L121" s="70" t="s">
        <v>1735</v>
      </c>
      <c r="M121" s="75">
        <v>1.0</v>
      </c>
      <c r="N121" s="75">
        <v>1.0</v>
      </c>
      <c r="O121" s="75">
        <v>0.0</v>
      </c>
      <c r="P121" s="75">
        <v>0.0</v>
      </c>
      <c r="Q121" s="70" t="s">
        <v>22</v>
      </c>
      <c r="R121" s="71">
        <v>0.0</v>
      </c>
      <c r="S121" s="71">
        <v>5.84</v>
      </c>
      <c r="T121" s="67"/>
      <c r="U121" s="71">
        <v>0.0</v>
      </c>
      <c r="V121" s="71">
        <v>8.99</v>
      </c>
      <c r="W121" s="67"/>
      <c r="X121" s="67"/>
      <c r="Y121" s="67"/>
      <c r="Z121" s="67"/>
      <c r="AA121" s="67"/>
      <c r="AB121" s="67"/>
      <c r="AC121" s="67"/>
    </row>
    <row r="122">
      <c r="A122" s="74">
        <v>45913.0</v>
      </c>
      <c r="B122" s="70" t="s">
        <v>1736</v>
      </c>
      <c r="C122" s="70" t="s">
        <v>1684</v>
      </c>
      <c r="D122" s="71">
        <v>4.71</v>
      </c>
      <c r="E122" s="71">
        <v>7.25</v>
      </c>
      <c r="F122" s="68"/>
      <c r="G122" s="71">
        <v>8.0</v>
      </c>
      <c r="H122" s="71">
        <v>3.29</v>
      </c>
      <c r="I122" s="72">
        <v>0.41125</v>
      </c>
      <c r="J122" s="70" t="s">
        <v>1626</v>
      </c>
      <c r="K122" s="67"/>
      <c r="L122" s="70" t="s">
        <v>1737</v>
      </c>
      <c r="M122" s="75">
        <v>1.0</v>
      </c>
      <c r="N122" s="75">
        <v>1.0</v>
      </c>
      <c r="O122" s="75">
        <v>0.0</v>
      </c>
      <c r="P122" s="75">
        <v>0.0</v>
      </c>
      <c r="Q122" s="76" t="s">
        <v>22</v>
      </c>
      <c r="R122" s="71">
        <v>0.0</v>
      </c>
      <c r="S122" s="71">
        <v>4.71</v>
      </c>
      <c r="T122" s="70"/>
      <c r="U122" s="71">
        <v>0.0</v>
      </c>
      <c r="V122" s="71">
        <v>7.25</v>
      </c>
      <c r="W122" s="67"/>
      <c r="X122" s="67"/>
      <c r="Y122" s="67"/>
      <c r="Z122" s="67"/>
      <c r="AA122" s="67"/>
      <c r="AB122" s="67"/>
      <c r="AC122" s="67"/>
    </row>
    <row r="123">
      <c r="A123" s="74">
        <v>45913.0</v>
      </c>
      <c r="B123" s="70" t="s">
        <v>1738</v>
      </c>
      <c r="C123" s="70" t="s">
        <v>1605</v>
      </c>
      <c r="D123" s="71">
        <v>3.33</v>
      </c>
      <c r="E123" s="71">
        <v>0.0</v>
      </c>
      <c r="F123" s="68"/>
      <c r="G123" s="71">
        <v>8.0</v>
      </c>
      <c r="H123" s="71">
        <v>4.17</v>
      </c>
      <c r="I123" s="72">
        <v>0.52125</v>
      </c>
      <c r="J123" s="70" t="s">
        <v>1626</v>
      </c>
      <c r="K123" s="67"/>
      <c r="L123" s="70" t="s">
        <v>1739</v>
      </c>
      <c r="M123" s="75">
        <v>1.0</v>
      </c>
      <c r="N123" s="75">
        <v>1.0</v>
      </c>
      <c r="O123" s="75">
        <v>0.0</v>
      </c>
      <c r="P123" s="75">
        <v>0.0</v>
      </c>
      <c r="Q123" s="70" t="s">
        <v>22</v>
      </c>
      <c r="R123" s="71">
        <v>0.5</v>
      </c>
      <c r="S123" s="71">
        <v>3.83</v>
      </c>
      <c r="T123" s="67"/>
      <c r="U123" s="71">
        <v>5.0</v>
      </c>
      <c r="V123" s="71">
        <v>5.0</v>
      </c>
      <c r="W123" s="67"/>
      <c r="X123" s="67"/>
      <c r="Y123" s="67"/>
      <c r="Z123" s="67"/>
      <c r="AA123" s="67"/>
      <c r="AB123" s="67"/>
      <c r="AC123" s="67"/>
    </row>
    <row r="124">
      <c r="A124" s="74">
        <v>45913.0</v>
      </c>
      <c r="B124" s="70" t="s">
        <v>1740</v>
      </c>
      <c r="C124" s="70" t="s">
        <v>1468</v>
      </c>
      <c r="D124" s="71">
        <v>0.0</v>
      </c>
      <c r="E124" s="71">
        <v>0.0</v>
      </c>
      <c r="F124" s="68"/>
      <c r="G124" s="71">
        <v>4.0</v>
      </c>
      <c r="H124" s="71">
        <v>3.5</v>
      </c>
      <c r="I124" s="72">
        <v>0.875</v>
      </c>
      <c r="J124" s="70" t="s">
        <v>1626</v>
      </c>
      <c r="K124" s="67"/>
      <c r="L124" s="70" t="s">
        <v>1741</v>
      </c>
      <c r="M124" s="75">
        <v>1.0</v>
      </c>
      <c r="N124" s="75">
        <v>1.0</v>
      </c>
      <c r="O124" s="75">
        <v>0.0</v>
      </c>
      <c r="P124" s="75">
        <v>0.0</v>
      </c>
      <c r="Q124" s="76" t="s">
        <v>22</v>
      </c>
      <c r="R124" s="71">
        <v>0.5</v>
      </c>
      <c r="S124" s="71">
        <v>0.5</v>
      </c>
      <c r="T124" s="67"/>
      <c r="U124" s="71">
        <v>5.0</v>
      </c>
      <c r="V124" s="71">
        <v>5.0</v>
      </c>
      <c r="W124" s="67"/>
      <c r="X124" s="67"/>
      <c r="Y124" s="67"/>
      <c r="Z124" s="67"/>
      <c r="AA124" s="67"/>
      <c r="AB124" s="67"/>
      <c r="AC124" s="67"/>
    </row>
    <row r="125">
      <c r="A125" s="74">
        <v>45913.0</v>
      </c>
      <c r="B125" s="70" t="s">
        <v>1742</v>
      </c>
      <c r="C125" s="70" t="s">
        <v>1497</v>
      </c>
      <c r="D125" s="71">
        <v>7.8</v>
      </c>
      <c r="E125" s="71">
        <v>16.99</v>
      </c>
      <c r="F125" s="68"/>
      <c r="G125" s="71">
        <v>8.0</v>
      </c>
      <c r="H125" s="71">
        <v>-0.3</v>
      </c>
      <c r="I125" s="72">
        <v>-0.0375</v>
      </c>
      <c r="J125" s="70" t="s">
        <v>1626</v>
      </c>
      <c r="K125" s="67"/>
      <c r="L125" s="70" t="s">
        <v>1743</v>
      </c>
      <c r="M125" s="75">
        <v>1.0</v>
      </c>
      <c r="N125" s="75">
        <v>1.0</v>
      </c>
      <c r="O125" s="75">
        <v>0.0</v>
      </c>
      <c r="P125" s="75">
        <v>0.0</v>
      </c>
      <c r="Q125" s="70" t="s">
        <v>22</v>
      </c>
      <c r="R125" s="71">
        <v>0.5</v>
      </c>
      <c r="S125" s="71">
        <v>8.3</v>
      </c>
      <c r="T125" s="67"/>
      <c r="U125" s="71">
        <v>5.0</v>
      </c>
      <c r="V125" s="71">
        <v>21.99</v>
      </c>
      <c r="W125" s="67"/>
      <c r="X125" s="67"/>
      <c r="Y125" s="67"/>
      <c r="Z125" s="67"/>
      <c r="AA125" s="67"/>
      <c r="AB125" s="67"/>
      <c r="AC125" s="67"/>
    </row>
    <row r="126">
      <c r="A126" s="74">
        <v>45913.0</v>
      </c>
      <c r="B126" s="70" t="s">
        <v>1744</v>
      </c>
      <c r="C126" s="70" t="s">
        <v>1468</v>
      </c>
      <c r="D126" s="71">
        <v>0.0</v>
      </c>
      <c r="E126" s="71">
        <v>0.0</v>
      </c>
      <c r="F126" s="68"/>
      <c r="G126" s="71">
        <v>2.0</v>
      </c>
      <c r="H126" s="71">
        <v>1.08</v>
      </c>
      <c r="I126" s="72">
        <v>0.54</v>
      </c>
      <c r="J126" s="70" t="s">
        <v>1626</v>
      </c>
      <c r="K126" s="67"/>
      <c r="L126" s="70" t="s">
        <v>1745</v>
      </c>
      <c r="M126" s="75">
        <v>1.0</v>
      </c>
      <c r="N126" s="75">
        <v>1.0</v>
      </c>
      <c r="O126" s="75">
        <v>0.0</v>
      </c>
      <c r="P126" s="75">
        <v>0.0</v>
      </c>
      <c r="Q126" s="70" t="s">
        <v>22</v>
      </c>
      <c r="R126" s="71">
        <v>0.92</v>
      </c>
      <c r="S126" s="71">
        <v>0.92</v>
      </c>
      <c r="T126" s="67"/>
      <c r="U126" s="71">
        <v>0.0</v>
      </c>
      <c r="V126" s="71"/>
      <c r="W126" s="67"/>
      <c r="X126" s="67"/>
      <c r="Y126" s="67"/>
      <c r="Z126" s="67"/>
      <c r="AA126" s="67"/>
      <c r="AB126" s="67"/>
      <c r="AC126" s="67"/>
    </row>
    <row r="127">
      <c r="A127" s="74">
        <v>45914.0</v>
      </c>
      <c r="B127" s="70" t="s">
        <v>1746</v>
      </c>
      <c r="C127" s="70" t="s">
        <v>1747</v>
      </c>
      <c r="D127" s="71">
        <v>2.0</v>
      </c>
      <c r="E127" s="71">
        <v>6.0</v>
      </c>
      <c r="F127" s="68"/>
      <c r="G127" s="68"/>
      <c r="H127" s="71"/>
      <c r="I127" s="72"/>
      <c r="J127" s="70" t="s">
        <v>1450</v>
      </c>
      <c r="K127" s="67"/>
      <c r="L127" s="70" t="s">
        <v>1748</v>
      </c>
      <c r="M127" s="75">
        <v>1.0</v>
      </c>
      <c r="N127" s="75">
        <v>0.0</v>
      </c>
      <c r="O127" s="75">
        <v>0.0</v>
      </c>
      <c r="P127" s="75">
        <v>1.0</v>
      </c>
      <c r="Q127" s="70" t="s">
        <v>22</v>
      </c>
      <c r="R127" s="71">
        <v>0.46</v>
      </c>
      <c r="S127" s="71">
        <v>2.46</v>
      </c>
      <c r="T127" s="70"/>
      <c r="U127" s="71">
        <v>5.0</v>
      </c>
      <c r="V127" s="71">
        <v>11.0</v>
      </c>
      <c r="W127" s="67"/>
      <c r="X127" s="67"/>
      <c r="Y127" s="67"/>
      <c r="Z127" s="67"/>
      <c r="AA127" s="67"/>
      <c r="AB127" s="67"/>
      <c r="AC127" s="67"/>
    </row>
    <row r="128">
      <c r="A128" s="74">
        <v>45914.0</v>
      </c>
      <c r="B128" s="70" t="s">
        <v>1749</v>
      </c>
      <c r="C128" s="70" t="s">
        <v>1542</v>
      </c>
      <c r="D128" s="71">
        <v>0.0</v>
      </c>
      <c r="E128" s="71">
        <v>0.0</v>
      </c>
      <c r="F128" s="68"/>
      <c r="G128" s="71">
        <v>6.0</v>
      </c>
      <c r="H128" s="71">
        <v>5.5</v>
      </c>
      <c r="I128" s="72">
        <v>0.9166666666666666</v>
      </c>
      <c r="J128" s="70" t="s">
        <v>1626</v>
      </c>
      <c r="K128" s="67"/>
      <c r="L128" s="70" t="s">
        <v>1750</v>
      </c>
      <c r="M128" s="75">
        <v>1.0</v>
      </c>
      <c r="N128" s="75">
        <v>1.0</v>
      </c>
      <c r="O128" s="75">
        <v>0.0</v>
      </c>
      <c r="P128" s="75">
        <v>0.0</v>
      </c>
      <c r="Q128" s="70" t="s">
        <v>22</v>
      </c>
      <c r="R128" s="71">
        <v>0.5</v>
      </c>
      <c r="S128" s="71">
        <v>0.5</v>
      </c>
      <c r="T128" s="67"/>
      <c r="U128" s="71">
        <v>5.0</v>
      </c>
      <c r="V128" s="71">
        <v>5.0</v>
      </c>
      <c r="W128" s="67"/>
      <c r="X128" s="67"/>
      <c r="Y128" s="67"/>
      <c r="Z128" s="67"/>
      <c r="AA128" s="67"/>
      <c r="AB128" s="67"/>
      <c r="AC128" s="67"/>
    </row>
    <row r="129">
      <c r="A129" s="74">
        <v>45914.0</v>
      </c>
      <c r="B129" s="70" t="s">
        <v>1751</v>
      </c>
      <c r="C129" s="70" t="s">
        <v>1752</v>
      </c>
      <c r="D129" s="71">
        <v>0.73</v>
      </c>
      <c r="E129" s="71">
        <v>1.36</v>
      </c>
      <c r="F129" s="68"/>
      <c r="G129" s="68"/>
      <c r="H129" s="71">
        <v>-1.19</v>
      </c>
      <c r="I129" s="72">
        <v>-1.0</v>
      </c>
      <c r="J129" s="70" t="s">
        <v>1595</v>
      </c>
      <c r="K129" s="67"/>
      <c r="L129" s="70" t="s">
        <v>1753</v>
      </c>
      <c r="M129" s="75">
        <v>1.0</v>
      </c>
      <c r="N129" s="75">
        <v>0.0</v>
      </c>
      <c r="O129" s="75">
        <v>1.0</v>
      </c>
      <c r="P129" s="75">
        <v>0.0</v>
      </c>
      <c r="Q129" s="70" t="s">
        <v>22</v>
      </c>
      <c r="R129" s="71">
        <v>0.46</v>
      </c>
      <c r="S129" s="71">
        <v>1.19</v>
      </c>
      <c r="T129" s="67"/>
      <c r="U129" s="71">
        <v>5.0</v>
      </c>
      <c r="V129" s="71">
        <v>6.36</v>
      </c>
      <c r="W129" s="67"/>
      <c r="X129" s="67"/>
      <c r="Y129" s="67"/>
      <c r="Z129" s="67"/>
      <c r="AA129" s="67"/>
      <c r="AB129" s="67"/>
      <c r="AC129" s="67"/>
    </row>
    <row r="130">
      <c r="A130" s="74">
        <v>45914.0</v>
      </c>
      <c r="B130" s="70" t="s">
        <v>1754</v>
      </c>
      <c r="C130" s="70" t="s">
        <v>1747</v>
      </c>
      <c r="D130" s="71">
        <v>2.0</v>
      </c>
      <c r="E130" s="71">
        <v>6.0</v>
      </c>
      <c r="F130" s="68"/>
      <c r="G130" s="68"/>
      <c r="H130" s="71"/>
      <c r="I130" s="72"/>
      <c r="J130" s="70" t="s">
        <v>1450</v>
      </c>
      <c r="K130" s="67"/>
      <c r="L130" s="70" t="s">
        <v>1755</v>
      </c>
      <c r="M130" s="75">
        <v>1.0</v>
      </c>
      <c r="N130" s="75">
        <v>0.0</v>
      </c>
      <c r="O130" s="75">
        <v>0.0</v>
      </c>
      <c r="P130" s="75">
        <v>1.0</v>
      </c>
      <c r="Q130" s="70" t="s">
        <v>22</v>
      </c>
      <c r="R130" s="71">
        <v>0.92</v>
      </c>
      <c r="S130" s="71">
        <v>2.92</v>
      </c>
      <c r="T130" s="70"/>
      <c r="U130" s="71">
        <v>0.0</v>
      </c>
      <c r="V130" s="71">
        <v>6.0</v>
      </c>
      <c r="W130" s="67"/>
      <c r="X130" s="67"/>
      <c r="Y130" s="67"/>
      <c r="Z130" s="67"/>
      <c r="AA130" s="67"/>
      <c r="AB130" s="67"/>
      <c r="AC130" s="67"/>
    </row>
    <row r="131">
      <c r="A131" s="74">
        <v>45915.0</v>
      </c>
      <c r="B131" s="70" t="s">
        <v>1756</v>
      </c>
      <c r="C131" s="70" t="s">
        <v>1757</v>
      </c>
      <c r="D131" s="71">
        <v>4.33</v>
      </c>
      <c r="E131" s="71">
        <v>6.67</v>
      </c>
      <c r="F131" s="68"/>
      <c r="G131" s="68"/>
      <c r="H131" s="71"/>
      <c r="I131" s="72"/>
      <c r="J131" s="70" t="s">
        <v>1450</v>
      </c>
      <c r="K131" s="67"/>
      <c r="L131" s="70" t="s">
        <v>1758</v>
      </c>
      <c r="M131" s="75">
        <v>1.0</v>
      </c>
      <c r="N131" s="75">
        <v>0.0</v>
      </c>
      <c r="O131" s="75">
        <v>0.0</v>
      </c>
      <c r="P131" s="75">
        <v>1.0</v>
      </c>
      <c r="Q131" s="76" t="s">
        <v>22</v>
      </c>
      <c r="R131" s="71">
        <v>0.61</v>
      </c>
      <c r="S131" s="71">
        <v>4.94</v>
      </c>
      <c r="T131" s="70"/>
      <c r="U131" s="71">
        <v>5.0</v>
      </c>
      <c r="V131" s="71">
        <v>11.67</v>
      </c>
      <c r="W131" s="67"/>
      <c r="X131" s="67"/>
      <c r="Y131" s="67"/>
      <c r="Z131" s="67"/>
      <c r="AA131" s="67"/>
      <c r="AB131" s="67"/>
      <c r="AC131" s="67"/>
    </row>
    <row r="132">
      <c r="A132" s="74">
        <v>45915.0</v>
      </c>
      <c r="B132" s="70" t="s">
        <v>1759</v>
      </c>
      <c r="C132" s="70" t="s">
        <v>1760</v>
      </c>
      <c r="D132" s="71">
        <v>44.0</v>
      </c>
      <c r="E132" s="71">
        <v>0.0</v>
      </c>
      <c r="F132" s="71">
        <v>0.0</v>
      </c>
      <c r="G132" s="68"/>
      <c r="H132" s="71"/>
      <c r="I132" s="72"/>
      <c r="J132" s="70" t="s">
        <v>1450</v>
      </c>
      <c r="K132" s="67"/>
      <c r="L132" s="67" t="s">
        <v>1761</v>
      </c>
      <c r="M132" s="75">
        <v>1.0</v>
      </c>
      <c r="N132" s="75">
        <v>0.0</v>
      </c>
      <c r="O132" s="75">
        <v>0.0</v>
      </c>
      <c r="P132" s="75">
        <v>1.0</v>
      </c>
      <c r="Q132" s="76" t="s">
        <v>22</v>
      </c>
      <c r="R132" s="71">
        <v>1.42</v>
      </c>
      <c r="S132" s="71">
        <v>45.42</v>
      </c>
      <c r="T132" s="67"/>
      <c r="U132" s="71">
        <v>0.0</v>
      </c>
      <c r="V132" s="71"/>
      <c r="W132" s="67"/>
      <c r="X132" s="67"/>
      <c r="Y132" s="67"/>
      <c r="Z132" s="67"/>
      <c r="AA132" s="67"/>
      <c r="AB132" s="67"/>
      <c r="AC132" s="67"/>
    </row>
    <row r="133">
      <c r="A133" s="74">
        <v>45915.0</v>
      </c>
      <c r="B133" s="70" t="s">
        <v>1762</v>
      </c>
      <c r="C133" s="70" t="s">
        <v>1704</v>
      </c>
      <c r="D133" s="71">
        <v>4.19</v>
      </c>
      <c r="E133" s="71">
        <v>15.0</v>
      </c>
      <c r="F133" s="68"/>
      <c r="G133" s="68"/>
      <c r="H133" s="68"/>
      <c r="I133" s="69"/>
      <c r="J133" s="70" t="s">
        <v>1450</v>
      </c>
      <c r="K133" s="67"/>
      <c r="L133" s="70" t="s">
        <v>1763</v>
      </c>
      <c r="M133" s="75">
        <v>1.0</v>
      </c>
      <c r="N133" s="75">
        <v>0.0</v>
      </c>
      <c r="O133" s="75">
        <v>0.0</v>
      </c>
      <c r="P133" s="75">
        <v>1.0</v>
      </c>
      <c r="Q133" s="76" t="s">
        <v>22</v>
      </c>
      <c r="R133" s="71">
        <v>0.46</v>
      </c>
      <c r="S133" s="71">
        <v>4.65</v>
      </c>
      <c r="T133" s="70"/>
      <c r="U133" s="71">
        <v>5.0</v>
      </c>
      <c r="V133" s="71">
        <v>20.0</v>
      </c>
      <c r="W133" s="67"/>
      <c r="X133" s="67"/>
      <c r="Y133" s="67"/>
      <c r="Z133" s="67"/>
      <c r="AA133" s="67"/>
      <c r="AB133" s="67"/>
      <c r="AC133" s="67"/>
    </row>
    <row r="134">
      <c r="A134" s="74">
        <v>45915.0</v>
      </c>
      <c r="B134" s="70" t="s">
        <v>1764</v>
      </c>
      <c r="C134" s="70" t="s">
        <v>1704</v>
      </c>
      <c r="D134" s="71">
        <v>4.19</v>
      </c>
      <c r="E134" s="71">
        <v>15.0</v>
      </c>
      <c r="F134" s="68"/>
      <c r="G134" s="68"/>
      <c r="H134" s="68"/>
      <c r="I134" s="69"/>
      <c r="J134" s="70" t="s">
        <v>1450</v>
      </c>
      <c r="K134" s="67"/>
      <c r="L134" s="70" t="s">
        <v>1765</v>
      </c>
      <c r="M134" s="75">
        <v>1.0</v>
      </c>
      <c r="N134" s="75">
        <v>0.0</v>
      </c>
      <c r="O134" s="75">
        <v>0.0</v>
      </c>
      <c r="P134" s="75">
        <v>1.0</v>
      </c>
      <c r="Q134" s="70" t="s">
        <v>22</v>
      </c>
      <c r="R134" s="71">
        <v>0.46</v>
      </c>
      <c r="S134" s="71">
        <v>4.65</v>
      </c>
      <c r="T134" s="70"/>
      <c r="U134" s="71">
        <v>5.0</v>
      </c>
      <c r="V134" s="71">
        <v>20.0</v>
      </c>
      <c r="W134" s="67"/>
      <c r="X134" s="67"/>
      <c r="Y134" s="67"/>
      <c r="Z134" s="67"/>
      <c r="AA134" s="67"/>
      <c r="AB134" s="67"/>
      <c r="AC134" s="67"/>
    </row>
    <row r="135">
      <c r="A135" s="74">
        <v>45915.0</v>
      </c>
      <c r="B135" s="70" t="s">
        <v>1766</v>
      </c>
      <c r="C135" s="70" t="s">
        <v>1767</v>
      </c>
      <c r="D135" s="71">
        <v>9.5</v>
      </c>
      <c r="E135" s="71">
        <v>19.0</v>
      </c>
      <c r="F135" s="68"/>
      <c r="G135" s="71">
        <v>10.0</v>
      </c>
      <c r="H135" s="71">
        <v>0.5</v>
      </c>
      <c r="I135" s="72">
        <v>0.05</v>
      </c>
      <c r="J135" s="70" t="s">
        <v>1626</v>
      </c>
      <c r="K135" s="67"/>
      <c r="L135" s="70" t="s">
        <v>1768</v>
      </c>
      <c r="M135" s="75">
        <v>1.0</v>
      </c>
      <c r="N135" s="75">
        <v>1.0</v>
      </c>
      <c r="O135" s="75">
        <v>0.0</v>
      </c>
      <c r="P135" s="75">
        <v>0.0</v>
      </c>
      <c r="Q135" s="70" t="s">
        <v>22</v>
      </c>
      <c r="R135" s="71">
        <v>0.0</v>
      </c>
      <c r="S135" s="71">
        <v>9.5</v>
      </c>
      <c r="T135" s="70"/>
      <c r="U135" s="71">
        <v>0.0</v>
      </c>
      <c r="V135" s="71">
        <v>19.0</v>
      </c>
      <c r="W135" s="67"/>
      <c r="X135" s="67"/>
      <c r="Y135" s="67"/>
      <c r="Z135" s="67"/>
      <c r="AA135" s="67"/>
      <c r="AB135" s="67"/>
      <c r="AC135" s="67"/>
    </row>
    <row r="136">
      <c r="A136" s="74">
        <v>45915.0</v>
      </c>
      <c r="B136" s="70" t="s">
        <v>1769</v>
      </c>
      <c r="C136" s="70" t="s">
        <v>1770</v>
      </c>
      <c r="D136" s="71">
        <v>11.0</v>
      </c>
      <c r="E136" s="71">
        <v>21.67</v>
      </c>
      <c r="F136" s="68"/>
      <c r="G136" s="68"/>
      <c r="H136" s="68"/>
      <c r="I136" s="69"/>
      <c r="J136" s="70" t="s">
        <v>1450</v>
      </c>
      <c r="K136" s="67"/>
      <c r="L136" s="70" t="s">
        <v>1771</v>
      </c>
      <c r="M136" s="75">
        <v>1.0</v>
      </c>
      <c r="N136" s="75">
        <v>0.0</v>
      </c>
      <c r="O136" s="75">
        <v>0.0</v>
      </c>
      <c r="P136" s="75">
        <v>1.0</v>
      </c>
      <c r="Q136" s="70" t="s">
        <v>22</v>
      </c>
      <c r="R136" s="71">
        <v>0.61</v>
      </c>
      <c r="S136" s="71">
        <v>11.61</v>
      </c>
      <c r="T136" s="67"/>
      <c r="U136" s="71">
        <v>5.0</v>
      </c>
      <c r="V136" s="71">
        <v>26.67</v>
      </c>
      <c r="W136" s="67"/>
      <c r="X136" s="67"/>
      <c r="Y136" s="67"/>
      <c r="Z136" s="67"/>
      <c r="AA136" s="67"/>
      <c r="AB136" s="67"/>
      <c r="AC136" s="67"/>
    </row>
    <row r="137">
      <c r="A137" s="74">
        <v>45915.0</v>
      </c>
      <c r="B137" s="70" t="s">
        <v>1772</v>
      </c>
      <c r="C137" s="70" t="s">
        <v>1770</v>
      </c>
      <c r="D137" s="71">
        <v>11.0</v>
      </c>
      <c r="E137" s="71">
        <v>21.67</v>
      </c>
      <c r="F137" s="68"/>
      <c r="G137" s="68"/>
      <c r="H137" s="68"/>
      <c r="I137" s="69"/>
      <c r="J137" s="70" t="s">
        <v>1450</v>
      </c>
      <c r="K137" s="67"/>
      <c r="L137" s="70" t="s">
        <v>1773</v>
      </c>
      <c r="M137" s="75">
        <v>1.0</v>
      </c>
      <c r="N137" s="75">
        <v>0.0</v>
      </c>
      <c r="O137" s="75">
        <v>0.0</v>
      </c>
      <c r="P137" s="75">
        <v>1.0</v>
      </c>
      <c r="Q137" s="70" t="s">
        <v>22</v>
      </c>
      <c r="R137" s="71">
        <v>0.61</v>
      </c>
      <c r="S137" s="71">
        <v>11.61</v>
      </c>
      <c r="T137" s="67"/>
      <c r="U137" s="71">
        <v>5.0</v>
      </c>
      <c r="V137" s="71">
        <v>26.67</v>
      </c>
      <c r="W137" s="67"/>
      <c r="X137" s="67"/>
      <c r="Y137" s="67"/>
      <c r="Z137" s="67"/>
      <c r="AA137" s="67"/>
      <c r="AB137" s="67"/>
      <c r="AC137" s="67"/>
    </row>
    <row r="138">
      <c r="A138" s="74">
        <v>45915.0</v>
      </c>
      <c r="B138" s="70" t="s">
        <v>1774</v>
      </c>
      <c r="C138" s="70" t="s">
        <v>1770</v>
      </c>
      <c r="D138" s="71">
        <v>11.0</v>
      </c>
      <c r="E138" s="71">
        <v>21.67</v>
      </c>
      <c r="F138" s="68"/>
      <c r="G138" s="68"/>
      <c r="H138" s="68"/>
      <c r="I138" s="69"/>
      <c r="J138" s="70" t="s">
        <v>1450</v>
      </c>
      <c r="K138" s="67"/>
      <c r="L138" s="70" t="s">
        <v>1775</v>
      </c>
      <c r="M138" s="75">
        <v>1.0</v>
      </c>
      <c r="N138" s="75">
        <v>0.0</v>
      </c>
      <c r="O138" s="75">
        <v>0.0</v>
      </c>
      <c r="P138" s="75">
        <v>1.0</v>
      </c>
      <c r="Q138" s="70" t="s">
        <v>22</v>
      </c>
      <c r="R138" s="71">
        <v>0.29</v>
      </c>
      <c r="S138" s="71">
        <v>11.29</v>
      </c>
      <c r="T138" s="67"/>
      <c r="U138" s="71">
        <v>0.0</v>
      </c>
      <c r="V138" s="71">
        <v>21.67</v>
      </c>
      <c r="W138" s="67"/>
      <c r="X138" s="67"/>
      <c r="Y138" s="67"/>
      <c r="Z138" s="67"/>
      <c r="AA138" s="67"/>
      <c r="AB138" s="67"/>
      <c r="AC138" s="67"/>
    </row>
    <row r="139">
      <c r="A139" s="74">
        <v>45915.0</v>
      </c>
      <c r="B139" s="70" t="s">
        <v>1776</v>
      </c>
      <c r="C139" s="70" t="s">
        <v>1724</v>
      </c>
      <c r="D139" s="71">
        <v>1.95</v>
      </c>
      <c r="E139" s="71">
        <v>0.0</v>
      </c>
      <c r="F139" s="68"/>
      <c r="G139" s="68"/>
      <c r="H139" s="68"/>
      <c r="I139" s="69"/>
      <c r="J139" s="70" t="s">
        <v>1450</v>
      </c>
      <c r="K139" s="67"/>
      <c r="L139" s="70" t="s">
        <v>1777</v>
      </c>
      <c r="M139" s="75">
        <v>1.0</v>
      </c>
      <c r="N139" s="75">
        <v>0.0</v>
      </c>
      <c r="O139" s="75">
        <v>0.0</v>
      </c>
      <c r="P139" s="75">
        <v>1.0</v>
      </c>
      <c r="Q139" s="70" t="s">
        <v>22</v>
      </c>
      <c r="R139" s="71">
        <v>0.61</v>
      </c>
      <c r="S139" s="71">
        <v>2.56</v>
      </c>
      <c r="T139" s="67"/>
      <c r="U139" s="71">
        <v>5.0</v>
      </c>
      <c r="V139" s="71">
        <v>5.0</v>
      </c>
      <c r="W139" s="67"/>
      <c r="X139" s="67"/>
      <c r="Y139" s="67"/>
      <c r="Z139" s="67"/>
      <c r="AA139" s="67"/>
      <c r="AB139" s="67"/>
      <c r="AC139" s="67"/>
    </row>
    <row r="140">
      <c r="A140" s="74">
        <v>45916.0</v>
      </c>
      <c r="B140" s="70" t="s">
        <v>1778</v>
      </c>
      <c r="C140" s="70" t="s">
        <v>1779</v>
      </c>
      <c r="D140" s="71">
        <v>4.19</v>
      </c>
      <c r="E140" s="71">
        <v>15.0</v>
      </c>
      <c r="F140" s="68"/>
      <c r="G140" s="68"/>
      <c r="H140" s="68"/>
      <c r="I140" s="69"/>
      <c r="J140" s="70" t="s">
        <v>1450</v>
      </c>
      <c r="K140" s="67"/>
      <c r="L140" s="70" t="s">
        <v>1780</v>
      </c>
      <c r="M140" s="75">
        <v>1.0</v>
      </c>
      <c r="N140" s="75">
        <v>0.0</v>
      </c>
      <c r="O140" s="75">
        <v>0.0</v>
      </c>
      <c r="P140" s="75">
        <v>1.0</v>
      </c>
      <c r="Q140" s="70" t="s">
        <v>22</v>
      </c>
      <c r="R140" s="71">
        <v>0.13</v>
      </c>
      <c r="S140" s="71">
        <v>4.32</v>
      </c>
      <c r="T140" s="70"/>
      <c r="U140" s="71">
        <v>0.0</v>
      </c>
      <c r="V140" s="71">
        <v>15.0</v>
      </c>
      <c r="W140" s="67"/>
      <c r="X140" s="67"/>
      <c r="Y140" s="67"/>
      <c r="Z140" s="67"/>
      <c r="AA140" s="67"/>
      <c r="AB140" s="67"/>
      <c r="AC140" s="67"/>
    </row>
    <row r="141">
      <c r="A141" s="74">
        <v>45916.0</v>
      </c>
      <c r="B141" s="70" t="s">
        <v>1781</v>
      </c>
      <c r="C141" s="70" t="s">
        <v>1779</v>
      </c>
      <c r="D141" s="71">
        <v>4.19</v>
      </c>
      <c r="E141" s="71">
        <v>15.0</v>
      </c>
      <c r="F141" s="68"/>
      <c r="G141" s="68"/>
      <c r="H141" s="68"/>
      <c r="I141" s="69"/>
      <c r="J141" s="70" t="s">
        <v>1450</v>
      </c>
      <c r="K141" s="67"/>
      <c r="L141" s="70" t="s">
        <v>1782</v>
      </c>
      <c r="M141" s="75">
        <v>1.0</v>
      </c>
      <c r="N141" s="75">
        <v>0.0</v>
      </c>
      <c r="O141" s="75">
        <v>0.0</v>
      </c>
      <c r="P141" s="75">
        <v>1.0</v>
      </c>
      <c r="Q141" s="70" t="s">
        <v>22</v>
      </c>
      <c r="R141" s="71">
        <v>0.13</v>
      </c>
      <c r="S141" s="71">
        <v>4.32</v>
      </c>
      <c r="T141" s="67"/>
      <c r="U141" s="71">
        <v>0.0</v>
      </c>
      <c r="V141" s="71">
        <v>15.0</v>
      </c>
      <c r="W141" s="67"/>
      <c r="X141" s="67"/>
      <c r="Y141" s="67"/>
      <c r="Z141" s="67"/>
      <c r="AA141" s="67"/>
      <c r="AB141" s="67"/>
      <c r="AC141" s="67"/>
    </row>
    <row r="142">
      <c r="A142" s="74">
        <v>45916.0</v>
      </c>
      <c r="B142" s="70" t="s">
        <v>1783</v>
      </c>
      <c r="C142" s="70" t="s">
        <v>1691</v>
      </c>
      <c r="D142" s="71">
        <v>7.5</v>
      </c>
      <c r="E142" s="71">
        <v>0.0</v>
      </c>
      <c r="F142" s="68"/>
      <c r="G142" s="68"/>
      <c r="H142" s="71"/>
      <c r="I142" s="72"/>
      <c r="J142" s="70" t="s">
        <v>1450</v>
      </c>
      <c r="K142" s="67"/>
      <c r="L142" s="70" t="s">
        <v>1784</v>
      </c>
      <c r="M142" s="75">
        <v>1.0</v>
      </c>
      <c r="N142" s="75">
        <v>0.0</v>
      </c>
      <c r="O142" s="75">
        <v>0.0</v>
      </c>
      <c r="P142" s="75">
        <v>1.0</v>
      </c>
      <c r="Q142" s="76" t="s">
        <v>22</v>
      </c>
      <c r="R142" s="71">
        <v>0.0</v>
      </c>
      <c r="S142" s="71">
        <v>7.5</v>
      </c>
      <c r="T142" s="70"/>
      <c r="U142" s="71">
        <v>0.0</v>
      </c>
      <c r="V142" s="71"/>
      <c r="W142" s="67"/>
      <c r="X142" s="67"/>
      <c r="Y142" s="67"/>
      <c r="Z142" s="67"/>
      <c r="AA142" s="67"/>
      <c r="AB142" s="67"/>
      <c r="AC142" s="67"/>
    </row>
    <row r="143">
      <c r="A143" s="74">
        <v>45916.0</v>
      </c>
      <c r="B143" s="70" t="s">
        <v>1785</v>
      </c>
      <c r="C143" s="70" t="s">
        <v>1497</v>
      </c>
      <c r="D143" s="71">
        <v>7.8</v>
      </c>
      <c r="E143" s="71">
        <v>16.99</v>
      </c>
      <c r="F143" s="68"/>
      <c r="G143" s="68"/>
      <c r="H143" s="68"/>
      <c r="I143" s="69"/>
      <c r="J143" s="70" t="s">
        <v>1450</v>
      </c>
      <c r="K143" s="67"/>
      <c r="L143" s="70" t="s">
        <v>1786</v>
      </c>
      <c r="M143" s="75">
        <v>1.0</v>
      </c>
      <c r="N143" s="75">
        <v>0.0</v>
      </c>
      <c r="O143" s="75">
        <v>0.0</v>
      </c>
      <c r="P143" s="75">
        <v>1.0</v>
      </c>
      <c r="Q143" s="70" t="s">
        <v>22</v>
      </c>
      <c r="R143" s="71">
        <v>1.35</v>
      </c>
      <c r="S143" s="71">
        <v>9.15</v>
      </c>
      <c r="T143" s="67"/>
      <c r="U143" s="71">
        <v>0.0</v>
      </c>
      <c r="V143" s="71">
        <v>16.99</v>
      </c>
      <c r="W143" s="67"/>
      <c r="X143" s="67"/>
      <c r="Y143" s="67"/>
      <c r="Z143" s="67"/>
      <c r="AA143" s="67"/>
      <c r="AB143" s="67"/>
      <c r="AC143" s="67"/>
    </row>
    <row r="144">
      <c r="A144" s="74">
        <v>45918.0</v>
      </c>
      <c r="B144" s="70" t="s">
        <v>1787</v>
      </c>
      <c r="C144" s="70" t="s">
        <v>1471</v>
      </c>
      <c r="D144" s="71">
        <v>0.0</v>
      </c>
      <c r="E144" s="71">
        <v>0.0</v>
      </c>
      <c r="F144" s="68"/>
      <c r="G144" s="68"/>
      <c r="H144" s="68"/>
      <c r="I144" s="69"/>
      <c r="J144" s="70" t="s">
        <v>1602</v>
      </c>
      <c r="K144" s="67"/>
      <c r="L144" s="70" t="s">
        <v>1788</v>
      </c>
      <c r="M144" s="75">
        <v>1.0</v>
      </c>
      <c r="N144" s="75">
        <v>0.0</v>
      </c>
      <c r="O144" s="75">
        <v>1.0</v>
      </c>
      <c r="P144" s="75">
        <v>0.0</v>
      </c>
      <c r="Q144" s="70" t="s">
        <v>22</v>
      </c>
      <c r="R144" s="71">
        <v>0.24</v>
      </c>
      <c r="S144" s="71">
        <v>0.24</v>
      </c>
      <c r="T144" s="67"/>
      <c r="U144" s="71">
        <v>1.0</v>
      </c>
      <c r="V144" s="71">
        <v>1.0</v>
      </c>
      <c r="W144" s="67"/>
      <c r="X144" s="67"/>
      <c r="Y144" s="67"/>
      <c r="Z144" s="67"/>
      <c r="AA144" s="67"/>
      <c r="AB144" s="67"/>
      <c r="AC144" s="67"/>
    </row>
    <row r="145">
      <c r="A145" s="74">
        <v>45918.0</v>
      </c>
      <c r="B145" s="70" t="s">
        <v>1789</v>
      </c>
      <c r="C145" s="70" t="s">
        <v>1490</v>
      </c>
      <c r="D145" s="71">
        <v>10.2</v>
      </c>
      <c r="E145" s="71">
        <v>24.99</v>
      </c>
      <c r="F145" s="68"/>
      <c r="G145" s="68"/>
      <c r="H145" s="68"/>
      <c r="I145" s="69"/>
      <c r="J145" s="70" t="s">
        <v>1450</v>
      </c>
      <c r="K145" s="67"/>
      <c r="L145" s="70" t="s">
        <v>1790</v>
      </c>
      <c r="M145" s="75">
        <v>1.0</v>
      </c>
      <c r="N145" s="75">
        <v>0.0</v>
      </c>
      <c r="O145" s="75">
        <v>0.0</v>
      </c>
      <c r="P145" s="75">
        <v>1.0</v>
      </c>
      <c r="Q145" s="70" t="s">
        <v>22</v>
      </c>
      <c r="R145" s="71">
        <v>4.0</v>
      </c>
      <c r="S145" s="71">
        <v>14.2</v>
      </c>
      <c r="T145" s="67"/>
      <c r="U145" s="71">
        <v>8.0</v>
      </c>
      <c r="V145" s="71">
        <v>32.99</v>
      </c>
      <c r="W145" s="67"/>
      <c r="X145" s="67"/>
      <c r="Y145" s="67"/>
      <c r="Z145" s="67"/>
      <c r="AA145" s="67"/>
      <c r="AB145" s="67"/>
      <c r="AC145" s="67"/>
    </row>
    <row r="146">
      <c r="A146" s="74">
        <v>45920.0</v>
      </c>
      <c r="B146" s="70" t="s">
        <v>1791</v>
      </c>
      <c r="C146" s="70" t="s">
        <v>1684</v>
      </c>
      <c r="D146" s="71">
        <v>4.71</v>
      </c>
      <c r="E146" s="71">
        <v>7.25</v>
      </c>
      <c r="F146" s="68"/>
      <c r="G146" s="71">
        <v>6.0</v>
      </c>
      <c r="H146" s="71">
        <v>1.29</v>
      </c>
      <c r="I146" s="72">
        <v>0.215</v>
      </c>
      <c r="J146" s="70" t="s">
        <v>1626</v>
      </c>
      <c r="K146" s="67"/>
      <c r="L146" s="70" t="s">
        <v>1792</v>
      </c>
      <c r="M146" s="75">
        <v>1.0</v>
      </c>
      <c r="N146" s="75">
        <v>1.0</v>
      </c>
      <c r="O146" s="75">
        <v>0.0</v>
      </c>
      <c r="P146" s="75">
        <v>0.0</v>
      </c>
      <c r="Q146" s="70" t="s">
        <v>22</v>
      </c>
      <c r="R146" s="71">
        <v>0.0</v>
      </c>
      <c r="S146" s="71">
        <v>4.71</v>
      </c>
      <c r="T146" s="67"/>
      <c r="U146" s="71">
        <v>0.0</v>
      </c>
      <c r="V146" s="71">
        <v>7.25</v>
      </c>
      <c r="W146" s="67"/>
      <c r="X146" s="67"/>
      <c r="Y146" s="67"/>
      <c r="Z146" s="67"/>
      <c r="AA146" s="67"/>
      <c r="AB146" s="67"/>
      <c r="AC146" s="67"/>
    </row>
    <row r="147">
      <c r="A147" s="74">
        <v>45920.0</v>
      </c>
      <c r="B147" s="70" t="s">
        <v>1793</v>
      </c>
      <c r="C147" s="70" t="s">
        <v>1588</v>
      </c>
      <c r="D147" s="71">
        <v>2.43</v>
      </c>
      <c r="E147" s="71">
        <v>0.0</v>
      </c>
      <c r="F147" s="68"/>
      <c r="G147" s="71">
        <v>10.0</v>
      </c>
      <c r="H147" s="71">
        <v>6.63</v>
      </c>
      <c r="I147" s="72">
        <v>0.663</v>
      </c>
      <c r="J147" s="70" t="s">
        <v>1626</v>
      </c>
      <c r="K147" s="67"/>
      <c r="L147" s="70" t="s">
        <v>1794</v>
      </c>
      <c r="M147" s="75">
        <v>1.0</v>
      </c>
      <c r="N147" s="75">
        <v>1.0</v>
      </c>
      <c r="O147" s="75">
        <v>0.0</v>
      </c>
      <c r="P147" s="75">
        <v>0.0</v>
      </c>
      <c r="Q147" s="70" t="s">
        <v>22</v>
      </c>
      <c r="R147" s="71">
        <v>0.94</v>
      </c>
      <c r="S147" s="71">
        <v>3.37</v>
      </c>
      <c r="T147" s="67"/>
      <c r="U147" s="71">
        <v>0.0</v>
      </c>
      <c r="V147" s="71"/>
      <c r="W147" s="67"/>
      <c r="X147" s="67"/>
      <c r="Y147" s="67"/>
      <c r="Z147" s="67"/>
      <c r="AA147" s="67"/>
      <c r="AB147" s="67"/>
      <c r="AC147" s="67"/>
    </row>
    <row r="148">
      <c r="A148" s="74">
        <v>45920.0</v>
      </c>
      <c r="B148" s="70" t="s">
        <v>1795</v>
      </c>
      <c r="C148" s="70" t="s">
        <v>1474</v>
      </c>
      <c r="D148" s="71">
        <v>3.33</v>
      </c>
      <c r="E148" s="71">
        <v>0.0</v>
      </c>
      <c r="F148" s="68"/>
      <c r="G148" s="71">
        <v>7.0</v>
      </c>
      <c r="H148" s="71">
        <v>2.61</v>
      </c>
      <c r="I148" s="72">
        <v>0.37285714285714283</v>
      </c>
      <c r="J148" s="70" t="s">
        <v>1626</v>
      </c>
      <c r="K148" s="67"/>
      <c r="L148" s="67" t="s">
        <v>1796</v>
      </c>
      <c r="M148" s="75">
        <v>1.0</v>
      </c>
      <c r="N148" s="75">
        <v>1.0</v>
      </c>
      <c r="O148" s="75">
        <v>0.0</v>
      </c>
      <c r="P148" s="75">
        <v>0.0</v>
      </c>
      <c r="Q148" s="76" t="s">
        <v>22</v>
      </c>
      <c r="R148" s="71">
        <v>1.06</v>
      </c>
      <c r="S148" s="71">
        <v>4.39</v>
      </c>
      <c r="T148" s="70"/>
      <c r="U148" s="71">
        <v>5.0</v>
      </c>
      <c r="V148" s="71">
        <v>5.0</v>
      </c>
      <c r="W148" s="67"/>
      <c r="X148" s="67"/>
      <c r="Y148" s="67"/>
      <c r="Z148" s="67"/>
      <c r="AA148" s="67"/>
      <c r="AB148" s="67"/>
      <c r="AC148" s="67"/>
    </row>
    <row r="149">
      <c r="A149" s="74">
        <v>45920.0</v>
      </c>
      <c r="B149" s="70" t="s">
        <v>1797</v>
      </c>
      <c r="C149" s="70" t="s">
        <v>1605</v>
      </c>
      <c r="D149" s="71">
        <v>3.33</v>
      </c>
      <c r="E149" s="71">
        <v>0.0</v>
      </c>
      <c r="F149" s="68"/>
      <c r="G149" s="71">
        <v>10.0</v>
      </c>
      <c r="H149" s="71">
        <v>6.17</v>
      </c>
      <c r="I149" s="72">
        <v>0.617</v>
      </c>
      <c r="J149" s="70" t="s">
        <v>1626</v>
      </c>
      <c r="K149" s="67"/>
      <c r="L149" s="70" t="s">
        <v>1798</v>
      </c>
      <c r="M149" s="75">
        <v>1.0</v>
      </c>
      <c r="N149" s="75">
        <v>1.0</v>
      </c>
      <c r="O149" s="75">
        <v>0.0</v>
      </c>
      <c r="P149" s="75">
        <v>0.0</v>
      </c>
      <c r="Q149" s="76" t="s">
        <v>22</v>
      </c>
      <c r="R149" s="71">
        <v>0.5</v>
      </c>
      <c r="S149" s="71">
        <v>3.83</v>
      </c>
      <c r="T149" s="67"/>
      <c r="U149" s="71">
        <v>5.0</v>
      </c>
      <c r="V149" s="71">
        <v>5.0</v>
      </c>
      <c r="W149" s="67"/>
      <c r="X149" s="67"/>
      <c r="Y149" s="67"/>
      <c r="Z149" s="67"/>
      <c r="AA149" s="67"/>
      <c r="AB149" s="67"/>
      <c r="AC149" s="67"/>
    </row>
    <row r="150">
      <c r="A150" s="74">
        <v>45920.0</v>
      </c>
      <c r="B150" s="70" t="s">
        <v>1799</v>
      </c>
      <c r="C150" s="70" t="s">
        <v>1474</v>
      </c>
      <c r="D150" s="71">
        <v>2.2</v>
      </c>
      <c r="E150" s="71">
        <v>5.0</v>
      </c>
      <c r="F150" s="68"/>
      <c r="G150" s="71">
        <v>7.0</v>
      </c>
      <c r="H150" s="71">
        <v>4.3</v>
      </c>
      <c r="I150" s="72">
        <v>0.6142857142857142</v>
      </c>
      <c r="J150" s="70" t="s">
        <v>1626</v>
      </c>
      <c r="K150" s="67"/>
      <c r="L150" s="70" t="s">
        <v>1800</v>
      </c>
      <c r="M150" s="75">
        <v>1.0</v>
      </c>
      <c r="N150" s="75">
        <v>1.0</v>
      </c>
      <c r="O150" s="75">
        <v>0.0</v>
      </c>
      <c r="P150" s="75">
        <v>0.0</v>
      </c>
      <c r="Q150" s="76" t="s">
        <v>22</v>
      </c>
      <c r="R150" s="71">
        <v>0.5</v>
      </c>
      <c r="S150" s="71">
        <v>2.7</v>
      </c>
      <c r="T150" s="67"/>
      <c r="U150" s="71">
        <v>5.0</v>
      </c>
      <c r="V150" s="71">
        <v>10.0</v>
      </c>
      <c r="W150" s="67"/>
      <c r="X150" s="67"/>
      <c r="Y150" s="67"/>
      <c r="Z150" s="67"/>
      <c r="AA150" s="67"/>
      <c r="AB150" s="67"/>
      <c r="AC150" s="67"/>
    </row>
    <row r="151">
      <c r="A151" s="74">
        <v>45920.0</v>
      </c>
      <c r="B151" s="70" t="s">
        <v>1801</v>
      </c>
      <c r="C151" s="70" t="s">
        <v>1802</v>
      </c>
      <c r="D151" s="71">
        <v>9.0</v>
      </c>
      <c r="E151" s="71">
        <v>19.99</v>
      </c>
      <c r="F151" s="68"/>
      <c r="G151" s="71">
        <v>30.0</v>
      </c>
      <c r="H151" s="71">
        <v>20.5</v>
      </c>
      <c r="I151" s="72">
        <v>0.6833333333333333</v>
      </c>
      <c r="J151" s="70" t="s">
        <v>1626</v>
      </c>
      <c r="K151" s="67"/>
      <c r="L151" s="70" t="s">
        <v>1803</v>
      </c>
      <c r="M151" s="75">
        <v>1.0</v>
      </c>
      <c r="N151" s="75">
        <v>1.0</v>
      </c>
      <c r="O151" s="75">
        <v>0.0</v>
      </c>
      <c r="P151" s="75">
        <v>0.0</v>
      </c>
      <c r="Q151" s="70" t="s">
        <v>22</v>
      </c>
      <c r="R151" s="71">
        <v>0.5</v>
      </c>
      <c r="S151" s="71">
        <v>9.5</v>
      </c>
      <c r="T151" s="67"/>
      <c r="U151" s="71">
        <v>5.0</v>
      </c>
      <c r="V151" s="71">
        <v>24.99</v>
      </c>
      <c r="W151" s="67"/>
      <c r="X151" s="67"/>
      <c r="Y151" s="67"/>
      <c r="Z151" s="67"/>
      <c r="AA151" s="67"/>
      <c r="AB151" s="67"/>
      <c r="AC151" s="67"/>
    </row>
    <row r="152">
      <c r="A152" s="74">
        <v>45922.0</v>
      </c>
      <c r="B152" s="70" t="s">
        <v>1804</v>
      </c>
      <c r="C152" s="70" t="s">
        <v>1805</v>
      </c>
      <c r="D152" s="71">
        <v>9.0</v>
      </c>
      <c r="E152" s="71">
        <v>18.99</v>
      </c>
      <c r="F152" s="71">
        <v>25.0</v>
      </c>
      <c r="G152" s="68"/>
      <c r="H152" s="71">
        <v>14.58</v>
      </c>
      <c r="I152" s="72">
        <v>0.5832</v>
      </c>
      <c r="J152" s="70" t="s">
        <v>1462</v>
      </c>
      <c r="K152" s="67"/>
      <c r="L152" s="70" t="s">
        <v>1806</v>
      </c>
      <c r="M152" s="75">
        <v>1.0</v>
      </c>
      <c r="N152" s="75">
        <v>0.0</v>
      </c>
      <c r="O152" s="75">
        <v>0.0</v>
      </c>
      <c r="P152" s="75">
        <v>1.0</v>
      </c>
      <c r="Q152" s="70" t="s">
        <v>22</v>
      </c>
      <c r="R152" s="71">
        <v>1.42</v>
      </c>
      <c r="S152" s="71">
        <v>10.42</v>
      </c>
      <c r="T152" s="67"/>
      <c r="U152" s="71">
        <v>0.0</v>
      </c>
      <c r="V152" s="71">
        <v>18.99</v>
      </c>
      <c r="W152" s="67"/>
      <c r="X152" s="67"/>
      <c r="Y152" s="67"/>
      <c r="Z152" s="67"/>
      <c r="AA152" s="67"/>
      <c r="AB152" s="67"/>
      <c r="AC152" s="67"/>
    </row>
    <row r="153">
      <c r="A153" s="74">
        <v>45922.0</v>
      </c>
      <c r="B153" s="70" t="s">
        <v>1807</v>
      </c>
      <c r="C153" s="70" t="s">
        <v>1805</v>
      </c>
      <c r="D153" s="71">
        <v>9.0</v>
      </c>
      <c r="E153" s="71">
        <v>18.99</v>
      </c>
      <c r="F153" s="68"/>
      <c r="G153" s="68"/>
      <c r="H153" s="68"/>
      <c r="I153" s="69"/>
      <c r="J153" s="70" t="s">
        <v>1450</v>
      </c>
      <c r="K153" s="67"/>
      <c r="L153" s="70" t="s">
        <v>1808</v>
      </c>
      <c r="M153" s="75">
        <v>1.0</v>
      </c>
      <c r="N153" s="75">
        <v>0.0</v>
      </c>
      <c r="O153" s="75">
        <v>0.0</v>
      </c>
      <c r="P153" s="75">
        <v>1.0</v>
      </c>
      <c r="Q153" s="70" t="s">
        <v>22</v>
      </c>
      <c r="R153" s="71">
        <v>0.94</v>
      </c>
      <c r="S153" s="71">
        <v>9.94</v>
      </c>
      <c r="T153" s="67"/>
      <c r="U153" s="71">
        <v>0.0</v>
      </c>
      <c r="V153" s="71">
        <v>18.99</v>
      </c>
      <c r="W153" s="67"/>
      <c r="X153" s="67"/>
      <c r="Y153" s="67"/>
      <c r="Z153" s="67"/>
      <c r="AA153" s="67"/>
      <c r="AB153" s="67"/>
      <c r="AC153" s="67"/>
    </row>
    <row r="154">
      <c r="A154" s="74">
        <v>45922.0</v>
      </c>
      <c r="B154" s="70" t="s">
        <v>1809</v>
      </c>
      <c r="C154" s="70" t="s">
        <v>1497</v>
      </c>
      <c r="D154" s="71">
        <v>7.8</v>
      </c>
      <c r="E154" s="71">
        <v>16.99</v>
      </c>
      <c r="F154" s="68"/>
      <c r="G154" s="68"/>
      <c r="H154" s="68"/>
      <c r="I154" s="69"/>
      <c r="J154" s="70" t="s">
        <v>1450</v>
      </c>
      <c r="K154" s="67"/>
      <c r="L154" s="70" t="s">
        <v>1810</v>
      </c>
      <c r="M154" s="75">
        <v>1.0</v>
      </c>
      <c r="N154" s="75">
        <v>0.0</v>
      </c>
      <c r="O154" s="75">
        <v>0.0</v>
      </c>
      <c r="P154" s="75">
        <v>1.0</v>
      </c>
      <c r="Q154" s="70" t="s">
        <v>22</v>
      </c>
      <c r="R154" s="71">
        <v>0.0</v>
      </c>
      <c r="S154" s="71">
        <v>7.8</v>
      </c>
      <c r="T154" s="67"/>
      <c r="U154" s="71">
        <v>0.0</v>
      </c>
      <c r="V154" s="71">
        <v>16.99</v>
      </c>
      <c r="W154" s="67"/>
      <c r="X154" s="67"/>
      <c r="Y154" s="67"/>
      <c r="Z154" s="67"/>
      <c r="AA154" s="67"/>
      <c r="AB154" s="67"/>
      <c r="AC154" s="67"/>
    </row>
    <row r="155">
      <c r="A155" s="74">
        <v>45922.0</v>
      </c>
      <c r="B155" s="70" t="s">
        <v>1811</v>
      </c>
      <c r="C155" s="70" t="s">
        <v>1812</v>
      </c>
      <c r="D155" s="71">
        <v>10.2</v>
      </c>
      <c r="E155" s="71">
        <v>21.99</v>
      </c>
      <c r="F155" s="68"/>
      <c r="G155" s="68"/>
      <c r="H155" s="68"/>
      <c r="I155" s="69"/>
      <c r="J155" s="70" t="s">
        <v>1602</v>
      </c>
      <c r="K155" s="67"/>
      <c r="L155" s="70" t="s">
        <v>1813</v>
      </c>
      <c r="M155" s="75">
        <v>1.0</v>
      </c>
      <c r="N155" s="75">
        <v>0.0</v>
      </c>
      <c r="O155" s="75">
        <v>1.0</v>
      </c>
      <c r="P155" s="75">
        <v>0.0</v>
      </c>
      <c r="Q155" s="70" t="s">
        <v>22</v>
      </c>
      <c r="R155" s="71">
        <v>0.0</v>
      </c>
      <c r="S155" s="71">
        <v>10.2</v>
      </c>
      <c r="T155" s="67"/>
      <c r="U155" s="71">
        <v>0.25</v>
      </c>
      <c r="V155" s="71">
        <v>22.24</v>
      </c>
      <c r="W155" s="67"/>
      <c r="X155" s="67"/>
      <c r="Y155" s="67"/>
      <c r="Z155" s="67"/>
      <c r="AA155" s="67"/>
      <c r="AB155" s="67"/>
      <c r="AC155" s="67"/>
    </row>
    <row r="156">
      <c r="A156" s="74">
        <v>45922.0</v>
      </c>
      <c r="B156" s="70" t="s">
        <v>1814</v>
      </c>
      <c r="C156" s="70" t="s">
        <v>1564</v>
      </c>
      <c r="D156" s="71">
        <v>7.8</v>
      </c>
      <c r="E156" s="71">
        <v>16.99</v>
      </c>
      <c r="F156" s="68"/>
      <c r="G156" s="68"/>
      <c r="H156" s="68"/>
      <c r="I156" s="69"/>
      <c r="J156" s="70" t="s">
        <v>1450</v>
      </c>
      <c r="K156" s="67"/>
      <c r="L156" s="70" t="s">
        <v>1815</v>
      </c>
      <c r="M156" s="75">
        <v>1.0</v>
      </c>
      <c r="N156" s="75">
        <v>0.0</v>
      </c>
      <c r="O156" s="75">
        <v>0.0</v>
      </c>
      <c r="P156" s="75">
        <v>1.0</v>
      </c>
      <c r="Q156" s="70" t="s">
        <v>22</v>
      </c>
      <c r="R156" s="71">
        <v>0.0</v>
      </c>
      <c r="S156" s="71">
        <v>7.8</v>
      </c>
      <c r="T156" s="67"/>
      <c r="U156" s="71">
        <v>0.0</v>
      </c>
      <c r="V156" s="71">
        <v>16.99</v>
      </c>
      <c r="W156" s="67"/>
      <c r="X156" s="67"/>
      <c r="Y156" s="67"/>
      <c r="Z156" s="67"/>
      <c r="AA156" s="67"/>
      <c r="AB156" s="67"/>
      <c r="AC156" s="67"/>
    </row>
    <row r="157">
      <c r="A157" s="74">
        <v>45922.0</v>
      </c>
      <c r="B157" s="70" t="s">
        <v>1816</v>
      </c>
      <c r="C157" s="70" t="s">
        <v>1564</v>
      </c>
      <c r="D157" s="71">
        <v>7.8</v>
      </c>
      <c r="E157" s="71">
        <v>16.99</v>
      </c>
      <c r="F157" s="68"/>
      <c r="G157" s="68"/>
      <c r="H157" s="68"/>
      <c r="I157" s="69"/>
      <c r="J157" s="70" t="s">
        <v>1450</v>
      </c>
      <c r="K157" s="67"/>
      <c r="L157" s="70" t="s">
        <v>1817</v>
      </c>
      <c r="M157" s="75">
        <v>1.0</v>
      </c>
      <c r="N157" s="75">
        <v>0.0</v>
      </c>
      <c r="O157" s="75">
        <v>0.0</v>
      </c>
      <c r="P157" s="75">
        <v>1.0</v>
      </c>
      <c r="Q157" s="70" t="s">
        <v>22</v>
      </c>
      <c r="R157" s="71">
        <v>0.0</v>
      </c>
      <c r="S157" s="71">
        <v>7.8</v>
      </c>
      <c r="T157" s="67"/>
      <c r="U157" s="71">
        <v>0.0</v>
      </c>
      <c r="V157" s="71">
        <v>16.99</v>
      </c>
      <c r="W157" s="67"/>
      <c r="X157" s="67"/>
      <c r="Y157" s="67"/>
      <c r="Z157" s="67"/>
      <c r="AA157" s="67"/>
      <c r="AB157" s="67"/>
      <c r="AC157" s="67"/>
    </row>
    <row r="158">
      <c r="A158" s="74">
        <v>45922.0</v>
      </c>
      <c r="B158" s="70" t="s">
        <v>1818</v>
      </c>
      <c r="C158" s="70" t="s">
        <v>1564</v>
      </c>
      <c r="D158" s="71">
        <v>7.8</v>
      </c>
      <c r="E158" s="71">
        <v>16.99</v>
      </c>
      <c r="F158" s="68"/>
      <c r="G158" s="68"/>
      <c r="H158" s="68"/>
      <c r="I158" s="69"/>
      <c r="J158" s="70" t="s">
        <v>1450</v>
      </c>
      <c r="K158" s="67"/>
      <c r="L158" s="70" t="s">
        <v>1819</v>
      </c>
      <c r="M158" s="75">
        <v>1.0</v>
      </c>
      <c r="N158" s="75">
        <v>0.0</v>
      </c>
      <c r="O158" s="75">
        <v>0.0</v>
      </c>
      <c r="P158" s="75">
        <v>1.0</v>
      </c>
      <c r="Q158" s="70" t="s">
        <v>22</v>
      </c>
      <c r="R158" s="71">
        <v>0.0</v>
      </c>
      <c r="S158" s="71">
        <v>7.8</v>
      </c>
      <c r="T158" s="67"/>
      <c r="U158" s="71">
        <v>0.0</v>
      </c>
      <c r="V158" s="71">
        <v>16.99</v>
      </c>
      <c r="W158" s="67"/>
      <c r="X158" s="67"/>
      <c r="Y158" s="67"/>
      <c r="Z158" s="67"/>
      <c r="AA158" s="67"/>
      <c r="AB158" s="67"/>
      <c r="AC158" s="67"/>
    </row>
    <row r="159">
      <c r="A159" s="74">
        <v>45922.0</v>
      </c>
      <c r="B159" s="70" t="s">
        <v>1820</v>
      </c>
      <c r="C159" s="70" t="s">
        <v>1527</v>
      </c>
      <c r="D159" s="71">
        <v>9.0</v>
      </c>
      <c r="E159" s="71">
        <v>19.99</v>
      </c>
      <c r="F159" s="68"/>
      <c r="G159" s="68"/>
      <c r="H159" s="68"/>
      <c r="I159" s="69"/>
      <c r="J159" s="70" t="s">
        <v>1450</v>
      </c>
      <c r="K159" s="67"/>
      <c r="L159" s="70" t="s">
        <v>1821</v>
      </c>
      <c r="M159" s="75">
        <v>1.0</v>
      </c>
      <c r="N159" s="75">
        <v>0.0</v>
      </c>
      <c r="O159" s="75">
        <v>0.0</v>
      </c>
      <c r="P159" s="75">
        <v>1.0</v>
      </c>
      <c r="Q159" s="70" t="s">
        <v>22</v>
      </c>
      <c r="R159" s="71">
        <v>0.0</v>
      </c>
      <c r="S159" s="71">
        <v>9.0</v>
      </c>
      <c r="T159" s="67"/>
      <c r="U159" s="71">
        <v>0.0</v>
      </c>
      <c r="V159" s="71">
        <v>19.99</v>
      </c>
      <c r="W159" s="67"/>
      <c r="X159" s="67"/>
      <c r="Y159" s="67"/>
      <c r="Z159" s="67"/>
      <c r="AA159" s="67"/>
      <c r="AB159" s="67"/>
      <c r="AC159" s="67"/>
    </row>
    <row r="160">
      <c r="A160" s="74">
        <v>45922.0</v>
      </c>
      <c r="B160" s="70" t="s">
        <v>1822</v>
      </c>
      <c r="C160" s="70" t="s">
        <v>1527</v>
      </c>
      <c r="D160" s="71">
        <v>9.0</v>
      </c>
      <c r="E160" s="71">
        <v>19.99</v>
      </c>
      <c r="F160" s="68"/>
      <c r="G160" s="68"/>
      <c r="H160" s="71">
        <v>-9.0</v>
      </c>
      <c r="I160" s="72">
        <v>-1.0</v>
      </c>
      <c r="J160" s="70" t="s">
        <v>1595</v>
      </c>
      <c r="K160" s="67"/>
      <c r="L160" s="70" t="s">
        <v>1823</v>
      </c>
      <c r="M160" s="75">
        <v>1.0</v>
      </c>
      <c r="N160" s="75">
        <v>0.0</v>
      </c>
      <c r="O160" s="75">
        <v>1.0</v>
      </c>
      <c r="P160" s="75">
        <v>0.0</v>
      </c>
      <c r="Q160" s="70" t="s">
        <v>22</v>
      </c>
      <c r="R160" s="71">
        <v>0.0</v>
      </c>
      <c r="S160" s="71">
        <v>9.0</v>
      </c>
      <c r="T160" s="67"/>
      <c r="U160" s="71">
        <v>0.0</v>
      </c>
      <c r="V160" s="71">
        <v>19.99</v>
      </c>
      <c r="W160" s="67"/>
      <c r="X160" s="67"/>
      <c r="Y160" s="67"/>
      <c r="Z160" s="67"/>
      <c r="AA160" s="67"/>
      <c r="AB160" s="67"/>
      <c r="AC160" s="67"/>
    </row>
    <row r="161">
      <c r="A161" s="74">
        <v>45922.0</v>
      </c>
      <c r="B161" s="70" t="s">
        <v>1824</v>
      </c>
      <c r="C161" s="70" t="s">
        <v>1527</v>
      </c>
      <c r="D161" s="71">
        <v>9.0</v>
      </c>
      <c r="E161" s="71">
        <v>19.99</v>
      </c>
      <c r="F161" s="68"/>
      <c r="G161" s="68"/>
      <c r="H161" s="68"/>
      <c r="I161" s="69"/>
      <c r="J161" s="70" t="s">
        <v>1450</v>
      </c>
      <c r="K161" s="67"/>
      <c r="L161" s="70" t="s">
        <v>1825</v>
      </c>
      <c r="M161" s="75">
        <v>1.0</v>
      </c>
      <c r="N161" s="75">
        <v>0.0</v>
      </c>
      <c r="O161" s="75">
        <v>0.0</v>
      </c>
      <c r="P161" s="75">
        <v>1.0</v>
      </c>
      <c r="Q161" s="70" t="s">
        <v>22</v>
      </c>
      <c r="R161" s="71">
        <v>0.0</v>
      </c>
      <c r="S161" s="71">
        <v>9.0</v>
      </c>
      <c r="T161" s="67"/>
      <c r="U161" s="71">
        <v>0.0</v>
      </c>
      <c r="V161" s="71">
        <v>19.99</v>
      </c>
      <c r="W161" s="67"/>
      <c r="X161" s="67"/>
      <c r="Y161" s="67"/>
      <c r="Z161" s="67"/>
      <c r="AA161" s="67"/>
      <c r="AB161" s="67"/>
      <c r="AC161" s="67"/>
    </row>
    <row r="162">
      <c r="A162" s="74">
        <v>45922.0</v>
      </c>
      <c r="B162" s="70" t="s">
        <v>1826</v>
      </c>
      <c r="C162" s="70" t="s">
        <v>1527</v>
      </c>
      <c r="D162" s="71">
        <v>9.0</v>
      </c>
      <c r="E162" s="71">
        <v>19.99</v>
      </c>
      <c r="F162" s="68"/>
      <c r="G162" s="68"/>
      <c r="H162" s="71">
        <v>-9.0</v>
      </c>
      <c r="I162" s="72">
        <v>-1.0</v>
      </c>
      <c r="J162" s="70" t="s">
        <v>1595</v>
      </c>
      <c r="K162" s="67"/>
      <c r="L162" s="70" t="s">
        <v>1827</v>
      </c>
      <c r="M162" s="75">
        <v>1.0</v>
      </c>
      <c r="N162" s="75">
        <v>0.0</v>
      </c>
      <c r="O162" s="75">
        <v>1.0</v>
      </c>
      <c r="P162" s="75">
        <v>0.0</v>
      </c>
      <c r="Q162" s="70" t="s">
        <v>22</v>
      </c>
      <c r="R162" s="71">
        <v>0.0</v>
      </c>
      <c r="S162" s="71">
        <v>9.0</v>
      </c>
      <c r="T162" s="67"/>
      <c r="U162" s="71">
        <v>0.0</v>
      </c>
      <c r="V162" s="71">
        <v>19.99</v>
      </c>
      <c r="W162" s="67"/>
      <c r="X162" s="67"/>
      <c r="Y162" s="67"/>
      <c r="Z162" s="67"/>
      <c r="AA162" s="67"/>
      <c r="AB162" s="67"/>
      <c r="AC162" s="67"/>
    </row>
    <row r="163">
      <c r="A163" s="74">
        <v>45922.0</v>
      </c>
      <c r="B163" s="70" t="s">
        <v>1828</v>
      </c>
      <c r="C163" s="70" t="s">
        <v>1527</v>
      </c>
      <c r="D163" s="71">
        <v>9.0</v>
      </c>
      <c r="E163" s="71">
        <v>19.99</v>
      </c>
      <c r="F163" s="68"/>
      <c r="G163" s="68"/>
      <c r="H163" s="71">
        <v>-9.0</v>
      </c>
      <c r="I163" s="72">
        <v>-1.0</v>
      </c>
      <c r="J163" s="70" t="s">
        <v>1595</v>
      </c>
      <c r="K163" s="67"/>
      <c r="L163" s="70" t="s">
        <v>1829</v>
      </c>
      <c r="M163" s="75">
        <v>1.0</v>
      </c>
      <c r="N163" s="75">
        <v>0.0</v>
      </c>
      <c r="O163" s="75">
        <v>1.0</v>
      </c>
      <c r="P163" s="75">
        <v>0.0</v>
      </c>
      <c r="Q163" s="70" t="s">
        <v>22</v>
      </c>
      <c r="R163" s="71">
        <v>0.0</v>
      </c>
      <c r="S163" s="71">
        <v>9.0</v>
      </c>
      <c r="T163" s="67"/>
      <c r="U163" s="71">
        <v>0.0</v>
      </c>
      <c r="V163" s="71">
        <v>19.99</v>
      </c>
      <c r="W163" s="67"/>
      <c r="X163" s="67"/>
      <c r="Y163" s="67"/>
      <c r="Z163" s="67"/>
      <c r="AA163" s="67"/>
      <c r="AB163" s="67"/>
      <c r="AC163" s="67"/>
    </row>
    <row r="164">
      <c r="A164" s="74">
        <v>45922.0</v>
      </c>
      <c r="B164" s="70" t="s">
        <v>1830</v>
      </c>
      <c r="C164" s="70" t="s">
        <v>1831</v>
      </c>
      <c r="D164" s="71">
        <v>5.95</v>
      </c>
      <c r="E164" s="71">
        <v>14.99</v>
      </c>
      <c r="F164" s="68"/>
      <c r="G164" s="68"/>
      <c r="H164" s="68"/>
      <c r="I164" s="69"/>
      <c r="J164" s="70" t="s">
        <v>1602</v>
      </c>
      <c r="K164" s="67"/>
      <c r="L164" s="70" t="s">
        <v>1832</v>
      </c>
      <c r="M164" s="75">
        <v>1.0</v>
      </c>
      <c r="N164" s="75">
        <v>0.0</v>
      </c>
      <c r="O164" s="75">
        <v>1.0</v>
      </c>
      <c r="P164" s="75">
        <v>0.0</v>
      </c>
      <c r="Q164" s="70" t="s">
        <v>22</v>
      </c>
      <c r="R164" s="71">
        <v>0.0</v>
      </c>
      <c r="S164" s="71">
        <v>5.95</v>
      </c>
      <c r="T164" s="67"/>
      <c r="U164" s="71">
        <v>0.25</v>
      </c>
      <c r="V164" s="71">
        <v>15.24</v>
      </c>
      <c r="W164" s="67"/>
      <c r="X164" s="67"/>
      <c r="Y164" s="67"/>
      <c r="Z164" s="67"/>
      <c r="AA164" s="67"/>
      <c r="AB164" s="67"/>
      <c r="AC164" s="67"/>
    </row>
    <row r="165">
      <c r="A165" s="74">
        <v>45922.0</v>
      </c>
      <c r="B165" s="70" t="s">
        <v>1833</v>
      </c>
      <c r="C165" s="70" t="s">
        <v>1831</v>
      </c>
      <c r="D165" s="71">
        <v>5.95</v>
      </c>
      <c r="E165" s="71">
        <v>14.99</v>
      </c>
      <c r="F165" s="68"/>
      <c r="G165" s="68"/>
      <c r="H165" s="68"/>
      <c r="I165" s="69"/>
      <c r="J165" s="70" t="s">
        <v>1602</v>
      </c>
      <c r="K165" s="67"/>
      <c r="L165" s="70" t="s">
        <v>1834</v>
      </c>
      <c r="M165" s="75">
        <v>1.0</v>
      </c>
      <c r="N165" s="75">
        <v>0.0</v>
      </c>
      <c r="O165" s="75">
        <v>1.0</v>
      </c>
      <c r="P165" s="75">
        <v>0.0</v>
      </c>
      <c r="Q165" s="70" t="s">
        <v>22</v>
      </c>
      <c r="R165" s="71">
        <v>0.0</v>
      </c>
      <c r="S165" s="71">
        <v>5.95</v>
      </c>
      <c r="T165" s="67"/>
      <c r="U165" s="71">
        <v>0.25</v>
      </c>
      <c r="V165" s="71">
        <v>15.24</v>
      </c>
      <c r="W165" s="67"/>
      <c r="X165" s="67"/>
      <c r="Y165" s="67"/>
      <c r="Z165" s="67"/>
      <c r="AA165" s="67"/>
      <c r="AB165" s="67"/>
      <c r="AC165" s="67"/>
    </row>
    <row r="166">
      <c r="A166" s="74">
        <v>45923.0</v>
      </c>
      <c r="B166" s="70" t="s">
        <v>1835</v>
      </c>
      <c r="C166" s="70" t="s">
        <v>1542</v>
      </c>
      <c r="D166" s="71">
        <v>0.0</v>
      </c>
      <c r="E166" s="71">
        <v>0.0</v>
      </c>
      <c r="F166" s="68"/>
      <c r="G166" s="68"/>
      <c r="H166" s="68"/>
      <c r="I166" s="69"/>
      <c r="J166" s="70" t="s">
        <v>1450</v>
      </c>
      <c r="K166" s="67"/>
      <c r="L166" s="67" t="s">
        <v>1836</v>
      </c>
      <c r="M166" s="75">
        <v>1.0</v>
      </c>
      <c r="N166" s="75">
        <v>0.0</v>
      </c>
      <c r="O166" s="75">
        <v>0.0</v>
      </c>
      <c r="P166" s="75">
        <v>1.0</v>
      </c>
      <c r="Q166" s="76" t="s">
        <v>22</v>
      </c>
      <c r="R166" s="71">
        <v>0.61</v>
      </c>
      <c r="S166" s="71">
        <v>0.61</v>
      </c>
      <c r="T166" s="70"/>
      <c r="U166" s="71">
        <v>5.0</v>
      </c>
      <c r="V166" s="71">
        <v>5.0</v>
      </c>
      <c r="W166" s="67"/>
      <c r="X166" s="67"/>
      <c r="Y166" s="67"/>
      <c r="Z166" s="67"/>
      <c r="AA166" s="67"/>
      <c r="AB166" s="67"/>
      <c r="AC166" s="67"/>
    </row>
    <row r="167">
      <c r="A167" s="74">
        <v>45923.0</v>
      </c>
      <c r="B167" s="70" t="s">
        <v>1837</v>
      </c>
      <c r="C167" s="70" t="s">
        <v>1542</v>
      </c>
      <c r="D167" s="71">
        <v>0.0</v>
      </c>
      <c r="E167" s="71">
        <v>0.0</v>
      </c>
      <c r="F167" s="68"/>
      <c r="G167" s="68"/>
      <c r="H167" s="71"/>
      <c r="I167" s="72"/>
      <c r="J167" s="70" t="s">
        <v>1450</v>
      </c>
      <c r="K167" s="67"/>
      <c r="L167" s="67" t="s">
        <v>1838</v>
      </c>
      <c r="M167" s="75">
        <v>1.0</v>
      </c>
      <c r="N167" s="75">
        <v>0.0</v>
      </c>
      <c r="O167" s="75">
        <v>0.0</v>
      </c>
      <c r="P167" s="75">
        <v>1.0</v>
      </c>
      <c r="Q167" s="76" t="s">
        <v>22</v>
      </c>
      <c r="R167" s="71">
        <v>0.61</v>
      </c>
      <c r="S167" s="71">
        <v>0.61</v>
      </c>
      <c r="T167" s="70"/>
      <c r="U167" s="71">
        <v>5.0</v>
      </c>
      <c r="V167" s="71">
        <v>5.0</v>
      </c>
      <c r="W167" s="67"/>
      <c r="X167" s="67"/>
      <c r="Y167" s="67"/>
      <c r="Z167" s="67"/>
      <c r="AA167" s="67"/>
      <c r="AB167" s="67"/>
      <c r="AC167" s="67"/>
    </row>
    <row r="168">
      <c r="A168" s="74">
        <v>45923.0</v>
      </c>
      <c r="B168" s="70" t="s">
        <v>1839</v>
      </c>
      <c r="C168" s="70" t="s">
        <v>1542</v>
      </c>
      <c r="D168" s="71">
        <v>0.0</v>
      </c>
      <c r="E168" s="71">
        <v>0.0</v>
      </c>
      <c r="F168" s="68"/>
      <c r="G168" s="68"/>
      <c r="H168" s="68"/>
      <c r="I168" s="69"/>
      <c r="J168" s="70" t="s">
        <v>1450</v>
      </c>
      <c r="K168" s="67"/>
      <c r="L168" s="70" t="s">
        <v>1840</v>
      </c>
      <c r="M168" s="75">
        <v>1.0</v>
      </c>
      <c r="N168" s="75">
        <v>0.0</v>
      </c>
      <c r="O168" s="75">
        <v>0.0</v>
      </c>
      <c r="P168" s="75">
        <v>1.0</v>
      </c>
      <c r="Q168" s="70" t="s">
        <v>22</v>
      </c>
      <c r="R168" s="71">
        <v>0.61</v>
      </c>
      <c r="S168" s="71">
        <v>0.61</v>
      </c>
      <c r="T168" s="67"/>
      <c r="U168" s="71">
        <v>5.0</v>
      </c>
      <c r="V168" s="71">
        <v>5.0</v>
      </c>
      <c r="W168" s="67"/>
      <c r="X168" s="67"/>
      <c r="Y168" s="67"/>
      <c r="Z168" s="67"/>
      <c r="AA168" s="67"/>
      <c r="AB168" s="67"/>
      <c r="AC168" s="67"/>
    </row>
    <row r="169">
      <c r="A169" s="74">
        <v>45923.0</v>
      </c>
      <c r="B169" s="70" t="s">
        <v>1841</v>
      </c>
      <c r="C169" s="70" t="s">
        <v>1542</v>
      </c>
      <c r="D169" s="71">
        <v>0.0</v>
      </c>
      <c r="E169" s="71">
        <v>0.0</v>
      </c>
      <c r="F169" s="68"/>
      <c r="G169" s="68"/>
      <c r="H169" s="68"/>
      <c r="I169" s="69"/>
      <c r="J169" s="70" t="s">
        <v>1602</v>
      </c>
      <c r="K169" s="67"/>
      <c r="L169" s="70" t="s">
        <v>1842</v>
      </c>
      <c r="M169" s="75">
        <v>1.0</v>
      </c>
      <c r="N169" s="75">
        <v>0.0</v>
      </c>
      <c r="O169" s="75">
        <v>1.0</v>
      </c>
      <c r="P169" s="75">
        <v>0.0</v>
      </c>
      <c r="Q169" s="70" t="s">
        <v>22</v>
      </c>
      <c r="R169" s="71">
        <v>0.29</v>
      </c>
      <c r="S169" s="71">
        <v>0.29</v>
      </c>
      <c r="T169" s="67"/>
      <c r="U169" s="71">
        <v>0.0</v>
      </c>
      <c r="V169" s="71"/>
      <c r="W169" s="67"/>
      <c r="X169" s="67"/>
      <c r="Y169" s="67"/>
      <c r="Z169" s="67"/>
      <c r="AA169" s="67"/>
      <c r="AB169" s="67"/>
      <c r="AC169" s="67"/>
    </row>
    <row r="170">
      <c r="A170" s="74">
        <v>45923.0</v>
      </c>
      <c r="B170" s="70" t="s">
        <v>1843</v>
      </c>
      <c r="C170" s="70" t="s">
        <v>1542</v>
      </c>
      <c r="D170" s="71">
        <v>0.0</v>
      </c>
      <c r="E170" s="71">
        <v>0.0</v>
      </c>
      <c r="F170" s="68"/>
      <c r="G170" s="68"/>
      <c r="H170" s="68"/>
      <c r="I170" s="69"/>
      <c r="J170" s="70" t="s">
        <v>1602</v>
      </c>
      <c r="K170" s="67"/>
      <c r="L170" s="70" t="s">
        <v>1844</v>
      </c>
      <c r="M170" s="75">
        <v>1.0</v>
      </c>
      <c r="N170" s="75">
        <v>0.0</v>
      </c>
      <c r="O170" s="75">
        <v>1.0</v>
      </c>
      <c r="P170" s="75">
        <v>0.0</v>
      </c>
      <c r="Q170" s="70" t="s">
        <v>22</v>
      </c>
      <c r="R170" s="71">
        <v>0.29</v>
      </c>
      <c r="S170" s="71">
        <v>0.29</v>
      </c>
      <c r="T170" s="67"/>
      <c r="U170" s="71">
        <v>0.0</v>
      </c>
      <c r="V170" s="71"/>
      <c r="W170" s="67"/>
      <c r="X170" s="67"/>
      <c r="Y170" s="67"/>
      <c r="Z170" s="67"/>
      <c r="AA170" s="67"/>
      <c r="AB170" s="67"/>
      <c r="AC170" s="67"/>
    </row>
    <row r="171">
      <c r="A171" s="74">
        <v>45923.0</v>
      </c>
      <c r="B171" s="70" t="s">
        <v>1845</v>
      </c>
      <c r="C171" s="70" t="s">
        <v>1846</v>
      </c>
      <c r="D171" s="71">
        <v>5.0</v>
      </c>
      <c r="E171" s="71">
        <v>0.0</v>
      </c>
      <c r="F171" s="68"/>
      <c r="G171" s="68"/>
      <c r="H171" s="68"/>
      <c r="I171" s="69"/>
      <c r="J171" s="70" t="s">
        <v>1450</v>
      </c>
      <c r="K171" s="67"/>
      <c r="L171" s="70" t="s">
        <v>1847</v>
      </c>
      <c r="M171" s="75">
        <v>1.0</v>
      </c>
      <c r="N171" s="75">
        <v>0.0</v>
      </c>
      <c r="O171" s="75">
        <v>0.0</v>
      </c>
      <c r="P171" s="75">
        <v>1.0</v>
      </c>
      <c r="Q171" s="70" t="s">
        <v>22</v>
      </c>
      <c r="R171" s="71">
        <v>0.94</v>
      </c>
      <c r="S171" s="71">
        <v>5.94</v>
      </c>
      <c r="T171" s="67"/>
      <c r="U171" s="71">
        <v>0.0</v>
      </c>
      <c r="V171" s="68"/>
      <c r="W171" s="67"/>
      <c r="X171" s="67"/>
      <c r="Y171" s="67"/>
      <c r="Z171" s="67"/>
      <c r="AA171" s="67"/>
      <c r="AB171" s="67"/>
      <c r="AC171" s="67"/>
    </row>
    <row r="172">
      <c r="A172" s="74">
        <v>45923.0</v>
      </c>
      <c r="B172" s="70" t="s">
        <v>1848</v>
      </c>
      <c r="C172" s="70" t="s">
        <v>1849</v>
      </c>
      <c r="D172" s="71">
        <v>12.0</v>
      </c>
      <c r="E172" s="71">
        <v>29.99</v>
      </c>
      <c r="F172" s="68"/>
      <c r="G172" s="68"/>
      <c r="H172" s="68"/>
      <c r="I172" s="69"/>
      <c r="J172" s="70" t="s">
        <v>1450</v>
      </c>
      <c r="K172" s="67"/>
      <c r="L172" s="70" t="s">
        <v>1850</v>
      </c>
      <c r="M172" s="75">
        <v>1.0</v>
      </c>
      <c r="N172" s="75">
        <v>0.0</v>
      </c>
      <c r="O172" s="75">
        <v>0.0</v>
      </c>
      <c r="P172" s="75">
        <v>1.0</v>
      </c>
      <c r="Q172" s="70" t="s">
        <v>22</v>
      </c>
      <c r="R172" s="71">
        <v>1.35</v>
      </c>
      <c r="S172" s="71">
        <v>13.35</v>
      </c>
      <c r="T172" s="67"/>
      <c r="U172" s="71">
        <v>0.0</v>
      </c>
      <c r="V172" s="71">
        <v>29.99</v>
      </c>
      <c r="W172" s="67"/>
      <c r="X172" s="67"/>
      <c r="Y172" s="67"/>
      <c r="Z172" s="67"/>
      <c r="AA172" s="67"/>
      <c r="AB172" s="67"/>
      <c r="AC172" s="67"/>
    </row>
    <row r="173">
      <c r="A173" s="74">
        <v>45926.0</v>
      </c>
      <c r="B173" s="70" t="s">
        <v>1851</v>
      </c>
      <c r="C173" s="70" t="s">
        <v>1490</v>
      </c>
      <c r="D173" s="71">
        <v>10.2</v>
      </c>
      <c r="E173" s="71">
        <v>24.99</v>
      </c>
      <c r="F173" s="68"/>
      <c r="G173" s="71">
        <v>35.0</v>
      </c>
      <c r="H173" s="71">
        <v>24.8</v>
      </c>
      <c r="I173" s="72">
        <v>0.7085714285714286</v>
      </c>
      <c r="J173" s="70" t="s">
        <v>1626</v>
      </c>
      <c r="K173" s="67"/>
      <c r="L173" s="70" t="s">
        <v>1852</v>
      </c>
      <c r="M173" s="75">
        <v>1.0</v>
      </c>
      <c r="N173" s="75">
        <v>1.0</v>
      </c>
      <c r="O173" s="75">
        <v>0.0</v>
      </c>
      <c r="P173" s="75">
        <v>0.0</v>
      </c>
      <c r="Q173" s="70" t="s">
        <v>22</v>
      </c>
      <c r="R173" s="71">
        <v>0.0</v>
      </c>
      <c r="S173" s="71">
        <v>10.2</v>
      </c>
      <c r="T173" s="67"/>
      <c r="U173" s="71">
        <v>0.0</v>
      </c>
      <c r="V173" s="71">
        <v>24.99</v>
      </c>
      <c r="W173" s="67"/>
      <c r="X173" s="67"/>
      <c r="Y173" s="67"/>
      <c r="Z173" s="67"/>
      <c r="AA173" s="67"/>
      <c r="AB173" s="67"/>
      <c r="AC173" s="67"/>
    </row>
    <row r="174">
      <c r="A174" s="74">
        <v>45926.0</v>
      </c>
      <c r="B174" s="70" t="s">
        <v>1853</v>
      </c>
      <c r="C174" s="70" t="s">
        <v>1854</v>
      </c>
      <c r="D174" s="71">
        <v>9.5</v>
      </c>
      <c r="E174" s="71">
        <v>19.0</v>
      </c>
      <c r="F174" s="71">
        <v>0.0</v>
      </c>
      <c r="G174" s="68"/>
      <c r="H174" s="68"/>
      <c r="I174" s="69"/>
      <c r="J174" s="70" t="s">
        <v>1450</v>
      </c>
      <c r="K174" s="67"/>
      <c r="L174" s="67" t="s">
        <v>1855</v>
      </c>
      <c r="M174" s="75">
        <v>1.0</v>
      </c>
      <c r="N174" s="75">
        <v>0.0</v>
      </c>
      <c r="O174" s="75">
        <v>0.0</v>
      </c>
      <c r="P174" s="75">
        <v>1.0</v>
      </c>
      <c r="Q174" s="76" t="s">
        <v>22</v>
      </c>
      <c r="R174" s="71">
        <v>0.0</v>
      </c>
      <c r="S174" s="71">
        <v>9.5</v>
      </c>
      <c r="T174" s="67"/>
      <c r="U174" s="71">
        <v>0.0</v>
      </c>
      <c r="V174" s="71">
        <v>19.0</v>
      </c>
      <c r="W174" s="67"/>
      <c r="X174" s="67"/>
      <c r="Y174" s="67"/>
      <c r="Z174" s="67"/>
      <c r="AA174" s="67"/>
      <c r="AB174" s="67"/>
      <c r="AC174" s="67"/>
    </row>
    <row r="175">
      <c r="A175" s="74">
        <v>45926.0</v>
      </c>
      <c r="B175" s="70" t="s">
        <v>1856</v>
      </c>
      <c r="C175" s="70" t="s">
        <v>1857</v>
      </c>
      <c r="D175" s="71">
        <v>9.5</v>
      </c>
      <c r="E175" s="71">
        <v>19.0</v>
      </c>
      <c r="F175" s="68"/>
      <c r="G175" s="68"/>
      <c r="H175" s="68"/>
      <c r="I175" s="69"/>
      <c r="J175" s="70" t="s">
        <v>1450</v>
      </c>
      <c r="K175" s="67"/>
      <c r="L175" s="70" t="s">
        <v>1858</v>
      </c>
      <c r="M175" s="75">
        <v>1.0</v>
      </c>
      <c r="N175" s="75">
        <v>0.0</v>
      </c>
      <c r="O175" s="75">
        <v>0.0</v>
      </c>
      <c r="P175" s="75">
        <v>1.0</v>
      </c>
      <c r="Q175" s="70" t="s">
        <v>22</v>
      </c>
      <c r="R175" s="71">
        <v>0.0</v>
      </c>
      <c r="S175" s="71">
        <v>9.5</v>
      </c>
      <c r="T175" s="67"/>
      <c r="U175" s="71">
        <v>0.0</v>
      </c>
      <c r="V175" s="71">
        <v>19.0</v>
      </c>
      <c r="W175" s="67"/>
      <c r="X175" s="67"/>
      <c r="Y175" s="67"/>
      <c r="Z175" s="67"/>
      <c r="AA175" s="67"/>
      <c r="AB175" s="67"/>
      <c r="AC175" s="67"/>
    </row>
    <row r="176">
      <c r="A176" s="74">
        <v>45926.0</v>
      </c>
      <c r="B176" s="70" t="s">
        <v>1859</v>
      </c>
      <c r="C176" s="70" t="s">
        <v>1860</v>
      </c>
      <c r="D176" s="71">
        <v>9.5</v>
      </c>
      <c r="E176" s="71">
        <v>19.0</v>
      </c>
      <c r="F176" s="68"/>
      <c r="G176" s="68"/>
      <c r="H176" s="68"/>
      <c r="I176" s="69"/>
      <c r="J176" s="70" t="s">
        <v>1666</v>
      </c>
      <c r="K176" s="67"/>
      <c r="L176" s="70" t="s">
        <v>1861</v>
      </c>
      <c r="M176" s="75">
        <v>1.0</v>
      </c>
      <c r="N176" s="75">
        <v>0.0</v>
      </c>
      <c r="O176" s="75">
        <v>0.0</v>
      </c>
      <c r="P176" s="75">
        <v>1.0</v>
      </c>
      <c r="Q176" s="70" t="s">
        <v>22</v>
      </c>
      <c r="R176" s="71">
        <v>0.0</v>
      </c>
      <c r="S176" s="71">
        <v>9.5</v>
      </c>
      <c r="T176" s="70"/>
      <c r="U176" s="71">
        <v>0.0</v>
      </c>
      <c r="V176" s="71">
        <v>19.0</v>
      </c>
      <c r="W176" s="67"/>
      <c r="X176" s="67"/>
      <c r="Y176" s="67"/>
      <c r="Z176" s="67"/>
      <c r="AA176" s="67"/>
      <c r="AB176" s="67"/>
      <c r="AC176" s="67"/>
    </row>
    <row r="177">
      <c r="A177" s="74">
        <v>45926.0</v>
      </c>
      <c r="B177" s="70" t="s">
        <v>1862</v>
      </c>
      <c r="C177" s="70" t="s">
        <v>1863</v>
      </c>
      <c r="D177" s="71">
        <v>9.5</v>
      </c>
      <c r="E177" s="71">
        <v>19.0</v>
      </c>
      <c r="F177" s="68"/>
      <c r="G177" s="68"/>
      <c r="H177" s="68"/>
      <c r="I177" s="69"/>
      <c r="J177" s="70" t="s">
        <v>1450</v>
      </c>
      <c r="K177" s="67"/>
      <c r="L177" s="70" t="s">
        <v>1864</v>
      </c>
      <c r="M177" s="75">
        <v>1.0</v>
      </c>
      <c r="N177" s="75">
        <v>0.0</v>
      </c>
      <c r="O177" s="75">
        <v>0.0</v>
      </c>
      <c r="P177" s="75">
        <v>1.0</v>
      </c>
      <c r="Q177" s="70" t="s">
        <v>22</v>
      </c>
      <c r="R177" s="71">
        <v>0.0</v>
      </c>
      <c r="S177" s="71">
        <v>9.5</v>
      </c>
      <c r="T177" s="70"/>
      <c r="U177" s="71">
        <v>0.0</v>
      </c>
      <c r="V177" s="71">
        <v>19.0</v>
      </c>
      <c r="W177" s="67"/>
      <c r="X177" s="67"/>
      <c r="Y177" s="67"/>
      <c r="Z177" s="67"/>
      <c r="AA177" s="67"/>
      <c r="AB177" s="67"/>
      <c r="AC177" s="67"/>
    </row>
    <row r="178">
      <c r="A178" s="74">
        <v>45926.0</v>
      </c>
      <c r="B178" s="70" t="s">
        <v>1865</v>
      </c>
      <c r="C178" s="70" t="s">
        <v>1866</v>
      </c>
      <c r="D178" s="71">
        <v>9.5</v>
      </c>
      <c r="E178" s="71">
        <v>19.0</v>
      </c>
      <c r="F178" s="68"/>
      <c r="G178" s="68"/>
      <c r="H178" s="71">
        <v>-9.5</v>
      </c>
      <c r="I178" s="72">
        <v>-1.0</v>
      </c>
      <c r="J178" s="70" t="s">
        <v>1595</v>
      </c>
      <c r="K178" s="67"/>
      <c r="L178" s="70" t="s">
        <v>1867</v>
      </c>
      <c r="M178" s="75">
        <v>1.0</v>
      </c>
      <c r="N178" s="75">
        <v>0.0</v>
      </c>
      <c r="O178" s="75">
        <v>1.0</v>
      </c>
      <c r="P178" s="75">
        <v>0.0</v>
      </c>
      <c r="Q178" s="76" t="s">
        <v>22</v>
      </c>
      <c r="R178" s="71">
        <v>0.0</v>
      </c>
      <c r="S178" s="71">
        <v>9.5</v>
      </c>
      <c r="T178" s="70"/>
      <c r="U178" s="71">
        <v>0.0</v>
      </c>
      <c r="V178" s="71">
        <v>19.0</v>
      </c>
      <c r="W178" s="67"/>
      <c r="X178" s="67"/>
      <c r="Y178" s="67"/>
      <c r="Z178" s="67"/>
      <c r="AA178" s="67"/>
      <c r="AB178" s="67"/>
      <c r="AC178" s="67"/>
    </row>
    <row r="179">
      <c r="A179" s="74">
        <v>45928.0</v>
      </c>
      <c r="B179" s="70" t="s">
        <v>1868</v>
      </c>
      <c r="C179" s="70" t="s">
        <v>1468</v>
      </c>
      <c r="D179" s="71">
        <v>0.0</v>
      </c>
      <c r="E179" s="71">
        <v>0.0</v>
      </c>
      <c r="F179" s="71">
        <v>3.0</v>
      </c>
      <c r="G179" s="68"/>
      <c r="H179" s="71">
        <v>2.87</v>
      </c>
      <c r="I179" s="72">
        <v>0.9566666666666667</v>
      </c>
      <c r="J179" s="70" t="s">
        <v>1462</v>
      </c>
      <c r="K179" s="67"/>
      <c r="L179" s="70" t="s">
        <v>1869</v>
      </c>
      <c r="M179" s="75">
        <v>1.0</v>
      </c>
      <c r="N179" s="75">
        <v>0.0</v>
      </c>
      <c r="O179" s="75">
        <v>0.0</v>
      </c>
      <c r="P179" s="75">
        <v>1.0</v>
      </c>
      <c r="Q179" s="76" t="s">
        <v>22</v>
      </c>
      <c r="R179" s="71">
        <v>0.13</v>
      </c>
      <c r="S179" s="71">
        <v>0.13</v>
      </c>
      <c r="T179" s="70"/>
      <c r="U179" s="71">
        <v>0.0</v>
      </c>
      <c r="V179" s="71"/>
      <c r="W179" s="67"/>
      <c r="X179" s="67"/>
      <c r="Y179" s="67"/>
      <c r="Z179" s="67"/>
      <c r="AA179" s="67"/>
      <c r="AB179" s="67"/>
      <c r="AC179" s="67"/>
    </row>
    <row r="180">
      <c r="A180" s="74">
        <v>45929.0</v>
      </c>
      <c r="B180" s="70" t="s">
        <v>1870</v>
      </c>
      <c r="C180" s="70" t="s">
        <v>1684</v>
      </c>
      <c r="D180" s="71">
        <v>7.57</v>
      </c>
      <c r="E180" s="71">
        <v>0.0</v>
      </c>
      <c r="F180" s="68"/>
      <c r="G180" s="68"/>
      <c r="H180" s="71"/>
      <c r="I180" s="72"/>
      <c r="J180" s="70" t="s">
        <v>1450</v>
      </c>
      <c r="K180" s="67"/>
      <c r="L180" s="70" t="s">
        <v>1871</v>
      </c>
      <c r="M180" s="75">
        <v>1.0</v>
      </c>
      <c r="N180" s="75">
        <v>0.0</v>
      </c>
      <c r="O180" s="75">
        <v>0.0</v>
      </c>
      <c r="P180" s="75">
        <v>1.0</v>
      </c>
      <c r="Q180" s="70" t="s">
        <v>22</v>
      </c>
      <c r="R180" s="71">
        <v>0.0</v>
      </c>
      <c r="S180" s="71">
        <v>7.57</v>
      </c>
      <c r="T180" s="67"/>
      <c r="U180" s="71">
        <v>0.0</v>
      </c>
      <c r="V180" s="71"/>
      <c r="W180" s="67"/>
      <c r="X180" s="67"/>
      <c r="Y180" s="67"/>
      <c r="Z180" s="67"/>
      <c r="AA180" s="67"/>
      <c r="AB180" s="67"/>
      <c r="AC180" s="67"/>
    </row>
    <row r="181">
      <c r="A181" s="74">
        <v>45929.0</v>
      </c>
      <c r="B181" s="70" t="s">
        <v>1872</v>
      </c>
      <c r="C181" s="70" t="s">
        <v>1684</v>
      </c>
      <c r="D181" s="71">
        <v>7.57</v>
      </c>
      <c r="E181" s="71">
        <v>0.0</v>
      </c>
      <c r="F181" s="68"/>
      <c r="G181" s="68"/>
      <c r="H181" s="68"/>
      <c r="I181" s="69"/>
      <c r="J181" s="70" t="s">
        <v>1450</v>
      </c>
      <c r="K181" s="67"/>
      <c r="L181" s="70" t="s">
        <v>1873</v>
      </c>
      <c r="M181" s="75">
        <v>1.0</v>
      </c>
      <c r="N181" s="75">
        <v>0.0</v>
      </c>
      <c r="O181" s="75">
        <v>0.0</v>
      </c>
      <c r="P181" s="75">
        <v>1.0</v>
      </c>
      <c r="Q181" s="70" t="s">
        <v>22</v>
      </c>
      <c r="R181" s="71">
        <v>0.0</v>
      </c>
      <c r="S181" s="71">
        <v>7.57</v>
      </c>
      <c r="T181" s="67"/>
      <c r="U181" s="71">
        <v>0.0</v>
      </c>
      <c r="V181" s="68"/>
      <c r="W181" s="67"/>
      <c r="X181" s="67"/>
      <c r="Y181" s="67"/>
      <c r="Z181" s="67"/>
      <c r="AA181" s="67"/>
      <c r="AB181" s="67"/>
      <c r="AC181" s="67"/>
    </row>
    <row r="182">
      <c r="A182" s="74">
        <v>45929.0</v>
      </c>
      <c r="B182" s="70" t="s">
        <v>1874</v>
      </c>
      <c r="C182" s="70" t="s">
        <v>1684</v>
      </c>
      <c r="D182" s="71">
        <v>7.57</v>
      </c>
      <c r="E182" s="71">
        <v>0.0</v>
      </c>
      <c r="F182" s="68"/>
      <c r="G182" s="68"/>
      <c r="H182" s="68"/>
      <c r="I182" s="69"/>
      <c r="J182" s="70" t="s">
        <v>1450</v>
      </c>
      <c r="K182" s="67"/>
      <c r="L182" s="70" t="s">
        <v>1875</v>
      </c>
      <c r="M182" s="75">
        <v>1.0</v>
      </c>
      <c r="N182" s="75">
        <v>0.0</v>
      </c>
      <c r="O182" s="75">
        <v>0.0</v>
      </c>
      <c r="P182" s="75">
        <v>1.0</v>
      </c>
      <c r="Q182" s="70" t="s">
        <v>22</v>
      </c>
      <c r="R182" s="71">
        <v>0.0</v>
      </c>
      <c r="S182" s="71">
        <v>7.57</v>
      </c>
      <c r="T182" s="67"/>
      <c r="U182" s="71">
        <v>0.0</v>
      </c>
      <c r="V182" s="71"/>
      <c r="W182" s="67"/>
      <c r="X182" s="67"/>
      <c r="Y182" s="67"/>
      <c r="Z182" s="67"/>
      <c r="AA182" s="67"/>
      <c r="AB182" s="67"/>
      <c r="AC182" s="67"/>
    </row>
    <row r="183">
      <c r="A183" s="74">
        <v>45929.0</v>
      </c>
      <c r="B183" s="70" t="s">
        <v>1876</v>
      </c>
      <c r="C183" s="70" t="s">
        <v>1684</v>
      </c>
      <c r="D183" s="71">
        <v>7.57</v>
      </c>
      <c r="E183" s="71">
        <v>0.0</v>
      </c>
      <c r="F183" s="68"/>
      <c r="G183" s="68"/>
      <c r="H183" s="71"/>
      <c r="I183" s="72"/>
      <c r="J183" s="70" t="s">
        <v>1450</v>
      </c>
      <c r="K183" s="67"/>
      <c r="L183" s="67" t="s">
        <v>1877</v>
      </c>
      <c r="M183" s="75">
        <v>1.0</v>
      </c>
      <c r="N183" s="75">
        <v>0.0</v>
      </c>
      <c r="O183" s="75">
        <v>0.0</v>
      </c>
      <c r="P183" s="75">
        <v>1.0</v>
      </c>
      <c r="Q183" s="76" t="s">
        <v>22</v>
      </c>
      <c r="R183" s="71">
        <v>0.0</v>
      </c>
      <c r="S183" s="71">
        <v>7.57</v>
      </c>
      <c r="T183" s="70"/>
      <c r="U183" s="71">
        <v>0.0</v>
      </c>
      <c r="V183" s="71"/>
      <c r="W183" s="67"/>
      <c r="X183" s="67"/>
      <c r="Y183" s="67"/>
      <c r="Z183" s="67"/>
      <c r="AA183" s="67"/>
      <c r="AB183" s="67"/>
      <c r="AC183" s="67"/>
    </row>
    <row r="184">
      <c r="A184" s="74">
        <v>45929.0</v>
      </c>
      <c r="B184" s="70" t="s">
        <v>1878</v>
      </c>
      <c r="C184" s="70" t="s">
        <v>1684</v>
      </c>
      <c r="D184" s="71">
        <v>7.57</v>
      </c>
      <c r="E184" s="71">
        <v>0.0</v>
      </c>
      <c r="F184" s="68"/>
      <c r="G184" s="68"/>
      <c r="H184" s="68"/>
      <c r="I184" s="69"/>
      <c r="J184" s="70" t="s">
        <v>1450</v>
      </c>
      <c r="K184" s="67"/>
      <c r="L184" s="70" t="s">
        <v>1879</v>
      </c>
      <c r="M184" s="75">
        <v>1.0</v>
      </c>
      <c r="N184" s="75">
        <v>0.0</v>
      </c>
      <c r="O184" s="75">
        <v>0.0</v>
      </c>
      <c r="P184" s="75">
        <v>1.0</v>
      </c>
      <c r="Q184" s="70" t="s">
        <v>22</v>
      </c>
      <c r="R184" s="71">
        <v>0.0</v>
      </c>
      <c r="S184" s="71">
        <v>7.57</v>
      </c>
      <c r="T184" s="67"/>
      <c r="U184" s="71">
        <v>0.0</v>
      </c>
      <c r="V184" s="71"/>
      <c r="W184" s="67"/>
      <c r="X184" s="67"/>
      <c r="Y184" s="67"/>
      <c r="Z184" s="67"/>
      <c r="AA184" s="67"/>
      <c r="AB184" s="67"/>
      <c r="AC184" s="67"/>
    </row>
    <row r="185">
      <c r="A185" s="74">
        <v>45929.0</v>
      </c>
      <c r="B185" s="70" t="s">
        <v>1880</v>
      </c>
      <c r="C185" s="70" t="s">
        <v>1684</v>
      </c>
      <c r="D185" s="71">
        <v>7.57</v>
      </c>
      <c r="E185" s="71">
        <v>0.0</v>
      </c>
      <c r="F185" s="68"/>
      <c r="G185" s="68"/>
      <c r="H185" s="68"/>
      <c r="I185" s="69"/>
      <c r="J185" s="70" t="s">
        <v>1450</v>
      </c>
      <c r="K185" s="67"/>
      <c r="L185" s="70" t="s">
        <v>1881</v>
      </c>
      <c r="M185" s="75">
        <v>1.0</v>
      </c>
      <c r="N185" s="75">
        <v>0.0</v>
      </c>
      <c r="O185" s="75">
        <v>0.0</v>
      </c>
      <c r="P185" s="75">
        <v>1.0</v>
      </c>
      <c r="Q185" s="70" t="s">
        <v>22</v>
      </c>
      <c r="R185" s="71">
        <v>0.0</v>
      </c>
      <c r="S185" s="71">
        <v>7.57</v>
      </c>
      <c r="T185" s="67"/>
      <c r="U185" s="71">
        <v>0.0</v>
      </c>
      <c r="V185" s="71"/>
      <c r="W185" s="67"/>
      <c r="X185" s="67"/>
      <c r="Y185" s="67"/>
      <c r="Z185" s="67"/>
      <c r="AA185" s="67"/>
      <c r="AB185" s="67"/>
      <c r="AC185" s="67"/>
    </row>
    <row r="186">
      <c r="A186" s="74">
        <v>45929.0</v>
      </c>
      <c r="B186" s="70" t="s">
        <v>1882</v>
      </c>
      <c r="C186" s="70" t="s">
        <v>1883</v>
      </c>
      <c r="D186" s="71">
        <v>5.75</v>
      </c>
      <c r="E186" s="71">
        <v>0.0</v>
      </c>
      <c r="F186" s="68"/>
      <c r="G186" s="68"/>
      <c r="H186" s="68"/>
      <c r="I186" s="69"/>
      <c r="J186" s="70" t="s">
        <v>1450</v>
      </c>
      <c r="K186" s="67"/>
      <c r="L186" s="70" t="s">
        <v>1884</v>
      </c>
      <c r="M186" s="75">
        <v>1.0</v>
      </c>
      <c r="N186" s="75">
        <v>0.0</v>
      </c>
      <c r="O186" s="75">
        <v>0.0</v>
      </c>
      <c r="P186" s="75">
        <v>1.0</v>
      </c>
      <c r="Q186" s="70" t="s">
        <v>22</v>
      </c>
      <c r="R186" s="71">
        <v>0.0</v>
      </c>
      <c r="S186" s="71">
        <v>5.75</v>
      </c>
      <c r="T186" s="67"/>
      <c r="U186" s="71">
        <v>0.0</v>
      </c>
      <c r="V186" s="71"/>
      <c r="W186" s="67"/>
      <c r="X186" s="67"/>
      <c r="Y186" s="67"/>
      <c r="Z186" s="67"/>
      <c r="AA186" s="67"/>
      <c r="AB186" s="67"/>
      <c r="AC186" s="67"/>
    </row>
    <row r="187">
      <c r="A187" s="74">
        <v>45929.0</v>
      </c>
      <c r="B187" s="70" t="s">
        <v>1885</v>
      </c>
      <c r="C187" s="70" t="s">
        <v>1883</v>
      </c>
      <c r="D187" s="71">
        <v>5.75</v>
      </c>
      <c r="E187" s="71">
        <v>0.0</v>
      </c>
      <c r="F187" s="68"/>
      <c r="G187" s="68"/>
      <c r="H187" s="71"/>
      <c r="I187" s="72"/>
      <c r="J187" s="70" t="s">
        <v>1450</v>
      </c>
      <c r="K187" s="67"/>
      <c r="L187" s="70" t="s">
        <v>1886</v>
      </c>
      <c r="M187" s="75">
        <v>1.0</v>
      </c>
      <c r="N187" s="75">
        <v>0.0</v>
      </c>
      <c r="O187" s="75">
        <v>0.0</v>
      </c>
      <c r="P187" s="75">
        <v>1.0</v>
      </c>
      <c r="Q187" s="76" t="s">
        <v>22</v>
      </c>
      <c r="R187" s="71">
        <v>0.0</v>
      </c>
      <c r="S187" s="71">
        <v>5.75</v>
      </c>
      <c r="T187" s="67"/>
      <c r="U187" s="71">
        <v>0.0</v>
      </c>
      <c r="V187" s="71"/>
      <c r="W187" s="67"/>
      <c r="X187" s="67"/>
      <c r="Y187" s="67"/>
      <c r="Z187" s="67"/>
      <c r="AA187" s="67"/>
      <c r="AB187" s="67"/>
      <c r="AC187" s="67"/>
    </row>
    <row r="188">
      <c r="A188" s="74">
        <v>45929.0</v>
      </c>
      <c r="B188" s="70" t="s">
        <v>1887</v>
      </c>
      <c r="C188" s="70" t="s">
        <v>1883</v>
      </c>
      <c r="D188" s="71">
        <v>5.75</v>
      </c>
      <c r="E188" s="71">
        <v>0.0</v>
      </c>
      <c r="F188" s="71">
        <v>6.0</v>
      </c>
      <c r="G188" s="68"/>
      <c r="H188" s="71">
        <v>0.25</v>
      </c>
      <c r="I188" s="72">
        <v>0.041666666666666664</v>
      </c>
      <c r="J188" s="70" t="s">
        <v>1692</v>
      </c>
      <c r="K188" s="67"/>
      <c r="L188" s="67" t="s">
        <v>1888</v>
      </c>
      <c r="M188" s="75">
        <v>1.0</v>
      </c>
      <c r="N188" s="75">
        <v>0.0</v>
      </c>
      <c r="O188" s="75">
        <v>1.0</v>
      </c>
      <c r="P188" s="75">
        <v>0.0</v>
      </c>
      <c r="Q188" s="76" t="s">
        <v>22</v>
      </c>
      <c r="R188" s="71">
        <v>0.0</v>
      </c>
      <c r="S188" s="71">
        <v>5.75</v>
      </c>
      <c r="T188" s="67"/>
      <c r="U188" s="71">
        <v>0.0</v>
      </c>
      <c r="V188" s="71"/>
      <c r="W188" s="67"/>
      <c r="X188" s="67"/>
      <c r="Y188" s="67"/>
      <c r="Z188" s="67"/>
      <c r="AA188" s="67"/>
      <c r="AB188" s="67"/>
      <c r="AC188" s="67"/>
    </row>
    <row r="189">
      <c r="A189" s="74">
        <v>45929.0</v>
      </c>
      <c r="B189" s="70" t="s">
        <v>1889</v>
      </c>
      <c r="C189" s="70" t="s">
        <v>1883</v>
      </c>
      <c r="D189" s="71">
        <v>5.75</v>
      </c>
      <c r="E189" s="71">
        <v>0.0</v>
      </c>
      <c r="F189" s="68"/>
      <c r="G189" s="68"/>
      <c r="H189" s="68"/>
      <c r="I189" s="69"/>
      <c r="J189" s="70" t="s">
        <v>1450</v>
      </c>
      <c r="K189" s="67"/>
      <c r="L189" s="70" t="s">
        <v>1890</v>
      </c>
      <c r="M189" s="75">
        <v>1.0</v>
      </c>
      <c r="N189" s="75">
        <v>0.0</v>
      </c>
      <c r="O189" s="75">
        <v>0.0</v>
      </c>
      <c r="P189" s="75">
        <v>1.0</v>
      </c>
      <c r="Q189" s="70" t="s">
        <v>22</v>
      </c>
      <c r="R189" s="71">
        <v>0.0</v>
      </c>
      <c r="S189" s="71">
        <v>5.75</v>
      </c>
      <c r="T189" s="67"/>
      <c r="U189" s="71">
        <v>0.0</v>
      </c>
      <c r="V189" s="71"/>
      <c r="W189" s="67"/>
      <c r="X189" s="67"/>
      <c r="Y189" s="67"/>
      <c r="Z189" s="67"/>
      <c r="AA189" s="67"/>
      <c r="AB189" s="67"/>
      <c r="AC189" s="67"/>
    </row>
    <row r="190">
      <c r="A190" s="74">
        <v>45929.0</v>
      </c>
      <c r="B190" s="70" t="s">
        <v>1891</v>
      </c>
      <c r="C190" s="70" t="s">
        <v>1883</v>
      </c>
      <c r="D190" s="71">
        <v>5.75</v>
      </c>
      <c r="E190" s="71">
        <v>0.0</v>
      </c>
      <c r="F190" s="71">
        <v>16.0</v>
      </c>
      <c r="G190" s="68"/>
      <c r="H190" s="71">
        <v>10.25</v>
      </c>
      <c r="I190" s="72">
        <v>0.640625</v>
      </c>
      <c r="J190" s="70" t="s">
        <v>1450</v>
      </c>
      <c r="K190" s="67"/>
      <c r="L190" s="67" t="s">
        <v>1892</v>
      </c>
      <c r="M190" s="75">
        <v>1.0</v>
      </c>
      <c r="N190" s="75">
        <v>0.0</v>
      </c>
      <c r="O190" s="75">
        <v>0.0</v>
      </c>
      <c r="P190" s="75">
        <v>1.0</v>
      </c>
      <c r="Q190" s="76" t="s">
        <v>22</v>
      </c>
      <c r="R190" s="71">
        <v>0.0</v>
      </c>
      <c r="S190" s="71">
        <v>5.75</v>
      </c>
      <c r="T190" s="70"/>
      <c r="U190" s="71">
        <v>0.0</v>
      </c>
      <c r="V190" s="71"/>
      <c r="W190" s="67"/>
      <c r="X190" s="67"/>
      <c r="Y190" s="67"/>
      <c r="Z190" s="67"/>
      <c r="AA190" s="67"/>
      <c r="AB190" s="67"/>
      <c r="AC190" s="67"/>
    </row>
    <row r="191">
      <c r="A191" s="74">
        <v>45929.0</v>
      </c>
      <c r="B191" s="70" t="s">
        <v>1893</v>
      </c>
      <c r="C191" s="70" t="s">
        <v>1883</v>
      </c>
      <c r="D191" s="71">
        <v>5.75</v>
      </c>
      <c r="E191" s="71">
        <v>0.0</v>
      </c>
      <c r="F191" s="68"/>
      <c r="G191" s="68"/>
      <c r="H191" s="68"/>
      <c r="I191" s="69"/>
      <c r="J191" s="70" t="s">
        <v>1450</v>
      </c>
      <c r="K191" s="67"/>
      <c r="L191" s="70" t="s">
        <v>1894</v>
      </c>
      <c r="M191" s="75">
        <v>1.0</v>
      </c>
      <c r="N191" s="75">
        <v>0.0</v>
      </c>
      <c r="O191" s="75">
        <v>0.0</v>
      </c>
      <c r="P191" s="75">
        <v>1.0</v>
      </c>
      <c r="Q191" s="70" t="s">
        <v>22</v>
      </c>
      <c r="R191" s="71">
        <v>0.0</v>
      </c>
      <c r="S191" s="71">
        <v>5.75</v>
      </c>
      <c r="T191" s="67"/>
      <c r="U191" s="71">
        <v>0.0</v>
      </c>
      <c r="V191" s="71"/>
      <c r="W191" s="67"/>
      <c r="X191" s="67"/>
      <c r="Y191" s="67"/>
      <c r="Z191" s="67"/>
      <c r="AA191" s="67"/>
      <c r="AB191" s="67"/>
      <c r="AC191" s="67"/>
    </row>
    <row r="192">
      <c r="A192" s="74">
        <v>45929.0</v>
      </c>
      <c r="B192" s="70" t="s">
        <v>1895</v>
      </c>
      <c r="C192" s="70" t="s">
        <v>1675</v>
      </c>
      <c r="D192" s="71">
        <v>14.29</v>
      </c>
      <c r="E192" s="71">
        <v>0.0</v>
      </c>
      <c r="F192" s="71">
        <v>22.0</v>
      </c>
      <c r="G192" s="68"/>
      <c r="H192" s="71">
        <v>7.71</v>
      </c>
      <c r="I192" s="72">
        <v>0.35045454545454546</v>
      </c>
      <c r="J192" s="70" t="s">
        <v>1462</v>
      </c>
      <c r="K192" s="67"/>
      <c r="L192" s="67" t="s">
        <v>1896</v>
      </c>
      <c r="M192" s="75">
        <v>1.0</v>
      </c>
      <c r="N192" s="75">
        <v>0.0</v>
      </c>
      <c r="O192" s="75">
        <v>0.0</v>
      </c>
      <c r="P192" s="75">
        <v>1.0</v>
      </c>
      <c r="Q192" s="76" t="s">
        <v>22</v>
      </c>
      <c r="R192" s="71">
        <v>0.0</v>
      </c>
      <c r="S192" s="71">
        <v>14.29</v>
      </c>
      <c r="T192" s="70"/>
      <c r="U192" s="71">
        <v>0.0</v>
      </c>
      <c r="V192" s="71"/>
      <c r="W192" s="67"/>
      <c r="X192" s="67"/>
      <c r="Y192" s="67"/>
      <c r="Z192" s="67"/>
      <c r="AA192" s="67"/>
      <c r="AB192" s="67"/>
      <c r="AC192" s="67"/>
    </row>
    <row r="193">
      <c r="A193" s="74">
        <v>45929.0</v>
      </c>
      <c r="B193" s="70" t="s">
        <v>1897</v>
      </c>
      <c r="C193" s="70" t="s">
        <v>1675</v>
      </c>
      <c r="D193" s="71">
        <v>14.29</v>
      </c>
      <c r="E193" s="71">
        <v>0.0</v>
      </c>
      <c r="F193" s="68"/>
      <c r="G193" s="68"/>
      <c r="H193" s="71">
        <v>-14.29</v>
      </c>
      <c r="I193" s="72">
        <v>-1.0</v>
      </c>
      <c r="J193" s="70" t="s">
        <v>1595</v>
      </c>
      <c r="K193" s="67"/>
      <c r="L193" s="70" t="s">
        <v>1898</v>
      </c>
      <c r="M193" s="75">
        <v>1.0</v>
      </c>
      <c r="N193" s="75">
        <v>0.0</v>
      </c>
      <c r="O193" s="75">
        <v>1.0</v>
      </c>
      <c r="P193" s="75">
        <v>0.0</v>
      </c>
      <c r="Q193" s="76" t="s">
        <v>22</v>
      </c>
      <c r="R193" s="71">
        <v>0.0</v>
      </c>
      <c r="S193" s="71">
        <v>14.29</v>
      </c>
      <c r="T193" s="70"/>
      <c r="U193" s="71">
        <v>0.0</v>
      </c>
      <c r="V193" s="71"/>
      <c r="W193" s="67"/>
      <c r="X193" s="67"/>
      <c r="Y193" s="67"/>
      <c r="Z193" s="67"/>
      <c r="AA193" s="67"/>
      <c r="AB193" s="67"/>
      <c r="AC193" s="67"/>
    </row>
    <row r="194">
      <c r="A194" s="74">
        <v>45929.0</v>
      </c>
      <c r="B194" s="70" t="s">
        <v>1899</v>
      </c>
      <c r="C194" s="70" t="s">
        <v>1675</v>
      </c>
      <c r="D194" s="71">
        <v>14.29</v>
      </c>
      <c r="E194" s="71">
        <v>0.0</v>
      </c>
      <c r="F194" s="68"/>
      <c r="G194" s="68"/>
      <c r="H194" s="71">
        <v>-14.29</v>
      </c>
      <c r="I194" s="72">
        <v>-1.0</v>
      </c>
      <c r="J194" s="70" t="s">
        <v>1595</v>
      </c>
      <c r="K194" s="67"/>
      <c r="L194" s="70" t="s">
        <v>1900</v>
      </c>
      <c r="M194" s="75">
        <v>1.0</v>
      </c>
      <c r="N194" s="75">
        <v>0.0</v>
      </c>
      <c r="O194" s="75">
        <v>1.0</v>
      </c>
      <c r="P194" s="75">
        <v>0.0</v>
      </c>
      <c r="Q194" s="70" t="s">
        <v>22</v>
      </c>
      <c r="R194" s="71">
        <v>0.0</v>
      </c>
      <c r="S194" s="71">
        <v>14.29</v>
      </c>
      <c r="T194" s="67"/>
      <c r="U194" s="71">
        <v>0.0</v>
      </c>
      <c r="V194" s="71"/>
      <c r="W194" s="67"/>
      <c r="X194" s="67"/>
      <c r="Y194" s="67"/>
      <c r="Z194" s="67"/>
      <c r="AA194" s="67"/>
      <c r="AB194" s="67"/>
      <c r="AC194" s="67"/>
    </row>
    <row r="195">
      <c r="A195" s="74">
        <v>45929.0</v>
      </c>
      <c r="B195" s="70" t="s">
        <v>1901</v>
      </c>
      <c r="C195" s="70" t="s">
        <v>1675</v>
      </c>
      <c r="D195" s="71">
        <v>14.29</v>
      </c>
      <c r="E195" s="71">
        <v>0.0</v>
      </c>
      <c r="F195" s="68"/>
      <c r="G195" s="68"/>
      <c r="H195" s="71">
        <v>-14.29</v>
      </c>
      <c r="I195" s="72">
        <v>-1.0</v>
      </c>
      <c r="J195" s="70" t="s">
        <v>1595</v>
      </c>
      <c r="K195" s="67"/>
      <c r="L195" s="70" t="s">
        <v>1902</v>
      </c>
      <c r="M195" s="75">
        <v>1.0</v>
      </c>
      <c r="N195" s="75">
        <v>0.0</v>
      </c>
      <c r="O195" s="75">
        <v>1.0</v>
      </c>
      <c r="P195" s="75">
        <v>0.0</v>
      </c>
      <c r="Q195" s="76" t="s">
        <v>22</v>
      </c>
      <c r="R195" s="71">
        <v>0.0</v>
      </c>
      <c r="S195" s="71">
        <v>14.29</v>
      </c>
      <c r="T195" s="67"/>
      <c r="U195" s="71">
        <v>0.0</v>
      </c>
      <c r="V195" s="71"/>
      <c r="W195" s="67"/>
      <c r="X195" s="67"/>
      <c r="Y195" s="67"/>
      <c r="Z195" s="67"/>
      <c r="AA195" s="67"/>
      <c r="AB195" s="67"/>
      <c r="AC195" s="67"/>
    </row>
    <row r="196">
      <c r="A196" s="74">
        <v>45929.0</v>
      </c>
      <c r="B196" s="70" t="s">
        <v>1903</v>
      </c>
      <c r="C196" s="70" t="s">
        <v>1904</v>
      </c>
      <c r="D196" s="71">
        <v>19.49</v>
      </c>
      <c r="E196" s="71">
        <v>0.0</v>
      </c>
      <c r="F196" s="68"/>
      <c r="G196" s="68"/>
      <c r="H196" s="71">
        <v>-19.49</v>
      </c>
      <c r="I196" s="72">
        <v>-1.0</v>
      </c>
      <c r="J196" s="70" t="s">
        <v>1595</v>
      </c>
      <c r="K196" s="67"/>
      <c r="L196" s="70" t="s">
        <v>1905</v>
      </c>
      <c r="M196" s="75">
        <v>1.0</v>
      </c>
      <c r="N196" s="75">
        <v>0.0</v>
      </c>
      <c r="O196" s="75">
        <v>1.0</v>
      </c>
      <c r="P196" s="75">
        <v>0.0</v>
      </c>
      <c r="Q196" s="76" t="s">
        <v>22</v>
      </c>
      <c r="R196" s="71">
        <v>0.0</v>
      </c>
      <c r="S196" s="71">
        <v>19.49</v>
      </c>
      <c r="T196" s="70"/>
      <c r="U196" s="71">
        <v>0.0</v>
      </c>
      <c r="V196" s="71"/>
      <c r="W196" s="67"/>
      <c r="X196" s="67"/>
      <c r="Y196" s="67"/>
      <c r="Z196" s="67"/>
      <c r="AA196" s="67"/>
      <c r="AB196" s="67"/>
      <c r="AC196" s="67"/>
    </row>
    <row r="197">
      <c r="A197" s="74">
        <v>45929.0</v>
      </c>
      <c r="B197" s="70" t="s">
        <v>1906</v>
      </c>
      <c r="C197" s="70" t="s">
        <v>1904</v>
      </c>
      <c r="D197" s="71">
        <v>19.49</v>
      </c>
      <c r="E197" s="71">
        <v>0.0</v>
      </c>
      <c r="F197" s="71">
        <v>28.0</v>
      </c>
      <c r="G197" s="68"/>
      <c r="H197" s="71">
        <v>8.51</v>
      </c>
      <c r="I197" s="72">
        <v>0.30392857142857144</v>
      </c>
      <c r="J197" s="70" t="s">
        <v>1462</v>
      </c>
      <c r="K197" s="67"/>
      <c r="L197" s="70" t="s">
        <v>1907</v>
      </c>
      <c r="M197" s="75">
        <v>1.0</v>
      </c>
      <c r="N197" s="75">
        <v>0.0</v>
      </c>
      <c r="O197" s="75">
        <v>0.0</v>
      </c>
      <c r="P197" s="75">
        <v>1.0</v>
      </c>
      <c r="Q197" s="70" t="s">
        <v>22</v>
      </c>
      <c r="R197" s="71">
        <v>0.0</v>
      </c>
      <c r="S197" s="71">
        <v>19.49</v>
      </c>
      <c r="T197" s="67"/>
      <c r="U197" s="71">
        <v>0.0</v>
      </c>
      <c r="V197" s="71"/>
      <c r="W197" s="67"/>
      <c r="X197" s="67"/>
      <c r="Y197" s="67"/>
      <c r="Z197" s="67"/>
      <c r="AA197" s="67"/>
      <c r="AB197" s="67"/>
      <c r="AC197" s="67"/>
    </row>
    <row r="198">
      <c r="A198" s="74">
        <v>45934.0</v>
      </c>
      <c r="B198" s="70" t="s">
        <v>1908</v>
      </c>
      <c r="C198" s="70" t="s">
        <v>1779</v>
      </c>
      <c r="D198" s="71">
        <v>4.19</v>
      </c>
      <c r="E198" s="71">
        <v>15.0</v>
      </c>
      <c r="F198" s="68"/>
      <c r="G198" s="71">
        <v>20.0</v>
      </c>
      <c r="H198" s="71">
        <v>15.68</v>
      </c>
      <c r="I198" s="72">
        <v>0.784</v>
      </c>
      <c r="J198" s="70" t="s">
        <v>1626</v>
      </c>
      <c r="K198" s="67"/>
      <c r="L198" s="70" t="s">
        <v>1909</v>
      </c>
      <c r="M198" s="75">
        <v>1.0</v>
      </c>
      <c r="N198" s="75">
        <v>1.0</v>
      </c>
      <c r="O198" s="75">
        <v>0.0</v>
      </c>
      <c r="P198" s="75">
        <v>0.0</v>
      </c>
      <c r="Q198" s="70" t="s">
        <v>22</v>
      </c>
      <c r="R198" s="71">
        <v>0.13</v>
      </c>
      <c r="S198" s="71">
        <v>4.32</v>
      </c>
      <c r="T198" s="70"/>
      <c r="U198" s="71">
        <v>0.0</v>
      </c>
      <c r="V198" s="71">
        <v>15.0</v>
      </c>
      <c r="W198" s="67"/>
      <c r="X198" s="67"/>
      <c r="Y198" s="67"/>
      <c r="Z198" s="67"/>
      <c r="AA198" s="67"/>
      <c r="AB198" s="67"/>
      <c r="AC198" s="67"/>
    </row>
    <row r="199">
      <c r="A199" s="74">
        <v>45934.0</v>
      </c>
      <c r="B199" s="70" t="s">
        <v>1910</v>
      </c>
      <c r="C199" s="70" t="s">
        <v>1911</v>
      </c>
      <c r="D199" s="71">
        <v>0.0</v>
      </c>
      <c r="E199" s="71">
        <v>0.0</v>
      </c>
      <c r="F199" s="68"/>
      <c r="G199" s="71">
        <v>5.0</v>
      </c>
      <c r="H199" s="71">
        <v>3.94</v>
      </c>
      <c r="I199" s="72">
        <v>0.788</v>
      </c>
      <c r="J199" s="70" t="s">
        <v>1626</v>
      </c>
      <c r="K199" s="67"/>
      <c r="L199" s="70" t="s">
        <v>1912</v>
      </c>
      <c r="M199" s="75">
        <v>1.0</v>
      </c>
      <c r="N199" s="75">
        <v>1.0</v>
      </c>
      <c r="O199" s="75">
        <v>0.0</v>
      </c>
      <c r="P199" s="75">
        <v>0.0</v>
      </c>
      <c r="Q199" s="70" t="s">
        <v>22</v>
      </c>
      <c r="R199" s="71">
        <v>1.06</v>
      </c>
      <c r="S199" s="71">
        <v>1.06</v>
      </c>
      <c r="T199" s="70"/>
      <c r="U199" s="71">
        <v>5.0</v>
      </c>
      <c r="V199" s="71">
        <v>5.0</v>
      </c>
      <c r="W199" s="67"/>
      <c r="X199" s="67"/>
      <c r="Y199" s="67"/>
      <c r="Z199" s="67"/>
      <c r="AA199" s="67"/>
      <c r="AB199" s="67"/>
      <c r="AC199" s="67"/>
    </row>
    <row r="200">
      <c r="A200" s="74">
        <v>45936.0</v>
      </c>
      <c r="B200" s="70" t="s">
        <v>1913</v>
      </c>
      <c r="C200" s="70" t="s">
        <v>1914</v>
      </c>
      <c r="D200" s="71">
        <v>4.06</v>
      </c>
      <c r="E200" s="71">
        <v>0.0</v>
      </c>
      <c r="F200" s="68"/>
      <c r="G200" s="68"/>
      <c r="H200" s="71">
        <v>-4.06</v>
      </c>
      <c r="I200" s="72">
        <v>-1.0</v>
      </c>
      <c r="J200" s="70" t="s">
        <v>1595</v>
      </c>
      <c r="K200" s="67"/>
      <c r="L200" s="70" t="s">
        <v>1915</v>
      </c>
      <c r="M200" s="75">
        <v>1.0</v>
      </c>
      <c r="N200" s="75">
        <v>0.0</v>
      </c>
      <c r="O200" s="75">
        <v>1.0</v>
      </c>
      <c r="P200" s="75">
        <v>0.0</v>
      </c>
      <c r="Q200" s="70" t="s">
        <v>22</v>
      </c>
      <c r="R200" s="71">
        <v>0.0</v>
      </c>
      <c r="S200" s="71">
        <v>4.06</v>
      </c>
      <c r="T200" s="67"/>
      <c r="U200" s="71">
        <v>0.0</v>
      </c>
      <c r="V200" s="68"/>
      <c r="W200" s="67"/>
      <c r="X200" s="67"/>
      <c r="Y200" s="67"/>
      <c r="Z200" s="67"/>
      <c r="AA200" s="67"/>
      <c r="AB200" s="67"/>
      <c r="AC200" s="67"/>
    </row>
    <row r="201">
      <c r="A201" s="74">
        <v>45936.0</v>
      </c>
      <c r="B201" s="70" t="s">
        <v>1916</v>
      </c>
      <c r="C201" s="70" t="s">
        <v>1914</v>
      </c>
      <c r="D201" s="71">
        <v>4.06</v>
      </c>
      <c r="E201" s="71">
        <v>0.0</v>
      </c>
      <c r="F201" s="68"/>
      <c r="G201" s="68"/>
      <c r="H201" s="68"/>
      <c r="I201" s="69"/>
      <c r="J201" s="70" t="s">
        <v>1450</v>
      </c>
      <c r="K201" s="67"/>
      <c r="L201" s="67" t="s">
        <v>1917</v>
      </c>
      <c r="M201" s="75">
        <v>1.0</v>
      </c>
      <c r="N201" s="75">
        <v>0.0</v>
      </c>
      <c r="O201" s="75">
        <v>0.0</v>
      </c>
      <c r="P201" s="75">
        <v>1.0</v>
      </c>
      <c r="Q201" s="76" t="s">
        <v>22</v>
      </c>
      <c r="R201" s="71">
        <v>0.0</v>
      </c>
      <c r="S201" s="71">
        <v>4.06</v>
      </c>
      <c r="T201" s="70"/>
      <c r="U201" s="71">
        <v>0.0</v>
      </c>
      <c r="V201" s="71"/>
      <c r="W201" s="67"/>
      <c r="X201" s="67"/>
      <c r="Y201" s="67"/>
      <c r="Z201" s="67"/>
      <c r="AA201" s="67"/>
      <c r="AB201" s="67"/>
      <c r="AC201" s="67"/>
    </row>
    <row r="202">
      <c r="A202" s="74">
        <v>45951.0</v>
      </c>
      <c r="B202" s="70" t="s">
        <v>1918</v>
      </c>
      <c r="C202" s="70" t="s">
        <v>1497</v>
      </c>
      <c r="D202" s="71">
        <v>7.8</v>
      </c>
      <c r="E202" s="71">
        <v>16.99</v>
      </c>
      <c r="F202" s="68"/>
      <c r="G202" s="71">
        <v>20.0</v>
      </c>
      <c r="H202" s="71">
        <v>10.85</v>
      </c>
      <c r="I202" s="72">
        <v>0.5425</v>
      </c>
      <c r="J202" s="70" t="s">
        <v>1626</v>
      </c>
      <c r="K202" s="67"/>
      <c r="L202" s="70" t="s">
        <v>1919</v>
      </c>
      <c r="M202" s="75">
        <v>1.0</v>
      </c>
      <c r="N202" s="75">
        <v>2.0</v>
      </c>
      <c r="O202" s="75">
        <v>0.0</v>
      </c>
      <c r="P202" s="75">
        <v>0.0</v>
      </c>
      <c r="Q202" s="70" t="s">
        <v>22</v>
      </c>
      <c r="R202" s="71">
        <v>1.35</v>
      </c>
      <c r="S202" s="71">
        <v>9.15</v>
      </c>
      <c r="T202" s="67"/>
      <c r="U202" s="71">
        <v>0.0</v>
      </c>
      <c r="V202" s="71">
        <v>16.99</v>
      </c>
      <c r="W202" s="67"/>
      <c r="X202" s="67"/>
      <c r="Y202" s="67"/>
      <c r="Z202" s="67"/>
      <c r="AA202" s="67"/>
      <c r="AB202" s="67"/>
      <c r="AC202" s="67"/>
    </row>
    <row r="203">
      <c r="A203" s="74">
        <v>45952.0</v>
      </c>
      <c r="B203" s="70" t="s">
        <v>1920</v>
      </c>
      <c r="C203" s="70" t="s">
        <v>1542</v>
      </c>
      <c r="D203" s="71">
        <v>0.0</v>
      </c>
      <c r="E203" s="71">
        <v>0.0</v>
      </c>
      <c r="F203" s="68"/>
      <c r="G203" s="71">
        <v>7.0</v>
      </c>
      <c r="H203" s="71">
        <v>6.5</v>
      </c>
      <c r="I203" s="72">
        <v>0.9285714285714286</v>
      </c>
      <c r="J203" s="70" t="s">
        <v>1626</v>
      </c>
      <c r="K203" s="67"/>
      <c r="L203" s="70" t="s">
        <v>1921</v>
      </c>
      <c r="M203" s="75">
        <v>1.0</v>
      </c>
      <c r="N203" s="75">
        <v>1.0</v>
      </c>
      <c r="O203" s="75">
        <v>0.0</v>
      </c>
      <c r="P203" s="75">
        <v>0.0</v>
      </c>
      <c r="Q203" s="70" t="s">
        <v>22</v>
      </c>
      <c r="R203" s="71">
        <v>0.5</v>
      </c>
      <c r="S203" s="71">
        <v>0.5</v>
      </c>
      <c r="T203" s="70"/>
      <c r="U203" s="71">
        <v>5.0</v>
      </c>
      <c r="V203" s="71">
        <v>5.0</v>
      </c>
      <c r="W203" s="67"/>
      <c r="X203" s="67"/>
      <c r="Y203" s="67"/>
      <c r="Z203" s="67"/>
      <c r="AA203" s="67"/>
      <c r="AB203" s="67"/>
      <c r="AC203" s="67"/>
    </row>
    <row r="204">
      <c r="A204" s="74">
        <v>45957.0</v>
      </c>
      <c r="B204" s="70" t="s">
        <v>1922</v>
      </c>
      <c r="C204" s="70" t="s">
        <v>1465</v>
      </c>
      <c r="D204" s="71">
        <v>7.79</v>
      </c>
      <c r="E204" s="71">
        <v>12.99</v>
      </c>
      <c r="F204" s="68"/>
      <c r="G204" s="71">
        <v>10.0</v>
      </c>
      <c r="H204" s="71">
        <v>1.71</v>
      </c>
      <c r="I204" s="72">
        <v>0.17099999999999999</v>
      </c>
      <c r="J204" s="70" t="s">
        <v>1626</v>
      </c>
      <c r="K204" s="67"/>
      <c r="L204" s="70" t="s">
        <v>1923</v>
      </c>
      <c r="M204" s="75">
        <v>1.0</v>
      </c>
      <c r="N204" s="75">
        <v>1.0</v>
      </c>
      <c r="O204" s="75">
        <v>0.0</v>
      </c>
      <c r="P204" s="75">
        <v>0.0</v>
      </c>
      <c r="Q204" s="70" t="s">
        <v>22</v>
      </c>
      <c r="R204" s="71">
        <v>0.5</v>
      </c>
      <c r="S204" s="71">
        <v>8.29</v>
      </c>
      <c r="T204" s="67"/>
      <c r="U204" s="71">
        <v>5.0</v>
      </c>
      <c r="V204" s="71">
        <v>17.99</v>
      </c>
      <c r="W204" s="67"/>
      <c r="X204" s="67"/>
      <c r="Y204" s="67"/>
      <c r="Z204" s="67"/>
      <c r="AA204" s="67"/>
      <c r="AB204" s="67"/>
      <c r="AC204" s="67"/>
    </row>
    <row r="205">
      <c r="A205" s="74">
        <v>45957.0</v>
      </c>
      <c r="B205" s="70" t="s">
        <v>1924</v>
      </c>
      <c r="C205" s="70" t="s">
        <v>1569</v>
      </c>
      <c r="D205" s="71">
        <v>4.4</v>
      </c>
      <c r="E205" s="71">
        <v>0.0</v>
      </c>
      <c r="F205" s="68"/>
      <c r="G205" s="68"/>
      <c r="H205" s="71">
        <v>-5.4</v>
      </c>
      <c r="I205" s="72">
        <v>-1.0</v>
      </c>
      <c r="J205" s="70" t="s">
        <v>483</v>
      </c>
      <c r="K205" s="67"/>
      <c r="L205" s="70" t="s">
        <v>1925</v>
      </c>
      <c r="M205" s="75">
        <v>1.0</v>
      </c>
      <c r="N205" s="75">
        <v>0.0</v>
      </c>
      <c r="O205" s="75">
        <v>1.0</v>
      </c>
      <c r="P205" s="75">
        <v>0.0</v>
      </c>
      <c r="Q205" s="70" t="s">
        <v>22</v>
      </c>
      <c r="R205" s="71">
        <v>1.0</v>
      </c>
      <c r="S205" s="71">
        <v>5.4</v>
      </c>
      <c r="T205" s="67"/>
      <c r="U205" s="71">
        <v>5.0</v>
      </c>
      <c r="V205" s="71">
        <v>5.0</v>
      </c>
      <c r="W205" s="67"/>
      <c r="X205" s="67"/>
      <c r="Y205" s="67"/>
      <c r="Z205" s="67"/>
      <c r="AA205" s="67"/>
      <c r="AB205" s="67"/>
      <c r="AC205" s="67"/>
    </row>
    <row r="206">
      <c r="A206" s="74">
        <v>45957.0</v>
      </c>
      <c r="B206" s="70" t="s">
        <v>1926</v>
      </c>
      <c r="C206" s="70" t="s">
        <v>1569</v>
      </c>
      <c r="D206" s="71">
        <v>3.3</v>
      </c>
      <c r="E206" s="71">
        <v>0.0</v>
      </c>
      <c r="F206" s="68"/>
      <c r="G206" s="68"/>
      <c r="H206" s="71">
        <v>-3.8</v>
      </c>
      <c r="I206" s="72">
        <v>-1.0</v>
      </c>
      <c r="J206" s="70" t="s">
        <v>483</v>
      </c>
      <c r="K206" s="67"/>
      <c r="L206" s="70" t="s">
        <v>1927</v>
      </c>
      <c r="M206" s="75">
        <v>1.0</v>
      </c>
      <c r="N206" s="75">
        <v>0.0</v>
      </c>
      <c r="O206" s="75">
        <v>1.0</v>
      </c>
      <c r="P206" s="75">
        <v>0.0</v>
      </c>
      <c r="Q206" s="70" t="s">
        <v>22</v>
      </c>
      <c r="R206" s="71">
        <v>0.5</v>
      </c>
      <c r="S206" s="71">
        <v>3.8</v>
      </c>
      <c r="T206" s="67"/>
      <c r="U206" s="71">
        <v>5.0</v>
      </c>
      <c r="V206" s="71">
        <v>5.0</v>
      </c>
      <c r="W206" s="67"/>
      <c r="X206" s="67"/>
      <c r="Y206" s="67"/>
      <c r="Z206" s="67"/>
      <c r="AA206" s="67"/>
      <c r="AB206" s="67"/>
      <c r="AC206" s="67"/>
    </row>
    <row r="207">
      <c r="A207" s="74">
        <v>45957.0</v>
      </c>
      <c r="B207" s="70" t="s">
        <v>1928</v>
      </c>
      <c r="C207" s="70" t="s">
        <v>1665</v>
      </c>
      <c r="D207" s="71">
        <v>6.08</v>
      </c>
      <c r="E207" s="71">
        <v>0.0</v>
      </c>
      <c r="F207" s="68"/>
      <c r="G207" s="71">
        <v>15.0</v>
      </c>
      <c r="H207" s="71">
        <v>4.42</v>
      </c>
      <c r="I207" s="72">
        <v>0.2946666666666667</v>
      </c>
      <c r="J207" s="70" t="s">
        <v>1626</v>
      </c>
      <c r="K207" s="67"/>
      <c r="L207" s="70" t="s">
        <v>1929</v>
      </c>
      <c r="M207" s="75">
        <v>1.0</v>
      </c>
      <c r="N207" s="75">
        <v>1.0</v>
      </c>
      <c r="O207" s="75">
        <v>0.0</v>
      </c>
      <c r="P207" s="75">
        <v>0.0</v>
      </c>
      <c r="Q207" s="70" t="s">
        <v>22</v>
      </c>
      <c r="R207" s="71">
        <v>4.5</v>
      </c>
      <c r="S207" s="71">
        <v>10.58</v>
      </c>
      <c r="T207" s="70"/>
      <c r="U207" s="71">
        <v>0.0</v>
      </c>
      <c r="V207" s="71"/>
      <c r="W207" s="67"/>
      <c r="X207" s="67"/>
      <c r="Y207" s="67"/>
      <c r="Z207" s="67"/>
      <c r="AA207" s="67"/>
      <c r="AB207" s="67"/>
      <c r="AC207" s="67"/>
    </row>
    <row r="208">
      <c r="A208" s="74">
        <v>45957.0</v>
      </c>
      <c r="B208" s="70" t="s">
        <v>1930</v>
      </c>
      <c r="C208" s="70" t="s">
        <v>1747</v>
      </c>
      <c r="D208" s="71">
        <v>2.0</v>
      </c>
      <c r="E208" s="71">
        <v>6.0</v>
      </c>
      <c r="F208" s="68"/>
      <c r="G208" s="68"/>
      <c r="H208" s="71">
        <v>-2.92</v>
      </c>
      <c r="I208" s="72">
        <v>-1.0</v>
      </c>
      <c r="J208" s="70" t="s">
        <v>483</v>
      </c>
      <c r="K208" s="67"/>
      <c r="L208" s="70" t="s">
        <v>1931</v>
      </c>
      <c r="M208" s="75">
        <v>1.0</v>
      </c>
      <c r="N208" s="75">
        <v>0.0</v>
      </c>
      <c r="O208" s="75">
        <v>1.0</v>
      </c>
      <c r="P208" s="75">
        <v>0.0</v>
      </c>
      <c r="Q208" s="70" t="s">
        <v>22</v>
      </c>
      <c r="R208" s="71">
        <v>0.92</v>
      </c>
      <c r="S208" s="71">
        <v>2.92</v>
      </c>
      <c r="T208" s="70"/>
      <c r="U208" s="71">
        <v>0.0</v>
      </c>
      <c r="V208" s="71">
        <v>6.0</v>
      </c>
      <c r="W208" s="67"/>
      <c r="X208" s="67"/>
      <c r="Y208" s="67"/>
      <c r="Z208" s="67"/>
      <c r="AA208" s="67"/>
      <c r="AB208" s="67"/>
      <c r="AC208" s="67"/>
    </row>
    <row r="209">
      <c r="A209" s="74">
        <v>45957.0</v>
      </c>
      <c r="B209" s="70" t="s">
        <v>1932</v>
      </c>
      <c r="C209" s="70" t="s">
        <v>1933</v>
      </c>
      <c r="D209" s="71">
        <v>6.66</v>
      </c>
      <c r="E209" s="71">
        <v>0.0</v>
      </c>
      <c r="F209" s="71">
        <v>12.0</v>
      </c>
      <c r="G209" s="68"/>
      <c r="H209" s="71">
        <v>3.76</v>
      </c>
      <c r="I209" s="72">
        <v>0.3133333333333333</v>
      </c>
      <c r="J209" s="70" t="s">
        <v>1450</v>
      </c>
      <c r="K209" s="67"/>
      <c r="L209" s="67" t="s">
        <v>1934</v>
      </c>
      <c r="M209" s="75">
        <v>1.0</v>
      </c>
      <c r="N209" s="75">
        <v>0.0</v>
      </c>
      <c r="O209" s="75">
        <v>0.0</v>
      </c>
      <c r="P209" s="75">
        <v>1.0</v>
      </c>
      <c r="Q209" s="76" t="s">
        <v>22</v>
      </c>
      <c r="R209" s="71">
        <v>1.58</v>
      </c>
      <c r="S209" s="71">
        <v>8.24</v>
      </c>
      <c r="T209" s="70"/>
      <c r="U209" s="71">
        <v>0.0</v>
      </c>
      <c r="V209" s="71"/>
      <c r="W209" s="67"/>
      <c r="X209" s="67"/>
      <c r="Y209" s="67"/>
      <c r="Z209" s="67"/>
      <c r="AA209" s="67"/>
      <c r="AB209" s="67"/>
      <c r="AC209" s="67"/>
    </row>
    <row r="210">
      <c r="A210" s="74">
        <v>45957.0</v>
      </c>
      <c r="B210" s="70" t="s">
        <v>1935</v>
      </c>
      <c r="C210" s="70" t="s">
        <v>1936</v>
      </c>
      <c r="D210" s="71">
        <v>4.99</v>
      </c>
      <c r="E210" s="71">
        <v>0.0</v>
      </c>
      <c r="F210" s="68"/>
      <c r="G210" s="68"/>
      <c r="H210" s="71">
        <v>-5.28</v>
      </c>
      <c r="I210" s="72">
        <v>-1.0</v>
      </c>
      <c r="J210" s="70" t="s">
        <v>483</v>
      </c>
      <c r="K210" s="67"/>
      <c r="L210" s="70" t="s">
        <v>1937</v>
      </c>
      <c r="M210" s="75">
        <v>1.0</v>
      </c>
      <c r="N210" s="75">
        <v>0.0</v>
      </c>
      <c r="O210" s="75">
        <v>1.0</v>
      </c>
      <c r="P210" s="75">
        <v>0.0</v>
      </c>
      <c r="Q210" s="70" t="s">
        <v>22</v>
      </c>
      <c r="R210" s="71">
        <v>0.29</v>
      </c>
      <c r="S210" s="71">
        <v>5.28</v>
      </c>
      <c r="T210" s="67"/>
      <c r="U210" s="71">
        <v>0.0</v>
      </c>
      <c r="V210" s="71"/>
      <c r="W210" s="67"/>
      <c r="X210" s="67"/>
      <c r="Y210" s="67"/>
      <c r="Z210" s="67"/>
      <c r="AA210" s="67"/>
      <c r="AB210" s="67"/>
      <c r="AC210" s="67"/>
    </row>
    <row r="211">
      <c r="A211" s="74">
        <v>45957.0</v>
      </c>
      <c r="B211" s="70" t="s">
        <v>1938</v>
      </c>
      <c r="C211" s="70" t="s">
        <v>1802</v>
      </c>
      <c r="D211" s="71">
        <v>9.0</v>
      </c>
      <c r="E211" s="71">
        <v>19.99</v>
      </c>
      <c r="F211" s="68"/>
      <c r="G211" s="71">
        <v>10.0</v>
      </c>
      <c r="H211" s="71">
        <v>0.5</v>
      </c>
      <c r="I211" s="72">
        <v>0.05</v>
      </c>
      <c r="J211" s="70" t="s">
        <v>1626</v>
      </c>
      <c r="K211" s="67"/>
      <c r="L211" s="70" t="s">
        <v>1939</v>
      </c>
      <c r="M211" s="75">
        <v>1.0</v>
      </c>
      <c r="N211" s="75">
        <v>1.0</v>
      </c>
      <c r="O211" s="75">
        <v>0.0</v>
      </c>
      <c r="P211" s="75">
        <v>0.0</v>
      </c>
      <c r="Q211" s="70" t="s">
        <v>22</v>
      </c>
      <c r="R211" s="71">
        <v>0.5</v>
      </c>
      <c r="S211" s="71">
        <v>9.5</v>
      </c>
      <c r="T211" s="67"/>
      <c r="U211" s="71">
        <v>5.0</v>
      </c>
      <c r="V211" s="71">
        <v>24.99</v>
      </c>
      <c r="W211" s="67"/>
      <c r="X211" s="67"/>
      <c r="Y211" s="67"/>
      <c r="Z211" s="67"/>
      <c r="AA211" s="67"/>
      <c r="AB211" s="67"/>
      <c r="AC211" s="67"/>
    </row>
    <row r="212">
      <c r="A212" s="74">
        <v>45957.0</v>
      </c>
      <c r="B212" s="70" t="s">
        <v>1940</v>
      </c>
      <c r="C212" s="70" t="s">
        <v>1802</v>
      </c>
      <c r="D212" s="71">
        <v>9.0</v>
      </c>
      <c r="E212" s="71">
        <v>19.99</v>
      </c>
      <c r="F212" s="68"/>
      <c r="G212" s="71">
        <v>10.0</v>
      </c>
      <c r="H212" s="71">
        <v>0.5</v>
      </c>
      <c r="I212" s="72">
        <v>0.05</v>
      </c>
      <c r="J212" s="70" t="s">
        <v>1626</v>
      </c>
      <c r="K212" s="67"/>
      <c r="L212" s="70" t="s">
        <v>1941</v>
      </c>
      <c r="M212" s="75">
        <v>1.0</v>
      </c>
      <c r="N212" s="75">
        <v>1.0</v>
      </c>
      <c r="O212" s="75">
        <v>0.0</v>
      </c>
      <c r="P212" s="75">
        <v>0.0</v>
      </c>
      <c r="Q212" s="70" t="s">
        <v>22</v>
      </c>
      <c r="R212" s="71">
        <v>0.5</v>
      </c>
      <c r="S212" s="71">
        <v>9.5</v>
      </c>
      <c r="T212" s="67"/>
      <c r="U212" s="71">
        <v>5.0</v>
      </c>
      <c r="V212" s="71">
        <v>24.99</v>
      </c>
      <c r="W212" s="67"/>
      <c r="X212" s="67"/>
      <c r="Y212" s="67"/>
      <c r="Z212" s="67"/>
      <c r="AA212" s="67"/>
      <c r="AB212" s="67"/>
      <c r="AC212" s="67"/>
    </row>
    <row r="213">
      <c r="A213" s="74">
        <v>45957.0</v>
      </c>
      <c r="B213" s="70" t="s">
        <v>1942</v>
      </c>
      <c r="C213" s="70" t="s">
        <v>1849</v>
      </c>
      <c r="D213" s="71">
        <v>12.0</v>
      </c>
      <c r="E213" s="71">
        <v>29.99</v>
      </c>
      <c r="F213" s="68"/>
      <c r="G213" s="71">
        <v>10.0</v>
      </c>
      <c r="H213" s="71">
        <v>-3.35</v>
      </c>
      <c r="I213" s="72">
        <v>-0.335</v>
      </c>
      <c r="J213" s="70" t="s">
        <v>1626</v>
      </c>
      <c r="K213" s="67"/>
      <c r="L213" s="70" t="s">
        <v>1943</v>
      </c>
      <c r="M213" s="75">
        <v>1.0</v>
      </c>
      <c r="N213" s="75">
        <v>1.0</v>
      </c>
      <c r="O213" s="75">
        <v>0.0</v>
      </c>
      <c r="P213" s="75">
        <v>0.0</v>
      </c>
      <c r="Q213" s="70" t="s">
        <v>22</v>
      </c>
      <c r="R213" s="71">
        <v>1.35</v>
      </c>
      <c r="S213" s="71">
        <v>13.35</v>
      </c>
      <c r="T213" s="67"/>
      <c r="U213" s="71">
        <v>0.0</v>
      </c>
      <c r="V213" s="71">
        <v>29.99</v>
      </c>
      <c r="W213" s="67"/>
      <c r="X213" s="67"/>
      <c r="Y213" s="67"/>
      <c r="Z213" s="67"/>
      <c r="AA213" s="67"/>
      <c r="AB213" s="67"/>
      <c r="AC213" s="67"/>
    </row>
    <row r="214">
      <c r="A214" s="74">
        <v>45957.0</v>
      </c>
      <c r="B214" s="70" t="s">
        <v>1944</v>
      </c>
      <c r="C214" s="70" t="s">
        <v>1691</v>
      </c>
      <c r="D214" s="71">
        <v>14.4</v>
      </c>
      <c r="E214" s="71">
        <v>29.99</v>
      </c>
      <c r="F214" s="68"/>
      <c r="G214" s="71">
        <v>10.0</v>
      </c>
      <c r="H214" s="71">
        <v>-5.75</v>
      </c>
      <c r="I214" s="72">
        <v>-0.575</v>
      </c>
      <c r="J214" s="70" t="s">
        <v>1626</v>
      </c>
      <c r="K214" s="67"/>
      <c r="L214" s="70" t="s">
        <v>1945</v>
      </c>
      <c r="M214" s="75">
        <v>1.0</v>
      </c>
      <c r="N214" s="75">
        <v>1.0</v>
      </c>
      <c r="O214" s="75">
        <v>0.0</v>
      </c>
      <c r="P214" s="75">
        <v>0.0</v>
      </c>
      <c r="Q214" s="70" t="s">
        <v>22</v>
      </c>
      <c r="R214" s="71">
        <v>1.35</v>
      </c>
      <c r="S214" s="71">
        <v>15.75</v>
      </c>
      <c r="T214" s="67"/>
      <c r="U214" s="71">
        <v>0.0</v>
      </c>
      <c r="V214" s="71">
        <v>29.99</v>
      </c>
      <c r="W214" s="67"/>
      <c r="X214" s="67"/>
      <c r="Y214" s="67"/>
      <c r="Z214" s="67"/>
      <c r="AA214" s="67"/>
      <c r="AB214" s="67"/>
      <c r="AC214" s="67"/>
    </row>
    <row r="215">
      <c r="A215" s="74">
        <v>45957.0</v>
      </c>
      <c r="B215" s="70" t="s">
        <v>1946</v>
      </c>
      <c r="C215" s="70" t="s">
        <v>1691</v>
      </c>
      <c r="D215" s="71">
        <v>14.4</v>
      </c>
      <c r="E215" s="71">
        <v>29.99</v>
      </c>
      <c r="F215" s="68"/>
      <c r="G215" s="71">
        <v>10.0</v>
      </c>
      <c r="H215" s="71">
        <v>-5.34</v>
      </c>
      <c r="I215" s="72">
        <v>-0.534</v>
      </c>
      <c r="J215" s="70" t="s">
        <v>1626</v>
      </c>
      <c r="K215" s="67"/>
      <c r="L215" s="70" t="s">
        <v>1947</v>
      </c>
      <c r="M215" s="75">
        <v>1.0</v>
      </c>
      <c r="N215" s="75">
        <v>1.0</v>
      </c>
      <c r="O215" s="75">
        <v>0.0</v>
      </c>
      <c r="P215" s="75">
        <v>0.0</v>
      </c>
      <c r="Q215" s="70" t="s">
        <v>22</v>
      </c>
      <c r="R215" s="71">
        <v>0.94</v>
      </c>
      <c r="S215" s="71">
        <v>15.34</v>
      </c>
      <c r="T215" s="67"/>
      <c r="U215" s="71">
        <v>0.0</v>
      </c>
      <c r="V215" s="71">
        <v>29.99</v>
      </c>
      <c r="W215" s="67"/>
      <c r="X215" s="67"/>
      <c r="Y215" s="67"/>
      <c r="Z215" s="67"/>
      <c r="AA215" s="67"/>
      <c r="AB215" s="67"/>
      <c r="AC215" s="67"/>
    </row>
    <row r="216">
      <c r="A216" s="74">
        <v>45958.0</v>
      </c>
      <c r="B216" s="70" t="s">
        <v>1948</v>
      </c>
      <c r="C216" s="70" t="s">
        <v>1594</v>
      </c>
      <c r="D216" s="71">
        <v>16.19</v>
      </c>
      <c r="E216" s="71">
        <v>26.99</v>
      </c>
      <c r="F216" s="68"/>
      <c r="G216" s="71">
        <v>10.0</v>
      </c>
      <c r="H216" s="71">
        <v>-6.69</v>
      </c>
      <c r="I216" s="72">
        <v>-0.669</v>
      </c>
      <c r="J216" s="70" t="s">
        <v>1626</v>
      </c>
      <c r="K216" s="67"/>
      <c r="L216" s="67" t="s">
        <v>1949</v>
      </c>
      <c r="M216" s="75">
        <v>1.0</v>
      </c>
      <c r="N216" s="75">
        <v>1.0</v>
      </c>
      <c r="O216" s="75">
        <v>0.0</v>
      </c>
      <c r="P216" s="75">
        <v>0.0</v>
      </c>
      <c r="Q216" s="76" t="s">
        <v>22</v>
      </c>
      <c r="R216" s="71">
        <v>0.5</v>
      </c>
      <c r="S216" s="71">
        <v>16.69</v>
      </c>
      <c r="T216" s="70"/>
      <c r="U216" s="71">
        <v>5.0</v>
      </c>
      <c r="V216" s="71">
        <v>31.99</v>
      </c>
      <c r="W216" s="67"/>
      <c r="X216" s="67"/>
      <c r="Y216" s="67"/>
      <c r="Z216" s="67"/>
      <c r="AA216" s="67"/>
      <c r="AB216" s="67"/>
      <c r="AC216" s="67"/>
    </row>
    <row r="217">
      <c r="A217" s="74">
        <v>45958.0</v>
      </c>
      <c r="B217" s="70" t="s">
        <v>1950</v>
      </c>
      <c r="C217" s="70" t="s">
        <v>1721</v>
      </c>
      <c r="D217" s="71">
        <v>4.19</v>
      </c>
      <c r="E217" s="71">
        <v>0.0</v>
      </c>
      <c r="F217" s="68"/>
      <c r="G217" s="71">
        <v>5.0</v>
      </c>
      <c r="H217" s="71">
        <v>0.81</v>
      </c>
      <c r="I217" s="72">
        <v>0.162</v>
      </c>
      <c r="J217" s="70" t="s">
        <v>1626</v>
      </c>
      <c r="K217" s="67"/>
      <c r="L217" s="67" t="s">
        <v>1951</v>
      </c>
      <c r="M217" s="75">
        <v>1.0</v>
      </c>
      <c r="N217" s="75">
        <v>1.0</v>
      </c>
      <c r="O217" s="75">
        <v>0.0</v>
      </c>
      <c r="P217" s="75">
        <v>0.0</v>
      </c>
      <c r="Q217" s="76" t="s">
        <v>22</v>
      </c>
      <c r="R217" s="71">
        <v>0.0</v>
      </c>
      <c r="S217" s="71">
        <v>4.19</v>
      </c>
      <c r="T217" s="70"/>
      <c r="U217" s="71">
        <v>0.0</v>
      </c>
      <c r="V217" s="71"/>
      <c r="W217" s="67"/>
      <c r="X217" s="67"/>
      <c r="Y217" s="67"/>
      <c r="Z217" s="67"/>
      <c r="AA217" s="67"/>
      <c r="AB217" s="67"/>
      <c r="AC217" s="67"/>
    </row>
    <row r="218">
      <c r="A218" s="74">
        <v>45958.0</v>
      </c>
      <c r="B218" s="70" t="s">
        <v>1952</v>
      </c>
      <c r="C218" s="70" t="s">
        <v>1752</v>
      </c>
      <c r="D218" s="71">
        <v>2.67</v>
      </c>
      <c r="E218" s="71">
        <v>5.0</v>
      </c>
      <c r="F218" s="68"/>
      <c r="G218" s="71">
        <v>15.0</v>
      </c>
      <c r="H218" s="71">
        <v>11.39</v>
      </c>
      <c r="I218" s="72">
        <v>0.7593333333333334</v>
      </c>
      <c r="J218" s="70" t="s">
        <v>1626</v>
      </c>
      <c r="K218" s="67"/>
      <c r="L218" s="70" t="s">
        <v>1953</v>
      </c>
      <c r="M218" s="75">
        <v>1.0</v>
      </c>
      <c r="N218" s="75">
        <v>1.0</v>
      </c>
      <c r="O218" s="75">
        <v>0.0</v>
      </c>
      <c r="P218" s="75">
        <v>0.0</v>
      </c>
      <c r="Q218" s="76" t="s">
        <v>22</v>
      </c>
      <c r="R218" s="71">
        <v>0.94</v>
      </c>
      <c r="S218" s="71">
        <v>3.61</v>
      </c>
      <c r="T218" s="70"/>
      <c r="U218" s="71">
        <v>0.0</v>
      </c>
      <c r="V218" s="71">
        <v>5.0</v>
      </c>
      <c r="W218" s="67"/>
      <c r="X218" s="67"/>
      <c r="Y218" s="67"/>
      <c r="Z218" s="67"/>
      <c r="AA218" s="67"/>
      <c r="AB218" s="67"/>
      <c r="AC218" s="67"/>
    </row>
    <row r="219">
      <c r="A219" s="74">
        <v>45958.0</v>
      </c>
      <c r="B219" s="70" t="s">
        <v>1954</v>
      </c>
      <c r="C219" s="70" t="s">
        <v>1484</v>
      </c>
      <c r="D219" s="71">
        <v>9.99</v>
      </c>
      <c r="E219" s="71">
        <v>0.0</v>
      </c>
      <c r="F219" s="68"/>
      <c r="G219" s="68"/>
      <c r="H219" s="71">
        <v>-10.91</v>
      </c>
      <c r="I219" s="72">
        <v>-1.0</v>
      </c>
      <c r="J219" s="70" t="s">
        <v>483</v>
      </c>
      <c r="K219" s="67"/>
      <c r="L219" s="70" t="s">
        <v>1955</v>
      </c>
      <c r="M219" s="75">
        <v>1.0</v>
      </c>
      <c r="N219" s="75">
        <v>0.0</v>
      </c>
      <c r="O219" s="75">
        <v>1.0</v>
      </c>
      <c r="P219" s="75">
        <v>0.0</v>
      </c>
      <c r="Q219" s="70" t="s">
        <v>22</v>
      </c>
      <c r="R219" s="71">
        <v>0.92</v>
      </c>
      <c r="S219" s="71">
        <v>10.91</v>
      </c>
      <c r="T219" s="67"/>
      <c r="U219" s="71">
        <v>0.0</v>
      </c>
      <c r="V219" s="71"/>
      <c r="W219" s="67"/>
      <c r="X219" s="67"/>
      <c r="Y219" s="67"/>
      <c r="Z219" s="67"/>
      <c r="AA219" s="67"/>
      <c r="AB219" s="67"/>
      <c r="AC219" s="67"/>
    </row>
    <row r="220">
      <c r="A220" s="74">
        <v>45958.0</v>
      </c>
      <c r="B220" s="70" t="s">
        <v>1956</v>
      </c>
      <c r="C220" s="70" t="s">
        <v>1588</v>
      </c>
      <c r="D220" s="71">
        <v>2.43</v>
      </c>
      <c r="E220" s="71">
        <v>0.0</v>
      </c>
      <c r="F220" s="68"/>
      <c r="G220" s="68"/>
      <c r="H220" s="71">
        <v>-2.93</v>
      </c>
      <c r="I220" s="72">
        <v>-1.0</v>
      </c>
      <c r="J220" s="70" t="s">
        <v>483</v>
      </c>
      <c r="K220" s="67"/>
      <c r="L220" s="70" t="s">
        <v>1957</v>
      </c>
      <c r="M220" s="75">
        <v>1.0</v>
      </c>
      <c r="N220" s="75">
        <v>0.0</v>
      </c>
      <c r="O220" s="75">
        <v>1.0</v>
      </c>
      <c r="P220" s="75">
        <v>0.0</v>
      </c>
      <c r="Q220" s="70" t="s">
        <v>22</v>
      </c>
      <c r="R220" s="71">
        <v>0.5</v>
      </c>
      <c r="S220" s="71">
        <v>2.93</v>
      </c>
      <c r="T220" s="67"/>
      <c r="U220" s="71">
        <v>5.0</v>
      </c>
      <c r="V220" s="71">
        <v>5.0</v>
      </c>
      <c r="W220" s="67"/>
      <c r="X220" s="67"/>
      <c r="Y220" s="67"/>
      <c r="Z220" s="67"/>
      <c r="AA220" s="67"/>
      <c r="AB220" s="67"/>
      <c r="AC220" s="67"/>
    </row>
    <row r="221">
      <c r="A221" s="74">
        <v>45958.0</v>
      </c>
      <c r="B221" s="70" t="s">
        <v>1958</v>
      </c>
      <c r="C221" s="70" t="s">
        <v>1588</v>
      </c>
      <c r="D221" s="71">
        <v>2.43</v>
      </c>
      <c r="E221" s="71">
        <v>0.0</v>
      </c>
      <c r="F221" s="68"/>
      <c r="G221" s="68"/>
      <c r="H221" s="71">
        <v>-2.93</v>
      </c>
      <c r="I221" s="72">
        <v>-1.0</v>
      </c>
      <c r="J221" s="70" t="s">
        <v>483</v>
      </c>
      <c r="K221" s="67"/>
      <c r="L221" s="70" t="s">
        <v>1959</v>
      </c>
      <c r="M221" s="75">
        <v>1.0</v>
      </c>
      <c r="N221" s="75">
        <v>0.0</v>
      </c>
      <c r="O221" s="75">
        <v>1.0</v>
      </c>
      <c r="P221" s="75">
        <v>0.0</v>
      </c>
      <c r="Q221" s="70" t="s">
        <v>22</v>
      </c>
      <c r="R221" s="71">
        <v>0.5</v>
      </c>
      <c r="S221" s="71">
        <v>2.93</v>
      </c>
      <c r="T221" s="67"/>
      <c r="U221" s="71">
        <v>5.0</v>
      </c>
      <c r="V221" s="71">
        <v>5.0</v>
      </c>
      <c r="W221" s="67"/>
      <c r="X221" s="67"/>
      <c r="Y221" s="67"/>
      <c r="Z221" s="67"/>
      <c r="AA221" s="67"/>
      <c r="AB221" s="67"/>
      <c r="AC221" s="67"/>
    </row>
    <row r="222">
      <c r="A222" s="74">
        <v>45958.0</v>
      </c>
      <c r="B222" s="70" t="s">
        <v>1960</v>
      </c>
      <c r="C222" s="70" t="s">
        <v>1458</v>
      </c>
      <c r="D222" s="71">
        <v>0.0</v>
      </c>
      <c r="E222" s="71">
        <v>0.0</v>
      </c>
      <c r="F222" s="68"/>
      <c r="G222" s="71">
        <v>10.0</v>
      </c>
      <c r="H222" s="71">
        <v>9.71</v>
      </c>
      <c r="I222" s="72">
        <v>0.9710000000000001</v>
      </c>
      <c r="J222" s="70" t="s">
        <v>1626</v>
      </c>
      <c r="K222" s="67"/>
      <c r="L222" s="67" t="s">
        <v>1961</v>
      </c>
      <c r="M222" s="75">
        <v>1.0</v>
      </c>
      <c r="N222" s="75">
        <v>1.0</v>
      </c>
      <c r="O222" s="75">
        <v>0.0</v>
      </c>
      <c r="P222" s="75">
        <v>0.0</v>
      </c>
      <c r="Q222" s="76" t="s">
        <v>22</v>
      </c>
      <c r="R222" s="71">
        <v>0.29</v>
      </c>
      <c r="S222" s="71">
        <v>0.29</v>
      </c>
      <c r="T222" s="67"/>
      <c r="U222" s="71">
        <v>0.0</v>
      </c>
      <c r="V222" s="71"/>
      <c r="W222" s="67"/>
      <c r="X222" s="67"/>
      <c r="Y222" s="67"/>
      <c r="Z222" s="67"/>
      <c r="AA222" s="67"/>
      <c r="AB222" s="67"/>
      <c r="AC222" s="67"/>
    </row>
    <row r="223">
      <c r="A223" s="74">
        <v>45958.0</v>
      </c>
      <c r="B223" s="70" t="s">
        <v>1962</v>
      </c>
      <c r="C223" s="70" t="s">
        <v>1542</v>
      </c>
      <c r="D223" s="71">
        <v>0.0</v>
      </c>
      <c r="E223" s="71">
        <v>0.0</v>
      </c>
      <c r="F223" s="68"/>
      <c r="G223" s="68"/>
      <c r="H223" s="71">
        <v>-0.29</v>
      </c>
      <c r="I223" s="72">
        <v>-1.0</v>
      </c>
      <c r="J223" s="70" t="s">
        <v>483</v>
      </c>
      <c r="K223" s="67"/>
      <c r="L223" s="70" t="s">
        <v>1963</v>
      </c>
      <c r="M223" s="75">
        <v>1.0</v>
      </c>
      <c r="N223" s="75">
        <v>0.0</v>
      </c>
      <c r="O223" s="75">
        <v>1.0</v>
      </c>
      <c r="P223" s="75">
        <v>0.0</v>
      </c>
      <c r="Q223" s="70" t="s">
        <v>22</v>
      </c>
      <c r="R223" s="71">
        <v>0.29</v>
      </c>
      <c r="S223" s="71">
        <v>0.29</v>
      </c>
      <c r="T223" s="67"/>
      <c r="U223" s="71">
        <v>0.0</v>
      </c>
      <c r="V223" s="68"/>
      <c r="W223" s="67"/>
      <c r="X223" s="67"/>
      <c r="Y223" s="67"/>
      <c r="Z223" s="67"/>
      <c r="AA223" s="67"/>
      <c r="AB223" s="67"/>
      <c r="AC223" s="67"/>
    </row>
    <row r="224">
      <c r="A224" s="74">
        <v>45958.0</v>
      </c>
      <c r="B224" s="70" t="s">
        <v>1964</v>
      </c>
      <c r="C224" s="70" t="s">
        <v>1904</v>
      </c>
      <c r="D224" s="71">
        <v>19.49</v>
      </c>
      <c r="E224" s="71">
        <v>0.0</v>
      </c>
      <c r="F224" s="68"/>
      <c r="G224" s="68"/>
      <c r="H224" s="71">
        <v>-19.62</v>
      </c>
      <c r="I224" s="72">
        <v>-1.0</v>
      </c>
      <c r="J224" s="70" t="s">
        <v>483</v>
      </c>
      <c r="K224" s="67"/>
      <c r="L224" s="70" t="s">
        <v>1965</v>
      </c>
      <c r="M224" s="75">
        <v>1.0</v>
      </c>
      <c r="N224" s="75">
        <v>0.0</v>
      </c>
      <c r="O224" s="75">
        <v>1.0</v>
      </c>
      <c r="P224" s="75">
        <v>0.0</v>
      </c>
      <c r="Q224" s="70" t="s">
        <v>22</v>
      </c>
      <c r="R224" s="71">
        <v>0.13</v>
      </c>
      <c r="S224" s="71">
        <v>19.62</v>
      </c>
      <c r="T224" s="67"/>
      <c r="U224" s="71">
        <v>0.0</v>
      </c>
      <c r="V224" s="71"/>
      <c r="W224" s="67"/>
      <c r="X224" s="67"/>
      <c r="Y224" s="67"/>
      <c r="Z224" s="67"/>
      <c r="AA224" s="67"/>
      <c r="AB224" s="67"/>
      <c r="AC224" s="67"/>
    </row>
    <row r="225">
      <c r="A225" s="74">
        <v>45958.0</v>
      </c>
      <c r="B225" s="70" t="s">
        <v>1966</v>
      </c>
      <c r="C225" s="70" t="s">
        <v>1545</v>
      </c>
      <c r="D225" s="71">
        <v>8.1</v>
      </c>
      <c r="E225" s="71">
        <v>16.99</v>
      </c>
      <c r="F225" s="68"/>
      <c r="G225" s="71">
        <v>10.0</v>
      </c>
      <c r="H225" s="71">
        <v>1.9</v>
      </c>
      <c r="I225" s="72">
        <v>0.19</v>
      </c>
      <c r="J225" s="70" t="s">
        <v>1626</v>
      </c>
      <c r="K225" s="67"/>
      <c r="L225" s="70" t="s">
        <v>1967</v>
      </c>
      <c r="M225" s="75">
        <v>1.0</v>
      </c>
      <c r="N225" s="75">
        <v>1.0</v>
      </c>
      <c r="O225" s="75">
        <v>0.0</v>
      </c>
      <c r="P225" s="75">
        <v>0.0</v>
      </c>
      <c r="Q225" s="70" t="s">
        <v>22</v>
      </c>
      <c r="R225" s="71">
        <v>0.0</v>
      </c>
      <c r="S225" s="71">
        <v>8.1</v>
      </c>
      <c r="T225" s="67"/>
      <c r="U225" s="71">
        <v>0.0</v>
      </c>
      <c r="V225" s="71">
        <v>16.99</v>
      </c>
      <c r="W225" s="67"/>
      <c r="X225" s="67"/>
      <c r="Y225" s="67"/>
      <c r="Z225" s="67"/>
      <c r="AA225" s="67"/>
      <c r="AB225" s="67"/>
      <c r="AC225" s="67"/>
    </row>
    <row r="226">
      <c r="A226" s="74">
        <v>45958.0</v>
      </c>
      <c r="B226" s="70" t="s">
        <v>1968</v>
      </c>
      <c r="C226" s="70" t="s">
        <v>1724</v>
      </c>
      <c r="D226" s="71">
        <v>1.95</v>
      </c>
      <c r="E226" s="71">
        <v>0.0</v>
      </c>
      <c r="F226" s="68"/>
      <c r="G226" s="68"/>
      <c r="H226" s="71">
        <v>-2.56</v>
      </c>
      <c r="I226" s="72">
        <v>-1.0</v>
      </c>
      <c r="J226" s="70" t="s">
        <v>483</v>
      </c>
      <c r="K226" s="67"/>
      <c r="L226" s="70" t="s">
        <v>1969</v>
      </c>
      <c r="M226" s="75">
        <v>1.0</v>
      </c>
      <c r="N226" s="75">
        <v>0.0</v>
      </c>
      <c r="O226" s="75">
        <v>1.0</v>
      </c>
      <c r="P226" s="75">
        <v>0.0</v>
      </c>
      <c r="Q226" s="70" t="s">
        <v>22</v>
      </c>
      <c r="R226" s="71">
        <v>0.61</v>
      </c>
      <c r="S226" s="71">
        <v>2.56</v>
      </c>
      <c r="T226" s="67"/>
      <c r="U226" s="71">
        <v>5.0</v>
      </c>
      <c r="V226" s="71">
        <v>5.0</v>
      </c>
      <c r="W226" s="67"/>
      <c r="X226" s="67"/>
      <c r="Y226" s="67"/>
      <c r="Z226" s="67"/>
      <c r="AA226" s="67"/>
      <c r="AB226" s="67"/>
      <c r="AC226" s="67"/>
    </row>
    <row r="227">
      <c r="A227" s="74">
        <v>45959.0</v>
      </c>
      <c r="B227" s="70" t="s">
        <v>1970</v>
      </c>
      <c r="C227" s="70" t="s">
        <v>1936</v>
      </c>
      <c r="D227" s="71">
        <v>4.99</v>
      </c>
      <c r="E227" s="71">
        <v>0.0</v>
      </c>
      <c r="F227" s="68"/>
      <c r="G227" s="71">
        <v>10.0</v>
      </c>
      <c r="H227" s="71">
        <v>4.4</v>
      </c>
      <c r="I227" s="72">
        <v>0.44000000000000006</v>
      </c>
      <c r="J227" s="70" t="s">
        <v>1626</v>
      </c>
      <c r="K227" s="67"/>
      <c r="L227" s="67" t="s">
        <v>1971</v>
      </c>
      <c r="M227" s="75">
        <v>1.0</v>
      </c>
      <c r="N227" s="75">
        <v>1.0</v>
      </c>
      <c r="O227" s="75">
        <v>0.0</v>
      </c>
      <c r="P227" s="75">
        <v>0.0</v>
      </c>
      <c r="Q227" s="76" t="s">
        <v>22</v>
      </c>
      <c r="R227" s="71">
        <v>0.61</v>
      </c>
      <c r="S227" s="71">
        <v>5.6</v>
      </c>
      <c r="T227" s="70"/>
      <c r="U227" s="71">
        <v>5.0</v>
      </c>
      <c r="V227" s="71">
        <v>5.0</v>
      </c>
      <c r="W227" s="67"/>
      <c r="X227" s="67"/>
      <c r="Y227" s="67"/>
      <c r="Z227" s="67"/>
      <c r="AA227" s="67"/>
      <c r="AB227" s="67"/>
      <c r="AC227" s="67"/>
    </row>
    <row r="228">
      <c r="A228" s="74">
        <v>45959.0</v>
      </c>
      <c r="B228" s="70" t="s">
        <v>1972</v>
      </c>
      <c r="C228" s="70" t="s">
        <v>1665</v>
      </c>
      <c r="D228" s="71">
        <v>6.08</v>
      </c>
      <c r="E228" s="71">
        <v>0.0</v>
      </c>
      <c r="F228" s="68"/>
      <c r="G228" s="71">
        <v>10.0</v>
      </c>
      <c r="H228" s="71">
        <v>3.42</v>
      </c>
      <c r="I228" s="72">
        <v>0.34199999999999997</v>
      </c>
      <c r="J228" s="70" t="s">
        <v>1626</v>
      </c>
      <c r="K228" s="67"/>
      <c r="L228" s="70" t="s">
        <v>1973</v>
      </c>
      <c r="M228" s="75">
        <v>1.0</v>
      </c>
      <c r="N228" s="75">
        <v>1.0</v>
      </c>
      <c r="O228" s="75">
        <v>0.0</v>
      </c>
      <c r="P228" s="75">
        <v>0.0</v>
      </c>
      <c r="Q228" s="70" t="s">
        <v>22</v>
      </c>
      <c r="R228" s="71">
        <v>0.5</v>
      </c>
      <c r="S228" s="71">
        <v>6.58</v>
      </c>
      <c r="T228" s="67"/>
      <c r="U228" s="71">
        <v>5.0</v>
      </c>
      <c r="V228" s="71">
        <v>5.0</v>
      </c>
      <c r="W228" s="67"/>
      <c r="X228" s="67"/>
      <c r="Y228" s="67"/>
      <c r="Z228" s="67"/>
      <c r="AA228" s="67"/>
      <c r="AB228" s="67"/>
      <c r="AC228" s="67"/>
    </row>
    <row r="229">
      <c r="A229" s="74">
        <v>45959.0</v>
      </c>
      <c r="B229" s="70" t="s">
        <v>1974</v>
      </c>
      <c r="C229" s="70" t="s">
        <v>1721</v>
      </c>
      <c r="D229" s="71">
        <v>4.19</v>
      </c>
      <c r="E229" s="71">
        <v>0.0</v>
      </c>
      <c r="F229" s="68"/>
      <c r="G229" s="71">
        <v>5.0</v>
      </c>
      <c r="H229" s="71">
        <v>0.81</v>
      </c>
      <c r="I229" s="72">
        <v>0.162</v>
      </c>
      <c r="J229" s="70" t="s">
        <v>1626</v>
      </c>
      <c r="K229" s="67"/>
      <c r="L229" s="70" t="s">
        <v>1975</v>
      </c>
      <c r="M229" s="75">
        <v>1.0</v>
      </c>
      <c r="N229" s="75">
        <v>1.0</v>
      </c>
      <c r="O229" s="75">
        <v>0.0</v>
      </c>
      <c r="P229" s="75">
        <v>0.0</v>
      </c>
      <c r="Q229" s="76" t="s">
        <v>22</v>
      </c>
      <c r="R229" s="71">
        <v>0.0</v>
      </c>
      <c r="S229" s="71">
        <v>4.19</v>
      </c>
      <c r="T229" s="70"/>
      <c r="U229" s="71">
        <v>0.0</v>
      </c>
      <c r="V229" s="71"/>
      <c r="W229" s="67"/>
      <c r="X229" s="67"/>
      <c r="Y229" s="67"/>
      <c r="Z229" s="67"/>
      <c r="AA229" s="67"/>
      <c r="AB229" s="67"/>
      <c r="AC229" s="67"/>
    </row>
    <row r="230">
      <c r="A230" s="74">
        <v>45959.0</v>
      </c>
      <c r="B230" s="70" t="s">
        <v>1976</v>
      </c>
      <c r="C230" s="70" t="s">
        <v>1721</v>
      </c>
      <c r="D230" s="71">
        <v>4.19</v>
      </c>
      <c r="E230" s="71">
        <v>0.0</v>
      </c>
      <c r="F230" s="68"/>
      <c r="G230" s="71">
        <v>5.0</v>
      </c>
      <c r="H230" s="71">
        <v>0.81</v>
      </c>
      <c r="I230" s="72">
        <v>0.162</v>
      </c>
      <c r="J230" s="70" t="s">
        <v>1626</v>
      </c>
      <c r="K230" s="67"/>
      <c r="L230" s="70" t="s">
        <v>1977</v>
      </c>
      <c r="M230" s="75">
        <v>1.0</v>
      </c>
      <c r="N230" s="75">
        <v>1.0</v>
      </c>
      <c r="O230" s="75">
        <v>0.0</v>
      </c>
      <c r="P230" s="75">
        <v>0.0</v>
      </c>
      <c r="Q230" s="70" t="s">
        <v>22</v>
      </c>
      <c r="R230" s="71">
        <v>0.0</v>
      </c>
      <c r="S230" s="71">
        <v>4.19</v>
      </c>
      <c r="T230" s="70"/>
      <c r="U230" s="71">
        <v>0.0</v>
      </c>
      <c r="V230" s="71"/>
      <c r="W230" s="67"/>
      <c r="X230" s="67"/>
      <c r="Y230" s="67"/>
      <c r="Z230" s="67"/>
      <c r="AA230" s="67"/>
      <c r="AB230" s="67"/>
      <c r="AC230" s="67"/>
    </row>
    <row r="231">
      <c r="A231" s="74">
        <v>45959.0</v>
      </c>
      <c r="B231" s="70" t="s">
        <v>1978</v>
      </c>
      <c r="C231" s="70" t="s">
        <v>1721</v>
      </c>
      <c r="D231" s="71">
        <v>4.19</v>
      </c>
      <c r="E231" s="71">
        <v>0.0</v>
      </c>
      <c r="F231" s="71"/>
      <c r="G231" s="71">
        <v>8.0</v>
      </c>
      <c r="H231" s="71">
        <v>3.81</v>
      </c>
      <c r="I231" s="72">
        <v>0.47625</v>
      </c>
      <c r="J231" s="70" t="s">
        <v>1626</v>
      </c>
      <c r="K231" s="67"/>
      <c r="L231" s="70" t="s">
        <v>1979</v>
      </c>
      <c r="M231" s="75">
        <v>1.0</v>
      </c>
      <c r="N231" s="75">
        <v>1.0</v>
      </c>
      <c r="O231" s="75">
        <v>0.0</v>
      </c>
      <c r="P231" s="75">
        <v>0.0</v>
      </c>
      <c r="Q231" s="76" t="s">
        <v>22</v>
      </c>
      <c r="R231" s="71">
        <v>0.0</v>
      </c>
      <c r="S231" s="71">
        <v>4.19</v>
      </c>
      <c r="T231" s="70"/>
      <c r="U231" s="71">
        <v>0.0</v>
      </c>
      <c r="V231" s="71"/>
      <c r="W231" s="67"/>
      <c r="X231" s="67"/>
      <c r="Y231" s="67"/>
      <c r="Z231" s="67"/>
      <c r="AA231" s="67"/>
      <c r="AB231" s="67"/>
      <c r="AC231" s="67"/>
    </row>
    <row r="232">
      <c r="A232" s="74">
        <v>45959.0</v>
      </c>
      <c r="B232" s="70" t="s">
        <v>1980</v>
      </c>
      <c r="C232" s="70" t="s">
        <v>1747</v>
      </c>
      <c r="D232" s="71">
        <v>3.0</v>
      </c>
      <c r="E232" s="71">
        <v>9.0</v>
      </c>
      <c r="F232" s="68"/>
      <c r="G232" s="71">
        <v>10.0</v>
      </c>
      <c r="H232" s="71">
        <v>6.54</v>
      </c>
      <c r="I232" s="72">
        <v>0.654</v>
      </c>
      <c r="J232" s="70" t="s">
        <v>1626</v>
      </c>
      <c r="K232" s="67"/>
      <c r="L232" s="70" t="s">
        <v>1981</v>
      </c>
      <c r="M232" s="75">
        <v>1.0</v>
      </c>
      <c r="N232" s="75">
        <v>1.0</v>
      </c>
      <c r="O232" s="75">
        <v>0.0</v>
      </c>
      <c r="P232" s="75">
        <v>0.0</v>
      </c>
      <c r="Q232" s="70" t="s">
        <v>22</v>
      </c>
      <c r="R232" s="71">
        <v>0.46</v>
      </c>
      <c r="S232" s="71">
        <v>3.46</v>
      </c>
      <c r="T232" s="67"/>
      <c r="U232" s="71">
        <v>5.0</v>
      </c>
      <c r="V232" s="71">
        <v>14.0</v>
      </c>
      <c r="W232" s="67"/>
      <c r="X232" s="67"/>
      <c r="Y232" s="67"/>
      <c r="Z232" s="67"/>
      <c r="AA232" s="67"/>
      <c r="AB232" s="67"/>
      <c r="AC232" s="67"/>
    </row>
    <row r="233">
      <c r="A233" s="74">
        <v>45959.0</v>
      </c>
      <c r="B233" s="70" t="s">
        <v>1982</v>
      </c>
      <c r="C233" s="70" t="s">
        <v>1983</v>
      </c>
      <c r="D233" s="71">
        <v>9.5</v>
      </c>
      <c r="E233" s="71">
        <v>19.0</v>
      </c>
      <c r="F233" s="68"/>
      <c r="G233" s="71">
        <v>10.0</v>
      </c>
      <c r="H233" s="71">
        <v>0.5</v>
      </c>
      <c r="I233" s="72">
        <v>0.05</v>
      </c>
      <c r="J233" s="70" t="s">
        <v>1626</v>
      </c>
      <c r="K233" s="67"/>
      <c r="L233" s="70" t="s">
        <v>1984</v>
      </c>
      <c r="M233" s="75">
        <v>1.0</v>
      </c>
      <c r="N233" s="75">
        <v>1.0</v>
      </c>
      <c r="O233" s="75">
        <v>0.0</v>
      </c>
      <c r="P233" s="75">
        <v>0.0</v>
      </c>
      <c r="Q233" s="70" t="s">
        <v>22</v>
      </c>
      <c r="R233" s="71">
        <v>0.0</v>
      </c>
      <c r="S233" s="71">
        <v>9.5</v>
      </c>
      <c r="T233" s="67"/>
      <c r="U233" s="71">
        <v>0.0</v>
      </c>
      <c r="V233" s="71">
        <v>19.0</v>
      </c>
      <c r="W233" s="67"/>
      <c r="X233" s="67"/>
      <c r="Y233" s="67"/>
      <c r="Z233" s="67"/>
      <c r="AA233" s="67"/>
      <c r="AB233" s="67"/>
      <c r="AC233" s="67"/>
    </row>
    <row r="234">
      <c r="A234" s="74">
        <v>45959.0</v>
      </c>
      <c r="B234" s="70" t="s">
        <v>1985</v>
      </c>
      <c r="C234" s="70" t="s">
        <v>1747</v>
      </c>
      <c r="D234" s="71">
        <v>2.0</v>
      </c>
      <c r="E234" s="71">
        <v>6.0</v>
      </c>
      <c r="F234" s="68"/>
      <c r="G234" s="71">
        <v>5.0</v>
      </c>
      <c r="H234" s="71">
        <v>2.71</v>
      </c>
      <c r="I234" s="72">
        <v>0.542</v>
      </c>
      <c r="J234" s="70" t="s">
        <v>1626</v>
      </c>
      <c r="K234" s="67"/>
      <c r="L234" s="70" t="s">
        <v>1986</v>
      </c>
      <c r="M234" s="75">
        <v>1.0</v>
      </c>
      <c r="N234" s="75">
        <v>1.0</v>
      </c>
      <c r="O234" s="75">
        <v>0.0</v>
      </c>
      <c r="P234" s="75">
        <v>0.0</v>
      </c>
      <c r="Q234" s="70" t="s">
        <v>22</v>
      </c>
      <c r="R234" s="71">
        <v>0.29</v>
      </c>
      <c r="S234" s="71">
        <v>2.29</v>
      </c>
      <c r="T234" s="70"/>
      <c r="U234" s="71">
        <v>0.0</v>
      </c>
      <c r="V234" s="71">
        <v>6.0</v>
      </c>
      <c r="W234" s="67"/>
      <c r="X234" s="67"/>
      <c r="Y234" s="67"/>
      <c r="Z234" s="67"/>
      <c r="AA234" s="67"/>
      <c r="AB234" s="67"/>
      <c r="AC234" s="67"/>
    </row>
    <row r="235">
      <c r="A235" s="74">
        <v>45959.0</v>
      </c>
      <c r="B235" s="70" t="s">
        <v>1987</v>
      </c>
      <c r="C235" s="70" t="s">
        <v>1747</v>
      </c>
      <c r="D235" s="71">
        <v>2.0</v>
      </c>
      <c r="E235" s="71">
        <v>6.0</v>
      </c>
      <c r="F235" s="68"/>
      <c r="G235" s="68"/>
      <c r="H235" s="71">
        <v>-2.29</v>
      </c>
      <c r="I235" s="72">
        <v>-1.0</v>
      </c>
      <c r="J235" s="70" t="s">
        <v>483</v>
      </c>
      <c r="K235" s="67"/>
      <c r="L235" s="70" t="s">
        <v>1988</v>
      </c>
      <c r="M235" s="75">
        <v>1.0</v>
      </c>
      <c r="N235" s="75">
        <v>0.0</v>
      </c>
      <c r="O235" s="75">
        <v>1.0</v>
      </c>
      <c r="P235" s="75">
        <v>0.0</v>
      </c>
      <c r="Q235" s="76" t="s">
        <v>22</v>
      </c>
      <c r="R235" s="71">
        <v>0.29</v>
      </c>
      <c r="S235" s="71">
        <v>2.29</v>
      </c>
      <c r="T235" s="70"/>
      <c r="U235" s="71">
        <v>0.0</v>
      </c>
      <c r="V235" s="71">
        <v>6.0</v>
      </c>
      <c r="W235" s="67"/>
      <c r="X235" s="67"/>
      <c r="Y235" s="67"/>
      <c r="Z235" s="67"/>
      <c r="AA235" s="67"/>
      <c r="AB235" s="67"/>
      <c r="AC235" s="67"/>
    </row>
    <row r="236">
      <c r="A236" s="74">
        <v>45959.0</v>
      </c>
      <c r="B236" s="70" t="s">
        <v>1989</v>
      </c>
      <c r="C236" s="70" t="s">
        <v>1747</v>
      </c>
      <c r="D236" s="71">
        <v>2.0</v>
      </c>
      <c r="E236" s="71">
        <v>6.0</v>
      </c>
      <c r="F236" s="68"/>
      <c r="G236" s="71">
        <v>5.0</v>
      </c>
      <c r="H236" s="71">
        <v>2.71</v>
      </c>
      <c r="I236" s="72">
        <v>0.542</v>
      </c>
      <c r="J236" s="70" t="s">
        <v>1626</v>
      </c>
      <c r="K236" s="67"/>
      <c r="L236" s="70" t="s">
        <v>1990</v>
      </c>
      <c r="M236" s="75">
        <v>1.0</v>
      </c>
      <c r="N236" s="75">
        <v>1.0</v>
      </c>
      <c r="O236" s="75">
        <v>0.0</v>
      </c>
      <c r="P236" s="75">
        <v>0.0</v>
      </c>
      <c r="Q236" s="70" t="s">
        <v>22</v>
      </c>
      <c r="R236" s="71">
        <v>0.29</v>
      </c>
      <c r="S236" s="71">
        <v>2.29</v>
      </c>
      <c r="T236" s="70"/>
      <c r="U236" s="71">
        <v>0.0</v>
      </c>
      <c r="V236" s="71">
        <v>6.0</v>
      </c>
      <c r="W236" s="67"/>
      <c r="X236" s="67"/>
      <c r="Y236" s="67"/>
      <c r="Z236" s="67"/>
      <c r="AA236" s="67"/>
      <c r="AB236" s="67"/>
      <c r="AC236" s="67"/>
    </row>
    <row r="237">
      <c r="A237" s="74">
        <v>45959.0</v>
      </c>
      <c r="B237" s="70" t="s">
        <v>1991</v>
      </c>
      <c r="C237" s="70" t="s">
        <v>1542</v>
      </c>
      <c r="D237" s="71">
        <v>0.0</v>
      </c>
      <c r="E237" s="71">
        <v>0.0</v>
      </c>
      <c r="F237" s="68"/>
      <c r="G237" s="68"/>
      <c r="H237" s="71">
        <v>-0.13</v>
      </c>
      <c r="I237" s="72">
        <v>-1.0</v>
      </c>
      <c r="J237" s="70" t="s">
        <v>483</v>
      </c>
      <c r="K237" s="67"/>
      <c r="L237" s="70" t="s">
        <v>1992</v>
      </c>
      <c r="M237" s="75">
        <v>1.0</v>
      </c>
      <c r="N237" s="75">
        <v>0.0</v>
      </c>
      <c r="O237" s="75">
        <v>1.0</v>
      </c>
      <c r="P237" s="75">
        <v>0.0</v>
      </c>
      <c r="Q237" s="70" t="s">
        <v>22</v>
      </c>
      <c r="R237" s="71">
        <v>0.13</v>
      </c>
      <c r="S237" s="71">
        <v>0.13</v>
      </c>
      <c r="T237" s="67"/>
      <c r="U237" s="71">
        <v>0.0</v>
      </c>
      <c r="V237" s="68"/>
      <c r="W237" s="67"/>
      <c r="X237" s="67"/>
      <c r="Y237" s="67"/>
      <c r="Z237" s="67"/>
      <c r="AA237" s="67"/>
      <c r="AB237" s="67"/>
      <c r="AC237" s="67"/>
    </row>
    <row r="238">
      <c r="A238" s="74">
        <v>45959.0</v>
      </c>
      <c r="B238" s="70" t="s">
        <v>1993</v>
      </c>
      <c r="C238" s="70" t="s">
        <v>1542</v>
      </c>
      <c r="D238" s="71">
        <v>0.0</v>
      </c>
      <c r="E238" s="71">
        <v>0.0</v>
      </c>
      <c r="F238" s="68"/>
      <c r="G238" s="68"/>
      <c r="H238" s="71">
        <v>-0.13</v>
      </c>
      <c r="I238" s="72">
        <v>-1.0</v>
      </c>
      <c r="J238" s="70" t="s">
        <v>483</v>
      </c>
      <c r="K238" s="67"/>
      <c r="L238" s="70" t="s">
        <v>1994</v>
      </c>
      <c r="M238" s="75">
        <v>1.0</v>
      </c>
      <c r="N238" s="75">
        <v>0.0</v>
      </c>
      <c r="O238" s="75">
        <v>1.0</v>
      </c>
      <c r="P238" s="75">
        <v>0.0</v>
      </c>
      <c r="Q238" s="70" t="s">
        <v>22</v>
      </c>
      <c r="R238" s="71">
        <v>0.13</v>
      </c>
      <c r="S238" s="71">
        <v>0.13</v>
      </c>
      <c r="T238" s="67"/>
      <c r="U238" s="71">
        <v>0.0</v>
      </c>
      <c r="V238" s="68"/>
      <c r="W238" s="67"/>
      <c r="X238" s="67"/>
      <c r="Y238" s="67"/>
      <c r="Z238" s="67"/>
      <c r="AA238" s="67"/>
      <c r="AB238" s="67"/>
      <c r="AC238" s="67"/>
    </row>
    <row r="239">
      <c r="A239" s="74">
        <v>45959.0</v>
      </c>
      <c r="B239" s="70" t="s">
        <v>1995</v>
      </c>
      <c r="C239" s="70" t="s">
        <v>1846</v>
      </c>
      <c r="D239" s="71">
        <v>5.0</v>
      </c>
      <c r="E239" s="71">
        <v>0.0</v>
      </c>
      <c r="F239" s="68"/>
      <c r="G239" s="68"/>
      <c r="H239" s="71">
        <v>-5.46</v>
      </c>
      <c r="I239" s="72">
        <v>-1.0</v>
      </c>
      <c r="J239" s="70" t="s">
        <v>483</v>
      </c>
      <c r="K239" s="67"/>
      <c r="L239" s="70" t="s">
        <v>1996</v>
      </c>
      <c r="M239" s="75">
        <v>1.0</v>
      </c>
      <c r="N239" s="75">
        <v>0.0</v>
      </c>
      <c r="O239" s="75">
        <v>1.0</v>
      </c>
      <c r="P239" s="75">
        <v>0.0</v>
      </c>
      <c r="Q239" s="70" t="s">
        <v>22</v>
      </c>
      <c r="R239" s="71">
        <v>0.46</v>
      </c>
      <c r="S239" s="71">
        <v>5.46</v>
      </c>
      <c r="T239" s="67"/>
      <c r="U239" s="71">
        <v>5.0</v>
      </c>
      <c r="V239" s="71">
        <v>5.0</v>
      </c>
      <c r="W239" s="67"/>
      <c r="X239" s="67"/>
      <c r="Y239" s="67"/>
      <c r="Z239" s="67"/>
      <c r="AA239" s="67"/>
      <c r="AB239" s="67"/>
      <c r="AC239" s="67"/>
    </row>
    <row r="240">
      <c r="A240" s="74">
        <v>45959.0</v>
      </c>
      <c r="B240" s="70" t="s">
        <v>1997</v>
      </c>
      <c r="C240" s="70" t="s">
        <v>1846</v>
      </c>
      <c r="D240" s="71">
        <v>5.0</v>
      </c>
      <c r="E240" s="71">
        <v>0.0</v>
      </c>
      <c r="F240" s="68"/>
      <c r="G240" s="68"/>
      <c r="H240" s="68"/>
      <c r="I240" s="69"/>
      <c r="J240" s="70" t="s">
        <v>1626</v>
      </c>
      <c r="K240" s="67"/>
      <c r="L240" s="70" t="s">
        <v>1998</v>
      </c>
      <c r="M240" s="75">
        <v>1.0</v>
      </c>
      <c r="N240" s="75">
        <v>1.0</v>
      </c>
      <c r="O240" s="75">
        <v>0.0</v>
      </c>
      <c r="P240" s="75">
        <v>0.0</v>
      </c>
      <c r="Q240" s="70" t="s">
        <v>22</v>
      </c>
      <c r="R240" s="71">
        <v>1.35</v>
      </c>
      <c r="S240" s="71">
        <v>6.35</v>
      </c>
      <c r="T240" s="67"/>
      <c r="U240" s="71">
        <v>0.0</v>
      </c>
      <c r="V240" s="68"/>
      <c r="W240" s="67"/>
      <c r="X240" s="67"/>
      <c r="Y240" s="67"/>
      <c r="Z240" s="67"/>
      <c r="AA240" s="67"/>
      <c r="AB240" s="67"/>
      <c r="AC240" s="67"/>
    </row>
    <row r="241">
      <c r="A241" s="74">
        <v>45959.0</v>
      </c>
      <c r="B241" s="70" t="s">
        <v>1999</v>
      </c>
      <c r="C241" s="70" t="s">
        <v>1846</v>
      </c>
      <c r="D241" s="71">
        <v>5.0</v>
      </c>
      <c r="E241" s="71">
        <v>0.0</v>
      </c>
      <c r="F241" s="68"/>
      <c r="G241" s="68"/>
      <c r="H241" s="71">
        <v>-5.94</v>
      </c>
      <c r="I241" s="72">
        <v>-1.0</v>
      </c>
      <c r="J241" s="70" t="s">
        <v>483</v>
      </c>
      <c r="K241" s="67"/>
      <c r="L241" s="70" t="s">
        <v>2000</v>
      </c>
      <c r="M241" s="75">
        <v>1.0</v>
      </c>
      <c r="N241" s="75">
        <v>0.0</v>
      </c>
      <c r="O241" s="75">
        <v>1.0</v>
      </c>
      <c r="P241" s="75">
        <v>0.0</v>
      </c>
      <c r="Q241" s="70" t="s">
        <v>22</v>
      </c>
      <c r="R241" s="71">
        <v>0.94</v>
      </c>
      <c r="S241" s="71">
        <v>5.94</v>
      </c>
      <c r="T241" s="67"/>
      <c r="U241" s="71">
        <v>0.0</v>
      </c>
      <c r="V241" s="68"/>
      <c r="W241" s="67"/>
      <c r="X241" s="67"/>
      <c r="Y241" s="67"/>
      <c r="Z241" s="67"/>
      <c r="AA241" s="67"/>
      <c r="AB241" s="67"/>
      <c r="AC241" s="67"/>
    </row>
    <row r="242">
      <c r="A242" s="74">
        <v>45959.0</v>
      </c>
      <c r="B242" s="70" t="s">
        <v>2001</v>
      </c>
      <c r="C242" s="70" t="s">
        <v>1846</v>
      </c>
      <c r="D242" s="71">
        <v>5.0</v>
      </c>
      <c r="E242" s="71">
        <v>0.0</v>
      </c>
      <c r="F242" s="68"/>
      <c r="G242" s="68"/>
      <c r="H242" s="71">
        <v>-5.0</v>
      </c>
      <c r="I242" s="72">
        <v>-1.0</v>
      </c>
      <c r="J242" s="70" t="s">
        <v>483</v>
      </c>
      <c r="K242" s="67"/>
      <c r="L242" s="70" t="s">
        <v>2002</v>
      </c>
      <c r="M242" s="75">
        <v>1.0</v>
      </c>
      <c r="N242" s="75">
        <v>0.0</v>
      </c>
      <c r="O242" s="75">
        <v>1.0</v>
      </c>
      <c r="P242" s="75">
        <v>0.0</v>
      </c>
      <c r="Q242" s="70" t="s">
        <v>22</v>
      </c>
      <c r="R242" s="71">
        <v>0.0</v>
      </c>
      <c r="S242" s="71">
        <v>5.0</v>
      </c>
      <c r="T242" s="67"/>
      <c r="U242" s="71">
        <v>0.0</v>
      </c>
      <c r="V242" s="68"/>
      <c r="W242" s="67"/>
      <c r="X242" s="67"/>
      <c r="Y242" s="67"/>
      <c r="Z242" s="67"/>
      <c r="AA242" s="67"/>
      <c r="AB242" s="67"/>
      <c r="AC242" s="67"/>
    </row>
    <row r="243">
      <c r="A243" s="74">
        <v>45959.0</v>
      </c>
      <c r="B243" s="70" t="s">
        <v>2003</v>
      </c>
      <c r="C243" s="70" t="s">
        <v>1849</v>
      </c>
      <c r="D243" s="71">
        <v>12.0</v>
      </c>
      <c r="E243" s="71">
        <v>29.99</v>
      </c>
      <c r="F243" s="68"/>
      <c r="G243" s="71">
        <v>14.0</v>
      </c>
      <c r="H243" s="71">
        <v>0.65</v>
      </c>
      <c r="I243" s="72">
        <v>0.04642857142857143</v>
      </c>
      <c r="J243" s="70" t="s">
        <v>1626</v>
      </c>
      <c r="K243" s="67"/>
      <c r="L243" s="70" t="s">
        <v>2004</v>
      </c>
      <c r="M243" s="75">
        <v>1.0</v>
      </c>
      <c r="N243" s="75">
        <v>1.0</v>
      </c>
      <c r="O243" s="75">
        <v>0.0</v>
      </c>
      <c r="P243" s="75">
        <v>0.0</v>
      </c>
      <c r="Q243" s="70" t="s">
        <v>22</v>
      </c>
      <c r="R243" s="71">
        <v>1.35</v>
      </c>
      <c r="S243" s="71">
        <v>13.35</v>
      </c>
      <c r="T243" s="67"/>
      <c r="U243" s="71">
        <v>0.0</v>
      </c>
      <c r="V243" s="71">
        <v>29.99</v>
      </c>
      <c r="W243" s="67"/>
      <c r="X243" s="67"/>
      <c r="Y243" s="67"/>
      <c r="Z243" s="67"/>
      <c r="AA243" s="67"/>
      <c r="AB243" s="67"/>
      <c r="AC243" s="67"/>
    </row>
    <row r="244">
      <c r="A244" s="74">
        <v>45959.0</v>
      </c>
      <c r="B244" s="70" t="s">
        <v>2005</v>
      </c>
      <c r="C244" s="70" t="s">
        <v>1849</v>
      </c>
      <c r="D244" s="71">
        <v>12.0</v>
      </c>
      <c r="E244" s="71">
        <v>29.99</v>
      </c>
      <c r="F244" s="68"/>
      <c r="G244" s="71">
        <v>14.0</v>
      </c>
      <c r="H244" s="71">
        <v>0.65</v>
      </c>
      <c r="I244" s="72">
        <v>0.04642857142857143</v>
      </c>
      <c r="J244" s="70" t="s">
        <v>1626</v>
      </c>
      <c r="K244" s="67"/>
      <c r="L244" s="70" t="s">
        <v>2006</v>
      </c>
      <c r="M244" s="75">
        <v>1.0</v>
      </c>
      <c r="N244" s="75">
        <v>1.0</v>
      </c>
      <c r="O244" s="75">
        <v>0.0</v>
      </c>
      <c r="P244" s="75">
        <v>0.0</v>
      </c>
      <c r="Q244" s="70" t="s">
        <v>22</v>
      </c>
      <c r="R244" s="71">
        <v>1.35</v>
      </c>
      <c r="S244" s="71">
        <v>13.35</v>
      </c>
      <c r="T244" s="67"/>
      <c r="U244" s="71">
        <v>0.0</v>
      </c>
      <c r="V244" s="71">
        <v>29.99</v>
      </c>
      <c r="W244" s="67"/>
      <c r="X244" s="67"/>
      <c r="Y244" s="67"/>
      <c r="Z244" s="67"/>
      <c r="AA244" s="67"/>
      <c r="AB244" s="67"/>
      <c r="AC244" s="67"/>
    </row>
    <row r="245">
      <c r="A245" s="74">
        <v>45959.0</v>
      </c>
      <c r="B245" s="70" t="s">
        <v>2007</v>
      </c>
      <c r="C245" s="70" t="s">
        <v>1691</v>
      </c>
      <c r="D245" s="71">
        <v>14.4</v>
      </c>
      <c r="E245" s="71">
        <v>29.99</v>
      </c>
      <c r="F245" s="68"/>
      <c r="G245" s="71">
        <v>10.0</v>
      </c>
      <c r="H245" s="71">
        <v>-5.75</v>
      </c>
      <c r="I245" s="72">
        <v>-0.575</v>
      </c>
      <c r="J245" s="70" t="s">
        <v>1626</v>
      </c>
      <c r="K245" s="67"/>
      <c r="L245" s="70" t="s">
        <v>2008</v>
      </c>
      <c r="M245" s="75">
        <v>1.0</v>
      </c>
      <c r="N245" s="75">
        <v>1.0</v>
      </c>
      <c r="O245" s="75">
        <v>0.0</v>
      </c>
      <c r="P245" s="75">
        <v>0.0</v>
      </c>
      <c r="Q245" s="70" t="s">
        <v>22</v>
      </c>
      <c r="R245" s="71">
        <v>1.35</v>
      </c>
      <c r="S245" s="71">
        <v>15.75</v>
      </c>
      <c r="T245" s="67"/>
      <c r="U245" s="71">
        <v>0.0</v>
      </c>
      <c r="V245" s="71">
        <v>29.99</v>
      </c>
      <c r="W245" s="67"/>
      <c r="X245" s="67"/>
      <c r="Y245" s="67"/>
      <c r="Z245" s="67"/>
      <c r="AA245" s="67"/>
      <c r="AB245" s="67"/>
      <c r="AC245" s="67"/>
    </row>
    <row r="246">
      <c r="A246" s="74">
        <v>45959.0</v>
      </c>
      <c r="B246" s="70" t="s">
        <v>2009</v>
      </c>
      <c r="C246" s="70" t="s">
        <v>1691</v>
      </c>
      <c r="D246" s="71">
        <v>14.4</v>
      </c>
      <c r="E246" s="71">
        <v>29.99</v>
      </c>
      <c r="F246" s="68"/>
      <c r="G246" s="71">
        <v>5.0</v>
      </c>
      <c r="H246" s="71">
        <v>-10.01</v>
      </c>
      <c r="I246" s="72">
        <v>-2.002</v>
      </c>
      <c r="J246" s="70" t="s">
        <v>1626</v>
      </c>
      <c r="K246" s="67"/>
      <c r="L246" s="70" t="s">
        <v>2010</v>
      </c>
      <c r="M246" s="75">
        <v>1.0</v>
      </c>
      <c r="N246" s="75">
        <v>1.0</v>
      </c>
      <c r="O246" s="75">
        <v>0.0</v>
      </c>
      <c r="P246" s="75">
        <v>0.0</v>
      </c>
      <c r="Q246" s="70" t="s">
        <v>22</v>
      </c>
      <c r="R246" s="71">
        <v>0.61</v>
      </c>
      <c r="S246" s="71">
        <v>15.01</v>
      </c>
      <c r="T246" s="67"/>
      <c r="U246" s="71">
        <v>5.0</v>
      </c>
      <c r="V246" s="71">
        <v>34.99</v>
      </c>
      <c r="W246" s="67"/>
      <c r="X246" s="67"/>
      <c r="Y246" s="67"/>
      <c r="Z246" s="67"/>
      <c r="AA246" s="67"/>
      <c r="AB246" s="67"/>
      <c r="AC246" s="67"/>
    </row>
    <row r="247">
      <c r="A247" s="74">
        <v>45959.0</v>
      </c>
      <c r="B247" s="70" t="s">
        <v>2011</v>
      </c>
      <c r="C247" s="70" t="s">
        <v>1805</v>
      </c>
      <c r="D247" s="71">
        <v>9.0</v>
      </c>
      <c r="E247" s="71">
        <v>18.99</v>
      </c>
      <c r="F247" s="68"/>
      <c r="G247" s="71">
        <v>24.0</v>
      </c>
      <c r="H247" s="71">
        <v>14.06</v>
      </c>
      <c r="I247" s="72">
        <v>0.5858333333333333</v>
      </c>
      <c r="J247" s="70" t="s">
        <v>1626</v>
      </c>
      <c r="K247" s="67"/>
      <c r="L247" s="70" t="s">
        <v>2012</v>
      </c>
      <c r="M247" s="75">
        <v>1.0</v>
      </c>
      <c r="N247" s="75">
        <v>1.0</v>
      </c>
      <c r="O247" s="75">
        <v>0.0</v>
      </c>
      <c r="P247" s="75">
        <v>0.0</v>
      </c>
      <c r="Q247" s="70" t="s">
        <v>22</v>
      </c>
      <c r="R247" s="71">
        <v>0.94</v>
      </c>
      <c r="S247" s="71">
        <v>9.94</v>
      </c>
      <c r="T247" s="67"/>
      <c r="U247" s="71">
        <v>0.0</v>
      </c>
      <c r="V247" s="71">
        <v>18.99</v>
      </c>
      <c r="W247" s="67"/>
      <c r="X247" s="67"/>
      <c r="Y247" s="67"/>
      <c r="Z247" s="67"/>
      <c r="AA247" s="67"/>
      <c r="AB247" s="67"/>
      <c r="AC247" s="67"/>
    </row>
    <row r="248">
      <c r="A248" s="74">
        <v>45959.0</v>
      </c>
      <c r="B248" s="70" t="s">
        <v>2013</v>
      </c>
      <c r="C248" s="70" t="s">
        <v>1805</v>
      </c>
      <c r="D248" s="71">
        <v>9.0</v>
      </c>
      <c r="E248" s="71">
        <v>18.99</v>
      </c>
      <c r="F248" s="68"/>
      <c r="G248" s="71">
        <v>15.0</v>
      </c>
      <c r="H248" s="71">
        <v>4.65</v>
      </c>
      <c r="I248" s="72">
        <v>0.31</v>
      </c>
      <c r="J248" s="70" t="s">
        <v>1626</v>
      </c>
      <c r="K248" s="67"/>
      <c r="L248" s="70" t="s">
        <v>2014</v>
      </c>
      <c r="M248" s="75">
        <v>1.0</v>
      </c>
      <c r="N248" s="75">
        <v>1.0</v>
      </c>
      <c r="O248" s="75">
        <v>0.0</v>
      </c>
      <c r="P248" s="75">
        <v>0.0</v>
      </c>
      <c r="Q248" s="70" t="s">
        <v>22</v>
      </c>
      <c r="R248" s="71">
        <v>1.35</v>
      </c>
      <c r="S248" s="71">
        <v>10.35</v>
      </c>
      <c r="T248" s="67"/>
      <c r="U248" s="71">
        <v>0.0</v>
      </c>
      <c r="V248" s="71">
        <v>18.99</v>
      </c>
      <c r="W248" s="67"/>
      <c r="X248" s="67"/>
      <c r="Y248" s="67"/>
      <c r="Z248" s="67"/>
      <c r="AA248" s="67"/>
      <c r="AB248" s="67"/>
      <c r="AC248" s="67"/>
    </row>
    <row r="249">
      <c r="A249" s="74">
        <v>45959.0</v>
      </c>
      <c r="B249" s="70" t="s">
        <v>2015</v>
      </c>
      <c r="C249" s="70" t="s">
        <v>1564</v>
      </c>
      <c r="D249" s="71">
        <v>7.8</v>
      </c>
      <c r="E249" s="71">
        <v>16.99</v>
      </c>
      <c r="F249" s="68"/>
      <c r="G249" s="71">
        <v>10.0</v>
      </c>
      <c r="H249" s="71">
        <v>2.2</v>
      </c>
      <c r="I249" s="72">
        <v>0.22000000000000003</v>
      </c>
      <c r="J249" s="70" t="s">
        <v>1626</v>
      </c>
      <c r="K249" s="67"/>
      <c r="L249" s="70" t="s">
        <v>2016</v>
      </c>
      <c r="M249" s="75">
        <v>1.0</v>
      </c>
      <c r="N249" s="75">
        <v>1.0</v>
      </c>
      <c r="O249" s="75">
        <v>0.0</v>
      </c>
      <c r="P249" s="75">
        <v>0.0</v>
      </c>
      <c r="Q249" s="70" t="s">
        <v>22</v>
      </c>
      <c r="R249" s="71">
        <v>0.0</v>
      </c>
      <c r="S249" s="71">
        <v>7.8</v>
      </c>
      <c r="T249" s="67"/>
      <c r="U249" s="71">
        <v>0.0</v>
      </c>
      <c r="V249" s="71">
        <v>16.99</v>
      </c>
      <c r="W249" s="67"/>
      <c r="X249" s="67"/>
      <c r="Y249" s="67"/>
      <c r="Z249" s="67"/>
      <c r="AA249" s="67"/>
      <c r="AB249" s="67"/>
      <c r="AC249" s="67"/>
    </row>
    <row r="250">
      <c r="A250" s="74">
        <v>45959.0</v>
      </c>
      <c r="B250" s="70" t="s">
        <v>2017</v>
      </c>
      <c r="C250" s="70" t="s">
        <v>1831</v>
      </c>
      <c r="D250" s="71">
        <v>5.95</v>
      </c>
      <c r="E250" s="71">
        <v>14.99</v>
      </c>
      <c r="F250" s="68"/>
      <c r="G250" s="71">
        <v>10.0</v>
      </c>
      <c r="H250" s="71">
        <v>4.05</v>
      </c>
      <c r="I250" s="72">
        <v>0.40499999999999997</v>
      </c>
      <c r="J250" s="70" t="s">
        <v>1626</v>
      </c>
      <c r="K250" s="67"/>
      <c r="L250" s="70" t="s">
        <v>2018</v>
      </c>
      <c r="M250" s="75">
        <v>1.0</v>
      </c>
      <c r="N250" s="75">
        <v>1.0</v>
      </c>
      <c r="O250" s="75">
        <v>0.0</v>
      </c>
      <c r="P250" s="75">
        <v>0.0</v>
      </c>
      <c r="Q250" s="70" t="s">
        <v>22</v>
      </c>
      <c r="R250" s="71">
        <v>0.0</v>
      </c>
      <c r="S250" s="71">
        <v>5.95</v>
      </c>
      <c r="T250" s="67"/>
      <c r="U250" s="71">
        <v>0.25</v>
      </c>
      <c r="V250" s="71">
        <v>15.24</v>
      </c>
      <c r="W250" s="67"/>
      <c r="X250" s="67"/>
      <c r="Y250" s="67"/>
      <c r="Z250" s="67"/>
      <c r="AA250" s="67"/>
      <c r="AB250" s="67"/>
      <c r="AC250" s="67"/>
    </row>
    <row r="251">
      <c r="A251" s="74">
        <v>45960.0</v>
      </c>
      <c r="B251" s="70" t="s">
        <v>2019</v>
      </c>
      <c r="C251" s="70" t="s">
        <v>1779</v>
      </c>
      <c r="D251" s="71">
        <v>4.19</v>
      </c>
      <c r="E251" s="71">
        <v>15.0</v>
      </c>
      <c r="F251" s="68"/>
      <c r="G251" s="71">
        <v>10.0</v>
      </c>
      <c r="H251" s="71">
        <v>4.81</v>
      </c>
      <c r="I251" s="72">
        <v>0.481</v>
      </c>
      <c r="J251" s="70" t="s">
        <v>1626</v>
      </c>
      <c r="K251" s="67"/>
      <c r="L251" s="67" t="s">
        <v>2020</v>
      </c>
      <c r="M251" s="75">
        <v>1.0</v>
      </c>
      <c r="N251" s="75">
        <v>1.0</v>
      </c>
      <c r="O251" s="75">
        <v>0.0</v>
      </c>
      <c r="P251" s="75">
        <v>0.0</v>
      </c>
      <c r="Q251" s="76" t="s">
        <v>22</v>
      </c>
      <c r="R251" s="71">
        <v>1.0</v>
      </c>
      <c r="S251" s="71">
        <v>5.19</v>
      </c>
      <c r="T251" s="70"/>
      <c r="U251" s="71">
        <v>5.0</v>
      </c>
      <c r="V251" s="71">
        <v>20.0</v>
      </c>
      <c r="W251" s="67"/>
      <c r="X251" s="67"/>
      <c r="Y251" s="67"/>
      <c r="Z251" s="67"/>
      <c r="AA251" s="67"/>
      <c r="AB251" s="67"/>
      <c r="AC251" s="67"/>
    </row>
    <row r="252">
      <c r="A252" s="74">
        <v>45960.0</v>
      </c>
      <c r="B252" s="70" t="s">
        <v>2021</v>
      </c>
      <c r="C252" s="70" t="s">
        <v>1721</v>
      </c>
      <c r="D252" s="71">
        <v>4.19</v>
      </c>
      <c r="E252" s="71">
        <v>0.0</v>
      </c>
      <c r="F252" s="68"/>
      <c r="G252" s="71">
        <v>5.0</v>
      </c>
      <c r="H252" s="71">
        <v>0.81</v>
      </c>
      <c r="I252" s="72">
        <v>0.162</v>
      </c>
      <c r="J252" s="70" t="s">
        <v>1626</v>
      </c>
      <c r="K252" s="67"/>
      <c r="L252" s="70" t="s">
        <v>2022</v>
      </c>
      <c r="M252" s="75">
        <v>1.0</v>
      </c>
      <c r="N252" s="75">
        <v>1.0</v>
      </c>
      <c r="O252" s="75">
        <v>0.0</v>
      </c>
      <c r="P252" s="75">
        <v>0.0</v>
      </c>
      <c r="Q252" s="70" t="s">
        <v>22</v>
      </c>
      <c r="R252" s="71">
        <v>0.0</v>
      </c>
      <c r="S252" s="71">
        <v>4.19</v>
      </c>
      <c r="T252" s="70"/>
      <c r="U252" s="71">
        <v>0.0</v>
      </c>
      <c r="V252" s="71"/>
      <c r="W252" s="67"/>
      <c r="X252" s="67"/>
      <c r="Y252" s="67"/>
      <c r="Z252" s="67"/>
      <c r="AA252" s="67"/>
      <c r="AB252" s="67"/>
      <c r="AC252" s="67"/>
    </row>
    <row r="253">
      <c r="A253" s="74">
        <v>45960.0</v>
      </c>
      <c r="B253" s="70" t="s">
        <v>2023</v>
      </c>
      <c r="C253" s="70" t="s">
        <v>1675</v>
      </c>
      <c r="D253" s="71">
        <v>14.29</v>
      </c>
      <c r="E253" s="71">
        <v>0.0</v>
      </c>
      <c r="F253" s="68"/>
      <c r="G253" s="71">
        <v>8.0</v>
      </c>
      <c r="H253" s="71">
        <v>-6.29</v>
      </c>
      <c r="I253" s="72">
        <v>-0.78625</v>
      </c>
      <c r="J253" s="70" t="s">
        <v>1626</v>
      </c>
      <c r="K253" s="67"/>
      <c r="L253" s="70" t="s">
        <v>2024</v>
      </c>
      <c r="M253" s="75">
        <v>1.0</v>
      </c>
      <c r="N253" s="75">
        <v>1.0</v>
      </c>
      <c r="O253" s="75">
        <v>0.0</v>
      </c>
      <c r="P253" s="75">
        <v>0.0</v>
      </c>
      <c r="Q253" s="70" t="s">
        <v>22</v>
      </c>
      <c r="R253" s="71">
        <v>0.0</v>
      </c>
      <c r="S253" s="71">
        <v>14.29</v>
      </c>
      <c r="T253" s="67"/>
      <c r="U253" s="71">
        <v>0.0</v>
      </c>
      <c r="V253" s="71"/>
      <c r="W253" s="67"/>
      <c r="X253" s="67"/>
      <c r="Y253" s="67"/>
      <c r="Z253" s="67"/>
      <c r="AA253" s="67"/>
      <c r="AB253" s="67"/>
      <c r="AC253" s="67"/>
    </row>
    <row r="254">
      <c r="A254" s="74">
        <v>45960.0</v>
      </c>
      <c r="B254" s="70" t="s">
        <v>2025</v>
      </c>
      <c r="C254" s="70" t="s">
        <v>1914</v>
      </c>
      <c r="D254" s="71">
        <v>4.06</v>
      </c>
      <c r="E254" s="71">
        <v>0.0</v>
      </c>
      <c r="F254" s="68"/>
      <c r="G254" s="71">
        <v>6.0</v>
      </c>
      <c r="H254" s="71">
        <v>1.94</v>
      </c>
      <c r="I254" s="72">
        <v>0.3233333333333333</v>
      </c>
      <c r="J254" s="70" t="s">
        <v>1626</v>
      </c>
      <c r="K254" s="67"/>
      <c r="L254" s="70" t="s">
        <v>2026</v>
      </c>
      <c r="M254" s="75">
        <v>1.0</v>
      </c>
      <c r="N254" s="75">
        <v>1.0</v>
      </c>
      <c r="O254" s="75">
        <v>0.0</v>
      </c>
      <c r="P254" s="75">
        <v>0.0</v>
      </c>
      <c r="Q254" s="70" t="s">
        <v>22</v>
      </c>
      <c r="R254" s="71">
        <v>0.0</v>
      </c>
      <c r="S254" s="71">
        <v>4.06</v>
      </c>
      <c r="T254" s="67"/>
      <c r="U254" s="71">
        <v>0.0</v>
      </c>
      <c r="V254" s="71"/>
      <c r="W254" s="67"/>
      <c r="X254" s="67"/>
      <c r="Y254" s="67"/>
      <c r="Z254" s="67"/>
      <c r="AA254" s="67"/>
      <c r="AB254" s="67"/>
      <c r="AC254" s="67"/>
    </row>
    <row r="255">
      <c r="A255" s="74">
        <v>45960.0</v>
      </c>
      <c r="B255" s="70" t="s">
        <v>2027</v>
      </c>
      <c r="C255" s="70" t="s">
        <v>1569</v>
      </c>
      <c r="D255" s="71">
        <v>2.2</v>
      </c>
      <c r="E255" s="71">
        <v>0.0</v>
      </c>
      <c r="F255" s="68"/>
      <c r="G255" s="68"/>
      <c r="H255" s="71">
        <v>-2.33</v>
      </c>
      <c r="I255" s="72">
        <v>-1.0</v>
      </c>
      <c r="J255" s="70" t="s">
        <v>483</v>
      </c>
      <c r="K255" s="67"/>
      <c r="L255" s="70" t="s">
        <v>2028</v>
      </c>
      <c r="M255" s="75">
        <v>1.0</v>
      </c>
      <c r="N255" s="75">
        <v>0.0</v>
      </c>
      <c r="O255" s="75">
        <v>1.0</v>
      </c>
      <c r="P255" s="75">
        <v>0.0</v>
      </c>
      <c r="Q255" s="70" t="s">
        <v>22</v>
      </c>
      <c r="R255" s="71">
        <v>0.13</v>
      </c>
      <c r="S255" s="71">
        <v>2.33</v>
      </c>
      <c r="T255" s="67"/>
      <c r="U255" s="71">
        <v>0.0</v>
      </c>
      <c r="V255" s="71"/>
      <c r="W255" s="67"/>
      <c r="X255" s="67"/>
      <c r="Y255" s="67"/>
      <c r="Z255" s="67"/>
      <c r="AA255" s="67"/>
      <c r="AB255" s="67"/>
      <c r="AC255" s="67"/>
    </row>
    <row r="256">
      <c r="A256" s="74">
        <v>45960.0</v>
      </c>
      <c r="B256" s="70" t="s">
        <v>2029</v>
      </c>
      <c r="C256" s="70" t="s">
        <v>1468</v>
      </c>
      <c r="D256" s="71">
        <v>0.0</v>
      </c>
      <c r="E256" s="71">
        <v>0.0</v>
      </c>
      <c r="F256" s="68"/>
      <c r="G256" s="71">
        <v>10.0</v>
      </c>
      <c r="H256" s="71">
        <v>10.0</v>
      </c>
      <c r="I256" s="72">
        <v>1.0</v>
      </c>
      <c r="J256" s="70" t="s">
        <v>1626</v>
      </c>
      <c r="K256" s="67"/>
      <c r="L256" s="70" t="s">
        <v>2030</v>
      </c>
      <c r="M256" s="75">
        <v>1.0</v>
      </c>
      <c r="N256" s="75">
        <v>1.0</v>
      </c>
      <c r="O256" s="75">
        <v>0.0</v>
      </c>
      <c r="P256" s="75">
        <v>0.0</v>
      </c>
      <c r="Q256" s="70" t="s">
        <v>22</v>
      </c>
      <c r="R256" s="71">
        <v>0.0</v>
      </c>
      <c r="S256" s="71">
        <v>0.0</v>
      </c>
      <c r="T256" s="67"/>
      <c r="U256" s="71">
        <v>0.0</v>
      </c>
      <c r="V256" s="68"/>
      <c r="W256" s="67"/>
      <c r="X256" s="67"/>
      <c r="Y256" s="67"/>
      <c r="Z256" s="67"/>
      <c r="AA256" s="67"/>
      <c r="AB256" s="67"/>
      <c r="AC256" s="67"/>
    </row>
    <row r="257">
      <c r="A257" s="74">
        <v>45960.0</v>
      </c>
      <c r="B257" s="70" t="s">
        <v>2031</v>
      </c>
      <c r="C257" s="70" t="s">
        <v>1747</v>
      </c>
      <c r="D257" s="71">
        <v>2.0</v>
      </c>
      <c r="E257" s="71">
        <v>6.0</v>
      </c>
      <c r="F257" s="68"/>
      <c r="G257" s="68"/>
      <c r="H257" s="68"/>
      <c r="I257" s="69"/>
      <c r="J257" s="70" t="s">
        <v>1626</v>
      </c>
      <c r="K257" s="67"/>
      <c r="L257" s="70" t="s">
        <v>2032</v>
      </c>
      <c r="M257" s="75">
        <v>1.0</v>
      </c>
      <c r="N257" s="75">
        <v>1.0</v>
      </c>
      <c r="O257" s="75">
        <v>0.0</v>
      </c>
      <c r="P257" s="75">
        <v>0.0</v>
      </c>
      <c r="Q257" s="70" t="s">
        <v>22</v>
      </c>
      <c r="R257" s="71">
        <v>0.29</v>
      </c>
      <c r="S257" s="71">
        <v>2.29</v>
      </c>
      <c r="T257" s="67"/>
      <c r="U257" s="71">
        <v>0.0</v>
      </c>
      <c r="V257" s="71">
        <v>6.0</v>
      </c>
      <c r="W257" s="67"/>
      <c r="X257" s="67"/>
      <c r="Y257" s="67"/>
      <c r="Z257" s="67"/>
      <c r="AA257" s="67"/>
      <c r="AB257" s="67"/>
      <c r="AC257" s="67"/>
    </row>
    <row r="258">
      <c r="A258" s="74">
        <v>45960.0</v>
      </c>
      <c r="B258" s="70" t="s">
        <v>2033</v>
      </c>
      <c r="C258" s="70" t="s">
        <v>1471</v>
      </c>
      <c r="D258" s="71">
        <v>0.0</v>
      </c>
      <c r="E258" s="71">
        <v>0.0</v>
      </c>
      <c r="F258" s="68"/>
      <c r="G258" s="68"/>
      <c r="H258" s="71">
        <v>-0.29</v>
      </c>
      <c r="I258" s="72">
        <v>-1.0</v>
      </c>
      <c r="J258" s="70" t="s">
        <v>483</v>
      </c>
      <c r="K258" s="67"/>
      <c r="L258" s="70" t="s">
        <v>2034</v>
      </c>
      <c r="M258" s="75">
        <v>1.0</v>
      </c>
      <c r="N258" s="75">
        <v>0.0</v>
      </c>
      <c r="O258" s="75">
        <v>1.0</v>
      </c>
      <c r="P258" s="75">
        <v>0.0</v>
      </c>
      <c r="Q258" s="70" t="s">
        <v>22</v>
      </c>
      <c r="R258" s="71">
        <v>0.29</v>
      </c>
      <c r="S258" s="71">
        <v>0.29</v>
      </c>
      <c r="T258" s="70"/>
      <c r="U258" s="71">
        <v>0.0</v>
      </c>
      <c r="V258" s="71"/>
      <c r="W258" s="67"/>
      <c r="X258" s="67"/>
      <c r="Y258" s="67"/>
      <c r="Z258" s="67"/>
      <c r="AA258" s="67"/>
      <c r="AB258" s="67"/>
      <c r="AC258" s="67"/>
    </row>
    <row r="259">
      <c r="A259" s="74">
        <v>45960.0</v>
      </c>
      <c r="B259" s="70" t="s">
        <v>2035</v>
      </c>
      <c r="C259" s="70" t="s">
        <v>1468</v>
      </c>
      <c r="D259" s="71">
        <v>0.0</v>
      </c>
      <c r="E259" s="71">
        <v>0.0</v>
      </c>
      <c r="F259" s="68"/>
      <c r="G259" s="68"/>
      <c r="H259" s="71">
        <v>-0.29</v>
      </c>
      <c r="I259" s="72">
        <v>-1.0</v>
      </c>
      <c r="J259" s="70" t="s">
        <v>483</v>
      </c>
      <c r="K259" s="67"/>
      <c r="L259" s="70" t="s">
        <v>2036</v>
      </c>
      <c r="M259" s="75">
        <v>1.0</v>
      </c>
      <c r="N259" s="75">
        <v>0.0</v>
      </c>
      <c r="O259" s="75">
        <v>1.0</v>
      </c>
      <c r="P259" s="75">
        <v>0.0</v>
      </c>
      <c r="Q259" s="70" t="s">
        <v>22</v>
      </c>
      <c r="R259" s="71">
        <v>0.29</v>
      </c>
      <c r="S259" s="71">
        <v>0.29</v>
      </c>
      <c r="T259" s="67"/>
      <c r="U259" s="71">
        <v>0.0</v>
      </c>
      <c r="V259" s="71"/>
      <c r="W259" s="67"/>
      <c r="X259" s="67"/>
      <c r="Y259" s="67"/>
      <c r="Z259" s="67"/>
      <c r="AA259" s="67"/>
      <c r="AB259" s="67"/>
      <c r="AC259" s="67"/>
    </row>
    <row r="260">
      <c r="A260" s="74">
        <v>45960.0</v>
      </c>
      <c r="B260" s="70" t="s">
        <v>2037</v>
      </c>
      <c r="C260" s="70" t="s">
        <v>1468</v>
      </c>
      <c r="D260" s="71">
        <v>0.0</v>
      </c>
      <c r="E260" s="71">
        <v>0.0</v>
      </c>
      <c r="F260" s="68"/>
      <c r="G260" s="68"/>
      <c r="H260" s="71">
        <v>-0.29</v>
      </c>
      <c r="I260" s="72">
        <v>-1.0</v>
      </c>
      <c r="J260" s="70" t="s">
        <v>483</v>
      </c>
      <c r="K260" s="67"/>
      <c r="L260" s="70" t="s">
        <v>2038</v>
      </c>
      <c r="M260" s="75">
        <v>1.0</v>
      </c>
      <c r="N260" s="75">
        <v>0.0</v>
      </c>
      <c r="O260" s="75">
        <v>1.0</v>
      </c>
      <c r="P260" s="75">
        <v>0.0</v>
      </c>
      <c r="Q260" s="70" t="s">
        <v>22</v>
      </c>
      <c r="R260" s="71">
        <v>0.29</v>
      </c>
      <c r="S260" s="71">
        <v>0.29</v>
      </c>
      <c r="T260" s="67"/>
      <c r="U260" s="71">
        <v>0.0</v>
      </c>
      <c r="V260" s="68"/>
      <c r="W260" s="67"/>
      <c r="X260" s="67"/>
      <c r="Y260" s="67"/>
      <c r="Z260" s="67"/>
      <c r="AA260" s="67"/>
      <c r="AB260" s="67"/>
      <c r="AC260" s="67"/>
    </row>
    <row r="261">
      <c r="A261" s="74">
        <v>45960.0</v>
      </c>
      <c r="B261" s="70" t="s">
        <v>2039</v>
      </c>
      <c r="C261" s="70" t="s">
        <v>1497</v>
      </c>
      <c r="D261" s="71">
        <v>7.8</v>
      </c>
      <c r="E261" s="71">
        <v>16.99</v>
      </c>
      <c r="F261" s="68"/>
      <c r="G261" s="68"/>
      <c r="H261" s="71">
        <v>-8.09</v>
      </c>
      <c r="I261" s="72">
        <v>-1.0</v>
      </c>
      <c r="J261" s="70" t="s">
        <v>483</v>
      </c>
      <c r="K261" s="67"/>
      <c r="L261" s="70" t="s">
        <v>2040</v>
      </c>
      <c r="M261" s="75">
        <v>1.0</v>
      </c>
      <c r="N261" s="75">
        <v>0.0</v>
      </c>
      <c r="O261" s="75">
        <v>1.0</v>
      </c>
      <c r="P261" s="75">
        <v>0.0</v>
      </c>
      <c r="Q261" s="70" t="s">
        <v>22</v>
      </c>
      <c r="R261" s="71">
        <v>0.29</v>
      </c>
      <c r="S261" s="71">
        <v>8.09</v>
      </c>
      <c r="T261" s="67"/>
      <c r="U261" s="71">
        <v>0.0</v>
      </c>
      <c r="V261" s="71">
        <v>16.99</v>
      </c>
      <c r="W261" s="67"/>
      <c r="X261" s="67"/>
      <c r="Y261" s="67"/>
      <c r="Z261" s="67"/>
      <c r="AA261" s="67"/>
      <c r="AB261" s="67"/>
      <c r="AC261" s="67"/>
    </row>
    <row r="262">
      <c r="A262" s="74">
        <v>45960.0</v>
      </c>
      <c r="B262" s="70" t="s">
        <v>2041</v>
      </c>
      <c r="C262" s="70" t="s">
        <v>1684</v>
      </c>
      <c r="D262" s="71">
        <v>0.0</v>
      </c>
      <c r="E262" s="71">
        <v>0.0</v>
      </c>
      <c r="F262" s="68"/>
      <c r="G262" s="68"/>
      <c r="H262" s="71">
        <v>-0.29</v>
      </c>
      <c r="I262" s="72">
        <v>-1.0</v>
      </c>
      <c r="J262" s="70" t="s">
        <v>483</v>
      </c>
      <c r="K262" s="67"/>
      <c r="L262" s="70" t="s">
        <v>2042</v>
      </c>
      <c r="M262" s="75">
        <v>1.0</v>
      </c>
      <c r="N262" s="75">
        <v>0.0</v>
      </c>
      <c r="O262" s="75">
        <v>1.0</v>
      </c>
      <c r="P262" s="75">
        <v>0.0</v>
      </c>
      <c r="Q262" s="70" t="s">
        <v>22</v>
      </c>
      <c r="R262" s="71">
        <v>0.29</v>
      </c>
      <c r="S262" s="71">
        <v>0.29</v>
      </c>
      <c r="T262" s="67"/>
      <c r="U262" s="71">
        <v>0.0</v>
      </c>
      <c r="V262" s="68"/>
      <c r="W262" s="67"/>
      <c r="X262" s="67"/>
      <c r="Y262" s="67"/>
      <c r="Z262" s="67"/>
      <c r="AA262" s="67"/>
      <c r="AB262" s="67"/>
      <c r="AC262" s="67"/>
    </row>
    <row r="263">
      <c r="A263" s="74">
        <v>45960.0</v>
      </c>
      <c r="B263" s="70" t="s">
        <v>2043</v>
      </c>
      <c r="C263" s="70" t="s">
        <v>1849</v>
      </c>
      <c r="D263" s="71">
        <v>12.0</v>
      </c>
      <c r="E263" s="71">
        <v>29.99</v>
      </c>
      <c r="F263" s="68"/>
      <c r="G263" s="71">
        <v>14.0</v>
      </c>
      <c r="H263" s="71">
        <v>0.65</v>
      </c>
      <c r="I263" s="72">
        <v>0.04642857142857143</v>
      </c>
      <c r="J263" s="70" t="s">
        <v>1626</v>
      </c>
      <c r="K263" s="67"/>
      <c r="L263" s="70" t="s">
        <v>2044</v>
      </c>
      <c r="M263" s="75">
        <v>1.0</v>
      </c>
      <c r="N263" s="75">
        <v>1.0</v>
      </c>
      <c r="O263" s="75">
        <v>0.0</v>
      </c>
      <c r="P263" s="75">
        <v>0.0</v>
      </c>
      <c r="Q263" s="70" t="s">
        <v>22</v>
      </c>
      <c r="R263" s="71">
        <v>1.35</v>
      </c>
      <c r="S263" s="71">
        <v>13.35</v>
      </c>
      <c r="T263" s="67"/>
      <c r="U263" s="71">
        <v>0.0</v>
      </c>
      <c r="V263" s="71">
        <v>29.99</v>
      </c>
      <c r="W263" s="67"/>
      <c r="X263" s="67"/>
      <c r="Y263" s="67"/>
      <c r="Z263" s="67"/>
      <c r="AA263" s="67"/>
      <c r="AB263" s="67"/>
      <c r="AC263" s="67"/>
    </row>
    <row r="264">
      <c r="A264" s="74">
        <v>45961.0</v>
      </c>
      <c r="B264" s="70" t="s">
        <v>2045</v>
      </c>
      <c r="C264" s="70" t="s">
        <v>1545</v>
      </c>
      <c r="D264" s="71">
        <v>8.1</v>
      </c>
      <c r="E264" s="71">
        <v>16.99</v>
      </c>
      <c r="F264" s="68"/>
      <c r="G264" s="71">
        <v>10.0</v>
      </c>
      <c r="H264" s="71">
        <v>1.9</v>
      </c>
      <c r="I264" s="72">
        <v>0.19</v>
      </c>
      <c r="J264" s="70" t="s">
        <v>1626</v>
      </c>
      <c r="K264" s="67"/>
      <c r="L264" s="70" t="s">
        <v>2046</v>
      </c>
      <c r="M264" s="75">
        <v>1.0</v>
      </c>
      <c r="N264" s="75">
        <v>1.0</v>
      </c>
      <c r="O264" s="75">
        <v>0.0</v>
      </c>
      <c r="P264" s="75">
        <v>0.0</v>
      </c>
      <c r="Q264" s="70" t="s">
        <v>22</v>
      </c>
      <c r="R264" s="71">
        <v>0.0</v>
      </c>
      <c r="S264" s="71">
        <v>8.1</v>
      </c>
      <c r="T264" s="67"/>
      <c r="U264" s="71">
        <v>0.0</v>
      </c>
      <c r="V264" s="71">
        <v>16.99</v>
      </c>
      <c r="W264" s="67"/>
      <c r="X264" s="67"/>
      <c r="Y264" s="67"/>
      <c r="Z264" s="67"/>
      <c r="AA264" s="67"/>
      <c r="AB264" s="67"/>
      <c r="AC264" s="67"/>
    </row>
    <row r="265">
      <c r="A265" s="74">
        <v>45962.0</v>
      </c>
      <c r="B265" s="70" t="s">
        <v>2047</v>
      </c>
      <c r="C265" s="70" t="s">
        <v>2048</v>
      </c>
      <c r="D265" s="71">
        <v>7.5</v>
      </c>
      <c r="E265" s="71">
        <v>0.0</v>
      </c>
      <c r="F265" s="68"/>
      <c r="G265" s="68"/>
      <c r="H265" s="68"/>
      <c r="I265" s="69"/>
      <c r="J265" s="70" t="s">
        <v>1450</v>
      </c>
      <c r="K265" s="67"/>
      <c r="L265" s="70" t="s">
        <v>2049</v>
      </c>
      <c r="M265" s="75">
        <v>1.0</v>
      </c>
      <c r="N265" s="75">
        <v>0.0</v>
      </c>
      <c r="O265" s="75">
        <v>0.0</v>
      </c>
      <c r="P265" s="75">
        <v>1.0</v>
      </c>
      <c r="Q265" s="76" t="s">
        <v>22</v>
      </c>
      <c r="R265" s="71">
        <v>1.58</v>
      </c>
      <c r="S265" s="71">
        <v>9.08</v>
      </c>
      <c r="T265" s="70"/>
      <c r="U265" s="71">
        <v>6.0</v>
      </c>
      <c r="V265" s="71">
        <v>6.0</v>
      </c>
      <c r="W265" s="67"/>
      <c r="X265" s="67"/>
      <c r="Y265" s="67"/>
      <c r="Z265" s="67"/>
      <c r="AA265" s="67"/>
      <c r="AB265" s="67"/>
      <c r="AC265" s="67"/>
    </row>
    <row r="266">
      <c r="A266" s="74">
        <v>45962.0</v>
      </c>
      <c r="B266" s="70" t="s">
        <v>2050</v>
      </c>
      <c r="C266" s="70" t="s">
        <v>2051</v>
      </c>
      <c r="D266" s="71">
        <v>11.0</v>
      </c>
      <c r="E266" s="71">
        <v>0.0</v>
      </c>
      <c r="F266" s="71">
        <v>20.0</v>
      </c>
      <c r="G266" s="68"/>
      <c r="H266" s="71">
        <v>7.42</v>
      </c>
      <c r="I266" s="72">
        <v>0.371</v>
      </c>
      <c r="J266" s="70" t="s">
        <v>1462</v>
      </c>
      <c r="K266" s="67"/>
      <c r="L266" s="70" t="s">
        <v>2052</v>
      </c>
      <c r="M266" s="75">
        <v>1.0</v>
      </c>
      <c r="N266" s="75">
        <v>0.0</v>
      </c>
      <c r="O266" s="75">
        <v>0.0</v>
      </c>
      <c r="P266" s="75">
        <v>1.0</v>
      </c>
      <c r="Q266" s="70" t="s">
        <v>22</v>
      </c>
      <c r="R266" s="71">
        <v>1.58</v>
      </c>
      <c r="S266" s="71">
        <v>12.58</v>
      </c>
      <c r="T266" s="70"/>
      <c r="U266" s="71">
        <v>6.0</v>
      </c>
      <c r="V266" s="71">
        <v>6.0</v>
      </c>
      <c r="W266" s="67"/>
      <c r="X266" s="67"/>
      <c r="Y266" s="67"/>
      <c r="Z266" s="67"/>
      <c r="AA266" s="67"/>
      <c r="AB266" s="67"/>
      <c r="AC266" s="67"/>
    </row>
    <row r="267">
      <c r="A267" s="74">
        <v>45962.0</v>
      </c>
      <c r="B267" s="70" t="s">
        <v>2053</v>
      </c>
      <c r="C267" s="70" t="s">
        <v>2054</v>
      </c>
      <c r="D267" s="71">
        <v>4.19</v>
      </c>
      <c r="E267" s="71">
        <v>15.0</v>
      </c>
      <c r="F267" s="68"/>
      <c r="G267" s="68"/>
      <c r="H267" s="71"/>
      <c r="I267" s="72"/>
      <c r="J267" s="70" t="s">
        <v>1450</v>
      </c>
      <c r="K267" s="67"/>
      <c r="L267" s="70" t="s">
        <v>2055</v>
      </c>
      <c r="M267" s="75">
        <v>1.0</v>
      </c>
      <c r="N267" s="75">
        <v>0.0</v>
      </c>
      <c r="O267" s="75">
        <v>0.0</v>
      </c>
      <c r="P267" s="75">
        <v>1.0</v>
      </c>
      <c r="Q267" s="70" t="s">
        <v>22</v>
      </c>
      <c r="R267" s="71">
        <v>1.58</v>
      </c>
      <c r="S267" s="71">
        <v>5.77</v>
      </c>
      <c r="T267" s="67"/>
      <c r="U267" s="71">
        <v>0.0</v>
      </c>
      <c r="V267" s="71">
        <v>15.0</v>
      </c>
      <c r="W267" s="67"/>
      <c r="X267" s="67"/>
      <c r="Y267" s="67"/>
      <c r="Z267" s="67"/>
      <c r="AA267" s="67"/>
      <c r="AB267" s="67"/>
      <c r="AC267" s="67"/>
    </row>
    <row r="268">
      <c r="A268" s="74">
        <v>45962.0</v>
      </c>
      <c r="B268" s="70" t="s">
        <v>2056</v>
      </c>
      <c r="C268" s="70" t="s">
        <v>2057</v>
      </c>
      <c r="D268" s="71">
        <v>18.0</v>
      </c>
      <c r="E268" s="71">
        <v>29.0</v>
      </c>
      <c r="F268" s="71">
        <v>25.0</v>
      </c>
      <c r="G268" s="68"/>
      <c r="H268" s="71">
        <v>5.42</v>
      </c>
      <c r="I268" s="72">
        <v>0.2168</v>
      </c>
      <c r="J268" s="70" t="s">
        <v>1462</v>
      </c>
      <c r="K268" s="67"/>
      <c r="L268" s="67" t="s">
        <v>2058</v>
      </c>
      <c r="M268" s="75">
        <v>1.0</v>
      </c>
      <c r="N268" s="75">
        <v>0.0</v>
      </c>
      <c r="O268" s="75">
        <v>0.0</v>
      </c>
      <c r="P268" s="75">
        <v>1.0</v>
      </c>
      <c r="Q268" s="76" t="s">
        <v>22</v>
      </c>
      <c r="R268" s="71">
        <v>1.58</v>
      </c>
      <c r="S268" s="71">
        <v>19.58</v>
      </c>
      <c r="T268" s="67"/>
      <c r="U268" s="71">
        <v>6.0</v>
      </c>
      <c r="V268" s="71">
        <v>35.0</v>
      </c>
      <c r="W268" s="67"/>
      <c r="X268" s="67"/>
      <c r="Y268" s="67"/>
      <c r="Z268" s="67"/>
      <c r="AA268" s="67"/>
      <c r="AB268" s="67"/>
      <c r="AC268" s="67"/>
    </row>
    <row r="269">
      <c r="A269" s="74">
        <v>45962.0</v>
      </c>
      <c r="B269" s="70" t="s">
        <v>2059</v>
      </c>
      <c r="C269" s="70" t="s">
        <v>2060</v>
      </c>
      <c r="D269" s="71">
        <v>9.5</v>
      </c>
      <c r="E269" s="71">
        <v>19.0</v>
      </c>
      <c r="F269" s="68"/>
      <c r="G269" s="68"/>
      <c r="H269" s="71">
        <v>-9.5</v>
      </c>
      <c r="I269" s="72">
        <v>-1.0</v>
      </c>
      <c r="J269" s="70" t="s">
        <v>1595</v>
      </c>
      <c r="K269" s="67"/>
      <c r="L269" s="70" t="s">
        <v>2061</v>
      </c>
      <c r="M269" s="75">
        <v>1.0</v>
      </c>
      <c r="N269" s="75">
        <v>0.0</v>
      </c>
      <c r="O269" s="75">
        <v>1.0</v>
      </c>
      <c r="P269" s="75">
        <v>0.0</v>
      </c>
      <c r="Q269" s="70" t="s">
        <v>22</v>
      </c>
      <c r="R269" s="71">
        <v>0.0</v>
      </c>
      <c r="S269" s="71">
        <v>9.5</v>
      </c>
      <c r="T269" s="67"/>
      <c r="U269" s="71">
        <v>0.25</v>
      </c>
      <c r="V269" s="71">
        <v>19.25</v>
      </c>
      <c r="W269" s="67"/>
      <c r="X269" s="67"/>
      <c r="Y269" s="67"/>
      <c r="Z269" s="67"/>
      <c r="AA269" s="67"/>
      <c r="AB269" s="67"/>
      <c r="AC269" s="67"/>
    </row>
    <row r="270">
      <c r="A270" s="74">
        <v>45962.0</v>
      </c>
      <c r="B270" s="70" t="s">
        <v>2062</v>
      </c>
      <c r="C270" s="70" t="s">
        <v>2063</v>
      </c>
      <c r="D270" s="71">
        <v>9.5</v>
      </c>
      <c r="E270" s="71">
        <v>19.0</v>
      </c>
      <c r="F270" s="68"/>
      <c r="G270" s="68"/>
      <c r="H270" s="71"/>
      <c r="I270" s="72"/>
      <c r="J270" s="70" t="s">
        <v>1450</v>
      </c>
      <c r="K270" s="67"/>
      <c r="L270" s="70" t="s">
        <v>2064</v>
      </c>
      <c r="M270" s="75">
        <v>1.0</v>
      </c>
      <c r="N270" s="75">
        <v>0.0</v>
      </c>
      <c r="O270" s="75">
        <v>0.0</v>
      </c>
      <c r="P270" s="75">
        <v>1.0</v>
      </c>
      <c r="Q270" s="70" t="s">
        <v>22</v>
      </c>
      <c r="R270" s="71">
        <v>0.0</v>
      </c>
      <c r="S270" s="71">
        <v>9.5</v>
      </c>
      <c r="T270" s="70"/>
      <c r="U270" s="71">
        <v>0.25</v>
      </c>
      <c r="V270" s="71">
        <v>19.25</v>
      </c>
      <c r="W270" s="67"/>
      <c r="X270" s="67"/>
      <c r="Y270" s="67"/>
      <c r="Z270" s="67"/>
      <c r="AA270" s="67"/>
      <c r="AB270" s="67"/>
      <c r="AC270" s="67"/>
    </row>
    <row r="271">
      <c r="A271" s="74">
        <v>45965.0</v>
      </c>
      <c r="B271" s="70" t="s">
        <v>2065</v>
      </c>
      <c r="C271" s="70" t="s">
        <v>2066</v>
      </c>
      <c r="D271" s="71">
        <v>0.0</v>
      </c>
      <c r="E271" s="71">
        <v>0.0</v>
      </c>
      <c r="F271" s="68"/>
      <c r="G271" s="68"/>
      <c r="H271" s="68"/>
      <c r="I271" s="69"/>
      <c r="J271" s="70" t="s">
        <v>1450</v>
      </c>
      <c r="K271" s="67"/>
      <c r="L271" s="70" t="s">
        <v>2067</v>
      </c>
      <c r="M271" s="75">
        <v>1.0</v>
      </c>
      <c r="N271" s="75">
        <v>0.0</v>
      </c>
      <c r="O271" s="75">
        <v>0.0</v>
      </c>
      <c r="P271" s="75">
        <v>1.0</v>
      </c>
      <c r="Q271" s="70" t="s">
        <v>22</v>
      </c>
      <c r="R271" s="71">
        <v>0.0</v>
      </c>
      <c r="S271" s="71">
        <v>0.0</v>
      </c>
      <c r="T271" s="70"/>
      <c r="U271" s="71">
        <v>0.0</v>
      </c>
      <c r="V271" s="71"/>
      <c r="W271" s="67"/>
      <c r="X271" s="67"/>
      <c r="Y271" s="67"/>
      <c r="Z271" s="67"/>
      <c r="AA271" s="67"/>
      <c r="AB271" s="67"/>
      <c r="AC271" s="67"/>
    </row>
    <row r="272">
      <c r="A272" s="74">
        <v>45966.0</v>
      </c>
      <c r="B272" s="70" t="s">
        <v>2068</v>
      </c>
      <c r="C272" s="70" t="s">
        <v>1684</v>
      </c>
      <c r="D272" s="71">
        <v>0.0</v>
      </c>
      <c r="E272" s="71">
        <v>0.0</v>
      </c>
      <c r="F272" s="71">
        <v>0.0</v>
      </c>
      <c r="G272" s="68"/>
      <c r="H272" s="71">
        <v>-0.13</v>
      </c>
      <c r="I272" s="72">
        <v>-1.0</v>
      </c>
      <c r="J272" s="70" t="s">
        <v>483</v>
      </c>
      <c r="K272" s="67"/>
      <c r="L272" s="67" t="s">
        <v>2069</v>
      </c>
      <c r="M272" s="75">
        <v>1.0</v>
      </c>
      <c r="N272" s="75">
        <v>0.0</v>
      </c>
      <c r="O272" s="75">
        <v>1.0</v>
      </c>
      <c r="P272" s="75">
        <v>0.0</v>
      </c>
      <c r="Q272" s="76" t="s">
        <v>22</v>
      </c>
      <c r="R272" s="71">
        <v>0.13</v>
      </c>
      <c r="S272" s="71">
        <v>0.13</v>
      </c>
      <c r="T272" s="70"/>
      <c r="U272" s="71">
        <v>0.0</v>
      </c>
      <c r="V272" s="71"/>
      <c r="W272" s="67"/>
      <c r="X272" s="67"/>
      <c r="Y272" s="67"/>
      <c r="Z272" s="67"/>
      <c r="AA272" s="67"/>
      <c r="AB272" s="67"/>
      <c r="AC272" s="67"/>
    </row>
    <row r="273">
      <c r="A273" s="74">
        <v>45967.0</v>
      </c>
      <c r="B273" s="70" t="s">
        <v>2070</v>
      </c>
      <c r="C273" s="70" t="s">
        <v>2071</v>
      </c>
      <c r="D273" s="71">
        <v>9.5</v>
      </c>
      <c r="E273" s="71">
        <v>19.0</v>
      </c>
      <c r="F273" s="68"/>
      <c r="G273" s="68"/>
      <c r="H273" s="68"/>
      <c r="I273" s="69"/>
      <c r="J273" s="70" t="s">
        <v>1450</v>
      </c>
      <c r="K273" s="67"/>
      <c r="L273" s="70" t="s">
        <v>2072</v>
      </c>
      <c r="M273" s="75">
        <v>1.0</v>
      </c>
      <c r="N273" s="75">
        <v>0.0</v>
      </c>
      <c r="O273" s="75">
        <v>0.0</v>
      </c>
      <c r="P273" s="75">
        <v>1.0</v>
      </c>
      <c r="Q273" s="70" t="s">
        <v>22</v>
      </c>
      <c r="R273" s="71">
        <v>2.29</v>
      </c>
      <c r="S273" s="71">
        <v>11.79</v>
      </c>
      <c r="T273" s="70"/>
      <c r="U273" s="71">
        <v>0.0</v>
      </c>
      <c r="V273" s="71">
        <v>19.0</v>
      </c>
      <c r="W273" s="67"/>
      <c r="X273" s="67"/>
      <c r="Y273" s="67"/>
      <c r="Z273" s="67"/>
      <c r="AA273" s="67"/>
      <c r="AB273" s="67"/>
      <c r="AC273" s="67"/>
    </row>
    <row r="274">
      <c r="A274" s="74">
        <v>45967.0</v>
      </c>
      <c r="B274" s="70" t="s">
        <v>2073</v>
      </c>
      <c r="C274" s="70" t="s">
        <v>1545</v>
      </c>
      <c r="D274" s="71">
        <v>8.1</v>
      </c>
      <c r="E274" s="71">
        <v>16.99</v>
      </c>
      <c r="F274" s="68"/>
      <c r="G274" s="71">
        <v>15.0</v>
      </c>
      <c r="H274" s="71">
        <v>6.9</v>
      </c>
      <c r="I274" s="72">
        <v>0.46</v>
      </c>
      <c r="J274" s="70" t="s">
        <v>1626</v>
      </c>
      <c r="K274" s="67"/>
      <c r="L274" s="70" t="s">
        <v>2074</v>
      </c>
      <c r="M274" s="75">
        <v>1.0</v>
      </c>
      <c r="N274" s="75">
        <v>1.0</v>
      </c>
      <c r="O274" s="75">
        <v>0.0</v>
      </c>
      <c r="P274" s="75">
        <v>0.0</v>
      </c>
      <c r="Q274" s="70" t="s">
        <v>22</v>
      </c>
      <c r="R274" s="71">
        <v>0.0</v>
      </c>
      <c r="S274" s="71">
        <v>8.1</v>
      </c>
      <c r="T274" s="67"/>
      <c r="U274" s="71">
        <v>0.0</v>
      </c>
      <c r="V274" s="71">
        <v>16.99</v>
      </c>
      <c r="W274" s="67"/>
      <c r="X274" s="67"/>
      <c r="Y274" s="67"/>
      <c r="Z274" s="67"/>
      <c r="AA274" s="67"/>
      <c r="AB274" s="67"/>
      <c r="AC274" s="67"/>
    </row>
    <row r="275">
      <c r="A275" s="74">
        <v>45968.0</v>
      </c>
      <c r="B275" s="70" t="s">
        <v>2075</v>
      </c>
      <c r="C275" s="70" t="s">
        <v>2076</v>
      </c>
      <c r="D275" s="71">
        <v>12.25</v>
      </c>
      <c r="E275" s="71">
        <v>22.0</v>
      </c>
      <c r="F275" s="68"/>
      <c r="G275" s="68"/>
      <c r="H275" s="71">
        <v>-12.25</v>
      </c>
      <c r="I275" s="72">
        <v>-1.0</v>
      </c>
      <c r="J275" s="70" t="s">
        <v>1595</v>
      </c>
      <c r="K275" s="67"/>
      <c r="L275" s="67" t="s">
        <v>2077</v>
      </c>
      <c r="M275" s="75">
        <v>1.0</v>
      </c>
      <c r="N275" s="75">
        <v>0.0</v>
      </c>
      <c r="O275" s="75">
        <v>1.0</v>
      </c>
      <c r="P275" s="75">
        <v>0.0</v>
      </c>
      <c r="Q275" s="76" t="s">
        <v>22</v>
      </c>
      <c r="R275" s="71">
        <v>0.0</v>
      </c>
      <c r="S275" s="71">
        <v>12.25</v>
      </c>
      <c r="T275" s="70"/>
      <c r="U275" s="71">
        <v>0.0</v>
      </c>
      <c r="V275" s="71">
        <v>22.0</v>
      </c>
      <c r="W275" s="67"/>
      <c r="X275" s="67"/>
      <c r="Y275" s="67"/>
      <c r="Z275" s="67"/>
      <c r="AA275" s="67"/>
      <c r="AB275" s="67"/>
      <c r="AC275" s="67"/>
    </row>
    <row r="276">
      <c r="A276" s="74">
        <v>45968.0</v>
      </c>
      <c r="B276" s="70" t="s">
        <v>2078</v>
      </c>
      <c r="C276" s="70" t="s">
        <v>2076</v>
      </c>
      <c r="D276" s="71">
        <v>12.25</v>
      </c>
      <c r="E276" s="71">
        <v>22.0</v>
      </c>
      <c r="F276" s="68"/>
      <c r="G276" s="68"/>
      <c r="H276" s="71">
        <v>-12.25</v>
      </c>
      <c r="I276" s="72">
        <v>-1.0</v>
      </c>
      <c r="J276" s="70" t="s">
        <v>1595</v>
      </c>
      <c r="K276" s="67"/>
      <c r="L276" s="70" t="s">
        <v>2079</v>
      </c>
      <c r="M276" s="75">
        <v>1.0</v>
      </c>
      <c r="N276" s="75">
        <v>0.0</v>
      </c>
      <c r="O276" s="75">
        <v>1.0</v>
      </c>
      <c r="P276" s="75">
        <v>0.0</v>
      </c>
      <c r="Q276" s="70" t="s">
        <v>22</v>
      </c>
      <c r="R276" s="71">
        <v>0.0</v>
      </c>
      <c r="S276" s="71">
        <v>12.25</v>
      </c>
      <c r="T276" s="67"/>
      <c r="U276" s="71">
        <v>0.0</v>
      </c>
      <c r="V276" s="71">
        <v>22.0</v>
      </c>
      <c r="W276" s="67"/>
      <c r="X276" s="67"/>
      <c r="Y276" s="67"/>
      <c r="Z276" s="67"/>
      <c r="AA276" s="67"/>
      <c r="AB276" s="67"/>
      <c r="AC276" s="67"/>
    </row>
    <row r="277">
      <c r="A277" s="74">
        <v>45968.0</v>
      </c>
      <c r="B277" s="70" t="s">
        <v>2080</v>
      </c>
      <c r="C277" s="70" t="s">
        <v>2081</v>
      </c>
      <c r="D277" s="71">
        <v>5.5</v>
      </c>
      <c r="E277" s="71">
        <v>11.0</v>
      </c>
      <c r="F277" s="68"/>
      <c r="G277" s="68"/>
      <c r="H277" s="68"/>
      <c r="I277" s="69"/>
      <c r="J277" s="70" t="s">
        <v>1450</v>
      </c>
      <c r="K277" s="67"/>
      <c r="L277" s="70" t="s">
        <v>2082</v>
      </c>
      <c r="M277" s="75">
        <v>1.0</v>
      </c>
      <c r="N277" s="75">
        <v>0.0</v>
      </c>
      <c r="O277" s="75">
        <v>0.0</v>
      </c>
      <c r="P277" s="75">
        <v>1.0</v>
      </c>
      <c r="Q277" s="70" t="s">
        <v>22</v>
      </c>
      <c r="R277" s="71">
        <v>0.0</v>
      </c>
      <c r="S277" s="71">
        <v>5.5</v>
      </c>
      <c r="T277" s="67"/>
      <c r="U277" s="71">
        <v>0.0</v>
      </c>
      <c r="V277" s="71">
        <v>11.0</v>
      </c>
      <c r="W277" s="67"/>
      <c r="X277" s="67"/>
      <c r="Y277" s="67"/>
      <c r="Z277" s="67"/>
      <c r="AA277" s="67"/>
      <c r="AB277" s="67"/>
      <c r="AC277" s="67"/>
    </row>
    <row r="278">
      <c r="A278" s="74">
        <v>45968.0</v>
      </c>
      <c r="B278" s="70" t="s">
        <v>2083</v>
      </c>
      <c r="C278" s="70" t="s">
        <v>2081</v>
      </c>
      <c r="D278" s="71">
        <v>5.5</v>
      </c>
      <c r="E278" s="71">
        <v>11.0</v>
      </c>
      <c r="F278" s="68"/>
      <c r="G278" s="68"/>
      <c r="H278" s="68"/>
      <c r="I278" s="69"/>
      <c r="J278" s="70" t="s">
        <v>1450</v>
      </c>
      <c r="K278" s="67"/>
      <c r="L278" s="70" t="s">
        <v>2084</v>
      </c>
      <c r="M278" s="75">
        <v>1.0</v>
      </c>
      <c r="N278" s="75">
        <v>0.0</v>
      </c>
      <c r="O278" s="75">
        <v>0.0</v>
      </c>
      <c r="P278" s="75">
        <v>1.0</v>
      </c>
      <c r="Q278" s="70" t="s">
        <v>22</v>
      </c>
      <c r="R278" s="71">
        <v>0.0</v>
      </c>
      <c r="S278" s="71">
        <v>5.5</v>
      </c>
      <c r="T278" s="67"/>
      <c r="U278" s="71">
        <v>0.0</v>
      </c>
      <c r="V278" s="71">
        <v>11.0</v>
      </c>
      <c r="W278" s="67"/>
      <c r="X278" s="67"/>
      <c r="Y278" s="67"/>
      <c r="Z278" s="67"/>
      <c r="AA278" s="67"/>
      <c r="AB278" s="67"/>
      <c r="AC278" s="67"/>
    </row>
    <row r="279">
      <c r="A279" s="74">
        <v>45968.0</v>
      </c>
      <c r="B279" s="70" t="s">
        <v>2085</v>
      </c>
      <c r="C279" s="70" t="s">
        <v>2081</v>
      </c>
      <c r="D279" s="71">
        <v>5.5</v>
      </c>
      <c r="E279" s="71">
        <v>11.0</v>
      </c>
      <c r="F279" s="68"/>
      <c r="G279" s="68"/>
      <c r="H279" s="68"/>
      <c r="I279" s="69"/>
      <c r="J279" s="70" t="s">
        <v>1450</v>
      </c>
      <c r="K279" s="67"/>
      <c r="L279" s="70" t="s">
        <v>2086</v>
      </c>
      <c r="M279" s="75">
        <v>1.0</v>
      </c>
      <c r="N279" s="75">
        <v>0.0</v>
      </c>
      <c r="O279" s="75">
        <v>0.0</v>
      </c>
      <c r="P279" s="75">
        <v>1.0</v>
      </c>
      <c r="Q279" s="70" t="s">
        <v>22</v>
      </c>
      <c r="R279" s="71">
        <v>0.0</v>
      </c>
      <c r="S279" s="71">
        <v>5.5</v>
      </c>
      <c r="T279" s="67"/>
      <c r="U279" s="71">
        <v>0.0</v>
      </c>
      <c r="V279" s="71">
        <v>11.0</v>
      </c>
      <c r="W279" s="67"/>
      <c r="X279" s="67"/>
      <c r="Y279" s="67"/>
      <c r="Z279" s="67"/>
      <c r="AA279" s="67"/>
      <c r="AB279" s="67"/>
      <c r="AC279" s="67"/>
    </row>
    <row r="280">
      <c r="A280" s="74">
        <v>45968.0</v>
      </c>
      <c r="B280" s="70" t="s">
        <v>2087</v>
      </c>
      <c r="C280" s="70" t="s">
        <v>2081</v>
      </c>
      <c r="D280" s="71">
        <v>5.5</v>
      </c>
      <c r="E280" s="71">
        <v>11.0</v>
      </c>
      <c r="F280" s="68"/>
      <c r="G280" s="68"/>
      <c r="H280" s="68"/>
      <c r="I280" s="69"/>
      <c r="J280" s="70" t="s">
        <v>1450</v>
      </c>
      <c r="K280" s="67"/>
      <c r="L280" s="70" t="s">
        <v>2088</v>
      </c>
      <c r="M280" s="75">
        <v>1.0</v>
      </c>
      <c r="N280" s="75">
        <v>0.0</v>
      </c>
      <c r="O280" s="75">
        <v>0.0</v>
      </c>
      <c r="P280" s="75">
        <v>1.0</v>
      </c>
      <c r="Q280" s="70" t="s">
        <v>22</v>
      </c>
      <c r="R280" s="71">
        <v>0.0</v>
      </c>
      <c r="S280" s="71">
        <v>5.5</v>
      </c>
      <c r="T280" s="67"/>
      <c r="U280" s="71">
        <v>0.0</v>
      </c>
      <c r="V280" s="71">
        <v>11.0</v>
      </c>
      <c r="W280" s="67"/>
      <c r="X280" s="67"/>
      <c r="Y280" s="67"/>
      <c r="Z280" s="67"/>
      <c r="AA280" s="67"/>
      <c r="AB280" s="67"/>
      <c r="AC280" s="67"/>
    </row>
    <row r="281">
      <c r="A281" s="74">
        <v>45968.0</v>
      </c>
      <c r="B281" s="70" t="s">
        <v>2089</v>
      </c>
      <c r="C281" s="70" t="s">
        <v>2081</v>
      </c>
      <c r="D281" s="71">
        <v>5.5</v>
      </c>
      <c r="E281" s="71">
        <v>11.0</v>
      </c>
      <c r="F281" s="68"/>
      <c r="G281" s="68"/>
      <c r="H281" s="68"/>
      <c r="I281" s="69"/>
      <c r="J281" s="70" t="s">
        <v>1450</v>
      </c>
      <c r="K281" s="67"/>
      <c r="L281" s="70" t="s">
        <v>2090</v>
      </c>
      <c r="M281" s="75">
        <v>1.0</v>
      </c>
      <c r="N281" s="75">
        <v>0.0</v>
      </c>
      <c r="O281" s="75">
        <v>0.0</v>
      </c>
      <c r="P281" s="75">
        <v>1.0</v>
      </c>
      <c r="Q281" s="70" t="s">
        <v>22</v>
      </c>
      <c r="R281" s="71">
        <v>0.0</v>
      </c>
      <c r="S281" s="71">
        <v>5.5</v>
      </c>
      <c r="T281" s="67"/>
      <c r="U281" s="71">
        <v>0.0</v>
      </c>
      <c r="V281" s="71">
        <v>11.0</v>
      </c>
      <c r="W281" s="67"/>
      <c r="X281" s="67"/>
      <c r="Y281" s="67"/>
      <c r="Z281" s="67"/>
      <c r="AA281" s="67"/>
      <c r="AB281" s="67"/>
      <c r="AC281" s="67"/>
    </row>
    <row r="282">
      <c r="A282" s="74">
        <v>45968.0</v>
      </c>
      <c r="B282" s="70" t="s">
        <v>2091</v>
      </c>
      <c r="C282" s="70" t="s">
        <v>2081</v>
      </c>
      <c r="D282" s="71">
        <v>5.5</v>
      </c>
      <c r="E282" s="71">
        <v>11.0</v>
      </c>
      <c r="F282" s="68"/>
      <c r="G282" s="68"/>
      <c r="H282" s="68"/>
      <c r="I282" s="69"/>
      <c r="J282" s="70" t="s">
        <v>1450</v>
      </c>
      <c r="K282" s="67"/>
      <c r="L282" s="70" t="s">
        <v>2092</v>
      </c>
      <c r="M282" s="75">
        <v>1.0</v>
      </c>
      <c r="N282" s="75">
        <v>0.0</v>
      </c>
      <c r="O282" s="75">
        <v>0.0</v>
      </c>
      <c r="P282" s="75">
        <v>1.0</v>
      </c>
      <c r="Q282" s="70" t="s">
        <v>22</v>
      </c>
      <c r="R282" s="71">
        <v>0.0</v>
      </c>
      <c r="S282" s="71">
        <v>5.5</v>
      </c>
      <c r="T282" s="67"/>
      <c r="U282" s="71">
        <v>0.0</v>
      </c>
      <c r="V282" s="71">
        <v>11.0</v>
      </c>
      <c r="W282" s="67"/>
      <c r="X282" s="67"/>
      <c r="Y282" s="67"/>
      <c r="Z282" s="67"/>
      <c r="AA282" s="67"/>
      <c r="AB282" s="67"/>
      <c r="AC282" s="67"/>
    </row>
    <row r="283">
      <c r="A283" s="74">
        <v>45968.0</v>
      </c>
      <c r="B283" s="70" t="s">
        <v>2093</v>
      </c>
      <c r="C283" s="70" t="s">
        <v>2081</v>
      </c>
      <c r="D283" s="71">
        <v>5.5</v>
      </c>
      <c r="E283" s="71">
        <v>11.0</v>
      </c>
      <c r="F283" s="68"/>
      <c r="G283" s="68"/>
      <c r="H283" s="68"/>
      <c r="I283" s="69"/>
      <c r="J283" s="70" t="s">
        <v>1450</v>
      </c>
      <c r="K283" s="67"/>
      <c r="L283" s="70" t="s">
        <v>2094</v>
      </c>
      <c r="M283" s="75">
        <v>1.0</v>
      </c>
      <c r="N283" s="75">
        <v>0.0</v>
      </c>
      <c r="O283" s="75">
        <v>0.0</v>
      </c>
      <c r="P283" s="75">
        <v>1.0</v>
      </c>
      <c r="Q283" s="70" t="s">
        <v>22</v>
      </c>
      <c r="R283" s="71">
        <v>0.0</v>
      </c>
      <c r="S283" s="71">
        <v>5.5</v>
      </c>
      <c r="T283" s="67"/>
      <c r="U283" s="71">
        <v>0.0</v>
      </c>
      <c r="V283" s="71">
        <v>11.0</v>
      </c>
      <c r="W283" s="67"/>
      <c r="X283" s="67"/>
      <c r="Y283" s="67"/>
      <c r="Z283" s="67"/>
      <c r="AA283" s="67"/>
      <c r="AB283" s="67"/>
      <c r="AC283" s="67"/>
    </row>
    <row r="284">
      <c r="A284" s="74">
        <v>45968.0</v>
      </c>
      <c r="B284" s="70" t="s">
        <v>2095</v>
      </c>
      <c r="C284" s="70" t="s">
        <v>2081</v>
      </c>
      <c r="D284" s="71">
        <v>5.5</v>
      </c>
      <c r="E284" s="71">
        <v>11.0</v>
      </c>
      <c r="F284" s="68"/>
      <c r="G284" s="68"/>
      <c r="H284" s="68"/>
      <c r="I284" s="69"/>
      <c r="J284" s="70" t="s">
        <v>1450</v>
      </c>
      <c r="K284" s="67"/>
      <c r="L284" s="70" t="s">
        <v>2096</v>
      </c>
      <c r="M284" s="75">
        <v>1.0</v>
      </c>
      <c r="N284" s="75">
        <v>0.0</v>
      </c>
      <c r="O284" s="75">
        <v>0.0</v>
      </c>
      <c r="P284" s="75">
        <v>1.0</v>
      </c>
      <c r="Q284" s="70" t="s">
        <v>22</v>
      </c>
      <c r="R284" s="71">
        <v>0.0</v>
      </c>
      <c r="S284" s="71">
        <v>5.5</v>
      </c>
      <c r="T284" s="67"/>
      <c r="U284" s="71">
        <v>0.0</v>
      </c>
      <c r="V284" s="71">
        <v>11.0</v>
      </c>
      <c r="W284" s="67"/>
      <c r="X284" s="67"/>
      <c r="Y284" s="67"/>
      <c r="Z284" s="67"/>
      <c r="AA284" s="67"/>
      <c r="AB284" s="67"/>
      <c r="AC284" s="67"/>
    </row>
    <row r="285">
      <c r="A285" s="74">
        <v>45968.0</v>
      </c>
      <c r="B285" s="70" t="s">
        <v>2097</v>
      </c>
      <c r="C285" s="70" t="s">
        <v>2081</v>
      </c>
      <c r="D285" s="71">
        <v>5.5</v>
      </c>
      <c r="E285" s="71">
        <v>11.0</v>
      </c>
      <c r="F285" s="68"/>
      <c r="G285" s="68"/>
      <c r="H285" s="68"/>
      <c r="I285" s="69"/>
      <c r="J285" s="70" t="s">
        <v>1450</v>
      </c>
      <c r="K285" s="67"/>
      <c r="L285" s="70" t="s">
        <v>2098</v>
      </c>
      <c r="M285" s="75">
        <v>1.0</v>
      </c>
      <c r="N285" s="75">
        <v>0.0</v>
      </c>
      <c r="O285" s="75">
        <v>0.0</v>
      </c>
      <c r="P285" s="75">
        <v>1.0</v>
      </c>
      <c r="Q285" s="70" t="s">
        <v>22</v>
      </c>
      <c r="R285" s="71">
        <v>0.0</v>
      </c>
      <c r="S285" s="71">
        <v>5.5</v>
      </c>
      <c r="T285" s="67"/>
      <c r="U285" s="71">
        <v>0.0</v>
      </c>
      <c r="V285" s="71">
        <v>11.0</v>
      </c>
      <c r="W285" s="67"/>
      <c r="X285" s="67"/>
      <c r="Y285" s="67"/>
      <c r="Z285" s="67"/>
      <c r="AA285" s="67"/>
      <c r="AB285" s="67"/>
      <c r="AC285" s="67"/>
    </row>
    <row r="286">
      <c r="A286" s="74">
        <v>45968.0</v>
      </c>
      <c r="B286" s="70" t="s">
        <v>2099</v>
      </c>
      <c r="C286" s="70" t="s">
        <v>2081</v>
      </c>
      <c r="D286" s="71">
        <v>5.5</v>
      </c>
      <c r="E286" s="71">
        <v>11.0</v>
      </c>
      <c r="F286" s="68"/>
      <c r="G286" s="68"/>
      <c r="H286" s="68"/>
      <c r="I286" s="69"/>
      <c r="J286" s="70" t="s">
        <v>1450</v>
      </c>
      <c r="K286" s="67"/>
      <c r="L286" s="70" t="s">
        <v>2100</v>
      </c>
      <c r="M286" s="75">
        <v>1.0</v>
      </c>
      <c r="N286" s="75">
        <v>0.0</v>
      </c>
      <c r="O286" s="75">
        <v>0.0</v>
      </c>
      <c r="P286" s="75">
        <v>1.0</v>
      </c>
      <c r="Q286" s="70" t="s">
        <v>22</v>
      </c>
      <c r="R286" s="71">
        <v>0.0</v>
      </c>
      <c r="S286" s="71">
        <v>5.5</v>
      </c>
      <c r="T286" s="67"/>
      <c r="U286" s="71">
        <v>0.0</v>
      </c>
      <c r="V286" s="71">
        <v>11.0</v>
      </c>
      <c r="W286" s="67"/>
      <c r="X286" s="67"/>
      <c r="Y286" s="67"/>
      <c r="Z286" s="67"/>
      <c r="AA286" s="67"/>
      <c r="AB286" s="67"/>
      <c r="AC286" s="67"/>
    </row>
    <row r="287">
      <c r="A287" s="74">
        <v>45968.0</v>
      </c>
      <c r="B287" s="70" t="s">
        <v>2101</v>
      </c>
      <c r="C287" s="70" t="s">
        <v>2081</v>
      </c>
      <c r="D287" s="71">
        <v>5.5</v>
      </c>
      <c r="E287" s="71">
        <v>11.0</v>
      </c>
      <c r="F287" s="68"/>
      <c r="G287" s="68"/>
      <c r="H287" s="68"/>
      <c r="I287" s="69"/>
      <c r="J287" s="70" t="s">
        <v>1450</v>
      </c>
      <c r="K287" s="67"/>
      <c r="L287" s="70" t="s">
        <v>2102</v>
      </c>
      <c r="M287" s="75">
        <v>1.0</v>
      </c>
      <c r="N287" s="75">
        <v>0.0</v>
      </c>
      <c r="O287" s="75">
        <v>0.0</v>
      </c>
      <c r="P287" s="75">
        <v>1.0</v>
      </c>
      <c r="Q287" s="70" t="s">
        <v>22</v>
      </c>
      <c r="R287" s="71">
        <v>0.0</v>
      </c>
      <c r="S287" s="71">
        <v>5.5</v>
      </c>
      <c r="T287" s="67"/>
      <c r="U287" s="71">
        <v>0.0</v>
      </c>
      <c r="V287" s="71">
        <v>11.0</v>
      </c>
      <c r="W287" s="67"/>
      <c r="X287" s="67"/>
      <c r="Y287" s="67"/>
      <c r="Z287" s="67"/>
      <c r="AA287" s="67"/>
      <c r="AB287" s="67"/>
      <c r="AC287" s="67"/>
    </row>
    <row r="288">
      <c r="A288" s="74">
        <v>45968.0</v>
      </c>
      <c r="B288" s="70" t="s">
        <v>2103</v>
      </c>
      <c r="C288" s="70" t="s">
        <v>2081</v>
      </c>
      <c r="D288" s="71">
        <v>5.5</v>
      </c>
      <c r="E288" s="71">
        <v>11.0</v>
      </c>
      <c r="F288" s="68"/>
      <c r="G288" s="68"/>
      <c r="H288" s="68"/>
      <c r="I288" s="69"/>
      <c r="J288" s="70" t="s">
        <v>1450</v>
      </c>
      <c r="K288" s="67"/>
      <c r="L288" s="70" t="s">
        <v>2104</v>
      </c>
      <c r="M288" s="75">
        <v>1.0</v>
      </c>
      <c r="N288" s="75">
        <v>0.0</v>
      </c>
      <c r="O288" s="75">
        <v>0.0</v>
      </c>
      <c r="P288" s="75">
        <v>1.0</v>
      </c>
      <c r="Q288" s="70" t="s">
        <v>22</v>
      </c>
      <c r="R288" s="71">
        <v>0.0</v>
      </c>
      <c r="S288" s="71">
        <v>5.5</v>
      </c>
      <c r="T288" s="67"/>
      <c r="U288" s="71">
        <v>0.0</v>
      </c>
      <c r="V288" s="71">
        <v>11.0</v>
      </c>
      <c r="W288" s="67"/>
      <c r="X288" s="67"/>
      <c r="Y288" s="67"/>
      <c r="Z288" s="67"/>
      <c r="AA288" s="67"/>
      <c r="AB288" s="67"/>
      <c r="AC288" s="67"/>
    </row>
    <row r="289">
      <c r="A289" s="74">
        <v>45968.0</v>
      </c>
      <c r="B289" s="70" t="s">
        <v>2105</v>
      </c>
      <c r="C289" s="70" t="s">
        <v>2081</v>
      </c>
      <c r="D289" s="71">
        <v>5.5</v>
      </c>
      <c r="E289" s="71">
        <v>11.0</v>
      </c>
      <c r="F289" s="68"/>
      <c r="G289" s="68"/>
      <c r="H289" s="68"/>
      <c r="I289" s="69"/>
      <c r="J289" s="70" t="s">
        <v>1450</v>
      </c>
      <c r="K289" s="67"/>
      <c r="L289" s="70" t="s">
        <v>2106</v>
      </c>
      <c r="M289" s="75">
        <v>1.0</v>
      </c>
      <c r="N289" s="75">
        <v>0.0</v>
      </c>
      <c r="O289" s="75">
        <v>0.0</v>
      </c>
      <c r="P289" s="75">
        <v>1.0</v>
      </c>
      <c r="Q289" s="70" t="s">
        <v>22</v>
      </c>
      <c r="R289" s="71">
        <v>0.0</v>
      </c>
      <c r="S289" s="71">
        <v>5.5</v>
      </c>
      <c r="T289" s="67"/>
      <c r="U289" s="71">
        <v>0.0</v>
      </c>
      <c r="V289" s="71">
        <v>11.0</v>
      </c>
      <c r="W289" s="67"/>
      <c r="X289" s="67"/>
      <c r="Y289" s="67"/>
      <c r="Z289" s="67"/>
      <c r="AA289" s="67"/>
      <c r="AB289" s="67"/>
      <c r="AC289" s="67"/>
    </row>
    <row r="290">
      <c r="A290" s="74">
        <v>45968.0</v>
      </c>
      <c r="B290" s="70" t="s">
        <v>2107</v>
      </c>
      <c r="C290" s="70" t="s">
        <v>2081</v>
      </c>
      <c r="D290" s="71">
        <v>5.5</v>
      </c>
      <c r="E290" s="71">
        <v>11.0</v>
      </c>
      <c r="F290" s="68"/>
      <c r="G290" s="68"/>
      <c r="H290" s="68"/>
      <c r="I290" s="69"/>
      <c r="J290" s="70" t="s">
        <v>1450</v>
      </c>
      <c r="K290" s="67"/>
      <c r="L290" s="70" t="s">
        <v>2108</v>
      </c>
      <c r="M290" s="75">
        <v>1.0</v>
      </c>
      <c r="N290" s="75">
        <v>0.0</v>
      </c>
      <c r="O290" s="75">
        <v>0.0</v>
      </c>
      <c r="P290" s="75">
        <v>1.0</v>
      </c>
      <c r="Q290" s="70" t="s">
        <v>22</v>
      </c>
      <c r="R290" s="71">
        <v>0.0</v>
      </c>
      <c r="S290" s="71">
        <v>5.5</v>
      </c>
      <c r="T290" s="67"/>
      <c r="U290" s="71">
        <v>0.0</v>
      </c>
      <c r="V290" s="71">
        <v>11.0</v>
      </c>
      <c r="W290" s="67"/>
      <c r="X290" s="67"/>
      <c r="Y290" s="67"/>
      <c r="Z290" s="67"/>
      <c r="AA290" s="67"/>
      <c r="AB290" s="67"/>
      <c r="AC290" s="67"/>
    </row>
    <row r="291">
      <c r="A291" s="74">
        <v>45968.0</v>
      </c>
      <c r="B291" s="70" t="s">
        <v>2109</v>
      </c>
      <c r="C291" s="70" t="s">
        <v>2081</v>
      </c>
      <c r="D291" s="71">
        <v>5.5</v>
      </c>
      <c r="E291" s="71">
        <v>11.0</v>
      </c>
      <c r="F291" s="68"/>
      <c r="G291" s="68"/>
      <c r="H291" s="68"/>
      <c r="I291" s="69"/>
      <c r="J291" s="70" t="s">
        <v>1450</v>
      </c>
      <c r="K291" s="67"/>
      <c r="L291" s="70" t="s">
        <v>2110</v>
      </c>
      <c r="M291" s="75">
        <v>1.0</v>
      </c>
      <c r="N291" s="75">
        <v>0.0</v>
      </c>
      <c r="O291" s="75">
        <v>0.0</v>
      </c>
      <c r="P291" s="75">
        <v>1.0</v>
      </c>
      <c r="Q291" s="70" t="s">
        <v>22</v>
      </c>
      <c r="R291" s="71">
        <v>0.0</v>
      </c>
      <c r="S291" s="71">
        <v>5.5</v>
      </c>
      <c r="T291" s="67"/>
      <c r="U291" s="71">
        <v>0.0</v>
      </c>
      <c r="V291" s="71">
        <v>11.0</v>
      </c>
      <c r="W291" s="67"/>
      <c r="X291" s="67"/>
      <c r="Y291" s="67"/>
      <c r="Z291" s="67"/>
      <c r="AA291" s="67"/>
      <c r="AB291" s="67"/>
      <c r="AC291" s="67"/>
    </row>
    <row r="292">
      <c r="A292" s="74">
        <v>45968.0</v>
      </c>
      <c r="B292" s="70" t="s">
        <v>2111</v>
      </c>
      <c r="C292" s="70" t="s">
        <v>2081</v>
      </c>
      <c r="D292" s="71">
        <v>5.5</v>
      </c>
      <c r="E292" s="71">
        <v>11.0</v>
      </c>
      <c r="F292" s="68"/>
      <c r="G292" s="68"/>
      <c r="H292" s="68"/>
      <c r="I292" s="69"/>
      <c r="J292" s="70" t="s">
        <v>1450</v>
      </c>
      <c r="K292" s="67"/>
      <c r="L292" s="70" t="s">
        <v>2112</v>
      </c>
      <c r="M292" s="75">
        <v>1.0</v>
      </c>
      <c r="N292" s="75">
        <v>0.0</v>
      </c>
      <c r="O292" s="75">
        <v>0.0</v>
      </c>
      <c r="P292" s="75">
        <v>1.0</v>
      </c>
      <c r="Q292" s="70" t="s">
        <v>22</v>
      </c>
      <c r="R292" s="71">
        <v>0.0</v>
      </c>
      <c r="S292" s="71">
        <v>5.5</v>
      </c>
      <c r="T292" s="67"/>
      <c r="U292" s="71">
        <v>0.0</v>
      </c>
      <c r="V292" s="71">
        <v>11.0</v>
      </c>
      <c r="W292" s="67"/>
      <c r="X292" s="67"/>
      <c r="Y292" s="67"/>
      <c r="Z292" s="67"/>
      <c r="AA292" s="67"/>
      <c r="AB292" s="67"/>
      <c r="AC292" s="67"/>
    </row>
    <row r="293">
      <c r="A293" s="74">
        <v>45968.0</v>
      </c>
      <c r="B293" s="70" t="s">
        <v>2113</v>
      </c>
      <c r="C293" s="70" t="s">
        <v>2081</v>
      </c>
      <c r="D293" s="71">
        <v>5.5</v>
      </c>
      <c r="E293" s="71">
        <v>11.0</v>
      </c>
      <c r="F293" s="68"/>
      <c r="G293" s="68"/>
      <c r="H293" s="68"/>
      <c r="I293" s="69"/>
      <c r="J293" s="70" t="s">
        <v>1450</v>
      </c>
      <c r="K293" s="67"/>
      <c r="L293" s="70" t="s">
        <v>2114</v>
      </c>
      <c r="M293" s="75">
        <v>1.0</v>
      </c>
      <c r="N293" s="75">
        <v>0.0</v>
      </c>
      <c r="O293" s="75">
        <v>0.0</v>
      </c>
      <c r="P293" s="75">
        <v>1.0</v>
      </c>
      <c r="Q293" s="70" t="s">
        <v>22</v>
      </c>
      <c r="R293" s="71">
        <v>0.0</v>
      </c>
      <c r="S293" s="71">
        <v>5.5</v>
      </c>
      <c r="T293" s="67"/>
      <c r="U293" s="71">
        <v>0.0</v>
      </c>
      <c r="V293" s="71">
        <v>11.0</v>
      </c>
      <c r="W293" s="67"/>
      <c r="X293" s="67"/>
      <c r="Y293" s="67"/>
      <c r="Z293" s="67"/>
      <c r="AA293" s="67"/>
      <c r="AB293" s="67"/>
      <c r="AC293" s="67"/>
    </row>
    <row r="294">
      <c r="A294" s="74">
        <v>45968.0</v>
      </c>
      <c r="B294" s="70" t="s">
        <v>2115</v>
      </c>
      <c r="C294" s="70" t="s">
        <v>2081</v>
      </c>
      <c r="D294" s="71">
        <v>5.5</v>
      </c>
      <c r="E294" s="71">
        <v>11.0</v>
      </c>
      <c r="F294" s="68"/>
      <c r="G294" s="68"/>
      <c r="H294" s="68"/>
      <c r="I294" s="69"/>
      <c r="J294" s="70" t="s">
        <v>1450</v>
      </c>
      <c r="K294" s="67"/>
      <c r="L294" s="70" t="s">
        <v>2116</v>
      </c>
      <c r="M294" s="75">
        <v>1.0</v>
      </c>
      <c r="N294" s="75">
        <v>0.0</v>
      </c>
      <c r="O294" s="75">
        <v>0.0</v>
      </c>
      <c r="P294" s="75">
        <v>1.0</v>
      </c>
      <c r="Q294" s="70" t="s">
        <v>22</v>
      </c>
      <c r="R294" s="71">
        <v>0.0</v>
      </c>
      <c r="S294" s="71">
        <v>5.5</v>
      </c>
      <c r="T294" s="67"/>
      <c r="U294" s="71">
        <v>0.0</v>
      </c>
      <c r="V294" s="71">
        <v>11.0</v>
      </c>
      <c r="W294" s="67"/>
      <c r="X294" s="67"/>
      <c r="Y294" s="67"/>
      <c r="Z294" s="67"/>
      <c r="AA294" s="67"/>
      <c r="AB294" s="67"/>
      <c r="AC294" s="67"/>
    </row>
    <row r="295">
      <c r="A295" s="74">
        <v>45968.0</v>
      </c>
      <c r="B295" s="70" t="s">
        <v>2117</v>
      </c>
      <c r="C295" s="70" t="s">
        <v>2081</v>
      </c>
      <c r="D295" s="71">
        <v>5.5</v>
      </c>
      <c r="E295" s="71">
        <v>11.0</v>
      </c>
      <c r="F295" s="68"/>
      <c r="G295" s="68"/>
      <c r="H295" s="68"/>
      <c r="I295" s="69"/>
      <c r="J295" s="70" t="s">
        <v>1450</v>
      </c>
      <c r="K295" s="67"/>
      <c r="L295" s="70" t="s">
        <v>2118</v>
      </c>
      <c r="M295" s="75">
        <v>1.0</v>
      </c>
      <c r="N295" s="75">
        <v>0.0</v>
      </c>
      <c r="O295" s="75">
        <v>0.0</v>
      </c>
      <c r="P295" s="75">
        <v>1.0</v>
      </c>
      <c r="Q295" s="70" t="s">
        <v>22</v>
      </c>
      <c r="R295" s="71">
        <v>0.0</v>
      </c>
      <c r="S295" s="71">
        <v>5.5</v>
      </c>
      <c r="T295" s="67"/>
      <c r="U295" s="71">
        <v>0.0</v>
      </c>
      <c r="V295" s="71">
        <v>11.0</v>
      </c>
      <c r="W295" s="67"/>
      <c r="X295" s="67"/>
      <c r="Y295" s="67"/>
      <c r="Z295" s="67"/>
      <c r="AA295" s="67"/>
      <c r="AB295" s="67"/>
      <c r="AC295" s="67"/>
    </row>
    <row r="296">
      <c r="A296" s="74">
        <v>45968.0</v>
      </c>
      <c r="B296" s="70" t="s">
        <v>2119</v>
      </c>
      <c r="C296" s="70" t="s">
        <v>2081</v>
      </c>
      <c r="D296" s="71">
        <v>5.5</v>
      </c>
      <c r="E296" s="71">
        <v>11.0</v>
      </c>
      <c r="F296" s="68"/>
      <c r="G296" s="68"/>
      <c r="H296" s="68"/>
      <c r="I296" s="69"/>
      <c r="J296" s="70" t="s">
        <v>1450</v>
      </c>
      <c r="K296" s="67"/>
      <c r="L296" s="70" t="s">
        <v>2120</v>
      </c>
      <c r="M296" s="75">
        <v>1.0</v>
      </c>
      <c r="N296" s="75">
        <v>0.0</v>
      </c>
      <c r="O296" s="75">
        <v>0.0</v>
      </c>
      <c r="P296" s="75">
        <v>1.0</v>
      </c>
      <c r="Q296" s="70" t="s">
        <v>22</v>
      </c>
      <c r="R296" s="71">
        <v>0.0</v>
      </c>
      <c r="S296" s="71">
        <v>5.5</v>
      </c>
      <c r="T296" s="67"/>
      <c r="U296" s="71">
        <v>0.0</v>
      </c>
      <c r="V296" s="71">
        <v>11.0</v>
      </c>
      <c r="W296" s="67"/>
      <c r="X296" s="67"/>
      <c r="Y296" s="67"/>
      <c r="Z296" s="67"/>
      <c r="AA296" s="67"/>
      <c r="AB296" s="67"/>
      <c r="AC296" s="67"/>
    </row>
    <row r="297">
      <c r="A297" s="74">
        <v>45968.0</v>
      </c>
      <c r="B297" s="70" t="s">
        <v>2121</v>
      </c>
      <c r="C297" s="70" t="s">
        <v>2081</v>
      </c>
      <c r="D297" s="71">
        <v>5.5</v>
      </c>
      <c r="E297" s="71">
        <v>11.0</v>
      </c>
      <c r="F297" s="68"/>
      <c r="G297" s="68"/>
      <c r="H297" s="68"/>
      <c r="I297" s="69"/>
      <c r="J297" s="70" t="s">
        <v>1450</v>
      </c>
      <c r="K297" s="67"/>
      <c r="L297" s="70" t="s">
        <v>2122</v>
      </c>
      <c r="M297" s="75">
        <v>1.0</v>
      </c>
      <c r="N297" s="75">
        <v>0.0</v>
      </c>
      <c r="O297" s="75">
        <v>0.0</v>
      </c>
      <c r="P297" s="75">
        <v>1.0</v>
      </c>
      <c r="Q297" s="70" t="s">
        <v>22</v>
      </c>
      <c r="R297" s="71">
        <v>0.0</v>
      </c>
      <c r="S297" s="71">
        <v>5.5</v>
      </c>
      <c r="T297" s="67"/>
      <c r="U297" s="71">
        <v>0.0</v>
      </c>
      <c r="V297" s="71">
        <v>11.0</v>
      </c>
      <c r="W297" s="67"/>
      <c r="X297" s="67"/>
      <c r="Y297" s="67"/>
      <c r="Z297" s="67"/>
      <c r="AA297" s="67"/>
      <c r="AB297" s="67"/>
      <c r="AC297" s="67"/>
    </row>
    <row r="298">
      <c r="A298" s="74">
        <v>45968.0</v>
      </c>
      <c r="B298" s="70" t="s">
        <v>2123</v>
      </c>
      <c r="C298" s="70" t="s">
        <v>2081</v>
      </c>
      <c r="D298" s="71">
        <v>5.5</v>
      </c>
      <c r="E298" s="71">
        <v>11.0</v>
      </c>
      <c r="F298" s="68"/>
      <c r="G298" s="68"/>
      <c r="H298" s="68"/>
      <c r="I298" s="69"/>
      <c r="J298" s="70" t="s">
        <v>1450</v>
      </c>
      <c r="K298" s="67"/>
      <c r="L298" s="70" t="s">
        <v>2124</v>
      </c>
      <c r="M298" s="75">
        <v>1.0</v>
      </c>
      <c r="N298" s="75">
        <v>0.0</v>
      </c>
      <c r="O298" s="75">
        <v>0.0</v>
      </c>
      <c r="P298" s="75">
        <v>1.0</v>
      </c>
      <c r="Q298" s="70" t="s">
        <v>22</v>
      </c>
      <c r="R298" s="71">
        <v>0.0</v>
      </c>
      <c r="S298" s="71">
        <v>5.5</v>
      </c>
      <c r="T298" s="67"/>
      <c r="U298" s="71">
        <v>0.0</v>
      </c>
      <c r="V298" s="71">
        <v>11.0</v>
      </c>
      <c r="W298" s="67"/>
      <c r="X298" s="67"/>
      <c r="Y298" s="67"/>
      <c r="Z298" s="67"/>
      <c r="AA298" s="67"/>
      <c r="AB298" s="67"/>
      <c r="AC298" s="67"/>
    </row>
    <row r="299">
      <c r="A299" s="74">
        <v>45968.0</v>
      </c>
      <c r="B299" s="70" t="s">
        <v>2125</v>
      </c>
      <c r="C299" s="70" t="s">
        <v>2081</v>
      </c>
      <c r="D299" s="71">
        <v>5.5</v>
      </c>
      <c r="E299" s="71">
        <v>11.0</v>
      </c>
      <c r="F299" s="68"/>
      <c r="G299" s="68"/>
      <c r="H299" s="68"/>
      <c r="I299" s="69"/>
      <c r="J299" s="70" t="s">
        <v>1450</v>
      </c>
      <c r="K299" s="67"/>
      <c r="L299" s="70" t="s">
        <v>2126</v>
      </c>
      <c r="M299" s="75">
        <v>1.0</v>
      </c>
      <c r="N299" s="75">
        <v>0.0</v>
      </c>
      <c r="O299" s="75">
        <v>0.0</v>
      </c>
      <c r="P299" s="75">
        <v>1.0</v>
      </c>
      <c r="Q299" s="70" t="s">
        <v>22</v>
      </c>
      <c r="R299" s="71">
        <v>0.0</v>
      </c>
      <c r="S299" s="71">
        <v>5.5</v>
      </c>
      <c r="T299" s="67"/>
      <c r="U299" s="71">
        <v>0.0</v>
      </c>
      <c r="V299" s="71">
        <v>11.0</v>
      </c>
      <c r="W299" s="67"/>
      <c r="X299" s="67"/>
      <c r="Y299" s="67"/>
      <c r="Z299" s="67"/>
      <c r="AA299" s="67"/>
      <c r="AB299" s="67"/>
      <c r="AC299" s="67"/>
    </row>
    <row r="300">
      <c r="A300" s="74">
        <v>45968.0</v>
      </c>
      <c r="B300" s="70" t="s">
        <v>2127</v>
      </c>
      <c r="C300" s="70" t="s">
        <v>2081</v>
      </c>
      <c r="D300" s="71">
        <v>5.5</v>
      </c>
      <c r="E300" s="71">
        <v>11.0</v>
      </c>
      <c r="F300" s="68"/>
      <c r="G300" s="68"/>
      <c r="H300" s="68"/>
      <c r="I300" s="69"/>
      <c r="J300" s="70" t="s">
        <v>1450</v>
      </c>
      <c r="K300" s="67"/>
      <c r="L300" s="70" t="s">
        <v>2128</v>
      </c>
      <c r="M300" s="75">
        <v>1.0</v>
      </c>
      <c r="N300" s="75">
        <v>0.0</v>
      </c>
      <c r="O300" s="75">
        <v>0.0</v>
      </c>
      <c r="P300" s="75">
        <v>1.0</v>
      </c>
      <c r="Q300" s="70" t="s">
        <v>22</v>
      </c>
      <c r="R300" s="71">
        <v>0.0</v>
      </c>
      <c r="S300" s="71">
        <v>5.5</v>
      </c>
      <c r="T300" s="67"/>
      <c r="U300" s="71">
        <v>0.0</v>
      </c>
      <c r="V300" s="71">
        <v>11.0</v>
      </c>
      <c r="W300" s="67"/>
      <c r="X300" s="67"/>
      <c r="Y300" s="67"/>
      <c r="Z300" s="67"/>
      <c r="AA300" s="67"/>
      <c r="AB300" s="67"/>
      <c r="AC300" s="67"/>
    </row>
    <row r="301">
      <c r="A301" s="74">
        <v>45968.0</v>
      </c>
      <c r="B301" s="70" t="s">
        <v>2129</v>
      </c>
      <c r="C301" s="70" t="s">
        <v>2081</v>
      </c>
      <c r="D301" s="71">
        <v>5.5</v>
      </c>
      <c r="E301" s="71">
        <v>11.0</v>
      </c>
      <c r="F301" s="68"/>
      <c r="G301" s="68"/>
      <c r="H301" s="68"/>
      <c r="I301" s="69"/>
      <c r="J301" s="70" t="s">
        <v>1450</v>
      </c>
      <c r="K301" s="67"/>
      <c r="L301" s="70" t="s">
        <v>2130</v>
      </c>
      <c r="M301" s="75">
        <v>1.0</v>
      </c>
      <c r="N301" s="75">
        <v>0.0</v>
      </c>
      <c r="O301" s="75">
        <v>0.0</v>
      </c>
      <c r="P301" s="75">
        <v>1.0</v>
      </c>
      <c r="Q301" s="70" t="s">
        <v>22</v>
      </c>
      <c r="R301" s="71">
        <v>0.0</v>
      </c>
      <c r="S301" s="71">
        <v>5.5</v>
      </c>
      <c r="T301" s="67"/>
      <c r="U301" s="71">
        <v>0.0</v>
      </c>
      <c r="V301" s="71">
        <v>11.0</v>
      </c>
      <c r="W301" s="67"/>
      <c r="X301" s="67"/>
      <c r="Y301" s="67"/>
      <c r="Z301" s="67"/>
      <c r="AA301" s="67"/>
      <c r="AB301" s="67"/>
      <c r="AC301" s="67"/>
    </row>
    <row r="302">
      <c r="A302" s="74">
        <v>45968.0</v>
      </c>
      <c r="B302" s="70" t="s">
        <v>2131</v>
      </c>
      <c r="C302" s="70" t="s">
        <v>2081</v>
      </c>
      <c r="D302" s="71">
        <v>5.5</v>
      </c>
      <c r="E302" s="71">
        <v>11.0</v>
      </c>
      <c r="F302" s="68"/>
      <c r="G302" s="68"/>
      <c r="H302" s="68"/>
      <c r="I302" s="69"/>
      <c r="J302" s="70" t="s">
        <v>1450</v>
      </c>
      <c r="K302" s="67"/>
      <c r="L302" s="70" t="s">
        <v>2132</v>
      </c>
      <c r="M302" s="75">
        <v>1.0</v>
      </c>
      <c r="N302" s="75">
        <v>0.0</v>
      </c>
      <c r="O302" s="75">
        <v>0.0</v>
      </c>
      <c r="P302" s="75">
        <v>1.0</v>
      </c>
      <c r="Q302" s="70" t="s">
        <v>22</v>
      </c>
      <c r="R302" s="71">
        <v>0.0</v>
      </c>
      <c r="S302" s="71">
        <v>5.5</v>
      </c>
      <c r="T302" s="67"/>
      <c r="U302" s="71">
        <v>0.0</v>
      </c>
      <c r="V302" s="71">
        <v>11.0</v>
      </c>
      <c r="W302" s="67"/>
      <c r="X302" s="67"/>
      <c r="Y302" s="67"/>
      <c r="Z302" s="67"/>
      <c r="AA302" s="67"/>
      <c r="AB302" s="67"/>
      <c r="AC302" s="67"/>
    </row>
    <row r="303">
      <c r="A303" s="74">
        <v>45968.0</v>
      </c>
      <c r="B303" s="70" t="s">
        <v>2133</v>
      </c>
      <c r="C303" s="70" t="s">
        <v>2081</v>
      </c>
      <c r="D303" s="71">
        <v>5.5</v>
      </c>
      <c r="E303" s="71">
        <v>11.0</v>
      </c>
      <c r="F303" s="68"/>
      <c r="G303" s="68"/>
      <c r="H303" s="68"/>
      <c r="I303" s="69"/>
      <c r="J303" s="70" t="s">
        <v>1450</v>
      </c>
      <c r="K303" s="67"/>
      <c r="L303" s="70" t="s">
        <v>2134</v>
      </c>
      <c r="M303" s="75">
        <v>1.0</v>
      </c>
      <c r="N303" s="75">
        <v>0.0</v>
      </c>
      <c r="O303" s="75">
        <v>0.0</v>
      </c>
      <c r="P303" s="75">
        <v>1.0</v>
      </c>
      <c r="Q303" s="70" t="s">
        <v>22</v>
      </c>
      <c r="R303" s="71">
        <v>0.0</v>
      </c>
      <c r="S303" s="71">
        <v>5.5</v>
      </c>
      <c r="T303" s="67"/>
      <c r="U303" s="71">
        <v>0.0</v>
      </c>
      <c r="V303" s="71">
        <v>11.0</v>
      </c>
      <c r="W303" s="67"/>
      <c r="X303" s="67"/>
      <c r="Y303" s="67"/>
      <c r="Z303" s="67"/>
      <c r="AA303" s="67"/>
      <c r="AB303" s="67"/>
      <c r="AC303" s="67"/>
    </row>
    <row r="304">
      <c r="A304" s="74">
        <v>45968.0</v>
      </c>
      <c r="B304" s="70" t="s">
        <v>2135</v>
      </c>
      <c r="C304" s="70" t="s">
        <v>2081</v>
      </c>
      <c r="D304" s="71">
        <v>5.5</v>
      </c>
      <c r="E304" s="71">
        <v>11.0</v>
      </c>
      <c r="F304" s="68"/>
      <c r="G304" s="68"/>
      <c r="H304" s="68"/>
      <c r="I304" s="69"/>
      <c r="J304" s="70" t="s">
        <v>1450</v>
      </c>
      <c r="K304" s="67"/>
      <c r="L304" s="70" t="s">
        <v>2136</v>
      </c>
      <c r="M304" s="75">
        <v>1.0</v>
      </c>
      <c r="N304" s="75">
        <v>0.0</v>
      </c>
      <c r="O304" s="75">
        <v>0.0</v>
      </c>
      <c r="P304" s="75">
        <v>1.0</v>
      </c>
      <c r="Q304" s="70" t="s">
        <v>22</v>
      </c>
      <c r="R304" s="71">
        <v>0.0</v>
      </c>
      <c r="S304" s="71">
        <v>5.5</v>
      </c>
      <c r="T304" s="67"/>
      <c r="U304" s="71">
        <v>0.0</v>
      </c>
      <c r="V304" s="71">
        <v>11.0</v>
      </c>
      <c r="W304" s="67"/>
      <c r="X304" s="67"/>
      <c r="Y304" s="67"/>
      <c r="Z304" s="67"/>
      <c r="AA304" s="67"/>
      <c r="AB304" s="67"/>
      <c r="AC304" s="67"/>
    </row>
    <row r="305">
      <c r="A305" s="74">
        <v>45968.0</v>
      </c>
      <c r="B305" s="70" t="s">
        <v>2137</v>
      </c>
      <c r="C305" s="70" t="s">
        <v>2081</v>
      </c>
      <c r="D305" s="71">
        <v>5.5</v>
      </c>
      <c r="E305" s="71">
        <v>11.0</v>
      </c>
      <c r="F305" s="68"/>
      <c r="G305" s="68"/>
      <c r="H305" s="68"/>
      <c r="I305" s="69"/>
      <c r="J305" s="70" t="s">
        <v>1450</v>
      </c>
      <c r="K305" s="67"/>
      <c r="L305" s="70" t="s">
        <v>2138</v>
      </c>
      <c r="M305" s="75">
        <v>1.0</v>
      </c>
      <c r="N305" s="75">
        <v>0.0</v>
      </c>
      <c r="O305" s="75">
        <v>0.0</v>
      </c>
      <c r="P305" s="75">
        <v>1.0</v>
      </c>
      <c r="Q305" s="70" t="s">
        <v>22</v>
      </c>
      <c r="R305" s="71">
        <v>0.0</v>
      </c>
      <c r="S305" s="71">
        <v>5.5</v>
      </c>
      <c r="T305" s="67"/>
      <c r="U305" s="71">
        <v>0.0</v>
      </c>
      <c r="V305" s="71">
        <v>11.0</v>
      </c>
      <c r="W305" s="67"/>
      <c r="X305" s="67"/>
      <c r="Y305" s="67"/>
      <c r="Z305" s="67"/>
      <c r="AA305" s="67"/>
      <c r="AB305" s="67"/>
      <c r="AC305" s="67"/>
    </row>
    <row r="306">
      <c r="A306" s="74">
        <v>45968.0</v>
      </c>
      <c r="B306" s="70" t="s">
        <v>2139</v>
      </c>
      <c r="C306" s="70" t="s">
        <v>2081</v>
      </c>
      <c r="D306" s="71">
        <v>5.5</v>
      </c>
      <c r="E306" s="71">
        <v>11.0</v>
      </c>
      <c r="F306" s="68"/>
      <c r="G306" s="68"/>
      <c r="H306" s="68"/>
      <c r="I306" s="69"/>
      <c r="J306" s="70" t="s">
        <v>1450</v>
      </c>
      <c r="K306" s="67"/>
      <c r="L306" s="70" t="s">
        <v>2140</v>
      </c>
      <c r="M306" s="75">
        <v>1.0</v>
      </c>
      <c r="N306" s="75">
        <v>0.0</v>
      </c>
      <c r="O306" s="75">
        <v>0.0</v>
      </c>
      <c r="P306" s="75">
        <v>1.0</v>
      </c>
      <c r="Q306" s="70" t="s">
        <v>22</v>
      </c>
      <c r="R306" s="71">
        <v>0.0</v>
      </c>
      <c r="S306" s="71">
        <v>5.5</v>
      </c>
      <c r="T306" s="67"/>
      <c r="U306" s="71">
        <v>0.0</v>
      </c>
      <c r="V306" s="71">
        <v>11.0</v>
      </c>
      <c r="W306" s="67"/>
      <c r="X306" s="67"/>
      <c r="Y306" s="67"/>
      <c r="Z306" s="67"/>
      <c r="AA306" s="67"/>
      <c r="AB306" s="67"/>
      <c r="AC306" s="67"/>
    </row>
    <row r="307">
      <c r="A307" s="74">
        <v>45968.0</v>
      </c>
      <c r="B307" s="70" t="s">
        <v>2141</v>
      </c>
      <c r="C307" s="70" t="s">
        <v>2081</v>
      </c>
      <c r="D307" s="71">
        <v>5.5</v>
      </c>
      <c r="E307" s="71">
        <v>11.0</v>
      </c>
      <c r="F307" s="68"/>
      <c r="G307" s="68"/>
      <c r="H307" s="68"/>
      <c r="I307" s="69"/>
      <c r="J307" s="70" t="s">
        <v>1450</v>
      </c>
      <c r="K307" s="67"/>
      <c r="L307" s="70" t="s">
        <v>2142</v>
      </c>
      <c r="M307" s="75">
        <v>1.0</v>
      </c>
      <c r="N307" s="75">
        <v>0.0</v>
      </c>
      <c r="O307" s="75">
        <v>0.0</v>
      </c>
      <c r="P307" s="75">
        <v>1.0</v>
      </c>
      <c r="Q307" s="70" t="s">
        <v>22</v>
      </c>
      <c r="R307" s="71">
        <v>0.0</v>
      </c>
      <c r="S307" s="71">
        <v>5.5</v>
      </c>
      <c r="T307" s="67"/>
      <c r="U307" s="71">
        <v>0.0</v>
      </c>
      <c r="V307" s="71">
        <v>11.0</v>
      </c>
      <c r="W307" s="67"/>
      <c r="X307" s="67"/>
      <c r="Y307" s="67"/>
      <c r="Z307" s="67"/>
      <c r="AA307" s="67"/>
      <c r="AB307" s="67"/>
      <c r="AC307" s="67"/>
    </row>
    <row r="308">
      <c r="A308" s="74">
        <v>45968.0</v>
      </c>
      <c r="B308" s="70" t="s">
        <v>2143</v>
      </c>
      <c r="C308" s="70" t="s">
        <v>2081</v>
      </c>
      <c r="D308" s="71">
        <v>5.5</v>
      </c>
      <c r="E308" s="71">
        <v>11.0</v>
      </c>
      <c r="F308" s="68"/>
      <c r="G308" s="68"/>
      <c r="H308" s="68"/>
      <c r="I308" s="69"/>
      <c r="J308" s="70" t="s">
        <v>1450</v>
      </c>
      <c r="K308" s="67"/>
      <c r="L308" s="70" t="s">
        <v>2144</v>
      </c>
      <c r="M308" s="75">
        <v>1.0</v>
      </c>
      <c r="N308" s="75">
        <v>0.0</v>
      </c>
      <c r="O308" s="75">
        <v>0.0</v>
      </c>
      <c r="P308" s="75">
        <v>1.0</v>
      </c>
      <c r="Q308" s="70" t="s">
        <v>22</v>
      </c>
      <c r="R308" s="71">
        <v>0.0</v>
      </c>
      <c r="S308" s="71">
        <v>5.5</v>
      </c>
      <c r="T308" s="67"/>
      <c r="U308" s="71">
        <v>0.0</v>
      </c>
      <c r="V308" s="71">
        <v>11.0</v>
      </c>
      <c r="W308" s="67"/>
      <c r="X308" s="67"/>
      <c r="Y308" s="67"/>
      <c r="Z308" s="67"/>
      <c r="AA308" s="67"/>
      <c r="AB308" s="67"/>
      <c r="AC308" s="67"/>
    </row>
    <row r="309">
      <c r="A309" s="74">
        <v>45968.0</v>
      </c>
      <c r="B309" s="70" t="s">
        <v>2145</v>
      </c>
      <c r="C309" s="70" t="s">
        <v>2081</v>
      </c>
      <c r="D309" s="71">
        <v>5.5</v>
      </c>
      <c r="E309" s="71">
        <v>11.0</v>
      </c>
      <c r="F309" s="68"/>
      <c r="G309" s="68"/>
      <c r="H309" s="68"/>
      <c r="I309" s="69"/>
      <c r="J309" s="70" t="s">
        <v>1450</v>
      </c>
      <c r="K309" s="67"/>
      <c r="L309" s="70" t="s">
        <v>2146</v>
      </c>
      <c r="M309" s="75">
        <v>1.0</v>
      </c>
      <c r="N309" s="75">
        <v>0.0</v>
      </c>
      <c r="O309" s="75">
        <v>0.0</v>
      </c>
      <c r="P309" s="75">
        <v>1.0</v>
      </c>
      <c r="Q309" s="70" t="s">
        <v>22</v>
      </c>
      <c r="R309" s="71">
        <v>0.0</v>
      </c>
      <c r="S309" s="71">
        <v>5.5</v>
      </c>
      <c r="T309" s="67"/>
      <c r="U309" s="71">
        <v>0.0</v>
      </c>
      <c r="V309" s="71">
        <v>11.0</v>
      </c>
      <c r="W309" s="67"/>
      <c r="X309" s="67"/>
      <c r="Y309" s="67"/>
      <c r="Z309" s="67"/>
      <c r="AA309" s="67"/>
      <c r="AB309" s="67"/>
      <c r="AC309" s="67"/>
    </row>
    <row r="310">
      <c r="A310" s="74">
        <v>45968.0</v>
      </c>
      <c r="B310" s="70" t="s">
        <v>2147</v>
      </c>
      <c r="C310" s="70" t="s">
        <v>2081</v>
      </c>
      <c r="D310" s="71">
        <v>5.5</v>
      </c>
      <c r="E310" s="71">
        <v>11.0</v>
      </c>
      <c r="F310" s="68"/>
      <c r="G310" s="68"/>
      <c r="H310" s="68"/>
      <c r="I310" s="69"/>
      <c r="J310" s="70" t="s">
        <v>1450</v>
      </c>
      <c r="K310" s="67"/>
      <c r="L310" s="70" t="s">
        <v>2148</v>
      </c>
      <c r="M310" s="75">
        <v>1.0</v>
      </c>
      <c r="N310" s="75">
        <v>0.0</v>
      </c>
      <c r="O310" s="75">
        <v>0.0</v>
      </c>
      <c r="P310" s="75">
        <v>1.0</v>
      </c>
      <c r="Q310" s="70" t="s">
        <v>22</v>
      </c>
      <c r="R310" s="71">
        <v>0.0</v>
      </c>
      <c r="S310" s="71">
        <v>5.5</v>
      </c>
      <c r="T310" s="67"/>
      <c r="U310" s="71">
        <v>0.0</v>
      </c>
      <c r="V310" s="71">
        <v>11.0</v>
      </c>
      <c r="W310" s="67"/>
      <c r="X310" s="67"/>
      <c r="Y310" s="67"/>
      <c r="Z310" s="67"/>
      <c r="AA310" s="67"/>
      <c r="AB310" s="67"/>
      <c r="AC310" s="67"/>
    </row>
    <row r="311">
      <c r="A311" s="74">
        <v>45968.0</v>
      </c>
      <c r="B311" s="70" t="s">
        <v>2149</v>
      </c>
      <c r="C311" s="70" t="s">
        <v>2081</v>
      </c>
      <c r="D311" s="71">
        <v>5.5</v>
      </c>
      <c r="E311" s="71">
        <v>11.0</v>
      </c>
      <c r="F311" s="68"/>
      <c r="G311" s="68"/>
      <c r="H311" s="68"/>
      <c r="I311" s="69"/>
      <c r="J311" s="70" t="s">
        <v>1450</v>
      </c>
      <c r="K311" s="67"/>
      <c r="L311" s="70" t="s">
        <v>2150</v>
      </c>
      <c r="M311" s="75">
        <v>1.0</v>
      </c>
      <c r="N311" s="75">
        <v>0.0</v>
      </c>
      <c r="O311" s="75">
        <v>0.0</v>
      </c>
      <c r="P311" s="75">
        <v>1.0</v>
      </c>
      <c r="Q311" s="70" t="s">
        <v>22</v>
      </c>
      <c r="R311" s="71">
        <v>0.0</v>
      </c>
      <c r="S311" s="71">
        <v>5.5</v>
      </c>
      <c r="T311" s="67"/>
      <c r="U311" s="71">
        <v>0.0</v>
      </c>
      <c r="V311" s="71">
        <v>11.0</v>
      </c>
      <c r="W311" s="67"/>
      <c r="X311" s="67"/>
      <c r="Y311" s="67"/>
      <c r="Z311" s="67"/>
      <c r="AA311" s="67"/>
      <c r="AB311" s="67"/>
      <c r="AC311" s="67"/>
    </row>
    <row r="312">
      <c r="A312" s="74">
        <v>45968.0</v>
      </c>
      <c r="B312" s="70" t="s">
        <v>2151</v>
      </c>
      <c r="C312" s="70" t="s">
        <v>2081</v>
      </c>
      <c r="D312" s="71">
        <v>5.5</v>
      </c>
      <c r="E312" s="71">
        <v>11.0</v>
      </c>
      <c r="F312" s="68"/>
      <c r="G312" s="68"/>
      <c r="H312" s="68"/>
      <c r="I312" s="69"/>
      <c r="J312" s="70" t="s">
        <v>1450</v>
      </c>
      <c r="K312" s="67"/>
      <c r="L312" s="70" t="s">
        <v>2152</v>
      </c>
      <c r="M312" s="75">
        <v>1.0</v>
      </c>
      <c r="N312" s="75">
        <v>0.0</v>
      </c>
      <c r="O312" s="75">
        <v>0.0</v>
      </c>
      <c r="P312" s="75">
        <v>1.0</v>
      </c>
      <c r="Q312" s="70" t="s">
        <v>22</v>
      </c>
      <c r="R312" s="71">
        <v>0.0</v>
      </c>
      <c r="S312" s="71">
        <v>5.5</v>
      </c>
      <c r="T312" s="67"/>
      <c r="U312" s="71">
        <v>0.0</v>
      </c>
      <c r="V312" s="71">
        <v>11.0</v>
      </c>
      <c r="W312" s="67"/>
      <c r="X312" s="67"/>
      <c r="Y312" s="67"/>
      <c r="Z312" s="67"/>
      <c r="AA312" s="67"/>
      <c r="AB312" s="67"/>
      <c r="AC312" s="67"/>
    </row>
    <row r="313">
      <c r="A313" s="74">
        <v>45968.0</v>
      </c>
      <c r="B313" s="70" t="s">
        <v>2153</v>
      </c>
      <c r="C313" s="70" t="s">
        <v>2081</v>
      </c>
      <c r="D313" s="71">
        <v>5.5</v>
      </c>
      <c r="E313" s="71">
        <v>11.0</v>
      </c>
      <c r="F313" s="68"/>
      <c r="G313" s="68"/>
      <c r="H313" s="68"/>
      <c r="I313" s="69"/>
      <c r="J313" s="70" t="s">
        <v>1450</v>
      </c>
      <c r="K313" s="67"/>
      <c r="L313" s="70" t="s">
        <v>2154</v>
      </c>
      <c r="M313" s="75">
        <v>1.0</v>
      </c>
      <c r="N313" s="75">
        <v>0.0</v>
      </c>
      <c r="O313" s="75">
        <v>0.0</v>
      </c>
      <c r="P313" s="75">
        <v>1.0</v>
      </c>
      <c r="Q313" s="70" t="s">
        <v>22</v>
      </c>
      <c r="R313" s="71">
        <v>0.0</v>
      </c>
      <c r="S313" s="71">
        <v>5.5</v>
      </c>
      <c r="T313" s="67"/>
      <c r="U313" s="71">
        <v>0.0</v>
      </c>
      <c r="V313" s="71">
        <v>11.0</v>
      </c>
      <c r="W313" s="67"/>
      <c r="X313" s="67"/>
      <c r="Y313" s="67"/>
      <c r="Z313" s="67"/>
      <c r="AA313" s="67"/>
      <c r="AB313" s="67"/>
      <c r="AC313" s="67"/>
    </row>
    <row r="314">
      <c r="A314" s="74">
        <v>45969.0</v>
      </c>
      <c r="B314" s="70" t="s">
        <v>2155</v>
      </c>
      <c r="C314" s="70" t="s">
        <v>1461</v>
      </c>
      <c r="D314" s="71">
        <v>10.99</v>
      </c>
      <c r="E314" s="71">
        <v>0.0</v>
      </c>
      <c r="F314" s="68"/>
      <c r="G314" s="68"/>
      <c r="H314" s="71">
        <v>-10.99</v>
      </c>
      <c r="I314" s="72">
        <v>-1.0</v>
      </c>
      <c r="J314" s="70" t="s">
        <v>483</v>
      </c>
      <c r="K314" s="67"/>
      <c r="L314" s="70" t="s">
        <v>2156</v>
      </c>
      <c r="M314" s="75">
        <v>1.0</v>
      </c>
      <c r="N314" s="75">
        <v>0.0</v>
      </c>
      <c r="O314" s="75">
        <v>1.0</v>
      </c>
      <c r="P314" s="75">
        <v>0.0</v>
      </c>
      <c r="Q314" s="70" t="s">
        <v>22</v>
      </c>
      <c r="R314" s="71">
        <v>0.0</v>
      </c>
      <c r="S314" s="71">
        <v>10.99</v>
      </c>
      <c r="T314" s="67"/>
      <c r="U314" s="71">
        <v>0.0</v>
      </c>
      <c r="V314" s="71"/>
      <c r="W314" s="67"/>
      <c r="X314" s="67"/>
      <c r="Y314" s="67"/>
      <c r="Z314" s="67"/>
      <c r="AA314" s="67"/>
      <c r="AB314" s="67"/>
      <c r="AC314" s="67"/>
    </row>
    <row r="315">
      <c r="A315" s="74">
        <v>45969.0</v>
      </c>
      <c r="B315" s="70" t="s">
        <v>2157</v>
      </c>
      <c r="C315" s="70" t="s">
        <v>1545</v>
      </c>
      <c r="D315" s="71">
        <v>3.33</v>
      </c>
      <c r="E315" s="71">
        <v>2.83</v>
      </c>
      <c r="F315" s="68"/>
      <c r="G315" s="71">
        <v>10.0</v>
      </c>
      <c r="H315" s="71">
        <v>6.17</v>
      </c>
      <c r="I315" s="72">
        <v>0.617</v>
      </c>
      <c r="J315" s="70" t="s">
        <v>1626</v>
      </c>
      <c r="K315" s="67"/>
      <c r="L315" s="70" t="s">
        <v>2158</v>
      </c>
      <c r="M315" s="75">
        <v>1.0</v>
      </c>
      <c r="N315" s="75">
        <v>1.0</v>
      </c>
      <c r="O315" s="75">
        <v>0.0</v>
      </c>
      <c r="P315" s="75">
        <v>0.0</v>
      </c>
      <c r="Q315" s="70" t="s">
        <v>22</v>
      </c>
      <c r="R315" s="71">
        <v>0.5</v>
      </c>
      <c r="S315" s="71">
        <v>3.83</v>
      </c>
      <c r="T315" s="70"/>
      <c r="U315" s="71">
        <v>5.0</v>
      </c>
      <c r="V315" s="71">
        <v>7.83</v>
      </c>
      <c r="W315" s="67"/>
      <c r="X315" s="67"/>
      <c r="Y315" s="67"/>
      <c r="Z315" s="67"/>
      <c r="AA315" s="67"/>
      <c r="AB315" s="67"/>
      <c r="AC315" s="67"/>
    </row>
    <row r="316">
      <c r="A316" s="74">
        <v>45969.0</v>
      </c>
      <c r="B316" s="70" t="s">
        <v>2159</v>
      </c>
      <c r="C316" s="70" t="s">
        <v>1542</v>
      </c>
      <c r="D316" s="71">
        <v>0.0</v>
      </c>
      <c r="E316" s="71">
        <v>0.0</v>
      </c>
      <c r="F316" s="68"/>
      <c r="G316" s="68"/>
      <c r="H316" s="68"/>
      <c r="I316" s="69"/>
      <c r="J316" s="70" t="s">
        <v>1450</v>
      </c>
      <c r="K316" s="67"/>
      <c r="L316" s="70" t="s">
        <v>2160</v>
      </c>
      <c r="M316" s="75">
        <v>1.0</v>
      </c>
      <c r="N316" s="75">
        <v>0.0</v>
      </c>
      <c r="O316" s="75">
        <v>0.0</v>
      </c>
      <c r="P316" s="75">
        <v>1.0</v>
      </c>
      <c r="Q316" s="70" t="s">
        <v>22</v>
      </c>
      <c r="R316" s="71">
        <v>0.0</v>
      </c>
      <c r="S316" s="71">
        <v>0.0</v>
      </c>
      <c r="T316" s="67"/>
      <c r="U316" s="71">
        <v>0.0</v>
      </c>
      <c r="V316" s="68"/>
      <c r="W316" s="67"/>
      <c r="X316" s="67"/>
      <c r="Y316" s="67"/>
      <c r="Z316" s="67"/>
      <c r="AA316" s="67"/>
      <c r="AB316" s="67"/>
      <c r="AC316" s="67"/>
    </row>
    <row r="317">
      <c r="A317" s="74">
        <v>45969.0</v>
      </c>
      <c r="B317" s="70" t="s">
        <v>2161</v>
      </c>
      <c r="C317" s="70" t="s">
        <v>2081</v>
      </c>
      <c r="D317" s="71">
        <v>5.5</v>
      </c>
      <c r="E317" s="71">
        <v>11.0</v>
      </c>
      <c r="F317" s="68"/>
      <c r="G317" s="71">
        <v>15.0</v>
      </c>
      <c r="H317" s="71">
        <v>9.5</v>
      </c>
      <c r="I317" s="72">
        <v>0.6333333333333333</v>
      </c>
      <c r="J317" s="70" t="s">
        <v>1626</v>
      </c>
      <c r="K317" s="67"/>
      <c r="L317" s="70" t="s">
        <v>2162</v>
      </c>
      <c r="M317" s="75">
        <v>1.0</v>
      </c>
      <c r="N317" s="75">
        <v>1.0</v>
      </c>
      <c r="O317" s="75">
        <v>0.0</v>
      </c>
      <c r="P317" s="75">
        <v>0.0</v>
      </c>
      <c r="Q317" s="70" t="s">
        <v>22</v>
      </c>
      <c r="R317" s="71">
        <v>0.0</v>
      </c>
      <c r="S317" s="71">
        <v>5.5</v>
      </c>
      <c r="T317" s="67"/>
      <c r="U317" s="71">
        <v>0.0</v>
      </c>
      <c r="V317" s="71">
        <v>11.0</v>
      </c>
      <c r="W317" s="67"/>
      <c r="X317" s="67"/>
      <c r="Y317" s="67"/>
      <c r="Z317" s="67"/>
      <c r="AA317" s="67"/>
      <c r="AB317" s="67"/>
      <c r="AC317" s="67"/>
    </row>
    <row r="318">
      <c r="A318" s="74">
        <v>45969.0</v>
      </c>
      <c r="B318" s="70" t="s">
        <v>2163</v>
      </c>
      <c r="C318" s="70" t="s">
        <v>2164</v>
      </c>
      <c r="D318" s="71">
        <v>3.55</v>
      </c>
      <c r="E318" s="71">
        <v>7.1</v>
      </c>
      <c r="F318" s="68"/>
      <c r="G318" s="68"/>
      <c r="H318" s="68"/>
      <c r="I318" s="69"/>
      <c r="J318" s="70" t="s">
        <v>1602</v>
      </c>
      <c r="K318" s="67"/>
      <c r="L318" s="70" t="s">
        <v>2165</v>
      </c>
      <c r="M318" s="75">
        <v>1.0</v>
      </c>
      <c r="N318" s="75">
        <v>0.0</v>
      </c>
      <c r="O318" s="75">
        <v>1.0</v>
      </c>
      <c r="P318" s="75">
        <v>0.0</v>
      </c>
      <c r="Q318" s="70" t="s">
        <v>22</v>
      </c>
      <c r="R318" s="71">
        <v>0.0</v>
      </c>
      <c r="S318" s="71">
        <v>3.55</v>
      </c>
      <c r="T318" s="67"/>
      <c r="U318" s="71">
        <v>0.0</v>
      </c>
      <c r="V318" s="71">
        <v>7.1</v>
      </c>
      <c r="W318" s="67"/>
      <c r="X318" s="67"/>
      <c r="Y318" s="67"/>
      <c r="Z318" s="67"/>
      <c r="AA318" s="67"/>
      <c r="AB318" s="67"/>
      <c r="AC318" s="67"/>
    </row>
    <row r="319">
      <c r="A319" s="74">
        <v>45969.0</v>
      </c>
      <c r="B319" s="70" t="s">
        <v>2166</v>
      </c>
      <c r="C319" s="70" t="s">
        <v>2081</v>
      </c>
      <c r="D319" s="71">
        <v>5.5</v>
      </c>
      <c r="E319" s="71">
        <v>11.0</v>
      </c>
      <c r="F319" s="68"/>
      <c r="G319" s="71">
        <v>15.0</v>
      </c>
      <c r="H319" s="71">
        <v>9.5</v>
      </c>
      <c r="I319" s="72">
        <v>0.6333333333333333</v>
      </c>
      <c r="J319" s="70" t="s">
        <v>1626</v>
      </c>
      <c r="K319" s="67"/>
      <c r="L319" s="70" t="s">
        <v>2167</v>
      </c>
      <c r="M319" s="75">
        <v>1.0</v>
      </c>
      <c r="N319" s="75">
        <v>1.0</v>
      </c>
      <c r="O319" s="75">
        <v>0.0</v>
      </c>
      <c r="P319" s="75">
        <v>0.0</v>
      </c>
      <c r="Q319" s="70" t="s">
        <v>22</v>
      </c>
      <c r="R319" s="71">
        <v>0.0</v>
      </c>
      <c r="S319" s="71">
        <v>5.5</v>
      </c>
      <c r="T319" s="67"/>
      <c r="U319" s="71">
        <v>0.0</v>
      </c>
      <c r="V319" s="71">
        <v>11.0</v>
      </c>
      <c r="W319" s="67"/>
      <c r="X319" s="67"/>
      <c r="Y319" s="67"/>
      <c r="Z319" s="67"/>
      <c r="AA319" s="67"/>
      <c r="AB319" s="67"/>
      <c r="AC319" s="67"/>
    </row>
    <row r="320">
      <c r="A320" s="74">
        <v>45969.0</v>
      </c>
      <c r="B320" s="70" t="s">
        <v>2168</v>
      </c>
      <c r="C320" s="70" t="s">
        <v>2081</v>
      </c>
      <c r="D320" s="71">
        <v>5.5</v>
      </c>
      <c r="E320" s="71">
        <v>11.0</v>
      </c>
      <c r="F320" s="68"/>
      <c r="G320" s="71">
        <v>15.0</v>
      </c>
      <c r="H320" s="71">
        <v>9.5</v>
      </c>
      <c r="I320" s="72">
        <v>0.6333333333333333</v>
      </c>
      <c r="J320" s="70" t="s">
        <v>1626</v>
      </c>
      <c r="K320" s="67"/>
      <c r="L320" s="70" t="s">
        <v>2169</v>
      </c>
      <c r="M320" s="75">
        <v>1.0</v>
      </c>
      <c r="N320" s="75">
        <v>1.0</v>
      </c>
      <c r="O320" s="75">
        <v>0.0</v>
      </c>
      <c r="P320" s="75">
        <v>0.0</v>
      </c>
      <c r="Q320" s="70" t="s">
        <v>22</v>
      </c>
      <c r="R320" s="71">
        <v>0.0</v>
      </c>
      <c r="S320" s="71">
        <v>5.5</v>
      </c>
      <c r="T320" s="67"/>
      <c r="U320" s="71">
        <v>0.0</v>
      </c>
      <c r="V320" s="71">
        <v>11.0</v>
      </c>
      <c r="W320" s="67"/>
      <c r="X320" s="67"/>
      <c r="Y320" s="67"/>
      <c r="Z320" s="67"/>
      <c r="AA320" s="67"/>
      <c r="AB320" s="67"/>
      <c r="AC320" s="67"/>
    </row>
    <row r="321">
      <c r="A321" s="74">
        <v>45969.0</v>
      </c>
      <c r="B321" s="70" t="s">
        <v>2170</v>
      </c>
      <c r="C321" s="70" t="s">
        <v>2171</v>
      </c>
      <c r="D321" s="71">
        <v>3.55</v>
      </c>
      <c r="E321" s="71">
        <v>7.1</v>
      </c>
      <c r="F321" s="68"/>
      <c r="G321" s="68"/>
      <c r="H321" s="68"/>
      <c r="I321" s="69"/>
      <c r="J321" s="70" t="s">
        <v>1602</v>
      </c>
      <c r="K321" s="67"/>
      <c r="L321" s="70" t="s">
        <v>2172</v>
      </c>
      <c r="M321" s="75">
        <v>1.0</v>
      </c>
      <c r="N321" s="75">
        <v>0.0</v>
      </c>
      <c r="O321" s="75">
        <v>1.0</v>
      </c>
      <c r="P321" s="75">
        <v>0.0</v>
      </c>
      <c r="Q321" s="70" t="s">
        <v>22</v>
      </c>
      <c r="R321" s="71">
        <v>0.0</v>
      </c>
      <c r="S321" s="71">
        <v>3.55</v>
      </c>
      <c r="T321" s="67"/>
      <c r="U321" s="71">
        <v>0.0</v>
      </c>
      <c r="V321" s="71">
        <v>7.1</v>
      </c>
      <c r="W321" s="67"/>
      <c r="X321" s="67"/>
      <c r="Y321" s="67"/>
      <c r="Z321" s="67"/>
      <c r="AA321" s="67"/>
      <c r="AB321" s="67"/>
      <c r="AC321" s="67"/>
    </row>
    <row r="322">
      <c r="A322" s="74">
        <v>45969.0</v>
      </c>
      <c r="B322" s="70" t="s">
        <v>2173</v>
      </c>
      <c r="C322" s="70" t="s">
        <v>2171</v>
      </c>
      <c r="D322" s="71">
        <v>3.55</v>
      </c>
      <c r="E322" s="71">
        <v>7.1</v>
      </c>
      <c r="F322" s="68"/>
      <c r="G322" s="68"/>
      <c r="H322" s="68"/>
      <c r="I322" s="69"/>
      <c r="J322" s="70" t="s">
        <v>1602</v>
      </c>
      <c r="K322" s="67"/>
      <c r="L322" s="70" t="s">
        <v>2174</v>
      </c>
      <c r="M322" s="75">
        <v>1.0</v>
      </c>
      <c r="N322" s="75">
        <v>0.0</v>
      </c>
      <c r="O322" s="75">
        <v>1.0</v>
      </c>
      <c r="P322" s="75">
        <v>0.0</v>
      </c>
      <c r="Q322" s="70" t="s">
        <v>22</v>
      </c>
      <c r="R322" s="71">
        <v>0.0</v>
      </c>
      <c r="S322" s="71">
        <v>3.55</v>
      </c>
      <c r="T322" s="67"/>
      <c r="U322" s="71">
        <v>0.0</v>
      </c>
      <c r="V322" s="71">
        <v>7.1</v>
      </c>
      <c r="W322" s="67"/>
      <c r="X322" s="67"/>
      <c r="Y322" s="67"/>
      <c r="Z322" s="67"/>
      <c r="AA322" s="67"/>
      <c r="AB322" s="67"/>
      <c r="AC322" s="67"/>
    </row>
    <row r="323">
      <c r="A323" s="74">
        <v>45969.0</v>
      </c>
      <c r="B323" s="70" t="s">
        <v>2175</v>
      </c>
      <c r="C323" s="70" t="s">
        <v>2171</v>
      </c>
      <c r="D323" s="71">
        <v>3.55</v>
      </c>
      <c r="E323" s="71">
        <v>7.1</v>
      </c>
      <c r="F323" s="68"/>
      <c r="G323" s="68"/>
      <c r="H323" s="68"/>
      <c r="I323" s="69"/>
      <c r="J323" s="70" t="s">
        <v>1602</v>
      </c>
      <c r="K323" s="67"/>
      <c r="L323" s="70" t="s">
        <v>2176</v>
      </c>
      <c r="M323" s="75">
        <v>1.0</v>
      </c>
      <c r="N323" s="75">
        <v>0.0</v>
      </c>
      <c r="O323" s="75">
        <v>1.0</v>
      </c>
      <c r="P323" s="75">
        <v>0.0</v>
      </c>
      <c r="Q323" s="70" t="s">
        <v>22</v>
      </c>
      <c r="R323" s="71">
        <v>0.0</v>
      </c>
      <c r="S323" s="71">
        <v>3.55</v>
      </c>
      <c r="T323" s="67"/>
      <c r="U323" s="71">
        <v>0.0</v>
      </c>
      <c r="V323" s="71">
        <v>7.1</v>
      </c>
      <c r="W323" s="67"/>
      <c r="X323" s="67"/>
      <c r="Y323" s="67"/>
      <c r="Z323" s="67"/>
      <c r="AA323" s="67"/>
      <c r="AB323" s="67"/>
      <c r="AC323" s="67"/>
    </row>
    <row r="324">
      <c r="A324" s="74">
        <v>45969.0</v>
      </c>
      <c r="B324" s="70" t="s">
        <v>2177</v>
      </c>
      <c r="C324" s="70" t="s">
        <v>2171</v>
      </c>
      <c r="D324" s="71">
        <v>3.55</v>
      </c>
      <c r="E324" s="71">
        <v>7.1</v>
      </c>
      <c r="F324" s="68"/>
      <c r="G324" s="68"/>
      <c r="H324" s="68"/>
      <c r="I324" s="69"/>
      <c r="J324" s="70" t="s">
        <v>1602</v>
      </c>
      <c r="K324" s="67"/>
      <c r="L324" s="70" t="s">
        <v>2178</v>
      </c>
      <c r="M324" s="75">
        <v>1.0</v>
      </c>
      <c r="N324" s="75">
        <v>0.0</v>
      </c>
      <c r="O324" s="75">
        <v>1.0</v>
      </c>
      <c r="P324" s="75">
        <v>0.0</v>
      </c>
      <c r="Q324" s="70" t="s">
        <v>22</v>
      </c>
      <c r="R324" s="71">
        <v>0.0</v>
      </c>
      <c r="S324" s="71">
        <v>3.55</v>
      </c>
      <c r="T324" s="67"/>
      <c r="U324" s="71">
        <v>0.0</v>
      </c>
      <c r="V324" s="71">
        <v>7.1</v>
      </c>
      <c r="W324" s="67"/>
      <c r="X324" s="67"/>
      <c r="Y324" s="67"/>
      <c r="Z324" s="67"/>
      <c r="AA324" s="67"/>
      <c r="AB324" s="67"/>
      <c r="AC324" s="67"/>
    </row>
    <row r="325">
      <c r="A325" s="74">
        <v>45969.0</v>
      </c>
      <c r="B325" s="70" t="s">
        <v>2179</v>
      </c>
      <c r="C325" s="70" t="s">
        <v>2171</v>
      </c>
      <c r="D325" s="71">
        <v>3.55</v>
      </c>
      <c r="E325" s="71">
        <v>7.1</v>
      </c>
      <c r="F325" s="68"/>
      <c r="G325" s="68"/>
      <c r="H325" s="68"/>
      <c r="I325" s="69"/>
      <c r="J325" s="70" t="s">
        <v>1602</v>
      </c>
      <c r="K325" s="67"/>
      <c r="L325" s="70" t="s">
        <v>2180</v>
      </c>
      <c r="M325" s="75">
        <v>1.0</v>
      </c>
      <c r="N325" s="75">
        <v>0.0</v>
      </c>
      <c r="O325" s="75">
        <v>1.0</v>
      </c>
      <c r="P325" s="75">
        <v>0.0</v>
      </c>
      <c r="Q325" s="70" t="s">
        <v>22</v>
      </c>
      <c r="R325" s="71">
        <v>0.0</v>
      </c>
      <c r="S325" s="71">
        <v>3.55</v>
      </c>
      <c r="T325" s="67"/>
      <c r="U325" s="71">
        <v>0.0</v>
      </c>
      <c r="V325" s="71">
        <v>7.1</v>
      </c>
      <c r="W325" s="67"/>
      <c r="X325" s="67"/>
      <c r="Y325" s="67"/>
      <c r="Z325" s="67"/>
      <c r="AA325" s="67"/>
      <c r="AB325" s="67"/>
      <c r="AC325" s="67"/>
    </row>
    <row r="326">
      <c r="A326" s="74">
        <v>45969.0</v>
      </c>
      <c r="B326" s="70" t="s">
        <v>2181</v>
      </c>
      <c r="C326" s="70" t="s">
        <v>2171</v>
      </c>
      <c r="D326" s="71">
        <v>3.55</v>
      </c>
      <c r="E326" s="71">
        <v>7.1</v>
      </c>
      <c r="F326" s="68"/>
      <c r="G326" s="68"/>
      <c r="H326" s="68"/>
      <c r="I326" s="69"/>
      <c r="J326" s="70" t="s">
        <v>1602</v>
      </c>
      <c r="K326" s="67"/>
      <c r="L326" s="70" t="s">
        <v>2182</v>
      </c>
      <c r="M326" s="75">
        <v>1.0</v>
      </c>
      <c r="N326" s="75">
        <v>0.0</v>
      </c>
      <c r="O326" s="75">
        <v>1.0</v>
      </c>
      <c r="P326" s="75">
        <v>0.0</v>
      </c>
      <c r="Q326" s="70" t="s">
        <v>22</v>
      </c>
      <c r="R326" s="71">
        <v>0.0</v>
      </c>
      <c r="S326" s="71">
        <v>3.55</v>
      </c>
      <c r="T326" s="67"/>
      <c r="U326" s="71">
        <v>0.0</v>
      </c>
      <c r="V326" s="71">
        <v>7.1</v>
      </c>
      <c r="W326" s="67"/>
      <c r="X326" s="67"/>
      <c r="Y326" s="67"/>
      <c r="Z326" s="67"/>
      <c r="AA326" s="67"/>
      <c r="AB326" s="67"/>
      <c r="AC326" s="67"/>
    </row>
    <row r="327">
      <c r="A327" s="74">
        <v>45969.0</v>
      </c>
      <c r="B327" s="70" t="s">
        <v>2183</v>
      </c>
      <c r="C327" s="70" t="s">
        <v>2171</v>
      </c>
      <c r="D327" s="71">
        <v>3.55</v>
      </c>
      <c r="E327" s="71">
        <v>7.1</v>
      </c>
      <c r="F327" s="68"/>
      <c r="G327" s="68"/>
      <c r="H327" s="68"/>
      <c r="I327" s="69"/>
      <c r="J327" s="70" t="s">
        <v>1602</v>
      </c>
      <c r="K327" s="67"/>
      <c r="L327" s="70" t="s">
        <v>2184</v>
      </c>
      <c r="M327" s="75">
        <v>1.0</v>
      </c>
      <c r="N327" s="75">
        <v>0.0</v>
      </c>
      <c r="O327" s="75">
        <v>1.0</v>
      </c>
      <c r="P327" s="75">
        <v>0.0</v>
      </c>
      <c r="Q327" s="70" t="s">
        <v>22</v>
      </c>
      <c r="R327" s="71">
        <v>0.0</v>
      </c>
      <c r="S327" s="71">
        <v>3.55</v>
      </c>
      <c r="T327" s="67"/>
      <c r="U327" s="71">
        <v>0.0</v>
      </c>
      <c r="V327" s="71">
        <v>7.1</v>
      </c>
      <c r="W327" s="67"/>
      <c r="X327" s="67"/>
      <c r="Y327" s="67"/>
      <c r="Z327" s="67"/>
      <c r="AA327" s="67"/>
      <c r="AB327" s="67"/>
      <c r="AC327" s="67"/>
    </row>
    <row r="328">
      <c r="A328" s="74">
        <v>45969.0</v>
      </c>
      <c r="B328" s="70" t="s">
        <v>2185</v>
      </c>
      <c r="C328" s="70" t="s">
        <v>2171</v>
      </c>
      <c r="D328" s="71">
        <v>3.55</v>
      </c>
      <c r="E328" s="71">
        <v>7.1</v>
      </c>
      <c r="F328" s="68"/>
      <c r="G328" s="68"/>
      <c r="H328" s="68"/>
      <c r="I328" s="69"/>
      <c r="J328" s="70" t="s">
        <v>1602</v>
      </c>
      <c r="K328" s="67"/>
      <c r="L328" s="70" t="s">
        <v>2186</v>
      </c>
      <c r="M328" s="75">
        <v>1.0</v>
      </c>
      <c r="N328" s="75">
        <v>0.0</v>
      </c>
      <c r="O328" s="75">
        <v>1.0</v>
      </c>
      <c r="P328" s="75">
        <v>0.0</v>
      </c>
      <c r="Q328" s="70" t="s">
        <v>22</v>
      </c>
      <c r="R328" s="71">
        <v>0.0</v>
      </c>
      <c r="S328" s="71">
        <v>3.55</v>
      </c>
      <c r="T328" s="67"/>
      <c r="U328" s="71">
        <v>0.0</v>
      </c>
      <c r="V328" s="71">
        <v>7.1</v>
      </c>
      <c r="W328" s="67"/>
      <c r="X328" s="67"/>
      <c r="Y328" s="67"/>
      <c r="Z328" s="67"/>
      <c r="AA328" s="67"/>
      <c r="AB328" s="67"/>
      <c r="AC328" s="67"/>
    </row>
    <row r="329">
      <c r="A329" s="74">
        <v>45969.0</v>
      </c>
      <c r="B329" s="70" t="s">
        <v>2187</v>
      </c>
      <c r="C329" s="70" t="s">
        <v>2171</v>
      </c>
      <c r="D329" s="71">
        <v>3.55</v>
      </c>
      <c r="E329" s="71">
        <v>7.1</v>
      </c>
      <c r="F329" s="68"/>
      <c r="G329" s="68"/>
      <c r="H329" s="68"/>
      <c r="I329" s="69"/>
      <c r="J329" s="70" t="s">
        <v>1602</v>
      </c>
      <c r="K329" s="67"/>
      <c r="L329" s="70" t="s">
        <v>2188</v>
      </c>
      <c r="M329" s="75">
        <v>1.0</v>
      </c>
      <c r="N329" s="75">
        <v>0.0</v>
      </c>
      <c r="O329" s="75">
        <v>1.0</v>
      </c>
      <c r="P329" s="75">
        <v>0.0</v>
      </c>
      <c r="Q329" s="70" t="s">
        <v>22</v>
      </c>
      <c r="R329" s="71">
        <v>0.0</v>
      </c>
      <c r="S329" s="71">
        <v>3.55</v>
      </c>
      <c r="T329" s="67"/>
      <c r="U329" s="71">
        <v>0.0</v>
      </c>
      <c r="V329" s="71">
        <v>7.1</v>
      </c>
      <c r="W329" s="67"/>
      <c r="X329" s="67"/>
      <c r="Y329" s="67"/>
      <c r="Z329" s="67"/>
      <c r="AA329" s="67"/>
      <c r="AB329" s="67"/>
      <c r="AC329" s="67"/>
    </row>
    <row r="330">
      <c r="A330" s="74">
        <v>45969.0</v>
      </c>
      <c r="B330" s="70" t="s">
        <v>2189</v>
      </c>
      <c r="C330" s="70" t="s">
        <v>2190</v>
      </c>
      <c r="D330" s="71">
        <v>3.55</v>
      </c>
      <c r="E330" s="71">
        <v>7.1</v>
      </c>
      <c r="F330" s="68"/>
      <c r="G330" s="68"/>
      <c r="H330" s="68"/>
      <c r="I330" s="69"/>
      <c r="J330" s="70" t="s">
        <v>1602</v>
      </c>
      <c r="K330" s="67"/>
      <c r="L330" s="70" t="s">
        <v>2191</v>
      </c>
      <c r="M330" s="75">
        <v>1.0</v>
      </c>
      <c r="N330" s="75">
        <v>0.0</v>
      </c>
      <c r="O330" s="75">
        <v>1.0</v>
      </c>
      <c r="P330" s="75">
        <v>0.0</v>
      </c>
      <c r="Q330" s="70" t="s">
        <v>22</v>
      </c>
      <c r="R330" s="71">
        <v>0.0</v>
      </c>
      <c r="S330" s="71">
        <v>3.55</v>
      </c>
      <c r="T330" s="67"/>
      <c r="U330" s="71">
        <v>0.0</v>
      </c>
      <c r="V330" s="71">
        <v>7.1</v>
      </c>
      <c r="W330" s="67"/>
      <c r="X330" s="67"/>
      <c r="Y330" s="67"/>
      <c r="Z330" s="67"/>
      <c r="AA330" s="67"/>
      <c r="AB330" s="67"/>
      <c r="AC330" s="67"/>
    </row>
    <row r="331">
      <c r="A331" s="74">
        <v>45969.0</v>
      </c>
      <c r="B331" s="70" t="s">
        <v>2192</v>
      </c>
      <c r="C331" s="70" t="s">
        <v>2190</v>
      </c>
      <c r="D331" s="71">
        <v>3.55</v>
      </c>
      <c r="E331" s="71">
        <v>7.1</v>
      </c>
      <c r="F331" s="68"/>
      <c r="G331" s="68"/>
      <c r="H331" s="68"/>
      <c r="I331" s="69"/>
      <c r="J331" s="70" t="s">
        <v>1602</v>
      </c>
      <c r="K331" s="67"/>
      <c r="L331" s="70" t="s">
        <v>2193</v>
      </c>
      <c r="M331" s="75">
        <v>1.0</v>
      </c>
      <c r="N331" s="75">
        <v>0.0</v>
      </c>
      <c r="O331" s="75">
        <v>1.0</v>
      </c>
      <c r="P331" s="75">
        <v>0.0</v>
      </c>
      <c r="Q331" s="70" t="s">
        <v>22</v>
      </c>
      <c r="R331" s="71">
        <v>0.0</v>
      </c>
      <c r="S331" s="71">
        <v>3.55</v>
      </c>
      <c r="T331" s="67"/>
      <c r="U331" s="71">
        <v>0.0</v>
      </c>
      <c r="V331" s="71">
        <v>7.1</v>
      </c>
      <c r="W331" s="67"/>
      <c r="X331" s="67"/>
      <c r="Y331" s="67"/>
      <c r="Z331" s="67"/>
      <c r="AA331" s="67"/>
      <c r="AB331" s="67"/>
      <c r="AC331" s="67"/>
    </row>
    <row r="332">
      <c r="A332" s="74">
        <v>45969.0</v>
      </c>
      <c r="B332" s="70" t="s">
        <v>2194</v>
      </c>
      <c r="C332" s="70" t="s">
        <v>2190</v>
      </c>
      <c r="D332" s="71">
        <v>3.55</v>
      </c>
      <c r="E332" s="71">
        <v>7.1</v>
      </c>
      <c r="F332" s="71">
        <v>8.0</v>
      </c>
      <c r="G332" s="68"/>
      <c r="H332" s="71">
        <v>4.45</v>
      </c>
      <c r="I332" s="72">
        <v>0.55625</v>
      </c>
      <c r="J332" s="70" t="s">
        <v>1462</v>
      </c>
      <c r="K332" s="67"/>
      <c r="L332" s="70" t="s">
        <v>2195</v>
      </c>
      <c r="M332" s="75">
        <v>1.0</v>
      </c>
      <c r="N332" s="75">
        <v>0.0</v>
      </c>
      <c r="O332" s="75">
        <v>0.0</v>
      </c>
      <c r="P332" s="75">
        <v>1.0</v>
      </c>
      <c r="Q332" s="70" t="s">
        <v>22</v>
      </c>
      <c r="R332" s="71">
        <v>0.0</v>
      </c>
      <c r="S332" s="71">
        <v>3.55</v>
      </c>
      <c r="T332" s="67"/>
      <c r="U332" s="71">
        <v>0.0</v>
      </c>
      <c r="V332" s="71">
        <v>7.1</v>
      </c>
      <c r="W332" s="67"/>
      <c r="X332" s="67"/>
      <c r="Y332" s="67"/>
      <c r="Z332" s="67"/>
      <c r="AA332" s="67"/>
      <c r="AB332" s="67"/>
      <c r="AC332" s="67"/>
    </row>
    <row r="333">
      <c r="A333" s="74">
        <v>45969.0</v>
      </c>
      <c r="B333" s="70" t="s">
        <v>2196</v>
      </c>
      <c r="C333" s="70" t="s">
        <v>2190</v>
      </c>
      <c r="D333" s="71">
        <v>3.55</v>
      </c>
      <c r="E333" s="71">
        <v>7.1</v>
      </c>
      <c r="F333" s="68"/>
      <c r="G333" s="68"/>
      <c r="H333" s="68"/>
      <c r="I333" s="69"/>
      <c r="J333" s="70" t="s">
        <v>1666</v>
      </c>
      <c r="K333" s="67"/>
      <c r="L333" s="70" t="s">
        <v>2197</v>
      </c>
      <c r="M333" s="75">
        <v>1.0</v>
      </c>
      <c r="N333" s="75">
        <v>0.0</v>
      </c>
      <c r="O333" s="75">
        <v>0.0</v>
      </c>
      <c r="P333" s="75">
        <v>1.0</v>
      </c>
      <c r="Q333" s="70" t="s">
        <v>22</v>
      </c>
      <c r="R333" s="71">
        <v>0.0</v>
      </c>
      <c r="S333" s="71">
        <v>3.55</v>
      </c>
      <c r="T333" s="67"/>
      <c r="U333" s="71">
        <v>0.0</v>
      </c>
      <c r="V333" s="71">
        <v>7.1</v>
      </c>
      <c r="W333" s="67"/>
      <c r="X333" s="67"/>
      <c r="Y333" s="67"/>
      <c r="Z333" s="67"/>
      <c r="AA333" s="67"/>
      <c r="AB333" s="67"/>
      <c r="AC333" s="67"/>
    </row>
    <row r="334">
      <c r="A334" s="74">
        <v>45969.0</v>
      </c>
      <c r="B334" s="70" t="s">
        <v>2198</v>
      </c>
      <c r="C334" s="70" t="s">
        <v>2199</v>
      </c>
      <c r="D334" s="71">
        <v>3.55</v>
      </c>
      <c r="E334" s="71">
        <v>7.1</v>
      </c>
      <c r="F334" s="68"/>
      <c r="G334" s="68"/>
      <c r="H334" s="68"/>
      <c r="I334" s="69"/>
      <c r="J334" s="70" t="s">
        <v>1602</v>
      </c>
      <c r="K334" s="67"/>
      <c r="L334" s="70" t="s">
        <v>2200</v>
      </c>
      <c r="M334" s="75">
        <v>1.0</v>
      </c>
      <c r="N334" s="75">
        <v>0.0</v>
      </c>
      <c r="O334" s="75">
        <v>1.0</v>
      </c>
      <c r="P334" s="75">
        <v>0.0</v>
      </c>
      <c r="Q334" s="70" t="s">
        <v>22</v>
      </c>
      <c r="R334" s="71">
        <v>0.0</v>
      </c>
      <c r="S334" s="71">
        <v>3.55</v>
      </c>
      <c r="T334" s="67"/>
      <c r="U334" s="71">
        <v>0.0</v>
      </c>
      <c r="V334" s="71">
        <v>7.1</v>
      </c>
      <c r="W334" s="67"/>
      <c r="X334" s="67"/>
      <c r="Y334" s="67"/>
      <c r="Z334" s="67"/>
      <c r="AA334" s="67"/>
      <c r="AB334" s="67"/>
      <c r="AC334" s="67"/>
    </row>
    <row r="335">
      <c r="A335" s="74">
        <v>45969.0</v>
      </c>
      <c r="B335" s="70" t="s">
        <v>2201</v>
      </c>
      <c r="C335" s="70" t="s">
        <v>2199</v>
      </c>
      <c r="D335" s="71">
        <v>3.55</v>
      </c>
      <c r="E335" s="71">
        <v>7.1</v>
      </c>
      <c r="F335" s="68"/>
      <c r="G335" s="68"/>
      <c r="H335" s="71">
        <v>-3.55</v>
      </c>
      <c r="I335" s="72">
        <v>-1.0</v>
      </c>
      <c r="J335" s="70" t="s">
        <v>1595</v>
      </c>
      <c r="K335" s="67"/>
      <c r="L335" s="70" t="s">
        <v>2202</v>
      </c>
      <c r="M335" s="75">
        <v>1.0</v>
      </c>
      <c r="N335" s="75">
        <v>0.0</v>
      </c>
      <c r="O335" s="75">
        <v>1.0</v>
      </c>
      <c r="P335" s="75">
        <v>0.0</v>
      </c>
      <c r="Q335" s="70" t="s">
        <v>22</v>
      </c>
      <c r="R335" s="71">
        <v>0.0</v>
      </c>
      <c r="S335" s="71">
        <v>3.55</v>
      </c>
      <c r="T335" s="67"/>
      <c r="U335" s="71">
        <v>0.0</v>
      </c>
      <c r="V335" s="71">
        <v>7.1</v>
      </c>
      <c r="W335" s="67"/>
      <c r="X335" s="67"/>
      <c r="Y335" s="67"/>
      <c r="Z335" s="67"/>
      <c r="AA335" s="67"/>
      <c r="AB335" s="67"/>
      <c r="AC335" s="67"/>
    </row>
    <row r="336">
      <c r="A336" s="74">
        <v>45969.0</v>
      </c>
      <c r="B336" s="70" t="s">
        <v>2203</v>
      </c>
      <c r="C336" s="70" t="s">
        <v>2199</v>
      </c>
      <c r="D336" s="71">
        <v>3.55</v>
      </c>
      <c r="E336" s="71">
        <v>7.1</v>
      </c>
      <c r="F336" s="68"/>
      <c r="G336" s="68"/>
      <c r="H336" s="71">
        <v>-3.55</v>
      </c>
      <c r="I336" s="72">
        <v>-1.0</v>
      </c>
      <c r="J336" s="70" t="s">
        <v>1595</v>
      </c>
      <c r="K336" s="67"/>
      <c r="L336" s="70" t="s">
        <v>2204</v>
      </c>
      <c r="M336" s="75">
        <v>1.0</v>
      </c>
      <c r="N336" s="75">
        <v>0.0</v>
      </c>
      <c r="O336" s="75">
        <v>1.0</v>
      </c>
      <c r="P336" s="75">
        <v>0.0</v>
      </c>
      <c r="Q336" s="70" t="s">
        <v>22</v>
      </c>
      <c r="R336" s="71">
        <v>0.0</v>
      </c>
      <c r="S336" s="71">
        <v>3.55</v>
      </c>
      <c r="T336" s="67"/>
      <c r="U336" s="71">
        <v>0.0</v>
      </c>
      <c r="V336" s="71">
        <v>7.1</v>
      </c>
      <c r="W336" s="67"/>
      <c r="X336" s="67"/>
      <c r="Y336" s="67"/>
      <c r="Z336" s="67"/>
      <c r="AA336" s="67"/>
      <c r="AB336" s="67"/>
      <c r="AC336" s="67"/>
    </row>
    <row r="337">
      <c r="A337" s="74">
        <v>45969.0</v>
      </c>
      <c r="B337" s="70" t="s">
        <v>2205</v>
      </c>
      <c r="C337" s="70" t="s">
        <v>2199</v>
      </c>
      <c r="D337" s="71">
        <v>3.55</v>
      </c>
      <c r="E337" s="71">
        <v>7.1</v>
      </c>
      <c r="F337" s="68"/>
      <c r="G337" s="68"/>
      <c r="H337" s="68"/>
      <c r="I337" s="69"/>
      <c r="J337" s="70" t="s">
        <v>1602</v>
      </c>
      <c r="K337" s="67"/>
      <c r="L337" s="70" t="s">
        <v>2206</v>
      </c>
      <c r="M337" s="75">
        <v>1.0</v>
      </c>
      <c r="N337" s="75">
        <v>0.0</v>
      </c>
      <c r="O337" s="75">
        <v>1.0</v>
      </c>
      <c r="P337" s="75">
        <v>0.0</v>
      </c>
      <c r="Q337" s="70" t="s">
        <v>22</v>
      </c>
      <c r="R337" s="71">
        <v>0.0</v>
      </c>
      <c r="S337" s="71">
        <v>3.55</v>
      </c>
      <c r="T337" s="67"/>
      <c r="U337" s="71">
        <v>0.0</v>
      </c>
      <c r="V337" s="71">
        <v>7.1</v>
      </c>
      <c r="W337" s="67"/>
      <c r="X337" s="67"/>
      <c r="Y337" s="67"/>
      <c r="Z337" s="67"/>
      <c r="AA337" s="67"/>
      <c r="AB337" s="67"/>
      <c r="AC337" s="67"/>
    </row>
    <row r="338">
      <c r="A338" s="74">
        <v>45969.0</v>
      </c>
      <c r="B338" s="70" t="s">
        <v>2207</v>
      </c>
      <c r="C338" s="70" t="s">
        <v>2199</v>
      </c>
      <c r="D338" s="71">
        <v>3.55</v>
      </c>
      <c r="E338" s="71">
        <v>7.1</v>
      </c>
      <c r="F338" s="68"/>
      <c r="G338" s="68"/>
      <c r="H338" s="68"/>
      <c r="I338" s="69"/>
      <c r="J338" s="70" t="s">
        <v>1602</v>
      </c>
      <c r="K338" s="67"/>
      <c r="L338" s="70" t="s">
        <v>2208</v>
      </c>
      <c r="M338" s="75">
        <v>1.0</v>
      </c>
      <c r="N338" s="75">
        <v>0.0</v>
      </c>
      <c r="O338" s="75">
        <v>1.0</v>
      </c>
      <c r="P338" s="75">
        <v>0.0</v>
      </c>
      <c r="Q338" s="70" t="s">
        <v>22</v>
      </c>
      <c r="R338" s="71">
        <v>0.0</v>
      </c>
      <c r="S338" s="71">
        <v>3.55</v>
      </c>
      <c r="T338" s="67"/>
      <c r="U338" s="71">
        <v>0.0</v>
      </c>
      <c r="V338" s="71">
        <v>7.1</v>
      </c>
      <c r="W338" s="67"/>
      <c r="X338" s="67"/>
      <c r="Y338" s="67"/>
      <c r="Z338" s="67"/>
      <c r="AA338" s="67"/>
      <c r="AB338" s="67"/>
      <c r="AC338" s="67"/>
    </row>
    <row r="339">
      <c r="A339" s="74">
        <v>45969.0</v>
      </c>
      <c r="B339" s="70" t="s">
        <v>2209</v>
      </c>
      <c r="C339" s="70" t="s">
        <v>2199</v>
      </c>
      <c r="D339" s="71">
        <v>3.55</v>
      </c>
      <c r="E339" s="71">
        <v>7.1</v>
      </c>
      <c r="F339" s="68"/>
      <c r="G339" s="68"/>
      <c r="H339" s="68"/>
      <c r="I339" s="69"/>
      <c r="J339" s="70" t="s">
        <v>1602</v>
      </c>
      <c r="K339" s="67"/>
      <c r="L339" s="70" t="s">
        <v>2210</v>
      </c>
      <c r="M339" s="75">
        <v>1.0</v>
      </c>
      <c r="N339" s="75">
        <v>0.0</v>
      </c>
      <c r="O339" s="75">
        <v>1.0</v>
      </c>
      <c r="P339" s="75">
        <v>0.0</v>
      </c>
      <c r="Q339" s="70" t="s">
        <v>22</v>
      </c>
      <c r="R339" s="71">
        <v>0.0</v>
      </c>
      <c r="S339" s="71">
        <v>3.55</v>
      </c>
      <c r="T339" s="67"/>
      <c r="U339" s="71">
        <v>0.0</v>
      </c>
      <c r="V339" s="71">
        <v>7.1</v>
      </c>
      <c r="W339" s="67"/>
      <c r="X339" s="67"/>
      <c r="Y339" s="67"/>
      <c r="Z339" s="67"/>
      <c r="AA339" s="67"/>
      <c r="AB339" s="67"/>
      <c r="AC339" s="67"/>
    </row>
    <row r="340">
      <c r="A340" s="74">
        <v>45969.0</v>
      </c>
      <c r="B340" s="70" t="s">
        <v>2211</v>
      </c>
      <c r="C340" s="70" t="s">
        <v>2212</v>
      </c>
      <c r="D340" s="71">
        <v>3.55</v>
      </c>
      <c r="E340" s="71">
        <v>7.1</v>
      </c>
      <c r="F340" s="68"/>
      <c r="G340" s="68"/>
      <c r="H340" s="68"/>
      <c r="I340" s="69"/>
      <c r="J340" s="70" t="s">
        <v>1602</v>
      </c>
      <c r="K340" s="67"/>
      <c r="L340" s="70" t="s">
        <v>2213</v>
      </c>
      <c r="M340" s="75">
        <v>1.0</v>
      </c>
      <c r="N340" s="75">
        <v>0.0</v>
      </c>
      <c r="O340" s="75">
        <v>1.0</v>
      </c>
      <c r="P340" s="75">
        <v>0.0</v>
      </c>
      <c r="Q340" s="70" t="s">
        <v>22</v>
      </c>
      <c r="R340" s="71">
        <v>0.0</v>
      </c>
      <c r="S340" s="71">
        <v>3.55</v>
      </c>
      <c r="T340" s="67"/>
      <c r="U340" s="71">
        <v>0.0</v>
      </c>
      <c r="V340" s="71">
        <v>7.1</v>
      </c>
      <c r="W340" s="67"/>
      <c r="X340" s="67"/>
      <c r="Y340" s="67"/>
      <c r="Z340" s="67"/>
      <c r="AA340" s="67"/>
      <c r="AB340" s="67"/>
      <c r="AC340" s="67"/>
    </row>
    <row r="341">
      <c r="A341" s="74">
        <v>45969.0</v>
      </c>
      <c r="B341" s="70" t="s">
        <v>2214</v>
      </c>
      <c r="C341" s="70" t="s">
        <v>2212</v>
      </c>
      <c r="D341" s="71">
        <v>3.55</v>
      </c>
      <c r="E341" s="71">
        <v>7.1</v>
      </c>
      <c r="F341" s="68"/>
      <c r="G341" s="68"/>
      <c r="H341" s="68"/>
      <c r="I341" s="69"/>
      <c r="J341" s="70" t="s">
        <v>1602</v>
      </c>
      <c r="K341" s="67"/>
      <c r="L341" s="70" t="s">
        <v>2215</v>
      </c>
      <c r="M341" s="75">
        <v>1.0</v>
      </c>
      <c r="N341" s="75">
        <v>0.0</v>
      </c>
      <c r="O341" s="75">
        <v>1.0</v>
      </c>
      <c r="P341" s="75">
        <v>0.0</v>
      </c>
      <c r="Q341" s="70" t="s">
        <v>22</v>
      </c>
      <c r="R341" s="71">
        <v>0.0</v>
      </c>
      <c r="S341" s="71">
        <v>3.55</v>
      </c>
      <c r="T341" s="67"/>
      <c r="U341" s="71">
        <v>0.0</v>
      </c>
      <c r="V341" s="71">
        <v>7.1</v>
      </c>
      <c r="W341" s="67"/>
      <c r="X341" s="67"/>
      <c r="Y341" s="67"/>
      <c r="Z341" s="67"/>
      <c r="AA341" s="67"/>
      <c r="AB341" s="67"/>
      <c r="AC341" s="67"/>
    </row>
    <row r="342">
      <c r="A342" s="74">
        <v>45969.0</v>
      </c>
      <c r="B342" s="70" t="s">
        <v>2216</v>
      </c>
      <c r="C342" s="70" t="s">
        <v>2212</v>
      </c>
      <c r="D342" s="71">
        <v>3.55</v>
      </c>
      <c r="E342" s="71">
        <v>7.1</v>
      </c>
      <c r="F342" s="68"/>
      <c r="G342" s="68"/>
      <c r="H342" s="68"/>
      <c r="I342" s="69"/>
      <c r="J342" s="70" t="s">
        <v>1602</v>
      </c>
      <c r="K342" s="67"/>
      <c r="L342" s="70" t="s">
        <v>2217</v>
      </c>
      <c r="M342" s="75">
        <v>1.0</v>
      </c>
      <c r="N342" s="75">
        <v>0.0</v>
      </c>
      <c r="O342" s="75">
        <v>1.0</v>
      </c>
      <c r="P342" s="75">
        <v>0.0</v>
      </c>
      <c r="Q342" s="70" t="s">
        <v>22</v>
      </c>
      <c r="R342" s="71">
        <v>0.0</v>
      </c>
      <c r="S342" s="71">
        <v>3.55</v>
      </c>
      <c r="T342" s="67"/>
      <c r="U342" s="71">
        <v>0.0</v>
      </c>
      <c r="V342" s="71">
        <v>7.1</v>
      </c>
      <c r="W342" s="67"/>
      <c r="X342" s="67"/>
      <c r="Y342" s="67"/>
      <c r="Z342" s="67"/>
      <c r="AA342" s="67"/>
      <c r="AB342" s="67"/>
      <c r="AC342" s="67"/>
    </row>
    <row r="343">
      <c r="A343" s="74">
        <v>45969.0</v>
      </c>
      <c r="B343" s="70" t="s">
        <v>2218</v>
      </c>
      <c r="C343" s="70" t="s">
        <v>2212</v>
      </c>
      <c r="D343" s="71">
        <v>3.55</v>
      </c>
      <c r="E343" s="71">
        <v>7.1</v>
      </c>
      <c r="F343" s="68"/>
      <c r="G343" s="68"/>
      <c r="H343" s="68"/>
      <c r="I343" s="69"/>
      <c r="J343" s="70" t="s">
        <v>1602</v>
      </c>
      <c r="K343" s="67"/>
      <c r="L343" s="70" t="s">
        <v>2219</v>
      </c>
      <c r="M343" s="75">
        <v>1.0</v>
      </c>
      <c r="N343" s="75">
        <v>0.0</v>
      </c>
      <c r="O343" s="75">
        <v>1.0</v>
      </c>
      <c r="P343" s="75">
        <v>0.0</v>
      </c>
      <c r="Q343" s="70" t="s">
        <v>22</v>
      </c>
      <c r="R343" s="71">
        <v>0.0</v>
      </c>
      <c r="S343" s="71">
        <v>3.55</v>
      </c>
      <c r="T343" s="67"/>
      <c r="U343" s="71">
        <v>0.0</v>
      </c>
      <c r="V343" s="71">
        <v>7.1</v>
      </c>
      <c r="W343" s="67"/>
      <c r="X343" s="67"/>
      <c r="Y343" s="67"/>
      <c r="Z343" s="67"/>
      <c r="AA343" s="67"/>
      <c r="AB343" s="67"/>
      <c r="AC343" s="67"/>
    </row>
    <row r="344">
      <c r="A344" s="74">
        <v>45969.0</v>
      </c>
      <c r="B344" s="70" t="s">
        <v>2220</v>
      </c>
      <c r="C344" s="70" t="s">
        <v>2212</v>
      </c>
      <c r="D344" s="71">
        <v>3.55</v>
      </c>
      <c r="E344" s="71">
        <v>7.1</v>
      </c>
      <c r="F344" s="68"/>
      <c r="G344" s="68"/>
      <c r="H344" s="68"/>
      <c r="I344" s="69"/>
      <c r="J344" s="70" t="s">
        <v>1602</v>
      </c>
      <c r="K344" s="67"/>
      <c r="L344" s="70" t="s">
        <v>2221</v>
      </c>
      <c r="M344" s="75">
        <v>1.0</v>
      </c>
      <c r="N344" s="75">
        <v>0.0</v>
      </c>
      <c r="O344" s="75">
        <v>1.0</v>
      </c>
      <c r="P344" s="75">
        <v>0.0</v>
      </c>
      <c r="Q344" s="70" t="s">
        <v>22</v>
      </c>
      <c r="R344" s="71">
        <v>0.0</v>
      </c>
      <c r="S344" s="71">
        <v>3.55</v>
      </c>
      <c r="T344" s="67"/>
      <c r="U344" s="71">
        <v>0.0</v>
      </c>
      <c r="V344" s="71">
        <v>7.1</v>
      </c>
      <c r="W344" s="67"/>
      <c r="X344" s="67"/>
      <c r="Y344" s="67"/>
      <c r="Z344" s="67"/>
      <c r="AA344" s="67"/>
      <c r="AB344" s="67"/>
      <c r="AC344" s="67"/>
    </row>
    <row r="345">
      <c r="A345" s="74">
        <v>45969.0</v>
      </c>
      <c r="B345" s="70" t="s">
        <v>2222</v>
      </c>
      <c r="C345" s="70" t="s">
        <v>2212</v>
      </c>
      <c r="D345" s="71">
        <v>3.55</v>
      </c>
      <c r="E345" s="71">
        <v>7.1</v>
      </c>
      <c r="F345" s="68"/>
      <c r="G345" s="68"/>
      <c r="H345" s="68"/>
      <c r="I345" s="69"/>
      <c r="J345" s="70" t="s">
        <v>1602</v>
      </c>
      <c r="K345" s="67"/>
      <c r="L345" s="70" t="s">
        <v>2223</v>
      </c>
      <c r="M345" s="75">
        <v>1.0</v>
      </c>
      <c r="N345" s="75">
        <v>0.0</v>
      </c>
      <c r="O345" s="75">
        <v>1.0</v>
      </c>
      <c r="P345" s="75">
        <v>0.0</v>
      </c>
      <c r="Q345" s="70" t="s">
        <v>22</v>
      </c>
      <c r="R345" s="71">
        <v>0.0</v>
      </c>
      <c r="S345" s="71">
        <v>3.55</v>
      </c>
      <c r="T345" s="67"/>
      <c r="U345" s="71">
        <v>0.0</v>
      </c>
      <c r="V345" s="71">
        <v>7.1</v>
      </c>
      <c r="W345" s="67"/>
      <c r="X345" s="67"/>
      <c r="Y345" s="67"/>
      <c r="Z345" s="67"/>
      <c r="AA345" s="67"/>
      <c r="AB345" s="67"/>
      <c r="AC345" s="67"/>
    </row>
    <row r="346">
      <c r="A346" s="74">
        <v>45969.0</v>
      </c>
      <c r="B346" s="70" t="s">
        <v>2224</v>
      </c>
      <c r="C346" s="70" t="s">
        <v>2212</v>
      </c>
      <c r="D346" s="71">
        <v>3.55</v>
      </c>
      <c r="E346" s="71">
        <v>7.1</v>
      </c>
      <c r="F346" s="68"/>
      <c r="G346" s="68"/>
      <c r="H346" s="68"/>
      <c r="I346" s="69"/>
      <c r="J346" s="70" t="s">
        <v>1602</v>
      </c>
      <c r="K346" s="67"/>
      <c r="L346" s="70" t="s">
        <v>2225</v>
      </c>
      <c r="M346" s="75">
        <v>1.0</v>
      </c>
      <c r="N346" s="75">
        <v>0.0</v>
      </c>
      <c r="O346" s="75">
        <v>1.0</v>
      </c>
      <c r="P346" s="75">
        <v>0.0</v>
      </c>
      <c r="Q346" s="70" t="s">
        <v>22</v>
      </c>
      <c r="R346" s="71">
        <v>0.0</v>
      </c>
      <c r="S346" s="71">
        <v>3.55</v>
      </c>
      <c r="T346" s="67"/>
      <c r="U346" s="71">
        <v>0.0</v>
      </c>
      <c r="V346" s="71">
        <v>7.1</v>
      </c>
      <c r="W346" s="67"/>
      <c r="X346" s="67"/>
      <c r="Y346" s="67"/>
      <c r="Z346" s="67"/>
      <c r="AA346" s="67"/>
      <c r="AB346" s="67"/>
      <c r="AC346" s="67"/>
    </row>
    <row r="347">
      <c r="A347" s="74">
        <v>45969.0</v>
      </c>
      <c r="B347" s="70" t="s">
        <v>2226</v>
      </c>
      <c r="C347" s="70" t="s">
        <v>2212</v>
      </c>
      <c r="D347" s="71">
        <v>3.55</v>
      </c>
      <c r="E347" s="71">
        <v>7.1</v>
      </c>
      <c r="F347" s="68"/>
      <c r="G347" s="68"/>
      <c r="H347" s="68"/>
      <c r="I347" s="69"/>
      <c r="J347" s="70" t="s">
        <v>1602</v>
      </c>
      <c r="K347" s="67"/>
      <c r="L347" s="70" t="s">
        <v>2227</v>
      </c>
      <c r="M347" s="75">
        <v>1.0</v>
      </c>
      <c r="N347" s="75">
        <v>0.0</v>
      </c>
      <c r="O347" s="75">
        <v>1.0</v>
      </c>
      <c r="P347" s="75">
        <v>0.0</v>
      </c>
      <c r="Q347" s="70" t="s">
        <v>22</v>
      </c>
      <c r="R347" s="71">
        <v>0.0</v>
      </c>
      <c r="S347" s="71">
        <v>3.55</v>
      </c>
      <c r="T347" s="67"/>
      <c r="U347" s="71">
        <v>0.0</v>
      </c>
      <c r="V347" s="71">
        <v>7.1</v>
      </c>
      <c r="W347" s="67"/>
      <c r="X347" s="67"/>
      <c r="Y347" s="67"/>
      <c r="Z347" s="67"/>
      <c r="AA347" s="67"/>
      <c r="AB347" s="67"/>
      <c r="AC347" s="67"/>
    </row>
    <row r="348">
      <c r="A348" s="74">
        <v>45969.0</v>
      </c>
      <c r="B348" s="70" t="s">
        <v>2228</v>
      </c>
      <c r="C348" s="70" t="s">
        <v>2164</v>
      </c>
      <c r="D348" s="71">
        <v>3.55</v>
      </c>
      <c r="E348" s="71">
        <v>7.1</v>
      </c>
      <c r="F348" s="68"/>
      <c r="G348" s="68"/>
      <c r="H348" s="71">
        <v>-3.55</v>
      </c>
      <c r="I348" s="72">
        <v>-1.0</v>
      </c>
      <c r="J348" s="70" t="s">
        <v>1595</v>
      </c>
      <c r="K348" s="67"/>
      <c r="L348" s="70" t="s">
        <v>2229</v>
      </c>
      <c r="M348" s="75">
        <v>1.0</v>
      </c>
      <c r="N348" s="75">
        <v>0.0</v>
      </c>
      <c r="O348" s="75">
        <v>1.0</v>
      </c>
      <c r="P348" s="75">
        <v>0.0</v>
      </c>
      <c r="Q348" s="70" t="s">
        <v>22</v>
      </c>
      <c r="R348" s="71">
        <v>0.0</v>
      </c>
      <c r="S348" s="71">
        <v>3.55</v>
      </c>
      <c r="T348" s="67"/>
      <c r="U348" s="71">
        <v>0.0</v>
      </c>
      <c r="V348" s="71">
        <v>7.1</v>
      </c>
      <c r="W348" s="67"/>
      <c r="X348" s="67"/>
      <c r="Y348" s="67"/>
      <c r="Z348" s="67"/>
      <c r="AA348" s="67"/>
      <c r="AB348" s="67"/>
      <c r="AC348" s="67"/>
    </row>
    <row r="349">
      <c r="A349" s="74">
        <v>45969.0</v>
      </c>
      <c r="B349" s="70" t="s">
        <v>2230</v>
      </c>
      <c r="C349" s="70" t="s">
        <v>2164</v>
      </c>
      <c r="D349" s="71">
        <v>3.55</v>
      </c>
      <c r="E349" s="71">
        <v>7.1</v>
      </c>
      <c r="F349" s="68"/>
      <c r="G349" s="68"/>
      <c r="H349" s="68"/>
      <c r="I349" s="69"/>
      <c r="J349" s="70" t="s">
        <v>1602</v>
      </c>
      <c r="K349" s="67"/>
      <c r="L349" s="70" t="s">
        <v>2231</v>
      </c>
      <c r="M349" s="75">
        <v>1.0</v>
      </c>
      <c r="N349" s="75">
        <v>0.0</v>
      </c>
      <c r="O349" s="75">
        <v>1.0</v>
      </c>
      <c r="P349" s="75">
        <v>0.0</v>
      </c>
      <c r="Q349" s="70" t="s">
        <v>22</v>
      </c>
      <c r="R349" s="71">
        <v>0.0</v>
      </c>
      <c r="S349" s="71">
        <v>3.55</v>
      </c>
      <c r="T349" s="67"/>
      <c r="U349" s="71">
        <v>0.0</v>
      </c>
      <c r="V349" s="71">
        <v>7.1</v>
      </c>
      <c r="W349" s="67"/>
      <c r="X349" s="67"/>
      <c r="Y349" s="67"/>
      <c r="Z349" s="67"/>
      <c r="AA349" s="67"/>
      <c r="AB349" s="67"/>
      <c r="AC349" s="67"/>
    </row>
    <row r="350">
      <c r="A350" s="74">
        <v>45969.0</v>
      </c>
      <c r="B350" s="70" t="s">
        <v>2232</v>
      </c>
      <c r="C350" s="70" t="s">
        <v>2164</v>
      </c>
      <c r="D350" s="71">
        <v>3.55</v>
      </c>
      <c r="E350" s="71">
        <v>7.1</v>
      </c>
      <c r="F350" s="68"/>
      <c r="G350" s="68"/>
      <c r="H350" s="68"/>
      <c r="I350" s="69"/>
      <c r="J350" s="70" t="s">
        <v>1602</v>
      </c>
      <c r="K350" s="67"/>
      <c r="L350" s="70" t="s">
        <v>2233</v>
      </c>
      <c r="M350" s="75">
        <v>1.0</v>
      </c>
      <c r="N350" s="75">
        <v>0.0</v>
      </c>
      <c r="O350" s="75">
        <v>1.0</v>
      </c>
      <c r="P350" s="75">
        <v>0.0</v>
      </c>
      <c r="Q350" s="70" t="s">
        <v>22</v>
      </c>
      <c r="R350" s="71">
        <v>0.0</v>
      </c>
      <c r="S350" s="71">
        <v>3.55</v>
      </c>
      <c r="T350" s="67"/>
      <c r="U350" s="71">
        <v>0.0</v>
      </c>
      <c r="V350" s="71">
        <v>7.1</v>
      </c>
      <c r="W350" s="67"/>
      <c r="X350" s="67"/>
      <c r="Y350" s="67"/>
      <c r="Z350" s="67"/>
      <c r="AA350" s="67"/>
      <c r="AB350" s="67"/>
      <c r="AC350" s="67"/>
    </row>
    <row r="351">
      <c r="A351" s="74">
        <v>45969.0</v>
      </c>
      <c r="B351" s="70" t="s">
        <v>2234</v>
      </c>
      <c r="C351" s="70" t="s">
        <v>2235</v>
      </c>
      <c r="D351" s="71">
        <v>6.9</v>
      </c>
      <c r="E351" s="71">
        <v>14.99</v>
      </c>
      <c r="F351" s="68"/>
      <c r="G351" s="71">
        <v>15.0</v>
      </c>
      <c r="H351" s="71">
        <v>8.1</v>
      </c>
      <c r="I351" s="72">
        <v>0.5399999999999999</v>
      </c>
      <c r="J351" s="70" t="s">
        <v>1626</v>
      </c>
      <c r="K351" s="67"/>
      <c r="L351" s="70" t="s">
        <v>2236</v>
      </c>
      <c r="M351" s="75">
        <v>1.0</v>
      </c>
      <c r="N351" s="75">
        <v>1.0</v>
      </c>
      <c r="O351" s="75">
        <v>0.0</v>
      </c>
      <c r="P351" s="75">
        <v>0.0</v>
      </c>
      <c r="Q351" s="70" t="s">
        <v>22</v>
      </c>
      <c r="R351" s="71">
        <v>0.0</v>
      </c>
      <c r="S351" s="71">
        <v>6.9</v>
      </c>
      <c r="T351" s="67"/>
      <c r="U351" s="71">
        <v>0.0</v>
      </c>
      <c r="V351" s="71">
        <v>14.99</v>
      </c>
      <c r="W351" s="67"/>
      <c r="X351" s="67"/>
      <c r="Y351" s="67"/>
      <c r="Z351" s="67"/>
      <c r="AA351" s="67"/>
      <c r="AB351" s="67"/>
      <c r="AC351" s="67"/>
    </row>
    <row r="352">
      <c r="A352" s="74">
        <v>45970.0</v>
      </c>
      <c r="B352" s="70" t="s">
        <v>2237</v>
      </c>
      <c r="C352" s="70" t="s">
        <v>2081</v>
      </c>
      <c r="D352" s="71">
        <v>5.5</v>
      </c>
      <c r="E352" s="71">
        <v>11.0</v>
      </c>
      <c r="F352" s="68"/>
      <c r="G352" s="71">
        <v>16.0</v>
      </c>
      <c r="H352" s="71">
        <v>10.5</v>
      </c>
      <c r="I352" s="72">
        <v>0.65625</v>
      </c>
      <c r="J352" s="70" t="s">
        <v>1626</v>
      </c>
      <c r="K352" s="67"/>
      <c r="L352" s="70" t="s">
        <v>2238</v>
      </c>
      <c r="M352" s="75">
        <v>1.0</v>
      </c>
      <c r="N352" s="75">
        <v>1.0</v>
      </c>
      <c r="O352" s="75">
        <v>0.0</v>
      </c>
      <c r="P352" s="75">
        <v>0.0</v>
      </c>
      <c r="Q352" s="70" t="s">
        <v>22</v>
      </c>
      <c r="R352" s="71">
        <v>0.0</v>
      </c>
      <c r="S352" s="71">
        <v>5.5</v>
      </c>
      <c r="T352" s="67"/>
      <c r="U352" s="71">
        <v>0.0</v>
      </c>
      <c r="V352" s="71">
        <v>11.0</v>
      </c>
      <c r="W352" s="67"/>
      <c r="X352" s="67"/>
      <c r="Y352" s="67"/>
      <c r="Z352" s="67"/>
      <c r="AA352" s="67"/>
      <c r="AB352" s="67"/>
      <c r="AC352" s="67"/>
    </row>
    <row r="353">
      <c r="A353" s="74">
        <v>45971.0</v>
      </c>
      <c r="B353" s="70" t="s">
        <v>2239</v>
      </c>
      <c r="C353" s="70" t="s">
        <v>2240</v>
      </c>
      <c r="D353" s="71">
        <v>4.49</v>
      </c>
      <c r="E353" s="71">
        <v>15.0</v>
      </c>
      <c r="F353" s="68"/>
      <c r="G353" s="68"/>
      <c r="H353" s="68"/>
      <c r="I353" s="69"/>
      <c r="J353" s="70" t="s">
        <v>1602</v>
      </c>
      <c r="K353" s="67"/>
      <c r="L353" s="70" t="s">
        <v>2241</v>
      </c>
      <c r="M353" s="75">
        <v>1.0</v>
      </c>
      <c r="N353" s="75">
        <v>0.0</v>
      </c>
      <c r="O353" s="75">
        <v>1.0</v>
      </c>
      <c r="P353" s="75">
        <v>0.0</v>
      </c>
      <c r="Q353" s="70" t="s">
        <v>22</v>
      </c>
      <c r="R353" s="71">
        <v>0.0</v>
      </c>
      <c r="S353" s="71">
        <v>4.49</v>
      </c>
      <c r="T353" s="67"/>
      <c r="U353" s="71">
        <v>0.0</v>
      </c>
      <c r="V353" s="71">
        <v>15.0</v>
      </c>
      <c r="W353" s="67"/>
      <c r="X353" s="67"/>
      <c r="Y353" s="67"/>
      <c r="Z353" s="67"/>
      <c r="AA353" s="67"/>
      <c r="AB353" s="67"/>
      <c r="AC353" s="67"/>
    </row>
    <row r="354">
      <c r="A354" s="74">
        <v>45971.0</v>
      </c>
      <c r="B354" s="70" t="s">
        <v>2242</v>
      </c>
      <c r="C354" s="70" t="s">
        <v>2240</v>
      </c>
      <c r="D354" s="71">
        <v>4.49</v>
      </c>
      <c r="E354" s="71">
        <v>15.0</v>
      </c>
      <c r="F354" s="68"/>
      <c r="G354" s="68"/>
      <c r="H354" s="68"/>
      <c r="I354" s="69"/>
      <c r="J354" s="70" t="s">
        <v>1602</v>
      </c>
      <c r="K354" s="67"/>
      <c r="L354" s="70" t="s">
        <v>2243</v>
      </c>
      <c r="M354" s="75">
        <v>1.0</v>
      </c>
      <c r="N354" s="75">
        <v>0.0</v>
      </c>
      <c r="O354" s="75">
        <v>1.0</v>
      </c>
      <c r="P354" s="75">
        <v>0.0</v>
      </c>
      <c r="Q354" s="70" t="s">
        <v>22</v>
      </c>
      <c r="R354" s="71">
        <v>0.0</v>
      </c>
      <c r="S354" s="71">
        <v>4.49</v>
      </c>
      <c r="T354" s="67"/>
      <c r="U354" s="71">
        <v>0.0</v>
      </c>
      <c r="V354" s="71">
        <v>15.0</v>
      </c>
      <c r="W354" s="67"/>
      <c r="X354" s="67"/>
      <c r="Y354" s="67"/>
      <c r="Z354" s="67"/>
      <c r="AA354" s="67"/>
      <c r="AB354" s="67"/>
      <c r="AC354" s="67"/>
    </row>
    <row r="355">
      <c r="A355" s="74">
        <v>45971.0</v>
      </c>
      <c r="B355" s="70" t="s">
        <v>2244</v>
      </c>
      <c r="C355" s="70" t="s">
        <v>2048</v>
      </c>
      <c r="D355" s="71">
        <v>4.99</v>
      </c>
      <c r="E355" s="71">
        <v>10.0</v>
      </c>
      <c r="F355" s="68"/>
      <c r="G355" s="68"/>
      <c r="H355" s="68"/>
      <c r="I355" s="69"/>
      <c r="J355" s="70" t="s">
        <v>1602</v>
      </c>
      <c r="K355" s="67"/>
      <c r="L355" s="70" t="s">
        <v>2245</v>
      </c>
      <c r="M355" s="75">
        <v>1.0</v>
      </c>
      <c r="N355" s="75">
        <v>0.0</v>
      </c>
      <c r="O355" s="75">
        <v>1.0</v>
      </c>
      <c r="P355" s="75">
        <v>0.0</v>
      </c>
      <c r="Q355" s="70" t="s">
        <v>22</v>
      </c>
      <c r="R355" s="71">
        <v>0.0</v>
      </c>
      <c r="S355" s="71">
        <v>4.99</v>
      </c>
      <c r="T355" s="67"/>
      <c r="U355" s="71">
        <v>0.0</v>
      </c>
      <c r="V355" s="71">
        <v>10.0</v>
      </c>
      <c r="W355" s="67"/>
      <c r="X355" s="67"/>
      <c r="Y355" s="67"/>
      <c r="Z355" s="67"/>
      <c r="AA355" s="67"/>
      <c r="AB355" s="67"/>
      <c r="AC355" s="67"/>
    </row>
    <row r="356">
      <c r="A356" s="74">
        <v>45971.0</v>
      </c>
      <c r="B356" s="70" t="s">
        <v>2246</v>
      </c>
      <c r="C356" s="70" t="s">
        <v>2048</v>
      </c>
      <c r="D356" s="71">
        <v>4.99</v>
      </c>
      <c r="E356" s="71">
        <v>10.0</v>
      </c>
      <c r="F356" s="68"/>
      <c r="G356" s="68"/>
      <c r="H356" s="71"/>
      <c r="I356" s="72"/>
      <c r="J356" s="70" t="s">
        <v>1602</v>
      </c>
      <c r="K356" s="67"/>
      <c r="L356" s="70" t="s">
        <v>2247</v>
      </c>
      <c r="M356" s="75">
        <v>1.0</v>
      </c>
      <c r="N356" s="75">
        <v>0.0</v>
      </c>
      <c r="O356" s="75">
        <v>1.0</v>
      </c>
      <c r="P356" s="75">
        <v>0.0</v>
      </c>
      <c r="Q356" s="70" t="s">
        <v>22</v>
      </c>
      <c r="R356" s="71">
        <v>0.0</v>
      </c>
      <c r="S356" s="71">
        <v>4.99</v>
      </c>
      <c r="T356" s="67"/>
      <c r="U356" s="71">
        <v>0.0</v>
      </c>
      <c r="V356" s="71">
        <v>10.0</v>
      </c>
      <c r="W356" s="67"/>
      <c r="X356" s="67"/>
      <c r="Y356" s="67"/>
      <c r="Z356" s="67"/>
      <c r="AA356" s="67"/>
      <c r="AB356" s="67"/>
      <c r="AC356" s="67"/>
    </row>
    <row r="357">
      <c r="A357" s="74">
        <v>45971.0</v>
      </c>
      <c r="B357" s="70" t="s">
        <v>2248</v>
      </c>
      <c r="C357" s="70" t="s">
        <v>2249</v>
      </c>
      <c r="D357" s="71">
        <v>5.69</v>
      </c>
      <c r="E357" s="71">
        <v>9.98</v>
      </c>
      <c r="F357" s="68"/>
      <c r="G357" s="68"/>
      <c r="H357" s="68"/>
      <c r="I357" s="69"/>
      <c r="J357" s="70" t="s">
        <v>1450</v>
      </c>
      <c r="K357" s="67"/>
      <c r="L357" s="67" t="s">
        <v>2250</v>
      </c>
      <c r="M357" s="75">
        <v>1.0</v>
      </c>
      <c r="N357" s="75">
        <v>0.0</v>
      </c>
      <c r="O357" s="75">
        <v>0.0</v>
      </c>
      <c r="P357" s="75">
        <v>1.0</v>
      </c>
      <c r="Q357" s="76" t="s">
        <v>22</v>
      </c>
      <c r="R357" s="71">
        <v>0.0</v>
      </c>
      <c r="S357" s="71">
        <v>5.69</v>
      </c>
      <c r="T357" s="67"/>
      <c r="U357" s="71">
        <v>0.0</v>
      </c>
      <c r="V357" s="71">
        <v>9.98</v>
      </c>
      <c r="W357" s="67"/>
      <c r="X357" s="67"/>
      <c r="Y357" s="67"/>
      <c r="Z357" s="67"/>
      <c r="AA357" s="67"/>
      <c r="AB357" s="67"/>
      <c r="AC357" s="67"/>
    </row>
    <row r="358">
      <c r="A358" s="74">
        <v>45971.0</v>
      </c>
      <c r="B358" s="70" t="s">
        <v>2251</v>
      </c>
      <c r="C358" s="70" t="s">
        <v>2249</v>
      </c>
      <c r="D358" s="71">
        <v>5.69</v>
      </c>
      <c r="E358" s="71">
        <v>9.98</v>
      </c>
      <c r="F358" s="68"/>
      <c r="G358" s="68"/>
      <c r="H358" s="68"/>
      <c r="I358" s="69"/>
      <c r="J358" s="70" t="s">
        <v>1450</v>
      </c>
      <c r="K358" s="67"/>
      <c r="L358" s="70" t="s">
        <v>2252</v>
      </c>
      <c r="M358" s="75">
        <v>1.0</v>
      </c>
      <c r="N358" s="75">
        <v>0.0</v>
      </c>
      <c r="O358" s="75">
        <v>0.0</v>
      </c>
      <c r="P358" s="75">
        <v>1.0</v>
      </c>
      <c r="Q358" s="76" t="s">
        <v>22</v>
      </c>
      <c r="R358" s="71">
        <v>0.0</v>
      </c>
      <c r="S358" s="71">
        <v>5.69</v>
      </c>
      <c r="T358" s="70"/>
      <c r="U358" s="71">
        <v>0.0</v>
      </c>
      <c r="V358" s="71">
        <v>9.98</v>
      </c>
      <c r="W358" s="67"/>
      <c r="X358" s="67"/>
      <c r="Y358" s="67"/>
      <c r="Z358" s="67"/>
      <c r="AA358" s="67"/>
      <c r="AB358" s="67"/>
      <c r="AC358" s="67"/>
    </row>
    <row r="359">
      <c r="A359" s="74">
        <v>45971.0</v>
      </c>
      <c r="B359" s="70" t="s">
        <v>2253</v>
      </c>
      <c r="C359" s="70" t="s">
        <v>2249</v>
      </c>
      <c r="D359" s="71">
        <v>5.69</v>
      </c>
      <c r="E359" s="71">
        <v>9.98</v>
      </c>
      <c r="F359" s="68"/>
      <c r="G359" s="68"/>
      <c r="H359" s="71">
        <v>-5.69</v>
      </c>
      <c r="I359" s="72">
        <v>-1.0</v>
      </c>
      <c r="J359" s="70" t="s">
        <v>1595</v>
      </c>
      <c r="K359" s="67"/>
      <c r="L359" s="70" t="s">
        <v>2254</v>
      </c>
      <c r="M359" s="75">
        <v>1.0</v>
      </c>
      <c r="N359" s="75">
        <v>0.0</v>
      </c>
      <c r="O359" s="75">
        <v>1.0</v>
      </c>
      <c r="P359" s="75">
        <v>0.0</v>
      </c>
      <c r="Q359" s="70" t="s">
        <v>22</v>
      </c>
      <c r="R359" s="71">
        <v>0.0</v>
      </c>
      <c r="S359" s="71">
        <v>5.69</v>
      </c>
      <c r="T359" s="67"/>
      <c r="U359" s="71">
        <v>0.0</v>
      </c>
      <c r="V359" s="71">
        <v>9.98</v>
      </c>
      <c r="W359" s="67"/>
      <c r="X359" s="67"/>
      <c r="Y359" s="67"/>
      <c r="Z359" s="67"/>
      <c r="AA359" s="67"/>
      <c r="AB359" s="67"/>
      <c r="AC359" s="67"/>
    </row>
    <row r="360">
      <c r="A360" s="74">
        <v>45971.0</v>
      </c>
      <c r="B360" s="70" t="s">
        <v>2255</v>
      </c>
      <c r="C360" s="70" t="s">
        <v>2256</v>
      </c>
      <c r="D360" s="71">
        <v>8.0</v>
      </c>
      <c r="E360" s="71">
        <v>0.0</v>
      </c>
      <c r="F360" s="68"/>
      <c r="G360" s="68"/>
      <c r="H360" s="68"/>
      <c r="I360" s="69"/>
      <c r="J360" s="70" t="s">
        <v>1602</v>
      </c>
      <c r="K360" s="67"/>
      <c r="L360" s="67" t="s">
        <v>2257</v>
      </c>
      <c r="M360" s="75">
        <v>1.0</v>
      </c>
      <c r="N360" s="75">
        <v>0.0</v>
      </c>
      <c r="O360" s="75">
        <v>1.0</v>
      </c>
      <c r="P360" s="75">
        <v>0.0</v>
      </c>
      <c r="Q360" s="76" t="s">
        <v>22</v>
      </c>
      <c r="R360" s="71">
        <v>0.0</v>
      </c>
      <c r="S360" s="71">
        <v>8.0</v>
      </c>
      <c r="T360" s="67"/>
      <c r="U360" s="71">
        <v>0.25</v>
      </c>
      <c r="V360" s="71">
        <v>0.25</v>
      </c>
      <c r="W360" s="67"/>
      <c r="X360" s="67"/>
      <c r="Y360" s="67"/>
      <c r="Z360" s="67"/>
      <c r="AA360" s="67"/>
      <c r="AB360" s="67"/>
      <c r="AC360" s="67"/>
    </row>
    <row r="361">
      <c r="A361" s="74">
        <v>45976.0</v>
      </c>
      <c r="B361" s="70" t="s">
        <v>2258</v>
      </c>
      <c r="C361" s="70" t="s">
        <v>1757</v>
      </c>
      <c r="D361" s="71">
        <v>13.0</v>
      </c>
      <c r="E361" s="71">
        <v>20.0</v>
      </c>
      <c r="F361" s="68"/>
      <c r="G361" s="68"/>
      <c r="H361" s="71">
        <v>-14.35</v>
      </c>
      <c r="I361" s="72">
        <v>-1.0</v>
      </c>
      <c r="J361" s="70" t="s">
        <v>2259</v>
      </c>
      <c r="K361" s="67"/>
      <c r="L361" s="70" t="s">
        <v>2260</v>
      </c>
      <c r="M361" s="75">
        <v>1.0</v>
      </c>
      <c r="N361" s="75">
        <v>0.0</v>
      </c>
      <c r="O361" s="75">
        <v>1.0</v>
      </c>
      <c r="P361" s="75">
        <v>0.0</v>
      </c>
      <c r="Q361" s="76" t="s">
        <v>22</v>
      </c>
      <c r="R361" s="71">
        <v>1.35</v>
      </c>
      <c r="S361" s="71">
        <v>14.35</v>
      </c>
      <c r="T361" s="70"/>
      <c r="U361" s="71">
        <v>0.0</v>
      </c>
      <c r="V361" s="71">
        <v>20.0</v>
      </c>
      <c r="W361" s="67"/>
      <c r="X361" s="67"/>
      <c r="Y361" s="67"/>
      <c r="Z361" s="67"/>
      <c r="AA361" s="67"/>
      <c r="AB361" s="67"/>
      <c r="AC361" s="67"/>
    </row>
    <row r="362">
      <c r="A362" s="74">
        <v>45976.0</v>
      </c>
      <c r="B362" s="70" t="s">
        <v>2261</v>
      </c>
      <c r="C362" s="70" t="s">
        <v>2262</v>
      </c>
      <c r="D362" s="71">
        <v>33.0</v>
      </c>
      <c r="E362" s="71">
        <v>64.0</v>
      </c>
      <c r="F362" s="68"/>
      <c r="G362" s="68"/>
      <c r="H362" s="68"/>
      <c r="I362" s="69"/>
      <c r="J362" s="70" t="s">
        <v>1602</v>
      </c>
      <c r="K362" s="67"/>
      <c r="L362" s="70" t="s">
        <v>2263</v>
      </c>
      <c r="M362" s="75">
        <v>1.0</v>
      </c>
      <c r="N362" s="75">
        <v>0.0</v>
      </c>
      <c r="O362" s="75">
        <v>1.0</v>
      </c>
      <c r="P362" s="75">
        <v>0.0</v>
      </c>
      <c r="Q362" s="70" t="s">
        <v>22</v>
      </c>
      <c r="R362" s="71">
        <v>1.0</v>
      </c>
      <c r="S362" s="71">
        <v>34.0</v>
      </c>
      <c r="T362" s="70"/>
      <c r="U362" s="71">
        <v>5.0</v>
      </c>
      <c r="V362" s="71">
        <v>69.0</v>
      </c>
      <c r="W362" s="67"/>
      <c r="X362" s="67"/>
      <c r="Y362" s="67"/>
      <c r="Z362" s="67"/>
      <c r="AA362" s="67"/>
      <c r="AB362" s="67"/>
      <c r="AC362" s="67"/>
    </row>
    <row r="363">
      <c r="A363" s="74">
        <v>45976.0</v>
      </c>
      <c r="B363" s="70" t="s">
        <v>2264</v>
      </c>
      <c r="C363" s="70" t="s">
        <v>1530</v>
      </c>
      <c r="D363" s="71">
        <v>0.0</v>
      </c>
      <c r="E363" s="71">
        <v>0.0</v>
      </c>
      <c r="F363" s="68"/>
      <c r="G363" s="68"/>
      <c r="H363" s="68"/>
      <c r="I363" s="69"/>
      <c r="J363" s="70" t="s">
        <v>1450</v>
      </c>
      <c r="K363" s="67"/>
      <c r="L363" s="70" t="s">
        <v>2265</v>
      </c>
      <c r="M363" s="75">
        <v>1.0</v>
      </c>
      <c r="N363" s="75">
        <v>0.0</v>
      </c>
      <c r="O363" s="75">
        <v>0.0</v>
      </c>
      <c r="P363" s="75">
        <v>1.0</v>
      </c>
      <c r="Q363" s="70" t="s">
        <v>22</v>
      </c>
      <c r="R363" s="71">
        <v>0.5</v>
      </c>
      <c r="S363" s="71">
        <v>0.5</v>
      </c>
      <c r="T363" s="67"/>
      <c r="U363" s="71">
        <v>4.06</v>
      </c>
      <c r="V363" s="71">
        <v>4.06</v>
      </c>
      <c r="W363" s="67"/>
      <c r="X363" s="67"/>
      <c r="Y363" s="67"/>
      <c r="Z363" s="67"/>
      <c r="AA363" s="67"/>
      <c r="AB363" s="67"/>
      <c r="AC363" s="67"/>
    </row>
    <row r="364">
      <c r="A364" s="74">
        <v>45976.0</v>
      </c>
      <c r="B364" s="70" t="s">
        <v>2266</v>
      </c>
      <c r="C364" s="70" t="s">
        <v>2262</v>
      </c>
      <c r="D364" s="71">
        <v>8.25</v>
      </c>
      <c r="E364" s="71">
        <v>16.0</v>
      </c>
      <c r="F364" s="68"/>
      <c r="G364" s="68"/>
      <c r="H364" s="71"/>
      <c r="I364" s="72"/>
      <c r="J364" s="70" t="s">
        <v>1602</v>
      </c>
      <c r="K364" s="67"/>
      <c r="L364" s="70" t="s">
        <v>2267</v>
      </c>
      <c r="M364" s="75">
        <v>1.0</v>
      </c>
      <c r="N364" s="75">
        <v>0.0</v>
      </c>
      <c r="O364" s="75">
        <v>1.0</v>
      </c>
      <c r="P364" s="75">
        <v>0.0</v>
      </c>
      <c r="Q364" s="76" t="s">
        <v>22</v>
      </c>
      <c r="R364" s="71">
        <v>1.0</v>
      </c>
      <c r="S364" s="71">
        <v>9.25</v>
      </c>
      <c r="T364" s="70"/>
      <c r="U364" s="71">
        <v>5.0</v>
      </c>
      <c r="V364" s="71">
        <v>21.0</v>
      </c>
      <c r="W364" s="67"/>
      <c r="X364" s="67"/>
      <c r="Y364" s="67"/>
      <c r="Z364" s="67"/>
      <c r="AA364" s="67"/>
      <c r="AB364" s="67"/>
      <c r="AC364" s="67"/>
    </row>
    <row r="365">
      <c r="A365" s="74">
        <v>45976.0</v>
      </c>
      <c r="B365" s="70" t="s">
        <v>2268</v>
      </c>
      <c r="C365" s="70" t="s">
        <v>2262</v>
      </c>
      <c r="D365" s="71">
        <v>8.25</v>
      </c>
      <c r="E365" s="71">
        <v>16.0</v>
      </c>
      <c r="F365" s="68"/>
      <c r="G365" s="68"/>
      <c r="H365" s="68"/>
      <c r="I365" s="69"/>
      <c r="J365" s="70" t="s">
        <v>1602</v>
      </c>
      <c r="K365" s="67"/>
      <c r="L365" s="70" t="s">
        <v>2269</v>
      </c>
      <c r="M365" s="75">
        <v>1.0</v>
      </c>
      <c r="N365" s="75">
        <v>0.0</v>
      </c>
      <c r="O365" s="75">
        <v>1.0</v>
      </c>
      <c r="P365" s="75">
        <v>0.0</v>
      </c>
      <c r="Q365" s="70" t="s">
        <v>22</v>
      </c>
      <c r="R365" s="71">
        <v>1.0</v>
      </c>
      <c r="S365" s="71">
        <v>9.25</v>
      </c>
      <c r="T365" s="67"/>
      <c r="U365" s="71">
        <v>5.0</v>
      </c>
      <c r="V365" s="71">
        <v>21.0</v>
      </c>
      <c r="W365" s="67"/>
      <c r="X365" s="67"/>
      <c r="Y365" s="67"/>
      <c r="Z365" s="67"/>
      <c r="AA365" s="67"/>
      <c r="AB365" s="67"/>
      <c r="AC365" s="67"/>
    </row>
    <row r="366">
      <c r="A366" s="74">
        <v>45976.0</v>
      </c>
      <c r="B366" s="70" t="s">
        <v>2270</v>
      </c>
      <c r="C366" s="70" t="s">
        <v>2262</v>
      </c>
      <c r="D366" s="71">
        <v>8.25</v>
      </c>
      <c r="E366" s="71">
        <v>16.0</v>
      </c>
      <c r="F366" s="68"/>
      <c r="G366" s="68"/>
      <c r="H366" s="68"/>
      <c r="I366" s="69"/>
      <c r="J366" s="70" t="s">
        <v>1450</v>
      </c>
      <c r="K366" s="67"/>
      <c r="L366" s="70" t="s">
        <v>2271</v>
      </c>
      <c r="M366" s="75">
        <v>1.0</v>
      </c>
      <c r="N366" s="75">
        <v>0.0</v>
      </c>
      <c r="O366" s="75">
        <v>0.0</v>
      </c>
      <c r="P366" s="75">
        <v>1.0</v>
      </c>
      <c r="Q366" s="70" t="s">
        <v>22</v>
      </c>
      <c r="R366" s="71">
        <v>1.58</v>
      </c>
      <c r="S366" s="71">
        <v>9.83</v>
      </c>
      <c r="T366" s="67"/>
      <c r="U366" s="71">
        <v>6.0</v>
      </c>
      <c r="V366" s="71">
        <v>22.0</v>
      </c>
      <c r="W366" s="67"/>
      <c r="X366" s="67"/>
      <c r="Y366" s="67"/>
      <c r="Z366" s="67"/>
      <c r="AA366" s="67"/>
      <c r="AB366" s="67"/>
      <c r="AC366" s="67"/>
    </row>
    <row r="367">
      <c r="A367" s="74">
        <v>45976.0</v>
      </c>
      <c r="B367" s="70" t="s">
        <v>2272</v>
      </c>
      <c r="C367" s="70" t="s">
        <v>1497</v>
      </c>
      <c r="D367" s="71">
        <v>7.8</v>
      </c>
      <c r="E367" s="71">
        <v>16.99</v>
      </c>
      <c r="F367" s="68"/>
      <c r="G367" s="68"/>
      <c r="H367" s="71">
        <v>-7.8</v>
      </c>
      <c r="I367" s="72">
        <v>-1.0</v>
      </c>
      <c r="J367" s="70" t="s">
        <v>2259</v>
      </c>
      <c r="K367" s="67"/>
      <c r="L367" s="70" t="s">
        <v>2273</v>
      </c>
      <c r="M367" s="75">
        <v>1.0</v>
      </c>
      <c r="N367" s="75">
        <v>0.0</v>
      </c>
      <c r="O367" s="75">
        <v>1.0</v>
      </c>
      <c r="P367" s="75">
        <v>0.0</v>
      </c>
      <c r="Q367" s="70" t="s">
        <v>22</v>
      </c>
      <c r="R367" s="71">
        <v>0.0</v>
      </c>
      <c r="S367" s="71">
        <v>7.8</v>
      </c>
      <c r="T367" s="67"/>
      <c r="U367" s="71">
        <v>0.0</v>
      </c>
      <c r="V367" s="71">
        <v>16.99</v>
      </c>
      <c r="W367" s="67"/>
      <c r="X367" s="67"/>
      <c r="Y367" s="67"/>
      <c r="Z367" s="67"/>
      <c r="AA367" s="67"/>
      <c r="AB367" s="67"/>
      <c r="AC367" s="67"/>
    </row>
    <row r="368">
      <c r="A368" s="74">
        <v>45977.0</v>
      </c>
      <c r="B368" s="70" t="s">
        <v>2274</v>
      </c>
      <c r="C368" s="70" t="s">
        <v>2275</v>
      </c>
      <c r="D368" s="71">
        <v>18.9</v>
      </c>
      <c r="E368" s="71">
        <v>0.0</v>
      </c>
      <c r="F368" s="68"/>
      <c r="G368" s="68"/>
      <c r="H368" s="71"/>
      <c r="I368" s="72"/>
      <c r="J368" s="70" t="s">
        <v>1450</v>
      </c>
      <c r="K368" s="67"/>
      <c r="L368" s="70" t="s">
        <v>2276</v>
      </c>
      <c r="M368" s="75">
        <v>1.0</v>
      </c>
      <c r="N368" s="75">
        <v>0.0</v>
      </c>
      <c r="O368" s="75">
        <v>0.0</v>
      </c>
      <c r="P368" s="75">
        <v>1.0</v>
      </c>
      <c r="Q368" s="76" t="s">
        <v>22</v>
      </c>
      <c r="R368" s="71">
        <v>1.58</v>
      </c>
      <c r="S368" s="71">
        <v>20.48</v>
      </c>
      <c r="T368" s="70"/>
      <c r="U368" s="71">
        <v>0.0</v>
      </c>
      <c r="V368" s="71"/>
      <c r="W368" s="67"/>
      <c r="X368" s="67"/>
      <c r="Y368" s="67"/>
      <c r="Z368" s="67"/>
      <c r="AA368" s="67"/>
      <c r="AB368" s="67"/>
      <c r="AC368" s="67"/>
    </row>
    <row r="369">
      <c r="A369" s="74">
        <v>45977.0</v>
      </c>
      <c r="B369" s="70" t="s">
        <v>2277</v>
      </c>
      <c r="C369" s="70" t="s">
        <v>1752</v>
      </c>
      <c r="D369" s="71">
        <v>8.0</v>
      </c>
      <c r="E369" s="71">
        <v>15.0</v>
      </c>
      <c r="F369" s="68"/>
      <c r="G369" s="68"/>
      <c r="H369" s="71">
        <v>-8.47</v>
      </c>
      <c r="I369" s="72">
        <v>-1.0</v>
      </c>
      <c r="J369" s="70" t="s">
        <v>1595</v>
      </c>
      <c r="K369" s="67"/>
      <c r="L369" s="70" t="s">
        <v>2278</v>
      </c>
      <c r="M369" s="75">
        <v>1.0</v>
      </c>
      <c r="N369" s="75">
        <v>0.0</v>
      </c>
      <c r="O369" s="75">
        <v>1.0</v>
      </c>
      <c r="P369" s="75">
        <v>0.0</v>
      </c>
      <c r="Q369" s="76" t="s">
        <v>22</v>
      </c>
      <c r="R369" s="71">
        <v>0.47</v>
      </c>
      <c r="S369" s="71">
        <v>8.47</v>
      </c>
      <c r="T369" s="67"/>
      <c r="U369" s="71">
        <v>0.0</v>
      </c>
      <c r="V369" s="71">
        <v>15.0</v>
      </c>
      <c r="W369" s="67"/>
      <c r="X369" s="67"/>
      <c r="Y369" s="67"/>
      <c r="Z369" s="67"/>
      <c r="AA369" s="67"/>
      <c r="AB369" s="67"/>
      <c r="AC369" s="67"/>
    </row>
    <row r="370">
      <c r="A370" s="74">
        <v>45977.0</v>
      </c>
      <c r="B370" s="70" t="s">
        <v>2279</v>
      </c>
      <c r="C370" s="70" t="s">
        <v>2280</v>
      </c>
      <c r="D370" s="71">
        <v>9.5</v>
      </c>
      <c r="E370" s="71">
        <v>19.0</v>
      </c>
      <c r="F370" s="68"/>
      <c r="G370" s="68"/>
      <c r="H370" s="71"/>
      <c r="I370" s="72"/>
      <c r="J370" s="70" t="s">
        <v>1450</v>
      </c>
      <c r="K370" s="67"/>
      <c r="L370" s="70" t="s">
        <v>2281</v>
      </c>
      <c r="M370" s="75">
        <v>1.0</v>
      </c>
      <c r="N370" s="75">
        <v>0.0</v>
      </c>
      <c r="O370" s="75">
        <v>0.0</v>
      </c>
      <c r="P370" s="75">
        <v>1.0</v>
      </c>
      <c r="Q370" s="70" t="s">
        <v>22</v>
      </c>
      <c r="R370" s="71">
        <v>1.0</v>
      </c>
      <c r="S370" s="71">
        <v>10.5</v>
      </c>
      <c r="T370" s="67"/>
      <c r="U370" s="71">
        <v>5.0</v>
      </c>
      <c r="V370" s="71">
        <v>24.0</v>
      </c>
      <c r="W370" s="67"/>
      <c r="X370" s="67"/>
      <c r="Y370" s="67"/>
      <c r="Z370" s="67"/>
      <c r="AA370" s="67"/>
      <c r="AB370" s="67"/>
      <c r="AC370" s="67"/>
    </row>
    <row r="371">
      <c r="A371" s="74">
        <v>45978.0</v>
      </c>
      <c r="B371" s="70" t="s">
        <v>2282</v>
      </c>
      <c r="C371" s="70" t="s">
        <v>1704</v>
      </c>
      <c r="D371" s="71">
        <v>4.19</v>
      </c>
      <c r="E371" s="71">
        <v>15.0</v>
      </c>
      <c r="F371" s="68"/>
      <c r="G371" s="71">
        <v>8.0</v>
      </c>
      <c r="H371" s="71">
        <v>2.75</v>
      </c>
      <c r="I371" s="72">
        <v>0.34375</v>
      </c>
      <c r="J371" s="70" t="s">
        <v>1626</v>
      </c>
      <c r="K371" s="67"/>
      <c r="L371" s="70" t="s">
        <v>2283</v>
      </c>
      <c r="M371" s="75">
        <v>1.0</v>
      </c>
      <c r="N371" s="75">
        <v>1.0</v>
      </c>
      <c r="O371" s="75">
        <v>0.0</v>
      </c>
      <c r="P371" s="75">
        <v>0.0</v>
      </c>
      <c r="Q371" s="70" t="s">
        <v>22</v>
      </c>
      <c r="R371" s="71">
        <v>1.06</v>
      </c>
      <c r="S371" s="71">
        <v>5.25</v>
      </c>
      <c r="T371" s="67"/>
      <c r="U371" s="71">
        <v>5.0</v>
      </c>
      <c r="V371" s="71">
        <v>20.0</v>
      </c>
      <c r="W371" s="67"/>
      <c r="X371" s="67"/>
      <c r="Y371" s="67"/>
      <c r="Z371" s="67"/>
      <c r="AA371" s="67"/>
      <c r="AB371" s="67"/>
      <c r="AC371" s="67"/>
    </row>
    <row r="372">
      <c r="A372" s="74">
        <v>45980.0</v>
      </c>
      <c r="B372" s="70" t="s">
        <v>2284</v>
      </c>
      <c r="C372" s="70" t="s">
        <v>2285</v>
      </c>
      <c r="D372" s="71">
        <v>10.0</v>
      </c>
      <c r="E372" s="71">
        <v>0.0</v>
      </c>
      <c r="F372" s="68"/>
      <c r="G372" s="68"/>
      <c r="H372" s="68"/>
      <c r="I372" s="69"/>
      <c r="J372" s="70" t="s">
        <v>1450</v>
      </c>
      <c r="K372" s="67"/>
      <c r="L372" s="70" t="s">
        <v>2286</v>
      </c>
      <c r="M372" s="75">
        <v>1.0</v>
      </c>
      <c r="N372" s="75">
        <v>0.0</v>
      </c>
      <c r="O372" s="75">
        <v>0.0</v>
      </c>
      <c r="P372" s="75">
        <v>1.0</v>
      </c>
      <c r="Q372" s="70" t="s">
        <v>22</v>
      </c>
      <c r="R372" s="71">
        <v>0.47</v>
      </c>
      <c r="S372" s="71">
        <v>10.47</v>
      </c>
      <c r="T372" s="70"/>
      <c r="U372" s="71">
        <v>0.0</v>
      </c>
      <c r="V372" s="71"/>
      <c r="W372" s="67"/>
      <c r="X372" s="67"/>
      <c r="Y372" s="67"/>
      <c r="Z372" s="67"/>
      <c r="AA372" s="67"/>
      <c r="AB372" s="67"/>
      <c r="AC372" s="67"/>
    </row>
    <row r="373">
      <c r="A373" s="74">
        <v>45980.0</v>
      </c>
      <c r="B373" s="70" t="s">
        <v>2287</v>
      </c>
      <c r="C373" s="70" t="s">
        <v>2288</v>
      </c>
      <c r="D373" s="71">
        <v>4.67</v>
      </c>
      <c r="E373" s="71">
        <v>0.0</v>
      </c>
      <c r="F373" s="68"/>
      <c r="G373" s="68"/>
      <c r="H373" s="68"/>
      <c r="I373" s="69"/>
      <c r="J373" s="70" t="s">
        <v>1450</v>
      </c>
      <c r="K373" s="67"/>
      <c r="L373" s="70" t="s">
        <v>2289</v>
      </c>
      <c r="M373" s="75">
        <v>1.0</v>
      </c>
      <c r="N373" s="75">
        <v>0.0</v>
      </c>
      <c r="O373" s="75">
        <v>0.0</v>
      </c>
      <c r="P373" s="75">
        <v>1.0</v>
      </c>
      <c r="Q373" s="70" t="s">
        <v>22</v>
      </c>
      <c r="R373" s="71">
        <v>0.47</v>
      </c>
      <c r="S373" s="71">
        <v>5.14</v>
      </c>
      <c r="T373" s="67"/>
      <c r="U373" s="71">
        <v>0.0</v>
      </c>
      <c r="V373" s="68"/>
      <c r="W373" s="67"/>
      <c r="X373" s="67"/>
      <c r="Y373" s="67"/>
      <c r="Z373" s="67"/>
      <c r="AA373" s="67"/>
      <c r="AB373" s="67"/>
      <c r="AC373" s="67"/>
    </row>
    <row r="374">
      <c r="A374" s="74">
        <v>45980.0</v>
      </c>
      <c r="B374" s="70" t="s">
        <v>2290</v>
      </c>
      <c r="C374" s="70" t="s">
        <v>1564</v>
      </c>
      <c r="D374" s="71">
        <v>0.0</v>
      </c>
      <c r="E374" s="71">
        <v>0.0</v>
      </c>
      <c r="F374" s="68"/>
      <c r="G374" s="68"/>
      <c r="H374" s="68"/>
      <c r="I374" s="69"/>
      <c r="J374" s="70" t="s">
        <v>1450</v>
      </c>
      <c r="K374" s="67"/>
      <c r="L374" s="70" t="s">
        <v>2291</v>
      </c>
      <c r="M374" s="75">
        <v>1.0</v>
      </c>
      <c r="N374" s="75">
        <v>0.0</v>
      </c>
      <c r="O374" s="75">
        <v>0.0</v>
      </c>
      <c r="P374" s="75">
        <v>1.0</v>
      </c>
      <c r="Q374" s="70" t="s">
        <v>22</v>
      </c>
      <c r="R374" s="71">
        <v>1.58</v>
      </c>
      <c r="S374" s="71">
        <v>1.58</v>
      </c>
      <c r="T374" s="67"/>
      <c r="U374" s="71">
        <v>0.0</v>
      </c>
      <c r="V374" s="71"/>
      <c r="W374" s="67"/>
      <c r="X374" s="67"/>
      <c r="Y374" s="67"/>
      <c r="Z374" s="67"/>
      <c r="AA374" s="67"/>
      <c r="AB374" s="67"/>
      <c r="AC374" s="67"/>
    </row>
    <row r="375">
      <c r="A375" s="74">
        <v>45980.0</v>
      </c>
      <c r="B375" s="70" t="s">
        <v>2292</v>
      </c>
      <c r="C375" s="70" t="s">
        <v>2285</v>
      </c>
      <c r="D375" s="71">
        <v>10.0</v>
      </c>
      <c r="E375" s="71">
        <v>0.0</v>
      </c>
      <c r="F375" s="68"/>
      <c r="G375" s="68"/>
      <c r="H375" s="68"/>
      <c r="I375" s="69"/>
      <c r="J375" s="70" t="s">
        <v>1450</v>
      </c>
      <c r="K375" s="67"/>
      <c r="L375" s="70" t="s">
        <v>2293</v>
      </c>
      <c r="M375" s="75">
        <v>1.0</v>
      </c>
      <c r="N375" s="75">
        <v>0.0</v>
      </c>
      <c r="O375" s="75">
        <v>0.0</v>
      </c>
      <c r="P375" s="75">
        <v>1.0</v>
      </c>
      <c r="Q375" s="70" t="s">
        <v>22</v>
      </c>
      <c r="R375" s="71">
        <v>0.47</v>
      </c>
      <c r="S375" s="71">
        <v>10.47</v>
      </c>
      <c r="T375" s="70"/>
      <c r="U375" s="71">
        <v>0.0</v>
      </c>
      <c r="V375" s="71"/>
      <c r="W375" s="67"/>
      <c r="X375" s="67"/>
      <c r="Y375" s="67"/>
      <c r="Z375" s="67"/>
      <c r="AA375" s="67"/>
      <c r="AB375" s="67"/>
      <c r="AC375" s="67"/>
    </row>
    <row r="376">
      <c r="A376" s="74">
        <v>45980.0</v>
      </c>
      <c r="B376" s="70" t="s">
        <v>2294</v>
      </c>
      <c r="C376" s="70" t="s">
        <v>2288</v>
      </c>
      <c r="D376" s="71">
        <v>4.67</v>
      </c>
      <c r="E376" s="71">
        <v>0.0</v>
      </c>
      <c r="F376" s="68"/>
      <c r="G376" s="68"/>
      <c r="H376" s="68"/>
      <c r="I376" s="69"/>
      <c r="J376" s="70" t="s">
        <v>1450</v>
      </c>
      <c r="K376" s="67"/>
      <c r="L376" s="70" t="s">
        <v>2295</v>
      </c>
      <c r="M376" s="75">
        <v>1.0</v>
      </c>
      <c r="N376" s="75">
        <v>0.0</v>
      </c>
      <c r="O376" s="75">
        <v>0.0</v>
      </c>
      <c r="P376" s="75">
        <v>1.0</v>
      </c>
      <c r="Q376" s="70" t="s">
        <v>22</v>
      </c>
      <c r="R376" s="71">
        <v>1.0</v>
      </c>
      <c r="S376" s="71">
        <v>5.67</v>
      </c>
      <c r="T376" s="70"/>
      <c r="U376" s="71">
        <v>5.0</v>
      </c>
      <c r="V376" s="71">
        <v>5.0</v>
      </c>
      <c r="W376" s="67"/>
      <c r="X376" s="67"/>
      <c r="Y376" s="67"/>
      <c r="Z376" s="67"/>
      <c r="AA376" s="67"/>
      <c r="AB376" s="67"/>
      <c r="AC376" s="67"/>
    </row>
    <row r="377">
      <c r="A377" s="74">
        <v>45980.0</v>
      </c>
      <c r="B377" s="70" t="s">
        <v>2296</v>
      </c>
      <c r="C377" s="70" t="s">
        <v>2081</v>
      </c>
      <c r="D377" s="71">
        <v>5.5</v>
      </c>
      <c r="E377" s="71">
        <v>11.0</v>
      </c>
      <c r="F377" s="68"/>
      <c r="G377" s="71">
        <v>15.0</v>
      </c>
      <c r="H377" s="71">
        <v>9.5</v>
      </c>
      <c r="I377" s="72">
        <v>0.6333333333333333</v>
      </c>
      <c r="J377" s="70" t="s">
        <v>1626</v>
      </c>
      <c r="K377" s="67"/>
      <c r="L377" s="70" t="s">
        <v>2297</v>
      </c>
      <c r="M377" s="75">
        <v>1.0</v>
      </c>
      <c r="N377" s="75">
        <v>1.0</v>
      </c>
      <c r="O377" s="75">
        <v>0.0</v>
      </c>
      <c r="P377" s="75">
        <v>0.0</v>
      </c>
      <c r="Q377" s="70" t="s">
        <v>22</v>
      </c>
      <c r="R377" s="71">
        <v>0.0</v>
      </c>
      <c r="S377" s="71">
        <v>5.5</v>
      </c>
      <c r="T377" s="67"/>
      <c r="U377" s="71">
        <v>0.0</v>
      </c>
      <c r="V377" s="71">
        <v>11.0</v>
      </c>
      <c r="W377" s="67"/>
      <c r="X377" s="67"/>
      <c r="Y377" s="67"/>
      <c r="Z377" s="67"/>
      <c r="AA377" s="67"/>
      <c r="AB377" s="67"/>
      <c r="AC377" s="67"/>
    </row>
    <row r="378">
      <c r="A378" s="74">
        <v>45980.0</v>
      </c>
      <c r="B378" s="70" t="s">
        <v>2298</v>
      </c>
      <c r="C378" s="70" t="s">
        <v>1802</v>
      </c>
      <c r="D378" s="71">
        <v>9.0</v>
      </c>
      <c r="E378" s="71">
        <v>19.99</v>
      </c>
      <c r="F378" s="68"/>
      <c r="G378" s="71">
        <v>26.0</v>
      </c>
      <c r="H378" s="71">
        <v>16.5</v>
      </c>
      <c r="I378" s="72">
        <v>0.6346153846153846</v>
      </c>
      <c r="J378" s="70" t="s">
        <v>1626</v>
      </c>
      <c r="K378" s="67"/>
      <c r="L378" s="70" t="s">
        <v>2299</v>
      </c>
      <c r="M378" s="75">
        <v>1.0</v>
      </c>
      <c r="N378" s="75">
        <v>1.0</v>
      </c>
      <c r="O378" s="75">
        <v>0.0</v>
      </c>
      <c r="P378" s="75">
        <v>0.0</v>
      </c>
      <c r="Q378" s="70" t="s">
        <v>22</v>
      </c>
      <c r="R378" s="71">
        <v>0.5</v>
      </c>
      <c r="S378" s="71">
        <v>9.5</v>
      </c>
      <c r="T378" s="67"/>
      <c r="U378" s="71">
        <v>5.0</v>
      </c>
      <c r="V378" s="71">
        <v>24.99</v>
      </c>
      <c r="W378" s="67"/>
      <c r="X378" s="67"/>
      <c r="Y378" s="67"/>
      <c r="Z378" s="67"/>
      <c r="AA378" s="67"/>
      <c r="AB378" s="67"/>
      <c r="AC378" s="67"/>
    </row>
    <row r="379">
      <c r="A379" s="74">
        <v>45981.0</v>
      </c>
      <c r="B379" s="70" t="s">
        <v>2300</v>
      </c>
      <c r="C379" s="70" t="s">
        <v>1724</v>
      </c>
      <c r="D379" s="71">
        <v>0.98</v>
      </c>
      <c r="E379" s="71">
        <v>0.0</v>
      </c>
      <c r="F379" s="68"/>
      <c r="G379" s="68"/>
      <c r="H379" s="68"/>
      <c r="I379" s="69"/>
      <c r="J379" s="70" t="s">
        <v>1450</v>
      </c>
      <c r="K379" s="67"/>
      <c r="L379" s="70" t="s">
        <v>2301</v>
      </c>
      <c r="M379" s="75">
        <v>1.0</v>
      </c>
      <c r="N379" s="75">
        <v>0.0</v>
      </c>
      <c r="O379" s="75">
        <v>0.0</v>
      </c>
      <c r="P379" s="75">
        <v>1.0</v>
      </c>
      <c r="Q379" s="70" t="s">
        <v>22</v>
      </c>
      <c r="R379" s="71">
        <v>0.13</v>
      </c>
      <c r="S379" s="71">
        <v>1.11</v>
      </c>
      <c r="T379" s="70"/>
      <c r="U379" s="71">
        <v>0.0</v>
      </c>
      <c r="V379" s="71"/>
      <c r="W379" s="67"/>
      <c r="X379" s="67"/>
      <c r="Y379" s="67"/>
      <c r="Z379" s="67"/>
      <c r="AA379" s="67"/>
      <c r="AB379" s="67"/>
      <c r="AC379" s="67"/>
    </row>
    <row r="380">
      <c r="A380" s="74">
        <v>45981.0</v>
      </c>
      <c r="B380" s="70" t="s">
        <v>2302</v>
      </c>
      <c r="C380" s="70" t="s">
        <v>2081</v>
      </c>
      <c r="D380" s="71">
        <v>5.5</v>
      </c>
      <c r="E380" s="71">
        <v>11.0</v>
      </c>
      <c r="F380" s="68"/>
      <c r="G380" s="71">
        <v>15.0</v>
      </c>
      <c r="H380" s="71">
        <v>9.5</v>
      </c>
      <c r="I380" s="72">
        <v>0.6333333333333333</v>
      </c>
      <c r="J380" s="70" t="s">
        <v>1626</v>
      </c>
      <c r="K380" s="67"/>
      <c r="L380" s="70" t="s">
        <v>2303</v>
      </c>
      <c r="M380" s="75">
        <v>1.0</v>
      </c>
      <c r="N380" s="75">
        <v>1.0</v>
      </c>
      <c r="O380" s="75">
        <v>0.0</v>
      </c>
      <c r="P380" s="75">
        <v>0.0</v>
      </c>
      <c r="Q380" s="70" t="s">
        <v>22</v>
      </c>
      <c r="R380" s="71">
        <v>0.0</v>
      </c>
      <c r="S380" s="71">
        <v>5.5</v>
      </c>
      <c r="T380" s="67"/>
      <c r="U380" s="71">
        <v>0.0</v>
      </c>
      <c r="V380" s="71">
        <v>11.0</v>
      </c>
      <c r="W380" s="67"/>
      <c r="X380" s="67"/>
      <c r="Y380" s="67"/>
      <c r="Z380" s="67"/>
      <c r="AA380" s="67"/>
      <c r="AB380" s="67"/>
      <c r="AC380" s="67"/>
    </row>
    <row r="381">
      <c r="A381" s="74">
        <v>45981.0</v>
      </c>
      <c r="B381" s="70" t="s">
        <v>2304</v>
      </c>
      <c r="C381" s="70" t="s">
        <v>1527</v>
      </c>
      <c r="D381" s="71">
        <v>9.0</v>
      </c>
      <c r="E381" s="71">
        <v>19.99</v>
      </c>
      <c r="F381" s="68"/>
      <c r="G381" s="68"/>
      <c r="H381" s="68"/>
      <c r="I381" s="69"/>
      <c r="J381" s="70" t="s">
        <v>1450</v>
      </c>
      <c r="K381" s="67"/>
      <c r="L381" s="70" t="s">
        <v>2305</v>
      </c>
      <c r="M381" s="75">
        <v>1.0</v>
      </c>
      <c r="N381" s="75">
        <v>0.0</v>
      </c>
      <c r="O381" s="75">
        <v>0.0</v>
      </c>
      <c r="P381" s="75">
        <v>1.0</v>
      </c>
      <c r="Q381" s="70" t="s">
        <v>22</v>
      </c>
      <c r="R381" s="71">
        <v>0.0</v>
      </c>
      <c r="S381" s="71">
        <v>9.0</v>
      </c>
      <c r="T381" s="67"/>
      <c r="U381" s="71">
        <v>0.25</v>
      </c>
      <c r="V381" s="71">
        <v>20.24</v>
      </c>
      <c r="W381" s="67"/>
      <c r="X381" s="67"/>
      <c r="Y381" s="67"/>
      <c r="Z381" s="67"/>
      <c r="AA381" s="67"/>
      <c r="AB381" s="67"/>
      <c r="AC381" s="67"/>
    </row>
    <row r="382">
      <c r="A382" s="74">
        <v>45981.0</v>
      </c>
      <c r="B382" s="70" t="s">
        <v>2306</v>
      </c>
      <c r="C382" s="70" t="s">
        <v>1724</v>
      </c>
      <c r="D382" s="71">
        <v>1.95</v>
      </c>
      <c r="E382" s="71">
        <v>0.0</v>
      </c>
      <c r="F382" s="68"/>
      <c r="G382" s="68"/>
      <c r="H382" s="68"/>
      <c r="I382" s="69"/>
      <c r="J382" s="70" t="s">
        <v>1450</v>
      </c>
      <c r="K382" s="67"/>
      <c r="L382" s="70" t="s">
        <v>2307</v>
      </c>
      <c r="M382" s="75">
        <v>1.0</v>
      </c>
      <c r="N382" s="75">
        <v>0.0</v>
      </c>
      <c r="O382" s="75">
        <v>0.0</v>
      </c>
      <c r="P382" s="75">
        <v>1.0</v>
      </c>
      <c r="Q382" s="70" t="s">
        <v>22</v>
      </c>
      <c r="R382" s="71">
        <v>0.13</v>
      </c>
      <c r="S382" s="71">
        <v>2.08</v>
      </c>
      <c r="T382" s="67"/>
      <c r="U382" s="71">
        <v>0.0</v>
      </c>
      <c r="V382" s="68"/>
      <c r="W382" s="67"/>
      <c r="X382" s="67"/>
      <c r="Y382" s="67"/>
      <c r="Z382" s="67"/>
      <c r="AA382" s="67"/>
      <c r="AB382" s="67"/>
      <c r="AC382" s="67"/>
    </row>
    <row r="383">
      <c r="A383" s="74">
        <v>45981.0</v>
      </c>
      <c r="B383" s="70" t="s">
        <v>2308</v>
      </c>
      <c r="C383" s="70" t="s">
        <v>1724</v>
      </c>
      <c r="D383" s="71">
        <v>1.95</v>
      </c>
      <c r="E383" s="71">
        <v>0.0</v>
      </c>
      <c r="F383" s="68"/>
      <c r="G383" s="68"/>
      <c r="H383" s="68"/>
      <c r="I383" s="69"/>
      <c r="J383" s="70" t="s">
        <v>1450</v>
      </c>
      <c r="K383" s="67"/>
      <c r="L383" s="70" t="s">
        <v>2309</v>
      </c>
      <c r="M383" s="75">
        <v>1.0</v>
      </c>
      <c r="N383" s="75">
        <v>0.0</v>
      </c>
      <c r="O383" s="75">
        <v>0.0</v>
      </c>
      <c r="P383" s="75">
        <v>1.0</v>
      </c>
      <c r="Q383" s="70" t="s">
        <v>22</v>
      </c>
      <c r="R383" s="71">
        <v>0.13</v>
      </c>
      <c r="S383" s="71">
        <v>2.08</v>
      </c>
      <c r="T383" s="67"/>
      <c r="U383" s="71">
        <v>0.0</v>
      </c>
      <c r="V383" s="68"/>
      <c r="W383" s="67"/>
      <c r="X383" s="67"/>
      <c r="Y383" s="67"/>
      <c r="Z383" s="67"/>
      <c r="AA383" s="67"/>
      <c r="AB383" s="67"/>
      <c r="AC383" s="67"/>
    </row>
    <row r="384">
      <c r="A384" s="74">
        <v>45981.0</v>
      </c>
      <c r="B384" s="70" t="s">
        <v>2310</v>
      </c>
      <c r="C384" s="70" t="s">
        <v>1724</v>
      </c>
      <c r="D384" s="71">
        <v>1.95</v>
      </c>
      <c r="E384" s="71">
        <v>0.0</v>
      </c>
      <c r="F384" s="68"/>
      <c r="G384" s="68"/>
      <c r="H384" s="68"/>
      <c r="I384" s="69"/>
      <c r="J384" s="70" t="s">
        <v>1450</v>
      </c>
      <c r="K384" s="67"/>
      <c r="L384" s="70" t="s">
        <v>2311</v>
      </c>
      <c r="M384" s="75">
        <v>1.0</v>
      </c>
      <c r="N384" s="75">
        <v>0.0</v>
      </c>
      <c r="O384" s="75">
        <v>0.0</v>
      </c>
      <c r="P384" s="75">
        <v>1.0</v>
      </c>
      <c r="Q384" s="70" t="s">
        <v>22</v>
      </c>
      <c r="R384" s="71">
        <v>0.13</v>
      </c>
      <c r="S384" s="71">
        <v>2.08</v>
      </c>
      <c r="T384" s="67"/>
      <c r="U384" s="71">
        <v>0.0</v>
      </c>
      <c r="V384" s="68"/>
      <c r="W384" s="67"/>
      <c r="X384" s="67"/>
      <c r="Y384" s="67"/>
      <c r="Z384" s="67"/>
      <c r="AA384" s="67"/>
      <c r="AB384" s="67"/>
      <c r="AC384" s="67"/>
    </row>
    <row r="385">
      <c r="A385" s="74">
        <v>45981.0</v>
      </c>
      <c r="B385" s="70" t="s">
        <v>2312</v>
      </c>
      <c r="C385" s="70" t="s">
        <v>1724</v>
      </c>
      <c r="D385" s="71">
        <v>1.95</v>
      </c>
      <c r="E385" s="71">
        <v>0.0</v>
      </c>
      <c r="F385" s="68"/>
      <c r="G385" s="68"/>
      <c r="H385" s="68"/>
      <c r="I385" s="69"/>
      <c r="J385" s="70" t="s">
        <v>1450</v>
      </c>
      <c r="K385" s="67"/>
      <c r="L385" s="70" t="s">
        <v>2313</v>
      </c>
      <c r="M385" s="75">
        <v>1.0</v>
      </c>
      <c r="N385" s="75">
        <v>0.0</v>
      </c>
      <c r="O385" s="75">
        <v>0.0</v>
      </c>
      <c r="P385" s="75">
        <v>1.0</v>
      </c>
      <c r="Q385" s="70" t="s">
        <v>22</v>
      </c>
      <c r="R385" s="71">
        <v>0.13</v>
      </c>
      <c r="S385" s="71">
        <v>2.08</v>
      </c>
      <c r="T385" s="67"/>
      <c r="U385" s="71">
        <v>0.0</v>
      </c>
      <c r="V385" s="68"/>
      <c r="W385" s="67"/>
      <c r="X385" s="67"/>
      <c r="Y385" s="67"/>
      <c r="Z385" s="67"/>
      <c r="AA385" s="67"/>
      <c r="AB385" s="67"/>
      <c r="AC385" s="67"/>
    </row>
    <row r="386">
      <c r="A386" s="74">
        <v>45981.0</v>
      </c>
      <c r="B386" s="70" t="s">
        <v>2314</v>
      </c>
      <c r="C386" s="70" t="s">
        <v>1724</v>
      </c>
      <c r="D386" s="71">
        <v>1.95</v>
      </c>
      <c r="E386" s="71">
        <v>0.0</v>
      </c>
      <c r="F386" s="68"/>
      <c r="G386" s="68"/>
      <c r="H386" s="68"/>
      <c r="I386" s="69"/>
      <c r="J386" s="70" t="s">
        <v>1450</v>
      </c>
      <c r="K386" s="67"/>
      <c r="L386" s="70" t="s">
        <v>2315</v>
      </c>
      <c r="M386" s="75">
        <v>1.0</v>
      </c>
      <c r="N386" s="75">
        <v>0.0</v>
      </c>
      <c r="O386" s="75">
        <v>0.0</v>
      </c>
      <c r="P386" s="75">
        <v>1.0</v>
      </c>
      <c r="Q386" s="70" t="s">
        <v>22</v>
      </c>
      <c r="R386" s="71">
        <v>0.13</v>
      </c>
      <c r="S386" s="71">
        <v>2.08</v>
      </c>
      <c r="T386" s="67"/>
      <c r="U386" s="71">
        <v>0.0</v>
      </c>
      <c r="V386" s="68"/>
      <c r="W386" s="67"/>
      <c r="X386" s="67"/>
      <c r="Y386" s="67"/>
      <c r="Z386" s="67"/>
      <c r="AA386" s="67"/>
      <c r="AB386" s="67"/>
      <c r="AC386" s="67"/>
    </row>
    <row r="387">
      <c r="A387" s="74">
        <v>45981.0</v>
      </c>
      <c r="B387" s="70" t="s">
        <v>2316</v>
      </c>
      <c r="C387" s="70" t="s">
        <v>1724</v>
      </c>
      <c r="D387" s="71">
        <v>1.95</v>
      </c>
      <c r="E387" s="71">
        <v>0.0</v>
      </c>
      <c r="F387" s="68"/>
      <c r="G387" s="68"/>
      <c r="H387" s="68"/>
      <c r="I387" s="69"/>
      <c r="J387" s="70" t="s">
        <v>1450</v>
      </c>
      <c r="K387" s="67"/>
      <c r="L387" s="70" t="s">
        <v>2317</v>
      </c>
      <c r="M387" s="75">
        <v>1.0</v>
      </c>
      <c r="N387" s="75">
        <v>0.0</v>
      </c>
      <c r="O387" s="75">
        <v>0.0</v>
      </c>
      <c r="P387" s="75">
        <v>1.0</v>
      </c>
      <c r="Q387" s="70" t="s">
        <v>22</v>
      </c>
      <c r="R387" s="71">
        <v>0.13</v>
      </c>
      <c r="S387" s="71">
        <v>2.08</v>
      </c>
      <c r="T387" s="67"/>
      <c r="U387" s="71">
        <v>0.0</v>
      </c>
      <c r="V387" s="68"/>
      <c r="W387" s="67"/>
      <c r="X387" s="67"/>
      <c r="Y387" s="67"/>
      <c r="Z387" s="67"/>
      <c r="AA387" s="67"/>
      <c r="AB387" s="67"/>
      <c r="AC387" s="67"/>
    </row>
    <row r="388">
      <c r="A388" s="74">
        <v>45981.0</v>
      </c>
      <c r="B388" s="70" t="s">
        <v>2318</v>
      </c>
      <c r="C388" s="70" t="s">
        <v>1724</v>
      </c>
      <c r="D388" s="71">
        <v>0.98</v>
      </c>
      <c r="E388" s="71">
        <v>0.0</v>
      </c>
      <c r="F388" s="68"/>
      <c r="G388" s="68"/>
      <c r="H388" s="68"/>
      <c r="I388" s="69"/>
      <c r="J388" s="70" t="s">
        <v>1450</v>
      </c>
      <c r="K388" s="67"/>
      <c r="L388" s="70" t="s">
        <v>2319</v>
      </c>
      <c r="M388" s="75">
        <v>1.0</v>
      </c>
      <c r="N388" s="75">
        <v>0.0</v>
      </c>
      <c r="O388" s="75">
        <v>0.0</v>
      </c>
      <c r="P388" s="75">
        <v>1.0</v>
      </c>
      <c r="Q388" s="70" t="s">
        <v>22</v>
      </c>
      <c r="R388" s="71">
        <v>0.13</v>
      </c>
      <c r="S388" s="71">
        <v>1.11</v>
      </c>
      <c r="T388" s="67"/>
      <c r="U388" s="71">
        <v>0.0</v>
      </c>
      <c r="V388" s="68"/>
      <c r="W388" s="67"/>
      <c r="X388" s="67"/>
      <c r="Y388" s="67"/>
      <c r="Z388" s="67"/>
      <c r="AA388" s="67"/>
      <c r="AB388" s="67"/>
      <c r="AC388" s="67"/>
    </row>
    <row r="389">
      <c r="A389" s="74">
        <v>45982.0</v>
      </c>
      <c r="B389" s="70" t="s">
        <v>2320</v>
      </c>
      <c r="C389" s="70" t="s">
        <v>2321</v>
      </c>
      <c r="D389" s="71">
        <v>2.9</v>
      </c>
      <c r="E389" s="71">
        <v>5.8</v>
      </c>
      <c r="F389" s="68"/>
      <c r="G389" s="68"/>
      <c r="H389" s="68"/>
      <c r="I389" s="69"/>
      <c r="J389" s="70" t="s">
        <v>1450</v>
      </c>
      <c r="K389" s="67"/>
      <c r="L389" s="70" t="s">
        <v>2322</v>
      </c>
      <c r="M389" s="75">
        <v>1.0</v>
      </c>
      <c r="N389" s="75">
        <v>0.0</v>
      </c>
      <c r="O389" s="75">
        <v>0.0</v>
      </c>
      <c r="P389" s="75">
        <v>1.0</v>
      </c>
      <c r="Q389" s="70" t="s">
        <v>22</v>
      </c>
      <c r="R389" s="71">
        <v>0.0</v>
      </c>
      <c r="S389" s="71">
        <v>2.9</v>
      </c>
      <c r="T389" s="67"/>
      <c r="U389" s="71">
        <v>0.0</v>
      </c>
      <c r="V389" s="71">
        <v>5.8</v>
      </c>
      <c r="W389" s="67"/>
      <c r="X389" s="67"/>
      <c r="Y389" s="67"/>
      <c r="Z389" s="67"/>
      <c r="AA389" s="67"/>
      <c r="AB389" s="67"/>
      <c r="AC389" s="67"/>
    </row>
    <row r="390">
      <c r="A390" s="74">
        <v>45982.0</v>
      </c>
      <c r="B390" s="70" t="s">
        <v>2323</v>
      </c>
      <c r="C390" s="70" t="s">
        <v>2321</v>
      </c>
      <c r="D390" s="71">
        <v>2.9</v>
      </c>
      <c r="E390" s="71">
        <v>5.8</v>
      </c>
      <c r="F390" s="68"/>
      <c r="G390" s="68"/>
      <c r="H390" s="68"/>
      <c r="I390" s="69"/>
      <c r="J390" s="70" t="s">
        <v>1450</v>
      </c>
      <c r="K390" s="67"/>
      <c r="L390" s="70" t="s">
        <v>2324</v>
      </c>
      <c r="M390" s="75">
        <v>1.0</v>
      </c>
      <c r="N390" s="75">
        <v>0.0</v>
      </c>
      <c r="O390" s="75">
        <v>0.0</v>
      </c>
      <c r="P390" s="75">
        <v>1.0</v>
      </c>
      <c r="Q390" s="70" t="s">
        <v>22</v>
      </c>
      <c r="R390" s="71">
        <v>0.0</v>
      </c>
      <c r="S390" s="71">
        <v>2.9</v>
      </c>
      <c r="T390" s="67"/>
      <c r="U390" s="71">
        <v>0.0</v>
      </c>
      <c r="V390" s="71">
        <v>5.8</v>
      </c>
      <c r="W390" s="67"/>
      <c r="X390" s="67"/>
      <c r="Y390" s="67"/>
      <c r="Z390" s="67"/>
      <c r="AA390" s="67"/>
      <c r="AB390" s="67"/>
      <c r="AC390" s="67"/>
    </row>
    <row r="391">
      <c r="A391" s="74">
        <v>45982.0</v>
      </c>
      <c r="B391" s="70" t="s">
        <v>2325</v>
      </c>
      <c r="C391" s="70" t="s">
        <v>2321</v>
      </c>
      <c r="D391" s="71">
        <v>2.9</v>
      </c>
      <c r="E391" s="71">
        <v>5.8</v>
      </c>
      <c r="F391" s="68"/>
      <c r="G391" s="68"/>
      <c r="H391" s="68"/>
      <c r="I391" s="69"/>
      <c r="J391" s="70" t="s">
        <v>1450</v>
      </c>
      <c r="K391" s="67"/>
      <c r="L391" s="70" t="s">
        <v>2326</v>
      </c>
      <c r="M391" s="75">
        <v>1.0</v>
      </c>
      <c r="N391" s="75">
        <v>0.0</v>
      </c>
      <c r="O391" s="75">
        <v>0.0</v>
      </c>
      <c r="P391" s="75">
        <v>1.0</v>
      </c>
      <c r="Q391" s="70" t="s">
        <v>22</v>
      </c>
      <c r="R391" s="71">
        <v>0.0</v>
      </c>
      <c r="S391" s="71">
        <v>2.9</v>
      </c>
      <c r="T391" s="67"/>
      <c r="U391" s="71">
        <v>0.0</v>
      </c>
      <c r="V391" s="71">
        <v>5.8</v>
      </c>
      <c r="W391" s="67"/>
      <c r="X391" s="67"/>
      <c r="Y391" s="67"/>
      <c r="Z391" s="67"/>
      <c r="AA391" s="67"/>
      <c r="AB391" s="67"/>
      <c r="AC391" s="67"/>
    </row>
    <row r="392">
      <c r="A392" s="74">
        <v>45982.0</v>
      </c>
      <c r="B392" s="70" t="s">
        <v>2327</v>
      </c>
      <c r="C392" s="70" t="s">
        <v>2321</v>
      </c>
      <c r="D392" s="71">
        <v>2.9</v>
      </c>
      <c r="E392" s="71">
        <v>5.8</v>
      </c>
      <c r="F392" s="68"/>
      <c r="G392" s="68"/>
      <c r="H392" s="68"/>
      <c r="I392" s="69"/>
      <c r="J392" s="70" t="s">
        <v>1450</v>
      </c>
      <c r="K392" s="67"/>
      <c r="L392" s="70" t="s">
        <v>2328</v>
      </c>
      <c r="M392" s="75">
        <v>1.0</v>
      </c>
      <c r="N392" s="75">
        <v>0.0</v>
      </c>
      <c r="O392" s="75">
        <v>0.0</v>
      </c>
      <c r="P392" s="75">
        <v>1.0</v>
      </c>
      <c r="Q392" s="70" t="s">
        <v>22</v>
      </c>
      <c r="R392" s="71">
        <v>0.0</v>
      </c>
      <c r="S392" s="71">
        <v>2.9</v>
      </c>
      <c r="T392" s="67"/>
      <c r="U392" s="71">
        <v>0.0</v>
      </c>
      <c r="V392" s="71">
        <v>5.8</v>
      </c>
      <c r="W392" s="67"/>
      <c r="X392" s="67"/>
      <c r="Y392" s="67"/>
      <c r="Z392" s="67"/>
      <c r="AA392" s="67"/>
      <c r="AB392" s="67"/>
      <c r="AC392" s="67"/>
    </row>
    <row r="393">
      <c r="A393" s="74">
        <v>45982.0</v>
      </c>
      <c r="B393" s="70" t="s">
        <v>2329</v>
      </c>
      <c r="C393" s="70" t="s">
        <v>2321</v>
      </c>
      <c r="D393" s="71">
        <v>2.9</v>
      </c>
      <c r="E393" s="71">
        <v>5.8</v>
      </c>
      <c r="F393" s="68"/>
      <c r="G393" s="68"/>
      <c r="H393" s="68"/>
      <c r="I393" s="69"/>
      <c r="J393" s="70" t="s">
        <v>1450</v>
      </c>
      <c r="K393" s="67"/>
      <c r="L393" s="70" t="s">
        <v>2330</v>
      </c>
      <c r="M393" s="75">
        <v>1.0</v>
      </c>
      <c r="N393" s="75">
        <v>0.0</v>
      </c>
      <c r="O393" s="75">
        <v>0.0</v>
      </c>
      <c r="P393" s="75">
        <v>1.0</v>
      </c>
      <c r="Q393" s="70" t="s">
        <v>22</v>
      </c>
      <c r="R393" s="71">
        <v>0.0</v>
      </c>
      <c r="S393" s="71">
        <v>2.9</v>
      </c>
      <c r="T393" s="67"/>
      <c r="U393" s="71">
        <v>0.0</v>
      </c>
      <c r="V393" s="71">
        <v>5.8</v>
      </c>
      <c r="W393" s="67"/>
      <c r="X393" s="67"/>
      <c r="Y393" s="67"/>
      <c r="Z393" s="67"/>
      <c r="AA393" s="67"/>
      <c r="AB393" s="67"/>
      <c r="AC393" s="67"/>
    </row>
    <row r="394">
      <c r="A394" s="74">
        <v>45982.0</v>
      </c>
      <c r="B394" s="70" t="s">
        <v>2331</v>
      </c>
      <c r="C394" s="70" t="s">
        <v>2321</v>
      </c>
      <c r="D394" s="71">
        <v>2.9</v>
      </c>
      <c r="E394" s="71">
        <v>5.8</v>
      </c>
      <c r="F394" s="68"/>
      <c r="G394" s="68"/>
      <c r="H394" s="68"/>
      <c r="I394" s="69"/>
      <c r="J394" s="70" t="s">
        <v>1450</v>
      </c>
      <c r="K394" s="67"/>
      <c r="L394" s="70" t="s">
        <v>2332</v>
      </c>
      <c r="M394" s="75">
        <v>1.0</v>
      </c>
      <c r="N394" s="75">
        <v>0.0</v>
      </c>
      <c r="O394" s="75">
        <v>0.0</v>
      </c>
      <c r="P394" s="75">
        <v>1.0</v>
      </c>
      <c r="Q394" s="70" t="s">
        <v>22</v>
      </c>
      <c r="R394" s="71">
        <v>0.0</v>
      </c>
      <c r="S394" s="71">
        <v>2.9</v>
      </c>
      <c r="T394" s="67"/>
      <c r="U394" s="71">
        <v>0.0</v>
      </c>
      <c r="V394" s="71">
        <v>5.8</v>
      </c>
      <c r="W394" s="67"/>
      <c r="X394" s="67"/>
      <c r="Y394" s="67"/>
      <c r="Z394" s="67"/>
      <c r="AA394" s="67"/>
      <c r="AB394" s="67"/>
      <c r="AC394" s="67"/>
    </row>
    <row r="395">
      <c r="A395" s="74">
        <v>45982.0</v>
      </c>
      <c r="B395" s="70" t="s">
        <v>2333</v>
      </c>
      <c r="C395" s="70" t="s">
        <v>2321</v>
      </c>
      <c r="D395" s="71">
        <v>2.9</v>
      </c>
      <c r="E395" s="71">
        <v>5.8</v>
      </c>
      <c r="F395" s="68"/>
      <c r="G395" s="68"/>
      <c r="H395" s="68"/>
      <c r="I395" s="69"/>
      <c r="J395" s="70" t="s">
        <v>1450</v>
      </c>
      <c r="K395" s="67"/>
      <c r="L395" s="70" t="s">
        <v>2334</v>
      </c>
      <c r="M395" s="75">
        <v>1.0</v>
      </c>
      <c r="N395" s="75">
        <v>0.0</v>
      </c>
      <c r="O395" s="75">
        <v>0.0</v>
      </c>
      <c r="P395" s="75">
        <v>1.0</v>
      </c>
      <c r="Q395" s="70" t="s">
        <v>22</v>
      </c>
      <c r="R395" s="71">
        <v>0.0</v>
      </c>
      <c r="S395" s="71">
        <v>2.9</v>
      </c>
      <c r="T395" s="67"/>
      <c r="U395" s="71">
        <v>0.0</v>
      </c>
      <c r="V395" s="71">
        <v>5.8</v>
      </c>
      <c r="W395" s="67"/>
      <c r="X395" s="67"/>
      <c r="Y395" s="67"/>
      <c r="Z395" s="67"/>
      <c r="AA395" s="67"/>
      <c r="AB395" s="67"/>
      <c r="AC395" s="67"/>
    </row>
    <row r="396">
      <c r="A396" s="74">
        <v>45982.0</v>
      </c>
      <c r="B396" s="70" t="s">
        <v>2335</v>
      </c>
      <c r="C396" s="70" t="s">
        <v>2321</v>
      </c>
      <c r="D396" s="71">
        <v>2.9</v>
      </c>
      <c r="E396" s="71">
        <v>5.8</v>
      </c>
      <c r="F396" s="68"/>
      <c r="G396" s="68"/>
      <c r="H396" s="68"/>
      <c r="I396" s="69"/>
      <c r="J396" s="70" t="s">
        <v>1450</v>
      </c>
      <c r="K396" s="67"/>
      <c r="L396" s="70" t="s">
        <v>2336</v>
      </c>
      <c r="M396" s="75">
        <v>1.0</v>
      </c>
      <c r="N396" s="75">
        <v>0.0</v>
      </c>
      <c r="O396" s="75">
        <v>0.0</v>
      </c>
      <c r="P396" s="75">
        <v>1.0</v>
      </c>
      <c r="Q396" s="70" t="s">
        <v>22</v>
      </c>
      <c r="R396" s="71">
        <v>0.0</v>
      </c>
      <c r="S396" s="71">
        <v>2.9</v>
      </c>
      <c r="T396" s="67"/>
      <c r="U396" s="71">
        <v>0.0</v>
      </c>
      <c r="V396" s="71">
        <v>5.8</v>
      </c>
      <c r="W396" s="67"/>
      <c r="X396" s="67"/>
      <c r="Y396" s="67"/>
      <c r="Z396" s="67"/>
      <c r="AA396" s="67"/>
      <c r="AB396" s="67"/>
      <c r="AC396" s="67"/>
    </row>
    <row r="397">
      <c r="A397" s="74">
        <v>45982.0</v>
      </c>
      <c r="B397" s="70" t="s">
        <v>2337</v>
      </c>
      <c r="C397" s="70" t="s">
        <v>2321</v>
      </c>
      <c r="D397" s="71">
        <v>2.9</v>
      </c>
      <c r="E397" s="71">
        <v>5.8</v>
      </c>
      <c r="F397" s="68"/>
      <c r="G397" s="68"/>
      <c r="H397" s="68"/>
      <c r="I397" s="69"/>
      <c r="J397" s="70" t="s">
        <v>1450</v>
      </c>
      <c r="K397" s="67"/>
      <c r="L397" s="70" t="s">
        <v>2338</v>
      </c>
      <c r="M397" s="75">
        <v>1.0</v>
      </c>
      <c r="N397" s="75">
        <v>0.0</v>
      </c>
      <c r="O397" s="75">
        <v>0.0</v>
      </c>
      <c r="P397" s="75">
        <v>1.0</v>
      </c>
      <c r="Q397" s="70" t="s">
        <v>22</v>
      </c>
      <c r="R397" s="71">
        <v>0.0</v>
      </c>
      <c r="S397" s="71">
        <v>2.9</v>
      </c>
      <c r="T397" s="67"/>
      <c r="U397" s="71">
        <v>0.0</v>
      </c>
      <c r="V397" s="71">
        <v>5.8</v>
      </c>
      <c r="W397" s="67"/>
      <c r="X397" s="67"/>
      <c r="Y397" s="67"/>
      <c r="Z397" s="67"/>
      <c r="AA397" s="67"/>
      <c r="AB397" s="67"/>
      <c r="AC397" s="67"/>
    </row>
    <row r="398">
      <c r="A398" s="74">
        <v>45982.0</v>
      </c>
      <c r="B398" s="70" t="s">
        <v>2339</v>
      </c>
      <c r="C398" s="70" t="s">
        <v>2321</v>
      </c>
      <c r="D398" s="71">
        <v>2.9</v>
      </c>
      <c r="E398" s="71">
        <v>5.8</v>
      </c>
      <c r="F398" s="68"/>
      <c r="G398" s="68"/>
      <c r="H398" s="68"/>
      <c r="I398" s="69"/>
      <c r="J398" s="70" t="s">
        <v>1450</v>
      </c>
      <c r="K398" s="67"/>
      <c r="L398" s="70" t="s">
        <v>2340</v>
      </c>
      <c r="M398" s="75">
        <v>1.0</v>
      </c>
      <c r="N398" s="75">
        <v>0.0</v>
      </c>
      <c r="O398" s="75">
        <v>0.0</v>
      </c>
      <c r="P398" s="75">
        <v>1.0</v>
      </c>
      <c r="Q398" s="70" t="s">
        <v>22</v>
      </c>
      <c r="R398" s="71">
        <v>0.0</v>
      </c>
      <c r="S398" s="71">
        <v>2.9</v>
      </c>
      <c r="T398" s="67"/>
      <c r="U398" s="71">
        <v>0.0</v>
      </c>
      <c r="V398" s="71">
        <v>5.8</v>
      </c>
      <c r="W398" s="67"/>
      <c r="X398" s="67"/>
      <c r="Y398" s="67"/>
      <c r="Z398" s="67"/>
      <c r="AA398" s="67"/>
      <c r="AB398" s="67"/>
      <c r="AC398" s="67"/>
    </row>
    <row r="399">
      <c r="A399" s="74">
        <v>45982.0</v>
      </c>
      <c r="B399" s="70" t="s">
        <v>2341</v>
      </c>
      <c r="C399" s="70" t="s">
        <v>2321</v>
      </c>
      <c r="D399" s="71">
        <v>2.9</v>
      </c>
      <c r="E399" s="71">
        <v>5.8</v>
      </c>
      <c r="F399" s="68"/>
      <c r="G399" s="68"/>
      <c r="H399" s="68"/>
      <c r="I399" s="69"/>
      <c r="J399" s="70" t="s">
        <v>1450</v>
      </c>
      <c r="K399" s="67"/>
      <c r="L399" s="70" t="s">
        <v>2342</v>
      </c>
      <c r="M399" s="75">
        <v>1.0</v>
      </c>
      <c r="N399" s="75">
        <v>0.0</v>
      </c>
      <c r="O399" s="75">
        <v>0.0</v>
      </c>
      <c r="P399" s="75">
        <v>1.0</v>
      </c>
      <c r="Q399" s="70" t="s">
        <v>22</v>
      </c>
      <c r="R399" s="71">
        <v>0.0</v>
      </c>
      <c r="S399" s="71">
        <v>2.9</v>
      </c>
      <c r="T399" s="67"/>
      <c r="U399" s="71">
        <v>0.0</v>
      </c>
      <c r="V399" s="71">
        <v>5.8</v>
      </c>
      <c r="W399" s="67"/>
      <c r="X399" s="67"/>
      <c r="Y399" s="67"/>
      <c r="Z399" s="67"/>
      <c r="AA399" s="67"/>
      <c r="AB399" s="67"/>
      <c r="AC399" s="67"/>
    </row>
    <row r="400">
      <c r="A400" s="74">
        <v>45982.0</v>
      </c>
      <c r="B400" s="70" t="s">
        <v>2343</v>
      </c>
      <c r="C400" s="70" t="s">
        <v>2321</v>
      </c>
      <c r="D400" s="71">
        <v>2.9</v>
      </c>
      <c r="E400" s="71">
        <v>5.8</v>
      </c>
      <c r="F400" s="68"/>
      <c r="G400" s="68"/>
      <c r="H400" s="68"/>
      <c r="I400" s="69"/>
      <c r="J400" s="70" t="s">
        <v>1450</v>
      </c>
      <c r="K400" s="67"/>
      <c r="L400" s="70" t="s">
        <v>2344</v>
      </c>
      <c r="M400" s="75">
        <v>1.0</v>
      </c>
      <c r="N400" s="75">
        <v>0.0</v>
      </c>
      <c r="O400" s="75">
        <v>0.0</v>
      </c>
      <c r="P400" s="75">
        <v>1.0</v>
      </c>
      <c r="Q400" s="70" t="s">
        <v>22</v>
      </c>
      <c r="R400" s="71">
        <v>0.0</v>
      </c>
      <c r="S400" s="71">
        <v>2.9</v>
      </c>
      <c r="T400" s="67"/>
      <c r="U400" s="71">
        <v>0.0</v>
      </c>
      <c r="V400" s="71">
        <v>5.8</v>
      </c>
      <c r="W400" s="67"/>
      <c r="X400" s="67"/>
      <c r="Y400" s="67"/>
      <c r="Z400" s="67"/>
      <c r="AA400" s="67"/>
      <c r="AB400" s="67"/>
      <c r="AC400" s="67"/>
    </row>
    <row r="401">
      <c r="A401" s="74">
        <v>45982.0</v>
      </c>
      <c r="B401" s="70" t="s">
        <v>2345</v>
      </c>
      <c r="C401" s="70" t="s">
        <v>2321</v>
      </c>
      <c r="D401" s="71">
        <v>2.9</v>
      </c>
      <c r="E401" s="71">
        <v>5.8</v>
      </c>
      <c r="F401" s="68"/>
      <c r="G401" s="68"/>
      <c r="H401" s="68"/>
      <c r="I401" s="69"/>
      <c r="J401" s="70" t="s">
        <v>1602</v>
      </c>
      <c r="K401" s="67"/>
      <c r="L401" s="70" t="s">
        <v>2346</v>
      </c>
      <c r="M401" s="75">
        <v>1.0</v>
      </c>
      <c r="N401" s="75">
        <v>0.0</v>
      </c>
      <c r="O401" s="75">
        <v>1.0</v>
      </c>
      <c r="P401" s="75">
        <v>0.0</v>
      </c>
      <c r="Q401" s="70" t="s">
        <v>22</v>
      </c>
      <c r="R401" s="71">
        <v>0.0</v>
      </c>
      <c r="S401" s="71">
        <v>2.9</v>
      </c>
      <c r="T401" s="67"/>
      <c r="U401" s="71">
        <v>0.0</v>
      </c>
      <c r="V401" s="71">
        <v>5.8</v>
      </c>
      <c r="W401" s="67"/>
      <c r="X401" s="67"/>
      <c r="Y401" s="67"/>
      <c r="Z401" s="67"/>
      <c r="AA401" s="67"/>
      <c r="AB401" s="67"/>
      <c r="AC401" s="67"/>
    </row>
    <row r="402">
      <c r="A402" s="74">
        <v>45982.0</v>
      </c>
      <c r="B402" s="70" t="s">
        <v>2347</v>
      </c>
      <c r="C402" s="70" t="s">
        <v>2321</v>
      </c>
      <c r="D402" s="71">
        <v>2.9</v>
      </c>
      <c r="E402" s="71">
        <v>5.8</v>
      </c>
      <c r="F402" s="68"/>
      <c r="G402" s="68"/>
      <c r="H402" s="68"/>
      <c r="I402" s="69"/>
      <c r="J402" s="70" t="s">
        <v>1450</v>
      </c>
      <c r="K402" s="67"/>
      <c r="L402" s="70" t="s">
        <v>2348</v>
      </c>
      <c r="M402" s="75">
        <v>1.0</v>
      </c>
      <c r="N402" s="75">
        <v>0.0</v>
      </c>
      <c r="O402" s="75">
        <v>0.0</v>
      </c>
      <c r="P402" s="75">
        <v>1.0</v>
      </c>
      <c r="Q402" s="70" t="s">
        <v>22</v>
      </c>
      <c r="R402" s="71">
        <v>0.0</v>
      </c>
      <c r="S402" s="71">
        <v>2.9</v>
      </c>
      <c r="T402" s="67"/>
      <c r="U402" s="71">
        <v>0.0</v>
      </c>
      <c r="V402" s="71">
        <v>5.8</v>
      </c>
      <c r="W402" s="67"/>
      <c r="X402" s="67"/>
      <c r="Y402" s="67"/>
      <c r="Z402" s="67"/>
      <c r="AA402" s="67"/>
      <c r="AB402" s="67"/>
      <c r="AC402" s="67"/>
    </row>
    <row r="403">
      <c r="A403" s="74">
        <v>45982.0</v>
      </c>
      <c r="B403" s="70" t="s">
        <v>2349</v>
      </c>
      <c r="C403" s="70" t="s">
        <v>2321</v>
      </c>
      <c r="D403" s="71">
        <v>2.9</v>
      </c>
      <c r="E403" s="71">
        <v>5.8</v>
      </c>
      <c r="F403" s="68"/>
      <c r="G403" s="68"/>
      <c r="H403" s="68"/>
      <c r="I403" s="69"/>
      <c r="J403" s="70" t="s">
        <v>1450</v>
      </c>
      <c r="K403" s="67"/>
      <c r="L403" s="70" t="s">
        <v>2350</v>
      </c>
      <c r="M403" s="75">
        <v>1.0</v>
      </c>
      <c r="N403" s="75">
        <v>0.0</v>
      </c>
      <c r="O403" s="75">
        <v>0.0</v>
      </c>
      <c r="P403" s="75">
        <v>1.0</v>
      </c>
      <c r="Q403" s="70" t="s">
        <v>22</v>
      </c>
      <c r="R403" s="71">
        <v>0.0</v>
      </c>
      <c r="S403" s="71">
        <v>2.9</v>
      </c>
      <c r="T403" s="67"/>
      <c r="U403" s="71">
        <v>0.0</v>
      </c>
      <c r="V403" s="71">
        <v>5.8</v>
      </c>
      <c r="W403" s="67"/>
      <c r="X403" s="67"/>
      <c r="Y403" s="67"/>
      <c r="Z403" s="67"/>
      <c r="AA403" s="67"/>
      <c r="AB403" s="67"/>
      <c r="AC403" s="67"/>
    </row>
    <row r="404">
      <c r="A404" s="74">
        <v>45982.0</v>
      </c>
      <c r="B404" s="70" t="s">
        <v>2351</v>
      </c>
      <c r="C404" s="70" t="s">
        <v>2321</v>
      </c>
      <c r="D404" s="71">
        <v>2.9</v>
      </c>
      <c r="E404" s="71">
        <v>5.8</v>
      </c>
      <c r="F404" s="68"/>
      <c r="G404" s="68"/>
      <c r="H404" s="68"/>
      <c r="I404" s="69"/>
      <c r="J404" s="70" t="s">
        <v>1450</v>
      </c>
      <c r="K404" s="67"/>
      <c r="L404" s="70" t="s">
        <v>2352</v>
      </c>
      <c r="M404" s="75">
        <v>1.0</v>
      </c>
      <c r="N404" s="75">
        <v>0.0</v>
      </c>
      <c r="O404" s="75">
        <v>0.0</v>
      </c>
      <c r="P404" s="75">
        <v>1.0</v>
      </c>
      <c r="Q404" s="70" t="s">
        <v>22</v>
      </c>
      <c r="R404" s="71">
        <v>0.0</v>
      </c>
      <c r="S404" s="71">
        <v>2.9</v>
      </c>
      <c r="T404" s="67"/>
      <c r="U404" s="71">
        <v>0.0</v>
      </c>
      <c r="V404" s="71">
        <v>5.8</v>
      </c>
      <c r="W404" s="67"/>
      <c r="X404" s="67"/>
      <c r="Y404" s="67"/>
      <c r="Z404" s="67"/>
      <c r="AA404" s="67"/>
      <c r="AB404" s="67"/>
      <c r="AC404" s="67"/>
    </row>
    <row r="405">
      <c r="A405" s="74">
        <v>45982.0</v>
      </c>
      <c r="B405" s="70" t="s">
        <v>2353</v>
      </c>
      <c r="C405" s="70" t="s">
        <v>2321</v>
      </c>
      <c r="D405" s="71">
        <v>2.9</v>
      </c>
      <c r="E405" s="71">
        <v>5.8</v>
      </c>
      <c r="F405" s="68"/>
      <c r="G405" s="68"/>
      <c r="H405" s="68"/>
      <c r="I405" s="69"/>
      <c r="J405" s="70" t="s">
        <v>1450</v>
      </c>
      <c r="K405" s="67"/>
      <c r="L405" s="70" t="s">
        <v>2354</v>
      </c>
      <c r="M405" s="75">
        <v>1.0</v>
      </c>
      <c r="N405" s="75">
        <v>0.0</v>
      </c>
      <c r="O405" s="75">
        <v>0.0</v>
      </c>
      <c r="P405" s="75">
        <v>1.0</v>
      </c>
      <c r="Q405" s="70" t="s">
        <v>22</v>
      </c>
      <c r="R405" s="71">
        <v>0.0</v>
      </c>
      <c r="S405" s="71">
        <v>2.9</v>
      </c>
      <c r="T405" s="67"/>
      <c r="U405" s="71">
        <v>0.0</v>
      </c>
      <c r="V405" s="71">
        <v>5.8</v>
      </c>
      <c r="W405" s="67"/>
      <c r="X405" s="67"/>
      <c r="Y405" s="67"/>
      <c r="Z405" s="67"/>
      <c r="AA405" s="67"/>
      <c r="AB405" s="67"/>
      <c r="AC405" s="67"/>
    </row>
    <row r="406">
      <c r="A406" s="74">
        <v>45982.0</v>
      </c>
      <c r="B406" s="70" t="s">
        <v>2355</v>
      </c>
      <c r="C406" s="70" t="s">
        <v>2321</v>
      </c>
      <c r="D406" s="71">
        <v>2.9</v>
      </c>
      <c r="E406" s="71">
        <v>5.8</v>
      </c>
      <c r="F406" s="68"/>
      <c r="G406" s="68"/>
      <c r="H406" s="68"/>
      <c r="I406" s="69"/>
      <c r="J406" s="70" t="s">
        <v>1450</v>
      </c>
      <c r="K406" s="67"/>
      <c r="L406" s="70" t="s">
        <v>2356</v>
      </c>
      <c r="M406" s="75">
        <v>1.0</v>
      </c>
      <c r="N406" s="75">
        <v>0.0</v>
      </c>
      <c r="O406" s="75">
        <v>0.0</v>
      </c>
      <c r="P406" s="75">
        <v>1.0</v>
      </c>
      <c r="Q406" s="70" t="s">
        <v>22</v>
      </c>
      <c r="R406" s="71">
        <v>0.0</v>
      </c>
      <c r="S406" s="71">
        <v>2.9</v>
      </c>
      <c r="T406" s="67"/>
      <c r="U406" s="71">
        <v>0.0</v>
      </c>
      <c r="V406" s="71">
        <v>5.8</v>
      </c>
      <c r="W406" s="67"/>
      <c r="X406" s="67"/>
      <c r="Y406" s="67"/>
      <c r="Z406" s="67"/>
      <c r="AA406" s="67"/>
      <c r="AB406" s="67"/>
      <c r="AC406" s="67"/>
    </row>
    <row r="407">
      <c r="A407" s="74">
        <v>45982.0</v>
      </c>
      <c r="B407" s="70" t="s">
        <v>2357</v>
      </c>
      <c r="C407" s="70" t="s">
        <v>2321</v>
      </c>
      <c r="D407" s="71">
        <v>2.9</v>
      </c>
      <c r="E407" s="71">
        <v>5.8</v>
      </c>
      <c r="F407" s="68"/>
      <c r="G407" s="68"/>
      <c r="H407" s="68"/>
      <c r="I407" s="69"/>
      <c r="J407" s="70" t="s">
        <v>1450</v>
      </c>
      <c r="K407" s="67"/>
      <c r="L407" s="70" t="s">
        <v>2358</v>
      </c>
      <c r="M407" s="75">
        <v>1.0</v>
      </c>
      <c r="N407" s="75">
        <v>0.0</v>
      </c>
      <c r="O407" s="75">
        <v>0.0</v>
      </c>
      <c r="P407" s="75">
        <v>1.0</v>
      </c>
      <c r="Q407" s="70" t="s">
        <v>22</v>
      </c>
      <c r="R407" s="71">
        <v>0.0</v>
      </c>
      <c r="S407" s="71">
        <v>2.9</v>
      </c>
      <c r="T407" s="67"/>
      <c r="U407" s="71">
        <v>0.0</v>
      </c>
      <c r="V407" s="71">
        <v>5.8</v>
      </c>
      <c r="W407" s="67"/>
      <c r="X407" s="67"/>
      <c r="Y407" s="67"/>
      <c r="Z407" s="67"/>
      <c r="AA407" s="67"/>
      <c r="AB407" s="67"/>
      <c r="AC407" s="67"/>
    </row>
    <row r="408">
      <c r="A408" s="74">
        <v>45982.0</v>
      </c>
      <c r="B408" s="70" t="s">
        <v>2359</v>
      </c>
      <c r="C408" s="70" t="s">
        <v>2321</v>
      </c>
      <c r="D408" s="71">
        <v>2.9</v>
      </c>
      <c r="E408" s="71">
        <v>5.8</v>
      </c>
      <c r="F408" s="68"/>
      <c r="G408" s="68"/>
      <c r="H408" s="68"/>
      <c r="I408" s="69"/>
      <c r="J408" s="70" t="s">
        <v>1450</v>
      </c>
      <c r="K408" s="67"/>
      <c r="L408" s="70" t="s">
        <v>2360</v>
      </c>
      <c r="M408" s="75">
        <v>1.0</v>
      </c>
      <c r="N408" s="75">
        <v>0.0</v>
      </c>
      <c r="O408" s="75">
        <v>0.0</v>
      </c>
      <c r="P408" s="75">
        <v>1.0</v>
      </c>
      <c r="Q408" s="70" t="s">
        <v>22</v>
      </c>
      <c r="R408" s="71">
        <v>0.0</v>
      </c>
      <c r="S408" s="71">
        <v>2.9</v>
      </c>
      <c r="T408" s="67"/>
      <c r="U408" s="71">
        <v>0.0</v>
      </c>
      <c r="V408" s="71">
        <v>5.8</v>
      </c>
      <c r="W408" s="67"/>
      <c r="X408" s="67"/>
      <c r="Y408" s="67"/>
      <c r="Z408" s="67"/>
      <c r="AA408" s="67"/>
      <c r="AB408" s="67"/>
      <c r="AC408" s="67"/>
    </row>
    <row r="409">
      <c r="A409" s="74">
        <v>45982.0</v>
      </c>
      <c r="B409" s="70" t="s">
        <v>2361</v>
      </c>
      <c r="C409" s="70" t="s">
        <v>2321</v>
      </c>
      <c r="D409" s="71">
        <v>2.9</v>
      </c>
      <c r="E409" s="71">
        <v>5.8</v>
      </c>
      <c r="F409" s="68"/>
      <c r="G409" s="68"/>
      <c r="H409" s="68"/>
      <c r="I409" s="69"/>
      <c r="J409" s="70" t="s">
        <v>1602</v>
      </c>
      <c r="K409" s="67"/>
      <c r="L409" s="70" t="s">
        <v>2362</v>
      </c>
      <c r="M409" s="75">
        <v>1.0</v>
      </c>
      <c r="N409" s="75">
        <v>0.0</v>
      </c>
      <c r="O409" s="75">
        <v>1.0</v>
      </c>
      <c r="P409" s="75">
        <v>0.0</v>
      </c>
      <c r="Q409" s="70" t="s">
        <v>22</v>
      </c>
      <c r="R409" s="71">
        <v>0.0</v>
      </c>
      <c r="S409" s="71">
        <v>2.9</v>
      </c>
      <c r="T409" s="67"/>
      <c r="U409" s="71">
        <v>0.0</v>
      </c>
      <c r="V409" s="71">
        <v>5.8</v>
      </c>
      <c r="W409" s="67"/>
      <c r="X409" s="67"/>
      <c r="Y409" s="67"/>
      <c r="Z409" s="67"/>
      <c r="AA409" s="67"/>
      <c r="AB409" s="67"/>
      <c r="AC409" s="67"/>
    </row>
    <row r="410">
      <c r="A410" s="74">
        <v>45982.0</v>
      </c>
      <c r="B410" s="70" t="s">
        <v>2363</v>
      </c>
      <c r="C410" s="70" t="s">
        <v>2321</v>
      </c>
      <c r="D410" s="71">
        <v>2.9</v>
      </c>
      <c r="E410" s="71">
        <v>5.8</v>
      </c>
      <c r="F410" s="68"/>
      <c r="G410" s="68"/>
      <c r="H410" s="68"/>
      <c r="I410" s="69"/>
      <c r="J410" s="70" t="s">
        <v>1450</v>
      </c>
      <c r="K410" s="67"/>
      <c r="L410" s="70" t="s">
        <v>2364</v>
      </c>
      <c r="M410" s="75">
        <v>1.0</v>
      </c>
      <c r="N410" s="75">
        <v>0.0</v>
      </c>
      <c r="O410" s="75">
        <v>0.0</v>
      </c>
      <c r="P410" s="75">
        <v>1.0</v>
      </c>
      <c r="Q410" s="70" t="s">
        <v>22</v>
      </c>
      <c r="R410" s="71">
        <v>0.0</v>
      </c>
      <c r="S410" s="71">
        <v>2.9</v>
      </c>
      <c r="T410" s="67"/>
      <c r="U410" s="71">
        <v>0.0</v>
      </c>
      <c r="V410" s="71">
        <v>5.8</v>
      </c>
      <c r="W410" s="67"/>
      <c r="X410" s="67"/>
      <c r="Y410" s="67"/>
      <c r="Z410" s="67"/>
      <c r="AA410" s="67"/>
      <c r="AB410" s="67"/>
      <c r="AC410" s="67"/>
    </row>
    <row r="411">
      <c r="A411" s="74">
        <v>45982.0</v>
      </c>
      <c r="B411" s="70" t="s">
        <v>2365</v>
      </c>
      <c r="C411" s="70" t="s">
        <v>2321</v>
      </c>
      <c r="D411" s="71">
        <v>2.9</v>
      </c>
      <c r="E411" s="71">
        <v>5.8</v>
      </c>
      <c r="F411" s="68"/>
      <c r="G411" s="68"/>
      <c r="H411" s="68"/>
      <c r="I411" s="69"/>
      <c r="J411" s="70" t="s">
        <v>1450</v>
      </c>
      <c r="K411" s="67"/>
      <c r="L411" s="70" t="s">
        <v>2366</v>
      </c>
      <c r="M411" s="75">
        <v>1.0</v>
      </c>
      <c r="N411" s="75">
        <v>0.0</v>
      </c>
      <c r="O411" s="75">
        <v>0.0</v>
      </c>
      <c r="P411" s="75">
        <v>1.0</v>
      </c>
      <c r="Q411" s="70" t="s">
        <v>22</v>
      </c>
      <c r="R411" s="71">
        <v>0.0</v>
      </c>
      <c r="S411" s="71">
        <v>2.9</v>
      </c>
      <c r="T411" s="67"/>
      <c r="U411" s="71">
        <v>0.0</v>
      </c>
      <c r="V411" s="71">
        <v>5.8</v>
      </c>
      <c r="W411" s="67"/>
      <c r="X411" s="67"/>
      <c r="Y411" s="67"/>
      <c r="Z411" s="67"/>
      <c r="AA411" s="67"/>
      <c r="AB411" s="67"/>
      <c r="AC411" s="67"/>
    </row>
    <row r="412">
      <c r="A412" s="74">
        <v>45982.0</v>
      </c>
      <c r="B412" s="70" t="s">
        <v>2367</v>
      </c>
      <c r="C412" s="70" t="s">
        <v>2321</v>
      </c>
      <c r="D412" s="71">
        <v>2.9</v>
      </c>
      <c r="E412" s="71">
        <v>5.8</v>
      </c>
      <c r="F412" s="68"/>
      <c r="G412" s="68"/>
      <c r="H412" s="68"/>
      <c r="I412" s="69"/>
      <c r="J412" s="70" t="s">
        <v>1450</v>
      </c>
      <c r="K412" s="67"/>
      <c r="L412" s="70" t="s">
        <v>2368</v>
      </c>
      <c r="M412" s="75">
        <v>1.0</v>
      </c>
      <c r="N412" s="75">
        <v>0.0</v>
      </c>
      <c r="O412" s="75">
        <v>0.0</v>
      </c>
      <c r="P412" s="75">
        <v>1.0</v>
      </c>
      <c r="Q412" s="70" t="s">
        <v>22</v>
      </c>
      <c r="R412" s="71">
        <v>0.0</v>
      </c>
      <c r="S412" s="71">
        <v>2.9</v>
      </c>
      <c r="T412" s="67"/>
      <c r="U412" s="71">
        <v>0.0</v>
      </c>
      <c r="V412" s="71">
        <v>5.8</v>
      </c>
      <c r="W412" s="67"/>
      <c r="X412" s="67"/>
      <c r="Y412" s="67"/>
      <c r="Z412" s="67"/>
      <c r="AA412" s="67"/>
      <c r="AB412" s="67"/>
      <c r="AC412" s="67"/>
    </row>
    <row r="413">
      <c r="A413" s="74">
        <v>45982.0</v>
      </c>
      <c r="B413" s="70" t="s">
        <v>2369</v>
      </c>
      <c r="C413" s="70" t="s">
        <v>2321</v>
      </c>
      <c r="D413" s="71">
        <v>2.9</v>
      </c>
      <c r="E413" s="71">
        <v>5.8</v>
      </c>
      <c r="F413" s="68"/>
      <c r="G413" s="68"/>
      <c r="H413" s="68"/>
      <c r="I413" s="69"/>
      <c r="J413" s="70" t="s">
        <v>1450</v>
      </c>
      <c r="K413" s="67"/>
      <c r="L413" s="70" t="s">
        <v>2370</v>
      </c>
      <c r="M413" s="75">
        <v>1.0</v>
      </c>
      <c r="N413" s="75">
        <v>0.0</v>
      </c>
      <c r="O413" s="75">
        <v>0.0</v>
      </c>
      <c r="P413" s="75">
        <v>1.0</v>
      </c>
      <c r="Q413" s="70" t="s">
        <v>22</v>
      </c>
      <c r="R413" s="71">
        <v>0.0</v>
      </c>
      <c r="S413" s="71">
        <v>2.9</v>
      </c>
      <c r="T413" s="67"/>
      <c r="U413" s="71">
        <v>0.0</v>
      </c>
      <c r="V413" s="71">
        <v>5.8</v>
      </c>
      <c r="W413" s="67"/>
      <c r="X413" s="67"/>
      <c r="Y413" s="67"/>
      <c r="Z413" s="67"/>
      <c r="AA413" s="67"/>
      <c r="AB413" s="67"/>
      <c r="AC413" s="67"/>
    </row>
    <row r="414">
      <c r="A414" s="74">
        <v>45982.0</v>
      </c>
      <c r="B414" s="70" t="s">
        <v>2371</v>
      </c>
      <c r="C414" s="70" t="s">
        <v>2321</v>
      </c>
      <c r="D414" s="71">
        <v>2.9</v>
      </c>
      <c r="E414" s="71">
        <v>5.8</v>
      </c>
      <c r="F414" s="68"/>
      <c r="G414" s="68"/>
      <c r="H414" s="68"/>
      <c r="I414" s="69"/>
      <c r="J414" s="70" t="s">
        <v>1602</v>
      </c>
      <c r="K414" s="67"/>
      <c r="L414" s="70" t="s">
        <v>2372</v>
      </c>
      <c r="M414" s="75">
        <v>1.0</v>
      </c>
      <c r="N414" s="75">
        <v>0.0</v>
      </c>
      <c r="O414" s="75">
        <v>1.0</v>
      </c>
      <c r="P414" s="75">
        <v>0.0</v>
      </c>
      <c r="Q414" s="70" t="s">
        <v>22</v>
      </c>
      <c r="R414" s="71">
        <v>0.0</v>
      </c>
      <c r="S414" s="71">
        <v>2.9</v>
      </c>
      <c r="T414" s="67"/>
      <c r="U414" s="71">
        <v>0.0</v>
      </c>
      <c r="V414" s="71">
        <v>5.8</v>
      </c>
      <c r="W414" s="67"/>
      <c r="X414" s="67"/>
      <c r="Y414" s="67"/>
      <c r="Z414" s="67"/>
      <c r="AA414" s="67"/>
      <c r="AB414" s="67"/>
      <c r="AC414" s="67"/>
    </row>
    <row r="415">
      <c r="A415" s="74">
        <v>45982.0</v>
      </c>
      <c r="B415" s="70" t="s">
        <v>2373</v>
      </c>
      <c r="C415" s="70" t="s">
        <v>2321</v>
      </c>
      <c r="D415" s="71">
        <v>2.9</v>
      </c>
      <c r="E415" s="71">
        <v>5.8</v>
      </c>
      <c r="F415" s="68"/>
      <c r="G415" s="68"/>
      <c r="H415" s="68"/>
      <c r="I415" s="69"/>
      <c r="J415" s="70" t="s">
        <v>1450</v>
      </c>
      <c r="K415" s="67"/>
      <c r="L415" s="70" t="s">
        <v>2374</v>
      </c>
      <c r="M415" s="75">
        <v>1.0</v>
      </c>
      <c r="N415" s="75">
        <v>0.0</v>
      </c>
      <c r="O415" s="75">
        <v>0.0</v>
      </c>
      <c r="P415" s="75">
        <v>1.0</v>
      </c>
      <c r="Q415" s="70" t="s">
        <v>22</v>
      </c>
      <c r="R415" s="71">
        <v>0.0</v>
      </c>
      <c r="S415" s="71">
        <v>2.9</v>
      </c>
      <c r="T415" s="67"/>
      <c r="U415" s="71">
        <v>0.0</v>
      </c>
      <c r="V415" s="71">
        <v>5.8</v>
      </c>
      <c r="W415" s="67"/>
      <c r="X415" s="67"/>
      <c r="Y415" s="67"/>
      <c r="Z415" s="67"/>
      <c r="AA415" s="67"/>
      <c r="AB415" s="67"/>
      <c r="AC415" s="67"/>
    </row>
    <row r="416">
      <c r="A416" s="74">
        <v>45982.0</v>
      </c>
      <c r="B416" s="70" t="s">
        <v>2375</v>
      </c>
      <c r="C416" s="70" t="s">
        <v>2321</v>
      </c>
      <c r="D416" s="71">
        <v>2.9</v>
      </c>
      <c r="E416" s="71">
        <v>5.8</v>
      </c>
      <c r="F416" s="68"/>
      <c r="G416" s="68"/>
      <c r="H416" s="68"/>
      <c r="I416" s="69"/>
      <c r="J416" s="70" t="s">
        <v>1450</v>
      </c>
      <c r="K416" s="67"/>
      <c r="L416" s="70" t="s">
        <v>2376</v>
      </c>
      <c r="M416" s="75">
        <v>1.0</v>
      </c>
      <c r="N416" s="75">
        <v>0.0</v>
      </c>
      <c r="O416" s="75">
        <v>0.0</v>
      </c>
      <c r="P416" s="75">
        <v>1.0</v>
      </c>
      <c r="Q416" s="70" t="s">
        <v>22</v>
      </c>
      <c r="R416" s="71">
        <v>0.0</v>
      </c>
      <c r="S416" s="71">
        <v>2.9</v>
      </c>
      <c r="T416" s="67"/>
      <c r="U416" s="71">
        <v>0.0</v>
      </c>
      <c r="V416" s="71">
        <v>5.8</v>
      </c>
      <c r="W416" s="67"/>
      <c r="X416" s="67"/>
      <c r="Y416" s="67"/>
      <c r="Z416" s="67"/>
      <c r="AA416" s="67"/>
      <c r="AB416" s="67"/>
      <c r="AC416" s="67"/>
    </row>
    <row r="417">
      <c r="A417" s="74">
        <v>45982.0</v>
      </c>
      <c r="B417" s="70" t="s">
        <v>2377</v>
      </c>
      <c r="C417" s="70" t="s">
        <v>2321</v>
      </c>
      <c r="D417" s="71">
        <v>2.9</v>
      </c>
      <c r="E417" s="71">
        <v>5.8</v>
      </c>
      <c r="F417" s="68"/>
      <c r="G417" s="68"/>
      <c r="H417" s="68"/>
      <c r="I417" s="69"/>
      <c r="J417" s="70" t="s">
        <v>1450</v>
      </c>
      <c r="K417" s="67"/>
      <c r="L417" s="70" t="s">
        <v>2378</v>
      </c>
      <c r="M417" s="75">
        <v>1.0</v>
      </c>
      <c r="N417" s="75">
        <v>0.0</v>
      </c>
      <c r="O417" s="75">
        <v>0.0</v>
      </c>
      <c r="P417" s="75">
        <v>1.0</v>
      </c>
      <c r="Q417" s="70" t="s">
        <v>22</v>
      </c>
      <c r="R417" s="71">
        <v>0.0</v>
      </c>
      <c r="S417" s="71">
        <v>2.9</v>
      </c>
      <c r="T417" s="67"/>
      <c r="U417" s="71">
        <v>0.0</v>
      </c>
      <c r="V417" s="71">
        <v>5.8</v>
      </c>
      <c r="W417" s="67"/>
      <c r="X417" s="67"/>
      <c r="Y417" s="67"/>
      <c r="Z417" s="67"/>
      <c r="AA417" s="67"/>
      <c r="AB417" s="67"/>
      <c r="AC417" s="67"/>
    </row>
    <row r="418">
      <c r="A418" s="74">
        <v>45982.0</v>
      </c>
      <c r="B418" s="70" t="s">
        <v>2379</v>
      </c>
      <c r="C418" s="70" t="s">
        <v>2321</v>
      </c>
      <c r="D418" s="71">
        <v>2.9</v>
      </c>
      <c r="E418" s="71">
        <v>5.8</v>
      </c>
      <c r="F418" s="68"/>
      <c r="G418" s="68"/>
      <c r="H418" s="68"/>
      <c r="I418" s="69"/>
      <c r="J418" s="70" t="s">
        <v>1602</v>
      </c>
      <c r="K418" s="67"/>
      <c r="L418" s="70" t="s">
        <v>2380</v>
      </c>
      <c r="M418" s="75">
        <v>1.0</v>
      </c>
      <c r="N418" s="75">
        <v>0.0</v>
      </c>
      <c r="O418" s="75">
        <v>1.0</v>
      </c>
      <c r="P418" s="75">
        <v>0.0</v>
      </c>
      <c r="Q418" s="70" t="s">
        <v>22</v>
      </c>
      <c r="R418" s="71">
        <v>0.0</v>
      </c>
      <c r="S418" s="71">
        <v>2.9</v>
      </c>
      <c r="T418" s="67"/>
      <c r="U418" s="71">
        <v>0.0</v>
      </c>
      <c r="V418" s="71">
        <v>5.8</v>
      </c>
      <c r="W418" s="67"/>
      <c r="X418" s="67"/>
      <c r="Y418" s="67"/>
      <c r="Z418" s="67"/>
      <c r="AA418" s="67"/>
      <c r="AB418" s="67"/>
      <c r="AC418" s="67"/>
    </row>
    <row r="419">
      <c r="A419" s="74">
        <v>45983.0</v>
      </c>
      <c r="B419" s="70" t="s">
        <v>2381</v>
      </c>
      <c r="C419" s="70" t="s">
        <v>2382</v>
      </c>
      <c r="D419" s="71">
        <v>8.0</v>
      </c>
      <c r="E419" s="71">
        <v>0.0</v>
      </c>
      <c r="F419" s="68"/>
      <c r="G419" s="68"/>
      <c r="H419" s="71"/>
      <c r="I419" s="72"/>
      <c r="J419" s="70" t="s">
        <v>1450</v>
      </c>
      <c r="K419" s="67"/>
      <c r="L419" s="70" t="s">
        <v>2383</v>
      </c>
      <c r="M419" s="75">
        <v>1.0</v>
      </c>
      <c r="N419" s="75">
        <v>0.0</v>
      </c>
      <c r="O419" s="75">
        <v>0.0</v>
      </c>
      <c r="P419" s="75">
        <v>1.0</v>
      </c>
      <c r="Q419" s="70" t="s">
        <v>22</v>
      </c>
      <c r="R419" s="71">
        <v>0.47</v>
      </c>
      <c r="S419" s="71">
        <v>8.47</v>
      </c>
      <c r="T419" s="70"/>
      <c r="U419" s="71">
        <v>0.0</v>
      </c>
      <c r="V419" s="71"/>
      <c r="W419" s="67"/>
      <c r="X419" s="67"/>
      <c r="Y419" s="67"/>
      <c r="Z419" s="67"/>
      <c r="AA419" s="67"/>
      <c r="AB419" s="67"/>
      <c r="AC419" s="67"/>
    </row>
    <row r="420">
      <c r="A420" s="74">
        <v>45983.0</v>
      </c>
      <c r="B420" s="70" t="s">
        <v>2384</v>
      </c>
      <c r="C420" s="70" t="s">
        <v>1527</v>
      </c>
      <c r="D420" s="71">
        <v>9.0</v>
      </c>
      <c r="E420" s="71">
        <v>19.99</v>
      </c>
      <c r="F420" s="68"/>
      <c r="G420" s="68"/>
      <c r="H420" s="68"/>
      <c r="I420" s="69"/>
      <c r="J420" s="70" t="s">
        <v>1450</v>
      </c>
      <c r="K420" s="67"/>
      <c r="L420" s="70" t="s">
        <v>2385</v>
      </c>
      <c r="M420" s="75">
        <v>1.0</v>
      </c>
      <c r="N420" s="75">
        <v>0.0</v>
      </c>
      <c r="O420" s="75">
        <v>0.0</v>
      </c>
      <c r="P420" s="75">
        <v>1.0</v>
      </c>
      <c r="Q420" s="70" t="s">
        <v>22</v>
      </c>
      <c r="R420" s="71">
        <v>1.56</v>
      </c>
      <c r="S420" s="71">
        <v>10.56</v>
      </c>
      <c r="T420" s="67"/>
      <c r="U420" s="71">
        <v>0.0</v>
      </c>
      <c r="V420" s="71">
        <v>19.99</v>
      </c>
      <c r="W420" s="67"/>
      <c r="X420" s="67"/>
      <c r="Y420" s="67"/>
      <c r="Z420" s="67"/>
      <c r="AA420" s="67"/>
      <c r="AB420" s="67"/>
      <c r="AC420" s="67"/>
    </row>
    <row r="421">
      <c r="A421" s="74">
        <v>45985.0</v>
      </c>
      <c r="B421" s="70" t="s">
        <v>2386</v>
      </c>
      <c r="C421" s="70" t="s">
        <v>1545</v>
      </c>
      <c r="D421" s="71">
        <v>10.0</v>
      </c>
      <c r="E421" s="71">
        <v>20.0</v>
      </c>
      <c r="F421" s="68"/>
      <c r="G421" s="68"/>
      <c r="H421" s="68"/>
      <c r="I421" s="69"/>
      <c r="J421" s="70" t="s">
        <v>1602</v>
      </c>
      <c r="K421" s="67"/>
      <c r="L421" s="70" t="s">
        <v>2387</v>
      </c>
      <c r="M421" s="75">
        <v>1.0</v>
      </c>
      <c r="N421" s="75">
        <v>0.0</v>
      </c>
      <c r="O421" s="75">
        <v>1.0</v>
      </c>
      <c r="P421" s="75">
        <v>0.0</v>
      </c>
      <c r="Q421" s="76" t="s">
        <v>22</v>
      </c>
      <c r="R421" s="71">
        <v>0.0</v>
      </c>
      <c r="S421" s="71">
        <v>10.0</v>
      </c>
      <c r="T421" s="67"/>
      <c r="U421" s="71">
        <v>0.25</v>
      </c>
      <c r="V421" s="71">
        <v>20.25</v>
      </c>
      <c r="W421" s="67"/>
      <c r="X421" s="67"/>
      <c r="Y421" s="67"/>
      <c r="Z421" s="67"/>
      <c r="AA421" s="67"/>
      <c r="AB421" s="67"/>
      <c r="AC421" s="67"/>
    </row>
    <row r="422">
      <c r="A422" s="74">
        <v>45985.0</v>
      </c>
      <c r="B422" s="70" t="s">
        <v>2388</v>
      </c>
      <c r="C422" s="70" t="s">
        <v>1545</v>
      </c>
      <c r="D422" s="71">
        <v>10.0</v>
      </c>
      <c r="E422" s="71">
        <v>20.0</v>
      </c>
      <c r="F422" s="68"/>
      <c r="G422" s="68"/>
      <c r="H422" s="68"/>
      <c r="I422" s="69"/>
      <c r="J422" s="70" t="s">
        <v>1602</v>
      </c>
      <c r="K422" s="67"/>
      <c r="L422" s="70" t="s">
        <v>2389</v>
      </c>
      <c r="M422" s="75">
        <v>1.0</v>
      </c>
      <c r="N422" s="75">
        <v>0.0</v>
      </c>
      <c r="O422" s="75">
        <v>1.0</v>
      </c>
      <c r="P422" s="75">
        <v>0.0</v>
      </c>
      <c r="Q422" s="70" t="s">
        <v>22</v>
      </c>
      <c r="R422" s="71">
        <v>0.0</v>
      </c>
      <c r="S422" s="71">
        <v>10.0</v>
      </c>
      <c r="T422" s="67"/>
      <c r="U422" s="71">
        <v>0.25</v>
      </c>
      <c r="V422" s="71">
        <v>20.25</v>
      </c>
      <c r="W422" s="67"/>
      <c r="X422" s="67"/>
      <c r="Y422" s="67"/>
      <c r="Z422" s="67"/>
      <c r="AA422" s="67"/>
      <c r="AB422" s="67"/>
      <c r="AC422" s="67"/>
    </row>
    <row r="423">
      <c r="A423" s="74">
        <v>45985.0</v>
      </c>
      <c r="B423" s="70" t="s">
        <v>2390</v>
      </c>
      <c r="C423" s="70" t="s">
        <v>1545</v>
      </c>
      <c r="D423" s="71">
        <v>10.0</v>
      </c>
      <c r="E423" s="71">
        <v>20.0</v>
      </c>
      <c r="F423" s="68"/>
      <c r="G423" s="68"/>
      <c r="H423" s="68"/>
      <c r="I423" s="69"/>
      <c r="J423" s="70" t="s">
        <v>1602</v>
      </c>
      <c r="K423" s="67"/>
      <c r="L423" s="70" t="s">
        <v>2391</v>
      </c>
      <c r="M423" s="75">
        <v>1.0</v>
      </c>
      <c r="N423" s="75">
        <v>0.0</v>
      </c>
      <c r="O423" s="75">
        <v>1.0</v>
      </c>
      <c r="P423" s="75">
        <v>0.0</v>
      </c>
      <c r="Q423" s="70" t="s">
        <v>22</v>
      </c>
      <c r="R423" s="71">
        <v>0.0</v>
      </c>
      <c r="S423" s="71">
        <v>10.0</v>
      </c>
      <c r="T423" s="70"/>
      <c r="U423" s="71">
        <v>0.25</v>
      </c>
      <c r="V423" s="71">
        <v>20.25</v>
      </c>
      <c r="W423" s="67"/>
      <c r="X423" s="67"/>
      <c r="Y423" s="67"/>
      <c r="Z423" s="67"/>
      <c r="AA423" s="67"/>
      <c r="AB423" s="67"/>
      <c r="AC423" s="67"/>
    </row>
    <row r="424">
      <c r="A424" s="74">
        <v>45985.0</v>
      </c>
      <c r="B424" s="70" t="s">
        <v>2392</v>
      </c>
      <c r="C424" s="70" t="s">
        <v>2393</v>
      </c>
      <c r="D424" s="71">
        <v>8.5</v>
      </c>
      <c r="E424" s="71">
        <v>17.0</v>
      </c>
      <c r="F424" s="68"/>
      <c r="G424" s="68"/>
      <c r="H424" s="71"/>
      <c r="I424" s="72"/>
      <c r="J424" s="70" t="s">
        <v>1692</v>
      </c>
      <c r="K424" s="67"/>
      <c r="L424" s="70" t="s">
        <v>2394</v>
      </c>
      <c r="M424" s="75">
        <v>1.0</v>
      </c>
      <c r="N424" s="75">
        <v>0.0</v>
      </c>
      <c r="O424" s="75">
        <v>1.0</v>
      </c>
      <c r="P424" s="75">
        <v>0.0</v>
      </c>
      <c r="Q424" s="70" t="s">
        <v>22</v>
      </c>
      <c r="R424" s="71">
        <v>0.0</v>
      </c>
      <c r="S424" s="71">
        <v>8.5</v>
      </c>
      <c r="T424" s="70"/>
      <c r="U424" s="71">
        <v>0.25</v>
      </c>
      <c r="V424" s="71">
        <v>17.25</v>
      </c>
      <c r="W424" s="67"/>
      <c r="X424" s="67"/>
      <c r="Y424" s="67"/>
      <c r="Z424" s="67"/>
      <c r="AA424" s="67"/>
      <c r="AB424" s="67"/>
      <c r="AC424" s="67"/>
    </row>
    <row r="425">
      <c r="A425" s="74">
        <v>45985.0</v>
      </c>
      <c r="B425" s="70" t="s">
        <v>2395</v>
      </c>
      <c r="C425" s="70" t="s">
        <v>2393</v>
      </c>
      <c r="D425" s="71">
        <v>8.5</v>
      </c>
      <c r="E425" s="71">
        <v>17.0</v>
      </c>
      <c r="F425" s="68"/>
      <c r="G425" s="68"/>
      <c r="H425" s="71"/>
      <c r="I425" s="72"/>
      <c r="J425" s="70" t="s">
        <v>1450</v>
      </c>
      <c r="K425" s="67"/>
      <c r="L425" s="67" t="s">
        <v>2396</v>
      </c>
      <c r="M425" s="75">
        <v>1.0</v>
      </c>
      <c r="N425" s="75">
        <v>0.0</v>
      </c>
      <c r="O425" s="75">
        <v>0.0</v>
      </c>
      <c r="P425" s="75">
        <v>1.0</v>
      </c>
      <c r="Q425" s="76" t="s">
        <v>22</v>
      </c>
      <c r="R425" s="71">
        <v>0.0</v>
      </c>
      <c r="S425" s="71">
        <v>8.5</v>
      </c>
      <c r="T425" s="70"/>
      <c r="U425" s="71">
        <v>0.25</v>
      </c>
      <c r="V425" s="71">
        <v>17.25</v>
      </c>
      <c r="W425" s="67"/>
      <c r="X425" s="67"/>
      <c r="Y425" s="67"/>
      <c r="Z425" s="67"/>
      <c r="AA425" s="67"/>
      <c r="AB425" s="67"/>
      <c r="AC425" s="67"/>
    </row>
    <row r="426">
      <c r="A426" s="74">
        <v>45985.0</v>
      </c>
      <c r="B426" s="70" t="s">
        <v>2397</v>
      </c>
      <c r="C426" s="70" t="s">
        <v>2393</v>
      </c>
      <c r="D426" s="71">
        <v>8.5</v>
      </c>
      <c r="E426" s="71">
        <v>17.0</v>
      </c>
      <c r="F426" s="68"/>
      <c r="G426" s="68"/>
      <c r="H426" s="71">
        <v>-8.5</v>
      </c>
      <c r="I426" s="72">
        <v>-1.0</v>
      </c>
      <c r="J426" s="70" t="s">
        <v>1595</v>
      </c>
      <c r="K426" s="67"/>
      <c r="L426" s="70" t="s">
        <v>2398</v>
      </c>
      <c r="M426" s="75">
        <v>1.0</v>
      </c>
      <c r="N426" s="75">
        <v>0.0</v>
      </c>
      <c r="O426" s="75">
        <v>1.0</v>
      </c>
      <c r="P426" s="75">
        <v>0.0</v>
      </c>
      <c r="Q426" s="70" t="s">
        <v>22</v>
      </c>
      <c r="R426" s="71">
        <v>0.0</v>
      </c>
      <c r="S426" s="71">
        <v>8.5</v>
      </c>
      <c r="T426" s="67"/>
      <c r="U426" s="71">
        <v>0.25</v>
      </c>
      <c r="V426" s="71">
        <v>17.25</v>
      </c>
      <c r="W426" s="67"/>
      <c r="X426" s="67"/>
      <c r="Y426" s="67"/>
      <c r="Z426" s="67"/>
      <c r="AA426" s="67"/>
      <c r="AB426" s="67"/>
      <c r="AC426" s="67"/>
    </row>
    <row r="427">
      <c r="A427" s="74">
        <v>45985.0</v>
      </c>
      <c r="B427" s="70" t="s">
        <v>2399</v>
      </c>
      <c r="C427" s="70" t="s">
        <v>2393</v>
      </c>
      <c r="D427" s="71">
        <v>8.5</v>
      </c>
      <c r="E427" s="71">
        <v>17.0</v>
      </c>
      <c r="F427" s="68"/>
      <c r="G427" s="68"/>
      <c r="H427" s="71">
        <v>-8.5</v>
      </c>
      <c r="I427" s="72">
        <v>-1.0</v>
      </c>
      <c r="J427" s="70" t="s">
        <v>1595</v>
      </c>
      <c r="K427" s="67"/>
      <c r="L427" s="67" t="s">
        <v>2400</v>
      </c>
      <c r="M427" s="75">
        <v>1.0</v>
      </c>
      <c r="N427" s="75">
        <v>0.0</v>
      </c>
      <c r="O427" s="75">
        <v>1.0</v>
      </c>
      <c r="P427" s="75">
        <v>0.0</v>
      </c>
      <c r="Q427" s="76" t="s">
        <v>22</v>
      </c>
      <c r="R427" s="71">
        <v>0.0</v>
      </c>
      <c r="S427" s="71">
        <v>8.5</v>
      </c>
      <c r="T427" s="70"/>
      <c r="U427" s="71">
        <v>0.25</v>
      </c>
      <c r="V427" s="71">
        <v>17.25</v>
      </c>
      <c r="W427" s="67"/>
      <c r="X427" s="67"/>
      <c r="Y427" s="67"/>
      <c r="Z427" s="67"/>
      <c r="AA427" s="67"/>
      <c r="AB427" s="67"/>
      <c r="AC427" s="67"/>
    </row>
    <row r="428">
      <c r="A428" s="74">
        <v>45985.0</v>
      </c>
      <c r="B428" s="70" t="s">
        <v>2401</v>
      </c>
      <c r="C428" s="70" t="s">
        <v>2393</v>
      </c>
      <c r="D428" s="71">
        <v>8.5</v>
      </c>
      <c r="E428" s="71">
        <v>17.0</v>
      </c>
      <c r="F428" s="68"/>
      <c r="G428" s="68"/>
      <c r="H428" s="71">
        <v>-8.5</v>
      </c>
      <c r="I428" s="72">
        <v>-1.0</v>
      </c>
      <c r="J428" s="70" t="s">
        <v>1595</v>
      </c>
      <c r="K428" s="67"/>
      <c r="L428" s="70" t="s">
        <v>2402</v>
      </c>
      <c r="M428" s="75">
        <v>1.0</v>
      </c>
      <c r="N428" s="75">
        <v>0.0</v>
      </c>
      <c r="O428" s="75">
        <v>1.0</v>
      </c>
      <c r="P428" s="75">
        <v>0.0</v>
      </c>
      <c r="Q428" s="76" t="s">
        <v>22</v>
      </c>
      <c r="R428" s="71">
        <v>0.0</v>
      </c>
      <c r="S428" s="71">
        <v>8.5</v>
      </c>
      <c r="T428" s="67"/>
      <c r="U428" s="71">
        <v>0.25</v>
      </c>
      <c r="V428" s="71">
        <v>17.25</v>
      </c>
      <c r="W428" s="67"/>
      <c r="X428" s="67"/>
      <c r="Y428" s="67"/>
      <c r="Z428" s="67"/>
      <c r="AA428" s="67"/>
      <c r="AB428" s="67"/>
      <c r="AC428" s="67"/>
    </row>
    <row r="429">
      <c r="A429" s="74">
        <v>45985.0</v>
      </c>
      <c r="B429" s="70" t="s">
        <v>2403</v>
      </c>
      <c r="C429" s="70" t="s">
        <v>1767</v>
      </c>
      <c r="D429" s="71">
        <v>8.0</v>
      </c>
      <c r="E429" s="71">
        <v>16.0</v>
      </c>
      <c r="F429" s="68"/>
      <c r="G429" s="68"/>
      <c r="H429" s="68"/>
      <c r="I429" s="69"/>
      <c r="J429" s="70" t="s">
        <v>1450</v>
      </c>
      <c r="K429" s="67"/>
      <c r="L429" s="70" t="s">
        <v>2404</v>
      </c>
      <c r="M429" s="75">
        <v>1.0</v>
      </c>
      <c r="N429" s="75">
        <v>0.0</v>
      </c>
      <c r="O429" s="75">
        <v>0.0</v>
      </c>
      <c r="P429" s="75">
        <v>1.0</v>
      </c>
      <c r="Q429" s="70" t="s">
        <v>22</v>
      </c>
      <c r="R429" s="71">
        <v>0.0</v>
      </c>
      <c r="S429" s="71">
        <v>8.0</v>
      </c>
      <c r="T429" s="67"/>
      <c r="U429" s="71">
        <v>0.25</v>
      </c>
      <c r="V429" s="71">
        <v>16.25</v>
      </c>
      <c r="W429" s="67"/>
      <c r="X429" s="67"/>
      <c r="Y429" s="67"/>
      <c r="Z429" s="67"/>
      <c r="AA429" s="67"/>
      <c r="AB429" s="67"/>
      <c r="AC429" s="67"/>
    </row>
    <row r="430">
      <c r="A430" s="74">
        <v>45985.0</v>
      </c>
      <c r="B430" s="70" t="s">
        <v>2405</v>
      </c>
      <c r="C430" s="70" t="s">
        <v>1767</v>
      </c>
      <c r="D430" s="71">
        <v>8.0</v>
      </c>
      <c r="E430" s="71">
        <v>16.0</v>
      </c>
      <c r="F430" s="68"/>
      <c r="G430" s="68"/>
      <c r="H430" s="68"/>
      <c r="I430" s="69"/>
      <c r="J430" s="70" t="s">
        <v>1602</v>
      </c>
      <c r="K430" s="67"/>
      <c r="L430" s="70" t="s">
        <v>2406</v>
      </c>
      <c r="M430" s="75">
        <v>1.0</v>
      </c>
      <c r="N430" s="75">
        <v>0.0</v>
      </c>
      <c r="O430" s="75">
        <v>1.0</v>
      </c>
      <c r="P430" s="75">
        <v>0.0</v>
      </c>
      <c r="Q430" s="70" t="s">
        <v>22</v>
      </c>
      <c r="R430" s="71">
        <v>0.0</v>
      </c>
      <c r="S430" s="71">
        <v>8.0</v>
      </c>
      <c r="T430" s="67"/>
      <c r="U430" s="71">
        <v>0.25</v>
      </c>
      <c r="V430" s="71">
        <v>16.25</v>
      </c>
      <c r="W430" s="67"/>
      <c r="X430" s="67"/>
      <c r="Y430" s="67"/>
      <c r="Z430" s="67"/>
      <c r="AA430" s="67"/>
      <c r="AB430" s="67"/>
      <c r="AC430" s="67"/>
    </row>
    <row r="431">
      <c r="A431" s="74">
        <v>45985.0</v>
      </c>
      <c r="B431" s="70" t="s">
        <v>2407</v>
      </c>
      <c r="C431" s="70" t="s">
        <v>2408</v>
      </c>
      <c r="D431" s="71">
        <v>9.5</v>
      </c>
      <c r="E431" s="71">
        <v>19.0</v>
      </c>
      <c r="F431" s="68"/>
      <c r="G431" s="68"/>
      <c r="H431" s="68"/>
      <c r="I431" s="69"/>
      <c r="J431" s="70" t="s">
        <v>1602</v>
      </c>
      <c r="K431" s="67"/>
      <c r="L431" s="70" t="s">
        <v>2409</v>
      </c>
      <c r="M431" s="75">
        <v>1.0</v>
      </c>
      <c r="N431" s="75">
        <v>0.0</v>
      </c>
      <c r="O431" s="75">
        <v>1.0</v>
      </c>
      <c r="P431" s="75">
        <v>0.0</v>
      </c>
      <c r="Q431" s="70" t="s">
        <v>22</v>
      </c>
      <c r="R431" s="71">
        <v>0.0</v>
      </c>
      <c r="S431" s="71">
        <v>9.5</v>
      </c>
      <c r="T431" s="67"/>
      <c r="U431" s="71">
        <v>0.25</v>
      </c>
      <c r="V431" s="71">
        <v>19.25</v>
      </c>
      <c r="W431" s="67"/>
      <c r="X431" s="67"/>
      <c r="Y431" s="67"/>
      <c r="Z431" s="67"/>
      <c r="AA431" s="67"/>
      <c r="AB431" s="67"/>
      <c r="AC431" s="67"/>
    </row>
    <row r="432">
      <c r="A432" s="74">
        <v>45985.0</v>
      </c>
      <c r="B432" s="70" t="s">
        <v>2410</v>
      </c>
      <c r="C432" s="70" t="s">
        <v>2408</v>
      </c>
      <c r="D432" s="71">
        <v>9.5</v>
      </c>
      <c r="E432" s="71">
        <v>19.0</v>
      </c>
      <c r="F432" s="68"/>
      <c r="G432" s="68"/>
      <c r="H432" s="71">
        <v>-9.5</v>
      </c>
      <c r="I432" s="72">
        <v>-1.0</v>
      </c>
      <c r="J432" s="70" t="s">
        <v>1595</v>
      </c>
      <c r="K432" s="67"/>
      <c r="L432" s="70" t="s">
        <v>2411</v>
      </c>
      <c r="M432" s="75">
        <v>1.0</v>
      </c>
      <c r="N432" s="75">
        <v>0.0</v>
      </c>
      <c r="O432" s="75">
        <v>1.0</v>
      </c>
      <c r="P432" s="75">
        <v>0.0</v>
      </c>
      <c r="Q432" s="70" t="s">
        <v>22</v>
      </c>
      <c r="R432" s="71">
        <v>0.0</v>
      </c>
      <c r="S432" s="71">
        <v>9.5</v>
      </c>
      <c r="T432" s="67"/>
      <c r="U432" s="71">
        <v>0.25</v>
      </c>
      <c r="V432" s="71">
        <v>19.25</v>
      </c>
      <c r="W432" s="67"/>
      <c r="X432" s="67"/>
      <c r="Y432" s="67"/>
      <c r="Z432" s="67"/>
      <c r="AA432" s="67"/>
      <c r="AB432" s="67"/>
      <c r="AC432" s="67"/>
    </row>
    <row r="433">
      <c r="A433" s="74">
        <v>45985.0</v>
      </c>
      <c r="B433" s="70" t="s">
        <v>2412</v>
      </c>
      <c r="C433" s="70" t="s">
        <v>2408</v>
      </c>
      <c r="D433" s="71">
        <v>9.5</v>
      </c>
      <c r="E433" s="71">
        <v>19.0</v>
      </c>
      <c r="F433" s="68"/>
      <c r="G433" s="68"/>
      <c r="H433" s="71">
        <v>-9.5</v>
      </c>
      <c r="I433" s="72">
        <v>-1.0</v>
      </c>
      <c r="J433" s="70" t="s">
        <v>1595</v>
      </c>
      <c r="K433" s="67"/>
      <c r="L433" s="70" t="s">
        <v>2413</v>
      </c>
      <c r="M433" s="75">
        <v>1.0</v>
      </c>
      <c r="N433" s="75">
        <v>0.0</v>
      </c>
      <c r="O433" s="75">
        <v>1.0</v>
      </c>
      <c r="P433" s="75">
        <v>0.0</v>
      </c>
      <c r="Q433" s="76" t="s">
        <v>22</v>
      </c>
      <c r="R433" s="71">
        <v>0.0</v>
      </c>
      <c r="S433" s="71">
        <v>9.5</v>
      </c>
      <c r="T433" s="70"/>
      <c r="U433" s="71">
        <v>0.25</v>
      </c>
      <c r="V433" s="71">
        <v>19.25</v>
      </c>
      <c r="W433" s="67"/>
      <c r="X433" s="67"/>
      <c r="Y433" s="67"/>
      <c r="Z433" s="67"/>
      <c r="AA433" s="67"/>
      <c r="AB433" s="67"/>
      <c r="AC433" s="67"/>
    </row>
    <row r="434">
      <c r="A434" s="74">
        <v>45985.0</v>
      </c>
      <c r="B434" s="70" t="s">
        <v>2414</v>
      </c>
      <c r="C434" s="70" t="s">
        <v>2408</v>
      </c>
      <c r="D434" s="71">
        <v>9.5</v>
      </c>
      <c r="E434" s="71">
        <v>19.0</v>
      </c>
      <c r="F434" s="68"/>
      <c r="G434" s="68"/>
      <c r="H434" s="68"/>
      <c r="I434" s="69"/>
      <c r="J434" s="70" t="s">
        <v>1602</v>
      </c>
      <c r="K434" s="67"/>
      <c r="L434" s="70" t="s">
        <v>2415</v>
      </c>
      <c r="M434" s="75">
        <v>1.0</v>
      </c>
      <c r="N434" s="75">
        <v>0.0</v>
      </c>
      <c r="O434" s="75">
        <v>1.0</v>
      </c>
      <c r="P434" s="75">
        <v>0.0</v>
      </c>
      <c r="Q434" s="70" t="s">
        <v>22</v>
      </c>
      <c r="R434" s="71">
        <v>0.0</v>
      </c>
      <c r="S434" s="71">
        <v>9.5</v>
      </c>
      <c r="T434" s="67"/>
      <c r="U434" s="71">
        <v>0.25</v>
      </c>
      <c r="V434" s="71">
        <v>19.25</v>
      </c>
      <c r="W434" s="67"/>
      <c r="X434" s="67"/>
      <c r="Y434" s="67"/>
      <c r="Z434" s="67"/>
      <c r="AA434" s="67"/>
      <c r="AB434" s="67"/>
      <c r="AC434" s="67"/>
    </row>
    <row r="435">
      <c r="A435" s="74">
        <v>45985.0</v>
      </c>
      <c r="B435" s="70" t="s">
        <v>2416</v>
      </c>
      <c r="C435" s="70" t="s">
        <v>2417</v>
      </c>
      <c r="D435" s="71">
        <v>5.4</v>
      </c>
      <c r="E435" s="71">
        <v>14.99</v>
      </c>
      <c r="F435" s="68"/>
      <c r="G435" s="68"/>
      <c r="H435" s="68"/>
      <c r="I435" s="69"/>
      <c r="J435" s="70" t="s">
        <v>1602</v>
      </c>
      <c r="K435" s="67"/>
      <c r="L435" s="70" t="s">
        <v>2418</v>
      </c>
      <c r="M435" s="75">
        <v>1.0</v>
      </c>
      <c r="N435" s="75">
        <v>0.0</v>
      </c>
      <c r="O435" s="75">
        <v>1.0</v>
      </c>
      <c r="P435" s="75">
        <v>0.0</v>
      </c>
      <c r="Q435" s="70" t="s">
        <v>22</v>
      </c>
      <c r="R435" s="71">
        <v>0.0</v>
      </c>
      <c r="S435" s="71">
        <v>5.4</v>
      </c>
      <c r="T435" s="67"/>
      <c r="U435" s="71">
        <v>0.25</v>
      </c>
      <c r="V435" s="71">
        <v>15.24</v>
      </c>
      <c r="W435" s="67"/>
      <c r="X435" s="67"/>
      <c r="Y435" s="67"/>
      <c r="Z435" s="67"/>
      <c r="AA435" s="67"/>
      <c r="AB435" s="67"/>
      <c r="AC435" s="67"/>
    </row>
    <row r="436">
      <c r="A436" s="74">
        <v>45985.0</v>
      </c>
      <c r="B436" s="70" t="s">
        <v>2419</v>
      </c>
      <c r="C436" s="70" t="s">
        <v>2420</v>
      </c>
      <c r="D436" s="71">
        <v>6.0</v>
      </c>
      <c r="E436" s="71">
        <v>19.99</v>
      </c>
      <c r="F436" s="68"/>
      <c r="G436" s="68"/>
      <c r="H436" s="71">
        <v>-6.0</v>
      </c>
      <c r="I436" s="72">
        <v>-1.0</v>
      </c>
      <c r="J436" s="70" t="s">
        <v>1595</v>
      </c>
      <c r="K436" s="67"/>
      <c r="L436" s="70" t="s">
        <v>2421</v>
      </c>
      <c r="M436" s="75">
        <v>1.0</v>
      </c>
      <c r="N436" s="75">
        <v>0.0</v>
      </c>
      <c r="O436" s="75">
        <v>1.0</v>
      </c>
      <c r="P436" s="75">
        <v>0.0</v>
      </c>
      <c r="Q436" s="70" t="s">
        <v>22</v>
      </c>
      <c r="R436" s="71">
        <v>0.0</v>
      </c>
      <c r="S436" s="71">
        <v>6.0</v>
      </c>
      <c r="T436" s="67"/>
      <c r="U436" s="71">
        <v>0.25</v>
      </c>
      <c r="V436" s="71">
        <v>20.24</v>
      </c>
      <c r="W436" s="67"/>
      <c r="X436" s="67"/>
      <c r="Y436" s="67"/>
      <c r="Z436" s="67"/>
      <c r="AA436" s="67"/>
      <c r="AB436" s="67"/>
      <c r="AC436" s="67"/>
    </row>
    <row r="437">
      <c r="A437" s="74">
        <v>45985.0</v>
      </c>
      <c r="B437" s="70" t="s">
        <v>2422</v>
      </c>
      <c r="C437" s="70" t="s">
        <v>2420</v>
      </c>
      <c r="D437" s="71">
        <v>6.0</v>
      </c>
      <c r="E437" s="71">
        <v>19.99</v>
      </c>
      <c r="F437" s="68"/>
      <c r="G437" s="68"/>
      <c r="H437" s="71">
        <v>-6.0</v>
      </c>
      <c r="I437" s="72">
        <v>-1.0</v>
      </c>
      <c r="J437" s="70" t="s">
        <v>1595</v>
      </c>
      <c r="K437" s="67"/>
      <c r="L437" s="70" t="s">
        <v>2423</v>
      </c>
      <c r="M437" s="75">
        <v>1.0</v>
      </c>
      <c r="N437" s="75">
        <v>0.0</v>
      </c>
      <c r="O437" s="75">
        <v>1.0</v>
      </c>
      <c r="P437" s="75">
        <v>0.0</v>
      </c>
      <c r="Q437" s="70" t="s">
        <v>22</v>
      </c>
      <c r="R437" s="71">
        <v>0.0</v>
      </c>
      <c r="S437" s="71">
        <v>6.0</v>
      </c>
      <c r="T437" s="67"/>
      <c r="U437" s="71">
        <v>0.25</v>
      </c>
      <c r="V437" s="71">
        <v>20.24</v>
      </c>
      <c r="W437" s="67"/>
      <c r="X437" s="67"/>
      <c r="Y437" s="67"/>
      <c r="Z437" s="67"/>
      <c r="AA437" s="67"/>
      <c r="AB437" s="67"/>
      <c r="AC437" s="67"/>
    </row>
    <row r="438">
      <c r="A438" s="74">
        <v>45985.0</v>
      </c>
      <c r="B438" s="70" t="s">
        <v>2424</v>
      </c>
      <c r="C438" s="70" t="s">
        <v>2420</v>
      </c>
      <c r="D438" s="71">
        <v>6.0</v>
      </c>
      <c r="E438" s="71">
        <v>19.99</v>
      </c>
      <c r="F438" s="68"/>
      <c r="G438" s="68"/>
      <c r="H438" s="68"/>
      <c r="I438" s="69"/>
      <c r="J438" s="70" t="s">
        <v>1450</v>
      </c>
      <c r="K438" s="67"/>
      <c r="L438" s="70" t="s">
        <v>2425</v>
      </c>
      <c r="M438" s="75">
        <v>1.0</v>
      </c>
      <c r="N438" s="75">
        <v>0.0</v>
      </c>
      <c r="O438" s="75">
        <v>0.0</v>
      </c>
      <c r="P438" s="75">
        <v>1.0</v>
      </c>
      <c r="Q438" s="70" t="s">
        <v>22</v>
      </c>
      <c r="R438" s="71">
        <v>0.0</v>
      </c>
      <c r="S438" s="71">
        <v>6.0</v>
      </c>
      <c r="T438" s="67"/>
      <c r="U438" s="71">
        <v>0.25</v>
      </c>
      <c r="V438" s="71">
        <v>20.24</v>
      </c>
      <c r="W438" s="67"/>
      <c r="X438" s="67"/>
      <c r="Y438" s="67"/>
      <c r="Z438" s="67"/>
      <c r="AA438" s="67"/>
      <c r="AB438" s="67"/>
      <c r="AC438" s="67"/>
    </row>
    <row r="439">
      <c r="A439" s="74">
        <v>45985.0</v>
      </c>
      <c r="B439" s="70" t="s">
        <v>2426</v>
      </c>
      <c r="C439" s="70" t="s">
        <v>2420</v>
      </c>
      <c r="D439" s="71">
        <v>6.0</v>
      </c>
      <c r="E439" s="71">
        <v>19.99</v>
      </c>
      <c r="F439" s="68"/>
      <c r="G439" s="68"/>
      <c r="H439" s="68"/>
      <c r="I439" s="69"/>
      <c r="J439" s="70" t="s">
        <v>1450</v>
      </c>
      <c r="K439" s="67"/>
      <c r="L439" s="70" t="s">
        <v>2427</v>
      </c>
      <c r="M439" s="75">
        <v>1.0</v>
      </c>
      <c r="N439" s="75">
        <v>0.0</v>
      </c>
      <c r="O439" s="75">
        <v>0.0</v>
      </c>
      <c r="P439" s="75">
        <v>1.0</v>
      </c>
      <c r="Q439" s="70" t="s">
        <v>22</v>
      </c>
      <c r="R439" s="71">
        <v>0.0</v>
      </c>
      <c r="S439" s="71">
        <v>6.0</v>
      </c>
      <c r="T439" s="67"/>
      <c r="U439" s="71">
        <v>0.25</v>
      </c>
      <c r="V439" s="71">
        <v>20.24</v>
      </c>
      <c r="W439" s="67"/>
      <c r="X439" s="67"/>
      <c r="Y439" s="67"/>
      <c r="Z439" s="67"/>
      <c r="AA439" s="67"/>
      <c r="AB439" s="67"/>
      <c r="AC439" s="67"/>
    </row>
    <row r="440">
      <c r="A440" s="74">
        <v>45985.0</v>
      </c>
      <c r="B440" s="70" t="s">
        <v>2428</v>
      </c>
      <c r="C440" s="70" t="s">
        <v>2420</v>
      </c>
      <c r="D440" s="71">
        <v>6.0</v>
      </c>
      <c r="E440" s="71">
        <v>19.99</v>
      </c>
      <c r="F440" s="68"/>
      <c r="G440" s="68"/>
      <c r="H440" s="71">
        <v>-6.0</v>
      </c>
      <c r="I440" s="72">
        <v>-1.0</v>
      </c>
      <c r="J440" s="70" t="s">
        <v>1595</v>
      </c>
      <c r="K440" s="67"/>
      <c r="L440" s="70" t="s">
        <v>2429</v>
      </c>
      <c r="M440" s="75">
        <v>1.0</v>
      </c>
      <c r="N440" s="75">
        <v>0.0</v>
      </c>
      <c r="O440" s="75">
        <v>1.0</v>
      </c>
      <c r="P440" s="75">
        <v>0.0</v>
      </c>
      <c r="Q440" s="70" t="s">
        <v>22</v>
      </c>
      <c r="R440" s="71">
        <v>0.0</v>
      </c>
      <c r="S440" s="71">
        <v>6.0</v>
      </c>
      <c r="T440" s="67"/>
      <c r="U440" s="71">
        <v>0.25</v>
      </c>
      <c r="V440" s="71">
        <v>20.24</v>
      </c>
      <c r="W440" s="67"/>
      <c r="X440" s="67"/>
      <c r="Y440" s="67"/>
      <c r="Z440" s="67"/>
      <c r="AA440" s="67"/>
      <c r="AB440" s="67"/>
      <c r="AC440" s="67"/>
    </row>
    <row r="441">
      <c r="A441" s="74">
        <v>45985.0</v>
      </c>
      <c r="B441" s="70" t="s">
        <v>2430</v>
      </c>
      <c r="C441" s="70" t="s">
        <v>2431</v>
      </c>
      <c r="D441" s="71">
        <v>7.5</v>
      </c>
      <c r="E441" s="71">
        <v>19.99</v>
      </c>
      <c r="F441" s="68"/>
      <c r="G441" s="68"/>
      <c r="H441" s="68"/>
      <c r="I441" s="69"/>
      <c r="J441" s="70" t="s">
        <v>1450</v>
      </c>
      <c r="K441" s="67"/>
      <c r="L441" s="70" t="s">
        <v>2432</v>
      </c>
      <c r="M441" s="75">
        <v>1.0</v>
      </c>
      <c r="N441" s="75">
        <v>0.0</v>
      </c>
      <c r="O441" s="75">
        <v>0.0</v>
      </c>
      <c r="P441" s="75">
        <v>1.0</v>
      </c>
      <c r="Q441" s="70" t="s">
        <v>22</v>
      </c>
      <c r="R441" s="71">
        <v>0.0</v>
      </c>
      <c r="S441" s="71">
        <v>7.5</v>
      </c>
      <c r="T441" s="67"/>
      <c r="U441" s="71">
        <v>0.25</v>
      </c>
      <c r="V441" s="71">
        <v>20.24</v>
      </c>
      <c r="W441" s="67"/>
      <c r="X441" s="67"/>
      <c r="Y441" s="67"/>
      <c r="Z441" s="67"/>
      <c r="AA441" s="67"/>
      <c r="AB441" s="67"/>
      <c r="AC441" s="67"/>
    </row>
    <row r="442">
      <c r="A442" s="74">
        <v>45985.0</v>
      </c>
      <c r="B442" s="70" t="s">
        <v>2433</v>
      </c>
      <c r="C442" s="70" t="s">
        <v>2431</v>
      </c>
      <c r="D442" s="71">
        <v>7.5</v>
      </c>
      <c r="E442" s="71">
        <v>19.99</v>
      </c>
      <c r="F442" s="68"/>
      <c r="G442" s="68"/>
      <c r="H442" s="68"/>
      <c r="I442" s="69"/>
      <c r="J442" s="70" t="s">
        <v>1450</v>
      </c>
      <c r="K442" s="67"/>
      <c r="L442" s="70" t="s">
        <v>2434</v>
      </c>
      <c r="M442" s="75">
        <v>1.0</v>
      </c>
      <c r="N442" s="75">
        <v>0.0</v>
      </c>
      <c r="O442" s="75">
        <v>0.0</v>
      </c>
      <c r="P442" s="75">
        <v>1.0</v>
      </c>
      <c r="Q442" s="70" t="s">
        <v>22</v>
      </c>
      <c r="R442" s="71">
        <v>0.0</v>
      </c>
      <c r="S442" s="71">
        <v>7.5</v>
      </c>
      <c r="T442" s="67"/>
      <c r="U442" s="71">
        <v>0.25</v>
      </c>
      <c r="V442" s="71">
        <v>20.24</v>
      </c>
      <c r="W442" s="67"/>
      <c r="X442" s="67"/>
      <c r="Y442" s="67"/>
      <c r="Z442" s="67"/>
      <c r="AA442" s="67"/>
      <c r="AB442" s="67"/>
      <c r="AC442" s="67"/>
    </row>
    <row r="443">
      <c r="A443" s="74">
        <v>45985.0</v>
      </c>
      <c r="B443" s="70" t="s">
        <v>2435</v>
      </c>
      <c r="C443" s="70" t="s">
        <v>2431</v>
      </c>
      <c r="D443" s="71">
        <v>7.5</v>
      </c>
      <c r="E443" s="71">
        <v>19.99</v>
      </c>
      <c r="F443" s="68"/>
      <c r="G443" s="68"/>
      <c r="H443" s="68"/>
      <c r="I443" s="69"/>
      <c r="J443" s="70" t="s">
        <v>1450</v>
      </c>
      <c r="K443" s="67"/>
      <c r="L443" s="70" t="s">
        <v>2436</v>
      </c>
      <c r="M443" s="75">
        <v>1.0</v>
      </c>
      <c r="N443" s="75">
        <v>0.0</v>
      </c>
      <c r="O443" s="75">
        <v>0.0</v>
      </c>
      <c r="P443" s="75">
        <v>1.0</v>
      </c>
      <c r="Q443" s="70" t="s">
        <v>22</v>
      </c>
      <c r="R443" s="71">
        <v>0.0</v>
      </c>
      <c r="S443" s="71">
        <v>7.5</v>
      </c>
      <c r="T443" s="67"/>
      <c r="U443" s="71">
        <v>0.25</v>
      </c>
      <c r="V443" s="71">
        <v>20.24</v>
      </c>
      <c r="W443" s="67"/>
      <c r="X443" s="67"/>
      <c r="Y443" s="67"/>
      <c r="Z443" s="67"/>
      <c r="AA443" s="67"/>
      <c r="AB443" s="67"/>
      <c r="AC443" s="67"/>
    </row>
    <row r="444">
      <c r="A444" s="74">
        <v>45985.0</v>
      </c>
      <c r="B444" s="70" t="s">
        <v>2437</v>
      </c>
      <c r="C444" s="70" t="s">
        <v>2438</v>
      </c>
      <c r="D444" s="71">
        <v>6.3</v>
      </c>
      <c r="E444" s="71">
        <v>14.99</v>
      </c>
      <c r="F444" s="68"/>
      <c r="G444" s="68"/>
      <c r="H444" s="68"/>
      <c r="I444" s="69"/>
      <c r="J444" s="70" t="s">
        <v>1450</v>
      </c>
      <c r="K444" s="67"/>
      <c r="L444" s="70" t="s">
        <v>2439</v>
      </c>
      <c r="M444" s="75">
        <v>1.0</v>
      </c>
      <c r="N444" s="75">
        <v>0.0</v>
      </c>
      <c r="O444" s="75">
        <v>0.0</v>
      </c>
      <c r="P444" s="75">
        <v>1.0</v>
      </c>
      <c r="Q444" s="70" t="s">
        <v>22</v>
      </c>
      <c r="R444" s="71">
        <v>0.0</v>
      </c>
      <c r="S444" s="71">
        <v>6.3</v>
      </c>
      <c r="T444" s="67"/>
      <c r="U444" s="71">
        <v>0.25</v>
      </c>
      <c r="V444" s="71">
        <v>15.24</v>
      </c>
      <c r="W444" s="67"/>
      <c r="X444" s="67"/>
      <c r="Y444" s="67"/>
      <c r="Z444" s="67"/>
      <c r="AA444" s="67"/>
      <c r="AB444" s="67"/>
      <c r="AC444" s="67"/>
    </row>
    <row r="445">
      <c r="A445" s="74">
        <v>45985.0</v>
      </c>
      <c r="B445" s="70" t="s">
        <v>2440</v>
      </c>
      <c r="C445" s="70" t="s">
        <v>2438</v>
      </c>
      <c r="D445" s="71">
        <v>6.3</v>
      </c>
      <c r="E445" s="71">
        <v>14.99</v>
      </c>
      <c r="F445" s="68"/>
      <c r="G445" s="68"/>
      <c r="H445" s="68"/>
      <c r="I445" s="69"/>
      <c r="J445" s="70" t="s">
        <v>1450</v>
      </c>
      <c r="K445" s="67"/>
      <c r="L445" s="70" t="s">
        <v>2441</v>
      </c>
      <c r="M445" s="75">
        <v>1.0</v>
      </c>
      <c r="N445" s="75">
        <v>0.0</v>
      </c>
      <c r="O445" s="75">
        <v>0.0</v>
      </c>
      <c r="P445" s="75">
        <v>1.0</v>
      </c>
      <c r="Q445" s="70" t="s">
        <v>22</v>
      </c>
      <c r="R445" s="71">
        <v>0.0</v>
      </c>
      <c r="S445" s="71">
        <v>6.3</v>
      </c>
      <c r="T445" s="67"/>
      <c r="U445" s="71">
        <v>0.25</v>
      </c>
      <c r="V445" s="71">
        <v>15.24</v>
      </c>
      <c r="W445" s="67"/>
      <c r="X445" s="67"/>
      <c r="Y445" s="67"/>
      <c r="Z445" s="67"/>
      <c r="AA445" s="67"/>
      <c r="AB445" s="67"/>
      <c r="AC445" s="67"/>
    </row>
    <row r="446">
      <c r="A446" s="74">
        <v>45985.0</v>
      </c>
      <c r="B446" s="70" t="s">
        <v>2442</v>
      </c>
      <c r="C446" s="70" t="s">
        <v>2438</v>
      </c>
      <c r="D446" s="71">
        <v>6.3</v>
      </c>
      <c r="E446" s="71">
        <v>14.99</v>
      </c>
      <c r="F446" s="68"/>
      <c r="G446" s="68"/>
      <c r="H446" s="68"/>
      <c r="I446" s="69"/>
      <c r="J446" s="70" t="s">
        <v>1450</v>
      </c>
      <c r="K446" s="67"/>
      <c r="L446" s="70" t="s">
        <v>2443</v>
      </c>
      <c r="M446" s="75">
        <v>1.0</v>
      </c>
      <c r="N446" s="75">
        <v>0.0</v>
      </c>
      <c r="O446" s="75">
        <v>0.0</v>
      </c>
      <c r="P446" s="75">
        <v>1.0</v>
      </c>
      <c r="Q446" s="70" t="s">
        <v>22</v>
      </c>
      <c r="R446" s="71">
        <v>0.0</v>
      </c>
      <c r="S446" s="71">
        <v>6.3</v>
      </c>
      <c r="T446" s="67"/>
      <c r="U446" s="71">
        <v>0.25</v>
      </c>
      <c r="V446" s="71">
        <v>15.24</v>
      </c>
      <c r="W446" s="67"/>
      <c r="X446" s="67"/>
      <c r="Y446" s="67"/>
      <c r="Z446" s="67"/>
      <c r="AA446" s="67"/>
      <c r="AB446" s="67"/>
      <c r="AC446" s="67"/>
    </row>
    <row r="447">
      <c r="A447" s="74">
        <v>45986.0</v>
      </c>
      <c r="B447" s="70" t="s">
        <v>2444</v>
      </c>
      <c r="C447" s="70" t="s">
        <v>1530</v>
      </c>
      <c r="D447" s="71">
        <v>5.79</v>
      </c>
      <c r="E447" s="71">
        <v>15.0</v>
      </c>
      <c r="F447" s="68"/>
      <c r="G447" s="71">
        <v>20.0</v>
      </c>
      <c r="H447" s="71">
        <v>14.21</v>
      </c>
      <c r="I447" s="72">
        <v>0.7105</v>
      </c>
      <c r="J447" s="70" t="s">
        <v>1626</v>
      </c>
      <c r="K447" s="67"/>
      <c r="L447" s="70" t="s">
        <v>2445</v>
      </c>
      <c r="M447" s="75">
        <v>1.0</v>
      </c>
      <c r="N447" s="75">
        <v>1.0</v>
      </c>
      <c r="O447" s="75">
        <v>0.0</v>
      </c>
      <c r="P447" s="75">
        <v>0.0</v>
      </c>
      <c r="Q447" s="76" t="s">
        <v>22</v>
      </c>
      <c r="R447" s="71">
        <v>0.0</v>
      </c>
      <c r="S447" s="71">
        <v>5.79</v>
      </c>
      <c r="T447" s="67"/>
      <c r="U447" s="71">
        <v>0.0</v>
      </c>
      <c r="V447" s="71">
        <v>15.0</v>
      </c>
      <c r="W447" s="67"/>
      <c r="X447" s="67"/>
      <c r="Y447" s="67"/>
      <c r="Z447" s="67"/>
      <c r="AA447" s="67"/>
      <c r="AB447" s="67"/>
      <c r="AC447" s="67"/>
    </row>
    <row r="448">
      <c r="A448" s="74">
        <v>45986.0</v>
      </c>
      <c r="B448" s="70" t="s">
        <v>2446</v>
      </c>
      <c r="C448" s="70" t="s">
        <v>1458</v>
      </c>
      <c r="D448" s="71">
        <v>18.0</v>
      </c>
      <c r="E448" s="71">
        <v>24.99</v>
      </c>
      <c r="F448" s="68"/>
      <c r="G448" s="68"/>
      <c r="H448" s="68"/>
      <c r="I448" s="69"/>
      <c r="J448" s="70" t="s">
        <v>1450</v>
      </c>
      <c r="K448" s="67"/>
      <c r="L448" s="70" t="s">
        <v>2447</v>
      </c>
      <c r="M448" s="75">
        <v>1.0</v>
      </c>
      <c r="N448" s="75">
        <v>0.0</v>
      </c>
      <c r="O448" s="75">
        <v>0.0</v>
      </c>
      <c r="P448" s="75">
        <v>1.0</v>
      </c>
      <c r="Q448" s="70" t="s">
        <v>22</v>
      </c>
      <c r="R448" s="71">
        <v>0.0</v>
      </c>
      <c r="S448" s="71">
        <v>18.0</v>
      </c>
      <c r="T448" s="67"/>
      <c r="U448" s="71">
        <v>0.25</v>
      </c>
      <c r="V448" s="71">
        <v>25.24</v>
      </c>
      <c r="W448" s="67"/>
      <c r="X448" s="67"/>
      <c r="Y448" s="67"/>
      <c r="Z448" s="67"/>
      <c r="AA448" s="67"/>
      <c r="AB448" s="67"/>
      <c r="AC448" s="67"/>
    </row>
    <row r="449">
      <c r="A449" s="74">
        <v>45986.0</v>
      </c>
      <c r="B449" s="70" t="s">
        <v>2448</v>
      </c>
      <c r="C449" s="70" t="s">
        <v>1458</v>
      </c>
      <c r="D449" s="71">
        <v>18.0</v>
      </c>
      <c r="E449" s="71">
        <v>24.99</v>
      </c>
      <c r="F449" s="68"/>
      <c r="G449" s="68"/>
      <c r="H449" s="68"/>
      <c r="I449" s="69"/>
      <c r="J449" s="70" t="s">
        <v>1450</v>
      </c>
      <c r="K449" s="67"/>
      <c r="L449" s="70" t="s">
        <v>2449</v>
      </c>
      <c r="M449" s="75">
        <v>1.0</v>
      </c>
      <c r="N449" s="75">
        <v>0.0</v>
      </c>
      <c r="O449" s="75">
        <v>0.0</v>
      </c>
      <c r="P449" s="75">
        <v>1.0</v>
      </c>
      <c r="Q449" s="70" t="s">
        <v>22</v>
      </c>
      <c r="R449" s="71">
        <v>0.0</v>
      </c>
      <c r="S449" s="71">
        <v>18.0</v>
      </c>
      <c r="T449" s="67"/>
      <c r="U449" s="71">
        <v>0.25</v>
      </c>
      <c r="V449" s="71">
        <v>25.24</v>
      </c>
      <c r="W449" s="67"/>
      <c r="X449" s="67"/>
      <c r="Y449" s="67"/>
      <c r="Z449" s="67"/>
      <c r="AA449" s="67"/>
      <c r="AB449" s="67"/>
      <c r="AC449" s="67"/>
    </row>
    <row r="450">
      <c r="A450" s="74">
        <v>45986.0</v>
      </c>
      <c r="B450" s="70" t="s">
        <v>2450</v>
      </c>
      <c r="C450" s="70" t="s">
        <v>2408</v>
      </c>
      <c r="D450" s="71">
        <v>8.0</v>
      </c>
      <c r="E450" s="71">
        <v>12.99</v>
      </c>
      <c r="F450" s="68"/>
      <c r="G450" s="68"/>
      <c r="H450" s="71"/>
      <c r="I450" s="72"/>
      <c r="J450" s="70" t="s">
        <v>1602</v>
      </c>
      <c r="K450" s="67"/>
      <c r="L450" s="70" t="s">
        <v>2451</v>
      </c>
      <c r="M450" s="75">
        <v>1.0</v>
      </c>
      <c r="N450" s="75">
        <v>0.0</v>
      </c>
      <c r="O450" s="75">
        <v>1.0</v>
      </c>
      <c r="P450" s="75">
        <v>0.0</v>
      </c>
      <c r="Q450" s="70" t="s">
        <v>22</v>
      </c>
      <c r="R450" s="71">
        <v>0.0</v>
      </c>
      <c r="S450" s="71">
        <v>8.0</v>
      </c>
      <c r="T450" s="67"/>
      <c r="U450" s="71">
        <v>0.25</v>
      </c>
      <c r="V450" s="71">
        <v>13.24</v>
      </c>
      <c r="W450" s="67"/>
      <c r="X450" s="67"/>
      <c r="Y450" s="67"/>
      <c r="Z450" s="67"/>
      <c r="AA450" s="67"/>
      <c r="AB450" s="67"/>
      <c r="AC450" s="67"/>
    </row>
    <row r="451">
      <c r="A451" s="74">
        <v>45986.0</v>
      </c>
      <c r="B451" s="70" t="s">
        <v>2452</v>
      </c>
      <c r="C451" s="70" t="s">
        <v>2408</v>
      </c>
      <c r="D451" s="71">
        <v>8.0</v>
      </c>
      <c r="E451" s="71">
        <v>12.99</v>
      </c>
      <c r="F451" s="68"/>
      <c r="G451" s="68"/>
      <c r="H451" s="68"/>
      <c r="I451" s="69"/>
      <c r="J451" s="70" t="s">
        <v>1450</v>
      </c>
      <c r="K451" s="67"/>
      <c r="L451" s="67" t="s">
        <v>2453</v>
      </c>
      <c r="M451" s="75">
        <v>1.0</v>
      </c>
      <c r="N451" s="75">
        <v>0.0</v>
      </c>
      <c r="O451" s="75">
        <v>0.0</v>
      </c>
      <c r="P451" s="75">
        <v>1.0</v>
      </c>
      <c r="Q451" s="76" t="s">
        <v>22</v>
      </c>
      <c r="R451" s="71">
        <v>0.0</v>
      </c>
      <c r="S451" s="71">
        <v>8.0</v>
      </c>
      <c r="T451" s="70"/>
      <c r="U451" s="71">
        <v>0.25</v>
      </c>
      <c r="V451" s="71">
        <v>13.24</v>
      </c>
      <c r="W451" s="67"/>
      <c r="X451" s="67"/>
      <c r="Y451" s="67"/>
      <c r="Z451" s="67"/>
      <c r="AA451" s="67"/>
      <c r="AB451" s="67"/>
      <c r="AC451" s="67"/>
    </row>
    <row r="452">
      <c r="A452" s="74">
        <v>45986.0</v>
      </c>
      <c r="B452" s="70" t="s">
        <v>2454</v>
      </c>
      <c r="C452" s="70" t="s">
        <v>2455</v>
      </c>
      <c r="D452" s="71">
        <v>14.94</v>
      </c>
      <c r="E452" s="71">
        <v>24.99</v>
      </c>
      <c r="F452" s="68"/>
      <c r="G452" s="68"/>
      <c r="H452" s="68"/>
      <c r="I452" s="69"/>
      <c r="J452" s="70" t="s">
        <v>1602</v>
      </c>
      <c r="K452" s="67"/>
      <c r="L452" s="67" t="s">
        <v>2456</v>
      </c>
      <c r="M452" s="75">
        <v>1.0</v>
      </c>
      <c r="N452" s="75">
        <v>0.0</v>
      </c>
      <c r="O452" s="75">
        <v>1.0</v>
      </c>
      <c r="P452" s="75">
        <v>0.0</v>
      </c>
      <c r="Q452" s="76" t="s">
        <v>22</v>
      </c>
      <c r="R452" s="71">
        <v>0.0</v>
      </c>
      <c r="S452" s="71">
        <v>14.94</v>
      </c>
      <c r="T452" s="70"/>
      <c r="U452" s="71">
        <v>0.25</v>
      </c>
      <c r="V452" s="71">
        <v>25.24</v>
      </c>
      <c r="W452" s="67"/>
      <c r="X452" s="67"/>
      <c r="Y452" s="67"/>
      <c r="Z452" s="67"/>
      <c r="AA452" s="67"/>
      <c r="AB452" s="67"/>
      <c r="AC452" s="67"/>
    </row>
    <row r="453">
      <c r="A453" s="74">
        <v>45986.0</v>
      </c>
      <c r="B453" s="70" t="s">
        <v>2457</v>
      </c>
      <c r="C453" s="70" t="s">
        <v>2455</v>
      </c>
      <c r="D453" s="71">
        <v>14.94</v>
      </c>
      <c r="E453" s="71">
        <v>24.99</v>
      </c>
      <c r="F453" s="68"/>
      <c r="G453" s="68"/>
      <c r="H453" s="68"/>
      <c r="I453" s="69"/>
      <c r="J453" s="70" t="s">
        <v>1602</v>
      </c>
      <c r="K453" s="67"/>
      <c r="L453" s="70" t="s">
        <v>2458</v>
      </c>
      <c r="M453" s="75">
        <v>1.0</v>
      </c>
      <c r="N453" s="75">
        <v>0.0</v>
      </c>
      <c r="O453" s="75">
        <v>1.0</v>
      </c>
      <c r="P453" s="75">
        <v>0.0</v>
      </c>
      <c r="Q453" s="70" t="s">
        <v>22</v>
      </c>
      <c r="R453" s="71">
        <v>0.0</v>
      </c>
      <c r="S453" s="71">
        <v>14.94</v>
      </c>
      <c r="T453" s="67"/>
      <c r="U453" s="71">
        <v>0.25</v>
      </c>
      <c r="V453" s="71">
        <v>25.24</v>
      </c>
      <c r="W453" s="67"/>
      <c r="X453" s="67"/>
      <c r="Y453" s="67"/>
      <c r="Z453" s="67"/>
      <c r="AA453" s="67"/>
      <c r="AB453" s="67"/>
      <c r="AC453" s="67"/>
    </row>
    <row r="454">
      <c r="A454" s="74">
        <v>45986.0</v>
      </c>
      <c r="B454" s="70" t="s">
        <v>2459</v>
      </c>
      <c r="C454" s="70" t="s">
        <v>1569</v>
      </c>
      <c r="D454" s="71">
        <v>2.2</v>
      </c>
      <c r="E454" s="71">
        <v>0.0</v>
      </c>
      <c r="F454" s="68"/>
      <c r="G454" s="68"/>
      <c r="H454" s="71">
        <v>-2.7</v>
      </c>
      <c r="I454" s="72">
        <v>-1.0</v>
      </c>
      <c r="J454" s="70" t="s">
        <v>483</v>
      </c>
      <c r="K454" s="67"/>
      <c r="L454" s="70" t="s">
        <v>2460</v>
      </c>
      <c r="M454" s="75">
        <v>1.0</v>
      </c>
      <c r="N454" s="75">
        <v>0.0</v>
      </c>
      <c r="O454" s="75">
        <v>1.0</v>
      </c>
      <c r="P454" s="75">
        <v>0.0</v>
      </c>
      <c r="Q454" s="70" t="s">
        <v>22</v>
      </c>
      <c r="R454" s="71">
        <v>0.5</v>
      </c>
      <c r="S454" s="71">
        <v>2.7</v>
      </c>
      <c r="T454" s="67"/>
      <c r="U454" s="71">
        <v>5.0</v>
      </c>
      <c r="V454" s="71">
        <v>5.0</v>
      </c>
      <c r="W454" s="67"/>
      <c r="X454" s="67"/>
      <c r="Y454" s="67"/>
      <c r="Z454" s="67"/>
      <c r="AA454" s="67"/>
      <c r="AB454" s="67"/>
      <c r="AC454" s="67"/>
    </row>
    <row r="455">
      <c r="A455" s="74">
        <v>45986.0</v>
      </c>
      <c r="B455" s="70" t="s">
        <v>2461</v>
      </c>
      <c r="C455" s="70" t="s">
        <v>1449</v>
      </c>
      <c r="D455" s="71">
        <v>7.0</v>
      </c>
      <c r="E455" s="71">
        <v>15.99</v>
      </c>
      <c r="F455" s="71">
        <v>15.0</v>
      </c>
      <c r="G455" s="68"/>
      <c r="H455" s="71">
        <v>8.0</v>
      </c>
      <c r="I455" s="72">
        <v>0.5333333333333333</v>
      </c>
      <c r="J455" s="70" t="s">
        <v>1462</v>
      </c>
      <c r="K455" s="67"/>
      <c r="L455" s="70" t="s">
        <v>2462</v>
      </c>
      <c r="M455" s="75">
        <v>1.0</v>
      </c>
      <c r="N455" s="75">
        <v>0.0</v>
      </c>
      <c r="O455" s="75">
        <v>0.0</v>
      </c>
      <c r="P455" s="75">
        <v>1.0</v>
      </c>
      <c r="Q455" s="70" t="s">
        <v>22</v>
      </c>
      <c r="R455" s="71">
        <v>0.0</v>
      </c>
      <c r="S455" s="71">
        <v>7.0</v>
      </c>
      <c r="T455" s="67"/>
      <c r="U455" s="71">
        <v>0.25</v>
      </c>
      <c r="V455" s="71">
        <v>16.24</v>
      </c>
      <c r="W455" s="67"/>
      <c r="X455" s="67"/>
      <c r="Y455" s="67"/>
      <c r="Z455" s="67"/>
      <c r="AA455" s="67"/>
      <c r="AB455" s="67"/>
      <c r="AC455" s="67"/>
    </row>
    <row r="456">
      <c r="A456" s="74">
        <v>45986.0</v>
      </c>
      <c r="B456" s="70" t="s">
        <v>2463</v>
      </c>
      <c r="C456" s="70" t="s">
        <v>1449</v>
      </c>
      <c r="D456" s="71">
        <v>7.0</v>
      </c>
      <c r="E456" s="71">
        <v>15.99</v>
      </c>
      <c r="F456" s="68"/>
      <c r="G456" s="68"/>
      <c r="H456" s="71">
        <v>-7.0</v>
      </c>
      <c r="I456" s="72">
        <v>-1.0</v>
      </c>
      <c r="J456" s="70" t="s">
        <v>1595</v>
      </c>
      <c r="K456" s="67"/>
      <c r="L456" s="70" t="s">
        <v>2464</v>
      </c>
      <c r="M456" s="75">
        <v>1.0</v>
      </c>
      <c r="N456" s="75">
        <v>0.0</v>
      </c>
      <c r="O456" s="75">
        <v>1.0</v>
      </c>
      <c r="P456" s="75">
        <v>0.0</v>
      </c>
      <c r="Q456" s="70" t="s">
        <v>22</v>
      </c>
      <c r="R456" s="71">
        <v>0.0</v>
      </c>
      <c r="S456" s="71">
        <v>7.0</v>
      </c>
      <c r="T456" s="67"/>
      <c r="U456" s="71">
        <v>0.25</v>
      </c>
      <c r="V456" s="71">
        <v>16.24</v>
      </c>
      <c r="W456" s="67"/>
      <c r="X456" s="67"/>
      <c r="Y456" s="67"/>
      <c r="Z456" s="67"/>
      <c r="AA456" s="67"/>
      <c r="AB456" s="67"/>
      <c r="AC456" s="67"/>
    </row>
    <row r="457">
      <c r="A457" s="74">
        <v>45987.0</v>
      </c>
      <c r="B457" s="70" t="s">
        <v>2465</v>
      </c>
      <c r="C457" s="70" t="s">
        <v>1468</v>
      </c>
      <c r="D457" s="71">
        <v>0.0</v>
      </c>
      <c r="E457" s="71">
        <v>0.0</v>
      </c>
      <c r="F457" s="71">
        <v>15.0</v>
      </c>
      <c r="G457" s="68"/>
      <c r="H457" s="71">
        <v>15.0</v>
      </c>
      <c r="I457" s="72">
        <v>1.0</v>
      </c>
      <c r="J457" s="70" t="s">
        <v>1462</v>
      </c>
      <c r="K457" s="67"/>
      <c r="L457" s="70" t="s">
        <v>2466</v>
      </c>
      <c r="M457" s="75">
        <v>1.0</v>
      </c>
      <c r="N457" s="75">
        <v>0.0</v>
      </c>
      <c r="O457" s="75">
        <v>0.0</v>
      </c>
      <c r="P457" s="75">
        <v>1.0</v>
      </c>
      <c r="Q457" s="76" t="s">
        <v>22</v>
      </c>
      <c r="R457" s="71">
        <v>0.0</v>
      </c>
      <c r="S457" s="71">
        <v>0.0</v>
      </c>
      <c r="T457" s="70"/>
      <c r="U457" s="71">
        <v>0.0</v>
      </c>
      <c r="V457" s="71"/>
      <c r="W457" s="67"/>
      <c r="X457" s="67"/>
      <c r="Y457" s="67"/>
      <c r="Z457" s="67"/>
      <c r="AA457" s="67"/>
      <c r="AB457" s="67"/>
      <c r="AC457" s="67"/>
    </row>
    <row r="458">
      <c r="A458" s="74">
        <v>45987.0</v>
      </c>
      <c r="B458" s="70" t="s">
        <v>2467</v>
      </c>
      <c r="C458" s="70" t="s">
        <v>1468</v>
      </c>
      <c r="D458" s="71">
        <v>0.0</v>
      </c>
      <c r="E458" s="71">
        <v>0.0</v>
      </c>
      <c r="F458" s="71">
        <v>15.0</v>
      </c>
      <c r="G458" s="68"/>
      <c r="H458" s="71">
        <v>13.7</v>
      </c>
      <c r="I458" s="72">
        <v>0.9133333333333333</v>
      </c>
      <c r="J458" s="70" t="s">
        <v>1462</v>
      </c>
      <c r="K458" s="67"/>
      <c r="L458" s="70" t="s">
        <v>2468</v>
      </c>
      <c r="M458" s="75">
        <v>1.0</v>
      </c>
      <c r="N458" s="75">
        <v>0.0</v>
      </c>
      <c r="O458" s="75">
        <v>0.0</v>
      </c>
      <c r="P458" s="75">
        <v>1.0</v>
      </c>
      <c r="Q458" s="76" t="s">
        <v>22</v>
      </c>
      <c r="R458" s="71">
        <v>1.3</v>
      </c>
      <c r="S458" s="71">
        <v>1.3</v>
      </c>
      <c r="T458" s="70"/>
      <c r="U458" s="71">
        <v>0.0</v>
      </c>
      <c r="V458" s="71"/>
      <c r="W458" s="67"/>
      <c r="X458" s="67"/>
      <c r="Y458" s="67"/>
      <c r="Z458" s="67"/>
      <c r="AA458" s="67"/>
      <c r="AB458" s="67"/>
      <c r="AC458" s="67"/>
    </row>
    <row r="459">
      <c r="A459" s="74">
        <v>45987.0</v>
      </c>
      <c r="B459" s="70" t="s">
        <v>2469</v>
      </c>
      <c r="C459" s="70" t="s">
        <v>2321</v>
      </c>
      <c r="D459" s="71">
        <v>16.0</v>
      </c>
      <c r="E459" s="71">
        <v>33.59</v>
      </c>
      <c r="F459" s="68"/>
      <c r="G459" s="68"/>
      <c r="H459" s="68"/>
      <c r="I459" s="69"/>
      <c r="J459" s="70" t="s">
        <v>1450</v>
      </c>
      <c r="K459" s="67"/>
      <c r="L459" s="70" t="s">
        <v>2470</v>
      </c>
      <c r="M459" s="75">
        <v>1.0</v>
      </c>
      <c r="N459" s="75">
        <v>0.0</v>
      </c>
      <c r="O459" s="75">
        <v>0.0</v>
      </c>
      <c r="P459" s="75">
        <v>1.0</v>
      </c>
      <c r="Q459" s="70" t="s">
        <v>22</v>
      </c>
      <c r="R459" s="71">
        <v>1.3</v>
      </c>
      <c r="S459" s="71">
        <v>17.3</v>
      </c>
      <c r="T459" s="67"/>
      <c r="U459" s="71">
        <v>0.0</v>
      </c>
      <c r="V459" s="71">
        <v>33.59</v>
      </c>
      <c r="W459" s="67"/>
      <c r="X459" s="67"/>
      <c r="Y459" s="67"/>
      <c r="Z459" s="67"/>
      <c r="AA459" s="67"/>
      <c r="AB459" s="67"/>
      <c r="AC459" s="67"/>
    </row>
    <row r="460">
      <c r="A460" s="74">
        <v>45987.0</v>
      </c>
      <c r="B460" s="70" t="s">
        <v>2471</v>
      </c>
      <c r="C460" s="70" t="s">
        <v>1812</v>
      </c>
      <c r="D460" s="71">
        <v>23.3</v>
      </c>
      <c r="E460" s="71">
        <v>49.78</v>
      </c>
      <c r="F460" s="68"/>
      <c r="G460" s="68"/>
      <c r="H460" s="68"/>
      <c r="I460" s="69"/>
      <c r="J460" s="70" t="s">
        <v>1450</v>
      </c>
      <c r="K460" s="67"/>
      <c r="L460" s="70" t="s">
        <v>2472</v>
      </c>
      <c r="M460" s="75">
        <v>1.0</v>
      </c>
      <c r="N460" s="75">
        <v>0.0</v>
      </c>
      <c r="O460" s="75">
        <v>0.0</v>
      </c>
      <c r="P460" s="75">
        <v>1.0</v>
      </c>
      <c r="Q460" s="70" t="s">
        <v>22</v>
      </c>
      <c r="R460" s="71">
        <v>0.0</v>
      </c>
      <c r="S460" s="71">
        <v>23.3</v>
      </c>
      <c r="T460" s="67"/>
      <c r="U460" s="71">
        <v>0.25</v>
      </c>
      <c r="V460" s="71">
        <v>50.03</v>
      </c>
      <c r="W460" s="67"/>
      <c r="X460" s="67"/>
      <c r="Y460" s="67"/>
      <c r="Z460" s="67"/>
      <c r="AA460" s="67"/>
      <c r="AB460" s="67"/>
      <c r="AC460" s="67"/>
    </row>
    <row r="461">
      <c r="A461" s="74">
        <v>45988.0</v>
      </c>
      <c r="B461" s="70" t="s">
        <v>2473</v>
      </c>
      <c r="C461" s="70" t="s">
        <v>2474</v>
      </c>
      <c r="D461" s="71">
        <v>10.0</v>
      </c>
      <c r="E461" s="71">
        <v>19.99</v>
      </c>
      <c r="F461" s="71">
        <v>55.0</v>
      </c>
      <c r="G461" s="68"/>
      <c r="H461" s="71">
        <v>43.7</v>
      </c>
      <c r="I461" s="72">
        <v>0.7945454545454546</v>
      </c>
      <c r="J461" s="70" t="s">
        <v>1462</v>
      </c>
      <c r="K461" s="67"/>
      <c r="L461" s="70" t="s">
        <v>2475</v>
      </c>
      <c r="M461" s="75">
        <v>1.0</v>
      </c>
      <c r="N461" s="75">
        <v>0.0</v>
      </c>
      <c r="O461" s="75">
        <v>0.0</v>
      </c>
      <c r="P461" s="75">
        <v>1.0</v>
      </c>
      <c r="Q461" s="70" t="s">
        <v>22</v>
      </c>
      <c r="R461" s="71">
        <v>1.3</v>
      </c>
      <c r="S461" s="71">
        <v>11.3</v>
      </c>
      <c r="T461" s="70"/>
      <c r="U461" s="71">
        <v>0.0</v>
      </c>
      <c r="V461" s="71">
        <v>19.99</v>
      </c>
      <c r="W461" s="67"/>
      <c r="X461" s="67"/>
      <c r="Y461" s="67"/>
      <c r="Z461" s="67"/>
      <c r="AA461" s="67"/>
      <c r="AB461" s="67"/>
      <c r="AC461" s="67"/>
    </row>
    <row r="462">
      <c r="A462" s="74">
        <v>45988.0</v>
      </c>
      <c r="B462" s="70" t="s">
        <v>2476</v>
      </c>
      <c r="C462" s="70" t="s">
        <v>2474</v>
      </c>
      <c r="D462" s="71">
        <v>10.0</v>
      </c>
      <c r="E462" s="71">
        <v>19.99</v>
      </c>
      <c r="F462" s="71">
        <v>75.0</v>
      </c>
      <c r="G462" s="68"/>
      <c r="H462" s="71">
        <v>61.2</v>
      </c>
      <c r="I462" s="72">
        <v>0.8160000000000001</v>
      </c>
      <c r="J462" s="70" t="s">
        <v>1462</v>
      </c>
      <c r="K462" s="67"/>
      <c r="L462" s="70" t="s">
        <v>2477</v>
      </c>
      <c r="M462" s="75">
        <v>1.0</v>
      </c>
      <c r="N462" s="75">
        <v>0.0</v>
      </c>
      <c r="O462" s="75">
        <v>0.0</v>
      </c>
      <c r="P462" s="75">
        <v>1.0</v>
      </c>
      <c r="Q462" s="70" t="s">
        <v>22</v>
      </c>
      <c r="R462" s="71">
        <v>3.8</v>
      </c>
      <c r="S462" s="71">
        <v>13.8</v>
      </c>
      <c r="T462" s="67"/>
      <c r="U462" s="71">
        <v>0.0</v>
      </c>
      <c r="V462" s="71">
        <v>19.99</v>
      </c>
      <c r="W462" s="67"/>
      <c r="X462" s="67"/>
      <c r="Y462" s="67"/>
      <c r="Z462" s="67"/>
      <c r="AA462" s="67"/>
      <c r="AB462" s="67"/>
      <c r="AC462" s="67"/>
    </row>
    <row r="463">
      <c r="A463" s="74">
        <v>45990.0</v>
      </c>
      <c r="B463" s="70" t="s">
        <v>2478</v>
      </c>
      <c r="C463" s="70" t="s">
        <v>1594</v>
      </c>
      <c r="D463" s="71">
        <v>16.19</v>
      </c>
      <c r="E463" s="71">
        <v>26.99</v>
      </c>
      <c r="F463" s="68"/>
      <c r="G463" s="71">
        <v>20.0</v>
      </c>
      <c r="H463" s="71">
        <v>3.31</v>
      </c>
      <c r="I463" s="72">
        <v>0.1655</v>
      </c>
      <c r="J463" s="70" t="s">
        <v>1626</v>
      </c>
      <c r="K463" s="67"/>
      <c r="L463" s="67" t="s">
        <v>2479</v>
      </c>
      <c r="M463" s="75">
        <v>1.0</v>
      </c>
      <c r="N463" s="75">
        <v>1.0</v>
      </c>
      <c r="O463" s="75">
        <v>0.0</v>
      </c>
      <c r="P463" s="75">
        <v>0.0</v>
      </c>
      <c r="Q463" s="76" t="s">
        <v>22</v>
      </c>
      <c r="R463" s="71">
        <v>0.5</v>
      </c>
      <c r="S463" s="71">
        <v>16.69</v>
      </c>
      <c r="T463" s="70"/>
      <c r="U463" s="71">
        <v>5.0</v>
      </c>
      <c r="V463" s="71">
        <v>31.99</v>
      </c>
      <c r="W463" s="67"/>
      <c r="X463" s="67"/>
      <c r="Y463" s="67"/>
      <c r="Z463" s="67"/>
      <c r="AA463" s="67"/>
      <c r="AB463" s="67"/>
      <c r="AC463" s="67"/>
    </row>
    <row r="464">
      <c r="A464" s="74">
        <v>45992.0</v>
      </c>
      <c r="B464" s="70" t="s">
        <v>2480</v>
      </c>
      <c r="C464" s="70" t="s">
        <v>2481</v>
      </c>
      <c r="D464" s="71">
        <v>16.5</v>
      </c>
      <c r="E464" s="71">
        <v>39.99</v>
      </c>
      <c r="F464" s="71">
        <v>40.0</v>
      </c>
      <c r="G464" s="68"/>
      <c r="H464" s="71">
        <v>22.2</v>
      </c>
      <c r="I464" s="72">
        <v>0.5549999999999999</v>
      </c>
      <c r="J464" s="70" t="s">
        <v>1462</v>
      </c>
      <c r="K464" s="67"/>
      <c r="L464" s="70" t="s">
        <v>2482</v>
      </c>
      <c r="M464" s="75">
        <v>1.0</v>
      </c>
      <c r="N464" s="75">
        <v>0.0</v>
      </c>
      <c r="O464" s="75">
        <v>0.0</v>
      </c>
      <c r="P464" s="75">
        <v>1.0</v>
      </c>
      <c r="Q464" s="70" t="s">
        <v>22</v>
      </c>
      <c r="R464" s="71">
        <v>1.3</v>
      </c>
      <c r="S464" s="71">
        <v>17.8</v>
      </c>
      <c r="T464" s="67"/>
      <c r="U464" s="71">
        <v>0.0</v>
      </c>
      <c r="V464" s="71">
        <v>39.99</v>
      </c>
      <c r="W464" s="67"/>
      <c r="X464" s="67"/>
      <c r="Y464" s="67"/>
      <c r="Z464" s="67"/>
      <c r="AA464" s="67"/>
      <c r="AB464" s="67"/>
      <c r="AC464" s="67"/>
    </row>
    <row r="465">
      <c r="A465" s="74">
        <v>45998.0</v>
      </c>
      <c r="B465" s="70" t="s">
        <v>2483</v>
      </c>
      <c r="C465" s="70" t="s">
        <v>2484</v>
      </c>
      <c r="D465" s="71">
        <v>3.42</v>
      </c>
      <c r="E465" s="71">
        <v>0.0</v>
      </c>
      <c r="F465" s="68"/>
      <c r="G465" s="71">
        <v>10.0</v>
      </c>
      <c r="H465" s="71">
        <v>5.52</v>
      </c>
      <c r="I465" s="72">
        <v>0.5519999999999999</v>
      </c>
      <c r="J465" s="70" t="s">
        <v>1626</v>
      </c>
      <c r="K465" s="67"/>
      <c r="L465" s="70" t="s">
        <v>2485</v>
      </c>
      <c r="M465" s="75">
        <v>1.0</v>
      </c>
      <c r="N465" s="75">
        <v>1.0</v>
      </c>
      <c r="O465" s="75">
        <v>0.0</v>
      </c>
      <c r="P465" s="75">
        <v>0.0</v>
      </c>
      <c r="Q465" s="70" t="s">
        <v>22</v>
      </c>
      <c r="R465" s="71">
        <v>1.06</v>
      </c>
      <c r="S465" s="71">
        <v>4.48</v>
      </c>
      <c r="T465" s="67"/>
      <c r="U465" s="71">
        <v>5.0</v>
      </c>
      <c r="V465" s="71">
        <v>5.0</v>
      </c>
      <c r="W465" s="67"/>
      <c r="X465" s="67"/>
      <c r="Y465" s="67"/>
      <c r="Z465" s="67"/>
      <c r="AA465" s="67"/>
      <c r="AB465" s="67"/>
      <c r="AC465" s="67"/>
    </row>
    <row r="466">
      <c r="A466" s="74">
        <v>45998.0</v>
      </c>
      <c r="B466" s="70" t="s">
        <v>2486</v>
      </c>
      <c r="C466" s="70" t="s">
        <v>2487</v>
      </c>
      <c r="D466" s="71">
        <v>12.25</v>
      </c>
      <c r="E466" s="71">
        <v>25.0</v>
      </c>
      <c r="F466" s="68"/>
      <c r="G466" s="71">
        <v>30.0</v>
      </c>
      <c r="H466" s="71">
        <v>17.75</v>
      </c>
      <c r="I466" s="72">
        <v>0.5916666666666667</v>
      </c>
      <c r="J466" s="70" t="s">
        <v>1626</v>
      </c>
      <c r="K466" s="67"/>
      <c r="L466" s="70" t="s">
        <v>2488</v>
      </c>
      <c r="M466" s="75">
        <v>1.0</v>
      </c>
      <c r="N466" s="75">
        <v>1.0</v>
      </c>
      <c r="O466" s="75">
        <v>0.0</v>
      </c>
      <c r="P466" s="75">
        <v>0.0</v>
      </c>
      <c r="Q466" s="70" t="s">
        <v>22</v>
      </c>
      <c r="R466" s="71">
        <v>0.0</v>
      </c>
      <c r="S466" s="71">
        <v>12.25</v>
      </c>
      <c r="T466" s="67"/>
      <c r="U466" s="71">
        <v>0.0</v>
      </c>
      <c r="V466" s="71">
        <v>25.0</v>
      </c>
      <c r="W466" s="67"/>
      <c r="X466" s="67"/>
      <c r="Y466" s="67"/>
      <c r="Z466" s="67"/>
      <c r="AA466" s="67"/>
      <c r="AB466" s="67"/>
      <c r="AC466" s="67"/>
    </row>
    <row r="467">
      <c r="A467" s="74">
        <v>45998.0</v>
      </c>
      <c r="B467" s="70" t="s">
        <v>2489</v>
      </c>
      <c r="C467" s="70" t="s">
        <v>2420</v>
      </c>
      <c r="D467" s="71">
        <v>5.79</v>
      </c>
      <c r="E467" s="71">
        <v>11.58</v>
      </c>
      <c r="F467" s="68"/>
      <c r="G467" s="71">
        <v>15.0</v>
      </c>
      <c r="H467" s="71">
        <v>9.21</v>
      </c>
      <c r="I467" s="72">
        <v>0.6140000000000001</v>
      </c>
      <c r="J467" s="70" t="s">
        <v>1626</v>
      </c>
      <c r="K467" s="67"/>
      <c r="L467" s="70" t="s">
        <v>2490</v>
      </c>
      <c r="M467" s="75">
        <v>1.0</v>
      </c>
      <c r="N467" s="75">
        <v>1.0</v>
      </c>
      <c r="O467" s="75">
        <v>0.0</v>
      </c>
      <c r="P467" s="75">
        <v>0.0</v>
      </c>
      <c r="Q467" s="70" t="s">
        <v>22</v>
      </c>
      <c r="R467" s="71">
        <v>0.0</v>
      </c>
      <c r="S467" s="71">
        <v>5.79</v>
      </c>
      <c r="T467" s="67"/>
      <c r="U467" s="71">
        <v>0.0</v>
      </c>
      <c r="V467" s="71">
        <v>11.58</v>
      </c>
      <c r="W467" s="67"/>
      <c r="X467" s="67"/>
      <c r="Y467" s="67"/>
      <c r="Z467" s="67"/>
      <c r="AA467" s="67"/>
      <c r="AB467" s="67"/>
      <c r="AC467" s="67"/>
    </row>
    <row r="468">
      <c r="A468" s="74">
        <v>46000.0</v>
      </c>
      <c r="B468" s="70" t="s">
        <v>2491</v>
      </c>
      <c r="C468" s="70" t="s">
        <v>2487</v>
      </c>
      <c r="D468" s="71">
        <v>12.25</v>
      </c>
      <c r="E468" s="71">
        <v>25.0</v>
      </c>
      <c r="F468" s="68"/>
      <c r="G468" s="71">
        <v>25.0</v>
      </c>
      <c r="H468" s="71">
        <v>12.75</v>
      </c>
      <c r="I468" s="72">
        <v>0.51</v>
      </c>
      <c r="J468" s="70" t="s">
        <v>1626</v>
      </c>
      <c r="K468" s="67"/>
      <c r="L468" s="70" t="s">
        <v>2492</v>
      </c>
      <c r="M468" s="75">
        <v>1.0</v>
      </c>
      <c r="N468" s="75">
        <v>1.0</v>
      </c>
      <c r="O468" s="75">
        <v>0.0</v>
      </c>
      <c r="P468" s="75">
        <v>0.0</v>
      </c>
      <c r="Q468" s="70" t="s">
        <v>22</v>
      </c>
      <c r="R468" s="71">
        <v>0.0</v>
      </c>
      <c r="S468" s="71">
        <v>12.25</v>
      </c>
      <c r="T468" s="67"/>
      <c r="U468" s="71">
        <v>0.0</v>
      </c>
      <c r="V468" s="71">
        <v>25.0</v>
      </c>
      <c r="W468" s="67"/>
      <c r="X468" s="67"/>
      <c r="Y468" s="67"/>
      <c r="Z468" s="67"/>
      <c r="AA468" s="67"/>
      <c r="AB468" s="67"/>
      <c r="AC468" s="67"/>
    </row>
    <row r="469">
      <c r="A469" s="74">
        <v>46000.0</v>
      </c>
      <c r="B469" s="70" t="s">
        <v>2493</v>
      </c>
      <c r="C469" s="70" t="s">
        <v>1752</v>
      </c>
      <c r="D469" s="71">
        <v>2.67</v>
      </c>
      <c r="E469" s="71">
        <v>5.0</v>
      </c>
      <c r="F469" s="68"/>
      <c r="G469" s="68"/>
      <c r="H469" s="68"/>
      <c r="I469" s="69"/>
      <c r="J469" s="70" t="s">
        <v>1450</v>
      </c>
      <c r="K469" s="67"/>
      <c r="L469" s="70" t="s">
        <v>2494</v>
      </c>
      <c r="M469" s="75">
        <v>1.0</v>
      </c>
      <c r="N469" s="75">
        <v>0.0</v>
      </c>
      <c r="O469" s="75">
        <v>0.0</v>
      </c>
      <c r="P469" s="75">
        <v>1.0</v>
      </c>
      <c r="Q469" s="70" t="s">
        <v>22</v>
      </c>
      <c r="R469" s="71">
        <v>1.0</v>
      </c>
      <c r="S469" s="71">
        <v>3.67</v>
      </c>
      <c r="T469" s="67"/>
      <c r="U469" s="71">
        <v>5.0</v>
      </c>
      <c r="V469" s="71">
        <v>10.0</v>
      </c>
      <c r="W469" s="67"/>
      <c r="X469" s="67"/>
      <c r="Y469" s="67"/>
      <c r="Z469" s="67"/>
      <c r="AA469" s="67"/>
      <c r="AB469" s="67"/>
      <c r="AC469" s="67"/>
    </row>
    <row r="470">
      <c r="A470" s="74">
        <v>46000.0</v>
      </c>
      <c r="B470" s="70" t="s">
        <v>2495</v>
      </c>
      <c r="C470" s="70" t="s">
        <v>1805</v>
      </c>
      <c r="D470" s="71">
        <v>9.0</v>
      </c>
      <c r="E470" s="71">
        <v>18.99</v>
      </c>
      <c r="F470" s="68"/>
      <c r="G470" s="71">
        <v>20.0</v>
      </c>
      <c r="H470" s="71">
        <v>9.65</v>
      </c>
      <c r="I470" s="72">
        <v>0.48250000000000004</v>
      </c>
      <c r="J470" s="70" t="s">
        <v>1626</v>
      </c>
      <c r="K470" s="67"/>
      <c r="L470" s="70" t="s">
        <v>2496</v>
      </c>
      <c r="M470" s="75">
        <v>1.0</v>
      </c>
      <c r="N470" s="75">
        <v>1.0</v>
      </c>
      <c r="O470" s="75">
        <v>0.0</v>
      </c>
      <c r="P470" s="75">
        <v>0.0</v>
      </c>
      <c r="Q470" s="70" t="s">
        <v>22</v>
      </c>
      <c r="R470" s="71">
        <v>1.35</v>
      </c>
      <c r="S470" s="71">
        <v>10.35</v>
      </c>
      <c r="T470" s="67"/>
      <c r="U470" s="71">
        <v>0.0</v>
      </c>
      <c r="V470" s="71">
        <v>18.99</v>
      </c>
      <c r="W470" s="67"/>
      <c r="X470" s="67"/>
      <c r="Y470" s="67"/>
      <c r="Z470" s="67"/>
      <c r="AA470" s="67"/>
      <c r="AB470" s="67"/>
      <c r="AC470" s="67"/>
    </row>
    <row r="471">
      <c r="A471" s="74">
        <v>46001.0</v>
      </c>
      <c r="B471" s="70" t="s">
        <v>2497</v>
      </c>
      <c r="C471" s="70" t="s">
        <v>1545</v>
      </c>
      <c r="D471" s="71">
        <v>10.0</v>
      </c>
      <c r="E471" s="71">
        <v>20.0</v>
      </c>
      <c r="F471" s="68"/>
      <c r="G471" s="71">
        <v>20.0</v>
      </c>
      <c r="H471" s="71">
        <v>10.0</v>
      </c>
      <c r="I471" s="72">
        <v>0.5</v>
      </c>
      <c r="J471" s="70" t="s">
        <v>1626</v>
      </c>
      <c r="K471" s="67"/>
      <c r="L471" s="70" t="s">
        <v>2498</v>
      </c>
      <c r="M471" s="75">
        <v>1.0</v>
      </c>
      <c r="N471" s="75">
        <v>1.0</v>
      </c>
      <c r="O471" s="75">
        <v>0.0</v>
      </c>
      <c r="P471" s="75">
        <v>0.0</v>
      </c>
      <c r="Q471" s="70" t="s">
        <v>22</v>
      </c>
      <c r="R471" s="71">
        <v>0.0</v>
      </c>
      <c r="S471" s="71">
        <v>10.0</v>
      </c>
      <c r="T471" s="67"/>
      <c r="U471" s="71">
        <v>0.25</v>
      </c>
      <c r="V471" s="71">
        <v>20.25</v>
      </c>
      <c r="W471" s="67"/>
      <c r="X471" s="67"/>
      <c r="Y471" s="67"/>
      <c r="Z471" s="67"/>
      <c r="AA471" s="67"/>
      <c r="AB471" s="67"/>
      <c r="AC471" s="67"/>
    </row>
    <row r="472">
      <c r="A472" s="74">
        <v>46001.0</v>
      </c>
      <c r="B472" s="70" t="s">
        <v>2499</v>
      </c>
      <c r="C472" s="70" t="s">
        <v>2235</v>
      </c>
      <c r="D472" s="71">
        <v>6.9</v>
      </c>
      <c r="E472" s="71">
        <v>14.99</v>
      </c>
      <c r="F472" s="68"/>
      <c r="G472" s="71">
        <v>30.0</v>
      </c>
      <c r="H472" s="71">
        <v>23.1</v>
      </c>
      <c r="I472" s="72">
        <v>0.77</v>
      </c>
      <c r="J472" s="70" t="s">
        <v>1626</v>
      </c>
      <c r="K472" s="67"/>
      <c r="L472" s="70" t="s">
        <v>2500</v>
      </c>
      <c r="M472" s="75">
        <v>1.0</v>
      </c>
      <c r="N472" s="75">
        <v>1.0</v>
      </c>
      <c r="O472" s="75">
        <v>0.0</v>
      </c>
      <c r="P472" s="75">
        <v>0.0</v>
      </c>
      <c r="Q472" s="70" t="s">
        <v>22</v>
      </c>
      <c r="R472" s="71">
        <v>0.0</v>
      </c>
      <c r="S472" s="71">
        <v>6.9</v>
      </c>
      <c r="T472" s="67"/>
      <c r="U472" s="71">
        <v>0.0</v>
      </c>
      <c r="V472" s="71">
        <v>14.99</v>
      </c>
      <c r="W472" s="67"/>
      <c r="X472" s="67"/>
      <c r="Y472" s="67"/>
      <c r="Z472" s="67"/>
      <c r="AA472" s="67"/>
      <c r="AB472" s="67"/>
      <c r="AC472" s="67"/>
    </row>
    <row r="473">
      <c r="A473" s="74">
        <v>46001.0</v>
      </c>
      <c r="B473" s="70" t="s">
        <v>2501</v>
      </c>
      <c r="C473" s="70" t="s">
        <v>1564</v>
      </c>
      <c r="D473" s="71">
        <v>7.8</v>
      </c>
      <c r="E473" s="71">
        <v>16.99</v>
      </c>
      <c r="F473" s="68"/>
      <c r="G473" s="71">
        <v>22.0</v>
      </c>
      <c r="H473" s="71">
        <v>14.2</v>
      </c>
      <c r="I473" s="72">
        <v>0.6454545454545454</v>
      </c>
      <c r="J473" s="70" t="s">
        <v>1626</v>
      </c>
      <c r="K473" s="67"/>
      <c r="L473" s="70" t="s">
        <v>2502</v>
      </c>
      <c r="M473" s="75">
        <v>1.0</v>
      </c>
      <c r="N473" s="75">
        <v>1.0</v>
      </c>
      <c r="O473" s="75">
        <v>0.0</v>
      </c>
      <c r="P473" s="75">
        <v>0.0</v>
      </c>
      <c r="Q473" s="70" t="s">
        <v>22</v>
      </c>
      <c r="R473" s="71">
        <v>0.0</v>
      </c>
      <c r="S473" s="71">
        <v>7.8</v>
      </c>
      <c r="T473" s="67"/>
      <c r="U473" s="71">
        <v>0.0</v>
      </c>
      <c r="V473" s="71">
        <v>16.99</v>
      </c>
      <c r="W473" s="67"/>
      <c r="X473" s="67"/>
      <c r="Y473" s="67"/>
      <c r="Z473" s="67"/>
      <c r="AA473" s="67"/>
      <c r="AB473" s="67"/>
      <c r="AC473" s="67"/>
    </row>
    <row r="474">
      <c r="A474" s="74">
        <v>46002.0</v>
      </c>
      <c r="B474" s="70" t="s">
        <v>2503</v>
      </c>
      <c r="C474" s="70" t="s">
        <v>1474</v>
      </c>
      <c r="D474" s="71">
        <v>1.57</v>
      </c>
      <c r="E474" s="71">
        <v>0.0</v>
      </c>
      <c r="F474" s="71">
        <v>12.0</v>
      </c>
      <c r="G474" s="71"/>
      <c r="H474" s="71">
        <v>9.19</v>
      </c>
      <c r="I474" s="72">
        <v>0.7658333333333333</v>
      </c>
      <c r="J474" s="70" t="s">
        <v>1462</v>
      </c>
      <c r="K474" s="67"/>
      <c r="L474" s="67" t="s">
        <v>2504</v>
      </c>
      <c r="M474" s="75">
        <v>1.0</v>
      </c>
      <c r="N474" s="75">
        <v>0.0</v>
      </c>
      <c r="O474" s="75">
        <v>0.0</v>
      </c>
      <c r="P474" s="75">
        <v>1.0</v>
      </c>
      <c r="Q474" s="76" t="s">
        <v>22</v>
      </c>
      <c r="R474" s="71">
        <v>1.24</v>
      </c>
      <c r="S474" s="71">
        <v>2.81</v>
      </c>
      <c r="T474" s="70"/>
      <c r="U474" s="71">
        <v>7.06</v>
      </c>
      <c r="V474" s="71">
        <v>7.06</v>
      </c>
      <c r="W474" s="67"/>
      <c r="X474" s="67"/>
      <c r="Y474" s="67"/>
      <c r="Z474" s="67"/>
      <c r="AA474" s="67"/>
      <c r="AB474" s="67"/>
      <c r="AC474" s="67"/>
    </row>
    <row r="475">
      <c r="A475" s="74">
        <v>46002.0</v>
      </c>
      <c r="B475" s="70" t="s">
        <v>2505</v>
      </c>
      <c r="C475" s="70" t="s">
        <v>1458</v>
      </c>
      <c r="D475" s="71">
        <v>21.99</v>
      </c>
      <c r="E475" s="71">
        <v>39.99</v>
      </c>
      <c r="F475" s="68"/>
      <c r="G475" s="68"/>
      <c r="H475" s="68"/>
      <c r="I475" s="69"/>
      <c r="J475" s="70" t="s">
        <v>1450</v>
      </c>
      <c r="K475" s="67"/>
      <c r="L475" s="70" t="s">
        <v>2506</v>
      </c>
      <c r="M475" s="75">
        <v>1.0</v>
      </c>
      <c r="N475" s="75">
        <v>0.0</v>
      </c>
      <c r="O475" s="75">
        <v>0.0</v>
      </c>
      <c r="P475" s="75">
        <v>1.0</v>
      </c>
      <c r="Q475" s="70" t="s">
        <v>22</v>
      </c>
      <c r="R475" s="71">
        <v>2.19</v>
      </c>
      <c r="S475" s="71">
        <v>24.18</v>
      </c>
      <c r="T475" s="67"/>
      <c r="U475" s="71">
        <v>7.56</v>
      </c>
      <c r="V475" s="71">
        <v>47.55</v>
      </c>
      <c r="W475" s="67"/>
      <c r="X475" s="67"/>
      <c r="Y475" s="67"/>
      <c r="Z475" s="67"/>
      <c r="AA475" s="67"/>
      <c r="AB475" s="67"/>
      <c r="AC475" s="67"/>
    </row>
    <row r="476">
      <c r="A476" s="74">
        <v>46002.0</v>
      </c>
      <c r="B476" s="70" t="s">
        <v>2507</v>
      </c>
      <c r="C476" s="70" t="s">
        <v>2081</v>
      </c>
      <c r="D476" s="71">
        <v>5.5</v>
      </c>
      <c r="E476" s="71">
        <v>11.0</v>
      </c>
      <c r="F476" s="68"/>
      <c r="G476" s="68"/>
      <c r="H476" s="68"/>
      <c r="I476" s="69"/>
      <c r="J476" s="70" t="s">
        <v>1450</v>
      </c>
      <c r="K476" s="67"/>
      <c r="L476" s="70" t="s">
        <v>2508</v>
      </c>
      <c r="M476" s="75">
        <v>1.0</v>
      </c>
      <c r="N476" s="75">
        <v>0.0</v>
      </c>
      <c r="O476" s="75">
        <v>0.0</v>
      </c>
      <c r="P476" s="75">
        <v>1.0</v>
      </c>
      <c r="Q476" s="70" t="s">
        <v>22</v>
      </c>
      <c r="R476" s="71">
        <v>0.2</v>
      </c>
      <c r="S476" s="71">
        <v>5.7</v>
      </c>
      <c r="T476" s="67"/>
      <c r="U476" s="71">
        <v>0.56</v>
      </c>
      <c r="V476" s="71">
        <v>11.56</v>
      </c>
      <c r="W476" s="67"/>
      <c r="X476" s="67"/>
      <c r="Y476" s="67"/>
      <c r="Z476" s="67"/>
      <c r="AA476" s="67"/>
      <c r="AB476" s="67"/>
      <c r="AC476" s="67"/>
    </row>
    <row r="477">
      <c r="A477" s="74">
        <v>46002.0</v>
      </c>
      <c r="B477" s="70" t="s">
        <v>2509</v>
      </c>
      <c r="C477" s="70" t="s">
        <v>2081</v>
      </c>
      <c r="D477" s="71">
        <v>5.5</v>
      </c>
      <c r="E477" s="71">
        <v>11.0</v>
      </c>
      <c r="F477" s="68"/>
      <c r="G477" s="68"/>
      <c r="H477" s="68"/>
      <c r="I477" s="69"/>
      <c r="J477" s="70" t="s">
        <v>1450</v>
      </c>
      <c r="K477" s="67"/>
      <c r="L477" s="70" t="s">
        <v>2510</v>
      </c>
      <c r="M477" s="75">
        <v>1.0</v>
      </c>
      <c r="N477" s="75">
        <v>0.0</v>
      </c>
      <c r="O477" s="75">
        <v>0.0</v>
      </c>
      <c r="P477" s="75">
        <v>1.0</v>
      </c>
      <c r="Q477" s="70" t="s">
        <v>22</v>
      </c>
      <c r="R477" s="71">
        <v>0.2</v>
      </c>
      <c r="S477" s="71">
        <v>5.7</v>
      </c>
      <c r="T477" s="67"/>
      <c r="U477" s="71">
        <v>0.56</v>
      </c>
      <c r="V477" s="71">
        <v>11.56</v>
      </c>
      <c r="W477" s="67"/>
      <c r="X477" s="67"/>
      <c r="Y477" s="67"/>
      <c r="Z477" s="67"/>
      <c r="AA477" s="67"/>
      <c r="AB477" s="67"/>
      <c r="AC477" s="67"/>
    </row>
    <row r="478">
      <c r="A478" s="74">
        <v>46002.0</v>
      </c>
      <c r="B478" s="70" t="s">
        <v>2511</v>
      </c>
      <c r="C478" s="70" t="s">
        <v>2212</v>
      </c>
      <c r="D478" s="71">
        <v>24.85</v>
      </c>
      <c r="E478" s="71">
        <v>49.7</v>
      </c>
      <c r="F478" s="68"/>
      <c r="G478" s="68"/>
      <c r="H478" s="68"/>
      <c r="I478" s="69"/>
      <c r="J478" s="70" t="s">
        <v>2512</v>
      </c>
      <c r="K478" s="67"/>
      <c r="L478" s="70" t="s">
        <v>2513</v>
      </c>
      <c r="M478" s="75">
        <v>1.0</v>
      </c>
      <c r="N478" s="75">
        <v>0.0</v>
      </c>
      <c r="O478" s="75">
        <v>0.0</v>
      </c>
      <c r="P478" s="75">
        <v>1.0</v>
      </c>
      <c r="Q478" s="70" t="s">
        <v>22</v>
      </c>
      <c r="R478" s="71">
        <v>1.0</v>
      </c>
      <c r="S478" s="71">
        <v>25.85</v>
      </c>
      <c r="T478" s="67"/>
      <c r="U478" s="71">
        <v>6.5</v>
      </c>
      <c r="V478" s="71">
        <v>56.2</v>
      </c>
      <c r="W478" s="67"/>
      <c r="X478" s="67"/>
      <c r="Y478" s="67"/>
      <c r="Z478" s="67"/>
      <c r="AA478" s="67"/>
      <c r="AB478" s="67"/>
      <c r="AC478" s="67"/>
    </row>
    <row r="479">
      <c r="A479" s="74">
        <v>46002.0</v>
      </c>
      <c r="B479" s="70" t="s">
        <v>2514</v>
      </c>
      <c r="C479" s="70" t="s">
        <v>2164</v>
      </c>
      <c r="D479" s="71">
        <v>24.85</v>
      </c>
      <c r="E479" s="71">
        <v>49.7</v>
      </c>
      <c r="F479" s="68"/>
      <c r="G479" s="68"/>
      <c r="H479" s="68"/>
      <c r="I479" s="69"/>
      <c r="J479" s="70" t="s">
        <v>1666</v>
      </c>
      <c r="K479" s="67"/>
      <c r="L479" s="70" t="s">
        <v>2515</v>
      </c>
      <c r="M479" s="75">
        <v>1.0</v>
      </c>
      <c r="N479" s="75">
        <v>0.0</v>
      </c>
      <c r="O479" s="75">
        <v>0.0</v>
      </c>
      <c r="P479" s="75">
        <v>1.0</v>
      </c>
      <c r="Q479" s="70" t="s">
        <v>22</v>
      </c>
      <c r="R479" s="71">
        <v>1.39</v>
      </c>
      <c r="S479" s="71">
        <v>26.24</v>
      </c>
      <c r="T479" s="67"/>
      <c r="U479" s="71">
        <v>6.5</v>
      </c>
      <c r="V479" s="71">
        <v>56.2</v>
      </c>
      <c r="W479" s="67"/>
      <c r="X479" s="67"/>
      <c r="Y479" s="67"/>
      <c r="Z479" s="67"/>
      <c r="AA479" s="67"/>
      <c r="AB479" s="67"/>
      <c r="AC479" s="67"/>
    </row>
    <row r="480">
      <c r="A480" s="74">
        <v>46004.0</v>
      </c>
      <c r="B480" s="70" t="s">
        <v>2516</v>
      </c>
      <c r="C480" s="70" t="s">
        <v>1707</v>
      </c>
      <c r="D480" s="71">
        <v>4.19</v>
      </c>
      <c r="E480" s="71">
        <v>0.0</v>
      </c>
      <c r="F480" s="68"/>
      <c r="G480" s="68"/>
      <c r="H480" s="71"/>
      <c r="I480" s="72"/>
      <c r="J480" s="70" t="s">
        <v>1450</v>
      </c>
      <c r="K480" s="67"/>
      <c r="L480" s="70" t="s">
        <v>2517</v>
      </c>
      <c r="M480" s="75">
        <v>1.0</v>
      </c>
      <c r="N480" s="75">
        <v>0.0</v>
      </c>
      <c r="O480" s="75">
        <v>0.0</v>
      </c>
      <c r="P480" s="75">
        <v>1.0</v>
      </c>
      <c r="Q480" s="76" t="s">
        <v>22</v>
      </c>
      <c r="R480" s="71">
        <v>1.58</v>
      </c>
      <c r="S480" s="71">
        <v>5.77</v>
      </c>
      <c r="T480" s="70"/>
      <c r="U480" s="71">
        <v>6.0</v>
      </c>
      <c r="V480" s="71">
        <v>6.0</v>
      </c>
      <c r="W480" s="67"/>
      <c r="X480" s="67"/>
      <c r="Y480" s="67"/>
      <c r="Z480" s="67"/>
      <c r="AA480" s="67"/>
      <c r="AB480" s="67"/>
      <c r="AC480" s="67"/>
    </row>
    <row r="481">
      <c r="A481" s="74">
        <v>46004.0</v>
      </c>
      <c r="B481" s="70" t="s">
        <v>2518</v>
      </c>
      <c r="C481" s="70" t="s">
        <v>2519</v>
      </c>
      <c r="D481" s="71">
        <v>16.0</v>
      </c>
      <c r="E481" s="71">
        <v>0.0</v>
      </c>
      <c r="F481" s="71">
        <v>12.0</v>
      </c>
      <c r="G481" s="68"/>
      <c r="H481" s="71">
        <v>-4.83</v>
      </c>
      <c r="I481" s="72">
        <v>-0.4025</v>
      </c>
      <c r="J481" s="70" t="s">
        <v>1462</v>
      </c>
      <c r="K481" s="67"/>
      <c r="L481" s="70" t="s">
        <v>2520</v>
      </c>
      <c r="M481" s="75">
        <v>1.0</v>
      </c>
      <c r="N481" s="75">
        <v>0.0</v>
      </c>
      <c r="O481" s="75">
        <v>0.0</v>
      </c>
      <c r="P481" s="75">
        <v>1.0</v>
      </c>
      <c r="Q481" s="76" t="s">
        <v>22</v>
      </c>
      <c r="R481" s="71">
        <v>0.83</v>
      </c>
      <c r="S481" s="71">
        <v>16.83</v>
      </c>
      <c r="T481" s="70"/>
      <c r="U481" s="71">
        <v>6.88</v>
      </c>
      <c r="V481" s="71">
        <v>6.88</v>
      </c>
      <c r="W481" s="67"/>
      <c r="X481" s="67"/>
      <c r="Y481" s="67"/>
      <c r="Z481" s="67"/>
      <c r="AA481" s="67"/>
      <c r="AB481" s="67"/>
      <c r="AC481" s="67"/>
    </row>
    <row r="482">
      <c r="A482" s="74">
        <v>46004.0</v>
      </c>
      <c r="B482" s="70" t="s">
        <v>2521</v>
      </c>
      <c r="C482" s="70" t="s">
        <v>1933</v>
      </c>
      <c r="D482" s="71">
        <v>6.66</v>
      </c>
      <c r="E482" s="71">
        <v>0.0</v>
      </c>
      <c r="F482" s="68"/>
      <c r="G482" s="68"/>
      <c r="H482" s="71"/>
      <c r="I482" s="72"/>
      <c r="J482" s="70" t="s">
        <v>1450</v>
      </c>
      <c r="K482" s="67"/>
      <c r="L482" s="70" t="s">
        <v>2522</v>
      </c>
      <c r="M482" s="75">
        <v>1.0</v>
      </c>
      <c r="N482" s="75">
        <v>0.0</v>
      </c>
      <c r="O482" s="75">
        <v>0.0</v>
      </c>
      <c r="P482" s="75">
        <v>1.0</v>
      </c>
      <c r="Q482" s="76" t="s">
        <v>22</v>
      </c>
      <c r="R482" s="71">
        <v>1.58</v>
      </c>
      <c r="S482" s="71">
        <v>8.24</v>
      </c>
      <c r="T482" s="70"/>
      <c r="U482" s="71">
        <v>0.0</v>
      </c>
      <c r="V482" s="71"/>
      <c r="W482" s="67"/>
      <c r="X482" s="67"/>
      <c r="Y482" s="67"/>
      <c r="Z482" s="67"/>
      <c r="AA482" s="67"/>
      <c r="AB482" s="67"/>
      <c r="AC482" s="67"/>
    </row>
    <row r="483">
      <c r="A483" s="74">
        <v>46005.0</v>
      </c>
      <c r="B483" s="70" t="s">
        <v>2523</v>
      </c>
      <c r="C483" s="70" t="s">
        <v>2524</v>
      </c>
      <c r="D483" s="71">
        <v>8.0</v>
      </c>
      <c r="E483" s="71">
        <v>0.0</v>
      </c>
      <c r="F483" s="71">
        <v>30.0</v>
      </c>
      <c r="G483" s="68"/>
      <c r="H483" s="71">
        <v>19.89</v>
      </c>
      <c r="I483" s="72">
        <v>0.663</v>
      </c>
      <c r="J483" s="70" t="s">
        <v>1462</v>
      </c>
      <c r="K483" s="67"/>
      <c r="L483" s="70" t="s">
        <v>2525</v>
      </c>
      <c r="M483" s="75">
        <v>1.0</v>
      </c>
      <c r="N483" s="75">
        <v>0.0</v>
      </c>
      <c r="O483" s="75">
        <v>0.0</v>
      </c>
      <c r="P483" s="75">
        <v>1.0</v>
      </c>
      <c r="Q483" s="70" t="s">
        <v>22</v>
      </c>
      <c r="R483" s="71">
        <v>2.11</v>
      </c>
      <c r="S483" s="71">
        <v>10.11</v>
      </c>
      <c r="T483" s="67"/>
      <c r="U483" s="71">
        <v>6.88</v>
      </c>
      <c r="V483" s="71">
        <v>6.88</v>
      </c>
      <c r="W483" s="67"/>
      <c r="X483" s="67"/>
      <c r="Y483" s="67"/>
      <c r="Z483" s="67"/>
      <c r="AA483" s="67"/>
      <c r="AB483" s="67"/>
      <c r="AC483" s="67"/>
    </row>
    <row r="484">
      <c r="A484" s="74">
        <v>46005.0</v>
      </c>
      <c r="B484" s="70" t="s">
        <v>2526</v>
      </c>
      <c r="C484" s="70" t="s">
        <v>2527</v>
      </c>
      <c r="D484" s="71">
        <v>36.0</v>
      </c>
      <c r="E484" s="71">
        <v>72.0</v>
      </c>
      <c r="F484" s="68"/>
      <c r="G484" s="68"/>
      <c r="H484" s="68"/>
      <c r="I484" s="69"/>
      <c r="J484" s="70" t="s">
        <v>1450</v>
      </c>
      <c r="K484" s="67"/>
      <c r="L484" s="70" t="s">
        <v>2528</v>
      </c>
      <c r="M484" s="75">
        <v>1.0</v>
      </c>
      <c r="N484" s="75">
        <v>0.0</v>
      </c>
      <c r="O484" s="75">
        <v>0.0</v>
      </c>
      <c r="P484" s="75">
        <v>1.0</v>
      </c>
      <c r="Q484" s="70" t="s">
        <v>22</v>
      </c>
      <c r="R484" s="71">
        <v>1.75</v>
      </c>
      <c r="S484" s="71">
        <v>37.75</v>
      </c>
      <c r="T484" s="67"/>
      <c r="U484" s="71">
        <v>3.0</v>
      </c>
      <c r="V484" s="71">
        <v>75.0</v>
      </c>
      <c r="W484" s="67"/>
      <c r="X484" s="67"/>
      <c r="Y484" s="67"/>
      <c r="Z484" s="67"/>
      <c r="AA484" s="67"/>
      <c r="AB484" s="67"/>
      <c r="AC484" s="67"/>
    </row>
    <row r="485">
      <c r="A485" s="74">
        <v>46005.0</v>
      </c>
      <c r="B485" s="70" t="s">
        <v>2529</v>
      </c>
      <c r="C485" s="70" t="s">
        <v>2530</v>
      </c>
      <c r="D485" s="71">
        <v>24.0</v>
      </c>
      <c r="E485" s="71">
        <v>0.0</v>
      </c>
      <c r="F485" s="68"/>
      <c r="G485" s="68"/>
      <c r="H485" s="68"/>
      <c r="I485" s="69"/>
      <c r="J485" s="70" t="s">
        <v>1450</v>
      </c>
      <c r="K485" s="67"/>
      <c r="L485" s="70" t="s">
        <v>2531</v>
      </c>
      <c r="M485" s="75">
        <v>1.0</v>
      </c>
      <c r="N485" s="75">
        <v>0.0</v>
      </c>
      <c r="O485" s="75">
        <v>0.0</v>
      </c>
      <c r="P485" s="75">
        <v>1.0</v>
      </c>
      <c r="Q485" s="70" t="s">
        <v>22</v>
      </c>
      <c r="R485" s="71">
        <v>2.11</v>
      </c>
      <c r="S485" s="71">
        <v>26.11</v>
      </c>
      <c r="T485" s="67"/>
      <c r="U485" s="71">
        <v>6.88</v>
      </c>
      <c r="V485" s="71">
        <v>6.88</v>
      </c>
      <c r="W485" s="67"/>
      <c r="X485" s="67"/>
      <c r="Y485" s="67"/>
      <c r="Z485" s="67"/>
      <c r="AA485" s="67"/>
      <c r="AB485" s="67"/>
      <c r="AC485" s="67"/>
    </row>
    <row r="486">
      <c r="A486" s="74">
        <v>46005.0</v>
      </c>
      <c r="B486" s="70" t="s">
        <v>2532</v>
      </c>
      <c r="C486" s="70" t="s">
        <v>1936</v>
      </c>
      <c r="D486" s="71">
        <v>4.99</v>
      </c>
      <c r="E486" s="71">
        <v>0.0</v>
      </c>
      <c r="F486" s="68"/>
      <c r="G486" s="68"/>
      <c r="H486" s="68"/>
      <c r="I486" s="69"/>
      <c r="J486" s="70" t="s">
        <v>1450</v>
      </c>
      <c r="K486" s="67"/>
      <c r="L486" s="70" t="s">
        <v>2533</v>
      </c>
      <c r="M486" s="75">
        <v>1.0</v>
      </c>
      <c r="N486" s="75">
        <v>0.0</v>
      </c>
      <c r="O486" s="75">
        <v>0.0</v>
      </c>
      <c r="P486" s="75">
        <v>1.0</v>
      </c>
      <c r="Q486" s="70" t="s">
        <v>22</v>
      </c>
      <c r="R486" s="71">
        <v>1.24</v>
      </c>
      <c r="S486" s="71">
        <v>6.23</v>
      </c>
      <c r="T486" s="67"/>
      <c r="U486" s="71">
        <v>7.06</v>
      </c>
      <c r="V486" s="71">
        <v>7.06</v>
      </c>
      <c r="W486" s="67"/>
      <c r="X486" s="67"/>
      <c r="Y486" s="67"/>
      <c r="Z486" s="67"/>
      <c r="AA486" s="67"/>
      <c r="AB486" s="67"/>
      <c r="AC486" s="67"/>
    </row>
    <row r="487">
      <c r="A487" s="74">
        <v>46005.0</v>
      </c>
      <c r="B487" s="70" t="s">
        <v>2534</v>
      </c>
      <c r="C487" s="70" t="s">
        <v>1757</v>
      </c>
      <c r="D487" s="71">
        <v>4.33</v>
      </c>
      <c r="E487" s="71">
        <v>6.67</v>
      </c>
      <c r="F487" s="68"/>
      <c r="G487" s="68"/>
      <c r="H487" s="68"/>
      <c r="I487" s="69"/>
      <c r="J487" s="70" t="s">
        <v>1450</v>
      </c>
      <c r="K487" s="67"/>
      <c r="L487" s="70" t="s">
        <v>2535</v>
      </c>
      <c r="M487" s="75">
        <v>1.0</v>
      </c>
      <c r="N487" s="75">
        <v>0.0</v>
      </c>
      <c r="O487" s="75">
        <v>0.0</v>
      </c>
      <c r="P487" s="75">
        <v>1.0</v>
      </c>
      <c r="Q487" s="70" t="s">
        <v>22</v>
      </c>
      <c r="R487" s="71">
        <v>0.85</v>
      </c>
      <c r="S487" s="71">
        <v>5.18</v>
      </c>
      <c r="T487" s="70"/>
      <c r="U487" s="71">
        <v>7.06</v>
      </c>
      <c r="V487" s="71">
        <v>13.73</v>
      </c>
      <c r="W487" s="67"/>
      <c r="X487" s="67"/>
      <c r="Y487" s="67"/>
      <c r="Z487" s="67"/>
      <c r="AA487" s="67"/>
      <c r="AB487" s="67"/>
      <c r="AC487" s="67"/>
    </row>
    <row r="488">
      <c r="A488" s="74">
        <v>46005.0</v>
      </c>
      <c r="B488" s="70" t="s">
        <v>2536</v>
      </c>
      <c r="C488" s="70" t="s">
        <v>1542</v>
      </c>
      <c r="D488" s="71">
        <v>17.75</v>
      </c>
      <c r="E488" s="71">
        <v>35.5</v>
      </c>
      <c r="F488" s="68"/>
      <c r="G488" s="68"/>
      <c r="H488" s="71"/>
      <c r="I488" s="72"/>
      <c r="J488" s="70" t="s">
        <v>1450</v>
      </c>
      <c r="K488" s="67"/>
      <c r="L488" s="67" t="s">
        <v>2537</v>
      </c>
      <c r="M488" s="75">
        <v>1.0</v>
      </c>
      <c r="N488" s="75">
        <v>0.0</v>
      </c>
      <c r="O488" s="75">
        <v>0.0</v>
      </c>
      <c r="P488" s="75">
        <v>1.0</v>
      </c>
      <c r="Q488" s="76" t="s">
        <v>22</v>
      </c>
      <c r="R488" s="71">
        <v>0.83</v>
      </c>
      <c r="S488" s="71">
        <v>18.58</v>
      </c>
      <c r="T488" s="70"/>
      <c r="U488" s="71">
        <v>6.88</v>
      </c>
      <c r="V488" s="71">
        <v>42.38</v>
      </c>
      <c r="W488" s="67"/>
      <c r="X488" s="67"/>
      <c r="Y488" s="67"/>
      <c r="Z488" s="67"/>
      <c r="AA488" s="67"/>
      <c r="AB488" s="67"/>
      <c r="AC488" s="67"/>
    </row>
    <row r="489">
      <c r="A489" s="74">
        <v>46005.0</v>
      </c>
      <c r="B489" s="70" t="s">
        <v>2538</v>
      </c>
      <c r="C489" s="70" t="s">
        <v>1449</v>
      </c>
      <c r="D489" s="71">
        <v>4.75</v>
      </c>
      <c r="E489" s="71">
        <v>9.5</v>
      </c>
      <c r="F489" s="71">
        <v>15.0</v>
      </c>
      <c r="G489" s="68"/>
      <c r="H489" s="71">
        <v>7.52</v>
      </c>
      <c r="I489" s="72">
        <v>0.5013333333333333</v>
      </c>
      <c r="J489" s="70" t="s">
        <v>1462</v>
      </c>
      <c r="K489" s="67"/>
      <c r="L489" s="70" t="s">
        <v>2539</v>
      </c>
      <c r="M489" s="75">
        <v>1.0</v>
      </c>
      <c r="N489" s="75">
        <v>0.0</v>
      </c>
      <c r="O489" s="75">
        <v>0.0</v>
      </c>
      <c r="P489" s="75">
        <v>1.0</v>
      </c>
      <c r="Q489" s="70" t="s">
        <v>22</v>
      </c>
      <c r="R489" s="71">
        <v>2.73</v>
      </c>
      <c r="S489" s="71">
        <v>7.48</v>
      </c>
      <c r="T489" s="70"/>
      <c r="U489" s="71">
        <v>3.75</v>
      </c>
      <c r="V489" s="71">
        <v>13.25</v>
      </c>
      <c r="W489" s="67"/>
      <c r="X489" s="67"/>
      <c r="Y489" s="67"/>
      <c r="Z489" s="67"/>
      <c r="AA489" s="67"/>
      <c r="AB489" s="67"/>
      <c r="AC489" s="67"/>
    </row>
    <row r="490">
      <c r="A490" s="74">
        <v>46005.0</v>
      </c>
      <c r="B490" s="70" t="s">
        <v>2540</v>
      </c>
      <c r="C490" s="70" t="s">
        <v>2212</v>
      </c>
      <c r="D490" s="71">
        <v>21.3</v>
      </c>
      <c r="E490" s="71">
        <v>42.6</v>
      </c>
      <c r="F490" s="68"/>
      <c r="G490" s="68"/>
      <c r="H490" s="68"/>
      <c r="I490" s="69"/>
      <c r="J490" s="70" t="s">
        <v>1666</v>
      </c>
      <c r="K490" s="67"/>
      <c r="L490" s="70" t="s">
        <v>2541</v>
      </c>
      <c r="M490" s="75">
        <v>1.0</v>
      </c>
      <c r="N490" s="75">
        <v>0.0</v>
      </c>
      <c r="O490" s="75">
        <v>0.0</v>
      </c>
      <c r="P490" s="75">
        <v>1.0</v>
      </c>
      <c r="Q490" s="70" t="s">
        <v>22</v>
      </c>
      <c r="R490" s="71">
        <v>2.73</v>
      </c>
      <c r="S490" s="71">
        <v>24.03</v>
      </c>
      <c r="T490" s="67"/>
      <c r="U490" s="71">
        <v>5.5</v>
      </c>
      <c r="V490" s="71">
        <v>48.1</v>
      </c>
      <c r="W490" s="67"/>
      <c r="X490" s="67"/>
      <c r="Y490" s="67"/>
      <c r="Z490" s="67"/>
      <c r="AA490" s="67"/>
      <c r="AB490" s="67"/>
      <c r="AC490" s="67"/>
    </row>
    <row r="491">
      <c r="A491" s="74">
        <v>46005.0</v>
      </c>
      <c r="B491" s="70" t="s">
        <v>2542</v>
      </c>
      <c r="C491" s="70" t="s">
        <v>1449</v>
      </c>
      <c r="D491" s="71">
        <v>4.75</v>
      </c>
      <c r="E491" s="71">
        <v>9.5</v>
      </c>
      <c r="F491" s="71">
        <v>15.0</v>
      </c>
      <c r="G491" s="68"/>
      <c r="H491" s="71">
        <v>7.52</v>
      </c>
      <c r="I491" s="72">
        <v>0.5013333333333333</v>
      </c>
      <c r="J491" s="70" t="s">
        <v>1462</v>
      </c>
      <c r="K491" s="67"/>
      <c r="L491" s="70" t="s">
        <v>2543</v>
      </c>
      <c r="M491" s="75">
        <v>1.0</v>
      </c>
      <c r="N491" s="75">
        <v>0.0</v>
      </c>
      <c r="O491" s="75">
        <v>0.0</v>
      </c>
      <c r="P491" s="75">
        <v>1.0</v>
      </c>
      <c r="Q491" s="70" t="s">
        <v>22</v>
      </c>
      <c r="R491" s="71">
        <v>2.73</v>
      </c>
      <c r="S491" s="71">
        <v>7.48</v>
      </c>
      <c r="T491" s="67"/>
      <c r="U491" s="71">
        <v>3.75</v>
      </c>
      <c r="V491" s="71">
        <v>13.25</v>
      </c>
      <c r="W491" s="67"/>
      <c r="X491" s="67"/>
      <c r="Y491" s="67"/>
      <c r="Z491" s="67"/>
      <c r="AA491" s="67"/>
      <c r="AB491" s="67"/>
      <c r="AC491" s="67"/>
    </row>
    <row r="492">
      <c r="A492" s="74">
        <v>46005.0</v>
      </c>
      <c r="B492" s="70" t="s">
        <v>2544</v>
      </c>
      <c r="C492" s="70" t="s">
        <v>1812</v>
      </c>
      <c r="D492" s="71">
        <v>10.2</v>
      </c>
      <c r="E492" s="71">
        <v>21.99</v>
      </c>
      <c r="F492" s="68"/>
      <c r="G492" s="68"/>
      <c r="H492" s="68"/>
      <c r="I492" s="69"/>
      <c r="J492" s="70" t="s">
        <v>1450</v>
      </c>
      <c r="K492" s="67"/>
      <c r="L492" s="70" t="s">
        <v>2545</v>
      </c>
      <c r="M492" s="75">
        <v>1.0</v>
      </c>
      <c r="N492" s="75">
        <v>0.0</v>
      </c>
      <c r="O492" s="75">
        <v>0.0</v>
      </c>
      <c r="P492" s="75">
        <v>1.0</v>
      </c>
      <c r="Q492" s="70" t="s">
        <v>22</v>
      </c>
      <c r="R492" s="71">
        <v>2.23</v>
      </c>
      <c r="S492" s="71">
        <v>12.43</v>
      </c>
      <c r="T492" s="67"/>
      <c r="U492" s="71">
        <v>6.88</v>
      </c>
      <c r="V492" s="71">
        <v>28.87</v>
      </c>
      <c r="W492" s="67"/>
      <c r="X492" s="67"/>
      <c r="Y492" s="67"/>
      <c r="Z492" s="67"/>
      <c r="AA492" s="67"/>
      <c r="AB492" s="67"/>
      <c r="AC492" s="67"/>
    </row>
    <row r="493">
      <c r="A493" s="74">
        <v>46005.0</v>
      </c>
      <c r="B493" s="70" t="s">
        <v>2546</v>
      </c>
      <c r="C493" s="70" t="s">
        <v>1812</v>
      </c>
      <c r="D493" s="71">
        <v>10.2</v>
      </c>
      <c r="E493" s="71">
        <v>21.99</v>
      </c>
      <c r="F493" s="68"/>
      <c r="G493" s="68"/>
      <c r="H493" s="68"/>
      <c r="I493" s="69"/>
      <c r="J493" s="70" t="s">
        <v>1450</v>
      </c>
      <c r="K493" s="67"/>
      <c r="L493" s="70" t="s">
        <v>2547</v>
      </c>
      <c r="M493" s="75">
        <v>1.0</v>
      </c>
      <c r="N493" s="75">
        <v>0.0</v>
      </c>
      <c r="O493" s="75">
        <v>0.0</v>
      </c>
      <c r="P493" s="75">
        <v>1.0</v>
      </c>
      <c r="Q493" s="70" t="s">
        <v>22</v>
      </c>
      <c r="R493" s="71">
        <v>2.11</v>
      </c>
      <c r="S493" s="71">
        <v>12.31</v>
      </c>
      <c r="T493" s="67"/>
      <c r="U493" s="71">
        <v>6.88</v>
      </c>
      <c r="V493" s="71">
        <v>28.87</v>
      </c>
      <c r="W493" s="67"/>
      <c r="X493" s="67"/>
      <c r="Y493" s="67"/>
      <c r="Z493" s="67"/>
      <c r="AA493" s="67"/>
      <c r="AB493" s="67"/>
      <c r="AC493" s="67"/>
    </row>
    <row r="494">
      <c r="A494" s="74">
        <v>46005.0</v>
      </c>
      <c r="B494" s="70" t="s">
        <v>2548</v>
      </c>
      <c r="C494" s="70" t="s">
        <v>1812</v>
      </c>
      <c r="D494" s="71">
        <v>10.2</v>
      </c>
      <c r="E494" s="71">
        <v>21.99</v>
      </c>
      <c r="F494" s="68"/>
      <c r="G494" s="68"/>
      <c r="H494" s="68"/>
      <c r="I494" s="69"/>
      <c r="J494" s="70" t="s">
        <v>1450</v>
      </c>
      <c r="K494" s="67"/>
      <c r="L494" s="70" t="s">
        <v>2549</v>
      </c>
      <c r="M494" s="75">
        <v>1.0</v>
      </c>
      <c r="N494" s="75">
        <v>0.0</v>
      </c>
      <c r="O494" s="75">
        <v>0.0</v>
      </c>
      <c r="P494" s="75">
        <v>1.0</v>
      </c>
      <c r="Q494" s="70" t="s">
        <v>22</v>
      </c>
      <c r="R494" s="71">
        <v>2.11</v>
      </c>
      <c r="S494" s="71">
        <v>12.31</v>
      </c>
      <c r="T494" s="67"/>
      <c r="U494" s="71">
        <v>6.88</v>
      </c>
      <c r="V494" s="71">
        <v>28.87</v>
      </c>
      <c r="W494" s="67"/>
      <c r="X494" s="67"/>
      <c r="Y494" s="67"/>
      <c r="Z494" s="67"/>
      <c r="AA494" s="67"/>
      <c r="AB494" s="67"/>
      <c r="AC494" s="67"/>
    </row>
    <row r="495">
      <c r="A495" s="74">
        <v>46005.0</v>
      </c>
      <c r="B495" s="70" t="s">
        <v>2550</v>
      </c>
      <c r="C495" s="70" t="s">
        <v>1545</v>
      </c>
      <c r="D495" s="71">
        <v>8.1</v>
      </c>
      <c r="E495" s="71">
        <v>16.99</v>
      </c>
      <c r="F495" s="68"/>
      <c r="G495" s="68"/>
      <c r="H495" s="68"/>
      <c r="I495" s="69"/>
      <c r="J495" s="70" t="s">
        <v>1450</v>
      </c>
      <c r="K495" s="67"/>
      <c r="L495" s="70" t="s">
        <v>2551</v>
      </c>
      <c r="M495" s="75">
        <v>1.0</v>
      </c>
      <c r="N495" s="75">
        <v>0.0</v>
      </c>
      <c r="O495" s="75">
        <v>0.0</v>
      </c>
      <c r="P495" s="75">
        <v>1.0</v>
      </c>
      <c r="Q495" s="70" t="s">
        <v>22</v>
      </c>
      <c r="R495" s="71">
        <v>2.11</v>
      </c>
      <c r="S495" s="71">
        <v>10.21</v>
      </c>
      <c r="T495" s="67"/>
      <c r="U495" s="71">
        <v>6.88</v>
      </c>
      <c r="V495" s="71">
        <v>23.87</v>
      </c>
      <c r="W495" s="67"/>
      <c r="X495" s="67"/>
      <c r="Y495" s="67"/>
      <c r="Z495" s="67"/>
      <c r="AA495" s="67"/>
      <c r="AB495" s="67"/>
      <c r="AC495" s="67"/>
    </row>
    <row r="496">
      <c r="A496" s="74">
        <v>46005.0</v>
      </c>
      <c r="B496" s="70" t="s">
        <v>2552</v>
      </c>
      <c r="C496" s="70" t="s">
        <v>1545</v>
      </c>
      <c r="D496" s="71">
        <v>8.1</v>
      </c>
      <c r="E496" s="71">
        <v>16.99</v>
      </c>
      <c r="F496" s="68"/>
      <c r="G496" s="68"/>
      <c r="H496" s="68"/>
      <c r="I496" s="69"/>
      <c r="J496" s="70" t="s">
        <v>1450</v>
      </c>
      <c r="K496" s="67"/>
      <c r="L496" s="70" t="s">
        <v>2553</v>
      </c>
      <c r="M496" s="75">
        <v>1.0</v>
      </c>
      <c r="N496" s="75">
        <v>0.0</v>
      </c>
      <c r="O496" s="75">
        <v>0.0</v>
      </c>
      <c r="P496" s="75">
        <v>1.0</v>
      </c>
      <c r="Q496" s="70" t="s">
        <v>22</v>
      </c>
      <c r="R496" s="71">
        <v>2.11</v>
      </c>
      <c r="S496" s="71">
        <v>10.21</v>
      </c>
      <c r="T496" s="67"/>
      <c r="U496" s="71">
        <v>6.88</v>
      </c>
      <c r="V496" s="71">
        <v>23.87</v>
      </c>
      <c r="W496" s="67"/>
      <c r="X496" s="67"/>
      <c r="Y496" s="67"/>
      <c r="Z496" s="67"/>
      <c r="AA496" s="67"/>
      <c r="AB496" s="67"/>
      <c r="AC496" s="67"/>
    </row>
    <row r="497">
      <c r="A497" s="74">
        <v>46007.0</v>
      </c>
      <c r="B497" s="70" t="s">
        <v>2554</v>
      </c>
      <c r="C497" s="70" t="s">
        <v>2051</v>
      </c>
      <c r="D497" s="71">
        <v>1.6</v>
      </c>
      <c r="E497" s="71">
        <v>3.0</v>
      </c>
      <c r="F497" s="68"/>
      <c r="G497" s="68"/>
      <c r="H497" s="71">
        <v>-2.84</v>
      </c>
      <c r="I497" s="72">
        <v>-1.0</v>
      </c>
      <c r="J497" s="70" t="s">
        <v>1595</v>
      </c>
      <c r="K497" s="67"/>
      <c r="L497" s="70" t="s">
        <v>2555</v>
      </c>
      <c r="M497" s="75">
        <v>1.0</v>
      </c>
      <c r="N497" s="75">
        <v>0.0</v>
      </c>
      <c r="O497" s="75">
        <v>1.0</v>
      </c>
      <c r="P497" s="75">
        <v>0.0</v>
      </c>
      <c r="Q497" s="76" t="s">
        <v>22</v>
      </c>
      <c r="R497" s="71">
        <v>1.24</v>
      </c>
      <c r="S497" s="71">
        <v>2.84</v>
      </c>
      <c r="T497" s="70"/>
      <c r="U497" s="71">
        <v>7.06</v>
      </c>
      <c r="V497" s="71">
        <v>10.06</v>
      </c>
      <c r="W497" s="67"/>
      <c r="X497" s="67"/>
      <c r="Y497" s="67"/>
      <c r="Z497" s="67"/>
      <c r="AA497" s="67"/>
      <c r="AB497" s="67"/>
      <c r="AC497" s="67"/>
    </row>
    <row r="498">
      <c r="A498" s="74">
        <v>46007.0</v>
      </c>
      <c r="B498" s="70" t="s">
        <v>2556</v>
      </c>
      <c r="C498" s="70" t="s">
        <v>2527</v>
      </c>
      <c r="D498" s="71">
        <v>36.0</v>
      </c>
      <c r="E498" s="71">
        <v>72.0</v>
      </c>
      <c r="F498" s="68"/>
      <c r="G498" s="68"/>
      <c r="H498" s="68"/>
      <c r="I498" s="69"/>
      <c r="J498" s="70" t="s">
        <v>1450</v>
      </c>
      <c r="K498" s="67"/>
      <c r="L498" s="70" t="s">
        <v>2557</v>
      </c>
      <c r="M498" s="75">
        <v>1.0</v>
      </c>
      <c r="N498" s="75">
        <v>0.0</v>
      </c>
      <c r="O498" s="75">
        <v>0.0</v>
      </c>
      <c r="P498" s="75">
        <v>1.0</v>
      </c>
      <c r="Q498" s="70" t="s">
        <v>22</v>
      </c>
      <c r="R498" s="71">
        <v>0.45</v>
      </c>
      <c r="S498" s="71">
        <v>36.45</v>
      </c>
      <c r="T498" s="67"/>
      <c r="U498" s="71">
        <v>1.94</v>
      </c>
      <c r="V498" s="71">
        <v>73.94</v>
      </c>
      <c r="W498" s="67"/>
      <c r="X498" s="67"/>
      <c r="Y498" s="67"/>
      <c r="Z498" s="67"/>
      <c r="AA498" s="67"/>
      <c r="AB498" s="67"/>
      <c r="AC498" s="67"/>
    </row>
    <row r="499">
      <c r="A499" s="74">
        <v>46007.0</v>
      </c>
      <c r="B499" s="70" t="s">
        <v>2558</v>
      </c>
      <c r="C499" s="70" t="s">
        <v>2527</v>
      </c>
      <c r="D499" s="71">
        <v>36.0</v>
      </c>
      <c r="E499" s="71">
        <v>72.0</v>
      </c>
      <c r="F499" s="68"/>
      <c r="G499" s="68"/>
      <c r="H499" s="68"/>
      <c r="I499" s="69"/>
      <c r="J499" s="70" t="s">
        <v>1450</v>
      </c>
      <c r="K499" s="67"/>
      <c r="L499" s="70" t="s">
        <v>2559</v>
      </c>
      <c r="M499" s="75">
        <v>1.0</v>
      </c>
      <c r="N499" s="75">
        <v>0.0</v>
      </c>
      <c r="O499" s="75">
        <v>0.0</v>
      </c>
      <c r="P499" s="75">
        <v>1.0</v>
      </c>
      <c r="Q499" s="70" t="s">
        <v>22</v>
      </c>
      <c r="R499" s="71">
        <v>0.13</v>
      </c>
      <c r="S499" s="71">
        <v>36.13</v>
      </c>
      <c r="T499" s="67"/>
      <c r="U499" s="71">
        <v>0.0</v>
      </c>
      <c r="V499" s="71">
        <v>72.0</v>
      </c>
      <c r="W499" s="67"/>
      <c r="X499" s="67"/>
      <c r="Y499" s="67"/>
      <c r="Z499" s="67"/>
      <c r="AA499" s="67"/>
      <c r="AB499" s="67"/>
      <c r="AC499" s="67"/>
    </row>
    <row r="500">
      <c r="A500" s="74">
        <v>46007.0</v>
      </c>
      <c r="B500" s="70" t="s">
        <v>2560</v>
      </c>
      <c r="C500" s="70" t="s">
        <v>1752</v>
      </c>
      <c r="D500" s="71">
        <v>2.67</v>
      </c>
      <c r="E500" s="71">
        <v>5.0</v>
      </c>
      <c r="F500" s="68"/>
      <c r="G500" s="68"/>
      <c r="H500" s="71">
        <v>-2.8</v>
      </c>
      <c r="I500" s="72">
        <v>-1.0</v>
      </c>
      <c r="J500" s="70" t="s">
        <v>1595</v>
      </c>
      <c r="K500" s="67"/>
      <c r="L500" s="70" t="s">
        <v>2561</v>
      </c>
      <c r="M500" s="75">
        <v>1.0</v>
      </c>
      <c r="N500" s="75">
        <v>0.0</v>
      </c>
      <c r="O500" s="75">
        <v>1.0</v>
      </c>
      <c r="P500" s="75">
        <v>0.0</v>
      </c>
      <c r="Q500" s="70" t="s">
        <v>22</v>
      </c>
      <c r="R500" s="71">
        <v>0.13</v>
      </c>
      <c r="S500" s="71">
        <v>2.8</v>
      </c>
      <c r="T500" s="67"/>
      <c r="U500" s="71">
        <v>0.0</v>
      </c>
      <c r="V500" s="71">
        <v>5.0</v>
      </c>
      <c r="W500" s="67"/>
      <c r="X500" s="67"/>
      <c r="Y500" s="67"/>
      <c r="Z500" s="67"/>
      <c r="AA500" s="67"/>
      <c r="AB500" s="67"/>
      <c r="AC500" s="67"/>
    </row>
    <row r="501">
      <c r="A501" s="74">
        <v>46007.0</v>
      </c>
      <c r="B501" s="70" t="s">
        <v>2562</v>
      </c>
      <c r="C501" s="70" t="s">
        <v>1698</v>
      </c>
      <c r="D501" s="71">
        <v>8.0</v>
      </c>
      <c r="E501" s="71">
        <v>0.0</v>
      </c>
      <c r="F501" s="68"/>
      <c r="G501" s="68"/>
      <c r="H501" s="68"/>
      <c r="I501" s="69"/>
      <c r="J501" s="70" t="s">
        <v>1450</v>
      </c>
      <c r="K501" s="67"/>
      <c r="L501" s="70" t="s">
        <v>2563</v>
      </c>
      <c r="M501" s="75">
        <v>1.0</v>
      </c>
      <c r="N501" s="75">
        <v>0.0</v>
      </c>
      <c r="O501" s="75">
        <v>0.0</v>
      </c>
      <c r="P501" s="75">
        <v>1.0</v>
      </c>
      <c r="Q501" s="70" t="s">
        <v>22</v>
      </c>
      <c r="R501" s="71">
        <v>0.85</v>
      </c>
      <c r="S501" s="71">
        <v>8.85</v>
      </c>
      <c r="T501" s="67"/>
      <c r="U501" s="71">
        <v>7.06</v>
      </c>
      <c r="V501" s="71">
        <v>7.06</v>
      </c>
      <c r="W501" s="67"/>
      <c r="X501" s="67"/>
      <c r="Y501" s="67"/>
      <c r="Z501" s="67"/>
      <c r="AA501" s="67"/>
      <c r="AB501" s="67"/>
      <c r="AC501" s="67"/>
    </row>
    <row r="502">
      <c r="A502" s="74">
        <v>46007.0</v>
      </c>
      <c r="B502" s="70" t="s">
        <v>2564</v>
      </c>
      <c r="C502" s="70" t="s">
        <v>1698</v>
      </c>
      <c r="D502" s="71">
        <v>8.0</v>
      </c>
      <c r="E502" s="71">
        <v>0.0</v>
      </c>
      <c r="F502" s="71">
        <v>8.0</v>
      </c>
      <c r="G502" s="68"/>
      <c r="H502" s="71">
        <v>-0.21</v>
      </c>
      <c r="I502" s="72">
        <v>-0.02625</v>
      </c>
      <c r="J502" s="70" t="s">
        <v>1462</v>
      </c>
      <c r="K502" s="67"/>
      <c r="L502" s="70" t="s">
        <v>2565</v>
      </c>
      <c r="M502" s="75">
        <v>1.0</v>
      </c>
      <c r="N502" s="75">
        <v>0.0</v>
      </c>
      <c r="O502" s="75">
        <v>0.0</v>
      </c>
      <c r="P502" s="75">
        <v>1.0</v>
      </c>
      <c r="Q502" s="70" t="s">
        <v>22</v>
      </c>
      <c r="R502" s="71">
        <v>0.21</v>
      </c>
      <c r="S502" s="71">
        <v>8.21</v>
      </c>
      <c r="T502" s="67"/>
      <c r="U502" s="71">
        <v>0.69</v>
      </c>
      <c r="V502" s="71">
        <v>0.69</v>
      </c>
      <c r="W502" s="67"/>
      <c r="X502" s="67"/>
      <c r="Y502" s="67"/>
      <c r="Z502" s="67"/>
      <c r="AA502" s="67"/>
      <c r="AB502" s="67"/>
      <c r="AC502" s="67"/>
    </row>
    <row r="503">
      <c r="A503" s="74">
        <v>46007.0</v>
      </c>
      <c r="B503" s="70" t="s">
        <v>2566</v>
      </c>
      <c r="C503" s="70" t="s">
        <v>1698</v>
      </c>
      <c r="D503" s="71">
        <v>8.0</v>
      </c>
      <c r="E503" s="71">
        <v>0.0</v>
      </c>
      <c r="F503" s="68"/>
      <c r="G503" s="68"/>
      <c r="H503" s="71">
        <v>-8.21</v>
      </c>
      <c r="I503" s="72">
        <v>-1.0</v>
      </c>
      <c r="J503" s="70" t="s">
        <v>1595</v>
      </c>
      <c r="K503" s="67"/>
      <c r="L503" s="70" t="s">
        <v>2567</v>
      </c>
      <c r="M503" s="75">
        <v>1.0</v>
      </c>
      <c r="N503" s="75">
        <v>0.0</v>
      </c>
      <c r="O503" s="75">
        <v>1.0</v>
      </c>
      <c r="P503" s="75">
        <v>0.0</v>
      </c>
      <c r="Q503" s="70" t="s">
        <v>22</v>
      </c>
      <c r="R503" s="71">
        <v>0.21</v>
      </c>
      <c r="S503" s="71">
        <v>8.21</v>
      </c>
      <c r="T503" s="67"/>
      <c r="U503" s="71">
        <v>0.69</v>
      </c>
      <c r="V503" s="71">
        <v>0.69</v>
      </c>
      <c r="W503" s="67"/>
      <c r="X503" s="67"/>
      <c r="Y503" s="67"/>
      <c r="Z503" s="67"/>
      <c r="AA503" s="67"/>
      <c r="AB503" s="67"/>
      <c r="AC503" s="67"/>
    </row>
    <row r="504">
      <c r="A504" s="74">
        <v>46007.0</v>
      </c>
      <c r="B504" s="70" t="s">
        <v>2568</v>
      </c>
      <c r="C504" s="70" t="s">
        <v>1698</v>
      </c>
      <c r="D504" s="71">
        <v>8.0</v>
      </c>
      <c r="E504" s="71">
        <v>0.0</v>
      </c>
      <c r="F504" s="68"/>
      <c r="G504" s="68"/>
      <c r="H504" s="71">
        <v>-8.21</v>
      </c>
      <c r="I504" s="72">
        <v>-1.0</v>
      </c>
      <c r="J504" s="70" t="s">
        <v>1595</v>
      </c>
      <c r="K504" s="67"/>
      <c r="L504" s="70" t="s">
        <v>2569</v>
      </c>
      <c r="M504" s="75">
        <v>1.0</v>
      </c>
      <c r="N504" s="75">
        <v>0.0</v>
      </c>
      <c r="O504" s="75">
        <v>1.0</v>
      </c>
      <c r="P504" s="75">
        <v>0.0</v>
      </c>
      <c r="Q504" s="70" t="s">
        <v>22</v>
      </c>
      <c r="R504" s="71">
        <v>0.21</v>
      </c>
      <c r="S504" s="71">
        <v>8.21</v>
      </c>
      <c r="T504" s="67"/>
      <c r="U504" s="71">
        <v>0.69</v>
      </c>
      <c r="V504" s="71">
        <v>0.69</v>
      </c>
      <c r="W504" s="67"/>
      <c r="X504" s="67"/>
      <c r="Y504" s="67"/>
      <c r="Z504" s="67"/>
      <c r="AA504" s="67"/>
      <c r="AB504" s="67"/>
      <c r="AC504" s="67"/>
    </row>
    <row r="505">
      <c r="A505" s="74">
        <v>46007.0</v>
      </c>
      <c r="B505" s="70" t="s">
        <v>2570</v>
      </c>
      <c r="C505" s="70" t="s">
        <v>2051</v>
      </c>
      <c r="D505" s="71">
        <v>1.6</v>
      </c>
      <c r="E505" s="71">
        <v>3.0</v>
      </c>
      <c r="F505" s="68"/>
      <c r="G505" s="68"/>
      <c r="H505" s="68"/>
      <c r="I505" s="69"/>
      <c r="J505" s="70" t="s">
        <v>1450</v>
      </c>
      <c r="K505" s="67"/>
      <c r="L505" s="70" t="s">
        <v>2571</v>
      </c>
      <c r="M505" s="75">
        <v>1.0</v>
      </c>
      <c r="N505" s="75">
        <v>0.0</v>
      </c>
      <c r="O505" s="75">
        <v>0.0</v>
      </c>
      <c r="P505" s="75">
        <v>1.0</v>
      </c>
      <c r="Q505" s="70" t="s">
        <v>22</v>
      </c>
      <c r="R505" s="71">
        <v>0.85</v>
      </c>
      <c r="S505" s="71">
        <v>2.45</v>
      </c>
      <c r="T505" s="67"/>
      <c r="U505" s="71">
        <v>7.06</v>
      </c>
      <c r="V505" s="71">
        <v>10.06</v>
      </c>
      <c r="W505" s="67"/>
      <c r="X505" s="67"/>
      <c r="Y505" s="67"/>
      <c r="Z505" s="67"/>
      <c r="AA505" s="67"/>
      <c r="AB505" s="67"/>
      <c r="AC505" s="67"/>
    </row>
    <row r="506">
      <c r="A506" s="74">
        <v>46007.0</v>
      </c>
      <c r="B506" s="70" t="s">
        <v>2572</v>
      </c>
      <c r="C506" s="70" t="s">
        <v>2051</v>
      </c>
      <c r="D506" s="71">
        <v>1.6</v>
      </c>
      <c r="E506" s="71">
        <v>3.0</v>
      </c>
      <c r="F506" s="68"/>
      <c r="G506" s="68"/>
      <c r="H506" s="71">
        <v>-1.81</v>
      </c>
      <c r="I506" s="72">
        <v>-1.0</v>
      </c>
      <c r="J506" s="70" t="s">
        <v>1595</v>
      </c>
      <c r="K506" s="67"/>
      <c r="L506" s="70" t="s">
        <v>2573</v>
      </c>
      <c r="M506" s="75">
        <v>1.0</v>
      </c>
      <c r="N506" s="75">
        <v>0.0</v>
      </c>
      <c r="O506" s="75">
        <v>1.0</v>
      </c>
      <c r="P506" s="75">
        <v>0.0</v>
      </c>
      <c r="Q506" s="70" t="s">
        <v>22</v>
      </c>
      <c r="R506" s="71">
        <v>0.21</v>
      </c>
      <c r="S506" s="71">
        <v>1.81</v>
      </c>
      <c r="T506" s="67"/>
      <c r="U506" s="71">
        <v>0.69</v>
      </c>
      <c r="V506" s="71">
        <v>3.69</v>
      </c>
      <c r="W506" s="67"/>
      <c r="X506" s="67"/>
      <c r="Y506" s="67"/>
      <c r="Z506" s="67"/>
      <c r="AA506" s="67"/>
      <c r="AB506" s="67"/>
      <c r="AC506" s="67"/>
    </row>
    <row r="507">
      <c r="A507" s="74">
        <v>46007.0</v>
      </c>
      <c r="B507" s="70" t="s">
        <v>2574</v>
      </c>
      <c r="C507" s="70" t="s">
        <v>2051</v>
      </c>
      <c r="D507" s="71">
        <v>1.6</v>
      </c>
      <c r="E507" s="71">
        <v>3.0</v>
      </c>
      <c r="F507" s="68"/>
      <c r="G507" s="68"/>
      <c r="H507" s="71">
        <v>-1.81</v>
      </c>
      <c r="I507" s="72">
        <v>-1.0</v>
      </c>
      <c r="J507" s="70" t="s">
        <v>1595</v>
      </c>
      <c r="K507" s="67"/>
      <c r="L507" s="70" t="s">
        <v>2575</v>
      </c>
      <c r="M507" s="75">
        <v>1.0</v>
      </c>
      <c r="N507" s="75">
        <v>0.0</v>
      </c>
      <c r="O507" s="75">
        <v>1.0</v>
      </c>
      <c r="P507" s="75">
        <v>0.0</v>
      </c>
      <c r="Q507" s="70" t="s">
        <v>22</v>
      </c>
      <c r="R507" s="71">
        <v>0.21</v>
      </c>
      <c r="S507" s="71">
        <v>1.81</v>
      </c>
      <c r="T507" s="67"/>
      <c r="U507" s="71">
        <v>0.69</v>
      </c>
      <c r="V507" s="71">
        <v>3.69</v>
      </c>
      <c r="W507" s="67"/>
      <c r="X507" s="67"/>
      <c r="Y507" s="67"/>
      <c r="Z507" s="67"/>
      <c r="AA507" s="67"/>
      <c r="AB507" s="67"/>
      <c r="AC507" s="67"/>
    </row>
    <row r="508">
      <c r="A508" s="74">
        <v>46007.0</v>
      </c>
      <c r="B508" s="70" t="s">
        <v>2576</v>
      </c>
      <c r="C508" s="70" t="s">
        <v>1490</v>
      </c>
      <c r="D508" s="71">
        <v>5.1</v>
      </c>
      <c r="E508" s="71">
        <v>12.5</v>
      </c>
      <c r="F508" s="68"/>
      <c r="G508" s="68"/>
      <c r="H508" s="71">
        <v>-5.31</v>
      </c>
      <c r="I508" s="72">
        <v>-1.0</v>
      </c>
      <c r="J508" s="70" t="s">
        <v>1595</v>
      </c>
      <c r="K508" s="67"/>
      <c r="L508" s="70" t="s">
        <v>2577</v>
      </c>
      <c r="M508" s="75">
        <v>1.0</v>
      </c>
      <c r="N508" s="75">
        <v>0.0</v>
      </c>
      <c r="O508" s="75">
        <v>1.0</v>
      </c>
      <c r="P508" s="75">
        <v>0.0</v>
      </c>
      <c r="Q508" s="70" t="s">
        <v>22</v>
      </c>
      <c r="R508" s="71">
        <v>0.21</v>
      </c>
      <c r="S508" s="71">
        <v>5.31</v>
      </c>
      <c r="T508" s="67"/>
      <c r="U508" s="71">
        <v>0.69</v>
      </c>
      <c r="V508" s="71">
        <v>13.19</v>
      </c>
      <c r="W508" s="67"/>
      <c r="X508" s="67"/>
      <c r="Y508" s="67"/>
      <c r="Z508" s="67"/>
      <c r="AA508" s="67"/>
      <c r="AB508" s="67"/>
      <c r="AC508" s="67"/>
    </row>
    <row r="509">
      <c r="A509" s="74">
        <v>46007.0</v>
      </c>
      <c r="B509" s="70" t="s">
        <v>2578</v>
      </c>
      <c r="C509" s="70" t="s">
        <v>1490</v>
      </c>
      <c r="D509" s="71">
        <v>5.1</v>
      </c>
      <c r="E509" s="71">
        <v>12.5</v>
      </c>
      <c r="F509" s="68"/>
      <c r="G509" s="68"/>
      <c r="H509" s="68"/>
      <c r="I509" s="69"/>
      <c r="J509" s="70" t="s">
        <v>1450</v>
      </c>
      <c r="K509" s="67"/>
      <c r="L509" s="70" t="s">
        <v>2579</v>
      </c>
      <c r="M509" s="75">
        <v>1.0</v>
      </c>
      <c r="N509" s="75">
        <v>0.0</v>
      </c>
      <c r="O509" s="75">
        <v>0.0</v>
      </c>
      <c r="P509" s="75">
        <v>1.0</v>
      </c>
      <c r="Q509" s="70" t="s">
        <v>22</v>
      </c>
      <c r="R509" s="71">
        <v>1.24</v>
      </c>
      <c r="S509" s="71">
        <v>6.34</v>
      </c>
      <c r="T509" s="67"/>
      <c r="U509" s="71">
        <v>7.06</v>
      </c>
      <c r="V509" s="71">
        <v>19.56</v>
      </c>
      <c r="W509" s="67"/>
      <c r="X509" s="67"/>
      <c r="Y509" s="67"/>
      <c r="Z509" s="67"/>
      <c r="AA509" s="67"/>
      <c r="AB509" s="67"/>
      <c r="AC509" s="67"/>
    </row>
    <row r="510">
      <c r="A510" s="74">
        <v>46007.0</v>
      </c>
      <c r="B510" s="70" t="s">
        <v>2580</v>
      </c>
      <c r="C510" s="70" t="s">
        <v>2581</v>
      </c>
      <c r="D510" s="71">
        <v>6.6</v>
      </c>
      <c r="E510" s="71">
        <v>14.99</v>
      </c>
      <c r="F510" s="68"/>
      <c r="G510" s="68"/>
      <c r="H510" s="71">
        <v>-6.88</v>
      </c>
      <c r="I510" s="72">
        <v>-1.0</v>
      </c>
      <c r="J510" s="70" t="s">
        <v>1595</v>
      </c>
      <c r="K510" s="67"/>
      <c r="L510" s="70" t="s">
        <v>2582</v>
      </c>
      <c r="M510" s="75">
        <v>1.0</v>
      </c>
      <c r="N510" s="75">
        <v>0.0</v>
      </c>
      <c r="O510" s="75">
        <v>1.0</v>
      </c>
      <c r="P510" s="75">
        <v>0.0</v>
      </c>
      <c r="Q510" s="70" t="s">
        <v>22</v>
      </c>
      <c r="R510" s="71">
        <v>0.28</v>
      </c>
      <c r="S510" s="71">
        <v>6.88</v>
      </c>
      <c r="T510" s="67"/>
      <c r="U510" s="71">
        <v>0.56</v>
      </c>
      <c r="V510" s="71">
        <v>15.55</v>
      </c>
      <c r="W510" s="67"/>
      <c r="X510" s="67"/>
      <c r="Y510" s="67"/>
      <c r="Z510" s="67"/>
      <c r="AA510" s="67"/>
      <c r="AB510" s="67"/>
      <c r="AC510" s="67"/>
    </row>
    <row r="511">
      <c r="A511" s="74">
        <v>46007.0</v>
      </c>
      <c r="B511" s="70" t="s">
        <v>2583</v>
      </c>
      <c r="C511" s="70" t="s">
        <v>2584</v>
      </c>
      <c r="D511" s="71">
        <v>24.0</v>
      </c>
      <c r="E511" s="71">
        <v>59.99</v>
      </c>
      <c r="F511" s="68"/>
      <c r="G511" s="68"/>
      <c r="H511" s="68"/>
      <c r="I511" s="69"/>
      <c r="J511" s="70" t="s">
        <v>1450</v>
      </c>
      <c r="K511" s="67"/>
      <c r="L511" s="70" t="s">
        <v>2585</v>
      </c>
      <c r="M511" s="75">
        <v>1.0</v>
      </c>
      <c r="N511" s="75">
        <v>0.0</v>
      </c>
      <c r="O511" s="75">
        <v>0.0</v>
      </c>
      <c r="P511" s="75">
        <v>1.0</v>
      </c>
      <c r="Q511" s="70" t="s">
        <v>22</v>
      </c>
      <c r="R511" s="71">
        <v>0.63</v>
      </c>
      <c r="S511" s="71">
        <v>24.63</v>
      </c>
      <c r="T511" s="67"/>
      <c r="U511" s="71">
        <v>1.38</v>
      </c>
      <c r="V511" s="71">
        <v>61.37</v>
      </c>
      <c r="W511" s="67"/>
      <c r="X511" s="67"/>
      <c r="Y511" s="67"/>
      <c r="Z511" s="67"/>
      <c r="AA511" s="67"/>
      <c r="AB511" s="67"/>
      <c r="AC511" s="67"/>
    </row>
    <row r="512">
      <c r="A512" s="74">
        <v>46008.0</v>
      </c>
      <c r="B512" s="70" t="s">
        <v>2586</v>
      </c>
      <c r="C512" s="70" t="s">
        <v>2587</v>
      </c>
      <c r="D512" s="71">
        <v>15.0</v>
      </c>
      <c r="E512" s="71">
        <v>35.0</v>
      </c>
      <c r="F512" s="68"/>
      <c r="G512" s="71">
        <v>40.0</v>
      </c>
      <c r="H512" s="71">
        <v>24.06</v>
      </c>
      <c r="I512" s="72">
        <v>0.6014999999999999</v>
      </c>
      <c r="J512" s="70" t="s">
        <v>1626</v>
      </c>
      <c r="K512" s="67"/>
      <c r="L512" s="67" t="s">
        <v>2588</v>
      </c>
      <c r="M512" s="75">
        <v>1.0</v>
      </c>
      <c r="N512" s="75">
        <v>1.0</v>
      </c>
      <c r="O512" s="75">
        <v>0.0</v>
      </c>
      <c r="P512" s="75">
        <v>0.0</v>
      </c>
      <c r="Q512" s="76" t="s">
        <v>22</v>
      </c>
      <c r="R512" s="71">
        <v>0.94</v>
      </c>
      <c r="S512" s="71">
        <v>15.94</v>
      </c>
      <c r="T512" s="67"/>
      <c r="U512" s="71">
        <v>0.0</v>
      </c>
      <c r="V512" s="71">
        <v>35.0</v>
      </c>
      <c r="W512" s="67"/>
      <c r="X512" s="67"/>
      <c r="Y512" s="67"/>
      <c r="Z512" s="67"/>
      <c r="AA512" s="67"/>
      <c r="AB512" s="67"/>
      <c r="AC512" s="67"/>
    </row>
    <row r="513">
      <c r="A513" s="74">
        <v>46008.0</v>
      </c>
      <c r="B513" s="70" t="s">
        <v>2589</v>
      </c>
      <c r="C513" s="70" t="s">
        <v>1757</v>
      </c>
      <c r="D513" s="71">
        <v>4.33</v>
      </c>
      <c r="E513" s="71">
        <v>6.67</v>
      </c>
      <c r="F513" s="68"/>
      <c r="G513" s="71">
        <v>10.0</v>
      </c>
      <c r="H513" s="71">
        <v>4.82</v>
      </c>
      <c r="I513" s="72">
        <v>0.48200000000000004</v>
      </c>
      <c r="J513" s="70" t="s">
        <v>1626</v>
      </c>
      <c r="K513" s="67"/>
      <c r="L513" s="70" t="s">
        <v>2590</v>
      </c>
      <c r="M513" s="75">
        <v>1.0</v>
      </c>
      <c r="N513" s="75">
        <v>1.0</v>
      </c>
      <c r="O513" s="75">
        <v>0.0</v>
      </c>
      <c r="P513" s="75">
        <v>0.0</v>
      </c>
      <c r="Q513" s="76" t="s">
        <v>22</v>
      </c>
      <c r="R513" s="71">
        <v>0.85</v>
      </c>
      <c r="S513" s="71">
        <v>5.18</v>
      </c>
      <c r="T513" s="67"/>
      <c r="U513" s="71">
        <v>7.06</v>
      </c>
      <c r="V513" s="71">
        <v>13.73</v>
      </c>
      <c r="W513" s="67"/>
      <c r="X513" s="67"/>
      <c r="Y513" s="67"/>
      <c r="Z513" s="67"/>
      <c r="AA513" s="67"/>
      <c r="AB513" s="67"/>
      <c r="AC513" s="67"/>
    </row>
    <row r="514">
      <c r="A514" s="74">
        <v>46008.0</v>
      </c>
      <c r="B514" s="70" t="s">
        <v>2591</v>
      </c>
      <c r="C514" s="70" t="s">
        <v>2199</v>
      </c>
      <c r="D514" s="71">
        <v>7.1</v>
      </c>
      <c r="E514" s="71">
        <v>14.2</v>
      </c>
      <c r="F514" s="71">
        <v>20.0</v>
      </c>
      <c r="G514" s="68"/>
      <c r="H514" s="71">
        <v>12.01</v>
      </c>
      <c r="I514" s="72">
        <v>0.6005</v>
      </c>
      <c r="J514" s="70" t="s">
        <v>1462</v>
      </c>
      <c r="K514" s="67"/>
      <c r="L514" s="70" t="s">
        <v>2592</v>
      </c>
      <c r="M514" s="75">
        <v>1.0</v>
      </c>
      <c r="N514" s="75">
        <v>0.0</v>
      </c>
      <c r="O514" s="75">
        <v>0.0</v>
      </c>
      <c r="P514" s="75">
        <v>1.0</v>
      </c>
      <c r="Q514" s="70" t="s">
        <v>22</v>
      </c>
      <c r="R514" s="71">
        <v>0.89</v>
      </c>
      <c r="S514" s="71">
        <v>7.99</v>
      </c>
      <c r="T514" s="67"/>
      <c r="U514" s="71">
        <v>6.5</v>
      </c>
      <c r="V514" s="71">
        <v>20.7</v>
      </c>
      <c r="W514" s="67"/>
      <c r="X514" s="67"/>
      <c r="Y514" s="67"/>
      <c r="Z514" s="67"/>
      <c r="AA514" s="67"/>
      <c r="AB514" s="67"/>
      <c r="AC514" s="67"/>
    </row>
    <row r="515">
      <c r="A515" s="74">
        <v>46008.0</v>
      </c>
      <c r="B515" s="70" t="s">
        <v>2593</v>
      </c>
      <c r="C515" s="70" t="s">
        <v>2190</v>
      </c>
      <c r="D515" s="71">
        <v>10.65</v>
      </c>
      <c r="E515" s="71">
        <v>21.3</v>
      </c>
      <c r="F515" s="71">
        <v>25.0</v>
      </c>
      <c r="G515" s="68"/>
      <c r="H515" s="71">
        <v>11.62</v>
      </c>
      <c r="I515" s="72">
        <v>0.4648</v>
      </c>
      <c r="J515" s="70" t="s">
        <v>1462</v>
      </c>
      <c r="K515" s="67"/>
      <c r="L515" s="70" t="s">
        <v>2594</v>
      </c>
      <c r="M515" s="75">
        <v>1.0</v>
      </c>
      <c r="N515" s="75">
        <v>0.0</v>
      </c>
      <c r="O515" s="75">
        <v>0.0</v>
      </c>
      <c r="P515" s="75">
        <v>1.0</v>
      </c>
      <c r="Q515" s="70" t="s">
        <v>22</v>
      </c>
      <c r="R515" s="71">
        <v>2.73</v>
      </c>
      <c r="S515" s="71">
        <v>13.38</v>
      </c>
      <c r="T515" s="67"/>
      <c r="U515" s="71">
        <v>5.5</v>
      </c>
      <c r="V515" s="71">
        <v>26.8</v>
      </c>
      <c r="W515" s="67"/>
      <c r="X515" s="67"/>
      <c r="Y515" s="67"/>
      <c r="Z515" s="67"/>
      <c r="AA515" s="67"/>
      <c r="AB515" s="67"/>
      <c r="AC515" s="67"/>
    </row>
    <row r="516">
      <c r="A516" s="74">
        <v>46008.0</v>
      </c>
      <c r="B516" s="70" t="s">
        <v>2595</v>
      </c>
      <c r="C516" s="70" t="s">
        <v>2171</v>
      </c>
      <c r="D516" s="71">
        <v>10.65</v>
      </c>
      <c r="E516" s="71">
        <v>21.3</v>
      </c>
      <c r="F516" s="68"/>
      <c r="G516" s="68"/>
      <c r="H516" s="71">
        <v>-11.54</v>
      </c>
      <c r="I516" s="72">
        <v>-1.0</v>
      </c>
      <c r="J516" s="70" t="s">
        <v>1595</v>
      </c>
      <c r="K516" s="67"/>
      <c r="L516" s="70" t="s">
        <v>2596</v>
      </c>
      <c r="M516" s="75">
        <v>1.0</v>
      </c>
      <c r="N516" s="75">
        <v>0.0</v>
      </c>
      <c r="O516" s="75">
        <v>1.0</v>
      </c>
      <c r="P516" s="75">
        <v>0.0</v>
      </c>
      <c r="Q516" s="70" t="s">
        <v>22</v>
      </c>
      <c r="R516" s="71">
        <v>0.89</v>
      </c>
      <c r="S516" s="71">
        <v>11.54</v>
      </c>
      <c r="T516" s="67"/>
      <c r="U516" s="71">
        <v>6.5</v>
      </c>
      <c r="V516" s="71">
        <v>27.8</v>
      </c>
      <c r="W516" s="67"/>
      <c r="X516" s="67"/>
      <c r="Y516" s="67"/>
      <c r="Z516" s="67"/>
      <c r="AA516" s="67"/>
      <c r="AB516" s="67"/>
      <c r="AC516" s="67"/>
    </row>
    <row r="517">
      <c r="A517" s="74">
        <v>46008.0</v>
      </c>
      <c r="B517" s="70" t="s">
        <v>2597</v>
      </c>
      <c r="C517" s="70" t="s">
        <v>2171</v>
      </c>
      <c r="D517" s="71">
        <v>7.1</v>
      </c>
      <c r="E517" s="71">
        <v>14.2</v>
      </c>
      <c r="F517" s="68"/>
      <c r="G517" s="68"/>
      <c r="H517" s="71">
        <v>-7.99</v>
      </c>
      <c r="I517" s="72">
        <v>-1.0</v>
      </c>
      <c r="J517" s="70" t="s">
        <v>1595</v>
      </c>
      <c r="K517" s="67"/>
      <c r="L517" s="70" t="s">
        <v>2598</v>
      </c>
      <c r="M517" s="75">
        <v>1.0</v>
      </c>
      <c r="N517" s="75">
        <v>0.0</v>
      </c>
      <c r="O517" s="75">
        <v>1.0</v>
      </c>
      <c r="P517" s="75">
        <v>0.0</v>
      </c>
      <c r="Q517" s="70" t="s">
        <v>22</v>
      </c>
      <c r="R517" s="71">
        <v>0.89</v>
      </c>
      <c r="S517" s="71">
        <v>7.99</v>
      </c>
      <c r="T517" s="67"/>
      <c r="U517" s="71">
        <v>6.5</v>
      </c>
      <c r="V517" s="71">
        <v>20.7</v>
      </c>
      <c r="W517" s="67"/>
      <c r="X517" s="67"/>
      <c r="Y517" s="67"/>
      <c r="Z517" s="67"/>
      <c r="AA517" s="67"/>
      <c r="AB517" s="67"/>
      <c r="AC517" s="67"/>
    </row>
    <row r="518">
      <c r="A518" s="74">
        <v>46008.0</v>
      </c>
      <c r="B518" s="70" t="s">
        <v>2599</v>
      </c>
      <c r="C518" s="70" t="s">
        <v>2171</v>
      </c>
      <c r="D518" s="71">
        <v>7.1</v>
      </c>
      <c r="E518" s="71">
        <v>14.2</v>
      </c>
      <c r="F518" s="68"/>
      <c r="G518" s="68"/>
      <c r="H518" s="71">
        <v>-7.99</v>
      </c>
      <c r="I518" s="72">
        <v>-1.0</v>
      </c>
      <c r="J518" s="70" t="s">
        <v>1595</v>
      </c>
      <c r="K518" s="67"/>
      <c r="L518" s="70" t="s">
        <v>2600</v>
      </c>
      <c r="M518" s="75">
        <v>1.0</v>
      </c>
      <c r="N518" s="75">
        <v>0.0</v>
      </c>
      <c r="O518" s="75">
        <v>1.0</v>
      </c>
      <c r="P518" s="75">
        <v>0.0</v>
      </c>
      <c r="Q518" s="70" t="s">
        <v>22</v>
      </c>
      <c r="R518" s="71">
        <v>0.89</v>
      </c>
      <c r="S518" s="71">
        <v>7.99</v>
      </c>
      <c r="T518" s="67"/>
      <c r="U518" s="71">
        <v>6.5</v>
      </c>
      <c r="V518" s="71">
        <v>20.7</v>
      </c>
      <c r="W518" s="67"/>
      <c r="X518" s="67"/>
      <c r="Y518" s="67"/>
      <c r="Z518" s="67"/>
      <c r="AA518" s="67"/>
      <c r="AB518" s="67"/>
      <c r="AC518" s="67"/>
    </row>
    <row r="519">
      <c r="A519" s="74">
        <v>46008.0</v>
      </c>
      <c r="B519" s="70" t="s">
        <v>2601</v>
      </c>
      <c r="C519" s="70" t="s">
        <v>2171</v>
      </c>
      <c r="D519" s="71">
        <v>7.1</v>
      </c>
      <c r="E519" s="71">
        <v>14.2</v>
      </c>
      <c r="F519" s="68"/>
      <c r="G519" s="68"/>
      <c r="H519" s="71">
        <v>-7.99</v>
      </c>
      <c r="I519" s="72">
        <v>-1.0</v>
      </c>
      <c r="J519" s="70" t="s">
        <v>1595</v>
      </c>
      <c r="K519" s="67"/>
      <c r="L519" s="70" t="s">
        <v>2602</v>
      </c>
      <c r="M519" s="75">
        <v>1.0</v>
      </c>
      <c r="N519" s="75">
        <v>0.0</v>
      </c>
      <c r="O519" s="75">
        <v>1.0</v>
      </c>
      <c r="P519" s="75">
        <v>0.0</v>
      </c>
      <c r="Q519" s="70" t="s">
        <v>22</v>
      </c>
      <c r="R519" s="71">
        <v>0.89</v>
      </c>
      <c r="S519" s="71">
        <v>7.99</v>
      </c>
      <c r="T519" s="67"/>
      <c r="U519" s="71">
        <v>6.5</v>
      </c>
      <c r="V519" s="71">
        <v>20.7</v>
      </c>
      <c r="W519" s="67"/>
      <c r="X519" s="67"/>
      <c r="Y519" s="67"/>
      <c r="Z519" s="67"/>
      <c r="AA519" s="67"/>
      <c r="AB519" s="67"/>
      <c r="AC519" s="67"/>
    </row>
    <row r="520">
      <c r="A520" s="74">
        <v>46008.0</v>
      </c>
      <c r="B520" s="70" t="s">
        <v>2603</v>
      </c>
      <c r="C520" s="70" t="s">
        <v>2171</v>
      </c>
      <c r="D520" s="71">
        <v>7.1</v>
      </c>
      <c r="E520" s="71">
        <v>14.2</v>
      </c>
      <c r="F520" s="71">
        <v>20.0</v>
      </c>
      <c r="G520" s="68"/>
      <c r="H520" s="71">
        <v>12.01</v>
      </c>
      <c r="I520" s="72">
        <v>0.6005</v>
      </c>
      <c r="J520" s="70" t="s">
        <v>1462</v>
      </c>
      <c r="K520" s="67"/>
      <c r="L520" s="70" t="s">
        <v>2604</v>
      </c>
      <c r="M520" s="75">
        <v>1.0</v>
      </c>
      <c r="N520" s="75">
        <v>0.0</v>
      </c>
      <c r="O520" s="75">
        <v>0.0</v>
      </c>
      <c r="P520" s="75">
        <v>1.0</v>
      </c>
      <c r="Q520" s="70" t="s">
        <v>22</v>
      </c>
      <c r="R520" s="71">
        <v>0.89</v>
      </c>
      <c r="S520" s="71">
        <v>7.99</v>
      </c>
      <c r="T520" s="67"/>
      <c r="U520" s="71">
        <v>6.5</v>
      </c>
      <c r="V520" s="71">
        <v>20.7</v>
      </c>
      <c r="W520" s="67"/>
      <c r="X520" s="67"/>
      <c r="Y520" s="67"/>
      <c r="Z520" s="67"/>
      <c r="AA520" s="67"/>
      <c r="AB520" s="67"/>
      <c r="AC520" s="67"/>
    </row>
    <row r="521">
      <c r="A521" s="74">
        <v>46008.0</v>
      </c>
      <c r="B521" s="70" t="s">
        <v>2605</v>
      </c>
      <c r="C521" s="70" t="s">
        <v>2199</v>
      </c>
      <c r="D521" s="71">
        <v>7.1</v>
      </c>
      <c r="E521" s="71">
        <v>14.2</v>
      </c>
      <c r="F521" s="71">
        <v>20.0</v>
      </c>
      <c r="G521" s="68"/>
      <c r="H521" s="71">
        <v>12.01</v>
      </c>
      <c r="I521" s="72">
        <v>0.6005</v>
      </c>
      <c r="J521" s="70" t="s">
        <v>1462</v>
      </c>
      <c r="K521" s="67"/>
      <c r="L521" s="70" t="s">
        <v>2606</v>
      </c>
      <c r="M521" s="75">
        <v>1.0</v>
      </c>
      <c r="N521" s="75">
        <v>0.0</v>
      </c>
      <c r="O521" s="75">
        <v>0.0</v>
      </c>
      <c r="P521" s="75">
        <v>1.0</v>
      </c>
      <c r="Q521" s="70" t="s">
        <v>22</v>
      </c>
      <c r="R521" s="71">
        <v>0.89</v>
      </c>
      <c r="S521" s="71">
        <v>7.99</v>
      </c>
      <c r="T521" s="67"/>
      <c r="U521" s="71">
        <v>6.5</v>
      </c>
      <c r="V521" s="71">
        <v>20.7</v>
      </c>
      <c r="W521" s="67"/>
      <c r="X521" s="67"/>
      <c r="Y521" s="67"/>
      <c r="Z521" s="67"/>
      <c r="AA521" s="67"/>
      <c r="AB521" s="67"/>
      <c r="AC521" s="67"/>
    </row>
    <row r="522">
      <c r="A522" s="74">
        <v>46008.0</v>
      </c>
      <c r="B522" s="70" t="s">
        <v>2607</v>
      </c>
      <c r="C522" s="70" t="s">
        <v>2199</v>
      </c>
      <c r="D522" s="71">
        <v>7.1</v>
      </c>
      <c r="E522" s="71">
        <v>14.2</v>
      </c>
      <c r="F522" s="71">
        <v>16.0</v>
      </c>
      <c r="G522" s="68"/>
      <c r="H522" s="71">
        <v>8.01</v>
      </c>
      <c r="I522" s="72">
        <v>0.500625</v>
      </c>
      <c r="J522" s="70" t="s">
        <v>1462</v>
      </c>
      <c r="K522" s="67"/>
      <c r="L522" s="70" t="s">
        <v>2608</v>
      </c>
      <c r="M522" s="75">
        <v>1.0</v>
      </c>
      <c r="N522" s="75">
        <v>0.0</v>
      </c>
      <c r="O522" s="75">
        <v>0.0</v>
      </c>
      <c r="P522" s="75">
        <v>1.0</v>
      </c>
      <c r="Q522" s="70" t="s">
        <v>22</v>
      </c>
      <c r="R522" s="71">
        <v>0.89</v>
      </c>
      <c r="S522" s="71">
        <v>7.99</v>
      </c>
      <c r="T522" s="67"/>
      <c r="U522" s="71">
        <v>6.5</v>
      </c>
      <c r="V522" s="71">
        <v>20.7</v>
      </c>
      <c r="W522" s="67"/>
      <c r="X522" s="67"/>
      <c r="Y522" s="67"/>
      <c r="Z522" s="67"/>
      <c r="AA522" s="67"/>
      <c r="AB522" s="67"/>
      <c r="AC522" s="67"/>
    </row>
    <row r="523">
      <c r="A523" s="74">
        <v>46009.0</v>
      </c>
      <c r="B523" s="70" t="s">
        <v>2609</v>
      </c>
      <c r="C523" s="70" t="s">
        <v>1747</v>
      </c>
      <c r="D523" s="71">
        <v>2.0</v>
      </c>
      <c r="E523" s="71">
        <v>6.0</v>
      </c>
      <c r="F523" s="68"/>
      <c r="G523" s="68"/>
      <c r="H523" s="68"/>
      <c r="I523" s="69"/>
      <c r="J523" s="70" t="s">
        <v>1450</v>
      </c>
      <c r="K523" s="67"/>
      <c r="L523" s="70" t="s">
        <v>2610</v>
      </c>
      <c r="M523" s="75">
        <v>1.0</v>
      </c>
      <c r="N523" s="75">
        <v>0.0</v>
      </c>
      <c r="O523" s="75">
        <v>0.0</v>
      </c>
      <c r="P523" s="75">
        <v>1.0</v>
      </c>
      <c r="Q523" s="70" t="s">
        <v>22</v>
      </c>
      <c r="R523" s="71">
        <v>0.47</v>
      </c>
      <c r="S523" s="71">
        <v>2.47</v>
      </c>
      <c r="T523" s="67"/>
      <c r="U523" s="71">
        <v>0.0</v>
      </c>
      <c r="V523" s="71">
        <v>6.0</v>
      </c>
      <c r="W523" s="67"/>
      <c r="X523" s="67"/>
      <c r="Y523" s="67"/>
      <c r="Z523" s="67"/>
      <c r="AA523" s="67"/>
      <c r="AB523" s="67"/>
      <c r="AC523" s="67"/>
    </row>
    <row r="524">
      <c r="A524" s="74">
        <v>46009.0</v>
      </c>
      <c r="B524" s="70" t="s">
        <v>2611</v>
      </c>
      <c r="C524" s="70" t="s">
        <v>1747</v>
      </c>
      <c r="D524" s="71">
        <v>2.0</v>
      </c>
      <c r="E524" s="71">
        <v>6.0</v>
      </c>
      <c r="F524" s="68"/>
      <c r="G524" s="68"/>
      <c r="H524" s="68"/>
      <c r="I524" s="69"/>
      <c r="J524" s="70" t="s">
        <v>1450</v>
      </c>
      <c r="K524" s="67"/>
      <c r="L524" s="70" t="s">
        <v>2612</v>
      </c>
      <c r="M524" s="75">
        <v>1.0</v>
      </c>
      <c r="N524" s="75">
        <v>0.0</v>
      </c>
      <c r="O524" s="75">
        <v>0.0</v>
      </c>
      <c r="P524" s="75">
        <v>1.0</v>
      </c>
      <c r="Q524" s="70" t="s">
        <v>22</v>
      </c>
      <c r="R524" s="71">
        <v>0.74</v>
      </c>
      <c r="S524" s="71">
        <v>2.74</v>
      </c>
      <c r="T524" s="67"/>
      <c r="U524" s="71">
        <v>7.06</v>
      </c>
      <c r="V524" s="71">
        <v>13.06</v>
      </c>
      <c r="W524" s="67"/>
      <c r="X524" s="67"/>
      <c r="Y524" s="67"/>
      <c r="Z524" s="67"/>
      <c r="AA524" s="67"/>
      <c r="AB524" s="67"/>
      <c r="AC524" s="67"/>
    </row>
    <row r="525">
      <c r="A525" s="74">
        <v>46009.0</v>
      </c>
      <c r="B525" s="70" t="s">
        <v>2613</v>
      </c>
      <c r="C525" s="70" t="s">
        <v>2614</v>
      </c>
      <c r="D525" s="71">
        <v>0.0</v>
      </c>
      <c r="E525" s="71">
        <v>0.0</v>
      </c>
      <c r="F525" s="68"/>
      <c r="G525" s="68"/>
      <c r="H525" s="71"/>
      <c r="I525" s="72"/>
      <c r="J525" s="70" t="s">
        <v>1450</v>
      </c>
      <c r="K525" s="67"/>
      <c r="L525" s="70" t="s">
        <v>2615</v>
      </c>
      <c r="M525" s="75">
        <v>1.0</v>
      </c>
      <c r="N525" s="75">
        <v>0.0</v>
      </c>
      <c r="O525" s="75">
        <v>0.0</v>
      </c>
      <c r="P525" s="75">
        <v>1.0</v>
      </c>
      <c r="Q525" s="70" t="s">
        <v>22</v>
      </c>
      <c r="R525" s="71">
        <v>2.19</v>
      </c>
      <c r="S525" s="71">
        <v>2.19</v>
      </c>
      <c r="T525" s="67"/>
      <c r="U525" s="71">
        <v>7.56</v>
      </c>
      <c r="V525" s="71">
        <v>7.56</v>
      </c>
      <c r="W525" s="67"/>
      <c r="X525" s="67"/>
      <c r="Y525" s="67"/>
      <c r="Z525" s="67"/>
      <c r="AA525" s="67"/>
      <c r="AB525" s="67"/>
      <c r="AC525" s="67"/>
    </row>
    <row r="526">
      <c r="A526" s="74">
        <v>46009.0</v>
      </c>
      <c r="B526" s="70" t="s">
        <v>2616</v>
      </c>
      <c r="C526" s="70" t="s">
        <v>2617</v>
      </c>
      <c r="D526" s="71">
        <v>10.0</v>
      </c>
      <c r="E526" s="71">
        <v>0.0</v>
      </c>
      <c r="F526" s="71">
        <v>20.0</v>
      </c>
      <c r="G526" s="68"/>
      <c r="H526" s="71">
        <v>7.81</v>
      </c>
      <c r="I526" s="72">
        <v>0.39049999999999996</v>
      </c>
      <c r="J526" s="70" t="s">
        <v>1462</v>
      </c>
      <c r="K526" s="67"/>
      <c r="L526" s="70" t="s">
        <v>2618</v>
      </c>
      <c r="M526" s="75">
        <v>1.0</v>
      </c>
      <c r="N526" s="75">
        <v>0.0</v>
      </c>
      <c r="O526" s="75">
        <v>0.0</v>
      </c>
      <c r="P526" s="75">
        <v>1.0</v>
      </c>
      <c r="Q526" s="70" t="s">
        <v>22</v>
      </c>
      <c r="R526" s="71">
        <v>2.19</v>
      </c>
      <c r="S526" s="71">
        <v>12.19</v>
      </c>
      <c r="T526" s="67"/>
      <c r="U526" s="71">
        <v>8.56</v>
      </c>
      <c r="V526" s="71">
        <v>8.56</v>
      </c>
      <c r="W526" s="67"/>
      <c r="X526" s="67"/>
      <c r="Y526" s="67"/>
      <c r="Z526" s="67"/>
      <c r="AA526" s="67"/>
      <c r="AB526" s="67"/>
      <c r="AC526" s="67"/>
    </row>
    <row r="527">
      <c r="A527" s="74">
        <v>46009.0</v>
      </c>
      <c r="B527" s="70" t="s">
        <v>2619</v>
      </c>
      <c r="C527" s="70" t="s">
        <v>2620</v>
      </c>
      <c r="D527" s="71">
        <v>16.5</v>
      </c>
      <c r="E527" s="71">
        <v>40.0</v>
      </c>
      <c r="F527" s="68"/>
      <c r="G527" s="68"/>
      <c r="H527" s="71"/>
      <c r="I527" s="72"/>
      <c r="J527" s="70" t="s">
        <v>1450</v>
      </c>
      <c r="K527" s="67"/>
      <c r="L527" s="70" t="s">
        <v>2621</v>
      </c>
      <c r="M527" s="75">
        <v>1.0</v>
      </c>
      <c r="N527" s="75">
        <v>0.0</v>
      </c>
      <c r="O527" s="75">
        <v>0.0</v>
      </c>
      <c r="P527" s="75">
        <v>1.0</v>
      </c>
      <c r="Q527" s="76" t="s">
        <v>22</v>
      </c>
      <c r="R527" s="71">
        <v>0.63</v>
      </c>
      <c r="S527" s="71">
        <v>17.13</v>
      </c>
      <c r="T527" s="70"/>
      <c r="U527" s="71">
        <v>1.38</v>
      </c>
      <c r="V527" s="71">
        <v>41.38</v>
      </c>
      <c r="W527" s="67"/>
      <c r="X527" s="67"/>
      <c r="Y527" s="67"/>
      <c r="Z527" s="67"/>
      <c r="AA527" s="67"/>
      <c r="AB527" s="67"/>
      <c r="AC527" s="67"/>
    </row>
    <row r="528">
      <c r="A528" s="74">
        <v>46009.0</v>
      </c>
      <c r="B528" s="70" t="s">
        <v>2622</v>
      </c>
      <c r="C528" s="70" t="s">
        <v>2051</v>
      </c>
      <c r="D528" s="71">
        <v>8.0</v>
      </c>
      <c r="E528" s="71">
        <v>15.0</v>
      </c>
      <c r="F528" s="71">
        <v>45.0</v>
      </c>
      <c r="G528" s="68"/>
      <c r="H528" s="71">
        <v>34.81</v>
      </c>
      <c r="I528" s="72">
        <v>0.7735555555555556</v>
      </c>
      <c r="J528" s="70" t="s">
        <v>1462</v>
      </c>
      <c r="K528" s="67"/>
      <c r="L528" s="70" t="s">
        <v>2623</v>
      </c>
      <c r="M528" s="75">
        <v>1.0</v>
      </c>
      <c r="N528" s="75">
        <v>0.0</v>
      </c>
      <c r="O528" s="75">
        <v>0.0</v>
      </c>
      <c r="P528" s="75">
        <v>1.0</v>
      </c>
      <c r="Q528" s="70" t="s">
        <v>22</v>
      </c>
      <c r="R528" s="71">
        <v>2.19</v>
      </c>
      <c r="S528" s="71">
        <v>10.19</v>
      </c>
      <c r="T528" s="67"/>
      <c r="U528" s="71">
        <v>7.56</v>
      </c>
      <c r="V528" s="71">
        <v>22.56</v>
      </c>
      <c r="W528" s="67"/>
      <c r="X528" s="67"/>
      <c r="Y528" s="67"/>
      <c r="Z528" s="67"/>
      <c r="AA528" s="67"/>
      <c r="AB528" s="67"/>
      <c r="AC528" s="67"/>
    </row>
    <row r="529">
      <c r="A529" s="74">
        <v>46009.0</v>
      </c>
      <c r="B529" s="70" t="s">
        <v>2624</v>
      </c>
      <c r="C529" s="70" t="s">
        <v>2617</v>
      </c>
      <c r="D529" s="71">
        <v>10.0</v>
      </c>
      <c r="E529" s="71">
        <v>0.0</v>
      </c>
      <c r="F529" s="71">
        <v>40.0</v>
      </c>
      <c r="G529" s="68"/>
      <c r="H529" s="71">
        <v>27.81</v>
      </c>
      <c r="I529" s="72">
        <v>0.6952499999999999</v>
      </c>
      <c r="J529" s="70" t="s">
        <v>1462</v>
      </c>
      <c r="K529" s="67"/>
      <c r="L529" s="70" t="s">
        <v>2625</v>
      </c>
      <c r="M529" s="75">
        <v>1.0</v>
      </c>
      <c r="N529" s="75">
        <v>0.0</v>
      </c>
      <c r="O529" s="75">
        <v>0.0</v>
      </c>
      <c r="P529" s="75">
        <v>1.0</v>
      </c>
      <c r="Q529" s="76" t="s">
        <v>22</v>
      </c>
      <c r="R529" s="71">
        <v>2.19</v>
      </c>
      <c r="S529" s="71">
        <v>12.19</v>
      </c>
      <c r="T529" s="70"/>
      <c r="U529" s="71">
        <v>7.56</v>
      </c>
      <c r="V529" s="71">
        <v>7.56</v>
      </c>
      <c r="W529" s="67"/>
      <c r="X529" s="67"/>
      <c r="Y529" s="67"/>
      <c r="Z529" s="67"/>
      <c r="AA529" s="67"/>
      <c r="AB529" s="67"/>
      <c r="AC529" s="67"/>
    </row>
    <row r="530">
      <c r="A530" s="74">
        <v>46009.0</v>
      </c>
      <c r="B530" s="70" t="s">
        <v>2626</v>
      </c>
      <c r="C530" s="70" t="s">
        <v>2235</v>
      </c>
      <c r="D530" s="71">
        <v>6.9</v>
      </c>
      <c r="E530" s="71">
        <v>14.99</v>
      </c>
      <c r="F530" s="71">
        <v>30.0</v>
      </c>
      <c r="G530" s="68"/>
      <c r="H530" s="71">
        <v>20.91</v>
      </c>
      <c r="I530" s="72">
        <v>0.697</v>
      </c>
      <c r="J530" s="70" t="s">
        <v>1462</v>
      </c>
      <c r="K530" s="67"/>
      <c r="L530" s="70" t="s">
        <v>2627</v>
      </c>
      <c r="M530" s="75">
        <v>1.0</v>
      </c>
      <c r="N530" s="75">
        <v>0.0</v>
      </c>
      <c r="O530" s="75">
        <v>0.0</v>
      </c>
      <c r="P530" s="75">
        <v>1.0</v>
      </c>
      <c r="Q530" s="70" t="s">
        <v>22</v>
      </c>
      <c r="R530" s="71">
        <v>2.19</v>
      </c>
      <c r="S530" s="71">
        <v>9.09</v>
      </c>
      <c r="T530" s="67"/>
      <c r="U530" s="71">
        <v>7.56</v>
      </c>
      <c r="V530" s="71">
        <v>22.55</v>
      </c>
      <c r="W530" s="67"/>
      <c r="X530" s="67"/>
      <c r="Y530" s="67"/>
      <c r="Z530" s="67"/>
      <c r="AA530" s="67"/>
      <c r="AB530" s="67"/>
      <c r="AC530" s="67"/>
    </row>
    <row r="531">
      <c r="A531" s="74">
        <v>46009.0</v>
      </c>
      <c r="B531" s="70" t="s">
        <v>2628</v>
      </c>
      <c r="C531" s="70" t="s">
        <v>1527</v>
      </c>
      <c r="D531" s="71">
        <v>9.0</v>
      </c>
      <c r="E531" s="71">
        <v>19.99</v>
      </c>
      <c r="F531" s="68"/>
      <c r="G531" s="68"/>
      <c r="H531" s="68"/>
      <c r="I531" s="69"/>
      <c r="J531" s="70" t="s">
        <v>1450</v>
      </c>
      <c r="K531" s="67"/>
      <c r="L531" s="70" t="s">
        <v>2629</v>
      </c>
      <c r="M531" s="75">
        <v>1.0</v>
      </c>
      <c r="N531" s="75">
        <v>0.0</v>
      </c>
      <c r="O531" s="75">
        <v>0.0</v>
      </c>
      <c r="P531" s="75">
        <v>1.0</v>
      </c>
      <c r="Q531" s="70" t="s">
        <v>22</v>
      </c>
      <c r="R531" s="71">
        <v>0.22</v>
      </c>
      <c r="S531" s="71">
        <v>9.22</v>
      </c>
      <c r="T531" s="67"/>
      <c r="U531" s="71">
        <v>2.13</v>
      </c>
      <c r="V531" s="71">
        <v>22.12</v>
      </c>
      <c r="W531" s="67"/>
      <c r="X531" s="67"/>
      <c r="Y531" s="67"/>
      <c r="Z531" s="67"/>
      <c r="AA531" s="67"/>
      <c r="AB531" s="67"/>
      <c r="AC531" s="67"/>
    </row>
    <row r="532">
      <c r="A532" s="74">
        <v>46009.0</v>
      </c>
      <c r="B532" s="70" t="s">
        <v>2630</v>
      </c>
      <c r="C532" s="70" t="s">
        <v>2066</v>
      </c>
      <c r="D532" s="71">
        <v>12.0</v>
      </c>
      <c r="E532" s="71">
        <v>20.0</v>
      </c>
      <c r="F532" s="71">
        <v>40.0</v>
      </c>
      <c r="G532" s="68"/>
      <c r="H532" s="71">
        <v>25.81</v>
      </c>
      <c r="I532" s="72">
        <v>0.64525</v>
      </c>
      <c r="J532" s="70" t="s">
        <v>1462</v>
      </c>
      <c r="K532" s="67"/>
      <c r="L532" s="70" t="s">
        <v>2631</v>
      </c>
      <c r="M532" s="75">
        <v>1.0</v>
      </c>
      <c r="N532" s="75">
        <v>0.0</v>
      </c>
      <c r="O532" s="75">
        <v>0.0</v>
      </c>
      <c r="P532" s="75">
        <v>1.0</v>
      </c>
      <c r="Q532" s="70" t="s">
        <v>22</v>
      </c>
      <c r="R532" s="71">
        <v>2.19</v>
      </c>
      <c r="S532" s="71">
        <v>14.19</v>
      </c>
      <c r="T532" s="67"/>
      <c r="U532" s="71">
        <v>7.56</v>
      </c>
      <c r="V532" s="71">
        <v>27.56</v>
      </c>
      <c r="W532" s="67"/>
      <c r="X532" s="67"/>
      <c r="Y532" s="67"/>
      <c r="Z532" s="67"/>
      <c r="AA532" s="67"/>
      <c r="AB532" s="67"/>
      <c r="AC532" s="67"/>
    </row>
    <row r="533">
      <c r="A533" s="74">
        <v>46011.0</v>
      </c>
      <c r="B533" s="70" t="s">
        <v>2632</v>
      </c>
      <c r="C533" s="70" t="s">
        <v>2633</v>
      </c>
      <c r="D533" s="71">
        <v>5.59</v>
      </c>
      <c r="E533" s="71">
        <v>11.18</v>
      </c>
      <c r="F533" s="68"/>
      <c r="G533" s="68"/>
      <c r="H533" s="71"/>
      <c r="I533" s="72"/>
      <c r="J533" s="70" t="s">
        <v>1450</v>
      </c>
      <c r="K533" s="67"/>
      <c r="L533" s="70" t="s">
        <v>2634</v>
      </c>
      <c r="M533" s="75">
        <v>1.0</v>
      </c>
      <c r="N533" s="75">
        <v>0.0</v>
      </c>
      <c r="O533" s="75">
        <v>0.0</v>
      </c>
      <c r="P533" s="75">
        <v>1.0</v>
      </c>
      <c r="Q533" s="76" t="s">
        <v>22</v>
      </c>
      <c r="R533" s="71">
        <v>0.3</v>
      </c>
      <c r="S533" s="71">
        <v>5.89</v>
      </c>
      <c r="T533" s="70"/>
      <c r="U533" s="71">
        <v>1.13</v>
      </c>
      <c r="V533" s="71">
        <v>12.31</v>
      </c>
      <c r="W533" s="67"/>
      <c r="X533" s="67"/>
      <c r="Y533" s="67"/>
      <c r="Z533" s="67"/>
      <c r="AA533" s="67"/>
      <c r="AB533" s="67"/>
      <c r="AC533" s="67"/>
    </row>
    <row r="534">
      <c r="A534" s="74">
        <v>46011.0</v>
      </c>
      <c r="B534" s="70" t="s">
        <v>2635</v>
      </c>
      <c r="C534" s="70" t="s">
        <v>2438</v>
      </c>
      <c r="D534" s="71">
        <v>2.1</v>
      </c>
      <c r="E534" s="71">
        <v>5.0</v>
      </c>
      <c r="F534" s="71">
        <v>15.0</v>
      </c>
      <c r="G534" s="68"/>
      <c r="H534" s="71">
        <v>11.66</v>
      </c>
      <c r="I534" s="72">
        <v>0.7773333333333333</v>
      </c>
      <c r="J534" s="70" t="s">
        <v>1462</v>
      </c>
      <c r="K534" s="67"/>
      <c r="L534" s="70" t="s">
        <v>2636</v>
      </c>
      <c r="M534" s="75">
        <v>1.0</v>
      </c>
      <c r="N534" s="75">
        <v>0.0</v>
      </c>
      <c r="O534" s="75">
        <v>0.0</v>
      </c>
      <c r="P534" s="75">
        <v>1.0</v>
      </c>
      <c r="Q534" s="70" t="s">
        <v>22</v>
      </c>
      <c r="R534" s="71">
        <v>1.24</v>
      </c>
      <c r="S534" s="71">
        <v>3.34</v>
      </c>
      <c r="T534" s="67"/>
      <c r="U534" s="71">
        <v>7.06</v>
      </c>
      <c r="V534" s="71">
        <v>12.06</v>
      </c>
      <c r="W534" s="67"/>
      <c r="X534" s="67"/>
      <c r="Y534" s="67"/>
      <c r="Z534" s="67"/>
      <c r="AA534" s="67"/>
      <c r="AB534" s="67"/>
      <c r="AC534" s="67"/>
    </row>
    <row r="535">
      <c r="A535" s="74">
        <v>46011.0</v>
      </c>
      <c r="B535" s="70" t="s">
        <v>2637</v>
      </c>
      <c r="C535" s="70" t="s">
        <v>2581</v>
      </c>
      <c r="D535" s="71">
        <v>2.2</v>
      </c>
      <c r="E535" s="71">
        <v>5.0</v>
      </c>
      <c r="F535" s="68"/>
      <c r="G535" s="68"/>
      <c r="H535" s="71"/>
      <c r="I535" s="72"/>
      <c r="J535" s="70" t="s">
        <v>1602</v>
      </c>
      <c r="K535" s="67"/>
      <c r="L535" s="70" t="s">
        <v>2638</v>
      </c>
      <c r="M535" s="75">
        <v>1.0</v>
      </c>
      <c r="N535" s="75">
        <v>0.0</v>
      </c>
      <c r="O535" s="75">
        <v>1.0</v>
      </c>
      <c r="P535" s="75">
        <v>0.0</v>
      </c>
      <c r="Q535" s="76" t="s">
        <v>22</v>
      </c>
      <c r="R535" s="71">
        <v>0.67</v>
      </c>
      <c r="S535" s="71">
        <v>2.87</v>
      </c>
      <c r="T535" s="70"/>
      <c r="U535" s="71">
        <v>0.0</v>
      </c>
      <c r="V535" s="71">
        <v>5.0</v>
      </c>
      <c r="W535" s="67"/>
      <c r="X535" s="67"/>
      <c r="Y535" s="67"/>
      <c r="Z535" s="67"/>
      <c r="AA535" s="67"/>
      <c r="AB535" s="67"/>
      <c r="AC535" s="67"/>
    </row>
    <row r="536">
      <c r="A536" s="74">
        <v>46011.0</v>
      </c>
      <c r="B536" s="70" t="s">
        <v>2639</v>
      </c>
      <c r="C536" s="70" t="s">
        <v>2581</v>
      </c>
      <c r="D536" s="71">
        <v>1.1</v>
      </c>
      <c r="E536" s="71">
        <v>2.5</v>
      </c>
      <c r="F536" s="68"/>
      <c r="G536" s="68"/>
      <c r="H536" s="68"/>
      <c r="I536" s="69"/>
      <c r="J536" s="70" t="s">
        <v>1450</v>
      </c>
      <c r="K536" s="67"/>
      <c r="L536" s="70" t="s">
        <v>2640</v>
      </c>
      <c r="M536" s="75">
        <v>1.0</v>
      </c>
      <c r="N536" s="75">
        <v>0.0</v>
      </c>
      <c r="O536" s="75">
        <v>0.0</v>
      </c>
      <c r="P536" s="75">
        <v>1.0</v>
      </c>
      <c r="Q536" s="70" t="s">
        <v>22</v>
      </c>
      <c r="R536" s="71">
        <v>0.67</v>
      </c>
      <c r="S536" s="71">
        <v>1.77</v>
      </c>
      <c r="T536" s="67"/>
      <c r="U536" s="71">
        <v>0.0</v>
      </c>
      <c r="V536" s="71">
        <v>2.5</v>
      </c>
      <c r="W536" s="67"/>
      <c r="X536" s="67"/>
      <c r="Y536" s="67"/>
      <c r="Z536" s="67"/>
      <c r="AA536" s="67"/>
      <c r="AB536" s="67"/>
      <c r="AC536" s="67"/>
    </row>
    <row r="537">
      <c r="A537" s="74">
        <v>46011.0</v>
      </c>
      <c r="B537" s="70" t="s">
        <v>2641</v>
      </c>
      <c r="C537" s="70" t="s">
        <v>2581</v>
      </c>
      <c r="D537" s="71">
        <v>1.1</v>
      </c>
      <c r="E537" s="71">
        <v>2.5</v>
      </c>
      <c r="F537" s="68"/>
      <c r="G537" s="68"/>
      <c r="H537" s="71"/>
      <c r="I537" s="72"/>
      <c r="J537" s="70" t="s">
        <v>1450</v>
      </c>
      <c r="K537" s="67"/>
      <c r="L537" s="70" t="s">
        <v>2642</v>
      </c>
      <c r="M537" s="75">
        <v>1.0</v>
      </c>
      <c r="N537" s="75">
        <v>0.0</v>
      </c>
      <c r="O537" s="75">
        <v>0.0</v>
      </c>
      <c r="P537" s="75">
        <v>1.0</v>
      </c>
      <c r="Q537" s="76" t="s">
        <v>22</v>
      </c>
      <c r="R537" s="71">
        <v>0.67</v>
      </c>
      <c r="S537" s="71">
        <v>1.77</v>
      </c>
      <c r="T537" s="70"/>
      <c r="U537" s="71">
        <v>0.0</v>
      </c>
      <c r="V537" s="71">
        <v>2.5</v>
      </c>
      <c r="W537" s="67"/>
      <c r="X537" s="67"/>
      <c r="Y537" s="67"/>
      <c r="Z537" s="67"/>
      <c r="AA537" s="67"/>
      <c r="AB537" s="67"/>
      <c r="AC537" s="67"/>
    </row>
    <row r="538">
      <c r="A538" s="74">
        <v>46011.0</v>
      </c>
      <c r="B538" s="70" t="s">
        <v>2643</v>
      </c>
      <c r="C538" s="70" t="s">
        <v>2581</v>
      </c>
      <c r="D538" s="71">
        <v>1.1</v>
      </c>
      <c r="E538" s="71">
        <v>2.5</v>
      </c>
      <c r="F538" s="68"/>
      <c r="G538" s="68"/>
      <c r="H538" s="68"/>
      <c r="I538" s="69"/>
      <c r="J538" s="70" t="s">
        <v>1450</v>
      </c>
      <c r="K538" s="67"/>
      <c r="L538" s="70" t="s">
        <v>2644</v>
      </c>
      <c r="M538" s="75">
        <v>1.0</v>
      </c>
      <c r="N538" s="75">
        <v>0.0</v>
      </c>
      <c r="O538" s="75">
        <v>0.0</v>
      </c>
      <c r="P538" s="75">
        <v>1.0</v>
      </c>
      <c r="Q538" s="70" t="s">
        <v>22</v>
      </c>
      <c r="R538" s="71">
        <v>0.67</v>
      </c>
      <c r="S538" s="71">
        <v>1.77</v>
      </c>
      <c r="T538" s="67"/>
      <c r="U538" s="71">
        <v>0.0</v>
      </c>
      <c r="V538" s="71">
        <v>2.5</v>
      </c>
      <c r="W538" s="67"/>
      <c r="X538" s="67"/>
      <c r="Y538" s="67"/>
      <c r="Z538" s="67"/>
      <c r="AA538" s="67"/>
      <c r="AB538" s="67"/>
      <c r="AC538" s="67"/>
    </row>
    <row r="539">
      <c r="A539" s="74">
        <v>46011.0</v>
      </c>
      <c r="B539" s="70" t="s">
        <v>2645</v>
      </c>
      <c r="C539" s="70" t="s">
        <v>2581</v>
      </c>
      <c r="D539" s="71">
        <v>1.1</v>
      </c>
      <c r="E539" s="71">
        <v>2.5</v>
      </c>
      <c r="F539" s="68"/>
      <c r="G539" s="68"/>
      <c r="H539" s="68"/>
      <c r="I539" s="69"/>
      <c r="J539" s="70" t="s">
        <v>1450</v>
      </c>
      <c r="K539" s="67"/>
      <c r="L539" s="70" t="s">
        <v>2646</v>
      </c>
      <c r="M539" s="75">
        <v>1.0</v>
      </c>
      <c r="N539" s="75">
        <v>0.0</v>
      </c>
      <c r="O539" s="75">
        <v>0.0</v>
      </c>
      <c r="P539" s="75">
        <v>1.0</v>
      </c>
      <c r="Q539" s="70" t="s">
        <v>22</v>
      </c>
      <c r="R539" s="71">
        <v>0.67</v>
      </c>
      <c r="S539" s="71">
        <v>1.77</v>
      </c>
      <c r="T539" s="67"/>
      <c r="U539" s="71">
        <v>0.0</v>
      </c>
      <c r="V539" s="71">
        <v>2.5</v>
      </c>
      <c r="W539" s="67"/>
      <c r="X539" s="67"/>
      <c r="Y539" s="67"/>
      <c r="Z539" s="67"/>
      <c r="AA539" s="67"/>
      <c r="AB539" s="67"/>
      <c r="AC539" s="67"/>
    </row>
    <row r="540">
      <c r="A540" s="74">
        <v>46011.0</v>
      </c>
      <c r="B540" s="70" t="s">
        <v>2647</v>
      </c>
      <c r="C540" s="70" t="s">
        <v>2581</v>
      </c>
      <c r="D540" s="71">
        <v>1.32</v>
      </c>
      <c r="E540" s="71">
        <v>3.0</v>
      </c>
      <c r="F540" s="68"/>
      <c r="G540" s="68"/>
      <c r="H540" s="71">
        <v>-1.77</v>
      </c>
      <c r="I540" s="72">
        <v>-1.0</v>
      </c>
      <c r="J540" s="70" t="s">
        <v>1595</v>
      </c>
      <c r="K540" s="67"/>
      <c r="L540" s="70" t="s">
        <v>2648</v>
      </c>
      <c r="M540" s="75">
        <v>1.0</v>
      </c>
      <c r="N540" s="75">
        <v>0.0</v>
      </c>
      <c r="O540" s="75">
        <v>1.0</v>
      </c>
      <c r="P540" s="75">
        <v>0.0</v>
      </c>
      <c r="Q540" s="70" t="s">
        <v>22</v>
      </c>
      <c r="R540" s="71">
        <v>0.45</v>
      </c>
      <c r="S540" s="71">
        <v>1.77</v>
      </c>
      <c r="T540" s="67"/>
      <c r="U540" s="71">
        <v>1.94</v>
      </c>
      <c r="V540" s="71">
        <v>4.94</v>
      </c>
      <c r="W540" s="67"/>
      <c r="X540" s="67"/>
      <c r="Y540" s="67"/>
      <c r="Z540" s="67"/>
      <c r="AA540" s="67"/>
      <c r="AB540" s="67"/>
      <c r="AC540" s="67"/>
    </row>
    <row r="541">
      <c r="A541" s="74">
        <v>46011.0</v>
      </c>
      <c r="B541" s="70" t="s">
        <v>2649</v>
      </c>
      <c r="C541" s="70" t="s">
        <v>2581</v>
      </c>
      <c r="D541" s="71">
        <v>2.2</v>
      </c>
      <c r="E541" s="71">
        <v>5.0</v>
      </c>
      <c r="F541" s="68"/>
      <c r="G541" s="68"/>
      <c r="H541" s="68"/>
      <c r="I541" s="69"/>
      <c r="J541" s="70" t="s">
        <v>1450</v>
      </c>
      <c r="K541" s="67"/>
      <c r="L541" s="70" t="s">
        <v>2650</v>
      </c>
      <c r="M541" s="75">
        <v>1.0</v>
      </c>
      <c r="N541" s="75">
        <v>0.0</v>
      </c>
      <c r="O541" s="75">
        <v>0.0</v>
      </c>
      <c r="P541" s="75">
        <v>1.0</v>
      </c>
      <c r="Q541" s="70" t="s">
        <v>22</v>
      </c>
      <c r="R541" s="71">
        <v>0.45</v>
      </c>
      <c r="S541" s="71">
        <v>2.65</v>
      </c>
      <c r="T541" s="67"/>
      <c r="U541" s="71">
        <v>1.94</v>
      </c>
      <c r="V541" s="71">
        <v>6.94</v>
      </c>
      <c r="W541" s="67"/>
      <c r="X541" s="67"/>
      <c r="Y541" s="67"/>
      <c r="Z541" s="67"/>
      <c r="AA541" s="67"/>
      <c r="AB541" s="67"/>
      <c r="AC541" s="67"/>
    </row>
    <row r="542">
      <c r="A542" s="74">
        <v>46011.0</v>
      </c>
      <c r="B542" s="70" t="s">
        <v>2651</v>
      </c>
      <c r="C542" s="70" t="s">
        <v>2581</v>
      </c>
      <c r="D542" s="71">
        <v>1.1</v>
      </c>
      <c r="E542" s="71">
        <v>2.5</v>
      </c>
      <c r="F542" s="68"/>
      <c r="G542" s="68"/>
      <c r="H542" s="68"/>
      <c r="I542" s="69"/>
      <c r="J542" s="70" t="s">
        <v>1450</v>
      </c>
      <c r="K542" s="67"/>
      <c r="L542" s="70" t="s">
        <v>2652</v>
      </c>
      <c r="M542" s="75">
        <v>1.0</v>
      </c>
      <c r="N542" s="75">
        <v>0.0</v>
      </c>
      <c r="O542" s="75">
        <v>0.0</v>
      </c>
      <c r="P542" s="75">
        <v>1.0</v>
      </c>
      <c r="Q542" s="70" t="s">
        <v>22</v>
      </c>
      <c r="R542" s="71">
        <v>0.45</v>
      </c>
      <c r="S542" s="71">
        <v>1.55</v>
      </c>
      <c r="T542" s="67"/>
      <c r="U542" s="71">
        <v>1.94</v>
      </c>
      <c r="V542" s="71">
        <v>4.44</v>
      </c>
      <c r="W542" s="67"/>
      <c r="X542" s="67"/>
      <c r="Y542" s="67"/>
      <c r="Z542" s="67"/>
      <c r="AA542" s="67"/>
      <c r="AB542" s="67"/>
      <c r="AC542" s="67"/>
    </row>
    <row r="543">
      <c r="A543" s="74">
        <v>46011.0</v>
      </c>
      <c r="B543" s="70" t="s">
        <v>2653</v>
      </c>
      <c r="C543" s="70" t="s">
        <v>2584</v>
      </c>
      <c r="D543" s="71">
        <v>24.0</v>
      </c>
      <c r="E543" s="71">
        <v>59.99</v>
      </c>
      <c r="F543" s="68"/>
      <c r="G543" s="68"/>
      <c r="H543" s="68"/>
      <c r="I543" s="69"/>
      <c r="J543" s="70" t="s">
        <v>1450</v>
      </c>
      <c r="K543" s="67"/>
      <c r="L543" s="70" t="s">
        <v>2654</v>
      </c>
      <c r="M543" s="75">
        <v>1.0</v>
      </c>
      <c r="N543" s="75">
        <v>0.0</v>
      </c>
      <c r="O543" s="75">
        <v>0.0</v>
      </c>
      <c r="P543" s="75">
        <v>1.0</v>
      </c>
      <c r="Q543" s="70" t="s">
        <v>22</v>
      </c>
      <c r="R543" s="71">
        <v>0.24</v>
      </c>
      <c r="S543" s="71">
        <v>24.24</v>
      </c>
      <c r="T543" s="67"/>
      <c r="U543" s="71">
        <v>2.31</v>
      </c>
      <c r="V543" s="71">
        <v>62.3</v>
      </c>
      <c r="W543" s="67"/>
      <c r="X543" s="67"/>
      <c r="Y543" s="67"/>
      <c r="Z543" s="67"/>
      <c r="AA543" s="67"/>
      <c r="AB543" s="67"/>
      <c r="AC543" s="67"/>
    </row>
    <row r="544">
      <c r="A544" s="74">
        <v>46011.0</v>
      </c>
      <c r="B544" s="70" t="s">
        <v>2655</v>
      </c>
      <c r="C544" s="70" t="s">
        <v>2584</v>
      </c>
      <c r="D544" s="71">
        <v>24.0</v>
      </c>
      <c r="E544" s="71">
        <v>59.99</v>
      </c>
      <c r="F544" s="68"/>
      <c r="G544" s="68"/>
      <c r="H544" s="68"/>
      <c r="I544" s="69"/>
      <c r="J544" s="70" t="s">
        <v>1450</v>
      </c>
      <c r="K544" s="67"/>
      <c r="L544" s="70" t="s">
        <v>2656</v>
      </c>
      <c r="M544" s="75">
        <v>1.0</v>
      </c>
      <c r="N544" s="75">
        <v>0.0</v>
      </c>
      <c r="O544" s="75">
        <v>0.0</v>
      </c>
      <c r="P544" s="75">
        <v>1.0</v>
      </c>
      <c r="Q544" s="70" t="s">
        <v>22</v>
      </c>
      <c r="R544" s="71">
        <v>0.24</v>
      </c>
      <c r="S544" s="71">
        <v>24.24</v>
      </c>
      <c r="T544" s="67"/>
      <c r="U544" s="71">
        <v>2.31</v>
      </c>
      <c r="V544" s="71">
        <v>62.3</v>
      </c>
      <c r="W544" s="67"/>
      <c r="X544" s="67"/>
      <c r="Y544" s="67"/>
      <c r="Z544" s="67"/>
      <c r="AA544" s="67"/>
      <c r="AB544" s="67"/>
      <c r="AC544" s="67"/>
    </row>
    <row r="545">
      <c r="A545" s="74">
        <v>46011.0</v>
      </c>
      <c r="B545" s="70" t="s">
        <v>2657</v>
      </c>
      <c r="C545" s="70" t="s">
        <v>2584</v>
      </c>
      <c r="D545" s="71">
        <v>24.0</v>
      </c>
      <c r="E545" s="71">
        <v>59.99</v>
      </c>
      <c r="F545" s="68"/>
      <c r="G545" s="68"/>
      <c r="H545" s="68"/>
      <c r="I545" s="69"/>
      <c r="J545" s="70" t="s">
        <v>1450</v>
      </c>
      <c r="K545" s="67"/>
      <c r="L545" s="70" t="s">
        <v>2658</v>
      </c>
      <c r="M545" s="75">
        <v>1.0</v>
      </c>
      <c r="N545" s="75">
        <v>0.0</v>
      </c>
      <c r="O545" s="75">
        <v>0.0</v>
      </c>
      <c r="P545" s="75">
        <v>1.0</v>
      </c>
      <c r="Q545" s="70" t="s">
        <v>22</v>
      </c>
      <c r="R545" s="71">
        <v>0.24</v>
      </c>
      <c r="S545" s="71">
        <v>24.24</v>
      </c>
      <c r="T545" s="67"/>
      <c r="U545" s="71">
        <v>2.31</v>
      </c>
      <c r="V545" s="71">
        <v>62.3</v>
      </c>
      <c r="W545" s="67"/>
      <c r="X545" s="67"/>
      <c r="Y545" s="67"/>
      <c r="Z545" s="67"/>
      <c r="AA545" s="67"/>
      <c r="AB545" s="67"/>
      <c r="AC545" s="67"/>
    </row>
    <row r="546">
      <c r="A546" s="74">
        <v>46011.0</v>
      </c>
      <c r="B546" s="70" t="s">
        <v>2659</v>
      </c>
      <c r="C546" s="70" t="s">
        <v>2438</v>
      </c>
      <c r="D546" s="71">
        <v>2.1</v>
      </c>
      <c r="E546" s="71">
        <v>5.0</v>
      </c>
      <c r="F546" s="68"/>
      <c r="G546" s="68"/>
      <c r="H546" s="68"/>
      <c r="I546" s="69"/>
      <c r="J546" s="70" t="s">
        <v>1450</v>
      </c>
      <c r="K546" s="67"/>
      <c r="L546" s="70" t="s">
        <v>2660</v>
      </c>
      <c r="M546" s="75">
        <v>1.0</v>
      </c>
      <c r="N546" s="75">
        <v>0.0</v>
      </c>
      <c r="O546" s="75">
        <v>0.0</v>
      </c>
      <c r="P546" s="75">
        <v>1.0</v>
      </c>
      <c r="Q546" s="70" t="s">
        <v>22</v>
      </c>
      <c r="R546" s="71">
        <v>0.63</v>
      </c>
      <c r="S546" s="71">
        <v>2.73</v>
      </c>
      <c r="T546" s="67"/>
      <c r="U546" s="71">
        <v>1.38</v>
      </c>
      <c r="V546" s="71">
        <v>6.38</v>
      </c>
      <c r="W546" s="67"/>
      <c r="X546" s="67"/>
      <c r="Y546" s="67"/>
      <c r="Z546" s="67"/>
      <c r="AA546" s="67"/>
      <c r="AB546" s="67"/>
      <c r="AC546" s="67"/>
    </row>
    <row r="547">
      <c r="A547" s="74">
        <v>46021.0</v>
      </c>
      <c r="B547" s="70" t="s">
        <v>2661</v>
      </c>
      <c r="C547" s="70" t="s">
        <v>2321</v>
      </c>
      <c r="D547" s="71">
        <v>2.9</v>
      </c>
      <c r="E547" s="71">
        <v>5.8</v>
      </c>
      <c r="F547" s="68"/>
      <c r="G547" s="71">
        <v>8.0</v>
      </c>
      <c r="H547" s="71">
        <v>5.1</v>
      </c>
      <c r="I547" s="72">
        <v>0.6375</v>
      </c>
      <c r="J547" s="70" t="s">
        <v>1626</v>
      </c>
      <c r="K547" s="67"/>
      <c r="L547" s="70" t="s">
        <v>2662</v>
      </c>
      <c r="M547" s="75">
        <v>1.0</v>
      </c>
      <c r="N547" s="75">
        <v>1.0</v>
      </c>
      <c r="O547" s="75">
        <v>0.0</v>
      </c>
      <c r="P547" s="75">
        <v>0.0</v>
      </c>
      <c r="Q547" s="70" t="s">
        <v>22</v>
      </c>
      <c r="R547" s="71">
        <v>0.0</v>
      </c>
      <c r="S547" s="71">
        <v>2.9</v>
      </c>
      <c r="T547" s="67"/>
      <c r="U547" s="71">
        <v>0.0</v>
      </c>
      <c r="V547" s="71">
        <v>5.8</v>
      </c>
      <c r="W547" s="67"/>
      <c r="X547" s="67"/>
      <c r="Y547" s="67"/>
      <c r="Z547" s="67"/>
      <c r="AA547" s="67"/>
      <c r="AB547" s="67"/>
      <c r="AC547" s="67"/>
    </row>
    <row r="548">
      <c r="A548" s="74">
        <v>46021.0</v>
      </c>
      <c r="B548" s="70" t="s">
        <v>2663</v>
      </c>
      <c r="C548" s="70" t="s">
        <v>1497</v>
      </c>
      <c r="D548" s="71">
        <v>7.8</v>
      </c>
      <c r="E548" s="71">
        <v>16.99</v>
      </c>
      <c r="F548" s="68"/>
      <c r="G548" s="71">
        <v>10.0</v>
      </c>
      <c r="H548" s="71">
        <v>2.2</v>
      </c>
      <c r="I548" s="72">
        <v>0.22000000000000003</v>
      </c>
      <c r="J548" s="70" t="s">
        <v>1626</v>
      </c>
      <c r="K548" s="67"/>
      <c r="L548" s="70" t="s">
        <v>2664</v>
      </c>
      <c r="M548" s="75">
        <v>1.0</v>
      </c>
      <c r="N548" s="75">
        <v>1.0</v>
      </c>
      <c r="O548" s="75">
        <v>0.0</v>
      </c>
      <c r="P548" s="75">
        <v>0.0</v>
      </c>
      <c r="Q548" s="70" t="s">
        <v>22</v>
      </c>
      <c r="R548" s="71">
        <v>0.0</v>
      </c>
      <c r="S548" s="71">
        <v>7.8</v>
      </c>
      <c r="T548" s="67"/>
      <c r="U548" s="71">
        <v>0.0</v>
      </c>
      <c r="V548" s="71">
        <v>16.99</v>
      </c>
      <c r="W548" s="67"/>
      <c r="X548" s="67"/>
      <c r="Y548" s="67"/>
      <c r="Z548" s="67"/>
      <c r="AA548" s="67"/>
      <c r="AB548" s="67"/>
      <c r="AC548" s="67"/>
    </row>
    <row r="549">
      <c r="A549" s="74">
        <v>46028.0</v>
      </c>
      <c r="B549" s="70" t="s">
        <v>2665</v>
      </c>
      <c r="C549" s="70" t="s">
        <v>2438</v>
      </c>
      <c r="D549" s="71">
        <v>0.0</v>
      </c>
      <c r="E549" s="71">
        <v>12.99</v>
      </c>
      <c r="F549" s="68"/>
      <c r="G549" s="68"/>
      <c r="H549" s="68"/>
      <c r="I549" s="69"/>
      <c r="J549" s="70" t="s">
        <v>1602</v>
      </c>
      <c r="K549" s="67"/>
      <c r="L549" s="70" t="s">
        <v>2666</v>
      </c>
      <c r="M549" s="75">
        <v>1.0</v>
      </c>
      <c r="N549" s="75">
        <v>0.0</v>
      </c>
      <c r="O549" s="75">
        <v>1.0</v>
      </c>
      <c r="P549" s="75">
        <v>0.0</v>
      </c>
      <c r="Q549" s="70" t="s">
        <v>22</v>
      </c>
      <c r="R549" s="71">
        <v>0.0</v>
      </c>
      <c r="S549" s="71">
        <v>0.0</v>
      </c>
      <c r="T549" s="67"/>
      <c r="U549" s="71">
        <v>0.25</v>
      </c>
      <c r="V549" s="71">
        <v>13.24</v>
      </c>
      <c r="W549" s="67"/>
      <c r="X549" s="67"/>
      <c r="Y549" s="67"/>
      <c r="Z549" s="67"/>
      <c r="AA549" s="67"/>
      <c r="AB549" s="67"/>
      <c r="AC549" s="67"/>
    </row>
    <row r="550">
      <c r="A550" s="74">
        <v>46085.0</v>
      </c>
      <c r="B550" s="70" t="s">
        <v>2667</v>
      </c>
      <c r="C550" s="70" t="s">
        <v>2668</v>
      </c>
      <c r="D550" s="71">
        <v>11.0</v>
      </c>
      <c r="E550" s="71">
        <v>0.0</v>
      </c>
      <c r="F550" s="68"/>
      <c r="G550" s="68"/>
      <c r="H550" s="71"/>
      <c r="I550" s="72"/>
      <c r="J550" s="70" t="s">
        <v>1450</v>
      </c>
      <c r="K550" s="67"/>
      <c r="L550" s="70" t="s">
        <v>2669</v>
      </c>
      <c r="M550" s="75">
        <v>1.0</v>
      </c>
      <c r="N550" s="75">
        <v>0.0</v>
      </c>
      <c r="O550" s="75">
        <v>0.0</v>
      </c>
      <c r="P550" s="75">
        <v>1.0</v>
      </c>
      <c r="Q550" s="76" t="s">
        <v>22</v>
      </c>
      <c r="R550" s="71">
        <v>6.16</v>
      </c>
      <c r="S550" s="71">
        <v>17.16</v>
      </c>
      <c r="T550" s="70"/>
      <c r="U550" s="71">
        <v>21.19</v>
      </c>
      <c r="V550" s="71">
        <v>21.19</v>
      </c>
      <c r="W550" s="67"/>
      <c r="X550" s="67"/>
      <c r="Y550" s="67"/>
      <c r="Z550" s="67"/>
      <c r="AA550" s="67"/>
      <c r="AB550" s="67"/>
      <c r="AC550" s="67"/>
    </row>
    <row r="551">
      <c r="A551" s="74">
        <v>46085.0</v>
      </c>
      <c r="B551" s="70" t="s">
        <v>2670</v>
      </c>
      <c r="C551" s="70" t="s">
        <v>1779</v>
      </c>
      <c r="D551" s="71">
        <v>4.19</v>
      </c>
      <c r="E551" s="71">
        <v>15.0</v>
      </c>
      <c r="F551" s="71">
        <v>18.0</v>
      </c>
      <c r="G551" s="68"/>
      <c r="H551" s="71">
        <v>7.65</v>
      </c>
      <c r="I551" s="72">
        <v>0.42500000000000004</v>
      </c>
      <c r="J551" s="70" t="s">
        <v>1462</v>
      </c>
      <c r="K551" s="67"/>
      <c r="L551" s="70" t="s">
        <v>2671</v>
      </c>
      <c r="M551" s="75">
        <v>1.0</v>
      </c>
      <c r="N551" s="75">
        <v>0.0</v>
      </c>
      <c r="O551" s="75">
        <v>0.0</v>
      </c>
      <c r="P551" s="75">
        <v>1.0</v>
      </c>
      <c r="Q551" s="70" t="s">
        <v>22</v>
      </c>
      <c r="R551" s="71">
        <v>6.16</v>
      </c>
      <c r="S551" s="71">
        <v>10.35</v>
      </c>
      <c r="T551" s="67"/>
      <c r="U551" s="71">
        <v>21.19</v>
      </c>
      <c r="V551" s="71">
        <v>36.19</v>
      </c>
      <c r="W551" s="67"/>
      <c r="X551" s="67"/>
      <c r="Y551" s="67"/>
      <c r="Z551" s="67"/>
      <c r="AA551" s="67"/>
      <c r="AB551" s="67"/>
      <c r="AC551" s="67"/>
    </row>
    <row r="552">
      <c r="A552" s="74">
        <v>46085.0</v>
      </c>
      <c r="B552" s="70" t="s">
        <v>2672</v>
      </c>
      <c r="C552" s="70" t="s">
        <v>1530</v>
      </c>
      <c r="D552" s="71">
        <v>5.79</v>
      </c>
      <c r="E552" s="71">
        <v>15.0</v>
      </c>
      <c r="F552" s="71">
        <v>12.0</v>
      </c>
      <c r="G552" s="68"/>
      <c r="H552" s="71">
        <v>4.39</v>
      </c>
      <c r="I552" s="72">
        <v>0.3658333333333333</v>
      </c>
      <c r="J552" s="70" t="s">
        <v>1462</v>
      </c>
      <c r="K552" s="67"/>
      <c r="L552" s="70" t="s">
        <v>2673</v>
      </c>
      <c r="M552" s="75">
        <v>1.0</v>
      </c>
      <c r="N552" s="75">
        <v>0.0</v>
      </c>
      <c r="O552" s="75">
        <v>0.0</v>
      </c>
      <c r="P552" s="75">
        <v>1.0</v>
      </c>
      <c r="Q552" s="70" t="s">
        <v>22</v>
      </c>
      <c r="R552" s="71">
        <v>1.82</v>
      </c>
      <c r="S552" s="71">
        <v>7.61</v>
      </c>
      <c r="T552" s="67"/>
      <c r="U552" s="71">
        <v>8.06</v>
      </c>
      <c r="V552" s="71">
        <v>23.06</v>
      </c>
      <c r="W552" s="67"/>
      <c r="X552" s="67"/>
      <c r="Y552" s="67"/>
      <c r="Z552" s="67"/>
      <c r="AA552" s="67"/>
      <c r="AB552" s="67"/>
      <c r="AC552" s="67"/>
    </row>
    <row r="553">
      <c r="A553" s="74">
        <v>46085.0</v>
      </c>
      <c r="B553" s="70" t="s">
        <v>2674</v>
      </c>
      <c r="C553" s="70" t="s">
        <v>1530</v>
      </c>
      <c r="D553" s="71">
        <v>5.79</v>
      </c>
      <c r="E553" s="71">
        <v>15.0</v>
      </c>
      <c r="F553" s="71">
        <v>12.0</v>
      </c>
      <c r="G553" s="68"/>
      <c r="H553" s="71">
        <v>4.39</v>
      </c>
      <c r="I553" s="72">
        <v>0.3658333333333333</v>
      </c>
      <c r="J553" s="70" t="s">
        <v>1462</v>
      </c>
      <c r="K553" s="67"/>
      <c r="L553" s="70" t="s">
        <v>2675</v>
      </c>
      <c r="M553" s="75">
        <v>1.0</v>
      </c>
      <c r="N553" s="75">
        <v>0.0</v>
      </c>
      <c r="O553" s="75">
        <v>0.0</v>
      </c>
      <c r="P553" s="75">
        <v>1.0</v>
      </c>
      <c r="Q553" s="70" t="s">
        <v>22</v>
      </c>
      <c r="R553" s="71">
        <v>1.82</v>
      </c>
      <c r="S553" s="71">
        <v>7.61</v>
      </c>
      <c r="T553" s="67"/>
      <c r="U553" s="71">
        <v>8.06</v>
      </c>
      <c r="V553" s="71">
        <v>23.06</v>
      </c>
      <c r="W553" s="67"/>
      <c r="X553" s="67"/>
      <c r="Y553" s="67"/>
      <c r="Z553" s="67"/>
      <c r="AA553" s="67"/>
      <c r="AB553" s="67"/>
      <c r="AC553" s="67"/>
    </row>
    <row r="554">
      <c r="A554" s="74">
        <v>46085.0</v>
      </c>
      <c r="B554" s="70" t="s">
        <v>2676</v>
      </c>
      <c r="C554" s="70" t="s">
        <v>1530</v>
      </c>
      <c r="D554" s="71">
        <v>5.79</v>
      </c>
      <c r="E554" s="71">
        <v>15.0</v>
      </c>
      <c r="F554" s="71">
        <v>12.0</v>
      </c>
      <c r="G554" s="68"/>
      <c r="H554" s="71">
        <v>4.39</v>
      </c>
      <c r="I554" s="72">
        <v>0.3658333333333333</v>
      </c>
      <c r="J554" s="70" t="s">
        <v>1462</v>
      </c>
      <c r="K554" s="67"/>
      <c r="L554" s="67" t="s">
        <v>2677</v>
      </c>
      <c r="M554" s="75">
        <v>1.0</v>
      </c>
      <c r="N554" s="75">
        <v>0.0</v>
      </c>
      <c r="O554" s="75">
        <v>0.0</v>
      </c>
      <c r="P554" s="75">
        <v>1.0</v>
      </c>
      <c r="Q554" s="76" t="s">
        <v>22</v>
      </c>
      <c r="R554" s="71">
        <v>1.82</v>
      </c>
      <c r="S554" s="71">
        <v>7.61</v>
      </c>
      <c r="T554" s="70"/>
      <c r="U554" s="71">
        <v>8.06</v>
      </c>
      <c r="V554" s="71">
        <v>23.06</v>
      </c>
      <c r="W554" s="67"/>
      <c r="X554" s="67"/>
      <c r="Y554" s="67"/>
      <c r="Z554" s="67"/>
      <c r="AA554" s="67"/>
      <c r="AB554" s="67"/>
      <c r="AC554" s="67"/>
    </row>
    <row r="555">
      <c r="A555" s="74">
        <v>46085.0</v>
      </c>
      <c r="B555" s="70" t="s">
        <v>2678</v>
      </c>
      <c r="C555" s="70" t="s">
        <v>2679</v>
      </c>
      <c r="D555" s="71">
        <v>10.0</v>
      </c>
      <c r="E555" s="71">
        <v>0.0</v>
      </c>
      <c r="F555" s="68"/>
      <c r="G555" s="68"/>
      <c r="H555" s="68"/>
      <c r="I555" s="69"/>
      <c r="J555" s="70" t="s">
        <v>1450</v>
      </c>
      <c r="K555" s="67"/>
      <c r="L555" s="70" t="s">
        <v>2680</v>
      </c>
      <c r="M555" s="75">
        <v>1.0</v>
      </c>
      <c r="N555" s="75">
        <v>0.0</v>
      </c>
      <c r="O555" s="75">
        <v>0.0</v>
      </c>
      <c r="P555" s="75">
        <v>1.0</v>
      </c>
      <c r="Q555" s="70" t="s">
        <v>22</v>
      </c>
      <c r="R555" s="71">
        <v>1.75</v>
      </c>
      <c r="S555" s="71">
        <v>11.75</v>
      </c>
      <c r="T555" s="67"/>
      <c r="U555" s="71">
        <v>3.0</v>
      </c>
      <c r="V555" s="71">
        <v>3.0</v>
      </c>
      <c r="W555" s="67"/>
      <c r="X555" s="67"/>
      <c r="Y555" s="67"/>
      <c r="Z555" s="67"/>
      <c r="AA555" s="67"/>
      <c r="AB555" s="67"/>
      <c r="AC555" s="67"/>
    </row>
    <row r="556">
      <c r="A556" s="74">
        <v>46085.0</v>
      </c>
      <c r="B556" s="70" t="s">
        <v>2681</v>
      </c>
      <c r="C556" s="70" t="s">
        <v>1767</v>
      </c>
      <c r="D556" s="71">
        <v>8.0</v>
      </c>
      <c r="E556" s="71">
        <v>16.0</v>
      </c>
      <c r="F556" s="68"/>
      <c r="G556" s="68"/>
      <c r="H556" s="68"/>
      <c r="I556" s="69"/>
      <c r="J556" s="70" t="s">
        <v>1450</v>
      </c>
      <c r="K556" s="67"/>
      <c r="L556" s="70" t="s">
        <v>2682</v>
      </c>
      <c r="M556" s="75">
        <v>1.0</v>
      </c>
      <c r="N556" s="75">
        <v>0.0</v>
      </c>
      <c r="O556" s="75">
        <v>0.0</v>
      </c>
      <c r="P556" s="75">
        <v>1.0</v>
      </c>
      <c r="Q556" s="70" t="s">
        <v>22</v>
      </c>
      <c r="R556" s="71">
        <v>2.19</v>
      </c>
      <c r="S556" s="71">
        <v>10.19</v>
      </c>
      <c r="T556" s="67"/>
      <c r="U556" s="71">
        <v>7.56</v>
      </c>
      <c r="V556" s="71">
        <v>23.56</v>
      </c>
      <c r="W556" s="67"/>
      <c r="X556" s="67"/>
      <c r="Y556" s="67"/>
      <c r="Z556" s="67"/>
      <c r="AA556" s="67"/>
      <c r="AB556" s="67"/>
      <c r="AC556" s="67"/>
    </row>
    <row r="557">
      <c r="A557" s="74">
        <v>46085.0</v>
      </c>
      <c r="B557" s="70" t="s">
        <v>2683</v>
      </c>
      <c r="C557" s="70" t="s">
        <v>2679</v>
      </c>
      <c r="D557" s="71">
        <v>10.0</v>
      </c>
      <c r="E557" s="71">
        <v>0.0</v>
      </c>
      <c r="F557" s="68"/>
      <c r="G557" s="68"/>
      <c r="H557" s="68"/>
      <c r="I557" s="69"/>
      <c r="J557" s="70" t="s">
        <v>1450</v>
      </c>
      <c r="K557" s="67"/>
      <c r="L557" s="70" t="s">
        <v>2684</v>
      </c>
      <c r="M557" s="75">
        <v>1.0</v>
      </c>
      <c r="N557" s="75">
        <v>0.0</v>
      </c>
      <c r="O557" s="75">
        <v>0.0</v>
      </c>
      <c r="P557" s="75">
        <v>1.0</v>
      </c>
      <c r="Q557" s="70" t="s">
        <v>22</v>
      </c>
      <c r="R557" s="71">
        <v>0.67</v>
      </c>
      <c r="S557" s="71">
        <v>10.67</v>
      </c>
      <c r="T557" s="70"/>
      <c r="U557" s="71">
        <v>0.0</v>
      </c>
      <c r="V557" s="71"/>
      <c r="W557" s="67"/>
      <c r="X557" s="67"/>
      <c r="Y557" s="67"/>
      <c r="Z557" s="67"/>
      <c r="AA557" s="67"/>
      <c r="AB557" s="67"/>
      <c r="AC557" s="67"/>
    </row>
    <row r="558">
      <c r="A558" s="74">
        <v>46085.0</v>
      </c>
      <c r="B558" s="70" t="s">
        <v>2685</v>
      </c>
      <c r="C558" s="70" t="s">
        <v>2581</v>
      </c>
      <c r="D558" s="71">
        <v>1.1</v>
      </c>
      <c r="E558" s="71">
        <v>2.5</v>
      </c>
      <c r="F558" s="68"/>
      <c r="G558" s="68"/>
      <c r="H558" s="68"/>
      <c r="I558" s="69"/>
      <c r="J558" s="70" t="s">
        <v>1450</v>
      </c>
      <c r="K558" s="67"/>
      <c r="L558" s="70" t="s">
        <v>2686</v>
      </c>
      <c r="M558" s="75">
        <v>1.0</v>
      </c>
      <c r="N558" s="75">
        <v>0.0</v>
      </c>
      <c r="O558" s="75">
        <v>0.0</v>
      </c>
      <c r="P558" s="75">
        <v>1.0</v>
      </c>
      <c r="Q558" s="70" t="s">
        <v>22</v>
      </c>
      <c r="R558" s="71">
        <v>4.98</v>
      </c>
      <c r="S558" s="71">
        <v>6.08</v>
      </c>
      <c r="T558" s="70"/>
      <c r="U558" s="71">
        <v>11.69</v>
      </c>
      <c r="V558" s="71">
        <v>14.19</v>
      </c>
      <c r="W558" s="67"/>
      <c r="X558" s="67"/>
      <c r="Y558" s="67"/>
      <c r="Z558" s="67"/>
      <c r="AA558" s="67"/>
      <c r="AB558" s="67"/>
      <c r="AC558" s="67"/>
    </row>
    <row r="559">
      <c r="A559" s="74">
        <v>46085.0</v>
      </c>
      <c r="B559" s="70" t="s">
        <v>2687</v>
      </c>
      <c r="C559" s="70" t="s">
        <v>2581</v>
      </c>
      <c r="D559" s="71">
        <v>1.1</v>
      </c>
      <c r="E559" s="71">
        <v>2.5</v>
      </c>
      <c r="F559" s="68"/>
      <c r="G559" s="68"/>
      <c r="H559" s="71"/>
      <c r="I559" s="72"/>
      <c r="J559" s="70" t="s">
        <v>1450</v>
      </c>
      <c r="K559" s="67"/>
      <c r="L559" s="70" t="s">
        <v>2688</v>
      </c>
      <c r="M559" s="75">
        <v>1.0</v>
      </c>
      <c r="N559" s="75">
        <v>0.0</v>
      </c>
      <c r="O559" s="75">
        <v>0.0</v>
      </c>
      <c r="P559" s="75">
        <v>1.0</v>
      </c>
      <c r="Q559" s="70" t="s">
        <v>22</v>
      </c>
      <c r="R559" s="71">
        <v>4.98</v>
      </c>
      <c r="S559" s="71">
        <v>6.08</v>
      </c>
      <c r="T559" s="70"/>
      <c r="U559" s="71">
        <v>11.69</v>
      </c>
      <c r="V559" s="71">
        <v>14.19</v>
      </c>
      <c r="W559" s="67"/>
      <c r="X559" s="67"/>
      <c r="Y559" s="67"/>
      <c r="Z559" s="67"/>
      <c r="AA559" s="67"/>
      <c r="AB559" s="67"/>
      <c r="AC559" s="67"/>
    </row>
    <row r="560">
      <c r="A560" s="74">
        <v>46086.0</v>
      </c>
      <c r="B560" s="70" t="s">
        <v>2689</v>
      </c>
      <c r="C560" s="70" t="s">
        <v>2235</v>
      </c>
      <c r="D560" s="71">
        <v>1.0</v>
      </c>
      <c r="E560" s="71">
        <v>0.0</v>
      </c>
      <c r="F560" s="68"/>
      <c r="G560" s="68"/>
      <c r="H560" s="68"/>
      <c r="I560" s="69"/>
      <c r="J560" s="70" t="s">
        <v>2512</v>
      </c>
      <c r="K560" s="67"/>
      <c r="L560" s="70" t="s">
        <v>2690</v>
      </c>
      <c r="M560" s="75">
        <v>1.0</v>
      </c>
      <c r="N560" s="75">
        <v>0.0</v>
      </c>
      <c r="O560" s="75">
        <v>0.0</v>
      </c>
      <c r="P560" s="75">
        <v>1.0</v>
      </c>
      <c r="Q560" s="76" t="s">
        <v>22</v>
      </c>
      <c r="R560" s="71">
        <v>4.77</v>
      </c>
      <c r="S560" s="71">
        <v>5.77</v>
      </c>
      <c r="T560" s="70"/>
      <c r="U560" s="71">
        <v>12.06</v>
      </c>
      <c r="V560" s="71">
        <v>12.06</v>
      </c>
      <c r="W560" s="67"/>
      <c r="X560" s="67"/>
      <c r="Y560" s="67"/>
      <c r="Z560" s="67"/>
      <c r="AA560" s="67"/>
      <c r="AB560" s="67"/>
      <c r="AC560" s="67"/>
    </row>
    <row r="561">
      <c r="A561" s="74">
        <v>46086.0</v>
      </c>
      <c r="B561" s="70" t="s">
        <v>2691</v>
      </c>
      <c r="C561" s="70" t="s">
        <v>2235</v>
      </c>
      <c r="D561" s="71">
        <v>3.66</v>
      </c>
      <c r="E561" s="71">
        <v>0.0</v>
      </c>
      <c r="F561" s="71">
        <v>18.0</v>
      </c>
      <c r="G561" s="68"/>
      <c r="H561" s="71">
        <v>9.57</v>
      </c>
      <c r="I561" s="72">
        <v>0.5316666666666667</v>
      </c>
      <c r="J561" s="70" t="s">
        <v>1462</v>
      </c>
      <c r="K561" s="67"/>
      <c r="L561" s="67" t="s">
        <v>2692</v>
      </c>
      <c r="M561" s="75">
        <v>1.0</v>
      </c>
      <c r="N561" s="75">
        <v>0.0</v>
      </c>
      <c r="O561" s="75">
        <v>0.0</v>
      </c>
      <c r="P561" s="75">
        <v>1.0</v>
      </c>
      <c r="Q561" s="76" t="s">
        <v>22</v>
      </c>
      <c r="R561" s="71">
        <v>4.77</v>
      </c>
      <c r="S561" s="71">
        <v>8.43</v>
      </c>
      <c r="T561" s="70"/>
      <c r="U561" s="71">
        <v>12.06</v>
      </c>
      <c r="V561" s="71">
        <v>12.06</v>
      </c>
      <c r="W561" s="67"/>
      <c r="X561" s="67"/>
      <c r="Y561" s="67"/>
      <c r="Z561" s="67"/>
      <c r="AA561" s="67"/>
      <c r="AB561" s="67"/>
      <c r="AC561" s="67"/>
    </row>
    <row r="562">
      <c r="A562" s="74">
        <v>46086.0</v>
      </c>
      <c r="B562" s="70" t="s">
        <v>2693</v>
      </c>
      <c r="C562" s="70" t="s">
        <v>2620</v>
      </c>
      <c r="D562" s="71">
        <v>16.0</v>
      </c>
      <c r="E562" s="71">
        <v>0.0</v>
      </c>
      <c r="F562" s="68"/>
      <c r="G562" s="68"/>
      <c r="H562" s="71"/>
      <c r="I562" s="72"/>
      <c r="J562" s="70" t="s">
        <v>1450</v>
      </c>
      <c r="K562" s="67"/>
      <c r="L562" s="67" t="s">
        <v>2694</v>
      </c>
      <c r="M562" s="75">
        <v>1.0</v>
      </c>
      <c r="N562" s="75">
        <v>0.0</v>
      </c>
      <c r="O562" s="75">
        <v>0.0</v>
      </c>
      <c r="P562" s="75">
        <v>1.0</v>
      </c>
      <c r="Q562" s="76" t="s">
        <v>22</v>
      </c>
      <c r="R562" s="71">
        <v>4.77</v>
      </c>
      <c r="S562" s="71">
        <v>20.77</v>
      </c>
      <c r="T562" s="70"/>
      <c r="U562" s="71">
        <v>12.06</v>
      </c>
      <c r="V562" s="71">
        <v>12.06</v>
      </c>
      <c r="W562" s="67"/>
      <c r="X562" s="67"/>
      <c r="Y562" s="67"/>
      <c r="Z562" s="67"/>
      <c r="AA562" s="67"/>
      <c r="AB562" s="67"/>
      <c r="AC562" s="67"/>
    </row>
    <row r="563">
      <c r="A563" s="74">
        <v>46086.0</v>
      </c>
      <c r="B563" s="70" t="s">
        <v>2695</v>
      </c>
      <c r="C563" s="70" t="s">
        <v>2288</v>
      </c>
      <c r="D563" s="71">
        <v>10.25</v>
      </c>
      <c r="E563" s="71">
        <v>0.0</v>
      </c>
      <c r="F563" s="68"/>
      <c r="G563" s="68"/>
      <c r="H563" s="68"/>
      <c r="I563" s="69"/>
      <c r="J563" s="70" t="s">
        <v>1450</v>
      </c>
      <c r="K563" s="67"/>
      <c r="L563" s="70" t="s">
        <v>2696</v>
      </c>
      <c r="M563" s="75">
        <v>1.0</v>
      </c>
      <c r="N563" s="75">
        <v>0.0</v>
      </c>
      <c r="O563" s="75">
        <v>0.0</v>
      </c>
      <c r="P563" s="75">
        <v>1.0</v>
      </c>
      <c r="Q563" s="76" t="s">
        <v>22</v>
      </c>
      <c r="R563" s="71">
        <v>4.77</v>
      </c>
      <c r="S563" s="71">
        <v>15.02</v>
      </c>
      <c r="T563" s="67"/>
      <c r="U563" s="71">
        <v>12.06</v>
      </c>
      <c r="V563" s="71">
        <v>12.06</v>
      </c>
      <c r="W563" s="67"/>
      <c r="X563" s="67"/>
      <c r="Y563" s="67"/>
      <c r="Z563" s="67"/>
      <c r="AA563" s="67"/>
      <c r="AB563" s="67"/>
      <c r="AC563" s="67"/>
    </row>
    <row r="564">
      <c r="A564" s="74">
        <v>46086.0</v>
      </c>
      <c r="B564" s="70" t="s">
        <v>2697</v>
      </c>
      <c r="C564" s="70" t="s">
        <v>2698</v>
      </c>
      <c r="D564" s="71">
        <v>10.0</v>
      </c>
      <c r="E564" s="71">
        <v>0.0</v>
      </c>
      <c r="F564" s="68"/>
      <c r="G564" s="68"/>
      <c r="H564" s="68"/>
      <c r="I564" s="69"/>
      <c r="J564" s="70" t="s">
        <v>1450</v>
      </c>
      <c r="K564" s="67"/>
      <c r="L564" s="70" t="s">
        <v>2699</v>
      </c>
      <c r="M564" s="75">
        <v>1.0</v>
      </c>
      <c r="N564" s="75">
        <v>0.0</v>
      </c>
      <c r="O564" s="75">
        <v>0.0</v>
      </c>
      <c r="P564" s="75">
        <v>1.0</v>
      </c>
      <c r="Q564" s="70" t="s">
        <v>22</v>
      </c>
      <c r="R564" s="71">
        <v>4.77</v>
      </c>
      <c r="S564" s="71">
        <v>14.77</v>
      </c>
      <c r="T564" s="70"/>
      <c r="U564" s="71">
        <v>12.06</v>
      </c>
      <c r="V564" s="71">
        <v>12.06</v>
      </c>
      <c r="W564" s="67"/>
      <c r="X564" s="67"/>
      <c r="Y564" s="67"/>
      <c r="Z564" s="67"/>
      <c r="AA564" s="67"/>
      <c r="AB564" s="67"/>
      <c r="AC564" s="67"/>
    </row>
    <row r="565">
      <c r="A565" s="74">
        <v>46086.0</v>
      </c>
      <c r="B565" s="70" t="s">
        <v>2700</v>
      </c>
      <c r="C565" s="70" t="s">
        <v>1779</v>
      </c>
      <c r="D565" s="71">
        <v>4.19</v>
      </c>
      <c r="E565" s="71">
        <v>15.0</v>
      </c>
      <c r="F565" s="71">
        <v>15.0</v>
      </c>
      <c r="G565" s="68"/>
      <c r="H565" s="71">
        <v>8.03</v>
      </c>
      <c r="I565" s="72">
        <v>0.5353333333333333</v>
      </c>
      <c r="J565" s="70" t="s">
        <v>1462</v>
      </c>
      <c r="K565" s="67"/>
      <c r="L565" s="67" t="s">
        <v>2701</v>
      </c>
      <c r="M565" s="75">
        <v>1.0</v>
      </c>
      <c r="N565" s="75">
        <v>0.0</v>
      </c>
      <c r="O565" s="75">
        <v>0.0</v>
      </c>
      <c r="P565" s="75">
        <v>1.0</v>
      </c>
      <c r="Q565" s="76" t="s">
        <v>22</v>
      </c>
      <c r="R565" s="71">
        <v>2.78</v>
      </c>
      <c r="S565" s="71">
        <v>6.97</v>
      </c>
      <c r="T565" s="70"/>
      <c r="U565" s="71">
        <v>4.13</v>
      </c>
      <c r="V565" s="71">
        <v>19.13</v>
      </c>
      <c r="W565" s="67"/>
      <c r="X565" s="67"/>
      <c r="Y565" s="67"/>
      <c r="Z565" s="67"/>
      <c r="AA565" s="67"/>
      <c r="AB565" s="67"/>
      <c r="AC565" s="67"/>
    </row>
    <row r="566">
      <c r="A566" s="74">
        <v>46086.0</v>
      </c>
      <c r="B566" s="70" t="s">
        <v>2702</v>
      </c>
      <c r="C566" s="70" t="s">
        <v>2587</v>
      </c>
      <c r="D566" s="71">
        <v>15.0</v>
      </c>
      <c r="E566" s="71">
        <v>35.0</v>
      </c>
      <c r="F566" s="68"/>
      <c r="G566" s="68"/>
      <c r="H566" s="71"/>
      <c r="I566" s="72"/>
      <c r="J566" s="70" t="s">
        <v>1450</v>
      </c>
      <c r="K566" s="67"/>
      <c r="L566" s="70" t="s">
        <v>2703</v>
      </c>
      <c r="M566" s="75">
        <v>1.0</v>
      </c>
      <c r="N566" s="75">
        <v>0.0</v>
      </c>
      <c r="O566" s="75">
        <v>0.0</v>
      </c>
      <c r="P566" s="75">
        <v>1.0</v>
      </c>
      <c r="Q566" s="76" t="s">
        <v>22</v>
      </c>
      <c r="R566" s="71">
        <v>13.88</v>
      </c>
      <c r="S566" s="71">
        <v>28.88</v>
      </c>
      <c r="T566" s="67"/>
      <c r="U566" s="71">
        <v>47.0</v>
      </c>
      <c r="V566" s="71">
        <v>82.0</v>
      </c>
      <c r="W566" s="67"/>
      <c r="X566" s="67"/>
      <c r="Y566" s="67"/>
      <c r="Z566" s="67"/>
      <c r="AA566" s="67"/>
      <c r="AB566" s="67"/>
      <c r="AC566" s="67"/>
    </row>
    <row r="567">
      <c r="A567" s="74">
        <v>46086.0</v>
      </c>
      <c r="B567" s="70" t="s">
        <v>2704</v>
      </c>
      <c r="C567" s="70" t="s">
        <v>2240</v>
      </c>
      <c r="D567" s="71">
        <v>13.47</v>
      </c>
      <c r="E567" s="71">
        <v>45.0</v>
      </c>
      <c r="F567" s="71">
        <v>45.0</v>
      </c>
      <c r="G567" s="68"/>
      <c r="H567" s="71">
        <v>17.89</v>
      </c>
      <c r="I567" s="72">
        <v>0.39755555555555555</v>
      </c>
      <c r="J567" s="70" t="s">
        <v>1462</v>
      </c>
      <c r="K567" s="67"/>
      <c r="L567" s="70" t="s">
        <v>2705</v>
      </c>
      <c r="M567" s="75">
        <v>1.0</v>
      </c>
      <c r="N567" s="75">
        <v>0.0</v>
      </c>
      <c r="O567" s="75">
        <v>0.0</v>
      </c>
      <c r="P567" s="75">
        <v>1.0</v>
      </c>
      <c r="Q567" s="70" t="s">
        <v>22</v>
      </c>
      <c r="R567" s="71">
        <v>13.64</v>
      </c>
      <c r="S567" s="71">
        <v>27.11</v>
      </c>
      <c r="T567" s="67"/>
      <c r="U567" s="71">
        <v>45.0</v>
      </c>
      <c r="V567" s="71">
        <v>90.0</v>
      </c>
      <c r="W567" s="67"/>
      <c r="X567" s="67"/>
      <c r="Y567" s="67"/>
      <c r="Z567" s="67"/>
      <c r="AA567" s="67"/>
      <c r="AB567" s="67"/>
      <c r="AC567" s="67"/>
    </row>
    <row r="568">
      <c r="A568" s="74">
        <v>46086.0</v>
      </c>
      <c r="B568" s="70" t="s">
        <v>2706</v>
      </c>
      <c r="C568" s="70" t="s">
        <v>2707</v>
      </c>
      <c r="D568" s="71">
        <v>5.59</v>
      </c>
      <c r="E568" s="71">
        <v>15.0</v>
      </c>
      <c r="F568" s="68"/>
      <c r="G568" s="68"/>
      <c r="H568" s="68"/>
      <c r="I568" s="69"/>
      <c r="J568" s="70" t="s">
        <v>1450</v>
      </c>
      <c r="K568" s="67"/>
      <c r="L568" s="70" t="s">
        <v>2708</v>
      </c>
      <c r="M568" s="75">
        <v>1.0</v>
      </c>
      <c r="N568" s="75">
        <v>0.0</v>
      </c>
      <c r="O568" s="75">
        <v>0.0</v>
      </c>
      <c r="P568" s="75">
        <v>1.0</v>
      </c>
      <c r="Q568" s="70" t="s">
        <v>22</v>
      </c>
      <c r="R568" s="71">
        <v>0.67</v>
      </c>
      <c r="S568" s="71">
        <v>6.26</v>
      </c>
      <c r="T568" s="67"/>
      <c r="U568" s="71">
        <v>0.0</v>
      </c>
      <c r="V568" s="71">
        <v>15.0</v>
      </c>
      <c r="W568" s="67"/>
      <c r="X568" s="67"/>
      <c r="Y568" s="67"/>
      <c r="Z568" s="67"/>
      <c r="AA568" s="67"/>
      <c r="AB568" s="67"/>
      <c r="AC568" s="67"/>
    </row>
    <row r="569">
      <c r="A569" s="74">
        <v>46086.0</v>
      </c>
      <c r="B569" s="70" t="s">
        <v>2709</v>
      </c>
      <c r="C569" s="70" t="s">
        <v>2048</v>
      </c>
      <c r="D569" s="71">
        <v>14.97</v>
      </c>
      <c r="E569" s="71">
        <v>30.0</v>
      </c>
      <c r="F569" s="71">
        <v>30.0</v>
      </c>
      <c r="G569" s="68"/>
      <c r="H569" s="71">
        <v>12.8</v>
      </c>
      <c r="I569" s="72">
        <v>0.4266666666666667</v>
      </c>
      <c r="J569" s="70" t="s">
        <v>1462</v>
      </c>
      <c r="K569" s="67"/>
      <c r="L569" s="70" t="s">
        <v>2710</v>
      </c>
      <c r="M569" s="75">
        <v>1.0</v>
      </c>
      <c r="N569" s="75">
        <v>0.0</v>
      </c>
      <c r="O569" s="75">
        <v>0.0</v>
      </c>
      <c r="P569" s="75">
        <v>1.0</v>
      </c>
      <c r="Q569" s="70" t="s">
        <v>22</v>
      </c>
      <c r="R569" s="71">
        <v>2.23</v>
      </c>
      <c r="S569" s="71">
        <v>17.2</v>
      </c>
      <c r="T569" s="67"/>
      <c r="U569" s="71">
        <v>6.88</v>
      </c>
      <c r="V569" s="71">
        <v>36.88</v>
      </c>
      <c r="W569" s="67"/>
      <c r="X569" s="67"/>
      <c r="Y569" s="67"/>
      <c r="Z569" s="67"/>
      <c r="AA569" s="67"/>
      <c r="AB569" s="67"/>
      <c r="AC569" s="67"/>
    </row>
    <row r="570">
      <c r="A570" s="74">
        <v>46086.0</v>
      </c>
      <c r="B570" s="70" t="s">
        <v>2711</v>
      </c>
      <c r="C570" s="70" t="s">
        <v>1767</v>
      </c>
      <c r="D570" s="71">
        <v>16.0</v>
      </c>
      <c r="E570" s="71">
        <v>32.0</v>
      </c>
      <c r="F570" s="68"/>
      <c r="G570" s="68"/>
      <c r="H570" s="68"/>
      <c r="I570" s="69"/>
      <c r="J570" s="70" t="s">
        <v>1450</v>
      </c>
      <c r="K570" s="67"/>
      <c r="L570" s="70" t="s">
        <v>2712</v>
      </c>
      <c r="M570" s="75">
        <v>1.0</v>
      </c>
      <c r="N570" s="75">
        <v>0.0</v>
      </c>
      <c r="O570" s="75">
        <v>0.0</v>
      </c>
      <c r="P570" s="75">
        <v>1.0</v>
      </c>
      <c r="Q570" s="70" t="s">
        <v>22</v>
      </c>
      <c r="R570" s="71">
        <v>13.88</v>
      </c>
      <c r="S570" s="71">
        <v>29.88</v>
      </c>
      <c r="T570" s="67"/>
      <c r="U570" s="71">
        <v>47.0</v>
      </c>
      <c r="V570" s="71">
        <v>79.0</v>
      </c>
      <c r="W570" s="67"/>
      <c r="X570" s="67"/>
      <c r="Y570" s="67"/>
      <c r="Z570" s="67"/>
      <c r="AA570" s="67"/>
      <c r="AB570" s="67"/>
      <c r="AC570" s="67"/>
    </row>
    <row r="571">
      <c r="A571" s="74">
        <v>46086.0</v>
      </c>
      <c r="B571" s="70" t="s">
        <v>2713</v>
      </c>
      <c r="C571" s="70" t="s">
        <v>2714</v>
      </c>
      <c r="D571" s="71">
        <v>12.0</v>
      </c>
      <c r="E571" s="71">
        <v>0.0</v>
      </c>
      <c r="F571" s="68"/>
      <c r="G571" s="68"/>
      <c r="H571" s="71"/>
      <c r="I571" s="72"/>
      <c r="J571" s="70" t="s">
        <v>1450</v>
      </c>
      <c r="K571" s="67"/>
      <c r="L571" s="70" t="s">
        <v>2715</v>
      </c>
      <c r="M571" s="75">
        <v>1.0</v>
      </c>
      <c r="N571" s="75">
        <v>0.0</v>
      </c>
      <c r="O571" s="75">
        <v>0.0</v>
      </c>
      <c r="P571" s="75">
        <v>1.0</v>
      </c>
      <c r="Q571" s="76" t="s">
        <v>22</v>
      </c>
      <c r="R571" s="71">
        <v>4.77</v>
      </c>
      <c r="S571" s="71">
        <v>16.77</v>
      </c>
      <c r="T571" s="70"/>
      <c r="U571" s="71">
        <v>12.06</v>
      </c>
      <c r="V571" s="71">
        <v>12.06</v>
      </c>
      <c r="W571" s="67"/>
      <c r="X571" s="67"/>
      <c r="Y571" s="67"/>
      <c r="Z571" s="67"/>
      <c r="AA571" s="67"/>
      <c r="AB571" s="67"/>
      <c r="AC571" s="67"/>
    </row>
    <row r="572">
      <c r="A572" s="74">
        <v>46086.0</v>
      </c>
      <c r="B572" s="70" t="s">
        <v>2716</v>
      </c>
      <c r="C572" s="70" t="s">
        <v>2717</v>
      </c>
      <c r="D572" s="71">
        <v>0.08</v>
      </c>
      <c r="E572" s="71">
        <v>8.0</v>
      </c>
      <c r="F572" s="68"/>
      <c r="G572" s="68"/>
      <c r="H572" s="68"/>
      <c r="I572" s="69"/>
      <c r="J572" s="70" t="s">
        <v>1450</v>
      </c>
      <c r="K572" s="67"/>
      <c r="L572" s="70" t="s">
        <v>2718</v>
      </c>
      <c r="M572" s="75">
        <v>1.0</v>
      </c>
      <c r="N572" s="75">
        <v>0.0</v>
      </c>
      <c r="O572" s="75">
        <v>0.0</v>
      </c>
      <c r="P572" s="75">
        <v>1.0</v>
      </c>
      <c r="Q572" s="70" t="s">
        <v>22</v>
      </c>
      <c r="R572" s="71">
        <v>0.13</v>
      </c>
      <c r="S572" s="71">
        <v>0.21</v>
      </c>
      <c r="T572" s="67"/>
      <c r="U572" s="71">
        <v>0.0</v>
      </c>
      <c r="V572" s="71">
        <v>8.0</v>
      </c>
      <c r="W572" s="67"/>
      <c r="X572" s="67"/>
      <c r="Y572" s="67"/>
      <c r="Z572" s="67"/>
      <c r="AA572" s="67"/>
      <c r="AB572" s="67"/>
      <c r="AC572" s="67"/>
    </row>
    <row r="573">
      <c r="A573" s="74">
        <v>46086.0</v>
      </c>
      <c r="B573" s="70" t="s">
        <v>2719</v>
      </c>
      <c r="C573" s="70" t="s">
        <v>2707</v>
      </c>
      <c r="D573" s="71">
        <v>9.99</v>
      </c>
      <c r="E573" s="71">
        <v>20.0</v>
      </c>
      <c r="F573" s="68"/>
      <c r="G573" s="68"/>
      <c r="H573" s="68"/>
      <c r="I573" s="69"/>
      <c r="J573" s="70" t="s">
        <v>1450</v>
      </c>
      <c r="K573" s="67"/>
      <c r="L573" s="70" t="s">
        <v>2720</v>
      </c>
      <c r="M573" s="75">
        <v>1.0</v>
      </c>
      <c r="N573" s="75">
        <v>0.0</v>
      </c>
      <c r="O573" s="75">
        <v>0.0</v>
      </c>
      <c r="P573" s="75">
        <v>1.0</v>
      </c>
      <c r="Q573" s="70" t="s">
        <v>22</v>
      </c>
      <c r="R573" s="71">
        <v>4.77</v>
      </c>
      <c r="S573" s="71">
        <v>14.76</v>
      </c>
      <c r="T573" s="67"/>
      <c r="U573" s="71">
        <v>12.06</v>
      </c>
      <c r="V573" s="71">
        <v>32.06</v>
      </c>
      <c r="W573" s="67"/>
      <c r="X573" s="67"/>
      <c r="Y573" s="67"/>
      <c r="Z573" s="67"/>
      <c r="AA573" s="67"/>
      <c r="AB573" s="67"/>
      <c r="AC573" s="67"/>
    </row>
    <row r="574">
      <c r="A574" s="74">
        <v>46086.0</v>
      </c>
      <c r="B574" s="70" t="s">
        <v>2721</v>
      </c>
      <c r="C574" s="70" t="s">
        <v>2722</v>
      </c>
      <c r="D574" s="71">
        <v>7.5</v>
      </c>
      <c r="E574" s="71">
        <v>0.0</v>
      </c>
      <c r="F574" s="71">
        <v>40.0</v>
      </c>
      <c r="G574" s="68"/>
      <c r="H574" s="71">
        <v>29.72</v>
      </c>
      <c r="I574" s="72">
        <v>0.743</v>
      </c>
      <c r="J574" s="70" t="s">
        <v>1462</v>
      </c>
      <c r="K574" s="67"/>
      <c r="L574" s="70" t="s">
        <v>2723</v>
      </c>
      <c r="M574" s="75">
        <v>1.0</v>
      </c>
      <c r="N574" s="75">
        <v>0.0</v>
      </c>
      <c r="O574" s="75">
        <v>0.0</v>
      </c>
      <c r="P574" s="75">
        <v>1.0</v>
      </c>
      <c r="Q574" s="70" t="s">
        <v>22</v>
      </c>
      <c r="R574" s="71">
        <v>2.78</v>
      </c>
      <c r="S574" s="71">
        <v>10.28</v>
      </c>
      <c r="T574" s="70"/>
      <c r="U574" s="71">
        <v>4.13</v>
      </c>
      <c r="V574" s="71">
        <v>4.13</v>
      </c>
      <c r="W574" s="67"/>
      <c r="X574" s="67"/>
      <c r="Y574" s="67"/>
      <c r="Z574" s="67"/>
      <c r="AA574" s="67"/>
      <c r="AB574" s="67"/>
      <c r="AC574" s="67"/>
    </row>
    <row r="575">
      <c r="A575" s="74">
        <v>46086.0</v>
      </c>
      <c r="B575" s="70" t="s">
        <v>2724</v>
      </c>
      <c r="C575" s="70" t="s">
        <v>1490</v>
      </c>
      <c r="D575" s="71">
        <v>10.2</v>
      </c>
      <c r="E575" s="71">
        <v>24.99</v>
      </c>
      <c r="F575" s="71">
        <v>40.0</v>
      </c>
      <c r="G575" s="68"/>
      <c r="H575" s="71">
        <v>15.92</v>
      </c>
      <c r="I575" s="72">
        <v>0.398</v>
      </c>
      <c r="J575" s="70" t="s">
        <v>1462</v>
      </c>
      <c r="K575" s="67"/>
      <c r="L575" s="70" t="s">
        <v>2725</v>
      </c>
      <c r="M575" s="75">
        <v>1.0</v>
      </c>
      <c r="N575" s="75">
        <v>0.0</v>
      </c>
      <c r="O575" s="75">
        <v>0.0</v>
      </c>
      <c r="P575" s="75">
        <v>1.0</v>
      </c>
      <c r="Q575" s="70" t="s">
        <v>22</v>
      </c>
      <c r="R575" s="71">
        <v>13.88</v>
      </c>
      <c r="S575" s="71">
        <v>24.08</v>
      </c>
      <c r="T575" s="67"/>
      <c r="U575" s="71">
        <v>47.0</v>
      </c>
      <c r="V575" s="71">
        <v>71.99</v>
      </c>
      <c r="W575" s="67"/>
      <c r="X575" s="67"/>
      <c r="Y575" s="67"/>
      <c r="Z575" s="67"/>
      <c r="AA575" s="67"/>
      <c r="AB575" s="67"/>
      <c r="AC575" s="67"/>
    </row>
    <row r="576">
      <c r="A576" s="74">
        <v>46086.0</v>
      </c>
      <c r="B576" s="70" t="s">
        <v>2726</v>
      </c>
      <c r="C576" s="70" t="s">
        <v>2235</v>
      </c>
      <c r="D576" s="71">
        <v>6.9</v>
      </c>
      <c r="E576" s="71">
        <v>14.99</v>
      </c>
      <c r="F576" s="71">
        <v>45.0</v>
      </c>
      <c r="G576" s="68"/>
      <c r="H576" s="71">
        <v>6.23</v>
      </c>
      <c r="I576" s="72">
        <v>0.13844444444444445</v>
      </c>
      <c r="J576" s="70" t="s">
        <v>1462</v>
      </c>
      <c r="K576" s="67"/>
      <c r="L576" s="70" t="s">
        <v>2727</v>
      </c>
      <c r="M576" s="75">
        <v>1.0</v>
      </c>
      <c r="N576" s="75">
        <v>0.0</v>
      </c>
      <c r="O576" s="75">
        <v>0.0</v>
      </c>
      <c r="P576" s="75">
        <v>1.0</v>
      </c>
      <c r="Q576" s="70" t="s">
        <v>22</v>
      </c>
      <c r="R576" s="71">
        <v>31.87</v>
      </c>
      <c r="S576" s="71">
        <v>38.77</v>
      </c>
      <c r="T576" s="67"/>
      <c r="U576" s="71">
        <v>47.0</v>
      </c>
      <c r="V576" s="71">
        <v>61.99</v>
      </c>
      <c r="W576" s="67"/>
      <c r="X576" s="67"/>
      <c r="Y576" s="67"/>
      <c r="Z576" s="67"/>
      <c r="AA576" s="67"/>
      <c r="AB576" s="67"/>
      <c r="AC576" s="67"/>
    </row>
    <row r="577">
      <c r="A577" s="74">
        <v>46086.0</v>
      </c>
      <c r="B577" s="70" t="s">
        <v>2728</v>
      </c>
      <c r="C577" s="70" t="s">
        <v>2722</v>
      </c>
      <c r="D577" s="71">
        <v>7.5</v>
      </c>
      <c r="E577" s="71">
        <v>0.0</v>
      </c>
      <c r="F577" s="68"/>
      <c r="G577" s="68"/>
      <c r="H577" s="68"/>
      <c r="I577" s="69"/>
      <c r="J577" s="70" t="s">
        <v>1450</v>
      </c>
      <c r="K577" s="67"/>
      <c r="L577" s="70" t="s">
        <v>2729</v>
      </c>
      <c r="M577" s="75">
        <v>1.0</v>
      </c>
      <c r="N577" s="75">
        <v>0.0</v>
      </c>
      <c r="O577" s="75">
        <v>0.0</v>
      </c>
      <c r="P577" s="75">
        <v>1.0</v>
      </c>
      <c r="Q577" s="70" t="s">
        <v>22</v>
      </c>
      <c r="R577" s="71">
        <v>13.88</v>
      </c>
      <c r="S577" s="71">
        <v>21.38</v>
      </c>
      <c r="T577" s="67"/>
      <c r="U577" s="71">
        <v>47.0</v>
      </c>
      <c r="V577" s="71">
        <v>47.0</v>
      </c>
      <c r="W577" s="67"/>
      <c r="X577" s="67"/>
      <c r="Y577" s="67"/>
      <c r="Z577" s="67"/>
      <c r="AA577" s="67"/>
      <c r="AB577" s="67"/>
      <c r="AC577" s="67"/>
    </row>
    <row r="578">
      <c r="A578" s="74">
        <v>46087.0</v>
      </c>
      <c r="B578" s="70" t="s">
        <v>2730</v>
      </c>
      <c r="C578" s="70" t="s">
        <v>2731</v>
      </c>
      <c r="D578" s="71">
        <v>0.08</v>
      </c>
      <c r="E578" s="71">
        <v>8.0</v>
      </c>
      <c r="F578" s="68"/>
      <c r="G578" s="68"/>
      <c r="H578" s="68"/>
      <c r="I578" s="69"/>
      <c r="J578" s="70" t="s">
        <v>1450</v>
      </c>
      <c r="K578" s="67"/>
      <c r="L578" s="70" t="s">
        <v>2732</v>
      </c>
      <c r="M578" s="75">
        <v>1.0</v>
      </c>
      <c r="N578" s="75">
        <v>0.0</v>
      </c>
      <c r="O578" s="75">
        <v>0.0</v>
      </c>
      <c r="P578" s="75">
        <v>1.0</v>
      </c>
      <c r="Q578" s="70" t="s">
        <v>22</v>
      </c>
      <c r="R578" s="71">
        <v>0.13</v>
      </c>
      <c r="S578" s="71">
        <v>0.21</v>
      </c>
      <c r="T578" s="67"/>
      <c r="U578" s="71">
        <v>0.0</v>
      </c>
      <c r="V578" s="71">
        <v>8.0</v>
      </c>
      <c r="W578" s="67"/>
      <c r="X578" s="67"/>
      <c r="Y578" s="67"/>
      <c r="Z578" s="67"/>
      <c r="AA578" s="67"/>
      <c r="AB578" s="67"/>
      <c r="AC578" s="67"/>
    </row>
    <row r="579">
      <c r="A579" s="74">
        <v>46087.0</v>
      </c>
      <c r="B579" s="70" t="s">
        <v>2733</v>
      </c>
      <c r="C579" s="70" t="s">
        <v>2731</v>
      </c>
      <c r="D579" s="71">
        <v>0.08</v>
      </c>
      <c r="E579" s="71">
        <v>8.0</v>
      </c>
      <c r="F579" s="68"/>
      <c r="G579" s="68"/>
      <c r="H579" s="68"/>
      <c r="I579" s="69"/>
      <c r="J579" s="70" t="s">
        <v>1450</v>
      </c>
      <c r="K579" s="67"/>
      <c r="L579" s="70" t="s">
        <v>2734</v>
      </c>
      <c r="M579" s="75">
        <v>1.0</v>
      </c>
      <c r="N579" s="75">
        <v>0.0</v>
      </c>
      <c r="O579" s="75">
        <v>0.0</v>
      </c>
      <c r="P579" s="75">
        <v>1.0</v>
      </c>
      <c r="Q579" s="70" t="s">
        <v>22</v>
      </c>
      <c r="R579" s="71">
        <v>0.13</v>
      </c>
      <c r="S579" s="71">
        <v>0.21</v>
      </c>
      <c r="T579" s="67"/>
      <c r="U579" s="71">
        <v>0.0</v>
      </c>
      <c r="V579" s="71">
        <v>8.0</v>
      </c>
      <c r="W579" s="67"/>
      <c r="X579" s="67"/>
      <c r="Y579" s="67"/>
      <c r="Z579" s="67"/>
      <c r="AA579" s="67"/>
      <c r="AB579" s="67"/>
      <c r="AC579" s="67"/>
    </row>
    <row r="580">
      <c r="A580" s="74">
        <v>46087.0</v>
      </c>
      <c r="B580" s="70" t="s">
        <v>2735</v>
      </c>
      <c r="C580" s="70" t="s">
        <v>2736</v>
      </c>
      <c r="D580" s="71">
        <v>0.08</v>
      </c>
      <c r="E580" s="71">
        <v>4.0</v>
      </c>
      <c r="F580" s="68"/>
      <c r="G580" s="68"/>
      <c r="H580" s="71"/>
      <c r="I580" s="72"/>
      <c r="J580" s="70" t="s">
        <v>1450</v>
      </c>
      <c r="K580" s="67"/>
      <c r="L580" s="70" t="s">
        <v>2737</v>
      </c>
      <c r="M580" s="75">
        <v>1.0</v>
      </c>
      <c r="N580" s="75">
        <v>0.0</v>
      </c>
      <c r="O580" s="75">
        <v>0.0</v>
      </c>
      <c r="P580" s="75">
        <v>1.0</v>
      </c>
      <c r="Q580" s="76" t="s">
        <v>22</v>
      </c>
      <c r="R580" s="71">
        <v>0.13</v>
      </c>
      <c r="S580" s="71">
        <v>0.21</v>
      </c>
      <c r="T580" s="70"/>
      <c r="U580" s="71">
        <v>0.0</v>
      </c>
      <c r="V580" s="71">
        <v>4.0</v>
      </c>
      <c r="W580" s="67"/>
      <c r="X580" s="67"/>
      <c r="Y580" s="67"/>
      <c r="Z580" s="67"/>
      <c r="AA580" s="67"/>
      <c r="AB580" s="67"/>
      <c r="AC580" s="67"/>
    </row>
    <row r="581">
      <c r="A581" s="74">
        <v>46087.0</v>
      </c>
      <c r="B581" s="70" t="s">
        <v>2738</v>
      </c>
      <c r="C581" s="70" t="s">
        <v>2736</v>
      </c>
      <c r="D581" s="71">
        <v>0.08</v>
      </c>
      <c r="E581" s="71">
        <v>4.0</v>
      </c>
      <c r="F581" s="68"/>
      <c r="G581" s="68"/>
      <c r="H581" s="71"/>
      <c r="I581" s="72"/>
      <c r="J581" s="70" t="s">
        <v>1450</v>
      </c>
      <c r="K581" s="67"/>
      <c r="L581" s="70" t="s">
        <v>2739</v>
      </c>
      <c r="M581" s="75">
        <v>1.0</v>
      </c>
      <c r="N581" s="75">
        <v>0.0</v>
      </c>
      <c r="O581" s="75">
        <v>0.0</v>
      </c>
      <c r="P581" s="75">
        <v>1.0</v>
      </c>
      <c r="Q581" s="76" t="s">
        <v>22</v>
      </c>
      <c r="R581" s="71">
        <v>0.13</v>
      </c>
      <c r="S581" s="71">
        <v>0.21</v>
      </c>
      <c r="T581" s="70"/>
      <c r="U581" s="71">
        <v>0.0</v>
      </c>
      <c r="V581" s="71">
        <v>4.0</v>
      </c>
      <c r="W581" s="67"/>
      <c r="X581" s="67"/>
      <c r="Y581" s="67"/>
      <c r="Z581" s="67"/>
      <c r="AA581" s="67"/>
      <c r="AB581" s="67"/>
      <c r="AC581" s="67"/>
    </row>
    <row r="582">
      <c r="A582" s="74">
        <v>46087.0</v>
      </c>
      <c r="B582" s="70" t="s">
        <v>2740</v>
      </c>
      <c r="C582" s="70" t="s">
        <v>2736</v>
      </c>
      <c r="D582" s="71">
        <v>0.08</v>
      </c>
      <c r="E582" s="71">
        <v>4.0</v>
      </c>
      <c r="F582" s="68"/>
      <c r="G582" s="68"/>
      <c r="H582" s="68"/>
      <c r="I582" s="69"/>
      <c r="J582" s="70" t="s">
        <v>1450</v>
      </c>
      <c r="K582" s="67"/>
      <c r="L582" s="70" t="s">
        <v>2741</v>
      </c>
      <c r="M582" s="75">
        <v>1.0</v>
      </c>
      <c r="N582" s="75">
        <v>0.0</v>
      </c>
      <c r="O582" s="75">
        <v>0.0</v>
      </c>
      <c r="P582" s="75">
        <v>1.0</v>
      </c>
      <c r="Q582" s="70" t="s">
        <v>22</v>
      </c>
      <c r="R582" s="71">
        <v>0.13</v>
      </c>
      <c r="S582" s="71">
        <v>0.21</v>
      </c>
      <c r="T582" s="67"/>
      <c r="U582" s="71">
        <v>0.0</v>
      </c>
      <c r="V582" s="71">
        <v>4.0</v>
      </c>
      <c r="W582" s="67"/>
      <c r="X582" s="67"/>
      <c r="Y582" s="67"/>
      <c r="Z582" s="67"/>
      <c r="AA582" s="67"/>
      <c r="AB582" s="67"/>
      <c r="AC582" s="67"/>
    </row>
    <row r="583">
      <c r="A583" s="74">
        <v>46087.0</v>
      </c>
      <c r="B583" s="70" t="s">
        <v>2742</v>
      </c>
      <c r="C583" s="70" t="s">
        <v>2736</v>
      </c>
      <c r="D583" s="71">
        <v>0.08</v>
      </c>
      <c r="E583" s="71">
        <v>4.0</v>
      </c>
      <c r="F583" s="68"/>
      <c r="G583" s="68"/>
      <c r="H583" s="71"/>
      <c r="I583" s="72"/>
      <c r="J583" s="70" t="s">
        <v>1450</v>
      </c>
      <c r="K583" s="67"/>
      <c r="L583" s="67" t="s">
        <v>2743</v>
      </c>
      <c r="M583" s="75">
        <v>1.0</v>
      </c>
      <c r="N583" s="75">
        <v>0.0</v>
      </c>
      <c r="O583" s="75">
        <v>0.0</v>
      </c>
      <c r="P583" s="75">
        <v>1.0</v>
      </c>
      <c r="Q583" s="76" t="s">
        <v>22</v>
      </c>
      <c r="R583" s="71">
        <v>0.13</v>
      </c>
      <c r="S583" s="71">
        <v>0.21</v>
      </c>
      <c r="T583" s="70"/>
      <c r="U583" s="71">
        <v>0.0</v>
      </c>
      <c r="V583" s="71">
        <v>4.0</v>
      </c>
      <c r="W583" s="67"/>
      <c r="X583" s="67"/>
      <c r="Y583" s="67"/>
      <c r="Z583" s="67"/>
      <c r="AA583" s="67"/>
      <c r="AB583" s="67"/>
      <c r="AC583" s="67"/>
    </row>
    <row r="584">
      <c r="A584" s="74">
        <v>46087.0</v>
      </c>
      <c r="B584" s="70" t="s">
        <v>2744</v>
      </c>
      <c r="C584" s="70" t="s">
        <v>2736</v>
      </c>
      <c r="D584" s="71">
        <v>0.08</v>
      </c>
      <c r="E584" s="71">
        <v>4.0</v>
      </c>
      <c r="F584" s="68"/>
      <c r="G584" s="68"/>
      <c r="H584" s="68"/>
      <c r="I584" s="69"/>
      <c r="J584" s="70" t="s">
        <v>1450</v>
      </c>
      <c r="K584" s="67"/>
      <c r="L584" s="70" t="s">
        <v>2745</v>
      </c>
      <c r="M584" s="75">
        <v>1.0</v>
      </c>
      <c r="N584" s="75">
        <v>0.0</v>
      </c>
      <c r="O584" s="75">
        <v>0.0</v>
      </c>
      <c r="P584" s="75">
        <v>1.0</v>
      </c>
      <c r="Q584" s="70" t="s">
        <v>22</v>
      </c>
      <c r="R584" s="71">
        <v>0.13</v>
      </c>
      <c r="S584" s="71">
        <v>0.21</v>
      </c>
      <c r="T584" s="67"/>
      <c r="U584" s="71">
        <v>0.0</v>
      </c>
      <c r="V584" s="71">
        <v>4.0</v>
      </c>
      <c r="W584" s="67"/>
      <c r="X584" s="67"/>
      <c r="Y584" s="67"/>
      <c r="Z584" s="67"/>
      <c r="AA584" s="67"/>
      <c r="AB584" s="67"/>
      <c r="AC584" s="67"/>
    </row>
    <row r="585">
      <c r="A585" s="74">
        <v>46087.0</v>
      </c>
      <c r="B585" s="70" t="s">
        <v>2746</v>
      </c>
      <c r="C585" s="70" t="s">
        <v>2581</v>
      </c>
      <c r="D585" s="71">
        <v>1.1</v>
      </c>
      <c r="E585" s="71">
        <v>2.5</v>
      </c>
      <c r="F585" s="68"/>
      <c r="G585" s="68"/>
      <c r="H585" s="71"/>
      <c r="I585" s="72"/>
      <c r="J585" s="70" t="s">
        <v>1450</v>
      </c>
      <c r="K585" s="67"/>
      <c r="L585" s="70" t="s">
        <v>2747</v>
      </c>
      <c r="M585" s="75">
        <v>1.0</v>
      </c>
      <c r="N585" s="75">
        <v>0.0</v>
      </c>
      <c r="O585" s="75">
        <v>0.0</v>
      </c>
      <c r="P585" s="75">
        <v>1.0</v>
      </c>
      <c r="Q585" s="76" t="s">
        <v>22</v>
      </c>
      <c r="R585" s="71">
        <v>0.0</v>
      </c>
      <c r="S585" s="71">
        <v>1.1</v>
      </c>
      <c r="T585" s="70"/>
      <c r="U585" s="71">
        <v>0.0</v>
      </c>
      <c r="V585" s="71">
        <v>2.5</v>
      </c>
      <c r="W585" s="67"/>
      <c r="X585" s="67"/>
      <c r="Y585" s="67"/>
      <c r="Z585" s="67"/>
      <c r="AA585" s="67"/>
      <c r="AB585" s="67"/>
      <c r="AC585" s="67"/>
    </row>
    <row r="586">
      <c r="A586" s="74">
        <v>46087.0</v>
      </c>
      <c r="B586" s="70" t="s">
        <v>2748</v>
      </c>
      <c r="C586" s="70" t="s">
        <v>1449</v>
      </c>
      <c r="D586" s="71">
        <v>7.0</v>
      </c>
      <c r="E586" s="71">
        <v>15.99</v>
      </c>
      <c r="F586" s="68"/>
      <c r="G586" s="68"/>
      <c r="H586" s="68"/>
      <c r="I586" s="69"/>
      <c r="J586" s="70" t="s">
        <v>1450</v>
      </c>
      <c r="K586" s="67"/>
      <c r="L586" s="70" t="s">
        <v>2749</v>
      </c>
      <c r="M586" s="75">
        <v>1.0</v>
      </c>
      <c r="N586" s="75">
        <v>0.0</v>
      </c>
      <c r="O586" s="75">
        <v>0.0</v>
      </c>
      <c r="P586" s="75">
        <v>1.0</v>
      </c>
      <c r="Q586" s="70" t="s">
        <v>22</v>
      </c>
      <c r="R586" s="71">
        <v>1.82</v>
      </c>
      <c r="S586" s="71">
        <v>8.82</v>
      </c>
      <c r="T586" s="67"/>
      <c r="U586" s="71">
        <v>8.06</v>
      </c>
      <c r="V586" s="71">
        <v>24.05</v>
      </c>
      <c r="W586" s="67"/>
      <c r="X586" s="67"/>
      <c r="Y586" s="67"/>
      <c r="Z586" s="67"/>
      <c r="AA586" s="67"/>
      <c r="AB586" s="67"/>
      <c r="AC586" s="67"/>
    </row>
    <row r="587">
      <c r="A587" s="74">
        <v>46087.0</v>
      </c>
      <c r="B587" s="70" t="s">
        <v>2750</v>
      </c>
      <c r="C587" s="70" t="s">
        <v>1770</v>
      </c>
      <c r="D587" s="71">
        <v>11.0</v>
      </c>
      <c r="E587" s="71">
        <v>21.67</v>
      </c>
      <c r="F587" s="68"/>
      <c r="G587" s="68"/>
      <c r="H587" s="68"/>
      <c r="I587" s="69"/>
      <c r="J587" s="70" t="s">
        <v>1450</v>
      </c>
      <c r="K587" s="67"/>
      <c r="L587" s="70" t="s">
        <v>2751</v>
      </c>
      <c r="M587" s="75">
        <v>1.0</v>
      </c>
      <c r="N587" s="75">
        <v>0.0</v>
      </c>
      <c r="O587" s="75">
        <v>0.0</v>
      </c>
      <c r="P587" s="75">
        <v>1.0</v>
      </c>
      <c r="Q587" s="70" t="s">
        <v>22</v>
      </c>
      <c r="R587" s="71">
        <v>0.73</v>
      </c>
      <c r="S587" s="71">
        <v>11.73</v>
      </c>
      <c r="T587" s="67"/>
      <c r="U587" s="71">
        <v>21.19</v>
      </c>
      <c r="V587" s="71">
        <v>42.86</v>
      </c>
      <c r="W587" s="67"/>
      <c r="X587" s="67"/>
      <c r="Y587" s="67"/>
      <c r="Z587" s="67"/>
      <c r="AA587" s="67"/>
      <c r="AB587" s="67"/>
      <c r="AC587" s="67"/>
    </row>
    <row r="588">
      <c r="A588" s="74">
        <v>46088.0</v>
      </c>
      <c r="B588" s="70" t="s">
        <v>2752</v>
      </c>
      <c r="C588" s="70" t="s">
        <v>2753</v>
      </c>
      <c r="D588" s="71">
        <v>16.99</v>
      </c>
      <c r="E588" s="71">
        <v>0.0</v>
      </c>
      <c r="F588" s="68"/>
      <c r="G588" s="68"/>
      <c r="H588" s="68"/>
      <c r="I588" s="69"/>
      <c r="J588" s="70" t="s">
        <v>1450</v>
      </c>
      <c r="K588" s="67"/>
      <c r="L588" s="70" t="s">
        <v>2754</v>
      </c>
      <c r="M588" s="75">
        <v>1.0</v>
      </c>
      <c r="N588" s="75">
        <v>0.0</v>
      </c>
      <c r="O588" s="75">
        <v>0.0</v>
      </c>
      <c r="P588" s="75">
        <v>1.0</v>
      </c>
      <c r="Q588" s="76" t="s">
        <v>22</v>
      </c>
      <c r="R588" s="71">
        <v>13.88</v>
      </c>
      <c r="S588" s="71">
        <v>30.87</v>
      </c>
      <c r="T588" s="67"/>
      <c r="U588" s="71">
        <v>47.0</v>
      </c>
      <c r="V588" s="71">
        <v>47.0</v>
      </c>
      <c r="W588" s="67"/>
      <c r="X588" s="67"/>
      <c r="Y588" s="67"/>
      <c r="Z588" s="67"/>
      <c r="AA588" s="67"/>
      <c r="AB588" s="67"/>
      <c r="AC588" s="67"/>
    </row>
    <row r="589">
      <c r="A589" s="74">
        <v>46088.0</v>
      </c>
      <c r="B589" s="70" t="s">
        <v>2755</v>
      </c>
      <c r="C589" s="70" t="s">
        <v>2756</v>
      </c>
      <c r="D589" s="71">
        <v>9.99</v>
      </c>
      <c r="E589" s="71">
        <v>0.0</v>
      </c>
      <c r="F589" s="68"/>
      <c r="G589" s="68"/>
      <c r="H589" s="68"/>
      <c r="I589" s="69"/>
      <c r="J589" s="70" t="s">
        <v>1450</v>
      </c>
      <c r="K589" s="67"/>
      <c r="L589" s="70" t="s">
        <v>2757</v>
      </c>
      <c r="M589" s="75">
        <v>1.0</v>
      </c>
      <c r="N589" s="75">
        <v>0.0</v>
      </c>
      <c r="O589" s="75">
        <v>0.0</v>
      </c>
      <c r="P589" s="75">
        <v>1.0</v>
      </c>
      <c r="Q589" s="76" t="s">
        <v>22</v>
      </c>
      <c r="R589" s="71">
        <v>0.74</v>
      </c>
      <c r="S589" s="71">
        <v>10.73</v>
      </c>
      <c r="T589" s="67"/>
      <c r="U589" s="71">
        <v>7.06</v>
      </c>
      <c r="V589" s="71">
        <v>7.06</v>
      </c>
      <c r="W589" s="67"/>
      <c r="X589" s="67"/>
      <c r="Y589" s="67"/>
      <c r="Z589" s="67"/>
      <c r="AA589" s="67"/>
      <c r="AB589" s="67"/>
      <c r="AC589" s="67"/>
    </row>
    <row r="590">
      <c r="A590" s="74">
        <v>46088.0</v>
      </c>
      <c r="B590" s="70" t="s">
        <v>2758</v>
      </c>
      <c r="C590" s="70" t="s">
        <v>2617</v>
      </c>
      <c r="D590" s="71">
        <v>20.4</v>
      </c>
      <c r="E590" s="71">
        <v>0.0</v>
      </c>
      <c r="F590" s="68"/>
      <c r="G590" s="68"/>
      <c r="H590" s="71"/>
      <c r="I590" s="72"/>
      <c r="J590" s="70" t="s">
        <v>1692</v>
      </c>
      <c r="K590" s="67"/>
      <c r="L590" s="70" t="s">
        <v>2759</v>
      </c>
      <c r="M590" s="75">
        <v>1.0</v>
      </c>
      <c r="N590" s="75">
        <v>0.0</v>
      </c>
      <c r="O590" s="75">
        <v>1.0</v>
      </c>
      <c r="P590" s="75">
        <v>0.0</v>
      </c>
      <c r="Q590" s="76" t="s">
        <v>22</v>
      </c>
      <c r="R590" s="71">
        <v>6.16</v>
      </c>
      <c r="S590" s="71">
        <v>26.56</v>
      </c>
      <c r="T590" s="70"/>
      <c r="U590" s="71">
        <v>21.19</v>
      </c>
      <c r="V590" s="71">
        <v>21.19</v>
      </c>
      <c r="W590" s="67"/>
      <c r="X590" s="67"/>
      <c r="Y590" s="67"/>
      <c r="Z590" s="67"/>
      <c r="AA590" s="67"/>
      <c r="AB590" s="67"/>
      <c r="AC590" s="67"/>
    </row>
    <row r="591">
      <c r="A591" s="74">
        <v>46088.0</v>
      </c>
      <c r="B591" s="70" t="s">
        <v>2760</v>
      </c>
      <c r="C591" s="70" t="s">
        <v>1530</v>
      </c>
      <c r="D591" s="71">
        <v>5.4</v>
      </c>
      <c r="E591" s="71">
        <v>0.0</v>
      </c>
      <c r="F591" s="71">
        <v>18.0</v>
      </c>
      <c r="G591" s="68"/>
      <c r="H591" s="71">
        <v>6.44</v>
      </c>
      <c r="I591" s="72">
        <v>0.3577777777777778</v>
      </c>
      <c r="J591" s="70" t="s">
        <v>1462</v>
      </c>
      <c r="K591" s="67"/>
      <c r="L591" s="67" t="s">
        <v>2761</v>
      </c>
      <c r="M591" s="75">
        <v>1.0</v>
      </c>
      <c r="N591" s="75">
        <v>0.0</v>
      </c>
      <c r="O591" s="75">
        <v>0.0</v>
      </c>
      <c r="P591" s="75">
        <v>1.0</v>
      </c>
      <c r="Q591" s="76" t="s">
        <v>22</v>
      </c>
      <c r="R591" s="71">
        <v>6.16</v>
      </c>
      <c r="S591" s="71">
        <v>11.56</v>
      </c>
      <c r="T591" s="70"/>
      <c r="U591" s="71">
        <v>21.19</v>
      </c>
      <c r="V591" s="71">
        <v>21.19</v>
      </c>
      <c r="W591" s="67"/>
      <c r="X591" s="67"/>
      <c r="Y591" s="67"/>
      <c r="Z591" s="67"/>
      <c r="AA591" s="67"/>
      <c r="AB591" s="67"/>
      <c r="AC591" s="67"/>
    </row>
    <row r="592">
      <c r="A592" s="74">
        <v>46088.0</v>
      </c>
      <c r="B592" s="70" t="s">
        <v>2762</v>
      </c>
      <c r="C592" s="70" t="s">
        <v>1779</v>
      </c>
      <c r="D592" s="71">
        <v>4.19</v>
      </c>
      <c r="E592" s="71">
        <v>15.0</v>
      </c>
      <c r="F592" s="68"/>
      <c r="G592" s="68"/>
      <c r="H592" s="71"/>
      <c r="I592" s="72"/>
      <c r="J592" s="70" t="s">
        <v>1450</v>
      </c>
      <c r="K592" s="67"/>
      <c r="L592" s="70" t="s">
        <v>2763</v>
      </c>
      <c r="M592" s="75">
        <v>1.0</v>
      </c>
      <c r="N592" s="75">
        <v>0.0</v>
      </c>
      <c r="O592" s="75">
        <v>0.0</v>
      </c>
      <c r="P592" s="75">
        <v>1.0</v>
      </c>
      <c r="Q592" s="70" t="s">
        <v>22</v>
      </c>
      <c r="R592" s="71">
        <v>2.78</v>
      </c>
      <c r="S592" s="71">
        <v>6.97</v>
      </c>
      <c r="T592" s="70"/>
      <c r="U592" s="71">
        <v>4.13</v>
      </c>
      <c r="V592" s="71">
        <v>19.13</v>
      </c>
      <c r="W592" s="67"/>
      <c r="X592" s="67"/>
      <c r="Y592" s="67"/>
      <c r="Z592" s="67"/>
      <c r="AA592" s="67"/>
      <c r="AB592" s="67"/>
      <c r="AC592" s="67"/>
    </row>
    <row r="593">
      <c r="A593" s="74">
        <v>46088.0</v>
      </c>
      <c r="B593" s="70" t="s">
        <v>2764</v>
      </c>
      <c r="C593" s="70" t="s">
        <v>1779</v>
      </c>
      <c r="D593" s="71">
        <v>4.19</v>
      </c>
      <c r="E593" s="71">
        <v>15.0</v>
      </c>
      <c r="F593" s="71">
        <v>0.0</v>
      </c>
      <c r="G593" s="68"/>
      <c r="H593" s="71">
        <v>-6.97</v>
      </c>
      <c r="I593" s="72">
        <v>-1.0</v>
      </c>
      <c r="J593" s="70" t="s">
        <v>1595</v>
      </c>
      <c r="K593" s="67"/>
      <c r="L593" s="67" t="s">
        <v>2765</v>
      </c>
      <c r="M593" s="75">
        <v>1.0</v>
      </c>
      <c r="N593" s="75">
        <v>0.0</v>
      </c>
      <c r="O593" s="75">
        <v>1.0</v>
      </c>
      <c r="P593" s="75">
        <v>0.0</v>
      </c>
      <c r="Q593" s="76" t="s">
        <v>22</v>
      </c>
      <c r="R593" s="71">
        <v>2.78</v>
      </c>
      <c r="S593" s="71">
        <v>6.97</v>
      </c>
      <c r="T593" s="70"/>
      <c r="U593" s="71">
        <v>4.13</v>
      </c>
      <c r="V593" s="71">
        <v>19.13</v>
      </c>
      <c r="W593" s="67"/>
      <c r="X593" s="67"/>
      <c r="Y593" s="67"/>
      <c r="Z593" s="67"/>
      <c r="AA593" s="67"/>
      <c r="AB593" s="67"/>
      <c r="AC593" s="67"/>
    </row>
    <row r="594">
      <c r="A594" s="74">
        <v>46088.0</v>
      </c>
      <c r="B594" s="70" t="s">
        <v>2766</v>
      </c>
      <c r="C594" s="70" t="s">
        <v>1779</v>
      </c>
      <c r="D594" s="71">
        <v>4.19</v>
      </c>
      <c r="E594" s="71">
        <v>15.0</v>
      </c>
      <c r="F594" s="71">
        <v>12.0</v>
      </c>
      <c r="G594" s="68"/>
      <c r="H594" s="71">
        <v>5.03</v>
      </c>
      <c r="I594" s="72">
        <v>0.4191666666666667</v>
      </c>
      <c r="J594" s="70" t="s">
        <v>1462</v>
      </c>
      <c r="K594" s="67"/>
      <c r="L594" s="67" t="s">
        <v>2767</v>
      </c>
      <c r="M594" s="75">
        <v>1.0</v>
      </c>
      <c r="N594" s="75">
        <v>0.0</v>
      </c>
      <c r="O594" s="75">
        <v>0.0</v>
      </c>
      <c r="P594" s="75">
        <v>1.0</v>
      </c>
      <c r="Q594" s="76" t="s">
        <v>22</v>
      </c>
      <c r="R594" s="71">
        <v>2.78</v>
      </c>
      <c r="S594" s="71">
        <v>6.97</v>
      </c>
      <c r="T594" s="70"/>
      <c r="U594" s="71">
        <v>4.13</v>
      </c>
      <c r="V594" s="71">
        <v>19.13</v>
      </c>
      <c r="W594" s="67"/>
      <c r="X594" s="67"/>
      <c r="Y594" s="67"/>
      <c r="Z594" s="67"/>
      <c r="AA594" s="67"/>
      <c r="AB594" s="67"/>
      <c r="AC594" s="67"/>
    </row>
    <row r="595">
      <c r="A595" s="74">
        <v>46088.0</v>
      </c>
      <c r="B595" s="70" t="s">
        <v>2768</v>
      </c>
      <c r="C595" s="70" t="s">
        <v>1779</v>
      </c>
      <c r="D595" s="71">
        <v>4.19</v>
      </c>
      <c r="E595" s="71">
        <v>15.0</v>
      </c>
      <c r="F595" s="71">
        <v>15.0</v>
      </c>
      <c r="G595" s="68"/>
      <c r="H595" s="71">
        <v>8.03</v>
      </c>
      <c r="I595" s="72">
        <v>0.5353333333333333</v>
      </c>
      <c r="J595" s="70" t="s">
        <v>1462</v>
      </c>
      <c r="K595" s="67"/>
      <c r="L595" s="70" t="s">
        <v>2769</v>
      </c>
      <c r="M595" s="75">
        <v>1.0</v>
      </c>
      <c r="N595" s="75">
        <v>0.0</v>
      </c>
      <c r="O595" s="75">
        <v>0.0</v>
      </c>
      <c r="P595" s="75">
        <v>1.0</v>
      </c>
      <c r="Q595" s="70" t="s">
        <v>22</v>
      </c>
      <c r="R595" s="71">
        <v>2.78</v>
      </c>
      <c r="S595" s="71">
        <v>6.97</v>
      </c>
      <c r="T595" s="70"/>
      <c r="U595" s="71">
        <v>4.13</v>
      </c>
      <c r="V595" s="71">
        <v>19.13</v>
      </c>
      <c r="W595" s="67"/>
      <c r="X595" s="67"/>
      <c r="Y595" s="67"/>
      <c r="Z595" s="67"/>
      <c r="AA595" s="67"/>
      <c r="AB595" s="67"/>
      <c r="AC595" s="67"/>
    </row>
    <row r="596">
      <c r="A596" s="74">
        <v>46088.0</v>
      </c>
      <c r="B596" s="70" t="s">
        <v>2770</v>
      </c>
      <c r="C596" s="70" t="s">
        <v>2771</v>
      </c>
      <c r="D596" s="71">
        <v>0.0</v>
      </c>
      <c r="E596" s="71">
        <v>10.0</v>
      </c>
      <c r="F596" s="68"/>
      <c r="G596" s="68"/>
      <c r="H596" s="71">
        <v>-1.82</v>
      </c>
      <c r="I596" s="72">
        <v>-1.0</v>
      </c>
      <c r="J596" s="70" t="s">
        <v>1595</v>
      </c>
      <c r="K596" s="67"/>
      <c r="L596" s="70" t="s">
        <v>2772</v>
      </c>
      <c r="M596" s="75">
        <v>1.0</v>
      </c>
      <c r="N596" s="75">
        <v>0.0</v>
      </c>
      <c r="O596" s="75">
        <v>1.0</v>
      </c>
      <c r="P596" s="75">
        <v>0.0</v>
      </c>
      <c r="Q596" s="76" t="s">
        <v>22</v>
      </c>
      <c r="R596" s="71">
        <v>1.82</v>
      </c>
      <c r="S596" s="71">
        <v>1.82</v>
      </c>
      <c r="T596" s="67"/>
      <c r="U596" s="71">
        <v>8.06</v>
      </c>
      <c r="V596" s="71">
        <v>18.06</v>
      </c>
      <c r="W596" s="67"/>
      <c r="X596" s="67"/>
      <c r="Y596" s="67"/>
      <c r="Z596" s="67"/>
      <c r="AA596" s="67"/>
      <c r="AB596" s="67"/>
      <c r="AC596" s="67"/>
    </row>
    <row r="597">
      <c r="A597" s="74">
        <v>46099.0</v>
      </c>
      <c r="B597" s="70" t="s">
        <v>2773</v>
      </c>
      <c r="C597" s="70" t="s">
        <v>2774</v>
      </c>
      <c r="D597" s="71">
        <v>0.0</v>
      </c>
      <c r="E597" s="71">
        <v>0.0</v>
      </c>
      <c r="F597" s="68"/>
      <c r="G597" s="68"/>
      <c r="H597" s="71"/>
      <c r="I597" s="72"/>
      <c r="J597" s="70" t="s">
        <v>1692</v>
      </c>
      <c r="K597" s="67"/>
      <c r="L597" s="70" t="s">
        <v>2775</v>
      </c>
      <c r="M597" s="75">
        <v>1.0</v>
      </c>
      <c r="N597" s="75">
        <v>0.0</v>
      </c>
      <c r="O597" s="75">
        <v>1.0</v>
      </c>
      <c r="P597" s="75">
        <v>0.0</v>
      </c>
      <c r="Q597" s="70" t="s">
        <v>22</v>
      </c>
      <c r="R597" s="71">
        <v>5.19</v>
      </c>
      <c r="S597" s="71">
        <v>5.19</v>
      </c>
      <c r="T597" s="67"/>
      <c r="U597" s="71">
        <v>11.5</v>
      </c>
      <c r="V597" s="71">
        <v>11.5</v>
      </c>
      <c r="W597" s="67"/>
      <c r="X597" s="67"/>
      <c r="Y597" s="67"/>
      <c r="Z597" s="67"/>
      <c r="AA597" s="67"/>
      <c r="AB597" s="67"/>
      <c r="AC597" s="67"/>
    </row>
    <row r="598">
      <c r="A598" s="74">
        <v>46099.0</v>
      </c>
      <c r="B598" s="70" t="s">
        <v>2776</v>
      </c>
      <c r="C598" s="70" t="s">
        <v>2199</v>
      </c>
      <c r="D598" s="71">
        <v>5.0</v>
      </c>
      <c r="E598" s="71">
        <v>0.0</v>
      </c>
      <c r="F598" s="71">
        <v>20.0</v>
      </c>
      <c r="G598" s="68"/>
      <c r="H598" s="71">
        <v>10.08</v>
      </c>
      <c r="I598" s="72">
        <v>0.504</v>
      </c>
      <c r="J598" s="70" t="s">
        <v>1462</v>
      </c>
      <c r="K598" s="67"/>
      <c r="L598" s="70" t="s">
        <v>2777</v>
      </c>
      <c r="M598" s="75">
        <v>1.0</v>
      </c>
      <c r="N598" s="75">
        <v>0.0</v>
      </c>
      <c r="O598" s="75">
        <v>0.0</v>
      </c>
      <c r="P598" s="75">
        <v>1.0</v>
      </c>
      <c r="Q598" s="70" t="s">
        <v>22</v>
      </c>
      <c r="R598" s="71">
        <v>4.92</v>
      </c>
      <c r="S598" s="71">
        <v>9.92</v>
      </c>
      <c r="T598" s="67"/>
      <c r="U598" s="71">
        <v>11.5</v>
      </c>
      <c r="V598" s="71">
        <v>11.5</v>
      </c>
      <c r="W598" s="67"/>
      <c r="X598" s="67"/>
      <c r="Y598" s="67"/>
      <c r="Z598" s="67"/>
      <c r="AA598" s="67"/>
      <c r="AB598" s="67"/>
      <c r="AC598" s="67"/>
    </row>
    <row r="599">
      <c r="A599" s="74">
        <v>46099.0</v>
      </c>
      <c r="B599" s="70" t="s">
        <v>2778</v>
      </c>
      <c r="C599" s="70" t="s">
        <v>2707</v>
      </c>
      <c r="D599" s="71">
        <v>9.99</v>
      </c>
      <c r="E599" s="71">
        <v>20.0</v>
      </c>
      <c r="F599" s="68"/>
      <c r="G599" s="68"/>
      <c r="H599" s="68"/>
      <c r="I599" s="69"/>
      <c r="J599" s="70" t="s">
        <v>1450</v>
      </c>
      <c r="K599" s="67"/>
      <c r="L599" s="70" t="s">
        <v>2779</v>
      </c>
      <c r="M599" s="75">
        <v>1.0</v>
      </c>
      <c r="N599" s="75">
        <v>0.0</v>
      </c>
      <c r="O599" s="75">
        <v>0.0</v>
      </c>
      <c r="P599" s="75">
        <v>1.0</v>
      </c>
      <c r="Q599" s="70" t="s">
        <v>22</v>
      </c>
      <c r="R599" s="71">
        <v>16.79</v>
      </c>
      <c r="S599" s="71">
        <v>26.78</v>
      </c>
      <c r="T599" s="67"/>
      <c r="U599" s="71">
        <v>47.0</v>
      </c>
      <c r="V599" s="71">
        <v>67.0</v>
      </c>
      <c r="W599" s="67"/>
      <c r="X599" s="67"/>
      <c r="Y599" s="67"/>
      <c r="Z599" s="67"/>
      <c r="AA599" s="67"/>
      <c r="AB599" s="67"/>
      <c r="AC599" s="67"/>
    </row>
    <row r="600">
      <c r="A600" s="74">
        <v>46099.0</v>
      </c>
      <c r="B600" s="70" t="s">
        <v>2780</v>
      </c>
      <c r="C600" s="70" t="s">
        <v>2484</v>
      </c>
      <c r="D600" s="71">
        <v>17.5</v>
      </c>
      <c r="E600" s="71">
        <v>0.0</v>
      </c>
      <c r="F600" s="68"/>
      <c r="G600" s="68"/>
      <c r="H600" s="68"/>
      <c r="I600" s="69"/>
      <c r="J600" s="70" t="s">
        <v>1450</v>
      </c>
      <c r="K600" s="67"/>
      <c r="L600" s="70" t="s">
        <v>2781</v>
      </c>
      <c r="M600" s="75">
        <v>1.0</v>
      </c>
      <c r="N600" s="75">
        <v>0.0</v>
      </c>
      <c r="O600" s="75">
        <v>0.0</v>
      </c>
      <c r="P600" s="75">
        <v>1.0</v>
      </c>
      <c r="Q600" s="70" t="s">
        <v>22</v>
      </c>
      <c r="R600" s="71">
        <v>5.04</v>
      </c>
      <c r="S600" s="71">
        <v>22.54</v>
      </c>
      <c r="T600" s="70"/>
      <c r="U600" s="71">
        <v>12.06</v>
      </c>
      <c r="V600" s="71">
        <v>12.06</v>
      </c>
      <c r="W600" s="67"/>
      <c r="X600" s="67"/>
      <c r="Y600" s="67"/>
      <c r="Z600" s="67"/>
      <c r="AA600" s="67"/>
      <c r="AB600" s="67"/>
      <c r="AC600" s="67"/>
    </row>
    <row r="601">
      <c r="A601" s="74">
        <v>46099.0</v>
      </c>
      <c r="B601" s="70" t="s">
        <v>2782</v>
      </c>
      <c r="C601" s="70" t="s">
        <v>2054</v>
      </c>
      <c r="D601" s="71">
        <v>4.19</v>
      </c>
      <c r="E601" s="71">
        <v>15.0</v>
      </c>
      <c r="F601" s="68"/>
      <c r="G601" s="68"/>
      <c r="H601" s="71"/>
      <c r="I601" s="72"/>
      <c r="J601" s="70" t="s">
        <v>1450</v>
      </c>
      <c r="K601" s="67"/>
      <c r="L601" s="67" t="s">
        <v>2783</v>
      </c>
      <c r="M601" s="75">
        <v>1.0</v>
      </c>
      <c r="N601" s="75">
        <v>0.0</v>
      </c>
      <c r="O601" s="75">
        <v>0.0</v>
      </c>
      <c r="P601" s="75">
        <v>1.0</v>
      </c>
      <c r="Q601" s="76" t="s">
        <v>22</v>
      </c>
      <c r="R601" s="71">
        <v>0.0</v>
      </c>
      <c r="S601" s="71">
        <v>4.19</v>
      </c>
      <c r="T601" s="70"/>
      <c r="U601" s="71">
        <v>0.0</v>
      </c>
      <c r="V601" s="71">
        <v>15.0</v>
      </c>
      <c r="W601" s="67"/>
      <c r="X601" s="67"/>
      <c r="Y601" s="67"/>
      <c r="Z601" s="67"/>
      <c r="AA601" s="67"/>
      <c r="AB601" s="67"/>
      <c r="AC601" s="67"/>
    </row>
    <row r="602">
      <c r="A602" s="74">
        <v>46099.0</v>
      </c>
      <c r="B602" s="70" t="s">
        <v>2784</v>
      </c>
      <c r="C602" s="70" t="s">
        <v>2785</v>
      </c>
      <c r="D602" s="71">
        <v>28.0</v>
      </c>
      <c r="E602" s="71">
        <v>60.0</v>
      </c>
      <c r="F602" s="68"/>
      <c r="G602" s="68"/>
      <c r="H602" s="68"/>
      <c r="I602" s="69"/>
      <c r="J602" s="70" t="s">
        <v>1450</v>
      </c>
      <c r="K602" s="67"/>
      <c r="L602" s="70" t="s">
        <v>2786</v>
      </c>
      <c r="M602" s="75">
        <v>1.0</v>
      </c>
      <c r="N602" s="75">
        <v>0.0</v>
      </c>
      <c r="O602" s="75">
        <v>0.0</v>
      </c>
      <c r="P602" s="75">
        <v>1.0</v>
      </c>
      <c r="Q602" s="70" t="s">
        <v>22</v>
      </c>
      <c r="R602" s="71">
        <v>6.53</v>
      </c>
      <c r="S602" s="71">
        <v>34.53</v>
      </c>
      <c r="T602" s="70"/>
      <c r="U602" s="71">
        <v>21.19</v>
      </c>
      <c r="V602" s="71">
        <v>81.19</v>
      </c>
      <c r="W602" s="67"/>
      <c r="X602" s="67"/>
      <c r="Y602" s="67"/>
      <c r="Z602" s="67"/>
      <c r="AA602" s="67"/>
      <c r="AB602" s="67"/>
      <c r="AC602" s="67"/>
    </row>
    <row r="603">
      <c r="A603" s="74">
        <v>46099.0</v>
      </c>
      <c r="B603" s="70" t="s">
        <v>2787</v>
      </c>
      <c r="C603" s="70" t="s">
        <v>2587</v>
      </c>
      <c r="D603" s="71">
        <v>15.0</v>
      </c>
      <c r="E603" s="71">
        <v>35.0</v>
      </c>
      <c r="F603" s="71">
        <v>50.0</v>
      </c>
      <c r="G603" s="68"/>
      <c r="H603" s="71">
        <v>25.97</v>
      </c>
      <c r="I603" s="72">
        <v>0.5194</v>
      </c>
      <c r="J603" s="70" t="s">
        <v>1462</v>
      </c>
      <c r="K603" s="67"/>
      <c r="L603" s="70" t="s">
        <v>2788</v>
      </c>
      <c r="M603" s="75">
        <v>1.0</v>
      </c>
      <c r="N603" s="75">
        <v>0.0</v>
      </c>
      <c r="O603" s="75">
        <v>0.0</v>
      </c>
      <c r="P603" s="75">
        <v>1.0</v>
      </c>
      <c r="Q603" s="70" t="s">
        <v>22</v>
      </c>
      <c r="R603" s="71">
        <v>9.03</v>
      </c>
      <c r="S603" s="71">
        <v>24.03</v>
      </c>
      <c r="T603" s="67"/>
      <c r="U603" s="71">
        <v>21.19</v>
      </c>
      <c r="V603" s="71">
        <v>56.19</v>
      </c>
      <c r="W603" s="67"/>
      <c r="X603" s="67"/>
      <c r="Y603" s="67"/>
      <c r="Z603" s="67"/>
      <c r="AA603" s="67"/>
      <c r="AB603" s="67"/>
      <c r="AC603" s="67"/>
    </row>
    <row r="604">
      <c r="A604" s="74">
        <v>46099.0</v>
      </c>
      <c r="B604" s="70" t="s">
        <v>2789</v>
      </c>
      <c r="C604" s="70" t="s">
        <v>1698</v>
      </c>
      <c r="D604" s="71">
        <v>8.0</v>
      </c>
      <c r="E604" s="71">
        <v>0.0</v>
      </c>
      <c r="F604" s="71">
        <v>45.0</v>
      </c>
      <c r="G604" s="68"/>
      <c r="H604" s="71">
        <v>30.85</v>
      </c>
      <c r="I604" s="72">
        <v>0.6855555555555556</v>
      </c>
      <c r="J604" s="70" t="s">
        <v>1462</v>
      </c>
      <c r="K604" s="67"/>
      <c r="L604" s="70" t="s">
        <v>2790</v>
      </c>
      <c r="M604" s="75">
        <v>1.0</v>
      </c>
      <c r="N604" s="75">
        <v>0.0</v>
      </c>
      <c r="O604" s="75">
        <v>0.0</v>
      </c>
      <c r="P604" s="75">
        <v>1.0</v>
      </c>
      <c r="Q604" s="70" t="s">
        <v>22</v>
      </c>
      <c r="R604" s="71">
        <v>6.15</v>
      </c>
      <c r="S604" s="71">
        <v>14.15</v>
      </c>
      <c r="T604" s="70"/>
      <c r="U604" s="71">
        <v>21.19</v>
      </c>
      <c r="V604" s="71">
        <v>21.19</v>
      </c>
      <c r="W604" s="67"/>
      <c r="X604" s="67"/>
      <c r="Y604" s="67"/>
      <c r="Z604" s="67"/>
      <c r="AA604" s="67"/>
      <c r="AB604" s="67"/>
      <c r="AC604" s="67"/>
    </row>
    <row r="605">
      <c r="A605" s="74">
        <v>46099.0</v>
      </c>
      <c r="B605" s="70" t="s">
        <v>2791</v>
      </c>
      <c r="C605" s="70" t="s">
        <v>1484</v>
      </c>
      <c r="D605" s="71">
        <v>9.99</v>
      </c>
      <c r="E605" s="71">
        <v>0.0</v>
      </c>
      <c r="F605" s="71">
        <v>40.0</v>
      </c>
      <c r="G605" s="68"/>
      <c r="H605" s="71">
        <v>22.87</v>
      </c>
      <c r="I605" s="72">
        <v>0.57175</v>
      </c>
      <c r="J605" s="70" t="s">
        <v>1462</v>
      </c>
      <c r="K605" s="67"/>
      <c r="L605" s="70" t="s">
        <v>2792</v>
      </c>
      <c r="M605" s="75">
        <v>1.0</v>
      </c>
      <c r="N605" s="75">
        <v>0.0</v>
      </c>
      <c r="O605" s="75">
        <v>0.0</v>
      </c>
      <c r="P605" s="75">
        <v>1.0</v>
      </c>
      <c r="Q605" s="70" t="s">
        <v>22</v>
      </c>
      <c r="R605" s="71">
        <v>7.14</v>
      </c>
      <c r="S605" s="71">
        <v>17.13</v>
      </c>
      <c r="T605" s="67"/>
      <c r="U605" s="71">
        <v>20.06</v>
      </c>
      <c r="V605" s="71">
        <v>20.06</v>
      </c>
      <c r="W605" s="67"/>
      <c r="X605" s="67"/>
      <c r="Y605" s="67"/>
      <c r="Z605" s="67"/>
      <c r="AA605" s="67"/>
      <c r="AB605" s="67"/>
      <c r="AC605" s="67"/>
    </row>
    <row r="606">
      <c r="A606" s="74">
        <v>46099.0</v>
      </c>
      <c r="B606" s="70" t="s">
        <v>2793</v>
      </c>
      <c r="C606" s="70" t="s">
        <v>1500</v>
      </c>
      <c r="D606" s="71">
        <v>6.0</v>
      </c>
      <c r="E606" s="71">
        <v>12.99</v>
      </c>
      <c r="F606" s="68"/>
      <c r="G606" s="68"/>
      <c r="H606" s="68"/>
      <c r="I606" s="69"/>
      <c r="J606" s="70" t="s">
        <v>1450</v>
      </c>
      <c r="K606" s="67"/>
      <c r="L606" s="70" t="s">
        <v>2794</v>
      </c>
      <c r="M606" s="75">
        <v>1.0</v>
      </c>
      <c r="N606" s="75">
        <v>0.0</v>
      </c>
      <c r="O606" s="75">
        <v>0.0</v>
      </c>
      <c r="P606" s="75">
        <v>1.0</v>
      </c>
      <c r="Q606" s="70" t="s">
        <v>22</v>
      </c>
      <c r="R606" s="71">
        <v>13.88</v>
      </c>
      <c r="S606" s="71">
        <v>19.88</v>
      </c>
      <c r="T606" s="67"/>
      <c r="U606" s="71">
        <v>47.0</v>
      </c>
      <c r="V606" s="71">
        <v>59.99</v>
      </c>
      <c r="W606" s="67"/>
      <c r="X606" s="67"/>
      <c r="Y606" s="67"/>
      <c r="Z606" s="67"/>
      <c r="AA606" s="67"/>
      <c r="AB606" s="67"/>
      <c r="AC606" s="67"/>
    </row>
    <row r="607">
      <c r="A607" s="74">
        <v>46099.0</v>
      </c>
      <c r="B607" s="70" t="s">
        <v>2795</v>
      </c>
      <c r="C607" s="70" t="s">
        <v>1500</v>
      </c>
      <c r="D607" s="71">
        <v>6.0</v>
      </c>
      <c r="E607" s="71">
        <v>12.99</v>
      </c>
      <c r="F607" s="68"/>
      <c r="G607" s="68"/>
      <c r="H607" s="68"/>
      <c r="I607" s="69"/>
      <c r="J607" s="70" t="s">
        <v>1450</v>
      </c>
      <c r="K607" s="67"/>
      <c r="L607" s="70" t="s">
        <v>2796</v>
      </c>
      <c r="M607" s="75">
        <v>1.0</v>
      </c>
      <c r="N607" s="75">
        <v>0.0</v>
      </c>
      <c r="O607" s="75">
        <v>0.0</v>
      </c>
      <c r="P607" s="75">
        <v>1.0</v>
      </c>
      <c r="Q607" s="70" t="s">
        <v>22</v>
      </c>
      <c r="R607" s="71">
        <v>6.15</v>
      </c>
      <c r="S607" s="71">
        <v>12.15</v>
      </c>
      <c r="T607" s="67"/>
      <c r="U607" s="71">
        <v>21.19</v>
      </c>
      <c r="V607" s="71">
        <v>34.18</v>
      </c>
      <c r="W607" s="67"/>
      <c r="X607" s="67"/>
      <c r="Y607" s="67"/>
      <c r="Z607" s="67"/>
      <c r="AA607" s="67"/>
      <c r="AB607" s="67"/>
      <c r="AC607" s="67"/>
    </row>
    <row r="608">
      <c r="A608" s="74">
        <v>46099.0</v>
      </c>
      <c r="B608" s="70" t="s">
        <v>2797</v>
      </c>
      <c r="C608" s="70" t="s">
        <v>1500</v>
      </c>
      <c r="D608" s="71">
        <v>6.0</v>
      </c>
      <c r="E608" s="71">
        <v>12.99</v>
      </c>
      <c r="F608" s="68"/>
      <c r="G608" s="68"/>
      <c r="H608" s="68"/>
      <c r="I608" s="69"/>
      <c r="J608" s="70" t="s">
        <v>1450</v>
      </c>
      <c r="K608" s="67"/>
      <c r="L608" s="70" t="s">
        <v>2798</v>
      </c>
      <c r="M608" s="75">
        <v>1.0</v>
      </c>
      <c r="N608" s="75">
        <v>0.0</v>
      </c>
      <c r="O608" s="75">
        <v>0.0</v>
      </c>
      <c r="P608" s="75">
        <v>1.0</v>
      </c>
      <c r="Q608" s="70" t="s">
        <v>22</v>
      </c>
      <c r="R608" s="71">
        <v>6.15</v>
      </c>
      <c r="S608" s="71">
        <v>12.15</v>
      </c>
      <c r="T608" s="67"/>
      <c r="U608" s="71">
        <v>21.19</v>
      </c>
      <c r="V608" s="71">
        <v>34.18</v>
      </c>
      <c r="W608" s="67"/>
      <c r="X608" s="67"/>
      <c r="Y608" s="67"/>
      <c r="Z608" s="67"/>
      <c r="AA608" s="67"/>
      <c r="AB608" s="67"/>
      <c r="AC608" s="67"/>
    </row>
    <row r="609">
      <c r="A609" s="74">
        <v>46099.0</v>
      </c>
      <c r="B609" s="70" t="s">
        <v>2799</v>
      </c>
      <c r="C609" s="70" t="s">
        <v>1831</v>
      </c>
      <c r="D609" s="71">
        <v>11.9</v>
      </c>
      <c r="E609" s="71">
        <v>29.98</v>
      </c>
      <c r="F609" s="68"/>
      <c r="G609" s="68"/>
      <c r="H609" s="68"/>
      <c r="I609" s="69"/>
      <c r="J609" s="70" t="s">
        <v>1602</v>
      </c>
      <c r="K609" s="67"/>
      <c r="L609" s="70" t="s">
        <v>2800</v>
      </c>
      <c r="M609" s="75">
        <v>1.0</v>
      </c>
      <c r="N609" s="75">
        <v>0.0</v>
      </c>
      <c r="O609" s="75">
        <v>1.0</v>
      </c>
      <c r="P609" s="75">
        <v>0.0</v>
      </c>
      <c r="Q609" s="70" t="s">
        <v>22</v>
      </c>
      <c r="R609" s="71">
        <v>6.59</v>
      </c>
      <c r="S609" s="71">
        <v>18.49</v>
      </c>
      <c r="T609" s="67"/>
      <c r="U609" s="71">
        <v>19.5</v>
      </c>
      <c r="V609" s="71">
        <v>49.48</v>
      </c>
      <c r="W609" s="67"/>
      <c r="X609" s="67"/>
      <c r="Y609" s="67"/>
      <c r="Z609" s="67"/>
      <c r="AA609" s="67"/>
      <c r="AB609" s="67"/>
      <c r="AC609" s="67"/>
    </row>
    <row r="610">
      <c r="A610" s="74">
        <v>46099.0</v>
      </c>
      <c r="B610" s="70" t="s">
        <v>2801</v>
      </c>
      <c r="C610" s="70" t="s">
        <v>2584</v>
      </c>
      <c r="D610" s="71">
        <v>24.0</v>
      </c>
      <c r="E610" s="71">
        <v>59.99</v>
      </c>
      <c r="F610" s="71">
        <v>65.0</v>
      </c>
      <c r="G610" s="68"/>
      <c r="H610" s="71">
        <v>34.47</v>
      </c>
      <c r="I610" s="72">
        <v>0.5303076923076923</v>
      </c>
      <c r="J610" s="70" t="s">
        <v>1462</v>
      </c>
      <c r="K610" s="67"/>
      <c r="L610" s="70" t="s">
        <v>2802</v>
      </c>
      <c r="M610" s="75">
        <v>1.0</v>
      </c>
      <c r="N610" s="75">
        <v>0.0</v>
      </c>
      <c r="O610" s="75">
        <v>0.0</v>
      </c>
      <c r="P610" s="75">
        <v>1.0</v>
      </c>
      <c r="Q610" s="70" t="s">
        <v>22</v>
      </c>
      <c r="R610" s="71">
        <v>6.53</v>
      </c>
      <c r="S610" s="71">
        <v>30.53</v>
      </c>
      <c r="T610" s="67"/>
      <c r="U610" s="71">
        <v>21.19</v>
      </c>
      <c r="V610" s="71">
        <v>81.18</v>
      </c>
      <c r="W610" s="67"/>
      <c r="X610" s="67"/>
      <c r="Y610" s="67"/>
      <c r="Z610" s="67"/>
      <c r="AA610" s="67"/>
      <c r="AB610" s="67"/>
      <c r="AC610" s="67"/>
    </row>
    <row r="611">
      <c r="A611" s="74">
        <v>46100.0</v>
      </c>
      <c r="B611" s="70" t="s">
        <v>2803</v>
      </c>
      <c r="C611" s="70" t="s">
        <v>2481</v>
      </c>
      <c r="D611" s="71">
        <v>16.5</v>
      </c>
      <c r="E611" s="71">
        <v>39.99</v>
      </c>
      <c r="F611" s="68"/>
      <c r="G611" s="68"/>
      <c r="H611" s="68"/>
      <c r="I611" s="69"/>
      <c r="J611" s="70" t="s">
        <v>1450</v>
      </c>
      <c r="K611" s="67"/>
      <c r="L611" s="70" t="s">
        <v>2804</v>
      </c>
      <c r="M611" s="75">
        <v>1.0</v>
      </c>
      <c r="N611" s="75">
        <v>0.0</v>
      </c>
      <c r="O611" s="75">
        <v>0.0</v>
      </c>
      <c r="P611" s="75">
        <v>1.0</v>
      </c>
      <c r="Q611" s="70" t="s">
        <v>22</v>
      </c>
      <c r="R611" s="71">
        <v>5.04</v>
      </c>
      <c r="S611" s="71">
        <v>21.54</v>
      </c>
      <c r="T611" s="67"/>
      <c r="U611" s="71">
        <v>12.06</v>
      </c>
      <c r="V611" s="71">
        <v>52.05</v>
      </c>
      <c r="W611" s="67"/>
      <c r="X611" s="67"/>
      <c r="Y611" s="67"/>
      <c r="Z611" s="67"/>
      <c r="AA611" s="67"/>
      <c r="AB611" s="67"/>
      <c r="AC611" s="67"/>
    </row>
    <row r="612">
      <c r="A612" s="74">
        <v>46100.0</v>
      </c>
      <c r="B612" s="70" t="s">
        <v>2805</v>
      </c>
      <c r="C612" s="70" t="s">
        <v>1698</v>
      </c>
      <c r="D612" s="71">
        <v>25.0</v>
      </c>
      <c r="E612" s="71">
        <v>0.0</v>
      </c>
      <c r="F612" s="68"/>
      <c r="G612" s="68"/>
      <c r="H612" s="68"/>
      <c r="I612" s="69"/>
      <c r="J612" s="70" t="s">
        <v>1450</v>
      </c>
      <c r="K612" s="67"/>
      <c r="L612" s="67" t="s">
        <v>2806</v>
      </c>
      <c r="M612" s="75">
        <v>1.0</v>
      </c>
      <c r="N612" s="75">
        <v>0.0</v>
      </c>
      <c r="O612" s="75">
        <v>0.0</v>
      </c>
      <c r="P612" s="75">
        <v>1.0</v>
      </c>
      <c r="Q612" s="76" t="s">
        <v>22</v>
      </c>
      <c r="R612" s="71">
        <v>6.53</v>
      </c>
      <c r="S612" s="71">
        <v>31.53</v>
      </c>
      <c r="T612" s="70"/>
      <c r="U612" s="71">
        <v>21.19</v>
      </c>
      <c r="V612" s="71">
        <v>21.19</v>
      </c>
      <c r="W612" s="67"/>
      <c r="X612" s="67"/>
      <c r="Y612" s="67"/>
      <c r="Z612" s="67"/>
      <c r="AA612" s="67"/>
      <c r="AB612" s="67"/>
      <c r="AC612" s="67"/>
    </row>
    <row r="613">
      <c r="A613" s="74">
        <v>46100.0</v>
      </c>
      <c r="B613" s="70" t="s">
        <v>2807</v>
      </c>
      <c r="C613" s="70" t="s">
        <v>2808</v>
      </c>
      <c r="D613" s="71">
        <v>17.5</v>
      </c>
      <c r="E613" s="71">
        <v>0.0</v>
      </c>
      <c r="F613" s="68"/>
      <c r="G613" s="68"/>
      <c r="H613" s="68"/>
      <c r="I613" s="69"/>
      <c r="J613" s="70" t="s">
        <v>1450</v>
      </c>
      <c r="K613" s="67"/>
      <c r="L613" s="70" t="s">
        <v>2809</v>
      </c>
      <c r="M613" s="75">
        <v>1.0</v>
      </c>
      <c r="N613" s="75">
        <v>0.0</v>
      </c>
      <c r="O613" s="75">
        <v>0.0</v>
      </c>
      <c r="P613" s="75">
        <v>1.0</v>
      </c>
      <c r="Q613" s="70" t="s">
        <v>22</v>
      </c>
      <c r="R613" s="71">
        <v>14.29</v>
      </c>
      <c r="S613" s="71">
        <v>31.79</v>
      </c>
      <c r="T613" s="67"/>
      <c r="U613" s="71">
        <v>47.0</v>
      </c>
      <c r="V613" s="71">
        <v>47.0</v>
      </c>
      <c r="W613" s="67"/>
      <c r="X613" s="67"/>
      <c r="Y613" s="67"/>
      <c r="Z613" s="67"/>
      <c r="AA613" s="67"/>
      <c r="AB613" s="67"/>
      <c r="AC613" s="67"/>
    </row>
    <row r="614">
      <c r="A614" s="74">
        <v>46100.0</v>
      </c>
      <c r="B614" s="70" t="s">
        <v>2810</v>
      </c>
      <c r="C614" s="70" t="s">
        <v>2811</v>
      </c>
      <c r="D614" s="71">
        <v>9.5</v>
      </c>
      <c r="E614" s="71">
        <v>19.0</v>
      </c>
      <c r="F614" s="68"/>
      <c r="G614" s="68"/>
      <c r="H614" s="68"/>
      <c r="I614" s="69"/>
      <c r="J614" s="70" t="s">
        <v>1450</v>
      </c>
      <c r="K614" s="67"/>
      <c r="L614" s="70" t="s">
        <v>2812</v>
      </c>
      <c r="M614" s="75">
        <v>1.0</v>
      </c>
      <c r="N614" s="75">
        <v>0.0</v>
      </c>
      <c r="O614" s="75">
        <v>0.0</v>
      </c>
      <c r="P614" s="75">
        <v>1.0</v>
      </c>
      <c r="Q614" s="76" t="s">
        <v>22</v>
      </c>
      <c r="R614" s="71">
        <v>4.77</v>
      </c>
      <c r="S614" s="71">
        <v>14.27</v>
      </c>
      <c r="T614" s="70"/>
      <c r="U614" s="71">
        <v>12.06</v>
      </c>
      <c r="V614" s="71">
        <v>31.06</v>
      </c>
      <c r="W614" s="67"/>
      <c r="X614" s="67"/>
      <c r="Y614" s="67"/>
      <c r="Z614" s="67"/>
      <c r="AA614" s="67"/>
      <c r="AB614" s="67"/>
      <c r="AC614" s="67"/>
    </row>
    <row r="615">
      <c r="A615" s="74">
        <v>46100.0</v>
      </c>
      <c r="B615" s="70" t="s">
        <v>2813</v>
      </c>
      <c r="C615" s="70" t="s">
        <v>2814</v>
      </c>
      <c r="D615" s="71">
        <v>12.0</v>
      </c>
      <c r="E615" s="71">
        <v>0.0</v>
      </c>
      <c r="F615" s="68"/>
      <c r="G615" s="68"/>
      <c r="H615" s="71"/>
      <c r="I615" s="72"/>
      <c r="J615" s="70" t="s">
        <v>1450</v>
      </c>
      <c r="K615" s="67"/>
      <c r="L615" s="67" t="s">
        <v>2815</v>
      </c>
      <c r="M615" s="75">
        <v>1.0</v>
      </c>
      <c r="N615" s="75">
        <v>0.0</v>
      </c>
      <c r="O615" s="75">
        <v>0.0</v>
      </c>
      <c r="P615" s="75">
        <v>1.0</v>
      </c>
      <c r="Q615" s="76" t="s">
        <v>22</v>
      </c>
      <c r="R615" s="71">
        <v>5.04</v>
      </c>
      <c r="S615" s="71">
        <v>17.04</v>
      </c>
      <c r="T615" s="70"/>
      <c r="U615" s="71">
        <v>12.06</v>
      </c>
      <c r="V615" s="71">
        <v>12.06</v>
      </c>
      <c r="W615" s="67"/>
      <c r="X615" s="67"/>
      <c r="Y615" s="67"/>
      <c r="Z615" s="67"/>
      <c r="AA615" s="67"/>
      <c r="AB615" s="67"/>
      <c r="AC615" s="67"/>
    </row>
    <row r="616">
      <c r="A616" s="74">
        <v>46100.0</v>
      </c>
      <c r="B616" s="70" t="s">
        <v>2816</v>
      </c>
      <c r="C616" s="70" t="s">
        <v>2620</v>
      </c>
      <c r="D616" s="71">
        <v>16.5</v>
      </c>
      <c r="E616" s="71">
        <v>40.0</v>
      </c>
      <c r="F616" s="71">
        <v>25.0</v>
      </c>
      <c r="G616" s="68"/>
      <c r="H616" s="71">
        <v>3.46</v>
      </c>
      <c r="I616" s="72">
        <v>0.1384</v>
      </c>
      <c r="J616" s="70" t="s">
        <v>1462</v>
      </c>
      <c r="K616" s="67"/>
      <c r="L616" s="70" t="s">
        <v>2817</v>
      </c>
      <c r="M616" s="75">
        <v>1.0</v>
      </c>
      <c r="N616" s="75">
        <v>0.0</v>
      </c>
      <c r="O616" s="75">
        <v>0.0</v>
      </c>
      <c r="P616" s="75">
        <v>1.0</v>
      </c>
      <c r="Q616" s="70" t="s">
        <v>22</v>
      </c>
      <c r="R616" s="71">
        <v>5.04</v>
      </c>
      <c r="S616" s="71">
        <v>21.54</v>
      </c>
      <c r="T616" s="67"/>
      <c r="U616" s="71">
        <v>12.06</v>
      </c>
      <c r="V616" s="71">
        <v>52.06</v>
      </c>
      <c r="W616" s="67"/>
      <c r="X616" s="67"/>
      <c r="Y616" s="67"/>
      <c r="Z616" s="67"/>
      <c r="AA616" s="67"/>
      <c r="AB616" s="67"/>
      <c r="AC616" s="67"/>
    </row>
    <row r="617">
      <c r="A617" s="74">
        <v>46100.0</v>
      </c>
      <c r="B617" s="70" t="s">
        <v>2818</v>
      </c>
      <c r="C617" s="70" t="s">
        <v>2262</v>
      </c>
      <c r="D617" s="71">
        <v>66.0</v>
      </c>
      <c r="E617" s="71">
        <v>128.0</v>
      </c>
      <c r="F617" s="71">
        <v>75.0</v>
      </c>
      <c r="G617" s="68"/>
      <c r="H617" s="71">
        <v>2.85</v>
      </c>
      <c r="I617" s="72">
        <v>0.038</v>
      </c>
      <c r="J617" s="70" t="s">
        <v>1462</v>
      </c>
      <c r="K617" s="67"/>
      <c r="L617" s="70" t="s">
        <v>2819</v>
      </c>
      <c r="M617" s="75">
        <v>1.0</v>
      </c>
      <c r="N617" s="75">
        <v>0.0</v>
      </c>
      <c r="O617" s="75">
        <v>0.0</v>
      </c>
      <c r="P617" s="75">
        <v>1.0</v>
      </c>
      <c r="Q617" s="76" t="s">
        <v>22</v>
      </c>
      <c r="R617" s="71">
        <v>6.15</v>
      </c>
      <c r="S617" s="71">
        <v>72.15</v>
      </c>
      <c r="T617" s="67"/>
      <c r="U617" s="71">
        <v>21.19</v>
      </c>
      <c r="V617" s="71">
        <v>149.19</v>
      </c>
      <c r="W617" s="67"/>
      <c r="X617" s="67"/>
      <c r="Y617" s="67"/>
      <c r="Z617" s="67"/>
      <c r="AA617" s="67"/>
      <c r="AB617" s="67"/>
      <c r="AC617" s="67"/>
    </row>
    <row r="618">
      <c r="A618" s="74">
        <v>46100.0</v>
      </c>
      <c r="B618" s="70" t="s">
        <v>2820</v>
      </c>
      <c r="C618" s="70" t="s">
        <v>2821</v>
      </c>
      <c r="D618" s="71">
        <v>22.0</v>
      </c>
      <c r="E618" s="71">
        <v>0.0</v>
      </c>
      <c r="F618" s="68"/>
      <c r="G618" s="68"/>
      <c r="H618" s="68"/>
      <c r="I618" s="69"/>
      <c r="J618" s="70" t="s">
        <v>1450</v>
      </c>
      <c r="K618" s="67"/>
      <c r="L618" s="70" t="s">
        <v>2822</v>
      </c>
      <c r="M618" s="75">
        <v>1.0</v>
      </c>
      <c r="N618" s="75">
        <v>0.0</v>
      </c>
      <c r="O618" s="75">
        <v>0.0</v>
      </c>
      <c r="P618" s="75">
        <v>1.0</v>
      </c>
      <c r="Q618" s="70" t="s">
        <v>22</v>
      </c>
      <c r="R618" s="71">
        <v>6.16</v>
      </c>
      <c r="S618" s="71">
        <v>28.16</v>
      </c>
      <c r="T618" s="67"/>
      <c r="U618" s="71">
        <v>21.19</v>
      </c>
      <c r="V618" s="71">
        <v>21.19</v>
      </c>
      <c r="W618" s="67"/>
      <c r="X618" s="67"/>
      <c r="Y618" s="67"/>
      <c r="Z618" s="67"/>
      <c r="AA618" s="67"/>
      <c r="AB618" s="67"/>
      <c r="AC618" s="67"/>
    </row>
    <row r="619">
      <c r="A619" s="74">
        <v>46100.0</v>
      </c>
      <c r="B619" s="70" t="s">
        <v>2823</v>
      </c>
      <c r="C619" s="70" t="s">
        <v>2824</v>
      </c>
      <c r="D619" s="71">
        <v>5.69</v>
      </c>
      <c r="E619" s="71">
        <v>11.38</v>
      </c>
      <c r="F619" s="71">
        <v>18.0</v>
      </c>
      <c r="G619" s="68"/>
      <c r="H619" s="71">
        <v>7.54</v>
      </c>
      <c r="I619" s="72">
        <v>0.41888888888888887</v>
      </c>
      <c r="J619" s="70" t="s">
        <v>1462</v>
      </c>
      <c r="K619" s="67"/>
      <c r="L619" s="67" t="s">
        <v>2825</v>
      </c>
      <c r="M619" s="75">
        <v>1.0</v>
      </c>
      <c r="N619" s="75">
        <v>0.0</v>
      </c>
      <c r="O619" s="75">
        <v>0.0</v>
      </c>
      <c r="P619" s="75">
        <v>1.0</v>
      </c>
      <c r="Q619" s="76" t="s">
        <v>22</v>
      </c>
      <c r="R619" s="71">
        <v>4.77</v>
      </c>
      <c r="S619" s="71">
        <v>10.46</v>
      </c>
      <c r="T619" s="70"/>
      <c r="U619" s="71">
        <v>12.06</v>
      </c>
      <c r="V619" s="71">
        <v>23.44</v>
      </c>
      <c r="W619" s="67"/>
      <c r="X619" s="67"/>
      <c r="Y619" s="67"/>
      <c r="Z619" s="67"/>
      <c r="AA619" s="67"/>
      <c r="AB619" s="67"/>
      <c r="AC619" s="67"/>
    </row>
    <row r="620">
      <c r="A620" s="74">
        <v>46100.0</v>
      </c>
      <c r="B620" s="70" t="s">
        <v>2826</v>
      </c>
      <c r="C620" s="70" t="s">
        <v>2824</v>
      </c>
      <c r="D620" s="71">
        <v>5.69</v>
      </c>
      <c r="E620" s="71">
        <v>11.38</v>
      </c>
      <c r="F620" s="71">
        <v>18.0</v>
      </c>
      <c r="G620" s="68"/>
      <c r="H620" s="71">
        <v>7.27</v>
      </c>
      <c r="I620" s="72">
        <v>0.40388888888888885</v>
      </c>
      <c r="J620" s="70" t="s">
        <v>1462</v>
      </c>
      <c r="K620" s="67"/>
      <c r="L620" s="70" t="s">
        <v>2827</v>
      </c>
      <c r="M620" s="75">
        <v>1.0</v>
      </c>
      <c r="N620" s="75">
        <v>0.0</v>
      </c>
      <c r="O620" s="75">
        <v>0.0</v>
      </c>
      <c r="P620" s="75">
        <v>1.0</v>
      </c>
      <c r="Q620" s="70" t="s">
        <v>22</v>
      </c>
      <c r="R620" s="71">
        <v>5.04</v>
      </c>
      <c r="S620" s="71">
        <v>10.73</v>
      </c>
      <c r="T620" s="67"/>
      <c r="U620" s="71">
        <v>12.06</v>
      </c>
      <c r="V620" s="71">
        <v>23.44</v>
      </c>
      <c r="W620" s="67"/>
      <c r="X620" s="67"/>
      <c r="Y620" s="67"/>
      <c r="Z620" s="67"/>
      <c r="AA620" s="67"/>
      <c r="AB620" s="67"/>
      <c r="AC620" s="67"/>
    </row>
    <row r="621">
      <c r="A621" s="74">
        <v>46100.0</v>
      </c>
      <c r="B621" s="70" t="s">
        <v>2828</v>
      </c>
      <c r="C621" s="70" t="s">
        <v>2633</v>
      </c>
      <c r="D621" s="71">
        <v>5.59</v>
      </c>
      <c r="E621" s="71">
        <v>11.18</v>
      </c>
      <c r="F621" s="68"/>
      <c r="G621" s="68"/>
      <c r="H621" s="68"/>
      <c r="I621" s="69"/>
      <c r="J621" s="70" t="s">
        <v>1450</v>
      </c>
      <c r="K621" s="67"/>
      <c r="L621" s="70" t="s">
        <v>2829</v>
      </c>
      <c r="M621" s="75">
        <v>1.0</v>
      </c>
      <c r="N621" s="75">
        <v>0.0</v>
      </c>
      <c r="O621" s="75">
        <v>0.0</v>
      </c>
      <c r="P621" s="75">
        <v>1.0</v>
      </c>
      <c r="Q621" s="70" t="s">
        <v>22</v>
      </c>
      <c r="R621" s="71">
        <v>4.98</v>
      </c>
      <c r="S621" s="71">
        <v>10.57</v>
      </c>
      <c r="T621" s="67"/>
      <c r="U621" s="71">
        <v>11.69</v>
      </c>
      <c r="V621" s="71">
        <v>22.87</v>
      </c>
      <c r="W621" s="67"/>
      <c r="X621" s="67"/>
      <c r="Y621" s="67"/>
      <c r="Z621" s="67"/>
      <c r="AA621" s="67"/>
      <c r="AB621" s="67"/>
      <c r="AC621" s="67"/>
    </row>
    <row r="622">
      <c r="A622" s="74">
        <v>46100.0</v>
      </c>
      <c r="B622" s="70" t="s">
        <v>2830</v>
      </c>
      <c r="C622" s="70" t="s">
        <v>2633</v>
      </c>
      <c r="D622" s="71">
        <v>5.59</v>
      </c>
      <c r="E622" s="71">
        <v>11.18</v>
      </c>
      <c r="F622" s="71">
        <v>15.0</v>
      </c>
      <c r="G622" s="68"/>
      <c r="H622" s="71">
        <v>4.16</v>
      </c>
      <c r="I622" s="72">
        <v>0.2773333333333333</v>
      </c>
      <c r="J622" s="70" t="s">
        <v>1450</v>
      </c>
      <c r="K622" s="67"/>
      <c r="L622" s="67" t="s">
        <v>2831</v>
      </c>
      <c r="M622" s="75">
        <v>1.0</v>
      </c>
      <c r="N622" s="75">
        <v>0.0</v>
      </c>
      <c r="O622" s="75">
        <v>0.0</v>
      </c>
      <c r="P622" s="75">
        <v>1.0</v>
      </c>
      <c r="Q622" s="76" t="s">
        <v>22</v>
      </c>
      <c r="R622" s="71">
        <v>5.25</v>
      </c>
      <c r="S622" s="71">
        <v>10.84</v>
      </c>
      <c r="T622" s="70"/>
      <c r="U622" s="71">
        <v>11.69</v>
      </c>
      <c r="V622" s="71">
        <v>22.87</v>
      </c>
      <c r="W622" s="67"/>
      <c r="X622" s="67"/>
      <c r="Y622" s="67"/>
      <c r="Z622" s="67"/>
      <c r="AA622" s="67"/>
      <c r="AB622" s="67"/>
      <c r="AC622" s="67"/>
    </row>
    <row r="623">
      <c r="A623" s="74">
        <v>46100.0</v>
      </c>
      <c r="B623" s="70" t="s">
        <v>2832</v>
      </c>
      <c r="C623" s="70" t="s">
        <v>2420</v>
      </c>
      <c r="D623" s="71">
        <v>5.79</v>
      </c>
      <c r="E623" s="71">
        <v>11.58</v>
      </c>
      <c r="F623" s="68"/>
      <c r="G623" s="68"/>
      <c r="H623" s="71"/>
      <c r="I623" s="72"/>
      <c r="J623" s="70" t="s">
        <v>1450</v>
      </c>
      <c r="K623" s="67"/>
      <c r="L623" s="70" t="s">
        <v>2833</v>
      </c>
      <c r="M623" s="75">
        <v>1.0</v>
      </c>
      <c r="N623" s="75">
        <v>0.0</v>
      </c>
      <c r="O623" s="75">
        <v>0.0</v>
      </c>
      <c r="P623" s="75">
        <v>1.0</v>
      </c>
      <c r="Q623" s="70" t="s">
        <v>22</v>
      </c>
      <c r="R623" s="71">
        <v>4.77</v>
      </c>
      <c r="S623" s="71">
        <v>10.56</v>
      </c>
      <c r="T623" s="70"/>
      <c r="U623" s="71">
        <v>12.06</v>
      </c>
      <c r="V623" s="71">
        <v>23.64</v>
      </c>
      <c r="W623" s="67"/>
      <c r="X623" s="67"/>
      <c r="Y623" s="67"/>
      <c r="Z623" s="67"/>
      <c r="AA623" s="67"/>
      <c r="AB623" s="67"/>
      <c r="AC623" s="67"/>
    </row>
    <row r="624">
      <c r="A624" s="74">
        <v>46100.0</v>
      </c>
      <c r="B624" s="70" t="s">
        <v>2834</v>
      </c>
      <c r="C624" s="70" t="s">
        <v>2420</v>
      </c>
      <c r="D624" s="71">
        <v>5.79</v>
      </c>
      <c r="E624" s="71">
        <v>11.58</v>
      </c>
      <c r="F624" s="68"/>
      <c r="G624" s="68"/>
      <c r="H624" s="71"/>
      <c r="I624" s="72"/>
      <c r="J624" s="70" t="s">
        <v>1450</v>
      </c>
      <c r="K624" s="67"/>
      <c r="L624" s="70" t="s">
        <v>2835</v>
      </c>
      <c r="M624" s="75">
        <v>1.0</v>
      </c>
      <c r="N624" s="75">
        <v>0.0</v>
      </c>
      <c r="O624" s="75">
        <v>0.0</v>
      </c>
      <c r="P624" s="75">
        <v>1.0</v>
      </c>
      <c r="Q624" s="76" t="s">
        <v>22</v>
      </c>
      <c r="R624" s="71">
        <v>4.77</v>
      </c>
      <c r="S624" s="71">
        <v>10.56</v>
      </c>
      <c r="T624" s="70"/>
      <c r="U624" s="71">
        <v>12.06</v>
      </c>
      <c r="V624" s="71">
        <v>23.64</v>
      </c>
      <c r="W624" s="67"/>
      <c r="X624" s="67"/>
      <c r="Y624" s="67"/>
      <c r="Z624" s="67"/>
      <c r="AA624" s="67"/>
      <c r="AB624" s="67"/>
      <c r="AC624" s="67"/>
    </row>
    <row r="625">
      <c r="A625" s="74">
        <v>46100.0</v>
      </c>
      <c r="B625" s="70" t="s">
        <v>2836</v>
      </c>
      <c r="C625" s="70" t="s">
        <v>2837</v>
      </c>
      <c r="D625" s="71">
        <v>16.0</v>
      </c>
      <c r="E625" s="71">
        <v>0.0</v>
      </c>
      <c r="F625" s="71">
        <v>40.0</v>
      </c>
      <c r="G625" s="68"/>
      <c r="H625" s="71">
        <v>7.55</v>
      </c>
      <c r="I625" s="72">
        <v>0.18875</v>
      </c>
      <c r="J625" s="70" t="s">
        <v>1462</v>
      </c>
      <c r="K625" s="67"/>
      <c r="L625" s="67" t="s">
        <v>2838</v>
      </c>
      <c r="M625" s="75">
        <v>1.0</v>
      </c>
      <c r="N625" s="75">
        <v>0.0</v>
      </c>
      <c r="O625" s="75">
        <v>0.0</v>
      </c>
      <c r="P625" s="75">
        <v>1.0</v>
      </c>
      <c r="Q625" s="76" t="s">
        <v>22</v>
      </c>
      <c r="R625" s="71">
        <v>16.45</v>
      </c>
      <c r="S625" s="71">
        <v>32.45</v>
      </c>
      <c r="T625" s="70"/>
      <c r="U625" s="71">
        <v>43.0</v>
      </c>
      <c r="V625" s="71">
        <v>43.0</v>
      </c>
      <c r="W625" s="67"/>
      <c r="X625" s="67"/>
      <c r="Y625" s="67"/>
      <c r="Z625" s="67"/>
      <c r="AA625" s="67"/>
      <c r="AB625" s="67"/>
      <c r="AC625" s="67"/>
    </row>
    <row r="626">
      <c r="A626" s="74">
        <v>46100.0</v>
      </c>
      <c r="B626" s="70" t="s">
        <v>2839</v>
      </c>
      <c r="C626" s="70" t="s">
        <v>2408</v>
      </c>
      <c r="D626" s="71">
        <v>28.5</v>
      </c>
      <c r="E626" s="71">
        <v>57.0</v>
      </c>
      <c r="F626" s="71">
        <v>25.0</v>
      </c>
      <c r="G626" s="68"/>
      <c r="H626" s="71">
        <v>-10.03</v>
      </c>
      <c r="I626" s="72">
        <v>-0.4012</v>
      </c>
      <c r="J626" s="70" t="s">
        <v>1462</v>
      </c>
      <c r="K626" s="67"/>
      <c r="L626" s="70" t="s">
        <v>2840</v>
      </c>
      <c r="M626" s="75">
        <v>1.0</v>
      </c>
      <c r="N626" s="75">
        <v>0.0</v>
      </c>
      <c r="O626" s="75">
        <v>0.0</v>
      </c>
      <c r="P626" s="75">
        <v>1.0</v>
      </c>
      <c r="Q626" s="70" t="s">
        <v>22</v>
      </c>
      <c r="R626" s="71">
        <v>6.53</v>
      </c>
      <c r="S626" s="71">
        <v>35.03</v>
      </c>
      <c r="T626" s="67"/>
      <c r="U626" s="71">
        <v>21.19</v>
      </c>
      <c r="V626" s="71">
        <v>78.19</v>
      </c>
      <c r="W626" s="67"/>
      <c r="X626" s="67"/>
      <c r="Y626" s="67"/>
      <c r="Z626" s="67"/>
      <c r="AA626" s="67"/>
      <c r="AB626" s="67"/>
      <c r="AC626" s="67"/>
    </row>
    <row r="627">
      <c r="A627" s="74">
        <v>46100.0</v>
      </c>
      <c r="B627" s="70" t="s">
        <v>2841</v>
      </c>
      <c r="C627" s="70" t="s">
        <v>2408</v>
      </c>
      <c r="D627" s="71">
        <v>16.0</v>
      </c>
      <c r="E627" s="71">
        <v>25.98</v>
      </c>
      <c r="F627" s="71">
        <v>18.0</v>
      </c>
      <c r="G627" s="68"/>
      <c r="H627" s="71">
        <v>0.18</v>
      </c>
      <c r="I627" s="72">
        <v>0.01</v>
      </c>
      <c r="J627" s="70" t="s">
        <v>1462</v>
      </c>
      <c r="K627" s="67"/>
      <c r="L627" s="70" t="s">
        <v>2842</v>
      </c>
      <c r="M627" s="75">
        <v>1.0</v>
      </c>
      <c r="N627" s="75">
        <v>0.0</v>
      </c>
      <c r="O627" s="75">
        <v>0.0</v>
      </c>
      <c r="P627" s="75">
        <v>1.0</v>
      </c>
      <c r="Q627" s="70" t="s">
        <v>22</v>
      </c>
      <c r="R627" s="71">
        <v>1.82</v>
      </c>
      <c r="S627" s="71">
        <v>17.82</v>
      </c>
      <c r="T627" s="70"/>
      <c r="U627" s="71">
        <v>8.06</v>
      </c>
      <c r="V627" s="71">
        <v>34.04</v>
      </c>
      <c r="W627" s="67"/>
      <c r="X627" s="67"/>
      <c r="Y627" s="67"/>
      <c r="Z627" s="67"/>
      <c r="AA627" s="67"/>
      <c r="AB627" s="67"/>
      <c r="AC627" s="67"/>
    </row>
    <row r="628">
      <c r="A628" s="74">
        <v>46100.0</v>
      </c>
      <c r="B628" s="70" t="s">
        <v>2843</v>
      </c>
      <c r="C628" s="70" t="s">
        <v>2455</v>
      </c>
      <c r="D628" s="71">
        <v>44.82</v>
      </c>
      <c r="E628" s="71">
        <v>74.97</v>
      </c>
      <c r="F628" s="71">
        <v>25.0</v>
      </c>
      <c r="G628" s="68"/>
      <c r="H628" s="71">
        <v>-25.97</v>
      </c>
      <c r="I628" s="72">
        <v>-1.0388</v>
      </c>
      <c r="J628" s="70" t="s">
        <v>1462</v>
      </c>
      <c r="K628" s="67"/>
      <c r="L628" s="70" t="s">
        <v>2844</v>
      </c>
      <c r="M628" s="75">
        <v>1.0</v>
      </c>
      <c r="N628" s="75">
        <v>0.0</v>
      </c>
      <c r="O628" s="75">
        <v>0.0</v>
      </c>
      <c r="P628" s="75">
        <v>1.0</v>
      </c>
      <c r="Q628" s="70" t="s">
        <v>22</v>
      </c>
      <c r="R628" s="71">
        <v>6.15</v>
      </c>
      <c r="S628" s="71">
        <v>50.97</v>
      </c>
      <c r="T628" s="67"/>
      <c r="U628" s="71">
        <v>21.19</v>
      </c>
      <c r="V628" s="71">
        <v>96.16</v>
      </c>
      <c r="W628" s="67"/>
      <c r="X628" s="67"/>
      <c r="Y628" s="67"/>
      <c r="Z628" s="67"/>
      <c r="AA628" s="67"/>
      <c r="AB628" s="67"/>
      <c r="AC628" s="67"/>
    </row>
    <row r="629">
      <c r="A629" s="74">
        <v>46100.0</v>
      </c>
      <c r="B629" s="70" t="s">
        <v>2845</v>
      </c>
      <c r="C629" s="70" t="s">
        <v>2474</v>
      </c>
      <c r="D629" s="71">
        <v>10.0</v>
      </c>
      <c r="E629" s="71">
        <v>19.99</v>
      </c>
      <c r="F629" s="71">
        <v>65.0</v>
      </c>
      <c r="G629" s="68"/>
      <c r="H629" s="71">
        <v>48.85</v>
      </c>
      <c r="I629" s="72">
        <v>0.7515384615384616</v>
      </c>
      <c r="J629" s="70" t="s">
        <v>1450</v>
      </c>
      <c r="K629" s="67"/>
      <c r="L629" s="70" t="s">
        <v>2846</v>
      </c>
      <c r="M629" s="75">
        <v>1.0</v>
      </c>
      <c r="N629" s="75">
        <v>0.0</v>
      </c>
      <c r="O629" s="75">
        <v>0.0</v>
      </c>
      <c r="P629" s="75">
        <v>1.0</v>
      </c>
      <c r="Q629" s="70" t="s">
        <v>22</v>
      </c>
      <c r="R629" s="71">
        <v>6.15</v>
      </c>
      <c r="S629" s="71">
        <v>16.15</v>
      </c>
      <c r="T629" s="70" t="s">
        <v>2847</v>
      </c>
      <c r="U629" s="71">
        <v>21.19</v>
      </c>
      <c r="V629" s="71">
        <v>41.18</v>
      </c>
      <c r="W629" s="67"/>
      <c r="X629" s="67"/>
      <c r="Y629" s="67"/>
      <c r="Z629" s="67"/>
      <c r="AA629" s="67"/>
      <c r="AB629" s="67"/>
      <c r="AC629" s="67"/>
    </row>
    <row r="630">
      <c r="A630" s="74">
        <v>46100.0</v>
      </c>
      <c r="B630" s="70" t="s">
        <v>2848</v>
      </c>
      <c r="C630" s="70" t="s">
        <v>2849</v>
      </c>
      <c r="D630" s="71">
        <v>0.0</v>
      </c>
      <c r="E630" s="71">
        <v>0.0</v>
      </c>
      <c r="F630" s="68"/>
      <c r="G630" s="68"/>
      <c r="H630" s="71"/>
      <c r="I630" s="72"/>
      <c r="J630" s="70" t="s">
        <v>1450</v>
      </c>
      <c r="K630" s="67"/>
      <c r="L630" s="70" t="s">
        <v>2850</v>
      </c>
      <c r="M630" s="75">
        <v>1.0</v>
      </c>
      <c r="N630" s="75">
        <v>0.0</v>
      </c>
      <c r="O630" s="75">
        <v>0.0</v>
      </c>
      <c r="P630" s="75">
        <v>1.0</v>
      </c>
      <c r="Q630" s="70" t="s">
        <v>22</v>
      </c>
      <c r="R630" s="71">
        <v>6.15</v>
      </c>
      <c r="S630" s="71">
        <v>6.15</v>
      </c>
      <c r="T630" s="70"/>
      <c r="U630" s="71">
        <v>21.19</v>
      </c>
      <c r="V630" s="71">
        <v>21.19</v>
      </c>
      <c r="W630" s="67"/>
      <c r="X630" s="67"/>
      <c r="Y630" s="67"/>
      <c r="Z630" s="67"/>
      <c r="AA630" s="67"/>
      <c r="AB630" s="67"/>
      <c r="AC630" s="67"/>
    </row>
    <row r="631">
      <c r="A631" s="74">
        <v>46100.0</v>
      </c>
      <c r="B631" s="70" t="s">
        <v>2851</v>
      </c>
      <c r="C631" s="70" t="s">
        <v>2051</v>
      </c>
      <c r="D631" s="71">
        <v>0.0</v>
      </c>
      <c r="E631" s="71">
        <v>0.0</v>
      </c>
      <c r="F631" s="71">
        <v>30.0</v>
      </c>
      <c r="G631" s="68"/>
      <c r="H631" s="71">
        <v>16.12</v>
      </c>
      <c r="I631" s="72">
        <v>0.5373333333333333</v>
      </c>
      <c r="J631" s="70" t="s">
        <v>1462</v>
      </c>
      <c r="K631" s="67"/>
      <c r="L631" s="70" t="s">
        <v>2852</v>
      </c>
      <c r="M631" s="75">
        <v>1.0</v>
      </c>
      <c r="N631" s="75">
        <v>0.0</v>
      </c>
      <c r="O631" s="75">
        <v>0.0</v>
      </c>
      <c r="P631" s="75">
        <v>1.0</v>
      </c>
      <c r="Q631" s="76" t="s">
        <v>22</v>
      </c>
      <c r="R631" s="71">
        <v>13.88</v>
      </c>
      <c r="S631" s="71">
        <v>13.88</v>
      </c>
      <c r="T631" s="70"/>
      <c r="U631" s="71">
        <v>47.0</v>
      </c>
      <c r="V631" s="71">
        <v>47.0</v>
      </c>
      <c r="W631" s="67"/>
      <c r="X631" s="67"/>
      <c r="Y631" s="67"/>
      <c r="Z631" s="67"/>
      <c r="AA631" s="67"/>
      <c r="AB631" s="67"/>
      <c r="AC631" s="67"/>
    </row>
    <row r="632">
      <c r="A632" s="74">
        <v>46100.0</v>
      </c>
      <c r="B632" s="70" t="s">
        <v>2853</v>
      </c>
      <c r="C632" s="70" t="s">
        <v>1471</v>
      </c>
      <c r="D632" s="71">
        <v>0.0</v>
      </c>
      <c r="E632" s="71">
        <v>0.0</v>
      </c>
      <c r="F632" s="71">
        <v>22.0</v>
      </c>
      <c r="G632" s="68"/>
      <c r="H632" s="71">
        <v>19.93</v>
      </c>
      <c r="I632" s="72">
        <v>0.9059090909090909</v>
      </c>
      <c r="J632" s="70" t="s">
        <v>1462</v>
      </c>
      <c r="K632" s="67"/>
      <c r="L632" s="67" t="s">
        <v>2854</v>
      </c>
      <c r="M632" s="75">
        <v>1.0</v>
      </c>
      <c r="N632" s="75">
        <v>0.0</v>
      </c>
      <c r="O632" s="75">
        <v>0.0</v>
      </c>
      <c r="P632" s="75">
        <v>1.0</v>
      </c>
      <c r="Q632" s="76" t="s">
        <v>22</v>
      </c>
      <c r="R632" s="71">
        <v>2.07</v>
      </c>
      <c r="S632" s="71">
        <v>2.07</v>
      </c>
      <c r="T632" s="70"/>
      <c r="U632" s="71">
        <v>4.13</v>
      </c>
      <c r="V632" s="71">
        <v>4.13</v>
      </c>
      <c r="W632" s="67"/>
      <c r="X632" s="67"/>
      <c r="Y632" s="67"/>
      <c r="Z632" s="67"/>
      <c r="AA632" s="67"/>
      <c r="AB632" s="67"/>
      <c r="AC632" s="67"/>
    </row>
    <row r="633">
      <c r="A633" s="74">
        <v>46100.0</v>
      </c>
      <c r="B633" s="70" t="s">
        <v>2855</v>
      </c>
      <c r="C633" s="70" t="s">
        <v>1537</v>
      </c>
      <c r="D633" s="71">
        <v>0.0</v>
      </c>
      <c r="E633" s="71">
        <v>0.0</v>
      </c>
      <c r="F633" s="68"/>
      <c r="G633" s="68"/>
      <c r="H633" s="68"/>
      <c r="I633" s="69"/>
      <c r="J633" s="70" t="s">
        <v>1450</v>
      </c>
      <c r="K633" s="67"/>
      <c r="L633" s="70" t="s">
        <v>2856</v>
      </c>
      <c r="M633" s="75">
        <v>1.0</v>
      </c>
      <c r="N633" s="75">
        <v>0.0</v>
      </c>
      <c r="O633" s="75">
        <v>0.0</v>
      </c>
      <c r="P633" s="75">
        <v>1.0</v>
      </c>
      <c r="Q633" s="70" t="s">
        <v>22</v>
      </c>
      <c r="R633" s="71">
        <v>0.0</v>
      </c>
      <c r="S633" s="71">
        <v>0.0</v>
      </c>
      <c r="T633" s="67"/>
      <c r="U633" s="71">
        <v>0.0</v>
      </c>
      <c r="V633" s="71"/>
      <c r="W633" s="67"/>
      <c r="X633" s="67"/>
      <c r="Y633" s="67"/>
      <c r="Z633" s="67"/>
      <c r="AA633" s="67"/>
      <c r="AB633" s="67"/>
      <c r="AC633" s="67"/>
    </row>
    <row r="634">
      <c r="A634" s="74">
        <v>46100.0</v>
      </c>
      <c r="B634" s="70" t="s">
        <v>2857</v>
      </c>
      <c r="C634" s="70" t="s">
        <v>1474</v>
      </c>
      <c r="D634" s="71">
        <v>2.75</v>
      </c>
      <c r="E634" s="71">
        <v>0.0</v>
      </c>
      <c r="F634" s="71">
        <v>35.0</v>
      </c>
      <c r="G634" s="68"/>
      <c r="H634" s="71">
        <v>17.96</v>
      </c>
      <c r="I634" s="72">
        <v>0.5131428571428571</v>
      </c>
      <c r="J634" s="70" t="s">
        <v>1462</v>
      </c>
      <c r="K634" s="67"/>
      <c r="L634" s="70" t="s">
        <v>2858</v>
      </c>
      <c r="M634" s="75">
        <v>1.0</v>
      </c>
      <c r="N634" s="75">
        <v>0.0</v>
      </c>
      <c r="O634" s="75">
        <v>0.0</v>
      </c>
      <c r="P634" s="75">
        <v>1.0</v>
      </c>
      <c r="Q634" s="70" t="s">
        <v>22</v>
      </c>
      <c r="R634" s="71">
        <v>14.29</v>
      </c>
      <c r="S634" s="71">
        <v>17.04</v>
      </c>
      <c r="T634" s="70"/>
      <c r="U634" s="71">
        <v>47.0</v>
      </c>
      <c r="V634" s="71">
        <v>47.0</v>
      </c>
      <c r="W634" s="67"/>
      <c r="X634" s="67"/>
      <c r="Y634" s="67"/>
      <c r="Z634" s="67"/>
      <c r="AA634" s="67"/>
      <c r="AB634" s="67"/>
      <c r="AC634" s="67"/>
    </row>
    <row r="635">
      <c r="A635" s="74">
        <v>46100.0</v>
      </c>
      <c r="B635" s="70" t="s">
        <v>2859</v>
      </c>
      <c r="C635" s="70" t="s">
        <v>1770</v>
      </c>
      <c r="D635" s="71">
        <v>11.0</v>
      </c>
      <c r="E635" s="71">
        <v>21.67</v>
      </c>
      <c r="F635" s="71">
        <v>35.0</v>
      </c>
      <c r="G635" s="68"/>
      <c r="H635" s="71">
        <v>18.96</v>
      </c>
      <c r="I635" s="72">
        <v>0.5417142857142857</v>
      </c>
      <c r="J635" s="70" t="s">
        <v>1462</v>
      </c>
      <c r="K635" s="67"/>
      <c r="L635" s="70" t="s">
        <v>2860</v>
      </c>
      <c r="M635" s="75">
        <v>1.0</v>
      </c>
      <c r="N635" s="75">
        <v>0.0</v>
      </c>
      <c r="O635" s="75">
        <v>0.0</v>
      </c>
      <c r="P635" s="75">
        <v>1.0</v>
      </c>
      <c r="Q635" s="70" t="s">
        <v>22</v>
      </c>
      <c r="R635" s="71">
        <v>5.04</v>
      </c>
      <c r="S635" s="71">
        <v>16.04</v>
      </c>
      <c r="T635" s="67"/>
      <c r="U635" s="71">
        <v>12.06</v>
      </c>
      <c r="V635" s="71">
        <v>33.73</v>
      </c>
      <c r="W635" s="67"/>
      <c r="X635" s="67"/>
      <c r="Y635" s="67"/>
      <c r="Z635" s="67"/>
      <c r="AA635" s="67"/>
      <c r="AB635" s="67"/>
      <c r="AC635" s="67"/>
    </row>
    <row r="636">
      <c r="A636" s="74">
        <v>46100.0</v>
      </c>
      <c r="B636" s="70" t="s">
        <v>2861</v>
      </c>
      <c r="C636" s="70" t="s">
        <v>1770</v>
      </c>
      <c r="D636" s="71">
        <v>11.0</v>
      </c>
      <c r="E636" s="71">
        <v>21.67</v>
      </c>
      <c r="F636" s="71">
        <v>45.0</v>
      </c>
      <c r="G636" s="68"/>
      <c r="H636" s="71">
        <v>28.96</v>
      </c>
      <c r="I636" s="72">
        <v>0.6435555555555555</v>
      </c>
      <c r="J636" s="70" t="s">
        <v>1462</v>
      </c>
      <c r="K636" s="67"/>
      <c r="L636" s="70" t="s">
        <v>2862</v>
      </c>
      <c r="M636" s="75">
        <v>1.0</v>
      </c>
      <c r="N636" s="75">
        <v>0.0</v>
      </c>
      <c r="O636" s="75">
        <v>0.0</v>
      </c>
      <c r="P636" s="75">
        <v>1.0</v>
      </c>
      <c r="Q636" s="70" t="s">
        <v>22</v>
      </c>
      <c r="R636" s="71">
        <v>5.04</v>
      </c>
      <c r="S636" s="71">
        <v>16.04</v>
      </c>
      <c r="T636" s="70" t="s">
        <v>2863</v>
      </c>
      <c r="U636" s="71">
        <v>12.06</v>
      </c>
      <c r="V636" s="71">
        <v>33.73</v>
      </c>
      <c r="W636" s="67"/>
      <c r="X636" s="67"/>
      <c r="Y636" s="67"/>
      <c r="Z636" s="67"/>
      <c r="AA636" s="67"/>
      <c r="AB636" s="67"/>
      <c r="AC636" s="67"/>
    </row>
    <row r="637">
      <c r="A637" s="74">
        <v>46100.0</v>
      </c>
      <c r="B637" s="70" t="s">
        <v>2864</v>
      </c>
      <c r="C637" s="70" t="s">
        <v>2417</v>
      </c>
      <c r="D637" s="71">
        <v>10.8</v>
      </c>
      <c r="E637" s="71">
        <v>29.98</v>
      </c>
      <c r="F637" s="68"/>
      <c r="G637" s="68"/>
      <c r="H637" s="68"/>
      <c r="I637" s="69"/>
      <c r="J637" s="70" t="s">
        <v>1450</v>
      </c>
      <c r="K637" s="67"/>
      <c r="L637" s="70" t="s">
        <v>2865</v>
      </c>
      <c r="M637" s="75">
        <v>1.0</v>
      </c>
      <c r="N637" s="75">
        <v>0.0</v>
      </c>
      <c r="O637" s="75">
        <v>0.0</v>
      </c>
      <c r="P637" s="75">
        <v>1.0</v>
      </c>
      <c r="Q637" s="70" t="s">
        <v>22</v>
      </c>
      <c r="R637" s="71">
        <v>4.98</v>
      </c>
      <c r="S637" s="71">
        <v>15.78</v>
      </c>
      <c r="T637" s="70"/>
      <c r="U637" s="71">
        <v>11.69</v>
      </c>
      <c r="V637" s="71">
        <v>41.67</v>
      </c>
      <c r="W637" s="67"/>
      <c r="X637" s="67"/>
      <c r="Y637" s="67"/>
      <c r="Z637" s="67"/>
      <c r="AA637" s="67"/>
      <c r="AB637" s="67"/>
      <c r="AC637" s="67"/>
    </row>
    <row r="638">
      <c r="A638" s="74">
        <v>46100.0</v>
      </c>
      <c r="B638" s="70" t="s">
        <v>2866</v>
      </c>
      <c r="C638" s="70" t="s">
        <v>2417</v>
      </c>
      <c r="D638" s="71">
        <v>5.4</v>
      </c>
      <c r="E638" s="71">
        <v>14.99</v>
      </c>
      <c r="F638" s="68"/>
      <c r="G638" s="68"/>
      <c r="H638" s="68"/>
      <c r="I638" s="69"/>
      <c r="J638" s="70" t="s">
        <v>1450</v>
      </c>
      <c r="K638" s="67"/>
      <c r="L638" s="70" t="s">
        <v>2867</v>
      </c>
      <c r="M638" s="75">
        <v>1.0</v>
      </c>
      <c r="N638" s="75">
        <v>0.0</v>
      </c>
      <c r="O638" s="75">
        <v>0.0</v>
      </c>
      <c r="P638" s="75">
        <v>1.0</v>
      </c>
      <c r="Q638" s="70" t="s">
        <v>22</v>
      </c>
      <c r="R638" s="71">
        <v>4.98</v>
      </c>
      <c r="S638" s="71">
        <v>10.38</v>
      </c>
      <c r="T638" s="67"/>
      <c r="U638" s="71">
        <v>11.69</v>
      </c>
      <c r="V638" s="71">
        <v>26.68</v>
      </c>
      <c r="W638" s="67"/>
      <c r="X638" s="67"/>
      <c r="Y638" s="67"/>
      <c r="Z638" s="67"/>
      <c r="AA638" s="67"/>
      <c r="AB638" s="67"/>
      <c r="AC638" s="67"/>
    </row>
    <row r="639">
      <c r="A639" s="74">
        <v>46100.0</v>
      </c>
      <c r="B639" s="70" t="s">
        <v>2868</v>
      </c>
      <c r="C639" s="70" t="s">
        <v>2417</v>
      </c>
      <c r="D639" s="71">
        <v>5.4</v>
      </c>
      <c r="E639" s="71">
        <v>14.99</v>
      </c>
      <c r="F639" s="68"/>
      <c r="G639" s="68"/>
      <c r="H639" s="68"/>
      <c r="I639" s="69"/>
      <c r="J639" s="70" t="s">
        <v>1450</v>
      </c>
      <c r="K639" s="67"/>
      <c r="L639" s="70" t="s">
        <v>2869</v>
      </c>
      <c r="M639" s="75">
        <v>1.0</v>
      </c>
      <c r="N639" s="75">
        <v>0.0</v>
      </c>
      <c r="O639" s="75">
        <v>0.0</v>
      </c>
      <c r="P639" s="75">
        <v>1.0</v>
      </c>
      <c r="Q639" s="70" t="s">
        <v>22</v>
      </c>
      <c r="R639" s="71">
        <v>5.25</v>
      </c>
      <c r="S639" s="71">
        <v>10.65</v>
      </c>
      <c r="T639" s="70"/>
      <c r="U639" s="71">
        <v>11.69</v>
      </c>
      <c r="V639" s="71">
        <v>26.68</v>
      </c>
      <c r="W639" s="67"/>
      <c r="X639" s="67"/>
      <c r="Y639" s="67"/>
      <c r="Z639" s="67"/>
      <c r="AA639" s="67"/>
      <c r="AB639" s="67"/>
      <c r="AC639" s="67"/>
    </row>
    <row r="640">
      <c r="A640" s="74">
        <v>46100.0</v>
      </c>
      <c r="B640" s="70" t="s">
        <v>2870</v>
      </c>
      <c r="C640" s="70" t="s">
        <v>2438</v>
      </c>
      <c r="D640" s="71">
        <v>0.0</v>
      </c>
      <c r="E640" s="71">
        <v>25.98</v>
      </c>
      <c r="F640" s="71">
        <v>15.0</v>
      </c>
      <c r="G640" s="68"/>
      <c r="H640" s="71">
        <v>10.23</v>
      </c>
      <c r="I640" s="72">
        <v>0.682</v>
      </c>
      <c r="J640" s="70" t="s">
        <v>1462</v>
      </c>
      <c r="K640" s="67"/>
      <c r="L640" s="70" t="s">
        <v>2871</v>
      </c>
      <c r="M640" s="75">
        <v>1.0</v>
      </c>
      <c r="N640" s="75">
        <v>0.0</v>
      </c>
      <c r="O640" s="75">
        <v>0.0</v>
      </c>
      <c r="P640" s="75">
        <v>1.0</v>
      </c>
      <c r="Q640" s="70" t="s">
        <v>22</v>
      </c>
      <c r="R640" s="71">
        <v>4.77</v>
      </c>
      <c r="S640" s="71">
        <v>4.77</v>
      </c>
      <c r="T640" s="70"/>
      <c r="U640" s="71">
        <v>12.06</v>
      </c>
      <c r="V640" s="71">
        <v>38.04</v>
      </c>
      <c r="W640" s="67"/>
      <c r="X640" s="67"/>
      <c r="Y640" s="67"/>
      <c r="Z640" s="67"/>
      <c r="AA640" s="67"/>
      <c r="AB640" s="67"/>
      <c r="AC640" s="67"/>
    </row>
    <row r="641">
      <c r="A641" s="74">
        <v>46100.0</v>
      </c>
      <c r="B641" s="70" t="s">
        <v>2872</v>
      </c>
      <c r="C641" s="70" t="s">
        <v>2481</v>
      </c>
      <c r="D641" s="71">
        <v>16.5</v>
      </c>
      <c r="E641" s="71">
        <v>39.99</v>
      </c>
      <c r="F641" s="71">
        <v>20.0</v>
      </c>
      <c r="G641" s="68"/>
      <c r="H641" s="71">
        <v>-1.54</v>
      </c>
      <c r="I641" s="72">
        <v>-0.077</v>
      </c>
      <c r="J641" s="70" t="s">
        <v>1462</v>
      </c>
      <c r="K641" s="67"/>
      <c r="L641" s="70" t="s">
        <v>2873</v>
      </c>
      <c r="M641" s="75">
        <v>1.0</v>
      </c>
      <c r="N641" s="75">
        <v>0.0</v>
      </c>
      <c r="O641" s="75">
        <v>0.0</v>
      </c>
      <c r="P641" s="75">
        <v>1.0</v>
      </c>
      <c r="Q641" s="70" t="s">
        <v>22</v>
      </c>
      <c r="R641" s="71">
        <v>5.04</v>
      </c>
      <c r="S641" s="71">
        <v>21.54</v>
      </c>
      <c r="T641" s="70"/>
      <c r="U641" s="71">
        <v>12.06</v>
      </c>
      <c r="V641" s="71">
        <v>52.05</v>
      </c>
      <c r="W641" s="67"/>
      <c r="X641" s="67"/>
      <c r="Y641" s="67"/>
      <c r="Z641" s="67"/>
      <c r="AA641" s="67"/>
      <c r="AB641" s="67"/>
      <c r="AC641" s="67"/>
    </row>
    <row r="642">
      <c r="A642" s="74">
        <v>46103.0</v>
      </c>
      <c r="B642" s="70" t="s">
        <v>2874</v>
      </c>
      <c r="C642" s="70" t="s">
        <v>1691</v>
      </c>
      <c r="D642" s="71">
        <v>14.4</v>
      </c>
      <c r="E642" s="71">
        <v>29.99</v>
      </c>
      <c r="F642" s="68"/>
      <c r="G642" s="68"/>
      <c r="H642" s="68"/>
      <c r="I642" s="69"/>
      <c r="J642" s="70" t="s">
        <v>1450</v>
      </c>
      <c r="K642" s="67"/>
      <c r="L642" s="70" t="s">
        <v>2875</v>
      </c>
      <c r="M642" s="75">
        <v>1.0</v>
      </c>
      <c r="N642" s="75">
        <v>0.0</v>
      </c>
      <c r="O642" s="75">
        <v>0.0</v>
      </c>
      <c r="P642" s="75">
        <v>1.0</v>
      </c>
      <c r="Q642" s="70" t="s">
        <v>22</v>
      </c>
      <c r="R642" s="71">
        <v>2.78</v>
      </c>
      <c r="S642" s="71">
        <v>17.18</v>
      </c>
      <c r="T642" s="70" t="s">
        <v>2876</v>
      </c>
      <c r="U642" s="71">
        <v>4.13</v>
      </c>
      <c r="V642" s="71">
        <v>34.12</v>
      </c>
      <c r="W642" s="67"/>
      <c r="X642" s="67"/>
      <c r="Y642" s="67"/>
      <c r="Z642" s="67"/>
      <c r="AA642" s="67"/>
      <c r="AB642" s="67"/>
      <c r="AC642" s="67"/>
    </row>
    <row r="643">
      <c r="A643" s="74">
        <v>46104.0</v>
      </c>
      <c r="B643" s="70" t="s">
        <v>2877</v>
      </c>
      <c r="C643" s="70" t="s">
        <v>2321</v>
      </c>
      <c r="D643" s="71">
        <v>11.6</v>
      </c>
      <c r="E643" s="71">
        <v>23.2</v>
      </c>
      <c r="F643" s="71">
        <v>40.0</v>
      </c>
      <c r="G643" s="68"/>
      <c r="H643" s="71">
        <v>14.11</v>
      </c>
      <c r="I643" s="72">
        <v>0.35275</v>
      </c>
      <c r="J643" s="70" t="s">
        <v>1462</v>
      </c>
      <c r="K643" s="67"/>
      <c r="L643" s="70" t="s">
        <v>2878</v>
      </c>
      <c r="M643" s="75">
        <v>1.0</v>
      </c>
      <c r="N643" s="75">
        <v>0.0</v>
      </c>
      <c r="O643" s="75">
        <v>0.0</v>
      </c>
      <c r="P643" s="75">
        <v>1.0</v>
      </c>
      <c r="Q643" s="70" t="s">
        <v>22</v>
      </c>
      <c r="R643" s="71">
        <v>14.29</v>
      </c>
      <c r="S643" s="71">
        <v>25.89</v>
      </c>
      <c r="T643" s="70" t="s">
        <v>2879</v>
      </c>
      <c r="U643" s="71">
        <v>47.0</v>
      </c>
      <c r="V643" s="71">
        <v>70.2</v>
      </c>
      <c r="W643" s="67"/>
      <c r="X643" s="67"/>
      <c r="Y643" s="67"/>
      <c r="Z643" s="67"/>
      <c r="AA643" s="67"/>
      <c r="AB643" s="67"/>
      <c r="AC643" s="67"/>
    </row>
    <row r="644">
      <c r="A644" s="74">
        <v>46105.0</v>
      </c>
      <c r="B644" s="70" t="s">
        <v>2880</v>
      </c>
      <c r="C644" s="70" t="s">
        <v>1524</v>
      </c>
      <c r="D644" s="71">
        <v>10.99</v>
      </c>
      <c r="E644" s="71">
        <v>0.0</v>
      </c>
      <c r="F644" s="68"/>
      <c r="G644" s="68"/>
      <c r="H644" s="68"/>
      <c r="I644" s="69"/>
      <c r="J644" s="70" t="s">
        <v>1450</v>
      </c>
      <c r="K644" s="67"/>
      <c r="L644" s="70" t="s">
        <v>2881</v>
      </c>
      <c r="M644" s="75">
        <v>1.0</v>
      </c>
      <c r="N644" s="75">
        <v>0.0</v>
      </c>
      <c r="O644" s="75">
        <v>0.0</v>
      </c>
      <c r="P644" s="75">
        <v>1.0</v>
      </c>
      <c r="Q644" s="76" t="s">
        <v>22</v>
      </c>
      <c r="R644" s="71">
        <v>2.38</v>
      </c>
      <c r="S644" s="71">
        <v>13.37</v>
      </c>
      <c r="T644" s="70" t="s">
        <v>2882</v>
      </c>
      <c r="U644" s="71">
        <v>5.0</v>
      </c>
      <c r="V644" s="71">
        <v>5.0</v>
      </c>
      <c r="W644" s="67"/>
      <c r="X644" s="67"/>
      <c r="Y644" s="67"/>
      <c r="Z644" s="67"/>
      <c r="AA644" s="67"/>
      <c r="AB644" s="67"/>
      <c r="AC644" s="67"/>
    </row>
    <row r="645">
      <c r="A645" s="74">
        <v>46105.0</v>
      </c>
      <c r="B645" s="70" t="s">
        <v>2883</v>
      </c>
      <c r="C645" s="70" t="s">
        <v>2884</v>
      </c>
      <c r="D645" s="71">
        <v>7.33</v>
      </c>
      <c r="E645" s="71">
        <v>0.0</v>
      </c>
      <c r="F645" s="68"/>
      <c r="G645" s="71"/>
      <c r="H645" s="71"/>
      <c r="I645" s="72"/>
      <c r="J645" s="70" t="s">
        <v>1450</v>
      </c>
      <c r="K645" s="67"/>
      <c r="L645" s="70" t="s">
        <v>2885</v>
      </c>
      <c r="M645" s="75">
        <v>1.0</v>
      </c>
      <c r="N645" s="75">
        <v>0.0</v>
      </c>
      <c r="O645" s="75">
        <v>0.0</v>
      </c>
      <c r="P645" s="75">
        <v>1.0</v>
      </c>
      <c r="Q645" s="70" t="s">
        <v>22</v>
      </c>
      <c r="R645" s="71">
        <v>4.75</v>
      </c>
      <c r="S645" s="71">
        <v>12.08</v>
      </c>
      <c r="T645" s="70" t="s">
        <v>2886</v>
      </c>
      <c r="U645" s="71">
        <v>11.88</v>
      </c>
      <c r="V645" s="71">
        <v>11.88</v>
      </c>
      <c r="W645" s="67"/>
      <c r="X645" s="67"/>
      <c r="Y645" s="67"/>
      <c r="Z645" s="67"/>
      <c r="AA645" s="67"/>
      <c r="AB645" s="67"/>
      <c r="AC645" s="67"/>
    </row>
    <row r="646">
      <c r="A646" s="74">
        <v>46105.0</v>
      </c>
      <c r="B646" s="70" t="s">
        <v>2887</v>
      </c>
      <c r="C646" s="70" t="s">
        <v>1747</v>
      </c>
      <c r="D646" s="71">
        <v>3.0</v>
      </c>
      <c r="E646" s="71">
        <v>9.0</v>
      </c>
      <c r="F646" s="71"/>
      <c r="G646" s="68"/>
      <c r="H646" s="71"/>
      <c r="I646" s="72"/>
      <c r="J646" s="70" t="s">
        <v>1450</v>
      </c>
      <c r="K646" s="67"/>
      <c r="L646" s="67" t="s">
        <v>2888</v>
      </c>
      <c r="M646" s="75">
        <v>1.0</v>
      </c>
      <c r="N646" s="75">
        <v>0.0</v>
      </c>
      <c r="O646" s="75">
        <v>0.0</v>
      </c>
      <c r="P646" s="75">
        <v>1.0</v>
      </c>
      <c r="Q646" s="76" t="s">
        <v>22</v>
      </c>
      <c r="R646" s="71">
        <v>0.13</v>
      </c>
      <c r="S646" s="71">
        <v>3.13</v>
      </c>
      <c r="T646" s="70"/>
      <c r="U646" s="71">
        <v>0.0</v>
      </c>
      <c r="V646" s="71">
        <v>9.0</v>
      </c>
      <c r="W646" s="67"/>
      <c r="X646" s="67"/>
      <c r="Y646" s="67"/>
      <c r="Z646" s="67"/>
      <c r="AA646" s="67"/>
      <c r="AB646" s="67"/>
      <c r="AC646" s="67"/>
    </row>
    <row r="647">
      <c r="A647" s="74">
        <v>46105.0</v>
      </c>
      <c r="B647" s="70" t="s">
        <v>2889</v>
      </c>
      <c r="C647" s="70" t="s">
        <v>1757</v>
      </c>
      <c r="D647" s="71">
        <v>4.33</v>
      </c>
      <c r="E647" s="71">
        <v>6.67</v>
      </c>
      <c r="F647" s="68"/>
      <c r="G647" s="68"/>
      <c r="H647" s="71"/>
      <c r="I647" s="72"/>
      <c r="J647" s="70" t="s">
        <v>1450</v>
      </c>
      <c r="K647" s="67"/>
      <c r="L647" s="70" t="s">
        <v>2890</v>
      </c>
      <c r="M647" s="75">
        <v>1.0</v>
      </c>
      <c r="N647" s="75">
        <v>0.0</v>
      </c>
      <c r="O647" s="75">
        <v>0.0</v>
      </c>
      <c r="P647" s="75">
        <v>1.0</v>
      </c>
      <c r="Q647" s="76" t="s">
        <v>22</v>
      </c>
      <c r="R647" s="71">
        <v>0.13</v>
      </c>
      <c r="S647" s="71">
        <v>4.46</v>
      </c>
      <c r="T647" s="70"/>
      <c r="U647" s="71">
        <v>0.0</v>
      </c>
      <c r="V647" s="71">
        <v>6.67</v>
      </c>
      <c r="W647" s="67"/>
      <c r="X647" s="67"/>
      <c r="Y647" s="67"/>
      <c r="Z647" s="67"/>
      <c r="AA647" s="67"/>
      <c r="AB647" s="67"/>
      <c r="AC647" s="67"/>
    </row>
    <row r="648">
      <c r="A648" s="74">
        <v>46105.0</v>
      </c>
      <c r="B648" s="70" t="s">
        <v>2891</v>
      </c>
      <c r="C648" s="70" t="s">
        <v>2814</v>
      </c>
      <c r="D648" s="71">
        <v>12.0</v>
      </c>
      <c r="E648" s="71">
        <v>0.0</v>
      </c>
      <c r="F648" s="68"/>
      <c r="G648" s="68"/>
      <c r="H648" s="68"/>
      <c r="I648" s="69"/>
      <c r="J648" s="70" t="s">
        <v>1450</v>
      </c>
      <c r="K648" s="67"/>
      <c r="L648" s="70" t="s">
        <v>2892</v>
      </c>
      <c r="M648" s="75">
        <v>1.0</v>
      </c>
      <c r="N648" s="75">
        <v>0.0</v>
      </c>
      <c r="O648" s="75">
        <v>0.0</v>
      </c>
      <c r="P648" s="75">
        <v>1.0</v>
      </c>
      <c r="Q648" s="70" t="s">
        <v>22</v>
      </c>
      <c r="R648" s="71">
        <v>2.07</v>
      </c>
      <c r="S648" s="71">
        <v>14.07</v>
      </c>
      <c r="T648" s="70"/>
      <c r="U648" s="71">
        <v>4.13</v>
      </c>
      <c r="V648" s="71">
        <v>4.13</v>
      </c>
      <c r="W648" s="67"/>
      <c r="X648" s="67"/>
      <c r="Y648" s="67"/>
      <c r="Z648" s="67"/>
      <c r="AA648" s="67"/>
      <c r="AB648" s="67"/>
      <c r="AC648" s="67"/>
    </row>
    <row r="649">
      <c r="A649" s="74">
        <v>46105.0</v>
      </c>
      <c r="B649" s="70" t="s">
        <v>2893</v>
      </c>
      <c r="C649" s="70" t="s">
        <v>2051</v>
      </c>
      <c r="D649" s="71">
        <v>1.6</v>
      </c>
      <c r="E649" s="71">
        <v>3.0</v>
      </c>
      <c r="F649" s="68"/>
      <c r="G649" s="68"/>
      <c r="H649" s="68"/>
      <c r="I649" s="69"/>
      <c r="J649" s="70" t="s">
        <v>1450</v>
      </c>
      <c r="K649" s="67"/>
      <c r="L649" s="70" t="s">
        <v>2894</v>
      </c>
      <c r="M649" s="75">
        <v>1.0</v>
      </c>
      <c r="N649" s="75">
        <v>0.0</v>
      </c>
      <c r="O649" s="75">
        <v>0.0</v>
      </c>
      <c r="P649" s="75">
        <v>1.0</v>
      </c>
      <c r="Q649" s="70" t="s">
        <v>22</v>
      </c>
      <c r="R649" s="71">
        <v>0.21</v>
      </c>
      <c r="S649" s="71">
        <v>1.81</v>
      </c>
      <c r="T649" s="70"/>
      <c r="U649" s="71">
        <v>0.69</v>
      </c>
      <c r="V649" s="71">
        <v>3.69</v>
      </c>
      <c r="W649" s="67"/>
      <c r="X649" s="67"/>
      <c r="Y649" s="67"/>
      <c r="Z649" s="67"/>
      <c r="AA649" s="67"/>
      <c r="AB649" s="67"/>
      <c r="AC649" s="67"/>
    </row>
    <row r="650">
      <c r="A650" s="74">
        <v>46105.0</v>
      </c>
      <c r="B650" s="70" t="s">
        <v>2895</v>
      </c>
      <c r="C650" s="70" t="s">
        <v>2884</v>
      </c>
      <c r="D650" s="71">
        <v>7.33</v>
      </c>
      <c r="E650" s="71">
        <v>0.0</v>
      </c>
      <c r="F650" s="68"/>
      <c r="G650" s="68"/>
      <c r="H650" s="68"/>
      <c r="I650" s="69"/>
      <c r="J650" s="70" t="s">
        <v>1450</v>
      </c>
      <c r="K650" s="67"/>
      <c r="L650" s="70" t="s">
        <v>2896</v>
      </c>
      <c r="M650" s="75">
        <v>1.0</v>
      </c>
      <c r="N650" s="75">
        <v>0.0</v>
      </c>
      <c r="O650" s="75">
        <v>0.0</v>
      </c>
      <c r="P650" s="75">
        <v>1.0</v>
      </c>
      <c r="Q650" s="70" t="s">
        <v>22</v>
      </c>
      <c r="R650" s="71">
        <v>0.46</v>
      </c>
      <c r="S650" s="71">
        <v>7.79</v>
      </c>
      <c r="T650" s="70" t="s">
        <v>2897</v>
      </c>
      <c r="U650" s="71">
        <v>2.88</v>
      </c>
      <c r="V650" s="71">
        <v>2.88</v>
      </c>
      <c r="W650" s="67"/>
      <c r="X650" s="67"/>
      <c r="Y650" s="67"/>
      <c r="Z650" s="67"/>
      <c r="AA650" s="67"/>
      <c r="AB650" s="67"/>
      <c r="AC650" s="67"/>
    </row>
    <row r="651">
      <c r="A651" s="74">
        <v>46105.0</v>
      </c>
      <c r="B651" s="70" t="s">
        <v>2898</v>
      </c>
      <c r="C651" s="70" t="s">
        <v>1497</v>
      </c>
      <c r="D651" s="71">
        <v>7.8</v>
      </c>
      <c r="E651" s="71">
        <v>16.99</v>
      </c>
      <c r="F651" s="71">
        <v>15.0</v>
      </c>
      <c r="G651" s="68"/>
      <c r="H651" s="71">
        <v>7.07</v>
      </c>
      <c r="I651" s="72">
        <v>0.4713333333333333</v>
      </c>
      <c r="J651" s="70" t="s">
        <v>1462</v>
      </c>
      <c r="K651" s="67"/>
      <c r="L651" s="70" t="s">
        <v>2899</v>
      </c>
      <c r="M651" s="75">
        <v>1.0</v>
      </c>
      <c r="N651" s="75">
        <v>0.0</v>
      </c>
      <c r="O651" s="75">
        <v>0.0</v>
      </c>
      <c r="P651" s="75">
        <v>1.0</v>
      </c>
      <c r="Q651" s="70" t="s">
        <v>22</v>
      </c>
      <c r="R651" s="71">
        <v>0.13</v>
      </c>
      <c r="S651" s="71">
        <v>7.93</v>
      </c>
      <c r="T651" s="70"/>
      <c r="U651" s="71">
        <v>0.0</v>
      </c>
      <c r="V651" s="71">
        <v>16.99</v>
      </c>
      <c r="W651" s="67"/>
      <c r="X651" s="67"/>
      <c r="Y651" s="67"/>
      <c r="Z651" s="67"/>
      <c r="AA651" s="67"/>
      <c r="AB651" s="67"/>
      <c r="AC651" s="67"/>
    </row>
    <row r="652">
      <c r="A652" s="74">
        <v>46105.0</v>
      </c>
      <c r="B652" s="70" t="s">
        <v>2900</v>
      </c>
      <c r="C652" s="70" t="s">
        <v>1497</v>
      </c>
      <c r="D652" s="71">
        <v>7.8</v>
      </c>
      <c r="E652" s="71">
        <v>16.99</v>
      </c>
      <c r="F652" s="68"/>
      <c r="G652" s="68"/>
      <c r="H652" s="68"/>
      <c r="I652" s="69"/>
      <c r="J652" s="70" t="s">
        <v>1450</v>
      </c>
      <c r="K652" s="67"/>
      <c r="L652" s="70" t="s">
        <v>2901</v>
      </c>
      <c r="M652" s="75">
        <v>1.0</v>
      </c>
      <c r="N652" s="75">
        <v>0.0</v>
      </c>
      <c r="O652" s="75">
        <v>0.0</v>
      </c>
      <c r="P652" s="75">
        <v>1.0</v>
      </c>
      <c r="Q652" s="70" t="s">
        <v>22</v>
      </c>
      <c r="R652" s="71">
        <v>0.13</v>
      </c>
      <c r="S652" s="71">
        <v>7.93</v>
      </c>
      <c r="T652" s="67"/>
      <c r="U652" s="71">
        <v>0.0</v>
      </c>
      <c r="V652" s="71">
        <v>16.99</v>
      </c>
      <c r="W652" s="67"/>
      <c r="X652" s="67"/>
      <c r="Y652" s="67"/>
      <c r="Z652" s="67"/>
      <c r="AA652" s="67"/>
      <c r="AB652" s="67"/>
      <c r="AC652" s="67"/>
    </row>
    <row r="653">
      <c r="A653" s="74">
        <v>46105.0</v>
      </c>
      <c r="B653" s="70" t="s">
        <v>2902</v>
      </c>
      <c r="C653" s="70" t="s">
        <v>2417</v>
      </c>
      <c r="D653" s="71">
        <v>5.4</v>
      </c>
      <c r="E653" s="71">
        <v>14.99</v>
      </c>
      <c r="F653" s="68"/>
      <c r="G653" s="68"/>
      <c r="H653" s="68"/>
      <c r="I653" s="69"/>
      <c r="J653" s="70" t="s">
        <v>1450</v>
      </c>
      <c r="K653" s="67"/>
      <c r="L653" s="70" t="s">
        <v>2903</v>
      </c>
      <c r="M653" s="75">
        <v>1.0</v>
      </c>
      <c r="N653" s="75">
        <v>0.0</v>
      </c>
      <c r="O653" s="75">
        <v>0.0</v>
      </c>
      <c r="P653" s="75">
        <v>1.0</v>
      </c>
      <c r="Q653" s="70" t="s">
        <v>22</v>
      </c>
      <c r="R653" s="71">
        <v>2.38</v>
      </c>
      <c r="S653" s="71">
        <v>7.78</v>
      </c>
      <c r="T653" s="70" t="s">
        <v>2904</v>
      </c>
      <c r="U653" s="71">
        <v>5.0</v>
      </c>
      <c r="V653" s="71">
        <v>19.99</v>
      </c>
      <c r="W653" s="67"/>
      <c r="X653" s="67"/>
      <c r="Y653" s="67"/>
      <c r="Z653" s="67"/>
      <c r="AA653" s="67"/>
      <c r="AB653" s="67"/>
      <c r="AC653" s="67"/>
    </row>
    <row r="654">
      <c r="A654" s="74">
        <v>46106.0</v>
      </c>
      <c r="B654" s="70" t="s">
        <v>2905</v>
      </c>
      <c r="C654" s="70" t="s">
        <v>1936</v>
      </c>
      <c r="D654" s="71">
        <v>15.0</v>
      </c>
      <c r="E654" s="71">
        <v>0.0</v>
      </c>
      <c r="F654" s="68"/>
      <c r="G654" s="71">
        <v>7.0</v>
      </c>
      <c r="H654" s="71">
        <v>-8.0</v>
      </c>
      <c r="I654" s="72">
        <v>-1.1428571428571428</v>
      </c>
      <c r="J654" s="70" t="s">
        <v>1626</v>
      </c>
      <c r="K654" s="67"/>
      <c r="L654" s="70" t="s">
        <v>2906</v>
      </c>
      <c r="M654" s="75">
        <v>1.0</v>
      </c>
      <c r="N654" s="75">
        <v>1.0</v>
      </c>
      <c r="O654" s="75">
        <v>0.0</v>
      </c>
      <c r="P654" s="75">
        <v>0.0</v>
      </c>
      <c r="Q654" s="76" t="s">
        <v>22</v>
      </c>
      <c r="R654" s="71">
        <v>0.0</v>
      </c>
      <c r="S654" s="71">
        <v>15.0</v>
      </c>
      <c r="T654" s="70"/>
      <c r="U654" s="71">
        <v>0.0</v>
      </c>
      <c r="V654" s="71"/>
      <c r="W654" s="67"/>
      <c r="X654" s="67"/>
      <c r="Y654" s="67"/>
      <c r="Z654" s="67"/>
      <c r="AA654" s="67"/>
      <c r="AB654" s="67"/>
      <c r="AC654" s="67"/>
    </row>
    <row r="655">
      <c r="A655" s="74">
        <v>46106.0</v>
      </c>
      <c r="B655" s="70" t="s">
        <v>2907</v>
      </c>
      <c r="C655" s="70" t="s">
        <v>1911</v>
      </c>
      <c r="D655" s="71">
        <v>0.0</v>
      </c>
      <c r="E655" s="71">
        <v>0.0</v>
      </c>
      <c r="F655" s="68"/>
      <c r="G655" s="71">
        <v>7.0</v>
      </c>
      <c r="H655" s="71">
        <v>6.5</v>
      </c>
      <c r="I655" s="72">
        <v>0.9285714285714286</v>
      </c>
      <c r="J655" s="70" t="s">
        <v>1626</v>
      </c>
      <c r="K655" s="67"/>
      <c r="L655" s="70" t="s">
        <v>2908</v>
      </c>
      <c r="M655" s="75">
        <v>1.0</v>
      </c>
      <c r="N655" s="75">
        <v>1.0</v>
      </c>
      <c r="O655" s="75">
        <v>0.0</v>
      </c>
      <c r="P655" s="75">
        <v>0.0</v>
      </c>
      <c r="Q655" s="70" t="s">
        <v>22</v>
      </c>
      <c r="R655" s="71">
        <v>0.5</v>
      </c>
      <c r="S655" s="71">
        <v>0.5</v>
      </c>
      <c r="T655" s="70"/>
      <c r="U655" s="71">
        <v>5.0</v>
      </c>
      <c r="V655" s="71">
        <v>5.0</v>
      </c>
      <c r="W655" s="67"/>
      <c r="X655" s="67"/>
      <c r="Y655" s="67"/>
      <c r="Z655" s="67"/>
      <c r="AA655" s="67"/>
      <c r="AB655" s="67"/>
      <c r="AC655" s="67"/>
    </row>
    <row r="656">
      <c r="A656" s="74">
        <v>46106.0</v>
      </c>
      <c r="B656" s="70" t="s">
        <v>2909</v>
      </c>
      <c r="C656" s="70" t="s">
        <v>2199</v>
      </c>
      <c r="D656" s="71">
        <v>7.1</v>
      </c>
      <c r="E656" s="71">
        <v>14.2</v>
      </c>
      <c r="F656" s="68"/>
      <c r="G656" s="71">
        <v>12.0</v>
      </c>
      <c r="H656" s="71">
        <v>4.01</v>
      </c>
      <c r="I656" s="72">
        <v>0.33416666666666667</v>
      </c>
      <c r="J656" s="70" t="s">
        <v>1626</v>
      </c>
      <c r="K656" s="67"/>
      <c r="L656" s="70" t="s">
        <v>2910</v>
      </c>
      <c r="M656" s="75">
        <v>1.0</v>
      </c>
      <c r="N656" s="75">
        <v>1.0</v>
      </c>
      <c r="O656" s="75">
        <v>0.0</v>
      </c>
      <c r="P656" s="75">
        <v>0.0</v>
      </c>
      <c r="Q656" s="70" t="s">
        <v>22</v>
      </c>
      <c r="R656" s="71">
        <v>0.89</v>
      </c>
      <c r="S656" s="71">
        <v>7.99</v>
      </c>
      <c r="T656" s="70"/>
      <c r="U656" s="71">
        <v>6.5</v>
      </c>
      <c r="V656" s="71">
        <v>20.7</v>
      </c>
      <c r="W656" s="67"/>
      <c r="X656" s="67"/>
      <c r="Y656" s="67"/>
      <c r="Z656" s="67"/>
      <c r="AA656" s="67"/>
      <c r="AB656" s="67"/>
      <c r="AC656" s="67"/>
    </row>
    <row r="657">
      <c r="A657" s="74">
        <v>46106.0</v>
      </c>
      <c r="B657" s="70" t="s">
        <v>2911</v>
      </c>
      <c r="C657" s="70" t="s">
        <v>1490</v>
      </c>
      <c r="D657" s="71">
        <v>10.2</v>
      </c>
      <c r="E657" s="71">
        <v>24.99</v>
      </c>
      <c r="F657" s="68"/>
      <c r="G657" s="71">
        <v>15.0</v>
      </c>
      <c r="H657" s="71">
        <v>3.45</v>
      </c>
      <c r="I657" s="72">
        <v>0.23</v>
      </c>
      <c r="J657" s="70" t="s">
        <v>1626</v>
      </c>
      <c r="K657" s="67"/>
      <c r="L657" s="70" t="s">
        <v>2912</v>
      </c>
      <c r="M657" s="75">
        <v>1.0</v>
      </c>
      <c r="N657" s="75">
        <v>1.0</v>
      </c>
      <c r="O657" s="75">
        <v>0.0</v>
      </c>
      <c r="P657" s="75">
        <v>0.0</v>
      </c>
      <c r="Q657" s="70" t="s">
        <v>22</v>
      </c>
      <c r="R657" s="71">
        <v>1.35</v>
      </c>
      <c r="S657" s="71">
        <v>11.55</v>
      </c>
      <c r="T657" s="70"/>
      <c r="U657" s="71">
        <v>0.0</v>
      </c>
      <c r="V657" s="71">
        <v>24.99</v>
      </c>
      <c r="W657" s="67"/>
      <c r="X657" s="67"/>
      <c r="Y657" s="67"/>
      <c r="Z657" s="67"/>
      <c r="AA657" s="67"/>
      <c r="AB657" s="67"/>
      <c r="AC657" s="67"/>
    </row>
    <row r="658">
      <c r="A658" s="74">
        <v>46106.0</v>
      </c>
      <c r="B658" s="70" t="s">
        <v>2913</v>
      </c>
      <c r="C658" s="70" t="s">
        <v>2914</v>
      </c>
      <c r="D658" s="71">
        <v>16.5</v>
      </c>
      <c r="E658" s="71">
        <v>39.99</v>
      </c>
      <c r="F658" s="68"/>
      <c r="G658" s="71">
        <v>13.0</v>
      </c>
      <c r="H658" s="71">
        <v>-3.5</v>
      </c>
      <c r="I658" s="72">
        <v>-0.2692307692307692</v>
      </c>
      <c r="J658" s="70" t="s">
        <v>1626</v>
      </c>
      <c r="K658" s="67"/>
      <c r="L658" s="70" t="s">
        <v>2915</v>
      </c>
      <c r="M658" s="75">
        <v>1.0</v>
      </c>
      <c r="N658" s="75">
        <v>1.0</v>
      </c>
      <c r="O658" s="75">
        <v>0.0</v>
      </c>
      <c r="P658" s="75">
        <v>0.0</v>
      </c>
      <c r="Q658" s="70" t="s">
        <v>22</v>
      </c>
      <c r="R658" s="71">
        <v>0.0</v>
      </c>
      <c r="S658" s="71">
        <v>16.5</v>
      </c>
      <c r="T658" s="70"/>
      <c r="U658" s="71">
        <v>0.25</v>
      </c>
      <c r="V658" s="71">
        <v>40.24</v>
      </c>
      <c r="W658" s="67"/>
      <c r="X658" s="67"/>
      <c r="Y658" s="67"/>
      <c r="Z658" s="67"/>
      <c r="AA658" s="67"/>
      <c r="AB658" s="67"/>
      <c r="AC658" s="67"/>
    </row>
    <row r="659">
      <c r="A659" s="74">
        <v>46107.0</v>
      </c>
      <c r="B659" s="70" t="s">
        <v>2916</v>
      </c>
      <c r="C659" s="70" t="s">
        <v>1530</v>
      </c>
      <c r="D659" s="71">
        <v>8.49</v>
      </c>
      <c r="E659" s="71">
        <v>0.0</v>
      </c>
      <c r="F659" s="68"/>
      <c r="G659" s="71"/>
      <c r="H659" s="71"/>
      <c r="I659" s="72"/>
      <c r="J659" s="70" t="s">
        <v>1450</v>
      </c>
      <c r="K659" s="67"/>
      <c r="L659" s="70" t="s">
        <v>2917</v>
      </c>
      <c r="M659" s="75">
        <v>1.0</v>
      </c>
      <c r="N659" s="75">
        <v>0.0</v>
      </c>
      <c r="O659" s="75">
        <v>0.0</v>
      </c>
      <c r="P659" s="75">
        <v>1.0</v>
      </c>
      <c r="Q659" s="76" t="s">
        <v>22</v>
      </c>
      <c r="R659" s="71">
        <v>0.21</v>
      </c>
      <c r="S659" s="71">
        <v>8.7</v>
      </c>
      <c r="T659" s="70"/>
      <c r="U659" s="71">
        <v>0.69</v>
      </c>
      <c r="V659" s="71">
        <v>0.69</v>
      </c>
      <c r="W659" s="67"/>
      <c r="X659" s="67"/>
      <c r="Y659" s="67"/>
      <c r="Z659" s="67"/>
      <c r="AA659" s="67"/>
      <c r="AB659" s="67"/>
      <c r="AC659" s="67"/>
    </row>
    <row r="660">
      <c r="A660" s="74">
        <v>46107.0</v>
      </c>
      <c r="B660" s="70" t="s">
        <v>2918</v>
      </c>
      <c r="C660" s="70" t="s">
        <v>1537</v>
      </c>
      <c r="D660" s="71">
        <v>0.0</v>
      </c>
      <c r="E660" s="71">
        <v>0.0</v>
      </c>
      <c r="F660" s="68"/>
      <c r="G660" s="68"/>
      <c r="H660" s="68"/>
      <c r="I660" s="69"/>
      <c r="J660" s="70" t="s">
        <v>1450</v>
      </c>
      <c r="K660" s="67"/>
      <c r="L660" s="70" t="s">
        <v>2919</v>
      </c>
      <c r="M660" s="75">
        <v>1.0</v>
      </c>
      <c r="N660" s="75">
        <v>0.0</v>
      </c>
      <c r="O660" s="75">
        <v>0.0</v>
      </c>
      <c r="P660" s="75">
        <v>1.0</v>
      </c>
      <c r="Q660" s="70" t="s">
        <v>22</v>
      </c>
      <c r="R660" s="71">
        <v>0.0</v>
      </c>
      <c r="S660" s="71">
        <v>0.0</v>
      </c>
      <c r="T660" s="70"/>
      <c r="U660" s="71">
        <v>0.0</v>
      </c>
      <c r="V660" s="71"/>
      <c r="W660" s="67"/>
      <c r="X660" s="67"/>
      <c r="Y660" s="67"/>
      <c r="Z660" s="67"/>
      <c r="AA660" s="67"/>
      <c r="AB660" s="67"/>
      <c r="AC660" s="67"/>
    </row>
    <row r="661">
      <c r="A661" s="74">
        <v>46108.0</v>
      </c>
      <c r="B661" s="70" t="s">
        <v>2920</v>
      </c>
      <c r="C661" s="70" t="s">
        <v>2921</v>
      </c>
      <c r="D661" s="71">
        <v>40.0</v>
      </c>
      <c r="E661" s="71">
        <v>0.0</v>
      </c>
      <c r="F661" s="68"/>
      <c r="G661" s="68"/>
      <c r="H661" s="68"/>
      <c r="I661" s="69"/>
      <c r="J661" s="70" t="s">
        <v>1450</v>
      </c>
      <c r="K661" s="67"/>
      <c r="L661" s="70" t="s">
        <v>2922</v>
      </c>
      <c r="M661" s="75">
        <v>1.0</v>
      </c>
      <c r="N661" s="75">
        <v>0.0</v>
      </c>
      <c r="O661" s="75">
        <v>0.0</v>
      </c>
      <c r="P661" s="75">
        <v>1.0</v>
      </c>
      <c r="Q661" s="70" t="s">
        <v>22</v>
      </c>
      <c r="R661" s="71">
        <v>4.53</v>
      </c>
      <c r="S661" s="71">
        <v>44.53</v>
      </c>
      <c r="T661" s="70" t="s">
        <v>2923</v>
      </c>
      <c r="U661" s="71">
        <v>10.0</v>
      </c>
      <c r="V661" s="71">
        <v>10.0</v>
      </c>
      <c r="W661" s="67"/>
      <c r="X661" s="67"/>
      <c r="Y661" s="67"/>
      <c r="Z661" s="67"/>
      <c r="AA661" s="67"/>
      <c r="AB661" s="67"/>
      <c r="AC661" s="67"/>
    </row>
    <row r="662">
      <c r="A662" s="74">
        <v>46108.0</v>
      </c>
      <c r="B662" s="70" t="s">
        <v>2924</v>
      </c>
      <c r="C662" s="70" t="s">
        <v>1458</v>
      </c>
      <c r="D662" s="71">
        <v>21.99</v>
      </c>
      <c r="E662" s="71">
        <v>39.99</v>
      </c>
      <c r="F662" s="71">
        <v>20.0</v>
      </c>
      <c r="G662" s="68"/>
      <c r="H662" s="71">
        <v>-6.76</v>
      </c>
      <c r="I662" s="72">
        <v>-0.33799999999999997</v>
      </c>
      <c r="J662" s="70" t="s">
        <v>1450</v>
      </c>
      <c r="K662" s="67"/>
      <c r="L662" s="70" t="s">
        <v>2925</v>
      </c>
      <c r="M662" s="75">
        <v>1.0</v>
      </c>
      <c r="N662" s="75">
        <v>0.0</v>
      </c>
      <c r="O662" s="75">
        <v>0.0</v>
      </c>
      <c r="P662" s="75">
        <v>1.0</v>
      </c>
      <c r="Q662" s="70" t="s">
        <v>22</v>
      </c>
      <c r="R662" s="71">
        <v>4.77</v>
      </c>
      <c r="S662" s="71">
        <v>26.76</v>
      </c>
      <c r="T662" s="70" t="s">
        <v>2926</v>
      </c>
      <c r="U662" s="71">
        <v>12.06</v>
      </c>
      <c r="V662" s="71">
        <v>52.05</v>
      </c>
      <c r="W662" s="67"/>
      <c r="X662" s="67"/>
      <c r="Y662" s="67"/>
      <c r="Z662" s="67"/>
      <c r="AA662" s="67"/>
      <c r="AB662" s="67"/>
      <c r="AC662" s="67"/>
    </row>
    <row r="663">
      <c r="A663" s="74">
        <v>46108.0</v>
      </c>
      <c r="B663" s="70" t="s">
        <v>2927</v>
      </c>
      <c r="C663" s="70" t="s">
        <v>2581</v>
      </c>
      <c r="D663" s="71">
        <v>1.1</v>
      </c>
      <c r="E663" s="71">
        <v>2.5</v>
      </c>
      <c r="F663" s="68"/>
      <c r="G663" s="68"/>
      <c r="H663" s="68"/>
      <c r="I663" s="69"/>
      <c r="J663" s="70" t="s">
        <v>1450</v>
      </c>
      <c r="K663" s="67"/>
      <c r="L663" s="70" t="s">
        <v>2928</v>
      </c>
      <c r="M663" s="75">
        <v>1.0</v>
      </c>
      <c r="N663" s="75">
        <v>0.0</v>
      </c>
      <c r="O663" s="75">
        <v>0.0</v>
      </c>
      <c r="P663" s="75">
        <v>1.0</v>
      </c>
      <c r="Q663" s="76" t="s">
        <v>22</v>
      </c>
      <c r="R663" s="71">
        <v>4.98</v>
      </c>
      <c r="S663" s="71">
        <v>6.08</v>
      </c>
      <c r="T663" s="70" t="s">
        <v>2929</v>
      </c>
      <c r="U663" s="71">
        <v>11.69</v>
      </c>
      <c r="V663" s="71">
        <v>14.19</v>
      </c>
      <c r="W663" s="67"/>
      <c r="X663" s="67"/>
      <c r="Y663" s="67"/>
      <c r="Z663" s="67"/>
      <c r="AA663" s="67"/>
      <c r="AB663" s="67"/>
      <c r="AC663" s="67"/>
    </row>
    <row r="664">
      <c r="A664" s="74">
        <v>46108.0</v>
      </c>
      <c r="B664" s="70" t="s">
        <v>2930</v>
      </c>
      <c r="C664" s="70" t="s">
        <v>2581</v>
      </c>
      <c r="D664" s="71">
        <v>1.1</v>
      </c>
      <c r="E664" s="71">
        <v>2.5</v>
      </c>
      <c r="F664" s="68"/>
      <c r="G664" s="68"/>
      <c r="H664" s="68"/>
      <c r="I664" s="69"/>
      <c r="J664" s="70" t="s">
        <v>1450</v>
      </c>
      <c r="K664" s="67"/>
      <c r="L664" s="70" t="s">
        <v>2931</v>
      </c>
      <c r="M664" s="75">
        <v>1.0</v>
      </c>
      <c r="N664" s="75">
        <v>0.0</v>
      </c>
      <c r="O664" s="75">
        <v>0.0</v>
      </c>
      <c r="P664" s="75">
        <v>1.0</v>
      </c>
      <c r="Q664" s="70" t="s">
        <v>22</v>
      </c>
      <c r="R664" s="71">
        <v>4.53</v>
      </c>
      <c r="S664" s="71">
        <v>5.63</v>
      </c>
      <c r="T664" s="70" t="s">
        <v>2932</v>
      </c>
      <c r="U664" s="71">
        <v>10.0</v>
      </c>
      <c r="V664" s="71">
        <v>12.5</v>
      </c>
      <c r="W664" s="67"/>
      <c r="X664" s="67"/>
      <c r="Y664" s="67"/>
      <c r="Z664" s="67"/>
      <c r="AA664" s="67"/>
      <c r="AB664" s="67"/>
      <c r="AC664" s="67"/>
    </row>
    <row r="665">
      <c r="A665" s="74">
        <v>46109.0</v>
      </c>
      <c r="B665" s="70" t="s">
        <v>2933</v>
      </c>
      <c r="C665" s="70" t="s">
        <v>2054</v>
      </c>
      <c r="D665" s="71">
        <v>4.19</v>
      </c>
      <c r="E665" s="71">
        <v>15.0</v>
      </c>
      <c r="F665" s="68"/>
      <c r="G665" s="68"/>
      <c r="H665" s="71"/>
      <c r="I665" s="72"/>
      <c r="J665" s="70" t="s">
        <v>1450</v>
      </c>
      <c r="K665" s="67"/>
      <c r="L665" s="70" t="s">
        <v>2934</v>
      </c>
      <c r="M665" s="75">
        <v>1.0</v>
      </c>
      <c r="N665" s="75">
        <v>0.0</v>
      </c>
      <c r="O665" s="75">
        <v>0.0</v>
      </c>
      <c r="P665" s="75">
        <v>1.0</v>
      </c>
      <c r="Q665" s="76" t="s">
        <v>22</v>
      </c>
      <c r="R665" s="71">
        <v>4.8</v>
      </c>
      <c r="S665" s="71">
        <v>8.99</v>
      </c>
      <c r="T665" s="70" t="s">
        <v>2935</v>
      </c>
      <c r="U665" s="71">
        <v>10.0</v>
      </c>
      <c r="V665" s="71">
        <v>25.0</v>
      </c>
      <c r="W665" s="67"/>
      <c r="X665" s="67"/>
      <c r="Y665" s="67"/>
      <c r="Z665" s="67"/>
      <c r="AA665" s="67"/>
      <c r="AB665" s="67"/>
      <c r="AC665" s="67"/>
    </row>
    <row r="666">
      <c r="A666" s="74">
        <v>46109.0</v>
      </c>
      <c r="B666" s="70" t="s">
        <v>2936</v>
      </c>
      <c r="C666" s="70" t="s">
        <v>1545</v>
      </c>
      <c r="D666" s="71">
        <v>3.33</v>
      </c>
      <c r="E666" s="71">
        <v>2.83</v>
      </c>
      <c r="F666" s="68"/>
      <c r="G666" s="68"/>
      <c r="H666" s="68"/>
      <c r="I666" s="69"/>
      <c r="J666" s="70" t="s">
        <v>1450</v>
      </c>
      <c r="K666" s="67"/>
      <c r="L666" s="70" t="s">
        <v>2937</v>
      </c>
      <c r="M666" s="75">
        <v>1.0</v>
      </c>
      <c r="N666" s="75">
        <v>0.0</v>
      </c>
      <c r="O666" s="75">
        <v>0.0</v>
      </c>
      <c r="P666" s="75">
        <v>1.0</v>
      </c>
      <c r="Q666" s="70" t="s">
        <v>22</v>
      </c>
      <c r="R666" s="71">
        <v>2.73</v>
      </c>
      <c r="S666" s="71">
        <v>6.06</v>
      </c>
      <c r="T666" s="70" t="s">
        <v>2938</v>
      </c>
      <c r="U666" s="71">
        <v>3.75</v>
      </c>
      <c r="V666" s="71">
        <v>6.58</v>
      </c>
      <c r="W666" s="67"/>
      <c r="X666" s="67"/>
      <c r="Y666" s="67"/>
      <c r="Z666" s="67"/>
      <c r="AA666" s="67"/>
      <c r="AB666" s="67"/>
      <c r="AC666" s="67"/>
    </row>
    <row r="667">
      <c r="A667" s="74">
        <v>46109.0</v>
      </c>
      <c r="B667" s="70" t="s">
        <v>2939</v>
      </c>
      <c r="C667" s="70" t="s">
        <v>1545</v>
      </c>
      <c r="D667" s="71">
        <v>3.33</v>
      </c>
      <c r="E667" s="71">
        <v>2.83</v>
      </c>
      <c r="F667" s="71"/>
      <c r="G667" s="68"/>
      <c r="H667" s="71"/>
      <c r="I667" s="72"/>
      <c r="J667" s="70" t="s">
        <v>1450</v>
      </c>
      <c r="K667" s="67"/>
      <c r="L667" s="67" t="s">
        <v>2940</v>
      </c>
      <c r="M667" s="75">
        <v>1.0</v>
      </c>
      <c r="N667" s="75">
        <v>0.0</v>
      </c>
      <c r="O667" s="75">
        <v>0.0</v>
      </c>
      <c r="P667" s="75">
        <v>1.0</v>
      </c>
      <c r="Q667" s="76" t="s">
        <v>22</v>
      </c>
      <c r="R667" s="71">
        <v>1.73</v>
      </c>
      <c r="S667" s="71">
        <v>5.06</v>
      </c>
      <c r="T667" s="70" t="s">
        <v>2941</v>
      </c>
      <c r="U667" s="71">
        <v>1.25</v>
      </c>
      <c r="V667" s="71">
        <v>4.08</v>
      </c>
      <c r="W667" s="67"/>
      <c r="X667" s="67"/>
      <c r="Y667" s="67"/>
      <c r="Z667" s="67"/>
      <c r="AA667" s="67"/>
      <c r="AB667" s="67"/>
      <c r="AC667" s="67"/>
    </row>
    <row r="668">
      <c r="A668" s="74">
        <v>46109.0</v>
      </c>
      <c r="B668" s="70" t="s">
        <v>2942</v>
      </c>
      <c r="C668" s="70" t="s">
        <v>2431</v>
      </c>
      <c r="D668" s="71">
        <v>7.5</v>
      </c>
      <c r="E668" s="71">
        <v>19.99</v>
      </c>
      <c r="F668" s="68"/>
      <c r="G668" s="68"/>
      <c r="H668" s="68"/>
      <c r="I668" s="69"/>
      <c r="J668" s="70" t="s">
        <v>1450</v>
      </c>
      <c r="K668" s="67"/>
      <c r="L668" s="70" t="s">
        <v>2943</v>
      </c>
      <c r="M668" s="75">
        <v>1.0</v>
      </c>
      <c r="N668" s="75">
        <v>0.0</v>
      </c>
      <c r="O668" s="75">
        <v>0.0</v>
      </c>
      <c r="P668" s="75">
        <v>1.0</v>
      </c>
      <c r="Q668" s="70" t="s">
        <v>22</v>
      </c>
      <c r="R668" s="71">
        <v>0.13</v>
      </c>
      <c r="S668" s="71">
        <v>7.63</v>
      </c>
      <c r="T668" s="70" t="s">
        <v>2944</v>
      </c>
      <c r="U668" s="71">
        <v>0.0</v>
      </c>
      <c r="V668" s="71">
        <v>19.99</v>
      </c>
      <c r="W668" s="67"/>
      <c r="X668" s="67"/>
      <c r="Y668" s="67"/>
      <c r="Z668" s="67"/>
      <c r="AA668" s="67"/>
      <c r="AB668" s="67"/>
      <c r="AC668" s="67"/>
    </row>
    <row r="669">
      <c r="A669" s="74">
        <v>46110.0</v>
      </c>
      <c r="B669" s="70" t="s">
        <v>2945</v>
      </c>
      <c r="C669" s="70" t="s">
        <v>1904</v>
      </c>
      <c r="D669" s="71">
        <v>19.49</v>
      </c>
      <c r="E669" s="71">
        <v>0.0</v>
      </c>
      <c r="F669" s="71">
        <v>16.0</v>
      </c>
      <c r="G669" s="68"/>
      <c r="H669" s="71">
        <v>-4.71</v>
      </c>
      <c r="I669" s="72">
        <v>-0.294375</v>
      </c>
      <c r="J669" s="70" t="s">
        <v>1462</v>
      </c>
      <c r="K669" s="67"/>
      <c r="L669" s="70" t="s">
        <v>2946</v>
      </c>
      <c r="M669" s="75">
        <v>1.0</v>
      </c>
      <c r="N669" s="75">
        <v>0.0</v>
      </c>
      <c r="O669" s="75">
        <v>0.0</v>
      </c>
      <c r="P669" s="75">
        <v>1.0</v>
      </c>
      <c r="Q669" s="70" t="s">
        <v>22</v>
      </c>
      <c r="R669" s="71">
        <v>1.22</v>
      </c>
      <c r="S669" s="71">
        <v>20.71</v>
      </c>
      <c r="T669" s="70" t="s">
        <v>2947</v>
      </c>
      <c r="U669" s="71">
        <v>6.88</v>
      </c>
      <c r="V669" s="71">
        <v>6.88</v>
      </c>
      <c r="W669" s="67"/>
      <c r="X669" s="67"/>
      <c r="Y669" s="67"/>
      <c r="Z669" s="67"/>
      <c r="AA669" s="67"/>
      <c r="AB669" s="67"/>
      <c r="AC669" s="67"/>
    </row>
    <row r="670">
      <c r="A670" s="74">
        <v>46110.0</v>
      </c>
      <c r="B670" s="70" t="s">
        <v>2948</v>
      </c>
      <c r="C670" s="70" t="s">
        <v>2707</v>
      </c>
      <c r="D670" s="71">
        <v>5.59</v>
      </c>
      <c r="E670" s="71">
        <v>15.0</v>
      </c>
      <c r="F670" s="68"/>
      <c r="G670" s="68"/>
      <c r="H670" s="68"/>
      <c r="I670" s="69"/>
      <c r="J670" s="70" t="s">
        <v>1450</v>
      </c>
      <c r="K670" s="67"/>
      <c r="L670" s="70" t="s">
        <v>2949</v>
      </c>
      <c r="M670" s="75">
        <v>1.0</v>
      </c>
      <c r="N670" s="75">
        <v>0.0</v>
      </c>
      <c r="O670" s="75">
        <v>0.0</v>
      </c>
      <c r="P670" s="75">
        <v>1.0</v>
      </c>
      <c r="Q670" s="70" t="s">
        <v>22</v>
      </c>
      <c r="R670" s="71">
        <v>2.73</v>
      </c>
      <c r="S670" s="71">
        <v>8.32</v>
      </c>
      <c r="T670" s="70" t="s">
        <v>2950</v>
      </c>
      <c r="U670" s="71">
        <v>3.75</v>
      </c>
      <c r="V670" s="71">
        <v>18.75</v>
      </c>
      <c r="W670" s="67"/>
      <c r="X670" s="67"/>
      <c r="Y670" s="67"/>
      <c r="Z670" s="67"/>
      <c r="AA670" s="67"/>
      <c r="AB670" s="67"/>
      <c r="AC670" s="67"/>
    </row>
    <row r="671">
      <c r="A671" s="74">
        <v>46110.0</v>
      </c>
      <c r="B671" s="70" t="s">
        <v>2951</v>
      </c>
      <c r="C671" s="70" t="s">
        <v>1545</v>
      </c>
      <c r="D671" s="71">
        <v>40.0</v>
      </c>
      <c r="E671" s="71">
        <v>80.0</v>
      </c>
      <c r="F671" s="68"/>
      <c r="G671" s="68"/>
      <c r="H671" s="68"/>
      <c r="I671" s="69"/>
      <c r="J671" s="70" t="s">
        <v>1450</v>
      </c>
      <c r="K671" s="67"/>
      <c r="L671" s="70" t="s">
        <v>2952</v>
      </c>
      <c r="M671" s="75">
        <v>1.0</v>
      </c>
      <c r="N671" s="75">
        <v>0.0</v>
      </c>
      <c r="O671" s="75">
        <v>0.0</v>
      </c>
      <c r="P671" s="75">
        <v>1.0</v>
      </c>
      <c r="Q671" s="70" t="s">
        <v>22</v>
      </c>
      <c r="R671" s="71">
        <v>14.05</v>
      </c>
      <c r="S671" s="71">
        <v>54.05</v>
      </c>
      <c r="T671" s="70" t="s">
        <v>2953</v>
      </c>
      <c r="U671" s="71">
        <v>45.0</v>
      </c>
      <c r="V671" s="71">
        <v>125.0</v>
      </c>
      <c r="W671" s="67"/>
      <c r="X671" s="67"/>
      <c r="Y671" s="67"/>
      <c r="Z671" s="67"/>
      <c r="AA671" s="67"/>
      <c r="AB671" s="67"/>
      <c r="AC671" s="67"/>
    </row>
    <row r="672">
      <c r="A672" s="74">
        <v>46110.0</v>
      </c>
      <c r="B672" s="70" t="s">
        <v>2954</v>
      </c>
      <c r="C672" s="70" t="s">
        <v>2955</v>
      </c>
      <c r="D672" s="71">
        <v>0.05</v>
      </c>
      <c r="E672" s="71">
        <v>0.31</v>
      </c>
      <c r="F672" s="68"/>
      <c r="G672" s="68"/>
      <c r="H672" s="68"/>
      <c r="I672" s="69"/>
      <c r="J672" s="70" t="s">
        <v>1450</v>
      </c>
      <c r="K672" s="67"/>
      <c r="L672" s="70" t="s">
        <v>2956</v>
      </c>
      <c r="M672" s="75">
        <v>1.0</v>
      </c>
      <c r="N672" s="75">
        <v>0.0</v>
      </c>
      <c r="O672" s="75">
        <v>0.0</v>
      </c>
      <c r="P672" s="75">
        <v>1.0</v>
      </c>
      <c r="Q672" s="70" t="s">
        <v>22</v>
      </c>
      <c r="R672" s="71">
        <v>0.22</v>
      </c>
      <c r="S672" s="71">
        <v>0.27</v>
      </c>
      <c r="T672" s="70"/>
      <c r="U672" s="71">
        <v>2.13</v>
      </c>
      <c r="V672" s="71">
        <v>2.44</v>
      </c>
      <c r="W672" s="67"/>
      <c r="X672" s="67"/>
      <c r="Y672" s="67"/>
      <c r="Z672" s="67"/>
      <c r="AA672" s="67"/>
      <c r="AB672" s="67"/>
      <c r="AC672" s="67"/>
    </row>
    <row r="673">
      <c r="A673" s="74">
        <v>46110.0</v>
      </c>
      <c r="B673" s="70" t="s">
        <v>2957</v>
      </c>
      <c r="C673" s="70" t="s">
        <v>1588</v>
      </c>
      <c r="D673" s="71">
        <v>2.43</v>
      </c>
      <c r="E673" s="71">
        <v>0.0</v>
      </c>
      <c r="F673" s="68"/>
      <c r="G673" s="68"/>
      <c r="H673" s="68"/>
      <c r="I673" s="69"/>
      <c r="J673" s="70" t="s">
        <v>2512</v>
      </c>
      <c r="K673" s="67"/>
      <c r="L673" s="70" t="s">
        <v>2958</v>
      </c>
      <c r="M673" s="75">
        <v>1.0</v>
      </c>
      <c r="N673" s="75">
        <v>0.0</v>
      </c>
      <c r="O673" s="75">
        <v>0.0</v>
      </c>
      <c r="P673" s="75">
        <v>1.0</v>
      </c>
      <c r="Q673" s="70" t="s">
        <v>22</v>
      </c>
      <c r="R673" s="71">
        <v>2.19</v>
      </c>
      <c r="S673" s="71">
        <v>4.62</v>
      </c>
      <c r="T673" s="70" t="s">
        <v>2959</v>
      </c>
      <c r="U673" s="71">
        <v>7.56</v>
      </c>
      <c r="V673" s="71">
        <v>7.56</v>
      </c>
      <c r="W673" s="67"/>
      <c r="X673" s="67"/>
      <c r="Y673" s="67"/>
      <c r="Z673" s="67"/>
      <c r="AA673" s="67"/>
      <c r="AB673" s="67"/>
      <c r="AC673" s="67"/>
    </row>
    <row r="674">
      <c r="A674" s="74">
        <v>46110.0</v>
      </c>
      <c r="B674" s="70" t="s">
        <v>2960</v>
      </c>
      <c r="C674" s="70" t="s">
        <v>2955</v>
      </c>
      <c r="D674" s="71">
        <v>0.05</v>
      </c>
      <c r="E674" s="71">
        <v>0.31</v>
      </c>
      <c r="F674" s="68"/>
      <c r="G674" s="68"/>
      <c r="H674" s="68"/>
      <c r="I674" s="69"/>
      <c r="J674" s="70" t="s">
        <v>1450</v>
      </c>
      <c r="K674" s="67"/>
      <c r="L674" s="70" t="s">
        <v>2961</v>
      </c>
      <c r="M674" s="75">
        <v>1.0</v>
      </c>
      <c r="N674" s="75">
        <v>0.0</v>
      </c>
      <c r="O674" s="75">
        <v>0.0</v>
      </c>
      <c r="P674" s="75">
        <v>1.0</v>
      </c>
      <c r="Q674" s="70" t="s">
        <v>22</v>
      </c>
      <c r="R674" s="71">
        <v>0.22</v>
      </c>
      <c r="S674" s="71">
        <v>0.27</v>
      </c>
      <c r="T674" s="70"/>
      <c r="U674" s="71">
        <v>2.13</v>
      </c>
      <c r="V674" s="71">
        <v>2.44</v>
      </c>
      <c r="W674" s="67"/>
      <c r="X674" s="67"/>
      <c r="Y674" s="67"/>
      <c r="Z674" s="67"/>
      <c r="AA674" s="67"/>
      <c r="AB674" s="67"/>
      <c r="AC674" s="67"/>
    </row>
    <row r="675">
      <c r="A675" s="74">
        <v>46110.0</v>
      </c>
      <c r="B675" s="70" t="s">
        <v>2962</v>
      </c>
      <c r="C675" s="70" t="s">
        <v>2955</v>
      </c>
      <c r="D675" s="71">
        <v>0.05</v>
      </c>
      <c r="E675" s="71">
        <v>0.31</v>
      </c>
      <c r="F675" s="68"/>
      <c r="G675" s="68"/>
      <c r="H675" s="68"/>
      <c r="I675" s="69"/>
      <c r="J675" s="70" t="s">
        <v>1450</v>
      </c>
      <c r="K675" s="67"/>
      <c r="L675" s="70" t="s">
        <v>2963</v>
      </c>
      <c r="M675" s="75">
        <v>1.0</v>
      </c>
      <c r="N675" s="75">
        <v>0.0</v>
      </c>
      <c r="O675" s="75">
        <v>0.0</v>
      </c>
      <c r="P675" s="75">
        <v>1.0</v>
      </c>
      <c r="Q675" s="70" t="s">
        <v>22</v>
      </c>
      <c r="R675" s="71">
        <v>0.22</v>
      </c>
      <c r="S675" s="71">
        <v>0.27</v>
      </c>
      <c r="T675" s="70"/>
      <c r="U675" s="71">
        <v>2.13</v>
      </c>
      <c r="V675" s="71">
        <v>2.44</v>
      </c>
      <c r="W675" s="67"/>
      <c r="X675" s="67"/>
      <c r="Y675" s="67"/>
      <c r="Z675" s="67"/>
      <c r="AA675" s="67"/>
      <c r="AB675" s="67"/>
      <c r="AC675" s="67"/>
    </row>
    <row r="676">
      <c r="A676" s="74">
        <v>46110.0</v>
      </c>
      <c r="B676" s="70" t="s">
        <v>2964</v>
      </c>
      <c r="C676" s="70" t="s">
        <v>2955</v>
      </c>
      <c r="D676" s="71">
        <v>0.05</v>
      </c>
      <c r="E676" s="71">
        <v>0.31</v>
      </c>
      <c r="F676" s="68"/>
      <c r="G676" s="68"/>
      <c r="H676" s="68"/>
      <c r="I676" s="69"/>
      <c r="J676" s="70" t="s">
        <v>1450</v>
      </c>
      <c r="K676" s="67"/>
      <c r="L676" s="70" t="s">
        <v>2965</v>
      </c>
      <c r="M676" s="75">
        <v>1.0</v>
      </c>
      <c r="N676" s="75">
        <v>0.0</v>
      </c>
      <c r="O676" s="75">
        <v>0.0</v>
      </c>
      <c r="P676" s="75">
        <v>1.0</v>
      </c>
      <c r="Q676" s="70" t="s">
        <v>22</v>
      </c>
      <c r="R676" s="71">
        <v>0.22</v>
      </c>
      <c r="S676" s="71">
        <v>0.27</v>
      </c>
      <c r="T676" s="70"/>
      <c r="U676" s="71">
        <v>2.13</v>
      </c>
      <c r="V676" s="71">
        <v>2.44</v>
      </c>
      <c r="W676" s="67"/>
      <c r="X676" s="67"/>
      <c r="Y676" s="67"/>
      <c r="Z676" s="67"/>
      <c r="AA676" s="67"/>
      <c r="AB676" s="67"/>
      <c r="AC676" s="67"/>
    </row>
    <row r="677">
      <c r="A677" s="74">
        <v>46110.0</v>
      </c>
      <c r="B677" s="70" t="s">
        <v>2966</v>
      </c>
      <c r="C677" s="70" t="s">
        <v>2955</v>
      </c>
      <c r="D677" s="71">
        <v>0.05</v>
      </c>
      <c r="E677" s="71">
        <v>0.31</v>
      </c>
      <c r="F677" s="68"/>
      <c r="G677" s="68"/>
      <c r="H677" s="68"/>
      <c r="I677" s="69"/>
      <c r="J677" s="70" t="s">
        <v>1450</v>
      </c>
      <c r="K677" s="67"/>
      <c r="L677" s="70" t="s">
        <v>2967</v>
      </c>
      <c r="M677" s="75">
        <v>1.0</v>
      </c>
      <c r="N677" s="75">
        <v>0.0</v>
      </c>
      <c r="O677" s="75">
        <v>0.0</v>
      </c>
      <c r="P677" s="75">
        <v>1.0</v>
      </c>
      <c r="Q677" s="70" t="s">
        <v>22</v>
      </c>
      <c r="R677" s="71">
        <v>0.22</v>
      </c>
      <c r="S677" s="71">
        <v>0.27</v>
      </c>
      <c r="T677" s="70"/>
      <c r="U677" s="71">
        <v>2.13</v>
      </c>
      <c r="V677" s="71">
        <v>2.44</v>
      </c>
      <c r="W677" s="67"/>
      <c r="X677" s="67"/>
      <c r="Y677" s="67"/>
      <c r="Z677" s="67"/>
      <c r="AA677" s="67"/>
      <c r="AB677" s="67"/>
      <c r="AC677" s="67"/>
    </row>
    <row r="678">
      <c r="A678" s="74">
        <v>46110.0</v>
      </c>
      <c r="B678" s="70" t="s">
        <v>2968</v>
      </c>
      <c r="C678" s="70" t="s">
        <v>2955</v>
      </c>
      <c r="D678" s="71">
        <v>0.05</v>
      </c>
      <c r="E678" s="71">
        <v>0.31</v>
      </c>
      <c r="F678" s="68"/>
      <c r="G678" s="68"/>
      <c r="H678" s="68"/>
      <c r="I678" s="69"/>
      <c r="J678" s="70" t="s">
        <v>1450</v>
      </c>
      <c r="K678" s="67"/>
      <c r="L678" s="70" t="s">
        <v>2969</v>
      </c>
      <c r="M678" s="75">
        <v>1.0</v>
      </c>
      <c r="N678" s="75">
        <v>0.0</v>
      </c>
      <c r="O678" s="75">
        <v>0.0</v>
      </c>
      <c r="P678" s="75">
        <v>1.0</v>
      </c>
      <c r="Q678" s="70" t="s">
        <v>22</v>
      </c>
      <c r="R678" s="71">
        <v>0.22</v>
      </c>
      <c r="S678" s="71">
        <v>0.27</v>
      </c>
      <c r="T678" s="70"/>
      <c r="U678" s="71">
        <v>2.13</v>
      </c>
      <c r="V678" s="71">
        <v>2.44</v>
      </c>
      <c r="W678" s="67"/>
      <c r="X678" s="67"/>
      <c r="Y678" s="67"/>
      <c r="Z678" s="67"/>
      <c r="AA678" s="67"/>
      <c r="AB678" s="67"/>
      <c r="AC678" s="67"/>
    </row>
    <row r="679">
      <c r="A679" s="74">
        <v>46110.0</v>
      </c>
      <c r="B679" s="70" t="s">
        <v>2970</v>
      </c>
      <c r="C679" s="70" t="s">
        <v>2955</v>
      </c>
      <c r="D679" s="71">
        <v>0.05</v>
      </c>
      <c r="E679" s="71">
        <v>0.31</v>
      </c>
      <c r="F679" s="68"/>
      <c r="G679" s="68"/>
      <c r="H679" s="71"/>
      <c r="I679" s="72"/>
      <c r="J679" s="70" t="s">
        <v>1450</v>
      </c>
      <c r="K679" s="67"/>
      <c r="L679" s="70" t="s">
        <v>2971</v>
      </c>
      <c r="M679" s="75">
        <v>1.0</v>
      </c>
      <c r="N679" s="75">
        <v>0.0</v>
      </c>
      <c r="O679" s="75">
        <v>0.0</v>
      </c>
      <c r="P679" s="75">
        <v>1.0</v>
      </c>
      <c r="Q679" s="76" t="s">
        <v>22</v>
      </c>
      <c r="R679" s="71">
        <v>0.22</v>
      </c>
      <c r="S679" s="71">
        <v>0.27</v>
      </c>
      <c r="T679" s="70"/>
      <c r="U679" s="71">
        <v>2.13</v>
      </c>
      <c r="V679" s="71">
        <v>2.44</v>
      </c>
      <c r="W679" s="67"/>
      <c r="X679" s="67"/>
      <c r="Y679" s="67"/>
      <c r="Z679" s="67"/>
      <c r="AA679" s="67"/>
      <c r="AB679" s="67"/>
      <c r="AC679" s="67"/>
    </row>
    <row r="680">
      <c r="A680" s="74">
        <v>46110.0</v>
      </c>
      <c r="B680" s="70" t="s">
        <v>2972</v>
      </c>
      <c r="C680" s="70" t="s">
        <v>2955</v>
      </c>
      <c r="D680" s="71">
        <v>0.05</v>
      </c>
      <c r="E680" s="71">
        <v>0.31</v>
      </c>
      <c r="F680" s="68"/>
      <c r="G680" s="68"/>
      <c r="H680" s="68"/>
      <c r="I680" s="69"/>
      <c r="J680" s="70" t="s">
        <v>1450</v>
      </c>
      <c r="K680" s="67"/>
      <c r="L680" s="70" t="s">
        <v>2973</v>
      </c>
      <c r="M680" s="75">
        <v>1.0</v>
      </c>
      <c r="N680" s="75">
        <v>0.0</v>
      </c>
      <c r="O680" s="75">
        <v>0.0</v>
      </c>
      <c r="P680" s="75">
        <v>1.0</v>
      </c>
      <c r="Q680" s="70" t="s">
        <v>22</v>
      </c>
      <c r="R680" s="71">
        <v>0.22</v>
      </c>
      <c r="S680" s="71">
        <v>0.27</v>
      </c>
      <c r="T680" s="70"/>
      <c r="U680" s="71">
        <v>2.13</v>
      </c>
      <c r="V680" s="71">
        <v>2.44</v>
      </c>
      <c r="W680" s="67"/>
      <c r="X680" s="67"/>
      <c r="Y680" s="67"/>
      <c r="Z680" s="67"/>
      <c r="AA680" s="67"/>
      <c r="AB680" s="67"/>
      <c r="AC680" s="67"/>
    </row>
    <row r="681">
      <c r="A681" s="74">
        <v>46110.0</v>
      </c>
      <c r="B681" s="70" t="s">
        <v>2974</v>
      </c>
      <c r="C681" s="70" t="s">
        <v>2955</v>
      </c>
      <c r="D681" s="71">
        <v>0.05</v>
      </c>
      <c r="E681" s="71">
        <v>0.31</v>
      </c>
      <c r="F681" s="68"/>
      <c r="G681" s="68"/>
      <c r="H681" s="71"/>
      <c r="I681" s="72"/>
      <c r="J681" s="70" t="s">
        <v>1450</v>
      </c>
      <c r="K681" s="67"/>
      <c r="L681" s="70" t="s">
        <v>2975</v>
      </c>
      <c r="M681" s="75">
        <v>1.0</v>
      </c>
      <c r="N681" s="75">
        <v>0.0</v>
      </c>
      <c r="O681" s="75">
        <v>0.0</v>
      </c>
      <c r="P681" s="75">
        <v>1.0</v>
      </c>
      <c r="Q681" s="76" t="s">
        <v>22</v>
      </c>
      <c r="R681" s="71">
        <v>0.22</v>
      </c>
      <c r="S681" s="71">
        <v>0.27</v>
      </c>
      <c r="T681" s="70"/>
      <c r="U681" s="71">
        <v>2.13</v>
      </c>
      <c r="V681" s="71">
        <v>2.44</v>
      </c>
      <c r="W681" s="67"/>
      <c r="X681" s="67"/>
      <c r="Y681" s="67"/>
      <c r="Z681" s="67"/>
      <c r="AA681" s="67"/>
      <c r="AB681" s="67"/>
      <c r="AC681" s="67"/>
    </row>
    <row r="682">
      <c r="A682" s="74">
        <v>46110.0</v>
      </c>
      <c r="B682" s="70" t="s">
        <v>2976</v>
      </c>
      <c r="C682" s="70" t="s">
        <v>2955</v>
      </c>
      <c r="D682" s="71">
        <v>0.05</v>
      </c>
      <c r="E682" s="71">
        <v>0.31</v>
      </c>
      <c r="F682" s="68"/>
      <c r="G682" s="68"/>
      <c r="H682" s="71"/>
      <c r="I682" s="72"/>
      <c r="J682" s="70" t="s">
        <v>1450</v>
      </c>
      <c r="K682" s="67"/>
      <c r="L682" s="70" t="s">
        <v>2977</v>
      </c>
      <c r="M682" s="75">
        <v>1.0</v>
      </c>
      <c r="N682" s="75">
        <v>0.0</v>
      </c>
      <c r="O682" s="75">
        <v>0.0</v>
      </c>
      <c r="P682" s="75">
        <v>1.0</v>
      </c>
      <c r="Q682" s="76" t="s">
        <v>22</v>
      </c>
      <c r="R682" s="71">
        <v>0.22</v>
      </c>
      <c r="S682" s="71">
        <v>0.27</v>
      </c>
      <c r="T682" s="70"/>
      <c r="U682" s="71">
        <v>2.13</v>
      </c>
      <c r="V682" s="71">
        <v>2.44</v>
      </c>
      <c r="W682" s="67"/>
      <c r="X682" s="67"/>
      <c r="Y682" s="67"/>
      <c r="Z682" s="67"/>
      <c r="AA682" s="67"/>
      <c r="AB682" s="67"/>
      <c r="AC682" s="67"/>
    </row>
    <row r="683">
      <c r="A683" s="74">
        <v>46110.0</v>
      </c>
      <c r="B683" s="70" t="s">
        <v>2978</v>
      </c>
      <c r="C683" s="70" t="s">
        <v>2955</v>
      </c>
      <c r="D683" s="71">
        <v>0.05</v>
      </c>
      <c r="E683" s="71">
        <v>0.31</v>
      </c>
      <c r="F683" s="68"/>
      <c r="G683" s="68"/>
      <c r="H683" s="68"/>
      <c r="I683" s="69"/>
      <c r="J683" s="70" t="s">
        <v>1450</v>
      </c>
      <c r="K683" s="67"/>
      <c r="L683" s="70" t="s">
        <v>2979</v>
      </c>
      <c r="M683" s="75">
        <v>1.0</v>
      </c>
      <c r="N683" s="75">
        <v>0.0</v>
      </c>
      <c r="O683" s="75">
        <v>0.0</v>
      </c>
      <c r="P683" s="75">
        <v>1.0</v>
      </c>
      <c r="Q683" s="70" t="s">
        <v>22</v>
      </c>
      <c r="R683" s="71">
        <v>0.22</v>
      </c>
      <c r="S683" s="71">
        <v>0.27</v>
      </c>
      <c r="T683" s="70"/>
      <c r="U683" s="71">
        <v>2.13</v>
      </c>
      <c r="V683" s="71">
        <v>2.44</v>
      </c>
      <c r="W683" s="67"/>
      <c r="X683" s="67"/>
      <c r="Y683" s="67"/>
      <c r="Z683" s="67"/>
      <c r="AA683" s="67"/>
      <c r="AB683" s="67"/>
      <c r="AC683" s="67"/>
    </row>
    <row r="684">
      <c r="A684" s="74">
        <v>46110.0</v>
      </c>
      <c r="B684" s="70" t="s">
        <v>2980</v>
      </c>
      <c r="C684" s="70" t="s">
        <v>2955</v>
      </c>
      <c r="D684" s="71">
        <v>0.05</v>
      </c>
      <c r="E684" s="71">
        <v>0.31</v>
      </c>
      <c r="F684" s="68"/>
      <c r="G684" s="68"/>
      <c r="H684" s="71"/>
      <c r="I684" s="72"/>
      <c r="J684" s="70" t="s">
        <v>1450</v>
      </c>
      <c r="K684" s="67"/>
      <c r="L684" s="70" t="s">
        <v>2981</v>
      </c>
      <c r="M684" s="75">
        <v>1.0</v>
      </c>
      <c r="N684" s="75">
        <v>0.0</v>
      </c>
      <c r="O684" s="75">
        <v>0.0</v>
      </c>
      <c r="P684" s="75">
        <v>1.0</v>
      </c>
      <c r="Q684" s="70" t="s">
        <v>22</v>
      </c>
      <c r="R684" s="71">
        <v>0.22</v>
      </c>
      <c r="S684" s="71">
        <v>0.27</v>
      </c>
      <c r="T684" s="70"/>
      <c r="U684" s="71">
        <v>2.13</v>
      </c>
      <c r="V684" s="71">
        <v>2.44</v>
      </c>
      <c r="W684" s="67"/>
      <c r="X684" s="67"/>
      <c r="Y684" s="67"/>
      <c r="Z684" s="67"/>
      <c r="AA684" s="67"/>
      <c r="AB684" s="67"/>
      <c r="AC684" s="67"/>
    </row>
    <row r="685">
      <c r="A685" s="74">
        <v>46110.0</v>
      </c>
      <c r="B685" s="70" t="s">
        <v>2982</v>
      </c>
      <c r="C685" s="70" t="s">
        <v>2955</v>
      </c>
      <c r="D685" s="71">
        <v>0.05</v>
      </c>
      <c r="E685" s="71">
        <v>0.31</v>
      </c>
      <c r="F685" s="68"/>
      <c r="G685" s="68"/>
      <c r="H685" s="68"/>
      <c r="I685" s="69"/>
      <c r="J685" s="70" t="s">
        <v>1450</v>
      </c>
      <c r="K685" s="67"/>
      <c r="L685" s="70" t="s">
        <v>2983</v>
      </c>
      <c r="M685" s="75">
        <v>1.0</v>
      </c>
      <c r="N685" s="75">
        <v>0.0</v>
      </c>
      <c r="O685" s="75">
        <v>0.0</v>
      </c>
      <c r="P685" s="75">
        <v>1.0</v>
      </c>
      <c r="Q685" s="76" t="s">
        <v>22</v>
      </c>
      <c r="R685" s="71">
        <v>0.22</v>
      </c>
      <c r="S685" s="71">
        <v>0.27</v>
      </c>
      <c r="T685" s="70"/>
      <c r="U685" s="71">
        <v>2.13</v>
      </c>
      <c r="V685" s="71">
        <v>2.44</v>
      </c>
      <c r="W685" s="67"/>
      <c r="X685" s="67"/>
      <c r="Y685" s="67"/>
      <c r="Z685" s="67"/>
      <c r="AA685" s="67"/>
      <c r="AB685" s="67"/>
      <c r="AC685" s="67"/>
    </row>
    <row r="686">
      <c r="A686" s="74">
        <v>46111.0</v>
      </c>
      <c r="B686" s="70" t="s">
        <v>2984</v>
      </c>
      <c r="C686" s="70" t="s">
        <v>2581</v>
      </c>
      <c r="D686" s="71">
        <v>1.32</v>
      </c>
      <c r="E686" s="71">
        <v>3.0</v>
      </c>
      <c r="F686" s="68"/>
      <c r="G686" s="68"/>
      <c r="H686" s="68"/>
      <c r="I686" s="69"/>
      <c r="J686" s="70" t="s">
        <v>1450</v>
      </c>
      <c r="K686" s="67"/>
      <c r="L686" s="70" t="s">
        <v>2985</v>
      </c>
      <c r="M686" s="75">
        <v>1.0</v>
      </c>
      <c r="N686" s="75">
        <v>0.0</v>
      </c>
      <c r="O686" s="75">
        <v>0.0</v>
      </c>
      <c r="P686" s="75">
        <v>1.0</v>
      </c>
      <c r="Q686" s="70" t="s">
        <v>22</v>
      </c>
      <c r="R686" s="71">
        <v>3.55</v>
      </c>
      <c r="S686" s="71">
        <v>4.87</v>
      </c>
      <c r="T686" s="70" t="s">
        <v>2986</v>
      </c>
      <c r="U686" s="71">
        <v>7.69</v>
      </c>
      <c r="V686" s="71">
        <v>10.69</v>
      </c>
      <c r="W686" s="67"/>
      <c r="X686" s="67"/>
      <c r="Y686" s="67"/>
      <c r="Z686" s="67"/>
      <c r="AA686" s="67"/>
      <c r="AB686" s="67"/>
      <c r="AC686" s="67"/>
    </row>
    <row r="687">
      <c r="A687" s="74">
        <v>46111.0</v>
      </c>
      <c r="B687" s="70" t="s">
        <v>2987</v>
      </c>
      <c r="C687" s="70" t="s">
        <v>2581</v>
      </c>
      <c r="D687" s="71">
        <v>1.32</v>
      </c>
      <c r="E687" s="71">
        <v>3.0</v>
      </c>
      <c r="F687" s="68"/>
      <c r="G687" s="68"/>
      <c r="H687" s="71"/>
      <c r="I687" s="72"/>
      <c r="J687" s="70" t="s">
        <v>1450</v>
      </c>
      <c r="K687" s="67"/>
      <c r="L687" s="70" t="s">
        <v>2988</v>
      </c>
      <c r="M687" s="75">
        <v>1.0</v>
      </c>
      <c r="N687" s="75">
        <v>0.0</v>
      </c>
      <c r="O687" s="75">
        <v>0.0</v>
      </c>
      <c r="P687" s="75">
        <v>1.0</v>
      </c>
      <c r="Q687" s="70" t="s">
        <v>22</v>
      </c>
      <c r="R687" s="71">
        <v>3.55</v>
      </c>
      <c r="S687" s="71">
        <v>4.87</v>
      </c>
      <c r="T687" s="70" t="s">
        <v>2989</v>
      </c>
      <c r="U687" s="71">
        <v>7.69</v>
      </c>
      <c r="V687" s="71">
        <v>10.69</v>
      </c>
      <c r="W687" s="67"/>
      <c r="X687" s="67"/>
      <c r="Y687" s="67"/>
      <c r="Z687" s="67"/>
      <c r="AA687" s="67"/>
      <c r="AB687" s="67"/>
      <c r="AC687" s="67"/>
    </row>
    <row r="688">
      <c r="A688" s="74">
        <v>46111.0</v>
      </c>
      <c r="B688" s="70" t="s">
        <v>2990</v>
      </c>
      <c r="C688" s="70" t="s">
        <v>2581</v>
      </c>
      <c r="D688" s="71">
        <v>1.32</v>
      </c>
      <c r="E688" s="71">
        <v>3.0</v>
      </c>
      <c r="F688" s="68"/>
      <c r="G688" s="68"/>
      <c r="H688" s="71"/>
      <c r="I688" s="72"/>
      <c r="J688" s="70" t="s">
        <v>1450</v>
      </c>
      <c r="K688" s="67"/>
      <c r="L688" s="70" t="s">
        <v>2991</v>
      </c>
      <c r="M688" s="75">
        <v>1.0</v>
      </c>
      <c r="N688" s="75">
        <v>0.0</v>
      </c>
      <c r="O688" s="75">
        <v>0.0</v>
      </c>
      <c r="P688" s="75">
        <v>1.0</v>
      </c>
      <c r="Q688" s="76" t="s">
        <v>22</v>
      </c>
      <c r="R688" s="71">
        <v>3.55</v>
      </c>
      <c r="S688" s="71">
        <v>4.87</v>
      </c>
      <c r="T688" s="70" t="s">
        <v>2992</v>
      </c>
      <c r="U688" s="71">
        <v>7.69</v>
      </c>
      <c r="V688" s="71">
        <v>10.69</v>
      </c>
      <c r="W688" s="67"/>
      <c r="X688" s="67"/>
      <c r="Y688" s="67"/>
      <c r="Z688" s="67"/>
      <c r="AA688" s="67"/>
      <c r="AB688" s="67"/>
      <c r="AC688" s="67"/>
    </row>
    <row r="689">
      <c r="A689" s="74">
        <v>46111.0</v>
      </c>
      <c r="B689" s="70" t="s">
        <v>2993</v>
      </c>
      <c r="C689" s="70" t="s">
        <v>2581</v>
      </c>
      <c r="D689" s="71">
        <v>1.1</v>
      </c>
      <c r="E689" s="71">
        <v>2.5</v>
      </c>
      <c r="F689" s="68"/>
      <c r="G689" s="68"/>
      <c r="H689" s="71"/>
      <c r="I689" s="72"/>
      <c r="J689" s="70" t="s">
        <v>1450</v>
      </c>
      <c r="K689" s="67"/>
      <c r="L689" s="67" t="s">
        <v>2994</v>
      </c>
      <c r="M689" s="75">
        <v>1.0</v>
      </c>
      <c r="N689" s="75">
        <v>0.0</v>
      </c>
      <c r="O689" s="75">
        <v>0.0</v>
      </c>
      <c r="P689" s="75">
        <v>1.0</v>
      </c>
      <c r="Q689" s="76" t="s">
        <v>22</v>
      </c>
      <c r="R689" s="71">
        <v>3.55</v>
      </c>
      <c r="S689" s="71">
        <v>4.65</v>
      </c>
      <c r="T689" s="70" t="s">
        <v>2995</v>
      </c>
      <c r="U689" s="71">
        <v>7.69</v>
      </c>
      <c r="V689" s="71">
        <v>10.19</v>
      </c>
      <c r="W689" s="67"/>
      <c r="X689" s="67"/>
      <c r="Y689" s="67"/>
      <c r="Z689" s="67"/>
      <c r="AA689" s="67"/>
      <c r="AB689" s="67"/>
      <c r="AC689" s="67"/>
    </row>
    <row r="690">
      <c r="A690" s="74">
        <v>46111.0</v>
      </c>
      <c r="B690" s="70" t="s">
        <v>2996</v>
      </c>
      <c r="C690" s="70" t="s">
        <v>2581</v>
      </c>
      <c r="D690" s="71">
        <v>1.32</v>
      </c>
      <c r="E690" s="71">
        <v>3.0</v>
      </c>
      <c r="F690" s="68"/>
      <c r="G690" s="68"/>
      <c r="H690" s="68"/>
      <c r="I690" s="69"/>
      <c r="J690" s="70" t="s">
        <v>1450</v>
      </c>
      <c r="K690" s="67"/>
      <c r="L690" s="67" t="s">
        <v>2997</v>
      </c>
      <c r="M690" s="75">
        <v>1.0</v>
      </c>
      <c r="N690" s="75">
        <v>0.0</v>
      </c>
      <c r="O690" s="75">
        <v>0.0</v>
      </c>
      <c r="P690" s="75">
        <v>1.0</v>
      </c>
      <c r="Q690" s="76" t="s">
        <v>22</v>
      </c>
      <c r="R690" s="71">
        <v>3.55</v>
      </c>
      <c r="S690" s="71">
        <v>4.87</v>
      </c>
      <c r="T690" s="70" t="s">
        <v>2998</v>
      </c>
      <c r="U690" s="71">
        <v>7.69</v>
      </c>
      <c r="V690" s="71">
        <v>10.69</v>
      </c>
      <c r="W690" s="67"/>
      <c r="X690" s="67"/>
      <c r="Y690" s="67"/>
      <c r="Z690" s="67"/>
      <c r="AA690" s="67"/>
      <c r="AB690" s="67"/>
      <c r="AC690" s="67"/>
    </row>
    <row r="691">
      <c r="A691" s="74">
        <v>46123.0</v>
      </c>
      <c r="B691" s="70" t="s">
        <v>2999</v>
      </c>
      <c r="C691" s="70" t="s">
        <v>3000</v>
      </c>
      <c r="D691" s="71">
        <v>0.23</v>
      </c>
      <c r="E691" s="71">
        <v>5.0</v>
      </c>
      <c r="F691" s="68"/>
      <c r="G691" s="68"/>
      <c r="H691" s="68"/>
      <c r="I691" s="69"/>
      <c r="J691" s="70" t="s">
        <v>1450</v>
      </c>
      <c r="K691" s="67"/>
      <c r="L691" s="70" t="s">
        <v>3001</v>
      </c>
      <c r="M691" s="75">
        <v>1.0</v>
      </c>
      <c r="N691" s="75">
        <v>0.0</v>
      </c>
      <c r="O691" s="75">
        <v>0.0</v>
      </c>
      <c r="P691" s="75">
        <v>1.0</v>
      </c>
      <c r="Q691" s="70" t="s">
        <v>22</v>
      </c>
      <c r="R691" s="71">
        <v>0.0</v>
      </c>
      <c r="S691" s="71">
        <v>0.23</v>
      </c>
      <c r="T691" s="70" t="s">
        <v>855</v>
      </c>
      <c r="U691" s="71">
        <v>0.0</v>
      </c>
      <c r="V691" s="71">
        <v>5.0</v>
      </c>
      <c r="W691" s="67"/>
      <c r="X691" s="67"/>
      <c r="Y691" s="67"/>
      <c r="Z691" s="67"/>
      <c r="AA691" s="67"/>
      <c r="AB691" s="67"/>
      <c r="AC691" s="67"/>
    </row>
    <row r="692">
      <c r="A692" s="74">
        <v>46123.0</v>
      </c>
      <c r="B692" s="70" t="s">
        <v>3002</v>
      </c>
      <c r="C692" s="70" t="s">
        <v>3003</v>
      </c>
      <c r="D692" s="71">
        <v>0.23</v>
      </c>
      <c r="E692" s="71">
        <v>5.0</v>
      </c>
      <c r="F692" s="68"/>
      <c r="G692" s="68"/>
      <c r="H692" s="68"/>
      <c r="I692" s="69"/>
      <c r="J692" s="70" t="s">
        <v>1450</v>
      </c>
      <c r="K692" s="67"/>
      <c r="L692" s="70" t="s">
        <v>3004</v>
      </c>
      <c r="M692" s="75">
        <v>1.0</v>
      </c>
      <c r="N692" s="75">
        <v>0.0</v>
      </c>
      <c r="O692" s="75">
        <v>0.0</v>
      </c>
      <c r="P692" s="75">
        <v>1.0</v>
      </c>
      <c r="Q692" s="70" t="s">
        <v>22</v>
      </c>
      <c r="R692" s="71">
        <v>0.0</v>
      </c>
      <c r="S692" s="71">
        <v>0.23</v>
      </c>
      <c r="T692" s="70" t="s">
        <v>858</v>
      </c>
      <c r="U692" s="71">
        <v>0.0</v>
      </c>
      <c r="V692" s="71">
        <v>5.0</v>
      </c>
      <c r="W692" s="67"/>
      <c r="X692" s="67"/>
      <c r="Y692" s="67"/>
      <c r="Z692" s="67"/>
      <c r="AA692" s="67"/>
      <c r="AB692" s="67"/>
      <c r="AC692" s="67"/>
    </row>
    <row r="693">
      <c r="A693" s="74">
        <v>46123.0</v>
      </c>
      <c r="B693" s="70" t="s">
        <v>3005</v>
      </c>
      <c r="C693" s="70" t="s">
        <v>3000</v>
      </c>
      <c r="D693" s="71">
        <v>0.23</v>
      </c>
      <c r="E693" s="71">
        <v>5.0</v>
      </c>
      <c r="F693" s="68"/>
      <c r="G693" s="68"/>
      <c r="H693" s="71"/>
      <c r="I693" s="72"/>
      <c r="J693" s="70" t="s">
        <v>1450</v>
      </c>
      <c r="K693" s="67"/>
      <c r="L693" s="67" t="s">
        <v>3006</v>
      </c>
      <c r="M693" s="75">
        <v>1.0</v>
      </c>
      <c r="N693" s="75">
        <v>0.0</v>
      </c>
      <c r="O693" s="75">
        <v>0.0</v>
      </c>
      <c r="P693" s="75">
        <v>1.0</v>
      </c>
      <c r="Q693" s="76" t="s">
        <v>22</v>
      </c>
      <c r="R693" s="71">
        <v>0.0</v>
      </c>
      <c r="S693" s="71">
        <v>0.23</v>
      </c>
      <c r="T693" s="70"/>
      <c r="U693" s="71">
        <v>0.0</v>
      </c>
      <c r="V693" s="71">
        <v>5.0</v>
      </c>
      <c r="W693" s="67"/>
      <c r="X693" s="67"/>
      <c r="Y693" s="67"/>
      <c r="Z693" s="67"/>
      <c r="AA693" s="67"/>
      <c r="AB693" s="67"/>
      <c r="AC693" s="67"/>
    </row>
    <row r="694">
      <c r="A694" s="74">
        <v>46123.0</v>
      </c>
      <c r="B694" s="70" t="s">
        <v>3007</v>
      </c>
      <c r="C694" s="70" t="s">
        <v>3000</v>
      </c>
      <c r="D694" s="71">
        <v>0.23</v>
      </c>
      <c r="E694" s="71">
        <v>5.0</v>
      </c>
      <c r="F694" s="68"/>
      <c r="G694" s="68"/>
      <c r="H694" s="68"/>
      <c r="I694" s="69"/>
      <c r="J694" s="70" t="s">
        <v>1450</v>
      </c>
      <c r="K694" s="67"/>
      <c r="L694" s="67" t="s">
        <v>3008</v>
      </c>
      <c r="M694" s="75">
        <v>1.0</v>
      </c>
      <c r="N694" s="75">
        <v>0.0</v>
      </c>
      <c r="O694" s="75">
        <v>0.0</v>
      </c>
      <c r="P694" s="75">
        <v>1.0</v>
      </c>
      <c r="Q694" s="76" t="s">
        <v>22</v>
      </c>
      <c r="R694" s="71">
        <v>0.0</v>
      </c>
      <c r="S694" s="71">
        <v>0.23</v>
      </c>
      <c r="T694" s="67"/>
      <c r="U694" s="71">
        <v>0.0</v>
      </c>
      <c r="V694" s="71">
        <v>5.0</v>
      </c>
      <c r="W694" s="67"/>
      <c r="X694" s="67"/>
      <c r="Y694" s="67"/>
      <c r="Z694" s="67"/>
      <c r="AA694" s="67"/>
      <c r="AB694" s="67"/>
      <c r="AC694" s="67"/>
    </row>
    <row r="695">
      <c r="A695" s="74">
        <v>46123.0</v>
      </c>
      <c r="B695" s="70" t="s">
        <v>3009</v>
      </c>
      <c r="C695" s="70" t="s">
        <v>3000</v>
      </c>
      <c r="D695" s="71">
        <v>0.23</v>
      </c>
      <c r="E695" s="71">
        <v>5.0</v>
      </c>
      <c r="F695" s="68"/>
      <c r="G695" s="68"/>
      <c r="H695" s="71"/>
      <c r="I695" s="72"/>
      <c r="J695" s="70" t="s">
        <v>1450</v>
      </c>
      <c r="K695" s="67"/>
      <c r="L695" s="70" t="s">
        <v>3010</v>
      </c>
      <c r="M695" s="75">
        <v>1.0</v>
      </c>
      <c r="N695" s="75">
        <v>0.0</v>
      </c>
      <c r="O695" s="75">
        <v>0.0</v>
      </c>
      <c r="P695" s="75">
        <v>1.0</v>
      </c>
      <c r="Q695" s="70" t="s">
        <v>22</v>
      </c>
      <c r="R695" s="71">
        <v>0.0</v>
      </c>
      <c r="S695" s="71">
        <v>0.23</v>
      </c>
      <c r="T695" s="70"/>
      <c r="U695" s="71">
        <v>0.0</v>
      </c>
      <c r="V695" s="71">
        <v>5.0</v>
      </c>
      <c r="W695" s="67"/>
      <c r="X695" s="67"/>
      <c r="Y695" s="67"/>
      <c r="Z695" s="67"/>
      <c r="AA695" s="67"/>
      <c r="AB695" s="67"/>
      <c r="AC695" s="67"/>
    </row>
    <row r="696">
      <c r="A696" s="74">
        <v>46123.0</v>
      </c>
      <c r="B696" s="70" t="s">
        <v>3011</v>
      </c>
      <c r="C696" s="70" t="s">
        <v>3000</v>
      </c>
      <c r="D696" s="71">
        <v>0.23</v>
      </c>
      <c r="E696" s="71">
        <v>5.0</v>
      </c>
      <c r="F696" s="71">
        <v>5.0</v>
      </c>
      <c r="G696" s="68"/>
      <c r="H696" s="71">
        <v>4.77</v>
      </c>
      <c r="I696" s="72">
        <v>0.954</v>
      </c>
      <c r="J696" s="70" t="s">
        <v>1450</v>
      </c>
      <c r="K696" s="67"/>
      <c r="L696" s="67" t="s">
        <v>3012</v>
      </c>
      <c r="M696" s="75">
        <v>1.0</v>
      </c>
      <c r="N696" s="75">
        <v>0.0</v>
      </c>
      <c r="O696" s="75">
        <v>0.0</v>
      </c>
      <c r="P696" s="75">
        <v>1.0</v>
      </c>
      <c r="Q696" s="76" t="s">
        <v>22</v>
      </c>
      <c r="R696" s="71">
        <v>0.0</v>
      </c>
      <c r="S696" s="71">
        <v>0.23</v>
      </c>
      <c r="T696" s="70"/>
      <c r="U696" s="71">
        <v>0.0</v>
      </c>
      <c r="V696" s="71">
        <v>5.0</v>
      </c>
      <c r="W696" s="67"/>
      <c r="X696" s="67"/>
      <c r="Y696" s="67"/>
      <c r="Z696" s="67"/>
      <c r="AA696" s="67"/>
      <c r="AB696" s="67"/>
      <c r="AC696" s="67"/>
    </row>
    <row r="697">
      <c r="A697" s="74">
        <v>46123.0</v>
      </c>
      <c r="B697" s="70" t="s">
        <v>3013</v>
      </c>
      <c r="C697" s="70" t="s">
        <v>3000</v>
      </c>
      <c r="D697" s="71">
        <v>0.23</v>
      </c>
      <c r="E697" s="71">
        <v>5.0</v>
      </c>
      <c r="F697" s="71">
        <v>5.0</v>
      </c>
      <c r="G697" s="68"/>
      <c r="H697" s="71">
        <v>4.77</v>
      </c>
      <c r="I697" s="72">
        <v>0.954</v>
      </c>
      <c r="J697" s="70" t="s">
        <v>1450</v>
      </c>
      <c r="K697" s="67"/>
      <c r="L697" s="67" t="s">
        <v>3014</v>
      </c>
      <c r="M697" s="75">
        <v>1.0</v>
      </c>
      <c r="N697" s="75">
        <v>0.0</v>
      </c>
      <c r="O697" s="75">
        <v>0.0</v>
      </c>
      <c r="P697" s="75">
        <v>1.0</v>
      </c>
      <c r="Q697" s="76" t="s">
        <v>22</v>
      </c>
      <c r="R697" s="71">
        <v>0.0</v>
      </c>
      <c r="S697" s="71">
        <v>0.23</v>
      </c>
      <c r="T697" s="70"/>
      <c r="U697" s="71">
        <v>0.0</v>
      </c>
      <c r="V697" s="71">
        <v>5.0</v>
      </c>
      <c r="W697" s="67"/>
      <c r="X697" s="67"/>
      <c r="Y697" s="67"/>
      <c r="Z697" s="67"/>
      <c r="AA697" s="67"/>
      <c r="AB697" s="67"/>
      <c r="AC697" s="67"/>
    </row>
    <row r="698">
      <c r="A698" s="74">
        <v>46123.0</v>
      </c>
      <c r="B698" s="70" t="s">
        <v>3015</v>
      </c>
      <c r="C698" s="70" t="s">
        <v>3000</v>
      </c>
      <c r="D698" s="71">
        <v>0.23</v>
      </c>
      <c r="E698" s="71">
        <v>5.0</v>
      </c>
      <c r="F698" s="68"/>
      <c r="G698" s="68"/>
      <c r="H698" s="68"/>
      <c r="I698" s="69"/>
      <c r="J698" s="70" t="s">
        <v>1450</v>
      </c>
      <c r="K698" s="67"/>
      <c r="L698" s="70" t="s">
        <v>3016</v>
      </c>
      <c r="M698" s="75">
        <v>1.0</v>
      </c>
      <c r="N698" s="75">
        <v>0.0</v>
      </c>
      <c r="O698" s="75">
        <v>0.0</v>
      </c>
      <c r="P698" s="75">
        <v>1.0</v>
      </c>
      <c r="Q698" s="70" t="s">
        <v>22</v>
      </c>
      <c r="R698" s="71">
        <v>0.0</v>
      </c>
      <c r="S698" s="71">
        <v>0.23</v>
      </c>
      <c r="T698" s="70"/>
      <c r="U698" s="71">
        <v>0.0</v>
      </c>
      <c r="V698" s="71">
        <v>5.0</v>
      </c>
      <c r="W698" s="67"/>
      <c r="X698" s="67"/>
      <c r="Y698" s="67"/>
      <c r="Z698" s="67"/>
      <c r="AA698" s="67"/>
      <c r="AB698" s="67"/>
      <c r="AC698" s="67"/>
    </row>
    <row r="699">
      <c r="A699" s="74">
        <v>46123.0</v>
      </c>
      <c r="B699" s="70" t="s">
        <v>3017</v>
      </c>
      <c r="C699" s="70" t="s">
        <v>3000</v>
      </c>
      <c r="D699" s="71">
        <v>0.23</v>
      </c>
      <c r="E699" s="71">
        <v>5.0</v>
      </c>
      <c r="F699" s="68"/>
      <c r="G699" s="68"/>
      <c r="H699" s="68"/>
      <c r="I699" s="69"/>
      <c r="J699" s="70" t="s">
        <v>1450</v>
      </c>
      <c r="K699" s="67"/>
      <c r="L699" s="70" t="s">
        <v>3018</v>
      </c>
      <c r="M699" s="75">
        <v>1.0</v>
      </c>
      <c r="N699" s="75">
        <v>0.0</v>
      </c>
      <c r="O699" s="75">
        <v>0.0</v>
      </c>
      <c r="P699" s="75">
        <v>1.0</v>
      </c>
      <c r="Q699" s="76" t="s">
        <v>22</v>
      </c>
      <c r="R699" s="71">
        <v>0.0</v>
      </c>
      <c r="S699" s="71">
        <v>0.23</v>
      </c>
      <c r="T699" s="67"/>
      <c r="U699" s="71">
        <v>0.0</v>
      </c>
      <c r="V699" s="71">
        <v>5.0</v>
      </c>
      <c r="W699" s="67"/>
      <c r="X699" s="67"/>
      <c r="Y699" s="67"/>
      <c r="Z699" s="67"/>
      <c r="AA699" s="67"/>
      <c r="AB699" s="67"/>
      <c r="AC699" s="67"/>
    </row>
    <row r="700">
      <c r="A700" s="74">
        <v>46123.0</v>
      </c>
      <c r="B700" s="70" t="s">
        <v>3019</v>
      </c>
      <c r="C700" s="70" t="s">
        <v>3003</v>
      </c>
      <c r="D700" s="71">
        <v>0.23</v>
      </c>
      <c r="E700" s="71">
        <v>5.0</v>
      </c>
      <c r="F700" s="68"/>
      <c r="G700" s="68"/>
      <c r="H700" s="68"/>
      <c r="I700" s="69"/>
      <c r="J700" s="70" t="s">
        <v>1450</v>
      </c>
      <c r="K700" s="67"/>
      <c r="L700" s="70" t="s">
        <v>3020</v>
      </c>
      <c r="M700" s="75">
        <v>1.0</v>
      </c>
      <c r="N700" s="75">
        <v>0.0</v>
      </c>
      <c r="O700" s="75">
        <v>0.0</v>
      </c>
      <c r="P700" s="75">
        <v>1.0</v>
      </c>
      <c r="Q700" s="70" t="s">
        <v>22</v>
      </c>
      <c r="R700" s="71">
        <v>0.0</v>
      </c>
      <c r="S700" s="71">
        <v>0.23</v>
      </c>
      <c r="T700" s="67"/>
      <c r="U700" s="71">
        <v>0.0</v>
      </c>
      <c r="V700" s="71">
        <v>5.0</v>
      </c>
      <c r="W700" s="67"/>
      <c r="X700" s="67"/>
      <c r="Y700" s="67"/>
      <c r="Z700" s="67"/>
      <c r="AA700" s="67"/>
      <c r="AB700" s="67"/>
      <c r="AC700" s="67"/>
    </row>
    <row r="701">
      <c r="A701" s="74">
        <v>46123.0</v>
      </c>
      <c r="B701" s="70" t="s">
        <v>3021</v>
      </c>
      <c r="C701" s="70" t="s">
        <v>3003</v>
      </c>
      <c r="D701" s="71">
        <v>0.23</v>
      </c>
      <c r="E701" s="71">
        <v>5.0</v>
      </c>
      <c r="F701" s="68"/>
      <c r="G701" s="68"/>
      <c r="H701" s="68"/>
      <c r="I701" s="69"/>
      <c r="J701" s="70" t="s">
        <v>1450</v>
      </c>
      <c r="K701" s="67"/>
      <c r="L701" s="70" t="s">
        <v>3022</v>
      </c>
      <c r="M701" s="75">
        <v>1.0</v>
      </c>
      <c r="N701" s="75">
        <v>0.0</v>
      </c>
      <c r="O701" s="75">
        <v>0.0</v>
      </c>
      <c r="P701" s="75">
        <v>1.0</v>
      </c>
      <c r="Q701" s="70" t="s">
        <v>22</v>
      </c>
      <c r="R701" s="71">
        <v>0.0</v>
      </c>
      <c r="S701" s="71">
        <v>0.23</v>
      </c>
      <c r="T701" s="67"/>
      <c r="U701" s="71">
        <v>0.0</v>
      </c>
      <c r="V701" s="71">
        <v>5.0</v>
      </c>
      <c r="W701" s="67"/>
      <c r="X701" s="67"/>
      <c r="Y701" s="67"/>
      <c r="Z701" s="67"/>
      <c r="AA701" s="67"/>
      <c r="AB701" s="67"/>
      <c r="AC701" s="67"/>
    </row>
    <row r="702">
      <c r="A702" s="74">
        <v>46123.0</v>
      </c>
      <c r="B702" s="70" t="s">
        <v>3023</v>
      </c>
      <c r="C702" s="70" t="s">
        <v>3003</v>
      </c>
      <c r="D702" s="71">
        <v>0.23</v>
      </c>
      <c r="E702" s="71">
        <v>5.0</v>
      </c>
      <c r="F702" s="68"/>
      <c r="G702" s="68"/>
      <c r="H702" s="68"/>
      <c r="I702" s="69"/>
      <c r="J702" s="70" t="s">
        <v>1450</v>
      </c>
      <c r="K702" s="67"/>
      <c r="L702" s="70" t="s">
        <v>3024</v>
      </c>
      <c r="M702" s="75">
        <v>1.0</v>
      </c>
      <c r="N702" s="75">
        <v>0.0</v>
      </c>
      <c r="O702" s="75">
        <v>0.0</v>
      </c>
      <c r="P702" s="75">
        <v>1.0</v>
      </c>
      <c r="Q702" s="70" t="s">
        <v>22</v>
      </c>
      <c r="R702" s="71">
        <v>0.0</v>
      </c>
      <c r="S702" s="71">
        <v>0.23</v>
      </c>
      <c r="T702" s="70"/>
      <c r="U702" s="71">
        <v>0.0</v>
      </c>
      <c r="V702" s="71">
        <v>5.0</v>
      </c>
      <c r="W702" s="67"/>
      <c r="X702" s="67"/>
      <c r="Y702" s="67"/>
      <c r="Z702" s="67"/>
      <c r="AA702" s="67"/>
      <c r="AB702" s="67"/>
      <c r="AC702" s="67"/>
    </row>
    <row r="703">
      <c r="A703" s="74">
        <v>46123.0</v>
      </c>
      <c r="B703" s="70" t="s">
        <v>3025</v>
      </c>
      <c r="C703" s="70" t="s">
        <v>3003</v>
      </c>
      <c r="D703" s="71">
        <v>0.23</v>
      </c>
      <c r="E703" s="71">
        <v>5.0</v>
      </c>
      <c r="F703" s="68"/>
      <c r="G703" s="68"/>
      <c r="H703" s="71"/>
      <c r="I703" s="72"/>
      <c r="J703" s="70" t="s">
        <v>1450</v>
      </c>
      <c r="K703" s="67"/>
      <c r="L703" s="70" t="s">
        <v>3026</v>
      </c>
      <c r="M703" s="75">
        <v>1.0</v>
      </c>
      <c r="N703" s="75">
        <v>0.0</v>
      </c>
      <c r="O703" s="75">
        <v>0.0</v>
      </c>
      <c r="P703" s="75">
        <v>1.0</v>
      </c>
      <c r="Q703" s="70" t="s">
        <v>22</v>
      </c>
      <c r="R703" s="71">
        <v>0.0</v>
      </c>
      <c r="S703" s="71">
        <v>0.23</v>
      </c>
      <c r="T703" s="70"/>
      <c r="U703" s="71">
        <v>0.0</v>
      </c>
      <c r="V703" s="71">
        <v>5.0</v>
      </c>
      <c r="W703" s="67"/>
      <c r="X703" s="67"/>
      <c r="Y703" s="67"/>
      <c r="Z703" s="67"/>
      <c r="AA703" s="67"/>
      <c r="AB703" s="67"/>
      <c r="AC703" s="67"/>
    </row>
    <row r="704">
      <c r="A704" s="74">
        <v>46123.0</v>
      </c>
      <c r="B704" s="70" t="s">
        <v>3027</v>
      </c>
      <c r="C704" s="70" t="s">
        <v>3003</v>
      </c>
      <c r="D704" s="71">
        <v>0.23</v>
      </c>
      <c r="E704" s="71">
        <v>5.0</v>
      </c>
      <c r="F704" s="68"/>
      <c r="G704" s="68"/>
      <c r="H704" s="71"/>
      <c r="I704" s="72"/>
      <c r="J704" s="70" t="s">
        <v>1450</v>
      </c>
      <c r="K704" s="67"/>
      <c r="L704" s="67" t="s">
        <v>3028</v>
      </c>
      <c r="M704" s="75">
        <v>1.0</v>
      </c>
      <c r="N704" s="75">
        <v>0.0</v>
      </c>
      <c r="O704" s="75">
        <v>0.0</v>
      </c>
      <c r="P704" s="75">
        <v>1.0</v>
      </c>
      <c r="Q704" s="76" t="s">
        <v>22</v>
      </c>
      <c r="R704" s="71">
        <v>0.0</v>
      </c>
      <c r="S704" s="71">
        <v>0.23</v>
      </c>
      <c r="T704" s="70"/>
      <c r="U704" s="71">
        <v>0.0</v>
      </c>
      <c r="V704" s="71">
        <v>5.0</v>
      </c>
      <c r="W704" s="67"/>
      <c r="X704" s="67"/>
      <c r="Y704" s="67"/>
      <c r="Z704" s="67"/>
      <c r="AA704" s="67"/>
      <c r="AB704" s="67"/>
      <c r="AC704" s="67"/>
    </row>
    <row r="705">
      <c r="A705" s="74">
        <v>46123.0</v>
      </c>
      <c r="B705" s="70" t="s">
        <v>3029</v>
      </c>
      <c r="C705" s="70" t="s">
        <v>3003</v>
      </c>
      <c r="D705" s="71">
        <v>0.23</v>
      </c>
      <c r="E705" s="71">
        <v>5.0</v>
      </c>
      <c r="F705" s="68"/>
      <c r="G705" s="68"/>
      <c r="H705" s="68"/>
      <c r="I705" s="69"/>
      <c r="J705" s="70" t="s">
        <v>1450</v>
      </c>
      <c r="K705" s="67"/>
      <c r="L705" s="70" t="s">
        <v>3030</v>
      </c>
      <c r="M705" s="75">
        <v>1.0</v>
      </c>
      <c r="N705" s="75">
        <v>0.0</v>
      </c>
      <c r="O705" s="75">
        <v>0.0</v>
      </c>
      <c r="P705" s="75">
        <v>1.0</v>
      </c>
      <c r="Q705" s="70" t="s">
        <v>22</v>
      </c>
      <c r="R705" s="71">
        <v>0.0</v>
      </c>
      <c r="S705" s="71">
        <v>0.23</v>
      </c>
      <c r="T705" s="67"/>
      <c r="U705" s="71">
        <v>0.0</v>
      </c>
      <c r="V705" s="71">
        <v>5.0</v>
      </c>
      <c r="W705" s="67"/>
      <c r="X705" s="67"/>
      <c r="Y705" s="67"/>
      <c r="Z705" s="67"/>
      <c r="AA705" s="67"/>
      <c r="AB705" s="67"/>
      <c r="AC705" s="67"/>
    </row>
    <row r="706">
      <c r="A706" s="74">
        <v>46123.0</v>
      </c>
      <c r="B706" s="70" t="s">
        <v>3031</v>
      </c>
      <c r="C706" s="70" t="s">
        <v>3003</v>
      </c>
      <c r="D706" s="71">
        <v>0.23</v>
      </c>
      <c r="E706" s="71">
        <v>5.0</v>
      </c>
      <c r="F706" s="68"/>
      <c r="G706" s="68"/>
      <c r="H706" s="68"/>
      <c r="I706" s="69"/>
      <c r="J706" s="70" t="s">
        <v>1450</v>
      </c>
      <c r="K706" s="67"/>
      <c r="L706" s="70" t="s">
        <v>3032</v>
      </c>
      <c r="M706" s="75">
        <v>1.0</v>
      </c>
      <c r="N706" s="75">
        <v>0.0</v>
      </c>
      <c r="O706" s="75">
        <v>0.0</v>
      </c>
      <c r="P706" s="75">
        <v>1.0</v>
      </c>
      <c r="Q706" s="76" t="s">
        <v>22</v>
      </c>
      <c r="R706" s="71">
        <v>0.0</v>
      </c>
      <c r="S706" s="71">
        <v>0.23</v>
      </c>
      <c r="T706" s="67"/>
      <c r="U706" s="71">
        <v>0.0</v>
      </c>
      <c r="V706" s="71">
        <v>5.0</v>
      </c>
      <c r="W706" s="67"/>
      <c r="X706" s="67"/>
      <c r="Y706" s="67"/>
      <c r="Z706" s="67"/>
      <c r="AA706" s="67"/>
      <c r="AB706" s="67"/>
      <c r="AC706" s="67"/>
    </row>
    <row r="707">
      <c r="A707" s="74">
        <v>46123.0</v>
      </c>
      <c r="B707" s="70" t="s">
        <v>3033</v>
      </c>
      <c r="C707" s="70" t="s">
        <v>3003</v>
      </c>
      <c r="D707" s="71">
        <v>0.23</v>
      </c>
      <c r="E707" s="71">
        <v>5.0</v>
      </c>
      <c r="F707" s="68"/>
      <c r="G707" s="68"/>
      <c r="H707" s="68"/>
      <c r="I707" s="69"/>
      <c r="J707" s="70" t="s">
        <v>1450</v>
      </c>
      <c r="K707" s="67"/>
      <c r="L707" s="70" t="s">
        <v>3034</v>
      </c>
      <c r="M707" s="75">
        <v>1.0</v>
      </c>
      <c r="N707" s="75">
        <v>0.0</v>
      </c>
      <c r="O707" s="75">
        <v>0.0</v>
      </c>
      <c r="P707" s="75">
        <v>1.0</v>
      </c>
      <c r="Q707" s="70" t="s">
        <v>22</v>
      </c>
      <c r="R707" s="71">
        <v>0.0</v>
      </c>
      <c r="S707" s="71">
        <v>0.23</v>
      </c>
      <c r="T707" s="67"/>
      <c r="U707" s="71">
        <v>0.0</v>
      </c>
      <c r="V707" s="71">
        <v>5.0</v>
      </c>
      <c r="W707" s="67"/>
      <c r="X707" s="67"/>
      <c r="Y707" s="67"/>
      <c r="Z707" s="67"/>
      <c r="AA707" s="67"/>
      <c r="AB707" s="67"/>
      <c r="AC707" s="67"/>
    </row>
    <row r="708">
      <c r="A708" s="74">
        <v>46123.0</v>
      </c>
      <c r="B708" s="70" t="s">
        <v>3035</v>
      </c>
      <c r="C708" s="70" t="s">
        <v>3003</v>
      </c>
      <c r="D708" s="71">
        <v>0.23</v>
      </c>
      <c r="E708" s="71">
        <v>5.0</v>
      </c>
      <c r="F708" s="68"/>
      <c r="G708" s="68"/>
      <c r="H708" s="68"/>
      <c r="I708" s="69"/>
      <c r="J708" s="70" t="s">
        <v>1450</v>
      </c>
      <c r="K708" s="67"/>
      <c r="L708" s="70" t="s">
        <v>3036</v>
      </c>
      <c r="M708" s="75">
        <v>1.0</v>
      </c>
      <c r="N708" s="75">
        <v>0.0</v>
      </c>
      <c r="O708" s="75">
        <v>0.0</v>
      </c>
      <c r="P708" s="75">
        <v>1.0</v>
      </c>
      <c r="Q708" s="70" t="s">
        <v>22</v>
      </c>
      <c r="R708" s="71">
        <v>0.13</v>
      </c>
      <c r="S708" s="71">
        <v>0.36</v>
      </c>
      <c r="T708" s="70"/>
      <c r="U708" s="71">
        <v>0.0</v>
      </c>
      <c r="V708" s="71">
        <v>5.0</v>
      </c>
      <c r="W708" s="67"/>
      <c r="X708" s="67"/>
      <c r="Y708" s="67"/>
      <c r="Z708" s="67"/>
      <c r="AA708" s="67"/>
      <c r="AB708" s="67"/>
      <c r="AC708" s="67"/>
    </row>
    <row r="709">
      <c r="A709" s="74">
        <v>46125.0</v>
      </c>
      <c r="B709" s="70" t="s">
        <v>3037</v>
      </c>
      <c r="C709" s="70" t="s">
        <v>1474</v>
      </c>
      <c r="D709" s="71">
        <v>2.2</v>
      </c>
      <c r="E709" s="71">
        <v>5.0</v>
      </c>
      <c r="F709" s="71"/>
      <c r="G709" s="71">
        <v>30.0</v>
      </c>
      <c r="H709" s="71">
        <v>11.01</v>
      </c>
      <c r="I709" s="72">
        <v>0.367</v>
      </c>
      <c r="J709" s="70" t="s">
        <v>1626</v>
      </c>
      <c r="K709" s="67"/>
      <c r="L709" s="67" t="s">
        <v>3038</v>
      </c>
      <c r="M709" s="75">
        <v>1.0</v>
      </c>
      <c r="N709" s="75">
        <v>1.0</v>
      </c>
      <c r="O709" s="75">
        <v>0.0</v>
      </c>
      <c r="P709" s="75">
        <v>0.0</v>
      </c>
      <c r="Q709" s="76" t="s">
        <v>22</v>
      </c>
      <c r="R709" s="71">
        <v>16.79</v>
      </c>
      <c r="S709" s="71">
        <v>18.99</v>
      </c>
      <c r="T709" s="70"/>
      <c r="U709" s="71">
        <v>47.0</v>
      </c>
      <c r="V709" s="71">
        <v>52.0</v>
      </c>
      <c r="W709" s="67"/>
      <c r="X709" s="67"/>
      <c r="Y709" s="67"/>
      <c r="Z709" s="67"/>
      <c r="AA709" s="67"/>
      <c r="AB709" s="67"/>
      <c r="AC709" s="67"/>
    </row>
    <row r="710">
      <c r="A710" s="74">
        <v>46125.0</v>
      </c>
      <c r="B710" s="70" t="s">
        <v>3039</v>
      </c>
      <c r="C710" s="70" t="s">
        <v>1767</v>
      </c>
      <c r="D710" s="71">
        <v>8.0</v>
      </c>
      <c r="E710" s="71">
        <v>16.0</v>
      </c>
      <c r="F710" s="68"/>
      <c r="G710" s="71">
        <v>20.0</v>
      </c>
      <c r="H710" s="71">
        <v>12.0</v>
      </c>
      <c r="I710" s="72">
        <v>0.6</v>
      </c>
      <c r="J710" s="70" t="s">
        <v>1626</v>
      </c>
      <c r="K710" s="67"/>
      <c r="L710" s="70" t="s">
        <v>3040</v>
      </c>
      <c r="M710" s="75">
        <v>1.0</v>
      </c>
      <c r="N710" s="75">
        <v>1.0</v>
      </c>
      <c r="O710" s="75">
        <v>0.0</v>
      </c>
      <c r="P710" s="75">
        <v>0.0</v>
      </c>
      <c r="Q710" s="70" t="s">
        <v>22</v>
      </c>
      <c r="R710" s="71">
        <v>0.0</v>
      </c>
      <c r="S710" s="71">
        <v>8.0</v>
      </c>
      <c r="T710" s="70"/>
      <c r="U710" s="71">
        <v>0.25</v>
      </c>
      <c r="V710" s="71">
        <v>16.25</v>
      </c>
      <c r="W710" s="67"/>
      <c r="X710" s="67"/>
      <c r="Y710" s="67"/>
      <c r="Z710" s="67"/>
      <c r="AA710" s="67"/>
      <c r="AB710" s="67"/>
      <c r="AC710" s="67"/>
    </row>
    <row r="711">
      <c r="A711" s="74">
        <v>46125.0</v>
      </c>
      <c r="B711" s="70" t="s">
        <v>3041</v>
      </c>
      <c r="C711" s="70" t="s">
        <v>1605</v>
      </c>
      <c r="D711" s="71">
        <v>3.33</v>
      </c>
      <c r="E711" s="71">
        <v>0.0</v>
      </c>
      <c r="F711" s="68"/>
      <c r="G711" s="71">
        <v>7.0</v>
      </c>
      <c r="H711" s="71">
        <v>3.17</v>
      </c>
      <c r="I711" s="72">
        <v>0.45285714285714285</v>
      </c>
      <c r="J711" s="70" t="s">
        <v>1626</v>
      </c>
      <c r="K711" s="67"/>
      <c r="L711" s="70" t="s">
        <v>3042</v>
      </c>
      <c r="M711" s="75">
        <v>1.0</v>
      </c>
      <c r="N711" s="75">
        <v>1.0</v>
      </c>
      <c r="O711" s="75">
        <v>0.0</v>
      </c>
      <c r="P711" s="75">
        <v>0.0</v>
      </c>
      <c r="Q711" s="76" t="s">
        <v>22</v>
      </c>
      <c r="R711" s="71">
        <v>0.5</v>
      </c>
      <c r="S711" s="71">
        <v>3.83</v>
      </c>
      <c r="T711" s="70"/>
      <c r="U711" s="71">
        <v>5.0</v>
      </c>
      <c r="V711" s="71">
        <v>5.0</v>
      </c>
      <c r="W711" s="67"/>
      <c r="X711" s="67"/>
      <c r="Y711" s="67"/>
      <c r="Z711" s="67"/>
      <c r="AA711" s="67"/>
      <c r="AB711" s="67"/>
      <c r="AC711" s="67"/>
    </row>
    <row r="712">
      <c r="A712" s="74">
        <v>46125.0</v>
      </c>
      <c r="B712" s="70" t="s">
        <v>3043</v>
      </c>
      <c r="C712" s="70" t="s">
        <v>1537</v>
      </c>
      <c r="D712" s="71">
        <v>2.5</v>
      </c>
      <c r="E712" s="71">
        <v>3.75</v>
      </c>
      <c r="F712" s="68"/>
      <c r="G712" s="71">
        <v>7.0</v>
      </c>
      <c r="H712" s="71">
        <v>3.56</v>
      </c>
      <c r="I712" s="72">
        <v>0.5085714285714286</v>
      </c>
      <c r="J712" s="70" t="s">
        <v>1626</v>
      </c>
      <c r="K712" s="67"/>
      <c r="L712" s="70" t="s">
        <v>3044</v>
      </c>
      <c r="M712" s="75">
        <v>1.0</v>
      </c>
      <c r="N712" s="75">
        <v>1.0</v>
      </c>
      <c r="O712" s="75">
        <v>0.0</v>
      </c>
      <c r="P712" s="75">
        <v>0.0</v>
      </c>
      <c r="Q712" s="70" t="s">
        <v>22</v>
      </c>
      <c r="R712" s="71">
        <v>0.94</v>
      </c>
      <c r="S712" s="71">
        <v>3.44</v>
      </c>
      <c r="T712" s="70"/>
      <c r="U712" s="71">
        <v>0.0</v>
      </c>
      <c r="V712" s="71">
        <v>3.75</v>
      </c>
      <c r="W712" s="67"/>
      <c r="X712" s="67"/>
      <c r="Y712" s="67"/>
      <c r="Z712" s="67"/>
      <c r="AA712" s="67"/>
      <c r="AB712" s="67"/>
      <c r="AC712" s="67"/>
    </row>
    <row r="713">
      <c r="A713" s="74">
        <v>46125.0</v>
      </c>
      <c r="B713" s="70" t="s">
        <v>3045</v>
      </c>
      <c r="C713" s="70" t="s">
        <v>2235</v>
      </c>
      <c r="D713" s="71">
        <v>6.9</v>
      </c>
      <c r="E713" s="71">
        <v>14.99</v>
      </c>
      <c r="F713" s="68"/>
      <c r="G713" s="71">
        <v>15.0</v>
      </c>
      <c r="H713" s="71">
        <v>8.1</v>
      </c>
      <c r="I713" s="72">
        <v>0.5399999999999999</v>
      </c>
      <c r="J713" s="70" t="s">
        <v>1626</v>
      </c>
      <c r="K713" s="67"/>
      <c r="L713" s="70" t="s">
        <v>3046</v>
      </c>
      <c r="M713" s="75">
        <v>1.0</v>
      </c>
      <c r="N713" s="75">
        <v>1.0</v>
      </c>
      <c r="O713" s="75">
        <v>0.0</v>
      </c>
      <c r="P713" s="75">
        <v>0.0</v>
      </c>
      <c r="Q713" s="70" t="s">
        <v>22</v>
      </c>
      <c r="R713" s="71">
        <v>0.0</v>
      </c>
      <c r="S713" s="71">
        <v>6.9</v>
      </c>
      <c r="T713" s="70"/>
      <c r="U713" s="71">
        <v>0.0</v>
      </c>
      <c r="V713" s="71">
        <v>14.99</v>
      </c>
      <c r="W713" s="67"/>
      <c r="X713" s="67"/>
      <c r="Y713" s="67"/>
      <c r="Z713" s="67"/>
      <c r="AA713" s="67"/>
      <c r="AB713" s="67"/>
      <c r="AC713" s="67"/>
    </row>
    <row r="714">
      <c r="A714" s="74">
        <v>46133.0</v>
      </c>
      <c r="B714" s="70" t="s">
        <v>3047</v>
      </c>
      <c r="C714" s="70" t="s">
        <v>2256</v>
      </c>
      <c r="D714" s="71">
        <v>8.0</v>
      </c>
      <c r="E714" s="71">
        <v>0.0</v>
      </c>
      <c r="F714" s="71">
        <v>35.0</v>
      </c>
      <c r="G714" s="71"/>
      <c r="H714" s="71">
        <v>13.12</v>
      </c>
      <c r="I714" s="72">
        <v>0.37485714285714283</v>
      </c>
      <c r="J714" s="70" t="s">
        <v>1462</v>
      </c>
      <c r="K714" s="67"/>
      <c r="L714" s="70" t="s">
        <v>3048</v>
      </c>
      <c r="M714" s="75">
        <v>1.0</v>
      </c>
      <c r="N714" s="75">
        <v>0.0</v>
      </c>
      <c r="O714" s="75">
        <v>0.0</v>
      </c>
      <c r="P714" s="75">
        <v>1.0</v>
      </c>
      <c r="Q714" s="70" t="s">
        <v>22</v>
      </c>
      <c r="R714" s="71">
        <v>13.88</v>
      </c>
      <c r="S714" s="71">
        <v>21.88</v>
      </c>
      <c r="T714" s="70" t="s">
        <v>3049</v>
      </c>
      <c r="U714" s="71">
        <v>47.0</v>
      </c>
      <c r="V714" s="71">
        <v>47.0</v>
      </c>
      <c r="W714" s="67"/>
      <c r="X714" s="67"/>
      <c r="Y714" s="67"/>
      <c r="Z714" s="67"/>
      <c r="AA714" s="67"/>
      <c r="AB714" s="67"/>
      <c r="AC714" s="67"/>
    </row>
    <row r="715">
      <c r="A715" s="74">
        <v>46133.0</v>
      </c>
      <c r="B715" s="70" t="s">
        <v>3050</v>
      </c>
      <c r="C715" s="70" t="s">
        <v>1665</v>
      </c>
      <c r="D715" s="71">
        <v>6.08</v>
      </c>
      <c r="E715" s="71">
        <v>0.0</v>
      </c>
      <c r="F715" s="71">
        <v>12.0</v>
      </c>
      <c r="G715" s="68"/>
      <c r="H715" s="71">
        <v>5.03</v>
      </c>
      <c r="I715" s="72">
        <v>0.4191666666666667</v>
      </c>
      <c r="J715" s="70" t="s">
        <v>1462</v>
      </c>
      <c r="K715" s="67"/>
      <c r="L715" s="67" t="s">
        <v>3051</v>
      </c>
      <c r="M715" s="75">
        <v>1.0</v>
      </c>
      <c r="N715" s="75">
        <v>0.0</v>
      </c>
      <c r="O715" s="75">
        <v>0.0</v>
      </c>
      <c r="P715" s="75">
        <v>1.0</v>
      </c>
      <c r="Q715" s="76" t="s">
        <v>22</v>
      </c>
      <c r="R715" s="71">
        <v>0.89</v>
      </c>
      <c r="S715" s="71">
        <v>6.97</v>
      </c>
      <c r="T715" s="70" t="s">
        <v>3052</v>
      </c>
      <c r="U715" s="71">
        <v>6.5</v>
      </c>
      <c r="V715" s="71">
        <v>6.5</v>
      </c>
      <c r="W715" s="67"/>
      <c r="X715" s="67"/>
      <c r="Y715" s="67"/>
      <c r="Z715" s="67"/>
      <c r="AA715" s="67"/>
      <c r="AB715" s="67"/>
      <c r="AC715" s="67"/>
    </row>
    <row r="716">
      <c r="A716" s="74">
        <v>46140.0</v>
      </c>
      <c r="B716" s="70" t="s">
        <v>3053</v>
      </c>
      <c r="C716" s="70" t="s">
        <v>1911</v>
      </c>
      <c r="D716" s="71">
        <v>0.0</v>
      </c>
      <c r="E716" s="71">
        <v>0.0</v>
      </c>
      <c r="F716" s="68"/>
      <c r="G716" s="68"/>
      <c r="H716" s="68"/>
      <c r="I716" s="69"/>
      <c r="J716" s="70" t="s">
        <v>1450</v>
      </c>
      <c r="K716" s="67"/>
      <c r="L716" s="70" t="s">
        <v>3054</v>
      </c>
      <c r="M716" s="75">
        <v>1.0</v>
      </c>
      <c r="N716" s="75">
        <v>0.0</v>
      </c>
      <c r="O716" s="75">
        <v>0.0</v>
      </c>
      <c r="P716" s="75">
        <v>1.0</v>
      </c>
      <c r="Q716" s="76" t="s">
        <v>22</v>
      </c>
      <c r="R716" s="71">
        <v>1.09</v>
      </c>
      <c r="S716" s="71">
        <v>1.09</v>
      </c>
      <c r="T716" s="70" t="s">
        <v>3055</v>
      </c>
      <c r="U716" s="71">
        <v>6.69</v>
      </c>
      <c r="V716" s="71">
        <v>6.69</v>
      </c>
      <c r="W716" s="67"/>
      <c r="X716" s="67"/>
      <c r="Y716" s="67"/>
      <c r="Z716" s="67"/>
      <c r="AA716" s="67"/>
      <c r="AB716" s="67"/>
      <c r="AC716" s="67"/>
    </row>
    <row r="717">
      <c r="A717" s="74">
        <v>46140.0</v>
      </c>
      <c r="B717" s="70" t="s">
        <v>3056</v>
      </c>
      <c r="C717" s="70" t="s">
        <v>2808</v>
      </c>
      <c r="D717" s="71">
        <v>12.0</v>
      </c>
      <c r="E717" s="71">
        <v>0.0</v>
      </c>
      <c r="F717" s="71">
        <v>20.0</v>
      </c>
      <c r="G717" s="68"/>
      <c r="H717" s="71">
        <v>-5.88</v>
      </c>
      <c r="I717" s="72">
        <v>-0.294</v>
      </c>
      <c r="J717" s="70" t="s">
        <v>1450</v>
      </c>
      <c r="K717" s="67"/>
      <c r="L717" s="67" t="s">
        <v>3057</v>
      </c>
      <c r="M717" s="75">
        <v>1.0</v>
      </c>
      <c r="N717" s="75">
        <v>0.0</v>
      </c>
      <c r="O717" s="75">
        <v>0.0</v>
      </c>
      <c r="P717" s="75">
        <v>1.0</v>
      </c>
      <c r="Q717" s="76" t="s">
        <v>22</v>
      </c>
      <c r="R717" s="71">
        <v>13.88</v>
      </c>
      <c r="S717" s="71">
        <v>25.88</v>
      </c>
      <c r="T717" s="70" t="s">
        <v>3058</v>
      </c>
      <c r="U717" s="71">
        <v>47.0</v>
      </c>
      <c r="V717" s="71">
        <v>47.0</v>
      </c>
      <c r="W717" s="67"/>
      <c r="X717" s="67"/>
      <c r="Y717" s="67"/>
      <c r="Z717" s="67"/>
      <c r="AA717" s="67"/>
      <c r="AB717" s="67"/>
      <c r="AC717" s="67"/>
    </row>
    <row r="718">
      <c r="A718" s="74">
        <v>46140.0</v>
      </c>
      <c r="B718" s="70" t="s">
        <v>3059</v>
      </c>
      <c r="C718" s="70" t="s">
        <v>1911</v>
      </c>
      <c r="D718" s="71">
        <v>0.0</v>
      </c>
      <c r="E718" s="71">
        <v>0.0</v>
      </c>
      <c r="F718" s="71">
        <v>15.0</v>
      </c>
      <c r="G718" s="68"/>
      <c r="H718" s="71">
        <v>11.53</v>
      </c>
      <c r="I718" s="72">
        <v>0.7686666666666666</v>
      </c>
      <c r="J718" s="70" t="s">
        <v>1450</v>
      </c>
      <c r="K718" s="67"/>
      <c r="L718" s="70" t="s">
        <v>3060</v>
      </c>
      <c r="M718" s="75">
        <v>1.0</v>
      </c>
      <c r="N718" s="75">
        <v>0.0</v>
      </c>
      <c r="O718" s="75">
        <v>0.0</v>
      </c>
      <c r="P718" s="75">
        <v>1.0</v>
      </c>
      <c r="Q718" s="70" t="s">
        <v>22</v>
      </c>
      <c r="R718" s="71">
        <v>3.47</v>
      </c>
      <c r="S718" s="71">
        <v>3.47</v>
      </c>
      <c r="T718" s="70" t="s">
        <v>3061</v>
      </c>
      <c r="U718" s="71">
        <v>6.19</v>
      </c>
      <c r="V718" s="71">
        <v>6.19</v>
      </c>
      <c r="W718" s="67"/>
      <c r="X718" s="67"/>
      <c r="Y718" s="67"/>
      <c r="Z718" s="67"/>
      <c r="AA718" s="67"/>
      <c r="AB718" s="67"/>
      <c r="AC718" s="67"/>
    </row>
    <row r="719">
      <c r="A719" s="74">
        <v>46141.0</v>
      </c>
      <c r="B719" s="70" t="s">
        <v>3062</v>
      </c>
      <c r="C719" s="70" t="s">
        <v>3063</v>
      </c>
      <c r="D719" s="71">
        <v>9.5</v>
      </c>
      <c r="E719" s="71">
        <v>9.5</v>
      </c>
      <c r="F719" s="68"/>
      <c r="G719" s="68"/>
      <c r="H719" s="68"/>
      <c r="I719" s="69"/>
      <c r="J719" s="70" t="s">
        <v>1450</v>
      </c>
      <c r="K719" s="67"/>
      <c r="L719" s="70" t="s">
        <v>3064</v>
      </c>
      <c r="M719" s="75">
        <v>1.0</v>
      </c>
      <c r="N719" s="75">
        <v>0.0</v>
      </c>
      <c r="O719" s="75">
        <v>0.0</v>
      </c>
      <c r="P719" s="75">
        <v>1.0</v>
      </c>
      <c r="Q719" s="70" t="s">
        <v>22</v>
      </c>
      <c r="R719" s="71">
        <v>2.37</v>
      </c>
      <c r="S719" s="71">
        <v>11.87</v>
      </c>
      <c r="T719" s="70" t="s">
        <v>3065</v>
      </c>
      <c r="U719" s="71">
        <v>6.88</v>
      </c>
      <c r="V719" s="71">
        <v>16.38</v>
      </c>
      <c r="W719" s="67"/>
      <c r="X719" s="67"/>
      <c r="Y719" s="67"/>
      <c r="Z719" s="67"/>
      <c r="AA719" s="67"/>
      <c r="AB719" s="67"/>
      <c r="AC719" s="67"/>
    </row>
    <row r="720">
      <c r="A720" s="74">
        <v>46141.0</v>
      </c>
      <c r="B720" s="70" t="s">
        <v>3066</v>
      </c>
      <c r="C720" s="70" t="s">
        <v>1629</v>
      </c>
      <c r="D720" s="71">
        <v>9.5</v>
      </c>
      <c r="E720" s="71">
        <v>19.0</v>
      </c>
      <c r="F720" s="68"/>
      <c r="G720" s="68"/>
      <c r="H720" s="68"/>
      <c r="I720" s="69"/>
      <c r="J720" s="70" t="s">
        <v>1450</v>
      </c>
      <c r="K720" s="67"/>
      <c r="L720" s="70" t="s">
        <v>3067</v>
      </c>
      <c r="M720" s="75">
        <v>1.0</v>
      </c>
      <c r="N720" s="75">
        <v>0.0</v>
      </c>
      <c r="O720" s="75">
        <v>0.0</v>
      </c>
      <c r="P720" s="75">
        <v>1.0</v>
      </c>
      <c r="Q720" s="70" t="s">
        <v>22</v>
      </c>
      <c r="R720" s="71">
        <v>0.83</v>
      </c>
      <c r="S720" s="71">
        <v>10.33</v>
      </c>
      <c r="T720" s="70" t="s">
        <v>3068</v>
      </c>
      <c r="U720" s="71">
        <v>6.88</v>
      </c>
      <c r="V720" s="71">
        <v>25.88</v>
      </c>
      <c r="W720" s="67"/>
      <c r="X720" s="67"/>
      <c r="Y720" s="67"/>
      <c r="Z720" s="67"/>
      <c r="AA720" s="67"/>
      <c r="AB720" s="67"/>
      <c r="AC720" s="67"/>
    </row>
    <row r="721">
      <c r="A721" s="74">
        <v>46143.0</v>
      </c>
      <c r="B721" s="70" t="s">
        <v>3069</v>
      </c>
      <c r="C721" s="70" t="s">
        <v>3070</v>
      </c>
      <c r="D721" s="71">
        <v>9.5</v>
      </c>
      <c r="E721" s="71">
        <v>19.0</v>
      </c>
      <c r="F721" s="68"/>
      <c r="G721" s="68"/>
      <c r="H721" s="68"/>
      <c r="I721" s="69"/>
      <c r="J721" s="70" t="s">
        <v>1450</v>
      </c>
      <c r="K721" s="67"/>
      <c r="L721" s="70" t="s">
        <v>3071</v>
      </c>
      <c r="M721" s="75">
        <v>1.0</v>
      </c>
      <c r="N721" s="75">
        <v>0.0</v>
      </c>
      <c r="O721" s="75">
        <v>0.0</v>
      </c>
      <c r="P721" s="75">
        <v>1.0</v>
      </c>
      <c r="Q721" s="70" t="s">
        <v>22</v>
      </c>
      <c r="R721" s="71">
        <v>2.11</v>
      </c>
      <c r="S721" s="71">
        <v>11.61</v>
      </c>
      <c r="T721" s="70" t="s">
        <v>3072</v>
      </c>
      <c r="U721" s="71">
        <v>6.88</v>
      </c>
      <c r="V721" s="71">
        <v>25.88</v>
      </c>
      <c r="W721" s="67"/>
      <c r="X721" s="67"/>
      <c r="Y721" s="67"/>
      <c r="Z721" s="67"/>
      <c r="AA721" s="67"/>
      <c r="AB721" s="67"/>
      <c r="AC721" s="67"/>
    </row>
    <row r="722">
      <c r="A722" s="74">
        <v>46143.0</v>
      </c>
      <c r="B722" s="70" t="s">
        <v>3073</v>
      </c>
      <c r="C722" s="70" t="s">
        <v>1605</v>
      </c>
      <c r="D722" s="71">
        <v>3.33</v>
      </c>
      <c r="E722" s="71">
        <v>0.0</v>
      </c>
      <c r="F722" s="68"/>
      <c r="G722" s="68"/>
      <c r="H722" s="68"/>
      <c r="I722" s="69"/>
      <c r="J722" s="70" t="s">
        <v>1450</v>
      </c>
      <c r="K722" s="67"/>
      <c r="L722" s="70" t="s">
        <v>3074</v>
      </c>
      <c r="M722" s="75">
        <v>1.0</v>
      </c>
      <c r="N722" s="75">
        <v>0.0</v>
      </c>
      <c r="O722" s="75">
        <v>0.0</v>
      </c>
      <c r="P722" s="75">
        <v>1.0</v>
      </c>
      <c r="Q722" s="70" t="s">
        <v>22</v>
      </c>
      <c r="R722" s="71">
        <v>0.74</v>
      </c>
      <c r="S722" s="71">
        <v>4.07</v>
      </c>
      <c r="T722" s="70" t="s">
        <v>3075</v>
      </c>
      <c r="U722" s="71">
        <v>7.06</v>
      </c>
      <c r="V722" s="71">
        <v>7.06</v>
      </c>
      <c r="W722" s="67"/>
      <c r="X722" s="67"/>
      <c r="Y722" s="67"/>
      <c r="Z722" s="67"/>
      <c r="AA722" s="67"/>
      <c r="AB722" s="67"/>
      <c r="AC722" s="67"/>
    </row>
    <row r="723">
      <c r="A723" s="74">
        <v>46143.0</v>
      </c>
      <c r="B723" s="70" t="s">
        <v>3076</v>
      </c>
      <c r="C723" s="70" t="s">
        <v>1665</v>
      </c>
      <c r="D723" s="71">
        <v>6.08</v>
      </c>
      <c r="E723" s="71">
        <v>0.0</v>
      </c>
      <c r="F723" s="68"/>
      <c r="G723" s="68"/>
      <c r="H723" s="71"/>
      <c r="I723" s="72"/>
      <c r="J723" s="70" t="s">
        <v>1666</v>
      </c>
      <c r="K723" s="67"/>
      <c r="L723" s="67" t="s">
        <v>3077</v>
      </c>
      <c r="M723" s="75">
        <v>1.0</v>
      </c>
      <c r="N723" s="75">
        <v>0.0</v>
      </c>
      <c r="O723" s="75">
        <v>0.0</v>
      </c>
      <c r="P723" s="75">
        <v>1.0</v>
      </c>
      <c r="Q723" s="76" t="s">
        <v>22</v>
      </c>
      <c r="R723" s="71">
        <v>1.05</v>
      </c>
      <c r="S723" s="71">
        <v>7.13</v>
      </c>
      <c r="T723" s="70" t="s">
        <v>3078</v>
      </c>
      <c r="U723" s="71">
        <v>0.5</v>
      </c>
      <c r="V723" s="71">
        <v>0.5</v>
      </c>
      <c r="W723" s="67"/>
      <c r="X723" s="67"/>
      <c r="Y723" s="67"/>
      <c r="Z723" s="67"/>
      <c r="AA723" s="67"/>
      <c r="AB723" s="67"/>
      <c r="AC723" s="67"/>
    </row>
    <row r="724">
      <c r="A724" s="74">
        <v>46145.0</v>
      </c>
      <c r="B724" s="70" t="s">
        <v>3079</v>
      </c>
      <c r="C724" s="70" t="s">
        <v>1545</v>
      </c>
      <c r="D724" s="71">
        <v>3.33</v>
      </c>
      <c r="E724" s="71">
        <v>2.83</v>
      </c>
      <c r="F724" s="68"/>
      <c r="G724" s="68"/>
      <c r="H724" s="68"/>
      <c r="I724" s="69"/>
      <c r="J724" s="70" t="s">
        <v>1450</v>
      </c>
      <c r="K724" s="67"/>
      <c r="L724" s="67" t="s">
        <v>3080</v>
      </c>
      <c r="M724" s="75">
        <v>1.0</v>
      </c>
      <c r="N724" s="75">
        <v>0.0</v>
      </c>
      <c r="O724" s="75">
        <v>0.0</v>
      </c>
      <c r="P724" s="70">
        <v>1.0</v>
      </c>
      <c r="Q724" s="76" t="s">
        <v>22</v>
      </c>
      <c r="R724" s="71">
        <v>1.53</v>
      </c>
      <c r="S724" s="71">
        <v>4.86</v>
      </c>
      <c r="T724" s="70" t="s">
        <v>3081</v>
      </c>
      <c r="U724" s="71">
        <v>5.0</v>
      </c>
      <c r="V724" s="71">
        <v>7.83</v>
      </c>
      <c r="W724" s="67"/>
      <c r="X724" s="67"/>
      <c r="Y724" s="67"/>
      <c r="Z724" s="67"/>
      <c r="AA724" s="67"/>
      <c r="AB724" s="67"/>
      <c r="AC724" s="67"/>
    </row>
    <row r="725">
      <c r="A725" s="74">
        <v>46145.0</v>
      </c>
      <c r="B725" s="70" t="s">
        <v>3082</v>
      </c>
      <c r="C725" s="70" t="s">
        <v>1474</v>
      </c>
      <c r="D725" s="71">
        <v>1.57</v>
      </c>
      <c r="E725" s="71">
        <v>0.0</v>
      </c>
      <c r="F725" s="71">
        <v>20.0</v>
      </c>
      <c r="G725" s="68"/>
      <c r="H725" s="71">
        <v>16.19</v>
      </c>
      <c r="I725" s="72">
        <v>0.8095000000000001</v>
      </c>
      <c r="J725" s="70" t="s">
        <v>1462</v>
      </c>
      <c r="K725" s="67"/>
      <c r="L725" s="70" t="s">
        <v>3083</v>
      </c>
      <c r="M725" s="75">
        <v>1.0</v>
      </c>
      <c r="N725" s="75">
        <v>0.0</v>
      </c>
      <c r="O725" s="75">
        <v>0.0</v>
      </c>
      <c r="P725" s="75">
        <v>1.0</v>
      </c>
      <c r="Q725" s="70" t="s">
        <v>22</v>
      </c>
      <c r="R725" s="71">
        <v>2.24</v>
      </c>
      <c r="S725" s="71">
        <v>3.81</v>
      </c>
      <c r="T725" s="70" t="s">
        <v>3084</v>
      </c>
      <c r="U725" s="71">
        <v>7.56</v>
      </c>
      <c r="V725" s="71">
        <v>7.56</v>
      </c>
      <c r="W725" s="67"/>
      <c r="X725" s="67"/>
      <c r="Y725" s="67"/>
      <c r="Z725" s="67"/>
      <c r="AA725" s="67"/>
      <c r="AB725" s="67"/>
      <c r="AC725" s="67"/>
    </row>
    <row r="726">
      <c r="A726" s="74">
        <v>46145.0</v>
      </c>
      <c r="B726" s="70" t="s">
        <v>3085</v>
      </c>
      <c r="C726" s="70" t="s">
        <v>1474</v>
      </c>
      <c r="D726" s="71">
        <v>2.75</v>
      </c>
      <c r="E726" s="71">
        <v>0.0</v>
      </c>
      <c r="F726" s="71">
        <v>20.0</v>
      </c>
      <c r="G726" s="68"/>
      <c r="H726" s="71">
        <v>15.06</v>
      </c>
      <c r="I726" s="72">
        <v>0.753</v>
      </c>
      <c r="J726" s="70" t="s">
        <v>1462</v>
      </c>
      <c r="K726" s="67"/>
      <c r="L726" s="70" t="s">
        <v>3086</v>
      </c>
      <c r="M726" s="75">
        <v>1.0</v>
      </c>
      <c r="N726" s="75">
        <v>0.0</v>
      </c>
      <c r="O726" s="75">
        <v>0.0</v>
      </c>
      <c r="P726" s="75">
        <v>1.0</v>
      </c>
      <c r="Q726" s="70" t="s">
        <v>22</v>
      </c>
      <c r="R726" s="71">
        <v>2.19</v>
      </c>
      <c r="S726" s="71">
        <v>4.94</v>
      </c>
      <c r="T726" s="70" t="s">
        <v>3087</v>
      </c>
      <c r="U726" s="71">
        <v>7.56</v>
      </c>
      <c r="V726" s="71">
        <v>7.56</v>
      </c>
      <c r="W726" s="67"/>
      <c r="X726" s="67"/>
      <c r="Y726" s="67"/>
      <c r="Z726" s="67"/>
      <c r="AA726" s="67"/>
      <c r="AB726" s="67"/>
      <c r="AC726" s="67"/>
    </row>
    <row r="727">
      <c r="A727" s="74">
        <v>46145.0</v>
      </c>
      <c r="B727" s="70" t="s">
        <v>3088</v>
      </c>
      <c r="C727" s="70" t="s">
        <v>1564</v>
      </c>
      <c r="D727" s="71">
        <v>0.0</v>
      </c>
      <c r="E727" s="71">
        <v>0.0</v>
      </c>
      <c r="F727" s="68"/>
      <c r="G727" s="68"/>
      <c r="H727" s="68"/>
      <c r="I727" s="69"/>
      <c r="J727" s="70" t="s">
        <v>1450</v>
      </c>
      <c r="K727" s="67"/>
      <c r="L727" s="70" t="s">
        <v>3089</v>
      </c>
      <c r="M727" s="75">
        <v>1.0</v>
      </c>
      <c r="N727" s="75">
        <v>0.0</v>
      </c>
      <c r="O727" s="75">
        <v>0.0</v>
      </c>
      <c r="P727" s="75">
        <v>1.0</v>
      </c>
      <c r="Q727" s="70" t="s">
        <v>22</v>
      </c>
      <c r="R727" s="71">
        <v>0.24</v>
      </c>
      <c r="S727" s="71">
        <v>0.24</v>
      </c>
      <c r="T727" s="70" t="s">
        <v>3090</v>
      </c>
      <c r="U727" s="71">
        <v>2.31</v>
      </c>
      <c r="V727" s="71">
        <v>2.31</v>
      </c>
      <c r="W727" s="67"/>
      <c r="X727" s="67"/>
      <c r="Y727" s="67"/>
      <c r="Z727" s="67"/>
      <c r="AA727" s="67"/>
      <c r="AB727" s="67"/>
      <c r="AC727" s="67"/>
    </row>
    <row r="728">
      <c r="A728" s="74">
        <v>46145.0</v>
      </c>
      <c r="B728" s="70" t="s">
        <v>3091</v>
      </c>
      <c r="C728" s="70" t="s">
        <v>2581</v>
      </c>
      <c r="D728" s="71">
        <v>2.2</v>
      </c>
      <c r="E728" s="71">
        <v>5.0</v>
      </c>
      <c r="F728" s="68"/>
      <c r="G728" s="68"/>
      <c r="H728" s="71"/>
      <c r="I728" s="72"/>
      <c r="J728" s="70" t="s">
        <v>1450</v>
      </c>
      <c r="K728" s="67"/>
      <c r="L728" s="70" t="s">
        <v>3092</v>
      </c>
      <c r="M728" s="75">
        <v>1.0</v>
      </c>
      <c r="N728" s="75">
        <v>0.0</v>
      </c>
      <c r="O728" s="75">
        <v>0.0</v>
      </c>
      <c r="P728" s="75">
        <v>1.0</v>
      </c>
      <c r="Q728" s="76" t="s">
        <v>22</v>
      </c>
      <c r="R728" s="71">
        <v>2.03</v>
      </c>
      <c r="S728" s="71">
        <v>4.23</v>
      </c>
      <c r="T728" s="70" t="s">
        <v>3093</v>
      </c>
      <c r="U728" s="71">
        <v>7.69</v>
      </c>
      <c r="V728" s="71">
        <v>12.69</v>
      </c>
      <c r="W728" s="67"/>
      <c r="X728" s="67"/>
      <c r="Y728" s="67"/>
      <c r="Z728" s="67"/>
      <c r="AA728" s="67"/>
      <c r="AB728" s="67"/>
      <c r="AC728" s="67"/>
    </row>
    <row r="729">
      <c r="A729" s="74">
        <v>46145.0</v>
      </c>
      <c r="B729" s="70" t="s">
        <v>3094</v>
      </c>
      <c r="C729" s="70" t="s">
        <v>1490</v>
      </c>
      <c r="D729" s="71">
        <v>10.2</v>
      </c>
      <c r="E729" s="71">
        <v>24.99</v>
      </c>
      <c r="F729" s="71">
        <v>18.0</v>
      </c>
      <c r="G729" s="68"/>
      <c r="H729" s="71">
        <v>7.56</v>
      </c>
      <c r="I729" s="72">
        <v>0.42</v>
      </c>
      <c r="J729" s="70" t="s">
        <v>1462</v>
      </c>
      <c r="K729" s="67"/>
      <c r="L729" s="70" t="s">
        <v>3095</v>
      </c>
      <c r="M729" s="75">
        <v>1.0</v>
      </c>
      <c r="N729" s="75">
        <v>0.0</v>
      </c>
      <c r="O729" s="75">
        <v>0.0</v>
      </c>
      <c r="P729" s="75">
        <v>1.0</v>
      </c>
      <c r="Q729" s="70" t="s">
        <v>22</v>
      </c>
      <c r="R729" s="71">
        <v>0.24</v>
      </c>
      <c r="S729" s="71">
        <v>10.44</v>
      </c>
      <c r="T729" s="70" t="s">
        <v>3096</v>
      </c>
      <c r="U729" s="71">
        <v>2.31</v>
      </c>
      <c r="V729" s="71">
        <v>27.3</v>
      </c>
      <c r="W729" s="67"/>
      <c r="X729" s="67"/>
      <c r="Y729" s="67"/>
      <c r="Z729" s="67"/>
      <c r="AA729" s="67"/>
      <c r="AB729" s="67"/>
      <c r="AC729" s="67"/>
    </row>
    <row r="730">
      <c r="A730" s="74">
        <v>46146.0</v>
      </c>
      <c r="B730" s="70" t="s">
        <v>3097</v>
      </c>
      <c r="C730" s="70" t="s">
        <v>1569</v>
      </c>
      <c r="D730" s="71">
        <v>2.2</v>
      </c>
      <c r="E730" s="71">
        <v>0.0</v>
      </c>
      <c r="F730" s="71">
        <v>25.0</v>
      </c>
      <c r="G730" s="68"/>
      <c r="H730" s="71">
        <v>20.56</v>
      </c>
      <c r="I730" s="72">
        <v>0.8223999999999999</v>
      </c>
      <c r="J730" s="70" t="s">
        <v>1462</v>
      </c>
      <c r="K730" s="67"/>
      <c r="L730" s="67" t="s">
        <v>3098</v>
      </c>
      <c r="M730" s="75">
        <v>1.0</v>
      </c>
      <c r="N730" s="75">
        <v>0.0</v>
      </c>
      <c r="O730" s="75">
        <v>0.0</v>
      </c>
      <c r="P730" s="75">
        <v>1.0</v>
      </c>
      <c r="Q730" s="76" t="s">
        <v>22</v>
      </c>
      <c r="R730" s="71">
        <v>2.24</v>
      </c>
      <c r="S730" s="71">
        <v>4.44</v>
      </c>
      <c r="T730" s="70" t="s">
        <v>3099</v>
      </c>
      <c r="U730" s="71">
        <v>7.56</v>
      </c>
      <c r="V730" s="71">
        <v>7.56</v>
      </c>
      <c r="W730" s="67"/>
      <c r="X730" s="67"/>
      <c r="Y730" s="67"/>
      <c r="Z730" s="67"/>
      <c r="AA730" s="67"/>
      <c r="AB730" s="67"/>
      <c r="AC730" s="67"/>
    </row>
    <row r="731">
      <c r="A731" s="74">
        <v>46146.0</v>
      </c>
      <c r="B731" s="70" t="s">
        <v>3100</v>
      </c>
      <c r="C731" s="70" t="s">
        <v>1684</v>
      </c>
      <c r="D731" s="71">
        <v>7.57</v>
      </c>
      <c r="E731" s="71">
        <v>0.0</v>
      </c>
      <c r="F731" s="68"/>
      <c r="G731" s="68"/>
      <c r="H731" s="68"/>
      <c r="I731" s="69"/>
      <c r="J731" s="70" t="s">
        <v>1450</v>
      </c>
      <c r="K731" s="67"/>
      <c r="L731" s="70" t="s">
        <v>3101</v>
      </c>
      <c r="M731" s="75">
        <v>1.0</v>
      </c>
      <c r="N731" s="75">
        <v>0.0</v>
      </c>
      <c r="O731" s="75">
        <v>0.0</v>
      </c>
      <c r="P731" s="75">
        <v>1.0</v>
      </c>
      <c r="Q731" s="70" t="s">
        <v>22</v>
      </c>
      <c r="R731" s="71">
        <v>0.37</v>
      </c>
      <c r="S731" s="71">
        <v>7.94</v>
      </c>
      <c r="T731" s="70" t="s">
        <v>3102</v>
      </c>
      <c r="U731" s="71">
        <v>1.94</v>
      </c>
      <c r="V731" s="71">
        <v>1.94</v>
      </c>
      <c r="W731" s="67"/>
      <c r="X731" s="67"/>
      <c r="Y731" s="67"/>
      <c r="Z731" s="67"/>
      <c r="AA731" s="67"/>
      <c r="AB731" s="67"/>
      <c r="AC731" s="67"/>
    </row>
    <row r="732">
      <c r="A732" s="74">
        <v>46146.0</v>
      </c>
      <c r="B732" s="70" t="s">
        <v>3103</v>
      </c>
      <c r="C732" s="70" t="s">
        <v>2824</v>
      </c>
      <c r="D732" s="71">
        <v>5.69</v>
      </c>
      <c r="E732" s="71">
        <v>11.38</v>
      </c>
      <c r="F732" s="71">
        <v>18.0</v>
      </c>
      <c r="G732" s="68"/>
      <c r="H732" s="71">
        <v>11.81</v>
      </c>
      <c r="I732" s="72">
        <v>0.6561111111111111</v>
      </c>
      <c r="J732" s="70" t="s">
        <v>1462</v>
      </c>
      <c r="K732" s="67"/>
      <c r="L732" s="70" t="s">
        <v>3104</v>
      </c>
      <c r="M732" s="75">
        <v>1.0</v>
      </c>
      <c r="N732" s="75">
        <v>0.0</v>
      </c>
      <c r="O732" s="75">
        <v>0.0</v>
      </c>
      <c r="P732" s="75">
        <v>1.0</v>
      </c>
      <c r="Q732" s="70" t="s">
        <v>22</v>
      </c>
      <c r="R732" s="71">
        <v>0.5</v>
      </c>
      <c r="S732" s="71">
        <v>6.19</v>
      </c>
      <c r="T732" s="70" t="s">
        <v>3105</v>
      </c>
      <c r="U732" s="71">
        <v>4.06</v>
      </c>
      <c r="V732" s="71">
        <v>15.44</v>
      </c>
      <c r="W732" s="67"/>
      <c r="X732" s="67"/>
      <c r="Y732" s="67"/>
      <c r="Z732" s="67"/>
      <c r="AA732" s="67"/>
      <c r="AB732" s="67"/>
      <c r="AC732" s="67"/>
    </row>
    <row r="733">
      <c r="A733" s="74">
        <v>46146.0</v>
      </c>
      <c r="B733" s="70" t="s">
        <v>3106</v>
      </c>
      <c r="C733" s="70" t="s">
        <v>2707</v>
      </c>
      <c r="D733" s="71">
        <v>5.59</v>
      </c>
      <c r="E733" s="71">
        <v>15.0</v>
      </c>
      <c r="F733" s="68"/>
      <c r="G733" s="68"/>
      <c r="H733" s="71"/>
      <c r="I733" s="72"/>
      <c r="J733" s="70" t="s">
        <v>1450</v>
      </c>
      <c r="K733" s="67"/>
      <c r="L733" s="70" t="s">
        <v>3107</v>
      </c>
      <c r="M733" s="75">
        <v>1.0</v>
      </c>
      <c r="N733" s="75">
        <v>0.0</v>
      </c>
      <c r="O733" s="75">
        <v>0.0</v>
      </c>
      <c r="P733" s="75">
        <v>1.0</v>
      </c>
      <c r="Q733" s="70" t="s">
        <v>22</v>
      </c>
      <c r="R733" s="71">
        <v>0.5</v>
      </c>
      <c r="S733" s="71">
        <v>6.09</v>
      </c>
      <c r="T733" s="70" t="s">
        <v>3108</v>
      </c>
      <c r="U733" s="71">
        <v>4.06</v>
      </c>
      <c r="V733" s="71">
        <v>19.06</v>
      </c>
      <c r="W733" s="67"/>
      <c r="X733" s="67"/>
      <c r="Y733" s="67"/>
      <c r="Z733" s="67"/>
      <c r="AA733" s="67"/>
      <c r="AB733" s="67"/>
      <c r="AC733" s="67"/>
    </row>
    <row r="734">
      <c r="A734" s="74">
        <v>46146.0</v>
      </c>
      <c r="B734" s="70" t="s">
        <v>3109</v>
      </c>
      <c r="C734" s="70" t="s">
        <v>3110</v>
      </c>
      <c r="D734" s="71">
        <v>25.0</v>
      </c>
      <c r="E734" s="71">
        <v>0.0</v>
      </c>
      <c r="F734" s="68"/>
      <c r="G734" s="68"/>
      <c r="H734" s="68"/>
      <c r="I734" s="69"/>
      <c r="J734" s="70" t="s">
        <v>1450</v>
      </c>
      <c r="K734" s="67"/>
      <c r="L734" s="70" t="s">
        <v>3111</v>
      </c>
      <c r="M734" s="75">
        <v>1.0</v>
      </c>
      <c r="N734" s="75">
        <v>0.0</v>
      </c>
      <c r="O734" s="75">
        <v>0.0</v>
      </c>
      <c r="P734" s="75">
        <v>1.0</v>
      </c>
      <c r="Q734" s="70" t="s">
        <v>22</v>
      </c>
      <c r="R734" s="71">
        <v>2.11</v>
      </c>
      <c r="S734" s="71">
        <v>27.11</v>
      </c>
      <c r="T734" s="70" t="s">
        <v>3112</v>
      </c>
      <c r="U734" s="71">
        <v>6.88</v>
      </c>
      <c r="V734" s="71">
        <v>6.88</v>
      </c>
      <c r="W734" s="67"/>
      <c r="X734" s="67"/>
      <c r="Y734" s="67"/>
      <c r="Z734" s="67"/>
      <c r="AA734" s="67"/>
      <c r="AB734" s="67"/>
      <c r="AC734" s="67"/>
    </row>
    <row r="735">
      <c r="A735" s="74">
        <v>46146.0</v>
      </c>
      <c r="B735" s="70" t="s">
        <v>3113</v>
      </c>
      <c r="C735" s="70" t="s">
        <v>3114</v>
      </c>
      <c r="D735" s="71">
        <v>0.03</v>
      </c>
      <c r="E735" s="71">
        <v>1.33</v>
      </c>
      <c r="F735" s="68"/>
      <c r="G735" s="68"/>
      <c r="H735" s="71"/>
      <c r="I735" s="72"/>
      <c r="J735" s="70" t="s">
        <v>1450</v>
      </c>
      <c r="K735" s="67"/>
      <c r="L735" s="67" t="s">
        <v>3115</v>
      </c>
      <c r="M735" s="75">
        <v>1.0</v>
      </c>
      <c r="N735" s="75">
        <v>0.0</v>
      </c>
      <c r="O735" s="75">
        <v>0.0</v>
      </c>
      <c r="P735" s="75">
        <v>1.0</v>
      </c>
      <c r="Q735" s="76" t="s">
        <v>22</v>
      </c>
      <c r="R735" s="71">
        <v>0.63</v>
      </c>
      <c r="S735" s="71">
        <v>0.66</v>
      </c>
      <c r="T735" s="70"/>
      <c r="U735" s="71">
        <v>3.69</v>
      </c>
      <c r="V735" s="71">
        <v>5.02</v>
      </c>
      <c r="W735" s="67"/>
      <c r="X735" s="67"/>
      <c r="Y735" s="67"/>
      <c r="Z735" s="67"/>
      <c r="AA735" s="67"/>
      <c r="AB735" s="67"/>
      <c r="AC735" s="67"/>
    </row>
    <row r="736">
      <c r="A736" s="74">
        <v>46146.0</v>
      </c>
      <c r="B736" s="70" t="s">
        <v>3116</v>
      </c>
      <c r="C736" s="70" t="s">
        <v>3114</v>
      </c>
      <c r="D736" s="71">
        <v>0.04</v>
      </c>
      <c r="E736" s="71">
        <v>2.0</v>
      </c>
      <c r="F736" s="68"/>
      <c r="G736" s="68"/>
      <c r="H736" s="68"/>
      <c r="I736" s="69"/>
      <c r="J736" s="70" t="s">
        <v>1450</v>
      </c>
      <c r="K736" s="67"/>
      <c r="L736" s="70" t="s">
        <v>3117</v>
      </c>
      <c r="M736" s="75">
        <v>1.0</v>
      </c>
      <c r="N736" s="75">
        <v>0.0</v>
      </c>
      <c r="O736" s="75">
        <v>0.0</v>
      </c>
      <c r="P736" s="75">
        <v>1.0</v>
      </c>
      <c r="Q736" s="70" t="s">
        <v>22</v>
      </c>
      <c r="R736" s="71">
        <v>0.63</v>
      </c>
      <c r="S736" s="71">
        <v>0.67</v>
      </c>
      <c r="T736" s="67"/>
      <c r="U736" s="71">
        <v>3.69</v>
      </c>
      <c r="V736" s="71">
        <v>5.69</v>
      </c>
      <c r="W736" s="67"/>
      <c r="X736" s="67"/>
      <c r="Y736" s="67"/>
      <c r="Z736" s="67"/>
      <c r="AA736" s="67"/>
      <c r="AB736" s="67"/>
      <c r="AC736" s="67"/>
    </row>
    <row r="737">
      <c r="A737" s="74">
        <v>46146.0</v>
      </c>
      <c r="B737" s="70" t="s">
        <v>3118</v>
      </c>
      <c r="C737" s="70" t="s">
        <v>1474</v>
      </c>
      <c r="D737" s="71">
        <v>2.2</v>
      </c>
      <c r="E737" s="71">
        <v>5.0</v>
      </c>
      <c r="F737" s="71">
        <v>12.0</v>
      </c>
      <c r="G737" s="68"/>
      <c r="H737" s="71">
        <v>9.3</v>
      </c>
      <c r="I737" s="72">
        <v>0.775</v>
      </c>
      <c r="J737" s="70" t="s">
        <v>1462</v>
      </c>
      <c r="K737" s="67"/>
      <c r="L737" s="70" t="s">
        <v>3119</v>
      </c>
      <c r="M737" s="75">
        <v>1.0</v>
      </c>
      <c r="N737" s="75">
        <v>0.0</v>
      </c>
      <c r="O737" s="75">
        <v>0.0</v>
      </c>
      <c r="P737" s="75">
        <v>1.0</v>
      </c>
      <c r="Q737" s="76" t="s">
        <v>22</v>
      </c>
      <c r="R737" s="71">
        <v>0.5</v>
      </c>
      <c r="S737" s="71">
        <v>2.7</v>
      </c>
      <c r="T737" s="70" t="s">
        <v>3120</v>
      </c>
      <c r="U737" s="71">
        <v>6.06</v>
      </c>
      <c r="V737" s="71">
        <v>11.06</v>
      </c>
      <c r="W737" s="67"/>
      <c r="X737" s="67"/>
      <c r="Y737" s="67"/>
      <c r="Z737" s="67"/>
      <c r="AA737" s="67"/>
      <c r="AB737" s="67"/>
      <c r="AC737" s="67"/>
    </row>
    <row r="738">
      <c r="A738" s="74">
        <v>46146.0</v>
      </c>
      <c r="B738" s="70" t="s">
        <v>3121</v>
      </c>
      <c r="C738" s="70" t="s">
        <v>1490</v>
      </c>
      <c r="D738" s="71">
        <v>3.4</v>
      </c>
      <c r="E738" s="71">
        <v>8.33</v>
      </c>
      <c r="F738" s="68"/>
      <c r="G738" s="68"/>
      <c r="H738" s="68"/>
      <c r="I738" s="69"/>
      <c r="J738" s="70" t="s">
        <v>1450</v>
      </c>
      <c r="K738" s="67"/>
      <c r="L738" s="70" t="s">
        <v>3122</v>
      </c>
      <c r="M738" s="75">
        <v>1.0</v>
      </c>
      <c r="N738" s="75">
        <v>0.0</v>
      </c>
      <c r="O738" s="75">
        <v>0.0</v>
      </c>
      <c r="P738" s="75">
        <v>1.0</v>
      </c>
      <c r="Q738" s="70" t="s">
        <v>22</v>
      </c>
      <c r="R738" s="71">
        <v>0.21</v>
      </c>
      <c r="S738" s="71">
        <v>3.61</v>
      </c>
      <c r="T738" s="70" t="s">
        <v>3123</v>
      </c>
      <c r="U738" s="71">
        <v>0.69</v>
      </c>
      <c r="V738" s="71">
        <v>9.02</v>
      </c>
      <c r="W738" s="67"/>
      <c r="X738" s="67"/>
      <c r="Y738" s="67"/>
      <c r="Z738" s="67"/>
      <c r="AA738" s="67"/>
      <c r="AB738" s="67"/>
      <c r="AC738" s="67"/>
    </row>
    <row r="739">
      <c r="A739" s="74">
        <v>46146.0</v>
      </c>
      <c r="B739" s="70" t="s">
        <v>3124</v>
      </c>
      <c r="C739" s="70" t="s">
        <v>1490</v>
      </c>
      <c r="D739" s="71">
        <v>3.4</v>
      </c>
      <c r="E739" s="71">
        <v>8.33</v>
      </c>
      <c r="F739" s="68"/>
      <c r="G739" s="68"/>
      <c r="H739" s="68"/>
      <c r="I739" s="69"/>
      <c r="J739" s="70" t="s">
        <v>1450</v>
      </c>
      <c r="K739" s="67"/>
      <c r="L739" s="70" t="s">
        <v>3125</v>
      </c>
      <c r="M739" s="75">
        <v>1.0</v>
      </c>
      <c r="N739" s="75">
        <v>0.0</v>
      </c>
      <c r="O739" s="75">
        <v>0.0</v>
      </c>
      <c r="P739" s="75">
        <v>1.0</v>
      </c>
      <c r="Q739" s="70" t="s">
        <v>22</v>
      </c>
      <c r="R739" s="71">
        <v>0.21</v>
      </c>
      <c r="S739" s="71">
        <v>3.61</v>
      </c>
      <c r="T739" s="70" t="s">
        <v>3126</v>
      </c>
      <c r="U739" s="71">
        <v>0.69</v>
      </c>
      <c r="V739" s="71">
        <v>9.02</v>
      </c>
      <c r="W739" s="67"/>
      <c r="X739" s="67"/>
      <c r="Y739" s="67"/>
      <c r="Z739" s="67"/>
      <c r="AA739" s="67"/>
      <c r="AB739" s="67"/>
      <c r="AC739" s="67"/>
    </row>
    <row r="740">
      <c r="A740" s="74">
        <v>46146.0</v>
      </c>
      <c r="B740" s="70" t="s">
        <v>3127</v>
      </c>
      <c r="C740" s="70" t="s">
        <v>3114</v>
      </c>
      <c r="D740" s="71">
        <v>0.03</v>
      </c>
      <c r="E740" s="71">
        <v>1.33</v>
      </c>
      <c r="F740" s="68"/>
      <c r="G740" s="68"/>
      <c r="H740" s="68"/>
      <c r="I740" s="69"/>
      <c r="J740" s="70" t="s">
        <v>1450</v>
      </c>
      <c r="K740" s="67"/>
      <c r="L740" s="70" t="s">
        <v>3128</v>
      </c>
      <c r="M740" s="75">
        <v>1.0</v>
      </c>
      <c r="N740" s="75">
        <v>0.0</v>
      </c>
      <c r="O740" s="75">
        <v>0.0</v>
      </c>
      <c r="P740" s="75">
        <v>1.0</v>
      </c>
      <c r="Q740" s="70" t="s">
        <v>22</v>
      </c>
      <c r="R740" s="71">
        <v>0.63</v>
      </c>
      <c r="S740" s="71">
        <v>0.66</v>
      </c>
      <c r="T740" s="70" t="s">
        <v>3129</v>
      </c>
      <c r="U740" s="71">
        <v>3.69</v>
      </c>
      <c r="V740" s="71">
        <v>5.02</v>
      </c>
      <c r="W740" s="67"/>
      <c r="X740" s="67"/>
      <c r="Y740" s="67"/>
      <c r="Z740" s="67"/>
      <c r="AA740" s="67"/>
      <c r="AB740" s="67"/>
      <c r="AC740" s="67"/>
    </row>
    <row r="741">
      <c r="A741" s="74">
        <v>46146.0</v>
      </c>
      <c r="B741" s="70" t="s">
        <v>3130</v>
      </c>
      <c r="C741" s="70" t="s">
        <v>3114</v>
      </c>
      <c r="D741" s="71">
        <v>0.03</v>
      </c>
      <c r="E741" s="71">
        <v>1.33</v>
      </c>
      <c r="F741" s="71">
        <v>6.0</v>
      </c>
      <c r="G741" s="68"/>
      <c r="H741" s="71">
        <v>5.34</v>
      </c>
      <c r="I741" s="72">
        <v>0.89</v>
      </c>
      <c r="J741" s="70" t="s">
        <v>1450</v>
      </c>
      <c r="K741" s="67"/>
      <c r="L741" s="70" t="s">
        <v>3131</v>
      </c>
      <c r="M741" s="75">
        <v>1.0</v>
      </c>
      <c r="N741" s="75">
        <v>0.0</v>
      </c>
      <c r="O741" s="70">
        <v>0.0</v>
      </c>
      <c r="P741" s="75">
        <v>1.0</v>
      </c>
      <c r="Q741" s="76" t="s">
        <v>22</v>
      </c>
      <c r="R741" s="71">
        <v>0.63</v>
      </c>
      <c r="S741" s="71">
        <v>0.66</v>
      </c>
      <c r="T741" s="70"/>
      <c r="U741" s="71">
        <v>3.69</v>
      </c>
      <c r="V741" s="71">
        <v>5.02</v>
      </c>
      <c r="W741" s="67"/>
      <c r="X741" s="67"/>
      <c r="Y741" s="67"/>
      <c r="Z741" s="67"/>
      <c r="AA741" s="67"/>
      <c r="AB741" s="67"/>
      <c r="AC741" s="67"/>
    </row>
    <row r="742">
      <c r="A742" s="74">
        <v>46146.0</v>
      </c>
      <c r="B742" s="70" t="s">
        <v>3132</v>
      </c>
      <c r="C742" s="70" t="s">
        <v>3114</v>
      </c>
      <c r="D742" s="71">
        <v>0.04</v>
      </c>
      <c r="E742" s="71">
        <v>2.0</v>
      </c>
      <c r="F742" s="68"/>
      <c r="G742" s="68"/>
      <c r="H742" s="68"/>
      <c r="I742" s="69"/>
      <c r="J742" s="70" t="s">
        <v>1450</v>
      </c>
      <c r="K742" s="67"/>
      <c r="L742" s="70" t="s">
        <v>3133</v>
      </c>
      <c r="M742" s="75">
        <v>1.0</v>
      </c>
      <c r="N742" s="75">
        <v>0.0</v>
      </c>
      <c r="O742" s="75">
        <v>0.0</v>
      </c>
      <c r="P742" s="75">
        <v>1.0</v>
      </c>
      <c r="Q742" s="70" t="s">
        <v>22</v>
      </c>
      <c r="R742" s="71">
        <v>0.63</v>
      </c>
      <c r="S742" s="71">
        <v>0.67</v>
      </c>
      <c r="T742" s="70"/>
      <c r="U742" s="71">
        <v>3.69</v>
      </c>
      <c r="V742" s="71">
        <v>5.69</v>
      </c>
      <c r="W742" s="67"/>
      <c r="X742" s="67"/>
      <c r="Y742" s="67"/>
      <c r="Z742" s="67"/>
      <c r="AA742" s="67"/>
      <c r="AB742" s="67"/>
      <c r="AC742" s="67"/>
    </row>
    <row r="743">
      <c r="A743" s="74">
        <v>46146.0</v>
      </c>
      <c r="B743" s="70" t="s">
        <v>3134</v>
      </c>
      <c r="C743" s="70" t="s">
        <v>1490</v>
      </c>
      <c r="D743" s="71">
        <v>3.4</v>
      </c>
      <c r="E743" s="71">
        <v>8.33</v>
      </c>
      <c r="F743" s="71">
        <v>25.0</v>
      </c>
      <c r="G743" s="68"/>
      <c r="H743" s="71">
        <v>15.07</v>
      </c>
      <c r="I743" s="72">
        <v>0.6028</v>
      </c>
      <c r="J743" s="70" t="s">
        <v>1462</v>
      </c>
      <c r="K743" s="67"/>
      <c r="L743" s="70" t="s">
        <v>3135</v>
      </c>
      <c r="M743" s="75">
        <v>1.0</v>
      </c>
      <c r="N743" s="75">
        <v>0.0</v>
      </c>
      <c r="O743" s="75">
        <v>0.0</v>
      </c>
      <c r="P743" s="75">
        <v>1.0</v>
      </c>
      <c r="Q743" s="70" t="s">
        <v>22</v>
      </c>
      <c r="R743" s="71">
        <v>6.53</v>
      </c>
      <c r="S743" s="71">
        <v>9.93</v>
      </c>
      <c r="T743" s="70" t="s">
        <v>3136</v>
      </c>
      <c r="U743" s="71">
        <v>22.19</v>
      </c>
      <c r="V743" s="71">
        <v>30.52</v>
      </c>
      <c r="W743" s="67"/>
      <c r="X743" s="67"/>
      <c r="Y743" s="67"/>
      <c r="Z743" s="67"/>
      <c r="AA743" s="67"/>
      <c r="AB743" s="67"/>
      <c r="AC743" s="67"/>
    </row>
    <row r="744">
      <c r="A744" s="74">
        <v>46146.0</v>
      </c>
      <c r="B744" s="70" t="s">
        <v>3137</v>
      </c>
      <c r="C744" s="70" t="s">
        <v>1831</v>
      </c>
      <c r="D744" s="71">
        <v>11.9</v>
      </c>
      <c r="E744" s="71">
        <v>29.98</v>
      </c>
      <c r="F744" s="71">
        <v>16.0</v>
      </c>
      <c r="G744" s="68"/>
      <c r="H744" s="71">
        <v>4.1</v>
      </c>
      <c r="I744" s="72">
        <v>0.25625</v>
      </c>
      <c r="J744" s="70" t="s">
        <v>1462</v>
      </c>
      <c r="K744" s="67"/>
      <c r="L744" s="70" t="s">
        <v>3138</v>
      </c>
      <c r="M744" s="75">
        <v>1.0</v>
      </c>
      <c r="N744" s="75">
        <v>0.0</v>
      </c>
      <c r="O744" s="75">
        <v>0.0</v>
      </c>
      <c r="P744" s="75">
        <v>1.0</v>
      </c>
      <c r="Q744" s="70" t="s">
        <v>22</v>
      </c>
      <c r="R744" s="71">
        <v>0.0</v>
      </c>
      <c r="S744" s="71">
        <v>11.9</v>
      </c>
      <c r="T744" s="70" t="s">
        <v>3139</v>
      </c>
      <c r="U744" s="71">
        <v>0.25</v>
      </c>
      <c r="V744" s="71">
        <v>30.23</v>
      </c>
      <c r="W744" s="67"/>
      <c r="X744" s="67"/>
      <c r="Y744" s="67"/>
      <c r="Z744" s="67"/>
      <c r="AA744" s="67"/>
      <c r="AB744" s="67"/>
      <c r="AC744" s="67"/>
    </row>
    <row r="745">
      <c r="A745" s="74">
        <v>46146.0</v>
      </c>
      <c r="B745" s="70" t="s">
        <v>3140</v>
      </c>
      <c r="C745" s="70" t="s">
        <v>2431</v>
      </c>
      <c r="D745" s="71">
        <v>7.5</v>
      </c>
      <c r="E745" s="71">
        <v>19.99</v>
      </c>
      <c r="F745" s="68"/>
      <c r="G745" s="68"/>
      <c r="H745" s="68"/>
      <c r="I745" s="69"/>
      <c r="J745" s="70" t="s">
        <v>1450</v>
      </c>
      <c r="K745" s="67"/>
      <c r="L745" s="70" t="s">
        <v>3141</v>
      </c>
      <c r="M745" s="75">
        <v>1.0</v>
      </c>
      <c r="N745" s="75">
        <v>0.0</v>
      </c>
      <c r="O745" s="75">
        <v>0.0</v>
      </c>
      <c r="P745" s="75">
        <v>1.0</v>
      </c>
      <c r="Q745" s="70" t="s">
        <v>22</v>
      </c>
      <c r="R745" s="71">
        <v>0.5</v>
      </c>
      <c r="S745" s="71">
        <v>8.0</v>
      </c>
      <c r="T745" s="70" t="s">
        <v>3142</v>
      </c>
      <c r="U745" s="71">
        <v>4.06</v>
      </c>
      <c r="V745" s="71">
        <v>24.05</v>
      </c>
      <c r="W745" s="67"/>
      <c r="X745" s="67"/>
      <c r="Y745" s="67"/>
      <c r="Z745" s="67"/>
      <c r="AA745" s="67"/>
      <c r="AB745" s="67"/>
      <c r="AC745" s="67"/>
    </row>
    <row r="746">
      <c r="A746" s="74">
        <v>46147.0</v>
      </c>
      <c r="B746" s="70" t="s">
        <v>3143</v>
      </c>
      <c r="C746" s="70" t="s">
        <v>1474</v>
      </c>
      <c r="D746" s="71">
        <v>9.99</v>
      </c>
      <c r="E746" s="71">
        <v>0.0</v>
      </c>
      <c r="F746" s="68"/>
      <c r="G746" s="68"/>
      <c r="H746" s="71"/>
      <c r="I746" s="72"/>
      <c r="J746" s="70" t="s">
        <v>1450</v>
      </c>
      <c r="K746" s="67"/>
      <c r="L746" s="67" t="s">
        <v>3144</v>
      </c>
      <c r="M746" s="75">
        <v>1.0</v>
      </c>
      <c r="N746" s="75">
        <v>0.0</v>
      </c>
      <c r="O746" s="75">
        <v>0.0</v>
      </c>
      <c r="P746" s="75">
        <v>1.0</v>
      </c>
      <c r="Q746" s="76" t="s">
        <v>22</v>
      </c>
      <c r="R746" s="71">
        <v>0.89</v>
      </c>
      <c r="S746" s="71">
        <v>10.88</v>
      </c>
      <c r="T746" s="70" t="s">
        <v>3145</v>
      </c>
      <c r="U746" s="71">
        <v>8.56</v>
      </c>
      <c r="V746" s="71">
        <v>8.56</v>
      </c>
      <c r="W746" s="67"/>
      <c r="X746" s="67"/>
      <c r="Y746" s="67"/>
      <c r="Z746" s="67"/>
      <c r="AA746" s="67"/>
      <c r="AB746" s="67"/>
      <c r="AC746" s="67"/>
    </row>
    <row r="747">
      <c r="A747" s="74">
        <v>46147.0</v>
      </c>
      <c r="B747" s="70" t="s">
        <v>3146</v>
      </c>
      <c r="C747" s="70" t="s">
        <v>1465</v>
      </c>
      <c r="D747" s="71">
        <v>7.79</v>
      </c>
      <c r="E747" s="71">
        <v>12.99</v>
      </c>
      <c r="F747" s="68"/>
      <c r="G747" s="68"/>
      <c r="H747" s="68"/>
      <c r="I747" s="69"/>
      <c r="J747" s="70" t="s">
        <v>1450</v>
      </c>
      <c r="K747" s="67"/>
      <c r="L747" s="67" t="s">
        <v>3147</v>
      </c>
      <c r="M747" s="75">
        <v>1.0</v>
      </c>
      <c r="N747" s="75">
        <v>0.0</v>
      </c>
      <c r="O747" s="75">
        <v>0.0</v>
      </c>
      <c r="P747" s="75">
        <v>1.0</v>
      </c>
      <c r="Q747" s="76" t="s">
        <v>22</v>
      </c>
      <c r="R747" s="71">
        <v>0.5</v>
      </c>
      <c r="S747" s="71">
        <v>8.29</v>
      </c>
      <c r="T747" s="70" t="s">
        <v>3148</v>
      </c>
      <c r="U747" s="71">
        <v>4.06</v>
      </c>
      <c r="V747" s="71">
        <v>17.05</v>
      </c>
      <c r="W747" s="67"/>
      <c r="X747" s="67"/>
      <c r="Y747" s="67"/>
      <c r="Z747" s="67"/>
      <c r="AA747" s="67"/>
      <c r="AB747" s="67"/>
      <c r="AC747" s="67"/>
    </row>
    <row r="748">
      <c r="A748" s="74">
        <v>46147.0</v>
      </c>
      <c r="B748" s="70" t="s">
        <v>3149</v>
      </c>
      <c r="C748" s="70" t="s">
        <v>1752</v>
      </c>
      <c r="D748" s="71">
        <v>0.73</v>
      </c>
      <c r="E748" s="71">
        <v>1.36</v>
      </c>
      <c r="F748" s="71">
        <v>10.0</v>
      </c>
      <c r="G748" s="68"/>
      <c r="H748" s="71">
        <v>8.56</v>
      </c>
      <c r="I748" s="72">
        <v>0.8560000000000001</v>
      </c>
      <c r="J748" s="70" t="s">
        <v>1462</v>
      </c>
      <c r="K748" s="67"/>
      <c r="L748" s="70" t="s">
        <v>3150</v>
      </c>
      <c r="M748" s="75">
        <v>1.0</v>
      </c>
      <c r="N748" s="75">
        <v>0.0</v>
      </c>
      <c r="O748" s="75">
        <v>0.0</v>
      </c>
      <c r="P748" s="75">
        <v>1.0</v>
      </c>
      <c r="Q748" s="76" t="s">
        <v>22</v>
      </c>
      <c r="R748" s="71">
        <v>0.71</v>
      </c>
      <c r="S748" s="71">
        <v>1.44</v>
      </c>
      <c r="T748" s="70" t="s">
        <v>3151</v>
      </c>
      <c r="U748" s="71">
        <v>3.69</v>
      </c>
      <c r="V748" s="71">
        <v>5.05</v>
      </c>
      <c r="W748" s="67"/>
      <c r="X748" s="67"/>
      <c r="Y748" s="67"/>
      <c r="Z748" s="67"/>
      <c r="AA748" s="67"/>
      <c r="AB748" s="67"/>
      <c r="AC748" s="67"/>
    </row>
    <row r="749">
      <c r="A749" s="74">
        <v>46147.0</v>
      </c>
      <c r="B749" s="70" t="s">
        <v>3152</v>
      </c>
      <c r="C749" s="70" t="s">
        <v>2393</v>
      </c>
      <c r="D749" s="71">
        <v>9.5</v>
      </c>
      <c r="E749" s="71">
        <v>19.0</v>
      </c>
      <c r="F749" s="71">
        <v>12.0</v>
      </c>
      <c r="G749" s="68"/>
      <c r="H749" s="71">
        <v>2.02</v>
      </c>
      <c r="I749" s="72">
        <v>0.16833333333333333</v>
      </c>
      <c r="J749" s="70" t="s">
        <v>1450</v>
      </c>
      <c r="K749" s="67"/>
      <c r="L749" s="70" t="s">
        <v>3153</v>
      </c>
      <c r="M749" s="75">
        <v>1.0</v>
      </c>
      <c r="N749" s="75">
        <v>0.0</v>
      </c>
      <c r="O749" s="75">
        <v>0.0</v>
      </c>
      <c r="P749" s="75">
        <v>1.0</v>
      </c>
      <c r="Q749" s="70" t="s">
        <v>22</v>
      </c>
      <c r="R749" s="71">
        <v>0.48</v>
      </c>
      <c r="S749" s="71">
        <v>9.98</v>
      </c>
      <c r="T749" s="70" t="s">
        <v>3154</v>
      </c>
      <c r="U749" s="71">
        <v>3.88</v>
      </c>
      <c r="V749" s="71">
        <v>22.88</v>
      </c>
      <c r="W749" s="67"/>
      <c r="X749" s="67"/>
      <c r="Y749" s="67"/>
      <c r="Z749" s="67"/>
      <c r="AA749" s="67"/>
      <c r="AB749" s="67"/>
      <c r="AC749" s="67"/>
    </row>
    <row r="750">
      <c r="A750" s="74">
        <v>46147.0</v>
      </c>
      <c r="B750" s="70" t="s">
        <v>3155</v>
      </c>
      <c r="C750" s="70" t="s">
        <v>2382</v>
      </c>
      <c r="D750" s="71">
        <v>12.5</v>
      </c>
      <c r="E750" s="71">
        <v>25.0</v>
      </c>
      <c r="F750" s="71">
        <v>25.0</v>
      </c>
      <c r="G750" s="68"/>
      <c r="H750" s="71">
        <v>12.02</v>
      </c>
      <c r="I750" s="72">
        <v>0.4808</v>
      </c>
      <c r="J750" s="70" t="s">
        <v>1462</v>
      </c>
      <c r="K750" s="67"/>
      <c r="L750" s="67" t="s">
        <v>3156</v>
      </c>
      <c r="M750" s="75">
        <v>1.0</v>
      </c>
      <c r="N750" s="75">
        <v>0.0</v>
      </c>
      <c r="O750" s="75">
        <v>0.0</v>
      </c>
      <c r="P750" s="75">
        <v>1.0</v>
      </c>
      <c r="Q750" s="76" t="s">
        <v>22</v>
      </c>
      <c r="R750" s="71">
        <v>0.48</v>
      </c>
      <c r="S750" s="71">
        <v>12.98</v>
      </c>
      <c r="T750" s="70" t="s">
        <v>3157</v>
      </c>
      <c r="U750" s="71">
        <v>4.88</v>
      </c>
      <c r="V750" s="71">
        <v>29.88</v>
      </c>
      <c r="W750" s="67"/>
      <c r="X750" s="67"/>
      <c r="Y750" s="67"/>
      <c r="Z750" s="67"/>
      <c r="AA750" s="67"/>
      <c r="AB750" s="67"/>
      <c r="AC750" s="67"/>
    </row>
    <row r="751">
      <c r="A751" s="74">
        <v>46147.0</v>
      </c>
      <c r="B751" s="70" t="s">
        <v>3158</v>
      </c>
      <c r="C751" s="70" t="s">
        <v>2382</v>
      </c>
      <c r="D751" s="71">
        <v>12.5</v>
      </c>
      <c r="E751" s="71">
        <v>25.0</v>
      </c>
      <c r="F751" s="71">
        <v>25.0</v>
      </c>
      <c r="G751" s="68"/>
      <c r="H751" s="71">
        <v>12.02</v>
      </c>
      <c r="I751" s="72">
        <v>0.4808</v>
      </c>
      <c r="J751" s="70" t="s">
        <v>1462</v>
      </c>
      <c r="K751" s="67"/>
      <c r="L751" s="67" t="s">
        <v>3159</v>
      </c>
      <c r="M751" s="75">
        <v>1.0</v>
      </c>
      <c r="N751" s="75">
        <v>0.0</v>
      </c>
      <c r="O751" s="75">
        <v>0.0</v>
      </c>
      <c r="P751" s="75">
        <v>1.0</v>
      </c>
      <c r="Q751" s="76" t="s">
        <v>22</v>
      </c>
      <c r="R751" s="71">
        <v>0.48</v>
      </c>
      <c r="S751" s="71">
        <v>12.98</v>
      </c>
      <c r="T751" s="70" t="s">
        <v>3160</v>
      </c>
      <c r="U751" s="71">
        <v>4.88</v>
      </c>
      <c r="V751" s="71">
        <v>29.88</v>
      </c>
      <c r="W751" s="67"/>
      <c r="X751" s="67"/>
      <c r="Y751" s="67"/>
      <c r="Z751" s="67"/>
      <c r="AA751" s="67"/>
      <c r="AB751" s="67"/>
      <c r="AC751" s="67"/>
    </row>
    <row r="752">
      <c r="A752" s="74">
        <v>46147.0</v>
      </c>
      <c r="B752" s="70" t="s">
        <v>3161</v>
      </c>
      <c r="C752" s="70" t="s">
        <v>2731</v>
      </c>
      <c r="D752" s="71">
        <v>0.08</v>
      </c>
      <c r="E752" s="71">
        <v>4.0</v>
      </c>
      <c r="F752" s="68"/>
      <c r="G752" s="68"/>
      <c r="H752" s="68"/>
      <c r="I752" s="69"/>
      <c r="J752" s="70" t="s">
        <v>1450</v>
      </c>
      <c r="K752" s="67"/>
      <c r="L752" s="70" t="s">
        <v>3162</v>
      </c>
      <c r="M752" s="75">
        <v>1.0</v>
      </c>
      <c r="N752" s="75">
        <v>0.0</v>
      </c>
      <c r="O752" s="75">
        <v>0.0</v>
      </c>
      <c r="P752" s="75">
        <v>1.0</v>
      </c>
      <c r="Q752" s="70" t="s">
        <v>22</v>
      </c>
      <c r="R752" s="71">
        <v>0.48</v>
      </c>
      <c r="S752" s="71">
        <v>0.56</v>
      </c>
      <c r="T752" s="70" t="s">
        <v>3163</v>
      </c>
      <c r="U752" s="71">
        <v>3.88</v>
      </c>
      <c r="V752" s="71">
        <v>7.88</v>
      </c>
      <c r="W752" s="67"/>
      <c r="X752" s="67"/>
      <c r="Y752" s="67"/>
      <c r="Z752" s="67"/>
      <c r="AA752" s="67"/>
      <c r="AB752" s="67"/>
      <c r="AC752" s="67"/>
    </row>
    <row r="753">
      <c r="A753" s="74">
        <v>46147.0</v>
      </c>
      <c r="B753" s="70" t="s">
        <v>3164</v>
      </c>
      <c r="C753" s="70" t="s">
        <v>2731</v>
      </c>
      <c r="D753" s="71">
        <v>0.08</v>
      </c>
      <c r="E753" s="71">
        <v>8.0</v>
      </c>
      <c r="F753" s="68"/>
      <c r="G753" s="68"/>
      <c r="H753" s="68"/>
      <c r="I753" s="69"/>
      <c r="J753" s="70" t="s">
        <v>1450</v>
      </c>
      <c r="K753" s="67"/>
      <c r="L753" s="70" t="s">
        <v>3165</v>
      </c>
      <c r="M753" s="75">
        <v>1.0</v>
      </c>
      <c r="N753" s="75">
        <v>0.0</v>
      </c>
      <c r="O753" s="75">
        <v>0.0</v>
      </c>
      <c r="P753" s="75">
        <v>1.0</v>
      </c>
      <c r="Q753" s="70" t="s">
        <v>22</v>
      </c>
      <c r="R753" s="71">
        <v>0.48</v>
      </c>
      <c r="S753" s="71">
        <v>0.56</v>
      </c>
      <c r="T753" s="70"/>
      <c r="U753" s="71">
        <v>3.88</v>
      </c>
      <c r="V753" s="71">
        <v>11.88</v>
      </c>
      <c r="W753" s="67"/>
      <c r="X753" s="67"/>
      <c r="Y753" s="67"/>
      <c r="Z753" s="67"/>
      <c r="AA753" s="67"/>
      <c r="AB753" s="67"/>
      <c r="AC753" s="67"/>
    </row>
    <row r="754">
      <c r="A754" s="74">
        <v>46147.0</v>
      </c>
      <c r="B754" s="70" t="s">
        <v>3166</v>
      </c>
      <c r="C754" s="70" t="s">
        <v>1474</v>
      </c>
      <c r="D754" s="71">
        <v>2.75</v>
      </c>
      <c r="E754" s="71">
        <v>0.0</v>
      </c>
      <c r="F754" s="71">
        <v>12.0</v>
      </c>
      <c r="G754" s="68"/>
      <c r="H754" s="71">
        <v>8.75</v>
      </c>
      <c r="I754" s="72">
        <v>0.7291666666666666</v>
      </c>
      <c r="J754" s="70" t="s">
        <v>1462</v>
      </c>
      <c r="K754" s="67"/>
      <c r="L754" s="70" t="s">
        <v>3167</v>
      </c>
      <c r="M754" s="75">
        <v>1.0</v>
      </c>
      <c r="N754" s="75">
        <v>0.0</v>
      </c>
      <c r="O754" s="75">
        <v>0.0</v>
      </c>
      <c r="P754" s="75">
        <v>1.0</v>
      </c>
      <c r="Q754" s="70" t="s">
        <v>22</v>
      </c>
      <c r="R754" s="71">
        <v>0.5</v>
      </c>
      <c r="S754" s="71">
        <v>3.25</v>
      </c>
      <c r="T754" s="70" t="s">
        <v>3168</v>
      </c>
      <c r="U754" s="71">
        <v>5.06</v>
      </c>
      <c r="V754" s="71">
        <v>5.06</v>
      </c>
      <c r="W754" s="67"/>
      <c r="X754" s="67"/>
      <c r="Y754" s="67"/>
      <c r="Z754" s="67"/>
      <c r="AA754" s="67"/>
      <c r="AB754" s="67"/>
      <c r="AC754" s="67"/>
    </row>
    <row r="755">
      <c r="A755" s="74">
        <v>46147.0</v>
      </c>
      <c r="B755" s="70" t="s">
        <v>3169</v>
      </c>
      <c r="C755" s="70" t="s">
        <v>2484</v>
      </c>
      <c r="D755" s="71">
        <v>3.42</v>
      </c>
      <c r="E755" s="71">
        <v>0.0</v>
      </c>
      <c r="F755" s="68"/>
      <c r="G755" s="68"/>
      <c r="H755" s="71"/>
      <c r="I755" s="72"/>
      <c r="J755" s="70" t="s">
        <v>1450</v>
      </c>
      <c r="K755" s="67"/>
      <c r="L755" s="70" t="s">
        <v>3170</v>
      </c>
      <c r="M755" s="75">
        <v>1.0</v>
      </c>
      <c r="N755" s="75">
        <v>0.0</v>
      </c>
      <c r="O755" s="75">
        <v>0.0</v>
      </c>
      <c r="P755" s="75">
        <v>1.0</v>
      </c>
      <c r="Q755" s="70" t="s">
        <v>22</v>
      </c>
      <c r="R755" s="71">
        <v>0.5</v>
      </c>
      <c r="S755" s="71">
        <v>3.92</v>
      </c>
      <c r="T755" s="70" t="s">
        <v>3171</v>
      </c>
      <c r="U755" s="71">
        <v>4.06</v>
      </c>
      <c r="V755" s="71">
        <v>4.06</v>
      </c>
      <c r="W755" s="67"/>
      <c r="X755" s="67"/>
      <c r="Y755" s="67"/>
      <c r="Z755" s="67"/>
      <c r="AA755" s="67"/>
      <c r="AB755" s="67"/>
      <c r="AC755" s="67"/>
    </row>
    <row r="756">
      <c r="A756" s="74">
        <v>46147.0</v>
      </c>
      <c r="B756" s="70" t="s">
        <v>3172</v>
      </c>
      <c r="C756" s="70" t="s">
        <v>1530</v>
      </c>
      <c r="D756" s="71">
        <v>8.49</v>
      </c>
      <c r="E756" s="71">
        <v>0.0</v>
      </c>
      <c r="F756" s="68"/>
      <c r="G756" s="68"/>
      <c r="H756" s="71"/>
      <c r="I756" s="72"/>
      <c r="J756" s="70" t="s">
        <v>2512</v>
      </c>
      <c r="K756" s="67"/>
      <c r="L756" s="70" t="s">
        <v>3173</v>
      </c>
      <c r="M756" s="75">
        <v>1.0</v>
      </c>
      <c r="N756" s="75">
        <v>0.0</v>
      </c>
      <c r="O756" s="75">
        <v>0.0</v>
      </c>
      <c r="P756" s="75">
        <v>1.0</v>
      </c>
      <c r="Q756" s="70" t="s">
        <v>22</v>
      </c>
      <c r="R756" s="71">
        <v>0.24</v>
      </c>
      <c r="S756" s="71">
        <v>8.73</v>
      </c>
      <c r="T756" s="70"/>
      <c r="U756" s="71">
        <v>12.06</v>
      </c>
      <c r="V756" s="71">
        <v>12.06</v>
      </c>
      <c r="W756" s="67"/>
      <c r="X756" s="67"/>
      <c r="Y756" s="67"/>
      <c r="Z756" s="67"/>
      <c r="AA756" s="67"/>
      <c r="AB756" s="67"/>
      <c r="AC756" s="67"/>
    </row>
    <row r="757">
      <c r="A757" s="74">
        <v>46147.0</v>
      </c>
      <c r="B757" s="70" t="s">
        <v>3174</v>
      </c>
      <c r="C757" s="70" t="s">
        <v>2438</v>
      </c>
      <c r="D757" s="71">
        <v>2.1</v>
      </c>
      <c r="E757" s="71">
        <v>5.0</v>
      </c>
      <c r="F757" s="71">
        <v>15.0</v>
      </c>
      <c r="G757" s="68"/>
      <c r="H757" s="71">
        <v>12.42</v>
      </c>
      <c r="I757" s="72">
        <v>0.828</v>
      </c>
      <c r="J757" s="70" t="s">
        <v>1462</v>
      </c>
      <c r="K757" s="67"/>
      <c r="L757" s="70" t="s">
        <v>3175</v>
      </c>
      <c r="M757" s="75">
        <v>1.0</v>
      </c>
      <c r="N757" s="75">
        <v>0.0</v>
      </c>
      <c r="O757" s="75">
        <v>0.0</v>
      </c>
      <c r="P757" s="75">
        <v>1.0</v>
      </c>
      <c r="Q757" s="76" t="s">
        <v>22</v>
      </c>
      <c r="R757" s="71">
        <v>0.48</v>
      </c>
      <c r="S757" s="71">
        <v>2.58</v>
      </c>
      <c r="T757" s="70" t="s">
        <v>3176</v>
      </c>
      <c r="U757" s="71">
        <v>3.88</v>
      </c>
      <c r="V757" s="71">
        <v>8.88</v>
      </c>
      <c r="W757" s="67"/>
      <c r="X757" s="67"/>
      <c r="Y757" s="67"/>
      <c r="Z757" s="67"/>
      <c r="AA757" s="67"/>
      <c r="AB757" s="67"/>
      <c r="AC757" s="67"/>
    </row>
    <row r="758">
      <c r="A758" s="74">
        <v>46147.0</v>
      </c>
      <c r="B758" s="70" t="s">
        <v>3177</v>
      </c>
      <c r="C758" s="70" t="s">
        <v>1752</v>
      </c>
      <c r="D758" s="71">
        <v>0.73</v>
      </c>
      <c r="E758" s="71">
        <v>1.36</v>
      </c>
      <c r="F758" s="68"/>
      <c r="G758" s="68"/>
      <c r="H758" s="68"/>
      <c r="I758" s="69"/>
      <c r="J758" s="70" t="s">
        <v>1450</v>
      </c>
      <c r="K758" s="67"/>
      <c r="L758" s="70" t="s">
        <v>3178</v>
      </c>
      <c r="M758" s="75">
        <v>1.0</v>
      </c>
      <c r="N758" s="75">
        <v>0.0</v>
      </c>
      <c r="O758" s="75">
        <v>0.0</v>
      </c>
      <c r="P758" s="75">
        <v>1.0</v>
      </c>
      <c r="Q758" s="70" t="s">
        <v>22</v>
      </c>
      <c r="R758" s="71">
        <v>0.0</v>
      </c>
      <c r="S758" s="71">
        <v>0.73</v>
      </c>
      <c r="T758" s="70" t="s">
        <v>3179</v>
      </c>
      <c r="U758" s="71">
        <v>0.0</v>
      </c>
      <c r="V758" s="71">
        <v>1.36</v>
      </c>
      <c r="W758" s="67"/>
      <c r="X758" s="67"/>
      <c r="Y758" s="67"/>
      <c r="Z758" s="67"/>
      <c r="AA758" s="67"/>
      <c r="AB758" s="67"/>
      <c r="AC758" s="67"/>
    </row>
    <row r="759">
      <c r="A759" s="74">
        <v>46147.0</v>
      </c>
      <c r="B759" s="70" t="s">
        <v>3180</v>
      </c>
      <c r="C759" s="70" t="s">
        <v>1752</v>
      </c>
      <c r="D759" s="71">
        <v>0.73</v>
      </c>
      <c r="E759" s="71">
        <v>1.36</v>
      </c>
      <c r="F759" s="68"/>
      <c r="G759" s="68"/>
      <c r="H759" s="71"/>
      <c r="I759" s="72"/>
      <c r="J759" s="70" t="s">
        <v>1450</v>
      </c>
      <c r="K759" s="67"/>
      <c r="L759" s="70" t="s">
        <v>3181</v>
      </c>
      <c r="M759" s="75">
        <v>1.0</v>
      </c>
      <c r="N759" s="75">
        <v>0.0</v>
      </c>
      <c r="O759" s="75">
        <v>0.0</v>
      </c>
      <c r="P759" s="75">
        <v>1.0</v>
      </c>
      <c r="Q759" s="76" t="s">
        <v>22</v>
      </c>
      <c r="R759" s="71">
        <v>0.0</v>
      </c>
      <c r="S759" s="71">
        <v>0.73</v>
      </c>
      <c r="T759" s="70"/>
      <c r="U759" s="71">
        <v>0.0</v>
      </c>
      <c r="V759" s="71">
        <v>1.36</v>
      </c>
      <c r="W759" s="67"/>
      <c r="X759" s="67"/>
      <c r="Y759" s="67"/>
      <c r="Z759" s="67"/>
      <c r="AA759" s="67"/>
      <c r="AB759" s="67"/>
      <c r="AC759" s="67"/>
    </row>
    <row r="760">
      <c r="A760" s="74">
        <v>46147.0</v>
      </c>
      <c r="B760" s="70" t="s">
        <v>3182</v>
      </c>
      <c r="C760" s="70" t="s">
        <v>1752</v>
      </c>
      <c r="D760" s="71">
        <v>0.73</v>
      </c>
      <c r="E760" s="71">
        <v>1.36</v>
      </c>
      <c r="F760" s="68"/>
      <c r="G760" s="68"/>
      <c r="H760" s="68"/>
      <c r="I760" s="69"/>
      <c r="J760" s="70" t="s">
        <v>1450</v>
      </c>
      <c r="K760" s="67"/>
      <c r="L760" s="70" t="s">
        <v>3183</v>
      </c>
      <c r="M760" s="75">
        <v>1.0</v>
      </c>
      <c r="N760" s="75">
        <v>0.0</v>
      </c>
      <c r="O760" s="75">
        <v>0.0</v>
      </c>
      <c r="P760" s="75">
        <v>1.0</v>
      </c>
      <c r="Q760" s="70" t="s">
        <v>22</v>
      </c>
      <c r="R760" s="71">
        <v>0.0</v>
      </c>
      <c r="S760" s="71">
        <v>0.73</v>
      </c>
      <c r="T760" s="70"/>
      <c r="U760" s="71">
        <v>0.0</v>
      </c>
      <c r="V760" s="71">
        <v>1.36</v>
      </c>
      <c r="W760" s="67"/>
      <c r="X760" s="67"/>
      <c r="Y760" s="67"/>
      <c r="Z760" s="67"/>
      <c r="AA760" s="67"/>
      <c r="AB760" s="67"/>
      <c r="AC760" s="67"/>
    </row>
    <row r="761">
      <c r="A761" s="74">
        <v>46147.0</v>
      </c>
      <c r="B761" s="70" t="s">
        <v>3184</v>
      </c>
      <c r="C761" s="70" t="s">
        <v>1752</v>
      </c>
      <c r="D761" s="71">
        <v>0.73</v>
      </c>
      <c r="E761" s="71">
        <v>1.36</v>
      </c>
      <c r="F761" s="68"/>
      <c r="G761" s="68"/>
      <c r="H761" s="71"/>
      <c r="I761" s="72"/>
      <c r="J761" s="70" t="s">
        <v>1450</v>
      </c>
      <c r="K761" s="67"/>
      <c r="L761" s="70" t="s">
        <v>3185</v>
      </c>
      <c r="M761" s="75">
        <v>1.0</v>
      </c>
      <c r="N761" s="75">
        <v>0.0</v>
      </c>
      <c r="O761" s="75">
        <v>0.0</v>
      </c>
      <c r="P761" s="75">
        <v>1.0</v>
      </c>
      <c r="Q761" s="76" t="s">
        <v>22</v>
      </c>
      <c r="R761" s="71">
        <v>0.0</v>
      </c>
      <c r="S761" s="71">
        <v>0.73</v>
      </c>
      <c r="T761" s="70"/>
      <c r="U761" s="71">
        <v>0.0</v>
      </c>
      <c r="V761" s="71">
        <v>1.36</v>
      </c>
      <c r="W761" s="67"/>
      <c r="X761" s="67"/>
      <c r="Y761" s="67"/>
      <c r="Z761" s="67"/>
      <c r="AA761" s="67"/>
      <c r="AB761" s="67"/>
      <c r="AC761" s="67"/>
    </row>
    <row r="762">
      <c r="A762" s="74">
        <v>46147.0</v>
      </c>
      <c r="B762" s="70" t="s">
        <v>3186</v>
      </c>
      <c r="C762" s="70" t="s">
        <v>1752</v>
      </c>
      <c r="D762" s="71">
        <v>0.73</v>
      </c>
      <c r="E762" s="71">
        <v>1.36</v>
      </c>
      <c r="F762" s="68"/>
      <c r="G762" s="68"/>
      <c r="H762" s="71"/>
      <c r="I762" s="72"/>
      <c r="J762" s="70" t="s">
        <v>1450</v>
      </c>
      <c r="K762" s="67"/>
      <c r="L762" s="70" t="s">
        <v>3187</v>
      </c>
      <c r="M762" s="75">
        <v>1.0</v>
      </c>
      <c r="N762" s="75">
        <v>0.0</v>
      </c>
      <c r="O762" s="75">
        <v>0.0</v>
      </c>
      <c r="P762" s="75">
        <v>1.0</v>
      </c>
      <c r="Q762" s="70" t="s">
        <v>22</v>
      </c>
      <c r="R762" s="71">
        <v>0.0</v>
      </c>
      <c r="S762" s="71">
        <v>0.73</v>
      </c>
      <c r="T762" s="70"/>
      <c r="U762" s="71">
        <v>0.0</v>
      </c>
      <c r="V762" s="71">
        <v>1.36</v>
      </c>
      <c r="W762" s="67"/>
      <c r="X762" s="67"/>
      <c r="Y762" s="67"/>
      <c r="Z762" s="67"/>
      <c r="AA762" s="67"/>
      <c r="AB762" s="67"/>
      <c r="AC762" s="67"/>
    </row>
    <row r="763">
      <c r="A763" s="74">
        <v>46147.0</v>
      </c>
      <c r="B763" s="70" t="s">
        <v>3188</v>
      </c>
      <c r="C763" s="70" t="s">
        <v>1752</v>
      </c>
      <c r="D763" s="71">
        <v>0.73</v>
      </c>
      <c r="E763" s="71">
        <v>1.36</v>
      </c>
      <c r="F763" s="68"/>
      <c r="G763" s="68"/>
      <c r="H763" s="71"/>
      <c r="I763" s="72"/>
      <c r="J763" s="70" t="s">
        <v>1450</v>
      </c>
      <c r="K763" s="67"/>
      <c r="L763" s="70" t="s">
        <v>3189</v>
      </c>
      <c r="M763" s="75">
        <v>1.0</v>
      </c>
      <c r="N763" s="75">
        <v>0.0</v>
      </c>
      <c r="O763" s="75">
        <v>0.0</v>
      </c>
      <c r="P763" s="75">
        <v>1.0</v>
      </c>
      <c r="Q763" s="76" t="s">
        <v>22</v>
      </c>
      <c r="R763" s="71">
        <v>0.0</v>
      </c>
      <c r="S763" s="71">
        <v>0.73</v>
      </c>
      <c r="T763" s="70"/>
      <c r="U763" s="71">
        <v>0.0</v>
      </c>
      <c r="V763" s="71">
        <v>1.36</v>
      </c>
      <c r="W763" s="67"/>
      <c r="X763" s="67"/>
      <c r="Y763" s="67"/>
      <c r="Z763" s="67"/>
      <c r="AA763" s="67"/>
      <c r="AB763" s="67"/>
      <c r="AC763" s="67"/>
    </row>
    <row r="764">
      <c r="A764" s="74">
        <v>46147.0</v>
      </c>
      <c r="B764" s="70" t="s">
        <v>3190</v>
      </c>
      <c r="C764" s="70" t="s">
        <v>1752</v>
      </c>
      <c r="D764" s="71">
        <v>0.73</v>
      </c>
      <c r="E764" s="71">
        <v>1.36</v>
      </c>
      <c r="F764" s="68"/>
      <c r="G764" s="68"/>
      <c r="H764" s="71"/>
      <c r="I764" s="72"/>
      <c r="J764" s="70" t="s">
        <v>1450</v>
      </c>
      <c r="K764" s="67"/>
      <c r="L764" s="70" t="s">
        <v>3191</v>
      </c>
      <c r="M764" s="75">
        <v>1.0</v>
      </c>
      <c r="N764" s="75">
        <v>0.0</v>
      </c>
      <c r="O764" s="75">
        <v>0.0</v>
      </c>
      <c r="P764" s="75">
        <v>1.0</v>
      </c>
      <c r="Q764" s="70" t="s">
        <v>22</v>
      </c>
      <c r="R764" s="71">
        <v>0.0</v>
      </c>
      <c r="S764" s="71">
        <v>0.73</v>
      </c>
      <c r="T764" s="67"/>
      <c r="U764" s="71">
        <v>0.0</v>
      </c>
      <c r="V764" s="71">
        <v>1.36</v>
      </c>
      <c r="W764" s="67"/>
      <c r="X764" s="67"/>
      <c r="Y764" s="67"/>
      <c r="Z764" s="67"/>
      <c r="AA764" s="67"/>
      <c r="AB764" s="67"/>
      <c r="AC764" s="67"/>
    </row>
    <row r="765">
      <c r="A765" s="74">
        <v>46147.0</v>
      </c>
      <c r="B765" s="70" t="s">
        <v>3192</v>
      </c>
      <c r="C765" s="70" t="s">
        <v>2438</v>
      </c>
      <c r="D765" s="71">
        <v>3.15</v>
      </c>
      <c r="E765" s="71">
        <v>7.5</v>
      </c>
      <c r="F765" s="71">
        <v>15.0</v>
      </c>
      <c r="G765" s="68"/>
      <c r="H765" s="71">
        <v>11.37</v>
      </c>
      <c r="I765" s="72">
        <v>0.7579999999999999</v>
      </c>
      <c r="J765" s="70" t="s">
        <v>1462</v>
      </c>
      <c r="K765" s="67"/>
      <c r="L765" s="70" t="s">
        <v>3193</v>
      </c>
      <c r="M765" s="75">
        <v>1.0</v>
      </c>
      <c r="N765" s="75">
        <v>0.0</v>
      </c>
      <c r="O765" s="75">
        <v>0.0</v>
      </c>
      <c r="P765" s="75">
        <v>1.0</v>
      </c>
      <c r="Q765" s="70" t="s">
        <v>22</v>
      </c>
      <c r="R765" s="71">
        <v>0.48</v>
      </c>
      <c r="S765" s="71">
        <v>3.63</v>
      </c>
      <c r="T765" s="70" t="s">
        <v>3194</v>
      </c>
      <c r="U765" s="71">
        <v>3.88</v>
      </c>
      <c r="V765" s="71">
        <v>11.38</v>
      </c>
      <c r="W765" s="67"/>
      <c r="X765" s="67"/>
      <c r="Y765" s="67"/>
      <c r="Z765" s="67"/>
      <c r="AA765" s="67"/>
      <c r="AB765" s="67"/>
      <c r="AC765" s="67"/>
    </row>
    <row r="766">
      <c r="A766" s="74">
        <v>46147.0</v>
      </c>
      <c r="B766" s="70" t="s">
        <v>3195</v>
      </c>
      <c r="C766" s="70" t="s">
        <v>1474</v>
      </c>
      <c r="D766" s="71">
        <v>9.99</v>
      </c>
      <c r="E766" s="71">
        <v>0.0</v>
      </c>
      <c r="F766" s="71">
        <v>20.0</v>
      </c>
      <c r="G766" s="68"/>
      <c r="H766" s="71">
        <v>9.12</v>
      </c>
      <c r="I766" s="72">
        <v>0.45599999999999996</v>
      </c>
      <c r="J766" s="70" t="s">
        <v>1462</v>
      </c>
      <c r="K766" s="67"/>
      <c r="L766" s="70" t="s">
        <v>3196</v>
      </c>
      <c r="M766" s="75">
        <v>1.0</v>
      </c>
      <c r="N766" s="75">
        <v>0.0</v>
      </c>
      <c r="O766" s="75">
        <v>0.0</v>
      </c>
      <c r="P766" s="75">
        <v>1.0</v>
      </c>
      <c r="Q766" s="70" t="s">
        <v>22</v>
      </c>
      <c r="R766" s="71">
        <v>0.89</v>
      </c>
      <c r="S766" s="71">
        <v>10.88</v>
      </c>
      <c r="T766" s="70" t="s">
        <v>3197</v>
      </c>
      <c r="U766" s="71">
        <v>8.56</v>
      </c>
      <c r="V766" s="71">
        <v>8.56</v>
      </c>
      <c r="W766" s="67"/>
      <c r="X766" s="67"/>
      <c r="Y766" s="67"/>
      <c r="Z766" s="67"/>
      <c r="AA766" s="67"/>
      <c r="AB766" s="67"/>
      <c r="AC766" s="67"/>
    </row>
    <row r="767">
      <c r="A767" s="74">
        <v>46147.0</v>
      </c>
      <c r="B767" s="70" t="s">
        <v>3198</v>
      </c>
      <c r="C767" s="70" t="s">
        <v>2321</v>
      </c>
      <c r="D767" s="71">
        <v>2.9</v>
      </c>
      <c r="E767" s="71">
        <v>5.8</v>
      </c>
      <c r="F767" s="71">
        <v>10.0</v>
      </c>
      <c r="G767" s="68"/>
      <c r="H767" s="71">
        <v>6.6</v>
      </c>
      <c r="I767" s="72">
        <v>0.6599999999999999</v>
      </c>
      <c r="J767" s="70" t="s">
        <v>1462</v>
      </c>
      <c r="K767" s="67"/>
      <c r="L767" s="70" t="s">
        <v>3199</v>
      </c>
      <c r="M767" s="75">
        <v>1.0</v>
      </c>
      <c r="N767" s="75">
        <v>0.0</v>
      </c>
      <c r="O767" s="75">
        <v>0.0</v>
      </c>
      <c r="P767" s="75">
        <v>1.0</v>
      </c>
      <c r="Q767" s="70" t="s">
        <v>22</v>
      </c>
      <c r="R767" s="71">
        <v>0.5</v>
      </c>
      <c r="S767" s="71">
        <v>3.4</v>
      </c>
      <c r="T767" s="70" t="s">
        <v>3200</v>
      </c>
      <c r="U767" s="71">
        <v>4.06</v>
      </c>
      <c r="V767" s="71">
        <v>9.86</v>
      </c>
      <c r="W767" s="67"/>
      <c r="X767" s="67"/>
      <c r="Y767" s="67"/>
      <c r="Z767" s="67"/>
      <c r="AA767" s="67"/>
      <c r="AB767" s="67"/>
      <c r="AC767" s="67"/>
    </row>
    <row r="768">
      <c r="A768" s="74">
        <v>46147.0</v>
      </c>
      <c r="B768" s="70" t="s">
        <v>3201</v>
      </c>
      <c r="C768" s="70" t="s">
        <v>1802</v>
      </c>
      <c r="D768" s="71">
        <v>9.0</v>
      </c>
      <c r="E768" s="71">
        <v>19.99</v>
      </c>
      <c r="F768" s="71">
        <v>25.0</v>
      </c>
      <c r="G768" s="68"/>
      <c r="H768" s="71">
        <v>15.52</v>
      </c>
      <c r="I768" s="72">
        <v>0.6208</v>
      </c>
      <c r="J768" s="70" t="s">
        <v>1462</v>
      </c>
      <c r="K768" s="67"/>
      <c r="L768" s="70" t="s">
        <v>3202</v>
      </c>
      <c r="M768" s="75">
        <v>1.0</v>
      </c>
      <c r="N768" s="75">
        <v>0.0</v>
      </c>
      <c r="O768" s="75">
        <v>0.0</v>
      </c>
      <c r="P768" s="75">
        <v>1.0</v>
      </c>
      <c r="Q768" s="70" t="s">
        <v>22</v>
      </c>
      <c r="R768" s="71">
        <v>0.48</v>
      </c>
      <c r="S768" s="71">
        <v>9.48</v>
      </c>
      <c r="T768" s="70" t="s">
        <v>3203</v>
      </c>
      <c r="U768" s="71">
        <v>3.88</v>
      </c>
      <c r="V768" s="71">
        <v>23.87</v>
      </c>
      <c r="W768" s="67"/>
      <c r="X768" s="67"/>
      <c r="Y768" s="67"/>
      <c r="Z768" s="67"/>
      <c r="AA768" s="67"/>
      <c r="AB768" s="67"/>
      <c r="AC768" s="67"/>
    </row>
    <row r="769">
      <c r="A769" s="74">
        <v>46147.0</v>
      </c>
      <c r="B769" s="70" t="s">
        <v>3204</v>
      </c>
      <c r="C769" s="70" t="s">
        <v>2438</v>
      </c>
      <c r="D769" s="71">
        <v>3.15</v>
      </c>
      <c r="E769" s="71">
        <v>7.5</v>
      </c>
      <c r="F769" s="71">
        <v>15.0</v>
      </c>
      <c r="G769" s="68"/>
      <c r="H769" s="71">
        <v>11.37</v>
      </c>
      <c r="I769" s="72">
        <v>0.7579999999999999</v>
      </c>
      <c r="J769" s="70" t="s">
        <v>1462</v>
      </c>
      <c r="K769" s="67"/>
      <c r="L769" s="70" t="s">
        <v>3205</v>
      </c>
      <c r="M769" s="75">
        <v>1.0</v>
      </c>
      <c r="N769" s="75">
        <v>0.0</v>
      </c>
      <c r="O769" s="75">
        <v>0.0</v>
      </c>
      <c r="P769" s="75">
        <v>1.0</v>
      </c>
      <c r="Q769" s="70" t="s">
        <v>22</v>
      </c>
      <c r="R769" s="71">
        <v>0.48</v>
      </c>
      <c r="S769" s="71">
        <v>3.63</v>
      </c>
      <c r="T769" s="70" t="s">
        <v>3206</v>
      </c>
      <c r="U769" s="71">
        <v>3.88</v>
      </c>
      <c r="V769" s="71">
        <v>11.38</v>
      </c>
      <c r="W769" s="67"/>
      <c r="X769" s="67"/>
      <c r="Y769" s="67"/>
      <c r="Z769" s="67"/>
      <c r="AA769" s="67"/>
      <c r="AB769" s="67"/>
      <c r="AC769" s="67"/>
    </row>
    <row r="770">
      <c r="A770" s="74">
        <v>46147.0</v>
      </c>
      <c r="B770" s="70" t="s">
        <v>3207</v>
      </c>
      <c r="C770" s="70" t="s">
        <v>2481</v>
      </c>
      <c r="D770" s="71">
        <v>16.5</v>
      </c>
      <c r="E770" s="71">
        <v>39.99</v>
      </c>
      <c r="F770" s="68"/>
      <c r="G770" s="68"/>
      <c r="H770" s="68"/>
      <c r="I770" s="69"/>
      <c r="J770" s="70" t="s">
        <v>1450</v>
      </c>
      <c r="K770" s="67"/>
      <c r="L770" s="70" t="s">
        <v>3208</v>
      </c>
      <c r="M770" s="75">
        <v>1.0</v>
      </c>
      <c r="N770" s="75">
        <v>0.0</v>
      </c>
      <c r="O770" s="75">
        <v>0.0</v>
      </c>
      <c r="P770" s="75">
        <v>1.0</v>
      </c>
      <c r="Q770" s="70" t="s">
        <v>22</v>
      </c>
      <c r="R770" s="71">
        <v>5.04</v>
      </c>
      <c r="S770" s="71">
        <v>21.54</v>
      </c>
      <c r="T770" s="70" t="s">
        <v>3209</v>
      </c>
      <c r="U770" s="71">
        <v>12.06</v>
      </c>
      <c r="V770" s="71">
        <v>52.05</v>
      </c>
      <c r="W770" s="67"/>
      <c r="X770" s="67"/>
      <c r="Y770" s="67"/>
      <c r="Z770" s="67"/>
      <c r="AA770" s="67"/>
      <c r="AB770" s="67"/>
      <c r="AC770" s="67"/>
    </row>
    <row r="771">
      <c r="A771" s="74">
        <v>46149.0</v>
      </c>
      <c r="B771" s="70" t="s">
        <v>3210</v>
      </c>
      <c r="C771" s="70" t="s">
        <v>3211</v>
      </c>
      <c r="D771" s="71">
        <v>0.0</v>
      </c>
      <c r="E771" s="71">
        <v>0.0</v>
      </c>
      <c r="F771" s="68"/>
      <c r="G771" s="68"/>
      <c r="H771" s="71"/>
      <c r="I771" s="72"/>
      <c r="J771" s="70" t="s">
        <v>1450</v>
      </c>
      <c r="K771" s="67"/>
      <c r="L771" s="67" t="s">
        <v>3212</v>
      </c>
      <c r="M771" s="75">
        <v>1.0</v>
      </c>
      <c r="N771" s="75">
        <v>0.0</v>
      </c>
      <c r="O771" s="75">
        <v>0.0</v>
      </c>
      <c r="P771" s="75">
        <v>1.0</v>
      </c>
      <c r="Q771" s="76" t="s">
        <v>22</v>
      </c>
      <c r="R771" s="71">
        <v>0.63</v>
      </c>
      <c r="S771" s="71">
        <v>0.63</v>
      </c>
      <c r="T771" s="70"/>
      <c r="U771" s="71">
        <v>3.69</v>
      </c>
      <c r="V771" s="71">
        <v>3.69</v>
      </c>
      <c r="W771" s="67"/>
      <c r="X771" s="67"/>
      <c r="Y771" s="67"/>
      <c r="Z771" s="67"/>
      <c r="AA771" s="67"/>
      <c r="AB771" s="67"/>
      <c r="AC771" s="67"/>
    </row>
    <row r="772">
      <c r="A772" s="74">
        <v>46150.0</v>
      </c>
      <c r="B772" s="70" t="s">
        <v>3213</v>
      </c>
      <c r="C772" s="70" t="s">
        <v>3214</v>
      </c>
      <c r="D772" s="71">
        <v>4.99</v>
      </c>
      <c r="E772" s="71">
        <v>15.0</v>
      </c>
      <c r="F772" s="71">
        <v>15.0</v>
      </c>
      <c r="G772" s="68"/>
      <c r="H772" s="71">
        <v>9.51</v>
      </c>
      <c r="I772" s="72">
        <v>0.634</v>
      </c>
      <c r="J772" s="70" t="s">
        <v>1462</v>
      </c>
      <c r="K772" s="67"/>
      <c r="L772" s="70" t="s">
        <v>3215</v>
      </c>
      <c r="M772" s="75">
        <v>1.0</v>
      </c>
      <c r="N772" s="75">
        <v>0.0</v>
      </c>
      <c r="O772" s="75">
        <v>0.0</v>
      </c>
      <c r="P772" s="75">
        <v>1.0</v>
      </c>
      <c r="Q772" s="70" t="s">
        <v>22</v>
      </c>
      <c r="R772" s="71">
        <v>0.5</v>
      </c>
      <c r="S772" s="71">
        <v>5.49</v>
      </c>
      <c r="T772" s="70"/>
      <c r="U772" s="71">
        <v>4.06</v>
      </c>
      <c r="V772" s="71">
        <v>19.06</v>
      </c>
      <c r="W772" s="67"/>
      <c r="X772" s="67"/>
      <c r="Y772" s="67"/>
      <c r="Z772" s="67"/>
      <c r="AA772" s="67"/>
      <c r="AB772" s="67"/>
      <c r="AC772" s="67"/>
    </row>
    <row r="773">
      <c r="A773" s="74">
        <v>46151.0</v>
      </c>
      <c r="B773" s="70" t="s">
        <v>3216</v>
      </c>
      <c r="C773" s="70" t="s">
        <v>3217</v>
      </c>
      <c r="D773" s="71">
        <v>4.99</v>
      </c>
      <c r="E773" s="71">
        <v>15.0</v>
      </c>
      <c r="F773" s="71">
        <v>15.0</v>
      </c>
      <c r="G773" s="68"/>
      <c r="H773" s="71">
        <v>9.51</v>
      </c>
      <c r="I773" s="72">
        <v>0.634</v>
      </c>
      <c r="J773" s="70" t="s">
        <v>1462</v>
      </c>
      <c r="K773" s="67"/>
      <c r="L773" s="70" t="s">
        <v>3218</v>
      </c>
      <c r="M773" s="75">
        <v>1.0</v>
      </c>
      <c r="N773" s="75">
        <v>0.0</v>
      </c>
      <c r="O773" s="75">
        <v>0.0</v>
      </c>
      <c r="P773" s="75">
        <v>1.0</v>
      </c>
      <c r="Q773" s="70" t="s">
        <v>22</v>
      </c>
      <c r="R773" s="71">
        <v>0.5</v>
      </c>
      <c r="S773" s="71">
        <v>5.49</v>
      </c>
      <c r="T773" s="70" t="s">
        <v>3219</v>
      </c>
      <c r="U773" s="71">
        <v>4.06</v>
      </c>
      <c r="V773" s="71">
        <v>19.06</v>
      </c>
      <c r="W773" s="67"/>
      <c r="X773" s="67"/>
      <c r="Y773" s="67"/>
      <c r="Z773" s="67"/>
      <c r="AA773" s="67"/>
      <c r="AB773" s="67"/>
      <c r="AC773" s="67"/>
    </row>
    <row r="774">
      <c r="A774" s="74">
        <v>46151.0</v>
      </c>
      <c r="B774" s="70" t="s">
        <v>3220</v>
      </c>
      <c r="C774" s="70" t="s">
        <v>3217</v>
      </c>
      <c r="D774" s="71">
        <v>4.99</v>
      </c>
      <c r="E774" s="71">
        <v>15.0</v>
      </c>
      <c r="F774" s="71">
        <v>15.0</v>
      </c>
      <c r="G774" s="68"/>
      <c r="H774" s="71">
        <v>9.51</v>
      </c>
      <c r="I774" s="72">
        <v>0.634</v>
      </c>
      <c r="J774" s="70" t="s">
        <v>1462</v>
      </c>
      <c r="K774" s="67"/>
      <c r="L774" s="70" t="s">
        <v>3221</v>
      </c>
      <c r="M774" s="75">
        <v>1.0</v>
      </c>
      <c r="N774" s="75">
        <v>0.0</v>
      </c>
      <c r="O774" s="75">
        <v>0.0</v>
      </c>
      <c r="P774" s="75">
        <v>1.0</v>
      </c>
      <c r="Q774" s="70" t="s">
        <v>22</v>
      </c>
      <c r="R774" s="71">
        <v>0.5</v>
      </c>
      <c r="S774" s="71">
        <v>5.49</v>
      </c>
      <c r="T774" s="70" t="s">
        <v>3222</v>
      </c>
      <c r="U774" s="71">
        <v>4.06</v>
      </c>
      <c r="V774" s="71">
        <v>19.06</v>
      </c>
      <c r="W774" s="67"/>
      <c r="X774" s="67"/>
      <c r="Y774" s="67"/>
      <c r="Z774" s="67"/>
      <c r="AA774" s="67"/>
      <c r="AB774" s="67"/>
      <c r="AC774" s="67"/>
    </row>
    <row r="775">
      <c r="A775" s="74">
        <v>46151.0</v>
      </c>
      <c r="B775" s="70" t="s">
        <v>3223</v>
      </c>
      <c r="C775" s="70" t="s">
        <v>3217</v>
      </c>
      <c r="D775" s="71">
        <v>4.99</v>
      </c>
      <c r="E775" s="71">
        <v>15.0</v>
      </c>
      <c r="F775" s="71">
        <v>15.0</v>
      </c>
      <c r="G775" s="68"/>
      <c r="H775" s="71">
        <v>9.51</v>
      </c>
      <c r="I775" s="72">
        <v>0.634</v>
      </c>
      <c r="J775" s="70" t="s">
        <v>1462</v>
      </c>
      <c r="K775" s="67"/>
      <c r="L775" s="70" t="s">
        <v>3224</v>
      </c>
      <c r="M775" s="75">
        <v>1.0</v>
      </c>
      <c r="N775" s="75">
        <v>0.0</v>
      </c>
      <c r="O775" s="75">
        <v>0.0</v>
      </c>
      <c r="P775" s="75">
        <v>1.0</v>
      </c>
      <c r="Q775" s="70" t="s">
        <v>22</v>
      </c>
      <c r="R775" s="71">
        <v>0.5</v>
      </c>
      <c r="S775" s="71">
        <v>5.49</v>
      </c>
      <c r="T775" s="70" t="s">
        <v>3225</v>
      </c>
      <c r="U775" s="71">
        <v>4.06</v>
      </c>
      <c r="V775" s="71">
        <v>19.06</v>
      </c>
      <c r="W775" s="67"/>
      <c r="X775" s="67"/>
      <c r="Y775" s="67"/>
      <c r="Z775" s="67"/>
      <c r="AA775" s="67"/>
      <c r="AB775" s="67"/>
      <c r="AC775" s="67"/>
    </row>
    <row r="776">
      <c r="A776" s="74">
        <v>46151.0</v>
      </c>
      <c r="B776" s="70" t="s">
        <v>3226</v>
      </c>
      <c r="C776" s="70" t="s">
        <v>3217</v>
      </c>
      <c r="D776" s="71">
        <v>4.99</v>
      </c>
      <c r="E776" s="71">
        <v>15.0</v>
      </c>
      <c r="F776" s="71">
        <v>15.0</v>
      </c>
      <c r="G776" s="68"/>
      <c r="H776" s="71">
        <v>9.51</v>
      </c>
      <c r="I776" s="72">
        <v>0.634</v>
      </c>
      <c r="J776" s="70" t="s">
        <v>1462</v>
      </c>
      <c r="K776" s="67"/>
      <c r="L776" s="70" t="s">
        <v>3227</v>
      </c>
      <c r="M776" s="75">
        <v>1.0</v>
      </c>
      <c r="N776" s="75">
        <v>0.0</v>
      </c>
      <c r="O776" s="75">
        <v>0.0</v>
      </c>
      <c r="P776" s="75">
        <v>1.0</v>
      </c>
      <c r="Q776" s="70" t="s">
        <v>22</v>
      </c>
      <c r="R776" s="71">
        <v>0.5</v>
      </c>
      <c r="S776" s="71">
        <v>5.49</v>
      </c>
      <c r="T776" s="70" t="s">
        <v>3228</v>
      </c>
      <c r="U776" s="71">
        <v>4.06</v>
      </c>
      <c r="V776" s="71">
        <v>19.06</v>
      </c>
      <c r="W776" s="67"/>
      <c r="X776" s="67"/>
      <c r="Y776" s="67"/>
      <c r="Z776" s="67"/>
      <c r="AA776" s="67"/>
      <c r="AB776" s="67"/>
      <c r="AC776" s="67"/>
    </row>
    <row r="777">
      <c r="A777" s="74">
        <v>46151.0</v>
      </c>
      <c r="B777" s="70" t="s">
        <v>3229</v>
      </c>
      <c r="C777" s="70" t="s">
        <v>3217</v>
      </c>
      <c r="D777" s="71">
        <v>4.99</v>
      </c>
      <c r="E777" s="71">
        <v>15.0</v>
      </c>
      <c r="F777" s="71">
        <v>15.0</v>
      </c>
      <c r="G777" s="68"/>
      <c r="H777" s="71">
        <v>9.51</v>
      </c>
      <c r="I777" s="72">
        <v>0.634</v>
      </c>
      <c r="J777" s="70" t="s">
        <v>1462</v>
      </c>
      <c r="K777" s="67"/>
      <c r="L777" s="70" t="s">
        <v>3230</v>
      </c>
      <c r="M777" s="75">
        <v>1.0</v>
      </c>
      <c r="N777" s="75">
        <v>0.0</v>
      </c>
      <c r="O777" s="75">
        <v>0.0</v>
      </c>
      <c r="P777" s="75">
        <v>1.0</v>
      </c>
      <c r="Q777" s="70" t="s">
        <v>22</v>
      </c>
      <c r="R777" s="71">
        <v>0.5</v>
      </c>
      <c r="S777" s="71">
        <v>5.49</v>
      </c>
      <c r="T777" s="70" t="s">
        <v>3231</v>
      </c>
      <c r="U777" s="71">
        <v>4.06</v>
      </c>
      <c r="V777" s="71">
        <v>19.06</v>
      </c>
      <c r="W777" s="67"/>
      <c r="X777" s="67"/>
      <c r="Y777" s="67"/>
      <c r="Z777" s="67"/>
      <c r="AA777" s="67"/>
      <c r="AB777" s="67"/>
      <c r="AC777" s="67"/>
    </row>
    <row r="778">
      <c r="A778" s="74">
        <v>46151.0</v>
      </c>
      <c r="B778" s="70" t="s">
        <v>3232</v>
      </c>
      <c r="C778" s="70" t="s">
        <v>3217</v>
      </c>
      <c r="D778" s="71">
        <v>4.99</v>
      </c>
      <c r="E778" s="71">
        <v>15.0</v>
      </c>
      <c r="F778" s="71">
        <v>15.0</v>
      </c>
      <c r="G778" s="68"/>
      <c r="H778" s="71">
        <v>9.51</v>
      </c>
      <c r="I778" s="72">
        <v>0.634</v>
      </c>
      <c r="J778" s="70" t="s">
        <v>1462</v>
      </c>
      <c r="K778" s="67"/>
      <c r="L778" s="67" t="s">
        <v>3233</v>
      </c>
      <c r="M778" s="75">
        <v>1.0</v>
      </c>
      <c r="N778" s="75">
        <v>0.0</v>
      </c>
      <c r="O778" s="75">
        <v>0.0</v>
      </c>
      <c r="P778" s="75">
        <v>1.0</v>
      </c>
      <c r="Q778" s="76" t="s">
        <v>22</v>
      </c>
      <c r="R778" s="71">
        <v>0.5</v>
      </c>
      <c r="S778" s="71">
        <v>5.49</v>
      </c>
      <c r="T778" s="70" t="s">
        <v>3234</v>
      </c>
      <c r="U778" s="71">
        <v>4.06</v>
      </c>
      <c r="V778" s="71">
        <v>19.06</v>
      </c>
      <c r="W778" s="67"/>
      <c r="X778" s="67"/>
      <c r="Y778" s="67"/>
      <c r="Z778" s="67"/>
      <c r="AA778" s="67"/>
      <c r="AB778" s="67"/>
      <c r="AC778" s="67"/>
    </row>
    <row r="779">
      <c r="A779" s="74">
        <v>46151.0</v>
      </c>
      <c r="B779" s="70" t="s">
        <v>3235</v>
      </c>
      <c r="C779" s="70" t="s">
        <v>3214</v>
      </c>
      <c r="D779" s="71">
        <v>4.99</v>
      </c>
      <c r="E779" s="71">
        <v>15.0</v>
      </c>
      <c r="F779" s="71">
        <v>15.0</v>
      </c>
      <c r="G779" s="68"/>
      <c r="H779" s="71">
        <v>9.51</v>
      </c>
      <c r="I779" s="72">
        <v>0.634</v>
      </c>
      <c r="J779" s="70" t="s">
        <v>1462</v>
      </c>
      <c r="K779" s="67"/>
      <c r="L779" s="70" t="s">
        <v>3236</v>
      </c>
      <c r="M779" s="75">
        <v>1.0</v>
      </c>
      <c r="N779" s="75">
        <v>0.0</v>
      </c>
      <c r="O779" s="75">
        <v>0.0</v>
      </c>
      <c r="P779" s="75">
        <v>1.0</v>
      </c>
      <c r="Q779" s="70" t="s">
        <v>22</v>
      </c>
      <c r="R779" s="71">
        <v>0.5</v>
      </c>
      <c r="S779" s="71">
        <v>5.49</v>
      </c>
      <c r="T779" s="70" t="s">
        <v>3237</v>
      </c>
      <c r="U779" s="71">
        <v>4.06</v>
      </c>
      <c r="V779" s="71">
        <v>19.06</v>
      </c>
      <c r="W779" s="67"/>
      <c r="X779" s="67"/>
      <c r="Y779" s="67"/>
      <c r="Z779" s="67"/>
      <c r="AA779" s="67"/>
      <c r="AB779" s="67"/>
      <c r="AC779" s="67"/>
    </row>
    <row r="780">
      <c r="A780" s="74">
        <v>46151.0</v>
      </c>
      <c r="B780" s="70" t="s">
        <v>3238</v>
      </c>
      <c r="C780" s="70" t="s">
        <v>3214</v>
      </c>
      <c r="D780" s="71">
        <v>4.99</v>
      </c>
      <c r="E780" s="71">
        <v>15.0</v>
      </c>
      <c r="F780" s="71">
        <v>15.0</v>
      </c>
      <c r="G780" s="68"/>
      <c r="H780" s="71">
        <v>9.51</v>
      </c>
      <c r="I780" s="72">
        <v>0.634</v>
      </c>
      <c r="J780" s="70" t="s">
        <v>1462</v>
      </c>
      <c r="K780" s="67"/>
      <c r="L780" s="70" t="s">
        <v>3239</v>
      </c>
      <c r="M780" s="75">
        <v>1.0</v>
      </c>
      <c r="N780" s="75">
        <v>0.0</v>
      </c>
      <c r="O780" s="75">
        <v>0.0</v>
      </c>
      <c r="P780" s="75">
        <v>1.0</v>
      </c>
      <c r="Q780" s="70" t="s">
        <v>22</v>
      </c>
      <c r="R780" s="71">
        <v>0.5</v>
      </c>
      <c r="S780" s="71">
        <v>5.49</v>
      </c>
      <c r="T780" s="70" t="s">
        <v>3240</v>
      </c>
      <c r="U780" s="71">
        <v>4.06</v>
      </c>
      <c r="V780" s="71">
        <v>19.06</v>
      </c>
      <c r="W780" s="67"/>
      <c r="X780" s="67"/>
      <c r="Y780" s="67"/>
      <c r="Z780" s="67"/>
      <c r="AA780" s="67"/>
      <c r="AB780" s="67"/>
      <c r="AC780" s="67"/>
    </row>
    <row r="781">
      <c r="A781" s="74">
        <v>46151.0</v>
      </c>
      <c r="B781" s="70" t="s">
        <v>3241</v>
      </c>
      <c r="C781" s="70" t="s">
        <v>3214</v>
      </c>
      <c r="D781" s="71">
        <v>4.99</v>
      </c>
      <c r="E781" s="71">
        <v>15.0</v>
      </c>
      <c r="F781" s="71">
        <v>15.0</v>
      </c>
      <c r="G781" s="68"/>
      <c r="H781" s="71">
        <v>9.51</v>
      </c>
      <c r="I781" s="72">
        <v>0.634</v>
      </c>
      <c r="J781" s="70" t="s">
        <v>1462</v>
      </c>
      <c r="K781" s="67"/>
      <c r="L781" s="70" t="s">
        <v>3242</v>
      </c>
      <c r="M781" s="75">
        <v>1.0</v>
      </c>
      <c r="N781" s="75">
        <v>0.0</v>
      </c>
      <c r="O781" s="75">
        <v>0.0</v>
      </c>
      <c r="P781" s="75">
        <v>1.0</v>
      </c>
      <c r="Q781" s="70" t="s">
        <v>22</v>
      </c>
      <c r="R781" s="71">
        <v>0.5</v>
      </c>
      <c r="S781" s="71">
        <v>5.49</v>
      </c>
      <c r="T781" s="70" t="s">
        <v>3243</v>
      </c>
      <c r="U781" s="71">
        <v>4.06</v>
      </c>
      <c r="V781" s="71">
        <v>19.06</v>
      </c>
      <c r="W781" s="67"/>
      <c r="X781" s="67"/>
      <c r="Y781" s="67"/>
      <c r="Z781" s="67"/>
      <c r="AA781" s="67"/>
      <c r="AB781" s="67"/>
      <c r="AC781" s="67"/>
    </row>
    <row r="782">
      <c r="A782" s="74">
        <v>46151.0</v>
      </c>
      <c r="B782" s="70" t="s">
        <v>3244</v>
      </c>
      <c r="C782" s="70" t="s">
        <v>3214</v>
      </c>
      <c r="D782" s="71">
        <v>4.99</v>
      </c>
      <c r="E782" s="71">
        <v>15.0</v>
      </c>
      <c r="F782" s="71">
        <v>15.0</v>
      </c>
      <c r="G782" s="68"/>
      <c r="H782" s="71">
        <v>9.51</v>
      </c>
      <c r="I782" s="72">
        <v>0.634</v>
      </c>
      <c r="J782" s="70" t="s">
        <v>1462</v>
      </c>
      <c r="K782" s="67"/>
      <c r="L782" s="70" t="s">
        <v>3245</v>
      </c>
      <c r="M782" s="75">
        <v>1.0</v>
      </c>
      <c r="N782" s="75">
        <v>0.0</v>
      </c>
      <c r="O782" s="75">
        <v>0.0</v>
      </c>
      <c r="P782" s="75">
        <v>1.0</v>
      </c>
      <c r="Q782" s="70" t="s">
        <v>22</v>
      </c>
      <c r="R782" s="71">
        <v>0.5</v>
      </c>
      <c r="S782" s="71">
        <v>5.49</v>
      </c>
      <c r="T782" s="70" t="s">
        <v>3246</v>
      </c>
      <c r="U782" s="71">
        <v>4.06</v>
      </c>
      <c r="V782" s="71">
        <v>19.06</v>
      </c>
      <c r="W782" s="67"/>
      <c r="X782" s="67"/>
      <c r="Y782" s="67"/>
      <c r="Z782" s="67"/>
      <c r="AA782" s="67"/>
      <c r="AB782" s="67"/>
      <c r="AC782" s="67"/>
    </row>
    <row r="783">
      <c r="A783" s="74">
        <v>46151.0</v>
      </c>
      <c r="B783" s="70" t="s">
        <v>3247</v>
      </c>
      <c r="C783" s="70" t="s">
        <v>3248</v>
      </c>
      <c r="D783" s="71">
        <v>4.99</v>
      </c>
      <c r="E783" s="71">
        <v>15.0</v>
      </c>
      <c r="F783" s="71">
        <v>15.0</v>
      </c>
      <c r="G783" s="68"/>
      <c r="H783" s="71">
        <v>9.51</v>
      </c>
      <c r="I783" s="72">
        <v>0.634</v>
      </c>
      <c r="J783" s="70" t="s">
        <v>1462</v>
      </c>
      <c r="K783" s="67"/>
      <c r="L783" s="70" t="s">
        <v>3249</v>
      </c>
      <c r="M783" s="75">
        <v>1.0</v>
      </c>
      <c r="N783" s="75">
        <v>0.0</v>
      </c>
      <c r="O783" s="75">
        <v>0.0</v>
      </c>
      <c r="P783" s="75">
        <v>1.0</v>
      </c>
      <c r="Q783" s="70" t="s">
        <v>22</v>
      </c>
      <c r="R783" s="71">
        <v>0.5</v>
      </c>
      <c r="S783" s="71">
        <v>5.49</v>
      </c>
      <c r="T783" s="70" t="s">
        <v>3250</v>
      </c>
      <c r="U783" s="71">
        <v>4.06</v>
      </c>
      <c r="V783" s="71">
        <v>19.06</v>
      </c>
      <c r="W783" s="67"/>
      <c r="X783" s="67"/>
      <c r="Y783" s="67"/>
      <c r="Z783" s="67"/>
      <c r="AA783" s="67"/>
      <c r="AB783" s="67"/>
      <c r="AC783" s="67"/>
    </row>
    <row r="784">
      <c r="A784" s="74">
        <v>46151.0</v>
      </c>
      <c r="B784" s="70" t="s">
        <v>3251</v>
      </c>
      <c r="C784" s="70" t="s">
        <v>3248</v>
      </c>
      <c r="D784" s="71">
        <v>4.99</v>
      </c>
      <c r="E784" s="71">
        <v>15.0</v>
      </c>
      <c r="F784" s="71">
        <v>15.0</v>
      </c>
      <c r="G784" s="68"/>
      <c r="H784" s="71">
        <v>9.51</v>
      </c>
      <c r="I784" s="72">
        <v>0.634</v>
      </c>
      <c r="J784" s="70" t="s">
        <v>1462</v>
      </c>
      <c r="K784" s="67"/>
      <c r="L784" s="70" t="s">
        <v>3252</v>
      </c>
      <c r="M784" s="75">
        <v>1.0</v>
      </c>
      <c r="N784" s="75">
        <v>0.0</v>
      </c>
      <c r="O784" s="75">
        <v>0.0</v>
      </c>
      <c r="P784" s="75">
        <v>1.0</v>
      </c>
      <c r="Q784" s="76" t="s">
        <v>22</v>
      </c>
      <c r="R784" s="71">
        <v>0.5</v>
      </c>
      <c r="S784" s="71">
        <v>5.49</v>
      </c>
      <c r="T784" s="70" t="s">
        <v>3253</v>
      </c>
      <c r="U784" s="71">
        <v>4.06</v>
      </c>
      <c r="V784" s="71">
        <v>19.06</v>
      </c>
      <c r="W784" s="67"/>
      <c r="X784" s="67"/>
      <c r="Y784" s="67"/>
      <c r="Z784" s="67"/>
      <c r="AA784" s="67"/>
      <c r="AB784" s="67"/>
      <c r="AC784" s="67"/>
    </row>
    <row r="785">
      <c r="A785" s="74">
        <v>46151.0</v>
      </c>
      <c r="B785" s="70" t="s">
        <v>3254</v>
      </c>
      <c r="C785" s="70" t="s">
        <v>3248</v>
      </c>
      <c r="D785" s="71">
        <v>4.99</v>
      </c>
      <c r="E785" s="71">
        <v>15.0</v>
      </c>
      <c r="F785" s="71">
        <v>15.0</v>
      </c>
      <c r="G785" s="68"/>
      <c r="H785" s="71">
        <v>9.51</v>
      </c>
      <c r="I785" s="72">
        <v>0.634</v>
      </c>
      <c r="J785" s="70" t="s">
        <v>1462</v>
      </c>
      <c r="K785" s="67"/>
      <c r="L785" s="67" t="s">
        <v>3255</v>
      </c>
      <c r="M785" s="75">
        <v>1.0</v>
      </c>
      <c r="N785" s="75">
        <v>0.0</v>
      </c>
      <c r="O785" s="75">
        <v>0.0</v>
      </c>
      <c r="P785" s="75">
        <v>1.0</v>
      </c>
      <c r="Q785" s="76" t="s">
        <v>22</v>
      </c>
      <c r="R785" s="71">
        <v>0.5</v>
      </c>
      <c r="S785" s="71">
        <v>5.49</v>
      </c>
      <c r="T785" s="70" t="s">
        <v>3256</v>
      </c>
      <c r="U785" s="71">
        <v>4.06</v>
      </c>
      <c r="V785" s="71">
        <v>19.06</v>
      </c>
      <c r="W785" s="67"/>
      <c r="X785" s="67"/>
      <c r="Y785" s="67"/>
      <c r="Z785" s="67"/>
      <c r="AA785" s="67"/>
      <c r="AB785" s="67"/>
      <c r="AC785" s="67"/>
    </row>
    <row r="786">
      <c r="A786" s="74">
        <v>46151.0</v>
      </c>
      <c r="B786" s="70" t="s">
        <v>3257</v>
      </c>
      <c r="C786" s="70" t="s">
        <v>3248</v>
      </c>
      <c r="D786" s="71">
        <v>4.99</v>
      </c>
      <c r="E786" s="71">
        <v>15.0</v>
      </c>
      <c r="F786" s="71">
        <v>15.0</v>
      </c>
      <c r="G786" s="68"/>
      <c r="H786" s="71">
        <v>9.51</v>
      </c>
      <c r="I786" s="72">
        <v>0.634</v>
      </c>
      <c r="J786" s="70" t="s">
        <v>1462</v>
      </c>
      <c r="K786" s="67"/>
      <c r="L786" s="70" t="s">
        <v>3258</v>
      </c>
      <c r="M786" s="75">
        <v>1.0</v>
      </c>
      <c r="N786" s="75">
        <v>0.0</v>
      </c>
      <c r="O786" s="75">
        <v>0.0</v>
      </c>
      <c r="P786" s="75">
        <v>1.0</v>
      </c>
      <c r="Q786" s="70" t="s">
        <v>22</v>
      </c>
      <c r="R786" s="71">
        <v>0.5</v>
      </c>
      <c r="S786" s="71">
        <v>5.49</v>
      </c>
      <c r="T786" s="70" t="s">
        <v>3259</v>
      </c>
      <c r="U786" s="71">
        <v>4.06</v>
      </c>
      <c r="V786" s="71">
        <v>19.06</v>
      </c>
      <c r="W786" s="67"/>
      <c r="X786" s="67"/>
      <c r="Y786" s="67"/>
      <c r="Z786" s="67"/>
      <c r="AA786" s="67"/>
      <c r="AB786" s="67"/>
      <c r="AC786" s="67"/>
    </row>
    <row r="787">
      <c r="A787" s="74">
        <v>46151.0</v>
      </c>
      <c r="B787" s="70" t="s">
        <v>3260</v>
      </c>
      <c r="C787" s="70" t="s">
        <v>3248</v>
      </c>
      <c r="D787" s="71">
        <v>4.99</v>
      </c>
      <c r="E787" s="71">
        <v>15.0</v>
      </c>
      <c r="F787" s="71">
        <v>15.0</v>
      </c>
      <c r="G787" s="68"/>
      <c r="H787" s="71">
        <v>9.51</v>
      </c>
      <c r="I787" s="72">
        <v>0.634</v>
      </c>
      <c r="J787" s="70" t="s">
        <v>1462</v>
      </c>
      <c r="K787" s="67"/>
      <c r="L787" s="70" t="s">
        <v>3261</v>
      </c>
      <c r="M787" s="75">
        <v>1.0</v>
      </c>
      <c r="N787" s="75">
        <v>0.0</v>
      </c>
      <c r="O787" s="75">
        <v>0.0</v>
      </c>
      <c r="P787" s="75">
        <v>1.0</v>
      </c>
      <c r="Q787" s="70" t="s">
        <v>22</v>
      </c>
      <c r="R787" s="71">
        <v>0.5</v>
      </c>
      <c r="S787" s="71">
        <v>5.49</v>
      </c>
      <c r="T787" s="70" t="s">
        <v>3262</v>
      </c>
      <c r="U787" s="71">
        <v>4.06</v>
      </c>
      <c r="V787" s="71">
        <v>19.06</v>
      </c>
      <c r="W787" s="67"/>
      <c r="X787" s="67"/>
      <c r="Y787" s="67"/>
      <c r="Z787" s="67"/>
      <c r="AA787" s="67"/>
      <c r="AB787" s="67"/>
      <c r="AC787" s="67"/>
    </row>
    <row r="788">
      <c r="A788" s="74">
        <v>46151.0</v>
      </c>
      <c r="B788" s="70" t="s">
        <v>3263</v>
      </c>
      <c r="C788" s="70" t="s">
        <v>3248</v>
      </c>
      <c r="D788" s="71">
        <v>4.99</v>
      </c>
      <c r="E788" s="71">
        <v>15.0</v>
      </c>
      <c r="F788" s="71">
        <v>15.0</v>
      </c>
      <c r="G788" s="68"/>
      <c r="H788" s="71">
        <v>9.51</v>
      </c>
      <c r="I788" s="72">
        <v>0.634</v>
      </c>
      <c r="J788" s="70" t="s">
        <v>1462</v>
      </c>
      <c r="K788" s="67"/>
      <c r="L788" s="70" t="s">
        <v>3264</v>
      </c>
      <c r="M788" s="75">
        <v>1.0</v>
      </c>
      <c r="N788" s="75">
        <v>0.0</v>
      </c>
      <c r="O788" s="75">
        <v>0.0</v>
      </c>
      <c r="P788" s="75">
        <v>1.0</v>
      </c>
      <c r="Q788" s="70" t="s">
        <v>22</v>
      </c>
      <c r="R788" s="71">
        <v>0.5</v>
      </c>
      <c r="S788" s="71">
        <v>5.49</v>
      </c>
      <c r="T788" s="70"/>
      <c r="U788" s="71">
        <v>4.06</v>
      </c>
      <c r="V788" s="71">
        <v>19.06</v>
      </c>
      <c r="W788" s="67"/>
      <c r="X788" s="67"/>
      <c r="Y788" s="67"/>
      <c r="Z788" s="67"/>
      <c r="AA788" s="67"/>
      <c r="AB788" s="67"/>
      <c r="AC788" s="67"/>
    </row>
    <row r="789">
      <c r="A789" s="74">
        <v>46151.0</v>
      </c>
      <c r="B789" s="70" t="s">
        <v>3265</v>
      </c>
      <c r="C789" s="70" t="s">
        <v>3248</v>
      </c>
      <c r="D789" s="71">
        <v>4.99</v>
      </c>
      <c r="E789" s="71">
        <v>15.0</v>
      </c>
      <c r="F789" s="71">
        <v>15.0</v>
      </c>
      <c r="G789" s="68"/>
      <c r="H789" s="71">
        <v>9.51</v>
      </c>
      <c r="I789" s="72">
        <v>0.634</v>
      </c>
      <c r="J789" s="70" t="s">
        <v>1462</v>
      </c>
      <c r="K789" s="67"/>
      <c r="L789" s="70" t="s">
        <v>3266</v>
      </c>
      <c r="M789" s="75">
        <v>1.0</v>
      </c>
      <c r="N789" s="75">
        <v>0.0</v>
      </c>
      <c r="O789" s="75">
        <v>0.0</v>
      </c>
      <c r="P789" s="75">
        <v>1.0</v>
      </c>
      <c r="Q789" s="70" t="s">
        <v>22</v>
      </c>
      <c r="R789" s="71">
        <v>0.5</v>
      </c>
      <c r="S789" s="71">
        <v>5.49</v>
      </c>
      <c r="T789" s="70" t="s">
        <v>3267</v>
      </c>
      <c r="U789" s="71">
        <v>4.06</v>
      </c>
      <c r="V789" s="71">
        <v>19.06</v>
      </c>
      <c r="W789" s="67"/>
      <c r="X789" s="67"/>
      <c r="Y789" s="67"/>
      <c r="Z789" s="67"/>
      <c r="AA789" s="67"/>
      <c r="AB789" s="67"/>
      <c r="AC789" s="67"/>
    </row>
    <row r="790">
      <c r="A790" s="74">
        <v>46151.0</v>
      </c>
      <c r="B790" s="70" t="s">
        <v>3268</v>
      </c>
      <c r="C790" s="70" t="s">
        <v>3248</v>
      </c>
      <c r="D790" s="71">
        <v>4.99</v>
      </c>
      <c r="E790" s="71">
        <v>15.0</v>
      </c>
      <c r="F790" s="71">
        <v>15.0</v>
      </c>
      <c r="G790" s="68"/>
      <c r="H790" s="71">
        <v>9.51</v>
      </c>
      <c r="I790" s="72">
        <v>0.634</v>
      </c>
      <c r="J790" s="70" t="s">
        <v>1462</v>
      </c>
      <c r="K790" s="67"/>
      <c r="L790" s="70" t="s">
        <v>3269</v>
      </c>
      <c r="M790" s="75">
        <v>1.0</v>
      </c>
      <c r="N790" s="75">
        <v>0.0</v>
      </c>
      <c r="O790" s="75">
        <v>0.0</v>
      </c>
      <c r="P790" s="75">
        <v>1.0</v>
      </c>
      <c r="Q790" s="70" t="s">
        <v>22</v>
      </c>
      <c r="R790" s="71">
        <v>0.5</v>
      </c>
      <c r="S790" s="71">
        <v>5.49</v>
      </c>
      <c r="T790" s="70" t="s">
        <v>3270</v>
      </c>
      <c r="U790" s="71">
        <v>4.06</v>
      </c>
      <c r="V790" s="71">
        <v>19.06</v>
      </c>
      <c r="W790" s="67"/>
      <c r="X790" s="67"/>
      <c r="Y790" s="67"/>
      <c r="Z790" s="67"/>
      <c r="AA790" s="67"/>
      <c r="AB790" s="67"/>
      <c r="AC790" s="67"/>
    </row>
    <row r="791">
      <c r="A791" s="74">
        <v>46151.0</v>
      </c>
      <c r="B791" s="70" t="s">
        <v>3271</v>
      </c>
      <c r="C791" s="70" t="s">
        <v>3272</v>
      </c>
      <c r="D791" s="71">
        <v>5.99</v>
      </c>
      <c r="E791" s="71">
        <v>15.0</v>
      </c>
      <c r="F791" s="71">
        <v>15.0</v>
      </c>
      <c r="G791" s="68"/>
      <c r="H791" s="71">
        <v>8.51</v>
      </c>
      <c r="I791" s="72">
        <v>0.5673333333333334</v>
      </c>
      <c r="J791" s="70" t="s">
        <v>1462</v>
      </c>
      <c r="K791" s="67"/>
      <c r="L791" s="70" t="s">
        <v>3273</v>
      </c>
      <c r="M791" s="75">
        <v>1.0</v>
      </c>
      <c r="N791" s="75">
        <v>0.0</v>
      </c>
      <c r="O791" s="75">
        <v>0.0</v>
      </c>
      <c r="P791" s="75">
        <v>1.0</v>
      </c>
      <c r="Q791" s="70" t="s">
        <v>22</v>
      </c>
      <c r="R791" s="71">
        <v>0.5</v>
      </c>
      <c r="S791" s="71">
        <v>6.49</v>
      </c>
      <c r="T791" s="70"/>
      <c r="U791" s="71">
        <v>4.06</v>
      </c>
      <c r="V791" s="71">
        <v>19.06</v>
      </c>
      <c r="W791" s="67"/>
      <c r="X791" s="67"/>
      <c r="Y791" s="67"/>
      <c r="Z791" s="67"/>
      <c r="AA791" s="67"/>
      <c r="AB791" s="67"/>
      <c r="AC791" s="67"/>
    </row>
    <row r="792">
      <c r="A792" s="74">
        <v>46151.0</v>
      </c>
      <c r="B792" s="70" t="s">
        <v>3274</v>
      </c>
      <c r="C792" s="70" t="s">
        <v>3272</v>
      </c>
      <c r="D792" s="71">
        <v>5.99</v>
      </c>
      <c r="E792" s="71">
        <v>15.0</v>
      </c>
      <c r="F792" s="71">
        <v>15.0</v>
      </c>
      <c r="G792" s="68"/>
      <c r="H792" s="71">
        <v>8.51</v>
      </c>
      <c r="I792" s="72">
        <v>0.5673333333333334</v>
      </c>
      <c r="J792" s="70" t="s">
        <v>1462</v>
      </c>
      <c r="K792" s="67"/>
      <c r="L792" s="70" t="s">
        <v>3275</v>
      </c>
      <c r="M792" s="75">
        <v>1.0</v>
      </c>
      <c r="N792" s="75">
        <v>0.0</v>
      </c>
      <c r="O792" s="75">
        <v>0.0</v>
      </c>
      <c r="P792" s="75">
        <v>1.0</v>
      </c>
      <c r="Q792" s="70" t="s">
        <v>22</v>
      </c>
      <c r="R792" s="71">
        <v>0.5</v>
      </c>
      <c r="S792" s="71">
        <v>6.49</v>
      </c>
      <c r="T792" s="67"/>
      <c r="U792" s="71">
        <v>4.06</v>
      </c>
      <c r="V792" s="71">
        <v>19.06</v>
      </c>
      <c r="W792" s="67"/>
      <c r="X792" s="67"/>
      <c r="Y792" s="67"/>
      <c r="Z792" s="67"/>
      <c r="AA792" s="67"/>
      <c r="AB792" s="67"/>
      <c r="AC792" s="67"/>
    </row>
    <row r="793">
      <c r="A793" s="74">
        <v>46151.0</v>
      </c>
      <c r="B793" s="70" t="s">
        <v>3276</v>
      </c>
      <c r="C793" s="70" t="s">
        <v>3272</v>
      </c>
      <c r="D793" s="71">
        <v>5.99</v>
      </c>
      <c r="E793" s="71">
        <v>15.0</v>
      </c>
      <c r="F793" s="71">
        <v>15.0</v>
      </c>
      <c r="G793" s="68"/>
      <c r="H793" s="71">
        <v>8.51</v>
      </c>
      <c r="I793" s="72">
        <v>0.5673333333333334</v>
      </c>
      <c r="J793" s="70" t="s">
        <v>1462</v>
      </c>
      <c r="K793" s="67"/>
      <c r="L793" s="67" t="s">
        <v>3277</v>
      </c>
      <c r="M793" s="75">
        <v>1.0</v>
      </c>
      <c r="N793" s="75">
        <v>0.0</v>
      </c>
      <c r="O793" s="75">
        <v>0.0</v>
      </c>
      <c r="P793" s="75">
        <v>1.0</v>
      </c>
      <c r="Q793" s="76" t="s">
        <v>22</v>
      </c>
      <c r="R793" s="71">
        <v>0.5</v>
      </c>
      <c r="S793" s="71">
        <v>6.49</v>
      </c>
      <c r="T793" s="67"/>
      <c r="U793" s="71">
        <v>4.06</v>
      </c>
      <c r="V793" s="71">
        <v>19.06</v>
      </c>
      <c r="W793" s="67"/>
      <c r="X793" s="67"/>
      <c r="Y793" s="67"/>
      <c r="Z793" s="67"/>
      <c r="AA793" s="67"/>
      <c r="AB793" s="67"/>
      <c r="AC793" s="67"/>
    </row>
    <row r="794">
      <c r="A794" s="74">
        <v>46151.0</v>
      </c>
      <c r="B794" s="70" t="s">
        <v>3278</v>
      </c>
      <c r="C794" s="70" t="s">
        <v>3272</v>
      </c>
      <c r="D794" s="71">
        <v>5.99</v>
      </c>
      <c r="E794" s="71">
        <v>15.0</v>
      </c>
      <c r="F794" s="71">
        <v>15.0</v>
      </c>
      <c r="G794" s="68"/>
      <c r="H794" s="71">
        <v>8.51</v>
      </c>
      <c r="I794" s="72">
        <v>0.5673333333333334</v>
      </c>
      <c r="J794" s="70" t="s">
        <v>1462</v>
      </c>
      <c r="K794" s="67"/>
      <c r="L794" s="70" t="s">
        <v>3279</v>
      </c>
      <c r="M794" s="75">
        <v>1.0</v>
      </c>
      <c r="N794" s="75">
        <v>0.0</v>
      </c>
      <c r="O794" s="75">
        <v>0.0</v>
      </c>
      <c r="P794" s="75">
        <v>1.0</v>
      </c>
      <c r="Q794" s="76" t="s">
        <v>22</v>
      </c>
      <c r="R794" s="71">
        <v>0.5</v>
      </c>
      <c r="S794" s="71">
        <v>6.49</v>
      </c>
      <c r="T794" s="70"/>
      <c r="U794" s="71">
        <v>4.06</v>
      </c>
      <c r="V794" s="71">
        <v>19.06</v>
      </c>
      <c r="W794" s="67"/>
      <c r="X794" s="67"/>
      <c r="Y794" s="67"/>
      <c r="Z794" s="67"/>
      <c r="AA794" s="67"/>
      <c r="AB794" s="67"/>
      <c r="AC794" s="67"/>
    </row>
    <row r="795">
      <c r="A795" s="74">
        <v>46151.0</v>
      </c>
      <c r="B795" s="70" t="s">
        <v>3280</v>
      </c>
      <c r="C795" s="70" t="s">
        <v>3272</v>
      </c>
      <c r="D795" s="71">
        <v>5.99</v>
      </c>
      <c r="E795" s="71">
        <v>15.0</v>
      </c>
      <c r="F795" s="71">
        <v>15.0</v>
      </c>
      <c r="G795" s="68"/>
      <c r="H795" s="71">
        <v>8.51</v>
      </c>
      <c r="I795" s="72">
        <v>0.5673333333333334</v>
      </c>
      <c r="J795" s="70" t="s">
        <v>1462</v>
      </c>
      <c r="K795" s="67"/>
      <c r="L795" s="70" t="s">
        <v>3281</v>
      </c>
      <c r="M795" s="75">
        <v>1.0</v>
      </c>
      <c r="N795" s="75">
        <v>0.0</v>
      </c>
      <c r="O795" s="75">
        <v>0.0</v>
      </c>
      <c r="P795" s="75">
        <v>1.0</v>
      </c>
      <c r="Q795" s="70" t="s">
        <v>22</v>
      </c>
      <c r="R795" s="71">
        <v>0.5</v>
      </c>
      <c r="S795" s="71">
        <v>6.49</v>
      </c>
      <c r="T795" s="67"/>
      <c r="U795" s="71">
        <v>4.06</v>
      </c>
      <c r="V795" s="71">
        <v>19.06</v>
      </c>
      <c r="W795" s="67"/>
      <c r="X795" s="67"/>
      <c r="Y795" s="67"/>
      <c r="Z795" s="67"/>
      <c r="AA795" s="67"/>
      <c r="AB795" s="67"/>
      <c r="AC795" s="67"/>
    </row>
    <row r="796">
      <c r="A796" s="74">
        <v>46151.0</v>
      </c>
      <c r="B796" s="70" t="s">
        <v>3282</v>
      </c>
      <c r="C796" s="70" t="s">
        <v>3272</v>
      </c>
      <c r="D796" s="71">
        <v>5.99</v>
      </c>
      <c r="E796" s="71">
        <v>15.0</v>
      </c>
      <c r="F796" s="71">
        <v>15.0</v>
      </c>
      <c r="G796" s="68"/>
      <c r="H796" s="71">
        <v>8.51</v>
      </c>
      <c r="I796" s="72">
        <v>0.5673333333333334</v>
      </c>
      <c r="J796" s="70" t="s">
        <v>1462</v>
      </c>
      <c r="K796" s="67"/>
      <c r="L796" s="70" t="s">
        <v>3283</v>
      </c>
      <c r="M796" s="75">
        <v>1.0</v>
      </c>
      <c r="N796" s="75">
        <v>0.0</v>
      </c>
      <c r="O796" s="75">
        <v>0.0</v>
      </c>
      <c r="P796" s="75">
        <v>1.0</v>
      </c>
      <c r="Q796" s="70" t="s">
        <v>22</v>
      </c>
      <c r="R796" s="71">
        <v>0.5</v>
      </c>
      <c r="S796" s="71">
        <v>6.49</v>
      </c>
      <c r="T796" s="67"/>
      <c r="U796" s="71">
        <v>4.06</v>
      </c>
      <c r="V796" s="71">
        <v>19.06</v>
      </c>
      <c r="W796" s="67"/>
      <c r="X796" s="67"/>
      <c r="Y796" s="67"/>
      <c r="Z796" s="67"/>
      <c r="AA796" s="67"/>
      <c r="AB796" s="67"/>
      <c r="AC796" s="67"/>
    </row>
    <row r="797">
      <c r="A797" s="74">
        <v>46151.0</v>
      </c>
      <c r="B797" s="70" t="s">
        <v>3284</v>
      </c>
      <c r="C797" s="70" t="s">
        <v>3272</v>
      </c>
      <c r="D797" s="71">
        <v>5.99</v>
      </c>
      <c r="E797" s="71">
        <v>15.0</v>
      </c>
      <c r="F797" s="71">
        <v>15.0</v>
      </c>
      <c r="G797" s="68"/>
      <c r="H797" s="71">
        <v>8.51</v>
      </c>
      <c r="I797" s="72">
        <v>0.5673333333333334</v>
      </c>
      <c r="J797" s="70" t="s">
        <v>1462</v>
      </c>
      <c r="K797" s="67"/>
      <c r="L797" s="70" t="s">
        <v>3285</v>
      </c>
      <c r="M797" s="75">
        <v>1.0</v>
      </c>
      <c r="N797" s="75">
        <v>0.0</v>
      </c>
      <c r="O797" s="75">
        <v>0.0</v>
      </c>
      <c r="P797" s="75">
        <v>1.0</v>
      </c>
      <c r="Q797" s="70" t="s">
        <v>22</v>
      </c>
      <c r="R797" s="71">
        <v>0.5</v>
      </c>
      <c r="S797" s="71">
        <v>6.49</v>
      </c>
      <c r="T797" s="70"/>
      <c r="U797" s="71">
        <v>4.06</v>
      </c>
      <c r="V797" s="71">
        <v>19.06</v>
      </c>
      <c r="W797" s="67"/>
      <c r="X797" s="67"/>
      <c r="Y797" s="67"/>
      <c r="Z797" s="67"/>
      <c r="AA797" s="67"/>
      <c r="AB797" s="67"/>
      <c r="AC797" s="67"/>
    </row>
    <row r="798">
      <c r="A798" s="74">
        <v>46151.0</v>
      </c>
      <c r="B798" s="70" t="s">
        <v>3286</v>
      </c>
      <c r="C798" s="70" t="s">
        <v>3272</v>
      </c>
      <c r="D798" s="71">
        <v>5.99</v>
      </c>
      <c r="E798" s="71">
        <v>15.0</v>
      </c>
      <c r="F798" s="71">
        <v>15.0</v>
      </c>
      <c r="G798" s="68"/>
      <c r="H798" s="71">
        <v>8.51</v>
      </c>
      <c r="I798" s="72">
        <v>0.5673333333333334</v>
      </c>
      <c r="J798" s="70" t="s">
        <v>1462</v>
      </c>
      <c r="K798" s="67"/>
      <c r="L798" s="70" t="s">
        <v>3287</v>
      </c>
      <c r="M798" s="75">
        <v>1.0</v>
      </c>
      <c r="N798" s="75">
        <v>0.0</v>
      </c>
      <c r="O798" s="75">
        <v>0.0</v>
      </c>
      <c r="P798" s="75">
        <v>1.0</v>
      </c>
      <c r="Q798" s="70" t="s">
        <v>22</v>
      </c>
      <c r="R798" s="71">
        <v>0.5</v>
      </c>
      <c r="S798" s="71">
        <v>6.49</v>
      </c>
      <c r="T798" s="70"/>
      <c r="U798" s="71">
        <v>4.06</v>
      </c>
      <c r="V798" s="71">
        <v>19.06</v>
      </c>
      <c r="W798" s="67"/>
      <c r="X798" s="67"/>
      <c r="Y798" s="67"/>
      <c r="Z798" s="67"/>
      <c r="AA798" s="67"/>
      <c r="AB798" s="67"/>
      <c r="AC798" s="67"/>
    </row>
    <row r="799">
      <c r="A799" s="74">
        <v>46151.0</v>
      </c>
      <c r="B799" s="70" t="s">
        <v>3288</v>
      </c>
      <c r="C799" s="70" t="s">
        <v>3272</v>
      </c>
      <c r="D799" s="71">
        <v>5.99</v>
      </c>
      <c r="E799" s="71">
        <v>15.0</v>
      </c>
      <c r="F799" s="71">
        <v>15.0</v>
      </c>
      <c r="G799" s="68"/>
      <c r="H799" s="71">
        <v>8.51</v>
      </c>
      <c r="I799" s="72">
        <v>0.5673333333333334</v>
      </c>
      <c r="J799" s="70" t="s">
        <v>1462</v>
      </c>
      <c r="K799" s="67"/>
      <c r="L799" s="70" t="s">
        <v>3289</v>
      </c>
      <c r="M799" s="75">
        <v>1.0</v>
      </c>
      <c r="N799" s="75">
        <v>0.0</v>
      </c>
      <c r="O799" s="75">
        <v>0.0</v>
      </c>
      <c r="P799" s="75">
        <v>1.0</v>
      </c>
      <c r="Q799" s="70" t="s">
        <v>22</v>
      </c>
      <c r="R799" s="71">
        <v>0.5</v>
      </c>
      <c r="S799" s="71">
        <v>6.49</v>
      </c>
      <c r="T799" s="70" t="s">
        <v>3290</v>
      </c>
      <c r="U799" s="71">
        <v>4.06</v>
      </c>
      <c r="V799" s="71">
        <v>19.06</v>
      </c>
      <c r="W799" s="67"/>
      <c r="X799" s="67"/>
      <c r="Y799" s="67"/>
      <c r="Z799" s="67"/>
      <c r="AA799" s="67"/>
      <c r="AB799" s="67"/>
      <c r="AC799" s="67"/>
    </row>
    <row r="800">
      <c r="A800" s="74">
        <v>46151.0</v>
      </c>
      <c r="B800" s="70" t="s">
        <v>3291</v>
      </c>
      <c r="C800" s="70" t="s">
        <v>3292</v>
      </c>
      <c r="D800" s="71">
        <v>4.99</v>
      </c>
      <c r="E800" s="71">
        <v>15.0</v>
      </c>
      <c r="F800" s="71">
        <v>15.0</v>
      </c>
      <c r="G800" s="68"/>
      <c r="H800" s="71">
        <v>9.51</v>
      </c>
      <c r="I800" s="72">
        <v>0.634</v>
      </c>
      <c r="J800" s="70" t="s">
        <v>1450</v>
      </c>
      <c r="K800" s="67"/>
      <c r="L800" s="70" t="s">
        <v>3293</v>
      </c>
      <c r="M800" s="75">
        <v>1.0</v>
      </c>
      <c r="N800" s="75">
        <v>0.0</v>
      </c>
      <c r="O800" s="75">
        <v>0.0</v>
      </c>
      <c r="P800" s="75">
        <v>1.0</v>
      </c>
      <c r="Q800" s="70" t="s">
        <v>22</v>
      </c>
      <c r="R800" s="71">
        <v>0.5</v>
      </c>
      <c r="S800" s="71">
        <v>5.49</v>
      </c>
      <c r="T800" s="70"/>
      <c r="U800" s="71">
        <v>4.06</v>
      </c>
      <c r="V800" s="71">
        <v>19.06</v>
      </c>
      <c r="W800" s="67"/>
      <c r="X800" s="67"/>
      <c r="Y800" s="67"/>
      <c r="Z800" s="67"/>
      <c r="AA800" s="67"/>
      <c r="AB800" s="67"/>
      <c r="AC800" s="67"/>
    </row>
    <row r="801">
      <c r="A801" s="74">
        <v>46151.0</v>
      </c>
      <c r="B801" s="70" t="s">
        <v>3294</v>
      </c>
      <c r="C801" s="70" t="s">
        <v>3292</v>
      </c>
      <c r="D801" s="71">
        <v>4.99</v>
      </c>
      <c r="E801" s="71">
        <v>15.0</v>
      </c>
      <c r="F801" s="71">
        <v>15.0</v>
      </c>
      <c r="G801" s="68"/>
      <c r="H801" s="71">
        <v>9.51</v>
      </c>
      <c r="I801" s="72">
        <v>0.634</v>
      </c>
      <c r="J801" s="70" t="s">
        <v>1462</v>
      </c>
      <c r="K801" s="67"/>
      <c r="L801" s="70" t="s">
        <v>3295</v>
      </c>
      <c r="M801" s="75">
        <v>1.0</v>
      </c>
      <c r="N801" s="75">
        <v>0.0</v>
      </c>
      <c r="O801" s="75">
        <v>0.0</v>
      </c>
      <c r="P801" s="75">
        <v>1.0</v>
      </c>
      <c r="Q801" s="70" t="s">
        <v>22</v>
      </c>
      <c r="R801" s="71">
        <v>0.5</v>
      </c>
      <c r="S801" s="71">
        <v>5.49</v>
      </c>
      <c r="T801" s="70"/>
      <c r="U801" s="71">
        <v>4.06</v>
      </c>
      <c r="V801" s="71">
        <v>19.06</v>
      </c>
      <c r="W801" s="67"/>
      <c r="X801" s="67"/>
      <c r="Y801" s="67"/>
      <c r="Z801" s="67"/>
      <c r="AA801" s="67"/>
      <c r="AB801" s="67"/>
      <c r="AC801" s="67"/>
    </row>
    <row r="802">
      <c r="A802" s="74">
        <v>46151.0</v>
      </c>
      <c r="B802" s="70" t="s">
        <v>3296</v>
      </c>
      <c r="C802" s="70" t="s">
        <v>3292</v>
      </c>
      <c r="D802" s="71">
        <v>4.99</v>
      </c>
      <c r="E802" s="71">
        <v>15.0</v>
      </c>
      <c r="F802" s="71">
        <v>15.0</v>
      </c>
      <c r="G802" s="68"/>
      <c r="H802" s="71">
        <v>9.51</v>
      </c>
      <c r="I802" s="72">
        <v>0.634</v>
      </c>
      <c r="J802" s="70" t="s">
        <v>1462</v>
      </c>
      <c r="K802" s="67"/>
      <c r="L802" s="70" t="s">
        <v>3297</v>
      </c>
      <c r="M802" s="75">
        <v>1.0</v>
      </c>
      <c r="N802" s="75">
        <v>0.0</v>
      </c>
      <c r="O802" s="75">
        <v>0.0</v>
      </c>
      <c r="P802" s="75">
        <v>1.0</v>
      </c>
      <c r="Q802" s="76" t="s">
        <v>22</v>
      </c>
      <c r="R802" s="71">
        <v>0.5</v>
      </c>
      <c r="S802" s="71">
        <v>5.49</v>
      </c>
      <c r="T802" s="70"/>
      <c r="U802" s="71">
        <v>4.06</v>
      </c>
      <c r="V802" s="71">
        <v>19.06</v>
      </c>
      <c r="W802" s="67"/>
      <c r="X802" s="67"/>
      <c r="Y802" s="67"/>
      <c r="Z802" s="67"/>
      <c r="AA802" s="67"/>
      <c r="AB802" s="67"/>
      <c r="AC802" s="67"/>
    </row>
    <row r="803">
      <c r="A803" s="74">
        <v>46151.0</v>
      </c>
      <c r="B803" s="70" t="s">
        <v>3298</v>
      </c>
      <c r="C803" s="70" t="s">
        <v>3292</v>
      </c>
      <c r="D803" s="71">
        <v>4.99</v>
      </c>
      <c r="E803" s="71">
        <v>15.0</v>
      </c>
      <c r="F803" s="71">
        <v>15.0</v>
      </c>
      <c r="G803" s="68"/>
      <c r="H803" s="71">
        <v>9.51</v>
      </c>
      <c r="I803" s="72">
        <v>0.634</v>
      </c>
      <c r="J803" s="70" t="s">
        <v>1462</v>
      </c>
      <c r="K803" s="67"/>
      <c r="L803" s="67" t="s">
        <v>3299</v>
      </c>
      <c r="M803" s="75">
        <v>1.0</v>
      </c>
      <c r="N803" s="75">
        <v>0.0</v>
      </c>
      <c r="O803" s="75">
        <v>0.0</v>
      </c>
      <c r="P803" s="75">
        <v>1.0</v>
      </c>
      <c r="Q803" s="76" t="s">
        <v>22</v>
      </c>
      <c r="R803" s="71">
        <v>0.5</v>
      </c>
      <c r="S803" s="71">
        <v>5.49</v>
      </c>
      <c r="T803" s="70"/>
      <c r="U803" s="71">
        <v>4.06</v>
      </c>
      <c r="V803" s="71">
        <v>19.06</v>
      </c>
      <c r="W803" s="67"/>
      <c r="X803" s="67"/>
      <c r="Y803" s="67"/>
      <c r="Z803" s="67"/>
      <c r="AA803" s="67"/>
      <c r="AB803" s="67"/>
      <c r="AC803" s="67"/>
    </row>
    <row r="804">
      <c r="A804" s="74">
        <v>46151.0</v>
      </c>
      <c r="B804" s="70" t="s">
        <v>3300</v>
      </c>
      <c r="C804" s="70" t="s">
        <v>3292</v>
      </c>
      <c r="D804" s="71">
        <v>4.99</v>
      </c>
      <c r="E804" s="71">
        <v>15.0</v>
      </c>
      <c r="F804" s="71">
        <v>15.0</v>
      </c>
      <c r="G804" s="68"/>
      <c r="H804" s="71">
        <v>9.51</v>
      </c>
      <c r="I804" s="72">
        <v>0.634</v>
      </c>
      <c r="J804" s="70" t="s">
        <v>1462</v>
      </c>
      <c r="K804" s="67"/>
      <c r="L804" s="70" t="s">
        <v>3301</v>
      </c>
      <c r="M804" s="75">
        <v>1.0</v>
      </c>
      <c r="N804" s="75">
        <v>0.0</v>
      </c>
      <c r="O804" s="75">
        <v>0.0</v>
      </c>
      <c r="P804" s="75">
        <v>1.0</v>
      </c>
      <c r="Q804" s="70" t="s">
        <v>22</v>
      </c>
      <c r="R804" s="71">
        <v>0.5</v>
      </c>
      <c r="S804" s="71">
        <v>5.49</v>
      </c>
      <c r="T804" s="70"/>
      <c r="U804" s="71">
        <v>4.06</v>
      </c>
      <c r="V804" s="71">
        <v>19.06</v>
      </c>
      <c r="W804" s="67"/>
      <c r="X804" s="67"/>
      <c r="Y804" s="67"/>
      <c r="Z804" s="67"/>
      <c r="AA804" s="67"/>
      <c r="AB804" s="67"/>
      <c r="AC804" s="67"/>
    </row>
    <row r="805">
      <c r="A805" s="74">
        <v>46151.0</v>
      </c>
      <c r="B805" s="70" t="s">
        <v>3302</v>
      </c>
      <c r="C805" s="70" t="s">
        <v>3292</v>
      </c>
      <c r="D805" s="71">
        <v>4.99</v>
      </c>
      <c r="E805" s="71">
        <v>15.0</v>
      </c>
      <c r="F805" s="71">
        <v>15.0</v>
      </c>
      <c r="G805" s="68"/>
      <c r="H805" s="71">
        <v>9.51</v>
      </c>
      <c r="I805" s="72">
        <v>0.634</v>
      </c>
      <c r="J805" s="70" t="s">
        <v>1462</v>
      </c>
      <c r="K805" s="67"/>
      <c r="L805" s="70" t="s">
        <v>3303</v>
      </c>
      <c r="M805" s="75">
        <v>1.0</v>
      </c>
      <c r="N805" s="75">
        <v>0.0</v>
      </c>
      <c r="O805" s="75">
        <v>0.0</v>
      </c>
      <c r="P805" s="75">
        <v>1.0</v>
      </c>
      <c r="Q805" s="70" t="s">
        <v>22</v>
      </c>
      <c r="R805" s="71">
        <v>0.5</v>
      </c>
      <c r="S805" s="71">
        <v>5.49</v>
      </c>
      <c r="T805" s="70" t="s">
        <v>3304</v>
      </c>
      <c r="U805" s="71">
        <v>4.06</v>
      </c>
      <c r="V805" s="71">
        <v>19.06</v>
      </c>
      <c r="W805" s="67"/>
      <c r="X805" s="67"/>
      <c r="Y805" s="67"/>
      <c r="Z805" s="67"/>
      <c r="AA805" s="67"/>
      <c r="AB805" s="67"/>
      <c r="AC805" s="67"/>
    </row>
    <row r="806">
      <c r="A806" s="74">
        <v>46151.0</v>
      </c>
      <c r="B806" s="70" t="s">
        <v>3305</v>
      </c>
      <c r="C806" s="70" t="s">
        <v>1933</v>
      </c>
      <c r="D806" s="71">
        <v>6.66</v>
      </c>
      <c r="E806" s="71">
        <v>0.0</v>
      </c>
      <c r="F806" s="68"/>
      <c r="G806" s="68"/>
      <c r="H806" s="71"/>
      <c r="I806" s="72"/>
      <c r="J806" s="70" t="s">
        <v>1450</v>
      </c>
      <c r="K806" s="67"/>
      <c r="L806" s="70" t="s">
        <v>3306</v>
      </c>
      <c r="M806" s="75">
        <v>1.0</v>
      </c>
      <c r="N806" s="75">
        <v>0.0</v>
      </c>
      <c r="O806" s="75">
        <v>0.0</v>
      </c>
      <c r="P806" s="75">
        <v>1.0</v>
      </c>
      <c r="Q806" s="70" t="s">
        <v>22</v>
      </c>
      <c r="R806" s="71">
        <v>2.47</v>
      </c>
      <c r="S806" s="71">
        <v>9.13</v>
      </c>
      <c r="T806" s="70" t="s">
        <v>3307</v>
      </c>
      <c r="U806" s="71">
        <v>3.38</v>
      </c>
      <c r="V806" s="71">
        <v>3.38</v>
      </c>
      <c r="W806" s="67"/>
      <c r="X806" s="67"/>
      <c r="Y806" s="67"/>
      <c r="Z806" s="67"/>
      <c r="AA806" s="67"/>
      <c r="AB806" s="67"/>
      <c r="AC806" s="67"/>
    </row>
    <row r="807">
      <c r="A807" s="74">
        <v>46151.0</v>
      </c>
      <c r="B807" s="70" t="s">
        <v>3308</v>
      </c>
      <c r="C807" s="70" t="s">
        <v>2736</v>
      </c>
      <c r="D807" s="71">
        <v>0.08</v>
      </c>
      <c r="E807" s="71">
        <v>4.0</v>
      </c>
      <c r="F807" s="68"/>
      <c r="G807" s="68"/>
      <c r="H807" s="71"/>
      <c r="I807" s="72"/>
      <c r="J807" s="70" t="s">
        <v>1450</v>
      </c>
      <c r="K807" s="67"/>
      <c r="L807" s="67" t="s">
        <v>3309</v>
      </c>
      <c r="M807" s="75">
        <v>1.0</v>
      </c>
      <c r="N807" s="75">
        <v>0.0</v>
      </c>
      <c r="O807" s="75">
        <v>0.0</v>
      </c>
      <c r="P807" s="75">
        <v>1.0</v>
      </c>
      <c r="Q807" s="76" t="s">
        <v>22</v>
      </c>
      <c r="R807" s="71">
        <v>0.66</v>
      </c>
      <c r="S807" s="71">
        <v>0.74</v>
      </c>
      <c r="T807" s="70" t="s">
        <v>3310</v>
      </c>
      <c r="U807" s="71">
        <v>3.13</v>
      </c>
      <c r="V807" s="71">
        <v>7.13</v>
      </c>
      <c r="W807" s="67"/>
      <c r="X807" s="67"/>
      <c r="Y807" s="67"/>
      <c r="Z807" s="67"/>
      <c r="AA807" s="67"/>
      <c r="AB807" s="67"/>
      <c r="AC807" s="67"/>
    </row>
    <row r="808">
      <c r="A808" s="74">
        <v>46151.0</v>
      </c>
      <c r="B808" s="70" t="s">
        <v>3311</v>
      </c>
      <c r="C808" s="70" t="s">
        <v>3312</v>
      </c>
      <c r="D808" s="71">
        <v>5.99</v>
      </c>
      <c r="E808" s="71">
        <v>11.98</v>
      </c>
      <c r="F808" s="68"/>
      <c r="G808" s="68"/>
      <c r="H808" s="68"/>
      <c r="I808" s="69"/>
      <c r="J808" s="70" t="s">
        <v>1450</v>
      </c>
      <c r="K808" s="67"/>
      <c r="L808" s="70" t="s">
        <v>3313</v>
      </c>
      <c r="M808" s="75">
        <v>1.0</v>
      </c>
      <c r="N808" s="75">
        <v>0.0</v>
      </c>
      <c r="O808" s="75">
        <v>0.0</v>
      </c>
      <c r="P808" s="75">
        <v>1.0</v>
      </c>
      <c r="Q808" s="70" t="s">
        <v>22</v>
      </c>
      <c r="R808" s="71">
        <v>0.5</v>
      </c>
      <c r="S808" s="71">
        <v>6.49</v>
      </c>
      <c r="T808" s="70" t="s">
        <v>3314</v>
      </c>
      <c r="U808" s="71">
        <v>4.06</v>
      </c>
      <c r="V808" s="71">
        <v>16.04</v>
      </c>
      <c r="W808" s="67"/>
      <c r="X808" s="67"/>
      <c r="Y808" s="67"/>
      <c r="Z808" s="67"/>
      <c r="AA808" s="67"/>
      <c r="AB808" s="67"/>
      <c r="AC808" s="67"/>
    </row>
    <row r="809">
      <c r="A809" s="74">
        <v>46151.0</v>
      </c>
      <c r="B809" s="70" t="s">
        <v>3315</v>
      </c>
      <c r="C809" s="70" t="s">
        <v>3312</v>
      </c>
      <c r="D809" s="71">
        <v>5.99</v>
      </c>
      <c r="E809" s="71">
        <v>11.98</v>
      </c>
      <c r="F809" s="68"/>
      <c r="G809" s="68"/>
      <c r="H809" s="68"/>
      <c r="I809" s="69"/>
      <c r="J809" s="70" t="s">
        <v>1450</v>
      </c>
      <c r="K809" s="67"/>
      <c r="L809" s="70" t="s">
        <v>3316</v>
      </c>
      <c r="M809" s="75">
        <v>1.0</v>
      </c>
      <c r="N809" s="75">
        <v>0.0</v>
      </c>
      <c r="O809" s="75">
        <v>0.0</v>
      </c>
      <c r="P809" s="75">
        <v>1.0</v>
      </c>
      <c r="Q809" s="70" t="s">
        <v>22</v>
      </c>
      <c r="R809" s="71">
        <v>0.5</v>
      </c>
      <c r="S809" s="71">
        <v>6.49</v>
      </c>
      <c r="T809" s="70" t="s">
        <v>3317</v>
      </c>
      <c r="U809" s="71">
        <v>4.06</v>
      </c>
      <c r="V809" s="71">
        <v>16.04</v>
      </c>
      <c r="W809" s="67"/>
      <c r="X809" s="67"/>
      <c r="Y809" s="67"/>
      <c r="Z809" s="67"/>
      <c r="AA809" s="67"/>
      <c r="AB809" s="67"/>
      <c r="AC809" s="67"/>
    </row>
    <row r="810">
      <c r="A810" s="74">
        <v>46151.0</v>
      </c>
      <c r="B810" s="70" t="s">
        <v>3318</v>
      </c>
      <c r="C810" s="70" t="s">
        <v>3312</v>
      </c>
      <c r="D810" s="71">
        <v>5.99</v>
      </c>
      <c r="E810" s="71">
        <v>11.98</v>
      </c>
      <c r="F810" s="68"/>
      <c r="G810" s="68"/>
      <c r="H810" s="68"/>
      <c r="I810" s="69"/>
      <c r="J810" s="70" t="s">
        <v>1450</v>
      </c>
      <c r="K810" s="67"/>
      <c r="L810" s="70" t="s">
        <v>3319</v>
      </c>
      <c r="M810" s="75">
        <v>1.0</v>
      </c>
      <c r="N810" s="75">
        <v>0.0</v>
      </c>
      <c r="O810" s="75">
        <v>0.0</v>
      </c>
      <c r="P810" s="75">
        <v>1.0</v>
      </c>
      <c r="Q810" s="70" t="s">
        <v>22</v>
      </c>
      <c r="R810" s="71">
        <v>0.16</v>
      </c>
      <c r="S810" s="71">
        <v>6.15</v>
      </c>
      <c r="T810" s="70" t="s">
        <v>3320</v>
      </c>
      <c r="U810" s="71">
        <v>1.38</v>
      </c>
      <c r="V810" s="71">
        <v>13.36</v>
      </c>
      <c r="W810" s="67"/>
      <c r="X810" s="67"/>
      <c r="Y810" s="67"/>
      <c r="Z810" s="67"/>
      <c r="AA810" s="67"/>
      <c r="AB810" s="67"/>
      <c r="AC810" s="67"/>
    </row>
    <row r="811">
      <c r="A811" s="74">
        <v>46151.0</v>
      </c>
      <c r="B811" s="70" t="s">
        <v>3321</v>
      </c>
      <c r="C811" s="70" t="s">
        <v>3322</v>
      </c>
      <c r="D811" s="71">
        <v>7.99</v>
      </c>
      <c r="E811" s="71">
        <v>15.98</v>
      </c>
      <c r="F811" s="68"/>
      <c r="G811" s="68"/>
      <c r="H811" s="68"/>
      <c r="I811" s="69"/>
      <c r="J811" s="70" t="s">
        <v>1450</v>
      </c>
      <c r="K811" s="67"/>
      <c r="L811" s="70" t="s">
        <v>3323</v>
      </c>
      <c r="M811" s="75">
        <v>1.0</v>
      </c>
      <c r="N811" s="75">
        <v>0.0</v>
      </c>
      <c r="O811" s="75">
        <v>0.0</v>
      </c>
      <c r="P811" s="75">
        <v>1.0</v>
      </c>
      <c r="Q811" s="70" t="s">
        <v>22</v>
      </c>
      <c r="R811" s="71">
        <v>0.16</v>
      </c>
      <c r="S811" s="71">
        <v>8.15</v>
      </c>
      <c r="T811" s="70" t="s">
        <v>3324</v>
      </c>
      <c r="U811" s="71">
        <v>1.38</v>
      </c>
      <c r="V811" s="71">
        <v>17.36</v>
      </c>
      <c r="W811" s="67"/>
      <c r="X811" s="67"/>
      <c r="Y811" s="67"/>
      <c r="Z811" s="67"/>
      <c r="AA811" s="67"/>
      <c r="AB811" s="67"/>
      <c r="AC811" s="67"/>
    </row>
    <row r="812">
      <c r="A812" s="74">
        <v>46151.0</v>
      </c>
      <c r="B812" s="70" t="s">
        <v>3325</v>
      </c>
      <c r="C812" s="70" t="s">
        <v>3322</v>
      </c>
      <c r="D812" s="71">
        <v>7.99</v>
      </c>
      <c r="E812" s="71">
        <v>15.98</v>
      </c>
      <c r="F812" s="68"/>
      <c r="G812" s="68"/>
      <c r="H812" s="68"/>
      <c r="I812" s="69"/>
      <c r="J812" s="70" t="s">
        <v>1450</v>
      </c>
      <c r="K812" s="67"/>
      <c r="L812" s="70" t="s">
        <v>3326</v>
      </c>
      <c r="M812" s="75">
        <v>1.0</v>
      </c>
      <c r="N812" s="75">
        <v>0.0</v>
      </c>
      <c r="O812" s="75">
        <v>0.0</v>
      </c>
      <c r="P812" s="75">
        <v>1.0</v>
      </c>
      <c r="Q812" s="70" t="s">
        <v>22</v>
      </c>
      <c r="R812" s="71">
        <v>0.16</v>
      </c>
      <c r="S812" s="71">
        <v>8.15</v>
      </c>
      <c r="T812" s="70" t="s">
        <v>3327</v>
      </c>
      <c r="U812" s="71">
        <v>1.38</v>
      </c>
      <c r="V812" s="71">
        <v>17.36</v>
      </c>
      <c r="W812" s="67"/>
      <c r="X812" s="67"/>
      <c r="Y812" s="67"/>
      <c r="Z812" s="67"/>
      <c r="AA812" s="67"/>
      <c r="AB812" s="67"/>
      <c r="AC812" s="67"/>
    </row>
    <row r="813">
      <c r="A813" s="74">
        <v>46151.0</v>
      </c>
      <c r="B813" s="70" t="s">
        <v>3328</v>
      </c>
      <c r="C813" s="70" t="s">
        <v>3322</v>
      </c>
      <c r="D813" s="71">
        <v>7.99</v>
      </c>
      <c r="E813" s="71">
        <v>15.98</v>
      </c>
      <c r="F813" s="68"/>
      <c r="G813" s="68"/>
      <c r="H813" s="68"/>
      <c r="I813" s="69"/>
      <c r="J813" s="70" t="s">
        <v>1450</v>
      </c>
      <c r="K813" s="67"/>
      <c r="L813" s="70" t="s">
        <v>3329</v>
      </c>
      <c r="M813" s="75">
        <v>1.0</v>
      </c>
      <c r="N813" s="75">
        <v>0.0</v>
      </c>
      <c r="O813" s="75">
        <v>0.0</v>
      </c>
      <c r="P813" s="75">
        <v>1.0</v>
      </c>
      <c r="Q813" s="70" t="s">
        <v>22</v>
      </c>
      <c r="R813" s="71">
        <v>0.16</v>
      </c>
      <c r="S813" s="71">
        <v>8.15</v>
      </c>
      <c r="T813" s="70" t="s">
        <v>3330</v>
      </c>
      <c r="U813" s="71">
        <v>1.38</v>
      </c>
      <c r="V813" s="71">
        <v>17.36</v>
      </c>
      <c r="W813" s="67"/>
      <c r="X813" s="67"/>
      <c r="Y813" s="67"/>
      <c r="Z813" s="67"/>
      <c r="AA813" s="67"/>
      <c r="AB813" s="67"/>
      <c r="AC813" s="67"/>
    </row>
    <row r="814">
      <c r="A814" s="74">
        <v>46151.0</v>
      </c>
      <c r="B814" s="70" t="s">
        <v>3331</v>
      </c>
      <c r="C814" s="70" t="s">
        <v>3332</v>
      </c>
      <c r="D814" s="71">
        <v>7.99</v>
      </c>
      <c r="E814" s="71">
        <v>15.98</v>
      </c>
      <c r="F814" s="68"/>
      <c r="G814" s="68"/>
      <c r="H814" s="68"/>
      <c r="I814" s="69"/>
      <c r="J814" s="70" t="s">
        <v>1450</v>
      </c>
      <c r="K814" s="67"/>
      <c r="L814" s="70" t="s">
        <v>3333</v>
      </c>
      <c r="M814" s="75">
        <v>1.0</v>
      </c>
      <c r="N814" s="75">
        <v>0.0</v>
      </c>
      <c r="O814" s="75">
        <v>0.0</v>
      </c>
      <c r="P814" s="75">
        <v>1.0</v>
      </c>
      <c r="Q814" s="76" t="s">
        <v>22</v>
      </c>
      <c r="R814" s="71">
        <v>0.5</v>
      </c>
      <c r="S814" s="71">
        <v>8.49</v>
      </c>
      <c r="T814" s="70" t="s">
        <v>3334</v>
      </c>
      <c r="U814" s="71">
        <v>4.06</v>
      </c>
      <c r="V814" s="71">
        <v>20.04</v>
      </c>
      <c r="W814" s="67"/>
      <c r="X814" s="67"/>
      <c r="Y814" s="67"/>
      <c r="Z814" s="67"/>
      <c r="AA814" s="67"/>
      <c r="AB814" s="67"/>
      <c r="AC814" s="67"/>
    </row>
    <row r="815">
      <c r="A815" s="74">
        <v>46151.0</v>
      </c>
      <c r="B815" s="70" t="s">
        <v>3335</v>
      </c>
      <c r="C815" s="70" t="s">
        <v>3332</v>
      </c>
      <c r="D815" s="71">
        <v>7.99</v>
      </c>
      <c r="E815" s="71">
        <v>15.98</v>
      </c>
      <c r="F815" s="68"/>
      <c r="G815" s="68"/>
      <c r="H815" s="71"/>
      <c r="I815" s="72"/>
      <c r="J815" s="70" t="s">
        <v>1450</v>
      </c>
      <c r="K815" s="67"/>
      <c r="L815" s="67" t="s">
        <v>3336</v>
      </c>
      <c r="M815" s="75">
        <v>1.0</v>
      </c>
      <c r="N815" s="75">
        <v>0.0</v>
      </c>
      <c r="O815" s="75">
        <v>0.0</v>
      </c>
      <c r="P815" s="75">
        <v>1.0</v>
      </c>
      <c r="Q815" s="76" t="s">
        <v>22</v>
      </c>
      <c r="R815" s="71">
        <v>0.5</v>
      </c>
      <c r="S815" s="71">
        <v>8.49</v>
      </c>
      <c r="T815" s="70" t="s">
        <v>3337</v>
      </c>
      <c r="U815" s="71">
        <v>4.06</v>
      </c>
      <c r="V815" s="71">
        <v>20.04</v>
      </c>
      <c r="W815" s="67"/>
      <c r="X815" s="67"/>
      <c r="Y815" s="67"/>
      <c r="Z815" s="67"/>
      <c r="AA815" s="67"/>
      <c r="AB815" s="67"/>
      <c r="AC815" s="67"/>
    </row>
    <row r="816">
      <c r="A816" s="74">
        <v>46151.0</v>
      </c>
      <c r="B816" s="70" t="s">
        <v>3338</v>
      </c>
      <c r="C816" s="70" t="s">
        <v>3332</v>
      </c>
      <c r="D816" s="71">
        <v>7.99</v>
      </c>
      <c r="E816" s="71">
        <v>15.98</v>
      </c>
      <c r="F816" s="68"/>
      <c r="G816" s="68"/>
      <c r="H816" s="71"/>
      <c r="I816" s="72"/>
      <c r="J816" s="70" t="s">
        <v>1450</v>
      </c>
      <c r="K816" s="67"/>
      <c r="L816" s="70" t="s">
        <v>3339</v>
      </c>
      <c r="M816" s="75">
        <v>1.0</v>
      </c>
      <c r="N816" s="75">
        <v>0.0</v>
      </c>
      <c r="O816" s="75">
        <v>0.0</v>
      </c>
      <c r="P816" s="75">
        <v>1.0</v>
      </c>
      <c r="Q816" s="70" t="s">
        <v>22</v>
      </c>
      <c r="R816" s="71">
        <v>0.5</v>
      </c>
      <c r="S816" s="71">
        <v>8.49</v>
      </c>
      <c r="T816" s="70" t="s">
        <v>3340</v>
      </c>
      <c r="U816" s="71">
        <v>4.06</v>
      </c>
      <c r="V816" s="71">
        <v>20.04</v>
      </c>
      <c r="W816" s="67"/>
      <c r="X816" s="67"/>
      <c r="Y816" s="67"/>
      <c r="Z816" s="67"/>
      <c r="AA816" s="67"/>
      <c r="AB816" s="67"/>
      <c r="AC816" s="67"/>
    </row>
    <row r="817">
      <c r="A817" s="74">
        <v>46151.0</v>
      </c>
      <c r="B817" s="70" t="s">
        <v>3341</v>
      </c>
      <c r="C817" s="70" t="s">
        <v>3332</v>
      </c>
      <c r="D817" s="71">
        <v>7.99</v>
      </c>
      <c r="E817" s="71">
        <v>15.98</v>
      </c>
      <c r="F817" s="68"/>
      <c r="G817" s="68"/>
      <c r="H817" s="68"/>
      <c r="I817" s="69"/>
      <c r="J817" s="70" t="s">
        <v>1450</v>
      </c>
      <c r="K817" s="67"/>
      <c r="L817" s="70" t="s">
        <v>3342</v>
      </c>
      <c r="M817" s="75">
        <v>1.0</v>
      </c>
      <c r="N817" s="75">
        <v>0.0</v>
      </c>
      <c r="O817" s="75">
        <v>0.0</v>
      </c>
      <c r="P817" s="75">
        <v>1.0</v>
      </c>
      <c r="Q817" s="70" t="s">
        <v>22</v>
      </c>
      <c r="R817" s="71">
        <v>0.5</v>
      </c>
      <c r="S817" s="71">
        <v>8.49</v>
      </c>
      <c r="T817" s="70" t="s">
        <v>3343</v>
      </c>
      <c r="U817" s="71">
        <v>4.06</v>
      </c>
      <c r="V817" s="71">
        <v>20.04</v>
      </c>
      <c r="W817" s="67"/>
      <c r="X817" s="67"/>
      <c r="Y817" s="67"/>
      <c r="Z817" s="67"/>
      <c r="AA817" s="67"/>
      <c r="AB817" s="67"/>
      <c r="AC817" s="67"/>
    </row>
    <row r="818">
      <c r="A818" s="74">
        <v>46151.0</v>
      </c>
      <c r="B818" s="70" t="s">
        <v>3344</v>
      </c>
      <c r="C818" s="70" t="s">
        <v>3332</v>
      </c>
      <c r="D818" s="71">
        <v>7.99</v>
      </c>
      <c r="E818" s="71">
        <v>15.98</v>
      </c>
      <c r="F818" s="68"/>
      <c r="G818" s="68"/>
      <c r="H818" s="68"/>
      <c r="I818" s="69"/>
      <c r="J818" s="70" t="s">
        <v>1450</v>
      </c>
      <c r="K818" s="67"/>
      <c r="L818" s="70" t="s">
        <v>3345</v>
      </c>
      <c r="M818" s="75">
        <v>1.0</v>
      </c>
      <c r="N818" s="75">
        <v>0.0</v>
      </c>
      <c r="O818" s="75">
        <v>0.0</v>
      </c>
      <c r="P818" s="75">
        <v>1.0</v>
      </c>
      <c r="Q818" s="70" t="s">
        <v>22</v>
      </c>
      <c r="R818" s="71">
        <v>0.5</v>
      </c>
      <c r="S818" s="71">
        <v>8.49</v>
      </c>
      <c r="T818" s="70" t="s">
        <v>3346</v>
      </c>
      <c r="U818" s="71">
        <v>4.06</v>
      </c>
      <c r="V818" s="71">
        <v>20.04</v>
      </c>
      <c r="W818" s="67"/>
      <c r="X818" s="67"/>
      <c r="Y818" s="67"/>
      <c r="Z818" s="67"/>
      <c r="AA818" s="67"/>
      <c r="AB818" s="67"/>
      <c r="AC818" s="67"/>
    </row>
    <row r="819">
      <c r="A819" s="74">
        <v>46151.0</v>
      </c>
      <c r="B819" s="70" t="s">
        <v>3347</v>
      </c>
      <c r="C819" s="70" t="s">
        <v>1805</v>
      </c>
      <c r="D819" s="71">
        <v>4.99</v>
      </c>
      <c r="E819" s="71">
        <v>15.0</v>
      </c>
      <c r="F819" s="71">
        <v>20.0</v>
      </c>
      <c r="G819" s="68"/>
      <c r="H819" s="71">
        <v>14.51</v>
      </c>
      <c r="I819" s="72">
        <v>0.7255</v>
      </c>
      <c r="J819" s="70" t="s">
        <v>1462</v>
      </c>
      <c r="K819" s="67"/>
      <c r="L819" s="70" t="s">
        <v>3348</v>
      </c>
      <c r="M819" s="75">
        <v>1.0</v>
      </c>
      <c r="N819" s="75">
        <v>0.0</v>
      </c>
      <c r="O819" s="75">
        <v>0.0</v>
      </c>
      <c r="P819" s="75">
        <v>1.0</v>
      </c>
      <c r="Q819" s="70" t="s">
        <v>22</v>
      </c>
      <c r="R819" s="71">
        <v>0.5</v>
      </c>
      <c r="S819" s="71">
        <v>5.49</v>
      </c>
      <c r="T819" s="70" t="s">
        <v>3349</v>
      </c>
      <c r="U819" s="71">
        <v>4.06</v>
      </c>
      <c r="V819" s="71">
        <v>19.06</v>
      </c>
      <c r="W819" s="67"/>
      <c r="X819" s="67"/>
      <c r="Y819" s="67"/>
      <c r="Z819" s="67"/>
      <c r="AA819" s="67"/>
      <c r="AB819" s="67"/>
      <c r="AC819" s="67"/>
    </row>
    <row r="820">
      <c r="A820" s="74">
        <v>46151.0</v>
      </c>
      <c r="B820" s="70" t="s">
        <v>3350</v>
      </c>
      <c r="C820" s="70" t="s">
        <v>1805</v>
      </c>
      <c r="D820" s="71">
        <v>4.99</v>
      </c>
      <c r="E820" s="71">
        <v>15.0</v>
      </c>
      <c r="F820" s="71">
        <v>20.0</v>
      </c>
      <c r="G820" s="68"/>
      <c r="H820" s="71">
        <v>14.51</v>
      </c>
      <c r="I820" s="72">
        <v>0.7255</v>
      </c>
      <c r="J820" s="70" t="s">
        <v>1462</v>
      </c>
      <c r="K820" s="67"/>
      <c r="L820" s="70" t="s">
        <v>3351</v>
      </c>
      <c r="M820" s="75">
        <v>1.0</v>
      </c>
      <c r="N820" s="75">
        <v>0.0</v>
      </c>
      <c r="O820" s="75">
        <v>0.0</v>
      </c>
      <c r="P820" s="75">
        <v>1.0</v>
      </c>
      <c r="Q820" s="76" t="s">
        <v>22</v>
      </c>
      <c r="R820" s="71">
        <v>0.5</v>
      </c>
      <c r="S820" s="71">
        <v>5.49</v>
      </c>
      <c r="T820" s="70" t="s">
        <v>3352</v>
      </c>
      <c r="U820" s="71">
        <v>4.06</v>
      </c>
      <c r="V820" s="71">
        <v>19.06</v>
      </c>
      <c r="W820" s="67"/>
      <c r="X820" s="67"/>
      <c r="Y820" s="67"/>
      <c r="Z820" s="67"/>
      <c r="AA820" s="67"/>
      <c r="AB820" s="67"/>
      <c r="AC820" s="67"/>
    </row>
    <row r="821">
      <c r="A821" s="74">
        <v>46151.0</v>
      </c>
      <c r="B821" s="70" t="s">
        <v>3353</v>
      </c>
      <c r="C821" s="70" t="s">
        <v>1805</v>
      </c>
      <c r="D821" s="71">
        <v>4.99</v>
      </c>
      <c r="E821" s="71">
        <v>15.0</v>
      </c>
      <c r="F821" s="71">
        <v>20.0</v>
      </c>
      <c r="G821" s="68"/>
      <c r="H821" s="71">
        <v>14.51</v>
      </c>
      <c r="I821" s="72">
        <v>0.7255</v>
      </c>
      <c r="J821" s="70" t="s">
        <v>1462</v>
      </c>
      <c r="K821" s="67"/>
      <c r="L821" s="70" t="s">
        <v>3354</v>
      </c>
      <c r="M821" s="75">
        <v>1.0</v>
      </c>
      <c r="N821" s="75">
        <v>0.0</v>
      </c>
      <c r="O821" s="75">
        <v>0.0</v>
      </c>
      <c r="P821" s="75">
        <v>1.0</v>
      </c>
      <c r="Q821" s="70" t="s">
        <v>22</v>
      </c>
      <c r="R821" s="71">
        <v>0.5</v>
      </c>
      <c r="S821" s="71">
        <v>5.49</v>
      </c>
      <c r="T821" s="70" t="s">
        <v>3355</v>
      </c>
      <c r="U821" s="71">
        <v>4.06</v>
      </c>
      <c r="V821" s="71">
        <v>19.06</v>
      </c>
      <c r="W821" s="67"/>
      <c r="X821" s="67"/>
      <c r="Y821" s="67"/>
      <c r="Z821" s="67"/>
      <c r="AA821" s="67"/>
      <c r="AB821" s="67"/>
      <c r="AC821" s="67"/>
    </row>
    <row r="822">
      <c r="A822" s="74">
        <v>46151.0</v>
      </c>
      <c r="B822" s="70" t="s">
        <v>3356</v>
      </c>
      <c r="C822" s="70" t="s">
        <v>1805</v>
      </c>
      <c r="D822" s="71">
        <v>4.99</v>
      </c>
      <c r="E822" s="71">
        <v>15.0</v>
      </c>
      <c r="F822" s="71">
        <v>20.0</v>
      </c>
      <c r="G822" s="68"/>
      <c r="H822" s="71">
        <v>14.51</v>
      </c>
      <c r="I822" s="72">
        <v>0.7255</v>
      </c>
      <c r="J822" s="70" t="s">
        <v>1462</v>
      </c>
      <c r="K822" s="67"/>
      <c r="L822" s="67" t="s">
        <v>3357</v>
      </c>
      <c r="M822" s="75">
        <v>1.0</v>
      </c>
      <c r="N822" s="75">
        <v>0.0</v>
      </c>
      <c r="O822" s="75">
        <v>0.0</v>
      </c>
      <c r="P822" s="75">
        <v>1.0</v>
      </c>
      <c r="Q822" s="76" t="s">
        <v>22</v>
      </c>
      <c r="R822" s="71">
        <v>0.5</v>
      </c>
      <c r="S822" s="71">
        <v>5.49</v>
      </c>
      <c r="T822" s="70" t="s">
        <v>3358</v>
      </c>
      <c r="U822" s="71">
        <v>4.06</v>
      </c>
      <c r="V822" s="71">
        <v>19.06</v>
      </c>
      <c r="W822" s="67"/>
      <c r="X822" s="67"/>
      <c r="Y822" s="67"/>
      <c r="Z822" s="67"/>
      <c r="AA822" s="67"/>
      <c r="AB822" s="67"/>
      <c r="AC822" s="67"/>
    </row>
    <row r="823">
      <c r="A823" s="74">
        <v>46151.0</v>
      </c>
      <c r="B823" s="70" t="s">
        <v>3359</v>
      </c>
      <c r="C823" s="70" t="s">
        <v>1805</v>
      </c>
      <c r="D823" s="71">
        <v>4.99</v>
      </c>
      <c r="E823" s="71">
        <v>15.0</v>
      </c>
      <c r="F823" s="71">
        <v>20.0</v>
      </c>
      <c r="G823" s="68"/>
      <c r="H823" s="71">
        <v>14.51</v>
      </c>
      <c r="I823" s="72">
        <v>0.7255</v>
      </c>
      <c r="J823" s="70" t="s">
        <v>1462</v>
      </c>
      <c r="K823" s="67"/>
      <c r="L823" s="70" t="s">
        <v>3360</v>
      </c>
      <c r="M823" s="75">
        <v>1.0</v>
      </c>
      <c r="N823" s="75">
        <v>0.0</v>
      </c>
      <c r="O823" s="75">
        <v>0.0</v>
      </c>
      <c r="P823" s="75">
        <v>1.0</v>
      </c>
      <c r="Q823" s="70" t="s">
        <v>22</v>
      </c>
      <c r="R823" s="71">
        <v>0.5</v>
      </c>
      <c r="S823" s="71">
        <v>5.49</v>
      </c>
      <c r="T823" s="70" t="s">
        <v>3361</v>
      </c>
      <c r="U823" s="71">
        <v>4.06</v>
      </c>
      <c r="V823" s="71">
        <v>19.06</v>
      </c>
      <c r="W823" s="67"/>
      <c r="X823" s="67"/>
      <c r="Y823" s="67"/>
      <c r="Z823" s="67"/>
      <c r="AA823" s="67"/>
      <c r="AB823" s="67"/>
      <c r="AC823" s="67"/>
    </row>
    <row r="824">
      <c r="A824" s="74">
        <v>46151.0</v>
      </c>
      <c r="B824" s="70" t="s">
        <v>3362</v>
      </c>
      <c r="C824" s="70" t="s">
        <v>2736</v>
      </c>
      <c r="D824" s="71">
        <v>0.08</v>
      </c>
      <c r="E824" s="71">
        <v>4.0</v>
      </c>
      <c r="F824" s="68"/>
      <c r="G824" s="68"/>
      <c r="H824" s="71"/>
      <c r="I824" s="72"/>
      <c r="J824" s="70" t="s">
        <v>1450</v>
      </c>
      <c r="K824" s="67"/>
      <c r="L824" s="70" t="s">
        <v>3363</v>
      </c>
      <c r="M824" s="75">
        <v>1.0</v>
      </c>
      <c r="N824" s="75">
        <v>0.0</v>
      </c>
      <c r="O824" s="75">
        <v>0.0</v>
      </c>
      <c r="P824" s="75">
        <v>1.0</v>
      </c>
      <c r="Q824" s="70" t="s">
        <v>22</v>
      </c>
      <c r="R824" s="71">
        <v>0.5</v>
      </c>
      <c r="S824" s="71">
        <v>0.58</v>
      </c>
      <c r="T824" s="70"/>
      <c r="U824" s="71">
        <v>2.94</v>
      </c>
      <c r="V824" s="71">
        <v>6.94</v>
      </c>
      <c r="W824" s="67"/>
      <c r="X824" s="67"/>
      <c r="Y824" s="67"/>
      <c r="Z824" s="67"/>
      <c r="AA824" s="67"/>
      <c r="AB824" s="67"/>
      <c r="AC824" s="67"/>
    </row>
    <row r="825">
      <c r="A825" s="74">
        <v>46151.0</v>
      </c>
      <c r="B825" s="70" t="s">
        <v>3364</v>
      </c>
      <c r="C825" s="70" t="s">
        <v>2736</v>
      </c>
      <c r="D825" s="71">
        <v>0.08</v>
      </c>
      <c r="E825" s="71">
        <v>4.0</v>
      </c>
      <c r="F825" s="68"/>
      <c r="G825" s="68"/>
      <c r="H825" s="68"/>
      <c r="I825" s="69"/>
      <c r="J825" s="70" t="s">
        <v>1450</v>
      </c>
      <c r="K825" s="67"/>
      <c r="L825" s="67" t="s">
        <v>3365</v>
      </c>
      <c r="M825" s="75">
        <v>1.0</v>
      </c>
      <c r="N825" s="75">
        <v>0.0</v>
      </c>
      <c r="O825" s="75">
        <v>0.0</v>
      </c>
      <c r="P825" s="75">
        <v>1.0</v>
      </c>
      <c r="Q825" s="76" t="s">
        <v>22</v>
      </c>
      <c r="R825" s="71">
        <v>0.5</v>
      </c>
      <c r="S825" s="71">
        <v>0.58</v>
      </c>
      <c r="T825" s="70"/>
      <c r="U825" s="71">
        <v>2.94</v>
      </c>
      <c r="V825" s="71">
        <v>6.94</v>
      </c>
      <c r="W825" s="67"/>
      <c r="X825" s="67"/>
      <c r="Y825" s="67"/>
      <c r="Z825" s="67"/>
      <c r="AA825" s="67"/>
      <c r="AB825" s="67"/>
      <c r="AC825" s="67"/>
    </row>
    <row r="826">
      <c r="A826" s="74">
        <v>46151.0</v>
      </c>
      <c r="B826" s="70" t="s">
        <v>3366</v>
      </c>
      <c r="C826" s="70" t="s">
        <v>2736</v>
      </c>
      <c r="D826" s="71">
        <v>0.08</v>
      </c>
      <c r="E826" s="71">
        <v>4.0</v>
      </c>
      <c r="F826" s="68"/>
      <c r="G826" s="68"/>
      <c r="H826" s="68"/>
      <c r="I826" s="69"/>
      <c r="J826" s="70" t="s">
        <v>1450</v>
      </c>
      <c r="K826" s="67"/>
      <c r="L826" s="70" t="s">
        <v>3367</v>
      </c>
      <c r="M826" s="75">
        <v>1.0</v>
      </c>
      <c r="N826" s="75">
        <v>0.0</v>
      </c>
      <c r="O826" s="75">
        <v>0.0</v>
      </c>
      <c r="P826" s="75">
        <v>1.0</v>
      </c>
      <c r="Q826" s="70" t="s">
        <v>22</v>
      </c>
      <c r="R826" s="71">
        <v>0.5</v>
      </c>
      <c r="S826" s="71">
        <v>0.58</v>
      </c>
      <c r="T826" s="70"/>
      <c r="U826" s="71">
        <v>2.94</v>
      </c>
      <c r="V826" s="71">
        <v>6.94</v>
      </c>
      <c r="W826" s="67"/>
      <c r="X826" s="67"/>
      <c r="Y826" s="67"/>
      <c r="Z826" s="67"/>
      <c r="AA826" s="67"/>
      <c r="AB826" s="67"/>
      <c r="AC826" s="67"/>
    </row>
    <row r="827">
      <c r="A827" s="74">
        <v>46151.0</v>
      </c>
      <c r="B827" s="70" t="s">
        <v>3368</v>
      </c>
      <c r="C827" s="70" t="s">
        <v>2736</v>
      </c>
      <c r="D827" s="71">
        <v>0.08</v>
      </c>
      <c r="E827" s="71">
        <v>4.0</v>
      </c>
      <c r="F827" s="68"/>
      <c r="G827" s="68"/>
      <c r="H827" s="68"/>
      <c r="I827" s="69"/>
      <c r="J827" s="70" t="s">
        <v>1450</v>
      </c>
      <c r="K827" s="67"/>
      <c r="L827" s="70" t="s">
        <v>3369</v>
      </c>
      <c r="M827" s="75">
        <v>1.0</v>
      </c>
      <c r="N827" s="75">
        <v>0.0</v>
      </c>
      <c r="O827" s="75">
        <v>0.0</v>
      </c>
      <c r="P827" s="75">
        <v>1.0</v>
      </c>
      <c r="Q827" s="70" t="s">
        <v>22</v>
      </c>
      <c r="R827" s="71">
        <v>0.5</v>
      </c>
      <c r="S827" s="71">
        <v>0.58</v>
      </c>
      <c r="T827" s="70"/>
      <c r="U827" s="71">
        <v>2.94</v>
      </c>
      <c r="V827" s="71">
        <v>6.94</v>
      </c>
      <c r="W827" s="67"/>
      <c r="X827" s="67"/>
      <c r="Y827" s="67"/>
      <c r="Z827" s="67"/>
      <c r="AA827" s="67"/>
      <c r="AB827" s="67"/>
      <c r="AC827" s="67"/>
    </row>
    <row r="828">
      <c r="A828" s="74">
        <v>46151.0</v>
      </c>
      <c r="B828" s="70" t="s">
        <v>3370</v>
      </c>
      <c r="C828" s="70" t="s">
        <v>2736</v>
      </c>
      <c r="D828" s="71">
        <v>0.08</v>
      </c>
      <c r="E828" s="71">
        <v>4.0</v>
      </c>
      <c r="F828" s="68"/>
      <c r="G828" s="68"/>
      <c r="H828" s="71"/>
      <c r="I828" s="72"/>
      <c r="J828" s="70" t="s">
        <v>1450</v>
      </c>
      <c r="K828" s="67"/>
      <c r="L828" s="67" t="s">
        <v>3371</v>
      </c>
      <c r="M828" s="75">
        <v>1.0</v>
      </c>
      <c r="N828" s="75">
        <v>0.0</v>
      </c>
      <c r="O828" s="75">
        <v>0.0</v>
      </c>
      <c r="P828" s="75">
        <v>1.0</v>
      </c>
      <c r="Q828" s="76" t="s">
        <v>22</v>
      </c>
      <c r="R828" s="71">
        <v>0.5</v>
      </c>
      <c r="S828" s="71">
        <v>0.58</v>
      </c>
      <c r="T828" s="70"/>
      <c r="U828" s="71">
        <v>2.94</v>
      </c>
      <c r="V828" s="71">
        <v>6.94</v>
      </c>
      <c r="W828" s="67"/>
      <c r="X828" s="67"/>
      <c r="Y828" s="67"/>
      <c r="Z828" s="67"/>
      <c r="AA828" s="67"/>
      <c r="AB828" s="67"/>
      <c r="AC828" s="67"/>
    </row>
    <row r="829">
      <c r="A829" s="74">
        <v>46151.0</v>
      </c>
      <c r="B829" s="70" t="s">
        <v>3372</v>
      </c>
      <c r="C829" s="70" t="s">
        <v>2736</v>
      </c>
      <c r="D829" s="71">
        <v>0.08</v>
      </c>
      <c r="E829" s="71">
        <v>4.0</v>
      </c>
      <c r="F829" s="68"/>
      <c r="G829" s="68"/>
      <c r="H829" s="68"/>
      <c r="I829" s="69"/>
      <c r="J829" s="70" t="s">
        <v>1450</v>
      </c>
      <c r="K829" s="67"/>
      <c r="L829" s="70" t="s">
        <v>3373</v>
      </c>
      <c r="M829" s="75">
        <v>1.0</v>
      </c>
      <c r="N829" s="75">
        <v>0.0</v>
      </c>
      <c r="O829" s="75">
        <v>0.0</v>
      </c>
      <c r="P829" s="75">
        <v>1.0</v>
      </c>
      <c r="Q829" s="76" t="s">
        <v>22</v>
      </c>
      <c r="R829" s="71">
        <v>0.5</v>
      </c>
      <c r="S829" s="71">
        <v>0.58</v>
      </c>
      <c r="T829" s="70"/>
      <c r="U829" s="71">
        <v>2.94</v>
      </c>
      <c r="V829" s="71">
        <v>6.94</v>
      </c>
      <c r="W829" s="67"/>
      <c r="X829" s="67"/>
      <c r="Y829" s="67"/>
      <c r="Z829" s="67"/>
      <c r="AA829" s="67"/>
      <c r="AB829" s="67"/>
      <c r="AC829" s="67"/>
    </row>
    <row r="830">
      <c r="A830" s="74">
        <v>46151.0</v>
      </c>
      <c r="B830" s="70" t="s">
        <v>3374</v>
      </c>
      <c r="C830" s="70" t="s">
        <v>2736</v>
      </c>
      <c r="D830" s="71">
        <v>8.0</v>
      </c>
      <c r="E830" s="71">
        <v>4.0</v>
      </c>
      <c r="F830" s="68"/>
      <c r="G830" s="68"/>
      <c r="H830" s="71"/>
      <c r="I830" s="72"/>
      <c r="J830" s="70" t="s">
        <v>1450</v>
      </c>
      <c r="K830" s="67"/>
      <c r="L830" s="70" t="s">
        <v>3375</v>
      </c>
      <c r="M830" s="75">
        <v>1.0</v>
      </c>
      <c r="N830" s="75">
        <v>0.0</v>
      </c>
      <c r="O830" s="75">
        <v>0.0</v>
      </c>
      <c r="P830" s="75">
        <v>1.0</v>
      </c>
      <c r="Q830" s="76" t="s">
        <v>22</v>
      </c>
      <c r="R830" s="71">
        <v>0.5</v>
      </c>
      <c r="S830" s="71">
        <v>8.5</v>
      </c>
      <c r="T830" s="70"/>
      <c r="U830" s="71">
        <v>2.94</v>
      </c>
      <c r="V830" s="71">
        <v>6.94</v>
      </c>
      <c r="W830" s="67"/>
      <c r="X830" s="67"/>
      <c r="Y830" s="67"/>
      <c r="Z830" s="67"/>
      <c r="AA830" s="67"/>
      <c r="AB830" s="67"/>
      <c r="AC830" s="67"/>
    </row>
    <row r="831">
      <c r="A831" s="74">
        <v>46151.0</v>
      </c>
      <c r="B831" s="70" t="s">
        <v>3376</v>
      </c>
      <c r="C831" s="70" t="s">
        <v>2736</v>
      </c>
      <c r="D831" s="71">
        <v>0.08</v>
      </c>
      <c r="E831" s="71">
        <v>4.0</v>
      </c>
      <c r="F831" s="68"/>
      <c r="G831" s="68"/>
      <c r="H831" s="71"/>
      <c r="I831" s="72"/>
      <c r="J831" s="70" t="s">
        <v>1450</v>
      </c>
      <c r="K831" s="67"/>
      <c r="L831" s="70" t="s">
        <v>3377</v>
      </c>
      <c r="M831" s="75">
        <v>1.0</v>
      </c>
      <c r="N831" s="75">
        <v>0.0</v>
      </c>
      <c r="O831" s="75">
        <v>0.0</v>
      </c>
      <c r="P831" s="75">
        <v>1.0</v>
      </c>
      <c r="Q831" s="76" t="s">
        <v>22</v>
      </c>
      <c r="R831" s="71">
        <v>0.5</v>
      </c>
      <c r="S831" s="71">
        <v>0.58</v>
      </c>
      <c r="T831" s="70"/>
      <c r="U831" s="71">
        <v>2.94</v>
      </c>
      <c r="V831" s="71">
        <v>6.94</v>
      </c>
      <c r="W831" s="67"/>
      <c r="X831" s="67"/>
      <c r="Y831" s="67"/>
      <c r="Z831" s="67"/>
      <c r="AA831" s="67"/>
      <c r="AB831" s="67"/>
      <c r="AC831" s="67"/>
    </row>
    <row r="832">
      <c r="A832" s="74">
        <v>46151.0</v>
      </c>
      <c r="B832" s="70" t="s">
        <v>3378</v>
      </c>
      <c r="C832" s="70" t="s">
        <v>2736</v>
      </c>
      <c r="D832" s="71">
        <v>0.08</v>
      </c>
      <c r="E832" s="71">
        <v>4.0</v>
      </c>
      <c r="F832" s="68"/>
      <c r="G832" s="68"/>
      <c r="H832" s="71"/>
      <c r="I832" s="72"/>
      <c r="J832" s="70" t="s">
        <v>1450</v>
      </c>
      <c r="K832" s="67"/>
      <c r="L832" s="67" t="s">
        <v>3379</v>
      </c>
      <c r="M832" s="75">
        <v>1.0</v>
      </c>
      <c r="N832" s="75">
        <v>0.0</v>
      </c>
      <c r="O832" s="75">
        <v>0.0</v>
      </c>
      <c r="P832" s="75">
        <v>1.0</v>
      </c>
      <c r="Q832" s="76" t="s">
        <v>22</v>
      </c>
      <c r="R832" s="71">
        <v>0.5</v>
      </c>
      <c r="S832" s="71">
        <v>0.58</v>
      </c>
      <c r="T832" s="70"/>
      <c r="U832" s="71">
        <v>2.94</v>
      </c>
      <c r="V832" s="71">
        <v>6.94</v>
      </c>
      <c r="W832" s="67"/>
      <c r="X832" s="67"/>
      <c r="Y832" s="67"/>
      <c r="Z832" s="67"/>
      <c r="AA832" s="67"/>
      <c r="AB832" s="67"/>
      <c r="AC832" s="67"/>
    </row>
    <row r="833">
      <c r="A833" s="74">
        <v>46151.0</v>
      </c>
      <c r="B833" s="70" t="s">
        <v>3380</v>
      </c>
      <c r="C833" s="70" t="s">
        <v>3248</v>
      </c>
      <c r="D833" s="71">
        <v>4.99</v>
      </c>
      <c r="E833" s="71">
        <v>15.0</v>
      </c>
      <c r="F833" s="71">
        <v>15.0</v>
      </c>
      <c r="G833" s="68"/>
      <c r="H833" s="71">
        <v>9.51</v>
      </c>
      <c r="I833" s="72">
        <v>0.634</v>
      </c>
      <c r="J833" s="70" t="s">
        <v>1462</v>
      </c>
      <c r="K833" s="67"/>
      <c r="L833" s="70" t="s">
        <v>3381</v>
      </c>
      <c r="M833" s="75">
        <v>1.0</v>
      </c>
      <c r="N833" s="75">
        <v>0.0</v>
      </c>
      <c r="O833" s="75">
        <v>0.0</v>
      </c>
      <c r="P833" s="75">
        <v>1.0</v>
      </c>
      <c r="Q833" s="70" t="s">
        <v>22</v>
      </c>
      <c r="R833" s="71">
        <v>0.5</v>
      </c>
      <c r="S833" s="71">
        <v>5.49</v>
      </c>
      <c r="T833" s="70"/>
      <c r="U833" s="71">
        <v>4.06</v>
      </c>
      <c r="V833" s="71">
        <v>19.06</v>
      </c>
      <c r="W833" s="67"/>
      <c r="X833" s="67"/>
      <c r="Y833" s="67"/>
      <c r="Z833" s="67"/>
      <c r="AA833" s="67"/>
      <c r="AB833" s="67"/>
      <c r="AC833" s="67"/>
    </row>
    <row r="834">
      <c r="A834" s="74">
        <v>46152.0</v>
      </c>
      <c r="B834" s="70" t="s">
        <v>3382</v>
      </c>
      <c r="C834" s="70" t="s">
        <v>3110</v>
      </c>
      <c r="D834" s="71">
        <v>20.0</v>
      </c>
      <c r="E834" s="71">
        <v>0.0</v>
      </c>
      <c r="F834" s="71">
        <v>25.0</v>
      </c>
      <c r="G834" s="68"/>
      <c r="H834" s="71">
        <v>4.52</v>
      </c>
      <c r="I834" s="72">
        <v>0.1808</v>
      </c>
      <c r="J834" s="70" t="s">
        <v>1462</v>
      </c>
      <c r="K834" s="67"/>
      <c r="L834" s="70" t="s">
        <v>3383</v>
      </c>
      <c r="M834" s="75">
        <v>1.0</v>
      </c>
      <c r="N834" s="75">
        <v>0.0</v>
      </c>
      <c r="O834" s="75">
        <v>0.0</v>
      </c>
      <c r="P834" s="75">
        <v>1.0</v>
      </c>
      <c r="Q834" s="70" t="s">
        <v>22</v>
      </c>
      <c r="R834" s="71">
        <v>0.48</v>
      </c>
      <c r="S834" s="71">
        <v>20.48</v>
      </c>
      <c r="T834" s="70" t="s">
        <v>3384</v>
      </c>
      <c r="U834" s="71">
        <v>3.88</v>
      </c>
      <c r="V834" s="71">
        <v>3.88</v>
      </c>
      <c r="W834" s="67"/>
      <c r="X834" s="67"/>
      <c r="Y834" s="67"/>
      <c r="Z834" s="67"/>
      <c r="AA834" s="67"/>
      <c r="AB834" s="67"/>
      <c r="AC834" s="67"/>
    </row>
    <row r="835">
      <c r="A835" s="74">
        <v>46152.0</v>
      </c>
      <c r="B835" s="70" t="s">
        <v>3385</v>
      </c>
      <c r="C835" s="70" t="s">
        <v>3114</v>
      </c>
      <c r="D835" s="71">
        <v>0.08</v>
      </c>
      <c r="E835" s="71">
        <v>4.0</v>
      </c>
      <c r="F835" s="68"/>
      <c r="G835" s="68"/>
      <c r="H835" s="68"/>
      <c r="I835" s="69"/>
      <c r="J835" s="70" t="s">
        <v>1450</v>
      </c>
      <c r="K835" s="67"/>
      <c r="L835" s="67" t="s">
        <v>3386</v>
      </c>
      <c r="M835" s="75">
        <v>1.0</v>
      </c>
      <c r="N835" s="75">
        <v>0.0</v>
      </c>
      <c r="O835" s="75">
        <v>0.0</v>
      </c>
      <c r="P835" s="75">
        <v>1.0</v>
      </c>
      <c r="Q835" s="76" t="s">
        <v>22</v>
      </c>
      <c r="R835" s="71">
        <v>0.63</v>
      </c>
      <c r="S835" s="71">
        <v>0.71</v>
      </c>
      <c r="T835" s="70" t="s">
        <v>3387</v>
      </c>
      <c r="U835" s="71">
        <v>3.69</v>
      </c>
      <c r="V835" s="71">
        <v>7.69</v>
      </c>
      <c r="W835" s="67"/>
      <c r="X835" s="67"/>
      <c r="Y835" s="67"/>
      <c r="Z835" s="67"/>
      <c r="AA835" s="67"/>
      <c r="AB835" s="67"/>
      <c r="AC835" s="67"/>
    </row>
    <row r="836">
      <c r="A836" s="74">
        <v>46152.0</v>
      </c>
      <c r="B836" s="70" t="s">
        <v>3388</v>
      </c>
      <c r="C836" s="70" t="s">
        <v>3114</v>
      </c>
      <c r="D836" s="71">
        <v>0.08</v>
      </c>
      <c r="E836" s="71">
        <v>4.0</v>
      </c>
      <c r="F836" s="68"/>
      <c r="G836" s="68"/>
      <c r="H836" s="68"/>
      <c r="I836" s="69"/>
      <c r="J836" s="70" t="s">
        <v>1450</v>
      </c>
      <c r="K836" s="67"/>
      <c r="L836" s="70" t="s">
        <v>3389</v>
      </c>
      <c r="M836" s="75">
        <v>1.0</v>
      </c>
      <c r="N836" s="75">
        <v>0.0</v>
      </c>
      <c r="O836" s="75">
        <v>0.0</v>
      </c>
      <c r="P836" s="75">
        <v>1.0</v>
      </c>
      <c r="Q836" s="70" t="s">
        <v>22</v>
      </c>
      <c r="R836" s="71">
        <v>0.63</v>
      </c>
      <c r="S836" s="71">
        <v>0.71</v>
      </c>
      <c r="T836" s="70" t="s">
        <v>3390</v>
      </c>
      <c r="U836" s="71">
        <v>3.69</v>
      </c>
      <c r="V836" s="71">
        <v>7.69</v>
      </c>
      <c r="W836" s="67"/>
      <c r="X836" s="67"/>
      <c r="Y836" s="67"/>
      <c r="Z836" s="67"/>
      <c r="AA836" s="67"/>
      <c r="AB836" s="67"/>
      <c r="AC836" s="67"/>
    </row>
    <row r="837">
      <c r="A837" s="74">
        <v>46152.0</v>
      </c>
      <c r="B837" s="70" t="s">
        <v>3391</v>
      </c>
      <c r="C837" s="70" t="s">
        <v>1569</v>
      </c>
      <c r="D837" s="71">
        <v>2.2</v>
      </c>
      <c r="E837" s="71">
        <v>0.0</v>
      </c>
      <c r="F837" s="68"/>
      <c r="G837" s="68"/>
      <c r="H837" s="68"/>
      <c r="I837" s="69"/>
      <c r="J837" s="70" t="s">
        <v>1450</v>
      </c>
      <c r="K837" s="67"/>
      <c r="L837" s="70" t="s">
        <v>3392</v>
      </c>
      <c r="M837" s="75">
        <v>1.0</v>
      </c>
      <c r="N837" s="75">
        <v>0.0</v>
      </c>
      <c r="O837" s="75">
        <v>0.0</v>
      </c>
      <c r="P837" s="75">
        <v>1.0</v>
      </c>
      <c r="Q837" s="70" t="s">
        <v>22</v>
      </c>
      <c r="R837" s="71">
        <v>0.5</v>
      </c>
      <c r="S837" s="71">
        <v>2.7</v>
      </c>
      <c r="T837" s="70" t="s">
        <v>3393</v>
      </c>
      <c r="U837" s="71">
        <v>4.06</v>
      </c>
      <c r="V837" s="71">
        <v>4.06</v>
      </c>
      <c r="W837" s="67"/>
      <c r="X837" s="67"/>
      <c r="Y837" s="67"/>
      <c r="Z837" s="67"/>
      <c r="AA837" s="67"/>
      <c r="AB837" s="67"/>
      <c r="AC837" s="67"/>
    </row>
    <row r="838">
      <c r="A838" s="74">
        <v>46153.0</v>
      </c>
      <c r="B838" s="70" t="s">
        <v>3394</v>
      </c>
      <c r="C838" s="70" t="s">
        <v>1936</v>
      </c>
      <c r="D838" s="71">
        <v>4.99</v>
      </c>
      <c r="E838" s="71">
        <v>0.0</v>
      </c>
      <c r="F838" s="68"/>
      <c r="G838" s="68"/>
      <c r="H838" s="71"/>
      <c r="I838" s="72"/>
      <c r="J838" s="70" t="s">
        <v>1450</v>
      </c>
      <c r="K838" s="67"/>
      <c r="L838" s="70" t="s">
        <v>3395</v>
      </c>
      <c r="M838" s="75">
        <v>1.0</v>
      </c>
      <c r="N838" s="75">
        <v>0.0</v>
      </c>
      <c r="O838" s="75">
        <v>0.0</v>
      </c>
      <c r="P838" s="75">
        <v>1.0</v>
      </c>
      <c r="Q838" s="76" t="s">
        <v>22</v>
      </c>
      <c r="R838" s="71">
        <v>4.77</v>
      </c>
      <c r="S838" s="71">
        <v>9.76</v>
      </c>
      <c r="T838" s="70" t="s">
        <v>3396</v>
      </c>
      <c r="U838" s="71">
        <v>12.06</v>
      </c>
      <c r="V838" s="71">
        <v>12.06</v>
      </c>
      <c r="W838" s="67"/>
      <c r="X838" s="67"/>
      <c r="Y838" s="67"/>
      <c r="Z838" s="67"/>
      <c r="AA838" s="67"/>
      <c r="AB838" s="67"/>
      <c r="AC838" s="67"/>
    </row>
    <row r="839">
      <c r="A839" s="74">
        <v>46153.0</v>
      </c>
      <c r="B839" s="70" t="s">
        <v>3397</v>
      </c>
      <c r="C839" s="70" t="s">
        <v>1569</v>
      </c>
      <c r="D839" s="71">
        <v>3.3</v>
      </c>
      <c r="E839" s="71">
        <v>0.0</v>
      </c>
      <c r="F839" s="68"/>
      <c r="G839" s="68"/>
      <c r="H839" s="71"/>
      <c r="I839" s="72"/>
      <c r="J839" s="70" t="s">
        <v>1692</v>
      </c>
      <c r="K839" s="67"/>
      <c r="L839" s="70" t="s">
        <v>3398</v>
      </c>
      <c r="M839" s="75">
        <v>1.0</v>
      </c>
      <c r="N839" s="75">
        <v>0.0</v>
      </c>
      <c r="O839" s="75">
        <v>1.0</v>
      </c>
      <c r="P839" s="75">
        <v>0.0</v>
      </c>
      <c r="Q839" s="76" t="s">
        <v>22</v>
      </c>
      <c r="R839" s="71">
        <v>0.16</v>
      </c>
      <c r="S839" s="71">
        <v>3.46</v>
      </c>
      <c r="T839" s="70" t="s">
        <v>3399</v>
      </c>
      <c r="U839" s="71">
        <v>1.38</v>
      </c>
      <c r="V839" s="71">
        <v>1.38</v>
      </c>
      <c r="W839" s="67"/>
      <c r="X839" s="67"/>
      <c r="Y839" s="67"/>
      <c r="Z839" s="67"/>
      <c r="AA839" s="67"/>
      <c r="AB839" s="67"/>
      <c r="AC839" s="67"/>
    </row>
    <row r="840">
      <c r="A840" s="74">
        <v>46153.0</v>
      </c>
      <c r="B840" s="70" t="s">
        <v>3400</v>
      </c>
      <c r="C840" s="70" t="s">
        <v>1779</v>
      </c>
      <c r="D840" s="71">
        <v>4.19</v>
      </c>
      <c r="E840" s="71">
        <v>15.0</v>
      </c>
      <c r="F840" s="68"/>
      <c r="G840" s="68"/>
      <c r="H840" s="68"/>
      <c r="I840" s="69"/>
      <c r="J840" s="70" t="s">
        <v>1450</v>
      </c>
      <c r="K840" s="67"/>
      <c r="L840" s="70" t="s">
        <v>3401</v>
      </c>
      <c r="M840" s="75">
        <v>1.0</v>
      </c>
      <c r="N840" s="75">
        <v>0.0</v>
      </c>
      <c r="O840" s="75">
        <v>0.0</v>
      </c>
      <c r="P840" s="75">
        <v>1.0</v>
      </c>
      <c r="Q840" s="76" t="s">
        <v>22</v>
      </c>
      <c r="R840" s="71">
        <v>0.16</v>
      </c>
      <c r="S840" s="71">
        <v>4.35</v>
      </c>
      <c r="T840" s="70" t="s">
        <v>3402</v>
      </c>
      <c r="U840" s="71">
        <v>1.38</v>
      </c>
      <c r="V840" s="71">
        <v>16.38</v>
      </c>
      <c r="W840" s="67"/>
      <c r="X840" s="67"/>
      <c r="Y840" s="67"/>
      <c r="Z840" s="67"/>
      <c r="AA840" s="67"/>
      <c r="AB840" s="67"/>
      <c r="AC840" s="67"/>
    </row>
    <row r="841">
      <c r="A841" s="74">
        <v>46153.0</v>
      </c>
      <c r="B841" s="70" t="s">
        <v>3403</v>
      </c>
      <c r="C841" s="70" t="s">
        <v>2617</v>
      </c>
      <c r="D841" s="71">
        <v>3.66</v>
      </c>
      <c r="E841" s="71">
        <v>0.0</v>
      </c>
      <c r="F841" s="68"/>
      <c r="G841" s="68"/>
      <c r="H841" s="71"/>
      <c r="I841" s="72"/>
      <c r="J841" s="70" t="s">
        <v>1450</v>
      </c>
      <c r="K841" s="67"/>
      <c r="L841" s="67" t="s">
        <v>3404</v>
      </c>
      <c r="M841" s="75">
        <v>1.0</v>
      </c>
      <c r="N841" s="75">
        <v>0.0</v>
      </c>
      <c r="O841" s="75">
        <v>0.0</v>
      </c>
      <c r="P841" s="75">
        <v>1.0</v>
      </c>
      <c r="Q841" s="76" t="s">
        <v>22</v>
      </c>
      <c r="R841" s="71">
        <v>0.16</v>
      </c>
      <c r="S841" s="71">
        <v>3.82</v>
      </c>
      <c r="T841" s="70" t="s">
        <v>3405</v>
      </c>
      <c r="U841" s="71">
        <v>1.38</v>
      </c>
      <c r="V841" s="71">
        <v>1.38</v>
      </c>
      <c r="W841" s="67"/>
      <c r="X841" s="67"/>
      <c r="Y841" s="67"/>
      <c r="Z841" s="67"/>
      <c r="AA841" s="67"/>
      <c r="AB841" s="67"/>
      <c r="AC841" s="67"/>
    </row>
    <row r="842">
      <c r="A842" s="74">
        <v>46153.0</v>
      </c>
      <c r="B842" s="70" t="s">
        <v>3406</v>
      </c>
      <c r="C842" s="70" t="s">
        <v>1530</v>
      </c>
      <c r="D842" s="71">
        <v>10.25</v>
      </c>
      <c r="E842" s="71">
        <v>0.0</v>
      </c>
      <c r="F842" s="68"/>
      <c r="G842" s="68"/>
      <c r="H842" s="68"/>
      <c r="I842" s="69"/>
      <c r="J842" s="70" t="s">
        <v>1450</v>
      </c>
      <c r="K842" s="67"/>
      <c r="L842" s="70" t="s">
        <v>3407</v>
      </c>
      <c r="M842" s="75">
        <v>1.0</v>
      </c>
      <c r="N842" s="75">
        <v>0.0</v>
      </c>
      <c r="O842" s="75">
        <v>0.0</v>
      </c>
      <c r="P842" s="75">
        <v>1.0</v>
      </c>
      <c r="Q842" s="76" t="s">
        <v>22</v>
      </c>
      <c r="R842" s="71">
        <v>0.5</v>
      </c>
      <c r="S842" s="71">
        <v>10.75</v>
      </c>
      <c r="T842" s="70" t="s">
        <v>3408</v>
      </c>
      <c r="U842" s="71">
        <v>4.06</v>
      </c>
      <c r="V842" s="71">
        <v>4.06</v>
      </c>
      <c r="W842" s="67"/>
      <c r="X842" s="67"/>
      <c r="Y842" s="67"/>
      <c r="Z842" s="67"/>
      <c r="AA842" s="67"/>
      <c r="AB842" s="67"/>
      <c r="AC842" s="67"/>
    </row>
    <row r="843">
      <c r="A843" s="74">
        <v>46153.0</v>
      </c>
      <c r="B843" s="70" t="s">
        <v>3409</v>
      </c>
      <c r="C843" s="70" t="s">
        <v>1691</v>
      </c>
      <c r="D843" s="71">
        <v>7.5</v>
      </c>
      <c r="E843" s="71">
        <v>0.0</v>
      </c>
      <c r="F843" s="68"/>
      <c r="G843" s="68"/>
      <c r="H843" s="68"/>
      <c r="I843" s="69"/>
      <c r="J843" s="70" t="s">
        <v>1450</v>
      </c>
      <c r="K843" s="67"/>
      <c r="L843" s="70" t="s">
        <v>3410</v>
      </c>
      <c r="M843" s="75">
        <v>1.0</v>
      </c>
      <c r="N843" s="75">
        <v>0.0</v>
      </c>
      <c r="O843" s="75">
        <v>0.0</v>
      </c>
      <c r="P843" s="75">
        <v>1.0</v>
      </c>
      <c r="Q843" s="70" t="s">
        <v>22</v>
      </c>
      <c r="R843" s="71">
        <v>0.5</v>
      </c>
      <c r="S843" s="71">
        <v>8.0</v>
      </c>
      <c r="T843" s="70" t="s">
        <v>3411</v>
      </c>
      <c r="U843" s="71">
        <v>4.06</v>
      </c>
      <c r="V843" s="71">
        <v>4.06</v>
      </c>
      <c r="W843" s="67"/>
      <c r="X843" s="67"/>
      <c r="Y843" s="67"/>
      <c r="Z843" s="67"/>
      <c r="AA843" s="67"/>
      <c r="AB843" s="67"/>
      <c r="AC843" s="67"/>
    </row>
    <row r="844">
      <c r="A844" s="74">
        <v>46153.0</v>
      </c>
      <c r="B844" s="70" t="s">
        <v>3412</v>
      </c>
      <c r="C844" s="70" t="s">
        <v>1779</v>
      </c>
      <c r="D844" s="71">
        <v>4.19</v>
      </c>
      <c r="E844" s="71">
        <v>15.0</v>
      </c>
      <c r="F844" s="68"/>
      <c r="G844" s="68"/>
      <c r="H844" s="68"/>
      <c r="I844" s="69"/>
      <c r="J844" s="70" t="s">
        <v>1450</v>
      </c>
      <c r="K844" s="67"/>
      <c r="L844" s="70" t="s">
        <v>3413</v>
      </c>
      <c r="M844" s="75">
        <v>1.0</v>
      </c>
      <c r="N844" s="75">
        <v>0.0</v>
      </c>
      <c r="O844" s="75">
        <v>0.0</v>
      </c>
      <c r="P844" s="75">
        <v>1.0</v>
      </c>
      <c r="Q844" s="70" t="s">
        <v>22</v>
      </c>
      <c r="R844" s="71">
        <v>0.5</v>
      </c>
      <c r="S844" s="71">
        <v>4.69</v>
      </c>
      <c r="T844" s="70" t="s">
        <v>3414</v>
      </c>
      <c r="U844" s="71">
        <v>4.06</v>
      </c>
      <c r="V844" s="71">
        <v>19.06</v>
      </c>
      <c r="W844" s="67"/>
      <c r="X844" s="67"/>
      <c r="Y844" s="67"/>
      <c r="Z844" s="67"/>
      <c r="AA844" s="67"/>
      <c r="AB844" s="67"/>
      <c r="AC844" s="67"/>
    </row>
    <row r="845">
      <c r="A845" s="74">
        <v>46153.0</v>
      </c>
      <c r="B845" s="70" t="s">
        <v>3415</v>
      </c>
      <c r="C845" s="70" t="s">
        <v>3416</v>
      </c>
      <c r="D845" s="71">
        <v>18.0</v>
      </c>
      <c r="E845" s="71">
        <v>0.0</v>
      </c>
      <c r="F845" s="68"/>
      <c r="G845" s="68"/>
      <c r="H845" s="68"/>
      <c r="I845" s="69"/>
      <c r="J845" s="70" t="s">
        <v>1450</v>
      </c>
      <c r="K845" s="67"/>
      <c r="L845" s="70" t="s">
        <v>3417</v>
      </c>
      <c r="M845" s="75">
        <v>1.0</v>
      </c>
      <c r="N845" s="75">
        <v>0.0</v>
      </c>
      <c r="O845" s="75">
        <v>0.0</v>
      </c>
      <c r="P845" s="75">
        <v>1.0</v>
      </c>
      <c r="Q845" s="70" t="s">
        <v>22</v>
      </c>
      <c r="R845" s="71">
        <v>0.48</v>
      </c>
      <c r="S845" s="71">
        <v>18.48</v>
      </c>
      <c r="T845" s="70" t="s">
        <v>3418</v>
      </c>
      <c r="U845" s="71">
        <v>3.88</v>
      </c>
      <c r="V845" s="71">
        <v>3.88</v>
      </c>
      <c r="W845" s="67"/>
      <c r="X845" s="67"/>
      <c r="Y845" s="67"/>
      <c r="Z845" s="67"/>
      <c r="AA845" s="67"/>
      <c r="AB845" s="67"/>
      <c r="AC845" s="67"/>
    </row>
    <row r="846">
      <c r="A846" s="74">
        <v>46153.0</v>
      </c>
      <c r="B846" s="70" t="s">
        <v>3419</v>
      </c>
      <c r="C846" s="70" t="s">
        <v>3420</v>
      </c>
      <c r="D846" s="71">
        <v>0.08</v>
      </c>
      <c r="E846" s="71">
        <v>4.0</v>
      </c>
      <c r="F846" s="68"/>
      <c r="G846" s="68"/>
      <c r="H846" s="68"/>
      <c r="I846" s="69"/>
      <c r="J846" s="70" t="s">
        <v>1450</v>
      </c>
      <c r="K846" s="67"/>
      <c r="L846" s="70" t="s">
        <v>3421</v>
      </c>
      <c r="M846" s="75">
        <v>1.0</v>
      </c>
      <c r="N846" s="75">
        <v>0.0</v>
      </c>
      <c r="O846" s="75">
        <v>0.0</v>
      </c>
      <c r="P846" s="75">
        <v>1.0</v>
      </c>
      <c r="Q846" s="76" t="s">
        <v>22</v>
      </c>
      <c r="R846" s="71">
        <v>0.5</v>
      </c>
      <c r="S846" s="71">
        <v>0.58</v>
      </c>
      <c r="T846" s="70" t="s">
        <v>3422</v>
      </c>
      <c r="U846" s="71">
        <v>2.94</v>
      </c>
      <c r="V846" s="71">
        <v>6.94</v>
      </c>
      <c r="W846" s="67"/>
      <c r="X846" s="67"/>
      <c r="Y846" s="67"/>
      <c r="Z846" s="67"/>
      <c r="AA846" s="67"/>
      <c r="AB846" s="67"/>
      <c r="AC846" s="67"/>
    </row>
    <row r="847">
      <c r="A847" s="74">
        <v>46153.0</v>
      </c>
      <c r="B847" s="70" t="s">
        <v>3423</v>
      </c>
      <c r="C847" s="70" t="s">
        <v>2484</v>
      </c>
      <c r="D847" s="71">
        <v>3.42</v>
      </c>
      <c r="E847" s="71">
        <v>0.0</v>
      </c>
      <c r="F847" s="68"/>
      <c r="G847" s="68"/>
      <c r="H847" s="68"/>
      <c r="I847" s="69"/>
      <c r="J847" s="70" t="s">
        <v>1450</v>
      </c>
      <c r="K847" s="67"/>
      <c r="L847" s="70" t="s">
        <v>3424</v>
      </c>
      <c r="M847" s="75">
        <v>1.0</v>
      </c>
      <c r="N847" s="75">
        <v>0.0</v>
      </c>
      <c r="O847" s="75">
        <v>0.0</v>
      </c>
      <c r="P847" s="75">
        <v>1.0</v>
      </c>
      <c r="Q847" s="76" t="s">
        <v>22</v>
      </c>
      <c r="R847" s="71">
        <v>0.16</v>
      </c>
      <c r="S847" s="71">
        <v>3.58</v>
      </c>
      <c r="T847" s="70" t="s">
        <v>3425</v>
      </c>
      <c r="U847" s="71">
        <v>1.38</v>
      </c>
      <c r="V847" s="71">
        <v>1.38</v>
      </c>
      <c r="W847" s="67"/>
      <c r="X847" s="67"/>
      <c r="Y847" s="67"/>
      <c r="Z847" s="67"/>
      <c r="AA847" s="67"/>
      <c r="AB847" s="67"/>
      <c r="AC847" s="67"/>
    </row>
    <row r="848">
      <c r="A848" s="74">
        <v>46153.0</v>
      </c>
      <c r="B848" s="70" t="s">
        <v>3426</v>
      </c>
      <c r="C848" s="70" t="s">
        <v>2382</v>
      </c>
      <c r="D848" s="71">
        <v>8.0</v>
      </c>
      <c r="E848" s="71">
        <v>0.0</v>
      </c>
      <c r="F848" s="68"/>
      <c r="G848" s="68"/>
      <c r="H848" s="68"/>
      <c r="I848" s="69"/>
      <c r="J848" s="70" t="s">
        <v>1450</v>
      </c>
      <c r="K848" s="67"/>
      <c r="L848" s="70" t="s">
        <v>3427</v>
      </c>
      <c r="M848" s="75">
        <v>1.0</v>
      </c>
      <c r="N848" s="75">
        <v>0.0</v>
      </c>
      <c r="O848" s="75">
        <v>0.0</v>
      </c>
      <c r="P848" s="75">
        <v>1.0</v>
      </c>
      <c r="Q848" s="70" t="s">
        <v>22</v>
      </c>
      <c r="R848" s="71">
        <v>0.15</v>
      </c>
      <c r="S848" s="71">
        <v>8.15</v>
      </c>
      <c r="T848" s="70" t="s">
        <v>3428</v>
      </c>
      <c r="U848" s="71">
        <v>1.25</v>
      </c>
      <c r="V848" s="71">
        <v>1.25</v>
      </c>
      <c r="W848" s="67"/>
      <c r="X848" s="67"/>
      <c r="Y848" s="67"/>
      <c r="Z848" s="67"/>
      <c r="AA848" s="67"/>
      <c r="AB848" s="67"/>
      <c r="AC848" s="67"/>
    </row>
    <row r="849">
      <c r="A849" s="74">
        <v>46153.0</v>
      </c>
      <c r="B849" s="70" t="s">
        <v>3429</v>
      </c>
      <c r="C849" s="70" t="s">
        <v>2884</v>
      </c>
      <c r="D849" s="71">
        <v>7.33</v>
      </c>
      <c r="E849" s="71">
        <v>0.0</v>
      </c>
      <c r="F849" s="71">
        <v>18.0</v>
      </c>
      <c r="G849" s="68"/>
      <c r="H849" s="71">
        <v>10.19</v>
      </c>
      <c r="I849" s="72">
        <v>0.5661111111111111</v>
      </c>
      <c r="J849" s="70" t="s">
        <v>1462</v>
      </c>
      <c r="K849" s="67"/>
      <c r="L849" s="70" t="s">
        <v>3430</v>
      </c>
      <c r="M849" s="75">
        <v>1.0</v>
      </c>
      <c r="N849" s="75">
        <v>0.0</v>
      </c>
      <c r="O849" s="75">
        <v>0.0</v>
      </c>
      <c r="P849" s="75">
        <v>1.0</v>
      </c>
      <c r="Q849" s="70" t="s">
        <v>22</v>
      </c>
      <c r="R849" s="71">
        <v>0.48</v>
      </c>
      <c r="S849" s="71">
        <v>7.81</v>
      </c>
      <c r="T849" s="70" t="s">
        <v>3431</v>
      </c>
      <c r="U849" s="71">
        <v>3.88</v>
      </c>
      <c r="V849" s="71">
        <v>3.88</v>
      </c>
      <c r="W849" s="67"/>
      <c r="X849" s="67"/>
      <c r="Y849" s="67"/>
      <c r="Z849" s="67"/>
      <c r="AA849" s="67"/>
      <c r="AB849" s="67"/>
      <c r="AC849" s="67"/>
    </row>
    <row r="850">
      <c r="A850" s="74">
        <v>46153.0</v>
      </c>
      <c r="B850" s="70" t="s">
        <v>3432</v>
      </c>
      <c r="C850" s="70" t="s">
        <v>1497</v>
      </c>
      <c r="D850" s="71">
        <v>7.8</v>
      </c>
      <c r="E850" s="71">
        <v>16.99</v>
      </c>
      <c r="F850" s="68"/>
      <c r="G850" s="68"/>
      <c r="H850" s="68"/>
      <c r="I850" s="69"/>
      <c r="J850" s="70" t="s">
        <v>1450</v>
      </c>
      <c r="K850" s="67"/>
      <c r="L850" s="70" t="s">
        <v>3433</v>
      </c>
      <c r="M850" s="75">
        <v>1.0</v>
      </c>
      <c r="N850" s="75">
        <v>0.0</v>
      </c>
      <c r="O850" s="75">
        <v>0.0</v>
      </c>
      <c r="P850" s="75">
        <v>1.0</v>
      </c>
      <c r="Q850" s="70" t="s">
        <v>22</v>
      </c>
      <c r="R850" s="71">
        <v>0.5</v>
      </c>
      <c r="S850" s="71">
        <v>8.3</v>
      </c>
      <c r="T850" s="70" t="s">
        <v>3434</v>
      </c>
      <c r="U850" s="71">
        <v>4.06</v>
      </c>
      <c r="V850" s="71">
        <v>21.05</v>
      </c>
      <c r="W850" s="67"/>
      <c r="X850" s="67"/>
      <c r="Y850" s="67"/>
      <c r="Z850" s="67"/>
      <c r="AA850" s="67"/>
      <c r="AB850" s="67"/>
      <c r="AC850" s="67"/>
    </row>
    <row r="851">
      <c r="A851" s="74">
        <v>46153.0</v>
      </c>
      <c r="B851" s="70" t="s">
        <v>3435</v>
      </c>
      <c r="C851" s="70" t="s">
        <v>2288</v>
      </c>
      <c r="D851" s="71">
        <v>4.67</v>
      </c>
      <c r="E851" s="71">
        <v>0.0</v>
      </c>
      <c r="F851" s="68"/>
      <c r="G851" s="68"/>
      <c r="H851" s="68"/>
      <c r="I851" s="69"/>
      <c r="J851" s="70" t="s">
        <v>1450</v>
      </c>
      <c r="K851" s="67"/>
      <c r="L851" s="70" t="s">
        <v>3436</v>
      </c>
      <c r="M851" s="75">
        <v>1.0</v>
      </c>
      <c r="N851" s="75">
        <v>0.0</v>
      </c>
      <c r="O851" s="75">
        <v>0.0</v>
      </c>
      <c r="P851" s="75">
        <v>1.0</v>
      </c>
      <c r="Q851" s="70" t="s">
        <v>22</v>
      </c>
      <c r="R851" s="71">
        <v>0.16</v>
      </c>
      <c r="S851" s="71">
        <v>4.83</v>
      </c>
      <c r="T851" s="70" t="s">
        <v>3437</v>
      </c>
      <c r="U851" s="71">
        <v>1.38</v>
      </c>
      <c r="V851" s="71">
        <v>1.38</v>
      </c>
      <c r="W851" s="67"/>
      <c r="X851" s="67"/>
      <c r="Y851" s="67"/>
      <c r="Z851" s="67"/>
      <c r="AA851" s="67"/>
      <c r="AB851" s="67"/>
      <c r="AC851" s="67"/>
    </row>
    <row r="852">
      <c r="A852" s="74">
        <v>46153.0</v>
      </c>
      <c r="B852" s="70" t="s">
        <v>3438</v>
      </c>
      <c r="C852" s="70" t="s">
        <v>1569</v>
      </c>
      <c r="D852" s="71">
        <v>10.25</v>
      </c>
      <c r="E852" s="71">
        <v>0.0</v>
      </c>
      <c r="F852" s="68"/>
      <c r="G852" s="68"/>
      <c r="H852" s="71"/>
      <c r="I852" s="72"/>
      <c r="J852" s="70" t="s">
        <v>1450</v>
      </c>
      <c r="K852" s="67"/>
      <c r="L852" s="67" t="s">
        <v>3439</v>
      </c>
      <c r="M852" s="75">
        <v>1.0</v>
      </c>
      <c r="N852" s="75">
        <v>0.0</v>
      </c>
      <c r="O852" s="75">
        <v>0.0</v>
      </c>
      <c r="P852" s="75">
        <v>1.0</v>
      </c>
      <c r="Q852" s="76" t="s">
        <v>22</v>
      </c>
      <c r="R852" s="71">
        <v>0.5</v>
      </c>
      <c r="S852" s="71">
        <v>10.75</v>
      </c>
      <c r="T852" s="70" t="s">
        <v>3440</v>
      </c>
      <c r="U852" s="71">
        <v>4.06</v>
      </c>
      <c r="V852" s="71">
        <v>4.06</v>
      </c>
      <c r="W852" s="67"/>
      <c r="X852" s="67"/>
      <c r="Y852" s="67"/>
      <c r="Z852" s="67"/>
      <c r="AA852" s="67"/>
      <c r="AB852" s="67"/>
      <c r="AC852" s="67"/>
    </row>
    <row r="853">
      <c r="A853" s="74">
        <v>46153.0</v>
      </c>
      <c r="B853" s="70" t="s">
        <v>3441</v>
      </c>
      <c r="C853" s="70" t="s">
        <v>1569</v>
      </c>
      <c r="D853" s="71">
        <v>2.2</v>
      </c>
      <c r="E853" s="71">
        <v>0.0</v>
      </c>
      <c r="F853" s="68"/>
      <c r="G853" s="68"/>
      <c r="H853" s="68"/>
      <c r="I853" s="69"/>
      <c r="J853" s="70" t="s">
        <v>1450</v>
      </c>
      <c r="K853" s="67"/>
      <c r="L853" s="70" t="s">
        <v>3442</v>
      </c>
      <c r="M853" s="75">
        <v>1.0</v>
      </c>
      <c r="N853" s="75">
        <v>0.0</v>
      </c>
      <c r="O853" s="75">
        <v>0.0</v>
      </c>
      <c r="P853" s="75">
        <v>1.0</v>
      </c>
      <c r="Q853" s="70" t="s">
        <v>22</v>
      </c>
      <c r="R853" s="71">
        <v>0.5</v>
      </c>
      <c r="S853" s="71">
        <v>2.7</v>
      </c>
      <c r="T853" s="70" t="s">
        <v>3443</v>
      </c>
      <c r="U853" s="71">
        <v>4.06</v>
      </c>
      <c r="V853" s="71">
        <v>4.06</v>
      </c>
      <c r="W853" s="67"/>
      <c r="X853" s="67"/>
      <c r="Y853" s="67"/>
      <c r="Z853" s="67"/>
      <c r="AA853" s="67"/>
      <c r="AB853" s="67"/>
      <c r="AC853" s="67"/>
    </row>
    <row r="854">
      <c r="A854" s="74">
        <v>46155.0</v>
      </c>
      <c r="B854" s="70" t="s">
        <v>3444</v>
      </c>
      <c r="C854" s="70" t="s">
        <v>1468</v>
      </c>
      <c r="D854" s="71">
        <v>9.0</v>
      </c>
      <c r="E854" s="71">
        <v>18.0</v>
      </c>
      <c r="F854" s="71">
        <v>22.0</v>
      </c>
      <c r="G854" s="68"/>
      <c r="H854" s="71">
        <v>12.5</v>
      </c>
      <c r="I854" s="72">
        <v>0.5681818181818182</v>
      </c>
      <c r="J854" s="70" t="s">
        <v>1462</v>
      </c>
      <c r="K854" s="67"/>
      <c r="L854" s="67" t="s">
        <v>3445</v>
      </c>
      <c r="M854" s="75">
        <v>1.0</v>
      </c>
      <c r="N854" s="75">
        <v>0.0</v>
      </c>
      <c r="O854" s="75">
        <v>0.0</v>
      </c>
      <c r="P854" s="75">
        <v>1.0</v>
      </c>
      <c r="Q854" s="76" t="s">
        <v>22</v>
      </c>
      <c r="R854" s="71">
        <v>0.5</v>
      </c>
      <c r="S854" s="71">
        <v>9.5</v>
      </c>
      <c r="T854" s="70" t="s">
        <v>3446</v>
      </c>
      <c r="U854" s="71">
        <v>4.06</v>
      </c>
      <c r="V854" s="71">
        <v>22.06</v>
      </c>
      <c r="W854" s="67"/>
      <c r="X854" s="67"/>
      <c r="Y854" s="67"/>
      <c r="Z854" s="67"/>
      <c r="AA854" s="67"/>
      <c r="AB854" s="67"/>
      <c r="AC854" s="67"/>
    </row>
    <row r="855">
      <c r="A855" s="74">
        <v>46155.0</v>
      </c>
      <c r="B855" s="70" t="s">
        <v>3447</v>
      </c>
      <c r="C855" s="70" t="s">
        <v>1468</v>
      </c>
      <c r="D855" s="71">
        <v>9.0</v>
      </c>
      <c r="E855" s="71">
        <v>18.0</v>
      </c>
      <c r="F855" s="71">
        <v>22.0</v>
      </c>
      <c r="G855" s="68"/>
      <c r="H855" s="71">
        <v>12.5</v>
      </c>
      <c r="I855" s="72">
        <v>0.5681818181818182</v>
      </c>
      <c r="J855" s="70" t="s">
        <v>1462</v>
      </c>
      <c r="K855" s="67"/>
      <c r="L855" s="67" t="s">
        <v>3448</v>
      </c>
      <c r="M855" s="75">
        <v>1.0</v>
      </c>
      <c r="N855" s="75">
        <v>0.0</v>
      </c>
      <c r="O855" s="75">
        <v>0.0</v>
      </c>
      <c r="P855" s="75">
        <v>1.0</v>
      </c>
      <c r="Q855" s="76" t="s">
        <v>22</v>
      </c>
      <c r="R855" s="71">
        <v>0.5</v>
      </c>
      <c r="S855" s="71">
        <v>9.5</v>
      </c>
      <c r="T855" s="70" t="s">
        <v>3449</v>
      </c>
      <c r="U855" s="71">
        <v>4.06</v>
      </c>
      <c r="V855" s="71">
        <v>22.06</v>
      </c>
      <c r="W855" s="67"/>
      <c r="X855" s="67"/>
      <c r="Y855" s="67"/>
      <c r="Z855" s="67"/>
      <c r="AA855" s="67"/>
      <c r="AB855" s="67"/>
      <c r="AC855" s="67"/>
    </row>
    <row r="856">
      <c r="A856" s="74">
        <v>46155.0</v>
      </c>
      <c r="B856" s="70" t="s">
        <v>3450</v>
      </c>
      <c r="C856" s="70" t="s">
        <v>1468</v>
      </c>
      <c r="D856" s="71">
        <v>9.0</v>
      </c>
      <c r="E856" s="71">
        <v>18.0</v>
      </c>
      <c r="F856" s="71">
        <v>22.0</v>
      </c>
      <c r="G856" s="68"/>
      <c r="H856" s="71">
        <v>12.5</v>
      </c>
      <c r="I856" s="72">
        <v>0.5681818181818182</v>
      </c>
      <c r="J856" s="70" t="s">
        <v>1462</v>
      </c>
      <c r="K856" s="67"/>
      <c r="L856" s="70" t="s">
        <v>3451</v>
      </c>
      <c r="M856" s="75">
        <v>1.0</v>
      </c>
      <c r="N856" s="75">
        <v>0.0</v>
      </c>
      <c r="O856" s="75">
        <v>0.0</v>
      </c>
      <c r="P856" s="75">
        <v>1.0</v>
      </c>
      <c r="Q856" s="76" t="s">
        <v>22</v>
      </c>
      <c r="R856" s="71">
        <v>0.5</v>
      </c>
      <c r="S856" s="71">
        <v>9.5</v>
      </c>
      <c r="T856" s="70" t="s">
        <v>3452</v>
      </c>
      <c r="U856" s="71">
        <v>4.06</v>
      </c>
      <c r="V856" s="71">
        <v>22.06</v>
      </c>
      <c r="W856" s="67"/>
      <c r="X856" s="67"/>
      <c r="Y856" s="67"/>
      <c r="Z856" s="67"/>
      <c r="AA856" s="67"/>
      <c r="AB856" s="67"/>
      <c r="AC856" s="67"/>
    </row>
    <row r="857">
      <c r="A857" s="74">
        <v>46155.0</v>
      </c>
      <c r="B857" s="70" t="s">
        <v>3453</v>
      </c>
      <c r="C857" s="70" t="s">
        <v>1767</v>
      </c>
      <c r="D857" s="71">
        <v>9.0</v>
      </c>
      <c r="E857" s="71">
        <v>18.0</v>
      </c>
      <c r="F857" s="68"/>
      <c r="G857" s="68"/>
      <c r="H857" s="68"/>
      <c r="I857" s="69"/>
      <c r="J857" s="70" t="s">
        <v>1450</v>
      </c>
      <c r="K857" s="67"/>
      <c r="L857" s="70" t="s">
        <v>3454</v>
      </c>
      <c r="M857" s="75">
        <v>1.0</v>
      </c>
      <c r="N857" s="75">
        <v>0.0</v>
      </c>
      <c r="O857" s="75">
        <v>0.0</v>
      </c>
      <c r="P857" s="75">
        <v>1.0</v>
      </c>
      <c r="Q857" s="70" t="s">
        <v>22</v>
      </c>
      <c r="R857" s="71">
        <v>0.48</v>
      </c>
      <c r="S857" s="71">
        <v>9.48</v>
      </c>
      <c r="T857" s="70" t="s">
        <v>3455</v>
      </c>
      <c r="U857" s="71">
        <v>3.88</v>
      </c>
      <c r="V857" s="71">
        <v>21.88</v>
      </c>
      <c r="W857" s="67"/>
      <c r="X857" s="67"/>
      <c r="Y857" s="67"/>
      <c r="Z857" s="67"/>
      <c r="AA857" s="67"/>
      <c r="AB857" s="67"/>
      <c r="AC857" s="67"/>
    </row>
    <row r="858">
      <c r="A858" s="74">
        <v>46155.0</v>
      </c>
      <c r="B858" s="70" t="s">
        <v>3456</v>
      </c>
      <c r="C858" s="70" t="s">
        <v>1767</v>
      </c>
      <c r="D858" s="71">
        <v>4.5</v>
      </c>
      <c r="E858" s="71">
        <v>9.0</v>
      </c>
      <c r="F858" s="68"/>
      <c r="G858" s="68"/>
      <c r="H858" s="68"/>
      <c r="I858" s="69"/>
      <c r="J858" s="70" t="s">
        <v>1450</v>
      </c>
      <c r="K858" s="67"/>
      <c r="L858" s="70" t="s">
        <v>3457</v>
      </c>
      <c r="M858" s="75">
        <v>1.0</v>
      </c>
      <c r="N858" s="75">
        <v>0.0</v>
      </c>
      <c r="O858" s="75">
        <v>0.0</v>
      </c>
      <c r="P858" s="75">
        <v>1.0</v>
      </c>
      <c r="Q858" s="70" t="s">
        <v>22</v>
      </c>
      <c r="R858" s="71">
        <v>0.48</v>
      </c>
      <c r="S858" s="71">
        <v>4.98</v>
      </c>
      <c r="T858" s="70" t="s">
        <v>3458</v>
      </c>
      <c r="U858" s="71">
        <v>3.88</v>
      </c>
      <c r="V858" s="71">
        <v>12.88</v>
      </c>
      <c r="W858" s="67"/>
      <c r="X858" s="67"/>
      <c r="Y858" s="67"/>
      <c r="Z858" s="67"/>
      <c r="AA858" s="67"/>
      <c r="AB858" s="67"/>
      <c r="AC858" s="67"/>
    </row>
    <row r="859">
      <c r="A859" s="74">
        <v>46155.0</v>
      </c>
      <c r="B859" s="70" t="s">
        <v>3459</v>
      </c>
      <c r="C859" s="70" t="s">
        <v>3460</v>
      </c>
      <c r="D859" s="71">
        <v>9.0</v>
      </c>
      <c r="E859" s="71">
        <v>18.0</v>
      </c>
      <c r="F859" s="71">
        <v>35.0</v>
      </c>
      <c r="G859" s="68"/>
      <c r="H859" s="71">
        <v>25.19</v>
      </c>
      <c r="I859" s="72">
        <v>0.7197142857142858</v>
      </c>
      <c r="J859" s="70" t="s">
        <v>1462</v>
      </c>
      <c r="K859" s="67"/>
      <c r="L859" s="70" t="s">
        <v>3461</v>
      </c>
      <c r="M859" s="75">
        <v>1.0</v>
      </c>
      <c r="N859" s="75">
        <v>0.0</v>
      </c>
      <c r="O859" s="75">
        <v>0.0</v>
      </c>
      <c r="P859" s="75">
        <v>1.0</v>
      </c>
      <c r="Q859" s="76" t="s">
        <v>22</v>
      </c>
      <c r="R859" s="71">
        <v>0.81</v>
      </c>
      <c r="S859" s="71">
        <v>9.81</v>
      </c>
      <c r="T859" s="70" t="s">
        <v>3462</v>
      </c>
      <c r="U859" s="71">
        <v>6.88</v>
      </c>
      <c r="V859" s="71">
        <v>24.88</v>
      </c>
      <c r="W859" s="67"/>
      <c r="X859" s="67"/>
      <c r="Y859" s="67"/>
      <c r="Z859" s="67"/>
      <c r="AA859" s="67"/>
      <c r="AB859" s="67"/>
      <c r="AC859" s="67"/>
    </row>
    <row r="860">
      <c r="A860" s="74">
        <v>46155.0</v>
      </c>
      <c r="B860" s="70" t="s">
        <v>3463</v>
      </c>
      <c r="C860" s="70" t="s">
        <v>3460</v>
      </c>
      <c r="D860" s="71">
        <v>9.0</v>
      </c>
      <c r="E860" s="71">
        <v>18.0</v>
      </c>
      <c r="F860" s="71">
        <v>35.0</v>
      </c>
      <c r="G860" s="68"/>
      <c r="H860" s="71">
        <v>25.19</v>
      </c>
      <c r="I860" s="72">
        <v>0.7197142857142858</v>
      </c>
      <c r="J860" s="70" t="s">
        <v>1462</v>
      </c>
      <c r="K860" s="67"/>
      <c r="L860" s="70" t="s">
        <v>3464</v>
      </c>
      <c r="M860" s="75">
        <v>1.0</v>
      </c>
      <c r="N860" s="75">
        <v>0.0</v>
      </c>
      <c r="O860" s="70">
        <v>0.0</v>
      </c>
      <c r="P860" s="75">
        <v>1.0</v>
      </c>
      <c r="Q860" s="76" t="s">
        <v>22</v>
      </c>
      <c r="R860" s="71">
        <v>0.81</v>
      </c>
      <c r="S860" s="71">
        <v>9.81</v>
      </c>
      <c r="T860" s="70" t="s">
        <v>3465</v>
      </c>
      <c r="U860" s="71">
        <v>6.88</v>
      </c>
      <c r="V860" s="71">
        <v>24.88</v>
      </c>
      <c r="W860" s="67"/>
      <c r="X860" s="67"/>
      <c r="Y860" s="67"/>
      <c r="Z860" s="67"/>
      <c r="AA860" s="67"/>
      <c r="AB860" s="67"/>
      <c r="AC860" s="67"/>
    </row>
    <row r="861">
      <c r="A861" s="74">
        <v>46155.0</v>
      </c>
      <c r="B861" s="70" t="s">
        <v>3466</v>
      </c>
      <c r="C861" s="70" t="s">
        <v>3467</v>
      </c>
      <c r="D861" s="71">
        <v>9.0</v>
      </c>
      <c r="E861" s="71">
        <v>18.0</v>
      </c>
      <c r="F861" s="71">
        <v>20.0</v>
      </c>
      <c r="G861" s="68"/>
      <c r="H861" s="71">
        <v>10.5</v>
      </c>
      <c r="I861" s="72">
        <v>0.525</v>
      </c>
      <c r="J861" s="70" t="s">
        <v>1462</v>
      </c>
      <c r="K861" s="67"/>
      <c r="L861" s="70" t="s">
        <v>3468</v>
      </c>
      <c r="M861" s="75">
        <v>1.0</v>
      </c>
      <c r="N861" s="75">
        <v>0.0</v>
      </c>
      <c r="O861" s="75">
        <v>0.0</v>
      </c>
      <c r="P861" s="75">
        <v>1.0</v>
      </c>
      <c r="Q861" s="76" t="s">
        <v>22</v>
      </c>
      <c r="R861" s="71">
        <v>0.5</v>
      </c>
      <c r="S861" s="71">
        <v>9.5</v>
      </c>
      <c r="T861" s="70" t="s">
        <v>3469</v>
      </c>
      <c r="U861" s="71">
        <v>4.06</v>
      </c>
      <c r="V861" s="71">
        <v>22.06</v>
      </c>
      <c r="W861" s="67"/>
      <c r="X861" s="67"/>
      <c r="Y861" s="67"/>
      <c r="Z861" s="67"/>
      <c r="AA861" s="67"/>
      <c r="AB861" s="67"/>
      <c r="AC861" s="67"/>
    </row>
    <row r="862">
      <c r="A862" s="74">
        <v>46155.0</v>
      </c>
      <c r="B862" s="70" t="s">
        <v>3470</v>
      </c>
      <c r="C862" s="70" t="s">
        <v>3467</v>
      </c>
      <c r="D862" s="71">
        <v>9.0</v>
      </c>
      <c r="E862" s="71">
        <v>18.0</v>
      </c>
      <c r="F862" s="71">
        <v>20.0</v>
      </c>
      <c r="G862" s="68"/>
      <c r="H862" s="71">
        <v>10.5</v>
      </c>
      <c r="I862" s="72">
        <v>0.525</v>
      </c>
      <c r="J862" s="70" t="s">
        <v>1462</v>
      </c>
      <c r="K862" s="67"/>
      <c r="L862" s="70" t="s">
        <v>3471</v>
      </c>
      <c r="M862" s="75">
        <v>1.0</v>
      </c>
      <c r="N862" s="75">
        <v>0.0</v>
      </c>
      <c r="O862" s="75">
        <v>0.0</v>
      </c>
      <c r="P862" s="75">
        <v>1.0</v>
      </c>
      <c r="Q862" s="76" t="s">
        <v>22</v>
      </c>
      <c r="R862" s="71">
        <v>0.5</v>
      </c>
      <c r="S862" s="71">
        <v>9.5</v>
      </c>
      <c r="T862" s="70" t="s">
        <v>3472</v>
      </c>
      <c r="U862" s="71">
        <v>4.06</v>
      </c>
      <c r="V862" s="71">
        <v>22.06</v>
      </c>
      <c r="W862" s="67"/>
      <c r="X862" s="67"/>
      <c r="Y862" s="67"/>
      <c r="Z862" s="67"/>
      <c r="AA862" s="67"/>
      <c r="AB862" s="67"/>
      <c r="AC862" s="67"/>
    </row>
    <row r="863">
      <c r="A863" s="74">
        <v>46155.0</v>
      </c>
      <c r="B863" s="70" t="s">
        <v>3473</v>
      </c>
      <c r="C863" s="70" t="s">
        <v>3474</v>
      </c>
      <c r="D863" s="71">
        <v>9.0</v>
      </c>
      <c r="E863" s="71">
        <v>18.0</v>
      </c>
      <c r="F863" s="71">
        <v>30.0</v>
      </c>
      <c r="G863" s="68"/>
      <c r="H863" s="71">
        <v>18.89</v>
      </c>
      <c r="I863" s="72">
        <v>0.6296666666666667</v>
      </c>
      <c r="J863" s="70" t="s">
        <v>1462</v>
      </c>
      <c r="K863" s="67"/>
      <c r="L863" s="70" t="s">
        <v>3475</v>
      </c>
      <c r="M863" s="75">
        <v>1.0</v>
      </c>
      <c r="N863" s="75">
        <v>0.0</v>
      </c>
      <c r="O863" s="75">
        <v>0.0</v>
      </c>
      <c r="P863" s="75">
        <v>1.0</v>
      </c>
      <c r="Q863" s="70" t="s">
        <v>22</v>
      </c>
      <c r="R863" s="71">
        <v>2.11</v>
      </c>
      <c r="S863" s="71">
        <v>11.11</v>
      </c>
      <c r="T863" s="70" t="s">
        <v>3476</v>
      </c>
      <c r="U863" s="71">
        <v>6.88</v>
      </c>
      <c r="V863" s="71">
        <v>24.88</v>
      </c>
      <c r="W863" s="67"/>
      <c r="X863" s="67"/>
      <c r="Y863" s="67"/>
      <c r="Z863" s="67"/>
      <c r="AA863" s="67"/>
      <c r="AB863" s="67"/>
      <c r="AC863" s="67"/>
    </row>
    <row r="864">
      <c r="A864" s="74">
        <v>46155.0</v>
      </c>
      <c r="B864" s="70" t="s">
        <v>3477</v>
      </c>
      <c r="C864" s="70" t="s">
        <v>3474</v>
      </c>
      <c r="D864" s="71">
        <v>9.0</v>
      </c>
      <c r="E864" s="71">
        <v>18.0</v>
      </c>
      <c r="F864" s="71">
        <v>30.0</v>
      </c>
      <c r="G864" s="68"/>
      <c r="H864" s="71">
        <v>18.89</v>
      </c>
      <c r="I864" s="72">
        <v>0.6296666666666667</v>
      </c>
      <c r="J864" s="70" t="s">
        <v>1462</v>
      </c>
      <c r="K864" s="70"/>
      <c r="L864" s="67" t="s">
        <v>3478</v>
      </c>
      <c r="M864" s="75">
        <v>1.0</v>
      </c>
      <c r="N864" s="75">
        <v>0.0</v>
      </c>
      <c r="O864" s="75">
        <v>0.0</v>
      </c>
      <c r="P864" s="75">
        <v>1.0</v>
      </c>
      <c r="Q864" s="76" t="s">
        <v>22</v>
      </c>
      <c r="R864" s="71">
        <v>2.11</v>
      </c>
      <c r="S864" s="71">
        <v>11.11</v>
      </c>
      <c r="T864" s="70" t="s">
        <v>3479</v>
      </c>
      <c r="U864" s="71">
        <v>6.88</v>
      </c>
      <c r="V864" s="71">
        <v>24.88</v>
      </c>
      <c r="W864" s="67"/>
      <c r="X864" s="67"/>
      <c r="Y864" s="67"/>
      <c r="Z864" s="67"/>
      <c r="AA864" s="67"/>
      <c r="AB864" s="67"/>
      <c r="AC864" s="67"/>
    </row>
    <row r="865">
      <c r="A865" s="74">
        <v>46155.0</v>
      </c>
      <c r="B865" s="70" t="s">
        <v>3480</v>
      </c>
      <c r="C865" s="70" t="s">
        <v>3481</v>
      </c>
      <c r="D865" s="71">
        <v>9.0</v>
      </c>
      <c r="E865" s="71">
        <v>18.0</v>
      </c>
      <c r="F865" s="71">
        <v>45.0</v>
      </c>
      <c r="G865" s="68"/>
      <c r="H865" s="71">
        <v>21.71</v>
      </c>
      <c r="I865" s="72">
        <v>0.48244444444444445</v>
      </c>
      <c r="J865" s="70" t="s">
        <v>1462</v>
      </c>
      <c r="K865" s="67"/>
      <c r="L865" s="67" t="s">
        <v>3482</v>
      </c>
      <c r="M865" s="75">
        <v>1.0</v>
      </c>
      <c r="N865" s="75">
        <v>0.0</v>
      </c>
      <c r="O865" s="75">
        <v>0.0</v>
      </c>
      <c r="P865" s="75">
        <v>1.0</v>
      </c>
      <c r="Q865" s="76" t="s">
        <v>22</v>
      </c>
      <c r="R865" s="71">
        <v>14.29</v>
      </c>
      <c r="S865" s="71">
        <v>23.29</v>
      </c>
      <c r="T865" s="70" t="s">
        <v>3483</v>
      </c>
      <c r="U865" s="71">
        <v>47.0</v>
      </c>
      <c r="V865" s="71">
        <v>65.0</v>
      </c>
      <c r="W865" s="67"/>
      <c r="X865" s="67"/>
      <c r="Y865" s="67"/>
      <c r="Z865" s="67"/>
      <c r="AA865" s="67"/>
      <c r="AB865" s="67"/>
      <c r="AC865" s="67"/>
    </row>
    <row r="866">
      <c r="A866" s="74">
        <v>46155.0</v>
      </c>
      <c r="B866" s="70" t="s">
        <v>3484</v>
      </c>
      <c r="C866" s="70" t="s">
        <v>1125</v>
      </c>
      <c r="D866" s="71">
        <v>9.0</v>
      </c>
      <c r="E866" s="71">
        <v>18.0</v>
      </c>
      <c r="F866" s="71">
        <v>20.0</v>
      </c>
      <c r="G866" s="68"/>
      <c r="H866" s="71">
        <v>10.37</v>
      </c>
      <c r="I866" s="72">
        <v>0.5185</v>
      </c>
      <c r="J866" s="70" t="s">
        <v>1462</v>
      </c>
      <c r="K866" s="67"/>
      <c r="L866" s="67" t="s">
        <v>3485</v>
      </c>
      <c r="M866" s="75">
        <v>1.0</v>
      </c>
      <c r="N866" s="75">
        <v>0.0</v>
      </c>
      <c r="O866" s="75">
        <v>0.0</v>
      </c>
      <c r="P866" s="75">
        <v>1.0</v>
      </c>
      <c r="Q866" s="76" t="s">
        <v>22</v>
      </c>
      <c r="R866" s="71">
        <v>0.63</v>
      </c>
      <c r="S866" s="71">
        <v>9.63</v>
      </c>
      <c r="T866" s="70" t="s">
        <v>3486</v>
      </c>
      <c r="U866" s="71">
        <v>3.69</v>
      </c>
      <c r="V866" s="71">
        <v>21.69</v>
      </c>
      <c r="W866" s="67"/>
      <c r="X866" s="67"/>
      <c r="Y866" s="67"/>
      <c r="Z866" s="67"/>
      <c r="AA866" s="67"/>
      <c r="AB866" s="67"/>
      <c r="AC866" s="67"/>
    </row>
    <row r="867">
      <c r="A867" s="74">
        <v>46155.0</v>
      </c>
      <c r="B867" s="70" t="s">
        <v>3487</v>
      </c>
      <c r="C867" s="70" t="s">
        <v>1125</v>
      </c>
      <c r="D867" s="71">
        <v>9.0</v>
      </c>
      <c r="E867" s="71">
        <v>18.0</v>
      </c>
      <c r="F867" s="71">
        <v>20.0</v>
      </c>
      <c r="G867" s="68"/>
      <c r="H867" s="71">
        <v>10.37</v>
      </c>
      <c r="I867" s="72">
        <v>0.5185</v>
      </c>
      <c r="J867" s="70" t="s">
        <v>1462</v>
      </c>
      <c r="K867" s="67"/>
      <c r="L867" s="67" t="s">
        <v>3488</v>
      </c>
      <c r="M867" s="75">
        <v>1.0</v>
      </c>
      <c r="N867" s="75">
        <v>0.0</v>
      </c>
      <c r="O867" s="75">
        <v>0.0</v>
      </c>
      <c r="P867" s="75">
        <v>1.0</v>
      </c>
      <c r="Q867" s="76" t="s">
        <v>22</v>
      </c>
      <c r="R867" s="71">
        <v>0.63</v>
      </c>
      <c r="S867" s="71">
        <v>9.63</v>
      </c>
      <c r="T867" s="70" t="s">
        <v>3489</v>
      </c>
      <c r="U867" s="71">
        <v>3.69</v>
      </c>
      <c r="V867" s="71">
        <v>21.69</v>
      </c>
      <c r="W867" s="67"/>
      <c r="X867" s="67"/>
      <c r="Y867" s="67"/>
      <c r="Z867" s="67"/>
      <c r="AA867" s="67"/>
      <c r="AB867" s="67"/>
      <c r="AC867" s="67"/>
    </row>
    <row r="868">
      <c r="A868" s="74">
        <v>46155.0</v>
      </c>
      <c r="B868" s="70" t="s">
        <v>3490</v>
      </c>
      <c r="C868" s="70" t="s">
        <v>1704</v>
      </c>
      <c r="D868" s="71">
        <v>4.19</v>
      </c>
      <c r="E868" s="71">
        <v>15.0</v>
      </c>
      <c r="F868" s="71">
        <v>10.0</v>
      </c>
      <c r="G868" s="71">
        <v>10.0</v>
      </c>
      <c r="H868" s="71">
        <v>3.43</v>
      </c>
      <c r="I868" s="72">
        <v>0.343</v>
      </c>
      <c r="J868" s="70" t="s">
        <v>1626</v>
      </c>
      <c r="K868" s="67"/>
      <c r="L868" s="70" t="s">
        <v>3491</v>
      </c>
      <c r="M868" s="75">
        <v>1.0</v>
      </c>
      <c r="N868" s="75">
        <v>1.0</v>
      </c>
      <c r="O868" s="75">
        <v>0.0</v>
      </c>
      <c r="P868" s="75">
        <v>0.0</v>
      </c>
      <c r="Q868" s="70" t="s">
        <v>22</v>
      </c>
      <c r="R868" s="71">
        <v>2.38</v>
      </c>
      <c r="S868" s="71">
        <v>6.57</v>
      </c>
      <c r="T868" s="70" t="s">
        <v>3492</v>
      </c>
      <c r="U868" s="71">
        <v>5.0</v>
      </c>
      <c r="V868" s="71">
        <v>20.0</v>
      </c>
      <c r="W868" s="67"/>
      <c r="X868" s="67"/>
      <c r="Y868" s="67"/>
      <c r="Z868" s="67"/>
      <c r="AA868" s="67"/>
      <c r="AB868" s="67"/>
      <c r="AC868" s="67"/>
    </row>
    <row r="869">
      <c r="A869" s="74">
        <v>46155.0</v>
      </c>
      <c r="B869" s="70" t="s">
        <v>3493</v>
      </c>
      <c r="C869" s="70" t="s">
        <v>2171</v>
      </c>
      <c r="D869" s="71">
        <v>3.55</v>
      </c>
      <c r="E869" s="71">
        <v>7.1</v>
      </c>
      <c r="F869" s="71">
        <v>10.0</v>
      </c>
      <c r="G869" s="71">
        <v>10.0</v>
      </c>
      <c r="H869" s="71">
        <v>5.56</v>
      </c>
      <c r="I869" s="72">
        <v>0.5559999999999999</v>
      </c>
      <c r="J869" s="70" t="s">
        <v>1626</v>
      </c>
      <c r="K869" s="67"/>
      <c r="L869" s="70" t="s">
        <v>3494</v>
      </c>
      <c r="M869" s="75">
        <v>1.0</v>
      </c>
      <c r="N869" s="75">
        <v>1.0</v>
      </c>
      <c r="O869" s="75">
        <v>0.0</v>
      </c>
      <c r="P869" s="75">
        <v>0.0</v>
      </c>
      <c r="Q869" s="70" t="s">
        <v>22</v>
      </c>
      <c r="R869" s="71">
        <v>0.89</v>
      </c>
      <c r="S869" s="71">
        <v>4.44</v>
      </c>
      <c r="T869" s="70" t="s">
        <v>3495</v>
      </c>
      <c r="U869" s="71">
        <v>6.5</v>
      </c>
      <c r="V869" s="71">
        <v>13.6</v>
      </c>
      <c r="W869" s="67"/>
      <c r="X869" s="67"/>
      <c r="Y869" s="67"/>
      <c r="Z869" s="67"/>
      <c r="AA869" s="67"/>
      <c r="AB869" s="67"/>
      <c r="AC869" s="67"/>
    </row>
    <row r="870">
      <c r="A870" s="74">
        <v>46155.0</v>
      </c>
      <c r="B870" s="70" t="s">
        <v>3496</v>
      </c>
      <c r="C870" s="70" t="s">
        <v>1752</v>
      </c>
      <c r="D870" s="71">
        <v>0.73</v>
      </c>
      <c r="E870" s="71">
        <v>1.36</v>
      </c>
      <c r="F870" s="71">
        <v>10.0</v>
      </c>
      <c r="G870" s="71">
        <v>10.0</v>
      </c>
      <c r="H870" s="71">
        <v>7.69</v>
      </c>
      <c r="I870" s="72">
        <v>0.769</v>
      </c>
      <c r="J870" s="70" t="s">
        <v>1626</v>
      </c>
      <c r="K870" s="67"/>
      <c r="L870" s="70" t="s">
        <v>3497</v>
      </c>
      <c r="M870" s="75">
        <v>1.0</v>
      </c>
      <c r="N870" s="75">
        <v>1.0</v>
      </c>
      <c r="O870" s="75">
        <v>0.0</v>
      </c>
      <c r="P870" s="75">
        <v>0.0</v>
      </c>
      <c r="Q870" s="70" t="s">
        <v>22</v>
      </c>
      <c r="R870" s="71">
        <v>1.58</v>
      </c>
      <c r="S870" s="71">
        <v>2.31</v>
      </c>
      <c r="T870" s="70"/>
      <c r="U870" s="71">
        <v>6.0</v>
      </c>
      <c r="V870" s="71">
        <v>7.36</v>
      </c>
      <c r="W870" s="67"/>
      <c r="X870" s="67"/>
      <c r="Y870" s="67"/>
      <c r="Z870" s="67"/>
      <c r="AA870" s="67"/>
      <c r="AB870" s="67"/>
      <c r="AC870" s="67"/>
    </row>
    <row r="871">
      <c r="A871" s="74">
        <v>46155.0</v>
      </c>
      <c r="B871" s="70" t="s">
        <v>3498</v>
      </c>
      <c r="C871" s="70" t="s">
        <v>2054</v>
      </c>
      <c r="D871" s="71">
        <v>4.19</v>
      </c>
      <c r="E871" s="71">
        <v>15.0</v>
      </c>
      <c r="F871" s="71">
        <v>12.0</v>
      </c>
      <c r="G871" s="71">
        <v>12.0</v>
      </c>
      <c r="H871" s="71">
        <v>6.23</v>
      </c>
      <c r="I871" s="72">
        <v>0.5191666666666667</v>
      </c>
      <c r="J871" s="70" t="s">
        <v>1626</v>
      </c>
      <c r="K871" s="67"/>
      <c r="L871" s="70" t="s">
        <v>3499</v>
      </c>
      <c r="M871" s="75">
        <v>1.0</v>
      </c>
      <c r="N871" s="75">
        <v>1.0</v>
      </c>
      <c r="O871" s="75">
        <v>0.0</v>
      </c>
      <c r="P871" s="75">
        <v>0.0</v>
      </c>
      <c r="Q871" s="70" t="s">
        <v>22</v>
      </c>
      <c r="R871" s="71">
        <v>1.58</v>
      </c>
      <c r="S871" s="71">
        <v>5.77</v>
      </c>
      <c r="T871" s="70"/>
      <c r="U871" s="71">
        <v>6.0</v>
      </c>
      <c r="V871" s="71">
        <v>21.0</v>
      </c>
      <c r="W871" s="67"/>
      <c r="X871" s="67"/>
      <c r="Y871" s="67"/>
      <c r="Z871" s="67"/>
      <c r="AA871" s="67"/>
      <c r="AB871" s="67"/>
      <c r="AC871" s="67"/>
    </row>
    <row r="872">
      <c r="A872" s="74">
        <v>46155.0</v>
      </c>
      <c r="B872" s="70" t="s">
        <v>3500</v>
      </c>
      <c r="C872" s="70" t="s">
        <v>3214</v>
      </c>
      <c r="D872" s="71">
        <v>4.99</v>
      </c>
      <c r="E872" s="71">
        <v>15.0</v>
      </c>
      <c r="F872" s="71">
        <v>12.0</v>
      </c>
      <c r="G872" s="71">
        <v>12.0</v>
      </c>
      <c r="H872" s="71">
        <v>6.51</v>
      </c>
      <c r="I872" s="72">
        <v>0.5425</v>
      </c>
      <c r="J872" s="70" t="s">
        <v>1626</v>
      </c>
      <c r="K872" s="67"/>
      <c r="L872" s="70" t="s">
        <v>3501</v>
      </c>
      <c r="M872" s="75">
        <v>1.0</v>
      </c>
      <c r="N872" s="75">
        <v>1.0</v>
      </c>
      <c r="O872" s="75">
        <v>0.0</v>
      </c>
      <c r="P872" s="75">
        <v>0.0</v>
      </c>
      <c r="Q872" s="70" t="s">
        <v>22</v>
      </c>
      <c r="R872" s="71">
        <v>0.5</v>
      </c>
      <c r="S872" s="71">
        <v>5.49</v>
      </c>
      <c r="T872" s="70"/>
      <c r="U872" s="71">
        <v>4.06</v>
      </c>
      <c r="V872" s="71">
        <v>19.06</v>
      </c>
      <c r="W872" s="67"/>
      <c r="X872" s="67"/>
      <c r="Y872" s="67"/>
      <c r="Z872" s="67"/>
      <c r="AA872" s="67"/>
      <c r="AB872" s="67"/>
      <c r="AC872" s="67"/>
    </row>
    <row r="873">
      <c r="A873" s="74">
        <v>46155.0</v>
      </c>
      <c r="B873" s="70" t="s">
        <v>3502</v>
      </c>
      <c r="C873" s="70" t="s">
        <v>3272</v>
      </c>
      <c r="D873" s="71">
        <v>5.99</v>
      </c>
      <c r="E873" s="71">
        <v>15.0</v>
      </c>
      <c r="F873" s="71">
        <v>12.0</v>
      </c>
      <c r="G873" s="71">
        <v>12.0</v>
      </c>
      <c r="H873" s="71">
        <v>5.51</v>
      </c>
      <c r="I873" s="72">
        <v>0.45916666666666667</v>
      </c>
      <c r="J873" s="70" t="s">
        <v>1626</v>
      </c>
      <c r="K873" s="67"/>
      <c r="L873" s="70" t="s">
        <v>3503</v>
      </c>
      <c r="M873" s="75">
        <v>1.0</v>
      </c>
      <c r="N873" s="75">
        <v>1.0</v>
      </c>
      <c r="O873" s="75">
        <v>0.0</v>
      </c>
      <c r="P873" s="75">
        <v>0.0</v>
      </c>
      <c r="Q873" s="70" t="s">
        <v>22</v>
      </c>
      <c r="R873" s="71">
        <v>0.5</v>
      </c>
      <c r="S873" s="71">
        <v>6.49</v>
      </c>
      <c r="T873" s="70"/>
      <c r="U873" s="71">
        <v>4.06</v>
      </c>
      <c r="V873" s="71">
        <v>19.06</v>
      </c>
      <c r="W873" s="67"/>
      <c r="X873" s="67"/>
      <c r="Y873" s="67"/>
      <c r="Z873" s="67"/>
      <c r="AA873" s="67"/>
      <c r="AB873" s="67"/>
      <c r="AC873" s="67"/>
    </row>
    <row r="874">
      <c r="A874" s="74">
        <v>46155.0</v>
      </c>
      <c r="B874" s="70" t="s">
        <v>3504</v>
      </c>
      <c r="C874" s="70" t="s">
        <v>3505</v>
      </c>
      <c r="D874" s="71">
        <v>36.0</v>
      </c>
      <c r="E874" s="71">
        <v>72.0</v>
      </c>
      <c r="F874" s="71">
        <v>75.0</v>
      </c>
      <c r="G874" s="68"/>
      <c r="H874" s="71">
        <v>38.5</v>
      </c>
      <c r="I874" s="72">
        <v>0.5133333333333333</v>
      </c>
      <c r="J874" s="70" t="s">
        <v>1450</v>
      </c>
      <c r="K874" s="67"/>
      <c r="L874" s="70" t="s">
        <v>3506</v>
      </c>
      <c r="M874" s="75">
        <v>1.0</v>
      </c>
      <c r="N874" s="75">
        <v>0.0</v>
      </c>
      <c r="O874" s="75">
        <v>0.0</v>
      </c>
      <c r="P874" s="75">
        <v>1.0</v>
      </c>
      <c r="Q874" s="76" t="s">
        <v>22</v>
      </c>
      <c r="R874" s="71">
        <v>0.5</v>
      </c>
      <c r="S874" s="71">
        <v>36.5</v>
      </c>
      <c r="T874" s="70" t="s">
        <v>3507</v>
      </c>
      <c r="U874" s="71">
        <v>4.06</v>
      </c>
      <c r="V874" s="71">
        <v>76.06</v>
      </c>
      <c r="W874" s="67"/>
      <c r="X874" s="67"/>
      <c r="Y874" s="67"/>
      <c r="Z874" s="67"/>
      <c r="AA874" s="67"/>
      <c r="AB874" s="67"/>
      <c r="AC874" s="67"/>
    </row>
    <row r="875">
      <c r="A875" s="74">
        <v>46155.0</v>
      </c>
      <c r="B875" s="70" t="s">
        <v>3508</v>
      </c>
      <c r="C875" s="70" t="s">
        <v>3505</v>
      </c>
      <c r="D875" s="71">
        <v>36.0</v>
      </c>
      <c r="E875" s="71">
        <v>72.0</v>
      </c>
      <c r="F875" s="71">
        <v>75.0</v>
      </c>
      <c r="G875" s="68"/>
      <c r="H875" s="71">
        <v>38.84</v>
      </c>
      <c r="I875" s="72">
        <v>0.5178666666666667</v>
      </c>
      <c r="J875" s="70" t="s">
        <v>1450</v>
      </c>
      <c r="K875" s="67"/>
      <c r="L875" s="67" t="s">
        <v>3509</v>
      </c>
      <c r="M875" s="75">
        <v>1.0</v>
      </c>
      <c r="N875" s="75">
        <v>0.0</v>
      </c>
      <c r="O875" s="75">
        <v>0.0</v>
      </c>
      <c r="P875" s="75">
        <v>1.0</v>
      </c>
      <c r="Q875" s="76" t="s">
        <v>22</v>
      </c>
      <c r="R875" s="71">
        <v>0.16</v>
      </c>
      <c r="S875" s="71">
        <v>36.16</v>
      </c>
      <c r="T875" s="70" t="s">
        <v>3510</v>
      </c>
      <c r="U875" s="71">
        <v>1.38</v>
      </c>
      <c r="V875" s="71">
        <v>73.38</v>
      </c>
      <c r="W875" s="67"/>
      <c r="X875" s="67"/>
      <c r="Y875" s="67"/>
      <c r="Z875" s="67"/>
      <c r="AA875" s="67"/>
      <c r="AB875" s="67"/>
      <c r="AC875" s="67"/>
    </row>
    <row r="876">
      <c r="A876" s="74">
        <v>46155.0</v>
      </c>
      <c r="B876" s="70" t="s">
        <v>3511</v>
      </c>
      <c r="C876" s="67"/>
      <c r="D876" s="71">
        <v>4.5</v>
      </c>
      <c r="E876" s="71">
        <v>9.0</v>
      </c>
      <c r="F876" s="68"/>
      <c r="G876" s="68"/>
      <c r="H876" s="68"/>
      <c r="I876" s="69"/>
      <c r="J876" s="70" t="s">
        <v>1450</v>
      </c>
      <c r="K876" s="67"/>
      <c r="L876" s="70" t="s">
        <v>3512</v>
      </c>
      <c r="M876" s="75">
        <v>1.0</v>
      </c>
      <c r="N876" s="75">
        <v>0.0</v>
      </c>
      <c r="O876" s="75">
        <v>0.0</v>
      </c>
      <c r="P876" s="75">
        <v>1.0</v>
      </c>
      <c r="Q876" s="70" t="s">
        <v>22</v>
      </c>
      <c r="R876" s="71">
        <v>0.48</v>
      </c>
      <c r="S876" s="71">
        <v>4.98</v>
      </c>
      <c r="T876" s="70" t="s">
        <v>3513</v>
      </c>
      <c r="U876" s="71">
        <v>3.88</v>
      </c>
      <c r="V876" s="71">
        <v>12.88</v>
      </c>
      <c r="W876" s="67"/>
      <c r="X876" s="67"/>
      <c r="Y876" s="67"/>
      <c r="Z876" s="67"/>
      <c r="AA876" s="67"/>
      <c r="AB876" s="67"/>
      <c r="AC876" s="67"/>
    </row>
    <row r="877">
      <c r="A877" s="74">
        <v>46156.0</v>
      </c>
      <c r="B877" s="70" t="s">
        <v>3514</v>
      </c>
      <c r="C877" s="70" t="s">
        <v>3515</v>
      </c>
      <c r="D877" s="71">
        <v>52.0</v>
      </c>
      <c r="E877" s="71">
        <v>0.0</v>
      </c>
      <c r="F877" s="68"/>
      <c r="G877" s="68"/>
      <c r="H877" s="68"/>
      <c r="I877" s="69"/>
      <c r="J877" s="70" t="s">
        <v>1481</v>
      </c>
      <c r="K877" s="67"/>
      <c r="L877" s="70" t="s">
        <v>3516</v>
      </c>
      <c r="M877" s="75">
        <v>1.0</v>
      </c>
      <c r="N877" s="75">
        <v>0.0</v>
      </c>
      <c r="O877" s="75">
        <v>0.0</v>
      </c>
      <c r="P877" s="75">
        <v>1.0</v>
      </c>
      <c r="Q877" s="76" t="s">
        <v>22</v>
      </c>
      <c r="R877" s="71">
        <v>3.0</v>
      </c>
      <c r="S877" s="71">
        <v>55.0</v>
      </c>
      <c r="T877" s="70"/>
      <c r="U877" s="71">
        <v>4.06</v>
      </c>
      <c r="V877" s="71">
        <v>4.06</v>
      </c>
      <c r="W877" s="67"/>
      <c r="X877" s="67"/>
      <c r="Y877" s="67"/>
      <c r="Z877" s="67"/>
      <c r="AA877" s="67"/>
      <c r="AB877" s="67"/>
      <c r="AC877" s="67"/>
    </row>
    <row r="878">
      <c r="A878" s="74">
        <v>46157.0</v>
      </c>
      <c r="B878" s="70" t="s">
        <v>3517</v>
      </c>
      <c r="C878" s="70" t="s">
        <v>3518</v>
      </c>
      <c r="D878" s="71">
        <v>19.97</v>
      </c>
      <c r="E878" s="71">
        <v>0.0</v>
      </c>
      <c r="F878" s="71">
        <v>35.0</v>
      </c>
      <c r="G878" s="68"/>
      <c r="H878" s="71">
        <v>8.87</v>
      </c>
      <c r="I878" s="72">
        <v>0.2534285714285714</v>
      </c>
      <c r="J878" s="70" t="s">
        <v>1462</v>
      </c>
      <c r="K878" s="67"/>
      <c r="L878" s="70" t="s">
        <v>3519</v>
      </c>
      <c r="M878" s="75">
        <v>1.0</v>
      </c>
      <c r="N878" s="75">
        <v>0.0</v>
      </c>
      <c r="O878" s="75">
        <v>0.0</v>
      </c>
      <c r="P878" s="75">
        <v>1.0</v>
      </c>
      <c r="Q878" s="70" t="s">
        <v>22</v>
      </c>
      <c r="R878" s="71">
        <v>6.16</v>
      </c>
      <c r="S878" s="71">
        <v>26.13</v>
      </c>
      <c r="T878" s="70"/>
      <c r="U878" s="71">
        <v>22.19</v>
      </c>
      <c r="V878" s="71">
        <v>22.19</v>
      </c>
      <c r="W878" s="67"/>
      <c r="X878" s="67"/>
      <c r="Y878" s="67"/>
      <c r="Z878" s="67"/>
      <c r="AA878" s="67"/>
      <c r="AB878" s="67"/>
      <c r="AC878" s="67"/>
    </row>
    <row r="879">
      <c r="A879" s="74">
        <v>46158.0</v>
      </c>
      <c r="B879" s="70" t="s">
        <v>3520</v>
      </c>
      <c r="C879" s="70" t="s">
        <v>3521</v>
      </c>
      <c r="D879" s="71">
        <v>0.0</v>
      </c>
      <c r="E879" s="71">
        <v>6.0</v>
      </c>
      <c r="F879" s="68"/>
      <c r="G879" s="68"/>
      <c r="H879" s="68"/>
      <c r="I879" s="69"/>
      <c r="J879" s="70" t="s">
        <v>2512</v>
      </c>
      <c r="K879" s="67"/>
      <c r="L879" s="70" t="s">
        <v>3522</v>
      </c>
      <c r="M879" s="75">
        <v>1.0</v>
      </c>
      <c r="N879" s="75">
        <v>0.0</v>
      </c>
      <c r="O879" s="75">
        <v>0.0</v>
      </c>
      <c r="P879" s="75">
        <v>1.0</v>
      </c>
      <c r="Q879" s="70" t="s">
        <v>22</v>
      </c>
      <c r="R879" s="71">
        <v>0.5</v>
      </c>
      <c r="S879" s="71">
        <v>0.5</v>
      </c>
      <c r="T879" s="70" t="s">
        <v>3523</v>
      </c>
      <c r="U879" s="71">
        <v>2.94</v>
      </c>
      <c r="V879" s="71">
        <v>8.94</v>
      </c>
      <c r="W879" s="67"/>
      <c r="X879" s="67"/>
      <c r="Y879" s="67"/>
      <c r="Z879" s="67"/>
      <c r="AA879" s="67"/>
      <c r="AB879" s="67"/>
      <c r="AC879" s="67"/>
    </row>
    <row r="880">
      <c r="A880" s="74">
        <v>46158.0</v>
      </c>
      <c r="B880" s="70" t="s">
        <v>3524</v>
      </c>
      <c r="C880" s="70" t="s">
        <v>3521</v>
      </c>
      <c r="D880" s="71">
        <v>0.0</v>
      </c>
      <c r="E880" s="71">
        <v>6.0</v>
      </c>
      <c r="F880" s="68"/>
      <c r="G880" s="68"/>
      <c r="H880" s="68"/>
      <c r="I880" s="69"/>
      <c r="J880" s="70" t="s">
        <v>2512</v>
      </c>
      <c r="K880" s="67"/>
      <c r="L880" s="70" t="s">
        <v>3525</v>
      </c>
      <c r="M880" s="75">
        <v>1.0</v>
      </c>
      <c r="N880" s="75">
        <v>0.0</v>
      </c>
      <c r="O880" s="75">
        <v>0.0</v>
      </c>
      <c r="P880" s="75">
        <v>1.0</v>
      </c>
      <c r="Q880" s="70" t="s">
        <v>22</v>
      </c>
      <c r="R880" s="71">
        <v>0.5</v>
      </c>
      <c r="S880" s="71">
        <v>0.5</v>
      </c>
      <c r="T880" s="70" t="s">
        <v>3526</v>
      </c>
      <c r="U880" s="71">
        <v>2.94</v>
      </c>
      <c r="V880" s="71">
        <v>8.94</v>
      </c>
      <c r="W880" s="67"/>
      <c r="X880" s="67"/>
      <c r="Y880" s="67"/>
      <c r="Z880" s="67"/>
      <c r="AA880" s="67"/>
      <c r="AB880" s="67"/>
      <c r="AC880" s="67"/>
    </row>
    <row r="881">
      <c r="A881" s="74">
        <v>46158.0</v>
      </c>
      <c r="B881" s="70" t="s">
        <v>3527</v>
      </c>
      <c r="C881" s="70" t="s">
        <v>3521</v>
      </c>
      <c r="D881" s="71">
        <v>0.0</v>
      </c>
      <c r="E881" s="71">
        <v>6.0</v>
      </c>
      <c r="F881" s="68"/>
      <c r="G881" s="68"/>
      <c r="H881" s="68"/>
      <c r="I881" s="69"/>
      <c r="J881" s="70" t="s">
        <v>2512</v>
      </c>
      <c r="K881" s="67"/>
      <c r="L881" s="70" t="s">
        <v>3528</v>
      </c>
      <c r="M881" s="75">
        <v>1.0</v>
      </c>
      <c r="N881" s="75">
        <v>0.0</v>
      </c>
      <c r="O881" s="75">
        <v>0.0</v>
      </c>
      <c r="P881" s="75">
        <v>1.0</v>
      </c>
      <c r="Q881" s="70" t="s">
        <v>22</v>
      </c>
      <c r="R881" s="71">
        <v>0.5</v>
      </c>
      <c r="S881" s="71">
        <v>0.5</v>
      </c>
      <c r="T881" s="70" t="s">
        <v>3529</v>
      </c>
      <c r="U881" s="71">
        <v>2.94</v>
      </c>
      <c r="V881" s="71">
        <v>8.94</v>
      </c>
      <c r="W881" s="67"/>
      <c r="X881" s="67"/>
      <c r="Y881" s="67"/>
      <c r="Z881" s="67"/>
      <c r="AA881" s="67"/>
      <c r="AB881" s="67"/>
      <c r="AC881" s="67"/>
    </row>
    <row r="882">
      <c r="A882" s="74">
        <v>46158.0</v>
      </c>
      <c r="B882" s="70" t="s">
        <v>3530</v>
      </c>
      <c r="C882" s="70" t="s">
        <v>3521</v>
      </c>
      <c r="D882" s="71">
        <v>0.0</v>
      </c>
      <c r="E882" s="71">
        <v>6.0</v>
      </c>
      <c r="F882" s="68"/>
      <c r="G882" s="68"/>
      <c r="H882" s="68"/>
      <c r="I882" s="69"/>
      <c r="J882" s="70" t="s">
        <v>2512</v>
      </c>
      <c r="K882" s="67"/>
      <c r="L882" s="70" t="s">
        <v>3531</v>
      </c>
      <c r="M882" s="75">
        <v>1.0</v>
      </c>
      <c r="N882" s="75">
        <v>0.0</v>
      </c>
      <c r="O882" s="75">
        <v>0.0</v>
      </c>
      <c r="P882" s="75">
        <v>1.0</v>
      </c>
      <c r="Q882" s="70" t="s">
        <v>22</v>
      </c>
      <c r="R882" s="71">
        <v>0.5</v>
      </c>
      <c r="S882" s="71">
        <v>0.5</v>
      </c>
      <c r="T882" s="70" t="s">
        <v>3532</v>
      </c>
      <c r="U882" s="71">
        <v>2.94</v>
      </c>
      <c r="V882" s="71">
        <v>8.94</v>
      </c>
      <c r="W882" s="67"/>
      <c r="X882" s="67"/>
      <c r="Y882" s="67"/>
      <c r="Z882" s="67"/>
      <c r="AA882" s="67"/>
      <c r="AB882" s="67"/>
      <c r="AC882" s="67"/>
    </row>
    <row r="883">
      <c r="A883" s="74">
        <v>46158.0</v>
      </c>
      <c r="B883" s="70" t="s">
        <v>3533</v>
      </c>
      <c r="C883" s="70" t="s">
        <v>3521</v>
      </c>
      <c r="D883" s="71">
        <v>0.0</v>
      </c>
      <c r="E883" s="71">
        <v>6.0</v>
      </c>
      <c r="F883" s="68"/>
      <c r="G883" s="68"/>
      <c r="H883" s="68"/>
      <c r="I883" s="69"/>
      <c r="J883" s="70" t="s">
        <v>2512</v>
      </c>
      <c r="K883" s="67"/>
      <c r="L883" s="70" t="s">
        <v>3534</v>
      </c>
      <c r="M883" s="75">
        <v>1.0</v>
      </c>
      <c r="N883" s="75">
        <v>0.0</v>
      </c>
      <c r="O883" s="75">
        <v>0.0</v>
      </c>
      <c r="P883" s="75">
        <v>1.0</v>
      </c>
      <c r="Q883" s="70" t="s">
        <v>22</v>
      </c>
      <c r="R883" s="71">
        <v>0.5</v>
      </c>
      <c r="S883" s="71">
        <v>0.5</v>
      </c>
      <c r="T883" s="70" t="s">
        <v>3535</v>
      </c>
      <c r="U883" s="71">
        <v>2.94</v>
      </c>
      <c r="V883" s="71">
        <v>8.94</v>
      </c>
      <c r="W883" s="67"/>
      <c r="X883" s="67"/>
      <c r="Y883" s="67"/>
      <c r="Z883" s="67"/>
      <c r="AA883" s="67"/>
      <c r="AB883" s="67"/>
      <c r="AC883" s="67"/>
    </row>
    <row r="884">
      <c r="A884" s="74">
        <v>46158.0</v>
      </c>
      <c r="B884" s="70" t="s">
        <v>3536</v>
      </c>
      <c r="C884" s="70" t="s">
        <v>3521</v>
      </c>
      <c r="D884" s="71">
        <v>0.0</v>
      </c>
      <c r="E884" s="71">
        <v>6.0</v>
      </c>
      <c r="F884" s="68"/>
      <c r="G884" s="68"/>
      <c r="H884" s="68"/>
      <c r="I884" s="69"/>
      <c r="J884" s="70" t="s">
        <v>2512</v>
      </c>
      <c r="K884" s="67"/>
      <c r="L884" s="70" t="s">
        <v>3537</v>
      </c>
      <c r="M884" s="75">
        <v>1.0</v>
      </c>
      <c r="N884" s="75">
        <v>0.0</v>
      </c>
      <c r="O884" s="75">
        <v>0.0</v>
      </c>
      <c r="P884" s="75">
        <v>1.0</v>
      </c>
      <c r="Q884" s="70" t="s">
        <v>22</v>
      </c>
      <c r="R884" s="71">
        <v>0.5</v>
      </c>
      <c r="S884" s="71">
        <v>0.5</v>
      </c>
      <c r="T884" s="70" t="s">
        <v>3538</v>
      </c>
      <c r="U884" s="71">
        <v>2.94</v>
      </c>
      <c r="V884" s="71">
        <v>8.94</v>
      </c>
      <c r="W884" s="67"/>
      <c r="X884" s="67"/>
      <c r="Y884" s="67"/>
      <c r="Z884" s="67"/>
      <c r="AA884" s="67"/>
      <c r="AB884" s="67"/>
      <c r="AC884" s="67"/>
    </row>
    <row r="885">
      <c r="A885" s="74">
        <v>46158.0</v>
      </c>
      <c r="B885" s="70" t="s">
        <v>3539</v>
      </c>
      <c r="C885" s="70" t="s">
        <v>3521</v>
      </c>
      <c r="D885" s="71">
        <v>0.0</v>
      </c>
      <c r="E885" s="71">
        <v>6.0</v>
      </c>
      <c r="F885" s="68"/>
      <c r="G885" s="68"/>
      <c r="H885" s="68"/>
      <c r="I885" s="69"/>
      <c r="J885" s="70" t="s">
        <v>2512</v>
      </c>
      <c r="K885" s="67"/>
      <c r="L885" s="70" t="s">
        <v>3540</v>
      </c>
      <c r="M885" s="75">
        <v>1.0</v>
      </c>
      <c r="N885" s="75">
        <v>0.0</v>
      </c>
      <c r="O885" s="75">
        <v>0.0</v>
      </c>
      <c r="P885" s="75">
        <v>1.0</v>
      </c>
      <c r="Q885" s="70" t="s">
        <v>22</v>
      </c>
      <c r="R885" s="71">
        <v>0.5</v>
      </c>
      <c r="S885" s="71">
        <v>0.5</v>
      </c>
      <c r="T885" s="70" t="s">
        <v>3541</v>
      </c>
      <c r="U885" s="71">
        <v>2.94</v>
      </c>
      <c r="V885" s="71">
        <v>8.94</v>
      </c>
      <c r="W885" s="67"/>
      <c r="X885" s="67"/>
      <c r="Y885" s="67"/>
      <c r="Z885" s="67"/>
      <c r="AA885" s="67"/>
      <c r="AB885" s="67"/>
      <c r="AC885" s="67"/>
    </row>
    <row r="886">
      <c r="A886" s="74">
        <v>46159.0</v>
      </c>
      <c r="B886" s="70" t="s">
        <v>3542</v>
      </c>
      <c r="C886" s="70" t="s">
        <v>1490</v>
      </c>
      <c r="D886" s="71">
        <v>10.2</v>
      </c>
      <c r="E886" s="71">
        <v>24.99</v>
      </c>
      <c r="F886" s="68"/>
      <c r="G886" s="68"/>
      <c r="H886" s="68"/>
      <c r="I886" s="69"/>
      <c r="J886" s="70" t="s">
        <v>2512</v>
      </c>
      <c r="K886" s="67"/>
      <c r="L886" s="70" t="s">
        <v>3543</v>
      </c>
      <c r="M886" s="75">
        <v>1.0</v>
      </c>
      <c r="N886" s="75">
        <v>0.0</v>
      </c>
      <c r="O886" s="75">
        <v>0.0</v>
      </c>
      <c r="P886" s="75">
        <v>1.0</v>
      </c>
      <c r="Q886" s="70" t="s">
        <v>22</v>
      </c>
      <c r="R886" s="71">
        <v>0.16</v>
      </c>
      <c r="S886" s="71">
        <v>10.36</v>
      </c>
      <c r="T886" s="70" t="s">
        <v>3544</v>
      </c>
      <c r="U886" s="71">
        <v>2.38</v>
      </c>
      <c r="V886" s="71">
        <v>27.37</v>
      </c>
      <c r="W886" s="67"/>
      <c r="X886" s="67"/>
      <c r="Y886" s="67"/>
      <c r="Z886" s="67"/>
      <c r="AA886" s="67"/>
      <c r="AB886" s="67"/>
      <c r="AC886" s="67"/>
    </row>
    <row r="887">
      <c r="A887" s="74">
        <v>46159.0</v>
      </c>
      <c r="B887" s="70" t="s">
        <v>3545</v>
      </c>
      <c r="C887" s="70" t="s">
        <v>1484</v>
      </c>
      <c r="D887" s="71">
        <v>7.5</v>
      </c>
      <c r="E887" s="71">
        <v>0.0</v>
      </c>
      <c r="F887" s="71">
        <v>45.0</v>
      </c>
      <c r="G887" s="68"/>
      <c r="H887" s="71">
        <v>30.74</v>
      </c>
      <c r="I887" s="72">
        <v>0.6831111111111111</v>
      </c>
      <c r="J887" s="70" t="s">
        <v>1462</v>
      </c>
      <c r="K887" s="67"/>
      <c r="L887" s="70" t="s">
        <v>3546</v>
      </c>
      <c r="M887" s="75">
        <v>1.0</v>
      </c>
      <c r="N887" s="75">
        <v>0.0</v>
      </c>
      <c r="O887" s="75">
        <v>0.0</v>
      </c>
      <c r="P887" s="75">
        <v>1.0</v>
      </c>
      <c r="Q887" s="70" t="s">
        <v>22</v>
      </c>
      <c r="R887" s="71">
        <v>6.76</v>
      </c>
      <c r="S887" s="71">
        <v>14.26</v>
      </c>
      <c r="T887" s="70" t="s">
        <v>3547</v>
      </c>
      <c r="U887" s="71">
        <v>20.06</v>
      </c>
      <c r="V887" s="71">
        <v>20.06</v>
      </c>
      <c r="W887" s="67"/>
      <c r="X887" s="67"/>
      <c r="Y887" s="67"/>
      <c r="Z887" s="67"/>
      <c r="AA887" s="67"/>
      <c r="AB887" s="67"/>
      <c r="AC887" s="67"/>
    </row>
    <row r="888">
      <c r="A888" s="74">
        <v>46159.0</v>
      </c>
      <c r="B888" s="70" t="s">
        <v>3548</v>
      </c>
      <c r="C888" s="67"/>
      <c r="D888" s="71">
        <v>7.5</v>
      </c>
      <c r="E888" s="71">
        <v>0.0</v>
      </c>
      <c r="F888" s="68"/>
      <c r="G888" s="68"/>
      <c r="H888" s="68"/>
      <c r="I888" s="69"/>
      <c r="J888" s="70" t="s">
        <v>2512</v>
      </c>
      <c r="K888" s="67"/>
      <c r="L888" s="70" t="s">
        <v>3549</v>
      </c>
      <c r="M888" s="75">
        <v>1.0</v>
      </c>
      <c r="N888" s="75">
        <v>0.0</v>
      </c>
      <c r="O888" s="75">
        <v>0.0</v>
      </c>
      <c r="P888" s="75">
        <v>1.0</v>
      </c>
      <c r="Q888" s="70" t="s">
        <v>22</v>
      </c>
      <c r="R888" s="71">
        <v>0.0</v>
      </c>
      <c r="S888" s="71">
        <v>7.5</v>
      </c>
      <c r="T888" s="70" t="s">
        <v>3550</v>
      </c>
      <c r="U888" s="71">
        <v>0.0</v>
      </c>
      <c r="V888" s="68"/>
      <c r="W888" s="67"/>
      <c r="X888" s="67"/>
      <c r="Y888" s="67"/>
      <c r="Z888" s="67"/>
      <c r="AA888" s="67"/>
      <c r="AB888" s="67"/>
      <c r="AC888" s="67"/>
    </row>
    <row r="889">
      <c r="A889" s="74">
        <v>46161.0</v>
      </c>
      <c r="B889" s="70" t="s">
        <v>3551</v>
      </c>
      <c r="C889" s="70" t="s">
        <v>3248</v>
      </c>
      <c r="D889" s="71">
        <v>4.99</v>
      </c>
      <c r="E889" s="71">
        <v>15.0</v>
      </c>
      <c r="F889" s="71">
        <v>15.0</v>
      </c>
      <c r="G889" s="68"/>
      <c r="H889" s="71">
        <v>-5.49</v>
      </c>
      <c r="I889" s="72">
        <v>-1.0</v>
      </c>
      <c r="J889" s="70" t="s">
        <v>483</v>
      </c>
      <c r="K889" s="67"/>
      <c r="L889" s="70" t="s">
        <v>3552</v>
      </c>
      <c r="M889" s="75">
        <v>1.0</v>
      </c>
      <c r="N889" s="75">
        <v>0.0</v>
      </c>
      <c r="O889" s="75">
        <v>1.0</v>
      </c>
      <c r="P889" s="75">
        <v>0.0</v>
      </c>
      <c r="Q889" s="70" t="s">
        <v>22</v>
      </c>
      <c r="R889" s="71">
        <v>0.5</v>
      </c>
      <c r="S889" s="71">
        <v>5.49</v>
      </c>
      <c r="T889" s="70" t="s">
        <v>3553</v>
      </c>
      <c r="U889" s="71">
        <v>4.06</v>
      </c>
      <c r="V889" s="71">
        <v>19.06</v>
      </c>
      <c r="W889" s="67"/>
      <c r="X889" s="67"/>
      <c r="Y889" s="67"/>
      <c r="Z889" s="67"/>
      <c r="AA889" s="67"/>
      <c r="AB889" s="67"/>
      <c r="AC889" s="67"/>
    </row>
    <row r="890">
      <c r="A890" s="74">
        <v>46165.0</v>
      </c>
      <c r="B890" s="70" t="s">
        <v>3554</v>
      </c>
      <c r="C890" s="70" t="s">
        <v>1125</v>
      </c>
      <c r="D890" s="71">
        <v>9.0</v>
      </c>
      <c r="E890" s="71">
        <v>18.0</v>
      </c>
      <c r="F890" s="71">
        <v>20.0</v>
      </c>
      <c r="G890" s="71">
        <v>15.0</v>
      </c>
      <c r="H890" s="71">
        <v>5.37</v>
      </c>
      <c r="I890" s="72">
        <v>0.358</v>
      </c>
      <c r="J890" s="70" t="s">
        <v>1626</v>
      </c>
      <c r="K890" s="67"/>
      <c r="L890" s="70" t="s">
        <v>3555</v>
      </c>
      <c r="M890" s="75">
        <v>1.0</v>
      </c>
      <c r="N890" s="75">
        <v>1.0</v>
      </c>
      <c r="O890" s="75">
        <v>0.0</v>
      </c>
      <c r="P890" s="75">
        <v>0.0</v>
      </c>
      <c r="Q890" s="70" t="s">
        <v>22</v>
      </c>
      <c r="R890" s="71">
        <v>0.63</v>
      </c>
      <c r="S890" s="71">
        <v>9.63</v>
      </c>
      <c r="T890" s="70" t="s">
        <v>3556</v>
      </c>
      <c r="U890" s="71">
        <v>3.69</v>
      </c>
      <c r="V890" s="71">
        <v>21.69</v>
      </c>
      <c r="W890" s="67"/>
      <c r="X890" s="67"/>
      <c r="Y890" s="67"/>
      <c r="Z890" s="67"/>
      <c r="AA890" s="67"/>
      <c r="AB890" s="67"/>
      <c r="AC890" s="67"/>
    </row>
    <row r="891">
      <c r="A891" s="74">
        <v>46175.0</v>
      </c>
      <c r="B891" s="70" t="s">
        <v>3557</v>
      </c>
      <c r="C891" s="70" t="s">
        <v>3558</v>
      </c>
      <c r="D891" s="71">
        <v>12.0</v>
      </c>
      <c r="E891" s="71">
        <v>0.0</v>
      </c>
      <c r="F891" s="71">
        <v>18.0</v>
      </c>
      <c r="G891" s="68"/>
      <c r="H891" s="71">
        <v>5.5</v>
      </c>
      <c r="I891" s="72">
        <v>0.3055555555555556</v>
      </c>
      <c r="J891" s="70" t="s">
        <v>1462</v>
      </c>
      <c r="K891" s="67"/>
      <c r="L891" s="70" t="s">
        <v>3559</v>
      </c>
      <c r="M891" s="75">
        <v>1.0</v>
      </c>
      <c r="N891" s="75">
        <v>0.0</v>
      </c>
      <c r="O891" s="75">
        <v>0.0</v>
      </c>
      <c r="P891" s="75">
        <v>1.0</v>
      </c>
      <c r="Q891" s="70" t="s">
        <v>22</v>
      </c>
      <c r="R891" s="71">
        <v>0.5</v>
      </c>
      <c r="S891" s="71">
        <v>12.5</v>
      </c>
      <c r="T891" s="70" t="s">
        <v>3560</v>
      </c>
      <c r="U891" s="71">
        <v>4.06</v>
      </c>
      <c r="V891" s="71">
        <v>4.06</v>
      </c>
      <c r="W891" s="67"/>
      <c r="X891" s="67"/>
      <c r="Y891" s="67"/>
      <c r="Z891" s="67"/>
      <c r="AA891" s="67"/>
      <c r="AB891" s="67"/>
      <c r="AC891" s="67"/>
    </row>
    <row r="892">
      <c r="A892" s="74"/>
      <c r="B892" s="70"/>
      <c r="C892" s="70"/>
      <c r="D892" s="71"/>
      <c r="E892" s="71"/>
      <c r="F892" s="68"/>
      <c r="G892" s="68"/>
      <c r="H892" s="68"/>
      <c r="I892" s="69"/>
      <c r="J892" s="70"/>
      <c r="K892" s="67"/>
      <c r="L892" s="70"/>
      <c r="M892" s="75"/>
      <c r="N892" s="75"/>
      <c r="O892" s="75"/>
      <c r="P892" s="75"/>
      <c r="Q892" s="70"/>
      <c r="R892" s="71"/>
      <c r="S892" s="71"/>
      <c r="T892" s="67"/>
      <c r="U892" s="71"/>
      <c r="V892" s="71"/>
      <c r="W892" s="67"/>
      <c r="X892" s="67"/>
      <c r="Y892" s="67"/>
      <c r="Z892" s="67"/>
      <c r="AA892" s="67"/>
      <c r="AB892" s="67"/>
      <c r="AC892" s="67"/>
    </row>
    <row r="893">
      <c r="A893" s="74"/>
      <c r="B893" s="70"/>
      <c r="C893" s="70"/>
      <c r="D893" s="71"/>
      <c r="E893" s="71"/>
      <c r="F893" s="68"/>
      <c r="G893" s="68"/>
      <c r="H893" s="68"/>
      <c r="I893" s="69"/>
      <c r="J893" s="70"/>
      <c r="K893" s="67"/>
      <c r="L893" s="70"/>
      <c r="M893" s="75"/>
      <c r="N893" s="75"/>
      <c r="O893" s="75"/>
      <c r="P893" s="75"/>
      <c r="Q893" s="70"/>
      <c r="R893" s="71"/>
      <c r="S893" s="71"/>
      <c r="T893" s="67"/>
      <c r="U893" s="71"/>
      <c r="V893" s="71"/>
      <c r="W893" s="67"/>
      <c r="X893" s="67"/>
      <c r="Y893" s="67"/>
      <c r="Z893" s="67"/>
      <c r="AA893" s="67"/>
      <c r="AB893" s="67"/>
      <c r="AC893" s="67"/>
    </row>
    <row r="894">
      <c r="A894" s="74"/>
      <c r="B894" s="70"/>
      <c r="C894" s="70"/>
      <c r="D894" s="71"/>
      <c r="E894" s="71"/>
      <c r="F894" s="68"/>
      <c r="G894" s="68"/>
      <c r="H894" s="68"/>
      <c r="I894" s="69"/>
      <c r="J894" s="70"/>
      <c r="K894" s="67"/>
      <c r="L894" s="70"/>
      <c r="M894" s="75"/>
      <c r="N894" s="75"/>
      <c r="O894" s="75"/>
      <c r="P894" s="75"/>
      <c r="Q894" s="70"/>
      <c r="R894" s="71"/>
      <c r="S894" s="71"/>
      <c r="T894" s="67"/>
      <c r="U894" s="71"/>
      <c r="V894" s="71"/>
      <c r="W894" s="67"/>
      <c r="X894" s="67"/>
      <c r="Y894" s="67"/>
      <c r="Z894" s="67"/>
      <c r="AA894" s="67"/>
      <c r="AB894" s="67"/>
      <c r="AC894" s="67"/>
    </row>
    <row r="895">
      <c r="A895" s="74"/>
      <c r="B895" s="70"/>
      <c r="C895" s="70"/>
      <c r="D895" s="71"/>
      <c r="E895" s="71"/>
      <c r="F895" s="68"/>
      <c r="G895" s="68"/>
      <c r="H895" s="68"/>
      <c r="I895" s="69"/>
      <c r="J895" s="70"/>
      <c r="K895" s="67"/>
      <c r="L895" s="70"/>
      <c r="M895" s="75"/>
      <c r="N895" s="75"/>
      <c r="O895" s="75"/>
      <c r="P895" s="75"/>
      <c r="Q895" s="70"/>
      <c r="R895" s="71"/>
      <c r="S895" s="71"/>
      <c r="T895" s="67"/>
      <c r="U895" s="71"/>
      <c r="V895" s="71"/>
      <c r="W895" s="67"/>
      <c r="X895" s="67"/>
      <c r="Y895" s="67"/>
      <c r="Z895" s="67"/>
      <c r="AA895" s="67"/>
      <c r="AB895" s="67"/>
      <c r="AC895" s="67"/>
    </row>
    <row r="896">
      <c r="A896" s="74"/>
      <c r="B896" s="70"/>
      <c r="C896" s="70"/>
      <c r="D896" s="71"/>
      <c r="E896" s="71"/>
      <c r="F896" s="68"/>
      <c r="G896" s="68"/>
      <c r="H896" s="68"/>
      <c r="I896" s="69"/>
      <c r="J896" s="70"/>
      <c r="K896" s="67"/>
      <c r="L896" s="70"/>
      <c r="M896" s="75"/>
      <c r="N896" s="75"/>
      <c r="O896" s="75"/>
      <c r="P896" s="75"/>
      <c r="Q896" s="70"/>
      <c r="R896" s="71"/>
      <c r="S896" s="71"/>
      <c r="T896" s="67"/>
      <c r="U896" s="71"/>
      <c r="V896" s="71"/>
      <c r="W896" s="67"/>
      <c r="X896" s="67"/>
      <c r="Y896" s="67"/>
      <c r="Z896" s="67"/>
      <c r="AA896" s="67"/>
      <c r="AB896" s="67"/>
      <c r="AC896" s="67"/>
    </row>
    <row r="897">
      <c r="A897" s="74"/>
      <c r="B897" s="70"/>
      <c r="C897" s="70"/>
      <c r="D897" s="71"/>
      <c r="E897" s="71"/>
      <c r="F897" s="68"/>
      <c r="G897" s="68"/>
      <c r="H897" s="68"/>
      <c r="I897" s="69"/>
      <c r="J897" s="70"/>
      <c r="K897" s="67"/>
      <c r="L897" s="70"/>
      <c r="M897" s="75"/>
      <c r="N897" s="75"/>
      <c r="O897" s="75"/>
      <c r="P897" s="75"/>
      <c r="Q897" s="70"/>
      <c r="R897" s="71"/>
      <c r="S897" s="71"/>
      <c r="T897" s="70"/>
      <c r="U897" s="71"/>
      <c r="V897" s="71"/>
      <c r="W897" s="67"/>
      <c r="X897" s="67"/>
      <c r="Y897" s="67"/>
      <c r="Z897" s="67"/>
      <c r="AA897" s="67"/>
      <c r="AB897" s="67"/>
      <c r="AC897" s="67"/>
    </row>
    <row r="898">
      <c r="A898" s="66"/>
      <c r="B898" s="67"/>
      <c r="C898" s="67"/>
      <c r="D898" s="71">
        <v>4.99</v>
      </c>
      <c r="E898" s="68"/>
      <c r="F898" s="68"/>
      <c r="G898" s="68"/>
      <c r="H898" s="68"/>
      <c r="I898" s="69"/>
      <c r="J898" s="67"/>
      <c r="K898" s="67"/>
      <c r="L898" s="67"/>
      <c r="M898" s="67"/>
      <c r="N898" s="67"/>
      <c r="O898" s="75">
        <v>0.0</v>
      </c>
      <c r="P898" s="75">
        <v>1.0</v>
      </c>
      <c r="Q898" s="77"/>
      <c r="R898" s="71">
        <v>0.5</v>
      </c>
      <c r="S898" s="71">
        <v>5.49</v>
      </c>
      <c r="T898" s="67"/>
      <c r="U898" s="68"/>
      <c r="V898" s="68"/>
      <c r="W898" s="67"/>
      <c r="X898" s="67"/>
      <c r="Y898" s="67"/>
      <c r="Z898" s="67"/>
      <c r="AA898" s="67"/>
      <c r="AB898" s="67"/>
      <c r="AC898" s="67"/>
    </row>
    <row r="899">
      <c r="A899" s="66"/>
      <c r="B899" s="67"/>
      <c r="C899" s="67"/>
      <c r="D899" s="68"/>
      <c r="E899" s="68"/>
      <c r="F899" s="68"/>
      <c r="G899" s="68"/>
      <c r="H899" s="68"/>
      <c r="I899" s="69"/>
      <c r="J899" s="67"/>
      <c r="K899" s="67"/>
      <c r="L899" s="67"/>
      <c r="M899" s="67"/>
      <c r="N899" s="67"/>
      <c r="O899" s="67"/>
      <c r="P899" s="67"/>
      <c r="Q899" s="77"/>
      <c r="R899" s="68"/>
      <c r="S899" s="68"/>
      <c r="T899" s="67"/>
      <c r="U899" s="68"/>
      <c r="V899" s="68"/>
      <c r="W899" s="67"/>
      <c r="X899" s="67"/>
      <c r="Y899" s="67"/>
      <c r="Z899" s="67"/>
      <c r="AA899" s="67"/>
      <c r="AB899" s="67"/>
      <c r="AC899" s="67"/>
    </row>
    <row r="900">
      <c r="A900" s="66"/>
      <c r="B900" s="67"/>
      <c r="C900" s="67"/>
      <c r="D900" s="68"/>
      <c r="E900" s="68"/>
      <c r="F900" s="68"/>
      <c r="G900" s="68"/>
      <c r="H900" s="68"/>
      <c r="I900" s="69"/>
      <c r="J900" s="67"/>
      <c r="K900" s="67"/>
      <c r="L900" s="67"/>
      <c r="M900" s="67"/>
      <c r="N900" s="67"/>
      <c r="O900" s="67"/>
      <c r="P900" s="67"/>
      <c r="Q900" s="77"/>
      <c r="R900" s="68"/>
      <c r="S900" s="68"/>
      <c r="T900" s="67"/>
      <c r="U900" s="68"/>
      <c r="V900" s="68"/>
      <c r="W900" s="67"/>
      <c r="X900" s="67"/>
      <c r="Y900" s="67"/>
      <c r="Z900" s="67"/>
      <c r="AA900" s="67"/>
      <c r="AB900" s="67"/>
      <c r="AC900" s="67"/>
    </row>
    <row r="901">
      <c r="A901" s="66"/>
      <c r="B901" s="67"/>
      <c r="C901" s="67"/>
      <c r="D901" s="68"/>
      <c r="E901" s="68"/>
      <c r="F901" s="68"/>
      <c r="G901" s="68"/>
      <c r="H901" s="68"/>
      <c r="I901" s="69"/>
      <c r="J901" s="67"/>
      <c r="K901" s="67"/>
      <c r="L901" s="67"/>
      <c r="M901" s="67"/>
      <c r="N901" s="67"/>
      <c r="O901" s="67"/>
      <c r="P901" s="67"/>
      <c r="Q901" s="77"/>
      <c r="R901" s="68"/>
      <c r="S901" s="68"/>
      <c r="T901" s="67"/>
      <c r="U901" s="68"/>
      <c r="V901" s="68"/>
      <c r="W901" s="67"/>
      <c r="X901" s="67"/>
      <c r="Y901" s="67"/>
      <c r="Z901" s="67"/>
      <c r="AA901" s="67"/>
      <c r="AB901" s="67"/>
      <c r="AC901" s="67"/>
    </row>
    <row r="902">
      <c r="A902" s="66"/>
      <c r="B902" s="67"/>
      <c r="C902" s="67"/>
      <c r="D902" s="68"/>
      <c r="E902" s="68"/>
      <c r="F902" s="68"/>
      <c r="G902" s="68"/>
      <c r="H902" s="68"/>
      <c r="I902" s="69"/>
      <c r="J902" s="67"/>
      <c r="K902" s="67"/>
      <c r="L902" s="67"/>
      <c r="M902" s="67"/>
      <c r="N902" s="67"/>
      <c r="O902" s="67"/>
      <c r="P902" s="67"/>
      <c r="Q902" s="77"/>
      <c r="R902" s="68"/>
      <c r="S902" s="68"/>
      <c r="T902" s="67"/>
      <c r="U902" s="68"/>
      <c r="V902" s="68"/>
      <c r="W902" s="67"/>
      <c r="X902" s="67"/>
      <c r="Y902" s="67"/>
      <c r="Z902" s="67"/>
      <c r="AA902" s="67"/>
      <c r="AB902" s="67"/>
      <c r="AC902" s="67"/>
    </row>
    <row r="903">
      <c r="A903" s="66"/>
      <c r="B903" s="67"/>
      <c r="C903" s="67"/>
      <c r="D903" s="68"/>
      <c r="E903" s="68"/>
      <c r="F903" s="68"/>
      <c r="G903" s="68"/>
      <c r="H903" s="68"/>
      <c r="I903" s="69"/>
      <c r="J903" s="67"/>
      <c r="K903" s="67"/>
      <c r="L903" s="67"/>
      <c r="M903" s="67"/>
      <c r="N903" s="67"/>
      <c r="O903" s="67"/>
      <c r="P903" s="67"/>
      <c r="Q903" s="77"/>
      <c r="R903" s="68"/>
      <c r="S903" s="68"/>
      <c r="T903" s="67"/>
      <c r="U903" s="68"/>
      <c r="V903" s="68"/>
      <c r="W903" s="67"/>
      <c r="X903" s="67"/>
      <c r="Y903" s="67"/>
      <c r="Z903" s="67"/>
      <c r="AA903" s="67"/>
      <c r="AB903" s="67"/>
      <c r="AC903" s="67"/>
    </row>
    <row r="904">
      <c r="A904" s="66"/>
      <c r="B904" s="67"/>
      <c r="C904" s="67"/>
      <c r="D904" s="68"/>
      <c r="E904" s="68"/>
      <c r="F904" s="68"/>
      <c r="G904" s="68"/>
      <c r="H904" s="68"/>
      <c r="I904" s="69"/>
      <c r="J904" s="67"/>
      <c r="K904" s="67"/>
      <c r="L904" s="67"/>
      <c r="M904" s="67"/>
      <c r="N904" s="67"/>
      <c r="O904" s="67"/>
      <c r="P904" s="67"/>
      <c r="Q904" s="77"/>
      <c r="R904" s="68"/>
      <c r="S904" s="68"/>
      <c r="T904" s="67"/>
      <c r="U904" s="68"/>
      <c r="V904" s="68"/>
      <c r="W904" s="67"/>
      <c r="X904" s="67"/>
      <c r="Y904" s="67"/>
      <c r="Z904" s="67"/>
      <c r="AA904" s="67"/>
      <c r="AB904" s="67"/>
      <c r="AC904" s="67"/>
    </row>
    <row r="905">
      <c r="A905" s="66"/>
      <c r="B905" s="67"/>
      <c r="C905" s="67"/>
      <c r="D905" s="68"/>
      <c r="E905" s="68"/>
      <c r="F905" s="68"/>
      <c r="G905" s="68"/>
      <c r="H905" s="68"/>
      <c r="I905" s="69"/>
      <c r="J905" s="67"/>
      <c r="K905" s="67"/>
      <c r="L905" s="67"/>
      <c r="M905" s="67"/>
      <c r="N905" s="67"/>
      <c r="O905" s="67"/>
      <c r="P905" s="67"/>
      <c r="Q905" s="77"/>
      <c r="R905" s="68"/>
      <c r="S905" s="68"/>
      <c r="T905" s="67"/>
      <c r="U905" s="68"/>
      <c r="V905" s="68"/>
      <c r="W905" s="67"/>
      <c r="X905" s="67"/>
      <c r="Y905" s="67"/>
      <c r="Z905" s="67"/>
      <c r="AA905" s="67"/>
      <c r="AB905" s="67"/>
      <c r="AC905" s="67"/>
    </row>
    <row r="906">
      <c r="A906" s="66"/>
      <c r="B906" s="67"/>
      <c r="C906" s="67"/>
      <c r="D906" s="68"/>
      <c r="E906" s="68"/>
      <c r="F906" s="68"/>
      <c r="G906" s="68"/>
      <c r="H906" s="68"/>
      <c r="I906" s="69"/>
      <c r="J906" s="67"/>
      <c r="K906" s="67"/>
      <c r="L906" s="67"/>
      <c r="M906" s="67"/>
      <c r="N906" s="67"/>
      <c r="O906" s="67"/>
      <c r="P906" s="67"/>
      <c r="Q906" s="77"/>
      <c r="R906" s="68"/>
      <c r="S906" s="68"/>
      <c r="T906" s="67"/>
      <c r="U906" s="68"/>
      <c r="V906" s="68"/>
      <c r="W906" s="67"/>
      <c r="X906" s="67"/>
      <c r="Y906" s="67"/>
      <c r="Z906" s="67"/>
      <c r="AA906" s="67"/>
      <c r="AB906" s="67"/>
      <c r="AC906" s="67"/>
    </row>
    <row r="907">
      <c r="A907" s="66"/>
      <c r="B907" s="67"/>
      <c r="C907" s="67"/>
      <c r="D907" s="68"/>
      <c r="E907" s="68"/>
      <c r="F907" s="68"/>
      <c r="G907" s="68"/>
      <c r="H907" s="68"/>
      <c r="I907" s="69"/>
      <c r="J907" s="67"/>
      <c r="K907" s="67"/>
      <c r="L907" s="67"/>
      <c r="M907" s="67"/>
      <c r="N907" s="67"/>
      <c r="O907" s="67"/>
      <c r="P907" s="67"/>
      <c r="Q907" s="77"/>
      <c r="R907" s="68"/>
      <c r="S907" s="68"/>
      <c r="T907" s="67"/>
      <c r="U907" s="68"/>
      <c r="V907" s="68"/>
      <c r="W907" s="67"/>
      <c r="X907" s="67"/>
      <c r="Y907" s="67"/>
      <c r="Z907" s="67"/>
      <c r="AA907" s="67"/>
      <c r="AB907" s="67"/>
      <c r="AC907" s="67"/>
    </row>
    <row r="908">
      <c r="A908" s="66"/>
      <c r="B908" s="67"/>
      <c r="C908" s="67"/>
      <c r="D908" s="68"/>
      <c r="E908" s="68"/>
      <c r="F908" s="68"/>
      <c r="G908" s="68"/>
      <c r="H908" s="68"/>
      <c r="I908" s="69"/>
      <c r="J908" s="67"/>
      <c r="K908" s="67"/>
      <c r="L908" s="67"/>
      <c r="M908" s="67"/>
      <c r="N908" s="67"/>
      <c r="O908" s="67"/>
      <c r="P908" s="67"/>
      <c r="Q908" s="77"/>
      <c r="R908" s="68"/>
      <c r="S908" s="68"/>
      <c r="T908" s="67"/>
      <c r="U908" s="68"/>
      <c r="V908" s="68"/>
      <c r="W908" s="67"/>
      <c r="X908" s="67"/>
      <c r="Y908" s="67"/>
      <c r="Z908" s="67"/>
      <c r="AA908" s="67"/>
      <c r="AB908" s="67"/>
      <c r="AC908" s="67"/>
    </row>
    <row r="909">
      <c r="A909" s="66"/>
      <c r="B909" s="67"/>
      <c r="C909" s="67"/>
      <c r="D909" s="68"/>
      <c r="E909" s="68"/>
      <c r="F909" s="68"/>
      <c r="G909" s="68"/>
      <c r="H909" s="68"/>
      <c r="I909" s="69"/>
      <c r="J909" s="67"/>
      <c r="K909" s="67"/>
      <c r="L909" s="67"/>
      <c r="M909" s="67"/>
      <c r="N909" s="67"/>
      <c r="O909" s="67"/>
      <c r="P909" s="67"/>
      <c r="Q909" s="77"/>
      <c r="R909" s="68"/>
      <c r="S909" s="68"/>
      <c r="T909" s="67"/>
      <c r="U909" s="68"/>
      <c r="V909" s="68"/>
      <c r="W909" s="67"/>
      <c r="X909" s="67"/>
      <c r="Y909" s="67"/>
      <c r="Z909" s="67"/>
      <c r="AA909" s="67"/>
      <c r="AB909" s="67"/>
      <c r="AC909" s="67"/>
    </row>
    <row r="910">
      <c r="A910" s="66"/>
      <c r="B910" s="67"/>
      <c r="C910" s="67"/>
      <c r="D910" s="68"/>
      <c r="E910" s="68"/>
      <c r="F910" s="68"/>
      <c r="G910" s="68"/>
      <c r="H910" s="68"/>
      <c r="I910" s="69"/>
      <c r="J910" s="67"/>
      <c r="K910" s="67"/>
      <c r="L910" s="67"/>
      <c r="M910" s="67"/>
      <c r="N910" s="67"/>
      <c r="O910" s="67"/>
      <c r="P910" s="67"/>
      <c r="Q910" s="77"/>
      <c r="R910" s="68"/>
      <c r="S910" s="68"/>
      <c r="T910" s="67"/>
      <c r="U910" s="68"/>
      <c r="V910" s="68"/>
      <c r="W910" s="67"/>
      <c r="X910" s="67"/>
      <c r="Y910" s="67"/>
      <c r="Z910" s="67"/>
      <c r="AA910" s="67"/>
      <c r="AB910" s="67"/>
      <c r="AC910" s="67"/>
    </row>
    <row r="911">
      <c r="A911" s="66"/>
      <c r="B911" s="67"/>
      <c r="C911" s="67"/>
      <c r="D911" s="68"/>
      <c r="E911" s="68"/>
      <c r="F911" s="68"/>
      <c r="G911" s="68"/>
      <c r="H911" s="68"/>
      <c r="I911" s="69"/>
      <c r="J911" s="67"/>
      <c r="K911" s="67"/>
      <c r="L911" s="67"/>
      <c r="M911" s="67"/>
      <c r="N911" s="67"/>
      <c r="O911" s="67"/>
      <c r="P911" s="67"/>
      <c r="Q911" s="77"/>
      <c r="R911" s="68"/>
      <c r="S911" s="68"/>
      <c r="T911" s="67"/>
      <c r="U911" s="68"/>
      <c r="V911" s="68"/>
      <c r="W911" s="67"/>
      <c r="X911" s="67"/>
      <c r="Y911" s="67"/>
      <c r="Z911" s="67"/>
      <c r="AA911" s="67"/>
      <c r="AB911" s="67"/>
      <c r="AC911" s="67"/>
    </row>
    <row r="912">
      <c r="A912" s="66"/>
      <c r="B912" s="67"/>
      <c r="C912" s="67"/>
      <c r="D912" s="68"/>
      <c r="E912" s="68"/>
      <c r="F912" s="68"/>
      <c r="G912" s="68"/>
      <c r="H912" s="68"/>
      <c r="I912" s="69"/>
      <c r="J912" s="67"/>
      <c r="K912" s="67"/>
      <c r="L912" s="67"/>
      <c r="M912" s="67"/>
      <c r="N912" s="67"/>
      <c r="O912" s="67"/>
      <c r="P912" s="67"/>
      <c r="Q912" s="77"/>
      <c r="R912" s="68"/>
      <c r="S912" s="68"/>
      <c r="T912" s="67"/>
      <c r="U912" s="68"/>
      <c r="V912" s="68"/>
      <c r="W912" s="67"/>
      <c r="X912" s="67"/>
      <c r="Y912" s="67"/>
      <c r="Z912" s="67"/>
      <c r="AA912" s="67"/>
      <c r="AB912" s="67"/>
      <c r="AC912" s="67"/>
    </row>
    <row r="913">
      <c r="A913" s="66"/>
      <c r="B913" s="67"/>
      <c r="C913" s="67"/>
      <c r="D913" s="68"/>
      <c r="E913" s="68"/>
      <c r="F913" s="68"/>
      <c r="G913" s="68"/>
      <c r="H913" s="68"/>
      <c r="I913" s="69"/>
      <c r="J913" s="67"/>
      <c r="K913" s="67"/>
      <c r="L913" s="67"/>
      <c r="M913" s="67"/>
      <c r="N913" s="67"/>
      <c r="O913" s="67"/>
      <c r="P913" s="67"/>
      <c r="Q913" s="77"/>
      <c r="R913" s="68"/>
      <c r="S913" s="68"/>
      <c r="T913" s="67"/>
      <c r="U913" s="68"/>
      <c r="V913" s="68"/>
      <c r="W913" s="67"/>
      <c r="X913" s="67"/>
      <c r="Y913" s="67"/>
      <c r="Z913" s="67"/>
      <c r="AA913" s="67"/>
      <c r="AB913" s="67"/>
      <c r="AC913" s="67"/>
    </row>
    <row r="914">
      <c r="A914" s="66"/>
      <c r="B914" s="67"/>
      <c r="C914" s="67"/>
      <c r="D914" s="68"/>
      <c r="E914" s="68"/>
      <c r="F914" s="68"/>
      <c r="G914" s="68"/>
      <c r="H914" s="68"/>
      <c r="I914" s="69"/>
      <c r="J914" s="67"/>
      <c r="K914" s="67"/>
      <c r="L914" s="67"/>
      <c r="M914" s="67"/>
      <c r="N914" s="67"/>
      <c r="O914" s="67"/>
      <c r="P914" s="67"/>
      <c r="Q914" s="77"/>
      <c r="R914" s="68"/>
      <c r="S914" s="68"/>
      <c r="T914" s="67"/>
      <c r="U914" s="68"/>
      <c r="V914" s="68"/>
      <c r="W914" s="67"/>
      <c r="X914" s="67"/>
      <c r="Y914" s="67"/>
      <c r="Z914" s="67"/>
      <c r="AA914" s="67"/>
      <c r="AB914" s="67"/>
      <c r="AC914" s="67"/>
    </row>
    <row r="915">
      <c r="A915" s="66"/>
      <c r="B915" s="67"/>
      <c r="C915" s="67"/>
      <c r="D915" s="68"/>
      <c r="E915" s="68"/>
      <c r="F915" s="68"/>
      <c r="G915" s="68"/>
      <c r="H915" s="68"/>
      <c r="I915" s="69"/>
      <c r="J915" s="67"/>
      <c r="K915" s="67"/>
      <c r="L915" s="67"/>
      <c r="M915" s="67"/>
      <c r="N915" s="67"/>
      <c r="O915" s="67"/>
      <c r="P915" s="67"/>
      <c r="Q915" s="77"/>
      <c r="R915" s="68"/>
      <c r="S915" s="68"/>
      <c r="T915" s="67"/>
      <c r="U915" s="68"/>
      <c r="V915" s="68"/>
      <c r="W915" s="67"/>
      <c r="X915" s="67"/>
      <c r="Y915" s="67"/>
      <c r="Z915" s="67"/>
      <c r="AA915" s="67"/>
      <c r="AB915" s="67"/>
      <c r="AC915" s="67"/>
    </row>
    <row r="916">
      <c r="A916" s="66"/>
      <c r="B916" s="67"/>
      <c r="C916" s="67"/>
      <c r="D916" s="68"/>
      <c r="E916" s="68"/>
      <c r="F916" s="68"/>
      <c r="G916" s="68"/>
      <c r="H916" s="68"/>
      <c r="I916" s="69"/>
      <c r="J916" s="67"/>
      <c r="K916" s="67"/>
      <c r="L916" s="67"/>
      <c r="M916" s="67"/>
      <c r="N916" s="67"/>
      <c r="O916" s="67"/>
      <c r="P916" s="67"/>
      <c r="Q916" s="77"/>
      <c r="R916" s="68"/>
      <c r="S916" s="68"/>
      <c r="T916" s="67"/>
      <c r="U916" s="68"/>
      <c r="V916" s="68"/>
      <c r="W916" s="67"/>
      <c r="X916" s="67"/>
      <c r="Y916" s="67"/>
      <c r="Z916" s="67"/>
      <c r="AA916" s="67"/>
      <c r="AB916" s="67"/>
      <c r="AC916" s="67"/>
    </row>
    <row r="917">
      <c r="A917" s="66"/>
      <c r="B917" s="67"/>
      <c r="C917" s="67"/>
      <c r="D917" s="68"/>
      <c r="E917" s="68"/>
      <c r="F917" s="68"/>
      <c r="G917" s="68"/>
      <c r="H917" s="68"/>
      <c r="I917" s="69"/>
      <c r="J917" s="67"/>
      <c r="K917" s="67"/>
      <c r="L917" s="67"/>
      <c r="M917" s="67"/>
      <c r="N917" s="67"/>
      <c r="O917" s="67"/>
      <c r="P917" s="67"/>
      <c r="Q917" s="77"/>
      <c r="R917" s="68"/>
      <c r="S917" s="68"/>
      <c r="T917" s="67"/>
      <c r="U917" s="68"/>
      <c r="V917" s="68"/>
      <c r="W917" s="67"/>
      <c r="X917" s="67"/>
      <c r="Y917" s="67"/>
      <c r="Z917" s="67"/>
      <c r="AA917" s="67"/>
      <c r="AB917" s="67"/>
      <c r="AC917" s="67"/>
    </row>
    <row r="918">
      <c r="A918" s="66"/>
      <c r="B918" s="67"/>
      <c r="C918" s="67"/>
      <c r="D918" s="68"/>
      <c r="E918" s="68"/>
      <c r="F918" s="68"/>
      <c r="G918" s="68"/>
      <c r="H918" s="68"/>
      <c r="I918" s="69"/>
      <c r="J918" s="67"/>
      <c r="K918" s="67"/>
      <c r="L918" s="67"/>
      <c r="M918" s="67"/>
      <c r="N918" s="67"/>
      <c r="O918" s="67"/>
      <c r="P918" s="67"/>
      <c r="Q918" s="77"/>
      <c r="R918" s="68"/>
      <c r="S918" s="68"/>
      <c r="T918" s="67"/>
      <c r="U918" s="68"/>
      <c r="V918" s="68"/>
      <c r="W918" s="67"/>
      <c r="X918" s="67"/>
      <c r="Y918" s="67"/>
      <c r="Z918" s="67"/>
      <c r="AA918" s="67"/>
      <c r="AB918" s="67"/>
      <c r="AC918" s="67"/>
    </row>
    <row r="919">
      <c r="A919" s="66"/>
      <c r="B919" s="67"/>
      <c r="C919" s="67"/>
      <c r="D919" s="68"/>
      <c r="E919" s="68"/>
      <c r="F919" s="68"/>
      <c r="G919" s="68"/>
      <c r="H919" s="68"/>
      <c r="I919" s="69"/>
      <c r="J919" s="67"/>
      <c r="K919" s="67"/>
      <c r="L919" s="67"/>
      <c r="M919" s="67"/>
      <c r="N919" s="67"/>
      <c r="O919" s="67"/>
      <c r="P919" s="67"/>
      <c r="Q919" s="77"/>
      <c r="R919" s="68"/>
      <c r="S919" s="68"/>
      <c r="T919" s="67"/>
      <c r="U919" s="68"/>
      <c r="V919" s="68"/>
      <c r="W919" s="67"/>
      <c r="X919" s="67"/>
      <c r="Y919" s="67"/>
      <c r="Z919" s="67"/>
      <c r="AA919" s="67"/>
      <c r="AB919" s="67"/>
      <c r="AC919" s="67"/>
    </row>
    <row r="920">
      <c r="A920" s="66"/>
      <c r="B920" s="67"/>
      <c r="C920" s="67"/>
      <c r="D920" s="68"/>
      <c r="E920" s="68"/>
      <c r="F920" s="68"/>
      <c r="G920" s="68"/>
      <c r="H920" s="68"/>
      <c r="I920" s="69"/>
      <c r="J920" s="67"/>
      <c r="K920" s="67"/>
      <c r="L920" s="67"/>
      <c r="M920" s="67"/>
      <c r="N920" s="67"/>
      <c r="O920" s="67"/>
      <c r="P920" s="67"/>
      <c r="Q920" s="77"/>
      <c r="R920" s="68"/>
      <c r="S920" s="68"/>
      <c r="T920" s="67"/>
      <c r="U920" s="68"/>
      <c r="V920" s="68"/>
      <c r="W920" s="67"/>
      <c r="X920" s="67"/>
      <c r="Y920" s="67"/>
      <c r="Z920" s="67"/>
      <c r="AA920" s="67"/>
      <c r="AB920" s="67"/>
      <c r="AC920" s="67"/>
    </row>
    <row r="921">
      <c r="A921" s="66"/>
      <c r="B921" s="67"/>
      <c r="C921" s="67"/>
      <c r="D921" s="68"/>
      <c r="E921" s="68"/>
      <c r="F921" s="68"/>
      <c r="G921" s="68"/>
      <c r="H921" s="68"/>
      <c r="I921" s="69"/>
      <c r="J921" s="67"/>
      <c r="K921" s="67"/>
      <c r="L921" s="67"/>
      <c r="M921" s="67"/>
      <c r="N921" s="67"/>
      <c r="O921" s="67"/>
      <c r="P921" s="67"/>
      <c r="Q921" s="77"/>
      <c r="R921" s="68"/>
      <c r="S921" s="68"/>
      <c r="T921" s="67"/>
      <c r="U921" s="68"/>
      <c r="V921" s="68"/>
      <c r="W921" s="67"/>
      <c r="X921" s="67"/>
      <c r="Y921" s="67"/>
      <c r="Z921" s="67"/>
      <c r="AA921" s="67"/>
      <c r="AB921" s="67"/>
      <c r="AC921" s="67"/>
    </row>
    <row r="922">
      <c r="A922" s="66"/>
      <c r="B922" s="67"/>
      <c r="C922" s="67"/>
      <c r="D922" s="68"/>
      <c r="E922" s="68"/>
      <c r="F922" s="68"/>
      <c r="G922" s="68"/>
      <c r="H922" s="68"/>
      <c r="I922" s="69"/>
      <c r="J922" s="67"/>
      <c r="K922" s="67"/>
      <c r="L922" s="67"/>
      <c r="M922" s="67"/>
      <c r="N922" s="67"/>
      <c r="O922" s="67"/>
      <c r="P922" s="67"/>
      <c r="Q922" s="77"/>
      <c r="R922" s="68"/>
      <c r="S922" s="68"/>
      <c r="T922" s="67"/>
      <c r="U922" s="68"/>
      <c r="V922" s="68"/>
      <c r="W922" s="67"/>
      <c r="X922" s="67"/>
      <c r="Y922" s="67"/>
      <c r="Z922" s="67"/>
      <c r="AA922" s="67"/>
      <c r="AB922" s="67"/>
      <c r="AC922" s="67"/>
    </row>
    <row r="923">
      <c r="A923" s="66"/>
      <c r="B923" s="67"/>
      <c r="C923" s="67"/>
      <c r="D923" s="68"/>
      <c r="E923" s="68"/>
      <c r="F923" s="68"/>
      <c r="G923" s="68"/>
      <c r="H923" s="68"/>
      <c r="I923" s="69"/>
      <c r="J923" s="67"/>
      <c r="K923" s="67"/>
      <c r="L923" s="67"/>
      <c r="M923" s="67"/>
      <c r="N923" s="67"/>
      <c r="O923" s="67"/>
      <c r="P923" s="67"/>
      <c r="Q923" s="77"/>
      <c r="R923" s="68"/>
      <c r="S923" s="68"/>
      <c r="T923" s="67"/>
      <c r="U923" s="68"/>
      <c r="V923" s="68"/>
      <c r="W923" s="67"/>
      <c r="X923" s="67"/>
      <c r="Y923" s="67"/>
      <c r="Z923" s="67"/>
      <c r="AA923" s="67"/>
      <c r="AB923" s="67"/>
      <c r="AC923" s="67"/>
    </row>
    <row r="924">
      <c r="A924" s="66"/>
      <c r="B924" s="67"/>
      <c r="C924" s="67"/>
      <c r="D924" s="68"/>
      <c r="E924" s="68"/>
      <c r="F924" s="68"/>
      <c r="G924" s="68"/>
      <c r="H924" s="68"/>
      <c r="I924" s="69"/>
      <c r="J924" s="67"/>
      <c r="K924" s="67"/>
      <c r="L924" s="67"/>
      <c r="M924" s="67"/>
      <c r="N924" s="67"/>
      <c r="O924" s="67"/>
      <c r="P924" s="67"/>
      <c r="Q924" s="77"/>
      <c r="R924" s="68"/>
      <c r="S924" s="68"/>
      <c r="T924" s="67"/>
      <c r="U924" s="68"/>
      <c r="V924" s="68"/>
      <c r="W924" s="67"/>
      <c r="X924" s="67"/>
      <c r="Y924" s="67"/>
      <c r="Z924" s="67"/>
      <c r="AA924" s="67"/>
      <c r="AB924" s="67"/>
      <c r="AC924" s="67"/>
    </row>
    <row r="925">
      <c r="A925" s="66"/>
      <c r="B925" s="67"/>
      <c r="C925" s="67"/>
      <c r="D925" s="68"/>
      <c r="E925" s="68"/>
      <c r="F925" s="68"/>
      <c r="G925" s="68"/>
      <c r="H925" s="68"/>
      <c r="I925" s="69"/>
      <c r="J925" s="67"/>
      <c r="K925" s="67"/>
      <c r="L925" s="67"/>
      <c r="M925" s="67"/>
      <c r="N925" s="67"/>
      <c r="O925" s="67"/>
      <c r="P925" s="67"/>
      <c r="Q925" s="77"/>
      <c r="R925" s="68"/>
      <c r="S925" s="68"/>
      <c r="T925" s="67"/>
      <c r="U925" s="68"/>
      <c r="V925" s="68"/>
      <c r="W925" s="67"/>
      <c r="X925" s="67"/>
      <c r="Y925" s="67"/>
      <c r="Z925" s="67"/>
      <c r="AA925" s="67"/>
      <c r="AB925" s="67"/>
      <c r="AC925" s="67"/>
    </row>
    <row r="926">
      <c r="A926" s="66"/>
      <c r="B926" s="67"/>
      <c r="C926" s="67"/>
      <c r="D926" s="68"/>
      <c r="E926" s="68"/>
      <c r="F926" s="68"/>
      <c r="G926" s="68"/>
      <c r="H926" s="68"/>
      <c r="I926" s="69"/>
      <c r="J926" s="67"/>
      <c r="K926" s="67"/>
      <c r="L926" s="67"/>
      <c r="M926" s="67"/>
      <c r="N926" s="67"/>
      <c r="O926" s="67"/>
      <c r="P926" s="67"/>
      <c r="Q926" s="77"/>
      <c r="R926" s="68"/>
      <c r="S926" s="68"/>
      <c r="T926" s="67"/>
      <c r="U926" s="68"/>
      <c r="V926" s="68"/>
      <c r="W926" s="67"/>
      <c r="X926" s="67"/>
      <c r="Y926" s="67"/>
      <c r="Z926" s="67"/>
      <c r="AA926" s="67"/>
      <c r="AB926" s="67"/>
      <c r="AC926" s="67"/>
    </row>
    <row r="927">
      <c r="A927" s="66"/>
      <c r="B927" s="67"/>
      <c r="C927" s="67"/>
      <c r="D927" s="68"/>
      <c r="E927" s="68"/>
      <c r="F927" s="68"/>
      <c r="G927" s="68"/>
      <c r="H927" s="68"/>
      <c r="I927" s="69"/>
      <c r="J927" s="67"/>
      <c r="K927" s="67"/>
      <c r="L927" s="67"/>
      <c r="M927" s="67"/>
      <c r="N927" s="67"/>
      <c r="O927" s="67"/>
      <c r="P927" s="67"/>
      <c r="Q927" s="77"/>
      <c r="R927" s="68"/>
      <c r="S927" s="68"/>
      <c r="T927" s="67"/>
      <c r="U927" s="68"/>
      <c r="V927" s="68"/>
      <c r="W927" s="67"/>
      <c r="X927" s="67"/>
      <c r="Y927" s="67"/>
      <c r="Z927" s="67"/>
      <c r="AA927" s="67"/>
      <c r="AB927" s="67"/>
      <c r="AC927" s="67"/>
    </row>
    <row r="928">
      <c r="A928" s="66"/>
      <c r="B928" s="67"/>
      <c r="C928" s="67"/>
      <c r="D928" s="68"/>
      <c r="E928" s="68"/>
      <c r="F928" s="68"/>
      <c r="G928" s="68"/>
      <c r="H928" s="68"/>
      <c r="I928" s="69"/>
      <c r="J928" s="67"/>
      <c r="K928" s="67"/>
      <c r="L928" s="67"/>
      <c r="M928" s="67"/>
      <c r="N928" s="67"/>
      <c r="O928" s="67"/>
      <c r="P928" s="67"/>
      <c r="Q928" s="77"/>
      <c r="R928" s="68"/>
      <c r="S928" s="68"/>
      <c r="T928" s="67"/>
      <c r="U928" s="68"/>
      <c r="V928" s="68"/>
      <c r="W928" s="67"/>
      <c r="X928" s="67"/>
      <c r="Y928" s="67"/>
      <c r="Z928" s="67"/>
      <c r="AA928" s="67"/>
      <c r="AB928" s="67"/>
      <c r="AC928" s="67"/>
    </row>
    <row r="929">
      <c r="A929" s="66"/>
      <c r="B929" s="67"/>
      <c r="C929" s="67"/>
      <c r="D929" s="68"/>
      <c r="E929" s="68"/>
      <c r="F929" s="68"/>
      <c r="G929" s="68"/>
      <c r="H929" s="68"/>
      <c r="I929" s="69"/>
      <c r="J929" s="67"/>
      <c r="K929" s="67"/>
      <c r="L929" s="67"/>
      <c r="M929" s="67"/>
      <c r="N929" s="67"/>
      <c r="O929" s="67"/>
      <c r="P929" s="67"/>
      <c r="Q929" s="77"/>
      <c r="R929" s="68"/>
      <c r="S929" s="68"/>
      <c r="T929" s="67"/>
      <c r="U929" s="68"/>
      <c r="V929" s="68"/>
      <c r="W929" s="67"/>
      <c r="X929" s="67"/>
      <c r="Y929" s="67"/>
      <c r="Z929" s="67"/>
      <c r="AA929" s="67"/>
      <c r="AB929" s="67"/>
      <c r="AC929" s="67"/>
    </row>
    <row r="930">
      <c r="A930" s="66"/>
      <c r="B930" s="67"/>
      <c r="C930" s="67"/>
      <c r="D930" s="68"/>
      <c r="E930" s="68"/>
      <c r="F930" s="68"/>
      <c r="G930" s="68"/>
      <c r="H930" s="68"/>
      <c r="I930" s="69"/>
      <c r="J930" s="67"/>
      <c r="K930" s="67"/>
      <c r="L930" s="67"/>
      <c r="M930" s="67"/>
      <c r="N930" s="67"/>
      <c r="O930" s="67"/>
      <c r="P930" s="67"/>
      <c r="Q930" s="77"/>
      <c r="R930" s="68"/>
      <c r="S930" s="68"/>
      <c r="T930" s="67"/>
      <c r="U930" s="68"/>
      <c r="V930" s="68"/>
      <c r="W930" s="67"/>
      <c r="X930" s="67"/>
      <c r="Y930" s="67"/>
      <c r="Z930" s="67"/>
      <c r="AA930" s="67"/>
      <c r="AB930" s="67"/>
      <c r="AC930" s="67"/>
    </row>
    <row r="931">
      <c r="A931" s="66"/>
      <c r="B931" s="67"/>
      <c r="C931" s="67"/>
      <c r="D931" s="68"/>
      <c r="E931" s="68"/>
      <c r="F931" s="68"/>
      <c r="G931" s="68"/>
      <c r="H931" s="68"/>
      <c r="I931" s="69"/>
      <c r="J931" s="67"/>
      <c r="K931" s="67"/>
      <c r="L931" s="67"/>
      <c r="M931" s="67"/>
      <c r="N931" s="67"/>
      <c r="O931" s="67"/>
      <c r="P931" s="67"/>
      <c r="Q931" s="77"/>
      <c r="R931" s="68"/>
      <c r="S931" s="68"/>
      <c r="T931" s="67"/>
      <c r="U931" s="68"/>
      <c r="V931" s="68"/>
      <c r="W931" s="67"/>
      <c r="X931" s="67"/>
      <c r="Y931" s="67"/>
      <c r="Z931" s="67"/>
      <c r="AA931" s="67"/>
      <c r="AB931" s="67"/>
      <c r="AC931" s="67"/>
    </row>
    <row r="932">
      <c r="A932" s="66"/>
      <c r="B932" s="67"/>
      <c r="C932" s="67"/>
      <c r="D932" s="68"/>
      <c r="E932" s="68"/>
      <c r="F932" s="68"/>
      <c r="G932" s="68"/>
      <c r="H932" s="68"/>
      <c r="I932" s="69"/>
      <c r="J932" s="67"/>
      <c r="K932" s="67"/>
      <c r="L932" s="67"/>
      <c r="M932" s="67"/>
      <c r="N932" s="67"/>
      <c r="O932" s="67"/>
      <c r="P932" s="67"/>
      <c r="Q932" s="77"/>
      <c r="R932" s="68"/>
      <c r="S932" s="68"/>
      <c r="T932" s="67"/>
      <c r="U932" s="68"/>
      <c r="V932" s="68"/>
      <c r="W932" s="67"/>
      <c r="X932" s="67"/>
      <c r="Y932" s="67"/>
      <c r="Z932" s="67"/>
      <c r="AA932" s="67"/>
      <c r="AB932" s="67"/>
      <c r="AC932" s="67"/>
    </row>
    <row r="933">
      <c r="A933" s="66"/>
      <c r="B933" s="67"/>
      <c r="C933" s="67"/>
      <c r="D933" s="68"/>
      <c r="E933" s="68"/>
      <c r="F933" s="68"/>
      <c r="G933" s="68"/>
      <c r="H933" s="68"/>
      <c r="I933" s="69"/>
      <c r="J933" s="67"/>
      <c r="K933" s="67"/>
      <c r="L933" s="67"/>
      <c r="M933" s="67"/>
      <c r="N933" s="67"/>
      <c r="O933" s="67"/>
      <c r="P933" s="67"/>
      <c r="Q933" s="77"/>
      <c r="R933" s="68"/>
      <c r="S933" s="68"/>
      <c r="T933" s="67"/>
      <c r="U933" s="68"/>
      <c r="V933" s="68"/>
      <c r="W933" s="67"/>
      <c r="X933" s="67"/>
      <c r="Y933" s="67"/>
      <c r="Z933" s="67"/>
      <c r="AA933" s="67"/>
      <c r="AB933" s="67"/>
      <c r="AC933" s="67"/>
    </row>
    <row r="934">
      <c r="A934" s="66"/>
      <c r="B934" s="67"/>
      <c r="C934" s="67"/>
      <c r="D934" s="68"/>
      <c r="E934" s="68"/>
      <c r="F934" s="68"/>
      <c r="G934" s="68"/>
      <c r="H934" s="68"/>
      <c r="I934" s="69"/>
      <c r="J934" s="67"/>
      <c r="K934" s="67"/>
      <c r="L934" s="67"/>
      <c r="M934" s="67"/>
      <c r="N934" s="67"/>
      <c r="O934" s="67"/>
      <c r="P934" s="67"/>
      <c r="Q934" s="77"/>
      <c r="R934" s="68"/>
      <c r="S934" s="68"/>
      <c r="T934" s="67"/>
      <c r="U934" s="68"/>
      <c r="V934" s="68"/>
      <c r="W934" s="67"/>
      <c r="X934" s="67"/>
      <c r="Y934" s="67"/>
      <c r="Z934" s="67"/>
      <c r="AA934" s="67"/>
      <c r="AB934" s="67"/>
      <c r="AC934" s="67"/>
    </row>
    <row r="935">
      <c r="A935" s="66"/>
      <c r="B935" s="67"/>
      <c r="C935" s="67"/>
      <c r="D935" s="68"/>
      <c r="E935" s="68"/>
      <c r="F935" s="68"/>
      <c r="G935" s="68"/>
      <c r="H935" s="68"/>
      <c r="I935" s="69"/>
      <c r="J935" s="67"/>
      <c r="K935" s="67"/>
      <c r="L935" s="67"/>
      <c r="M935" s="67"/>
      <c r="N935" s="67"/>
      <c r="O935" s="67"/>
      <c r="P935" s="67"/>
      <c r="Q935" s="77"/>
      <c r="R935" s="68"/>
      <c r="S935" s="68"/>
      <c r="T935" s="67"/>
      <c r="U935" s="68"/>
      <c r="V935" s="68"/>
      <c r="W935" s="67"/>
      <c r="X935" s="67"/>
      <c r="Y935" s="67"/>
      <c r="Z935" s="67"/>
      <c r="AA935" s="67"/>
      <c r="AB935" s="67"/>
      <c r="AC935" s="67"/>
    </row>
    <row r="936">
      <c r="A936" s="66"/>
      <c r="B936" s="67"/>
      <c r="C936" s="67"/>
      <c r="D936" s="68"/>
      <c r="E936" s="68"/>
      <c r="F936" s="68"/>
      <c r="G936" s="68"/>
      <c r="H936" s="68"/>
      <c r="I936" s="69"/>
      <c r="J936" s="67"/>
      <c r="K936" s="67"/>
      <c r="L936" s="67"/>
      <c r="M936" s="67"/>
      <c r="N936" s="67"/>
      <c r="O936" s="67"/>
      <c r="P936" s="67"/>
      <c r="Q936" s="77"/>
      <c r="R936" s="68"/>
      <c r="S936" s="68"/>
      <c r="T936" s="67"/>
      <c r="U936" s="68"/>
      <c r="V936" s="68"/>
      <c r="W936" s="67"/>
      <c r="X936" s="67"/>
      <c r="Y936" s="67"/>
      <c r="Z936" s="67"/>
      <c r="AA936" s="67"/>
      <c r="AB936" s="67"/>
      <c r="AC936" s="67"/>
    </row>
    <row r="937">
      <c r="A937" s="66"/>
      <c r="B937" s="67"/>
      <c r="C937" s="67"/>
      <c r="D937" s="68"/>
      <c r="E937" s="68"/>
      <c r="F937" s="68"/>
      <c r="G937" s="68"/>
      <c r="H937" s="68"/>
      <c r="I937" s="69"/>
      <c r="J937" s="67"/>
      <c r="K937" s="67"/>
      <c r="L937" s="67"/>
      <c r="M937" s="67"/>
      <c r="N937" s="67"/>
      <c r="O937" s="67"/>
      <c r="P937" s="67"/>
      <c r="Q937" s="77"/>
      <c r="R937" s="68"/>
      <c r="S937" s="68"/>
      <c r="T937" s="67"/>
      <c r="U937" s="68"/>
      <c r="V937" s="68"/>
      <c r="W937" s="67"/>
      <c r="X937" s="67"/>
      <c r="Y937" s="67"/>
      <c r="Z937" s="67"/>
      <c r="AA937" s="67"/>
      <c r="AB937" s="67"/>
      <c r="AC937" s="67"/>
    </row>
    <row r="938">
      <c r="A938" s="66"/>
      <c r="B938" s="67"/>
      <c r="C938" s="67"/>
      <c r="D938" s="68"/>
      <c r="E938" s="68"/>
      <c r="F938" s="68"/>
      <c r="G938" s="68"/>
      <c r="H938" s="68"/>
      <c r="I938" s="69"/>
      <c r="J938" s="67"/>
      <c r="K938" s="67"/>
      <c r="L938" s="67"/>
      <c r="M938" s="67"/>
      <c r="N938" s="67"/>
      <c r="O938" s="67"/>
      <c r="P938" s="67"/>
      <c r="Q938" s="77"/>
      <c r="R938" s="68"/>
      <c r="S938" s="68"/>
      <c r="T938" s="67"/>
      <c r="U938" s="68"/>
      <c r="V938" s="68"/>
      <c r="W938" s="67"/>
      <c r="X938" s="67"/>
      <c r="Y938" s="67"/>
      <c r="Z938" s="67"/>
      <c r="AA938" s="67"/>
      <c r="AB938" s="67"/>
      <c r="AC938" s="67"/>
    </row>
    <row r="939">
      <c r="A939" s="66"/>
      <c r="B939" s="67"/>
      <c r="C939" s="67"/>
      <c r="D939" s="68"/>
      <c r="E939" s="68"/>
      <c r="F939" s="68"/>
      <c r="G939" s="68"/>
      <c r="H939" s="68"/>
      <c r="I939" s="69"/>
      <c r="J939" s="67"/>
      <c r="K939" s="67"/>
      <c r="L939" s="67"/>
      <c r="M939" s="67"/>
      <c r="N939" s="67"/>
      <c r="O939" s="67"/>
      <c r="P939" s="67"/>
      <c r="Q939" s="77"/>
      <c r="R939" s="68"/>
      <c r="S939" s="68"/>
      <c r="T939" s="67"/>
      <c r="U939" s="68"/>
      <c r="V939" s="68"/>
      <c r="W939" s="67"/>
      <c r="X939" s="67"/>
      <c r="Y939" s="67"/>
      <c r="Z939" s="67"/>
      <c r="AA939" s="67"/>
      <c r="AB939" s="67"/>
      <c r="AC939" s="67"/>
    </row>
    <row r="940">
      <c r="A940" s="66"/>
      <c r="B940" s="67"/>
      <c r="C940" s="67"/>
      <c r="D940" s="68"/>
      <c r="E940" s="68"/>
      <c r="F940" s="68"/>
      <c r="G940" s="68"/>
      <c r="H940" s="68"/>
      <c r="I940" s="69"/>
      <c r="J940" s="67"/>
      <c r="K940" s="67"/>
      <c r="L940" s="67"/>
      <c r="M940" s="67"/>
      <c r="N940" s="67"/>
      <c r="O940" s="67"/>
      <c r="P940" s="67"/>
      <c r="Q940" s="77"/>
      <c r="R940" s="68"/>
      <c r="S940" s="68"/>
      <c r="T940" s="67"/>
      <c r="U940" s="68"/>
      <c r="V940" s="68"/>
      <c r="W940" s="67"/>
      <c r="X940" s="67"/>
      <c r="Y940" s="67"/>
      <c r="Z940" s="67"/>
      <c r="AA940" s="67"/>
      <c r="AB940" s="67"/>
      <c r="AC940" s="67"/>
    </row>
    <row r="941">
      <c r="A941" s="66"/>
      <c r="B941" s="67"/>
      <c r="C941" s="67"/>
      <c r="D941" s="68"/>
      <c r="E941" s="68"/>
      <c r="F941" s="68"/>
      <c r="G941" s="68"/>
      <c r="H941" s="68"/>
      <c r="I941" s="69"/>
      <c r="J941" s="67"/>
      <c r="K941" s="67"/>
      <c r="L941" s="67"/>
      <c r="M941" s="67"/>
      <c r="N941" s="67"/>
      <c r="O941" s="67"/>
      <c r="P941" s="67"/>
      <c r="Q941" s="77"/>
      <c r="R941" s="68"/>
      <c r="S941" s="68"/>
      <c r="T941" s="67"/>
      <c r="U941" s="68"/>
      <c r="V941" s="68"/>
      <c r="W941" s="67"/>
      <c r="X941" s="67"/>
      <c r="Y941" s="67"/>
      <c r="Z941" s="67"/>
      <c r="AA941" s="67"/>
      <c r="AB941" s="67"/>
      <c r="AC941" s="67"/>
    </row>
    <row r="942">
      <c r="A942" s="66"/>
      <c r="B942" s="67"/>
      <c r="C942" s="67"/>
      <c r="D942" s="68"/>
      <c r="E942" s="68"/>
      <c r="F942" s="68"/>
      <c r="G942" s="68"/>
      <c r="H942" s="68"/>
      <c r="I942" s="69"/>
      <c r="J942" s="67"/>
      <c r="K942" s="67"/>
      <c r="L942" s="67"/>
      <c r="M942" s="67"/>
      <c r="N942" s="67"/>
      <c r="O942" s="67"/>
      <c r="P942" s="67"/>
      <c r="Q942" s="77"/>
      <c r="R942" s="68"/>
      <c r="S942" s="68"/>
      <c r="T942" s="67"/>
      <c r="U942" s="68"/>
      <c r="V942" s="68"/>
      <c r="W942" s="67"/>
      <c r="X942" s="67"/>
      <c r="Y942" s="67"/>
      <c r="Z942" s="67"/>
      <c r="AA942" s="67"/>
      <c r="AB942" s="67"/>
      <c r="AC942" s="67"/>
    </row>
    <row r="943">
      <c r="A943" s="66"/>
      <c r="B943" s="67"/>
      <c r="C943" s="67"/>
      <c r="D943" s="68"/>
      <c r="E943" s="68"/>
      <c r="F943" s="68"/>
      <c r="G943" s="68"/>
      <c r="H943" s="68"/>
      <c r="I943" s="69"/>
      <c r="J943" s="67"/>
      <c r="K943" s="67"/>
      <c r="L943" s="67"/>
      <c r="M943" s="67"/>
      <c r="N943" s="67"/>
      <c r="O943" s="67"/>
      <c r="P943" s="67"/>
      <c r="Q943" s="77"/>
      <c r="R943" s="68"/>
      <c r="S943" s="68"/>
      <c r="T943" s="67"/>
      <c r="U943" s="68"/>
      <c r="V943" s="68"/>
      <c r="W943" s="67"/>
      <c r="X943" s="67"/>
      <c r="Y943" s="67"/>
      <c r="Z943" s="67"/>
      <c r="AA943" s="67"/>
      <c r="AB943" s="67"/>
      <c r="AC943" s="67"/>
    </row>
    <row r="944">
      <c r="A944" s="66"/>
      <c r="B944" s="67"/>
      <c r="C944" s="67"/>
      <c r="D944" s="68"/>
      <c r="E944" s="68"/>
      <c r="F944" s="68"/>
      <c r="G944" s="68"/>
      <c r="H944" s="68"/>
      <c r="I944" s="69"/>
      <c r="J944" s="67"/>
      <c r="K944" s="67"/>
      <c r="L944" s="67"/>
      <c r="M944" s="67"/>
      <c r="N944" s="67"/>
      <c r="O944" s="67"/>
      <c r="P944" s="67"/>
      <c r="Q944" s="77"/>
      <c r="R944" s="68"/>
      <c r="S944" s="68"/>
      <c r="T944" s="67"/>
      <c r="U944" s="68"/>
      <c r="V944" s="68"/>
      <c r="W944" s="67"/>
      <c r="X944" s="67"/>
      <c r="Y944" s="67"/>
      <c r="Z944" s="67"/>
      <c r="AA944" s="67"/>
      <c r="AB944" s="67"/>
      <c r="AC944" s="67"/>
    </row>
    <row r="945">
      <c r="A945" s="66"/>
      <c r="B945" s="67"/>
      <c r="C945" s="67"/>
      <c r="D945" s="68"/>
      <c r="E945" s="68"/>
      <c r="F945" s="68"/>
      <c r="G945" s="68"/>
      <c r="H945" s="68"/>
      <c r="I945" s="69"/>
      <c r="J945" s="67"/>
      <c r="K945" s="67"/>
      <c r="L945" s="67"/>
      <c r="M945" s="67"/>
      <c r="N945" s="67"/>
      <c r="O945" s="67"/>
      <c r="P945" s="67"/>
      <c r="Q945" s="77"/>
      <c r="R945" s="68"/>
      <c r="S945" s="68"/>
      <c r="T945" s="67"/>
      <c r="U945" s="68"/>
      <c r="V945" s="68"/>
      <c r="W945" s="67"/>
      <c r="X945" s="67"/>
      <c r="Y945" s="67"/>
      <c r="Z945" s="67"/>
      <c r="AA945" s="67"/>
      <c r="AB945" s="67"/>
      <c r="AC945" s="67"/>
    </row>
    <row r="946">
      <c r="A946" s="66"/>
      <c r="B946" s="67"/>
      <c r="C946" s="67"/>
      <c r="D946" s="68"/>
      <c r="E946" s="68"/>
      <c r="F946" s="68"/>
      <c r="G946" s="68"/>
      <c r="H946" s="68"/>
      <c r="I946" s="69"/>
      <c r="J946" s="67"/>
      <c r="K946" s="67"/>
      <c r="L946" s="67"/>
      <c r="M946" s="67"/>
      <c r="N946" s="67"/>
      <c r="O946" s="67"/>
      <c r="P946" s="67"/>
      <c r="Q946" s="77"/>
      <c r="R946" s="68"/>
      <c r="S946" s="68"/>
      <c r="T946" s="67"/>
      <c r="U946" s="68"/>
      <c r="V946" s="68"/>
      <c r="W946" s="67"/>
      <c r="X946" s="67"/>
      <c r="Y946" s="67"/>
      <c r="Z946" s="67"/>
      <c r="AA946" s="67"/>
      <c r="AB946" s="67"/>
      <c r="AC946" s="67"/>
    </row>
    <row r="947">
      <c r="A947" s="66"/>
      <c r="B947" s="67"/>
      <c r="C947" s="67"/>
      <c r="D947" s="68"/>
      <c r="E947" s="68"/>
      <c r="F947" s="68"/>
      <c r="G947" s="68"/>
      <c r="H947" s="68"/>
      <c r="I947" s="69"/>
      <c r="J947" s="67"/>
      <c r="K947" s="67"/>
      <c r="L947" s="67"/>
      <c r="M947" s="67"/>
      <c r="N947" s="67"/>
      <c r="O947" s="67"/>
      <c r="P947" s="67"/>
      <c r="Q947" s="77"/>
      <c r="R947" s="68"/>
      <c r="S947" s="68"/>
      <c r="T947" s="67"/>
      <c r="U947" s="68"/>
      <c r="V947" s="68"/>
      <c r="W947" s="67"/>
      <c r="X947" s="67"/>
      <c r="Y947" s="67"/>
      <c r="Z947" s="67"/>
      <c r="AA947" s="67"/>
      <c r="AB947" s="67"/>
      <c r="AC947" s="67"/>
    </row>
    <row r="948">
      <c r="A948" s="66"/>
      <c r="B948" s="67"/>
      <c r="C948" s="67"/>
      <c r="D948" s="68"/>
      <c r="E948" s="68"/>
      <c r="F948" s="68"/>
      <c r="G948" s="68"/>
      <c r="H948" s="68"/>
      <c r="I948" s="69"/>
      <c r="J948" s="67"/>
      <c r="K948" s="67"/>
      <c r="L948" s="67"/>
      <c r="M948" s="67"/>
      <c r="N948" s="67"/>
      <c r="O948" s="67"/>
      <c r="P948" s="67"/>
      <c r="Q948" s="77"/>
      <c r="R948" s="68"/>
      <c r="S948" s="68"/>
      <c r="T948" s="67"/>
      <c r="U948" s="68"/>
      <c r="V948" s="68"/>
      <c r="W948" s="67"/>
      <c r="X948" s="67"/>
      <c r="Y948" s="67"/>
      <c r="Z948" s="67"/>
      <c r="AA948" s="67"/>
      <c r="AB948" s="67"/>
      <c r="AC948" s="67"/>
    </row>
    <row r="949">
      <c r="A949" s="66"/>
      <c r="B949" s="67"/>
      <c r="C949" s="67"/>
      <c r="D949" s="68"/>
      <c r="E949" s="68"/>
      <c r="F949" s="68"/>
      <c r="G949" s="68"/>
      <c r="H949" s="68"/>
      <c r="I949" s="69"/>
      <c r="J949" s="67"/>
      <c r="K949" s="67"/>
      <c r="L949" s="67"/>
      <c r="M949" s="67"/>
      <c r="N949" s="67"/>
      <c r="O949" s="67"/>
      <c r="P949" s="67"/>
      <c r="Q949" s="77"/>
      <c r="R949" s="68"/>
      <c r="S949" s="68"/>
      <c r="T949" s="67"/>
      <c r="U949" s="68"/>
      <c r="V949" s="68"/>
      <c r="W949" s="67"/>
      <c r="X949" s="67"/>
      <c r="Y949" s="67"/>
      <c r="Z949" s="67"/>
      <c r="AA949" s="67"/>
      <c r="AB949" s="67"/>
      <c r="AC949" s="67"/>
    </row>
    <row r="950">
      <c r="A950" s="66"/>
      <c r="B950" s="67"/>
      <c r="C950" s="67"/>
      <c r="D950" s="68"/>
      <c r="E950" s="68"/>
      <c r="F950" s="68"/>
      <c r="G950" s="68"/>
      <c r="H950" s="68"/>
      <c r="I950" s="69"/>
      <c r="J950" s="67"/>
      <c r="K950" s="67"/>
      <c r="L950" s="67"/>
      <c r="M950" s="67"/>
      <c r="N950" s="67"/>
      <c r="O950" s="67"/>
      <c r="P950" s="67"/>
      <c r="Q950" s="77"/>
      <c r="R950" s="68"/>
      <c r="S950" s="68"/>
      <c r="T950" s="67"/>
      <c r="U950" s="68"/>
      <c r="V950" s="68"/>
      <c r="W950" s="67"/>
      <c r="X950" s="67"/>
      <c r="Y950" s="67"/>
      <c r="Z950" s="67"/>
      <c r="AA950" s="67"/>
      <c r="AB950" s="67"/>
      <c r="AC950" s="67"/>
    </row>
    <row r="951">
      <c r="A951" s="66"/>
      <c r="B951" s="67"/>
      <c r="C951" s="67"/>
      <c r="D951" s="68"/>
      <c r="E951" s="68"/>
      <c r="F951" s="68"/>
      <c r="G951" s="68"/>
      <c r="H951" s="68"/>
      <c r="I951" s="69"/>
      <c r="J951" s="67"/>
      <c r="K951" s="67"/>
      <c r="L951" s="67"/>
      <c r="M951" s="67"/>
      <c r="N951" s="67"/>
      <c r="O951" s="67"/>
      <c r="P951" s="67"/>
      <c r="Q951" s="77"/>
      <c r="R951" s="68"/>
      <c r="S951" s="68"/>
      <c r="T951" s="67"/>
      <c r="U951" s="68"/>
      <c r="V951" s="68"/>
      <c r="W951" s="67"/>
      <c r="X951" s="67"/>
      <c r="Y951" s="67"/>
      <c r="Z951" s="67"/>
      <c r="AA951" s="67"/>
      <c r="AB951" s="67"/>
      <c r="AC951" s="67"/>
    </row>
    <row r="952">
      <c r="A952" s="66"/>
      <c r="B952" s="67"/>
      <c r="C952" s="67"/>
      <c r="D952" s="68"/>
      <c r="E952" s="68"/>
      <c r="F952" s="68"/>
      <c r="G952" s="68"/>
      <c r="H952" s="68"/>
      <c r="I952" s="69"/>
      <c r="J952" s="67"/>
      <c r="K952" s="67"/>
      <c r="L952" s="67"/>
      <c r="M952" s="67"/>
      <c r="N952" s="67"/>
      <c r="O952" s="67"/>
      <c r="P952" s="67"/>
      <c r="Q952" s="77"/>
      <c r="R952" s="68"/>
      <c r="S952" s="68"/>
      <c r="T952" s="67"/>
      <c r="U952" s="68"/>
      <c r="V952" s="68"/>
      <c r="W952" s="67"/>
      <c r="X952" s="67"/>
      <c r="Y952" s="67"/>
      <c r="Z952" s="67"/>
      <c r="AA952" s="67"/>
      <c r="AB952" s="67"/>
      <c r="AC952" s="67"/>
    </row>
    <row r="953">
      <c r="A953" s="66"/>
      <c r="B953" s="67"/>
      <c r="C953" s="67"/>
      <c r="D953" s="68"/>
      <c r="E953" s="68"/>
      <c r="F953" s="68"/>
      <c r="G953" s="68"/>
      <c r="H953" s="68"/>
      <c r="I953" s="69"/>
      <c r="J953" s="67"/>
      <c r="K953" s="67"/>
      <c r="L953" s="67"/>
      <c r="M953" s="67"/>
      <c r="N953" s="67"/>
      <c r="O953" s="67"/>
      <c r="P953" s="67"/>
      <c r="Q953" s="77"/>
      <c r="R953" s="68"/>
      <c r="S953" s="68"/>
      <c r="T953" s="67"/>
      <c r="U953" s="68"/>
      <c r="V953" s="68"/>
      <c r="W953" s="67"/>
      <c r="X953" s="67"/>
      <c r="Y953" s="67"/>
      <c r="Z953" s="67"/>
      <c r="AA953" s="67"/>
      <c r="AB953" s="67"/>
      <c r="AC953" s="67"/>
    </row>
    <row r="954">
      <c r="A954" s="66"/>
      <c r="B954" s="67"/>
      <c r="C954" s="67"/>
      <c r="D954" s="68"/>
      <c r="E954" s="68"/>
      <c r="F954" s="68"/>
      <c r="G954" s="68"/>
      <c r="H954" s="68"/>
      <c r="I954" s="69"/>
      <c r="J954" s="67"/>
      <c r="K954" s="67"/>
      <c r="L954" s="67"/>
      <c r="M954" s="67"/>
      <c r="N954" s="67"/>
      <c r="O954" s="67"/>
      <c r="P954" s="67"/>
      <c r="Q954" s="77"/>
      <c r="R954" s="68"/>
      <c r="S954" s="68"/>
      <c r="T954" s="67"/>
      <c r="U954" s="68"/>
      <c r="V954" s="68"/>
      <c r="W954" s="67"/>
      <c r="X954" s="67"/>
      <c r="Y954" s="67"/>
      <c r="Z954" s="67"/>
      <c r="AA954" s="67"/>
      <c r="AB954" s="67"/>
      <c r="AC954" s="67"/>
    </row>
    <row r="955">
      <c r="A955" s="66"/>
      <c r="B955" s="67"/>
      <c r="C955" s="67"/>
      <c r="D955" s="68"/>
      <c r="E955" s="68"/>
      <c r="F955" s="68"/>
      <c r="G955" s="68"/>
      <c r="H955" s="68"/>
      <c r="I955" s="69"/>
      <c r="J955" s="67"/>
      <c r="K955" s="67"/>
      <c r="L955" s="67"/>
      <c r="M955" s="67"/>
      <c r="N955" s="67"/>
      <c r="O955" s="67"/>
      <c r="P955" s="67"/>
      <c r="Q955" s="77"/>
      <c r="R955" s="68"/>
      <c r="S955" s="68"/>
      <c r="T955" s="67"/>
      <c r="U955" s="68"/>
      <c r="V955" s="68"/>
      <c r="W955" s="67"/>
      <c r="X955" s="67"/>
      <c r="Y955" s="67"/>
      <c r="Z955" s="67"/>
      <c r="AA955" s="67"/>
      <c r="AB955" s="67"/>
      <c r="AC955" s="67"/>
    </row>
    <row r="956">
      <c r="A956" s="66"/>
      <c r="B956" s="67"/>
      <c r="C956" s="67"/>
      <c r="D956" s="68"/>
      <c r="E956" s="68"/>
      <c r="F956" s="68"/>
      <c r="G956" s="68"/>
      <c r="H956" s="68"/>
      <c r="I956" s="69"/>
      <c r="J956" s="67"/>
      <c r="K956" s="67"/>
      <c r="L956" s="67"/>
      <c r="M956" s="67"/>
      <c r="N956" s="67"/>
      <c r="O956" s="67"/>
      <c r="P956" s="67"/>
      <c r="Q956" s="77"/>
      <c r="R956" s="68"/>
      <c r="S956" s="68"/>
      <c r="T956" s="67"/>
      <c r="U956" s="68"/>
      <c r="V956" s="68"/>
      <c r="W956" s="67"/>
      <c r="X956" s="67"/>
      <c r="Y956" s="67"/>
      <c r="Z956" s="67"/>
      <c r="AA956" s="67"/>
      <c r="AB956" s="67"/>
      <c r="AC956" s="67"/>
    </row>
    <row r="957">
      <c r="A957" s="66"/>
      <c r="B957" s="67"/>
      <c r="C957" s="67"/>
      <c r="D957" s="68"/>
      <c r="E957" s="68"/>
      <c r="F957" s="68"/>
      <c r="G957" s="68"/>
      <c r="H957" s="68"/>
      <c r="I957" s="69"/>
      <c r="J957" s="67"/>
      <c r="K957" s="67"/>
      <c r="L957" s="67"/>
      <c r="M957" s="67"/>
      <c r="N957" s="67"/>
      <c r="O957" s="67"/>
      <c r="P957" s="67"/>
      <c r="Q957" s="77"/>
      <c r="R957" s="68"/>
      <c r="S957" s="68"/>
      <c r="T957" s="67"/>
      <c r="U957" s="68"/>
      <c r="V957" s="68"/>
      <c r="W957" s="67"/>
      <c r="X957" s="67"/>
      <c r="Y957" s="67"/>
      <c r="Z957" s="67"/>
      <c r="AA957" s="67"/>
      <c r="AB957" s="67"/>
      <c r="AC957" s="67"/>
    </row>
    <row r="958">
      <c r="A958" s="66"/>
      <c r="B958" s="67"/>
      <c r="C958" s="67"/>
      <c r="D958" s="68"/>
      <c r="E958" s="68"/>
      <c r="F958" s="68"/>
      <c r="G958" s="68"/>
      <c r="H958" s="68"/>
      <c r="I958" s="69"/>
      <c r="J958" s="67"/>
      <c r="K958" s="67"/>
      <c r="L958" s="67"/>
      <c r="M958" s="67"/>
      <c r="N958" s="67"/>
      <c r="O958" s="67"/>
      <c r="P958" s="67"/>
      <c r="Q958" s="77"/>
      <c r="R958" s="68"/>
      <c r="S958" s="68"/>
      <c r="T958" s="67"/>
      <c r="U958" s="68"/>
      <c r="V958" s="68"/>
      <c r="W958" s="67"/>
      <c r="X958" s="67"/>
      <c r="Y958" s="67"/>
      <c r="Z958" s="67"/>
      <c r="AA958" s="67"/>
      <c r="AB958" s="67"/>
      <c r="AC958" s="67"/>
    </row>
    <row r="959">
      <c r="A959" s="66"/>
      <c r="B959" s="67"/>
      <c r="C959" s="67"/>
      <c r="D959" s="68"/>
      <c r="E959" s="68"/>
      <c r="F959" s="68"/>
      <c r="G959" s="68"/>
      <c r="H959" s="68"/>
      <c r="I959" s="69"/>
      <c r="J959" s="67"/>
      <c r="K959" s="67"/>
      <c r="L959" s="67"/>
      <c r="M959" s="67"/>
      <c r="N959" s="67"/>
      <c r="O959" s="67"/>
      <c r="P959" s="67"/>
      <c r="Q959" s="77"/>
      <c r="R959" s="68"/>
      <c r="S959" s="68"/>
      <c r="T959" s="67"/>
      <c r="U959" s="68"/>
      <c r="V959" s="68"/>
      <c r="W959" s="67"/>
      <c r="X959" s="67"/>
      <c r="Y959" s="67"/>
      <c r="Z959" s="67"/>
      <c r="AA959" s="67"/>
      <c r="AB959" s="67"/>
      <c r="AC959" s="67"/>
    </row>
    <row r="960">
      <c r="A960" s="66"/>
      <c r="B960" s="67"/>
      <c r="C960" s="67"/>
      <c r="D960" s="68"/>
      <c r="E960" s="68"/>
      <c r="F960" s="68"/>
      <c r="G960" s="68"/>
      <c r="H960" s="68"/>
      <c r="I960" s="69"/>
      <c r="J960" s="67"/>
      <c r="K960" s="67"/>
      <c r="L960" s="67"/>
      <c r="M960" s="67"/>
      <c r="N960" s="67"/>
      <c r="O960" s="67"/>
      <c r="P960" s="67"/>
      <c r="Q960" s="77"/>
      <c r="R960" s="68"/>
      <c r="S960" s="68"/>
      <c r="T960" s="67"/>
      <c r="U960" s="68"/>
      <c r="V960" s="68"/>
      <c r="W960" s="67"/>
      <c r="X960" s="67"/>
      <c r="Y960" s="67"/>
      <c r="Z960" s="67"/>
      <c r="AA960" s="67"/>
      <c r="AB960" s="67"/>
      <c r="AC960" s="67"/>
    </row>
    <row r="961">
      <c r="A961" s="66"/>
      <c r="B961" s="67"/>
      <c r="C961" s="67"/>
      <c r="D961" s="68"/>
      <c r="E961" s="68"/>
      <c r="F961" s="68"/>
      <c r="G961" s="68"/>
      <c r="H961" s="68"/>
      <c r="I961" s="69"/>
      <c r="J961" s="67"/>
      <c r="K961" s="67"/>
      <c r="L961" s="67"/>
      <c r="M961" s="67"/>
      <c r="N961" s="67"/>
      <c r="O961" s="67"/>
      <c r="P961" s="67"/>
      <c r="Q961" s="77"/>
      <c r="R961" s="68"/>
      <c r="S961" s="68"/>
      <c r="T961" s="67"/>
      <c r="U961" s="68"/>
      <c r="V961" s="68"/>
      <c r="W961" s="67"/>
      <c r="X961" s="67"/>
      <c r="Y961" s="67"/>
      <c r="Z961" s="67"/>
      <c r="AA961" s="67"/>
      <c r="AB961" s="67"/>
      <c r="AC961" s="67"/>
    </row>
    <row r="962">
      <c r="A962" s="66"/>
      <c r="B962" s="67"/>
      <c r="C962" s="67"/>
      <c r="D962" s="68"/>
      <c r="E962" s="68"/>
      <c r="F962" s="68"/>
      <c r="G962" s="68"/>
      <c r="H962" s="68"/>
      <c r="I962" s="69"/>
      <c r="J962" s="67"/>
      <c r="K962" s="67"/>
      <c r="L962" s="67"/>
      <c r="M962" s="67"/>
      <c r="N962" s="67"/>
      <c r="O962" s="67"/>
      <c r="P962" s="67"/>
      <c r="Q962" s="77"/>
      <c r="R962" s="68"/>
      <c r="S962" s="68"/>
      <c r="T962" s="67"/>
      <c r="U962" s="68"/>
      <c r="V962" s="68"/>
      <c r="W962" s="67"/>
      <c r="X962" s="67"/>
      <c r="Y962" s="67"/>
      <c r="Z962" s="67"/>
      <c r="AA962" s="67"/>
      <c r="AB962" s="67"/>
      <c r="AC962" s="67"/>
    </row>
    <row r="963">
      <c r="A963" s="66"/>
      <c r="B963" s="67"/>
      <c r="C963" s="67"/>
      <c r="D963" s="68"/>
      <c r="E963" s="68"/>
      <c r="F963" s="68"/>
      <c r="G963" s="68"/>
      <c r="H963" s="68"/>
      <c r="I963" s="69"/>
      <c r="J963" s="67"/>
      <c r="K963" s="67"/>
      <c r="L963" s="67"/>
      <c r="M963" s="67"/>
      <c r="N963" s="67"/>
      <c r="O963" s="67"/>
      <c r="P963" s="67"/>
      <c r="Q963" s="77"/>
      <c r="R963" s="68"/>
      <c r="S963" s="68"/>
      <c r="T963" s="67"/>
      <c r="U963" s="68"/>
      <c r="V963" s="68"/>
      <c r="W963" s="67"/>
      <c r="X963" s="67"/>
      <c r="Y963" s="67"/>
      <c r="Z963" s="67"/>
      <c r="AA963" s="67"/>
      <c r="AB963" s="67"/>
      <c r="AC963" s="67"/>
    </row>
    <row r="964">
      <c r="A964" s="66"/>
      <c r="B964" s="67"/>
      <c r="C964" s="67"/>
      <c r="D964" s="68"/>
      <c r="E964" s="68"/>
      <c r="F964" s="68"/>
      <c r="G964" s="68"/>
      <c r="H964" s="68"/>
      <c r="I964" s="69"/>
      <c r="J964" s="67"/>
      <c r="K964" s="67"/>
      <c r="L964" s="67"/>
      <c r="M964" s="67"/>
      <c r="N964" s="67"/>
      <c r="O964" s="67"/>
      <c r="P964" s="67"/>
      <c r="Q964" s="77"/>
      <c r="R964" s="68"/>
      <c r="S964" s="68"/>
      <c r="T964" s="67"/>
      <c r="U964" s="68"/>
      <c r="V964" s="68"/>
      <c r="W964" s="67"/>
      <c r="X964" s="67"/>
      <c r="Y964" s="67"/>
      <c r="Z964" s="67"/>
      <c r="AA964" s="67"/>
      <c r="AB964" s="67"/>
      <c r="AC964" s="67"/>
    </row>
    <row r="965">
      <c r="A965" s="66"/>
      <c r="B965" s="67"/>
      <c r="C965" s="67"/>
      <c r="D965" s="68"/>
      <c r="E965" s="68"/>
      <c r="F965" s="68"/>
      <c r="G965" s="68"/>
      <c r="H965" s="68"/>
      <c r="I965" s="69"/>
      <c r="J965" s="67"/>
      <c r="K965" s="67"/>
      <c r="L965" s="67"/>
      <c r="M965" s="67"/>
      <c r="N965" s="67"/>
      <c r="O965" s="67"/>
      <c r="P965" s="67"/>
      <c r="Q965" s="77"/>
      <c r="R965" s="68"/>
      <c r="S965" s="68"/>
      <c r="T965" s="67"/>
      <c r="U965" s="68"/>
      <c r="V965" s="68"/>
      <c r="W965" s="67"/>
      <c r="X965" s="67"/>
      <c r="Y965" s="67"/>
      <c r="Z965" s="67"/>
      <c r="AA965" s="67"/>
      <c r="AB965" s="67"/>
      <c r="AC965" s="67"/>
    </row>
    <row r="966">
      <c r="A966" s="66"/>
      <c r="B966" s="67"/>
      <c r="C966" s="67"/>
      <c r="D966" s="68"/>
      <c r="E966" s="68"/>
      <c r="F966" s="68"/>
      <c r="G966" s="68"/>
      <c r="H966" s="68"/>
      <c r="I966" s="69"/>
      <c r="J966" s="67"/>
      <c r="K966" s="67"/>
      <c r="L966" s="67"/>
      <c r="M966" s="67"/>
      <c r="N966" s="67"/>
      <c r="O966" s="67"/>
      <c r="P966" s="67"/>
      <c r="Q966" s="77"/>
      <c r="R966" s="68"/>
      <c r="S966" s="68"/>
      <c r="T966" s="67"/>
      <c r="U966" s="68"/>
      <c r="V966" s="68"/>
      <c r="W966" s="67"/>
      <c r="X966" s="67"/>
      <c r="Y966" s="67"/>
      <c r="Z966" s="67"/>
      <c r="AA966" s="67"/>
      <c r="AB966" s="67"/>
      <c r="AC966" s="67"/>
    </row>
    <row r="967">
      <c r="A967" s="66"/>
      <c r="B967" s="67"/>
      <c r="C967" s="67"/>
      <c r="D967" s="68"/>
      <c r="E967" s="68"/>
      <c r="F967" s="68"/>
      <c r="G967" s="68"/>
      <c r="H967" s="68"/>
      <c r="I967" s="69"/>
      <c r="J967" s="67"/>
      <c r="K967" s="67"/>
      <c r="L967" s="67"/>
      <c r="M967" s="67"/>
      <c r="N967" s="67"/>
      <c r="O967" s="67"/>
      <c r="P967" s="67"/>
      <c r="Q967" s="77"/>
      <c r="R967" s="68"/>
      <c r="S967" s="68"/>
      <c r="T967" s="67"/>
      <c r="U967" s="68"/>
      <c r="V967" s="68"/>
      <c r="W967" s="67"/>
      <c r="X967" s="67"/>
      <c r="Y967" s="67"/>
      <c r="Z967" s="67"/>
      <c r="AA967" s="67"/>
      <c r="AB967" s="67"/>
      <c r="AC967" s="67"/>
    </row>
    <row r="968">
      <c r="A968" s="66"/>
      <c r="B968" s="67"/>
      <c r="C968" s="67"/>
      <c r="D968" s="68"/>
      <c r="E968" s="68"/>
      <c r="F968" s="68"/>
      <c r="G968" s="68"/>
      <c r="H968" s="68"/>
      <c r="I968" s="69"/>
      <c r="J968" s="67"/>
      <c r="K968" s="67"/>
      <c r="L968" s="67"/>
      <c r="M968" s="67"/>
      <c r="N968" s="67"/>
      <c r="O968" s="67"/>
      <c r="P968" s="67"/>
      <c r="Q968" s="77"/>
      <c r="R968" s="68"/>
      <c r="S968" s="68"/>
      <c r="T968" s="67"/>
      <c r="U968" s="68"/>
      <c r="V968" s="68"/>
      <c r="W968" s="67"/>
      <c r="X968" s="67"/>
      <c r="Y968" s="67"/>
      <c r="Z968" s="67"/>
      <c r="AA968" s="67"/>
      <c r="AB968" s="67"/>
      <c r="AC968" s="67"/>
    </row>
    <row r="969">
      <c r="A969" s="66"/>
      <c r="B969" s="67"/>
      <c r="C969" s="67"/>
      <c r="D969" s="68"/>
      <c r="E969" s="68"/>
      <c r="F969" s="68"/>
      <c r="G969" s="68"/>
      <c r="H969" s="68"/>
      <c r="I969" s="69"/>
      <c r="J969" s="67"/>
      <c r="K969" s="67"/>
      <c r="L969" s="67"/>
      <c r="M969" s="67"/>
      <c r="N969" s="67"/>
      <c r="O969" s="67"/>
      <c r="P969" s="67"/>
      <c r="Q969" s="77"/>
      <c r="R969" s="68"/>
      <c r="S969" s="68"/>
      <c r="T969" s="67"/>
      <c r="U969" s="68"/>
      <c r="V969" s="68"/>
      <c r="W969" s="67"/>
      <c r="X969" s="67"/>
      <c r="Y969" s="67"/>
      <c r="Z969" s="67"/>
      <c r="AA969" s="67"/>
      <c r="AB969" s="67"/>
      <c r="AC969" s="67"/>
    </row>
    <row r="970">
      <c r="A970" s="66"/>
      <c r="B970" s="67"/>
      <c r="C970" s="67"/>
      <c r="D970" s="68"/>
      <c r="E970" s="68"/>
      <c r="F970" s="68"/>
      <c r="G970" s="68"/>
      <c r="H970" s="68"/>
      <c r="I970" s="69"/>
      <c r="J970" s="67"/>
      <c r="K970" s="67"/>
      <c r="L970" s="67"/>
      <c r="M970" s="67"/>
      <c r="N970" s="67"/>
      <c r="O970" s="67"/>
      <c r="P970" s="67"/>
      <c r="Q970" s="77"/>
      <c r="R970" s="68"/>
      <c r="S970" s="68"/>
      <c r="T970" s="67"/>
      <c r="U970" s="68"/>
      <c r="V970" s="68"/>
      <c r="W970" s="67"/>
      <c r="X970" s="67"/>
      <c r="Y970" s="67"/>
      <c r="Z970" s="67"/>
      <c r="AA970" s="67"/>
      <c r="AB970" s="67"/>
      <c r="AC970" s="67"/>
    </row>
    <row r="971">
      <c r="A971" s="66"/>
      <c r="B971" s="67"/>
      <c r="C971" s="67"/>
      <c r="D971" s="68"/>
      <c r="E971" s="68"/>
      <c r="F971" s="68"/>
      <c r="G971" s="68"/>
      <c r="H971" s="68"/>
      <c r="I971" s="69"/>
      <c r="J971" s="67"/>
      <c r="K971" s="67"/>
      <c r="L971" s="67"/>
      <c r="M971" s="67"/>
      <c r="N971" s="67"/>
      <c r="O971" s="67"/>
      <c r="P971" s="67"/>
      <c r="Q971" s="77"/>
      <c r="R971" s="68"/>
      <c r="S971" s="68"/>
      <c r="T971" s="67"/>
      <c r="U971" s="68"/>
      <c r="V971" s="68"/>
      <c r="W971" s="67"/>
      <c r="X971" s="67"/>
      <c r="Y971" s="67"/>
      <c r="Z971" s="67"/>
      <c r="AA971" s="67"/>
      <c r="AB971" s="67"/>
      <c r="AC971" s="67"/>
    </row>
    <row r="972">
      <c r="A972" s="66"/>
      <c r="B972" s="67"/>
      <c r="C972" s="67"/>
      <c r="D972" s="68"/>
      <c r="E972" s="68"/>
      <c r="F972" s="68"/>
      <c r="G972" s="68"/>
      <c r="H972" s="68"/>
      <c r="I972" s="69"/>
      <c r="J972" s="67"/>
      <c r="K972" s="67"/>
      <c r="L972" s="67"/>
      <c r="M972" s="67"/>
      <c r="N972" s="67"/>
      <c r="O972" s="67"/>
      <c r="P972" s="67"/>
      <c r="Q972" s="77"/>
      <c r="R972" s="68"/>
      <c r="S972" s="68"/>
      <c r="T972" s="67"/>
      <c r="U972" s="68"/>
      <c r="V972" s="68"/>
      <c r="W972" s="67"/>
      <c r="X972" s="67"/>
      <c r="Y972" s="67"/>
      <c r="Z972" s="67"/>
      <c r="AA972" s="67"/>
      <c r="AB972" s="67"/>
      <c r="AC972" s="67"/>
    </row>
    <row r="973">
      <c r="A973" s="66"/>
      <c r="B973" s="67"/>
      <c r="C973" s="67"/>
      <c r="D973" s="68"/>
      <c r="E973" s="68"/>
      <c r="F973" s="68"/>
      <c r="G973" s="68"/>
      <c r="H973" s="68"/>
      <c r="I973" s="69"/>
      <c r="J973" s="67"/>
      <c r="K973" s="67"/>
      <c r="L973" s="67"/>
      <c r="M973" s="67"/>
      <c r="N973" s="67"/>
      <c r="O973" s="67"/>
      <c r="P973" s="67"/>
      <c r="Q973" s="77"/>
      <c r="R973" s="68"/>
      <c r="S973" s="68"/>
      <c r="T973" s="67"/>
      <c r="U973" s="68"/>
      <c r="V973" s="68"/>
      <c r="W973" s="67"/>
      <c r="X973" s="67"/>
      <c r="Y973" s="67"/>
      <c r="Z973" s="67"/>
      <c r="AA973" s="67"/>
      <c r="AB973" s="67"/>
      <c r="AC973" s="67"/>
    </row>
    <row r="974">
      <c r="A974" s="66"/>
      <c r="B974" s="67"/>
      <c r="C974" s="67"/>
      <c r="D974" s="68"/>
      <c r="E974" s="68"/>
      <c r="F974" s="68"/>
      <c r="G974" s="68"/>
      <c r="H974" s="68"/>
      <c r="I974" s="69"/>
      <c r="J974" s="67"/>
      <c r="K974" s="67"/>
      <c r="L974" s="67"/>
      <c r="M974" s="67"/>
      <c r="N974" s="67"/>
      <c r="O974" s="67"/>
      <c r="P974" s="67"/>
      <c r="Q974" s="77"/>
      <c r="R974" s="68"/>
      <c r="S974" s="68"/>
      <c r="T974" s="67"/>
      <c r="U974" s="68"/>
      <c r="V974" s="68"/>
      <c r="W974" s="67"/>
      <c r="X974" s="67"/>
      <c r="Y974" s="67"/>
      <c r="Z974" s="67"/>
      <c r="AA974" s="67"/>
      <c r="AB974" s="67"/>
      <c r="AC974" s="67"/>
    </row>
    <row r="975">
      <c r="A975" s="66"/>
      <c r="B975" s="67"/>
      <c r="C975" s="67"/>
      <c r="D975" s="68"/>
      <c r="E975" s="68"/>
      <c r="F975" s="68"/>
      <c r="G975" s="68"/>
      <c r="H975" s="68"/>
      <c r="I975" s="69"/>
      <c r="J975" s="67"/>
      <c r="K975" s="67"/>
      <c r="L975" s="67"/>
      <c r="M975" s="67"/>
      <c r="N975" s="67"/>
      <c r="O975" s="67"/>
      <c r="P975" s="67"/>
      <c r="Q975" s="77"/>
      <c r="R975" s="68"/>
      <c r="S975" s="68"/>
      <c r="T975" s="67"/>
      <c r="U975" s="68"/>
      <c r="V975" s="68"/>
      <c r="W975" s="67"/>
      <c r="X975" s="67"/>
      <c r="Y975" s="67"/>
      <c r="Z975" s="67"/>
      <c r="AA975" s="67"/>
      <c r="AB975" s="67"/>
      <c r="AC975" s="67"/>
    </row>
    <row r="976">
      <c r="A976" s="66"/>
      <c r="B976" s="67"/>
      <c r="C976" s="67"/>
      <c r="D976" s="68"/>
      <c r="E976" s="68"/>
      <c r="F976" s="68"/>
      <c r="G976" s="68"/>
      <c r="H976" s="68"/>
      <c r="I976" s="69"/>
      <c r="J976" s="67"/>
      <c r="K976" s="67"/>
      <c r="L976" s="67"/>
      <c r="M976" s="67"/>
      <c r="N976" s="67"/>
      <c r="O976" s="67"/>
      <c r="P976" s="67"/>
      <c r="Q976" s="77"/>
      <c r="R976" s="68"/>
      <c r="S976" s="68"/>
      <c r="T976" s="67"/>
      <c r="U976" s="68"/>
      <c r="V976" s="68"/>
      <c r="W976" s="67"/>
      <c r="X976" s="67"/>
      <c r="Y976" s="67"/>
      <c r="Z976" s="67"/>
      <c r="AA976" s="67"/>
      <c r="AB976" s="67"/>
      <c r="AC976" s="67"/>
    </row>
    <row r="977">
      <c r="A977" s="66"/>
      <c r="B977" s="67"/>
      <c r="C977" s="67"/>
      <c r="D977" s="68"/>
      <c r="E977" s="68"/>
      <c r="F977" s="68"/>
      <c r="G977" s="68"/>
      <c r="H977" s="68"/>
      <c r="I977" s="69"/>
      <c r="J977" s="67"/>
      <c r="K977" s="67"/>
      <c r="L977" s="67"/>
      <c r="M977" s="67"/>
      <c r="N977" s="67"/>
      <c r="O977" s="67"/>
      <c r="P977" s="67"/>
      <c r="Q977" s="77"/>
      <c r="R977" s="68"/>
      <c r="S977" s="68"/>
      <c r="T977" s="67"/>
      <c r="U977" s="68"/>
      <c r="V977" s="68"/>
      <c r="W977" s="67"/>
      <c r="X977" s="67"/>
      <c r="Y977" s="67"/>
      <c r="Z977" s="67"/>
      <c r="AA977" s="67"/>
      <c r="AB977" s="67"/>
      <c r="AC977" s="67"/>
    </row>
    <row r="978">
      <c r="A978" s="66"/>
      <c r="B978" s="67"/>
      <c r="C978" s="67"/>
      <c r="D978" s="68"/>
      <c r="E978" s="68"/>
      <c r="F978" s="68"/>
      <c r="G978" s="68"/>
      <c r="H978" s="68"/>
      <c r="I978" s="69"/>
      <c r="J978" s="67"/>
      <c r="K978" s="67"/>
      <c r="L978" s="67"/>
      <c r="M978" s="67"/>
      <c r="N978" s="67"/>
      <c r="O978" s="67"/>
      <c r="P978" s="67"/>
      <c r="Q978" s="77"/>
      <c r="R978" s="68"/>
      <c r="S978" s="68"/>
      <c r="T978" s="67"/>
      <c r="U978" s="68"/>
      <c r="V978" s="68"/>
      <c r="W978" s="67"/>
      <c r="X978" s="67"/>
      <c r="Y978" s="67"/>
      <c r="Z978" s="67"/>
      <c r="AA978" s="67"/>
      <c r="AB978" s="67"/>
      <c r="AC978" s="67"/>
    </row>
    <row r="979">
      <c r="A979" s="66"/>
      <c r="B979" s="67"/>
      <c r="C979" s="67"/>
      <c r="D979" s="68"/>
      <c r="E979" s="68"/>
      <c r="F979" s="68"/>
      <c r="G979" s="68"/>
      <c r="H979" s="68"/>
      <c r="I979" s="69"/>
      <c r="J979" s="67"/>
      <c r="K979" s="67"/>
      <c r="L979" s="67"/>
      <c r="M979" s="67"/>
      <c r="N979" s="67"/>
      <c r="O979" s="67"/>
      <c r="P979" s="67"/>
      <c r="Q979" s="77"/>
      <c r="R979" s="68"/>
      <c r="S979" s="68"/>
      <c r="T979" s="67"/>
      <c r="U979" s="68"/>
      <c r="V979" s="68"/>
      <c r="W979" s="67"/>
      <c r="X979" s="67"/>
      <c r="Y979" s="67"/>
      <c r="Z979" s="67"/>
      <c r="AA979" s="67"/>
      <c r="AB979" s="67"/>
      <c r="AC979" s="67"/>
    </row>
    <row r="980">
      <c r="A980" s="66"/>
      <c r="B980" s="67"/>
      <c r="C980" s="67"/>
      <c r="D980" s="68"/>
      <c r="E980" s="68"/>
      <c r="F980" s="68"/>
      <c r="G980" s="68"/>
      <c r="H980" s="68"/>
      <c r="I980" s="69"/>
      <c r="J980" s="67"/>
      <c r="K980" s="67"/>
      <c r="L980" s="67"/>
      <c r="M980" s="67"/>
      <c r="N980" s="67"/>
      <c r="O980" s="67"/>
      <c r="P980" s="67"/>
      <c r="Q980" s="77"/>
      <c r="R980" s="68"/>
      <c r="S980" s="68"/>
      <c r="T980" s="67"/>
      <c r="U980" s="68"/>
      <c r="V980" s="68"/>
      <c r="W980" s="67"/>
      <c r="X980" s="67"/>
      <c r="Y980" s="67"/>
      <c r="Z980" s="67"/>
      <c r="AA980" s="67"/>
      <c r="AB980" s="67"/>
      <c r="AC980" s="67"/>
    </row>
    <row r="981">
      <c r="A981" s="66"/>
      <c r="B981" s="67"/>
      <c r="C981" s="67"/>
      <c r="D981" s="68"/>
      <c r="E981" s="68"/>
      <c r="F981" s="68"/>
      <c r="G981" s="68"/>
      <c r="H981" s="68"/>
      <c r="I981" s="69"/>
      <c r="J981" s="67"/>
      <c r="K981" s="67"/>
      <c r="L981" s="67"/>
      <c r="M981" s="67"/>
      <c r="N981" s="67"/>
      <c r="O981" s="67"/>
      <c r="P981" s="67"/>
      <c r="Q981" s="77"/>
      <c r="R981" s="68"/>
      <c r="S981" s="68"/>
      <c r="T981" s="67"/>
      <c r="U981" s="68"/>
      <c r="V981" s="68"/>
      <c r="W981" s="67"/>
      <c r="X981" s="67"/>
      <c r="Y981" s="67"/>
      <c r="Z981" s="67"/>
      <c r="AA981" s="67"/>
      <c r="AB981" s="67"/>
      <c r="AC981" s="67"/>
    </row>
    <row r="982">
      <c r="A982" s="66"/>
      <c r="B982" s="67"/>
      <c r="C982" s="67"/>
      <c r="D982" s="68"/>
      <c r="E982" s="68"/>
      <c r="F982" s="68"/>
      <c r="G982" s="68"/>
      <c r="H982" s="68"/>
      <c r="I982" s="69"/>
      <c r="J982" s="67"/>
      <c r="K982" s="67"/>
      <c r="L982" s="67"/>
      <c r="M982" s="67"/>
      <c r="N982" s="67"/>
      <c r="O982" s="67"/>
      <c r="P982" s="67"/>
      <c r="Q982" s="77"/>
      <c r="R982" s="68"/>
      <c r="S982" s="68"/>
      <c r="T982" s="67"/>
      <c r="U982" s="68"/>
      <c r="V982" s="68"/>
      <c r="W982" s="67"/>
      <c r="X982" s="67"/>
      <c r="Y982" s="67"/>
      <c r="Z982" s="67"/>
      <c r="AA982" s="67"/>
      <c r="AB982" s="67"/>
      <c r="AC982" s="67"/>
    </row>
    <row r="983">
      <c r="A983" s="66"/>
      <c r="B983" s="67"/>
      <c r="C983" s="67"/>
      <c r="D983" s="68"/>
      <c r="E983" s="68"/>
      <c r="F983" s="68"/>
      <c r="G983" s="68"/>
      <c r="H983" s="68"/>
      <c r="I983" s="69"/>
      <c r="J983" s="67"/>
      <c r="K983" s="67"/>
      <c r="L983" s="67"/>
      <c r="M983" s="67"/>
      <c r="N983" s="67"/>
      <c r="O983" s="67"/>
      <c r="P983" s="67"/>
      <c r="Q983" s="77"/>
      <c r="R983" s="68"/>
      <c r="S983" s="68"/>
      <c r="T983" s="67"/>
      <c r="U983" s="68"/>
      <c r="V983" s="68"/>
      <c r="W983" s="67"/>
      <c r="X983" s="67"/>
      <c r="Y983" s="67"/>
      <c r="Z983" s="67"/>
      <c r="AA983" s="67"/>
      <c r="AB983" s="67"/>
      <c r="AC983" s="67"/>
    </row>
    <row r="984">
      <c r="A984" s="66"/>
      <c r="B984" s="67"/>
      <c r="C984" s="67"/>
      <c r="D984" s="68"/>
      <c r="E984" s="68"/>
      <c r="F984" s="68"/>
      <c r="G984" s="68"/>
      <c r="H984" s="68"/>
      <c r="I984" s="69"/>
      <c r="J984" s="67"/>
      <c r="K984" s="67"/>
      <c r="L984" s="67"/>
      <c r="M984" s="67"/>
      <c r="N984" s="67"/>
      <c r="O984" s="67"/>
      <c r="P984" s="67"/>
      <c r="Q984" s="77"/>
      <c r="R984" s="68"/>
      <c r="S984" s="68"/>
      <c r="T984" s="67"/>
      <c r="U984" s="68"/>
      <c r="V984" s="68"/>
      <c r="W984" s="67"/>
      <c r="X984" s="67"/>
      <c r="Y984" s="67"/>
      <c r="Z984" s="67"/>
      <c r="AA984" s="67"/>
      <c r="AB984" s="67"/>
      <c r="AC984" s="67"/>
    </row>
    <row r="985">
      <c r="A985" s="66"/>
      <c r="B985" s="67"/>
      <c r="C985" s="67"/>
      <c r="D985" s="68"/>
      <c r="E985" s="68"/>
      <c r="F985" s="68"/>
      <c r="G985" s="68"/>
      <c r="H985" s="68"/>
      <c r="I985" s="69"/>
      <c r="J985" s="67"/>
      <c r="K985" s="67"/>
      <c r="L985" s="67"/>
      <c r="M985" s="67"/>
      <c r="N985" s="67"/>
      <c r="O985" s="67"/>
      <c r="P985" s="67"/>
      <c r="Q985" s="77"/>
      <c r="R985" s="68"/>
      <c r="S985" s="68"/>
      <c r="T985" s="67"/>
      <c r="U985" s="68"/>
      <c r="V985" s="68"/>
      <c r="W985" s="67"/>
      <c r="X985" s="67"/>
      <c r="Y985" s="67"/>
      <c r="Z985" s="67"/>
      <c r="AA985" s="67"/>
      <c r="AB985" s="67"/>
      <c r="AC985" s="67"/>
    </row>
    <row r="986">
      <c r="A986" s="66"/>
      <c r="B986" s="67"/>
      <c r="C986" s="67"/>
      <c r="D986" s="68"/>
      <c r="E986" s="68"/>
      <c r="F986" s="68"/>
      <c r="G986" s="68"/>
      <c r="H986" s="68"/>
      <c r="I986" s="69"/>
      <c r="J986" s="67"/>
      <c r="K986" s="67"/>
      <c r="L986" s="67"/>
      <c r="M986" s="67"/>
      <c r="N986" s="67"/>
      <c r="O986" s="67"/>
      <c r="P986" s="67"/>
      <c r="Q986" s="77"/>
      <c r="R986" s="68"/>
      <c r="S986" s="68"/>
      <c r="T986" s="67"/>
      <c r="U986" s="68"/>
      <c r="V986" s="68"/>
      <c r="W986" s="67"/>
      <c r="X986" s="67"/>
      <c r="Y986" s="67"/>
      <c r="Z986" s="67"/>
      <c r="AA986" s="67"/>
      <c r="AB986" s="67"/>
      <c r="AC986" s="67"/>
    </row>
    <row r="987">
      <c r="A987" s="66"/>
      <c r="B987" s="67"/>
      <c r="C987" s="67"/>
      <c r="D987" s="68"/>
      <c r="E987" s="68"/>
      <c r="F987" s="68"/>
      <c r="G987" s="68"/>
      <c r="H987" s="68"/>
      <c r="I987" s="69"/>
      <c r="J987" s="67"/>
      <c r="K987" s="67"/>
      <c r="L987" s="67"/>
      <c r="M987" s="67"/>
      <c r="N987" s="67"/>
      <c r="O987" s="67"/>
      <c r="P987" s="67"/>
      <c r="Q987" s="77"/>
      <c r="R987" s="68"/>
      <c r="S987" s="68"/>
      <c r="T987" s="67"/>
      <c r="U987" s="68"/>
      <c r="V987" s="68"/>
      <c r="W987" s="67"/>
      <c r="X987" s="67"/>
      <c r="Y987" s="67"/>
      <c r="Z987" s="67"/>
      <c r="AA987" s="67"/>
      <c r="AB987" s="67"/>
      <c r="AC987" s="67"/>
    </row>
    <row r="988">
      <c r="A988" s="66"/>
      <c r="B988" s="67"/>
      <c r="C988" s="67"/>
      <c r="D988" s="68"/>
      <c r="E988" s="68"/>
      <c r="F988" s="68"/>
      <c r="G988" s="68"/>
      <c r="H988" s="68"/>
      <c r="I988" s="69"/>
      <c r="J988" s="67"/>
      <c r="K988" s="67"/>
      <c r="L988" s="67"/>
      <c r="M988" s="67"/>
      <c r="N988" s="67"/>
      <c r="O988" s="67"/>
      <c r="P988" s="67"/>
      <c r="Q988" s="77"/>
      <c r="R988" s="68"/>
      <c r="S988" s="68"/>
      <c r="T988" s="67"/>
      <c r="U988" s="68"/>
      <c r="V988" s="68"/>
      <c r="W988" s="67"/>
      <c r="X988" s="67"/>
      <c r="Y988" s="67"/>
      <c r="Z988" s="67"/>
      <c r="AA988" s="67"/>
      <c r="AB988" s="67"/>
      <c r="AC988" s="67"/>
    </row>
    <row r="989">
      <c r="A989" s="66"/>
      <c r="B989" s="67"/>
      <c r="C989" s="67"/>
      <c r="D989" s="68"/>
      <c r="E989" s="68"/>
      <c r="F989" s="68"/>
      <c r="G989" s="68"/>
      <c r="H989" s="68"/>
      <c r="I989" s="69"/>
      <c r="J989" s="67"/>
      <c r="K989" s="67"/>
      <c r="L989" s="67"/>
      <c r="M989" s="67"/>
      <c r="N989" s="67"/>
      <c r="O989" s="67"/>
      <c r="P989" s="67"/>
      <c r="Q989" s="77"/>
      <c r="R989" s="68"/>
      <c r="S989" s="68"/>
      <c r="T989" s="67"/>
      <c r="U989" s="68"/>
      <c r="V989" s="68"/>
      <c r="W989" s="67"/>
      <c r="X989" s="67"/>
      <c r="Y989" s="67"/>
      <c r="Z989" s="67"/>
      <c r="AA989" s="67"/>
      <c r="AB989" s="67"/>
      <c r="AC989" s="67"/>
    </row>
    <row r="990">
      <c r="A990" s="66"/>
      <c r="B990" s="67"/>
      <c r="C990" s="67"/>
      <c r="D990" s="68"/>
      <c r="E990" s="68"/>
      <c r="F990" s="68"/>
      <c r="G990" s="68"/>
      <c r="H990" s="68"/>
      <c r="I990" s="69"/>
      <c r="J990" s="67"/>
      <c r="K990" s="67"/>
      <c r="L990" s="67"/>
      <c r="M990" s="67"/>
      <c r="N990" s="67"/>
      <c r="O990" s="67"/>
      <c r="P990" s="67"/>
      <c r="Q990" s="77"/>
      <c r="R990" s="68"/>
      <c r="S990" s="68"/>
      <c r="T990" s="67"/>
      <c r="U990" s="68"/>
      <c r="V990" s="68"/>
      <c r="W990" s="67"/>
      <c r="X990" s="67"/>
      <c r="Y990" s="67"/>
      <c r="Z990" s="67"/>
      <c r="AA990" s="67"/>
      <c r="AB990" s="67"/>
      <c r="AC990" s="67"/>
    </row>
    <row r="991">
      <c r="A991" s="66"/>
      <c r="B991" s="67"/>
      <c r="C991" s="67"/>
      <c r="D991" s="68"/>
      <c r="E991" s="68"/>
      <c r="F991" s="68"/>
      <c r="G991" s="68"/>
      <c r="H991" s="68"/>
      <c r="I991" s="69"/>
      <c r="J991" s="67"/>
      <c r="K991" s="67"/>
      <c r="L991" s="67"/>
      <c r="M991" s="67"/>
      <c r="N991" s="67"/>
      <c r="O991" s="67"/>
      <c r="P991" s="67"/>
      <c r="Q991" s="77"/>
      <c r="R991" s="68"/>
      <c r="S991" s="68"/>
      <c r="T991" s="67"/>
      <c r="U991" s="68"/>
      <c r="V991" s="68"/>
      <c r="W991" s="67"/>
      <c r="X991" s="67"/>
      <c r="Y991" s="67"/>
      <c r="Z991" s="67"/>
      <c r="AA991" s="67"/>
      <c r="AB991" s="67"/>
      <c r="AC991" s="67"/>
    </row>
    <row r="992">
      <c r="A992" s="66"/>
      <c r="B992" s="67"/>
      <c r="C992" s="67"/>
      <c r="D992" s="68"/>
      <c r="E992" s="68"/>
      <c r="F992" s="68"/>
      <c r="G992" s="68"/>
      <c r="H992" s="68"/>
      <c r="I992" s="69"/>
      <c r="J992" s="67"/>
      <c r="K992" s="67"/>
      <c r="L992" s="67"/>
      <c r="M992" s="67"/>
      <c r="N992" s="67"/>
      <c r="O992" s="67"/>
      <c r="P992" s="67"/>
      <c r="Q992" s="77"/>
      <c r="R992" s="68"/>
      <c r="S992" s="68"/>
      <c r="T992" s="67"/>
      <c r="U992" s="68"/>
      <c r="V992" s="68"/>
      <c r="W992" s="67"/>
      <c r="X992" s="67"/>
      <c r="Y992" s="67"/>
      <c r="Z992" s="67"/>
      <c r="AA992" s="67"/>
      <c r="AB992" s="67"/>
      <c r="AC992" s="67"/>
    </row>
    <row r="993">
      <c r="A993" s="66"/>
      <c r="B993" s="67"/>
      <c r="C993" s="67"/>
      <c r="D993" s="68"/>
      <c r="E993" s="68"/>
      <c r="F993" s="68"/>
      <c r="G993" s="68"/>
      <c r="H993" s="68"/>
      <c r="I993" s="69"/>
      <c r="J993" s="67"/>
      <c r="K993" s="67"/>
      <c r="L993" s="67"/>
      <c r="M993" s="67"/>
      <c r="N993" s="67"/>
      <c r="O993" s="67"/>
      <c r="P993" s="67"/>
      <c r="Q993" s="77"/>
      <c r="R993" s="68"/>
      <c r="S993" s="68"/>
      <c r="T993" s="67"/>
      <c r="U993" s="68"/>
      <c r="V993" s="68"/>
      <c r="W993" s="67"/>
      <c r="X993" s="67"/>
      <c r="Y993" s="67"/>
      <c r="Z993" s="67"/>
      <c r="AA993" s="67"/>
      <c r="AB993" s="67"/>
      <c r="AC993" s="67"/>
    </row>
    <row r="994">
      <c r="A994" s="66"/>
      <c r="B994" s="67"/>
      <c r="C994" s="67"/>
      <c r="D994" s="68"/>
      <c r="E994" s="68"/>
      <c r="F994" s="68"/>
      <c r="G994" s="68"/>
      <c r="H994" s="68"/>
      <c r="I994" s="69"/>
      <c r="J994" s="67"/>
      <c r="K994" s="67"/>
      <c r="L994" s="67"/>
      <c r="M994" s="67"/>
      <c r="N994" s="67"/>
      <c r="O994" s="67"/>
      <c r="P994" s="67"/>
      <c r="Q994" s="77"/>
      <c r="R994" s="68"/>
      <c r="S994" s="68"/>
      <c r="T994" s="67"/>
      <c r="U994" s="68"/>
      <c r="V994" s="68"/>
      <c r="W994" s="67"/>
      <c r="X994" s="67"/>
      <c r="Y994" s="67"/>
      <c r="Z994" s="67"/>
      <c r="AA994" s="67"/>
      <c r="AB994" s="67"/>
      <c r="AC994" s="67"/>
    </row>
    <row r="995">
      <c r="A995" s="66"/>
      <c r="B995" s="67"/>
      <c r="C995" s="67"/>
      <c r="D995" s="68"/>
      <c r="E995" s="68"/>
      <c r="F995" s="68"/>
      <c r="G995" s="68"/>
      <c r="H995" s="68"/>
      <c r="I995" s="69"/>
      <c r="J995" s="67"/>
      <c r="K995" s="67"/>
      <c r="L995" s="67"/>
      <c r="M995" s="67"/>
      <c r="N995" s="67"/>
      <c r="O995" s="67"/>
      <c r="P995" s="67"/>
      <c r="Q995" s="77"/>
      <c r="R995" s="68"/>
      <c r="S995" s="68"/>
      <c r="T995" s="67"/>
      <c r="U995" s="68"/>
      <c r="V995" s="68"/>
      <c r="W995" s="67"/>
      <c r="X995" s="67"/>
      <c r="Y995" s="67"/>
      <c r="Z995" s="67"/>
      <c r="AA995" s="67"/>
      <c r="AB995" s="67"/>
      <c r="AC995" s="67"/>
    </row>
    <row r="996">
      <c r="A996" s="66"/>
      <c r="B996" s="67"/>
      <c r="C996" s="67"/>
      <c r="D996" s="68"/>
      <c r="E996" s="68"/>
      <c r="F996" s="68"/>
      <c r="G996" s="68"/>
      <c r="H996" s="68"/>
      <c r="I996" s="69"/>
      <c r="J996" s="67"/>
      <c r="K996" s="67"/>
      <c r="L996" s="67"/>
      <c r="M996" s="67"/>
      <c r="N996" s="67"/>
      <c r="O996" s="67"/>
      <c r="P996" s="67"/>
      <c r="Q996" s="77"/>
      <c r="R996" s="68"/>
      <c r="S996" s="68"/>
      <c r="T996" s="67"/>
      <c r="U996" s="68"/>
      <c r="V996" s="68"/>
      <c r="W996" s="67"/>
      <c r="X996" s="67"/>
      <c r="Y996" s="67"/>
      <c r="Z996" s="67"/>
      <c r="AA996" s="67"/>
      <c r="AB996" s="67"/>
      <c r="AC996" s="67"/>
    </row>
    <row r="997">
      <c r="A997" s="66"/>
      <c r="B997" s="67"/>
      <c r="C997" s="67"/>
      <c r="D997" s="68"/>
      <c r="E997" s="68"/>
      <c r="F997" s="68"/>
      <c r="G997" s="68"/>
      <c r="H997" s="68"/>
      <c r="I997" s="69"/>
      <c r="J997" s="67"/>
      <c r="K997" s="67"/>
      <c r="L997" s="67"/>
      <c r="M997" s="67"/>
      <c r="N997" s="67"/>
      <c r="O997" s="67"/>
      <c r="P997" s="67"/>
      <c r="Q997" s="77"/>
      <c r="R997" s="68"/>
      <c r="S997" s="68"/>
      <c r="T997" s="67"/>
      <c r="U997" s="68"/>
      <c r="V997" s="68"/>
      <c r="W997" s="67"/>
      <c r="X997" s="67"/>
      <c r="Y997" s="67"/>
      <c r="Z997" s="67"/>
      <c r="AA997" s="67"/>
      <c r="AB997" s="67"/>
      <c r="AC997" s="67"/>
    </row>
    <row r="998">
      <c r="A998" s="66"/>
      <c r="B998" s="67"/>
      <c r="C998" s="67"/>
      <c r="D998" s="68"/>
      <c r="E998" s="68"/>
      <c r="F998" s="68"/>
      <c r="G998" s="68"/>
      <c r="H998" s="68"/>
      <c r="I998" s="69"/>
      <c r="J998" s="67"/>
      <c r="K998" s="67"/>
      <c r="L998" s="67"/>
      <c r="M998" s="67"/>
      <c r="N998" s="67"/>
      <c r="O998" s="67"/>
      <c r="P998" s="67"/>
      <c r="Q998" s="77"/>
      <c r="R998" s="68"/>
      <c r="S998" s="68"/>
      <c r="T998" s="67"/>
      <c r="U998" s="68"/>
      <c r="V998" s="68"/>
      <c r="W998" s="67"/>
      <c r="X998" s="67"/>
      <c r="Y998" s="67"/>
      <c r="Z998" s="67"/>
      <c r="AA998" s="67"/>
      <c r="AB998" s="67"/>
      <c r="AC998" s="67"/>
    </row>
    <row r="999">
      <c r="A999" s="66"/>
      <c r="B999" s="67"/>
      <c r="C999" s="67"/>
      <c r="D999" s="68"/>
      <c r="E999" s="68"/>
      <c r="F999" s="68"/>
      <c r="G999" s="68"/>
      <c r="H999" s="68"/>
      <c r="I999" s="69"/>
      <c r="J999" s="67"/>
      <c r="K999" s="67"/>
      <c r="L999" s="67"/>
      <c r="M999" s="67"/>
      <c r="N999" s="67"/>
      <c r="O999" s="67"/>
      <c r="P999" s="67"/>
      <c r="Q999" s="77"/>
      <c r="R999" s="68"/>
      <c r="S999" s="68"/>
      <c r="T999" s="67"/>
      <c r="U999" s="68"/>
      <c r="V999" s="68"/>
      <c r="W999" s="67"/>
      <c r="X999" s="67"/>
      <c r="Y999" s="67"/>
      <c r="Z999" s="67"/>
      <c r="AA999" s="67"/>
      <c r="AB999" s="67"/>
      <c r="AC999" s="67"/>
    </row>
    <row r="1000">
      <c r="A1000" s="66"/>
      <c r="B1000" s="67"/>
      <c r="C1000" s="67"/>
      <c r="D1000" s="68"/>
      <c r="E1000" s="68"/>
      <c r="F1000" s="68"/>
      <c r="G1000" s="68"/>
      <c r="H1000" s="68"/>
      <c r="I1000" s="69"/>
      <c r="J1000" s="67"/>
      <c r="K1000" s="67"/>
      <c r="L1000" s="67"/>
      <c r="M1000" s="67"/>
      <c r="N1000" s="67"/>
      <c r="O1000" s="67"/>
      <c r="P1000" s="67"/>
      <c r="Q1000" s="77"/>
      <c r="R1000" s="68"/>
      <c r="S1000" s="68"/>
      <c r="T1000" s="67"/>
      <c r="U1000" s="68"/>
      <c r="V1000" s="68"/>
      <c r="W1000" s="67"/>
      <c r="X1000" s="67"/>
      <c r="Y1000" s="67"/>
      <c r="Z1000" s="67"/>
      <c r="AA1000" s="67"/>
      <c r="AB1000" s="67"/>
      <c r="AC1000" s="67"/>
    </row>
    <row r="1001">
      <c r="A1001" s="66"/>
      <c r="B1001" s="67"/>
      <c r="C1001" s="67"/>
      <c r="D1001" s="68"/>
      <c r="E1001" s="68"/>
      <c r="F1001" s="68"/>
      <c r="G1001" s="68"/>
      <c r="H1001" s="68"/>
      <c r="I1001" s="69"/>
      <c r="J1001" s="67"/>
      <c r="K1001" s="67"/>
      <c r="L1001" s="67"/>
      <c r="M1001" s="67"/>
      <c r="N1001" s="67"/>
      <c r="O1001" s="67"/>
      <c r="P1001" s="67"/>
      <c r="Q1001" s="77"/>
      <c r="R1001" s="68"/>
      <c r="S1001" s="68"/>
      <c r="T1001" s="67"/>
      <c r="U1001" s="68"/>
      <c r="V1001" s="68"/>
      <c r="W1001" s="67"/>
      <c r="X1001" s="67"/>
      <c r="Y1001" s="67"/>
      <c r="Z1001" s="67"/>
      <c r="AA1001" s="67"/>
      <c r="AB1001" s="67"/>
      <c r="AC1001" s="67"/>
    </row>
    <row r="1002">
      <c r="A1002" s="66"/>
      <c r="B1002" s="67"/>
      <c r="C1002" s="67"/>
      <c r="D1002" s="68"/>
      <c r="E1002" s="68"/>
      <c r="F1002" s="68"/>
      <c r="G1002" s="68"/>
      <c r="H1002" s="68"/>
      <c r="I1002" s="69"/>
      <c r="J1002" s="67"/>
      <c r="K1002" s="67"/>
      <c r="L1002" s="67"/>
      <c r="M1002" s="67"/>
      <c r="N1002" s="67"/>
      <c r="O1002" s="67"/>
      <c r="P1002" s="67"/>
      <c r="Q1002" s="77"/>
      <c r="R1002" s="68"/>
      <c r="S1002" s="68"/>
      <c r="T1002" s="67"/>
      <c r="U1002" s="68"/>
      <c r="V1002" s="68"/>
      <c r="W1002" s="67"/>
      <c r="X1002" s="67"/>
      <c r="Y1002" s="67"/>
      <c r="Z1002" s="67"/>
      <c r="AA1002" s="67"/>
      <c r="AB1002" s="67"/>
      <c r="AC1002" s="67"/>
    </row>
    <row r="1003">
      <c r="A1003" s="66"/>
      <c r="B1003" s="67"/>
      <c r="C1003" s="67"/>
      <c r="D1003" s="68"/>
      <c r="E1003" s="68"/>
      <c r="F1003" s="68"/>
      <c r="G1003" s="68"/>
      <c r="H1003" s="68"/>
      <c r="I1003" s="69"/>
      <c r="J1003" s="67"/>
      <c r="K1003" s="67"/>
      <c r="L1003" s="67"/>
      <c r="M1003" s="67"/>
      <c r="N1003" s="67"/>
      <c r="O1003" s="67"/>
      <c r="P1003" s="67"/>
      <c r="Q1003" s="77"/>
      <c r="R1003" s="68"/>
      <c r="S1003" s="68"/>
      <c r="T1003" s="67"/>
      <c r="U1003" s="68"/>
      <c r="V1003" s="68"/>
      <c r="W1003" s="67"/>
      <c r="X1003" s="67"/>
      <c r="Y1003" s="67"/>
      <c r="Z1003" s="67"/>
      <c r="AA1003" s="67"/>
      <c r="AB1003" s="67"/>
      <c r="AC1003" s="67"/>
    </row>
    <row r="1004">
      <c r="A1004" s="66"/>
      <c r="B1004" s="67"/>
      <c r="C1004" s="67"/>
      <c r="D1004" s="68"/>
      <c r="E1004" s="68"/>
      <c r="F1004" s="68"/>
      <c r="G1004" s="68"/>
      <c r="H1004" s="68"/>
      <c r="I1004" s="69"/>
      <c r="J1004" s="67"/>
      <c r="K1004" s="67"/>
      <c r="L1004" s="67"/>
      <c r="M1004" s="67"/>
      <c r="N1004" s="67"/>
      <c r="O1004" s="67"/>
      <c r="P1004" s="67"/>
      <c r="Q1004" s="77"/>
      <c r="R1004" s="68"/>
      <c r="S1004" s="68"/>
      <c r="T1004" s="67"/>
      <c r="U1004" s="68"/>
      <c r="V1004" s="68"/>
      <c r="W1004" s="67"/>
      <c r="X1004" s="67"/>
      <c r="Y1004" s="67"/>
      <c r="Z1004" s="67"/>
      <c r="AA1004" s="67"/>
      <c r="AB1004" s="67"/>
      <c r="AC1004" s="67"/>
    </row>
    <row r="1005">
      <c r="A1005" s="66"/>
      <c r="B1005" s="67"/>
      <c r="C1005" s="67"/>
      <c r="D1005" s="68"/>
      <c r="E1005" s="68"/>
      <c r="F1005" s="68"/>
      <c r="G1005" s="68"/>
      <c r="H1005" s="68"/>
      <c r="I1005" s="69"/>
      <c r="J1005" s="67"/>
      <c r="K1005" s="67"/>
      <c r="L1005" s="67"/>
      <c r="M1005" s="67"/>
      <c r="N1005" s="67"/>
      <c r="O1005" s="67"/>
      <c r="P1005" s="67"/>
      <c r="Q1005" s="77"/>
      <c r="R1005" s="68"/>
      <c r="S1005" s="68"/>
      <c r="T1005" s="67"/>
      <c r="U1005" s="68"/>
      <c r="V1005" s="68"/>
      <c r="W1005" s="67"/>
      <c r="X1005" s="67"/>
      <c r="Y1005" s="67"/>
      <c r="Z1005" s="67"/>
      <c r="AA1005" s="67"/>
      <c r="AB1005" s="67"/>
      <c r="AC1005" s="67"/>
    </row>
    <row r="1006">
      <c r="A1006" s="66"/>
      <c r="B1006" s="67"/>
      <c r="C1006" s="67"/>
      <c r="D1006" s="68"/>
      <c r="E1006" s="68"/>
      <c r="F1006" s="68"/>
      <c r="G1006" s="68"/>
      <c r="H1006" s="68"/>
      <c r="I1006" s="69"/>
      <c r="J1006" s="67"/>
      <c r="K1006" s="67"/>
      <c r="L1006" s="67"/>
      <c r="M1006" s="67"/>
      <c r="N1006" s="67"/>
      <c r="O1006" s="67"/>
      <c r="P1006" s="67"/>
      <c r="Q1006" s="77"/>
      <c r="R1006" s="68"/>
      <c r="S1006" s="68"/>
      <c r="T1006" s="67"/>
      <c r="U1006" s="68"/>
      <c r="V1006" s="68"/>
      <c r="W1006" s="67"/>
      <c r="X1006" s="67"/>
      <c r="Y1006" s="67"/>
      <c r="Z1006" s="67"/>
      <c r="AA1006" s="67"/>
      <c r="AB1006" s="67"/>
      <c r="AC1006" s="67"/>
    </row>
    <row r="1007">
      <c r="A1007" s="66"/>
      <c r="B1007" s="67"/>
      <c r="C1007" s="67"/>
      <c r="D1007" s="68"/>
      <c r="E1007" s="68"/>
      <c r="F1007" s="68"/>
      <c r="G1007" s="68"/>
      <c r="H1007" s="68"/>
      <c r="I1007" s="69"/>
      <c r="J1007" s="67"/>
      <c r="K1007" s="67"/>
      <c r="L1007" s="67"/>
      <c r="M1007" s="67"/>
      <c r="N1007" s="67"/>
      <c r="O1007" s="67"/>
      <c r="P1007" s="67"/>
      <c r="Q1007" s="77"/>
      <c r="R1007" s="68"/>
      <c r="S1007" s="68"/>
      <c r="T1007" s="67"/>
      <c r="U1007" s="68"/>
      <c r="V1007" s="68"/>
      <c r="W1007" s="67"/>
      <c r="X1007" s="67"/>
      <c r="Y1007" s="67"/>
      <c r="Z1007" s="67"/>
      <c r="AA1007" s="67"/>
      <c r="AB1007" s="67"/>
      <c r="AC1007" s="67"/>
    </row>
    <row r="1008">
      <c r="A1008" s="66"/>
      <c r="B1008" s="67"/>
      <c r="C1008" s="67"/>
      <c r="D1008" s="68"/>
      <c r="E1008" s="68"/>
      <c r="F1008" s="68"/>
      <c r="G1008" s="68"/>
      <c r="H1008" s="68"/>
      <c r="I1008" s="69"/>
      <c r="J1008" s="67"/>
      <c r="K1008" s="67"/>
      <c r="L1008" s="67"/>
      <c r="M1008" s="67"/>
      <c r="N1008" s="67"/>
      <c r="O1008" s="67"/>
      <c r="P1008" s="67"/>
      <c r="Q1008" s="77"/>
      <c r="R1008" s="68"/>
      <c r="S1008" s="68"/>
      <c r="T1008" s="67"/>
      <c r="U1008" s="68"/>
      <c r="V1008" s="68"/>
      <c r="W1008" s="67"/>
      <c r="X1008" s="67"/>
      <c r="Y1008" s="67"/>
      <c r="Z1008" s="67"/>
      <c r="AA1008" s="67"/>
      <c r="AB1008" s="67"/>
      <c r="AC1008" s="67"/>
    </row>
    <row r="1009">
      <c r="A1009" s="66"/>
      <c r="B1009" s="67"/>
      <c r="C1009" s="67"/>
      <c r="D1009" s="68"/>
      <c r="E1009" s="68"/>
      <c r="F1009" s="68"/>
      <c r="G1009" s="68"/>
      <c r="H1009" s="68"/>
      <c r="I1009" s="69"/>
      <c r="J1009" s="67"/>
      <c r="K1009" s="67"/>
      <c r="L1009" s="67"/>
      <c r="M1009" s="67"/>
      <c r="N1009" s="67"/>
      <c r="O1009" s="67"/>
      <c r="P1009" s="67"/>
      <c r="Q1009" s="77"/>
      <c r="R1009" s="68"/>
      <c r="S1009" s="68"/>
      <c r="T1009" s="67"/>
      <c r="U1009" s="68"/>
      <c r="V1009" s="68"/>
      <c r="W1009" s="67"/>
      <c r="X1009" s="67"/>
      <c r="Y1009" s="67"/>
      <c r="Z1009" s="67"/>
      <c r="AA1009" s="67"/>
      <c r="AB1009" s="67"/>
      <c r="AC1009" s="67"/>
    </row>
    <row r="1010">
      <c r="A1010" s="66"/>
      <c r="B1010" s="67"/>
      <c r="C1010" s="67"/>
      <c r="D1010" s="68"/>
      <c r="E1010" s="68"/>
      <c r="F1010" s="68"/>
      <c r="G1010" s="68"/>
      <c r="H1010" s="68"/>
      <c r="I1010" s="69"/>
      <c r="J1010" s="67"/>
      <c r="K1010" s="67"/>
      <c r="L1010" s="67"/>
      <c r="M1010" s="67"/>
      <c r="N1010" s="67"/>
      <c r="O1010" s="67"/>
      <c r="P1010" s="67"/>
      <c r="Q1010" s="77"/>
      <c r="R1010" s="68"/>
      <c r="S1010" s="68"/>
      <c r="T1010" s="67"/>
      <c r="U1010" s="68"/>
      <c r="V1010" s="68"/>
      <c r="W1010" s="67"/>
      <c r="X1010" s="67"/>
      <c r="Y1010" s="67"/>
      <c r="Z1010" s="67"/>
      <c r="AA1010" s="67"/>
      <c r="AB1010" s="67"/>
      <c r="AC1010" s="67"/>
    </row>
    <row r="1011">
      <c r="A1011" s="66"/>
      <c r="B1011" s="67"/>
      <c r="C1011" s="67"/>
      <c r="D1011" s="68"/>
      <c r="E1011" s="68"/>
      <c r="F1011" s="68"/>
      <c r="G1011" s="68"/>
      <c r="H1011" s="68"/>
      <c r="I1011" s="69"/>
      <c r="J1011" s="67"/>
      <c r="K1011" s="67"/>
      <c r="L1011" s="67"/>
      <c r="M1011" s="67"/>
      <c r="N1011" s="67"/>
      <c r="O1011" s="67"/>
      <c r="P1011" s="67"/>
      <c r="Q1011" s="77"/>
      <c r="R1011" s="68"/>
      <c r="S1011" s="68"/>
      <c r="T1011" s="67"/>
      <c r="U1011" s="68"/>
      <c r="V1011" s="68"/>
      <c r="W1011" s="67"/>
      <c r="X1011" s="67"/>
      <c r="Y1011" s="67"/>
      <c r="Z1011" s="67"/>
      <c r="AA1011" s="67"/>
      <c r="AB1011" s="67"/>
      <c r="AC1011" s="67"/>
    </row>
    <row r="1012">
      <c r="A1012" s="66"/>
      <c r="B1012" s="67"/>
      <c r="C1012" s="67"/>
      <c r="D1012" s="68"/>
      <c r="E1012" s="68"/>
      <c r="F1012" s="68"/>
      <c r="G1012" s="68"/>
      <c r="H1012" s="68"/>
      <c r="I1012" s="69"/>
      <c r="J1012" s="67"/>
      <c r="K1012" s="67"/>
      <c r="L1012" s="67"/>
      <c r="M1012" s="67"/>
      <c r="N1012" s="67"/>
      <c r="O1012" s="67"/>
      <c r="P1012" s="67"/>
      <c r="Q1012" s="77"/>
      <c r="R1012" s="68"/>
      <c r="S1012" s="68"/>
      <c r="T1012" s="67"/>
      <c r="U1012" s="68"/>
      <c r="V1012" s="68"/>
      <c r="W1012" s="67"/>
      <c r="X1012" s="67"/>
      <c r="Y1012" s="67"/>
      <c r="Z1012" s="67"/>
      <c r="AA1012" s="67"/>
      <c r="AB1012" s="67"/>
      <c r="AC1012" s="67"/>
    </row>
    <row r="1013">
      <c r="A1013" s="66"/>
      <c r="B1013" s="67"/>
      <c r="C1013" s="67"/>
      <c r="D1013" s="68"/>
      <c r="E1013" s="68"/>
      <c r="F1013" s="68"/>
      <c r="G1013" s="68"/>
      <c r="H1013" s="68"/>
      <c r="I1013" s="69"/>
      <c r="J1013" s="67"/>
      <c r="K1013" s="67"/>
      <c r="L1013" s="67"/>
      <c r="M1013" s="67"/>
      <c r="N1013" s="67"/>
      <c r="O1013" s="67"/>
      <c r="P1013" s="67"/>
      <c r="Q1013" s="77"/>
      <c r="R1013" s="68"/>
      <c r="S1013" s="68"/>
      <c r="T1013" s="67"/>
      <c r="U1013" s="68"/>
      <c r="V1013" s="68"/>
      <c r="W1013" s="67"/>
      <c r="X1013" s="67"/>
      <c r="Y1013" s="67"/>
      <c r="Z1013" s="67"/>
      <c r="AA1013" s="67"/>
      <c r="AB1013" s="67"/>
      <c r="AC1013" s="67"/>
    </row>
    <row r="1014">
      <c r="A1014" s="66"/>
      <c r="B1014" s="67"/>
      <c r="C1014" s="67"/>
      <c r="D1014" s="68"/>
      <c r="E1014" s="68"/>
      <c r="F1014" s="68"/>
      <c r="G1014" s="68"/>
      <c r="H1014" s="68"/>
      <c r="I1014" s="69"/>
      <c r="J1014" s="67"/>
      <c r="K1014" s="67"/>
      <c r="L1014" s="67"/>
      <c r="M1014" s="67"/>
      <c r="N1014" s="67"/>
      <c r="O1014" s="67"/>
      <c r="P1014" s="67"/>
      <c r="Q1014" s="77"/>
      <c r="R1014" s="68"/>
      <c r="S1014" s="68"/>
      <c r="T1014" s="67"/>
      <c r="U1014" s="68"/>
      <c r="V1014" s="68"/>
      <c r="W1014" s="67"/>
      <c r="X1014" s="67"/>
      <c r="Y1014" s="67"/>
      <c r="Z1014" s="67"/>
      <c r="AA1014" s="67"/>
      <c r="AB1014" s="67"/>
      <c r="AC1014" s="67"/>
    </row>
    <row r="1015">
      <c r="A1015" s="66"/>
      <c r="B1015" s="67"/>
      <c r="C1015" s="67"/>
      <c r="D1015" s="68"/>
      <c r="E1015" s="68"/>
      <c r="F1015" s="68"/>
      <c r="G1015" s="68"/>
      <c r="H1015" s="68"/>
      <c r="I1015" s="69"/>
      <c r="J1015" s="67"/>
      <c r="K1015" s="67"/>
      <c r="L1015" s="67"/>
      <c r="M1015" s="67"/>
      <c r="N1015" s="67"/>
      <c r="O1015" s="67"/>
      <c r="P1015" s="67"/>
      <c r="Q1015" s="77"/>
      <c r="R1015" s="68"/>
      <c r="S1015" s="68"/>
      <c r="T1015" s="67"/>
      <c r="U1015" s="68"/>
      <c r="V1015" s="68"/>
      <c r="W1015" s="67"/>
      <c r="X1015" s="67"/>
      <c r="Y1015" s="67"/>
      <c r="Z1015" s="67"/>
      <c r="AA1015" s="67"/>
      <c r="AB1015" s="67"/>
      <c r="AC1015" s="67"/>
    </row>
    <row r="1016">
      <c r="A1016" s="66"/>
      <c r="B1016" s="67"/>
      <c r="C1016" s="67"/>
      <c r="D1016" s="68"/>
      <c r="E1016" s="68"/>
      <c r="F1016" s="68"/>
      <c r="G1016" s="68"/>
      <c r="H1016" s="68"/>
      <c r="I1016" s="69"/>
      <c r="J1016" s="67"/>
      <c r="K1016" s="67"/>
      <c r="L1016" s="67"/>
      <c r="M1016" s="67"/>
      <c r="N1016" s="67"/>
      <c r="O1016" s="67"/>
      <c r="P1016" s="67"/>
      <c r="Q1016" s="77"/>
      <c r="R1016" s="68"/>
      <c r="S1016" s="68"/>
      <c r="T1016" s="67"/>
      <c r="U1016" s="68"/>
      <c r="V1016" s="68"/>
      <c r="W1016" s="67"/>
      <c r="X1016" s="67"/>
      <c r="Y1016" s="67"/>
      <c r="Z1016" s="67"/>
      <c r="AA1016" s="67"/>
      <c r="AB1016" s="67"/>
      <c r="AC1016" s="67"/>
    </row>
    <row r="1017">
      <c r="A1017" s="66"/>
      <c r="B1017" s="67"/>
      <c r="C1017" s="67"/>
      <c r="D1017" s="68"/>
      <c r="E1017" s="68"/>
      <c r="F1017" s="68"/>
      <c r="G1017" s="68"/>
      <c r="H1017" s="68"/>
      <c r="I1017" s="69"/>
      <c r="J1017" s="67"/>
      <c r="K1017" s="67"/>
      <c r="L1017" s="67"/>
      <c r="M1017" s="67"/>
      <c r="N1017" s="67"/>
      <c r="O1017" s="67"/>
      <c r="P1017" s="67"/>
      <c r="Q1017" s="77"/>
      <c r="R1017" s="68"/>
      <c r="S1017" s="68"/>
      <c r="T1017" s="67"/>
      <c r="U1017" s="68"/>
      <c r="V1017" s="68"/>
      <c r="W1017" s="67"/>
      <c r="X1017" s="67"/>
      <c r="Y1017" s="67"/>
      <c r="Z1017" s="67"/>
      <c r="AA1017" s="67"/>
      <c r="AB1017" s="67"/>
      <c r="AC1017" s="67"/>
    </row>
    <row r="1018">
      <c r="A1018" s="66"/>
      <c r="B1018" s="67"/>
      <c r="C1018" s="67"/>
      <c r="D1018" s="68"/>
      <c r="E1018" s="68"/>
      <c r="F1018" s="68"/>
      <c r="G1018" s="68"/>
      <c r="H1018" s="68"/>
      <c r="I1018" s="69"/>
      <c r="J1018" s="67"/>
      <c r="K1018" s="67"/>
      <c r="L1018" s="67"/>
      <c r="M1018" s="67"/>
      <c r="N1018" s="67"/>
      <c r="O1018" s="67"/>
      <c r="P1018" s="67"/>
      <c r="Q1018" s="77"/>
      <c r="R1018" s="68"/>
      <c r="S1018" s="68"/>
      <c r="T1018" s="67"/>
      <c r="U1018" s="68"/>
      <c r="V1018" s="68"/>
      <c r="W1018" s="67"/>
      <c r="X1018" s="67"/>
      <c r="Y1018" s="67"/>
      <c r="Z1018" s="67"/>
      <c r="AA1018" s="67"/>
      <c r="AB1018" s="67"/>
      <c r="AC1018" s="67"/>
    </row>
    <row r="1019">
      <c r="A1019" s="66"/>
      <c r="B1019" s="67"/>
      <c r="C1019" s="67"/>
      <c r="D1019" s="68"/>
      <c r="E1019" s="68"/>
      <c r="F1019" s="68"/>
      <c r="G1019" s="68"/>
      <c r="H1019" s="68"/>
      <c r="I1019" s="69"/>
      <c r="J1019" s="67"/>
      <c r="K1019" s="67"/>
      <c r="L1019" s="67"/>
      <c r="M1019" s="67"/>
      <c r="N1019" s="67"/>
      <c r="O1019" s="67"/>
      <c r="P1019" s="67"/>
      <c r="Q1019" s="77"/>
      <c r="R1019" s="68"/>
      <c r="S1019" s="68"/>
      <c r="T1019" s="67"/>
      <c r="U1019" s="68"/>
      <c r="V1019" s="68"/>
      <c r="W1019" s="67"/>
      <c r="X1019" s="67"/>
      <c r="Y1019" s="67"/>
      <c r="Z1019" s="67"/>
      <c r="AA1019" s="67"/>
      <c r="AB1019" s="67"/>
      <c r="AC1019" s="67"/>
    </row>
    <row r="1020">
      <c r="A1020" s="66"/>
      <c r="B1020" s="67"/>
      <c r="C1020" s="67"/>
      <c r="D1020" s="68"/>
      <c r="E1020" s="68"/>
      <c r="F1020" s="68"/>
      <c r="G1020" s="68"/>
      <c r="H1020" s="68"/>
      <c r="I1020" s="69"/>
      <c r="J1020" s="67"/>
      <c r="K1020" s="67"/>
      <c r="L1020" s="67"/>
      <c r="M1020" s="67"/>
      <c r="N1020" s="67"/>
      <c r="O1020" s="67"/>
      <c r="P1020" s="67"/>
      <c r="Q1020" s="77"/>
      <c r="R1020" s="68"/>
      <c r="S1020" s="68"/>
      <c r="T1020" s="67"/>
      <c r="U1020" s="68"/>
      <c r="V1020" s="68"/>
      <c r="W1020" s="67"/>
      <c r="X1020" s="67"/>
      <c r="Y1020" s="67"/>
      <c r="Z1020" s="67"/>
      <c r="AA1020" s="67"/>
      <c r="AB1020" s="67"/>
      <c r="AC1020" s="67"/>
    </row>
    <row r="1021">
      <c r="A1021" s="66"/>
      <c r="B1021" s="67"/>
      <c r="C1021" s="67"/>
      <c r="D1021" s="68"/>
      <c r="E1021" s="68"/>
      <c r="F1021" s="68"/>
      <c r="G1021" s="68"/>
      <c r="H1021" s="68"/>
      <c r="I1021" s="69"/>
      <c r="J1021" s="67"/>
      <c r="K1021" s="67"/>
      <c r="L1021" s="67"/>
      <c r="M1021" s="67"/>
      <c r="N1021" s="67"/>
      <c r="O1021" s="67"/>
      <c r="P1021" s="67"/>
      <c r="Q1021" s="77"/>
      <c r="R1021" s="68"/>
      <c r="S1021" s="68"/>
      <c r="T1021" s="67"/>
      <c r="U1021" s="68"/>
      <c r="V1021" s="68"/>
      <c r="W1021" s="67"/>
      <c r="X1021" s="67"/>
      <c r="Y1021" s="67"/>
      <c r="Z1021" s="67"/>
      <c r="AA1021" s="67"/>
      <c r="AB1021" s="67"/>
      <c r="AC1021" s="67"/>
    </row>
    <row r="1022">
      <c r="A1022" s="66"/>
      <c r="B1022" s="67"/>
      <c r="C1022" s="67"/>
      <c r="D1022" s="68"/>
      <c r="E1022" s="68"/>
      <c r="F1022" s="68"/>
      <c r="G1022" s="68"/>
      <c r="H1022" s="68"/>
      <c r="I1022" s="69"/>
      <c r="J1022" s="67"/>
      <c r="K1022" s="67"/>
      <c r="L1022" s="67"/>
      <c r="M1022" s="67"/>
      <c r="N1022" s="67"/>
      <c r="O1022" s="67"/>
      <c r="P1022" s="67"/>
      <c r="Q1022" s="77"/>
      <c r="R1022" s="68"/>
      <c r="S1022" s="68"/>
      <c r="T1022" s="67"/>
      <c r="U1022" s="68"/>
      <c r="V1022" s="68"/>
      <c r="W1022" s="67"/>
      <c r="X1022" s="67"/>
      <c r="Y1022" s="67"/>
      <c r="Z1022" s="67"/>
      <c r="AA1022" s="67"/>
      <c r="AB1022" s="67"/>
      <c r="AC1022" s="67"/>
    </row>
    <row r="1023">
      <c r="A1023" s="66"/>
      <c r="B1023" s="67"/>
      <c r="C1023" s="67"/>
      <c r="D1023" s="68"/>
      <c r="E1023" s="68"/>
      <c r="F1023" s="68"/>
      <c r="G1023" s="68"/>
      <c r="H1023" s="68"/>
      <c r="I1023" s="69"/>
      <c r="J1023" s="67"/>
      <c r="K1023" s="67"/>
      <c r="L1023" s="67"/>
      <c r="M1023" s="67"/>
      <c r="N1023" s="67"/>
      <c r="O1023" s="67"/>
      <c r="P1023" s="67"/>
      <c r="Q1023" s="77"/>
      <c r="R1023" s="68"/>
      <c r="S1023" s="68"/>
      <c r="T1023" s="67"/>
      <c r="U1023" s="68"/>
      <c r="V1023" s="68"/>
      <c r="W1023" s="67"/>
      <c r="X1023" s="67"/>
      <c r="Y1023" s="67"/>
      <c r="Z1023" s="67"/>
      <c r="AA1023" s="67"/>
      <c r="AB1023" s="67"/>
      <c r="AC1023" s="67"/>
    </row>
    <row r="1024">
      <c r="A1024" s="66"/>
      <c r="B1024" s="67"/>
      <c r="C1024" s="67"/>
      <c r="D1024" s="68"/>
      <c r="E1024" s="68"/>
      <c r="F1024" s="68"/>
      <c r="G1024" s="68"/>
      <c r="H1024" s="68"/>
      <c r="I1024" s="69"/>
      <c r="J1024" s="67"/>
      <c r="K1024" s="67"/>
      <c r="L1024" s="67"/>
      <c r="M1024" s="67"/>
      <c r="N1024" s="67"/>
      <c r="O1024" s="67"/>
      <c r="P1024" s="67"/>
      <c r="Q1024" s="77"/>
      <c r="R1024" s="68"/>
      <c r="S1024" s="68"/>
      <c r="T1024" s="67"/>
      <c r="U1024" s="68"/>
      <c r="V1024" s="68"/>
      <c r="W1024" s="67"/>
      <c r="X1024" s="67"/>
      <c r="Y1024" s="67"/>
      <c r="Z1024" s="67"/>
      <c r="AA1024" s="67"/>
      <c r="AB1024" s="67"/>
      <c r="AC1024" s="67"/>
    </row>
    <row r="1025">
      <c r="A1025" s="66"/>
      <c r="B1025" s="67"/>
      <c r="C1025" s="67"/>
      <c r="D1025" s="68"/>
      <c r="E1025" s="68"/>
      <c r="F1025" s="68"/>
      <c r="G1025" s="68"/>
      <c r="H1025" s="68"/>
      <c r="I1025" s="69"/>
      <c r="J1025" s="67"/>
      <c r="K1025" s="67"/>
      <c r="L1025" s="67"/>
      <c r="M1025" s="67"/>
      <c r="N1025" s="67"/>
      <c r="O1025" s="67"/>
      <c r="P1025" s="67"/>
      <c r="Q1025" s="77"/>
      <c r="R1025" s="68"/>
      <c r="S1025" s="68"/>
      <c r="T1025" s="67"/>
      <c r="U1025" s="68"/>
      <c r="V1025" s="68"/>
      <c r="W1025" s="67"/>
      <c r="X1025" s="67"/>
      <c r="Y1025" s="67"/>
      <c r="Z1025" s="67"/>
      <c r="AA1025" s="67"/>
      <c r="AB1025" s="67"/>
      <c r="AC1025" s="67"/>
    </row>
    <row r="1026">
      <c r="A1026" s="66"/>
      <c r="B1026" s="67"/>
      <c r="C1026" s="67"/>
      <c r="D1026" s="68"/>
      <c r="E1026" s="68"/>
      <c r="F1026" s="68"/>
      <c r="G1026" s="68"/>
      <c r="H1026" s="68"/>
      <c r="I1026" s="69"/>
      <c r="J1026" s="67"/>
      <c r="K1026" s="67"/>
      <c r="L1026" s="67"/>
      <c r="M1026" s="67"/>
      <c r="N1026" s="67"/>
      <c r="O1026" s="67"/>
      <c r="P1026" s="67"/>
      <c r="Q1026" s="77"/>
      <c r="R1026" s="68"/>
      <c r="S1026" s="68"/>
      <c r="T1026" s="67"/>
      <c r="U1026" s="68"/>
      <c r="V1026" s="68"/>
      <c r="W1026" s="67"/>
      <c r="X1026" s="67"/>
      <c r="Y1026" s="67"/>
      <c r="Z1026" s="67"/>
      <c r="AA1026" s="67"/>
      <c r="AB1026" s="67"/>
      <c r="AC1026" s="67"/>
    </row>
    <row r="1027">
      <c r="A1027" s="66"/>
      <c r="B1027" s="67"/>
      <c r="C1027" s="67"/>
      <c r="D1027" s="68"/>
      <c r="E1027" s="68"/>
      <c r="F1027" s="68"/>
      <c r="G1027" s="68"/>
      <c r="H1027" s="68"/>
      <c r="I1027" s="69"/>
      <c r="J1027" s="67"/>
      <c r="K1027" s="67"/>
      <c r="L1027" s="67"/>
      <c r="M1027" s="67"/>
      <c r="N1027" s="67"/>
      <c r="O1027" s="67"/>
      <c r="P1027" s="67"/>
      <c r="Q1027" s="77"/>
      <c r="R1027" s="68"/>
      <c r="S1027" s="68"/>
      <c r="T1027" s="67"/>
      <c r="U1027" s="68"/>
      <c r="V1027" s="68"/>
      <c r="W1027" s="67"/>
      <c r="X1027" s="67"/>
      <c r="Y1027" s="67"/>
      <c r="Z1027" s="67"/>
      <c r="AA1027" s="67"/>
      <c r="AB1027" s="67"/>
      <c r="AC1027" s="67"/>
    </row>
    <row r="1028">
      <c r="A1028" s="66"/>
      <c r="B1028" s="67"/>
      <c r="C1028" s="67"/>
      <c r="D1028" s="68"/>
      <c r="E1028" s="68"/>
      <c r="F1028" s="68"/>
      <c r="G1028" s="68"/>
      <c r="H1028" s="68"/>
      <c r="I1028" s="69"/>
      <c r="J1028" s="67"/>
      <c r="K1028" s="67"/>
      <c r="L1028" s="67"/>
      <c r="M1028" s="67"/>
      <c r="N1028" s="67"/>
      <c r="O1028" s="67"/>
      <c r="P1028" s="67"/>
      <c r="Q1028" s="77"/>
      <c r="R1028" s="68"/>
      <c r="S1028" s="68"/>
      <c r="T1028" s="67"/>
      <c r="U1028" s="68"/>
      <c r="V1028" s="68"/>
      <c r="W1028" s="67"/>
      <c r="X1028" s="67"/>
      <c r="Y1028" s="67"/>
      <c r="Z1028" s="67"/>
      <c r="AA1028" s="67"/>
      <c r="AB1028" s="67"/>
      <c r="AC1028" s="67"/>
    </row>
    <row r="1029">
      <c r="A1029" s="66"/>
      <c r="B1029" s="67"/>
      <c r="C1029" s="67"/>
      <c r="D1029" s="68"/>
      <c r="E1029" s="68"/>
      <c r="F1029" s="68"/>
      <c r="G1029" s="68"/>
      <c r="H1029" s="68"/>
      <c r="I1029" s="69"/>
      <c r="J1029" s="67"/>
      <c r="K1029" s="67"/>
      <c r="L1029" s="67"/>
      <c r="M1029" s="67"/>
      <c r="N1029" s="67"/>
      <c r="O1029" s="67"/>
      <c r="P1029" s="67"/>
      <c r="Q1029" s="77"/>
      <c r="R1029" s="68"/>
      <c r="S1029" s="68"/>
      <c r="T1029" s="67"/>
      <c r="U1029" s="68"/>
      <c r="V1029" s="68"/>
      <c r="W1029" s="67"/>
      <c r="X1029" s="67"/>
      <c r="Y1029" s="67"/>
      <c r="Z1029" s="67"/>
      <c r="AA1029" s="67"/>
      <c r="AB1029" s="67"/>
      <c r="AC1029" s="67"/>
    </row>
    <row r="1030">
      <c r="A1030" s="66"/>
      <c r="B1030" s="67"/>
      <c r="C1030" s="67"/>
      <c r="D1030" s="68"/>
      <c r="E1030" s="68"/>
      <c r="F1030" s="68"/>
      <c r="G1030" s="68"/>
      <c r="H1030" s="68"/>
      <c r="I1030" s="69"/>
      <c r="J1030" s="67"/>
      <c r="K1030" s="67"/>
      <c r="L1030" s="67"/>
      <c r="M1030" s="67"/>
      <c r="N1030" s="67"/>
      <c r="O1030" s="67"/>
      <c r="P1030" s="67"/>
      <c r="Q1030" s="77"/>
      <c r="R1030" s="68"/>
      <c r="S1030" s="68"/>
      <c r="T1030" s="67"/>
      <c r="U1030" s="68"/>
      <c r="V1030" s="68"/>
      <c r="W1030" s="67"/>
      <c r="X1030" s="67"/>
      <c r="Y1030" s="67"/>
      <c r="Z1030" s="67"/>
      <c r="AA1030" s="67"/>
      <c r="AB1030" s="67"/>
      <c r="AC1030" s="67"/>
    </row>
    <row r="1031">
      <c r="A1031" s="66"/>
      <c r="B1031" s="67"/>
      <c r="C1031" s="67"/>
      <c r="D1031" s="68"/>
      <c r="E1031" s="68"/>
      <c r="F1031" s="68"/>
      <c r="G1031" s="68"/>
      <c r="H1031" s="68"/>
      <c r="I1031" s="69"/>
      <c r="J1031" s="67"/>
      <c r="K1031" s="67"/>
      <c r="L1031" s="67"/>
      <c r="M1031" s="67"/>
      <c r="N1031" s="67"/>
      <c r="O1031" s="67"/>
      <c r="P1031" s="67"/>
      <c r="Q1031" s="77"/>
      <c r="R1031" s="68"/>
      <c r="S1031" s="68"/>
      <c r="T1031" s="67"/>
      <c r="U1031" s="68"/>
      <c r="V1031" s="68"/>
      <c r="W1031" s="67"/>
      <c r="X1031" s="67"/>
      <c r="Y1031" s="67"/>
      <c r="Z1031" s="67"/>
      <c r="AA1031" s="67"/>
      <c r="AB1031" s="67"/>
      <c r="AC1031" s="67"/>
    </row>
    <row r="1032">
      <c r="A1032" s="66"/>
      <c r="B1032" s="67"/>
      <c r="C1032" s="67"/>
      <c r="D1032" s="68"/>
      <c r="E1032" s="68"/>
      <c r="F1032" s="68"/>
      <c r="G1032" s="68"/>
      <c r="H1032" s="68"/>
      <c r="I1032" s="69"/>
      <c r="J1032" s="67"/>
      <c r="K1032" s="67"/>
      <c r="L1032" s="67"/>
      <c r="M1032" s="67"/>
      <c r="N1032" s="67"/>
      <c r="O1032" s="67"/>
      <c r="P1032" s="67"/>
      <c r="Q1032" s="77"/>
      <c r="R1032" s="68"/>
      <c r="S1032" s="68"/>
      <c r="T1032" s="67"/>
      <c r="U1032" s="68"/>
      <c r="V1032" s="68"/>
      <c r="W1032" s="67"/>
      <c r="X1032" s="67"/>
      <c r="Y1032" s="67"/>
      <c r="Z1032" s="67"/>
      <c r="AA1032" s="67"/>
      <c r="AB1032" s="67"/>
      <c r="AC1032" s="67"/>
    </row>
    <row r="1033">
      <c r="A1033" s="66"/>
      <c r="B1033" s="67"/>
      <c r="C1033" s="67"/>
      <c r="D1033" s="68"/>
      <c r="E1033" s="68"/>
      <c r="F1033" s="68"/>
      <c r="G1033" s="68"/>
      <c r="H1033" s="68"/>
      <c r="I1033" s="69"/>
      <c r="J1033" s="67"/>
      <c r="K1033" s="67"/>
      <c r="L1033" s="67"/>
      <c r="M1033" s="67"/>
      <c r="N1033" s="67"/>
      <c r="O1033" s="67"/>
      <c r="P1033" s="67"/>
      <c r="Q1033" s="77"/>
      <c r="R1033" s="68"/>
      <c r="S1033" s="68"/>
      <c r="T1033" s="67"/>
      <c r="U1033" s="68"/>
      <c r="V1033" s="68"/>
      <c r="W1033" s="67"/>
      <c r="X1033" s="67"/>
      <c r="Y1033" s="67"/>
      <c r="Z1033" s="67"/>
      <c r="AA1033" s="67"/>
      <c r="AB1033" s="67"/>
      <c r="AC1033" s="67"/>
    </row>
    <row r="1034">
      <c r="A1034" s="66"/>
      <c r="B1034" s="67"/>
      <c r="C1034" s="67"/>
      <c r="D1034" s="68"/>
      <c r="E1034" s="68"/>
      <c r="F1034" s="68"/>
      <c r="G1034" s="68"/>
      <c r="H1034" s="68"/>
      <c r="I1034" s="69"/>
      <c r="J1034" s="67"/>
      <c r="K1034" s="67"/>
      <c r="L1034" s="67"/>
      <c r="M1034" s="67"/>
      <c r="N1034" s="67"/>
      <c r="O1034" s="67"/>
      <c r="P1034" s="67"/>
      <c r="Q1034" s="77"/>
      <c r="R1034" s="68"/>
      <c r="S1034" s="68"/>
      <c r="T1034" s="67"/>
      <c r="U1034" s="68"/>
      <c r="V1034" s="68"/>
      <c r="W1034" s="67"/>
      <c r="X1034" s="67"/>
      <c r="Y1034" s="67"/>
      <c r="Z1034" s="67"/>
      <c r="AA1034" s="67"/>
      <c r="AB1034" s="67"/>
      <c r="AC1034" s="67"/>
    </row>
    <row r="1035">
      <c r="A1035" s="66"/>
      <c r="B1035" s="67"/>
      <c r="C1035" s="67"/>
      <c r="D1035" s="68"/>
      <c r="E1035" s="68"/>
      <c r="F1035" s="68"/>
      <c r="G1035" s="68"/>
      <c r="H1035" s="68"/>
      <c r="I1035" s="69"/>
      <c r="J1035" s="67"/>
      <c r="K1035" s="67"/>
      <c r="L1035" s="67"/>
      <c r="M1035" s="67"/>
      <c r="N1035" s="67"/>
      <c r="O1035" s="67"/>
      <c r="P1035" s="67"/>
      <c r="Q1035" s="77"/>
      <c r="R1035" s="68"/>
      <c r="S1035" s="68"/>
      <c r="T1035" s="67"/>
      <c r="U1035" s="68"/>
      <c r="V1035" s="68"/>
      <c r="W1035" s="67"/>
      <c r="X1035" s="67"/>
      <c r="Y1035" s="67"/>
      <c r="Z1035" s="67"/>
      <c r="AA1035" s="67"/>
      <c r="AB1035" s="67"/>
      <c r="AC1035" s="67"/>
    </row>
    <row r="1036">
      <c r="A1036" s="66"/>
      <c r="B1036" s="67"/>
      <c r="C1036" s="67"/>
      <c r="D1036" s="68"/>
      <c r="E1036" s="68"/>
      <c r="F1036" s="68"/>
      <c r="G1036" s="68"/>
      <c r="H1036" s="68"/>
      <c r="I1036" s="69"/>
      <c r="J1036" s="67"/>
      <c r="K1036" s="67"/>
      <c r="L1036" s="67"/>
      <c r="M1036" s="67"/>
      <c r="N1036" s="67"/>
      <c r="O1036" s="67"/>
      <c r="P1036" s="67"/>
      <c r="Q1036" s="77"/>
      <c r="R1036" s="68"/>
      <c r="S1036" s="68"/>
      <c r="T1036" s="67"/>
      <c r="U1036" s="68"/>
      <c r="V1036" s="68"/>
      <c r="W1036" s="67"/>
      <c r="X1036" s="67"/>
      <c r="Y1036" s="67"/>
      <c r="Z1036" s="67"/>
      <c r="AA1036" s="67"/>
      <c r="AB1036" s="67"/>
      <c r="AC1036" s="67"/>
    </row>
    <row r="1037">
      <c r="A1037" s="66"/>
      <c r="B1037" s="67"/>
      <c r="C1037" s="67"/>
      <c r="D1037" s="68"/>
      <c r="E1037" s="68"/>
      <c r="F1037" s="68"/>
      <c r="G1037" s="68"/>
      <c r="H1037" s="68"/>
      <c r="I1037" s="69"/>
      <c r="J1037" s="67"/>
      <c r="K1037" s="67"/>
      <c r="L1037" s="67"/>
      <c r="M1037" s="67"/>
      <c r="N1037" s="67"/>
      <c r="O1037" s="67"/>
      <c r="P1037" s="67"/>
      <c r="Q1037" s="77"/>
      <c r="R1037" s="68"/>
      <c r="S1037" s="68"/>
      <c r="T1037" s="67"/>
      <c r="U1037" s="68"/>
      <c r="V1037" s="68"/>
      <c r="W1037" s="67"/>
      <c r="X1037" s="67"/>
      <c r="Y1037" s="67"/>
      <c r="Z1037" s="67"/>
      <c r="AA1037" s="67"/>
      <c r="AB1037" s="67"/>
      <c r="AC1037" s="67"/>
    </row>
    <row r="1038">
      <c r="A1038" s="66"/>
      <c r="B1038" s="67"/>
      <c r="C1038" s="67"/>
      <c r="D1038" s="68"/>
      <c r="E1038" s="68"/>
      <c r="F1038" s="68"/>
      <c r="G1038" s="68"/>
      <c r="H1038" s="68"/>
      <c r="I1038" s="69"/>
      <c r="J1038" s="67"/>
      <c r="K1038" s="67"/>
      <c r="L1038" s="67"/>
      <c r="M1038" s="67"/>
      <c r="N1038" s="67"/>
      <c r="O1038" s="67"/>
      <c r="P1038" s="67"/>
      <c r="Q1038" s="77"/>
      <c r="R1038" s="68"/>
      <c r="S1038" s="68"/>
      <c r="T1038" s="67"/>
      <c r="U1038" s="68"/>
      <c r="V1038" s="68"/>
      <c r="W1038" s="67"/>
      <c r="X1038" s="67"/>
      <c r="Y1038" s="67"/>
      <c r="Z1038" s="67"/>
      <c r="AA1038" s="67"/>
      <c r="AB1038" s="67"/>
      <c r="AC1038" s="67"/>
    </row>
    <row r="1039">
      <c r="A1039" s="66"/>
      <c r="B1039" s="67"/>
      <c r="C1039" s="67"/>
      <c r="D1039" s="68"/>
      <c r="E1039" s="68"/>
      <c r="F1039" s="68"/>
      <c r="G1039" s="68"/>
      <c r="H1039" s="68"/>
      <c r="I1039" s="69"/>
      <c r="J1039" s="67"/>
      <c r="K1039" s="67"/>
      <c r="L1039" s="67"/>
      <c r="M1039" s="67"/>
      <c r="N1039" s="67"/>
      <c r="O1039" s="67"/>
      <c r="P1039" s="67"/>
      <c r="Q1039" s="77"/>
      <c r="R1039" s="68"/>
      <c r="S1039" s="68"/>
      <c r="T1039" s="67"/>
      <c r="U1039" s="68"/>
      <c r="V1039" s="68"/>
      <c r="W1039" s="67"/>
      <c r="X1039" s="67"/>
      <c r="Y1039" s="67"/>
      <c r="Z1039" s="67"/>
      <c r="AA1039" s="67"/>
      <c r="AB1039" s="67"/>
      <c r="AC1039" s="67"/>
    </row>
    <row r="1040">
      <c r="A1040" s="66"/>
      <c r="B1040" s="67"/>
      <c r="C1040" s="67"/>
      <c r="D1040" s="68"/>
      <c r="E1040" s="68"/>
      <c r="F1040" s="68"/>
      <c r="G1040" s="68"/>
      <c r="H1040" s="68"/>
      <c r="I1040" s="69"/>
      <c r="J1040" s="67"/>
      <c r="K1040" s="67"/>
      <c r="L1040" s="67"/>
      <c r="M1040" s="67"/>
      <c r="N1040" s="67"/>
      <c r="O1040" s="67"/>
      <c r="P1040" s="67"/>
      <c r="Q1040" s="77"/>
      <c r="R1040" s="68"/>
      <c r="S1040" s="68"/>
      <c r="T1040" s="67"/>
      <c r="U1040" s="68"/>
      <c r="V1040" s="68"/>
      <c r="W1040" s="67"/>
      <c r="X1040" s="67"/>
      <c r="Y1040" s="67"/>
      <c r="Z1040" s="67"/>
      <c r="AA1040" s="67"/>
      <c r="AB1040" s="67"/>
      <c r="AC1040" s="67"/>
    </row>
    <row r="1041">
      <c r="A1041" s="66"/>
      <c r="B1041" s="67"/>
      <c r="C1041" s="67"/>
      <c r="D1041" s="68"/>
      <c r="E1041" s="68"/>
      <c r="F1041" s="68"/>
      <c r="G1041" s="68"/>
      <c r="H1041" s="68"/>
      <c r="I1041" s="69"/>
      <c r="J1041" s="67"/>
      <c r="K1041" s="67"/>
      <c r="L1041" s="67"/>
      <c r="M1041" s="67"/>
      <c r="N1041" s="67"/>
      <c r="O1041" s="67"/>
      <c r="P1041" s="67"/>
      <c r="Q1041" s="77"/>
      <c r="R1041" s="68"/>
      <c r="S1041" s="68"/>
      <c r="T1041" s="67"/>
      <c r="U1041" s="68"/>
      <c r="V1041" s="68"/>
      <c r="W1041" s="67"/>
      <c r="X1041" s="67"/>
      <c r="Y1041" s="67"/>
      <c r="Z1041" s="67"/>
      <c r="AA1041" s="67"/>
      <c r="AB1041" s="67"/>
      <c r="AC1041" s="67"/>
    </row>
    <row r="1042">
      <c r="A1042" s="66"/>
      <c r="B1042" s="67"/>
      <c r="C1042" s="67"/>
      <c r="D1042" s="68"/>
      <c r="E1042" s="68"/>
      <c r="F1042" s="68"/>
      <c r="G1042" s="68"/>
      <c r="H1042" s="68"/>
      <c r="I1042" s="69"/>
      <c r="J1042" s="67"/>
      <c r="K1042" s="67"/>
      <c r="L1042" s="67"/>
      <c r="M1042" s="67"/>
      <c r="N1042" s="67"/>
      <c r="O1042" s="67"/>
      <c r="P1042" s="67"/>
      <c r="Q1042" s="77"/>
      <c r="R1042" s="68"/>
      <c r="S1042" s="68"/>
      <c r="T1042" s="67"/>
      <c r="U1042" s="68"/>
      <c r="V1042" s="68"/>
      <c r="W1042" s="67"/>
      <c r="X1042" s="67"/>
      <c r="Y1042" s="67"/>
      <c r="Z1042" s="67"/>
      <c r="AA1042" s="67"/>
      <c r="AB1042" s="67"/>
      <c r="AC1042" s="67"/>
    </row>
    <row r="1043">
      <c r="A1043" s="66"/>
      <c r="B1043" s="67"/>
      <c r="C1043" s="67"/>
      <c r="D1043" s="68"/>
      <c r="E1043" s="68"/>
      <c r="F1043" s="68"/>
      <c r="G1043" s="68"/>
      <c r="H1043" s="68"/>
      <c r="I1043" s="69"/>
      <c r="J1043" s="67"/>
      <c r="K1043" s="67"/>
      <c r="L1043" s="67"/>
      <c r="M1043" s="67"/>
      <c r="N1043" s="67"/>
      <c r="O1043" s="67"/>
      <c r="P1043" s="67"/>
      <c r="Q1043" s="77"/>
      <c r="R1043" s="68"/>
      <c r="S1043" s="68"/>
      <c r="T1043" s="67"/>
      <c r="U1043" s="68"/>
      <c r="V1043" s="68"/>
      <c r="W1043" s="67"/>
      <c r="X1043" s="67"/>
      <c r="Y1043" s="67"/>
      <c r="Z1043" s="67"/>
      <c r="AA1043" s="67"/>
      <c r="AB1043" s="67"/>
      <c r="AC1043" s="67"/>
    </row>
    <row r="1044">
      <c r="A1044" s="66"/>
      <c r="B1044" s="67"/>
      <c r="C1044" s="67"/>
      <c r="D1044" s="68"/>
      <c r="E1044" s="68"/>
      <c r="F1044" s="68"/>
      <c r="G1044" s="68"/>
      <c r="H1044" s="68"/>
      <c r="I1044" s="69"/>
      <c r="J1044" s="67"/>
      <c r="K1044" s="67"/>
      <c r="L1044" s="67"/>
      <c r="M1044" s="67"/>
      <c r="N1044" s="67"/>
      <c r="O1044" s="67"/>
      <c r="P1044" s="67"/>
      <c r="Q1044" s="77"/>
      <c r="R1044" s="68"/>
      <c r="S1044" s="68"/>
      <c r="T1044" s="67"/>
      <c r="U1044" s="68"/>
      <c r="V1044" s="68"/>
      <c r="W1044" s="67"/>
      <c r="X1044" s="67"/>
      <c r="Y1044" s="67"/>
      <c r="Z1044" s="67"/>
      <c r="AA1044" s="67"/>
      <c r="AB1044" s="67"/>
      <c r="AC1044" s="67"/>
    </row>
    <row r="1045">
      <c r="A1045" s="66"/>
      <c r="B1045" s="67"/>
      <c r="C1045" s="67"/>
      <c r="D1045" s="68"/>
      <c r="E1045" s="68"/>
      <c r="F1045" s="68"/>
      <c r="G1045" s="68"/>
      <c r="H1045" s="68"/>
      <c r="I1045" s="69"/>
      <c r="J1045" s="67"/>
      <c r="K1045" s="67"/>
      <c r="L1045" s="67"/>
      <c r="M1045" s="67"/>
      <c r="N1045" s="67"/>
      <c r="O1045" s="67"/>
      <c r="P1045" s="67"/>
      <c r="Q1045" s="77"/>
      <c r="R1045" s="68"/>
      <c r="S1045" s="68"/>
      <c r="T1045" s="67"/>
      <c r="U1045" s="68"/>
      <c r="V1045" s="68"/>
      <c r="W1045" s="67"/>
      <c r="X1045" s="67"/>
      <c r="Y1045" s="67"/>
      <c r="Z1045" s="67"/>
      <c r="AA1045" s="67"/>
      <c r="AB1045" s="67"/>
      <c r="AC1045" s="67"/>
    </row>
    <row r="1046">
      <c r="A1046" s="66"/>
      <c r="B1046" s="67"/>
      <c r="C1046" s="67"/>
      <c r="D1046" s="68"/>
      <c r="E1046" s="68"/>
      <c r="F1046" s="68"/>
      <c r="G1046" s="68"/>
      <c r="H1046" s="68"/>
      <c r="I1046" s="69"/>
      <c r="J1046" s="67"/>
      <c r="K1046" s="67"/>
      <c r="L1046" s="67"/>
      <c r="M1046" s="67"/>
      <c r="N1046" s="67"/>
      <c r="O1046" s="67"/>
      <c r="P1046" s="67"/>
      <c r="Q1046" s="77"/>
      <c r="R1046" s="68"/>
      <c r="S1046" s="68"/>
      <c r="T1046" s="67"/>
      <c r="U1046" s="68"/>
      <c r="V1046" s="68"/>
      <c r="W1046" s="67"/>
      <c r="X1046" s="67"/>
      <c r="Y1046" s="67"/>
      <c r="Z1046" s="67"/>
      <c r="AA1046" s="67"/>
      <c r="AB1046" s="67"/>
      <c r="AC1046" s="67"/>
    </row>
    <row r="1047">
      <c r="A1047" s="66"/>
      <c r="B1047" s="67"/>
      <c r="C1047" s="67"/>
      <c r="D1047" s="68"/>
      <c r="E1047" s="68"/>
      <c r="F1047" s="68"/>
      <c r="G1047" s="68"/>
      <c r="H1047" s="68"/>
      <c r="I1047" s="69"/>
      <c r="J1047" s="67"/>
      <c r="K1047" s="67"/>
      <c r="L1047" s="67"/>
      <c r="M1047" s="67"/>
      <c r="N1047" s="67"/>
      <c r="O1047" s="67"/>
      <c r="P1047" s="67"/>
      <c r="Q1047" s="77"/>
      <c r="R1047" s="68"/>
      <c r="S1047" s="68"/>
      <c r="T1047" s="67"/>
      <c r="U1047" s="68"/>
      <c r="V1047" s="68"/>
      <c r="W1047" s="67"/>
      <c r="X1047" s="67"/>
      <c r="Y1047" s="67"/>
      <c r="Z1047" s="67"/>
      <c r="AA1047" s="67"/>
      <c r="AB1047" s="67"/>
      <c r="AC1047" s="67"/>
    </row>
    <row r="1048">
      <c r="A1048" s="66"/>
      <c r="B1048" s="67"/>
      <c r="C1048" s="67"/>
      <c r="D1048" s="68"/>
      <c r="E1048" s="68"/>
      <c r="F1048" s="68"/>
      <c r="G1048" s="68"/>
      <c r="H1048" s="68"/>
      <c r="I1048" s="69"/>
      <c r="J1048" s="67"/>
      <c r="K1048" s="67"/>
      <c r="L1048" s="67"/>
      <c r="M1048" s="67"/>
      <c r="N1048" s="67"/>
      <c r="O1048" s="67"/>
      <c r="P1048" s="67"/>
      <c r="Q1048" s="77"/>
      <c r="R1048" s="68"/>
      <c r="S1048" s="68"/>
      <c r="T1048" s="67"/>
      <c r="U1048" s="68"/>
      <c r="V1048" s="68"/>
      <c r="W1048" s="67"/>
      <c r="X1048" s="67"/>
      <c r="Y1048" s="67"/>
      <c r="Z1048" s="67"/>
      <c r="AA1048" s="67"/>
      <c r="AB1048" s="67"/>
      <c r="AC1048" s="67"/>
    </row>
    <row r="1049">
      <c r="A1049" s="66"/>
      <c r="B1049" s="67"/>
      <c r="C1049" s="67"/>
      <c r="D1049" s="68"/>
      <c r="E1049" s="68"/>
      <c r="F1049" s="68"/>
      <c r="G1049" s="68"/>
      <c r="H1049" s="68"/>
      <c r="I1049" s="69"/>
      <c r="J1049" s="67"/>
      <c r="K1049" s="67"/>
      <c r="L1049" s="67"/>
      <c r="M1049" s="67"/>
      <c r="N1049" s="67"/>
      <c r="O1049" s="67"/>
      <c r="P1049" s="67"/>
      <c r="Q1049" s="77"/>
      <c r="R1049" s="68"/>
      <c r="S1049" s="68"/>
      <c r="T1049" s="67"/>
      <c r="U1049" s="68"/>
      <c r="V1049" s="68"/>
      <c r="W1049" s="67"/>
      <c r="X1049" s="67"/>
      <c r="Y1049" s="67"/>
      <c r="Z1049" s="67"/>
      <c r="AA1049" s="67"/>
      <c r="AB1049" s="67"/>
      <c r="AC1049" s="67"/>
    </row>
    <row r="1050">
      <c r="A1050" s="66"/>
      <c r="B1050" s="67"/>
      <c r="C1050" s="67"/>
      <c r="D1050" s="68"/>
      <c r="E1050" s="68"/>
      <c r="F1050" s="68"/>
      <c r="G1050" s="68"/>
      <c r="H1050" s="68"/>
      <c r="I1050" s="69"/>
      <c r="J1050" s="67"/>
      <c r="K1050" s="67"/>
      <c r="L1050" s="67"/>
      <c r="M1050" s="67"/>
      <c r="N1050" s="67"/>
      <c r="O1050" s="67"/>
      <c r="P1050" s="67"/>
      <c r="Q1050" s="77"/>
      <c r="R1050" s="68"/>
      <c r="S1050" s="68"/>
      <c r="T1050" s="67"/>
      <c r="U1050" s="68"/>
      <c r="V1050" s="68"/>
      <c r="W1050" s="67"/>
      <c r="X1050" s="67"/>
      <c r="Y1050" s="67"/>
      <c r="Z1050" s="67"/>
      <c r="AA1050" s="67"/>
      <c r="AB1050" s="67"/>
      <c r="AC1050" s="67"/>
    </row>
    <row r="1051">
      <c r="A1051" s="66"/>
      <c r="B1051" s="67"/>
      <c r="C1051" s="67"/>
      <c r="D1051" s="68"/>
      <c r="E1051" s="68"/>
      <c r="F1051" s="68"/>
      <c r="G1051" s="68"/>
      <c r="H1051" s="68"/>
      <c r="I1051" s="69"/>
      <c r="J1051" s="67"/>
      <c r="K1051" s="67"/>
      <c r="L1051" s="67"/>
      <c r="M1051" s="67"/>
      <c r="N1051" s="67"/>
      <c r="O1051" s="67"/>
      <c r="P1051" s="67"/>
      <c r="Q1051" s="77"/>
      <c r="R1051" s="68"/>
      <c r="S1051" s="68"/>
      <c r="T1051" s="67"/>
      <c r="U1051" s="68"/>
      <c r="V1051" s="68"/>
      <c r="W1051" s="67"/>
      <c r="X1051" s="67"/>
      <c r="Y1051" s="67"/>
      <c r="Z1051" s="67"/>
      <c r="AA1051" s="67"/>
      <c r="AB1051" s="67"/>
      <c r="AC1051" s="67"/>
    </row>
    <row r="1052">
      <c r="A1052" s="66"/>
      <c r="B1052" s="67"/>
      <c r="C1052" s="67"/>
      <c r="D1052" s="68"/>
      <c r="E1052" s="68"/>
      <c r="F1052" s="68"/>
      <c r="G1052" s="68"/>
      <c r="H1052" s="68"/>
      <c r="I1052" s="69"/>
      <c r="J1052" s="67"/>
      <c r="K1052" s="67"/>
      <c r="L1052" s="67"/>
      <c r="M1052" s="67"/>
      <c r="N1052" s="67"/>
      <c r="O1052" s="67"/>
      <c r="P1052" s="67"/>
      <c r="Q1052" s="77"/>
      <c r="R1052" s="68"/>
      <c r="S1052" s="68"/>
      <c r="T1052" s="67"/>
      <c r="U1052" s="68"/>
      <c r="V1052" s="68"/>
      <c r="W1052" s="67"/>
      <c r="X1052" s="67"/>
      <c r="Y1052" s="67"/>
      <c r="Z1052" s="67"/>
      <c r="AA1052" s="67"/>
      <c r="AB1052" s="67"/>
      <c r="AC1052" s="67"/>
    </row>
    <row r="1053">
      <c r="A1053" s="66"/>
      <c r="B1053" s="67"/>
      <c r="C1053" s="67"/>
      <c r="D1053" s="68"/>
      <c r="E1053" s="68"/>
      <c r="F1053" s="68"/>
      <c r="G1053" s="68"/>
      <c r="H1053" s="68"/>
      <c r="I1053" s="69"/>
      <c r="J1053" s="67"/>
      <c r="K1053" s="67"/>
      <c r="L1053" s="67"/>
      <c r="M1053" s="67"/>
      <c r="N1053" s="67"/>
      <c r="O1053" s="67"/>
      <c r="P1053" s="67"/>
      <c r="Q1053" s="77"/>
      <c r="R1053" s="68"/>
      <c r="S1053" s="68"/>
      <c r="T1053" s="67"/>
      <c r="U1053" s="68"/>
      <c r="V1053" s="68"/>
      <c r="W1053" s="67"/>
      <c r="X1053" s="67"/>
      <c r="Y1053" s="67"/>
      <c r="Z1053" s="67"/>
      <c r="AA1053" s="67"/>
      <c r="AB1053" s="67"/>
      <c r="AC1053" s="67"/>
    </row>
    <row r="1054">
      <c r="A1054" s="66"/>
      <c r="B1054" s="67"/>
      <c r="C1054" s="67"/>
      <c r="D1054" s="68"/>
      <c r="E1054" s="68"/>
      <c r="F1054" s="68"/>
      <c r="G1054" s="68"/>
      <c r="H1054" s="68"/>
      <c r="I1054" s="69"/>
      <c r="J1054" s="67"/>
      <c r="K1054" s="67"/>
      <c r="L1054" s="67"/>
      <c r="M1054" s="67"/>
      <c r="N1054" s="67"/>
      <c r="O1054" s="67"/>
      <c r="P1054" s="67"/>
      <c r="Q1054" s="77"/>
      <c r="R1054" s="68"/>
      <c r="S1054" s="68"/>
      <c r="T1054" s="67"/>
      <c r="U1054" s="68"/>
      <c r="V1054" s="68"/>
      <c r="W1054" s="67"/>
      <c r="X1054" s="67"/>
      <c r="Y1054" s="67"/>
      <c r="Z1054" s="67"/>
      <c r="AA1054" s="67"/>
      <c r="AB1054" s="67"/>
      <c r="AC1054" s="67"/>
    </row>
    <row r="1055">
      <c r="A1055" s="66"/>
      <c r="B1055" s="67"/>
      <c r="C1055" s="67"/>
      <c r="D1055" s="68"/>
      <c r="E1055" s="68"/>
      <c r="F1055" s="68"/>
      <c r="G1055" s="68"/>
      <c r="H1055" s="68"/>
      <c r="I1055" s="69"/>
      <c r="J1055" s="67"/>
      <c r="K1055" s="67"/>
      <c r="L1055" s="67"/>
      <c r="M1055" s="67"/>
      <c r="N1055" s="67"/>
      <c r="O1055" s="67"/>
      <c r="P1055" s="67"/>
      <c r="Q1055" s="77"/>
      <c r="R1055" s="68"/>
      <c r="S1055" s="68"/>
      <c r="T1055" s="67"/>
      <c r="U1055" s="68"/>
      <c r="V1055" s="68"/>
      <c r="W1055" s="67"/>
      <c r="X1055" s="67"/>
      <c r="Y1055" s="67"/>
      <c r="Z1055" s="67"/>
      <c r="AA1055" s="67"/>
      <c r="AB1055" s="67"/>
      <c r="AC1055" s="67"/>
    </row>
    <row r="1056">
      <c r="A1056" s="66"/>
      <c r="B1056" s="67"/>
      <c r="C1056" s="67"/>
      <c r="D1056" s="68"/>
      <c r="E1056" s="68"/>
      <c r="F1056" s="68"/>
      <c r="G1056" s="68"/>
      <c r="H1056" s="68"/>
      <c r="I1056" s="69"/>
      <c r="J1056" s="67"/>
      <c r="K1056" s="67"/>
      <c r="L1056" s="67"/>
      <c r="M1056" s="67"/>
      <c r="N1056" s="67"/>
      <c r="O1056" s="67"/>
      <c r="P1056" s="67"/>
      <c r="Q1056" s="77"/>
      <c r="R1056" s="68"/>
      <c r="S1056" s="68"/>
      <c r="T1056" s="67"/>
      <c r="U1056" s="68"/>
      <c r="V1056" s="68"/>
      <c r="W1056" s="67"/>
      <c r="X1056" s="67"/>
      <c r="Y1056" s="67"/>
      <c r="Z1056" s="67"/>
      <c r="AA1056" s="67"/>
      <c r="AB1056" s="67"/>
      <c r="AC1056" s="67"/>
    </row>
    <row r="1057">
      <c r="A1057" s="66"/>
      <c r="B1057" s="67"/>
      <c r="C1057" s="67"/>
      <c r="D1057" s="68"/>
      <c r="E1057" s="68"/>
      <c r="F1057" s="68"/>
      <c r="G1057" s="68"/>
      <c r="H1057" s="68"/>
      <c r="I1057" s="69"/>
      <c r="J1057" s="67"/>
      <c r="K1057" s="67"/>
      <c r="L1057" s="67"/>
      <c r="M1057" s="67"/>
      <c r="N1057" s="67"/>
      <c r="O1057" s="67"/>
      <c r="P1057" s="67"/>
      <c r="Q1057" s="77"/>
      <c r="R1057" s="68"/>
      <c r="S1057" s="68"/>
      <c r="T1057" s="67"/>
      <c r="U1057" s="68"/>
      <c r="V1057" s="68"/>
      <c r="W1057" s="67"/>
      <c r="X1057" s="67"/>
      <c r="Y1057" s="67"/>
      <c r="Z1057" s="67"/>
      <c r="AA1057" s="67"/>
      <c r="AB1057" s="67"/>
      <c r="AC1057" s="67"/>
    </row>
    <row r="1058">
      <c r="A1058" s="66"/>
      <c r="B1058" s="67"/>
      <c r="C1058" s="67"/>
      <c r="D1058" s="68"/>
      <c r="E1058" s="68"/>
      <c r="F1058" s="68"/>
      <c r="G1058" s="68"/>
      <c r="H1058" s="68"/>
      <c r="I1058" s="69"/>
      <c r="J1058" s="67"/>
      <c r="K1058" s="67"/>
      <c r="L1058" s="67"/>
      <c r="M1058" s="67"/>
      <c r="N1058" s="67"/>
      <c r="O1058" s="67"/>
      <c r="P1058" s="67"/>
      <c r="Q1058" s="77"/>
      <c r="R1058" s="68"/>
      <c r="S1058" s="68"/>
      <c r="T1058" s="67"/>
      <c r="U1058" s="68"/>
      <c r="V1058" s="68"/>
      <c r="W1058" s="67"/>
      <c r="X1058" s="67"/>
      <c r="Y1058" s="67"/>
      <c r="Z1058" s="67"/>
      <c r="AA1058" s="67"/>
      <c r="AB1058" s="67"/>
      <c r="AC1058" s="67"/>
    </row>
    <row r="1059">
      <c r="A1059" s="66"/>
      <c r="B1059" s="67"/>
      <c r="C1059" s="67"/>
      <c r="D1059" s="68"/>
      <c r="E1059" s="68"/>
      <c r="F1059" s="68"/>
      <c r="G1059" s="68"/>
      <c r="H1059" s="68"/>
      <c r="I1059" s="69"/>
      <c r="J1059" s="67"/>
      <c r="K1059" s="67"/>
      <c r="L1059" s="67"/>
      <c r="M1059" s="67"/>
      <c r="N1059" s="67"/>
      <c r="O1059" s="67"/>
      <c r="P1059" s="67"/>
      <c r="Q1059" s="77"/>
      <c r="R1059" s="68"/>
      <c r="S1059" s="68"/>
      <c r="T1059" s="67"/>
      <c r="U1059" s="68"/>
      <c r="V1059" s="68"/>
      <c r="W1059" s="67"/>
      <c r="X1059" s="67"/>
      <c r="Y1059" s="67"/>
      <c r="Z1059" s="67"/>
      <c r="AA1059" s="67"/>
      <c r="AB1059" s="67"/>
      <c r="AC1059" s="67"/>
    </row>
    <row r="1060">
      <c r="A1060" s="66"/>
      <c r="B1060" s="67"/>
      <c r="C1060" s="67"/>
      <c r="D1060" s="68"/>
      <c r="E1060" s="68"/>
      <c r="F1060" s="68"/>
      <c r="G1060" s="68"/>
      <c r="H1060" s="68"/>
      <c r="I1060" s="69"/>
      <c r="J1060" s="67"/>
      <c r="K1060" s="67"/>
      <c r="L1060" s="67"/>
      <c r="M1060" s="67"/>
      <c r="N1060" s="67"/>
      <c r="O1060" s="67"/>
      <c r="P1060" s="67"/>
      <c r="Q1060" s="77"/>
      <c r="R1060" s="68"/>
      <c r="S1060" s="68"/>
      <c r="T1060" s="67"/>
      <c r="U1060" s="68"/>
      <c r="V1060" s="68"/>
      <c r="W1060" s="67"/>
      <c r="X1060" s="67"/>
      <c r="Y1060" s="67"/>
      <c r="Z1060" s="67"/>
      <c r="AA1060" s="67"/>
      <c r="AB1060" s="67"/>
      <c r="AC1060" s="67"/>
    </row>
    <row r="1061">
      <c r="A1061" s="66"/>
      <c r="B1061" s="67"/>
      <c r="C1061" s="67"/>
      <c r="D1061" s="68"/>
      <c r="E1061" s="68"/>
      <c r="F1061" s="68"/>
      <c r="G1061" s="68"/>
      <c r="H1061" s="68"/>
      <c r="I1061" s="69"/>
      <c r="J1061" s="67"/>
      <c r="K1061" s="67"/>
      <c r="L1061" s="67"/>
      <c r="M1061" s="67"/>
      <c r="N1061" s="67"/>
      <c r="O1061" s="67"/>
      <c r="P1061" s="67"/>
      <c r="Q1061" s="77"/>
      <c r="R1061" s="68"/>
      <c r="S1061" s="68"/>
      <c r="T1061" s="67"/>
      <c r="U1061" s="68"/>
      <c r="V1061" s="68"/>
      <c r="W1061" s="67"/>
      <c r="X1061" s="67"/>
      <c r="Y1061" s="67"/>
      <c r="Z1061" s="67"/>
      <c r="AA1061" s="67"/>
      <c r="AB1061" s="67"/>
      <c r="AC1061" s="67"/>
    </row>
    <row r="1062">
      <c r="A1062" s="66"/>
      <c r="B1062" s="67"/>
      <c r="C1062" s="67"/>
      <c r="D1062" s="68"/>
      <c r="E1062" s="68"/>
      <c r="F1062" s="68"/>
      <c r="G1062" s="68"/>
      <c r="H1062" s="68"/>
      <c r="I1062" s="69"/>
      <c r="J1062" s="67"/>
      <c r="K1062" s="67"/>
      <c r="L1062" s="67"/>
      <c r="M1062" s="67"/>
      <c r="N1062" s="67"/>
      <c r="O1062" s="67"/>
      <c r="P1062" s="67"/>
      <c r="Q1062" s="77"/>
      <c r="R1062" s="68"/>
      <c r="S1062" s="68"/>
      <c r="T1062" s="67"/>
      <c r="U1062" s="68"/>
      <c r="V1062" s="68"/>
      <c r="W1062" s="67"/>
      <c r="X1062" s="67"/>
      <c r="Y1062" s="67"/>
      <c r="Z1062" s="67"/>
      <c r="AA1062" s="67"/>
      <c r="AB1062" s="67"/>
      <c r="AC1062" s="67"/>
    </row>
    <row r="1063">
      <c r="A1063" s="66"/>
      <c r="B1063" s="67"/>
      <c r="C1063" s="67"/>
      <c r="D1063" s="68"/>
      <c r="E1063" s="68"/>
      <c r="F1063" s="68"/>
      <c r="G1063" s="68"/>
      <c r="H1063" s="68"/>
      <c r="I1063" s="69"/>
      <c r="J1063" s="67"/>
      <c r="K1063" s="67"/>
      <c r="L1063" s="67"/>
      <c r="M1063" s="67"/>
      <c r="N1063" s="67"/>
      <c r="O1063" s="67"/>
      <c r="P1063" s="67"/>
      <c r="Q1063" s="77"/>
      <c r="R1063" s="68"/>
      <c r="S1063" s="68"/>
      <c r="T1063" s="67"/>
      <c r="U1063" s="68"/>
      <c r="V1063" s="68"/>
      <c r="W1063" s="67"/>
      <c r="X1063" s="67"/>
      <c r="Y1063" s="67"/>
      <c r="Z1063" s="67"/>
      <c r="AA1063" s="67"/>
      <c r="AB1063" s="67"/>
      <c r="AC1063" s="67"/>
    </row>
    <row r="1064">
      <c r="A1064" s="66"/>
      <c r="B1064" s="67"/>
      <c r="C1064" s="67"/>
      <c r="D1064" s="68"/>
      <c r="E1064" s="68"/>
      <c r="F1064" s="68"/>
      <c r="G1064" s="68"/>
      <c r="H1064" s="68"/>
      <c r="I1064" s="69"/>
      <c r="J1064" s="67"/>
      <c r="K1064" s="67"/>
      <c r="L1064" s="67"/>
      <c r="M1064" s="67"/>
      <c r="N1064" s="67"/>
      <c r="O1064" s="67"/>
      <c r="P1064" s="67"/>
      <c r="Q1064" s="77"/>
      <c r="R1064" s="68"/>
      <c r="S1064" s="68"/>
      <c r="T1064" s="67"/>
      <c r="U1064" s="68"/>
      <c r="V1064" s="68"/>
      <c r="W1064" s="67"/>
      <c r="X1064" s="67"/>
      <c r="Y1064" s="67"/>
      <c r="Z1064" s="67"/>
      <c r="AA1064" s="67"/>
      <c r="AB1064" s="67"/>
      <c r="AC1064" s="67"/>
    </row>
    <row r="1065">
      <c r="A1065" s="66"/>
      <c r="B1065" s="67"/>
      <c r="C1065" s="67"/>
      <c r="D1065" s="68"/>
      <c r="E1065" s="68"/>
      <c r="F1065" s="68"/>
      <c r="G1065" s="68"/>
      <c r="H1065" s="68"/>
      <c r="I1065" s="69"/>
      <c r="J1065" s="67"/>
      <c r="K1065" s="67"/>
      <c r="L1065" s="67"/>
      <c r="M1065" s="67"/>
      <c r="N1065" s="67"/>
      <c r="O1065" s="67"/>
      <c r="P1065" s="67"/>
      <c r="Q1065" s="77"/>
      <c r="R1065" s="68"/>
      <c r="S1065" s="68"/>
      <c r="T1065" s="67"/>
      <c r="U1065" s="68"/>
      <c r="V1065" s="68"/>
      <c r="W1065" s="67"/>
      <c r="X1065" s="67"/>
      <c r="Y1065" s="67"/>
      <c r="Z1065" s="67"/>
      <c r="AA1065" s="67"/>
      <c r="AB1065" s="67"/>
      <c r="AC1065" s="67"/>
    </row>
    <row r="1066">
      <c r="A1066" s="66"/>
      <c r="B1066" s="67"/>
      <c r="C1066" s="67"/>
      <c r="D1066" s="68"/>
      <c r="E1066" s="68"/>
      <c r="F1066" s="68"/>
      <c r="G1066" s="68"/>
      <c r="H1066" s="68"/>
      <c r="I1066" s="69"/>
      <c r="J1066" s="67"/>
      <c r="K1066" s="67"/>
      <c r="L1066" s="67"/>
      <c r="M1066" s="67"/>
      <c r="N1066" s="67"/>
      <c r="O1066" s="67"/>
      <c r="P1066" s="67"/>
      <c r="Q1066" s="77"/>
      <c r="R1066" s="68"/>
      <c r="S1066" s="68"/>
      <c r="T1066" s="67"/>
      <c r="U1066" s="68"/>
      <c r="V1066" s="68"/>
      <c r="W1066" s="67"/>
      <c r="X1066" s="67"/>
      <c r="Y1066" s="67"/>
      <c r="Z1066" s="67"/>
      <c r="AA1066" s="67"/>
      <c r="AB1066" s="67"/>
      <c r="AC1066" s="67"/>
    </row>
    <row r="1067">
      <c r="A1067" s="66"/>
      <c r="B1067" s="67"/>
      <c r="C1067" s="67"/>
      <c r="D1067" s="68"/>
      <c r="E1067" s="68"/>
      <c r="F1067" s="68"/>
      <c r="G1067" s="68"/>
      <c r="H1067" s="68"/>
      <c r="I1067" s="69"/>
      <c r="J1067" s="67"/>
      <c r="K1067" s="67"/>
      <c r="L1067" s="67"/>
      <c r="M1067" s="67"/>
      <c r="N1067" s="67"/>
      <c r="O1067" s="67"/>
      <c r="P1067" s="67"/>
      <c r="Q1067" s="77"/>
      <c r="R1067" s="68"/>
      <c r="S1067" s="68"/>
      <c r="T1067" s="67"/>
      <c r="U1067" s="68"/>
      <c r="V1067" s="68"/>
      <c r="W1067" s="67"/>
      <c r="X1067" s="67"/>
      <c r="Y1067" s="67"/>
      <c r="Z1067" s="67"/>
      <c r="AA1067" s="67"/>
      <c r="AB1067" s="67"/>
      <c r="AC1067" s="67"/>
    </row>
    <row r="1068">
      <c r="A1068" s="66"/>
      <c r="B1068" s="67"/>
      <c r="C1068" s="67"/>
      <c r="D1068" s="68"/>
      <c r="E1068" s="68"/>
      <c r="F1068" s="68"/>
      <c r="G1068" s="68"/>
      <c r="H1068" s="68"/>
      <c r="I1068" s="69"/>
      <c r="J1068" s="67"/>
      <c r="K1068" s="67"/>
      <c r="L1068" s="67"/>
      <c r="M1068" s="67"/>
      <c r="N1068" s="67"/>
      <c r="O1068" s="67"/>
      <c r="P1068" s="67"/>
      <c r="Q1068" s="77"/>
      <c r="R1068" s="68"/>
      <c r="S1068" s="68"/>
      <c r="T1068" s="67"/>
      <c r="U1068" s="68"/>
      <c r="V1068" s="68"/>
      <c r="W1068" s="67"/>
      <c r="X1068" s="67"/>
      <c r="Y1068" s="67"/>
      <c r="Z1068" s="67"/>
      <c r="AA1068" s="67"/>
      <c r="AB1068" s="67"/>
      <c r="AC1068" s="67"/>
    </row>
    <row r="1069">
      <c r="A1069" s="66"/>
      <c r="B1069" s="67"/>
      <c r="C1069" s="67"/>
      <c r="D1069" s="68"/>
      <c r="E1069" s="68"/>
      <c r="F1069" s="68"/>
      <c r="G1069" s="68"/>
      <c r="H1069" s="68"/>
      <c r="I1069" s="69"/>
      <c r="J1069" s="67"/>
      <c r="K1069" s="67"/>
      <c r="L1069" s="67"/>
      <c r="M1069" s="67"/>
      <c r="N1069" s="67"/>
      <c r="O1069" s="67"/>
      <c r="P1069" s="67"/>
      <c r="Q1069" s="77"/>
      <c r="R1069" s="68"/>
      <c r="S1069" s="68"/>
      <c r="T1069" s="67"/>
      <c r="U1069" s="68"/>
      <c r="V1069" s="68"/>
      <c r="W1069" s="67"/>
      <c r="X1069" s="67"/>
      <c r="Y1069" s="67"/>
      <c r="Z1069" s="67"/>
      <c r="AA1069" s="67"/>
      <c r="AB1069" s="67"/>
      <c r="AC1069" s="67"/>
    </row>
    <row r="1070">
      <c r="A1070" s="66"/>
      <c r="B1070" s="67"/>
      <c r="C1070" s="67"/>
      <c r="D1070" s="68"/>
      <c r="E1070" s="68"/>
      <c r="F1070" s="68"/>
      <c r="G1070" s="68"/>
      <c r="H1070" s="68"/>
      <c r="I1070" s="69"/>
      <c r="J1070" s="67"/>
      <c r="K1070" s="67"/>
      <c r="L1070" s="67"/>
      <c r="M1070" s="67"/>
      <c r="N1070" s="67"/>
      <c r="O1070" s="67"/>
      <c r="P1070" s="67"/>
      <c r="Q1070" s="77"/>
      <c r="R1070" s="68"/>
      <c r="S1070" s="68"/>
      <c r="T1070" s="67"/>
      <c r="U1070" s="68"/>
      <c r="V1070" s="68"/>
      <c r="W1070" s="67"/>
      <c r="X1070" s="67"/>
      <c r="Y1070" s="67"/>
      <c r="Z1070" s="67"/>
      <c r="AA1070" s="67"/>
      <c r="AB1070" s="67"/>
      <c r="AC1070" s="67"/>
    </row>
    <row r="1071">
      <c r="A1071" s="66"/>
      <c r="B1071" s="67"/>
      <c r="C1071" s="67"/>
      <c r="D1071" s="68"/>
      <c r="E1071" s="68"/>
      <c r="F1071" s="68"/>
      <c r="G1071" s="68"/>
      <c r="H1071" s="68"/>
      <c r="I1071" s="69"/>
      <c r="J1071" s="67"/>
      <c r="K1071" s="67"/>
      <c r="L1071" s="67"/>
      <c r="M1071" s="67"/>
      <c r="N1071" s="67"/>
      <c r="O1071" s="67"/>
      <c r="P1071" s="67"/>
      <c r="Q1071" s="77"/>
      <c r="R1071" s="68"/>
      <c r="S1071" s="68"/>
      <c r="T1071" s="67"/>
      <c r="U1071" s="68"/>
      <c r="V1071" s="68"/>
      <c r="W1071" s="67"/>
      <c r="X1071" s="67"/>
      <c r="Y1071" s="67"/>
      <c r="Z1071" s="67"/>
      <c r="AA1071" s="67"/>
      <c r="AB1071" s="67"/>
      <c r="AC1071" s="67"/>
    </row>
    <row r="1072">
      <c r="A1072" s="66"/>
      <c r="B1072" s="67"/>
      <c r="C1072" s="67"/>
      <c r="D1072" s="68"/>
      <c r="E1072" s="68"/>
      <c r="F1072" s="68"/>
      <c r="G1072" s="68"/>
      <c r="H1072" s="68"/>
      <c r="I1072" s="69"/>
      <c r="J1072" s="67"/>
      <c r="K1072" s="67"/>
      <c r="L1072" s="67"/>
      <c r="M1072" s="67"/>
      <c r="N1072" s="67"/>
      <c r="O1072" s="67"/>
      <c r="P1072" s="67"/>
      <c r="Q1072" s="77"/>
      <c r="R1072" s="68"/>
      <c r="S1072" s="68"/>
      <c r="T1072" s="67"/>
      <c r="U1072" s="68"/>
      <c r="V1072" s="68"/>
      <c r="W1072" s="67"/>
      <c r="X1072" s="67"/>
      <c r="Y1072" s="67"/>
      <c r="Z1072" s="67"/>
      <c r="AA1072" s="67"/>
      <c r="AB1072" s="67"/>
      <c r="AC1072" s="67"/>
    </row>
    <row r="1073">
      <c r="A1073" s="66"/>
      <c r="B1073" s="67"/>
      <c r="C1073" s="67"/>
      <c r="D1073" s="68"/>
      <c r="E1073" s="68"/>
      <c r="F1073" s="68"/>
      <c r="G1073" s="68"/>
      <c r="H1073" s="68"/>
      <c r="I1073" s="69"/>
      <c r="J1073" s="67"/>
      <c r="K1073" s="67"/>
      <c r="L1073" s="67"/>
      <c r="M1073" s="67"/>
      <c r="N1073" s="67"/>
      <c r="O1073" s="67"/>
      <c r="P1073" s="67"/>
      <c r="Q1073" s="77"/>
      <c r="R1073" s="68"/>
      <c r="S1073" s="68"/>
      <c r="T1073" s="67"/>
      <c r="U1073" s="68"/>
      <c r="V1073" s="68"/>
      <c r="W1073" s="67"/>
      <c r="X1073" s="67"/>
      <c r="Y1073" s="67"/>
      <c r="Z1073" s="67"/>
      <c r="AA1073" s="67"/>
      <c r="AB1073" s="67"/>
      <c r="AC1073" s="67"/>
    </row>
    <row r="1074">
      <c r="A1074" s="66"/>
      <c r="B1074" s="67"/>
      <c r="C1074" s="67"/>
      <c r="D1074" s="68"/>
      <c r="E1074" s="68"/>
      <c r="F1074" s="68"/>
      <c r="G1074" s="68"/>
      <c r="H1074" s="68"/>
      <c r="I1074" s="69"/>
      <c r="J1074" s="67"/>
      <c r="K1074" s="67"/>
      <c r="L1074" s="67"/>
      <c r="M1074" s="67"/>
      <c r="N1074" s="67"/>
      <c r="O1074" s="67"/>
      <c r="P1074" s="67"/>
      <c r="Q1074" s="77"/>
      <c r="R1074" s="68"/>
      <c r="S1074" s="68"/>
      <c r="T1074" s="67"/>
      <c r="U1074" s="68"/>
      <c r="V1074" s="68"/>
      <c r="W1074" s="67"/>
      <c r="X1074" s="67"/>
      <c r="Y1074" s="67"/>
      <c r="Z1074" s="67"/>
      <c r="AA1074" s="67"/>
      <c r="AB1074" s="67"/>
      <c r="AC1074" s="67"/>
    </row>
    <row r="1075">
      <c r="A1075" s="66"/>
      <c r="B1075" s="67"/>
      <c r="C1075" s="67"/>
      <c r="D1075" s="68"/>
      <c r="E1075" s="68"/>
      <c r="F1075" s="68"/>
      <c r="G1075" s="68"/>
      <c r="H1075" s="68"/>
      <c r="I1075" s="69"/>
      <c r="J1075" s="67"/>
      <c r="K1075" s="67"/>
      <c r="L1075" s="67"/>
      <c r="M1075" s="67"/>
      <c r="N1075" s="67"/>
      <c r="O1075" s="67"/>
      <c r="P1075" s="67"/>
      <c r="Q1075" s="77"/>
      <c r="R1075" s="68"/>
      <c r="S1075" s="68"/>
      <c r="T1075" s="67"/>
      <c r="U1075" s="68"/>
      <c r="V1075" s="68"/>
      <c r="W1075" s="67"/>
      <c r="X1075" s="67"/>
      <c r="Y1075" s="67"/>
      <c r="Z1075" s="67"/>
      <c r="AA1075" s="67"/>
      <c r="AB1075" s="67"/>
      <c r="AC1075" s="67"/>
    </row>
    <row r="1076">
      <c r="A1076" s="66"/>
      <c r="B1076" s="67"/>
      <c r="C1076" s="67"/>
      <c r="D1076" s="68"/>
      <c r="E1076" s="68"/>
      <c r="F1076" s="68"/>
      <c r="G1076" s="68"/>
      <c r="H1076" s="68"/>
      <c r="I1076" s="69"/>
      <c r="J1076" s="67"/>
      <c r="K1076" s="67"/>
      <c r="L1076" s="67"/>
      <c r="M1076" s="67"/>
      <c r="N1076" s="67"/>
      <c r="O1076" s="67"/>
      <c r="P1076" s="67"/>
      <c r="Q1076" s="77"/>
      <c r="R1076" s="68"/>
      <c r="S1076" s="68"/>
      <c r="T1076" s="67"/>
      <c r="U1076" s="68"/>
      <c r="V1076" s="68"/>
      <c r="W1076" s="67"/>
      <c r="X1076" s="67"/>
      <c r="Y1076" s="67"/>
      <c r="Z1076" s="67"/>
      <c r="AA1076" s="67"/>
      <c r="AB1076" s="67"/>
      <c r="AC1076" s="67"/>
    </row>
    <row r="1077">
      <c r="A1077" s="66"/>
      <c r="B1077" s="67"/>
      <c r="C1077" s="67"/>
      <c r="D1077" s="68"/>
      <c r="E1077" s="68"/>
      <c r="F1077" s="68"/>
      <c r="G1077" s="68"/>
      <c r="H1077" s="68"/>
      <c r="I1077" s="69"/>
      <c r="J1077" s="67"/>
      <c r="K1077" s="67"/>
      <c r="L1077" s="67"/>
      <c r="M1077" s="67"/>
      <c r="N1077" s="67"/>
      <c r="O1077" s="67"/>
      <c r="P1077" s="67"/>
      <c r="Q1077" s="77"/>
      <c r="R1077" s="68"/>
      <c r="S1077" s="68"/>
      <c r="T1077" s="67"/>
      <c r="U1077" s="68"/>
      <c r="V1077" s="68"/>
      <c r="W1077" s="67"/>
      <c r="X1077" s="67"/>
      <c r="Y1077" s="67"/>
      <c r="Z1077" s="67"/>
      <c r="AA1077" s="67"/>
      <c r="AB1077" s="67"/>
      <c r="AC1077" s="67"/>
    </row>
    <row r="1078">
      <c r="A1078" s="66"/>
      <c r="B1078" s="67"/>
      <c r="C1078" s="67"/>
      <c r="D1078" s="68"/>
      <c r="E1078" s="68"/>
      <c r="F1078" s="68"/>
      <c r="G1078" s="68"/>
      <c r="H1078" s="68"/>
      <c r="I1078" s="69"/>
      <c r="J1078" s="67"/>
      <c r="K1078" s="67"/>
      <c r="L1078" s="67"/>
      <c r="M1078" s="67"/>
      <c r="N1078" s="67"/>
      <c r="O1078" s="67"/>
      <c r="P1078" s="67"/>
      <c r="Q1078" s="77"/>
      <c r="R1078" s="68"/>
      <c r="S1078" s="68"/>
      <c r="T1078" s="67"/>
      <c r="U1078" s="68"/>
      <c r="V1078" s="68"/>
      <c r="W1078" s="67"/>
      <c r="X1078" s="67"/>
      <c r="Y1078" s="67"/>
      <c r="Z1078" s="67"/>
      <c r="AA1078" s="67"/>
      <c r="AB1078" s="67"/>
      <c r="AC1078" s="67"/>
    </row>
    <row r="1079">
      <c r="A1079" s="66"/>
      <c r="B1079" s="67"/>
      <c r="C1079" s="67"/>
      <c r="D1079" s="68"/>
      <c r="E1079" s="68"/>
      <c r="F1079" s="68"/>
      <c r="G1079" s="68"/>
      <c r="H1079" s="68"/>
      <c r="I1079" s="69"/>
      <c r="J1079" s="67"/>
      <c r="K1079" s="67"/>
      <c r="L1079" s="67"/>
      <c r="M1079" s="67"/>
      <c r="N1079" s="67"/>
      <c r="O1079" s="67"/>
      <c r="P1079" s="67"/>
      <c r="Q1079" s="77"/>
      <c r="R1079" s="68"/>
      <c r="S1079" s="68"/>
      <c r="T1079" s="67"/>
      <c r="U1079" s="68"/>
      <c r="V1079" s="68"/>
      <c r="W1079" s="67"/>
      <c r="X1079" s="67"/>
      <c r="Y1079" s="67"/>
      <c r="Z1079" s="67"/>
      <c r="AA1079" s="67"/>
      <c r="AB1079" s="67"/>
      <c r="AC1079" s="67"/>
    </row>
    <row r="1080">
      <c r="A1080" s="66"/>
      <c r="B1080" s="67"/>
      <c r="C1080" s="67"/>
      <c r="D1080" s="68"/>
      <c r="E1080" s="68"/>
      <c r="F1080" s="68"/>
      <c r="G1080" s="68"/>
      <c r="H1080" s="68"/>
      <c r="I1080" s="69"/>
      <c r="J1080" s="67"/>
      <c r="K1080" s="67"/>
      <c r="L1080" s="67"/>
      <c r="M1080" s="67"/>
      <c r="N1080" s="67"/>
      <c r="O1080" s="67"/>
      <c r="P1080" s="67"/>
      <c r="Q1080" s="77"/>
      <c r="R1080" s="68"/>
      <c r="S1080" s="68"/>
      <c r="T1080" s="67"/>
      <c r="U1080" s="68"/>
      <c r="V1080" s="68"/>
      <c r="W1080" s="67"/>
      <c r="X1080" s="67"/>
      <c r="Y1080" s="67"/>
      <c r="Z1080" s="67"/>
      <c r="AA1080" s="67"/>
      <c r="AB1080" s="67"/>
      <c r="AC1080" s="67"/>
    </row>
    <row r="1081">
      <c r="A1081" s="66"/>
      <c r="B1081" s="67"/>
      <c r="C1081" s="67"/>
      <c r="D1081" s="68"/>
      <c r="E1081" s="68"/>
      <c r="F1081" s="68"/>
      <c r="G1081" s="68"/>
      <c r="H1081" s="68"/>
      <c r="I1081" s="69"/>
      <c r="J1081" s="67"/>
      <c r="K1081" s="67"/>
      <c r="L1081" s="67"/>
      <c r="M1081" s="67"/>
      <c r="N1081" s="67"/>
      <c r="O1081" s="67"/>
      <c r="P1081" s="67"/>
      <c r="Q1081" s="77"/>
      <c r="R1081" s="68"/>
      <c r="S1081" s="68"/>
      <c r="T1081" s="67"/>
      <c r="U1081" s="68"/>
      <c r="V1081" s="68"/>
      <c r="W1081" s="67"/>
      <c r="X1081" s="67"/>
      <c r="Y1081" s="67"/>
      <c r="Z1081" s="67"/>
      <c r="AA1081" s="67"/>
      <c r="AB1081" s="67"/>
      <c r="AC1081" s="67"/>
    </row>
    <row r="1082">
      <c r="A1082" s="66"/>
      <c r="B1082" s="67"/>
      <c r="C1082" s="67"/>
      <c r="D1082" s="68"/>
      <c r="E1082" s="68"/>
      <c r="F1082" s="68"/>
      <c r="G1082" s="68"/>
      <c r="H1082" s="68"/>
      <c r="I1082" s="69"/>
      <c r="J1082" s="67"/>
      <c r="K1082" s="67"/>
      <c r="L1082" s="67"/>
      <c r="M1082" s="67"/>
      <c r="N1082" s="67"/>
      <c r="O1082" s="67"/>
      <c r="P1082" s="67"/>
      <c r="Q1082" s="77"/>
      <c r="R1082" s="68"/>
      <c r="S1082" s="68"/>
      <c r="T1082" s="67"/>
      <c r="U1082" s="68"/>
      <c r="V1082" s="68"/>
      <c r="W1082" s="67"/>
      <c r="X1082" s="67"/>
      <c r="Y1082" s="67"/>
      <c r="Z1082" s="67"/>
      <c r="AA1082" s="67"/>
      <c r="AB1082" s="67"/>
      <c r="AC1082" s="67"/>
    </row>
    <row r="1083">
      <c r="A1083" s="66"/>
      <c r="B1083" s="67"/>
      <c r="C1083" s="67"/>
      <c r="D1083" s="68"/>
      <c r="E1083" s="68"/>
      <c r="F1083" s="68"/>
      <c r="G1083" s="68"/>
      <c r="H1083" s="68"/>
      <c r="I1083" s="69"/>
      <c r="J1083" s="67"/>
      <c r="K1083" s="67"/>
      <c r="L1083" s="67"/>
      <c r="M1083" s="67"/>
      <c r="N1083" s="67"/>
      <c r="O1083" s="67"/>
      <c r="P1083" s="67"/>
      <c r="Q1083" s="77"/>
      <c r="R1083" s="68"/>
      <c r="S1083" s="68"/>
      <c r="T1083" s="67"/>
      <c r="U1083" s="68"/>
      <c r="V1083" s="68"/>
      <c r="W1083" s="67"/>
      <c r="X1083" s="67"/>
      <c r="Y1083" s="67"/>
      <c r="Z1083" s="67"/>
      <c r="AA1083" s="67"/>
      <c r="AB1083" s="67"/>
      <c r="AC1083" s="67"/>
    </row>
    <row r="1084">
      <c r="A1084" s="66"/>
      <c r="B1084" s="67"/>
      <c r="C1084" s="67"/>
      <c r="D1084" s="68"/>
      <c r="E1084" s="68"/>
      <c r="F1084" s="68"/>
      <c r="G1084" s="68"/>
      <c r="H1084" s="68"/>
      <c r="I1084" s="69"/>
      <c r="J1084" s="67"/>
      <c r="K1084" s="67"/>
      <c r="L1084" s="67"/>
      <c r="M1084" s="67"/>
      <c r="N1084" s="67"/>
      <c r="O1084" s="67"/>
      <c r="P1084" s="67"/>
      <c r="Q1084" s="77"/>
      <c r="R1084" s="68"/>
      <c r="S1084" s="68"/>
      <c r="T1084" s="67"/>
      <c r="U1084" s="68"/>
      <c r="V1084" s="68"/>
      <c r="W1084" s="67"/>
      <c r="X1084" s="67"/>
      <c r="Y1084" s="67"/>
      <c r="Z1084" s="67"/>
      <c r="AA1084" s="67"/>
      <c r="AB1084" s="67"/>
      <c r="AC1084" s="67"/>
    </row>
    <row r="1085">
      <c r="A1085" s="66"/>
      <c r="B1085" s="67"/>
      <c r="C1085" s="67"/>
      <c r="D1085" s="68"/>
      <c r="E1085" s="68"/>
      <c r="F1085" s="68"/>
      <c r="G1085" s="68"/>
      <c r="H1085" s="68"/>
      <c r="I1085" s="69"/>
      <c r="J1085" s="67"/>
      <c r="K1085" s="67"/>
      <c r="L1085" s="67"/>
      <c r="M1085" s="67"/>
      <c r="N1085" s="67"/>
      <c r="O1085" s="67"/>
      <c r="P1085" s="67"/>
      <c r="Q1085" s="77"/>
      <c r="R1085" s="68"/>
      <c r="S1085" s="68"/>
      <c r="T1085" s="67"/>
      <c r="U1085" s="68"/>
      <c r="V1085" s="68"/>
      <c r="W1085" s="67"/>
      <c r="X1085" s="67"/>
      <c r="Y1085" s="67"/>
      <c r="Z1085" s="67"/>
      <c r="AA1085" s="67"/>
      <c r="AB1085" s="67"/>
      <c r="AC1085" s="67"/>
    </row>
    <row r="1086">
      <c r="A1086" s="66"/>
      <c r="B1086" s="67"/>
      <c r="C1086" s="67"/>
      <c r="D1086" s="68"/>
      <c r="E1086" s="68"/>
      <c r="F1086" s="68"/>
      <c r="G1086" s="68"/>
      <c r="H1086" s="68"/>
      <c r="I1086" s="69"/>
      <c r="J1086" s="67"/>
      <c r="K1086" s="67"/>
      <c r="L1086" s="67"/>
      <c r="M1086" s="67"/>
      <c r="N1086" s="67"/>
      <c r="O1086" s="67"/>
      <c r="P1086" s="67"/>
      <c r="Q1086" s="77"/>
      <c r="R1086" s="68"/>
      <c r="S1086" s="68"/>
      <c r="T1086" s="67"/>
      <c r="U1086" s="68"/>
      <c r="V1086" s="68"/>
      <c r="W1086" s="67"/>
      <c r="X1086" s="67"/>
      <c r="Y1086" s="67"/>
      <c r="Z1086" s="67"/>
      <c r="AA1086" s="67"/>
      <c r="AB1086" s="67"/>
      <c r="AC1086" s="67"/>
    </row>
    <row r="1087">
      <c r="A1087" s="66"/>
      <c r="B1087" s="67"/>
      <c r="C1087" s="67"/>
      <c r="D1087" s="68"/>
      <c r="E1087" s="68"/>
      <c r="F1087" s="68"/>
      <c r="G1087" s="68"/>
      <c r="H1087" s="68"/>
      <c r="I1087" s="69"/>
      <c r="J1087" s="67"/>
      <c r="K1087" s="67"/>
      <c r="L1087" s="67"/>
      <c r="M1087" s="67"/>
      <c r="N1087" s="67"/>
      <c r="O1087" s="67"/>
      <c r="P1087" s="67"/>
      <c r="Q1087" s="77"/>
      <c r="R1087" s="68"/>
      <c r="S1087" s="68"/>
      <c r="T1087" s="67"/>
      <c r="U1087" s="68"/>
      <c r="V1087" s="68"/>
      <c r="W1087" s="67"/>
      <c r="X1087" s="67"/>
      <c r="Y1087" s="67"/>
      <c r="Z1087" s="67"/>
      <c r="AA1087" s="67"/>
      <c r="AB1087" s="67"/>
      <c r="AC1087" s="67"/>
    </row>
    <row r="1088">
      <c r="A1088" s="66"/>
      <c r="B1088" s="67"/>
      <c r="C1088" s="67"/>
      <c r="D1088" s="68"/>
      <c r="E1088" s="68"/>
      <c r="F1088" s="68"/>
      <c r="G1088" s="68"/>
      <c r="H1088" s="68"/>
      <c r="I1088" s="69"/>
      <c r="J1088" s="67"/>
      <c r="K1088" s="67"/>
      <c r="L1088" s="67"/>
      <c r="M1088" s="67"/>
      <c r="N1088" s="67"/>
      <c r="O1088" s="67"/>
      <c r="P1088" s="67"/>
      <c r="Q1088" s="77"/>
      <c r="R1088" s="68"/>
      <c r="S1088" s="68"/>
      <c r="T1088" s="67"/>
      <c r="U1088" s="68"/>
      <c r="V1088" s="68"/>
      <c r="W1088" s="67"/>
      <c r="X1088" s="67"/>
      <c r="Y1088" s="67"/>
      <c r="Z1088" s="67"/>
      <c r="AA1088" s="67"/>
      <c r="AB1088" s="67"/>
      <c r="AC1088" s="67"/>
    </row>
    <row r="1089">
      <c r="A1089" s="66"/>
      <c r="B1089" s="67"/>
      <c r="C1089" s="67"/>
      <c r="D1089" s="68"/>
      <c r="E1089" s="68"/>
      <c r="F1089" s="68"/>
      <c r="G1089" s="68"/>
      <c r="H1089" s="68"/>
      <c r="I1089" s="69"/>
      <c r="J1089" s="67"/>
      <c r="K1089" s="67"/>
      <c r="L1089" s="67"/>
      <c r="M1089" s="67"/>
      <c r="N1089" s="67"/>
      <c r="O1089" s="67"/>
      <c r="P1089" s="67"/>
      <c r="Q1089" s="77"/>
      <c r="R1089" s="68"/>
      <c r="S1089" s="68"/>
      <c r="T1089" s="67"/>
      <c r="U1089" s="68"/>
      <c r="V1089" s="68"/>
      <c r="W1089" s="67"/>
      <c r="X1089" s="67"/>
      <c r="Y1089" s="67"/>
      <c r="Z1089" s="67"/>
      <c r="AA1089" s="67"/>
      <c r="AB1089" s="67"/>
      <c r="AC1089" s="67"/>
    </row>
    <row r="1090">
      <c r="A1090" s="66"/>
      <c r="B1090" s="67"/>
      <c r="C1090" s="67"/>
      <c r="D1090" s="68"/>
      <c r="E1090" s="68"/>
      <c r="F1090" s="68"/>
      <c r="G1090" s="68"/>
      <c r="H1090" s="68"/>
      <c r="I1090" s="69"/>
      <c r="J1090" s="67"/>
      <c r="K1090" s="67"/>
      <c r="L1090" s="67"/>
      <c r="M1090" s="67"/>
      <c r="N1090" s="67"/>
      <c r="O1090" s="67"/>
      <c r="P1090" s="67"/>
      <c r="Q1090" s="77"/>
      <c r="R1090" s="68"/>
      <c r="S1090" s="68"/>
      <c r="T1090" s="67"/>
      <c r="U1090" s="68"/>
      <c r="V1090" s="68"/>
      <c r="W1090" s="67"/>
      <c r="X1090" s="67"/>
      <c r="Y1090" s="67"/>
      <c r="Z1090" s="67"/>
      <c r="AA1090" s="67"/>
      <c r="AB1090" s="67"/>
      <c r="AC1090" s="67"/>
    </row>
    <row r="1091">
      <c r="A1091" s="66"/>
      <c r="B1091" s="67"/>
      <c r="C1091" s="67"/>
      <c r="D1091" s="68"/>
      <c r="E1091" s="68"/>
      <c r="F1091" s="68"/>
      <c r="G1091" s="68"/>
      <c r="H1091" s="68"/>
      <c r="I1091" s="69"/>
      <c r="J1091" s="67"/>
      <c r="K1091" s="67"/>
      <c r="L1091" s="67"/>
      <c r="M1091" s="67"/>
      <c r="N1091" s="67"/>
      <c r="O1091" s="67"/>
      <c r="P1091" s="67"/>
      <c r="Q1091" s="77"/>
      <c r="R1091" s="68"/>
      <c r="S1091" s="68"/>
      <c r="T1091" s="67"/>
      <c r="U1091" s="68"/>
      <c r="V1091" s="68"/>
      <c r="W1091" s="67"/>
      <c r="X1091" s="67"/>
      <c r="Y1091" s="67"/>
      <c r="Z1091" s="67"/>
      <c r="AA1091" s="67"/>
      <c r="AB1091" s="67"/>
      <c r="AC1091" s="67"/>
    </row>
    <row r="1092">
      <c r="A1092" s="66"/>
      <c r="B1092" s="67"/>
      <c r="C1092" s="67"/>
      <c r="D1092" s="68"/>
      <c r="E1092" s="68"/>
      <c r="F1092" s="68"/>
      <c r="G1092" s="68"/>
      <c r="H1092" s="68"/>
      <c r="I1092" s="69"/>
      <c r="J1092" s="67"/>
      <c r="K1092" s="67"/>
      <c r="L1092" s="67"/>
      <c r="M1092" s="67"/>
      <c r="N1092" s="67"/>
      <c r="O1092" s="67"/>
      <c r="P1092" s="67"/>
      <c r="Q1092" s="77"/>
      <c r="R1092" s="68"/>
      <c r="S1092" s="68"/>
      <c r="T1092" s="67"/>
      <c r="U1092" s="68"/>
      <c r="V1092" s="68"/>
      <c r="W1092" s="67"/>
      <c r="X1092" s="67"/>
      <c r="Y1092" s="67"/>
      <c r="Z1092" s="67"/>
      <c r="AA1092" s="67"/>
      <c r="AB1092" s="67"/>
      <c r="AC1092" s="67"/>
    </row>
    <row r="1093">
      <c r="A1093" s="66"/>
      <c r="B1093" s="67"/>
      <c r="C1093" s="67"/>
      <c r="D1093" s="68"/>
      <c r="E1093" s="68"/>
      <c r="F1093" s="68"/>
      <c r="G1093" s="68"/>
      <c r="H1093" s="68"/>
      <c r="I1093" s="69"/>
      <c r="J1093" s="67"/>
      <c r="K1093" s="67"/>
      <c r="L1093" s="67"/>
      <c r="M1093" s="67"/>
      <c r="N1093" s="67"/>
      <c r="O1093" s="67"/>
      <c r="P1093" s="67"/>
      <c r="Q1093" s="77"/>
      <c r="R1093" s="68"/>
      <c r="S1093" s="68"/>
      <c r="T1093" s="67"/>
      <c r="U1093" s="68"/>
      <c r="V1093" s="68"/>
      <c r="W1093" s="67"/>
      <c r="X1093" s="67"/>
      <c r="Y1093" s="67"/>
      <c r="Z1093" s="67"/>
      <c r="AA1093" s="67"/>
      <c r="AB1093" s="67"/>
      <c r="AC1093" s="67"/>
    </row>
    <row r="1094">
      <c r="A1094" s="66"/>
      <c r="B1094" s="67"/>
      <c r="C1094" s="67"/>
      <c r="D1094" s="68"/>
      <c r="E1094" s="68"/>
      <c r="F1094" s="68"/>
      <c r="G1094" s="68"/>
      <c r="H1094" s="68"/>
      <c r="I1094" s="69"/>
      <c r="J1094" s="67"/>
      <c r="K1094" s="67"/>
      <c r="L1094" s="67"/>
      <c r="M1094" s="67"/>
      <c r="N1094" s="67"/>
      <c r="O1094" s="67"/>
      <c r="P1094" s="67"/>
      <c r="Q1094" s="77"/>
      <c r="R1094" s="68"/>
      <c r="S1094" s="68"/>
      <c r="T1094" s="67"/>
      <c r="U1094" s="68"/>
      <c r="V1094" s="68"/>
      <c r="W1094" s="67"/>
      <c r="X1094" s="67"/>
      <c r="Y1094" s="67"/>
      <c r="Z1094" s="67"/>
      <c r="AA1094" s="67"/>
      <c r="AB1094" s="67"/>
      <c r="AC1094" s="67"/>
    </row>
    <row r="1095">
      <c r="A1095" s="66"/>
      <c r="B1095" s="67"/>
      <c r="C1095" s="67"/>
      <c r="D1095" s="68"/>
      <c r="E1095" s="68"/>
      <c r="F1095" s="68"/>
      <c r="G1095" s="68"/>
      <c r="H1095" s="68"/>
      <c r="I1095" s="69"/>
      <c r="J1095" s="67"/>
      <c r="K1095" s="67"/>
      <c r="L1095" s="67"/>
      <c r="M1095" s="67"/>
      <c r="N1095" s="67"/>
      <c r="O1095" s="67"/>
      <c r="P1095" s="67"/>
      <c r="Q1095" s="77"/>
      <c r="R1095" s="68"/>
      <c r="S1095" s="68"/>
      <c r="T1095" s="67"/>
      <c r="U1095" s="68"/>
      <c r="V1095" s="68"/>
      <c r="W1095" s="67"/>
      <c r="X1095" s="67"/>
      <c r="Y1095" s="67"/>
      <c r="Z1095" s="67"/>
      <c r="AA1095" s="67"/>
      <c r="AB1095" s="67"/>
      <c r="AC1095" s="67"/>
    </row>
    <row r="1096">
      <c r="A1096" s="66"/>
      <c r="B1096" s="67"/>
      <c r="C1096" s="67"/>
      <c r="D1096" s="68"/>
      <c r="E1096" s="68"/>
      <c r="F1096" s="68"/>
      <c r="G1096" s="68"/>
      <c r="H1096" s="68"/>
      <c r="I1096" s="69"/>
      <c r="J1096" s="67"/>
      <c r="K1096" s="67"/>
      <c r="L1096" s="67"/>
      <c r="M1096" s="67"/>
      <c r="N1096" s="67"/>
      <c r="O1096" s="67"/>
      <c r="P1096" s="67"/>
      <c r="Q1096" s="77"/>
      <c r="R1096" s="68"/>
      <c r="S1096" s="68"/>
      <c r="T1096" s="67"/>
      <c r="U1096" s="68"/>
      <c r="V1096" s="68"/>
      <c r="W1096" s="67"/>
      <c r="X1096" s="67"/>
      <c r="Y1096" s="67"/>
      <c r="Z1096" s="67"/>
      <c r="AA1096" s="67"/>
      <c r="AB1096" s="67"/>
      <c r="AC1096" s="67"/>
    </row>
    <row r="1097">
      <c r="A1097" s="66"/>
      <c r="B1097" s="67"/>
      <c r="C1097" s="67"/>
      <c r="D1097" s="68"/>
      <c r="E1097" s="68"/>
      <c r="F1097" s="68"/>
      <c r="G1097" s="68"/>
      <c r="H1097" s="68"/>
      <c r="I1097" s="69"/>
      <c r="J1097" s="67"/>
      <c r="K1097" s="67"/>
      <c r="L1097" s="67"/>
      <c r="M1097" s="67"/>
      <c r="N1097" s="67"/>
      <c r="O1097" s="67"/>
      <c r="P1097" s="67"/>
      <c r="Q1097" s="77"/>
      <c r="R1097" s="68"/>
      <c r="S1097" s="68"/>
      <c r="T1097" s="67"/>
      <c r="U1097" s="68"/>
      <c r="V1097" s="68"/>
      <c r="W1097" s="67"/>
      <c r="X1097" s="67"/>
      <c r="Y1097" s="67"/>
      <c r="Z1097" s="67"/>
      <c r="AA1097" s="67"/>
      <c r="AB1097" s="67"/>
      <c r="AC1097" s="67"/>
    </row>
    <row r="1098">
      <c r="A1098" s="66"/>
      <c r="B1098" s="67"/>
      <c r="C1098" s="67"/>
      <c r="D1098" s="68"/>
      <c r="E1098" s="68"/>
      <c r="F1098" s="68"/>
      <c r="G1098" s="68"/>
      <c r="H1098" s="68"/>
      <c r="I1098" s="69"/>
      <c r="J1098" s="67"/>
      <c r="K1098" s="67"/>
      <c r="L1098" s="67"/>
      <c r="M1098" s="67"/>
      <c r="N1098" s="67"/>
      <c r="O1098" s="67"/>
      <c r="P1098" s="67"/>
      <c r="Q1098" s="77"/>
      <c r="R1098" s="68"/>
      <c r="S1098" s="68"/>
      <c r="T1098" s="67"/>
      <c r="U1098" s="68"/>
      <c r="V1098" s="68"/>
      <c r="W1098" s="67"/>
      <c r="X1098" s="67"/>
      <c r="Y1098" s="67"/>
      <c r="Z1098" s="67"/>
      <c r="AA1098" s="67"/>
      <c r="AB1098" s="67"/>
      <c r="AC1098" s="67"/>
    </row>
    <row r="1099">
      <c r="A1099" s="66"/>
      <c r="B1099" s="67"/>
      <c r="C1099" s="67"/>
      <c r="D1099" s="68"/>
      <c r="E1099" s="68"/>
      <c r="F1099" s="68"/>
      <c r="G1099" s="68"/>
      <c r="H1099" s="68"/>
      <c r="I1099" s="69"/>
      <c r="J1099" s="67"/>
      <c r="K1099" s="67"/>
      <c r="L1099" s="67"/>
      <c r="M1099" s="67"/>
      <c r="N1099" s="67"/>
      <c r="O1099" s="67"/>
      <c r="P1099" s="67"/>
      <c r="Q1099" s="77"/>
      <c r="R1099" s="68"/>
      <c r="S1099" s="68"/>
      <c r="T1099" s="67"/>
      <c r="U1099" s="68"/>
      <c r="V1099" s="68"/>
      <c r="W1099" s="67"/>
      <c r="X1099" s="67"/>
      <c r="Y1099" s="67"/>
      <c r="Z1099" s="67"/>
      <c r="AA1099" s="67"/>
      <c r="AB1099" s="67"/>
      <c r="AC1099" s="67"/>
    </row>
    <row r="1100">
      <c r="A1100" s="66"/>
      <c r="B1100" s="67"/>
      <c r="C1100" s="67"/>
      <c r="D1100" s="68"/>
      <c r="E1100" s="68"/>
      <c r="F1100" s="68"/>
      <c r="G1100" s="68"/>
      <c r="H1100" s="68"/>
      <c r="I1100" s="69"/>
      <c r="J1100" s="67"/>
      <c r="K1100" s="67"/>
      <c r="L1100" s="67"/>
      <c r="M1100" s="67"/>
      <c r="N1100" s="67"/>
      <c r="O1100" s="67"/>
      <c r="P1100" s="67"/>
      <c r="Q1100" s="77"/>
      <c r="R1100" s="68"/>
      <c r="S1100" s="68"/>
      <c r="T1100" s="67"/>
      <c r="U1100" s="68"/>
      <c r="V1100" s="68"/>
      <c r="W1100" s="67"/>
      <c r="X1100" s="67"/>
      <c r="Y1100" s="67"/>
      <c r="Z1100" s="67"/>
      <c r="AA1100" s="67"/>
      <c r="AB1100" s="67"/>
      <c r="AC1100" s="67"/>
    </row>
    <row r="1101">
      <c r="A1101" s="66"/>
      <c r="B1101" s="67"/>
      <c r="C1101" s="67"/>
      <c r="D1101" s="68"/>
      <c r="E1101" s="68"/>
      <c r="F1101" s="68"/>
      <c r="G1101" s="68"/>
      <c r="H1101" s="68"/>
      <c r="I1101" s="69"/>
      <c r="J1101" s="67"/>
      <c r="K1101" s="67"/>
      <c r="L1101" s="67"/>
      <c r="M1101" s="67"/>
      <c r="N1101" s="67"/>
      <c r="O1101" s="67"/>
      <c r="P1101" s="67"/>
      <c r="Q1101" s="77"/>
      <c r="R1101" s="68"/>
      <c r="S1101" s="68"/>
      <c r="T1101" s="67"/>
      <c r="U1101" s="68"/>
      <c r="V1101" s="68"/>
      <c r="W1101" s="67"/>
      <c r="X1101" s="67"/>
      <c r="Y1101" s="67"/>
      <c r="Z1101" s="67"/>
      <c r="AA1101" s="67"/>
      <c r="AB1101" s="67"/>
      <c r="AC1101" s="67"/>
    </row>
    <row r="1102">
      <c r="A1102" s="66"/>
      <c r="B1102" s="67"/>
      <c r="C1102" s="67"/>
      <c r="D1102" s="68"/>
      <c r="E1102" s="68"/>
      <c r="F1102" s="68"/>
      <c r="G1102" s="68"/>
      <c r="H1102" s="68"/>
      <c r="I1102" s="69"/>
      <c r="J1102" s="67"/>
      <c r="K1102" s="67"/>
      <c r="L1102" s="67"/>
      <c r="M1102" s="67"/>
      <c r="N1102" s="67"/>
      <c r="O1102" s="67"/>
      <c r="P1102" s="67"/>
      <c r="Q1102" s="77"/>
      <c r="R1102" s="68"/>
      <c r="S1102" s="68"/>
      <c r="T1102" s="67"/>
      <c r="U1102" s="68"/>
      <c r="V1102" s="68"/>
      <c r="W1102" s="67"/>
      <c r="X1102" s="67"/>
      <c r="Y1102" s="67"/>
      <c r="Z1102" s="67"/>
      <c r="AA1102" s="67"/>
      <c r="AB1102" s="67"/>
      <c r="AC1102" s="67"/>
    </row>
    <row r="1103">
      <c r="A1103" s="66"/>
      <c r="B1103" s="67"/>
      <c r="C1103" s="67"/>
      <c r="D1103" s="68"/>
      <c r="E1103" s="68"/>
      <c r="F1103" s="68"/>
      <c r="G1103" s="68"/>
      <c r="H1103" s="68"/>
      <c r="I1103" s="69"/>
      <c r="J1103" s="67"/>
      <c r="K1103" s="67"/>
      <c r="L1103" s="67"/>
      <c r="M1103" s="67"/>
      <c r="N1103" s="67"/>
      <c r="O1103" s="67"/>
      <c r="P1103" s="67"/>
      <c r="Q1103" s="77"/>
      <c r="R1103" s="68"/>
      <c r="S1103" s="68"/>
      <c r="T1103" s="67"/>
      <c r="U1103" s="68"/>
      <c r="V1103" s="68"/>
      <c r="W1103" s="67"/>
      <c r="X1103" s="67"/>
      <c r="Y1103" s="67"/>
      <c r="Z1103" s="67"/>
      <c r="AA1103" s="67"/>
      <c r="AB1103" s="67"/>
      <c r="AC1103" s="67"/>
    </row>
    <row r="1104">
      <c r="A1104" s="66"/>
      <c r="B1104" s="67"/>
      <c r="C1104" s="67"/>
      <c r="D1104" s="68"/>
      <c r="E1104" s="68"/>
      <c r="F1104" s="68"/>
      <c r="G1104" s="68"/>
      <c r="H1104" s="68"/>
      <c r="I1104" s="69"/>
      <c r="J1104" s="67"/>
      <c r="K1104" s="67"/>
      <c r="L1104" s="67"/>
      <c r="M1104" s="67"/>
      <c r="N1104" s="67"/>
      <c r="O1104" s="67"/>
      <c r="P1104" s="67"/>
      <c r="Q1104" s="77"/>
      <c r="R1104" s="68"/>
      <c r="S1104" s="68"/>
      <c r="T1104" s="67"/>
      <c r="U1104" s="68"/>
      <c r="V1104" s="68"/>
      <c r="W1104" s="67"/>
      <c r="X1104" s="67"/>
      <c r="Y1104" s="67"/>
      <c r="Z1104" s="67"/>
      <c r="AA1104" s="67"/>
      <c r="AB1104" s="67"/>
      <c r="AC1104" s="67"/>
    </row>
    <row r="1105">
      <c r="A1105" s="66"/>
      <c r="B1105" s="67"/>
      <c r="C1105" s="67"/>
      <c r="D1105" s="68"/>
      <c r="E1105" s="68"/>
      <c r="F1105" s="68"/>
      <c r="G1105" s="68"/>
      <c r="H1105" s="68"/>
      <c r="I1105" s="69"/>
      <c r="J1105" s="67"/>
      <c r="K1105" s="67"/>
      <c r="L1105" s="67"/>
      <c r="M1105" s="67"/>
      <c r="N1105" s="67"/>
      <c r="O1105" s="67"/>
      <c r="P1105" s="67"/>
      <c r="Q1105" s="77"/>
      <c r="R1105" s="68"/>
      <c r="S1105" s="68"/>
      <c r="T1105" s="67"/>
      <c r="U1105" s="68"/>
      <c r="V1105" s="68"/>
      <c r="W1105" s="67"/>
      <c r="X1105" s="67"/>
      <c r="Y1105" s="67"/>
      <c r="Z1105" s="67"/>
      <c r="AA1105" s="67"/>
      <c r="AB1105" s="67"/>
      <c r="AC1105" s="67"/>
    </row>
    <row r="1106">
      <c r="A1106" s="66"/>
      <c r="B1106" s="67"/>
      <c r="C1106" s="67"/>
      <c r="D1106" s="68"/>
      <c r="E1106" s="68"/>
      <c r="F1106" s="68"/>
      <c r="G1106" s="68"/>
      <c r="H1106" s="68"/>
      <c r="I1106" s="69"/>
      <c r="J1106" s="67"/>
      <c r="K1106" s="67"/>
      <c r="L1106" s="67"/>
      <c r="M1106" s="67"/>
      <c r="N1106" s="67"/>
      <c r="O1106" s="67"/>
      <c r="P1106" s="67"/>
      <c r="Q1106" s="77"/>
      <c r="R1106" s="68"/>
      <c r="S1106" s="68"/>
      <c r="T1106" s="67"/>
      <c r="U1106" s="68"/>
      <c r="V1106" s="68"/>
      <c r="W1106" s="67"/>
      <c r="X1106" s="67"/>
      <c r="Y1106" s="67"/>
      <c r="Z1106" s="67"/>
      <c r="AA1106" s="67"/>
      <c r="AB1106" s="67"/>
      <c r="AC1106" s="67"/>
    </row>
    <row r="1107">
      <c r="A1107" s="66"/>
      <c r="B1107" s="67"/>
      <c r="C1107" s="67"/>
      <c r="D1107" s="68"/>
      <c r="E1107" s="68"/>
      <c r="F1107" s="68"/>
      <c r="G1107" s="68"/>
      <c r="H1107" s="68"/>
      <c r="I1107" s="69"/>
      <c r="J1107" s="67"/>
      <c r="K1107" s="67"/>
      <c r="L1107" s="67"/>
      <c r="M1107" s="67"/>
      <c r="N1107" s="67"/>
      <c r="O1107" s="67"/>
      <c r="P1107" s="67"/>
      <c r="Q1107" s="77"/>
      <c r="R1107" s="68"/>
      <c r="S1107" s="68"/>
      <c r="T1107" s="67"/>
      <c r="U1107" s="68"/>
      <c r="V1107" s="68"/>
      <c r="W1107" s="67"/>
      <c r="X1107" s="67"/>
      <c r="Y1107" s="67"/>
      <c r="Z1107" s="67"/>
      <c r="AA1107" s="67"/>
      <c r="AB1107" s="67"/>
      <c r="AC1107" s="67"/>
    </row>
    <row r="1108">
      <c r="A1108" s="66"/>
      <c r="B1108" s="67"/>
      <c r="C1108" s="67"/>
      <c r="D1108" s="68"/>
      <c r="E1108" s="68"/>
      <c r="F1108" s="68"/>
      <c r="G1108" s="68"/>
      <c r="H1108" s="68"/>
      <c r="I1108" s="69"/>
      <c r="J1108" s="67"/>
      <c r="K1108" s="67"/>
      <c r="L1108" s="67"/>
      <c r="M1108" s="67"/>
      <c r="N1108" s="67"/>
      <c r="O1108" s="67"/>
      <c r="P1108" s="67"/>
      <c r="Q1108" s="77"/>
      <c r="R1108" s="68"/>
      <c r="S1108" s="68"/>
      <c r="T1108" s="67"/>
      <c r="U1108" s="68"/>
      <c r="V1108" s="68"/>
      <c r="W1108" s="67"/>
      <c r="X1108" s="67"/>
      <c r="Y1108" s="67"/>
      <c r="Z1108" s="67"/>
      <c r="AA1108" s="67"/>
      <c r="AB1108" s="67"/>
      <c r="AC1108" s="67"/>
    </row>
    <row r="1109">
      <c r="A1109" s="66"/>
      <c r="B1109" s="67"/>
      <c r="C1109" s="67"/>
      <c r="D1109" s="68"/>
      <c r="E1109" s="68"/>
      <c r="F1109" s="68"/>
      <c r="G1109" s="68"/>
      <c r="H1109" s="68"/>
      <c r="I1109" s="69"/>
      <c r="J1109" s="67"/>
      <c r="K1109" s="67"/>
      <c r="L1109" s="67"/>
      <c r="M1109" s="67"/>
      <c r="N1109" s="67"/>
      <c r="O1109" s="67"/>
      <c r="P1109" s="67"/>
      <c r="Q1109" s="77"/>
      <c r="R1109" s="68"/>
      <c r="S1109" s="68"/>
      <c r="T1109" s="67"/>
      <c r="U1109" s="68"/>
      <c r="V1109" s="68"/>
      <c r="W1109" s="67"/>
      <c r="X1109" s="67"/>
      <c r="Y1109" s="67"/>
      <c r="Z1109" s="67"/>
      <c r="AA1109" s="67"/>
      <c r="AB1109" s="67"/>
      <c r="AC1109" s="67"/>
    </row>
    <row r="1110">
      <c r="A1110" s="66"/>
      <c r="B1110" s="67"/>
      <c r="C1110" s="67"/>
      <c r="D1110" s="68"/>
      <c r="E1110" s="68"/>
      <c r="F1110" s="68"/>
      <c r="G1110" s="68"/>
      <c r="H1110" s="68"/>
      <c r="I1110" s="69"/>
      <c r="J1110" s="67"/>
      <c r="K1110" s="67"/>
      <c r="L1110" s="67"/>
      <c r="M1110" s="67"/>
      <c r="N1110" s="67"/>
      <c r="O1110" s="67"/>
      <c r="P1110" s="67"/>
      <c r="Q1110" s="77"/>
      <c r="R1110" s="68"/>
      <c r="S1110" s="68"/>
      <c r="T1110" s="67"/>
      <c r="U1110" s="68"/>
      <c r="V1110" s="68"/>
      <c r="W1110" s="67"/>
      <c r="X1110" s="67"/>
      <c r="Y1110" s="67"/>
      <c r="Z1110" s="67"/>
      <c r="AA1110" s="67"/>
      <c r="AB1110" s="67"/>
      <c r="AC1110" s="67"/>
    </row>
    <row r="1111">
      <c r="A1111" s="66"/>
      <c r="B1111" s="67"/>
      <c r="C1111" s="67"/>
      <c r="D1111" s="68"/>
      <c r="E1111" s="68"/>
      <c r="F1111" s="68"/>
      <c r="G1111" s="68"/>
      <c r="H1111" s="68"/>
      <c r="I1111" s="69"/>
      <c r="J1111" s="67"/>
      <c r="K1111" s="67"/>
      <c r="L1111" s="67"/>
      <c r="M1111" s="67"/>
      <c r="N1111" s="67"/>
      <c r="O1111" s="67"/>
      <c r="P1111" s="67"/>
      <c r="Q1111" s="77"/>
      <c r="R1111" s="68"/>
      <c r="S1111" s="68"/>
      <c r="T1111" s="67"/>
      <c r="U1111" s="68"/>
      <c r="V1111" s="68"/>
      <c r="W1111" s="67"/>
      <c r="X1111" s="67"/>
      <c r="Y1111" s="67"/>
      <c r="Z1111" s="67"/>
      <c r="AA1111" s="67"/>
      <c r="AB1111" s="67"/>
      <c r="AC1111" s="67"/>
    </row>
    <row r="1112">
      <c r="A1112" s="66"/>
      <c r="B1112" s="67"/>
      <c r="C1112" s="67"/>
      <c r="D1112" s="68"/>
      <c r="E1112" s="68"/>
      <c r="F1112" s="68"/>
      <c r="G1112" s="68"/>
      <c r="H1112" s="68"/>
      <c r="I1112" s="69"/>
      <c r="J1112" s="67"/>
      <c r="K1112" s="67"/>
      <c r="L1112" s="67"/>
      <c r="M1112" s="67"/>
      <c r="N1112" s="67"/>
      <c r="O1112" s="67"/>
      <c r="P1112" s="67"/>
      <c r="Q1112" s="77"/>
      <c r="R1112" s="68"/>
      <c r="S1112" s="68"/>
      <c r="T1112" s="67"/>
      <c r="U1112" s="68"/>
      <c r="V1112" s="68"/>
      <c r="W1112" s="67"/>
      <c r="X1112" s="67"/>
      <c r="Y1112" s="67"/>
      <c r="Z1112" s="67"/>
      <c r="AA1112" s="67"/>
      <c r="AB1112" s="67"/>
      <c r="AC1112" s="67"/>
    </row>
    <row r="1113">
      <c r="A1113" s="66"/>
      <c r="B1113" s="67"/>
      <c r="C1113" s="67"/>
      <c r="D1113" s="68"/>
      <c r="E1113" s="68"/>
      <c r="F1113" s="68"/>
      <c r="G1113" s="68"/>
      <c r="H1113" s="68"/>
      <c r="I1113" s="69"/>
      <c r="J1113" s="67"/>
      <c r="K1113" s="67"/>
      <c r="L1113" s="67"/>
      <c r="M1113" s="67"/>
      <c r="N1113" s="67"/>
      <c r="O1113" s="67"/>
      <c r="P1113" s="67"/>
      <c r="Q1113" s="77"/>
      <c r="R1113" s="68"/>
      <c r="S1113" s="68"/>
      <c r="T1113" s="67"/>
      <c r="U1113" s="68"/>
      <c r="V1113" s="68"/>
      <c r="W1113" s="67"/>
      <c r="X1113" s="67"/>
      <c r="Y1113" s="67"/>
      <c r="Z1113" s="67"/>
      <c r="AA1113" s="67"/>
      <c r="AB1113" s="67"/>
      <c r="AC1113" s="67"/>
    </row>
    <row r="1114">
      <c r="A1114" s="66"/>
      <c r="B1114" s="67"/>
      <c r="C1114" s="67"/>
      <c r="D1114" s="68"/>
      <c r="E1114" s="68"/>
      <c r="F1114" s="68"/>
      <c r="G1114" s="68"/>
      <c r="H1114" s="68"/>
      <c r="I1114" s="69"/>
      <c r="J1114" s="67"/>
      <c r="K1114" s="67"/>
      <c r="L1114" s="67"/>
      <c r="M1114" s="67"/>
      <c r="N1114" s="67"/>
      <c r="O1114" s="67"/>
      <c r="P1114" s="67"/>
      <c r="Q1114" s="77"/>
      <c r="R1114" s="68"/>
      <c r="S1114" s="68"/>
      <c r="T1114" s="67"/>
      <c r="U1114" s="68"/>
      <c r="V1114" s="68"/>
      <c r="W1114" s="67"/>
      <c r="X1114" s="67"/>
      <c r="Y1114" s="67"/>
      <c r="Z1114" s="67"/>
      <c r="AA1114" s="67"/>
      <c r="AB1114" s="67"/>
      <c r="AC1114" s="67"/>
    </row>
    <row r="1115">
      <c r="A1115" s="66"/>
      <c r="B1115" s="67"/>
      <c r="C1115" s="67"/>
      <c r="D1115" s="68"/>
      <c r="E1115" s="68"/>
      <c r="F1115" s="68"/>
      <c r="G1115" s="68"/>
      <c r="H1115" s="68"/>
      <c r="I1115" s="69"/>
      <c r="J1115" s="67"/>
      <c r="K1115" s="67"/>
      <c r="L1115" s="67"/>
      <c r="M1115" s="67"/>
      <c r="N1115" s="67"/>
      <c r="O1115" s="67"/>
      <c r="P1115" s="67"/>
      <c r="Q1115" s="77"/>
      <c r="R1115" s="68"/>
      <c r="S1115" s="68"/>
      <c r="T1115" s="67"/>
      <c r="U1115" s="68"/>
      <c r="V1115" s="68"/>
      <c r="W1115" s="67"/>
      <c r="X1115" s="67"/>
      <c r="Y1115" s="67"/>
      <c r="Z1115" s="67"/>
      <c r="AA1115" s="67"/>
      <c r="AB1115" s="67"/>
      <c r="AC1115" s="67"/>
    </row>
    <row r="1116">
      <c r="A1116" s="66"/>
      <c r="B1116" s="67"/>
      <c r="C1116" s="67"/>
      <c r="D1116" s="68"/>
      <c r="E1116" s="68"/>
      <c r="F1116" s="68"/>
      <c r="G1116" s="68"/>
      <c r="H1116" s="68"/>
      <c r="I1116" s="69"/>
      <c r="J1116" s="67"/>
      <c r="K1116" s="67"/>
      <c r="L1116" s="67"/>
      <c r="M1116" s="67"/>
      <c r="N1116" s="67"/>
      <c r="O1116" s="67"/>
      <c r="P1116" s="67"/>
      <c r="Q1116" s="77"/>
      <c r="R1116" s="68"/>
      <c r="S1116" s="68"/>
      <c r="T1116" s="67"/>
      <c r="U1116" s="68"/>
      <c r="V1116" s="68"/>
      <c r="W1116" s="67"/>
      <c r="X1116" s="67"/>
      <c r="Y1116" s="67"/>
      <c r="Z1116" s="67"/>
      <c r="AA1116" s="67"/>
      <c r="AB1116" s="67"/>
      <c r="AC1116" s="67"/>
    </row>
    <row r="1117">
      <c r="A1117" s="66"/>
      <c r="B1117" s="67"/>
      <c r="C1117" s="67"/>
      <c r="D1117" s="68"/>
      <c r="E1117" s="68"/>
      <c r="F1117" s="68"/>
      <c r="G1117" s="68"/>
      <c r="H1117" s="68"/>
      <c r="I1117" s="69"/>
      <c r="J1117" s="67"/>
      <c r="K1117" s="67"/>
      <c r="L1117" s="67"/>
      <c r="M1117" s="67"/>
      <c r="N1117" s="67"/>
      <c r="O1117" s="67"/>
      <c r="P1117" s="67"/>
      <c r="Q1117" s="77"/>
      <c r="R1117" s="68"/>
      <c r="S1117" s="68"/>
      <c r="T1117" s="67"/>
      <c r="U1117" s="68"/>
      <c r="V1117" s="68"/>
      <c r="W1117" s="67"/>
      <c r="X1117" s="67"/>
      <c r="Y1117" s="67"/>
      <c r="Z1117" s="67"/>
      <c r="AA1117" s="67"/>
      <c r="AB1117" s="67"/>
      <c r="AC1117" s="67"/>
    </row>
    <row r="1118">
      <c r="A1118" s="66"/>
      <c r="B1118" s="67"/>
      <c r="C1118" s="67"/>
      <c r="D1118" s="68"/>
      <c r="E1118" s="68"/>
      <c r="F1118" s="68"/>
      <c r="G1118" s="68"/>
      <c r="H1118" s="68"/>
      <c r="I1118" s="69"/>
      <c r="J1118" s="67"/>
      <c r="K1118" s="67"/>
      <c r="L1118" s="67"/>
      <c r="M1118" s="67"/>
      <c r="N1118" s="67"/>
      <c r="O1118" s="67"/>
      <c r="P1118" s="67"/>
      <c r="Q1118" s="77"/>
      <c r="R1118" s="68"/>
      <c r="S1118" s="68"/>
      <c r="T1118" s="67"/>
      <c r="U1118" s="68"/>
      <c r="V1118" s="68"/>
      <c r="W1118" s="67"/>
      <c r="X1118" s="67"/>
      <c r="Y1118" s="67"/>
      <c r="Z1118" s="67"/>
      <c r="AA1118" s="67"/>
      <c r="AB1118" s="67"/>
      <c r="AC1118" s="67"/>
    </row>
    <row r="1119">
      <c r="A1119" s="66"/>
      <c r="B1119" s="67"/>
      <c r="C1119" s="67"/>
      <c r="D1119" s="68"/>
      <c r="E1119" s="68"/>
      <c r="F1119" s="68"/>
      <c r="G1119" s="68"/>
      <c r="H1119" s="68"/>
      <c r="I1119" s="69"/>
      <c r="J1119" s="67"/>
      <c r="K1119" s="67"/>
      <c r="L1119" s="67"/>
      <c r="M1119" s="67"/>
      <c r="N1119" s="67"/>
      <c r="O1119" s="67"/>
      <c r="P1119" s="67"/>
      <c r="Q1119" s="77"/>
      <c r="R1119" s="68"/>
      <c r="S1119" s="68"/>
      <c r="T1119" s="67"/>
      <c r="U1119" s="68"/>
      <c r="V1119" s="68"/>
      <c r="W1119" s="67"/>
      <c r="X1119" s="67"/>
      <c r="Y1119" s="67"/>
      <c r="Z1119" s="67"/>
      <c r="AA1119" s="67"/>
      <c r="AB1119" s="67"/>
      <c r="AC1119" s="67"/>
    </row>
    <row r="1120">
      <c r="A1120" s="66"/>
      <c r="B1120" s="67"/>
      <c r="C1120" s="67"/>
      <c r="D1120" s="68"/>
      <c r="E1120" s="68"/>
      <c r="F1120" s="68"/>
      <c r="G1120" s="68"/>
      <c r="H1120" s="68"/>
      <c r="I1120" s="69"/>
      <c r="J1120" s="67"/>
      <c r="K1120" s="67"/>
      <c r="L1120" s="67"/>
      <c r="M1120" s="67"/>
      <c r="N1120" s="67"/>
      <c r="O1120" s="67"/>
      <c r="P1120" s="67"/>
      <c r="Q1120" s="77"/>
      <c r="R1120" s="68"/>
      <c r="S1120" s="68"/>
      <c r="T1120" s="67"/>
      <c r="U1120" s="68"/>
      <c r="V1120" s="68"/>
      <c r="W1120" s="67"/>
      <c r="X1120" s="67"/>
      <c r="Y1120" s="67"/>
      <c r="Z1120" s="67"/>
      <c r="AA1120" s="67"/>
      <c r="AB1120" s="67"/>
      <c r="AC1120" s="67"/>
    </row>
    <row r="1121">
      <c r="A1121" s="66"/>
      <c r="B1121" s="67"/>
      <c r="C1121" s="67"/>
      <c r="D1121" s="68"/>
      <c r="E1121" s="68"/>
      <c r="F1121" s="68"/>
      <c r="G1121" s="68"/>
      <c r="H1121" s="68"/>
      <c r="I1121" s="69"/>
      <c r="J1121" s="67"/>
      <c r="K1121" s="67"/>
      <c r="L1121" s="67"/>
      <c r="M1121" s="67"/>
      <c r="N1121" s="67"/>
      <c r="O1121" s="67"/>
      <c r="P1121" s="67"/>
      <c r="Q1121" s="77"/>
      <c r="R1121" s="68"/>
      <c r="S1121" s="68"/>
      <c r="T1121" s="67"/>
      <c r="U1121" s="68"/>
      <c r="V1121" s="68"/>
      <c r="W1121" s="67"/>
      <c r="X1121" s="67"/>
      <c r="Y1121" s="67"/>
      <c r="Z1121" s="67"/>
      <c r="AA1121" s="67"/>
      <c r="AB1121" s="67"/>
      <c r="AC1121" s="67"/>
    </row>
    <row r="1122">
      <c r="A1122" s="66"/>
      <c r="B1122" s="67"/>
      <c r="C1122" s="67"/>
      <c r="D1122" s="68"/>
      <c r="E1122" s="68"/>
      <c r="F1122" s="68"/>
      <c r="G1122" s="68"/>
      <c r="H1122" s="68"/>
      <c r="I1122" s="69"/>
      <c r="J1122" s="67"/>
      <c r="K1122" s="67"/>
      <c r="L1122" s="67"/>
      <c r="M1122" s="67"/>
      <c r="N1122" s="67"/>
      <c r="O1122" s="67"/>
      <c r="P1122" s="67"/>
      <c r="Q1122" s="77"/>
      <c r="R1122" s="68"/>
      <c r="S1122" s="68"/>
      <c r="T1122" s="67"/>
      <c r="U1122" s="68"/>
      <c r="V1122" s="68"/>
      <c r="W1122" s="67"/>
      <c r="X1122" s="67"/>
      <c r="Y1122" s="67"/>
      <c r="Z1122" s="67"/>
      <c r="AA1122" s="67"/>
      <c r="AB1122" s="67"/>
      <c r="AC1122" s="67"/>
    </row>
    <row r="1123">
      <c r="A1123" s="66"/>
      <c r="B1123" s="67"/>
      <c r="C1123" s="67"/>
      <c r="D1123" s="68"/>
      <c r="E1123" s="68"/>
      <c r="F1123" s="68"/>
      <c r="G1123" s="68"/>
      <c r="H1123" s="68"/>
      <c r="I1123" s="69"/>
      <c r="J1123" s="67"/>
      <c r="K1123" s="67"/>
      <c r="L1123" s="67"/>
      <c r="M1123" s="67"/>
      <c r="N1123" s="67"/>
      <c r="O1123" s="67"/>
      <c r="P1123" s="67"/>
      <c r="Q1123" s="77"/>
      <c r="R1123" s="68"/>
      <c r="S1123" s="68"/>
      <c r="T1123" s="67"/>
      <c r="U1123" s="68"/>
      <c r="V1123" s="68"/>
      <c r="W1123" s="67"/>
      <c r="X1123" s="67"/>
      <c r="Y1123" s="67"/>
      <c r="Z1123" s="67"/>
      <c r="AA1123" s="67"/>
      <c r="AB1123" s="67"/>
      <c r="AC1123" s="67"/>
    </row>
    <row r="1124">
      <c r="A1124" s="66"/>
      <c r="B1124" s="67"/>
      <c r="C1124" s="67"/>
      <c r="D1124" s="68"/>
      <c r="E1124" s="68"/>
      <c r="F1124" s="68"/>
      <c r="G1124" s="68"/>
      <c r="H1124" s="68"/>
      <c r="I1124" s="69"/>
      <c r="J1124" s="67"/>
      <c r="K1124" s="67"/>
      <c r="L1124" s="67"/>
      <c r="M1124" s="67"/>
      <c r="N1124" s="67"/>
      <c r="O1124" s="67"/>
      <c r="P1124" s="67"/>
      <c r="Q1124" s="77"/>
      <c r="R1124" s="68"/>
      <c r="S1124" s="68"/>
      <c r="T1124" s="67"/>
      <c r="U1124" s="68"/>
      <c r="V1124" s="68"/>
      <c r="W1124" s="67"/>
      <c r="X1124" s="67"/>
      <c r="Y1124" s="67"/>
      <c r="Z1124" s="67"/>
      <c r="AA1124" s="67"/>
      <c r="AB1124" s="67"/>
      <c r="AC1124" s="67"/>
    </row>
    <row r="1125">
      <c r="A1125" s="66"/>
      <c r="B1125" s="67"/>
      <c r="C1125" s="67"/>
      <c r="D1125" s="68"/>
      <c r="E1125" s="68"/>
      <c r="F1125" s="68"/>
      <c r="G1125" s="68"/>
      <c r="H1125" s="68"/>
      <c r="I1125" s="69"/>
      <c r="J1125" s="67"/>
      <c r="K1125" s="67"/>
      <c r="L1125" s="67"/>
      <c r="M1125" s="67"/>
      <c r="N1125" s="67"/>
      <c r="O1125" s="67"/>
      <c r="P1125" s="67"/>
      <c r="Q1125" s="77"/>
      <c r="R1125" s="68"/>
      <c r="S1125" s="68"/>
      <c r="T1125" s="67"/>
      <c r="U1125" s="68"/>
      <c r="V1125" s="68"/>
      <c r="W1125" s="67"/>
      <c r="X1125" s="67"/>
      <c r="Y1125" s="67"/>
      <c r="Z1125" s="67"/>
      <c r="AA1125" s="67"/>
      <c r="AB1125" s="67"/>
      <c r="AC1125" s="67"/>
    </row>
    <row r="1126">
      <c r="A1126" s="66"/>
      <c r="B1126" s="67"/>
      <c r="C1126" s="67"/>
      <c r="D1126" s="68"/>
      <c r="E1126" s="68"/>
      <c r="F1126" s="68"/>
      <c r="G1126" s="68"/>
      <c r="H1126" s="68"/>
      <c r="I1126" s="69"/>
      <c r="J1126" s="67"/>
      <c r="K1126" s="67"/>
      <c r="L1126" s="67"/>
      <c r="M1126" s="67"/>
      <c r="N1126" s="67"/>
      <c r="O1126" s="67"/>
      <c r="P1126" s="67"/>
      <c r="Q1126" s="77"/>
      <c r="R1126" s="68"/>
      <c r="S1126" s="68"/>
      <c r="T1126" s="67"/>
      <c r="U1126" s="68"/>
      <c r="V1126" s="68"/>
      <c r="W1126" s="67"/>
      <c r="X1126" s="67"/>
      <c r="Y1126" s="67"/>
      <c r="Z1126" s="67"/>
      <c r="AA1126" s="67"/>
      <c r="AB1126" s="67"/>
      <c r="AC1126" s="67"/>
    </row>
    <row r="1127">
      <c r="A1127" s="66"/>
      <c r="B1127" s="67"/>
      <c r="C1127" s="67"/>
      <c r="D1127" s="68"/>
      <c r="E1127" s="68"/>
      <c r="F1127" s="68"/>
      <c r="G1127" s="68"/>
      <c r="H1127" s="68"/>
      <c r="I1127" s="69"/>
      <c r="J1127" s="67"/>
      <c r="K1127" s="67"/>
      <c r="L1127" s="67"/>
      <c r="M1127" s="67"/>
      <c r="N1127" s="67"/>
      <c r="O1127" s="67"/>
      <c r="P1127" s="67"/>
      <c r="Q1127" s="77"/>
      <c r="R1127" s="68"/>
      <c r="S1127" s="68"/>
      <c r="T1127" s="67"/>
      <c r="U1127" s="68"/>
      <c r="V1127" s="68"/>
      <c r="W1127" s="67"/>
      <c r="X1127" s="67"/>
      <c r="Y1127" s="67"/>
      <c r="Z1127" s="67"/>
      <c r="AA1127" s="67"/>
      <c r="AB1127" s="67"/>
      <c r="AC1127" s="67"/>
    </row>
    <row r="1128">
      <c r="A1128" s="66"/>
      <c r="B1128" s="67"/>
      <c r="C1128" s="67"/>
      <c r="D1128" s="68"/>
      <c r="E1128" s="68"/>
      <c r="F1128" s="68"/>
      <c r="G1128" s="68"/>
      <c r="H1128" s="68"/>
      <c r="I1128" s="69"/>
      <c r="J1128" s="67"/>
      <c r="K1128" s="67"/>
      <c r="L1128" s="67"/>
      <c r="M1128" s="67"/>
      <c r="N1128" s="67"/>
      <c r="O1128" s="67"/>
      <c r="P1128" s="67"/>
      <c r="Q1128" s="77"/>
      <c r="R1128" s="68"/>
      <c r="S1128" s="68"/>
      <c r="T1128" s="67"/>
      <c r="U1128" s="68"/>
      <c r="V1128" s="68"/>
      <c r="W1128" s="67"/>
      <c r="X1128" s="67"/>
      <c r="Y1128" s="67"/>
      <c r="Z1128" s="67"/>
      <c r="AA1128" s="67"/>
      <c r="AB1128" s="67"/>
      <c r="AC1128" s="67"/>
    </row>
    <row r="1129">
      <c r="A1129" s="66"/>
      <c r="B1129" s="67"/>
      <c r="C1129" s="67"/>
      <c r="D1129" s="68"/>
      <c r="E1129" s="68"/>
      <c r="F1129" s="68"/>
      <c r="G1129" s="68"/>
      <c r="H1129" s="68"/>
      <c r="I1129" s="69"/>
      <c r="J1129" s="67"/>
      <c r="K1129" s="67"/>
      <c r="L1129" s="67"/>
      <c r="M1129" s="67"/>
      <c r="N1129" s="67"/>
      <c r="O1129" s="67"/>
      <c r="P1129" s="67"/>
      <c r="Q1129" s="77"/>
      <c r="R1129" s="68"/>
      <c r="S1129" s="68"/>
      <c r="T1129" s="67"/>
      <c r="U1129" s="68"/>
      <c r="V1129" s="68"/>
      <c r="W1129" s="67"/>
      <c r="X1129" s="67"/>
      <c r="Y1129" s="67"/>
      <c r="Z1129" s="67"/>
      <c r="AA1129" s="67"/>
      <c r="AB1129" s="67"/>
      <c r="AC1129" s="67"/>
    </row>
    <row r="1130">
      <c r="A1130" s="66"/>
      <c r="B1130" s="67"/>
      <c r="C1130" s="67"/>
      <c r="D1130" s="68"/>
      <c r="E1130" s="68"/>
      <c r="F1130" s="68"/>
      <c r="G1130" s="68"/>
      <c r="H1130" s="68"/>
      <c r="I1130" s="69"/>
      <c r="J1130" s="67"/>
      <c r="K1130" s="67"/>
      <c r="L1130" s="67"/>
      <c r="M1130" s="67"/>
      <c r="N1130" s="67"/>
      <c r="O1130" s="67"/>
      <c r="P1130" s="67"/>
      <c r="Q1130" s="77"/>
      <c r="R1130" s="68"/>
      <c r="S1130" s="68"/>
      <c r="T1130" s="67"/>
      <c r="U1130" s="68"/>
      <c r="V1130" s="68"/>
      <c r="W1130" s="67"/>
      <c r="X1130" s="67"/>
      <c r="Y1130" s="67"/>
      <c r="Z1130" s="67"/>
      <c r="AA1130" s="67"/>
      <c r="AB1130" s="67"/>
      <c r="AC1130" s="67"/>
    </row>
    <row r="1131">
      <c r="A1131" s="66"/>
      <c r="B1131" s="67"/>
      <c r="C1131" s="67"/>
      <c r="D1131" s="68"/>
      <c r="E1131" s="68"/>
      <c r="F1131" s="68"/>
      <c r="G1131" s="68"/>
      <c r="H1131" s="68"/>
      <c r="I1131" s="69"/>
      <c r="J1131" s="67"/>
      <c r="K1131" s="67"/>
      <c r="L1131" s="67"/>
      <c r="M1131" s="67"/>
      <c r="N1131" s="67"/>
      <c r="O1131" s="67"/>
      <c r="P1131" s="67"/>
      <c r="Q1131" s="77"/>
      <c r="R1131" s="68"/>
      <c r="S1131" s="68"/>
      <c r="T1131" s="67"/>
      <c r="U1131" s="68"/>
      <c r="V1131" s="68"/>
      <c r="W1131" s="67"/>
      <c r="X1131" s="67"/>
      <c r="Y1131" s="67"/>
      <c r="Z1131" s="67"/>
      <c r="AA1131" s="67"/>
      <c r="AB1131" s="67"/>
      <c r="AC1131" s="67"/>
    </row>
    <row r="1132">
      <c r="A1132" s="66"/>
      <c r="B1132" s="67"/>
      <c r="C1132" s="67"/>
      <c r="D1132" s="68"/>
      <c r="E1132" s="68"/>
      <c r="F1132" s="68"/>
      <c r="G1132" s="68"/>
      <c r="H1132" s="68"/>
      <c r="I1132" s="69"/>
      <c r="J1132" s="67"/>
      <c r="K1132" s="67"/>
      <c r="L1132" s="67"/>
      <c r="M1132" s="67"/>
      <c r="N1132" s="67"/>
      <c r="O1132" s="67"/>
      <c r="P1132" s="67"/>
      <c r="Q1132" s="77"/>
      <c r="R1132" s="68"/>
      <c r="S1132" s="68"/>
      <c r="T1132" s="67"/>
      <c r="U1132" s="68"/>
      <c r="V1132" s="68"/>
      <c r="W1132" s="67"/>
      <c r="X1132" s="67"/>
      <c r="Y1132" s="67"/>
      <c r="Z1132" s="67"/>
      <c r="AA1132" s="67"/>
      <c r="AB1132" s="67"/>
      <c r="AC1132" s="67"/>
    </row>
    <row r="1133">
      <c r="A1133" s="66"/>
      <c r="B1133" s="67"/>
      <c r="C1133" s="67"/>
      <c r="D1133" s="68"/>
      <c r="E1133" s="68"/>
      <c r="F1133" s="68"/>
      <c r="G1133" s="68"/>
      <c r="H1133" s="68"/>
      <c r="I1133" s="69"/>
      <c r="J1133" s="67"/>
      <c r="K1133" s="67"/>
      <c r="L1133" s="67"/>
      <c r="M1133" s="67"/>
      <c r="N1133" s="67"/>
      <c r="O1133" s="67"/>
      <c r="P1133" s="67"/>
      <c r="Q1133" s="77"/>
      <c r="R1133" s="68"/>
      <c r="S1133" s="68"/>
      <c r="T1133" s="67"/>
      <c r="U1133" s="68"/>
      <c r="V1133" s="68"/>
      <c r="W1133" s="67"/>
      <c r="X1133" s="67"/>
      <c r="Y1133" s="67"/>
      <c r="Z1133" s="67"/>
      <c r="AA1133" s="67"/>
      <c r="AB1133" s="67"/>
      <c r="AC1133" s="67"/>
    </row>
    <row r="1134">
      <c r="A1134" s="66"/>
      <c r="B1134" s="67"/>
      <c r="C1134" s="67"/>
      <c r="D1134" s="68"/>
      <c r="E1134" s="68"/>
      <c r="F1134" s="68"/>
      <c r="G1134" s="68"/>
      <c r="H1134" s="68"/>
      <c r="I1134" s="69"/>
      <c r="J1134" s="67"/>
      <c r="K1134" s="67"/>
      <c r="L1134" s="67"/>
      <c r="M1134" s="67"/>
      <c r="N1134" s="67"/>
      <c r="O1134" s="67"/>
      <c r="P1134" s="67"/>
      <c r="Q1134" s="77"/>
      <c r="R1134" s="68"/>
      <c r="S1134" s="68"/>
      <c r="T1134" s="67"/>
      <c r="U1134" s="68"/>
      <c r="V1134" s="68"/>
      <c r="W1134" s="67"/>
      <c r="X1134" s="67"/>
      <c r="Y1134" s="67"/>
      <c r="Z1134" s="67"/>
      <c r="AA1134" s="67"/>
      <c r="AB1134" s="67"/>
      <c r="AC1134" s="67"/>
    </row>
    <row r="1135">
      <c r="A1135" s="66"/>
      <c r="B1135" s="67"/>
      <c r="C1135" s="67"/>
      <c r="D1135" s="68"/>
      <c r="E1135" s="68"/>
      <c r="F1135" s="68"/>
      <c r="G1135" s="68"/>
      <c r="H1135" s="68"/>
      <c r="I1135" s="69"/>
      <c r="J1135" s="67"/>
      <c r="K1135" s="67"/>
      <c r="L1135" s="67"/>
      <c r="M1135" s="67"/>
      <c r="N1135" s="67"/>
      <c r="O1135" s="67"/>
      <c r="P1135" s="67"/>
      <c r="Q1135" s="77"/>
      <c r="R1135" s="68"/>
      <c r="S1135" s="68"/>
      <c r="T1135" s="67"/>
      <c r="U1135" s="68"/>
      <c r="V1135" s="68"/>
      <c r="W1135" s="67"/>
      <c r="X1135" s="67"/>
      <c r="Y1135" s="67"/>
      <c r="Z1135" s="67"/>
      <c r="AA1135" s="67"/>
      <c r="AB1135" s="67"/>
      <c r="AC1135" s="67"/>
    </row>
    <row r="1136">
      <c r="A1136" s="66"/>
      <c r="B1136" s="67"/>
      <c r="C1136" s="67"/>
      <c r="D1136" s="68"/>
      <c r="E1136" s="68"/>
      <c r="F1136" s="68"/>
      <c r="G1136" s="68"/>
      <c r="H1136" s="68"/>
      <c r="I1136" s="69"/>
      <c r="J1136" s="67"/>
      <c r="K1136" s="67"/>
      <c r="L1136" s="67"/>
      <c r="M1136" s="67"/>
      <c r="N1136" s="67"/>
      <c r="O1136" s="67"/>
      <c r="P1136" s="67"/>
      <c r="Q1136" s="77"/>
      <c r="R1136" s="68"/>
      <c r="S1136" s="68"/>
      <c r="T1136" s="67"/>
      <c r="U1136" s="68"/>
      <c r="V1136" s="68"/>
      <c r="W1136" s="67"/>
      <c r="X1136" s="67"/>
      <c r="Y1136" s="67"/>
      <c r="Z1136" s="67"/>
      <c r="AA1136" s="67"/>
      <c r="AB1136" s="67"/>
      <c r="AC1136" s="67"/>
    </row>
    <row r="1137">
      <c r="A1137" s="66"/>
      <c r="B1137" s="67"/>
      <c r="C1137" s="67"/>
      <c r="D1137" s="68"/>
      <c r="E1137" s="68"/>
      <c r="F1137" s="68"/>
      <c r="G1137" s="68"/>
      <c r="H1137" s="68"/>
      <c r="I1137" s="69"/>
      <c r="J1137" s="67"/>
      <c r="K1137" s="67"/>
      <c r="L1137" s="67"/>
      <c r="M1137" s="67"/>
      <c r="N1137" s="67"/>
      <c r="O1137" s="67"/>
      <c r="P1137" s="67"/>
      <c r="Q1137" s="77"/>
      <c r="R1137" s="68"/>
      <c r="S1137" s="68"/>
      <c r="T1137" s="67"/>
      <c r="U1137" s="68"/>
      <c r="V1137" s="68"/>
      <c r="W1137" s="67"/>
      <c r="X1137" s="67"/>
      <c r="Y1137" s="67"/>
      <c r="Z1137" s="67"/>
      <c r="AA1137" s="67"/>
      <c r="AB1137" s="67"/>
      <c r="AC1137" s="67"/>
    </row>
    <row r="1138">
      <c r="A1138" s="66"/>
      <c r="B1138" s="67"/>
      <c r="C1138" s="67"/>
      <c r="D1138" s="68"/>
      <c r="E1138" s="68"/>
      <c r="F1138" s="68"/>
      <c r="G1138" s="68"/>
      <c r="H1138" s="68"/>
      <c r="I1138" s="69"/>
      <c r="J1138" s="67"/>
      <c r="K1138" s="67"/>
      <c r="L1138" s="67"/>
      <c r="M1138" s="67"/>
      <c r="N1138" s="67"/>
      <c r="O1138" s="67"/>
      <c r="P1138" s="67"/>
      <c r="Q1138" s="77"/>
      <c r="R1138" s="68"/>
      <c r="S1138" s="68"/>
      <c r="T1138" s="67"/>
      <c r="U1138" s="68"/>
      <c r="V1138" s="68"/>
      <c r="W1138" s="67"/>
      <c r="X1138" s="67"/>
      <c r="Y1138" s="67"/>
      <c r="Z1138" s="67"/>
      <c r="AA1138" s="67"/>
      <c r="AB1138" s="67"/>
      <c r="AC1138" s="67"/>
    </row>
    <row r="1139">
      <c r="A1139" s="66"/>
      <c r="B1139" s="67"/>
      <c r="C1139" s="67"/>
      <c r="D1139" s="68"/>
      <c r="E1139" s="68"/>
      <c r="F1139" s="68"/>
      <c r="G1139" s="68"/>
      <c r="H1139" s="68"/>
      <c r="I1139" s="69"/>
      <c r="J1139" s="67"/>
      <c r="K1139" s="67"/>
      <c r="L1139" s="67"/>
      <c r="M1139" s="67"/>
      <c r="N1139" s="67"/>
      <c r="O1139" s="67"/>
      <c r="P1139" s="67"/>
      <c r="Q1139" s="77"/>
      <c r="R1139" s="68"/>
      <c r="S1139" s="68"/>
      <c r="T1139" s="67"/>
      <c r="U1139" s="68"/>
      <c r="V1139" s="68"/>
      <c r="W1139" s="67"/>
      <c r="X1139" s="67"/>
      <c r="Y1139" s="67"/>
      <c r="Z1139" s="67"/>
      <c r="AA1139" s="67"/>
      <c r="AB1139" s="67"/>
      <c r="AC1139" s="67"/>
    </row>
    <row r="1140">
      <c r="A1140" s="66"/>
      <c r="B1140" s="67"/>
      <c r="C1140" s="67"/>
      <c r="D1140" s="68"/>
      <c r="E1140" s="68"/>
      <c r="F1140" s="68"/>
      <c r="G1140" s="68"/>
      <c r="H1140" s="68"/>
      <c r="I1140" s="69"/>
      <c r="J1140" s="67"/>
      <c r="K1140" s="67"/>
      <c r="L1140" s="67"/>
      <c r="M1140" s="67"/>
      <c r="N1140" s="67"/>
      <c r="O1140" s="67"/>
      <c r="P1140" s="67"/>
      <c r="Q1140" s="77"/>
      <c r="R1140" s="68"/>
      <c r="S1140" s="68"/>
      <c r="T1140" s="67"/>
      <c r="U1140" s="68"/>
      <c r="V1140" s="68"/>
      <c r="W1140" s="67"/>
      <c r="X1140" s="67"/>
      <c r="Y1140" s="67"/>
      <c r="Z1140" s="67"/>
      <c r="AA1140" s="67"/>
      <c r="AB1140" s="67"/>
      <c r="AC1140" s="67"/>
    </row>
    <row r="1141">
      <c r="A1141" s="66"/>
      <c r="B1141" s="67"/>
      <c r="C1141" s="67"/>
      <c r="D1141" s="68"/>
      <c r="E1141" s="68"/>
      <c r="F1141" s="68"/>
      <c r="G1141" s="68"/>
      <c r="H1141" s="68"/>
      <c r="I1141" s="69"/>
      <c r="J1141" s="67"/>
      <c r="K1141" s="67"/>
      <c r="L1141" s="67"/>
      <c r="M1141" s="67"/>
      <c r="N1141" s="67"/>
      <c r="O1141" s="67"/>
      <c r="P1141" s="67"/>
      <c r="Q1141" s="77"/>
      <c r="R1141" s="68"/>
      <c r="S1141" s="68"/>
      <c r="T1141" s="67"/>
      <c r="U1141" s="68"/>
      <c r="V1141" s="68"/>
      <c r="W1141" s="67"/>
      <c r="X1141" s="67"/>
      <c r="Y1141" s="67"/>
      <c r="Z1141" s="67"/>
      <c r="AA1141" s="67"/>
      <c r="AB1141" s="67"/>
      <c r="AC1141" s="67"/>
    </row>
    <row r="1142">
      <c r="A1142" s="66"/>
      <c r="B1142" s="67"/>
      <c r="C1142" s="67"/>
      <c r="D1142" s="68"/>
      <c r="E1142" s="68"/>
      <c r="F1142" s="68"/>
      <c r="G1142" s="68"/>
      <c r="H1142" s="68"/>
      <c r="I1142" s="69"/>
      <c r="J1142" s="67"/>
      <c r="K1142" s="67"/>
      <c r="L1142" s="67"/>
      <c r="M1142" s="67"/>
      <c r="N1142" s="67"/>
      <c r="O1142" s="67"/>
      <c r="P1142" s="67"/>
      <c r="Q1142" s="77"/>
      <c r="R1142" s="68"/>
      <c r="S1142" s="68"/>
      <c r="T1142" s="67"/>
      <c r="U1142" s="68"/>
      <c r="V1142" s="68"/>
      <c r="W1142" s="67"/>
      <c r="X1142" s="67"/>
      <c r="Y1142" s="67"/>
      <c r="Z1142" s="67"/>
      <c r="AA1142" s="67"/>
      <c r="AB1142" s="67"/>
      <c r="AC1142" s="67"/>
    </row>
    <row r="1143">
      <c r="A1143" s="66"/>
      <c r="B1143" s="67"/>
      <c r="C1143" s="67"/>
      <c r="D1143" s="68"/>
      <c r="E1143" s="68"/>
      <c r="F1143" s="68"/>
      <c r="G1143" s="68"/>
      <c r="H1143" s="68"/>
      <c r="I1143" s="69"/>
      <c r="J1143" s="67"/>
      <c r="K1143" s="67"/>
      <c r="L1143" s="67"/>
      <c r="M1143" s="67"/>
      <c r="N1143" s="67"/>
      <c r="O1143" s="67"/>
      <c r="P1143" s="67"/>
      <c r="Q1143" s="77"/>
      <c r="R1143" s="68"/>
      <c r="S1143" s="68"/>
      <c r="T1143" s="67"/>
      <c r="U1143" s="68"/>
      <c r="V1143" s="68"/>
      <c r="W1143" s="67"/>
      <c r="X1143" s="67"/>
      <c r="Y1143" s="67"/>
      <c r="Z1143" s="67"/>
      <c r="AA1143" s="67"/>
      <c r="AB1143" s="67"/>
      <c r="AC1143" s="67"/>
    </row>
    <row r="1144">
      <c r="A1144" s="66"/>
      <c r="B1144" s="67"/>
      <c r="C1144" s="67"/>
      <c r="D1144" s="68"/>
      <c r="E1144" s="68"/>
      <c r="F1144" s="68"/>
      <c r="G1144" s="68"/>
      <c r="H1144" s="68"/>
      <c r="I1144" s="69"/>
      <c r="J1144" s="67"/>
      <c r="K1144" s="67"/>
      <c r="L1144" s="67"/>
      <c r="M1144" s="67"/>
      <c r="N1144" s="67"/>
      <c r="O1144" s="67"/>
      <c r="P1144" s="67"/>
      <c r="Q1144" s="77"/>
      <c r="R1144" s="68"/>
      <c r="S1144" s="68"/>
      <c r="T1144" s="67"/>
      <c r="U1144" s="68"/>
      <c r="V1144" s="68"/>
      <c r="W1144" s="67"/>
      <c r="X1144" s="67"/>
      <c r="Y1144" s="67"/>
      <c r="Z1144" s="67"/>
      <c r="AA1144" s="67"/>
      <c r="AB1144" s="67"/>
      <c r="AC1144" s="67"/>
    </row>
    <row r="1145">
      <c r="A1145" s="66"/>
      <c r="B1145" s="67"/>
      <c r="C1145" s="67"/>
      <c r="D1145" s="68"/>
      <c r="E1145" s="68"/>
      <c r="F1145" s="68"/>
      <c r="G1145" s="68"/>
      <c r="H1145" s="68"/>
      <c r="I1145" s="69"/>
      <c r="J1145" s="67"/>
      <c r="K1145" s="67"/>
      <c r="L1145" s="67"/>
      <c r="M1145" s="67"/>
      <c r="N1145" s="67"/>
      <c r="O1145" s="67"/>
      <c r="P1145" s="67"/>
      <c r="Q1145" s="77"/>
      <c r="R1145" s="68"/>
      <c r="S1145" s="68"/>
      <c r="T1145" s="67"/>
      <c r="U1145" s="68"/>
      <c r="V1145" s="68"/>
      <c r="W1145" s="67"/>
      <c r="X1145" s="67"/>
      <c r="Y1145" s="67"/>
      <c r="Z1145" s="67"/>
      <c r="AA1145" s="67"/>
      <c r="AB1145" s="67"/>
      <c r="AC1145" s="67"/>
    </row>
    <row r="1146">
      <c r="A1146" s="66"/>
      <c r="B1146" s="67"/>
      <c r="C1146" s="67"/>
      <c r="D1146" s="68"/>
      <c r="E1146" s="68"/>
      <c r="F1146" s="68"/>
      <c r="G1146" s="68"/>
      <c r="H1146" s="68"/>
      <c r="I1146" s="69"/>
      <c r="J1146" s="67"/>
      <c r="K1146" s="67"/>
      <c r="L1146" s="67"/>
      <c r="M1146" s="67"/>
      <c r="N1146" s="67"/>
      <c r="O1146" s="67"/>
      <c r="P1146" s="67"/>
      <c r="Q1146" s="77"/>
      <c r="R1146" s="68"/>
      <c r="S1146" s="68"/>
      <c r="T1146" s="67"/>
      <c r="U1146" s="68"/>
      <c r="V1146" s="68"/>
      <c r="W1146" s="67"/>
      <c r="X1146" s="67"/>
      <c r="Y1146" s="67"/>
      <c r="Z1146" s="67"/>
      <c r="AA1146" s="67"/>
      <c r="AB1146" s="67"/>
      <c r="AC1146" s="67"/>
    </row>
    <row r="1147">
      <c r="A1147" s="66"/>
      <c r="B1147" s="67"/>
      <c r="C1147" s="67"/>
      <c r="D1147" s="68"/>
      <c r="E1147" s="68"/>
      <c r="F1147" s="68"/>
      <c r="G1147" s="68"/>
      <c r="H1147" s="68"/>
      <c r="I1147" s="69"/>
      <c r="J1147" s="67"/>
      <c r="K1147" s="67"/>
      <c r="L1147" s="67"/>
      <c r="M1147" s="67"/>
      <c r="N1147" s="67"/>
      <c r="O1147" s="67"/>
      <c r="P1147" s="67"/>
      <c r="Q1147" s="77"/>
      <c r="R1147" s="68"/>
      <c r="S1147" s="68"/>
      <c r="T1147" s="67"/>
      <c r="U1147" s="68"/>
      <c r="V1147" s="68"/>
      <c r="W1147" s="67"/>
      <c r="X1147" s="67"/>
      <c r="Y1147" s="67"/>
      <c r="Z1147" s="67"/>
      <c r="AA1147" s="67"/>
      <c r="AB1147" s="67"/>
      <c r="AC1147" s="67"/>
    </row>
    <row r="1148">
      <c r="A1148" s="66"/>
      <c r="B1148" s="67"/>
      <c r="C1148" s="67"/>
      <c r="D1148" s="68"/>
      <c r="E1148" s="68"/>
      <c r="F1148" s="68"/>
      <c r="G1148" s="68"/>
      <c r="H1148" s="68"/>
      <c r="I1148" s="69"/>
      <c r="J1148" s="67"/>
      <c r="K1148" s="67"/>
      <c r="L1148" s="67"/>
      <c r="M1148" s="67"/>
      <c r="N1148" s="67"/>
      <c r="O1148" s="67"/>
      <c r="P1148" s="67"/>
      <c r="Q1148" s="77"/>
      <c r="R1148" s="68"/>
      <c r="S1148" s="68"/>
      <c r="T1148" s="67"/>
      <c r="U1148" s="68"/>
      <c r="V1148" s="68"/>
      <c r="W1148" s="67"/>
      <c r="X1148" s="67"/>
      <c r="Y1148" s="67"/>
      <c r="Z1148" s="67"/>
      <c r="AA1148" s="67"/>
      <c r="AB1148" s="67"/>
      <c r="AC1148" s="67"/>
    </row>
    <row r="1149">
      <c r="A1149" s="66"/>
      <c r="B1149" s="67"/>
      <c r="C1149" s="67"/>
      <c r="D1149" s="68"/>
      <c r="E1149" s="68"/>
      <c r="F1149" s="68"/>
      <c r="G1149" s="68"/>
      <c r="H1149" s="68"/>
      <c r="I1149" s="69"/>
      <c r="J1149" s="67"/>
      <c r="K1149" s="67"/>
      <c r="L1149" s="67"/>
      <c r="M1149" s="67"/>
      <c r="N1149" s="67"/>
      <c r="O1149" s="67"/>
      <c r="P1149" s="67"/>
      <c r="Q1149" s="77"/>
      <c r="R1149" s="68"/>
      <c r="S1149" s="68"/>
      <c r="T1149" s="67"/>
      <c r="U1149" s="68"/>
      <c r="V1149" s="68"/>
      <c r="W1149" s="67"/>
      <c r="X1149" s="67"/>
      <c r="Y1149" s="67"/>
      <c r="Z1149" s="67"/>
      <c r="AA1149" s="67"/>
      <c r="AB1149" s="67"/>
      <c r="AC1149" s="67"/>
    </row>
    <row r="1150">
      <c r="A1150" s="66"/>
      <c r="B1150" s="67"/>
      <c r="C1150" s="67"/>
      <c r="D1150" s="68"/>
      <c r="E1150" s="68"/>
      <c r="F1150" s="68"/>
      <c r="G1150" s="68"/>
      <c r="H1150" s="68"/>
      <c r="I1150" s="69"/>
      <c r="J1150" s="67"/>
      <c r="K1150" s="67"/>
      <c r="L1150" s="67"/>
      <c r="M1150" s="67"/>
      <c r="N1150" s="67"/>
      <c r="O1150" s="67"/>
      <c r="P1150" s="67"/>
      <c r="Q1150" s="77"/>
      <c r="R1150" s="68"/>
      <c r="S1150" s="68"/>
      <c r="T1150" s="67"/>
      <c r="U1150" s="68"/>
      <c r="V1150" s="68"/>
      <c r="W1150" s="67"/>
      <c r="X1150" s="67"/>
      <c r="Y1150" s="67"/>
      <c r="Z1150" s="67"/>
      <c r="AA1150" s="67"/>
      <c r="AB1150" s="67"/>
      <c r="AC1150" s="67"/>
    </row>
    <row r="1151">
      <c r="A1151" s="66"/>
      <c r="B1151" s="67"/>
      <c r="C1151" s="67"/>
      <c r="D1151" s="68"/>
      <c r="E1151" s="68"/>
      <c r="F1151" s="68"/>
      <c r="G1151" s="68"/>
      <c r="H1151" s="68"/>
      <c r="I1151" s="69"/>
      <c r="J1151" s="67"/>
      <c r="K1151" s="67"/>
      <c r="L1151" s="67"/>
      <c r="M1151" s="67"/>
      <c r="N1151" s="67"/>
      <c r="O1151" s="67"/>
      <c r="P1151" s="67"/>
      <c r="Q1151" s="77"/>
      <c r="R1151" s="68"/>
      <c r="S1151" s="68"/>
      <c r="T1151" s="67"/>
      <c r="U1151" s="68"/>
      <c r="V1151" s="68"/>
      <c r="W1151" s="67"/>
      <c r="X1151" s="67"/>
      <c r="Y1151" s="67"/>
      <c r="Z1151" s="67"/>
      <c r="AA1151" s="67"/>
      <c r="AB1151" s="67"/>
      <c r="AC1151" s="67"/>
    </row>
    <row r="1152">
      <c r="A1152" s="66"/>
      <c r="B1152" s="67"/>
      <c r="C1152" s="67"/>
      <c r="D1152" s="68"/>
      <c r="E1152" s="68"/>
      <c r="F1152" s="68"/>
      <c r="G1152" s="68"/>
      <c r="H1152" s="68"/>
      <c r="I1152" s="69"/>
      <c r="J1152" s="67"/>
      <c r="K1152" s="67"/>
      <c r="L1152" s="67"/>
      <c r="M1152" s="67"/>
      <c r="N1152" s="67"/>
      <c r="O1152" s="67"/>
      <c r="P1152" s="67"/>
      <c r="Q1152" s="77"/>
      <c r="R1152" s="68"/>
      <c r="S1152" s="68"/>
      <c r="T1152" s="67"/>
      <c r="U1152" s="68"/>
      <c r="V1152" s="68"/>
      <c r="W1152" s="67"/>
      <c r="X1152" s="67"/>
      <c r="Y1152" s="67"/>
      <c r="Z1152" s="67"/>
      <c r="AA1152" s="67"/>
      <c r="AB1152" s="67"/>
      <c r="AC1152" s="67"/>
    </row>
    <row r="1153">
      <c r="A1153" s="66"/>
      <c r="B1153" s="67"/>
      <c r="C1153" s="67"/>
      <c r="D1153" s="68"/>
      <c r="E1153" s="68"/>
      <c r="F1153" s="68"/>
      <c r="G1153" s="68"/>
      <c r="H1153" s="68"/>
      <c r="I1153" s="69"/>
      <c r="J1153" s="67"/>
      <c r="K1153" s="67"/>
      <c r="L1153" s="67"/>
      <c r="M1153" s="67"/>
      <c r="N1153" s="67"/>
      <c r="O1153" s="67"/>
      <c r="P1153" s="67"/>
      <c r="Q1153" s="77"/>
      <c r="R1153" s="68"/>
      <c r="S1153" s="68"/>
      <c r="T1153" s="67"/>
      <c r="U1153" s="68"/>
      <c r="V1153" s="68"/>
      <c r="W1153" s="67"/>
      <c r="X1153" s="67"/>
      <c r="Y1153" s="67"/>
      <c r="Z1153" s="67"/>
      <c r="AA1153" s="67"/>
      <c r="AB1153" s="67"/>
      <c r="AC1153" s="67"/>
    </row>
    <row r="1154">
      <c r="A1154" s="66"/>
      <c r="B1154" s="67"/>
      <c r="C1154" s="67"/>
      <c r="D1154" s="68"/>
      <c r="E1154" s="68"/>
      <c r="F1154" s="68"/>
      <c r="G1154" s="68"/>
      <c r="H1154" s="68"/>
      <c r="I1154" s="69"/>
      <c r="J1154" s="67"/>
      <c r="K1154" s="67"/>
      <c r="L1154" s="67"/>
      <c r="M1154" s="67"/>
      <c r="N1154" s="67"/>
      <c r="O1154" s="67"/>
      <c r="P1154" s="67"/>
      <c r="Q1154" s="77"/>
      <c r="R1154" s="68"/>
      <c r="S1154" s="68"/>
      <c r="T1154" s="67"/>
      <c r="U1154" s="68"/>
      <c r="V1154" s="68"/>
      <c r="W1154" s="67"/>
      <c r="X1154" s="67"/>
      <c r="Y1154" s="67"/>
      <c r="Z1154" s="67"/>
      <c r="AA1154" s="67"/>
      <c r="AB1154" s="67"/>
      <c r="AC1154" s="67"/>
    </row>
    <row r="1155">
      <c r="A1155" s="66"/>
      <c r="B1155" s="67"/>
      <c r="C1155" s="67"/>
      <c r="D1155" s="68"/>
      <c r="E1155" s="68"/>
      <c r="F1155" s="68"/>
      <c r="G1155" s="68"/>
      <c r="H1155" s="68"/>
      <c r="I1155" s="69"/>
      <c r="J1155" s="67"/>
      <c r="K1155" s="67"/>
      <c r="L1155" s="67"/>
      <c r="M1155" s="67"/>
      <c r="N1155" s="67"/>
      <c r="O1155" s="67"/>
      <c r="P1155" s="67"/>
      <c r="Q1155" s="77"/>
      <c r="R1155" s="68"/>
      <c r="S1155" s="68"/>
      <c r="T1155" s="67"/>
      <c r="U1155" s="68"/>
      <c r="V1155" s="68"/>
      <c r="W1155" s="67"/>
      <c r="X1155" s="67"/>
      <c r="Y1155" s="67"/>
      <c r="Z1155" s="67"/>
      <c r="AA1155" s="67"/>
      <c r="AB1155" s="67"/>
      <c r="AC1155" s="67"/>
    </row>
    <row r="1156">
      <c r="A1156" s="66"/>
      <c r="B1156" s="67"/>
      <c r="C1156" s="67"/>
      <c r="D1156" s="68"/>
      <c r="E1156" s="68"/>
      <c r="F1156" s="68"/>
      <c r="G1156" s="68"/>
      <c r="H1156" s="68"/>
      <c r="I1156" s="69"/>
      <c r="J1156" s="67"/>
      <c r="K1156" s="67"/>
      <c r="L1156" s="67"/>
      <c r="M1156" s="67"/>
      <c r="N1156" s="67"/>
      <c r="O1156" s="67"/>
      <c r="P1156" s="67"/>
      <c r="Q1156" s="77"/>
      <c r="R1156" s="68"/>
      <c r="S1156" s="68"/>
      <c r="T1156" s="67"/>
      <c r="U1156" s="68"/>
      <c r="V1156" s="68"/>
      <c r="W1156" s="67"/>
      <c r="X1156" s="67"/>
      <c r="Y1156" s="67"/>
      <c r="Z1156" s="67"/>
      <c r="AA1156" s="67"/>
      <c r="AB1156" s="67"/>
      <c r="AC1156" s="67"/>
    </row>
    <row r="1157">
      <c r="A1157" s="66"/>
      <c r="B1157" s="67"/>
      <c r="C1157" s="67"/>
      <c r="D1157" s="68"/>
      <c r="E1157" s="68"/>
      <c r="F1157" s="68"/>
      <c r="G1157" s="68"/>
      <c r="H1157" s="68"/>
      <c r="I1157" s="69"/>
      <c r="J1157" s="67"/>
      <c r="K1157" s="67"/>
      <c r="L1157" s="67"/>
      <c r="M1157" s="67"/>
      <c r="N1157" s="67"/>
      <c r="O1157" s="67"/>
      <c r="P1157" s="67"/>
      <c r="Q1157" s="77"/>
      <c r="R1157" s="68"/>
      <c r="S1157" s="68"/>
      <c r="T1157" s="67"/>
      <c r="U1157" s="68"/>
      <c r="V1157" s="68"/>
      <c r="W1157" s="67"/>
      <c r="X1157" s="67"/>
      <c r="Y1157" s="67"/>
      <c r="Z1157" s="67"/>
      <c r="AA1157" s="67"/>
      <c r="AB1157" s="67"/>
      <c r="AC1157" s="67"/>
    </row>
    <row r="1158">
      <c r="A1158" s="66"/>
      <c r="B1158" s="67"/>
      <c r="C1158" s="67"/>
      <c r="D1158" s="68"/>
      <c r="E1158" s="68"/>
      <c r="F1158" s="68"/>
      <c r="G1158" s="68"/>
      <c r="H1158" s="68"/>
      <c r="I1158" s="69"/>
      <c r="J1158" s="67"/>
      <c r="K1158" s="67"/>
      <c r="L1158" s="67"/>
      <c r="M1158" s="67"/>
      <c r="N1158" s="67"/>
      <c r="O1158" s="67"/>
      <c r="P1158" s="67"/>
      <c r="Q1158" s="77"/>
      <c r="R1158" s="68"/>
      <c r="S1158" s="68"/>
      <c r="T1158" s="67"/>
      <c r="U1158" s="68"/>
      <c r="V1158" s="68"/>
      <c r="W1158" s="67"/>
      <c r="X1158" s="67"/>
      <c r="Y1158" s="67"/>
      <c r="Z1158" s="67"/>
      <c r="AA1158" s="67"/>
      <c r="AB1158" s="67"/>
      <c r="AC1158" s="67"/>
    </row>
    <row r="1159">
      <c r="A1159" s="66"/>
      <c r="B1159" s="67"/>
      <c r="C1159" s="67"/>
      <c r="D1159" s="68"/>
      <c r="E1159" s="68"/>
      <c r="F1159" s="68"/>
      <c r="G1159" s="68"/>
      <c r="H1159" s="68"/>
      <c r="I1159" s="69"/>
      <c r="J1159" s="67"/>
      <c r="K1159" s="67"/>
      <c r="L1159" s="67"/>
      <c r="M1159" s="67"/>
      <c r="N1159" s="67"/>
      <c r="O1159" s="67"/>
      <c r="P1159" s="67"/>
      <c r="Q1159" s="77"/>
      <c r="R1159" s="68"/>
      <c r="S1159" s="68"/>
      <c r="T1159" s="67"/>
      <c r="U1159" s="68"/>
      <c r="V1159" s="68"/>
      <c r="W1159" s="67"/>
      <c r="X1159" s="67"/>
      <c r="Y1159" s="67"/>
      <c r="Z1159" s="67"/>
      <c r="AA1159" s="67"/>
      <c r="AB1159" s="67"/>
      <c r="AC1159" s="67"/>
    </row>
    <row r="1160">
      <c r="A1160" s="66"/>
      <c r="B1160" s="67"/>
      <c r="C1160" s="67"/>
      <c r="D1160" s="68"/>
      <c r="E1160" s="68"/>
      <c r="F1160" s="68"/>
      <c r="G1160" s="68"/>
      <c r="H1160" s="68"/>
      <c r="I1160" s="69"/>
      <c r="J1160" s="67"/>
      <c r="K1160" s="67"/>
      <c r="L1160" s="67"/>
      <c r="M1160" s="67"/>
      <c r="N1160" s="67"/>
      <c r="O1160" s="67"/>
      <c r="P1160" s="67"/>
      <c r="Q1160" s="77"/>
      <c r="R1160" s="68"/>
      <c r="S1160" s="68"/>
      <c r="T1160" s="67"/>
      <c r="U1160" s="68"/>
      <c r="V1160" s="68"/>
      <c r="W1160" s="67"/>
      <c r="X1160" s="67"/>
      <c r="Y1160" s="67"/>
      <c r="Z1160" s="67"/>
      <c r="AA1160" s="67"/>
      <c r="AB1160" s="67"/>
      <c r="AC1160" s="67"/>
    </row>
    <row r="1161">
      <c r="A1161" s="66"/>
      <c r="B1161" s="67"/>
      <c r="C1161" s="67"/>
      <c r="D1161" s="68"/>
      <c r="E1161" s="68"/>
      <c r="F1161" s="68"/>
      <c r="G1161" s="68"/>
      <c r="H1161" s="68"/>
      <c r="I1161" s="69"/>
      <c r="J1161" s="67"/>
      <c r="K1161" s="67"/>
      <c r="L1161" s="67"/>
      <c r="M1161" s="67"/>
      <c r="N1161" s="67"/>
      <c r="O1161" s="67"/>
      <c r="P1161" s="67"/>
      <c r="Q1161" s="77"/>
      <c r="R1161" s="68"/>
      <c r="S1161" s="68"/>
      <c r="T1161" s="67"/>
      <c r="U1161" s="68"/>
      <c r="V1161" s="68"/>
      <c r="W1161" s="67"/>
      <c r="X1161" s="67"/>
      <c r="Y1161" s="67"/>
      <c r="Z1161" s="67"/>
      <c r="AA1161" s="67"/>
      <c r="AB1161" s="67"/>
      <c r="AC1161" s="67"/>
    </row>
    <row r="1162">
      <c r="A1162" s="66"/>
      <c r="B1162" s="67"/>
      <c r="C1162" s="67"/>
      <c r="D1162" s="68"/>
      <c r="E1162" s="68"/>
      <c r="F1162" s="68"/>
      <c r="G1162" s="68"/>
      <c r="H1162" s="68"/>
      <c r="I1162" s="69"/>
      <c r="J1162" s="67"/>
      <c r="K1162" s="67"/>
      <c r="L1162" s="67"/>
      <c r="M1162" s="67"/>
      <c r="N1162" s="67"/>
      <c r="O1162" s="67"/>
      <c r="P1162" s="67"/>
      <c r="Q1162" s="77"/>
      <c r="R1162" s="68"/>
      <c r="S1162" s="68"/>
      <c r="T1162" s="67"/>
      <c r="U1162" s="68"/>
      <c r="V1162" s="68"/>
      <c r="W1162" s="67"/>
      <c r="X1162" s="67"/>
      <c r="Y1162" s="67"/>
      <c r="Z1162" s="67"/>
      <c r="AA1162" s="67"/>
      <c r="AB1162" s="67"/>
      <c r="AC1162" s="67"/>
    </row>
    <row r="1163">
      <c r="A1163" s="66"/>
      <c r="B1163" s="67"/>
      <c r="C1163" s="67"/>
      <c r="D1163" s="68"/>
      <c r="E1163" s="68"/>
      <c r="F1163" s="68"/>
      <c r="G1163" s="68"/>
      <c r="H1163" s="68"/>
      <c r="I1163" s="69"/>
      <c r="J1163" s="67"/>
      <c r="K1163" s="67"/>
      <c r="L1163" s="67"/>
      <c r="M1163" s="67"/>
      <c r="N1163" s="67"/>
      <c r="O1163" s="67"/>
      <c r="P1163" s="67"/>
      <c r="Q1163" s="77"/>
      <c r="R1163" s="68"/>
      <c r="S1163" s="68"/>
      <c r="T1163" s="67"/>
      <c r="U1163" s="68"/>
      <c r="V1163" s="68"/>
      <c r="W1163" s="67"/>
      <c r="X1163" s="67"/>
      <c r="Y1163" s="67"/>
      <c r="Z1163" s="67"/>
      <c r="AA1163" s="67"/>
      <c r="AB1163" s="67"/>
      <c r="AC1163" s="67"/>
    </row>
    <row r="1164">
      <c r="A1164" s="66"/>
      <c r="B1164" s="67"/>
      <c r="C1164" s="67"/>
      <c r="D1164" s="68"/>
      <c r="E1164" s="68"/>
      <c r="F1164" s="68"/>
      <c r="G1164" s="68"/>
      <c r="H1164" s="68"/>
      <c r="I1164" s="69"/>
      <c r="J1164" s="67"/>
      <c r="K1164" s="67"/>
      <c r="L1164" s="67"/>
      <c r="M1164" s="67"/>
      <c r="N1164" s="67"/>
      <c r="O1164" s="67"/>
      <c r="P1164" s="67"/>
      <c r="Q1164" s="77"/>
      <c r="R1164" s="68"/>
      <c r="S1164" s="68"/>
      <c r="T1164" s="67"/>
      <c r="U1164" s="68"/>
      <c r="V1164" s="68"/>
      <c r="W1164" s="67"/>
      <c r="X1164" s="67"/>
      <c r="Y1164" s="67"/>
      <c r="Z1164" s="67"/>
      <c r="AA1164" s="67"/>
      <c r="AB1164" s="67"/>
      <c r="AC1164" s="67"/>
    </row>
    <row r="1165">
      <c r="A1165" s="66"/>
      <c r="B1165" s="67"/>
      <c r="C1165" s="67"/>
      <c r="D1165" s="68"/>
      <c r="E1165" s="68"/>
      <c r="F1165" s="68"/>
      <c r="G1165" s="68"/>
      <c r="H1165" s="68"/>
      <c r="I1165" s="69"/>
      <c r="J1165" s="67"/>
      <c r="K1165" s="67"/>
      <c r="L1165" s="67"/>
      <c r="M1165" s="67"/>
      <c r="N1165" s="67"/>
      <c r="O1165" s="67"/>
      <c r="P1165" s="67"/>
      <c r="Q1165" s="77"/>
      <c r="R1165" s="68"/>
      <c r="S1165" s="68"/>
      <c r="T1165" s="67"/>
      <c r="U1165" s="68"/>
      <c r="V1165" s="68"/>
      <c r="W1165" s="67"/>
      <c r="X1165" s="67"/>
      <c r="Y1165" s="67"/>
      <c r="Z1165" s="67"/>
      <c r="AA1165" s="67"/>
      <c r="AB1165" s="67"/>
      <c r="AC1165" s="67"/>
    </row>
    <row r="1166">
      <c r="A1166" s="66"/>
      <c r="B1166" s="67"/>
      <c r="C1166" s="67"/>
      <c r="D1166" s="68"/>
      <c r="E1166" s="68"/>
      <c r="F1166" s="68"/>
      <c r="G1166" s="68"/>
      <c r="H1166" s="68"/>
      <c r="I1166" s="69"/>
      <c r="J1166" s="67"/>
      <c r="K1166" s="67"/>
      <c r="L1166" s="67"/>
      <c r="M1166" s="67"/>
      <c r="N1166" s="67"/>
      <c r="O1166" s="67"/>
      <c r="P1166" s="67"/>
      <c r="Q1166" s="77"/>
      <c r="R1166" s="68"/>
      <c r="S1166" s="68"/>
      <c r="T1166" s="67"/>
      <c r="U1166" s="68"/>
      <c r="V1166" s="68"/>
      <c r="W1166" s="67"/>
      <c r="X1166" s="67"/>
      <c r="Y1166" s="67"/>
      <c r="Z1166" s="67"/>
      <c r="AA1166" s="67"/>
      <c r="AB1166" s="67"/>
      <c r="AC1166" s="67"/>
    </row>
    <row r="1167">
      <c r="A1167" s="66"/>
      <c r="B1167" s="67"/>
      <c r="C1167" s="67"/>
      <c r="D1167" s="68"/>
      <c r="E1167" s="68"/>
      <c r="F1167" s="68"/>
      <c r="G1167" s="68"/>
      <c r="H1167" s="68"/>
      <c r="I1167" s="69"/>
      <c r="J1167" s="67"/>
      <c r="K1167" s="67"/>
      <c r="L1167" s="67"/>
      <c r="M1167" s="67"/>
      <c r="N1167" s="67"/>
      <c r="O1167" s="67"/>
      <c r="P1167" s="67"/>
      <c r="Q1167" s="77"/>
      <c r="R1167" s="68"/>
      <c r="S1167" s="68"/>
      <c r="T1167" s="67"/>
      <c r="U1167" s="68"/>
      <c r="V1167" s="68"/>
      <c r="W1167" s="67"/>
      <c r="X1167" s="67"/>
      <c r="Y1167" s="67"/>
      <c r="Z1167" s="67"/>
      <c r="AA1167" s="67"/>
      <c r="AB1167" s="67"/>
      <c r="AC1167" s="67"/>
    </row>
    <row r="1168">
      <c r="A1168" s="66"/>
      <c r="B1168" s="67"/>
      <c r="C1168" s="67"/>
      <c r="D1168" s="68"/>
      <c r="E1168" s="68"/>
      <c r="F1168" s="68"/>
      <c r="G1168" s="68"/>
      <c r="H1168" s="68"/>
      <c r="I1168" s="69"/>
      <c r="J1168" s="67"/>
      <c r="K1168" s="67"/>
      <c r="L1168" s="67"/>
      <c r="M1168" s="67"/>
      <c r="N1168" s="67"/>
      <c r="O1168" s="67"/>
      <c r="P1168" s="67"/>
      <c r="Q1168" s="77"/>
      <c r="R1168" s="68"/>
      <c r="S1168" s="68"/>
      <c r="T1168" s="67"/>
      <c r="U1168" s="68"/>
      <c r="V1168" s="68"/>
      <c r="W1168" s="67"/>
      <c r="X1168" s="67"/>
      <c r="Y1168" s="67"/>
      <c r="Z1168" s="67"/>
      <c r="AA1168" s="67"/>
      <c r="AB1168" s="67"/>
      <c r="AC1168" s="67"/>
    </row>
    <row r="1169">
      <c r="A1169" s="66"/>
      <c r="B1169" s="67"/>
      <c r="C1169" s="67"/>
      <c r="D1169" s="68"/>
      <c r="E1169" s="68"/>
      <c r="F1169" s="68"/>
      <c r="G1169" s="68"/>
      <c r="H1169" s="68"/>
      <c r="I1169" s="69"/>
      <c r="J1169" s="67"/>
      <c r="K1169" s="67"/>
      <c r="L1169" s="67"/>
      <c r="M1169" s="67"/>
      <c r="N1169" s="67"/>
      <c r="O1169" s="67"/>
      <c r="P1169" s="67"/>
      <c r="Q1169" s="77"/>
      <c r="R1169" s="68"/>
      <c r="S1169" s="68"/>
      <c r="T1169" s="67"/>
      <c r="U1169" s="68"/>
      <c r="V1169" s="68"/>
      <c r="W1169" s="67"/>
      <c r="X1169" s="67"/>
      <c r="Y1169" s="67"/>
      <c r="Z1169" s="67"/>
      <c r="AA1169" s="67"/>
      <c r="AB1169" s="67"/>
      <c r="AC1169" s="67"/>
    </row>
    <row r="1170">
      <c r="A1170" s="66"/>
      <c r="B1170" s="67"/>
      <c r="C1170" s="67"/>
      <c r="D1170" s="68"/>
      <c r="E1170" s="68"/>
      <c r="F1170" s="68"/>
      <c r="G1170" s="68"/>
      <c r="H1170" s="68"/>
      <c r="I1170" s="69"/>
      <c r="J1170" s="67"/>
      <c r="K1170" s="67"/>
      <c r="L1170" s="67"/>
      <c r="M1170" s="67"/>
      <c r="N1170" s="67"/>
      <c r="O1170" s="67"/>
      <c r="P1170" s="67"/>
      <c r="Q1170" s="77"/>
      <c r="R1170" s="68"/>
      <c r="S1170" s="68"/>
      <c r="T1170" s="67"/>
      <c r="U1170" s="68"/>
      <c r="V1170" s="68"/>
      <c r="W1170" s="67"/>
      <c r="X1170" s="67"/>
      <c r="Y1170" s="67"/>
      <c r="Z1170" s="67"/>
      <c r="AA1170" s="67"/>
      <c r="AB1170" s="67"/>
      <c r="AC1170" s="67"/>
    </row>
    <row r="1171">
      <c r="A1171" s="66"/>
      <c r="B1171" s="67"/>
      <c r="C1171" s="67"/>
      <c r="D1171" s="68"/>
      <c r="E1171" s="68"/>
      <c r="F1171" s="68"/>
      <c r="G1171" s="68"/>
      <c r="H1171" s="68"/>
      <c r="I1171" s="69"/>
      <c r="J1171" s="67"/>
      <c r="K1171" s="67"/>
      <c r="L1171" s="67"/>
      <c r="M1171" s="67"/>
      <c r="N1171" s="67"/>
      <c r="O1171" s="67"/>
      <c r="P1171" s="67"/>
      <c r="Q1171" s="77"/>
      <c r="R1171" s="68"/>
      <c r="S1171" s="68"/>
      <c r="T1171" s="67"/>
      <c r="U1171" s="68"/>
      <c r="V1171" s="68"/>
      <c r="W1171" s="67"/>
      <c r="X1171" s="67"/>
      <c r="Y1171" s="67"/>
      <c r="Z1171" s="67"/>
      <c r="AA1171" s="67"/>
      <c r="AB1171" s="67"/>
      <c r="AC1171" s="67"/>
    </row>
    <row r="1172">
      <c r="A1172" s="66"/>
      <c r="B1172" s="67"/>
      <c r="C1172" s="67"/>
      <c r="D1172" s="68"/>
      <c r="E1172" s="68"/>
      <c r="F1172" s="68"/>
      <c r="G1172" s="68"/>
      <c r="H1172" s="68"/>
      <c r="I1172" s="69"/>
      <c r="J1172" s="67"/>
      <c r="K1172" s="67"/>
      <c r="L1172" s="67"/>
      <c r="M1172" s="67"/>
      <c r="N1172" s="67"/>
      <c r="O1172" s="67"/>
      <c r="P1172" s="67"/>
      <c r="Q1172" s="77"/>
      <c r="R1172" s="68"/>
      <c r="S1172" s="68"/>
      <c r="T1172" s="67"/>
      <c r="U1172" s="68"/>
      <c r="V1172" s="68"/>
      <c r="W1172" s="67"/>
      <c r="X1172" s="67"/>
      <c r="Y1172" s="67"/>
      <c r="Z1172" s="67"/>
      <c r="AA1172" s="67"/>
      <c r="AB1172" s="67"/>
      <c r="AC1172" s="67"/>
    </row>
    <row r="1173">
      <c r="A1173" s="66"/>
      <c r="B1173" s="67"/>
      <c r="C1173" s="67"/>
      <c r="D1173" s="68"/>
      <c r="E1173" s="68"/>
      <c r="F1173" s="68"/>
      <c r="G1173" s="68"/>
      <c r="H1173" s="68"/>
      <c r="I1173" s="69"/>
      <c r="J1173" s="67"/>
      <c r="K1173" s="67"/>
      <c r="L1173" s="67"/>
      <c r="M1173" s="67"/>
      <c r="N1173" s="67"/>
      <c r="O1173" s="67"/>
      <c r="P1173" s="67"/>
      <c r="Q1173" s="77"/>
      <c r="R1173" s="68"/>
      <c r="S1173" s="68"/>
      <c r="T1173" s="67"/>
      <c r="U1173" s="68"/>
      <c r="V1173" s="68"/>
      <c r="W1173" s="67"/>
      <c r="X1173" s="67"/>
      <c r="Y1173" s="67"/>
      <c r="Z1173" s="67"/>
      <c r="AA1173" s="67"/>
      <c r="AB1173" s="67"/>
      <c r="AC1173" s="67"/>
    </row>
    <row r="1174">
      <c r="A1174" s="66"/>
      <c r="B1174" s="67"/>
      <c r="C1174" s="67"/>
      <c r="D1174" s="68"/>
      <c r="E1174" s="68"/>
      <c r="F1174" s="68"/>
      <c r="G1174" s="68"/>
      <c r="H1174" s="68"/>
      <c r="I1174" s="69"/>
      <c r="J1174" s="67"/>
      <c r="K1174" s="67"/>
      <c r="L1174" s="67"/>
      <c r="M1174" s="67"/>
      <c r="N1174" s="67"/>
      <c r="O1174" s="67"/>
      <c r="P1174" s="67"/>
      <c r="Q1174" s="77"/>
      <c r="R1174" s="68"/>
      <c r="S1174" s="68"/>
      <c r="T1174" s="67"/>
      <c r="U1174" s="68"/>
      <c r="V1174" s="68"/>
      <c r="W1174" s="67"/>
      <c r="X1174" s="67"/>
      <c r="Y1174" s="67"/>
      <c r="Z1174" s="67"/>
      <c r="AA1174" s="67"/>
      <c r="AB1174" s="67"/>
      <c r="AC1174" s="67"/>
    </row>
    <row r="1175">
      <c r="A1175" s="66"/>
      <c r="B1175" s="67"/>
      <c r="C1175" s="67"/>
      <c r="D1175" s="68"/>
      <c r="E1175" s="68"/>
      <c r="F1175" s="68"/>
      <c r="G1175" s="68"/>
      <c r="H1175" s="68"/>
      <c r="I1175" s="69"/>
      <c r="J1175" s="67"/>
      <c r="K1175" s="67"/>
      <c r="L1175" s="67"/>
      <c r="M1175" s="67"/>
      <c r="N1175" s="67"/>
      <c r="O1175" s="67"/>
      <c r="P1175" s="67"/>
      <c r="Q1175" s="77"/>
      <c r="R1175" s="68"/>
      <c r="S1175" s="68"/>
      <c r="T1175" s="67"/>
      <c r="U1175" s="68"/>
      <c r="V1175" s="68"/>
      <c r="W1175" s="67"/>
      <c r="X1175" s="67"/>
      <c r="Y1175" s="67"/>
      <c r="Z1175" s="67"/>
      <c r="AA1175" s="67"/>
      <c r="AB1175" s="67"/>
      <c r="AC1175" s="67"/>
    </row>
    <row r="1176">
      <c r="A1176" s="66"/>
      <c r="B1176" s="67"/>
      <c r="C1176" s="67"/>
      <c r="D1176" s="68"/>
      <c r="E1176" s="68"/>
      <c r="F1176" s="68"/>
      <c r="G1176" s="68"/>
      <c r="H1176" s="68"/>
      <c r="I1176" s="69"/>
      <c r="J1176" s="67"/>
      <c r="K1176" s="67"/>
      <c r="L1176" s="67"/>
      <c r="M1176" s="67"/>
      <c r="N1176" s="67"/>
      <c r="O1176" s="67"/>
      <c r="P1176" s="67"/>
      <c r="Q1176" s="77"/>
      <c r="R1176" s="68"/>
      <c r="S1176" s="68"/>
      <c r="T1176" s="67"/>
      <c r="U1176" s="68"/>
      <c r="V1176" s="68"/>
      <c r="W1176" s="67"/>
      <c r="X1176" s="67"/>
      <c r="Y1176" s="67"/>
      <c r="Z1176" s="67"/>
      <c r="AA1176" s="67"/>
      <c r="AB1176" s="67"/>
      <c r="AC1176" s="67"/>
    </row>
    <row r="1177">
      <c r="A1177" s="66"/>
      <c r="B1177" s="67"/>
      <c r="C1177" s="67"/>
      <c r="D1177" s="68"/>
      <c r="E1177" s="68"/>
      <c r="F1177" s="68"/>
      <c r="G1177" s="68"/>
      <c r="H1177" s="68"/>
      <c r="I1177" s="69"/>
      <c r="J1177" s="67"/>
      <c r="K1177" s="67"/>
      <c r="L1177" s="67"/>
      <c r="M1177" s="67"/>
      <c r="N1177" s="67"/>
      <c r="O1177" s="67"/>
      <c r="P1177" s="67"/>
      <c r="Q1177" s="77"/>
      <c r="R1177" s="68"/>
      <c r="S1177" s="68"/>
      <c r="T1177" s="67"/>
      <c r="U1177" s="68"/>
      <c r="V1177" s="68"/>
      <c r="W1177" s="67"/>
      <c r="X1177" s="67"/>
      <c r="Y1177" s="67"/>
      <c r="Z1177" s="67"/>
      <c r="AA1177" s="67"/>
      <c r="AB1177" s="67"/>
      <c r="AC1177" s="67"/>
    </row>
    <row r="1178">
      <c r="A1178" s="66"/>
      <c r="B1178" s="67"/>
      <c r="C1178" s="67"/>
      <c r="D1178" s="68"/>
      <c r="E1178" s="68"/>
      <c r="F1178" s="68"/>
      <c r="G1178" s="68"/>
      <c r="H1178" s="68"/>
      <c r="I1178" s="69"/>
      <c r="J1178" s="67"/>
      <c r="K1178" s="67"/>
      <c r="L1178" s="67"/>
      <c r="M1178" s="67"/>
      <c r="N1178" s="67"/>
      <c r="O1178" s="67"/>
      <c r="P1178" s="67"/>
      <c r="Q1178" s="77"/>
      <c r="R1178" s="68"/>
      <c r="S1178" s="68"/>
      <c r="T1178" s="67"/>
      <c r="U1178" s="68"/>
      <c r="V1178" s="68"/>
      <c r="W1178" s="67"/>
      <c r="X1178" s="67"/>
      <c r="Y1178" s="67"/>
      <c r="Z1178" s="67"/>
      <c r="AA1178" s="67"/>
      <c r="AB1178" s="67"/>
      <c r="AC1178" s="67"/>
    </row>
    <row r="1179">
      <c r="A1179" s="66"/>
      <c r="B1179" s="67"/>
      <c r="C1179" s="67"/>
      <c r="D1179" s="68"/>
      <c r="E1179" s="68"/>
      <c r="F1179" s="68"/>
      <c r="G1179" s="68"/>
      <c r="H1179" s="68"/>
      <c r="I1179" s="69"/>
      <c r="J1179" s="67"/>
      <c r="K1179" s="67"/>
      <c r="L1179" s="67"/>
      <c r="M1179" s="67"/>
      <c r="N1179" s="67"/>
      <c r="O1179" s="67"/>
      <c r="P1179" s="67"/>
      <c r="Q1179" s="77"/>
      <c r="R1179" s="68"/>
      <c r="S1179" s="68"/>
      <c r="T1179" s="67"/>
      <c r="U1179" s="68"/>
      <c r="V1179" s="68"/>
      <c r="W1179" s="67"/>
      <c r="X1179" s="67"/>
      <c r="Y1179" s="67"/>
      <c r="Z1179" s="67"/>
      <c r="AA1179" s="67"/>
      <c r="AB1179" s="67"/>
      <c r="AC1179" s="67"/>
    </row>
    <row r="1180">
      <c r="A1180" s="66"/>
      <c r="B1180" s="67"/>
      <c r="C1180" s="67"/>
      <c r="D1180" s="68"/>
      <c r="E1180" s="68"/>
      <c r="F1180" s="68"/>
      <c r="G1180" s="68"/>
      <c r="H1180" s="68"/>
      <c r="I1180" s="69"/>
      <c r="J1180" s="67"/>
      <c r="K1180" s="67"/>
      <c r="L1180" s="67"/>
      <c r="M1180" s="67"/>
      <c r="N1180" s="67"/>
      <c r="O1180" s="67"/>
      <c r="P1180" s="67"/>
      <c r="Q1180" s="77"/>
      <c r="R1180" s="68"/>
      <c r="S1180" s="68"/>
      <c r="T1180" s="67"/>
      <c r="U1180" s="68"/>
      <c r="V1180" s="68"/>
      <c r="W1180" s="67"/>
      <c r="X1180" s="67"/>
      <c r="Y1180" s="67"/>
      <c r="Z1180" s="67"/>
      <c r="AA1180" s="67"/>
      <c r="AB1180" s="67"/>
      <c r="AC1180" s="67"/>
    </row>
    <row r="1181">
      <c r="A1181" s="66"/>
      <c r="B1181" s="67"/>
      <c r="C1181" s="67"/>
      <c r="D1181" s="68"/>
      <c r="E1181" s="68"/>
      <c r="F1181" s="68"/>
      <c r="G1181" s="68"/>
      <c r="H1181" s="68"/>
      <c r="I1181" s="69"/>
      <c r="J1181" s="67"/>
      <c r="K1181" s="67"/>
      <c r="L1181" s="67"/>
      <c r="M1181" s="67"/>
      <c r="N1181" s="67"/>
      <c r="O1181" s="67"/>
      <c r="P1181" s="67"/>
      <c r="Q1181" s="77"/>
      <c r="R1181" s="68"/>
      <c r="S1181" s="68"/>
      <c r="T1181" s="67"/>
      <c r="U1181" s="68"/>
      <c r="V1181" s="68"/>
      <c r="W1181" s="67"/>
      <c r="X1181" s="67"/>
      <c r="Y1181" s="67"/>
      <c r="Z1181" s="67"/>
      <c r="AA1181" s="67"/>
      <c r="AB1181" s="67"/>
      <c r="AC1181" s="67"/>
    </row>
    <row r="1182">
      <c r="A1182" s="66"/>
      <c r="B1182" s="67"/>
      <c r="C1182" s="67"/>
      <c r="D1182" s="68"/>
      <c r="E1182" s="68"/>
      <c r="F1182" s="68"/>
      <c r="G1182" s="68"/>
      <c r="H1182" s="68"/>
      <c r="I1182" s="69"/>
      <c r="J1182" s="67"/>
      <c r="K1182" s="67"/>
      <c r="L1182" s="67"/>
      <c r="M1182" s="67"/>
      <c r="N1182" s="67"/>
      <c r="O1182" s="67"/>
      <c r="P1182" s="67"/>
      <c r="Q1182" s="77"/>
      <c r="R1182" s="68"/>
      <c r="S1182" s="68"/>
      <c r="T1182" s="67"/>
      <c r="U1182" s="68"/>
      <c r="V1182" s="68"/>
      <c r="W1182" s="67"/>
      <c r="X1182" s="67"/>
      <c r="Y1182" s="67"/>
      <c r="Z1182" s="67"/>
      <c r="AA1182" s="67"/>
      <c r="AB1182" s="67"/>
      <c r="AC1182" s="67"/>
    </row>
    <row r="1183">
      <c r="A1183" s="66"/>
      <c r="B1183" s="67"/>
      <c r="C1183" s="67"/>
      <c r="D1183" s="68"/>
      <c r="E1183" s="68"/>
      <c r="F1183" s="68"/>
      <c r="G1183" s="68"/>
      <c r="H1183" s="68"/>
      <c r="I1183" s="69"/>
      <c r="J1183" s="67"/>
      <c r="K1183" s="67"/>
      <c r="L1183" s="67"/>
      <c r="M1183" s="67"/>
      <c r="N1183" s="67"/>
      <c r="O1183" s="67"/>
      <c r="P1183" s="67"/>
      <c r="Q1183" s="77"/>
      <c r="R1183" s="68"/>
      <c r="S1183" s="68"/>
      <c r="T1183" s="67"/>
      <c r="U1183" s="68"/>
      <c r="V1183" s="68"/>
      <c r="W1183" s="67"/>
      <c r="X1183" s="67"/>
      <c r="Y1183" s="67"/>
      <c r="Z1183" s="67"/>
      <c r="AA1183" s="67"/>
      <c r="AB1183" s="67"/>
      <c r="AC1183" s="67"/>
    </row>
    <row r="1184">
      <c r="A1184" s="66"/>
      <c r="B1184" s="67"/>
      <c r="C1184" s="67"/>
      <c r="D1184" s="68"/>
      <c r="E1184" s="68"/>
      <c r="F1184" s="68"/>
      <c r="G1184" s="68"/>
      <c r="H1184" s="68"/>
      <c r="I1184" s="69"/>
      <c r="J1184" s="67"/>
      <c r="K1184" s="67"/>
      <c r="L1184" s="67"/>
      <c r="M1184" s="67"/>
      <c r="N1184" s="67"/>
      <c r="O1184" s="67"/>
      <c r="P1184" s="67"/>
      <c r="Q1184" s="77"/>
      <c r="R1184" s="68"/>
      <c r="S1184" s="68"/>
      <c r="T1184" s="67"/>
      <c r="U1184" s="68"/>
      <c r="V1184" s="68"/>
      <c r="W1184" s="67"/>
      <c r="X1184" s="67"/>
      <c r="Y1184" s="67"/>
      <c r="Z1184" s="67"/>
      <c r="AA1184" s="67"/>
      <c r="AB1184" s="67"/>
      <c r="AC1184" s="67"/>
    </row>
    <row r="1185">
      <c r="A1185" s="66"/>
      <c r="B1185" s="67"/>
      <c r="C1185" s="67"/>
      <c r="D1185" s="68"/>
      <c r="E1185" s="68"/>
      <c r="F1185" s="68"/>
      <c r="G1185" s="68"/>
      <c r="H1185" s="68"/>
      <c r="I1185" s="69"/>
      <c r="J1185" s="67"/>
      <c r="K1185" s="67"/>
      <c r="L1185" s="67"/>
      <c r="M1185" s="67"/>
      <c r="N1185" s="67"/>
      <c r="O1185" s="67"/>
      <c r="P1185" s="67"/>
      <c r="Q1185" s="77"/>
      <c r="R1185" s="68"/>
      <c r="S1185" s="68"/>
      <c r="T1185" s="67"/>
      <c r="U1185" s="68"/>
      <c r="V1185" s="68"/>
      <c r="W1185" s="67"/>
      <c r="X1185" s="67"/>
      <c r="Y1185" s="67"/>
      <c r="Z1185" s="67"/>
      <c r="AA1185" s="67"/>
      <c r="AB1185" s="67"/>
      <c r="AC1185" s="67"/>
    </row>
    <row r="1186">
      <c r="A1186" s="66"/>
      <c r="B1186" s="67"/>
      <c r="C1186" s="67"/>
      <c r="D1186" s="68"/>
      <c r="E1186" s="68"/>
      <c r="F1186" s="68"/>
      <c r="G1186" s="68"/>
      <c r="H1186" s="68"/>
      <c r="I1186" s="69"/>
      <c r="J1186" s="67"/>
      <c r="K1186" s="67"/>
      <c r="L1186" s="67"/>
      <c r="M1186" s="67"/>
      <c r="N1186" s="67"/>
      <c r="O1186" s="67"/>
      <c r="P1186" s="67"/>
      <c r="Q1186" s="77"/>
      <c r="R1186" s="68"/>
      <c r="S1186" s="68"/>
      <c r="T1186" s="67"/>
      <c r="U1186" s="68"/>
      <c r="V1186" s="68"/>
      <c r="W1186" s="67"/>
      <c r="X1186" s="67"/>
      <c r="Y1186" s="67"/>
      <c r="Z1186" s="67"/>
      <c r="AA1186" s="67"/>
      <c r="AB1186" s="67"/>
      <c r="AC1186" s="67"/>
    </row>
    <row r="1187">
      <c r="A1187" s="66"/>
      <c r="B1187" s="67"/>
      <c r="C1187" s="67"/>
      <c r="D1187" s="68"/>
      <c r="E1187" s="68"/>
      <c r="F1187" s="68"/>
      <c r="G1187" s="68"/>
      <c r="H1187" s="68"/>
      <c r="I1187" s="69"/>
      <c r="J1187" s="67"/>
      <c r="K1187" s="67"/>
      <c r="L1187" s="67"/>
      <c r="M1187" s="67"/>
      <c r="N1187" s="67"/>
      <c r="O1187" s="67"/>
      <c r="P1187" s="67"/>
      <c r="Q1187" s="77"/>
      <c r="R1187" s="68"/>
      <c r="S1187" s="68"/>
      <c r="T1187" s="67"/>
      <c r="U1187" s="68"/>
      <c r="V1187" s="68"/>
      <c r="W1187" s="67"/>
      <c r="X1187" s="67"/>
      <c r="Y1187" s="67"/>
      <c r="Z1187" s="67"/>
      <c r="AA1187" s="67"/>
      <c r="AB1187" s="67"/>
      <c r="AC1187" s="67"/>
    </row>
    <row r="1188">
      <c r="A1188" s="66"/>
      <c r="B1188" s="67"/>
      <c r="C1188" s="67"/>
      <c r="D1188" s="68"/>
      <c r="E1188" s="68"/>
      <c r="F1188" s="68"/>
      <c r="G1188" s="68"/>
      <c r="H1188" s="68"/>
      <c r="I1188" s="69"/>
      <c r="J1188" s="67"/>
      <c r="K1188" s="67"/>
      <c r="L1188" s="67"/>
      <c r="M1188" s="67"/>
      <c r="N1188" s="67"/>
      <c r="O1188" s="67"/>
      <c r="P1188" s="67"/>
      <c r="Q1188" s="77"/>
      <c r="R1188" s="68"/>
      <c r="S1188" s="68"/>
      <c r="T1188" s="67"/>
      <c r="U1188" s="68"/>
      <c r="V1188" s="68"/>
      <c r="W1188" s="67"/>
      <c r="X1188" s="67"/>
      <c r="Y1188" s="67"/>
      <c r="Z1188" s="67"/>
      <c r="AA1188" s="67"/>
      <c r="AB1188" s="67"/>
      <c r="AC1188" s="67"/>
    </row>
    <row r="1189">
      <c r="A1189" s="66"/>
      <c r="B1189" s="67"/>
      <c r="C1189" s="67"/>
      <c r="D1189" s="68"/>
      <c r="E1189" s="68"/>
      <c r="F1189" s="68"/>
      <c r="G1189" s="68"/>
      <c r="H1189" s="68"/>
      <c r="I1189" s="69"/>
      <c r="J1189" s="67"/>
      <c r="K1189" s="67"/>
      <c r="L1189" s="67"/>
      <c r="M1189" s="67"/>
      <c r="N1189" s="67"/>
      <c r="O1189" s="67"/>
      <c r="P1189" s="67"/>
      <c r="Q1189" s="77"/>
      <c r="R1189" s="68"/>
      <c r="S1189" s="68"/>
      <c r="T1189" s="67"/>
      <c r="U1189" s="68"/>
      <c r="V1189" s="68"/>
      <c r="W1189" s="67"/>
      <c r="X1189" s="67"/>
      <c r="Y1189" s="67"/>
      <c r="Z1189" s="67"/>
      <c r="AA1189" s="67"/>
      <c r="AB1189" s="67"/>
      <c r="AC1189" s="67"/>
    </row>
    <row r="1190">
      <c r="A1190" s="66"/>
      <c r="B1190" s="67"/>
      <c r="C1190" s="67"/>
      <c r="D1190" s="68"/>
      <c r="E1190" s="68"/>
      <c r="F1190" s="68"/>
      <c r="G1190" s="68"/>
      <c r="H1190" s="68"/>
      <c r="I1190" s="69"/>
      <c r="J1190" s="67"/>
      <c r="K1190" s="67"/>
      <c r="L1190" s="67"/>
      <c r="M1190" s="67"/>
      <c r="N1190" s="67"/>
      <c r="O1190" s="67"/>
      <c r="P1190" s="67"/>
      <c r="Q1190" s="77"/>
      <c r="R1190" s="68"/>
      <c r="S1190" s="68"/>
      <c r="T1190" s="67"/>
      <c r="U1190" s="68"/>
      <c r="V1190" s="68"/>
      <c r="W1190" s="67"/>
      <c r="X1190" s="67"/>
      <c r="Y1190" s="67"/>
      <c r="Z1190" s="67"/>
      <c r="AA1190" s="67"/>
      <c r="AB1190" s="67"/>
      <c r="AC1190" s="67"/>
    </row>
    <row r="1191">
      <c r="A1191" s="66"/>
      <c r="B1191" s="67"/>
      <c r="C1191" s="67"/>
      <c r="D1191" s="68"/>
      <c r="E1191" s="68"/>
      <c r="F1191" s="68"/>
      <c r="G1191" s="68"/>
      <c r="H1191" s="68"/>
      <c r="I1191" s="69"/>
      <c r="J1191" s="67"/>
      <c r="K1191" s="67"/>
      <c r="L1191" s="67"/>
      <c r="M1191" s="67"/>
      <c r="N1191" s="67"/>
      <c r="O1191" s="67"/>
      <c r="P1191" s="67"/>
      <c r="Q1191" s="77"/>
      <c r="R1191" s="68"/>
      <c r="S1191" s="68"/>
      <c r="T1191" s="67"/>
      <c r="U1191" s="68"/>
      <c r="V1191" s="68"/>
      <c r="W1191" s="67"/>
      <c r="X1191" s="67"/>
      <c r="Y1191" s="67"/>
      <c r="Z1191" s="67"/>
      <c r="AA1191" s="67"/>
      <c r="AB1191" s="67"/>
      <c r="AC1191" s="67"/>
    </row>
    <row r="1192">
      <c r="A1192" s="66"/>
      <c r="B1192" s="67"/>
      <c r="C1192" s="67"/>
      <c r="D1192" s="68"/>
      <c r="E1192" s="68"/>
      <c r="F1192" s="68"/>
      <c r="G1192" s="68"/>
      <c r="H1192" s="68"/>
      <c r="I1192" s="69"/>
      <c r="J1192" s="67"/>
      <c r="K1192" s="67"/>
      <c r="L1192" s="67"/>
      <c r="M1192" s="67"/>
      <c r="N1192" s="67"/>
      <c r="O1192" s="67"/>
      <c r="P1192" s="67"/>
      <c r="Q1192" s="77"/>
      <c r="R1192" s="68"/>
      <c r="S1192" s="68"/>
      <c r="T1192" s="67"/>
      <c r="U1192" s="68"/>
      <c r="V1192" s="68"/>
      <c r="W1192" s="67"/>
      <c r="X1192" s="67"/>
      <c r="Y1192" s="67"/>
      <c r="Z1192" s="67"/>
      <c r="AA1192" s="67"/>
      <c r="AB1192" s="67"/>
      <c r="AC1192" s="67"/>
    </row>
    <row r="1193">
      <c r="A1193" s="66"/>
      <c r="B1193" s="67"/>
      <c r="C1193" s="67"/>
      <c r="D1193" s="68"/>
      <c r="E1193" s="68"/>
      <c r="F1193" s="68"/>
      <c r="G1193" s="68"/>
      <c r="H1193" s="68"/>
      <c r="I1193" s="69"/>
      <c r="J1193" s="67"/>
      <c r="K1193" s="67"/>
      <c r="L1193" s="67"/>
      <c r="M1193" s="67"/>
      <c r="N1193" s="67"/>
      <c r="O1193" s="67"/>
      <c r="P1193" s="67"/>
      <c r="Q1193" s="77"/>
      <c r="R1193" s="68"/>
      <c r="S1193" s="68"/>
      <c r="T1193" s="67"/>
      <c r="U1193" s="68"/>
      <c r="V1193" s="68"/>
      <c r="W1193" s="67"/>
      <c r="X1193" s="67"/>
      <c r="Y1193" s="67"/>
      <c r="Z1193" s="67"/>
      <c r="AA1193" s="67"/>
      <c r="AB1193" s="67"/>
      <c r="AC1193" s="67"/>
    </row>
    <row r="1194">
      <c r="A1194" s="66"/>
      <c r="B1194" s="67"/>
      <c r="C1194" s="67"/>
      <c r="D1194" s="68"/>
      <c r="E1194" s="68"/>
      <c r="F1194" s="68"/>
      <c r="G1194" s="68"/>
      <c r="H1194" s="68"/>
      <c r="I1194" s="69"/>
      <c r="J1194" s="67"/>
      <c r="K1194" s="67"/>
      <c r="L1194" s="67"/>
      <c r="M1194" s="67"/>
      <c r="N1194" s="67"/>
      <c r="O1194" s="67"/>
      <c r="P1194" s="67"/>
      <c r="Q1194" s="77"/>
      <c r="R1194" s="68"/>
      <c r="S1194" s="68"/>
      <c r="T1194" s="67"/>
      <c r="U1194" s="68"/>
      <c r="V1194" s="68"/>
      <c r="W1194" s="67"/>
      <c r="X1194" s="67"/>
      <c r="Y1194" s="67"/>
      <c r="Z1194" s="67"/>
      <c r="AA1194" s="67"/>
      <c r="AB1194" s="67"/>
      <c r="AC1194" s="67"/>
    </row>
    <row r="1195">
      <c r="A1195" s="66"/>
      <c r="B1195" s="67"/>
      <c r="C1195" s="67"/>
      <c r="D1195" s="68"/>
      <c r="E1195" s="68"/>
      <c r="F1195" s="68"/>
      <c r="G1195" s="68"/>
      <c r="H1195" s="68"/>
      <c r="I1195" s="69"/>
      <c r="J1195" s="67"/>
      <c r="K1195" s="67"/>
      <c r="L1195" s="67"/>
      <c r="M1195" s="67"/>
      <c r="N1195" s="67"/>
      <c r="O1195" s="67"/>
      <c r="P1195" s="67"/>
      <c r="Q1195" s="77"/>
      <c r="R1195" s="68"/>
      <c r="S1195" s="68"/>
      <c r="T1195" s="67"/>
      <c r="U1195" s="68"/>
      <c r="V1195" s="68"/>
      <c r="W1195" s="67"/>
      <c r="X1195" s="67"/>
      <c r="Y1195" s="67"/>
      <c r="Z1195" s="67"/>
      <c r="AA1195" s="67"/>
      <c r="AB1195" s="67"/>
      <c r="AC1195" s="67"/>
    </row>
    <row r="1196">
      <c r="A1196" s="66"/>
      <c r="B1196" s="67"/>
      <c r="C1196" s="67"/>
      <c r="D1196" s="68"/>
      <c r="E1196" s="68"/>
      <c r="F1196" s="68"/>
      <c r="G1196" s="68"/>
      <c r="H1196" s="68"/>
      <c r="I1196" s="69"/>
      <c r="J1196" s="67"/>
      <c r="K1196" s="67"/>
      <c r="L1196" s="67"/>
      <c r="M1196" s="67"/>
      <c r="N1196" s="67"/>
      <c r="O1196" s="67"/>
      <c r="P1196" s="67"/>
      <c r="Q1196" s="77"/>
      <c r="R1196" s="68"/>
      <c r="S1196" s="68"/>
      <c r="T1196" s="67"/>
      <c r="U1196" s="68"/>
      <c r="V1196" s="68"/>
      <c r="W1196" s="67"/>
      <c r="X1196" s="67"/>
      <c r="Y1196" s="67"/>
      <c r="Z1196" s="67"/>
      <c r="AA1196" s="67"/>
      <c r="AB1196" s="67"/>
      <c r="AC1196" s="67"/>
    </row>
    <row r="1197">
      <c r="A1197" s="66"/>
      <c r="B1197" s="67"/>
      <c r="C1197" s="67"/>
      <c r="D1197" s="68"/>
      <c r="E1197" s="68"/>
      <c r="F1197" s="68"/>
      <c r="G1197" s="68"/>
      <c r="H1197" s="68"/>
      <c r="I1197" s="69"/>
      <c r="J1197" s="67"/>
      <c r="K1197" s="67"/>
      <c r="L1197" s="67"/>
      <c r="M1197" s="67"/>
      <c r="N1197" s="67"/>
      <c r="O1197" s="67"/>
      <c r="P1197" s="67"/>
      <c r="Q1197" s="77"/>
      <c r="R1197" s="68"/>
      <c r="S1197" s="68"/>
      <c r="T1197" s="67"/>
      <c r="U1197" s="68"/>
      <c r="V1197" s="68"/>
      <c r="W1197" s="67"/>
      <c r="X1197" s="67"/>
      <c r="Y1197" s="67"/>
      <c r="Z1197" s="67"/>
      <c r="AA1197" s="67"/>
      <c r="AB1197" s="67"/>
      <c r="AC1197" s="67"/>
    </row>
    <row r="1198">
      <c r="A1198" s="66"/>
      <c r="B1198" s="67"/>
      <c r="C1198" s="67"/>
      <c r="D1198" s="68"/>
      <c r="E1198" s="68"/>
      <c r="F1198" s="68"/>
      <c r="G1198" s="68"/>
      <c r="H1198" s="68"/>
      <c r="I1198" s="69"/>
      <c r="J1198" s="67"/>
      <c r="K1198" s="67"/>
      <c r="L1198" s="67"/>
      <c r="M1198" s="67"/>
      <c r="N1198" s="67"/>
      <c r="O1198" s="67"/>
      <c r="P1198" s="67"/>
      <c r="Q1198" s="77"/>
      <c r="R1198" s="68"/>
      <c r="S1198" s="68"/>
      <c r="T1198" s="67"/>
      <c r="U1198" s="68"/>
      <c r="V1198" s="68"/>
      <c r="W1198" s="67"/>
      <c r="X1198" s="67"/>
      <c r="Y1198" s="67"/>
      <c r="Z1198" s="67"/>
      <c r="AA1198" s="67"/>
      <c r="AB1198" s="67"/>
      <c r="AC1198" s="67"/>
    </row>
    <row r="1199">
      <c r="A1199" s="66"/>
      <c r="B1199" s="67"/>
      <c r="C1199" s="67"/>
      <c r="D1199" s="68"/>
      <c r="E1199" s="68"/>
      <c r="F1199" s="68"/>
      <c r="G1199" s="68"/>
      <c r="H1199" s="68"/>
      <c r="I1199" s="69"/>
      <c r="J1199" s="67"/>
      <c r="K1199" s="67"/>
      <c r="L1199" s="67"/>
      <c r="M1199" s="67"/>
      <c r="N1199" s="67"/>
      <c r="O1199" s="67"/>
      <c r="P1199" s="67"/>
      <c r="Q1199" s="77"/>
      <c r="R1199" s="68"/>
      <c r="S1199" s="68"/>
      <c r="T1199" s="67"/>
      <c r="U1199" s="68"/>
      <c r="V1199" s="68"/>
      <c r="W1199" s="67"/>
      <c r="X1199" s="67"/>
      <c r="Y1199" s="67"/>
      <c r="Z1199" s="67"/>
      <c r="AA1199" s="67"/>
      <c r="AB1199" s="67"/>
      <c r="AC1199" s="67"/>
    </row>
    <row r="1200">
      <c r="A1200" s="66"/>
      <c r="B1200" s="67"/>
      <c r="C1200" s="67"/>
      <c r="D1200" s="68"/>
      <c r="E1200" s="68"/>
      <c r="F1200" s="68"/>
      <c r="G1200" s="68"/>
      <c r="H1200" s="68"/>
      <c r="I1200" s="69"/>
      <c r="J1200" s="67"/>
      <c r="K1200" s="67"/>
      <c r="L1200" s="67"/>
      <c r="M1200" s="67"/>
      <c r="N1200" s="67"/>
      <c r="O1200" s="67"/>
      <c r="P1200" s="67"/>
      <c r="Q1200" s="77"/>
      <c r="R1200" s="68"/>
      <c r="S1200" s="68"/>
      <c r="T1200" s="67"/>
      <c r="U1200" s="68"/>
      <c r="V1200" s="68"/>
      <c r="W1200" s="67"/>
      <c r="X1200" s="67"/>
      <c r="Y1200" s="67"/>
      <c r="Z1200" s="67"/>
      <c r="AA1200" s="67"/>
      <c r="AB1200" s="67"/>
      <c r="AC1200" s="67"/>
    </row>
    <row r="1201">
      <c r="A1201" s="66"/>
      <c r="B1201" s="67"/>
      <c r="C1201" s="67"/>
      <c r="D1201" s="68"/>
      <c r="E1201" s="68"/>
      <c r="F1201" s="68"/>
      <c r="G1201" s="68"/>
      <c r="H1201" s="68"/>
      <c r="I1201" s="69"/>
      <c r="J1201" s="67"/>
      <c r="K1201" s="67"/>
      <c r="L1201" s="67"/>
      <c r="M1201" s="67"/>
      <c r="N1201" s="67"/>
      <c r="O1201" s="67"/>
      <c r="P1201" s="67"/>
      <c r="Q1201" s="77"/>
      <c r="R1201" s="68"/>
      <c r="S1201" s="68"/>
      <c r="T1201" s="67"/>
      <c r="U1201" s="68"/>
      <c r="V1201" s="68"/>
      <c r="W1201" s="67"/>
      <c r="X1201" s="67"/>
      <c r="Y1201" s="67"/>
      <c r="Z1201" s="67"/>
      <c r="AA1201" s="67"/>
      <c r="AB1201" s="67"/>
      <c r="AC1201" s="67"/>
    </row>
    <row r="1202">
      <c r="A1202" s="66"/>
      <c r="B1202" s="67"/>
      <c r="C1202" s="67"/>
      <c r="D1202" s="68"/>
      <c r="E1202" s="68"/>
      <c r="F1202" s="68"/>
      <c r="G1202" s="68"/>
      <c r="H1202" s="68"/>
      <c r="I1202" s="69"/>
      <c r="J1202" s="67"/>
      <c r="K1202" s="67"/>
      <c r="L1202" s="67"/>
      <c r="M1202" s="67"/>
      <c r="N1202" s="67"/>
      <c r="O1202" s="67"/>
      <c r="P1202" s="67"/>
      <c r="Q1202" s="77"/>
      <c r="R1202" s="68"/>
      <c r="S1202" s="68"/>
      <c r="T1202" s="67"/>
      <c r="U1202" s="68"/>
      <c r="V1202" s="68"/>
      <c r="W1202" s="67"/>
      <c r="X1202" s="67"/>
      <c r="Y1202" s="67"/>
      <c r="Z1202" s="67"/>
      <c r="AA1202" s="67"/>
      <c r="AB1202" s="67"/>
      <c r="AC1202" s="67"/>
    </row>
    <row r="1203">
      <c r="A1203" s="66"/>
      <c r="B1203" s="67"/>
      <c r="C1203" s="67"/>
      <c r="D1203" s="68"/>
      <c r="E1203" s="68"/>
      <c r="F1203" s="68"/>
      <c r="G1203" s="68"/>
      <c r="H1203" s="68"/>
      <c r="I1203" s="69"/>
      <c r="J1203" s="67"/>
      <c r="K1203" s="67"/>
      <c r="L1203" s="67"/>
      <c r="M1203" s="67"/>
      <c r="N1203" s="67"/>
      <c r="O1203" s="67"/>
      <c r="P1203" s="67"/>
      <c r="Q1203" s="77"/>
      <c r="R1203" s="68"/>
      <c r="S1203" s="68"/>
      <c r="T1203" s="67"/>
      <c r="U1203" s="68"/>
      <c r="V1203" s="68"/>
      <c r="W1203" s="67"/>
      <c r="X1203" s="67"/>
      <c r="Y1203" s="67"/>
      <c r="Z1203" s="67"/>
      <c r="AA1203" s="67"/>
      <c r="AB1203" s="67"/>
      <c r="AC1203" s="67"/>
    </row>
    <row r="1204">
      <c r="A1204" s="66"/>
      <c r="B1204" s="67"/>
      <c r="C1204" s="67"/>
      <c r="D1204" s="68"/>
      <c r="E1204" s="68"/>
      <c r="F1204" s="68"/>
      <c r="G1204" s="68"/>
      <c r="H1204" s="68"/>
      <c r="I1204" s="69"/>
      <c r="J1204" s="67"/>
      <c r="K1204" s="67"/>
      <c r="L1204" s="67"/>
      <c r="M1204" s="67"/>
      <c r="N1204" s="67"/>
      <c r="O1204" s="67"/>
      <c r="P1204" s="67"/>
      <c r="Q1204" s="77"/>
      <c r="R1204" s="68"/>
      <c r="S1204" s="68"/>
      <c r="T1204" s="67"/>
      <c r="U1204" s="68"/>
      <c r="V1204" s="68"/>
      <c r="W1204" s="67"/>
      <c r="X1204" s="67"/>
      <c r="Y1204" s="67"/>
      <c r="Z1204" s="67"/>
      <c r="AA1204" s="67"/>
      <c r="AB1204" s="67"/>
      <c r="AC1204" s="67"/>
    </row>
    <row r="1205">
      <c r="A1205" s="66"/>
      <c r="B1205" s="67"/>
      <c r="C1205" s="67"/>
      <c r="D1205" s="68"/>
      <c r="E1205" s="68"/>
      <c r="F1205" s="68"/>
      <c r="G1205" s="68"/>
      <c r="H1205" s="68"/>
      <c r="I1205" s="69"/>
      <c r="J1205" s="67"/>
      <c r="K1205" s="67"/>
      <c r="L1205" s="67"/>
      <c r="M1205" s="67"/>
      <c r="N1205" s="67"/>
      <c r="O1205" s="67"/>
      <c r="P1205" s="67"/>
      <c r="Q1205" s="77"/>
      <c r="R1205" s="68"/>
      <c r="S1205" s="68"/>
      <c r="T1205" s="67"/>
      <c r="U1205" s="68"/>
      <c r="V1205" s="68"/>
      <c r="W1205" s="67"/>
      <c r="X1205" s="67"/>
      <c r="Y1205" s="67"/>
      <c r="Z1205" s="67"/>
      <c r="AA1205" s="67"/>
      <c r="AB1205" s="67"/>
      <c r="AC1205" s="67"/>
    </row>
    <row r="1206">
      <c r="A1206" s="66"/>
      <c r="B1206" s="67"/>
      <c r="C1206" s="67"/>
      <c r="D1206" s="68"/>
      <c r="E1206" s="68"/>
      <c r="F1206" s="68"/>
      <c r="G1206" s="68"/>
      <c r="H1206" s="68"/>
      <c r="I1206" s="69"/>
      <c r="J1206" s="67"/>
      <c r="K1206" s="67"/>
      <c r="L1206" s="67"/>
      <c r="M1206" s="67"/>
      <c r="N1206" s="67"/>
      <c r="O1206" s="67"/>
      <c r="P1206" s="67"/>
      <c r="Q1206" s="77"/>
      <c r="R1206" s="68"/>
      <c r="S1206" s="68"/>
      <c r="T1206" s="67"/>
      <c r="U1206" s="68"/>
      <c r="V1206" s="68"/>
      <c r="W1206" s="67"/>
      <c r="X1206" s="67"/>
      <c r="Y1206" s="67"/>
      <c r="Z1206" s="67"/>
      <c r="AA1206" s="67"/>
      <c r="AB1206" s="67"/>
      <c r="AC1206" s="67"/>
    </row>
    <row r="1207">
      <c r="A1207" s="66"/>
      <c r="B1207" s="67"/>
      <c r="C1207" s="67"/>
      <c r="D1207" s="68"/>
      <c r="E1207" s="68"/>
      <c r="F1207" s="68"/>
      <c r="G1207" s="68"/>
      <c r="H1207" s="68"/>
      <c r="I1207" s="69"/>
      <c r="J1207" s="67"/>
      <c r="K1207" s="67"/>
      <c r="L1207" s="67"/>
      <c r="M1207" s="67"/>
      <c r="N1207" s="67"/>
      <c r="O1207" s="67"/>
      <c r="P1207" s="67"/>
      <c r="Q1207" s="77"/>
      <c r="R1207" s="68"/>
      <c r="S1207" s="68"/>
      <c r="T1207" s="67"/>
      <c r="U1207" s="68"/>
      <c r="V1207" s="68"/>
      <c r="W1207" s="67"/>
      <c r="X1207" s="67"/>
      <c r="Y1207" s="67"/>
      <c r="Z1207" s="67"/>
      <c r="AA1207" s="67"/>
      <c r="AB1207" s="67"/>
      <c r="AC1207" s="67"/>
    </row>
    <row r="1208">
      <c r="A1208" s="66"/>
      <c r="B1208" s="67"/>
      <c r="C1208" s="67"/>
      <c r="D1208" s="68"/>
      <c r="E1208" s="68"/>
      <c r="F1208" s="68"/>
      <c r="G1208" s="68"/>
      <c r="H1208" s="68"/>
      <c r="I1208" s="69"/>
      <c r="J1208" s="67"/>
      <c r="K1208" s="67"/>
      <c r="L1208" s="67"/>
      <c r="M1208" s="67"/>
      <c r="N1208" s="67"/>
      <c r="O1208" s="67"/>
      <c r="P1208" s="67"/>
      <c r="Q1208" s="77"/>
      <c r="R1208" s="68"/>
      <c r="S1208" s="68"/>
      <c r="T1208" s="67"/>
      <c r="U1208" s="68"/>
      <c r="V1208" s="68"/>
      <c r="W1208" s="67"/>
      <c r="X1208" s="67"/>
      <c r="Y1208" s="67"/>
      <c r="Z1208" s="67"/>
      <c r="AA1208" s="67"/>
      <c r="AB1208" s="67"/>
      <c r="AC1208" s="67"/>
    </row>
    <row r="1209">
      <c r="A1209" s="66"/>
      <c r="B1209" s="67"/>
      <c r="C1209" s="67"/>
      <c r="D1209" s="68"/>
      <c r="E1209" s="68"/>
      <c r="F1209" s="68"/>
      <c r="G1209" s="68"/>
      <c r="H1209" s="68"/>
      <c r="I1209" s="69"/>
      <c r="J1209" s="67"/>
      <c r="K1209" s="67"/>
      <c r="L1209" s="67"/>
      <c r="M1209" s="67"/>
      <c r="N1209" s="67"/>
      <c r="O1209" s="67"/>
      <c r="P1209" s="67"/>
      <c r="Q1209" s="77"/>
      <c r="R1209" s="68"/>
      <c r="S1209" s="68"/>
      <c r="T1209" s="67"/>
      <c r="U1209" s="68"/>
      <c r="V1209" s="68"/>
      <c r="W1209" s="67"/>
      <c r="X1209" s="67"/>
      <c r="Y1209" s="67"/>
      <c r="Z1209" s="67"/>
      <c r="AA1209" s="67"/>
      <c r="AB1209" s="67"/>
      <c r="AC1209" s="67"/>
    </row>
    <row r="1210">
      <c r="A1210" s="66"/>
      <c r="B1210" s="67"/>
      <c r="C1210" s="67"/>
      <c r="D1210" s="68"/>
      <c r="E1210" s="68"/>
      <c r="F1210" s="68"/>
      <c r="G1210" s="68"/>
      <c r="H1210" s="68"/>
      <c r="I1210" s="69"/>
      <c r="J1210" s="67"/>
      <c r="K1210" s="67"/>
      <c r="L1210" s="67"/>
      <c r="M1210" s="67"/>
      <c r="N1210" s="67"/>
      <c r="O1210" s="67"/>
      <c r="P1210" s="67"/>
      <c r="Q1210" s="77"/>
      <c r="R1210" s="68"/>
      <c r="S1210" s="68"/>
      <c r="T1210" s="67"/>
      <c r="U1210" s="68"/>
      <c r="V1210" s="68"/>
      <c r="W1210" s="67"/>
      <c r="X1210" s="67"/>
      <c r="Y1210" s="67"/>
      <c r="Z1210" s="67"/>
      <c r="AA1210" s="67"/>
      <c r="AB1210" s="67"/>
      <c r="AC1210" s="67"/>
    </row>
    <row r="1211">
      <c r="A1211" s="66"/>
      <c r="B1211" s="67"/>
      <c r="C1211" s="67"/>
      <c r="D1211" s="68"/>
      <c r="E1211" s="68"/>
      <c r="F1211" s="68"/>
      <c r="G1211" s="68"/>
      <c r="H1211" s="68"/>
      <c r="I1211" s="69"/>
      <c r="J1211" s="67"/>
      <c r="K1211" s="67"/>
      <c r="L1211" s="67"/>
      <c r="M1211" s="67"/>
      <c r="N1211" s="67"/>
      <c r="O1211" s="67"/>
      <c r="P1211" s="67"/>
      <c r="Q1211" s="77"/>
      <c r="R1211" s="68"/>
      <c r="S1211" s="68"/>
      <c r="T1211" s="67"/>
      <c r="U1211" s="68"/>
      <c r="V1211" s="68"/>
      <c r="W1211" s="67"/>
      <c r="X1211" s="67"/>
      <c r="Y1211" s="67"/>
      <c r="Z1211" s="67"/>
      <c r="AA1211" s="67"/>
      <c r="AB1211" s="67"/>
      <c r="AC1211" s="67"/>
    </row>
    <row r="1212">
      <c r="A1212" s="66"/>
      <c r="B1212" s="67"/>
      <c r="C1212" s="67"/>
      <c r="D1212" s="68"/>
      <c r="E1212" s="68"/>
      <c r="F1212" s="68"/>
      <c r="G1212" s="68"/>
      <c r="H1212" s="68"/>
      <c r="I1212" s="69"/>
      <c r="J1212" s="67"/>
      <c r="K1212" s="67"/>
      <c r="L1212" s="67"/>
      <c r="M1212" s="67"/>
      <c r="N1212" s="67"/>
      <c r="O1212" s="67"/>
      <c r="P1212" s="67"/>
      <c r="Q1212" s="77"/>
      <c r="R1212" s="68"/>
      <c r="S1212" s="68"/>
      <c r="T1212" s="67"/>
      <c r="U1212" s="68"/>
      <c r="V1212" s="68"/>
      <c r="W1212" s="67"/>
      <c r="X1212" s="67"/>
      <c r="Y1212" s="67"/>
      <c r="Z1212" s="67"/>
      <c r="AA1212" s="67"/>
      <c r="AB1212" s="67"/>
      <c r="AC1212" s="67"/>
    </row>
    <row r="1213">
      <c r="A1213" s="66"/>
      <c r="B1213" s="67"/>
      <c r="C1213" s="67"/>
      <c r="D1213" s="68"/>
      <c r="E1213" s="68"/>
      <c r="F1213" s="68"/>
      <c r="G1213" s="68"/>
      <c r="H1213" s="68"/>
      <c r="I1213" s="69"/>
      <c r="J1213" s="67"/>
      <c r="K1213" s="67"/>
      <c r="L1213" s="67"/>
      <c r="M1213" s="67"/>
      <c r="N1213" s="67"/>
      <c r="O1213" s="67"/>
      <c r="P1213" s="67"/>
      <c r="Q1213" s="77"/>
      <c r="R1213" s="68"/>
      <c r="S1213" s="68"/>
      <c r="T1213" s="67"/>
      <c r="U1213" s="68"/>
      <c r="V1213" s="68"/>
      <c r="W1213" s="67"/>
      <c r="X1213" s="67"/>
      <c r="Y1213" s="67"/>
      <c r="Z1213" s="67"/>
      <c r="AA1213" s="67"/>
      <c r="AB1213" s="67"/>
      <c r="AC1213" s="67"/>
    </row>
    <row r="1214">
      <c r="A1214" s="66"/>
      <c r="B1214" s="67"/>
      <c r="C1214" s="67"/>
      <c r="D1214" s="68"/>
      <c r="E1214" s="68"/>
      <c r="F1214" s="68"/>
      <c r="G1214" s="68"/>
      <c r="H1214" s="68"/>
      <c r="I1214" s="69"/>
      <c r="J1214" s="67"/>
      <c r="K1214" s="67"/>
      <c r="L1214" s="67"/>
      <c r="M1214" s="67"/>
      <c r="N1214" s="67"/>
      <c r="O1214" s="67"/>
      <c r="P1214" s="67"/>
      <c r="Q1214" s="77"/>
      <c r="R1214" s="68"/>
      <c r="S1214" s="68"/>
      <c r="T1214" s="67"/>
      <c r="U1214" s="68"/>
      <c r="V1214" s="68"/>
      <c r="W1214" s="67"/>
      <c r="X1214" s="67"/>
      <c r="Y1214" s="67"/>
      <c r="Z1214" s="67"/>
      <c r="AA1214" s="67"/>
      <c r="AB1214" s="67"/>
      <c r="AC1214" s="67"/>
    </row>
    <row r="1215">
      <c r="A1215" s="66"/>
      <c r="B1215" s="67"/>
      <c r="C1215" s="67"/>
      <c r="D1215" s="68"/>
      <c r="E1215" s="68"/>
      <c r="F1215" s="68"/>
      <c r="G1215" s="68"/>
      <c r="H1215" s="68"/>
      <c r="I1215" s="69"/>
      <c r="J1215" s="67"/>
      <c r="K1215" s="67"/>
      <c r="L1215" s="67"/>
      <c r="M1215" s="67"/>
      <c r="N1215" s="67"/>
      <c r="O1215" s="67"/>
      <c r="P1215" s="67"/>
      <c r="Q1215" s="77"/>
      <c r="R1215" s="68"/>
      <c r="S1215" s="68"/>
      <c r="T1215" s="67"/>
      <c r="U1215" s="68"/>
      <c r="V1215" s="68"/>
      <c r="W1215" s="67"/>
      <c r="X1215" s="67"/>
      <c r="Y1215" s="67"/>
      <c r="Z1215" s="67"/>
      <c r="AA1215" s="67"/>
      <c r="AB1215" s="67"/>
      <c r="AC1215" s="67"/>
    </row>
    <row r="1216">
      <c r="A1216" s="66"/>
      <c r="B1216" s="67"/>
      <c r="C1216" s="67"/>
      <c r="D1216" s="68"/>
      <c r="E1216" s="68"/>
      <c r="F1216" s="68"/>
      <c r="G1216" s="68"/>
      <c r="H1216" s="68"/>
      <c r="I1216" s="69"/>
      <c r="J1216" s="67"/>
      <c r="K1216" s="67"/>
      <c r="L1216" s="67"/>
      <c r="M1216" s="67"/>
      <c r="N1216" s="67"/>
      <c r="O1216" s="67"/>
      <c r="P1216" s="67"/>
      <c r="Q1216" s="77"/>
      <c r="R1216" s="68"/>
      <c r="S1216" s="68"/>
      <c r="T1216" s="67"/>
      <c r="U1216" s="68"/>
      <c r="V1216" s="68"/>
      <c r="W1216" s="67"/>
      <c r="X1216" s="67"/>
      <c r="Y1216" s="67"/>
      <c r="Z1216" s="67"/>
      <c r="AA1216" s="67"/>
      <c r="AB1216" s="67"/>
      <c r="AC1216" s="67"/>
    </row>
    <row r="1217">
      <c r="A1217" s="66"/>
      <c r="B1217" s="67"/>
      <c r="C1217" s="67"/>
      <c r="D1217" s="68"/>
      <c r="E1217" s="68"/>
      <c r="F1217" s="68"/>
      <c r="G1217" s="68"/>
      <c r="H1217" s="68"/>
      <c r="I1217" s="69"/>
      <c r="J1217" s="67"/>
      <c r="K1217" s="67"/>
      <c r="L1217" s="67"/>
      <c r="M1217" s="67"/>
      <c r="N1217" s="67"/>
      <c r="O1217" s="67"/>
      <c r="P1217" s="67"/>
      <c r="Q1217" s="77"/>
      <c r="R1217" s="68"/>
      <c r="S1217" s="68"/>
      <c r="T1217" s="67"/>
      <c r="U1217" s="68"/>
      <c r="V1217" s="68"/>
      <c r="W1217" s="67"/>
      <c r="X1217" s="67"/>
      <c r="Y1217" s="67"/>
      <c r="Z1217" s="67"/>
      <c r="AA1217" s="67"/>
      <c r="AB1217" s="67"/>
      <c r="AC1217" s="67"/>
    </row>
    <row r="1218">
      <c r="A1218" s="66"/>
      <c r="B1218" s="67"/>
      <c r="C1218" s="67"/>
      <c r="D1218" s="68"/>
      <c r="E1218" s="68"/>
      <c r="F1218" s="68"/>
      <c r="G1218" s="68"/>
      <c r="H1218" s="68"/>
      <c r="I1218" s="69"/>
      <c r="J1218" s="67"/>
      <c r="K1218" s="67"/>
      <c r="L1218" s="67"/>
      <c r="M1218" s="67"/>
      <c r="N1218" s="67"/>
      <c r="O1218" s="67"/>
      <c r="P1218" s="67"/>
      <c r="Q1218" s="77"/>
      <c r="R1218" s="68"/>
      <c r="S1218" s="68"/>
      <c r="T1218" s="67"/>
      <c r="U1218" s="68"/>
      <c r="V1218" s="68"/>
      <c r="W1218" s="67"/>
      <c r="X1218" s="67"/>
      <c r="Y1218" s="67"/>
      <c r="Z1218" s="67"/>
      <c r="AA1218" s="67"/>
      <c r="AB1218" s="67"/>
      <c r="AC1218" s="67"/>
    </row>
    <row r="1219">
      <c r="A1219" s="66"/>
      <c r="B1219" s="67"/>
      <c r="C1219" s="67"/>
      <c r="D1219" s="68"/>
      <c r="E1219" s="68"/>
      <c r="F1219" s="68"/>
      <c r="G1219" s="68"/>
      <c r="H1219" s="68"/>
      <c r="I1219" s="69"/>
      <c r="J1219" s="67"/>
      <c r="K1219" s="67"/>
      <c r="L1219" s="67"/>
      <c r="M1219" s="67"/>
      <c r="N1219" s="67"/>
      <c r="O1219" s="67"/>
      <c r="P1219" s="67"/>
      <c r="Q1219" s="77"/>
      <c r="R1219" s="68"/>
      <c r="S1219" s="68"/>
      <c r="T1219" s="67"/>
      <c r="U1219" s="68"/>
      <c r="V1219" s="68"/>
      <c r="W1219" s="67"/>
      <c r="X1219" s="67"/>
      <c r="Y1219" s="67"/>
      <c r="Z1219" s="67"/>
      <c r="AA1219" s="67"/>
      <c r="AB1219" s="67"/>
      <c r="AC1219" s="67"/>
    </row>
    <row r="1220">
      <c r="A1220" s="66"/>
      <c r="B1220" s="67"/>
      <c r="C1220" s="67"/>
      <c r="D1220" s="68"/>
      <c r="E1220" s="68"/>
      <c r="F1220" s="68"/>
      <c r="G1220" s="68"/>
      <c r="H1220" s="68"/>
      <c r="I1220" s="69"/>
      <c r="J1220" s="67"/>
      <c r="K1220" s="67"/>
      <c r="L1220" s="67"/>
      <c r="M1220" s="67"/>
      <c r="N1220" s="67"/>
      <c r="O1220" s="67"/>
      <c r="P1220" s="67"/>
      <c r="Q1220" s="77"/>
      <c r="R1220" s="68"/>
      <c r="S1220" s="68"/>
      <c r="T1220" s="67"/>
      <c r="U1220" s="68"/>
      <c r="V1220" s="68"/>
      <c r="W1220" s="67"/>
      <c r="X1220" s="67"/>
      <c r="Y1220" s="67"/>
      <c r="Z1220" s="67"/>
      <c r="AA1220" s="67"/>
      <c r="AB1220" s="67"/>
      <c r="AC1220" s="67"/>
    </row>
    <row r="1221">
      <c r="A1221" s="66"/>
      <c r="B1221" s="67"/>
      <c r="C1221" s="67"/>
      <c r="D1221" s="68"/>
      <c r="E1221" s="68"/>
      <c r="F1221" s="68"/>
      <c r="G1221" s="68"/>
      <c r="H1221" s="68"/>
      <c r="I1221" s="69"/>
      <c r="J1221" s="67"/>
      <c r="K1221" s="67"/>
      <c r="L1221" s="67"/>
      <c r="M1221" s="67"/>
      <c r="N1221" s="67"/>
      <c r="O1221" s="67"/>
      <c r="P1221" s="67"/>
      <c r="Q1221" s="77"/>
      <c r="R1221" s="68"/>
      <c r="S1221" s="68"/>
      <c r="T1221" s="67"/>
      <c r="U1221" s="68"/>
      <c r="V1221" s="68"/>
      <c r="W1221" s="67"/>
      <c r="X1221" s="67"/>
      <c r="Y1221" s="67"/>
      <c r="Z1221" s="67"/>
      <c r="AA1221" s="67"/>
      <c r="AB1221" s="67"/>
      <c r="AC1221" s="67"/>
    </row>
    <row r="1222">
      <c r="A1222" s="66"/>
      <c r="B1222" s="67"/>
      <c r="C1222" s="67"/>
      <c r="D1222" s="68"/>
      <c r="E1222" s="68"/>
      <c r="F1222" s="68"/>
      <c r="G1222" s="68"/>
      <c r="H1222" s="68"/>
      <c r="I1222" s="69"/>
      <c r="J1222" s="67"/>
      <c r="K1222" s="67"/>
      <c r="L1222" s="67"/>
      <c r="M1222" s="67"/>
      <c r="N1222" s="67"/>
      <c r="O1222" s="67"/>
      <c r="P1222" s="67"/>
      <c r="Q1222" s="77"/>
      <c r="R1222" s="68"/>
      <c r="S1222" s="68"/>
      <c r="T1222" s="67"/>
      <c r="U1222" s="68"/>
      <c r="V1222" s="68"/>
      <c r="W1222" s="67"/>
      <c r="X1222" s="67"/>
      <c r="Y1222" s="67"/>
      <c r="Z1222" s="67"/>
      <c r="AA1222" s="67"/>
      <c r="AB1222" s="67"/>
      <c r="AC1222" s="67"/>
    </row>
    <row r="1223">
      <c r="A1223" s="66"/>
      <c r="B1223" s="67"/>
      <c r="C1223" s="67"/>
      <c r="D1223" s="68"/>
      <c r="E1223" s="68"/>
      <c r="F1223" s="68"/>
      <c r="G1223" s="68"/>
      <c r="H1223" s="68"/>
      <c r="I1223" s="69"/>
      <c r="J1223" s="67"/>
      <c r="K1223" s="67"/>
      <c r="L1223" s="67"/>
      <c r="M1223" s="67"/>
      <c r="N1223" s="67"/>
      <c r="O1223" s="67"/>
      <c r="P1223" s="67"/>
      <c r="Q1223" s="77"/>
      <c r="R1223" s="68"/>
      <c r="S1223" s="68"/>
      <c r="T1223" s="67"/>
      <c r="U1223" s="68"/>
      <c r="V1223" s="68"/>
      <c r="W1223" s="67"/>
      <c r="X1223" s="67"/>
      <c r="Y1223" s="67"/>
      <c r="Z1223" s="67"/>
      <c r="AA1223" s="67"/>
      <c r="AB1223" s="67"/>
      <c r="AC1223" s="67"/>
    </row>
    <row r="1224">
      <c r="A1224" s="66"/>
      <c r="B1224" s="67"/>
      <c r="C1224" s="67"/>
      <c r="D1224" s="68"/>
      <c r="E1224" s="68"/>
      <c r="F1224" s="68"/>
      <c r="G1224" s="68"/>
      <c r="H1224" s="68"/>
      <c r="I1224" s="69"/>
      <c r="J1224" s="67"/>
      <c r="K1224" s="67"/>
      <c r="L1224" s="67"/>
      <c r="M1224" s="67"/>
      <c r="N1224" s="67"/>
      <c r="O1224" s="67"/>
      <c r="P1224" s="67"/>
      <c r="Q1224" s="77"/>
      <c r="R1224" s="68"/>
      <c r="S1224" s="68"/>
      <c r="T1224" s="67"/>
      <c r="U1224" s="68"/>
      <c r="V1224" s="68"/>
      <c r="W1224" s="67"/>
      <c r="X1224" s="67"/>
      <c r="Y1224" s="67"/>
      <c r="Z1224" s="67"/>
      <c r="AA1224" s="67"/>
      <c r="AB1224" s="67"/>
      <c r="AC1224" s="67"/>
    </row>
    <row r="1225">
      <c r="A1225" s="66"/>
      <c r="B1225" s="67"/>
      <c r="C1225" s="67"/>
      <c r="D1225" s="68"/>
      <c r="E1225" s="68"/>
      <c r="F1225" s="68"/>
      <c r="G1225" s="68"/>
      <c r="H1225" s="68"/>
      <c r="I1225" s="69"/>
      <c r="J1225" s="67"/>
      <c r="K1225" s="67"/>
      <c r="L1225" s="67"/>
      <c r="M1225" s="67"/>
      <c r="N1225" s="67"/>
      <c r="O1225" s="67"/>
      <c r="P1225" s="67"/>
      <c r="Q1225" s="77"/>
      <c r="R1225" s="68"/>
      <c r="S1225" s="68"/>
      <c r="T1225" s="67"/>
      <c r="U1225" s="68"/>
      <c r="V1225" s="68"/>
      <c r="W1225" s="67"/>
      <c r="X1225" s="67"/>
      <c r="Y1225" s="67"/>
      <c r="Z1225" s="67"/>
      <c r="AA1225" s="67"/>
      <c r="AB1225" s="67"/>
      <c r="AC1225" s="67"/>
    </row>
    <row r="1226">
      <c r="A1226" s="66"/>
      <c r="B1226" s="67"/>
      <c r="C1226" s="67"/>
      <c r="D1226" s="68"/>
      <c r="E1226" s="68"/>
      <c r="F1226" s="68"/>
      <c r="G1226" s="68"/>
      <c r="H1226" s="68"/>
      <c r="I1226" s="69"/>
      <c r="J1226" s="67"/>
      <c r="K1226" s="67"/>
      <c r="L1226" s="67"/>
      <c r="M1226" s="67"/>
      <c r="N1226" s="67"/>
      <c r="O1226" s="67"/>
      <c r="P1226" s="67"/>
      <c r="Q1226" s="77"/>
      <c r="R1226" s="68"/>
      <c r="S1226" s="68"/>
      <c r="T1226" s="67"/>
      <c r="U1226" s="68"/>
      <c r="V1226" s="68"/>
      <c r="W1226" s="67"/>
      <c r="X1226" s="67"/>
      <c r="Y1226" s="67"/>
      <c r="Z1226" s="67"/>
      <c r="AA1226" s="67"/>
      <c r="AB1226" s="67"/>
      <c r="AC1226" s="67"/>
    </row>
    <row r="1227">
      <c r="A1227" s="66"/>
      <c r="B1227" s="67"/>
      <c r="C1227" s="67"/>
      <c r="D1227" s="68"/>
      <c r="E1227" s="68"/>
      <c r="F1227" s="68"/>
      <c r="G1227" s="68"/>
      <c r="H1227" s="68"/>
      <c r="I1227" s="69"/>
      <c r="J1227" s="67"/>
      <c r="K1227" s="67"/>
      <c r="L1227" s="67"/>
      <c r="M1227" s="67"/>
      <c r="N1227" s="67"/>
      <c r="O1227" s="67"/>
      <c r="P1227" s="67"/>
      <c r="Q1227" s="77"/>
      <c r="R1227" s="68"/>
      <c r="S1227" s="68"/>
      <c r="T1227" s="67"/>
      <c r="U1227" s="68"/>
      <c r="V1227" s="68"/>
      <c r="W1227" s="67"/>
      <c r="X1227" s="67"/>
      <c r="Y1227" s="67"/>
      <c r="Z1227" s="67"/>
      <c r="AA1227" s="67"/>
      <c r="AB1227" s="67"/>
      <c r="AC1227" s="67"/>
    </row>
    <row r="1228">
      <c r="A1228" s="66"/>
      <c r="B1228" s="67"/>
      <c r="C1228" s="67"/>
      <c r="D1228" s="68"/>
      <c r="E1228" s="68"/>
      <c r="F1228" s="68"/>
      <c r="G1228" s="68"/>
      <c r="H1228" s="68"/>
      <c r="I1228" s="69"/>
      <c r="J1228" s="67"/>
      <c r="K1228" s="67"/>
      <c r="L1228" s="67"/>
      <c r="M1228" s="67"/>
      <c r="N1228" s="67"/>
      <c r="O1228" s="67"/>
      <c r="P1228" s="67"/>
      <c r="Q1228" s="77"/>
      <c r="R1228" s="68"/>
      <c r="S1228" s="68"/>
      <c r="T1228" s="67"/>
      <c r="U1228" s="68"/>
      <c r="V1228" s="68"/>
      <c r="W1228" s="67"/>
      <c r="X1228" s="67"/>
      <c r="Y1228" s="67"/>
      <c r="Z1228" s="67"/>
      <c r="AA1228" s="67"/>
      <c r="AB1228" s="67"/>
      <c r="AC1228" s="67"/>
    </row>
    <row r="1229">
      <c r="A1229" s="66"/>
      <c r="B1229" s="67"/>
      <c r="C1229" s="67"/>
      <c r="D1229" s="68"/>
      <c r="E1229" s="68"/>
      <c r="F1229" s="68"/>
      <c r="G1229" s="68"/>
      <c r="H1229" s="68"/>
      <c r="I1229" s="69"/>
      <c r="J1229" s="67"/>
      <c r="K1229" s="67"/>
      <c r="L1229" s="67"/>
      <c r="M1229" s="67"/>
      <c r="N1229" s="67"/>
      <c r="O1229" s="67"/>
      <c r="P1229" s="67"/>
      <c r="Q1229" s="77"/>
      <c r="R1229" s="68"/>
      <c r="S1229" s="68"/>
      <c r="T1229" s="67"/>
      <c r="U1229" s="68"/>
      <c r="V1229" s="68"/>
      <c r="W1229" s="67"/>
      <c r="X1229" s="67"/>
      <c r="Y1229" s="67"/>
      <c r="Z1229" s="67"/>
      <c r="AA1229" s="67"/>
      <c r="AB1229" s="67"/>
      <c r="AC1229" s="67"/>
    </row>
    <row r="1230">
      <c r="A1230" s="66"/>
      <c r="B1230" s="67"/>
      <c r="C1230" s="67"/>
      <c r="D1230" s="68"/>
      <c r="E1230" s="68"/>
      <c r="F1230" s="68"/>
      <c r="G1230" s="68"/>
      <c r="H1230" s="68"/>
      <c r="I1230" s="69"/>
      <c r="J1230" s="67"/>
      <c r="K1230" s="67"/>
      <c r="L1230" s="67"/>
      <c r="M1230" s="67"/>
      <c r="N1230" s="67"/>
      <c r="O1230" s="67"/>
      <c r="P1230" s="67"/>
      <c r="Q1230" s="77"/>
      <c r="R1230" s="68"/>
      <c r="S1230" s="68"/>
      <c r="T1230" s="67"/>
      <c r="U1230" s="68"/>
      <c r="V1230" s="68"/>
      <c r="W1230" s="67"/>
      <c r="X1230" s="67"/>
      <c r="Y1230" s="67"/>
      <c r="Z1230" s="67"/>
      <c r="AA1230" s="67"/>
      <c r="AB1230" s="67"/>
      <c r="AC1230" s="67"/>
    </row>
    <row r="1231">
      <c r="A1231" s="66"/>
      <c r="B1231" s="67"/>
      <c r="C1231" s="67"/>
      <c r="D1231" s="68"/>
      <c r="E1231" s="68"/>
      <c r="F1231" s="68"/>
      <c r="G1231" s="68"/>
      <c r="H1231" s="68"/>
      <c r="I1231" s="69"/>
      <c r="J1231" s="67"/>
      <c r="K1231" s="67"/>
      <c r="L1231" s="67"/>
      <c r="M1231" s="67"/>
      <c r="N1231" s="67"/>
      <c r="O1231" s="67"/>
      <c r="P1231" s="67"/>
      <c r="Q1231" s="77"/>
      <c r="R1231" s="68"/>
      <c r="S1231" s="68"/>
      <c r="T1231" s="67"/>
      <c r="U1231" s="68"/>
      <c r="V1231" s="68"/>
      <c r="W1231" s="67"/>
      <c r="X1231" s="67"/>
      <c r="Y1231" s="67"/>
      <c r="Z1231" s="67"/>
      <c r="AA1231" s="67"/>
      <c r="AB1231" s="67"/>
      <c r="AC1231" s="67"/>
    </row>
    <row r="1232">
      <c r="A1232" s="66"/>
      <c r="B1232" s="67"/>
      <c r="C1232" s="67"/>
      <c r="D1232" s="68"/>
      <c r="E1232" s="68"/>
      <c r="F1232" s="68"/>
      <c r="G1232" s="68"/>
      <c r="H1232" s="68"/>
      <c r="I1232" s="69"/>
      <c r="J1232" s="67"/>
      <c r="K1232" s="67"/>
      <c r="L1232" s="67"/>
      <c r="M1232" s="67"/>
      <c r="N1232" s="67"/>
      <c r="O1232" s="67"/>
      <c r="P1232" s="67"/>
      <c r="Q1232" s="77"/>
      <c r="R1232" s="68"/>
      <c r="S1232" s="68"/>
      <c r="T1232" s="67"/>
      <c r="U1232" s="68"/>
      <c r="V1232" s="68"/>
      <c r="W1232" s="67"/>
      <c r="X1232" s="67"/>
      <c r="Y1232" s="67"/>
      <c r="Z1232" s="67"/>
      <c r="AA1232" s="67"/>
      <c r="AB1232" s="67"/>
      <c r="AC1232" s="67"/>
    </row>
    <row r="1233">
      <c r="A1233" s="66"/>
      <c r="B1233" s="67"/>
      <c r="C1233" s="67"/>
      <c r="D1233" s="68"/>
      <c r="E1233" s="68"/>
      <c r="F1233" s="68"/>
      <c r="G1233" s="68"/>
      <c r="H1233" s="68"/>
      <c r="I1233" s="69"/>
      <c r="J1233" s="67"/>
      <c r="K1233" s="67"/>
      <c r="L1233" s="67"/>
      <c r="M1233" s="67"/>
      <c r="N1233" s="67"/>
      <c r="O1233" s="67"/>
      <c r="P1233" s="67"/>
      <c r="Q1233" s="77"/>
      <c r="R1233" s="68"/>
      <c r="S1233" s="68"/>
      <c r="T1233" s="67"/>
      <c r="U1233" s="68"/>
      <c r="V1233" s="68"/>
      <c r="W1233" s="67"/>
      <c r="X1233" s="67"/>
      <c r="Y1233" s="67"/>
      <c r="Z1233" s="67"/>
      <c r="AA1233" s="67"/>
      <c r="AB1233" s="67"/>
      <c r="AC1233" s="67"/>
    </row>
    <row r="1234">
      <c r="A1234" s="66"/>
      <c r="B1234" s="67"/>
      <c r="C1234" s="67"/>
      <c r="D1234" s="68"/>
      <c r="E1234" s="68"/>
      <c r="F1234" s="68"/>
      <c r="G1234" s="68"/>
      <c r="H1234" s="68"/>
      <c r="I1234" s="69"/>
      <c r="J1234" s="67"/>
      <c r="K1234" s="67"/>
      <c r="L1234" s="67"/>
      <c r="M1234" s="67"/>
      <c r="N1234" s="67"/>
      <c r="O1234" s="67"/>
      <c r="P1234" s="67"/>
      <c r="Q1234" s="77"/>
      <c r="R1234" s="68"/>
      <c r="S1234" s="68"/>
      <c r="T1234" s="67"/>
      <c r="U1234" s="68"/>
      <c r="V1234" s="68"/>
      <c r="W1234" s="67"/>
      <c r="X1234" s="67"/>
      <c r="Y1234" s="67"/>
      <c r="Z1234" s="67"/>
      <c r="AA1234" s="67"/>
      <c r="AB1234" s="67"/>
      <c r="AC1234" s="67"/>
    </row>
    <row r="1235">
      <c r="A1235" s="66"/>
      <c r="B1235" s="67"/>
      <c r="C1235" s="67"/>
      <c r="D1235" s="68"/>
      <c r="E1235" s="68"/>
      <c r="F1235" s="68"/>
      <c r="G1235" s="68"/>
      <c r="H1235" s="68"/>
      <c r="I1235" s="69"/>
      <c r="J1235" s="67"/>
      <c r="K1235" s="67"/>
      <c r="L1235" s="67"/>
      <c r="M1235" s="67"/>
      <c r="N1235" s="67"/>
      <c r="O1235" s="67"/>
      <c r="P1235" s="67"/>
      <c r="Q1235" s="77"/>
      <c r="R1235" s="68"/>
      <c r="S1235" s="68"/>
      <c r="T1235" s="67"/>
      <c r="U1235" s="68"/>
      <c r="V1235" s="68"/>
      <c r="W1235" s="67"/>
      <c r="X1235" s="67"/>
      <c r="Y1235" s="67"/>
      <c r="Z1235" s="67"/>
      <c r="AA1235" s="67"/>
      <c r="AB1235" s="67"/>
      <c r="AC1235" s="67"/>
    </row>
    <row r="1236">
      <c r="A1236" s="66"/>
      <c r="B1236" s="67"/>
      <c r="C1236" s="67"/>
      <c r="D1236" s="68"/>
      <c r="E1236" s="68"/>
      <c r="F1236" s="68"/>
      <c r="G1236" s="68"/>
      <c r="H1236" s="68"/>
      <c r="I1236" s="69"/>
      <c r="J1236" s="67"/>
      <c r="K1236" s="67"/>
      <c r="L1236" s="67"/>
      <c r="M1236" s="67"/>
      <c r="N1236" s="67"/>
      <c r="O1236" s="67"/>
      <c r="P1236" s="67"/>
      <c r="Q1236" s="77"/>
      <c r="R1236" s="68"/>
      <c r="S1236" s="68"/>
      <c r="T1236" s="67"/>
      <c r="U1236" s="68"/>
      <c r="V1236" s="68"/>
      <c r="W1236" s="67"/>
      <c r="X1236" s="67"/>
      <c r="Y1236" s="67"/>
      <c r="Z1236" s="67"/>
      <c r="AA1236" s="67"/>
      <c r="AB1236" s="67"/>
      <c r="AC1236" s="67"/>
    </row>
    <row r="1237">
      <c r="A1237" s="66"/>
      <c r="B1237" s="67"/>
      <c r="C1237" s="67"/>
      <c r="D1237" s="68"/>
      <c r="E1237" s="68"/>
      <c r="F1237" s="68"/>
      <c r="G1237" s="68"/>
      <c r="H1237" s="68"/>
      <c r="I1237" s="69"/>
      <c r="J1237" s="67"/>
      <c r="K1237" s="67"/>
      <c r="L1237" s="67"/>
      <c r="M1237" s="67"/>
      <c r="N1237" s="67"/>
      <c r="O1237" s="67"/>
      <c r="P1237" s="67"/>
      <c r="Q1237" s="77"/>
      <c r="R1237" s="68"/>
      <c r="S1237" s="68"/>
      <c r="T1237" s="67"/>
      <c r="U1237" s="68"/>
      <c r="V1237" s="68"/>
      <c r="W1237" s="67"/>
      <c r="X1237" s="67"/>
      <c r="Y1237" s="67"/>
      <c r="Z1237" s="67"/>
      <c r="AA1237" s="67"/>
      <c r="AB1237" s="67"/>
      <c r="AC1237" s="67"/>
    </row>
    <row r="1238">
      <c r="A1238" s="66"/>
      <c r="B1238" s="67"/>
      <c r="C1238" s="67"/>
      <c r="D1238" s="68"/>
      <c r="E1238" s="68"/>
      <c r="F1238" s="68"/>
      <c r="G1238" s="68"/>
      <c r="H1238" s="68"/>
      <c r="I1238" s="69"/>
      <c r="J1238" s="67"/>
      <c r="K1238" s="67"/>
      <c r="L1238" s="67"/>
      <c r="M1238" s="67"/>
      <c r="N1238" s="67"/>
      <c r="O1238" s="67"/>
      <c r="P1238" s="67"/>
      <c r="Q1238" s="77"/>
      <c r="R1238" s="68"/>
      <c r="S1238" s="68"/>
      <c r="T1238" s="67"/>
      <c r="U1238" s="68"/>
      <c r="V1238" s="68"/>
      <c r="W1238" s="67"/>
      <c r="X1238" s="67"/>
      <c r="Y1238" s="67"/>
      <c r="Z1238" s="67"/>
      <c r="AA1238" s="67"/>
      <c r="AB1238" s="67"/>
      <c r="AC1238" s="67"/>
    </row>
    <row r="1239">
      <c r="A1239" s="66"/>
      <c r="B1239" s="67"/>
      <c r="C1239" s="67"/>
      <c r="D1239" s="68"/>
      <c r="E1239" s="68"/>
      <c r="F1239" s="68"/>
      <c r="G1239" s="68"/>
      <c r="H1239" s="68"/>
      <c r="I1239" s="69"/>
      <c r="J1239" s="67"/>
      <c r="K1239" s="67"/>
      <c r="L1239" s="67"/>
      <c r="M1239" s="67"/>
      <c r="N1239" s="67"/>
      <c r="O1239" s="67"/>
      <c r="P1239" s="67"/>
      <c r="Q1239" s="77"/>
      <c r="R1239" s="68"/>
      <c r="S1239" s="68"/>
      <c r="T1239" s="67"/>
      <c r="U1239" s="68"/>
      <c r="V1239" s="68"/>
      <c r="W1239" s="67"/>
      <c r="X1239" s="67"/>
      <c r="Y1239" s="67"/>
      <c r="Z1239" s="67"/>
      <c r="AA1239" s="67"/>
      <c r="AB1239" s="67"/>
      <c r="AC1239" s="67"/>
    </row>
    <row r="1240">
      <c r="A1240" s="66"/>
      <c r="B1240" s="67"/>
      <c r="C1240" s="67"/>
      <c r="D1240" s="68"/>
      <c r="E1240" s="68"/>
      <c r="F1240" s="68"/>
      <c r="G1240" s="68"/>
      <c r="H1240" s="68"/>
      <c r="I1240" s="69"/>
      <c r="J1240" s="67"/>
      <c r="K1240" s="67"/>
      <c r="L1240" s="67"/>
      <c r="M1240" s="67"/>
      <c r="N1240" s="67"/>
      <c r="O1240" s="67"/>
      <c r="P1240" s="67"/>
      <c r="Q1240" s="77"/>
      <c r="R1240" s="68"/>
      <c r="S1240" s="68"/>
      <c r="T1240" s="67"/>
      <c r="U1240" s="68"/>
      <c r="V1240" s="68"/>
      <c r="W1240" s="67"/>
      <c r="X1240" s="67"/>
      <c r="Y1240" s="67"/>
      <c r="Z1240" s="67"/>
      <c r="AA1240" s="67"/>
      <c r="AB1240" s="67"/>
      <c r="AC1240" s="67"/>
    </row>
    <row r="1241">
      <c r="A1241" s="66"/>
      <c r="B1241" s="67"/>
      <c r="C1241" s="67"/>
      <c r="D1241" s="68"/>
      <c r="E1241" s="68"/>
      <c r="F1241" s="68"/>
      <c r="G1241" s="68"/>
      <c r="H1241" s="68"/>
      <c r="I1241" s="69"/>
      <c r="J1241" s="67"/>
      <c r="K1241" s="67"/>
      <c r="L1241" s="67"/>
      <c r="M1241" s="67"/>
      <c r="N1241" s="67"/>
      <c r="O1241" s="67"/>
      <c r="P1241" s="67"/>
      <c r="Q1241" s="77"/>
      <c r="R1241" s="68"/>
      <c r="S1241" s="68"/>
      <c r="T1241" s="67"/>
      <c r="U1241" s="68"/>
      <c r="V1241" s="68"/>
      <c r="W1241" s="67"/>
      <c r="X1241" s="67"/>
      <c r="Y1241" s="67"/>
      <c r="Z1241" s="67"/>
      <c r="AA1241" s="67"/>
      <c r="AB1241" s="67"/>
      <c r="AC1241" s="67"/>
    </row>
    <row r="1242">
      <c r="A1242" s="66"/>
      <c r="B1242" s="67"/>
      <c r="C1242" s="67"/>
      <c r="D1242" s="68"/>
      <c r="E1242" s="68"/>
      <c r="F1242" s="68"/>
      <c r="G1242" s="68"/>
      <c r="H1242" s="68"/>
      <c r="I1242" s="69"/>
      <c r="J1242" s="67"/>
      <c r="K1242" s="67"/>
      <c r="L1242" s="67"/>
      <c r="M1242" s="67"/>
      <c r="N1242" s="67"/>
      <c r="O1242" s="67"/>
      <c r="P1242" s="67"/>
      <c r="Q1242" s="77"/>
      <c r="R1242" s="68"/>
      <c r="S1242" s="68"/>
      <c r="T1242" s="67"/>
      <c r="U1242" s="68"/>
      <c r="V1242" s="68"/>
      <c r="W1242" s="67"/>
      <c r="X1242" s="67"/>
      <c r="Y1242" s="67"/>
      <c r="Z1242" s="67"/>
      <c r="AA1242" s="67"/>
      <c r="AB1242" s="67"/>
      <c r="AC1242" s="67"/>
    </row>
    <row r="1243">
      <c r="A1243" s="66"/>
      <c r="B1243" s="67"/>
      <c r="C1243" s="67"/>
      <c r="D1243" s="68"/>
      <c r="E1243" s="68"/>
      <c r="F1243" s="68"/>
      <c r="G1243" s="68"/>
      <c r="H1243" s="68"/>
      <c r="I1243" s="69"/>
      <c r="J1243" s="67"/>
      <c r="K1243" s="67"/>
      <c r="L1243" s="67"/>
      <c r="M1243" s="67"/>
      <c r="N1243" s="67"/>
      <c r="O1243" s="67"/>
      <c r="P1243" s="67"/>
      <c r="Q1243" s="77"/>
      <c r="R1243" s="68"/>
      <c r="S1243" s="68"/>
      <c r="T1243" s="67"/>
      <c r="U1243" s="68"/>
      <c r="V1243" s="68"/>
      <c r="W1243" s="67"/>
      <c r="X1243" s="67"/>
      <c r="Y1243" s="67"/>
      <c r="Z1243" s="67"/>
      <c r="AA1243" s="67"/>
      <c r="AB1243" s="67"/>
      <c r="AC1243" s="67"/>
    </row>
    <row r="1244">
      <c r="A1244" s="66"/>
      <c r="B1244" s="67"/>
      <c r="C1244" s="67"/>
      <c r="D1244" s="68"/>
      <c r="E1244" s="68"/>
      <c r="F1244" s="68"/>
      <c r="G1244" s="68"/>
      <c r="H1244" s="68"/>
      <c r="I1244" s="69"/>
      <c r="J1244" s="67"/>
      <c r="K1244" s="67"/>
      <c r="L1244" s="67"/>
      <c r="M1244" s="67"/>
      <c r="N1244" s="67"/>
      <c r="O1244" s="67"/>
      <c r="P1244" s="67"/>
      <c r="Q1244" s="77"/>
      <c r="R1244" s="68"/>
      <c r="S1244" s="68"/>
      <c r="T1244" s="67"/>
      <c r="U1244" s="68"/>
      <c r="V1244" s="68"/>
      <c r="W1244" s="67"/>
      <c r="X1244" s="67"/>
      <c r="Y1244" s="67"/>
      <c r="Z1244" s="67"/>
      <c r="AA1244" s="67"/>
      <c r="AB1244" s="67"/>
      <c r="AC1244" s="67"/>
    </row>
    <row r="1245">
      <c r="A1245" s="66"/>
      <c r="B1245" s="67"/>
      <c r="C1245" s="67"/>
      <c r="D1245" s="68"/>
      <c r="E1245" s="68"/>
      <c r="F1245" s="68"/>
      <c r="G1245" s="68"/>
      <c r="H1245" s="68"/>
      <c r="I1245" s="69"/>
      <c r="J1245" s="67"/>
      <c r="K1245" s="67"/>
      <c r="L1245" s="67"/>
      <c r="M1245" s="67"/>
      <c r="N1245" s="67"/>
      <c r="O1245" s="67"/>
      <c r="P1245" s="67"/>
      <c r="Q1245" s="77"/>
      <c r="R1245" s="68"/>
      <c r="S1245" s="68"/>
      <c r="T1245" s="67"/>
      <c r="U1245" s="68"/>
      <c r="V1245" s="68"/>
      <c r="W1245" s="67"/>
      <c r="X1245" s="67"/>
      <c r="Y1245" s="67"/>
      <c r="Z1245" s="67"/>
      <c r="AA1245" s="67"/>
      <c r="AB1245" s="67"/>
      <c r="AC1245" s="67"/>
    </row>
    <row r="1246">
      <c r="A1246" s="66"/>
      <c r="B1246" s="67"/>
      <c r="C1246" s="67"/>
      <c r="D1246" s="68"/>
      <c r="E1246" s="68"/>
      <c r="F1246" s="68"/>
      <c r="G1246" s="68"/>
      <c r="H1246" s="68"/>
      <c r="I1246" s="69"/>
      <c r="J1246" s="67"/>
      <c r="K1246" s="67"/>
      <c r="L1246" s="67"/>
      <c r="M1246" s="67"/>
      <c r="N1246" s="67"/>
      <c r="O1246" s="67"/>
      <c r="P1246" s="67"/>
      <c r="Q1246" s="77"/>
      <c r="R1246" s="68"/>
      <c r="S1246" s="68"/>
      <c r="T1246" s="67"/>
      <c r="U1246" s="68"/>
      <c r="V1246" s="68"/>
      <c r="W1246" s="67"/>
      <c r="X1246" s="67"/>
      <c r="Y1246" s="67"/>
      <c r="Z1246" s="67"/>
      <c r="AA1246" s="67"/>
      <c r="AB1246" s="67"/>
      <c r="AC1246" s="67"/>
    </row>
    <row r="1247">
      <c r="A1247" s="66"/>
      <c r="B1247" s="67"/>
      <c r="C1247" s="67"/>
      <c r="D1247" s="68"/>
      <c r="E1247" s="68"/>
      <c r="F1247" s="68"/>
      <c r="G1247" s="68"/>
      <c r="H1247" s="68"/>
      <c r="I1247" s="69"/>
      <c r="J1247" s="67"/>
      <c r="K1247" s="67"/>
      <c r="L1247" s="67"/>
      <c r="M1247" s="67"/>
      <c r="N1247" s="67"/>
      <c r="O1247" s="67"/>
      <c r="P1247" s="67"/>
      <c r="Q1247" s="77"/>
      <c r="R1247" s="68"/>
      <c r="S1247" s="68"/>
      <c r="T1247" s="67"/>
      <c r="U1247" s="68"/>
      <c r="V1247" s="68"/>
      <c r="W1247" s="67"/>
      <c r="X1247" s="67"/>
      <c r="Y1247" s="67"/>
      <c r="Z1247" s="67"/>
      <c r="AA1247" s="67"/>
      <c r="AB1247" s="67"/>
      <c r="AC1247" s="67"/>
    </row>
    <row r="1248">
      <c r="A1248" s="66"/>
      <c r="B1248" s="67"/>
      <c r="C1248" s="67"/>
      <c r="D1248" s="68"/>
      <c r="E1248" s="68"/>
      <c r="F1248" s="68"/>
      <c r="G1248" s="68"/>
      <c r="H1248" s="68"/>
      <c r="I1248" s="69"/>
      <c r="J1248" s="67"/>
      <c r="K1248" s="67"/>
      <c r="L1248" s="67"/>
      <c r="M1248" s="67"/>
      <c r="N1248" s="67"/>
      <c r="O1248" s="67"/>
      <c r="P1248" s="67"/>
      <c r="Q1248" s="77"/>
      <c r="R1248" s="68"/>
      <c r="S1248" s="68"/>
      <c r="T1248" s="67"/>
      <c r="U1248" s="68"/>
      <c r="V1248" s="68"/>
      <c r="W1248" s="67"/>
      <c r="X1248" s="67"/>
      <c r="Y1248" s="67"/>
      <c r="Z1248" s="67"/>
      <c r="AA1248" s="67"/>
      <c r="AB1248" s="67"/>
      <c r="AC1248" s="67"/>
    </row>
    <row r="1249">
      <c r="A1249" s="66"/>
      <c r="B1249" s="67"/>
      <c r="C1249" s="67"/>
      <c r="D1249" s="68"/>
      <c r="E1249" s="68"/>
      <c r="F1249" s="68"/>
      <c r="G1249" s="68"/>
      <c r="H1249" s="68"/>
      <c r="I1249" s="69"/>
      <c r="J1249" s="67"/>
      <c r="K1249" s="67"/>
      <c r="L1249" s="67"/>
      <c r="M1249" s="67"/>
      <c r="N1249" s="67"/>
      <c r="O1249" s="67"/>
      <c r="P1249" s="67"/>
      <c r="Q1249" s="77"/>
      <c r="R1249" s="68"/>
      <c r="S1249" s="68"/>
      <c r="T1249" s="67"/>
      <c r="U1249" s="68"/>
      <c r="V1249" s="68"/>
      <c r="W1249" s="67"/>
      <c r="X1249" s="67"/>
      <c r="Y1249" s="67"/>
      <c r="Z1249" s="67"/>
      <c r="AA1249" s="67"/>
      <c r="AB1249" s="67"/>
      <c r="AC1249" s="67"/>
    </row>
    <row r="1250">
      <c r="A1250" s="66"/>
      <c r="B1250" s="67"/>
      <c r="C1250" s="67"/>
      <c r="D1250" s="68"/>
      <c r="E1250" s="68"/>
      <c r="F1250" s="68"/>
      <c r="G1250" s="68"/>
      <c r="H1250" s="68"/>
      <c r="I1250" s="69"/>
      <c r="J1250" s="67"/>
      <c r="K1250" s="67"/>
      <c r="L1250" s="67"/>
      <c r="M1250" s="67"/>
      <c r="N1250" s="67"/>
      <c r="O1250" s="67"/>
      <c r="P1250" s="67"/>
      <c r="Q1250" s="77"/>
      <c r="R1250" s="68"/>
      <c r="S1250" s="68"/>
      <c r="T1250" s="67"/>
      <c r="U1250" s="68"/>
      <c r="V1250" s="68"/>
      <c r="W1250" s="67"/>
      <c r="X1250" s="67"/>
      <c r="Y1250" s="67"/>
      <c r="Z1250" s="67"/>
      <c r="AA1250" s="67"/>
      <c r="AB1250" s="67"/>
      <c r="AC1250" s="67"/>
    </row>
    <row r="1251">
      <c r="A1251" s="66"/>
      <c r="B1251" s="67"/>
      <c r="C1251" s="67"/>
      <c r="D1251" s="68"/>
      <c r="E1251" s="68"/>
      <c r="F1251" s="68"/>
      <c r="G1251" s="68"/>
      <c r="H1251" s="68"/>
      <c r="I1251" s="69"/>
      <c r="J1251" s="67"/>
      <c r="K1251" s="67"/>
      <c r="L1251" s="67"/>
      <c r="M1251" s="67"/>
      <c r="N1251" s="67"/>
      <c r="O1251" s="67"/>
      <c r="P1251" s="67"/>
      <c r="Q1251" s="77"/>
      <c r="R1251" s="68"/>
      <c r="S1251" s="68"/>
      <c r="T1251" s="67"/>
      <c r="U1251" s="68"/>
      <c r="V1251" s="68"/>
      <c r="W1251" s="67"/>
      <c r="X1251" s="67"/>
      <c r="Y1251" s="67"/>
      <c r="Z1251" s="67"/>
      <c r="AA1251" s="67"/>
      <c r="AB1251" s="67"/>
      <c r="AC1251" s="67"/>
    </row>
    <row r="1252">
      <c r="A1252" s="66"/>
      <c r="B1252" s="67"/>
      <c r="C1252" s="67"/>
      <c r="D1252" s="68"/>
      <c r="E1252" s="68"/>
      <c r="F1252" s="68"/>
      <c r="G1252" s="68"/>
      <c r="H1252" s="68"/>
      <c r="I1252" s="69"/>
      <c r="J1252" s="67"/>
      <c r="K1252" s="67"/>
      <c r="L1252" s="67"/>
      <c r="M1252" s="67"/>
      <c r="N1252" s="67"/>
      <c r="O1252" s="67"/>
      <c r="P1252" s="67"/>
      <c r="Q1252" s="77"/>
      <c r="R1252" s="68"/>
      <c r="S1252" s="68"/>
      <c r="T1252" s="67"/>
      <c r="U1252" s="68"/>
      <c r="V1252" s="68"/>
      <c r="W1252" s="67"/>
      <c r="X1252" s="67"/>
      <c r="Y1252" s="67"/>
      <c r="Z1252" s="67"/>
      <c r="AA1252" s="67"/>
      <c r="AB1252" s="67"/>
      <c r="AC1252" s="67"/>
    </row>
    <row r="1253">
      <c r="A1253" s="66"/>
      <c r="B1253" s="67"/>
      <c r="C1253" s="67"/>
      <c r="D1253" s="68"/>
      <c r="E1253" s="68"/>
      <c r="F1253" s="68"/>
      <c r="G1253" s="68"/>
      <c r="H1253" s="68"/>
      <c r="I1253" s="69"/>
      <c r="J1253" s="67"/>
      <c r="K1253" s="67"/>
      <c r="L1253" s="67"/>
      <c r="M1253" s="67"/>
      <c r="N1253" s="67"/>
      <c r="O1253" s="67"/>
      <c r="P1253" s="67"/>
      <c r="Q1253" s="77"/>
      <c r="R1253" s="68"/>
      <c r="S1253" s="68"/>
      <c r="T1253" s="67"/>
      <c r="U1253" s="68"/>
      <c r="V1253" s="68"/>
      <c r="W1253" s="67"/>
      <c r="X1253" s="67"/>
      <c r="Y1253" s="67"/>
      <c r="Z1253" s="67"/>
      <c r="AA1253" s="67"/>
      <c r="AB1253" s="67"/>
      <c r="AC1253" s="67"/>
    </row>
    <row r="1254">
      <c r="A1254" s="66"/>
      <c r="B1254" s="67"/>
      <c r="C1254" s="67"/>
      <c r="D1254" s="68"/>
      <c r="E1254" s="68"/>
      <c r="F1254" s="68"/>
      <c r="G1254" s="68"/>
      <c r="H1254" s="68"/>
      <c r="I1254" s="69"/>
      <c r="J1254" s="67"/>
      <c r="K1254" s="67"/>
      <c r="L1254" s="67"/>
      <c r="M1254" s="67"/>
      <c r="N1254" s="67"/>
      <c r="O1254" s="67"/>
      <c r="P1254" s="67"/>
      <c r="Q1254" s="77"/>
      <c r="R1254" s="68"/>
      <c r="S1254" s="68"/>
      <c r="T1254" s="67"/>
      <c r="U1254" s="68"/>
      <c r="V1254" s="68"/>
      <c r="W1254" s="67"/>
      <c r="X1254" s="67"/>
      <c r="Y1254" s="67"/>
      <c r="Z1254" s="67"/>
      <c r="AA1254" s="67"/>
      <c r="AB1254" s="67"/>
      <c r="AC1254" s="67"/>
    </row>
    <row r="1255">
      <c r="A1255" s="66"/>
      <c r="B1255" s="67"/>
      <c r="C1255" s="67"/>
      <c r="D1255" s="68"/>
      <c r="E1255" s="68"/>
      <c r="F1255" s="68"/>
      <c r="G1255" s="68"/>
      <c r="H1255" s="68"/>
      <c r="I1255" s="69"/>
      <c r="J1255" s="67"/>
      <c r="K1255" s="67"/>
      <c r="L1255" s="67"/>
      <c r="M1255" s="67"/>
      <c r="N1255" s="67"/>
      <c r="O1255" s="67"/>
      <c r="P1255" s="67"/>
      <c r="Q1255" s="77"/>
      <c r="R1255" s="68"/>
      <c r="S1255" s="68"/>
      <c r="T1255" s="67"/>
      <c r="U1255" s="68"/>
      <c r="V1255" s="68"/>
      <c r="W1255" s="67"/>
      <c r="X1255" s="67"/>
      <c r="Y1255" s="67"/>
      <c r="Z1255" s="67"/>
      <c r="AA1255" s="67"/>
      <c r="AB1255" s="67"/>
      <c r="AC1255" s="67"/>
    </row>
    <row r="1256">
      <c r="A1256" s="66"/>
      <c r="B1256" s="67"/>
      <c r="C1256" s="67"/>
      <c r="D1256" s="68"/>
      <c r="E1256" s="68"/>
      <c r="F1256" s="68"/>
      <c r="G1256" s="68"/>
      <c r="H1256" s="68"/>
      <c r="I1256" s="69"/>
      <c r="J1256" s="67"/>
      <c r="K1256" s="67"/>
      <c r="L1256" s="67"/>
      <c r="M1256" s="67"/>
      <c r="N1256" s="67"/>
      <c r="O1256" s="67"/>
      <c r="P1256" s="67"/>
      <c r="Q1256" s="77"/>
      <c r="R1256" s="68"/>
      <c r="S1256" s="68"/>
      <c r="T1256" s="67"/>
      <c r="U1256" s="68"/>
      <c r="V1256" s="68"/>
      <c r="W1256" s="67"/>
      <c r="X1256" s="67"/>
      <c r="Y1256" s="67"/>
      <c r="Z1256" s="67"/>
      <c r="AA1256" s="67"/>
      <c r="AB1256" s="67"/>
      <c r="AC1256" s="67"/>
    </row>
    <row r="1257">
      <c r="A1257" s="66"/>
      <c r="B1257" s="67"/>
      <c r="C1257" s="67"/>
      <c r="D1257" s="68"/>
      <c r="E1257" s="68"/>
      <c r="F1257" s="68"/>
      <c r="G1257" s="68"/>
      <c r="H1257" s="68"/>
      <c r="I1257" s="69"/>
      <c r="J1257" s="67"/>
      <c r="K1257" s="67"/>
      <c r="L1257" s="67"/>
      <c r="M1257" s="67"/>
      <c r="N1257" s="67"/>
      <c r="O1257" s="67"/>
      <c r="P1257" s="67"/>
      <c r="Q1257" s="77"/>
      <c r="R1257" s="68"/>
      <c r="S1257" s="68"/>
      <c r="T1257" s="67"/>
      <c r="U1257" s="68"/>
      <c r="V1257" s="68"/>
      <c r="W1257" s="67"/>
      <c r="X1257" s="67"/>
      <c r="Y1257" s="67"/>
      <c r="Z1257" s="67"/>
      <c r="AA1257" s="67"/>
      <c r="AB1257" s="67"/>
      <c r="AC1257" s="67"/>
    </row>
    <row r="1258">
      <c r="A1258" s="66"/>
      <c r="B1258" s="67"/>
      <c r="C1258" s="67"/>
      <c r="D1258" s="68"/>
      <c r="E1258" s="68"/>
      <c r="F1258" s="68"/>
      <c r="G1258" s="68"/>
      <c r="H1258" s="68"/>
      <c r="I1258" s="69"/>
      <c r="J1258" s="67"/>
      <c r="K1258" s="67"/>
      <c r="L1258" s="67"/>
      <c r="M1258" s="67"/>
      <c r="N1258" s="67"/>
      <c r="O1258" s="67"/>
      <c r="P1258" s="67"/>
      <c r="Q1258" s="77"/>
      <c r="R1258" s="68"/>
      <c r="S1258" s="68"/>
      <c r="T1258" s="67"/>
      <c r="U1258" s="68"/>
      <c r="V1258" s="68"/>
      <c r="W1258" s="67"/>
      <c r="X1258" s="67"/>
      <c r="Y1258" s="67"/>
      <c r="Z1258" s="67"/>
      <c r="AA1258" s="67"/>
      <c r="AB1258" s="67"/>
      <c r="AC1258" s="67"/>
    </row>
    <row r="1259">
      <c r="A1259" s="66"/>
      <c r="B1259" s="67"/>
      <c r="C1259" s="67"/>
      <c r="D1259" s="68"/>
      <c r="E1259" s="68"/>
      <c r="F1259" s="68"/>
      <c r="G1259" s="68"/>
      <c r="H1259" s="68"/>
      <c r="I1259" s="69"/>
      <c r="J1259" s="67"/>
      <c r="K1259" s="67"/>
      <c r="L1259" s="67"/>
      <c r="M1259" s="67"/>
      <c r="N1259" s="67"/>
      <c r="O1259" s="67"/>
      <c r="P1259" s="67"/>
      <c r="Q1259" s="77"/>
      <c r="R1259" s="68"/>
      <c r="S1259" s="68"/>
      <c r="T1259" s="67"/>
      <c r="U1259" s="68"/>
      <c r="V1259" s="68"/>
      <c r="W1259" s="67"/>
      <c r="X1259" s="67"/>
      <c r="Y1259" s="67"/>
      <c r="Z1259" s="67"/>
      <c r="AA1259" s="67"/>
      <c r="AB1259" s="67"/>
      <c r="AC1259" s="67"/>
    </row>
    <row r="1260">
      <c r="A1260" s="66"/>
      <c r="B1260" s="67"/>
      <c r="C1260" s="67"/>
      <c r="D1260" s="68"/>
      <c r="E1260" s="68"/>
      <c r="F1260" s="68"/>
      <c r="G1260" s="68"/>
      <c r="H1260" s="68"/>
      <c r="I1260" s="69"/>
      <c r="J1260" s="67"/>
      <c r="K1260" s="67"/>
      <c r="L1260" s="67"/>
      <c r="M1260" s="67"/>
      <c r="N1260" s="67"/>
      <c r="O1260" s="67"/>
      <c r="P1260" s="67"/>
      <c r="Q1260" s="77"/>
      <c r="R1260" s="68"/>
      <c r="S1260" s="68"/>
      <c r="T1260" s="67"/>
      <c r="U1260" s="68"/>
      <c r="V1260" s="68"/>
      <c r="W1260" s="67"/>
      <c r="X1260" s="67"/>
      <c r="Y1260" s="67"/>
      <c r="Z1260" s="67"/>
      <c r="AA1260" s="67"/>
      <c r="AB1260" s="67"/>
      <c r="AC1260" s="67"/>
    </row>
    <row r="1261">
      <c r="A1261" s="66"/>
      <c r="B1261" s="67"/>
      <c r="C1261" s="67"/>
      <c r="D1261" s="68"/>
      <c r="E1261" s="68"/>
      <c r="F1261" s="68"/>
      <c r="G1261" s="68"/>
      <c r="H1261" s="68"/>
      <c r="I1261" s="69"/>
      <c r="J1261" s="67"/>
      <c r="K1261" s="67"/>
      <c r="L1261" s="67"/>
      <c r="M1261" s="67"/>
      <c r="N1261" s="67"/>
      <c r="O1261" s="67"/>
      <c r="P1261" s="67"/>
      <c r="Q1261" s="77"/>
      <c r="R1261" s="68"/>
      <c r="S1261" s="68"/>
      <c r="T1261" s="67"/>
      <c r="U1261" s="68"/>
      <c r="V1261" s="68"/>
      <c r="W1261" s="67"/>
      <c r="X1261" s="67"/>
      <c r="Y1261" s="67"/>
      <c r="Z1261" s="67"/>
      <c r="AA1261" s="67"/>
      <c r="AB1261" s="67"/>
      <c r="AC1261" s="67"/>
    </row>
    <row r="1262">
      <c r="A1262" s="66"/>
      <c r="B1262" s="67"/>
      <c r="C1262" s="67"/>
      <c r="D1262" s="68"/>
      <c r="E1262" s="68"/>
      <c r="F1262" s="68"/>
      <c r="G1262" s="68"/>
      <c r="H1262" s="68"/>
      <c r="I1262" s="69"/>
      <c r="J1262" s="67"/>
      <c r="K1262" s="67"/>
      <c r="L1262" s="67"/>
      <c r="M1262" s="67"/>
      <c r="N1262" s="67"/>
      <c r="O1262" s="67"/>
      <c r="P1262" s="67"/>
      <c r="Q1262" s="77"/>
      <c r="R1262" s="68"/>
      <c r="S1262" s="68"/>
      <c r="T1262" s="67"/>
      <c r="U1262" s="68"/>
      <c r="V1262" s="68"/>
      <c r="W1262" s="67"/>
      <c r="X1262" s="67"/>
      <c r="Y1262" s="67"/>
      <c r="Z1262" s="67"/>
      <c r="AA1262" s="67"/>
      <c r="AB1262" s="67"/>
      <c r="AC1262" s="67"/>
    </row>
    <row r="1263">
      <c r="A1263" s="66"/>
      <c r="B1263" s="67"/>
      <c r="C1263" s="67"/>
      <c r="D1263" s="68"/>
      <c r="E1263" s="68"/>
      <c r="F1263" s="68"/>
      <c r="G1263" s="68"/>
      <c r="H1263" s="68"/>
      <c r="I1263" s="69"/>
      <c r="J1263" s="67"/>
      <c r="K1263" s="67"/>
      <c r="L1263" s="67"/>
      <c r="M1263" s="67"/>
      <c r="N1263" s="67"/>
      <c r="O1263" s="67"/>
      <c r="P1263" s="67"/>
      <c r="Q1263" s="77"/>
      <c r="R1263" s="68"/>
      <c r="S1263" s="68"/>
      <c r="T1263" s="67"/>
      <c r="U1263" s="68"/>
      <c r="V1263" s="68"/>
      <c r="W1263" s="67"/>
      <c r="X1263" s="67"/>
      <c r="Y1263" s="67"/>
      <c r="Z1263" s="67"/>
      <c r="AA1263" s="67"/>
      <c r="AB1263" s="67"/>
      <c r="AC1263" s="67"/>
    </row>
    <row r="1264">
      <c r="A1264" s="66"/>
      <c r="B1264" s="67"/>
      <c r="C1264" s="67"/>
      <c r="D1264" s="68"/>
      <c r="E1264" s="68"/>
      <c r="F1264" s="68"/>
      <c r="G1264" s="68"/>
      <c r="H1264" s="68"/>
      <c r="I1264" s="69"/>
      <c r="J1264" s="67"/>
      <c r="K1264" s="67"/>
      <c r="L1264" s="67"/>
      <c r="M1264" s="67"/>
      <c r="N1264" s="67"/>
      <c r="O1264" s="67"/>
      <c r="P1264" s="67"/>
      <c r="Q1264" s="77"/>
      <c r="R1264" s="68"/>
      <c r="S1264" s="68"/>
      <c r="T1264" s="67"/>
      <c r="U1264" s="68"/>
      <c r="V1264" s="68"/>
      <c r="W1264" s="67"/>
      <c r="X1264" s="67"/>
      <c r="Y1264" s="67"/>
      <c r="Z1264" s="67"/>
      <c r="AA1264" s="67"/>
      <c r="AB1264" s="67"/>
      <c r="AC1264" s="67"/>
    </row>
    <row r="1265">
      <c r="A1265" s="66"/>
      <c r="B1265" s="67"/>
      <c r="C1265" s="67"/>
      <c r="D1265" s="68"/>
      <c r="E1265" s="68"/>
      <c r="F1265" s="68"/>
      <c r="G1265" s="68"/>
      <c r="H1265" s="68"/>
      <c r="I1265" s="69"/>
      <c r="J1265" s="67"/>
      <c r="K1265" s="67"/>
      <c r="L1265" s="67"/>
      <c r="M1265" s="67"/>
      <c r="N1265" s="67"/>
      <c r="O1265" s="67"/>
      <c r="P1265" s="67"/>
      <c r="Q1265" s="77"/>
      <c r="R1265" s="68"/>
      <c r="S1265" s="68"/>
      <c r="T1265" s="67"/>
      <c r="U1265" s="68"/>
      <c r="V1265" s="68"/>
      <c r="W1265" s="67"/>
      <c r="X1265" s="67"/>
      <c r="Y1265" s="67"/>
      <c r="Z1265" s="67"/>
      <c r="AA1265" s="67"/>
      <c r="AB1265" s="67"/>
      <c r="AC1265" s="67"/>
    </row>
    <row r="1266">
      <c r="A1266" s="66"/>
      <c r="B1266" s="67"/>
      <c r="C1266" s="67"/>
      <c r="D1266" s="68"/>
      <c r="E1266" s="68"/>
      <c r="F1266" s="68"/>
      <c r="G1266" s="68"/>
      <c r="H1266" s="68"/>
      <c r="I1266" s="69"/>
      <c r="J1266" s="67"/>
      <c r="K1266" s="67"/>
      <c r="L1266" s="67"/>
      <c r="M1266" s="67"/>
      <c r="N1266" s="67"/>
      <c r="O1266" s="67"/>
      <c r="P1266" s="67"/>
      <c r="Q1266" s="77"/>
      <c r="R1266" s="68"/>
      <c r="S1266" s="68"/>
      <c r="T1266" s="67"/>
      <c r="U1266" s="68"/>
      <c r="V1266" s="68"/>
      <c r="W1266" s="67"/>
      <c r="X1266" s="67"/>
      <c r="Y1266" s="67"/>
      <c r="Z1266" s="67"/>
      <c r="AA1266" s="67"/>
      <c r="AB1266" s="67"/>
      <c r="AC1266" s="67"/>
    </row>
    <row r="1267">
      <c r="A1267" s="66"/>
      <c r="B1267" s="67"/>
      <c r="C1267" s="67"/>
      <c r="D1267" s="68"/>
      <c r="E1267" s="68"/>
      <c r="F1267" s="68"/>
      <c r="G1267" s="68"/>
      <c r="H1267" s="68"/>
      <c r="I1267" s="69"/>
      <c r="J1267" s="67"/>
      <c r="K1267" s="67"/>
      <c r="L1267" s="67"/>
      <c r="M1267" s="67"/>
      <c r="N1267" s="67"/>
      <c r="O1267" s="67"/>
      <c r="P1267" s="67"/>
      <c r="Q1267" s="77"/>
      <c r="R1267" s="68"/>
      <c r="S1267" s="68"/>
      <c r="T1267" s="67"/>
      <c r="U1267" s="68"/>
      <c r="V1267" s="68"/>
      <c r="W1267" s="67"/>
      <c r="X1267" s="67"/>
      <c r="Y1267" s="67"/>
      <c r="Z1267" s="67"/>
      <c r="AA1267" s="67"/>
      <c r="AB1267" s="67"/>
      <c r="AC1267" s="67"/>
    </row>
    <row r="1268">
      <c r="A1268" s="66"/>
      <c r="B1268" s="67"/>
      <c r="C1268" s="67"/>
      <c r="D1268" s="68"/>
      <c r="E1268" s="68"/>
      <c r="F1268" s="68"/>
      <c r="G1268" s="68"/>
      <c r="H1268" s="68"/>
      <c r="I1268" s="69"/>
      <c r="J1268" s="67"/>
      <c r="K1268" s="67"/>
      <c r="L1268" s="67"/>
      <c r="M1268" s="67"/>
      <c r="N1268" s="67"/>
      <c r="O1268" s="67"/>
      <c r="P1268" s="67"/>
      <c r="Q1268" s="77"/>
      <c r="R1268" s="68"/>
      <c r="S1268" s="68"/>
      <c r="T1268" s="67"/>
      <c r="U1268" s="68"/>
      <c r="V1268" s="68"/>
      <c r="W1268" s="67"/>
      <c r="X1268" s="67"/>
      <c r="Y1268" s="67"/>
      <c r="Z1268" s="67"/>
      <c r="AA1268" s="67"/>
      <c r="AB1268" s="67"/>
      <c r="AC1268" s="67"/>
    </row>
    <row r="1269">
      <c r="A1269" s="66"/>
      <c r="B1269" s="67"/>
      <c r="C1269" s="67"/>
      <c r="D1269" s="68"/>
      <c r="E1269" s="68"/>
      <c r="F1269" s="68"/>
      <c r="G1269" s="68"/>
      <c r="H1269" s="68"/>
      <c r="I1269" s="69"/>
      <c r="J1269" s="67"/>
      <c r="K1269" s="67"/>
      <c r="L1269" s="67"/>
      <c r="M1269" s="67"/>
      <c r="N1269" s="67"/>
      <c r="O1269" s="67"/>
      <c r="P1269" s="67"/>
      <c r="Q1269" s="77"/>
      <c r="R1269" s="68"/>
      <c r="S1269" s="68"/>
      <c r="T1269" s="67"/>
      <c r="U1269" s="68"/>
      <c r="V1269" s="68"/>
      <c r="W1269" s="67"/>
      <c r="X1269" s="67"/>
      <c r="Y1269" s="67"/>
      <c r="Z1269" s="67"/>
      <c r="AA1269" s="67"/>
      <c r="AB1269" s="67"/>
      <c r="AC1269" s="67"/>
    </row>
    <row r="1270">
      <c r="A1270" s="66"/>
      <c r="B1270" s="67"/>
      <c r="C1270" s="67"/>
      <c r="D1270" s="68"/>
      <c r="E1270" s="68"/>
      <c r="F1270" s="68"/>
      <c r="G1270" s="68"/>
      <c r="H1270" s="68"/>
      <c r="I1270" s="69"/>
      <c r="J1270" s="67"/>
      <c r="K1270" s="67"/>
      <c r="L1270" s="67"/>
      <c r="M1270" s="67"/>
      <c r="N1270" s="67"/>
      <c r="O1270" s="67"/>
      <c r="P1270" s="67"/>
      <c r="Q1270" s="77"/>
      <c r="R1270" s="68"/>
      <c r="S1270" s="68"/>
      <c r="T1270" s="67"/>
      <c r="U1270" s="68"/>
      <c r="V1270" s="68"/>
      <c r="W1270" s="67"/>
      <c r="X1270" s="67"/>
      <c r="Y1270" s="67"/>
      <c r="Z1270" s="67"/>
      <c r="AA1270" s="67"/>
      <c r="AB1270" s="67"/>
      <c r="AC1270" s="67"/>
    </row>
    <row r="1271">
      <c r="A1271" s="66"/>
      <c r="B1271" s="67"/>
      <c r="C1271" s="67"/>
      <c r="D1271" s="68"/>
      <c r="E1271" s="68"/>
      <c r="F1271" s="68"/>
      <c r="G1271" s="68"/>
      <c r="H1271" s="68"/>
      <c r="I1271" s="69"/>
      <c r="J1271" s="67"/>
      <c r="K1271" s="67"/>
      <c r="L1271" s="67"/>
      <c r="M1271" s="67"/>
      <c r="N1271" s="67"/>
      <c r="O1271" s="67"/>
      <c r="P1271" s="67"/>
      <c r="Q1271" s="77"/>
      <c r="R1271" s="68"/>
      <c r="S1271" s="68"/>
      <c r="T1271" s="67"/>
      <c r="U1271" s="68"/>
      <c r="V1271" s="68"/>
      <c r="W1271" s="67"/>
      <c r="X1271" s="67"/>
      <c r="Y1271" s="67"/>
      <c r="Z1271" s="67"/>
      <c r="AA1271" s="67"/>
      <c r="AB1271" s="67"/>
      <c r="AC1271" s="67"/>
    </row>
    <row r="1272">
      <c r="A1272" s="66"/>
      <c r="B1272" s="67"/>
      <c r="C1272" s="67"/>
      <c r="D1272" s="68"/>
      <c r="E1272" s="68"/>
      <c r="F1272" s="68"/>
      <c r="G1272" s="68"/>
      <c r="H1272" s="68"/>
      <c r="I1272" s="69"/>
      <c r="J1272" s="67"/>
      <c r="K1272" s="67"/>
      <c r="L1272" s="67"/>
      <c r="M1272" s="67"/>
      <c r="N1272" s="67"/>
      <c r="O1272" s="67"/>
      <c r="P1272" s="67"/>
      <c r="Q1272" s="77"/>
      <c r="R1272" s="68"/>
      <c r="S1272" s="68"/>
      <c r="T1272" s="67"/>
      <c r="U1272" s="68"/>
      <c r="V1272" s="68"/>
      <c r="W1272" s="67"/>
      <c r="X1272" s="67"/>
      <c r="Y1272" s="67"/>
      <c r="Z1272" s="67"/>
      <c r="AA1272" s="67"/>
      <c r="AB1272" s="67"/>
      <c r="AC1272" s="67"/>
    </row>
    <row r="1273">
      <c r="A1273" s="66"/>
      <c r="B1273" s="67"/>
      <c r="C1273" s="67"/>
      <c r="D1273" s="68"/>
      <c r="E1273" s="68"/>
      <c r="F1273" s="68"/>
      <c r="G1273" s="68"/>
      <c r="H1273" s="68"/>
      <c r="I1273" s="69"/>
      <c r="J1273" s="67"/>
      <c r="K1273" s="67"/>
      <c r="L1273" s="67"/>
      <c r="M1273" s="67"/>
      <c r="N1273" s="67"/>
      <c r="O1273" s="67"/>
      <c r="P1273" s="67"/>
      <c r="Q1273" s="77"/>
      <c r="R1273" s="68"/>
      <c r="S1273" s="68"/>
      <c r="T1273" s="67"/>
      <c r="U1273" s="68"/>
      <c r="V1273" s="68"/>
      <c r="W1273" s="67"/>
      <c r="X1273" s="67"/>
      <c r="Y1273" s="67"/>
      <c r="Z1273" s="67"/>
      <c r="AA1273" s="67"/>
      <c r="AB1273" s="67"/>
      <c r="AC1273" s="67"/>
    </row>
    <row r="1274">
      <c r="A1274" s="66"/>
      <c r="B1274" s="67"/>
      <c r="C1274" s="67"/>
      <c r="D1274" s="68"/>
      <c r="E1274" s="68"/>
      <c r="F1274" s="68"/>
      <c r="G1274" s="68"/>
      <c r="H1274" s="68"/>
      <c r="I1274" s="69"/>
      <c r="J1274" s="67"/>
      <c r="K1274" s="67"/>
      <c r="L1274" s="67"/>
      <c r="M1274" s="67"/>
      <c r="N1274" s="67"/>
      <c r="O1274" s="67"/>
      <c r="P1274" s="67"/>
      <c r="Q1274" s="77"/>
      <c r="R1274" s="68"/>
      <c r="S1274" s="68"/>
      <c r="T1274" s="67"/>
      <c r="U1274" s="68"/>
      <c r="V1274" s="68"/>
      <c r="W1274" s="67"/>
      <c r="X1274" s="67"/>
      <c r="Y1274" s="67"/>
      <c r="Z1274" s="67"/>
      <c r="AA1274" s="67"/>
      <c r="AB1274" s="67"/>
      <c r="AC1274" s="67"/>
    </row>
    <row r="1275">
      <c r="A1275" s="66"/>
      <c r="B1275" s="67"/>
      <c r="C1275" s="67"/>
      <c r="D1275" s="68"/>
      <c r="E1275" s="68"/>
      <c r="F1275" s="68"/>
      <c r="G1275" s="68"/>
      <c r="H1275" s="68"/>
      <c r="I1275" s="69"/>
      <c r="J1275" s="67"/>
      <c r="K1275" s="67"/>
      <c r="L1275" s="67"/>
      <c r="M1275" s="67"/>
      <c r="N1275" s="67"/>
      <c r="O1275" s="67"/>
      <c r="P1275" s="67"/>
      <c r="Q1275" s="77"/>
      <c r="R1275" s="68"/>
      <c r="S1275" s="68"/>
      <c r="T1275" s="67"/>
      <c r="U1275" s="68"/>
      <c r="V1275" s="68"/>
      <c r="W1275" s="67"/>
      <c r="X1275" s="67"/>
      <c r="Y1275" s="67"/>
      <c r="Z1275" s="67"/>
      <c r="AA1275" s="67"/>
      <c r="AB1275" s="67"/>
      <c r="AC1275" s="67"/>
    </row>
    <row r="1276">
      <c r="A1276" s="66"/>
      <c r="B1276" s="67"/>
      <c r="C1276" s="67"/>
      <c r="D1276" s="68"/>
      <c r="E1276" s="68"/>
      <c r="F1276" s="68"/>
      <c r="G1276" s="68"/>
      <c r="H1276" s="68"/>
      <c r="I1276" s="69"/>
      <c r="J1276" s="67"/>
      <c r="K1276" s="67"/>
      <c r="L1276" s="67"/>
      <c r="M1276" s="67"/>
      <c r="N1276" s="67"/>
      <c r="O1276" s="67"/>
      <c r="P1276" s="67"/>
      <c r="Q1276" s="77"/>
      <c r="R1276" s="68"/>
      <c r="S1276" s="68"/>
      <c r="T1276" s="67"/>
      <c r="U1276" s="68"/>
      <c r="V1276" s="68"/>
      <c r="W1276" s="67"/>
      <c r="X1276" s="67"/>
      <c r="Y1276" s="67"/>
      <c r="Z1276" s="67"/>
      <c r="AA1276" s="67"/>
      <c r="AB1276" s="67"/>
      <c r="AC1276" s="67"/>
    </row>
    <row r="1277">
      <c r="A1277" s="66"/>
      <c r="B1277" s="67"/>
      <c r="C1277" s="67"/>
      <c r="D1277" s="68"/>
      <c r="E1277" s="68"/>
      <c r="F1277" s="68"/>
      <c r="G1277" s="68"/>
      <c r="H1277" s="68"/>
      <c r="I1277" s="69"/>
      <c r="J1277" s="67"/>
      <c r="K1277" s="67"/>
      <c r="L1277" s="67"/>
      <c r="M1277" s="67"/>
      <c r="N1277" s="67"/>
      <c r="O1277" s="67"/>
      <c r="P1277" s="67"/>
      <c r="Q1277" s="77"/>
      <c r="R1277" s="68"/>
      <c r="S1277" s="68"/>
      <c r="T1277" s="67"/>
      <c r="U1277" s="68"/>
      <c r="V1277" s="68"/>
      <c r="W1277" s="67"/>
      <c r="X1277" s="67"/>
      <c r="Y1277" s="67"/>
      <c r="Z1277" s="67"/>
      <c r="AA1277" s="67"/>
      <c r="AB1277" s="67"/>
      <c r="AC1277" s="67"/>
    </row>
    <row r="1278">
      <c r="A1278" s="66"/>
      <c r="B1278" s="67"/>
      <c r="C1278" s="67"/>
      <c r="D1278" s="68"/>
      <c r="E1278" s="68"/>
      <c r="F1278" s="68"/>
      <c r="G1278" s="68"/>
      <c r="H1278" s="68"/>
      <c r="I1278" s="69"/>
      <c r="J1278" s="67"/>
      <c r="K1278" s="67"/>
      <c r="L1278" s="67"/>
      <c r="M1278" s="67"/>
      <c r="N1278" s="67"/>
      <c r="O1278" s="67"/>
      <c r="P1278" s="67"/>
      <c r="Q1278" s="77"/>
      <c r="R1278" s="68"/>
      <c r="S1278" s="68"/>
      <c r="T1278" s="67"/>
      <c r="U1278" s="68"/>
      <c r="V1278" s="68"/>
      <c r="W1278" s="67"/>
      <c r="X1278" s="67"/>
      <c r="Y1278" s="67"/>
      <c r="Z1278" s="67"/>
      <c r="AA1278" s="67"/>
      <c r="AB1278" s="67"/>
      <c r="AC1278" s="67"/>
    </row>
    <row r="1279">
      <c r="A1279" s="66"/>
      <c r="B1279" s="67"/>
      <c r="C1279" s="67"/>
      <c r="D1279" s="68"/>
      <c r="E1279" s="68"/>
      <c r="F1279" s="68"/>
      <c r="G1279" s="68"/>
      <c r="H1279" s="68"/>
      <c r="I1279" s="69"/>
      <c r="J1279" s="67"/>
      <c r="K1279" s="67"/>
      <c r="L1279" s="67"/>
      <c r="M1279" s="67"/>
      <c r="N1279" s="67"/>
      <c r="O1279" s="67"/>
      <c r="P1279" s="67"/>
      <c r="Q1279" s="77"/>
      <c r="R1279" s="68"/>
      <c r="S1279" s="68"/>
      <c r="T1279" s="67"/>
      <c r="U1279" s="68"/>
      <c r="V1279" s="68"/>
      <c r="W1279" s="67"/>
      <c r="X1279" s="67"/>
      <c r="Y1279" s="67"/>
      <c r="Z1279" s="67"/>
      <c r="AA1279" s="67"/>
      <c r="AB1279" s="67"/>
      <c r="AC1279" s="67"/>
    </row>
    <row r="1280">
      <c r="A1280" s="66"/>
      <c r="B1280" s="67"/>
      <c r="C1280" s="67"/>
      <c r="D1280" s="68"/>
      <c r="E1280" s="68"/>
      <c r="F1280" s="68"/>
      <c r="G1280" s="68"/>
      <c r="H1280" s="68"/>
      <c r="I1280" s="69"/>
      <c r="J1280" s="67"/>
      <c r="K1280" s="67"/>
      <c r="L1280" s="67"/>
      <c r="M1280" s="67"/>
      <c r="N1280" s="67"/>
      <c r="O1280" s="67"/>
      <c r="P1280" s="67"/>
      <c r="Q1280" s="77"/>
      <c r="R1280" s="68"/>
      <c r="S1280" s="68"/>
      <c r="T1280" s="67"/>
      <c r="U1280" s="68"/>
      <c r="V1280" s="68"/>
      <c r="W1280" s="67"/>
      <c r="X1280" s="67"/>
      <c r="Y1280" s="67"/>
      <c r="Z1280" s="67"/>
      <c r="AA1280" s="67"/>
      <c r="AB1280" s="67"/>
      <c r="AC1280" s="67"/>
    </row>
    <row r="1281">
      <c r="A1281" s="66"/>
      <c r="B1281" s="67"/>
      <c r="C1281" s="67"/>
      <c r="D1281" s="68"/>
      <c r="E1281" s="68"/>
      <c r="F1281" s="68"/>
      <c r="G1281" s="68"/>
      <c r="H1281" s="68"/>
      <c r="I1281" s="69"/>
      <c r="J1281" s="67"/>
      <c r="K1281" s="67"/>
      <c r="L1281" s="67"/>
      <c r="M1281" s="67"/>
      <c r="N1281" s="67"/>
      <c r="O1281" s="67"/>
      <c r="P1281" s="67"/>
      <c r="Q1281" s="77"/>
      <c r="R1281" s="68"/>
      <c r="S1281" s="68"/>
      <c r="T1281" s="67"/>
      <c r="U1281" s="68"/>
      <c r="V1281" s="68"/>
      <c r="W1281" s="67"/>
      <c r="X1281" s="67"/>
      <c r="Y1281" s="67"/>
      <c r="Z1281" s="67"/>
      <c r="AA1281" s="67"/>
      <c r="AB1281" s="67"/>
      <c r="AC1281" s="67"/>
    </row>
    <row r="1282">
      <c r="A1282" s="66"/>
      <c r="B1282" s="67"/>
      <c r="C1282" s="67"/>
      <c r="D1282" s="68"/>
      <c r="E1282" s="68"/>
      <c r="F1282" s="68"/>
      <c r="G1282" s="68"/>
      <c r="H1282" s="68"/>
      <c r="I1282" s="69"/>
      <c r="J1282" s="67"/>
      <c r="K1282" s="67"/>
      <c r="L1282" s="67"/>
      <c r="M1282" s="67"/>
      <c r="N1282" s="67"/>
      <c r="O1282" s="67"/>
      <c r="P1282" s="67"/>
      <c r="Q1282" s="77"/>
      <c r="R1282" s="68"/>
      <c r="S1282" s="68"/>
      <c r="T1282" s="67"/>
      <c r="U1282" s="68"/>
      <c r="V1282" s="68"/>
      <c r="W1282" s="67"/>
      <c r="X1282" s="67"/>
      <c r="Y1282" s="67"/>
      <c r="Z1282" s="67"/>
      <c r="AA1282" s="67"/>
      <c r="AB1282" s="67"/>
      <c r="AC1282" s="67"/>
    </row>
    <row r="1283">
      <c r="A1283" s="66"/>
      <c r="B1283" s="67"/>
      <c r="C1283" s="67"/>
      <c r="D1283" s="68"/>
      <c r="E1283" s="68"/>
      <c r="F1283" s="68"/>
      <c r="G1283" s="68"/>
      <c r="H1283" s="68"/>
      <c r="I1283" s="69"/>
      <c r="J1283" s="67"/>
      <c r="K1283" s="67"/>
      <c r="L1283" s="67"/>
      <c r="M1283" s="67"/>
      <c r="N1283" s="67"/>
      <c r="O1283" s="67"/>
      <c r="P1283" s="67"/>
      <c r="Q1283" s="77"/>
      <c r="R1283" s="68"/>
      <c r="S1283" s="68"/>
      <c r="T1283" s="67"/>
      <c r="U1283" s="68"/>
      <c r="V1283" s="68"/>
      <c r="W1283" s="67"/>
      <c r="X1283" s="67"/>
      <c r="Y1283" s="67"/>
      <c r="Z1283" s="67"/>
      <c r="AA1283" s="67"/>
      <c r="AB1283" s="67"/>
      <c r="AC1283" s="67"/>
    </row>
    <row r="1284">
      <c r="A1284" s="66"/>
      <c r="B1284" s="67"/>
      <c r="C1284" s="67"/>
      <c r="D1284" s="68"/>
      <c r="E1284" s="68"/>
      <c r="F1284" s="68"/>
      <c r="G1284" s="68"/>
      <c r="H1284" s="68"/>
      <c r="I1284" s="69"/>
      <c r="J1284" s="67"/>
      <c r="K1284" s="67"/>
      <c r="L1284" s="67"/>
      <c r="M1284" s="67"/>
      <c r="N1284" s="67"/>
      <c r="O1284" s="67"/>
      <c r="P1284" s="67"/>
      <c r="Q1284" s="77"/>
      <c r="R1284" s="68"/>
      <c r="S1284" s="68"/>
      <c r="T1284" s="67"/>
      <c r="U1284" s="68"/>
      <c r="V1284" s="68"/>
      <c r="W1284" s="67"/>
      <c r="X1284" s="67"/>
      <c r="Y1284" s="67"/>
      <c r="Z1284" s="67"/>
      <c r="AA1284" s="67"/>
      <c r="AB1284" s="67"/>
      <c r="AC1284" s="67"/>
    </row>
    <row r="1285">
      <c r="A1285" s="66"/>
      <c r="B1285" s="67"/>
      <c r="C1285" s="67"/>
      <c r="D1285" s="68"/>
      <c r="E1285" s="68"/>
      <c r="F1285" s="68"/>
      <c r="G1285" s="68"/>
      <c r="H1285" s="68"/>
      <c r="I1285" s="69"/>
      <c r="J1285" s="67"/>
      <c r="K1285" s="67"/>
      <c r="L1285" s="67"/>
      <c r="M1285" s="67"/>
      <c r="N1285" s="67"/>
      <c r="O1285" s="67"/>
      <c r="P1285" s="67"/>
      <c r="Q1285" s="77"/>
      <c r="R1285" s="68"/>
      <c r="S1285" s="68"/>
      <c r="T1285" s="67"/>
      <c r="U1285" s="68"/>
      <c r="V1285" s="68"/>
      <c r="W1285" s="67"/>
      <c r="X1285" s="67"/>
      <c r="Y1285" s="67"/>
      <c r="Z1285" s="67"/>
      <c r="AA1285" s="67"/>
      <c r="AB1285" s="67"/>
      <c r="AC1285" s="67"/>
    </row>
    <row r="1286">
      <c r="A1286" s="66"/>
      <c r="B1286" s="67"/>
      <c r="C1286" s="67"/>
      <c r="D1286" s="68"/>
      <c r="E1286" s="68"/>
      <c r="F1286" s="68"/>
      <c r="G1286" s="68"/>
      <c r="H1286" s="68"/>
      <c r="I1286" s="69"/>
      <c r="J1286" s="67"/>
      <c r="K1286" s="67"/>
      <c r="L1286" s="67"/>
      <c r="M1286" s="67"/>
      <c r="N1286" s="67"/>
      <c r="O1286" s="67"/>
      <c r="P1286" s="67"/>
      <c r="Q1286" s="77"/>
      <c r="R1286" s="68"/>
      <c r="S1286" s="68"/>
      <c r="T1286" s="67"/>
      <c r="U1286" s="68"/>
      <c r="V1286" s="68"/>
      <c r="W1286" s="67"/>
      <c r="X1286" s="67"/>
      <c r="Y1286" s="67"/>
      <c r="Z1286" s="67"/>
      <c r="AA1286" s="67"/>
      <c r="AB1286" s="67"/>
      <c r="AC1286" s="67"/>
    </row>
    <row r="1287">
      <c r="A1287" s="66"/>
      <c r="B1287" s="67"/>
      <c r="C1287" s="67"/>
      <c r="D1287" s="68"/>
      <c r="E1287" s="68"/>
      <c r="F1287" s="68"/>
      <c r="G1287" s="68"/>
      <c r="H1287" s="68"/>
      <c r="I1287" s="69"/>
      <c r="J1287" s="67"/>
      <c r="K1287" s="67"/>
      <c r="L1287" s="67"/>
      <c r="M1287" s="67"/>
      <c r="N1287" s="67"/>
      <c r="O1287" s="67"/>
      <c r="P1287" s="67"/>
      <c r="Q1287" s="77"/>
      <c r="R1287" s="68"/>
      <c r="S1287" s="68"/>
      <c r="T1287" s="67"/>
      <c r="U1287" s="68"/>
      <c r="V1287" s="68"/>
      <c r="W1287" s="67"/>
      <c r="X1287" s="67"/>
      <c r="Y1287" s="67"/>
      <c r="Z1287" s="67"/>
      <c r="AA1287" s="67"/>
      <c r="AB1287" s="67"/>
      <c r="AC1287" s="67"/>
    </row>
    <row r="1288">
      <c r="A1288" s="66"/>
      <c r="B1288" s="67"/>
      <c r="C1288" s="67"/>
      <c r="D1288" s="68"/>
      <c r="E1288" s="68"/>
      <c r="F1288" s="68"/>
      <c r="G1288" s="68"/>
      <c r="H1288" s="68"/>
      <c r="I1288" s="69"/>
      <c r="J1288" s="67"/>
      <c r="K1288" s="67"/>
      <c r="L1288" s="67"/>
      <c r="M1288" s="67"/>
      <c r="N1288" s="67"/>
      <c r="O1288" s="67"/>
      <c r="P1288" s="67"/>
      <c r="Q1288" s="77"/>
      <c r="R1288" s="68"/>
      <c r="S1288" s="68"/>
      <c r="T1288" s="67"/>
      <c r="U1288" s="68"/>
      <c r="V1288" s="68"/>
      <c r="W1288" s="67"/>
      <c r="X1288" s="67"/>
      <c r="Y1288" s="67"/>
      <c r="Z1288" s="67"/>
      <c r="AA1288" s="67"/>
      <c r="AB1288" s="67"/>
      <c r="AC1288" s="67"/>
    </row>
    <row r="1289">
      <c r="A1289" s="66"/>
      <c r="B1289" s="67"/>
      <c r="C1289" s="67"/>
      <c r="D1289" s="68"/>
      <c r="E1289" s="68"/>
      <c r="F1289" s="68"/>
      <c r="G1289" s="68"/>
      <c r="H1289" s="68"/>
      <c r="I1289" s="69"/>
      <c r="J1289" s="67"/>
      <c r="K1289" s="67"/>
      <c r="L1289" s="67"/>
      <c r="M1289" s="67"/>
      <c r="N1289" s="67"/>
      <c r="O1289" s="67"/>
      <c r="P1289" s="67"/>
      <c r="Q1289" s="77"/>
      <c r="R1289" s="68"/>
      <c r="S1289" s="68"/>
      <c r="T1289" s="67"/>
      <c r="U1289" s="68"/>
      <c r="V1289" s="68"/>
      <c r="W1289" s="67"/>
      <c r="X1289" s="67"/>
      <c r="Y1289" s="67"/>
      <c r="Z1289" s="67"/>
      <c r="AA1289" s="67"/>
      <c r="AB1289" s="67"/>
      <c r="AC1289" s="67"/>
    </row>
    <row r="1290">
      <c r="A1290" s="66"/>
      <c r="B1290" s="67"/>
      <c r="C1290" s="67"/>
      <c r="D1290" s="68"/>
      <c r="E1290" s="68"/>
      <c r="F1290" s="68"/>
      <c r="G1290" s="68"/>
      <c r="H1290" s="68"/>
      <c r="I1290" s="69"/>
      <c r="J1290" s="67"/>
      <c r="K1290" s="67"/>
      <c r="L1290" s="67"/>
      <c r="M1290" s="67"/>
      <c r="N1290" s="67"/>
      <c r="O1290" s="67"/>
      <c r="P1290" s="67"/>
      <c r="Q1290" s="77"/>
      <c r="R1290" s="68"/>
      <c r="S1290" s="68"/>
      <c r="T1290" s="67"/>
      <c r="U1290" s="68"/>
      <c r="V1290" s="68"/>
      <c r="W1290" s="67"/>
      <c r="X1290" s="67"/>
      <c r="Y1290" s="67"/>
      <c r="Z1290" s="67"/>
      <c r="AA1290" s="67"/>
      <c r="AB1290" s="67"/>
      <c r="AC1290" s="67"/>
    </row>
    <row r="1291">
      <c r="A1291" s="66"/>
      <c r="B1291" s="67"/>
      <c r="C1291" s="67"/>
      <c r="D1291" s="68"/>
      <c r="E1291" s="68"/>
      <c r="F1291" s="68"/>
      <c r="G1291" s="68"/>
      <c r="H1291" s="68"/>
      <c r="I1291" s="69"/>
      <c r="J1291" s="67"/>
      <c r="K1291" s="67"/>
      <c r="L1291" s="67"/>
      <c r="M1291" s="67"/>
      <c r="N1291" s="67"/>
      <c r="O1291" s="67"/>
      <c r="P1291" s="67"/>
      <c r="Q1291" s="77"/>
      <c r="R1291" s="68"/>
      <c r="S1291" s="68"/>
      <c r="T1291" s="67"/>
      <c r="U1291" s="68"/>
      <c r="V1291" s="68"/>
      <c r="W1291" s="67"/>
      <c r="X1291" s="67"/>
      <c r="Y1291" s="67"/>
      <c r="Z1291" s="67"/>
      <c r="AA1291" s="67"/>
      <c r="AB1291" s="67"/>
      <c r="AC1291" s="67"/>
    </row>
    <row r="1292">
      <c r="A1292" s="66"/>
      <c r="B1292" s="67"/>
      <c r="C1292" s="67"/>
      <c r="D1292" s="68"/>
      <c r="E1292" s="68"/>
      <c r="F1292" s="68"/>
      <c r="G1292" s="68"/>
      <c r="H1292" s="68"/>
      <c r="I1292" s="69"/>
      <c r="J1292" s="67"/>
      <c r="K1292" s="67"/>
      <c r="L1292" s="67"/>
      <c r="M1292" s="67"/>
      <c r="N1292" s="67"/>
      <c r="O1292" s="67"/>
      <c r="P1292" s="67"/>
      <c r="Q1292" s="77"/>
      <c r="R1292" s="68"/>
      <c r="S1292" s="68"/>
      <c r="T1292" s="67"/>
      <c r="U1292" s="68"/>
      <c r="V1292" s="68"/>
      <c r="W1292" s="67"/>
      <c r="X1292" s="67"/>
      <c r="Y1292" s="67"/>
      <c r="Z1292" s="67"/>
      <c r="AA1292" s="67"/>
      <c r="AB1292" s="67"/>
      <c r="AC1292" s="67"/>
    </row>
    <row r="1293">
      <c r="A1293" s="66"/>
      <c r="B1293" s="67"/>
      <c r="C1293" s="67"/>
      <c r="D1293" s="68"/>
      <c r="E1293" s="68"/>
      <c r="F1293" s="68"/>
      <c r="G1293" s="68"/>
      <c r="H1293" s="68"/>
      <c r="I1293" s="69"/>
      <c r="J1293" s="67"/>
      <c r="K1293" s="67"/>
      <c r="L1293" s="67"/>
      <c r="M1293" s="67"/>
      <c r="N1293" s="67"/>
      <c r="O1293" s="67"/>
      <c r="P1293" s="67"/>
      <c r="Q1293" s="77"/>
      <c r="R1293" s="68"/>
      <c r="S1293" s="68"/>
      <c r="T1293" s="67"/>
      <c r="U1293" s="68"/>
      <c r="V1293" s="68"/>
      <c r="W1293" s="67"/>
      <c r="X1293" s="67"/>
      <c r="Y1293" s="67"/>
      <c r="Z1293" s="67"/>
      <c r="AA1293" s="67"/>
      <c r="AB1293" s="67"/>
      <c r="AC1293" s="67"/>
    </row>
    <row r="1294">
      <c r="A1294" s="66"/>
      <c r="B1294" s="67"/>
      <c r="C1294" s="67"/>
      <c r="D1294" s="68"/>
      <c r="E1294" s="68"/>
      <c r="F1294" s="68"/>
      <c r="G1294" s="68"/>
      <c r="H1294" s="68"/>
      <c r="I1294" s="69"/>
      <c r="J1294" s="67"/>
      <c r="K1294" s="67"/>
      <c r="L1294" s="67"/>
      <c r="M1294" s="67"/>
      <c r="N1294" s="67"/>
      <c r="O1294" s="67"/>
      <c r="P1294" s="67"/>
      <c r="Q1294" s="77"/>
      <c r="R1294" s="68"/>
      <c r="S1294" s="68"/>
      <c r="T1294" s="67"/>
      <c r="U1294" s="68"/>
      <c r="V1294" s="68"/>
      <c r="W1294" s="67"/>
      <c r="X1294" s="67"/>
      <c r="Y1294" s="67"/>
      <c r="Z1294" s="67"/>
      <c r="AA1294" s="67"/>
      <c r="AB1294" s="67"/>
      <c r="AC1294" s="67"/>
    </row>
    <row r="1295">
      <c r="A1295" s="66"/>
      <c r="B1295" s="67"/>
      <c r="C1295" s="67"/>
      <c r="D1295" s="68"/>
      <c r="E1295" s="68"/>
      <c r="F1295" s="68"/>
      <c r="G1295" s="68"/>
      <c r="H1295" s="68"/>
      <c r="I1295" s="69"/>
      <c r="J1295" s="67"/>
      <c r="K1295" s="67"/>
      <c r="L1295" s="67"/>
      <c r="M1295" s="67"/>
      <c r="N1295" s="67"/>
      <c r="O1295" s="67"/>
      <c r="P1295" s="67"/>
      <c r="Q1295" s="77"/>
      <c r="R1295" s="68"/>
      <c r="S1295" s="68"/>
      <c r="T1295" s="67"/>
      <c r="U1295" s="68"/>
      <c r="V1295" s="68"/>
      <c r="W1295" s="67"/>
      <c r="X1295" s="67"/>
      <c r="Y1295" s="67"/>
      <c r="Z1295" s="67"/>
      <c r="AA1295" s="67"/>
      <c r="AB1295" s="67"/>
      <c r="AC1295" s="67"/>
    </row>
    <row r="1296">
      <c r="A1296" s="66"/>
      <c r="B1296" s="67"/>
      <c r="C1296" s="67"/>
      <c r="D1296" s="68"/>
      <c r="E1296" s="68"/>
      <c r="F1296" s="68"/>
      <c r="G1296" s="68"/>
      <c r="H1296" s="68"/>
      <c r="I1296" s="69"/>
      <c r="J1296" s="67"/>
      <c r="K1296" s="67"/>
      <c r="L1296" s="67"/>
      <c r="M1296" s="67"/>
      <c r="N1296" s="67"/>
      <c r="O1296" s="67"/>
      <c r="P1296" s="67"/>
      <c r="Q1296" s="77"/>
      <c r="R1296" s="68"/>
      <c r="S1296" s="68"/>
      <c r="T1296" s="67"/>
      <c r="U1296" s="68"/>
      <c r="V1296" s="68"/>
      <c r="W1296" s="67"/>
      <c r="X1296" s="67"/>
      <c r="Y1296" s="67"/>
      <c r="Z1296" s="67"/>
      <c r="AA1296" s="67"/>
      <c r="AB1296" s="67"/>
      <c r="AC1296" s="67"/>
    </row>
    <row r="1297">
      <c r="A1297" s="66"/>
      <c r="B1297" s="67"/>
      <c r="C1297" s="67"/>
      <c r="D1297" s="68"/>
      <c r="E1297" s="68"/>
      <c r="F1297" s="68"/>
      <c r="G1297" s="68"/>
      <c r="H1297" s="68"/>
      <c r="I1297" s="69"/>
      <c r="J1297" s="67"/>
      <c r="K1297" s="67"/>
      <c r="L1297" s="67"/>
      <c r="M1297" s="67"/>
      <c r="N1297" s="67"/>
      <c r="O1297" s="67"/>
      <c r="P1297" s="67"/>
      <c r="Q1297" s="77"/>
      <c r="R1297" s="68"/>
      <c r="S1297" s="68"/>
      <c r="T1297" s="67"/>
      <c r="U1297" s="68"/>
      <c r="V1297" s="68"/>
      <c r="W1297" s="67"/>
      <c r="X1297" s="67"/>
      <c r="Y1297" s="67"/>
      <c r="Z1297" s="67"/>
      <c r="AA1297" s="67"/>
      <c r="AB1297" s="67"/>
      <c r="AC1297" s="67"/>
    </row>
    <row r="1298">
      <c r="A1298" s="66"/>
      <c r="B1298" s="67"/>
      <c r="C1298" s="67"/>
      <c r="D1298" s="68"/>
      <c r="E1298" s="68"/>
      <c r="F1298" s="68"/>
      <c r="G1298" s="68"/>
      <c r="H1298" s="68"/>
      <c r="I1298" s="69"/>
      <c r="J1298" s="67"/>
      <c r="K1298" s="67"/>
      <c r="L1298" s="67"/>
      <c r="M1298" s="67"/>
      <c r="N1298" s="67"/>
      <c r="O1298" s="67"/>
      <c r="P1298" s="67"/>
      <c r="Q1298" s="77"/>
      <c r="R1298" s="68"/>
      <c r="S1298" s="68"/>
      <c r="T1298" s="67"/>
      <c r="U1298" s="68"/>
      <c r="V1298" s="68"/>
      <c r="W1298" s="67"/>
      <c r="X1298" s="67"/>
      <c r="Y1298" s="67"/>
      <c r="Z1298" s="67"/>
      <c r="AA1298" s="67"/>
      <c r="AB1298" s="67"/>
      <c r="AC1298" s="67"/>
    </row>
    <row r="1299">
      <c r="A1299" s="66"/>
      <c r="B1299" s="67"/>
      <c r="C1299" s="67"/>
      <c r="D1299" s="68"/>
      <c r="E1299" s="68"/>
      <c r="F1299" s="68"/>
      <c r="G1299" s="68"/>
      <c r="H1299" s="68"/>
      <c r="I1299" s="69"/>
      <c r="J1299" s="67"/>
      <c r="K1299" s="67"/>
      <c r="L1299" s="67"/>
      <c r="M1299" s="67"/>
      <c r="N1299" s="67"/>
      <c r="O1299" s="67"/>
      <c r="P1299" s="67"/>
      <c r="Q1299" s="77"/>
      <c r="R1299" s="68"/>
      <c r="S1299" s="68"/>
      <c r="T1299" s="67"/>
      <c r="U1299" s="68"/>
      <c r="V1299" s="68"/>
      <c r="W1299" s="67"/>
      <c r="X1299" s="67"/>
      <c r="Y1299" s="67"/>
      <c r="Z1299" s="67"/>
      <c r="AA1299" s="67"/>
      <c r="AB1299" s="67"/>
      <c r="AC1299" s="67"/>
    </row>
    <row r="1300">
      <c r="A1300" s="66"/>
      <c r="B1300" s="67"/>
      <c r="C1300" s="67"/>
      <c r="D1300" s="68"/>
      <c r="E1300" s="68"/>
      <c r="F1300" s="68"/>
      <c r="G1300" s="68"/>
      <c r="H1300" s="68"/>
      <c r="I1300" s="69"/>
      <c r="J1300" s="67"/>
      <c r="K1300" s="67"/>
      <c r="L1300" s="67"/>
      <c r="M1300" s="67"/>
      <c r="N1300" s="67"/>
      <c r="O1300" s="67"/>
      <c r="P1300" s="67"/>
      <c r="Q1300" s="77"/>
      <c r="R1300" s="68"/>
      <c r="S1300" s="68"/>
      <c r="T1300" s="67"/>
      <c r="U1300" s="68"/>
      <c r="V1300" s="68"/>
      <c r="W1300" s="67"/>
      <c r="X1300" s="67"/>
      <c r="Y1300" s="67"/>
      <c r="Z1300" s="67"/>
      <c r="AA1300" s="67"/>
      <c r="AB1300" s="67"/>
      <c r="AC1300" s="67"/>
    </row>
    <row r="1301">
      <c r="A1301" s="66"/>
      <c r="B1301" s="67"/>
      <c r="C1301" s="67"/>
      <c r="D1301" s="68"/>
      <c r="E1301" s="68"/>
      <c r="F1301" s="68"/>
      <c r="G1301" s="68"/>
      <c r="H1301" s="68"/>
      <c r="I1301" s="69"/>
      <c r="J1301" s="67"/>
      <c r="K1301" s="67"/>
      <c r="L1301" s="67"/>
      <c r="M1301" s="67"/>
      <c r="N1301" s="67"/>
      <c r="O1301" s="67"/>
      <c r="P1301" s="67"/>
      <c r="Q1301" s="77"/>
      <c r="R1301" s="68"/>
      <c r="S1301" s="68"/>
      <c r="T1301" s="67"/>
      <c r="U1301" s="68"/>
      <c r="V1301" s="68"/>
      <c r="W1301" s="67"/>
      <c r="X1301" s="67"/>
      <c r="Y1301" s="67"/>
      <c r="Z1301" s="67"/>
      <c r="AA1301" s="67"/>
      <c r="AB1301" s="67"/>
      <c r="AC1301" s="67"/>
    </row>
    <row r="1302">
      <c r="A1302" s="66"/>
      <c r="B1302" s="67"/>
      <c r="C1302" s="67"/>
      <c r="D1302" s="68"/>
      <c r="E1302" s="68"/>
      <c r="F1302" s="68"/>
      <c r="G1302" s="68"/>
      <c r="H1302" s="68"/>
      <c r="I1302" s="69"/>
      <c r="J1302" s="67"/>
      <c r="K1302" s="67"/>
      <c r="L1302" s="67"/>
      <c r="M1302" s="67"/>
      <c r="N1302" s="67"/>
      <c r="O1302" s="67"/>
      <c r="P1302" s="67"/>
      <c r="Q1302" s="77"/>
      <c r="R1302" s="68"/>
      <c r="S1302" s="68"/>
      <c r="T1302" s="67"/>
      <c r="U1302" s="68"/>
      <c r="V1302" s="68"/>
      <c r="W1302" s="67"/>
      <c r="X1302" s="67"/>
      <c r="Y1302" s="67"/>
      <c r="Z1302" s="67"/>
      <c r="AA1302" s="67"/>
      <c r="AB1302" s="67"/>
      <c r="AC1302" s="67"/>
    </row>
    <row r="1303">
      <c r="A1303" s="66"/>
      <c r="B1303" s="67"/>
      <c r="C1303" s="67"/>
      <c r="D1303" s="68"/>
      <c r="E1303" s="68"/>
      <c r="F1303" s="68"/>
      <c r="G1303" s="68"/>
      <c r="H1303" s="68"/>
      <c r="I1303" s="69"/>
      <c r="J1303" s="67"/>
      <c r="K1303" s="67"/>
      <c r="L1303" s="67"/>
      <c r="M1303" s="67"/>
      <c r="N1303" s="67"/>
      <c r="O1303" s="67"/>
      <c r="P1303" s="67"/>
      <c r="Q1303" s="77"/>
      <c r="R1303" s="68"/>
      <c r="S1303" s="68"/>
      <c r="T1303" s="67"/>
      <c r="U1303" s="68"/>
      <c r="V1303" s="68"/>
      <c r="W1303" s="67"/>
      <c r="X1303" s="67"/>
      <c r="Y1303" s="67"/>
      <c r="Z1303" s="67"/>
      <c r="AA1303" s="67"/>
      <c r="AB1303" s="67"/>
      <c r="AC1303" s="67"/>
    </row>
    <row r="1304">
      <c r="A1304" s="66"/>
      <c r="B1304" s="67"/>
      <c r="C1304" s="67"/>
      <c r="D1304" s="68"/>
      <c r="E1304" s="68"/>
      <c r="F1304" s="68"/>
      <c r="G1304" s="68"/>
      <c r="H1304" s="68"/>
      <c r="I1304" s="69"/>
      <c r="J1304" s="67"/>
      <c r="K1304" s="67"/>
      <c r="L1304" s="67"/>
      <c r="M1304" s="67"/>
      <c r="N1304" s="67"/>
      <c r="O1304" s="67"/>
      <c r="P1304" s="67"/>
      <c r="Q1304" s="77"/>
      <c r="R1304" s="68"/>
      <c r="S1304" s="68"/>
      <c r="T1304" s="67"/>
      <c r="U1304" s="68"/>
      <c r="V1304" s="68"/>
      <c r="W1304" s="67"/>
      <c r="X1304" s="67"/>
      <c r="Y1304" s="67"/>
      <c r="Z1304" s="67"/>
      <c r="AA1304" s="67"/>
      <c r="AB1304" s="67"/>
      <c r="AC1304" s="67"/>
    </row>
    <row r="1305">
      <c r="A1305" s="66"/>
      <c r="B1305" s="67"/>
      <c r="C1305" s="67"/>
      <c r="D1305" s="68"/>
      <c r="E1305" s="68"/>
      <c r="F1305" s="68"/>
      <c r="G1305" s="68"/>
      <c r="H1305" s="68"/>
      <c r="I1305" s="69"/>
      <c r="J1305" s="67"/>
      <c r="K1305" s="67"/>
      <c r="L1305" s="67"/>
      <c r="M1305" s="67"/>
      <c r="N1305" s="67"/>
      <c r="O1305" s="67"/>
      <c r="P1305" s="67"/>
      <c r="Q1305" s="77"/>
      <c r="R1305" s="68"/>
      <c r="S1305" s="68"/>
      <c r="T1305" s="67"/>
      <c r="U1305" s="68"/>
      <c r="V1305" s="68"/>
      <c r="W1305" s="67"/>
      <c r="X1305" s="67"/>
      <c r="Y1305" s="67"/>
      <c r="Z1305" s="67"/>
      <c r="AA1305" s="67"/>
      <c r="AB1305" s="67"/>
      <c r="AC1305" s="67"/>
    </row>
    <row r="1306">
      <c r="A1306" s="66"/>
      <c r="B1306" s="67"/>
      <c r="C1306" s="67"/>
      <c r="D1306" s="68"/>
      <c r="E1306" s="68"/>
      <c r="F1306" s="68"/>
      <c r="G1306" s="68"/>
      <c r="H1306" s="68"/>
      <c r="I1306" s="69"/>
      <c r="J1306" s="67"/>
      <c r="K1306" s="67"/>
      <c r="L1306" s="67"/>
      <c r="M1306" s="67"/>
      <c r="N1306" s="67"/>
      <c r="O1306" s="67"/>
      <c r="P1306" s="67"/>
      <c r="Q1306" s="77"/>
      <c r="R1306" s="68"/>
      <c r="S1306" s="68"/>
      <c r="T1306" s="67"/>
      <c r="U1306" s="68"/>
      <c r="V1306" s="68"/>
      <c r="W1306" s="67"/>
      <c r="X1306" s="67"/>
      <c r="Y1306" s="67"/>
      <c r="Z1306" s="67"/>
      <c r="AA1306" s="67"/>
      <c r="AB1306" s="67"/>
      <c r="AC1306" s="67"/>
    </row>
    <row r="1307">
      <c r="A1307" s="66"/>
      <c r="B1307" s="67"/>
      <c r="C1307" s="67"/>
      <c r="D1307" s="68"/>
      <c r="E1307" s="68"/>
      <c r="F1307" s="68"/>
      <c r="G1307" s="68"/>
      <c r="H1307" s="68"/>
      <c r="I1307" s="69"/>
      <c r="J1307" s="67"/>
      <c r="K1307" s="67"/>
      <c r="L1307" s="67"/>
      <c r="M1307" s="67"/>
      <c r="N1307" s="67"/>
      <c r="O1307" s="67"/>
      <c r="P1307" s="67"/>
      <c r="Q1307" s="77"/>
      <c r="R1307" s="68"/>
      <c r="S1307" s="68"/>
      <c r="T1307" s="67"/>
      <c r="U1307" s="68"/>
      <c r="V1307" s="68"/>
      <c r="W1307" s="67"/>
      <c r="X1307" s="67"/>
      <c r="Y1307" s="67"/>
      <c r="Z1307" s="67"/>
      <c r="AA1307" s="67"/>
      <c r="AB1307" s="67"/>
      <c r="AC1307" s="67"/>
    </row>
    <row r="1308">
      <c r="A1308" s="66"/>
      <c r="B1308" s="67"/>
      <c r="C1308" s="67"/>
      <c r="D1308" s="68"/>
      <c r="E1308" s="68"/>
      <c r="F1308" s="68"/>
      <c r="G1308" s="68"/>
      <c r="H1308" s="68"/>
      <c r="I1308" s="69"/>
      <c r="J1308" s="67"/>
      <c r="K1308" s="67"/>
      <c r="L1308" s="67"/>
      <c r="M1308" s="67"/>
      <c r="N1308" s="67"/>
      <c r="O1308" s="67"/>
      <c r="P1308" s="67"/>
      <c r="Q1308" s="77"/>
      <c r="R1308" s="68"/>
      <c r="S1308" s="68"/>
      <c r="T1308" s="67"/>
      <c r="U1308" s="68"/>
      <c r="V1308" s="68"/>
      <c r="W1308" s="67"/>
      <c r="X1308" s="67"/>
      <c r="Y1308" s="67"/>
      <c r="Z1308" s="67"/>
      <c r="AA1308" s="67"/>
      <c r="AB1308" s="67"/>
      <c r="AC1308" s="67"/>
    </row>
    <row r="1309">
      <c r="A1309" s="66"/>
      <c r="B1309" s="67"/>
      <c r="C1309" s="67"/>
      <c r="D1309" s="68"/>
      <c r="E1309" s="68"/>
      <c r="F1309" s="68"/>
      <c r="G1309" s="68"/>
      <c r="H1309" s="68"/>
      <c r="I1309" s="69"/>
      <c r="J1309" s="67"/>
      <c r="K1309" s="67"/>
      <c r="L1309" s="67"/>
      <c r="M1309" s="67"/>
      <c r="N1309" s="67"/>
      <c r="O1309" s="67"/>
      <c r="P1309" s="67"/>
      <c r="Q1309" s="77"/>
      <c r="R1309" s="68"/>
      <c r="S1309" s="68"/>
      <c r="T1309" s="67"/>
      <c r="U1309" s="68"/>
      <c r="V1309" s="68"/>
      <c r="W1309" s="67"/>
      <c r="X1309" s="67"/>
      <c r="Y1309" s="67"/>
      <c r="Z1309" s="67"/>
      <c r="AA1309" s="67"/>
      <c r="AB1309" s="67"/>
      <c r="AC1309" s="67"/>
    </row>
    <row r="1310">
      <c r="A1310" s="66"/>
      <c r="B1310" s="67"/>
      <c r="C1310" s="67"/>
      <c r="D1310" s="68"/>
      <c r="E1310" s="68"/>
      <c r="F1310" s="68"/>
      <c r="G1310" s="68"/>
      <c r="H1310" s="68"/>
      <c r="I1310" s="69"/>
      <c r="J1310" s="67"/>
      <c r="K1310" s="67"/>
      <c r="L1310" s="67"/>
      <c r="M1310" s="67"/>
      <c r="N1310" s="67"/>
      <c r="O1310" s="67"/>
      <c r="P1310" s="67"/>
      <c r="Q1310" s="77"/>
      <c r="R1310" s="68"/>
      <c r="S1310" s="68"/>
      <c r="T1310" s="67"/>
      <c r="U1310" s="68"/>
      <c r="V1310" s="68"/>
      <c r="W1310" s="67"/>
      <c r="X1310" s="67"/>
      <c r="Y1310" s="67"/>
      <c r="Z1310" s="67"/>
      <c r="AA1310" s="67"/>
      <c r="AB1310" s="67"/>
      <c r="AC1310" s="67"/>
    </row>
    <row r="1311">
      <c r="A1311" s="66"/>
      <c r="B1311" s="67"/>
      <c r="C1311" s="67"/>
      <c r="D1311" s="68"/>
      <c r="E1311" s="68"/>
      <c r="F1311" s="68"/>
      <c r="G1311" s="68"/>
      <c r="H1311" s="68"/>
      <c r="I1311" s="69"/>
      <c r="J1311" s="67"/>
      <c r="K1311" s="67"/>
      <c r="L1311" s="67"/>
      <c r="M1311" s="67"/>
      <c r="N1311" s="67"/>
      <c r="O1311" s="67"/>
      <c r="P1311" s="67"/>
      <c r="Q1311" s="77"/>
      <c r="R1311" s="68"/>
      <c r="S1311" s="68"/>
      <c r="T1311" s="67"/>
      <c r="U1311" s="68"/>
      <c r="V1311" s="68"/>
      <c r="W1311" s="67"/>
      <c r="X1311" s="67"/>
      <c r="Y1311" s="67"/>
      <c r="Z1311" s="67"/>
      <c r="AA1311" s="67"/>
      <c r="AB1311" s="67"/>
      <c r="AC1311" s="67"/>
    </row>
    <row r="1312">
      <c r="A1312" s="66"/>
      <c r="B1312" s="67"/>
      <c r="C1312" s="67"/>
      <c r="D1312" s="68"/>
      <c r="E1312" s="68"/>
      <c r="F1312" s="68"/>
      <c r="G1312" s="68"/>
      <c r="H1312" s="68"/>
      <c r="I1312" s="69"/>
      <c r="J1312" s="67"/>
      <c r="K1312" s="67"/>
      <c r="L1312" s="67"/>
      <c r="M1312" s="67"/>
      <c r="N1312" s="67"/>
      <c r="O1312" s="67"/>
      <c r="P1312" s="67"/>
      <c r="Q1312" s="77"/>
      <c r="R1312" s="68"/>
      <c r="S1312" s="68"/>
      <c r="T1312" s="67"/>
      <c r="U1312" s="68"/>
      <c r="V1312" s="68"/>
      <c r="W1312" s="67"/>
      <c r="X1312" s="67"/>
      <c r="Y1312" s="67"/>
      <c r="Z1312" s="67"/>
      <c r="AA1312" s="67"/>
      <c r="AB1312" s="67"/>
      <c r="AC1312" s="67"/>
    </row>
    <row r="1313">
      <c r="A1313" s="66"/>
      <c r="B1313" s="67"/>
      <c r="C1313" s="67"/>
      <c r="D1313" s="68"/>
      <c r="E1313" s="68"/>
      <c r="F1313" s="68"/>
      <c r="G1313" s="68"/>
      <c r="H1313" s="68"/>
      <c r="I1313" s="69"/>
      <c r="J1313" s="67"/>
      <c r="K1313" s="67"/>
      <c r="L1313" s="67"/>
      <c r="M1313" s="67"/>
      <c r="N1313" s="67"/>
      <c r="O1313" s="67"/>
      <c r="P1313" s="67"/>
      <c r="Q1313" s="77"/>
      <c r="R1313" s="68"/>
      <c r="S1313" s="68"/>
      <c r="T1313" s="67"/>
      <c r="U1313" s="68"/>
      <c r="V1313" s="68"/>
      <c r="W1313" s="67"/>
      <c r="X1313" s="67"/>
      <c r="Y1313" s="67"/>
      <c r="Z1313" s="67"/>
      <c r="AA1313" s="67"/>
      <c r="AB1313" s="67"/>
      <c r="AC1313" s="67"/>
    </row>
    <row r="1314">
      <c r="A1314" s="66"/>
      <c r="B1314" s="67"/>
      <c r="C1314" s="67"/>
      <c r="D1314" s="68"/>
      <c r="E1314" s="68"/>
      <c r="F1314" s="68"/>
      <c r="G1314" s="68"/>
      <c r="H1314" s="68"/>
      <c r="I1314" s="69"/>
      <c r="J1314" s="67"/>
      <c r="K1314" s="67"/>
      <c r="L1314" s="67"/>
      <c r="M1314" s="67"/>
      <c r="N1314" s="67"/>
      <c r="O1314" s="67"/>
      <c r="P1314" s="67"/>
      <c r="Q1314" s="77"/>
      <c r="R1314" s="68"/>
      <c r="S1314" s="68"/>
      <c r="T1314" s="67"/>
      <c r="U1314" s="68"/>
      <c r="V1314" s="68"/>
      <c r="W1314" s="67"/>
      <c r="X1314" s="67"/>
      <c r="Y1314" s="67"/>
      <c r="Z1314" s="67"/>
      <c r="AA1314" s="67"/>
      <c r="AB1314" s="67"/>
      <c r="AC1314" s="67"/>
    </row>
    <row r="1315">
      <c r="A1315" s="66"/>
      <c r="B1315" s="67"/>
      <c r="C1315" s="67"/>
      <c r="D1315" s="68"/>
      <c r="E1315" s="68"/>
      <c r="F1315" s="68"/>
      <c r="G1315" s="68"/>
      <c r="H1315" s="68"/>
      <c r="I1315" s="69"/>
      <c r="J1315" s="67"/>
      <c r="K1315" s="67"/>
      <c r="L1315" s="67"/>
      <c r="M1315" s="67"/>
      <c r="N1315" s="67"/>
      <c r="O1315" s="67"/>
      <c r="P1315" s="67"/>
      <c r="Q1315" s="77"/>
      <c r="R1315" s="68"/>
      <c r="S1315" s="68"/>
      <c r="T1315" s="67"/>
      <c r="U1315" s="68"/>
      <c r="V1315" s="68"/>
      <c r="W1315" s="67"/>
      <c r="X1315" s="67"/>
      <c r="Y1315" s="67"/>
      <c r="Z1315" s="67"/>
      <c r="AA1315" s="67"/>
      <c r="AB1315" s="67"/>
      <c r="AC1315" s="67"/>
    </row>
    <row r="1316">
      <c r="A1316" s="66"/>
      <c r="B1316" s="67"/>
      <c r="C1316" s="67"/>
      <c r="D1316" s="68"/>
      <c r="E1316" s="68"/>
      <c r="F1316" s="68"/>
      <c r="G1316" s="68"/>
      <c r="H1316" s="68"/>
      <c r="I1316" s="69"/>
      <c r="J1316" s="67"/>
      <c r="K1316" s="67"/>
      <c r="L1316" s="67"/>
      <c r="M1316" s="67"/>
      <c r="N1316" s="67"/>
      <c r="O1316" s="67"/>
      <c r="P1316" s="67"/>
      <c r="Q1316" s="77"/>
      <c r="R1316" s="68"/>
      <c r="S1316" s="68"/>
      <c r="T1316" s="67"/>
      <c r="U1316" s="68"/>
      <c r="V1316" s="68"/>
      <c r="W1316" s="67"/>
      <c r="X1316" s="67"/>
      <c r="Y1316" s="67"/>
      <c r="Z1316" s="67"/>
      <c r="AA1316" s="67"/>
      <c r="AB1316" s="67"/>
      <c r="AC1316" s="67"/>
    </row>
    <row r="1317">
      <c r="A1317" s="66"/>
      <c r="B1317" s="67"/>
      <c r="C1317" s="67"/>
      <c r="D1317" s="68"/>
      <c r="E1317" s="68"/>
      <c r="F1317" s="68"/>
      <c r="G1317" s="68"/>
      <c r="H1317" s="68"/>
      <c r="I1317" s="69"/>
      <c r="J1317" s="67"/>
      <c r="K1317" s="67"/>
      <c r="L1317" s="67"/>
      <c r="M1317" s="67"/>
      <c r="N1317" s="67"/>
      <c r="O1317" s="67"/>
      <c r="P1317" s="67"/>
      <c r="Q1317" s="77"/>
      <c r="R1317" s="68"/>
      <c r="S1317" s="68"/>
      <c r="T1317" s="67"/>
      <c r="U1317" s="68"/>
      <c r="V1317" s="68"/>
      <c r="W1317" s="67"/>
      <c r="X1317" s="67"/>
      <c r="Y1317" s="67"/>
      <c r="Z1317" s="67"/>
      <c r="AA1317" s="67"/>
      <c r="AB1317" s="67"/>
      <c r="AC1317" s="67"/>
    </row>
    <row r="1318">
      <c r="A1318" s="66"/>
      <c r="B1318" s="67"/>
      <c r="C1318" s="67"/>
      <c r="D1318" s="68"/>
      <c r="E1318" s="68"/>
      <c r="F1318" s="68"/>
      <c r="G1318" s="68"/>
      <c r="H1318" s="68"/>
      <c r="I1318" s="69"/>
      <c r="J1318" s="67"/>
      <c r="K1318" s="67"/>
      <c r="L1318" s="67"/>
      <c r="M1318" s="67"/>
      <c r="N1318" s="67"/>
      <c r="O1318" s="67"/>
      <c r="P1318" s="67"/>
      <c r="Q1318" s="77"/>
      <c r="R1318" s="68"/>
      <c r="S1318" s="68"/>
      <c r="T1318" s="67"/>
      <c r="U1318" s="68"/>
      <c r="V1318" s="68"/>
      <c r="W1318" s="67"/>
      <c r="X1318" s="67"/>
      <c r="Y1318" s="67"/>
      <c r="Z1318" s="67"/>
      <c r="AA1318" s="67"/>
      <c r="AB1318" s="67"/>
      <c r="AC1318" s="67"/>
    </row>
    <row r="1319">
      <c r="A1319" s="66"/>
      <c r="B1319" s="67"/>
      <c r="C1319" s="67"/>
      <c r="D1319" s="68"/>
      <c r="E1319" s="68"/>
      <c r="F1319" s="68"/>
      <c r="G1319" s="68"/>
      <c r="H1319" s="68"/>
      <c r="I1319" s="69"/>
      <c r="J1319" s="67"/>
      <c r="K1319" s="67"/>
      <c r="L1319" s="67"/>
      <c r="M1319" s="67"/>
      <c r="N1319" s="67"/>
      <c r="O1319" s="67"/>
      <c r="P1319" s="67"/>
      <c r="Q1319" s="77"/>
      <c r="R1319" s="68"/>
      <c r="S1319" s="68"/>
      <c r="T1319" s="67"/>
      <c r="U1319" s="68"/>
      <c r="V1319" s="68"/>
      <c r="W1319" s="67"/>
      <c r="X1319" s="67"/>
      <c r="Y1319" s="67"/>
      <c r="Z1319" s="67"/>
      <c r="AA1319" s="67"/>
      <c r="AB1319" s="67"/>
      <c r="AC1319" s="67"/>
    </row>
    <row r="1320">
      <c r="A1320" s="66"/>
      <c r="B1320" s="67"/>
      <c r="C1320" s="67"/>
      <c r="D1320" s="68"/>
      <c r="E1320" s="68"/>
      <c r="F1320" s="68"/>
      <c r="G1320" s="68"/>
      <c r="H1320" s="68"/>
      <c r="I1320" s="69"/>
      <c r="J1320" s="67"/>
      <c r="K1320" s="67"/>
      <c r="L1320" s="67"/>
      <c r="M1320" s="67"/>
      <c r="N1320" s="67"/>
      <c r="O1320" s="67"/>
      <c r="P1320" s="67"/>
      <c r="Q1320" s="77"/>
      <c r="R1320" s="68"/>
      <c r="S1320" s="68"/>
      <c r="T1320" s="67"/>
      <c r="U1320" s="68"/>
      <c r="V1320" s="68"/>
      <c r="W1320" s="67"/>
      <c r="X1320" s="67"/>
      <c r="Y1320" s="67"/>
      <c r="Z1320" s="67"/>
      <c r="AA1320" s="67"/>
      <c r="AB1320" s="67"/>
      <c r="AC1320" s="67"/>
    </row>
    <row r="1321">
      <c r="A1321" s="66"/>
      <c r="B1321" s="67"/>
      <c r="C1321" s="67"/>
      <c r="D1321" s="68"/>
      <c r="E1321" s="68"/>
      <c r="F1321" s="68"/>
      <c r="G1321" s="68"/>
      <c r="H1321" s="68"/>
      <c r="I1321" s="69"/>
      <c r="J1321" s="67"/>
      <c r="K1321" s="67"/>
      <c r="L1321" s="67"/>
      <c r="M1321" s="67"/>
      <c r="N1321" s="67"/>
      <c r="O1321" s="67"/>
      <c r="P1321" s="67"/>
      <c r="Q1321" s="77"/>
      <c r="R1321" s="68"/>
      <c r="S1321" s="68"/>
      <c r="T1321" s="67"/>
      <c r="U1321" s="68"/>
      <c r="V1321" s="68"/>
      <c r="W1321" s="67"/>
      <c r="X1321" s="67"/>
      <c r="Y1321" s="67"/>
      <c r="Z1321" s="67"/>
      <c r="AA1321" s="67"/>
      <c r="AB1321" s="67"/>
      <c r="AC1321" s="67"/>
    </row>
    <row r="1322">
      <c r="A1322" s="66"/>
      <c r="B1322" s="67"/>
      <c r="C1322" s="67"/>
      <c r="D1322" s="68"/>
      <c r="E1322" s="68"/>
      <c r="F1322" s="68"/>
      <c r="G1322" s="68"/>
      <c r="H1322" s="68"/>
      <c r="I1322" s="69"/>
      <c r="J1322" s="67"/>
      <c r="K1322" s="67"/>
      <c r="L1322" s="67"/>
      <c r="M1322" s="67"/>
      <c r="N1322" s="67"/>
      <c r="O1322" s="67"/>
      <c r="P1322" s="67"/>
      <c r="Q1322" s="77"/>
      <c r="R1322" s="68"/>
      <c r="S1322" s="68"/>
      <c r="T1322" s="67"/>
      <c r="U1322" s="68"/>
      <c r="V1322" s="68"/>
      <c r="W1322" s="67"/>
      <c r="X1322" s="67"/>
      <c r="Y1322" s="67"/>
      <c r="Z1322" s="67"/>
      <c r="AA1322" s="67"/>
      <c r="AB1322" s="67"/>
      <c r="AC1322" s="67"/>
    </row>
    <row r="1323">
      <c r="A1323" s="66"/>
      <c r="B1323" s="67"/>
      <c r="C1323" s="67"/>
      <c r="D1323" s="68"/>
      <c r="E1323" s="68"/>
      <c r="F1323" s="68"/>
      <c r="G1323" s="68"/>
      <c r="H1323" s="68"/>
      <c r="I1323" s="69"/>
      <c r="J1323" s="67"/>
      <c r="K1323" s="67"/>
      <c r="L1323" s="67"/>
      <c r="M1323" s="67"/>
      <c r="N1323" s="67"/>
      <c r="O1323" s="67"/>
      <c r="P1323" s="67"/>
      <c r="Q1323" s="77"/>
      <c r="R1323" s="68"/>
      <c r="S1323" s="68"/>
      <c r="T1323" s="67"/>
      <c r="U1323" s="68"/>
      <c r="V1323" s="68"/>
      <c r="W1323" s="67"/>
      <c r="X1323" s="67"/>
      <c r="Y1323" s="67"/>
      <c r="Z1323" s="67"/>
      <c r="AA1323" s="67"/>
      <c r="AB1323" s="67"/>
      <c r="AC1323" s="67"/>
    </row>
    <row r="1324">
      <c r="A1324" s="66"/>
      <c r="B1324" s="67"/>
      <c r="C1324" s="67"/>
      <c r="D1324" s="68"/>
      <c r="E1324" s="68"/>
      <c r="F1324" s="68"/>
      <c r="G1324" s="68"/>
      <c r="H1324" s="68"/>
      <c r="I1324" s="69"/>
      <c r="J1324" s="67"/>
      <c r="K1324" s="67"/>
      <c r="L1324" s="67"/>
      <c r="M1324" s="67"/>
      <c r="N1324" s="67"/>
      <c r="O1324" s="67"/>
      <c r="P1324" s="67"/>
      <c r="Q1324" s="77"/>
      <c r="R1324" s="68"/>
      <c r="S1324" s="68"/>
      <c r="T1324" s="67"/>
      <c r="U1324" s="68"/>
      <c r="V1324" s="68"/>
      <c r="W1324" s="67"/>
      <c r="X1324" s="67"/>
      <c r="Y1324" s="67"/>
      <c r="Z1324" s="67"/>
      <c r="AA1324" s="67"/>
      <c r="AB1324" s="67"/>
      <c r="AC1324" s="67"/>
    </row>
    <row r="1325">
      <c r="A1325" s="66"/>
      <c r="B1325" s="67"/>
      <c r="C1325" s="67"/>
      <c r="D1325" s="68"/>
      <c r="E1325" s="68"/>
      <c r="F1325" s="68"/>
      <c r="G1325" s="68"/>
      <c r="H1325" s="68"/>
      <c r="I1325" s="69"/>
      <c r="J1325" s="67"/>
      <c r="K1325" s="67"/>
      <c r="L1325" s="67"/>
      <c r="M1325" s="67"/>
      <c r="N1325" s="67"/>
      <c r="O1325" s="67"/>
      <c r="P1325" s="67"/>
      <c r="Q1325" s="77"/>
      <c r="R1325" s="68"/>
      <c r="S1325" s="68"/>
      <c r="T1325" s="67"/>
      <c r="U1325" s="68"/>
      <c r="V1325" s="68"/>
      <c r="W1325" s="67"/>
      <c r="X1325" s="67"/>
      <c r="Y1325" s="67"/>
      <c r="Z1325" s="67"/>
      <c r="AA1325" s="67"/>
      <c r="AB1325" s="67"/>
      <c r="AC1325" s="67"/>
    </row>
    <row r="1326">
      <c r="A1326" s="66"/>
      <c r="B1326" s="67"/>
      <c r="C1326" s="67"/>
      <c r="D1326" s="68"/>
      <c r="E1326" s="68"/>
      <c r="F1326" s="68"/>
      <c r="G1326" s="68"/>
      <c r="H1326" s="68"/>
      <c r="I1326" s="69"/>
      <c r="J1326" s="67"/>
      <c r="K1326" s="67"/>
      <c r="L1326" s="67"/>
      <c r="M1326" s="67"/>
      <c r="N1326" s="67"/>
      <c r="O1326" s="67"/>
      <c r="P1326" s="67"/>
      <c r="Q1326" s="77"/>
      <c r="R1326" s="68"/>
      <c r="S1326" s="68"/>
      <c r="T1326" s="67"/>
      <c r="U1326" s="68"/>
      <c r="V1326" s="68"/>
      <c r="W1326" s="67"/>
      <c r="X1326" s="67"/>
      <c r="Y1326" s="67"/>
      <c r="Z1326" s="67"/>
      <c r="AA1326" s="67"/>
      <c r="AB1326" s="67"/>
      <c r="AC1326" s="67"/>
    </row>
    <row r="1327">
      <c r="A1327" s="66"/>
      <c r="B1327" s="67"/>
      <c r="C1327" s="67"/>
      <c r="D1327" s="68"/>
      <c r="E1327" s="68"/>
      <c r="F1327" s="68"/>
      <c r="G1327" s="68"/>
      <c r="H1327" s="68"/>
      <c r="I1327" s="69"/>
      <c r="J1327" s="67"/>
      <c r="K1327" s="67"/>
      <c r="L1327" s="67"/>
      <c r="M1327" s="67"/>
      <c r="N1327" s="67"/>
      <c r="O1327" s="67"/>
      <c r="P1327" s="67"/>
      <c r="Q1327" s="77"/>
      <c r="R1327" s="68"/>
      <c r="S1327" s="68"/>
      <c r="T1327" s="67"/>
      <c r="U1327" s="68"/>
      <c r="V1327" s="68"/>
      <c r="W1327" s="67"/>
      <c r="X1327" s="67"/>
      <c r="Y1327" s="67"/>
      <c r="Z1327" s="67"/>
      <c r="AA1327" s="67"/>
      <c r="AB1327" s="67"/>
      <c r="AC1327" s="67"/>
    </row>
    <row r="1328">
      <c r="A1328" s="66"/>
      <c r="B1328" s="67"/>
      <c r="C1328" s="67"/>
      <c r="D1328" s="68"/>
      <c r="E1328" s="68"/>
      <c r="F1328" s="68"/>
      <c r="G1328" s="68"/>
      <c r="H1328" s="68"/>
      <c r="I1328" s="69"/>
      <c r="J1328" s="67"/>
      <c r="K1328" s="67"/>
      <c r="L1328" s="67"/>
      <c r="M1328" s="67"/>
      <c r="N1328" s="67"/>
      <c r="O1328" s="67"/>
      <c r="P1328" s="67"/>
      <c r="Q1328" s="77"/>
      <c r="R1328" s="68"/>
      <c r="S1328" s="68"/>
      <c r="T1328" s="67"/>
      <c r="U1328" s="68"/>
      <c r="V1328" s="68"/>
      <c r="W1328" s="67"/>
      <c r="X1328" s="67"/>
      <c r="Y1328" s="67"/>
      <c r="Z1328" s="67"/>
      <c r="AA1328" s="67"/>
      <c r="AB1328" s="67"/>
      <c r="AC1328" s="67"/>
    </row>
    <row r="1329">
      <c r="A1329" s="66"/>
      <c r="B1329" s="67"/>
      <c r="C1329" s="67"/>
      <c r="D1329" s="68"/>
      <c r="E1329" s="68"/>
      <c r="F1329" s="68"/>
      <c r="G1329" s="68"/>
      <c r="H1329" s="68"/>
      <c r="I1329" s="69"/>
      <c r="J1329" s="67"/>
      <c r="K1329" s="67"/>
      <c r="L1329" s="67"/>
      <c r="M1329" s="67"/>
      <c r="N1329" s="67"/>
      <c r="O1329" s="67"/>
      <c r="P1329" s="67"/>
      <c r="Q1329" s="77"/>
      <c r="R1329" s="68"/>
      <c r="S1329" s="68"/>
      <c r="T1329" s="67"/>
      <c r="U1329" s="68"/>
      <c r="V1329" s="68"/>
      <c r="W1329" s="67"/>
      <c r="X1329" s="67"/>
      <c r="Y1329" s="67"/>
      <c r="Z1329" s="67"/>
      <c r="AA1329" s="67"/>
      <c r="AB1329" s="67"/>
      <c r="AC1329" s="67"/>
    </row>
    <row r="1330">
      <c r="A1330" s="66"/>
      <c r="B1330" s="67"/>
      <c r="C1330" s="67"/>
      <c r="D1330" s="68"/>
      <c r="E1330" s="68"/>
      <c r="F1330" s="68"/>
      <c r="G1330" s="68"/>
      <c r="H1330" s="68"/>
      <c r="I1330" s="69"/>
      <c r="J1330" s="67"/>
      <c r="K1330" s="67"/>
      <c r="L1330" s="67"/>
      <c r="M1330" s="67"/>
      <c r="N1330" s="67"/>
      <c r="O1330" s="67"/>
      <c r="P1330" s="67"/>
      <c r="Q1330" s="77"/>
      <c r="R1330" s="68"/>
      <c r="S1330" s="68"/>
      <c r="T1330" s="67"/>
      <c r="U1330" s="68"/>
      <c r="V1330" s="68"/>
      <c r="W1330" s="67"/>
      <c r="X1330" s="67"/>
      <c r="Y1330" s="67"/>
      <c r="Z1330" s="67"/>
      <c r="AA1330" s="67"/>
      <c r="AB1330" s="67"/>
      <c r="AC1330" s="67"/>
    </row>
    <row r="1331">
      <c r="A1331" s="66"/>
      <c r="B1331" s="67"/>
      <c r="C1331" s="67"/>
      <c r="D1331" s="68"/>
      <c r="E1331" s="68"/>
      <c r="F1331" s="68"/>
      <c r="G1331" s="68"/>
      <c r="H1331" s="68"/>
      <c r="I1331" s="69"/>
      <c r="J1331" s="67"/>
      <c r="K1331" s="67"/>
      <c r="L1331" s="67"/>
      <c r="M1331" s="67"/>
      <c r="N1331" s="67"/>
      <c r="O1331" s="67"/>
      <c r="P1331" s="67"/>
      <c r="Q1331" s="77"/>
      <c r="R1331" s="68"/>
      <c r="S1331" s="68"/>
      <c r="T1331" s="67"/>
      <c r="U1331" s="68"/>
      <c r="V1331" s="68"/>
      <c r="W1331" s="67"/>
      <c r="X1331" s="67"/>
      <c r="Y1331" s="67"/>
      <c r="Z1331" s="67"/>
      <c r="AA1331" s="67"/>
      <c r="AB1331" s="67"/>
      <c r="AC1331" s="67"/>
    </row>
    <row r="1332">
      <c r="A1332" s="66"/>
      <c r="B1332" s="67"/>
      <c r="C1332" s="67"/>
      <c r="D1332" s="68"/>
      <c r="E1332" s="68"/>
      <c r="F1332" s="68"/>
      <c r="G1332" s="68"/>
      <c r="H1332" s="68"/>
      <c r="I1332" s="69"/>
      <c r="J1332" s="67"/>
      <c r="K1332" s="67"/>
      <c r="L1332" s="67"/>
      <c r="M1332" s="67"/>
      <c r="N1332" s="67"/>
      <c r="O1332" s="67"/>
      <c r="P1332" s="67"/>
      <c r="Q1332" s="77"/>
      <c r="R1332" s="68"/>
      <c r="S1332" s="68"/>
      <c r="T1332" s="67"/>
      <c r="U1332" s="68"/>
      <c r="V1332" s="68"/>
      <c r="W1332" s="67"/>
      <c r="X1332" s="67"/>
      <c r="Y1332" s="67"/>
      <c r="Z1332" s="67"/>
      <c r="AA1332" s="67"/>
      <c r="AB1332" s="67"/>
      <c r="AC1332" s="67"/>
    </row>
    <row r="1333">
      <c r="A1333" s="66"/>
      <c r="B1333" s="67"/>
      <c r="C1333" s="67"/>
      <c r="D1333" s="68"/>
      <c r="E1333" s="68"/>
      <c r="F1333" s="68"/>
      <c r="G1333" s="68"/>
      <c r="H1333" s="68"/>
      <c r="I1333" s="69"/>
      <c r="J1333" s="67"/>
      <c r="K1333" s="67"/>
      <c r="L1333" s="67"/>
      <c r="M1333" s="67"/>
      <c r="N1333" s="67"/>
      <c r="O1333" s="67"/>
      <c r="P1333" s="67"/>
      <c r="Q1333" s="77"/>
      <c r="R1333" s="68"/>
      <c r="S1333" s="68"/>
      <c r="T1333" s="67"/>
      <c r="U1333" s="68"/>
      <c r="V1333" s="68"/>
      <c r="W1333" s="67"/>
      <c r="X1333" s="67"/>
      <c r="Y1333" s="67"/>
      <c r="Z1333" s="67"/>
      <c r="AA1333" s="67"/>
      <c r="AB1333" s="67"/>
      <c r="AC1333" s="67"/>
    </row>
    <row r="1334">
      <c r="A1334" s="66"/>
      <c r="B1334" s="67"/>
      <c r="C1334" s="67"/>
      <c r="D1334" s="68"/>
      <c r="E1334" s="68"/>
      <c r="F1334" s="68"/>
      <c r="G1334" s="68"/>
      <c r="H1334" s="68"/>
      <c r="I1334" s="69"/>
      <c r="J1334" s="67"/>
      <c r="K1334" s="67"/>
      <c r="L1334" s="67"/>
      <c r="M1334" s="67"/>
      <c r="N1334" s="67"/>
      <c r="O1334" s="67"/>
      <c r="P1334" s="67"/>
      <c r="Q1334" s="77"/>
      <c r="R1334" s="68"/>
      <c r="S1334" s="68"/>
      <c r="T1334" s="67"/>
      <c r="U1334" s="68"/>
      <c r="V1334" s="68"/>
      <c r="W1334" s="67"/>
      <c r="X1334" s="67"/>
      <c r="Y1334" s="67"/>
      <c r="Z1334" s="67"/>
      <c r="AA1334" s="67"/>
      <c r="AB1334" s="67"/>
      <c r="AC1334" s="67"/>
    </row>
    <row r="1335">
      <c r="A1335" s="66"/>
      <c r="B1335" s="67"/>
      <c r="C1335" s="67"/>
      <c r="D1335" s="68"/>
      <c r="E1335" s="68"/>
      <c r="F1335" s="68"/>
      <c r="G1335" s="68"/>
      <c r="H1335" s="68"/>
      <c r="I1335" s="69"/>
      <c r="J1335" s="67"/>
      <c r="K1335" s="67"/>
      <c r="L1335" s="67"/>
      <c r="M1335" s="67"/>
      <c r="N1335" s="67"/>
      <c r="O1335" s="67"/>
      <c r="P1335" s="67"/>
      <c r="Q1335" s="77"/>
      <c r="R1335" s="68"/>
      <c r="S1335" s="68"/>
      <c r="T1335" s="67"/>
      <c r="U1335" s="68"/>
      <c r="V1335" s="68"/>
      <c r="W1335" s="67"/>
      <c r="X1335" s="67"/>
      <c r="Y1335" s="67"/>
      <c r="Z1335" s="67"/>
      <c r="AA1335" s="67"/>
      <c r="AB1335" s="67"/>
      <c r="AC1335" s="67"/>
    </row>
    <row r="1336">
      <c r="A1336" s="66"/>
      <c r="B1336" s="67"/>
      <c r="C1336" s="67"/>
      <c r="D1336" s="68"/>
      <c r="E1336" s="68"/>
      <c r="F1336" s="68"/>
      <c r="G1336" s="68"/>
      <c r="H1336" s="68"/>
      <c r="I1336" s="69"/>
      <c r="J1336" s="67"/>
      <c r="K1336" s="67"/>
      <c r="L1336" s="67"/>
      <c r="M1336" s="67"/>
      <c r="N1336" s="67"/>
      <c r="O1336" s="67"/>
      <c r="P1336" s="67"/>
      <c r="Q1336" s="77"/>
      <c r="R1336" s="68"/>
      <c r="S1336" s="68"/>
      <c r="T1336" s="67"/>
      <c r="U1336" s="68"/>
      <c r="V1336" s="68"/>
      <c r="W1336" s="67"/>
      <c r="X1336" s="67"/>
      <c r="Y1336" s="67"/>
      <c r="Z1336" s="67"/>
      <c r="AA1336" s="67"/>
      <c r="AB1336" s="67"/>
      <c r="AC1336" s="67"/>
    </row>
    <row r="1337">
      <c r="A1337" s="66"/>
      <c r="B1337" s="67"/>
      <c r="C1337" s="67"/>
      <c r="D1337" s="68"/>
      <c r="E1337" s="68"/>
      <c r="F1337" s="68"/>
      <c r="G1337" s="68"/>
      <c r="H1337" s="68"/>
      <c r="I1337" s="69"/>
      <c r="J1337" s="67"/>
      <c r="K1337" s="67"/>
      <c r="L1337" s="67"/>
      <c r="M1337" s="67"/>
      <c r="N1337" s="67"/>
      <c r="O1337" s="67"/>
      <c r="P1337" s="67"/>
      <c r="Q1337" s="77"/>
      <c r="R1337" s="68"/>
      <c r="S1337" s="68"/>
      <c r="T1337" s="67"/>
      <c r="U1337" s="68"/>
      <c r="V1337" s="68"/>
      <c r="W1337" s="67"/>
      <c r="X1337" s="67"/>
      <c r="Y1337" s="67"/>
      <c r="Z1337" s="67"/>
      <c r="AA1337" s="67"/>
      <c r="AB1337" s="67"/>
      <c r="AC1337" s="67"/>
    </row>
    <row r="1338">
      <c r="A1338" s="66"/>
      <c r="B1338" s="67"/>
      <c r="C1338" s="67"/>
      <c r="D1338" s="68"/>
      <c r="E1338" s="68"/>
      <c r="F1338" s="68"/>
      <c r="G1338" s="68"/>
      <c r="H1338" s="68"/>
      <c r="I1338" s="69"/>
      <c r="J1338" s="67"/>
      <c r="K1338" s="67"/>
      <c r="L1338" s="67"/>
      <c r="M1338" s="67"/>
      <c r="N1338" s="67"/>
      <c r="O1338" s="67"/>
      <c r="P1338" s="67"/>
      <c r="Q1338" s="77"/>
      <c r="R1338" s="68"/>
      <c r="S1338" s="68"/>
      <c r="T1338" s="67"/>
      <c r="U1338" s="68"/>
      <c r="V1338" s="68"/>
      <c r="W1338" s="67"/>
      <c r="X1338" s="67"/>
      <c r="Y1338" s="67"/>
      <c r="Z1338" s="67"/>
      <c r="AA1338" s="67"/>
      <c r="AB1338" s="67"/>
      <c r="AC1338" s="67"/>
    </row>
    <row r="1339">
      <c r="A1339" s="66"/>
      <c r="B1339" s="67"/>
      <c r="C1339" s="67"/>
      <c r="D1339" s="68"/>
      <c r="E1339" s="68"/>
      <c r="F1339" s="68"/>
      <c r="G1339" s="68"/>
      <c r="H1339" s="68"/>
      <c r="I1339" s="69"/>
      <c r="J1339" s="67"/>
      <c r="K1339" s="67"/>
      <c r="L1339" s="67"/>
      <c r="M1339" s="67"/>
      <c r="N1339" s="67"/>
      <c r="O1339" s="67"/>
      <c r="P1339" s="67"/>
      <c r="Q1339" s="77"/>
      <c r="R1339" s="68"/>
      <c r="S1339" s="68"/>
      <c r="T1339" s="67"/>
      <c r="U1339" s="68"/>
      <c r="V1339" s="68"/>
      <c r="W1339" s="67"/>
      <c r="X1339" s="67"/>
      <c r="Y1339" s="67"/>
      <c r="Z1339" s="67"/>
      <c r="AA1339" s="67"/>
      <c r="AB1339" s="67"/>
      <c r="AC1339" s="67"/>
    </row>
    <row r="1340">
      <c r="A1340" s="66"/>
      <c r="B1340" s="67"/>
      <c r="C1340" s="67"/>
      <c r="D1340" s="68"/>
      <c r="E1340" s="68"/>
      <c r="F1340" s="68"/>
      <c r="G1340" s="68"/>
      <c r="H1340" s="68"/>
      <c r="I1340" s="69"/>
      <c r="J1340" s="67"/>
      <c r="K1340" s="67"/>
      <c r="L1340" s="67"/>
      <c r="M1340" s="67"/>
      <c r="N1340" s="67"/>
      <c r="O1340" s="67"/>
      <c r="P1340" s="67"/>
      <c r="Q1340" s="77"/>
      <c r="R1340" s="68"/>
      <c r="S1340" s="68"/>
      <c r="T1340" s="67"/>
      <c r="U1340" s="68"/>
      <c r="V1340" s="68"/>
      <c r="W1340" s="67"/>
      <c r="X1340" s="67"/>
      <c r="Y1340" s="67"/>
      <c r="Z1340" s="67"/>
      <c r="AA1340" s="67"/>
      <c r="AB1340" s="67"/>
      <c r="AC1340" s="67"/>
    </row>
    <row r="1341">
      <c r="A1341" s="66"/>
      <c r="B1341" s="67"/>
      <c r="C1341" s="67"/>
      <c r="D1341" s="68"/>
      <c r="E1341" s="68"/>
      <c r="F1341" s="68"/>
      <c r="G1341" s="68"/>
      <c r="H1341" s="68"/>
      <c r="I1341" s="69"/>
      <c r="J1341" s="67"/>
      <c r="K1341" s="67"/>
      <c r="L1341" s="67"/>
      <c r="M1341" s="67"/>
      <c r="N1341" s="67"/>
      <c r="O1341" s="67"/>
      <c r="P1341" s="67"/>
      <c r="Q1341" s="77"/>
      <c r="R1341" s="68"/>
      <c r="S1341" s="68"/>
      <c r="T1341" s="67"/>
      <c r="U1341" s="68"/>
      <c r="V1341" s="68"/>
      <c r="W1341" s="67"/>
      <c r="X1341" s="67"/>
      <c r="Y1341" s="67"/>
      <c r="Z1341" s="67"/>
      <c r="AA1341" s="67"/>
      <c r="AB1341" s="67"/>
      <c r="AC1341" s="67"/>
    </row>
    <row r="1342">
      <c r="A1342" s="66"/>
      <c r="B1342" s="67"/>
      <c r="C1342" s="67"/>
      <c r="D1342" s="68"/>
      <c r="E1342" s="68"/>
      <c r="F1342" s="68"/>
      <c r="G1342" s="68"/>
      <c r="H1342" s="68"/>
      <c r="I1342" s="69"/>
      <c r="J1342" s="67"/>
      <c r="K1342" s="67"/>
      <c r="L1342" s="67"/>
      <c r="M1342" s="67"/>
      <c r="N1342" s="67"/>
      <c r="O1342" s="67"/>
      <c r="P1342" s="67"/>
      <c r="Q1342" s="77"/>
      <c r="R1342" s="68"/>
      <c r="S1342" s="68"/>
      <c r="T1342" s="67"/>
      <c r="U1342" s="68"/>
      <c r="V1342" s="68"/>
      <c r="W1342" s="67"/>
      <c r="X1342" s="67"/>
      <c r="Y1342" s="67"/>
      <c r="Z1342" s="67"/>
      <c r="AA1342" s="67"/>
      <c r="AB1342" s="67"/>
      <c r="AC1342" s="67"/>
    </row>
    <row r="1343">
      <c r="A1343" s="66"/>
      <c r="B1343" s="67"/>
      <c r="C1343" s="67"/>
      <c r="D1343" s="68"/>
      <c r="E1343" s="68"/>
      <c r="F1343" s="68"/>
      <c r="G1343" s="68"/>
      <c r="H1343" s="68"/>
      <c r="I1343" s="69"/>
      <c r="J1343" s="67"/>
      <c r="K1343" s="67"/>
      <c r="L1343" s="67"/>
      <c r="M1343" s="67"/>
      <c r="N1343" s="67"/>
      <c r="O1343" s="67"/>
      <c r="P1343" s="67"/>
      <c r="Q1343" s="77"/>
      <c r="R1343" s="68"/>
      <c r="S1343" s="68"/>
      <c r="T1343" s="67"/>
      <c r="U1343" s="68"/>
      <c r="V1343" s="68"/>
      <c r="W1343" s="67"/>
      <c r="X1343" s="67"/>
      <c r="Y1343" s="67"/>
      <c r="Z1343" s="67"/>
      <c r="AA1343" s="67"/>
      <c r="AB1343" s="67"/>
      <c r="AC1343" s="67"/>
    </row>
    <row r="1344">
      <c r="A1344" s="66"/>
      <c r="B1344" s="67"/>
      <c r="C1344" s="67"/>
      <c r="D1344" s="68"/>
      <c r="E1344" s="68"/>
      <c r="F1344" s="68"/>
      <c r="G1344" s="68"/>
      <c r="H1344" s="68"/>
      <c r="I1344" s="69"/>
      <c r="J1344" s="67"/>
      <c r="K1344" s="67"/>
      <c r="L1344" s="67"/>
      <c r="M1344" s="67"/>
      <c r="N1344" s="67"/>
      <c r="O1344" s="67"/>
      <c r="P1344" s="67"/>
      <c r="Q1344" s="77"/>
      <c r="R1344" s="68"/>
      <c r="S1344" s="68"/>
      <c r="T1344" s="67"/>
      <c r="U1344" s="68"/>
      <c r="V1344" s="68"/>
      <c r="W1344" s="67"/>
      <c r="X1344" s="67"/>
      <c r="Y1344" s="67"/>
      <c r="Z1344" s="67"/>
      <c r="AA1344" s="67"/>
      <c r="AB1344" s="67"/>
      <c r="AC1344" s="67"/>
    </row>
    <row r="1345">
      <c r="A1345" s="66"/>
      <c r="B1345" s="67"/>
      <c r="C1345" s="67"/>
      <c r="D1345" s="68"/>
      <c r="E1345" s="68"/>
      <c r="F1345" s="68"/>
      <c r="G1345" s="68"/>
      <c r="H1345" s="68"/>
      <c r="I1345" s="69"/>
      <c r="J1345" s="67"/>
      <c r="K1345" s="67"/>
      <c r="L1345" s="67"/>
      <c r="M1345" s="67"/>
      <c r="N1345" s="67"/>
      <c r="O1345" s="67"/>
      <c r="P1345" s="67"/>
      <c r="Q1345" s="77"/>
      <c r="R1345" s="68"/>
      <c r="S1345" s="68"/>
      <c r="T1345" s="67"/>
      <c r="U1345" s="68"/>
      <c r="V1345" s="68"/>
      <c r="W1345" s="67"/>
      <c r="X1345" s="67"/>
      <c r="Y1345" s="67"/>
      <c r="Z1345" s="67"/>
      <c r="AA1345" s="67"/>
      <c r="AB1345" s="67"/>
      <c r="AC1345" s="67"/>
    </row>
    <row r="1346">
      <c r="A1346" s="66"/>
      <c r="B1346" s="67"/>
      <c r="C1346" s="67"/>
      <c r="D1346" s="68"/>
      <c r="E1346" s="68"/>
      <c r="F1346" s="68"/>
      <c r="G1346" s="68"/>
      <c r="H1346" s="68"/>
      <c r="I1346" s="69"/>
      <c r="J1346" s="67"/>
      <c r="K1346" s="67"/>
      <c r="L1346" s="67"/>
      <c r="M1346" s="67"/>
      <c r="N1346" s="67"/>
      <c r="O1346" s="67"/>
      <c r="P1346" s="67"/>
      <c r="Q1346" s="77"/>
      <c r="R1346" s="68"/>
      <c r="S1346" s="68"/>
      <c r="T1346" s="67"/>
      <c r="U1346" s="68"/>
      <c r="V1346" s="68"/>
      <c r="W1346" s="67"/>
      <c r="X1346" s="67"/>
      <c r="Y1346" s="67"/>
      <c r="Z1346" s="67"/>
      <c r="AA1346" s="67"/>
      <c r="AB1346" s="67"/>
      <c r="AC1346" s="67"/>
    </row>
    <row r="1347">
      <c r="A1347" s="66"/>
      <c r="B1347" s="67"/>
      <c r="C1347" s="67"/>
      <c r="D1347" s="68"/>
      <c r="E1347" s="68"/>
      <c r="F1347" s="68"/>
      <c r="G1347" s="68"/>
      <c r="H1347" s="68"/>
      <c r="I1347" s="69"/>
      <c r="J1347" s="67"/>
      <c r="K1347" s="67"/>
      <c r="L1347" s="67"/>
      <c r="M1347" s="67"/>
      <c r="N1347" s="67"/>
      <c r="O1347" s="67"/>
      <c r="P1347" s="67"/>
      <c r="Q1347" s="77"/>
      <c r="R1347" s="68"/>
      <c r="S1347" s="68"/>
      <c r="T1347" s="67"/>
      <c r="U1347" s="68"/>
      <c r="V1347" s="68"/>
      <c r="W1347" s="67"/>
      <c r="X1347" s="67"/>
      <c r="Y1347" s="67"/>
      <c r="Z1347" s="67"/>
      <c r="AA1347" s="67"/>
      <c r="AB1347" s="67"/>
      <c r="AC1347" s="67"/>
    </row>
    <row r="1348">
      <c r="A1348" s="66"/>
      <c r="B1348" s="67"/>
      <c r="C1348" s="67"/>
      <c r="D1348" s="68"/>
      <c r="E1348" s="68"/>
      <c r="F1348" s="68"/>
      <c r="G1348" s="68"/>
      <c r="H1348" s="68"/>
      <c r="I1348" s="69"/>
      <c r="J1348" s="67"/>
      <c r="K1348" s="67"/>
      <c r="L1348" s="67"/>
      <c r="M1348" s="67"/>
      <c r="N1348" s="67"/>
      <c r="O1348" s="67"/>
      <c r="P1348" s="67"/>
      <c r="Q1348" s="77"/>
      <c r="R1348" s="68"/>
      <c r="S1348" s="68"/>
      <c r="T1348" s="67"/>
      <c r="U1348" s="68"/>
      <c r="V1348" s="68"/>
      <c r="W1348" s="67"/>
      <c r="X1348" s="67"/>
      <c r="Y1348" s="67"/>
      <c r="Z1348" s="67"/>
      <c r="AA1348" s="67"/>
      <c r="AB1348" s="67"/>
      <c r="AC1348" s="67"/>
    </row>
    <row r="1349">
      <c r="A1349" s="66"/>
      <c r="B1349" s="67"/>
      <c r="C1349" s="67"/>
      <c r="D1349" s="68"/>
      <c r="E1349" s="68"/>
      <c r="F1349" s="68"/>
      <c r="G1349" s="68"/>
      <c r="H1349" s="68"/>
      <c r="I1349" s="69"/>
      <c r="J1349" s="67"/>
      <c r="K1349" s="67"/>
      <c r="L1349" s="67"/>
      <c r="M1349" s="67"/>
      <c r="N1349" s="67"/>
      <c r="O1349" s="67"/>
      <c r="P1349" s="67"/>
      <c r="Q1349" s="77"/>
      <c r="R1349" s="68"/>
      <c r="S1349" s="68"/>
      <c r="T1349" s="67"/>
      <c r="U1349" s="68"/>
      <c r="V1349" s="68"/>
      <c r="W1349" s="67"/>
      <c r="X1349" s="67"/>
      <c r="Y1349" s="67"/>
      <c r="Z1349" s="67"/>
      <c r="AA1349" s="67"/>
      <c r="AB1349" s="67"/>
      <c r="AC1349" s="67"/>
    </row>
    <row r="1350">
      <c r="A1350" s="66"/>
      <c r="B1350" s="67"/>
      <c r="C1350" s="67"/>
      <c r="D1350" s="68"/>
      <c r="E1350" s="68"/>
      <c r="F1350" s="68"/>
      <c r="G1350" s="68"/>
      <c r="H1350" s="68"/>
      <c r="I1350" s="69"/>
      <c r="J1350" s="67"/>
      <c r="K1350" s="67"/>
      <c r="L1350" s="67"/>
      <c r="M1350" s="67"/>
      <c r="N1350" s="67"/>
      <c r="O1350" s="67"/>
      <c r="P1350" s="67"/>
      <c r="Q1350" s="77"/>
      <c r="R1350" s="68"/>
      <c r="S1350" s="68"/>
      <c r="T1350" s="67"/>
      <c r="U1350" s="68"/>
      <c r="V1350" s="68"/>
      <c r="W1350" s="67"/>
      <c r="X1350" s="67"/>
      <c r="Y1350" s="67"/>
      <c r="Z1350" s="67"/>
      <c r="AA1350" s="67"/>
      <c r="AB1350" s="67"/>
      <c r="AC1350" s="67"/>
    </row>
    <row r="1351">
      <c r="A1351" s="66"/>
      <c r="B1351" s="67"/>
      <c r="C1351" s="67"/>
      <c r="D1351" s="68"/>
      <c r="E1351" s="68"/>
      <c r="F1351" s="68"/>
      <c r="G1351" s="68"/>
      <c r="H1351" s="68"/>
      <c r="I1351" s="69"/>
      <c r="J1351" s="67"/>
      <c r="K1351" s="67"/>
      <c r="L1351" s="67"/>
      <c r="M1351" s="67"/>
      <c r="N1351" s="67"/>
      <c r="O1351" s="67"/>
      <c r="P1351" s="67"/>
      <c r="Q1351" s="77"/>
      <c r="R1351" s="68"/>
      <c r="S1351" s="68"/>
      <c r="T1351" s="67"/>
      <c r="U1351" s="68"/>
      <c r="V1351" s="68"/>
      <c r="W1351" s="67"/>
      <c r="X1351" s="67"/>
      <c r="Y1351" s="67"/>
      <c r="Z1351" s="67"/>
      <c r="AA1351" s="67"/>
      <c r="AB1351" s="67"/>
      <c r="AC1351" s="67"/>
    </row>
    <row r="1352">
      <c r="A1352" s="66"/>
      <c r="B1352" s="67"/>
      <c r="C1352" s="67"/>
      <c r="D1352" s="68"/>
      <c r="E1352" s="68"/>
      <c r="F1352" s="68"/>
      <c r="G1352" s="68"/>
      <c r="H1352" s="68"/>
      <c r="I1352" s="69"/>
      <c r="J1352" s="67"/>
      <c r="K1352" s="67"/>
      <c r="L1352" s="67"/>
      <c r="M1352" s="67"/>
      <c r="N1352" s="67"/>
      <c r="O1352" s="67"/>
      <c r="P1352" s="67"/>
      <c r="Q1352" s="77"/>
      <c r="R1352" s="68"/>
      <c r="S1352" s="68"/>
      <c r="T1352" s="67"/>
      <c r="U1352" s="68"/>
      <c r="V1352" s="68"/>
      <c r="W1352" s="67"/>
      <c r="X1352" s="67"/>
      <c r="Y1352" s="67"/>
      <c r="Z1352" s="67"/>
      <c r="AA1352" s="67"/>
      <c r="AB1352" s="67"/>
      <c r="AC1352" s="67"/>
    </row>
    <row r="1353">
      <c r="A1353" s="66"/>
      <c r="B1353" s="67"/>
      <c r="C1353" s="67"/>
      <c r="D1353" s="68"/>
      <c r="E1353" s="68"/>
      <c r="F1353" s="68"/>
      <c r="G1353" s="68"/>
      <c r="H1353" s="68"/>
      <c r="I1353" s="69"/>
      <c r="J1353" s="67"/>
      <c r="K1353" s="67"/>
      <c r="L1353" s="67"/>
      <c r="M1353" s="67"/>
      <c r="N1353" s="67"/>
      <c r="O1353" s="67"/>
      <c r="P1353" s="67"/>
      <c r="Q1353" s="77"/>
      <c r="R1353" s="68"/>
      <c r="S1353" s="68"/>
      <c r="T1353" s="67"/>
      <c r="U1353" s="68"/>
      <c r="V1353" s="68"/>
      <c r="W1353" s="67"/>
      <c r="X1353" s="67"/>
      <c r="Y1353" s="67"/>
      <c r="Z1353" s="67"/>
      <c r="AA1353" s="67"/>
      <c r="AB1353" s="67"/>
      <c r="AC1353" s="67"/>
    </row>
    <row r="1354">
      <c r="A1354" s="66"/>
      <c r="B1354" s="67"/>
      <c r="C1354" s="67"/>
      <c r="D1354" s="68"/>
      <c r="E1354" s="68"/>
      <c r="F1354" s="68"/>
      <c r="G1354" s="68"/>
      <c r="H1354" s="68"/>
      <c r="I1354" s="69"/>
      <c r="J1354" s="67"/>
      <c r="K1354" s="67"/>
      <c r="L1354" s="67"/>
      <c r="M1354" s="67"/>
      <c r="N1354" s="67"/>
      <c r="O1354" s="67"/>
      <c r="P1354" s="67"/>
      <c r="Q1354" s="77"/>
      <c r="R1354" s="68"/>
      <c r="S1354" s="68"/>
      <c r="T1354" s="67"/>
      <c r="U1354" s="68"/>
      <c r="V1354" s="68"/>
      <c r="W1354" s="67"/>
      <c r="X1354" s="67"/>
      <c r="Y1354" s="67"/>
      <c r="Z1354" s="67"/>
      <c r="AA1354" s="67"/>
      <c r="AB1354" s="67"/>
      <c r="AC1354" s="67"/>
    </row>
    <row r="1355">
      <c r="A1355" s="66"/>
      <c r="B1355" s="67"/>
      <c r="C1355" s="67"/>
      <c r="D1355" s="68"/>
      <c r="E1355" s="68"/>
      <c r="F1355" s="68"/>
      <c r="G1355" s="68"/>
      <c r="H1355" s="68"/>
      <c r="I1355" s="69"/>
      <c r="J1355" s="67"/>
      <c r="K1355" s="67"/>
      <c r="L1355" s="67"/>
      <c r="M1355" s="67"/>
      <c r="N1355" s="67"/>
      <c r="O1355" s="67"/>
      <c r="P1355" s="67"/>
      <c r="Q1355" s="77"/>
      <c r="R1355" s="68"/>
      <c r="S1355" s="68"/>
      <c r="T1355" s="67"/>
      <c r="U1355" s="68"/>
      <c r="V1355" s="68"/>
      <c r="W1355" s="67"/>
      <c r="X1355" s="67"/>
      <c r="Y1355" s="67"/>
      <c r="Z1355" s="67"/>
      <c r="AA1355" s="67"/>
      <c r="AB1355" s="67"/>
      <c r="AC1355" s="67"/>
    </row>
    <row r="1356">
      <c r="A1356" s="66"/>
      <c r="B1356" s="67"/>
      <c r="C1356" s="67"/>
      <c r="D1356" s="68"/>
      <c r="E1356" s="68"/>
      <c r="F1356" s="68"/>
      <c r="G1356" s="68"/>
      <c r="H1356" s="68"/>
      <c r="I1356" s="69"/>
      <c r="J1356" s="67"/>
      <c r="K1356" s="67"/>
      <c r="L1356" s="67"/>
      <c r="M1356" s="67"/>
      <c r="N1356" s="67"/>
      <c r="O1356" s="67"/>
      <c r="P1356" s="67"/>
      <c r="Q1356" s="77"/>
      <c r="R1356" s="68"/>
      <c r="S1356" s="68"/>
      <c r="T1356" s="67"/>
      <c r="U1356" s="68"/>
      <c r="V1356" s="68"/>
      <c r="W1356" s="67"/>
      <c r="X1356" s="67"/>
      <c r="Y1356" s="67"/>
      <c r="Z1356" s="67"/>
      <c r="AA1356" s="67"/>
      <c r="AB1356" s="67"/>
      <c r="AC1356" s="67"/>
    </row>
    <row r="1357">
      <c r="A1357" s="66"/>
      <c r="B1357" s="67"/>
      <c r="C1357" s="67"/>
      <c r="D1357" s="68"/>
      <c r="E1357" s="68"/>
      <c r="F1357" s="68"/>
      <c r="G1357" s="68"/>
      <c r="H1357" s="68"/>
      <c r="I1357" s="69"/>
      <c r="J1357" s="67"/>
      <c r="K1357" s="67"/>
      <c r="L1357" s="67"/>
      <c r="M1357" s="67"/>
      <c r="N1357" s="67"/>
      <c r="O1357" s="67"/>
      <c r="P1357" s="67"/>
      <c r="Q1357" s="77"/>
      <c r="R1357" s="68"/>
      <c r="S1357" s="68"/>
      <c r="T1357" s="67"/>
      <c r="U1357" s="68"/>
      <c r="V1357" s="68"/>
      <c r="W1357" s="67"/>
      <c r="X1357" s="67"/>
      <c r="Y1357" s="67"/>
      <c r="Z1357" s="67"/>
      <c r="AA1357" s="67"/>
      <c r="AB1357" s="67"/>
      <c r="AC1357" s="67"/>
    </row>
    <row r="1358">
      <c r="A1358" s="66"/>
      <c r="B1358" s="67"/>
      <c r="C1358" s="67"/>
      <c r="D1358" s="68"/>
      <c r="E1358" s="68"/>
      <c r="F1358" s="68"/>
      <c r="G1358" s="68"/>
      <c r="H1358" s="68"/>
      <c r="I1358" s="69"/>
      <c r="J1358" s="67"/>
      <c r="K1358" s="67"/>
      <c r="L1358" s="67"/>
      <c r="M1358" s="67"/>
      <c r="N1358" s="67"/>
      <c r="O1358" s="67"/>
      <c r="P1358" s="67"/>
      <c r="Q1358" s="77"/>
      <c r="R1358" s="68"/>
      <c r="S1358" s="68"/>
      <c r="T1358" s="67"/>
      <c r="U1358" s="68"/>
      <c r="V1358" s="68"/>
      <c r="W1358" s="67"/>
      <c r="X1358" s="67"/>
      <c r="Y1358" s="67"/>
      <c r="Z1358" s="67"/>
      <c r="AA1358" s="67"/>
      <c r="AB1358" s="67"/>
      <c r="AC1358" s="67"/>
    </row>
    <row r="1359">
      <c r="A1359" s="66"/>
      <c r="B1359" s="67"/>
      <c r="C1359" s="67"/>
      <c r="D1359" s="68"/>
      <c r="E1359" s="68"/>
      <c r="F1359" s="68"/>
      <c r="G1359" s="68"/>
      <c r="H1359" s="68"/>
      <c r="I1359" s="69"/>
      <c r="J1359" s="67"/>
      <c r="K1359" s="67"/>
      <c r="L1359" s="67"/>
      <c r="M1359" s="67"/>
      <c r="N1359" s="67"/>
      <c r="O1359" s="67"/>
      <c r="P1359" s="67"/>
      <c r="Q1359" s="77"/>
      <c r="R1359" s="68"/>
      <c r="S1359" s="68"/>
      <c r="T1359" s="67"/>
      <c r="U1359" s="68"/>
      <c r="V1359" s="68"/>
      <c r="W1359" s="67"/>
      <c r="X1359" s="67"/>
      <c r="Y1359" s="67"/>
      <c r="Z1359" s="67"/>
      <c r="AA1359" s="67"/>
      <c r="AB1359" s="67"/>
      <c r="AC1359" s="67"/>
    </row>
    <row r="1360">
      <c r="A1360" s="66"/>
      <c r="B1360" s="67"/>
      <c r="C1360" s="67"/>
      <c r="D1360" s="68"/>
      <c r="E1360" s="68"/>
      <c r="F1360" s="68"/>
      <c r="G1360" s="68"/>
      <c r="H1360" s="68"/>
      <c r="I1360" s="69"/>
      <c r="J1360" s="67"/>
      <c r="K1360" s="67"/>
      <c r="L1360" s="67"/>
      <c r="M1360" s="67"/>
      <c r="N1360" s="67"/>
      <c r="O1360" s="67"/>
      <c r="P1360" s="67"/>
      <c r="Q1360" s="77"/>
      <c r="R1360" s="68"/>
      <c r="S1360" s="68"/>
      <c r="T1360" s="67"/>
      <c r="U1360" s="68"/>
      <c r="V1360" s="68"/>
      <c r="W1360" s="67"/>
      <c r="X1360" s="67"/>
      <c r="Y1360" s="67"/>
      <c r="Z1360" s="67"/>
      <c r="AA1360" s="67"/>
      <c r="AB1360" s="67"/>
      <c r="AC1360" s="67"/>
    </row>
    <row r="1361">
      <c r="A1361" s="66"/>
      <c r="B1361" s="67"/>
      <c r="C1361" s="67"/>
      <c r="D1361" s="68"/>
      <c r="E1361" s="68"/>
      <c r="F1361" s="68"/>
      <c r="G1361" s="68"/>
      <c r="H1361" s="68"/>
      <c r="I1361" s="69"/>
      <c r="J1361" s="67"/>
      <c r="K1361" s="67"/>
      <c r="L1361" s="67"/>
      <c r="M1361" s="67"/>
      <c r="N1361" s="67"/>
      <c r="O1361" s="67"/>
      <c r="P1361" s="67"/>
      <c r="Q1361" s="77"/>
      <c r="R1361" s="68"/>
      <c r="S1361" s="68"/>
      <c r="T1361" s="67"/>
      <c r="U1361" s="68"/>
      <c r="V1361" s="68"/>
      <c r="W1361" s="67"/>
      <c r="X1361" s="67"/>
      <c r="Y1361" s="67"/>
      <c r="Z1361" s="67"/>
      <c r="AA1361" s="67"/>
      <c r="AB1361" s="67"/>
      <c r="AC1361" s="67"/>
    </row>
    <row r="1362">
      <c r="A1362" s="66"/>
      <c r="B1362" s="67"/>
      <c r="C1362" s="67"/>
      <c r="D1362" s="68"/>
      <c r="E1362" s="68"/>
      <c r="F1362" s="68"/>
      <c r="G1362" s="68"/>
      <c r="H1362" s="68"/>
      <c r="I1362" s="69"/>
      <c r="J1362" s="67"/>
      <c r="K1362" s="67"/>
      <c r="L1362" s="67"/>
      <c r="M1362" s="67"/>
      <c r="N1362" s="67"/>
      <c r="O1362" s="67"/>
      <c r="P1362" s="67"/>
      <c r="Q1362" s="77"/>
      <c r="R1362" s="68"/>
      <c r="S1362" s="68"/>
      <c r="T1362" s="67"/>
      <c r="U1362" s="68"/>
      <c r="V1362" s="68"/>
      <c r="W1362" s="67"/>
      <c r="X1362" s="67"/>
      <c r="Y1362" s="67"/>
      <c r="Z1362" s="67"/>
      <c r="AA1362" s="67"/>
      <c r="AB1362" s="67"/>
      <c r="AC1362" s="67"/>
    </row>
    <row r="1363">
      <c r="A1363" s="66"/>
      <c r="B1363" s="67"/>
      <c r="C1363" s="67"/>
      <c r="D1363" s="68"/>
      <c r="E1363" s="68"/>
      <c r="F1363" s="68"/>
      <c r="G1363" s="68"/>
      <c r="H1363" s="68"/>
      <c r="I1363" s="69"/>
      <c r="J1363" s="67"/>
      <c r="K1363" s="67"/>
      <c r="L1363" s="67"/>
      <c r="M1363" s="67"/>
      <c r="N1363" s="67"/>
      <c r="O1363" s="67"/>
      <c r="P1363" s="67"/>
      <c r="Q1363" s="77"/>
      <c r="R1363" s="68"/>
      <c r="S1363" s="68"/>
      <c r="T1363" s="67"/>
      <c r="U1363" s="68"/>
      <c r="V1363" s="68"/>
      <c r="W1363" s="67"/>
      <c r="X1363" s="67"/>
      <c r="Y1363" s="67"/>
      <c r="Z1363" s="67"/>
      <c r="AA1363" s="67"/>
      <c r="AB1363" s="67"/>
      <c r="AC1363" s="67"/>
    </row>
    <row r="1364">
      <c r="A1364" s="66"/>
      <c r="B1364" s="67"/>
      <c r="C1364" s="67"/>
      <c r="D1364" s="68"/>
      <c r="E1364" s="68"/>
      <c r="F1364" s="68"/>
      <c r="G1364" s="68"/>
      <c r="H1364" s="68"/>
      <c r="I1364" s="69"/>
      <c r="J1364" s="67"/>
      <c r="K1364" s="67"/>
      <c r="L1364" s="67"/>
      <c r="M1364" s="67"/>
      <c r="N1364" s="67"/>
      <c r="O1364" s="67"/>
      <c r="P1364" s="67"/>
      <c r="Q1364" s="77"/>
      <c r="R1364" s="68"/>
      <c r="S1364" s="68"/>
      <c r="T1364" s="67"/>
      <c r="U1364" s="68"/>
      <c r="V1364" s="68"/>
      <c r="W1364" s="67"/>
      <c r="X1364" s="67"/>
      <c r="Y1364" s="67"/>
      <c r="Z1364" s="67"/>
      <c r="AA1364" s="67"/>
      <c r="AB1364" s="67"/>
      <c r="AC1364" s="67"/>
    </row>
    <row r="1365">
      <c r="A1365" s="66"/>
      <c r="B1365" s="67"/>
      <c r="C1365" s="67"/>
      <c r="D1365" s="68"/>
      <c r="E1365" s="68"/>
      <c r="F1365" s="68"/>
      <c r="G1365" s="68"/>
      <c r="H1365" s="68"/>
      <c r="I1365" s="69"/>
      <c r="J1365" s="67"/>
      <c r="K1365" s="67"/>
      <c r="L1365" s="67"/>
      <c r="M1365" s="67"/>
      <c r="N1365" s="67"/>
      <c r="O1365" s="67"/>
      <c r="P1365" s="67"/>
      <c r="Q1365" s="77"/>
      <c r="R1365" s="68"/>
      <c r="S1365" s="68"/>
      <c r="T1365" s="67"/>
      <c r="U1365" s="68"/>
      <c r="V1365" s="68"/>
      <c r="W1365" s="67"/>
      <c r="X1365" s="67"/>
      <c r="Y1365" s="67"/>
      <c r="Z1365" s="67"/>
      <c r="AA1365" s="67"/>
      <c r="AB1365" s="67"/>
      <c r="AC1365" s="67"/>
    </row>
    <row r="1366">
      <c r="A1366" s="66"/>
      <c r="B1366" s="67"/>
      <c r="C1366" s="67"/>
      <c r="D1366" s="68"/>
      <c r="E1366" s="68"/>
      <c r="F1366" s="68"/>
      <c r="G1366" s="68"/>
      <c r="H1366" s="68"/>
      <c r="I1366" s="69"/>
      <c r="J1366" s="67"/>
      <c r="K1366" s="67"/>
      <c r="L1366" s="67"/>
      <c r="M1366" s="67"/>
      <c r="N1366" s="67"/>
      <c r="O1366" s="67"/>
      <c r="P1366" s="67"/>
      <c r="Q1366" s="77"/>
      <c r="R1366" s="68"/>
      <c r="S1366" s="68"/>
      <c r="T1366" s="67"/>
      <c r="U1366" s="68"/>
      <c r="V1366" s="68"/>
      <c r="W1366" s="67"/>
      <c r="X1366" s="67"/>
      <c r="Y1366" s="67"/>
      <c r="Z1366" s="67"/>
      <c r="AA1366" s="67"/>
      <c r="AB1366" s="67"/>
      <c r="AC1366" s="67"/>
    </row>
    <row r="1367">
      <c r="A1367" s="66"/>
      <c r="B1367" s="67"/>
      <c r="C1367" s="67"/>
      <c r="D1367" s="68"/>
      <c r="E1367" s="68"/>
      <c r="F1367" s="68"/>
      <c r="G1367" s="68"/>
      <c r="H1367" s="68"/>
      <c r="I1367" s="69"/>
      <c r="J1367" s="67"/>
      <c r="K1367" s="67"/>
      <c r="L1367" s="67"/>
      <c r="M1367" s="67"/>
      <c r="N1367" s="67"/>
      <c r="O1367" s="67"/>
      <c r="P1367" s="67"/>
      <c r="Q1367" s="77"/>
      <c r="R1367" s="68"/>
      <c r="S1367" s="68"/>
      <c r="T1367" s="67"/>
      <c r="U1367" s="68"/>
      <c r="V1367" s="68"/>
      <c r="W1367" s="67"/>
      <c r="X1367" s="67"/>
      <c r="Y1367" s="67"/>
      <c r="Z1367" s="67"/>
      <c r="AA1367" s="67"/>
      <c r="AB1367" s="67"/>
      <c r="AC1367" s="67"/>
    </row>
    <row r="1368">
      <c r="A1368" s="66"/>
      <c r="B1368" s="67"/>
      <c r="C1368" s="67"/>
      <c r="D1368" s="68"/>
      <c r="E1368" s="68"/>
      <c r="F1368" s="68"/>
      <c r="G1368" s="68"/>
      <c r="H1368" s="68"/>
      <c r="I1368" s="69"/>
      <c r="J1368" s="67"/>
      <c r="K1368" s="67"/>
      <c r="L1368" s="67"/>
      <c r="M1368" s="67"/>
      <c r="N1368" s="67"/>
      <c r="O1368" s="67"/>
      <c r="P1368" s="67"/>
      <c r="Q1368" s="77"/>
      <c r="R1368" s="68"/>
      <c r="S1368" s="68"/>
      <c r="T1368" s="67"/>
      <c r="U1368" s="68"/>
      <c r="V1368" s="68"/>
      <c r="W1368" s="67"/>
      <c r="X1368" s="67"/>
      <c r="Y1368" s="67"/>
      <c r="Z1368" s="67"/>
      <c r="AA1368" s="67"/>
      <c r="AB1368" s="67"/>
      <c r="AC1368" s="67"/>
    </row>
    <row r="1369">
      <c r="A1369" s="66"/>
      <c r="B1369" s="67"/>
      <c r="C1369" s="67"/>
      <c r="D1369" s="68"/>
      <c r="E1369" s="68"/>
      <c r="F1369" s="68"/>
      <c r="G1369" s="68"/>
      <c r="H1369" s="68"/>
      <c r="I1369" s="69"/>
      <c r="J1369" s="67"/>
      <c r="K1369" s="67"/>
      <c r="L1369" s="67"/>
      <c r="M1369" s="67"/>
      <c r="N1369" s="67"/>
      <c r="O1369" s="67"/>
      <c r="P1369" s="67"/>
      <c r="Q1369" s="77"/>
      <c r="R1369" s="68"/>
      <c r="S1369" s="68"/>
      <c r="T1369" s="67"/>
      <c r="U1369" s="68"/>
      <c r="V1369" s="68"/>
      <c r="W1369" s="67"/>
      <c r="X1369" s="67"/>
      <c r="Y1369" s="67"/>
      <c r="Z1369" s="67"/>
      <c r="AA1369" s="67"/>
      <c r="AB1369" s="67"/>
      <c r="AC1369" s="67"/>
    </row>
    <row r="1370">
      <c r="A1370" s="66"/>
      <c r="B1370" s="67"/>
      <c r="C1370" s="67"/>
      <c r="D1370" s="68"/>
      <c r="E1370" s="68"/>
      <c r="F1370" s="68"/>
      <c r="G1370" s="68"/>
      <c r="H1370" s="68"/>
      <c r="I1370" s="69"/>
      <c r="J1370" s="67"/>
      <c r="K1370" s="67"/>
      <c r="L1370" s="67"/>
      <c r="M1370" s="67"/>
      <c r="N1370" s="67"/>
      <c r="O1370" s="67"/>
      <c r="P1370" s="67"/>
      <c r="Q1370" s="77"/>
      <c r="R1370" s="68"/>
      <c r="S1370" s="68"/>
      <c r="T1370" s="67"/>
      <c r="U1370" s="68"/>
      <c r="V1370" s="68"/>
      <c r="W1370" s="67"/>
      <c r="X1370" s="67"/>
      <c r="Y1370" s="67"/>
      <c r="Z1370" s="67"/>
      <c r="AA1370" s="67"/>
      <c r="AB1370" s="67"/>
      <c r="AC1370" s="67"/>
    </row>
    <row r="1371">
      <c r="A1371" s="66"/>
      <c r="B1371" s="67"/>
      <c r="C1371" s="67"/>
      <c r="D1371" s="68"/>
      <c r="E1371" s="68"/>
      <c r="F1371" s="68"/>
      <c r="G1371" s="68"/>
      <c r="H1371" s="68"/>
      <c r="I1371" s="69"/>
      <c r="J1371" s="67"/>
      <c r="K1371" s="67"/>
      <c r="L1371" s="67"/>
      <c r="M1371" s="67"/>
      <c r="N1371" s="67"/>
      <c r="O1371" s="67"/>
      <c r="P1371" s="67"/>
      <c r="Q1371" s="77"/>
      <c r="R1371" s="68"/>
      <c r="S1371" s="68"/>
      <c r="T1371" s="67"/>
      <c r="U1371" s="68"/>
      <c r="V1371" s="68"/>
      <c r="W1371" s="67"/>
      <c r="X1371" s="67"/>
      <c r="Y1371" s="67"/>
      <c r="Z1371" s="67"/>
      <c r="AA1371" s="67"/>
      <c r="AB1371" s="67"/>
      <c r="AC1371" s="67"/>
    </row>
    <row r="1372">
      <c r="A1372" s="66"/>
      <c r="B1372" s="67"/>
      <c r="C1372" s="67"/>
      <c r="D1372" s="68"/>
      <c r="E1372" s="68"/>
      <c r="F1372" s="68"/>
      <c r="G1372" s="68"/>
      <c r="H1372" s="68"/>
      <c r="I1372" s="69"/>
      <c r="J1372" s="67"/>
      <c r="K1372" s="67"/>
      <c r="L1372" s="67"/>
      <c r="M1372" s="67"/>
      <c r="N1372" s="67"/>
      <c r="O1372" s="67"/>
      <c r="P1372" s="67"/>
      <c r="Q1372" s="77"/>
      <c r="R1372" s="68"/>
      <c r="S1372" s="68"/>
      <c r="T1372" s="67"/>
      <c r="U1372" s="68"/>
      <c r="V1372" s="68"/>
      <c r="W1372" s="67"/>
      <c r="X1372" s="67"/>
      <c r="Y1372" s="67"/>
      <c r="Z1372" s="67"/>
      <c r="AA1372" s="67"/>
      <c r="AB1372" s="67"/>
      <c r="AC1372" s="67"/>
    </row>
    <row r="1373">
      <c r="A1373" s="66"/>
      <c r="B1373" s="67"/>
      <c r="C1373" s="67"/>
      <c r="D1373" s="68"/>
      <c r="E1373" s="68"/>
      <c r="F1373" s="68"/>
      <c r="G1373" s="68"/>
      <c r="H1373" s="68"/>
      <c r="I1373" s="69"/>
      <c r="J1373" s="67"/>
      <c r="K1373" s="67"/>
      <c r="L1373" s="67"/>
      <c r="M1373" s="67"/>
      <c r="N1373" s="67"/>
      <c r="O1373" s="67"/>
      <c r="P1373" s="67"/>
      <c r="Q1373" s="77"/>
      <c r="R1373" s="68"/>
      <c r="S1373" s="68"/>
      <c r="T1373" s="67"/>
      <c r="U1373" s="68"/>
      <c r="V1373" s="68"/>
      <c r="W1373" s="67"/>
      <c r="X1373" s="67"/>
      <c r="Y1373" s="67"/>
      <c r="Z1373" s="67"/>
      <c r="AA1373" s="67"/>
      <c r="AB1373" s="67"/>
      <c r="AC1373" s="67"/>
    </row>
    <row r="1374">
      <c r="A1374" s="66"/>
      <c r="B1374" s="67"/>
      <c r="C1374" s="67"/>
      <c r="D1374" s="68"/>
      <c r="E1374" s="68"/>
      <c r="F1374" s="68"/>
      <c r="G1374" s="68"/>
      <c r="H1374" s="68"/>
      <c r="I1374" s="69"/>
      <c r="J1374" s="67"/>
      <c r="K1374" s="67"/>
      <c r="L1374" s="67"/>
      <c r="M1374" s="67"/>
      <c r="N1374" s="67"/>
      <c r="O1374" s="67"/>
      <c r="P1374" s="67"/>
      <c r="Q1374" s="77"/>
      <c r="R1374" s="68"/>
      <c r="S1374" s="68"/>
      <c r="T1374" s="67"/>
      <c r="U1374" s="68"/>
      <c r="V1374" s="68"/>
      <c r="W1374" s="67"/>
      <c r="X1374" s="67"/>
      <c r="Y1374" s="67"/>
      <c r="Z1374" s="67"/>
      <c r="AA1374" s="67"/>
      <c r="AB1374" s="67"/>
      <c r="AC1374" s="67"/>
    </row>
    <row r="1375">
      <c r="A1375" s="66"/>
      <c r="B1375" s="67"/>
      <c r="C1375" s="67"/>
      <c r="D1375" s="68"/>
      <c r="E1375" s="68"/>
      <c r="F1375" s="68"/>
      <c r="G1375" s="68"/>
      <c r="H1375" s="68"/>
      <c r="I1375" s="69"/>
      <c r="J1375" s="67"/>
      <c r="K1375" s="67"/>
      <c r="L1375" s="67"/>
      <c r="M1375" s="67"/>
      <c r="N1375" s="67"/>
      <c r="O1375" s="67"/>
      <c r="P1375" s="67"/>
      <c r="Q1375" s="77"/>
      <c r="R1375" s="68"/>
      <c r="S1375" s="68"/>
      <c r="T1375" s="67"/>
      <c r="U1375" s="68"/>
      <c r="V1375" s="68"/>
      <c r="W1375" s="67"/>
      <c r="X1375" s="67"/>
      <c r="Y1375" s="67"/>
      <c r="Z1375" s="67"/>
      <c r="AA1375" s="67"/>
      <c r="AB1375" s="67"/>
      <c r="AC1375" s="67"/>
    </row>
    <row r="1376">
      <c r="A1376" s="66"/>
      <c r="B1376" s="67"/>
      <c r="C1376" s="67"/>
      <c r="D1376" s="68"/>
      <c r="E1376" s="68"/>
      <c r="F1376" s="68"/>
      <c r="G1376" s="68"/>
      <c r="H1376" s="68"/>
      <c r="I1376" s="69"/>
      <c r="J1376" s="67"/>
      <c r="K1376" s="67"/>
      <c r="L1376" s="67"/>
      <c r="M1376" s="67"/>
      <c r="N1376" s="67"/>
      <c r="O1376" s="67"/>
      <c r="P1376" s="67"/>
      <c r="Q1376" s="77"/>
      <c r="R1376" s="68"/>
      <c r="S1376" s="68"/>
      <c r="T1376" s="67"/>
      <c r="U1376" s="68"/>
      <c r="V1376" s="68"/>
      <c r="W1376" s="67"/>
      <c r="X1376" s="67"/>
      <c r="Y1376" s="67"/>
      <c r="Z1376" s="67"/>
      <c r="AA1376" s="67"/>
      <c r="AB1376" s="67"/>
      <c r="AC1376" s="67"/>
    </row>
    <row r="1377">
      <c r="A1377" s="66"/>
      <c r="B1377" s="67"/>
      <c r="C1377" s="67"/>
      <c r="D1377" s="68"/>
      <c r="E1377" s="68"/>
      <c r="F1377" s="68"/>
      <c r="G1377" s="68"/>
      <c r="H1377" s="68"/>
      <c r="I1377" s="69"/>
      <c r="J1377" s="67"/>
      <c r="K1377" s="67"/>
      <c r="L1377" s="67"/>
      <c r="M1377" s="67"/>
      <c r="N1377" s="67"/>
      <c r="O1377" s="67"/>
      <c r="P1377" s="67"/>
      <c r="Q1377" s="77"/>
      <c r="R1377" s="68"/>
      <c r="S1377" s="68"/>
      <c r="T1377" s="67"/>
      <c r="U1377" s="68"/>
      <c r="V1377" s="68"/>
      <c r="W1377" s="67"/>
      <c r="X1377" s="67"/>
      <c r="Y1377" s="67"/>
      <c r="Z1377" s="67"/>
      <c r="AA1377" s="67"/>
      <c r="AB1377" s="67"/>
      <c r="AC1377" s="67"/>
    </row>
    <row r="1378">
      <c r="A1378" s="66"/>
      <c r="B1378" s="67"/>
      <c r="C1378" s="67"/>
      <c r="D1378" s="68"/>
      <c r="E1378" s="68"/>
      <c r="F1378" s="68"/>
      <c r="G1378" s="68"/>
      <c r="H1378" s="68"/>
      <c r="I1378" s="69"/>
      <c r="J1378" s="67"/>
      <c r="K1378" s="67"/>
      <c r="L1378" s="67"/>
      <c r="M1378" s="67"/>
      <c r="N1378" s="67"/>
      <c r="O1378" s="67"/>
      <c r="P1378" s="67"/>
      <c r="Q1378" s="77"/>
      <c r="R1378" s="68"/>
      <c r="S1378" s="68"/>
      <c r="T1378" s="67"/>
      <c r="U1378" s="68"/>
      <c r="V1378" s="68"/>
      <c r="W1378" s="67"/>
      <c r="X1378" s="67"/>
      <c r="Y1378" s="67"/>
      <c r="Z1378" s="67"/>
      <c r="AA1378" s="67"/>
      <c r="AB1378" s="67"/>
      <c r="AC1378" s="67"/>
    </row>
    <row r="1379">
      <c r="A1379" s="66"/>
      <c r="B1379" s="67"/>
      <c r="C1379" s="67"/>
      <c r="D1379" s="68"/>
      <c r="E1379" s="68"/>
      <c r="F1379" s="68"/>
      <c r="G1379" s="68"/>
      <c r="H1379" s="68"/>
      <c r="I1379" s="69"/>
      <c r="J1379" s="67"/>
      <c r="K1379" s="67"/>
      <c r="L1379" s="67"/>
      <c r="M1379" s="67"/>
      <c r="N1379" s="67"/>
      <c r="O1379" s="67"/>
      <c r="P1379" s="67"/>
      <c r="Q1379" s="77"/>
      <c r="R1379" s="68"/>
      <c r="S1379" s="68"/>
      <c r="T1379" s="67"/>
      <c r="U1379" s="68"/>
      <c r="V1379" s="68"/>
      <c r="W1379" s="67"/>
      <c r="X1379" s="67"/>
      <c r="Y1379" s="67"/>
      <c r="Z1379" s="67"/>
      <c r="AA1379" s="67"/>
      <c r="AB1379" s="67"/>
      <c r="AC1379" s="67"/>
    </row>
    <row r="1380">
      <c r="A1380" s="66"/>
      <c r="B1380" s="67"/>
      <c r="C1380" s="67"/>
      <c r="D1380" s="68"/>
      <c r="E1380" s="68"/>
      <c r="F1380" s="68"/>
      <c r="G1380" s="68"/>
      <c r="H1380" s="68"/>
      <c r="I1380" s="69"/>
      <c r="J1380" s="67"/>
      <c r="K1380" s="67"/>
      <c r="L1380" s="67"/>
      <c r="M1380" s="67"/>
      <c r="N1380" s="67"/>
      <c r="O1380" s="67"/>
      <c r="P1380" s="67"/>
      <c r="Q1380" s="77"/>
      <c r="R1380" s="68"/>
      <c r="S1380" s="68"/>
      <c r="T1380" s="67"/>
      <c r="U1380" s="68"/>
      <c r="V1380" s="68"/>
      <c r="W1380" s="67"/>
      <c r="X1380" s="67"/>
      <c r="Y1380" s="67"/>
      <c r="Z1380" s="67"/>
      <c r="AA1380" s="67"/>
      <c r="AB1380" s="67"/>
      <c r="AC1380" s="67"/>
    </row>
    <row r="1381">
      <c r="A1381" s="66"/>
      <c r="B1381" s="67"/>
      <c r="C1381" s="67"/>
      <c r="D1381" s="68"/>
      <c r="E1381" s="68"/>
      <c r="F1381" s="68"/>
      <c r="G1381" s="68"/>
      <c r="H1381" s="68"/>
      <c r="I1381" s="69"/>
      <c r="J1381" s="67"/>
      <c r="K1381" s="67"/>
      <c r="L1381" s="67"/>
      <c r="M1381" s="67"/>
      <c r="N1381" s="67"/>
      <c r="O1381" s="67"/>
      <c r="P1381" s="67"/>
      <c r="Q1381" s="77"/>
      <c r="R1381" s="68"/>
      <c r="S1381" s="68"/>
      <c r="T1381" s="67"/>
      <c r="U1381" s="68"/>
      <c r="V1381" s="68"/>
      <c r="W1381" s="67"/>
      <c r="X1381" s="67"/>
      <c r="Y1381" s="67"/>
      <c r="Z1381" s="67"/>
      <c r="AA1381" s="67"/>
      <c r="AB1381" s="67"/>
      <c r="AC1381" s="67"/>
    </row>
    <row r="1382">
      <c r="A1382" s="66"/>
      <c r="B1382" s="67"/>
      <c r="C1382" s="67"/>
      <c r="D1382" s="68"/>
      <c r="E1382" s="68"/>
      <c r="F1382" s="68"/>
      <c r="G1382" s="68"/>
      <c r="H1382" s="68"/>
      <c r="I1382" s="69"/>
      <c r="J1382" s="67"/>
      <c r="K1382" s="67"/>
      <c r="L1382" s="67"/>
      <c r="M1382" s="67"/>
      <c r="N1382" s="67"/>
      <c r="O1382" s="67"/>
      <c r="P1382" s="67"/>
      <c r="Q1382" s="77"/>
      <c r="R1382" s="68"/>
      <c r="S1382" s="68"/>
      <c r="T1382" s="67"/>
      <c r="U1382" s="68"/>
      <c r="V1382" s="68"/>
      <c r="W1382" s="67"/>
      <c r="X1382" s="67"/>
      <c r="Y1382" s="67"/>
      <c r="Z1382" s="67"/>
      <c r="AA1382" s="67"/>
      <c r="AB1382" s="67"/>
      <c r="AC1382" s="67"/>
    </row>
    <row r="1383">
      <c r="A1383" s="66"/>
      <c r="B1383" s="67"/>
      <c r="C1383" s="67"/>
      <c r="D1383" s="68"/>
      <c r="E1383" s="68"/>
      <c r="F1383" s="68"/>
      <c r="G1383" s="68"/>
      <c r="H1383" s="68"/>
      <c r="I1383" s="69"/>
      <c r="J1383" s="67"/>
      <c r="K1383" s="67"/>
      <c r="L1383" s="67"/>
      <c r="M1383" s="67"/>
      <c r="N1383" s="67"/>
      <c r="O1383" s="67"/>
      <c r="P1383" s="67"/>
      <c r="Q1383" s="77"/>
      <c r="R1383" s="68"/>
      <c r="S1383" s="68"/>
      <c r="T1383" s="67"/>
      <c r="U1383" s="68"/>
      <c r="V1383" s="68"/>
      <c r="W1383" s="67"/>
      <c r="X1383" s="67"/>
      <c r="Y1383" s="67"/>
      <c r="Z1383" s="67"/>
      <c r="AA1383" s="67"/>
      <c r="AB1383" s="67"/>
      <c r="AC1383" s="67"/>
    </row>
    <row r="1384">
      <c r="A1384" s="66"/>
      <c r="B1384" s="67"/>
      <c r="C1384" s="67"/>
      <c r="D1384" s="68"/>
      <c r="E1384" s="68"/>
      <c r="F1384" s="68"/>
      <c r="G1384" s="68"/>
      <c r="H1384" s="68"/>
      <c r="I1384" s="69"/>
      <c r="J1384" s="67"/>
      <c r="K1384" s="67"/>
      <c r="L1384" s="67"/>
      <c r="M1384" s="67"/>
      <c r="N1384" s="67"/>
      <c r="O1384" s="67"/>
      <c r="P1384" s="67"/>
      <c r="Q1384" s="77"/>
      <c r="R1384" s="68"/>
      <c r="S1384" s="68"/>
      <c r="T1384" s="67"/>
      <c r="U1384" s="68"/>
      <c r="V1384" s="68"/>
      <c r="W1384" s="67"/>
      <c r="X1384" s="67"/>
      <c r="Y1384" s="67"/>
      <c r="Z1384" s="67"/>
      <c r="AA1384" s="67"/>
      <c r="AB1384" s="67"/>
      <c r="AC1384" s="67"/>
    </row>
    <row r="1385">
      <c r="A1385" s="66"/>
      <c r="B1385" s="67"/>
      <c r="C1385" s="67"/>
      <c r="D1385" s="68"/>
      <c r="E1385" s="68"/>
      <c r="F1385" s="68"/>
      <c r="G1385" s="68"/>
      <c r="H1385" s="68"/>
      <c r="I1385" s="69"/>
      <c r="J1385" s="67"/>
      <c r="K1385" s="67"/>
      <c r="L1385" s="67"/>
      <c r="M1385" s="67"/>
      <c r="N1385" s="67"/>
      <c r="O1385" s="67"/>
      <c r="P1385" s="67"/>
      <c r="Q1385" s="77"/>
      <c r="R1385" s="68"/>
      <c r="S1385" s="68"/>
      <c r="T1385" s="67"/>
      <c r="U1385" s="68"/>
      <c r="V1385" s="68"/>
      <c r="W1385" s="67"/>
      <c r="X1385" s="67"/>
      <c r="Y1385" s="67"/>
      <c r="Z1385" s="67"/>
      <c r="AA1385" s="67"/>
      <c r="AB1385" s="67"/>
      <c r="AC1385" s="67"/>
    </row>
    <row r="1386">
      <c r="A1386" s="66"/>
      <c r="B1386" s="67"/>
      <c r="C1386" s="67"/>
      <c r="D1386" s="68"/>
      <c r="E1386" s="68"/>
      <c r="F1386" s="68"/>
      <c r="G1386" s="68"/>
      <c r="H1386" s="68"/>
      <c r="I1386" s="69"/>
      <c r="J1386" s="67"/>
      <c r="K1386" s="67"/>
      <c r="L1386" s="67"/>
      <c r="M1386" s="67"/>
      <c r="N1386" s="67"/>
      <c r="O1386" s="67"/>
      <c r="P1386" s="67"/>
      <c r="Q1386" s="77"/>
      <c r="R1386" s="68"/>
      <c r="S1386" s="68"/>
      <c r="T1386" s="67"/>
      <c r="U1386" s="68"/>
      <c r="V1386" s="68"/>
      <c r="W1386" s="67"/>
      <c r="X1386" s="67"/>
      <c r="Y1386" s="67"/>
      <c r="Z1386" s="67"/>
      <c r="AA1386" s="67"/>
      <c r="AB1386" s="67"/>
      <c r="AC1386" s="67"/>
    </row>
    <row r="1387">
      <c r="A1387" s="66"/>
      <c r="B1387" s="67"/>
      <c r="C1387" s="67"/>
      <c r="D1387" s="68"/>
      <c r="E1387" s="68"/>
      <c r="F1387" s="68"/>
      <c r="G1387" s="68"/>
      <c r="H1387" s="68"/>
      <c r="I1387" s="69"/>
      <c r="J1387" s="67"/>
      <c r="K1387" s="67"/>
      <c r="L1387" s="67"/>
      <c r="M1387" s="67"/>
      <c r="N1387" s="67"/>
      <c r="O1387" s="67"/>
      <c r="P1387" s="67"/>
      <c r="Q1387" s="77"/>
      <c r="R1387" s="68"/>
      <c r="S1387" s="68"/>
      <c r="T1387" s="67"/>
      <c r="U1387" s="68"/>
      <c r="V1387" s="68"/>
      <c r="W1387" s="67"/>
      <c r="X1387" s="67"/>
      <c r="Y1387" s="67"/>
      <c r="Z1387" s="67"/>
      <c r="AA1387" s="67"/>
      <c r="AB1387" s="67"/>
      <c r="AC1387" s="67"/>
    </row>
    <row r="1388">
      <c r="A1388" s="66"/>
      <c r="B1388" s="67"/>
      <c r="C1388" s="67"/>
      <c r="D1388" s="68"/>
      <c r="E1388" s="68"/>
      <c r="F1388" s="68"/>
      <c r="G1388" s="68"/>
      <c r="H1388" s="68"/>
      <c r="I1388" s="69"/>
      <c r="J1388" s="67"/>
      <c r="K1388" s="67"/>
      <c r="L1388" s="67"/>
      <c r="M1388" s="67"/>
      <c r="N1388" s="67"/>
      <c r="O1388" s="67"/>
      <c r="P1388" s="67"/>
      <c r="Q1388" s="77"/>
      <c r="R1388" s="68"/>
      <c r="S1388" s="68"/>
      <c r="T1388" s="67"/>
      <c r="U1388" s="68"/>
      <c r="V1388" s="68"/>
      <c r="W1388" s="67"/>
      <c r="X1388" s="67"/>
      <c r="Y1388" s="67"/>
      <c r="Z1388" s="67"/>
      <c r="AA1388" s="67"/>
      <c r="AB1388" s="67"/>
      <c r="AC1388" s="67"/>
    </row>
    <row r="1389">
      <c r="A1389" s="66"/>
      <c r="B1389" s="67"/>
      <c r="C1389" s="67"/>
      <c r="D1389" s="68"/>
      <c r="E1389" s="68"/>
      <c r="F1389" s="68"/>
      <c r="G1389" s="68"/>
      <c r="H1389" s="68"/>
      <c r="I1389" s="69"/>
      <c r="J1389" s="67"/>
      <c r="K1389" s="67"/>
      <c r="L1389" s="67"/>
      <c r="M1389" s="67"/>
      <c r="N1389" s="67"/>
      <c r="O1389" s="67"/>
      <c r="P1389" s="67"/>
      <c r="Q1389" s="77"/>
      <c r="R1389" s="68"/>
      <c r="S1389" s="68"/>
      <c r="T1389" s="67"/>
      <c r="U1389" s="68"/>
      <c r="V1389" s="68"/>
      <c r="W1389" s="67"/>
      <c r="X1389" s="67"/>
      <c r="Y1389" s="67"/>
      <c r="Z1389" s="67"/>
      <c r="AA1389" s="67"/>
      <c r="AB1389" s="67"/>
      <c r="AC1389" s="67"/>
    </row>
    <row r="1390">
      <c r="A1390" s="66"/>
      <c r="B1390" s="67"/>
      <c r="C1390" s="67"/>
      <c r="D1390" s="68"/>
      <c r="E1390" s="68"/>
      <c r="F1390" s="68"/>
      <c r="G1390" s="68"/>
      <c r="H1390" s="68"/>
      <c r="I1390" s="69"/>
      <c r="J1390" s="67"/>
      <c r="K1390" s="67"/>
      <c r="L1390" s="67"/>
      <c r="M1390" s="67"/>
      <c r="N1390" s="67"/>
      <c r="O1390" s="67"/>
      <c r="P1390" s="67"/>
      <c r="Q1390" s="77"/>
      <c r="R1390" s="68"/>
      <c r="S1390" s="68"/>
      <c r="T1390" s="67"/>
      <c r="U1390" s="68"/>
      <c r="V1390" s="68"/>
      <c r="W1390" s="67"/>
      <c r="X1390" s="67"/>
      <c r="Y1390" s="67"/>
      <c r="Z1390" s="67"/>
      <c r="AA1390" s="67"/>
      <c r="AB1390" s="67"/>
      <c r="AC1390" s="67"/>
    </row>
    <row r="1391">
      <c r="A1391" s="66"/>
      <c r="B1391" s="67"/>
      <c r="C1391" s="67"/>
      <c r="D1391" s="68"/>
      <c r="E1391" s="68"/>
      <c r="F1391" s="68"/>
      <c r="G1391" s="68"/>
      <c r="H1391" s="68"/>
      <c r="I1391" s="69"/>
      <c r="J1391" s="67"/>
      <c r="K1391" s="67"/>
      <c r="L1391" s="67"/>
      <c r="M1391" s="67"/>
      <c r="N1391" s="67"/>
      <c r="O1391" s="67"/>
      <c r="P1391" s="67"/>
      <c r="Q1391" s="77"/>
      <c r="R1391" s="68"/>
      <c r="S1391" s="68"/>
      <c r="T1391" s="67"/>
      <c r="U1391" s="68"/>
      <c r="V1391" s="68"/>
      <c r="W1391" s="67"/>
      <c r="X1391" s="67"/>
      <c r="Y1391" s="67"/>
      <c r="Z1391" s="67"/>
      <c r="AA1391" s="67"/>
      <c r="AB1391" s="67"/>
      <c r="AC1391" s="67"/>
    </row>
    <row r="1392">
      <c r="A1392" s="66"/>
      <c r="B1392" s="67"/>
      <c r="C1392" s="67"/>
      <c r="D1392" s="68"/>
      <c r="E1392" s="68"/>
      <c r="F1392" s="68"/>
      <c r="G1392" s="68"/>
      <c r="H1392" s="68"/>
      <c r="I1392" s="69"/>
      <c r="J1392" s="67"/>
      <c r="K1392" s="67"/>
      <c r="L1392" s="67"/>
      <c r="M1392" s="67"/>
      <c r="N1392" s="67"/>
      <c r="O1392" s="67"/>
      <c r="P1392" s="67"/>
      <c r="Q1392" s="77"/>
      <c r="R1392" s="68"/>
      <c r="S1392" s="68"/>
      <c r="T1392" s="67"/>
      <c r="U1392" s="68"/>
      <c r="V1392" s="68"/>
      <c r="W1392" s="67"/>
      <c r="X1392" s="67"/>
      <c r="Y1392" s="67"/>
      <c r="Z1392" s="67"/>
      <c r="AA1392" s="67"/>
      <c r="AB1392" s="67"/>
      <c r="AC1392" s="67"/>
    </row>
    <row r="1393">
      <c r="A1393" s="66"/>
      <c r="B1393" s="67"/>
      <c r="C1393" s="67"/>
      <c r="D1393" s="68"/>
      <c r="E1393" s="68"/>
      <c r="F1393" s="68"/>
      <c r="G1393" s="68"/>
      <c r="H1393" s="68"/>
      <c r="I1393" s="69"/>
      <c r="J1393" s="67"/>
      <c r="K1393" s="67"/>
      <c r="L1393" s="67"/>
      <c r="M1393" s="67"/>
      <c r="N1393" s="67"/>
      <c r="O1393" s="67"/>
      <c r="P1393" s="67"/>
      <c r="Q1393" s="77"/>
      <c r="R1393" s="68"/>
      <c r="S1393" s="68"/>
      <c r="T1393" s="67"/>
      <c r="U1393" s="68"/>
      <c r="V1393" s="68"/>
      <c r="W1393" s="67"/>
      <c r="X1393" s="67"/>
      <c r="Y1393" s="67"/>
      <c r="Z1393" s="67"/>
      <c r="AA1393" s="67"/>
      <c r="AB1393" s="67"/>
      <c r="AC1393" s="67"/>
    </row>
    <row r="1394">
      <c r="A1394" s="66"/>
      <c r="B1394" s="67"/>
      <c r="C1394" s="67"/>
      <c r="D1394" s="68"/>
      <c r="E1394" s="68"/>
      <c r="F1394" s="68"/>
      <c r="G1394" s="68"/>
      <c r="H1394" s="68"/>
      <c r="I1394" s="69"/>
      <c r="J1394" s="67"/>
      <c r="K1394" s="67"/>
      <c r="L1394" s="67"/>
      <c r="M1394" s="67"/>
      <c r="N1394" s="67"/>
      <c r="O1394" s="67"/>
      <c r="P1394" s="67"/>
      <c r="Q1394" s="77"/>
      <c r="R1394" s="68"/>
      <c r="S1394" s="68"/>
      <c r="T1394" s="67"/>
      <c r="U1394" s="68"/>
      <c r="V1394" s="68"/>
      <c r="W1394" s="67"/>
      <c r="X1394" s="67"/>
      <c r="Y1394" s="67"/>
      <c r="Z1394" s="67"/>
      <c r="AA1394" s="67"/>
      <c r="AB1394" s="67"/>
      <c r="AC1394" s="67"/>
    </row>
    <row r="1395">
      <c r="A1395" s="66"/>
      <c r="B1395" s="67"/>
      <c r="C1395" s="67"/>
      <c r="D1395" s="68"/>
      <c r="E1395" s="68"/>
      <c r="F1395" s="68"/>
      <c r="G1395" s="68"/>
      <c r="H1395" s="68"/>
      <c r="I1395" s="69"/>
      <c r="J1395" s="67"/>
      <c r="K1395" s="67"/>
      <c r="L1395" s="67"/>
      <c r="M1395" s="67"/>
      <c r="N1395" s="67"/>
      <c r="O1395" s="67"/>
      <c r="P1395" s="67"/>
      <c r="Q1395" s="77"/>
      <c r="R1395" s="68"/>
      <c r="S1395" s="68"/>
      <c r="T1395" s="67"/>
      <c r="U1395" s="68"/>
      <c r="V1395" s="68"/>
      <c r="W1395" s="67"/>
      <c r="X1395" s="67"/>
      <c r="Y1395" s="67"/>
      <c r="Z1395" s="67"/>
      <c r="AA1395" s="67"/>
      <c r="AB1395" s="67"/>
      <c r="AC1395" s="67"/>
    </row>
    <row r="1396">
      <c r="A1396" s="66"/>
      <c r="B1396" s="67"/>
      <c r="C1396" s="67"/>
      <c r="D1396" s="68"/>
      <c r="E1396" s="68"/>
      <c r="F1396" s="68"/>
      <c r="G1396" s="68"/>
      <c r="H1396" s="68"/>
      <c r="I1396" s="69"/>
      <c r="J1396" s="67"/>
      <c r="K1396" s="67"/>
      <c r="L1396" s="67"/>
      <c r="M1396" s="67"/>
      <c r="N1396" s="67"/>
      <c r="O1396" s="67"/>
      <c r="P1396" s="67"/>
      <c r="Q1396" s="77"/>
      <c r="R1396" s="68"/>
      <c r="S1396" s="68"/>
      <c r="T1396" s="67"/>
      <c r="U1396" s="68"/>
      <c r="V1396" s="68"/>
      <c r="W1396" s="67"/>
      <c r="X1396" s="67"/>
      <c r="Y1396" s="67"/>
      <c r="Z1396" s="67"/>
      <c r="AA1396" s="67"/>
      <c r="AB1396" s="67"/>
      <c r="AC1396" s="67"/>
    </row>
    <row r="1397">
      <c r="A1397" s="66"/>
      <c r="B1397" s="67"/>
      <c r="C1397" s="67"/>
      <c r="D1397" s="68"/>
      <c r="E1397" s="68"/>
      <c r="F1397" s="68"/>
      <c r="G1397" s="68"/>
      <c r="H1397" s="68"/>
      <c r="I1397" s="69"/>
      <c r="J1397" s="67"/>
      <c r="K1397" s="67"/>
      <c r="L1397" s="67"/>
      <c r="M1397" s="67"/>
      <c r="N1397" s="67"/>
      <c r="O1397" s="67"/>
      <c r="P1397" s="67"/>
      <c r="Q1397" s="77"/>
      <c r="R1397" s="68"/>
      <c r="S1397" s="68"/>
      <c r="T1397" s="67"/>
      <c r="U1397" s="68"/>
      <c r="V1397" s="68"/>
      <c r="W1397" s="67"/>
      <c r="X1397" s="67"/>
      <c r="Y1397" s="67"/>
      <c r="Z1397" s="67"/>
      <c r="AA1397" s="67"/>
      <c r="AB1397" s="67"/>
      <c r="AC1397" s="67"/>
    </row>
    <row r="1398">
      <c r="A1398" s="66"/>
      <c r="B1398" s="67"/>
      <c r="C1398" s="67"/>
      <c r="D1398" s="68"/>
      <c r="E1398" s="68"/>
      <c r="F1398" s="68"/>
      <c r="G1398" s="68"/>
      <c r="H1398" s="68"/>
      <c r="I1398" s="69"/>
      <c r="J1398" s="67"/>
      <c r="K1398" s="67"/>
      <c r="L1398" s="67"/>
      <c r="M1398" s="67"/>
      <c r="N1398" s="67"/>
      <c r="O1398" s="67"/>
      <c r="P1398" s="67"/>
      <c r="Q1398" s="77"/>
      <c r="R1398" s="68"/>
      <c r="S1398" s="68"/>
      <c r="T1398" s="67"/>
      <c r="U1398" s="68"/>
      <c r="V1398" s="68"/>
      <c r="W1398" s="67"/>
      <c r="X1398" s="67"/>
      <c r="Y1398" s="67"/>
      <c r="Z1398" s="67"/>
      <c r="AA1398" s="67"/>
      <c r="AB1398" s="67"/>
      <c r="AC1398" s="67"/>
    </row>
    <row r="1399">
      <c r="A1399" s="66"/>
      <c r="B1399" s="67"/>
      <c r="C1399" s="67"/>
      <c r="D1399" s="68"/>
      <c r="E1399" s="68"/>
      <c r="F1399" s="68"/>
      <c r="G1399" s="68"/>
      <c r="H1399" s="68"/>
      <c r="I1399" s="69"/>
      <c r="J1399" s="67"/>
      <c r="K1399" s="67"/>
      <c r="L1399" s="67"/>
      <c r="M1399" s="67"/>
      <c r="N1399" s="67"/>
      <c r="O1399" s="67"/>
      <c r="P1399" s="67"/>
      <c r="Q1399" s="77"/>
      <c r="R1399" s="68"/>
      <c r="S1399" s="68"/>
      <c r="T1399" s="67"/>
      <c r="U1399" s="68"/>
      <c r="V1399" s="68"/>
      <c r="W1399" s="67"/>
      <c r="X1399" s="67"/>
      <c r="Y1399" s="67"/>
      <c r="Z1399" s="67"/>
      <c r="AA1399" s="67"/>
      <c r="AB1399" s="67"/>
      <c r="AC1399" s="67"/>
    </row>
    <row r="1400">
      <c r="A1400" s="66"/>
      <c r="B1400" s="67"/>
      <c r="C1400" s="67"/>
      <c r="D1400" s="68"/>
      <c r="E1400" s="68"/>
      <c r="F1400" s="68"/>
      <c r="G1400" s="68"/>
      <c r="H1400" s="68"/>
      <c r="I1400" s="69"/>
      <c r="J1400" s="67"/>
      <c r="K1400" s="67"/>
      <c r="L1400" s="67"/>
      <c r="M1400" s="67"/>
      <c r="N1400" s="67"/>
      <c r="O1400" s="67"/>
      <c r="P1400" s="67"/>
      <c r="Q1400" s="77"/>
      <c r="R1400" s="68"/>
      <c r="S1400" s="68"/>
      <c r="T1400" s="67"/>
      <c r="U1400" s="68"/>
      <c r="V1400" s="68"/>
      <c r="W1400" s="67"/>
      <c r="X1400" s="67"/>
      <c r="Y1400" s="67"/>
      <c r="Z1400" s="67"/>
      <c r="AA1400" s="67"/>
      <c r="AB1400" s="67"/>
      <c r="AC1400" s="67"/>
    </row>
    <row r="1401">
      <c r="A1401" s="66"/>
      <c r="B1401" s="67"/>
      <c r="C1401" s="67"/>
      <c r="D1401" s="68"/>
      <c r="E1401" s="68"/>
      <c r="F1401" s="68"/>
      <c r="G1401" s="68"/>
      <c r="H1401" s="68"/>
      <c r="I1401" s="69"/>
      <c r="J1401" s="67"/>
      <c r="K1401" s="67"/>
      <c r="L1401" s="67"/>
      <c r="M1401" s="67"/>
      <c r="N1401" s="67"/>
      <c r="O1401" s="67"/>
      <c r="P1401" s="67"/>
      <c r="Q1401" s="77"/>
      <c r="R1401" s="68"/>
      <c r="S1401" s="68"/>
      <c r="T1401" s="67"/>
      <c r="U1401" s="68"/>
      <c r="V1401" s="68"/>
      <c r="W1401" s="67"/>
      <c r="X1401" s="67"/>
      <c r="Y1401" s="67"/>
      <c r="Z1401" s="67"/>
      <c r="AA1401" s="67"/>
      <c r="AB1401" s="67"/>
      <c r="AC1401" s="67"/>
    </row>
    <row r="1402">
      <c r="A1402" s="66"/>
      <c r="B1402" s="67"/>
      <c r="C1402" s="67"/>
      <c r="D1402" s="68"/>
      <c r="E1402" s="68"/>
      <c r="F1402" s="68"/>
      <c r="G1402" s="68"/>
      <c r="H1402" s="68"/>
      <c r="I1402" s="69"/>
      <c r="J1402" s="67"/>
      <c r="K1402" s="67"/>
      <c r="L1402" s="67"/>
      <c r="M1402" s="67"/>
      <c r="N1402" s="67"/>
      <c r="O1402" s="67"/>
      <c r="P1402" s="67"/>
      <c r="Q1402" s="77"/>
      <c r="R1402" s="68"/>
      <c r="S1402" s="68"/>
      <c r="T1402" s="67"/>
      <c r="U1402" s="68"/>
      <c r="V1402" s="68"/>
      <c r="W1402" s="67"/>
      <c r="X1402" s="67"/>
      <c r="Y1402" s="67"/>
      <c r="Z1402" s="67"/>
      <c r="AA1402" s="67"/>
      <c r="AB1402" s="67"/>
      <c r="AC1402" s="67"/>
    </row>
    <row r="1403">
      <c r="A1403" s="66"/>
      <c r="B1403" s="67"/>
      <c r="C1403" s="67"/>
      <c r="D1403" s="68"/>
      <c r="E1403" s="68"/>
      <c r="F1403" s="68"/>
      <c r="G1403" s="68"/>
      <c r="H1403" s="68"/>
      <c r="I1403" s="69"/>
      <c r="J1403" s="67"/>
      <c r="K1403" s="67"/>
      <c r="L1403" s="67"/>
      <c r="M1403" s="67"/>
      <c r="N1403" s="67"/>
      <c r="O1403" s="67"/>
      <c r="P1403" s="67"/>
      <c r="Q1403" s="77"/>
      <c r="R1403" s="68"/>
      <c r="S1403" s="68"/>
      <c r="T1403" s="67"/>
      <c r="U1403" s="68"/>
      <c r="V1403" s="68"/>
      <c r="W1403" s="67"/>
      <c r="X1403" s="67"/>
      <c r="Y1403" s="67"/>
      <c r="Z1403" s="67"/>
      <c r="AA1403" s="67"/>
      <c r="AB1403" s="67"/>
      <c r="AC1403" s="67"/>
    </row>
    <row r="1404">
      <c r="A1404" s="66"/>
      <c r="B1404" s="67"/>
      <c r="C1404" s="67"/>
      <c r="D1404" s="68"/>
      <c r="E1404" s="68"/>
      <c r="F1404" s="68"/>
      <c r="G1404" s="68"/>
      <c r="H1404" s="68"/>
      <c r="I1404" s="69"/>
      <c r="J1404" s="67"/>
      <c r="K1404" s="67"/>
      <c r="L1404" s="67"/>
      <c r="M1404" s="67"/>
      <c r="N1404" s="67"/>
      <c r="O1404" s="67"/>
      <c r="P1404" s="67"/>
      <c r="Q1404" s="77"/>
      <c r="R1404" s="68"/>
      <c r="S1404" s="68"/>
      <c r="T1404" s="67"/>
      <c r="U1404" s="68"/>
      <c r="V1404" s="68"/>
      <c r="W1404" s="67"/>
      <c r="X1404" s="67"/>
      <c r="Y1404" s="67"/>
      <c r="Z1404" s="67"/>
      <c r="AA1404" s="67"/>
      <c r="AB1404" s="67"/>
      <c r="AC1404" s="67"/>
    </row>
    <row r="1405">
      <c r="A1405" s="66"/>
      <c r="B1405" s="67"/>
      <c r="C1405" s="67"/>
      <c r="D1405" s="68"/>
      <c r="E1405" s="68"/>
      <c r="F1405" s="68"/>
      <c r="G1405" s="68"/>
      <c r="H1405" s="68"/>
      <c r="I1405" s="69"/>
      <c r="J1405" s="67"/>
      <c r="K1405" s="67"/>
      <c r="L1405" s="67"/>
      <c r="M1405" s="67"/>
      <c r="N1405" s="67"/>
      <c r="O1405" s="67"/>
      <c r="P1405" s="67"/>
      <c r="Q1405" s="77"/>
      <c r="R1405" s="68"/>
      <c r="S1405" s="68"/>
      <c r="T1405" s="67"/>
      <c r="U1405" s="68"/>
      <c r="V1405" s="68"/>
      <c r="W1405" s="67"/>
      <c r="X1405" s="67"/>
      <c r="Y1405" s="67"/>
      <c r="Z1405" s="67"/>
      <c r="AA1405" s="67"/>
      <c r="AB1405" s="67"/>
      <c r="AC1405" s="67"/>
    </row>
    <row r="1406">
      <c r="A1406" s="66"/>
      <c r="B1406" s="67"/>
      <c r="C1406" s="67"/>
      <c r="D1406" s="68"/>
      <c r="E1406" s="68"/>
      <c r="F1406" s="68"/>
      <c r="G1406" s="68"/>
      <c r="H1406" s="68"/>
      <c r="I1406" s="69"/>
      <c r="J1406" s="67"/>
      <c r="K1406" s="67"/>
      <c r="L1406" s="67"/>
      <c r="M1406" s="67"/>
      <c r="N1406" s="67"/>
      <c r="O1406" s="67"/>
      <c r="P1406" s="67"/>
      <c r="Q1406" s="77"/>
      <c r="R1406" s="68"/>
      <c r="S1406" s="68"/>
      <c r="T1406" s="67"/>
      <c r="U1406" s="68"/>
      <c r="V1406" s="68"/>
      <c r="W1406" s="67"/>
      <c r="X1406" s="67"/>
      <c r="Y1406" s="67"/>
      <c r="Z1406" s="67"/>
      <c r="AA1406" s="67"/>
      <c r="AB1406" s="67"/>
      <c r="AC1406" s="67"/>
    </row>
    <row r="1407">
      <c r="A1407" s="66"/>
      <c r="B1407" s="67"/>
      <c r="C1407" s="67"/>
      <c r="D1407" s="68"/>
      <c r="E1407" s="68"/>
      <c r="F1407" s="68"/>
      <c r="G1407" s="68"/>
      <c r="H1407" s="68"/>
      <c r="I1407" s="69"/>
      <c r="J1407" s="67"/>
      <c r="K1407" s="67"/>
      <c r="L1407" s="67"/>
      <c r="M1407" s="67"/>
      <c r="N1407" s="67"/>
      <c r="O1407" s="67"/>
      <c r="P1407" s="67"/>
      <c r="Q1407" s="77"/>
      <c r="R1407" s="68"/>
      <c r="S1407" s="68"/>
      <c r="T1407" s="67"/>
      <c r="U1407" s="68"/>
      <c r="V1407" s="68"/>
      <c r="W1407" s="67"/>
      <c r="X1407" s="67"/>
      <c r="Y1407" s="67"/>
      <c r="Z1407" s="67"/>
      <c r="AA1407" s="67"/>
      <c r="AB1407" s="67"/>
      <c r="AC1407" s="67"/>
    </row>
    <row r="1408">
      <c r="A1408" s="66"/>
      <c r="B1408" s="67"/>
      <c r="C1408" s="67"/>
      <c r="D1408" s="68"/>
      <c r="E1408" s="68"/>
      <c r="F1408" s="68"/>
      <c r="G1408" s="68"/>
      <c r="H1408" s="68"/>
      <c r="I1408" s="69"/>
      <c r="J1408" s="67"/>
      <c r="K1408" s="67"/>
      <c r="L1408" s="67"/>
      <c r="M1408" s="67"/>
      <c r="N1408" s="67"/>
      <c r="O1408" s="67"/>
      <c r="P1408" s="67"/>
      <c r="Q1408" s="77"/>
      <c r="R1408" s="68"/>
      <c r="S1408" s="68"/>
      <c r="T1408" s="67"/>
      <c r="U1408" s="68"/>
      <c r="V1408" s="68"/>
      <c r="W1408" s="67"/>
      <c r="X1408" s="67"/>
      <c r="Y1408" s="67"/>
      <c r="Z1408" s="67"/>
      <c r="AA1408" s="67"/>
      <c r="AB1408" s="67"/>
      <c r="AC1408" s="67"/>
    </row>
    <row r="1409">
      <c r="A1409" s="66"/>
      <c r="B1409" s="67"/>
      <c r="C1409" s="67"/>
      <c r="D1409" s="68"/>
      <c r="E1409" s="68"/>
      <c r="F1409" s="68"/>
      <c r="G1409" s="68"/>
      <c r="H1409" s="68"/>
      <c r="I1409" s="69"/>
      <c r="J1409" s="67"/>
      <c r="K1409" s="67"/>
      <c r="L1409" s="67"/>
      <c r="M1409" s="67"/>
      <c r="N1409" s="67"/>
      <c r="O1409" s="67"/>
      <c r="P1409" s="67"/>
      <c r="Q1409" s="77"/>
      <c r="R1409" s="68"/>
      <c r="S1409" s="68"/>
      <c r="T1409" s="67"/>
      <c r="U1409" s="68"/>
      <c r="V1409" s="68"/>
      <c r="W1409" s="67"/>
      <c r="X1409" s="67"/>
      <c r="Y1409" s="67"/>
      <c r="Z1409" s="67"/>
      <c r="AA1409" s="67"/>
      <c r="AB1409" s="67"/>
      <c r="AC1409" s="67"/>
    </row>
    <row r="1410">
      <c r="A1410" s="66"/>
      <c r="B1410" s="67"/>
      <c r="C1410" s="67"/>
      <c r="D1410" s="68"/>
      <c r="E1410" s="68"/>
      <c r="F1410" s="68"/>
      <c r="G1410" s="68"/>
      <c r="H1410" s="68"/>
      <c r="I1410" s="69"/>
      <c r="J1410" s="67"/>
      <c r="K1410" s="67"/>
      <c r="L1410" s="67"/>
      <c r="M1410" s="67"/>
      <c r="N1410" s="67"/>
      <c r="O1410" s="67"/>
      <c r="P1410" s="67"/>
      <c r="Q1410" s="77"/>
      <c r="R1410" s="68"/>
      <c r="S1410" s="68"/>
      <c r="T1410" s="67"/>
      <c r="U1410" s="68"/>
      <c r="V1410" s="68"/>
      <c r="W1410" s="67"/>
      <c r="X1410" s="67"/>
      <c r="Y1410" s="67"/>
      <c r="Z1410" s="67"/>
      <c r="AA1410" s="67"/>
      <c r="AB1410" s="67"/>
      <c r="AC1410" s="67"/>
    </row>
    <row r="1411">
      <c r="A1411" s="66"/>
      <c r="B1411" s="67"/>
      <c r="C1411" s="67"/>
      <c r="D1411" s="68"/>
      <c r="E1411" s="68"/>
      <c r="F1411" s="68"/>
      <c r="G1411" s="68"/>
      <c r="H1411" s="68"/>
      <c r="I1411" s="69"/>
      <c r="J1411" s="67"/>
      <c r="K1411" s="67"/>
      <c r="L1411" s="67"/>
      <c r="M1411" s="67"/>
      <c r="N1411" s="67"/>
      <c r="O1411" s="67"/>
      <c r="P1411" s="67"/>
      <c r="Q1411" s="77"/>
      <c r="R1411" s="68"/>
      <c r="S1411" s="68"/>
      <c r="T1411" s="67"/>
      <c r="U1411" s="68"/>
      <c r="V1411" s="68"/>
      <c r="W1411" s="67"/>
      <c r="X1411" s="67"/>
      <c r="Y1411" s="67"/>
      <c r="Z1411" s="67"/>
      <c r="AA1411" s="67"/>
      <c r="AB1411" s="67"/>
      <c r="AC1411" s="67"/>
    </row>
    <row r="1412">
      <c r="A1412" s="66"/>
      <c r="B1412" s="67"/>
      <c r="C1412" s="67"/>
      <c r="D1412" s="68"/>
      <c r="E1412" s="68"/>
      <c r="F1412" s="68"/>
      <c r="G1412" s="68"/>
      <c r="H1412" s="68"/>
      <c r="I1412" s="69"/>
      <c r="J1412" s="67"/>
      <c r="K1412" s="67"/>
      <c r="L1412" s="67"/>
      <c r="M1412" s="67"/>
      <c r="N1412" s="67"/>
      <c r="O1412" s="67"/>
      <c r="P1412" s="67"/>
      <c r="Q1412" s="77"/>
      <c r="R1412" s="68"/>
      <c r="S1412" s="68"/>
      <c r="T1412" s="67"/>
      <c r="U1412" s="68"/>
      <c r="V1412" s="68"/>
      <c r="W1412" s="67"/>
      <c r="X1412" s="67"/>
      <c r="Y1412" s="67"/>
      <c r="Z1412" s="67"/>
      <c r="AA1412" s="67"/>
      <c r="AB1412" s="67"/>
      <c r="AC1412" s="67"/>
    </row>
    <row r="1413">
      <c r="A1413" s="66"/>
      <c r="B1413" s="67"/>
      <c r="C1413" s="67"/>
      <c r="D1413" s="68"/>
      <c r="E1413" s="68"/>
      <c r="F1413" s="68"/>
      <c r="G1413" s="68"/>
      <c r="H1413" s="68"/>
      <c r="I1413" s="69"/>
      <c r="J1413" s="67"/>
      <c r="K1413" s="67"/>
      <c r="L1413" s="67"/>
      <c r="M1413" s="67"/>
      <c r="N1413" s="67"/>
      <c r="O1413" s="67"/>
      <c r="P1413" s="67"/>
      <c r="Q1413" s="77"/>
      <c r="R1413" s="68"/>
      <c r="S1413" s="68"/>
      <c r="T1413" s="67"/>
      <c r="U1413" s="68"/>
      <c r="V1413" s="68"/>
      <c r="W1413" s="67"/>
      <c r="X1413" s="67"/>
      <c r="Y1413" s="67"/>
      <c r="Z1413" s="67"/>
      <c r="AA1413" s="67"/>
      <c r="AB1413" s="67"/>
      <c r="AC1413" s="67"/>
    </row>
    <row r="1414">
      <c r="A1414" s="66"/>
      <c r="B1414" s="67"/>
      <c r="C1414" s="67"/>
      <c r="D1414" s="68"/>
      <c r="E1414" s="68"/>
      <c r="F1414" s="68"/>
      <c r="G1414" s="68"/>
      <c r="H1414" s="68"/>
      <c r="I1414" s="69"/>
      <c r="J1414" s="67"/>
      <c r="K1414" s="67"/>
      <c r="L1414" s="67"/>
      <c r="M1414" s="67"/>
      <c r="N1414" s="67"/>
      <c r="O1414" s="67"/>
      <c r="P1414" s="67"/>
      <c r="Q1414" s="77"/>
      <c r="R1414" s="68"/>
      <c r="S1414" s="68"/>
      <c r="T1414" s="67"/>
      <c r="U1414" s="68"/>
      <c r="V1414" s="68"/>
      <c r="W1414" s="67"/>
      <c r="X1414" s="67"/>
      <c r="Y1414" s="67"/>
      <c r="Z1414" s="67"/>
      <c r="AA1414" s="67"/>
      <c r="AB1414" s="67"/>
      <c r="AC1414" s="67"/>
    </row>
    <row r="1415">
      <c r="A1415" s="66"/>
      <c r="B1415" s="67"/>
      <c r="C1415" s="67"/>
      <c r="D1415" s="68"/>
      <c r="E1415" s="68"/>
      <c r="F1415" s="68"/>
      <c r="G1415" s="68"/>
      <c r="H1415" s="68"/>
      <c r="I1415" s="69"/>
      <c r="J1415" s="67"/>
      <c r="K1415" s="67"/>
      <c r="L1415" s="67"/>
      <c r="M1415" s="67"/>
      <c r="N1415" s="67"/>
      <c r="O1415" s="67"/>
      <c r="P1415" s="67"/>
      <c r="Q1415" s="77"/>
      <c r="R1415" s="68"/>
      <c r="S1415" s="68"/>
      <c r="T1415" s="67"/>
      <c r="U1415" s="68"/>
      <c r="V1415" s="68"/>
      <c r="W1415" s="67"/>
      <c r="X1415" s="67"/>
      <c r="Y1415" s="67"/>
      <c r="Z1415" s="67"/>
      <c r="AA1415" s="67"/>
      <c r="AB1415" s="67"/>
      <c r="AC1415" s="67"/>
    </row>
    <row r="1416">
      <c r="A1416" s="66"/>
      <c r="B1416" s="67"/>
      <c r="C1416" s="67"/>
      <c r="D1416" s="68"/>
      <c r="E1416" s="68"/>
      <c r="F1416" s="68"/>
      <c r="G1416" s="68"/>
      <c r="H1416" s="68"/>
      <c r="I1416" s="69"/>
      <c r="J1416" s="67"/>
      <c r="K1416" s="67"/>
      <c r="L1416" s="67"/>
      <c r="M1416" s="67"/>
      <c r="N1416" s="67"/>
      <c r="O1416" s="67"/>
      <c r="P1416" s="67"/>
      <c r="Q1416" s="77"/>
      <c r="R1416" s="68"/>
      <c r="S1416" s="68"/>
      <c r="T1416" s="67"/>
      <c r="U1416" s="68"/>
      <c r="V1416" s="68"/>
      <c r="W1416" s="67"/>
      <c r="X1416" s="67"/>
      <c r="Y1416" s="67"/>
      <c r="Z1416" s="67"/>
      <c r="AA1416" s="67"/>
      <c r="AB1416" s="67"/>
      <c r="AC1416" s="67"/>
    </row>
    <row r="1417">
      <c r="A1417" s="66"/>
      <c r="B1417" s="67"/>
      <c r="C1417" s="67"/>
      <c r="D1417" s="68"/>
      <c r="E1417" s="68"/>
      <c r="F1417" s="68"/>
      <c r="G1417" s="68"/>
      <c r="H1417" s="68"/>
      <c r="I1417" s="69"/>
      <c r="J1417" s="67"/>
      <c r="K1417" s="67"/>
      <c r="L1417" s="67"/>
      <c r="M1417" s="67"/>
      <c r="N1417" s="67"/>
      <c r="O1417" s="67"/>
      <c r="P1417" s="67"/>
      <c r="Q1417" s="77"/>
      <c r="R1417" s="68"/>
      <c r="S1417" s="68"/>
      <c r="T1417" s="67"/>
      <c r="U1417" s="68"/>
      <c r="V1417" s="68"/>
      <c r="W1417" s="67"/>
      <c r="X1417" s="67"/>
      <c r="Y1417" s="67"/>
      <c r="Z1417" s="67"/>
      <c r="AA1417" s="67"/>
      <c r="AB1417" s="67"/>
      <c r="AC1417" s="67"/>
    </row>
    <row r="1418">
      <c r="A1418" s="66"/>
      <c r="B1418" s="67"/>
      <c r="C1418" s="67"/>
      <c r="D1418" s="68"/>
      <c r="E1418" s="68"/>
      <c r="F1418" s="68"/>
      <c r="G1418" s="68"/>
      <c r="H1418" s="68"/>
      <c r="I1418" s="69"/>
      <c r="J1418" s="67"/>
      <c r="K1418" s="67"/>
      <c r="L1418" s="67"/>
      <c r="M1418" s="67"/>
      <c r="N1418" s="67"/>
      <c r="O1418" s="67"/>
      <c r="P1418" s="67"/>
      <c r="Q1418" s="77"/>
      <c r="R1418" s="68"/>
      <c r="S1418" s="68"/>
      <c r="T1418" s="67"/>
      <c r="U1418" s="68"/>
      <c r="V1418" s="68"/>
      <c r="W1418" s="67"/>
      <c r="X1418" s="67"/>
      <c r="Y1418" s="67"/>
      <c r="Z1418" s="67"/>
      <c r="AA1418" s="67"/>
      <c r="AB1418" s="67"/>
      <c r="AC1418" s="67"/>
    </row>
    <row r="1419">
      <c r="A1419" s="66"/>
      <c r="B1419" s="67"/>
      <c r="C1419" s="67"/>
      <c r="D1419" s="68"/>
      <c r="E1419" s="68"/>
      <c r="F1419" s="68"/>
      <c r="G1419" s="68"/>
      <c r="H1419" s="68"/>
      <c r="I1419" s="69"/>
      <c r="J1419" s="67"/>
      <c r="K1419" s="67"/>
      <c r="L1419" s="67"/>
      <c r="M1419" s="67"/>
      <c r="N1419" s="67"/>
      <c r="O1419" s="67"/>
      <c r="P1419" s="67"/>
      <c r="Q1419" s="77"/>
      <c r="R1419" s="68"/>
      <c r="S1419" s="68"/>
      <c r="T1419" s="67"/>
      <c r="U1419" s="68"/>
      <c r="V1419" s="68"/>
      <c r="W1419" s="67"/>
      <c r="X1419" s="67"/>
      <c r="Y1419" s="67"/>
      <c r="Z1419" s="67"/>
      <c r="AA1419" s="67"/>
      <c r="AB1419" s="67"/>
      <c r="AC1419" s="67"/>
    </row>
    <row r="1420">
      <c r="A1420" s="66"/>
      <c r="B1420" s="67"/>
      <c r="C1420" s="67"/>
      <c r="D1420" s="68"/>
      <c r="E1420" s="68"/>
      <c r="F1420" s="68"/>
      <c r="G1420" s="68"/>
      <c r="H1420" s="68"/>
      <c r="I1420" s="69"/>
      <c r="J1420" s="67"/>
      <c r="K1420" s="67"/>
      <c r="L1420" s="67"/>
      <c r="M1420" s="67"/>
      <c r="N1420" s="67"/>
      <c r="O1420" s="67"/>
      <c r="P1420" s="67"/>
      <c r="Q1420" s="77"/>
      <c r="R1420" s="68"/>
      <c r="S1420" s="68"/>
      <c r="T1420" s="67"/>
      <c r="U1420" s="68"/>
      <c r="V1420" s="68"/>
      <c r="W1420" s="67"/>
      <c r="X1420" s="67"/>
      <c r="Y1420" s="67"/>
      <c r="Z1420" s="67"/>
      <c r="AA1420" s="67"/>
      <c r="AB1420" s="67"/>
      <c r="AC1420" s="67"/>
    </row>
    <row r="1421">
      <c r="A1421" s="66"/>
      <c r="B1421" s="67"/>
      <c r="C1421" s="67"/>
      <c r="D1421" s="68"/>
      <c r="E1421" s="68"/>
      <c r="F1421" s="68"/>
      <c r="G1421" s="68"/>
      <c r="H1421" s="68"/>
      <c r="I1421" s="69"/>
      <c r="J1421" s="67"/>
      <c r="K1421" s="67"/>
      <c r="L1421" s="67"/>
      <c r="M1421" s="67"/>
      <c r="N1421" s="67"/>
      <c r="O1421" s="67"/>
      <c r="P1421" s="67"/>
      <c r="Q1421" s="77"/>
      <c r="R1421" s="68"/>
      <c r="S1421" s="68"/>
      <c r="T1421" s="67"/>
      <c r="U1421" s="68"/>
      <c r="V1421" s="68"/>
      <c r="W1421" s="67"/>
      <c r="X1421" s="67"/>
      <c r="Y1421" s="67"/>
      <c r="Z1421" s="67"/>
      <c r="AA1421" s="67"/>
      <c r="AB1421" s="67"/>
      <c r="AC1421" s="67"/>
    </row>
    <row r="1422">
      <c r="A1422" s="66"/>
      <c r="B1422" s="67"/>
      <c r="C1422" s="67"/>
      <c r="D1422" s="68"/>
      <c r="E1422" s="68"/>
      <c r="F1422" s="68"/>
      <c r="G1422" s="68"/>
      <c r="H1422" s="68"/>
      <c r="I1422" s="69"/>
      <c r="J1422" s="67"/>
      <c r="K1422" s="67"/>
      <c r="L1422" s="67"/>
      <c r="M1422" s="67"/>
      <c r="N1422" s="67"/>
      <c r="O1422" s="67"/>
      <c r="P1422" s="67"/>
      <c r="Q1422" s="77"/>
      <c r="R1422" s="68"/>
      <c r="S1422" s="68"/>
      <c r="T1422" s="67"/>
      <c r="U1422" s="68"/>
      <c r="V1422" s="68"/>
      <c r="W1422" s="67"/>
      <c r="X1422" s="67"/>
      <c r="Y1422" s="67"/>
      <c r="Z1422" s="67"/>
      <c r="AA1422" s="67"/>
      <c r="AB1422" s="67"/>
      <c r="AC1422" s="67"/>
    </row>
    <row r="1423">
      <c r="A1423" s="66"/>
      <c r="B1423" s="67"/>
      <c r="C1423" s="67"/>
      <c r="D1423" s="68"/>
      <c r="E1423" s="68"/>
      <c r="F1423" s="68"/>
      <c r="G1423" s="68"/>
      <c r="H1423" s="68"/>
      <c r="I1423" s="69"/>
      <c r="J1423" s="67"/>
      <c r="K1423" s="67"/>
      <c r="L1423" s="67"/>
      <c r="M1423" s="67"/>
      <c r="N1423" s="67"/>
      <c r="O1423" s="67"/>
      <c r="P1423" s="67"/>
      <c r="Q1423" s="77"/>
      <c r="R1423" s="68"/>
      <c r="S1423" s="68"/>
      <c r="T1423" s="67"/>
      <c r="U1423" s="68"/>
      <c r="V1423" s="68"/>
      <c r="W1423" s="67"/>
      <c r="X1423" s="67"/>
      <c r="Y1423" s="67"/>
      <c r="Z1423" s="67"/>
      <c r="AA1423" s="67"/>
      <c r="AB1423" s="67"/>
      <c r="AC1423" s="67"/>
    </row>
    <row r="1424">
      <c r="A1424" s="66"/>
      <c r="B1424" s="67"/>
      <c r="C1424" s="67"/>
      <c r="D1424" s="68"/>
      <c r="E1424" s="68"/>
      <c r="F1424" s="68"/>
      <c r="G1424" s="68"/>
      <c r="H1424" s="68"/>
      <c r="I1424" s="69"/>
      <c r="J1424" s="67"/>
      <c r="K1424" s="67"/>
      <c r="L1424" s="67"/>
      <c r="M1424" s="67"/>
      <c r="N1424" s="67"/>
      <c r="O1424" s="67"/>
      <c r="P1424" s="67"/>
      <c r="Q1424" s="77"/>
      <c r="R1424" s="68"/>
      <c r="S1424" s="68"/>
      <c r="T1424" s="67"/>
      <c r="U1424" s="68"/>
      <c r="V1424" s="68"/>
      <c r="W1424" s="67"/>
      <c r="X1424" s="67"/>
      <c r="Y1424" s="67"/>
      <c r="Z1424" s="67"/>
      <c r="AA1424" s="67"/>
      <c r="AB1424" s="67"/>
      <c r="AC1424" s="67"/>
    </row>
    <row r="1425">
      <c r="A1425" s="66"/>
      <c r="B1425" s="67"/>
      <c r="C1425" s="67"/>
      <c r="D1425" s="68"/>
      <c r="E1425" s="68"/>
      <c r="F1425" s="68"/>
      <c r="G1425" s="68"/>
      <c r="H1425" s="68"/>
      <c r="I1425" s="69"/>
      <c r="J1425" s="67"/>
      <c r="K1425" s="67"/>
      <c r="L1425" s="67"/>
      <c r="M1425" s="67"/>
      <c r="N1425" s="67"/>
      <c r="O1425" s="67"/>
      <c r="P1425" s="67"/>
      <c r="Q1425" s="77"/>
      <c r="R1425" s="68"/>
      <c r="S1425" s="68"/>
      <c r="T1425" s="67"/>
      <c r="U1425" s="68"/>
      <c r="V1425" s="68"/>
      <c r="W1425" s="67"/>
      <c r="X1425" s="67"/>
      <c r="Y1425" s="67"/>
      <c r="Z1425" s="67"/>
      <c r="AA1425" s="67"/>
      <c r="AB1425" s="67"/>
      <c r="AC1425" s="67"/>
    </row>
    <row r="1426">
      <c r="A1426" s="66"/>
      <c r="B1426" s="67"/>
      <c r="C1426" s="67"/>
      <c r="D1426" s="68"/>
      <c r="E1426" s="68"/>
      <c r="F1426" s="68"/>
      <c r="G1426" s="68"/>
      <c r="H1426" s="68"/>
      <c r="I1426" s="69"/>
      <c r="J1426" s="67"/>
      <c r="K1426" s="67"/>
      <c r="L1426" s="67"/>
      <c r="M1426" s="67"/>
      <c r="N1426" s="67"/>
      <c r="O1426" s="67"/>
      <c r="P1426" s="67"/>
      <c r="Q1426" s="77"/>
      <c r="R1426" s="68"/>
      <c r="S1426" s="68"/>
      <c r="T1426" s="67"/>
      <c r="U1426" s="68"/>
      <c r="V1426" s="68"/>
      <c r="W1426" s="67"/>
      <c r="X1426" s="67"/>
      <c r="Y1426" s="67"/>
      <c r="Z1426" s="67"/>
      <c r="AA1426" s="67"/>
      <c r="AB1426" s="67"/>
      <c r="AC1426" s="67"/>
    </row>
    <row r="1427">
      <c r="A1427" s="66"/>
      <c r="B1427" s="67"/>
      <c r="C1427" s="67"/>
      <c r="D1427" s="68"/>
      <c r="E1427" s="68"/>
      <c r="F1427" s="68"/>
      <c r="G1427" s="68"/>
      <c r="H1427" s="68"/>
      <c r="I1427" s="69"/>
      <c r="J1427" s="67"/>
      <c r="K1427" s="67"/>
      <c r="L1427" s="67"/>
      <c r="M1427" s="67"/>
      <c r="N1427" s="67"/>
      <c r="O1427" s="67"/>
      <c r="P1427" s="67"/>
      <c r="Q1427" s="77"/>
      <c r="R1427" s="68"/>
      <c r="S1427" s="68"/>
      <c r="T1427" s="67"/>
      <c r="U1427" s="68"/>
      <c r="V1427" s="68"/>
      <c r="W1427" s="67"/>
      <c r="X1427" s="67"/>
      <c r="Y1427" s="67"/>
      <c r="Z1427" s="67"/>
      <c r="AA1427" s="67"/>
      <c r="AB1427" s="67"/>
      <c r="AC1427" s="67"/>
    </row>
    <row r="1428">
      <c r="A1428" s="66"/>
      <c r="B1428" s="67"/>
      <c r="C1428" s="67"/>
      <c r="D1428" s="68"/>
      <c r="E1428" s="68"/>
      <c r="F1428" s="68"/>
      <c r="G1428" s="68"/>
      <c r="H1428" s="68"/>
      <c r="I1428" s="69"/>
      <c r="J1428" s="67"/>
      <c r="K1428" s="67"/>
      <c r="L1428" s="67"/>
      <c r="M1428" s="67"/>
      <c r="N1428" s="67"/>
      <c r="O1428" s="67"/>
      <c r="P1428" s="67"/>
      <c r="Q1428" s="77"/>
      <c r="R1428" s="68"/>
      <c r="S1428" s="68"/>
      <c r="T1428" s="67"/>
      <c r="U1428" s="68"/>
      <c r="V1428" s="68"/>
      <c r="W1428" s="67"/>
      <c r="X1428" s="67"/>
      <c r="Y1428" s="67"/>
      <c r="Z1428" s="67"/>
      <c r="AA1428" s="67"/>
      <c r="AB1428" s="67"/>
      <c r="AC1428" s="67"/>
    </row>
    <row r="1429">
      <c r="A1429" s="66"/>
      <c r="B1429" s="67"/>
      <c r="C1429" s="67"/>
      <c r="D1429" s="68"/>
      <c r="E1429" s="68"/>
      <c r="F1429" s="68"/>
      <c r="G1429" s="68"/>
      <c r="H1429" s="68"/>
      <c r="I1429" s="69"/>
      <c r="J1429" s="67"/>
      <c r="K1429" s="67"/>
      <c r="L1429" s="67"/>
      <c r="M1429" s="67"/>
      <c r="N1429" s="67"/>
      <c r="O1429" s="67"/>
      <c r="P1429" s="67"/>
      <c r="Q1429" s="77"/>
      <c r="R1429" s="68"/>
      <c r="S1429" s="68"/>
      <c r="T1429" s="67"/>
      <c r="U1429" s="68"/>
      <c r="V1429" s="68"/>
      <c r="W1429" s="67"/>
      <c r="X1429" s="67"/>
      <c r="Y1429" s="67"/>
      <c r="Z1429" s="67"/>
      <c r="AA1429" s="67"/>
      <c r="AB1429" s="67"/>
      <c r="AC1429" s="67"/>
    </row>
    <row r="1430">
      <c r="A1430" s="66"/>
      <c r="B1430" s="67"/>
      <c r="C1430" s="67"/>
      <c r="D1430" s="68"/>
      <c r="E1430" s="68"/>
      <c r="F1430" s="68"/>
      <c r="G1430" s="68"/>
      <c r="H1430" s="68"/>
      <c r="I1430" s="69"/>
      <c r="J1430" s="67"/>
      <c r="K1430" s="67"/>
      <c r="L1430" s="67"/>
      <c r="M1430" s="67"/>
      <c r="N1430" s="67"/>
      <c r="O1430" s="67"/>
      <c r="P1430" s="67"/>
      <c r="Q1430" s="77"/>
      <c r="R1430" s="68"/>
      <c r="S1430" s="68"/>
      <c r="T1430" s="67"/>
      <c r="U1430" s="68"/>
      <c r="V1430" s="68"/>
      <c r="W1430" s="67"/>
      <c r="X1430" s="67"/>
      <c r="Y1430" s="67"/>
      <c r="Z1430" s="67"/>
      <c r="AA1430" s="67"/>
      <c r="AB1430" s="67"/>
      <c r="AC1430" s="67"/>
    </row>
    <row r="1431">
      <c r="A1431" s="66"/>
      <c r="B1431" s="67"/>
      <c r="C1431" s="67"/>
      <c r="D1431" s="68"/>
      <c r="E1431" s="68"/>
      <c r="F1431" s="68"/>
      <c r="G1431" s="68"/>
      <c r="H1431" s="68"/>
      <c r="I1431" s="69"/>
      <c r="J1431" s="67"/>
      <c r="K1431" s="67"/>
      <c r="L1431" s="67"/>
      <c r="M1431" s="67"/>
      <c r="N1431" s="67"/>
      <c r="O1431" s="67"/>
      <c r="P1431" s="67"/>
      <c r="Q1431" s="77"/>
      <c r="R1431" s="68"/>
      <c r="S1431" s="68"/>
      <c r="T1431" s="67"/>
      <c r="U1431" s="68"/>
      <c r="V1431" s="68"/>
      <c r="W1431" s="67"/>
      <c r="X1431" s="67"/>
      <c r="Y1431" s="67"/>
      <c r="Z1431" s="67"/>
      <c r="AA1431" s="67"/>
      <c r="AB1431" s="67"/>
      <c r="AC1431" s="67"/>
    </row>
    <row r="1432">
      <c r="A1432" s="66"/>
      <c r="B1432" s="67"/>
      <c r="C1432" s="67"/>
      <c r="D1432" s="68"/>
      <c r="E1432" s="68"/>
      <c r="F1432" s="68"/>
      <c r="G1432" s="68"/>
      <c r="H1432" s="68"/>
      <c r="I1432" s="69"/>
      <c r="J1432" s="67"/>
      <c r="K1432" s="67"/>
      <c r="L1432" s="67"/>
      <c r="M1432" s="67"/>
      <c r="N1432" s="67"/>
      <c r="O1432" s="67"/>
      <c r="P1432" s="67"/>
      <c r="Q1432" s="77"/>
      <c r="R1432" s="68"/>
      <c r="S1432" s="68"/>
      <c r="T1432" s="67"/>
      <c r="U1432" s="68"/>
      <c r="V1432" s="68"/>
      <c r="W1432" s="67"/>
      <c r="X1432" s="67"/>
      <c r="Y1432" s="67"/>
      <c r="Z1432" s="67"/>
      <c r="AA1432" s="67"/>
      <c r="AB1432" s="67"/>
      <c r="AC1432" s="67"/>
    </row>
    <row r="1433">
      <c r="A1433" s="66"/>
      <c r="B1433" s="67"/>
      <c r="C1433" s="67"/>
      <c r="D1433" s="68"/>
      <c r="E1433" s="68"/>
      <c r="F1433" s="68"/>
      <c r="G1433" s="68"/>
      <c r="H1433" s="68"/>
      <c r="I1433" s="69"/>
      <c r="J1433" s="67"/>
      <c r="K1433" s="67"/>
      <c r="L1433" s="67"/>
      <c r="M1433" s="67"/>
      <c r="N1433" s="67"/>
      <c r="O1433" s="67"/>
      <c r="P1433" s="67"/>
      <c r="Q1433" s="77"/>
      <c r="R1433" s="68"/>
      <c r="S1433" s="68"/>
      <c r="T1433" s="67"/>
      <c r="U1433" s="68"/>
      <c r="V1433" s="68"/>
      <c r="W1433" s="67"/>
      <c r="X1433" s="67"/>
      <c r="Y1433" s="67"/>
      <c r="Z1433" s="67"/>
      <c r="AA1433" s="67"/>
      <c r="AB1433" s="67"/>
      <c r="AC1433" s="67"/>
    </row>
    <row r="1434">
      <c r="A1434" s="66"/>
      <c r="B1434" s="67"/>
      <c r="C1434" s="67"/>
      <c r="D1434" s="68"/>
      <c r="E1434" s="68"/>
      <c r="F1434" s="68"/>
      <c r="G1434" s="68"/>
      <c r="H1434" s="68"/>
      <c r="I1434" s="69"/>
      <c r="J1434" s="67"/>
      <c r="K1434" s="67"/>
      <c r="L1434" s="67"/>
      <c r="M1434" s="67"/>
      <c r="N1434" s="67"/>
      <c r="O1434" s="67"/>
      <c r="P1434" s="67"/>
      <c r="Q1434" s="77"/>
      <c r="R1434" s="68"/>
      <c r="S1434" s="68"/>
      <c r="T1434" s="67"/>
      <c r="U1434" s="68"/>
      <c r="V1434" s="68"/>
      <c r="W1434" s="67"/>
      <c r="X1434" s="67"/>
      <c r="Y1434" s="67"/>
      <c r="Z1434" s="67"/>
      <c r="AA1434" s="67"/>
      <c r="AB1434" s="67"/>
      <c r="AC1434" s="67"/>
    </row>
    <row r="1435">
      <c r="A1435" s="66"/>
      <c r="B1435" s="67"/>
      <c r="C1435" s="67"/>
      <c r="D1435" s="68"/>
      <c r="E1435" s="68"/>
      <c r="F1435" s="68"/>
      <c r="G1435" s="68"/>
      <c r="H1435" s="68"/>
      <c r="I1435" s="69"/>
      <c r="J1435" s="67"/>
      <c r="K1435" s="67"/>
      <c r="L1435" s="67"/>
      <c r="M1435" s="67"/>
      <c r="N1435" s="67"/>
      <c r="O1435" s="67"/>
      <c r="P1435" s="67"/>
      <c r="Q1435" s="77"/>
      <c r="R1435" s="68"/>
      <c r="S1435" s="68"/>
      <c r="T1435" s="67"/>
      <c r="U1435" s="68"/>
      <c r="V1435" s="68"/>
      <c r="W1435" s="67"/>
      <c r="X1435" s="67"/>
      <c r="Y1435" s="67"/>
      <c r="Z1435" s="67"/>
      <c r="AA1435" s="67"/>
      <c r="AB1435" s="67"/>
      <c r="AC1435" s="67"/>
    </row>
    <row r="1436">
      <c r="A1436" s="66"/>
      <c r="B1436" s="67"/>
      <c r="C1436" s="67"/>
      <c r="D1436" s="68"/>
      <c r="E1436" s="68"/>
      <c r="F1436" s="68"/>
      <c r="G1436" s="68"/>
      <c r="H1436" s="68"/>
      <c r="I1436" s="69"/>
      <c r="J1436" s="67"/>
      <c r="K1436" s="67"/>
      <c r="L1436" s="67"/>
      <c r="M1436" s="67"/>
      <c r="N1436" s="67"/>
      <c r="O1436" s="67"/>
      <c r="P1436" s="67"/>
      <c r="Q1436" s="77"/>
      <c r="R1436" s="68"/>
      <c r="S1436" s="68"/>
      <c r="T1436" s="67"/>
      <c r="U1436" s="68"/>
      <c r="V1436" s="68"/>
      <c r="W1436" s="67"/>
      <c r="X1436" s="67"/>
      <c r="Y1436" s="67"/>
      <c r="Z1436" s="67"/>
      <c r="AA1436" s="67"/>
      <c r="AB1436" s="67"/>
      <c r="AC1436" s="67"/>
    </row>
    <row r="1437">
      <c r="A1437" s="66"/>
      <c r="B1437" s="67"/>
      <c r="C1437" s="67"/>
      <c r="D1437" s="68"/>
      <c r="E1437" s="68"/>
      <c r="F1437" s="68"/>
      <c r="G1437" s="68"/>
      <c r="H1437" s="68"/>
      <c r="I1437" s="69"/>
      <c r="J1437" s="67"/>
      <c r="K1437" s="67"/>
      <c r="L1437" s="67"/>
      <c r="M1437" s="67"/>
      <c r="N1437" s="67"/>
      <c r="O1437" s="67"/>
      <c r="P1437" s="67"/>
      <c r="Q1437" s="77"/>
      <c r="R1437" s="68"/>
      <c r="S1437" s="68"/>
      <c r="T1437" s="67"/>
      <c r="U1437" s="68"/>
      <c r="V1437" s="68"/>
      <c r="W1437" s="67"/>
      <c r="X1437" s="67"/>
      <c r="Y1437" s="67"/>
      <c r="Z1437" s="67"/>
      <c r="AA1437" s="67"/>
      <c r="AB1437" s="67"/>
      <c r="AC1437" s="67"/>
    </row>
    <row r="1438">
      <c r="A1438" s="66"/>
      <c r="B1438" s="67"/>
      <c r="C1438" s="67"/>
      <c r="D1438" s="68"/>
      <c r="E1438" s="68"/>
      <c r="F1438" s="68"/>
      <c r="G1438" s="68"/>
      <c r="H1438" s="68"/>
      <c r="I1438" s="69"/>
      <c r="J1438" s="67"/>
      <c r="K1438" s="67"/>
      <c r="L1438" s="67"/>
      <c r="M1438" s="67"/>
      <c r="N1438" s="67"/>
      <c r="O1438" s="67"/>
      <c r="P1438" s="67"/>
      <c r="Q1438" s="77"/>
      <c r="R1438" s="68"/>
      <c r="S1438" s="68"/>
      <c r="T1438" s="67"/>
      <c r="U1438" s="68"/>
      <c r="V1438" s="68"/>
      <c r="W1438" s="67"/>
      <c r="X1438" s="67"/>
      <c r="Y1438" s="67"/>
      <c r="Z1438" s="67"/>
      <c r="AA1438" s="67"/>
      <c r="AB1438" s="67"/>
      <c r="AC1438" s="67"/>
    </row>
    <row r="1439">
      <c r="A1439" s="66"/>
      <c r="B1439" s="67"/>
      <c r="C1439" s="67"/>
      <c r="D1439" s="68"/>
      <c r="E1439" s="68"/>
      <c r="F1439" s="68"/>
      <c r="G1439" s="68"/>
      <c r="H1439" s="68"/>
      <c r="I1439" s="69"/>
      <c r="J1439" s="67"/>
      <c r="K1439" s="67"/>
      <c r="L1439" s="67"/>
      <c r="M1439" s="67"/>
      <c r="N1439" s="67"/>
      <c r="O1439" s="67"/>
      <c r="P1439" s="67"/>
      <c r="Q1439" s="77"/>
      <c r="R1439" s="68"/>
      <c r="S1439" s="68"/>
      <c r="T1439" s="67"/>
      <c r="U1439" s="68"/>
      <c r="V1439" s="68"/>
      <c r="W1439" s="67"/>
      <c r="X1439" s="67"/>
      <c r="Y1439" s="67"/>
      <c r="Z1439" s="67"/>
      <c r="AA1439" s="67"/>
      <c r="AB1439" s="67"/>
      <c r="AC1439" s="67"/>
    </row>
    <row r="1440">
      <c r="A1440" s="66"/>
      <c r="B1440" s="67"/>
      <c r="C1440" s="67"/>
      <c r="D1440" s="68"/>
      <c r="E1440" s="68"/>
      <c r="F1440" s="68"/>
      <c r="G1440" s="68"/>
      <c r="H1440" s="68"/>
      <c r="I1440" s="69"/>
      <c r="J1440" s="67"/>
      <c r="K1440" s="67"/>
      <c r="L1440" s="67"/>
      <c r="M1440" s="67"/>
      <c r="N1440" s="67"/>
      <c r="O1440" s="67"/>
      <c r="P1440" s="67"/>
      <c r="Q1440" s="77"/>
      <c r="R1440" s="68"/>
      <c r="S1440" s="68"/>
      <c r="T1440" s="67"/>
      <c r="U1440" s="68"/>
      <c r="V1440" s="68"/>
      <c r="W1440" s="67"/>
      <c r="X1440" s="67"/>
      <c r="Y1440" s="67"/>
      <c r="Z1440" s="67"/>
      <c r="AA1440" s="67"/>
      <c r="AB1440" s="67"/>
      <c r="AC1440" s="67"/>
    </row>
    <row r="1441">
      <c r="A1441" s="66"/>
      <c r="B1441" s="67"/>
      <c r="C1441" s="67"/>
      <c r="D1441" s="68"/>
      <c r="E1441" s="68"/>
      <c r="F1441" s="68"/>
      <c r="G1441" s="68"/>
      <c r="H1441" s="68"/>
      <c r="I1441" s="69"/>
      <c r="J1441" s="67"/>
      <c r="K1441" s="67"/>
      <c r="L1441" s="67"/>
      <c r="M1441" s="67"/>
      <c r="N1441" s="67"/>
      <c r="O1441" s="67"/>
      <c r="P1441" s="67"/>
      <c r="Q1441" s="77"/>
      <c r="R1441" s="68"/>
      <c r="S1441" s="68"/>
      <c r="T1441" s="67"/>
      <c r="U1441" s="68"/>
      <c r="V1441" s="68"/>
      <c r="W1441" s="67"/>
      <c r="X1441" s="67"/>
      <c r="Y1441" s="67"/>
      <c r="Z1441" s="67"/>
      <c r="AA1441" s="67"/>
      <c r="AB1441" s="67"/>
      <c r="AC1441" s="67"/>
    </row>
    <row r="1442">
      <c r="A1442" s="66"/>
      <c r="B1442" s="67"/>
      <c r="C1442" s="67"/>
      <c r="D1442" s="68"/>
      <c r="E1442" s="68"/>
      <c r="F1442" s="68"/>
      <c r="G1442" s="68"/>
      <c r="H1442" s="68"/>
      <c r="I1442" s="69"/>
      <c r="J1442" s="67"/>
      <c r="K1442" s="67"/>
      <c r="L1442" s="67"/>
      <c r="M1442" s="67"/>
      <c r="N1442" s="67"/>
      <c r="O1442" s="67"/>
      <c r="P1442" s="67"/>
      <c r="Q1442" s="77"/>
      <c r="R1442" s="68"/>
      <c r="S1442" s="68"/>
      <c r="T1442" s="67"/>
      <c r="U1442" s="68"/>
      <c r="V1442" s="68"/>
      <c r="W1442" s="67"/>
      <c r="X1442" s="67"/>
      <c r="Y1442" s="67"/>
      <c r="Z1442" s="67"/>
      <c r="AA1442" s="67"/>
      <c r="AB1442" s="67"/>
      <c r="AC1442" s="67"/>
    </row>
    <row r="1443">
      <c r="A1443" s="66"/>
      <c r="B1443" s="67"/>
      <c r="C1443" s="67"/>
      <c r="D1443" s="68"/>
      <c r="E1443" s="68"/>
      <c r="F1443" s="68"/>
      <c r="G1443" s="68"/>
      <c r="H1443" s="68"/>
      <c r="I1443" s="69"/>
      <c r="J1443" s="67"/>
      <c r="K1443" s="67"/>
      <c r="L1443" s="67"/>
      <c r="M1443" s="67"/>
      <c r="N1443" s="67"/>
      <c r="O1443" s="67"/>
      <c r="P1443" s="67"/>
      <c r="Q1443" s="77"/>
      <c r="R1443" s="68"/>
      <c r="S1443" s="68"/>
      <c r="T1443" s="67"/>
      <c r="U1443" s="68"/>
      <c r="V1443" s="68"/>
      <c r="W1443" s="67"/>
      <c r="X1443" s="67"/>
      <c r="Y1443" s="67"/>
      <c r="Z1443" s="67"/>
      <c r="AA1443" s="67"/>
      <c r="AB1443" s="67"/>
      <c r="AC1443" s="67"/>
    </row>
    <row r="1444">
      <c r="A1444" s="66"/>
      <c r="B1444" s="67"/>
      <c r="C1444" s="67"/>
      <c r="D1444" s="68"/>
      <c r="E1444" s="68"/>
      <c r="F1444" s="68"/>
      <c r="G1444" s="68"/>
      <c r="H1444" s="68"/>
      <c r="I1444" s="69"/>
      <c r="J1444" s="67"/>
      <c r="K1444" s="67"/>
      <c r="L1444" s="67"/>
      <c r="M1444" s="67"/>
      <c r="N1444" s="67"/>
      <c r="O1444" s="67"/>
      <c r="P1444" s="67"/>
      <c r="Q1444" s="77"/>
      <c r="R1444" s="68"/>
      <c r="S1444" s="68"/>
      <c r="T1444" s="67"/>
      <c r="U1444" s="68"/>
      <c r="V1444" s="68"/>
      <c r="W1444" s="67"/>
      <c r="X1444" s="67"/>
      <c r="Y1444" s="67"/>
      <c r="Z1444" s="67"/>
      <c r="AA1444" s="67"/>
      <c r="AB1444" s="67"/>
      <c r="AC1444" s="67"/>
    </row>
    <row r="1445">
      <c r="A1445" s="66"/>
      <c r="B1445" s="67"/>
      <c r="C1445" s="67"/>
      <c r="D1445" s="68"/>
      <c r="E1445" s="68"/>
      <c r="F1445" s="68"/>
      <c r="G1445" s="68"/>
      <c r="H1445" s="68"/>
      <c r="I1445" s="69"/>
      <c r="J1445" s="67"/>
      <c r="K1445" s="67"/>
      <c r="L1445" s="67"/>
      <c r="M1445" s="67"/>
      <c r="N1445" s="67"/>
      <c r="O1445" s="67"/>
      <c r="P1445" s="67"/>
      <c r="Q1445" s="77"/>
      <c r="R1445" s="68"/>
      <c r="S1445" s="68"/>
      <c r="T1445" s="67"/>
      <c r="U1445" s="68"/>
      <c r="V1445" s="68"/>
      <c r="W1445" s="67"/>
      <c r="X1445" s="67"/>
      <c r="Y1445" s="67"/>
      <c r="Z1445" s="67"/>
      <c r="AA1445" s="67"/>
      <c r="AB1445" s="67"/>
      <c r="AC1445" s="67"/>
    </row>
    <row r="1446">
      <c r="A1446" s="66"/>
      <c r="B1446" s="67"/>
      <c r="C1446" s="67"/>
      <c r="D1446" s="68"/>
      <c r="E1446" s="68"/>
      <c r="F1446" s="68"/>
      <c r="G1446" s="68"/>
      <c r="H1446" s="68"/>
      <c r="I1446" s="69"/>
      <c r="J1446" s="67"/>
      <c r="K1446" s="67"/>
      <c r="L1446" s="67"/>
      <c r="M1446" s="67"/>
      <c r="N1446" s="67"/>
      <c r="O1446" s="67"/>
      <c r="P1446" s="67"/>
      <c r="Q1446" s="77"/>
      <c r="R1446" s="68"/>
      <c r="S1446" s="68"/>
      <c r="T1446" s="67"/>
      <c r="U1446" s="68"/>
      <c r="V1446" s="68"/>
      <c r="W1446" s="67"/>
      <c r="X1446" s="67"/>
      <c r="Y1446" s="67"/>
      <c r="Z1446" s="67"/>
      <c r="AA1446" s="67"/>
      <c r="AB1446" s="67"/>
      <c r="AC1446" s="67"/>
    </row>
    <row r="1447">
      <c r="A1447" s="66"/>
      <c r="B1447" s="67"/>
      <c r="C1447" s="67"/>
      <c r="D1447" s="68"/>
      <c r="E1447" s="68"/>
      <c r="F1447" s="68"/>
      <c r="G1447" s="68"/>
      <c r="H1447" s="68"/>
      <c r="I1447" s="69"/>
      <c r="J1447" s="67"/>
      <c r="K1447" s="67"/>
      <c r="L1447" s="67"/>
      <c r="M1447" s="67"/>
      <c r="N1447" s="67"/>
      <c r="O1447" s="67"/>
      <c r="P1447" s="67"/>
      <c r="Q1447" s="77"/>
      <c r="R1447" s="68"/>
      <c r="S1447" s="68"/>
      <c r="T1447" s="67"/>
      <c r="U1447" s="68"/>
      <c r="V1447" s="68"/>
      <c r="W1447" s="67"/>
      <c r="X1447" s="67"/>
      <c r="Y1447" s="67"/>
      <c r="Z1447" s="67"/>
      <c r="AA1447" s="67"/>
      <c r="AB1447" s="67"/>
      <c r="AC1447" s="67"/>
    </row>
    <row r="1448">
      <c r="A1448" s="66"/>
      <c r="B1448" s="67"/>
      <c r="C1448" s="67"/>
      <c r="D1448" s="68"/>
      <c r="E1448" s="68"/>
      <c r="F1448" s="68"/>
      <c r="G1448" s="68"/>
      <c r="H1448" s="68"/>
      <c r="I1448" s="69"/>
      <c r="J1448" s="67"/>
      <c r="K1448" s="67"/>
      <c r="L1448" s="67"/>
      <c r="M1448" s="67"/>
      <c r="N1448" s="67"/>
      <c r="O1448" s="67"/>
      <c r="P1448" s="67"/>
      <c r="Q1448" s="77"/>
      <c r="R1448" s="68"/>
      <c r="S1448" s="68"/>
      <c r="T1448" s="67"/>
      <c r="U1448" s="68"/>
      <c r="V1448" s="68"/>
      <c r="W1448" s="67"/>
      <c r="X1448" s="67"/>
      <c r="Y1448" s="67"/>
      <c r="Z1448" s="67"/>
      <c r="AA1448" s="67"/>
      <c r="AB1448" s="67"/>
      <c r="AC1448" s="67"/>
    </row>
    <row r="1449">
      <c r="A1449" s="66"/>
      <c r="B1449" s="67"/>
      <c r="C1449" s="67"/>
      <c r="D1449" s="68"/>
      <c r="E1449" s="68"/>
      <c r="F1449" s="68"/>
      <c r="G1449" s="68"/>
      <c r="H1449" s="68"/>
      <c r="I1449" s="69"/>
      <c r="J1449" s="67"/>
      <c r="K1449" s="67"/>
      <c r="L1449" s="67"/>
      <c r="M1449" s="67"/>
      <c r="N1449" s="67"/>
      <c r="O1449" s="67"/>
      <c r="P1449" s="67"/>
      <c r="Q1449" s="77"/>
      <c r="R1449" s="68"/>
      <c r="S1449" s="68"/>
      <c r="T1449" s="67"/>
      <c r="U1449" s="68"/>
      <c r="V1449" s="68"/>
      <c r="W1449" s="67"/>
      <c r="X1449" s="67"/>
      <c r="Y1449" s="67"/>
      <c r="Z1449" s="67"/>
      <c r="AA1449" s="67"/>
      <c r="AB1449" s="67"/>
      <c r="AC1449" s="67"/>
    </row>
    <row r="1450">
      <c r="A1450" s="66"/>
      <c r="B1450" s="67"/>
      <c r="C1450" s="67"/>
      <c r="D1450" s="68"/>
      <c r="E1450" s="68"/>
      <c r="F1450" s="68"/>
      <c r="G1450" s="68"/>
      <c r="H1450" s="68"/>
      <c r="I1450" s="69"/>
      <c r="J1450" s="67"/>
      <c r="K1450" s="67"/>
      <c r="L1450" s="67"/>
      <c r="M1450" s="67"/>
      <c r="N1450" s="67"/>
      <c r="O1450" s="67"/>
      <c r="P1450" s="67"/>
      <c r="Q1450" s="77"/>
      <c r="R1450" s="68"/>
      <c r="S1450" s="68"/>
      <c r="T1450" s="67"/>
      <c r="U1450" s="68"/>
      <c r="V1450" s="68"/>
      <c r="W1450" s="67"/>
      <c r="X1450" s="67"/>
      <c r="Y1450" s="67"/>
      <c r="Z1450" s="67"/>
      <c r="AA1450" s="67"/>
      <c r="AB1450" s="67"/>
      <c r="AC1450" s="67"/>
    </row>
    <row r="1451">
      <c r="A1451" s="66"/>
      <c r="B1451" s="67"/>
      <c r="C1451" s="67"/>
      <c r="D1451" s="68"/>
      <c r="E1451" s="68"/>
      <c r="F1451" s="68"/>
      <c r="G1451" s="68"/>
      <c r="H1451" s="68"/>
      <c r="I1451" s="69"/>
      <c r="J1451" s="67"/>
      <c r="K1451" s="67"/>
      <c r="L1451" s="67"/>
      <c r="M1451" s="67"/>
      <c r="N1451" s="67"/>
      <c r="O1451" s="67"/>
      <c r="P1451" s="67"/>
      <c r="Q1451" s="77"/>
      <c r="R1451" s="68"/>
      <c r="S1451" s="68"/>
      <c r="T1451" s="67"/>
      <c r="U1451" s="68"/>
      <c r="V1451" s="68"/>
      <c r="W1451" s="67"/>
      <c r="X1451" s="67"/>
      <c r="Y1451" s="67"/>
      <c r="Z1451" s="67"/>
      <c r="AA1451" s="67"/>
      <c r="AB1451" s="67"/>
      <c r="AC1451" s="67"/>
    </row>
    <row r="1452">
      <c r="A1452" s="66"/>
      <c r="B1452" s="67"/>
      <c r="C1452" s="67"/>
      <c r="D1452" s="68"/>
      <c r="E1452" s="68"/>
      <c r="F1452" s="68"/>
      <c r="G1452" s="68"/>
      <c r="H1452" s="68"/>
      <c r="I1452" s="69"/>
      <c r="J1452" s="67"/>
      <c r="K1452" s="67"/>
      <c r="L1452" s="67"/>
      <c r="M1452" s="67"/>
      <c r="N1452" s="67"/>
      <c r="O1452" s="67"/>
      <c r="P1452" s="67"/>
      <c r="Q1452" s="77"/>
      <c r="R1452" s="68"/>
      <c r="S1452" s="68"/>
      <c r="T1452" s="67"/>
      <c r="U1452" s="68"/>
      <c r="V1452" s="68"/>
      <c r="W1452" s="67"/>
      <c r="X1452" s="67"/>
      <c r="Y1452" s="67"/>
      <c r="Z1452" s="67"/>
      <c r="AA1452" s="67"/>
      <c r="AB1452" s="67"/>
      <c r="AC1452" s="67"/>
    </row>
    <row r="1453">
      <c r="A1453" s="66"/>
      <c r="B1453" s="67"/>
      <c r="C1453" s="67"/>
      <c r="D1453" s="68"/>
      <c r="E1453" s="68"/>
      <c r="F1453" s="68"/>
      <c r="G1453" s="68"/>
      <c r="H1453" s="68"/>
      <c r="I1453" s="69"/>
      <c r="J1453" s="67"/>
      <c r="K1453" s="67"/>
      <c r="L1453" s="67"/>
      <c r="M1453" s="67"/>
      <c r="N1453" s="67"/>
      <c r="O1453" s="67"/>
      <c r="P1453" s="67"/>
      <c r="Q1453" s="77"/>
      <c r="R1453" s="68"/>
      <c r="S1453" s="68"/>
      <c r="T1453" s="67"/>
      <c r="U1453" s="68"/>
      <c r="V1453" s="68"/>
      <c r="W1453" s="67"/>
      <c r="X1453" s="67"/>
      <c r="Y1453" s="67"/>
      <c r="Z1453" s="67"/>
      <c r="AA1453" s="67"/>
      <c r="AB1453" s="67"/>
      <c r="AC1453" s="67"/>
    </row>
    <row r="1454">
      <c r="A1454" s="66"/>
      <c r="B1454" s="67"/>
      <c r="C1454" s="67"/>
      <c r="D1454" s="68"/>
      <c r="E1454" s="68"/>
      <c r="F1454" s="68"/>
      <c r="G1454" s="68"/>
      <c r="H1454" s="68"/>
      <c r="I1454" s="69"/>
      <c r="J1454" s="67"/>
      <c r="K1454" s="67"/>
      <c r="L1454" s="67"/>
      <c r="M1454" s="67"/>
      <c r="N1454" s="67"/>
      <c r="O1454" s="67"/>
      <c r="P1454" s="67"/>
      <c r="Q1454" s="77"/>
      <c r="R1454" s="68"/>
      <c r="S1454" s="68"/>
      <c r="T1454" s="67"/>
      <c r="U1454" s="68"/>
      <c r="V1454" s="68"/>
      <c r="W1454" s="67"/>
      <c r="X1454" s="67"/>
      <c r="Y1454" s="67"/>
      <c r="Z1454" s="67"/>
      <c r="AA1454" s="67"/>
      <c r="AB1454" s="67"/>
      <c r="AC1454" s="67"/>
    </row>
    <row r="1455">
      <c r="A1455" s="66"/>
      <c r="B1455" s="67"/>
      <c r="C1455" s="67"/>
      <c r="D1455" s="68"/>
      <c r="E1455" s="68"/>
      <c r="F1455" s="68"/>
      <c r="G1455" s="68"/>
      <c r="H1455" s="68"/>
      <c r="I1455" s="69"/>
      <c r="J1455" s="67"/>
      <c r="K1455" s="67"/>
      <c r="L1455" s="67"/>
      <c r="M1455" s="67"/>
      <c r="N1455" s="67"/>
      <c r="O1455" s="67"/>
      <c r="P1455" s="67"/>
      <c r="Q1455" s="77"/>
      <c r="R1455" s="68"/>
      <c r="S1455" s="68"/>
      <c r="T1455" s="67"/>
      <c r="U1455" s="68"/>
      <c r="V1455" s="68"/>
      <c r="W1455" s="67"/>
      <c r="X1455" s="67"/>
      <c r="Y1455" s="67"/>
      <c r="Z1455" s="67"/>
      <c r="AA1455" s="67"/>
      <c r="AB1455" s="67"/>
      <c r="AC1455" s="67"/>
    </row>
    <row r="1456">
      <c r="A1456" s="66"/>
      <c r="B1456" s="67"/>
      <c r="C1456" s="67"/>
      <c r="D1456" s="68"/>
      <c r="E1456" s="68"/>
      <c r="F1456" s="68"/>
      <c r="G1456" s="68"/>
      <c r="H1456" s="68"/>
      <c r="I1456" s="69"/>
      <c r="J1456" s="67"/>
      <c r="K1456" s="67"/>
      <c r="L1456" s="67"/>
      <c r="M1456" s="67"/>
      <c r="N1456" s="67"/>
      <c r="O1456" s="67"/>
      <c r="P1456" s="67"/>
      <c r="Q1456" s="77"/>
      <c r="R1456" s="68"/>
      <c r="S1456" s="68"/>
      <c r="T1456" s="67"/>
      <c r="U1456" s="68"/>
      <c r="V1456" s="68"/>
      <c r="W1456" s="67"/>
      <c r="X1456" s="67"/>
      <c r="Y1456" s="67"/>
      <c r="Z1456" s="67"/>
      <c r="AA1456" s="67"/>
      <c r="AB1456" s="67"/>
      <c r="AC1456" s="67"/>
    </row>
    <row r="1457">
      <c r="A1457" s="66"/>
      <c r="B1457" s="67"/>
      <c r="C1457" s="67"/>
      <c r="D1457" s="68"/>
      <c r="E1457" s="68"/>
      <c r="F1457" s="68"/>
      <c r="G1457" s="68"/>
      <c r="H1457" s="68"/>
      <c r="I1457" s="69"/>
      <c r="J1457" s="67"/>
      <c r="K1457" s="67"/>
      <c r="L1457" s="67"/>
      <c r="M1457" s="67"/>
      <c r="N1457" s="67"/>
      <c r="O1457" s="67"/>
      <c r="P1457" s="67"/>
      <c r="Q1457" s="77"/>
      <c r="R1457" s="68"/>
      <c r="S1457" s="68"/>
      <c r="T1457" s="67"/>
      <c r="U1457" s="68"/>
      <c r="V1457" s="68"/>
      <c r="W1457" s="67"/>
      <c r="X1457" s="67"/>
      <c r="Y1457" s="67"/>
      <c r="Z1457" s="67"/>
      <c r="AA1457" s="67"/>
      <c r="AB1457" s="67"/>
      <c r="AC1457" s="67"/>
    </row>
    <row r="1458">
      <c r="A1458" s="66"/>
      <c r="B1458" s="67"/>
      <c r="C1458" s="67"/>
      <c r="D1458" s="68"/>
      <c r="E1458" s="68"/>
      <c r="F1458" s="68"/>
      <c r="G1458" s="68"/>
      <c r="H1458" s="68"/>
      <c r="I1458" s="69"/>
      <c r="J1458" s="67"/>
      <c r="K1458" s="67"/>
      <c r="L1458" s="67"/>
      <c r="M1458" s="67"/>
      <c r="N1458" s="67"/>
      <c r="O1458" s="67"/>
      <c r="P1458" s="67"/>
      <c r="Q1458" s="77"/>
      <c r="R1458" s="68"/>
      <c r="S1458" s="68"/>
      <c r="T1458" s="67"/>
      <c r="U1458" s="68"/>
      <c r="V1458" s="68"/>
      <c r="W1458" s="67"/>
      <c r="X1458" s="67"/>
      <c r="Y1458" s="67"/>
      <c r="Z1458" s="67"/>
      <c r="AA1458" s="67"/>
      <c r="AB1458" s="67"/>
      <c r="AC1458" s="67"/>
    </row>
    <row r="1459">
      <c r="A1459" s="66"/>
      <c r="B1459" s="67"/>
      <c r="C1459" s="67"/>
      <c r="D1459" s="68"/>
      <c r="E1459" s="68"/>
      <c r="F1459" s="68"/>
      <c r="G1459" s="68"/>
      <c r="H1459" s="68"/>
      <c r="I1459" s="69"/>
      <c r="J1459" s="67"/>
      <c r="K1459" s="67"/>
      <c r="L1459" s="67"/>
      <c r="M1459" s="67"/>
      <c r="N1459" s="67"/>
      <c r="O1459" s="67"/>
      <c r="P1459" s="67"/>
      <c r="Q1459" s="77"/>
      <c r="R1459" s="68"/>
      <c r="S1459" s="68"/>
      <c r="T1459" s="67"/>
      <c r="U1459" s="68"/>
      <c r="V1459" s="68"/>
      <c r="W1459" s="67"/>
      <c r="X1459" s="67"/>
      <c r="Y1459" s="67"/>
      <c r="Z1459" s="67"/>
      <c r="AA1459" s="67"/>
      <c r="AB1459" s="67"/>
      <c r="AC1459" s="67"/>
    </row>
    <row r="1460">
      <c r="A1460" s="66"/>
      <c r="B1460" s="67"/>
      <c r="C1460" s="67"/>
      <c r="D1460" s="68"/>
      <c r="E1460" s="68"/>
      <c r="F1460" s="68"/>
      <c r="G1460" s="68"/>
      <c r="H1460" s="68"/>
      <c r="I1460" s="69"/>
      <c r="J1460" s="67"/>
      <c r="K1460" s="67"/>
      <c r="L1460" s="67"/>
      <c r="M1460" s="67"/>
      <c r="N1460" s="67"/>
      <c r="O1460" s="67"/>
      <c r="P1460" s="67"/>
      <c r="Q1460" s="77"/>
      <c r="R1460" s="68"/>
      <c r="S1460" s="68"/>
      <c r="T1460" s="67"/>
      <c r="U1460" s="68"/>
      <c r="V1460" s="68"/>
      <c r="W1460" s="67"/>
      <c r="X1460" s="67"/>
      <c r="Y1460" s="67"/>
      <c r="Z1460" s="67"/>
      <c r="AA1460" s="67"/>
      <c r="AB1460" s="67"/>
      <c r="AC1460" s="67"/>
    </row>
    <row r="1461">
      <c r="A1461" s="66"/>
      <c r="B1461" s="67"/>
      <c r="C1461" s="67"/>
      <c r="D1461" s="68"/>
      <c r="E1461" s="68"/>
      <c r="F1461" s="68"/>
      <c r="G1461" s="68"/>
      <c r="H1461" s="68"/>
      <c r="I1461" s="69"/>
      <c r="J1461" s="67"/>
      <c r="K1461" s="67"/>
      <c r="L1461" s="67"/>
      <c r="M1461" s="67"/>
      <c r="N1461" s="67"/>
      <c r="O1461" s="67"/>
      <c r="P1461" s="67"/>
      <c r="Q1461" s="77"/>
      <c r="R1461" s="68"/>
      <c r="S1461" s="68"/>
      <c r="T1461" s="67"/>
      <c r="U1461" s="68"/>
      <c r="V1461" s="68"/>
      <c r="W1461" s="67"/>
      <c r="X1461" s="67"/>
      <c r="Y1461" s="67"/>
      <c r="Z1461" s="67"/>
      <c r="AA1461" s="67"/>
      <c r="AB1461" s="67"/>
      <c r="AC1461" s="67"/>
    </row>
    <row r="1462">
      <c r="A1462" s="66"/>
      <c r="B1462" s="67"/>
      <c r="C1462" s="67"/>
      <c r="D1462" s="68"/>
      <c r="E1462" s="68"/>
      <c r="F1462" s="68"/>
      <c r="G1462" s="68"/>
      <c r="H1462" s="68"/>
      <c r="I1462" s="69"/>
      <c r="J1462" s="67"/>
      <c r="K1462" s="67"/>
      <c r="L1462" s="67"/>
      <c r="M1462" s="67"/>
      <c r="N1462" s="67"/>
      <c r="O1462" s="67"/>
      <c r="P1462" s="67"/>
      <c r="Q1462" s="77"/>
      <c r="R1462" s="68"/>
      <c r="S1462" s="68"/>
      <c r="T1462" s="67"/>
      <c r="U1462" s="68"/>
      <c r="V1462" s="68"/>
      <c r="W1462" s="67"/>
      <c r="X1462" s="67"/>
      <c r="Y1462" s="67"/>
      <c r="Z1462" s="67"/>
      <c r="AA1462" s="67"/>
      <c r="AB1462" s="67"/>
      <c r="AC1462" s="67"/>
    </row>
    <row r="1463">
      <c r="A1463" s="66"/>
      <c r="B1463" s="67"/>
      <c r="C1463" s="67"/>
      <c r="D1463" s="68"/>
      <c r="E1463" s="68"/>
      <c r="F1463" s="68"/>
      <c r="G1463" s="68"/>
      <c r="H1463" s="68"/>
      <c r="I1463" s="69"/>
      <c r="J1463" s="67"/>
      <c r="K1463" s="67"/>
      <c r="L1463" s="67"/>
      <c r="M1463" s="67"/>
      <c r="N1463" s="67"/>
      <c r="O1463" s="67"/>
      <c r="P1463" s="67"/>
      <c r="Q1463" s="77"/>
      <c r="R1463" s="68"/>
      <c r="S1463" s="68"/>
      <c r="T1463" s="67"/>
      <c r="U1463" s="68"/>
      <c r="V1463" s="68"/>
      <c r="W1463" s="67"/>
      <c r="X1463" s="67"/>
      <c r="Y1463" s="67"/>
      <c r="Z1463" s="67"/>
      <c r="AA1463" s="67"/>
      <c r="AB1463" s="67"/>
      <c r="AC1463" s="67"/>
    </row>
    <row r="1464">
      <c r="A1464" s="66"/>
      <c r="B1464" s="67"/>
      <c r="C1464" s="67"/>
      <c r="D1464" s="68"/>
      <c r="E1464" s="68"/>
      <c r="F1464" s="68"/>
      <c r="G1464" s="68"/>
      <c r="H1464" s="68"/>
      <c r="I1464" s="69"/>
      <c r="J1464" s="67"/>
      <c r="K1464" s="67"/>
      <c r="L1464" s="67"/>
      <c r="M1464" s="67"/>
      <c r="N1464" s="67"/>
      <c r="O1464" s="67"/>
      <c r="P1464" s="67"/>
      <c r="Q1464" s="77"/>
      <c r="R1464" s="68"/>
      <c r="S1464" s="68"/>
      <c r="T1464" s="67"/>
      <c r="U1464" s="68"/>
      <c r="V1464" s="68"/>
      <c r="W1464" s="67"/>
      <c r="X1464" s="67"/>
      <c r="Y1464" s="67"/>
      <c r="Z1464" s="67"/>
      <c r="AA1464" s="67"/>
      <c r="AB1464" s="67"/>
      <c r="AC1464" s="67"/>
    </row>
    <row r="1465">
      <c r="A1465" s="66"/>
      <c r="B1465" s="67"/>
      <c r="C1465" s="67"/>
      <c r="D1465" s="68"/>
      <c r="E1465" s="68"/>
      <c r="F1465" s="68"/>
      <c r="G1465" s="68"/>
      <c r="H1465" s="68"/>
      <c r="I1465" s="69"/>
      <c r="J1465" s="67"/>
      <c r="K1465" s="67"/>
      <c r="L1465" s="67"/>
      <c r="M1465" s="67"/>
      <c r="N1465" s="67"/>
      <c r="O1465" s="67"/>
      <c r="P1465" s="67"/>
      <c r="Q1465" s="77"/>
      <c r="R1465" s="68"/>
      <c r="S1465" s="68"/>
      <c r="T1465" s="67"/>
      <c r="U1465" s="68"/>
      <c r="V1465" s="68"/>
      <c r="W1465" s="67"/>
      <c r="X1465" s="67"/>
      <c r="Y1465" s="67"/>
      <c r="Z1465" s="67"/>
      <c r="AA1465" s="67"/>
      <c r="AB1465" s="67"/>
      <c r="AC1465" s="67"/>
    </row>
    <row r="1466">
      <c r="A1466" s="66"/>
      <c r="B1466" s="67"/>
      <c r="C1466" s="67"/>
      <c r="D1466" s="68"/>
      <c r="E1466" s="68"/>
      <c r="F1466" s="68"/>
      <c r="G1466" s="68"/>
      <c r="H1466" s="68"/>
      <c r="I1466" s="69"/>
      <c r="J1466" s="67"/>
      <c r="K1466" s="67"/>
      <c r="L1466" s="67"/>
      <c r="M1466" s="67"/>
      <c r="N1466" s="67"/>
      <c r="O1466" s="67"/>
      <c r="P1466" s="67"/>
      <c r="Q1466" s="77"/>
      <c r="R1466" s="68"/>
      <c r="S1466" s="68"/>
      <c r="T1466" s="67"/>
      <c r="U1466" s="68"/>
      <c r="V1466" s="68"/>
      <c r="W1466" s="67"/>
      <c r="X1466" s="67"/>
      <c r="Y1466" s="67"/>
      <c r="Z1466" s="67"/>
      <c r="AA1466" s="67"/>
      <c r="AB1466" s="67"/>
      <c r="AC1466" s="67"/>
    </row>
    <row r="1467">
      <c r="A1467" s="66"/>
      <c r="B1467" s="67"/>
      <c r="C1467" s="67"/>
      <c r="D1467" s="68"/>
      <c r="E1467" s="68"/>
      <c r="F1467" s="68"/>
      <c r="G1467" s="68"/>
      <c r="H1467" s="68"/>
      <c r="I1467" s="69"/>
      <c r="J1467" s="67"/>
      <c r="K1467" s="67"/>
      <c r="L1467" s="67"/>
      <c r="M1467" s="67"/>
      <c r="N1467" s="67"/>
      <c r="O1467" s="67"/>
      <c r="P1467" s="67"/>
      <c r="Q1467" s="77"/>
      <c r="R1467" s="68"/>
      <c r="S1467" s="68"/>
      <c r="T1467" s="67"/>
      <c r="U1467" s="68"/>
      <c r="V1467" s="68"/>
      <c r="W1467" s="67"/>
      <c r="X1467" s="67"/>
      <c r="Y1467" s="67"/>
      <c r="Z1467" s="67"/>
      <c r="AA1467" s="67"/>
      <c r="AB1467" s="67"/>
      <c r="AC1467" s="67"/>
    </row>
    <row r="1468">
      <c r="A1468" s="66"/>
      <c r="B1468" s="67"/>
      <c r="C1468" s="67"/>
      <c r="D1468" s="68"/>
      <c r="E1468" s="68"/>
      <c r="F1468" s="68"/>
      <c r="G1468" s="68"/>
      <c r="H1468" s="68"/>
      <c r="I1468" s="69"/>
      <c r="J1468" s="67"/>
      <c r="K1468" s="67"/>
      <c r="L1468" s="67"/>
      <c r="M1468" s="67"/>
      <c r="N1468" s="67"/>
      <c r="O1468" s="67"/>
      <c r="P1468" s="67"/>
      <c r="Q1468" s="77"/>
      <c r="R1468" s="68"/>
      <c r="S1468" s="68"/>
      <c r="T1468" s="67"/>
      <c r="U1468" s="68"/>
      <c r="V1468" s="68"/>
      <c r="W1468" s="67"/>
      <c r="X1468" s="67"/>
      <c r="Y1468" s="67"/>
      <c r="Z1468" s="67"/>
      <c r="AA1468" s="67"/>
      <c r="AB1468" s="67"/>
      <c r="AC1468" s="67"/>
    </row>
    <row r="1469">
      <c r="A1469" s="66"/>
      <c r="B1469" s="67"/>
      <c r="C1469" s="67"/>
      <c r="D1469" s="68"/>
      <c r="E1469" s="68"/>
      <c r="F1469" s="68"/>
      <c r="G1469" s="68"/>
      <c r="H1469" s="68"/>
      <c r="I1469" s="69"/>
      <c r="J1469" s="67"/>
      <c r="K1469" s="67"/>
      <c r="L1469" s="67"/>
      <c r="M1469" s="67"/>
      <c r="N1469" s="67"/>
      <c r="O1469" s="67"/>
      <c r="P1469" s="67"/>
      <c r="Q1469" s="77"/>
      <c r="R1469" s="68"/>
      <c r="S1469" s="68"/>
      <c r="T1469" s="67"/>
      <c r="U1469" s="68"/>
      <c r="V1469" s="68"/>
      <c r="W1469" s="67"/>
      <c r="X1469" s="67"/>
      <c r="Y1469" s="67"/>
      <c r="Z1469" s="67"/>
      <c r="AA1469" s="67"/>
      <c r="AB1469" s="67"/>
      <c r="AC1469" s="67"/>
    </row>
    <row r="1470">
      <c r="A1470" s="66"/>
      <c r="B1470" s="67"/>
      <c r="C1470" s="67"/>
      <c r="D1470" s="68"/>
      <c r="E1470" s="68"/>
      <c r="F1470" s="68"/>
      <c r="G1470" s="68"/>
      <c r="H1470" s="68"/>
      <c r="I1470" s="69"/>
      <c r="J1470" s="67"/>
      <c r="K1470" s="67"/>
      <c r="L1470" s="67"/>
      <c r="M1470" s="67"/>
      <c r="N1470" s="67"/>
      <c r="O1470" s="67"/>
      <c r="P1470" s="67"/>
      <c r="Q1470" s="77"/>
      <c r="R1470" s="68"/>
      <c r="S1470" s="68"/>
      <c r="T1470" s="67"/>
      <c r="U1470" s="68"/>
      <c r="V1470" s="68"/>
      <c r="W1470" s="67"/>
      <c r="X1470" s="67"/>
      <c r="Y1470" s="67"/>
      <c r="Z1470" s="67"/>
      <c r="AA1470" s="67"/>
      <c r="AB1470" s="67"/>
      <c r="AC1470" s="67"/>
    </row>
    <row r="1471">
      <c r="A1471" s="66"/>
      <c r="B1471" s="67"/>
      <c r="C1471" s="67"/>
      <c r="D1471" s="68"/>
      <c r="E1471" s="68"/>
      <c r="F1471" s="68"/>
      <c r="G1471" s="68"/>
      <c r="H1471" s="68"/>
      <c r="I1471" s="69"/>
      <c r="J1471" s="67"/>
      <c r="K1471" s="67"/>
      <c r="L1471" s="67"/>
      <c r="M1471" s="67"/>
      <c r="N1471" s="67"/>
      <c r="O1471" s="67"/>
      <c r="P1471" s="67"/>
      <c r="Q1471" s="77"/>
      <c r="R1471" s="68"/>
      <c r="S1471" s="68"/>
      <c r="T1471" s="67"/>
      <c r="U1471" s="68"/>
      <c r="V1471" s="68"/>
      <c r="W1471" s="67"/>
      <c r="X1471" s="67"/>
      <c r="Y1471" s="67"/>
      <c r="Z1471" s="67"/>
      <c r="AA1471" s="67"/>
      <c r="AB1471" s="67"/>
      <c r="AC1471" s="67"/>
    </row>
    <row r="1472">
      <c r="A1472" s="66"/>
      <c r="B1472" s="67"/>
      <c r="C1472" s="67"/>
      <c r="D1472" s="68"/>
      <c r="E1472" s="68"/>
      <c r="F1472" s="68"/>
      <c r="G1472" s="68"/>
      <c r="H1472" s="68"/>
      <c r="I1472" s="69"/>
      <c r="J1472" s="67"/>
      <c r="K1472" s="67"/>
      <c r="L1472" s="67"/>
      <c r="M1472" s="67"/>
      <c r="N1472" s="67"/>
      <c r="O1472" s="67"/>
      <c r="P1472" s="67"/>
      <c r="Q1472" s="77"/>
      <c r="R1472" s="68"/>
      <c r="S1472" s="68"/>
      <c r="T1472" s="67"/>
      <c r="U1472" s="68"/>
      <c r="V1472" s="68"/>
      <c r="W1472" s="67"/>
      <c r="X1472" s="67"/>
      <c r="Y1472" s="67"/>
      <c r="Z1472" s="67"/>
      <c r="AA1472" s="67"/>
      <c r="AB1472" s="67"/>
      <c r="AC1472" s="67"/>
    </row>
    <row r="1473">
      <c r="A1473" s="66"/>
      <c r="B1473" s="67"/>
      <c r="C1473" s="67"/>
      <c r="D1473" s="68"/>
      <c r="E1473" s="68"/>
      <c r="F1473" s="68"/>
      <c r="G1473" s="68"/>
      <c r="H1473" s="68"/>
      <c r="I1473" s="69"/>
      <c r="J1473" s="67"/>
      <c r="K1473" s="67"/>
      <c r="L1473" s="67"/>
      <c r="M1473" s="67"/>
      <c r="N1473" s="67"/>
      <c r="O1473" s="67"/>
      <c r="P1473" s="67"/>
      <c r="Q1473" s="77"/>
      <c r="R1473" s="68"/>
      <c r="S1473" s="68"/>
      <c r="T1473" s="67"/>
      <c r="U1473" s="68"/>
      <c r="V1473" s="68"/>
      <c r="W1473" s="67"/>
      <c r="X1473" s="67"/>
      <c r="Y1473" s="67"/>
      <c r="Z1473" s="67"/>
      <c r="AA1473" s="67"/>
      <c r="AB1473" s="67"/>
      <c r="AC1473" s="67"/>
    </row>
    <row r="1474">
      <c r="A1474" s="66"/>
      <c r="B1474" s="67"/>
      <c r="C1474" s="67"/>
      <c r="D1474" s="68"/>
      <c r="E1474" s="68"/>
      <c r="F1474" s="68"/>
      <c r="G1474" s="68"/>
      <c r="H1474" s="68"/>
      <c r="I1474" s="69"/>
      <c r="J1474" s="67"/>
      <c r="K1474" s="67"/>
      <c r="L1474" s="67"/>
      <c r="M1474" s="67"/>
      <c r="N1474" s="67"/>
      <c r="O1474" s="67"/>
      <c r="P1474" s="67"/>
      <c r="Q1474" s="77"/>
      <c r="R1474" s="68"/>
      <c r="S1474" s="68"/>
      <c r="T1474" s="67"/>
      <c r="U1474" s="68"/>
      <c r="V1474" s="68"/>
      <c r="W1474" s="67"/>
      <c r="X1474" s="67"/>
      <c r="Y1474" s="67"/>
      <c r="Z1474" s="67"/>
      <c r="AA1474" s="67"/>
      <c r="AB1474" s="67"/>
      <c r="AC1474" s="67"/>
    </row>
    <row r="1475">
      <c r="A1475" s="66"/>
      <c r="B1475" s="67"/>
      <c r="C1475" s="67"/>
      <c r="D1475" s="68"/>
      <c r="E1475" s="68"/>
      <c r="F1475" s="68"/>
      <c r="G1475" s="68"/>
      <c r="H1475" s="68"/>
      <c r="I1475" s="69"/>
      <c r="J1475" s="67"/>
      <c r="K1475" s="67"/>
      <c r="L1475" s="67"/>
      <c r="M1475" s="67"/>
      <c r="N1475" s="67"/>
      <c r="O1475" s="67"/>
      <c r="P1475" s="67"/>
      <c r="Q1475" s="77"/>
      <c r="R1475" s="68"/>
      <c r="S1475" s="68"/>
      <c r="T1475" s="67"/>
      <c r="U1475" s="68"/>
      <c r="V1475" s="68"/>
      <c r="W1475" s="67"/>
      <c r="X1475" s="67"/>
      <c r="Y1475" s="67"/>
      <c r="Z1475" s="67"/>
      <c r="AA1475" s="67"/>
      <c r="AB1475" s="67"/>
      <c r="AC1475" s="67"/>
    </row>
    <row r="1476">
      <c r="A1476" s="66"/>
      <c r="B1476" s="67"/>
      <c r="C1476" s="67"/>
      <c r="D1476" s="68"/>
      <c r="E1476" s="68"/>
      <c r="F1476" s="68"/>
      <c r="G1476" s="68"/>
      <c r="H1476" s="68"/>
      <c r="I1476" s="69"/>
      <c r="J1476" s="67"/>
      <c r="K1476" s="67"/>
      <c r="L1476" s="67"/>
      <c r="M1476" s="67"/>
      <c r="N1476" s="67"/>
      <c r="O1476" s="67"/>
      <c r="P1476" s="67"/>
      <c r="Q1476" s="77"/>
      <c r="R1476" s="68"/>
      <c r="S1476" s="68"/>
      <c r="T1476" s="67"/>
      <c r="U1476" s="68"/>
      <c r="V1476" s="68"/>
      <c r="W1476" s="67"/>
      <c r="X1476" s="67"/>
      <c r="Y1476" s="67"/>
      <c r="Z1476" s="67"/>
      <c r="AA1476" s="67"/>
      <c r="AB1476" s="67"/>
      <c r="AC1476" s="67"/>
    </row>
    <row r="1477">
      <c r="A1477" s="66"/>
      <c r="B1477" s="67"/>
      <c r="C1477" s="67"/>
      <c r="D1477" s="68"/>
      <c r="E1477" s="68"/>
      <c r="F1477" s="68"/>
      <c r="G1477" s="68"/>
      <c r="H1477" s="68"/>
      <c r="I1477" s="69"/>
      <c r="J1477" s="67"/>
      <c r="K1477" s="67"/>
      <c r="L1477" s="67"/>
      <c r="M1477" s="67"/>
      <c r="N1477" s="67"/>
      <c r="O1477" s="67"/>
      <c r="P1477" s="67"/>
      <c r="Q1477" s="77"/>
      <c r="R1477" s="68"/>
      <c r="S1477" s="68"/>
      <c r="T1477" s="67"/>
      <c r="U1477" s="68"/>
      <c r="V1477" s="68"/>
      <c r="W1477" s="67"/>
      <c r="X1477" s="67"/>
      <c r="Y1477" s="67"/>
      <c r="Z1477" s="67"/>
      <c r="AA1477" s="67"/>
      <c r="AB1477" s="67"/>
      <c r="AC1477" s="67"/>
    </row>
    <row r="1478">
      <c r="A1478" s="66"/>
      <c r="B1478" s="67"/>
      <c r="C1478" s="67"/>
      <c r="D1478" s="68"/>
      <c r="E1478" s="68"/>
      <c r="F1478" s="68"/>
      <c r="G1478" s="68"/>
      <c r="H1478" s="68"/>
      <c r="I1478" s="69"/>
      <c r="J1478" s="67"/>
      <c r="K1478" s="67"/>
      <c r="L1478" s="67"/>
      <c r="M1478" s="67"/>
      <c r="N1478" s="67"/>
      <c r="O1478" s="67"/>
      <c r="P1478" s="67"/>
      <c r="Q1478" s="77"/>
      <c r="R1478" s="68"/>
      <c r="S1478" s="68"/>
      <c r="T1478" s="67"/>
      <c r="U1478" s="68"/>
      <c r="V1478" s="68"/>
      <c r="W1478" s="67"/>
      <c r="X1478" s="67"/>
      <c r="Y1478" s="67"/>
      <c r="Z1478" s="67"/>
      <c r="AA1478" s="67"/>
      <c r="AB1478" s="67"/>
      <c r="AC1478" s="67"/>
    </row>
    <row r="1479">
      <c r="A1479" s="66"/>
      <c r="B1479" s="67"/>
      <c r="C1479" s="67"/>
      <c r="D1479" s="68"/>
      <c r="E1479" s="68"/>
      <c r="F1479" s="68"/>
      <c r="G1479" s="68"/>
      <c r="H1479" s="68"/>
      <c r="I1479" s="69"/>
      <c r="J1479" s="67"/>
      <c r="K1479" s="67"/>
      <c r="L1479" s="67"/>
      <c r="M1479" s="67"/>
      <c r="N1479" s="67"/>
      <c r="O1479" s="67"/>
      <c r="P1479" s="67"/>
      <c r="Q1479" s="77"/>
      <c r="R1479" s="68"/>
      <c r="S1479" s="68"/>
      <c r="T1479" s="67"/>
      <c r="U1479" s="68"/>
      <c r="V1479" s="68"/>
      <c r="W1479" s="67"/>
      <c r="X1479" s="67"/>
      <c r="Y1479" s="67"/>
      <c r="Z1479" s="67"/>
      <c r="AA1479" s="67"/>
      <c r="AB1479" s="67"/>
      <c r="AC1479" s="67"/>
    </row>
    <row r="1480">
      <c r="A1480" s="66"/>
      <c r="B1480" s="67"/>
      <c r="C1480" s="67"/>
      <c r="D1480" s="68"/>
      <c r="E1480" s="68"/>
      <c r="F1480" s="68"/>
      <c r="G1480" s="68"/>
      <c r="H1480" s="68"/>
      <c r="I1480" s="69"/>
      <c r="J1480" s="67"/>
      <c r="K1480" s="67"/>
      <c r="L1480" s="67"/>
      <c r="M1480" s="67"/>
      <c r="N1480" s="67"/>
      <c r="O1480" s="67"/>
      <c r="P1480" s="67"/>
      <c r="Q1480" s="77"/>
      <c r="R1480" s="68"/>
      <c r="S1480" s="68"/>
      <c r="T1480" s="67"/>
      <c r="U1480" s="68"/>
      <c r="V1480" s="68"/>
      <c r="W1480" s="67"/>
      <c r="X1480" s="67"/>
      <c r="Y1480" s="67"/>
      <c r="Z1480" s="67"/>
      <c r="AA1480" s="67"/>
      <c r="AB1480" s="67"/>
      <c r="AC1480" s="67"/>
    </row>
    <row r="1481">
      <c r="A1481" s="66"/>
      <c r="B1481" s="67"/>
      <c r="C1481" s="67"/>
      <c r="D1481" s="68"/>
      <c r="E1481" s="68"/>
      <c r="F1481" s="68"/>
      <c r="G1481" s="68"/>
      <c r="H1481" s="68"/>
      <c r="I1481" s="69"/>
      <c r="J1481" s="67"/>
      <c r="K1481" s="67"/>
      <c r="L1481" s="67"/>
      <c r="M1481" s="67"/>
      <c r="N1481" s="67"/>
      <c r="O1481" s="67"/>
      <c r="P1481" s="67"/>
      <c r="Q1481" s="77"/>
      <c r="R1481" s="68"/>
      <c r="S1481" s="68"/>
      <c r="T1481" s="67"/>
      <c r="U1481" s="68"/>
      <c r="V1481" s="68"/>
      <c r="W1481" s="67"/>
      <c r="X1481" s="67"/>
      <c r="Y1481" s="67"/>
      <c r="Z1481" s="67"/>
      <c r="AA1481" s="67"/>
      <c r="AB1481" s="67"/>
      <c r="AC1481" s="67"/>
    </row>
    <row r="1482">
      <c r="A1482" s="66"/>
      <c r="B1482" s="67"/>
      <c r="C1482" s="67"/>
      <c r="D1482" s="68"/>
      <c r="E1482" s="68"/>
      <c r="F1482" s="68"/>
      <c r="G1482" s="68"/>
      <c r="H1482" s="68"/>
      <c r="I1482" s="69"/>
      <c r="J1482" s="67"/>
      <c r="K1482" s="67"/>
      <c r="L1482" s="67"/>
      <c r="M1482" s="67"/>
      <c r="N1482" s="67"/>
      <c r="O1482" s="67"/>
      <c r="P1482" s="67"/>
      <c r="Q1482" s="77"/>
      <c r="R1482" s="68"/>
      <c r="S1482" s="68"/>
      <c r="T1482" s="67"/>
      <c r="U1482" s="68"/>
      <c r="V1482" s="68"/>
      <c r="W1482" s="67"/>
      <c r="X1482" s="67"/>
      <c r="Y1482" s="67"/>
      <c r="Z1482" s="67"/>
      <c r="AA1482" s="67"/>
      <c r="AB1482" s="67"/>
      <c r="AC1482" s="67"/>
    </row>
    <row r="1483">
      <c r="A1483" s="66"/>
      <c r="B1483" s="67"/>
      <c r="C1483" s="67"/>
      <c r="D1483" s="68"/>
      <c r="E1483" s="68"/>
      <c r="F1483" s="68"/>
      <c r="G1483" s="68"/>
      <c r="H1483" s="68"/>
      <c r="I1483" s="69"/>
      <c r="J1483" s="67"/>
      <c r="K1483" s="67"/>
      <c r="L1483" s="67"/>
      <c r="M1483" s="67"/>
      <c r="N1483" s="67"/>
      <c r="O1483" s="67"/>
      <c r="P1483" s="67"/>
      <c r="Q1483" s="77"/>
      <c r="R1483" s="68"/>
      <c r="S1483" s="68"/>
      <c r="T1483" s="67"/>
      <c r="U1483" s="68"/>
      <c r="V1483" s="68"/>
      <c r="W1483" s="67"/>
      <c r="X1483" s="67"/>
      <c r="Y1483" s="67"/>
      <c r="Z1483" s="67"/>
      <c r="AA1483" s="67"/>
      <c r="AB1483" s="67"/>
      <c r="AC1483" s="67"/>
    </row>
    <row r="1484">
      <c r="A1484" s="66"/>
      <c r="B1484" s="67"/>
      <c r="C1484" s="67"/>
      <c r="D1484" s="68"/>
      <c r="E1484" s="68"/>
      <c r="F1484" s="68"/>
      <c r="G1484" s="68"/>
      <c r="H1484" s="68"/>
      <c r="I1484" s="69"/>
      <c r="J1484" s="67"/>
      <c r="K1484" s="67"/>
      <c r="L1484" s="67"/>
      <c r="M1484" s="67"/>
      <c r="N1484" s="67"/>
      <c r="O1484" s="67"/>
      <c r="P1484" s="67"/>
      <c r="Q1484" s="77"/>
      <c r="R1484" s="68"/>
      <c r="S1484" s="68"/>
      <c r="T1484" s="67"/>
      <c r="U1484" s="68"/>
      <c r="V1484" s="68"/>
      <c r="W1484" s="67"/>
      <c r="X1484" s="67"/>
      <c r="Y1484" s="67"/>
      <c r="Z1484" s="67"/>
      <c r="AA1484" s="67"/>
      <c r="AB1484" s="67"/>
      <c r="AC1484" s="67"/>
    </row>
    <row r="1485">
      <c r="A1485" s="66"/>
      <c r="B1485" s="67"/>
      <c r="C1485" s="67"/>
      <c r="D1485" s="68"/>
      <c r="E1485" s="68"/>
      <c r="F1485" s="68"/>
      <c r="G1485" s="68"/>
      <c r="H1485" s="68"/>
      <c r="I1485" s="69"/>
      <c r="J1485" s="67"/>
      <c r="K1485" s="67"/>
      <c r="L1485" s="67"/>
      <c r="M1485" s="67"/>
      <c r="N1485" s="67"/>
      <c r="O1485" s="67"/>
      <c r="P1485" s="67"/>
      <c r="Q1485" s="77"/>
      <c r="R1485" s="68"/>
      <c r="S1485" s="68"/>
      <c r="T1485" s="67"/>
      <c r="U1485" s="68"/>
      <c r="V1485" s="68"/>
      <c r="W1485" s="67"/>
      <c r="X1485" s="67"/>
      <c r="Y1485" s="67"/>
      <c r="Z1485" s="67"/>
      <c r="AA1485" s="67"/>
      <c r="AB1485" s="67"/>
      <c r="AC1485" s="67"/>
    </row>
    <row r="1486">
      <c r="A1486" s="66"/>
      <c r="B1486" s="67"/>
      <c r="C1486" s="67"/>
      <c r="D1486" s="68"/>
      <c r="E1486" s="68"/>
      <c r="F1486" s="68"/>
      <c r="G1486" s="68"/>
      <c r="H1486" s="68"/>
      <c r="I1486" s="69"/>
      <c r="J1486" s="67"/>
      <c r="K1486" s="67"/>
      <c r="L1486" s="67"/>
      <c r="M1486" s="67"/>
      <c r="N1486" s="67"/>
      <c r="O1486" s="67"/>
      <c r="P1486" s="67"/>
      <c r="Q1486" s="77"/>
      <c r="R1486" s="68"/>
      <c r="S1486" s="68"/>
      <c r="T1486" s="67"/>
      <c r="U1486" s="68"/>
      <c r="V1486" s="68"/>
      <c r="W1486" s="67"/>
      <c r="X1486" s="67"/>
      <c r="Y1486" s="67"/>
      <c r="Z1486" s="67"/>
      <c r="AA1486" s="67"/>
      <c r="AB1486" s="67"/>
      <c r="AC1486" s="67"/>
    </row>
    <row r="1487">
      <c r="A1487" s="66"/>
      <c r="B1487" s="67"/>
      <c r="C1487" s="67"/>
      <c r="D1487" s="68"/>
      <c r="E1487" s="68"/>
      <c r="F1487" s="68"/>
      <c r="G1487" s="68"/>
      <c r="H1487" s="68"/>
      <c r="I1487" s="69"/>
      <c r="J1487" s="67"/>
      <c r="K1487" s="67"/>
      <c r="L1487" s="67"/>
      <c r="M1487" s="67"/>
      <c r="N1487" s="67"/>
      <c r="O1487" s="67"/>
      <c r="P1487" s="67"/>
      <c r="Q1487" s="77"/>
      <c r="R1487" s="68"/>
      <c r="S1487" s="68"/>
      <c r="T1487" s="67"/>
      <c r="U1487" s="68"/>
      <c r="V1487" s="68"/>
      <c r="W1487" s="67"/>
      <c r="X1487" s="67"/>
      <c r="Y1487" s="67"/>
      <c r="Z1487" s="67"/>
      <c r="AA1487" s="67"/>
      <c r="AB1487" s="67"/>
      <c r="AC1487" s="67"/>
    </row>
    <row r="1488">
      <c r="A1488" s="66"/>
      <c r="B1488" s="67"/>
      <c r="C1488" s="67"/>
      <c r="D1488" s="68"/>
      <c r="E1488" s="68"/>
      <c r="F1488" s="68"/>
      <c r="G1488" s="68"/>
      <c r="H1488" s="68"/>
      <c r="I1488" s="69"/>
      <c r="J1488" s="67"/>
      <c r="K1488" s="67"/>
      <c r="L1488" s="67"/>
      <c r="M1488" s="67"/>
      <c r="N1488" s="67"/>
      <c r="O1488" s="67"/>
      <c r="P1488" s="67"/>
      <c r="Q1488" s="77"/>
      <c r="R1488" s="68"/>
      <c r="S1488" s="68"/>
      <c r="T1488" s="67"/>
      <c r="U1488" s="68"/>
      <c r="V1488" s="68"/>
      <c r="W1488" s="67"/>
      <c r="X1488" s="67"/>
      <c r="Y1488" s="67"/>
      <c r="Z1488" s="67"/>
      <c r="AA1488" s="67"/>
      <c r="AB1488" s="67"/>
      <c r="AC1488" s="67"/>
    </row>
    <row r="1489">
      <c r="A1489" s="66"/>
      <c r="B1489" s="67"/>
      <c r="C1489" s="67"/>
      <c r="D1489" s="68"/>
      <c r="E1489" s="68"/>
      <c r="F1489" s="68"/>
      <c r="G1489" s="68"/>
      <c r="H1489" s="68"/>
      <c r="I1489" s="69"/>
      <c r="J1489" s="67"/>
      <c r="K1489" s="67"/>
      <c r="L1489" s="67"/>
      <c r="M1489" s="67"/>
      <c r="N1489" s="67"/>
      <c r="O1489" s="67"/>
      <c r="P1489" s="67"/>
      <c r="Q1489" s="77"/>
      <c r="R1489" s="68"/>
      <c r="S1489" s="68"/>
      <c r="T1489" s="67"/>
      <c r="U1489" s="68"/>
      <c r="V1489" s="68"/>
      <c r="W1489" s="67"/>
      <c r="X1489" s="67"/>
      <c r="Y1489" s="67"/>
      <c r="Z1489" s="67"/>
      <c r="AA1489" s="67"/>
      <c r="AB1489" s="67"/>
      <c r="AC1489" s="67"/>
    </row>
    <row r="1490">
      <c r="A1490" s="66"/>
      <c r="B1490" s="67"/>
      <c r="C1490" s="67"/>
      <c r="D1490" s="68"/>
      <c r="E1490" s="68"/>
      <c r="F1490" s="68"/>
      <c r="G1490" s="68"/>
      <c r="H1490" s="68"/>
      <c r="I1490" s="69"/>
      <c r="J1490" s="67"/>
      <c r="K1490" s="67"/>
      <c r="L1490" s="67"/>
      <c r="M1490" s="67"/>
      <c r="N1490" s="67"/>
      <c r="O1490" s="67"/>
      <c r="P1490" s="67"/>
      <c r="Q1490" s="77"/>
      <c r="R1490" s="68"/>
      <c r="S1490" s="68"/>
      <c r="T1490" s="67"/>
      <c r="U1490" s="68"/>
      <c r="V1490" s="68"/>
      <c r="W1490" s="67"/>
      <c r="X1490" s="67"/>
      <c r="Y1490" s="67"/>
      <c r="Z1490" s="67"/>
      <c r="AA1490" s="67"/>
      <c r="AB1490" s="67"/>
      <c r="AC1490" s="67"/>
    </row>
    <row r="1491">
      <c r="A1491" s="66"/>
      <c r="B1491" s="67"/>
      <c r="C1491" s="67"/>
      <c r="D1491" s="68"/>
      <c r="E1491" s="68"/>
      <c r="F1491" s="68"/>
      <c r="G1491" s="68"/>
      <c r="H1491" s="68"/>
      <c r="I1491" s="69"/>
      <c r="J1491" s="67"/>
      <c r="K1491" s="67"/>
      <c r="L1491" s="67"/>
      <c r="M1491" s="67"/>
      <c r="N1491" s="67"/>
      <c r="O1491" s="67"/>
      <c r="P1491" s="67"/>
      <c r="Q1491" s="77"/>
      <c r="R1491" s="68"/>
      <c r="S1491" s="68"/>
      <c r="T1491" s="67"/>
      <c r="U1491" s="68"/>
      <c r="V1491" s="68"/>
      <c r="W1491" s="67"/>
      <c r="X1491" s="67"/>
      <c r="Y1491" s="67"/>
      <c r="Z1491" s="67"/>
      <c r="AA1491" s="67"/>
      <c r="AB1491" s="67"/>
      <c r="AC1491" s="67"/>
    </row>
    <row r="1492">
      <c r="A1492" s="66"/>
      <c r="B1492" s="67"/>
      <c r="C1492" s="67"/>
      <c r="D1492" s="68"/>
      <c r="E1492" s="68"/>
      <c r="F1492" s="68"/>
      <c r="G1492" s="68"/>
      <c r="H1492" s="68"/>
      <c r="I1492" s="69"/>
      <c r="J1492" s="67"/>
      <c r="K1492" s="67"/>
      <c r="L1492" s="67"/>
      <c r="M1492" s="67"/>
      <c r="N1492" s="67"/>
      <c r="O1492" s="67"/>
      <c r="P1492" s="67"/>
      <c r="Q1492" s="77"/>
      <c r="R1492" s="68"/>
      <c r="S1492" s="68"/>
      <c r="T1492" s="67"/>
      <c r="U1492" s="68"/>
      <c r="V1492" s="68"/>
      <c r="W1492" s="67"/>
      <c r="X1492" s="67"/>
      <c r="Y1492" s="67"/>
      <c r="Z1492" s="67"/>
      <c r="AA1492" s="67"/>
      <c r="AB1492" s="67"/>
      <c r="AC1492" s="67"/>
    </row>
    <row r="1493">
      <c r="A1493" s="66"/>
      <c r="B1493" s="67"/>
      <c r="C1493" s="67"/>
      <c r="D1493" s="68"/>
      <c r="E1493" s="68"/>
      <c r="F1493" s="68"/>
      <c r="G1493" s="68"/>
      <c r="H1493" s="68"/>
      <c r="I1493" s="69"/>
      <c r="J1493" s="67"/>
      <c r="K1493" s="67"/>
      <c r="L1493" s="67"/>
      <c r="M1493" s="67"/>
      <c r="N1493" s="67"/>
      <c r="O1493" s="67"/>
      <c r="P1493" s="67"/>
      <c r="Q1493" s="77"/>
      <c r="R1493" s="68"/>
      <c r="S1493" s="68"/>
      <c r="T1493" s="67"/>
      <c r="U1493" s="68"/>
      <c r="V1493" s="68"/>
      <c r="W1493" s="67"/>
      <c r="X1493" s="67"/>
      <c r="Y1493" s="67"/>
      <c r="Z1493" s="67"/>
      <c r="AA1493" s="67"/>
      <c r="AB1493" s="67"/>
      <c r="AC1493" s="67"/>
    </row>
    <row r="1494">
      <c r="A1494" s="66"/>
      <c r="B1494" s="67"/>
      <c r="C1494" s="67"/>
      <c r="D1494" s="68"/>
      <c r="E1494" s="68"/>
      <c r="F1494" s="68"/>
      <c r="G1494" s="68"/>
      <c r="H1494" s="68"/>
      <c r="I1494" s="69"/>
      <c r="J1494" s="67"/>
      <c r="K1494" s="67"/>
      <c r="L1494" s="67"/>
      <c r="M1494" s="67"/>
      <c r="N1494" s="67"/>
      <c r="O1494" s="67"/>
      <c r="P1494" s="67"/>
      <c r="Q1494" s="77"/>
      <c r="R1494" s="68"/>
      <c r="S1494" s="68"/>
      <c r="T1494" s="67"/>
      <c r="U1494" s="68"/>
      <c r="V1494" s="68"/>
      <c r="W1494" s="67"/>
      <c r="X1494" s="67"/>
      <c r="Y1494" s="67"/>
      <c r="Z1494" s="67"/>
      <c r="AA1494" s="67"/>
      <c r="AB1494" s="67"/>
      <c r="AC1494" s="67"/>
    </row>
    <row r="1495">
      <c r="A1495" s="66"/>
      <c r="B1495" s="67"/>
      <c r="C1495" s="67"/>
      <c r="D1495" s="68"/>
      <c r="E1495" s="68"/>
      <c r="F1495" s="68"/>
      <c r="G1495" s="68"/>
      <c r="H1495" s="68"/>
      <c r="I1495" s="69"/>
      <c r="J1495" s="67"/>
      <c r="K1495" s="67"/>
      <c r="L1495" s="67"/>
      <c r="M1495" s="67"/>
      <c r="N1495" s="67"/>
      <c r="O1495" s="67"/>
      <c r="P1495" s="67"/>
      <c r="Q1495" s="77"/>
      <c r="R1495" s="68"/>
      <c r="S1495" s="68"/>
      <c r="T1495" s="67"/>
      <c r="U1495" s="68"/>
      <c r="V1495" s="68"/>
      <c r="W1495" s="67"/>
      <c r="X1495" s="67"/>
      <c r="Y1495" s="67"/>
      <c r="Z1495" s="67"/>
      <c r="AA1495" s="67"/>
      <c r="AB1495" s="67"/>
      <c r="AC1495" s="67"/>
    </row>
    <row r="1496">
      <c r="A1496" s="66"/>
      <c r="B1496" s="67"/>
      <c r="C1496" s="67"/>
      <c r="D1496" s="68"/>
      <c r="E1496" s="68"/>
      <c r="F1496" s="68"/>
      <c r="G1496" s="68"/>
      <c r="H1496" s="68"/>
      <c r="I1496" s="69"/>
      <c r="J1496" s="67"/>
      <c r="K1496" s="67"/>
      <c r="L1496" s="67"/>
      <c r="M1496" s="67"/>
      <c r="N1496" s="67"/>
      <c r="O1496" s="67"/>
      <c r="P1496" s="67"/>
      <c r="Q1496" s="77"/>
      <c r="R1496" s="68"/>
      <c r="S1496" s="68"/>
      <c r="T1496" s="67"/>
      <c r="U1496" s="68"/>
      <c r="V1496" s="68"/>
      <c r="W1496" s="67"/>
      <c r="X1496" s="67"/>
      <c r="Y1496" s="67"/>
      <c r="Z1496" s="67"/>
      <c r="AA1496" s="67"/>
      <c r="AB1496" s="67"/>
      <c r="AC1496" s="67"/>
    </row>
    <row r="1497">
      <c r="A1497" s="66"/>
      <c r="B1497" s="67"/>
      <c r="C1497" s="67"/>
      <c r="D1497" s="68"/>
      <c r="E1497" s="68"/>
      <c r="F1497" s="68"/>
      <c r="G1497" s="68"/>
      <c r="H1497" s="68"/>
      <c r="I1497" s="69"/>
      <c r="J1497" s="67"/>
      <c r="K1497" s="67"/>
      <c r="L1497" s="67"/>
      <c r="M1497" s="67"/>
      <c r="N1497" s="67"/>
      <c r="O1497" s="67"/>
      <c r="P1497" s="67"/>
      <c r="Q1497" s="77"/>
      <c r="R1497" s="68"/>
      <c r="S1497" s="68"/>
      <c r="T1497" s="67"/>
      <c r="U1497" s="68"/>
      <c r="V1497" s="68"/>
      <c r="W1497" s="67"/>
      <c r="X1497" s="67"/>
      <c r="Y1497" s="67"/>
      <c r="Z1497" s="67"/>
      <c r="AA1497" s="67"/>
      <c r="AB1497" s="67"/>
      <c r="AC1497" s="67"/>
    </row>
    <row r="1498">
      <c r="A1498" s="66"/>
      <c r="B1498" s="67"/>
      <c r="C1498" s="67"/>
      <c r="D1498" s="68"/>
      <c r="E1498" s="68"/>
      <c r="F1498" s="68"/>
      <c r="G1498" s="68"/>
      <c r="H1498" s="68"/>
      <c r="I1498" s="69"/>
      <c r="J1498" s="67"/>
      <c r="K1498" s="67"/>
      <c r="L1498" s="67"/>
      <c r="M1498" s="67"/>
      <c r="N1498" s="67"/>
      <c r="O1498" s="67"/>
      <c r="P1498" s="67"/>
      <c r="Q1498" s="77"/>
      <c r="R1498" s="68"/>
      <c r="S1498" s="68"/>
      <c r="T1498" s="67"/>
      <c r="U1498" s="68"/>
      <c r="V1498" s="68"/>
      <c r="W1498" s="67"/>
      <c r="X1498" s="67"/>
      <c r="Y1498" s="67"/>
      <c r="Z1498" s="67"/>
      <c r="AA1498" s="67"/>
      <c r="AB1498" s="67"/>
      <c r="AC1498" s="67"/>
    </row>
    <row r="1499">
      <c r="A1499" s="66"/>
      <c r="B1499" s="67"/>
      <c r="C1499" s="67"/>
      <c r="D1499" s="68"/>
      <c r="E1499" s="68"/>
      <c r="F1499" s="68"/>
      <c r="G1499" s="68"/>
      <c r="H1499" s="68"/>
      <c r="I1499" s="69"/>
      <c r="J1499" s="67"/>
      <c r="K1499" s="67"/>
      <c r="L1499" s="67"/>
      <c r="M1499" s="67"/>
      <c r="N1499" s="67"/>
      <c r="O1499" s="67"/>
      <c r="P1499" s="67"/>
      <c r="Q1499" s="77"/>
      <c r="R1499" s="68"/>
      <c r="S1499" s="68"/>
      <c r="T1499" s="67"/>
      <c r="U1499" s="68"/>
      <c r="V1499" s="68"/>
      <c r="W1499" s="67"/>
      <c r="X1499" s="67"/>
      <c r="Y1499" s="67"/>
      <c r="Z1499" s="67"/>
      <c r="AA1499" s="67"/>
      <c r="AB1499" s="67"/>
      <c r="AC1499" s="67"/>
    </row>
    <row r="1500">
      <c r="A1500" s="66"/>
      <c r="B1500" s="67"/>
      <c r="C1500" s="67"/>
      <c r="D1500" s="68"/>
      <c r="E1500" s="68"/>
      <c r="F1500" s="68"/>
      <c r="G1500" s="68"/>
      <c r="H1500" s="68"/>
      <c r="I1500" s="69"/>
      <c r="J1500" s="67"/>
      <c r="K1500" s="67"/>
      <c r="L1500" s="67"/>
      <c r="M1500" s="67"/>
      <c r="N1500" s="67"/>
      <c r="O1500" s="67"/>
      <c r="P1500" s="67"/>
      <c r="Q1500" s="77"/>
      <c r="R1500" s="68"/>
      <c r="S1500" s="68"/>
      <c r="T1500" s="67"/>
      <c r="U1500" s="68"/>
      <c r="V1500" s="68"/>
      <c r="W1500" s="67"/>
      <c r="X1500" s="67"/>
      <c r="Y1500" s="67"/>
      <c r="Z1500" s="67"/>
      <c r="AA1500" s="67"/>
      <c r="AB1500" s="67"/>
      <c r="AC1500" s="67"/>
    </row>
    <row r="1501">
      <c r="A1501" s="66"/>
      <c r="B1501" s="67"/>
      <c r="C1501" s="67"/>
      <c r="D1501" s="68"/>
      <c r="E1501" s="68"/>
      <c r="F1501" s="68"/>
      <c r="G1501" s="68"/>
      <c r="H1501" s="68"/>
      <c r="I1501" s="69"/>
      <c r="J1501" s="67"/>
      <c r="K1501" s="67"/>
      <c r="L1501" s="67"/>
      <c r="M1501" s="67"/>
      <c r="N1501" s="67"/>
      <c r="O1501" s="67"/>
      <c r="P1501" s="67"/>
      <c r="Q1501" s="77"/>
      <c r="R1501" s="68"/>
      <c r="S1501" s="68"/>
      <c r="T1501" s="67"/>
      <c r="U1501" s="68"/>
      <c r="V1501" s="68"/>
      <c r="W1501" s="67"/>
      <c r="X1501" s="67"/>
      <c r="Y1501" s="67"/>
      <c r="Z1501" s="67"/>
      <c r="AA1501" s="67"/>
      <c r="AB1501" s="67"/>
      <c r="AC1501" s="67"/>
    </row>
    <row r="1502">
      <c r="A1502" s="66"/>
      <c r="B1502" s="67"/>
      <c r="C1502" s="67"/>
      <c r="D1502" s="68"/>
      <c r="E1502" s="68"/>
      <c r="F1502" s="68"/>
      <c r="G1502" s="68"/>
      <c r="H1502" s="68"/>
      <c r="I1502" s="69"/>
      <c r="J1502" s="67"/>
      <c r="K1502" s="67"/>
      <c r="L1502" s="67"/>
      <c r="M1502" s="67"/>
      <c r="N1502" s="67"/>
      <c r="O1502" s="67"/>
      <c r="P1502" s="67"/>
      <c r="Q1502" s="77"/>
      <c r="R1502" s="68"/>
      <c r="S1502" s="68"/>
      <c r="T1502" s="67"/>
      <c r="U1502" s="68"/>
      <c r="V1502" s="68"/>
      <c r="W1502" s="67"/>
      <c r="X1502" s="67"/>
      <c r="Y1502" s="67"/>
      <c r="Z1502" s="67"/>
      <c r="AA1502" s="67"/>
      <c r="AB1502" s="67"/>
      <c r="AC1502" s="67"/>
    </row>
    <row r="1503">
      <c r="A1503" s="66"/>
      <c r="B1503" s="67"/>
      <c r="C1503" s="67"/>
      <c r="D1503" s="68"/>
      <c r="E1503" s="68"/>
      <c r="F1503" s="68"/>
      <c r="G1503" s="68"/>
      <c r="H1503" s="68"/>
      <c r="I1503" s="69"/>
      <c r="J1503" s="67"/>
      <c r="K1503" s="67"/>
      <c r="L1503" s="67"/>
      <c r="M1503" s="67"/>
      <c r="N1503" s="67"/>
      <c r="O1503" s="67"/>
      <c r="P1503" s="67"/>
      <c r="Q1503" s="77"/>
      <c r="R1503" s="68"/>
      <c r="S1503" s="68"/>
      <c r="T1503" s="67"/>
      <c r="U1503" s="68"/>
      <c r="V1503" s="68"/>
      <c r="W1503" s="67"/>
      <c r="X1503" s="67"/>
      <c r="Y1503" s="67"/>
      <c r="Z1503" s="67"/>
      <c r="AA1503" s="67"/>
      <c r="AB1503" s="67"/>
      <c r="AC1503" s="67"/>
    </row>
    <row r="1504">
      <c r="A1504" s="66"/>
      <c r="B1504" s="67"/>
      <c r="C1504" s="67"/>
      <c r="D1504" s="68"/>
      <c r="E1504" s="68"/>
      <c r="F1504" s="68"/>
      <c r="G1504" s="68"/>
      <c r="H1504" s="68"/>
      <c r="I1504" s="69"/>
      <c r="J1504" s="67"/>
      <c r="K1504" s="67"/>
      <c r="L1504" s="67"/>
      <c r="M1504" s="67"/>
      <c r="N1504" s="67"/>
      <c r="O1504" s="67"/>
      <c r="P1504" s="67"/>
      <c r="Q1504" s="77"/>
      <c r="R1504" s="68"/>
      <c r="S1504" s="68"/>
      <c r="T1504" s="67"/>
      <c r="U1504" s="68"/>
      <c r="V1504" s="68"/>
      <c r="W1504" s="67"/>
      <c r="X1504" s="67"/>
      <c r="Y1504" s="67"/>
      <c r="Z1504" s="67"/>
      <c r="AA1504" s="67"/>
      <c r="AB1504" s="67"/>
      <c r="AC1504" s="67"/>
    </row>
    <row r="1505">
      <c r="A1505" s="66"/>
      <c r="B1505" s="67"/>
      <c r="C1505" s="67"/>
      <c r="D1505" s="68"/>
      <c r="E1505" s="68"/>
      <c r="F1505" s="68"/>
      <c r="G1505" s="68"/>
      <c r="H1505" s="68"/>
      <c r="I1505" s="69"/>
      <c r="J1505" s="67"/>
      <c r="K1505" s="67"/>
      <c r="L1505" s="67"/>
      <c r="M1505" s="67"/>
      <c r="N1505" s="67"/>
      <c r="O1505" s="67"/>
      <c r="P1505" s="67"/>
      <c r="Q1505" s="77"/>
      <c r="R1505" s="68"/>
      <c r="S1505" s="68"/>
      <c r="T1505" s="67"/>
      <c r="U1505" s="68"/>
      <c r="V1505" s="68"/>
      <c r="W1505" s="67"/>
      <c r="X1505" s="67"/>
      <c r="Y1505" s="67"/>
      <c r="Z1505" s="67"/>
      <c r="AA1505" s="67"/>
      <c r="AB1505" s="67"/>
      <c r="AC1505" s="67"/>
    </row>
    <row r="1506">
      <c r="A1506" s="66"/>
      <c r="B1506" s="67"/>
      <c r="C1506" s="67"/>
      <c r="D1506" s="68"/>
      <c r="E1506" s="68"/>
      <c r="F1506" s="68"/>
      <c r="G1506" s="68"/>
      <c r="H1506" s="68"/>
      <c r="I1506" s="69"/>
      <c r="J1506" s="67"/>
      <c r="K1506" s="67"/>
      <c r="L1506" s="67"/>
      <c r="M1506" s="67"/>
      <c r="N1506" s="67"/>
      <c r="O1506" s="67"/>
      <c r="P1506" s="67"/>
      <c r="Q1506" s="77"/>
      <c r="R1506" s="68"/>
      <c r="S1506" s="68"/>
      <c r="T1506" s="67"/>
      <c r="U1506" s="68"/>
      <c r="V1506" s="68"/>
      <c r="W1506" s="67"/>
      <c r="X1506" s="67"/>
      <c r="Y1506" s="67"/>
      <c r="Z1506" s="67"/>
      <c r="AA1506" s="67"/>
      <c r="AB1506" s="67"/>
      <c r="AC1506" s="67"/>
    </row>
    <row r="1507">
      <c r="A1507" s="66"/>
      <c r="B1507" s="67"/>
      <c r="C1507" s="67"/>
      <c r="D1507" s="68"/>
      <c r="E1507" s="68"/>
      <c r="F1507" s="68"/>
      <c r="G1507" s="68"/>
      <c r="H1507" s="68"/>
      <c r="I1507" s="69"/>
      <c r="J1507" s="67"/>
      <c r="K1507" s="67"/>
      <c r="L1507" s="67"/>
      <c r="M1507" s="67"/>
      <c r="N1507" s="67"/>
      <c r="O1507" s="67"/>
      <c r="P1507" s="67"/>
      <c r="Q1507" s="77"/>
      <c r="R1507" s="68"/>
      <c r="S1507" s="68"/>
      <c r="T1507" s="67"/>
      <c r="U1507" s="68"/>
      <c r="V1507" s="68"/>
      <c r="W1507" s="67"/>
      <c r="X1507" s="67"/>
      <c r="Y1507" s="67"/>
      <c r="Z1507" s="67"/>
      <c r="AA1507" s="67"/>
      <c r="AB1507" s="67"/>
      <c r="AC1507" s="67"/>
    </row>
    <row r="1508">
      <c r="A1508" s="66"/>
      <c r="B1508" s="67"/>
      <c r="C1508" s="67"/>
      <c r="D1508" s="68"/>
      <c r="E1508" s="68"/>
      <c r="F1508" s="68"/>
      <c r="G1508" s="68"/>
      <c r="H1508" s="68"/>
      <c r="I1508" s="69"/>
      <c r="J1508" s="67"/>
      <c r="K1508" s="67"/>
      <c r="L1508" s="67"/>
      <c r="M1508" s="67"/>
      <c r="N1508" s="67"/>
      <c r="O1508" s="67"/>
      <c r="P1508" s="67"/>
      <c r="Q1508" s="77"/>
      <c r="R1508" s="68"/>
      <c r="S1508" s="68"/>
      <c r="T1508" s="67"/>
      <c r="U1508" s="68"/>
      <c r="V1508" s="68"/>
      <c r="W1508" s="67"/>
      <c r="X1508" s="67"/>
      <c r="Y1508" s="67"/>
      <c r="Z1508" s="67"/>
      <c r="AA1508" s="67"/>
      <c r="AB1508" s="67"/>
      <c r="AC1508" s="67"/>
    </row>
    <row r="1509">
      <c r="A1509" s="66"/>
      <c r="B1509" s="67"/>
      <c r="C1509" s="67"/>
      <c r="D1509" s="68"/>
      <c r="E1509" s="68"/>
      <c r="F1509" s="68"/>
      <c r="G1509" s="68"/>
      <c r="H1509" s="68"/>
      <c r="I1509" s="69"/>
      <c r="J1509" s="67"/>
      <c r="K1509" s="67"/>
      <c r="L1509" s="67"/>
      <c r="M1509" s="67"/>
      <c r="N1509" s="67"/>
      <c r="O1509" s="67"/>
      <c r="P1509" s="67"/>
      <c r="Q1509" s="77"/>
      <c r="R1509" s="68"/>
      <c r="S1509" s="68"/>
      <c r="T1509" s="67"/>
      <c r="U1509" s="68"/>
      <c r="V1509" s="68"/>
      <c r="W1509" s="67"/>
      <c r="X1509" s="67"/>
      <c r="Y1509" s="67"/>
      <c r="Z1509" s="67"/>
      <c r="AA1509" s="67"/>
      <c r="AB1509" s="67"/>
      <c r="AC1509" s="67"/>
    </row>
    <row r="1510">
      <c r="A1510" s="66"/>
      <c r="B1510" s="67"/>
      <c r="C1510" s="67"/>
      <c r="D1510" s="68"/>
      <c r="E1510" s="68"/>
      <c r="F1510" s="68"/>
      <c r="G1510" s="68"/>
      <c r="H1510" s="68"/>
      <c r="I1510" s="69"/>
      <c r="J1510" s="67"/>
      <c r="K1510" s="67"/>
      <c r="L1510" s="67"/>
      <c r="M1510" s="67"/>
      <c r="N1510" s="67"/>
      <c r="O1510" s="67"/>
      <c r="P1510" s="67"/>
      <c r="Q1510" s="77"/>
      <c r="R1510" s="68"/>
      <c r="S1510" s="68"/>
      <c r="T1510" s="67"/>
      <c r="U1510" s="68"/>
      <c r="V1510" s="68"/>
      <c r="W1510" s="67"/>
      <c r="X1510" s="67"/>
      <c r="Y1510" s="67"/>
      <c r="Z1510" s="67"/>
      <c r="AA1510" s="67"/>
      <c r="AB1510" s="67"/>
      <c r="AC1510" s="67"/>
    </row>
    <row r="1511">
      <c r="A1511" s="66"/>
      <c r="B1511" s="67"/>
      <c r="C1511" s="67"/>
      <c r="D1511" s="68"/>
      <c r="E1511" s="68"/>
      <c r="F1511" s="68"/>
      <c r="G1511" s="68"/>
      <c r="H1511" s="68"/>
      <c r="I1511" s="69"/>
      <c r="J1511" s="67"/>
      <c r="K1511" s="67"/>
      <c r="L1511" s="67"/>
      <c r="M1511" s="67"/>
      <c r="N1511" s="67"/>
      <c r="O1511" s="67"/>
      <c r="P1511" s="67"/>
      <c r="Q1511" s="77"/>
      <c r="R1511" s="68"/>
      <c r="S1511" s="68"/>
      <c r="T1511" s="67"/>
      <c r="U1511" s="68"/>
      <c r="V1511" s="68"/>
      <c r="W1511" s="67"/>
      <c r="X1511" s="67"/>
      <c r="Y1511" s="67"/>
      <c r="Z1511" s="67"/>
      <c r="AA1511" s="67"/>
      <c r="AB1511" s="67"/>
      <c r="AC1511" s="67"/>
    </row>
    <row r="1512">
      <c r="A1512" s="66"/>
      <c r="B1512" s="67"/>
      <c r="C1512" s="67"/>
      <c r="D1512" s="68"/>
      <c r="E1512" s="68"/>
      <c r="F1512" s="68"/>
      <c r="G1512" s="68"/>
      <c r="H1512" s="68"/>
      <c r="I1512" s="69"/>
      <c r="J1512" s="67"/>
      <c r="K1512" s="67"/>
      <c r="L1512" s="67"/>
      <c r="M1512" s="67"/>
      <c r="N1512" s="67"/>
      <c r="O1512" s="67"/>
      <c r="P1512" s="67"/>
      <c r="Q1512" s="77"/>
      <c r="R1512" s="68"/>
      <c r="S1512" s="68"/>
      <c r="T1512" s="67"/>
      <c r="U1512" s="68"/>
      <c r="V1512" s="68"/>
      <c r="W1512" s="67"/>
      <c r="X1512" s="67"/>
      <c r="Y1512" s="67"/>
      <c r="Z1512" s="67"/>
      <c r="AA1512" s="67"/>
      <c r="AB1512" s="67"/>
      <c r="AC1512" s="67"/>
    </row>
    <row r="1513">
      <c r="A1513" s="66"/>
      <c r="B1513" s="67"/>
      <c r="C1513" s="67"/>
      <c r="D1513" s="68"/>
      <c r="E1513" s="68"/>
      <c r="F1513" s="68"/>
      <c r="G1513" s="68"/>
      <c r="H1513" s="68"/>
      <c r="I1513" s="69"/>
      <c r="J1513" s="67"/>
      <c r="K1513" s="67"/>
      <c r="L1513" s="67"/>
      <c r="M1513" s="67"/>
      <c r="N1513" s="67"/>
      <c r="O1513" s="67"/>
      <c r="P1513" s="67"/>
      <c r="Q1513" s="77"/>
      <c r="R1513" s="68"/>
      <c r="S1513" s="68"/>
      <c r="T1513" s="67"/>
      <c r="U1513" s="68"/>
      <c r="V1513" s="68"/>
      <c r="W1513" s="67"/>
      <c r="X1513" s="67"/>
      <c r="Y1513" s="67"/>
      <c r="Z1513" s="67"/>
      <c r="AA1513" s="67"/>
      <c r="AB1513" s="67"/>
      <c r="AC1513" s="67"/>
    </row>
    <row r="1514">
      <c r="A1514" s="66"/>
      <c r="B1514" s="67"/>
      <c r="C1514" s="67"/>
      <c r="D1514" s="68"/>
      <c r="E1514" s="68"/>
      <c r="F1514" s="68"/>
      <c r="G1514" s="68"/>
      <c r="H1514" s="68"/>
      <c r="I1514" s="69"/>
      <c r="J1514" s="67"/>
      <c r="K1514" s="67"/>
      <c r="L1514" s="67"/>
      <c r="M1514" s="67"/>
      <c r="N1514" s="67"/>
      <c r="O1514" s="67"/>
      <c r="P1514" s="67"/>
      <c r="Q1514" s="77"/>
      <c r="R1514" s="68"/>
      <c r="S1514" s="68"/>
      <c r="T1514" s="67"/>
      <c r="U1514" s="68"/>
      <c r="V1514" s="68"/>
      <c r="W1514" s="67"/>
      <c r="X1514" s="67"/>
      <c r="Y1514" s="67"/>
      <c r="Z1514" s="67"/>
      <c r="AA1514" s="67"/>
      <c r="AB1514" s="67"/>
      <c r="AC1514" s="67"/>
    </row>
    <row r="1515">
      <c r="A1515" s="66"/>
      <c r="B1515" s="67"/>
      <c r="C1515" s="67"/>
      <c r="D1515" s="68"/>
      <c r="E1515" s="68"/>
      <c r="F1515" s="68"/>
      <c r="G1515" s="68"/>
      <c r="H1515" s="68"/>
      <c r="I1515" s="69"/>
      <c r="J1515" s="67"/>
      <c r="K1515" s="67"/>
      <c r="L1515" s="67"/>
      <c r="M1515" s="67"/>
      <c r="N1515" s="67"/>
      <c r="O1515" s="67"/>
      <c r="P1515" s="67"/>
      <c r="Q1515" s="77"/>
      <c r="R1515" s="68"/>
      <c r="S1515" s="68"/>
      <c r="T1515" s="67"/>
      <c r="U1515" s="68"/>
      <c r="V1515" s="68"/>
      <c r="W1515" s="67"/>
      <c r="X1515" s="67"/>
      <c r="Y1515" s="67"/>
      <c r="Z1515" s="67"/>
      <c r="AA1515" s="67"/>
      <c r="AB1515" s="67"/>
      <c r="AC1515" s="67"/>
    </row>
    <row r="1516">
      <c r="A1516" s="66"/>
      <c r="B1516" s="67"/>
      <c r="C1516" s="67"/>
      <c r="D1516" s="68"/>
      <c r="E1516" s="68"/>
      <c r="F1516" s="68"/>
      <c r="G1516" s="68"/>
      <c r="H1516" s="68"/>
      <c r="I1516" s="69"/>
      <c r="J1516" s="67"/>
      <c r="K1516" s="67"/>
      <c r="L1516" s="67"/>
      <c r="M1516" s="67"/>
      <c r="N1516" s="67"/>
      <c r="O1516" s="67"/>
      <c r="P1516" s="67"/>
      <c r="Q1516" s="77"/>
      <c r="R1516" s="68"/>
      <c r="S1516" s="68"/>
      <c r="T1516" s="67"/>
      <c r="U1516" s="68"/>
      <c r="V1516" s="68"/>
      <c r="W1516" s="67"/>
      <c r="X1516" s="67"/>
      <c r="Y1516" s="67"/>
      <c r="Z1516" s="67"/>
      <c r="AA1516" s="67"/>
      <c r="AB1516" s="67"/>
      <c r="AC1516" s="67"/>
    </row>
    <row r="1517">
      <c r="A1517" s="66"/>
      <c r="B1517" s="67"/>
      <c r="C1517" s="67"/>
      <c r="D1517" s="68"/>
      <c r="E1517" s="68"/>
      <c r="F1517" s="68"/>
      <c r="G1517" s="68"/>
      <c r="H1517" s="68"/>
      <c r="I1517" s="69"/>
      <c r="J1517" s="67"/>
      <c r="K1517" s="67"/>
      <c r="L1517" s="67"/>
      <c r="M1517" s="67"/>
      <c r="N1517" s="67"/>
      <c r="O1517" s="67"/>
      <c r="P1517" s="67"/>
      <c r="Q1517" s="77"/>
      <c r="R1517" s="68"/>
      <c r="S1517" s="68"/>
      <c r="T1517" s="67"/>
      <c r="U1517" s="68"/>
      <c r="V1517" s="68"/>
      <c r="W1517" s="67"/>
      <c r="X1517" s="67"/>
      <c r="Y1517" s="67"/>
      <c r="Z1517" s="67"/>
      <c r="AA1517" s="67"/>
      <c r="AB1517" s="67"/>
      <c r="AC1517" s="67"/>
    </row>
    <row r="1518">
      <c r="A1518" s="66"/>
      <c r="B1518" s="67"/>
      <c r="C1518" s="67"/>
      <c r="D1518" s="68"/>
      <c r="E1518" s="68"/>
      <c r="F1518" s="68"/>
      <c r="G1518" s="68"/>
      <c r="H1518" s="68"/>
      <c r="I1518" s="69"/>
      <c r="J1518" s="67"/>
      <c r="K1518" s="67"/>
      <c r="L1518" s="67"/>
      <c r="M1518" s="67"/>
      <c r="N1518" s="67"/>
      <c r="O1518" s="67"/>
      <c r="P1518" s="67"/>
      <c r="Q1518" s="77"/>
      <c r="R1518" s="68"/>
      <c r="S1518" s="68"/>
      <c r="T1518" s="67"/>
      <c r="U1518" s="68"/>
      <c r="V1518" s="68"/>
      <c r="W1518" s="67"/>
      <c r="X1518" s="67"/>
      <c r="Y1518" s="67"/>
      <c r="Z1518" s="67"/>
      <c r="AA1518" s="67"/>
      <c r="AB1518" s="67"/>
      <c r="AC1518" s="67"/>
    </row>
    <row r="1519">
      <c r="A1519" s="66"/>
      <c r="B1519" s="67"/>
      <c r="C1519" s="67"/>
      <c r="D1519" s="68"/>
      <c r="E1519" s="68"/>
      <c r="F1519" s="68"/>
      <c r="G1519" s="68"/>
      <c r="H1519" s="68"/>
      <c r="I1519" s="69"/>
      <c r="J1519" s="67"/>
      <c r="K1519" s="67"/>
      <c r="L1519" s="67"/>
      <c r="M1519" s="67"/>
      <c r="N1519" s="67"/>
      <c r="O1519" s="67"/>
      <c r="P1519" s="67"/>
      <c r="Q1519" s="77"/>
      <c r="R1519" s="68"/>
      <c r="S1519" s="68"/>
      <c r="T1519" s="67"/>
      <c r="U1519" s="68"/>
      <c r="V1519" s="68"/>
      <c r="W1519" s="67"/>
      <c r="X1519" s="67"/>
      <c r="Y1519" s="67"/>
      <c r="Z1519" s="67"/>
      <c r="AA1519" s="67"/>
      <c r="AB1519" s="67"/>
      <c r="AC1519" s="67"/>
    </row>
    <row r="1520">
      <c r="A1520" s="66"/>
      <c r="B1520" s="67"/>
      <c r="C1520" s="67"/>
      <c r="D1520" s="68"/>
      <c r="E1520" s="68"/>
      <c r="F1520" s="68"/>
      <c r="G1520" s="68"/>
      <c r="H1520" s="68"/>
      <c r="I1520" s="69"/>
      <c r="J1520" s="67"/>
      <c r="K1520" s="67"/>
      <c r="L1520" s="67"/>
      <c r="M1520" s="67"/>
      <c r="N1520" s="67"/>
      <c r="O1520" s="67"/>
      <c r="P1520" s="67"/>
      <c r="Q1520" s="77"/>
      <c r="R1520" s="68"/>
      <c r="S1520" s="68"/>
      <c r="T1520" s="67"/>
      <c r="U1520" s="68"/>
      <c r="V1520" s="68"/>
      <c r="W1520" s="67"/>
      <c r="X1520" s="67"/>
      <c r="Y1520" s="67"/>
      <c r="Z1520" s="67"/>
      <c r="AA1520" s="67"/>
      <c r="AB1520" s="67"/>
      <c r="AC1520" s="67"/>
    </row>
    <row r="1521">
      <c r="A1521" s="66"/>
      <c r="B1521" s="67"/>
      <c r="C1521" s="67"/>
      <c r="D1521" s="68"/>
      <c r="E1521" s="68"/>
      <c r="F1521" s="68"/>
      <c r="G1521" s="68"/>
      <c r="H1521" s="68"/>
      <c r="I1521" s="69"/>
      <c r="J1521" s="67"/>
      <c r="K1521" s="67"/>
      <c r="L1521" s="67"/>
      <c r="M1521" s="67"/>
      <c r="N1521" s="67"/>
      <c r="O1521" s="67"/>
      <c r="P1521" s="67"/>
      <c r="Q1521" s="77"/>
      <c r="R1521" s="68"/>
      <c r="S1521" s="68"/>
      <c r="T1521" s="67"/>
      <c r="U1521" s="68"/>
      <c r="V1521" s="68"/>
      <c r="W1521" s="67"/>
      <c r="X1521" s="67"/>
      <c r="Y1521" s="67"/>
      <c r="Z1521" s="67"/>
      <c r="AA1521" s="67"/>
      <c r="AB1521" s="67"/>
      <c r="AC1521" s="67"/>
    </row>
    <row r="1522">
      <c r="A1522" s="66"/>
      <c r="B1522" s="67"/>
      <c r="C1522" s="67"/>
      <c r="D1522" s="68"/>
      <c r="E1522" s="68"/>
      <c r="F1522" s="68"/>
      <c r="G1522" s="68"/>
      <c r="H1522" s="68"/>
      <c r="I1522" s="69"/>
      <c r="J1522" s="67"/>
      <c r="K1522" s="67"/>
      <c r="L1522" s="67"/>
      <c r="M1522" s="67"/>
      <c r="N1522" s="67"/>
      <c r="O1522" s="67"/>
      <c r="P1522" s="67"/>
      <c r="Q1522" s="77"/>
      <c r="R1522" s="68"/>
      <c r="S1522" s="68"/>
      <c r="T1522" s="67"/>
      <c r="U1522" s="68"/>
      <c r="V1522" s="68"/>
      <c r="W1522" s="67"/>
      <c r="X1522" s="67"/>
      <c r="Y1522" s="67"/>
      <c r="Z1522" s="67"/>
      <c r="AA1522" s="67"/>
      <c r="AB1522" s="67"/>
      <c r="AC1522" s="67"/>
    </row>
    <row r="1523">
      <c r="A1523" s="66"/>
      <c r="B1523" s="67"/>
      <c r="C1523" s="67"/>
      <c r="D1523" s="68"/>
      <c r="E1523" s="68"/>
      <c r="F1523" s="68"/>
      <c r="G1523" s="68"/>
      <c r="H1523" s="68"/>
      <c r="I1523" s="69"/>
      <c r="J1523" s="67"/>
      <c r="K1523" s="67"/>
      <c r="L1523" s="67"/>
      <c r="M1523" s="67"/>
      <c r="N1523" s="67"/>
      <c r="O1523" s="67"/>
      <c r="P1523" s="67"/>
      <c r="Q1523" s="77"/>
      <c r="R1523" s="68"/>
      <c r="S1523" s="68"/>
      <c r="T1523" s="67"/>
      <c r="U1523" s="68"/>
      <c r="V1523" s="68"/>
      <c r="W1523" s="67"/>
      <c r="X1523" s="67"/>
      <c r="Y1523" s="67"/>
      <c r="Z1523" s="67"/>
      <c r="AA1523" s="67"/>
      <c r="AB1523" s="67"/>
      <c r="AC1523" s="67"/>
    </row>
    <row r="1524">
      <c r="A1524" s="66"/>
      <c r="B1524" s="67"/>
      <c r="C1524" s="67"/>
      <c r="D1524" s="68"/>
      <c r="E1524" s="68"/>
      <c r="F1524" s="68"/>
      <c r="G1524" s="68"/>
      <c r="H1524" s="68"/>
      <c r="I1524" s="69"/>
      <c r="J1524" s="67"/>
      <c r="K1524" s="67"/>
      <c r="L1524" s="67"/>
      <c r="M1524" s="67"/>
      <c r="N1524" s="67"/>
      <c r="O1524" s="67"/>
      <c r="P1524" s="67"/>
      <c r="Q1524" s="77"/>
      <c r="R1524" s="68"/>
      <c r="S1524" s="68"/>
      <c r="T1524" s="67"/>
      <c r="U1524" s="68"/>
      <c r="V1524" s="68"/>
      <c r="W1524" s="67"/>
      <c r="X1524" s="67"/>
      <c r="Y1524" s="67"/>
      <c r="Z1524" s="67"/>
      <c r="AA1524" s="67"/>
      <c r="AB1524" s="67"/>
      <c r="AC1524" s="67"/>
    </row>
    <row r="1525">
      <c r="A1525" s="66"/>
      <c r="B1525" s="67"/>
      <c r="C1525" s="67"/>
      <c r="D1525" s="68"/>
      <c r="E1525" s="68"/>
      <c r="F1525" s="68"/>
      <c r="G1525" s="68"/>
      <c r="H1525" s="68"/>
      <c r="I1525" s="69"/>
      <c r="J1525" s="67"/>
      <c r="K1525" s="67"/>
      <c r="L1525" s="67"/>
      <c r="M1525" s="67"/>
      <c r="N1525" s="67"/>
      <c r="O1525" s="67"/>
      <c r="P1525" s="67"/>
      <c r="Q1525" s="77"/>
      <c r="R1525" s="68"/>
      <c r="S1525" s="68"/>
      <c r="T1525" s="67"/>
      <c r="U1525" s="68"/>
      <c r="V1525" s="68"/>
      <c r="W1525" s="67"/>
      <c r="X1525" s="67"/>
      <c r="Y1525" s="67"/>
      <c r="Z1525" s="67"/>
      <c r="AA1525" s="67"/>
      <c r="AB1525" s="67"/>
      <c r="AC1525" s="67"/>
    </row>
    <row r="1526">
      <c r="A1526" s="66"/>
      <c r="B1526" s="67"/>
      <c r="C1526" s="67"/>
      <c r="D1526" s="68"/>
      <c r="E1526" s="68"/>
      <c r="F1526" s="68"/>
      <c r="G1526" s="68"/>
      <c r="H1526" s="68"/>
      <c r="I1526" s="69"/>
      <c r="J1526" s="67"/>
      <c r="K1526" s="67"/>
      <c r="L1526" s="67"/>
      <c r="M1526" s="67"/>
      <c r="N1526" s="67"/>
      <c r="O1526" s="67"/>
      <c r="P1526" s="67"/>
      <c r="Q1526" s="77"/>
      <c r="R1526" s="68"/>
      <c r="S1526" s="68"/>
      <c r="T1526" s="67"/>
      <c r="U1526" s="68"/>
      <c r="V1526" s="68"/>
      <c r="W1526" s="67"/>
      <c r="X1526" s="67"/>
      <c r="Y1526" s="67"/>
      <c r="Z1526" s="67"/>
      <c r="AA1526" s="67"/>
      <c r="AB1526" s="67"/>
      <c r="AC1526" s="67"/>
    </row>
    <row r="1527">
      <c r="A1527" s="66"/>
      <c r="B1527" s="67"/>
      <c r="C1527" s="67"/>
      <c r="D1527" s="68"/>
      <c r="E1527" s="68"/>
      <c r="F1527" s="68"/>
      <c r="G1527" s="68"/>
      <c r="H1527" s="68"/>
      <c r="I1527" s="69"/>
      <c r="J1527" s="67"/>
      <c r="K1527" s="67"/>
      <c r="L1527" s="67"/>
      <c r="M1527" s="67"/>
      <c r="N1527" s="67"/>
      <c r="O1527" s="67"/>
      <c r="P1527" s="67"/>
      <c r="Q1527" s="77"/>
      <c r="R1527" s="68"/>
      <c r="S1527" s="68"/>
      <c r="T1527" s="67"/>
      <c r="U1527" s="68"/>
      <c r="V1527" s="68"/>
      <c r="W1527" s="67"/>
      <c r="X1527" s="67"/>
      <c r="Y1527" s="67"/>
      <c r="Z1527" s="67"/>
      <c r="AA1527" s="67"/>
      <c r="AB1527" s="67"/>
      <c r="AC1527" s="67"/>
    </row>
    <row r="1528">
      <c r="A1528" s="66"/>
      <c r="B1528" s="67"/>
      <c r="C1528" s="67"/>
      <c r="D1528" s="68"/>
      <c r="E1528" s="68"/>
      <c r="F1528" s="68"/>
      <c r="G1528" s="68"/>
      <c r="H1528" s="68"/>
      <c r="I1528" s="69"/>
      <c r="J1528" s="67"/>
      <c r="K1528" s="67"/>
      <c r="L1528" s="67"/>
      <c r="M1528" s="67"/>
      <c r="N1528" s="67"/>
      <c r="O1528" s="67"/>
      <c r="P1528" s="67"/>
      <c r="Q1528" s="77"/>
      <c r="R1528" s="68"/>
      <c r="S1528" s="68"/>
      <c r="T1528" s="67"/>
      <c r="U1528" s="68"/>
      <c r="V1528" s="68"/>
      <c r="W1528" s="67"/>
      <c r="X1528" s="67"/>
      <c r="Y1528" s="67"/>
      <c r="Z1528" s="67"/>
      <c r="AA1528" s="67"/>
      <c r="AB1528" s="67"/>
      <c r="AC1528" s="67"/>
    </row>
    <row r="1529">
      <c r="A1529" s="66"/>
      <c r="B1529" s="67"/>
      <c r="C1529" s="67"/>
      <c r="D1529" s="68"/>
      <c r="E1529" s="68"/>
      <c r="F1529" s="68"/>
      <c r="G1529" s="68"/>
      <c r="H1529" s="68"/>
      <c r="I1529" s="69"/>
      <c r="J1529" s="67"/>
      <c r="K1529" s="67"/>
      <c r="L1529" s="67"/>
      <c r="M1529" s="67"/>
      <c r="N1529" s="67"/>
      <c r="O1529" s="67"/>
      <c r="P1529" s="67"/>
      <c r="Q1529" s="77"/>
      <c r="R1529" s="68"/>
      <c r="S1529" s="68"/>
      <c r="T1529" s="67"/>
      <c r="U1529" s="68"/>
      <c r="V1529" s="68"/>
      <c r="W1529" s="67"/>
      <c r="X1529" s="67"/>
      <c r="Y1529" s="67"/>
      <c r="Z1529" s="67"/>
      <c r="AA1529" s="67"/>
      <c r="AB1529" s="67"/>
      <c r="AC1529" s="67"/>
    </row>
    <row r="1530">
      <c r="A1530" s="66"/>
      <c r="B1530" s="67"/>
      <c r="C1530" s="67"/>
      <c r="D1530" s="68"/>
      <c r="E1530" s="68"/>
      <c r="F1530" s="68"/>
      <c r="G1530" s="68"/>
      <c r="H1530" s="68"/>
      <c r="I1530" s="69"/>
      <c r="J1530" s="67"/>
      <c r="K1530" s="67"/>
      <c r="L1530" s="67"/>
      <c r="M1530" s="67"/>
      <c r="N1530" s="67"/>
      <c r="O1530" s="67"/>
      <c r="P1530" s="67"/>
      <c r="Q1530" s="77"/>
      <c r="R1530" s="68"/>
      <c r="S1530" s="68"/>
      <c r="T1530" s="67"/>
      <c r="U1530" s="68"/>
      <c r="V1530" s="68"/>
      <c r="W1530" s="67"/>
      <c r="X1530" s="67"/>
      <c r="Y1530" s="67"/>
      <c r="Z1530" s="67"/>
      <c r="AA1530" s="67"/>
      <c r="AB1530" s="67"/>
      <c r="AC1530" s="67"/>
    </row>
    <row r="1531">
      <c r="A1531" s="66"/>
      <c r="B1531" s="67"/>
      <c r="C1531" s="67"/>
      <c r="D1531" s="68"/>
      <c r="E1531" s="68"/>
      <c r="F1531" s="68"/>
      <c r="G1531" s="68"/>
      <c r="H1531" s="68"/>
      <c r="I1531" s="69"/>
      <c r="J1531" s="67"/>
      <c r="K1531" s="67"/>
      <c r="L1531" s="67"/>
      <c r="M1531" s="67"/>
      <c r="N1531" s="67"/>
      <c r="O1531" s="67"/>
      <c r="P1531" s="67"/>
      <c r="Q1531" s="77"/>
      <c r="R1531" s="68"/>
      <c r="S1531" s="68"/>
      <c r="T1531" s="67"/>
      <c r="U1531" s="68"/>
      <c r="V1531" s="68"/>
      <c r="W1531" s="67"/>
      <c r="X1531" s="67"/>
      <c r="Y1531" s="67"/>
      <c r="Z1531" s="67"/>
      <c r="AA1531" s="67"/>
      <c r="AB1531" s="67"/>
      <c r="AC1531" s="67"/>
    </row>
    <row r="1532">
      <c r="A1532" s="66"/>
      <c r="B1532" s="67"/>
      <c r="C1532" s="67"/>
      <c r="D1532" s="68"/>
      <c r="E1532" s="68"/>
      <c r="F1532" s="68"/>
      <c r="G1532" s="68"/>
      <c r="H1532" s="68"/>
      <c r="I1532" s="69"/>
      <c r="J1532" s="67"/>
      <c r="K1532" s="67"/>
      <c r="L1532" s="67"/>
      <c r="M1532" s="67"/>
      <c r="N1532" s="67"/>
      <c r="O1532" s="67"/>
      <c r="P1532" s="67"/>
      <c r="Q1532" s="77"/>
      <c r="R1532" s="68"/>
      <c r="S1532" s="68"/>
      <c r="T1532" s="67"/>
      <c r="U1532" s="68"/>
      <c r="V1532" s="68"/>
      <c r="W1532" s="67"/>
      <c r="X1532" s="67"/>
      <c r="Y1532" s="67"/>
      <c r="Z1532" s="67"/>
      <c r="AA1532" s="67"/>
      <c r="AB1532" s="67"/>
      <c r="AC1532" s="67"/>
    </row>
    <row r="1533">
      <c r="A1533" s="66"/>
      <c r="B1533" s="67"/>
      <c r="C1533" s="67"/>
      <c r="D1533" s="68"/>
      <c r="E1533" s="68"/>
      <c r="F1533" s="68"/>
      <c r="G1533" s="68"/>
      <c r="H1533" s="68"/>
      <c r="I1533" s="69"/>
      <c r="J1533" s="67"/>
      <c r="K1533" s="67"/>
      <c r="L1533" s="67"/>
      <c r="M1533" s="67"/>
      <c r="N1533" s="67"/>
      <c r="O1533" s="67"/>
      <c r="P1533" s="67"/>
      <c r="Q1533" s="77"/>
      <c r="R1533" s="68"/>
      <c r="S1533" s="68"/>
      <c r="T1533" s="67"/>
      <c r="U1533" s="68"/>
      <c r="V1533" s="68"/>
      <c r="W1533" s="67"/>
      <c r="X1533" s="67"/>
      <c r="Y1533" s="67"/>
      <c r="Z1533" s="67"/>
      <c r="AA1533" s="67"/>
      <c r="AB1533" s="67"/>
      <c r="AC1533" s="67"/>
    </row>
    <row r="1534">
      <c r="A1534" s="66"/>
      <c r="B1534" s="67"/>
      <c r="C1534" s="67"/>
      <c r="D1534" s="68"/>
      <c r="E1534" s="68"/>
      <c r="F1534" s="68"/>
      <c r="G1534" s="68"/>
      <c r="H1534" s="68"/>
      <c r="I1534" s="69"/>
      <c r="J1534" s="67"/>
      <c r="K1534" s="67"/>
      <c r="L1534" s="67"/>
      <c r="M1534" s="67"/>
      <c r="N1534" s="67"/>
      <c r="O1534" s="67"/>
      <c r="P1534" s="67"/>
      <c r="Q1534" s="77"/>
      <c r="R1534" s="68"/>
      <c r="S1534" s="68"/>
      <c r="T1534" s="67"/>
      <c r="U1534" s="68"/>
      <c r="V1534" s="68"/>
      <c r="W1534" s="67"/>
      <c r="X1534" s="67"/>
      <c r="Y1534" s="67"/>
      <c r="Z1534" s="67"/>
      <c r="AA1534" s="67"/>
      <c r="AB1534" s="67"/>
      <c r="AC1534" s="67"/>
    </row>
    <row r="1535">
      <c r="A1535" s="66"/>
      <c r="B1535" s="67"/>
      <c r="C1535" s="67"/>
      <c r="D1535" s="68"/>
      <c r="E1535" s="68"/>
      <c r="F1535" s="68"/>
      <c r="G1535" s="68"/>
      <c r="H1535" s="68"/>
      <c r="I1535" s="69"/>
      <c r="J1535" s="67"/>
      <c r="K1535" s="67"/>
      <c r="L1535" s="67"/>
      <c r="M1535" s="67"/>
      <c r="N1535" s="67"/>
      <c r="O1535" s="67"/>
      <c r="P1535" s="67"/>
      <c r="Q1535" s="77"/>
      <c r="R1535" s="68"/>
      <c r="S1535" s="68"/>
      <c r="T1535" s="67"/>
      <c r="U1535" s="68"/>
      <c r="V1535" s="68"/>
      <c r="W1535" s="67"/>
      <c r="X1535" s="67"/>
      <c r="Y1535" s="67"/>
      <c r="Z1535" s="67"/>
      <c r="AA1535" s="67"/>
      <c r="AB1535" s="67"/>
      <c r="AC1535" s="67"/>
    </row>
    <row r="1536">
      <c r="A1536" s="66"/>
      <c r="B1536" s="67"/>
      <c r="C1536" s="67"/>
      <c r="D1536" s="68"/>
      <c r="E1536" s="68"/>
      <c r="F1536" s="68"/>
      <c r="G1536" s="68"/>
      <c r="H1536" s="68"/>
      <c r="I1536" s="69"/>
      <c r="J1536" s="67"/>
      <c r="K1536" s="67"/>
      <c r="L1536" s="67"/>
      <c r="M1536" s="67"/>
      <c r="N1536" s="67"/>
      <c r="O1536" s="67"/>
      <c r="P1536" s="67"/>
      <c r="Q1536" s="77"/>
      <c r="R1536" s="68"/>
      <c r="S1536" s="68"/>
      <c r="T1536" s="67"/>
      <c r="U1536" s="68"/>
      <c r="V1536" s="68"/>
      <c r="W1536" s="67"/>
      <c r="X1536" s="67"/>
      <c r="Y1536" s="67"/>
      <c r="Z1536" s="67"/>
      <c r="AA1536" s="67"/>
      <c r="AB1536" s="67"/>
      <c r="AC1536" s="67"/>
    </row>
    <row r="1537">
      <c r="A1537" s="66"/>
      <c r="B1537" s="67"/>
      <c r="C1537" s="67"/>
      <c r="D1537" s="68"/>
      <c r="E1537" s="68"/>
      <c r="F1537" s="68"/>
      <c r="G1537" s="68"/>
      <c r="H1537" s="68"/>
      <c r="I1537" s="69"/>
      <c r="J1537" s="67"/>
      <c r="K1537" s="67"/>
      <c r="L1537" s="67"/>
      <c r="M1537" s="67"/>
      <c r="N1537" s="67"/>
      <c r="O1537" s="67"/>
      <c r="P1537" s="67"/>
      <c r="Q1537" s="77"/>
      <c r="R1537" s="68"/>
      <c r="S1537" s="68"/>
      <c r="T1537" s="67"/>
      <c r="U1537" s="68"/>
      <c r="V1537" s="68"/>
      <c r="W1537" s="67"/>
      <c r="X1537" s="67"/>
      <c r="Y1537" s="67"/>
      <c r="Z1537" s="67"/>
      <c r="AA1537" s="67"/>
      <c r="AB1537" s="67"/>
      <c r="AC1537" s="67"/>
    </row>
    <row r="1538">
      <c r="A1538" s="66"/>
      <c r="B1538" s="67"/>
      <c r="C1538" s="67"/>
      <c r="D1538" s="68"/>
      <c r="E1538" s="68"/>
      <c r="F1538" s="68"/>
      <c r="G1538" s="68"/>
      <c r="H1538" s="68"/>
      <c r="I1538" s="69"/>
      <c r="J1538" s="67"/>
      <c r="K1538" s="67"/>
      <c r="L1538" s="67"/>
      <c r="M1538" s="67"/>
      <c r="N1538" s="67"/>
      <c r="O1538" s="67"/>
      <c r="P1538" s="67"/>
      <c r="Q1538" s="77"/>
      <c r="R1538" s="68"/>
      <c r="S1538" s="68"/>
      <c r="T1538" s="67"/>
      <c r="U1538" s="68"/>
      <c r="V1538" s="68"/>
      <c r="W1538" s="67"/>
      <c r="X1538" s="67"/>
      <c r="Y1538" s="67"/>
      <c r="Z1538" s="67"/>
      <c r="AA1538" s="67"/>
      <c r="AB1538" s="67"/>
      <c r="AC1538" s="67"/>
    </row>
    <row r="1539">
      <c r="A1539" s="66"/>
      <c r="B1539" s="67"/>
      <c r="C1539" s="67"/>
      <c r="D1539" s="68"/>
      <c r="E1539" s="68"/>
      <c r="F1539" s="68"/>
      <c r="G1539" s="68"/>
      <c r="H1539" s="68"/>
      <c r="I1539" s="69"/>
      <c r="J1539" s="67"/>
      <c r="K1539" s="67"/>
      <c r="L1539" s="67"/>
      <c r="M1539" s="67"/>
      <c r="N1539" s="67"/>
      <c r="O1539" s="67"/>
      <c r="P1539" s="67"/>
      <c r="Q1539" s="77"/>
      <c r="R1539" s="68"/>
      <c r="S1539" s="68"/>
      <c r="T1539" s="67"/>
      <c r="U1539" s="68"/>
      <c r="V1539" s="68"/>
      <c r="W1539" s="67"/>
      <c r="X1539" s="67"/>
      <c r="Y1539" s="67"/>
      <c r="Z1539" s="67"/>
      <c r="AA1539" s="67"/>
      <c r="AB1539" s="67"/>
      <c r="AC1539" s="67"/>
    </row>
    <row r="1540">
      <c r="A1540" s="66"/>
      <c r="B1540" s="67"/>
      <c r="C1540" s="67"/>
      <c r="D1540" s="68"/>
      <c r="E1540" s="68"/>
      <c r="F1540" s="68"/>
      <c r="G1540" s="68"/>
      <c r="H1540" s="68"/>
      <c r="I1540" s="69"/>
      <c r="J1540" s="67"/>
      <c r="K1540" s="67"/>
      <c r="L1540" s="67"/>
      <c r="M1540" s="67"/>
      <c r="N1540" s="67"/>
      <c r="O1540" s="67"/>
      <c r="P1540" s="67"/>
      <c r="Q1540" s="77"/>
      <c r="R1540" s="68"/>
      <c r="S1540" s="68"/>
      <c r="T1540" s="67"/>
      <c r="U1540" s="68"/>
      <c r="V1540" s="68"/>
      <c r="W1540" s="67"/>
      <c r="X1540" s="67"/>
      <c r="Y1540" s="67"/>
      <c r="Z1540" s="67"/>
      <c r="AA1540" s="67"/>
      <c r="AB1540" s="67"/>
      <c r="AC1540" s="67"/>
    </row>
    <row r="1541">
      <c r="A1541" s="66"/>
      <c r="B1541" s="67"/>
      <c r="C1541" s="67"/>
      <c r="D1541" s="68"/>
      <c r="E1541" s="68"/>
      <c r="F1541" s="68"/>
      <c r="G1541" s="68"/>
      <c r="H1541" s="68"/>
      <c r="I1541" s="69"/>
      <c r="J1541" s="67"/>
      <c r="K1541" s="67"/>
      <c r="L1541" s="67"/>
      <c r="M1541" s="67"/>
      <c r="N1541" s="67"/>
      <c r="O1541" s="67"/>
      <c r="P1541" s="67"/>
      <c r="Q1541" s="77"/>
      <c r="R1541" s="68"/>
      <c r="S1541" s="68"/>
      <c r="T1541" s="67"/>
      <c r="U1541" s="68"/>
      <c r="V1541" s="68"/>
      <c r="W1541" s="67"/>
      <c r="X1541" s="67"/>
      <c r="Y1541" s="67"/>
      <c r="Z1541" s="67"/>
      <c r="AA1541" s="67"/>
      <c r="AB1541" s="67"/>
      <c r="AC1541" s="67"/>
    </row>
    <row r="1542">
      <c r="A1542" s="66"/>
      <c r="B1542" s="67"/>
      <c r="C1542" s="67"/>
      <c r="D1542" s="68"/>
      <c r="E1542" s="68"/>
      <c r="F1542" s="68"/>
      <c r="G1542" s="68"/>
      <c r="H1542" s="68"/>
      <c r="I1542" s="69"/>
      <c r="J1542" s="67"/>
      <c r="K1542" s="67"/>
      <c r="L1542" s="67"/>
      <c r="M1542" s="67"/>
      <c r="N1542" s="67"/>
      <c r="O1542" s="67"/>
      <c r="P1542" s="67"/>
      <c r="Q1542" s="77"/>
      <c r="R1542" s="68"/>
      <c r="S1542" s="68"/>
      <c r="T1542" s="67"/>
      <c r="U1542" s="68"/>
      <c r="V1542" s="68"/>
      <c r="W1542" s="67"/>
      <c r="X1542" s="67"/>
      <c r="Y1542" s="67"/>
      <c r="Z1542" s="67"/>
      <c r="AA1542" s="67"/>
      <c r="AB1542" s="67"/>
      <c r="AC1542" s="67"/>
    </row>
    <row r="1543">
      <c r="A1543" s="66"/>
      <c r="B1543" s="67"/>
      <c r="C1543" s="67"/>
      <c r="D1543" s="68"/>
      <c r="E1543" s="68"/>
      <c r="F1543" s="68"/>
      <c r="G1543" s="68"/>
      <c r="H1543" s="68"/>
      <c r="I1543" s="69"/>
      <c r="J1543" s="67"/>
      <c r="K1543" s="67"/>
      <c r="L1543" s="67"/>
      <c r="M1543" s="67"/>
      <c r="N1543" s="67"/>
      <c r="O1543" s="67"/>
      <c r="P1543" s="67"/>
      <c r="Q1543" s="77"/>
      <c r="R1543" s="68"/>
      <c r="S1543" s="68"/>
      <c r="T1543" s="67"/>
      <c r="U1543" s="68"/>
      <c r="V1543" s="68"/>
      <c r="W1543" s="67"/>
      <c r="X1543" s="67"/>
      <c r="Y1543" s="67"/>
      <c r="Z1543" s="67"/>
      <c r="AA1543" s="67"/>
      <c r="AB1543" s="67"/>
      <c r="AC1543" s="67"/>
    </row>
    <row r="1544">
      <c r="A1544" s="66"/>
      <c r="B1544" s="67"/>
      <c r="C1544" s="67"/>
      <c r="D1544" s="68"/>
      <c r="E1544" s="68"/>
      <c r="F1544" s="68"/>
      <c r="G1544" s="68"/>
      <c r="H1544" s="68"/>
      <c r="I1544" s="69"/>
      <c r="J1544" s="67"/>
      <c r="K1544" s="67"/>
      <c r="L1544" s="67"/>
      <c r="M1544" s="67"/>
      <c r="N1544" s="67"/>
      <c r="O1544" s="67"/>
      <c r="P1544" s="67"/>
      <c r="Q1544" s="77"/>
      <c r="R1544" s="68"/>
      <c r="S1544" s="68"/>
      <c r="T1544" s="67"/>
      <c r="U1544" s="68"/>
      <c r="V1544" s="68"/>
      <c r="W1544" s="67"/>
      <c r="X1544" s="67"/>
      <c r="Y1544" s="67"/>
      <c r="Z1544" s="67"/>
      <c r="AA1544" s="67"/>
      <c r="AB1544" s="67"/>
      <c r="AC1544" s="67"/>
    </row>
    <row r="1545">
      <c r="A1545" s="66"/>
      <c r="B1545" s="67"/>
      <c r="C1545" s="67"/>
      <c r="D1545" s="68"/>
      <c r="E1545" s="68"/>
      <c r="F1545" s="68"/>
      <c r="G1545" s="68"/>
      <c r="H1545" s="68"/>
      <c r="I1545" s="69"/>
      <c r="J1545" s="67"/>
      <c r="K1545" s="67"/>
      <c r="L1545" s="67"/>
      <c r="M1545" s="67"/>
      <c r="N1545" s="67"/>
      <c r="O1545" s="67"/>
      <c r="P1545" s="67"/>
      <c r="Q1545" s="77"/>
      <c r="R1545" s="68"/>
      <c r="S1545" s="68"/>
      <c r="T1545" s="67"/>
      <c r="U1545" s="68"/>
      <c r="V1545" s="68"/>
      <c r="W1545" s="67"/>
      <c r="X1545" s="67"/>
      <c r="Y1545" s="67"/>
      <c r="Z1545" s="67"/>
      <c r="AA1545" s="67"/>
      <c r="AB1545" s="67"/>
      <c r="AC1545" s="67"/>
    </row>
    <row r="1546">
      <c r="A1546" s="66"/>
      <c r="B1546" s="67"/>
      <c r="C1546" s="67"/>
      <c r="D1546" s="68"/>
      <c r="E1546" s="68"/>
      <c r="F1546" s="68"/>
      <c r="G1546" s="68"/>
      <c r="H1546" s="68"/>
      <c r="I1546" s="69"/>
      <c r="J1546" s="67"/>
      <c r="K1546" s="67"/>
      <c r="L1546" s="67"/>
      <c r="M1546" s="67"/>
      <c r="N1546" s="67"/>
      <c r="O1546" s="67"/>
      <c r="P1546" s="67"/>
      <c r="Q1546" s="77"/>
      <c r="R1546" s="68"/>
      <c r="S1546" s="68"/>
      <c r="T1546" s="67"/>
      <c r="U1546" s="68"/>
      <c r="V1546" s="68"/>
      <c r="W1546" s="67"/>
      <c r="X1546" s="67"/>
      <c r="Y1546" s="67"/>
      <c r="Z1546" s="67"/>
      <c r="AA1546" s="67"/>
      <c r="AB1546" s="67"/>
      <c r="AC1546" s="67"/>
    </row>
    <row r="1547">
      <c r="A1547" s="66"/>
      <c r="B1547" s="67"/>
      <c r="C1547" s="67"/>
      <c r="D1547" s="68"/>
      <c r="E1547" s="68"/>
      <c r="F1547" s="68"/>
      <c r="G1547" s="68"/>
      <c r="H1547" s="68"/>
      <c r="I1547" s="69"/>
      <c r="J1547" s="67"/>
      <c r="K1547" s="67"/>
      <c r="L1547" s="67"/>
      <c r="M1547" s="67"/>
      <c r="N1547" s="67"/>
      <c r="O1547" s="67"/>
      <c r="P1547" s="67"/>
      <c r="Q1547" s="77"/>
      <c r="R1547" s="68"/>
      <c r="S1547" s="68"/>
      <c r="T1547" s="67"/>
      <c r="U1547" s="68"/>
      <c r="V1547" s="68"/>
      <c r="W1547" s="67"/>
      <c r="X1547" s="67"/>
      <c r="Y1547" s="67"/>
      <c r="Z1547" s="67"/>
      <c r="AA1547" s="67"/>
      <c r="AB1547" s="67"/>
      <c r="AC1547" s="67"/>
    </row>
    <row r="1548">
      <c r="A1548" s="66"/>
      <c r="B1548" s="67"/>
      <c r="C1548" s="67"/>
      <c r="D1548" s="68"/>
      <c r="E1548" s="68"/>
      <c r="F1548" s="68"/>
      <c r="G1548" s="68"/>
      <c r="H1548" s="68"/>
      <c r="I1548" s="69"/>
      <c r="J1548" s="67"/>
      <c r="K1548" s="67"/>
      <c r="L1548" s="67"/>
      <c r="M1548" s="67"/>
      <c r="N1548" s="67"/>
      <c r="O1548" s="67"/>
      <c r="P1548" s="67"/>
      <c r="Q1548" s="77"/>
      <c r="R1548" s="68"/>
      <c r="S1548" s="68"/>
      <c r="T1548" s="67"/>
      <c r="U1548" s="68"/>
      <c r="V1548" s="68"/>
      <c r="W1548" s="67"/>
      <c r="X1548" s="67"/>
      <c r="Y1548" s="67"/>
      <c r="Z1548" s="67"/>
      <c r="AA1548" s="67"/>
      <c r="AB1548" s="67"/>
      <c r="AC1548" s="67"/>
    </row>
    <row r="1549">
      <c r="A1549" s="66"/>
      <c r="B1549" s="67"/>
      <c r="C1549" s="67"/>
      <c r="D1549" s="68"/>
      <c r="E1549" s="68"/>
      <c r="F1549" s="68"/>
      <c r="G1549" s="68"/>
      <c r="H1549" s="68"/>
      <c r="I1549" s="69"/>
      <c r="J1549" s="67"/>
      <c r="K1549" s="67"/>
      <c r="L1549" s="67"/>
      <c r="M1549" s="67"/>
      <c r="N1549" s="67"/>
      <c r="O1549" s="67"/>
      <c r="P1549" s="67"/>
      <c r="Q1549" s="77"/>
      <c r="R1549" s="68"/>
      <c r="S1549" s="68"/>
      <c r="T1549" s="67"/>
      <c r="U1549" s="68"/>
      <c r="V1549" s="68"/>
      <c r="W1549" s="67"/>
      <c r="X1549" s="67"/>
      <c r="Y1549" s="67"/>
      <c r="Z1549" s="67"/>
      <c r="AA1549" s="67"/>
      <c r="AB1549" s="67"/>
      <c r="AC1549" s="67"/>
    </row>
    <row r="1550">
      <c r="A1550" s="66"/>
      <c r="B1550" s="67"/>
      <c r="C1550" s="67"/>
      <c r="D1550" s="68"/>
      <c r="E1550" s="68"/>
      <c r="F1550" s="68"/>
      <c r="G1550" s="68"/>
      <c r="H1550" s="68"/>
      <c r="I1550" s="69"/>
      <c r="J1550" s="67"/>
      <c r="K1550" s="67"/>
      <c r="L1550" s="67"/>
      <c r="M1550" s="67"/>
      <c r="N1550" s="67"/>
      <c r="O1550" s="67"/>
      <c r="P1550" s="67"/>
      <c r="Q1550" s="77"/>
      <c r="R1550" s="68"/>
      <c r="S1550" s="68"/>
      <c r="T1550" s="67"/>
      <c r="U1550" s="68"/>
      <c r="V1550" s="68"/>
      <c r="W1550" s="67"/>
      <c r="X1550" s="67"/>
      <c r="Y1550" s="67"/>
      <c r="Z1550" s="67"/>
      <c r="AA1550" s="67"/>
      <c r="AB1550" s="67"/>
      <c r="AC1550" s="67"/>
    </row>
    <row r="1551">
      <c r="A1551" s="66"/>
      <c r="B1551" s="67"/>
      <c r="C1551" s="67"/>
      <c r="D1551" s="68"/>
      <c r="E1551" s="68"/>
      <c r="F1551" s="68"/>
      <c r="G1551" s="68"/>
      <c r="H1551" s="68"/>
      <c r="I1551" s="69"/>
      <c r="J1551" s="67"/>
      <c r="K1551" s="67"/>
      <c r="L1551" s="67"/>
      <c r="M1551" s="67"/>
      <c r="N1551" s="67"/>
      <c r="O1551" s="67"/>
      <c r="P1551" s="67"/>
      <c r="Q1551" s="77"/>
      <c r="R1551" s="68"/>
      <c r="S1551" s="68"/>
      <c r="T1551" s="67"/>
      <c r="U1551" s="68"/>
      <c r="V1551" s="68"/>
      <c r="W1551" s="67"/>
      <c r="X1551" s="67"/>
      <c r="Y1551" s="67"/>
      <c r="Z1551" s="67"/>
      <c r="AA1551" s="67"/>
      <c r="AB1551" s="67"/>
      <c r="AC1551" s="67"/>
    </row>
    <row r="1552">
      <c r="A1552" s="66"/>
      <c r="B1552" s="67"/>
      <c r="C1552" s="67"/>
      <c r="D1552" s="68"/>
      <c r="E1552" s="68"/>
      <c r="F1552" s="68"/>
      <c r="G1552" s="68"/>
      <c r="H1552" s="68"/>
      <c r="I1552" s="69"/>
      <c r="J1552" s="67"/>
      <c r="K1552" s="67"/>
      <c r="L1552" s="67"/>
      <c r="M1552" s="67"/>
      <c r="N1552" s="67"/>
      <c r="O1552" s="67"/>
      <c r="P1552" s="67"/>
      <c r="Q1552" s="77"/>
      <c r="R1552" s="68"/>
      <c r="S1552" s="68"/>
      <c r="T1552" s="67"/>
      <c r="U1552" s="68"/>
      <c r="V1552" s="68"/>
      <c r="W1552" s="67"/>
      <c r="X1552" s="67"/>
      <c r="Y1552" s="67"/>
      <c r="Z1552" s="67"/>
      <c r="AA1552" s="67"/>
      <c r="AB1552" s="67"/>
      <c r="AC1552" s="67"/>
    </row>
    <row r="1553">
      <c r="A1553" s="66"/>
      <c r="B1553" s="67"/>
      <c r="C1553" s="67"/>
      <c r="D1553" s="68"/>
      <c r="E1553" s="68"/>
      <c r="F1553" s="68"/>
      <c r="G1553" s="68"/>
      <c r="H1553" s="68"/>
      <c r="I1553" s="69"/>
      <c r="J1553" s="67"/>
      <c r="K1553" s="67"/>
      <c r="L1553" s="67"/>
      <c r="M1553" s="67"/>
      <c r="N1553" s="67"/>
      <c r="O1553" s="67"/>
      <c r="P1553" s="67"/>
      <c r="Q1553" s="77"/>
      <c r="R1553" s="68"/>
      <c r="S1553" s="68"/>
      <c r="T1553" s="67"/>
      <c r="U1553" s="68"/>
      <c r="V1553" s="68"/>
      <c r="W1553" s="67"/>
      <c r="X1553" s="67"/>
      <c r="Y1553" s="67"/>
      <c r="Z1553" s="67"/>
      <c r="AA1553" s="67"/>
      <c r="AB1553" s="67"/>
      <c r="AC1553" s="67"/>
    </row>
    <row r="1554">
      <c r="A1554" s="66"/>
      <c r="B1554" s="67"/>
      <c r="C1554" s="67"/>
      <c r="D1554" s="68"/>
      <c r="E1554" s="68"/>
      <c r="F1554" s="68"/>
      <c r="G1554" s="68"/>
      <c r="H1554" s="68"/>
      <c r="I1554" s="69"/>
      <c r="J1554" s="67"/>
      <c r="K1554" s="67"/>
      <c r="L1554" s="67"/>
      <c r="M1554" s="67"/>
      <c r="N1554" s="67"/>
      <c r="O1554" s="67"/>
      <c r="P1554" s="67"/>
      <c r="Q1554" s="77"/>
      <c r="R1554" s="68"/>
      <c r="S1554" s="68"/>
      <c r="T1554" s="67"/>
      <c r="U1554" s="68"/>
      <c r="V1554" s="68"/>
      <c r="W1554" s="67"/>
      <c r="X1554" s="67"/>
      <c r="Y1554" s="67"/>
      <c r="Z1554" s="67"/>
      <c r="AA1554" s="67"/>
      <c r="AB1554" s="67"/>
      <c r="AC1554" s="67"/>
    </row>
    <row r="1555">
      <c r="A1555" s="66"/>
      <c r="B1555" s="67"/>
      <c r="C1555" s="67"/>
      <c r="D1555" s="68"/>
      <c r="E1555" s="68"/>
      <c r="F1555" s="68"/>
      <c r="G1555" s="68"/>
      <c r="H1555" s="68"/>
      <c r="I1555" s="69"/>
      <c r="J1555" s="67"/>
      <c r="K1555" s="67"/>
      <c r="L1555" s="67"/>
      <c r="M1555" s="67"/>
      <c r="N1555" s="67"/>
      <c r="O1555" s="67"/>
      <c r="P1555" s="67"/>
      <c r="Q1555" s="77"/>
      <c r="R1555" s="68"/>
      <c r="S1555" s="68"/>
      <c r="T1555" s="67"/>
      <c r="U1555" s="68"/>
      <c r="V1555" s="68"/>
      <c r="W1555" s="67"/>
      <c r="X1555" s="67"/>
      <c r="Y1555" s="67"/>
      <c r="Z1555" s="67"/>
      <c r="AA1555" s="67"/>
      <c r="AB1555" s="67"/>
      <c r="AC1555" s="67"/>
    </row>
    <row r="1556">
      <c r="A1556" s="66"/>
      <c r="B1556" s="67"/>
      <c r="C1556" s="67"/>
      <c r="D1556" s="68"/>
      <c r="E1556" s="68"/>
      <c r="F1556" s="68"/>
      <c r="G1556" s="68"/>
      <c r="H1556" s="68"/>
      <c r="I1556" s="69"/>
      <c r="J1556" s="67"/>
      <c r="K1556" s="67"/>
      <c r="L1556" s="67"/>
      <c r="M1556" s="67"/>
      <c r="N1556" s="67"/>
      <c r="O1556" s="67"/>
      <c r="P1556" s="67"/>
      <c r="Q1556" s="77"/>
      <c r="R1556" s="68"/>
      <c r="S1556" s="68"/>
      <c r="T1556" s="67"/>
      <c r="U1556" s="68"/>
      <c r="V1556" s="68"/>
      <c r="W1556" s="67"/>
      <c r="X1556" s="67"/>
      <c r="Y1556" s="67"/>
      <c r="Z1556" s="67"/>
      <c r="AA1556" s="67"/>
      <c r="AB1556" s="67"/>
      <c r="AC1556" s="67"/>
    </row>
    <row r="1557">
      <c r="A1557" s="66"/>
      <c r="B1557" s="67"/>
      <c r="C1557" s="67"/>
      <c r="D1557" s="68"/>
      <c r="E1557" s="68"/>
      <c r="F1557" s="68"/>
      <c r="G1557" s="68"/>
      <c r="H1557" s="68"/>
      <c r="I1557" s="69"/>
      <c r="J1557" s="67"/>
      <c r="K1557" s="67"/>
      <c r="L1557" s="67"/>
      <c r="M1557" s="67"/>
      <c r="N1557" s="67"/>
      <c r="O1557" s="67"/>
      <c r="P1557" s="67"/>
      <c r="Q1557" s="77"/>
      <c r="R1557" s="68"/>
      <c r="S1557" s="68"/>
      <c r="T1557" s="67"/>
      <c r="U1557" s="68"/>
      <c r="V1557" s="68"/>
      <c r="W1557" s="67"/>
      <c r="X1557" s="67"/>
      <c r="Y1557" s="67"/>
      <c r="Z1557" s="67"/>
      <c r="AA1557" s="67"/>
      <c r="AB1557" s="67"/>
      <c r="AC1557" s="67"/>
    </row>
    <row r="1558">
      <c r="A1558" s="66"/>
      <c r="B1558" s="67"/>
      <c r="C1558" s="67"/>
      <c r="D1558" s="68"/>
      <c r="E1558" s="68"/>
      <c r="F1558" s="68"/>
      <c r="G1558" s="68"/>
      <c r="H1558" s="68"/>
      <c r="I1558" s="69"/>
      <c r="J1558" s="67"/>
      <c r="K1558" s="67"/>
      <c r="L1558" s="67"/>
      <c r="M1558" s="67"/>
      <c r="N1558" s="67"/>
      <c r="O1558" s="67"/>
      <c r="P1558" s="67"/>
      <c r="Q1558" s="77"/>
      <c r="R1558" s="68"/>
      <c r="S1558" s="68"/>
      <c r="T1558" s="67"/>
      <c r="U1558" s="68"/>
      <c r="V1558" s="68"/>
      <c r="W1558" s="67"/>
      <c r="X1558" s="67"/>
      <c r="Y1558" s="67"/>
      <c r="Z1558" s="67"/>
      <c r="AA1558" s="67"/>
      <c r="AB1558" s="67"/>
      <c r="AC1558" s="67"/>
    </row>
    <row r="1559">
      <c r="A1559" s="66"/>
      <c r="B1559" s="67"/>
      <c r="C1559" s="67"/>
      <c r="D1559" s="68"/>
      <c r="E1559" s="68"/>
      <c r="F1559" s="68"/>
      <c r="G1559" s="68"/>
      <c r="H1559" s="68"/>
      <c r="I1559" s="69"/>
      <c r="J1559" s="67"/>
      <c r="K1559" s="67"/>
      <c r="L1559" s="67"/>
      <c r="M1559" s="67"/>
      <c r="N1559" s="67"/>
      <c r="O1559" s="67"/>
      <c r="P1559" s="67"/>
      <c r="Q1559" s="77"/>
      <c r="R1559" s="68"/>
      <c r="S1559" s="68"/>
      <c r="T1559" s="67"/>
      <c r="U1559" s="68"/>
      <c r="V1559" s="68"/>
      <c r="W1559" s="67"/>
      <c r="X1559" s="67"/>
      <c r="Y1559" s="67"/>
      <c r="Z1559" s="67"/>
      <c r="AA1559" s="67"/>
      <c r="AB1559" s="67"/>
      <c r="AC1559" s="67"/>
    </row>
    <row r="1560">
      <c r="A1560" s="66"/>
      <c r="B1560" s="67"/>
      <c r="C1560" s="67"/>
      <c r="D1560" s="68"/>
      <c r="E1560" s="68"/>
      <c r="F1560" s="68"/>
      <c r="G1560" s="68"/>
      <c r="H1560" s="68"/>
      <c r="I1560" s="69"/>
      <c r="J1560" s="67"/>
      <c r="K1560" s="67"/>
      <c r="L1560" s="67"/>
      <c r="M1560" s="67"/>
      <c r="N1560" s="67"/>
      <c r="O1560" s="67"/>
      <c r="P1560" s="67"/>
      <c r="Q1560" s="77"/>
      <c r="R1560" s="68"/>
      <c r="S1560" s="68"/>
      <c r="T1560" s="67"/>
      <c r="U1560" s="68"/>
      <c r="V1560" s="68"/>
      <c r="W1560" s="67"/>
      <c r="X1560" s="67"/>
      <c r="Y1560" s="67"/>
      <c r="Z1560" s="67"/>
      <c r="AA1560" s="67"/>
      <c r="AB1560" s="67"/>
      <c r="AC1560" s="67"/>
    </row>
    <row r="1561">
      <c r="A1561" s="66"/>
      <c r="B1561" s="67"/>
      <c r="C1561" s="67"/>
      <c r="D1561" s="68"/>
      <c r="E1561" s="68"/>
      <c r="F1561" s="68"/>
      <c r="G1561" s="68"/>
      <c r="H1561" s="68"/>
      <c r="I1561" s="69"/>
      <c r="J1561" s="67"/>
      <c r="K1561" s="67"/>
      <c r="L1561" s="67"/>
      <c r="M1561" s="67"/>
      <c r="N1561" s="67"/>
      <c r="O1561" s="67"/>
      <c r="P1561" s="67"/>
      <c r="Q1561" s="77"/>
      <c r="R1561" s="68"/>
      <c r="S1561" s="68"/>
      <c r="T1561" s="67"/>
      <c r="U1561" s="68"/>
      <c r="V1561" s="68"/>
      <c r="W1561" s="67"/>
      <c r="X1561" s="67"/>
      <c r="Y1561" s="67"/>
      <c r="Z1561" s="67"/>
      <c r="AA1561" s="67"/>
      <c r="AB1561" s="67"/>
      <c r="AC1561" s="67"/>
    </row>
    <row r="1562">
      <c r="A1562" s="66"/>
      <c r="B1562" s="67"/>
      <c r="C1562" s="67"/>
      <c r="D1562" s="68"/>
      <c r="E1562" s="68"/>
      <c r="F1562" s="68"/>
      <c r="G1562" s="68"/>
      <c r="H1562" s="68"/>
      <c r="I1562" s="69"/>
      <c r="J1562" s="67"/>
      <c r="K1562" s="67"/>
      <c r="L1562" s="67"/>
      <c r="M1562" s="67"/>
      <c r="N1562" s="67"/>
      <c r="O1562" s="67"/>
      <c r="P1562" s="67"/>
      <c r="Q1562" s="77"/>
      <c r="R1562" s="68"/>
      <c r="S1562" s="68"/>
      <c r="T1562" s="67"/>
      <c r="U1562" s="68"/>
      <c r="V1562" s="68"/>
      <c r="W1562" s="67"/>
      <c r="X1562" s="67"/>
      <c r="Y1562" s="67"/>
      <c r="Z1562" s="67"/>
      <c r="AA1562" s="67"/>
      <c r="AB1562" s="67"/>
      <c r="AC1562" s="67"/>
    </row>
    <row r="1563">
      <c r="A1563" s="66"/>
      <c r="B1563" s="67"/>
      <c r="C1563" s="67"/>
      <c r="D1563" s="68"/>
      <c r="E1563" s="68"/>
      <c r="F1563" s="68"/>
      <c r="G1563" s="68"/>
      <c r="H1563" s="68"/>
      <c r="I1563" s="69"/>
      <c r="J1563" s="67"/>
      <c r="K1563" s="67"/>
      <c r="L1563" s="67"/>
      <c r="M1563" s="67"/>
      <c r="N1563" s="67"/>
      <c r="O1563" s="67"/>
      <c r="P1563" s="67"/>
      <c r="Q1563" s="77"/>
      <c r="R1563" s="68"/>
      <c r="S1563" s="68"/>
      <c r="T1563" s="67"/>
      <c r="U1563" s="68"/>
      <c r="V1563" s="68"/>
      <c r="W1563" s="67"/>
      <c r="X1563" s="67"/>
      <c r="Y1563" s="67"/>
      <c r="Z1563" s="67"/>
      <c r="AA1563" s="67"/>
      <c r="AB1563" s="67"/>
      <c r="AC1563" s="67"/>
    </row>
    <row r="1564">
      <c r="A1564" s="66"/>
      <c r="B1564" s="67"/>
      <c r="C1564" s="67"/>
      <c r="D1564" s="68"/>
      <c r="E1564" s="68"/>
      <c r="F1564" s="68"/>
      <c r="G1564" s="68"/>
      <c r="H1564" s="68"/>
      <c r="I1564" s="69"/>
      <c r="J1564" s="67"/>
      <c r="K1564" s="67"/>
      <c r="L1564" s="67"/>
      <c r="M1564" s="67"/>
      <c r="N1564" s="67"/>
      <c r="O1564" s="67"/>
      <c r="P1564" s="67"/>
      <c r="Q1564" s="77"/>
      <c r="R1564" s="68"/>
      <c r="S1564" s="68"/>
      <c r="T1564" s="67"/>
      <c r="U1564" s="68"/>
      <c r="V1564" s="68"/>
      <c r="W1564" s="67"/>
      <c r="X1564" s="67"/>
      <c r="Y1564" s="67"/>
      <c r="Z1564" s="67"/>
      <c r="AA1564" s="67"/>
      <c r="AB1564" s="67"/>
      <c r="AC1564" s="67"/>
    </row>
    <row r="1565">
      <c r="A1565" s="66"/>
      <c r="B1565" s="67"/>
      <c r="C1565" s="67"/>
      <c r="D1565" s="68"/>
      <c r="E1565" s="68"/>
      <c r="F1565" s="68"/>
      <c r="G1565" s="68"/>
      <c r="H1565" s="68"/>
      <c r="I1565" s="69"/>
      <c r="J1565" s="67"/>
      <c r="K1565" s="67"/>
      <c r="L1565" s="67"/>
      <c r="M1565" s="67"/>
      <c r="N1565" s="67"/>
      <c r="O1565" s="67"/>
      <c r="P1565" s="67"/>
      <c r="Q1565" s="77"/>
      <c r="R1565" s="68"/>
      <c r="S1565" s="68"/>
      <c r="T1565" s="67"/>
      <c r="U1565" s="68"/>
      <c r="V1565" s="68"/>
      <c r="W1565" s="67"/>
      <c r="X1565" s="67"/>
      <c r="Y1565" s="67"/>
      <c r="Z1565" s="67"/>
      <c r="AA1565" s="67"/>
      <c r="AB1565" s="67"/>
      <c r="AC1565" s="67"/>
    </row>
    <row r="1566">
      <c r="A1566" s="66"/>
      <c r="B1566" s="67"/>
      <c r="C1566" s="67"/>
      <c r="D1566" s="68"/>
      <c r="E1566" s="68"/>
      <c r="F1566" s="68"/>
      <c r="G1566" s="68"/>
      <c r="H1566" s="68"/>
      <c r="I1566" s="69"/>
      <c r="J1566" s="67"/>
      <c r="K1566" s="67"/>
      <c r="L1566" s="67"/>
      <c r="M1566" s="67"/>
      <c r="N1566" s="67"/>
      <c r="O1566" s="67"/>
      <c r="P1566" s="67"/>
      <c r="Q1566" s="77"/>
      <c r="R1566" s="68"/>
      <c r="S1566" s="68"/>
      <c r="T1566" s="67"/>
      <c r="U1566" s="68"/>
      <c r="V1566" s="68"/>
      <c r="W1566" s="67"/>
      <c r="X1566" s="67"/>
      <c r="Y1566" s="67"/>
      <c r="Z1566" s="67"/>
      <c r="AA1566" s="67"/>
      <c r="AB1566" s="67"/>
      <c r="AC1566" s="67"/>
    </row>
    <row r="1567">
      <c r="A1567" s="66"/>
      <c r="B1567" s="67"/>
      <c r="C1567" s="67"/>
      <c r="D1567" s="68"/>
      <c r="E1567" s="68"/>
      <c r="F1567" s="68"/>
      <c r="G1567" s="68"/>
      <c r="H1567" s="68"/>
      <c r="I1567" s="69"/>
      <c r="J1567" s="67"/>
      <c r="K1567" s="67"/>
      <c r="L1567" s="67"/>
      <c r="M1567" s="67"/>
      <c r="N1567" s="67"/>
      <c r="O1567" s="67"/>
      <c r="P1567" s="67"/>
      <c r="Q1567" s="77"/>
      <c r="R1567" s="68"/>
      <c r="S1567" s="68"/>
      <c r="T1567" s="67"/>
      <c r="U1567" s="68"/>
      <c r="V1567" s="68"/>
      <c r="W1567" s="67"/>
      <c r="X1567" s="67"/>
      <c r="Y1567" s="67"/>
      <c r="Z1567" s="67"/>
      <c r="AA1567" s="67"/>
      <c r="AB1567" s="67"/>
      <c r="AC1567" s="67"/>
    </row>
    <row r="1568">
      <c r="A1568" s="66"/>
      <c r="B1568" s="67"/>
      <c r="C1568" s="67"/>
      <c r="D1568" s="68"/>
      <c r="E1568" s="68"/>
      <c r="F1568" s="68"/>
      <c r="G1568" s="68"/>
      <c r="H1568" s="68"/>
      <c r="I1568" s="69"/>
      <c r="J1568" s="67"/>
      <c r="K1568" s="67"/>
      <c r="L1568" s="67"/>
      <c r="M1568" s="67"/>
      <c r="N1568" s="67"/>
      <c r="O1568" s="67"/>
      <c r="P1568" s="67"/>
      <c r="Q1568" s="77"/>
      <c r="R1568" s="68"/>
      <c r="S1568" s="68"/>
      <c r="T1568" s="67"/>
      <c r="U1568" s="68"/>
      <c r="V1568" s="68"/>
      <c r="W1568" s="67"/>
      <c r="X1568" s="67"/>
      <c r="Y1568" s="67"/>
      <c r="Z1568" s="67"/>
      <c r="AA1568" s="67"/>
      <c r="AB1568" s="67"/>
      <c r="AC1568" s="67"/>
    </row>
    <row r="1569">
      <c r="A1569" s="66"/>
      <c r="B1569" s="67"/>
      <c r="C1569" s="67"/>
      <c r="D1569" s="68"/>
      <c r="E1569" s="68"/>
      <c r="F1569" s="68"/>
      <c r="G1569" s="68"/>
      <c r="H1569" s="68"/>
      <c r="I1569" s="69"/>
      <c r="J1569" s="67"/>
      <c r="K1569" s="67"/>
      <c r="L1569" s="67"/>
      <c r="M1569" s="67"/>
      <c r="N1569" s="67"/>
      <c r="O1569" s="67"/>
      <c r="P1569" s="67"/>
      <c r="Q1569" s="77"/>
      <c r="R1569" s="68"/>
      <c r="S1569" s="68"/>
      <c r="T1569" s="67"/>
      <c r="U1569" s="68"/>
      <c r="V1569" s="68"/>
      <c r="W1569" s="67"/>
      <c r="X1569" s="67"/>
      <c r="Y1569" s="67"/>
      <c r="Z1569" s="67"/>
      <c r="AA1569" s="67"/>
      <c r="AB1569" s="67"/>
      <c r="AC1569" s="67"/>
    </row>
    <row r="1570">
      <c r="A1570" s="66"/>
      <c r="B1570" s="67"/>
      <c r="C1570" s="67"/>
      <c r="D1570" s="68"/>
      <c r="E1570" s="68"/>
      <c r="F1570" s="68"/>
      <c r="G1570" s="68"/>
      <c r="H1570" s="68"/>
      <c r="I1570" s="69"/>
      <c r="J1570" s="67"/>
      <c r="K1570" s="67"/>
      <c r="L1570" s="67"/>
      <c r="M1570" s="67"/>
      <c r="N1570" s="67"/>
      <c r="O1570" s="67"/>
      <c r="P1570" s="67"/>
      <c r="Q1570" s="77"/>
      <c r="R1570" s="68"/>
      <c r="S1570" s="68"/>
      <c r="T1570" s="67"/>
      <c r="U1570" s="68"/>
      <c r="V1570" s="68"/>
      <c r="W1570" s="67"/>
      <c r="X1570" s="67"/>
      <c r="Y1570" s="67"/>
      <c r="Z1570" s="67"/>
      <c r="AA1570" s="67"/>
      <c r="AB1570" s="67"/>
      <c r="AC1570" s="67"/>
    </row>
    <row r="1571">
      <c r="A1571" s="66"/>
      <c r="B1571" s="67"/>
      <c r="C1571" s="67"/>
      <c r="D1571" s="68"/>
      <c r="E1571" s="68"/>
      <c r="F1571" s="68"/>
      <c r="G1571" s="68"/>
      <c r="H1571" s="68"/>
      <c r="I1571" s="69"/>
      <c r="J1571" s="67"/>
      <c r="K1571" s="67"/>
      <c r="L1571" s="67"/>
      <c r="M1571" s="67"/>
      <c r="N1571" s="67"/>
      <c r="O1571" s="67"/>
      <c r="P1571" s="67"/>
      <c r="Q1571" s="77"/>
      <c r="R1571" s="68"/>
      <c r="S1571" s="68"/>
      <c r="T1571" s="67"/>
      <c r="U1571" s="68"/>
      <c r="V1571" s="68"/>
      <c r="W1571" s="67"/>
      <c r="X1571" s="67"/>
      <c r="Y1571" s="67"/>
      <c r="Z1571" s="67"/>
      <c r="AA1571" s="67"/>
      <c r="AB1571" s="67"/>
      <c r="AC1571" s="67"/>
    </row>
    <row r="1572">
      <c r="A1572" s="66"/>
      <c r="B1572" s="67"/>
      <c r="C1572" s="67"/>
      <c r="D1572" s="68"/>
      <c r="E1572" s="68"/>
      <c r="F1572" s="68"/>
      <c r="G1572" s="68"/>
      <c r="H1572" s="68"/>
      <c r="I1572" s="69"/>
      <c r="J1572" s="67"/>
      <c r="K1572" s="67"/>
      <c r="L1572" s="67"/>
      <c r="M1572" s="67"/>
      <c r="N1572" s="67"/>
      <c r="O1572" s="67"/>
      <c r="P1572" s="67"/>
      <c r="Q1572" s="77"/>
      <c r="R1572" s="68"/>
      <c r="S1572" s="68"/>
      <c r="T1572" s="67"/>
      <c r="U1572" s="68"/>
      <c r="V1572" s="68"/>
      <c r="W1572" s="67"/>
      <c r="X1572" s="67"/>
      <c r="Y1572" s="67"/>
      <c r="Z1572" s="67"/>
      <c r="AA1572" s="67"/>
      <c r="AB1572" s="67"/>
      <c r="AC1572" s="67"/>
    </row>
    <row r="1573">
      <c r="A1573" s="66"/>
      <c r="B1573" s="67"/>
      <c r="C1573" s="67"/>
      <c r="D1573" s="68"/>
      <c r="E1573" s="68"/>
      <c r="F1573" s="68"/>
      <c r="G1573" s="68"/>
      <c r="H1573" s="68"/>
      <c r="I1573" s="69"/>
      <c r="J1573" s="67"/>
      <c r="K1573" s="67"/>
      <c r="L1573" s="67"/>
      <c r="M1573" s="67"/>
      <c r="N1573" s="67"/>
      <c r="O1573" s="67"/>
      <c r="P1573" s="67"/>
      <c r="Q1573" s="77"/>
      <c r="R1573" s="68"/>
      <c r="S1573" s="68"/>
      <c r="T1573" s="67"/>
      <c r="U1573" s="68"/>
      <c r="V1573" s="68"/>
      <c r="W1573" s="67"/>
      <c r="X1573" s="67"/>
      <c r="Y1573" s="67"/>
      <c r="Z1573" s="67"/>
      <c r="AA1573" s="67"/>
      <c r="AB1573" s="67"/>
      <c r="AC1573" s="67"/>
    </row>
    <row r="1574">
      <c r="A1574" s="66"/>
      <c r="B1574" s="67"/>
      <c r="C1574" s="67"/>
      <c r="D1574" s="68"/>
      <c r="E1574" s="68"/>
      <c r="F1574" s="68"/>
      <c r="G1574" s="68"/>
      <c r="H1574" s="68"/>
      <c r="I1574" s="69"/>
      <c r="J1574" s="67"/>
      <c r="K1574" s="67"/>
      <c r="L1574" s="67"/>
      <c r="M1574" s="67"/>
      <c r="N1574" s="67"/>
      <c r="O1574" s="67"/>
      <c r="P1574" s="67"/>
      <c r="Q1574" s="77"/>
      <c r="R1574" s="68"/>
      <c r="S1574" s="68"/>
      <c r="T1574" s="67"/>
      <c r="U1574" s="68"/>
      <c r="V1574" s="68"/>
      <c r="W1574" s="67"/>
      <c r="X1574" s="67"/>
      <c r="Y1574" s="67"/>
      <c r="Z1574" s="67"/>
      <c r="AA1574" s="67"/>
      <c r="AB1574" s="67"/>
      <c r="AC1574" s="67"/>
    </row>
    <row r="1575">
      <c r="A1575" s="66"/>
      <c r="B1575" s="67"/>
      <c r="C1575" s="67"/>
      <c r="D1575" s="68"/>
      <c r="E1575" s="68"/>
      <c r="F1575" s="68"/>
      <c r="G1575" s="68"/>
      <c r="H1575" s="68"/>
      <c r="I1575" s="69"/>
      <c r="J1575" s="67"/>
      <c r="K1575" s="67"/>
      <c r="L1575" s="67"/>
      <c r="M1575" s="67"/>
      <c r="N1575" s="67"/>
      <c r="O1575" s="67"/>
      <c r="P1575" s="67"/>
      <c r="Q1575" s="77"/>
      <c r="R1575" s="68"/>
      <c r="S1575" s="68"/>
      <c r="T1575" s="67"/>
      <c r="U1575" s="68"/>
      <c r="V1575" s="68"/>
      <c r="W1575" s="67"/>
      <c r="X1575" s="67"/>
      <c r="Y1575" s="67"/>
      <c r="Z1575" s="67"/>
      <c r="AA1575" s="67"/>
      <c r="AB1575" s="67"/>
      <c r="AC1575" s="67"/>
    </row>
    <row r="1576">
      <c r="A1576" s="66"/>
      <c r="B1576" s="67"/>
      <c r="C1576" s="67"/>
      <c r="D1576" s="68"/>
      <c r="E1576" s="68"/>
      <c r="F1576" s="68"/>
      <c r="G1576" s="68"/>
      <c r="H1576" s="68"/>
      <c r="I1576" s="69"/>
      <c r="J1576" s="67"/>
      <c r="K1576" s="67"/>
      <c r="L1576" s="67"/>
      <c r="M1576" s="67"/>
      <c r="N1576" s="67"/>
      <c r="O1576" s="67"/>
      <c r="P1576" s="67"/>
      <c r="Q1576" s="77"/>
      <c r="R1576" s="68"/>
      <c r="S1576" s="68"/>
      <c r="T1576" s="67"/>
      <c r="U1576" s="68"/>
      <c r="V1576" s="68"/>
      <c r="W1576" s="67"/>
      <c r="X1576" s="67"/>
      <c r="Y1576" s="67"/>
      <c r="Z1576" s="67"/>
      <c r="AA1576" s="67"/>
      <c r="AB1576" s="67"/>
      <c r="AC1576" s="67"/>
    </row>
    <row r="1577">
      <c r="A1577" s="66"/>
      <c r="B1577" s="67"/>
      <c r="C1577" s="67"/>
      <c r="D1577" s="68"/>
      <c r="E1577" s="68"/>
      <c r="F1577" s="68"/>
      <c r="G1577" s="68"/>
      <c r="H1577" s="68"/>
      <c r="I1577" s="69"/>
      <c r="J1577" s="67"/>
      <c r="K1577" s="67"/>
      <c r="L1577" s="67"/>
      <c r="M1577" s="67"/>
      <c r="N1577" s="67"/>
      <c r="O1577" s="67"/>
      <c r="P1577" s="67"/>
      <c r="Q1577" s="77"/>
      <c r="R1577" s="68"/>
      <c r="S1577" s="68"/>
      <c r="T1577" s="67"/>
      <c r="U1577" s="68"/>
      <c r="V1577" s="68"/>
      <c r="W1577" s="67"/>
      <c r="X1577" s="67"/>
      <c r="Y1577" s="67"/>
      <c r="Z1577" s="67"/>
      <c r="AA1577" s="67"/>
      <c r="AB1577" s="67"/>
      <c r="AC1577" s="67"/>
    </row>
    <row r="1578">
      <c r="A1578" s="66"/>
      <c r="B1578" s="67"/>
      <c r="C1578" s="67"/>
      <c r="D1578" s="68"/>
      <c r="E1578" s="68"/>
      <c r="F1578" s="68"/>
      <c r="G1578" s="68"/>
      <c r="H1578" s="68"/>
      <c r="I1578" s="69"/>
      <c r="J1578" s="67"/>
      <c r="K1578" s="67"/>
      <c r="L1578" s="67"/>
      <c r="M1578" s="67"/>
      <c r="N1578" s="67"/>
      <c r="O1578" s="67"/>
      <c r="P1578" s="67"/>
      <c r="Q1578" s="77"/>
      <c r="R1578" s="68"/>
      <c r="S1578" s="68"/>
      <c r="T1578" s="67"/>
      <c r="U1578" s="68"/>
      <c r="V1578" s="68"/>
      <c r="W1578" s="67"/>
      <c r="X1578" s="67"/>
      <c r="Y1578" s="67"/>
      <c r="Z1578" s="67"/>
      <c r="AA1578" s="67"/>
      <c r="AB1578" s="67"/>
      <c r="AC1578" s="67"/>
    </row>
    <row r="1579">
      <c r="A1579" s="66"/>
      <c r="B1579" s="67"/>
      <c r="C1579" s="67"/>
      <c r="D1579" s="68"/>
      <c r="E1579" s="68"/>
      <c r="F1579" s="68"/>
      <c r="G1579" s="68"/>
      <c r="H1579" s="68"/>
      <c r="I1579" s="69"/>
      <c r="J1579" s="67"/>
      <c r="K1579" s="67"/>
      <c r="L1579" s="67"/>
      <c r="M1579" s="67"/>
      <c r="N1579" s="67"/>
      <c r="O1579" s="67"/>
      <c r="P1579" s="67"/>
      <c r="Q1579" s="77"/>
      <c r="R1579" s="68"/>
      <c r="S1579" s="68"/>
      <c r="T1579" s="67"/>
      <c r="U1579" s="68"/>
      <c r="V1579" s="68"/>
      <c r="W1579" s="67"/>
      <c r="X1579" s="67"/>
      <c r="Y1579" s="67"/>
      <c r="Z1579" s="67"/>
      <c r="AA1579" s="67"/>
      <c r="AB1579" s="67"/>
      <c r="AC1579" s="67"/>
    </row>
    <row r="1580">
      <c r="A1580" s="66"/>
      <c r="B1580" s="67"/>
      <c r="C1580" s="67"/>
      <c r="D1580" s="68"/>
      <c r="E1580" s="68"/>
      <c r="F1580" s="68"/>
      <c r="G1580" s="68"/>
      <c r="H1580" s="68"/>
      <c r="I1580" s="69"/>
      <c r="J1580" s="67"/>
      <c r="K1580" s="67"/>
      <c r="L1580" s="67"/>
      <c r="M1580" s="67"/>
      <c r="N1580" s="67"/>
      <c r="O1580" s="67"/>
      <c r="P1580" s="67"/>
      <c r="Q1580" s="77"/>
      <c r="R1580" s="68"/>
      <c r="S1580" s="68"/>
      <c r="T1580" s="67"/>
      <c r="U1580" s="68"/>
      <c r="V1580" s="68"/>
      <c r="W1580" s="67"/>
      <c r="X1580" s="67"/>
      <c r="Y1580" s="67"/>
      <c r="Z1580" s="67"/>
      <c r="AA1580" s="67"/>
      <c r="AB1580" s="67"/>
      <c r="AC1580" s="67"/>
    </row>
    <row r="1581">
      <c r="A1581" s="66"/>
      <c r="B1581" s="67"/>
      <c r="C1581" s="67"/>
      <c r="D1581" s="68"/>
      <c r="E1581" s="68"/>
      <c r="F1581" s="68"/>
      <c r="G1581" s="68"/>
      <c r="H1581" s="68"/>
      <c r="I1581" s="69"/>
      <c r="J1581" s="67"/>
      <c r="K1581" s="67"/>
      <c r="L1581" s="67"/>
      <c r="M1581" s="67"/>
      <c r="N1581" s="67"/>
      <c r="O1581" s="67"/>
      <c r="P1581" s="67"/>
      <c r="Q1581" s="77"/>
      <c r="R1581" s="68"/>
      <c r="S1581" s="68"/>
      <c r="T1581" s="67"/>
      <c r="U1581" s="68"/>
      <c r="V1581" s="68"/>
      <c r="W1581" s="67"/>
      <c r="X1581" s="67"/>
      <c r="Y1581" s="67"/>
      <c r="Z1581" s="67"/>
      <c r="AA1581" s="67"/>
      <c r="AB1581" s="67"/>
      <c r="AC1581" s="67"/>
    </row>
    <row r="1582">
      <c r="A1582" s="66"/>
      <c r="B1582" s="67"/>
      <c r="C1582" s="67"/>
      <c r="D1582" s="68"/>
      <c r="E1582" s="68"/>
      <c r="F1582" s="68"/>
      <c r="G1582" s="68"/>
      <c r="H1582" s="68"/>
      <c r="I1582" s="69"/>
      <c r="J1582" s="67"/>
      <c r="K1582" s="67"/>
      <c r="L1582" s="67"/>
      <c r="M1582" s="67"/>
      <c r="N1582" s="67"/>
      <c r="O1582" s="67"/>
      <c r="P1582" s="67"/>
      <c r="Q1582" s="77"/>
      <c r="R1582" s="68"/>
      <c r="S1582" s="68"/>
      <c r="T1582" s="67"/>
      <c r="U1582" s="68"/>
      <c r="V1582" s="68"/>
      <c r="W1582" s="67"/>
      <c r="X1582" s="67"/>
      <c r="Y1582" s="67"/>
      <c r="Z1582" s="67"/>
      <c r="AA1582" s="67"/>
      <c r="AB1582" s="67"/>
      <c r="AC1582" s="67"/>
    </row>
    <row r="1583">
      <c r="A1583" s="66"/>
      <c r="B1583" s="67"/>
      <c r="C1583" s="67"/>
      <c r="D1583" s="68"/>
      <c r="E1583" s="68"/>
      <c r="F1583" s="68"/>
      <c r="G1583" s="68"/>
      <c r="H1583" s="68"/>
      <c r="I1583" s="69"/>
      <c r="J1583" s="67"/>
      <c r="K1583" s="67"/>
      <c r="L1583" s="67"/>
      <c r="M1583" s="67"/>
      <c r="N1583" s="67"/>
      <c r="O1583" s="67"/>
      <c r="P1583" s="67"/>
      <c r="Q1583" s="77"/>
      <c r="R1583" s="68"/>
      <c r="S1583" s="68"/>
      <c r="T1583" s="67"/>
      <c r="U1583" s="68"/>
      <c r="V1583" s="68"/>
      <c r="W1583" s="67"/>
      <c r="X1583" s="67"/>
      <c r="Y1583" s="67"/>
      <c r="Z1583" s="67"/>
      <c r="AA1583" s="67"/>
      <c r="AB1583" s="67"/>
      <c r="AC1583" s="67"/>
    </row>
    <row r="1584">
      <c r="A1584" s="66"/>
      <c r="B1584" s="67"/>
      <c r="C1584" s="67"/>
      <c r="D1584" s="68"/>
      <c r="E1584" s="68"/>
      <c r="F1584" s="68"/>
      <c r="G1584" s="68"/>
      <c r="H1584" s="68"/>
      <c r="I1584" s="69"/>
      <c r="J1584" s="67"/>
      <c r="K1584" s="67"/>
      <c r="L1584" s="67"/>
      <c r="M1584" s="67"/>
      <c r="N1584" s="67"/>
      <c r="O1584" s="67"/>
      <c r="P1584" s="67"/>
      <c r="Q1584" s="77"/>
      <c r="R1584" s="68"/>
      <c r="S1584" s="68"/>
      <c r="T1584" s="67"/>
      <c r="U1584" s="68"/>
      <c r="V1584" s="68"/>
      <c r="W1584" s="67"/>
      <c r="X1584" s="67"/>
      <c r="Y1584" s="67"/>
      <c r="Z1584" s="67"/>
      <c r="AA1584" s="67"/>
      <c r="AB1584" s="67"/>
      <c r="AC1584" s="67"/>
    </row>
    <row r="1585">
      <c r="A1585" s="66"/>
      <c r="B1585" s="67"/>
      <c r="C1585" s="67"/>
      <c r="D1585" s="68"/>
      <c r="E1585" s="68"/>
      <c r="F1585" s="68"/>
      <c r="G1585" s="68"/>
      <c r="H1585" s="68"/>
      <c r="I1585" s="69"/>
      <c r="J1585" s="67"/>
      <c r="K1585" s="67"/>
      <c r="L1585" s="67"/>
      <c r="M1585" s="67"/>
      <c r="N1585" s="67"/>
      <c r="O1585" s="67"/>
      <c r="P1585" s="67"/>
      <c r="Q1585" s="77"/>
      <c r="R1585" s="68"/>
      <c r="S1585" s="68"/>
      <c r="T1585" s="67"/>
      <c r="U1585" s="68"/>
      <c r="V1585" s="68"/>
      <c r="W1585" s="67"/>
      <c r="X1585" s="67"/>
      <c r="Y1585" s="67"/>
      <c r="Z1585" s="67"/>
      <c r="AA1585" s="67"/>
      <c r="AB1585" s="67"/>
      <c r="AC1585" s="67"/>
    </row>
    <row r="1586">
      <c r="A1586" s="66"/>
      <c r="B1586" s="67"/>
      <c r="C1586" s="67"/>
      <c r="D1586" s="68"/>
      <c r="E1586" s="68"/>
      <c r="F1586" s="68"/>
      <c r="G1586" s="68"/>
      <c r="H1586" s="68"/>
      <c r="I1586" s="69"/>
      <c r="J1586" s="67"/>
      <c r="K1586" s="67"/>
      <c r="L1586" s="67"/>
      <c r="M1586" s="67"/>
      <c r="N1586" s="67"/>
      <c r="O1586" s="67"/>
      <c r="P1586" s="67"/>
      <c r="Q1586" s="77"/>
      <c r="R1586" s="68"/>
      <c r="S1586" s="68"/>
      <c r="T1586" s="67"/>
      <c r="U1586" s="68"/>
      <c r="V1586" s="68"/>
      <c r="W1586" s="67"/>
      <c r="X1586" s="67"/>
      <c r="Y1586" s="67"/>
      <c r="Z1586" s="67"/>
      <c r="AA1586" s="67"/>
      <c r="AB1586" s="67"/>
      <c r="AC1586" s="67"/>
    </row>
    <row r="1587">
      <c r="A1587" s="66"/>
      <c r="B1587" s="67"/>
      <c r="C1587" s="67"/>
      <c r="D1587" s="68"/>
      <c r="E1587" s="68"/>
      <c r="F1587" s="68"/>
      <c r="G1587" s="68"/>
      <c r="H1587" s="68"/>
      <c r="I1587" s="69"/>
      <c r="J1587" s="67"/>
      <c r="K1587" s="67"/>
      <c r="L1587" s="67"/>
      <c r="M1587" s="67"/>
      <c r="N1587" s="67"/>
      <c r="O1587" s="67"/>
      <c r="P1587" s="67"/>
      <c r="Q1587" s="77"/>
      <c r="R1587" s="68"/>
      <c r="S1587" s="68"/>
      <c r="T1587" s="67"/>
      <c r="U1587" s="68"/>
      <c r="V1587" s="68"/>
      <c r="W1587" s="67"/>
      <c r="X1587" s="67"/>
      <c r="Y1587" s="67"/>
      <c r="Z1587" s="67"/>
      <c r="AA1587" s="67"/>
      <c r="AB1587" s="67"/>
      <c r="AC1587" s="67"/>
    </row>
    <row r="1588">
      <c r="A1588" s="66"/>
      <c r="B1588" s="67"/>
      <c r="C1588" s="67"/>
      <c r="D1588" s="68"/>
      <c r="E1588" s="68"/>
      <c r="F1588" s="68"/>
      <c r="G1588" s="68"/>
      <c r="H1588" s="68"/>
      <c r="I1588" s="69"/>
      <c r="J1588" s="67"/>
      <c r="K1588" s="67"/>
      <c r="L1588" s="67"/>
      <c r="M1588" s="67"/>
      <c r="N1588" s="67"/>
      <c r="O1588" s="67"/>
      <c r="P1588" s="67"/>
      <c r="Q1588" s="77"/>
      <c r="R1588" s="68"/>
      <c r="S1588" s="68"/>
      <c r="T1588" s="67"/>
      <c r="U1588" s="68"/>
      <c r="V1588" s="68"/>
      <c r="W1588" s="67"/>
      <c r="X1588" s="67"/>
      <c r="Y1588" s="67"/>
      <c r="Z1588" s="67"/>
      <c r="AA1588" s="67"/>
      <c r="AB1588" s="67"/>
      <c r="AC1588" s="67"/>
    </row>
    <row r="1589">
      <c r="A1589" s="66"/>
      <c r="B1589" s="67"/>
      <c r="C1589" s="67"/>
      <c r="D1589" s="68"/>
      <c r="E1589" s="68"/>
      <c r="F1589" s="68"/>
      <c r="G1589" s="68"/>
      <c r="H1589" s="68"/>
      <c r="I1589" s="69"/>
      <c r="J1589" s="67"/>
      <c r="K1589" s="67"/>
      <c r="L1589" s="67"/>
      <c r="M1589" s="67"/>
      <c r="N1589" s="67"/>
      <c r="O1589" s="67"/>
      <c r="P1589" s="67"/>
      <c r="Q1589" s="77"/>
      <c r="R1589" s="68"/>
      <c r="S1589" s="68"/>
      <c r="T1589" s="67"/>
      <c r="U1589" s="68"/>
      <c r="V1589" s="68"/>
      <c r="W1589" s="67"/>
      <c r="X1589" s="67"/>
      <c r="Y1589" s="67"/>
      <c r="Z1589" s="67"/>
      <c r="AA1589" s="67"/>
      <c r="AB1589" s="67"/>
      <c r="AC1589" s="67"/>
    </row>
    <row r="1590">
      <c r="A1590" s="66"/>
      <c r="B1590" s="67"/>
      <c r="C1590" s="67"/>
      <c r="D1590" s="68"/>
      <c r="E1590" s="68"/>
      <c r="F1590" s="68"/>
      <c r="G1590" s="68"/>
      <c r="H1590" s="68"/>
      <c r="I1590" s="69"/>
      <c r="J1590" s="67"/>
      <c r="K1590" s="67"/>
      <c r="L1590" s="67"/>
      <c r="M1590" s="67"/>
      <c r="N1590" s="67"/>
      <c r="O1590" s="67"/>
      <c r="P1590" s="67"/>
      <c r="Q1590" s="77"/>
      <c r="R1590" s="68"/>
      <c r="S1590" s="68"/>
      <c r="T1590" s="67"/>
      <c r="U1590" s="68"/>
      <c r="V1590" s="68"/>
      <c r="W1590" s="67"/>
      <c r="X1590" s="67"/>
      <c r="Y1590" s="67"/>
      <c r="Z1590" s="67"/>
      <c r="AA1590" s="67"/>
      <c r="AB1590" s="67"/>
      <c r="AC1590" s="67"/>
    </row>
    <row r="1591">
      <c r="A1591" s="66"/>
      <c r="B1591" s="67"/>
      <c r="C1591" s="67"/>
      <c r="D1591" s="68"/>
      <c r="E1591" s="68"/>
      <c r="F1591" s="68"/>
      <c r="G1591" s="68"/>
      <c r="H1591" s="68"/>
      <c r="I1591" s="69"/>
      <c r="J1591" s="67"/>
      <c r="K1591" s="67"/>
      <c r="L1591" s="67"/>
      <c r="M1591" s="67"/>
      <c r="N1591" s="67"/>
      <c r="O1591" s="67"/>
      <c r="P1591" s="67"/>
      <c r="Q1591" s="77"/>
      <c r="R1591" s="68"/>
      <c r="S1591" s="68"/>
      <c r="T1591" s="67"/>
      <c r="U1591" s="68"/>
      <c r="V1591" s="68"/>
      <c r="W1591" s="67"/>
      <c r="X1591" s="67"/>
      <c r="Y1591" s="67"/>
      <c r="Z1591" s="67"/>
      <c r="AA1591" s="67"/>
      <c r="AB1591" s="67"/>
      <c r="AC1591" s="67"/>
    </row>
    <row r="1592">
      <c r="A1592" s="66"/>
      <c r="B1592" s="67"/>
      <c r="C1592" s="67"/>
      <c r="D1592" s="68"/>
      <c r="E1592" s="68"/>
      <c r="F1592" s="68"/>
      <c r="G1592" s="68"/>
      <c r="H1592" s="68"/>
      <c r="I1592" s="69"/>
      <c r="J1592" s="67"/>
      <c r="K1592" s="67"/>
      <c r="L1592" s="67"/>
      <c r="M1592" s="67"/>
      <c r="N1592" s="67"/>
      <c r="O1592" s="67"/>
      <c r="P1592" s="67"/>
      <c r="Q1592" s="77"/>
      <c r="R1592" s="68"/>
      <c r="S1592" s="68"/>
      <c r="T1592" s="67"/>
      <c r="U1592" s="68"/>
      <c r="V1592" s="68"/>
      <c r="W1592" s="67"/>
      <c r="X1592" s="67"/>
      <c r="Y1592" s="67"/>
      <c r="Z1592" s="67"/>
      <c r="AA1592" s="67"/>
      <c r="AB1592" s="67"/>
      <c r="AC1592" s="67"/>
    </row>
    <row r="1593">
      <c r="A1593" s="66"/>
      <c r="B1593" s="67"/>
      <c r="C1593" s="67"/>
      <c r="D1593" s="68"/>
      <c r="E1593" s="68"/>
      <c r="F1593" s="68"/>
      <c r="G1593" s="68"/>
      <c r="H1593" s="68"/>
      <c r="I1593" s="69"/>
      <c r="J1593" s="67"/>
      <c r="K1593" s="67"/>
      <c r="L1593" s="67"/>
      <c r="M1593" s="67"/>
      <c r="N1593" s="67"/>
      <c r="O1593" s="67"/>
      <c r="P1593" s="67"/>
      <c r="Q1593" s="77"/>
      <c r="R1593" s="68"/>
      <c r="S1593" s="68"/>
      <c r="T1593" s="67"/>
      <c r="U1593" s="68"/>
      <c r="V1593" s="68"/>
      <c r="W1593" s="67"/>
      <c r="X1593" s="67"/>
      <c r="Y1593" s="67"/>
      <c r="Z1593" s="67"/>
      <c r="AA1593" s="67"/>
      <c r="AB1593" s="67"/>
      <c r="AC1593" s="67"/>
    </row>
    <row r="1594">
      <c r="A1594" s="66"/>
      <c r="B1594" s="67"/>
      <c r="C1594" s="67"/>
      <c r="D1594" s="68"/>
      <c r="E1594" s="68"/>
      <c r="F1594" s="68"/>
      <c r="G1594" s="68"/>
      <c r="H1594" s="68"/>
      <c r="I1594" s="69"/>
      <c r="J1594" s="67"/>
      <c r="K1594" s="67"/>
      <c r="L1594" s="67"/>
      <c r="M1594" s="67"/>
      <c r="N1594" s="67"/>
      <c r="O1594" s="67"/>
      <c r="P1594" s="67"/>
      <c r="Q1594" s="77"/>
      <c r="R1594" s="68"/>
      <c r="S1594" s="68"/>
      <c r="T1594" s="67"/>
      <c r="U1594" s="68"/>
      <c r="V1594" s="68"/>
      <c r="W1594" s="67"/>
      <c r="X1594" s="67"/>
      <c r="Y1594" s="67"/>
      <c r="Z1594" s="67"/>
      <c r="AA1594" s="67"/>
      <c r="AB1594" s="67"/>
      <c r="AC1594" s="67"/>
    </row>
    <row r="1595">
      <c r="A1595" s="66"/>
      <c r="B1595" s="67"/>
      <c r="C1595" s="67"/>
      <c r="D1595" s="68"/>
      <c r="E1595" s="68"/>
      <c r="F1595" s="68"/>
      <c r="G1595" s="68"/>
      <c r="H1595" s="68"/>
      <c r="I1595" s="69"/>
      <c r="J1595" s="67"/>
      <c r="K1595" s="67"/>
      <c r="L1595" s="67"/>
      <c r="M1595" s="67"/>
      <c r="N1595" s="67"/>
      <c r="O1595" s="67"/>
      <c r="P1595" s="67"/>
      <c r="Q1595" s="77"/>
      <c r="R1595" s="68"/>
      <c r="S1595" s="68"/>
      <c r="T1595" s="67"/>
      <c r="U1595" s="68"/>
      <c r="V1595" s="68"/>
      <c r="W1595" s="67"/>
      <c r="X1595" s="67"/>
      <c r="Y1595" s="67"/>
      <c r="Z1595" s="67"/>
      <c r="AA1595" s="67"/>
      <c r="AB1595" s="67"/>
      <c r="AC1595" s="67"/>
    </row>
    <row r="1596">
      <c r="A1596" s="66"/>
      <c r="B1596" s="67"/>
      <c r="C1596" s="67"/>
      <c r="D1596" s="68"/>
      <c r="E1596" s="68"/>
      <c r="F1596" s="68"/>
      <c r="G1596" s="68"/>
      <c r="H1596" s="68"/>
      <c r="I1596" s="69"/>
      <c r="J1596" s="67"/>
      <c r="K1596" s="67"/>
      <c r="L1596" s="67"/>
      <c r="M1596" s="67"/>
      <c r="N1596" s="67"/>
      <c r="O1596" s="67"/>
      <c r="P1596" s="67"/>
      <c r="Q1596" s="77"/>
      <c r="R1596" s="68"/>
      <c r="S1596" s="68"/>
      <c r="T1596" s="67"/>
      <c r="U1596" s="68"/>
      <c r="V1596" s="68"/>
      <c r="W1596" s="67"/>
      <c r="X1596" s="67"/>
      <c r="Y1596" s="67"/>
      <c r="Z1596" s="67"/>
      <c r="AA1596" s="67"/>
      <c r="AB1596" s="67"/>
      <c r="AC1596" s="67"/>
    </row>
    <row r="1597">
      <c r="A1597" s="66"/>
      <c r="B1597" s="67"/>
      <c r="C1597" s="67"/>
      <c r="D1597" s="68"/>
      <c r="E1597" s="68"/>
      <c r="F1597" s="68"/>
      <c r="G1597" s="68"/>
      <c r="H1597" s="68"/>
      <c r="I1597" s="69"/>
      <c r="J1597" s="67"/>
      <c r="K1597" s="67"/>
      <c r="L1597" s="67"/>
      <c r="M1597" s="67"/>
      <c r="N1597" s="67"/>
      <c r="O1597" s="67"/>
      <c r="P1597" s="67"/>
      <c r="Q1597" s="77"/>
      <c r="R1597" s="68"/>
      <c r="S1597" s="68"/>
      <c r="T1597" s="67"/>
      <c r="U1597" s="68"/>
      <c r="V1597" s="68"/>
      <c r="W1597" s="67"/>
      <c r="X1597" s="67"/>
      <c r="Y1597" s="67"/>
      <c r="Z1597" s="67"/>
      <c r="AA1597" s="67"/>
      <c r="AB1597" s="67"/>
      <c r="AC1597" s="67"/>
    </row>
    <row r="1598">
      <c r="A1598" s="66"/>
      <c r="B1598" s="67"/>
      <c r="C1598" s="67"/>
      <c r="D1598" s="68"/>
      <c r="E1598" s="68"/>
      <c r="F1598" s="68"/>
      <c r="G1598" s="68"/>
      <c r="H1598" s="68"/>
      <c r="I1598" s="69"/>
      <c r="J1598" s="67"/>
      <c r="K1598" s="67"/>
      <c r="L1598" s="67"/>
      <c r="M1598" s="67"/>
      <c r="N1598" s="67"/>
      <c r="O1598" s="67"/>
      <c r="P1598" s="67"/>
      <c r="Q1598" s="77"/>
      <c r="R1598" s="68"/>
      <c r="S1598" s="68"/>
      <c r="T1598" s="67"/>
      <c r="U1598" s="68"/>
      <c r="V1598" s="68"/>
      <c r="W1598" s="67"/>
      <c r="X1598" s="67"/>
      <c r="Y1598" s="67"/>
      <c r="Z1598" s="67"/>
      <c r="AA1598" s="67"/>
      <c r="AB1598" s="67"/>
      <c r="AC1598" s="67"/>
    </row>
    <row r="1599">
      <c r="A1599" s="66"/>
      <c r="B1599" s="67"/>
      <c r="C1599" s="67"/>
      <c r="D1599" s="68"/>
      <c r="E1599" s="68"/>
      <c r="F1599" s="68"/>
      <c r="G1599" s="68"/>
      <c r="H1599" s="68"/>
      <c r="I1599" s="69"/>
      <c r="J1599" s="67"/>
      <c r="K1599" s="67"/>
      <c r="L1599" s="67"/>
      <c r="M1599" s="67"/>
      <c r="N1599" s="67"/>
      <c r="O1599" s="67"/>
      <c r="P1599" s="67"/>
      <c r="Q1599" s="77"/>
      <c r="R1599" s="68"/>
      <c r="S1599" s="68"/>
      <c r="T1599" s="67"/>
      <c r="U1599" s="68"/>
      <c r="V1599" s="68"/>
      <c r="W1599" s="67"/>
      <c r="X1599" s="67"/>
      <c r="Y1599" s="67"/>
      <c r="Z1599" s="67"/>
      <c r="AA1599" s="67"/>
      <c r="AB1599" s="67"/>
      <c r="AC1599" s="67"/>
    </row>
    <row r="1600">
      <c r="A1600" s="66"/>
      <c r="B1600" s="67"/>
      <c r="C1600" s="67"/>
      <c r="D1600" s="68"/>
      <c r="E1600" s="68"/>
      <c r="F1600" s="68"/>
      <c r="G1600" s="68"/>
      <c r="H1600" s="68"/>
      <c r="I1600" s="69"/>
      <c r="J1600" s="67"/>
      <c r="K1600" s="67"/>
      <c r="L1600" s="67"/>
      <c r="M1600" s="67"/>
      <c r="N1600" s="67"/>
      <c r="O1600" s="67"/>
      <c r="P1600" s="67"/>
      <c r="Q1600" s="77"/>
      <c r="R1600" s="68"/>
      <c r="S1600" s="68"/>
      <c r="T1600" s="67"/>
      <c r="U1600" s="68"/>
      <c r="V1600" s="68"/>
      <c r="W1600" s="67"/>
      <c r="X1600" s="67"/>
      <c r="Y1600" s="67"/>
      <c r="Z1600" s="67"/>
      <c r="AA1600" s="67"/>
      <c r="AB1600" s="67"/>
      <c r="AC1600" s="67"/>
    </row>
    <row r="1601">
      <c r="A1601" s="66"/>
      <c r="B1601" s="67"/>
      <c r="C1601" s="67"/>
      <c r="D1601" s="68"/>
      <c r="E1601" s="68"/>
      <c r="F1601" s="68"/>
      <c r="G1601" s="68"/>
      <c r="H1601" s="68"/>
      <c r="I1601" s="69"/>
      <c r="J1601" s="67"/>
      <c r="K1601" s="67"/>
      <c r="L1601" s="67"/>
      <c r="M1601" s="67"/>
      <c r="N1601" s="67"/>
      <c r="O1601" s="67"/>
      <c r="P1601" s="67"/>
      <c r="Q1601" s="77"/>
      <c r="R1601" s="68"/>
      <c r="S1601" s="68"/>
      <c r="T1601" s="67"/>
      <c r="U1601" s="68"/>
      <c r="V1601" s="68"/>
      <c r="W1601" s="67"/>
      <c r="X1601" s="67"/>
      <c r="Y1601" s="67"/>
      <c r="Z1601" s="67"/>
      <c r="AA1601" s="67"/>
      <c r="AB1601" s="67"/>
      <c r="AC1601" s="67"/>
    </row>
    <row r="1602">
      <c r="A1602" s="66"/>
      <c r="B1602" s="67"/>
      <c r="C1602" s="67"/>
      <c r="D1602" s="68"/>
      <c r="E1602" s="68"/>
      <c r="F1602" s="68"/>
      <c r="G1602" s="68"/>
      <c r="H1602" s="68"/>
      <c r="I1602" s="69"/>
      <c r="J1602" s="67"/>
      <c r="K1602" s="67"/>
      <c r="L1602" s="67"/>
      <c r="M1602" s="67"/>
      <c r="N1602" s="67"/>
      <c r="O1602" s="67"/>
      <c r="P1602" s="67"/>
      <c r="Q1602" s="77"/>
      <c r="R1602" s="68"/>
      <c r="S1602" s="68"/>
      <c r="T1602" s="67"/>
      <c r="U1602" s="68"/>
      <c r="V1602" s="68"/>
      <c r="W1602" s="67"/>
      <c r="X1602" s="67"/>
      <c r="Y1602" s="67"/>
      <c r="Z1602" s="67"/>
      <c r="AA1602" s="67"/>
      <c r="AB1602" s="67"/>
      <c r="AC1602" s="67"/>
    </row>
    <row r="1603">
      <c r="A1603" s="66"/>
      <c r="B1603" s="67"/>
      <c r="C1603" s="67"/>
      <c r="D1603" s="68"/>
      <c r="E1603" s="68"/>
      <c r="F1603" s="68"/>
      <c r="G1603" s="68"/>
      <c r="H1603" s="68"/>
      <c r="I1603" s="69"/>
      <c r="J1603" s="67"/>
      <c r="K1603" s="67"/>
      <c r="L1603" s="67"/>
      <c r="M1603" s="67"/>
      <c r="N1603" s="67"/>
      <c r="O1603" s="67"/>
      <c r="P1603" s="67"/>
      <c r="Q1603" s="77"/>
      <c r="R1603" s="68"/>
      <c r="S1603" s="68"/>
      <c r="T1603" s="67"/>
      <c r="U1603" s="68"/>
      <c r="V1603" s="68"/>
      <c r="W1603" s="67"/>
      <c r="X1603" s="67"/>
      <c r="Y1603" s="67"/>
      <c r="Z1603" s="67"/>
      <c r="AA1603" s="67"/>
      <c r="AB1603" s="67"/>
      <c r="AC1603" s="67"/>
    </row>
    <row r="1604">
      <c r="A1604" s="66"/>
      <c r="B1604" s="67"/>
      <c r="C1604" s="67"/>
      <c r="D1604" s="68"/>
      <c r="E1604" s="68"/>
      <c r="F1604" s="68"/>
      <c r="G1604" s="68"/>
      <c r="H1604" s="68"/>
      <c r="I1604" s="69"/>
      <c r="J1604" s="67"/>
      <c r="K1604" s="67"/>
      <c r="L1604" s="67"/>
      <c r="M1604" s="67"/>
      <c r="N1604" s="67"/>
      <c r="O1604" s="67"/>
      <c r="P1604" s="67"/>
      <c r="Q1604" s="77"/>
      <c r="R1604" s="68"/>
      <c r="S1604" s="68"/>
      <c r="T1604" s="67"/>
      <c r="U1604" s="68"/>
      <c r="V1604" s="68"/>
      <c r="W1604" s="67"/>
      <c r="X1604" s="67"/>
      <c r="Y1604" s="67"/>
      <c r="Z1604" s="67"/>
      <c r="AA1604" s="67"/>
      <c r="AB1604" s="67"/>
      <c r="AC1604" s="6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24.63"/>
    <col customWidth="1" min="3" max="3" width="27.5"/>
    <col customWidth="1" min="4" max="4" width="24.38"/>
    <col customWidth="1" min="5" max="5" width="19.63"/>
    <col customWidth="1" min="6" max="6" width="14.0"/>
    <col customWidth="1" min="7" max="7" width="12.0"/>
    <col customWidth="1" min="8" max="8" width="14.75"/>
    <col customWidth="1" min="9" max="9" width="13.5"/>
    <col customWidth="1" min="10" max="10" width="12.5"/>
    <col customWidth="1" min="11" max="11" width="16.13"/>
    <col customWidth="1" min="12" max="13" width="12.75"/>
    <col customWidth="1" min="14" max="14" width="11.5"/>
    <col customWidth="1" min="15" max="15" width="12.25"/>
    <col customWidth="1" min="16" max="16" width="16.0"/>
    <col customWidth="1" min="17" max="17" width="20.13"/>
    <col customWidth="1" min="18" max="18" width="13.63"/>
    <col customWidth="1" min="19" max="19" width="15.38"/>
    <col customWidth="1" min="20" max="20" width="15.25"/>
    <col customWidth="1" min="21" max="21" width="8.25"/>
    <col customWidth="1" min="22" max="22" width="15.25"/>
    <col customWidth="1" min="23" max="23" width="8.25"/>
  </cols>
  <sheetData>
    <row r="1">
      <c r="A1" s="78"/>
      <c r="B1" s="78"/>
      <c r="C1" s="78"/>
      <c r="D1" s="78"/>
      <c r="E1" s="79"/>
      <c r="F1" s="80">
        <f t="shared" ref="F1:K1" si="1">SUM(F3:F3005)</f>
        <v>5645.042727</v>
      </c>
      <c r="G1" s="81">
        <f t="shared" si="1"/>
        <v>0</v>
      </c>
      <c r="H1" s="80">
        <f t="shared" si="1"/>
        <v>0</v>
      </c>
      <c r="I1" s="82">
        <f t="shared" si="1"/>
        <v>0</v>
      </c>
      <c r="J1" s="82">
        <f t="shared" si="1"/>
        <v>69</v>
      </c>
      <c r="K1" s="83">
        <f t="shared" si="1"/>
        <v>691</v>
      </c>
      <c r="L1" s="79"/>
      <c r="M1" s="83">
        <f>SUM(M3:M3005)</f>
        <v>750</v>
      </c>
      <c r="N1" s="84">
        <f>IF(SUM(J3:J992)=0,0,SUM(M3:M992)/SUM(J3:J992))
</f>
        <v>10.86956522</v>
      </c>
      <c r="O1" s="79"/>
      <c r="P1" s="79"/>
      <c r="Q1" s="79"/>
      <c r="R1" s="79"/>
      <c r="S1" s="79"/>
      <c r="T1" s="79"/>
      <c r="U1" s="79"/>
      <c r="V1" s="79"/>
      <c r="W1" s="79"/>
    </row>
    <row r="2">
      <c r="A2" s="85" t="s">
        <v>3561</v>
      </c>
      <c r="B2" s="86" t="s">
        <v>5</v>
      </c>
      <c r="C2" s="87" t="s">
        <v>1436</v>
      </c>
      <c r="D2" s="87"/>
      <c r="E2" s="86" t="s">
        <v>3562</v>
      </c>
      <c r="F2" s="88" t="s">
        <v>3563</v>
      </c>
      <c r="G2" s="89" t="s">
        <v>3564</v>
      </c>
      <c r="H2" s="88" t="s">
        <v>3565</v>
      </c>
      <c r="I2" s="88" t="s">
        <v>3566</v>
      </c>
      <c r="J2" s="88" t="s">
        <v>3567</v>
      </c>
      <c r="K2" s="88" t="s">
        <v>3568</v>
      </c>
      <c r="L2" s="86" t="s">
        <v>3569</v>
      </c>
      <c r="M2" s="90" t="s">
        <v>1071</v>
      </c>
      <c r="N2" s="91" t="s">
        <v>1072</v>
      </c>
      <c r="O2" s="86" t="s">
        <v>3570</v>
      </c>
      <c r="P2" s="87" t="s">
        <v>8</v>
      </c>
      <c r="Q2" s="87" t="s">
        <v>1035</v>
      </c>
      <c r="R2" s="92" t="s">
        <v>3571</v>
      </c>
      <c r="S2" s="92" t="s">
        <v>10</v>
      </c>
      <c r="T2" s="92" t="s">
        <v>3572</v>
      </c>
      <c r="U2" s="93"/>
      <c r="V2" s="92" t="s">
        <v>1036</v>
      </c>
      <c r="W2" s="93"/>
    </row>
    <row r="3">
      <c r="A3" s="94">
        <f t="array" ref="A3:A3000">IF(B3:B3000="","",
    VLOOKUP(
      B3:B3000,
      {
        TRIM('PLANT Intake Coding'!F3:F1000), 'PLANT Intake Coding'!A3:A1000;
        TRIM('Transplant Log'!H3:H997),       'Transplant Log'!A3:A997;
        TRIM('PRODUCT Intake Coding'!I3:I993), 'PRODUCT Intake Coding'!A3:A993
      },
      2, FALSE
    )
  )
</f>
        <v>38202</v>
      </c>
      <c r="B3" s="95" t="str">
        <f>IFERROR(__xludf.DUMMYFUNCTION("ARRAYFORMULA(
  UNIQUE(
    FILTER(
      {
        UPPER(TRIM(CLEAN(SUBSTITUTE('PLANT Intake Coding'!F3:INDEX('PLANT Intake Coding'!F:F, MATCH(2,1/('PLANT Intake Coding'!F:F&lt;&gt;""""))), CHAR(160), """"))));
        UPPER(TRIM(CLEAN(SUBSTITUTE('Transplant L"&amp;"og'!H3:INDEX('Transplant Log'!H:H, MATCH(2,1/('Transplant Log'!H:H&lt;&gt;""""))), CHAR(160), """"))));
        UPPER(TRIM(CLEAN(SUBSTITUTE('PRODUCT Intake Coding'!I3:INDEX('PRODUCT Intake Coding'!I:I, MATCH(2,1/('PRODUCT Intake Coding'!I:I&lt;&gt;""""))), CHAR(160),"&amp;" """"))))
      },
      LEN({
        TRIM(CLEAN(SUBSTITUTE('PLANT Intake Coding'!F3:INDEX('PLANT Intake Coding'!F:F, MATCH(2,1/('PLANT Intake Coding'!F:F&lt;&gt;""""))), CHAR(160), """")));
        TRIM(CLEAN(SUBSTITUTE('Transplant Log'!H3:INDEX('Transplant L"&amp;"og'!H:H, MATCH(2,1/('Transplant Log'!H:H&lt;&gt;""""))), CHAR(160), """")));
        TRIM(CLEAN(SUBSTITUTE('PRODUCT Intake Coding'!I3:INDEX('PRODUCT Intake Coding'!I:I, MATCH(2,1/('PRODUCT Intake Coding'!I:I&lt;&gt;""""))), CHAR(160), """")))
      })
    )
  )
)
"),"HS-BE-AW-1A")</f>
        <v>HS-BE-AW-1A</v>
      </c>
      <c r="C3" s="96" t="s">
        <v>18</v>
      </c>
      <c r="D3" s="97"/>
      <c r="E3" s="97" t="str">
        <f>IFERROR(__xludf.DUMMYFUNCTION("ARRAYFORMULA(
  IF(B3:B3000="""","""",
     IFNA(
       VLOOKUP(B3:B3000,
               FILTER({'Transplant Log'!H3:H997,'Transplant Log'!F3:F997},
                      LEN('Transplant Log'!H3:H997)),
               2, FALSE),
       IF(COUNTIF('PRODUC"&amp;"T Intake Coding'!I3:I993,B3:B3000), B3:B3000, """")
     )
  )
)
"),"TO-PO-4-MU-1")</f>
        <v>TO-PO-4-MU-1</v>
      </c>
      <c r="F3" s="98">
        <f t="array" ref="F3:F3000">IF(B3:B3001="","",
    IFNA(
      VLOOKUP(B3:B3001, {'Transplant Log'!H3:H997,'Transplant Log'!I3:I997}, 2, FALSE),
      IFNA(
        VLOOKUP(B3:B3001, {'PLANT Intake Coding'!F3:F1000,'PLANT Intake Coding'!G3:G1000}, 2, FALSE),
        0
      )
    )
  )
</f>
        <v>0</v>
      </c>
      <c r="G3" s="99"/>
      <c r="H3" s="100"/>
      <c r="I3" s="101"/>
      <c r="J3" s="100"/>
      <c r="K3" s="99"/>
      <c r="L3" s="102" t="s">
        <v>46</v>
      </c>
      <c r="M3" s="98" t="str">
        <f t="array" ref="M3:M992">IF(B3:B992="","",
    IF( (LEN(J3:J992)=0)*(LEN(K3:K992)=0),"",
      (IF( N(K3:K992)&gt;0, N(K3:K992), N(J3:J992) )
       - I3:I992
       - IFERROR(N(L3:L992),0)
      )
    )
  )
</f>
        <v/>
      </c>
      <c r="N3" s="103" t="str">
        <f>IFERROR(__xludf.DUMMYFUNCTION("ARRAYFORMULA(
 IF(LEN(I3:I3001)=0,"""",
  IF(LEN(K3:K3001),
    IFERROR((TO_PURE_NUMBER(K3:K3001)-TO_PURE_NUMBER(I3:I3001))/TO_PURE_NUMBER(K3:K3001),""""),
    IFERROR((TO_PURE_NUMBER(J3:J3001)-TO_PURE_NUMBER(I3:I3001))/TO_PURE_NUMBER(J3:J3001),"""")
  )
"&amp;" )
)"),"")</f>
        <v/>
      </c>
      <c r="O3" s="104"/>
      <c r="P3" s="102" t="s">
        <v>1481</v>
      </c>
      <c r="Q3" s="104"/>
      <c r="R3" s="104" t="str">
        <f t="array" ref="R3:R3000">IF(B3:B3000="","",
    IFERROR(
      VLOOKUP(
        B3:B3000,
        {
          TRIM('PLANT Intake Coding'!F3:F1000),  'PLANT Intake Coding'!J3:J1000;
          TRIM('Transplant Log'!H3:H997),        'Transplant Log'!K3:K997;
          TRIM('PRODUCT Intake Coding'!I3:I993), 'PRODUCT Intake Coding'!P3:P993
        },
        2,
        FALSE
      ),
      ""
    )
  )</f>
        <v>E87921</v>
      </c>
      <c r="S3" s="104" t="str">
        <f t="array" ref="S3:S3000">IF(R3:R3000="","",
    IFNA(
      VLOOKUP(
        R3:R3000,
        {'PLANT Intake Coding'!$J$3:$J$1000,'PLANT Intake Coding'!$K$3:$K$1000},
        2,
        FALSE
      ),
      ""
    )
  )
</f>
        <v/>
      </c>
      <c r="T3" s="104" t="s">
        <v>3573</v>
      </c>
      <c r="U3" s="104"/>
      <c r="V3" s="104" t="s">
        <v>3573</v>
      </c>
      <c r="W3" s="104"/>
    </row>
    <row r="4">
      <c r="A4" s="105"/>
      <c r="B4" s="95" t="str">
        <f>IFERROR(__xludf.DUMMYFUNCTION("""COMPUTED_VALUE"""),"HS-PO-GO-1A")</f>
        <v>HS-PO-GO-1A</v>
      </c>
      <c r="C4" s="106"/>
      <c r="D4" s="97"/>
      <c r="E4" s="97" t="str">
        <f>IFERROR(__xludf.DUMMYFUNCTION("""COMPUTED_VALUE"""),"")</f>
        <v/>
      </c>
      <c r="F4" s="98">
        <v>0.0</v>
      </c>
      <c r="G4" s="99"/>
      <c r="H4" s="100"/>
      <c r="I4" s="101"/>
      <c r="J4" s="101"/>
      <c r="K4" s="99"/>
      <c r="L4" s="104" t="s">
        <v>483</v>
      </c>
      <c r="M4" s="98" t="s">
        <v>39</v>
      </c>
      <c r="N4" s="103" t="str">
        <f>IFERROR(__xludf.DUMMYFUNCTION("""COMPUTED_VALUE"""),"")</f>
        <v/>
      </c>
      <c r="O4" s="104"/>
      <c r="P4" s="104"/>
      <c r="Q4" s="104"/>
      <c r="R4" s="104" t="s">
        <v>25</v>
      </c>
      <c r="S4" s="104"/>
      <c r="T4" s="104" t="s">
        <v>3574</v>
      </c>
      <c r="U4" s="104"/>
      <c r="V4" s="104" t="s">
        <v>3574</v>
      </c>
      <c r="W4" s="104"/>
    </row>
    <row r="5">
      <c r="A5" s="105"/>
      <c r="B5" s="95" t="str">
        <f>IFERROR(__xludf.DUMMYFUNCTION("""COMPUTED_VALUE"""),"HS-PH-HL-1A")</f>
        <v>HS-PH-HL-1A</v>
      </c>
      <c r="C5" s="96"/>
      <c r="D5" s="97"/>
      <c r="E5" s="97" t="str">
        <f>IFERROR(__xludf.DUMMYFUNCTION("""COMPUTED_VALUE"""),"")</f>
        <v/>
      </c>
      <c r="F5" s="98">
        <v>0.0</v>
      </c>
      <c r="G5" s="99"/>
      <c r="H5" s="100"/>
      <c r="I5" s="101"/>
      <c r="J5" s="100"/>
      <c r="K5" s="99"/>
      <c r="L5" s="102" t="s">
        <v>46</v>
      </c>
      <c r="M5" s="98" t="s">
        <v>39</v>
      </c>
      <c r="N5" s="103" t="str">
        <f>IFERROR(__xludf.DUMMYFUNCTION("""COMPUTED_VALUE"""),"")</f>
        <v/>
      </c>
      <c r="O5" s="104"/>
      <c r="P5" s="104"/>
      <c r="Q5" s="104"/>
      <c r="R5" s="104" t="s">
        <v>28</v>
      </c>
      <c r="S5" s="104"/>
      <c r="T5" s="104" t="s">
        <v>3575</v>
      </c>
      <c r="U5" s="104"/>
      <c r="V5" s="104" t="s">
        <v>3575</v>
      </c>
      <c r="W5" s="104"/>
    </row>
    <row r="6">
      <c r="A6" s="105"/>
      <c r="B6" s="95" t="str">
        <f>IFERROR(__xludf.DUMMYFUNCTION("""COMPUTED_VALUE"""),"HS-PH-BRL-1A")</f>
        <v>HS-PH-BRL-1A</v>
      </c>
      <c r="C6" s="96"/>
      <c r="D6" s="97"/>
      <c r="E6" s="97" t="str">
        <f>IFERROR(__xludf.DUMMYFUNCTION("""COMPUTED_VALUE"""),"GA-PO-6-MU-1")</f>
        <v>GA-PO-6-MU-1</v>
      </c>
      <c r="F6" s="98">
        <v>0.0</v>
      </c>
      <c r="G6" s="99"/>
      <c r="H6" s="100"/>
      <c r="I6" s="101"/>
      <c r="J6" s="100"/>
      <c r="K6" s="99"/>
      <c r="L6" s="102" t="s">
        <v>46</v>
      </c>
      <c r="M6" s="98" t="s">
        <v>39</v>
      </c>
      <c r="N6" s="103" t="str">
        <f>IFERROR(__xludf.DUMMYFUNCTION("""COMPUTED_VALUE"""),"")</f>
        <v/>
      </c>
      <c r="O6" s="104"/>
      <c r="P6" s="102" t="s">
        <v>1481</v>
      </c>
      <c r="Q6" s="104"/>
      <c r="R6" s="104" t="s">
        <v>31</v>
      </c>
      <c r="S6" s="104"/>
      <c r="T6" s="104" t="s">
        <v>3576</v>
      </c>
      <c r="U6" s="104"/>
      <c r="V6" s="104" t="s">
        <v>3576</v>
      </c>
      <c r="W6" s="104"/>
    </row>
    <row r="7">
      <c r="A7" s="105"/>
      <c r="B7" s="95" t="str">
        <f>IFERROR(__xludf.DUMMYFUNCTION("""COMPUTED_VALUE"""),"HS-PI-PEP-1A")</f>
        <v>HS-PI-PEP-1A</v>
      </c>
      <c r="C7" s="96"/>
      <c r="D7" s="97"/>
      <c r="E7" s="97" t="str">
        <f>IFERROR(__xludf.DUMMYFUNCTION("""COMPUTED_VALUE"""),"")</f>
        <v/>
      </c>
      <c r="F7" s="98">
        <v>0.0</v>
      </c>
      <c r="G7" s="99"/>
      <c r="H7" s="100"/>
      <c r="I7" s="101"/>
      <c r="J7" s="101"/>
      <c r="K7" s="99"/>
      <c r="L7" s="102" t="s">
        <v>46</v>
      </c>
      <c r="M7" s="98" t="s">
        <v>39</v>
      </c>
      <c r="N7" s="103" t="str">
        <f>IFERROR(__xludf.DUMMYFUNCTION("""COMPUTED_VALUE"""),"")</f>
        <v/>
      </c>
      <c r="O7" s="104"/>
      <c r="P7" s="104"/>
      <c r="Q7" s="104"/>
      <c r="R7" s="104" t="s">
        <v>34</v>
      </c>
      <c r="S7" s="104"/>
      <c r="T7" s="104" t="s">
        <v>3577</v>
      </c>
      <c r="U7" s="104"/>
      <c r="V7" s="104" t="s">
        <v>3577</v>
      </c>
      <c r="W7" s="104"/>
    </row>
    <row r="8">
      <c r="A8" s="105">
        <v>45899.0</v>
      </c>
      <c r="B8" s="95" t="str">
        <f>IFERROR(__xludf.DUMMYFUNCTION("""COMPUTED_VALUE"""),"HS-CT-BM-1A")</f>
        <v>HS-CT-BM-1A</v>
      </c>
      <c r="C8" s="96"/>
      <c r="D8" s="97"/>
      <c r="E8" s="97" t="str">
        <f>IFERROR(__xludf.DUMMYFUNCTION("""COMPUTED_VALUE"""),"ZO-PO-4-WL-1")</f>
        <v>ZO-PO-4-WL-1</v>
      </c>
      <c r="F8" s="98">
        <v>0.0</v>
      </c>
      <c r="G8" s="99"/>
      <c r="H8" s="100"/>
      <c r="I8" s="101"/>
      <c r="J8" s="101"/>
      <c r="K8" s="99"/>
      <c r="L8" s="104"/>
      <c r="M8" s="98" t="s">
        <v>39</v>
      </c>
      <c r="N8" s="103" t="str">
        <f>IFERROR(__xludf.DUMMYFUNCTION("""COMPUTED_VALUE"""),"")</f>
        <v/>
      </c>
      <c r="O8" s="104"/>
      <c r="P8" s="104"/>
      <c r="Q8" s="104"/>
      <c r="R8" s="104" t="s">
        <v>37</v>
      </c>
      <c r="S8" s="104"/>
      <c r="T8" s="104" t="s">
        <v>3578</v>
      </c>
      <c r="U8" s="104"/>
      <c r="V8" s="104" t="s">
        <v>3578</v>
      </c>
      <c r="W8" s="104"/>
    </row>
    <row r="9">
      <c r="A9" s="105"/>
      <c r="B9" s="95" t="str">
        <f>IFERROR(__xludf.DUMMYFUNCTION("""COMPUTED_VALUE"""),"HS-DR-SP-1A")</f>
        <v>HS-DR-SP-1A</v>
      </c>
      <c r="C9" s="96"/>
      <c r="D9" s="97"/>
      <c r="E9" s="97" t="str">
        <f>IFERROR(__xludf.DUMMYFUNCTION("""COMPUTED_VALUE"""),"TE-PO-4-MU-3")</f>
        <v>TE-PO-4-MU-3</v>
      </c>
      <c r="F9" s="98">
        <v>0.0</v>
      </c>
      <c r="G9" s="99"/>
      <c r="H9" s="100"/>
      <c r="I9" s="101"/>
      <c r="J9" s="101"/>
      <c r="K9" s="99"/>
      <c r="L9" s="104"/>
      <c r="M9" s="98" t="s">
        <v>39</v>
      </c>
      <c r="N9" s="103" t="str">
        <f>IFERROR(__xludf.DUMMYFUNCTION("""COMPUTED_VALUE"""),"")</f>
        <v/>
      </c>
      <c r="O9" s="104"/>
      <c r="P9" s="104"/>
      <c r="Q9" s="104"/>
      <c r="R9" s="104" t="s">
        <v>42</v>
      </c>
      <c r="S9" s="104"/>
      <c r="T9" s="104" t="s">
        <v>3579</v>
      </c>
      <c r="U9" s="104"/>
      <c r="V9" s="104" t="s">
        <v>3579</v>
      </c>
      <c r="W9" s="104"/>
    </row>
    <row r="10">
      <c r="A10" s="105">
        <v>45873.0</v>
      </c>
      <c r="B10" s="95" t="str">
        <f>IFERROR(__xludf.DUMMYFUNCTION("""COMPUTED_VALUE"""),"FM-PH-WK-1A")</f>
        <v>FM-PH-WK-1A</v>
      </c>
      <c r="C10" s="96"/>
      <c r="D10" s="97"/>
      <c r="E10" s="97" t="str">
        <f>IFERROR(__xludf.DUMMYFUNCTION("""COMPUTED_VALUE"""),"")</f>
        <v/>
      </c>
      <c r="F10" s="98">
        <v>15.0</v>
      </c>
      <c r="G10" s="99"/>
      <c r="H10" s="100"/>
      <c r="I10" s="101"/>
      <c r="J10" s="100"/>
      <c r="K10" s="99"/>
      <c r="L10" s="104"/>
      <c r="M10" s="98" t="s">
        <v>39</v>
      </c>
      <c r="N10" s="103" t="str">
        <f>IFERROR(__xludf.DUMMYFUNCTION("""COMPUTED_VALUE"""),"")</f>
        <v/>
      </c>
      <c r="O10" s="104"/>
      <c r="P10" s="102" t="s">
        <v>1481</v>
      </c>
      <c r="Q10" s="104"/>
      <c r="R10" s="104" t="s">
        <v>47</v>
      </c>
      <c r="S10" s="104">
        <v>0.0</v>
      </c>
      <c r="T10" s="104" t="s">
        <v>3580</v>
      </c>
      <c r="U10" s="104"/>
      <c r="V10" s="104" t="s">
        <v>3580</v>
      </c>
      <c r="W10" s="104"/>
    </row>
    <row r="11">
      <c r="A11" s="105">
        <v>45872.0</v>
      </c>
      <c r="B11" s="95" t="str">
        <f>IFERROR(__xludf.DUMMYFUNCTION("""COMPUTED_VALUE"""),"WM-PH-WK-1A")</f>
        <v>WM-PH-WK-1A</v>
      </c>
      <c r="C11" s="96"/>
      <c r="D11" s="97"/>
      <c r="E11" s="97" t="str">
        <f>IFERROR(__xludf.DUMMYFUNCTION("""COMPUTED_VALUE"""),"MU-PO-4-WH-1")</f>
        <v>MU-PO-4-WH-1</v>
      </c>
      <c r="F11" s="98">
        <v>4.9925</v>
      </c>
      <c r="G11" s="99"/>
      <c r="H11" s="100"/>
      <c r="I11" s="101"/>
      <c r="J11" s="100"/>
      <c r="K11" s="99"/>
      <c r="L11" s="104"/>
      <c r="M11" s="98" t="s">
        <v>39</v>
      </c>
      <c r="N11" s="103" t="str">
        <f>IFERROR(__xludf.DUMMYFUNCTION("""COMPUTED_VALUE"""),"")</f>
        <v/>
      </c>
      <c r="O11" s="104"/>
      <c r="P11" s="104"/>
      <c r="Q11" s="104"/>
      <c r="R11" s="104" t="s">
        <v>50</v>
      </c>
      <c r="S11" s="104"/>
      <c r="T11" s="104" t="s">
        <v>3581</v>
      </c>
      <c r="U11" s="104"/>
      <c r="V11" s="104" t="s">
        <v>3581</v>
      </c>
      <c r="W11" s="104"/>
    </row>
    <row r="12">
      <c r="A12" s="94"/>
      <c r="B12" s="95" t="str">
        <f>IFERROR(__xludf.DUMMYFUNCTION("""COMPUTED_VALUE"""),"WM-MA-PE-1A")</f>
        <v>WM-MA-PE-1A</v>
      </c>
      <c r="C12" s="96" t="s">
        <v>44</v>
      </c>
      <c r="D12" s="97"/>
      <c r="E12" s="97" t="str">
        <f>IFERROR(__xludf.DUMMYFUNCTION("""COMPUTED_VALUE"""),"")</f>
        <v/>
      </c>
      <c r="F12" s="98">
        <v>7.0</v>
      </c>
      <c r="G12" s="99"/>
      <c r="H12" s="100"/>
      <c r="I12" s="101"/>
      <c r="J12" s="100"/>
      <c r="K12" s="107">
        <v>10.0</v>
      </c>
      <c r="L12" s="104"/>
      <c r="M12" s="98">
        <v>10.0</v>
      </c>
      <c r="N12" s="103" t="str">
        <f>IFERROR(__xludf.DUMMYFUNCTION("""COMPUTED_VALUE"""),"")</f>
        <v/>
      </c>
      <c r="O12" s="102"/>
      <c r="P12" s="102" t="s">
        <v>1626</v>
      </c>
      <c r="Q12" s="104"/>
      <c r="R12" s="104" t="s">
        <v>53</v>
      </c>
      <c r="S12" s="104"/>
      <c r="T12" s="104" t="s">
        <v>3582</v>
      </c>
      <c r="U12" s="104"/>
      <c r="V12" s="104" t="s">
        <v>3582</v>
      </c>
      <c r="W12" s="104"/>
    </row>
    <row r="13">
      <c r="A13" s="105">
        <v>45873.0</v>
      </c>
      <c r="B13" s="95" t="str">
        <f>IFERROR(__xludf.DUMMYFUNCTION("""COMPUTED_VALUE"""),"TLC-PH-CS-1A")</f>
        <v>TLC-PH-CS-1A</v>
      </c>
      <c r="C13" s="96"/>
      <c r="D13" s="97"/>
      <c r="E13" s="97" t="str">
        <f>IFERROR(__xludf.DUMMYFUNCTION("""COMPUTED_VALUE"""),"")</f>
        <v/>
      </c>
      <c r="F13" s="98">
        <v>0.0</v>
      </c>
      <c r="G13" s="99"/>
      <c r="H13" s="100"/>
      <c r="I13" s="101"/>
      <c r="J13" s="101"/>
      <c r="K13" s="99"/>
      <c r="L13" s="104"/>
      <c r="M13" s="98" t="s">
        <v>39</v>
      </c>
      <c r="N13" s="103" t="str">
        <f>IFERROR(__xludf.DUMMYFUNCTION("""COMPUTED_VALUE"""),"")</f>
        <v/>
      </c>
      <c r="O13" s="104"/>
      <c r="P13" s="102" t="s">
        <v>3583</v>
      </c>
      <c r="Q13" s="104"/>
      <c r="R13" s="104" t="s">
        <v>56</v>
      </c>
      <c r="S13" s="104"/>
      <c r="T13" s="104" t="s">
        <v>3584</v>
      </c>
      <c r="U13" s="104"/>
      <c r="V13" s="104" t="s">
        <v>3584</v>
      </c>
      <c r="W13" s="104"/>
    </row>
    <row r="14">
      <c r="A14" s="105">
        <v>45874.0</v>
      </c>
      <c r="B14" s="108" t="str">
        <f>IFERROR(__xludf.DUMMYFUNCTION("""COMPUTED_VALUE"""),"TAG-AO-DR-1A")</f>
        <v>TAG-AO-DR-1A</v>
      </c>
      <c r="C14" s="96"/>
      <c r="D14" s="97"/>
      <c r="E14" s="97" t="str">
        <f>IFERROR(__xludf.DUMMYFUNCTION("""COMPUTED_VALUE"""),"ST-PO-6-NU-1")</f>
        <v>ST-PO-6-NU-1</v>
      </c>
      <c r="F14" s="98">
        <v>0.0</v>
      </c>
      <c r="G14" s="99"/>
      <c r="H14" s="100"/>
      <c r="I14" s="101"/>
      <c r="J14" s="100"/>
      <c r="K14" s="99"/>
      <c r="L14" s="104"/>
      <c r="M14" s="98" t="s">
        <v>39</v>
      </c>
      <c r="N14" s="103" t="str">
        <f>IFERROR(__xludf.DUMMYFUNCTION("""COMPUTED_VALUE"""),"")</f>
        <v/>
      </c>
      <c r="O14" s="104"/>
      <c r="P14" s="104"/>
      <c r="Q14" s="104"/>
      <c r="R14" s="104" t="s">
        <v>60</v>
      </c>
      <c r="S14" s="104"/>
      <c r="T14" s="104" t="s">
        <v>3585</v>
      </c>
      <c r="U14" s="104"/>
      <c r="V14" s="104" t="s">
        <v>3585</v>
      </c>
      <c r="W14" s="104"/>
    </row>
    <row r="15">
      <c r="A15" s="105">
        <v>45880.0</v>
      </c>
      <c r="B15" s="95" t="str">
        <f>IFERROR(__xludf.DUMMYFUNCTION("""COMPUTED_VALUE"""),"FMY-PH-GC-1A")</f>
        <v>FMY-PH-GC-1A</v>
      </c>
      <c r="C15" s="96"/>
      <c r="D15" s="97"/>
      <c r="E15" s="97" t="str">
        <f>IFERROR(__xludf.DUMMYFUNCTION("""COMPUTED_VALUE"""),"NR-PO-8-BP-1")</f>
        <v>NR-PO-8-BP-1</v>
      </c>
      <c r="F15" s="98">
        <v>16.99</v>
      </c>
      <c r="G15" s="99"/>
      <c r="H15" s="100"/>
      <c r="I15" s="101"/>
      <c r="J15" s="100"/>
      <c r="K15" s="99"/>
      <c r="L15" s="104"/>
      <c r="M15" s="98" t="s">
        <v>39</v>
      </c>
      <c r="N15" s="103" t="str">
        <f>IFERROR(__xludf.DUMMYFUNCTION("""COMPUTED_VALUE"""),"")</f>
        <v/>
      </c>
      <c r="O15" s="104"/>
      <c r="P15" s="104"/>
      <c r="Q15" s="104"/>
      <c r="R15" s="104" t="s">
        <v>63</v>
      </c>
      <c r="S15" s="104"/>
      <c r="T15" s="104" t="s">
        <v>3586</v>
      </c>
      <c r="U15" s="104"/>
      <c r="V15" s="104" t="s">
        <v>3586</v>
      </c>
      <c r="W15" s="104"/>
    </row>
    <row r="16">
      <c r="A16" s="105">
        <v>45880.0</v>
      </c>
      <c r="B16" s="95" t="str">
        <f>IFERROR(__xludf.DUMMYFUNCTION("""COMPUTED_VALUE"""),"FMY-AL-RSD-1A")</f>
        <v>FMY-AL-RSD-1A</v>
      </c>
      <c r="C16" s="96"/>
      <c r="D16" s="97"/>
      <c r="E16" s="97" t="str">
        <f>IFERROR(__xludf.DUMMYFUNCTION("""COMPUTED_VALUE"""),"")</f>
        <v/>
      </c>
      <c r="F16" s="98">
        <v>10.99</v>
      </c>
      <c r="G16" s="99"/>
      <c r="H16" s="100"/>
      <c r="I16" s="101"/>
      <c r="J16" s="100"/>
      <c r="K16" s="99"/>
      <c r="L16" s="104"/>
      <c r="M16" s="98" t="s">
        <v>39</v>
      </c>
      <c r="N16" s="103" t="str">
        <f>IFERROR(__xludf.DUMMYFUNCTION("""COMPUTED_VALUE"""),"")</f>
        <v/>
      </c>
      <c r="O16" s="104"/>
      <c r="P16" s="104"/>
      <c r="Q16" s="104"/>
      <c r="R16" s="104" t="s">
        <v>66</v>
      </c>
      <c r="S16" s="104"/>
      <c r="T16" s="104" t="s">
        <v>3587</v>
      </c>
      <c r="U16" s="104"/>
      <c r="V16" s="104" t="s">
        <v>3587</v>
      </c>
      <c r="W16" s="104"/>
    </row>
    <row r="17">
      <c r="A17" s="105">
        <v>45880.0</v>
      </c>
      <c r="B17" s="95" t="str">
        <f>IFERROR(__xludf.DUMMYFUNCTION("""COMPUTED_VALUE"""),"FMY-AL-GVF-1A")</f>
        <v>FMY-AL-GVF-1A</v>
      </c>
      <c r="C17" s="96"/>
      <c r="D17" s="97"/>
      <c r="E17" s="97" t="str">
        <f>IFERROR(__xludf.DUMMYFUNCTION("""COMPUTED_VALUE"""),"DT-PO-3-GL-1")</f>
        <v>DT-PO-3-GL-1</v>
      </c>
      <c r="F17" s="98">
        <v>10.99</v>
      </c>
      <c r="G17" s="99"/>
      <c r="H17" s="100"/>
      <c r="I17" s="101"/>
      <c r="J17" s="100"/>
      <c r="K17" s="99"/>
      <c r="L17" s="104"/>
      <c r="M17" s="98" t="s">
        <v>39</v>
      </c>
      <c r="N17" s="103" t="str">
        <f>IFERROR(__xludf.DUMMYFUNCTION("""COMPUTED_VALUE"""),"")</f>
        <v/>
      </c>
      <c r="O17" s="104"/>
      <c r="P17" s="104"/>
      <c r="Q17" s="104"/>
      <c r="R17" s="104" t="s">
        <v>68</v>
      </c>
      <c r="S17" s="104"/>
      <c r="T17" s="104" t="s">
        <v>3588</v>
      </c>
      <c r="U17" s="104"/>
      <c r="V17" s="104" t="s">
        <v>3588</v>
      </c>
      <c r="W17" s="104"/>
    </row>
    <row r="18">
      <c r="A18" s="105">
        <v>45880.0</v>
      </c>
      <c r="B18" s="95" t="str">
        <f>IFERROR(__xludf.DUMMYFUNCTION("""COMPUTED_VALUE"""),"FMY-MA-DE-1A")</f>
        <v>FMY-MA-DE-1A</v>
      </c>
      <c r="C18" s="96"/>
      <c r="D18" s="97"/>
      <c r="E18" s="109" t="str">
        <f>IFERROR(__xludf.DUMMYFUNCTION("""COMPUTED_VALUE"""),"WO-PO-6-WH-1")</f>
        <v>WO-PO-6-WH-1</v>
      </c>
      <c r="F18" s="98">
        <v>2.198</v>
      </c>
      <c r="G18" s="99"/>
      <c r="H18" s="100"/>
      <c r="I18" s="101"/>
      <c r="J18" s="100"/>
      <c r="K18" s="99"/>
      <c r="L18" s="104"/>
      <c r="M18" s="98" t="s">
        <v>39</v>
      </c>
      <c r="N18" s="103" t="str">
        <f>IFERROR(__xludf.DUMMYFUNCTION("""COMPUTED_VALUE"""),"")</f>
        <v/>
      </c>
      <c r="O18" s="104"/>
      <c r="P18" s="104"/>
      <c r="Q18" s="104"/>
      <c r="R18" s="104" t="s">
        <v>70</v>
      </c>
      <c r="S18" s="104">
        <v>25.0</v>
      </c>
      <c r="T18" s="104" t="s">
        <v>3589</v>
      </c>
      <c r="U18" s="104"/>
      <c r="V18" s="104" t="s">
        <v>3589</v>
      </c>
      <c r="W18" s="104"/>
    </row>
    <row r="19">
      <c r="A19" s="105">
        <v>45880.0</v>
      </c>
      <c r="B19" s="95" t="str">
        <f>IFERROR(__xludf.DUMMYFUNCTION("""COMPUTED_VALUE"""),"FMY-MA-DE-1A-2")</f>
        <v>FMY-MA-DE-1A-2</v>
      </c>
      <c r="C19" s="96"/>
      <c r="D19" s="97"/>
      <c r="E19" s="97" t="str">
        <f>IFERROR(__xludf.DUMMYFUNCTION("""COMPUTED_VALUE"""),"ST-PO-6-NU-1")</f>
        <v>ST-PO-6-NU-1</v>
      </c>
      <c r="F19" s="98">
        <v>9.995</v>
      </c>
      <c r="G19" s="99"/>
      <c r="H19" s="100"/>
      <c r="I19" s="101"/>
      <c r="J19" s="100"/>
      <c r="K19" s="99"/>
      <c r="L19" s="104"/>
      <c r="M19" s="98" t="s">
        <v>39</v>
      </c>
      <c r="N19" s="103" t="str">
        <f>IFERROR(__xludf.DUMMYFUNCTION("""COMPUTED_VALUE"""),"")</f>
        <v/>
      </c>
      <c r="O19" s="104"/>
      <c r="P19" s="104"/>
      <c r="Q19" s="104"/>
      <c r="R19" s="104" t="s">
        <v>72</v>
      </c>
      <c r="S19" s="104"/>
      <c r="T19" s="104" t="s">
        <v>3590</v>
      </c>
      <c r="U19" s="104"/>
      <c r="V19" s="104" t="s">
        <v>3590</v>
      </c>
      <c r="W19" s="104"/>
    </row>
    <row r="20">
      <c r="A20" s="105">
        <v>45880.0</v>
      </c>
      <c r="B20" s="95" t="str">
        <f>IFERROR(__xludf.DUMMYFUNCTION("""COMPUTED_VALUE"""),"TLC-SC-SS-1A")</f>
        <v>TLC-SC-SS-1A</v>
      </c>
      <c r="C20" s="96"/>
      <c r="D20" s="97"/>
      <c r="E20" s="97" t="str">
        <f>IFERROR(__xludf.DUMMYFUNCTION("""COMPUTED_VALUE"""),"TE-PO-4-MU-1")</f>
        <v>TE-PO-4-MU-1</v>
      </c>
      <c r="F20" s="98">
        <v>1.0</v>
      </c>
      <c r="G20" s="99"/>
      <c r="H20" s="100"/>
      <c r="I20" s="101"/>
      <c r="J20" s="100"/>
      <c r="K20" s="99"/>
      <c r="L20" s="104"/>
      <c r="M20" s="98" t="s">
        <v>39</v>
      </c>
      <c r="N20" s="103" t="str">
        <f>IFERROR(__xludf.DUMMYFUNCTION("""COMPUTED_VALUE"""),"")</f>
        <v/>
      </c>
      <c r="O20" s="104"/>
      <c r="P20" s="102" t="s">
        <v>1481</v>
      </c>
      <c r="Q20" s="104"/>
      <c r="R20" s="104" t="s">
        <v>75</v>
      </c>
      <c r="S20" s="104"/>
      <c r="T20" s="104" t="s">
        <v>3591</v>
      </c>
      <c r="U20" s="104"/>
      <c r="V20" s="104" t="s">
        <v>3591</v>
      </c>
      <c r="W20" s="104"/>
    </row>
    <row r="21">
      <c r="A21" s="105">
        <v>45870.0</v>
      </c>
      <c r="B21" s="95" t="str">
        <f>IFERROR(__xludf.DUMMYFUNCTION("""COMPUTED_VALUE"""),"MMP-MA-AD-1A")</f>
        <v>MMP-MA-AD-1A</v>
      </c>
      <c r="C21" s="96"/>
      <c r="D21" s="97"/>
      <c r="E21" s="97" t="str">
        <f>IFERROR(__xludf.DUMMYFUNCTION("""COMPUTED_VALUE"""),"NR-PO-3-BP-1")</f>
        <v>NR-PO-3-BP-1</v>
      </c>
      <c r="F21" s="98">
        <v>1.0</v>
      </c>
      <c r="G21" s="99"/>
      <c r="H21" s="100"/>
      <c r="I21" s="101"/>
      <c r="J21" s="100"/>
      <c r="K21" s="99"/>
      <c r="L21" s="104"/>
      <c r="M21" s="98" t="s">
        <v>39</v>
      </c>
      <c r="N21" s="103" t="str">
        <f>IFERROR(__xludf.DUMMYFUNCTION("""COMPUTED_VALUE"""),"")</f>
        <v/>
      </c>
      <c r="O21" s="104"/>
      <c r="P21" s="102" t="s">
        <v>1481</v>
      </c>
      <c r="Q21" s="104"/>
      <c r="R21" s="104" t="s">
        <v>78</v>
      </c>
      <c r="S21" s="104"/>
      <c r="T21" s="104" t="s">
        <v>3592</v>
      </c>
      <c r="U21" s="104"/>
      <c r="V21" s="104" t="s">
        <v>3592</v>
      </c>
      <c r="W21" s="104"/>
    </row>
    <row r="22">
      <c r="A22" s="105">
        <v>45866.0</v>
      </c>
      <c r="B22" s="95" t="str">
        <f>IFERROR(__xludf.DUMMYFUNCTION("""COMPUTED_VALUE"""),"OLN-MA-AD-1A")</f>
        <v>OLN-MA-AD-1A</v>
      </c>
      <c r="C22" s="96"/>
      <c r="D22" s="97"/>
      <c r="E22" s="97" t="str">
        <f>IFERROR(__xludf.DUMMYFUNCTION("""COMPUTED_VALUE"""),"NR-PO-3-BP-1")</f>
        <v>NR-PO-3-BP-1</v>
      </c>
      <c r="F22" s="98">
        <v>3.66</v>
      </c>
      <c r="G22" s="99"/>
      <c r="H22" s="100"/>
      <c r="I22" s="101"/>
      <c r="J22" s="101"/>
      <c r="K22" s="99"/>
      <c r="L22" s="104"/>
      <c r="M22" s="98" t="s">
        <v>39</v>
      </c>
      <c r="N22" s="103" t="str">
        <f>IFERROR(__xludf.DUMMYFUNCTION("""COMPUTED_VALUE"""),"")</f>
        <v/>
      </c>
      <c r="O22" s="104"/>
      <c r="P22" s="102" t="s">
        <v>1481</v>
      </c>
      <c r="Q22" s="104"/>
      <c r="R22" s="104" t="s">
        <v>82</v>
      </c>
      <c r="S22" s="104"/>
      <c r="T22" s="104" t="s">
        <v>3593</v>
      </c>
      <c r="U22" s="104"/>
      <c r="V22" s="104" t="s">
        <v>3593</v>
      </c>
      <c r="W22" s="104"/>
    </row>
    <row r="23">
      <c r="A23" s="105">
        <v>45866.0</v>
      </c>
      <c r="B23" s="95" t="str">
        <f>IFERROR(__xludf.DUMMYFUNCTION("""COMPUTED_VALUE"""),"OLN-PH-WP-1A")</f>
        <v>OLN-PH-WP-1A</v>
      </c>
      <c r="C23" s="96"/>
      <c r="D23" s="97"/>
      <c r="E23" s="97" t="str">
        <f>IFERROR(__xludf.DUMMYFUNCTION("""COMPUTED_VALUE"""),"ST-PO-3-NU-1")</f>
        <v>ST-PO-3-NU-1</v>
      </c>
      <c r="F23" s="98">
        <v>3.66</v>
      </c>
      <c r="G23" s="99"/>
      <c r="H23" s="100"/>
      <c r="I23" s="101"/>
      <c r="J23" s="100"/>
      <c r="K23" s="99"/>
      <c r="L23" s="104"/>
      <c r="M23" s="98" t="s">
        <v>39</v>
      </c>
      <c r="N23" s="103" t="str">
        <f>IFERROR(__xludf.DUMMYFUNCTION("""COMPUTED_VALUE"""),"")</f>
        <v/>
      </c>
      <c r="O23" s="104"/>
      <c r="P23" s="102" t="s">
        <v>1481</v>
      </c>
      <c r="Q23" s="104"/>
      <c r="R23" s="104" t="s">
        <v>85</v>
      </c>
      <c r="S23" s="104"/>
      <c r="T23" s="104" t="s">
        <v>3594</v>
      </c>
      <c r="U23" s="104"/>
      <c r="V23" s="104" t="s">
        <v>3594</v>
      </c>
      <c r="W23" s="104"/>
    </row>
    <row r="24">
      <c r="A24" s="105">
        <v>45866.0</v>
      </c>
      <c r="B24" s="95" t="str">
        <f>IFERROR(__xludf.DUMMYFUNCTION("""COMPUTED_VALUE"""),"OLN-ALT-PT-1A")</f>
        <v>OLN-ALT-PT-1A</v>
      </c>
      <c r="C24" s="96"/>
      <c r="D24" s="97"/>
      <c r="E24" s="97" t="str">
        <f>IFERROR(__xludf.DUMMYFUNCTION("""COMPUTED_VALUE"""),"TO-PO-4-MU-1")</f>
        <v>TO-PO-4-MU-1</v>
      </c>
      <c r="F24" s="98">
        <v>9.99</v>
      </c>
      <c r="G24" s="99"/>
      <c r="H24" s="100"/>
      <c r="I24" s="101"/>
      <c r="J24" s="100"/>
      <c r="K24" s="99"/>
      <c r="L24" s="104"/>
      <c r="M24" s="98" t="s">
        <v>39</v>
      </c>
      <c r="N24" s="103" t="str">
        <f>IFERROR(__xludf.DUMMYFUNCTION("""COMPUTED_VALUE"""),"")</f>
        <v/>
      </c>
      <c r="O24" s="104"/>
      <c r="P24" s="102" t="s">
        <v>1481</v>
      </c>
      <c r="Q24" s="104"/>
      <c r="R24" s="104" t="s">
        <v>88</v>
      </c>
      <c r="S24" s="104"/>
      <c r="T24" s="104" t="s">
        <v>3595</v>
      </c>
      <c r="U24" s="104"/>
      <c r="V24" s="104" t="s">
        <v>3595</v>
      </c>
      <c r="W24" s="104"/>
    </row>
    <row r="25">
      <c r="A25" s="105">
        <v>45866.0</v>
      </c>
      <c r="B25" s="95" t="str">
        <f>IFERROR(__xludf.DUMMYFUNCTION("""COMPUTED_VALUE"""),"OLN-FI-RF-1A")</f>
        <v>OLN-FI-RF-1A</v>
      </c>
      <c r="C25" s="96"/>
      <c r="D25" s="97"/>
      <c r="E25" s="97" t="str">
        <f>IFERROR(__xludf.DUMMYFUNCTION("""COMPUTED_VALUE"""),"")</f>
        <v/>
      </c>
      <c r="F25" s="98">
        <v>3.66</v>
      </c>
      <c r="G25" s="99"/>
      <c r="H25" s="100"/>
      <c r="I25" s="101"/>
      <c r="J25" s="100"/>
      <c r="K25" s="99"/>
      <c r="L25" s="104"/>
      <c r="M25" s="98" t="s">
        <v>39</v>
      </c>
      <c r="N25" s="103" t="str">
        <f>IFERROR(__xludf.DUMMYFUNCTION("""COMPUTED_VALUE"""),"")</f>
        <v/>
      </c>
      <c r="O25" s="104"/>
      <c r="P25" s="102" t="s">
        <v>1481</v>
      </c>
      <c r="Q25" s="104"/>
      <c r="R25" s="104" t="s">
        <v>91</v>
      </c>
      <c r="S25" s="104"/>
      <c r="T25" s="104" t="s">
        <v>3596</v>
      </c>
      <c r="U25" s="104"/>
      <c r="V25" s="104" t="s">
        <v>3596</v>
      </c>
      <c r="W25" s="104"/>
    </row>
    <row r="26">
      <c r="A26" s="105">
        <v>45902.0</v>
      </c>
      <c r="B26" s="95" t="str">
        <f>IFERROR(__xludf.DUMMYFUNCTION("""COMPUTED_VALUE"""),"OLN-PH-STS-1A")</f>
        <v>OLN-PH-STS-1A</v>
      </c>
      <c r="C26" s="96"/>
      <c r="D26" s="97"/>
      <c r="E26" s="97" t="str">
        <f>IFERROR(__xludf.DUMMYFUNCTION("""COMPUTED_VALUE"""),"WO-PO-6-WH-1")</f>
        <v>WO-PO-6-WH-1</v>
      </c>
      <c r="F26" s="98">
        <v>52.0</v>
      </c>
      <c r="G26" s="99"/>
      <c r="H26" s="100"/>
      <c r="I26" s="101"/>
      <c r="J26" s="100"/>
      <c r="K26" s="99"/>
      <c r="L26" s="104"/>
      <c r="M26" s="98" t="s">
        <v>39</v>
      </c>
      <c r="N26" s="103" t="str">
        <f>IFERROR(__xludf.DUMMYFUNCTION("""COMPUTED_VALUE"""),"")</f>
        <v/>
      </c>
      <c r="O26" s="104"/>
      <c r="P26" s="102" t="s">
        <v>1481</v>
      </c>
      <c r="Q26" s="104"/>
      <c r="R26" s="104" t="s">
        <v>94</v>
      </c>
      <c r="S26" s="104"/>
      <c r="T26" s="104" t="s">
        <v>3597</v>
      </c>
      <c r="U26" s="104"/>
      <c r="V26" s="104" t="s">
        <v>3597</v>
      </c>
      <c r="W26" s="104"/>
    </row>
    <row r="27">
      <c r="A27" s="94">
        <v>45902.0</v>
      </c>
      <c r="B27" s="95" t="str">
        <f>IFERROR(__xludf.DUMMYFUNCTION("""COMPUTED_VALUE"""),"OLN-PH-SD-1A")</f>
        <v>OLN-PH-SD-1A</v>
      </c>
      <c r="C27" s="96"/>
      <c r="D27" s="97"/>
      <c r="E27" s="97" t="str">
        <f>IFERROR(__xludf.DUMMYFUNCTION("""COMPUTED_VALUE"""),"AN-PO-3-MU-1")</f>
        <v>AN-PO-3-MU-1</v>
      </c>
      <c r="F27" s="98">
        <v>16.0</v>
      </c>
      <c r="G27" s="99"/>
      <c r="H27" s="100"/>
      <c r="I27" s="101"/>
      <c r="J27" s="100"/>
      <c r="K27" s="99"/>
      <c r="L27" s="104"/>
      <c r="M27" s="98" t="s">
        <v>39</v>
      </c>
      <c r="N27" s="103" t="str">
        <f>IFERROR(__xludf.DUMMYFUNCTION("""COMPUTED_VALUE"""),"")</f>
        <v/>
      </c>
      <c r="O27" s="104"/>
      <c r="P27" s="102" t="s">
        <v>1481</v>
      </c>
      <c r="Q27" s="104"/>
      <c r="R27" s="104" t="s">
        <v>96</v>
      </c>
      <c r="S27" s="104"/>
      <c r="T27" s="104" t="s">
        <v>3598</v>
      </c>
      <c r="U27" s="104"/>
      <c r="V27" s="104" t="s">
        <v>3598</v>
      </c>
      <c r="W27" s="104"/>
    </row>
    <row r="28">
      <c r="A28" s="105">
        <v>45871.0</v>
      </c>
      <c r="B28" s="95" t="str">
        <f>IFERROR(__xludf.DUMMYFUNCTION("""COMPUTED_VALUE"""),"AR-PH-WP-1A")</f>
        <v>AR-PH-WP-1A</v>
      </c>
      <c r="C28" s="96"/>
      <c r="D28" s="97"/>
      <c r="E28" s="97" t="str">
        <f>IFERROR(__xludf.DUMMYFUNCTION("""COMPUTED_VALUE"""),"TE-PO-4-MU-1")</f>
        <v>TE-PO-4-MU-1</v>
      </c>
      <c r="F28" s="98">
        <v>20.4</v>
      </c>
      <c r="G28" s="99"/>
      <c r="H28" s="100"/>
      <c r="I28" s="101"/>
      <c r="J28" s="100"/>
      <c r="K28" s="99"/>
      <c r="L28" s="104"/>
      <c r="M28" s="98" t="s">
        <v>39</v>
      </c>
      <c r="N28" s="103" t="str">
        <f>IFERROR(__xludf.DUMMYFUNCTION("""COMPUTED_VALUE"""),"")</f>
        <v/>
      </c>
      <c r="O28" s="104"/>
      <c r="P28" s="102" t="s">
        <v>1481</v>
      </c>
      <c r="Q28" s="104"/>
      <c r="R28" s="104" t="s">
        <v>98</v>
      </c>
      <c r="S28" s="104"/>
      <c r="T28" s="104" t="s">
        <v>3599</v>
      </c>
      <c r="U28" s="104"/>
      <c r="V28" s="104" t="s">
        <v>3599</v>
      </c>
      <c r="W28" s="104"/>
    </row>
    <row r="29">
      <c r="A29" s="105">
        <v>45871.0</v>
      </c>
      <c r="B29" s="95" t="str">
        <f>IFERROR(__xludf.DUMMYFUNCTION("""COMPUTED_VALUE"""),"AR-AL-LM-1A")</f>
        <v>AR-AL-LM-1A</v>
      </c>
      <c r="C29" s="96" t="s">
        <v>84</v>
      </c>
      <c r="D29" s="97"/>
      <c r="E29" s="97" t="str">
        <f>IFERROR(__xludf.DUMMYFUNCTION("""COMPUTED_VALUE"""),"MA-PO-3-SW-1")</f>
        <v>MA-PO-3-SW-1</v>
      </c>
      <c r="F29" s="98">
        <v>18.9</v>
      </c>
      <c r="G29" s="99"/>
      <c r="H29" s="100"/>
      <c r="I29" s="101"/>
      <c r="J29" s="100"/>
      <c r="K29" s="99"/>
      <c r="L29" s="104"/>
      <c r="M29" s="98" t="s">
        <v>39</v>
      </c>
      <c r="N29" s="103" t="str">
        <f>IFERROR(__xludf.DUMMYFUNCTION("""COMPUTED_VALUE"""),"")</f>
        <v/>
      </c>
      <c r="O29" s="104"/>
      <c r="P29" s="102" t="s">
        <v>1481</v>
      </c>
      <c r="Q29" s="104"/>
      <c r="R29" s="104" t="s">
        <v>100</v>
      </c>
      <c r="S29" s="104"/>
      <c r="T29" s="104" t="s">
        <v>3600</v>
      </c>
      <c r="U29" s="104"/>
      <c r="V29" s="104" t="s">
        <v>3600</v>
      </c>
      <c r="W29" s="104"/>
    </row>
    <row r="30">
      <c r="A30" s="105">
        <v>45877.0</v>
      </c>
      <c r="B30" s="95" t="str">
        <f>IFERROR(__xludf.DUMMYFUNCTION("""COMPUTED_VALUE"""),"ZB-SE-HA-1A")</f>
        <v>ZB-SE-HA-1A</v>
      </c>
      <c r="C30" s="96" t="s">
        <v>99</v>
      </c>
      <c r="D30" s="97"/>
      <c r="E30" s="97" t="str">
        <f>IFERROR(__xludf.DUMMYFUNCTION("""COMPUTED_VALUE"""),"ST-PO-6-NU-1")</f>
        <v>ST-PO-6-NU-1</v>
      </c>
      <c r="F30" s="98">
        <v>0.0</v>
      </c>
      <c r="G30" s="99"/>
      <c r="H30" s="100"/>
      <c r="I30" s="101"/>
      <c r="J30" s="100"/>
      <c r="K30" s="99"/>
      <c r="L30" s="104"/>
      <c r="M30" s="98" t="s">
        <v>39</v>
      </c>
      <c r="N30" s="103" t="str">
        <f>IFERROR(__xludf.DUMMYFUNCTION("""COMPUTED_VALUE"""),"")</f>
        <v/>
      </c>
      <c r="O30" s="104"/>
      <c r="P30" s="102" t="s">
        <v>1481</v>
      </c>
      <c r="Q30" s="104"/>
      <c r="R30" s="104" t="s">
        <v>104</v>
      </c>
      <c r="S30" s="104"/>
      <c r="T30" s="104" t="s">
        <v>3601</v>
      </c>
      <c r="U30" s="104"/>
      <c r="V30" s="104" t="s">
        <v>3601</v>
      </c>
      <c r="W30" s="104"/>
    </row>
    <row r="31">
      <c r="A31" s="105">
        <v>45878.0</v>
      </c>
      <c r="B31" s="95" t="str">
        <f>IFERROR(__xludf.DUMMYFUNCTION("""COMPUTED_VALUE"""),"IST-PH-PP-1A")</f>
        <v>IST-PH-PP-1A</v>
      </c>
      <c r="C31" s="96"/>
      <c r="D31" s="97"/>
      <c r="E31" s="97" t="str">
        <f>IFERROR(__xludf.DUMMYFUNCTION("""COMPUTED_VALUE"""),"MU-PO-4-WH-1")</f>
        <v>MU-PO-4-WH-1</v>
      </c>
      <c r="F31" s="98">
        <v>10.8</v>
      </c>
      <c r="G31" s="99"/>
      <c r="H31" s="100"/>
      <c r="I31" s="101"/>
      <c r="J31" s="100"/>
      <c r="K31" s="99"/>
      <c r="L31" s="104"/>
      <c r="M31" s="98" t="s">
        <v>39</v>
      </c>
      <c r="N31" s="103" t="str">
        <f>IFERROR(__xludf.DUMMYFUNCTION("""COMPUTED_VALUE"""),"")</f>
        <v/>
      </c>
      <c r="O31" s="104"/>
      <c r="P31" s="104"/>
      <c r="Q31" s="104"/>
      <c r="R31" s="104" t="s">
        <v>107</v>
      </c>
      <c r="S31" s="104"/>
      <c r="T31" s="104" t="s">
        <v>3602</v>
      </c>
      <c r="U31" s="104"/>
      <c r="V31" s="104" t="s">
        <v>3602</v>
      </c>
      <c r="W31" s="104"/>
    </row>
    <row r="32">
      <c r="A32" s="105">
        <v>45878.0</v>
      </c>
      <c r="B32" s="95" t="str">
        <f>IFERROR(__xludf.DUMMYFUNCTION("""COMPUTED_VALUE"""),"IST-PH-GCN-1A")</f>
        <v>IST-PH-GCN-1A</v>
      </c>
      <c r="C32" s="96"/>
      <c r="D32" s="97"/>
      <c r="E32" s="97" t="str">
        <f>IFERROR(__xludf.DUMMYFUNCTION("""COMPUTED_VALUE"""),"TE-PO-4-MU-1")</f>
        <v>TE-PO-4-MU-1</v>
      </c>
      <c r="F32" s="98">
        <v>25.0</v>
      </c>
      <c r="G32" s="99"/>
      <c r="H32" s="100"/>
      <c r="I32" s="101"/>
      <c r="J32" s="100"/>
      <c r="K32" s="99"/>
      <c r="L32" s="104"/>
      <c r="M32" s="98" t="s">
        <v>39</v>
      </c>
      <c r="N32" s="103" t="str">
        <f>IFERROR(__xludf.DUMMYFUNCTION("""COMPUTED_VALUE"""),"")</f>
        <v/>
      </c>
      <c r="O32" s="104"/>
      <c r="P32" s="102" t="s">
        <v>1481</v>
      </c>
      <c r="Q32" s="104"/>
      <c r="R32" s="104" t="s">
        <v>109</v>
      </c>
      <c r="S32" s="104"/>
      <c r="T32" s="104" t="s">
        <v>3603</v>
      </c>
      <c r="U32" s="104"/>
      <c r="V32" s="104" t="s">
        <v>3603</v>
      </c>
      <c r="W32" s="104"/>
    </row>
    <row r="33">
      <c r="A33" s="105">
        <v>45882.0</v>
      </c>
      <c r="B33" s="95" t="str">
        <f>IFERROR(__xludf.DUMMYFUNCTION("""COMPUTED_VALUE"""),"TGG-HO-GF-1A")</f>
        <v>TGG-HO-GF-1A</v>
      </c>
      <c r="C33" s="96"/>
      <c r="D33" s="97"/>
      <c r="E33" s="97" t="str">
        <f>IFERROR(__xludf.DUMMYFUNCTION("""COMPUTED_VALUE"""),"NR-PO-3-TBP-1")</f>
        <v>NR-PO-3-TBP-1</v>
      </c>
      <c r="F33" s="98">
        <v>0.0</v>
      </c>
      <c r="G33" s="99"/>
      <c r="H33" s="100"/>
      <c r="I33" s="101"/>
      <c r="J33" s="100"/>
      <c r="K33" s="99"/>
      <c r="L33" s="104"/>
      <c r="M33" s="98" t="s">
        <v>39</v>
      </c>
      <c r="N33" s="103" t="str">
        <f>IFERROR(__xludf.DUMMYFUNCTION("""COMPUTED_VALUE"""),"")</f>
        <v/>
      </c>
      <c r="O33" s="104"/>
      <c r="P33" s="102" t="s">
        <v>1481</v>
      </c>
      <c r="Q33" s="104"/>
      <c r="R33" s="104" t="s">
        <v>113</v>
      </c>
      <c r="S33" s="104"/>
      <c r="T33" s="104" t="s">
        <v>3604</v>
      </c>
      <c r="U33" s="104"/>
      <c r="V33" s="104" t="s">
        <v>3604</v>
      </c>
      <c r="W33" s="104"/>
    </row>
    <row r="34">
      <c r="A34" s="105">
        <v>45882.0</v>
      </c>
      <c r="B34" s="108" t="str">
        <f>IFERROR(__xludf.DUMMYFUNCTION("""COMPUTED_VALUE"""),"TGG-HO-PU-1A")</f>
        <v>TGG-HO-PU-1A</v>
      </c>
      <c r="C34" s="96"/>
      <c r="D34" s="97"/>
      <c r="E34" s="97" t="str">
        <f>IFERROR(__xludf.DUMMYFUNCTION("""COMPUTED_VALUE"""),"NR-PO-3-BP-1")</f>
        <v>NR-PO-3-BP-1</v>
      </c>
      <c r="F34" s="98">
        <v>5.0</v>
      </c>
      <c r="G34" s="99"/>
      <c r="H34" s="100"/>
      <c r="I34" s="101"/>
      <c r="J34" s="100"/>
      <c r="K34" s="99"/>
      <c r="L34" s="104"/>
      <c r="M34" s="98" t="s">
        <v>39</v>
      </c>
      <c r="N34" s="103" t="str">
        <f>IFERROR(__xludf.DUMMYFUNCTION("""COMPUTED_VALUE"""),"")</f>
        <v/>
      </c>
      <c r="O34" s="104"/>
      <c r="P34" s="102" t="s">
        <v>1481</v>
      </c>
      <c r="Q34" s="104"/>
      <c r="R34" s="104" t="s">
        <v>115</v>
      </c>
      <c r="S34" s="104"/>
      <c r="T34" s="104" t="s">
        <v>3605</v>
      </c>
      <c r="U34" s="104"/>
      <c r="V34" s="104" t="s">
        <v>3605</v>
      </c>
      <c r="W34" s="104"/>
    </row>
    <row r="35">
      <c r="A35" s="105">
        <v>45886.0</v>
      </c>
      <c r="B35" s="108" t="str">
        <f>IFERROR(__xludf.DUMMYFUNCTION("""COMPUTED_VALUE"""),"FM-MA-DE-1A")</f>
        <v>FM-MA-DE-1A</v>
      </c>
      <c r="C35" s="96"/>
      <c r="D35" s="97"/>
      <c r="E35" s="97" t="str">
        <f>IFERROR(__xludf.DUMMYFUNCTION("""COMPUTED_VALUE"""),"")</f>
        <v/>
      </c>
      <c r="F35" s="98">
        <v>5.0</v>
      </c>
      <c r="G35" s="99"/>
      <c r="H35" s="100"/>
      <c r="I35" s="101"/>
      <c r="J35" s="100"/>
      <c r="K35" s="99"/>
      <c r="L35" s="104"/>
      <c r="M35" s="98" t="s">
        <v>39</v>
      </c>
      <c r="N35" s="103" t="str">
        <f>IFERROR(__xludf.DUMMYFUNCTION("""COMPUTED_VALUE"""),"")</f>
        <v/>
      </c>
      <c r="O35" s="104"/>
      <c r="P35" s="102" t="s">
        <v>1481</v>
      </c>
      <c r="Q35" s="104"/>
      <c r="R35" s="104" t="s">
        <v>116</v>
      </c>
      <c r="S35" s="104">
        <v>0.0</v>
      </c>
      <c r="T35" s="104" t="s">
        <v>3606</v>
      </c>
      <c r="U35" s="104"/>
      <c r="V35" s="104" t="s">
        <v>3606</v>
      </c>
      <c r="W35" s="104"/>
    </row>
    <row r="36">
      <c r="A36" s="105">
        <v>45882.0</v>
      </c>
      <c r="B36" s="108" t="str">
        <f>IFERROR(__xludf.DUMMYFUNCTION("""COMPUTED_VALUE"""),"AM-PH-PP-1A")</f>
        <v>AM-PH-PP-1A</v>
      </c>
      <c r="C36" s="96"/>
      <c r="D36" s="97"/>
      <c r="E36" s="97" t="str">
        <f>IFERROR(__xludf.DUMMYFUNCTION("""COMPUTED_VALUE"""),"MU-PO-4-WH-1")</f>
        <v>MU-PO-4-WH-1</v>
      </c>
      <c r="F36" s="98">
        <v>10.25</v>
      </c>
      <c r="G36" s="99"/>
      <c r="H36" s="100"/>
      <c r="I36" s="101"/>
      <c r="J36" s="100"/>
      <c r="K36" s="99"/>
      <c r="L36" s="104"/>
      <c r="M36" s="98" t="s">
        <v>39</v>
      </c>
      <c r="N36" s="103" t="str">
        <f>IFERROR(__xludf.DUMMYFUNCTION("""COMPUTED_VALUE"""),"")</f>
        <v/>
      </c>
      <c r="O36" s="104"/>
      <c r="P36" s="104"/>
      <c r="Q36" s="104"/>
      <c r="R36" s="104" t="s">
        <v>118</v>
      </c>
      <c r="S36" s="104"/>
      <c r="T36" s="104" t="s">
        <v>3607</v>
      </c>
      <c r="U36" s="104"/>
      <c r="V36" s="104" t="s">
        <v>3607</v>
      </c>
      <c r="W36" s="104"/>
    </row>
    <row r="37">
      <c r="A37" s="105">
        <v>45882.0</v>
      </c>
      <c r="B37" s="95" t="str">
        <f>IFERROR(__xludf.DUMMYFUNCTION("""COMPUTED_VALUE"""),"AM-PH-WW-1A")</f>
        <v>AM-PH-WW-1A</v>
      </c>
      <c r="C37" s="96" t="s">
        <v>106</v>
      </c>
      <c r="D37" s="97"/>
      <c r="E37" s="97" t="str">
        <f>IFERROR(__xludf.DUMMYFUNCTION("""COMPUTED_VALUE"""),"MU-PO-4-WH-1")</f>
        <v>MU-PO-4-WH-1</v>
      </c>
      <c r="F37" s="98">
        <v>10.25</v>
      </c>
      <c r="G37" s="99"/>
      <c r="H37" s="100"/>
      <c r="I37" s="101"/>
      <c r="J37" s="100"/>
      <c r="K37" s="99"/>
      <c r="L37" s="104"/>
      <c r="M37" s="98" t="s">
        <v>39</v>
      </c>
      <c r="N37" s="103" t="str">
        <f>IFERROR(__xludf.DUMMYFUNCTION("""COMPUTED_VALUE"""),"")</f>
        <v/>
      </c>
      <c r="O37" s="104"/>
      <c r="P37" s="104"/>
      <c r="Q37" s="104"/>
      <c r="R37" s="104" t="s">
        <v>120</v>
      </c>
      <c r="S37" s="104"/>
      <c r="T37" s="104" t="s">
        <v>3608</v>
      </c>
      <c r="U37" s="104"/>
      <c r="V37" s="104" t="s">
        <v>3608</v>
      </c>
      <c r="W37" s="104"/>
    </row>
    <row r="38">
      <c r="A38" s="105">
        <v>45882.0</v>
      </c>
      <c r="B38" s="95" t="str">
        <f>IFERROR(__xludf.DUMMYFUNCTION("""COMPUTED_VALUE"""),"AM-PH-GL-1A")</f>
        <v>AM-PH-GL-1A</v>
      </c>
      <c r="C38" s="96" t="s">
        <v>119</v>
      </c>
      <c r="D38" s="97"/>
      <c r="E38" s="97" t="str">
        <f>IFERROR(__xludf.DUMMYFUNCTION("""COMPUTED_VALUE"""),"ZO-PO-4-WL-1")</f>
        <v>ZO-PO-4-WL-1</v>
      </c>
      <c r="F38" s="98">
        <v>10.25</v>
      </c>
      <c r="G38" s="99"/>
      <c r="H38" s="100"/>
      <c r="I38" s="101"/>
      <c r="J38" s="100"/>
      <c r="K38" s="99"/>
      <c r="L38" s="104"/>
      <c r="M38" s="98" t="s">
        <v>39</v>
      </c>
      <c r="N38" s="103" t="str">
        <f>IFERROR(__xludf.DUMMYFUNCTION("""COMPUTED_VALUE"""),"")</f>
        <v/>
      </c>
      <c r="O38" s="104"/>
      <c r="P38" s="104"/>
      <c r="Q38" s="104"/>
      <c r="R38" s="104" t="s">
        <v>122</v>
      </c>
      <c r="S38" s="104"/>
      <c r="T38" s="104" t="s">
        <v>3609</v>
      </c>
      <c r="U38" s="104"/>
      <c r="V38" s="104" t="s">
        <v>3609</v>
      </c>
      <c r="W38" s="104"/>
    </row>
    <row r="39">
      <c r="A39" s="105">
        <v>45882.0</v>
      </c>
      <c r="B39" s="95" t="str">
        <f>IFERROR(__xludf.DUMMYFUNCTION("""COMPUTED_VALUE"""),"AM-PH-BI-1A")</f>
        <v>AM-PH-BI-1A</v>
      </c>
      <c r="C39" s="96" t="s">
        <v>121</v>
      </c>
      <c r="D39" s="97"/>
      <c r="E39" s="97" t="str">
        <f>IFERROR(__xludf.DUMMYFUNCTION("""COMPUTED_VALUE"""),"ZO-PO-4-WL-1")</f>
        <v>ZO-PO-4-WL-1</v>
      </c>
      <c r="F39" s="98">
        <v>3.4166666666666665</v>
      </c>
      <c r="G39" s="99"/>
      <c r="H39" s="100"/>
      <c r="I39" s="101"/>
      <c r="J39" s="100"/>
      <c r="K39" s="99"/>
      <c r="L39" s="104"/>
      <c r="M39" s="98" t="s">
        <v>39</v>
      </c>
      <c r="N39" s="103" t="str">
        <f>IFERROR(__xludf.DUMMYFUNCTION("""COMPUTED_VALUE"""),"")</f>
        <v/>
      </c>
      <c r="O39" s="104"/>
      <c r="P39" s="104"/>
      <c r="Q39" s="104"/>
      <c r="R39" s="104" t="s">
        <v>124</v>
      </c>
      <c r="S39" s="104"/>
      <c r="T39" s="104" t="s">
        <v>3610</v>
      </c>
      <c r="U39" s="104"/>
      <c r="V39" s="104" t="s">
        <v>3610</v>
      </c>
      <c r="W39" s="104"/>
    </row>
    <row r="40">
      <c r="A40" s="105">
        <v>45881.0</v>
      </c>
      <c r="B40" s="79" t="str">
        <f>IFERROR(__xludf.DUMMYFUNCTION("""COMPUTED_VALUE"""),"TGOPS-PH-PPM-1A")</f>
        <v>TGOPS-PH-PPM-1A</v>
      </c>
      <c r="C40" s="102" t="s">
        <v>123</v>
      </c>
      <c r="D40" s="104"/>
      <c r="E40" s="104" t="str">
        <f>IFERROR(__xludf.DUMMYFUNCTION("""COMPUTED_VALUE"""),"TE-PO-4-MU-1")</f>
        <v>TE-PO-4-MU-1</v>
      </c>
      <c r="F40" s="98">
        <v>16.19</v>
      </c>
      <c r="G40" s="110"/>
      <c r="H40" s="100"/>
      <c r="I40" s="98"/>
      <c r="J40" s="111"/>
      <c r="K40" s="110"/>
      <c r="L40" s="104" t="s">
        <v>2259</v>
      </c>
      <c r="M40" s="98" t="s">
        <v>39</v>
      </c>
      <c r="N40" s="103" t="str">
        <f>IFERROR(__xludf.DUMMYFUNCTION("""COMPUTED_VALUE"""),"")</f>
        <v/>
      </c>
      <c r="O40" s="104"/>
      <c r="P40" s="102" t="s">
        <v>1692</v>
      </c>
      <c r="Q40" s="104"/>
      <c r="R40" s="104" t="s">
        <v>127</v>
      </c>
      <c r="S40" s="104">
        <v>26.99</v>
      </c>
      <c r="T40" s="104" t="s">
        <v>3611</v>
      </c>
      <c r="U40" s="104"/>
      <c r="V40" s="104" t="s">
        <v>3611</v>
      </c>
      <c r="W40" s="104"/>
    </row>
    <row r="41">
      <c r="A41" s="105">
        <v>45881.0</v>
      </c>
      <c r="B41" s="79" t="str">
        <f>IFERROR(__xludf.DUMMYFUNCTION("""COMPUTED_VALUE"""),"TGOPS-PH-PPM-1A-2")</f>
        <v>TGOPS-PH-PPM-1A-2</v>
      </c>
      <c r="C41" s="104"/>
      <c r="D41" s="104"/>
      <c r="E41" s="104" t="str">
        <f>IFERROR(__xludf.DUMMYFUNCTION("""COMPUTED_VALUE"""),"TE-PO-4-MU-1")</f>
        <v>TE-PO-4-MU-1</v>
      </c>
      <c r="F41" s="98">
        <v>16.19</v>
      </c>
      <c r="G41" s="99"/>
      <c r="H41" s="100"/>
      <c r="I41" s="98"/>
      <c r="J41" s="111"/>
      <c r="K41" s="112">
        <v>10.0</v>
      </c>
      <c r="L41" s="104"/>
      <c r="M41" s="98">
        <v>10.0</v>
      </c>
      <c r="N41" s="103" t="str">
        <f>IFERROR(__xludf.DUMMYFUNCTION("""COMPUTED_VALUE"""),"")</f>
        <v/>
      </c>
      <c r="O41" s="104"/>
      <c r="P41" s="102" t="s">
        <v>1626</v>
      </c>
      <c r="Q41" s="104"/>
      <c r="R41" s="104" t="s">
        <v>128</v>
      </c>
      <c r="S41" s="104">
        <v>26.99</v>
      </c>
      <c r="T41" s="104" t="s">
        <v>3612</v>
      </c>
      <c r="U41" s="104"/>
      <c r="V41" s="104" t="s">
        <v>3612</v>
      </c>
      <c r="W41" s="104"/>
    </row>
    <row r="42">
      <c r="A42" s="105">
        <v>45881.0</v>
      </c>
      <c r="B42" s="79" t="str">
        <f>IFERROR(__xludf.DUMMYFUNCTION("""COMPUTED_VALUE"""),"TGOPS-PH-PPM-1A-3")</f>
        <v>TGOPS-PH-PPM-1A-3</v>
      </c>
      <c r="C42" s="104"/>
      <c r="D42" s="104"/>
      <c r="E42" s="104" t="str">
        <f>IFERROR(__xludf.DUMMYFUNCTION("""COMPUTED_VALUE"""),"TE-PO-4-MU-1")</f>
        <v>TE-PO-4-MU-1</v>
      </c>
      <c r="F42" s="98">
        <v>16.19</v>
      </c>
      <c r="G42" s="99"/>
      <c r="H42" s="100"/>
      <c r="I42" s="98"/>
      <c r="J42" s="111"/>
      <c r="K42" s="112">
        <v>20.0</v>
      </c>
      <c r="L42" s="104"/>
      <c r="M42" s="98">
        <v>20.0</v>
      </c>
      <c r="N42" s="103" t="str">
        <f>IFERROR(__xludf.DUMMYFUNCTION("""COMPUTED_VALUE"""),"")</f>
        <v/>
      </c>
      <c r="O42" s="104"/>
      <c r="P42" s="102" t="s">
        <v>1626</v>
      </c>
      <c r="Q42" s="104"/>
      <c r="R42" s="104" t="s">
        <v>130</v>
      </c>
      <c r="S42" s="104">
        <v>26.99</v>
      </c>
      <c r="T42" s="104" t="s">
        <v>3613</v>
      </c>
      <c r="U42" s="104"/>
      <c r="V42" s="104" t="s">
        <v>3613</v>
      </c>
      <c r="W42" s="104"/>
    </row>
    <row r="43">
      <c r="A43" s="105">
        <v>45881.0</v>
      </c>
      <c r="B43" s="79" t="str">
        <f>IFERROR(__xludf.DUMMYFUNCTION("""COMPUTED_VALUE"""),"TGOPS-PH-POO-1A")</f>
        <v>TGOPS-PH-POO-1A</v>
      </c>
      <c r="C43" s="104"/>
      <c r="D43" s="104"/>
      <c r="E43" s="104" t="str">
        <f>IFERROR(__xludf.DUMMYFUNCTION("""COMPUTED_VALUE"""),"TE-PO-4-MU-1")</f>
        <v>TE-PO-4-MU-1</v>
      </c>
      <c r="F43" s="98">
        <v>7.79</v>
      </c>
      <c r="G43" s="99"/>
      <c r="H43" s="100"/>
      <c r="I43" s="98"/>
      <c r="J43" s="111"/>
      <c r="K43" s="110"/>
      <c r="L43" s="104"/>
      <c r="M43" s="98" t="s">
        <v>39</v>
      </c>
      <c r="N43" s="103" t="str">
        <f>IFERROR(__xludf.DUMMYFUNCTION("""COMPUTED_VALUE"""),"")</f>
        <v/>
      </c>
      <c r="O43" s="104"/>
      <c r="P43" s="104"/>
      <c r="Q43" s="104"/>
      <c r="R43" s="104" t="s">
        <v>132</v>
      </c>
      <c r="S43" s="104">
        <v>12.99</v>
      </c>
      <c r="T43" s="104" t="s">
        <v>3614</v>
      </c>
      <c r="U43" s="104"/>
      <c r="V43" s="104" t="s">
        <v>3614</v>
      </c>
      <c r="W43" s="104"/>
    </row>
    <row r="44">
      <c r="A44" s="105">
        <v>45881.0</v>
      </c>
      <c r="B44" s="79" t="str">
        <f>IFERROR(__xludf.DUMMYFUNCTION("""COMPUTED_VALUE"""),"TGOPS-PH-POO-1A-2")</f>
        <v>TGOPS-PH-POO-1A-2</v>
      </c>
      <c r="C44" s="104"/>
      <c r="D44" s="104"/>
      <c r="E44" s="104" t="str">
        <f>IFERROR(__xludf.DUMMYFUNCTION("""COMPUTED_VALUE"""),"")</f>
        <v/>
      </c>
      <c r="F44" s="98">
        <v>7.79</v>
      </c>
      <c r="G44" s="99"/>
      <c r="H44" s="100"/>
      <c r="I44" s="98"/>
      <c r="J44" s="111"/>
      <c r="K44" s="112">
        <v>10.0</v>
      </c>
      <c r="L44" s="104"/>
      <c r="M44" s="98">
        <v>10.0</v>
      </c>
      <c r="N44" s="103" t="str">
        <f>IFERROR(__xludf.DUMMYFUNCTION("""COMPUTED_VALUE"""),"")</f>
        <v/>
      </c>
      <c r="O44" s="104"/>
      <c r="P44" s="102" t="s">
        <v>1626</v>
      </c>
      <c r="Q44" s="104"/>
      <c r="R44" s="104" t="s">
        <v>133</v>
      </c>
      <c r="S44" s="104">
        <v>12.99</v>
      </c>
      <c r="T44" s="104" t="s">
        <v>3615</v>
      </c>
      <c r="U44" s="104"/>
      <c r="V44" s="104" t="s">
        <v>3615</v>
      </c>
      <c r="W44" s="104"/>
    </row>
    <row r="45">
      <c r="A45" s="105">
        <v>45881.0</v>
      </c>
      <c r="B45" s="79" t="str">
        <f>IFERROR(__xludf.DUMMYFUNCTION("""COMPUTED_VALUE"""),"TGOPS-PH-POO-1A-3")</f>
        <v>TGOPS-PH-POO-1A-3</v>
      </c>
      <c r="C45" s="104"/>
      <c r="D45" s="104"/>
      <c r="E45" s="102" t="str">
        <f>IFERROR(__xludf.DUMMYFUNCTION("""COMPUTED_VALUE"""),"TE-PO-4-MU-1")</f>
        <v>TE-PO-4-MU-1</v>
      </c>
      <c r="F45" s="98">
        <v>7.79</v>
      </c>
      <c r="G45" s="110"/>
      <c r="H45" s="100"/>
      <c r="I45" s="98"/>
      <c r="J45" s="111"/>
      <c r="K45" s="110"/>
      <c r="L45" s="102">
        <v>0.0</v>
      </c>
      <c r="M45" s="98" t="s">
        <v>39</v>
      </c>
      <c r="N45" s="103" t="str">
        <f>IFERROR(__xludf.DUMMYFUNCTION("""COMPUTED_VALUE"""),"")</f>
        <v/>
      </c>
      <c r="O45" s="104"/>
      <c r="P45" s="102" t="s">
        <v>1692</v>
      </c>
      <c r="Q45" s="104"/>
      <c r="R45" s="104" t="s">
        <v>134</v>
      </c>
      <c r="S45" s="104">
        <v>12.99</v>
      </c>
      <c r="T45" s="104" t="s">
        <v>3616</v>
      </c>
      <c r="U45" s="104"/>
      <c r="V45" s="104" t="s">
        <v>3616</v>
      </c>
      <c r="W45" s="104"/>
    </row>
    <row r="46">
      <c r="A46" s="105">
        <v>45881.0</v>
      </c>
      <c r="B46" s="79" t="str">
        <f>IFERROR(__xludf.DUMMYFUNCTION("""COMPUTED_VALUE"""),"TGOPS-PH-WW-1A")</f>
        <v>TGOPS-PH-WW-1A</v>
      </c>
      <c r="C46" s="104"/>
      <c r="D46" s="104"/>
      <c r="E46" s="102" t="str">
        <f>IFERROR(__xludf.DUMMYFUNCTION("""COMPUTED_VALUE"""),"WO-PO-6-WH-1")</f>
        <v>WO-PO-6-WH-1</v>
      </c>
      <c r="F46" s="98">
        <v>2.1983333333333333</v>
      </c>
      <c r="G46" s="110"/>
      <c r="H46" s="100"/>
      <c r="I46" s="98"/>
      <c r="J46" s="111"/>
      <c r="K46" s="110"/>
      <c r="L46" s="104"/>
      <c r="M46" s="98" t="s">
        <v>39</v>
      </c>
      <c r="N46" s="103" t="str">
        <f>IFERROR(__xludf.DUMMYFUNCTION("""COMPUTED_VALUE"""),"")</f>
        <v/>
      </c>
      <c r="O46" s="104"/>
      <c r="P46" s="104"/>
      <c r="Q46" s="104"/>
      <c r="R46" s="104" t="s">
        <v>135</v>
      </c>
      <c r="S46" s="104"/>
      <c r="T46" s="104" t="s">
        <v>3617</v>
      </c>
      <c r="U46" s="104"/>
      <c r="V46" s="104" t="s">
        <v>3617</v>
      </c>
      <c r="W46" s="104"/>
    </row>
    <row r="47">
      <c r="A47" s="105">
        <v>45881.0</v>
      </c>
      <c r="B47" s="79" t="str">
        <f>IFERROR(__xludf.DUMMYFUNCTION("""COMPUTED_VALUE"""),"TGOPS-PH-WW-1A-2")</f>
        <v>TGOPS-PH-WW-1A-2</v>
      </c>
      <c r="C47" s="104"/>
      <c r="D47" s="104"/>
      <c r="E47" s="102" t="str">
        <f>IFERROR(__xludf.DUMMYFUNCTION("""COMPUTED_VALUE"""),"TE-PO-4-MU-1")</f>
        <v>TE-PO-4-MU-1</v>
      </c>
      <c r="F47" s="98">
        <v>3.2975</v>
      </c>
      <c r="G47" s="110"/>
      <c r="H47" s="100"/>
      <c r="I47" s="98"/>
      <c r="J47" s="98"/>
      <c r="K47" s="110"/>
      <c r="L47" s="104"/>
      <c r="M47" s="98" t="s">
        <v>39</v>
      </c>
      <c r="N47" s="103" t="str">
        <f>IFERROR(__xludf.DUMMYFUNCTION("""COMPUTED_VALUE"""),"")</f>
        <v/>
      </c>
      <c r="O47" s="104"/>
      <c r="P47" s="104"/>
      <c r="Q47" s="104"/>
      <c r="R47" s="104" t="s">
        <v>136</v>
      </c>
      <c r="S47" s="104"/>
      <c r="T47" s="104" t="s">
        <v>3618</v>
      </c>
      <c r="U47" s="104"/>
      <c r="V47" s="104" t="s">
        <v>3618</v>
      </c>
      <c r="W47" s="104"/>
    </row>
    <row r="48">
      <c r="A48" s="105">
        <v>45881.0</v>
      </c>
      <c r="B48" s="79" t="str">
        <f>IFERROR(__xludf.DUMMYFUNCTION("""COMPUTED_VALUE"""),"TGOPS-PH-WW-1A-3")</f>
        <v>TGOPS-PH-WW-1A-3</v>
      </c>
      <c r="C48" s="104"/>
      <c r="D48" s="104"/>
      <c r="E48" s="102" t="str">
        <f>IFERROR(__xludf.DUMMYFUNCTION("""COMPUTED_VALUE"""),"WO-PO-6-WH-1")</f>
        <v>WO-PO-6-WH-1</v>
      </c>
      <c r="F48" s="98">
        <v>4.3966666666666665</v>
      </c>
      <c r="G48" s="110"/>
      <c r="H48" s="100"/>
      <c r="I48" s="98"/>
      <c r="J48" s="98"/>
      <c r="K48" s="110"/>
      <c r="L48" s="104"/>
      <c r="M48" s="98" t="s">
        <v>39</v>
      </c>
      <c r="N48" s="103" t="str">
        <f>IFERROR(__xludf.DUMMYFUNCTION("""COMPUTED_VALUE"""),"")</f>
        <v/>
      </c>
      <c r="O48" s="104"/>
      <c r="P48" s="104"/>
      <c r="Q48" s="104"/>
      <c r="R48" s="104" t="s">
        <v>137</v>
      </c>
      <c r="S48" s="104"/>
      <c r="T48" s="104" t="s">
        <v>3619</v>
      </c>
      <c r="U48" s="104"/>
      <c r="V48" s="104" t="s">
        <v>3619</v>
      </c>
      <c r="W48" s="104"/>
    </row>
    <row r="49">
      <c r="A49" s="105">
        <v>45884.0</v>
      </c>
      <c r="B49" s="79" t="str">
        <f>IFERROR(__xludf.DUMMYFUNCTION("""COMPUTED_VALUE"""),"BWH-PH-MO-1A")</f>
        <v>BWH-PH-MO-1A</v>
      </c>
      <c r="C49" s="104"/>
      <c r="D49" s="104"/>
      <c r="E49" s="102" t="str">
        <f>IFERROR(__xludf.DUMMYFUNCTION("""COMPUTED_VALUE"""),"GA-PO-6-MU-1")</f>
        <v>GA-PO-6-MU-1</v>
      </c>
      <c r="F49" s="98">
        <v>6.0</v>
      </c>
      <c r="G49" s="110"/>
      <c r="H49" s="100"/>
      <c r="I49" s="98"/>
      <c r="J49" s="98"/>
      <c r="K49" s="110"/>
      <c r="L49" s="104"/>
      <c r="M49" s="98" t="s">
        <v>39</v>
      </c>
      <c r="N49" s="103" t="str">
        <f>IFERROR(__xludf.DUMMYFUNCTION("""COMPUTED_VALUE"""),"")</f>
        <v/>
      </c>
      <c r="O49" s="104"/>
      <c r="P49" s="104"/>
      <c r="Q49" s="104"/>
      <c r="R49" s="104" t="s">
        <v>140</v>
      </c>
      <c r="S49" s="104">
        <v>12.99</v>
      </c>
      <c r="T49" s="104" t="s">
        <v>3620</v>
      </c>
      <c r="U49" s="104"/>
      <c r="V49" s="104" t="s">
        <v>3620</v>
      </c>
      <c r="W49" s="104"/>
    </row>
    <row r="50">
      <c r="A50" s="105">
        <v>45884.0</v>
      </c>
      <c r="B50" s="113" t="str">
        <f>IFERROR(__xludf.DUMMYFUNCTION("""COMPUTED_VALUE"""),"BWH-PH-MO-1A-2")</f>
        <v>BWH-PH-MO-1A-2</v>
      </c>
      <c r="C50" s="104"/>
      <c r="D50" s="104"/>
      <c r="E50" s="102" t="str">
        <f>IFERROR(__xludf.DUMMYFUNCTION("""COMPUTED_VALUE"""),"TE-PO-4-MU-1")</f>
        <v>TE-PO-4-MU-1</v>
      </c>
      <c r="F50" s="98">
        <v>6.0</v>
      </c>
      <c r="G50" s="110"/>
      <c r="H50" s="100"/>
      <c r="I50" s="98"/>
      <c r="J50" s="111"/>
      <c r="K50" s="110"/>
      <c r="L50" s="104"/>
      <c r="M50" s="98" t="s">
        <v>39</v>
      </c>
      <c r="N50" s="103" t="str">
        <f>IFERROR(__xludf.DUMMYFUNCTION("""COMPUTED_VALUE"""),"")</f>
        <v/>
      </c>
      <c r="O50" s="104"/>
      <c r="P50" s="102" t="s">
        <v>1692</v>
      </c>
      <c r="Q50" s="104"/>
      <c r="R50" s="104" t="s">
        <v>141</v>
      </c>
      <c r="S50" s="104">
        <v>12.99</v>
      </c>
      <c r="T50" s="104" t="s">
        <v>3621</v>
      </c>
      <c r="U50" s="104"/>
      <c r="V50" s="104" t="s">
        <v>3621</v>
      </c>
      <c r="W50" s="104"/>
    </row>
    <row r="51">
      <c r="A51" s="105">
        <v>45884.0</v>
      </c>
      <c r="B51" s="79" t="str">
        <f>IFERROR(__xludf.DUMMYFUNCTION("""COMPUTED_VALUE"""),"BWH-PH-MO-1A-3")</f>
        <v>BWH-PH-MO-1A-3</v>
      </c>
      <c r="C51" s="104"/>
      <c r="D51" s="104"/>
      <c r="E51" s="102" t="str">
        <f>IFERROR(__xludf.DUMMYFUNCTION("""COMPUTED_VALUE"""),"TE-PO-4-MU-1")</f>
        <v>TE-PO-4-MU-1</v>
      </c>
      <c r="F51" s="98">
        <v>6.0</v>
      </c>
      <c r="G51" s="110"/>
      <c r="H51" s="100"/>
      <c r="I51" s="98"/>
      <c r="J51" s="111"/>
      <c r="K51" s="110"/>
      <c r="L51" s="104"/>
      <c r="M51" s="98" t="s">
        <v>39</v>
      </c>
      <c r="N51" s="103" t="str">
        <f>IFERROR(__xludf.DUMMYFUNCTION("""COMPUTED_VALUE"""),"")</f>
        <v/>
      </c>
      <c r="O51" s="104"/>
      <c r="P51" s="102" t="s">
        <v>1481</v>
      </c>
      <c r="Q51" s="104"/>
      <c r="R51" s="104" t="s">
        <v>142</v>
      </c>
      <c r="S51" s="104">
        <v>12.99</v>
      </c>
      <c r="T51" s="104" t="s">
        <v>3622</v>
      </c>
      <c r="U51" s="104"/>
      <c r="V51" s="104" t="s">
        <v>3622</v>
      </c>
      <c r="W51" s="104"/>
    </row>
    <row r="52">
      <c r="A52" s="105">
        <v>45884.0</v>
      </c>
      <c r="B52" s="79" t="str">
        <f>IFERROR(__xludf.DUMMYFUNCTION("""COMPUTED_VALUE"""),"BWH-PH-MO-1A-4")</f>
        <v>BWH-PH-MO-1A-4</v>
      </c>
      <c r="C52" s="104"/>
      <c r="D52" s="104"/>
      <c r="E52" s="102" t="str">
        <f>IFERROR(__xludf.DUMMYFUNCTION("""COMPUTED_VALUE"""),"TE-PO-4-MU-1")</f>
        <v>TE-PO-4-MU-1</v>
      </c>
      <c r="F52" s="98">
        <v>6.0</v>
      </c>
      <c r="G52" s="110"/>
      <c r="H52" s="100"/>
      <c r="I52" s="98"/>
      <c r="J52" s="111"/>
      <c r="K52" s="110"/>
      <c r="L52" s="104"/>
      <c r="M52" s="98" t="s">
        <v>39</v>
      </c>
      <c r="N52" s="103" t="str">
        <f>IFERROR(__xludf.DUMMYFUNCTION("""COMPUTED_VALUE"""),"")</f>
        <v/>
      </c>
      <c r="O52" s="104"/>
      <c r="P52" s="102" t="s">
        <v>1692</v>
      </c>
      <c r="Q52" s="104"/>
      <c r="R52" s="104" t="s">
        <v>144</v>
      </c>
      <c r="S52" s="104">
        <v>12.99</v>
      </c>
      <c r="T52" s="104" t="s">
        <v>3623</v>
      </c>
      <c r="U52" s="104"/>
      <c r="V52" s="104" t="s">
        <v>3623</v>
      </c>
      <c r="W52" s="104"/>
    </row>
    <row r="53">
      <c r="A53" s="105">
        <v>45884.0</v>
      </c>
      <c r="B53" s="79" t="str">
        <f>IFERROR(__xludf.DUMMYFUNCTION("""COMPUTED_VALUE"""),"BWH-PH-MO-1A-5")</f>
        <v>BWH-PH-MO-1A-5</v>
      </c>
      <c r="C53" s="104"/>
      <c r="D53" s="104"/>
      <c r="E53" s="102" t="str">
        <f>IFERROR(__xludf.DUMMYFUNCTION("""COMPUTED_VALUE"""),"GA-PO-6-MU-1")</f>
        <v>GA-PO-6-MU-1</v>
      </c>
      <c r="F53" s="98">
        <v>6.0</v>
      </c>
      <c r="G53" s="110"/>
      <c r="H53" s="100"/>
      <c r="I53" s="98"/>
      <c r="J53" s="111"/>
      <c r="K53" s="110"/>
      <c r="L53" s="104"/>
      <c r="M53" s="98" t="s">
        <v>39</v>
      </c>
      <c r="N53" s="103" t="str">
        <f>IFERROR(__xludf.DUMMYFUNCTION("""COMPUTED_VALUE"""),"")</f>
        <v/>
      </c>
      <c r="O53" s="104"/>
      <c r="P53" s="102" t="s">
        <v>1692</v>
      </c>
      <c r="Q53" s="104"/>
      <c r="R53" s="104" t="s">
        <v>146</v>
      </c>
      <c r="S53" s="104">
        <v>12.99</v>
      </c>
      <c r="T53" s="104" t="s">
        <v>3624</v>
      </c>
      <c r="U53" s="104"/>
      <c r="V53" s="104" t="s">
        <v>3624</v>
      </c>
      <c r="W53" s="104"/>
    </row>
    <row r="54">
      <c r="A54" s="105">
        <v>45884.0</v>
      </c>
      <c r="B54" s="79" t="str">
        <f>IFERROR(__xludf.DUMMYFUNCTION("""COMPUTED_VALUE"""),"BWH-PH-RAPK-1A")</f>
        <v>BWH-PH-RAPK-1A</v>
      </c>
      <c r="C54" s="104"/>
      <c r="D54" s="104"/>
      <c r="E54" s="102" t="str">
        <f>IFERROR(__xludf.DUMMYFUNCTION("""COMPUTED_VALUE"""),"EL-PO-4.3-CM-1")</f>
        <v>EL-PO-4.3-CM-1</v>
      </c>
      <c r="F54" s="98">
        <v>10.2</v>
      </c>
      <c r="G54" s="110"/>
      <c r="H54" s="100"/>
      <c r="I54" s="98"/>
      <c r="J54" s="111"/>
      <c r="K54" s="112">
        <v>30.0</v>
      </c>
      <c r="L54" s="104"/>
      <c r="M54" s="98">
        <v>30.0</v>
      </c>
      <c r="N54" s="103" t="str">
        <f>IFERROR(__xludf.DUMMYFUNCTION("""COMPUTED_VALUE"""),"")</f>
        <v/>
      </c>
      <c r="O54" s="104"/>
      <c r="P54" s="102" t="s">
        <v>1626</v>
      </c>
      <c r="Q54" s="104"/>
      <c r="R54" s="104" t="s">
        <v>148</v>
      </c>
      <c r="S54" s="104">
        <v>24.99</v>
      </c>
      <c r="T54" s="104" t="s">
        <v>3625</v>
      </c>
      <c r="U54" s="104"/>
      <c r="V54" s="104" t="s">
        <v>3625</v>
      </c>
      <c r="W54" s="104"/>
    </row>
    <row r="55">
      <c r="A55" s="105">
        <v>45884.0</v>
      </c>
      <c r="B55" s="79" t="str">
        <f>IFERROR(__xludf.DUMMYFUNCTION("""COMPUTED_VALUE"""),"BWH-PH-RAPK-1A-2")</f>
        <v>BWH-PH-RAPK-1A-2</v>
      </c>
      <c r="C55" s="102" t="s">
        <v>147</v>
      </c>
      <c r="D55" s="104"/>
      <c r="E55" s="102" t="str">
        <f>IFERROR(__xludf.DUMMYFUNCTION("""COMPUTED_VALUE"""),"NR-PO-8-BP-1")</f>
        <v>NR-PO-8-BP-1</v>
      </c>
      <c r="F55" s="98">
        <v>10.2</v>
      </c>
      <c r="G55" s="110"/>
      <c r="H55" s="100"/>
      <c r="I55" s="98"/>
      <c r="J55" s="98"/>
      <c r="K55" s="110"/>
      <c r="L55" s="104"/>
      <c r="M55" s="98" t="s">
        <v>39</v>
      </c>
      <c r="N55" s="103" t="str">
        <f>IFERROR(__xludf.DUMMYFUNCTION("""COMPUTED_VALUE"""),"")</f>
        <v/>
      </c>
      <c r="O55" s="104"/>
      <c r="P55" s="102" t="s">
        <v>1481</v>
      </c>
      <c r="Q55" s="104"/>
      <c r="R55" s="104" t="s">
        <v>149</v>
      </c>
      <c r="S55" s="104">
        <v>24.99</v>
      </c>
      <c r="T55" s="104" t="s">
        <v>3626</v>
      </c>
      <c r="U55" s="104"/>
      <c r="V55" s="104" t="s">
        <v>3626</v>
      </c>
      <c r="W55" s="104"/>
    </row>
    <row r="56">
      <c r="A56" s="105">
        <v>45884.0</v>
      </c>
      <c r="B56" s="79" t="str">
        <f>IFERROR(__xludf.DUMMYFUNCTION("""COMPUTED_VALUE"""),"BWH-PH-RAPK-1A-3")</f>
        <v>BWH-PH-RAPK-1A-3</v>
      </c>
      <c r="C56" s="102" t="s">
        <v>147</v>
      </c>
      <c r="D56" s="104"/>
      <c r="E56" s="102" t="str">
        <f>IFERROR(__xludf.DUMMYFUNCTION("""COMPUTED_VALUE"""),"GA-PO-6-MU-1")</f>
        <v>GA-PO-6-MU-1</v>
      </c>
      <c r="F56" s="98">
        <v>10.2</v>
      </c>
      <c r="G56" s="110"/>
      <c r="H56" s="100"/>
      <c r="I56" s="98"/>
      <c r="J56" s="111"/>
      <c r="K56" s="110"/>
      <c r="L56" s="104"/>
      <c r="M56" s="98" t="s">
        <v>39</v>
      </c>
      <c r="N56" s="103" t="str">
        <f>IFERROR(__xludf.DUMMYFUNCTION("""COMPUTED_VALUE"""),"")</f>
        <v/>
      </c>
      <c r="O56" s="104"/>
      <c r="P56" s="102" t="s">
        <v>1692</v>
      </c>
      <c r="Q56" s="104"/>
      <c r="R56" s="104" t="s">
        <v>150</v>
      </c>
      <c r="S56" s="104">
        <v>24.99</v>
      </c>
      <c r="T56" s="104" t="s">
        <v>3627</v>
      </c>
      <c r="U56" s="104"/>
      <c r="V56" s="104" t="s">
        <v>3627</v>
      </c>
      <c r="W56" s="104"/>
    </row>
    <row r="57">
      <c r="A57" s="105">
        <v>45884.0</v>
      </c>
      <c r="B57" s="79" t="str">
        <f>IFERROR(__xludf.DUMMYFUNCTION("""COMPUTED_VALUE"""),"BWH-PH-RAPK-1A-4")</f>
        <v>BWH-PH-RAPK-1A-4</v>
      </c>
      <c r="C57" s="104"/>
      <c r="D57" s="104"/>
      <c r="E57" s="102" t="str">
        <f>IFERROR(__xludf.DUMMYFUNCTION("""COMPUTED_VALUE"""),"GA-PO-6-MU-1")</f>
        <v>GA-PO-6-MU-1</v>
      </c>
      <c r="F57" s="98">
        <v>10.2</v>
      </c>
      <c r="G57" s="110"/>
      <c r="H57" s="100"/>
      <c r="I57" s="98"/>
      <c r="J57" s="111"/>
      <c r="K57" s="110"/>
      <c r="L57" s="104"/>
      <c r="M57" s="98" t="s">
        <v>39</v>
      </c>
      <c r="N57" s="103" t="str">
        <f>IFERROR(__xludf.DUMMYFUNCTION("""COMPUTED_VALUE"""),"")</f>
        <v/>
      </c>
      <c r="O57" s="104"/>
      <c r="P57" s="104"/>
      <c r="Q57" s="104"/>
      <c r="R57" s="104" t="s">
        <v>151</v>
      </c>
      <c r="S57" s="104">
        <v>24.99</v>
      </c>
      <c r="T57" s="104" t="s">
        <v>3628</v>
      </c>
      <c r="U57" s="104"/>
      <c r="V57" s="104" t="s">
        <v>3628</v>
      </c>
      <c r="W57" s="104"/>
    </row>
    <row r="58">
      <c r="A58" s="105">
        <v>45884.0</v>
      </c>
      <c r="B58" s="79" t="str">
        <f>IFERROR(__xludf.DUMMYFUNCTION("""COMPUTED_VALUE"""),"BWH-PH-RAPK-1A-5")</f>
        <v>BWH-PH-RAPK-1A-5</v>
      </c>
      <c r="C58" s="104"/>
      <c r="D58" s="104"/>
      <c r="E58" s="102" t="str">
        <f>IFERROR(__xludf.DUMMYFUNCTION("""COMPUTED_VALUE"""),"GA-PO-6-MU-1")</f>
        <v>GA-PO-6-MU-1</v>
      </c>
      <c r="F58" s="98">
        <v>10.2</v>
      </c>
      <c r="G58" s="110"/>
      <c r="H58" s="100"/>
      <c r="I58" s="98"/>
      <c r="J58" s="111"/>
      <c r="K58" s="110"/>
      <c r="L58" s="104"/>
      <c r="M58" s="98" t="s">
        <v>39</v>
      </c>
      <c r="N58" s="103" t="str">
        <f>IFERROR(__xludf.DUMMYFUNCTION("""COMPUTED_VALUE"""),"")</f>
        <v/>
      </c>
      <c r="O58" s="104"/>
      <c r="P58" s="104"/>
      <c r="Q58" s="104"/>
      <c r="R58" s="104" t="s">
        <v>152</v>
      </c>
      <c r="S58" s="104">
        <v>24.99</v>
      </c>
      <c r="T58" s="104" t="s">
        <v>3629</v>
      </c>
      <c r="U58" s="104"/>
      <c r="V58" s="104" t="s">
        <v>3629</v>
      </c>
      <c r="W58" s="104"/>
    </row>
    <row r="59">
      <c r="A59" s="105">
        <v>45884.0</v>
      </c>
      <c r="B59" s="79" t="str">
        <f>IFERROR(__xludf.DUMMYFUNCTION("""COMPUTED_VALUE"""),"BWH-PO-PAJ-1A")</f>
        <v>BWH-PO-PAJ-1A</v>
      </c>
      <c r="C59" s="104"/>
      <c r="D59" s="104"/>
      <c r="E59" s="102" t="str">
        <f>IFERROR(__xludf.DUMMYFUNCTION("""COMPUTED_VALUE"""),"WO-PO-6-WH-1")</f>
        <v>WO-PO-6-WH-1</v>
      </c>
      <c r="F59" s="98">
        <v>7.8</v>
      </c>
      <c r="G59" s="110"/>
      <c r="H59" s="100"/>
      <c r="I59" s="98"/>
      <c r="J59" s="111"/>
      <c r="K59" s="112"/>
      <c r="L59" s="104"/>
      <c r="M59" s="98" t="s">
        <v>39</v>
      </c>
      <c r="N59" s="103" t="str">
        <f>IFERROR(__xludf.DUMMYFUNCTION("""COMPUTED_VALUE"""),"")</f>
        <v/>
      </c>
      <c r="O59" s="104"/>
      <c r="P59" s="104"/>
      <c r="Q59" s="104"/>
      <c r="R59" s="104" t="s">
        <v>154</v>
      </c>
      <c r="S59" s="104">
        <v>16.99</v>
      </c>
      <c r="T59" s="104" t="s">
        <v>3630</v>
      </c>
      <c r="U59" s="104"/>
      <c r="V59" s="104" t="s">
        <v>3630</v>
      </c>
      <c r="W59" s="104"/>
    </row>
    <row r="60">
      <c r="A60" s="105">
        <v>45884.0</v>
      </c>
      <c r="B60" s="79" t="str">
        <f>IFERROR(__xludf.DUMMYFUNCTION("""COMPUTED_VALUE"""),"BWH-PO-PAJ-1A-2")</f>
        <v>BWH-PO-PAJ-1A-2</v>
      </c>
      <c r="C60" s="104"/>
      <c r="D60" s="104"/>
      <c r="E60" s="102" t="str">
        <f>IFERROR(__xludf.DUMMYFUNCTION("""COMPUTED_VALUE"""),"")</f>
        <v/>
      </c>
      <c r="F60" s="98">
        <v>7.8</v>
      </c>
      <c r="G60" s="110"/>
      <c r="H60" s="100"/>
      <c r="I60" s="98"/>
      <c r="J60" s="111"/>
      <c r="K60" s="110"/>
      <c r="L60" s="104"/>
      <c r="M60" s="98" t="s">
        <v>39</v>
      </c>
      <c r="N60" s="103" t="str">
        <f>IFERROR(__xludf.DUMMYFUNCTION("""COMPUTED_VALUE"""),"")</f>
        <v/>
      </c>
      <c r="O60" s="104"/>
      <c r="P60" s="104"/>
      <c r="Q60" s="104"/>
      <c r="R60" s="104" t="s">
        <v>155</v>
      </c>
      <c r="S60" s="104">
        <v>16.99</v>
      </c>
      <c r="T60" s="104" t="s">
        <v>3631</v>
      </c>
      <c r="U60" s="104"/>
      <c r="V60" s="104" t="s">
        <v>3631</v>
      </c>
      <c r="W60" s="104"/>
    </row>
    <row r="61">
      <c r="A61" s="105">
        <v>45884.0</v>
      </c>
      <c r="B61" s="79" t="str">
        <f>IFERROR(__xludf.DUMMYFUNCTION("""COMPUTED_VALUE"""),"BWH-PO-PAJ-1A-3")</f>
        <v>BWH-PO-PAJ-1A-3</v>
      </c>
      <c r="C61" s="104"/>
      <c r="D61" s="104"/>
      <c r="E61" s="102" t="str">
        <f>IFERROR(__xludf.DUMMYFUNCTION("""COMPUTED_VALUE"""),"WO-PO-6-MU-1")</f>
        <v>WO-PO-6-MU-1</v>
      </c>
      <c r="F61" s="98">
        <v>7.8</v>
      </c>
      <c r="G61" s="110"/>
      <c r="H61" s="100"/>
      <c r="I61" s="98"/>
      <c r="J61" s="111"/>
      <c r="K61" s="112">
        <v>0.0</v>
      </c>
      <c r="L61" s="104"/>
      <c r="M61" s="98">
        <v>0.0</v>
      </c>
      <c r="N61" s="103" t="str">
        <f>IFERROR(__xludf.DUMMYFUNCTION("""COMPUTED_VALUE"""),"")</f>
        <v/>
      </c>
      <c r="O61" s="104"/>
      <c r="P61" s="102" t="s">
        <v>1626</v>
      </c>
      <c r="Q61" s="104"/>
      <c r="R61" s="104" t="s">
        <v>156</v>
      </c>
      <c r="S61" s="104">
        <v>16.99</v>
      </c>
      <c r="T61" s="104" t="s">
        <v>3632</v>
      </c>
      <c r="U61" s="104"/>
      <c r="V61" s="104" t="s">
        <v>3632</v>
      </c>
      <c r="W61" s="104"/>
    </row>
    <row r="62">
      <c r="A62" s="105">
        <v>45884.0</v>
      </c>
      <c r="B62" s="79" t="str">
        <f>IFERROR(__xludf.DUMMYFUNCTION("""COMPUTED_VALUE"""),"BWH-PO-PAJ-1A-4")</f>
        <v>BWH-PO-PAJ-1A-4</v>
      </c>
      <c r="C62" s="104"/>
      <c r="D62" s="104"/>
      <c r="E62" s="102" t="str">
        <f>IFERROR(__xludf.DUMMYFUNCTION("""COMPUTED_VALUE"""),"TE-PO-4-MU-1")</f>
        <v>TE-PO-4-MU-1</v>
      </c>
      <c r="F62" s="98">
        <v>1.95</v>
      </c>
      <c r="G62" s="110"/>
      <c r="H62" s="100"/>
      <c r="I62" s="98"/>
      <c r="J62" s="111"/>
      <c r="K62" s="112">
        <v>12.0</v>
      </c>
      <c r="L62" s="104"/>
      <c r="M62" s="98">
        <v>12.0</v>
      </c>
      <c r="N62" s="103" t="str">
        <f>IFERROR(__xludf.DUMMYFUNCTION("""COMPUTED_VALUE"""),"")</f>
        <v/>
      </c>
      <c r="O62" s="104"/>
      <c r="P62" s="102" t="s">
        <v>1626</v>
      </c>
      <c r="Q62" s="104"/>
      <c r="R62" s="104" t="s">
        <v>157</v>
      </c>
      <c r="S62" s="104">
        <v>16.99</v>
      </c>
      <c r="T62" s="104" t="s">
        <v>3633</v>
      </c>
      <c r="U62" s="104"/>
      <c r="V62" s="104" t="s">
        <v>3633</v>
      </c>
      <c r="W62" s="104"/>
    </row>
    <row r="63">
      <c r="A63" s="105">
        <v>45884.0</v>
      </c>
      <c r="B63" s="79" t="str">
        <f>IFERROR(__xludf.DUMMYFUNCTION("""COMPUTED_VALUE"""),"BWH-PO-PAJ-1A-5")</f>
        <v>BWH-PO-PAJ-1A-5</v>
      </c>
      <c r="C63" s="104"/>
      <c r="D63" s="104"/>
      <c r="E63" s="102" t="str">
        <f>IFERROR(__xludf.DUMMYFUNCTION("""COMPUTED_VALUE"""),"GA-PO-6-MU-1")</f>
        <v>GA-PO-6-MU-1</v>
      </c>
      <c r="F63" s="98">
        <v>7.8</v>
      </c>
      <c r="G63" s="110"/>
      <c r="H63" s="100"/>
      <c r="I63" s="98"/>
      <c r="J63" s="111"/>
      <c r="K63" s="112">
        <v>12.0</v>
      </c>
      <c r="L63" s="104"/>
      <c r="M63" s="98">
        <v>12.0</v>
      </c>
      <c r="N63" s="103" t="str">
        <f>IFERROR(__xludf.DUMMYFUNCTION("""COMPUTED_VALUE"""),"")</f>
        <v/>
      </c>
      <c r="O63" s="104"/>
      <c r="P63" s="102" t="s">
        <v>1626</v>
      </c>
      <c r="Q63" s="104"/>
      <c r="R63" s="104" t="s">
        <v>158</v>
      </c>
      <c r="S63" s="104">
        <v>16.99</v>
      </c>
      <c r="T63" s="104" t="s">
        <v>3634</v>
      </c>
      <c r="U63" s="104"/>
      <c r="V63" s="104" t="s">
        <v>3634</v>
      </c>
      <c r="W63" s="104"/>
    </row>
    <row r="64">
      <c r="A64" s="105">
        <v>45884.0</v>
      </c>
      <c r="B64" s="79" t="str">
        <f>IFERROR(__xludf.DUMMYFUNCTION("""COMPUTED_VALUE"""),"BWH-SYN-PS-1A")</f>
        <v>BWH-SYN-PS-1A</v>
      </c>
      <c r="C64" s="104"/>
      <c r="D64" s="104"/>
      <c r="E64" s="102" t="str">
        <f>IFERROR(__xludf.DUMMYFUNCTION("""COMPUTED_VALUE"""),"TE-PO-4-MU-1")</f>
        <v>TE-PO-4-MU-1</v>
      </c>
      <c r="F64" s="98">
        <v>9.0</v>
      </c>
      <c r="G64" s="110"/>
      <c r="H64" s="100"/>
      <c r="I64" s="98"/>
      <c r="J64" s="111"/>
      <c r="K64" s="110"/>
      <c r="L64" s="104"/>
      <c r="M64" s="98" t="s">
        <v>39</v>
      </c>
      <c r="N64" s="103" t="str">
        <f>IFERROR(__xludf.DUMMYFUNCTION("""COMPUTED_VALUE"""),"")</f>
        <v/>
      </c>
      <c r="O64" s="104"/>
      <c r="P64" s="102"/>
      <c r="Q64" s="104"/>
      <c r="R64" s="104" t="s">
        <v>161</v>
      </c>
      <c r="S64" s="104">
        <v>19.99</v>
      </c>
      <c r="T64" s="104" t="s">
        <v>3635</v>
      </c>
      <c r="U64" s="104"/>
      <c r="V64" s="104" t="s">
        <v>3635</v>
      </c>
      <c r="W64" s="104"/>
    </row>
    <row r="65">
      <c r="A65" s="105">
        <v>45884.0</v>
      </c>
      <c r="B65" s="113" t="str">
        <f>IFERROR(__xludf.DUMMYFUNCTION("""COMPUTED_VALUE"""),"BWH-SYN-PS-1A-2")</f>
        <v>BWH-SYN-PS-1A-2</v>
      </c>
      <c r="C65" s="104"/>
      <c r="D65" s="102"/>
      <c r="E65" s="104" t="str">
        <f>IFERROR(__xludf.DUMMYFUNCTION("""COMPUTED_VALUE"""),"TE-PO-4-MU-1")</f>
        <v>TE-PO-4-MU-1</v>
      </c>
      <c r="F65" s="98">
        <v>9.0</v>
      </c>
      <c r="G65" s="110"/>
      <c r="H65" s="100"/>
      <c r="I65" s="98"/>
      <c r="J65" s="111"/>
      <c r="K65" s="112"/>
      <c r="L65" s="104"/>
      <c r="M65" s="98" t="s">
        <v>39</v>
      </c>
      <c r="N65" s="103" t="str">
        <f>IFERROR(__xludf.DUMMYFUNCTION("""COMPUTED_VALUE"""),"")</f>
        <v/>
      </c>
      <c r="O65" s="104"/>
      <c r="P65" s="102"/>
      <c r="Q65" s="104"/>
      <c r="R65" s="104" t="s">
        <v>162</v>
      </c>
      <c r="S65" s="104">
        <v>19.99</v>
      </c>
      <c r="T65" s="104" t="s">
        <v>3636</v>
      </c>
      <c r="U65" s="104"/>
      <c r="V65" s="104" t="s">
        <v>3636</v>
      </c>
      <c r="W65" s="104"/>
    </row>
    <row r="66">
      <c r="A66" s="105">
        <v>45884.0</v>
      </c>
      <c r="B66" s="79" t="str">
        <f>IFERROR(__xludf.DUMMYFUNCTION("""COMPUTED_VALUE"""),"BWH-SYN-PS-1A-3")</f>
        <v>BWH-SYN-PS-1A-3</v>
      </c>
      <c r="C66" s="104"/>
      <c r="D66" s="104"/>
      <c r="E66" s="104" t="str">
        <f>IFERROR(__xludf.DUMMYFUNCTION("""COMPUTED_VALUE"""),"TE-PO-4-MU-1")</f>
        <v>TE-PO-4-MU-1</v>
      </c>
      <c r="F66" s="98">
        <v>9.0</v>
      </c>
      <c r="G66" s="110"/>
      <c r="H66" s="100"/>
      <c r="I66" s="98"/>
      <c r="J66" s="111"/>
      <c r="K66" s="112">
        <v>10.0</v>
      </c>
      <c r="L66" s="104"/>
      <c r="M66" s="98">
        <v>10.0</v>
      </c>
      <c r="N66" s="103" t="str">
        <f>IFERROR(__xludf.DUMMYFUNCTION("""COMPUTED_VALUE"""),"")</f>
        <v/>
      </c>
      <c r="O66" s="104"/>
      <c r="P66" s="102" t="s">
        <v>1626</v>
      </c>
      <c r="Q66" s="104"/>
      <c r="R66" s="104" t="s">
        <v>163</v>
      </c>
      <c r="S66" s="104">
        <v>19.99</v>
      </c>
      <c r="T66" s="104" t="s">
        <v>3637</v>
      </c>
      <c r="U66" s="104"/>
      <c r="V66" s="104" t="s">
        <v>3637</v>
      </c>
      <c r="W66" s="104"/>
    </row>
    <row r="67">
      <c r="A67" s="105">
        <v>45884.0</v>
      </c>
      <c r="B67" s="113" t="str">
        <f>IFERROR(__xludf.DUMMYFUNCTION("""COMPUTED_VALUE"""),"BWH-SYN-PS-1A-4")</f>
        <v>BWH-SYN-PS-1A-4</v>
      </c>
      <c r="C67" s="104"/>
      <c r="D67" s="104"/>
      <c r="E67" s="104" t="str">
        <f>IFERROR(__xludf.DUMMYFUNCTION("""COMPUTED_VALUE"""),"TE-PO-4-MU-1")</f>
        <v>TE-PO-4-MU-1</v>
      </c>
      <c r="F67" s="98">
        <v>9.0</v>
      </c>
      <c r="G67" s="110"/>
      <c r="H67" s="100"/>
      <c r="I67" s="98"/>
      <c r="J67" s="98"/>
      <c r="K67" s="110"/>
      <c r="L67" s="104"/>
      <c r="M67" s="98" t="s">
        <v>39</v>
      </c>
      <c r="N67" s="103" t="str">
        <f>IFERROR(__xludf.DUMMYFUNCTION("""COMPUTED_VALUE"""),"")</f>
        <v/>
      </c>
      <c r="O67" s="104"/>
      <c r="P67" s="104"/>
      <c r="Q67" s="104"/>
      <c r="R67" s="104" t="s">
        <v>164</v>
      </c>
      <c r="S67" s="104">
        <v>19.99</v>
      </c>
      <c r="T67" s="104" t="s">
        <v>3638</v>
      </c>
      <c r="U67" s="104"/>
      <c r="V67" s="104" t="s">
        <v>3638</v>
      </c>
      <c r="W67" s="104"/>
    </row>
    <row r="68">
      <c r="A68" s="105">
        <v>45884.0</v>
      </c>
      <c r="B68" s="79" t="str">
        <f>IFERROR(__xludf.DUMMYFUNCTION("""COMPUTED_VALUE"""),"BWH-SYN-PS-1A-5")</f>
        <v>BWH-SYN-PS-1A-5</v>
      </c>
      <c r="C68" s="104"/>
      <c r="D68" s="104"/>
      <c r="E68" s="104" t="str">
        <f>IFERROR(__xludf.DUMMYFUNCTION("""COMPUTED_VALUE"""),"TE-PO-4-MU-1")</f>
        <v>TE-PO-4-MU-1</v>
      </c>
      <c r="F68" s="98">
        <v>9.0</v>
      </c>
      <c r="G68" s="110"/>
      <c r="H68" s="100"/>
      <c r="I68" s="98"/>
      <c r="J68" s="111"/>
      <c r="K68" s="112">
        <v>10.0</v>
      </c>
      <c r="L68" s="104"/>
      <c r="M68" s="98">
        <v>10.0</v>
      </c>
      <c r="N68" s="103" t="str">
        <f>IFERROR(__xludf.DUMMYFUNCTION("""COMPUTED_VALUE"""),"")</f>
        <v/>
      </c>
      <c r="O68" s="104"/>
      <c r="P68" s="102" t="s">
        <v>1626</v>
      </c>
      <c r="Q68" s="104"/>
      <c r="R68" s="104" t="s">
        <v>165</v>
      </c>
      <c r="S68" s="104">
        <v>19.99</v>
      </c>
      <c r="T68" s="104" t="s">
        <v>3639</v>
      </c>
      <c r="U68" s="104"/>
      <c r="V68" s="104" t="s">
        <v>3639</v>
      </c>
      <c r="W68" s="104"/>
    </row>
    <row r="69">
      <c r="A69" s="105">
        <v>45885.0</v>
      </c>
      <c r="B69" s="79" t="str">
        <f>IFERROR(__xludf.DUMMYFUNCTION("""COMPUTED_VALUE"""),"FPH-PH-GCN-1A")</f>
        <v>FPH-PH-GCN-1A</v>
      </c>
      <c r="C69" s="104"/>
      <c r="D69" s="104"/>
      <c r="E69" s="104" t="str">
        <f>IFERROR(__xludf.DUMMYFUNCTION("""COMPUTED_VALUE"""),"GA-PO-6-MU-1")</f>
        <v>GA-PO-6-MU-1</v>
      </c>
      <c r="F69" s="98">
        <v>40.0</v>
      </c>
      <c r="G69" s="110"/>
      <c r="H69" s="100"/>
      <c r="I69" s="98"/>
      <c r="J69" s="111"/>
      <c r="K69" s="110"/>
      <c r="L69" s="104"/>
      <c r="M69" s="98" t="s">
        <v>39</v>
      </c>
      <c r="N69" s="103" t="str">
        <f>IFERROR(__xludf.DUMMYFUNCTION("""COMPUTED_VALUE"""),"")</f>
        <v/>
      </c>
      <c r="O69" s="104"/>
      <c r="P69" s="104"/>
      <c r="Q69" s="104"/>
      <c r="R69" s="104" t="s">
        <v>167</v>
      </c>
      <c r="S69" s="104"/>
      <c r="T69" s="104" t="s">
        <v>3640</v>
      </c>
      <c r="U69" s="104"/>
      <c r="V69" s="104" t="s">
        <v>3640</v>
      </c>
      <c r="W69" s="104"/>
    </row>
    <row r="70">
      <c r="A70" s="105">
        <v>45885.0</v>
      </c>
      <c r="B70" s="79" t="str">
        <f>IFERROR(__xludf.DUMMYFUNCTION("""COMPUTED_VALUE"""),"BTPG-HO-KP-1A")</f>
        <v>BTPG-HO-KP-1A</v>
      </c>
      <c r="C70" s="104"/>
      <c r="D70" s="104"/>
      <c r="E70" s="104" t="str">
        <f>IFERROR(__xludf.DUMMYFUNCTION("""COMPUTED_VALUE"""),"TE-PO-4-MU-1")</f>
        <v>TE-PO-4-MU-1</v>
      </c>
      <c r="F70" s="98">
        <v>6.083333333333333</v>
      </c>
      <c r="G70" s="110"/>
      <c r="H70" s="100"/>
      <c r="I70" s="98"/>
      <c r="J70" s="98"/>
      <c r="K70" s="110"/>
      <c r="L70" s="104"/>
      <c r="M70" s="98" t="s">
        <v>39</v>
      </c>
      <c r="N70" s="103" t="str">
        <f>IFERROR(__xludf.DUMMYFUNCTION("""COMPUTED_VALUE"""),"")</f>
        <v/>
      </c>
      <c r="O70" s="104"/>
      <c r="P70" s="102" t="s">
        <v>1481</v>
      </c>
      <c r="Q70" s="104"/>
      <c r="R70" s="104" t="s">
        <v>170</v>
      </c>
      <c r="S70" s="104"/>
      <c r="T70" s="104" t="s">
        <v>3641</v>
      </c>
      <c r="U70" s="104"/>
      <c r="V70" s="104" t="s">
        <v>3641</v>
      </c>
      <c r="W70" s="104"/>
    </row>
    <row r="71">
      <c r="A71" s="105">
        <v>45902.0</v>
      </c>
      <c r="B71" s="79" t="str">
        <f>IFERROR(__xludf.DUMMYFUNCTION("""COMPUTED_VALUE"""),"BPF-CE-SOH-1A")</f>
        <v>BPF-CE-SOH-1A</v>
      </c>
      <c r="C71" s="102" t="s">
        <v>169</v>
      </c>
      <c r="D71" s="104"/>
      <c r="E71" s="104" t="str">
        <f>IFERROR(__xludf.DUMMYFUNCTION("""COMPUTED_VALUE"""),"")</f>
        <v/>
      </c>
      <c r="F71" s="98">
        <v>5.84</v>
      </c>
      <c r="G71" s="110"/>
      <c r="H71" s="100"/>
      <c r="I71" s="98"/>
      <c r="J71" s="111"/>
      <c r="K71" s="112">
        <v>10.0</v>
      </c>
      <c r="L71" s="104"/>
      <c r="M71" s="98">
        <v>10.0</v>
      </c>
      <c r="N71" s="103" t="str">
        <f>IFERROR(__xludf.DUMMYFUNCTION("""COMPUTED_VALUE"""),"")</f>
        <v/>
      </c>
      <c r="O71" s="104"/>
      <c r="P71" s="102" t="s">
        <v>1626</v>
      </c>
      <c r="Q71" s="104"/>
      <c r="R71" s="104" t="s">
        <v>175</v>
      </c>
      <c r="S71" s="104">
        <v>8.99</v>
      </c>
      <c r="T71" s="104" t="s">
        <v>3642</v>
      </c>
      <c r="U71" s="104"/>
      <c r="V71" s="104" t="s">
        <v>3642</v>
      </c>
      <c r="W71" s="104"/>
    </row>
    <row r="72">
      <c r="A72" s="105">
        <v>45902.0</v>
      </c>
      <c r="B72" s="79" t="str">
        <f>IFERROR(__xludf.DUMMYFUNCTION("""COMPUTED_VALUE"""),"BPF-CE-SOH-1A-2")</f>
        <v>BPF-CE-SOH-1A-2</v>
      </c>
      <c r="C72" s="102" t="s">
        <v>174</v>
      </c>
      <c r="D72" s="104"/>
      <c r="E72" s="104" t="str">
        <f>IFERROR(__xludf.DUMMYFUNCTION("""COMPUTED_VALUE"""),"")</f>
        <v/>
      </c>
      <c r="F72" s="98">
        <v>5.84</v>
      </c>
      <c r="G72" s="110"/>
      <c r="H72" s="100"/>
      <c r="I72" s="98"/>
      <c r="J72" s="98"/>
      <c r="K72" s="112">
        <v>10.0</v>
      </c>
      <c r="L72" s="104"/>
      <c r="M72" s="98">
        <v>10.0</v>
      </c>
      <c r="N72" s="103" t="str">
        <f>IFERROR(__xludf.DUMMYFUNCTION("""COMPUTED_VALUE"""),"")</f>
        <v/>
      </c>
      <c r="O72" s="104"/>
      <c r="P72" s="102" t="s">
        <v>1626</v>
      </c>
      <c r="Q72" s="104"/>
      <c r="R72" s="104" t="s">
        <v>176</v>
      </c>
      <c r="S72" s="104">
        <v>8.99</v>
      </c>
      <c r="T72" s="104" t="s">
        <v>3643</v>
      </c>
      <c r="U72" s="104"/>
      <c r="V72" s="104" t="s">
        <v>3643</v>
      </c>
      <c r="W72" s="104"/>
    </row>
    <row r="73">
      <c r="A73" s="105">
        <v>45902.0</v>
      </c>
      <c r="B73" s="79" t="str">
        <f>IFERROR(__xludf.DUMMYFUNCTION("""COMPUTED_VALUE"""),"BPF-CE-SOH-1A-3")</f>
        <v>BPF-CE-SOH-1A-3</v>
      </c>
      <c r="C73" s="102" t="s">
        <v>174</v>
      </c>
      <c r="D73" s="104"/>
      <c r="E73" s="104" t="str">
        <f>IFERROR(__xludf.DUMMYFUNCTION("""COMPUTED_VALUE"""),"")</f>
        <v/>
      </c>
      <c r="F73" s="98">
        <v>5.84</v>
      </c>
      <c r="G73" s="110"/>
      <c r="H73" s="100"/>
      <c r="I73" s="98"/>
      <c r="J73" s="98"/>
      <c r="K73" s="110"/>
      <c r="L73" s="104"/>
      <c r="M73" s="98" t="s">
        <v>39</v>
      </c>
      <c r="N73" s="103" t="str">
        <f>IFERROR(__xludf.DUMMYFUNCTION("""COMPUTED_VALUE"""),"")</f>
        <v/>
      </c>
      <c r="O73" s="104"/>
      <c r="P73" s="104"/>
      <c r="Q73" s="104"/>
      <c r="R73" s="104" t="s">
        <v>177</v>
      </c>
      <c r="S73" s="104">
        <v>8.99</v>
      </c>
      <c r="T73" s="104" t="s">
        <v>3644</v>
      </c>
      <c r="U73" s="104"/>
      <c r="V73" s="104" t="s">
        <v>3644</v>
      </c>
      <c r="W73" s="104"/>
    </row>
    <row r="74">
      <c r="A74" s="105">
        <v>45902.0</v>
      </c>
      <c r="B74" s="79" t="str">
        <f>IFERROR(__xludf.DUMMYFUNCTION("""COMPUTED_VALUE"""),"BPF-CE-SOH-1A-4")</f>
        <v>BPF-CE-SOH-1A-4</v>
      </c>
      <c r="C74" s="102" t="s">
        <v>174</v>
      </c>
      <c r="D74" s="104"/>
      <c r="E74" s="104" t="str">
        <f>IFERROR(__xludf.DUMMYFUNCTION("""COMPUTED_VALUE"""),"")</f>
        <v/>
      </c>
      <c r="F74" s="98">
        <v>5.84</v>
      </c>
      <c r="G74" s="110"/>
      <c r="H74" s="100"/>
      <c r="I74" s="98"/>
      <c r="J74" s="98"/>
      <c r="K74" s="110"/>
      <c r="L74" s="104"/>
      <c r="M74" s="98" t="s">
        <v>39</v>
      </c>
      <c r="N74" s="103" t="str">
        <f>IFERROR(__xludf.DUMMYFUNCTION("""COMPUTED_VALUE"""),"")</f>
        <v/>
      </c>
      <c r="O74" s="104"/>
      <c r="P74" s="104"/>
      <c r="Q74" s="104"/>
      <c r="R74" s="104" t="s">
        <v>178</v>
      </c>
      <c r="S74" s="104">
        <v>8.99</v>
      </c>
      <c r="T74" s="104" t="s">
        <v>3645</v>
      </c>
      <c r="U74" s="104"/>
      <c r="V74" s="104" t="s">
        <v>3645</v>
      </c>
      <c r="W74" s="104"/>
    </row>
    <row r="75">
      <c r="A75" s="105">
        <v>45902.0</v>
      </c>
      <c r="B75" s="79" t="str">
        <f>IFERROR(__xludf.DUMMYFUNCTION("""COMPUTED_VALUE"""),"BPF-CE-SOH-1A-5")</f>
        <v>BPF-CE-SOH-1A-5</v>
      </c>
      <c r="C75" s="102" t="s">
        <v>174</v>
      </c>
      <c r="D75" s="104"/>
      <c r="E75" s="104" t="str">
        <f>IFERROR(__xludf.DUMMYFUNCTION("""COMPUTED_VALUE"""),"")</f>
        <v/>
      </c>
      <c r="F75" s="98">
        <v>5.84</v>
      </c>
      <c r="G75" s="110"/>
      <c r="H75" s="100"/>
      <c r="I75" s="98"/>
      <c r="J75" s="98"/>
      <c r="K75" s="112">
        <v>10.0</v>
      </c>
      <c r="L75" s="104"/>
      <c r="M75" s="98">
        <v>10.0</v>
      </c>
      <c r="N75" s="103" t="str">
        <f>IFERROR(__xludf.DUMMYFUNCTION("""COMPUTED_VALUE"""),"")</f>
        <v/>
      </c>
      <c r="O75" s="104"/>
      <c r="P75" s="102" t="s">
        <v>1626</v>
      </c>
      <c r="Q75" s="104"/>
      <c r="R75" s="104" t="s">
        <v>179</v>
      </c>
      <c r="S75" s="104">
        <v>8.99</v>
      </c>
      <c r="T75" s="104" t="s">
        <v>3646</v>
      </c>
      <c r="U75" s="104"/>
      <c r="V75" s="104" t="s">
        <v>3646</v>
      </c>
      <c r="W75" s="104"/>
    </row>
    <row r="76">
      <c r="A76" s="105">
        <v>45902.0</v>
      </c>
      <c r="B76" s="79" t="str">
        <f>IFERROR(__xludf.DUMMYFUNCTION("""COMPUTED_VALUE"""),"BPF-SE-SOP-1A")</f>
        <v>BPF-SE-SOP-1A</v>
      </c>
      <c r="C76" s="102" t="s">
        <v>174</v>
      </c>
      <c r="D76" s="104"/>
      <c r="E76" s="104" t="str">
        <f>IFERROR(__xludf.DUMMYFUNCTION("""COMPUTED_VALUE"""),"")</f>
        <v/>
      </c>
      <c r="F76" s="98">
        <v>4.71</v>
      </c>
      <c r="G76" s="110"/>
      <c r="H76" s="100"/>
      <c r="I76" s="98"/>
      <c r="J76" s="98"/>
      <c r="K76" s="112">
        <v>10.0</v>
      </c>
      <c r="L76" s="104"/>
      <c r="M76" s="98">
        <v>10.0</v>
      </c>
      <c r="N76" s="103" t="str">
        <f>IFERROR(__xludf.DUMMYFUNCTION("""COMPUTED_VALUE"""),"")</f>
        <v/>
      </c>
      <c r="O76" s="104"/>
      <c r="P76" s="102" t="s">
        <v>1626</v>
      </c>
      <c r="Q76" s="104"/>
      <c r="R76" s="104" t="s">
        <v>181</v>
      </c>
      <c r="S76" s="104">
        <v>7.25</v>
      </c>
      <c r="T76" s="104" t="s">
        <v>3647</v>
      </c>
      <c r="U76" s="104"/>
      <c r="V76" s="104" t="s">
        <v>3647</v>
      </c>
      <c r="W76" s="104"/>
    </row>
    <row r="77">
      <c r="A77" s="105">
        <v>45902.0</v>
      </c>
      <c r="B77" s="79" t="str">
        <f>IFERROR(__xludf.DUMMYFUNCTION("""COMPUTED_VALUE"""),"BPF-SE-SOP-1A-2")</f>
        <v>BPF-SE-SOP-1A-2</v>
      </c>
      <c r="C77" s="102" t="s">
        <v>180</v>
      </c>
      <c r="D77" s="104"/>
      <c r="E77" s="104" t="str">
        <f>IFERROR(__xludf.DUMMYFUNCTION("""COMPUTED_VALUE"""),"")</f>
        <v/>
      </c>
      <c r="F77" s="98">
        <v>4.71</v>
      </c>
      <c r="G77" s="110"/>
      <c r="H77" s="100"/>
      <c r="I77" s="98"/>
      <c r="J77" s="98"/>
      <c r="K77" s="110"/>
      <c r="L77" s="104"/>
      <c r="M77" s="98" t="s">
        <v>39</v>
      </c>
      <c r="N77" s="103" t="str">
        <f>IFERROR(__xludf.DUMMYFUNCTION("""COMPUTED_VALUE"""),"")</f>
        <v/>
      </c>
      <c r="O77" s="104"/>
      <c r="P77" s="102" t="s">
        <v>3583</v>
      </c>
      <c r="Q77" s="102"/>
      <c r="R77" s="104" t="s">
        <v>182</v>
      </c>
      <c r="S77" s="104">
        <v>7.25</v>
      </c>
      <c r="T77" s="104" t="s">
        <v>3648</v>
      </c>
      <c r="U77" s="104"/>
      <c r="V77" s="104" t="s">
        <v>3648</v>
      </c>
      <c r="W77" s="104"/>
    </row>
    <row r="78">
      <c r="A78" s="105">
        <v>45902.0</v>
      </c>
      <c r="B78" s="79" t="str">
        <f>IFERROR(__xludf.DUMMYFUNCTION("""COMPUTED_VALUE"""),"BPF-SE-SOP-1A-3")</f>
        <v>BPF-SE-SOP-1A-3</v>
      </c>
      <c r="C78" s="102" t="s">
        <v>180</v>
      </c>
      <c r="D78" s="104"/>
      <c r="E78" s="104" t="str">
        <f>IFERROR(__xludf.DUMMYFUNCTION("""COMPUTED_VALUE"""),"")</f>
        <v/>
      </c>
      <c r="F78" s="98">
        <v>4.71</v>
      </c>
      <c r="G78" s="110"/>
      <c r="H78" s="100"/>
      <c r="I78" s="98"/>
      <c r="J78" s="98"/>
      <c r="K78" s="110"/>
      <c r="L78" s="104"/>
      <c r="M78" s="98" t="s">
        <v>39</v>
      </c>
      <c r="N78" s="103" t="str">
        <f>IFERROR(__xludf.DUMMYFUNCTION("""COMPUTED_VALUE"""),"")</f>
        <v/>
      </c>
      <c r="O78" s="104"/>
      <c r="P78" s="104"/>
      <c r="Q78" s="104"/>
      <c r="R78" s="104" t="s">
        <v>183</v>
      </c>
      <c r="S78" s="104">
        <v>7.25</v>
      </c>
      <c r="T78" s="104" t="s">
        <v>3649</v>
      </c>
      <c r="U78" s="104"/>
      <c r="V78" s="104" t="s">
        <v>3649</v>
      </c>
      <c r="W78" s="104"/>
    </row>
    <row r="79">
      <c r="A79" s="105">
        <v>45902.0</v>
      </c>
      <c r="B79" s="79" t="str">
        <f>IFERROR(__xludf.DUMMYFUNCTION("""COMPUTED_VALUE"""),"BPF-SE-SOP-1A-4")</f>
        <v>BPF-SE-SOP-1A-4</v>
      </c>
      <c r="C79" s="102" t="s">
        <v>180</v>
      </c>
      <c r="D79" s="104"/>
      <c r="E79" s="104" t="str">
        <f>IFERROR(__xludf.DUMMYFUNCTION("""COMPUTED_VALUE"""),"")</f>
        <v/>
      </c>
      <c r="F79" s="98">
        <v>4.71</v>
      </c>
      <c r="G79" s="110"/>
      <c r="H79" s="100"/>
      <c r="I79" s="98"/>
      <c r="J79" s="98"/>
      <c r="K79" s="110"/>
      <c r="L79" s="104"/>
      <c r="M79" s="98" t="s">
        <v>39</v>
      </c>
      <c r="N79" s="103" t="str">
        <f>IFERROR(__xludf.DUMMYFUNCTION("""COMPUTED_VALUE"""),"")</f>
        <v/>
      </c>
      <c r="O79" s="104"/>
      <c r="P79" s="104"/>
      <c r="Q79" s="104"/>
      <c r="R79" s="104" t="s">
        <v>184</v>
      </c>
      <c r="S79" s="104">
        <v>7.25</v>
      </c>
      <c r="T79" s="104" t="s">
        <v>3650</v>
      </c>
      <c r="U79" s="104"/>
      <c r="V79" s="104" t="s">
        <v>3650</v>
      </c>
      <c r="W79" s="104"/>
    </row>
    <row r="80">
      <c r="A80" s="105">
        <v>45902.0</v>
      </c>
      <c r="B80" s="79" t="str">
        <f>IFERROR(__xludf.DUMMYFUNCTION("""COMPUTED_VALUE"""),"BPF-SE-SOP-1A-5")</f>
        <v>BPF-SE-SOP-1A-5</v>
      </c>
      <c r="C80" s="102" t="s">
        <v>180</v>
      </c>
      <c r="D80" s="104"/>
      <c r="E80" s="104" t="str">
        <f>IFERROR(__xludf.DUMMYFUNCTION("""COMPUTED_VALUE"""),"")</f>
        <v/>
      </c>
      <c r="F80" s="98">
        <v>4.71</v>
      </c>
      <c r="G80" s="110"/>
      <c r="H80" s="100"/>
      <c r="I80" s="98"/>
      <c r="J80" s="98"/>
      <c r="K80" s="112"/>
      <c r="L80" s="104"/>
      <c r="M80" s="98" t="s">
        <v>39</v>
      </c>
      <c r="N80" s="103" t="str">
        <f>IFERROR(__xludf.DUMMYFUNCTION("""COMPUTED_VALUE"""),"")</f>
        <v/>
      </c>
      <c r="O80" s="104"/>
      <c r="P80" s="104"/>
      <c r="Q80" s="104"/>
      <c r="R80" s="104" t="s">
        <v>185</v>
      </c>
      <c r="S80" s="104">
        <v>7.25</v>
      </c>
      <c r="T80" s="104" t="s">
        <v>3651</v>
      </c>
      <c r="U80" s="104"/>
      <c r="V80" s="104" t="s">
        <v>3651</v>
      </c>
      <c r="W80" s="104"/>
    </row>
    <row r="81">
      <c r="A81" s="105">
        <v>45902.0</v>
      </c>
      <c r="B81" s="79" t="str">
        <f>IFERROR(__xludf.DUMMYFUNCTION("""COMPUTED_VALUE"""),"BPF-PO-NE-1A")</f>
        <v>BPF-PO-NE-1A</v>
      </c>
      <c r="C81" s="104"/>
      <c r="D81" s="104"/>
      <c r="E81" s="104" t="str">
        <f>IFERROR(__xludf.DUMMYFUNCTION("""COMPUTED_VALUE"""),"WO-PO-6-WH-1")</f>
        <v>WO-PO-6-WH-1</v>
      </c>
      <c r="F81" s="98">
        <v>13.0</v>
      </c>
      <c r="G81" s="110"/>
      <c r="H81" s="100"/>
      <c r="I81" s="98"/>
      <c r="J81" s="98"/>
      <c r="K81" s="112">
        <v>6.0</v>
      </c>
      <c r="L81" s="104"/>
      <c r="M81" s="98">
        <v>6.0</v>
      </c>
      <c r="N81" s="103" t="str">
        <f>IFERROR(__xludf.DUMMYFUNCTION("""COMPUTED_VALUE"""),"")</f>
        <v/>
      </c>
      <c r="O81" s="104"/>
      <c r="P81" s="102" t="s">
        <v>1626</v>
      </c>
      <c r="Q81" s="104"/>
      <c r="R81" s="104" t="s">
        <v>187</v>
      </c>
      <c r="S81" s="104">
        <v>20.0</v>
      </c>
      <c r="T81" s="104" t="s">
        <v>3652</v>
      </c>
      <c r="U81" s="104"/>
      <c r="V81" s="104" t="s">
        <v>3652</v>
      </c>
      <c r="W81" s="104"/>
    </row>
    <row r="82">
      <c r="A82" s="105">
        <v>45902.0</v>
      </c>
      <c r="B82" s="79" t="str">
        <f>IFERROR(__xludf.DUMMYFUNCTION("""COMPUTED_VALUE"""),"BPF-PO-NE-1A-2")</f>
        <v>BPF-PO-NE-1A-2</v>
      </c>
      <c r="C82" s="102" t="s">
        <v>3653</v>
      </c>
      <c r="D82" s="104"/>
      <c r="E82" s="104" t="str">
        <f>IFERROR(__xludf.DUMMYFUNCTION("""COMPUTED_VALUE"""),"MU-PO-4-WH-1")</f>
        <v>MU-PO-4-WH-1</v>
      </c>
      <c r="F82" s="98">
        <v>4.333333333333333</v>
      </c>
      <c r="G82" s="110"/>
      <c r="H82" s="100"/>
      <c r="I82" s="98"/>
      <c r="J82" s="111"/>
      <c r="K82" s="112">
        <v>0.0</v>
      </c>
      <c r="L82" s="104"/>
      <c r="M82" s="98">
        <v>0.0</v>
      </c>
      <c r="N82" s="103" t="str">
        <f>IFERROR(__xludf.DUMMYFUNCTION("""COMPUTED_VALUE"""),"")</f>
        <v/>
      </c>
      <c r="O82" s="104"/>
      <c r="P82" s="102" t="s">
        <v>1626</v>
      </c>
      <c r="Q82" s="104"/>
      <c r="R82" s="104" t="s">
        <v>188</v>
      </c>
      <c r="S82" s="104">
        <v>20.0</v>
      </c>
      <c r="T82" s="104" t="s">
        <v>3654</v>
      </c>
      <c r="U82" s="104"/>
      <c r="V82" s="104" t="s">
        <v>3654</v>
      </c>
      <c r="W82" s="104"/>
    </row>
    <row r="83">
      <c r="A83" s="105">
        <v>45900.0</v>
      </c>
      <c r="B83" s="79" t="str">
        <f>IFERROR(__xludf.DUMMYFUNCTION("""COMPUTED_VALUE"""),"FM-PH-PP-1A")</f>
        <v>FM-PH-PP-1A</v>
      </c>
      <c r="C83" s="102" t="s">
        <v>3653</v>
      </c>
      <c r="D83" s="104"/>
      <c r="E83" s="104" t="str">
        <f>IFERROR(__xludf.DUMMYFUNCTION("""COMPUTED_VALUE"""),"")</f>
        <v/>
      </c>
      <c r="F83" s="98">
        <v>0.0</v>
      </c>
      <c r="G83" s="110"/>
      <c r="H83" s="100"/>
      <c r="I83" s="98"/>
      <c r="J83" s="98"/>
      <c r="K83" s="110"/>
      <c r="L83" s="104"/>
      <c r="M83" s="98" t="s">
        <v>39</v>
      </c>
      <c r="N83" s="103" t="str">
        <f>IFERROR(__xludf.DUMMYFUNCTION("""COMPUTED_VALUE"""),"")</f>
        <v/>
      </c>
      <c r="O83" s="104"/>
      <c r="P83" s="104"/>
      <c r="Q83" s="104"/>
      <c r="R83" s="104" t="s">
        <v>189</v>
      </c>
      <c r="S83" s="104">
        <v>0.0</v>
      </c>
      <c r="T83" s="104" t="s">
        <v>3655</v>
      </c>
      <c r="U83" s="104"/>
      <c r="V83" s="104" t="s">
        <v>3655</v>
      </c>
      <c r="W83" s="104"/>
    </row>
    <row r="84">
      <c r="A84" s="105">
        <v>45903.0</v>
      </c>
      <c r="B84" s="79" t="str">
        <f>IFERROR(__xludf.DUMMYFUNCTION("""COMPUTED_VALUE"""),"FM-PH-BMV-1A")</f>
        <v>FM-PH-BMV-1A</v>
      </c>
      <c r="C84" s="104"/>
      <c r="D84" s="104"/>
      <c r="E84" s="104" t="str">
        <f>IFERROR(__xludf.DUMMYFUNCTION("""COMPUTED_VALUE"""),"EC-PO-5-SW-1")</f>
        <v>EC-PO-5-SW-1</v>
      </c>
      <c r="F84" s="98">
        <v>7.5</v>
      </c>
      <c r="G84" s="110"/>
      <c r="H84" s="100"/>
      <c r="I84" s="98"/>
      <c r="J84" s="98"/>
      <c r="K84" s="112"/>
      <c r="L84" s="104"/>
      <c r="M84" s="98" t="s">
        <v>39</v>
      </c>
      <c r="N84" s="103" t="str">
        <f>IFERROR(__xludf.DUMMYFUNCTION("""COMPUTED_VALUE"""),"")</f>
        <v/>
      </c>
      <c r="O84" s="104"/>
      <c r="P84" s="104"/>
      <c r="Q84" s="104"/>
      <c r="R84" s="104" t="s">
        <v>191</v>
      </c>
      <c r="S84" s="104">
        <v>0.0</v>
      </c>
      <c r="T84" s="104" t="s">
        <v>3656</v>
      </c>
      <c r="U84" s="104"/>
      <c r="V84" s="104" t="s">
        <v>3656</v>
      </c>
      <c r="W84" s="104"/>
    </row>
    <row r="85">
      <c r="A85" s="105">
        <v>45904.0</v>
      </c>
      <c r="B85" s="79" t="str">
        <f>IFERROR(__xludf.DUMMYFUNCTION("""COMPUTED_VALUE"""),"FM-PH-BMV-1A-2")</f>
        <v>FM-PH-BMV-1A-2</v>
      </c>
      <c r="C85" s="102"/>
      <c r="D85" s="104"/>
      <c r="E85" s="104" t="str">
        <f>IFERROR(__xludf.DUMMYFUNCTION("""COMPUTED_VALUE"""),"")</f>
        <v/>
      </c>
      <c r="F85" s="98">
        <v>15.0</v>
      </c>
      <c r="G85" s="110"/>
      <c r="H85" s="100"/>
      <c r="I85" s="98"/>
      <c r="J85" s="98"/>
      <c r="K85" s="110"/>
      <c r="L85" s="104"/>
      <c r="M85" s="98" t="s">
        <v>39</v>
      </c>
      <c r="N85" s="103" t="str">
        <f>IFERROR(__xludf.DUMMYFUNCTION("""COMPUTED_VALUE"""),"")</f>
        <v/>
      </c>
      <c r="O85" s="104"/>
      <c r="P85" s="104"/>
      <c r="Q85" s="104"/>
      <c r="R85" s="104" t="s">
        <v>192</v>
      </c>
      <c r="S85" s="104">
        <v>0.0</v>
      </c>
      <c r="T85" s="104" t="s">
        <v>3657</v>
      </c>
      <c r="U85" s="104"/>
      <c r="V85" s="104" t="s">
        <v>3657</v>
      </c>
      <c r="W85" s="104"/>
    </row>
    <row r="86">
      <c r="A86" s="105">
        <v>45903.0</v>
      </c>
      <c r="B86" s="79" t="str">
        <f>IFERROR(__xludf.DUMMYFUNCTION("""COMPUTED_VALUE"""),"FM-SYN-BA-1A")</f>
        <v>FM-SYN-BA-1A</v>
      </c>
      <c r="C86" s="104"/>
      <c r="D86" s="104"/>
      <c r="E86" s="104" t="str">
        <f>IFERROR(__xludf.DUMMYFUNCTION("""COMPUTED_VALUE"""),"MA-PO-4-SW-1")</f>
        <v>MA-PO-4-SW-1</v>
      </c>
      <c r="F86" s="98">
        <v>7.5</v>
      </c>
      <c r="G86" s="110"/>
      <c r="H86" s="100"/>
      <c r="I86" s="98"/>
      <c r="J86" s="98"/>
      <c r="K86" s="110"/>
      <c r="L86" s="104"/>
      <c r="M86" s="98" t="s">
        <v>39</v>
      </c>
      <c r="N86" s="103" t="str">
        <f>IFERROR(__xludf.DUMMYFUNCTION("""COMPUTED_VALUE"""),"")</f>
        <v/>
      </c>
      <c r="O86" s="104"/>
      <c r="P86" s="104"/>
      <c r="Q86" s="104"/>
      <c r="R86" s="104" t="s">
        <v>194</v>
      </c>
      <c r="S86" s="104">
        <v>0.0</v>
      </c>
      <c r="T86" s="104" t="s">
        <v>3658</v>
      </c>
      <c r="U86" s="104"/>
      <c r="V86" s="104" t="s">
        <v>3658</v>
      </c>
      <c r="W86" s="104"/>
    </row>
    <row r="87">
      <c r="A87" s="105">
        <v>45886.0</v>
      </c>
      <c r="B87" s="79" t="str">
        <f>IFERROR(__xludf.DUMMYFUNCTION("""COMPUTED_VALUE"""),"FMY-AL-RSD-1A-2")</f>
        <v>FMY-AL-RSD-1A-2</v>
      </c>
      <c r="C87" s="104"/>
      <c r="D87" s="104"/>
      <c r="E87" s="104" t="str">
        <f>IFERROR(__xludf.DUMMYFUNCTION("""COMPUTED_VALUE"""),"")</f>
        <v/>
      </c>
      <c r="F87" s="98">
        <v>10.99</v>
      </c>
      <c r="G87" s="110"/>
      <c r="H87" s="100"/>
      <c r="I87" s="98"/>
      <c r="J87" s="98"/>
      <c r="K87" s="110"/>
      <c r="L87" s="104"/>
      <c r="M87" s="98" t="s">
        <v>39</v>
      </c>
      <c r="N87" s="103" t="str">
        <f>IFERROR(__xludf.DUMMYFUNCTION("""COMPUTED_VALUE"""),"")</f>
        <v/>
      </c>
      <c r="O87" s="104"/>
      <c r="P87" s="104"/>
      <c r="Q87" s="104"/>
      <c r="R87" s="104" t="s">
        <v>195</v>
      </c>
      <c r="S87" s="104"/>
      <c r="T87" s="104" t="s">
        <v>3659</v>
      </c>
      <c r="U87" s="104"/>
      <c r="V87" s="104" t="s">
        <v>3659</v>
      </c>
      <c r="W87" s="104"/>
    </row>
    <row r="88">
      <c r="A88" s="105">
        <v>45886.0</v>
      </c>
      <c r="B88" s="79" t="str">
        <f>IFERROR(__xludf.DUMMYFUNCTION("""COMPUTED_VALUE"""),"FMY-MA-PE-1A")</f>
        <v>FMY-MA-PE-1A</v>
      </c>
      <c r="C88" s="104"/>
      <c r="D88" s="104"/>
      <c r="E88" s="104" t="str">
        <f>IFERROR(__xludf.DUMMYFUNCTION("""COMPUTED_VALUE"""),"PS-PO-5.5-MU-1")</f>
        <v>PS-PO-5.5-MU-1</v>
      </c>
      <c r="F88" s="98">
        <v>2.427142857142857</v>
      </c>
      <c r="G88" s="110"/>
      <c r="H88" s="100"/>
      <c r="I88" s="98"/>
      <c r="J88" s="111"/>
      <c r="K88" s="112">
        <v>0.0</v>
      </c>
      <c r="L88" s="104"/>
      <c r="M88" s="98">
        <v>0.0</v>
      </c>
      <c r="N88" s="103" t="str">
        <f>IFERROR(__xludf.DUMMYFUNCTION("""COMPUTED_VALUE"""),"")</f>
        <v/>
      </c>
      <c r="O88" s="104"/>
      <c r="P88" s="102" t="s">
        <v>1626</v>
      </c>
      <c r="Q88" s="104"/>
      <c r="R88" s="104" t="s">
        <v>196</v>
      </c>
      <c r="S88" s="104"/>
      <c r="T88" s="104" t="s">
        <v>3660</v>
      </c>
      <c r="U88" s="104"/>
      <c r="V88" s="104" t="s">
        <v>3660</v>
      </c>
      <c r="W88" s="104"/>
    </row>
    <row r="89">
      <c r="A89" s="105">
        <v>45886.0</v>
      </c>
      <c r="B89" s="79" t="str">
        <f>IFERROR(__xludf.DUMMYFUNCTION("""COMPUTED_VALUE"""),"FMY-AG-SPA-1A")</f>
        <v>FMY-AG-SPA-1A</v>
      </c>
      <c r="C89" s="104"/>
      <c r="D89" s="104"/>
      <c r="E89" s="104" t="str">
        <f>IFERROR(__xludf.DUMMYFUNCTION("""COMPUTED_VALUE"""),"TE-PO-4-MU-1")</f>
        <v>TE-PO-4-MU-1</v>
      </c>
      <c r="F89" s="98">
        <v>3.3316666666666666</v>
      </c>
      <c r="G89" s="110"/>
      <c r="H89" s="100"/>
      <c r="I89" s="98"/>
      <c r="J89" s="98"/>
      <c r="K89" s="110"/>
      <c r="L89" s="104"/>
      <c r="M89" s="98" t="s">
        <v>39</v>
      </c>
      <c r="N89" s="103" t="str">
        <f>IFERROR(__xludf.DUMMYFUNCTION("""COMPUTED_VALUE"""),"")</f>
        <v/>
      </c>
      <c r="O89" s="104"/>
      <c r="P89" s="104"/>
      <c r="Q89" s="104"/>
      <c r="R89" s="104" t="s">
        <v>199</v>
      </c>
      <c r="S89" s="104"/>
      <c r="T89" s="104" t="s">
        <v>3661</v>
      </c>
      <c r="U89" s="104"/>
      <c r="V89" s="104" t="s">
        <v>3661</v>
      </c>
      <c r="W89" s="104"/>
    </row>
    <row r="90">
      <c r="A90" s="105">
        <v>45886.0</v>
      </c>
      <c r="B90" s="79" t="str">
        <f>IFERROR(__xludf.DUMMYFUNCTION("""COMPUTED_VALUE"""),"FMY-CA-MA-1A")</f>
        <v>FMY-CA-MA-1A</v>
      </c>
      <c r="C90" s="104"/>
      <c r="D90" s="104"/>
      <c r="E90" s="104" t="str">
        <f>IFERROR(__xludf.DUMMYFUNCTION("""COMPUTED_VALUE"""),"PS-PO-5.5-MU-1")</f>
        <v>PS-PO-5.5-MU-1</v>
      </c>
      <c r="F90" s="98">
        <v>3.3316666666666666</v>
      </c>
      <c r="G90" s="110"/>
      <c r="H90" s="100"/>
      <c r="I90" s="98"/>
      <c r="J90" s="98"/>
      <c r="K90" s="110"/>
      <c r="L90" s="104"/>
      <c r="M90" s="98" t="s">
        <v>39</v>
      </c>
      <c r="N90" s="103" t="str">
        <f>IFERROR(__xludf.DUMMYFUNCTION("""COMPUTED_VALUE"""),"")</f>
        <v/>
      </c>
      <c r="O90" s="104"/>
      <c r="P90" s="104"/>
      <c r="Q90" s="104"/>
      <c r="R90" s="104" t="s">
        <v>202</v>
      </c>
      <c r="S90" s="104">
        <v>16.99</v>
      </c>
      <c r="T90" s="104" t="s">
        <v>3662</v>
      </c>
      <c r="U90" s="104"/>
      <c r="V90" s="104" t="s">
        <v>3662</v>
      </c>
      <c r="W90" s="104"/>
    </row>
    <row r="91">
      <c r="A91" s="105">
        <v>45886.0</v>
      </c>
      <c r="B91" s="79" t="str">
        <f>IFERROR(__xludf.DUMMYFUNCTION("""COMPUTED_VALUE"""),"FMY-MA-DE-1A-3")</f>
        <v>FMY-MA-DE-1A-3</v>
      </c>
      <c r="C91" s="104"/>
      <c r="D91" s="104"/>
      <c r="E91" s="104" t="str">
        <f>IFERROR(__xludf.DUMMYFUNCTION("""COMPUTED_VALUE"""),"TE-PO-4-MU-1")</f>
        <v>TE-PO-4-MU-1</v>
      </c>
      <c r="F91" s="98">
        <v>3.3316666666666666</v>
      </c>
      <c r="G91" s="110"/>
      <c r="H91" s="100"/>
      <c r="I91" s="98"/>
      <c r="J91" s="98"/>
      <c r="K91" s="110"/>
      <c r="L91" s="104"/>
      <c r="M91" s="98" t="s">
        <v>39</v>
      </c>
      <c r="N91" s="103" t="str">
        <f>IFERROR(__xludf.DUMMYFUNCTION("""COMPUTED_VALUE"""),"")</f>
        <v/>
      </c>
      <c r="O91" s="104"/>
      <c r="P91" s="104"/>
      <c r="Q91" s="104"/>
      <c r="R91" s="104" t="s">
        <v>203</v>
      </c>
      <c r="S91" s="104"/>
      <c r="T91" s="104" t="s">
        <v>3663</v>
      </c>
      <c r="U91" s="104"/>
      <c r="V91" s="104" t="s">
        <v>3663</v>
      </c>
      <c r="W91" s="104"/>
    </row>
    <row r="92">
      <c r="A92" s="105">
        <v>45886.0</v>
      </c>
      <c r="B92" s="79" t="str">
        <f>IFERROR(__xludf.DUMMYFUNCTION("""COMPUTED_VALUE"""),"FMY-MA-DE-1A-4")</f>
        <v>FMY-MA-DE-1A-4</v>
      </c>
      <c r="C92" s="104"/>
      <c r="D92" s="104"/>
      <c r="E92" s="104" t="str">
        <f>IFERROR(__xludf.DUMMYFUNCTION("""COMPUTED_VALUE"""),"WO-PO-6-MU-1")</f>
        <v>WO-PO-6-MU-1</v>
      </c>
      <c r="F92" s="98">
        <v>1.57</v>
      </c>
      <c r="G92" s="110"/>
      <c r="H92" s="100"/>
      <c r="I92" s="98"/>
      <c r="J92" s="98"/>
      <c r="K92" s="110"/>
      <c r="L92" s="104"/>
      <c r="M92" s="98" t="s">
        <v>39</v>
      </c>
      <c r="N92" s="103" t="str">
        <f>IFERROR(__xludf.DUMMYFUNCTION("""COMPUTED_VALUE"""),"")</f>
        <v/>
      </c>
      <c r="O92" s="104"/>
      <c r="P92" s="104"/>
      <c r="Q92" s="104"/>
      <c r="R92" s="104" t="s">
        <v>204</v>
      </c>
      <c r="S92" s="104"/>
      <c r="T92" s="104" t="s">
        <v>3664</v>
      </c>
      <c r="U92" s="104"/>
      <c r="V92" s="104" t="s">
        <v>3664</v>
      </c>
      <c r="W92" s="104"/>
    </row>
    <row r="93">
      <c r="A93" s="105">
        <v>45886.0</v>
      </c>
      <c r="B93" s="79" t="str">
        <f>IFERROR(__xludf.DUMMYFUNCTION("""COMPUTED_VALUE"""),"FMY-MA-DE-1A-5")</f>
        <v>FMY-MA-DE-1A-5</v>
      </c>
      <c r="C93" s="104"/>
      <c r="D93" s="104"/>
      <c r="E93" s="104" t="str">
        <f>IFERROR(__xludf.DUMMYFUNCTION("""COMPUTED_VALUE"""),"GA-PO-6-MU-1")</f>
        <v>GA-PO-6-MU-1</v>
      </c>
      <c r="F93" s="98">
        <v>2.7475</v>
      </c>
      <c r="G93" s="110"/>
      <c r="H93" s="100"/>
      <c r="I93" s="98"/>
      <c r="J93" s="98"/>
      <c r="K93" s="112">
        <v>10.0</v>
      </c>
      <c r="L93" s="104"/>
      <c r="M93" s="98">
        <v>10.0</v>
      </c>
      <c r="N93" s="103" t="str">
        <f>IFERROR(__xludf.DUMMYFUNCTION("""COMPUTED_VALUE"""),"")</f>
        <v/>
      </c>
      <c r="O93" s="104"/>
      <c r="P93" s="102" t="s">
        <v>1626</v>
      </c>
      <c r="Q93" s="104"/>
      <c r="R93" s="104" t="s">
        <v>205</v>
      </c>
      <c r="S93" s="104"/>
      <c r="T93" s="104" t="s">
        <v>3665</v>
      </c>
      <c r="U93" s="104"/>
      <c r="V93" s="104" t="s">
        <v>3665</v>
      </c>
      <c r="W93" s="104"/>
    </row>
    <row r="94">
      <c r="A94" s="105">
        <v>45886.0</v>
      </c>
      <c r="B94" s="79" t="str">
        <f>IFERROR(__xludf.DUMMYFUNCTION("""COMPUTED_VALUE"""),"FMY-PH-PL-1A")</f>
        <v>FMY-PH-PL-1A</v>
      </c>
      <c r="C94" s="104"/>
      <c r="D94" s="104"/>
      <c r="E94" s="104" t="str">
        <f>IFERROR(__xludf.DUMMYFUNCTION("""COMPUTED_VALUE"""),"GA-PO-6-MU-1")</f>
        <v>GA-PO-6-MU-1</v>
      </c>
      <c r="F94" s="98">
        <v>9.995</v>
      </c>
      <c r="G94" s="110"/>
      <c r="H94" s="100"/>
      <c r="I94" s="98"/>
      <c r="J94" s="98"/>
      <c r="K94" s="112"/>
      <c r="L94" s="104"/>
      <c r="M94" s="98" t="s">
        <v>39</v>
      </c>
      <c r="N94" s="103" t="str">
        <f>IFERROR(__xludf.DUMMYFUNCTION("""COMPUTED_VALUE"""),"")</f>
        <v/>
      </c>
      <c r="O94" s="104"/>
      <c r="P94" s="104"/>
      <c r="Q94" s="104"/>
      <c r="R94" s="104" t="s">
        <v>207</v>
      </c>
      <c r="S94" s="104">
        <v>40.0</v>
      </c>
      <c r="T94" s="104" t="s">
        <v>3666</v>
      </c>
      <c r="U94" s="104"/>
      <c r="V94" s="104" t="s">
        <v>3666</v>
      </c>
      <c r="W94" s="104"/>
    </row>
    <row r="95">
      <c r="A95" s="105">
        <v>45886.0</v>
      </c>
      <c r="B95" s="79" t="str">
        <f>IFERROR(__xludf.DUMMYFUNCTION("""COMPUTED_VALUE"""),"HD-AL-LO-1A")</f>
        <v>HD-AL-LO-1A</v>
      </c>
      <c r="C95" s="104"/>
      <c r="D95" s="104"/>
      <c r="E95" s="104" t="str">
        <f>IFERROR(__xludf.DUMMYFUNCTION("""COMPUTED_VALUE"""),"WO-PO-6-MU-1")</f>
        <v>WO-PO-6-MU-1</v>
      </c>
      <c r="F95" s="98">
        <v>7.495</v>
      </c>
      <c r="G95" s="110"/>
      <c r="H95" s="100"/>
      <c r="I95" s="98"/>
      <c r="J95" s="98"/>
      <c r="K95" s="110"/>
      <c r="L95" s="104"/>
      <c r="M95" s="98" t="s">
        <v>39</v>
      </c>
      <c r="N95" s="103" t="str">
        <f>IFERROR(__xludf.DUMMYFUNCTION("""COMPUTED_VALUE"""),"")</f>
        <v/>
      </c>
      <c r="O95" s="104"/>
      <c r="P95" s="104"/>
      <c r="Q95" s="104"/>
      <c r="R95" s="104" t="s">
        <v>210</v>
      </c>
      <c r="S95" s="104"/>
      <c r="T95" s="104" t="s">
        <v>3667</v>
      </c>
      <c r="U95" s="104"/>
      <c r="V95" s="104" t="s">
        <v>3667</v>
      </c>
      <c r="W95" s="104"/>
    </row>
    <row r="96">
      <c r="A96" s="105">
        <v>45886.0</v>
      </c>
      <c r="B96" s="79" t="str">
        <f>IFERROR(__xludf.DUMMYFUNCTION("""COMPUTED_VALUE"""),"HD-AL-LO-1A-2")</f>
        <v>HD-AL-LO-1A-2</v>
      </c>
      <c r="C96" s="104"/>
      <c r="D96" s="104"/>
      <c r="E96" s="104" t="str">
        <f>IFERROR(__xludf.DUMMYFUNCTION("""COMPUTED_VALUE"""),"PS-PO-5.5-MU-1")</f>
        <v>PS-PO-5.5-MU-1</v>
      </c>
      <c r="F96" s="98">
        <v>9.993333333333334</v>
      </c>
      <c r="G96" s="110"/>
      <c r="H96" s="100"/>
      <c r="I96" s="98"/>
      <c r="J96" s="98"/>
      <c r="K96" s="110"/>
      <c r="L96" s="104"/>
      <c r="M96" s="98" t="s">
        <v>39</v>
      </c>
      <c r="N96" s="103" t="str">
        <f>IFERROR(__xludf.DUMMYFUNCTION("""COMPUTED_VALUE"""),"")</f>
        <v/>
      </c>
      <c r="O96" s="104"/>
      <c r="P96" s="104"/>
      <c r="Q96" s="104"/>
      <c r="R96" s="104" t="s">
        <v>211</v>
      </c>
      <c r="S96" s="104"/>
      <c r="T96" s="104" t="s">
        <v>3668</v>
      </c>
      <c r="U96" s="104"/>
      <c r="V96" s="104" t="s">
        <v>3668</v>
      </c>
      <c r="W96" s="104"/>
    </row>
    <row r="97">
      <c r="A97" s="105">
        <v>45886.0</v>
      </c>
      <c r="B97" s="79" t="str">
        <f>IFERROR(__xludf.DUMMYFUNCTION("""COMPUTED_VALUE"""),"HD-AL-GVF-1A-2")</f>
        <v>HD-AL-GVF-1A-2</v>
      </c>
      <c r="C97" s="104"/>
      <c r="D97" s="104"/>
      <c r="E97" s="104" t="str">
        <f>IFERROR(__xludf.DUMMYFUNCTION("""COMPUTED_VALUE"""),"GA-PO-6-MU-1")</f>
        <v>GA-PO-6-MU-1</v>
      </c>
      <c r="F97" s="98">
        <v>14.99</v>
      </c>
      <c r="G97" s="110"/>
      <c r="H97" s="100"/>
      <c r="I97" s="98"/>
      <c r="J97" s="98"/>
      <c r="K97" s="110"/>
      <c r="L97" s="104"/>
      <c r="M97" s="98" t="s">
        <v>39</v>
      </c>
      <c r="N97" s="103" t="str">
        <f>IFERROR(__xludf.DUMMYFUNCTION("""COMPUTED_VALUE"""),"")</f>
        <v/>
      </c>
      <c r="O97" s="104"/>
      <c r="P97" s="104"/>
      <c r="Q97" s="104"/>
      <c r="R97" s="104" t="s">
        <v>212</v>
      </c>
      <c r="S97" s="104"/>
      <c r="T97" s="104" t="s">
        <v>3669</v>
      </c>
      <c r="U97" s="104"/>
      <c r="V97" s="104" t="s">
        <v>3669</v>
      </c>
      <c r="W97" s="104"/>
    </row>
    <row r="98">
      <c r="A98" s="105">
        <v>45886.0</v>
      </c>
      <c r="B98" s="79" t="str">
        <f>IFERROR(__xludf.DUMMYFUNCTION("""COMPUTED_VALUE"""),"HD-AL-BDS-1A")</f>
        <v>HD-AL-BDS-1A</v>
      </c>
      <c r="C98" s="104"/>
      <c r="D98" s="104"/>
      <c r="E98" s="104" t="str">
        <f>IFERROR(__xludf.DUMMYFUNCTION("""COMPUTED_VALUE"""),"MA-PO-5-SW-1")</f>
        <v>MA-PO-5-SW-1</v>
      </c>
      <c r="F98" s="98">
        <v>6.66</v>
      </c>
      <c r="G98" s="110"/>
      <c r="H98" s="100"/>
      <c r="I98" s="98"/>
      <c r="J98" s="98"/>
      <c r="K98" s="110"/>
      <c r="L98" s="104"/>
      <c r="M98" s="98" t="s">
        <v>39</v>
      </c>
      <c r="N98" s="103" t="str">
        <f>IFERROR(__xludf.DUMMYFUNCTION("""COMPUTED_VALUE"""),"")</f>
        <v/>
      </c>
      <c r="O98" s="104"/>
      <c r="P98" s="104"/>
      <c r="Q98" s="104"/>
      <c r="R98" s="104" t="s">
        <v>214</v>
      </c>
      <c r="S98" s="104"/>
      <c r="T98" s="104" t="s">
        <v>3670</v>
      </c>
      <c r="U98" s="104"/>
      <c r="V98" s="104" t="s">
        <v>3670</v>
      </c>
      <c r="W98" s="104"/>
    </row>
    <row r="99">
      <c r="A99" s="105">
        <v>45886.0</v>
      </c>
      <c r="B99" s="79" t="str">
        <f>IFERROR(__xludf.DUMMYFUNCTION("""COMPUTED_VALUE"""),"HD-PH-GG-1A")</f>
        <v>HD-PH-GG-1A</v>
      </c>
      <c r="C99" s="104"/>
      <c r="D99" s="104"/>
      <c r="E99" s="104" t="str">
        <f>IFERROR(__xludf.DUMMYFUNCTION("""COMPUTED_VALUE"""),"")</f>
        <v/>
      </c>
      <c r="F99" s="98">
        <v>19.98</v>
      </c>
      <c r="G99" s="110"/>
      <c r="H99" s="100"/>
      <c r="I99" s="98"/>
      <c r="J99" s="98"/>
      <c r="K99" s="110"/>
      <c r="L99" s="104"/>
      <c r="M99" s="98" t="s">
        <v>39</v>
      </c>
      <c r="N99" s="103" t="str">
        <f>IFERROR(__xludf.DUMMYFUNCTION("""COMPUTED_VALUE"""),"")</f>
        <v/>
      </c>
      <c r="O99" s="104"/>
      <c r="P99" s="102" t="s">
        <v>1692</v>
      </c>
      <c r="Q99" s="104"/>
      <c r="R99" s="104" t="s">
        <v>216</v>
      </c>
      <c r="S99" s="104"/>
      <c r="T99" s="104" t="s">
        <v>3671</v>
      </c>
      <c r="U99" s="104"/>
      <c r="V99" s="104" t="s">
        <v>3671</v>
      </c>
      <c r="W99" s="104"/>
    </row>
    <row r="100">
      <c r="A100" s="105">
        <v>45886.0</v>
      </c>
      <c r="B100" s="79" t="str">
        <f>IFERROR(__xludf.DUMMYFUNCTION("""COMPUTED_VALUE"""),"HD-HO-SSS-1A")</f>
        <v>HD-HO-SSS-1A</v>
      </c>
      <c r="C100" s="104"/>
      <c r="D100" s="104"/>
      <c r="E100" s="104" t="str">
        <f>IFERROR(__xludf.DUMMYFUNCTION("""COMPUTED_VALUE"""),"")</f>
        <v/>
      </c>
      <c r="F100" s="98">
        <v>19.98</v>
      </c>
      <c r="G100" s="110"/>
      <c r="H100" s="100"/>
      <c r="I100" s="98"/>
      <c r="J100" s="98"/>
      <c r="K100" s="110"/>
      <c r="L100" s="104"/>
      <c r="M100" s="98" t="s">
        <v>39</v>
      </c>
      <c r="N100" s="103" t="str">
        <f>IFERROR(__xludf.DUMMYFUNCTION("""COMPUTED_VALUE"""),"")</f>
        <v/>
      </c>
      <c r="O100" s="104"/>
      <c r="P100" s="102" t="s">
        <v>1481</v>
      </c>
      <c r="Q100" s="104"/>
      <c r="R100" s="104" t="s">
        <v>218</v>
      </c>
      <c r="S100" s="104"/>
      <c r="T100" s="104" t="s">
        <v>3672</v>
      </c>
      <c r="U100" s="104"/>
      <c r="V100" s="104" t="s">
        <v>3672</v>
      </c>
      <c r="W100" s="104"/>
    </row>
    <row r="101">
      <c r="A101" s="105">
        <v>45886.0</v>
      </c>
      <c r="B101" s="79" t="str">
        <f>IFERROR(__xludf.DUMMYFUNCTION("""COMPUTED_VALUE"""),"HD-ST-TR-1A")</f>
        <v>HD-ST-TR-1A</v>
      </c>
      <c r="C101" s="104"/>
      <c r="D101" s="104"/>
      <c r="E101" s="104" t="str">
        <f>IFERROR(__xludf.DUMMYFUNCTION("""COMPUTED_VALUE"""),"MU-PO-4-WH-1")</f>
        <v>MU-PO-4-WH-1</v>
      </c>
      <c r="F101" s="98">
        <v>19.98</v>
      </c>
      <c r="G101" s="110"/>
      <c r="H101" s="100"/>
      <c r="I101" s="98"/>
      <c r="J101" s="98"/>
      <c r="K101" s="112"/>
      <c r="L101" s="104"/>
      <c r="M101" s="98" t="s">
        <v>39</v>
      </c>
      <c r="N101" s="103" t="str">
        <f>IFERROR(__xludf.DUMMYFUNCTION("""COMPUTED_VALUE"""),"")</f>
        <v/>
      </c>
      <c r="O101" s="104"/>
      <c r="P101" s="102" t="s">
        <v>1481</v>
      </c>
      <c r="Q101" s="104"/>
      <c r="R101" s="104" t="s">
        <v>221</v>
      </c>
      <c r="S101" s="104"/>
      <c r="T101" s="104" t="s">
        <v>3673</v>
      </c>
      <c r="U101" s="104"/>
      <c r="V101" s="104" t="s">
        <v>3673</v>
      </c>
      <c r="W101" s="104"/>
    </row>
    <row r="102">
      <c r="A102" s="105">
        <v>45887.0</v>
      </c>
      <c r="B102" s="79" t="str">
        <f>IFERROR(__xludf.DUMMYFUNCTION("""COMPUTED_VALUE"""),"TRL-FIC-TE-1A")</f>
        <v>TRL-FIC-TE-1A</v>
      </c>
      <c r="C102" s="104"/>
      <c r="D102" s="104"/>
      <c r="E102" s="104" t="str">
        <f>IFERROR(__xludf.DUMMYFUNCTION("""COMPUTED_VALUE"""),"TE-PO-4-MU-1")</f>
        <v>TE-PO-4-MU-1</v>
      </c>
      <c r="F102" s="98">
        <v>10.0</v>
      </c>
      <c r="G102" s="110"/>
      <c r="H102" s="100"/>
      <c r="I102" s="98"/>
      <c r="J102" s="98"/>
      <c r="K102" s="110"/>
      <c r="L102" s="104"/>
      <c r="M102" s="98" t="s">
        <v>39</v>
      </c>
      <c r="N102" s="103" t="str">
        <f>IFERROR(__xludf.DUMMYFUNCTION("""COMPUTED_VALUE"""),"")</f>
        <v/>
      </c>
      <c r="O102" s="104"/>
      <c r="P102" s="104"/>
      <c r="Q102" s="104"/>
      <c r="R102" s="104" t="s">
        <v>225</v>
      </c>
      <c r="S102" s="104"/>
      <c r="T102" s="104" t="s">
        <v>3674</v>
      </c>
      <c r="U102" s="104"/>
      <c r="V102" s="104" t="s">
        <v>3674</v>
      </c>
      <c r="W102" s="104"/>
    </row>
    <row r="103">
      <c r="A103" s="105"/>
      <c r="B103" s="79" t="str">
        <f>IFERROR(__xludf.DUMMYFUNCTION("""COMPUTED_VALUE"""),"TRL-SYN-PA-1A")</f>
        <v>TRL-SYN-PA-1A</v>
      </c>
      <c r="C103" s="104"/>
      <c r="D103" s="104"/>
      <c r="E103" s="104" t="str">
        <f>IFERROR(__xludf.DUMMYFUNCTION("""COMPUTED_VALUE"""),"TE-PO-4-MU-1")</f>
        <v>TE-PO-4-MU-1</v>
      </c>
      <c r="F103" s="98">
        <v>10.0</v>
      </c>
      <c r="G103" s="110"/>
      <c r="H103" s="100"/>
      <c r="I103" s="98"/>
      <c r="J103" s="98"/>
      <c r="K103" s="110"/>
      <c r="L103" s="104"/>
      <c r="M103" s="98" t="s">
        <v>39</v>
      </c>
      <c r="N103" s="103" t="str">
        <f>IFERROR(__xludf.DUMMYFUNCTION("""COMPUTED_VALUE"""),"")</f>
        <v/>
      </c>
      <c r="O103" s="104"/>
      <c r="P103" s="102" t="s">
        <v>1481</v>
      </c>
      <c r="Q103" s="104"/>
      <c r="R103" s="104" t="s">
        <v>227</v>
      </c>
      <c r="S103" s="104"/>
      <c r="T103" s="104" t="s">
        <v>3675</v>
      </c>
      <c r="U103" s="104"/>
      <c r="V103" s="104" t="s">
        <v>3675</v>
      </c>
      <c r="W103" s="104"/>
    </row>
    <row r="104">
      <c r="A104" s="105"/>
      <c r="B104" s="79" t="str">
        <f>IFERROR(__xludf.DUMMYFUNCTION("""COMPUTED_VALUE"""),"TRL-PH-JB-1A")</f>
        <v>TRL-PH-JB-1A</v>
      </c>
      <c r="C104" s="104"/>
      <c r="D104" s="104"/>
      <c r="E104" s="104" t="str">
        <f>IFERROR(__xludf.DUMMYFUNCTION("""COMPUTED_VALUE"""),"AGP-PO-4-BN-1")</f>
        <v>AGP-PO-4-BN-1</v>
      </c>
      <c r="F104" s="98">
        <v>12.0</v>
      </c>
      <c r="G104" s="110"/>
      <c r="H104" s="100"/>
      <c r="I104" s="98"/>
      <c r="J104" s="98"/>
      <c r="K104" s="110"/>
      <c r="L104" s="104"/>
      <c r="M104" s="98" t="s">
        <v>39</v>
      </c>
      <c r="N104" s="103" t="str">
        <f>IFERROR(__xludf.DUMMYFUNCTION("""COMPUTED_VALUE"""),"")</f>
        <v/>
      </c>
      <c r="O104" s="104"/>
      <c r="P104" s="102" t="s">
        <v>1481</v>
      </c>
      <c r="Q104" s="104"/>
      <c r="R104" s="104" t="s">
        <v>229</v>
      </c>
      <c r="S104" s="104"/>
      <c r="T104" s="104" t="s">
        <v>3676</v>
      </c>
      <c r="U104" s="104"/>
      <c r="V104" s="104" t="s">
        <v>3676</v>
      </c>
      <c r="W104" s="104"/>
    </row>
    <row r="105">
      <c r="A105" s="105">
        <v>45890.0</v>
      </c>
      <c r="B105" s="79" t="str">
        <f>IFERROR(__xludf.DUMMYFUNCTION("""COMPUTED_VALUE"""),"RSV-PH-RS-1A")</f>
        <v>RSV-PH-RS-1A</v>
      </c>
      <c r="C105" s="104"/>
      <c r="D105" s="104"/>
      <c r="E105" s="104" t="str">
        <f>IFERROR(__xludf.DUMMYFUNCTION("""COMPUTED_VALUE"""),"WO-PO-6-WH-2")</f>
        <v>WO-PO-6-WH-2</v>
      </c>
      <c r="F105" s="98">
        <v>12.0</v>
      </c>
      <c r="G105" s="110"/>
      <c r="H105" s="100"/>
      <c r="I105" s="98"/>
      <c r="J105" s="98"/>
      <c r="K105" s="110"/>
      <c r="L105" s="104"/>
      <c r="M105" s="98" t="s">
        <v>39</v>
      </c>
      <c r="N105" s="103" t="str">
        <f>IFERROR(__xludf.DUMMYFUNCTION("""COMPUTED_VALUE"""),"")</f>
        <v/>
      </c>
      <c r="O105" s="104"/>
      <c r="P105" s="102" t="s">
        <v>1481</v>
      </c>
      <c r="Q105" s="104"/>
      <c r="R105" s="104" t="s">
        <v>232</v>
      </c>
      <c r="S105" s="104"/>
      <c r="T105" s="104" t="s">
        <v>3677</v>
      </c>
      <c r="U105" s="104"/>
      <c r="V105" s="104" t="s">
        <v>3677</v>
      </c>
      <c r="W105" s="104"/>
    </row>
    <row r="106">
      <c r="A106" s="105">
        <v>45890.0</v>
      </c>
      <c r="B106" s="79" t="str">
        <f>IFERROR(__xludf.DUMMYFUNCTION("""COMPUTED_VALUE"""),"RSV-EPI-PM-1A")</f>
        <v>RSV-EPI-PM-1A</v>
      </c>
      <c r="C106" s="104"/>
      <c r="D106" s="104"/>
      <c r="E106" s="104" t="str">
        <f>IFERROR(__xludf.DUMMYFUNCTION("""COMPUTED_VALUE"""),"WO-PO-6-WH-1")</f>
        <v>WO-PO-6-WH-1</v>
      </c>
      <c r="F106" s="98">
        <v>15.0</v>
      </c>
      <c r="G106" s="110"/>
      <c r="H106" s="100"/>
      <c r="I106" s="98"/>
      <c r="J106" s="98"/>
      <c r="K106" s="110"/>
      <c r="L106" s="104"/>
      <c r="M106" s="98" t="s">
        <v>39</v>
      </c>
      <c r="N106" s="103" t="str">
        <f>IFERROR(__xludf.DUMMYFUNCTION("""COMPUTED_VALUE"""),"")</f>
        <v/>
      </c>
      <c r="O106" s="104"/>
      <c r="P106" s="104"/>
      <c r="Q106" s="104"/>
      <c r="R106" s="104" t="s">
        <v>235</v>
      </c>
      <c r="S106" s="104"/>
      <c r="T106" s="104" t="s">
        <v>3678</v>
      </c>
      <c r="U106" s="104"/>
      <c r="V106" s="104" t="s">
        <v>3678</v>
      </c>
      <c r="W106" s="104"/>
    </row>
    <row r="107">
      <c r="A107" s="105">
        <v>45890.0</v>
      </c>
      <c r="B107" s="79" t="str">
        <f>IFERROR(__xludf.DUMMYFUNCTION("""COMPUTED_VALUE"""),"TGE-PH-FB-1A")</f>
        <v>TGE-PH-FB-1A</v>
      </c>
      <c r="C107" s="104"/>
      <c r="D107" s="104"/>
      <c r="E107" s="104" t="str">
        <f>IFERROR(__xludf.DUMMYFUNCTION("""COMPUTED_VALUE"""),"NR-PO-5-BP-1")</f>
        <v>NR-PO-5-BP-1</v>
      </c>
      <c r="F107" s="98">
        <v>11.0</v>
      </c>
      <c r="G107" s="110"/>
      <c r="H107" s="100"/>
      <c r="I107" s="98"/>
      <c r="J107" s="98"/>
      <c r="K107" s="110"/>
      <c r="L107" s="104"/>
      <c r="M107" s="98" t="s">
        <v>39</v>
      </c>
      <c r="N107" s="103" t="str">
        <f>IFERROR(__xludf.DUMMYFUNCTION("""COMPUTED_VALUE"""),"")</f>
        <v/>
      </c>
      <c r="O107" s="104"/>
      <c r="P107" s="102" t="s">
        <v>1481</v>
      </c>
      <c r="Q107" s="104"/>
      <c r="R107" s="104" t="s">
        <v>238</v>
      </c>
      <c r="S107" s="104"/>
      <c r="T107" s="104" t="s">
        <v>3679</v>
      </c>
      <c r="U107" s="104"/>
      <c r="V107" s="104" t="s">
        <v>3679</v>
      </c>
      <c r="W107" s="104"/>
    </row>
    <row r="108">
      <c r="A108" s="105">
        <v>45890.0</v>
      </c>
      <c r="B108" s="79" t="str">
        <f>IFERROR(__xludf.DUMMYFUNCTION("""COMPUTED_VALUE"""),"TGE-PH-ROF-1A")</f>
        <v>TGE-PH-ROF-1A</v>
      </c>
      <c r="C108" s="104"/>
      <c r="D108" s="104"/>
      <c r="E108" s="104" t="str">
        <f>IFERROR(__xludf.DUMMYFUNCTION("""COMPUTED_VALUE"""),"MA-PO-4-SW-1")</f>
        <v>MA-PO-4-SW-1</v>
      </c>
      <c r="F108" s="98">
        <v>11.0</v>
      </c>
      <c r="G108" s="110"/>
      <c r="H108" s="100"/>
      <c r="I108" s="98"/>
      <c r="J108" s="111"/>
      <c r="K108" s="110"/>
      <c r="L108" s="104"/>
      <c r="M108" s="98" t="s">
        <v>39</v>
      </c>
      <c r="N108" s="103" t="str">
        <f>IFERROR(__xludf.DUMMYFUNCTION("""COMPUTED_VALUE"""),"")</f>
        <v/>
      </c>
      <c r="O108" s="104"/>
      <c r="P108" s="102" t="s">
        <v>1481</v>
      </c>
      <c r="Q108" s="104"/>
      <c r="R108" s="104" t="s">
        <v>240</v>
      </c>
      <c r="S108" s="104"/>
      <c r="T108" s="104" t="s">
        <v>3680</v>
      </c>
      <c r="U108" s="104"/>
      <c r="V108" s="104" t="s">
        <v>3680</v>
      </c>
      <c r="W108" s="104"/>
    </row>
    <row r="109">
      <c r="A109" s="105">
        <v>45890.0</v>
      </c>
      <c r="B109" s="79" t="str">
        <f>IFERROR(__xludf.DUMMYFUNCTION("""COMPUTED_VALUE"""),"TGE-PH-BI-1A")</f>
        <v>TGE-PH-BI-1A</v>
      </c>
      <c r="C109" s="104"/>
      <c r="D109" s="104"/>
      <c r="E109" s="104" t="str">
        <f>IFERROR(__xludf.DUMMYFUNCTION("""COMPUTED_VALUE"""),"PS-PO-5.5-MU-1")</f>
        <v>PS-PO-5.5-MU-1</v>
      </c>
      <c r="F109" s="98">
        <v>17.5</v>
      </c>
      <c r="G109" s="110"/>
      <c r="H109" s="100"/>
      <c r="I109" s="98"/>
      <c r="J109" s="98"/>
      <c r="K109" s="110"/>
      <c r="L109" s="104"/>
      <c r="M109" s="98" t="s">
        <v>39</v>
      </c>
      <c r="N109" s="103" t="str">
        <f>IFERROR(__xludf.DUMMYFUNCTION("""COMPUTED_VALUE"""),"")</f>
        <v/>
      </c>
      <c r="O109" s="104"/>
      <c r="P109" s="102" t="s">
        <v>1481</v>
      </c>
      <c r="Q109" s="104"/>
      <c r="R109" s="104" t="s">
        <v>241</v>
      </c>
      <c r="S109" s="104"/>
      <c r="T109" s="104" t="s">
        <v>3681</v>
      </c>
      <c r="U109" s="104"/>
      <c r="V109" s="104" t="s">
        <v>3681</v>
      </c>
      <c r="W109" s="104"/>
    </row>
    <row r="110">
      <c r="A110" s="105">
        <v>45890.0</v>
      </c>
      <c r="B110" s="79" t="str">
        <f>IFERROR(__xludf.DUMMYFUNCTION("""COMPUTED_VALUE"""),"TGE-PH-RS-1A")</f>
        <v>TGE-PH-RS-1A</v>
      </c>
      <c r="C110" s="104"/>
      <c r="D110" s="104"/>
      <c r="E110" s="104" t="str">
        <f>IFERROR(__xludf.DUMMYFUNCTION("""COMPUTED_VALUE"""),"WO-PO-6-WH-2")</f>
        <v>WO-PO-6-WH-2</v>
      </c>
      <c r="F110" s="98">
        <v>17.5</v>
      </c>
      <c r="G110" s="110"/>
      <c r="H110" s="100"/>
      <c r="I110" s="98"/>
      <c r="J110" s="98"/>
      <c r="K110" s="110"/>
      <c r="L110" s="104"/>
      <c r="M110" s="98" t="s">
        <v>39</v>
      </c>
      <c r="N110" s="103" t="str">
        <f>IFERROR(__xludf.DUMMYFUNCTION("""COMPUTED_VALUE"""),"")</f>
        <v/>
      </c>
      <c r="O110" s="104"/>
      <c r="P110" s="102" t="s">
        <v>1481</v>
      </c>
      <c r="Q110" s="104"/>
      <c r="R110" s="104" t="s">
        <v>242</v>
      </c>
      <c r="S110" s="104"/>
      <c r="T110" s="104" t="s">
        <v>3682</v>
      </c>
      <c r="U110" s="104"/>
      <c r="V110" s="104" t="s">
        <v>3682</v>
      </c>
      <c r="W110" s="104"/>
    </row>
    <row r="111">
      <c r="A111" s="105">
        <v>45890.0</v>
      </c>
      <c r="B111" s="79" t="str">
        <f>IFERROR(__xludf.DUMMYFUNCTION("""COMPUTED_VALUE"""),"TGE-COL-DI-1A")</f>
        <v>TGE-COL-DI-1A</v>
      </c>
      <c r="C111" s="104"/>
      <c r="D111" s="104"/>
      <c r="E111" s="104" t="str">
        <f>IFERROR(__xludf.DUMMYFUNCTION("""COMPUTED_VALUE"""),"")</f>
        <v/>
      </c>
      <c r="F111" s="98">
        <v>12.5</v>
      </c>
      <c r="G111" s="110"/>
      <c r="H111" s="100"/>
      <c r="I111" s="98"/>
      <c r="J111" s="98"/>
      <c r="K111" s="110"/>
      <c r="L111" s="104"/>
      <c r="M111" s="98" t="s">
        <v>39</v>
      </c>
      <c r="N111" s="103" t="str">
        <f>IFERROR(__xludf.DUMMYFUNCTION("""COMPUTED_VALUE"""),"")</f>
        <v/>
      </c>
      <c r="O111" s="104"/>
      <c r="P111" s="104"/>
      <c r="Q111" s="104"/>
      <c r="R111" s="104" t="s">
        <v>245</v>
      </c>
      <c r="S111" s="104"/>
      <c r="T111" s="104" t="s">
        <v>3683</v>
      </c>
      <c r="U111" s="104"/>
      <c r="V111" s="104" t="s">
        <v>3683</v>
      </c>
      <c r="W111" s="104"/>
    </row>
    <row r="112">
      <c r="A112" s="105"/>
      <c r="B112" s="79" t="str">
        <f>IFERROR(__xludf.DUMMYFUNCTION("""COMPUTED_VALUE"""),"LOA-PH-DO-1A")</f>
        <v>LOA-PH-DO-1A</v>
      </c>
      <c r="C112" s="104"/>
      <c r="D112" s="104"/>
      <c r="E112" s="104" t="str">
        <f>IFERROR(__xludf.DUMMYFUNCTION("""COMPUTED_VALUE"""),"WO-PO-6-MU-1")</f>
        <v>WO-PO-6-MU-1</v>
      </c>
      <c r="F112" s="98">
        <v>44.0</v>
      </c>
      <c r="G112" s="110"/>
      <c r="H112" s="100"/>
      <c r="I112" s="98"/>
      <c r="J112" s="98"/>
      <c r="K112" s="110"/>
      <c r="L112" s="104"/>
      <c r="M112" s="98" t="s">
        <v>39</v>
      </c>
      <c r="N112" s="103" t="str">
        <f>IFERROR(__xludf.DUMMYFUNCTION("""COMPUTED_VALUE"""),"")</f>
        <v/>
      </c>
      <c r="O112" s="104"/>
      <c r="P112" s="102" t="s">
        <v>1481</v>
      </c>
      <c r="Q112" s="104"/>
      <c r="R112" s="104" t="s">
        <v>248</v>
      </c>
      <c r="S112" s="104"/>
      <c r="T112" s="104" t="s">
        <v>3684</v>
      </c>
      <c r="U112" s="104"/>
      <c r="V112" s="104" t="s">
        <v>3684</v>
      </c>
      <c r="W112" s="104"/>
    </row>
    <row r="113">
      <c r="A113" s="105">
        <v>45908.0</v>
      </c>
      <c r="B113" s="79" t="str">
        <f>IFERROR(__xludf.DUMMYFUNCTION("""COMPUTED_VALUE"""),"IST-CR-GJ-1A")</f>
        <v>IST-CR-GJ-1A</v>
      </c>
      <c r="C113" s="104"/>
      <c r="D113" s="104"/>
      <c r="E113" s="104" t="str">
        <f>IFERROR(__xludf.DUMMYFUNCTION("""COMPUTED_VALUE"""),"")</f>
        <v/>
      </c>
      <c r="F113" s="98">
        <v>0.0</v>
      </c>
      <c r="G113" s="110"/>
      <c r="H113" s="100"/>
      <c r="I113" s="98"/>
      <c r="J113" s="98"/>
      <c r="K113" s="110"/>
      <c r="L113" s="104"/>
      <c r="M113" s="98" t="s">
        <v>39</v>
      </c>
      <c r="N113" s="103" t="str">
        <f>IFERROR(__xludf.DUMMYFUNCTION("""COMPUTED_VALUE"""),"")</f>
        <v/>
      </c>
      <c r="O113" s="104"/>
      <c r="P113" s="104"/>
      <c r="Q113" s="104"/>
      <c r="R113" s="104" t="s">
        <v>251</v>
      </c>
      <c r="S113" s="104"/>
      <c r="T113" s="104" t="s">
        <v>3685</v>
      </c>
      <c r="U113" s="104"/>
      <c r="V113" s="104" t="s">
        <v>3685</v>
      </c>
      <c r="W113" s="104"/>
    </row>
    <row r="114">
      <c r="A114" s="105">
        <v>45909.0</v>
      </c>
      <c r="B114" s="79" t="str">
        <f>IFERROR(__xludf.DUMMYFUNCTION("""COMPUTED_VALUE"""),"DSE-AL-MAN-1A")</f>
        <v>DSE-AL-MAN-1A</v>
      </c>
      <c r="C114" s="104"/>
      <c r="D114" s="104"/>
      <c r="E114" s="104" t="str">
        <f>IFERROR(__xludf.DUMMYFUNCTION("""COMPUTED_VALUE"""),"ZO-PO-4-WL-1")</f>
        <v>ZO-PO-4-WL-1</v>
      </c>
      <c r="F114" s="98">
        <v>4.19</v>
      </c>
      <c r="G114" s="110"/>
      <c r="H114" s="100"/>
      <c r="I114" s="98"/>
      <c r="J114" s="98"/>
      <c r="K114" s="110"/>
      <c r="L114" s="104"/>
      <c r="M114" s="98" t="s">
        <v>39</v>
      </c>
      <c r="N114" s="103" t="str">
        <f>IFERROR(__xludf.DUMMYFUNCTION("""COMPUTED_VALUE"""),"")</f>
        <v/>
      </c>
      <c r="O114" s="104"/>
      <c r="P114" s="104"/>
      <c r="Q114" s="104"/>
      <c r="R114" s="104" t="s">
        <v>254</v>
      </c>
      <c r="S114" s="104">
        <v>15.0</v>
      </c>
      <c r="T114" s="104" t="s">
        <v>3686</v>
      </c>
      <c r="U114" s="104"/>
      <c r="V114" s="104" t="s">
        <v>3686</v>
      </c>
      <c r="W114" s="104"/>
    </row>
    <row r="115">
      <c r="A115" s="105">
        <v>45909.0</v>
      </c>
      <c r="B115" s="79" t="str">
        <f>IFERROR(__xludf.DUMMYFUNCTION("""COMPUTED_VALUE"""),"DSE-AL-MAN-1A-2")</f>
        <v>DSE-AL-MAN-1A-2</v>
      </c>
      <c r="C115" s="104"/>
      <c r="D115" s="104"/>
      <c r="E115" s="104" t="str">
        <f>IFERROR(__xludf.DUMMYFUNCTION("""COMPUTED_VALUE"""),"ZO-PO-4-WL-1")</f>
        <v>ZO-PO-4-WL-1</v>
      </c>
      <c r="F115" s="98">
        <v>4.19</v>
      </c>
      <c r="G115" s="110"/>
      <c r="H115" s="100"/>
      <c r="I115" s="98"/>
      <c r="J115" s="111"/>
      <c r="K115" s="112">
        <v>8.0</v>
      </c>
      <c r="L115" s="104"/>
      <c r="M115" s="98">
        <v>8.0</v>
      </c>
      <c r="N115" s="103" t="str">
        <f>IFERROR(__xludf.DUMMYFUNCTION("""COMPUTED_VALUE"""),"")</f>
        <v/>
      </c>
      <c r="O115" s="104"/>
      <c r="P115" s="102" t="s">
        <v>1626</v>
      </c>
      <c r="Q115" s="104"/>
      <c r="R115" s="104" t="s">
        <v>255</v>
      </c>
      <c r="S115" s="104">
        <v>15.0</v>
      </c>
      <c r="T115" s="104" t="s">
        <v>3687</v>
      </c>
      <c r="U115" s="104"/>
      <c r="V115" s="104" t="s">
        <v>3687</v>
      </c>
      <c r="W115" s="104"/>
    </row>
    <row r="116">
      <c r="A116" s="105">
        <v>45909.0</v>
      </c>
      <c r="B116" s="79" t="str">
        <f>IFERROR(__xludf.DUMMYFUNCTION("""COMPUTED_VALUE"""),"DSE-AL-MAN-1A-3")</f>
        <v>DSE-AL-MAN-1A-3</v>
      </c>
      <c r="C116" s="104"/>
      <c r="D116" s="104"/>
      <c r="E116" s="104" t="str">
        <f>IFERROR(__xludf.DUMMYFUNCTION("""COMPUTED_VALUE"""),"TE-PO-4-MU-2")</f>
        <v>TE-PO-4-MU-2</v>
      </c>
      <c r="F116" s="98">
        <v>4.19</v>
      </c>
      <c r="G116" s="110"/>
      <c r="H116" s="100"/>
      <c r="I116" s="98"/>
      <c r="J116" s="111"/>
      <c r="K116" s="112"/>
      <c r="L116" s="104"/>
      <c r="M116" s="98" t="s">
        <v>39</v>
      </c>
      <c r="N116" s="103" t="str">
        <f>IFERROR(__xludf.DUMMYFUNCTION("""COMPUTED_VALUE"""),"")</f>
        <v/>
      </c>
      <c r="O116" s="104"/>
      <c r="P116" s="104"/>
      <c r="Q116" s="104"/>
      <c r="R116" s="104" t="s">
        <v>256</v>
      </c>
      <c r="S116" s="104">
        <v>15.0</v>
      </c>
      <c r="T116" s="104" t="s">
        <v>3688</v>
      </c>
      <c r="U116" s="104"/>
      <c r="V116" s="104" t="s">
        <v>3688</v>
      </c>
      <c r="W116" s="104"/>
    </row>
    <row r="117">
      <c r="A117" s="105">
        <v>45909.0</v>
      </c>
      <c r="B117" s="79" t="str">
        <f>IFERROR(__xludf.DUMMYFUNCTION("""COMPUTED_VALUE"""),"DSE-AL-MAN-1A-4")</f>
        <v>DSE-AL-MAN-1A-4</v>
      </c>
      <c r="C117" s="104"/>
      <c r="D117" s="104"/>
      <c r="E117" s="104" t="str">
        <f>IFERROR(__xludf.DUMMYFUNCTION("""COMPUTED_VALUE"""),"TE-PO-4-MU-2")</f>
        <v>TE-PO-4-MU-2</v>
      </c>
      <c r="F117" s="98">
        <v>4.19</v>
      </c>
      <c r="G117" s="110"/>
      <c r="H117" s="100"/>
      <c r="I117" s="98"/>
      <c r="J117" s="98"/>
      <c r="K117" s="110"/>
      <c r="L117" s="104"/>
      <c r="M117" s="98" t="s">
        <v>39</v>
      </c>
      <c r="N117" s="103" t="str">
        <f>IFERROR(__xludf.DUMMYFUNCTION("""COMPUTED_VALUE"""),"")</f>
        <v/>
      </c>
      <c r="O117" s="104"/>
      <c r="P117" s="104"/>
      <c r="Q117" s="104"/>
      <c r="R117" s="104" t="s">
        <v>257</v>
      </c>
      <c r="S117" s="104">
        <v>15.0</v>
      </c>
      <c r="T117" s="104" t="s">
        <v>3689</v>
      </c>
      <c r="U117" s="104"/>
      <c r="V117" s="104" t="s">
        <v>3689</v>
      </c>
      <c r="W117" s="104"/>
    </row>
    <row r="118">
      <c r="A118" s="105">
        <v>45909.0</v>
      </c>
      <c r="B118" s="79" t="str">
        <f>IFERROR(__xludf.DUMMYFUNCTION("""COMPUTED_VALUE"""),"DSE-AL-MAN-1A-5")</f>
        <v>DSE-AL-MAN-1A-5</v>
      </c>
      <c r="C118" s="104"/>
      <c r="D118" s="104"/>
      <c r="E118" s="104" t="str">
        <f>IFERROR(__xludf.DUMMYFUNCTION("""COMPUTED_VALUE"""),"")</f>
        <v/>
      </c>
      <c r="F118" s="98">
        <v>4.19</v>
      </c>
      <c r="G118" s="110"/>
      <c r="H118" s="100"/>
      <c r="I118" s="98"/>
      <c r="J118" s="98"/>
      <c r="K118" s="110"/>
      <c r="L118" s="104"/>
      <c r="M118" s="98" t="s">
        <v>39</v>
      </c>
      <c r="N118" s="103" t="str">
        <f>IFERROR(__xludf.DUMMYFUNCTION("""COMPUTED_VALUE"""),"")</f>
        <v/>
      </c>
      <c r="O118" s="104"/>
      <c r="P118" s="104"/>
      <c r="Q118" s="104"/>
      <c r="R118" s="104" t="s">
        <v>258</v>
      </c>
      <c r="S118" s="104">
        <v>15.0</v>
      </c>
      <c r="T118" s="104" t="s">
        <v>3690</v>
      </c>
      <c r="U118" s="104"/>
      <c r="V118" s="104" t="s">
        <v>3690</v>
      </c>
      <c r="W118" s="104"/>
    </row>
    <row r="119">
      <c r="A119" s="105">
        <v>45909.0</v>
      </c>
      <c r="B119" s="79" t="str">
        <f>IFERROR(__xludf.DUMMYFUNCTION("""COMPUTED_VALUE"""),"DSE-COL-MOJ-1A")</f>
        <v>DSE-COL-MOJ-1A</v>
      </c>
      <c r="C119" s="104"/>
      <c r="D119" s="104"/>
      <c r="E119" s="104" t="str">
        <f>IFERROR(__xludf.DUMMYFUNCTION("""COMPUTED_VALUE"""),"MU-PO-4-WH-1")</f>
        <v>MU-PO-4-WH-1</v>
      </c>
      <c r="F119" s="98">
        <v>1.95</v>
      </c>
      <c r="G119" s="110"/>
      <c r="H119" s="100"/>
      <c r="I119" s="98"/>
      <c r="J119" s="111"/>
      <c r="K119" s="112"/>
      <c r="L119" s="104"/>
      <c r="M119" s="98" t="s">
        <v>39</v>
      </c>
      <c r="N119" s="103" t="str">
        <f>IFERROR(__xludf.DUMMYFUNCTION("""COMPUTED_VALUE"""),"")</f>
        <v/>
      </c>
      <c r="O119" s="104"/>
      <c r="P119" s="104"/>
      <c r="Q119" s="104"/>
      <c r="R119" s="104" t="s">
        <v>260</v>
      </c>
      <c r="S119" s="104"/>
      <c r="T119" s="104" t="s">
        <v>3691</v>
      </c>
      <c r="U119" s="104"/>
      <c r="V119" s="104" t="s">
        <v>3691</v>
      </c>
      <c r="W119" s="104"/>
    </row>
    <row r="120">
      <c r="A120" s="105">
        <v>45909.0</v>
      </c>
      <c r="B120" s="79" t="str">
        <f>IFERROR(__xludf.DUMMYFUNCTION("""COMPUTED_VALUE"""),"DSE-COL-MOJ-1A-2")</f>
        <v>DSE-COL-MOJ-1A-2</v>
      </c>
      <c r="C120" s="104"/>
      <c r="D120" s="104"/>
      <c r="E120" s="104" t="str">
        <f>IFERROR(__xludf.DUMMYFUNCTION("""COMPUTED_VALUE"""),"MU-PO-4-WH-1")</f>
        <v>MU-PO-4-WH-1</v>
      </c>
      <c r="F120" s="98">
        <v>1.95</v>
      </c>
      <c r="G120" s="110"/>
      <c r="H120" s="100"/>
      <c r="I120" s="98"/>
      <c r="J120" s="98"/>
      <c r="K120" s="110"/>
      <c r="L120" s="104"/>
      <c r="M120" s="98" t="s">
        <v>39</v>
      </c>
      <c r="N120" s="103" t="str">
        <f>IFERROR(__xludf.DUMMYFUNCTION("""COMPUTED_VALUE"""),"")</f>
        <v/>
      </c>
      <c r="O120" s="104"/>
      <c r="P120" s="104"/>
      <c r="Q120" s="104"/>
      <c r="R120" s="104" t="s">
        <v>261</v>
      </c>
      <c r="S120" s="104"/>
      <c r="T120" s="104" t="s">
        <v>3692</v>
      </c>
      <c r="U120" s="104"/>
      <c r="V120" s="104" t="s">
        <v>3692</v>
      </c>
      <c r="W120" s="104"/>
    </row>
    <row r="121">
      <c r="A121" s="105">
        <v>45909.0</v>
      </c>
      <c r="B121" s="79" t="str">
        <f>IFERROR(__xludf.DUMMYFUNCTION("""COMPUTED_VALUE"""),"DSE-COL-MOJ-1A-3")</f>
        <v>DSE-COL-MOJ-1A-3</v>
      </c>
      <c r="C121" s="104"/>
      <c r="D121" s="104"/>
      <c r="E121" s="104" t="str">
        <f>IFERROR(__xludf.DUMMYFUNCTION("""COMPUTED_VALUE"""),"MU-PO-4-WH-1")</f>
        <v>MU-PO-4-WH-1</v>
      </c>
      <c r="F121" s="98">
        <v>1.95</v>
      </c>
      <c r="G121" s="110"/>
      <c r="H121" s="100"/>
      <c r="I121" s="98"/>
      <c r="J121" s="98"/>
      <c r="K121" s="110"/>
      <c r="L121" s="104"/>
      <c r="M121" s="98" t="s">
        <v>39</v>
      </c>
      <c r="N121" s="103" t="str">
        <f>IFERROR(__xludf.DUMMYFUNCTION("""COMPUTED_VALUE"""),"")</f>
        <v/>
      </c>
      <c r="O121" s="104"/>
      <c r="P121" s="104"/>
      <c r="Q121" s="104"/>
      <c r="R121" s="104" t="s">
        <v>262</v>
      </c>
      <c r="S121" s="104"/>
      <c r="T121" s="104" t="s">
        <v>3693</v>
      </c>
      <c r="U121" s="104"/>
      <c r="V121" s="104" t="s">
        <v>3693</v>
      </c>
      <c r="W121" s="104"/>
    </row>
    <row r="122">
      <c r="A122" s="105">
        <v>45909.0</v>
      </c>
      <c r="B122" s="79" t="str">
        <f>IFERROR(__xludf.DUMMYFUNCTION("""COMPUTED_VALUE"""),"DSE-COL-MOJ-1A-4")</f>
        <v>DSE-COL-MOJ-1A-4</v>
      </c>
      <c r="C122" s="104"/>
      <c r="D122" s="104"/>
      <c r="E122" s="104" t="str">
        <f>IFERROR(__xludf.DUMMYFUNCTION("""COMPUTED_VALUE"""),"MU-PO-4-WH-1")</f>
        <v>MU-PO-4-WH-1</v>
      </c>
      <c r="F122" s="98">
        <v>1.95</v>
      </c>
      <c r="G122" s="110"/>
      <c r="H122" s="100"/>
      <c r="I122" s="98"/>
      <c r="J122" s="98"/>
      <c r="K122" s="110"/>
      <c r="L122" s="104"/>
      <c r="M122" s="98" t="s">
        <v>39</v>
      </c>
      <c r="N122" s="103" t="str">
        <f>IFERROR(__xludf.DUMMYFUNCTION("""COMPUTED_VALUE"""),"")</f>
        <v/>
      </c>
      <c r="O122" s="104"/>
      <c r="P122" s="104"/>
      <c r="Q122" s="104"/>
      <c r="R122" s="104" t="s">
        <v>263</v>
      </c>
      <c r="S122" s="104"/>
      <c r="T122" s="104" t="s">
        <v>3694</v>
      </c>
      <c r="U122" s="104"/>
      <c r="V122" s="104" t="s">
        <v>3694</v>
      </c>
      <c r="W122" s="104"/>
    </row>
    <row r="123">
      <c r="A123" s="94">
        <v>45909.0</v>
      </c>
      <c r="B123" s="79" t="str">
        <f>IFERROR(__xludf.DUMMYFUNCTION("""COMPUTED_VALUE"""),"DSE-COL-MOJ-1A-5")</f>
        <v>DSE-COL-MOJ-1A-5</v>
      </c>
      <c r="C123" s="102" t="s">
        <v>259</v>
      </c>
      <c r="D123" s="104"/>
      <c r="E123" s="104" t="str">
        <f>IFERROR(__xludf.DUMMYFUNCTION("""COMPUTED_VALUE"""),"MU-PO-4-WH-1")</f>
        <v>MU-PO-4-WH-1</v>
      </c>
      <c r="F123" s="98">
        <v>1.95</v>
      </c>
      <c r="G123" s="110"/>
      <c r="H123" s="100"/>
      <c r="I123" s="98"/>
      <c r="J123" s="111"/>
      <c r="K123" s="112"/>
      <c r="L123" s="104"/>
      <c r="M123" s="98" t="s">
        <v>39</v>
      </c>
      <c r="N123" s="103" t="str">
        <f>IFERROR(__xludf.DUMMYFUNCTION("""COMPUTED_VALUE"""),"")</f>
        <v/>
      </c>
      <c r="O123" s="104"/>
      <c r="P123" s="104"/>
      <c r="Q123" s="104"/>
      <c r="R123" s="104" t="s">
        <v>264</v>
      </c>
      <c r="S123" s="104"/>
      <c r="T123" s="104" t="s">
        <v>3695</v>
      </c>
      <c r="U123" s="104"/>
      <c r="V123" s="104" t="s">
        <v>3695</v>
      </c>
      <c r="W123" s="104"/>
    </row>
    <row r="124">
      <c r="A124" s="105">
        <v>45909.0</v>
      </c>
      <c r="B124" s="79" t="str">
        <f>IFERROR(__xludf.DUMMYFUNCTION("""COMPUTED_VALUE"""),"DSE-COL-MOJ-1A-6")</f>
        <v>DSE-COL-MOJ-1A-6</v>
      </c>
      <c r="C124" s="104"/>
      <c r="D124" s="104"/>
      <c r="E124" s="104" t="str">
        <f>IFERROR(__xludf.DUMMYFUNCTION("""COMPUTED_VALUE"""),"MU-PO-4-WH-1")</f>
        <v>MU-PO-4-WH-1</v>
      </c>
      <c r="F124" s="98">
        <v>1.95</v>
      </c>
      <c r="G124" s="110"/>
      <c r="H124" s="100"/>
      <c r="I124" s="98"/>
      <c r="J124" s="111"/>
      <c r="K124" s="110"/>
      <c r="L124" s="104"/>
      <c r="M124" s="98" t="s">
        <v>39</v>
      </c>
      <c r="N124" s="103" t="str">
        <f>IFERROR(__xludf.DUMMYFUNCTION("""COMPUTED_VALUE"""),"")</f>
        <v/>
      </c>
      <c r="O124" s="104"/>
      <c r="P124" s="104"/>
      <c r="Q124" s="104"/>
      <c r="R124" s="104" t="s">
        <v>266</v>
      </c>
      <c r="S124" s="104"/>
      <c r="T124" s="104" t="s">
        <v>3696</v>
      </c>
      <c r="U124" s="104"/>
      <c r="V124" s="104" t="s">
        <v>3696</v>
      </c>
      <c r="W124" s="104"/>
    </row>
    <row r="125">
      <c r="A125" s="105">
        <v>45909.0</v>
      </c>
      <c r="B125" s="79" t="str">
        <f>IFERROR(__xludf.DUMMYFUNCTION("""COMPUTED_VALUE"""),"DSE-COL-MOJ-1A-7")</f>
        <v>DSE-COL-MOJ-1A-7</v>
      </c>
      <c r="C125" s="104"/>
      <c r="D125" s="104"/>
      <c r="E125" s="104" t="str">
        <f>IFERROR(__xludf.DUMMYFUNCTION("""COMPUTED_VALUE"""),"MU-PO-4-WH-1")</f>
        <v>MU-PO-4-WH-1</v>
      </c>
      <c r="F125" s="98">
        <v>1.95</v>
      </c>
      <c r="G125" s="110"/>
      <c r="H125" s="100"/>
      <c r="I125" s="98"/>
      <c r="J125" s="111"/>
      <c r="K125" s="110"/>
      <c r="L125" s="104"/>
      <c r="M125" s="98" t="s">
        <v>39</v>
      </c>
      <c r="N125" s="103" t="str">
        <f>IFERROR(__xludf.DUMMYFUNCTION("""COMPUTED_VALUE"""),"")</f>
        <v/>
      </c>
      <c r="O125" s="104"/>
      <c r="P125" s="104"/>
      <c r="Q125" s="104"/>
      <c r="R125" s="104" t="s">
        <v>268</v>
      </c>
      <c r="S125" s="104"/>
      <c r="T125" s="104" t="s">
        <v>3697</v>
      </c>
      <c r="U125" s="104"/>
      <c r="V125" s="104" t="s">
        <v>3697</v>
      </c>
      <c r="W125" s="104"/>
    </row>
    <row r="126">
      <c r="A126" s="105">
        <v>45909.0</v>
      </c>
      <c r="B126" s="79" t="str">
        <f>IFERROR(__xludf.DUMMYFUNCTION("""COMPUTED_VALUE"""),"DSE-COL-MOJ-1A-8")</f>
        <v>DSE-COL-MOJ-1A-8</v>
      </c>
      <c r="C126" s="104"/>
      <c r="D126" s="104"/>
      <c r="E126" s="104" t="str">
        <f>IFERROR(__xludf.DUMMYFUNCTION("""COMPUTED_VALUE"""),"MU-PO-4-WH-1")</f>
        <v>MU-PO-4-WH-1</v>
      </c>
      <c r="F126" s="98">
        <v>1.95</v>
      </c>
      <c r="G126" s="110"/>
      <c r="H126" s="100"/>
      <c r="I126" s="98"/>
      <c r="J126" s="111"/>
      <c r="K126" s="110"/>
      <c r="L126" s="104"/>
      <c r="M126" s="98" t="s">
        <v>39</v>
      </c>
      <c r="N126" s="103" t="str">
        <f>IFERROR(__xludf.DUMMYFUNCTION("""COMPUTED_VALUE"""),"")</f>
        <v/>
      </c>
      <c r="O126" s="104"/>
      <c r="P126" s="104"/>
      <c r="Q126" s="104"/>
      <c r="R126" s="104" t="s">
        <v>270</v>
      </c>
      <c r="S126" s="104"/>
      <c r="T126" s="104" t="s">
        <v>3698</v>
      </c>
      <c r="U126" s="104"/>
      <c r="V126" s="104" t="s">
        <v>3698</v>
      </c>
      <c r="W126" s="104"/>
    </row>
    <row r="127">
      <c r="A127" s="105">
        <v>45909.0</v>
      </c>
      <c r="B127" s="79" t="str">
        <f>IFERROR(__xludf.DUMMYFUNCTION("""COMPUTED_VALUE"""),"DSE-COL-MOJ-1A-9")</f>
        <v>DSE-COL-MOJ-1A-9</v>
      </c>
      <c r="C127" s="104"/>
      <c r="D127" s="104"/>
      <c r="E127" s="104" t="str">
        <f>IFERROR(__xludf.DUMMYFUNCTION("""COMPUTED_VALUE"""),"MU-PO-4-WH-1")</f>
        <v>MU-PO-4-WH-1</v>
      </c>
      <c r="F127" s="98">
        <v>1.95</v>
      </c>
      <c r="G127" s="110"/>
      <c r="H127" s="100"/>
      <c r="I127" s="98"/>
      <c r="J127" s="98"/>
      <c r="K127" s="112">
        <v>0.0</v>
      </c>
      <c r="L127" s="104"/>
      <c r="M127" s="98">
        <v>0.0</v>
      </c>
      <c r="N127" s="103" t="str">
        <f>IFERROR(__xludf.DUMMYFUNCTION("""COMPUTED_VALUE"""),"")</f>
        <v/>
      </c>
      <c r="O127" s="104"/>
      <c r="P127" s="102" t="s">
        <v>1626</v>
      </c>
      <c r="Q127" s="104"/>
      <c r="R127" s="104" t="s">
        <v>272</v>
      </c>
      <c r="S127" s="104"/>
      <c r="T127" s="104" t="s">
        <v>3699</v>
      </c>
      <c r="U127" s="104"/>
      <c r="V127" s="104" t="s">
        <v>3699</v>
      </c>
      <c r="W127" s="104"/>
    </row>
    <row r="128">
      <c r="A128" s="105">
        <v>45909.0</v>
      </c>
      <c r="B128" s="79" t="str">
        <f>IFERROR(__xludf.DUMMYFUNCTION("""COMPUTED_VALUE"""),"DSE-AL-PC-1A")</f>
        <v>DSE-AL-PC-1A</v>
      </c>
      <c r="C128" s="104"/>
      <c r="D128" s="104"/>
      <c r="E128" s="104" t="str">
        <f>IFERROR(__xludf.DUMMYFUNCTION("""COMPUTED_VALUE"""),"AN-PO-3-MU-1")</f>
        <v>AN-PO-3-MU-1</v>
      </c>
      <c r="F128" s="98">
        <v>4.19</v>
      </c>
      <c r="G128" s="110"/>
      <c r="H128" s="100"/>
      <c r="I128" s="98"/>
      <c r="J128" s="98"/>
      <c r="K128" s="110"/>
      <c r="L128" s="104"/>
      <c r="M128" s="98" t="s">
        <v>39</v>
      </c>
      <c r="N128" s="103" t="str">
        <f>IFERROR(__xludf.DUMMYFUNCTION("""COMPUTED_VALUE"""),"")</f>
        <v/>
      </c>
      <c r="O128" s="104"/>
      <c r="P128" s="104"/>
      <c r="Q128" s="104"/>
      <c r="R128" s="104" t="s">
        <v>274</v>
      </c>
      <c r="S128" s="104"/>
      <c r="T128" s="104" t="s">
        <v>3700</v>
      </c>
      <c r="U128" s="104"/>
      <c r="V128" s="104" t="s">
        <v>3700</v>
      </c>
      <c r="W128" s="104"/>
    </row>
    <row r="129">
      <c r="A129" s="105">
        <v>45909.0</v>
      </c>
      <c r="B129" s="79" t="str">
        <f>IFERROR(__xludf.DUMMYFUNCTION("""COMPUTED_VALUE"""),"DSE-AL-PC-1A-2")</f>
        <v>DSE-AL-PC-1A-2</v>
      </c>
      <c r="C129" s="104"/>
      <c r="D129" s="104"/>
      <c r="E129" s="104" t="str">
        <f>IFERROR(__xludf.DUMMYFUNCTION("""COMPUTED_VALUE"""),"OM-PO-4-CR-1")</f>
        <v>OM-PO-4-CR-1</v>
      </c>
      <c r="F129" s="98">
        <v>4.19</v>
      </c>
      <c r="G129" s="110"/>
      <c r="H129" s="100"/>
      <c r="I129" s="98"/>
      <c r="J129" s="98"/>
      <c r="K129" s="110"/>
      <c r="L129" s="104"/>
      <c r="M129" s="98" t="s">
        <v>39</v>
      </c>
      <c r="N129" s="103" t="str">
        <f>IFERROR(__xludf.DUMMYFUNCTION("""COMPUTED_VALUE"""),"")</f>
        <v/>
      </c>
      <c r="O129" s="104"/>
      <c r="P129" s="102"/>
      <c r="Q129" s="104"/>
      <c r="R129" s="104" t="s">
        <v>275</v>
      </c>
      <c r="S129" s="104"/>
      <c r="T129" s="104" t="s">
        <v>3701</v>
      </c>
      <c r="U129" s="104"/>
      <c r="V129" s="104" t="s">
        <v>3701</v>
      </c>
      <c r="W129" s="104"/>
    </row>
    <row r="130">
      <c r="A130" s="105">
        <v>45909.0</v>
      </c>
      <c r="B130" s="79" t="str">
        <f>IFERROR(__xludf.DUMMYFUNCTION("""COMPUTED_VALUE"""),"DSE-AL-PC-1A-3")</f>
        <v>DSE-AL-PC-1A-3</v>
      </c>
      <c r="C130" s="104"/>
      <c r="D130" s="104"/>
      <c r="E130" s="104" t="str">
        <f>IFERROR(__xludf.DUMMYFUNCTION("""COMPUTED_VALUE"""),"TE-PO-4-MU-1")</f>
        <v>TE-PO-4-MU-1</v>
      </c>
      <c r="F130" s="98">
        <v>4.19</v>
      </c>
      <c r="G130" s="110"/>
      <c r="H130" s="100"/>
      <c r="I130" s="98"/>
      <c r="J130" s="98"/>
      <c r="K130" s="110"/>
      <c r="L130" s="104"/>
      <c r="M130" s="98" t="s">
        <v>39</v>
      </c>
      <c r="N130" s="103" t="str">
        <f>IFERROR(__xludf.DUMMYFUNCTION("""COMPUTED_VALUE"""),"")</f>
        <v/>
      </c>
      <c r="O130" s="104"/>
      <c r="P130" s="102"/>
      <c r="Q130" s="104"/>
      <c r="R130" s="104" t="s">
        <v>276</v>
      </c>
      <c r="S130" s="104"/>
      <c r="T130" s="104" t="s">
        <v>3702</v>
      </c>
      <c r="U130" s="104"/>
      <c r="V130" s="104" t="s">
        <v>3702</v>
      </c>
      <c r="W130" s="104"/>
    </row>
    <row r="131">
      <c r="A131" s="105">
        <v>45909.0</v>
      </c>
      <c r="B131" s="79" t="str">
        <f>IFERROR(__xludf.DUMMYFUNCTION("""COMPUTED_VALUE"""),"DSE-AL-PC-1A-4")</f>
        <v>DSE-AL-PC-1A-4</v>
      </c>
      <c r="C131" s="104"/>
      <c r="D131" s="104"/>
      <c r="E131" s="104" t="str">
        <f>IFERROR(__xludf.DUMMYFUNCTION("""COMPUTED_VALUE"""),"TE-PO-4-MU-1")</f>
        <v>TE-PO-4-MU-1</v>
      </c>
      <c r="F131" s="98">
        <v>4.19</v>
      </c>
      <c r="G131" s="110"/>
      <c r="H131" s="100"/>
      <c r="I131" s="98"/>
      <c r="J131" s="111"/>
      <c r="K131" s="110"/>
      <c r="L131" s="104"/>
      <c r="M131" s="98" t="s">
        <v>39</v>
      </c>
      <c r="N131" s="103" t="str">
        <f>IFERROR(__xludf.DUMMYFUNCTION("""COMPUTED_VALUE"""),"")</f>
        <v/>
      </c>
      <c r="O131" s="104"/>
      <c r="P131" s="104"/>
      <c r="Q131" s="104"/>
      <c r="R131" s="104" t="s">
        <v>277</v>
      </c>
      <c r="S131" s="104"/>
      <c r="T131" s="104" t="s">
        <v>3703</v>
      </c>
      <c r="U131" s="104"/>
      <c r="V131" s="104" t="s">
        <v>3703</v>
      </c>
      <c r="W131" s="104"/>
    </row>
    <row r="132">
      <c r="A132" s="105">
        <v>45909.0</v>
      </c>
      <c r="B132" s="79" t="str">
        <f>IFERROR(__xludf.DUMMYFUNCTION("""COMPUTED_VALUE"""),"DSE-PIP-CR-1A")</f>
        <v>DSE-PIP-CR-1A</v>
      </c>
      <c r="C132" s="104"/>
      <c r="D132" s="104"/>
      <c r="E132" s="104" t="str">
        <f>IFERROR(__xludf.DUMMYFUNCTION("""COMPUTED_VALUE"""),"")</f>
        <v/>
      </c>
      <c r="F132" s="98">
        <v>4.19</v>
      </c>
      <c r="G132" s="110"/>
      <c r="H132" s="100"/>
      <c r="I132" s="98"/>
      <c r="J132" s="111"/>
      <c r="K132" s="110"/>
      <c r="L132" s="104"/>
      <c r="M132" s="98" t="s">
        <v>39</v>
      </c>
      <c r="N132" s="103" t="str">
        <f>IFERROR(__xludf.DUMMYFUNCTION("""COMPUTED_VALUE"""),"")</f>
        <v/>
      </c>
      <c r="O132" s="104"/>
      <c r="P132" s="104"/>
      <c r="Q132" s="104"/>
      <c r="R132" s="104" t="s">
        <v>280</v>
      </c>
      <c r="S132" s="104"/>
      <c r="T132" s="104" t="s">
        <v>3704</v>
      </c>
      <c r="U132" s="104"/>
      <c r="V132" s="104" t="s">
        <v>3704</v>
      </c>
      <c r="W132" s="104"/>
    </row>
    <row r="133">
      <c r="A133" s="94">
        <v>45909.0</v>
      </c>
      <c r="B133" s="79" t="str">
        <f>IFERROR(__xludf.DUMMYFUNCTION("""COMPUTED_VALUE"""),"DSE-PIP-CR-1A-2")</f>
        <v>DSE-PIP-CR-1A-2</v>
      </c>
      <c r="C133" s="104"/>
      <c r="D133" s="104"/>
      <c r="E133" s="104" t="str">
        <f>IFERROR(__xludf.DUMMYFUNCTION("""COMPUTED_VALUE"""),"")</f>
        <v/>
      </c>
      <c r="F133" s="98">
        <v>4.19</v>
      </c>
      <c r="G133" s="110"/>
      <c r="H133" s="100"/>
      <c r="I133" s="98"/>
      <c r="J133" s="111"/>
      <c r="K133" s="110"/>
      <c r="L133" s="104"/>
      <c r="M133" s="98" t="s">
        <v>39</v>
      </c>
      <c r="N133" s="103" t="str">
        <f>IFERROR(__xludf.DUMMYFUNCTION("""COMPUTED_VALUE"""),"")</f>
        <v/>
      </c>
      <c r="O133" s="104"/>
      <c r="P133" s="104"/>
      <c r="Q133" s="104"/>
      <c r="R133" s="104" t="s">
        <v>281</v>
      </c>
      <c r="S133" s="104"/>
      <c r="T133" s="104" t="s">
        <v>3705</v>
      </c>
      <c r="U133" s="104"/>
      <c r="V133" s="104" t="s">
        <v>3705</v>
      </c>
      <c r="W133" s="104"/>
    </row>
    <row r="134">
      <c r="A134" s="94">
        <v>45909.0</v>
      </c>
      <c r="B134" s="79" t="str">
        <f>IFERROR(__xludf.DUMMYFUNCTION("""COMPUTED_VALUE"""),"DSE-PIP-CR-1A-3")</f>
        <v>DSE-PIP-CR-1A-3</v>
      </c>
      <c r="C134" s="104"/>
      <c r="D134" s="104"/>
      <c r="E134" s="104" t="str">
        <f>IFERROR(__xludf.DUMMYFUNCTION("""COMPUTED_VALUE"""),"")</f>
        <v/>
      </c>
      <c r="F134" s="98">
        <v>4.19</v>
      </c>
      <c r="G134" s="110"/>
      <c r="H134" s="100"/>
      <c r="I134" s="98"/>
      <c r="J134" s="111"/>
      <c r="K134" s="110"/>
      <c r="L134" s="104"/>
      <c r="M134" s="98" t="s">
        <v>39</v>
      </c>
      <c r="N134" s="103" t="str">
        <f>IFERROR(__xludf.DUMMYFUNCTION("""COMPUTED_VALUE"""),"")</f>
        <v/>
      </c>
      <c r="O134" s="104"/>
      <c r="P134" s="104"/>
      <c r="Q134" s="104"/>
      <c r="R134" s="104" t="s">
        <v>282</v>
      </c>
      <c r="S134" s="104"/>
      <c r="T134" s="104" t="s">
        <v>3706</v>
      </c>
      <c r="U134" s="104"/>
      <c r="V134" s="104" t="s">
        <v>3706</v>
      </c>
      <c r="W134" s="104"/>
    </row>
    <row r="135">
      <c r="A135" s="105">
        <v>45909.0</v>
      </c>
      <c r="B135" s="79" t="str">
        <f>IFERROR(__xludf.DUMMYFUNCTION("""COMPUTED_VALUE"""),"DSE-AL-PO-1A")</f>
        <v>DSE-AL-PO-1A</v>
      </c>
      <c r="C135" s="104"/>
      <c r="D135" s="104"/>
      <c r="E135" s="104" t="str">
        <f>IFERROR(__xludf.DUMMYFUNCTION("""COMPUTED_VALUE"""),"EL-PO-4.3-CM-1")</f>
        <v>EL-PO-4.3-CM-1</v>
      </c>
      <c r="F135" s="98">
        <v>4.19</v>
      </c>
      <c r="G135" s="110"/>
      <c r="H135" s="100"/>
      <c r="I135" s="98"/>
      <c r="J135" s="111"/>
      <c r="K135" s="110"/>
      <c r="L135" s="104"/>
      <c r="M135" s="98" t="s">
        <v>39</v>
      </c>
      <c r="N135" s="103" t="str">
        <f>IFERROR(__xludf.DUMMYFUNCTION("""COMPUTED_VALUE"""),"")</f>
        <v/>
      </c>
      <c r="O135" s="104"/>
      <c r="P135" s="104"/>
      <c r="Q135" s="104"/>
      <c r="R135" s="104" t="s">
        <v>284</v>
      </c>
      <c r="S135" s="104">
        <v>15.0</v>
      </c>
      <c r="T135" s="104" t="s">
        <v>3707</v>
      </c>
      <c r="U135" s="104"/>
      <c r="V135" s="104" t="s">
        <v>3707</v>
      </c>
      <c r="W135" s="104"/>
    </row>
    <row r="136">
      <c r="A136" s="105">
        <v>45909.0</v>
      </c>
      <c r="B136" s="79" t="str">
        <f>IFERROR(__xludf.DUMMYFUNCTION("""COMPUTED_VALUE"""),"DSE-AL-PO-1A-2")</f>
        <v>DSE-AL-PO-1A-2</v>
      </c>
      <c r="C136" s="104"/>
      <c r="D136" s="104"/>
      <c r="E136" s="104" t="str">
        <f>IFERROR(__xludf.DUMMYFUNCTION("""COMPUTED_VALUE"""),"TE-PO-4-MU-2")</f>
        <v>TE-PO-4-MU-2</v>
      </c>
      <c r="F136" s="98">
        <v>4.19</v>
      </c>
      <c r="G136" s="110"/>
      <c r="H136" s="100"/>
      <c r="I136" s="98"/>
      <c r="J136" s="111"/>
      <c r="K136" s="110"/>
      <c r="L136" s="104"/>
      <c r="M136" s="98" t="s">
        <v>39</v>
      </c>
      <c r="N136" s="103" t="str">
        <f>IFERROR(__xludf.DUMMYFUNCTION("""COMPUTED_VALUE"""),"")</f>
        <v/>
      </c>
      <c r="O136" s="104"/>
      <c r="P136" s="104"/>
      <c r="Q136" s="104"/>
      <c r="R136" s="104" t="s">
        <v>285</v>
      </c>
      <c r="S136" s="104">
        <v>15.0</v>
      </c>
      <c r="T136" s="104" t="s">
        <v>3708</v>
      </c>
      <c r="U136" s="104"/>
      <c r="V136" s="104" t="s">
        <v>3708</v>
      </c>
      <c r="W136" s="104"/>
    </row>
    <row r="137">
      <c r="A137" s="105">
        <v>45909.0</v>
      </c>
      <c r="B137" s="79" t="str">
        <f>IFERROR(__xludf.DUMMYFUNCTION("""COMPUTED_VALUE"""),"DSE-AL-PO-1A-3")</f>
        <v>DSE-AL-PO-1A-3</v>
      </c>
      <c r="C137" s="104"/>
      <c r="D137" s="104"/>
      <c r="E137" s="104" t="str">
        <f>IFERROR(__xludf.DUMMYFUNCTION("""COMPUTED_VALUE"""),"TE-PO-4-MU-2")</f>
        <v>TE-PO-4-MU-2</v>
      </c>
      <c r="F137" s="98">
        <v>4.19</v>
      </c>
      <c r="G137" s="110"/>
      <c r="H137" s="100"/>
      <c r="I137" s="98"/>
      <c r="J137" s="111"/>
      <c r="K137" s="110"/>
      <c r="L137" s="104"/>
      <c r="M137" s="98" t="s">
        <v>39</v>
      </c>
      <c r="N137" s="103" t="str">
        <f>IFERROR(__xludf.DUMMYFUNCTION("""COMPUTED_VALUE"""),"")</f>
        <v/>
      </c>
      <c r="O137" s="104"/>
      <c r="P137" s="104"/>
      <c r="Q137" s="104"/>
      <c r="R137" s="104" t="s">
        <v>286</v>
      </c>
      <c r="S137" s="104">
        <v>15.0</v>
      </c>
      <c r="T137" s="104" t="s">
        <v>3709</v>
      </c>
      <c r="U137" s="104"/>
      <c r="V137" s="104" t="s">
        <v>3709</v>
      </c>
      <c r="W137" s="104"/>
    </row>
    <row r="138">
      <c r="A138" s="105">
        <v>45909.0</v>
      </c>
      <c r="B138" s="79" t="str">
        <f>IFERROR(__xludf.DUMMYFUNCTION("""COMPUTED_VALUE"""),"DSE-AL-PO-1A-4")</f>
        <v>DSE-AL-PO-1A-4</v>
      </c>
      <c r="C138" s="104"/>
      <c r="D138" s="104"/>
      <c r="E138" s="104" t="str">
        <f>IFERROR(__xludf.DUMMYFUNCTION("""COMPUTED_VALUE"""),"TE-PO-4-MU-2")</f>
        <v>TE-PO-4-MU-2</v>
      </c>
      <c r="F138" s="98">
        <v>4.19</v>
      </c>
      <c r="G138" s="110"/>
      <c r="H138" s="100"/>
      <c r="I138" s="98"/>
      <c r="J138" s="111"/>
      <c r="K138" s="110"/>
      <c r="L138" s="104"/>
      <c r="M138" s="98" t="s">
        <v>39</v>
      </c>
      <c r="N138" s="103" t="str">
        <f>IFERROR(__xludf.DUMMYFUNCTION("""COMPUTED_VALUE"""),"")</f>
        <v/>
      </c>
      <c r="O138" s="104"/>
      <c r="P138" s="104"/>
      <c r="Q138" s="104"/>
      <c r="R138" s="104" t="s">
        <v>287</v>
      </c>
      <c r="S138" s="104">
        <v>15.0</v>
      </c>
      <c r="T138" s="104" t="s">
        <v>3710</v>
      </c>
      <c r="U138" s="104"/>
      <c r="V138" s="104" t="s">
        <v>3710</v>
      </c>
      <c r="W138" s="104"/>
    </row>
    <row r="139">
      <c r="A139" s="105">
        <v>45909.0</v>
      </c>
      <c r="B139" s="79" t="str">
        <f>IFERROR(__xludf.DUMMYFUNCTION("""COMPUTED_VALUE"""),"DSE-PH-MF-1A")</f>
        <v>DSE-PH-MF-1A</v>
      </c>
      <c r="C139" s="104"/>
      <c r="D139" s="104"/>
      <c r="E139" s="104" t="str">
        <f>IFERROR(__xludf.DUMMYFUNCTION("""COMPUTED_VALUE"""),"GA-PO-4-WH-1")</f>
        <v>GA-PO-4-WH-1</v>
      </c>
      <c r="F139" s="98">
        <v>4.19</v>
      </c>
      <c r="G139" s="110"/>
      <c r="H139" s="100"/>
      <c r="I139" s="98"/>
      <c r="J139" s="111"/>
      <c r="K139" s="110"/>
      <c r="L139" s="104"/>
      <c r="M139" s="98" t="s">
        <v>39</v>
      </c>
      <c r="N139" s="103" t="str">
        <f>IFERROR(__xludf.DUMMYFUNCTION("""COMPUTED_VALUE"""),"")</f>
        <v/>
      </c>
      <c r="O139" s="104"/>
      <c r="P139" s="104"/>
      <c r="Q139" s="104"/>
      <c r="R139" s="104" t="s">
        <v>289</v>
      </c>
      <c r="S139" s="104">
        <v>15.0</v>
      </c>
      <c r="T139" s="104" t="s">
        <v>3711</v>
      </c>
      <c r="U139" s="104"/>
      <c r="V139" s="104" t="s">
        <v>3711</v>
      </c>
      <c r="W139" s="104"/>
    </row>
    <row r="140">
      <c r="A140" s="105">
        <v>45909.0</v>
      </c>
      <c r="B140" s="79" t="str">
        <f>IFERROR(__xludf.DUMMYFUNCTION("""COMPUTED_VALUE"""),"DSE-PH-MF-1A-2")</f>
        <v>DSE-PH-MF-1A-2</v>
      </c>
      <c r="C140" s="104"/>
      <c r="D140" s="104"/>
      <c r="E140" s="104" t="str">
        <f>IFERROR(__xludf.DUMMYFUNCTION("""COMPUTED_VALUE"""),"GA-PO-4-WH-1")</f>
        <v>GA-PO-4-WH-1</v>
      </c>
      <c r="F140" s="98">
        <v>4.19</v>
      </c>
      <c r="G140" s="110"/>
      <c r="H140" s="100"/>
      <c r="I140" s="98"/>
      <c r="J140" s="111"/>
      <c r="K140" s="110"/>
      <c r="L140" s="104"/>
      <c r="M140" s="98" t="s">
        <v>39</v>
      </c>
      <c r="N140" s="103" t="str">
        <f>IFERROR(__xludf.DUMMYFUNCTION("""COMPUTED_VALUE"""),"")</f>
        <v/>
      </c>
      <c r="O140" s="104"/>
      <c r="P140" s="102" t="s">
        <v>1692</v>
      </c>
      <c r="Q140" s="104"/>
      <c r="R140" s="104" t="s">
        <v>290</v>
      </c>
      <c r="S140" s="104">
        <v>15.0</v>
      </c>
      <c r="T140" s="104" t="s">
        <v>3712</v>
      </c>
      <c r="U140" s="104"/>
      <c r="V140" s="104" t="s">
        <v>3712</v>
      </c>
      <c r="W140" s="104"/>
    </row>
    <row r="141">
      <c r="A141" s="105">
        <v>45909.0</v>
      </c>
      <c r="B141" s="79" t="str">
        <f>IFERROR(__xludf.DUMMYFUNCTION("""COMPUTED_VALUE"""),"DSE-PH-MF-1A-3")</f>
        <v>DSE-PH-MF-1A-3</v>
      </c>
      <c r="C141" s="104"/>
      <c r="D141" s="104"/>
      <c r="E141" s="104" t="str">
        <f>IFERROR(__xludf.DUMMYFUNCTION("""COMPUTED_VALUE"""),"GA-PO-4-WH-1")</f>
        <v>GA-PO-4-WH-1</v>
      </c>
      <c r="F141" s="98">
        <v>4.19</v>
      </c>
      <c r="G141" s="110"/>
      <c r="H141" s="100"/>
      <c r="I141" s="98"/>
      <c r="J141" s="111"/>
      <c r="K141" s="112">
        <v>10.0</v>
      </c>
      <c r="L141" s="104"/>
      <c r="M141" s="98">
        <v>10.0</v>
      </c>
      <c r="N141" s="103" t="str">
        <f>IFERROR(__xludf.DUMMYFUNCTION("""COMPUTED_VALUE"""),"")</f>
        <v/>
      </c>
      <c r="O141" s="104"/>
      <c r="P141" s="102" t="s">
        <v>1626</v>
      </c>
      <c r="Q141" s="104"/>
      <c r="R141" s="104" t="s">
        <v>291</v>
      </c>
      <c r="S141" s="104">
        <v>15.0</v>
      </c>
      <c r="T141" s="104" t="s">
        <v>3713</v>
      </c>
      <c r="U141" s="104"/>
      <c r="V141" s="104" t="s">
        <v>3713</v>
      </c>
      <c r="W141" s="104"/>
    </row>
    <row r="142">
      <c r="A142" s="105">
        <v>45909.0</v>
      </c>
      <c r="B142" s="79" t="str">
        <f>IFERROR(__xludf.DUMMYFUNCTION("""COMPUTED_VALUE"""),"DSE-PH-MF-1A-4")</f>
        <v>DSE-PH-MF-1A-4</v>
      </c>
      <c r="C142" s="104"/>
      <c r="D142" s="104"/>
      <c r="E142" s="104" t="str">
        <f>IFERROR(__xludf.DUMMYFUNCTION("""COMPUTED_VALUE"""),"YA-PO-2-CL-1")</f>
        <v>YA-PO-2-CL-1</v>
      </c>
      <c r="F142" s="98">
        <v>4.19</v>
      </c>
      <c r="G142" s="110"/>
      <c r="H142" s="100"/>
      <c r="I142" s="98"/>
      <c r="J142" s="111"/>
      <c r="K142" s="110"/>
      <c r="L142" s="104"/>
      <c r="M142" s="98" t="s">
        <v>39</v>
      </c>
      <c r="N142" s="103" t="str">
        <f>IFERROR(__xludf.DUMMYFUNCTION("""COMPUTED_VALUE"""),"")</f>
        <v/>
      </c>
      <c r="O142" s="104"/>
      <c r="P142" s="102" t="s">
        <v>1692</v>
      </c>
      <c r="Q142" s="104"/>
      <c r="R142" s="104" t="s">
        <v>292</v>
      </c>
      <c r="S142" s="104">
        <v>15.0</v>
      </c>
      <c r="T142" s="104" t="s">
        <v>3714</v>
      </c>
      <c r="U142" s="104"/>
      <c r="V142" s="104" t="s">
        <v>3714</v>
      </c>
      <c r="W142" s="104"/>
    </row>
    <row r="143">
      <c r="A143" s="105">
        <v>45909.0</v>
      </c>
      <c r="B143" s="79" t="str">
        <f>IFERROR(__xludf.DUMMYFUNCTION("""COMPUTED_VALUE"""),"DSE-PH-MF-1A-5")</f>
        <v>DSE-PH-MF-1A-5</v>
      </c>
      <c r="C143" s="104"/>
      <c r="D143" s="104"/>
      <c r="E143" s="104" t="str">
        <f>IFERROR(__xludf.DUMMYFUNCTION("""COMPUTED_VALUE"""),"YA-PO-2-CL-1")</f>
        <v>YA-PO-2-CL-1</v>
      </c>
      <c r="F143" s="98">
        <v>4.19</v>
      </c>
      <c r="G143" s="110"/>
      <c r="H143" s="100"/>
      <c r="I143" s="98"/>
      <c r="J143" s="111"/>
      <c r="K143" s="110"/>
      <c r="L143" s="104"/>
      <c r="M143" s="98" t="s">
        <v>39</v>
      </c>
      <c r="N143" s="103" t="str">
        <f>IFERROR(__xludf.DUMMYFUNCTION("""COMPUTED_VALUE"""),"")</f>
        <v/>
      </c>
      <c r="O143" s="104"/>
      <c r="P143" s="102" t="s">
        <v>1692</v>
      </c>
      <c r="Q143" s="104"/>
      <c r="R143" s="104" t="s">
        <v>293</v>
      </c>
      <c r="S143" s="104">
        <v>15.0</v>
      </c>
      <c r="T143" s="104" t="s">
        <v>3715</v>
      </c>
      <c r="U143" s="104"/>
      <c r="V143" s="104" t="s">
        <v>3715</v>
      </c>
      <c r="W143" s="104"/>
    </row>
    <row r="144">
      <c r="A144" s="105">
        <v>45909.0</v>
      </c>
      <c r="B144" s="79" t="str">
        <f>IFERROR(__xludf.DUMMYFUNCTION("""COMPUTED_VALUE"""),"DSE-PH-MF-1A-6")</f>
        <v>DSE-PH-MF-1A-6</v>
      </c>
      <c r="C144" s="104"/>
      <c r="D144" s="104"/>
      <c r="E144" s="104" t="str">
        <f>IFERROR(__xludf.DUMMYFUNCTION("""COMPUTED_VALUE"""),"YA-PO-2-CL-1")</f>
        <v>YA-PO-2-CL-1</v>
      </c>
      <c r="F144" s="98">
        <v>4.19</v>
      </c>
      <c r="G144" s="110"/>
      <c r="H144" s="100"/>
      <c r="I144" s="98"/>
      <c r="J144" s="111"/>
      <c r="K144" s="110"/>
      <c r="L144" s="104"/>
      <c r="M144" s="98" t="s">
        <v>39</v>
      </c>
      <c r="N144" s="103" t="str">
        <f>IFERROR(__xludf.DUMMYFUNCTION("""COMPUTED_VALUE"""),"")</f>
        <v/>
      </c>
      <c r="O144" s="104"/>
      <c r="P144" s="102" t="s">
        <v>1692</v>
      </c>
      <c r="Q144" s="104"/>
      <c r="R144" s="104" t="s">
        <v>294</v>
      </c>
      <c r="S144" s="104">
        <v>15.0</v>
      </c>
      <c r="T144" s="104" t="s">
        <v>3716</v>
      </c>
      <c r="U144" s="104"/>
      <c r="V144" s="104" t="s">
        <v>3716</v>
      </c>
      <c r="W144" s="104"/>
    </row>
    <row r="145">
      <c r="A145" s="105">
        <v>45909.0</v>
      </c>
      <c r="B145" s="79" t="str">
        <f>IFERROR(__xludf.DUMMYFUNCTION("""COMPUTED_VALUE"""),"DSE-PH-MF-1A-7")</f>
        <v>DSE-PH-MF-1A-7</v>
      </c>
      <c r="C145" s="104"/>
      <c r="D145" s="104"/>
      <c r="E145" s="104" t="str">
        <f>IFERROR(__xludf.DUMMYFUNCTION("""COMPUTED_VALUE"""),"YA-PO-2-CL-1")</f>
        <v>YA-PO-2-CL-1</v>
      </c>
      <c r="F145" s="98">
        <v>4.19</v>
      </c>
      <c r="G145" s="110"/>
      <c r="H145" s="100"/>
      <c r="I145" s="98"/>
      <c r="J145" s="111"/>
      <c r="K145" s="110"/>
      <c r="L145" s="104"/>
      <c r="M145" s="98" t="s">
        <v>39</v>
      </c>
      <c r="N145" s="103" t="str">
        <f>IFERROR(__xludf.DUMMYFUNCTION("""COMPUTED_VALUE"""),"")</f>
        <v/>
      </c>
      <c r="O145" s="104"/>
      <c r="P145" s="102" t="s">
        <v>1692</v>
      </c>
      <c r="Q145" s="104"/>
      <c r="R145" s="104" t="s">
        <v>295</v>
      </c>
      <c r="S145" s="104">
        <v>15.0</v>
      </c>
      <c r="T145" s="104" t="s">
        <v>3717</v>
      </c>
      <c r="U145" s="104"/>
      <c r="V145" s="104" t="s">
        <v>3717</v>
      </c>
      <c r="W145" s="104"/>
    </row>
    <row r="146">
      <c r="A146" s="105">
        <v>45909.0</v>
      </c>
      <c r="B146" s="79" t="str">
        <f>IFERROR(__xludf.DUMMYFUNCTION("""COMPUTED_VALUE"""),"DSE-PH-MF-1A-8")</f>
        <v>DSE-PH-MF-1A-8</v>
      </c>
      <c r="C146" s="104"/>
      <c r="D146" s="104"/>
      <c r="E146" s="104" t="str">
        <f>IFERROR(__xludf.DUMMYFUNCTION("""COMPUTED_VALUE"""),"YA-PO-2-CL-1")</f>
        <v>YA-PO-2-CL-1</v>
      </c>
      <c r="F146" s="98">
        <v>4.19</v>
      </c>
      <c r="G146" s="110"/>
      <c r="H146" s="100"/>
      <c r="I146" s="98"/>
      <c r="J146" s="111"/>
      <c r="K146" s="110"/>
      <c r="L146" s="104"/>
      <c r="M146" s="98" t="s">
        <v>39</v>
      </c>
      <c r="N146" s="103" t="str">
        <f>IFERROR(__xludf.DUMMYFUNCTION("""COMPUTED_VALUE"""),"")</f>
        <v/>
      </c>
      <c r="O146" s="104"/>
      <c r="P146" s="102" t="s">
        <v>1692</v>
      </c>
      <c r="Q146" s="104"/>
      <c r="R146" s="104" t="s">
        <v>296</v>
      </c>
      <c r="S146" s="104">
        <v>15.0</v>
      </c>
      <c r="T146" s="104" t="s">
        <v>3718</v>
      </c>
      <c r="U146" s="104"/>
      <c r="V146" s="104" t="s">
        <v>3718</v>
      </c>
      <c r="W146" s="104"/>
    </row>
    <row r="147">
      <c r="A147" s="105">
        <v>45909.0</v>
      </c>
      <c r="B147" s="79" t="str">
        <f>IFERROR(__xludf.DUMMYFUNCTION("""COMPUTED_VALUE"""),"DSE-PH-MF-1A-9")</f>
        <v>DSE-PH-MF-1A-9</v>
      </c>
      <c r="C147" s="104"/>
      <c r="D147" s="104"/>
      <c r="E147" s="104" t="str">
        <f>IFERROR(__xludf.DUMMYFUNCTION("""COMPUTED_VALUE"""),"YA-PO-2-CL-1")</f>
        <v>YA-PO-2-CL-1</v>
      </c>
      <c r="F147" s="98">
        <v>4.19</v>
      </c>
      <c r="G147" s="110"/>
      <c r="H147" s="100"/>
      <c r="I147" s="98"/>
      <c r="J147" s="111"/>
      <c r="K147" s="110"/>
      <c r="L147" s="104"/>
      <c r="M147" s="98" t="s">
        <v>39</v>
      </c>
      <c r="N147" s="103" t="str">
        <f>IFERROR(__xludf.DUMMYFUNCTION("""COMPUTED_VALUE"""),"")</f>
        <v/>
      </c>
      <c r="O147" s="104"/>
      <c r="P147" s="102" t="s">
        <v>1692</v>
      </c>
      <c r="Q147" s="104"/>
      <c r="R147" s="104" t="s">
        <v>297</v>
      </c>
      <c r="S147" s="104">
        <v>15.0</v>
      </c>
      <c r="T147" s="104" t="s">
        <v>3719</v>
      </c>
      <c r="U147" s="104"/>
      <c r="V147" s="104" t="s">
        <v>3719</v>
      </c>
      <c r="W147" s="104"/>
    </row>
    <row r="148">
      <c r="A148" s="105">
        <v>45909.0</v>
      </c>
      <c r="B148" s="79" t="str">
        <f>IFERROR(__xludf.DUMMYFUNCTION("""COMPUTED_VALUE"""),"DSE-PH-MF-1A-10")</f>
        <v>DSE-PH-MF-1A-10</v>
      </c>
      <c r="C148" s="102" t="s">
        <v>288</v>
      </c>
      <c r="D148" s="104"/>
      <c r="E148" s="104" t="str">
        <f>IFERROR(__xludf.DUMMYFUNCTION("""COMPUTED_VALUE"""),"YA-PO-2-CL-1")</f>
        <v>YA-PO-2-CL-1</v>
      </c>
      <c r="F148" s="98">
        <v>4.19</v>
      </c>
      <c r="G148" s="110"/>
      <c r="H148" s="100"/>
      <c r="I148" s="98"/>
      <c r="J148" s="111"/>
      <c r="K148" s="112">
        <v>20.0</v>
      </c>
      <c r="L148" s="104"/>
      <c r="M148" s="98">
        <v>20.0</v>
      </c>
      <c r="N148" s="103" t="str">
        <f>IFERROR(__xludf.DUMMYFUNCTION("""COMPUTED_VALUE"""),"")</f>
        <v/>
      </c>
      <c r="O148" s="104"/>
      <c r="P148" s="102" t="s">
        <v>1626</v>
      </c>
      <c r="Q148" s="104"/>
      <c r="R148" s="104" t="s">
        <v>299</v>
      </c>
      <c r="S148" s="104">
        <v>15.0</v>
      </c>
      <c r="T148" s="104" t="s">
        <v>3720</v>
      </c>
      <c r="U148" s="104"/>
      <c r="V148" s="104" t="s">
        <v>3720</v>
      </c>
      <c r="W148" s="104"/>
    </row>
    <row r="149">
      <c r="A149" s="105">
        <v>45909.0</v>
      </c>
      <c r="B149" s="79" t="str">
        <f>IFERROR(__xludf.DUMMYFUNCTION("""COMPUTED_VALUE"""),"DSE-PH-MF-1A-11")</f>
        <v>DSE-PH-MF-1A-11</v>
      </c>
      <c r="C149" s="104"/>
      <c r="D149" s="104"/>
      <c r="E149" s="104" t="str">
        <f>IFERROR(__xludf.DUMMYFUNCTION("""COMPUTED_VALUE"""),"YA-PO-2-CL-1")</f>
        <v>YA-PO-2-CL-1</v>
      </c>
      <c r="F149" s="98">
        <v>4.19</v>
      </c>
      <c r="G149" s="110"/>
      <c r="H149" s="100"/>
      <c r="I149" s="98"/>
      <c r="J149" s="111"/>
      <c r="K149" s="110"/>
      <c r="L149" s="104"/>
      <c r="M149" s="98" t="s">
        <v>39</v>
      </c>
      <c r="N149" s="103" t="str">
        <f>IFERROR(__xludf.DUMMYFUNCTION("""COMPUTED_VALUE"""),"")</f>
        <v/>
      </c>
      <c r="O149" s="104"/>
      <c r="P149" s="102" t="s">
        <v>1692</v>
      </c>
      <c r="Q149" s="104"/>
      <c r="R149" s="104" t="s">
        <v>301</v>
      </c>
      <c r="S149" s="104">
        <v>15.0</v>
      </c>
      <c r="T149" s="104" t="s">
        <v>3721</v>
      </c>
      <c r="U149" s="104"/>
      <c r="V149" s="104" t="s">
        <v>3721</v>
      </c>
      <c r="W149" s="104"/>
    </row>
    <row r="150">
      <c r="A150" s="105">
        <v>45909.0</v>
      </c>
      <c r="B150" s="79" t="str">
        <f>IFERROR(__xludf.DUMMYFUNCTION("""COMPUTED_VALUE"""),"DSE-PH-MF-1A-12")</f>
        <v>DSE-PH-MF-1A-12</v>
      </c>
      <c r="C150" s="104"/>
      <c r="D150" s="104"/>
      <c r="E150" s="104" t="str">
        <f>IFERROR(__xludf.DUMMYFUNCTION("""COMPUTED_VALUE"""),"YA-PO-2-CL-1")</f>
        <v>YA-PO-2-CL-1</v>
      </c>
      <c r="F150" s="98">
        <v>4.19</v>
      </c>
      <c r="G150" s="110"/>
      <c r="H150" s="100"/>
      <c r="I150" s="98"/>
      <c r="J150" s="111"/>
      <c r="K150" s="110"/>
      <c r="L150" s="104"/>
      <c r="M150" s="98" t="s">
        <v>39</v>
      </c>
      <c r="N150" s="103" t="str">
        <f>IFERROR(__xludf.DUMMYFUNCTION("""COMPUTED_VALUE"""),"")</f>
        <v/>
      </c>
      <c r="O150" s="104"/>
      <c r="P150" s="102" t="s">
        <v>1692</v>
      </c>
      <c r="Q150" s="104"/>
      <c r="R150" s="104" t="s">
        <v>303</v>
      </c>
      <c r="S150" s="104">
        <v>15.0</v>
      </c>
      <c r="T150" s="104" t="s">
        <v>3722</v>
      </c>
      <c r="U150" s="104"/>
      <c r="V150" s="104" t="s">
        <v>3722</v>
      </c>
      <c r="W150" s="104"/>
    </row>
    <row r="151">
      <c r="A151" s="105">
        <v>45909.0</v>
      </c>
      <c r="B151" s="79" t="str">
        <f>IFERROR(__xludf.DUMMYFUNCTION("""COMPUTED_VALUE"""),"DSE-PH-RK-1A")</f>
        <v>DSE-PH-RK-1A</v>
      </c>
      <c r="C151" s="104"/>
      <c r="D151" s="104"/>
      <c r="E151" s="104" t="str">
        <f>IFERROR(__xludf.DUMMYFUNCTION("""COMPUTED_VALUE"""),"")</f>
        <v/>
      </c>
      <c r="F151" s="98">
        <v>4.19</v>
      </c>
      <c r="G151" s="110"/>
      <c r="H151" s="100"/>
      <c r="I151" s="98"/>
      <c r="J151" s="111"/>
      <c r="K151" s="110"/>
      <c r="L151" s="104"/>
      <c r="M151" s="98" t="s">
        <v>39</v>
      </c>
      <c r="N151" s="103" t="str">
        <f>IFERROR(__xludf.DUMMYFUNCTION("""COMPUTED_VALUE"""),"")</f>
        <v/>
      </c>
      <c r="O151" s="104"/>
      <c r="P151" s="102" t="s">
        <v>1692</v>
      </c>
      <c r="Q151" s="104"/>
      <c r="R151" s="104" t="s">
        <v>305</v>
      </c>
      <c r="S151" s="104"/>
      <c r="T151" s="104" t="s">
        <v>3723</v>
      </c>
      <c r="U151" s="104"/>
      <c r="V151" s="104" t="s">
        <v>3723</v>
      </c>
      <c r="W151" s="104"/>
    </row>
    <row r="152">
      <c r="A152" s="105">
        <v>45909.0</v>
      </c>
      <c r="B152" s="79" t="str">
        <f>IFERROR(__xludf.DUMMYFUNCTION("""COMPUTED_VALUE"""),"DSE-PH-RK-1A-2")</f>
        <v>DSE-PH-RK-1A-2</v>
      </c>
      <c r="C152" s="104"/>
      <c r="D152" s="104"/>
      <c r="E152" s="104" t="str">
        <f>IFERROR(__xludf.DUMMYFUNCTION("""COMPUTED_VALUE"""),"")</f>
        <v/>
      </c>
      <c r="F152" s="98">
        <v>4.19</v>
      </c>
      <c r="G152" s="110"/>
      <c r="H152" s="100"/>
      <c r="I152" s="98"/>
      <c r="J152" s="111"/>
      <c r="K152" s="112">
        <v>5.0</v>
      </c>
      <c r="L152" s="104"/>
      <c r="M152" s="98">
        <v>5.0</v>
      </c>
      <c r="N152" s="103" t="str">
        <f>IFERROR(__xludf.DUMMYFUNCTION("""COMPUTED_VALUE"""),"")</f>
        <v/>
      </c>
      <c r="O152" s="104"/>
      <c r="P152" s="102" t="s">
        <v>1626</v>
      </c>
      <c r="Q152" s="104"/>
      <c r="R152" s="104" t="s">
        <v>306</v>
      </c>
      <c r="S152" s="104"/>
      <c r="T152" s="104" t="s">
        <v>3724</v>
      </c>
      <c r="U152" s="104"/>
      <c r="V152" s="104" t="s">
        <v>3724</v>
      </c>
      <c r="W152" s="104"/>
    </row>
    <row r="153">
      <c r="A153" s="105">
        <v>45909.0</v>
      </c>
      <c r="B153" s="79" t="str">
        <f>IFERROR(__xludf.DUMMYFUNCTION("""COMPUTED_VALUE"""),"DSE-PH-RK-1A-3")</f>
        <v>DSE-PH-RK-1A-3</v>
      </c>
      <c r="C153" s="104"/>
      <c r="D153" s="104"/>
      <c r="E153" s="104" t="str">
        <f>IFERROR(__xludf.DUMMYFUNCTION("""COMPUTED_VALUE"""),"")</f>
        <v/>
      </c>
      <c r="F153" s="98">
        <v>4.19</v>
      </c>
      <c r="G153" s="110"/>
      <c r="H153" s="100"/>
      <c r="I153" s="98"/>
      <c r="J153" s="111"/>
      <c r="K153" s="112">
        <v>5.0</v>
      </c>
      <c r="L153" s="104"/>
      <c r="M153" s="98">
        <v>5.0</v>
      </c>
      <c r="N153" s="103" t="str">
        <f>IFERROR(__xludf.DUMMYFUNCTION("""COMPUTED_VALUE"""),"")</f>
        <v/>
      </c>
      <c r="O153" s="104"/>
      <c r="P153" s="102" t="s">
        <v>1626</v>
      </c>
      <c r="Q153" s="104"/>
      <c r="R153" s="104" t="s">
        <v>307</v>
      </c>
      <c r="S153" s="104"/>
      <c r="T153" s="104" t="s">
        <v>3725</v>
      </c>
      <c r="U153" s="104"/>
      <c r="V153" s="104" t="s">
        <v>3725</v>
      </c>
      <c r="W153" s="104"/>
    </row>
    <row r="154">
      <c r="A154" s="105">
        <v>45909.0</v>
      </c>
      <c r="B154" s="79" t="str">
        <f>IFERROR(__xludf.DUMMYFUNCTION("""COMPUTED_VALUE"""),"DSE-PH-RK-1A-4")</f>
        <v>DSE-PH-RK-1A-4</v>
      </c>
      <c r="C154" s="104"/>
      <c r="D154" s="104"/>
      <c r="E154" s="104" t="str">
        <f>IFERROR(__xludf.DUMMYFUNCTION("""COMPUTED_VALUE"""),"")</f>
        <v/>
      </c>
      <c r="F154" s="98">
        <v>4.19</v>
      </c>
      <c r="G154" s="110"/>
      <c r="H154" s="100"/>
      <c r="I154" s="98"/>
      <c r="J154" s="111"/>
      <c r="K154" s="112">
        <v>5.0</v>
      </c>
      <c r="L154" s="104"/>
      <c r="M154" s="98">
        <v>5.0</v>
      </c>
      <c r="N154" s="103" t="str">
        <f>IFERROR(__xludf.DUMMYFUNCTION("""COMPUTED_VALUE"""),"")</f>
        <v/>
      </c>
      <c r="O154" s="104"/>
      <c r="P154" s="102" t="s">
        <v>1626</v>
      </c>
      <c r="Q154" s="104"/>
      <c r="R154" s="104" t="s">
        <v>308</v>
      </c>
      <c r="S154" s="104"/>
      <c r="T154" s="104" t="s">
        <v>3726</v>
      </c>
      <c r="U154" s="104"/>
      <c r="V154" s="104" t="s">
        <v>3726</v>
      </c>
      <c r="W154" s="104"/>
    </row>
    <row r="155">
      <c r="A155" s="105">
        <v>45909.0</v>
      </c>
      <c r="B155" s="79" t="str">
        <f>IFERROR(__xludf.DUMMYFUNCTION("""COMPUTED_VALUE"""),"DSE-PH-RK-1A-5")</f>
        <v>DSE-PH-RK-1A-5</v>
      </c>
      <c r="C155" s="104"/>
      <c r="D155" s="104"/>
      <c r="E155" s="104" t="str">
        <f>IFERROR(__xludf.DUMMYFUNCTION("""COMPUTED_VALUE"""),"")</f>
        <v/>
      </c>
      <c r="F155" s="98">
        <v>4.19</v>
      </c>
      <c r="G155" s="110"/>
      <c r="H155" s="100"/>
      <c r="I155" s="98"/>
      <c r="J155" s="111"/>
      <c r="K155" s="112">
        <v>5.0</v>
      </c>
      <c r="L155" s="104"/>
      <c r="M155" s="98">
        <v>5.0</v>
      </c>
      <c r="N155" s="103" t="str">
        <f>IFERROR(__xludf.DUMMYFUNCTION("""COMPUTED_VALUE"""),"")</f>
        <v/>
      </c>
      <c r="O155" s="104"/>
      <c r="P155" s="102" t="s">
        <v>1626</v>
      </c>
      <c r="Q155" s="104"/>
      <c r="R155" s="104" t="s">
        <v>309</v>
      </c>
      <c r="S155" s="104"/>
      <c r="T155" s="104" t="s">
        <v>3727</v>
      </c>
      <c r="U155" s="104"/>
      <c r="V155" s="104" t="s">
        <v>3727</v>
      </c>
      <c r="W155" s="104"/>
    </row>
    <row r="156">
      <c r="A156" s="105">
        <v>45909.0</v>
      </c>
      <c r="B156" s="79" t="str">
        <f>IFERROR(__xludf.DUMMYFUNCTION("""COMPUTED_VALUE"""),"DSE-PH-RK-1A-6")</f>
        <v>DSE-PH-RK-1A-6</v>
      </c>
      <c r="C156" s="104"/>
      <c r="D156" s="104"/>
      <c r="E156" s="104" t="str">
        <f>IFERROR(__xludf.DUMMYFUNCTION("""COMPUTED_VALUE"""),"")</f>
        <v/>
      </c>
      <c r="F156" s="98">
        <v>4.19</v>
      </c>
      <c r="G156" s="110"/>
      <c r="H156" s="100"/>
      <c r="I156" s="98"/>
      <c r="J156" s="111"/>
      <c r="K156" s="112">
        <v>8.0</v>
      </c>
      <c r="L156" s="104"/>
      <c r="M156" s="98">
        <v>8.0</v>
      </c>
      <c r="N156" s="103" t="str">
        <f>IFERROR(__xludf.DUMMYFUNCTION("""COMPUTED_VALUE"""),"")</f>
        <v/>
      </c>
      <c r="O156" s="104"/>
      <c r="P156" s="102" t="s">
        <v>1626</v>
      </c>
      <c r="Q156" s="104"/>
      <c r="R156" s="104" t="s">
        <v>310</v>
      </c>
      <c r="S156" s="104"/>
      <c r="T156" s="104" t="s">
        <v>3728</v>
      </c>
      <c r="U156" s="104"/>
      <c r="V156" s="104" t="s">
        <v>3728</v>
      </c>
      <c r="W156" s="104"/>
    </row>
    <row r="157">
      <c r="A157" s="105">
        <v>45909.0</v>
      </c>
      <c r="B157" s="79" t="str">
        <f>IFERROR(__xludf.DUMMYFUNCTION("""COMPUTED_VALUE"""),"AGP-AL-NI-1A")</f>
        <v>AGP-AL-NI-1A</v>
      </c>
      <c r="C157" s="104"/>
      <c r="D157" s="104"/>
      <c r="E157" s="104" t="str">
        <f>IFERROR(__xludf.DUMMYFUNCTION("""COMPUTED_VALUE"""),"EL-PO-4.3-CM-1")</f>
        <v>EL-PO-4.3-CM-1</v>
      </c>
      <c r="F157" s="98">
        <v>8.0</v>
      </c>
      <c r="G157" s="110"/>
      <c r="H157" s="100"/>
      <c r="I157" s="98"/>
      <c r="J157" s="111"/>
      <c r="K157" s="110"/>
      <c r="L157" s="104"/>
      <c r="M157" s="98" t="s">
        <v>39</v>
      </c>
      <c r="N157" s="103" t="str">
        <f>IFERROR(__xludf.DUMMYFUNCTION("""COMPUTED_VALUE"""),"")</f>
        <v/>
      </c>
      <c r="O157" s="104"/>
      <c r="P157" s="104"/>
      <c r="Q157" s="104"/>
      <c r="R157" s="104" t="s">
        <v>313</v>
      </c>
      <c r="S157" s="104">
        <v>15.0</v>
      </c>
      <c r="T157" s="104" t="s">
        <v>3729</v>
      </c>
      <c r="U157" s="104"/>
      <c r="V157" s="104" t="s">
        <v>3729</v>
      </c>
      <c r="W157" s="104"/>
    </row>
    <row r="158">
      <c r="A158" s="105">
        <v>45909.0</v>
      </c>
      <c r="B158" s="79" t="str">
        <f>IFERROR(__xludf.DUMMYFUNCTION("""COMPUTED_VALUE"""),"AGP-AL-NI-1A-2")</f>
        <v>AGP-AL-NI-1A-2</v>
      </c>
      <c r="C158" s="102" t="s">
        <v>312</v>
      </c>
      <c r="D158" s="104"/>
      <c r="E158" s="104" t="str">
        <f>IFERROR(__xludf.DUMMYFUNCTION("""COMPUTED_VALUE"""),"PS-PO-5.5-MU-1")</f>
        <v>PS-PO-5.5-MU-1</v>
      </c>
      <c r="F158" s="98">
        <v>2.6666666666666665</v>
      </c>
      <c r="G158" s="110"/>
      <c r="H158" s="100"/>
      <c r="I158" s="98"/>
      <c r="J158" s="98"/>
      <c r="K158" s="110"/>
      <c r="L158" s="104"/>
      <c r="M158" s="98" t="s">
        <v>39</v>
      </c>
      <c r="N158" s="103" t="str">
        <f>IFERROR(__xludf.DUMMYFUNCTION("""COMPUTED_VALUE"""),"")</f>
        <v/>
      </c>
      <c r="O158" s="104"/>
      <c r="P158" s="104"/>
      <c r="Q158" s="104"/>
      <c r="R158" s="104" t="s">
        <v>314</v>
      </c>
      <c r="S158" s="104">
        <v>15.0</v>
      </c>
      <c r="T158" s="104" t="s">
        <v>3730</v>
      </c>
      <c r="U158" s="104"/>
      <c r="V158" s="104" t="s">
        <v>3730</v>
      </c>
      <c r="W158" s="104"/>
    </row>
    <row r="159">
      <c r="A159" s="105">
        <v>45909.0</v>
      </c>
      <c r="B159" s="79" t="str">
        <f>IFERROR(__xludf.DUMMYFUNCTION("""COMPUTED_VALUE"""),"AGP-AL-NI-1A-3")</f>
        <v>AGP-AL-NI-1A-3</v>
      </c>
      <c r="C159" s="102" t="s">
        <v>312</v>
      </c>
      <c r="D159" s="104"/>
      <c r="E159" s="104" t="str">
        <f>IFERROR(__xludf.DUMMYFUNCTION("""COMPUTED_VALUE"""),"PS-PO-5.5-MU-1")</f>
        <v>PS-PO-5.5-MU-1</v>
      </c>
      <c r="F159" s="98">
        <v>0.7272727272727273</v>
      </c>
      <c r="G159" s="110"/>
      <c r="H159" s="100"/>
      <c r="I159" s="98"/>
      <c r="J159" s="111"/>
      <c r="K159" s="112">
        <v>15.0</v>
      </c>
      <c r="L159" s="104"/>
      <c r="M159" s="98">
        <v>15.0</v>
      </c>
      <c r="N159" s="103" t="str">
        <f>IFERROR(__xludf.DUMMYFUNCTION("""COMPUTED_VALUE"""),"")</f>
        <v/>
      </c>
      <c r="O159" s="104"/>
      <c r="P159" s="102" t="s">
        <v>1626</v>
      </c>
      <c r="Q159" s="104"/>
      <c r="R159" s="104" t="s">
        <v>315</v>
      </c>
      <c r="S159" s="104">
        <v>15.0</v>
      </c>
      <c r="T159" s="104" t="s">
        <v>3731</v>
      </c>
      <c r="U159" s="104"/>
      <c r="V159" s="104" t="s">
        <v>3731</v>
      </c>
      <c r="W159" s="104"/>
    </row>
    <row r="160">
      <c r="A160" s="105">
        <v>45909.0</v>
      </c>
      <c r="B160" s="79" t="str">
        <f>IFERROR(__xludf.DUMMYFUNCTION("""COMPUTED_VALUE"""),"AGP-COL-MOJ-1A")</f>
        <v>AGP-COL-MOJ-1A</v>
      </c>
      <c r="C160" s="102" t="s">
        <v>312</v>
      </c>
      <c r="D160" s="104"/>
      <c r="E160" s="104" t="str">
        <f>IFERROR(__xludf.DUMMYFUNCTION("""COMPUTED_VALUE"""),"TE-PO-4-MU-1")</f>
        <v>TE-PO-4-MU-1</v>
      </c>
      <c r="F160" s="98">
        <v>8.0</v>
      </c>
      <c r="G160" s="110"/>
      <c r="H160" s="100"/>
      <c r="I160" s="98"/>
      <c r="J160" s="111"/>
      <c r="K160" s="110"/>
      <c r="L160" s="104"/>
      <c r="M160" s="98" t="s">
        <v>39</v>
      </c>
      <c r="N160" s="103" t="str">
        <f>IFERROR(__xludf.DUMMYFUNCTION("""COMPUTED_VALUE"""),"")</f>
        <v/>
      </c>
      <c r="O160" s="104"/>
      <c r="P160" s="102"/>
      <c r="Q160" s="104"/>
      <c r="R160" s="104" t="s">
        <v>316</v>
      </c>
      <c r="S160" s="104">
        <v>20.0</v>
      </c>
      <c r="T160" s="104" t="s">
        <v>3732</v>
      </c>
      <c r="U160" s="104"/>
      <c r="V160" s="104" t="s">
        <v>3732</v>
      </c>
      <c r="W160" s="104"/>
    </row>
    <row r="161">
      <c r="A161" s="105">
        <v>45909.0</v>
      </c>
      <c r="B161" s="79" t="str">
        <f>IFERROR(__xludf.DUMMYFUNCTION("""COMPUTED_VALUE"""),"AGP-COL-MOJ-1A-2")</f>
        <v>AGP-COL-MOJ-1A-2</v>
      </c>
      <c r="C161" s="102" t="s">
        <v>259</v>
      </c>
      <c r="D161" s="104"/>
      <c r="E161" s="104" t="str">
        <f>IFERROR(__xludf.DUMMYFUNCTION("""COMPUTED_VALUE"""),"TE-PO-4-MU-2")</f>
        <v>TE-PO-4-MU-2</v>
      </c>
      <c r="F161" s="98">
        <v>8.0</v>
      </c>
      <c r="G161" s="110"/>
      <c r="H161" s="100"/>
      <c r="I161" s="98"/>
      <c r="J161" s="111"/>
      <c r="K161" s="110"/>
      <c r="L161" s="104"/>
      <c r="M161" s="98" t="s">
        <v>39</v>
      </c>
      <c r="N161" s="103" t="str">
        <f>IFERROR(__xludf.DUMMYFUNCTION("""COMPUTED_VALUE"""),"")</f>
        <v/>
      </c>
      <c r="O161" s="104"/>
      <c r="P161" s="102"/>
      <c r="Q161" s="104"/>
      <c r="R161" s="104" t="s">
        <v>317</v>
      </c>
      <c r="S161" s="104">
        <v>20.0</v>
      </c>
      <c r="T161" s="104" t="s">
        <v>3733</v>
      </c>
      <c r="U161" s="104"/>
      <c r="V161" s="104" t="s">
        <v>3733</v>
      </c>
      <c r="W161" s="104"/>
    </row>
    <row r="162">
      <c r="A162" s="105">
        <v>45909.0</v>
      </c>
      <c r="B162" s="79" t="str">
        <f>IFERROR(__xludf.DUMMYFUNCTION("""COMPUTED_VALUE"""),"AGP-COL-MOJ-1A-3")</f>
        <v>AGP-COL-MOJ-1A-3</v>
      </c>
      <c r="C162" s="102" t="s">
        <v>259</v>
      </c>
      <c r="D162" s="104"/>
      <c r="E162" s="104" t="str">
        <f>IFERROR(__xludf.DUMMYFUNCTION("""COMPUTED_VALUE"""),"TE-PO-4-MU-2")</f>
        <v>TE-PO-4-MU-2</v>
      </c>
      <c r="F162" s="98">
        <v>8.0</v>
      </c>
      <c r="G162" s="110"/>
      <c r="H162" s="100"/>
      <c r="I162" s="98"/>
      <c r="J162" s="111"/>
      <c r="K162" s="110"/>
      <c r="L162" s="104"/>
      <c r="M162" s="98" t="s">
        <v>39</v>
      </c>
      <c r="N162" s="103" t="str">
        <f>IFERROR(__xludf.DUMMYFUNCTION("""COMPUTED_VALUE"""),"")</f>
        <v/>
      </c>
      <c r="O162" s="104"/>
      <c r="P162" s="104"/>
      <c r="Q162" s="104"/>
      <c r="R162" s="104" t="s">
        <v>318</v>
      </c>
      <c r="S162" s="104">
        <v>20.0</v>
      </c>
      <c r="T162" s="104" t="s">
        <v>3734</v>
      </c>
      <c r="U162" s="104"/>
      <c r="V162" s="104" t="s">
        <v>3734</v>
      </c>
      <c r="W162" s="104"/>
    </row>
    <row r="163">
      <c r="A163" s="105">
        <v>45909.0</v>
      </c>
      <c r="B163" s="79" t="str">
        <f>IFERROR(__xludf.DUMMYFUNCTION("""COMPUTED_VALUE"""),"AGP-PH-TS-1A")</f>
        <v>AGP-PH-TS-1A</v>
      </c>
      <c r="C163" s="102" t="s">
        <v>259</v>
      </c>
      <c r="D163" s="104"/>
      <c r="E163" s="104" t="str">
        <f>IFERROR(__xludf.DUMMYFUNCTION("""COMPUTED_VALUE"""),"WO-PO-6-WH-1")</f>
        <v>WO-PO-6-WH-1</v>
      </c>
      <c r="F163" s="98">
        <v>28.0</v>
      </c>
      <c r="G163" s="110"/>
      <c r="H163" s="100"/>
      <c r="I163" s="98"/>
      <c r="J163" s="111"/>
      <c r="K163" s="110"/>
      <c r="L163" s="104"/>
      <c r="M163" s="98" t="s">
        <v>39</v>
      </c>
      <c r="N163" s="103" t="str">
        <f>IFERROR(__xludf.DUMMYFUNCTION("""COMPUTED_VALUE"""),"")</f>
        <v/>
      </c>
      <c r="O163" s="104"/>
      <c r="P163" s="104"/>
      <c r="Q163" s="104"/>
      <c r="R163" s="104" t="s">
        <v>320</v>
      </c>
      <c r="S163" s="104">
        <v>60.0</v>
      </c>
      <c r="T163" s="104" t="s">
        <v>3735</v>
      </c>
      <c r="U163" s="104"/>
      <c r="V163" s="104" t="s">
        <v>3735</v>
      </c>
      <c r="W163" s="104"/>
    </row>
    <row r="164">
      <c r="A164" s="105">
        <v>45909.0</v>
      </c>
      <c r="B164" s="79" t="str">
        <f>IFERROR(__xludf.DUMMYFUNCTION("""COMPUTED_VALUE"""),"AGP-PH-OM-1A")</f>
        <v>AGP-PH-OM-1A</v>
      </c>
      <c r="C164" s="102" t="s">
        <v>319</v>
      </c>
      <c r="D164" s="104"/>
      <c r="E164" s="104" t="str">
        <f>IFERROR(__xludf.DUMMYFUNCTION("""COMPUTED_VALUE"""),"WO-PO-6-WH-1")</f>
        <v>WO-PO-6-WH-1</v>
      </c>
      <c r="F164" s="98">
        <v>18.0</v>
      </c>
      <c r="G164" s="110"/>
      <c r="H164" s="100"/>
      <c r="I164" s="98"/>
      <c r="J164" s="111"/>
      <c r="K164" s="110"/>
      <c r="L164" s="104"/>
      <c r="M164" s="98" t="s">
        <v>39</v>
      </c>
      <c r="N164" s="103" t="str">
        <f>IFERROR(__xludf.DUMMYFUNCTION("""COMPUTED_VALUE"""),"")</f>
        <v/>
      </c>
      <c r="O164" s="104"/>
      <c r="P164" s="102" t="s">
        <v>1481</v>
      </c>
      <c r="Q164" s="104"/>
      <c r="R164" s="104" t="s">
        <v>322</v>
      </c>
      <c r="S164" s="104">
        <v>29.0</v>
      </c>
      <c r="T164" s="104" t="s">
        <v>3736</v>
      </c>
      <c r="U164" s="104"/>
      <c r="V164" s="104" t="s">
        <v>3736</v>
      </c>
      <c r="W164" s="104"/>
    </row>
    <row r="165">
      <c r="A165" s="105">
        <v>45909.0</v>
      </c>
      <c r="B165" s="79" t="str">
        <f>IFERROR(__xludf.DUMMYFUNCTION("""COMPUTED_VALUE"""),"AGP-PH-BC-1A")</f>
        <v>AGP-PH-BC-1A</v>
      </c>
      <c r="C165" s="102" t="s">
        <v>321</v>
      </c>
      <c r="D165" s="104"/>
      <c r="E165" s="104" t="str">
        <f>IFERROR(__xludf.DUMMYFUNCTION("""COMPUTED_VALUE"""),"TE-PO-4-MU-2")</f>
        <v>TE-PO-4-MU-2</v>
      </c>
      <c r="F165" s="98">
        <v>2.0</v>
      </c>
      <c r="G165" s="110"/>
      <c r="H165" s="100"/>
      <c r="I165" s="98"/>
      <c r="J165" s="111"/>
      <c r="K165" s="110"/>
      <c r="L165" s="104"/>
      <c r="M165" s="98" t="s">
        <v>39</v>
      </c>
      <c r="N165" s="103" t="str">
        <f>IFERROR(__xludf.DUMMYFUNCTION("""COMPUTED_VALUE"""),"")</f>
        <v/>
      </c>
      <c r="O165" s="104"/>
      <c r="P165" s="102" t="s">
        <v>1481</v>
      </c>
      <c r="Q165" s="104"/>
      <c r="R165" s="104" t="s">
        <v>324</v>
      </c>
      <c r="S165" s="104">
        <v>18.0</v>
      </c>
      <c r="T165" s="104" t="s">
        <v>3737</v>
      </c>
      <c r="U165" s="104"/>
      <c r="V165" s="104" t="s">
        <v>3737</v>
      </c>
      <c r="W165" s="104"/>
    </row>
    <row r="166">
      <c r="A166" s="105">
        <v>45909.0</v>
      </c>
      <c r="B166" s="79" t="str">
        <f>IFERROR(__xludf.DUMMYFUNCTION("""COMPUTED_VALUE"""),"AGP-PH-BC-1A-2")</f>
        <v>AGP-PH-BC-1A-2</v>
      </c>
      <c r="C166" s="102" t="s">
        <v>323</v>
      </c>
      <c r="D166" s="104"/>
      <c r="E166" s="104" t="str">
        <f>IFERROR(__xludf.DUMMYFUNCTION("""COMPUTED_VALUE"""),"TE-PO-4-MU-2")</f>
        <v>TE-PO-4-MU-2</v>
      </c>
      <c r="F166" s="98">
        <v>2.0</v>
      </c>
      <c r="G166" s="110"/>
      <c r="H166" s="100"/>
      <c r="I166" s="98"/>
      <c r="J166" s="98"/>
      <c r="K166" s="110"/>
      <c r="L166" s="104"/>
      <c r="M166" s="98" t="s">
        <v>39</v>
      </c>
      <c r="N166" s="103" t="str">
        <f>IFERROR(__xludf.DUMMYFUNCTION("""COMPUTED_VALUE"""),"")</f>
        <v/>
      </c>
      <c r="O166" s="104"/>
      <c r="P166" s="102" t="s">
        <v>1481</v>
      </c>
      <c r="Q166" s="104"/>
      <c r="R166" s="104" t="s">
        <v>325</v>
      </c>
      <c r="S166" s="104">
        <v>18.0</v>
      </c>
      <c r="T166" s="104" t="s">
        <v>3738</v>
      </c>
      <c r="U166" s="104"/>
      <c r="V166" s="104" t="s">
        <v>3738</v>
      </c>
      <c r="W166" s="104"/>
    </row>
    <row r="167">
      <c r="A167" s="105">
        <v>45909.0</v>
      </c>
      <c r="B167" s="79" t="str">
        <f>IFERROR(__xludf.DUMMYFUNCTION("""COMPUTED_VALUE"""),"AGP-PH-BC-1A-3")</f>
        <v>AGP-PH-BC-1A-3</v>
      </c>
      <c r="C167" s="102" t="s">
        <v>323</v>
      </c>
      <c r="D167" s="104"/>
      <c r="E167" s="104" t="str">
        <f>IFERROR(__xludf.DUMMYFUNCTION("""COMPUTED_VALUE"""),"TE-PO-4-MU-2")</f>
        <v>TE-PO-4-MU-2</v>
      </c>
      <c r="F167" s="98">
        <v>2.0</v>
      </c>
      <c r="G167" s="110"/>
      <c r="H167" s="100"/>
      <c r="I167" s="98"/>
      <c r="J167" s="111"/>
      <c r="K167" s="110"/>
      <c r="L167" s="104"/>
      <c r="M167" s="98" t="s">
        <v>39</v>
      </c>
      <c r="N167" s="103" t="str">
        <f>IFERROR(__xludf.DUMMYFUNCTION("""COMPUTED_VALUE"""),"")</f>
        <v/>
      </c>
      <c r="O167" s="104"/>
      <c r="P167" s="102" t="s">
        <v>1692</v>
      </c>
      <c r="Q167" s="102"/>
      <c r="R167" s="104" t="s">
        <v>326</v>
      </c>
      <c r="S167" s="104">
        <v>18.0</v>
      </c>
      <c r="T167" s="104" t="s">
        <v>3739</v>
      </c>
      <c r="U167" s="104"/>
      <c r="V167" s="104" t="s">
        <v>3739</v>
      </c>
      <c r="W167" s="104"/>
    </row>
    <row r="168">
      <c r="A168" s="105">
        <v>45909.0</v>
      </c>
      <c r="B168" s="79" t="str">
        <f>IFERROR(__xludf.DUMMYFUNCTION("""COMPUTED_VALUE"""),"AGP-PH-BC-1A-4")</f>
        <v>AGP-PH-BC-1A-4</v>
      </c>
      <c r="C168" s="102" t="s">
        <v>323</v>
      </c>
      <c r="D168" s="104"/>
      <c r="E168" s="104" t="str">
        <f>IFERROR(__xludf.DUMMYFUNCTION("""COMPUTED_VALUE"""),"TE-PO-4-MU-2")</f>
        <v>TE-PO-4-MU-2</v>
      </c>
      <c r="F168" s="98">
        <v>3.0</v>
      </c>
      <c r="G168" s="110"/>
      <c r="H168" s="100"/>
      <c r="I168" s="98"/>
      <c r="J168" s="111"/>
      <c r="K168" s="110"/>
      <c r="L168" s="104"/>
      <c r="M168" s="98" t="s">
        <v>39</v>
      </c>
      <c r="N168" s="103" t="str">
        <f>IFERROR(__xludf.DUMMYFUNCTION("""COMPUTED_VALUE"""),"")</f>
        <v/>
      </c>
      <c r="O168" s="104"/>
      <c r="P168" s="102" t="s">
        <v>1692</v>
      </c>
      <c r="Q168" s="102"/>
      <c r="R168" s="104" t="s">
        <v>327</v>
      </c>
      <c r="S168" s="104">
        <v>18.0</v>
      </c>
      <c r="T168" s="104" t="s">
        <v>3740</v>
      </c>
      <c r="U168" s="104"/>
      <c r="V168" s="104" t="s">
        <v>3740</v>
      </c>
      <c r="W168" s="104"/>
    </row>
    <row r="169">
      <c r="A169" s="94">
        <v>45909.0</v>
      </c>
      <c r="B169" s="79" t="str">
        <f>IFERROR(__xludf.DUMMYFUNCTION("""COMPUTED_VALUE"""),"AGP-MA-TCN-1A")</f>
        <v>AGP-MA-TCN-1A</v>
      </c>
      <c r="C169" s="102" t="s">
        <v>323</v>
      </c>
      <c r="D169" s="104"/>
      <c r="E169" s="104" t="str">
        <f>IFERROR(__xludf.DUMMYFUNCTION("""COMPUTED_VALUE"""),"WO-PO-6-WH-1")</f>
        <v>WO-PO-6-WH-1</v>
      </c>
      <c r="F169" s="98">
        <v>15.0</v>
      </c>
      <c r="G169" s="110"/>
      <c r="H169" s="100"/>
      <c r="I169" s="98"/>
      <c r="J169" s="111"/>
      <c r="K169" s="112">
        <v>10.0</v>
      </c>
      <c r="L169" s="104"/>
      <c r="M169" s="98">
        <v>10.0</v>
      </c>
      <c r="N169" s="103" t="str">
        <f>IFERROR(__xludf.DUMMYFUNCTION("""COMPUTED_VALUE"""),"")</f>
        <v/>
      </c>
      <c r="O169" s="104"/>
      <c r="P169" s="102" t="s">
        <v>1626</v>
      </c>
      <c r="Q169" s="104"/>
      <c r="R169" s="104" t="s">
        <v>329</v>
      </c>
      <c r="S169" s="104">
        <v>35.0</v>
      </c>
      <c r="T169" s="104" t="s">
        <v>3741</v>
      </c>
      <c r="U169" s="104"/>
      <c r="V169" s="104" t="s">
        <v>3741</v>
      </c>
      <c r="W169" s="104"/>
    </row>
    <row r="170">
      <c r="A170" s="105">
        <v>45909.0</v>
      </c>
      <c r="B170" s="79" t="str">
        <f>IFERROR(__xludf.DUMMYFUNCTION("""COMPUTED_VALUE"""),"AGP-MA-TCN-1A-2")</f>
        <v>AGP-MA-TCN-1A-2</v>
      </c>
      <c r="C170" s="102" t="s">
        <v>328</v>
      </c>
      <c r="D170" s="104"/>
      <c r="E170" s="104" t="str">
        <f>IFERROR(__xludf.DUMMYFUNCTION("""COMPUTED_VALUE"""),"PS-PO-5.5-MU-1")</f>
        <v>PS-PO-5.5-MU-1</v>
      </c>
      <c r="F170" s="98">
        <v>15.0</v>
      </c>
      <c r="G170" s="110"/>
      <c r="H170" s="100"/>
      <c r="I170" s="98"/>
      <c r="J170" s="98"/>
      <c r="K170" s="110"/>
      <c r="L170" s="104"/>
      <c r="M170" s="98" t="s">
        <v>39</v>
      </c>
      <c r="N170" s="103" t="str">
        <f>IFERROR(__xludf.DUMMYFUNCTION("""COMPUTED_VALUE"""),"")</f>
        <v/>
      </c>
      <c r="O170" s="104"/>
      <c r="P170" s="102" t="s">
        <v>1481</v>
      </c>
      <c r="Q170" s="104"/>
      <c r="R170" s="104" t="s">
        <v>330</v>
      </c>
      <c r="S170" s="104">
        <v>35.0</v>
      </c>
      <c r="T170" s="104" t="s">
        <v>3742</v>
      </c>
      <c r="U170" s="104"/>
      <c r="V170" s="104" t="s">
        <v>3742</v>
      </c>
      <c r="W170" s="104"/>
    </row>
    <row r="171">
      <c r="A171" s="105">
        <v>45909.0</v>
      </c>
      <c r="B171" s="79" t="str">
        <f>IFERROR(__xludf.DUMMYFUNCTION("""COMPUTED_VALUE"""),"AGP-MA-TCN-1A-3")</f>
        <v>AGP-MA-TCN-1A-3</v>
      </c>
      <c r="C171" s="102" t="s">
        <v>328</v>
      </c>
      <c r="D171" s="104"/>
      <c r="E171" s="104" t="str">
        <f>IFERROR(__xludf.DUMMYFUNCTION("""COMPUTED_VALUE"""),"PS-PO-5.5-MU-1")</f>
        <v>PS-PO-5.5-MU-1</v>
      </c>
      <c r="F171" s="98">
        <v>15.0</v>
      </c>
      <c r="G171" s="110"/>
      <c r="H171" s="100"/>
      <c r="I171" s="98"/>
      <c r="J171" s="111"/>
      <c r="K171" s="110"/>
      <c r="L171" s="104"/>
      <c r="M171" s="98" t="s">
        <v>39</v>
      </c>
      <c r="N171" s="103" t="str">
        <f>IFERROR(__xludf.DUMMYFUNCTION("""COMPUTED_VALUE"""),"")</f>
        <v/>
      </c>
      <c r="O171" s="104"/>
      <c r="P171" s="102" t="s">
        <v>1692</v>
      </c>
      <c r="Q171" s="104"/>
      <c r="R171" s="104" t="s">
        <v>331</v>
      </c>
      <c r="S171" s="104">
        <v>35.0</v>
      </c>
      <c r="T171" s="104" t="s">
        <v>3743</v>
      </c>
      <c r="U171" s="104"/>
      <c r="V171" s="104" t="s">
        <v>3743</v>
      </c>
      <c r="W171" s="104"/>
    </row>
    <row r="172">
      <c r="A172" s="105">
        <v>45912.0</v>
      </c>
      <c r="B172" s="79" t="str">
        <f>IFERROR(__xludf.DUMMYFUNCTION("""COMPUTED_VALUE"""),"JJP-PH-PP-1A")</f>
        <v>JJP-PH-PP-1A</v>
      </c>
      <c r="C172" s="102" t="s">
        <v>328</v>
      </c>
      <c r="D172" s="104"/>
      <c r="E172" s="104" t="str">
        <f>IFERROR(__xludf.DUMMYFUNCTION("""COMPUTED_VALUE"""),"MU-PO-4-WH-1")</f>
        <v>MU-PO-4-WH-1</v>
      </c>
      <c r="F172" s="98">
        <v>8.495</v>
      </c>
      <c r="G172" s="110"/>
      <c r="H172" s="100"/>
      <c r="I172" s="98"/>
      <c r="J172" s="111"/>
      <c r="K172" s="110"/>
      <c r="L172" s="104"/>
      <c r="M172" s="98" t="s">
        <v>39</v>
      </c>
      <c r="N172" s="103" t="str">
        <f>IFERROR(__xludf.DUMMYFUNCTION("""COMPUTED_VALUE"""),"")</f>
        <v/>
      </c>
      <c r="O172" s="104"/>
      <c r="P172" s="102" t="s">
        <v>1692</v>
      </c>
      <c r="Q172" s="104"/>
      <c r="R172" s="104" t="s">
        <v>333</v>
      </c>
      <c r="S172" s="104"/>
      <c r="T172" s="104" t="s">
        <v>3744</v>
      </c>
      <c r="U172" s="104"/>
      <c r="V172" s="104" t="s">
        <v>3744</v>
      </c>
      <c r="W172" s="104"/>
    </row>
    <row r="173">
      <c r="A173" s="105">
        <v>45915.0</v>
      </c>
      <c r="B173" s="79" t="str">
        <f>IFERROR(__xludf.DUMMYFUNCTION("""COMPUTED_VALUE"""),"BWH-PH-VRCRH-1A")</f>
        <v>BWH-PH-VRCRH-1A</v>
      </c>
      <c r="C173" s="104"/>
      <c r="D173" s="104"/>
      <c r="E173" s="104" t="str">
        <f>IFERROR(__xludf.DUMMYFUNCTION("""COMPUTED_VALUE"""),"MU-PO-4-WH-1")</f>
        <v>MU-PO-4-WH-1</v>
      </c>
      <c r="F173" s="98">
        <v>11.0</v>
      </c>
      <c r="G173" s="110"/>
      <c r="H173" s="100"/>
      <c r="I173" s="98"/>
      <c r="J173" s="98"/>
      <c r="K173" s="110"/>
      <c r="L173" s="104"/>
      <c r="M173" s="98" t="s">
        <v>39</v>
      </c>
      <c r="N173" s="103" t="str">
        <f>IFERROR(__xludf.DUMMYFUNCTION("""COMPUTED_VALUE"""),"")</f>
        <v/>
      </c>
      <c r="O173" s="104"/>
      <c r="P173" s="104"/>
      <c r="Q173" s="104"/>
      <c r="R173" s="104" t="s">
        <v>335</v>
      </c>
      <c r="S173" s="104">
        <v>129.99</v>
      </c>
      <c r="T173" s="104" t="s">
        <v>3745</v>
      </c>
      <c r="U173" s="104"/>
      <c r="V173" s="104" t="s">
        <v>3745</v>
      </c>
      <c r="W173" s="104"/>
    </row>
    <row r="174">
      <c r="A174" s="105">
        <v>45915.0</v>
      </c>
      <c r="B174" s="79" t="str">
        <f>IFERROR(__xludf.DUMMYFUNCTION("""COMPUTED_VALUE"""),"BWH-FIC-SH-1A")</f>
        <v>BWH-FIC-SH-1A</v>
      </c>
      <c r="C174" s="104"/>
      <c r="D174" s="104"/>
      <c r="E174" s="104" t="str">
        <f>IFERROR(__xludf.DUMMYFUNCTION("""COMPUTED_VALUE"""),"PS-PO-5.5-MU-1")</f>
        <v>PS-PO-5.5-MU-1</v>
      </c>
      <c r="F174" s="98">
        <v>5.0</v>
      </c>
      <c r="G174" s="110"/>
      <c r="H174" s="100"/>
      <c r="I174" s="98"/>
      <c r="J174" s="98"/>
      <c r="K174" s="110"/>
      <c r="L174" s="104"/>
      <c r="M174" s="98" t="s">
        <v>39</v>
      </c>
      <c r="N174" s="103" t="str">
        <f>IFERROR(__xludf.DUMMYFUNCTION("""COMPUTED_VALUE"""),"")</f>
        <v/>
      </c>
      <c r="O174" s="104"/>
      <c r="P174" s="102" t="s">
        <v>1481</v>
      </c>
      <c r="Q174" s="104"/>
      <c r="R174" s="104" t="s">
        <v>337</v>
      </c>
      <c r="S174" s="104"/>
      <c r="T174" s="104" t="s">
        <v>3746</v>
      </c>
      <c r="U174" s="104"/>
      <c r="V174" s="104" t="s">
        <v>3746</v>
      </c>
      <c r="W174" s="104"/>
    </row>
    <row r="175">
      <c r="A175" s="105">
        <v>45915.0</v>
      </c>
      <c r="B175" s="79" t="str">
        <f>IFERROR(__xludf.DUMMYFUNCTION("""COMPUTED_VALUE"""),"BWH-FIC-SH-1A-2")</f>
        <v>BWH-FIC-SH-1A-2</v>
      </c>
      <c r="C175" s="104"/>
      <c r="D175" s="104"/>
      <c r="E175" s="104" t="str">
        <f>IFERROR(__xludf.DUMMYFUNCTION("""COMPUTED_VALUE"""),"TE-PO-4-MU-2")</f>
        <v>TE-PO-4-MU-2</v>
      </c>
      <c r="F175" s="98">
        <v>5.0</v>
      </c>
      <c r="G175" s="110"/>
      <c r="H175" s="100"/>
      <c r="I175" s="98"/>
      <c r="J175" s="98"/>
      <c r="K175" s="110"/>
      <c r="L175" s="104"/>
      <c r="M175" s="98" t="s">
        <v>39</v>
      </c>
      <c r="N175" s="103" t="str">
        <f>IFERROR(__xludf.DUMMYFUNCTION("""COMPUTED_VALUE"""),"")</f>
        <v/>
      </c>
      <c r="O175" s="104"/>
      <c r="P175" s="104"/>
      <c r="Q175" s="104"/>
      <c r="R175" s="104" t="s">
        <v>338</v>
      </c>
      <c r="S175" s="104"/>
      <c r="T175" s="104" t="s">
        <v>3747</v>
      </c>
      <c r="U175" s="104"/>
      <c r="V175" s="104" t="s">
        <v>3747</v>
      </c>
      <c r="W175" s="104"/>
    </row>
    <row r="176">
      <c r="A176" s="105">
        <v>45915.0</v>
      </c>
      <c r="B176" s="79" t="str">
        <f>IFERROR(__xludf.DUMMYFUNCTION("""COMPUTED_VALUE"""),"BWH-FIC-SH-1A-3")</f>
        <v>BWH-FIC-SH-1A-3</v>
      </c>
      <c r="C176" s="104"/>
      <c r="D176" s="104"/>
      <c r="E176" s="104" t="str">
        <f>IFERROR(__xludf.DUMMYFUNCTION("""COMPUTED_VALUE"""),"GA-PO-6-MU-1")</f>
        <v>GA-PO-6-MU-1</v>
      </c>
      <c r="F176" s="98">
        <v>5.0</v>
      </c>
      <c r="G176" s="110"/>
      <c r="H176" s="100"/>
      <c r="I176" s="98"/>
      <c r="J176" s="98"/>
      <c r="K176" s="112">
        <v>0.0</v>
      </c>
      <c r="L176" s="104"/>
      <c r="M176" s="98">
        <v>0.0</v>
      </c>
      <c r="N176" s="103" t="str">
        <f>IFERROR(__xludf.DUMMYFUNCTION("""COMPUTED_VALUE"""),"")</f>
        <v/>
      </c>
      <c r="O176" s="104"/>
      <c r="P176" s="102" t="s">
        <v>1626</v>
      </c>
      <c r="Q176" s="104"/>
      <c r="R176" s="104" t="s">
        <v>339</v>
      </c>
      <c r="S176" s="104"/>
      <c r="T176" s="104" t="s">
        <v>3748</v>
      </c>
      <c r="U176" s="104"/>
      <c r="V176" s="104" t="s">
        <v>3748</v>
      </c>
      <c r="W176" s="104"/>
    </row>
    <row r="177">
      <c r="A177" s="105">
        <v>45915.0</v>
      </c>
      <c r="B177" s="79" t="str">
        <f>IFERROR(__xludf.DUMMYFUNCTION("""COMPUTED_VALUE"""),"BWH-FIC-SH-1A-4")</f>
        <v>BWH-FIC-SH-1A-4</v>
      </c>
      <c r="C177" s="104"/>
      <c r="D177" s="104"/>
      <c r="E177" s="104" t="str">
        <f>IFERROR(__xludf.DUMMYFUNCTION("""COMPUTED_VALUE"""),"PS-PO-5.5-MU-1")</f>
        <v>PS-PO-5.5-MU-1</v>
      </c>
      <c r="F177" s="98">
        <v>5.0</v>
      </c>
      <c r="G177" s="110"/>
      <c r="H177" s="100"/>
      <c r="I177" s="98"/>
      <c r="J177" s="111"/>
      <c r="K177" s="112">
        <v>0.0</v>
      </c>
      <c r="L177" s="104"/>
      <c r="M177" s="98">
        <v>0.0</v>
      </c>
      <c r="N177" s="103" t="str">
        <f>IFERROR(__xludf.DUMMYFUNCTION("""COMPUTED_VALUE"""),"")</f>
        <v/>
      </c>
      <c r="O177" s="104"/>
      <c r="P177" s="102" t="s">
        <v>1626</v>
      </c>
      <c r="Q177" s="104"/>
      <c r="R177" s="104" t="s">
        <v>340</v>
      </c>
      <c r="S177" s="104"/>
      <c r="T177" s="104" t="s">
        <v>3749</v>
      </c>
      <c r="U177" s="104"/>
      <c r="V177" s="104" t="s">
        <v>3749</v>
      </c>
      <c r="W177" s="104"/>
    </row>
    <row r="178">
      <c r="A178" s="105">
        <v>45915.0</v>
      </c>
      <c r="B178" s="79" t="str">
        <f>IFERROR(__xludf.DUMMYFUNCTION("""COMPUTED_VALUE"""),"BWH-FIC-SH-1A-5")</f>
        <v>BWH-FIC-SH-1A-5</v>
      </c>
      <c r="C178" s="104"/>
      <c r="D178" s="104"/>
      <c r="E178" s="104" t="str">
        <f>IFERROR(__xludf.DUMMYFUNCTION("""COMPUTED_VALUE"""),"WO-PO-6-WH-2")</f>
        <v>WO-PO-6-WH-2</v>
      </c>
      <c r="F178" s="98">
        <v>5.0</v>
      </c>
      <c r="G178" s="110"/>
      <c r="H178" s="100"/>
      <c r="I178" s="98"/>
      <c r="J178" s="98"/>
      <c r="K178" s="112">
        <v>0.0</v>
      </c>
      <c r="L178" s="104"/>
      <c r="M178" s="98">
        <v>0.0</v>
      </c>
      <c r="N178" s="103" t="str">
        <f>IFERROR(__xludf.DUMMYFUNCTION("""COMPUTED_VALUE"""),"")</f>
        <v/>
      </c>
      <c r="O178" s="104"/>
      <c r="P178" s="102" t="s">
        <v>1626</v>
      </c>
      <c r="Q178" s="104"/>
      <c r="R178" s="104" t="s">
        <v>341</v>
      </c>
      <c r="S178" s="104"/>
      <c r="T178" s="104" t="s">
        <v>3750</v>
      </c>
      <c r="U178" s="104"/>
      <c r="V178" s="104" t="s">
        <v>3750</v>
      </c>
      <c r="W178" s="104"/>
    </row>
    <row r="179">
      <c r="A179" s="105">
        <v>45915.0</v>
      </c>
      <c r="B179" s="79" t="str">
        <f>IFERROR(__xludf.DUMMYFUNCTION("""COMPUTED_VALUE"""),"BWH-AL-VM-1A")</f>
        <v>BWH-AL-VM-1A</v>
      </c>
      <c r="C179" s="104"/>
      <c r="D179" s="104"/>
      <c r="E179" s="104" t="str">
        <f>IFERROR(__xludf.DUMMYFUNCTION("""COMPUTED_VALUE"""),"GA-PO-6-MU-1")</f>
        <v>GA-PO-6-MU-1</v>
      </c>
      <c r="F179" s="98">
        <v>12.0</v>
      </c>
      <c r="G179" s="110"/>
      <c r="H179" s="100"/>
      <c r="I179" s="98"/>
      <c r="J179" s="98"/>
      <c r="K179" s="112">
        <v>0.0</v>
      </c>
      <c r="L179" s="104"/>
      <c r="M179" s="98">
        <v>0.0</v>
      </c>
      <c r="N179" s="103" t="str">
        <f>IFERROR(__xludf.DUMMYFUNCTION("""COMPUTED_VALUE"""),"")</f>
        <v/>
      </c>
      <c r="O179" s="104"/>
      <c r="P179" s="102" t="s">
        <v>1626</v>
      </c>
      <c r="Q179" s="104"/>
      <c r="R179" s="104" t="s">
        <v>343</v>
      </c>
      <c r="S179" s="104">
        <v>29.99</v>
      </c>
      <c r="T179" s="104" t="s">
        <v>3751</v>
      </c>
      <c r="U179" s="104"/>
      <c r="V179" s="104" t="s">
        <v>3751</v>
      </c>
      <c r="W179" s="104"/>
    </row>
    <row r="180">
      <c r="A180" s="105">
        <v>45915.0</v>
      </c>
      <c r="B180" s="79" t="str">
        <f>IFERROR(__xludf.DUMMYFUNCTION("""COMPUTED_VALUE"""),"BWH-AL-VM-1A-2")</f>
        <v>BWH-AL-VM-1A-2</v>
      </c>
      <c r="C180" s="104"/>
      <c r="D180" s="104"/>
      <c r="E180" s="104" t="str">
        <f>IFERROR(__xludf.DUMMYFUNCTION("""COMPUTED_VALUE"""),"GA-PO-6-MU-1")</f>
        <v>GA-PO-6-MU-1</v>
      </c>
      <c r="F180" s="98">
        <v>12.0</v>
      </c>
      <c r="G180" s="110"/>
      <c r="H180" s="100"/>
      <c r="I180" s="98"/>
      <c r="J180" s="111"/>
      <c r="K180" s="112">
        <v>14.0</v>
      </c>
      <c r="L180" s="104"/>
      <c r="M180" s="98">
        <v>14.0</v>
      </c>
      <c r="N180" s="103" t="str">
        <f>IFERROR(__xludf.DUMMYFUNCTION("""COMPUTED_VALUE"""),"")</f>
        <v/>
      </c>
      <c r="O180" s="104"/>
      <c r="P180" s="102" t="s">
        <v>1626</v>
      </c>
      <c r="Q180" s="104"/>
      <c r="R180" s="104" t="s">
        <v>344</v>
      </c>
      <c r="S180" s="104">
        <v>29.99</v>
      </c>
      <c r="T180" s="104" t="s">
        <v>3752</v>
      </c>
      <c r="U180" s="104"/>
      <c r="V180" s="104" t="s">
        <v>3752</v>
      </c>
      <c r="W180" s="104"/>
    </row>
    <row r="181">
      <c r="A181" s="105">
        <v>45915.0</v>
      </c>
      <c r="B181" s="79" t="str">
        <f>IFERROR(__xludf.DUMMYFUNCTION("""COMPUTED_VALUE"""),"BWH-AL-VM-1A-3")</f>
        <v>BWH-AL-VM-1A-3</v>
      </c>
      <c r="C181" s="104"/>
      <c r="D181" s="104"/>
      <c r="E181" s="104" t="str">
        <f>IFERROR(__xludf.DUMMYFUNCTION("""COMPUTED_VALUE"""),"GA-PO-6-MU-1")</f>
        <v>GA-PO-6-MU-1</v>
      </c>
      <c r="F181" s="98">
        <v>12.0</v>
      </c>
      <c r="G181" s="110"/>
      <c r="H181" s="100"/>
      <c r="I181" s="98"/>
      <c r="J181" s="111"/>
      <c r="K181" s="110"/>
      <c r="L181" s="104"/>
      <c r="M181" s="98" t="s">
        <v>39</v>
      </c>
      <c r="N181" s="103" t="str">
        <f>IFERROR(__xludf.DUMMYFUNCTION("""COMPUTED_VALUE"""),"")</f>
        <v/>
      </c>
      <c r="O181" s="104"/>
      <c r="P181" s="102" t="s">
        <v>1692</v>
      </c>
      <c r="Q181" s="104"/>
      <c r="R181" s="104" t="s">
        <v>345</v>
      </c>
      <c r="S181" s="104">
        <v>29.99</v>
      </c>
      <c r="T181" s="104" t="s">
        <v>3753</v>
      </c>
      <c r="U181" s="104"/>
      <c r="V181" s="104" t="s">
        <v>3753</v>
      </c>
      <c r="W181" s="104"/>
    </row>
    <row r="182">
      <c r="A182" s="105">
        <v>45915.0</v>
      </c>
      <c r="B182" s="79" t="str">
        <f>IFERROR(__xludf.DUMMYFUNCTION("""COMPUTED_VALUE"""),"BWH-AL-VM-1A-4")</f>
        <v>BWH-AL-VM-1A-4</v>
      </c>
      <c r="C182" s="104"/>
      <c r="D182" s="104"/>
      <c r="E182" s="104" t="str">
        <f>IFERROR(__xludf.DUMMYFUNCTION("""COMPUTED_VALUE"""),"GA-PO-6-MU-1")</f>
        <v>GA-PO-6-MU-1</v>
      </c>
      <c r="F182" s="98">
        <v>12.0</v>
      </c>
      <c r="G182" s="110"/>
      <c r="H182" s="100"/>
      <c r="I182" s="98"/>
      <c r="J182" s="111"/>
      <c r="K182" s="112">
        <v>14.0</v>
      </c>
      <c r="L182" s="104"/>
      <c r="M182" s="98">
        <v>14.0</v>
      </c>
      <c r="N182" s="103" t="str">
        <f>IFERROR(__xludf.DUMMYFUNCTION("""COMPUTED_VALUE"""),"")</f>
        <v/>
      </c>
      <c r="O182" s="104"/>
      <c r="P182" s="102" t="s">
        <v>1626</v>
      </c>
      <c r="Q182" s="104"/>
      <c r="R182" s="104" t="s">
        <v>346</v>
      </c>
      <c r="S182" s="104">
        <v>29.99</v>
      </c>
      <c r="T182" s="104" t="s">
        <v>3754</v>
      </c>
      <c r="U182" s="104"/>
      <c r="V182" s="104" t="s">
        <v>3754</v>
      </c>
      <c r="W182" s="104"/>
    </row>
    <row r="183">
      <c r="A183" s="105">
        <v>45915.0</v>
      </c>
      <c r="B183" s="79" t="str">
        <f>IFERROR(__xludf.DUMMYFUNCTION("""COMPUTED_VALUE"""),"BWH-AL-VM-1A-5")</f>
        <v>BWH-AL-VM-1A-5</v>
      </c>
      <c r="C183" s="104"/>
      <c r="D183" s="104"/>
      <c r="E183" s="104" t="str">
        <f>IFERROR(__xludf.DUMMYFUNCTION("""COMPUTED_VALUE"""),"GA-PO-6-MU-1")</f>
        <v>GA-PO-6-MU-1</v>
      </c>
      <c r="F183" s="98">
        <v>12.0</v>
      </c>
      <c r="G183" s="110"/>
      <c r="H183" s="100"/>
      <c r="I183" s="98"/>
      <c r="J183" s="111"/>
      <c r="K183" s="112">
        <v>14.0</v>
      </c>
      <c r="L183" s="104"/>
      <c r="M183" s="98">
        <v>14.0</v>
      </c>
      <c r="N183" s="103" t="str">
        <f>IFERROR(__xludf.DUMMYFUNCTION("""COMPUTED_VALUE"""),"")</f>
        <v/>
      </c>
      <c r="O183" s="104"/>
      <c r="P183" s="102" t="s">
        <v>1626</v>
      </c>
      <c r="Q183" s="104"/>
      <c r="R183" s="104" t="s">
        <v>347</v>
      </c>
      <c r="S183" s="104">
        <v>29.99</v>
      </c>
      <c r="T183" s="104" t="s">
        <v>3755</v>
      </c>
      <c r="U183" s="104"/>
      <c r="V183" s="104" t="s">
        <v>3755</v>
      </c>
      <c r="W183" s="104"/>
    </row>
    <row r="184">
      <c r="A184" s="105">
        <v>45915.0</v>
      </c>
      <c r="B184" s="79" t="str">
        <f>IFERROR(__xludf.DUMMYFUNCTION("""COMPUTED_VALUE"""),"BWH-PH-RAPK-2A")</f>
        <v>BWH-PH-RAPK-2A</v>
      </c>
      <c r="C184" s="104"/>
      <c r="D184" s="104"/>
      <c r="E184" s="104" t="str">
        <f>IFERROR(__xludf.DUMMYFUNCTION("""COMPUTED_VALUE"""),"GA-PO-6-MU-1")</f>
        <v>GA-PO-6-MU-1</v>
      </c>
      <c r="F184" s="98" t="s">
        <v>39</v>
      </c>
      <c r="G184" s="110"/>
      <c r="H184" s="100"/>
      <c r="I184" s="98"/>
      <c r="J184" s="111"/>
      <c r="K184" s="112">
        <v>10.0</v>
      </c>
      <c r="L184" s="104"/>
      <c r="M184" s="98">
        <v>10.0</v>
      </c>
      <c r="N184" s="103" t="str">
        <f>IFERROR(__xludf.DUMMYFUNCTION("""COMPUTED_VALUE"""),"")</f>
        <v/>
      </c>
      <c r="O184" s="104"/>
      <c r="P184" s="102" t="s">
        <v>1626</v>
      </c>
      <c r="Q184" s="104"/>
      <c r="R184" s="104" t="s">
        <v>349</v>
      </c>
      <c r="S184" s="104">
        <v>24.99</v>
      </c>
      <c r="T184" s="104" t="s">
        <v>3756</v>
      </c>
      <c r="U184" s="104"/>
      <c r="V184" s="104" t="s">
        <v>3756</v>
      </c>
      <c r="W184" s="104"/>
    </row>
    <row r="185">
      <c r="A185" s="105">
        <v>45915.0</v>
      </c>
      <c r="B185" s="79" t="str">
        <f>IFERROR(__xludf.DUMMYFUNCTION("""COMPUTED_VALUE"""),"BWH-PH-RAPK-2A-2")</f>
        <v>BWH-PH-RAPK-2A-2</v>
      </c>
      <c r="C185" s="104"/>
      <c r="D185" s="104"/>
      <c r="E185" s="104" t="str">
        <f>IFERROR(__xludf.DUMMYFUNCTION("""COMPUTED_VALUE"""),"GA-PO-4-WH-1")</f>
        <v>GA-PO-4-WH-1</v>
      </c>
      <c r="F185" s="98">
        <v>10.2</v>
      </c>
      <c r="G185" s="110"/>
      <c r="H185" s="100"/>
      <c r="I185" s="98"/>
      <c r="J185" s="111"/>
      <c r="K185" s="112"/>
      <c r="L185" s="102" t="s">
        <v>3757</v>
      </c>
      <c r="M185" s="98" t="s">
        <v>39</v>
      </c>
      <c r="N185" s="103" t="str">
        <f>IFERROR(__xludf.DUMMYFUNCTION("""COMPUTED_VALUE"""),"")</f>
        <v/>
      </c>
      <c r="O185" s="104"/>
      <c r="P185" s="102"/>
      <c r="Q185" s="104"/>
      <c r="R185" s="104" t="s">
        <v>351</v>
      </c>
      <c r="S185" s="104">
        <v>24.99</v>
      </c>
      <c r="T185" s="104" t="s">
        <v>3758</v>
      </c>
      <c r="U185" s="104"/>
      <c r="V185" s="104" t="s">
        <v>3758</v>
      </c>
      <c r="W185" s="104"/>
    </row>
    <row r="186">
      <c r="A186" s="105">
        <v>45915.0</v>
      </c>
      <c r="B186" s="79" t="str">
        <f>IFERROR(__xludf.DUMMYFUNCTION("""COMPUTED_VALUE"""),"BWH-PH-RAPK-2A-3")</f>
        <v>BWH-PH-RAPK-2A-3</v>
      </c>
      <c r="C186" s="104"/>
      <c r="D186" s="104"/>
      <c r="E186" s="104" t="str">
        <f>IFERROR(__xludf.DUMMYFUNCTION("""COMPUTED_VALUE"""),"GA-PO-6-MU-1")</f>
        <v>GA-PO-6-MU-1</v>
      </c>
      <c r="F186" s="98">
        <v>10.2</v>
      </c>
      <c r="G186" s="110"/>
      <c r="H186" s="100"/>
      <c r="I186" s="98"/>
      <c r="J186" s="98"/>
      <c r="K186" s="110"/>
      <c r="L186" s="104"/>
      <c r="M186" s="98" t="s">
        <v>39</v>
      </c>
      <c r="N186" s="103" t="str">
        <f>IFERROR(__xludf.DUMMYFUNCTION("""COMPUTED_VALUE"""),"")</f>
        <v/>
      </c>
      <c r="O186" s="104"/>
      <c r="P186" s="104"/>
      <c r="Q186" s="104"/>
      <c r="R186" s="104" t="s">
        <v>353</v>
      </c>
      <c r="S186" s="104">
        <v>24.99</v>
      </c>
      <c r="T186" s="104" t="s">
        <v>3759</v>
      </c>
      <c r="U186" s="104"/>
      <c r="V186" s="104" t="s">
        <v>3759</v>
      </c>
      <c r="W186" s="104"/>
    </row>
    <row r="187">
      <c r="A187" s="105">
        <v>45915.0</v>
      </c>
      <c r="B187" s="79" t="str">
        <f>IFERROR(__xludf.DUMMYFUNCTION("""COMPUTED_VALUE"""),"BWH-PH-RAPK-2A-4")</f>
        <v>BWH-PH-RAPK-2A-4</v>
      </c>
      <c r="C187" s="104"/>
      <c r="D187" s="104"/>
      <c r="E187" s="104" t="str">
        <f>IFERROR(__xludf.DUMMYFUNCTION("""COMPUTED_VALUE"""),"WO-PO-6-WH-2")</f>
        <v>WO-PO-6-WH-2</v>
      </c>
      <c r="F187" s="98">
        <v>10.2</v>
      </c>
      <c r="G187" s="110"/>
      <c r="H187" s="100"/>
      <c r="I187" s="98"/>
      <c r="J187" s="98"/>
      <c r="K187" s="110"/>
      <c r="L187" s="104"/>
      <c r="M187" s="98" t="s">
        <v>39</v>
      </c>
      <c r="N187" s="103" t="str">
        <f>IFERROR(__xludf.DUMMYFUNCTION("""COMPUTED_VALUE"""),"")</f>
        <v/>
      </c>
      <c r="O187" s="104"/>
      <c r="P187" s="104"/>
      <c r="Q187" s="104"/>
      <c r="R187" s="104" t="s">
        <v>355</v>
      </c>
      <c r="S187" s="104">
        <v>24.99</v>
      </c>
      <c r="T187" s="104" t="s">
        <v>3760</v>
      </c>
      <c r="U187" s="104"/>
      <c r="V187" s="104" t="s">
        <v>3760</v>
      </c>
      <c r="W187" s="104"/>
    </row>
    <row r="188">
      <c r="A188" s="105">
        <v>45915.0</v>
      </c>
      <c r="B188" s="79" t="str">
        <f>IFERROR(__xludf.DUMMYFUNCTION("""COMPUTED_VALUE"""),"BWH-PH-RAPK-2A-5")</f>
        <v>BWH-PH-RAPK-2A-5</v>
      </c>
      <c r="C188" s="104"/>
      <c r="D188" s="104"/>
      <c r="E188" s="104" t="str">
        <f>IFERROR(__xludf.DUMMYFUNCTION("""COMPUTED_VALUE"""),"")</f>
        <v/>
      </c>
      <c r="F188" s="98">
        <v>10.2</v>
      </c>
      <c r="G188" s="110"/>
      <c r="H188" s="100"/>
      <c r="I188" s="98"/>
      <c r="J188" s="111"/>
      <c r="K188" s="110"/>
      <c r="L188" s="104"/>
      <c r="M188" s="98" t="s">
        <v>39</v>
      </c>
      <c r="N188" s="103" t="str">
        <f>IFERROR(__xludf.DUMMYFUNCTION("""COMPUTED_VALUE"""),"")</f>
        <v/>
      </c>
      <c r="O188" s="104"/>
      <c r="P188" s="104"/>
      <c r="Q188" s="104"/>
      <c r="R188" s="104" t="s">
        <v>357</v>
      </c>
      <c r="S188" s="104">
        <v>24.99</v>
      </c>
      <c r="T188" s="104" t="s">
        <v>3761</v>
      </c>
      <c r="U188" s="104"/>
      <c r="V188" s="104" t="s">
        <v>3761</v>
      </c>
      <c r="W188" s="104"/>
    </row>
    <row r="189">
      <c r="A189" s="105">
        <v>45915.0</v>
      </c>
      <c r="B189" s="79" t="str">
        <f>IFERROR(__xludf.DUMMYFUNCTION("""COMPUTED_VALUE"""),"BWH-PH-BMV-1A")</f>
        <v>BWH-PH-BMV-1A</v>
      </c>
      <c r="C189" s="104"/>
      <c r="D189" s="104"/>
      <c r="E189" s="104" t="str">
        <f>IFERROR(__xludf.DUMMYFUNCTION("""COMPUTED_VALUE"""),"WO-PO-6-WH-1")</f>
        <v>WO-PO-6-WH-1</v>
      </c>
      <c r="F189" s="98">
        <v>14.4</v>
      </c>
      <c r="G189" s="110"/>
      <c r="H189" s="100"/>
      <c r="I189" s="98"/>
      <c r="J189" s="98"/>
      <c r="K189" s="110"/>
      <c r="L189" s="104"/>
      <c r="M189" s="98" t="s">
        <v>39</v>
      </c>
      <c r="N189" s="103" t="str">
        <f>IFERROR(__xludf.DUMMYFUNCTION("""COMPUTED_VALUE"""),"")</f>
        <v/>
      </c>
      <c r="O189" s="104"/>
      <c r="P189" s="104"/>
      <c r="Q189" s="104"/>
      <c r="R189" s="104" t="s">
        <v>358</v>
      </c>
      <c r="S189" s="104">
        <v>29.99</v>
      </c>
      <c r="T189" s="104" t="s">
        <v>3762</v>
      </c>
      <c r="U189" s="104"/>
      <c r="V189" s="104" t="s">
        <v>3762</v>
      </c>
      <c r="W189" s="104"/>
    </row>
    <row r="190">
      <c r="A190" s="105">
        <v>45915.0</v>
      </c>
      <c r="B190" s="79" t="str">
        <f>IFERROR(__xludf.DUMMYFUNCTION("""COMPUTED_VALUE"""),"BWH-PH-BMV-1A-2")</f>
        <v>BWH-PH-BMV-1A-2</v>
      </c>
      <c r="C190" s="104"/>
      <c r="D190" s="104"/>
      <c r="E190" s="104" t="str">
        <f>IFERROR(__xludf.DUMMYFUNCTION("""COMPUTED_VALUE"""),"GA-PO-6-MU-1")</f>
        <v>GA-PO-6-MU-1</v>
      </c>
      <c r="F190" s="98">
        <v>14.4</v>
      </c>
      <c r="G190" s="110"/>
      <c r="H190" s="100"/>
      <c r="I190" s="98"/>
      <c r="J190" s="111"/>
      <c r="K190" s="112">
        <v>10.0</v>
      </c>
      <c r="L190" s="104"/>
      <c r="M190" s="98">
        <v>10.0</v>
      </c>
      <c r="N190" s="103" t="str">
        <f>IFERROR(__xludf.DUMMYFUNCTION("""COMPUTED_VALUE"""),"")</f>
        <v/>
      </c>
      <c r="O190" s="104"/>
      <c r="P190" s="102" t="s">
        <v>1626</v>
      </c>
      <c r="Q190" s="104"/>
      <c r="R190" s="104" t="s">
        <v>359</v>
      </c>
      <c r="S190" s="104">
        <v>29.99</v>
      </c>
      <c r="T190" s="104" t="s">
        <v>3763</v>
      </c>
      <c r="U190" s="104"/>
      <c r="V190" s="104" t="s">
        <v>3763</v>
      </c>
      <c r="W190" s="104"/>
    </row>
    <row r="191">
      <c r="A191" s="105">
        <v>45915.0</v>
      </c>
      <c r="B191" s="79" t="str">
        <f>IFERROR(__xludf.DUMMYFUNCTION("""COMPUTED_VALUE"""),"BWH-PH-BMV-1A-3")</f>
        <v>BWH-PH-BMV-1A-3</v>
      </c>
      <c r="C191" s="104"/>
      <c r="D191" s="104"/>
      <c r="E191" s="104" t="str">
        <f>IFERROR(__xludf.DUMMYFUNCTION("""COMPUTED_VALUE"""),"WO-PO-6-WH-1")</f>
        <v>WO-PO-6-WH-1</v>
      </c>
      <c r="F191" s="98">
        <v>14.4</v>
      </c>
      <c r="G191" s="110"/>
      <c r="H191" s="100"/>
      <c r="I191" s="98"/>
      <c r="J191" s="111"/>
      <c r="K191" s="112">
        <v>10.0</v>
      </c>
      <c r="L191" s="104"/>
      <c r="M191" s="98">
        <v>10.0</v>
      </c>
      <c r="N191" s="103" t="str">
        <f>IFERROR(__xludf.DUMMYFUNCTION("""COMPUTED_VALUE"""),"")</f>
        <v/>
      </c>
      <c r="O191" s="104"/>
      <c r="P191" s="102" t="s">
        <v>1626</v>
      </c>
      <c r="Q191" s="104"/>
      <c r="R191" s="104" t="s">
        <v>360</v>
      </c>
      <c r="S191" s="104">
        <v>29.99</v>
      </c>
      <c r="T191" s="104" t="s">
        <v>3764</v>
      </c>
      <c r="U191" s="104"/>
      <c r="V191" s="104" t="s">
        <v>3764</v>
      </c>
      <c r="W191" s="104"/>
    </row>
    <row r="192">
      <c r="A192" s="105">
        <v>45915.0</v>
      </c>
      <c r="B192" s="79" t="str">
        <f>IFERROR(__xludf.DUMMYFUNCTION("""COMPUTED_VALUE"""),"BWH-PH-BMV-1A-4")</f>
        <v>BWH-PH-BMV-1A-4</v>
      </c>
      <c r="C192" s="104"/>
      <c r="D192" s="104"/>
      <c r="E192" s="104" t="str">
        <f>IFERROR(__xludf.DUMMYFUNCTION("""COMPUTED_VALUE"""),"MU-PO-4-WH-1")</f>
        <v>MU-PO-4-WH-1</v>
      </c>
      <c r="F192" s="98">
        <v>14.4</v>
      </c>
      <c r="G192" s="110"/>
      <c r="H192" s="100"/>
      <c r="I192" s="98"/>
      <c r="J192" s="111"/>
      <c r="K192" s="110"/>
      <c r="L192" s="104"/>
      <c r="M192" s="98" t="s">
        <v>39</v>
      </c>
      <c r="N192" s="103" t="str">
        <f>IFERROR(__xludf.DUMMYFUNCTION("""COMPUTED_VALUE"""),"")</f>
        <v/>
      </c>
      <c r="O192" s="104"/>
      <c r="P192" s="102" t="s">
        <v>1692</v>
      </c>
      <c r="Q192" s="104"/>
      <c r="R192" s="104" t="s">
        <v>361</v>
      </c>
      <c r="S192" s="104">
        <v>29.99</v>
      </c>
      <c r="T192" s="104" t="s">
        <v>3765</v>
      </c>
      <c r="U192" s="104"/>
      <c r="V192" s="104" t="s">
        <v>3765</v>
      </c>
      <c r="W192" s="104"/>
    </row>
    <row r="193">
      <c r="A193" s="105">
        <v>45915.0</v>
      </c>
      <c r="B193" s="79" t="str">
        <f>IFERROR(__xludf.DUMMYFUNCTION("""COMPUTED_VALUE"""),"BWH-PH-BMV-1A-5")</f>
        <v>BWH-PH-BMV-1A-5</v>
      </c>
      <c r="C193" s="104"/>
      <c r="D193" s="104"/>
      <c r="E193" s="104" t="str">
        <f>IFERROR(__xludf.DUMMYFUNCTION("""COMPUTED_VALUE"""),"PS-PO-5.5-MU-1")</f>
        <v>PS-PO-5.5-MU-1</v>
      </c>
      <c r="F193" s="98">
        <v>14.4</v>
      </c>
      <c r="G193" s="110"/>
      <c r="H193" s="100"/>
      <c r="I193" s="98"/>
      <c r="J193" s="111"/>
      <c r="K193" s="112">
        <v>5.0</v>
      </c>
      <c r="L193" s="104"/>
      <c r="M193" s="98">
        <v>5.0</v>
      </c>
      <c r="N193" s="103" t="str">
        <f>IFERROR(__xludf.DUMMYFUNCTION("""COMPUTED_VALUE"""),"")</f>
        <v/>
      </c>
      <c r="O193" s="104"/>
      <c r="P193" s="102" t="s">
        <v>1626</v>
      </c>
      <c r="Q193" s="104"/>
      <c r="R193" s="104" t="s">
        <v>362</v>
      </c>
      <c r="S193" s="104">
        <v>29.99</v>
      </c>
      <c r="T193" s="104" t="s">
        <v>3766</v>
      </c>
      <c r="U193" s="104"/>
      <c r="V193" s="104" t="s">
        <v>3766</v>
      </c>
      <c r="W193" s="104"/>
    </row>
    <row r="194">
      <c r="A194" s="105">
        <v>45915.0</v>
      </c>
      <c r="B194" s="79" t="str">
        <f>IFERROR(__xludf.DUMMYFUNCTION("""COMPUTED_VALUE"""),"BWH-PH-PV-1A")</f>
        <v>BWH-PH-PV-1A</v>
      </c>
      <c r="C194" s="104"/>
      <c r="D194" s="104"/>
      <c r="E194" s="104" t="str">
        <f>IFERROR(__xludf.DUMMYFUNCTION("""COMPUTED_VALUE"""),"WO-PO-6-MU-1")</f>
        <v>WO-PO-6-MU-1</v>
      </c>
      <c r="F194" s="98">
        <v>9.0</v>
      </c>
      <c r="G194" s="110"/>
      <c r="H194" s="100"/>
      <c r="I194" s="98"/>
      <c r="J194" s="111"/>
      <c r="K194" s="112">
        <v>10.0</v>
      </c>
      <c r="L194" s="104"/>
      <c r="M194" s="98">
        <v>10.0</v>
      </c>
      <c r="N194" s="103" t="str">
        <f>IFERROR(__xludf.DUMMYFUNCTION("""COMPUTED_VALUE"""),"")</f>
        <v/>
      </c>
      <c r="O194" s="104"/>
      <c r="P194" s="102" t="s">
        <v>1626</v>
      </c>
      <c r="Q194" s="104"/>
      <c r="R194" s="104" t="s">
        <v>364</v>
      </c>
      <c r="S194" s="104">
        <v>18.99</v>
      </c>
      <c r="T194" s="104" t="s">
        <v>3767</v>
      </c>
      <c r="U194" s="104"/>
      <c r="V194" s="104" t="s">
        <v>3767</v>
      </c>
      <c r="W194" s="104"/>
    </row>
    <row r="195">
      <c r="A195" s="105">
        <v>45915.0</v>
      </c>
      <c r="B195" s="79" t="str">
        <f>IFERROR(__xludf.DUMMYFUNCTION("""COMPUTED_VALUE"""),"BWH-PH-PV-1A-2")</f>
        <v>BWH-PH-PV-1A-2</v>
      </c>
      <c r="C195" s="104"/>
      <c r="D195" s="104"/>
      <c r="E195" s="104" t="str">
        <f>IFERROR(__xludf.DUMMYFUNCTION("""COMPUTED_VALUE"""),"PS-PO-5.5-MU-1")</f>
        <v>PS-PO-5.5-MU-1</v>
      </c>
      <c r="F195" s="98">
        <v>9.0</v>
      </c>
      <c r="G195" s="110"/>
      <c r="H195" s="100"/>
      <c r="I195" s="98"/>
      <c r="J195" s="111"/>
      <c r="K195" s="110"/>
      <c r="L195" s="104"/>
      <c r="M195" s="98" t="s">
        <v>39</v>
      </c>
      <c r="N195" s="103" t="str">
        <f>IFERROR(__xludf.DUMMYFUNCTION("""COMPUTED_VALUE"""),"")</f>
        <v/>
      </c>
      <c r="O195" s="104"/>
      <c r="P195" s="102" t="s">
        <v>1692</v>
      </c>
      <c r="Q195" s="104"/>
      <c r="R195" s="104" t="s">
        <v>365</v>
      </c>
      <c r="S195" s="104">
        <v>18.99</v>
      </c>
      <c r="T195" s="104" t="s">
        <v>3768</v>
      </c>
      <c r="U195" s="104"/>
      <c r="V195" s="104" t="s">
        <v>3768</v>
      </c>
      <c r="W195" s="104"/>
    </row>
    <row r="196">
      <c r="A196" s="105">
        <v>45915.0</v>
      </c>
      <c r="B196" s="79" t="str">
        <f>IFERROR(__xludf.DUMMYFUNCTION("""COMPUTED_VALUE"""),"BWH-PH-PV-1A-3")</f>
        <v>BWH-PH-PV-1A-3</v>
      </c>
      <c r="C196" s="104"/>
      <c r="D196" s="104"/>
      <c r="E196" s="104" t="str">
        <f>IFERROR(__xludf.DUMMYFUNCTION("""COMPUTED_VALUE"""),"PS-PO-5.5-MU-1")</f>
        <v>PS-PO-5.5-MU-1</v>
      </c>
      <c r="F196" s="98">
        <v>9.0</v>
      </c>
      <c r="G196" s="110"/>
      <c r="H196" s="100"/>
      <c r="I196" s="98"/>
      <c r="J196" s="111"/>
      <c r="K196" s="110"/>
      <c r="L196" s="104"/>
      <c r="M196" s="98" t="s">
        <v>39</v>
      </c>
      <c r="N196" s="103" t="str">
        <f>IFERROR(__xludf.DUMMYFUNCTION("""COMPUTED_VALUE"""),"")</f>
        <v/>
      </c>
      <c r="O196" s="104"/>
      <c r="P196" s="102" t="s">
        <v>1692</v>
      </c>
      <c r="Q196" s="104"/>
      <c r="R196" s="104" t="s">
        <v>366</v>
      </c>
      <c r="S196" s="104">
        <v>18.99</v>
      </c>
      <c r="T196" s="104" t="s">
        <v>3769</v>
      </c>
      <c r="U196" s="104"/>
      <c r="V196" s="104" t="s">
        <v>3769</v>
      </c>
      <c r="W196" s="104"/>
    </row>
    <row r="197">
      <c r="A197" s="105">
        <v>45915.0</v>
      </c>
      <c r="B197" s="79" t="str">
        <f>IFERROR(__xludf.DUMMYFUNCTION("""COMPUTED_VALUE"""),"BWH-PH-PV-1A-4")</f>
        <v>BWH-PH-PV-1A-4</v>
      </c>
      <c r="C197" s="104"/>
      <c r="D197" s="104"/>
      <c r="E197" s="104" t="str">
        <f>IFERROR(__xludf.DUMMYFUNCTION("""COMPUTED_VALUE"""),"GA-PO-6-MU-1")</f>
        <v>GA-PO-6-MU-1</v>
      </c>
      <c r="F197" s="98">
        <v>9.0</v>
      </c>
      <c r="G197" s="110"/>
      <c r="H197" s="100"/>
      <c r="I197" s="98"/>
      <c r="J197" s="111"/>
      <c r="K197" s="112">
        <v>24.0</v>
      </c>
      <c r="L197" s="104"/>
      <c r="M197" s="98">
        <v>24.0</v>
      </c>
      <c r="N197" s="103" t="str">
        <f>IFERROR(__xludf.DUMMYFUNCTION("""COMPUTED_VALUE"""),"")</f>
        <v/>
      </c>
      <c r="O197" s="104"/>
      <c r="P197" s="102" t="s">
        <v>1626</v>
      </c>
      <c r="Q197" s="104"/>
      <c r="R197" s="104" t="s">
        <v>367</v>
      </c>
      <c r="S197" s="104">
        <v>18.99</v>
      </c>
      <c r="T197" s="104" t="s">
        <v>3770</v>
      </c>
      <c r="U197" s="104"/>
      <c r="V197" s="104" t="s">
        <v>3770</v>
      </c>
      <c r="W197" s="104"/>
    </row>
    <row r="198">
      <c r="A198" s="105">
        <v>45915.0</v>
      </c>
      <c r="B198" s="79" t="str">
        <f>IFERROR(__xludf.DUMMYFUNCTION("""COMPUTED_VALUE"""),"BWH-PH-PV-1A-5")</f>
        <v>BWH-PH-PV-1A-5</v>
      </c>
      <c r="C198" s="104"/>
      <c r="D198" s="104"/>
      <c r="E198" s="104" t="str">
        <f>IFERROR(__xludf.DUMMYFUNCTION("""COMPUTED_VALUE"""),"WO-PO-6-WH-1")</f>
        <v>WO-PO-6-WH-1</v>
      </c>
      <c r="F198" s="98">
        <v>9.0</v>
      </c>
      <c r="G198" s="110"/>
      <c r="H198" s="100"/>
      <c r="I198" s="98"/>
      <c r="J198" s="111"/>
      <c r="K198" s="110"/>
      <c r="L198" s="104"/>
      <c r="M198" s="98" t="s">
        <v>39</v>
      </c>
      <c r="N198" s="103" t="str">
        <f>IFERROR(__xludf.DUMMYFUNCTION("""COMPUTED_VALUE"""),"")</f>
        <v/>
      </c>
      <c r="O198" s="104"/>
      <c r="P198" s="102" t="s">
        <v>1692</v>
      </c>
      <c r="Q198" s="104"/>
      <c r="R198" s="104" t="s">
        <v>368</v>
      </c>
      <c r="S198" s="104">
        <v>18.99</v>
      </c>
      <c r="T198" s="104" t="s">
        <v>3771</v>
      </c>
      <c r="U198" s="104"/>
      <c r="V198" s="104" t="s">
        <v>3771</v>
      </c>
      <c r="W198" s="104"/>
    </row>
    <row r="199">
      <c r="A199" s="105">
        <v>45915.0</v>
      </c>
      <c r="B199" s="79" t="str">
        <f>IFERROR(__xludf.DUMMYFUNCTION("""COMPUTED_VALUE"""),"TG-ASP-HU-1A")</f>
        <v>TG-ASP-HU-1A</v>
      </c>
      <c r="C199" s="104"/>
      <c r="D199" s="104"/>
      <c r="E199" s="104" t="str">
        <f>IFERROR(__xludf.DUMMYFUNCTION("""COMPUTED_VALUE"""),"EC-PO-5-SW-1")</f>
        <v>EC-PO-5-SW-1</v>
      </c>
      <c r="F199" s="98">
        <v>9.5</v>
      </c>
      <c r="G199" s="110"/>
      <c r="H199" s="100"/>
      <c r="I199" s="98"/>
      <c r="J199" s="111"/>
      <c r="K199" s="112">
        <v>15.0</v>
      </c>
      <c r="L199" s="104"/>
      <c r="M199" s="98">
        <v>15.0</v>
      </c>
      <c r="N199" s="103" t="str">
        <f>IFERROR(__xludf.DUMMYFUNCTION("""COMPUTED_VALUE"""),"")</f>
        <v/>
      </c>
      <c r="O199" s="104"/>
      <c r="P199" s="102" t="s">
        <v>1626</v>
      </c>
      <c r="Q199" s="104"/>
      <c r="R199" s="104" t="s">
        <v>372</v>
      </c>
      <c r="S199" s="104">
        <v>19.0</v>
      </c>
      <c r="T199" s="104" t="s">
        <v>3772</v>
      </c>
      <c r="U199" s="104"/>
      <c r="V199" s="104" t="s">
        <v>3772</v>
      </c>
      <c r="W199" s="104"/>
    </row>
    <row r="200">
      <c r="A200" s="105">
        <v>45926.0</v>
      </c>
      <c r="B200" s="79" t="str">
        <f>IFERROR(__xludf.DUMMYFUNCTION("""COMPUTED_VALUE"""),"TG-ASP-VI-1A")</f>
        <v>TG-ASP-VI-1A</v>
      </c>
      <c r="C200" s="104"/>
      <c r="D200" s="104"/>
      <c r="E200" s="104" t="str">
        <f>IFERROR(__xludf.DUMMYFUNCTION("""COMPUTED_VALUE"""),"GA-PO-6-BL-1")</f>
        <v>GA-PO-6-BL-1</v>
      </c>
      <c r="F200" s="98">
        <v>9.5</v>
      </c>
      <c r="G200" s="110"/>
      <c r="H200" s="100"/>
      <c r="I200" s="98"/>
      <c r="J200" s="98"/>
      <c r="K200" s="110"/>
      <c r="L200" s="104"/>
      <c r="M200" s="98" t="s">
        <v>39</v>
      </c>
      <c r="N200" s="103" t="str">
        <f>IFERROR(__xludf.DUMMYFUNCTION("""COMPUTED_VALUE"""),"")</f>
        <v/>
      </c>
      <c r="O200" s="104"/>
      <c r="P200" s="104"/>
      <c r="Q200" s="104"/>
      <c r="R200" s="104" t="s">
        <v>374</v>
      </c>
      <c r="S200" s="104">
        <v>19.0</v>
      </c>
      <c r="T200" s="104" t="s">
        <v>3773</v>
      </c>
      <c r="U200" s="104"/>
      <c r="V200" s="104" t="s">
        <v>3773</v>
      </c>
      <c r="W200" s="104"/>
    </row>
    <row r="201">
      <c r="A201" s="105">
        <v>45926.0</v>
      </c>
      <c r="B201" s="79" t="str">
        <f>IFERROR(__xludf.DUMMYFUNCTION("""COMPUTED_VALUE"""),"TG-ASP-AG-1A")</f>
        <v>TG-ASP-AG-1A</v>
      </c>
      <c r="C201" s="104"/>
      <c r="D201" s="104"/>
      <c r="E201" s="104" t="str">
        <f>IFERROR(__xludf.DUMMYFUNCTION("""COMPUTED_VALUE"""),"ST-PO-4-NU-1")</f>
        <v>ST-PO-4-NU-1</v>
      </c>
      <c r="F201" s="98">
        <v>9.5</v>
      </c>
      <c r="G201" s="110"/>
      <c r="H201" s="100"/>
      <c r="I201" s="98"/>
      <c r="J201" s="98"/>
      <c r="K201" s="110"/>
      <c r="L201" s="104"/>
      <c r="M201" s="98" t="s">
        <v>39</v>
      </c>
      <c r="N201" s="103" t="str">
        <f>IFERROR(__xludf.DUMMYFUNCTION("""COMPUTED_VALUE"""),"")</f>
        <v/>
      </c>
      <c r="O201" s="104"/>
      <c r="P201" s="104"/>
      <c r="Q201" s="104"/>
      <c r="R201" s="104" t="s">
        <v>376</v>
      </c>
      <c r="S201" s="104">
        <v>19.0</v>
      </c>
      <c r="T201" s="104" t="s">
        <v>3774</v>
      </c>
      <c r="U201" s="104"/>
      <c r="V201" s="104" t="s">
        <v>3774</v>
      </c>
      <c r="W201" s="104"/>
    </row>
    <row r="202">
      <c r="A202" s="105">
        <v>45926.0</v>
      </c>
      <c r="B202" s="79" t="str">
        <f>IFERROR(__xludf.DUMMYFUNCTION("""COMPUTED_VALUE"""),"TG-BL-BMF-1A")</f>
        <v>TG-BL-BMF-1A</v>
      </c>
      <c r="C202" s="104"/>
      <c r="D202" s="104"/>
      <c r="E202" s="104" t="str">
        <f>IFERROR(__xludf.DUMMYFUNCTION("""COMPUTED_VALUE"""),"GA-PO-6-WH-2")</f>
        <v>GA-PO-6-WH-2</v>
      </c>
      <c r="F202" s="98">
        <v>9.5</v>
      </c>
      <c r="G202" s="110"/>
      <c r="H202" s="100"/>
      <c r="I202" s="98"/>
      <c r="J202" s="98"/>
      <c r="K202" s="110"/>
      <c r="L202" s="104"/>
      <c r="M202" s="98" t="s">
        <v>39</v>
      </c>
      <c r="N202" s="103" t="str">
        <f>IFERROR(__xludf.DUMMYFUNCTION("""COMPUTED_VALUE"""),"")</f>
        <v/>
      </c>
      <c r="O202" s="104"/>
      <c r="P202" s="104"/>
      <c r="Q202" s="104"/>
      <c r="R202" s="104" t="s">
        <v>379</v>
      </c>
      <c r="S202" s="104">
        <v>9.5</v>
      </c>
      <c r="T202" s="104" t="s">
        <v>3775</v>
      </c>
      <c r="U202" s="104"/>
      <c r="V202" s="104" t="s">
        <v>3775</v>
      </c>
      <c r="W202" s="104"/>
    </row>
    <row r="203">
      <c r="A203" s="105">
        <v>45926.0</v>
      </c>
      <c r="B203" s="79" t="str">
        <f>IFERROR(__xludf.DUMMYFUNCTION("""COMPUTED_VALUE"""),"TG-FI-RE-1A")</f>
        <v>TG-FI-RE-1A</v>
      </c>
      <c r="C203" s="104"/>
      <c r="D203" s="104"/>
      <c r="E203" s="104" t="str">
        <f>IFERROR(__xludf.DUMMYFUNCTION("""COMPUTED_VALUE"""),"")</f>
        <v/>
      </c>
      <c r="F203" s="98">
        <v>9.5</v>
      </c>
      <c r="G203" s="110"/>
      <c r="H203" s="100"/>
      <c r="I203" s="98"/>
      <c r="J203" s="98"/>
      <c r="K203" s="110"/>
      <c r="L203" s="104"/>
      <c r="M203" s="98" t="s">
        <v>39</v>
      </c>
      <c r="N203" s="103" t="str">
        <f>IFERROR(__xludf.DUMMYFUNCTION("""COMPUTED_VALUE"""),"")</f>
        <v/>
      </c>
      <c r="O203" s="104"/>
      <c r="P203" s="104"/>
      <c r="Q203" s="104"/>
      <c r="R203" s="104" t="s">
        <v>381</v>
      </c>
      <c r="S203" s="104">
        <v>19.0</v>
      </c>
      <c r="T203" s="104" t="s">
        <v>3776</v>
      </c>
      <c r="U203" s="104"/>
      <c r="V203" s="104" t="s">
        <v>3776</v>
      </c>
      <c r="W203" s="104"/>
    </row>
    <row r="204">
      <c r="A204" s="105">
        <v>45926.0</v>
      </c>
      <c r="B204" s="79" t="str">
        <f>IFERROR(__xludf.DUMMYFUNCTION("""COMPUTED_VALUE"""),"TG-CT-BM-1A")</f>
        <v>TG-CT-BM-1A</v>
      </c>
      <c r="C204" s="104"/>
      <c r="D204" s="104"/>
      <c r="E204" s="104" t="str">
        <f>IFERROR(__xludf.DUMMYFUNCTION("""COMPUTED_VALUE"""),"GA-PO-6-BL-1")</f>
        <v>GA-PO-6-BL-1</v>
      </c>
      <c r="F204" s="98">
        <v>9.5</v>
      </c>
      <c r="G204" s="110"/>
      <c r="H204" s="100"/>
      <c r="I204" s="98"/>
      <c r="J204" s="98"/>
      <c r="K204" s="110"/>
      <c r="L204" s="104"/>
      <c r="M204" s="98" t="s">
        <v>39</v>
      </c>
      <c r="N204" s="103" t="str">
        <f>IFERROR(__xludf.DUMMYFUNCTION("""COMPUTED_VALUE"""),"")</f>
        <v/>
      </c>
      <c r="O204" s="104"/>
      <c r="P204" s="104"/>
      <c r="Q204" s="104"/>
      <c r="R204" s="104" t="s">
        <v>382</v>
      </c>
      <c r="S204" s="104">
        <v>19.0</v>
      </c>
      <c r="T204" s="104" t="s">
        <v>3777</v>
      </c>
      <c r="U204" s="104"/>
      <c r="V204" s="104" t="s">
        <v>3777</v>
      </c>
      <c r="W204" s="104"/>
    </row>
    <row r="205">
      <c r="A205" s="105">
        <v>45926.0</v>
      </c>
      <c r="B205" s="79" t="str">
        <f>IFERROR(__xludf.DUMMYFUNCTION("""COMPUTED_VALUE"""),"TG-MAR-LL-1A")</f>
        <v>TG-MAR-LL-1A</v>
      </c>
      <c r="C205" s="104"/>
      <c r="D205" s="104"/>
      <c r="E205" s="104" t="str">
        <f>IFERROR(__xludf.DUMMYFUNCTION("""COMPUTED_VALUE"""),"GA-PO-4-BL-1")</f>
        <v>GA-PO-4-BL-1</v>
      </c>
      <c r="F205" s="98">
        <v>9.5</v>
      </c>
      <c r="G205" s="110"/>
      <c r="H205" s="100"/>
      <c r="I205" s="98"/>
      <c r="J205" s="98"/>
      <c r="K205" s="110"/>
      <c r="L205" s="104"/>
      <c r="M205" s="98" t="s">
        <v>39</v>
      </c>
      <c r="N205" s="103" t="str">
        <f>IFERROR(__xludf.DUMMYFUNCTION("""COMPUTED_VALUE"""),"")</f>
        <v/>
      </c>
      <c r="O205" s="104"/>
      <c r="P205" s="104"/>
      <c r="Q205" s="104"/>
      <c r="R205" s="104" t="s">
        <v>385</v>
      </c>
      <c r="S205" s="104">
        <v>19.0</v>
      </c>
      <c r="T205" s="104" t="s">
        <v>3778</v>
      </c>
      <c r="U205" s="104"/>
      <c r="V205" s="104" t="s">
        <v>3778</v>
      </c>
      <c r="W205" s="104"/>
    </row>
    <row r="206">
      <c r="A206" s="105">
        <v>45926.0</v>
      </c>
      <c r="B206" s="79" t="str">
        <f>IFERROR(__xludf.DUMMYFUNCTION("""COMPUTED_VALUE"""),"TG-MAR-LR-1A")</f>
        <v>TG-MAR-LR-1A</v>
      </c>
      <c r="C206" s="104"/>
      <c r="D206" s="104"/>
      <c r="E206" s="104" t="str">
        <f>IFERROR(__xludf.DUMMYFUNCTION("""COMPUTED_VALUE"""),"")</f>
        <v/>
      </c>
      <c r="F206" s="98">
        <v>9.5</v>
      </c>
      <c r="G206" s="110"/>
      <c r="H206" s="100"/>
      <c r="I206" s="98"/>
      <c r="J206" s="98"/>
      <c r="K206" s="110"/>
      <c r="L206" s="104"/>
      <c r="M206" s="98" t="s">
        <v>39</v>
      </c>
      <c r="N206" s="103" t="str">
        <f>IFERROR(__xludf.DUMMYFUNCTION("""COMPUTED_VALUE"""),"")</f>
        <v/>
      </c>
      <c r="O206" s="104"/>
      <c r="P206" s="104"/>
      <c r="Q206" s="104"/>
      <c r="R206" s="104" t="s">
        <v>387</v>
      </c>
      <c r="S206" s="104">
        <v>19.0</v>
      </c>
      <c r="T206" s="104" t="s">
        <v>3779</v>
      </c>
      <c r="U206" s="104"/>
      <c r="V206" s="104" t="s">
        <v>3779</v>
      </c>
      <c r="W206" s="104"/>
    </row>
    <row r="207">
      <c r="A207" s="105">
        <v>45926.0</v>
      </c>
      <c r="B207" s="79" t="str">
        <f>IFERROR(__xludf.DUMMYFUNCTION("""COMPUTED_VALUE"""),"TG-HO-CA-1A")</f>
        <v>TG-HO-CA-1A</v>
      </c>
      <c r="C207" s="104"/>
      <c r="D207" s="104"/>
      <c r="E207" s="104" t="str">
        <f>IFERROR(__xludf.DUMMYFUNCTION("""COMPUTED_VALUE"""),"")</f>
        <v/>
      </c>
      <c r="F207" s="98">
        <v>9.5</v>
      </c>
      <c r="G207" s="110"/>
      <c r="H207" s="100"/>
      <c r="I207" s="98"/>
      <c r="J207" s="98"/>
      <c r="K207" s="110"/>
      <c r="L207" s="104"/>
      <c r="M207" s="98" t="s">
        <v>39</v>
      </c>
      <c r="N207" s="103" t="str">
        <f>IFERROR(__xludf.DUMMYFUNCTION("""COMPUTED_VALUE"""),"")</f>
        <v/>
      </c>
      <c r="O207" s="104"/>
      <c r="P207" s="104"/>
      <c r="Q207" s="104"/>
      <c r="R207" s="104" t="s">
        <v>389</v>
      </c>
      <c r="S207" s="104">
        <v>19.0</v>
      </c>
      <c r="T207" s="104" t="s">
        <v>3780</v>
      </c>
      <c r="U207" s="104"/>
      <c r="V207" s="104" t="s">
        <v>3780</v>
      </c>
      <c r="W207" s="104"/>
    </row>
    <row r="208">
      <c r="A208" s="105">
        <v>45926.0</v>
      </c>
      <c r="B208" s="79" t="str">
        <f>IFERROR(__xludf.DUMMYFUNCTION("""COMPUTED_VALUE"""),"TG-CA-PIN-1A")</f>
        <v>TG-CA-PIN-1A</v>
      </c>
      <c r="C208" s="104"/>
      <c r="D208" s="104"/>
      <c r="E208" s="104" t="str">
        <f>IFERROR(__xludf.DUMMYFUNCTION("""COMPUTED_VALUE"""),"ST-PO-4-NU-1")</f>
        <v>ST-PO-4-NU-1</v>
      </c>
      <c r="F208" s="98">
        <v>9.5</v>
      </c>
      <c r="G208" s="110"/>
      <c r="H208" s="100"/>
      <c r="I208" s="98"/>
      <c r="J208" s="111"/>
      <c r="K208" s="110"/>
      <c r="L208" s="104"/>
      <c r="M208" s="98" t="s">
        <v>39</v>
      </c>
      <c r="N208" s="103" t="str">
        <f>IFERROR(__xludf.DUMMYFUNCTION("""COMPUTED_VALUE"""),"")</f>
        <v/>
      </c>
      <c r="O208" s="104"/>
      <c r="P208" s="104"/>
      <c r="Q208" s="104"/>
      <c r="R208" s="104" t="s">
        <v>391</v>
      </c>
      <c r="S208" s="104">
        <v>19.0</v>
      </c>
      <c r="T208" s="104" t="s">
        <v>3781</v>
      </c>
      <c r="U208" s="104"/>
      <c r="V208" s="104" t="s">
        <v>3781</v>
      </c>
      <c r="W208" s="104"/>
    </row>
    <row r="209">
      <c r="A209" s="105">
        <v>45926.0</v>
      </c>
      <c r="B209" s="79" t="str">
        <f>IFERROR(__xludf.DUMMYFUNCTION("""COMPUTED_VALUE"""),"TG-CA-DOT-1A")</f>
        <v>TG-CA-DOT-1A</v>
      </c>
      <c r="C209" s="104"/>
      <c r="D209" s="104"/>
      <c r="E209" s="104" t="str">
        <f>IFERROR(__xludf.DUMMYFUNCTION("""COMPUTED_VALUE"""),"GA-PO-4-BL-1")</f>
        <v>GA-PO-4-BL-1</v>
      </c>
      <c r="F209" s="98">
        <v>9.5</v>
      </c>
      <c r="G209" s="110"/>
      <c r="H209" s="100"/>
      <c r="I209" s="98"/>
      <c r="J209" s="98"/>
      <c r="K209" s="110"/>
      <c r="L209" s="104"/>
      <c r="M209" s="98" t="s">
        <v>39</v>
      </c>
      <c r="N209" s="103" t="str">
        <f>IFERROR(__xludf.DUMMYFUNCTION("""COMPUTED_VALUE"""),"")</f>
        <v/>
      </c>
      <c r="O209" s="104"/>
      <c r="P209" s="104"/>
      <c r="Q209" s="104"/>
      <c r="R209" s="104" t="s">
        <v>393</v>
      </c>
      <c r="S209" s="104">
        <v>19.0</v>
      </c>
      <c r="T209" s="104" t="s">
        <v>3782</v>
      </c>
      <c r="U209" s="104"/>
      <c r="V209" s="104" t="s">
        <v>3782</v>
      </c>
      <c r="W209" s="104"/>
    </row>
    <row r="210">
      <c r="A210" s="105">
        <v>45926.0</v>
      </c>
      <c r="B210" s="79" t="str">
        <f>IFERROR(__xludf.DUMMYFUNCTION("""COMPUTED_VALUE"""),"TG-PI-DS-1A")</f>
        <v>TG-PI-DS-1A</v>
      </c>
      <c r="C210" s="104"/>
      <c r="D210" s="104"/>
      <c r="E210" s="104" t="str">
        <f>IFERROR(__xludf.DUMMYFUNCTION("""COMPUTED_VALUE"""),"")</f>
        <v/>
      </c>
      <c r="F210" s="98">
        <v>9.5</v>
      </c>
      <c r="G210" s="110"/>
      <c r="H210" s="100"/>
      <c r="I210" s="98"/>
      <c r="J210" s="98"/>
      <c r="K210" s="110"/>
      <c r="L210" s="104"/>
      <c r="M210" s="98" t="s">
        <v>39</v>
      </c>
      <c r="N210" s="103" t="str">
        <f>IFERROR(__xludf.DUMMYFUNCTION("""COMPUTED_VALUE"""),"")</f>
        <v/>
      </c>
      <c r="O210" s="104"/>
      <c r="P210" s="104"/>
      <c r="Q210" s="104"/>
      <c r="R210" s="104" t="s">
        <v>395</v>
      </c>
      <c r="S210" s="104">
        <v>19.0</v>
      </c>
      <c r="T210" s="104" t="s">
        <v>3783</v>
      </c>
      <c r="U210" s="104"/>
      <c r="V210" s="104" t="s">
        <v>3783</v>
      </c>
      <c r="W210" s="104"/>
    </row>
    <row r="211">
      <c r="A211" s="105">
        <v>45926.0</v>
      </c>
      <c r="B211" s="79" t="str">
        <f>IFERROR(__xludf.DUMMYFUNCTION("""COMPUTED_VALUE"""),"TG-HYP-PS-1A")</f>
        <v>TG-HYP-PS-1A</v>
      </c>
      <c r="C211" s="104"/>
      <c r="D211" s="104"/>
      <c r="E211" s="104" t="str">
        <f>IFERROR(__xludf.DUMMYFUNCTION("""COMPUTED_VALUE"""),"")</f>
        <v/>
      </c>
      <c r="F211" s="98">
        <v>9.5</v>
      </c>
      <c r="G211" s="110"/>
      <c r="H211" s="100"/>
      <c r="I211" s="98"/>
      <c r="J211" s="98"/>
      <c r="K211" s="110"/>
      <c r="L211" s="104"/>
      <c r="M211" s="98" t="s">
        <v>39</v>
      </c>
      <c r="N211" s="103" t="str">
        <f>IFERROR(__xludf.DUMMYFUNCTION("""COMPUTED_VALUE"""),"")</f>
        <v/>
      </c>
      <c r="O211" s="104"/>
      <c r="P211" s="104"/>
      <c r="Q211" s="104"/>
      <c r="R211" s="104" t="s">
        <v>397</v>
      </c>
      <c r="S211" s="104">
        <v>19.0</v>
      </c>
      <c r="T211" s="104" t="s">
        <v>3784</v>
      </c>
      <c r="U211" s="104"/>
      <c r="V211" s="104" t="s">
        <v>3784</v>
      </c>
      <c r="W211" s="104"/>
    </row>
    <row r="212">
      <c r="A212" s="105">
        <v>45926.0</v>
      </c>
      <c r="B212" s="79" t="str">
        <f>IFERROR(__xludf.DUMMYFUNCTION("""COMPUTED_VALUE"""),"TG-CHL-SPI-1A")</f>
        <v>TG-CHL-SPI-1A</v>
      </c>
      <c r="C212" s="104"/>
      <c r="D212" s="104"/>
      <c r="E212" s="104" t="str">
        <f>IFERROR(__xludf.DUMMYFUNCTION("""COMPUTED_VALUE"""),"EC-PO-5-SW-1")</f>
        <v>EC-PO-5-SW-1</v>
      </c>
      <c r="F212" s="98">
        <v>4.75</v>
      </c>
      <c r="G212" s="110"/>
      <c r="H212" s="100"/>
      <c r="I212" s="98"/>
      <c r="J212" s="98"/>
      <c r="K212" s="110"/>
      <c r="L212" s="104"/>
      <c r="M212" s="98" t="s">
        <v>39</v>
      </c>
      <c r="N212" s="103" t="str">
        <f>IFERROR(__xludf.DUMMYFUNCTION("""COMPUTED_VALUE"""),"")</f>
        <v/>
      </c>
      <c r="O212" s="104"/>
      <c r="P212" s="104"/>
      <c r="Q212" s="104"/>
      <c r="R212" s="104" t="s">
        <v>400</v>
      </c>
      <c r="S212" s="104">
        <v>19.0</v>
      </c>
      <c r="T212" s="104" t="s">
        <v>3785</v>
      </c>
      <c r="U212" s="104"/>
      <c r="V212" s="104" t="s">
        <v>3785</v>
      </c>
      <c r="W212" s="104"/>
    </row>
    <row r="213">
      <c r="A213" s="105">
        <v>45926.0</v>
      </c>
      <c r="B213" s="79" t="str">
        <f>IFERROR(__xludf.DUMMYFUNCTION("""COMPUTED_VALUE"""),"TG-CHA-EL-1A")</f>
        <v>TG-CHA-EL-1A</v>
      </c>
      <c r="C213" s="104"/>
      <c r="D213" s="104"/>
      <c r="E213" s="104" t="str">
        <f>IFERROR(__xludf.DUMMYFUNCTION("""COMPUTED_VALUE"""),"")</f>
        <v/>
      </c>
      <c r="F213" s="98">
        <v>9.5</v>
      </c>
      <c r="G213" s="110"/>
      <c r="H213" s="100"/>
      <c r="I213" s="98"/>
      <c r="J213" s="98"/>
      <c r="K213" s="110"/>
      <c r="L213" s="104"/>
      <c r="M213" s="98" t="s">
        <v>39</v>
      </c>
      <c r="N213" s="103" t="str">
        <f>IFERROR(__xludf.DUMMYFUNCTION("""COMPUTED_VALUE"""),"")</f>
        <v/>
      </c>
      <c r="O213" s="104"/>
      <c r="P213" s="104"/>
      <c r="Q213" s="104"/>
      <c r="R213" s="104" t="s">
        <v>403</v>
      </c>
      <c r="S213" s="104">
        <v>19.0</v>
      </c>
      <c r="T213" s="104" t="s">
        <v>3786</v>
      </c>
      <c r="U213" s="104"/>
      <c r="V213" s="104" t="s">
        <v>3786</v>
      </c>
      <c r="W213" s="104"/>
    </row>
    <row r="214">
      <c r="A214" s="105">
        <v>45926.0</v>
      </c>
      <c r="B214" s="79" t="str">
        <f>IFERROR(__xludf.DUMMYFUNCTION("""COMPUTED_VALUE"""),"TG-BE-REX-1A")</f>
        <v>TG-BE-REX-1A</v>
      </c>
      <c r="C214" s="104"/>
      <c r="D214" s="104"/>
      <c r="E214" s="104" t="str">
        <f>IFERROR(__xludf.DUMMYFUNCTION("""COMPUTED_VALUE"""),"ST-PO-4-NU-1")</f>
        <v>ST-PO-4-NU-1</v>
      </c>
      <c r="F214" s="98">
        <v>9.5</v>
      </c>
      <c r="G214" s="110"/>
      <c r="H214" s="100"/>
      <c r="I214" s="98"/>
      <c r="J214" s="111"/>
      <c r="K214" s="112">
        <v>10.0</v>
      </c>
      <c r="L214" s="104"/>
      <c r="M214" s="98">
        <v>10.0</v>
      </c>
      <c r="N214" s="103" t="str">
        <f>IFERROR(__xludf.DUMMYFUNCTION("""COMPUTED_VALUE"""),"")</f>
        <v/>
      </c>
      <c r="O214" s="104"/>
      <c r="P214" s="102" t="s">
        <v>1626</v>
      </c>
      <c r="Q214" s="104"/>
      <c r="R214" s="104" t="s">
        <v>405</v>
      </c>
      <c r="S214" s="104">
        <v>19.0</v>
      </c>
      <c r="T214" s="104" t="s">
        <v>3787</v>
      </c>
      <c r="U214" s="104"/>
      <c r="V214" s="104" t="s">
        <v>3787</v>
      </c>
      <c r="W214" s="104"/>
    </row>
    <row r="215">
      <c r="A215" s="105">
        <v>42181.0</v>
      </c>
      <c r="B215" s="79" t="str">
        <f>IFERROR(__xludf.DUMMYFUNCTION("""COMPUTED_VALUE"""),"HS-CHL-SPI-1A")</f>
        <v>HS-CHL-SPI-1A</v>
      </c>
      <c r="C215" s="102" t="s">
        <v>3788</v>
      </c>
      <c r="D215" s="104"/>
      <c r="E215" s="104" t="str">
        <f>IFERROR(__xludf.DUMMYFUNCTION("""COMPUTED_VALUE"""),"")</f>
        <v/>
      </c>
      <c r="F215" s="98">
        <v>0.0</v>
      </c>
      <c r="G215" s="110"/>
      <c r="H215" s="100"/>
      <c r="I215" s="98"/>
      <c r="J215" s="98"/>
      <c r="K215" s="110"/>
      <c r="L215" s="104"/>
      <c r="M215" s="98" t="s">
        <v>39</v>
      </c>
      <c r="N215" s="103" t="str">
        <f>IFERROR(__xludf.DUMMYFUNCTION("""COMPUTED_VALUE"""),"")</f>
        <v/>
      </c>
      <c r="O215" s="104"/>
      <c r="P215" s="102" t="s">
        <v>1481</v>
      </c>
      <c r="Q215" s="104"/>
      <c r="R215" s="104" t="s">
        <v>406</v>
      </c>
      <c r="S215" s="104"/>
      <c r="T215" s="104" t="s">
        <v>3789</v>
      </c>
      <c r="U215" s="104"/>
      <c r="V215" s="104" t="s">
        <v>3789</v>
      </c>
      <c r="W215" s="104"/>
    </row>
    <row r="216">
      <c r="A216" s="105">
        <v>42181.0</v>
      </c>
      <c r="B216" s="79" t="str">
        <f>IFERROR(__xludf.DUMMYFUNCTION("""COMPUTED_VALUE"""),"HS-CHL-SPI-1A-2")</f>
        <v>HS-CHL-SPI-1A-2</v>
      </c>
      <c r="C216" s="104"/>
      <c r="D216" s="104"/>
      <c r="E216" s="104" t="str">
        <f>IFERROR(__xludf.DUMMYFUNCTION("""COMPUTED_VALUE"""),"")</f>
        <v/>
      </c>
      <c r="F216" s="98">
        <v>0.0</v>
      </c>
      <c r="G216" s="110"/>
      <c r="H216" s="100"/>
      <c r="I216" s="98"/>
      <c r="J216" s="98"/>
      <c r="K216" s="110"/>
      <c r="L216" s="104"/>
      <c r="M216" s="98" t="s">
        <v>39</v>
      </c>
      <c r="N216" s="103" t="str">
        <f>IFERROR(__xludf.DUMMYFUNCTION("""COMPUTED_VALUE"""),"")</f>
        <v/>
      </c>
      <c r="O216" s="104"/>
      <c r="P216" s="102" t="s">
        <v>1481</v>
      </c>
      <c r="Q216" s="104"/>
      <c r="R216" s="104" t="s">
        <v>408</v>
      </c>
      <c r="S216" s="104"/>
      <c r="T216" s="104" t="s">
        <v>3790</v>
      </c>
      <c r="U216" s="104"/>
      <c r="V216" s="104" t="s">
        <v>3790</v>
      </c>
      <c r="W216" s="104"/>
    </row>
    <row r="217">
      <c r="A217" s="105">
        <v>45922.0</v>
      </c>
      <c r="B217" s="79" t="str">
        <f>IFERROR(__xludf.DUMMYFUNCTION("""COMPUTED_VALUE"""),"BWH-PO-PAJ-2A")</f>
        <v>BWH-PO-PAJ-2A</v>
      </c>
      <c r="C217" s="104"/>
      <c r="D217" s="104"/>
      <c r="E217" s="104" t="str">
        <f>IFERROR(__xludf.DUMMYFUNCTION("""COMPUTED_VALUE"""),"ST-PO-4-NU-1")</f>
        <v>ST-PO-4-NU-1</v>
      </c>
      <c r="F217" s="98" t="s">
        <v>39</v>
      </c>
      <c r="G217" s="110"/>
      <c r="H217" s="100"/>
      <c r="I217" s="98"/>
      <c r="J217" s="98"/>
      <c r="K217" s="110"/>
      <c r="L217" s="104"/>
      <c r="M217" s="98" t="s">
        <v>39</v>
      </c>
      <c r="N217" s="103" t="str">
        <f>IFERROR(__xludf.DUMMYFUNCTION("""COMPUTED_VALUE"""),"")</f>
        <v/>
      </c>
      <c r="O217" s="104"/>
      <c r="P217" s="104"/>
      <c r="Q217" s="104"/>
      <c r="R217" s="104" t="s">
        <v>409</v>
      </c>
      <c r="S217" s="104">
        <v>16.99</v>
      </c>
      <c r="T217" s="104" t="s">
        <v>3791</v>
      </c>
      <c r="U217" s="104"/>
      <c r="V217" s="104" t="s">
        <v>3791</v>
      </c>
      <c r="W217" s="104"/>
    </row>
    <row r="218">
      <c r="A218" s="105">
        <v>45922.0</v>
      </c>
      <c r="B218" s="79" t="str">
        <f>IFERROR(__xludf.DUMMYFUNCTION("""COMPUTED_VALUE"""),"BWH-PO-PAJ-2A-2")</f>
        <v>BWH-PO-PAJ-2A-2</v>
      </c>
      <c r="C218" s="104"/>
      <c r="D218" s="104"/>
      <c r="E218" s="104" t="str">
        <f>IFERROR(__xludf.DUMMYFUNCTION("""COMPUTED_VALUE"""),"EC-PO-5-SW-1")</f>
        <v>EC-PO-5-SW-1</v>
      </c>
      <c r="F218" s="98">
        <v>7.8</v>
      </c>
      <c r="G218" s="110"/>
      <c r="H218" s="100"/>
      <c r="I218" s="98"/>
      <c r="J218" s="98"/>
      <c r="K218" s="110"/>
      <c r="L218" s="104"/>
      <c r="M218" s="98" t="s">
        <v>39</v>
      </c>
      <c r="N218" s="103" t="str">
        <f>IFERROR(__xludf.DUMMYFUNCTION("""COMPUTED_VALUE"""),"")</f>
        <v/>
      </c>
      <c r="O218" s="104"/>
      <c r="P218" s="104"/>
      <c r="Q218" s="104"/>
      <c r="R218" s="104" t="s">
        <v>410</v>
      </c>
      <c r="S218" s="104">
        <v>16.99</v>
      </c>
      <c r="T218" s="104" t="s">
        <v>3792</v>
      </c>
      <c r="U218" s="104"/>
      <c r="V218" s="104" t="s">
        <v>3792</v>
      </c>
      <c r="W218" s="104"/>
    </row>
    <row r="219">
      <c r="A219" s="105">
        <v>45922.0</v>
      </c>
      <c r="B219" s="79" t="str">
        <f>IFERROR(__xludf.DUMMYFUNCTION("""COMPUTED_VALUE"""),"BWH-PO-PAJ-2A-3")</f>
        <v>BWH-PO-PAJ-2A-3</v>
      </c>
      <c r="C219" s="104"/>
      <c r="D219" s="104"/>
      <c r="E219" s="104" t="str">
        <f>IFERROR(__xludf.DUMMYFUNCTION("""COMPUTED_VALUE"""),"YA-PO-2-CL-1")</f>
        <v>YA-PO-2-CL-1</v>
      </c>
      <c r="F219" s="98">
        <v>7.8</v>
      </c>
      <c r="G219" s="110"/>
      <c r="H219" s="100"/>
      <c r="I219" s="98"/>
      <c r="J219" s="111"/>
      <c r="K219" s="110"/>
      <c r="L219" s="104"/>
      <c r="M219" s="98" t="s">
        <v>39</v>
      </c>
      <c r="N219" s="103" t="str">
        <f>IFERROR(__xludf.DUMMYFUNCTION("""COMPUTED_VALUE"""),"")</f>
        <v/>
      </c>
      <c r="O219" s="104"/>
      <c r="P219" s="104"/>
      <c r="Q219" s="104"/>
      <c r="R219" s="104" t="s">
        <v>411</v>
      </c>
      <c r="S219" s="104">
        <v>16.99</v>
      </c>
      <c r="T219" s="104" t="s">
        <v>3793</v>
      </c>
      <c r="U219" s="104"/>
      <c r="V219" s="104" t="s">
        <v>3793</v>
      </c>
      <c r="W219" s="104"/>
    </row>
    <row r="220">
      <c r="A220" s="105">
        <v>45922.0</v>
      </c>
      <c r="B220" s="79" t="str">
        <f>IFERROR(__xludf.DUMMYFUNCTION("""COMPUTED_VALUE"""),"BWH-PO-PAJ-2A-4")</f>
        <v>BWH-PO-PAJ-2A-4</v>
      </c>
      <c r="C220" s="104"/>
      <c r="D220" s="104"/>
      <c r="E220" s="104" t="str">
        <f>IFERROR(__xludf.DUMMYFUNCTION("""COMPUTED_VALUE"""),"")</f>
        <v/>
      </c>
      <c r="F220" s="98">
        <v>7.8</v>
      </c>
      <c r="G220" s="110"/>
      <c r="H220" s="100"/>
      <c r="I220" s="98"/>
      <c r="J220" s="111"/>
      <c r="K220" s="110"/>
      <c r="L220" s="104"/>
      <c r="M220" s="98" t="s">
        <v>39</v>
      </c>
      <c r="N220" s="103" t="str">
        <f>IFERROR(__xludf.DUMMYFUNCTION("""COMPUTED_VALUE"""),"")</f>
        <v/>
      </c>
      <c r="O220" s="104"/>
      <c r="P220" s="104"/>
      <c r="Q220" s="104"/>
      <c r="R220" s="104" t="s">
        <v>412</v>
      </c>
      <c r="S220" s="104">
        <v>16.99</v>
      </c>
      <c r="T220" s="104" t="s">
        <v>3794</v>
      </c>
      <c r="U220" s="104"/>
      <c r="V220" s="104" t="s">
        <v>3794</v>
      </c>
      <c r="W220" s="104"/>
    </row>
    <row r="221">
      <c r="A221" s="105">
        <v>45922.0</v>
      </c>
      <c r="B221" s="79" t="str">
        <f>IFERROR(__xludf.DUMMYFUNCTION("""COMPUTED_VALUE"""),"BWH-PO-PAJ-2A-5")</f>
        <v>BWH-PO-PAJ-2A-5</v>
      </c>
      <c r="C221" s="104"/>
      <c r="D221" s="104"/>
      <c r="E221" s="104" t="str">
        <f>IFERROR(__xludf.DUMMYFUNCTION("""COMPUTED_VALUE"""),"")</f>
        <v/>
      </c>
      <c r="F221" s="98">
        <v>7.8</v>
      </c>
      <c r="G221" s="110"/>
      <c r="H221" s="100"/>
      <c r="I221" s="98"/>
      <c r="J221" s="111"/>
      <c r="K221" s="110"/>
      <c r="L221" s="104"/>
      <c r="M221" s="98" t="s">
        <v>39</v>
      </c>
      <c r="N221" s="103" t="str">
        <f>IFERROR(__xludf.DUMMYFUNCTION("""COMPUTED_VALUE"""),"")</f>
        <v/>
      </c>
      <c r="O221" s="104"/>
      <c r="P221" s="104"/>
      <c r="Q221" s="104"/>
      <c r="R221" s="104" t="s">
        <v>413</v>
      </c>
      <c r="S221" s="104">
        <v>16.99</v>
      </c>
      <c r="T221" s="104" t="s">
        <v>3795</v>
      </c>
      <c r="U221" s="104"/>
      <c r="V221" s="104" t="s">
        <v>3795</v>
      </c>
      <c r="W221" s="104"/>
    </row>
    <row r="222">
      <c r="A222" s="105">
        <v>45922.0</v>
      </c>
      <c r="B222" s="79" t="str">
        <f>IFERROR(__xludf.DUMMYFUNCTION("""COMPUTED_VALUE"""),"BWH-MA-AD-1A")</f>
        <v>BWH-MA-AD-1A</v>
      </c>
      <c r="C222" s="104"/>
      <c r="D222" s="104"/>
      <c r="E222" s="104" t="str">
        <f>IFERROR(__xludf.DUMMYFUNCTION("""COMPUTED_VALUE"""),"")</f>
        <v/>
      </c>
      <c r="F222" s="98">
        <v>6.9</v>
      </c>
      <c r="G222" s="110"/>
      <c r="H222" s="100"/>
      <c r="I222" s="98"/>
      <c r="J222" s="98"/>
      <c r="K222" s="110"/>
      <c r="L222" s="104"/>
      <c r="M222" s="98" t="s">
        <v>39</v>
      </c>
      <c r="N222" s="103" t="str">
        <f>IFERROR(__xludf.DUMMYFUNCTION("""COMPUTED_VALUE"""),"")</f>
        <v/>
      </c>
      <c r="O222" s="104"/>
      <c r="P222" s="104"/>
      <c r="Q222" s="104"/>
      <c r="R222" s="104" t="s">
        <v>414</v>
      </c>
      <c r="S222" s="104">
        <v>14.99</v>
      </c>
      <c r="T222" s="104" t="s">
        <v>3796</v>
      </c>
      <c r="U222" s="104"/>
      <c r="V222" s="104" t="s">
        <v>3796</v>
      </c>
      <c r="W222" s="104"/>
    </row>
    <row r="223">
      <c r="A223" s="105">
        <v>45922.0</v>
      </c>
      <c r="B223" s="79" t="str">
        <f>IFERROR(__xludf.DUMMYFUNCTION("""COMPUTED_VALUE"""),"BWH-MA-AD-1A-2")</f>
        <v>BWH-MA-AD-1A-2</v>
      </c>
      <c r="C223" s="104"/>
      <c r="D223" s="104"/>
      <c r="E223" s="104" t="str">
        <f>IFERROR(__xludf.DUMMYFUNCTION("""COMPUTED_VALUE"""),"")</f>
        <v/>
      </c>
      <c r="F223" s="98">
        <v>6.9</v>
      </c>
      <c r="G223" s="110"/>
      <c r="H223" s="100"/>
      <c r="I223" s="98"/>
      <c r="J223" s="111"/>
      <c r="K223" s="112">
        <v>15.0</v>
      </c>
      <c r="L223" s="104"/>
      <c r="M223" s="98">
        <v>15.0</v>
      </c>
      <c r="N223" s="103" t="str">
        <f>IFERROR(__xludf.DUMMYFUNCTION("""COMPUTED_VALUE"""),"")</f>
        <v/>
      </c>
      <c r="O223" s="104"/>
      <c r="P223" s="102" t="s">
        <v>1626</v>
      </c>
      <c r="Q223" s="104"/>
      <c r="R223" s="104" t="s">
        <v>415</v>
      </c>
      <c r="S223" s="104">
        <v>14.99</v>
      </c>
      <c r="T223" s="104" t="s">
        <v>3797</v>
      </c>
      <c r="U223" s="104"/>
      <c r="V223" s="104" t="s">
        <v>3797</v>
      </c>
      <c r="W223" s="104"/>
    </row>
    <row r="224">
      <c r="A224" s="105">
        <v>45922.0</v>
      </c>
      <c r="B224" s="79" t="str">
        <f>IFERROR(__xludf.DUMMYFUNCTION("""COMPUTED_VALUE"""),"BWH-MA-AD-1A-3")</f>
        <v>BWH-MA-AD-1A-3</v>
      </c>
      <c r="C224" s="104"/>
      <c r="D224" s="104"/>
      <c r="E224" s="104" t="str">
        <f>IFERROR(__xludf.DUMMYFUNCTION("""COMPUTED_VALUE"""),"GA-PO-6-BL-1")</f>
        <v>GA-PO-6-BL-1</v>
      </c>
      <c r="F224" s="98">
        <v>6.9</v>
      </c>
      <c r="G224" s="110"/>
      <c r="H224" s="100"/>
      <c r="I224" s="98"/>
      <c r="J224" s="111"/>
      <c r="K224" s="110"/>
      <c r="L224" s="104"/>
      <c r="M224" s="98" t="s">
        <v>39</v>
      </c>
      <c r="N224" s="103" t="str">
        <f>IFERROR(__xludf.DUMMYFUNCTION("""COMPUTED_VALUE"""),"")</f>
        <v/>
      </c>
      <c r="O224" s="104"/>
      <c r="P224" s="104"/>
      <c r="Q224" s="104"/>
      <c r="R224" s="104" t="s">
        <v>416</v>
      </c>
      <c r="S224" s="104">
        <v>14.99</v>
      </c>
      <c r="T224" s="104" t="s">
        <v>3798</v>
      </c>
      <c r="U224" s="104"/>
      <c r="V224" s="104" t="s">
        <v>3798</v>
      </c>
      <c r="W224" s="104"/>
    </row>
    <row r="225">
      <c r="A225" s="105">
        <v>45922.0</v>
      </c>
      <c r="B225" s="79" t="str">
        <f>IFERROR(__xludf.DUMMYFUNCTION("""COMPUTED_VALUE"""),"BWH-MA-AD-1A-4")</f>
        <v>BWH-MA-AD-1A-4</v>
      </c>
      <c r="C225" s="104"/>
      <c r="D225" s="104"/>
      <c r="E225" s="104" t="str">
        <f>IFERROR(__xludf.DUMMYFUNCTION("""COMPUTED_VALUE"""),"")</f>
        <v/>
      </c>
      <c r="F225" s="98">
        <v>6.9</v>
      </c>
      <c r="G225" s="110"/>
      <c r="H225" s="100"/>
      <c r="I225" s="98"/>
      <c r="J225" s="111"/>
      <c r="K225" s="110"/>
      <c r="L225" s="104"/>
      <c r="M225" s="98" t="s">
        <v>39</v>
      </c>
      <c r="N225" s="103" t="str">
        <f>IFERROR(__xludf.DUMMYFUNCTION("""COMPUTED_VALUE"""),"")</f>
        <v/>
      </c>
      <c r="O225" s="104"/>
      <c r="P225" s="104"/>
      <c r="Q225" s="104"/>
      <c r="R225" s="104" t="s">
        <v>417</v>
      </c>
      <c r="S225" s="104">
        <v>14.99</v>
      </c>
      <c r="T225" s="104" t="s">
        <v>3799</v>
      </c>
      <c r="U225" s="104"/>
      <c r="V225" s="104" t="s">
        <v>3799</v>
      </c>
      <c r="W225" s="104"/>
    </row>
    <row r="226">
      <c r="A226" s="105">
        <v>45922.0</v>
      </c>
      <c r="B226" s="79" t="str">
        <f>IFERROR(__xludf.DUMMYFUNCTION("""COMPUTED_VALUE"""),"BWH-MA-AD-1A-5")</f>
        <v>BWH-MA-AD-1A-5</v>
      </c>
      <c r="C226" s="104"/>
      <c r="D226" s="104"/>
      <c r="E226" s="104" t="str">
        <f>IFERROR(__xludf.DUMMYFUNCTION("""COMPUTED_VALUE"""),"NR-PO-8-BP-1")</f>
        <v>NR-PO-8-BP-1</v>
      </c>
      <c r="F226" s="98">
        <v>6.9</v>
      </c>
      <c r="G226" s="110"/>
      <c r="H226" s="100"/>
      <c r="I226" s="98"/>
      <c r="J226" s="111"/>
      <c r="K226" s="110"/>
      <c r="L226" s="104"/>
      <c r="M226" s="98" t="s">
        <v>39</v>
      </c>
      <c r="N226" s="103" t="str">
        <f>IFERROR(__xludf.DUMMYFUNCTION("""COMPUTED_VALUE"""),"")</f>
        <v/>
      </c>
      <c r="O226" s="104"/>
      <c r="P226" s="104"/>
      <c r="Q226" s="104"/>
      <c r="R226" s="104" t="s">
        <v>418</v>
      </c>
      <c r="S226" s="104">
        <v>14.99</v>
      </c>
      <c r="T226" s="104" t="s">
        <v>3800</v>
      </c>
      <c r="U226" s="104"/>
      <c r="V226" s="104" t="s">
        <v>3800</v>
      </c>
      <c r="W226" s="104"/>
    </row>
    <row r="227">
      <c r="A227" s="105">
        <v>45922.0</v>
      </c>
      <c r="B227" s="79" t="str">
        <f>IFERROR(__xludf.DUMMYFUNCTION("""COMPUTED_VALUE"""),"BWH-CA-FW-1A")</f>
        <v>BWH-CA-FW-1A</v>
      </c>
      <c r="C227" s="104"/>
      <c r="D227" s="104"/>
      <c r="E227" s="104" t="str">
        <f>IFERROR(__xludf.DUMMYFUNCTION("""COMPUTED_VALUE"""),"WO-PO-6-MU-1")</f>
        <v>WO-PO-6-MU-1</v>
      </c>
      <c r="F227" s="98">
        <v>10.2</v>
      </c>
      <c r="G227" s="110"/>
      <c r="H227" s="100"/>
      <c r="I227" s="98"/>
      <c r="J227" s="111"/>
      <c r="K227" s="110"/>
      <c r="L227" s="104"/>
      <c r="M227" s="98" t="s">
        <v>39</v>
      </c>
      <c r="N227" s="103" t="str">
        <f>IFERROR(__xludf.DUMMYFUNCTION("""COMPUTED_VALUE"""),"")</f>
        <v/>
      </c>
      <c r="O227" s="104"/>
      <c r="P227" s="104"/>
      <c r="Q227" s="104"/>
      <c r="R227" s="104" t="s">
        <v>420</v>
      </c>
      <c r="S227" s="104">
        <v>21.99</v>
      </c>
      <c r="T227" s="104" t="s">
        <v>3801</v>
      </c>
      <c r="U227" s="104"/>
      <c r="V227" s="104" t="s">
        <v>3801</v>
      </c>
      <c r="W227" s="104"/>
    </row>
    <row r="228">
      <c r="A228" s="105">
        <v>45922.0</v>
      </c>
      <c r="B228" s="79" t="str">
        <f>IFERROR(__xludf.DUMMYFUNCTION("""COMPUTED_VALUE"""),"BWH-CA-FW-1A-2")</f>
        <v>BWH-CA-FW-1A-2</v>
      </c>
      <c r="C228" s="104"/>
      <c r="D228" s="104"/>
      <c r="E228" s="104" t="str">
        <f>IFERROR(__xludf.DUMMYFUNCTION("""COMPUTED_VALUE"""),"GA-PO-6-WH-1")</f>
        <v>GA-PO-6-WH-1</v>
      </c>
      <c r="F228" s="98">
        <v>10.2</v>
      </c>
      <c r="G228" s="110"/>
      <c r="H228" s="100"/>
      <c r="I228" s="98"/>
      <c r="J228" s="111"/>
      <c r="K228" s="110"/>
      <c r="L228" s="104"/>
      <c r="M228" s="98" t="s">
        <v>39</v>
      </c>
      <c r="N228" s="103" t="str">
        <f>IFERROR(__xludf.DUMMYFUNCTION("""COMPUTED_VALUE"""),"")</f>
        <v/>
      </c>
      <c r="O228" s="104"/>
      <c r="P228" s="104"/>
      <c r="Q228" s="104"/>
      <c r="R228" s="104" t="s">
        <v>421</v>
      </c>
      <c r="S228" s="104">
        <v>21.99</v>
      </c>
      <c r="T228" s="104" t="s">
        <v>3802</v>
      </c>
      <c r="U228" s="104"/>
      <c r="V228" s="104" t="s">
        <v>3802</v>
      </c>
      <c r="W228" s="104"/>
    </row>
    <row r="229">
      <c r="A229" s="105">
        <v>45922.0</v>
      </c>
      <c r="B229" s="79" t="str">
        <f>IFERROR(__xludf.DUMMYFUNCTION("""COMPUTED_VALUE"""),"BWH-CA-FW-1A-3")</f>
        <v>BWH-CA-FW-1A-3</v>
      </c>
      <c r="C229" s="102" t="s">
        <v>419</v>
      </c>
      <c r="D229" s="104"/>
      <c r="E229" s="104" t="str">
        <f>IFERROR(__xludf.DUMMYFUNCTION("""COMPUTED_VALUE"""),"")</f>
        <v/>
      </c>
      <c r="F229" s="98">
        <v>10.2</v>
      </c>
      <c r="G229" s="110"/>
      <c r="H229" s="100"/>
      <c r="I229" s="98"/>
      <c r="J229" s="111"/>
      <c r="K229" s="110"/>
      <c r="L229" s="104"/>
      <c r="M229" s="98" t="s">
        <v>39</v>
      </c>
      <c r="N229" s="103" t="str">
        <f>IFERROR(__xludf.DUMMYFUNCTION("""COMPUTED_VALUE"""),"")</f>
        <v/>
      </c>
      <c r="O229" s="104"/>
      <c r="P229" s="102" t="s">
        <v>1692</v>
      </c>
      <c r="Q229" s="104"/>
      <c r="R229" s="104" t="s">
        <v>422</v>
      </c>
      <c r="S229" s="104">
        <v>21.99</v>
      </c>
      <c r="T229" s="104" t="s">
        <v>3803</v>
      </c>
      <c r="U229" s="104"/>
      <c r="V229" s="104" t="s">
        <v>3803</v>
      </c>
      <c r="W229" s="104"/>
    </row>
    <row r="230">
      <c r="A230" s="105">
        <v>45922.0</v>
      </c>
      <c r="B230" s="79" t="str">
        <f>IFERROR(__xludf.DUMMYFUNCTION("""COMPUTED_VALUE"""),"BWH-CA-FW-1A-4")</f>
        <v>BWH-CA-FW-1A-4</v>
      </c>
      <c r="C230" s="102" t="s">
        <v>419</v>
      </c>
      <c r="D230" s="104"/>
      <c r="E230" s="104" t="str">
        <f>IFERROR(__xludf.DUMMYFUNCTION("""COMPUTED_VALUE"""),"ST-PO-4-NU-1")</f>
        <v>ST-PO-4-NU-1</v>
      </c>
      <c r="F230" s="98">
        <v>23.299999999999997</v>
      </c>
      <c r="G230" s="110"/>
      <c r="H230" s="100"/>
      <c r="I230" s="98"/>
      <c r="J230" s="111"/>
      <c r="K230" s="110"/>
      <c r="L230" s="104"/>
      <c r="M230" s="98" t="s">
        <v>39</v>
      </c>
      <c r="N230" s="103" t="str">
        <f>IFERROR(__xludf.DUMMYFUNCTION("""COMPUTED_VALUE"""),"")</f>
        <v/>
      </c>
      <c r="O230" s="104"/>
      <c r="P230" s="102" t="s">
        <v>1692</v>
      </c>
      <c r="Q230" s="104"/>
      <c r="R230" s="104" t="s">
        <v>423</v>
      </c>
      <c r="S230" s="104">
        <v>21.99</v>
      </c>
      <c r="T230" s="104" t="s">
        <v>3804</v>
      </c>
      <c r="U230" s="104"/>
      <c r="V230" s="104" t="s">
        <v>3804</v>
      </c>
      <c r="W230" s="104"/>
    </row>
    <row r="231">
      <c r="A231" s="105">
        <v>45922.0</v>
      </c>
      <c r="B231" s="79" t="str">
        <f>IFERROR(__xludf.DUMMYFUNCTION("""COMPUTED_VALUE"""),"BWH-CA-FW-1A-5")</f>
        <v>BWH-CA-FW-1A-5</v>
      </c>
      <c r="C231" s="102" t="s">
        <v>419</v>
      </c>
      <c r="D231" s="104"/>
      <c r="E231" s="104" t="str">
        <f>IFERROR(__xludf.DUMMYFUNCTION("""COMPUTED_VALUE"""),"GA-PO-6-BL-1")</f>
        <v>GA-PO-6-BL-1</v>
      </c>
      <c r="F231" s="98">
        <v>10.2</v>
      </c>
      <c r="G231" s="110"/>
      <c r="H231" s="100"/>
      <c r="I231" s="98"/>
      <c r="J231" s="111"/>
      <c r="K231" s="110"/>
      <c r="L231" s="104"/>
      <c r="M231" s="98" t="s">
        <v>39</v>
      </c>
      <c r="N231" s="103" t="str">
        <f>IFERROR(__xludf.DUMMYFUNCTION("""COMPUTED_VALUE"""),"")</f>
        <v/>
      </c>
      <c r="O231" s="104"/>
      <c r="P231" s="102" t="s">
        <v>1692</v>
      </c>
      <c r="Q231" s="104"/>
      <c r="R231" s="104" t="s">
        <v>424</v>
      </c>
      <c r="S231" s="104">
        <v>21.99</v>
      </c>
      <c r="T231" s="104" t="s">
        <v>3805</v>
      </c>
      <c r="U231" s="104"/>
      <c r="V231" s="104" t="s">
        <v>3805</v>
      </c>
      <c r="W231" s="104"/>
    </row>
    <row r="232">
      <c r="A232" s="105">
        <v>45922.0</v>
      </c>
      <c r="B232" s="79" t="str">
        <f>IFERROR(__xludf.DUMMYFUNCTION("""COMPUTED_VALUE"""),"BWH-PH-BRL-1A")</f>
        <v>BWH-PH-BRL-1A</v>
      </c>
      <c r="C232" s="102" t="s">
        <v>419</v>
      </c>
      <c r="D232" s="104"/>
      <c r="E232" s="104" t="str">
        <f>IFERROR(__xludf.DUMMYFUNCTION("""COMPUTED_VALUE"""),"")</f>
        <v/>
      </c>
      <c r="F232" s="98">
        <v>7.8</v>
      </c>
      <c r="G232" s="110"/>
      <c r="H232" s="100"/>
      <c r="I232" s="98"/>
      <c r="J232" s="111"/>
      <c r="K232" s="110"/>
      <c r="L232" s="104"/>
      <c r="M232" s="98" t="s">
        <v>39</v>
      </c>
      <c r="N232" s="103" t="str">
        <f>IFERROR(__xludf.DUMMYFUNCTION("""COMPUTED_VALUE"""),"")</f>
        <v/>
      </c>
      <c r="O232" s="104"/>
      <c r="P232" s="102" t="s">
        <v>1692</v>
      </c>
      <c r="Q232" s="104"/>
      <c r="R232" s="104" t="s">
        <v>425</v>
      </c>
      <c r="S232" s="104">
        <v>16.99</v>
      </c>
      <c r="T232" s="104" t="s">
        <v>3806</v>
      </c>
      <c r="U232" s="104"/>
      <c r="V232" s="104" t="s">
        <v>3806</v>
      </c>
      <c r="W232" s="104"/>
    </row>
    <row r="233">
      <c r="A233" s="105">
        <v>45922.0</v>
      </c>
      <c r="B233" s="79" t="str">
        <f>IFERROR(__xludf.DUMMYFUNCTION("""COMPUTED_VALUE"""),"BWH-PH-BRL-1A-2")</f>
        <v>BWH-PH-BRL-1A-2</v>
      </c>
      <c r="C233" s="104"/>
      <c r="D233" s="104"/>
      <c r="E233" s="104" t="str">
        <f>IFERROR(__xludf.DUMMYFUNCTION("""COMPUTED_VALUE"""),"")</f>
        <v/>
      </c>
      <c r="F233" s="98">
        <v>7.8</v>
      </c>
      <c r="G233" s="110"/>
      <c r="H233" s="100"/>
      <c r="I233" s="98"/>
      <c r="J233" s="111"/>
      <c r="K233" s="110"/>
      <c r="L233" s="104"/>
      <c r="M233" s="98" t="s">
        <v>39</v>
      </c>
      <c r="N233" s="103" t="str">
        <f>IFERROR(__xludf.DUMMYFUNCTION("""COMPUTED_VALUE"""),"")</f>
        <v/>
      </c>
      <c r="O233" s="104"/>
      <c r="P233" s="104"/>
      <c r="Q233" s="104"/>
      <c r="R233" s="104" t="s">
        <v>426</v>
      </c>
      <c r="S233" s="104">
        <v>16.99</v>
      </c>
      <c r="T233" s="104" t="s">
        <v>3807</v>
      </c>
      <c r="U233" s="104"/>
      <c r="V233" s="104" t="s">
        <v>3807</v>
      </c>
      <c r="W233" s="104"/>
    </row>
    <row r="234">
      <c r="A234" s="105">
        <v>45922.0</v>
      </c>
      <c r="B234" s="79" t="str">
        <f>IFERROR(__xludf.DUMMYFUNCTION("""COMPUTED_VALUE"""),"BWH-PH-BRL-1A-3")</f>
        <v>BWH-PH-BRL-1A-3</v>
      </c>
      <c r="C234" s="104"/>
      <c r="D234" s="104"/>
      <c r="E234" s="104" t="str">
        <f>IFERROR(__xludf.DUMMYFUNCTION("""COMPUTED_VALUE"""),"")</f>
        <v/>
      </c>
      <c r="F234" s="98">
        <v>7.8</v>
      </c>
      <c r="G234" s="110"/>
      <c r="H234" s="100"/>
      <c r="I234" s="98"/>
      <c r="J234" s="111"/>
      <c r="K234" s="110"/>
      <c r="L234" s="104"/>
      <c r="M234" s="98" t="s">
        <v>39</v>
      </c>
      <c r="N234" s="103" t="str">
        <f>IFERROR(__xludf.DUMMYFUNCTION("""COMPUTED_VALUE"""),"")</f>
        <v/>
      </c>
      <c r="O234" s="104"/>
      <c r="P234" s="104"/>
      <c r="Q234" s="104"/>
      <c r="R234" s="104" t="s">
        <v>427</v>
      </c>
      <c r="S234" s="104">
        <v>16.99</v>
      </c>
      <c r="T234" s="104" t="s">
        <v>3808</v>
      </c>
      <c r="U234" s="104"/>
      <c r="V234" s="104" t="s">
        <v>3808</v>
      </c>
      <c r="W234" s="104"/>
    </row>
    <row r="235">
      <c r="A235" s="105">
        <v>45922.0</v>
      </c>
      <c r="B235" s="79" t="str">
        <f>IFERROR(__xludf.DUMMYFUNCTION("""COMPUTED_VALUE"""),"BWH-PH-BRL-1A-4")</f>
        <v>BWH-PH-BRL-1A-4</v>
      </c>
      <c r="C235" s="104"/>
      <c r="D235" s="104"/>
      <c r="E235" s="104" t="str">
        <f>IFERROR(__xludf.DUMMYFUNCTION("""COMPUTED_VALUE"""),"")</f>
        <v/>
      </c>
      <c r="F235" s="98">
        <v>7.8</v>
      </c>
      <c r="G235" s="110"/>
      <c r="H235" s="100"/>
      <c r="I235" s="98"/>
      <c r="J235" s="111"/>
      <c r="K235" s="110"/>
      <c r="L235" s="104"/>
      <c r="M235" s="98" t="s">
        <v>39</v>
      </c>
      <c r="N235" s="103" t="str">
        <f>IFERROR(__xludf.DUMMYFUNCTION("""COMPUTED_VALUE"""),"")</f>
        <v/>
      </c>
      <c r="O235" s="104"/>
      <c r="P235" s="104"/>
      <c r="Q235" s="104"/>
      <c r="R235" s="104" t="s">
        <v>428</v>
      </c>
      <c r="S235" s="104">
        <v>16.99</v>
      </c>
      <c r="T235" s="104" t="s">
        <v>3809</v>
      </c>
      <c r="U235" s="104"/>
      <c r="V235" s="104" t="s">
        <v>3809</v>
      </c>
      <c r="W235" s="104"/>
    </row>
    <row r="236">
      <c r="A236" s="105">
        <v>45922.0</v>
      </c>
      <c r="B236" s="79" t="str">
        <f>IFERROR(__xludf.DUMMYFUNCTION("""COMPUTED_VALUE"""),"BWH-PH-BRL-1A-5")</f>
        <v>BWH-PH-BRL-1A-5</v>
      </c>
      <c r="C236" s="104"/>
      <c r="D236" s="104"/>
      <c r="E236" s="104" t="str">
        <f>IFERROR(__xludf.DUMMYFUNCTION("""COMPUTED_VALUE"""),"")</f>
        <v/>
      </c>
      <c r="F236" s="98">
        <v>7.8</v>
      </c>
      <c r="G236" s="110"/>
      <c r="H236" s="100"/>
      <c r="I236" s="98"/>
      <c r="J236" s="111"/>
      <c r="K236" s="110"/>
      <c r="L236" s="104"/>
      <c r="M236" s="98" t="s">
        <v>39</v>
      </c>
      <c r="N236" s="103" t="str">
        <f>IFERROR(__xludf.DUMMYFUNCTION("""COMPUTED_VALUE"""),"")</f>
        <v/>
      </c>
      <c r="O236" s="104"/>
      <c r="P236" s="104"/>
      <c r="Q236" s="104"/>
      <c r="R236" s="104" t="s">
        <v>429</v>
      </c>
      <c r="S236" s="104">
        <v>16.99</v>
      </c>
      <c r="T236" s="104" t="s">
        <v>3810</v>
      </c>
      <c r="U236" s="104"/>
      <c r="V236" s="104" t="s">
        <v>3810</v>
      </c>
      <c r="W236" s="104"/>
    </row>
    <row r="237">
      <c r="A237" s="105">
        <v>45922.0</v>
      </c>
      <c r="B237" s="79" t="str">
        <f>IFERROR(__xludf.DUMMYFUNCTION("""COMPUTED_VALUE"""),"BWH-CA-MA-1A")</f>
        <v>BWH-CA-MA-1A</v>
      </c>
      <c r="C237" s="104"/>
      <c r="D237" s="104"/>
      <c r="E237" s="104" t="str">
        <f>IFERROR(__xludf.DUMMYFUNCTION("""COMPUTED_VALUE"""),"")</f>
        <v/>
      </c>
      <c r="F237" s="98">
        <v>8.1</v>
      </c>
      <c r="G237" s="110"/>
      <c r="H237" s="100"/>
      <c r="I237" s="98"/>
      <c r="J237" s="111"/>
      <c r="K237" s="112">
        <v>10.0</v>
      </c>
      <c r="L237" s="104"/>
      <c r="M237" s="98">
        <v>10.0</v>
      </c>
      <c r="N237" s="103" t="str">
        <f>IFERROR(__xludf.DUMMYFUNCTION("""COMPUTED_VALUE"""),"")</f>
        <v/>
      </c>
      <c r="O237" s="104"/>
      <c r="P237" s="102" t="s">
        <v>1626</v>
      </c>
      <c r="Q237" s="104"/>
      <c r="R237" s="104" t="s">
        <v>430</v>
      </c>
      <c r="S237" s="104">
        <v>16.99</v>
      </c>
      <c r="T237" s="104" t="s">
        <v>3811</v>
      </c>
      <c r="U237" s="104"/>
      <c r="V237" s="104" t="s">
        <v>3811</v>
      </c>
      <c r="W237" s="104"/>
    </row>
    <row r="238">
      <c r="A238" s="105">
        <v>45922.0</v>
      </c>
      <c r="B238" s="79" t="str">
        <f>IFERROR(__xludf.DUMMYFUNCTION("""COMPUTED_VALUE"""),"BWH-CA-MA-1A-2")</f>
        <v>BWH-CA-MA-1A-2</v>
      </c>
      <c r="C238" s="104"/>
      <c r="D238" s="104"/>
      <c r="E238" s="104" t="str">
        <f>IFERROR(__xludf.DUMMYFUNCTION("""COMPUTED_VALUE"""),"")</f>
        <v/>
      </c>
      <c r="F238" s="98">
        <v>8.1</v>
      </c>
      <c r="G238" s="110"/>
      <c r="H238" s="100"/>
      <c r="I238" s="98"/>
      <c r="J238" s="111"/>
      <c r="K238" s="112">
        <v>10.0</v>
      </c>
      <c r="L238" s="104"/>
      <c r="M238" s="98">
        <v>10.0</v>
      </c>
      <c r="N238" s="103" t="str">
        <f>IFERROR(__xludf.DUMMYFUNCTION("""COMPUTED_VALUE"""),"")</f>
        <v/>
      </c>
      <c r="O238" s="104"/>
      <c r="P238" s="102" t="s">
        <v>1626</v>
      </c>
      <c r="Q238" s="104"/>
      <c r="R238" s="104" t="s">
        <v>431</v>
      </c>
      <c r="S238" s="104">
        <v>16.99</v>
      </c>
      <c r="T238" s="104" t="s">
        <v>3812</v>
      </c>
      <c r="U238" s="104"/>
      <c r="V238" s="104" t="s">
        <v>3812</v>
      </c>
      <c r="W238" s="104"/>
    </row>
    <row r="239">
      <c r="A239" s="105">
        <v>45922.0</v>
      </c>
      <c r="B239" s="79" t="str">
        <f>IFERROR(__xludf.DUMMYFUNCTION("""COMPUTED_VALUE"""),"BWH-CA-MA-1A-3")</f>
        <v>BWH-CA-MA-1A-3</v>
      </c>
      <c r="C239" s="104"/>
      <c r="D239" s="104"/>
      <c r="E239" s="104" t="str">
        <f>IFERROR(__xludf.DUMMYFUNCTION("""COMPUTED_VALUE"""),"GA-PO-6-WH-1")</f>
        <v>GA-PO-6-WH-1</v>
      </c>
      <c r="F239" s="98">
        <v>8.1</v>
      </c>
      <c r="G239" s="110"/>
      <c r="H239" s="100"/>
      <c r="I239" s="98"/>
      <c r="J239" s="111"/>
      <c r="K239" s="112">
        <v>15.0</v>
      </c>
      <c r="L239" s="104"/>
      <c r="M239" s="98">
        <v>15.0</v>
      </c>
      <c r="N239" s="103" t="str">
        <f>IFERROR(__xludf.DUMMYFUNCTION("""COMPUTED_VALUE"""),"")</f>
        <v/>
      </c>
      <c r="O239" s="104"/>
      <c r="P239" s="102" t="s">
        <v>1626</v>
      </c>
      <c r="Q239" s="104"/>
      <c r="R239" s="104" t="s">
        <v>432</v>
      </c>
      <c r="S239" s="104">
        <v>16.99</v>
      </c>
      <c r="T239" s="104" t="s">
        <v>3813</v>
      </c>
      <c r="U239" s="104"/>
      <c r="V239" s="104" t="s">
        <v>3813</v>
      </c>
      <c r="W239" s="104"/>
    </row>
    <row r="240">
      <c r="A240" s="105">
        <v>45922.0</v>
      </c>
      <c r="B240" s="79" t="str">
        <f>IFERROR(__xludf.DUMMYFUNCTION("""COMPUTED_VALUE"""),"BWH-CA-MA-1A-4")</f>
        <v>BWH-CA-MA-1A-4</v>
      </c>
      <c r="C240" s="104"/>
      <c r="D240" s="104"/>
      <c r="E240" s="104" t="str">
        <f>IFERROR(__xludf.DUMMYFUNCTION("""COMPUTED_VALUE"""),"GA-PO-6-BL-1")</f>
        <v>GA-PO-6-BL-1</v>
      </c>
      <c r="F240" s="98">
        <v>8.1</v>
      </c>
      <c r="G240" s="110"/>
      <c r="H240" s="100"/>
      <c r="I240" s="98"/>
      <c r="J240" s="111"/>
      <c r="K240" s="110"/>
      <c r="L240" s="104"/>
      <c r="M240" s="98" t="s">
        <v>39</v>
      </c>
      <c r="N240" s="103" t="str">
        <f>IFERROR(__xludf.DUMMYFUNCTION("""COMPUTED_VALUE"""),"")</f>
        <v/>
      </c>
      <c r="O240" s="104"/>
      <c r="P240" s="104"/>
      <c r="Q240" s="104"/>
      <c r="R240" s="104" t="s">
        <v>433</v>
      </c>
      <c r="S240" s="104">
        <v>16.99</v>
      </c>
      <c r="T240" s="104" t="s">
        <v>3814</v>
      </c>
      <c r="U240" s="104"/>
      <c r="V240" s="104" t="s">
        <v>3814</v>
      </c>
      <c r="W240" s="104"/>
    </row>
    <row r="241">
      <c r="A241" s="105">
        <v>45922.0</v>
      </c>
      <c r="B241" s="79" t="str">
        <f>IFERROR(__xludf.DUMMYFUNCTION("""COMPUTED_VALUE"""),"BWH-CA-MA-1A-5")</f>
        <v>BWH-CA-MA-1A-5</v>
      </c>
      <c r="C241" s="104"/>
      <c r="D241" s="104"/>
      <c r="E241" s="104" t="str">
        <f>IFERROR(__xludf.DUMMYFUNCTION("""COMPUTED_VALUE"""),"")</f>
        <v/>
      </c>
      <c r="F241" s="98">
        <v>8.1</v>
      </c>
      <c r="G241" s="110"/>
      <c r="H241" s="100"/>
      <c r="I241" s="98"/>
      <c r="J241" s="111"/>
      <c r="K241" s="110"/>
      <c r="L241" s="104"/>
      <c r="M241" s="98" t="s">
        <v>39</v>
      </c>
      <c r="N241" s="103" t="str">
        <f>IFERROR(__xludf.DUMMYFUNCTION("""COMPUTED_VALUE"""),"")</f>
        <v/>
      </c>
      <c r="O241" s="104"/>
      <c r="P241" s="104"/>
      <c r="Q241" s="104"/>
      <c r="R241" s="104" t="s">
        <v>434</v>
      </c>
      <c r="S241" s="104">
        <v>16.99</v>
      </c>
      <c r="T241" s="104" t="s">
        <v>3815</v>
      </c>
      <c r="U241" s="104"/>
      <c r="V241" s="104" t="s">
        <v>3815</v>
      </c>
      <c r="W241" s="104"/>
    </row>
    <row r="242">
      <c r="A242" s="105">
        <v>45922.0</v>
      </c>
      <c r="B242" s="79" t="str">
        <f>IFERROR(__xludf.DUMMYFUNCTION("""COMPUTED_VALUE"""),"BWH-ST-TR-1A")</f>
        <v>BWH-ST-TR-1A</v>
      </c>
      <c r="C242" s="104"/>
      <c r="D242" s="104"/>
      <c r="E242" s="104" t="str">
        <f>IFERROR(__xludf.DUMMYFUNCTION("""COMPUTED_VALUE"""),"")</f>
        <v/>
      </c>
      <c r="F242" s="98">
        <v>9.0</v>
      </c>
      <c r="G242" s="110"/>
      <c r="H242" s="100"/>
      <c r="I242" s="98"/>
      <c r="J242" s="111"/>
      <c r="K242" s="112">
        <v>10.0</v>
      </c>
      <c r="L242" s="104"/>
      <c r="M242" s="98">
        <v>10.0</v>
      </c>
      <c r="N242" s="103" t="str">
        <f>IFERROR(__xludf.DUMMYFUNCTION("""COMPUTED_VALUE"""),"")</f>
        <v/>
      </c>
      <c r="O242" s="104"/>
      <c r="P242" s="102" t="s">
        <v>1626</v>
      </c>
      <c r="Q242" s="104"/>
      <c r="R242" s="104" t="s">
        <v>435</v>
      </c>
      <c r="S242" s="104">
        <v>19.99</v>
      </c>
      <c r="T242" s="104" t="s">
        <v>3816</v>
      </c>
      <c r="U242" s="104"/>
      <c r="V242" s="104" t="s">
        <v>3816</v>
      </c>
      <c r="W242" s="104"/>
    </row>
    <row r="243">
      <c r="A243" s="105">
        <v>45922.0</v>
      </c>
      <c r="B243" s="79" t="str">
        <f>IFERROR(__xludf.DUMMYFUNCTION("""COMPUTED_VALUE"""),"BWH-ST-TR-1A-2")</f>
        <v>BWH-ST-TR-1A-2</v>
      </c>
      <c r="C243" s="104"/>
      <c r="D243" s="104"/>
      <c r="E243" s="104" t="str">
        <f>IFERROR(__xludf.DUMMYFUNCTION("""COMPUTED_VALUE"""),"")</f>
        <v/>
      </c>
      <c r="F243" s="98">
        <v>9.0</v>
      </c>
      <c r="G243" s="110"/>
      <c r="H243" s="100"/>
      <c r="I243" s="98"/>
      <c r="J243" s="111"/>
      <c r="K243" s="110"/>
      <c r="L243" s="104"/>
      <c r="M243" s="98" t="s">
        <v>39</v>
      </c>
      <c r="N243" s="103" t="str">
        <f>IFERROR(__xludf.DUMMYFUNCTION("""COMPUTED_VALUE"""),"")</f>
        <v/>
      </c>
      <c r="O243" s="104"/>
      <c r="P243" s="104"/>
      <c r="Q243" s="104"/>
      <c r="R243" s="104" t="s">
        <v>436</v>
      </c>
      <c r="S243" s="104">
        <v>19.99</v>
      </c>
      <c r="T243" s="104" t="s">
        <v>3817</v>
      </c>
      <c r="U243" s="104"/>
      <c r="V243" s="104" t="s">
        <v>3817</v>
      </c>
      <c r="W243" s="104"/>
    </row>
    <row r="244">
      <c r="A244" s="105">
        <v>45922.0</v>
      </c>
      <c r="B244" s="79" t="str">
        <f>IFERROR(__xludf.DUMMYFUNCTION("""COMPUTED_VALUE"""),"BWH-ST-TR-1A-3")</f>
        <v>BWH-ST-TR-1A-3</v>
      </c>
      <c r="C244" s="104"/>
      <c r="D244" s="104"/>
      <c r="E244" s="104" t="str">
        <f>IFERROR(__xludf.DUMMYFUNCTION("""COMPUTED_VALUE"""),"")</f>
        <v/>
      </c>
      <c r="F244" s="98">
        <v>9.0</v>
      </c>
      <c r="G244" s="110"/>
      <c r="H244" s="100"/>
      <c r="I244" s="98"/>
      <c r="J244" s="111"/>
      <c r="K244" s="110"/>
      <c r="L244" s="104"/>
      <c r="M244" s="98" t="s">
        <v>39</v>
      </c>
      <c r="N244" s="103" t="str">
        <f>IFERROR(__xludf.DUMMYFUNCTION("""COMPUTED_VALUE"""),"")</f>
        <v/>
      </c>
      <c r="O244" s="104"/>
      <c r="P244" s="104"/>
      <c r="Q244" s="104"/>
      <c r="R244" s="104" t="s">
        <v>437</v>
      </c>
      <c r="S244" s="104">
        <v>19.99</v>
      </c>
      <c r="T244" s="104" t="s">
        <v>3818</v>
      </c>
      <c r="U244" s="104"/>
      <c r="V244" s="104" t="s">
        <v>3818</v>
      </c>
      <c r="W244" s="104"/>
    </row>
    <row r="245">
      <c r="A245" s="105">
        <v>45922.0</v>
      </c>
      <c r="B245" s="79" t="str">
        <f>IFERROR(__xludf.DUMMYFUNCTION("""COMPUTED_VALUE"""),"BWH-ST-TR-1A-4")</f>
        <v>BWH-ST-TR-1A-4</v>
      </c>
      <c r="C245" s="104"/>
      <c r="D245" s="104"/>
      <c r="E245" s="104" t="str">
        <f>IFERROR(__xludf.DUMMYFUNCTION("""COMPUTED_VALUE"""),"")</f>
        <v/>
      </c>
      <c r="F245" s="98">
        <v>9.0</v>
      </c>
      <c r="G245" s="110"/>
      <c r="H245" s="100"/>
      <c r="I245" s="98"/>
      <c r="J245" s="111"/>
      <c r="K245" s="110"/>
      <c r="L245" s="104"/>
      <c r="M245" s="98" t="s">
        <v>39</v>
      </c>
      <c r="N245" s="103" t="str">
        <f>IFERROR(__xludf.DUMMYFUNCTION("""COMPUTED_VALUE"""),"")</f>
        <v/>
      </c>
      <c r="O245" s="104"/>
      <c r="P245" s="104"/>
      <c r="Q245" s="104"/>
      <c r="R245" s="104" t="s">
        <v>438</v>
      </c>
      <c r="S245" s="104">
        <v>19.99</v>
      </c>
      <c r="T245" s="104" t="s">
        <v>3819</v>
      </c>
      <c r="U245" s="104"/>
      <c r="V245" s="104" t="s">
        <v>3819</v>
      </c>
      <c r="W245" s="104"/>
    </row>
    <row r="246">
      <c r="A246" s="105">
        <v>45922.0</v>
      </c>
      <c r="B246" s="79" t="str">
        <f>IFERROR(__xludf.DUMMYFUNCTION("""COMPUTED_VALUE"""),"BWH-ST-TR-1A-5")</f>
        <v>BWH-ST-TR-1A-5</v>
      </c>
      <c r="C246" s="104"/>
      <c r="D246" s="104"/>
      <c r="E246" s="104" t="str">
        <f>IFERROR(__xludf.DUMMYFUNCTION("""COMPUTED_VALUE"""),"GA-PO-6-WH-2")</f>
        <v>GA-PO-6-WH-2</v>
      </c>
      <c r="F246" s="98">
        <v>9.0</v>
      </c>
      <c r="G246" s="110"/>
      <c r="H246" s="100"/>
      <c r="I246" s="98"/>
      <c r="J246" s="111"/>
      <c r="K246" s="110"/>
      <c r="L246" s="104"/>
      <c r="M246" s="98" t="s">
        <v>39</v>
      </c>
      <c r="N246" s="103" t="str">
        <f>IFERROR(__xludf.DUMMYFUNCTION("""COMPUTED_VALUE"""),"")</f>
        <v/>
      </c>
      <c r="O246" s="104"/>
      <c r="P246" s="104"/>
      <c r="Q246" s="104"/>
      <c r="R246" s="104" t="s">
        <v>439</v>
      </c>
      <c r="S246" s="104">
        <v>19.99</v>
      </c>
      <c r="T246" s="104" t="s">
        <v>3820</v>
      </c>
      <c r="U246" s="104"/>
      <c r="V246" s="104" t="s">
        <v>3820</v>
      </c>
      <c r="W246" s="104"/>
    </row>
    <row r="247">
      <c r="A247" s="105">
        <v>45922.0</v>
      </c>
      <c r="B247" s="79" t="str">
        <f>IFERROR(__xludf.DUMMYFUNCTION("""COMPUTED_VALUE"""),"BWH-ST-TR-1A-6")</f>
        <v>BWH-ST-TR-1A-6</v>
      </c>
      <c r="C247" s="104"/>
      <c r="D247" s="104"/>
      <c r="E247" s="104" t="str">
        <f>IFERROR(__xludf.DUMMYFUNCTION("""COMPUTED_VALUE"""),"ST-PO-4-NU-1")</f>
        <v>ST-PO-4-NU-1</v>
      </c>
      <c r="F247" s="98">
        <v>9.0</v>
      </c>
      <c r="G247" s="110"/>
      <c r="H247" s="100"/>
      <c r="I247" s="98"/>
      <c r="J247" s="111"/>
      <c r="K247" s="110"/>
      <c r="L247" s="104"/>
      <c r="M247" s="98" t="s">
        <v>39</v>
      </c>
      <c r="N247" s="103" t="str">
        <f>IFERROR(__xludf.DUMMYFUNCTION("""COMPUTED_VALUE"""),"")</f>
        <v/>
      </c>
      <c r="O247" s="104"/>
      <c r="P247" s="104"/>
      <c r="Q247" s="104"/>
      <c r="R247" s="104" t="s">
        <v>440</v>
      </c>
      <c r="S247" s="104">
        <v>19.99</v>
      </c>
      <c r="T247" s="104" t="s">
        <v>3821</v>
      </c>
      <c r="U247" s="104"/>
      <c r="V247" s="104" t="s">
        <v>3821</v>
      </c>
      <c r="W247" s="104"/>
    </row>
    <row r="248">
      <c r="A248" s="105">
        <v>45922.0</v>
      </c>
      <c r="B248" s="79" t="str">
        <f>IFERROR(__xludf.DUMMYFUNCTION("""COMPUTED_VALUE"""),"BWH-ST-TR-1A-7")</f>
        <v>BWH-ST-TR-1A-7</v>
      </c>
      <c r="C248" s="104"/>
      <c r="D248" s="104"/>
      <c r="E248" s="104" t="str">
        <f>IFERROR(__xludf.DUMMYFUNCTION("""COMPUTED_VALUE"""),"")</f>
        <v/>
      </c>
      <c r="F248" s="98">
        <v>9.0</v>
      </c>
      <c r="G248" s="110"/>
      <c r="H248" s="100"/>
      <c r="I248" s="98"/>
      <c r="J248" s="111"/>
      <c r="K248" s="110"/>
      <c r="L248" s="104"/>
      <c r="M248" s="98" t="s">
        <v>39</v>
      </c>
      <c r="N248" s="103" t="str">
        <f>IFERROR(__xludf.DUMMYFUNCTION("""COMPUTED_VALUE"""),"")</f>
        <v/>
      </c>
      <c r="O248" s="104"/>
      <c r="P248" s="104"/>
      <c r="Q248" s="104"/>
      <c r="R248" s="104" t="s">
        <v>441</v>
      </c>
      <c r="S248" s="104">
        <v>19.99</v>
      </c>
      <c r="T248" s="104" t="s">
        <v>3822</v>
      </c>
      <c r="U248" s="104"/>
      <c r="V248" s="104" t="s">
        <v>3822</v>
      </c>
      <c r="W248" s="104"/>
    </row>
    <row r="249">
      <c r="A249" s="105">
        <v>45922.0</v>
      </c>
      <c r="B249" s="79" t="str">
        <f>IFERROR(__xludf.DUMMYFUNCTION("""COMPUTED_VALUE"""),"BWH-ST-TR-1A-8")</f>
        <v>BWH-ST-TR-1A-8</v>
      </c>
      <c r="C249" s="104"/>
      <c r="D249" s="104"/>
      <c r="E249" s="104" t="str">
        <f>IFERROR(__xludf.DUMMYFUNCTION("""COMPUTED_VALUE"""),"ST-PO-4-NU-1")</f>
        <v>ST-PO-4-NU-1</v>
      </c>
      <c r="F249" s="98">
        <v>9.0</v>
      </c>
      <c r="G249" s="110"/>
      <c r="H249" s="100"/>
      <c r="I249" s="98"/>
      <c r="J249" s="111"/>
      <c r="K249" s="110"/>
      <c r="L249" s="104"/>
      <c r="M249" s="98" t="s">
        <v>39</v>
      </c>
      <c r="N249" s="103" t="str">
        <f>IFERROR(__xludf.DUMMYFUNCTION("""COMPUTED_VALUE"""),"")</f>
        <v/>
      </c>
      <c r="O249" s="104"/>
      <c r="P249" s="104"/>
      <c r="Q249" s="104"/>
      <c r="R249" s="104" t="s">
        <v>442</v>
      </c>
      <c r="S249" s="104">
        <v>19.99</v>
      </c>
      <c r="T249" s="104" t="s">
        <v>3823</v>
      </c>
      <c r="U249" s="104"/>
      <c r="V249" s="104" t="s">
        <v>3823</v>
      </c>
      <c r="W249" s="104"/>
    </row>
    <row r="250">
      <c r="A250" s="105">
        <v>45922.0</v>
      </c>
      <c r="B250" s="79" t="str">
        <f>IFERROR(__xludf.DUMMYFUNCTION("""COMPUTED_VALUE"""),"BWH-HO-KQ-1A")</f>
        <v>BWH-HO-KQ-1A</v>
      </c>
      <c r="C250" s="104"/>
      <c r="D250" s="104"/>
      <c r="E250" s="104" t="str">
        <f>IFERROR(__xludf.DUMMYFUNCTION("""COMPUTED_VALUE"""),"NR-PO-5-TBP-1")</f>
        <v>NR-PO-5-TBP-1</v>
      </c>
      <c r="F250" s="98">
        <v>11.9</v>
      </c>
      <c r="G250" s="110"/>
      <c r="H250" s="100"/>
      <c r="I250" s="98"/>
      <c r="J250" s="111"/>
      <c r="K250" s="110"/>
      <c r="L250" s="104"/>
      <c r="M250" s="98" t="s">
        <v>39</v>
      </c>
      <c r="N250" s="103" t="str">
        <f>IFERROR(__xludf.DUMMYFUNCTION("""COMPUTED_VALUE"""),"")</f>
        <v/>
      </c>
      <c r="O250" s="104"/>
      <c r="P250" s="104"/>
      <c r="Q250" s="104"/>
      <c r="R250" s="104" t="s">
        <v>444</v>
      </c>
      <c r="S250" s="104">
        <v>14.99</v>
      </c>
      <c r="T250" s="104" t="s">
        <v>3824</v>
      </c>
      <c r="U250" s="104"/>
      <c r="V250" s="104" t="s">
        <v>3824</v>
      </c>
      <c r="W250" s="104"/>
    </row>
    <row r="251">
      <c r="A251" s="105">
        <v>45922.0</v>
      </c>
      <c r="B251" s="79" t="str">
        <f>IFERROR(__xludf.DUMMYFUNCTION("""COMPUTED_VALUE"""),"BWH-HO-KQ-1A-2")</f>
        <v>BWH-HO-KQ-1A-2</v>
      </c>
      <c r="C251" s="104"/>
      <c r="D251" s="104"/>
      <c r="E251" s="104" t="str">
        <f>IFERROR(__xludf.DUMMYFUNCTION("""COMPUTED_VALUE"""),"NR-PO-5-PBP-1")</f>
        <v>NR-PO-5-PBP-1</v>
      </c>
      <c r="F251" s="98">
        <v>11.9</v>
      </c>
      <c r="G251" s="110"/>
      <c r="H251" s="100"/>
      <c r="I251" s="98"/>
      <c r="J251" s="111"/>
      <c r="K251" s="110"/>
      <c r="L251" s="104"/>
      <c r="M251" s="98" t="s">
        <v>39</v>
      </c>
      <c r="N251" s="103" t="str">
        <f>IFERROR(__xludf.DUMMYFUNCTION("""COMPUTED_VALUE"""),"")</f>
        <v/>
      </c>
      <c r="O251" s="104"/>
      <c r="P251" s="104"/>
      <c r="Q251" s="104"/>
      <c r="R251" s="104" t="s">
        <v>445</v>
      </c>
      <c r="S251" s="104">
        <v>14.99</v>
      </c>
      <c r="T251" s="104" t="s">
        <v>3825</v>
      </c>
      <c r="U251" s="104"/>
      <c r="V251" s="104" t="s">
        <v>3825</v>
      </c>
      <c r="W251" s="104"/>
    </row>
    <row r="252">
      <c r="A252" s="105">
        <v>45922.0</v>
      </c>
      <c r="B252" s="79" t="str">
        <f>IFERROR(__xludf.DUMMYFUNCTION("""COMPUTED_VALUE"""),"BWH-HO-KQ-1A-3")</f>
        <v>BWH-HO-KQ-1A-3</v>
      </c>
      <c r="C252" s="104"/>
      <c r="D252" s="104"/>
      <c r="E252" s="104" t="str">
        <f>IFERROR(__xludf.DUMMYFUNCTION("""COMPUTED_VALUE"""),"")</f>
        <v/>
      </c>
      <c r="F252" s="98">
        <v>5.95</v>
      </c>
      <c r="G252" s="110"/>
      <c r="H252" s="100"/>
      <c r="I252" s="98"/>
      <c r="J252" s="111"/>
      <c r="K252" s="110"/>
      <c r="L252" s="104"/>
      <c r="M252" s="98" t="s">
        <v>39</v>
      </c>
      <c r="N252" s="103" t="str">
        <f>IFERROR(__xludf.DUMMYFUNCTION("""COMPUTED_VALUE"""),"")</f>
        <v/>
      </c>
      <c r="O252" s="104"/>
      <c r="P252" s="104"/>
      <c r="Q252" s="104"/>
      <c r="R252" s="104" t="s">
        <v>446</v>
      </c>
      <c r="S252" s="104">
        <v>14.99</v>
      </c>
      <c r="T252" s="104" t="s">
        <v>3826</v>
      </c>
      <c r="U252" s="104"/>
      <c r="V252" s="104" t="s">
        <v>3826</v>
      </c>
      <c r="W252" s="104"/>
    </row>
    <row r="253">
      <c r="A253" s="105">
        <v>45922.0</v>
      </c>
      <c r="B253" s="79" t="str">
        <f>IFERROR(__xludf.DUMMYFUNCTION("""COMPUTED_VALUE"""),"BWH-HO-KQ-1A-4")</f>
        <v>BWH-HO-KQ-1A-4</v>
      </c>
      <c r="C253" s="104"/>
      <c r="D253" s="104"/>
      <c r="E253" s="104" t="str">
        <f>IFERROR(__xludf.DUMMYFUNCTION("""COMPUTED_VALUE"""),"")</f>
        <v/>
      </c>
      <c r="F253" s="98">
        <v>5.95</v>
      </c>
      <c r="G253" s="110"/>
      <c r="H253" s="100"/>
      <c r="I253" s="98"/>
      <c r="J253" s="111"/>
      <c r="K253" s="110"/>
      <c r="L253" s="104"/>
      <c r="M253" s="98" t="s">
        <v>39</v>
      </c>
      <c r="N253" s="103" t="str">
        <f>IFERROR(__xludf.DUMMYFUNCTION("""COMPUTED_VALUE"""),"")</f>
        <v/>
      </c>
      <c r="O253" s="104"/>
      <c r="P253" s="104"/>
      <c r="Q253" s="104"/>
      <c r="R253" s="104" t="s">
        <v>447</v>
      </c>
      <c r="S253" s="104">
        <v>14.99</v>
      </c>
      <c r="T253" s="104" t="s">
        <v>3827</v>
      </c>
      <c r="U253" s="104"/>
      <c r="V253" s="104" t="s">
        <v>3827</v>
      </c>
      <c r="W253" s="104"/>
    </row>
    <row r="254">
      <c r="A254" s="105">
        <v>45922.0</v>
      </c>
      <c r="B254" s="79" t="str">
        <f>IFERROR(__xludf.DUMMYFUNCTION("""COMPUTED_VALUE"""),"BWH-HO-KQ-1A-5")</f>
        <v>BWH-HO-KQ-1A-5</v>
      </c>
      <c r="C254" s="104"/>
      <c r="D254" s="104"/>
      <c r="E254" s="104" t="str">
        <f>IFERROR(__xludf.DUMMYFUNCTION("""COMPUTED_VALUE"""),"")</f>
        <v/>
      </c>
      <c r="F254" s="98">
        <v>5.95</v>
      </c>
      <c r="G254" s="110"/>
      <c r="H254" s="100"/>
      <c r="I254" s="98"/>
      <c r="J254" s="111"/>
      <c r="K254" s="110"/>
      <c r="L254" s="104"/>
      <c r="M254" s="98" t="s">
        <v>39</v>
      </c>
      <c r="N254" s="103" t="str">
        <f>IFERROR(__xludf.DUMMYFUNCTION("""COMPUTED_VALUE"""),"")</f>
        <v/>
      </c>
      <c r="O254" s="104"/>
      <c r="P254" s="104"/>
      <c r="Q254" s="104"/>
      <c r="R254" s="104" t="s">
        <v>448</v>
      </c>
      <c r="S254" s="104">
        <v>14.99</v>
      </c>
      <c r="T254" s="104" t="s">
        <v>3828</v>
      </c>
      <c r="U254" s="104"/>
      <c r="V254" s="104" t="s">
        <v>3828</v>
      </c>
      <c r="W254" s="104"/>
    </row>
    <row r="255">
      <c r="A255" s="105">
        <v>45929.0</v>
      </c>
      <c r="B255" s="79" t="str">
        <f>IFERROR(__xludf.DUMMYFUNCTION("""COMPUTED_VALUE"""),"BPF-SE-SOP-2A")</f>
        <v>BPF-SE-SOP-2A</v>
      </c>
      <c r="C255" s="104"/>
      <c r="D255" s="104"/>
      <c r="E255" s="104" t="str">
        <f>IFERROR(__xludf.DUMMYFUNCTION("""COMPUTED_VALUE"""),"")</f>
        <v/>
      </c>
      <c r="F255" s="98">
        <v>7.57</v>
      </c>
      <c r="G255" s="110"/>
      <c r="H255" s="100"/>
      <c r="I255" s="98"/>
      <c r="J255" s="111"/>
      <c r="K255" s="112">
        <v>10.0</v>
      </c>
      <c r="L255" s="104"/>
      <c r="M255" s="98">
        <v>10.0</v>
      </c>
      <c r="N255" s="103" t="str">
        <f>IFERROR(__xludf.DUMMYFUNCTION("""COMPUTED_VALUE"""),"")</f>
        <v/>
      </c>
      <c r="O255" s="104"/>
      <c r="P255" s="102" t="s">
        <v>1626</v>
      </c>
      <c r="Q255" s="104"/>
      <c r="R255" s="104" t="s">
        <v>449</v>
      </c>
      <c r="S255" s="104"/>
      <c r="T255" s="104" t="s">
        <v>3829</v>
      </c>
      <c r="U255" s="104"/>
      <c r="V255" s="104" t="s">
        <v>3829</v>
      </c>
      <c r="W255" s="104"/>
    </row>
    <row r="256">
      <c r="A256" s="105">
        <v>45929.0</v>
      </c>
      <c r="B256" s="79" t="str">
        <f>IFERROR(__xludf.DUMMYFUNCTION("""COMPUTED_VALUE"""),"BPF-SE-SOP-2A-2")</f>
        <v>BPF-SE-SOP-2A-2</v>
      </c>
      <c r="C256" s="102" t="s">
        <v>180</v>
      </c>
      <c r="D256" s="104"/>
      <c r="E256" s="104" t="str">
        <f>IFERROR(__xludf.DUMMYFUNCTION("""COMPUTED_VALUE"""),"")</f>
        <v/>
      </c>
      <c r="F256" s="98">
        <v>7.57</v>
      </c>
      <c r="G256" s="110"/>
      <c r="H256" s="100"/>
      <c r="I256" s="98"/>
      <c r="J256" s="98"/>
      <c r="K256" s="110"/>
      <c r="L256" s="104"/>
      <c r="M256" s="98" t="s">
        <v>39</v>
      </c>
      <c r="N256" s="103" t="str">
        <f>IFERROR(__xludf.DUMMYFUNCTION("""COMPUTED_VALUE"""),"")</f>
        <v/>
      </c>
      <c r="O256" s="104"/>
      <c r="P256" s="104"/>
      <c r="Q256" s="104"/>
      <c r="R256" s="104" t="s">
        <v>450</v>
      </c>
      <c r="S256" s="104"/>
      <c r="T256" s="104" t="s">
        <v>3830</v>
      </c>
      <c r="U256" s="104"/>
      <c r="V256" s="104" t="s">
        <v>3830</v>
      </c>
      <c r="W256" s="104"/>
    </row>
    <row r="257">
      <c r="A257" s="105">
        <v>45929.0</v>
      </c>
      <c r="B257" s="79" t="str">
        <f>IFERROR(__xludf.DUMMYFUNCTION("""COMPUTED_VALUE"""),"BPF-SE-SOP-2A-3")</f>
        <v>BPF-SE-SOP-2A-3</v>
      </c>
      <c r="C257" s="102" t="s">
        <v>180</v>
      </c>
      <c r="D257" s="104"/>
      <c r="E257" s="104" t="str">
        <f>IFERROR(__xludf.DUMMYFUNCTION("""COMPUTED_VALUE"""),"")</f>
        <v/>
      </c>
      <c r="F257" s="98">
        <v>7.57</v>
      </c>
      <c r="G257" s="110"/>
      <c r="H257" s="100"/>
      <c r="I257" s="98"/>
      <c r="J257" s="98"/>
      <c r="K257" s="110"/>
      <c r="L257" s="104"/>
      <c r="M257" s="98" t="s">
        <v>39</v>
      </c>
      <c r="N257" s="103" t="str">
        <f>IFERROR(__xludf.DUMMYFUNCTION("""COMPUTED_VALUE"""),"")</f>
        <v/>
      </c>
      <c r="O257" s="104"/>
      <c r="P257" s="104"/>
      <c r="Q257" s="104"/>
      <c r="R257" s="104" t="s">
        <v>451</v>
      </c>
      <c r="S257" s="104"/>
      <c r="T257" s="104" t="s">
        <v>3831</v>
      </c>
      <c r="U257" s="104"/>
      <c r="V257" s="104" t="s">
        <v>3831</v>
      </c>
      <c r="W257" s="104"/>
    </row>
    <row r="258">
      <c r="A258" s="105">
        <v>45929.0</v>
      </c>
      <c r="B258" s="79" t="str">
        <f>IFERROR(__xludf.DUMMYFUNCTION("""COMPUTED_VALUE"""),"BPF-SE-SOP-2A-4")</f>
        <v>BPF-SE-SOP-2A-4</v>
      </c>
      <c r="C258" s="102" t="s">
        <v>180</v>
      </c>
      <c r="D258" s="104"/>
      <c r="E258" s="104" t="str">
        <f>IFERROR(__xludf.DUMMYFUNCTION("""COMPUTED_VALUE"""),"")</f>
        <v/>
      </c>
      <c r="F258" s="98">
        <v>7.57</v>
      </c>
      <c r="G258" s="110"/>
      <c r="H258" s="100"/>
      <c r="I258" s="98"/>
      <c r="J258" s="98"/>
      <c r="K258" s="110"/>
      <c r="L258" s="104"/>
      <c r="M258" s="98" t="s">
        <v>39</v>
      </c>
      <c r="N258" s="103" t="str">
        <f>IFERROR(__xludf.DUMMYFUNCTION("""COMPUTED_VALUE"""),"")</f>
        <v/>
      </c>
      <c r="O258" s="104"/>
      <c r="P258" s="104"/>
      <c r="Q258" s="104"/>
      <c r="R258" s="104" t="s">
        <v>452</v>
      </c>
      <c r="S258" s="104"/>
      <c r="T258" s="104" t="s">
        <v>3832</v>
      </c>
      <c r="U258" s="104"/>
      <c r="V258" s="104" t="s">
        <v>3832</v>
      </c>
      <c r="W258" s="104"/>
    </row>
    <row r="259">
      <c r="A259" s="105">
        <v>45929.0</v>
      </c>
      <c r="B259" s="79" t="str">
        <f>IFERROR(__xludf.DUMMYFUNCTION("""COMPUTED_VALUE"""),"BPF-SE-SOP-2A-5")</f>
        <v>BPF-SE-SOP-2A-5</v>
      </c>
      <c r="C259" s="102" t="s">
        <v>180</v>
      </c>
      <c r="D259" s="104"/>
      <c r="E259" s="104" t="str">
        <f>IFERROR(__xludf.DUMMYFUNCTION("""COMPUTED_VALUE"""),"")</f>
        <v/>
      </c>
      <c r="F259" s="98">
        <v>7.57</v>
      </c>
      <c r="G259" s="110"/>
      <c r="H259" s="100"/>
      <c r="I259" s="98"/>
      <c r="J259" s="98"/>
      <c r="K259" s="110"/>
      <c r="L259" s="104"/>
      <c r="M259" s="98" t="s">
        <v>39</v>
      </c>
      <c r="N259" s="103" t="str">
        <f>IFERROR(__xludf.DUMMYFUNCTION("""COMPUTED_VALUE"""),"")</f>
        <v/>
      </c>
      <c r="O259" s="104"/>
      <c r="P259" s="104"/>
      <c r="Q259" s="104"/>
      <c r="R259" s="104" t="s">
        <v>453</v>
      </c>
      <c r="S259" s="104"/>
      <c r="T259" s="104" t="s">
        <v>3833</v>
      </c>
      <c r="U259" s="104"/>
      <c r="V259" s="104" t="s">
        <v>3833</v>
      </c>
      <c r="W259" s="104"/>
    </row>
    <row r="260">
      <c r="A260" s="105">
        <v>45929.0</v>
      </c>
      <c r="B260" s="79" t="str">
        <f>IFERROR(__xludf.DUMMYFUNCTION("""COMPUTED_VALUE"""),"BPF-SE-SOP-2A-6")</f>
        <v>BPF-SE-SOP-2A-6</v>
      </c>
      <c r="C260" s="102" t="s">
        <v>180</v>
      </c>
      <c r="D260" s="104"/>
      <c r="E260" s="104" t="str">
        <f>IFERROR(__xludf.DUMMYFUNCTION("""COMPUTED_VALUE"""),"")</f>
        <v/>
      </c>
      <c r="F260" s="98">
        <v>7.57</v>
      </c>
      <c r="G260" s="110"/>
      <c r="H260" s="100"/>
      <c r="I260" s="98"/>
      <c r="J260" s="98"/>
      <c r="K260" s="110"/>
      <c r="L260" s="104"/>
      <c r="M260" s="98" t="s">
        <v>39</v>
      </c>
      <c r="N260" s="103" t="str">
        <f>IFERROR(__xludf.DUMMYFUNCTION("""COMPUTED_VALUE"""),"")</f>
        <v/>
      </c>
      <c r="O260" s="104"/>
      <c r="P260" s="104"/>
      <c r="Q260" s="104"/>
      <c r="R260" s="104" t="s">
        <v>455</v>
      </c>
      <c r="S260" s="104"/>
      <c r="T260" s="104" t="s">
        <v>3834</v>
      </c>
      <c r="U260" s="104"/>
      <c r="V260" s="104" t="s">
        <v>3834</v>
      </c>
      <c r="W260" s="104"/>
    </row>
    <row r="261">
      <c r="A261" s="105">
        <v>45929.0</v>
      </c>
      <c r="B261" s="79" t="str">
        <f>IFERROR(__xludf.DUMMYFUNCTION("""COMPUTED_VALUE"""),"BPF-SE-SOP-2A-7")</f>
        <v>BPF-SE-SOP-2A-7</v>
      </c>
      <c r="C261" s="102" t="s">
        <v>180</v>
      </c>
      <c r="D261" s="104"/>
      <c r="E261" s="104" t="str">
        <f>IFERROR(__xludf.DUMMYFUNCTION("""COMPUTED_VALUE"""),"ST-PO-4-NU-1")</f>
        <v>ST-PO-4-NU-1</v>
      </c>
      <c r="F261" s="98">
        <v>7.57</v>
      </c>
      <c r="G261" s="110"/>
      <c r="H261" s="100"/>
      <c r="I261" s="98"/>
      <c r="J261" s="111"/>
      <c r="K261" s="110"/>
      <c r="L261" s="104"/>
      <c r="M261" s="98" t="s">
        <v>39</v>
      </c>
      <c r="N261" s="103" t="str">
        <f>IFERROR(__xludf.DUMMYFUNCTION("""COMPUTED_VALUE"""),"")</f>
        <v/>
      </c>
      <c r="O261" s="104"/>
      <c r="P261" s="104"/>
      <c r="Q261" s="104"/>
      <c r="R261" s="104" t="s">
        <v>457</v>
      </c>
      <c r="S261" s="104"/>
      <c r="T261" s="104" t="s">
        <v>3835</v>
      </c>
      <c r="U261" s="104"/>
      <c r="V261" s="104" t="s">
        <v>3835</v>
      </c>
      <c r="W261" s="104"/>
    </row>
    <row r="262">
      <c r="A262" s="105">
        <v>45929.0</v>
      </c>
      <c r="B262" s="79" t="str">
        <f>IFERROR(__xludf.DUMMYFUNCTION("""COMPUTED_VALUE"""),"BPF-SE-VSP-1A")</f>
        <v>BPF-SE-VSP-1A</v>
      </c>
      <c r="C262" s="102" t="s">
        <v>180</v>
      </c>
      <c r="D262" s="104"/>
      <c r="E262" s="104" t="str">
        <f>IFERROR(__xludf.DUMMYFUNCTION("""COMPUTED_VALUE"""),"")</f>
        <v/>
      </c>
      <c r="F262" s="98">
        <v>5.75</v>
      </c>
      <c r="G262" s="110"/>
      <c r="H262" s="100"/>
      <c r="I262" s="98"/>
      <c r="J262" s="111"/>
      <c r="K262" s="110"/>
      <c r="L262" s="104"/>
      <c r="M262" s="98" t="s">
        <v>39</v>
      </c>
      <c r="N262" s="103" t="str">
        <f>IFERROR(__xludf.DUMMYFUNCTION("""COMPUTED_VALUE"""),"")</f>
        <v/>
      </c>
      <c r="O262" s="104"/>
      <c r="P262" s="104"/>
      <c r="Q262" s="104"/>
      <c r="R262" s="104" t="s">
        <v>459</v>
      </c>
      <c r="S262" s="104"/>
      <c r="T262" s="104" t="s">
        <v>3836</v>
      </c>
      <c r="U262" s="104"/>
      <c r="V262" s="104" t="s">
        <v>3836</v>
      </c>
      <c r="W262" s="104"/>
    </row>
    <row r="263">
      <c r="A263" s="105">
        <v>45929.0</v>
      </c>
      <c r="B263" s="79" t="str">
        <f>IFERROR(__xludf.DUMMYFUNCTION("""COMPUTED_VALUE"""),"BPF-SE-VSP-1A-2")</f>
        <v>BPF-SE-VSP-1A-2</v>
      </c>
      <c r="C263" s="102" t="s">
        <v>458</v>
      </c>
      <c r="D263" s="104"/>
      <c r="E263" s="104" t="str">
        <f>IFERROR(__xludf.DUMMYFUNCTION("""COMPUTED_VALUE"""),"")</f>
        <v/>
      </c>
      <c r="F263" s="98">
        <v>5.75</v>
      </c>
      <c r="G263" s="110"/>
      <c r="H263" s="100"/>
      <c r="I263" s="98"/>
      <c r="J263" s="98"/>
      <c r="K263" s="110"/>
      <c r="L263" s="104"/>
      <c r="M263" s="98" t="s">
        <v>39</v>
      </c>
      <c r="N263" s="103" t="str">
        <f>IFERROR(__xludf.DUMMYFUNCTION("""COMPUTED_VALUE"""),"")</f>
        <v/>
      </c>
      <c r="O263" s="104"/>
      <c r="P263" s="102" t="s">
        <v>1692</v>
      </c>
      <c r="Q263" s="104"/>
      <c r="R263" s="104" t="s">
        <v>460</v>
      </c>
      <c r="S263" s="104"/>
      <c r="T263" s="104" t="s">
        <v>3837</v>
      </c>
      <c r="U263" s="104"/>
      <c r="V263" s="104" t="s">
        <v>3837</v>
      </c>
      <c r="W263" s="104"/>
    </row>
    <row r="264">
      <c r="A264" s="105">
        <v>45929.0</v>
      </c>
      <c r="B264" s="79" t="str">
        <f>IFERROR(__xludf.DUMMYFUNCTION("""COMPUTED_VALUE"""),"BPF-SE-VSP-1A-3")</f>
        <v>BPF-SE-VSP-1A-3</v>
      </c>
      <c r="C264" s="102" t="s">
        <v>458</v>
      </c>
      <c r="D264" s="104"/>
      <c r="E264" s="104" t="str">
        <f>IFERROR(__xludf.DUMMYFUNCTION("""COMPUTED_VALUE"""),"")</f>
        <v/>
      </c>
      <c r="F264" s="98">
        <v>5.75</v>
      </c>
      <c r="G264" s="110"/>
      <c r="H264" s="100"/>
      <c r="I264" s="98"/>
      <c r="J264" s="98"/>
      <c r="K264" s="110"/>
      <c r="L264" s="104"/>
      <c r="M264" s="98" t="s">
        <v>39</v>
      </c>
      <c r="N264" s="103" t="str">
        <f>IFERROR(__xludf.DUMMYFUNCTION("""COMPUTED_VALUE"""),"")</f>
        <v/>
      </c>
      <c r="O264" s="104"/>
      <c r="P264" s="102" t="s">
        <v>1692</v>
      </c>
      <c r="Q264" s="104"/>
      <c r="R264" s="104" t="s">
        <v>461</v>
      </c>
      <c r="S264" s="104"/>
      <c r="T264" s="104" t="s">
        <v>3838</v>
      </c>
      <c r="U264" s="104"/>
      <c r="V264" s="104" t="s">
        <v>3838</v>
      </c>
      <c r="W264" s="104"/>
    </row>
    <row r="265">
      <c r="A265" s="105">
        <v>45929.0</v>
      </c>
      <c r="B265" s="79" t="str">
        <f>IFERROR(__xludf.DUMMYFUNCTION("""COMPUTED_VALUE"""),"BPF-SE-VSP-1A-4")</f>
        <v>BPF-SE-VSP-1A-4</v>
      </c>
      <c r="C265" s="102" t="s">
        <v>458</v>
      </c>
      <c r="D265" s="104"/>
      <c r="E265" s="104" t="str">
        <f>IFERROR(__xludf.DUMMYFUNCTION("""COMPUTED_VALUE"""),"")</f>
        <v/>
      </c>
      <c r="F265" s="98">
        <v>5.75</v>
      </c>
      <c r="G265" s="110"/>
      <c r="H265" s="100"/>
      <c r="I265" s="98"/>
      <c r="J265" s="98"/>
      <c r="K265" s="110"/>
      <c r="L265" s="104"/>
      <c r="M265" s="98" t="s">
        <v>39</v>
      </c>
      <c r="N265" s="103" t="str">
        <f>IFERROR(__xludf.DUMMYFUNCTION("""COMPUTED_VALUE"""),"")</f>
        <v/>
      </c>
      <c r="O265" s="104"/>
      <c r="P265" s="102" t="s">
        <v>1692</v>
      </c>
      <c r="Q265" s="104"/>
      <c r="R265" s="104" t="s">
        <v>462</v>
      </c>
      <c r="S265" s="104"/>
      <c r="T265" s="104" t="s">
        <v>3839</v>
      </c>
      <c r="U265" s="104"/>
      <c r="V265" s="104" t="s">
        <v>3839</v>
      </c>
      <c r="W265" s="104"/>
    </row>
    <row r="266">
      <c r="A266" s="105">
        <v>45929.0</v>
      </c>
      <c r="B266" s="79" t="str">
        <f>IFERROR(__xludf.DUMMYFUNCTION("""COMPUTED_VALUE"""),"BPF-SE-VSP-1A-5")</f>
        <v>BPF-SE-VSP-1A-5</v>
      </c>
      <c r="C266" s="102" t="s">
        <v>458</v>
      </c>
      <c r="D266" s="104"/>
      <c r="E266" s="104" t="str">
        <f>IFERROR(__xludf.DUMMYFUNCTION("""COMPUTED_VALUE"""),"")</f>
        <v/>
      </c>
      <c r="F266" s="98">
        <v>5.75</v>
      </c>
      <c r="G266" s="110"/>
      <c r="H266" s="100"/>
      <c r="I266" s="98"/>
      <c r="J266" s="98"/>
      <c r="K266" s="110"/>
      <c r="L266" s="104"/>
      <c r="M266" s="98" t="s">
        <v>39</v>
      </c>
      <c r="N266" s="103" t="str">
        <f>IFERROR(__xludf.DUMMYFUNCTION("""COMPUTED_VALUE"""),"")</f>
        <v/>
      </c>
      <c r="O266" s="104"/>
      <c r="P266" s="102" t="s">
        <v>1692</v>
      </c>
      <c r="Q266" s="104"/>
      <c r="R266" s="104" t="s">
        <v>463</v>
      </c>
      <c r="S266" s="104"/>
      <c r="T266" s="104" t="s">
        <v>3840</v>
      </c>
      <c r="U266" s="104"/>
      <c r="V266" s="104" t="s">
        <v>3840</v>
      </c>
      <c r="W266" s="104"/>
    </row>
    <row r="267">
      <c r="A267" s="105">
        <v>45929.0</v>
      </c>
      <c r="B267" s="79" t="str">
        <f>IFERROR(__xludf.DUMMYFUNCTION("""COMPUTED_VALUE"""),"BPF-SE-VSP-1A-6")</f>
        <v>BPF-SE-VSP-1A-6</v>
      </c>
      <c r="C267" s="102" t="s">
        <v>458</v>
      </c>
      <c r="D267" s="104"/>
      <c r="E267" s="104" t="str">
        <f>IFERROR(__xludf.DUMMYFUNCTION("""COMPUTED_VALUE"""),"")</f>
        <v/>
      </c>
      <c r="F267" s="98">
        <v>5.75</v>
      </c>
      <c r="G267" s="110"/>
      <c r="H267" s="100"/>
      <c r="I267" s="98"/>
      <c r="J267" s="98"/>
      <c r="K267" s="110"/>
      <c r="L267" s="104"/>
      <c r="M267" s="98" t="s">
        <v>39</v>
      </c>
      <c r="N267" s="103" t="str">
        <f>IFERROR(__xludf.DUMMYFUNCTION("""COMPUTED_VALUE"""),"")</f>
        <v/>
      </c>
      <c r="O267" s="104"/>
      <c r="P267" s="102" t="s">
        <v>1692</v>
      </c>
      <c r="Q267" s="104"/>
      <c r="R267" s="104" t="s">
        <v>464</v>
      </c>
      <c r="S267" s="104"/>
      <c r="T267" s="104" t="s">
        <v>3841</v>
      </c>
      <c r="U267" s="104"/>
      <c r="V267" s="104" t="s">
        <v>3841</v>
      </c>
      <c r="W267" s="104"/>
    </row>
    <row r="268">
      <c r="A268" s="105">
        <v>45929.0</v>
      </c>
      <c r="B268" s="79" t="str">
        <f>IFERROR(__xludf.DUMMYFUNCTION("""COMPUTED_VALUE"""),"BPF-CE-SOH-2A")</f>
        <v>BPF-CE-SOH-2A</v>
      </c>
      <c r="C268" s="102" t="s">
        <v>458</v>
      </c>
      <c r="D268" s="104"/>
      <c r="E268" s="104" t="str">
        <f>IFERROR(__xludf.DUMMYFUNCTION("""COMPUTED_VALUE"""),"")</f>
        <v/>
      </c>
      <c r="F268" s="98">
        <v>14.29</v>
      </c>
      <c r="G268" s="110"/>
      <c r="H268" s="100"/>
      <c r="I268" s="98"/>
      <c r="J268" s="98"/>
      <c r="K268" s="110"/>
      <c r="L268" s="104"/>
      <c r="M268" s="98" t="s">
        <v>39</v>
      </c>
      <c r="N268" s="103" t="str">
        <f>IFERROR(__xludf.DUMMYFUNCTION("""COMPUTED_VALUE"""),"")</f>
        <v/>
      </c>
      <c r="O268" s="104"/>
      <c r="P268" s="102" t="s">
        <v>1692</v>
      </c>
      <c r="Q268" s="104"/>
      <c r="R268" s="104" t="s">
        <v>465</v>
      </c>
      <c r="S268" s="104"/>
      <c r="T268" s="104" t="s">
        <v>3842</v>
      </c>
      <c r="U268" s="104"/>
      <c r="V268" s="104" t="s">
        <v>3842</v>
      </c>
      <c r="W268" s="104"/>
    </row>
    <row r="269">
      <c r="A269" s="105">
        <v>45929.0</v>
      </c>
      <c r="B269" s="79" t="str">
        <f>IFERROR(__xludf.DUMMYFUNCTION("""COMPUTED_VALUE"""),"BPF-CE-SOH-2A-2")</f>
        <v>BPF-CE-SOH-2A-2</v>
      </c>
      <c r="C269" s="102" t="s">
        <v>458</v>
      </c>
      <c r="D269" s="104"/>
      <c r="E269" s="104" t="str">
        <f>IFERROR(__xludf.DUMMYFUNCTION("""COMPUTED_VALUE"""),"")</f>
        <v/>
      </c>
      <c r="F269" s="98">
        <v>14.29</v>
      </c>
      <c r="G269" s="110"/>
      <c r="H269" s="100"/>
      <c r="I269" s="98"/>
      <c r="J269" s="111"/>
      <c r="K269" s="112">
        <v>8.0</v>
      </c>
      <c r="L269" s="104"/>
      <c r="M269" s="98">
        <v>8.0</v>
      </c>
      <c r="N269" s="103" t="str">
        <f>IFERROR(__xludf.DUMMYFUNCTION("""COMPUTED_VALUE"""),"")</f>
        <v/>
      </c>
      <c r="O269" s="104"/>
      <c r="P269" s="102" t="s">
        <v>1626</v>
      </c>
      <c r="Q269" s="104"/>
      <c r="R269" s="104" t="s">
        <v>466</v>
      </c>
      <c r="S269" s="104"/>
      <c r="T269" s="104" t="s">
        <v>3843</v>
      </c>
      <c r="U269" s="104"/>
      <c r="V269" s="104" t="s">
        <v>3843</v>
      </c>
      <c r="W269" s="104"/>
    </row>
    <row r="270">
      <c r="A270" s="105">
        <v>45929.0</v>
      </c>
      <c r="B270" s="79" t="str">
        <f>IFERROR(__xludf.DUMMYFUNCTION("""COMPUTED_VALUE"""),"BPF-CE-SOH-2A-3")</f>
        <v>BPF-CE-SOH-2A-3</v>
      </c>
      <c r="C270" s="102" t="s">
        <v>174</v>
      </c>
      <c r="D270" s="104"/>
      <c r="E270" s="104" t="str">
        <f>IFERROR(__xludf.DUMMYFUNCTION("""COMPUTED_VALUE"""),"")</f>
        <v/>
      </c>
      <c r="F270" s="98">
        <v>14.29</v>
      </c>
      <c r="G270" s="110"/>
      <c r="H270" s="100"/>
      <c r="I270" s="98"/>
      <c r="J270" s="111"/>
      <c r="K270" s="110"/>
      <c r="L270" s="104"/>
      <c r="M270" s="98" t="s">
        <v>39</v>
      </c>
      <c r="N270" s="103" t="str">
        <f>IFERROR(__xludf.DUMMYFUNCTION("""COMPUTED_VALUE"""),"")</f>
        <v/>
      </c>
      <c r="O270" s="104"/>
      <c r="P270" s="104"/>
      <c r="Q270" s="104"/>
      <c r="R270" s="104" t="s">
        <v>467</v>
      </c>
      <c r="S270" s="104"/>
      <c r="T270" s="104" t="s">
        <v>3844</v>
      </c>
      <c r="U270" s="104"/>
      <c r="V270" s="104" t="s">
        <v>3844</v>
      </c>
      <c r="W270" s="104"/>
    </row>
    <row r="271">
      <c r="A271" s="105">
        <v>45929.0</v>
      </c>
      <c r="B271" s="79" t="str">
        <f>IFERROR(__xludf.DUMMYFUNCTION("""COMPUTED_VALUE"""),"BPF-CE-SOH-2A-4")</f>
        <v>BPF-CE-SOH-2A-4</v>
      </c>
      <c r="C271" s="102" t="s">
        <v>174</v>
      </c>
      <c r="D271" s="104"/>
      <c r="E271" s="104" t="str">
        <f>IFERROR(__xludf.DUMMYFUNCTION("""COMPUTED_VALUE"""),"")</f>
        <v/>
      </c>
      <c r="F271" s="98">
        <v>14.29</v>
      </c>
      <c r="G271" s="110"/>
      <c r="H271" s="100"/>
      <c r="I271" s="98"/>
      <c r="J271" s="111"/>
      <c r="K271" s="110"/>
      <c r="L271" s="104"/>
      <c r="M271" s="98" t="s">
        <v>39</v>
      </c>
      <c r="N271" s="103" t="str">
        <f>IFERROR(__xludf.DUMMYFUNCTION("""COMPUTED_VALUE"""),"")</f>
        <v/>
      </c>
      <c r="O271" s="104"/>
      <c r="P271" s="104"/>
      <c r="Q271" s="104"/>
      <c r="R271" s="104" t="s">
        <v>468</v>
      </c>
      <c r="S271" s="104"/>
      <c r="T271" s="104" t="s">
        <v>3845</v>
      </c>
      <c r="U271" s="104"/>
      <c r="V271" s="104" t="s">
        <v>3845</v>
      </c>
      <c r="W271" s="104"/>
    </row>
    <row r="272">
      <c r="A272" s="105">
        <v>45929.0</v>
      </c>
      <c r="B272" s="79" t="str">
        <f>IFERROR(__xludf.DUMMYFUNCTION("""COMPUTED_VALUE"""),"BPF-CE-SOH-2A-5")</f>
        <v>BPF-CE-SOH-2A-5</v>
      </c>
      <c r="C272" s="102" t="s">
        <v>174</v>
      </c>
      <c r="D272" s="104"/>
      <c r="E272" s="104" t="str">
        <f>IFERROR(__xludf.DUMMYFUNCTION("""COMPUTED_VALUE"""),"")</f>
        <v/>
      </c>
      <c r="F272" s="98">
        <v>14.29</v>
      </c>
      <c r="G272" s="110"/>
      <c r="H272" s="100"/>
      <c r="I272" s="98"/>
      <c r="J272" s="111"/>
      <c r="K272" s="110"/>
      <c r="L272" s="104"/>
      <c r="M272" s="98" t="s">
        <v>39</v>
      </c>
      <c r="N272" s="103" t="str">
        <f>IFERROR(__xludf.DUMMYFUNCTION("""COMPUTED_VALUE"""),"")</f>
        <v/>
      </c>
      <c r="O272" s="104"/>
      <c r="P272" s="104"/>
      <c r="Q272" s="104"/>
      <c r="R272" s="104" t="s">
        <v>469</v>
      </c>
      <c r="S272" s="104"/>
      <c r="T272" s="104" t="s">
        <v>3846</v>
      </c>
      <c r="U272" s="104"/>
      <c r="V272" s="104" t="s">
        <v>3846</v>
      </c>
      <c r="W272" s="104"/>
    </row>
    <row r="273">
      <c r="A273" s="105">
        <v>45929.0</v>
      </c>
      <c r="B273" s="79" t="str">
        <f>IFERROR(__xludf.DUMMYFUNCTION("""COMPUTED_VALUE"""),"BPF-CE-VSH-1A")</f>
        <v>BPF-CE-VSH-1A</v>
      </c>
      <c r="C273" s="102" t="s">
        <v>174</v>
      </c>
      <c r="D273" s="104"/>
      <c r="E273" s="104" t="str">
        <f>IFERROR(__xludf.DUMMYFUNCTION("""COMPUTED_VALUE"""),"")</f>
        <v/>
      </c>
      <c r="F273" s="98">
        <v>19.49</v>
      </c>
      <c r="G273" s="110"/>
      <c r="H273" s="100"/>
      <c r="I273" s="98"/>
      <c r="J273" s="98"/>
      <c r="K273" s="110"/>
      <c r="L273" s="104"/>
      <c r="M273" s="98" t="s">
        <v>39</v>
      </c>
      <c r="N273" s="103" t="str">
        <f>IFERROR(__xludf.DUMMYFUNCTION("""COMPUTED_VALUE"""),"")</f>
        <v/>
      </c>
      <c r="O273" s="104"/>
      <c r="P273" s="104"/>
      <c r="Q273" s="104"/>
      <c r="R273" s="104" t="s">
        <v>471</v>
      </c>
      <c r="S273" s="104"/>
      <c r="T273" s="104" t="s">
        <v>3847</v>
      </c>
      <c r="U273" s="104"/>
      <c r="V273" s="104" t="s">
        <v>3847</v>
      </c>
      <c r="W273" s="104"/>
    </row>
    <row r="274">
      <c r="A274" s="105">
        <v>45929.0</v>
      </c>
      <c r="B274" s="79" t="str">
        <f>IFERROR(__xludf.DUMMYFUNCTION("""COMPUTED_VALUE"""),"BPF-CE-VSH-1A-2")</f>
        <v>BPF-CE-VSH-1A-2</v>
      </c>
      <c r="C274" s="102" t="s">
        <v>470</v>
      </c>
      <c r="D274" s="104"/>
      <c r="E274" s="104" t="str">
        <f>IFERROR(__xludf.DUMMYFUNCTION("""COMPUTED_VALUE"""),"GA-PO-4-BL-1")</f>
        <v>GA-PO-4-BL-1</v>
      </c>
      <c r="F274" s="98">
        <v>19.49</v>
      </c>
      <c r="G274" s="110"/>
      <c r="H274" s="100"/>
      <c r="I274" s="98"/>
      <c r="J274" s="111"/>
      <c r="K274" s="110"/>
      <c r="L274" s="104"/>
      <c r="M274" s="98" t="s">
        <v>39</v>
      </c>
      <c r="N274" s="103" t="str">
        <f>IFERROR(__xludf.DUMMYFUNCTION("""COMPUTED_VALUE"""),"")</f>
        <v/>
      </c>
      <c r="O274" s="104"/>
      <c r="P274" s="104"/>
      <c r="Q274" s="104"/>
      <c r="R274" s="104" t="s">
        <v>472</v>
      </c>
      <c r="S274" s="104"/>
      <c r="T274" s="104" t="s">
        <v>3848</v>
      </c>
      <c r="U274" s="104"/>
      <c r="V274" s="104" t="s">
        <v>3848</v>
      </c>
      <c r="W274" s="104"/>
    </row>
    <row r="275">
      <c r="A275" s="105">
        <v>45929.0</v>
      </c>
      <c r="B275" s="79" t="str">
        <f>IFERROR(__xludf.DUMMYFUNCTION("""COMPUTED_VALUE"""),"BPF-CE-VSH-1A-3")</f>
        <v>BPF-CE-VSH-1A-3</v>
      </c>
      <c r="C275" s="102" t="s">
        <v>470</v>
      </c>
      <c r="D275" s="104"/>
      <c r="E275" s="104" t="str">
        <f>IFERROR(__xludf.DUMMYFUNCTION("""COMPUTED_VALUE"""),"")</f>
        <v/>
      </c>
      <c r="F275" s="98">
        <v>19.49</v>
      </c>
      <c r="G275" s="110"/>
      <c r="H275" s="100"/>
      <c r="I275" s="98"/>
      <c r="J275" s="111"/>
      <c r="K275" s="110"/>
      <c r="L275" s="104"/>
      <c r="M275" s="98" t="s">
        <v>39</v>
      </c>
      <c r="N275" s="103" t="str">
        <f>IFERROR(__xludf.DUMMYFUNCTION("""COMPUTED_VALUE"""),"")</f>
        <v/>
      </c>
      <c r="O275" s="104"/>
      <c r="P275" s="104"/>
      <c r="Q275" s="104"/>
      <c r="R275" s="104" t="s">
        <v>473</v>
      </c>
      <c r="S275" s="104"/>
      <c r="T275" s="104" t="s">
        <v>3849</v>
      </c>
      <c r="U275" s="104"/>
      <c r="V275" s="104" t="s">
        <v>3849</v>
      </c>
      <c r="W275" s="104"/>
    </row>
    <row r="276">
      <c r="A276" s="105">
        <v>45936.0</v>
      </c>
      <c r="B276" s="79" t="str">
        <f>IFERROR(__xludf.DUMMYFUNCTION("""COMPUTED_VALUE"""),"BPF-SE-SOT-1A")</f>
        <v>BPF-SE-SOT-1A</v>
      </c>
      <c r="C276" s="102" t="s">
        <v>470</v>
      </c>
      <c r="D276" s="104"/>
      <c r="E276" s="104" t="str">
        <f>IFERROR(__xludf.DUMMYFUNCTION("""COMPUTED_VALUE"""),"")</f>
        <v/>
      </c>
      <c r="F276" s="98">
        <v>4.06</v>
      </c>
      <c r="G276" s="110"/>
      <c r="H276" s="100"/>
      <c r="I276" s="98"/>
      <c r="J276" s="111"/>
      <c r="K276" s="110"/>
      <c r="L276" s="104"/>
      <c r="M276" s="98" t="s">
        <v>39</v>
      </c>
      <c r="N276" s="103" t="str">
        <f>IFERROR(__xludf.DUMMYFUNCTION("""COMPUTED_VALUE"""),"")</f>
        <v/>
      </c>
      <c r="O276" s="104"/>
      <c r="P276" s="104"/>
      <c r="Q276" s="104"/>
      <c r="R276" s="104" t="s">
        <v>475</v>
      </c>
      <c r="S276" s="104"/>
      <c r="T276" s="104" t="s">
        <v>3850</v>
      </c>
      <c r="U276" s="104"/>
      <c r="V276" s="104" t="s">
        <v>3850</v>
      </c>
      <c r="W276" s="104"/>
    </row>
    <row r="277">
      <c r="A277" s="105">
        <v>45936.0</v>
      </c>
      <c r="B277" s="79" t="str">
        <f>IFERROR(__xludf.DUMMYFUNCTION("""COMPUTED_VALUE"""),"BPF-SE-SOT-1A-2")</f>
        <v>BPF-SE-SOT-1A-2</v>
      </c>
      <c r="C277" s="102" t="s">
        <v>474</v>
      </c>
      <c r="D277" s="104"/>
      <c r="E277" s="104" t="str">
        <f>IFERROR(__xludf.DUMMYFUNCTION("""COMPUTED_VALUE"""),"")</f>
        <v/>
      </c>
      <c r="F277" s="98">
        <v>4.06</v>
      </c>
      <c r="G277" s="110"/>
      <c r="H277" s="100"/>
      <c r="I277" s="98"/>
      <c r="J277" s="111"/>
      <c r="K277" s="110"/>
      <c r="L277" s="104"/>
      <c r="M277" s="98" t="s">
        <v>39</v>
      </c>
      <c r="N277" s="103" t="str">
        <f>IFERROR(__xludf.DUMMYFUNCTION("""COMPUTED_VALUE"""),"")</f>
        <v/>
      </c>
      <c r="O277" s="104"/>
      <c r="P277" s="102" t="s">
        <v>1692</v>
      </c>
      <c r="Q277" s="104"/>
      <c r="R277" s="104" t="s">
        <v>476</v>
      </c>
      <c r="S277" s="104"/>
      <c r="T277" s="104" t="s">
        <v>3851</v>
      </c>
      <c r="U277" s="104"/>
      <c r="V277" s="104" t="s">
        <v>3851</v>
      </c>
      <c r="W277" s="104"/>
    </row>
    <row r="278">
      <c r="A278" s="105">
        <v>45936.0</v>
      </c>
      <c r="B278" s="79" t="str">
        <f>IFERROR(__xludf.DUMMYFUNCTION("""COMPUTED_VALUE"""),"BPF-SE-SOT-1A-3")</f>
        <v>BPF-SE-SOT-1A-3</v>
      </c>
      <c r="C278" s="102" t="s">
        <v>474</v>
      </c>
      <c r="D278" s="104"/>
      <c r="E278" s="104" t="str">
        <f>IFERROR(__xludf.DUMMYFUNCTION("""COMPUTED_VALUE"""),"")</f>
        <v/>
      </c>
      <c r="F278" s="98">
        <v>4.06</v>
      </c>
      <c r="G278" s="110"/>
      <c r="H278" s="100"/>
      <c r="I278" s="98"/>
      <c r="J278" s="98"/>
      <c r="K278" s="110"/>
      <c r="L278" s="104"/>
      <c r="M278" s="98" t="s">
        <v>39</v>
      </c>
      <c r="N278" s="103" t="str">
        <f>IFERROR(__xludf.DUMMYFUNCTION("""COMPUTED_VALUE"""),"")</f>
        <v/>
      </c>
      <c r="O278" s="104"/>
      <c r="P278" s="102" t="s">
        <v>1692</v>
      </c>
      <c r="Q278" s="104"/>
      <c r="R278" s="104" t="s">
        <v>477</v>
      </c>
      <c r="S278" s="104"/>
      <c r="T278" s="104" t="s">
        <v>3852</v>
      </c>
      <c r="U278" s="104"/>
      <c r="V278" s="104" t="s">
        <v>3852</v>
      </c>
      <c r="W278" s="104"/>
    </row>
    <row r="279">
      <c r="A279" s="105">
        <v>45872.0</v>
      </c>
      <c r="B279" s="79" t="str">
        <f>IFERROR(__xludf.DUMMYFUNCTION("""COMPUTED_VALUE"""),"WM-PH-SSW-1A")</f>
        <v>WM-PH-SSW-1A</v>
      </c>
      <c r="C279" s="102" t="s">
        <v>474</v>
      </c>
      <c r="D279" s="104"/>
      <c r="E279" s="104" t="str">
        <f>IFERROR(__xludf.DUMMYFUNCTION("""COMPUTED_VALUE"""),"NR-PO-5-BP-1")</f>
        <v>NR-PO-5-BP-1</v>
      </c>
      <c r="F279" s="98">
        <v>19.97</v>
      </c>
      <c r="G279" s="110"/>
      <c r="H279" s="100"/>
      <c r="I279" s="98"/>
      <c r="J279" s="111"/>
      <c r="K279" s="112">
        <v>6.0</v>
      </c>
      <c r="L279" s="104"/>
      <c r="M279" s="98">
        <v>6.0</v>
      </c>
      <c r="N279" s="103" t="str">
        <f>IFERROR(__xludf.DUMMYFUNCTION("""COMPUTED_VALUE"""),"")</f>
        <v/>
      </c>
      <c r="O279" s="104"/>
      <c r="P279" s="102" t="s">
        <v>1626</v>
      </c>
      <c r="Q279" s="104"/>
      <c r="R279" s="104" t="s">
        <v>480</v>
      </c>
      <c r="S279" s="104"/>
      <c r="T279" s="104" t="s">
        <v>3853</v>
      </c>
      <c r="U279" s="104"/>
      <c r="V279" s="104" t="s">
        <v>3853</v>
      </c>
      <c r="W279" s="104"/>
    </row>
    <row r="280">
      <c r="A280" s="105">
        <v>45965.0</v>
      </c>
      <c r="B280" s="79" t="str">
        <f>IFERROR(__xludf.DUMMYFUNCTION("""COMPUTED_VALUE"""),"IST-AE-LP-1A")</f>
        <v>IST-AE-LP-1A</v>
      </c>
      <c r="C280" s="104"/>
      <c r="D280" s="104"/>
      <c r="E280" s="104" t="str">
        <f>IFERROR(__xludf.DUMMYFUNCTION("""COMPUTED_VALUE"""),"GA-PO-6-WH-1")</f>
        <v>GA-PO-6-WH-1</v>
      </c>
      <c r="F280" s="98">
        <v>0.0</v>
      </c>
      <c r="G280" s="110"/>
      <c r="H280" s="100"/>
      <c r="I280" s="98"/>
      <c r="J280" s="98"/>
      <c r="K280" s="110"/>
      <c r="L280" s="104"/>
      <c r="M280" s="98" t="s">
        <v>39</v>
      </c>
      <c r="N280" s="103" t="str">
        <f>IFERROR(__xludf.DUMMYFUNCTION("""COMPUTED_VALUE"""),"")</f>
        <v/>
      </c>
      <c r="O280" s="104"/>
      <c r="P280" s="102" t="s">
        <v>1481</v>
      </c>
      <c r="Q280" s="104"/>
      <c r="R280" s="104" t="s">
        <v>484</v>
      </c>
      <c r="S280" s="104"/>
      <c r="T280" s="104" t="s">
        <v>3854</v>
      </c>
      <c r="U280" s="104"/>
      <c r="V280" s="104" t="s">
        <v>3854</v>
      </c>
      <c r="W280" s="104"/>
    </row>
    <row r="281">
      <c r="A281" s="105">
        <v>45965.0</v>
      </c>
      <c r="B281" s="79" t="str">
        <f>IFERROR(__xludf.DUMMYFUNCTION("""COMPUTED_VALUE"""),"IST-BE-SC-1A")</f>
        <v>IST-BE-SC-1A</v>
      </c>
      <c r="C281" s="104"/>
      <c r="D281" s="104"/>
      <c r="E281" s="104" t="str">
        <f>IFERROR(__xludf.DUMMYFUNCTION("""COMPUTED_VALUE"""),"GA-PO-6-WH-1")</f>
        <v>GA-PO-6-WH-1</v>
      </c>
      <c r="F281" s="98">
        <v>8.0</v>
      </c>
      <c r="G281" s="110"/>
      <c r="H281" s="100"/>
      <c r="I281" s="98"/>
      <c r="J281" s="98"/>
      <c r="K281" s="110"/>
      <c r="L281" s="104"/>
      <c r="M281" s="98" t="s">
        <v>39</v>
      </c>
      <c r="N281" s="103" t="str">
        <f>IFERROR(__xludf.DUMMYFUNCTION("""COMPUTED_VALUE"""),"")</f>
        <v/>
      </c>
      <c r="O281" s="104"/>
      <c r="P281" s="104"/>
      <c r="Q281" s="104"/>
      <c r="R281" s="102" t="s">
        <v>486</v>
      </c>
      <c r="S281" s="104"/>
      <c r="T281" s="104" t="s">
        <v>3855</v>
      </c>
      <c r="U281" s="104"/>
      <c r="V281" s="104" t="s">
        <v>3855</v>
      </c>
      <c r="W281" s="104"/>
    </row>
    <row r="282">
      <c r="A282" s="105">
        <v>45965.0</v>
      </c>
      <c r="B282" s="79" t="str">
        <f>IFERROR(__xludf.DUMMYFUNCTION("""COMPUTED_VALUE"""),"IST-PO-MQ-1A")</f>
        <v>IST-PO-MQ-1A</v>
      </c>
      <c r="C282" s="104"/>
      <c r="D282" s="104"/>
      <c r="E282" s="104" t="str">
        <f>IFERROR(__xludf.DUMMYFUNCTION("""COMPUTED_VALUE"""),"NR-PO-8-PBP-1")</f>
        <v>NR-PO-8-PBP-1</v>
      </c>
      <c r="F282" s="98">
        <v>8.0</v>
      </c>
      <c r="G282" s="110"/>
      <c r="H282" s="100"/>
      <c r="I282" s="98"/>
      <c r="J282" s="98"/>
      <c r="K282" s="110"/>
      <c r="L282" s="104"/>
      <c r="M282" s="98" t="s">
        <v>39</v>
      </c>
      <c r="N282" s="103" t="str">
        <f>IFERROR(__xludf.DUMMYFUNCTION("""COMPUTED_VALUE"""),"")</f>
        <v/>
      </c>
      <c r="O282" s="104"/>
      <c r="P282" s="104"/>
      <c r="Q282" s="104"/>
      <c r="R282" s="104" t="s">
        <v>488</v>
      </c>
      <c r="S282" s="104"/>
      <c r="T282" s="104" t="s">
        <v>3856</v>
      </c>
      <c r="U282" s="104"/>
      <c r="V282" s="104" t="s">
        <v>3856</v>
      </c>
      <c r="W282" s="104"/>
    </row>
    <row r="283">
      <c r="A283" s="105">
        <v>45965.0</v>
      </c>
      <c r="B283" s="79" t="str">
        <f>IFERROR(__xludf.DUMMYFUNCTION("""COMPUTED_VALUE"""),"IST-PH-WP-1A")</f>
        <v>IST-PH-WP-1A</v>
      </c>
      <c r="C283" s="104"/>
      <c r="D283" s="104"/>
      <c r="E283" s="104" t="str">
        <f>IFERROR(__xludf.DUMMYFUNCTION("""COMPUTED_VALUE"""),"GA-PO-6-WH-1")</f>
        <v>GA-PO-6-WH-1</v>
      </c>
      <c r="F283" s="98">
        <v>10.0</v>
      </c>
      <c r="G283" s="110"/>
      <c r="H283" s="100"/>
      <c r="I283" s="98"/>
      <c r="J283" s="98"/>
      <c r="K283" s="110"/>
      <c r="L283" s="104"/>
      <c r="M283" s="98" t="s">
        <v>39</v>
      </c>
      <c r="N283" s="103" t="str">
        <f>IFERROR(__xludf.DUMMYFUNCTION("""COMPUTED_VALUE"""),"")</f>
        <v/>
      </c>
      <c r="O283" s="104"/>
      <c r="P283" s="104"/>
      <c r="Q283" s="104"/>
      <c r="R283" s="104" t="s">
        <v>489</v>
      </c>
      <c r="S283" s="104"/>
      <c r="T283" s="104" t="s">
        <v>3857</v>
      </c>
      <c r="U283" s="104"/>
      <c r="V283" s="104" t="s">
        <v>3857</v>
      </c>
      <c r="W283" s="104"/>
    </row>
    <row r="284">
      <c r="A284" s="105">
        <v>45965.0</v>
      </c>
      <c r="B284" s="79" t="str">
        <f>IFERROR(__xludf.DUMMYFUNCTION("""COMPUTED_VALUE"""),"IST-PH-RFV-1A")</f>
        <v>IST-PH-RFV-1A</v>
      </c>
      <c r="C284" s="104"/>
      <c r="D284" s="104"/>
      <c r="E284" s="104" t="str">
        <f>IFERROR(__xludf.DUMMYFUNCTION("""COMPUTED_VALUE"""),"GA-PO-6-WH-1")</f>
        <v>GA-PO-6-WH-1</v>
      </c>
      <c r="F284" s="98">
        <v>12.0</v>
      </c>
      <c r="G284" s="110"/>
      <c r="H284" s="100"/>
      <c r="I284" s="98"/>
      <c r="J284" s="98"/>
      <c r="K284" s="110"/>
      <c r="L284" s="104"/>
      <c r="M284" s="98" t="s">
        <v>39</v>
      </c>
      <c r="N284" s="103" t="str">
        <f>IFERROR(__xludf.DUMMYFUNCTION("""COMPUTED_VALUE"""),"")</f>
        <v/>
      </c>
      <c r="O284" s="104"/>
      <c r="P284" s="104"/>
      <c r="Q284" s="104"/>
      <c r="R284" s="104" t="s">
        <v>491</v>
      </c>
      <c r="S284" s="104">
        <v>20.0</v>
      </c>
      <c r="T284" s="104" t="s">
        <v>3858</v>
      </c>
      <c r="U284" s="104"/>
      <c r="V284" s="104" t="s">
        <v>3858</v>
      </c>
      <c r="W284" s="104"/>
    </row>
    <row r="285">
      <c r="A285" s="105">
        <v>45966.0</v>
      </c>
      <c r="B285" s="79" t="str">
        <f>IFERROR(__xludf.DUMMYFUNCTION("""COMPUTED_VALUE"""),"TLC-BE-GI-1A")</f>
        <v>TLC-BE-GI-1A</v>
      </c>
      <c r="C285" s="104"/>
      <c r="D285" s="104"/>
      <c r="E285" s="104" t="str">
        <f>IFERROR(__xludf.DUMMYFUNCTION("""COMPUTED_VALUE"""),"MU-PO-4-WH-1")</f>
        <v>MU-PO-4-WH-1</v>
      </c>
      <c r="F285" s="98">
        <v>16.0</v>
      </c>
      <c r="G285" s="110"/>
      <c r="H285" s="100"/>
      <c r="I285" s="98"/>
      <c r="J285" s="98"/>
      <c r="K285" s="110"/>
      <c r="L285" s="104"/>
      <c r="M285" s="98" t="s">
        <v>39</v>
      </c>
      <c r="N285" s="103" t="str">
        <f>IFERROR(__xludf.DUMMYFUNCTION("""COMPUTED_VALUE"""),"")</f>
        <v/>
      </c>
      <c r="O285" s="104"/>
      <c r="P285" s="104"/>
      <c r="Q285" s="104"/>
      <c r="R285" s="104" t="s">
        <v>493</v>
      </c>
      <c r="S285" s="104"/>
      <c r="T285" s="104" t="s">
        <v>3859</v>
      </c>
      <c r="U285" s="104"/>
      <c r="V285" s="104" t="s">
        <v>3859</v>
      </c>
      <c r="W285" s="104"/>
    </row>
    <row r="286">
      <c r="A286" s="105">
        <v>45966.0</v>
      </c>
      <c r="B286" s="79" t="str">
        <f>IFERROR(__xludf.DUMMYFUNCTION("""COMPUTED_VALUE"""),"TLC-PH-BXP-1A")</f>
        <v>TLC-PH-BXP-1A</v>
      </c>
      <c r="C286" s="104"/>
      <c r="D286" s="104"/>
      <c r="E286" s="104" t="str">
        <f>IFERROR(__xludf.DUMMYFUNCTION("""COMPUTED_VALUE"""),"GA-PO-4-WH-1")</f>
        <v>GA-PO-4-WH-1</v>
      </c>
      <c r="F286" s="98">
        <v>12.0</v>
      </c>
      <c r="G286" s="110"/>
      <c r="H286" s="100"/>
      <c r="I286" s="98"/>
      <c r="J286" s="98"/>
      <c r="K286" s="110"/>
      <c r="L286" s="104"/>
      <c r="M286" s="98" t="s">
        <v>39</v>
      </c>
      <c r="N286" s="103" t="str">
        <f>IFERROR(__xludf.DUMMYFUNCTION("""COMPUTED_VALUE"""),"")</f>
        <v/>
      </c>
      <c r="O286" s="104"/>
      <c r="P286" s="104"/>
      <c r="Q286" s="104"/>
      <c r="R286" s="104" t="s">
        <v>495</v>
      </c>
      <c r="S286" s="104"/>
      <c r="T286" s="104" t="s">
        <v>3860</v>
      </c>
      <c r="U286" s="104"/>
      <c r="V286" s="104" t="s">
        <v>3860</v>
      </c>
      <c r="W286" s="104"/>
    </row>
    <row r="287">
      <c r="A287" s="105">
        <v>45966.0</v>
      </c>
      <c r="B287" s="79" t="str">
        <f>IFERROR(__xludf.DUMMYFUNCTION("""COMPUTED_VALUE"""),"TLC-PH-GCN-1A")</f>
        <v>TLC-PH-GCN-1A</v>
      </c>
      <c r="C287" s="104"/>
      <c r="D287" s="104"/>
      <c r="E287" s="104" t="str">
        <f>IFERROR(__xludf.DUMMYFUNCTION("""COMPUTED_VALUE"""),"GA-PO-4-BL-1")</f>
        <v>GA-PO-4-BL-1</v>
      </c>
      <c r="F287" s="98">
        <v>8.0</v>
      </c>
      <c r="G287" s="110"/>
      <c r="H287" s="100"/>
      <c r="I287" s="98"/>
      <c r="J287" s="98"/>
      <c r="K287" s="110"/>
      <c r="L287" s="104"/>
      <c r="M287" s="98" t="s">
        <v>39</v>
      </c>
      <c r="N287" s="103" t="str">
        <f>IFERROR(__xludf.DUMMYFUNCTION("""COMPUTED_VALUE"""),"")</f>
        <v/>
      </c>
      <c r="O287" s="104"/>
      <c r="P287" s="104"/>
      <c r="Q287" s="104"/>
      <c r="R287" s="104" t="s">
        <v>496</v>
      </c>
      <c r="S287" s="104"/>
      <c r="T287" s="104" t="s">
        <v>3861</v>
      </c>
      <c r="U287" s="104"/>
      <c r="V287" s="104" t="s">
        <v>3861</v>
      </c>
      <c r="W287" s="104"/>
    </row>
    <row r="288">
      <c r="A288" s="105">
        <v>45966.0</v>
      </c>
      <c r="B288" s="79" t="str">
        <f>IFERROR(__xludf.DUMMYFUNCTION("""COMPUTED_VALUE"""),"TLC-BE-BLM-1A")</f>
        <v>TLC-BE-BLM-1A</v>
      </c>
      <c r="C288" s="104"/>
      <c r="D288" s="104"/>
      <c r="E288" s="104" t="str">
        <f>IFERROR(__xludf.DUMMYFUNCTION("""COMPUTED_VALUE"""),"GA-PO-4-BL-1")</f>
        <v>GA-PO-4-BL-1</v>
      </c>
      <c r="F288" s="98">
        <v>20.0</v>
      </c>
      <c r="G288" s="110"/>
      <c r="H288" s="100"/>
      <c r="I288" s="98"/>
      <c r="J288" s="98"/>
      <c r="K288" s="110"/>
      <c r="L288" s="104"/>
      <c r="M288" s="98" t="s">
        <v>39</v>
      </c>
      <c r="N288" s="103" t="str">
        <f>IFERROR(__xludf.DUMMYFUNCTION("""COMPUTED_VALUE"""),"")</f>
        <v/>
      </c>
      <c r="O288" s="104"/>
      <c r="P288" s="104"/>
      <c r="Q288" s="104"/>
      <c r="R288" s="104" t="s">
        <v>498</v>
      </c>
      <c r="S288" s="104"/>
      <c r="T288" s="104" t="s">
        <v>3862</v>
      </c>
      <c r="U288" s="104"/>
      <c r="V288" s="104" t="s">
        <v>3862</v>
      </c>
      <c r="W288" s="104"/>
    </row>
    <row r="289">
      <c r="A289" s="105">
        <v>45966.0</v>
      </c>
      <c r="B289" s="79" t="str">
        <f>IFERROR(__xludf.DUMMYFUNCTION("""COMPUTED_VALUE"""),"TLC-BE-BR-1A")</f>
        <v>TLC-BE-BR-1A</v>
      </c>
      <c r="C289" s="104"/>
      <c r="D289" s="104"/>
      <c r="E289" s="104" t="str">
        <f>IFERROR(__xludf.DUMMYFUNCTION("""COMPUTED_VALUE"""),"MU-PO-3-MU-1")</f>
        <v>MU-PO-3-MU-1</v>
      </c>
      <c r="F289" s="98">
        <v>10.0</v>
      </c>
      <c r="G289" s="110"/>
      <c r="H289" s="100"/>
      <c r="I289" s="98"/>
      <c r="J289" s="98"/>
      <c r="K289" s="110"/>
      <c r="L289" s="104"/>
      <c r="M289" s="98" t="s">
        <v>39</v>
      </c>
      <c r="N289" s="103" t="str">
        <f>IFERROR(__xludf.DUMMYFUNCTION("""COMPUTED_VALUE"""),"")</f>
        <v/>
      </c>
      <c r="O289" s="104"/>
      <c r="P289" s="104"/>
      <c r="Q289" s="104"/>
      <c r="R289" s="104" t="s">
        <v>500</v>
      </c>
      <c r="S289" s="104"/>
      <c r="T289" s="104" t="s">
        <v>3863</v>
      </c>
      <c r="U289" s="104"/>
      <c r="V289" s="104" t="s">
        <v>3863</v>
      </c>
      <c r="W289" s="104"/>
    </row>
    <row r="290">
      <c r="A290" s="105">
        <v>45966.0</v>
      </c>
      <c r="B290" s="79" t="str">
        <f>IFERROR(__xludf.DUMMYFUNCTION("""COMPUTED_VALUE"""),"TLC-BE-MAC-1A")</f>
        <v>TLC-BE-MAC-1A</v>
      </c>
      <c r="C290" s="104"/>
      <c r="D290" s="104"/>
      <c r="E290" s="104" t="str">
        <f>IFERROR(__xludf.DUMMYFUNCTION("""COMPUTED_VALUE"""),"MU-PO-3-MU-1")</f>
        <v>MU-PO-3-MU-1</v>
      </c>
      <c r="F290" s="98">
        <v>8.0</v>
      </c>
      <c r="G290" s="110"/>
      <c r="H290" s="100"/>
      <c r="I290" s="98"/>
      <c r="J290" s="98"/>
      <c r="K290" s="110"/>
      <c r="L290" s="104"/>
      <c r="M290" s="98" t="s">
        <v>39</v>
      </c>
      <c r="N290" s="103" t="str">
        <f>IFERROR(__xludf.DUMMYFUNCTION("""COMPUTED_VALUE"""),"")</f>
        <v/>
      </c>
      <c r="O290" s="104"/>
      <c r="P290" s="104"/>
      <c r="Q290" s="104"/>
      <c r="R290" s="104" t="s">
        <v>502</v>
      </c>
      <c r="S290" s="104"/>
      <c r="T290" s="104" t="s">
        <v>3864</v>
      </c>
      <c r="U290" s="104"/>
      <c r="V290" s="104" t="s">
        <v>3864</v>
      </c>
      <c r="W290" s="104"/>
    </row>
    <row r="291">
      <c r="A291" s="105">
        <v>45966.0</v>
      </c>
      <c r="B291" s="79" t="str">
        <f>IFERROR(__xludf.DUMMYFUNCTION("""COMPUTED_VALUE"""),"TLC-BE-SLC-1A")</f>
        <v>TLC-BE-SLC-1A</v>
      </c>
      <c r="C291" s="104"/>
      <c r="D291" s="104"/>
      <c r="E291" s="104" t="str">
        <f>IFERROR(__xludf.DUMMYFUNCTION("""COMPUTED_VALUE"""),"GA-PO-6-BL-1")</f>
        <v>GA-PO-6-BL-1</v>
      </c>
      <c r="F291" s="98">
        <v>22.0</v>
      </c>
      <c r="G291" s="110"/>
      <c r="H291" s="100"/>
      <c r="I291" s="98"/>
      <c r="J291" s="98"/>
      <c r="K291" s="110"/>
      <c r="L291" s="104"/>
      <c r="M291" s="98" t="s">
        <v>39</v>
      </c>
      <c r="N291" s="103" t="str">
        <f>IFERROR(__xludf.DUMMYFUNCTION("""COMPUTED_VALUE"""),"")</f>
        <v/>
      </c>
      <c r="O291" s="104"/>
      <c r="P291" s="104"/>
      <c r="Q291" s="104"/>
      <c r="R291" s="104" t="s">
        <v>504</v>
      </c>
      <c r="S291" s="104"/>
      <c r="T291" s="104" t="s">
        <v>3865</v>
      </c>
      <c r="U291" s="104"/>
      <c r="V291" s="104" t="s">
        <v>3865</v>
      </c>
      <c r="W291" s="104"/>
    </row>
    <row r="292">
      <c r="A292" s="105">
        <v>45968.0</v>
      </c>
      <c r="B292" s="79" t="str">
        <f>IFERROR(__xludf.DUMMYFUNCTION("""COMPUTED_VALUE"""),"SS-PIN-BU-1A")</f>
        <v>SS-PIN-BU-1A</v>
      </c>
      <c r="C292" s="104"/>
      <c r="D292" s="104"/>
      <c r="E292" s="104" t="str">
        <f>IFERROR(__xludf.DUMMYFUNCTION("""COMPUTED_VALUE"""),"")</f>
        <v/>
      </c>
      <c r="F292" s="98">
        <v>5.5</v>
      </c>
      <c r="G292" s="110"/>
      <c r="H292" s="100"/>
      <c r="I292" s="98"/>
      <c r="J292" s="98"/>
      <c r="K292" s="110"/>
      <c r="L292" s="104"/>
      <c r="M292" s="98" t="s">
        <v>39</v>
      </c>
      <c r="N292" s="103" t="str">
        <f>IFERROR(__xludf.DUMMYFUNCTION("""COMPUTED_VALUE"""),"")</f>
        <v/>
      </c>
      <c r="O292" s="104"/>
      <c r="P292" s="104"/>
      <c r="Q292" s="104"/>
      <c r="R292" s="104" t="s">
        <v>510</v>
      </c>
      <c r="S292" s="104">
        <v>11.0</v>
      </c>
      <c r="T292" s="104" t="s">
        <v>3866</v>
      </c>
      <c r="U292" s="104"/>
      <c r="V292" s="104" t="s">
        <v>3866</v>
      </c>
      <c r="W292" s="104"/>
    </row>
    <row r="293">
      <c r="A293" s="105">
        <v>45968.0</v>
      </c>
      <c r="B293" s="79" t="str">
        <f>IFERROR(__xludf.DUMMYFUNCTION("""COMPUTED_VALUE"""),"AGP-PH-CHE-1A")</f>
        <v>AGP-PH-CHE-1A</v>
      </c>
      <c r="C293" s="104"/>
      <c r="D293" s="104"/>
      <c r="E293" s="104" t="str">
        <f>IFERROR(__xludf.DUMMYFUNCTION("""COMPUTED_VALUE"""),"")</f>
        <v/>
      </c>
      <c r="F293" s="98">
        <v>12.25</v>
      </c>
      <c r="G293" s="110"/>
      <c r="H293" s="100"/>
      <c r="I293" s="98"/>
      <c r="J293" s="111"/>
      <c r="K293" s="112">
        <v>15.0</v>
      </c>
      <c r="L293" s="104"/>
      <c r="M293" s="98">
        <v>15.0</v>
      </c>
      <c r="N293" s="103" t="str">
        <f>IFERROR(__xludf.DUMMYFUNCTION("""COMPUTED_VALUE"""),"")</f>
        <v/>
      </c>
      <c r="O293" s="104"/>
      <c r="P293" s="102" t="s">
        <v>1626</v>
      </c>
      <c r="Q293" s="104"/>
      <c r="R293" s="104" t="s">
        <v>512</v>
      </c>
      <c r="S293" s="104">
        <v>22.0</v>
      </c>
      <c r="T293" s="104" t="s">
        <v>3867</v>
      </c>
      <c r="U293" s="104"/>
      <c r="V293" s="104" t="s">
        <v>3867</v>
      </c>
      <c r="W293" s="104"/>
    </row>
    <row r="294">
      <c r="A294" s="105">
        <v>45968.0</v>
      </c>
      <c r="B294" s="79" t="str">
        <f>IFERROR(__xludf.DUMMYFUNCTION("""COMPUTED_VALUE"""),"AGP-PH-CHE-1A-2")</f>
        <v>AGP-PH-CHE-1A-2</v>
      </c>
      <c r="C294" s="104"/>
      <c r="D294" s="104"/>
      <c r="E294" s="104" t="str">
        <f>IFERROR(__xludf.DUMMYFUNCTION("""COMPUTED_VALUE"""),"")</f>
        <v/>
      </c>
      <c r="F294" s="98">
        <v>12.25</v>
      </c>
      <c r="G294" s="110"/>
      <c r="H294" s="100"/>
      <c r="I294" s="98"/>
      <c r="J294" s="111"/>
      <c r="K294" s="110"/>
      <c r="L294" s="104"/>
      <c r="M294" s="98" t="s">
        <v>39</v>
      </c>
      <c r="N294" s="103" t="str">
        <f>IFERROR(__xludf.DUMMYFUNCTION("""COMPUTED_VALUE"""),"")</f>
        <v/>
      </c>
      <c r="O294" s="104"/>
      <c r="P294" s="104"/>
      <c r="Q294" s="104"/>
      <c r="R294" s="104" t="s">
        <v>513</v>
      </c>
      <c r="S294" s="104">
        <v>22.0</v>
      </c>
      <c r="T294" s="104" t="s">
        <v>3868</v>
      </c>
      <c r="U294" s="104"/>
      <c r="V294" s="104" t="s">
        <v>3868</v>
      </c>
      <c r="W294" s="104"/>
    </row>
    <row r="295">
      <c r="A295" s="105">
        <v>45968.0</v>
      </c>
      <c r="B295" s="79" t="str">
        <f>IFERROR(__xludf.DUMMYFUNCTION("""COMPUTED_VALUE"""),"AGP-PH-SD-1A")</f>
        <v>AGP-PH-SD-1A</v>
      </c>
      <c r="C295" s="104"/>
      <c r="D295" s="104"/>
      <c r="E295" s="104" t="str">
        <f>IFERROR(__xludf.DUMMYFUNCTION("""COMPUTED_VALUE"""),"MU-PO-4-WH-1")</f>
        <v>MU-PO-4-WH-1</v>
      </c>
      <c r="F295" s="98">
        <v>16.5</v>
      </c>
      <c r="G295" s="110"/>
      <c r="H295" s="100"/>
      <c r="I295" s="98"/>
      <c r="J295" s="111"/>
      <c r="K295" s="112"/>
      <c r="L295" s="104"/>
      <c r="M295" s="98" t="s">
        <v>39</v>
      </c>
      <c r="N295" s="103" t="str">
        <f>IFERROR(__xludf.DUMMYFUNCTION("""COMPUTED_VALUE"""),"")</f>
        <v/>
      </c>
      <c r="O295" s="104"/>
      <c r="P295" s="102"/>
      <c r="Q295" s="104"/>
      <c r="R295" s="104" t="s">
        <v>514</v>
      </c>
      <c r="S295" s="104">
        <v>40.0</v>
      </c>
      <c r="T295" s="104" t="s">
        <v>3869</v>
      </c>
      <c r="U295" s="104"/>
      <c r="V295" s="104" t="s">
        <v>3869</v>
      </c>
      <c r="W295" s="104"/>
    </row>
    <row r="296">
      <c r="A296" s="105">
        <v>45968.0</v>
      </c>
      <c r="B296" s="79" t="str">
        <f>IFERROR(__xludf.DUMMYFUNCTION("""COMPUTED_VALUE"""),"AGP-PH-SD-1A-2")</f>
        <v>AGP-PH-SD-1A-2</v>
      </c>
      <c r="C296" s="104"/>
      <c r="D296" s="104"/>
      <c r="E296" s="104" t="str">
        <f>IFERROR(__xludf.DUMMYFUNCTION("""COMPUTED_VALUE"""),"MU-PO-3-MU-1")</f>
        <v>MU-PO-3-MU-1</v>
      </c>
      <c r="F296" s="98">
        <v>16.5</v>
      </c>
      <c r="G296" s="110"/>
      <c r="H296" s="100"/>
      <c r="I296" s="98"/>
      <c r="J296" s="111"/>
      <c r="K296" s="110"/>
      <c r="L296" s="104"/>
      <c r="M296" s="98" t="s">
        <v>39</v>
      </c>
      <c r="N296" s="103" t="str">
        <f>IFERROR(__xludf.DUMMYFUNCTION("""COMPUTED_VALUE"""),"")</f>
        <v/>
      </c>
      <c r="O296" s="104"/>
      <c r="P296" s="104"/>
      <c r="Q296" s="104"/>
      <c r="R296" s="104" t="s">
        <v>515</v>
      </c>
      <c r="S296" s="104">
        <v>40.0</v>
      </c>
      <c r="T296" s="104" t="s">
        <v>3870</v>
      </c>
      <c r="U296" s="104"/>
      <c r="V296" s="104" t="s">
        <v>3870</v>
      </c>
      <c r="W296" s="104"/>
    </row>
    <row r="297">
      <c r="A297" s="105">
        <v>45968.0</v>
      </c>
      <c r="B297" s="79" t="str">
        <f>IFERROR(__xludf.DUMMYFUNCTION("""COMPUTED_VALUE"""),"AGP-SYN-EC-1A")</f>
        <v>AGP-SYN-EC-1A</v>
      </c>
      <c r="C297" s="104"/>
      <c r="D297" s="104"/>
      <c r="E297" s="104" t="str">
        <f>IFERROR(__xludf.DUMMYFUNCTION("""COMPUTED_VALUE"""),"GA-PO-4-BL-1")</f>
        <v>GA-PO-4-BL-1</v>
      </c>
      <c r="F297" s="98">
        <v>8.25</v>
      </c>
      <c r="G297" s="110"/>
      <c r="H297" s="100"/>
      <c r="I297" s="98"/>
      <c r="J297" s="111"/>
      <c r="K297" s="110"/>
      <c r="L297" s="104"/>
      <c r="M297" s="98" t="s">
        <v>39</v>
      </c>
      <c r="N297" s="103" t="str">
        <f>IFERROR(__xludf.DUMMYFUNCTION("""COMPUTED_VALUE"""),"")</f>
        <v/>
      </c>
      <c r="O297" s="104"/>
      <c r="P297" s="104"/>
      <c r="Q297" s="104"/>
      <c r="R297" s="104" t="s">
        <v>517</v>
      </c>
      <c r="S297" s="104">
        <v>64.0</v>
      </c>
      <c r="T297" s="104" t="s">
        <v>3871</v>
      </c>
      <c r="U297" s="104"/>
      <c r="V297" s="104" t="s">
        <v>3871</v>
      </c>
      <c r="W297" s="104"/>
    </row>
    <row r="298">
      <c r="A298" s="105">
        <v>45968.0</v>
      </c>
      <c r="B298" s="79" t="str">
        <f>IFERROR(__xludf.DUMMYFUNCTION("""COMPUTED_VALUE"""),"AGP-PH-GX-1A")</f>
        <v>AGP-PH-GX-1A</v>
      </c>
      <c r="C298" s="104"/>
      <c r="D298" s="104"/>
      <c r="E298" s="104" t="str">
        <f>IFERROR(__xludf.DUMMYFUNCTION("""COMPUTED_VALUE"""),"")</f>
        <v/>
      </c>
      <c r="F298" s="98">
        <v>12.25</v>
      </c>
      <c r="G298" s="110"/>
      <c r="H298" s="100"/>
      <c r="I298" s="98"/>
      <c r="J298" s="111"/>
      <c r="K298" s="110"/>
      <c r="L298" s="104"/>
      <c r="M298" s="98" t="s">
        <v>39</v>
      </c>
      <c r="N298" s="103" t="str">
        <f>IFERROR(__xludf.DUMMYFUNCTION("""COMPUTED_VALUE"""),"")</f>
        <v/>
      </c>
      <c r="O298" s="104"/>
      <c r="P298" s="104"/>
      <c r="Q298" s="104"/>
      <c r="R298" s="104" t="s">
        <v>519</v>
      </c>
      <c r="S298" s="104">
        <v>25.0</v>
      </c>
      <c r="T298" s="104" t="s">
        <v>3872</v>
      </c>
      <c r="U298" s="104"/>
      <c r="V298" s="104" t="s">
        <v>3872</v>
      </c>
      <c r="W298" s="104"/>
    </row>
    <row r="299">
      <c r="A299" s="105">
        <v>45968.0</v>
      </c>
      <c r="B299" s="79" t="str">
        <f>IFERROR(__xludf.DUMMYFUNCTION("""COMPUTED_VALUE"""),"AGP-PH-GX-1A-2")</f>
        <v>AGP-PH-GX-1A-2</v>
      </c>
      <c r="C299" s="104"/>
      <c r="D299" s="104"/>
      <c r="E299" s="104" t="str">
        <f>IFERROR(__xludf.DUMMYFUNCTION("""COMPUTED_VALUE"""),"")</f>
        <v/>
      </c>
      <c r="F299" s="98">
        <v>12.25</v>
      </c>
      <c r="G299" s="110"/>
      <c r="H299" s="100"/>
      <c r="I299" s="98"/>
      <c r="J299" s="111"/>
      <c r="K299" s="112">
        <v>30.0</v>
      </c>
      <c r="L299" s="104"/>
      <c r="M299" s="98">
        <v>30.0</v>
      </c>
      <c r="N299" s="103" t="str">
        <f>IFERROR(__xludf.DUMMYFUNCTION("""COMPUTED_VALUE"""),"")</f>
        <v/>
      </c>
      <c r="O299" s="104"/>
      <c r="P299" s="102" t="s">
        <v>1626</v>
      </c>
      <c r="Q299" s="104"/>
      <c r="R299" s="104" t="s">
        <v>520</v>
      </c>
      <c r="S299" s="104">
        <v>25.0</v>
      </c>
      <c r="T299" s="104" t="s">
        <v>3873</v>
      </c>
      <c r="U299" s="104"/>
      <c r="V299" s="104" t="s">
        <v>3873</v>
      </c>
      <c r="W299" s="104"/>
    </row>
    <row r="300">
      <c r="A300" s="105">
        <v>45968.0</v>
      </c>
      <c r="B300" s="79" t="str">
        <f>IFERROR(__xludf.DUMMYFUNCTION("""COMPUTED_VALUE"""),"AGP-PH-ROF-1A")</f>
        <v>AGP-PH-ROF-1A</v>
      </c>
      <c r="C300" s="104"/>
      <c r="D300" s="104"/>
      <c r="E300" s="104" t="str">
        <f>IFERROR(__xludf.DUMMYFUNCTION("""COMPUTED_VALUE"""),"GA-PO-4-BL-1")</f>
        <v>GA-PO-4-BL-1</v>
      </c>
      <c r="F300" s="98">
        <v>1.6</v>
      </c>
      <c r="G300" s="110"/>
      <c r="H300" s="100"/>
      <c r="I300" s="98"/>
      <c r="J300" s="111"/>
      <c r="K300" s="112">
        <v>25.0</v>
      </c>
      <c r="L300" s="104"/>
      <c r="M300" s="98">
        <v>25.0</v>
      </c>
      <c r="N300" s="103" t="str">
        <f>IFERROR(__xludf.DUMMYFUNCTION("""COMPUTED_VALUE"""),"")</f>
        <v/>
      </c>
      <c r="O300" s="104"/>
      <c r="P300" s="102" t="s">
        <v>1626</v>
      </c>
      <c r="Q300" s="104"/>
      <c r="R300" s="104" t="s">
        <v>521</v>
      </c>
      <c r="S300" s="104">
        <v>15.0</v>
      </c>
      <c r="T300" s="104" t="s">
        <v>3874</v>
      </c>
      <c r="U300" s="104"/>
      <c r="V300" s="104" t="s">
        <v>3874</v>
      </c>
      <c r="W300" s="104"/>
    </row>
    <row r="301">
      <c r="A301" s="105">
        <v>45968.0</v>
      </c>
      <c r="B301" s="79" t="str">
        <f>IFERROR(__xludf.DUMMYFUNCTION("""COMPUTED_VALUE"""),"AGP-PH-ROF-1A-2")</f>
        <v>AGP-PH-ROF-1A-2</v>
      </c>
      <c r="C301" s="104"/>
      <c r="D301" s="104"/>
      <c r="E301" s="104" t="str">
        <f>IFERROR(__xludf.DUMMYFUNCTION("""COMPUTED_VALUE"""),"GA-PO-6-WH-1")</f>
        <v>GA-PO-6-WH-1</v>
      </c>
      <c r="F301" s="98">
        <v>8.0</v>
      </c>
      <c r="G301" s="110"/>
      <c r="H301" s="100"/>
      <c r="I301" s="98"/>
      <c r="J301" s="98"/>
      <c r="K301" s="110"/>
      <c r="L301" s="104"/>
      <c r="M301" s="98" t="s">
        <v>39</v>
      </c>
      <c r="N301" s="103" t="str">
        <f>IFERROR(__xludf.DUMMYFUNCTION("""COMPUTED_VALUE"""),"")</f>
        <v/>
      </c>
      <c r="O301" s="104"/>
      <c r="P301" s="104"/>
      <c r="Q301" s="104"/>
      <c r="R301" s="104" t="s">
        <v>522</v>
      </c>
      <c r="S301" s="104">
        <v>15.0</v>
      </c>
      <c r="T301" s="104" t="s">
        <v>3875</v>
      </c>
      <c r="U301" s="104"/>
      <c r="V301" s="104" t="s">
        <v>3875</v>
      </c>
      <c r="W301" s="104"/>
    </row>
    <row r="302">
      <c r="A302" s="105">
        <v>45969.0</v>
      </c>
      <c r="B302" s="79" t="str">
        <f>IFERROR(__xludf.DUMMYFUNCTION("""COMPUTED_VALUE"""),"SS-HO-CO-1A")</f>
        <v>SS-HO-CO-1A</v>
      </c>
      <c r="C302" s="104"/>
      <c r="D302" s="104"/>
      <c r="E302" s="104" t="str">
        <f>IFERROR(__xludf.DUMMYFUNCTION("""COMPUTED_VALUE"""),"GA-PO-6-BL-1")</f>
        <v>GA-PO-6-BL-1</v>
      </c>
      <c r="F302" s="98">
        <v>14.2</v>
      </c>
      <c r="G302" s="110"/>
      <c r="H302" s="100"/>
      <c r="I302" s="98"/>
      <c r="J302" s="98"/>
      <c r="K302" s="110"/>
      <c r="L302" s="104"/>
      <c r="M302" s="98" t="s">
        <v>39</v>
      </c>
      <c r="N302" s="103" t="str">
        <f>IFERROR(__xludf.DUMMYFUNCTION("""COMPUTED_VALUE"""),"")</f>
        <v/>
      </c>
      <c r="O302" s="104"/>
      <c r="P302" s="104"/>
      <c r="Q302" s="104"/>
      <c r="R302" s="104" t="s">
        <v>524</v>
      </c>
      <c r="S302" s="104">
        <v>7.1</v>
      </c>
      <c r="T302" s="104" t="s">
        <v>3876</v>
      </c>
      <c r="U302" s="104"/>
      <c r="V302" s="104" t="s">
        <v>3876</v>
      </c>
      <c r="W302" s="104"/>
    </row>
    <row r="303">
      <c r="A303" s="105">
        <v>45969.0</v>
      </c>
      <c r="B303" s="79" t="str">
        <f>IFERROR(__xludf.DUMMYFUNCTION("""COMPUTED_VALUE"""),"SS-HO-WV-1A-5")</f>
        <v>SS-HO-WV-1A-5</v>
      </c>
      <c r="C303" s="104"/>
      <c r="D303" s="104"/>
      <c r="E303" s="104" t="str">
        <f>IFERROR(__xludf.DUMMYFUNCTION("""COMPUTED_VALUE"""),"")</f>
        <v/>
      </c>
      <c r="F303" s="98">
        <v>3.55</v>
      </c>
      <c r="G303" s="110"/>
      <c r="H303" s="100"/>
      <c r="I303" s="98"/>
      <c r="J303" s="111"/>
      <c r="K303" s="110"/>
      <c r="L303" s="104"/>
      <c r="M303" s="98" t="s">
        <v>39</v>
      </c>
      <c r="N303" s="103" t="str">
        <f>IFERROR(__xludf.DUMMYFUNCTION("""COMPUTED_VALUE"""),"")</f>
        <v/>
      </c>
      <c r="O303" s="104"/>
      <c r="P303" s="104"/>
      <c r="Q303" s="104"/>
      <c r="R303" s="104" t="s">
        <v>527</v>
      </c>
      <c r="S303" s="104">
        <v>7.1</v>
      </c>
      <c r="T303" s="104" t="s">
        <v>3877</v>
      </c>
      <c r="U303" s="104"/>
      <c r="V303" s="104" t="s">
        <v>3877</v>
      </c>
      <c r="W303" s="104"/>
    </row>
    <row r="304">
      <c r="A304" s="105">
        <v>45969.0</v>
      </c>
      <c r="B304" s="79" t="str">
        <f>IFERROR(__xludf.DUMMYFUNCTION("""COMPUTED_VALUE"""),"SS-HO-LI-1A")</f>
        <v>SS-HO-LI-1A</v>
      </c>
      <c r="C304" s="104"/>
      <c r="D304" s="104"/>
      <c r="E304" s="104" t="str">
        <f>IFERROR(__xludf.DUMMYFUNCTION("""COMPUTED_VALUE"""),"GA-PO-6-BL-1")</f>
        <v>GA-PO-6-BL-1</v>
      </c>
      <c r="F304" s="98">
        <v>21.3</v>
      </c>
      <c r="G304" s="110"/>
      <c r="H304" s="100"/>
      <c r="I304" s="98"/>
      <c r="J304" s="111"/>
      <c r="K304" s="110"/>
      <c r="L304" s="104"/>
      <c r="M304" s="98" t="s">
        <v>39</v>
      </c>
      <c r="N304" s="103" t="str">
        <f>IFERROR(__xludf.DUMMYFUNCTION("""COMPUTED_VALUE"""),"")</f>
        <v/>
      </c>
      <c r="O304" s="104"/>
      <c r="P304" s="104"/>
      <c r="Q304" s="104"/>
      <c r="R304" s="104" t="s">
        <v>529</v>
      </c>
      <c r="S304" s="104">
        <v>7.1</v>
      </c>
      <c r="T304" s="104" t="s">
        <v>3878</v>
      </c>
      <c r="U304" s="104"/>
      <c r="V304" s="104" t="s">
        <v>3878</v>
      </c>
      <c r="W304" s="104"/>
    </row>
    <row r="305">
      <c r="A305" s="105">
        <v>45969.0</v>
      </c>
      <c r="B305" s="79" t="str">
        <f>IFERROR(__xludf.DUMMYFUNCTION("""COMPUTED_VALUE"""),"SS-HO-PU-1A")</f>
        <v>SS-HO-PU-1A</v>
      </c>
      <c r="C305" s="104"/>
      <c r="D305" s="104"/>
      <c r="E305" s="104" t="str">
        <f>IFERROR(__xludf.DUMMYFUNCTION("""COMPUTED_VALUE"""),"TO-PO-4-MU-1")</f>
        <v>TO-PO-4-MU-1</v>
      </c>
      <c r="F305" s="98">
        <v>7.1</v>
      </c>
      <c r="G305" s="110"/>
      <c r="H305" s="100"/>
      <c r="I305" s="98"/>
      <c r="J305" s="111"/>
      <c r="K305" s="112"/>
      <c r="L305" s="104"/>
      <c r="M305" s="98" t="s">
        <v>39</v>
      </c>
      <c r="N305" s="103" t="str">
        <f>IFERROR(__xludf.DUMMYFUNCTION("""COMPUTED_VALUE"""),"")</f>
        <v/>
      </c>
      <c r="O305" s="104"/>
      <c r="P305" s="102"/>
      <c r="Q305" s="104"/>
      <c r="R305" s="104" t="s">
        <v>530</v>
      </c>
      <c r="S305" s="104">
        <v>7.1</v>
      </c>
      <c r="T305" s="104" t="s">
        <v>3879</v>
      </c>
      <c r="U305" s="104"/>
      <c r="V305" s="104" t="s">
        <v>3879</v>
      </c>
      <c r="W305" s="104"/>
    </row>
    <row r="306">
      <c r="A306" s="105">
        <v>45969.0</v>
      </c>
      <c r="B306" s="79" t="str">
        <f>IFERROR(__xludf.DUMMYFUNCTION("""COMPUTED_VALUE"""),"SS-HO-OB-1A")</f>
        <v>SS-HO-OB-1A</v>
      </c>
      <c r="C306" s="104"/>
      <c r="D306" s="104"/>
      <c r="E306" s="104" t="str">
        <f>IFERROR(__xludf.DUMMYFUNCTION("""COMPUTED_VALUE"""),"GA-PO-6-WH-1")</f>
        <v>GA-PO-6-WH-1</v>
      </c>
      <c r="F306" s="98">
        <v>10.649999999999999</v>
      </c>
      <c r="G306" s="110"/>
      <c r="H306" s="100"/>
      <c r="I306" s="98"/>
      <c r="J306" s="111"/>
      <c r="K306" s="110"/>
      <c r="L306" s="104"/>
      <c r="M306" s="98" t="s">
        <v>39</v>
      </c>
      <c r="N306" s="103" t="str">
        <f>IFERROR(__xludf.DUMMYFUNCTION("""COMPUTED_VALUE"""),"")</f>
        <v/>
      </c>
      <c r="O306" s="104"/>
      <c r="P306" s="104"/>
      <c r="Q306" s="104"/>
      <c r="R306" s="104" t="s">
        <v>532</v>
      </c>
      <c r="S306" s="104">
        <v>7.1</v>
      </c>
      <c r="T306" s="104" t="s">
        <v>3880</v>
      </c>
      <c r="U306" s="104"/>
      <c r="V306" s="104" t="s">
        <v>3880</v>
      </c>
      <c r="W306" s="104"/>
    </row>
    <row r="307">
      <c r="A307" s="105">
        <v>45968.0</v>
      </c>
      <c r="B307" s="79" t="str">
        <f>IFERROR(__xludf.DUMMYFUNCTION("""COMPUTED_VALUE"""),"SS-PIN-BU-1A-2")</f>
        <v>SS-PIN-BU-1A-2</v>
      </c>
      <c r="C307" s="104"/>
      <c r="D307" s="104"/>
      <c r="E307" s="104" t="str">
        <f>IFERROR(__xludf.DUMMYFUNCTION("""COMPUTED_VALUE"""),"")</f>
        <v/>
      </c>
      <c r="F307" s="98">
        <v>5.5</v>
      </c>
      <c r="G307" s="110"/>
      <c r="H307" s="100"/>
      <c r="I307" s="98"/>
      <c r="J307" s="111"/>
      <c r="K307" s="110"/>
      <c r="L307" s="104"/>
      <c r="M307" s="98" t="s">
        <v>39</v>
      </c>
      <c r="N307" s="103" t="str">
        <f>IFERROR(__xludf.DUMMYFUNCTION("""COMPUTED_VALUE"""),"")</f>
        <v/>
      </c>
      <c r="O307" s="104"/>
      <c r="P307" s="102"/>
      <c r="Q307" s="104"/>
      <c r="R307" s="104" t="s">
        <v>533</v>
      </c>
      <c r="S307" s="104">
        <v>11.0</v>
      </c>
      <c r="T307" s="104" t="s">
        <v>3881</v>
      </c>
      <c r="U307" s="104"/>
      <c r="V307" s="104" t="s">
        <v>3881</v>
      </c>
      <c r="W307" s="104"/>
    </row>
    <row r="308">
      <c r="A308" s="105">
        <v>45968.0</v>
      </c>
      <c r="B308" s="79" t="str">
        <f>IFERROR(__xludf.DUMMYFUNCTION("""COMPUTED_VALUE"""),"SS-PIN-BU-1A-3")</f>
        <v>SS-PIN-BU-1A-3</v>
      </c>
      <c r="C308" s="104"/>
      <c r="D308" s="104"/>
      <c r="E308" s="104" t="str">
        <f>IFERROR(__xludf.DUMMYFUNCTION("""COMPUTED_VALUE"""),"")</f>
        <v/>
      </c>
      <c r="F308" s="98">
        <v>5.5</v>
      </c>
      <c r="G308" s="110"/>
      <c r="H308" s="100"/>
      <c r="I308" s="98"/>
      <c r="J308" s="111"/>
      <c r="K308" s="112">
        <v>15.0</v>
      </c>
      <c r="L308" s="104"/>
      <c r="M308" s="98">
        <v>15.0</v>
      </c>
      <c r="N308" s="103" t="str">
        <f>IFERROR(__xludf.DUMMYFUNCTION("""COMPUTED_VALUE"""),"")</f>
        <v/>
      </c>
      <c r="O308" s="104"/>
      <c r="P308" s="102" t="s">
        <v>1626</v>
      </c>
      <c r="Q308" s="104"/>
      <c r="R308" s="104" t="s">
        <v>534</v>
      </c>
      <c r="S308" s="104">
        <v>11.0</v>
      </c>
      <c r="T308" s="104" t="s">
        <v>3882</v>
      </c>
      <c r="U308" s="104"/>
      <c r="V308" s="104" t="s">
        <v>3882</v>
      </c>
      <c r="W308" s="104"/>
    </row>
    <row r="309">
      <c r="A309" s="105">
        <v>45968.0</v>
      </c>
      <c r="B309" s="79" t="str">
        <f>IFERROR(__xludf.DUMMYFUNCTION("""COMPUTED_VALUE"""),"SS-PIN-BU-1A-4")</f>
        <v>SS-PIN-BU-1A-4</v>
      </c>
      <c r="C309" s="104"/>
      <c r="D309" s="104"/>
      <c r="E309" s="104" t="str">
        <f>IFERROR(__xludf.DUMMYFUNCTION("""COMPUTED_VALUE"""),"")</f>
        <v/>
      </c>
      <c r="F309" s="98">
        <v>5.5</v>
      </c>
      <c r="G309" s="110"/>
      <c r="H309" s="100"/>
      <c r="I309" s="98"/>
      <c r="J309" s="111"/>
      <c r="K309" s="112">
        <v>15.0</v>
      </c>
      <c r="L309" s="104"/>
      <c r="M309" s="98">
        <v>15.0</v>
      </c>
      <c r="N309" s="103" t="str">
        <f>IFERROR(__xludf.DUMMYFUNCTION("""COMPUTED_VALUE"""),"")</f>
        <v/>
      </c>
      <c r="O309" s="104"/>
      <c r="P309" s="102" t="s">
        <v>1626</v>
      </c>
      <c r="Q309" s="104"/>
      <c r="R309" s="104" t="s">
        <v>535</v>
      </c>
      <c r="S309" s="104">
        <v>11.0</v>
      </c>
      <c r="T309" s="104" t="s">
        <v>3883</v>
      </c>
      <c r="U309" s="104"/>
      <c r="V309" s="104" t="s">
        <v>3883</v>
      </c>
      <c r="W309" s="104"/>
    </row>
    <row r="310">
      <c r="A310" s="105">
        <v>45968.0</v>
      </c>
      <c r="B310" s="79" t="str">
        <f>IFERROR(__xludf.DUMMYFUNCTION("""COMPUTED_VALUE"""),"SS-PIN-BU-1A-5")</f>
        <v>SS-PIN-BU-1A-5</v>
      </c>
      <c r="C310" s="104"/>
      <c r="D310" s="104"/>
      <c r="E310" s="104" t="str">
        <f>IFERROR(__xludf.DUMMYFUNCTION("""COMPUTED_VALUE"""),"")</f>
        <v/>
      </c>
      <c r="F310" s="98">
        <v>5.5</v>
      </c>
      <c r="G310" s="110"/>
      <c r="H310" s="100"/>
      <c r="I310" s="98"/>
      <c r="J310" s="111"/>
      <c r="K310" s="110"/>
      <c r="L310" s="104"/>
      <c r="M310" s="98" t="s">
        <v>39</v>
      </c>
      <c r="N310" s="103" t="str">
        <f>IFERROR(__xludf.DUMMYFUNCTION("""COMPUTED_VALUE"""),"")</f>
        <v/>
      </c>
      <c r="O310" s="104"/>
      <c r="P310" s="102" t="s">
        <v>3583</v>
      </c>
      <c r="Q310" s="104"/>
      <c r="R310" s="104" t="s">
        <v>536</v>
      </c>
      <c r="S310" s="104">
        <v>11.0</v>
      </c>
      <c r="T310" s="104" t="s">
        <v>3884</v>
      </c>
      <c r="U310" s="104"/>
      <c r="V310" s="104" t="s">
        <v>3884</v>
      </c>
      <c r="W310" s="104"/>
    </row>
    <row r="311">
      <c r="A311" s="105">
        <v>45968.0</v>
      </c>
      <c r="B311" s="79" t="str">
        <f>IFERROR(__xludf.DUMMYFUNCTION("""COMPUTED_VALUE"""),"SS-PIN-BU-1A-6")</f>
        <v>SS-PIN-BU-1A-6</v>
      </c>
      <c r="C311" s="104"/>
      <c r="D311" s="104"/>
      <c r="E311" s="104" t="str">
        <f>IFERROR(__xludf.DUMMYFUNCTION("""COMPUTED_VALUE"""),"")</f>
        <v/>
      </c>
      <c r="F311" s="98">
        <v>5.5</v>
      </c>
      <c r="G311" s="110"/>
      <c r="H311" s="100"/>
      <c r="I311" s="98"/>
      <c r="J311" s="111"/>
      <c r="K311" s="110"/>
      <c r="L311" s="104"/>
      <c r="M311" s="98" t="s">
        <v>39</v>
      </c>
      <c r="N311" s="103" t="str">
        <f>IFERROR(__xludf.DUMMYFUNCTION("""COMPUTED_VALUE"""),"")</f>
        <v/>
      </c>
      <c r="O311" s="104"/>
      <c r="P311" s="102" t="s">
        <v>3583</v>
      </c>
      <c r="Q311" s="104"/>
      <c r="R311" s="104" t="s">
        <v>537</v>
      </c>
      <c r="S311" s="104">
        <v>11.0</v>
      </c>
      <c r="T311" s="104" t="s">
        <v>3885</v>
      </c>
      <c r="U311" s="104"/>
      <c r="V311" s="104" t="s">
        <v>3885</v>
      </c>
      <c r="W311" s="104"/>
    </row>
    <row r="312">
      <c r="A312" s="105">
        <v>45968.0</v>
      </c>
      <c r="B312" s="79" t="str">
        <f>IFERROR(__xludf.DUMMYFUNCTION("""COMPUTED_VALUE"""),"SS-PIN-BU-1A-7")</f>
        <v>SS-PIN-BU-1A-7</v>
      </c>
      <c r="C312" s="104"/>
      <c r="D312" s="104"/>
      <c r="E312" s="104" t="str">
        <f>IFERROR(__xludf.DUMMYFUNCTION("""COMPUTED_VALUE"""),"")</f>
        <v/>
      </c>
      <c r="F312" s="98">
        <v>5.5</v>
      </c>
      <c r="G312" s="110"/>
      <c r="H312" s="100"/>
      <c r="I312" s="98"/>
      <c r="J312" s="111"/>
      <c r="K312" s="110"/>
      <c r="L312" s="104"/>
      <c r="M312" s="98" t="s">
        <v>39</v>
      </c>
      <c r="N312" s="103" t="str">
        <f>IFERROR(__xludf.DUMMYFUNCTION("""COMPUTED_VALUE"""),"")</f>
        <v/>
      </c>
      <c r="O312" s="104"/>
      <c r="P312" s="102" t="s">
        <v>3583</v>
      </c>
      <c r="Q312" s="104"/>
      <c r="R312" s="104" t="s">
        <v>538</v>
      </c>
      <c r="S312" s="104">
        <v>11.0</v>
      </c>
      <c r="T312" s="104" t="s">
        <v>3886</v>
      </c>
      <c r="U312" s="104"/>
      <c r="V312" s="104" t="s">
        <v>3886</v>
      </c>
      <c r="W312" s="104"/>
    </row>
    <row r="313">
      <c r="A313" s="105">
        <v>45968.0</v>
      </c>
      <c r="B313" s="79" t="str">
        <f>IFERROR(__xludf.DUMMYFUNCTION("""COMPUTED_VALUE"""),"SS-PIN-BU-1A-8")</f>
        <v>SS-PIN-BU-1A-8</v>
      </c>
      <c r="C313" s="104"/>
      <c r="D313" s="104"/>
      <c r="E313" s="104" t="str">
        <f>IFERROR(__xludf.DUMMYFUNCTION("""COMPUTED_VALUE"""),"")</f>
        <v/>
      </c>
      <c r="F313" s="98">
        <v>5.5</v>
      </c>
      <c r="G313" s="110"/>
      <c r="H313" s="100"/>
      <c r="I313" s="98"/>
      <c r="J313" s="111"/>
      <c r="K313" s="110"/>
      <c r="L313" s="104"/>
      <c r="M313" s="98" t="s">
        <v>39</v>
      </c>
      <c r="N313" s="103" t="str">
        <f>IFERROR(__xludf.DUMMYFUNCTION("""COMPUTED_VALUE"""),"")</f>
        <v/>
      </c>
      <c r="O313" s="104"/>
      <c r="P313" s="102" t="s">
        <v>3583</v>
      </c>
      <c r="Q313" s="104"/>
      <c r="R313" s="104" t="s">
        <v>539</v>
      </c>
      <c r="S313" s="104">
        <v>11.0</v>
      </c>
      <c r="T313" s="104" t="s">
        <v>3887</v>
      </c>
      <c r="U313" s="104"/>
      <c r="V313" s="104" t="s">
        <v>3887</v>
      </c>
      <c r="W313" s="104"/>
    </row>
    <row r="314">
      <c r="A314" s="105">
        <v>45968.0</v>
      </c>
      <c r="B314" s="79" t="str">
        <f>IFERROR(__xludf.DUMMYFUNCTION("""COMPUTED_VALUE"""),"SS-PIN-BU-1A-9")</f>
        <v>SS-PIN-BU-1A-9</v>
      </c>
      <c r="C314" s="104"/>
      <c r="D314" s="104"/>
      <c r="E314" s="104" t="str">
        <f>IFERROR(__xludf.DUMMYFUNCTION("""COMPUTED_VALUE"""),"")</f>
        <v/>
      </c>
      <c r="F314" s="98">
        <v>5.5</v>
      </c>
      <c r="G314" s="110"/>
      <c r="H314" s="100"/>
      <c r="I314" s="98"/>
      <c r="J314" s="111"/>
      <c r="K314" s="110"/>
      <c r="L314" s="104"/>
      <c r="M314" s="98" t="s">
        <v>39</v>
      </c>
      <c r="N314" s="103" t="str">
        <f>IFERROR(__xludf.DUMMYFUNCTION("""COMPUTED_VALUE"""),"")</f>
        <v/>
      </c>
      <c r="O314" s="104"/>
      <c r="P314" s="102" t="s">
        <v>3583</v>
      </c>
      <c r="Q314" s="104"/>
      <c r="R314" s="104" t="s">
        <v>540</v>
      </c>
      <c r="S314" s="104">
        <v>11.0</v>
      </c>
      <c r="T314" s="104" t="s">
        <v>3888</v>
      </c>
      <c r="U314" s="104"/>
      <c r="V314" s="104" t="s">
        <v>3888</v>
      </c>
      <c r="W314" s="104"/>
    </row>
    <row r="315">
      <c r="A315" s="105">
        <v>45968.0</v>
      </c>
      <c r="B315" s="79" t="str">
        <f>IFERROR(__xludf.DUMMYFUNCTION("""COMPUTED_VALUE"""),"SS-PIN-BU-1A-10")</f>
        <v>SS-PIN-BU-1A-10</v>
      </c>
      <c r="C315" s="102" t="s">
        <v>18</v>
      </c>
      <c r="D315" s="104"/>
      <c r="E315" s="104" t="str">
        <f>IFERROR(__xludf.DUMMYFUNCTION("""COMPUTED_VALUE"""),"")</f>
        <v/>
      </c>
      <c r="F315" s="98">
        <v>5.5</v>
      </c>
      <c r="G315" s="110"/>
      <c r="H315" s="100"/>
      <c r="I315" s="98"/>
      <c r="J315" s="111"/>
      <c r="K315" s="112"/>
      <c r="L315" s="102" t="s">
        <v>3757</v>
      </c>
      <c r="M315" s="98" t="s">
        <v>39</v>
      </c>
      <c r="N315" s="103" t="str">
        <f>IFERROR(__xludf.DUMMYFUNCTION("""COMPUTED_VALUE"""),"")</f>
        <v/>
      </c>
      <c r="O315" s="104"/>
      <c r="P315" s="102" t="s">
        <v>3583</v>
      </c>
      <c r="Q315" s="104"/>
      <c r="R315" s="104" t="s">
        <v>541</v>
      </c>
      <c r="S315" s="104">
        <v>11.0</v>
      </c>
      <c r="T315" s="104" t="s">
        <v>3889</v>
      </c>
      <c r="U315" s="104"/>
      <c r="V315" s="104" t="s">
        <v>3889</v>
      </c>
      <c r="W315" s="104"/>
    </row>
    <row r="316">
      <c r="A316" s="105">
        <v>45968.0</v>
      </c>
      <c r="B316" s="79" t="str">
        <f>IFERROR(__xludf.DUMMYFUNCTION("""COMPUTED_VALUE"""),"SS-PIN-BU-1A-11")</f>
        <v>SS-PIN-BU-1A-11</v>
      </c>
      <c r="C316" s="102" t="s">
        <v>18</v>
      </c>
      <c r="D316" s="104"/>
      <c r="E316" s="104" t="str">
        <f>IFERROR(__xludf.DUMMYFUNCTION("""COMPUTED_VALUE"""),"")</f>
        <v/>
      </c>
      <c r="F316" s="98">
        <v>5.5</v>
      </c>
      <c r="G316" s="110"/>
      <c r="H316" s="100"/>
      <c r="I316" s="98"/>
      <c r="J316" s="111"/>
      <c r="K316" s="110"/>
      <c r="L316" s="104"/>
      <c r="M316" s="98" t="s">
        <v>39</v>
      </c>
      <c r="N316" s="103" t="str">
        <f>IFERROR(__xludf.DUMMYFUNCTION("""COMPUTED_VALUE"""),"")</f>
        <v/>
      </c>
      <c r="O316" s="104"/>
      <c r="P316" s="102" t="s">
        <v>3583</v>
      </c>
      <c r="Q316" s="104"/>
      <c r="R316" s="104" t="s">
        <v>542</v>
      </c>
      <c r="S316" s="104">
        <v>11.0</v>
      </c>
      <c r="T316" s="104" t="s">
        <v>3890</v>
      </c>
      <c r="U316" s="104"/>
      <c r="V316" s="104" t="s">
        <v>3890</v>
      </c>
      <c r="W316" s="104"/>
    </row>
    <row r="317">
      <c r="A317" s="105">
        <v>45968.0</v>
      </c>
      <c r="B317" s="79" t="str">
        <f>IFERROR(__xludf.DUMMYFUNCTION("""COMPUTED_VALUE"""),"SS-PIN-BU-1A-12")</f>
        <v>SS-PIN-BU-1A-12</v>
      </c>
      <c r="C317" s="104"/>
      <c r="D317" s="104"/>
      <c r="E317" s="104" t="str">
        <f>IFERROR(__xludf.DUMMYFUNCTION("""COMPUTED_VALUE"""),"")</f>
        <v/>
      </c>
      <c r="F317" s="98">
        <v>5.5</v>
      </c>
      <c r="G317" s="110"/>
      <c r="H317" s="100"/>
      <c r="I317" s="98"/>
      <c r="J317" s="111"/>
      <c r="K317" s="110"/>
      <c r="L317" s="104"/>
      <c r="M317" s="98" t="s">
        <v>39</v>
      </c>
      <c r="N317" s="103" t="str">
        <f>IFERROR(__xludf.DUMMYFUNCTION("""COMPUTED_VALUE"""),"")</f>
        <v/>
      </c>
      <c r="O317" s="104"/>
      <c r="P317" s="102" t="s">
        <v>3583</v>
      </c>
      <c r="Q317" s="104"/>
      <c r="R317" s="104" t="s">
        <v>543</v>
      </c>
      <c r="S317" s="104">
        <v>11.0</v>
      </c>
      <c r="T317" s="104" t="s">
        <v>3891</v>
      </c>
      <c r="U317" s="104"/>
      <c r="V317" s="104" t="s">
        <v>3891</v>
      </c>
      <c r="W317" s="104"/>
    </row>
    <row r="318">
      <c r="A318" s="105">
        <v>45968.0</v>
      </c>
      <c r="B318" s="79" t="str">
        <f>IFERROR(__xludf.DUMMYFUNCTION("""COMPUTED_VALUE"""),"SS-PIN-BU-1A-13")</f>
        <v>SS-PIN-BU-1A-13</v>
      </c>
      <c r="C318" s="104"/>
      <c r="D318" s="104"/>
      <c r="E318" s="104" t="str">
        <f>IFERROR(__xludf.DUMMYFUNCTION("""COMPUTED_VALUE"""),"ST-PO-2-NU-1")</f>
        <v>ST-PO-2-NU-1</v>
      </c>
      <c r="F318" s="98">
        <v>5.5</v>
      </c>
      <c r="G318" s="110"/>
      <c r="H318" s="100"/>
      <c r="I318" s="98"/>
      <c r="J318" s="111"/>
      <c r="K318" s="110"/>
      <c r="L318" s="104"/>
      <c r="M318" s="98" t="s">
        <v>39</v>
      </c>
      <c r="N318" s="103" t="str">
        <f>IFERROR(__xludf.DUMMYFUNCTION("""COMPUTED_VALUE"""),"")</f>
        <v/>
      </c>
      <c r="O318" s="104"/>
      <c r="P318" s="102" t="s">
        <v>3583</v>
      </c>
      <c r="Q318" s="104"/>
      <c r="R318" s="104" t="s">
        <v>545</v>
      </c>
      <c r="S318" s="104">
        <v>11.0</v>
      </c>
      <c r="T318" s="104" t="s">
        <v>3892</v>
      </c>
      <c r="U318" s="104"/>
      <c r="V318" s="104" t="s">
        <v>3892</v>
      </c>
      <c r="W318" s="104"/>
    </row>
    <row r="319">
      <c r="A319" s="105">
        <v>45968.0</v>
      </c>
      <c r="B319" s="79" t="str">
        <f>IFERROR(__xludf.DUMMYFUNCTION("""COMPUTED_VALUE"""),"SS-PIN-BU-1A-14")</f>
        <v>SS-PIN-BU-1A-14</v>
      </c>
      <c r="C319" s="104"/>
      <c r="D319" s="104"/>
      <c r="E319" s="104" t="str">
        <f>IFERROR(__xludf.DUMMYFUNCTION("""COMPUTED_VALUE"""),"")</f>
        <v/>
      </c>
      <c r="F319" s="98">
        <v>5.5</v>
      </c>
      <c r="G319" s="110"/>
      <c r="H319" s="100"/>
      <c r="I319" s="98"/>
      <c r="J319" s="111"/>
      <c r="K319" s="110"/>
      <c r="L319" s="104"/>
      <c r="M319" s="98" t="s">
        <v>39</v>
      </c>
      <c r="N319" s="103" t="str">
        <f>IFERROR(__xludf.DUMMYFUNCTION("""COMPUTED_VALUE"""),"")</f>
        <v/>
      </c>
      <c r="O319" s="104"/>
      <c r="P319" s="102" t="s">
        <v>3583</v>
      </c>
      <c r="Q319" s="104"/>
      <c r="R319" s="104" t="s">
        <v>547</v>
      </c>
      <c r="S319" s="104">
        <v>11.0</v>
      </c>
      <c r="T319" s="104" t="s">
        <v>3893</v>
      </c>
      <c r="U319" s="104"/>
      <c r="V319" s="104" t="s">
        <v>3893</v>
      </c>
      <c r="W319" s="104"/>
    </row>
    <row r="320">
      <c r="A320" s="105">
        <v>45968.0</v>
      </c>
      <c r="B320" s="79" t="str">
        <f>IFERROR(__xludf.DUMMYFUNCTION("""COMPUTED_VALUE"""),"SS-PIN-BU-1A-15")</f>
        <v>SS-PIN-BU-1A-15</v>
      </c>
      <c r="C320" s="104"/>
      <c r="D320" s="104"/>
      <c r="E320" s="104" t="str">
        <f>IFERROR(__xludf.DUMMYFUNCTION("""COMPUTED_VALUE"""),"")</f>
        <v/>
      </c>
      <c r="F320" s="98">
        <v>5.5</v>
      </c>
      <c r="G320" s="110"/>
      <c r="H320" s="100"/>
      <c r="I320" s="98"/>
      <c r="J320" s="111"/>
      <c r="K320" s="110"/>
      <c r="L320" s="104"/>
      <c r="M320" s="98" t="s">
        <v>39</v>
      </c>
      <c r="N320" s="103" t="str">
        <f>IFERROR(__xludf.DUMMYFUNCTION("""COMPUTED_VALUE"""),"")</f>
        <v/>
      </c>
      <c r="O320" s="104"/>
      <c r="P320" s="102" t="s">
        <v>3583</v>
      </c>
      <c r="Q320" s="104"/>
      <c r="R320" s="104" t="s">
        <v>549</v>
      </c>
      <c r="S320" s="104">
        <v>11.0</v>
      </c>
      <c r="T320" s="104" t="s">
        <v>3894</v>
      </c>
      <c r="U320" s="104"/>
      <c r="V320" s="104" t="s">
        <v>3894</v>
      </c>
      <c r="W320" s="104"/>
    </row>
    <row r="321">
      <c r="A321" s="105">
        <v>45968.0</v>
      </c>
      <c r="B321" s="79" t="str">
        <f>IFERROR(__xludf.DUMMYFUNCTION("""COMPUTED_VALUE"""),"SS-PIN-BU-1A-16")</f>
        <v>SS-PIN-BU-1A-16</v>
      </c>
      <c r="C321" s="104"/>
      <c r="D321" s="104"/>
      <c r="E321" s="104" t="str">
        <f>IFERROR(__xludf.DUMMYFUNCTION("""COMPUTED_VALUE"""),"")</f>
        <v/>
      </c>
      <c r="F321" s="98">
        <v>5.5</v>
      </c>
      <c r="G321" s="110"/>
      <c r="H321" s="100"/>
      <c r="I321" s="98"/>
      <c r="J321" s="111"/>
      <c r="K321" s="112">
        <v>15.0</v>
      </c>
      <c r="L321" s="104"/>
      <c r="M321" s="98">
        <v>15.0</v>
      </c>
      <c r="N321" s="103" t="str">
        <f>IFERROR(__xludf.DUMMYFUNCTION("""COMPUTED_VALUE"""),"")</f>
        <v/>
      </c>
      <c r="O321" s="104"/>
      <c r="P321" s="102" t="s">
        <v>1626</v>
      </c>
      <c r="Q321" s="104"/>
      <c r="R321" s="104" t="s">
        <v>551</v>
      </c>
      <c r="S321" s="104">
        <v>11.0</v>
      </c>
      <c r="T321" s="104" t="s">
        <v>3895</v>
      </c>
      <c r="U321" s="104"/>
      <c r="V321" s="104" t="s">
        <v>3895</v>
      </c>
      <c r="W321" s="104"/>
    </row>
    <row r="322">
      <c r="A322" s="105">
        <v>45968.0</v>
      </c>
      <c r="B322" s="79" t="str">
        <f>IFERROR(__xludf.DUMMYFUNCTION("""COMPUTED_VALUE"""),"SS-PIN-BU-1A-17")</f>
        <v>SS-PIN-BU-1A-17</v>
      </c>
      <c r="C322" s="104"/>
      <c r="D322" s="104"/>
      <c r="E322" s="104" t="str">
        <f>IFERROR(__xludf.DUMMYFUNCTION("""COMPUTED_VALUE"""),"")</f>
        <v/>
      </c>
      <c r="F322" s="98">
        <v>5.5</v>
      </c>
      <c r="G322" s="110"/>
      <c r="H322" s="100"/>
      <c r="I322" s="98"/>
      <c r="J322" s="111"/>
      <c r="K322" s="110"/>
      <c r="L322" s="104"/>
      <c r="M322" s="98" t="s">
        <v>39</v>
      </c>
      <c r="N322" s="103" t="str">
        <f>IFERROR(__xludf.DUMMYFUNCTION("""COMPUTED_VALUE"""),"")</f>
        <v/>
      </c>
      <c r="O322" s="104"/>
      <c r="P322" s="102" t="s">
        <v>3583</v>
      </c>
      <c r="Q322" s="104"/>
      <c r="R322" s="104" t="s">
        <v>553</v>
      </c>
      <c r="S322" s="104">
        <v>11.0</v>
      </c>
      <c r="T322" s="104" t="s">
        <v>3896</v>
      </c>
      <c r="U322" s="104"/>
      <c r="V322" s="104" t="s">
        <v>3896</v>
      </c>
      <c r="W322" s="104"/>
    </row>
    <row r="323">
      <c r="A323" s="105">
        <v>45968.0</v>
      </c>
      <c r="B323" s="79" t="str">
        <f>IFERROR(__xludf.DUMMYFUNCTION("""COMPUTED_VALUE"""),"SS-PIN-BU-1A-18")</f>
        <v>SS-PIN-BU-1A-18</v>
      </c>
      <c r="C323" s="104"/>
      <c r="D323" s="104"/>
      <c r="E323" s="104" t="str">
        <f>IFERROR(__xludf.DUMMYFUNCTION("""COMPUTED_VALUE"""),"")</f>
        <v/>
      </c>
      <c r="F323" s="98">
        <v>5.5</v>
      </c>
      <c r="G323" s="110"/>
      <c r="H323" s="100"/>
      <c r="I323" s="98"/>
      <c r="J323" s="111"/>
      <c r="K323" s="110"/>
      <c r="L323" s="104"/>
      <c r="M323" s="98" t="s">
        <v>39</v>
      </c>
      <c r="N323" s="103" t="str">
        <f>IFERROR(__xludf.DUMMYFUNCTION("""COMPUTED_VALUE"""),"")</f>
        <v/>
      </c>
      <c r="O323" s="104"/>
      <c r="P323" s="102" t="s">
        <v>3583</v>
      </c>
      <c r="Q323" s="104"/>
      <c r="R323" s="104" t="s">
        <v>555</v>
      </c>
      <c r="S323" s="104">
        <v>11.0</v>
      </c>
      <c r="T323" s="104" t="s">
        <v>3897</v>
      </c>
      <c r="U323" s="104"/>
      <c r="V323" s="104" t="s">
        <v>3897</v>
      </c>
      <c r="W323" s="104"/>
    </row>
    <row r="324">
      <c r="A324" s="105">
        <v>45968.0</v>
      </c>
      <c r="B324" s="79" t="str">
        <f>IFERROR(__xludf.DUMMYFUNCTION("""COMPUTED_VALUE"""),"SS-PIN-BU-1A-19")</f>
        <v>SS-PIN-BU-1A-19</v>
      </c>
      <c r="C324" s="102" t="s">
        <v>18</v>
      </c>
      <c r="D324" s="104"/>
      <c r="E324" s="104" t="str">
        <f>IFERROR(__xludf.DUMMYFUNCTION("""COMPUTED_VALUE"""),"")</f>
        <v/>
      </c>
      <c r="F324" s="98">
        <v>5.5</v>
      </c>
      <c r="G324" s="110"/>
      <c r="H324" s="100"/>
      <c r="I324" s="98"/>
      <c r="J324" s="111"/>
      <c r="K324" s="110"/>
      <c r="L324" s="104"/>
      <c r="M324" s="98" t="s">
        <v>39</v>
      </c>
      <c r="N324" s="103" t="str">
        <f>IFERROR(__xludf.DUMMYFUNCTION("""COMPUTED_VALUE"""),"")</f>
        <v/>
      </c>
      <c r="O324" s="104"/>
      <c r="P324" s="102" t="s">
        <v>3583</v>
      </c>
      <c r="Q324" s="104"/>
      <c r="R324" s="104" t="s">
        <v>557</v>
      </c>
      <c r="S324" s="104">
        <v>11.0</v>
      </c>
      <c r="T324" s="104" t="s">
        <v>3898</v>
      </c>
      <c r="U324" s="104"/>
      <c r="V324" s="104" t="s">
        <v>3898</v>
      </c>
      <c r="W324" s="104"/>
    </row>
    <row r="325">
      <c r="A325" s="105">
        <v>45968.0</v>
      </c>
      <c r="B325" s="79" t="str">
        <f>IFERROR(__xludf.DUMMYFUNCTION("""COMPUTED_VALUE"""),"SS-PIN-BU-1A-20")</f>
        <v>SS-PIN-BU-1A-20</v>
      </c>
      <c r="C325" s="102" t="s">
        <v>18</v>
      </c>
      <c r="D325" s="104"/>
      <c r="E325" s="104" t="str">
        <f>IFERROR(__xludf.DUMMYFUNCTION("""COMPUTED_VALUE"""),"ST-PO-2-NU-1")</f>
        <v>ST-PO-2-NU-1</v>
      </c>
      <c r="F325" s="98">
        <v>5.5</v>
      </c>
      <c r="G325" s="110"/>
      <c r="H325" s="100"/>
      <c r="I325" s="98"/>
      <c r="J325" s="111"/>
      <c r="K325" s="110"/>
      <c r="L325" s="104"/>
      <c r="M325" s="98" t="s">
        <v>39</v>
      </c>
      <c r="N325" s="103" t="str">
        <f>IFERROR(__xludf.DUMMYFUNCTION("""COMPUTED_VALUE"""),"")</f>
        <v/>
      </c>
      <c r="O325" s="104"/>
      <c r="P325" s="102" t="s">
        <v>3583</v>
      </c>
      <c r="Q325" s="104"/>
      <c r="R325" s="104" t="s">
        <v>559</v>
      </c>
      <c r="S325" s="104">
        <v>11.0</v>
      </c>
      <c r="T325" s="104" t="s">
        <v>3899</v>
      </c>
      <c r="U325" s="104"/>
      <c r="V325" s="104" t="s">
        <v>3899</v>
      </c>
      <c r="W325" s="104"/>
    </row>
    <row r="326">
      <c r="A326" s="105">
        <v>45968.0</v>
      </c>
      <c r="B326" s="79" t="str">
        <f>IFERROR(__xludf.DUMMYFUNCTION("""COMPUTED_VALUE"""),"SS-PIN-BU-1A-21")</f>
        <v>SS-PIN-BU-1A-21</v>
      </c>
      <c r="C326" s="104"/>
      <c r="D326" s="104"/>
      <c r="E326" s="104" t="str">
        <f>IFERROR(__xludf.DUMMYFUNCTION("""COMPUTED_VALUE"""),"")</f>
        <v/>
      </c>
      <c r="F326" s="98">
        <v>5.5</v>
      </c>
      <c r="G326" s="110"/>
      <c r="H326" s="100"/>
      <c r="I326" s="98"/>
      <c r="J326" s="111"/>
      <c r="K326" s="110"/>
      <c r="L326" s="104"/>
      <c r="M326" s="98" t="s">
        <v>39</v>
      </c>
      <c r="N326" s="103" t="str">
        <f>IFERROR(__xludf.DUMMYFUNCTION("""COMPUTED_VALUE"""),"")</f>
        <v/>
      </c>
      <c r="O326" s="104"/>
      <c r="P326" s="102" t="s">
        <v>3583</v>
      </c>
      <c r="Q326" s="104"/>
      <c r="R326" s="104" t="s">
        <v>561</v>
      </c>
      <c r="S326" s="104">
        <v>11.0</v>
      </c>
      <c r="T326" s="104" t="s">
        <v>3900</v>
      </c>
      <c r="U326" s="104"/>
      <c r="V326" s="104" t="s">
        <v>3900</v>
      </c>
      <c r="W326" s="104"/>
    </row>
    <row r="327">
      <c r="A327" s="105">
        <v>45968.0</v>
      </c>
      <c r="B327" s="79" t="str">
        <f>IFERROR(__xludf.DUMMYFUNCTION("""COMPUTED_VALUE"""),"SS-PIN-BU-1A-22")</f>
        <v>SS-PIN-BU-1A-22</v>
      </c>
      <c r="C327" s="104"/>
      <c r="D327" s="104"/>
      <c r="E327" s="104" t="str">
        <f>IFERROR(__xludf.DUMMYFUNCTION("""COMPUTED_VALUE"""),"")</f>
        <v/>
      </c>
      <c r="F327" s="98">
        <v>5.5</v>
      </c>
      <c r="G327" s="110"/>
      <c r="H327" s="100"/>
      <c r="I327" s="98"/>
      <c r="J327" s="111"/>
      <c r="K327" s="110"/>
      <c r="L327" s="104"/>
      <c r="M327" s="98" t="s">
        <v>39</v>
      </c>
      <c r="N327" s="103" t="str">
        <f>IFERROR(__xludf.DUMMYFUNCTION("""COMPUTED_VALUE"""),"")</f>
        <v/>
      </c>
      <c r="O327" s="104"/>
      <c r="P327" s="102" t="s">
        <v>3583</v>
      </c>
      <c r="Q327" s="104"/>
      <c r="R327" s="104" t="s">
        <v>563</v>
      </c>
      <c r="S327" s="104">
        <v>11.0</v>
      </c>
      <c r="T327" s="104" t="s">
        <v>3901</v>
      </c>
      <c r="U327" s="104"/>
      <c r="V327" s="104" t="s">
        <v>3901</v>
      </c>
      <c r="W327" s="104"/>
    </row>
    <row r="328">
      <c r="A328" s="105">
        <v>45968.0</v>
      </c>
      <c r="B328" s="79" t="str">
        <f>IFERROR(__xludf.DUMMYFUNCTION("""COMPUTED_VALUE"""),"SS-PIN-BU-1A-23")</f>
        <v>SS-PIN-BU-1A-23</v>
      </c>
      <c r="C328" s="104"/>
      <c r="D328" s="104"/>
      <c r="E328" s="104" t="str">
        <f>IFERROR(__xludf.DUMMYFUNCTION("""COMPUTED_VALUE"""),"")</f>
        <v/>
      </c>
      <c r="F328" s="98">
        <v>5.5</v>
      </c>
      <c r="G328" s="110"/>
      <c r="H328" s="100"/>
      <c r="I328" s="98"/>
      <c r="J328" s="111"/>
      <c r="K328" s="110"/>
      <c r="L328" s="104"/>
      <c r="M328" s="98" t="s">
        <v>39</v>
      </c>
      <c r="N328" s="103" t="str">
        <f>IFERROR(__xludf.DUMMYFUNCTION("""COMPUTED_VALUE"""),"")</f>
        <v/>
      </c>
      <c r="O328" s="104"/>
      <c r="P328" s="102" t="s">
        <v>3583</v>
      </c>
      <c r="Q328" s="104"/>
      <c r="R328" s="104" t="s">
        <v>565</v>
      </c>
      <c r="S328" s="104">
        <v>11.0</v>
      </c>
      <c r="T328" s="104" t="s">
        <v>3902</v>
      </c>
      <c r="U328" s="104"/>
      <c r="V328" s="104" t="s">
        <v>3902</v>
      </c>
      <c r="W328" s="104"/>
    </row>
    <row r="329">
      <c r="A329" s="105">
        <v>45968.0</v>
      </c>
      <c r="B329" s="79" t="str">
        <f>IFERROR(__xludf.DUMMYFUNCTION("""COMPUTED_VALUE"""),"SS-PIN-BU-1A-24")</f>
        <v>SS-PIN-BU-1A-24</v>
      </c>
      <c r="C329" s="104"/>
      <c r="D329" s="104"/>
      <c r="E329" s="104" t="str">
        <f>IFERROR(__xludf.DUMMYFUNCTION("""COMPUTED_VALUE"""),"")</f>
        <v/>
      </c>
      <c r="F329" s="98">
        <v>5.5</v>
      </c>
      <c r="G329" s="110"/>
      <c r="H329" s="100"/>
      <c r="I329" s="98"/>
      <c r="J329" s="111"/>
      <c r="K329" s="110"/>
      <c r="L329" s="104"/>
      <c r="M329" s="98" t="s">
        <v>39</v>
      </c>
      <c r="N329" s="103" t="str">
        <f>IFERROR(__xludf.DUMMYFUNCTION("""COMPUTED_VALUE"""),"")</f>
        <v/>
      </c>
      <c r="O329" s="104"/>
      <c r="P329" s="102" t="s">
        <v>3583</v>
      </c>
      <c r="Q329" s="104"/>
      <c r="R329" s="104" t="s">
        <v>567</v>
      </c>
      <c r="S329" s="104">
        <v>11.0</v>
      </c>
      <c r="T329" s="104" t="s">
        <v>3903</v>
      </c>
      <c r="U329" s="104"/>
      <c r="V329" s="104" t="s">
        <v>3903</v>
      </c>
      <c r="W329" s="104"/>
    </row>
    <row r="330">
      <c r="A330" s="105">
        <v>45968.0</v>
      </c>
      <c r="B330" s="79" t="str">
        <f>IFERROR(__xludf.DUMMYFUNCTION("""COMPUTED_VALUE"""),"SS-PIN-BU-1A-25")</f>
        <v>SS-PIN-BU-1A-25</v>
      </c>
      <c r="C330" s="104"/>
      <c r="D330" s="104"/>
      <c r="E330" s="104" t="str">
        <f>IFERROR(__xludf.DUMMYFUNCTION("""COMPUTED_VALUE"""),"")</f>
        <v/>
      </c>
      <c r="F330" s="98">
        <v>5.5</v>
      </c>
      <c r="G330" s="110"/>
      <c r="H330" s="100"/>
      <c r="I330" s="98"/>
      <c r="J330" s="111"/>
      <c r="K330" s="110"/>
      <c r="L330" s="104"/>
      <c r="M330" s="98" t="s">
        <v>39</v>
      </c>
      <c r="N330" s="103" t="str">
        <f>IFERROR(__xludf.DUMMYFUNCTION("""COMPUTED_VALUE"""),"")</f>
        <v/>
      </c>
      <c r="O330" s="104"/>
      <c r="P330" s="102" t="s">
        <v>3583</v>
      </c>
      <c r="Q330" s="104"/>
      <c r="R330" s="104" t="s">
        <v>569</v>
      </c>
      <c r="S330" s="104">
        <v>11.0</v>
      </c>
      <c r="T330" s="104" t="s">
        <v>3904</v>
      </c>
      <c r="U330" s="104"/>
      <c r="V330" s="104" t="s">
        <v>3904</v>
      </c>
      <c r="W330" s="104"/>
    </row>
    <row r="331">
      <c r="A331" s="105">
        <v>45968.0</v>
      </c>
      <c r="B331" s="79" t="str">
        <f>IFERROR(__xludf.DUMMYFUNCTION("""COMPUTED_VALUE"""),"SS-PIN-BU-1A-26")</f>
        <v>SS-PIN-BU-1A-26</v>
      </c>
      <c r="C331" s="104"/>
      <c r="D331" s="104"/>
      <c r="E331" s="104" t="str">
        <f>IFERROR(__xludf.DUMMYFUNCTION("""COMPUTED_VALUE"""),"")</f>
        <v/>
      </c>
      <c r="F331" s="98">
        <v>5.5</v>
      </c>
      <c r="G331" s="110"/>
      <c r="H331" s="100"/>
      <c r="I331" s="98"/>
      <c r="J331" s="111"/>
      <c r="K331" s="110"/>
      <c r="L331" s="104"/>
      <c r="M331" s="98" t="s">
        <v>39</v>
      </c>
      <c r="N331" s="103" t="str">
        <f>IFERROR(__xludf.DUMMYFUNCTION("""COMPUTED_VALUE"""),"")</f>
        <v/>
      </c>
      <c r="O331" s="104"/>
      <c r="P331" s="102" t="s">
        <v>3583</v>
      </c>
      <c r="Q331" s="104"/>
      <c r="R331" s="104" t="s">
        <v>571</v>
      </c>
      <c r="S331" s="104">
        <v>11.0</v>
      </c>
      <c r="T331" s="104" t="s">
        <v>3905</v>
      </c>
      <c r="U331" s="104"/>
      <c r="V331" s="104" t="s">
        <v>3905</v>
      </c>
      <c r="W331" s="104"/>
    </row>
    <row r="332">
      <c r="A332" s="105">
        <v>45968.0</v>
      </c>
      <c r="B332" s="79" t="str">
        <f>IFERROR(__xludf.DUMMYFUNCTION("""COMPUTED_VALUE"""),"SS-PIN-BU-1A-27")</f>
        <v>SS-PIN-BU-1A-27</v>
      </c>
      <c r="C332" s="104"/>
      <c r="D332" s="104"/>
      <c r="E332" s="104" t="str">
        <f>IFERROR(__xludf.DUMMYFUNCTION("""COMPUTED_VALUE"""),"")</f>
        <v/>
      </c>
      <c r="F332" s="98">
        <v>5.5</v>
      </c>
      <c r="G332" s="110"/>
      <c r="H332" s="100"/>
      <c r="I332" s="98"/>
      <c r="J332" s="111"/>
      <c r="K332" s="110"/>
      <c r="L332" s="104"/>
      <c r="M332" s="98" t="s">
        <v>39</v>
      </c>
      <c r="N332" s="103" t="str">
        <f>IFERROR(__xludf.DUMMYFUNCTION("""COMPUTED_VALUE"""),"")</f>
        <v/>
      </c>
      <c r="O332" s="104"/>
      <c r="P332" s="102" t="s">
        <v>3583</v>
      </c>
      <c r="Q332" s="104"/>
      <c r="R332" s="104" t="s">
        <v>573</v>
      </c>
      <c r="S332" s="104">
        <v>11.0</v>
      </c>
      <c r="T332" s="104" t="s">
        <v>3906</v>
      </c>
      <c r="U332" s="104"/>
      <c r="V332" s="104" t="s">
        <v>3906</v>
      </c>
      <c r="W332" s="104"/>
    </row>
    <row r="333">
      <c r="A333" s="105">
        <v>45968.0</v>
      </c>
      <c r="B333" s="79" t="str">
        <f>IFERROR(__xludf.DUMMYFUNCTION("""COMPUTED_VALUE"""),"SS-PIN-BU-1A-28")</f>
        <v>SS-PIN-BU-1A-28</v>
      </c>
      <c r="C333" s="104"/>
      <c r="D333" s="104"/>
      <c r="E333" s="104" t="str">
        <f>IFERROR(__xludf.DUMMYFUNCTION("""COMPUTED_VALUE"""),"")</f>
        <v/>
      </c>
      <c r="F333" s="98">
        <v>5.5</v>
      </c>
      <c r="G333" s="110"/>
      <c r="H333" s="100"/>
      <c r="I333" s="98"/>
      <c r="J333" s="111"/>
      <c r="K333" s="110"/>
      <c r="L333" s="104"/>
      <c r="M333" s="98" t="s">
        <v>39</v>
      </c>
      <c r="N333" s="103" t="str">
        <f>IFERROR(__xludf.DUMMYFUNCTION("""COMPUTED_VALUE"""),"")</f>
        <v/>
      </c>
      <c r="O333" s="104"/>
      <c r="P333" s="102" t="s">
        <v>3583</v>
      </c>
      <c r="Q333" s="104"/>
      <c r="R333" s="104" t="s">
        <v>575</v>
      </c>
      <c r="S333" s="104">
        <v>11.0</v>
      </c>
      <c r="T333" s="104" t="s">
        <v>3907</v>
      </c>
      <c r="U333" s="104"/>
      <c r="V333" s="104" t="s">
        <v>3907</v>
      </c>
      <c r="W333" s="104"/>
    </row>
    <row r="334">
      <c r="A334" s="105">
        <v>45968.0</v>
      </c>
      <c r="B334" s="79" t="str">
        <f>IFERROR(__xludf.DUMMYFUNCTION("""COMPUTED_VALUE"""),"SS-PIN-BU-1A-29")</f>
        <v>SS-PIN-BU-1A-29</v>
      </c>
      <c r="C334" s="104"/>
      <c r="D334" s="104"/>
      <c r="E334" s="104" t="str">
        <f>IFERROR(__xludf.DUMMYFUNCTION("""COMPUTED_VALUE"""),"")</f>
        <v/>
      </c>
      <c r="F334" s="98">
        <v>5.5</v>
      </c>
      <c r="G334" s="110"/>
      <c r="H334" s="100"/>
      <c r="I334" s="98"/>
      <c r="J334" s="111"/>
      <c r="K334" s="110"/>
      <c r="L334" s="104"/>
      <c r="M334" s="98" t="s">
        <v>39</v>
      </c>
      <c r="N334" s="103" t="str">
        <f>IFERROR(__xludf.DUMMYFUNCTION("""COMPUTED_VALUE"""),"")</f>
        <v/>
      </c>
      <c r="O334" s="104"/>
      <c r="P334" s="102" t="s">
        <v>3583</v>
      </c>
      <c r="Q334" s="104"/>
      <c r="R334" s="104" t="s">
        <v>577</v>
      </c>
      <c r="S334" s="104">
        <v>11.0</v>
      </c>
      <c r="T334" s="104" t="s">
        <v>3908</v>
      </c>
      <c r="U334" s="104"/>
      <c r="V334" s="104" t="s">
        <v>3908</v>
      </c>
      <c r="W334" s="104"/>
    </row>
    <row r="335">
      <c r="A335" s="105">
        <v>45968.0</v>
      </c>
      <c r="B335" s="79" t="str">
        <f>IFERROR(__xludf.DUMMYFUNCTION("""COMPUTED_VALUE"""),"SS-PIN-BU-1A-30")</f>
        <v>SS-PIN-BU-1A-30</v>
      </c>
      <c r="C335" s="104"/>
      <c r="D335" s="104"/>
      <c r="E335" s="104" t="str">
        <f>IFERROR(__xludf.DUMMYFUNCTION("""COMPUTED_VALUE"""),"")</f>
        <v/>
      </c>
      <c r="F335" s="98">
        <v>5.5</v>
      </c>
      <c r="G335" s="110"/>
      <c r="H335" s="100"/>
      <c r="I335" s="98"/>
      <c r="J335" s="111"/>
      <c r="K335" s="110"/>
      <c r="L335" s="104"/>
      <c r="M335" s="98" t="s">
        <v>39</v>
      </c>
      <c r="N335" s="103" t="str">
        <f>IFERROR(__xludf.DUMMYFUNCTION("""COMPUTED_VALUE"""),"")</f>
        <v/>
      </c>
      <c r="O335" s="104"/>
      <c r="P335" s="102" t="s">
        <v>3583</v>
      </c>
      <c r="Q335" s="104"/>
      <c r="R335" s="104" t="s">
        <v>579</v>
      </c>
      <c r="S335" s="104">
        <v>11.0</v>
      </c>
      <c r="T335" s="104" t="s">
        <v>3909</v>
      </c>
      <c r="U335" s="104"/>
      <c r="V335" s="104" t="s">
        <v>3909</v>
      </c>
      <c r="W335" s="104"/>
    </row>
    <row r="336">
      <c r="A336" s="105">
        <v>45968.0</v>
      </c>
      <c r="B336" s="79" t="str">
        <f>IFERROR(__xludf.DUMMYFUNCTION("""COMPUTED_VALUE"""),"SS-PIN-BU-1A-31")</f>
        <v>SS-PIN-BU-1A-31</v>
      </c>
      <c r="C336" s="104"/>
      <c r="D336" s="104"/>
      <c r="E336" s="104" t="str">
        <f>IFERROR(__xludf.DUMMYFUNCTION("""COMPUTED_VALUE"""),"")</f>
        <v/>
      </c>
      <c r="F336" s="98">
        <v>5.5</v>
      </c>
      <c r="G336" s="110"/>
      <c r="H336" s="100"/>
      <c r="I336" s="98"/>
      <c r="J336" s="111"/>
      <c r="K336" s="110"/>
      <c r="L336" s="104"/>
      <c r="M336" s="98" t="s">
        <v>39</v>
      </c>
      <c r="N336" s="103" t="str">
        <f>IFERROR(__xludf.DUMMYFUNCTION("""COMPUTED_VALUE"""),"")</f>
        <v/>
      </c>
      <c r="O336" s="104"/>
      <c r="P336" s="102" t="s">
        <v>3583</v>
      </c>
      <c r="Q336" s="104"/>
      <c r="R336" s="104" t="s">
        <v>581</v>
      </c>
      <c r="S336" s="104">
        <v>11.0</v>
      </c>
      <c r="T336" s="104" t="s">
        <v>3910</v>
      </c>
      <c r="U336" s="104"/>
      <c r="V336" s="104" t="s">
        <v>3910</v>
      </c>
      <c r="W336" s="104"/>
    </row>
    <row r="337">
      <c r="A337" s="105">
        <v>45968.0</v>
      </c>
      <c r="B337" s="79" t="str">
        <f>IFERROR(__xludf.DUMMYFUNCTION("""COMPUTED_VALUE"""),"SS-PIN-BU-1A-32")</f>
        <v>SS-PIN-BU-1A-32</v>
      </c>
      <c r="C337" s="104"/>
      <c r="D337" s="104"/>
      <c r="E337" s="104" t="str">
        <f>IFERROR(__xludf.DUMMYFUNCTION("""COMPUTED_VALUE"""),"")</f>
        <v/>
      </c>
      <c r="F337" s="98">
        <v>5.5</v>
      </c>
      <c r="G337" s="110"/>
      <c r="H337" s="100"/>
      <c r="I337" s="98"/>
      <c r="J337" s="111"/>
      <c r="K337" s="110"/>
      <c r="L337" s="104"/>
      <c r="M337" s="98" t="s">
        <v>39</v>
      </c>
      <c r="N337" s="103" t="str">
        <f>IFERROR(__xludf.DUMMYFUNCTION("""COMPUTED_VALUE"""),"")</f>
        <v/>
      </c>
      <c r="O337" s="104"/>
      <c r="P337" s="102" t="s">
        <v>3583</v>
      </c>
      <c r="Q337" s="104"/>
      <c r="R337" s="104" t="s">
        <v>583</v>
      </c>
      <c r="S337" s="104">
        <v>11.0</v>
      </c>
      <c r="T337" s="104" t="s">
        <v>3911</v>
      </c>
      <c r="U337" s="104"/>
      <c r="V337" s="104" t="s">
        <v>3911</v>
      </c>
      <c r="W337" s="104"/>
    </row>
    <row r="338">
      <c r="A338" s="105">
        <v>45968.0</v>
      </c>
      <c r="B338" s="79" t="str">
        <f>IFERROR(__xludf.DUMMYFUNCTION("""COMPUTED_VALUE"""),"SS-PIN-BU-1A-33")</f>
        <v>SS-PIN-BU-1A-33</v>
      </c>
      <c r="C338" s="104"/>
      <c r="D338" s="104"/>
      <c r="E338" s="104" t="str">
        <f>IFERROR(__xludf.DUMMYFUNCTION("""COMPUTED_VALUE"""),"")</f>
        <v/>
      </c>
      <c r="F338" s="98">
        <v>5.5</v>
      </c>
      <c r="G338" s="110"/>
      <c r="H338" s="100"/>
      <c r="I338" s="98"/>
      <c r="J338" s="111"/>
      <c r="K338" s="110"/>
      <c r="L338" s="104"/>
      <c r="M338" s="98" t="s">
        <v>39</v>
      </c>
      <c r="N338" s="103" t="str">
        <f>IFERROR(__xludf.DUMMYFUNCTION("""COMPUTED_VALUE"""),"")</f>
        <v/>
      </c>
      <c r="O338" s="104"/>
      <c r="P338" s="102" t="s">
        <v>3583</v>
      </c>
      <c r="Q338" s="104"/>
      <c r="R338" s="104" t="s">
        <v>585</v>
      </c>
      <c r="S338" s="104">
        <v>11.0</v>
      </c>
      <c r="T338" s="104" t="s">
        <v>3912</v>
      </c>
      <c r="U338" s="104"/>
      <c r="V338" s="104" t="s">
        <v>3912</v>
      </c>
      <c r="W338" s="104"/>
    </row>
    <row r="339">
      <c r="A339" s="105">
        <v>45968.0</v>
      </c>
      <c r="B339" s="79" t="str">
        <f>IFERROR(__xludf.DUMMYFUNCTION("""COMPUTED_VALUE"""),"SS-PIN-BU-1A-34")</f>
        <v>SS-PIN-BU-1A-34</v>
      </c>
      <c r="C339" s="104"/>
      <c r="D339" s="104"/>
      <c r="E339" s="104" t="str">
        <f>IFERROR(__xludf.DUMMYFUNCTION("""COMPUTED_VALUE"""),"")</f>
        <v/>
      </c>
      <c r="F339" s="98">
        <v>5.5</v>
      </c>
      <c r="G339" s="110"/>
      <c r="H339" s="100"/>
      <c r="I339" s="98"/>
      <c r="J339" s="111"/>
      <c r="K339" s="110"/>
      <c r="L339" s="104"/>
      <c r="M339" s="98" t="s">
        <v>39</v>
      </c>
      <c r="N339" s="103" t="str">
        <f>IFERROR(__xludf.DUMMYFUNCTION("""COMPUTED_VALUE"""),"")</f>
        <v/>
      </c>
      <c r="O339" s="104"/>
      <c r="P339" s="102" t="s">
        <v>3583</v>
      </c>
      <c r="Q339" s="104"/>
      <c r="R339" s="104" t="s">
        <v>587</v>
      </c>
      <c r="S339" s="104">
        <v>11.0</v>
      </c>
      <c r="T339" s="104" t="s">
        <v>3913</v>
      </c>
      <c r="U339" s="104"/>
      <c r="V339" s="104" t="s">
        <v>3913</v>
      </c>
      <c r="W339" s="104"/>
    </row>
    <row r="340">
      <c r="A340" s="105">
        <v>45968.0</v>
      </c>
      <c r="B340" s="79" t="str">
        <f>IFERROR(__xludf.DUMMYFUNCTION("""COMPUTED_VALUE"""),"SS-PIN-BU-1A-35")</f>
        <v>SS-PIN-BU-1A-35</v>
      </c>
      <c r="C340" s="104"/>
      <c r="D340" s="104"/>
      <c r="E340" s="104" t="str">
        <f>IFERROR(__xludf.DUMMYFUNCTION("""COMPUTED_VALUE"""),"")</f>
        <v/>
      </c>
      <c r="F340" s="98">
        <v>5.5</v>
      </c>
      <c r="G340" s="110"/>
      <c r="H340" s="100"/>
      <c r="I340" s="98"/>
      <c r="J340" s="111"/>
      <c r="K340" s="110"/>
      <c r="L340" s="104"/>
      <c r="M340" s="98" t="s">
        <v>39</v>
      </c>
      <c r="N340" s="103" t="str">
        <f>IFERROR(__xludf.DUMMYFUNCTION("""COMPUTED_VALUE"""),"")</f>
        <v/>
      </c>
      <c r="O340" s="104"/>
      <c r="P340" s="102" t="s">
        <v>3583</v>
      </c>
      <c r="Q340" s="104"/>
      <c r="R340" s="104" t="s">
        <v>589</v>
      </c>
      <c r="S340" s="104">
        <v>11.0</v>
      </c>
      <c r="T340" s="104" t="s">
        <v>3914</v>
      </c>
      <c r="U340" s="104"/>
      <c r="V340" s="104" t="s">
        <v>3914</v>
      </c>
      <c r="W340" s="104"/>
    </row>
    <row r="341">
      <c r="A341" s="105">
        <v>45968.0</v>
      </c>
      <c r="B341" s="79" t="str">
        <f>IFERROR(__xludf.DUMMYFUNCTION("""COMPUTED_VALUE"""),"SS-PIN-BU-1A-36")</f>
        <v>SS-PIN-BU-1A-36</v>
      </c>
      <c r="C341" s="104"/>
      <c r="D341" s="104"/>
      <c r="E341" s="104" t="str">
        <f>IFERROR(__xludf.DUMMYFUNCTION("""COMPUTED_VALUE"""),"")</f>
        <v/>
      </c>
      <c r="F341" s="98">
        <v>5.5</v>
      </c>
      <c r="G341" s="110"/>
      <c r="H341" s="100"/>
      <c r="I341" s="98"/>
      <c r="J341" s="111"/>
      <c r="K341" s="110"/>
      <c r="L341" s="104"/>
      <c r="M341" s="98" t="s">
        <v>39</v>
      </c>
      <c r="N341" s="103" t="str">
        <f>IFERROR(__xludf.DUMMYFUNCTION("""COMPUTED_VALUE"""),"")</f>
        <v/>
      </c>
      <c r="O341" s="104"/>
      <c r="P341" s="102" t="s">
        <v>3583</v>
      </c>
      <c r="Q341" s="104"/>
      <c r="R341" s="104" t="s">
        <v>591</v>
      </c>
      <c r="S341" s="104">
        <v>11.0</v>
      </c>
      <c r="T341" s="104" t="s">
        <v>3915</v>
      </c>
      <c r="U341" s="104"/>
      <c r="V341" s="104" t="s">
        <v>3915</v>
      </c>
      <c r="W341" s="104"/>
    </row>
    <row r="342">
      <c r="A342" s="105">
        <v>45968.0</v>
      </c>
      <c r="B342" s="79" t="str">
        <f>IFERROR(__xludf.DUMMYFUNCTION("""COMPUTED_VALUE"""),"SS-PIN-BU-1A-37")</f>
        <v>SS-PIN-BU-1A-37</v>
      </c>
      <c r="C342" s="104"/>
      <c r="D342" s="104"/>
      <c r="E342" s="104" t="str">
        <f>IFERROR(__xludf.DUMMYFUNCTION("""COMPUTED_VALUE"""),"")</f>
        <v/>
      </c>
      <c r="F342" s="98">
        <v>5.5</v>
      </c>
      <c r="G342" s="110"/>
      <c r="H342" s="100"/>
      <c r="I342" s="98"/>
      <c r="J342" s="111"/>
      <c r="K342" s="110"/>
      <c r="L342" s="104"/>
      <c r="M342" s="98" t="s">
        <v>39</v>
      </c>
      <c r="N342" s="103" t="str">
        <f>IFERROR(__xludf.DUMMYFUNCTION("""COMPUTED_VALUE"""),"")</f>
        <v/>
      </c>
      <c r="O342" s="104"/>
      <c r="P342" s="102" t="s">
        <v>3583</v>
      </c>
      <c r="Q342" s="104"/>
      <c r="R342" s="104" t="s">
        <v>593</v>
      </c>
      <c r="S342" s="104">
        <v>11.0</v>
      </c>
      <c r="T342" s="104" t="s">
        <v>3916</v>
      </c>
      <c r="U342" s="104"/>
      <c r="V342" s="104" t="s">
        <v>3916</v>
      </c>
      <c r="W342" s="104"/>
    </row>
    <row r="343">
      <c r="A343" s="105">
        <v>45968.0</v>
      </c>
      <c r="B343" s="79" t="str">
        <f>IFERROR(__xludf.DUMMYFUNCTION("""COMPUTED_VALUE"""),"SS-PIN-BU-1A-38")</f>
        <v>SS-PIN-BU-1A-38</v>
      </c>
      <c r="C343" s="104"/>
      <c r="D343" s="104"/>
      <c r="E343" s="104" t="str">
        <f>IFERROR(__xludf.DUMMYFUNCTION("""COMPUTED_VALUE"""),"")</f>
        <v/>
      </c>
      <c r="F343" s="98">
        <v>5.5</v>
      </c>
      <c r="G343" s="110"/>
      <c r="H343" s="100"/>
      <c r="I343" s="98"/>
      <c r="J343" s="111"/>
      <c r="K343" s="110"/>
      <c r="L343" s="104"/>
      <c r="M343" s="98" t="s">
        <v>39</v>
      </c>
      <c r="N343" s="103" t="str">
        <f>IFERROR(__xludf.DUMMYFUNCTION("""COMPUTED_VALUE"""),"")</f>
        <v/>
      </c>
      <c r="O343" s="104"/>
      <c r="P343" s="102" t="s">
        <v>3583</v>
      </c>
      <c r="Q343" s="104"/>
      <c r="R343" s="104" t="s">
        <v>595</v>
      </c>
      <c r="S343" s="104">
        <v>11.0</v>
      </c>
      <c r="T343" s="104" t="s">
        <v>3917</v>
      </c>
      <c r="U343" s="104"/>
      <c r="V343" s="104" t="s">
        <v>3917</v>
      </c>
      <c r="W343" s="104"/>
    </row>
    <row r="344">
      <c r="A344" s="105">
        <v>45968.0</v>
      </c>
      <c r="B344" s="79" t="str">
        <f>IFERROR(__xludf.DUMMYFUNCTION("""COMPUTED_VALUE"""),"SS-PIN-BU-1A-39")</f>
        <v>SS-PIN-BU-1A-39</v>
      </c>
      <c r="C344" s="104"/>
      <c r="D344" s="104"/>
      <c r="E344" s="104" t="str">
        <f>IFERROR(__xludf.DUMMYFUNCTION("""COMPUTED_VALUE"""),"")</f>
        <v/>
      </c>
      <c r="F344" s="98">
        <v>5.5</v>
      </c>
      <c r="G344" s="110"/>
      <c r="H344" s="100"/>
      <c r="I344" s="98"/>
      <c r="J344" s="111"/>
      <c r="K344" s="110"/>
      <c r="L344" s="104"/>
      <c r="M344" s="98" t="s">
        <v>39</v>
      </c>
      <c r="N344" s="103" t="str">
        <f>IFERROR(__xludf.DUMMYFUNCTION("""COMPUTED_VALUE"""),"")</f>
        <v/>
      </c>
      <c r="O344" s="104"/>
      <c r="P344" s="102" t="s">
        <v>3583</v>
      </c>
      <c r="Q344" s="104"/>
      <c r="R344" s="104" t="s">
        <v>597</v>
      </c>
      <c r="S344" s="104">
        <v>11.0</v>
      </c>
      <c r="T344" s="104" t="s">
        <v>3918</v>
      </c>
      <c r="U344" s="104"/>
      <c r="V344" s="104" t="s">
        <v>3918</v>
      </c>
      <c r="W344" s="104"/>
    </row>
    <row r="345">
      <c r="A345" s="105">
        <v>45968.0</v>
      </c>
      <c r="B345" s="79" t="str">
        <f>IFERROR(__xludf.DUMMYFUNCTION("""COMPUTED_VALUE"""),"SS-PIN-BU-1A-40")</f>
        <v>SS-PIN-BU-1A-40</v>
      </c>
      <c r="C345" s="104"/>
      <c r="D345" s="104"/>
      <c r="E345" s="104" t="str">
        <f>IFERROR(__xludf.DUMMYFUNCTION("""COMPUTED_VALUE"""),"")</f>
        <v/>
      </c>
      <c r="F345" s="98">
        <v>5.5</v>
      </c>
      <c r="G345" s="110"/>
      <c r="H345" s="100"/>
      <c r="I345" s="98"/>
      <c r="J345" s="111"/>
      <c r="K345" s="110"/>
      <c r="L345" s="104"/>
      <c r="M345" s="98" t="s">
        <v>39</v>
      </c>
      <c r="N345" s="103" t="str">
        <f>IFERROR(__xludf.DUMMYFUNCTION("""COMPUTED_VALUE"""),"")</f>
        <v/>
      </c>
      <c r="O345" s="104"/>
      <c r="P345" s="102" t="s">
        <v>3583</v>
      </c>
      <c r="Q345" s="104"/>
      <c r="R345" s="104" t="s">
        <v>599</v>
      </c>
      <c r="S345" s="104">
        <v>11.0</v>
      </c>
      <c r="T345" s="104" t="s">
        <v>3919</v>
      </c>
      <c r="U345" s="104"/>
      <c r="V345" s="104" t="s">
        <v>3919</v>
      </c>
      <c r="W345" s="104"/>
    </row>
    <row r="346">
      <c r="A346" s="105">
        <v>45968.0</v>
      </c>
      <c r="B346" s="79" t="str">
        <f>IFERROR(__xludf.DUMMYFUNCTION("""COMPUTED_VALUE"""),"SS-PIN-BU-1A-41")</f>
        <v>SS-PIN-BU-1A-41</v>
      </c>
      <c r="C346" s="104"/>
      <c r="D346" s="104"/>
      <c r="E346" s="104" t="str">
        <f>IFERROR(__xludf.DUMMYFUNCTION("""COMPUTED_VALUE"""),"")</f>
        <v/>
      </c>
      <c r="F346" s="98">
        <v>5.5</v>
      </c>
      <c r="G346" s="110"/>
      <c r="H346" s="100"/>
      <c r="I346" s="98"/>
      <c r="J346" s="111"/>
      <c r="K346" s="110"/>
      <c r="L346" s="104"/>
      <c r="M346" s="98" t="s">
        <v>39</v>
      </c>
      <c r="N346" s="103" t="str">
        <f>IFERROR(__xludf.DUMMYFUNCTION("""COMPUTED_VALUE"""),"")</f>
        <v/>
      </c>
      <c r="O346" s="104"/>
      <c r="P346" s="102" t="s">
        <v>3583</v>
      </c>
      <c r="Q346" s="104"/>
      <c r="R346" s="104" t="s">
        <v>601</v>
      </c>
      <c r="S346" s="104">
        <v>11.0</v>
      </c>
      <c r="T346" s="104" t="s">
        <v>3920</v>
      </c>
      <c r="U346" s="104"/>
      <c r="V346" s="104" t="s">
        <v>3920</v>
      </c>
      <c r="W346" s="104"/>
    </row>
    <row r="347">
      <c r="A347" s="105">
        <v>45968.0</v>
      </c>
      <c r="B347" s="79" t="str">
        <f>IFERROR(__xludf.DUMMYFUNCTION("""COMPUTED_VALUE"""),"SS-PIN-BU-1A-42")</f>
        <v>SS-PIN-BU-1A-42</v>
      </c>
      <c r="C347" s="104"/>
      <c r="D347" s="104"/>
      <c r="E347" s="104" t="str">
        <f>IFERROR(__xludf.DUMMYFUNCTION("""COMPUTED_VALUE"""),"")</f>
        <v/>
      </c>
      <c r="F347" s="98">
        <v>5.5</v>
      </c>
      <c r="G347" s="110"/>
      <c r="H347" s="100"/>
      <c r="I347" s="98"/>
      <c r="J347" s="111"/>
      <c r="K347" s="112">
        <v>15.0</v>
      </c>
      <c r="L347" s="104"/>
      <c r="M347" s="98">
        <v>15.0</v>
      </c>
      <c r="N347" s="103" t="str">
        <f>IFERROR(__xludf.DUMMYFUNCTION("""COMPUTED_VALUE"""),"")</f>
        <v/>
      </c>
      <c r="O347" s="104"/>
      <c r="P347" s="102" t="s">
        <v>3583</v>
      </c>
      <c r="Q347" s="104"/>
      <c r="R347" s="104" t="s">
        <v>603</v>
      </c>
      <c r="S347" s="104">
        <v>11.0</v>
      </c>
      <c r="T347" s="104" t="s">
        <v>3921</v>
      </c>
      <c r="U347" s="104"/>
      <c r="V347" s="104" t="s">
        <v>3921</v>
      </c>
      <c r="W347" s="104"/>
    </row>
    <row r="348">
      <c r="A348" s="105">
        <v>45968.0</v>
      </c>
      <c r="B348" s="79" t="str">
        <f>IFERROR(__xludf.DUMMYFUNCTION("""COMPUTED_VALUE"""),"SS-PIN-BU-1A-43")</f>
        <v>SS-PIN-BU-1A-43</v>
      </c>
      <c r="C348" s="104"/>
      <c r="D348" s="104"/>
      <c r="E348" s="104" t="str">
        <f>IFERROR(__xludf.DUMMYFUNCTION("""COMPUTED_VALUE"""),"")</f>
        <v/>
      </c>
      <c r="F348" s="98">
        <v>5.5</v>
      </c>
      <c r="G348" s="110"/>
      <c r="H348" s="100"/>
      <c r="I348" s="98"/>
      <c r="J348" s="111"/>
      <c r="K348" s="110"/>
      <c r="L348" s="104"/>
      <c r="M348" s="98" t="s">
        <v>39</v>
      </c>
      <c r="N348" s="103" t="str">
        <f>IFERROR(__xludf.DUMMYFUNCTION("""COMPUTED_VALUE"""),"")</f>
        <v/>
      </c>
      <c r="O348" s="104"/>
      <c r="P348" s="102" t="s">
        <v>3583</v>
      </c>
      <c r="Q348" s="104"/>
      <c r="R348" s="104" t="s">
        <v>605</v>
      </c>
      <c r="S348" s="104">
        <v>11.0</v>
      </c>
      <c r="T348" s="104" t="s">
        <v>3922</v>
      </c>
      <c r="U348" s="104"/>
      <c r="V348" s="104" t="s">
        <v>3922</v>
      </c>
      <c r="W348" s="104"/>
    </row>
    <row r="349">
      <c r="A349" s="105">
        <v>45968.0</v>
      </c>
      <c r="B349" s="79" t="str">
        <f>IFERROR(__xludf.DUMMYFUNCTION("""COMPUTED_VALUE"""),"SS-PIN-BU-1A-44")</f>
        <v>SS-PIN-BU-1A-44</v>
      </c>
      <c r="C349" s="104"/>
      <c r="D349" s="104"/>
      <c r="E349" s="104" t="str">
        <f>IFERROR(__xludf.DUMMYFUNCTION("""COMPUTED_VALUE"""),"")</f>
        <v/>
      </c>
      <c r="F349" s="98">
        <v>5.5</v>
      </c>
      <c r="G349" s="110"/>
      <c r="H349" s="100"/>
      <c r="I349" s="98"/>
      <c r="J349" s="111"/>
      <c r="K349" s="112">
        <v>16.0</v>
      </c>
      <c r="L349" s="104"/>
      <c r="M349" s="98">
        <v>16.0</v>
      </c>
      <c r="N349" s="103" t="str">
        <f>IFERROR(__xludf.DUMMYFUNCTION("""COMPUTED_VALUE"""),"")</f>
        <v/>
      </c>
      <c r="O349" s="104"/>
      <c r="P349" s="102" t="s">
        <v>1626</v>
      </c>
      <c r="Q349" s="104"/>
      <c r="R349" s="104" t="s">
        <v>607</v>
      </c>
      <c r="S349" s="104">
        <v>11.0</v>
      </c>
      <c r="T349" s="104" t="s">
        <v>3923</v>
      </c>
      <c r="U349" s="104"/>
      <c r="V349" s="104" t="s">
        <v>3923</v>
      </c>
      <c r="W349" s="104"/>
    </row>
    <row r="350">
      <c r="A350" s="105">
        <v>45968.0</v>
      </c>
      <c r="B350" s="79" t="str">
        <f>IFERROR(__xludf.DUMMYFUNCTION("""COMPUTED_VALUE"""),"SS-PIN-BU-1A-45")</f>
        <v>SS-PIN-BU-1A-45</v>
      </c>
      <c r="C350" s="104"/>
      <c r="D350" s="104"/>
      <c r="E350" s="104" t="str">
        <f>IFERROR(__xludf.DUMMYFUNCTION("""COMPUTED_VALUE"""),"")</f>
        <v/>
      </c>
      <c r="F350" s="98">
        <v>5.5</v>
      </c>
      <c r="G350" s="110"/>
      <c r="H350" s="100"/>
      <c r="I350" s="98"/>
      <c r="J350" s="111"/>
      <c r="K350" s="110"/>
      <c r="L350" s="104"/>
      <c r="M350" s="98" t="s">
        <v>39</v>
      </c>
      <c r="N350" s="103" t="str">
        <f>IFERROR(__xludf.DUMMYFUNCTION("""COMPUTED_VALUE"""),"")</f>
        <v/>
      </c>
      <c r="O350" s="104"/>
      <c r="P350" s="102" t="s">
        <v>3583</v>
      </c>
      <c r="Q350" s="104"/>
      <c r="R350" s="104" t="s">
        <v>609</v>
      </c>
      <c r="S350" s="104">
        <v>11.0</v>
      </c>
      <c r="T350" s="104" t="s">
        <v>3924</v>
      </c>
      <c r="U350" s="104"/>
      <c r="V350" s="104" t="s">
        <v>3924</v>
      </c>
      <c r="W350" s="104"/>
    </row>
    <row r="351">
      <c r="A351" s="105">
        <v>45969.0</v>
      </c>
      <c r="B351" s="79" t="str">
        <f>IFERROR(__xludf.DUMMYFUNCTION("""COMPUTED_VALUE"""),"SS-HO-CO-1A-2")</f>
        <v>SS-HO-CO-1A-2</v>
      </c>
      <c r="C351" s="104"/>
      <c r="D351" s="104"/>
      <c r="E351" s="104" t="str">
        <f>IFERROR(__xludf.DUMMYFUNCTION("""COMPUTED_VALUE"""),"")</f>
        <v/>
      </c>
      <c r="F351" s="98">
        <v>3.55</v>
      </c>
      <c r="G351" s="110"/>
      <c r="H351" s="100"/>
      <c r="I351" s="98"/>
      <c r="J351" s="111"/>
      <c r="K351" s="110"/>
      <c r="L351" s="104"/>
      <c r="M351" s="98" t="s">
        <v>39</v>
      </c>
      <c r="N351" s="103" t="str">
        <f>IFERROR(__xludf.DUMMYFUNCTION("""COMPUTED_VALUE"""),"")</f>
        <v/>
      </c>
      <c r="O351" s="104"/>
      <c r="P351" s="102" t="s">
        <v>3583</v>
      </c>
      <c r="Q351" s="104"/>
      <c r="R351" s="104" t="s">
        <v>610</v>
      </c>
      <c r="S351" s="104">
        <v>7.1</v>
      </c>
      <c r="T351" s="104" t="s">
        <v>3925</v>
      </c>
      <c r="U351" s="104"/>
      <c r="V351" s="104" t="s">
        <v>3925</v>
      </c>
      <c r="W351" s="104"/>
    </row>
    <row r="352">
      <c r="A352" s="105">
        <v>45969.0</v>
      </c>
      <c r="B352" s="79" t="str">
        <f>IFERROR(__xludf.DUMMYFUNCTION("""COMPUTED_VALUE"""),"SS-HO-CO-1A-3")</f>
        <v>SS-HO-CO-1A-3</v>
      </c>
      <c r="C352" s="104"/>
      <c r="D352" s="104"/>
      <c r="E352" s="104" t="str">
        <f>IFERROR(__xludf.DUMMYFUNCTION("""COMPUTED_VALUE"""),"TO-PO-4-MU-1")</f>
        <v>TO-PO-4-MU-1</v>
      </c>
      <c r="F352" s="98">
        <v>10.649999999999999</v>
      </c>
      <c r="G352" s="110"/>
      <c r="H352" s="100"/>
      <c r="I352" s="98"/>
      <c r="J352" s="111"/>
      <c r="K352" s="110"/>
      <c r="L352" s="104"/>
      <c r="M352" s="98" t="s">
        <v>39</v>
      </c>
      <c r="N352" s="103" t="str">
        <f>IFERROR(__xludf.DUMMYFUNCTION("""COMPUTED_VALUE"""),"")</f>
        <v/>
      </c>
      <c r="O352" s="104"/>
      <c r="P352" s="102"/>
      <c r="Q352" s="104"/>
      <c r="R352" s="104" t="s">
        <v>611</v>
      </c>
      <c r="S352" s="104">
        <v>7.1</v>
      </c>
      <c r="T352" s="104" t="s">
        <v>3926</v>
      </c>
      <c r="U352" s="104"/>
      <c r="V352" s="104" t="s">
        <v>3926</v>
      </c>
      <c r="W352" s="104"/>
    </row>
    <row r="353">
      <c r="A353" s="105">
        <v>45969.0</v>
      </c>
      <c r="B353" s="79" t="str">
        <f>IFERROR(__xludf.DUMMYFUNCTION("""COMPUTED_VALUE"""),"SS-HO-CO-1A-4")</f>
        <v>SS-HO-CO-1A-4</v>
      </c>
      <c r="C353" s="104"/>
      <c r="D353" s="104"/>
      <c r="E353" s="104" t="str">
        <f>IFERROR(__xludf.DUMMYFUNCTION("""COMPUTED_VALUE"""),"")</f>
        <v/>
      </c>
      <c r="F353" s="98">
        <v>3.55</v>
      </c>
      <c r="G353" s="110"/>
      <c r="H353" s="100"/>
      <c r="I353" s="98"/>
      <c r="J353" s="111"/>
      <c r="K353" s="110"/>
      <c r="L353" s="104"/>
      <c r="M353" s="98" t="s">
        <v>39</v>
      </c>
      <c r="N353" s="103" t="str">
        <f>IFERROR(__xludf.DUMMYFUNCTION("""COMPUTED_VALUE"""),"")</f>
        <v/>
      </c>
      <c r="O353" s="104"/>
      <c r="P353" s="102"/>
      <c r="Q353" s="104"/>
      <c r="R353" s="104" t="s">
        <v>612</v>
      </c>
      <c r="S353" s="104">
        <v>7.1</v>
      </c>
      <c r="T353" s="104" t="s">
        <v>3927</v>
      </c>
      <c r="U353" s="104"/>
      <c r="V353" s="104" t="s">
        <v>3927</v>
      </c>
      <c r="W353" s="104"/>
    </row>
    <row r="354">
      <c r="A354" s="105">
        <v>45969.0</v>
      </c>
      <c r="B354" s="79" t="str">
        <f>IFERROR(__xludf.DUMMYFUNCTION("""COMPUTED_VALUE"""),"SS-HO-CO-1A-5")</f>
        <v>SS-HO-CO-1A-5</v>
      </c>
      <c r="C354" s="104"/>
      <c r="D354" s="104"/>
      <c r="E354" s="104" t="str">
        <f>IFERROR(__xludf.DUMMYFUNCTION("""COMPUTED_VALUE"""),"TO-PO-4-MU-1")</f>
        <v>TO-PO-4-MU-1</v>
      </c>
      <c r="F354" s="98">
        <v>7.1</v>
      </c>
      <c r="G354" s="110"/>
      <c r="H354" s="100"/>
      <c r="I354" s="98"/>
      <c r="J354" s="111"/>
      <c r="K354" s="110"/>
      <c r="L354" s="104"/>
      <c r="M354" s="98" t="s">
        <v>39</v>
      </c>
      <c r="N354" s="103" t="str">
        <f>IFERROR(__xludf.DUMMYFUNCTION("""COMPUTED_VALUE"""),"")</f>
        <v/>
      </c>
      <c r="O354" s="104"/>
      <c r="P354" s="104"/>
      <c r="Q354" s="104"/>
      <c r="R354" s="104" t="s">
        <v>613</v>
      </c>
      <c r="S354" s="104">
        <v>7.1</v>
      </c>
      <c r="T354" s="104" t="s">
        <v>3928</v>
      </c>
      <c r="U354" s="104"/>
      <c r="V354" s="104" t="s">
        <v>3928</v>
      </c>
      <c r="W354" s="104"/>
    </row>
    <row r="355">
      <c r="A355" s="105">
        <v>45969.0</v>
      </c>
      <c r="B355" s="79" t="str">
        <f>IFERROR(__xludf.DUMMYFUNCTION("""COMPUTED_VALUE"""),"SS-HO-CO-1A-6")</f>
        <v>SS-HO-CO-1A-6</v>
      </c>
      <c r="C355" s="104"/>
      <c r="D355" s="104"/>
      <c r="E355" s="104" t="str">
        <f>IFERROR(__xludf.DUMMYFUNCTION("""COMPUTED_VALUE"""),"")</f>
        <v/>
      </c>
      <c r="F355" s="98">
        <v>3.55</v>
      </c>
      <c r="G355" s="110"/>
      <c r="H355" s="100"/>
      <c r="I355" s="98"/>
      <c r="J355" s="111"/>
      <c r="K355" s="110"/>
      <c r="L355" s="104"/>
      <c r="M355" s="98" t="s">
        <v>39</v>
      </c>
      <c r="N355" s="103" t="str">
        <f>IFERROR(__xludf.DUMMYFUNCTION("""COMPUTED_VALUE"""),"")</f>
        <v/>
      </c>
      <c r="O355" s="104"/>
      <c r="P355" s="104"/>
      <c r="Q355" s="104"/>
      <c r="R355" s="104" t="s">
        <v>614</v>
      </c>
      <c r="S355" s="104">
        <v>7.1</v>
      </c>
      <c r="T355" s="104" t="s">
        <v>3929</v>
      </c>
      <c r="U355" s="104"/>
      <c r="V355" s="104" t="s">
        <v>3929</v>
      </c>
      <c r="W355" s="104"/>
    </row>
    <row r="356">
      <c r="A356" s="105">
        <v>45969.0</v>
      </c>
      <c r="B356" s="79" t="str">
        <f>IFERROR(__xludf.DUMMYFUNCTION("""COMPUTED_VALUE"""),"SS-HO-CO-1A-7")</f>
        <v>SS-HO-CO-1A-7</v>
      </c>
      <c r="C356" s="104"/>
      <c r="D356" s="104"/>
      <c r="E356" s="104" t="str">
        <f>IFERROR(__xludf.DUMMYFUNCTION("""COMPUTED_VALUE"""),"TO-PO-4-MU-1")</f>
        <v>TO-PO-4-MU-1</v>
      </c>
      <c r="F356" s="98">
        <v>7.1</v>
      </c>
      <c r="G356" s="110"/>
      <c r="H356" s="100"/>
      <c r="I356" s="98"/>
      <c r="J356" s="111"/>
      <c r="K356" s="110"/>
      <c r="L356" s="104"/>
      <c r="M356" s="98" t="s">
        <v>39</v>
      </c>
      <c r="N356" s="103" t="str">
        <f>IFERROR(__xludf.DUMMYFUNCTION("""COMPUTED_VALUE"""),"")</f>
        <v/>
      </c>
      <c r="O356" s="104"/>
      <c r="P356" s="104"/>
      <c r="Q356" s="104"/>
      <c r="R356" s="104" t="s">
        <v>615</v>
      </c>
      <c r="S356" s="104">
        <v>7.1</v>
      </c>
      <c r="T356" s="104" t="s">
        <v>3930</v>
      </c>
      <c r="U356" s="104"/>
      <c r="V356" s="104" t="s">
        <v>3930</v>
      </c>
      <c r="W356" s="104"/>
    </row>
    <row r="357">
      <c r="A357" s="105">
        <v>45969.0</v>
      </c>
      <c r="B357" s="79" t="str">
        <f>IFERROR(__xludf.DUMMYFUNCTION("""COMPUTED_VALUE"""),"SS-HO-CO-1A-8")</f>
        <v>SS-HO-CO-1A-8</v>
      </c>
      <c r="C357" s="104"/>
      <c r="D357" s="104"/>
      <c r="E357" s="104" t="str">
        <f>IFERROR(__xludf.DUMMYFUNCTION("""COMPUTED_VALUE"""),"")</f>
        <v/>
      </c>
      <c r="F357" s="98">
        <v>3.55</v>
      </c>
      <c r="G357" s="110"/>
      <c r="H357" s="100"/>
      <c r="I357" s="98"/>
      <c r="J357" s="111"/>
      <c r="K357" s="110"/>
      <c r="L357" s="104"/>
      <c r="M357" s="98" t="s">
        <v>39</v>
      </c>
      <c r="N357" s="103" t="str">
        <f>IFERROR(__xludf.DUMMYFUNCTION("""COMPUTED_VALUE"""),"")</f>
        <v/>
      </c>
      <c r="O357" s="104"/>
      <c r="P357" s="104"/>
      <c r="Q357" s="104"/>
      <c r="R357" s="104" t="s">
        <v>616</v>
      </c>
      <c r="S357" s="104">
        <v>7.1</v>
      </c>
      <c r="T357" s="104" t="s">
        <v>3931</v>
      </c>
      <c r="U357" s="104"/>
      <c r="V357" s="104" t="s">
        <v>3931</v>
      </c>
      <c r="W357" s="104"/>
    </row>
    <row r="358">
      <c r="A358" s="105">
        <v>45969.0</v>
      </c>
      <c r="B358" s="79" t="str">
        <f>IFERROR(__xludf.DUMMYFUNCTION("""COMPUTED_VALUE"""),"SS-HO-CO-1A-9")</f>
        <v>SS-HO-CO-1A-9</v>
      </c>
      <c r="C358" s="104"/>
      <c r="D358" s="104"/>
      <c r="E358" s="104" t="str">
        <f>IFERROR(__xludf.DUMMYFUNCTION("""COMPUTED_VALUE"""),"")</f>
        <v/>
      </c>
      <c r="F358" s="98">
        <v>3.55</v>
      </c>
      <c r="G358" s="110"/>
      <c r="H358" s="100"/>
      <c r="I358" s="98"/>
      <c r="J358" s="111"/>
      <c r="K358" s="110"/>
      <c r="L358" s="104"/>
      <c r="M358" s="98" t="s">
        <v>39</v>
      </c>
      <c r="N358" s="103" t="str">
        <f>IFERROR(__xludf.DUMMYFUNCTION("""COMPUTED_VALUE"""),"")</f>
        <v/>
      </c>
      <c r="O358" s="104"/>
      <c r="P358" s="102"/>
      <c r="Q358" s="104"/>
      <c r="R358" s="104" t="s">
        <v>617</v>
      </c>
      <c r="S358" s="104">
        <v>7.1</v>
      </c>
      <c r="T358" s="104" t="s">
        <v>3932</v>
      </c>
      <c r="U358" s="104"/>
      <c r="V358" s="104" t="s">
        <v>3932</v>
      </c>
      <c r="W358" s="104"/>
    </row>
    <row r="359">
      <c r="A359" s="105">
        <v>45969.0</v>
      </c>
      <c r="B359" s="79" t="str">
        <f>IFERROR(__xludf.DUMMYFUNCTION("""COMPUTED_VALUE"""),"SS-HO-CO-1A-10")</f>
        <v>SS-HO-CO-1A-10</v>
      </c>
      <c r="C359" s="104"/>
      <c r="D359" s="104"/>
      <c r="E359" s="104" t="str">
        <f>IFERROR(__xludf.DUMMYFUNCTION("""COMPUTED_VALUE"""),"TO-PO-4-MU-1")</f>
        <v>TO-PO-4-MU-1</v>
      </c>
      <c r="F359" s="98">
        <v>7.1</v>
      </c>
      <c r="G359" s="110"/>
      <c r="H359" s="100"/>
      <c r="I359" s="98"/>
      <c r="J359" s="111"/>
      <c r="K359" s="110"/>
      <c r="L359" s="104"/>
      <c r="M359" s="98" t="s">
        <v>39</v>
      </c>
      <c r="N359" s="103" t="str">
        <f>IFERROR(__xludf.DUMMYFUNCTION("""COMPUTED_VALUE"""),"")</f>
        <v/>
      </c>
      <c r="O359" s="104"/>
      <c r="P359" s="104"/>
      <c r="Q359" s="104"/>
      <c r="R359" s="104" t="s">
        <v>618</v>
      </c>
      <c r="S359" s="104">
        <v>7.1</v>
      </c>
      <c r="T359" s="104" t="s">
        <v>3933</v>
      </c>
      <c r="U359" s="104"/>
      <c r="V359" s="104" t="s">
        <v>3933</v>
      </c>
      <c r="W359" s="104"/>
    </row>
    <row r="360">
      <c r="A360" s="105">
        <v>45969.0</v>
      </c>
      <c r="B360" s="79" t="str">
        <f>IFERROR(__xludf.DUMMYFUNCTION("""COMPUTED_VALUE"""),"SS-HO-CO-1A-11")</f>
        <v>SS-HO-CO-1A-11</v>
      </c>
      <c r="C360" s="104"/>
      <c r="D360" s="104"/>
      <c r="E360" s="104" t="str">
        <f>IFERROR(__xludf.DUMMYFUNCTION("""COMPUTED_VALUE"""),"")</f>
        <v/>
      </c>
      <c r="F360" s="98">
        <v>3.55</v>
      </c>
      <c r="G360" s="110"/>
      <c r="H360" s="100"/>
      <c r="I360" s="98"/>
      <c r="J360" s="111"/>
      <c r="K360" s="110"/>
      <c r="L360" s="104"/>
      <c r="M360" s="98" t="s">
        <v>39</v>
      </c>
      <c r="N360" s="103" t="str">
        <f>IFERROR(__xludf.DUMMYFUNCTION("""COMPUTED_VALUE"""),"")</f>
        <v/>
      </c>
      <c r="O360" s="104"/>
      <c r="P360" s="104"/>
      <c r="Q360" s="104"/>
      <c r="R360" s="104" t="s">
        <v>619</v>
      </c>
      <c r="S360" s="104">
        <v>7.1</v>
      </c>
      <c r="T360" s="104" t="s">
        <v>3934</v>
      </c>
      <c r="U360" s="104"/>
      <c r="V360" s="104" t="s">
        <v>3934</v>
      </c>
      <c r="W360" s="104"/>
    </row>
    <row r="361">
      <c r="A361" s="105">
        <v>45969.0</v>
      </c>
      <c r="B361" s="79" t="str">
        <f>IFERROR(__xludf.DUMMYFUNCTION("""COMPUTED_VALUE"""),"SS-HO-CO-1A-12")</f>
        <v>SS-HO-CO-1A-12</v>
      </c>
      <c r="C361" s="104"/>
      <c r="D361" s="104"/>
      <c r="E361" s="104" t="str">
        <f>IFERROR(__xludf.DUMMYFUNCTION("""COMPUTED_VALUE"""),"TO-PO-4-MU-1")</f>
        <v>TO-PO-4-MU-1</v>
      </c>
      <c r="F361" s="98">
        <v>7.1</v>
      </c>
      <c r="G361" s="110"/>
      <c r="H361" s="100"/>
      <c r="I361" s="98"/>
      <c r="J361" s="111"/>
      <c r="K361" s="110"/>
      <c r="L361" s="104"/>
      <c r="M361" s="98" t="s">
        <v>39</v>
      </c>
      <c r="N361" s="103" t="str">
        <f>IFERROR(__xludf.DUMMYFUNCTION("""COMPUTED_VALUE"""),"")</f>
        <v/>
      </c>
      <c r="O361" s="104"/>
      <c r="P361" s="104"/>
      <c r="Q361" s="104"/>
      <c r="R361" s="104" t="s">
        <v>620</v>
      </c>
      <c r="S361" s="104">
        <v>7.1</v>
      </c>
      <c r="T361" s="104" t="s">
        <v>3935</v>
      </c>
      <c r="U361" s="104"/>
      <c r="V361" s="104" t="s">
        <v>3935</v>
      </c>
      <c r="W361" s="104"/>
    </row>
    <row r="362">
      <c r="A362" s="105">
        <v>45969.0</v>
      </c>
      <c r="B362" s="79" t="str">
        <f>IFERROR(__xludf.DUMMYFUNCTION("""COMPUTED_VALUE"""),"SS-HO-CO-1A-13")</f>
        <v>SS-HO-CO-1A-13</v>
      </c>
      <c r="C362" s="104"/>
      <c r="D362" s="104"/>
      <c r="E362" s="104" t="str">
        <f>IFERROR(__xludf.DUMMYFUNCTION("""COMPUTED_VALUE"""),"")</f>
        <v/>
      </c>
      <c r="F362" s="98">
        <v>3.55</v>
      </c>
      <c r="G362" s="110"/>
      <c r="H362" s="100"/>
      <c r="I362" s="98"/>
      <c r="J362" s="111"/>
      <c r="K362" s="110"/>
      <c r="L362" s="104"/>
      <c r="M362" s="98" t="s">
        <v>39</v>
      </c>
      <c r="N362" s="103" t="str">
        <f>IFERROR(__xludf.DUMMYFUNCTION("""COMPUTED_VALUE"""),"")</f>
        <v/>
      </c>
      <c r="O362" s="104"/>
      <c r="P362" s="104"/>
      <c r="Q362" s="104"/>
      <c r="R362" s="104" t="s">
        <v>621</v>
      </c>
      <c r="S362" s="104">
        <v>7.1</v>
      </c>
      <c r="T362" s="104" t="s">
        <v>3936</v>
      </c>
      <c r="U362" s="104"/>
      <c r="V362" s="104" t="s">
        <v>3936</v>
      </c>
      <c r="W362" s="104"/>
    </row>
    <row r="363">
      <c r="A363" s="105">
        <v>45969.0</v>
      </c>
      <c r="B363" s="79" t="str">
        <f>IFERROR(__xludf.DUMMYFUNCTION("""COMPUTED_VALUE"""),"SS-HO-CO-1A-14")</f>
        <v>SS-HO-CO-1A-14</v>
      </c>
      <c r="C363" s="104"/>
      <c r="D363" s="104"/>
      <c r="E363" s="104" t="str">
        <f>IFERROR(__xludf.DUMMYFUNCTION("""COMPUTED_VALUE"""),"")</f>
        <v/>
      </c>
      <c r="F363" s="98">
        <v>3.55</v>
      </c>
      <c r="G363" s="110"/>
      <c r="H363" s="100"/>
      <c r="I363" s="98"/>
      <c r="J363" s="111"/>
      <c r="K363" s="110"/>
      <c r="L363" s="104"/>
      <c r="M363" s="98" t="s">
        <v>39</v>
      </c>
      <c r="N363" s="103" t="str">
        <f>IFERROR(__xludf.DUMMYFUNCTION("""COMPUTED_VALUE"""),"")</f>
        <v/>
      </c>
      <c r="O363" s="104"/>
      <c r="P363" s="104"/>
      <c r="Q363" s="104"/>
      <c r="R363" s="104" t="s">
        <v>622</v>
      </c>
      <c r="S363" s="104">
        <v>7.1</v>
      </c>
      <c r="T363" s="104" t="s">
        <v>3937</v>
      </c>
      <c r="U363" s="104"/>
      <c r="V363" s="104" t="s">
        <v>3937</v>
      </c>
      <c r="W363" s="104"/>
    </row>
    <row r="364">
      <c r="A364" s="105">
        <v>45969.0</v>
      </c>
      <c r="B364" s="79" t="str">
        <f>IFERROR(__xludf.DUMMYFUNCTION("""COMPUTED_VALUE"""),"SS-HO-CO-1A-15")</f>
        <v>SS-HO-CO-1A-15</v>
      </c>
      <c r="C364" s="104"/>
      <c r="D364" s="104"/>
      <c r="E364" s="104" t="str">
        <f>IFERROR(__xludf.DUMMYFUNCTION("""COMPUTED_VALUE"""),"")</f>
        <v/>
      </c>
      <c r="F364" s="98">
        <v>3.55</v>
      </c>
      <c r="G364" s="110"/>
      <c r="H364" s="100"/>
      <c r="I364" s="98"/>
      <c r="J364" s="111"/>
      <c r="K364" s="110"/>
      <c r="L364" s="104"/>
      <c r="M364" s="98" t="s">
        <v>39</v>
      </c>
      <c r="N364" s="103" t="str">
        <f>IFERROR(__xludf.DUMMYFUNCTION("""COMPUTED_VALUE"""),"")</f>
        <v/>
      </c>
      <c r="O364" s="104"/>
      <c r="P364" s="104"/>
      <c r="Q364" s="104"/>
      <c r="R364" s="104" t="s">
        <v>623</v>
      </c>
      <c r="S364" s="104">
        <v>7.1</v>
      </c>
      <c r="T364" s="104" t="s">
        <v>3938</v>
      </c>
      <c r="U364" s="104"/>
      <c r="V364" s="104" t="s">
        <v>3938</v>
      </c>
      <c r="W364" s="104"/>
    </row>
    <row r="365">
      <c r="A365" s="105">
        <v>45968.0</v>
      </c>
      <c r="B365" s="79" t="str">
        <f>IFERROR(__xludf.DUMMYFUNCTION("""COMPUTED_VALUE"""),"AGP-SYN-EC-1A-2")</f>
        <v>AGP-SYN-EC-1A-2</v>
      </c>
      <c r="C365" s="104"/>
      <c r="D365" s="104"/>
      <c r="E365" s="104" t="str">
        <f>IFERROR(__xludf.DUMMYFUNCTION("""COMPUTED_VALUE"""),"GA-PO-4-BL-1")</f>
        <v>GA-PO-4-BL-1</v>
      </c>
      <c r="F365" s="98">
        <v>33.0</v>
      </c>
      <c r="G365" s="110"/>
      <c r="H365" s="100"/>
      <c r="I365" s="98"/>
      <c r="J365" s="111"/>
      <c r="K365" s="110"/>
      <c r="L365" s="104"/>
      <c r="M365" s="98" t="s">
        <v>39</v>
      </c>
      <c r="N365" s="103" t="str">
        <f>IFERROR(__xludf.DUMMYFUNCTION("""COMPUTED_VALUE"""),"")</f>
        <v/>
      </c>
      <c r="O365" s="104"/>
      <c r="P365" s="104"/>
      <c r="Q365" s="104"/>
      <c r="R365" s="104" t="s">
        <v>624</v>
      </c>
      <c r="S365" s="104">
        <v>64.0</v>
      </c>
      <c r="T365" s="104" t="s">
        <v>3939</v>
      </c>
      <c r="U365" s="104"/>
      <c r="V365" s="104" t="s">
        <v>3939</v>
      </c>
      <c r="W365" s="104"/>
    </row>
    <row r="366">
      <c r="A366" s="105">
        <v>45911.0</v>
      </c>
      <c r="B366" s="79" t="str">
        <f>IFERROR(__xludf.DUMMYFUNCTION("""COMPUTED_VALUE"""),"HS-BE-AW-CU-6")</f>
        <v>HS-BE-AW-CU-6</v>
      </c>
      <c r="C366" s="102" t="s">
        <v>169</v>
      </c>
      <c r="D366" s="104"/>
      <c r="E366" s="104" t="str">
        <f>IFERROR(__xludf.DUMMYFUNCTION("""COMPUTED_VALUE"""),"")</f>
        <v/>
      </c>
      <c r="F366" s="98"/>
      <c r="G366" s="110"/>
      <c r="H366" s="100"/>
      <c r="I366" s="98"/>
      <c r="J366" s="111"/>
      <c r="K366" s="110"/>
      <c r="L366" s="104"/>
      <c r="M366" s="98" t="s">
        <v>39</v>
      </c>
      <c r="N366" s="103" t="str">
        <f>IFERROR(__xludf.DUMMYFUNCTION("""COMPUTED_VALUE"""),"")</f>
        <v/>
      </c>
      <c r="O366" s="104"/>
      <c r="P366" s="102" t="s">
        <v>1692</v>
      </c>
      <c r="Q366" s="104"/>
      <c r="R366" s="104" t="s">
        <v>626</v>
      </c>
      <c r="S366" s="104"/>
      <c r="T366" s="104" t="s">
        <v>3940</v>
      </c>
      <c r="U366" s="104"/>
      <c r="V366" s="104" t="s">
        <v>3940</v>
      </c>
      <c r="W366" s="104"/>
    </row>
    <row r="367">
      <c r="A367" s="105">
        <v>45911.0</v>
      </c>
      <c r="B367" s="79" t="str">
        <f>IFERROR(__xludf.DUMMYFUNCTION("""COMPUTED_VALUE"""),"HS-PO-GO-CU-6")</f>
        <v>HS-PO-GO-CU-6</v>
      </c>
      <c r="C367" s="102" t="s">
        <v>169</v>
      </c>
      <c r="D367" s="104"/>
      <c r="E367" s="104" t="str">
        <f>IFERROR(__xludf.DUMMYFUNCTION("""COMPUTED_VALUE"""),"")</f>
        <v/>
      </c>
      <c r="F367" s="98"/>
      <c r="G367" s="110"/>
      <c r="H367" s="100"/>
      <c r="I367" s="98"/>
      <c r="J367" s="111"/>
      <c r="K367" s="110"/>
      <c r="L367" s="104"/>
      <c r="M367" s="98" t="s">
        <v>39</v>
      </c>
      <c r="N367" s="103" t="str">
        <f>IFERROR(__xludf.DUMMYFUNCTION("""COMPUTED_VALUE"""),"")</f>
        <v/>
      </c>
      <c r="O367" s="104"/>
      <c r="P367" s="102"/>
      <c r="Q367" s="104"/>
      <c r="R367" s="104" t="s">
        <v>627</v>
      </c>
      <c r="S367" s="104"/>
      <c r="T367" s="104" t="s">
        <v>3941</v>
      </c>
      <c r="U367" s="104"/>
      <c r="V367" s="104" t="s">
        <v>3941</v>
      </c>
      <c r="W367" s="104"/>
    </row>
    <row r="368">
      <c r="A368" s="105">
        <v>45969.0</v>
      </c>
      <c r="B368" s="79" t="str">
        <f>IFERROR(__xludf.DUMMYFUNCTION("""COMPUTED_VALUE"""),"SS-HO-OB-1A-2")</f>
        <v>SS-HO-OB-1A-2</v>
      </c>
      <c r="C368" s="102" t="s">
        <v>169</v>
      </c>
      <c r="D368" s="104"/>
      <c r="E368" s="104" t="str">
        <f>IFERROR(__xludf.DUMMYFUNCTION("""COMPUTED_VALUE"""),"")</f>
        <v/>
      </c>
      <c r="F368" s="98">
        <v>3.55</v>
      </c>
      <c r="G368" s="110"/>
      <c r="H368" s="100"/>
      <c r="I368" s="98"/>
      <c r="J368" s="98"/>
      <c r="K368" s="110"/>
      <c r="L368" s="104"/>
      <c r="M368" s="98" t="s">
        <v>39</v>
      </c>
      <c r="N368" s="103" t="str">
        <f>IFERROR(__xludf.DUMMYFUNCTION("""COMPUTED_VALUE"""),"")</f>
        <v/>
      </c>
      <c r="O368" s="104"/>
      <c r="P368" s="102" t="s">
        <v>1692</v>
      </c>
      <c r="Q368" s="104"/>
      <c r="R368" s="104" t="s">
        <v>628</v>
      </c>
      <c r="S368" s="104">
        <v>7.1</v>
      </c>
      <c r="T368" s="104" t="s">
        <v>3942</v>
      </c>
      <c r="U368" s="104"/>
      <c r="V368" s="104" t="s">
        <v>3942</v>
      </c>
      <c r="W368" s="104"/>
    </row>
    <row r="369">
      <c r="A369" s="105">
        <v>45969.0</v>
      </c>
      <c r="B369" s="79" t="str">
        <f>IFERROR(__xludf.DUMMYFUNCTION("""COMPUTED_VALUE"""),"SS-HO-OB-1A-3")</f>
        <v>SS-HO-OB-1A-3</v>
      </c>
      <c r="C369" s="102" t="s">
        <v>169</v>
      </c>
      <c r="D369" s="104"/>
      <c r="E369" s="104" t="str">
        <f>IFERROR(__xludf.DUMMYFUNCTION("""COMPUTED_VALUE"""),"")</f>
        <v/>
      </c>
      <c r="F369" s="98">
        <v>3.55</v>
      </c>
      <c r="G369" s="110"/>
      <c r="H369" s="100"/>
      <c r="I369" s="98"/>
      <c r="J369" s="111"/>
      <c r="K369" s="110"/>
      <c r="L369" s="104"/>
      <c r="M369" s="98" t="s">
        <v>39</v>
      </c>
      <c r="N369" s="103" t="str">
        <f>IFERROR(__xludf.DUMMYFUNCTION("""COMPUTED_VALUE"""),"")</f>
        <v/>
      </c>
      <c r="O369" s="104"/>
      <c r="P369" s="102"/>
      <c r="Q369" s="104"/>
      <c r="R369" s="104" t="s">
        <v>629</v>
      </c>
      <c r="S369" s="104">
        <v>7.1</v>
      </c>
      <c r="T369" s="104" t="s">
        <v>3943</v>
      </c>
      <c r="U369" s="104"/>
      <c r="V369" s="104" t="s">
        <v>3943</v>
      </c>
      <c r="W369" s="104"/>
    </row>
    <row r="370">
      <c r="A370" s="105">
        <v>45969.0</v>
      </c>
      <c r="B370" s="79" t="str">
        <f>IFERROR(__xludf.DUMMYFUNCTION("""COMPUTED_VALUE"""),"SS-HO-OB-1A-4")</f>
        <v>SS-HO-OB-1A-4</v>
      </c>
      <c r="C370" s="102" t="s">
        <v>169</v>
      </c>
      <c r="D370" s="104"/>
      <c r="E370" s="104" t="str">
        <f>IFERROR(__xludf.DUMMYFUNCTION("""COMPUTED_VALUE"""),"")</f>
        <v/>
      </c>
      <c r="F370" s="98">
        <v>3.55</v>
      </c>
      <c r="G370" s="110"/>
      <c r="H370" s="100"/>
      <c r="I370" s="98"/>
      <c r="J370" s="111"/>
      <c r="K370" s="110"/>
      <c r="L370" s="104"/>
      <c r="M370" s="98" t="s">
        <v>39</v>
      </c>
      <c r="N370" s="103" t="str">
        <f>IFERROR(__xludf.DUMMYFUNCTION("""COMPUTED_VALUE"""),"")</f>
        <v/>
      </c>
      <c r="O370" s="104"/>
      <c r="P370" s="102" t="s">
        <v>1692</v>
      </c>
      <c r="Q370" s="104"/>
      <c r="R370" s="104" t="s">
        <v>630</v>
      </c>
      <c r="S370" s="104">
        <v>7.1</v>
      </c>
      <c r="T370" s="104" t="s">
        <v>3944</v>
      </c>
      <c r="U370" s="104"/>
      <c r="V370" s="104" t="s">
        <v>3944</v>
      </c>
      <c r="W370" s="104"/>
    </row>
    <row r="371">
      <c r="A371" s="105">
        <v>45969.0</v>
      </c>
      <c r="B371" s="79" t="str">
        <f>IFERROR(__xludf.DUMMYFUNCTION("""COMPUTED_VALUE"""),"SS-HO-OB-1A-5")</f>
        <v>SS-HO-OB-1A-5</v>
      </c>
      <c r="C371" s="104"/>
      <c r="D371" s="104"/>
      <c r="E371" s="104" t="str">
        <f>IFERROR(__xludf.DUMMYFUNCTION("""COMPUTED_VALUE"""),"")</f>
        <v/>
      </c>
      <c r="F371" s="98">
        <v>3.55</v>
      </c>
      <c r="G371" s="110"/>
      <c r="H371" s="100"/>
      <c r="I371" s="98"/>
      <c r="J371" s="111"/>
      <c r="K371" s="98"/>
      <c r="L371" s="104"/>
      <c r="M371" s="98" t="s">
        <v>39</v>
      </c>
      <c r="N371" s="103" t="str">
        <f>IFERROR(__xludf.DUMMYFUNCTION("""COMPUTED_VALUE"""),"")</f>
        <v/>
      </c>
      <c r="O371" s="104"/>
      <c r="P371" s="104"/>
      <c r="Q371" s="104"/>
      <c r="R371" s="104" t="s">
        <v>631</v>
      </c>
      <c r="S371" s="104">
        <v>7.1</v>
      </c>
      <c r="T371" s="104" t="s">
        <v>3945</v>
      </c>
      <c r="U371" s="104"/>
      <c r="V371" s="104" t="s">
        <v>3945</v>
      </c>
      <c r="W371" s="104"/>
    </row>
    <row r="372">
      <c r="A372" s="105">
        <v>45969.0</v>
      </c>
      <c r="B372" s="79" t="str">
        <f>IFERROR(__xludf.DUMMYFUNCTION("""COMPUTED_VALUE"""),"SS-HO-PU-1A-2")</f>
        <v>SS-HO-PU-1A-2</v>
      </c>
      <c r="C372" s="102" t="s">
        <v>18</v>
      </c>
      <c r="D372" s="104"/>
      <c r="E372" s="104" t="str">
        <f>IFERROR(__xludf.DUMMYFUNCTION("""COMPUTED_VALUE"""),"TO-PO-4-MU-1")</f>
        <v>TO-PO-4-MU-1</v>
      </c>
      <c r="F372" s="98">
        <v>7.1</v>
      </c>
      <c r="G372" s="110"/>
      <c r="H372" s="100"/>
      <c r="I372" s="98"/>
      <c r="J372" s="111"/>
      <c r="K372" s="110"/>
      <c r="L372" s="104"/>
      <c r="M372" s="98" t="s">
        <v>39</v>
      </c>
      <c r="N372" s="103" t="str">
        <f>IFERROR(__xludf.DUMMYFUNCTION("""COMPUTED_VALUE"""),"")</f>
        <v/>
      </c>
      <c r="O372" s="104"/>
      <c r="P372" s="102"/>
      <c r="Q372" s="104"/>
      <c r="R372" s="104" t="s">
        <v>632</v>
      </c>
      <c r="S372" s="104">
        <v>7.1</v>
      </c>
      <c r="T372" s="104" t="s">
        <v>3946</v>
      </c>
      <c r="U372" s="104"/>
      <c r="V372" s="104" t="s">
        <v>3946</v>
      </c>
      <c r="W372" s="104"/>
    </row>
    <row r="373">
      <c r="A373" s="105">
        <v>45969.0</v>
      </c>
      <c r="B373" s="79" t="str">
        <f>IFERROR(__xludf.DUMMYFUNCTION("""COMPUTED_VALUE"""),"SS-HO-PU-1A-3")</f>
        <v>SS-HO-PU-1A-3</v>
      </c>
      <c r="C373" s="102" t="s">
        <v>18</v>
      </c>
      <c r="D373" s="104"/>
      <c r="E373" s="104" t="str">
        <f>IFERROR(__xludf.DUMMYFUNCTION("""COMPUTED_VALUE"""),"TO-PO-4-MU-1")</f>
        <v>TO-PO-4-MU-1</v>
      </c>
      <c r="F373" s="98">
        <v>7.1</v>
      </c>
      <c r="G373" s="110"/>
      <c r="H373" s="100"/>
      <c r="I373" s="98"/>
      <c r="J373" s="111"/>
      <c r="K373" s="110"/>
      <c r="L373" s="104"/>
      <c r="M373" s="98" t="s">
        <v>39</v>
      </c>
      <c r="N373" s="103" t="str">
        <f>IFERROR(__xludf.DUMMYFUNCTION("""COMPUTED_VALUE"""),"")</f>
        <v/>
      </c>
      <c r="O373" s="104"/>
      <c r="P373" s="102"/>
      <c r="Q373" s="104"/>
      <c r="R373" s="104" t="s">
        <v>633</v>
      </c>
      <c r="S373" s="104">
        <v>7.1</v>
      </c>
      <c r="T373" s="104" t="s">
        <v>3947</v>
      </c>
      <c r="U373" s="104"/>
      <c r="V373" s="104" t="s">
        <v>3947</v>
      </c>
      <c r="W373" s="104"/>
    </row>
    <row r="374">
      <c r="A374" s="105">
        <v>45969.0</v>
      </c>
      <c r="B374" s="79" t="str">
        <f>IFERROR(__xludf.DUMMYFUNCTION("""COMPUTED_VALUE"""),"SS-HO-PU-1A-4")</f>
        <v>SS-HO-PU-1A-4</v>
      </c>
      <c r="C374" s="102" t="s">
        <v>18</v>
      </c>
      <c r="D374" s="104"/>
      <c r="E374" s="104" t="str">
        <f>IFERROR(__xludf.DUMMYFUNCTION("""COMPUTED_VALUE"""),"")</f>
        <v/>
      </c>
      <c r="F374" s="98">
        <v>3.55</v>
      </c>
      <c r="G374" s="110"/>
      <c r="H374" s="100"/>
      <c r="I374" s="98"/>
      <c r="J374" s="111"/>
      <c r="K374" s="110"/>
      <c r="L374" s="104"/>
      <c r="M374" s="98" t="s">
        <v>39</v>
      </c>
      <c r="N374" s="103" t="str">
        <f>IFERROR(__xludf.DUMMYFUNCTION("""COMPUTED_VALUE"""),"")</f>
        <v/>
      </c>
      <c r="O374" s="104"/>
      <c r="P374" s="102"/>
      <c r="Q374" s="104"/>
      <c r="R374" s="104" t="s">
        <v>634</v>
      </c>
      <c r="S374" s="104">
        <v>7.1</v>
      </c>
      <c r="T374" s="104" t="s">
        <v>3948</v>
      </c>
      <c r="U374" s="104"/>
      <c r="V374" s="104" t="s">
        <v>3948</v>
      </c>
      <c r="W374" s="104"/>
    </row>
    <row r="375">
      <c r="A375" s="105">
        <v>45969.0</v>
      </c>
      <c r="B375" s="79" t="str">
        <f>IFERROR(__xludf.DUMMYFUNCTION("""COMPUTED_VALUE"""),"SS-HO-PU-1A-5")</f>
        <v>SS-HO-PU-1A-5</v>
      </c>
      <c r="C375" s="104"/>
      <c r="D375" s="104"/>
      <c r="E375" s="104" t="str">
        <f>IFERROR(__xludf.DUMMYFUNCTION("""COMPUTED_VALUE"""),"")</f>
        <v/>
      </c>
      <c r="F375" s="98">
        <v>3.55</v>
      </c>
      <c r="G375" s="110"/>
      <c r="H375" s="100"/>
      <c r="I375" s="98"/>
      <c r="J375" s="111"/>
      <c r="K375" s="110"/>
      <c r="L375" s="104"/>
      <c r="M375" s="98" t="s">
        <v>39</v>
      </c>
      <c r="N375" s="103" t="str">
        <f>IFERROR(__xludf.DUMMYFUNCTION("""COMPUTED_VALUE"""),"")</f>
        <v/>
      </c>
      <c r="O375" s="104"/>
      <c r="P375" s="104"/>
      <c r="Q375" s="104"/>
      <c r="R375" s="104" t="s">
        <v>635</v>
      </c>
      <c r="S375" s="104">
        <v>7.1</v>
      </c>
      <c r="T375" s="104" t="s">
        <v>3949</v>
      </c>
      <c r="U375" s="104"/>
      <c r="V375" s="104" t="s">
        <v>3949</v>
      </c>
      <c r="W375" s="104"/>
    </row>
    <row r="376">
      <c r="A376" s="105">
        <v>45969.0</v>
      </c>
      <c r="B376" s="79" t="str">
        <f>IFERROR(__xludf.DUMMYFUNCTION("""COMPUTED_VALUE"""),"SS-HO-PU-1A-6")</f>
        <v>SS-HO-PU-1A-6</v>
      </c>
      <c r="C376" s="104"/>
      <c r="D376" s="104"/>
      <c r="E376" s="104" t="str">
        <f>IFERROR(__xludf.DUMMYFUNCTION("""COMPUTED_VALUE"""),"TO-PO-4-MU-1")</f>
        <v>TO-PO-4-MU-1</v>
      </c>
      <c r="F376" s="98">
        <v>7.1</v>
      </c>
      <c r="G376" s="110"/>
      <c r="H376" s="100"/>
      <c r="I376" s="98"/>
      <c r="J376" s="111"/>
      <c r="K376" s="110"/>
      <c r="L376" s="104"/>
      <c r="M376" s="98" t="s">
        <v>39</v>
      </c>
      <c r="N376" s="103" t="str">
        <f>IFERROR(__xludf.DUMMYFUNCTION("""COMPUTED_VALUE"""),"")</f>
        <v/>
      </c>
      <c r="O376" s="104"/>
      <c r="P376" s="104"/>
      <c r="Q376" s="104"/>
      <c r="R376" s="104" t="s">
        <v>636</v>
      </c>
      <c r="S376" s="104">
        <v>7.1</v>
      </c>
      <c r="T376" s="104" t="s">
        <v>3950</v>
      </c>
      <c r="U376" s="104"/>
      <c r="V376" s="104" t="s">
        <v>3950</v>
      </c>
      <c r="W376" s="104"/>
    </row>
    <row r="377">
      <c r="A377" s="105">
        <v>45969.0</v>
      </c>
      <c r="B377" s="79" t="str">
        <f>IFERROR(__xludf.DUMMYFUNCTION("""COMPUTED_VALUE"""),"SS-HO-PU-1A-7")</f>
        <v>SS-HO-PU-1A-7</v>
      </c>
      <c r="C377" s="104"/>
      <c r="D377" s="104"/>
      <c r="E377" s="104" t="str">
        <f>IFERROR(__xludf.DUMMYFUNCTION("""COMPUTED_VALUE"""),"")</f>
        <v/>
      </c>
      <c r="F377" s="98">
        <v>3.55</v>
      </c>
      <c r="G377" s="110"/>
      <c r="H377" s="100"/>
      <c r="I377" s="98"/>
      <c r="J377" s="111"/>
      <c r="K377" s="110"/>
      <c r="L377" s="104"/>
      <c r="M377" s="98" t="s">
        <v>39</v>
      </c>
      <c r="N377" s="103" t="str">
        <f>IFERROR(__xludf.DUMMYFUNCTION("""COMPUTED_VALUE"""),"")</f>
        <v/>
      </c>
      <c r="O377" s="104"/>
      <c r="P377" s="104"/>
      <c r="Q377" s="104"/>
      <c r="R377" s="104" t="s">
        <v>637</v>
      </c>
      <c r="S377" s="104">
        <v>7.1</v>
      </c>
      <c r="T377" s="104" t="s">
        <v>3951</v>
      </c>
      <c r="U377" s="104"/>
      <c r="V377" s="104" t="s">
        <v>3951</v>
      </c>
      <c r="W377" s="104"/>
    </row>
    <row r="378">
      <c r="A378" s="105">
        <v>45969.0</v>
      </c>
      <c r="B378" s="79" t="str">
        <f>IFERROR(__xludf.DUMMYFUNCTION("""COMPUTED_VALUE"""),"SS-HO-PU-1A-8")</f>
        <v>SS-HO-PU-1A-8</v>
      </c>
      <c r="C378" s="102" t="s">
        <v>312</v>
      </c>
      <c r="D378" s="104"/>
      <c r="E378" s="104" t="str">
        <f>IFERROR(__xludf.DUMMYFUNCTION("""COMPUTED_VALUE"""),"")</f>
        <v/>
      </c>
      <c r="F378" s="98">
        <v>3.55</v>
      </c>
      <c r="G378" s="110"/>
      <c r="H378" s="100"/>
      <c r="I378" s="98"/>
      <c r="J378" s="111"/>
      <c r="K378" s="110"/>
      <c r="L378" s="104"/>
      <c r="M378" s="98" t="s">
        <v>39</v>
      </c>
      <c r="N378" s="103" t="str">
        <f>IFERROR(__xludf.DUMMYFUNCTION("""COMPUTED_VALUE"""),"")</f>
        <v/>
      </c>
      <c r="O378" s="104"/>
      <c r="P378" s="104"/>
      <c r="Q378" s="104"/>
      <c r="R378" s="104" t="s">
        <v>638</v>
      </c>
      <c r="S378" s="104">
        <v>7.1</v>
      </c>
      <c r="T378" s="104" t="s">
        <v>3952</v>
      </c>
      <c r="U378" s="104"/>
      <c r="V378" s="104" t="s">
        <v>3952</v>
      </c>
      <c r="W378" s="104"/>
    </row>
    <row r="379">
      <c r="A379" s="105">
        <v>45969.0</v>
      </c>
      <c r="B379" s="79" t="str">
        <f>IFERROR(__xludf.DUMMYFUNCTION("""COMPUTED_VALUE"""),"SS-HO-PU-1A-9")</f>
        <v>SS-HO-PU-1A-9</v>
      </c>
      <c r="C379" s="102" t="s">
        <v>312</v>
      </c>
      <c r="D379" s="104"/>
      <c r="E379" s="104" t="str">
        <f>IFERROR(__xludf.DUMMYFUNCTION("""COMPUTED_VALUE"""),"")</f>
        <v/>
      </c>
      <c r="F379" s="98">
        <v>3.55</v>
      </c>
      <c r="G379" s="110"/>
      <c r="H379" s="100"/>
      <c r="I379" s="98"/>
      <c r="J379" s="111"/>
      <c r="K379" s="110"/>
      <c r="L379" s="104"/>
      <c r="M379" s="98" t="s">
        <v>39</v>
      </c>
      <c r="N379" s="103" t="str">
        <f>IFERROR(__xludf.DUMMYFUNCTION("""COMPUTED_VALUE"""),"")</f>
        <v/>
      </c>
      <c r="O379" s="104"/>
      <c r="P379" s="104"/>
      <c r="Q379" s="104"/>
      <c r="R379" s="104" t="s">
        <v>639</v>
      </c>
      <c r="S379" s="104">
        <v>7.1</v>
      </c>
      <c r="T379" s="104" t="s">
        <v>3953</v>
      </c>
      <c r="U379" s="104"/>
      <c r="V379" s="104" t="s">
        <v>3953</v>
      </c>
      <c r="W379" s="104"/>
    </row>
    <row r="380">
      <c r="A380" s="105">
        <v>45969.0</v>
      </c>
      <c r="B380" s="79" t="str">
        <f>IFERROR(__xludf.DUMMYFUNCTION("""COMPUTED_VALUE"""),"SS-HO-PU-1A-10")</f>
        <v>SS-HO-PU-1A-10</v>
      </c>
      <c r="C380" s="102" t="s">
        <v>312</v>
      </c>
      <c r="D380" s="104"/>
      <c r="E380" s="104" t="str">
        <f>IFERROR(__xludf.DUMMYFUNCTION("""COMPUTED_VALUE"""),"")</f>
        <v/>
      </c>
      <c r="F380" s="98">
        <v>3.55</v>
      </c>
      <c r="G380" s="110"/>
      <c r="H380" s="100"/>
      <c r="I380" s="98"/>
      <c r="J380" s="111"/>
      <c r="K380" s="104"/>
      <c r="L380" s="104"/>
      <c r="M380" s="98" t="s">
        <v>39</v>
      </c>
      <c r="N380" s="103" t="str">
        <f>IFERROR(__xludf.DUMMYFUNCTION("""COMPUTED_VALUE"""),"")</f>
        <v/>
      </c>
      <c r="O380" s="104"/>
      <c r="P380" s="104"/>
      <c r="Q380" s="104"/>
      <c r="R380" s="104" t="s">
        <v>640</v>
      </c>
      <c r="S380" s="104">
        <v>7.1</v>
      </c>
      <c r="T380" s="104" t="s">
        <v>3954</v>
      </c>
      <c r="U380" s="104"/>
      <c r="V380" s="104" t="s">
        <v>3954</v>
      </c>
      <c r="W380" s="104"/>
    </row>
    <row r="381">
      <c r="A381" s="105">
        <v>45969.0</v>
      </c>
      <c r="B381" s="79" t="str">
        <f>IFERROR(__xludf.DUMMYFUNCTION("""COMPUTED_VALUE"""),"SS-HO-LI-1A-2")</f>
        <v>SS-HO-LI-1A-2</v>
      </c>
      <c r="C381" s="102" t="s">
        <v>312</v>
      </c>
      <c r="D381" s="104"/>
      <c r="E381" s="104" t="str">
        <f>IFERROR(__xludf.DUMMYFUNCTION("""COMPUTED_VALUE"""),"MU-PO-4-WH-1")</f>
        <v>MU-PO-4-WH-1</v>
      </c>
      <c r="F381" s="98">
        <v>24.85</v>
      </c>
      <c r="G381" s="110"/>
      <c r="H381" s="100"/>
      <c r="I381" s="98"/>
      <c r="J381" s="111"/>
      <c r="K381" s="104"/>
      <c r="L381" s="104"/>
      <c r="M381" s="98" t="s">
        <v>39</v>
      </c>
      <c r="N381" s="103" t="str">
        <f>IFERROR(__xludf.DUMMYFUNCTION("""COMPUTED_VALUE"""),"")</f>
        <v/>
      </c>
      <c r="O381" s="104"/>
      <c r="P381" s="104"/>
      <c r="Q381" s="104"/>
      <c r="R381" s="104" t="s">
        <v>641</v>
      </c>
      <c r="S381" s="104">
        <v>7.1</v>
      </c>
      <c r="T381" s="104" t="s">
        <v>3955</v>
      </c>
      <c r="U381" s="104"/>
      <c r="V381" s="104" t="s">
        <v>3955</v>
      </c>
      <c r="W381" s="104"/>
    </row>
    <row r="382">
      <c r="A382" s="105">
        <v>45969.0</v>
      </c>
      <c r="B382" s="79" t="str">
        <f>IFERROR(__xludf.DUMMYFUNCTION("""COMPUTED_VALUE"""),"SS-HO-LI-1A-3")</f>
        <v>SS-HO-LI-1A-3</v>
      </c>
      <c r="C382" s="102" t="s">
        <v>323</v>
      </c>
      <c r="D382" s="104"/>
      <c r="E382" s="104" t="str">
        <f>IFERROR(__xludf.DUMMYFUNCTION("""COMPUTED_VALUE"""),"")</f>
        <v/>
      </c>
      <c r="F382" s="98">
        <v>3.55</v>
      </c>
      <c r="G382" s="110"/>
      <c r="H382" s="100"/>
      <c r="I382" s="98"/>
      <c r="J382" s="111"/>
      <c r="K382" s="104"/>
      <c r="L382" s="104"/>
      <c r="M382" s="98" t="s">
        <v>39</v>
      </c>
      <c r="N382" s="103" t="str">
        <f>IFERROR(__xludf.DUMMYFUNCTION("""COMPUTED_VALUE"""),"")</f>
        <v/>
      </c>
      <c r="O382" s="104"/>
      <c r="P382" s="102" t="s">
        <v>1692</v>
      </c>
      <c r="Q382" s="104"/>
      <c r="R382" s="104" t="s">
        <v>642</v>
      </c>
      <c r="S382" s="104">
        <v>7.1</v>
      </c>
      <c r="T382" s="104" t="s">
        <v>3956</v>
      </c>
      <c r="U382" s="104"/>
      <c r="V382" s="104" t="s">
        <v>3956</v>
      </c>
      <c r="W382" s="104"/>
    </row>
    <row r="383">
      <c r="A383" s="105">
        <v>45969.0</v>
      </c>
      <c r="B383" s="79" t="str">
        <f>IFERROR(__xludf.DUMMYFUNCTION("""COMPUTED_VALUE"""),"SS-HO-LI-1A-4")</f>
        <v>SS-HO-LI-1A-4</v>
      </c>
      <c r="C383" s="102" t="s">
        <v>323</v>
      </c>
      <c r="D383" s="104"/>
      <c r="E383" s="104" t="str">
        <f>IFERROR(__xludf.DUMMYFUNCTION("""COMPUTED_VALUE"""),"")</f>
        <v/>
      </c>
      <c r="F383" s="98">
        <v>3.55</v>
      </c>
      <c r="G383" s="110"/>
      <c r="H383" s="100"/>
      <c r="I383" s="98"/>
      <c r="J383" s="111"/>
      <c r="K383" s="104"/>
      <c r="L383" s="104"/>
      <c r="M383" s="98" t="s">
        <v>39</v>
      </c>
      <c r="N383" s="103" t="str">
        <f>IFERROR(__xludf.DUMMYFUNCTION("""COMPUTED_VALUE"""),"")</f>
        <v/>
      </c>
      <c r="O383" s="104"/>
      <c r="P383" s="102" t="s">
        <v>1692</v>
      </c>
      <c r="Q383" s="104"/>
      <c r="R383" s="104" t="s">
        <v>643</v>
      </c>
      <c r="S383" s="104">
        <v>7.1</v>
      </c>
      <c r="T383" s="104" t="s">
        <v>3957</v>
      </c>
      <c r="U383" s="104"/>
      <c r="V383" s="104" t="s">
        <v>3957</v>
      </c>
      <c r="W383" s="104"/>
    </row>
    <row r="384">
      <c r="A384" s="105">
        <v>45969.0</v>
      </c>
      <c r="B384" s="79" t="str">
        <f>IFERROR(__xludf.DUMMYFUNCTION("""COMPUTED_VALUE"""),"SS-HO-LI-1A-5")</f>
        <v>SS-HO-LI-1A-5</v>
      </c>
      <c r="C384" s="102" t="s">
        <v>323</v>
      </c>
      <c r="D384" s="104"/>
      <c r="E384" s="104" t="str">
        <f>IFERROR(__xludf.DUMMYFUNCTION("""COMPUTED_VALUE"""),"")</f>
        <v/>
      </c>
      <c r="F384" s="98">
        <v>3.55</v>
      </c>
      <c r="G384" s="110"/>
      <c r="H384" s="100"/>
      <c r="I384" s="98"/>
      <c r="J384" s="111"/>
      <c r="K384" s="104"/>
      <c r="L384" s="104"/>
      <c r="M384" s="98" t="s">
        <v>39</v>
      </c>
      <c r="N384" s="103" t="str">
        <f>IFERROR(__xludf.DUMMYFUNCTION("""COMPUTED_VALUE"""),"")</f>
        <v/>
      </c>
      <c r="O384" s="104"/>
      <c r="P384" s="102" t="s">
        <v>1692</v>
      </c>
      <c r="Q384" s="104"/>
      <c r="R384" s="104" t="s">
        <v>644</v>
      </c>
      <c r="S384" s="104">
        <v>7.1</v>
      </c>
      <c r="T384" s="104" t="s">
        <v>3958</v>
      </c>
      <c r="U384" s="104"/>
      <c r="V384" s="104" t="s">
        <v>3958</v>
      </c>
      <c r="W384" s="104"/>
    </row>
    <row r="385">
      <c r="A385" s="105">
        <v>45969.0</v>
      </c>
      <c r="B385" s="79" t="str">
        <f>IFERROR(__xludf.DUMMYFUNCTION("""COMPUTED_VALUE"""),"SS-HO-LI-1A-6")</f>
        <v>SS-HO-LI-1A-6</v>
      </c>
      <c r="C385" s="102" t="s">
        <v>323</v>
      </c>
      <c r="D385" s="104"/>
      <c r="E385" s="104" t="str">
        <f>IFERROR(__xludf.DUMMYFUNCTION("""COMPUTED_VALUE"""),"")</f>
        <v/>
      </c>
      <c r="F385" s="98">
        <v>3.55</v>
      </c>
      <c r="G385" s="110"/>
      <c r="H385" s="100"/>
      <c r="I385" s="98"/>
      <c r="J385" s="111"/>
      <c r="K385" s="104"/>
      <c r="L385" s="104"/>
      <c r="M385" s="98" t="s">
        <v>39</v>
      </c>
      <c r="N385" s="103" t="str">
        <f>IFERROR(__xludf.DUMMYFUNCTION("""COMPUTED_VALUE"""),"")</f>
        <v/>
      </c>
      <c r="O385" s="104"/>
      <c r="P385" s="102" t="s">
        <v>1692</v>
      </c>
      <c r="Q385" s="104"/>
      <c r="R385" s="104" t="s">
        <v>645</v>
      </c>
      <c r="S385" s="104">
        <v>7.1</v>
      </c>
      <c r="T385" s="104" t="s">
        <v>3959</v>
      </c>
      <c r="U385" s="104"/>
      <c r="V385" s="104" t="s">
        <v>3959</v>
      </c>
      <c r="W385" s="104"/>
    </row>
    <row r="386">
      <c r="A386" s="105">
        <v>45969.0</v>
      </c>
      <c r="B386" s="79" t="str">
        <f>IFERROR(__xludf.DUMMYFUNCTION("""COMPUTED_VALUE"""),"SS-HO-LI-1A-7")</f>
        <v>SS-HO-LI-1A-7</v>
      </c>
      <c r="C386" s="102" t="s">
        <v>323</v>
      </c>
      <c r="D386" s="104"/>
      <c r="E386" s="104" t="str">
        <f>IFERROR(__xludf.DUMMYFUNCTION("""COMPUTED_VALUE"""),"")</f>
        <v/>
      </c>
      <c r="F386" s="98">
        <v>3.55</v>
      </c>
      <c r="G386" s="110"/>
      <c r="H386" s="100"/>
      <c r="I386" s="98"/>
      <c r="J386" s="111"/>
      <c r="K386" s="104"/>
      <c r="L386" s="104"/>
      <c r="M386" s="98" t="s">
        <v>39</v>
      </c>
      <c r="N386" s="103" t="str">
        <f>IFERROR(__xludf.DUMMYFUNCTION("""COMPUTED_VALUE"""),"")</f>
        <v/>
      </c>
      <c r="O386" s="104"/>
      <c r="P386" s="102" t="s">
        <v>483</v>
      </c>
      <c r="Q386" s="104"/>
      <c r="R386" s="104" t="s">
        <v>646</v>
      </c>
      <c r="S386" s="104">
        <v>7.1</v>
      </c>
      <c r="T386" s="104" t="s">
        <v>3960</v>
      </c>
      <c r="U386" s="104"/>
      <c r="V386" s="104" t="s">
        <v>3960</v>
      </c>
      <c r="W386" s="104"/>
    </row>
    <row r="387">
      <c r="A387" s="105">
        <v>45969.0</v>
      </c>
      <c r="B387" s="79" t="str">
        <f>IFERROR(__xludf.DUMMYFUNCTION("""COMPUTED_VALUE"""),"SS-HO-LI-1A-8")</f>
        <v>SS-HO-LI-1A-8</v>
      </c>
      <c r="C387" s="102" t="s">
        <v>323</v>
      </c>
      <c r="D387" s="104"/>
      <c r="E387" s="104" t="str">
        <f>IFERROR(__xludf.DUMMYFUNCTION("""COMPUTED_VALUE"""),"")</f>
        <v/>
      </c>
      <c r="F387" s="98">
        <v>3.55</v>
      </c>
      <c r="G387" s="110"/>
      <c r="H387" s="100"/>
      <c r="I387" s="98"/>
      <c r="J387" s="111"/>
      <c r="K387" s="104"/>
      <c r="L387" s="104"/>
      <c r="M387" s="98" t="s">
        <v>39</v>
      </c>
      <c r="N387" s="103" t="str">
        <f>IFERROR(__xludf.DUMMYFUNCTION("""COMPUTED_VALUE"""),"")</f>
        <v/>
      </c>
      <c r="O387" s="104"/>
      <c r="P387" s="102" t="s">
        <v>483</v>
      </c>
      <c r="Q387" s="104"/>
      <c r="R387" s="104" t="s">
        <v>647</v>
      </c>
      <c r="S387" s="104">
        <v>7.1</v>
      </c>
      <c r="T387" s="104" t="s">
        <v>3961</v>
      </c>
      <c r="U387" s="104"/>
      <c r="V387" s="104" t="s">
        <v>3961</v>
      </c>
      <c r="W387" s="104"/>
    </row>
    <row r="388">
      <c r="A388" s="105">
        <v>45969.0</v>
      </c>
      <c r="B388" s="79" t="str">
        <f>IFERROR(__xludf.DUMMYFUNCTION("""COMPUTED_VALUE"""),"SS-HO-LI-1A-9")</f>
        <v>SS-HO-LI-1A-9</v>
      </c>
      <c r="C388" s="102" t="s">
        <v>323</v>
      </c>
      <c r="D388" s="104"/>
      <c r="E388" s="104" t="str">
        <f>IFERROR(__xludf.DUMMYFUNCTION("""COMPUTED_VALUE"""),"")</f>
        <v/>
      </c>
      <c r="F388" s="98">
        <v>3.55</v>
      </c>
      <c r="G388" s="110"/>
      <c r="H388" s="100"/>
      <c r="I388" s="98"/>
      <c r="J388" s="111"/>
      <c r="K388" s="104"/>
      <c r="L388" s="104"/>
      <c r="M388" s="98" t="s">
        <v>39</v>
      </c>
      <c r="N388" s="103" t="str">
        <f>IFERROR(__xludf.DUMMYFUNCTION("""COMPUTED_VALUE"""),"")</f>
        <v/>
      </c>
      <c r="O388" s="104"/>
      <c r="P388" s="102" t="s">
        <v>1692</v>
      </c>
      <c r="Q388" s="104"/>
      <c r="R388" s="104" t="s">
        <v>648</v>
      </c>
      <c r="S388" s="104">
        <v>7.1</v>
      </c>
      <c r="T388" s="104" t="s">
        <v>3962</v>
      </c>
      <c r="U388" s="104"/>
      <c r="V388" s="104" t="s">
        <v>3962</v>
      </c>
      <c r="W388" s="104"/>
    </row>
    <row r="389">
      <c r="A389" s="105">
        <v>45969.0</v>
      </c>
      <c r="B389" s="79" t="str">
        <f>IFERROR(__xludf.DUMMYFUNCTION("""COMPUTED_VALUE"""),"SS-HO-LI-1A-10")</f>
        <v>SS-HO-LI-1A-10</v>
      </c>
      <c r="C389" s="102" t="s">
        <v>3653</v>
      </c>
      <c r="D389" s="104"/>
      <c r="E389" s="104" t="str">
        <f>IFERROR(__xludf.DUMMYFUNCTION("""COMPUTED_VALUE"""),"")</f>
        <v/>
      </c>
      <c r="F389" s="98">
        <v>3.55</v>
      </c>
      <c r="G389" s="110"/>
      <c r="H389" s="100"/>
      <c r="I389" s="98"/>
      <c r="J389" s="111"/>
      <c r="K389" s="104"/>
      <c r="L389" s="104"/>
      <c r="M389" s="98" t="s">
        <v>39</v>
      </c>
      <c r="N389" s="103" t="str">
        <f>IFERROR(__xludf.DUMMYFUNCTION("""COMPUTED_VALUE"""),"")</f>
        <v/>
      </c>
      <c r="O389" s="104"/>
      <c r="P389" s="104"/>
      <c r="Q389" s="104"/>
      <c r="R389" s="104" t="s">
        <v>649</v>
      </c>
      <c r="S389" s="104">
        <v>7.1</v>
      </c>
      <c r="T389" s="104" t="s">
        <v>3963</v>
      </c>
      <c r="U389" s="104"/>
      <c r="V389" s="104" t="s">
        <v>3963</v>
      </c>
      <c r="W389" s="104"/>
    </row>
    <row r="390">
      <c r="A390" s="105">
        <v>45969.0</v>
      </c>
      <c r="B390" s="79" t="str">
        <f>IFERROR(__xludf.DUMMYFUNCTION("""COMPUTED_VALUE"""),"SS-HO-WV-1A")</f>
        <v>SS-HO-WV-1A</v>
      </c>
      <c r="C390" s="102" t="s">
        <v>3653</v>
      </c>
      <c r="D390" s="104"/>
      <c r="E390" s="104" t="str">
        <f>IFERROR(__xludf.DUMMYFUNCTION("""COMPUTED_VALUE"""),"GA-PO-4-BL-1")</f>
        <v>GA-PO-4-BL-1</v>
      </c>
      <c r="F390" s="98">
        <v>24.85</v>
      </c>
      <c r="G390" s="110"/>
      <c r="H390" s="100"/>
      <c r="I390" s="98"/>
      <c r="J390" s="111"/>
      <c r="K390" s="104"/>
      <c r="L390" s="104"/>
      <c r="M390" s="98" t="s">
        <v>39</v>
      </c>
      <c r="N390" s="103" t="str">
        <f>IFERROR(__xludf.DUMMYFUNCTION("""COMPUTED_VALUE"""),"")</f>
        <v/>
      </c>
      <c r="O390" s="104"/>
      <c r="P390" s="102" t="s">
        <v>1692</v>
      </c>
      <c r="Q390" s="104"/>
      <c r="R390" s="104" t="s">
        <v>650</v>
      </c>
      <c r="S390" s="104">
        <v>7.1</v>
      </c>
      <c r="T390" s="104" t="s">
        <v>3964</v>
      </c>
      <c r="U390" s="104"/>
      <c r="V390" s="104" t="s">
        <v>3964</v>
      </c>
      <c r="W390" s="104"/>
    </row>
    <row r="391">
      <c r="A391" s="105">
        <v>45969.0</v>
      </c>
      <c r="B391" s="79" t="str">
        <f>IFERROR(__xludf.DUMMYFUNCTION("""COMPUTED_VALUE"""),"SS-HO-WV-1A-2")</f>
        <v>SS-HO-WV-1A-2</v>
      </c>
      <c r="C391" s="102" t="s">
        <v>3653</v>
      </c>
      <c r="D391" s="104"/>
      <c r="E391" s="104" t="str">
        <f>IFERROR(__xludf.DUMMYFUNCTION("""COMPUTED_VALUE"""),"")</f>
        <v/>
      </c>
      <c r="F391" s="98">
        <v>3.55</v>
      </c>
      <c r="G391" s="110"/>
      <c r="H391" s="100"/>
      <c r="I391" s="98"/>
      <c r="J391" s="111"/>
      <c r="K391" s="104"/>
      <c r="L391" s="104"/>
      <c r="M391" s="98" t="s">
        <v>39</v>
      </c>
      <c r="N391" s="103" t="str">
        <f>IFERROR(__xludf.DUMMYFUNCTION("""COMPUTED_VALUE"""),"")</f>
        <v/>
      </c>
      <c r="O391" s="104"/>
      <c r="P391" s="104"/>
      <c r="Q391" s="104"/>
      <c r="R391" s="104" t="s">
        <v>651</v>
      </c>
      <c r="S391" s="104">
        <v>7.1</v>
      </c>
      <c r="T391" s="104" t="s">
        <v>3965</v>
      </c>
      <c r="U391" s="104"/>
      <c r="V391" s="104" t="s">
        <v>3965</v>
      </c>
      <c r="W391" s="104"/>
    </row>
    <row r="392">
      <c r="A392" s="105">
        <v>45969.0</v>
      </c>
      <c r="B392" s="79" t="str">
        <f>IFERROR(__xludf.DUMMYFUNCTION("""COMPUTED_VALUE"""),"SS-HO-WV-1A-3")</f>
        <v>SS-HO-WV-1A-3</v>
      </c>
      <c r="C392" s="104"/>
      <c r="D392" s="104"/>
      <c r="E392" s="104" t="str">
        <f>IFERROR(__xludf.DUMMYFUNCTION("""COMPUTED_VALUE"""),"")</f>
        <v/>
      </c>
      <c r="F392" s="98">
        <v>3.55</v>
      </c>
      <c r="G392" s="110"/>
      <c r="H392" s="100"/>
      <c r="I392" s="98"/>
      <c r="J392" s="111"/>
      <c r="K392" s="104"/>
      <c r="L392" s="104"/>
      <c r="M392" s="98" t="s">
        <v>39</v>
      </c>
      <c r="N392" s="103" t="str">
        <f>IFERROR(__xludf.DUMMYFUNCTION("""COMPUTED_VALUE"""),"")</f>
        <v/>
      </c>
      <c r="O392" s="104"/>
      <c r="P392" s="104"/>
      <c r="Q392" s="104"/>
      <c r="R392" s="104" t="s">
        <v>652</v>
      </c>
      <c r="S392" s="104">
        <v>7.1</v>
      </c>
      <c r="T392" s="104" t="s">
        <v>3966</v>
      </c>
      <c r="U392" s="104"/>
      <c r="V392" s="104" t="s">
        <v>3966</v>
      </c>
      <c r="W392" s="104"/>
    </row>
    <row r="393">
      <c r="A393" s="105">
        <v>45969.0</v>
      </c>
      <c r="B393" s="79" t="str">
        <f>IFERROR(__xludf.DUMMYFUNCTION("""COMPUTED_VALUE"""),"SS-HO-WV-1A-4")</f>
        <v>SS-HO-WV-1A-4</v>
      </c>
      <c r="C393" s="104"/>
      <c r="D393" s="104"/>
      <c r="E393" s="104" t="str">
        <f>IFERROR(__xludf.DUMMYFUNCTION("""COMPUTED_VALUE"""),"")</f>
        <v/>
      </c>
      <c r="F393" s="98">
        <v>3.55</v>
      </c>
      <c r="G393" s="110"/>
      <c r="H393" s="100"/>
      <c r="I393" s="98"/>
      <c r="J393" s="111"/>
      <c r="K393" s="104"/>
      <c r="L393" s="104"/>
      <c r="M393" s="98" t="s">
        <v>39</v>
      </c>
      <c r="N393" s="103" t="str">
        <f>IFERROR(__xludf.DUMMYFUNCTION("""COMPUTED_VALUE"""),"")</f>
        <v/>
      </c>
      <c r="O393" s="104"/>
      <c r="P393" s="104"/>
      <c r="Q393" s="104"/>
      <c r="R393" s="104" t="s">
        <v>653</v>
      </c>
      <c r="S393" s="104">
        <v>7.1</v>
      </c>
      <c r="T393" s="104" t="s">
        <v>3967</v>
      </c>
      <c r="U393" s="104"/>
      <c r="V393" s="104" t="s">
        <v>3967</v>
      </c>
      <c r="W393" s="104"/>
    </row>
    <row r="394">
      <c r="A394" s="105">
        <v>45971.0</v>
      </c>
      <c r="B394" s="79" t="str">
        <f>IFERROR(__xludf.DUMMYFUNCTION("""COMPUTED_VALUE"""),"IST-AN-FL-1A")</f>
        <v>IST-AN-FL-1A</v>
      </c>
      <c r="C394" s="104"/>
      <c r="D394" s="104"/>
      <c r="E394" s="104" t="str">
        <f>IFERROR(__xludf.DUMMYFUNCTION("""COMPUTED_VALUE"""),"NR-PO-5-TBP-1")</f>
        <v>NR-PO-5-TBP-1</v>
      </c>
      <c r="F394" s="98">
        <v>18.0</v>
      </c>
      <c r="G394" s="110"/>
      <c r="H394" s="100"/>
      <c r="I394" s="98"/>
      <c r="J394" s="111"/>
      <c r="K394" s="104"/>
      <c r="L394" s="104"/>
      <c r="M394" s="98" t="s">
        <v>39</v>
      </c>
      <c r="N394" s="103" t="str">
        <f>IFERROR(__xludf.DUMMYFUNCTION("""COMPUTED_VALUE"""),"")</f>
        <v/>
      </c>
      <c r="O394" s="104"/>
      <c r="P394" s="104"/>
      <c r="Q394" s="104"/>
      <c r="R394" s="104" t="s">
        <v>656</v>
      </c>
      <c r="S394" s="104"/>
      <c r="T394" s="104" t="s">
        <v>3968</v>
      </c>
      <c r="U394" s="104"/>
      <c r="V394" s="104" t="s">
        <v>3968</v>
      </c>
      <c r="W394" s="104"/>
    </row>
    <row r="395">
      <c r="A395" s="105">
        <v>45971.0</v>
      </c>
      <c r="B395" s="79" t="str">
        <f>IFERROR(__xludf.DUMMYFUNCTION("""COMPUTED_VALUE"""),"IST-AN-CRY-1A")</f>
        <v>IST-AN-CRY-1A</v>
      </c>
      <c r="C395" s="104"/>
      <c r="D395" s="104"/>
      <c r="E395" s="104" t="str">
        <f>IFERROR(__xludf.DUMMYFUNCTION("""COMPUTED_VALUE"""),"NR-PO-5-BP-1")</f>
        <v>NR-PO-5-BP-1</v>
      </c>
      <c r="F395" s="98">
        <v>22.0</v>
      </c>
      <c r="G395" s="110"/>
      <c r="H395" s="100"/>
      <c r="I395" s="98"/>
      <c r="J395" s="98"/>
      <c r="K395" s="104"/>
      <c r="L395" s="104"/>
      <c r="M395" s="98" t="s">
        <v>39</v>
      </c>
      <c r="N395" s="103" t="str">
        <f>IFERROR(__xludf.DUMMYFUNCTION("""COMPUTED_VALUE"""),"")</f>
        <v/>
      </c>
      <c r="O395" s="104"/>
      <c r="P395" s="104"/>
      <c r="Q395" s="104"/>
      <c r="R395" s="104" t="s">
        <v>659</v>
      </c>
      <c r="S395" s="104"/>
      <c r="T395" s="104" t="s">
        <v>3969</v>
      </c>
      <c r="U395" s="104"/>
      <c r="V395" s="104" t="s">
        <v>3969</v>
      </c>
      <c r="W395" s="104"/>
    </row>
    <row r="396">
      <c r="A396" s="105">
        <v>45971.0</v>
      </c>
      <c r="B396" s="79" t="str">
        <f>IFERROR(__xludf.DUMMYFUNCTION("""COMPUTED_VALUE"""),"IST-PH-GL-1A")</f>
        <v>IST-PH-GL-1A</v>
      </c>
      <c r="C396" s="104"/>
      <c r="D396" s="104"/>
      <c r="E396" s="104" t="str">
        <f>IFERROR(__xludf.DUMMYFUNCTION("""COMPUTED_VALUE"""),"MU-PO-3-MU-1")</f>
        <v>MU-PO-3-MU-1</v>
      </c>
      <c r="F396" s="98">
        <v>4.666666666666667</v>
      </c>
      <c r="G396" s="110"/>
      <c r="H396" s="100"/>
      <c r="I396" s="98"/>
      <c r="J396" s="98"/>
      <c r="K396" s="104"/>
      <c r="L396" s="104"/>
      <c r="M396" s="98" t="s">
        <v>39</v>
      </c>
      <c r="N396" s="103" t="str">
        <f>IFERROR(__xludf.DUMMYFUNCTION("""COMPUTED_VALUE"""),"")</f>
        <v/>
      </c>
      <c r="O396" s="104"/>
      <c r="P396" s="104"/>
      <c r="Q396" s="104"/>
      <c r="R396" s="104" t="s">
        <v>660</v>
      </c>
      <c r="S396" s="104"/>
      <c r="T396" s="104" t="s">
        <v>3970</v>
      </c>
      <c r="U396" s="104"/>
      <c r="V396" s="104" t="s">
        <v>3970</v>
      </c>
      <c r="W396" s="104"/>
    </row>
    <row r="397">
      <c r="A397" s="105">
        <v>45971.0</v>
      </c>
      <c r="B397" s="79" t="str">
        <f>IFERROR(__xludf.DUMMYFUNCTION("""COMPUTED_VALUE"""),"DSE-PH-PP-1A")</f>
        <v>DSE-PH-PP-1A</v>
      </c>
      <c r="C397" s="104"/>
      <c r="D397" s="104"/>
      <c r="E397" s="104" t="str">
        <f>IFERROR(__xludf.DUMMYFUNCTION("""COMPUTED_VALUE"""),"MA-PO-4-SW-1")</f>
        <v>MA-PO-4-SW-1</v>
      </c>
      <c r="F397" s="98">
        <v>5.79</v>
      </c>
      <c r="G397" s="110"/>
      <c r="H397" s="100"/>
      <c r="I397" s="98"/>
      <c r="J397" s="98"/>
      <c r="K397" s="104"/>
      <c r="L397" s="104"/>
      <c r="M397" s="98" t="s">
        <v>39</v>
      </c>
      <c r="N397" s="103" t="str">
        <f>IFERROR(__xludf.DUMMYFUNCTION("""COMPUTED_VALUE"""),"")</f>
        <v/>
      </c>
      <c r="O397" s="104"/>
      <c r="P397" s="102" t="s">
        <v>1692</v>
      </c>
      <c r="Q397" s="104"/>
      <c r="R397" s="104" t="s">
        <v>661</v>
      </c>
      <c r="S397" s="104">
        <v>15.0</v>
      </c>
      <c r="T397" s="104" t="s">
        <v>3971</v>
      </c>
      <c r="U397" s="104"/>
      <c r="V397" s="104" t="s">
        <v>3971</v>
      </c>
      <c r="W397" s="104"/>
    </row>
    <row r="398">
      <c r="A398" s="105">
        <v>45971.0</v>
      </c>
      <c r="B398" s="79" t="str">
        <f>IFERROR(__xludf.DUMMYFUNCTION("""COMPUTED_VALUE"""),"DSE-PH-PP-1A-2")</f>
        <v>DSE-PH-PP-1A-2</v>
      </c>
      <c r="C398" s="102" t="s">
        <v>123</v>
      </c>
      <c r="D398" s="104"/>
      <c r="E398" s="104" t="str">
        <f>IFERROR(__xludf.DUMMYFUNCTION("""COMPUTED_VALUE"""),"MA-PO-4-SW-1")</f>
        <v>MA-PO-4-SW-1</v>
      </c>
      <c r="F398" s="98">
        <v>5.79</v>
      </c>
      <c r="G398" s="110"/>
      <c r="H398" s="100"/>
      <c r="I398" s="98"/>
      <c r="J398" s="111"/>
      <c r="K398" s="104"/>
      <c r="L398" s="104"/>
      <c r="M398" s="98" t="s">
        <v>39</v>
      </c>
      <c r="N398" s="103" t="str">
        <f>IFERROR(__xludf.DUMMYFUNCTION("""COMPUTED_VALUE"""),"")</f>
        <v/>
      </c>
      <c r="O398" s="104"/>
      <c r="P398" s="102" t="s">
        <v>1692</v>
      </c>
      <c r="Q398" s="104"/>
      <c r="R398" s="104" t="s">
        <v>663</v>
      </c>
      <c r="S398" s="104">
        <v>15.0</v>
      </c>
      <c r="T398" s="104" t="s">
        <v>3972</v>
      </c>
      <c r="U398" s="104"/>
      <c r="V398" s="104" t="s">
        <v>3972</v>
      </c>
      <c r="W398" s="104"/>
    </row>
    <row r="399">
      <c r="A399" s="105">
        <v>45971.0</v>
      </c>
      <c r="B399" s="79" t="str">
        <f>IFERROR(__xludf.DUMMYFUNCTION("""COMPUTED_VALUE"""),"DSE-PH-PP-1A-3")</f>
        <v>DSE-PH-PP-1A-3</v>
      </c>
      <c r="C399" s="102" t="s">
        <v>123</v>
      </c>
      <c r="D399" s="104"/>
      <c r="E399" s="104" t="str">
        <f>IFERROR(__xludf.DUMMYFUNCTION("""COMPUTED_VALUE"""),"")</f>
        <v/>
      </c>
      <c r="F399" s="98">
        <v>5.79</v>
      </c>
      <c r="G399" s="110"/>
      <c r="H399" s="100"/>
      <c r="I399" s="98"/>
      <c r="J399" s="111"/>
      <c r="K399" s="104"/>
      <c r="L399" s="104"/>
      <c r="M399" s="98" t="s">
        <v>39</v>
      </c>
      <c r="N399" s="103" t="str">
        <f>IFERROR(__xludf.DUMMYFUNCTION("""COMPUTED_VALUE"""),"")</f>
        <v/>
      </c>
      <c r="O399" s="104"/>
      <c r="P399" s="102" t="s">
        <v>1692</v>
      </c>
      <c r="Q399" s="104"/>
      <c r="R399" s="104" t="s">
        <v>664</v>
      </c>
      <c r="S399" s="104">
        <v>15.0</v>
      </c>
      <c r="T399" s="104" t="s">
        <v>3973</v>
      </c>
      <c r="U399" s="104"/>
      <c r="V399" s="104" t="s">
        <v>3973</v>
      </c>
      <c r="W399" s="104"/>
    </row>
    <row r="400">
      <c r="A400" s="105">
        <v>45971.0</v>
      </c>
      <c r="B400" s="79" t="str">
        <f>IFERROR(__xludf.DUMMYFUNCTION("""COMPUTED_VALUE"""),"DSE-PH-RC-1A")</f>
        <v>DSE-PH-RC-1A</v>
      </c>
      <c r="C400" s="104"/>
      <c r="D400" s="104"/>
      <c r="E400" s="104" t="str">
        <f>IFERROR(__xludf.DUMMYFUNCTION("""COMPUTED_VALUE"""),"NR-PO-3-PBP-1")</f>
        <v>NR-PO-3-PBP-1</v>
      </c>
      <c r="F400" s="98">
        <v>5.69</v>
      </c>
      <c r="G400" s="110"/>
      <c r="H400" s="100"/>
      <c r="I400" s="98"/>
      <c r="J400" s="111"/>
      <c r="K400" s="104"/>
      <c r="L400" s="104"/>
      <c r="M400" s="98" t="s">
        <v>39</v>
      </c>
      <c r="N400" s="103" t="str">
        <f>IFERROR(__xludf.DUMMYFUNCTION("""COMPUTED_VALUE"""),"")</f>
        <v/>
      </c>
      <c r="O400" s="104"/>
      <c r="P400" s="102" t="s">
        <v>1692</v>
      </c>
      <c r="Q400" s="104"/>
      <c r="R400" s="104" t="s">
        <v>666</v>
      </c>
      <c r="S400" s="104">
        <v>11.38</v>
      </c>
      <c r="T400" s="104" t="s">
        <v>3974</v>
      </c>
      <c r="U400" s="104"/>
      <c r="V400" s="104" t="s">
        <v>3974</v>
      </c>
      <c r="W400" s="104"/>
    </row>
    <row r="401">
      <c r="A401" s="105">
        <v>45971.0</v>
      </c>
      <c r="B401" s="79" t="str">
        <f>IFERROR(__xludf.DUMMYFUNCTION("""COMPUTED_VALUE"""),"DSE-PH-RC-1A-2")</f>
        <v>DSE-PH-RC-1A-2</v>
      </c>
      <c r="C401" s="102" t="s">
        <v>18</v>
      </c>
      <c r="D401" s="104"/>
      <c r="E401" s="104" t="str">
        <f>IFERROR(__xludf.DUMMYFUNCTION("""COMPUTED_VALUE"""),"AGP-PO-4-BN-1")</f>
        <v>AGP-PO-4-BN-1</v>
      </c>
      <c r="F401" s="98">
        <v>5.69</v>
      </c>
      <c r="G401" s="110"/>
      <c r="H401" s="100"/>
      <c r="I401" s="98"/>
      <c r="J401" s="111"/>
      <c r="K401" s="104"/>
      <c r="L401" s="104"/>
      <c r="M401" s="98" t="s">
        <v>39</v>
      </c>
      <c r="N401" s="103" t="str">
        <f>IFERROR(__xludf.DUMMYFUNCTION("""COMPUTED_VALUE"""),"")</f>
        <v/>
      </c>
      <c r="O401" s="104"/>
      <c r="P401" s="102" t="s">
        <v>1692</v>
      </c>
      <c r="Q401" s="104"/>
      <c r="R401" s="104" t="s">
        <v>667</v>
      </c>
      <c r="S401" s="104">
        <v>11.38</v>
      </c>
      <c r="T401" s="104" t="s">
        <v>3975</v>
      </c>
      <c r="U401" s="104"/>
      <c r="V401" s="104" t="s">
        <v>3975</v>
      </c>
      <c r="W401" s="104"/>
    </row>
    <row r="402">
      <c r="A402" s="105">
        <v>45971.0</v>
      </c>
      <c r="B402" s="79" t="str">
        <f>IFERROR(__xludf.DUMMYFUNCTION("""COMPUTED_VALUE"""),"DSE-PH-RC-1A-3")</f>
        <v>DSE-PH-RC-1A-3</v>
      </c>
      <c r="C402" s="102" t="s">
        <v>18</v>
      </c>
      <c r="D402" s="104"/>
      <c r="E402" s="104" t="str">
        <f>IFERROR(__xludf.DUMMYFUNCTION("""COMPUTED_VALUE"""),"NR-PO-3-TBP-1")</f>
        <v>NR-PO-3-TBP-1</v>
      </c>
      <c r="F402" s="98">
        <v>5.69</v>
      </c>
      <c r="G402" s="110"/>
      <c r="H402" s="100"/>
      <c r="I402" s="98"/>
      <c r="J402" s="111"/>
      <c r="K402" s="104"/>
      <c r="L402" s="104"/>
      <c r="M402" s="98" t="s">
        <v>39</v>
      </c>
      <c r="N402" s="103" t="str">
        <f>IFERROR(__xludf.DUMMYFUNCTION("""COMPUTED_VALUE"""),"")</f>
        <v/>
      </c>
      <c r="O402" s="104"/>
      <c r="P402" s="102" t="s">
        <v>1692</v>
      </c>
      <c r="Q402" s="104"/>
      <c r="R402" s="104" t="s">
        <v>668</v>
      </c>
      <c r="S402" s="104">
        <v>11.38</v>
      </c>
      <c r="T402" s="104" t="s">
        <v>3976</v>
      </c>
      <c r="U402" s="104"/>
      <c r="V402" s="104" t="s">
        <v>3976</v>
      </c>
      <c r="W402" s="104"/>
    </row>
    <row r="403">
      <c r="A403" s="105">
        <v>45971.0</v>
      </c>
      <c r="B403" s="79" t="str">
        <f>IFERROR(__xludf.DUMMYFUNCTION("""COMPUTED_VALUE"""),"DSE-PH-PP-1A-4")</f>
        <v>DSE-PH-PP-1A-4</v>
      </c>
      <c r="C403" s="102" t="s">
        <v>18</v>
      </c>
      <c r="D403" s="104"/>
      <c r="E403" s="104" t="str">
        <f>IFERROR(__xludf.DUMMYFUNCTION("""COMPUTED_VALUE"""),"MA-PO-4-SW-1")</f>
        <v>MA-PO-4-SW-1</v>
      </c>
      <c r="F403" s="98">
        <v>5.79</v>
      </c>
      <c r="G403" s="110"/>
      <c r="H403" s="100"/>
      <c r="I403" s="98"/>
      <c r="J403" s="111"/>
      <c r="K403" s="104"/>
      <c r="L403" s="104"/>
      <c r="M403" s="98" t="s">
        <v>39</v>
      </c>
      <c r="N403" s="103" t="str">
        <f>IFERROR(__xludf.DUMMYFUNCTION("""COMPUTED_VALUE"""),"")</f>
        <v/>
      </c>
      <c r="O403" s="104"/>
      <c r="P403" s="102" t="s">
        <v>1692</v>
      </c>
      <c r="Q403" s="104"/>
      <c r="R403" s="104" t="s">
        <v>669</v>
      </c>
      <c r="S403" s="104">
        <v>15.0</v>
      </c>
      <c r="T403" s="104" t="s">
        <v>3977</v>
      </c>
      <c r="U403" s="104"/>
      <c r="V403" s="104" t="s">
        <v>3977</v>
      </c>
      <c r="W403" s="104"/>
    </row>
    <row r="404">
      <c r="A404" s="105">
        <v>45971.0</v>
      </c>
      <c r="B404" s="79" t="str">
        <f>IFERROR(__xludf.DUMMYFUNCTION("""COMPUTED_VALUE"""),"DSE-SYN-RR-1A")</f>
        <v>DSE-SYN-RR-1A</v>
      </c>
      <c r="C404" s="102" t="s">
        <v>18</v>
      </c>
      <c r="D404" s="104"/>
      <c r="E404" s="104" t="str">
        <f>IFERROR(__xludf.DUMMYFUNCTION("""COMPUTED_VALUE"""),"NR-PO-8-BP-1")</f>
        <v>NR-PO-8-BP-1</v>
      </c>
      <c r="F404" s="98">
        <v>13.47</v>
      </c>
      <c r="G404" s="110"/>
      <c r="H404" s="100"/>
      <c r="I404" s="98"/>
      <c r="J404" s="111"/>
      <c r="K404" s="104"/>
      <c r="L404" s="104"/>
      <c r="M404" s="98" t="s">
        <v>39</v>
      </c>
      <c r="N404" s="103" t="str">
        <f>IFERROR(__xludf.DUMMYFUNCTION("""COMPUTED_VALUE"""),"")</f>
        <v/>
      </c>
      <c r="O404" s="104"/>
      <c r="P404" s="102" t="s">
        <v>1692</v>
      </c>
      <c r="Q404" s="104"/>
      <c r="R404" s="104" t="s">
        <v>671</v>
      </c>
      <c r="S404" s="104">
        <v>15.0</v>
      </c>
      <c r="T404" s="104" t="s">
        <v>3978</v>
      </c>
      <c r="U404" s="104"/>
      <c r="V404" s="104" t="s">
        <v>3978</v>
      </c>
      <c r="W404" s="104"/>
    </row>
    <row r="405">
      <c r="A405" s="105">
        <v>45971.0</v>
      </c>
      <c r="B405" s="79" t="str">
        <f>IFERROR(__xludf.DUMMYFUNCTION("""COMPUTED_VALUE"""),"DSE-SYN-RR-1A-2")</f>
        <v>DSE-SYN-RR-1A-2</v>
      </c>
      <c r="C405" s="102" t="s">
        <v>18</v>
      </c>
      <c r="D405" s="104"/>
      <c r="E405" s="104" t="str">
        <f>IFERROR(__xludf.DUMMYFUNCTION("""COMPUTED_VALUE"""),"")</f>
        <v/>
      </c>
      <c r="F405" s="98">
        <v>4.49</v>
      </c>
      <c r="G405" s="110"/>
      <c r="H405" s="100"/>
      <c r="I405" s="98"/>
      <c r="J405" s="98"/>
      <c r="K405" s="104"/>
      <c r="L405" s="104"/>
      <c r="M405" s="98" t="s">
        <v>39</v>
      </c>
      <c r="N405" s="103" t="str">
        <f>IFERROR(__xludf.DUMMYFUNCTION("""COMPUTED_VALUE"""),"")</f>
        <v/>
      </c>
      <c r="O405" s="104"/>
      <c r="P405" s="104"/>
      <c r="Q405" s="104"/>
      <c r="R405" s="104" t="s">
        <v>672</v>
      </c>
      <c r="S405" s="104">
        <v>15.0</v>
      </c>
      <c r="T405" s="104" t="s">
        <v>3979</v>
      </c>
      <c r="U405" s="104"/>
      <c r="V405" s="104" t="s">
        <v>3979</v>
      </c>
      <c r="W405" s="104"/>
    </row>
    <row r="406">
      <c r="A406" s="105">
        <v>45971.0</v>
      </c>
      <c r="B406" s="79" t="str">
        <f>IFERROR(__xludf.DUMMYFUNCTION("""COMPUTED_VALUE"""),"DSE-SYN-RR-1A-3")</f>
        <v>DSE-SYN-RR-1A-3</v>
      </c>
      <c r="C406" s="102" t="s">
        <v>18</v>
      </c>
      <c r="D406" s="104"/>
      <c r="E406" s="104" t="str">
        <f>IFERROR(__xludf.DUMMYFUNCTION("""COMPUTED_VALUE"""),"")</f>
        <v/>
      </c>
      <c r="F406" s="98">
        <v>4.49</v>
      </c>
      <c r="G406" s="110"/>
      <c r="H406" s="100"/>
      <c r="I406" s="98"/>
      <c r="J406" s="98"/>
      <c r="K406" s="104"/>
      <c r="L406" s="104"/>
      <c r="M406" s="98" t="s">
        <v>39</v>
      </c>
      <c r="N406" s="103" t="str">
        <f>IFERROR(__xludf.DUMMYFUNCTION("""COMPUTED_VALUE"""),"")</f>
        <v/>
      </c>
      <c r="O406" s="104"/>
      <c r="P406" s="104"/>
      <c r="Q406" s="104"/>
      <c r="R406" s="104" t="s">
        <v>673</v>
      </c>
      <c r="S406" s="104">
        <v>15.0</v>
      </c>
      <c r="T406" s="104" t="s">
        <v>3980</v>
      </c>
      <c r="U406" s="104"/>
      <c r="V406" s="104" t="s">
        <v>3980</v>
      </c>
      <c r="W406" s="104"/>
    </row>
    <row r="407">
      <c r="A407" s="105">
        <v>45971.0</v>
      </c>
      <c r="B407" s="79" t="str">
        <f>IFERROR(__xludf.DUMMYFUNCTION("""COMPUTED_VALUE"""),"DSE-PH-PL-1A")</f>
        <v>DSE-PH-PL-1A</v>
      </c>
      <c r="C407" s="104"/>
      <c r="D407" s="104"/>
      <c r="E407" s="104" t="str">
        <f>IFERROR(__xludf.DUMMYFUNCTION("""COMPUTED_VALUE"""),"HY-PO-3-DO-1")</f>
        <v>HY-PO-3-DO-1</v>
      </c>
      <c r="F407" s="98">
        <v>5.59</v>
      </c>
      <c r="G407" s="110"/>
      <c r="H407" s="100"/>
      <c r="I407" s="98"/>
      <c r="J407" s="111"/>
      <c r="K407" s="104"/>
      <c r="L407" s="104"/>
      <c r="M407" s="98" t="s">
        <v>39</v>
      </c>
      <c r="N407" s="103" t="str">
        <f>IFERROR(__xludf.DUMMYFUNCTION("""COMPUTED_VALUE"""),"")</f>
        <v/>
      </c>
      <c r="O407" s="104"/>
      <c r="P407" s="104"/>
      <c r="Q407" s="104"/>
      <c r="R407" s="104" t="s">
        <v>674</v>
      </c>
      <c r="S407" s="104">
        <v>15.0</v>
      </c>
      <c r="T407" s="104" t="s">
        <v>3981</v>
      </c>
      <c r="U407" s="104"/>
      <c r="V407" s="104" t="s">
        <v>3981</v>
      </c>
      <c r="W407" s="104"/>
    </row>
    <row r="408">
      <c r="A408" s="105">
        <v>45971.0</v>
      </c>
      <c r="B408" s="79" t="str">
        <f>IFERROR(__xludf.DUMMYFUNCTION("""COMPUTED_VALUE"""),"DSE-PH-PL-1A-2")</f>
        <v>DSE-PH-PL-1A-2</v>
      </c>
      <c r="C408" s="104"/>
      <c r="D408" s="104"/>
      <c r="E408" s="104" t="str">
        <f>IFERROR(__xludf.DUMMYFUNCTION("""COMPUTED_VALUE"""),"EC-PO-5-SW-1")</f>
        <v>EC-PO-5-SW-1</v>
      </c>
      <c r="F408" s="98">
        <v>5.59</v>
      </c>
      <c r="G408" s="110"/>
      <c r="H408" s="100"/>
      <c r="I408" s="98"/>
      <c r="J408" s="111"/>
      <c r="K408" s="104"/>
      <c r="L408" s="104"/>
      <c r="M408" s="98" t="s">
        <v>39</v>
      </c>
      <c r="N408" s="103" t="str">
        <f>IFERROR(__xludf.DUMMYFUNCTION("""COMPUTED_VALUE"""),"")</f>
        <v/>
      </c>
      <c r="O408" s="104"/>
      <c r="P408" s="104"/>
      <c r="Q408" s="104"/>
      <c r="R408" s="104" t="s">
        <v>675</v>
      </c>
      <c r="S408" s="104">
        <v>15.0</v>
      </c>
      <c r="T408" s="104" t="s">
        <v>3982</v>
      </c>
      <c r="U408" s="104"/>
      <c r="V408" s="104" t="s">
        <v>3982</v>
      </c>
      <c r="W408" s="104"/>
    </row>
    <row r="409">
      <c r="A409" s="105">
        <v>45971.0</v>
      </c>
      <c r="B409" s="79" t="str">
        <f>IFERROR(__xludf.DUMMYFUNCTION("""COMPUTED_VALUE"""),"DSE-PH-PL-1A-3")</f>
        <v>DSE-PH-PL-1A-3</v>
      </c>
      <c r="C409" s="104"/>
      <c r="D409" s="104"/>
      <c r="E409" s="104" t="str">
        <f>IFERROR(__xludf.DUMMYFUNCTION("""COMPUTED_VALUE"""),"AGP-PO-4-BN-1")</f>
        <v>AGP-PO-4-BN-1</v>
      </c>
      <c r="F409" s="98">
        <v>5.59</v>
      </c>
      <c r="G409" s="110"/>
      <c r="H409" s="100"/>
      <c r="I409" s="98"/>
      <c r="J409" s="111"/>
      <c r="K409" s="104"/>
      <c r="L409" s="104"/>
      <c r="M409" s="98" t="s">
        <v>39</v>
      </c>
      <c r="N409" s="103" t="str">
        <f>IFERROR(__xludf.DUMMYFUNCTION("""COMPUTED_VALUE"""),"")</f>
        <v/>
      </c>
      <c r="O409" s="104"/>
      <c r="P409" s="104"/>
      <c r="Q409" s="104"/>
      <c r="R409" s="104" t="s">
        <v>676</v>
      </c>
      <c r="S409" s="104">
        <v>15.0</v>
      </c>
      <c r="T409" s="104" t="s">
        <v>3983</v>
      </c>
      <c r="U409" s="104"/>
      <c r="V409" s="104" t="s">
        <v>3983</v>
      </c>
      <c r="W409" s="104"/>
    </row>
    <row r="410">
      <c r="A410" s="105">
        <v>45971.0</v>
      </c>
      <c r="B410" s="79" t="str">
        <f>IFERROR(__xludf.DUMMYFUNCTION("""COMPUTED_VALUE"""),"DSE-AL-VE-1A")</f>
        <v>DSE-AL-VE-1A</v>
      </c>
      <c r="C410" s="102"/>
      <c r="D410" s="104"/>
      <c r="E410" s="104" t="str">
        <f>IFERROR(__xludf.DUMMYFUNCTION("""COMPUTED_VALUE"""),"ST-PO-3-NU-1")</f>
        <v>ST-PO-3-NU-1</v>
      </c>
      <c r="F410" s="98">
        <v>5.59</v>
      </c>
      <c r="G410" s="110"/>
      <c r="H410" s="100"/>
      <c r="I410" s="98"/>
      <c r="J410" s="111"/>
      <c r="K410" s="104"/>
      <c r="L410" s="104"/>
      <c r="M410" s="98" t="s">
        <v>39</v>
      </c>
      <c r="N410" s="103" t="str">
        <f>IFERROR(__xludf.DUMMYFUNCTION("""COMPUTED_VALUE"""),"")</f>
        <v/>
      </c>
      <c r="O410" s="104"/>
      <c r="P410" s="104"/>
      <c r="Q410" s="104"/>
      <c r="R410" s="104" t="s">
        <v>678</v>
      </c>
      <c r="S410" s="104">
        <v>11.18</v>
      </c>
      <c r="T410" s="104" t="s">
        <v>3984</v>
      </c>
      <c r="U410" s="104"/>
      <c r="V410" s="104" t="s">
        <v>3984</v>
      </c>
      <c r="W410" s="104"/>
    </row>
    <row r="411">
      <c r="A411" s="105">
        <v>45971.0</v>
      </c>
      <c r="B411" s="79" t="str">
        <f>IFERROR(__xludf.DUMMYFUNCTION("""COMPUTED_VALUE"""),"DSE-AL-VE-1A-2")</f>
        <v>DSE-AL-VE-1A-2</v>
      </c>
      <c r="C411" s="104"/>
      <c r="D411" s="104"/>
      <c r="E411" s="104" t="str">
        <f>IFERROR(__xludf.DUMMYFUNCTION("""COMPUTED_VALUE"""),"NR-PO-3-PBP-1")</f>
        <v>NR-PO-3-PBP-1</v>
      </c>
      <c r="F411" s="98">
        <v>5.59</v>
      </c>
      <c r="G411" s="110"/>
      <c r="H411" s="100"/>
      <c r="I411" s="98"/>
      <c r="J411" s="111"/>
      <c r="K411" s="104"/>
      <c r="L411" s="104"/>
      <c r="M411" s="98" t="s">
        <v>39</v>
      </c>
      <c r="N411" s="103" t="str">
        <f>IFERROR(__xludf.DUMMYFUNCTION("""COMPUTED_VALUE"""),"")</f>
        <v/>
      </c>
      <c r="O411" s="104"/>
      <c r="P411" s="104"/>
      <c r="Q411" s="104"/>
      <c r="R411" s="104" t="s">
        <v>679</v>
      </c>
      <c r="S411" s="104">
        <v>11.18</v>
      </c>
      <c r="T411" s="104" t="s">
        <v>3985</v>
      </c>
      <c r="U411" s="104"/>
      <c r="V411" s="104" t="s">
        <v>3985</v>
      </c>
      <c r="W411" s="104"/>
    </row>
    <row r="412">
      <c r="A412" s="105">
        <v>45971.0</v>
      </c>
      <c r="B412" s="79" t="str">
        <f>IFERROR(__xludf.DUMMYFUNCTION("""COMPUTED_VALUE"""),"DSE-AL-VE-1A-3")</f>
        <v>DSE-AL-VE-1A-3</v>
      </c>
      <c r="C412" s="104"/>
      <c r="D412" s="104"/>
      <c r="E412" s="104" t="str">
        <f>IFERROR(__xludf.DUMMYFUNCTION("""COMPUTED_VALUE"""),"NR-PO-3-TBP-1")</f>
        <v>NR-PO-3-TBP-1</v>
      </c>
      <c r="F412" s="98">
        <v>5.59</v>
      </c>
      <c r="G412" s="110"/>
      <c r="H412" s="100"/>
      <c r="I412" s="98"/>
      <c r="J412" s="111"/>
      <c r="K412" s="104"/>
      <c r="L412" s="104"/>
      <c r="M412" s="98" t="s">
        <v>39</v>
      </c>
      <c r="N412" s="103" t="str">
        <f>IFERROR(__xludf.DUMMYFUNCTION("""COMPUTED_VALUE"""),"")</f>
        <v/>
      </c>
      <c r="O412" s="104"/>
      <c r="P412" s="104"/>
      <c r="Q412" s="104"/>
      <c r="R412" s="104" t="s">
        <v>680</v>
      </c>
      <c r="S412" s="104">
        <v>11.18</v>
      </c>
      <c r="T412" s="104" t="s">
        <v>3986</v>
      </c>
      <c r="U412" s="104"/>
      <c r="V412" s="104" t="s">
        <v>3986</v>
      </c>
      <c r="W412" s="104"/>
    </row>
    <row r="413">
      <c r="A413" s="105">
        <v>45971.0</v>
      </c>
      <c r="B413" s="79" t="str">
        <f>IFERROR(__xludf.DUMMYFUNCTION("""COMPUTED_VALUE"""),"DSE-SYN-BA-1A")</f>
        <v>DSE-SYN-BA-1A</v>
      </c>
      <c r="C413" s="104"/>
      <c r="D413" s="104"/>
      <c r="E413" s="104" t="str">
        <f>IFERROR(__xludf.DUMMYFUNCTION("""COMPUTED_VALUE"""),"WO-PO-6-MU-1")</f>
        <v>WO-PO-6-MU-1</v>
      </c>
      <c r="F413" s="98">
        <v>14.97</v>
      </c>
      <c r="G413" s="110"/>
      <c r="H413" s="100"/>
      <c r="I413" s="98"/>
      <c r="J413" s="111"/>
      <c r="K413" s="104"/>
      <c r="L413" s="104"/>
      <c r="M413" s="98" t="s">
        <v>39</v>
      </c>
      <c r="N413" s="103" t="str">
        <f>IFERROR(__xludf.DUMMYFUNCTION("""COMPUTED_VALUE"""),"")</f>
        <v/>
      </c>
      <c r="O413" s="104"/>
      <c r="P413" s="104"/>
      <c r="Q413" s="104"/>
      <c r="R413" s="104" t="s">
        <v>681</v>
      </c>
      <c r="S413" s="104">
        <v>10.0</v>
      </c>
      <c r="T413" s="104" t="s">
        <v>3987</v>
      </c>
      <c r="U413" s="104"/>
      <c r="V413" s="104" t="s">
        <v>3987</v>
      </c>
      <c r="W413" s="104"/>
    </row>
    <row r="414">
      <c r="A414" s="105">
        <v>45971.0</v>
      </c>
      <c r="B414" s="79" t="str">
        <f>IFERROR(__xludf.DUMMYFUNCTION("""COMPUTED_VALUE"""),"DSE-SYN-BA-1A-2")</f>
        <v>DSE-SYN-BA-1A-2</v>
      </c>
      <c r="C414" s="104"/>
      <c r="D414" s="104"/>
      <c r="E414" s="104" t="str">
        <f>IFERROR(__xludf.DUMMYFUNCTION("""COMPUTED_VALUE"""),"")</f>
        <v/>
      </c>
      <c r="F414" s="98">
        <v>4.99</v>
      </c>
      <c r="G414" s="110"/>
      <c r="H414" s="100"/>
      <c r="I414" s="98"/>
      <c r="J414" s="111"/>
      <c r="K414" s="104"/>
      <c r="L414" s="104"/>
      <c r="M414" s="98" t="s">
        <v>39</v>
      </c>
      <c r="N414" s="103" t="str">
        <f>IFERROR(__xludf.DUMMYFUNCTION("""COMPUTED_VALUE"""),"")</f>
        <v/>
      </c>
      <c r="O414" s="104"/>
      <c r="P414" s="104"/>
      <c r="Q414" s="104"/>
      <c r="R414" s="104" t="s">
        <v>682</v>
      </c>
      <c r="S414" s="104">
        <v>10.0</v>
      </c>
      <c r="T414" s="104" t="s">
        <v>3988</v>
      </c>
      <c r="U414" s="104"/>
      <c r="V414" s="104" t="s">
        <v>3988</v>
      </c>
      <c r="W414" s="104"/>
    </row>
    <row r="415">
      <c r="A415" s="105">
        <v>45971.0</v>
      </c>
      <c r="B415" s="79" t="str">
        <f>IFERROR(__xludf.DUMMYFUNCTION("""COMPUTED_VALUE"""),"DSE-SYN-BA-1A-3")</f>
        <v>DSE-SYN-BA-1A-3</v>
      </c>
      <c r="C415" s="104"/>
      <c r="D415" s="104"/>
      <c r="E415" s="104" t="str">
        <f>IFERROR(__xludf.DUMMYFUNCTION("""COMPUTED_VALUE"""),"")</f>
        <v/>
      </c>
      <c r="F415" s="98">
        <v>4.99</v>
      </c>
      <c r="G415" s="110"/>
      <c r="H415" s="100"/>
      <c r="I415" s="98"/>
      <c r="J415" s="111"/>
      <c r="K415" s="104"/>
      <c r="L415" s="104"/>
      <c r="M415" s="98" t="s">
        <v>39</v>
      </c>
      <c r="N415" s="103" t="str">
        <f>IFERROR(__xludf.DUMMYFUNCTION("""COMPUTED_VALUE"""),"")</f>
        <v/>
      </c>
      <c r="O415" s="104"/>
      <c r="P415" s="104"/>
      <c r="Q415" s="104"/>
      <c r="R415" s="104" t="s">
        <v>683</v>
      </c>
      <c r="S415" s="104">
        <v>10.0</v>
      </c>
      <c r="T415" s="104" t="s">
        <v>3989</v>
      </c>
      <c r="U415" s="104"/>
      <c r="V415" s="104" t="s">
        <v>3989</v>
      </c>
      <c r="W415" s="104"/>
    </row>
    <row r="416">
      <c r="A416" s="105">
        <v>45971.0</v>
      </c>
      <c r="B416" s="79" t="str">
        <f>IFERROR(__xludf.DUMMYFUNCTION("""COMPUTED_VALUE"""),"DSE-PH-JO-1A")</f>
        <v>DSE-PH-JO-1A</v>
      </c>
      <c r="C416" s="104"/>
      <c r="D416" s="104"/>
      <c r="E416" s="104" t="str">
        <f>IFERROR(__xludf.DUMMYFUNCTION("""COMPUTED_VALUE"""),"")</f>
        <v/>
      </c>
      <c r="F416" s="98">
        <v>5.69</v>
      </c>
      <c r="G416" s="110"/>
      <c r="H416" s="100"/>
      <c r="I416" s="98"/>
      <c r="J416" s="111"/>
      <c r="K416" s="104"/>
      <c r="L416" s="104"/>
      <c r="M416" s="98" t="s">
        <v>39</v>
      </c>
      <c r="N416" s="103" t="str">
        <f>IFERROR(__xludf.DUMMYFUNCTION("""COMPUTED_VALUE"""),"")</f>
        <v/>
      </c>
      <c r="O416" s="104"/>
      <c r="P416" s="104"/>
      <c r="Q416" s="104"/>
      <c r="R416" s="104" t="s">
        <v>685</v>
      </c>
      <c r="S416" s="104">
        <v>9.98</v>
      </c>
      <c r="T416" s="104" t="s">
        <v>3990</v>
      </c>
      <c r="U416" s="104"/>
      <c r="V416" s="104" t="s">
        <v>3990</v>
      </c>
      <c r="W416" s="104"/>
    </row>
    <row r="417">
      <c r="A417" s="105">
        <v>45971.0</v>
      </c>
      <c r="B417" s="79" t="str">
        <f>IFERROR(__xludf.DUMMYFUNCTION("""COMPUTED_VALUE"""),"DSE-PH-JO-1A-2")</f>
        <v>DSE-PH-JO-1A-2</v>
      </c>
      <c r="C417" s="104"/>
      <c r="D417" s="104"/>
      <c r="E417" s="104" t="str">
        <f>IFERROR(__xludf.DUMMYFUNCTION("""COMPUTED_VALUE"""),"")</f>
        <v/>
      </c>
      <c r="F417" s="98">
        <v>5.69</v>
      </c>
      <c r="G417" s="110"/>
      <c r="H417" s="100"/>
      <c r="I417" s="98"/>
      <c r="J417" s="111"/>
      <c r="K417" s="104"/>
      <c r="L417" s="104"/>
      <c r="M417" s="98" t="s">
        <v>39</v>
      </c>
      <c r="N417" s="103" t="str">
        <f>IFERROR(__xludf.DUMMYFUNCTION("""COMPUTED_VALUE"""),"")</f>
        <v/>
      </c>
      <c r="O417" s="104"/>
      <c r="P417" s="104"/>
      <c r="Q417" s="104"/>
      <c r="R417" s="104" t="s">
        <v>686</v>
      </c>
      <c r="S417" s="104">
        <v>9.98</v>
      </c>
      <c r="T417" s="104" t="s">
        <v>3991</v>
      </c>
      <c r="U417" s="104"/>
      <c r="V417" s="104" t="s">
        <v>3991</v>
      </c>
      <c r="W417" s="104"/>
    </row>
    <row r="418">
      <c r="A418" s="105">
        <v>45971.0</v>
      </c>
      <c r="B418" s="79" t="str">
        <f>IFERROR(__xludf.DUMMYFUNCTION("""COMPUTED_VALUE"""),"DSE-PH-JO-1A-3")</f>
        <v>DSE-PH-JO-1A-3</v>
      </c>
      <c r="C418" s="104"/>
      <c r="D418" s="104"/>
      <c r="E418" s="104" t="str">
        <f>IFERROR(__xludf.DUMMYFUNCTION("""COMPUTED_VALUE"""),"")</f>
        <v/>
      </c>
      <c r="F418" s="98">
        <v>5.69</v>
      </c>
      <c r="G418" s="110"/>
      <c r="H418" s="100"/>
      <c r="I418" s="98"/>
      <c r="J418" s="111"/>
      <c r="K418" s="104"/>
      <c r="L418" s="104"/>
      <c r="M418" s="98" t="s">
        <v>39</v>
      </c>
      <c r="N418" s="103" t="str">
        <f>IFERROR(__xludf.DUMMYFUNCTION("""COMPUTED_VALUE"""),"")</f>
        <v/>
      </c>
      <c r="O418" s="104"/>
      <c r="P418" s="104"/>
      <c r="Q418" s="104"/>
      <c r="R418" s="104" t="s">
        <v>687</v>
      </c>
      <c r="S418" s="104">
        <v>9.98</v>
      </c>
      <c r="T418" s="104" t="s">
        <v>3992</v>
      </c>
      <c r="U418" s="104"/>
      <c r="V418" s="104" t="s">
        <v>3992</v>
      </c>
      <c r="W418" s="104"/>
    </row>
    <row r="419">
      <c r="A419" s="105">
        <v>45971.0</v>
      </c>
      <c r="B419" s="79" t="str">
        <f>IFERROR(__xludf.DUMMYFUNCTION("""COMPUTED_VALUE"""),"DSE-PH-BIL-1A")</f>
        <v>DSE-PH-BIL-1A</v>
      </c>
      <c r="C419" s="104"/>
      <c r="D419" s="104"/>
      <c r="E419" s="104" t="str">
        <f>IFERROR(__xludf.DUMMYFUNCTION("""COMPUTED_VALUE"""),"")</f>
        <v/>
      </c>
      <c r="F419" s="98">
        <v>5.79</v>
      </c>
      <c r="G419" s="110"/>
      <c r="H419" s="100"/>
      <c r="I419" s="98"/>
      <c r="J419" s="111"/>
      <c r="K419" s="104"/>
      <c r="L419" s="104"/>
      <c r="M419" s="98" t="s">
        <v>39</v>
      </c>
      <c r="N419" s="103" t="str">
        <f>IFERROR(__xludf.DUMMYFUNCTION("""COMPUTED_VALUE"""),"")</f>
        <v/>
      </c>
      <c r="O419" s="104"/>
      <c r="P419" s="104"/>
      <c r="Q419" s="104"/>
      <c r="R419" s="104" t="s">
        <v>689</v>
      </c>
      <c r="S419" s="104">
        <v>11.58</v>
      </c>
      <c r="T419" s="104" t="s">
        <v>3993</v>
      </c>
      <c r="U419" s="104"/>
      <c r="V419" s="104" t="s">
        <v>3993</v>
      </c>
      <c r="W419" s="104"/>
    </row>
    <row r="420">
      <c r="A420" s="105">
        <v>45971.0</v>
      </c>
      <c r="B420" s="79" t="str">
        <f>IFERROR(__xludf.DUMMYFUNCTION("""COMPUTED_VALUE"""),"IST-PO-MQ-1A-2")</f>
        <v>IST-PO-MQ-1A-2</v>
      </c>
      <c r="C420" s="104"/>
      <c r="D420" s="104"/>
      <c r="E420" s="104" t="str">
        <f>IFERROR(__xludf.DUMMYFUNCTION("""COMPUTED_VALUE"""),"")</f>
        <v/>
      </c>
      <c r="F420" s="98">
        <v>0.0</v>
      </c>
      <c r="G420" s="110"/>
      <c r="H420" s="100"/>
      <c r="I420" s="98"/>
      <c r="J420" s="111"/>
      <c r="K420" s="104"/>
      <c r="L420" s="104"/>
      <c r="M420" s="98" t="s">
        <v>39</v>
      </c>
      <c r="N420" s="103" t="str">
        <f>IFERROR(__xludf.DUMMYFUNCTION("""COMPUTED_VALUE"""),"")</f>
        <v/>
      </c>
      <c r="O420" s="104"/>
      <c r="P420" s="102" t="s">
        <v>1692</v>
      </c>
      <c r="Q420" s="104"/>
      <c r="R420" s="104" t="s">
        <v>690</v>
      </c>
      <c r="S420" s="104"/>
      <c r="T420" s="104" t="s">
        <v>3994</v>
      </c>
      <c r="U420" s="104"/>
      <c r="V420" s="104" t="s">
        <v>3994</v>
      </c>
      <c r="W420" s="104"/>
    </row>
    <row r="421">
      <c r="A421" s="105">
        <v>45974.0</v>
      </c>
      <c r="B421" s="79" t="str">
        <f>IFERROR(__xludf.DUMMYFUNCTION("""COMPUTED_VALUE"""),"TLC-BE-BLM-1A-2")</f>
        <v>TLC-BE-BLM-1A-2</v>
      </c>
      <c r="C421" s="104"/>
      <c r="D421" s="104"/>
      <c r="E421" s="104" t="str">
        <f>IFERROR(__xludf.DUMMYFUNCTION("""COMPUTED_VALUE"""),"GA-PO-6-BL-1")</f>
        <v>GA-PO-6-BL-1</v>
      </c>
      <c r="F421" s="98">
        <v>25.0</v>
      </c>
      <c r="G421" s="110"/>
      <c r="H421" s="98"/>
      <c r="I421" s="98"/>
      <c r="J421" s="111"/>
      <c r="K421" s="98"/>
      <c r="L421" s="104"/>
      <c r="M421" s="98" t="s">
        <v>39</v>
      </c>
      <c r="N421" s="103" t="str">
        <f>IFERROR(__xludf.DUMMYFUNCTION("""COMPUTED_VALUE"""),"")</f>
        <v/>
      </c>
      <c r="O421" s="104"/>
      <c r="P421" s="102" t="s">
        <v>1692</v>
      </c>
      <c r="Q421" s="104"/>
      <c r="R421" s="104" t="s">
        <v>692</v>
      </c>
      <c r="S421" s="104"/>
      <c r="T421" s="104" t="s">
        <v>3995</v>
      </c>
      <c r="U421" s="104"/>
      <c r="V421" s="104" t="s">
        <v>3995</v>
      </c>
      <c r="W421" s="104"/>
    </row>
    <row r="422">
      <c r="A422" s="105">
        <v>45971.0</v>
      </c>
      <c r="B422" s="79" t="str">
        <f>IFERROR(__xludf.DUMMYFUNCTION("""COMPUTED_VALUE"""),"DSE-PH-BIL-1A-2")</f>
        <v>DSE-PH-BIL-1A-2</v>
      </c>
      <c r="C422" s="104"/>
      <c r="D422" s="104"/>
      <c r="E422" s="104" t="str">
        <f>IFERROR(__xludf.DUMMYFUNCTION("""COMPUTED_VALUE"""),"NR-PO-3-PBP-1")</f>
        <v>NR-PO-3-PBP-1</v>
      </c>
      <c r="F422" s="98">
        <v>5.79</v>
      </c>
      <c r="G422" s="110"/>
      <c r="H422" s="98"/>
      <c r="I422" s="98"/>
      <c r="J422" s="111"/>
      <c r="K422" s="98"/>
      <c r="L422" s="104"/>
      <c r="M422" s="98" t="s">
        <v>39</v>
      </c>
      <c r="N422" s="103" t="str">
        <f>IFERROR(__xludf.DUMMYFUNCTION("""COMPUTED_VALUE"""),"")</f>
        <v/>
      </c>
      <c r="O422" s="104"/>
      <c r="P422" s="104"/>
      <c r="Q422" s="104"/>
      <c r="R422" s="104" t="s">
        <v>693</v>
      </c>
      <c r="S422" s="104">
        <v>11.58</v>
      </c>
      <c r="T422" s="104" t="s">
        <v>3996</v>
      </c>
      <c r="U422" s="104"/>
      <c r="V422" s="104" t="s">
        <v>3996</v>
      </c>
      <c r="W422" s="104"/>
    </row>
    <row r="423">
      <c r="A423" s="105">
        <v>45971.0</v>
      </c>
      <c r="B423" s="79" t="str">
        <f>IFERROR(__xludf.DUMMYFUNCTION("""COMPUTED_VALUE"""),"DSE-PH-BIL-1A-3")</f>
        <v>DSE-PH-BIL-1A-3</v>
      </c>
      <c r="C423" s="104"/>
      <c r="D423" s="104"/>
      <c r="E423" s="104" t="str">
        <f>IFERROR(__xludf.DUMMYFUNCTION("""COMPUTED_VALUE"""),"NR-PO-3-PBP-1")</f>
        <v>NR-PO-3-PBP-1</v>
      </c>
      <c r="F423" s="98">
        <v>5.79</v>
      </c>
      <c r="G423" s="110"/>
      <c r="H423" s="98"/>
      <c r="I423" s="98"/>
      <c r="J423" s="111"/>
      <c r="K423" s="98"/>
      <c r="L423" s="104"/>
      <c r="M423" s="98" t="s">
        <v>39</v>
      </c>
      <c r="N423" s="103" t="str">
        <f>IFERROR(__xludf.DUMMYFUNCTION("""COMPUTED_VALUE"""),"")</f>
        <v/>
      </c>
      <c r="O423" s="104"/>
      <c r="P423" s="104"/>
      <c r="Q423" s="104"/>
      <c r="R423" s="104" t="s">
        <v>694</v>
      </c>
      <c r="S423" s="104">
        <v>11.58</v>
      </c>
      <c r="T423" s="104" t="s">
        <v>3997</v>
      </c>
      <c r="U423" s="104"/>
      <c r="V423" s="104" t="s">
        <v>3997</v>
      </c>
      <c r="W423" s="104"/>
    </row>
    <row r="424">
      <c r="A424" s="105">
        <v>45974.0</v>
      </c>
      <c r="B424" s="79" t="str">
        <f>IFERROR(__xludf.DUMMYFUNCTION("""COMPUTED_VALUE"""),"TLC-SYN-AU-1A")</f>
        <v>TLC-SYN-AU-1A</v>
      </c>
      <c r="C424" s="104"/>
      <c r="D424" s="104"/>
      <c r="E424" s="104" t="str">
        <f>IFERROR(__xludf.DUMMYFUNCTION("""COMPUTED_VALUE"""),"MU-PO-3-MU-1")</f>
        <v>MU-PO-3-MU-1</v>
      </c>
      <c r="F424" s="98">
        <v>10.0</v>
      </c>
      <c r="G424" s="110"/>
      <c r="H424" s="98"/>
      <c r="I424" s="98"/>
      <c r="J424" s="111"/>
      <c r="K424" s="98"/>
      <c r="L424" s="104"/>
      <c r="M424" s="98" t="s">
        <v>39</v>
      </c>
      <c r="N424" s="103" t="str">
        <f>IFERROR(__xludf.DUMMYFUNCTION("""COMPUTED_VALUE"""),"")</f>
        <v/>
      </c>
      <c r="O424" s="104"/>
      <c r="P424" s="104"/>
      <c r="Q424" s="104"/>
      <c r="R424" s="104" t="s">
        <v>696</v>
      </c>
      <c r="S424" s="104"/>
      <c r="T424" s="104" t="s">
        <v>3998</v>
      </c>
      <c r="U424" s="104"/>
      <c r="V424" s="104" t="s">
        <v>3998</v>
      </c>
      <c r="W424" s="104"/>
    </row>
    <row r="425">
      <c r="A425" s="105">
        <v>45974.0</v>
      </c>
      <c r="B425" s="79" t="str">
        <f>IFERROR(__xludf.DUMMYFUNCTION("""COMPUTED_VALUE"""),"TLC-AL-VF-1A")</f>
        <v>TLC-AL-VF-1A</v>
      </c>
      <c r="C425" s="102"/>
      <c r="D425" s="104"/>
      <c r="E425" s="104" t="str">
        <f>IFERROR(__xludf.DUMMYFUNCTION("""COMPUTED_VALUE"""),"GA-PO-6-WH-2")</f>
        <v>GA-PO-6-WH-2</v>
      </c>
      <c r="F425" s="98">
        <v>40.0</v>
      </c>
      <c r="G425" s="110"/>
      <c r="H425" s="98"/>
      <c r="I425" s="98"/>
      <c r="J425" s="111"/>
      <c r="K425" s="98"/>
      <c r="L425" s="104"/>
      <c r="M425" s="98" t="s">
        <v>39</v>
      </c>
      <c r="N425" s="103" t="str">
        <f>IFERROR(__xludf.DUMMYFUNCTION("""COMPUTED_VALUE"""),"")</f>
        <v/>
      </c>
      <c r="O425" s="104"/>
      <c r="P425" s="102" t="s">
        <v>1481</v>
      </c>
      <c r="Q425" s="104"/>
      <c r="R425" s="104" t="s">
        <v>698</v>
      </c>
      <c r="S425" s="104"/>
      <c r="T425" s="104" t="s">
        <v>3999</v>
      </c>
      <c r="U425" s="104"/>
      <c r="V425" s="104" t="s">
        <v>3999</v>
      </c>
      <c r="W425" s="104"/>
    </row>
    <row r="426">
      <c r="A426" s="105">
        <v>45974.0</v>
      </c>
      <c r="B426" s="79" t="str">
        <f>IFERROR(__xludf.DUMMYFUNCTION("""COMPUTED_VALUE"""),"TLC-AL-TD-1A")</f>
        <v>TLC-AL-TD-1A</v>
      </c>
      <c r="C426" s="104"/>
      <c r="D426" s="104"/>
      <c r="E426" s="104" t="str">
        <f>IFERROR(__xludf.DUMMYFUNCTION("""COMPUTED_VALUE"""),"WO-PO-6-WH-2")</f>
        <v>WO-PO-6-WH-2</v>
      </c>
      <c r="F426" s="98">
        <v>16.0</v>
      </c>
      <c r="G426" s="110"/>
      <c r="H426" s="98"/>
      <c r="I426" s="98"/>
      <c r="J426" s="111"/>
      <c r="K426" s="98"/>
      <c r="L426" s="104"/>
      <c r="M426" s="98" t="s">
        <v>39</v>
      </c>
      <c r="N426" s="103" t="str">
        <f>IFERROR(__xludf.DUMMYFUNCTION("""COMPUTED_VALUE"""),"")</f>
        <v/>
      </c>
      <c r="O426" s="104"/>
      <c r="P426" s="102" t="s">
        <v>1481</v>
      </c>
      <c r="Q426" s="104"/>
      <c r="R426" s="104" t="s">
        <v>700</v>
      </c>
      <c r="S426" s="104"/>
      <c r="T426" s="104" t="s">
        <v>4000</v>
      </c>
      <c r="U426" s="104"/>
      <c r="V426" s="104" t="s">
        <v>4000</v>
      </c>
      <c r="W426" s="104"/>
    </row>
    <row r="427">
      <c r="A427" s="105">
        <v>45982.0</v>
      </c>
      <c r="B427" s="79" t="str">
        <f>IFERROR(__xludf.DUMMYFUNCTION("""COMPUTED_VALUE"""),"SS-PH-MI-1A")</f>
        <v>SS-PH-MI-1A</v>
      </c>
      <c r="C427" s="104"/>
      <c r="D427" s="104"/>
      <c r="E427" s="104" t="str">
        <f>IFERROR(__xludf.DUMMYFUNCTION("""COMPUTED_VALUE"""),"")</f>
        <v/>
      </c>
      <c r="F427" s="98">
        <v>2.9</v>
      </c>
      <c r="G427" s="110"/>
      <c r="H427" s="98"/>
      <c r="I427" s="98"/>
      <c r="J427" s="111"/>
      <c r="K427" s="98"/>
      <c r="L427" s="104"/>
      <c r="M427" s="98" t="s">
        <v>39</v>
      </c>
      <c r="N427" s="103" t="str">
        <f>IFERROR(__xludf.DUMMYFUNCTION("""COMPUTED_VALUE"""),"")</f>
        <v/>
      </c>
      <c r="O427" s="104"/>
      <c r="P427" s="102" t="s">
        <v>1481</v>
      </c>
      <c r="Q427" s="104"/>
      <c r="R427" s="104" t="s">
        <v>702</v>
      </c>
      <c r="S427" s="104">
        <v>5.8</v>
      </c>
      <c r="T427" s="104" t="s">
        <v>4001</v>
      </c>
      <c r="U427" s="104"/>
      <c r="V427" s="104" t="s">
        <v>4001</v>
      </c>
      <c r="W427" s="104"/>
    </row>
    <row r="428">
      <c r="A428" s="105">
        <v>45982.0</v>
      </c>
      <c r="B428" s="79" t="str">
        <f>IFERROR(__xludf.DUMMYFUNCTION("""COMPUTED_VALUE"""),"SS-PH-MI-1A-3")</f>
        <v>SS-PH-MI-1A-3</v>
      </c>
      <c r="C428" s="104"/>
      <c r="D428" s="104"/>
      <c r="E428" s="104" t="str">
        <f>IFERROR(__xludf.DUMMYFUNCTION("""COMPUTED_VALUE"""),"")</f>
        <v/>
      </c>
      <c r="F428" s="98">
        <v>2.9</v>
      </c>
      <c r="G428" s="110"/>
      <c r="H428" s="98"/>
      <c r="I428" s="98"/>
      <c r="J428" s="111"/>
      <c r="K428" s="111"/>
      <c r="L428" s="104"/>
      <c r="M428" s="98" t="s">
        <v>39</v>
      </c>
      <c r="N428" s="103" t="str">
        <f>IFERROR(__xludf.DUMMYFUNCTION("""COMPUTED_VALUE"""),"")</f>
        <v/>
      </c>
      <c r="O428" s="104"/>
      <c r="P428" s="102"/>
      <c r="Q428" s="104"/>
      <c r="R428" s="104" t="s">
        <v>703</v>
      </c>
      <c r="S428" s="104">
        <v>5.8</v>
      </c>
      <c r="T428" s="104" t="s">
        <v>4002</v>
      </c>
      <c r="U428" s="104"/>
      <c r="V428" s="104" t="s">
        <v>4002</v>
      </c>
      <c r="W428" s="104"/>
    </row>
    <row r="429">
      <c r="A429" s="105">
        <v>45982.0</v>
      </c>
      <c r="B429" s="79" t="str">
        <f>IFERROR(__xludf.DUMMYFUNCTION("""COMPUTED_VALUE"""),"SS-PH-MI-1A-2")</f>
        <v>SS-PH-MI-1A-2</v>
      </c>
      <c r="C429" s="102" t="s">
        <v>4003</v>
      </c>
      <c r="D429" s="104"/>
      <c r="E429" s="104" t="str">
        <f>IFERROR(__xludf.DUMMYFUNCTION("""COMPUTED_VALUE"""),"NR-PO-8-TBP-1")</f>
        <v>NR-PO-8-TBP-1</v>
      </c>
      <c r="F429" s="98">
        <v>11.6</v>
      </c>
      <c r="G429" s="110"/>
      <c r="H429" s="98"/>
      <c r="I429" s="98"/>
      <c r="J429" s="111"/>
      <c r="K429" s="98"/>
      <c r="L429" s="104"/>
      <c r="M429" s="98" t="s">
        <v>39</v>
      </c>
      <c r="N429" s="103" t="str">
        <f>IFERROR(__xludf.DUMMYFUNCTION("""COMPUTED_VALUE"""),"")</f>
        <v/>
      </c>
      <c r="O429" s="104"/>
      <c r="P429" s="104"/>
      <c r="Q429" s="104"/>
      <c r="R429" s="104" t="s">
        <v>704</v>
      </c>
      <c r="S429" s="104">
        <v>5.8</v>
      </c>
      <c r="T429" s="104" t="s">
        <v>4004</v>
      </c>
      <c r="U429" s="104"/>
      <c r="V429" s="104" t="s">
        <v>4004</v>
      </c>
      <c r="W429" s="104"/>
    </row>
    <row r="430">
      <c r="A430" s="105">
        <v>45982.0</v>
      </c>
      <c r="B430" s="79" t="str">
        <f>IFERROR(__xludf.DUMMYFUNCTION("""COMPUTED_VALUE"""),"SS-PH-MI-1A-4")</f>
        <v>SS-PH-MI-1A-4</v>
      </c>
      <c r="C430" s="104"/>
      <c r="D430" s="104"/>
      <c r="E430" s="104" t="str">
        <f>IFERROR(__xludf.DUMMYFUNCTION("""COMPUTED_VALUE"""),"")</f>
        <v/>
      </c>
      <c r="F430" s="98">
        <v>2.9</v>
      </c>
      <c r="G430" s="110"/>
      <c r="H430" s="98"/>
      <c r="I430" s="98"/>
      <c r="J430" s="111"/>
      <c r="K430" s="98"/>
      <c r="L430" s="104"/>
      <c r="M430" s="98" t="s">
        <v>39</v>
      </c>
      <c r="N430" s="103" t="str">
        <f>IFERROR(__xludf.DUMMYFUNCTION("""COMPUTED_VALUE"""),"")</f>
        <v/>
      </c>
      <c r="O430" s="104"/>
      <c r="P430" s="104"/>
      <c r="Q430" s="104"/>
      <c r="R430" s="104" t="s">
        <v>705</v>
      </c>
      <c r="S430" s="104">
        <v>5.8</v>
      </c>
      <c r="T430" s="104" t="s">
        <v>4005</v>
      </c>
      <c r="U430" s="104"/>
      <c r="V430" s="104" t="s">
        <v>4005</v>
      </c>
      <c r="W430" s="104"/>
    </row>
    <row r="431">
      <c r="A431" s="105">
        <v>45982.0</v>
      </c>
      <c r="B431" s="79" t="str">
        <f>IFERROR(__xludf.DUMMYFUNCTION("""COMPUTED_VALUE"""),"SS-PH-MI-1A-5")</f>
        <v>SS-PH-MI-1A-5</v>
      </c>
      <c r="C431" s="104"/>
      <c r="D431" s="104"/>
      <c r="E431" s="104" t="str">
        <f>IFERROR(__xludf.DUMMYFUNCTION("""COMPUTED_VALUE"""),"AGP-PO-4-BN-1")</f>
        <v>AGP-PO-4-BN-1</v>
      </c>
      <c r="F431" s="98">
        <v>2.9</v>
      </c>
      <c r="G431" s="110"/>
      <c r="H431" s="98"/>
      <c r="I431" s="98"/>
      <c r="J431" s="111"/>
      <c r="K431" s="98"/>
      <c r="L431" s="104"/>
      <c r="M431" s="98" t="s">
        <v>39</v>
      </c>
      <c r="N431" s="103" t="str">
        <f>IFERROR(__xludf.DUMMYFUNCTION("""COMPUTED_VALUE"""),"")</f>
        <v/>
      </c>
      <c r="O431" s="104"/>
      <c r="P431" s="102"/>
      <c r="Q431" s="104"/>
      <c r="R431" s="104" t="s">
        <v>706</v>
      </c>
      <c r="S431" s="104">
        <v>5.8</v>
      </c>
      <c r="T431" s="104" t="s">
        <v>4006</v>
      </c>
      <c r="U431" s="104"/>
      <c r="V431" s="104" t="s">
        <v>4006</v>
      </c>
      <c r="W431" s="104"/>
    </row>
    <row r="432">
      <c r="A432" s="105">
        <v>45982.0</v>
      </c>
      <c r="B432" s="79" t="str">
        <f>IFERROR(__xludf.DUMMYFUNCTION("""COMPUTED_VALUE"""),"SS-PH-MI-1A-6")</f>
        <v>SS-PH-MI-1A-6</v>
      </c>
      <c r="C432" s="102" t="s">
        <v>4007</v>
      </c>
      <c r="D432" s="104"/>
      <c r="E432" s="104" t="str">
        <f>IFERROR(__xludf.DUMMYFUNCTION("""COMPUTED_VALUE"""),"")</f>
        <v/>
      </c>
      <c r="F432" s="98">
        <v>2.9</v>
      </c>
      <c r="G432" s="110"/>
      <c r="H432" s="98"/>
      <c r="I432" s="98"/>
      <c r="J432" s="111"/>
      <c r="K432" s="98"/>
      <c r="L432" s="104"/>
      <c r="M432" s="98" t="s">
        <v>39</v>
      </c>
      <c r="N432" s="103" t="str">
        <f>IFERROR(__xludf.DUMMYFUNCTION("""COMPUTED_VALUE"""),"")</f>
        <v/>
      </c>
      <c r="O432" s="104"/>
      <c r="P432" s="104"/>
      <c r="Q432" s="104"/>
      <c r="R432" s="104" t="s">
        <v>707</v>
      </c>
      <c r="S432" s="104">
        <v>5.8</v>
      </c>
      <c r="T432" s="104" t="s">
        <v>4008</v>
      </c>
      <c r="U432" s="104"/>
      <c r="V432" s="104" t="s">
        <v>4008</v>
      </c>
      <c r="W432" s="104"/>
    </row>
    <row r="433">
      <c r="A433" s="105">
        <v>45982.0</v>
      </c>
      <c r="B433" s="79" t="str">
        <f>IFERROR(__xludf.DUMMYFUNCTION("""COMPUTED_VALUE"""),"SS-PH-MI-1A-7")</f>
        <v>SS-PH-MI-1A-7</v>
      </c>
      <c r="C433" s="102" t="s">
        <v>4009</v>
      </c>
      <c r="D433" s="104"/>
      <c r="E433" s="104" t="str">
        <f>IFERROR(__xludf.DUMMYFUNCTION("""COMPUTED_VALUE"""),"")</f>
        <v/>
      </c>
      <c r="F433" s="98">
        <v>2.9</v>
      </c>
      <c r="G433" s="110"/>
      <c r="H433" s="98"/>
      <c r="I433" s="98"/>
      <c r="J433" s="111"/>
      <c r="K433" s="98"/>
      <c r="L433" s="104"/>
      <c r="M433" s="98" t="s">
        <v>39</v>
      </c>
      <c r="N433" s="103" t="str">
        <f>IFERROR(__xludf.DUMMYFUNCTION("""COMPUTED_VALUE"""),"")</f>
        <v/>
      </c>
      <c r="O433" s="104"/>
      <c r="P433" s="102"/>
      <c r="Q433" s="104"/>
      <c r="R433" s="104" t="s">
        <v>708</v>
      </c>
      <c r="S433" s="104">
        <v>5.8</v>
      </c>
      <c r="T433" s="104" t="s">
        <v>4010</v>
      </c>
      <c r="U433" s="104"/>
      <c r="V433" s="104" t="s">
        <v>4010</v>
      </c>
      <c r="W433" s="104"/>
    </row>
    <row r="434">
      <c r="A434" s="105">
        <v>45982.0</v>
      </c>
      <c r="B434" s="79" t="str">
        <f>IFERROR(__xludf.DUMMYFUNCTION("""COMPUTED_VALUE"""),"SS-PH-MI-1A-8")</f>
        <v>SS-PH-MI-1A-8</v>
      </c>
      <c r="C434" s="102" t="s">
        <v>4009</v>
      </c>
      <c r="D434" s="104"/>
      <c r="E434" s="104" t="str">
        <f>IFERROR(__xludf.DUMMYFUNCTION("""COMPUTED_VALUE"""),"")</f>
        <v/>
      </c>
      <c r="F434" s="98">
        <v>2.9</v>
      </c>
      <c r="G434" s="110"/>
      <c r="H434" s="98"/>
      <c r="I434" s="98"/>
      <c r="J434" s="111"/>
      <c r="K434" s="111"/>
      <c r="L434" s="104"/>
      <c r="M434" s="98" t="s">
        <v>39</v>
      </c>
      <c r="N434" s="103" t="str">
        <f>IFERROR(__xludf.DUMMYFUNCTION("""COMPUTED_VALUE"""),"")</f>
        <v/>
      </c>
      <c r="O434" s="104"/>
      <c r="P434" s="102" t="s">
        <v>1692</v>
      </c>
      <c r="Q434" s="104"/>
      <c r="R434" s="104" t="s">
        <v>709</v>
      </c>
      <c r="S434" s="104">
        <v>5.8</v>
      </c>
      <c r="T434" s="104" t="s">
        <v>4011</v>
      </c>
      <c r="U434" s="104"/>
      <c r="V434" s="104" t="s">
        <v>4011</v>
      </c>
      <c r="W434" s="104"/>
    </row>
    <row r="435">
      <c r="A435" s="105">
        <v>45982.0</v>
      </c>
      <c r="B435" s="79" t="str">
        <f>IFERROR(__xludf.DUMMYFUNCTION("""COMPUTED_VALUE"""),"SS-PH-MI-1A-9")</f>
        <v>SS-PH-MI-1A-9</v>
      </c>
      <c r="C435" s="102" t="s">
        <v>4007</v>
      </c>
      <c r="D435" s="104"/>
      <c r="E435" s="104" t="str">
        <f>IFERROR(__xludf.DUMMYFUNCTION("""COMPUTED_VALUE"""),"")</f>
        <v/>
      </c>
      <c r="F435" s="98">
        <v>2.9</v>
      </c>
      <c r="G435" s="110"/>
      <c r="H435" s="98"/>
      <c r="I435" s="98"/>
      <c r="J435" s="111"/>
      <c r="K435" s="98"/>
      <c r="L435" s="104"/>
      <c r="M435" s="98" t="s">
        <v>39</v>
      </c>
      <c r="N435" s="103" t="str">
        <f>IFERROR(__xludf.DUMMYFUNCTION("""COMPUTED_VALUE"""),"")</f>
        <v/>
      </c>
      <c r="O435" s="104"/>
      <c r="P435" s="102"/>
      <c r="Q435" s="104"/>
      <c r="R435" s="104" t="s">
        <v>710</v>
      </c>
      <c r="S435" s="104">
        <v>5.8</v>
      </c>
      <c r="T435" s="104" t="s">
        <v>4012</v>
      </c>
      <c r="U435" s="104"/>
      <c r="V435" s="104" t="s">
        <v>4012</v>
      </c>
      <c r="W435" s="104"/>
    </row>
    <row r="436">
      <c r="A436" s="105">
        <v>45982.0</v>
      </c>
      <c r="B436" s="79" t="str">
        <f>IFERROR(__xludf.DUMMYFUNCTION("""COMPUTED_VALUE"""),"SS-PH-MI-1A-10")</f>
        <v>SS-PH-MI-1A-10</v>
      </c>
      <c r="C436" s="102" t="s">
        <v>4013</v>
      </c>
      <c r="D436" s="104"/>
      <c r="E436" s="104" t="str">
        <f>IFERROR(__xludf.DUMMYFUNCTION("""COMPUTED_VALUE"""),"")</f>
        <v/>
      </c>
      <c r="F436" s="98">
        <v>2.9</v>
      </c>
      <c r="G436" s="110"/>
      <c r="H436" s="98"/>
      <c r="I436" s="98"/>
      <c r="J436" s="111"/>
      <c r="K436" s="98"/>
      <c r="L436" s="104"/>
      <c r="M436" s="98" t="s">
        <v>39</v>
      </c>
      <c r="N436" s="103" t="str">
        <f>IFERROR(__xludf.DUMMYFUNCTION("""COMPUTED_VALUE"""),"")</f>
        <v/>
      </c>
      <c r="O436" s="104"/>
      <c r="P436" s="102"/>
      <c r="Q436" s="104"/>
      <c r="R436" s="104" t="s">
        <v>711</v>
      </c>
      <c r="S436" s="104">
        <v>5.8</v>
      </c>
      <c r="T436" s="104" t="s">
        <v>4014</v>
      </c>
      <c r="U436" s="104"/>
      <c r="V436" s="104" t="s">
        <v>4014</v>
      </c>
      <c r="W436" s="104"/>
    </row>
    <row r="437">
      <c r="A437" s="105">
        <v>45982.0</v>
      </c>
      <c r="B437" s="79" t="str">
        <f>IFERROR(__xludf.DUMMYFUNCTION("""COMPUTED_VALUE"""),"SS-PH-MI-1A-11")</f>
        <v>SS-PH-MI-1A-11</v>
      </c>
      <c r="C437" s="102" t="s">
        <v>4015</v>
      </c>
      <c r="D437" s="104"/>
      <c r="E437" s="104" t="str">
        <f>IFERROR(__xludf.DUMMYFUNCTION("""COMPUTED_VALUE"""),"")</f>
        <v/>
      </c>
      <c r="F437" s="98">
        <v>2.9</v>
      </c>
      <c r="G437" s="110"/>
      <c r="H437" s="98"/>
      <c r="I437" s="98"/>
      <c r="J437" s="111"/>
      <c r="K437" s="98"/>
      <c r="L437" s="104"/>
      <c r="M437" s="98" t="s">
        <v>39</v>
      </c>
      <c r="N437" s="103" t="str">
        <f>IFERROR(__xludf.DUMMYFUNCTION("""COMPUTED_VALUE"""),"")</f>
        <v/>
      </c>
      <c r="O437" s="104"/>
      <c r="P437" s="102"/>
      <c r="Q437" s="104"/>
      <c r="R437" s="104" t="s">
        <v>712</v>
      </c>
      <c r="S437" s="104">
        <v>5.8</v>
      </c>
      <c r="T437" s="104" t="s">
        <v>4016</v>
      </c>
      <c r="U437" s="104"/>
      <c r="V437" s="104" t="s">
        <v>4016</v>
      </c>
      <c r="W437" s="104"/>
    </row>
    <row r="438">
      <c r="A438" s="105">
        <v>45982.0</v>
      </c>
      <c r="B438" s="79" t="str">
        <f>IFERROR(__xludf.DUMMYFUNCTION("""COMPUTED_VALUE"""),"SS-PH-MI-1A-12")</f>
        <v>SS-PH-MI-1A-12</v>
      </c>
      <c r="C438" s="104"/>
      <c r="D438" s="104"/>
      <c r="E438" s="104" t="str">
        <f>IFERROR(__xludf.DUMMYFUNCTION("""COMPUTED_VALUE"""),"")</f>
        <v/>
      </c>
      <c r="F438" s="98">
        <v>2.9</v>
      </c>
      <c r="G438" s="110"/>
      <c r="H438" s="98"/>
      <c r="I438" s="98"/>
      <c r="J438" s="111"/>
      <c r="K438" s="111"/>
      <c r="L438" s="104"/>
      <c r="M438" s="98" t="s">
        <v>39</v>
      </c>
      <c r="N438" s="103" t="str">
        <f>IFERROR(__xludf.DUMMYFUNCTION("""COMPUTED_VALUE"""),"")</f>
        <v/>
      </c>
      <c r="O438" s="104"/>
      <c r="P438" s="102"/>
      <c r="Q438" s="104"/>
      <c r="R438" s="104" t="s">
        <v>713</v>
      </c>
      <c r="S438" s="104">
        <v>5.8</v>
      </c>
      <c r="T438" s="104" t="s">
        <v>4017</v>
      </c>
      <c r="U438" s="104"/>
      <c r="V438" s="104" t="s">
        <v>4017</v>
      </c>
      <c r="W438" s="104"/>
    </row>
    <row r="439">
      <c r="A439" s="105">
        <v>45982.0</v>
      </c>
      <c r="B439" s="79" t="str">
        <f>IFERROR(__xludf.DUMMYFUNCTION("""COMPUTED_VALUE"""),"SS-PH-MI-1A-13")</f>
        <v>SS-PH-MI-1A-13</v>
      </c>
      <c r="C439" s="104"/>
      <c r="D439" s="104"/>
      <c r="E439" s="104" t="str">
        <f>IFERROR(__xludf.DUMMYFUNCTION("""COMPUTED_VALUE"""),"")</f>
        <v/>
      </c>
      <c r="F439" s="98">
        <v>2.9</v>
      </c>
      <c r="G439" s="110"/>
      <c r="H439" s="98"/>
      <c r="I439" s="98"/>
      <c r="J439" s="111"/>
      <c r="K439" s="111"/>
      <c r="L439" s="104"/>
      <c r="M439" s="98" t="s">
        <v>39</v>
      </c>
      <c r="N439" s="103" t="str">
        <f>IFERROR(__xludf.DUMMYFUNCTION("""COMPUTED_VALUE"""),"")</f>
        <v/>
      </c>
      <c r="O439" s="104"/>
      <c r="P439" s="102"/>
      <c r="Q439" s="104"/>
      <c r="R439" s="104" t="s">
        <v>714</v>
      </c>
      <c r="S439" s="104">
        <v>5.8</v>
      </c>
      <c r="T439" s="104" t="s">
        <v>4018</v>
      </c>
      <c r="U439" s="104"/>
      <c r="V439" s="104" t="s">
        <v>4018</v>
      </c>
      <c r="W439" s="104"/>
    </row>
    <row r="440">
      <c r="A440" s="105">
        <v>45982.0</v>
      </c>
      <c r="B440" s="79" t="str">
        <f>IFERROR(__xludf.DUMMYFUNCTION("""COMPUTED_VALUE"""),"SS-PH-MI-1A-14")</f>
        <v>SS-PH-MI-1A-14</v>
      </c>
      <c r="C440" s="104"/>
      <c r="D440" s="104"/>
      <c r="E440" s="104" t="str">
        <f>IFERROR(__xludf.DUMMYFUNCTION("""COMPUTED_VALUE"""),"")</f>
        <v/>
      </c>
      <c r="F440" s="98">
        <v>2.9</v>
      </c>
      <c r="G440" s="110"/>
      <c r="H440" s="98"/>
      <c r="I440" s="98"/>
      <c r="J440" s="111"/>
      <c r="K440" s="98"/>
      <c r="L440" s="104"/>
      <c r="M440" s="98" t="s">
        <v>39</v>
      </c>
      <c r="N440" s="103" t="str">
        <f>IFERROR(__xludf.DUMMYFUNCTION("""COMPUTED_VALUE"""),"")</f>
        <v/>
      </c>
      <c r="O440" s="104"/>
      <c r="P440" s="102"/>
      <c r="Q440" s="104"/>
      <c r="R440" s="104" t="s">
        <v>715</v>
      </c>
      <c r="S440" s="104">
        <v>5.8</v>
      </c>
      <c r="T440" s="104" t="s">
        <v>4019</v>
      </c>
      <c r="U440" s="104"/>
      <c r="V440" s="104" t="s">
        <v>4019</v>
      </c>
      <c r="W440" s="104"/>
    </row>
    <row r="441">
      <c r="A441" s="105">
        <v>45982.0</v>
      </c>
      <c r="B441" s="79" t="str">
        <f>IFERROR(__xludf.DUMMYFUNCTION("""COMPUTED_VALUE"""),"SS-PH-MI-1A-15")</f>
        <v>SS-PH-MI-1A-15</v>
      </c>
      <c r="C441" s="104"/>
      <c r="D441" s="104"/>
      <c r="E441" s="104" t="str">
        <f>IFERROR(__xludf.DUMMYFUNCTION("""COMPUTED_VALUE"""),"")</f>
        <v/>
      </c>
      <c r="F441" s="98">
        <v>2.9</v>
      </c>
      <c r="G441" s="110"/>
      <c r="H441" s="98"/>
      <c r="I441" s="98"/>
      <c r="J441" s="111"/>
      <c r="K441" s="98"/>
      <c r="L441" s="104"/>
      <c r="M441" s="98" t="s">
        <v>39</v>
      </c>
      <c r="N441" s="103" t="str">
        <f>IFERROR(__xludf.DUMMYFUNCTION("""COMPUTED_VALUE"""),"")</f>
        <v/>
      </c>
      <c r="O441" s="104"/>
      <c r="P441" s="102"/>
      <c r="Q441" s="104"/>
      <c r="R441" s="104" t="s">
        <v>716</v>
      </c>
      <c r="S441" s="104">
        <v>5.8</v>
      </c>
      <c r="T441" s="104" t="s">
        <v>4020</v>
      </c>
      <c r="U441" s="104"/>
      <c r="V441" s="104" t="s">
        <v>4020</v>
      </c>
      <c r="W441" s="104"/>
    </row>
    <row r="442">
      <c r="A442" s="105">
        <v>45982.0</v>
      </c>
      <c r="B442" s="79" t="str">
        <f>IFERROR(__xludf.DUMMYFUNCTION("""COMPUTED_VALUE"""),"SS-PH-MI-1A-16")</f>
        <v>SS-PH-MI-1A-16</v>
      </c>
      <c r="C442" s="102" t="s">
        <v>4021</v>
      </c>
      <c r="D442" s="104"/>
      <c r="E442" s="104" t="str">
        <f>IFERROR(__xludf.DUMMYFUNCTION("""COMPUTED_VALUE"""),"")</f>
        <v/>
      </c>
      <c r="F442" s="98">
        <v>2.9</v>
      </c>
      <c r="G442" s="110"/>
      <c r="H442" s="98"/>
      <c r="I442" s="98"/>
      <c r="J442" s="111"/>
      <c r="K442" s="111"/>
      <c r="L442" s="104"/>
      <c r="M442" s="98" t="s">
        <v>39</v>
      </c>
      <c r="N442" s="103" t="str">
        <f>IFERROR(__xludf.DUMMYFUNCTION("""COMPUTED_VALUE"""),"")</f>
        <v/>
      </c>
      <c r="O442" s="104"/>
      <c r="P442" s="102"/>
      <c r="Q442" s="104"/>
      <c r="R442" s="104" t="s">
        <v>717</v>
      </c>
      <c r="S442" s="104">
        <v>5.8</v>
      </c>
      <c r="T442" s="104" t="s">
        <v>4022</v>
      </c>
      <c r="U442" s="104"/>
      <c r="V442" s="104" t="s">
        <v>4022</v>
      </c>
      <c r="W442" s="104"/>
    </row>
    <row r="443">
      <c r="A443" s="105">
        <v>45982.0</v>
      </c>
      <c r="B443" s="79" t="str">
        <f>IFERROR(__xludf.DUMMYFUNCTION("""COMPUTED_VALUE"""),"SS-PH-MI-1A-17")</f>
        <v>SS-PH-MI-1A-17</v>
      </c>
      <c r="C443" s="104"/>
      <c r="D443" s="104"/>
      <c r="E443" s="104" t="str">
        <f>IFERROR(__xludf.DUMMYFUNCTION("""COMPUTED_VALUE"""),"")</f>
        <v/>
      </c>
      <c r="F443" s="98">
        <v>2.9</v>
      </c>
      <c r="G443" s="110"/>
      <c r="H443" s="98"/>
      <c r="I443" s="98"/>
      <c r="J443" s="111"/>
      <c r="K443" s="98"/>
      <c r="L443" s="104"/>
      <c r="M443" s="98" t="s">
        <v>39</v>
      </c>
      <c r="N443" s="103" t="str">
        <f>IFERROR(__xludf.DUMMYFUNCTION("""COMPUTED_VALUE"""),"")</f>
        <v/>
      </c>
      <c r="O443" s="104"/>
      <c r="P443" s="102"/>
      <c r="Q443" s="104"/>
      <c r="R443" s="104" t="s">
        <v>718</v>
      </c>
      <c r="S443" s="104">
        <v>5.8</v>
      </c>
      <c r="T443" s="104" t="s">
        <v>4023</v>
      </c>
      <c r="U443" s="104"/>
      <c r="V443" s="104" t="s">
        <v>4023</v>
      </c>
      <c r="W443" s="104"/>
    </row>
    <row r="444">
      <c r="A444" s="105">
        <v>45982.0</v>
      </c>
      <c r="B444" s="79" t="str">
        <f>IFERROR(__xludf.DUMMYFUNCTION("""COMPUTED_VALUE"""),"SS-PH-MI-1A-18")</f>
        <v>SS-PH-MI-1A-18</v>
      </c>
      <c r="C444" s="104"/>
      <c r="D444" s="104"/>
      <c r="E444" s="104" t="str">
        <f>IFERROR(__xludf.DUMMYFUNCTION("""COMPUTED_VALUE"""),"")</f>
        <v/>
      </c>
      <c r="F444" s="98">
        <v>2.9</v>
      </c>
      <c r="G444" s="110"/>
      <c r="H444" s="98"/>
      <c r="I444" s="98"/>
      <c r="J444" s="111"/>
      <c r="K444" s="98"/>
      <c r="L444" s="104"/>
      <c r="M444" s="98" t="s">
        <v>39</v>
      </c>
      <c r="N444" s="103" t="str">
        <f>IFERROR(__xludf.DUMMYFUNCTION("""COMPUTED_VALUE"""),"")</f>
        <v/>
      </c>
      <c r="O444" s="104"/>
      <c r="P444" s="104"/>
      <c r="Q444" s="104"/>
      <c r="R444" s="104" t="s">
        <v>719</v>
      </c>
      <c r="S444" s="104">
        <v>5.8</v>
      </c>
      <c r="T444" s="104" t="s">
        <v>4024</v>
      </c>
      <c r="U444" s="104"/>
      <c r="V444" s="104" t="s">
        <v>4024</v>
      </c>
      <c r="W444" s="104"/>
    </row>
    <row r="445">
      <c r="A445" s="105">
        <v>45982.0</v>
      </c>
      <c r="B445" s="79" t="str">
        <f>IFERROR(__xludf.DUMMYFUNCTION("""COMPUTED_VALUE"""),"SS-PH-MI-1A-19")</f>
        <v>SS-PH-MI-1A-19</v>
      </c>
      <c r="C445" s="104"/>
      <c r="D445" s="104"/>
      <c r="E445" s="104" t="str">
        <f>IFERROR(__xludf.DUMMYFUNCTION("""COMPUTED_VALUE"""),"")</f>
        <v/>
      </c>
      <c r="F445" s="98">
        <v>2.9</v>
      </c>
      <c r="G445" s="110"/>
      <c r="H445" s="98"/>
      <c r="I445" s="98"/>
      <c r="J445" s="111"/>
      <c r="K445" s="98"/>
      <c r="L445" s="104"/>
      <c r="M445" s="98" t="s">
        <v>39</v>
      </c>
      <c r="N445" s="103" t="str">
        <f>IFERROR(__xludf.DUMMYFUNCTION("""COMPUTED_VALUE"""),"")</f>
        <v/>
      </c>
      <c r="O445" s="104"/>
      <c r="P445" s="104"/>
      <c r="Q445" s="104"/>
      <c r="R445" s="104" t="s">
        <v>720</v>
      </c>
      <c r="S445" s="104">
        <v>5.8</v>
      </c>
      <c r="T445" s="104" t="s">
        <v>4025</v>
      </c>
      <c r="U445" s="104"/>
      <c r="V445" s="104" t="s">
        <v>4025</v>
      </c>
      <c r="W445" s="104"/>
    </row>
    <row r="446">
      <c r="A446" s="105">
        <v>45982.0</v>
      </c>
      <c r="B446" s="79" t="str">
        <f>IFERROR(__xludf.DUMMYFUNCTION("""COMPUTED_VALUE"""),"SS-PH-MI-1A-20")</f>
        <v>SS-PH-MI-1A-20</v>
      </c>
      <c r="C446" s="104"/>
      <c r="D446" s="104"/>
      <c r="E446" s="104" t="str">
        <f>IFERROR(__xludf.DUMMYFUNCTION("""COMPUTED_VALUE"""),"")</f>
        <v/>
      </c>
      <c r="F446" s="98">
        <v>2.9</v>
      </c>
      <c r="G446" s="110"/>
      <c r="H446" s="98"/>
      <c r="I446" s="98"/>
      <c r="J446" s="111"/>
      <c r="K446" s="98"/>
      <c r="L446" s="104"/>
      <c r="M446" s="98" t="s">
        <v>39</v>
      </c>
      <c r="N446" s="103" t="str">
        <f>IFERROR(__xludf.DUMMYFUNCTION("""COMPUTED_VALUE"""),"")</f>
        <v/>
      </c>
      <c r="O446" s="104"/>
      <c r="P446" s="104"/>
      <c r="Q446" s="104"/>
      <c r="R446" s="104" t="s">
        <v>721</v>
      </c>
      <c r="S446" s="104">
        <v>5.8</v>
      </c>
      <c r="T446" s="104" t="s">
        <v>4026</v>
      </c>
      <c r="U446" s="104"/>
      <c r="V446" s="104" t="s">
        <v>4026</v>
      </c>
      <c r="W446" s="104"/>
    </row>
    <row r="447">
      <c r="A447" s="105">
        <v>45982.0</v>
      </c>
      <c r="B447" s="79" t="str">
        <f>IFERROR(__xludf.DUMMYFUNCTION("""COMPUTED_VALUE"""),"SS-PH-MI-1A-21")</f>
        <v>SS-PH-MI-1A-21</v>
      </c>
      <c r="C447" s="104"/>
      <c r="D447" s="104"/>
      <c r="E447" s="104" t="str">
        <f>IFERROR(__xludf.DUMMYFUNCTION("""COMPUTED_VALUE"""),"")</f>
        <v/>
      </c>
      <c r="F447" s="98">
        <v>2.9</v>
      </c>
      <c r="G447" s="110"/>
      <c r="H447" s="98"/>
      <c r="I447" s="98"/>
      <c r="J447" s="111"/>
      <c r="K447" s="111"/>
      <c r="L447" s="104"/>
      <c r="M447" s="98" t="s">
        <v>39</v>
      </c>
      <c r="N447" s="103" t="str">
        <f>IFERROR(__xludf.DUMMYFUNCTION("""COMPUTED_VALUE"""),"")</f>
        <v/>
      </c>
      <c r="O447" s="104"/>
      <c r="P447" s="102"/>
      <c r="Q447" s="104"/>
      <c r="R447" s="104" t="s">
        <v>722</v>
      </c>
      <c r="S447" s="104">
        <v>5.8</v>
      </c>
      <c r="T447" s="104" t="s">
        <v>4027</v>
      </c>
      <c r="U447" s="104"/>
      <c r="V447" s="104" t="s">
        <v>4027</v>
      </c>
      <c r="W447" s="104"/>
    </row>
    <row r="448">
      <c r="A448" s="105">
        <v>45982.0</v>
      </c>
      <c r="B448" s="79" t="str">
        <f>IFERROR(__xludf.DUMMYFUNCTION("""COMPUTED_VALUE"""),"SS-PH-MI-1A-22")</f>
        <v>SS-PH-MI-1A-22</v>
      </c>
      <c r="C448" s="104"/>
      <c r="D448" s="104"/>
      <c r="E448" s="104" t="str">
        <f>IFERROR(__xludf.DUMMYFUNCTION("""COMPUTED_VALUE"""),"")</f>
        <v/>
      </c>
      <c r="F448" s="98">
        <v>2.9</v>
      </c>
      <c r="G448" s="110"/>
      <c r="H448" s="98"/>
      <c r="I448" s="98"/>
      <c r="J448" s="111"/>
      <c r="K448" s="98"/>
      <c r="L448" s="104"/>
      <c r="M448" s="98" t="s">
        <v>39</v>
      </c>
      <c r="N448" s="103" t="str">
        <f>IFERROR(__xludf.DUMMYFUNCTION("""COMPUTED_VALUE"""),"")</f>
        <v/>
      </c>
      <c r="O448" s="104"/>
      <c r="P448" s="104"/>
      <c r="Q448" s="104"/>
      <c r="R448" s="104" t="s">
        <v>723</v>
      </c>
      <c r="S448" s="104">
        <v>5.8</v>
      </c>
      <c r="T448" s="104" t="s">
        <v>4028</v>
      </c>
      <c r="U448" s="104"/>
      <c r="V448" s="104" t="s">
        <v>4028</v>
      </c>
      <c r="W448" s="104"/>
    </row>
    <row r="449">
      <c r="A449" s="105">
        <v>45982.0</v>
      </c>
      <c r="B449" s="79" t="str">
        <f>IFERROR(__xludf.DUMMYFUNCTION("""COMPUTED_VALUE"""),"SS-PH-MI-1A-23")</f>
        <v>SS-PH-MI-1A-23</v>
      </c>
      <c r="C449" s="104"/>
      <c r="D449" s="104"/>
      <c r="E449" s="104" t="str">
        <f>IFERROR(__xludf.DUMMYFUNCTION("""COMPUTED_VALUE"""),"")</f>
        <v/>
      </c>
      <c r="F449" s="98">
        <v>2.9</v>
      </c>
      <c r="G449" s="110"/>
      <c r="H449" s="98"/>
      <c r="I449" s="98"/>
      <c r="J449" s="111"/>
      <c r="K449" s="98"/>
      <c r="L449" s="104"/>
      <c r="M449" s="98" t="s">
        <v>39</v>
      </c>
      <c r="N449" s="103" t="str">
        <f>IFERROR(__xludf.DUMMYFUNCTION("""COMPUTED_VALUE"""),"")</f>
        <v/>
      </c>
      <c r="O449" s="104"/>
      <c r="P449" s="104"/>
      <c r="Q449" s="104"/>
      <c r="R449" s="104" t="s">
        <v>724</v>
      </c>
      <c r="S449" s="104">
        <v>5.8</v>
      </c>
      <c r="T449" s="104" t="s">
        <v>4029</v>
      </c>
      <c r="U449" s="104"/>
      <c r="V449" s="104" t="s">
        <v>4029</v>
      </c>
      <c r="W449" s="104"/>
    </row>
    <row r="450">
      <c r="A450" s="105">
        <v>45982.0</v>
      </c>
      <c r="B450" s="79" t="str">
        <f>IFERROR(__xludf.DUMMYFUNCTION("""COMPUTED_VALUE"""),"SS-PH-MI-1A-24")</f>
        <v>SS-PH-MI-1A-24</v>
      </c>
      <c r="C450" s="104"/>
      <c r="D450" s="104"/>
      <c r="E450" s="104" t="str">
        <f>IFERROR(__xludf.DUMMYFUNCTION("""COMPUTED_VALUE"""),"")</f>
        <v/>
      </c>
      <c r="F450" s="98">
        <v>2.9</v>
      </c>
      <c r="G450" s="110"/>
      <c r="H450" s="98"/>
      <c r="I450" s="98"/>
      <c r="J450" s="111"/>
      <c r="K450" s="98"/>
      <c r="L450" s="104"/>
      <c r="M450" s="98" t="s">
        <v>39</v>
      </c>
      <c r="N450" s="103" t="str">
        <f>IFERROR(__xludf.DUMMYFUNCTION("""COMPUTED_VALUE"""),"")</f>
        <v/>
      </c>
      <c r="O450" s="104"/>
      <c r="P450" s="104"/>
      <c r="Q450" s="104"/>
      <c r="R450" s="104" t="s">
        <v>725</v>
      </c>
      <c r="S450" s="104">
        <v>5.8</v>
      </c>
      <c r="T450" s="104" t="s">
        <v>4030</v>
      </c>
      <c r="U450" s="104"/>
      <c r="V450" s="104" t="s">
        <v>4030</v>
      </c>
      <c r="W450" s="104"/>
    </row>
    <row r="451">
      <c r="A451" s="105">
        <v>45982.0</v>
      </c>
      <c r="B451" s="79" t="str">
        <f>IFERROR(__xludf.DUMMYFUNCTION("""COMPUTED_VALUE"""),"SS-PH-MI-1A-25")</f>
        <v>SS-PH-MI-1A-25</v>
      </c>
      <c r="C451" s="102" t="s">
        <v>4031</v>
      </c>
      <c r="D451" s="104"/>
      <c r="E451" s="104" t="str">
        <f>IFERROR(__xludf.DUMMYFUNCTION("""COMPUTED_VALUE"""),"")</f>
        <v/>
      </c>
      <c r="F451" s="98">
        <v>2.9</v>
      </c>
      <c r="G451" s="110"/>
      <c r="H451" s="98"/>
      <c r="I451" s="98"/>
      <c r="J451" s="111"/>
      <c r="K451" s="98"/>
      <c r="L451" s="104"/>
      <c r="M451" s="98" t="s">
        <v>39</v>
      </c>
      <c r="N451" s="103" t="str">
        <f>IFERROR(__xludf.DUMMYFUNCTION("""COMPUTED_VALUE"""),"")</f>
        <v/>
      </c>
      <c r="O451" s="104"/>
      <c r="P451" s="104"/>
      <c r="Q451" s="104"/>
      <c r="R451" s="104" t="s">
        <v>726</v>
      </c>
      <c r="S451" s="104">
        <v>5.8</v>
      </c>
      <c r="T451" s="104" t="s">
        <v>4032</v>
      </c>
      <c r="U451" s="104"/>
      <c r="V451" s="104" t="s">
        <v>4032</v>
      </c>
      <c r="W451" s="104"/>
    </row>
    <row r="452">
      <c r="A452" s="105">
        <v>45982.0</v>
      </c>
      <c r="B452" s="79" t="str">
        <f>IFERROR(__xludf.DUMMYFUNCTION("""COMPUTED_VALUE"""),"SS-PH-MI-1A-26")</f>
        <v>SS-PH-MI-1A-26</v>
      </c>
      <c r="C452" s="102" t="s">
        <v>4033</v>
      </c>
      <c r="D452" s="104"/>
      <c r="E452" s="104" t="str">
        <f>IFERROR(__xludf.DUMMYFUNCTION("""COMPUTED_VALUE"""),"")</f>
        <v/>
      </c>
      <c r="F452" s="98">
        <v>2.9</v>
      </c>
      <c r="G452" s="110"/>
      <c r="H452" s="98"/>
      <c r="I452" s="98"/>
      <c r="J452" s="111"/>
      <c r="K452" s="98"/>
      <c r="L452" s="104"/>
      <c r="M452" s="98" t="s">
        <v>39</v>
      </c>
      <c r="N452" s="103" t="str">
        <f>IFERROR(__xludf.DUMMYFUNCTION("""COMPUTED_VALUE"""),"")</f>
        <v/>
      </c>
      <c r="O452" s="104"/>
      <c r="P452" s="104"/>
      <c r="Q452" s="104"/>
      <c r="R452" s="104" t="s">
        <v>727</v>
      </c>
      <c r="S452" s="104">
        <v>5.8</v>
      </c>
      <c r="T452" s="104" t="s">
        <v>4034</v>
      </c>
      <c r="U452" s="104"/>
      <c r="V452" s="104" t="s">
        <v>4034</v>
      </c>
      <c r="W452" s="104"/>
    </row>
    <row r="453">
      <c r="A453" s="105">
        <v>45982.0</v>
      </c>
      <c r="B453" s="79" t="str">
        <f>IFERROR(__xludf.DUMMYFUNCTION("""COMPUTED_VALUE"""),"SS-PH-MI-1A-27")</f>
        <v>SS-PH-MI-1A-27</v>
      </c>
      <c r="C453" s="102" t="s">
        <v>4035</v>
      </c>
      <c r="D453" s="104"/>
      <c r="E453" s="104" t="str">
        <f>IFERROR(__xludf.DUMMYFUNCTION("""COMPUTED_VALUE"""),"")</f>
        <v/>
      </c>
      <c r="F453" s="98">
        <v>2.9</v>
      </c>
      <c r="G453" s="110"/>
      <c r="H453" s="98"/>
      <c r="I453" s="98"/>
      <c r="J453" s="111"/>
      <c r="K453" s="98"/>
      <c r="L453" s="104"/>
      <c r="M453" s="98" t="s">
        <v>39</v>
      </c>
      <c r="N453" s="103" t="str">
        <f>IFERROR(__xludf.DUMMYFUNCTION("""COMPUTED_VALUE"""),"")</f>
        <v/>
      </c>
      <c r="O453" s="104"/>
      <c r="P453" s="104"/>
      <c r="Q453" s="104"/>
      <c r="R453" s="104" t="s">
        <v>728</v>
      </c>
      <c r="S453" s="104">
        <v>5.8</v>
      </c>
      <c r="T453" s="104" t="s">
        <v>4036</v>
      </c>
      <c r="U453" s="104"/>
      <c r="V453" s="104" t="s">
        <v>4036</v>
      </c>
      <c r="W453" s="104"/>
    </row>
    <row r="454">
      <c r="A454" s="105">
        <v>45982.0</v>
      </c>
      <c r="B454" s="79" t="str">
        <f>IFERROR(__xludf.DUMMYFUNCTION("""COMPUTED_VALUE"""),"SS-PH-MI-1A-28")</f>
        <v>SS-PH-MI-1A-28</v>
      </c>
      <c r="C454" s="104"/>
      <c r="D454" s="104"/>
      <c r="E454" s="104" t="str">
        <f>IFERROR(__xludf.DUMMYFUNCTION("""COMPUTED_VALUE"""),"")</f>
        <v/>
      </c>
      <c r="F454" s="98">
        <v>2.9</v>
      </c>
      <c r="G454" s="110"/>
      <c r="H454" s="98"/>
      <c r="I454" s="98"/>
      <c r="J454" s="111"/>
      <c r="K454" s="111"/>
      <c r="L454" s="104"/>
      <c r="M454" s="98" t="s">
        <v>39</v>
      </c>
      <c r="N454" s="103" t="str">
        <f>IFERROR(__xludf.DUMMYFUNCTION("""COMPUTED_VALUE"""),"")</f>
        <v/>
      </c>
      <c r="O454" s="104"/>
      <c r="P454" s="102"/>
      <c r="Q454" s="104"/>
      <c r="R454" s="104" t="s">
        <v>729</v>
      </c>
      <c r="S454" s="104">
        <v>5.8</v>
      </c>
      <c r="T454" s="104" t="s">
        <v>4037</v>
      </c>
      <c r="U454" s="104"/>
      <c r="V454" s="104" t="s">
        <v>4037</v>
      </c>
      <c r="W454" s="104"/>
    </row>
    <row r="455">
      <c r="A455" s="105">
        <v>45982.0</v>
      </c>
      <c r="B455" s="79" t="str">
        <f>IFERROR(__xludf.DUMMYFUNCTION("""COMPUTED_VALUE"""),"SS-PH-MI-1A-29")</f>
        <v>SS-PH-MI-1A-29</v>
      </c>
      <c r="C455" s="104"/>
      <c r="D455" s="104"/>
      <c r="E455" s="104" t="str">
        <f>IFERROR(__xludf.DUMMYFUNCTION("""COMPUTED_VALUE"""),"")</f>
        <v/>
      </c>
      <c r="F455" s="98">
        <v>2.9</v>
      </c>
      <c r="G455" s="110"/>
      <c r="H455" s="98"/>
      <c r="I455" s="98"/>
      <c r="J455" s="111"/>
      <c r="K455" s="111"/>
      <c r="L455" s="104"/>
      <c r="M455" s="98" t="s">
        <v>39</v>
      </c>
      <c r="N455" s="103" t="str">
        <f>IFERROR(__xludf.DUMMYFUNCTION("""COMPUTED_VALUE"""),"")</f>
        <v/>
      </c>
      <c r="O455" s="104"/>
      <c r="P455" s="102"/>
      <c r="Q455" s="104"/>
      <c r="R455" s="104" t="s">
        <v>730</v>
      </c>
      <c r="S455" s="104">
        <v>5.8</v>
      </c>
      <c r="T455" s="104" t="s">
        <v>4038</v>
      </c>
      <c r="U455" s="104"/>
      <c r="V455" s="104" t="s">
        <v>4038</v>
      </c>
      <c r="W455" s="104"/>
    </row>
    <row r="456">
      <c r="A456" s="105">
        <v>45982.0</v>
      </c>
      <c r="B456" s="79" t="str">
        <f>IFERROR(__xludf.DUMMYFUNCTION("""COMPUTED_VALUE"""),"SS-PH-MI-1A-30")</f>
        <v>SS-PH-MI-1A-30</v>
      </c>
      <c r="C456" s="102" t="s">
        <v>4039</v>
      </c>
      <c r="D456" s="104"/>
      <c r="E456" s="104" t="str">
        <f>IFERROR(__xludf.DUMMYFUNCTION("""COMPUTED_VALUE"""),"")</f>
        <v/>
      </c>
      <c r="F456" s="98">
        <v>2.9</v>
      </c>
      <c r="G456" s="110"/>
      <c r="H456" s="98"/>
      <c r="I456" s="98"/>
      <c r="J456" s="111"/>
      <c r="K456" s="98"/>
      <c r="L456" s="104"/>
      <c r="M456" s="98" t="s">
        <v>39</v>
      </c>
      <c r="N456" s="103" t="str">
        <f>IFERROR(__xludf.DUMMYFUNCTION("""COMPUTED_VALUE"""),"")</f>
        <v/>
      </c>
      <c r="O456" s="104"/>
      <c r="P456" s="104"/>
      <c r="Q456" s="104"/>
      <c r="R456" s="104" t="s">
        <v>731</v>
      </c>
      <c r="S456" s="104">
        <v>5.8</v>
      </c>
      <c r="T456" s="104" t="s">
        <v>4040</v>
      </c>
      <c r="U456" s="104"/>
      <c r="V456" s="104" t="s">
        <v>4040</v>
      </c>
      <c r="W456" s="104"/>
    </row>
    <row r="457">
      <c r="A457" s="105">
        <v>45982.0</v>
      </c>
      <c r="B457" s="79" t="str">
        <f>IFERROR(__xludf.DUMMYFUNCTION("""COMPUTED_VALUE"""),"SS-PH-MI-1A-31")</f>
        <v>SS-PH-MI-1A-31</v>
      </c>
      <c r="C457" s="102" t="s">
        <v>4041</v>
      </c>
      <c r="D457" s="104"/>
      <c r="E457" s="104" t="str">
        <f>IFERROR(__xludf.DUMMYFUNCTION("""COMPUTED_VALUE"""),"")</f>
        <v/>
      </c>
      <c r="F457" s="98">
        <v>2.9</v>
      </c>
      <c r="G457" s="110"/>
      <c r="H457" s="98"/>
      <c r="I457" s="98"/>
      <c r="J457" s="111"/>
      <c r="K457" s="98"/>
      <c r="L457" s="104"/>
      <c r="M457" s="98" t="s">
        <v>39</v>
      </c>
      <c r="N457" s="103" t="str">
        <f>IFERROR(__xludf.DUMMYFUNCTION("""COMPUTED_VALUE"""),"")</f>
        <v/>
      </c>
      <c r="O457" s="104"/>
      <c r="P457" s="104"/>
      <c r="Q457" s="104"/>
      <c r="R457" s="104" t="s">
        <v>732</v>
      </c>
      <c r="S457" s="104">
        <v>5.8</v>
      </c>
      <c r="T457" s="104" t="s">
        <v>4042</v>
      </c>
      <c r="U457" s="104"/>
      <c r="V457" s="104" t="s">
        <v>4042</v>
      </c>
      <c r="W457" s="104"/>
    </row>
    <row r="458">
      <c r="A458" s="105">
        <v>45982.0</v>
      </c>
      <c r="B458" s="79" t="str">
        <f>IFERROR(__xludf.DUMMYFUNCTION("""COMPUTED_VALUE"""),"SS-PH-MI-1A-32")</f>
        <v>SS-PH-MI-1A-32</v>
      </c>
      <c r="C458" s="102" t="s">
        <v>4043</v>
      </c>
      <c r="D458" s="104"/>
      <c r="E458" s="104" t="str">
        <f>IFERROR(__xludf.DUMMYFUNCTION("""COMPUTED_VALUE"""),"")</f>
        <v/>
      </c>
      <c r="F458" s="98">
        <v>2.9</v>
      </c>
      <c r="G458" s="110"/>
      <c r="H458" s="98"/>
      <c r="I458" s="98"/>
      <c r="J458" s="111"/>
      <c r="K458" s="98"/>
      <c r="L458" s="104"/>
      <c r="M458" s="98" t="s">
        <v>39</v>
      </c>
      <c r="N458" s="103" t="str">
        <f>IFERROR(__xludf.DUMMYFUNCTION("""COMPUTED_VALUE"""),"")</f>
        <v/>
      </c>
      <c r="O458" s="104"/>
      <c r="P458" s="104"/>
      <c r="Q458" s="104"/>
      <c r="R458" s="104" t="s">
        <v>733</v>
      </c>
      <c r="S458" s="104">
        <v>5.8</v>
      </c>
      <c r="T458" s="104" t="s">
        <v>4044</v>
      </c>
      <c r="U458" s="104"/>
      <c r="V458" s="104" t="s">
        <v>4044</v>
      </c>
      <c r="W458" s="104"/>
    </row>
    <row r="459">
      <c r="A459" s="105">
        <v>45982.0</v>
      </c>
      <c r="B459" s="79" t="str">
        <f>IFERROR(__xludf.DUMMYFUNCTION("""COMPUTED_VALUE"""),"SS-PH-MI-1A-33")</f>
        <v>SS-PH-MI-1A-33</v>
      </c>
      <c r="C459" s="102" t="s">
        <v>4045</v>
      </c>
      <c r="D459" s="104"/>
      <c r="E459" s="104" t="str">
        <f>IFERROR(__xludf.DUMMYFUNCTION("""COMPUTED_VALUE"""),"GA-PO-6-BL-1")</f>
        <v>GA-PO-6-BL-1</v>
      </c>
      <c r="F459" s="98">
        <v>16.0</v>
      </c>
      <c r="G459" s="110"/>
      <c r="H459" s="98"/>
      <c r="I459" s="98"/>
      <c r="J459" s="111"/>
      <c r="K459" s="98"/>
      <c r="L459" s="104"/>
      <c r="M459" s="98" t="s">
        <v>39</v>
      </c>
      <c r="N459" s="103" t="str">
        <f>IFERROR(__xludf.DUMMYFUNCTION("""COMPUTED_VALUE"""),"")</f>
        <v/>
      </c>
      <c r="O459" s="104"/>
      <c r="P459" s="104"/>
      <c r="Q459" s="104"/>
      <c r="R459" s="104" t="s">
        <v>734</v>
      </c>
      <c r="S459" s="104">
        <v>5.8</v>
      </c>
      <c r="T459" s="104" t="s">
        <v>4046</v>
      </c>
      <c r="U459" s="104"/>
      <c r="V459" s="104" t="s">
        <v>4046</v>
      </c>
      <c r="W459" s="104"/>
    </row>
    <row r="460">
      <c r="A460" s="105">
        <v>45982.0</v>
      </c>
      <c r="B460" s="79" t="str">
        <f>IFERROR(__xludf.DUMMYFUNCTION("""COMPUTED_VALUE"""),"SS-PH-MI-1A-34")</f>
        <v>SS-PH-MI-1A-34</v>
      </c>
      <c r="C460" s="102" t="s">
        <v>4047</v>
      </c>
      <c r="D460" s="104"/>
      <c r="E460" s="104" t="str">
        <f>IFERROR(__xludf.DUMMYFUNCTION("""COMPUTED_VALUE"""),"")</f>
        <v/>
      </c>
      <c r="F460" s="98">
        <v>2.9</v>
      </c>
      <c r="G460" s="110"/>
      <c r="H460" s="98"/>
      <c r="I460" s="98"/>
      <c r="J460" s="111"/>
      <c r="K460" s="111"/>
      <c r="L460" s="104"/>
      <c r="M460" s="98" t="s">
        <v>39</v>
      </c>
      <c r="N460" s="103" t="str">
        <f>IFERROR(__xludf.DUMMYFUNCTION("""COMPUTED_VALUE"""),"")</f>
        <v/>
      </c>
      <c r="O460" s="104"/>
      <c r="P460" s="102"/>
      <c r="Q460" s="104"/>
      <c r="R460" s="104" t="s">
        <v>735</v>
      </c>
      <c r="S460" s="104">
        <v>5.8</v>
      </c>
      <c r="T460" s="104" t="s">
        <v>4048</v>
      </c>
      <c r="U460" s="104"/>
      <c r="V460" s="104" t="s">
        <v>4048</v>
      </c>
      <c r="W460" s="104"/>
    </row>
    <row r="461">
      <c r="A461" s="105">
        <v>45985.0</v>
      </c>
      <c r="B461" s="79" t="str">
        <f>IFERROR(__xludf.DUMMYFUNCTION("""COMPUTED_VALUE"""),"BWH-AL-CU-1A")</f>
        <v>BWH-AL-CU-1A</v>
      </c>
      <c r="C461" s="102" t="s">
        <v>4049</v>
      </c>
      <c r="D461" s="104"/>
      <c r="E461" s="104" t="str">
        <f>IFERROR(__xludf.DUMMYFUNCTION("""COMPUTED_VALUE"""),"NR-PO-3-PBP-1")</f>
        <v>NR-PO-3-PBP-1</v>
      </c>
      <c r="F461" s="98">
        <v>10.8</v>
      </c>
      <c r="G461" s="110"/>
      <c r="H461" s="98"/>
      <c r="I461" s="98"/>
      <c r="J461" s="98"/>
      <c r="K461" s="111"/>
      <c r="L461" s="104"/>
      <c r="M461" s="98" t="s">
        <v>39</v>
      </c>
      <c r="N461" s="103" t="str">
        <f>IFERROR(__xludf.DUMMYFUNCTION("""COMPUTED_VALUE"""),"")</f>
        <v/>
      </c>
      <c r="O461" s="104"/>
      <c r="P461" s="102"/>
      <c r="Q461" s="104"/>
      <c r="R461" s="104" t="s">
        <v>737</v>
      </c>
      <c r="S461" s="104">
        <v>14.99</v>
      </c>
      <c r="T461" s="104" t="s">
        <v>4050</v>
      </c>
      <c r="U461" s="104"/>
      <c r="V461" s="104" t="s">
        <v>4050</v>
      </c>
      <c r="W461" s="104"/>
    </row>
    <row r="462">
      <c r="A462" s="105">
        <v>45985.0</v>
      </c>
      <c r="B462" s="79" t="str">
        <f>IFERROR(__xludf.DUMMYFUNCTION("""COMPUTED_VALUE"""),"BWH-AL-CU-1A-2")</f>
        <v>BWH-AL-CU-1A-2</v>
      </c>
      <c r="C462" s="104"/>
      <c r="D462" s="104"/>
      <c r="E462" s="104" t="str">
        <f>IFERROR(__xludf.DUMMYFUNCTION("""COMPUTED_VALUE"""),"")</f>
        <v/>
      </c>
      <c r="F462" s="98">
        <v>5.4</v>
      </c>
      <c r="G462" s="110"/>
      <c r="H462" s="98"/>
      <c r="I462" s="98"/>
      <c r="J462" s="98"/>
      <c r="K462" s="98"/>
      <c r="L462" s="104"/>
      <c r="M462" s="98" t="s">
        <v>39</v>
      </c>
      <c r="N462" s="103" t="str">
        <f>IFERROR(__xludf.DUMMYFUNCTION("""COMPUTED_VALUE"""),"")</f>
        <v/>
      </c>
      <c r="O462" s="104"/>
      <c r="P462" s="104"/>
      <c r="Q462" s="104"/>
      <c r="R462" s="104" t="s">
        <v>738</v>
      </c>
      <c r="S462" s="104">
        <v>14.99</v>
      </c>
      <c r="T462" s="104" t="s">
        <v>4051</v>
      </c>
      <c r="U462" s="104"/>
      <c r="V462" s="104" t="s">
        <v>4051</v>
      </c>
      <c r="W462" s="104"/>
    </row>
    <row r="463">
      <c r="A463" s="105">
        <v>45985.0</v>
      </c>
      <c r="B463" s="79" t="str">
        <f>IFERROR(__xludf.DUMMYFUNCTION("""COMPUTED_VALUE"""),"BWH-AL-CU-1A-3")</f>
        <v>BWH-AL-CU-1A-3</v>
      </c>
      <c r="C463" s="102" t="s">
        <v>4052</v>
      </c>
      <c r="D463" s="104"/>
      <c r="E463" s="104" t="str">
        <f>IFERROR(__xludf.DUMMYFUNCTION("""COMPUTED_VALUE"""),"DT-PO-3-GL-1")</f>
        <v>DT-PO-3-GL-1</v>
      </c>
      <c r="F463" s="98">
        <v>5.4</v>
      </c>
      <c r="G463" s="110"/>
      <c r="H463" s="98"/>
      <c r="I463" s="98"/>
      <c r="J463" s="111"/>
      <c r="K463" s="98"/>
      <c r="L463" s="104"/>
      <c r="M463" s="98" t="s">
        <v>39</v>
      </c>
      <c r="N463" s="103" t="str">
        <f>IFERROR(__xludf.DUMMYFUNCTION("""COMPUTED_VALUE"""),"")</f>
        <v/>
      </c>
      <c r="O463" s="104"/>
      <c r="P463" s="104"/>
      <c r="Q463" s="104"/>
      <c r="R463" s="104" t="s">
        <v>739</v>
      </c>
      <c r="S463" s="104">
        <v>14.99</v>
      </c>
      <c r="T463" s="104" t="s">
        <v>4053</v>
      </c>
      <c r="U463" s="104"/>
      <c r="V463" s="104" t="s">
        <v>4053</v>
      </c>
      <c r="W463" s="104"/>
    </row>
    <row r="464">
      <c r="A464" s="105">
        <v>45985.0</v>
      </c>
      <c r="B464" s="79" t="str">
        <f>IFERROR(__xludf.DUMMYFUNCTION("""COMPUTED_VALUE"""),"BWH-AL-CU-1A-4")</f>
        <v>BWH-AL-CU-1A-4</v>
      </c>
      <c r="C464" s="102" t="s">
        <v>4054</v>
      </c>
      <c r="D464" s="104"/>
      <c r="E464" s="104" t="str">
        <f>IFERROR(__xludf.DUMMYFUNCTION("""COMPUTED_VALUE"""),"NR-PO-3-PBP-1")</f>
        <v>NR-PO-3-PBP-1</v>
      </c>
      <c r="F464" s="98">
        <v>5.4</v>
      </c>
      <c r="G464" s="110"/>
      <c r="H464" s="98"/>
      <c r="I464" s="98"/>
      <c r="J464" s="111"/>
      <c r="K464" s="98"/>
      <c r="L464" s="104"/>
      <c r="M464" s="98" t="s">
        <v>39</v>
      </c>
      <c r="N464" s="103" t="str">
        <f>IFERROR(__xludf.DUMMYFUNCTION("""COMPUTED_VALUE"""),"")</f>
        <v/>
      </c>
      <c r="O464" s="104"/>
      <c r="P464" s="104"/>
      <c r="Q464" s="104"/>
      <c r="R464" s="104" t="s">
        <v>740</v>
      </c>
      <c r="S464" s="104">
        <v>14.99</v>
      </c>
      <c r="T464" s="104" t="s">
        <v>4055</v>
      </c>
      <c r="U464" s="104"/>
      <c r="V464" s="104" t="s">
        <v>4055</v>
      </c>
      <c r="W464" s="104"/>
    </row>
    <row r="465">
      <c r="A465" s="105">
        <v>45985.0</v>
      </c>
      <c r="B465" s="79" t="str">
        <f>IFERROR(__xludf.DUMMYFUNCTION("""COMPUTED_VALUE"""),"BWH-AL-CU-1A-5")</f>
        <v>BWH-AL-CU-1A-5</v>
      </c>
      <c r="C465" s="102" t="s">
        <v>4056</v>
      </c>
      <c r="D465" s="104"/>
      <c r="E465" s="104" t="str">
        <f>IFERROR(__xludf.DUMMYFUNCTION("""COMPUTED_VALUE"""),"NR-PO-3-TBP-1")</f>
        <v>NR-PO-3-TBP-1</v>
      </c>
      <c r="F465" s="98">
        <v>5.4</v>
      </c>
      <c r="G465" s="110"/>
      <c r="H465" s="98"/>
      <c r="I465" s="98"/>
      <c r="J465" s="98"/>
      <c r="K465" s="98"/>
      <c r="L465" s="104"/>
      <c r="M465" s="98" t="s">
        <v>39</v>
      </c>
      <c r="N465" s="103" t="str">
        <f>IFERROR(__xludf.DUMMYFUNCTION("""COMPUTED_VALUE"""),"")</f>
        <v/>
      </c>
      <c r="O465" s="104"/>
      <c r="P465" s="104"/>
      <c r="Q465" s="104"/>
      <c r="R465" s="104" t="s">
        <v>741</v>
      </c>
      <c r="S465" s="104">
        <v>14.99</v>
      </c>
      <c r="T465" s="104" t="s">
        <v>4057</v>
      </c>
      <c r="U465" s="104"/>
      <c r="V465" s="104" t="s">
        <v>4057</v>
      </c>
      <c r="W465" s="104"/>
    </row>
    <row r="466">
      <c r="A466" s="105">
        <v>45985.0</v>
      </c>
      <c r="B466" s="79" t="str">
        <f>IFERROR(__xludf.DUMMYFUNCTION("""COMPUTED_VALUE"""),"BWH-AL-QD-1A")</f>
        <v>BWH-AL-QD-1A</v>
      </c>
      <c r="C466" s="102" t="s">
        <v>4058</v>
      </c>
      <c r="D466" s="104"/>
      <c r="E466" s="104" t="str">
        <f>IFERROR(__xludf.DUMMYFUNCTION("""COMPUTED_VALUE"""),"ST-PO-4-NU-1")</f>
        <v>ST-PO-4-NU-1</v>
      </c>
      <c r="F466" s="98">
        <v>1.3199999999999998</v>
      </c>
      <c r="G466" s="110"/>
      <c r="H466" s="98"/>
      <c r="I466" s="98"/>
      <c r="J466" s="111"/>
      <c r="K466" s="98"/>
      <c r="L466" s="104"/>
      <c r="M466" s="98" t="s">
        <v>39</v>
      </c>
      <c r="N466" s="103" t="str">
        <f>IFERROR(__xludf.DUMMYFUNCTION("""COMPUTED_VALUE"""),"")</f>
        <v/>
      </c>
      <c r="O466" s="104"/>
      <c r="P466" s="104"/>
      <c r="Q466" s="104"/>
      <c r="R466" s="104" t="s">
        <v>743</v>
      </c>
      <c r="S466" s="104">
        <v>14.99</v>
      </c>
      <c r="T466" s="104" t="s">
        <v>4059</v>
      </c>
      <c r="U466" s="104"/>
      <c r="V466" s="104" t="s">
        <v>4059</v>
      </c>
      <c r="W466" s="104"/>
    </row>
    <row r="467">
      <c r="A467" s="105">
        <v>45985.0</v>
      </c>
      <c r="B467" s="79" t="str">
        <f>IFERROR(__xludf.DUMMYFUNCTION("""COMPUTED_VALUE"""),"BWH-AL-QD-1A-2")</f>
        <v>BWH-AL-QD-1A-2</v>
      </c>
      <c r="C467" s="102" t="s">
        <v>4060</v>
      </c>
      <c r="D467" s="104"/>
      <c r="E467" s="104" t="str">
        <f>IFERROR(__xludf.DUMMYFUNCTION("""COMPUTED_VALUE"""),"ST-PO-4-NU-1")</f>
        <v>ST-PO-4-NU-1</v>
      </c>
      <c r="F467" s="98">
        <v>6.6</v>
      </c>
      <c r="G467" s="110"/>
      <c r="H467" s="98"/>
      <c r="I467" s="98"/>
      <c r="J467" s="98"/>
      <c r="K467" s="98"/>
      <c r="L467" s="104"/>
      <c r="M467" s="98" t="s">
        <v>39</v>
      </c>
      <c r="N467" s="103" t="str">
        <f>IFERROR(__xludf.DUMMYFUNCTION("""COMPUTED_VALUE"""),"")</f>
        <v/>
      </c>
      <c r="O467" s="104"/>
      <c r="P467" s="104"/>
      <c r="Q467" s="104"/>
      <c r="R467" s="104" t="s">
        <v>744</v>
      </c>
      <c r="S467" s="104">
        <v>14.99</v>
      </c>
      <c r="T467" s="104" t="s">
        <v>4061</v>
      </c>
      <c r="U467" s="104"/>
      <c r="V467" s="104" t="s">
        <v>4061</v>
      </c>
      <c r="W467" s="104"/>
    </row>
    <row r="468">
      <c r="A468" s="94">
        <v>45985.0</v>
      </c>
      <c r="B468" s="79" t="str">
        <f>IFERROR(__xludf.DUMMYFUNCTION("""COMPUTED_VALUE"""),"BWH-AL-QD-1A-3")</f>
        <v>BWH-AL-QD-1A-3</v>
      </c>
      <c r="C468" s="102"/>
      <c r="D468" s="104"/>
      <c r="E468" s="104" t="str">
        <f>IFERROR(__xludf.DUMMYFUNCTION("""COMPUTED_VALUE"""),"ST-PO-4-NU-1")</f>
        <v>ST-PO-4-NU-1</v>
      </c>
      <c r="F468" s="98">
        <v>2.1999999999999997</v>
      </c>
      <c r="G468" s="110"/>
      <c r="H468" s="98"/>
      <c r="I468" s="98"/>
      <c r="J468" s="111"/>
      <c r="K468" s="111"/>
      <c r="L468" s="102"/>
      <c r="M468" s="98" t="s">
        <v>39</v>
      </c>
      <c r="N468" s="103" t="str">
        <f>IFERROR(__xludf.DUMMYFUNCTION("""COMPUTED_VALUE"""),"")</f>
        <v/>
      </c>
      <c r="O468" s="102"/>
      <c r="P468" s="102"/>
      <c r="Q468" s="104"/>
      <c r="R468" s="102" t="s">
        <v>745</v>
      </c>
      <c r="S468" s="104">
        <v>14.99</v>
      </c>
      <c r="T468" s="104" t="s">
        <v>4062</v>
      </c>
      <c r="U468" s="104"/>
      <c r="V468" s="104" t="s">
        <v>4062</v>
      </c>
      <c r="W468" s="104"/>
    </row>
    <row r="469">
      <c r="A469" s="105">
        <v>45985.0</v>
      </c>
      <c r="B469" s="79" t="str">
        <f>IFERROR(__xludf.DUMMYFUNCTION("""COMPUTED_VALUE"""),"BWH-AL-QD-1A-4")</f>
        <v>BWH-AL-QD-1A-4</v>
      </c>
      <c r="C469" s="104"/>
      <c r="D469" s="104"/>
      <c r="E469" s="104" t="str">
        <f>IFERROR(__xludf.DUMMYFUNCTION("""COMPUTED_VALUE"""),"EB-PO-4-DO-1")</f>
        <v>EB-PO-4-DO-1</v>
      </c>
      <c r="F469" s="98">
        <v>1.0999999999999999</v>
      </c>
      <c r="G469" s="110"/>
      <c r="H469" s="98"/>
      <c r="I469" s="98"/>
      <c r="J469" s="98"/>
      <c r="K469" s="111"/>
      <c r="L469" s="104"/>
      <c r="M469" s="98" t="s">
        <v>39</v>
      </c>
      <c r="N469" s="103" t="str">
        <f>IFERROR(__xludf.DUMMYFUNCTION("""COMPUTED_VALUE"""),"")</f>
        <v/>
      </c>
      <c r="O469" s="104"/>
      <c r="P469" s="102"/>
      <c r="Q469" s="104"/>
      <c r="R469" s="104" t="s">
        <v>746</v>
      </c>
      <c r="S469" s="104">
        <v>14.99</v>
      </c>
      <c r="T469" s="104" t="s">
        <v>4063</v>
      </c>
      <c r="U469" s="104"/>
      <c r="V469" s="104" t="s">
        <v>4063</v>
      </c>
      <c r="W469" s="104"/>
    </row>
    <row r="470">
      <c r="A470" s="105">
        <v>45985.0</v>
      </c>
      <c r="B470" s="79" t="str">
        <f>IFERROR(__xludf.DUMMYFUNCTION("""COMPUTED_VALUE"""),"BWH-AL-QD-1A-5")</f>
        <v>BWH-AL-QD-1A-5</v>
      </c>
      <c r="C470" s="104"/>
      <c r="D470" s="104"/>
      <c r="E470" s="104" t="str">
        <f>IFERROR(__xludf.DUMMYFUNCTION("""COMPUTED_VALUE"""),"ST-PO-4-NU-1")</f>
        <v>ST-PO-4-NU-1</v>
      </c>
      <c r="F470" s="98">
        <v>1.0999999999999999</v>
      </c>
      <c r="G470" s="110"/>
      <c r="H470" s="98"/>
      <c r="I470" s="98"/>
      <c r="J470" s="111"/>
      <c r="K470" s="98"/>
      <c r="L470" s="104"/>
      <c r="M470" s="98" t="s">
        <v>39</v>
      </c>
      <c r="N470" s="103" t="str">
        <f>IFERROR(__xludf.DUMMYFUNCTION("""COMPUTED_VALUE"""),"")</f>
        <v/>
      </c>
      <c r="O470" s="104"/>
      <c r="P470" s="104"/>
      <c r="Q470" s="104"/>
      <c r="R470" s="104" t="s">
        <v>747</v>
      </c>
      <c r="S470" s="104">
        <v>14.99</v>
      </c>
      <c r="T470" s="104" t="s">
        <v>4064</v>
      </c>
      <c r="U470" s="104"/>
      <c r="V470" s="104" t="s">
        <v>4064</v>
      </c>
      <c r="W470" s="104"/>
    </row>
    <row r="471">
      <c r="A471" s="105">
        <v>45985.0</v>
      </c>
      <c r="B471" s="79" t="str">
        <f>IFERROR(__xludf.DUMMYFUNCTION("""COMPUTED_VALUE"""),"BWH-PH-BIL-1A")</f>
        <v>BWH-PH-BIL-1A</v>
      </c>
      <c r="C471" s="104"/>
      <c r="D471" s="104"/>
      <c r="E471" s="104" t="str">
        <f>IFERROR(__xludf.DUMMYFUNCTION("""COMPUTED_VALUE"""),"")</f>
        <v/>
      </c>
      <c r="F471" s="98">
        <v>6.0</v>
      </c>
      <c r="G471" s="110"/>
      <c r="H471" s="98"/>
      <c r="I471" s="98"/>
      <c r="J471" s="98"/>
      <c r="K471" s="98"/>
      <c r="L471" s="104"/>
      <c r="M471" s="98" t="s">
        <v>39</v>
      </c>
      <c r="N471" s="103" t="str">
        <f>IFERROR(__xludf.DUMMYFUNCTION("""COMPUTED_VALUE"""),"")</f>
        <v/>
      </c>
      <c r="O471" s="104"/>
      <c r="P471" s="104"/>
      <c r="Q471" s="104"/>
      <c r="R471" s="104" t="s">
        <v>748</v>
      </c>
      <c r="S471" s="104">
        <v>19.99</v>
      </c>
      <c r="T471" s="104" t="s">
        <v>4065</v>
      </c>
      <c r="U471" s="104"/>
      <c r="V471" s="104" t="s">
        <v>4065</v>
      </c>
      <c r="W471" s="104"/>
    </row>
    <row r="472">
      <c r="A472" s="105">
        <v>45985.0</v>
      </c>
      <c r="B472" s="79" t="str">
        <f>IFERROR(__xludf.DUMMYFUNCTION("""COMPUTED_VALUE"""),"BWH-PH-BIL-1A-2")</f>
        <v>BWH-PH-BIL-1A-2</v>
      </c>
      <c r="C472" s="104"/>
      <c r="D472" s="104"/>
      <c r="E472" s="104" t="str">
        <f>IFERROR(__xludf.DUMMYFUNCTION("""COMPUTED_VALUE"""),"")</f>
        <v/>
      </c>
      <c r="F472" s="98">
        <v>6.0</v>
      </c>
      <c r="G472" s="110"/>
      <c r="H472" s="98"/>
      <c r="I472" s="98"/>
      <c r="J472" s="98"/>
      <c r="K472" s="98"/>
      <c r="L472" s="104"/>
      <c r="M472" s="98" t="s">
        <v>39</v>
      </c>
      <c r="N472" s="103" t="str">
        <f>IFERROR(__xludf.DUMMYFUNCTION("""COMPUTED_VALUE"""),"")</f>
        <v/>
      </c>
      <c r="O472" s="104"/>
      <c r="P472" s="104"/>
      <c r="Q472" s="104"/>
      <c r="R472" s="104" t="s">
        <v>749</v>
      </c>
      <c r="S472" s="104">
        <v>19.99</v>
      </c>
      <c r="T472" s="104" t="s">
        <v>4066</v>
      </c>
      <c r="U472" s="104"/>
      <c r="V472" s="104" t="s">
        <v>4066</v>
      </c>
      <c r="W472" s="104"/>
    </row>
    <row r="473">
      <c r="A473" s="105">
        <v>45985.0</v>
      </c>
      <c r="B473" s="79" t="str">
        <f>IFERROR(__xludf.DUMMYFUNCTION("""COMPUTED_VALUE"""),"BWH-PH-BIL-1A-3")</f>
        <v>BWH-PH-BIL-1A-3</v>
      </c>
      <c r="C473" s="104"/>
      <c r="D473" s="104"/>
      <c r="E473" s="104" t="str">
        <f>IFERROR(__xludf.DUMMYFUNCTION("""COMPUTED_VALUE"""),"")</f>
        <v/>
      </c>
      <c r="F473" s="98">
        <v>6.0</v>
      </c>
      <c r="G473" s="110"/>
      <c r="H473" s="98"/>
      <c r="I473" s="98"/>
      <c r="J473" s="98"/>
      <c r="K473" s="98"/>
      <c r="L473" s="104"/>
      <c r="M473" s="98" t="s">
        <v>39</v>
      </c>
      <c r="N473" s="103" t="str">
        <f>IFERROR(__xludf.DUMMYFUNCTION("""COMPUTED_VALUE"""),"")</f>
        <v/>
      </c>
      <c r="O473" s="104"/>
      <c r="P473" s="104"/>
      <c r="Q473" s="104"/>
      <c r="R473" s="104" t="s">
        <v>750</v>
      </c>
      <c r="S473" s="104">
        <v>19.99</v>
      </c>
      <c r="T473" s="104" t="s">
        <v>4067</v>
      </c>
      <c r="U473" s="104"/>
      <c r="V473" s="104" t="s">
        <v>4067</v>
      </c>
      <c r="W473" s="104"/>
    </row>
    <row r="474">
      <c r="A474" s="105">
        <v>45985.0</v>
      </c>
      <c r="B474" s="79" t="str">
        <f>IFERROR(__xludf.DUMMYFUNCTION("""COMPUTED_VALUE"""),"BWH-PH-BIL-1A-4")</f>
        <v>BWH-PH-BIL-1A-4</v>
      </c>
      <c r="C474" s="104"/>
      <c r="D474" s="104"/>
      <c r="E474" s="104" t="str">
        <f>IFERROR(__xludf.DUMMYFUNCTION("""COMPUTED_VALUE"""),"")</f>
        <v/>
      </c>
      <c r="F474" s="98">
        <v>6.0</v>
      </c>
      <c r="G474" s="110"/>
      <c r="H474" s="98"/>
      <c r="I474" s="98"/>
      <c r="J474" s="98"/>
      <c r="K474" s="98"/>
      <c r="L474" s="104"/>
      <c r="M474" s="98" t="s">
        <v>39</v>
      </c>
      <c r="N474" s="103" t="str">
        <f>IFERROR(__xludf.DUMMYFUNCTION("""COMPUTED_VALUE"""),"")</f>
        <v/>
      </c>
      <c r="O474" s="104"/>
      <c r="P474" s="104"/>
      <c r="Q474" s="104"/>
      <c r="R474" s="104" t="s">
        <v>751</v>
      </c>
      <c r="S474" s="104">
        <v>19.99</v>
      </c>
      <c r="T474" s="104" t="s">
        <v>4068</v>
      </c>
      <c r="U474" s="104"/>
      <c r="V474" s="104" t="s">
        <v>4068</v>
      </c>
      <c r="W474" s="104"/>
    </row>
    <row r="475">
      <c r="A475" s="105">
        <v>45985.0</v>
      </c>
      <c r="B475" s="79" t="str">
        <f>IFERROR(__xludf.DUMMYFUNCTION("""COMPUTED_VALUE"""),"BWH-PH-BIL-1A-5")</f>
        <v>BWH-PH-BIL-1A-5</v>
      </c>
      <c r="C475" s="104"/>
      <c r="D475" s="104"/>
      <c r="E475" s="104" t="str">
        <f>IFERROR(__xludf.DUMMYFUNCTION("""COMPUTED_VALUE"""),"")</f>
        <v/>
      </c>
      <c r="F475" s="98">
        <v>6.0</v>
      </c>
      <c r="G475" s="110"/>
      <c r="H475" s="98"/>
      <c r="I475" s="98"/>
      <c r="J475" s="98"/>
      <c r="K475" s="98"/>
      <c r="L475" s="104"/>
      <c r="M475" s="98" t="s">
        <v>39</v>
      </c>
      <c r="N475" s="103" t="str">
        <f>IFERROR(__xludf.DUMMYFUNCTION("""COMPUTED_VALUE"""),"")</f>
        <v/>
      </c>
      <c r="O475" s="104"/>
      <c r="P475" s="104"/>
      <c r="Q475" s="104"/>
      <c r="R475" s="104" t="s">
        <v>752</v>
      </c>
      <c r="S475" s="104">
        <v>19.99</v>
      </c>
      <c r="T475" s="104" t="s">
        <v>4069</v>
      </c>
      <c r="U475" s="104"/>
      <c r="V475" s="104" t="s">
        <v>4069</v>
      </c>
      <c r="W475" s="104"/>
    </row>
    <row r="476">
      <c r="A476" s="105">
        <v>45985.0</v>
      </c>
      <c r="B476" s="79" t="str">
        <f>IFERROR(__xludf.DUMMYFUNCTION("""COMPUTED_VALUE"""),"BWH-PH-FBS-1A")</f>
        <v>BWH-PH-FBS-1A</v>
      </c>
      <c r="C476" s="104"/>
      <c r="D476" s="104"/>
      <c r="E476" s="104" t="str">
        <f>IFERROR(__xludf.DUMMYFUNCTION("""COMPUTED_VALUE"""),"ST-PO-4-NU-1")</f>
        <v>ST-PO-4-NU-1</v>
      </c>
      <c r="F476" s="98">
        <v>24.0</v>
      </c>
      <c r="G476" s="110"/>
      <c r="H476" s="98"/>
      <c r="I476" s="98"/>
      <c r="J476" s="98"/>
      <c r="K476" s="98"/>
      <c r="L476" s="104"/>
      <c r="M476" s="98" t="s">
        <v>39</v>
      </c>
      <c r="N476" s="103" t="str">
        <f>IFERROR(__xludf.DUMMYFUNCTION("""COMPUTED_VALUE"""),"")</f>
        <v/>
      </c>
      <c r="O476" s="104"/>
      <c r="P476" s="104"/>
      <c r="Q476" s="104"/>
      <c r="R476" s="104" t="s">
        <v>754</v>
      </c>
      <c r="S476" s="104">
        <v>59.99</v>
      </c>
      <c r="T476" s="104" t="s">
        <v>4070</v>
      </c>
      <c r="U476" s="104"/>
      <c r="V476" s="104" t="s">
        <v>4070</v>
      </c>
      <c r="W476" s="104"/>
    </row>
    <row r="477">
      <c r="A477" s="105">
        <v>45985.0</v>
      </c>
      <c r="B477" s="79" t="str">
        <f>IFERROR(__xludf.DUMMYFUNCTION("""COMPUTED_VALUE"""),"BWH-PH-FBS-1A-2")</f>
        <v>BWH-PH-FBS-1A-2</v>
      </c>
      <c r="C477" s="104"/>
      <c r="D477" s="104"/>
      <c r="E477" s="104" t="str">
        <f>IFERROR(__xludf.DUMMYFUNCTION("""COMPUTED_VALUE"""),"NR-PO-5-TBP-1")</f>
        <v>NR-PO-5-TBP-1</v>
      </c>
      <c r="F477" s="98">
        <v>24.0</v>
      </c>
      <c r="G477" s="110"/>
      <c r="H477" s="98"/>
      <c r="I477" s="98"/>
      <c r="J477" s="98"/>
      <c r="K477" s="98"/>
      <c r="L477" s="104"/>
      <c r="M477" s="98" t="s">
        <v>39</v>
      </c>
      <c r="N477" s="103" t="str">
        <f>IFERROR(__xludf.DUMMYFUNCTION("""COMPUTED_VALUE"""),"")</f>
        <v/>
      </c>
      <c r="O477" s="104"/>
      <c r="P477" s="104"/>
      <c r="Q477" s="104"/>
      <c r="R477" s="104" t="s">
        <v>755</v>
      </c>
      <c r="S477" s="104">
        <v>59.99</v>
      </c>
      <c r="T477" s="104" t="s">
        <v>4071</v>
      </c>
      <c r="U477" s="104"/>
      <c r="V477" s="104" t="s">
        <v>4071</v>
      </c>
      <c r="W477" s="104"/>
    </row>
    <row r="478">
      <c r="A478" s="105">
        <v>45985.0</v>
      </c>
      <c r="B478" s="79" t="str">
        <f>IFERROR(__xludf.DUMMYFUNCTION("""COMPUTED_VALUE"""),"BWH-PH-FBS-1A-3")</f>
        <v>BWH-PH-FBS-1A-3</v>
      </c>
      <c r="C478" s="104"/>
      <c r="D478" s="104"/>
      <c r="E478" s="104" t="str">
        <f>IFERROR(__xludf.DUMMYFUNCTION("""COMPUTED_VALUE"""),"MU-PO-3-MU-1")</f>
        <v>MU-PO-3-MU-1</v>
      </c>
      <c r="F478" s="98">
        <v>24.0</v>
      </c>
      <c r="G478" s="110"/>
      <c r="H478" s="98"/>
      <c r="I478" s="98"/>
      <c r="J478" s="98"/>
      <c r="K478" s="98"/>
      <c r="L478" s="104"/>
      <c r="M478" s="98" t="s">
        <v>39</v>
      </c>
      <c r="N478" s="103" t="str">
        <f>IFERROR(__xludf.DUMMYFUNCTION("""COMPUTED_VALUE"""),"")</f>
        <v/>
      </c>
      <c r="O478" s="104"/>
      <c r="P478" s="104"/>
      <c r="Q478" s="104"/>
      <c r="R478" s="104" t="s">
        <v>756</v>
      </c>
      <c r="S478" s="104">
        <v>59.99</v>
      </c>
      <c r="T478" s="104" t="s">
        <v>4072</v>
      </c>
      <c r="U478" s="104"/>
      <c r="V478" s="104" t="s">
        <v>4072</v>
      </c>
      <c r="W478" s="104"/>
    </row>
    <row r="479">
      <c r="A479" s="105">
        <v>45985.0</v>
      </c>
      <c r="B479" s="79" t="str">
        <f>IFERROR(__xludf.DUMMYFUNCTION("""COMPUTED_VALUE"""),"BWH-PH-FBS-1A-4")</f>
        <v>BWH-PH-FBS-1A-4</v>
      </c>
      <c r="C479" s="104"/>
      <c r="D479" s="104"/>
      <c r="E479" s="104" t="str">
        <f>IFERROR(__xludf.DUMMYFUNCTION("""COMPUTED_VALUE"""),"ST-PO-4-NU-1")</f>
        <v>ST-PO-4-NU-1</v>
      </c>
      <c r="F479" s="98">
        <v>24.0</v>
      </c>
      <c r="G479" s="110"/>
      <c r="H479" s="98"/>
      <c r="I479" s="98"/>
      <c r="J479" s="98"/>
      <c r="K479" s="98"/>
      <c r="L479" s="104"/>
      <c r="M479" s="98" t="s">
        <v>39</v>
      </c>
      <c r="N479" s="103" t="str">
        <f>IFERROR(__xludf.DUMMYFUNCTION("""COMPUTED_VALUE"""),"")</f>
        <v/>
      </c>
      <c r="O479" s="104"/>
      <c r="P479" s="104"/>
      <c r="Q479" s="104"/>
      <c r="R479" s="104" t="s">
        <v>757</v>
      </c>
      <c r="S479" s="104">
        <v>59.99</v>
      </c>
      <c r="T479" s="104" t="s">
        <v>4073</v>
      </c>
      <c r="U479" s="104"/>
      <c r="V479" s="104" t="s">
        <v>4073</v>
      </c>
      <c r="W479" s="104"/>
    </row>
    <row r="480">
      <c r="A480" s="105">
        <v>45985.0</v>
      </c>
      <c r="B480" s="79" t="str">
        <f>IFERROR(__xludf.DUMMYFUNCTION("""COMPUTED_VALUE"""),"BWH-PH-FBS-1A-5")</f>
        <v>BWH-PH-FBS-1A-5</v>
      </c>
      <c r="C480" s="104"/>
      <c r="D480" s="104"/>
      <c r="E480" s="104" t="str">
        <f>IFERROR(__xludf.DUMMYFUNCTION("""COMPUTED_VALUE"""),"ST-PO-4-NU-1")</f>
        <v>ST-PO-4-NU-1</v>
      </c>
      <c r="F480" s="98">
        <v>24.0</v>
      </c>
      <c r="G480" s="110"/>
      <c r="H480" s="98"/>
      <c r="I480" s="98"/>
      <c r="J480" s="98"/>
      <c r="K480" s="111"/>
      <c r="L480" s="104"/>
      <c r="M480" s="98" t="s">
        <v>39</v>
      </c>
      <c r="N480" s="103" t="str">
        <f>IFERROR(__xludf.DUMMYFUNCTION("""COMPUTED_VALUE"""),"")</f>
        <v/>
      </c>
      <c r="O480" s="104"/>
      <c r="P480" s="102"/>
      <c r="Q480" s="104"/>
      <c r="R480" s="104" t="s">
        <v>758</v>
      </c>
      <c r="S480" s="104">
        <v>59.99</v>
      </c>
      <c r="T480" s="104" t="s">
        <v>4074</v>
      </c>
      <c r="U480" s="104"/>
      <c r="V480" s="104" t="s">
        <v>4074</v>
      </c>
      <c r="W480" s="104"/>
    </row>
    <row r="481">
      <c r="A481" s="105">
        <v>45985.0</v>
      </c>
      <c r="B481" s="79" t="str">
        <f>IFERROR(__xludf.DUMMYFUNCTION("""COMPUTED_VALUE"""),"BWH-PH-WA-1A")</f>
        <v>BWH-PH-WA-1A</v>
      </c>
      <c r="C481" s="104"/>
      <c r="D481" s="104"/>
      <c r="E481" s="104" t="str">
        <f>IFERROR(__xludf.DUMMYFUNCTION("""COMPUTED_VALUE"""),"")</f>
        <v/>
      </c>
      <c r="F481" s="98">
        <v>7.5</v>
      </c>
      <c r="G481" s="110"/>
      <c r="H481" s="98"/>
      <c r="I481" s="98"/>
      <c r="J481" s="98"/>
      <c r="K481" s="98"/>
      <c r="L481" s="104"/>
      <c r="M481" s="98" t="s">
        <v>39</v>
      </c>
      <c r="N481" s="103" t="str">
        <f>IFERROR(__xludf.DUMMYFUNCTION("""COMPUTED_VALUE"""),"")</f>
        <v/>
      </c>
      <c r="O481" s="104"/>
      <c r="P481" s="104"/>
      <c r="Q481" s="104"/>
      <c r="R481" s="104" t="s">
        <v>760</v>
      </c>
      <c r="S481" s="104">
        <v>19.99</v>
      </c>
      <c r="T481" s="104" t="s">
        <v>4075</v>
      </c>
      <c r="U481" s="104"/>
      <c r="V481" s="104" t="s">
        <v>4075</v>
      </c>
      <c r="W481" s="104"/>
    </row>
    <row r="482">
      <c r="A482" s="105">
        <v>45985.0</v>
      </c>
      <c r="B482" s="79" t="str">
        <f>IFERROR(__xludf.DUMMYFUNCTION("""COMPUTED_VALUE"""),"BWH-PH-WA-1A-2")</f>
        <v>BWH-PH-WA-1A-2</v>
      </c>
      <c r="C482" s="104"/>
      <c r="D482" s="104"/>
      <c r="E482" s="104" t="str">
        <f>IFERROR(__xludf.DUMMYFUNCTION("""COMPUTED_VALUE"""),"YA-PO-2-CL-1")</f>
        <v>YA-PO-2-CL-1</v>
      </c>
      <c r="F482" s="98">
        <v>7.5</v>
      </c>
      <c r="G482" s="110"/>
      <c r="H482" s="98"/>
      <c r="I482" s="98"/>
      <c r="J482" s="111"/>
      <c r="K482" s="98"/>
      <c r="L482" s="104"/>
      <c r="M482" s="98" t="s">
        <v>39</v>
      </c>
      <c r="N482" s="103" t="str">
        <f>IFERROR(__xludf.DUMMYFUNCTION("""COMPUTED_VALUE"""),"")</f>
        <v/>
      </c>
      <c r="O482" s="104"/>
      <c r="P482" s="104"/>
      <c r="Q482" s="104"/>
      <c r="R482" s="104" t="s">
        <v>761</v>
      </c>
      <c r="S482" s="104">
        <v>19.99</v>
      </c>
      <c r="T482" s="104" t="s">
        <v>4076</v>
      </c>
      <c r="U482" s="104"/>
      <c r="V482" s="104" t="s">
        <v>4076</v>
      </c>
      <c r="W482" s="104"/>
    </row>
    <row r="483">
      <c r="A483" s="105">
        <v>45985.0</v>
      </c>
      <c r="B483" s="79" t="str">
        <f>IFERROR(__xludf.DUMMYFUNCTION("""COMPUTED_VALUE"""),"BWH-PH-WA-1A-3")</f>
        <v>BWH-PH-WA-1A-3</v>
      </c>
      <c r="C483" s="104"/>
      <c r="D483" s="104"/>
      <c r="E483" s="104" t="str">
        <f>IFERROR(__xludf.DUMMYFUNCTION("""COMPUTED_VALUE"""),"")</f>
        <v/>
      </c>
      <c r="F483" s="98">
        <v>7.5</v>
      </c>
      <c r="G483" s="110"/>
      <c r="H483" s="98"/>
      <c r="I483" s="98"/>
      <c r="J483" s="98"/>
      <c r="K483" s="98"/>
      <c r="L483" s="104"/>
      <c r="M483" s="98" t="s">
        <v>39</v>
      </c>
      <c r="N483" s="103" t="str">
        <f>IFERROR(__xludf.DUMMYFUNCTION("""COMPUTED_VALUE"""),"")</f>
        <v/>
      </c>
      <c r="O483" s="104"/>
      <c r="P483" s="104"/>
      <c r="Q483" s="104"/>
      <c r="R483" s="104" t="s">
        <v>762</v>
      </c>
      <c r="S483" s="104">
        <v>19.99</v>
      </c>
      <c r="T483" s="104" t="s">
        <v>4077</v>
      </c>
      <c r="U483" s="104"/>
      <c r="V483" s="104" t="s">
        <v>4077</v>
      </c>
      <c r="W483" s="104"/>
    </row>
    <row r="484">
      <c r="A484" s="105">
        <v>45985.0</v>
      </c>
      <c r="B484" s="79" t="str">
        <f>IFERROR(__xludf.DUMMYFUNCTION("""COMPUTED_VALUE"""),"BWH-PH-WA-1A-4")</f>
        <v>BWH-PH-WA-1A-4</v>
      </c>
      <c r="C484" s="104"/>
      <c r="D484" s="104"/>
      <c r="E484" s="104" t="str">
        <f>IFERROR(__xludf.DUMMYFUNCTION("""COMPUTED_VALUE"""),"AGP-PO-4-BN-1")</f>
        <v>AGP-PO-4-BN-1</v>
      </c>
      <c r="F484" s="98">
        <v>7.5</v>
      </c>
      <c r="G484" s="110"/>
      <c r="H484" s="98"/>
      <c r="I484" s="98"/>
      <c r="J484" s="98"/>
      <c r="K484" s="111"/>
      <c r="L484" s="104"/>
      <c r="M484" s="98" t="s">
        <v>39</v>
      </c>
      <c r="N484" s="103" t="str">
        <f>IFERROR(__xludf.DUMMYFUNCTION("""COMPUTED_VALUE"""),"")</f>
        <v/>
      </c>
      <c r="O484" s="104"/>
      <c r="P484" s="102"/>
      <c r="Q484" s="104"/>
      <c r="R484" s="104" t="s">
        <v>763</v>
      </c>
      <c r="S484" s="104">
        <v>19.99</v>
      </c>
      <c r="T484" s="104" t="s">
        <v>4078</v>
      </c>
      <c r="U484" s="104"/>
      <c r="V484" s="104" t="s">
        <v>4078</v>
      </c>
      <c r="W484" s="104"/>
    </row>
    <row r="485">
      <c r="A485" s="105">
        <v>45985.0</v>
      </c>
      <c r="B485" s="79" t="str">
        <f>IFERROR(__xludf.DUMMYFUNCTION("""COMPUTED_VALUE"""),"BWH-PH-WA-1A-5")</f>
        <v>BWH-PH-WA-1A-5</v>
      </c>
      <c r="C485" s="104"/>
      <c r="D485" s="104"/>
      <c r="E485" s="104" t="str">
        <f>IFERROR(__xludf.DUMMYFUNCTION("""COMPUTED_VALUE"""),"")</f>
        <v/>
      </c>
      <c r="F485" s="98">
        <v>7.5</v>
      </c>
      <c r="G485" s="110"/>
      <c r="H485" s="98"/>
      <c r="I485" s="98"/>
      <c r="J485" s="98"/>
      <c r="K485" s="98"/>
      <c r="L485" s="104"/>
      <c r="M485" s="98" t="s">
        <v>39</v>
      </c>
      <c r="N485" s="103" t="str">
        <f>IFERROR(__xludf.DUMMYFUNCTION("""COMPUTED_VALUE"""),"")</f>
        <v/>
      </c>
      <c r="O485" s="104"/>
      <c r="P485" s="104"/>
      <c r="Q485" s="104"/>
      <c r="R485" s="104" t="s">
        <v>764</v>
      </c>
      <c r="S485" s="104">
        <v>19.99</v>
      </c>
      <c r="T485" s="104" t="s">
        <v>4079</v>
      </c>
      <c r="U485" s="104"/>
      <c r="V485" s="104" t="s">
        <v>4079</v>
      </c>
      <c r="W485" s="104"/>
    </row>
    <row r="486">
      <c r="A486" s="105">
        <v>45985.0</v>
      </c>
      <c r="B486" s="79" t="str">
        <f>IFERROR(__xludf.DUMMYFUNCTION("""COMPUTED_VALUE"""),"BWH-SYN-WE-1A")</f>
        <v>BWH-SYN-WE-1A</v>
      </c>
      <c r="C486" s="104"/>
      <c r="D486" s="104"/>
      <c r="E486" s="104" t="str">
        <f>IFERROR(__xludf.DUMMYFUNCTION("""COMPUTED_VALUE"""),"AGP-PO-4-BN-1")</f>
        <v>AGP-PO-4-BN-1</v>
      </c>
      <c r="F486" s="98">
        <v>3.15</v>
      </c>
      <c r="G486" s="110"/>
      <c r="H486" s="98"/>
      <c r="I486" s="98"/>
      <c r="J486" s="98"/>
      <c r="K486" s="98"/>
      <c r="L486" s="104"/>
      <c r="M486" s="98" t="s">
        <v>39</v>
      </c>
      <c r="N486" s="103" t="str">
        <f>IFERROR(__xludf.DUMMYFUNCTION("""COMPUTED_VALUE"""),"")</f>
        <v/>
      </c>
      <c r="O486" s="104"/>
      <c r="P486" s="104"/>
      <c r="Q486" s="104"/>
      <c r="R486" s="104" t="s">
        <v>766</v>
      </c>
      <c r="S486" s="104">
        <v>14.99</v>
      </c>
      <c r="T486" s="104" t="s">
        <v>4080</v>
      </c>
      <c r="U486" s="104"/>
      <c r="V486" s="104" t="s">
        <v>4080</v>
      </c>
      <c r="W486" s="104"/>
    </row>
    <row r="487">
      <c r="A487" s="105">
        <v>45985.0</v>
      </c>
      <c r="B487" s="79" t="str">
        <f>IFERROR(__xludf.DUMMYFUNCTION("""COMPUTED_VALUE"""),"BWH-SYN-WE-1A-2")</f>
        <v>BWH-SYN-WE-1A-2</v>
      </c>
      <c r="C487" s="104"/>
      <c r="D487" s="104"/>
      <c r="E487" s="104" t="str">
        <f>IFERROR(__xludf.DUMMYFUNCTION("""COMPUTED_VALUE"""),"")</f>
        <v/>
      </c>
      <c r="F487" s="98">
        <v>6.3</v>
      </c>
      <c r="G487" s="110"/>
      <c r="H487" s="98"/>
      <c r="I487" s="98"/>
      <c r="J487" s="98"/>
      <c r="K487" s="98"/>
      <c r="L487" s="104"/>
      <c r="M487" s="98" t="s">
        <v>39</v>
      </c>
      <c r="N487" s="103" t="str">
        <f>IFERROR(__xludf.DUMMYFUNCTION("""COMPUTED_VALUE"""),"")</f>
        <v/>
      </c>
      <c r="O487" s="104"/>
      <c r="P487" s="104"/>
      <c r="Q487" s="104"/>
      <c r="R487" s="104" t="s">
        <v>767</v>
      </c>
      <c r="S487" s="104">
        <v>14.99</v>
      </c>
      <c r="T487" s="104" t="s">
        <v>4081</v>
      </c>
      <c r="U487" s="104"/>
      <c r="V487" s="104" t="s">
        <v>4081</v>
      </c>
      <c r="W487" s="104"/>
    </row>
    <row r="488">
      <c r="A488" s="105">
        <v>45985.0</v>
      </c>
      <c r="B488" s="79" t="str">
        <f>IFERROR(__xludf.DUMMYFUNCTION("""COMPUTED_VALUE"""),"BWH-SYN-WE-1A-3")</f>
        <v>BWH-SYN-WE-1A-3</v>
      </c>
      <c r="C488" s="104"/>
      <c r="D488" s="104"/>
      <c r="E488" s="104" t="str">
        <f>IFERROR(__xludf.DUMMYFUNCTION("""COMPUTED_VALUE"""),"")</f>
        <v/>
      </c>
      <c r="F488" s="98">
        <v>6.3</v>
      </c>
      <c r="G488" s="110"/>
      <c r="H488" s="98"/>
      <c r="I488" s="98"/>
      <c r="J488" s="98"/>
      <c r="K488" s="98"/>
      <c r="L488" s="104"/>
      <c r="M488" s="98" t="s">
        <v>39</v>
      </c>
      <c r="N488" s="103" t="str">
        <f>IFERROR(__xludf.DUMMYFUNCTION("""COMPUTED_VALUE"""),"")</f>
        <v/>
      </c>
      <c r="O488" s="104"/>
      <c r="P488" s="104"/>
      <c r="Q488" s="104"/>
      <c r="R488" s="104" t="s">
        <v>768</v>
      </c>
      <c r="S488" s="104">
        <v>14.99</v>
      </c>
      <c r="T488" s="104" t="s">
        <v>4082</v>
      </c>
      <c r="U488" s="104"/>
      <c r="V488" s="104" t="s">
        <v>4082</v>
      </c>
      <c r="W488" s="104"/>
    </row>
    <row r="489">
      <c r="A489" s="105">
        <v>45985.0</v>
      </c>
      <c r="B489" s="79" t="str">
        <f>IFERROR(__xludf.DUMMYFUNCTION("""COMPUTED_VALUE"""),"BWH-SYN-WE-1A-4")</f>
        <v>BWH-SYN-WE-1A-4</v>
      </c>
      <c r="C489" s="104"/>
      <c r="D489" s="104"/>
      <c r="E489" s="104" t="str">
        <f>IFERROR(__xludf.DUMMYFUNCTION("""COMPUTED_VALUE"""),"MU-PO-3-MU-1")</f>
        <v>MU-PO-3-MU-1</v>
      </c>
      <c r="F489" s="98">
        <v>2.1</v>
      </c>
      <c r="G489" s="110"/>
      <c r="H489" s="98"/>
      <c r="I489" s="98"/>
      <c r="J489" s="98"/>
      <c r="K489" s="98"/>
      <c r="L489" s="104"/>
      <c r="M489" s="98" t="s">
        <v>39</v>
      </c>
      <c r="N489" s="103" t="str">
        <f>IFERROR(__xludf.DUMMYFUNCTION("""COMPUTED_VALUE"""),"")</f>
        <v/>
      </c>
      <c r="O489" s="104"/>
      <c r="P489" s="104"/>
      <c r="Q489" s="104"/>
      <c r="R489" s="104" t="s">
        <v>769</v>
      </c>
      <c r="S489" s="104">
        <v>14.99</v>
      </c>
      <c r="T489" s="104" t="s">
        <v>4083</v>
      </c>
      <c r="U489" s="104"/>
      <c r="V489" s="104" t="s">
        <v>4083</v>
      </c>
      <c r="W489" s="104"/>
    </row>
    <row r="490">
      <c r="A490" s="105">
        <v>45985.0</v>
      </c>
      <c r="B490" s="79" t="str">
        <f>IFERROR(__xludf.DUMMYFUNCTION("""COMPUTED_VALUE"""),"BWH-SYN-WE-1A-5")</f>
        <v>BWH-SYN-WE-1A-5</v>
      </c>
      <c r="C490" s="104"/>
      <c r="D490" s="104"/>
      <c r="E490" s="104" t="str">
        <f>IFERROR(__xludf.DUMMYFUNCTION("""COMPUTED_VALUE"""),"")</f>
        <v/>
      </c>
      <c r="F490" s="98">
        <v>6.3</v>
      </c>
      <c r="G490" s="110"/>
      <c r="H490" s="98"/>
      <c r="I490" s="98"/>
      <c r="J490" s="111"/>
      <c r="K490" s="111"/>
      <c r="L490" s="104"/>
      <c r="M490" s="98" t="s">
        <v>39</v>
      </c>
      <c r="N490" s="103" t="str">
        <f>IFERROR(__xludf.DUMMYFUNCTION("""COMPUTED_VALUE"""),"")</f>
        <v/>
      </c>
      <c r="O490" s="104"/>
      <c r="P490" s="102" t="s">
        <v>1692</v>
      </c>
      <c r="Q490" s="104"/>
      <c r="R490" s="104" t="s">
        <v>770</v>
      </c>
      <c r="S490" s="104">
        <v>14.99</v>
      </c>
      <c r="T490" s="104" t="s">
        <v>4084</v>
      </c>
      <c r="U490" s="104"/>
      <c r="V490" s="104" t="s">
        <v>4084</v>
      </c>
      <c r="W490" s="104"/>
    </row>
    <row r="491">
      <c r="A491" s="105">
        <v>45985.0</v>
      </c>
      <c r="B491" s="79" t="str">
        <f>IFERROR(__xludf.DUMMYFUNCTION("""COMPUTED_VALUE"""),"BWH-PH-VGC-1A")</f>
        <v>BWH-PH-VGC-1A</v>
      </c>
      <c r="C491" s="104"/>
      <c r="D491" s="104"/>
      <c r="E491" s="104" t="str">
        <f>IFERROR(__xludf.DUMMYFUNCTION("""COMPUTED_VALUE"""),"NR-PO-3-TBP-1")</f>
        <v>NR-PO-3-TBP-1</v>
      </c>
      <c r="F491" s="98">
        <v>16.5</v>
      </c>
      <c r="G491" s="110"/>
      <c r="H491" s="98"/>
      <c r="I491" s="98"/>
      <c r="J491" s="98"/>
      <c r="K491" s="111"/>
      <c r="L491" s="104"/>
      <c r="M491" s="98" t="s">
        <v>39</v>
      </c>
      <c r="N491" s="103" t="str">
        <f>IFERROR(__xludf.DUMMYFUNCTION("""COMPUTED_VALUE"""),"")</f>
        <v/>
      </c>
      <c r="O491" s="104"/>
      <c r="P491" s="102"/>
      <c r="Q491" s="104"/>
      <c r="R491" s="104" t="s">
        <v>772</v>
      </c>
      <c r="S491" s="104">
        <v>39.99</v>
      </c>
      <c r="T491" s="104" t="s">
        <v>4085</v>
      </c>
      <c r="U491" s="104"/>
      <c r="V491" s="104" t="s">
        <v>4085</v>
      </c>
      <c r="W491" s="104"/>
    </row>
    <row r="492">
      <c r="A492" s="105">
        <v>45985.0</v>
      </c>
      <c r="B492" s="79" t="str">
        <f>IFERROR(__xludf.DUMMYFUNCTION("""COMPUTED_VALUE"""),"BWH-PH-VGC-1A-2")</f>
        <v>BWH-PH-VGC-1A-2</v>
      </c>
      <c r="C492" s="104"/>
      <c r="D492" s="104"/>
      <c r="E492" s="104" t="str">
        <f>IFERROR(__xludf.DUMMYFUNCTION("""COMPUTED_VALUE"""),"GA-PO-6-BL-1")</f>
        <v>GA-PO-6-BL-1</v>
      </c>
      <c r="F492" s="98">
        <v>16.5</v>
      </c>
      <c r="G492" s="110"/>
      <c r="H492" s="98"/>
      <c r="I492" s="98"/>
      <c r="J492" s="111"/>
      <c r="K492" s="111"/>
      <c r="L492" s="104"/>
      <c r="M492" s="98" t="s">
        <v>39</v>
      </c>
      <c r="N492" s="103" t="str">
        <f>IFERROR(__xludf.DUMMYFUNCTION("""COMPUTED_VALUE"""),"")</f>
        <v/>
      </c>
      <c r="O492" s="104"/>
      <c r="P492" s="102" t="s">
        <v>1481</v>
      </c>
      <c r="Q492" s="104"/>
      <c r="R492" s="104" t="s">
        <v>773</v>
      </c>
      <c r="S492" s="104">
        <v>39.99</v>
      </c>
      <c r="T492" s="104" t="s">
        <v>4086</v>
      </c>
      <c r="U492" s="104"/>
      <c r="V492" s="104" t="s">
        <v>4086</v>
      </c>
      <c r="W492" s="104"/>
    </row>
    <row r="493">
      <c r="A493" s="105">
        <v>45985.0</v>
      </c>
      <c r="B493" s="79" t="str">
        <f>IFERROR(__xludf.DUMMYFUNCTION("""COMPUTED_VALUE"""),"BWH-PH-VGC-1A-3")</f>
        <v>BWH-PH-VGC-1A-3</v>
      </c>
      <c r="C493" s="104"/>
      <c r="D493" s="104"/>
      <c r="E493" s="104" t="str">
        <f>IFERROR(__xludf.DUMMYFUNCTION("""COMPUTED_VALUE"""),"NR-PO-3-TBP-1")</f>
        <v>NR-PO-3-TBP-1</v>
      </c>
      <c r="F493" s="98">
        <v>16.5</v>
      </c>
      <c r="G493" s="110"/>
      <c r="H493" s="98"/>
      <c r="I493" s="98"/>
      <c r="J493" s="111"/>
      <c r="K493" s="98"/>
      <c r="L493" s="104"/>
      <c r="M493" s="98" t="s">
        <v>39</v>
      </c>
      <c r="N493" s="103" t="str">
        <f>IFERROR(__xludf.DUMMYFUNCTION("""COMPUTED_VALUE"""),"")</f>
        <v/>
      </c>
      <c r="O493" s="104"/>
      <c r="P493" s="104"/>
      <c r="Q493" s="104"/>
      <c r="R493" s="104" t="s">
        <v>774</v>
      </c>
      <c r="S493" s="104">
        <v>39.99</v>
      </c>
      <c r="T493" s="104" t="s">
        <v>4087</v>
      </c>
      <c r="U493" s="104"/>
      <c r="V493" s="104" t="s">
        <v>4087</v>
      </c>
      <c r="W493" s="104"/>
    </row>
    <row r="494">
      <c r="A494" s="105">
        <v>45985.0</v>
      </c>
      <c r="B494" s="79" t="str">
        <f>IFERROR(__xludf.DUMMYFUNCTION("""COMPUTED_VALUE"""),"BWH-PH-VGC-1A-4")</f>
        <v>BWH-PH-VGC-1A-4</v>
      </c>
      <c r="C494" s="104"/>
      <c r="D494" s="104"/>
      <c r="E494" s="104" t="str">
        <f>IFERROR(__xludf.DUMMYFUNCTION("""COMPUTED_VALUE"""),"")</f>
        <v/>
      </c>
      <c r="F494" s="98">
        <v>16.5</v>
      </c>
      <c r="G494" s="110"/>
      <c r="H494" s="98"/>
      <c r="I494" s="98"/>
      <c r="J494" s="98"/>
      <c r="K494" s="98"/>
      <c r="L494" s="104"/>
      <c r="M494" s="98" t="s">
        <v>39</v>
      </c>
      <c r="N494" s="103" t="str">
        <f>IFERROR(__xludf.DUMMYFUNCTION("""COMPUTED_VALUE"""),"")</f>
        <v/>
      </c>
      <c r="O494" s="104"/>
      <c r="P494" s="104"/>
      <c r="Q494" s="104"/>
      <c r="R494" s="104" t="s">
        <v>775</v>
      </c>
      <c r="S494" s="104">
        <v>39.99</v>
      </c>
      <c r="T494" s="104" t="s">
        <v>4088</v>
      </c>
      <c r="U494" s="104"/>
      <c r="V494" s="104" t="s">
        <v>4088</v>
      </c>
      <c r="W494" s="104"/>
    </row>
    <row r="495">
      <c r="A495" s="105">
        <v>45985.0</v>
      </c>
      <c r="B495" s="79" t="str">
        <f>IFERROR(__xludf.DUMMYFUNCTION("""COMPUTED_VALUE"""),"BWH-PH-VGC-1A-5")</f>
        <v>BWH-PH-VGC-1A-5</v>
      </c>
      <c r="C495" s="104"/>
      <c r="D495" s="104"/>
      <c r="E495" s="104" t="str">
        <f>IFERROR(__xludf.DUMMYFUNCTION("""COMPUTED_VALUE"""),"NR-PO-3-TBP-1")</f>
        <v>NR-PO-3-TBP-1</v>
      </c>
      <c r="F495" s="98">
        <v>16.5</v>
      </c>
      <c r="G495" s="110"/>
      <c r="H495" s="98"/>
      <c r="I495" s="98"/>
      <c r="J495" s="98"/>
      <c r="K495" s="98"/>
      <c r="L495" s="104"/>
      <c r="M495" s="98" t="s">
        <v>39</v>
      </c>
      <c r="N495" s="103" t="str">
        <f>IFERROR(__xludf.DUMMYFUNCTION("""COMPUTED_VALUE"""),"")</f>
        <v/>
      </c>
      <c r="O495" s="104"/>
      <c r="P495" s="104"/>
      <c r="Q495" s="104"/>
      <c r="R495" s="104" t="s">
        <v>776</v>
      </c>
      <c r="S495" s="104">
        <v>39.99</v>
      </c>
      <c r="T495" s="104" t="s">
        <v>4089</v>
      </c>
      <c r="U495" s="104"/>
      <c r="V495" s="104" t="s">
        <v>4089</v>
      </c>
      <c r="W495" s="104"/>
    </row>
    <row r="496">
      <c r="A496" s="105">
        <v>45915.0</v>
      </c>
      <c r="B496" s="79" t="str">
        <f>IFERROR(__xludf.DUMMYFUNCTION("""COMPUTED_VALUE"""),"TG-NE-BP-1A")</f>
        <v>TG-NE-BP-1A</v>
      </c>
      <c r="C496" s="104"/>
      <c r="D496" s="104"/>
      <c r="E496" s="104" t="str">
        <f>IFERROR(__xludf.DUMMYFUNCTION("""COMPUTED_VALUE"""),"")</f>
        <v/>
      </c>
      <c r="F496" s="98">
        <v>9.5</v>
      </c>
      <c r="G496" s="110"/>
      <c r="H496" s="98"/>
      <c r="I496" s="98"/>
      <c r="J496" s="98"/>
      <c r="K496" s="98"/>
      <c r="L496" s="104"/>
      <c r="M496" s="98" t="s">
        <v>39</v>
      </c>
      <c r="N496" s="103" t="str">
        <f>IFERROR(__xludf.DUMMYFUNCTION("""COMPUTED_VALUE"""),"")</f>
        <v/>
      </c>
      <c r="O496" s="104"/>
      <c r="P496" s="104"/>
      <c r="Q496" s="104"/>
      <c r="R496" s="104" t="s">
        <v>780</v>
      </c>
      <c r="S496" s="104">
        <v>19.0</v>
      </c>
      <c r="T496" s="104" t="s">
        <v>4090</v>
      </c>
      <c r="U496" s="104"/>
      <c r="V496" s="104" t="s">
        <v>4090</v>
      </c>
      <c r="W496" s="104"/>
    </row>
    <row r="497">
      <c r="A497" s="105">
        <v>45985.0</v>
      </c>
      <c r="B497" s="79" t="str">
        <f>IFERROR(__xludf.DUMMYFUNCTION("""COMPUTED_VALUE"""),"TG-BE-MAC-2A")</f>
        <v>TG-BE-MAC-2A</v>
      </c>
      <c r="C497" s="104"/>
      <c r="D497" s="104"/>
      <c r="E497" s="104" t="str">
        <f>IFERROR(__xludf.DUMMYFUNCTION("""COMPUTED_VALUE"""),"AGP-PO-4-BN-1")</f>
        <v>AGP-PO-4-BN-1</v>
      </c>
      <c r="F497" s="98" t="s">
        <v>39</v>
      </c>
      <c r="G497" s="110"/>
      <c r="H497" s="98"/>
      <c r="I497" s="98"/>
      <c r="J497" s="98"/>
      <c r="K497" s="98"/>
      <c r="L497" s="104"/>
      <c r="M497" s="98" t="s">
        <v>39</v>
      </c>
      <c r="N497" s="103" t="str">
        <f>IFERROR(__xludf.DUMMYFUNCTION("""COMPUTED_VALUE"""),"")</f>
        <v/>
      </c>
      <c r="O497" s="104"/>
      <c r="P497" s="104"/>
      <c r="Q497" s="104"/>
      <c r="R497" s="104" t="s">
        <v>781</v>
      </c>
      <c r="S497" s="104">
        <v>25.0</v>
      </c>
      <c r="T497" s="104" t="s">
        <v>4091</v>
      </c>
      <c r="U497" s="104"/>
      <c r="V497" s="104" t="s">
        <v>4091</v>
      </c>
      <c r="W497" s="104"/>
    </row>
    <row r="498">
      <c r="A498" s="105">
        <v>45985.0</v>
      </c>
      <c r="B498" s="79" t="str">
        <f>IFERROR(__xludf.DUMMYFUNCTION("""COMPUTED_VALUE"""),"TG-BE-MAC-2A-2")</f>
        <v>TG-BE-MAC-2A-2</v>
      </c>
      <c r="C498" s="104"/>
      <c r="D498" s="104"/>
      <c r="E498" s="104" t="str">
        <f>IFERROR(__xludf.DUMMYFUNCTION("""COMPUTED_VALUE"""),"AGP-PO-4-BN-1")</f>
        <v>AGP-PO-4-BN-1</v>
      </c>
      <c r="F498" s="98">
        <v>12.5</v>
      </c>
      <c r="G498" s="110"/>
      <c r="H498" s="98"/>
      <c r="I498" s="98"/>
      <c r="J498" s="98"/>
      <c r="K498" s="98"/>
      <c r="L498" s="104"/>
      <c r="M498" s="98" t="s">
        <v>39</v>
      </c>
      <c r="N498" s="103" t="str">
        <f>IFERROR(__xludf.DUMMYFUNCTION("""COMPUTED_VALUE"""),"")</f>
        <v/>
      </c>
      <c r="O498" s="104"/>
      <c r="P498" s="104"/>
      <c r="Q498" s="104"/>
      <c r="R498" s="104" t="s">
        <v>782</v>
      </c>
      <c r="S498" s="104">
        <v>25.0</v>
      </c>
      <c r="T498" s="104" t="s">
        <v>4092</v>
      </c>
      <c r="U498" s="104"/>
      <c r="V498" s="104" t="s">
        <v>4092</v>
      </c>
      <c r="W498" s="104"/>
    </row>
    <row r="499">
      <c r="A499" s="105">
        <v>45985.0</v>
      </c>
      <c r="B499" s="79" t="str">
        <f>IFERROR(__xludf.DUMMYFUNCTION("""COMPUTED_VALUE"""),"TG-CA-MA-2A")</f>
        <v>TG-CA-MA-2A</v>
      </c>
      <c r="C499" s="104"/>
      <c r="D499" s="104"/>
      <c r="E499" s="104" t="str">
        <f>IFERROR(__xludf.DUMMYFUNCTION("""COMPUTED_VALUE"""),"NR-PO-8-TBP-1")</f>
        <v>NR-PO-8-TBP-1</v>
      </c>
      <c r="F499" s="98">
        <v>40.0</v>
      </c>
      <c r="G499" s="110"/>
      <c r="H499" s="98"/>
      <c r="I499" s="98"/>
      <c r="J499" s="111"/>
      <c r="K499" s="98"/>
      <c r="L499" s="104"/>
      <c r="M499" s="98" t="s">
        <v>39</v>
      </c>
      <c r="N499" s="103" t="str">
        <f>IFERROR(__xludf.DUMMYFUNCTION("""COMPUTED_VALUE"""),"")</f>
        <v/>
      </c>
      <c r="O499" s="104"/>
      <c r="P499" s="104"/>
      <c r="Q499" s="104"/>
      <c r="R499" s="104" t="s">
        <v>783</v>
      </c>
      <c r="S499" s="104">
        <v>20.0</v>
      </c>
      <c r="T499" s="104" t="s">
        <v>4093</v>
      </c>
      <c r="U499" s="104"/>
      <c r="V499" s="104" t="s">
        <v>4093</v>
      </c>
      <c r="W499" s="104"/>
    </row>
    <row r="500">
      <c r="A500" s="105">
        <v>45985.0</v>
      </c>
      <c r="B500" s="79" t="str">
        <f>IFERROR(__xludf.DUMMYFUNCTION("""COMPUTED_VALUE"""),"TG-CA-MA-2A-2")</f>
        <v>TG-CA-MA-2A-2</v>
      </c>
      <c r="C500" s="104"/>
      <c r="D500" s="104"/>
      <c r="E500" s="104" t="str">
        <f>IFERROR(__xludf.DUMMYFUNCTION("""COMPUTED_VALUE"""),"")</f>
        <v/>
      </c>
      <c r="F500" s="98">
        <v>10.0</v>
      </c>
      <c r="G500" s="110"/>
      <c r="H500" s="98"/>
      <c r="I500" s="98"/>
      <c r="J500" s="98"/>
      <c r="K500" s="98"/>
      <c r="L500" s="104"/>
      <c r="M500" s="98" t="s">
        <v>39</v>
      </c>
      <c r="N500" s="103" t="str">
        <f>IFERROR(__xludf.DUMMYFUNCTION("""COMPUTED_VALUE"""),"")</f>
        <v/>
      </c>
      <c r="O500" s="104"/>
      <c r="P500" s="104"/>
      <c r="Q500" s="104"/>
      <c r="R500" s="104" t="s">
        <v>784</v>
      </c>
      <c r="S500" s="104">
        <v>20.0</v>
      </c>
      <c r="T500" s="104" t="s">
        <v>4094</v>
      </c>
      <c r="U500" s="104"/>
      <c r="V500" s="104" t="s">
        <v>4094</v>
      </c>
      <c r="W500" s="104"/>
    </row>
    <row r="501">
      <c r="A501" s="105">
        <v>45985.0</v>
      </c>
      <c r="B501" s="79" t="str">
        <f>IFERROR(__xludf.DUMMYFUNCTION("""COMPUTED_VALUE"""),"TG-CA-MA-2A-3")</f>
        <v>TG-CA-MA-2A-3</v>
      </c>
      <c r="C501" s="104"/>
      <c r="D501" s="104"/>
      <c r="E501" s="104" t="str">
        <f>IFERROR(__xludf.DUMMYFUNCTION("""COMPUTED_VALUE"""),"")</f>
        <v/>
      </c>
      <c r="F501" s="98">
        <v>10.0</v>
      </c>
      <c r="G501" s="110"/>
      <c r="H501" s="98"/>
      <c r="I501" s="98"/>
      <c r="J501" s="98"/>
      <c r="K501" s="98"/>
      <c r="L501" s="104"/>
      <c r="M501" s="98" t="s">
        <v>39</v>
      </c>
      <c r="N501" s="103" t="str">
        <f>IFERROR(__xludf.DUMMYFUNCTION("""COMPUTED_VALUE"""),"")</f>
        <v/>
      </c>
      <c r="O501" s="104"/>
      <c r="P501" s="104"/>
      <c r="Q501" s="104"/>
      <c r="R501" s="104" t="s">
        <v>785</v>
      </c>
      <c r="S501" s="104">
        <v>20.0</v>
      </c>
      <c r="T501" s="104" t="s">
        <v>4095</v>
      </c>
      <c r="U501" s="104"/>
      <c r="V501" s="104" t="s">
        <v>4095</v>
      </c>
      <c r="W501" s="104"/>
    </row>
    <row r="502">
      <c r="A502" s="105">
        <v>45985.0</v>
      </c>
      <c r="B502" s="79" t="str">
        <f>IFERROR(__xludf.DUMMYFUNCTION("""COMPUTED_VALUE"""),"TG-CA-MA-2A-4")</f>
        <v>TG-CA-MA-2A-4</v>
      </c>
      <c r="C502" s="104"/>
      <c r="D502" s="104"/>
      <c r="E502" s="104" t="str">
        <f>IFERROR(__xludf.DUMMYFUNCTION("""COMPUTED_VALUE"""),"")</f>
        <v/>
      </c>
      <c r="F502" s="98">
        <v>10.0</v>
      </c>
      <c r="G502" s="110"/>
      <c r="H502" s="98"/>
      <c r="I502" s="98"/>
      <c r="J502" s="98"/>
      <c r="K502" s="98"/>
      <c r="L502" s="104"/>
      <c r="M502" s="98" t="s">
        <v>39</v>
      </c>
      <c r="N502" s="103" t="str">
        <f>IFERROR(__xludf.DUMMYFUNCTION("""COMPUTED_VALUE"""),"")</f>
        <v/>
      </c>
      <c r="O502" s="104"/>
      <c r="P502" s="104"/>
      <c r="Q502" s="104"/>
      <c r="R502" s="104" t="s">
        <v>786</v>
      </c>
      <c r="S502" s="104">
        <v>20.0</v>
      </c>
      <c r="T502" s="104" t="s">
        <v>4096</v>
      </c>
      <c r="U502" s="104"/>
      <c r="V502" s="104" t="s">
        <v>4096</v>
      </c>
      <c r="W502" s="104"/>
    </row>
    <row r="503">
      <c r="A503" s="105">
        <v>45985.0</v>
      </c>
      <c r="B503" s="79" t="str">
        <f>IFERROR(__xludf.DUMMYFUNCTION("""COMPUTED_VALUE"""),"TG-CA-MA-2A-5")</f>
        <v>TG-CA-MA-2A-5</v>
      </c>
      <c r="C503" s="104"/>
      <c r="D503" s="104"/>
      <c r="E503" s="104" t="str">
        <f>IFERROR(__xludf.DUMMYFUNCTION("""COMPUTED_VALUE"""),"")</f>
        <v/>
      </c>
      <c r="F503" s="98">
        <v>10.0</v>
      </c>
      <c r="G503" s="110"/>
      <c r="H503" s="98"/>
      <c r="I503" s="98"/>
      <c r="J503" s="98"/>
      <c r="K503" s="98"/>
      <c r="L503" s="104"/>
      <c r="M503" s="98" t="s">
        <v>39</v>
      </c>
      <c r="N503" s="103" t="str">
        <f>IFERROR(__xludf.DUMMYFUNCTION("""COMPUTED_VALUE"""),"")</f>
        <v/>
      </c>
      <c r="O503" s="104"/>
      <c r="P503" s="104"/>
      <c r="Q503" s="104"/>
      <c r="R503" s="104" t="s">
        <v>787</v>
      </c>
      <c r="S503" s="104">
        <v>20.0</v>
      </c>
      <c r="T503" s="104" t="s">
        <v>4097</v>
      </c>
      <c r="U503" s="104"/>
      <c r="V503" s="104" t="s">
        <v>4097</v>
      </c>
      <c r="W503" s="104"/>
    </row>
    <row r="504">
      <c r="A504" s="105">
        <v>45985.0</v>
      </c>
      <c r="B504" s="79" t="str">
        <f>IFERROR(__xludf.DUMMYFUNCTION("""COMPUTED_VALUE"""),"TG-BE-REX-2A")</f>
        <v>TG-BE-REX-2A</v>
      </c>
      <c r="C504" s="104"/>
      <c r="D504" s="104"/>
      <c r="E504" s="104" t="str">
        <f>IFERROR(__xludf.DUMMYFUNCTION("""COMPUTED_VALUE"""),"")</f>
        <v/>
      </c>
      <c r="F504" s="98">
        <v>8.5</v>
      </c>
      <c r="G504" s="110"/>
      <c r="H504" s="98"/>
      <c r="I504" s="98"/>
      <c r="J504" s="98"/>
      <c r="K504" s="98"/>
      <c r="L504" s="104"/>
      <c r="M504" s="98" t="s">
        <v>39</v>
      </c>
      <c r="N504" s="103" t="str">
        <f>IFERROR(__xludf.DUMMYFUNCTION("""COMPUTED_VALUE"""),"")</f>
        <v/>
      </c>
      <c r="O504" s="104"/>
      <c r="P504" s="104"/>
      <c r="Q504" s="104"/>
      <c r="R504" s="104" t="s">
        <v>788</v>
      </c>
      <c r="S504" s="104">
        <v>17.0</v>
      </c>
      <c r="T504" s="104" t="s">
        <v>4098</v>
      </c>
      <c r="U504" s="104"/>
      <c r="V504" s="104" t="s">
        <v>4098</v>
      </c>
      <c r="W504" s="104"/>
    </row>
    <row r="505">
      <c r="A505" s="105">
        <v>45985.0</v>
      </c>
      <c r="B505" s="79" t="str">
        <f>IFERROR(__xludf.DUMMYFUNCTION("""COMPUTED_VALUE"""),"TG-BE-REX-2A-2")</f>
        <v>TG-BE-REX-2A-2</v>
      </c>
      <c r="C505" s="104"/>
      <c r="D505" s="104"/>
      <c r="E505" s="104" t="str">
        <f>IFERROR(__xludf.DUMMYFUNCTION("""COMPUTED_VALUE"""),"")</f>
        <v/>
      </c>
      <c r="F505" s="98">
        <v>8.5</v>
      </c>
      <c r="G505" s="110"/>
      <c r="H505" s="98"/>
      <c r="I505" s="98"/>
      <c r="J505" s="111"/>
      <c r="K505" s="98"/>
      <c r="L505" s="104"/>
      <c r="M505" s="98" t="s">
        <v>39</v>
      </c>
      <c r="N505" s="103" t="str">
        <f>IFERROR(__xludf.DUMMYFUNCTION("""COMPUTED_VALUE"""),"")</f>
        <v/>
      </c>
      <c r="O505" s="104"/>
      <c r="P505" s="104"/>
      <c r="Q505" s="104"/>
      <c r="R505" s="104" t="s">
        <v>789</v>
      </c>
      <c r="S505" s="104">
        <v>17.0</v>
      </c>
      <c r="T505" s="104" t="s">
        <v>4099</v>
      </c>
      <c r="U505" s="104"/>
      <c r="V505" s="104" t="s">
        <v>4099</v>
      </c>
      <c r="W505" s="104"/>
    </row>
    <row r="506">
      <c r="A506" s="105">
        <v>45985.0</v>
      </c>
      <c r="B506" s="79" t="str">
        <f>IFERROR(__xludf.DUMMYFUNCTION("""COMPUTED_VALUE"""),"TG-BE-REX-2A-3")</f>
        <v>TG-BE-REX-2A-3</v>
      </c>
      <c r="C506" s="104"/>
      <c r="D506" s="104"/>
      <c r="E506" s="104" t="str">
        <f>IFERROR(__xludf.DUMMYFUNCTION("""COMPUTED_VALUE"""),"")</f>
        <v/>
      </c>
      <c r="F506" s="98">
        <v>8.5</v>
      </c>
      <c r="G506" s="110"/>
      <c r="H506" s="98"/>
      <c r="I506" s="98"/>
      <c r="J506" s="98"/>
      <c r="K506" s="98"/>
      <c r="L506" s="104"/>
      <c r="M506" s="98" t="s">
        <v>39</v>
      </c>
      <c r="N506" s="103" t="str">
        <f>IFERROR(__xludf.DUMMYFUNCTION("""COMPUTED_VALUE"""),"")</f>
        <v/>
      </c>
      <c r="O506" s="104"/>
      <c r="P506" s="104"/>
      <c r="Q506" s="104"/>
      <c r="R506" s="104" t="s">
        <v>790</v>
      </c>
      <c r="S506" s="104">
        <v>17.0</v>
      </c>
      <c r="T506" s="104" t="s">
        <v>4100</v>
      </c>
      <c r="U506" s="104"/>
      <c r="V506" s="104" t="s">
        <v>4100</v>
      </c>
      <c r="W506" s="104"/>
    </row>
    <row r="507">
      <c r="A507" s="105">
        <v>45985.0</v>
      </c>
      <c r="B507" s="79" t="str">
        <f>IFERROR(__xludf.DUMMYFUNCTION("""COMPUTED_VALUE"""),"TG-BE-REX-2A-4")</f>
        <v>TG-BE-REX-2A-4</v>
      </c>
      <c r="C507" s="104"/>
      <c r="D507" s="104"/>
      <c r="E507" s="104" t="str">
        <f>IFERROR(__xludf.DUMMYFUNCTION("""COMPUTED_VALUE"""),"")</f>
        <v/>
      </c>
      <c r="F507" s="98">
        <v>8.5</v>
      </c>
      <c r="G507" s="110"/>
      <c r="H507" s="98"/>
      <c r="I507" s="98"/>
      <c r="J507" s="98"/>
      <c r="K507" s="98"/>
      <c r="L507" s="104"/>
      <c r="M507" s="98" t="s">
        <v>39</v>
      </c>
      <c r="N507" s="103" t="str">
        <f>IFERROR(__xludf.DUMMYFUNCTION("""COMPUTED_VALUE"""),"")</f>
        <v/>
      </c>
      <c r="O507" s="104"/>
      <c r="P507" s="102"/>
      <c r="Q507" s="104"/>
      <c r="R507" s="104" t="s">
        <v>791</v>
      </c>
      <c r="S507" s="104">
        <v>17.0</v>
      </c>
      <c r="T507" s="104" t="s">
        <v>4101</v>
      </c>
      <c r="U507" s="104"/>
      <c r="V507" s="104" t="s">
        <v>4101</v>
      </c>
      <c r="W507" s="104"/>
    </row>
    <row r="508">
      <c r="A508" s="105">
        <v>45985.0</v>
      </c>
      <c r="B508" s="79" t="str">
        <f>IFERROR(__xludf.DUMMYFUNCTION("""COMPUTED_VALUE"""),"TG-BE-REX-2A-5")</f>
        <v>TG-BE-REX-2A-5</v>
      </c>
      <c r="C508" s="104"/>
      <c r="D508" s="104"/>
      <c r="E508" s="104" t="str">
        <f>IFERROR(__xludf.DUMMYFUNCTION("""COMPUTED_VALUE"""),"")</f>
        <v/>
      </c>
      <c r="F508" s="98">
        <v>8.5</v>
      </c>
      <c r="G508" s="110"/>
      <c r="H508" s="98"/>
      <c r="I508" s="98"/>
      <c r="J508" s="98"/>
      <c r="K508" s="98"/>
      <c r="L508" s="104"/>
      <c r="M508" s="98" t="s">
        <v>39</v>
      </c>
      <c r="N508" s="103" t="str">
        <f>IFERROR(__xludf.DUMMYFUNCTION("""COMPUTED_VALUE"""),"")</f>
        <v/>
      </c>
      <c r="O508" s="104"/>
      <c r="P508" s="104"/>
      <c r="Q508" s="104"/>
      <c r="R508" s="104" t="s">
        <v>792</v>
      </c>
      <c r="S508" s="104">
        <v>17.0</v>
      </c>
      <c r="T508" s="104" t="s">
        <v>4102</v>
      </c>
      <c r="U508" s="104"/>
      <c r="V508" s="104" t="s">
        <v>4102</v>
      </c>
      <c r="W508" s="104"/>
    </row>
    <row r="509">
      <c r="A509" s="105">
        <v>45985.0</v>
      </c>
      <c r="B509" s="79" t="str">
        <f>IFERROR(__xludf.DUMMYFUNCTION("""COMPUTED_VALUE"""),"TG-NE-BP-2A")</f>
        <v>TG-NE-BP-2A</v>
      </c>
      <c r="C509" s="104"/>
      <c r="D509" s="104"/>
      <c r="E509" s="104" t="str">
        <f>IFERROR(__xludf.DUMMYFUNCTION("""COMPUTED_VALUE"""),"NR-PO-8-BP-1")</f>
        <v>NR-PO-8-BP-1</v>
      </c>
      <c r="F509" s="98">
        <v>16.0</v>
      </c>
      <c r="G509" s="110"/>
      <c r="H509" s="98"/>
      <c r="I509" s="98"/>
      <c r="J509" s="111"/>
      <c r="K509" s="98"/>
      <c r="L509" s="104"/>
      <c r="M509" s="98" t="s">
        <v>39</v>
      </c>
      <c r="N509" s="103" t="str">
        <f>IFERROR(__xludf.DUMMYFUNCTION("""COMPUTED_VALUE"""),"")</f>
        <v/>
      </c>
      <c r="O509" s="104"/>
      <c r="P509" s="102"/>
      <c r="Q509" s="104"/>
      <c r="R509" s="104" t="s">
        <v>793</v>
      </c>
      <c r="S509" s="104">
        <v>16.0</v>
      </c>
      <c r="T509" s="104" t="s">
        <v>4103</v>
      </c>
      <c r="U509" s="104"/>
      <c r="V509" s="104" t="s">
        <v>4103</v>
      </c>
      <c r="W509" s="104"/>
    </row>
    <row r="510">
      <c r="A510" s="105">
        <v>45985.0</v>
      </c>
      <c r="B510" s="79" t="str">
        <f>IFERROR(__xludf.DUMMYFUNCTION("""COMPUTED_VALUE"""),"TG-NE-BP-2A-2")</f>
        <v>TG-NE-BP-2A-2</v>
      </c>
      <c r="C510" s="104"/>
      <c r="D510" s="104"/>
      <c r="E510" s="104" t="str">
        <f>IFERROR(__xludf.DUMMYFUNCTION("""COMPUTED_VALUE"""),"")</f>
        <v/>
      </c>
      <c r="F510" s="98">
        <v>8.0</v>
      </c>
      <c r="G510" s="110"/>
      <c r="H510" s="98"/>
      <c r="I510" s="98"/>
      <c r="J510" s="98"/>
      <c r="K510" s="98"/>
      <c r="L510" s="104"/>
      <c r="M510" s="98" t="s">
        <v>39</v>
      </c>
      <c r="N510" s="103" t="str">
        <f>IFERROR(__xludf.DUMMYFUNCTION("""COMPUTED_VALUE"""),"")</f>
        <v/>
      </c>
      <c r="O510" s="104"/>
      <c r="P510" s="104"/>
      <c r="Q510" s="104"/>
      <c r="R510" s="104" t="s">
        <v>794</v>
      </c>
      <c r="S510" s="104">
        <v>16.0</v>
      </c>
      <c r="T510" s="104" t="s">
        <v>4104</v>
      </c>
      <c r="U510" s="104"/>
      <c r="V510" s="104" t="s">
        <v>4104</v>
      </c>
      <c r="W510" s="104"/>
    </row>
    <row r="511">
      <c r="A511" s="105">
        <v>45985.0</v>
      </c>
      <c r="B511" s="79" t="str">
        <f>IFERROR(__xludf.DUMMYFUNCTION("""COMPUTED_VALUE"""),"TG-NE-BP-2A-3")</f>
        <v>TG-NE-BP-2A-3</v>
      </c>
      <c r="C511" s="104"/>
      <c r="D511" s="104"/>
      <c r="E511" s="104" t="str">
        <f>IFERROR(__xludf.DUMMYFUNCTION("""COMPUTED_VALUE"""),"GA-PO-6-BL-1")</f>
        <v>GA-PO-6-BL-1</v>
      </c>
      <c r="F511" s="98">
        <v>8.0</v>
      </c>
      <c r="G511" s="110"/>
      <c r="H511" s="98"/>
      <c r="I511" s="98"/>
      <c r="J511" s="98"/>
      <c r="K511" s="111">
        <v>10.0</v>
      </c>
      <c r="L511" s="104"/>
      <c r="M511" s="98">
        <v>10.0</v>
      </c>
      <c r="N511" s="103" t="str">
        <f>IFERROR(__xludf.DUMMYFUNCTION("""COMPUTED_VALUE"""),"")</f>
        <v/>
      </c>
      <c r="O511" s="104"/>
      <c r="P511" s="102" t="s">
        <v>1626</v>
      </c>
      <c r="Q511" s="104"/>
      <c r="R511" s="104" t="s">
        <v>795</v>
      </c>
      <c r="S511" s="104">
        <v>16.0</v>
      </c>
      <c r="T511" s="104" t="s">
        <v>4105</v>
      </c>
      <c r="U511" s="104"/>
      <c r="V511" s="104" t="s">
        <v>4105</v>
      </c>
      <c r="W511" s="104"/>
    </row>
    <row r="512">
      <c r="A512" s="105">
        <v>45985.0</v>
      </c>
      <c r="B512" s="79" t="str">
        <f>IFERROR(__xludf.DUMMYFUNCTION("""COMPUTED_VALUE"""),"TG-NE-BP-2A-4")</f>
        <v>TG-NE-BP-2A-4</v>
      </c>
      <c r="C512" s="104"/>
      <c r="D512" s="104"/>
      <c r="E512" s="104" t="str">
        <f>IFERROR(__xludf.DUMMYFUNCTION("""COMPUTED_VALUE"""),"")</f>
        <v/>
      </c>
      <c r="F512" s="98">
        <v>8.0</v>
      </c>
      <c r="G512" s="110"/>
      <c r="H512" s="98"/>
      <c r="I512" s="98"/>
      <c r="J512" s="98"/>
      <c r="K512" s="98"/>
      <c r="L512" s="104"/>
      <c r="M512" s="98" t="s">
        <v>39</v>
      </c>
      <c r="N512" s="103" t="str">
        <f>IFERROR(__xludf.DUMMYFUNCTION("""COMPUTED_VALUE"""),"")</f>
        <v/>
      </c>
      <c r="O512" s="104"/>
      <c r="P512" s="104"/>
      <c r="Q512" s="104"/>
      <c r="R512" s="104" t="s">
        <v>796</v>
      </c>
      <c r="S512" s="104">
        <v>16.0</v>
      </c>
      <c r="T512" s="104" t="s">
        <v>4106</v>
      </c>
      <c r="U512" s="104"/>
      <c r="V512" s="104" t="s">
        <v>4106</v>
      </c>
      <c r="W512" s="104"/>
    </row>
    <row r="513">
      <c r="A513" s="105">
        <v>45985.0</v>
      </c>
      <c r="B513" s="79" t="str">
        <f>IFERROR(__xludf.DUMMYFUNCTION("""COMPUTED_VALUE"""),"TG-NE-BP-2A-5")</f>
        <v>TG-NE-BP-2A-5</v>
      </c>
      <c r="C513" s="104"/>
      <c r="D513" s="104"/>
      <c r="E513" s="104" t="str">
        <f>IFERROR(__xludf.DUMMYFUNCTION("""COMPUTED_VALUE"""),"")</f>
        <v/>
      </c>
      <c r="F513" s="98">
        <v>8.0</v>
      </c>
      <c r="G513" s="110"/>
      <c r="H513" s="98"/>
      <c r="I513" s="98"/>
      <c r="J513" s="98"/>
      <c r="K513" s="98"/>
      <c r="L513" s="104"/>
      <c r="M513" s="98" t="s">
        <v>39</v>
      </c>
      <c r="N513" s="103" t="str">
        <f>IFERROR(__xludf.DUMMYFUNCTION("""COMPUTED_VALUE"""),"")</f>
        <v/>
      </c>
      <c r="O513" s="104"/>
      <c r="P513" s="104"/>
      <c r="Q513" s="104"/>
      <c r="R513" s="104" t="s">
        <v>797</v>
      </c>
      <c r="S513" s="104">
        <v>16.0</v>
      </c>
      <c r="T513" s="104" t="s">
        <v>4107</v>
      </c>
      <c r="U513" s="104"/>
      <c r="V513" s="104" t="s">
        <v>4107</v>
      </c>
      <c r="W513" s="104"/>
    </row>
    <row r="514">
      <c r="A514" s="105">
        <v>45985.0</v>
      </c>
      <c r="B514" s="79" t="str">
        <f>IFERROR(__xludf.DUMMYFUNCTION("""COMPUTED_VALUE"""),"TG-AL-VDM-1A")</f>
        <v>TG-AL-VDM-1A</v>
      </c>
      <c r="C514" s="104"/>
      <c r="D514" s="104"/>
      <c r="E514" s="104" t="str">
        <f>IFERROR(__xludf.DUMMYFUNCTION("""COMPUTED_VALUE"""),"ST-PO-4-NU-1")</f>
        <v>ST-PO-4-NU-1</v>
      </c>
      <c r="F514" s="98">
        <v>36.0</v>
      </c>
      <c r="G514" s="110"/>
      <c r="H514" s="98"/>
      <c r="I514" s="98"/>
      <c r="J514" s="98"/>
      <c r="K514" s="98"/>
      <c r="L514" s="104"/>
      <c r="M514" s="98" t="s">
        <v>39</v>
      </c>
      <c r="N514" s="103" t="str">
        <f>IFERROR(__xludf.DUMMYFUNCTION("""COMPUTED_VALUE"""),"")</f>
        <v/>
      </c>
      <c r="O514" s="104"/>
      <c r="P514" s="104"/>
      <c r="Q514" s="104"/>
      <c r="R514" s="104" t="s">
        <v>799</v>
      </c>
      <c r="S514" s="104">
        <v>72.0</v>
      </c>
      <c r="T514" s="104" t="s">
        <v>4108</v>
      </c>
      <c r="U514" s="104"/>
      <c r="V514" s="104" t="s">
        <v>4108</v>
      </c>
      <c r="W514" s="104"/>
    </row>
    <row r="515">
      <c r="A515" s="105">
        <v>45985.0</v>
      </c>
      <c r="B515" s="79" t="str">
        <f>IFERROR(__xludf.DUMMYFUNCTION("""COMPUTED_VALUE"""),"TG-AL-VDM-1A-2")</f>
        <v>TG-AL-VDM-1A-2</v>
      </c>
      <c r="C515" s="104"/>
      <c r="D515" s="104"/>
      <c r="E515" s="104" t="str">
        <f>IFERROR(__xludf.DUMMYFUNCTION("""COMPUTED_VALUE"""),"YA-PO-2-CL-1")</f>
        <v>YA-PO-2-CL-1</v>
      </c>
      <c r="F515" s="98">
        <v>36.0</v>
      </c>
      <c r="G515" s="110"/>
      <c r="H515" s="98"/>
      <c r="I515" s="98"/>
      <c r="J515" s="98"/>
      <c r="K515" s="98"/>
      <c r="L515" s="104"/>
      <c r="M515" s="98" t="s">
        <v>39</v>
      </c>
      <c r="N515" s="103" t="str">
        <f>IFERROR(__xludf.DUMMYFUNCTION("""COMPUTED_VALUE"""),"")</f>
        <v/>
      </c>
      <c r="O515" s="104"/>
      <c r="P515" s="104"/>
      <c r="Q515" s="104"/>
      <c r="R515" s="104" t="s">
        <v>800</v>
      </c>
      <c r="S515" s="104">
        <v>72.0</v>
      </c>
      <c r="T515" s="104" t="s">
        <v>4109</v>
      </c>
      <c r="U515" s="104"/>
      <c r="V515" s="104" t="s">
        <v>4109</v>
      </c>
      <c r="W515" s="104"/>
    </row>
    <row r="516">
      <c r="A516" s="105">
        <v>45985.0</v>
      </c>
      <c r="B516" s="79" t="str">
        <f>IFERROR(__xludf.DUMMYFUNCTION("""COMPUTED_VALUE"""),"TG-AL-VDM-1A-3")</f>
        <v>TG-AL-VDM-1A-3</v>
      </c>
      <c r="C516" s="104"/>
      <c r="D516" s="104"/>
      <c r="E516" s="104" t="str">
        <f>IFERROR(__xludf.DUMMYFUNCTION("""COMPUTED_VALUE"""),"EB-PO-4-DO-1")</f>
        <v>EB-PO-4-DO-1</v>
      </c>
      <c r="F516" s="98">
        <v>36.0</v>
      </c>
      <c r="G516" s="110"/>
      <c r="H516" s="98"/>
      <c r="I516" s="98"/>
      <c r="J516" s="111"/>
      <c r="K516" s="98"/>
      <c r="L516" s="104"/>
      <c r="M516" s="98" t="s">
        <v>39</v>
      </c>
      <c r="N516" s="103" t="str">
        <f>IFERROR(__xludf.DUMMYFUNCTION("""COMPUTED_VALUE"""),"")</f>
        <v/>
      </c>
      <c r="O516" s="104"/>
      <c r="P516" s="104"/>
      <c r="Q516" s="104"/>
      <c r="R516" s="104" t="s">
        <v>801</v>
      </c>
      <c r="S516" s="104">
        <v>72.0</v>
      </c>
      <c r="T516" s="104" t="s">
        <v>4110</v>
      </c>
      <c r="U516" s="104"/>
      <c r="V516" s="104" t="s">
        <v>4110</v>
      </c>
      <c r="W516" s="104"/>
    </row>
    <row r="517">
      <c r="A517" s="105">
        <v>45985.0</v>
      </c>
      <c r="B517" s="79" t="str">
        <f>IFERROR(__xludf.DUMMYFUNCTION("""COMPUTED_VALUE"""),"TG-SC-SAT-1A")</f>
        <v>TG-SC-SAT-1A</v>
      </c>
      <c r="C517" s="104"/>
      <c r="D517" s="104"/>
      <c r="E517" s="104" t="str">
        <f>IFERROR(__xludf.DUMMYFUNCTION("""COMPUTED_VALUE"""),"NR-PO-5-TBP-1")</f>
        <v>NR-PO-5-TBP-1</v>
      </c>
      <c r="F517" s="98">
        <v>28.5</v>
      </c>
      <c r="G517" s="110"/>
      <c r="H517" s="98"/>
      <c r="I517" s="98"/>
      <c r="J517" s="98"/>
      <c r="K517" s="111"/>
      <c r="L517" s="104"/>
      <c r="M517" s="98" t="s">
        <v>39</v>
      </c>
      <c r="N517" s="103" t="str">
        <f>IFERROR(__xludf.DUMMYFUNCTION("""COMPUTED_VALUE"""),"")</f>
        <v/>
      </c>
      <c r="O517" s="104"/>
      <c r="P517" s="102"/>
      <c r="Q517" s="104"/>
      <c r="R517" s="104" t="s">
        <v>803</v>
      </c>
      <c r="S517" s="104">
        <v>19.0</v>
      </c>
      <c r="T517" s="104" t="s">
        <v>4111</v>
      </c>
      <c r="U517" s="104"/>
      <c r="V517" s="104" t="s">
        <v>4111</v>
      </c>
      <c r="W517" s="104"/>
    </row>
    <row r="518">
      <c r="A518" s="105">
        <v>45985.0</v>
      </c>
      <c r="B518" s="79" t="str">
        <f>IFERROR(__xludf.DUMMYFUNCTION("""COMPUTED_VALUE"""),"TG-SC-SAT-1A-2")</f>
        <v>TG-SC-SAT-1A-2</v>
      </c>
      <c r="C518" s="104"/>
      <c r="D518" s="104"/>
      <c r="E518" s="104" t="str">
        <f>IFERROR(__xludf.DUMMYFUNCTION("""COMPUTED_VALUE"""),"")</f>
        <v/>
      </c>
      <c r="F518" s="98">
        <v>9.5</v>
      </c>
      <c r="G518" s="110"/>
      <c r="H518" s="98"/>
      <c r="I518" s="98"/>
      <c r="J518" s="98"/>
      <c r="K518" s="111"/>
      <c r="L518" s="104"/>
      <c r="M518" s="98" t="s">
        <v>39</v>
      </c>
      <c r="N518" s="103" t="str">
        <f>IFERROR(__xludf.DUMMYFUNCTION("""COMPUTED_VALUE"""),"")</f>
        <v/>
      </c>
      <c r="O518" s="104"/>
      <c r="P518" s="102"/>
      <c r="Q518" s="104"/>
      <c r="R518" s="104" t="s">
        <v>804</v>
      </c>
      <c r="S518" s="104">
        <v>19.0</v>
      </c>
      <c r="T518" s="104" t="s">
        <v>4112</v>
      </c>
      <c r="U518" s="104"/>
      <c r="V518" s="104" t="s">
        <v>4112</v>
      </c>
      <c r="W518" s="104"/>
    </row>
    <row r="519">
      <c r="A519" s="105">
        <v>45985.0</v>
      </c>
      <c r="B519" s="79" t="str">
        <f>IFERROR(__xludf.DUMMYFUNCTION("""COMPUTED_VALUE"""),"TG-SC-SAT-1A-3")</f>
        <v>TG-SC-SAT-1A-3</v>
      </c>
      <c r="C519" s="104"/>
      <c r="D519" s="104"/>
      <c r="E519" s="104" t="str">
        <f>IFERROR(__xludf.DUMMYFUNCTION("""COMPUTED_VALUE"""),"")</f>
        <v/>
      </c>
      <c r="F519" s="98">
        <v>9.5</v>
      </c>
      <c r="G519" s="110"/>
      <c r="H519" s="98"/>
      <c r="I519" s="98"/>
      <c r="J519" s="98"/>
      <c r="K519" s="111"/>
      <c r="L519" s="104"/>
      <c r="M519" s="98" t="s">
        <v>39</v>
      </c>
      <c r="N519" s="103" t="str">
        <f>IFERROR(__xludf.DUMMYFUNCTION("""COMPUTED_VALUE"""),"")</f>
        <v/>
      </c>
      <c r="O519" s="104"/>
      <c r="P519" s="102"/>
      <c r="Q519" s="104"/>
      <c r="R519" s="104" t="s">
        <v>805</v>
      </c>
      <c r="S519" s="104">
        <v>19.0</v>
      </c>
      <c r="T519" s="104" t="s">
        <v>4113</v>
      </c>
      <c r="U519" s="104"/>
      <c r="V519" s="104" t="s">
        <v>4113</v>
      </c>
      <c r="W519" s="104"/>
    </row>
    <row r="520">
      <c r="A520" s="105">
        <v>45985.0</v>
      </c>
      <c r="B520" s="79" t="str">
        <f>IFERROR(__xludf.DUMMYFUNCTION("""COMPUTED_VALUE"""),"TG-SC-SAT-1A-4")</f>
        <v>TG-SC-SAT-1A-4</v>
      </c>
      <c r="C520" s="104"/>
      <c r="D520" s="104"/>
      <c r="E520" s="104" t="str">
        <f>IFERROR(__xludf.DUMMYFUNCTION("""COMPUTED_VALUE"""),"")</f>
        <v/>
      </c>
      <c r="F520" s="98">
        <v>9.5</v>
      </c>
      <c r="G520" s="110"/>
      <c r="H520" s="98"/>
      <c r="I520" s="98"/>
      <c r="J520" s="98"/>
      <c r="K520" s="111"/>
      <c r="L520" s="104"/>
      <c r="M520" s="98" t="s">
        <v>39</v>
      </c>
      <c r="N520" s="103" t="str">
        <f>IFERROR(__xludf.DUMMYFUNCTION("""COMPUTED_VALUE"""),"")</f>
        <v/>
      </c>
      <c r="O520" s="104"/>
      <c r="P520" s="102"/>
      <c r="Q520" s="104"/>
      <c r="R520" s="104" t="s">
        <v>806</v>
      </c>
      <c r="S520" s="104">
        <v>19.0</v>
      </c>
      <c r="T520" s="104" t="s">
        <v>4114</v>
      </c>
      <c r="U520" s="104"/>
      <c r="V520" s="104" t="s">
        <v>4114</v>
      </c>
      <c r="W520" s="104"/>
    </row>
    <row r="521">
      <c r="A521" s="105">
        <v>45985.0</v>
      </c>
      <c r="B521" s="79" t="str">
        <f>IFERROR(__xludf.DUMMYFUNCTION("""COMPUTED_VALUE"""),"TG-SC-SAT-1A-5")</f>
        <v>TG-SC-SAT-1A-5</v>
      </c>
      <c r="C521" s="104"/>
      <c r="D521" s="104"/>
      <c r="E521" s="104" t="str">
        <f>IFERROR(__xludf.DUMMYFUNCTION("""COMPUTED_VALUE"""),"")</f>
        <v/>
      </c>
      <c r="F521" s="98">
        <v>9.5</v>
      </c>
      <c r="G521" s="110"/>
      <c r="H521" s="98"/>
      <c r="I521" s="98"/>
      <c r="J521" s="98"/>
      <c r="K521" s="111"/>
      <c r="L521" s="104"/>
      <c r="M521" s="98" t="s">
        <v>39</v>
      </c>
      <c r="N521" s="103" t="str">
        <f>IFERROR(__xludf.DUMMYFUNCTION("""COMPUTED_VALUE"""),"")</f>
        <v/>
      </c>
      <c r="O521" s="104"/>
      <c r="P521" s="102"/>
      <c r="Q521" s="104"/>
      <c r="R521" s="104" t="s">
        <v>807</v>
      </c>
      <c r="S521" s="104">
        <v>19.0</v>
      </c>
      <c r="T521" s="104" t="s">
        <v>4115</v>
      </c>
      <c r="U521" s="104"/>
      <c r="V521" s="104" t="s">
        <v>4115</v>
      </c>
      <c r="W521" s="104"/>
    </row>
    <row r="522">
      <c r="A522" s="105">
        <v>45985.0</v>
      </c>
      <c r="B522" s="79" t="str">
        <f>IFERROR(__xludf.DUMMYFUNCTION("""COMPUTED_VALUE"""),"RPS-FA-FI-1A")</f>
        <v>RPS-FA-FI-1A</v>
      </c>
      <c r="C522" s="104"/>
      <c r="D522" s="104"/>
      <c r="E522" s="104" t="str">
        <f>IFERROR(__xludf.DUMMYFUNCTION("""COMPUTED_VALUE"""),"GA-PO-6-BL-1")</f>
        <v>GA-PO-6-BL-1</v>
      </c>
      <c r="F522" s="98">
        <v>24.0</v>
      </c>
      <c r="G522" s="110"/>
      <c r="H522" s="98"/>
      <c r="I522" s="98"/>
      <c r="J522" s="98"/>
      <c r="K522" s="98"/>
      <c r="L522" s="104"/>
      <c r="M522" s="98" t="s">
        <v>39</v>
      </c>
      <c r="N522" s="103" t="str">
        <f>IFERROR(__xludf.DUMMYFUNCTION("""COMPUTED_VALUE"""),"")</f>
        <v/>
      </c>
      <c r="O522" s="104"/>
      <c r="P522" s="104"/>
      <c r="Q522" s="104"/>
      <c r="R522" s="104" t="s">
        <v>811</v>
      </c>
      <c r="S522" s="104"/>
      <c r="T522" s="104" t="s">
        <v>4116</v>
      </c>
      <c r="U522" s="104"/>
      <c r="V522" s="104" t="s">
        <v>4116</v>
      </c>
      <c r="W522" s="104"/>
    </row>
    <row r="523">
      <c r="A523" s="105">
        <v>45986.0</v>
      </c>
      <c r="B523" s="79" t="str">
        <f>IFERROR(__xludf.DUMMYFUNCTION("""COMPUTED_VALUE"""),"TA-PH-MIC-1A")</f>
        <v>TA-PH-MIC-1A</v>
      </c>
      <c r="C523" s="104"/>
      <c r="D523" s="104"/>
      <c r="E523" s="104" t="str">
        <f>IFERROR(__xludf.DUMMYFUNCTION("""COMPUTED_VALUE"""),"YA-PO-2-CL-1")</f>
        <v>YA-PO-2-CL-1</v>
      </c>
      <c r="F523" s="98">
        <v>12.0</v>
      </c>
      <c r="G523" s="110"/>
      <c r="H523" s="98"/>
      <c r="I523" s="98"/>
      <c r="J523" s="98"/>
      <c r="K523" s="98"/>
      <c r="L523" s="104"/>
      <c r="M523" s="98" t="s">
        <v>39</v>
      </c>
      <c r="N523" s="103" t="str">
        <f>IFERROR(__xludf.DUMMYFUNCTION("""COMPUTED_VALUE"""),"")</f>
        <v/>
      </c>
      <c r="O523" s="104"/>
      <c r="P523" s="104"/>
      <c r="Q523" s="104"/>
      <c r="R523" s="104" t="s">
        <v>814</v>
      </c>
      <c r="S523" s="104">
        <v>0.0</v>
      </c>
      <c r="T523" s="104" t="s">
        <v>4117</v>
      </c>
      <c r="U523" s="104"/>
      <c r="V523" s="104" t="s">
        <v>4117</v>
      </c>
      <c r="W523" s="104"/>
    </row>
    <row r="524">
      <c r="A524" s="105">
        <v>45986.0</v>
      </c>
      <c r="B524" s="79" t="str">
        <f>IFERROR(__xludf.DUMMYFUNCTION("""COMPUTED_VALUE"""),"MPL-PH-CS-1A")</f>
        <v>MPL-PH-CS-1A</v>
      </c>
      <c r="C524" s="104"/>
      <c r="D524" s="104"/>
      <c r="E524" s="104" t="str">
        <f>IFERROR(__xludf.DUMMYFUNCTION("""COMPUTED_VALUE"""),"GA-PO-6-WH-1")</f>
        <v>GA-PO-6-WH-1</v>
      </c>
      <c r="F524" s="98">
        <v>21.99</v>
      </c>
      <c r="G524" s="110"/>
      <c r="H524" s="98"/>
      <c r="I524" s="98"/>
      <c r="J524" s="111"/>
      <c r="K524" s="98"/>
      <c r="L524" s="104"/>
      <c r="M524" s="98" t="s">
        <v>39</v>
      </c>
      <c r="N524" s="103" t="str">
        <f>IFERROR(__xludf.DUMMYFUNCTION("""COMPUTED_VALUE"""),"")</f>
        <v/>
      </c>
      <c r="O524" s="104"/>
      <c r="P524" s="104"/>
      <c r="Q524" s="104"/>
      <c r="R524" s="104" t="s">
        <v>816</v>
      </c>
      <c r="S524" s="104">
        <v>39.99</v>
      </c>
      <c r="T524" s="104" t="s">
        <v>4118</v>
      </c>
      <c r="U524" s="104"/>
      <c r="V524" s="104" t="s">
        <v>4118</v>
      </c>
      <c r="W524" s="104"/>
    </row>
    <row r="525">
      <c r="A525" s="105">
        <v>45986.0</v>
      </c>
      <c r="B525" s="79" t="str">
        <f>IFERROR(__xludf.DUMMYFUNCTION("""COMPUTED_VALUE"""),"MPL-PH-CS-1A-2")</f>
        <v>MPL-PH-CS-1A-2</v>
      </c>
      <c r="C525" s="104"/>
      <c r="D525" s="104"/>
      <c r="E525" s="104" t="str">
        <f>IFERROR(__xludf.DUMMYFUNCTION("""COMPUTED_VALUE"""),"NR-PO-3-PBP-1")</f>
        <v>NR-PO-3-PBP-1</v>
      </c>
      <c r="F525" s="98">
        <v>21.99</v>
      </c>
      <c r="G525" s="110"/>
      <c r="H525" s="98"/>
      <c r="I525" s="98"/>
      <c r="J525" s="98"/>
      <c r="K525" s="98"/>
      <c r="L525" s="104"/>
      <c r="M525" s="98" t="s">
        <v>39</v>
      </c>
      <c r="N525" s="103" t="str">
        <f>IFERROR(__xludf.DUMMYFUNCTION("""COMPUTED_VALUE"""),"")</f>
        <v/>
      </c>
      <c r="O525" s="104"/>
      <c r="P525" s="104"/>
      <c r="Q525" s="104"/>
      <c r="R525" s="104" t="s">
        <v>817</v>
      </c>
      <c r="S525" s="104">
        <v>39.99</v>
      </c>
      <c r="T525" s="104" t="s">
        <v>4119</v>
      </c>
      <c r="U525" s="104"/>
      <c r="V525" s="104" t="s">
        <v>4119</v>
      </c>
      <c r="W525" s="104"/>
    </row>
    <row r="526">
      <c r="A526" s="105">
        <v>45986.0</v>
      </c>
      <c r="B526" s="79" t="str">
        <f>IFERROR(__xludf.DUMMYFUNCTION("""COMPUTED_VALUE"""),"MPL-PH-CS-1A-3")</f>
        <v>MPL-PH-CS-1A-3</v>
      </c>
      <c r="C526" s="104"/>
      <c r="D526" s="104"/>
      <c r="E526" s="104" t="str">
        <f>IFERROR(__xludf.DUMMYFUNCTION("""COMPUTED_VALUE"""),"")</f>
        <v/>
      </c>
      <c r="F526" s="98">
        <v>18.0</v>
      </c>
      <c r="G526" s="110"/>
      <c r="H526" s="98"/>
      <c r="I526" s="98"/>
      <c r="J526" s="98"/>
      <c r="K526" s="98"/>
      <c r="L526" s="104"/>
      <c r="M526" s="98" t="s">
        <v>39</v>
      </c>
      <c r="N526" s="103" t="str">
        <f>IFERROR(__xludf.DUMMYFUNCTION("""COMPUTED_VALUE"""),"")</f>
        <v/>
      </c>
      <c r="O526" s="104"/>
      <c r="P526" s="104"/>
      <c r="Q526" s="104"/>
      <c r="R526" s="104" t="s">
        <v>818</v>
      </c>
      <c r="S526" s="104">
        <v>24.99</v>
      </c>
      <c r="T526" s="104" t="s">
        <v>4120</v>
      </c>
      <c r="U526" s="104"/>
      <c r="V526" s="104" t="s">
        <v>4120</v>
      </c>
      <c r="W526" s="104"/>
    </row>
    <row r="527">
      <c r="A527" s="105">
        <v>45986.0</v>
      </c>
      <c r="B527" s="79" t="str">
        <f>IFERROR(__xludf.DUMMYFUNCTION("""COMPUTED_VALUE"""),"MPL-PH-CS-1A-4")</f>
        <v>MPL-PH-CS-1A-4</v>
      </c>
      <c r="C527" s="104"/>
      <c r="D527" s="104"/>
      <c r="E527" s="104" t="str">
        <f>IFERROR(__xludf.DUMMYFUNCTION("""COMPUTED_VALUE"""),"")</f>
        <v/>
      </c>
      <c r="F527" s="98">
        <v>18.0</v>
      </c>
      <c r="G527" s="110"/>
      <c r="H527" s="98"/>
      <c r="I527" s="98"/>
      <c r="J527" s="98"/>
      <c r="K527" s="98"/>
      <c r="L527" s="104"/>
      <c r="M527" s="98" t="s">
        <v>39</v>
      </c>
      <c r="N527" s="103" t="str">
        <f>IFERROR(__xludf.DUMMYFUNCTION("""COMPUTED_VALUE"""),"")</f>
        <v/>
      </c>
      <c r="O527" s="104"/>
      <c r="P527" s="104"/>
      <c r="Q527" s="104"/>
      <c r="R527" s="104" t="s">
        <v>819</v>
      </c>
      <c r="S527" s="104">
        <v>24.99</v>
      </c>
      <c r="T527" s="104" t="s">
        <v>4121</v>
      </c>
      <c r="U527" s="104"/>
      <c r="V527" s="104" t="s">
        <v>4121</v>
      </c>
      <c r="W527" s="104"/>
    </row>
    <row r="528">
      <c r="A528" s="105">
        <v>45986.0</v>
      </c>
      <c r="B528" s="79" t="str">
        <f>IFERROR(__xludf.DUMMYFUNCTION("""COMPUTED_VALUE"""),"MPL-SC-SAT-1A")</f>
        <v>MPL-SC-SAT-1A</v>
      </c>
      <c r="C528" s="104"/>
      <c r="D528" s="104"/>
      <c r="E528" s="104" t="str">
        <f>IFERROR(__xludf.DUMMYFUNCTION("""COMPUTED_VALUE"""),"MA-PO-4-SW-1")</f>
        <v>MA-PO-4-SW-1</v>
      </c>
      <c r="F528" s="98">
        <v>16.0</v>
      </c>
      <c r="G528" s="110"/>
      <c r="H528" s="98"/>
      <c r="I528" s="98"/>
      <c r="J528" s="111"/>
      <c r="K528" s="98"/>
      <c r="L528" s="104"/>
      <c r="M528" s="98" t="s">
        <v>39</v>
      </c>
      <c r="N528" s="103" t="str">
        <f>IFERROR(__xludf.DUMMYFUNCTION("""COMPUTED_VALUE"""),"")</f>
        <v/>
      </c>
      <c r="O528" s="104"/>
      <c r="P528" s="104"/>
      <c r="Q528" s="104"/>
      <c r="R528" s="104" t="s">
        <v>820</v>
      </c>
      <c r="S528" s="104">
        <v>12.99</v>
      </c>
      <c r="T528" s="104" t="s">
        <v>4122</v>
      </c>
      <c r="U528" s="104"/>
      <c r="V528" s="104" t="s">
        <v>4122</v>
      </c>
      <c r="W528" s="104"/>
    </row>
    <row r="529">
      <c r="A529" s="105">
        <v>45986.0</v>
      </c>
      <c r="B529" s="79" t="str">
        <f>IFERROR(__xludf.DUMMYFUNCTION("""COMPUTED_VALUE"""),"MPL-SC-SAT-1A-2")</f>
        <v>MPL-SC-SAT-1A-2</v>
      </c>
      <c r="C529" s="104"/>
      <c r="D529" s="104"/>
      <c r="E529" s="104" t="str">
        <f>IFERROR(__xludf.DUMMYFUNCTION("""COMPUTED_VALUE"""),"")</f>
        <v/>
      </c>
      <c r="F529" s="98">
        <v>8.0</v>
      </c>
      <c r="G529" s="110"/>
      <c r="H529" s="98"/>
      <c r="I529" s="98"/>
      <c r="J529" s="111"/>
      <c r="K529" s="98"/>
      <c r="L529" s="104"/>
      <c r="M529" s="98" t="s">
        <v>39</v>
      </c>
      <c r="N529" s="103" t="str">
        <f>IFERROR(__xludf.DUMMYFUNCTION("""COMPUTED_VALUE"""),"")</f>
        <v/>
      </c>
      <c r="O529" s="104"/>
      <c r="P529" s="104"/>
      <c r="Q529" s="104"/>
      <c r="R529" s="104" t="s">
        <v>821</v>
      </c>
      <c r="S529" s="104">
        <v>12.99</v>
      </c>
      <c r="T529" s="104" t="s">
        <v>4123</v>
      </c>
      <c r="U529" s="104"/>
      <c r="V529" s="104" t="s">
        <v>4123</v>
      </c>
      <c r="W529" s="104"/>
    </row>
    <row r="530">
      <c r="A530" s="105">
        <v>45986.0</v>
      </c>
      <c r="B530" s="79" t="str">
        <f>IFERROR(__xludf.DUMMYFUNCTION("""COMPUTED_VALUE"""),"MPL-SC-SAT-1A-3")</f>
        <v>MPL-SC-SAT-1A-3</v>
      </c>
      <c r="C530" s="104"/>
      <c r="D530" s="104"/>
      <c r="E530" s="104" t="str">
        <f>IFERROR(__xludf.DUMMYFUNCTION("""COMPUTED_VALUE"""),"")</f>
        <v/>
      </c>
      <c r="F530" s="98">
        <v>8.0</v>
      </c>
      <c r="G530" s="110"/>
      <c r="H530" s="98"/>
      <c r="I530" s="98"/>
      <c r="J530" s="98"/>
      <c r="K530" s="98"/>
      <c r="L530" s="104"/>
      <c r="M530" s="98" t="s">
        <v>39</v>
      </c>
      <c r="N530" s="103" t="str">
        <f>IFERROR(__xludf.DUMMYFUNCTION("""COMPUTED_VALUE"""),"")</f>
        <v/>
      </c>
      <c r="O530" s="104"/>
      <c r="P530" s="104"/>
      <c r="Q530" s="104"/>
      <c r="R530" s="104" t="s">
        <v>822</v>
      </c>
      <c r="S530" s="104">
        <v>12.99</v>
      </c>
      <c r="T530" s="104" t="s">
        <v>4124</v>
      </c>
      <c r="U530" s="104"/>
      <c r="V530" s="104" t="s">
        <v>4124</v>
      </c>
      <c r="W530" s="104"/>
    </row>
    <row r="531">
      <c r="A531" s="105">
        <v>45986.0</v>
      </c>
      <c r="B531" s="79" t="str">
        <f>IFERROR(__xludf.DUMMYFUNCTION("""COMPUTED_VALUE"""),"MPL-SC-DF-1A")</f>
        <v>MPL-SC-DF-1A</v>
      </c>
      <c r="C531" s="104"/>
      <c r="D531" s="104"/>
      <c r="E531" s="104" t="str">
        <f>IFERROR(__xludf.DUMMYFUNCTION("""COMPUTED_VALUE"""),"NR-PO-5-PBP-1")</f>
        <v>NR-PO-5-PBP-1</v>
      </c>
      <c r="F531" s="98">
        <v>44.82</v>
      </c>
      <c r="G531" s="110"/>
      <c r="H531" s="98"/>
      <c r="I531" s="98"/>
      <c r="J531" s="111"/>
      <c r="K531" s="98"/>
      <c r="L531" s="104"/>
      <c r="M531" s="98" t="s">
        <v>39</v>
      </c>
      <c r="N531" s="103" t="str">
        <f>IFERROR(__xludf.DUMMYFUNCTION("""COMPUTED_VALUE"""),"")</f>
        <v/>
      </c>
      <c r="O531" s="104"/>
      <c r="P531" s="104"/>
      <c r="Q531" s="104"/>
      <c r="R531" s="104" t="s">
        <v>824</v>
      </c>
      <c r="S531" s="104">
        <v>24.99</v>
      </c>
      <c r="T531" s="104" t="s">
        <v>4125</v>
      </c>
      <c r="U531" s="104"/>
      <c r="V531" s="104" t="s">
        <v>4125</v>
      </c>
      <c r="W531" s="104"/>
    </row>
    <row r="532">
      <c r="A532" s="105">
        <v>45986.0</v>
      </c>
      <c r="B532" s="79" t="str">
        <f>IFERROR(__xludf.DUMMYFUNCTION("""COMPUTED_VALUE"""),"MPL-SC-DF-1A-2")</f>
        <v>MPL-SC-DF-1A-2</v>
      </c>
      <c r="C532" s="104"/>
      <c r="D532" s="104"/>
      <c r="E532" s="104" t="str">
        <f>IFERROR(__xludf.DUMMYFUNCTION("""COMPUTED_VALUE"""),"")</f>
        <v/>
      </c>
      <c r="F532" s="98">
        <v>14.94</v>
      </c>
      <c r="G532" s="110"/>
      <c r="H532" s="98"/>
      <c r="I532" s="98"/>
      <c r="J532" s="111"/>
      <c r="K532" s="98"/>
      <c r="L532" s="104"/>
      <c r="M532" s="98" t="s">
        <v>39</v>
      </c>
      <c r="N532" s="103" t="str">
        <f>IFERROR(__xludf.DUMMYFUNCTION("""COMPUTED_VALUE"""),"")</f>
        <v/>
      </c>
      <c r="O532" s="104"/>
      <c r="P532" s="104"/>
      <c r="Q532" s="104"/>
      <c r="R532" s="104" t="s">
        <v>825</v>
      </c>
      <c r="S532" s="104">
        <v>24.99</v>
      </c>
      <c r="T532" s="104" t="s">
        <v>4126</v>
      </c>
      <c r="U532" s="104"/>
      <c r="V532" s="104" t="s">
        <v>4126</v>
      </c>
      <c r="W532" s="104"/>
    </row>
    <row r="533">
      <c r="A533" s="105">
        <v>45986.0</v>
      </c>
      <c r="B533" s="79" t="str">
        <f>IFERROR(__xludf.DUMMYFUNCTION("""COMPUTED_VALUE"""),"MPL-SC-DF-1A-3")</f>
        <v>MPL-SC-DF-1A-3</v>
      </c>
      <c r="C533" s="104"/>
      <c r="D533" s="104"/>
      <c r="E533" s="104" t="str">
        <f>IFERROR(__xludf.DUMMYFUNCTION("""COMPUTED_VALUE"""),"")</f>
        <v/>
      </c>
      <c r="F533" s="98">
        <v>14.94</v>
      </c>
      <c r="G533" s="110"/>
      <c r="H533" s="98"/>
      <c r="I533" s="98"/>
      <c r="J533" s="111"/>
      <c r="K533" s="98"/>
      <c r="L533" s="104"/>
      <c r="M533" s="98" t="s">
        <v>39</v>
      </c>
      <c r="N533" s="103" t="str">
        <f>IFERROR(__xludf.DUMMYFUNCTION("""COMPUTED_VALUE"""),"")</f>
        <v/>
      </c>
      <c r="O533" s="104"/>
      <c r="P533" s="104"/>
      <c r="Q533" s="104"/>
      <c r="R533" s="104" t="s">
        <v>826</v>
      </c>
      <c r="S533" s="104">
        <v>24.99</v>
      </c>
      <c r="T533" s="104" t="s">
        <v>4127</v>
      </c>
      <c r="U533" s="104"/>
      <c r="V533" s="104" t="s">
        <v>4127</v>
      </c>
      <c r="W533" s="104"/>
    </row>
    <row r="534">
      <c r="A534" s="105">
        <v>45986.0</v>
      </c>
      <c r="B534" s="79" t="str">
        <f>IFERROR(__xludf.DUMMYFUNCTION("""COMPUTED_VALUE"""),"MPL-CHL-SPI-1A")</f>
        <v>MPL-CHL-SPI-1A</v>
      </c>
      <c r="C534" s="104"/>
      <c r="D534" s="104"/>
      <c r="E534" s="104" t="str">
        <f>IFERROR(__xludf.DUMMYFUNCTION("""COMPUTED_VALUE"""),"")</f>
        <v/>
      </c>
      <c r="F534" s="98">
        <v>7.0</v>
      </c>
      <c r="G534" s="110"/>
      <c r="H534" s="98"/>
      <c r="I534" s="98"/>
      <c r="J534" s="98"/>
      <c r="K534" s="98"/>
      <c r="L534" s="104"/>
      <c r="M534" s="98" t="s">
        <v>39</v>
      </c>
      <c r="N534" s="103" t="str">
        <f>IFERROR(__xludf.DUMMYFUNCTION("""COMPUTED_VALUE"""),"")</f>
        <v/>
      </c>
      <c r="O534" s="104"/>
      <c r="P534" s="104"/>
      <c r="Q534" s="104"/>
      <c r="R534" s="104" t="s">
        <v>827</v>
      </c>
      <c r="S534" s="104">
        <v>15.99</v>
      </c>
      <c r="T534" s="104" t="s">
        <v>4128</v>
      </c>
      <c r="U534" s="104"/>
      <c r="V534" s="104" t="s">
        <v>4128</v>
      </c>
      <c r="W534" s="104"/>
    </row>
    <row r="535">
      <c r="A535" s="105">
        <v>45986.0</v>
      </c>
      <c r="B535" s="79" t="str">
        <f>IFERROR(__xludf.DUMMYFUNCTION("""COMPUTED_VALUE"""),"MPL-CHL-SPI-1A-2")</f>
        <v>MPL-CHL-SPI-1A-2</v>
      </c>
      <c r="C535" s="104"/>
      <c r="D535" s="104"/>
      <c r="E535" s="104" t="str">
        <f>IFERROR(__xludf.DUMMYFUNCTION("""COMPUTED_VALUE"""),"")</f>
        <v/>
      </c>
      <c r="F535" s="98">
        <v>7.0</v>
      </c>
      <c r="G535" s="110"/>
      <c r="H535" s="98"/>
      <c r="I535" s="98"/>
      <c r="J535" s="111"/>
      <c r="K535" s="98"/>
      <c r="L535" s="104"/>
      <c r="M535" s="98" t="s">
        <v>39</v>
      </c>
      <c r="N535" s="103" t="str">
        <f>IFERROR(__xludf.DUMMYFUNCTION("""COMPUTED_VALUE"""),"")</f>
        <v/>
      </c>
      <c r="O535" s="104"/>
      <c r="P535" s="104"/>
      <c r="Q535" s="104"/>
      <c r="R535" s="104" t="s">
        <v>828</v>
      </c>
      <c r="S535" s="104">
        <v>15.99</v>
      </c>
      <c r="T535" s="104" t="s">
        <v>4129</v>
      </c>
      <c r="U535" s="104"/>
      <c r="V535" s="104" t="s">
        <v>4129</v>
      </c>
      <c r="W535" s="104"/>
    </row>
    <row r="536">
      <c r="A536" s="105">
        <v>45986.0</v>
      </c>
      <c r="B536" s="79" t="str">
        <f>IFERROR(__xludf.DUMMYFUNCTION("""COMPUTED_VALUE"""),"MPL-CHL-SPI-1A-3")</f>
        <v>MPL-CHL-SPI-1A-3</v>
      </c>
      <c r="C536" s="104"/>
      <c r="D536" s="104"/>
      <c r="E536" s="104" t="str">
        <f>IFERROR(__xludf.DUMMYFUNCTION("""COMPUTED_VALUE"""),"MA-PO-4-SW-1")</f>
        <v>MA-PO-4-SW-1</v>
      </c>
      <c r="F536" s="98">
        <v>7.0</v>
      </c>
      <c r="G536" s="110"/>
      <c r="H536" s="98"/>
      <c r="I536" s="98"/>
      <c r="J536" s="111"/>
      <c r="K536" s="98"/>
      <c r="L536" s="104"/>
      <c r="M536" s="98" t="s">
        <v>39</v>
      </c>
      <c r="N536" s="103" t="str">
        <f>IFERROR(__xludf.DUMMYFUNCTION("""COMPUTED_VALUE"""),"")</f>
        <v/>
      </c>
      <c r="O536" s="104"/>
      <c r="P536" s="104"/>
      <c r="Q536" s="104"/>
      <c r="R536" s="104" t="s">
        <v>829</v>
      </c>
      <c r="S536" s="104">
        <v>15.99</v>
      </c>
      <c r="T536" s="104" t="s">
        <v>4130</v>
      </c>
      <c r="U536" s="104"/>
      <c r="V536" s="104" t="s">
        <v>4130</v>
      </c>
      <c r="W536" s="104"/>
    </row>
    <row r="537">
      <c r="A537" s="105">
        <v>45986.0</v>
      </c>
      <c r="B537" s="79" t="str">
        <f>IFERROR(__xludf.DUMMYFUNCTION("""COMPUTED_VALUE"""),"MPL-SYN-VA-1A")</f>
        <v>MPL-SYN-VA-1A</v>
      </c>
      <c r="C537" s="104"/>
      <c r="D537" s="104"/>
      <c r="E537" s="104" t="str">
        <f>IFERROR(__xludf.DUMMYFUNCTION("""COMPUTED_VALUE"""),"GA-PO-6-WH-1")</f>
        <v>GA-PO-6-WH-1</v>
      </c>
      <c r="F537" s="98">
        <v>10.0</v>
      </c>
      <c r="G537" s="110"/>
      <c r="H537" s="98"/>
      <c r="I537" s="98"/>
      <c r="J537" s="111"/>
      <c r="K537" s="98"/>
      <c r="L537" s="104"/>
      <c r="M537" s="98" t="s">
        <v>39</v>
      </c>
      <c r="N537" s="103" t="str">
        <f>IFERROR(__xludf.DUMMYFUNCTION("""COMPUTED_VALUE"""),"")</f>
        <v/>
      </c>
      <c r="O537" s="104"/>
      <c r="P537" s="102"/>
      <c r="Q537" s="104"/>
      <c r="R537" s="104" t="s">
        <v>831</v>
      </c>
      <c r="S537" s="104">
        <v>19.99</v>
      </c>
      <c r="T537" s="104" t="s">
        <v>4131</v>
      </c>
      <c r="U537" s="104"/>
      <c r="V537" s="104" t="s">
        <v>4131</v>
      </c>
      <c r="W537" s="104"/>
    </row>
    <row r="538">
      <c r="A538" s="105">
        <v>45986.0</v>
      </c>
      <c r="B538" s="79" t="str">
        <f>IFERROR(__xludf.DUMMYFUNCTION("""COMPUTED_VALUE"""),"MPL-SYN-VA-1A-2")</f>
        <v>MPL-SYN-VA-1A-2</v>
      </c>
      <c r="C538" s="104"/>
      <c r="D538" s="104"/>
      <c r="E538" s="104" t="str">
        <f>IFERROR(__xludf.DUMMYFUNCTION("""COMPUTED_VALUE"""),"GA-PO-6-BL-1")</f>
        <v>GA-PO-6-BL-1</v>
      </c>
      <c r="F538" s="98">
        <v>10.0</v>
      </c>
      <c r="G538" s="110"/>
      <c r="H538" s="98"/>
      <c r="I538" s="98"/>
      <c r="J538" s="98"/>
      <c r="K538" s="98"/>
      <c r="L538" s="104"/>
      <c r="M538" s="98" t="s">
        <v>39</v>
      </c>
      <c r="N538" s="103" t="str">
        <f>IFERROR(__xludf.DUMMYFUNCTION("""COMPUTED_VALUE"""),"")</f>
        <v/>
      </c>
      <c r="O538" s="104"/>
      <c r="P538" s="104"/>
      <c r="Q538" s="104"/>
      <c r="R538" s="104" t="s">
        <v>832</v>
      </c>
      <c r="S538" s="104">
        <v>19.99</v>
      </c>
      <c r="T538" s="104" t="s">
        <v>4132</v>
      </c>
      <c r="U538" s="104"/>
      <c r="V538" s="104" t="s">
        <v>4132</v>
      </c>
      <c r="W538" s="104"/>
    </row>
    <row r="539">
      <c r="A539" s="105">
        <v>45986.0</v>
      </c>
      <c r="B539" s="79" t="str">
        <f>IFERROR(__xludf.DUMMYFUNCTION("""COMPUTED_VALUE"""),"MPL-SYN-VA-1A-3")</f>
        <v>MPL-SYN-VA-1A-3</v>
      </c>
      <c r="C539" s="104"/>
      <c r="D539" s="104"/>
      <c r="E539" s="104" t="str">
        <f>IFERROR(__xludf.DUMMYFUNCTION("""COMPUTED_VALUE"""),"NR-PO-5-PBP-1")</f>
        <v>NR-PO-5-PBP-1</v>
      </c>
      <c r="F539" s="98">
        <v>10.0</v>
      </c>
      <c r="G539" s="110"/>
      <c r="H539" s="98"/>
      <c r="I539" s="98"/>
      <c r="J539" s="111"/>
      <c r="K539" s="98"/>
      <c r="L539" s="104"/>
      <c r="M539" s="98" t="s">
        <v>39</v>
      </c>
      <c r="N539" s="103" t="str">
        <f>IFERROR(__xludf.DUMMYFUNCTION("""COMPUTED_VALUE"""),"")</f>
        <v/>
      </c>
      <c r="O539" s="104"/>
      <c r="P539" s="102" t="s">
        <v>1692</v>
      </c>
      <c r="Q539" s="104"/>
      <c r="R539" s="104" t="s">
        <v>833</v>
      </c>
      <c r="S539" s="104">
        <v>19.99</v>
      </c>
      <c r="T539" s="104" t="s">
        <v>4133</v>
      </c>
      <c r="U539" s="104"/>
      <c r="V539" s="104" t="s">
        <v>4133</v>
      </c>
      <c r="W539" s="104"/>
    </row>
    <row r="540">
      <c r="A540" s="105">
        <v>46005.0</v>
      </c>
      <c r="B540" s="79" t="str">
        <f>IFERROR(__xludf.DUMMYFUNCTION("""COMPUTED_VALUE"""),"FM-RH-TET-1A")</f>
        <v>FM-RH-TET-1A</v>
      </c>
      <c r="C540" s="104"/>
      <c r="D540" s="104"/>
      <c r="E540" s="104" t="str">
        <f>IFERROR(__xludf.DUMMYFUNCTION("""COMPUTED_VALUE"""),"MA-PO-4-SW-1")</f>
        <v>MA-PO-4-SW-1</v>
      </c>
      <c r="F540" s="98">
        <v>0.0</v>
      </c>
      <c r="G540" s="110"/>
      <c r="H540" s="98"/>
      <c r="I540" s="98"/>
      <c r="J540" s="98"/>
      <c r="K540" s="98"/>
      <c r="L540" s="104"/>
      <c r="M540" s="98" t="s">
        <v>39</v>
      </c>
      <c r="N540" s="103" t="str">
        <f>IFERROR(__xludf.DUMMYFUNCTION("""COMPUTED_VALUE"""),"")</f>
        <v/>
      </c>
      <c r="O540" s="104"/>
      <c r="P540" s="104"/>
      <c r="Q540" s="104"/>
      <c r="R540" s="104" t="s">
        <v>836</v>
      </c>
      <c r="S540" s="104">
        <v>10.0</v>
      </c>
      <c r="T540" s="104" t="s">
        <v>4134</v>
      </c>
      <c r="U540" s="104"/>
      <c r="V540" s="104" t="s">
        <v>4134</v>
      </c>
      <c r="W540" s="104"/>
    </row>
    <row r="541">
      <c r="A541" s="105">
        <v>45893.0</v>
      </c>
      <c r="B541" s="79" t="str">
        <f>IFERROR(__xludf.DUMMYFUNCTION("""COMPUTED_VALUE"""),"HS-SP-PLD-1A")</f>
        <v>HS-SP-PLD-1A</v>
      </c>
      <c r="C541" s="104"/>
      <c r="D541" s="104"/>
      <c r="E541" s="104" t="str">
        <f>IFERROR(__xludf.DUMMYFUNCTION("""COMPUTED_VALUE"""),"ST-PO-6-NU-1")</f>
        <v>ST-PO-6-NU-1</v>
      </c>
      <c r="F541" s="98">
        <v>2.49875</v>
      </c>
      <c r="G541" s="110"/>
      <c r="H541" s="98"/>
      <c r="I541" s="98"/>
      <c r="J541" s="98"/>
      <c r="K541" s="98"/>
      <c r="L541" s="104"/>
      <c r="M541" s="98" t="s">
        <v>39</v>
      </c>
      <c r="N541" s="103" t="str">
        <f>IFERROR(__xludf.DUMMYFUNCTION("""COMPUTED_VALUE"""),"")</f>
        <v/>
      </c>
      <c r="O541" s="104"/>
      <c r="P541" s="104"/>
      <c r="Q541" s="104"/>
      <c r="R541" s="104" t="s">
        <v>839</v>
      </c>
      <c r="S541" s="104">
        <v>30.0</v>
      </c>
      <c r="T541" s="104" t="s">
        <v>4135</v>
      </c>
      <c r="U541" s="104"/>
      <c r="V541" s="104" t="s">
        <v>4135</v>
      </c>
      <c r="W541" s="104"/>
    </row>
    <row r="542">
      <c r="A542" s="105">
        <v>45370.0</v>
      </c>
      <c r="B542" s="79" t="str">
        <f>IFERROR(__xludf.DUMMYFUNCTION("""COMPUTED_VALUE"""),"HS-PH-UN-1A")</f>
        <v>HS-PH-UN-1A</v>
      </c>
      <c r="C542" s="104"/>
      <c r="D542" s="104"/>
      <c r="E542" s="104" t="str">
        <f>IFERROR(__xludf.DUMMYFUNCTION("""COMPUTED_VALUE"""),"NR-PO-5-PBP-1")</f>
        <v>NR-PO-5-PBP-1</v>
      </c>
      <c r="F542" s="98">
        <v>0.0</v>
      </c>
      <c r="G542" s="110"/>
      <c r="H542" s="98"/>
      <c r="I542" s="98"/>
      <c r="J542" s="98"/>
      <c r="K542" s="98"/>
      <c r="L542" s="104"/>
      <c r="M542" s="98" t="s">
        <v>39</v>
      </c>
      <c r="N542" s="103" t="str">
        <f>IFERROR(__xludf.DUMMYFUNCTION("""COMPUTED_VALUE"""),"")</f>
        <v/>
      </c>
      <c r="O542" s="104"/>
      <c r="P542" s="104"/>
      <c r="Q542" s="104"/>
      <c r="R542" s="104" t="s">
        <v>841</v>
      </c>
      <c r="S542" s="104">
        <v>0.0</v>
      </c>
      <c r="T542" s="104" t="s">
        <v>4136</v>
      </c>
      <c r="U542" s="104"/>
      <c r="V542" s="104" t="s">
        <v>4136</v>
      </c>
      <c r="W542" s="104"/>
    </row>
    <row r="543">
      <c r="A543" s="105">
        <v>46028.0</v>
      </c>
      <c r="B543" s="79" t="str">
        <f>IFERROR(__xludf.DUMMYFUNCTION("""COMPUTED_VALUE"""),"BWH-SYN-WE-2A")</f>
        <v>BWH-SYN-WE-2A</v>
      </c>
      <c r="C543" s="104"/>
      <c r="D543" s="104"/>
      <c r="E543" s="104" t="str">
        <f>IFERROR(__xludf.DUMMYFUNCTION("""COMPUTED_VALUE"""),"NR-PO-3-PBP-1")</f>
        <v>NR-PO-3-PBP-1</v>
      </c>
      <c r="F543" s="98">
        <v>0.0</v>
      </c>
      <c r="G543" s="110"/>
      <c r="H543" s="98"/>
      <c r="I543" s="98"/>
      <c r="J543" s="98"/>
      <c r="K543" s="98"/>
      <c r="L543" s="104"/>
      <c r="M543" s="98" t="s">
        <v>39</v>
      </c>
      <c r="N543" s="103" t="str">
        <f>IFERROR(__xludf.DUMMYFUNCTION("""COMPUTED_VALUE"""),"")</f>
        <v/>
      </c>
      <c r="O543" s="104"/>
      <c r="P543" s="104"/>
      <c r="Q543" s="104"/>
      <c r="R543" s="104" t="s">
        <v>843</v>
      </c>
      <c r="S543" s="104">
        <v>12.99</v>
      </c>
      <c r="T543" s="104" t="s">
        <v>4137</v>
      </c>
      <c r="U543" s="104"/>
      <c r="V543" s="104" t="s">
        <v>4137</v>
      </c>
      <c r="W543" s="104"/>
    </row>
    <row r="544">
      <c r="A544" s="105">
        <v>46028.0</v>
      </c>
      <c r="B544" s="79" t="str">
        <f>IFERROR(__xludf.DUMMYFUNCTION("""COMPUTED_VALUE"""),"BWH-SYN-WE-2A-2")</f>
        <v>BWH-SYN-WE-2A-2</v>
      </c>
      <c r="C544" s="104"/>
      <c r="D544" s="104"/>
      <c r="E544" s="104" t="str">
        <f>IFERROR(__xludf.DUMMYFUNCTION("""COMPUTED_VALUE"""),"")</f>
        <v/>
      </c>
      <c r="F544" s="98">
        <v>0.0</v>
      </c>
      <c r="G544" s="110"/>
      <c r="H544" s="98"/>
      <c r="I544" s="98"/>
      <c r="J544" s="98"/>
      <c r="K544" s="98"/>
      <c r="L544" s="104"/>
      <c r="M544" s="98" t="s">
        <v>39</v>
      </c>
      <c r="N544" s="103" t="str">
        <f>IFERROR(__xludf.DUMMYFUNCTION("""COMPUTED_VALUE"""),"")</f>
        <v/>
      </c>
      <c r="O544" s="104"/>
      <c r="P544" s="104"/>
      <c r="Q544" s="104"/>
      <c r="R544" s="104" t="s">
        <v>844</v>
      </c>
      <c r="S544" s="104">
        <v>12.99</v>
      </c>
      <c r="T544" s="104" t="s">
        <v>4138</v>
      </c>
      <c r="U544" s="104"/>
      <c r="V544" s="104" t="s">
        <v>4138</v>
      </c>
      <c r="W544" s="104"/>
    </row>
    <row r="545">
      <c r="A545" s="105">
        <v>45886.0</v>
      </c>
      <c r="B545" s="79" t="str">
        <f>IFERROR(__xludf.DUMMYFUNCTION("""COMPUTED_VALUE"""),"HS-PH-ROF-1A")</f>
        <v>HS-PH-ROF-1A</v>
      </c>
      <c r="C545" s="104"/>
      <c r="D545" s="104"/>
      <c r="E545" s="104" t="str">
        <f>IFERROR(__xludf.DUMMYFUNCTION("""COMPUTED_VALUE"""),"NR-PO-8-PBP-1")</f>
        <v>NR-PO-8-PBP-1</v>
      </c>
      <c r="F545" s="98">
        <v>0.0</v>
      </c>
      <c r="G545" s="110"/>
      <c r="H545" s="98"/>
      <c r="I545" s="98"/>
      <c r="J545" s="98"/>
      <c r="K545" s="98"/>
      <c r="L545" s="104"/>
      <c r="M545" s="98" t="s">
        <v>39</v>
      </c>
      <c r="N545" s="103" t="str">
        <f>IFERROR(__xludf.DUMMYFUNCTION("""COMPUTED_VALUE"""),"")</f>
        <v/>
      </c>
      <c r="O545" s="104"/>
      <c r="P545" s="104"/>
      <c r="Q545" s="104"/>
      <c r="R545" s="104" t="s">
        <v>845</v>
      </c>
      <c r="S545" s="104">
        <v>0.0</v>
      </c>
      <c r="T545" s="104" t="s">
        <v>4139</v>
      </c>
      <c r="U545" s="104"/>
      <c r="V545" s="104" t="s">
        <v>4139</v>
      </c>
      <c r="W545" s="104"/>
    </row>
    <row r="546">
      <c r="A546" s="105">
        <v>46087.0</v>
      </c>
      <c r="B546" s="79" t="str">
        <f>IFERROR(__xludf.DUMMYFUNCTION("""COMPUTED_VALUE"""),"TA-OC-HB-1A")</f>
        <v>TA-OC-HB-1A</v>
      </c>
      <c r="C546" s="104"/>
      <c r="D546" s="104"/>
      <c r="E546" s="104" t="str">
        <f>IFERROR(__xludf.DUMMYFUNCTION("""COMPUTED_VALUE"""),"ST-PO-4-NU-1")</f>
        <v>ST-PO-4-NU-1</v>
      </c>
      <c r="F546" s="98">
        <v>0.05384615384615384</v>
      </c>
      <c r="G546" s="110"/>
      <c r="H546" s="98"/>
      <c r="I546" s="98"/>
      <c r="J546" s="98"/>
      <c r="K546" s="98"/>
      <c r="L546" s="104"/>
      <c r="M546" s="98" t="s">
        <v>39</v>
      </c>
      <c r="N546" s="103" t="str">
        <f>IFERROR(__xludf.DUMMYFUNCTION("""COMPUTED_VALUE"""),"")</f>
        <v/>
      </c>
      <c r="O546" s="104"/>
      <c r="P546" s="104"/>
      <c r="Q546" s="104"/>
      <c r="R546" s="104" t="s">
        <v>849</v>
      </c>
      <c r="S546" s="104">
        <v>4.0</v>
      </c>
      <c r="T546" s="104" t="s">
        <v>4140</v>
      </c>
      <c r="U546" s="104"/>
      <c r="V546" s="104" t="s">
        <v>4140</v>
      </c>
      <c r="W546" s="104"/>
    </row>
    <row r="547">
      <c r="A547" s="105">
        <v>46123.0</v>
      </c>
      <c r="B547" s="79" t="str">
        <f>IFERROR(__xludf.DUMMYFUNCTION("""COMPUTED_VALUE"""),"EH-TO-CP-1A")</f>
        <v>EH-TO-CP-1A</v>
      </c>
      <c r="C547" s="104"/>
      <c r="D547" s="104"/>
      <c r="E547" s="104" t="str">
        <f>IFERROR(__xludf.DUMMYFUNCTION("""COMPUTED_VALUE"""),"")</f>
        <v/>
      </c>
      <c r="F547" s="98">
        <v>0.23</v>
      </c>
      <c r="G547" s="110"/>
      <c r="H547" s="98"/>
      <c r="I547" s="98"/>
      <c r="J547" s="98"/>
      <c r="K547" s="111">
        <v>7.0</v>
      </c>
      <c r="L547" s="104"/>
      <c r="M547" s="98">
        <v>7.0</v>
      </c>
      <c r="N547" s="103" t="str">
        <f>IFERROR(__xludf.DUMMYFUNCTION("""COMPUTED_VALUE"""),"")</f>
        <v/>
      </c>
      <c r="O547" s="104"/>
      <c r="P547" s="102" t="s">
        <v>1626</v>
      </c>
      <c r="Q547" s="104"/>
      <c r="R547" s="104" t="s">
        <v>854</v>
      </c>
      <c r="S547" s="104">
        <v>5.0</v>
      </c>
      <c r="T547" s="104" t="s">
        <v>4141</v>
      </c>
      <c r="U547" s="104"/>
      <c r="V547" s="104" t="s">
        <v>4141</v>
      </c>
      <c r="W547" s="104"/>
    </row>
    <row r="548">
      <c r="A548" s="105">
        <v>46123.0</v>
      </c>
      <c r="B548" s="79" t="str">
        <f>IFERROR(__xludf.DUMMYFUNCTION("""COMPUTED_VALUE"""),"EH-TO-ERC-1A")</f>
        <v>EH-TO-ERC-1A</v>
      </c>
      <c r="C548" s="104"/>
      <c r="D548" s="104"/>
      <c r="E548" s="104" t="str">
        <f>IFERROR(__xludf.DUMMYFUNCTION("""COMPUTED_VALUE"""),"")</f>
        <v/>
      </c>
      <c r="F548" s="98">
        <v>0.23</v>
      </c>
      <c r="G548" s="110"/>
      <c r="H548" s="98"/>
      <c r="I548" s="98"/>
      <c r="J548" s="98"/>
      <c r="K548" s="111">
        <v>2.0</v>
      </c>
      <c r="L548" s="104"/>
      <c r="M548" s="98">
        <v>2.0</v>
      </c>
      <c r="N548" s="103" t="str">
        <f>IFERROR(__xludf.DUMMYFUNCTION("""COMPUTED_VALUE"""),"")</f>
        <v/>
      </c>
      <c r="O548" s="104"/>
      <c r="P548" s="102" t="s">
        <v>1626</v>
      </c>
      <c r="Q548" s="104"/>
      <c r="R548" s="104" t="s">
        <v>857</v>
      </c>
      <c r="S548" s="104">
        <v>5.0</v>
      </c>
      <c r="T548" s="104" t="s">
        <v>4142</v>
      </c>
      <c r="U548" s="104"/>
      <c r="V548" s="104" t="s">
        <v>4142</v>
      </c>
      <c r="W548" s="104"/>
    </row>
    <row r="549">
      <c r="A549" s="105">
        <v>46087.0</v>
      </c>
      <c r="B549" s="79" t="str">
        <f>IFERROR(__xludf.DUMMYFUNCTION("""COMPUTED_VALUE"""),"TA-TH-TH-1A")</f>
        <v>TA-TH-TH-1A</v>
      </c>
      <c r="C549" s="104"/>
      <c r="D549" s="104"/>
      <c r="E549" s="104" t="str">
        <f>IFERROR(__xludf.DUMMYFUNCTION("""COMPUTED_VALUE"""),"AGP-PO-4-BN-1")</f>
        <v>AGP-PO-4-BN-1</v>
      </c>
      <c r="F549" s="98">
        <v>0.02666666666666667</v>
      </c>
      <c r="G549" s="110"/>
      <c r="H549" s="98"/>
      <c r="I549" s="98"/>
      <c r="J549" s="98"/>
      <c r="K549" s="98"/>
      <c r="L549" s="104"/>
      <c r="M549" s="98" t="s">
        <v>39</v>
      </c>
      <c r="N549" s="103" t="str">
        <f>IFERROR(__xludf.DUMMYFUNCTION("""COMPUTED_VALUE"""),"")</f>
        <v/>
      </c>
      <c r="O549" s="104"/>
      <c r="P549" s="104"/>
      <c r="Q549" s="104"/>
      <c r="R549" s="104" t="s">
        <v>861</v>
      </c>
      <c r="S549" s="104">
        <v>4.0</v>
      </c>
      <c r="T549" s="104" t="s">
        <v>4143</v>
      </c>
      <c r="U549" s="104"/>
      <c r="V549" s="104" t="s">
        <v>4143</v>
      </c>
      <c r="W549" s="104"/>
    </row>
    <row r="550">
      <c r="A550" s="105">
        <v>46087.0</v>
      </c>
      <c r="B550" s="79" t="str">
        <f>IFERROR(__xludf.DUMMYFUNCTION("""COMPUTED_VALUE"""),"TA-ALL-CH-1A")</f>
        <v>TA-ALL-CH-1A</v>
      </c>
      <c r="C550" s="104"/>
      <c r="D550" s="104"/>
      <c r="E550" s="104" t="str">
        <f>IFERROR(__xludf.DUMMYFUNCTION("""COMPUTED_VALUE"""),"AGP-PO-4-BN-1")</f>
        <v>AGP-PO-4-BN-1</v>
      </c>
      <c r="F550" s="98">
        <v>0.08</v>
      </c>
      <c r="G550" s="110"/>
      <c r="H550" s="98"/>
      <c r="I550" s="98"/>
      <c r="J550" s="98"/>
      <c r="K550" s="98"/>
      <c r="L550" s="104"/>
      <c r="M550" s="98" t="s">
        <v>39</v>
      </c>
      <c r="N550" s="103" t="str">
        <f>IFERROR(__xludf.DUMMYFUNCTION("""COMPUTED_VALUE"""),"")</f>
        <v/>
      </c>
      <c r="O550" s="104"/>
      <c r="P550" s="104"/>
      <c r="Q550" s="104"/>
      <c r="R550" s="104" t="s">
        <v>864</v>
      </c>
      <c r="S550" s="104">
        <v>4.0</v>
      </c>
      <c r="T550" s="104" t="s">
        <v>4144</v>
      </c>
      <c r="U550" s="104"/>
      <c r="V550" s="104" t="s">
        <v>4144</v>
      </c>
      <c r="W550" s="104"/>
    </row>
    <row r="551">
      <c r="A551" s="105">
        <v>46087.0</v>
      </c>
      <c r="B551" s="79" t="str">
        <f>IFERROR(__xludf.DUMMYFUNCTION("""COMPUTED_VALUE"""),"TA-OR-OR-1A")</f>
        <v>TA-OR-OR-1A</v>
      </c>
      <c r="C551" s="104"/>
      <c r="D551" s="104"/>
      <c r="E551" s="104" t="str">
        <f>IFERROR(__xludf.DUMMYFUNCTION("""COMPUTED_VALUE"""),"AGP-PO-4-BN-1")</f>
        <v>AGP-PO-4-BN-1</v>
      </c>
      <c r="F551" s="98">
        <v>0.08</v>
      </c>
      <c r="G551" s="110"/>
      <c r="H551" s="98"/>
      <c r="I551" s="98"/>
      <c r="J551" s="98"/>
      <c r="K551" s="98"/>
      <c r="L551" s="104"/>
      <c r="M551" s="98" t="s">
        <v>39</v>
      </c>
      <c r="N551" s="103" t="str">
        <f>IFERROR(__xludf.DUMMYFUNCTION("""COMPUTED_VALUE"""),"")</f>
        <v/>
      </c>
      <c r="O551" s="104"/>
      <c r="P551" s="104"/>
      <c r="Q551" s="104"/>
      <c r="R551" s="104" t="s">
        <v>867</v>
      </c>
      <c r="S551" s="104">
        <v>4.0</v>
      </c>
      <c r="T551" s="104" t="s">
        <v>4145</v>
      </c>
      <c r="U551" s="104"/>
      <c r="V551" s="104" t="s">
        <v>4145</v>
      </c>
      <c r="W551" s="104"/>
    </row>
    <row r="552">
      <c r="A552" s="105">
        <v>46087.0</v>
      </c>
      <c r="B552" s="79" t="str">
        <f>IFERROR(__xludf.DUMMYFUNCTION("""COMPUTED_VALUE"""),"TA-SAL-RO-1A")</f>
        <v>TA-SAL-RO-1A</v>
      </c>
      <c r="C552" s="104"/>
      <c r="D552" s="104"/>
      <c r="E552" s="104" t="str">
        <f>IFERROR(__xludf.DUMMYFUNCTION("""COMPUTED_VALUE"""),"AGP-PO-4-BN-1")</f>
        <v>AGP-PO-4-BN-1</v>
      </c>
      <c r="F552" s="98">
        <v>0.08</v>
      </c>
      <c r="G552" s="110"/>
      <c r="H552" s="98"/>
      <c r="I552" s="98"/>
      <c r="J552" s="98"/>
      <c r="K552" s="98"/>
      <c r="L552" s="104"/>
      <c r="M552" s="98" t="s">
        <v>39</v>
      </c>
      <c r="N552" s="103" t="str">
        <f>IFERROR(__xludf.DUMMYFUNCTION("""COMPUTED_VALUE"""),"")</f>
        <v/>
      </c>
      <c r="O552" s="104"/>
      <c r="P552" s="104"/>
      <c r="Q552" s="104"/>
      <c r="R552" s="104" t="s">
        <v>870</v>
      </c>
      <c r="S552" s="104">
        <v>4.0</v>
      </c>
      <c r="T552" s="104" t="s">
        <v>4146</v>
      </c>
      <c r="U552" s="104"/>
      <c r="V552" s="104" t="s">
        <v>4146</v>
      </c>
      <c r="W552" s="104"/>
    </row>
    <row r="553">
      <c r="A553" s="105">
        <v>46087.0</v>
      </c>
      <c r="B553" s="79" t="str">
        <f>IFERROR(__xludf.DUMMYFUNCTION("""COMPUTED_VALUE"""),"TA-TH-TH-1A-2")</f>
        <v>TA-TH-TH-1A-2</v>
      </c>
      <c r="C553" s="104"/>
      <c r="D553" s="104"/>
      <c r="E553" s="104" t="str">
        <f>IFERROR(__xludf.DUMMYFUNCTION("""COMPUTED_VALUE"""),"AGP-PO-4-BN-1")</f>
        <v>AGP-PO-4-BN-1</v>
      </c>
      <c r="F553" s="98">
        <v>0.04</v>
      </c>
      <c r="G553" s="110"/>
      <c r="H553" s="98"/>
      <c r="I553" s="98"/>
      <c r="J553" s="98"/>
      <c r="K553" s="98"/>
      <c r="L553" s="104"/>
      <c r="M553" s="98" t="s">
        <v>39</v>
      </c>
      <c r="N553" s="103" t="str">
        <f>IFERROR(__xludf.DUMMYFUNCTION("""COMPUTED_VALUE"""),"")</f>
        <v/>
      </c>
      <c r="O553" s="104"/>
      <c r="P553" s="104"/>
      <c r="Q553" s="104"/>
      <c r="R553" s="104" t="s">
        <v>871</v>
      </c>
      <c r="S553" s="104">
        <v>4.0</v>
      </c>
      <c r="T553" s="104" t="s">
        <v>4147</v>
      </c>
      <c r="U553" s="104"/>
      <c r="V553" s="104" t="s">
        <v>4147</v>
      </c>
      <c r="W553" s="104"/>
    </row>
    <row r="554">
      <c r="A554" s="105">
        <v>46087.0</v>
      </c>
      <c r="B554" s="79" t="str">
        <f>IFERROR(__xludf.DUMMYFUNCTION("""COMPUTED_VALUE"""),"TA-TH-TH-1A-3")</f>
        <v>TA-TH-TH-1A-3</v>
      </c>
      <c r="C554" s="104"/>
      <c r="D554" s="104"/>
      <c r="E554" s="104" t="str">
        <f>IFERROR(__xludf.DUMMYFUNCTION("""COMPUTED_VALUE"""),"AGP-PO-4-BN-1")</f>
        <v>AGP-PO-4-BN-1</v>
      </c>
      <c r="F554" s="98">
        <v>0.08</v>
      </c>
      <c r="G554" s="110"/>
      <c r="H554" s="98"/>
      <c r="I554" s="98"/>
      <c r="J554" s="98"/>
      <c r="K554" s="111">
        <v>0.0</v>
      </c>
      <c r="L554" s="104"/>
      <c r="M554" s="98">
        <v>0.0</v>
      </c>
      <c r="N554" s="103" t="str">
        <f>IFERROR(__xludf.DUMMYFUNCTION("""COMPUTED_VALUE"""),"")</f>
        <v/>
      </c>
      <c r="O554" s="104"/>
      <c r="P554" s="102" t="s">
        <v>1626</v>
      </c>
      <c r="Q554" s="104"/>
      <c r="R554" s="104" t="s">
        <v>872</v>
      </c>
      <c r="S554" s="104">
        <v>4.0</v>
      </c>
      <c r="T554" s="104" t="s">
        <v>4148</v>
      </c>
      <c r="U554" s="104"/>
      <c r="V554" s="104" t="s">
        <v>4148</v>
      </c>
      <c r="W554" s="104"/>
    </row>
    <row r="555">
      <c r="A555" s="105">
        <v>46087.0</v>
      </c>
      <c r="B555" s="79" t="str">
        <f>IFERROR(__xludf.DUMMYFUNCTION("""COMPUTED_VALUE"""),"TA-TH-TH-1A-4")</f>
        <v>TA-TH-TH-1A-4</v>
      </c>
      <c r="C555" s="104"/>
      <c r="D555" s="104"/>
      <c r="E555" s="104" t="str">
        <f>IFERROR(__xludf.DUMMYFUNCTION("""COMPUTED_VALUE"""),"AGP-PO-4-BN-1")</f>
        <v>AGP-PO-4-BN-1</v>
      </c>
      <c r="F555" s="98">
        <v>0.08</v>
      </c>
      <c r="G555" s="110"/>
      <c r="H555" s="98"/>
      <c r="I555" s="98"/>
      <c r="J555" s="98"/>
      <c r="K555" s="111">
        <v>10.0</v>
      </c>
      <c r="L555" s="104"/>
      <c r="M555" s="98">
        <v>10.0</v>
      </c>
      <c r="N555" s="103" t="str">
        <f>IFERROR(__xludf.DUMMYFUNCTION("""COMPUTED_VALUE"""),"")</f>
        <v/>
      </c>
      <c r="O555" s="104"/>
      <c r="P555" s="102" t="s">
        <v>1626</v>
      </c>
      <c r="Q555" s="104"/>
      <c r="R555" s="104" t="s">
        <v>873</v>
      </c>
      <c r="S555" s="104">
        <v>4.0</v>
      </c>
      <c r="T555" s="104" t="s">
        <v>4149</v>
      </c>
      <c r="U555" s="104"/>
      <c r="V555" s="104" t="s">
        <v>4149</v>
      </c>
      <c r="W555" s="104"/>
    </row>
    <row r="556">
      <c r="A556" s="105">
        <v>46123.0</v>
      </c>
      <c r="B556" s="79" t="str">
        <f>IFERROR(__xludf.DUMMYFUNCTION("""COMPUTED_VALUE"""),"EH-TO-CP-1A-2")</f>
        <v>EH-TO-CP-1A-2</v>
      </c>
      <c r="C556" s="104"/>
      <c r="D556" s="104"/>
      <c r="E556" s="104" t="str">
        <f>IFERROR(__xludf.DUMMYFUNCTION("""COMPUTED_VALUE"""),"")</f>
        <v/>
      </c>
      <c r="F556" s="98">
        <v>0.23</v>
      </c>
      <c r="G556" s="110"/>
      <c r="H556" s="98"/>
      <c r="I556" s="98"/>
      <c r="J556" s="98"/>
      <c r="K556" s="111">
        <v>0.0</v>
      </c>
      <c r="L556" s="104"/>
      <c r="M556" s="98">
        <v>0.0</v>
      </c>
      <c r="N556" s="103" t="str">
        <f>IFERROR(__xludf.DUMMYFUNCTION("""COMPUTED_VALUE"""),"")</f>
        <v/>
      </c>
      <c r="O556" s="104"/>
      <c r="P556" s="102" t="s">
        <v>1626</v>
      </c>
      <c r="Q556" s="104"/>
      <c r="R556" s="104" t="s">
        <v>874</v>
      </c>
      <c r="S556" s="104">
        <v>5.0</v>
      </c>
      <c r="T556" s="104" t="s">
        <v>4150</v>
      </c>
      <c r="U556" s="104"/>
      <c r="V556" s="104" t="s">
        <v>4150</v>
      </c>
      <c r="W556" s="104"/>
    </row>
    <row r="557">
      <c r="A557" s="105">
        <v>46123.0</v>
      </c>
      <c r="B557" s="79" t="str">
        <f>IFERROR(__xludf.DUMMYFUNCTION("""COMPUTED_VALUE"""),"EH-TO-CP-1A-3")</f>
        <v>EH-TO-CP-1A-3</v>
      </c>
      <c r="C557" s="104"/>
      <c r="D557" s="104"/>
      <c r="E557" s="104" t="str">
        <f>IFERROR(__xludf.DUMMYFUNCTION("""COMPUTED_VALUE"""),"")</f>
        <v/>
      </c>
      <c r="F557" s="98">
        <v>0.23</v>
      </c>
      <c r="G557" s="110"/>
      <c r="H557" s="98"/>
      <c r="I557" s="98"/>
      <c r="J557" s="98"/>
      <c r="K557" s="111">
        <v>0.0</v>
      </c>
      <c r="L557" s="104"/>
      <c r="M557" s="98">
        <v>0.0</v>
      </c>
      <c r="N557" s="103" t="str">
        <f>IFERROR(__xludf.DUMMYFUNCTION("""COMPUTED_VALUE"""),"")</f>
        <v/>
      </c>
      <c r="O557" s="104"/>
      <c r="P557" s="102" t="s">
        <v>1626</v>
      </c>
      <c r="Q557" s="104"/>
      <c r="R557" s="104" t="s">
        <v>875</v>
      </c>
      <c r="S557" s="104">
        <v>5.0</v>
      </c>
      <c r="T557" s="104" t="s">
        <v>4151</v>
      </c>
      <c r="U557" s="104"/>
      <c r="V557" s="104" t="s">
        <v>4151</v>
      </c>
      <c r="W557" s="104"/>
    </row>
    <row r="558">
      <c r="A558" s="105">
        <v>46123.0</v>
      </c>
      <c r="B558" s="79" t="str">
        <f>IFERROR(__xludf.DUMMYFUNCTION("""COMPUTED_VALUE"""),"EH-TO-CP-1A-4")</f>
        <v>EH-TO-CP-1A-4</v>
      </c>
      <c r="C558" s="104"/>
      <c r="D558" s="104"/>
      <c r="E558" s="104" t="str">
        <f>IFERROR(__xludf.DUMMYFUNCTION("""COMPUTED_VALUE"""),"")</f>
        <v/>
      </c>
      <c r="F558" s="98">
        <v>0.23</v>
      </c>
      <c r="G558" s="110"/>
      <c r="H558" s="98"/>
      <c r="I558" s="98"/>
      <c r="J558" s="98"/>
      <c r="K558" s="98"/>
      <c r="L558" s="104"/>
      <c r="M558" s="98" t="s">
        <v>39</v>
      </c>
      <c r="N558" s="103" t="str">
        <f>IFERROR(__xludf.DUMMYFUNCTION("""COMPUTED_VALUE"""),"")</f>
        <v/>
      </c>
      <c r="O558" s="104"/>
      <c r="P558" s="104"/>
      <c r="Q558" s="104"/>
      <c r="R558" s="104" t="s">
        <v>876</v>
      </c>
      <c r="S558" s="104">
        <v>5.0</v>
      </c>
      <c r="T558" s="104" t="s">
        <v>4152</v>
      </c>
      <c r="U558" s="104"/>
      <c r="V558" s="104" t="s">
        <v>4152</v>
      </c>
      <c r="W558" s="104"/>
    </row>
    <row r="559">
      <c r="A559" s="105">
        <v>46123.0</v>
      </c>
      <c r="B559" s="79" t="str">
        <f>IFERROR(__xludf.DUMMYFUNCTION("""COMPUTED_VALUE"""),"EH-TO-CP-1A-5")</f>
        <v>EH-TO-CP-1A-5</v>
      </c>
      <c r="C559" s="104"/>
      <c r="D559" s="104"/>
      <c r="E559" s="104" t="str">
        <f>IFERROR(__xludf.DUMMYFUNCTION("""COMPUTED_VALUE"""),"")</f>
        <v/>
      </c>
      <c r="F559" s="98">
        <v>0.23</v>
      </c>
      <c r="G559" s="110"/>
      <c r="H559" s="98"/>
      <c r="I559" s="98"/>
      <c r="J559" s="98"/>
      <c r="K559" s="111">
        <v>0.0</v>
      </c>
      <c r="L559" s="104"/>
      <c r="M559" s="98">
        <v>0.0</v>
      </c>
      <c r="N559" s="103" t="str">
        <f>IFERROR(__xludf.DUMMYFUNCTION("""COMPUTED_VALUE"""),"")</f>
        <v/>
      </c>
      <c r="O559" s="104"/>
      <c r="P559" s="102" t="s">
        <v>1626</v>
      </c>
      <c r="Q559" s="104"/>
      <c r="R559" s="104" t="s">
        <v>877</v>
      </c>
      <c r="S559" s="104">
        <v>5.0</v>
      </c>
      <c r="T559" s="104" t="s">
        <v>4153</v>
      </c>
      <c r="U559" s="104"/>
      <c r="V559" s="104" t="s">
        <v>4153</v>
      </c>
      <c r="W559" s="104"/>
    </row>
    <row r="560">
      <c r="A560" s="105">
        <v>46123.0</v>
      </c>
      <c r="B560" s="79" t="str">
        <f>IFERROR(__xludf.DUMMYFUNCTION("""COMPUTED_VALUE"""),"EH-TO-CP-1A-6")</f>
        <v>EH-TO-CP-1A-6</v>
      </c>
      <c r="C560" s="104"/>
      <c r="D560" s="104"/>
      <c r="E560" s="104" t="str">
        <f>IFERROR(__xludf.DUMMYFUNCTION("""COMPUTED_VALUE"""),"")</f>
        <v/>
      </c>
      <c r="F560" s="98">
        <v>0.23</v>
      </c>
      <c r="G560" s="110"/>
      <c r="H560" s="98"/>
      <c r="I560" s="98"/>
      <c r="J560" s="98"/>
      <c r="K560" s="111">
        <v>0.0</v>
      </c>
      <c r="L560" s="104"/>
      <c r="M560" s="98">
        <v>0.0</v>
      </c>
      <c r="N560" s="103" t="str">
        <f>IFERROR(__xludf.DUMMYFUNCTION("""COMPUTED_VALUE"""),"")</f>
        <v/>
      </c>
      <c r="O560" s="104"/>
      <c r="P560" s="102" t="s">
        <v>1626</v>
      </c>
      <c r="Q560" s="104"/>
      <c r="R560" s="104" t="s">
        <v>878</v>
      </c>
      <c r="S560" s="104">
        <v>5.0</v>
      </c>
      <c r="T560" s="104" t="s">
        <v>4154</v>
      </c>
      <c r="U560" s="104"/>
      <c r="V560" s="104" t="s">
        <v>4154</v>
      </c>
      <c r="W560" s="104"/>
    </row>
    <row r="561">
      <c r="A561" s="105">
        <v>46123.0</v>
      </c>
      <c r="B561" s="79" t="str">
        <f>IFERROR(__xludf.DUMMYFUNCTION("""COMPUTED_VALUE"""),"EH-TO-CP-1A-7")</f>
        <v>EH-TO-CP-1A-7</v>
      </c>
      <c r="C561" s="104"/>
      <c r="D561" s="104"/>
      <c r="E561" s="104" t="str">
        <f>IFERROR(__xludf.DUMMYFUNCTION("""COMPUTED_VALUE"""),"")</f>
        <v/>
      </c>
      <c r="F561" s="98">
        <v>0.23</v>
      </c>
      <c r="G561" s="110"/>
      <c r="H561" s="98"/>
      <c r="I561" s="98"/>
      <c r="J561" s="98"/>
      <c r="K561" s="111">
        <v>0.0</v>
      </c>
      <c r="L561" s="104"/>
      <c r="M561" s="98">
        <v>0.0</v>
      </c>
      <c r="N561" s="103" t="str">
        <f>IFERROR(__xludf.DUMMYFUNCTION("""COMPUTED_VALUE"""),"")</f>
        <v/>
      </c>
      <c r="O561" s="104"/>
      <c r="P561" s="102" t="s">
        <v>1626</v>
      </c>
      <c r="Q561" s="104"/>
      <c r="R561" s="104" t="s">
        <v>879</v>
      </c>
      <c r="S561" s="104">
        <v>5.0</v>
      </c>
      <c r="T561" s="104" t="s">
        <v>4155</v>
      </c>
      <c r="U561" s="104"/>
      <c r="V561" s="104" t="s">
        <v>4155</v>
      </c>
      <c r="W561" s="104"/>
    </row>
    <row r="562">
      <c r="A562" s="105">
        <v>46123.0</v>
      </c>
      <c r="B562" s="79" t="str">
        <f>IFERROR(__xludf.DUMMYFUNCTION("""COMPUTED_VALUE"""),"EH-TO-CP-1A-8")</f>
        <v>EH-TO-CP-1A-8</v>
      </c>
      <c r="C562" s="104"/>
      <c r="D562" s="104"/>
      <c r="E562" s="104" t="str">
        <f>IFERROR(__xludf.DUMMYFUNCTION("""COMPUTED_VALUE"""),"")</f>
        <v/>
      </c>
      <c r="F562" s="98">
        <v>0.23</v>
      </c>
      <c r="G562" s="110"/>
      <c r="H562" s="98"/>
      <c r="I562" s="98"/>
      <c r="J562" s="98"/>
      <c r="K562" s="111">
        <v>0.0</v>
      </c>
      <c r="L562" s="104"/>
      <c r="M562" s="98">
        <v>0.0</v>
      </c>
      <c r="N562" s="103" t="str">
        <f>IFERROR(__xludf.DUMMYFUNCTION("""COMPUTED_VALUE"""),"")</f>
        <v/>
      </c>
      <c r="O562" s="104"/>
      <c r="P562" s="102" t="s">
        <v>1626</v>
      </c>
      <c r="Q562" s="104"/>
      <c r="R562" s="104" t="s">
        <v>880</v>
      </c>
      <c r="S562" s="104">
        <v>5.0</v>
      </c>
      <c r="T562" s="104" t="s">
        <v>4156</v>
      </c>
      <c r="U562" s="104"/>
      <c r="V562" s="104" t="s">
        <v>4156</v>
      </c>
      <c r="W562" s="104"/>
    </row>
    <row r="563">
      <c r="A563" s="105">
        <v>46123.0</v>
      </c>
      <c r="B563" s="79" t="str">
        <f>IFERROR(__xludf.DUMMYFUNCTION("""COMPUTED_VALUE"""),"EH-TO-ERC-1A-2")</f>
        <v>EH-TO-ERC-1A-2</v>
      </c>
      <c r="C563" s="104"/>
      <c r="D563" s="104"/>
      <c r="E563" s="104" t="str">
        <f>IFERROR(__xludf.DUMMYFUNCTION("""COMPUTED_VALUE"""),"")</f>
        <v/>
      </c>
      <c r="F563" s="98">
        <v>0.23</v>
      </c>
      <c r="G563" s="110"/>
      <c r="H563" s="98"/>
      <c r="I563" s="98"/>
      <c r="J563" s="98"/>
      <c r="K563" s="111">
        <v>0.0</v>
      </c>
      <c r="L563" s="104"/>
      <c r="M563" s="98">
        <v>0.0</v>
      </c>
      <c r="N563" s="103" t="str">
        <f>IFERROR(__xludf.DUMMYFUNCTION("""COMPUTED_VALUE"""),"")</f>
        <v/>
      </c>
      <c r="O563" s="104"/>
      <c r="P563" s="102" t="s">
        <v>1626</v>
      </c>
      <c r="Q563" s="104"/>
      <c r="R563" s="104" t="s">
        <v>881</v>
      </c>
      <c r="S563" s="104">
        <v>5.0</v>
      </c>
      <c r="T563" s="104" t="s">
        <v>4157</v>
      </c>
      <c r="U563" s="104"/>
      <c r="V563" s="104" t="s">
        <v>4157</v>
      </c>
      <c r="W563" s="104"/>
    </row>
    <row r="564">
      <c r="A564" s="105">
        <v>46123.0</v>
      </c>
      <c r="B564" s="79" t="str">
        <f>IFERROR(__xludf.DUMMYFUNCTION("""COMPUTED_VALUE"""),"EH-TO-ERC-1A-3")</f>
        <v>EH-TO-ERC-1A-3</v>
      </c>
      <c r="C564" s="104"/>
      <c r="D564" s="104"/>
      <c r="E564" s="104" t="str">
        <f>IFERROR(__xludf.DUMMYFUNCTION("""COMPUTED_VALUE"""),"")</f>
        <v/>
      </c>
      <c r="F564" s="98">
        <v>0.23</v>
      </c>
      <c r="G564" s="110"/>
      <c r="H564" s="98"/>
      <c r="I564" s="98"/>
      <c r="J564" s="98"/>
      <c r="K564" s="111">
        <v>0.0</v>
      </c>
      <c r="L564" s="104"/>
      <c r="M564" s="98">
        <v>0.0</v>
      </c>
      <c r="N564" s="103" t="str">
        <f>IFERROR(__xludf.DUMMYFUNCTION("""COMPUTED_VALUE"""),"")</f>
        <v/>
      </c>
      <c r="O564" s="104"/>
      <c r="P564" s="102" t="s">
        <v>1626</v>
      </c>
      <c r="Q564" s="104"/>
      <c r="R564" s="104" t="s">
        <v>882</v>
      </c>
      <c r="S564" s="104">
        <v>5.0</v>
      </c>
      <c r="T564" s="104" t="s">
        <v>4158</v>
      </c>
      <c r="U564" s="104"/>
      <c r="V564" s="104" t="s">
        <v>4158</v>
      </c>
      <c r="W564" s="104"/>
    </row>
    <row r="565">
      <c r="A565" s="105">
        <v>46123.0</v>
      </c>
      <c r="B565" s="79" t="str">
        <f>IFERROR(__xludf.DUMMYFUNCTION("""COMPUTED_VALUE"""),"EH-TO-ERC-1A-4")</f>
        <v>EH-TO-ERC-1A-4</v>
      </c>
      <c r="C565" s="104"/>
      <c r="D565" s="104"/>
      <c r="E565" s="104" t="str">
        <f>IFERROR(__xludf.DUMMYFUNCTION("""COMPUTED_VALUE"""),"")</f>
        <v/>
      </c>
      <c r="F565" s="98">
        <v>0.23</v>
      </c>
      <c r="G565" s="110"/>
      <c r="H565" s="98"/>
      <c r="I565" s="98"/>
      <c r="J565" s="98"/>
      <c r="K565" s="98"/>
      <c r="L565" s="104"/>
      <c r="M565" s="98" t="s">
        <v>39</v>
      </c>
      <c r="N565" s="103" t="str">
        <f>IFERROR(__xludf.DUMMYFUNCTION("""COMPUTED_VALUE"""),"")</f>
        <v/>
      </c>
      <c r="O565" s="104"/>
      <c r="P565" s="104"/>
      <c r="Q565" s="104"/>
      <c r="R565" s="104" t="s">
        <v>883</v>
      </c>
      <c r="S565" s="104">
        <v>5.0</v>
      </c>
      <c r="T565" s="104" t="s">
        <v>4159</v>
      </c>
      <c r="U565" s="104"/>
      <c r="V565" s="104" t="s">
        <v>4159</v>
      </c>
      <c r="W565" s="104"/>
    </row>
    <row r="566">
      <c r="A566" s="105">
        <v>46123.0</v>
      </c>
      <c r="B566" s="79" t="str">
        <f>IFERROR(__xludf.DUMMYFUNCTION("""COMPUTED_VALUE"""),"EH-TO-ERC-1A-5")</f>
        <v>EH-TO-ERC-1A-5</v>
      </c>
      <c r="C566" s="104"/>
      <c r="D566" s="104"/>
      <c r="E566" s="104" t="str">
        <f>IFERROR(__xludf.DUMMYFUNCTION("""COMPUTED_VALUE"""),"")</f>
        <v/>
      </c>
      <c r="F566" s="98">
        <v>0.23</v>
      </c>
      <c r="G566" s="110"/>
      <c r="H566" s="98"/>
      <c r="I566" s="98"/>
      <c r="J566" s="98"/>
      <c r="K566" s="98"/>
      <c r="L566" s="104"/>
      <c r="M566" s="98" t="s">
        <v>39</v>
      </c>
      <c r="N566" s="103" t="str">
        <f>IFERROR(__xludf.DUMMYFUNCTION("""COMPUTED_VALUE"""),"")</f>
        <v/>
      </c>
      <c r="O566" s="104"/>
      <c r="P566" s="104"/>
      <c r="Q566" s="104"/>
      <c r="R566" s="104" t="s">
        <v>884</v>
      </c>
      <c r="S566" s="104">
        <v>5.0</v>
      </c>
      <c r="T566" s="104" t="s">
        <v>4160</v>
      </c>
      <c r="U566" s="104"/>
      <c r="V566" s="104" t="s">
        <v>4160</v>
      </c>
      <c r="W566" s="104"/>
    </row>
    <row r="567">
      <c r="A567" s="105">
        <v>46123.0</v>
      </c>
      <c r="B567" s="79" t="str">
        <f>IFERROR(__xludf.DUMMYFUNCTION("""COMPUTED_VALUE"""),"EH-TO-ERC-1A-6")</f>
        <v>EH-TO-ERC-1A-6</v>
      </c>
      <c r="C567" s="104"/>
      <c r="D567" s="104"/>
      <c r="E567" s="104" t="str">
        <f>IFERROR(__xludf.DUMMYFUNCTION("""COMPUTED_VALUE"""),"")</f>
        <v/>
      </c>
      <c r="F567" s="98">
        <v>0.23</v>
      </c>
      <c r="G567" s="110"/>
      <c r="H567" s="98"/>
      <c r="I567" s="98"/>
      <c r="J567" s="98"/>
      <c r="K567" s="98"/>
      <c r="L567" s="104"/>
      <c r="M567" s="98" t="s">
        <v>39</v>
      </c>
      <c r="N567" s="103" t="str">
        <f>IFERROR(__xludf.DUMMYFUNCTION("""COMPUTED_VALUE"""),"")</f>
        <v/>
      </c>
      <c r="O567" s="104"/>
      <c r="P567" s="104"/>
      <c r="Q567" s="104"/>
      <c r="R567" s="104" t="s">
        <v>885</v>
      </c>
      <c r="S567" s="104">
        <v>5.0</v>
      </c>
      <c r="T567" s="104" t="s">
        <v>4161</v>
      </c>
      <c r="U567" s="104"/>
      <c r="V567" s="104" t="s">
        <v>4161</v>
      </c>
      <c r="W567" s="104"/>
    </row>
    <row r="568">
      <c r="A568" s="105">
        <v>46123.0</v>
      </c>
      <c r="B568" s="79" t="str">
        <f>IFERROR(__xludf.DUMMYFUNCTION("""COMPUTED_VALUE"""),"EH-TO-ERC-1A-7")</f>
        <v>EH-TO-ERC-1A-7</v>
      </c>
      <c r="C568" s="104"/>
      <c r="D568" s="104"/>
      <c r="E568" s="104" t="str">
        <f>IFERROR(__xludf.DUMMYFUNCTION("""COMPUTED_VALUE"""),"")</f>
        <v/>
      </c>
      <c r="F568" s="98">
        <v>0.23</v>
      </c>
      <c r="G568" s="110"/>
      <c r="H568" s="98"/>
      <c r="I568" s="98"/>
      <c r="J568" s="98"/>
      <c r="K568" s="98"/>
      <c r="L568" s="104"/>
      <c r="M568" s="98" t="s">
        <v>39</v>
      </c>
      <c r="N568" s="103" t="str">
        <f>IFERROR(__xludf.DUMMYFUNCTION("""COMPUTED_VALUE"""),"")</f>
        <v/>
      </c>
      <c r="O568" s="104"/>
      <c r="P568" s="104"/>
      <c r="Q568" s="104"/>
      <c r="R568" s="104" t="s">
        <v>886</v>
      </c>
      <c r="S568" s="104">
        <v>5.0</v>
      </c>
      <c r="T568" s="104" t="s">
        <v>4162</v>
      </c>
      <c r="U568" s="104"/>
      <c r="V568" s="104" t="s">
        <v>4162</v>
      </c>
      <c r="W568" s="104"/>
    </row>
    <row r="569">
      <c r="A569" s="105">
        <v>46123.0</v>
      </c>
      <c r="B569" s="79" t="str">
        <f>IFERROR(__xludf.DUMMYFUNCTION("""COMPUTED_VALUE"""),"EH-TO-ERC-1A-8")</f>
        <v>EH-TO-ERC-1A-8</v>
      </c>
      <c r="C569" s="104"/>
      <c r="D569" s="104"/>
      <c r="E569" s="104" t="str">
        <f>IFERROR(__xludf.DUMMYFUNCTION("""COMPUTED_VALUE"""),"")</f>
        <v/>
      </c>
      <c r="F569" s="98">
        <v>0.23</v>
      </c>
      <c r="G569" s="110"/>
      <c r="H569" s="98"/>
      <c r="I569" s="98"/>
      <c r="J569" s="111"/>
      <c r="K569" s="98"/>
      <c r="L569" s="104"/>
      <c r="M569" s="98" t="s">
        <v>39</v>
      </c>
      <c r="N569" s="103" t="str">
        <f>IFERROR(__xludf.DUMMYFUNCTION("""COMPUTED_VALUE"""),"")</f>
        <v/>
      </c>
      <c r="O569" s="104"/>
      <c r="P569" s="104"/>
      <c r="Q569" s="104"/>
      <c r="R569" s="104" t="s">
        <v>887</v>
      </c>
      <c r="S569" s="104">
        <v>5.0</v>
      </c>
      <c r="T569" s="104" t="s">
        <v>4163</v>
      </c>
      <c r="U569" s="104"/>
      <c r="V569" s="104" t="s">
        <v>4163</v>
      </c>
      <c r="W569" s="104"/>
    </row>
    <row r="570">
      <c r="A570" s="105">
        <v>46123.0</v>
      </c>
      <c r="B570" s="79" t="str">
        <f>IFERROR(__xludf.DUMMYFUNCTION("""COMPUTED_VALUE"""),"EH-TO-ERC-1A-9")</f>
        <v>EH-TO-ERC-1A-9</v>
      </c>
      <c r="C570" s="104"/>
      <c r="D570" s="104"/>
      <c r="E570" s="104" t="str">
        <f>IFERROR(__xludf.DUMMYFUNCTION("""COMPUTED_VALUE"""),"")</f>
        <v/>
      </c>
      <c r="F570" s="98">
        <v>0.23</v>
      </c>
      <c r="G570" s="110"/>
      <c r="H570" s="98"/>
      <c r="I570" s="98"/>
      <c r="J570" s="111"/>
      <c r="K570" s="98"/>
      <c r="L570" s="104"/>
      <c r="M570" s="98" t="s">
        <v>39</v>
      </c>
      <c r="N570" s="103" t="str">
        <f>IFERROR(__xludf.DUMMYFUNCTION("""COMPUTED_VALUE"""),"")</f>
        <v/>
      </c>
      <c r="O570" s="104"/>
      <c r="P570" s="104"/>
      <c r="Q570" s="104"/>
      <c r="R570" s="104" t="s">
        <v>888</v>
      </c>
      <c r="S570" s="104">
        <v>5.0</v>
      </c>
      <c r="T570" s="104" t="s">
        <v>4164</v>
      </c>
      <c r="U570" s="104"/>
      <c r="V570" s="104" t="s">
        <v>4164</v>
      </c>
      <c r="W570" s="104"/>
    </row>
    <row r="571">
      <c r="A571" s="105">
        <v>46086.0</v>
      </c>
      <c r="B571" s="79" t="str">
        <f>IFERROR(__xludf.DUMMYFUNCTION("""COMPUTED_VALUE"""),"TA-CY-LE-1A")</f>
        <v>TA-CY-LE-1A</v>
      </c>
      <c r="C571" s="104"/>
      <c r="D571" s="104"/>
      <c r="E571" s="104" t="str">
        <f>IFERROR(__xludf.DUMMYFUNCTION("""COMPUTED_VALUE"""),"")</f>
        <v/>
      </c>
      <c r="F571" s="98">
        <v>0.08</v>
      </c>
      <c r="G571" s="110"/>
      <c r="H571" s="98"/>
      <c r="I571" s="98"/>
      <c r="J571" s="111"/>
      <c r="K571" s="111"/>
      <c r="L571" s="104"/>
      <c r="M571" s="98" t="s">
        <v>39</v>
      </c>
      <c r="N571" s="103" t="str">
        <f>IFERROR(__xludf.DUMMYFUNCTION("""COMPUTED_VALUE"""),"")</f>
        <v/>
      </c>
      <c r="O571" s="104"/>
      <c r="P571" s="102" t="s">
        <v>1481</v>
      </c>
      <c r="Q571" s="104"/>
      <c r="R571" s="104" t="s">
        <v>891</v>
      </c>
      <c r="S571" s="104">
        <v>8.0</v>
      </c>
      <c r="T571" s="104" t="s">
        <v>4165</v>
      </c>
      <c r="U571" s="104"/>
      <c r="V571" s="104" t="s">
        <v>4165</v>
      </c>
      <c r="W571" s="104"/>
    </row>
    <row r="572">
      <c r="A572" s="105">
        <v>46087.0</v>
      </c>
      <c r="B572" s="79" t="str">
        <f>IFERROR(__xludf.DUMMYFUNCTION("""COMPUTED_VALUE"""),"TA-SAL-RO-1A-2")</f>
        <v>TA-SAL-RO-1A-2</v>
      </c>
      <c r="C572" s="104"/>
      <c r="D572" s="104"/>
      <c r="E572" s="104" t="str">
        <f>IFERROR(__xludf.DUMMYFUNCTION("""COMPUTED_VALUE"""),"AGP-PO-4-BN-1")</f>
        <v>AGP-PO-4-BN-1</v>
      </c>
      <c r="F572" s="98">
        <v>0.08</v>
      </c>
      <c r="G572" s="110"/>
      <c r="H572" s="98"/>
      <c r="I572" s="98"/>
      <c r="J572" s="111"/>
      <c r="K572" s="111"/>
      <c r="L572" s="104"/>
      <c r="M572" s="98" t="s">
        <v>39</v>
      </c>
      <c r="N572" s="103" t="str">
        <f>IFERROR(__xludf.DUMMYFUNCTION("""COMPUTED_VALUE"""),"")</f>
        <v/>
      </c>
      <c r="O572" s="104"/>
      <c r="P572" s="102"/>
      <c r="Q572" s="104"/>
      <c r="R572" s="104" t="s">
        <v>892</v>
      </c>
      <c r="S572" s="104">
        <v>8.0</v>
      </c>
      <c r="T572" s="104" t="s">
        <v>4166</v>
      </c>
      <c r="U572" s="104"/>
      <c r="V572" s="104" t="s">
        <v>4166</v>
      </c>
      <c r="W572" s="104"/>
    </row>
    <row r="573">
      <c r="A573" s="105">
        <v>46087.0</v>
      </c>
      <c r="B573" s="79" t="str">
        <f>IFERROR(__xludf.DUMMYFUNCTION("""COMPUTED_VALUE"""),"TA-SAL-RO-1A-3")</f>
        <v>TA-SAL-RO-1A-3</v>
      </c>
      <c r="C573" s="104"/>
      <c r="D573" s="104"/>
      <c r="E573" s="104" t="str">
        <f>IFERROR(__xludf.DUMMYFUNCTION("""COMPUTED_VALUE"""),"")</f>
        <v/>
      </c>
      <c r="F573" s="98">
        <v>0.08</v>
      </c>
      <c r="G573" s="110"/>
      <c r="H573" s="98"/>
      <c r="I573" s="98"/>
      <c r="J573" s="98"/>
      <c r="K573" s="98"/>
      <c r="L573" s="104"/>
      <c r="M573" s="98" t="s">
        <v>39</v>
      </c>
      <c r="N573" s="103" t="str">
        <f>IFERROR(__xludf.DUMMYFUNCTION("""COMPUTED_VALUE"""),"")</f>
        <v/>
      </c>
      <c r="O573" s="104"/>
      <c r="P573" s="104"/>
      <c r="Q573" s="104"/>
      <c r="R573" s="104" t="s">
        <v>893</v>
      </c>
      <c r="S573" s="104">
        <v>8.0</v>
      </c>
      <c r="T573" s="104" t="s">
        <v>4167</v>
      </c>
      <c r="U573" s="104"/>
      <c r="V573" s="104" t="s">
        <v>4167</v>
      </c>
      <c r="W573" s="104"/>
    </row>
    <row r="574">
      <c r="A574" s="105">
        <v>46087.0</v>
      </c>
      <c r="B574" s="79" t="str">
        <f>IFERROR(__xludf.DUMMYFUNCTION("""COMPUTED_VALUE"""),"TA-SAL-RO-1A-4")</f>
        <v>TA-SAL-RO-1A-4</v>
      </c>
      <c r="C574" s="104"/>
      <c r="D574" s="104"/>
      <c r="E574" s="104" t="str">
        <f>IFERROR(__xludf.DUMMYFUNCTION("""COMPUTED_VALUE"""),"")</f>
        <v/>
      </c>
      <c r="F574" s="98">
        <v>0.08</v>
      </c>
      <c r="G574" s="110"/>
      <c r="H574" s="98"/>
      <c r="I574" s="98"/>
      <c r="J574" s="111"/>
      <c r="K574" s="98"/>
      <c r="L574" s="104"/>
      <c r="M574" s="98" t="s">
        <v>39</v>
      </c>
      <c r="N574" s="103" t="str">
        <f>IFERROR(__xludf.DUMMYFUNCTION("""COMPUTED_VALUE"""),"")</f>
        <v/>
      </c>
      <c r="O574" s="104"/>
      <c r="P574" s="104"/>
      <c r="Q574" s="104"/>
      <c r="R574" s="104" t="s">
        <v>894</v>
      </c>
      <c r="S574" s="104">
        <v>8.0</v>
      </c>
      <c r="T574" s="104" t="s">
        <v>4168</v>
      </c>
      <c r="U574" s="104"/>
      <c r="V574" s="104" t="s">
        <v>4168</v>
      </c>
      <c r="W574" s="104"/>
    </row>
    <row r="575">
      <c r="A575" s="105">
        <v>46123.0</v>
      </c>
      <c r="B575" s="79" t="str">
        <f>IFERROR(__xludf.DUMMYFUNCTION("""COMPUTED_VALUE"""),"EH-TO-ERC-1A-10")</f>
        <v>EH-TO-ERC-1A-10</v>
      </c>
      <c r="C575" s="104"/>
      <c r="D575" s="104"/>
      <c r="E575" s="104" t="str">
        <f>IFERROR(__xludf.DUMMYFUNCTION("""COMPUTED_VALUE"""),"")</f>
        <v/>
      </c>
      <c r="F575" s="98">
        <v>0.23</v>
      </c>
      <c r="G575" s="110"/>
      <c r="H575" s="98"/>
      <c r="I575" s="98"/>
      <c r="J575" s="111"/>
      <c r="K575" s="111">
        <v>0.0</v>
      </c>
      <c r="L575" s="104"/>
      <c r="M575" s="98">
        <v>0.0</v>
      </c>
      <c r="N575" s="103" t="str">
        <f>IFERROR(__xludf.DUMMYFUNCTION("""COMPUTED_VALUE"""),"")</f>
        <v/>
      </c>
      <c r="O575" s="104"/>
      <c r="P575" s="102" t="s">
        <v>1626</v>
      </c>
      <c r="Q575" s="104"/>
      <c r="R575" s="104" t="s">
        <v>895</v>
      </c>
      <c r="S575" s="104">
        <v>5.0</v>
      </c>
      <c r="T575" s="104" t="s">
        <v>4169</v>
      </c>
      <c r="U575" s="104"/>
      <c r="V575" s="104" t="s">
        <v>4169</v>
      </c>
      <c r="W575" s="104"/>
    </row>
    <row r="576">
      <c r="A576" s="105">
        <v>46150.0</v>
      </c>
      <c r="B576" s="79" t="str">
        <f>IFERROR(__xludf.DUMMYFUNCTION("""COMPUTED_VALUE"""),"DSE-PH-GIG-1A")</f>
        <v>DSE-PH-GIG-1A</v>
      </c>
      <c r="C576" s="104"/>
      <c r="D576" s="104"/>
      <c r="E576" s="104" t="str">
        <f>IFERROR(__xludf.DUMMYFUNCTION("""COMPUTED_VALUE"""),"AGP-PO-4-BN-1")</f>
        <v>AGP-PO-4-BN-1</v>
      </c>
      <c r="F576" s="98">
        <v>5.99</v>
      </c>
      <c r="G576" s="110"/>
      <c r="H576" s="98"/>
      <c r="I576" s="98"/>
      <c r="J576" s="98"/>
      <c r="K576" s="98"/>
      <c r="L576" s="104"/>
      <c r="M576" s="98" t="s">
        <v>39</v>
      </c>
      <c r="N576" s="103" t="str">
        <f>IFERROR(__xludf.DUMMYFUNCTION("""COMPUTED_VALUE"""),"")</f>
        <v/>
      </c>
      <c r="O576" s="104"/>
      <c r="P576" s="104"/>
      <c r="Q576" s="104"/>
      <c r="R576" s="104" t="s">
        <v>897</v>
      </c>
      <c r="S576" s="104">
        <v>11.98</v>
      </c>
      <c r="T576" s="104" t="s">
        <v>4170</v>
      </c>
      <c r="U576" s="104"/>
      <c r="V576" s="104" t="s">
        <v>4170</v>
      </c>
      <c r="W576" s="104"/>
    </row>
    <row r="577">
      <c r="A577" s="105">
        <v>46150.0</v>
      </c>
      <c r="B577" s="79" t="str">
        <f>IFERROR(__xludf.DUMMYFUNCTION("""COMPUTED_VALUE"""),"DSE-PH-GIG-1A-2")</f>
        <v>DSE-PH-GIG-1A-2</v>
      </c>
      <c r="C577" s="104"/>
      <c r="D577" s="104"/>
      <c r="E577" s="104" t="str">
        <f>IFERROR(__xludf.DUMMYFUNCTION("""COMPUTED_VALUE"""),"AGP-PO-4-BN-1")</f>
        <v>AGP-PO-4-BN-1</v>
      </c>
      <c r="F577" s="98">
        <v>5.99</v>
      </c>
      <c r="G577" s="110"/>
      <c r="H577" s="98"/>
      <c r="I577" s="98"/>
      <c r="J577" s="98"/>
      <c r="K577" s="98"/>
      <c r="L577" s="104"/>
      <c r="M577" s="98" t="s">
        <v>39</v>
      </c>
      <c r="N577" s="103" t="str">
        <f>IFERROR(__xludf.DUMMYFUNCTION("""COMPUTED_VALUE"""),"")</f>
        <v/>
      </c>
      <c r="O577" s="104"/>
      <c r="P577" s="104"/>
      <c r="Q577" s="104"/>
      <c r="R577" s="104" t="s">
        <v>898</v>
      </c>
      <c r="S577" s="104">
        <v>11.98</v>
      </c>
      <c r="T577" s="104" t="s">
        <v>4171</v>
      </c>
      <c r="U577" s="104"/>
      <c r="V577" s="104" t="s">
        <v>4171</v>
      </c>
      <c r="W577" s="104"/>
    </row>
    <row r="578">
      <c r="A578" s="105">
        <v>46150.0</v>
      </c>
      <c r="B578" s="79" t="str">
        <f>IFERROR(__xludf.DUMMYFUNCTION("""COMPUTED_VALUE"""),"DSE-PH-GIG-1A-3")</f>
        <v>DSE-PH-GIG-1A-3</v>
      </c>
      <c r="C578" s="104"/>
      <c r="D578" s="104"/>
      <c r="E578" s="104" t="str">
        <f>IFERROR(__xludf.DUMMYFUNCTION("""COMPUTED_VALUE"""),"ST-PO-3-NU-1")</f>
        <v>ST-PO-3-NU-1</v>
      </c>
      <c r="F578" s="98">
        <v>5.99</v>
      </c>
      <c r="G578" s="110"/>
      <c r="H578" s="98"/>
      <c r="I578" s="98"/>
      <c r="J578" s="98"/>
      <c r="K578" s="98"/>
      <c r="L578" s="104"/>
      <c r="M578" s="98" t="s">
        <v>39</v>
      </c>
      <c r="N578" s="103" t="str">
        <f>IFERROR(__xludf.DUMMYFUNCTION("""COMPUTED_VALUE"""),"")</f>
        <v/>
      </c>
      <c r="O578" s="104"/>
      <c r="P578" s="104"/>
      <c r="Q578" s="104"/>
      <c r="R578" s="104" t="s">
        <v>899</v>
      </c>
      <c r="S578" s="104">
        <v>11.98</v>
      </c>
      <c r="T578" s="104" t="s">
        <v>4172</v>
      </c>
      <c r="U578" s="104"/>
      <c r="V578" s="104" t="s">
        <v>4172</v>
      </c>
      <c r="W578" s="104"/>
    </row>
    <row r="579">
      <c r="A579" s="105">
        <v>46150.0</v>
      </c>
      <c r="B579" s="79" t="str">
        <f>IFERROR(__xludf.DUMMYFUNCTION("""COMPUTED_VALUE"""),"DSE-AN-CLA-1A")</f>
        <v>DSE-AN-CLA-1A</v>
      </c>
      <c r="C579" s="104"/>
      <c r="D579" s="104"/>
      <c r="E579" s="104" t="str">
        <f>IFERROR(__xludf.DUMMYFUNCTION("""COMPUTED_VALUE"""),"ST-PO-3-NU-1")</f>
        <v>ST-PO-3-NU-1</v>
      </c>
      <c r="F579" s="98">
        <v>7.99</v>
      </c>
      <c r="G579" s="110"/>
      <c r="H579" s="98"/>
      <c r="I579" s="98"/>
      <c r="J579" s="98"/>
      <c r="K579" s="98"/>
      <c r="L579" s="104"/>
      <c r="M579" s="98" t="s">
        <v>39</v>
      </c>
      <c r="N579" s="103" t="str">
        <f>IFERROR(__xludf.DUMMYFUNCTION("""COMPUTED_VALUE"""),"")</f>
        <v/>
      </c>
      <c r="O579" s="104"/>
      <c r="P579" s="104"/>
      <c r="Q579" s="104"/>
      <c r="R579" s="104" t="s">
        <v>901</v>
      </c>
      <c r="S579" s="104">
        <v>15.98</v>
      </c>
      <c r="T579" s="104" t="s">
        <v>4173</v>
      </c>
      <c r="U579" s="104"/>
      <c r="V579" s="104" t="s">
        <v>4173</v>
      </c>
      <c r="W579" s="104"/>
    </row>
    <row r="580">
      <c r="A580" s="105">
        <v>46150.0</v>
      </c>
      <c r="B580" s="79" t="str">
        <f>IFERROR(__xludf.DUMMYFUNCTION("""COMPUTED_VALUE"""),"DSE-AN-CLA-1A-2")</f>
        <v>DSE-AN-CLA-1A-2</v>
      </c>
      <c r="C580" s="104"/>
      <c r="D580" s="104"/>
      <c r="E580" s="104" t="str">
        <f>IFERROR(__xludf.DUMMYFUNCTION("""COMPUTED_VALUE"""),"ST-PO-3-NU-1")</f>
        <v>ST-PO-3-NU-1</v>
      </c>
      <c r="F580" s="98">
        <v>7.99</v>
      </c>
      <c r="G580" s="110"/>
      <c r="H580" s="98"/>
      <c r="I580" s="98"/>
      <c r="J580" s="98"/>
      <c r="K580" s="98"/>
      <c r="L580" s="104"/>
      <c r="M580" s="98" t="s">
        <v>39</v>
      </c>
      <c r="N580" s="103" t="str">
        <f>IFERROR(__xludf.DUMMYFUNCTION("""COMPUTED_VALUE"""),"")</f>
        <v/>
      </c>
      <c r="O580" s="104"/>
      <c r="P580" s="104"/>
      <c r="Q580" s="104"/>
      <c r="R580" s="104" t="s">
        <v>902</v>
      </c>
      <c r="S580" s="104">
        <v>15.98</v>
      </c>
      <c r="T580" s="104" t="s">
        <v>4174</v>
      </c>
      <c r="U580" s="104"/>
      <c r="V580" s="104" t="s">
        <v>4174</v>
      </c>
      <c r="W580" s="104"/>
    </row>
    <row r="581">
      <c r="A581" s="105">
        <v>46150.0</v>
      </c>
      <c r="B581" s="79" t="str">
        <f>IFERROR(__xludf.DUMMYFUNCTION("""COMPUTED_VALUE"""),"DSE-AN-CLA-1A-3")</f>
        <v>DSE-AN-CLA-1A-3</v>
      </c>
      <c r="C581" s="104"/>
      <c r="D581" s="104"/>
      <c r="E581" s="104" t="str">
        <f>IFERROR(__xludf.DUMMYFUNCTION("""COMPUTED_VALUE"""),"ST-PO-3-NU-1")</f>
        <v>ST-PO-3-NU-1</v>
      </c>
      <c r="F581" s="98">
        <v>7.99</v>
      </c>
      <c r="G581" s="110"/>
      <c r="H581" s="98"/>
      <c r="I581" s="98"/>
      <c r="J581" s="98"/>
      <c r="K581" s="98"/>
      <c r="L581" s="104"/>
      <c r="M581" s="98" t="s">
        <v>39</v>
      </c>
      <c r="N581" s="103" t="str">
        <f>IFERROR(__xludf.DUMMYFUNCTION("""COMPUTED_VALUE"""),"")</f>
        <v/>
      </c>
      <c r="O581" s="104"/>
      <c r="P581" s="104"/>
      <c r="Q581" s="104"/>
      <c r="R581" s="104" t="s">
        <v>903</v>
      </c>
      <c r="S581" s="104">
        <v>15.98</v>
      </c>
      <c r="T581" s="104" t="s">
        <v>4175</v>
      </c>
      <c r="U581" s="104"/>
      <c r="V581" s="104" t="s">
        <v>4175</v>
      </c>
      <c r="W581" s="104"/>
    </row>
    <row r="582">
      <c r="A582" s="105">
        <v>46150.0</v>
      </c>
      <c r="B582" s="79" t="str">
        <f>IFERROR(__xludf.DUMMYFUNCTION("""COMPUTED_VALUE"""),"DSE-AN-RXL-1A")</f>
        <v>DSE-AN-RXL-1A</v>
      </c>
      <c r="C582" s="104"/>
      <c r="D582" s="104"/>
      <c r="E582" s="104" t="str">
        <f>IFERROR(__xludf.DUMMYFUNCTION("""COMPUTED_VALUE"""),"AGP-PO-4-BN-1")</f>
        <v>AGP-PO-4-BN-1</v>
      </c>
      <c r="F582" s="98">
        <v>7.99</v>
      </c>
      <c r="G582" s="110"/>
      <c r="H582" s="98"/>
      <c r="I582" s="98"/>
      <c r="J582" s="98"/>
      <c r="K582" s="98"/>
      <c r="L582" s="104"/>
      <c r="M582" s="98" t="s">
        <v>39</v>
      </c>
      <c r="N582" s="103" t="str">
        <f>IFERROR(__xludf.DUMMYFUNCTION("""COMPUTED_VALUE"""),"")</f>
        <v/>
      </c>
      <c r="O582" s="104"/>
      <c r="P582" s="104"/>
      <c r="Q582" s="104"/>
      <c r="R582" s="104" t="s">
        <v>905</v>
      </c>
      <c r="S582" s="104">
        <v>15.98</v>
      </c>
      <c r="T582" s="104" t="s">
        <v>4176</v>
      </c>
      <c r="U582" s="104"/>
      <c r="V582" s="104" t="s">
        <v>4176</v>
      </c>
      <c r="W582" s="104"/>
    </row>
    <row r="583">
      <c r="A583" s="105">
        <v>46150.0</v>
      </c>
      <c r="B583" s="79" t="str">
        <f>IFERROR(__xludf.DUMMYFUNCTION("""COMPUTED_VALUE"""),"DSE-AN-RXL-1A-2")</f>
        <v>DSE-AN-RXL-1A-2</v>
      </c>
      <c r="C583" s="104"/>
      <c r="D583" s="104"/>
      <c r="E583" s="104" t="str">
        <f>IFERROR(__xludf.DUMMYFUNCTION("""COMPUTED_VALUE"""),"AGP-PO-4-BN-1")</f>
        <v>AGP-PO-4-BN-1</v>
      </c>
      <c r="F583" s="98">
        <v>7.99</v>
      </c>
      <c r="G583" s="110"/>
      <c r="H583" s="98"/>
      <c r="I583" s="98"/>
      <c r="J583" s="98"/>
      <c r="K583" s="98"/>
      <c r="L583" s="104"/>
      <c r="M583" s="98" t="s">
        <v>39</v>
      </c>
      <c r="N583" s="103" t="str">
        <f>IFERROR(__xludf.DUMMYFUNCTION("""COMPUTED_VALUE"""),"")</f>
        <v/>
      </c>
      <c r="O583" s="104"/>
      <c r="P583" s="104"/>
      <c r="Q583" s="104"/>
      <c r="R583" s="104" t="s">
        <v>906</v>
      </c>
      <c r="S583" s="104">
        <v>15.98</v>
      </c>
      <c r="T583" s="104" t="s">
        <v>4177</v>
      </c>
      <c r="U583" s="104"/>
      <c r="V583" s="104" t="s">
        <v>4177</v>
      </c>
      <c r="W583" s="104"/>
    </row>
    <row r="584">
      <c r="A584" s="105">
        <v>46150.0</v>
      </c>
      <c r="B584" s="79" t="str">
        <f>IFERROR(__xludf.DUMMYFUNCTION("""COMPUTED_VALUE"""),"DSE-AN-RXL-1A-3")</f>
        <v>DSE-AN-RXL-1A-3</v>
      </c>
      <c r="C584" s="104"/>
      <c r="D584" s="104"/>
      <c r="E584" s="104" t="str">
        <f>IFERROR(__xludf.DUMMYFUNCTION("""COMPUTED_VALUE"""),"AGP-PO-4-BN-1")</f>
        <v>AGP-PO-4-BN-1</v>
      </c>
      <c r="F584" s="98">
        <v>7.99</v>
      </c>
      <c r="G584" s="110"/>
      <c r="H584" s="98"/>
      <c r="I584" s="98"/>
      <c r="J584" s="98"/>
      <c r="K584" s="98"/>
      <c r="L584" s="104"/>
      <c r="M584" s="98" t="s">
        <v>39</v>
      </c>
      <c r="N584" s="103" t="str">
        <f>IFERROR(__xludf.DUMMYFUNCTION("""COMPUTED_VALUE"""),"")</f>
        <v/>
      </c>
      <c r="O584" s="104"/>
      <c r="P584" s="104"/>
      <c r="Q584" s="104"/>
      <c r="R584" s="104" t="s">
        <v>907</v>
      </c>
      <c r="S584" s="104">
        <v>15.98</v>
      </c>
      <c r="T584" s="104" t="s">
        <v>4178</v>
      </c>
      <c r="U584" s="104"/>
      <c r="V584" s="104" t="s">
        <v>4178</v>
      </c>
      <c r="W584" s="104"/>
    </row>
    <row r="585">
      <c r="A585" s="105">
        <v>46150.0</v>
      </c>
      <c r="B585" s="79" t="str">
        <f>IFERROR(__xludf.DUMMYFUNCTION("""COMPUTED_VALUE"""),"DSE-AN-RXL-1A-4")</f>
        <v>DSE-AN-RXL-1A-4</v>
      </c>
      <c r="C585" s="104"/>
      <c r="D585" s="104"/>
      <c r="E585" s="104" t="str">
        <f>IFERROR(__xludf.DUMMYFUNCTION("""COMPUTED_VALUE"""),"AGP-PO-4-BN-1")</f>
        <v>AGP-PO-4-BN-1</v>
      </c>
      <c r="F585" s="98">
        <v>7.99</v>
      </c>
      <c r="G585" s="110"/>
      <c r="H585" s="98"/>
      <c r="I585" s="98"/>
      <c r="J585" s="98"/>
      <c r="K585" s="111"/>
      <c r="L585" s="104"/>
      <c r="M585" s="98" t="s">
        <v>39</v>
      </c>
      <c r="N585" s="103" t="str">
        <f>IFERROR(__xludf.DUMMYFUNCTION("""COMPUTED_VALUE"""),"")</f>
        <v/>
      </c>
      <c r="O585" s="104"/>
      <c r="P585" s="102"/>
      <c r="Q585" s="104"/>
      <c r="R585" s="104" t="s">
        <v>908</v>
      </c>
      <c r="S585" s="104">
        <v>15.98</v>
      </c>
      <c r="T585" s="104" t="s">
        <v>4179</v>
      </c>
      <c r="U585" s="104"/>
      <c r="V585" s="104" t="s">
        <v>4179</v>
      </c>
      <c r="W585" s="104"/>
    </row>
    <row r="586">
      <c r="A586" s="105">
        <v>46150.0</v>
      </c>
      <c r="B586" s="79" t="str">
        <f>IFERROR(__xludf.DUMMYFUNCTION("""COMPUTED_VALUE"""),"DSE-AN-RXL-1A-5")</f>
        <v>DSE-AN-RXL-1A-5</v>
      </c>
      <c r="C586" s="104"/>
      <c r="D586" s="104"/>
      <c r="E586" s="104" t="str">
        <f>IFERROR(__xludf.DUMMYFUNCTION("""COMPUTED_VALUE"""),"AGP-PO-4-BN-1")</f>
        <v>AGP-PO-4-BN-1</v>
      </c>
      <c r="F586" s="98">
        <v>7.99</v>
      </c>
      <c r="G586" s="110"/>
      <c r="H586" s="98"/>
      <c r="I586" s="98"/>
      <c r="J586" s="98"/>
      <c r="K586" s="98"/>
      <c r="L586" s="104"/>
      <c r="M586" s="98" t="s">
        <v>39</v>
      </c>
      <c r="N586" s="103" t="str">
        <f>IFERROR(__xludf.DUMMYFUNCTION("""COMPUTED_VALUE"""),"")</f>
        <v/>
      </c>
      <c r="O586" s="104"/>
      <c r="P586" s="104"/>
      <c r="Q586" s="104"/>
      <c r="R586" s="104" t="s">
        <v>909</v>
      </c>
      <c r="S586" s="104">
        <v>15.98</v>
      </c>
      <c r="T586" s="104" t="s">
        <v>4180</v>
      </c>
      <c r="U586" s="104"/>
      <c r="V586" s="104" t="s">
        <v>4180</v>
      </c>
      <c r="W586" s="104"/>
    </row>
    <row r="587">
      <c r="A587" s="105">
        <v>46150.0</v>
      </c>
      <c r="B587" s="79" t="str">
        <f>IFERROR(__xludf.DUMMYFUNCTION("""COMPUTED_VALUE"""),"DSE-PH-PV-1A")</f>
        <v>DSE-PH-PV-1A</v>
      </c>
      <c r="C587" s="104"/>
      <c r="D587" s="104"/>
      <c r="E587" s="104" t="str">
        <f>IFERROR(__xludf.DUMMYFUNCTION("""COMPUTED_VALUE"""),"AGP-PO-4-BN-1")</f>
        <v>AGP-PO-4-BN-1</v>
      </c>
      <c r="F587" s="98">
        <v>4.99</v>
      </c>
      <c r="G587" s="110"/>
      <c r="H587" s="98"/>
      <c r="I587" s="98"/>
      <c r="J587" s="98"/>
      <c r="K587" s="98"/>
      <c r="L587" s="104"/>
      <c r="M587" s="98" t="s">
        <v>39</v>
      </c>
      <c r="N587" s="103" t="str">
        <f>IFERROR(__xludf.DUMMYFUNCTION("""COMPUTED_VALUE"""),"")</f>
        <v/>
      </c>
      <c r="O587" s="104"/>
      <c r="P587" s="104"/>
      <c r="Q587" s="104"/>
      <c r="R587" s="104" t="s">
        <v>910</v>
      </c>
      <c r="S587" s="104">
        <v>15.0</v>
      </c>
      <c r="T587" s="104" t="s">
        <v>4181</v>
      </c>
      <c r="U587" s="104"/>
      <c r="V587" s="104" t="s">
        <v>4181</v>
      </c>
      <c r="W587" s="104"/>
    </row>
    <row r="588">
      <c r="A588" s="105">
        <v>46150.0</v>
      </c>
      <c r="B588" s="79" t="str">
        <f>IFERROR(__xludf.DUMMYFUNCTION("""COMPUTED_VALUE"""),"DSE-PH-PV-1A-2")</f>
        <v>DSE-PH-PV-1A-2</v>
      </c>
      <c r="C588" s="104"/>
      <c r="D588" s="104"/>
      <c r="E588" s="104" t="str">
        <f>IFERROR(__xludf.DUMMYFUNCTION("""COMPUTED_VALUE"""),"AGP-PO-4-BN-1")</f>
        <v>AGP-PO-4-BN-1</v>
      </c>
      <c r="F588" s="98">
        <v>4.99</v>
      </c>
      <c r="G588" s="110"/>
      <c r="H588" s="98"/>
      <c r="I588" s="98"/>
      <c r="J588" s="98"/>
      <c r="K588" s="98"/>
      <c r="L588" s="104"/>
      <c r="M588" s="98" t="s">
        <v>39</v>
      </c>
      <c r="N588" s="103" t="str">
        <f>IFERROR(__xludf.DUMMYFUNCTION("""COMPUTED_VALUE"""),"")</f>
        <v/>
      </c>
      <c r="O588" s="104"/>
      <c r="P588" s="104"/>
      <c r="Q588" s="104"/>
      <c r="R588" s="104" t="s">
        <v>911</v>
      </c>
      <c r="S588" s="104">
        <v>15.0</v>
      </c>
      <c r="T588" s="104" t="s">
        <v>4182</v>
      </c>
      <c r="U588" s="104"/>
      <c r="V588" s="104" t="s">
        <v>4182</v>
      </c>
      <c r="W588" s="104"/>
    </row>
    <row r="589">
      <c r="A589" s="105">
        <v>46150.0</v>
      </c>
      <c r="B589" s="79" t="str">
        <f>IFERROR(__xludf.DUMMYFUNCTION("""COMPUTED_VALUE"""),"DSE-PH-PV-1A-3")</f>
        <v>DSE-PH-PV-1A-3</v>
      </c>
      <c r="C589" s="104"/>
      <c r="D589" s="104"/>
      <c r="E589" s="104" t="str">
        <f>IFERROR(__xludf.DUMMYFUNCTION("""COMPUTED_VALUE"""),"AGP-PO-4-BN-1")</f>
        <v>AGP-PO-4-BN-1</v>
      </c>
      <c r="F589" s="98">
        <v>4.99</v>
      </c>
      <c r="G589" s="110"/>
      <c r="H589" s="98"/>
      <c r="I589" s="98"/>
      <c r="J589" s="98"/>
      <c r="K589" s="98"/>
      <c r="L589" s="104"/>
      <c r="M589" s="98" t="s">
        <v>39</v>
      </c>
      <c r="N589" s="103" t="str">
        <f>IFERROR(__xludf.DUMMYFUNCTION("""COMPUTED_VALUE"""),"")</f>
        <v/>
      </c>
      <c r="O589" s="104"/>
      <c r="P589" s="104"/>
      <c r="Q589" s="104"/>
      <c r="R589" s="104" t="s">
        <v>912</v>
      </c>
      <c r="S589" s="104">
        <v>15.0</v>
      </c>
      <c r="T589" s="104" t="s">
        <v>4183</v>
      </c>
      <c r="U589" s="104"/>
      <c r="V589" s="104" t="s">
        <v>4183</v>
      </c>
      <c r="W589" s="104"/>
    </row>
    <row r="590">
      <c r="A590" s="105">
        <v>46150.0</v>
      </c>
      <c r="B590" s="79" t="str">
        <f>IFERROR(__xludf.DUMMYFUNCTION("""COMPUTED_VALUE"""),"DSE-PH-PV-1A-4")</f>
        <v>DSE-PH-PV-1A-4</v>
      </c>
      <c r="C590" s="104"/>
      <c r="D590" s="104"/>
      <c r="E590" s="104" t="str">
        <f>IFERROR(__xludf.DUMMYFUNCTION("""COMPUTED_VALUE"""),"AGP-PO-4-BN-1")</f>
        <v>AGP-PO-4-BN-1</v>
      </c>
      <c r="F590" s="98">
        <v>4.99</v>
      </c>
      <c r="G590" s="110"/>
      <c r="H590" s="98"/>
      <c r="I590" s="98"/>
      <c r="J590" s="98"/>
      <c r="K590" s="98"/>
      <c r="L590" s="104"/>
      <c r="M590" s="98" t="s">
        <v>39</v>
      </c>
      <c r="N590" s="103" t="str">
        <f>IFERROR(__xludf.DUMMYFUNCTION("""COMPUTED_VALUE"""),"")</f>
        <v/>
      </c>
      <c r="O590" s="104"/>
      <c r="P590" s="104"/>
      <c r="Q590" s="104"/>
      <c r="R590" s="104" t="s">
        <v>913</v>
      </c>
      <c r="S590" s="104">
        <v>15.0</v>
      </c>
      <c r="T590" s="104" t="s">
        <v>4184</v>
      </c>
      <c r="U590" s="104"/>
      <c r="V590" s="104" t="s">
        <v>4184</v>
      </c>
      <c r="W590" s="104"/>
    </row>
    <row r="591">
      <c r="A591" s="105">
        <v>46150.0</v>
      </c>
      <c r="B591" s="79" t="str">
        <f>IFERROR(__xludf.DUMMYFUNCTION("""COMPUTED_VALUE"""),"DSE-PH-PV-1A-5")</f>
        <v>DSE-PH-PV-1A-5</v>
      </c>
      <c r="C591" s="104"/>
      <c r="D591" s="104"/>
      <c r="E591" s="104" t="str">
        <f>IFERROR(__xludf.DUMMYFUNCTION("""COMPUTED_VALUE"""),"AGP-PO-4-BN-1")</f>
        <v>AGP-PO-4-BN-1</v>
      </c>
      <c r="F591" s="98">
        <v>4.99</v>
      </c>
      <c r="G591" s="110"/>
      <c r="H591" s="98"/>
      <c r="I591" s="98"/>
      <c r="J591" s="98"/>
      <c r="K591" s="98"/>
      <c r="L591" s="104"/>
      <c r="M591" s="98" t="s">
        <v>39</v>
      </c>
      <c r="N591" s="103" t="str">
        <f>IFERROR(__xludf.DUMMYFUNCTION("""COMPUTED_VALUE"""),"")</f>
        <v/>
      </c>
      <c r="O591" s="104"/>
      <c r="P591" s="104"/>
      <c r="Q591" s="104"/>
      <c r="R591" s="104" t="s">
        <v>914</v>
      </c>
      <c r="S591" s="104">
        <v>15.0</v>
      </c>
      <c r="T591" s="104" t="s">
        <v>4185</v>
      </c>
      <c r="U591" s="104"/>
      <c r="V591" s="104" t="s">
        <v>4185</v>
      </c>
      <c r="W591" s="104"/>
    </row>
    <row r="592">
      <c r="A592" s="105">
        <v>46150.0</v>
      </c>
      <c r="B592" s="79" t="str">
        <f>IFERROR(__xludf.DUMMYFUNCTION("""COMPUTED_VALUE"""),"DSE-SYN-STC-1A")</f>
        <v>DSE-SYN-STC-1A</v>
      </c>
      <c r="C592" s="104"/>
      <c r="D592" s="104"/>
      <c r="E592" s="104" t="str">
        <f>IFERROR(__xludf.DUMMYFUNCTION("""COMPUTED_VALUE"""),"AGP-PO-4-BN-1")</f>
        <v>AGP-PO-4-BN-1</v>
      </c>
      <c r="F592" s="98">
        <v>5.99</v>
      </c>
      <c r="G592" s="110"/>
      <c r="H592" s="98"/>
      <c r="I592" s="98"/>
      <c r="J592" s="98"/>
      <c r="K592" s="98"/>
      <c r="L592" s="104"/>
      <c r="M592" s="98" t="s">
        <v>39</v>
      </c>
      <c r="N592" s="103" t="str">
        <f>IFERROR(__xludf.DUMMYFUNCTION("""COMPUTED_VALUE"""),"")</f>
        <v/>
      </c>
      <c r="O592" s="104"/>
      <c r="P592" s="104"/>
      <c r="Q592" s="104"/>
      <c r="R592" s="104" t="s">
        <v>916</v>
      </c>
      <c r="S592" s="104">
        <v>15.0</v>
      </c>
      <c r="T592" s="104" t="s">
        <v>4186</v>
      </c>
      <c r="U592" s="104"/>
      <c r="V592" s="104" t="s">
        <v>4186</v>
      </c>
      <c r="W592" s="104"/>
    </row>
    <row r="593">
      <c r="A593" s="105">
        <v>46150.0</v>
      </c>
      <c r="B593" s="79" t="str">
        <f>IFERROR(__xludf.DUMMYFUNCTION("""COMPUTED_VALUE"""),"DSE-SYN-STC-1A-2")</f>
        <v>DSE-SYN-STC-1A-2</v>
      </c>
      <c r="C593" s="104"/>
      <c r="D593" s="104"/>
      <c r="E593" s="104" t="str">
        <f>IFERROR(__xludf.DUMMYFUNCTION("""COMPUTED_VALUE"""),"AGP-PO-4-BN-1")</f>
        <v>AGP-PO-4-BN-1</v>
      </c>
      <c r="F593" s="98">
        <v>5.99</v>
      </c>
      <c r="G593" s="110"/>
      <c r="H593" s="98"/>
      <c r="I593" s="98"/>
      <c r="J593" s="98"/>
      <c r="K593" s="98"/>
      <c r="L593" s="104"/>
      <c r="M593" s="98" t="s">
        <v>39</v>
      </c>
      <c r="N593" s="103" t="str">
        <f>IFERROR(__xludf.DUMMYFUNCTION("""COMPUTED_VALUE"""),"")</f>
        <v/>
      </c>
      <c r="O593" s="104"/>
      <c r="P593" s="104"/>
      <c r="Q593" s="104"/>
      <c r="R593" s="104" t="s">
        <v>917</v>
      </c>
      <c r="S593" s="104">
        <v>15.0</v>
      </c>
      <c r="T593" s="104" t="s">
        <v>4187</v>
      </c>
      <c r="U593" s="104"/>
      <c r="V593" s="104" t="s">
        <v>4187</v>
      </c>
      <c r="W593" s="104"/>
    </row>
    <row r="594">
      <c r="A594" s="105">
        <v>46150.0</v>
      </c>
      <c r="B594" s="79" t="str">
        <f>IFERROR(__xludf.DUMMYFUNCTION("""COMPUTED_VALUE"""),"DSE-SYN-STC-1A-3")</f>
        <v>DSE-SYN-STC-1A-3</v>
      </c>
      <c r="C594" s="104"/>
      <c r="D594" s="104"/>
      <c r="E594" s="104" t="str">
        <f>IFERROR(__xludf.DUMMYFUNCTION("""COMPUTED_VALUE"""),"AGP-PO-4-BN-1")</f>
        <v>AGP-PO-4-BN-1</v>
      </c>
      <c r="F594" s="98">
        <v>5.99</v>
      </c>
      <c r="G594" s="110"/>
      <c r="H594" s="98"/>
      <c r="I594" s="98"/>
      <c r="J594" s="98"/>
      <c r="K594" s="98"/>
      <c r="L594" s="104"/>
      <c r="M594" s="98" t="s">
        <v>39</v>
      </c>
      <c r="N594" s="103" t="str">
        <f>IFERROR(__xludf.DUMMYFUNCTION("""COMPUTED_VALUE"""),"")</f>
        <v/>
      </c>
      <c r="O594" s="104"/>
      <c r="P594" s="104"/>
      <c r="Q594" s="104"/>
      <c r="R594" s="104" t="s">
        <v>918</v>
      </c>
      <c r="S594" s="104">
        <v>15.0</v>
      </c>
      <c r="T594" s="104" t="s">
        <v>4188</v>
      </c>
      <c r="U594" s="104"/>
      <c r="V594" s="104" t="s">
        <v>4188</v>
      </c>
      <c r="W594" s="104"/>
    </row>
    <row r="595">
      <c r="A595" s="105">
        <v>46150.0</v>
      </c>
      <c r="B595" s="79" t="str">
        <f>IFERROR(__xludf.DUMMYFUNCTION("""COMPUTED_VALUE"""),"DSE-SYN-STC-1A-4")</f>
        <v>DSE-SYN-STC-1A-4</v>
      </c>
      <c r="C595" s="104"/>
      <c r="D595" s="104"/>
      <c r="E595" s="104" t="str">
        <f>IFERROR(__xludf.DUMMYFUNCTION("""COMPUTED_VALUE"""),"AGP-PO-4-BN-1")</f>
        <v>AGP-PO-4-BN-1</v>
      </c>
      <c r="F595" s="98">
        <v>5.99</v>
      </c>
      <c r="G595" s="110"/>
      <c r="H595" s="98"/>
      <c r="I595" s="98"/>
      <c r="J595" s="98"/>
      <c r="K595" s="98"/>
      <c r="L595" s="104"/>
      <c r="M595" s="98" t="s">
        <v>39</v>
      </c>
      <c r="N595" s="103" t="str">
        <f>IFERROR(__xludf.DUMMYFUNCTION("""COMPUTED_VALUE"""),"")</f>
        <v/>
      </c>
      <c r="O595" s="104"/>
      <c r="P595" s="104"/>
      <c r="Q595" s="104"/>
      <c r="R595" s="104" t="s">
        <v>919</v>
      </c>
      <c r="S595" s="104">
        <v>15.0</v>
      </c>
      <c r="T595" s="104" t="s">
        <v>4189</v>
      </c>
      <c r="U595" s="104"/>
      <c r="V595" s="104" t="s">
        <v>4189</v>
      </c>
      <c r="W595" s="104"/>
    </row>
    <row r="596">
      <c r="A596" s="105">
        <v>46150.0</v>
      </c>
      <c r="B596" s="79" t="str">
        <f>IFERROR(__xludf.DUMMYFUNCTION("""COMPUTED_VALUE"""),"DSE-SYN-STC-1A-5")</f>
        <v>DSE-SYN-STC-1A-5</v>
      </c>
      <c r="C596" s="104"/>
      <c r="D596" s="104"/>
      <c r="E596" s="104" t="str">
        <f>IFERROR(__xludf.DUMMYFUNCTION("""COMPUTED_VALUE"""),"AGP-PO-4-BN-1")</f>
        <v>AGP-PO-4-BN-1</v>
      </c>
      <c r="F596" s="98">
        <v>5.99</v>
      </c>
      <c r="G596" s="110"/>
      <c r="H596" s="98"/>
      <c r="I596" s="98"/>
      <c r="J596" s="98"/>
      <c r="K596" s="98"/>
      <c r="L596" s="104"/>
      <c r="M596" s="98" t="s">
        <v>39</v>
      </c>
      <c r="N596" s="103" t="str">
        <f>IFERROR(__xludf.DUMMYFUNCTION("""COMPUTED_VALUE"""),"")</f>
        <v/>
      </c>
      <c r="O596" s="104"/>
      <c r="P596" s="104"/>
      <c r="Q596" s="104"/>
      <c r="R596" s="104" t="s">
        <v>920</v>
      </c>
      <c r="S596" s="104">
        <v>15.0</v>
      </c>
      <c r="T596" s="104" t="s">
        <v>4190</v>
      </c>
      <c r="U596" s="104"/>
      <c r="V596" s="104" t="s">
        <v>4190</v>
      </c>
      <c r="W596" s="104"/>
    </row>
    <row r="597">
      <c r="A597" s="105">
        <v>46150.0</v>
      </c>
      <c r="B597" s="79" t="str">
        <f>IFERROR(__xludf.DUMMYFUNCTION("""COMPUTED_VALUE"""),"DSE-SYN-STC-1A-6")</f>
        <v>DSE-SYN-STC-1A-6</v>
      </c>
      <c r="C597" s="104"/>
      <c r="D597" s="104"/>
      <c r="E597" s="104" t="str">
        <f>IFERROR(__xludf.DUMMYFUNCTION("""COMPUTED_VALUE"""),"AGP-PO-4-BN-1")</f>
        <v>AGP-PO-4-BN-1</v>
      </c>
      <c r="F597" s="98">
        <v>5.99</v>
      </c>
      <c r="G597" s="110"/>
      <c r="H597" s="98"/>
      <c r="I597" s="98"/>
      <c r="J597" s="98"/>
      <c r="K597" s="98"/>
      <c r="L597" s="104"/>
      <c r="M597" s="98" t="s">
        <v>39</v>
      </c>
      <c r="N597" s="103" t="str">
        <f>IFERROR(__xludf.DUMMYFUNCTION("""COMPUTED_VALUE"""),"")</f>
        <v/>
      </c>
      <c r="O597" s="104"/>
      <c r="P597" s="104"/>
      <c r="Q597" s="104"/>
      <c r="R597" s="104" t="s">
        <v>921</v>
      </c>
      <c r="S597" s="104">
        <v>15.0</v>
      </c>
      <c r="T597" s="104" t="s">
        <v>4191</v>
      </c>
      <c r="U597" s="104"/>
      <c r="V597" s="104" t="s">
        <v>4191</v>
      </c>
      <c r="W597" s="104"/>
    </row>
    <row r="598">
      <c r="A598" s="105">
        <v>46150.0</v>
      </c>
      <c r="B598" s="79" t="str">
        <f>IFERROR(__xludf.DUMMYFUNCTION("""COMPUTED_VALUE"""),"DSE-SYN-STC-1A-7")</f>
        <v>DSE-SYN-STC-1A-7</v>
      </c>
      <c r="C598" s="104"/>
      <c r="D598" s="104"/>
      <c r="E598" s="104" t="str">
        <f>IFERROR(__xludf.DUMMYFUNCTION("""COMPUTED_VALUE"""),"AGP-PO-4-BN-1")</f>
        <v>AGP-PO-4-BN-1</v>
      </c>
      <c r="F598" s="98">
        <v>5.99</v>
      </c>
      <c r="G598" s="110"/>
      <c r="H598" s="98"/>
      <c r="I598" s="98"/>
      <c r="J598" s="98"/>
      <c r="K598" s="98"/>
      <c r="L598" s="104"/>
      <c r="M598" s="98" t="s">
        <v>39</v>
      </c>
      <c r="N598" s="103" t="str">
        <f>IFERROR(__xludf.DUMMYFUNCTION("""COMPUTED_VALUE"""),"")</f>
        <v/>
      </c>
      <c r="O598" s="104"/>
      <c r="P598" s="104"/>
      <c r="Q598" s="104"/>
      <c r="R598" s="104" t="s">
        <v>922</v>
      </c>
      <c r="S598" s="104">
        <v>15.0</v>
      </c>
      <c r="T598" s="104" t="s">
        <v>4192</v>
      </c>
      <c r="U598" s="104"/>
      <c r="V598" s="104" t="s">
        <v>4192</v>
      </c>
      <c r="W598" s="104"/>
    </row>
    <row r="599">
      <c r="A599" s="105">
        <v>46150.0</v>
      </c>
      <c r="B599" s="79" t="str">
        <f>IFERROR(__xludf.DUMMYFUNCTION("""COMPUTED_VALUE"""),"DSE-SYN-STC-1A-8")</f>
        <v>DSE-SYN-STC-1A-8</v>
      </c>
      <c r="C599" s="104"/>
      <c r="D599" s="104"/>
      <c r="E599" s="104" t="str">
        <f>IFERROR(__xludf.DUMMYFUNCTION("""COMPUTED_VALUE"""),"AGP-PO-4-BN-1")</f>
        <v>AGP-PO-4-BN-1</v>
      </c>
      <c r="F599" s="98">
        <v>5.99</v>
      </c>
      <c r="G599" s="110"/>
      <c r="H599" s="98"/>
      <c r="I599" s="98"/>
      <c r="J599" s="98"/>
      <c r="K599" s="98"/>
      <c r="L599" s="104"/>
      <c r="M599" s="98" t="s">
        <v>39</v>
      </c>
      <c r="N599" s="103" t="str">
        <f>IFERROR(__xludf.DUMMYFUNCTION("""COMPUTED_VALUE"""),"")</f>
        <v/>
      </c>
      <c r="O599" s="104"/>
      <c r="P599" s="104"/>
      <c r="Q599" s="104"/>
      <c r="R599" s="104" t="s">
        <v>923</v>
      </c>
      <c r="S599" s="104">
        <v>15.0</v>
      </c>
      <c r="T599" s="104" t="s">
        <v>4193</v>
      </c>
      <c r="U599" s="104"/>
      <c r="V599" s="104" t="s">
        <v>4193</v>
      </c>
      <c r="W599" s="104"/>
    </row>
    <row r="600">
      <c r="A600" s="105">
        <v>46150.0</v>
      </c>
      <c r="B600" s="79" t="str">
        <f>IFERROR(__xludf.DUMMYFUNCTION("""COMPUTED_VALUE"""),"DSE-SYN-STC-1A-9")</f>
        <v>DSE-SYN-STC-1A-9</v>
      </c>
      <c r="C600" s="104"/>
      <c r="D600" s="104"/>
      <c r="E600" s="104" t="str">
        <f>IFERROR(__xludf.DUMMYFUNCTION("""COMPUTED_VALUE"""),"AGP-PO-4-BN-1")</f>
        <v>AGP-PO-4-BN-1</v>
      </c>
      <c r="F600" s="98">
        <v>5.99</v>
      </c>
      <c r="G600" s="110"/>
      <c r="H600" s="98"/>
      <c r="I600" s="98"/>
      <c r="J600" s="98"/>
      <c r="K600" s="98"/>
      <c r="L600" s="104"/>
      <c r="M600" s="98" t="s">
        <v>39</v>
      </c>
      <c r="N600" s="103" t="str">
        <f>IFERROR(__xludf.DUMMYFUNCTION("""COMPUTED_VALUE"""),"")</f>
        <v/>
      </c>
      <c r="O600" s="104"/>
      <c r="P600" s="104"/>
      <c r="Q600" s="104"/>
      <c r="R600" s="104" t="s">
        <v>924</v>
      </c>
      <c r="S600" s="104">
        <v>15.0</v>
      </c>
      <c r="T600" s="104" t="s">
        <v>4194</v>
      </c>
      <c r="U600" s="104"/>
      <c r="V600" s="104" t="s">
        <v>4194</v>
      </c>
      <c r="W600" s="104"/>
    </row>
    <row r="601">
      <c r="A601" s="105">
        <v>46150.0</v>
      </c>
      <c r="B601" s="79" t="str">
        <f>IFERROR(__xludf.DUMMYFUNCTION("""COMPUTED_VALUE"""),"DSE-SYN-STC-1A-10")</f>
        <v>DSE-SYN-STC-1A-10</v>
      </c>
      <c r="C601" s="104"/>
      <c r="D601" s="104"/>
      <c r="E601" s="104" t="str">
        <f>IFERROR(__xludf.DUMMYFUNCTION("""COMPUTED_VALUE"""),"AGP-PO-4-BN-1")</f>
        <v>AGP-PO-4-BN-1</v>
      </c>
      <c r="F601" s="98">
        <v>5.99</v>
      </c>
      <c r="G601" s="110"/>
      <c r="H601" s="98"/>
      <c r="I601" s="98"/>
      <c r="J601" s="98"/>
      <c r="K601" s="98"/>
      <c r="L601" s="104"/>
      <c r="M601" s="98" t="s">
        <v>39</v>
      </c>
      <c r="N601" s="103" t="str">
        <f>IFERROR(__xludf.DUMMYFUNCTION("""COMPUTED_VALUE"""),"")</f>
        <v/>
      </c>
      <c r="O601" s="104"/>
      <c r="P601" s="104"/>
      <c r="Q601" s="104"/>
      <c r="R601" s="104" t="s">
        <v>925</v>
      </c>
      <c r="S601" s="104">
        <v>15.0</v>
      </c>
      <c r="T601" s="104" t="s">
        <v>4195</v>
      </c>
      <c r="U601" s="104"/>
      <c r="V601" s="104" t="s">
        <v>4195</v>
      </c>
      <c r="W601" s="104"/>
    </row>
    <row r="602">
      <c r="A602" s="105">
        <v>46150.0</v>
      </c>
      <c r="B602" s="79" t="str">
        <f>IFERROR(__xludf.DUMMYFUNCTION("""COMPUTED_VALUE"""),"DSE-SYN-GLO-1A")</f>
        <v>DSE-SYN-GLO-1A</v>
      </c>
      <c r="C602" s="104"/>
      <c r="D602" s="104"/>
      <c r="E602" s="104" t="str">
        <f>IFERROR(__xludf.DUMMYFUNCTION("""COMPUTED_VALUE"""),"AGP-PO-4-BN-1")</f>
        <v>AGP-PO-4-BN-1</v>
      </c>
      <c r="F602" s="98">
        <v>4.99</v>
      </c>
      <c r="G602" s="110"/>
      <c r="H602" s="98"/>
      <c r="I602" s="98"/>
      <c r="J602" s="98"/>
      <c r="K602" s="98"/>
      <c r="L602" s="104"/>
      <c r="M602" s="98" t="s">
        <v>39</v>
      </c>
      <c r="N602" s="103" t="str">
        <f>IFERROR(__xludf.DUMMYFUNCTION("""COMPUTED_VALUE"""),"")</f>
        <v/>
      </c>
      <c r="O602" s="104"/>
      <c r="P602" s="104"/>
      <c r="Q602" s="104"/>
      <c r="R602" s="104" t="s">
        <v>927</v>
      </c>
      <c r="S602" s="104">
        <v>15.0</v>
      </c>
      <c r="T602" s="104" t="s">
        <v>4196</v>
      </c>
      <c r="U602" s="104"/>
      <c r="V602" s="104" t="s">
        <v>4196</v>
      </c>
      <c r="W602" s="104"/>
    </row>
    <row r="603">
      <c r="A603" s="105">
        <v>46150.0</v>
      </c>
      <c r="B603" s="79" t="str">
        <f>IFERROR(__xludf.DUMMYFUNCTION("""COMPUTED_VALUE"""),"DSE-SYN-GLO-1A-2")</f>
        <v>DSE-SYN-GLO-1A-2</v>
      </c>
      <c r="C603" s="104"/>
      <c r="D603" s="104"/>
      <c r="E603" s="104" t="str">
        <f>IFERROR(__xludf.DUMMYFUNCTION("""COMPUTED_VALUE"""),"AGP-PO-4-BN-1")</f>
        <v>AGP-PO-4-BN-1</v>
      </c>
      <c r="F603" s="98">
        <v>4.99</v>
      </c>
      <c r="G603" s="110"/>
      <c r="H603" s="98"/>
      <c r="I603" s="98"/>
      <c r="J603" s="98"/>
      <c r="K603" s="98"/>
      <c r="L603" s="104"/>
      <c r="M603" s="98" t="s">
        <v>39</v>
      </c>
      <c r="N603" s="103" t="str">
        <f>IFERROR(__xludf.DUMMYFUNCTION("""COMPUTED_VALUE"""),"")</f>
        <v/>
      </c>
      <c r="O603" s="104"/>
      <c r="P603" s="104"/>
      <c r="Q603" s="104"/>
      <c r="R603" s="104" t="s">
        <v>928</v>
      </c>
      <c r="S603" s="104">
        <v>15.0</v>
      </c>
      <c r="T603" s="104" t="s">
        <v>4197</v>
      </c>
      <c r="U603" s="104"/>
      <c r="V603" s="104" t="s">
        <v>4197</v>
      </c>
      <c r="W603" s="104"/>
    </row>
    <row r="604">
      <c r="A604" s="105">
        <v>46150.0</v>
      </c>
      <c r="B604" s="79" t="str">
        <f>IFERROR(__xludf.DUMMYFUNCTION("""COMPUTED_VALUE"""),"DSE-SYN-GLO-1A-3")</f>
        <v>DSE-SYN-GLO-1A-3</v>
      </c>
      <c r="C604" s="104"/>
      <c r="D604" s="104"/>
      <c r="E604" s="104" t="str">
        <f>IFERROR(__xludf.DUMMYFUNCTION("""COMPUTED_VALUE"""),"AGP-PO-4-BN-1")</f>
        <v>AGP-PO-4-BN-1</v>
      </c>
      <c r="F604" s="98">
        <v>4.99</v>
      </c>
      <c r="G604" s="110"/>
      <c r="H604" s="98"/>
      <c r="I604" s="98"/>
      <c r="J604" s="98"/>
      <c r="K604" s="98"/>
      <c r="L604" s="104"/>
      <c r="M604" s="98" t="s">
        <v>39</v>
      </c>
      <c r="N604" s="103" t="str">
        <f>IFERROR(__xludf.DUMMYFUNCTION("""COMPUTED_VALUE"""),"")</f>
        <v/>
      </c>
      <c r="O604" s="104"/>
      <c r="P604" s="104"/>
      <c r="Q604" s="104"/>
      <c r="R604" s="104" t="s">
        <v>929</v>
      </c>
      <c r="S604" s="104">
        <v>15.0</v>
      </c>
      <c r="T604" s="104" t="s">
        <v>4198</v>
      </c>
      <c r="U604" s="104"/>
      <c r="V604" s="104" t="s">
        <v>4198</v>
      </c>
      <c r="W604" s="104"/>
    </row>
    <row r="605">
      <c r="A605" s="105">
        <v>46150.0</v>
      </c>
      <c r="B605" s="79" t="str">
        <f>IFERROR(__xludf.DUMMYFUNCTION("""COMPUTED_VALUE"""),"DSE-SYN-MC-1A")</f>
        <v>DSE-SYN-MC-1A</v>
      </c>
      <c r="C605" s="104"/>
      <c r="D605" s="104"/>
      <c r="E605" s="104" t="str">
        <f>IFERROR(__xludf.DUMMYFUNCTION("""COMPUTED_VALUE"""),"AGP-PO-4-BN-1")</f>
        <v>AGP-PO-4-BN-1</v>
      </c>
      <c r="F605" s="98">
        <v>4.99</v>
      </c>
      <c r="G605" s="110"/>
      <c r="H605" s="98"/>
      <c r="I605" s="98"/>
      <c r="J605" s="98"/>
      <c r="K605" s="98"/>
      <c r="L605" s="104"/>
      <c r="M605" s="98" t="s">
        <v>39</v>
      </c>
      <c r="N605" s="103" t="str">
        <f>IFERROR(__xludf.DUMMYFUNCTION("""COMPUTED_VALUE"""),"")</f>
        <v/>
      </c>
      <c r="O605" s="104"/>
      <c r="P605" s="104"/>
      <c r="Q605" s="104"/>
      <c r="R605" s="104" t="s">
        <v>931</v>
      </c>
      <c r="S605" s="104">
        <v>15.0</v>
      </c>
      <c r="T605" s="104" t="s">
        <v>4199</v>
      </c>
      <c r="U605" s="104"/>
      <c r="V605" s="104" t="s">
        <v>4199</v>
      </c>
      <c r="W605" s="104"/>
    </row>
    <row r="606">
      <c r="A606" s="105">
        <v>46150.0</v>
      </c>
      <c r="B606" s="79" t="str">
        <f>IFERROR(__xludf.DUMMYFUNCTION("""COMPUTED_VALUE"""),"DSE-SYN-MC-1A-2")</f>
        <v>DSE-SYN-MC-1A-2</v>
      </c>
      <c r="C606" s="104"/>
      <c r="D606" s="104"/>
      <c r="E606" s="104" t="str">
        <f>IFERROR(__xludf.DUMMYFUNCTION("""COMPUTED_VALUE"""),"AGP-PO-4-BN-1")</f>
        <v>AGP-PO-4-BN-1</v>
      </c>
      <c r="F606" s="98">
        <v>4.99</v>
      </c>
      <c r="G606" s="110"/>
      <c r="H606" s="98"/>
      <c r="I606" s="98"/>
      <c r="J606" s="98"/>
      <c r="K606" s="98"/>
      <c r="L606" s="104"/>
      <c r="M606" s="98" t="s">
        <v>39</v>
      </c>
      <c r="N606" s="103" t="str">
        <f>IFERROR(__xludf.DUMMYFUNCTION("""COMPUTED_VALUE"""),"")</f>
        <v/>
      </c>
      <c r="O606" s="104"/>
      <c r="P606" s="104"/>
      <c r="Q606" s="104"/>
      <c r="R606" s="104" t="s">
        <v>932</v>
      </c>
      <c r="S606" s="104">
        <v>15.0</v>
      </c>
      <c r="T606" s="104" t="s">
        <v>4200</v>
      </c>
      <c r="U606" s="104"/>
      <c r="V606" s="104" t="s">
        <v>4200</v>
      </c>
      <c r="W606" s="104"/>
    </row>
    <row r="607">
      <c r="A607" s="105">
        <v>46150.0</v>
      </c>
      <c r="B607" s="79" t="str">
        <f>IFERROR(__xludf.DUMMYFUNCTION("""COMPUTED_VALUE"""),"DSE-SYN-MC-1A-3")</f>
        <v>DSE-SYN-MC-1A-3</v>
      </c>
      <c r="C607" s="104"/>
      <c r="D607" s="104"/>
      <c r="E607" s="104" t="str">
        <f>IFERROR(__xludf.DUMMYFUNCTION("""COMPUTED_VALUE"""),"AGP-PO-4-BN-1")</f>
        <v>AGP-PO-4-BN-1</v>
      </c>
      <c r="F607" s="98">
        <v>4.99</v>
      </c>
      <c r="G607" s="110"/>
      <c r="H607" s="98"/>
      <c r="I607" s="98"/>
      <c r="J607" s="98"/>
      <c r="K607" s="98"/>
      <c r="L607" s="104"/>
      <c r="M607" s="98" t="s">
        <v>39</v>
      </c>
      <c r="N607" s="103" t="str">
        <f>IFERROR(__xludf.DUMMYFUNCTION("""COMPUTED_VALUE"""),"")</f>
        <v/>
      </c>
      <c r="O607" s="104"/>
      <c r="P607" s="104"/>
      <c r="Q607" s="104"/>
      <c r="R607" s="104" t="s">
        <v>933</v>
      </c>
      <c r="S607" s="104">
        <v>15.0</v>
      </c>
      <c r="T607" s="104" t="s">
        <v>4201</v>
      </c>
      <c r="U607" s="104"/>
      <c r="V607" s="104" t="s">
        <v>4201</v>
      </c>
      <c r="W607" s="104"/>
    </row>
    <row r="608">
      <c r="A608" s="105">
        <v>46150.0</v>
      </c>
      <c r="B608" s="79" t="str">
        <f>IFERROR(__xludf.DUMMYFUNCTION("""COMPUTED_VALUE"""),"DSE-SYN-MC-1A-4")</f>
        <v>DSE-SYN-MC-1A-4</v>
      </c>
      <c r="C608" s="104"/>
      <c r="D608" s="104"/>
      <c r="E608" s="104" t="str">
        <f>IFERROR(__xludf.DUMMYFUNCTION("""COMPUTED_VALUE"""),"AGP-PO-4-BN-1")</f>
        <v>AGP-PO-4-BN-1</v>
      </c>
      <c r="F608" s="98">
        <v>4.99</v>
      </c>
      <c r="G608" s="110"/>
      <c r="H608" s="98"/>
      <c r="I608" s="98"/>
      <c r="J608" s="98"/>
      <c r="K608" s="98"/>
      <c r="L608" s="104"/>
      <c r="M608" s="98" t="s">
        <v>39</v>
      </c>
      <c r="N608" s="103" t="str">
        <f>IFERROR(__xludf.DUMMYFUNCTION("""COMPUTED_VALUE"""),"")</f>
        <v/>
      </c>
      <c r="O608" s="104"/>
      <c r="P608" s="104"/>
      <c r="Q608" s="104"/>
      <c r="R608" s="104" t="s">
        <v>934</v>
      </c>
      <c r="S608" s="104">
        <v>15.0</v>
      </c>
      <c r="T608" s="104" t="s">
        <v>4202</v>
      </c>
      <c r="U608" s="104"/>
      <c r="V608" s="104" t="s">
        <v>4202</v>
      </c>
      <c r="W608" s="104"/>
    </row>
    <row r="609">
      <c r="A609" s="105">
        <v>46150.0</v>
      </c>
      <c r="B609" s="79" t="str">
        <f>IFERROR(__xludf.DUMMYFUNCTION("""COMPUTED_VALUE"""),"DSE-SYN-MC-1A-5")</f>
        <v>DSE-SYN-MC-1A-5</v>
      </c>
      <c r="C609" s="104"/>
      <c r="D609" s="104"/>
      <c r="E609" s="104" t="str">
        <f>IFERROR(__xludf.DUMMYFUNCTION("""COMPUTED_VALUE"""),"AGP-PO-4-BN-1")</f>
        <v>AGP-PO-4-BN-1</v>
      </c>
      <c r="F609" s="98">
        <v>4.99</v>
      </c>
      <c r="G609" s="110"/>
      <c r="H609" s="98"/>
      <c r="I609" s="98"/>
      <c r="J609" s="98"/>
      <c r="K609" s="98"/>
      <c r="L609" s="104"/>
      <c r="M609" s="98" t="s">
        <v>39</v>
      </c>
      <c r="N609" s="103" t="str">
        <f>IFERROR(__xludf.DUMMYFUNCTION("""COMPUTED_VALUE"""),"")</f>
        <v/>
      </c>
      <c r="O609" s="104"/>
      <c r="P609" s="104"/>
      <c r="Q609" s="104"/>
      <c r="R609" s="104" t="s">
        <v>935</v>
      </c>
      <c r="S609" s="104">
        <v>15.0</v>
      </c>
      <c r="T609" s="104" t="s">
        <v>4203</v>
      </c>
      <c r="U609" s="104"/>
      <c r="V609" s="104" t="s">
        <v>4203</v>
      </c>
      <c r="W609" s="104"/>
    </row>
    <row r="610">
      <c r="A610" s="105">
        <v>46150.0</v>
      </c>
      <c r="B610" s="79" t="str">
        <f>IFERROR(__xludf.DUMMYFUNCTION("""COMPUTED_VALUE"""),"DSE-SYN-MC-1A-6")</f>
        <v>DSE-SYN-MC-1A-6</v>
      </c>
      <c r="C610" s="104"/>
      <c r="D610" s="104"/>
      <c r="E610" s="104" t="str">
        <f>IFERROR(__xludf.DUMMYFUNCTION("""COMPUTED_VALUE"""),"AGP-PO-4-BN-1")</f>
        <v>AGP-PO-4-BN-1</v>
      </c>
      <c r="F610" s="98">
        <v>4.99</v>
      </c>
      <c r="G610" s="110"/>
      <c r="H610" s="98"/>
      <c r="I610" s="98"/>
      <c r="J610" s="98"/>
      <c r="K610" s="98"/>
      <c r="L610" s="104"/>
      <c r="M610" s="98" t="s">
        <v>39</v>
      </c>
      <c r="N610" s="103" t="str">
        <f>IFERROR(__xludf.DUMMYFUNCTION("""COMPUTED_VALUE"""),"")</f>
        <v/>
      </c>
      <c r="O610" s="104"/>
      <c r="P610" s="104"/>
      <c r="Q610" s="104"/>
      <c r="R610" s="104" t="s">
        <v>936</v>
      </c>
      <c r="S610" s="104">
        <v>15.0</v>
      </c>
      <c r="T610" s="104" t="s">
        <v>4204</v>
      </c>
      <c r="U610" s="104"/>
      <c r="V610" s="104" t="s">
        <v>4204</v>
      </c>
      <c r="W610" s="104"/>
    </row>
    <row r="611">
      <c r="A611" s="105">
        <v>46150.0</v>
      </c>
      <c r="B611" s="79" t="str">
        <f>IFERROR(__xludf.DUMMYFUNCTION("""COMPUTED_VALUE"""),"DSE-SYN-MC-1A-7")</f>
        <v>DSE-SYN-MC-1A-7</v>
      </c>
      <c r="C611" s="104"/>
      <c r="D611" s="104"/>
      <c r="E611" s="104" t="str">
        <f>IFERROR(__xludf.DUMMYFUNCTION("""COMPUTED_VALUE"""),"AGP-PO-4-BN-1")</f>
        <v>AGP-PO-4-BN-1</v>
      </c>
      <c r="F611" s="98">
        <v>4.99</v>
      </c>
      <c r="G611" s="110"/>
      <c r="H611" s="98"/>
      <c r="I611" s="98"/>
      <c r="J611" s="98"/>
      <c r="K611" s="98"/>
      <c r="L611" s="104"/>
      <c r="M611" s="98" t="s">
        <v>39</v>
      </c>
      <c r="N611" s="103" t="str">
        <f>IFERROR(__xludf.DUMMYFUNCTION("""COMPUTED_VALUE"""),"")</f>
        <v/>
      </c>
      <c r="O611" s="104"/>
      <c r="P611" s="104"/>
      <c r="Q611" s="104"/>
      <c r="R611" s="104" t="s">
        <v>937</v>
      </c>
      <c r="S611" s="104">
        <v>15.0</v>
      </c>
      <c r="T611" s="104" t="s">
        <v>4205</v>
      </c>
      <c r="U611" s="104"/>
      <c r="V611" s="104" t="s">
        <v>4205</v>
      </c>
      <c r="W611" s="104"/>
    </row>
    <row r="612">
      <c r="A612" s="105">
        <v>46150.0</v>
      </c>
      <c r="B612" s="79" t="str">
        <f>IFERROR(__xludf.DUMMYFUNCTION("""COMPUTED_VALUE"""),"DSE-SYN-MC-1A-8")</f>
        <v>DSE-SYN-MC-1A-8</v>
      </c>
      <c r="C612" s="104"/>
      <c r="D612" s="104"/>
      <c r="E612" s="104" t="str">
        <f>IFERROR(__xludf.DUMMYFUNCTION("""COMPUTED_VALUE"""),"AGP-PO-4-BN-1")</f>
        <v>AGP-PO-4-BN-1</v>
      </c>
      <c r="F612" s="98">
        <v>4.99</v>
      </c>
      <c r="G612" s="110"/>
      <c r="H612" s="98"/>
      <c r="I612" s="98"/>
      <c r="J612" s="98"/>
      <c r="K612" s="98"/>
      <c r="L612" s="104"/>
      <c r="M612" s="98" t="s">
        <v>39</v>
      </c>
      <c r="N612" s="103" t="str">
        <f>IFERROR(__xludf.DUMMYFUNCTION("""COMPUTED_VALUE"""),"")</f>
        <v/>
      </c>
      <c r="O612" s="104"/>
      <c r="P612" s="104"/>
      <c r="Q612" s="104"/>
      <c r="R612" s="104" t="s">
        <v>938</v>
      </c>
      <c r="S612" s="104">
        <v>15.0</v>
      </c>
      <c r="T612" s="104" t="s">
        <v>4206</v>
      </c>
      <c r="U612" s="104"/>
      <c r="V612" s="104" t="s">
        <v>4206</v>
      </c>
      <c r="W612" s="104"/>
    </row>
    <row r="613">
      <c r="A613" s="105">
        <v>46150.0</v>
      </c>
      <c r="B613" s="79" t="str">
        <f>IFERROR(__xludf.DUMMYFUNCTION("""COMPUTED_VALUE"""),"DSE-SYN-MC-1A-9")</f>
        <v>DSE-SYN-MC-1A-9</v>
      </c>
      <c r="C613" s="104"/>
      <c r="D613" s="104"/>
      <c r="E613" s="104" t="str">
        <f>IFERROR(__xludf.DUMMYFUNCTION("""COMPUTED_VALUE"""),"AGP-PO-4-BN-1")</f>
        <v>AGP-PO-4-BN-1</v>
      </c>
      <c r="F613" s="98">
        <v>4.99</v>
      </c>
      <c r="G613" s="110"/>
      <c r="H613" s="98"/>
      <c r="I613" s="98"/>
      <c r="J613" s="98"/>
      <c r="K613" s="98"/>
      <c r="L613" s="104"/>
      <c r="M613" s="98" t="s">
        <v>39</v>
      </c>
      <c r="N613" s="103" t="str">
        <f>IFERROR(__xludf.DUMMYFUNCTION("""COMPUTED_VALUE"""),"")</f>
        <v/>
      </c>
      <c r="O613" s="104"/>
      <c r="P613" s="104"/>
      <c r="Q613" s="104"/>
      <c r="R613" s="104" t="s">
        <v>939</v>
      </c>
      <c r="S613" s="104">
        <v>15.0</v>
      </c>
      <c r="T613" s="104" t="s">
        <v>4207</v>
      </c>
      <c r="U613" s="104"/>
      <c r="V613" s="104" t="s">
        <v>4207</v>
      </c>
      <c r="W613" s="104"/>
    </row>
    <row r="614">
      <c r="A614" s="105">
        <v>46150.0</v>
      </c>
      <c r="B614" s="79" t="str">
        <f>IFERROR(__xludf.DUMMYFUNCTION("""COMPUTED_VALUE"""),"DSE-SYN-MC-1A-10")</f>
        <v>DSE-SYN-MC-1A-10</v>
      </c>
      <c r="C614" s="104"/>
      <c r="D614" s="104"/>
      <c r="E614" s="104" t="str">
        <f>IFERROR(__xludf.DUMMYFUNCTION("""COMPUTED_VALUE"""),"AGP-PO-4-BN-1")</f>
        <v>AGP-PO-4-BN-1</v>
      </c>
      <c r="F614" s="98">
        <v>4.99</v>
      </c>
      <c r="G614" s="110"/>
      <c r="H614" s="98"/>
      <c r="I614" s="98"/>
      <c r="J614" s="98"/>
      <c r="K614" s="98"/>
      <c r="L614" s="104"/>
      <c r="M614" s="98" t="s">
        <v>39</v>
      </c>
      <c r="N614" s="103" t="str">
        <f>IFERROR(__xludf.DUMMYFUNCTION("""COMPUTED_VALUE"""),"")</f>
        <v/>
      </c>
      <c r="O614" s="104"/>
      <c r="P614" s="104"/>
      <c r="Q614" s="104"/>
      <c r="R614" s="104" t="s">
        <v>940</v>
      </c>
      <c r="S614" s="104">
        <v>15.0</v>
      </c>
      <c r="T614" s="104" t="s">
        <v>4208</v>
      </c>
      <c r="U614" s="104"/>
      <c r="V614" s="104" t="s">
        <v>4208</v>
      </c>
      <c r="W614" s="104"/>
    </row>
    <row r="615">
      <c r="A615" s="105">
        <v>46150.0</v>
      </c>
      <c r="B615" s="79" t="str">
        <f>IFERROR(__xludf.DUMMYFUNCTION("""COMPUTED_VALUE"""),"DSE-SYN-NR-1A")</f>
        <v>DSE-SYN-NR-1A</v>
      </c>
      <c r="C615" s="104"/>
      <c r="D615" s="104"/>
      <c r="E615" s="104" t="str">
        <f>IFERROR(__xludf.DUMMYFUNCTION("""COMPUTED_VALUE"""),"AGP-PO-4-BN-1")</f>
        <v>AGP-PO-4-BN-1</v>
      </c>
      <c r="F615" s="98">
        <v>4.99</v>
      </c>
      <c r="G615" s="110"/>
      <c r="H615" s="98"/>
      <c r="I615" s="98"/>
      <c r="J615" s="98"/>
      <c r="K615" s="98"/>
      <c r="L615" s="104"/>
      <c r="M615" s="98" t="s">
        <v>39</v>
      </c>
      <c r="N615" s="103" t="str">
        <f>IFERROR(__xludf.DUMMYFUNCTION("""COMPUTED_VALUE"""),"")</f>
        <v/>
      </c>
      <c r="O615" s="104"/>
      <c r="P615" s="104"/>
      <c r="Q615" s="104"/>
      <c r="R615" s="104" t="s">
        <v>942</v>
      </c>
      <c r="S615" s="104">
        <v>15.0</v>
      </c>
      <c r="T615" s="104" t="s">
        <v>4209</v>
      </c>
      <c r="U615" s="104"/>
      <c r="V615" s="104" t="s">
        <v>4209</v>
      </c>
      <c r="W615" s="104"/>
    </row>
    <row r="616">
      <c r="A616" s="105">
        <v>46150.0</v>
      </c>
      <c r="B616" s="79" t="str">
        <f>IFERROR(__xludf.DUMMYFUNCTION("""COMPUTED_VALUE"""),"DSE-SYN-NR-1A-2")</f>
        <v>DSE-SYN-NR-1A-2</v>
      </c>
      <c r="C616" s="104"/>
      <c r="D616" s="104"/>
      <c r="E616" s="104" t="str">
        <f>IFERROR(__xludf.DUMMYFUNCTION("""COMPUTED_VALUE"""),"AGP-PO-4-BN-1")</f>
        <v>AGP-PO-4-BN-1</v>
      </c>
      <c r="F616" s="98">
        <v>4.99</v>
      </c>
      <c r="G616" s="110"/>
      <c r="H616" s="98"/>
      <c r="I616" s="98"/>
      <c r="J616" s="98"/>
      <c r="K616" s="98"/>
      <c r="L616" s="104"/>
      <c r="M616" s="98" t="s">
        <v>39</v>
      </c>
      <c r="N616" s="103" t="str">
        <f>IFERROR(__xludf.DUMMYFUNCTION("""COMPUTED_VALUE"""),"")</f>
        <v/>
      </c>
      <c r="O616" s="104"/>
      <c r="P616" s="104"/>
      <c r="Q616" s="104"/>
      <c r="R616" s="104" t="s">
        <v>943</v>
      </c>
      <c r="S616" s="104">
        <v>15.0</v>
      </c>
      <c r="T616" s="104" t="s">
        <v>4210</v>
      </c>
      <c r="U616" s="104"/>
      <c r="V616" s="104" t="s">
        <v>4210</v>
      </c>
      <c r="W616" s="104"/>
    </row>
    <row r="617">
      <c r="A617" s="105">
        <v>46150.0</v>
      </c>
      <c r="B617" s="79" t="str">
        <f>IFERROR(__xludf.DUMMYFUNCTION("""COMPUTED_VALUE"""),"DSE-SYN-NR-1A-3")</f>
        <v>DSE-SYN-NR-1A-3</v>
      </c>
      <c r="C617" s="104"/>
      <c r="D617" s="104"/>
      <c r="E617" s="104" t="str">
        <f>IFERROR(__xludf.DUMMYFUNCTION("""COMPUTED_VALUE"""),"AGP-PO-4-BN-1")</f>
        <v>AGP-PO-4-BN-1</v>
      </c>
      <c r="F617" s="98">
        <v>4.99</v>
      </c>
      <c r="G617" s="110"/>
      <c r="H617" s="98"/>
      <c r="I617" s="98"/>
      <c r="J617" s="98"/>
      <c r="K617" s="98"/>
      <c r="L617" s="104"/>
      <c r="M617" s="98" t="s">
        <v>39</v>
      </c>
      <c r="N617" s="103" t="str">
        <f>IFERROR(__xludf.DUMMYFUNCTION("""COMPUTED_VALUE"""),"")</f>
        <v/>
      </c>
      <c r="O617" s="104"/>
      <c r="P617" s="104"/>
      <c r="Q617" s="104"/>
      <c r="R617" s="104" t="s">
        <v>944</v>
      </c>
      <c r="S617" s="104">
        <v>15.0</v>
      </c>
      <c r="T617" s="104" t="s">
        <v>4211</v>
      </c>
      <c r="U617" s="104"/>
      <c r="V617" s="104" t="s">
        <v>4211</v>
      </c>
      <c r="W617" s="104"/>
    </row>
    <row r="618">
      <c r="A618" s="105">
        <v>46150.0</v>
      </c>
      <c r="B618" s="79" t="str">
        <f>IFERROR(__xludf.DUMMYFUNCTION("""COMPUTED_VALUE"""),"DSE-SYN-MM-1A")</f>
        <v>DSE-SYN-MM-1A</v>
      </c>
      <c r="C618" s="104"/>
      <c r="D618" s="104"/>
      <c r="E618" s="104" t="str">
        <f>IFERROR(__xludf.DUMMYFUNCTION("""COMPUTED_VALUE"""),"AGP-PO-4-BN-1")</f>
        <v>AGP-PO-4-BN-1</v>
      </c>
      <c r="F618" s="98">
        <v>4.99</v>
      </c>
      <c r="G618" s="110"/>
      <c r="H618" s="98"/>
      <c r="I618" s="98"/>
      <c r="J618" s="98"/>
      <c r="K618" s="98"/>
      <c r="L618" s="104"/>
      <c r="M618" s="98" t="s">
        <v>39</v>
      </c>
      <c r="N618" s="103" t="str">
        <f>IFERROR(__xludf.DUMMYFUNCTION("""COMPUTED_VALUE"""),"")</f>
        <v/>
      </c>
      <c r="O618" s="104"/>
      <c r="P618" s="104"/>
      <c r="Q618" s="104"/>
      <c r="R618" s="104" t="s">
        <v>946</v>
      </c>
      <c r="S618" s="104">
        <v>15.0</v>
      </c>
      <c r="T618" s="104" t="s">
        <v>4212</v>
      </c>
      <c r="U618" s="104"/>
      <c r="V618" s="104" t="s">
        <v>4212</v>
      </c>
      <c r="W618" s="104"/>
    </row>
    <row r="619">
      <c r="A619" s="105">
        <v>46150.0</v>
      </c>
      <c r="B619" s="79" t="str">
        <f>IFERROR(__xludf.DUMMYFUNCTION("""COMPUTED_VALUE"""),"DSE-SYN-MM-1A-2")</f>
        <v>DSE-SYN-MM-1A-2</v>
      </c>
      <c r="C619" s="104"/>
      <c r="D619" s="104"/>
      <c r="E619" s="104" t="str">
        <f>IFERROR(__xludf.DUMMYFUNCTION("""COMPUTED_VALUE"""),"AGP-PO-4-BN-1")</f>
        <v>AGP-PO-4-BN-1</v>
      </c>
      <c r="F619" s="98">
        <v>4.99</v>
      </c>
      <c r="G619" s="110"/>
      <c r="H619" s="98"/>
      <c r="I619" s="98"/>
      <c r="J619" s="98"/>
      <c r="K619" s="98"/>
      <c r="L619" s="104"/>
      <c r="M619" s="98" t="s">
        <v>39</v>
      </c>
      <c r="N619" s="103" t="str">
        <f>IFERROR(__xludf.DUMMYFUNCTION("""COMPUTED_VALUE"""),"")</f>
        <v/>
      </c>
      <c r="O619" s="104"/>
      <c r="P619" s="104"/>
      <c r="Q619" s="104"/>
      <c r="R619" s="104" t="s">
        <v>947</v>
      </c>
      <c r="S619" s="104">
        <v>15.0</v>
      </c>
      <c r="T619" s="104" t="s">
        <v>4213</v>
      </c>
      <c r="U619" s="104"/>
      <c r="V619" s="104" t="s">
        <v>4213</v>
      </c>
      <c r="W619" s="104"/>
    </row>
    <row r="620">
      <c r="A620" s="105">
        <v>46150.0</v>
      </c>
      <c r="B620" s="79" t="str">
        <f>IFERROR(__xludf.DUMMYFUNCTION("""COMPUTED_VALUE"""),"DSE-SYN-MM-1A-3")</f>
        <v>DSE-SYN-MM-1A-3</v>
      </c>
      <c r="C620" s="104"/>
      <c r="D620" s="104"/>
      <c r="E620" s="104" t="str">
        <f>IFERROR(__xludf.DUMMYFUNCTION("""COMPUTED_VALUE"""),"AGP-PO-4-BN-1")</f>
        <v>AGP-PO-4-BN-1</v>
      </c>
      <c r="F620" s="98">
        <v>4.99</v>
      </c>
      <c r="G620" s="110"/>
      <c r="H620" s="98"/>
      <c r="I620" s="98"/>
      <c r="J620" s="98"/>
      <c r="K620" s="98"/>
      <c r="L620" s="104"/>
      <c r="M620" s="98" t="s">
        <v>39</v>
      </c>
      <c r="N620" s="103" t="str">
        <f>IFERROR(__xludf.DUMMYFUNCTION("""COMPUTED_VALUE"""),"")</f>
        <v/>
      </c>
      <c r="O620" s="104"/>
      <c r="P620" s="104"/>
      <c r="Q620" s="104"/>
      <c r="R620" s="104" t="s">
        <v>948</v>
      </c>
      <c r="S620" s="104">
        <v>15.0</v>
      </c>
      <c r="T620" s="104" t="s">
        <v>4214</v>
      </c>
      <c r="U620" s="104"/>
      <c r="V620" s="104" t="s">
        <v>4214</v>
      </c>
      <c r="W620" s="104"/>
    </row>
    <row r="621">
      <c r="A621" s="105">
        <v>46087.0</v>
      </c>
      <c r="B621" s="79" t="str">
        <f>IFERROR(__xludf.DUMMYFUNCTION("""COMPUTED_VALUE"""),"TA-OR-OR-1A-2")</f>
        <v>TA-OR-OR-1A-2</v>
      </c>
      <c r="C621" s="104"/>
      <c r="D621" s="104"/>
      <c r="E621" s="104" t="str">
        <f>IFERROR(__xludf.DUMMYFUNCTION("""COMPUTED_VALUE"""),"AGP-PO-4-BN-1")</f>
        <v>AGP-PO-4-BN-1</v>
      </c>
      <c r="F621" s="98">
        <v>0.08</v>
      </c>
      <c r="G621" s="110"/>
      <c r="H621" s="98"/>
      <c r="I621" s="98"/>
      <c r="J621" s="98"/>
      <c r="K621" s="98"/>
      <c r="L621" s="104"/>
      <c r="M621" s="98" t="s">
        <v>39</v>
      </c>
      <c r="N621" s="103" t="str">
        <f>IFERROR(__xludf.DUMMYFUNCTION("""COMPUTED_VALUE"""),"")</f>
        <v/>
      </c>
      <c r="O621" s="104"/>
      <c r="P621" s="104"/>
      <c r="Q621" s="104"/>
      <c r="R621" s="104" t="s">
        <v>949</v>
      </c>
      <c r="S621" s="104">
        <v>4.0</v>
      </c>
      <c r="T621" s="104" t="s">
        <v>4215</v>
      </c>
      <c r="U621" s="104"/>
      <c r="V621" s="104" t="s">
        <v>4215</v>
      </c>
      <c r="W621" s="104"/>
    </row>
    <row r="622">
      <c r="A622" s="105">
        <v>46087.0</v>
      </c>
      <c r="B622" s="79" t="str">
        <f>IFERROR(__xludf.DUMMYFUNCTION("""COMPUTED_VALUE"""),"TA-OR-OR-1A-3")</f>
        <v>TA-OR-OR-1A-3</v>
      </c>
      <c r="C622" s="104"/>
      <c r="D622" s="104"/>
      <c r="E622" s="104" t="str">
        <f>IFERROR(__xludf.DUMMYFUNCTION("""COMPUTED_VALUE"""),"AGP-PO-4-BN-1")</f>
        <v>AGP-PO-4-BN-1</v>
      </c>
      <c r="F622" s="98">
        <v>0.08</v>
      </c>
      <c r="G622" s="110"/>
      <c r="H622" s="98"/>
      <c r="I622" s="98"/>
      <c r="J622" s="98"/>
      <c r="K622" s="98"/>
      <c r="L622" s="104"/>
      <c r="M622" s="98" t="s">
        <v>39</v>
      </c>
      <c r="N622" s="103" t="str">
        <f>IFERROR(__xludf.DUMMYFUNCTION("""COMPUTED_VALUE"""),"")</f>
        <v/>
      </c>
      <c r="O622" s="104"/>
      <c r="P622" s="104"/>
      <c r="Q622" s="104"/>
      <c r="R622" s="104" t="s">
        <v>950</v>
      </c>
      <c r="S622" s="104">
        <v>4.0</v>
      </c>
      <c r="T622" s="104" t="s">
        <v>4216</v>
      </c>
      <c r="U622" s="104"/>
      <c r="V622" s="104" t="s">
        <v>4216</v>
      </c>
      <c r="W622" s="104"/>
    </row>
    <row r="623">
      <c r="A623" s="105">
        <v>46087.0</v>
      </c>
      <c r="B623" s="79" t="str">
        <f>IFERROR(__xludf.DUMMYFUNCTION("""COMPUTED_VALUE"""),"TA-OR-OR-1A-4")</f>
        <v>TA-OR-OR-1A-4</v>
      </c>
      <c r="C623" s="104"/>
      <c r="D623" s="104"/>
      <c r="E623" s="104" t="str">
        <f>IFERROR(__xludf.DUMMYFUNCTION("""COMPUTED_VALUE"""),"AGP-PO-4-BN-1")</f>
        <v>AGP-PO-4-BN-1</v>
      </c>
      <c r="F623" s="98">
        <v>0.08</v>
      </c>
      <c r="G623" s="110"/>
      <c r="H623" s="98"/>
      <c r="I623" s="98"/>
      <c r="J623" s="98"/>
      <c r="K623" s="98"/>
      <c r="L623" s="104"/>
      <c r="M623" s="98" t="s">
        <v>39</v>
      </c>
      <c r="N623" s="103" t="str">
        <f>IFERROR(__xludf.DUMMYFUNCTION("""COMPUTED_VALUE"""),"")</f>
        <v/>
      </c>
      <c r="O623" s="104"/>
      <c r="P623" s="104"/>
      <c r="Q623" s="104"/>
      <c r="R623" s="104" t="s">
        <v>951</v>
      </c>
      <c r="S623" s="104">
        <v>4.0</v>
      </c>
      <c r="T623" s="104" t="s">
        <v>4217</v>
      </c>
      <c r="U623" s="104"/>
      <c r="V623" s="104" t="s">
        <v>4217</v>
      </c>
      <c r="W623" s="104"/>
    </row>
    <row r="624">
      <c r="A624" s="105">
        <v>46087.0</v>
      </c>
      <c r="B624" s="79" t="str">
        <f>IFERROR(__xludf.DUMMYFUNCTION("""COMPUTED_VALUE"""),"TA-OR-OR-1A-5")</f>
        <v>TA-OR-OR-1A-5</v>
      </c>
      <c r="C624" s="104"/>
      <c r="D624" s="104"/>
      <c r="E624" s="104" t="str">
        <f>IFERROR(__xludf.DUMMYFUNCTION("""COMPUTED_VALUE"""),"AGP-PO-4-BN-1")</f>
        <v>AGP-PO-4-BN-1</v>
      </c>
      <c r="F624" s="98">
        <v>0.08</v>
      </c>
      <c r="G624" s="110"/>
      <c r="H624" s="98"/>
      <c r="I624" s="98"/>
      <c r="J624" s="98"/>
      <c r="K624" s="98"/>
      <c r="L624" s="104"/>
      <c r="M624" s="98" t="s">
        <v>39</v>
      </c>
      <c r="N624" s="103" t="str">
        <f>IFERROR(__xludf.DUMMYFUNCTION("""COMPUTED_VALUE"""),"")</f>
        <v/>
      </c>
      <c r="O624" s="104"/>
      <c r="P624" s="104"/>
      <c r="Q624" s="104"/>
      <c r="R624" s="104" t="s">
        <v>952</v>
      </c>
      <c r="S624" s="104">
        <v>4.0</v>
      </c>
      <c r="T624" s="104" t="s">
        <v>4218</v>
      </c>
      <c r="U624" s="104"/>
      <c r="V624" s="104" t="s">
        <v>4218</v>
      </c>
      <c r="W624" s="104"/>
    </row>
    <row r="625">
      <c r="A625" s="105">
        <v>46087.0</v>
      </c>
      <c r="B625" s="79" t="str">
        <f>IFERROR(__xludf.DUMMYFUNCTION("""COMPUTED_VALUE"""),"TA-OR-OR-1A-6")</f>
        <v>TA-OR-OR-1A-6</v>
      </c>
      <c r="C625" s="104"/>
      <c r="D625" s="104"/>
      <c r="E625" s="104" t="str">
        <f>IFERROR(__xludf.DUMMYFUNCTION("""COMPUTED_VALUE"""),"AGP-PO-4-BN-1")</f>
        <v>AGP-PO-4-BN-1</v>
      </c>
      <c r="F625" s="98">
        <v>0.08</v>
      </c>
      <c r="G625" s="110"/>
      <c r="H625" s="98"/>
      <c r="I625" s="98"/>
      <c r="J625" s="98"/>
      <c r="K625" s="98"/>
      <c r="L625" s="104"/>
      <c r="M625" s="98" t="s">
        <v>39</v>
      </c>
      <c r="N625" s="103" t="str">
        <f>IFERROR(__xludf.DUMMYFUNCTION("""COMPUTED_VALUE"""),"")</f>
        <v/>
      </c>
      <c r="O625" s="104"/>
      <c r="P625" s="104"/>
      <c r="Q625" s="104"/>
      <c r="R625" s="104" t="s">
        <v>953</v>
      </c>
      <c r="S625" s="104">
        <v>4.0</v>
      </c>
      <c r="T625" s="104" t="s">
        <v>4219</v>
      </c>
      <c r="U625" s="104"/>
      <c r="V625" s="104" t="s">
        <v>4219</v>
      </c>
      <c r="W625" s="104"/>
    </row>
    <row r="626">
      <c r="A626" s="105">
        <v>46087.0</v>
      </c>
      <c r="B626" s="79" t="str">
        <f>IFERROR(__xludf.DUMMYFUNCTION("""COMPUTED_VALUE"""),"TA-OR-OR-1A-7")</f>
        <v>TA-OR-OR-1A-7</v>
      </c>
      <c r="C626" s="104"/>
      <c r="D626" s="104"/>
      <c r="E626" s="104" t="str">
        <f>IFERROR(__xludf.DUMMYFUNCTION("""COMPUTED_VALUE"""),"AGP-PO-4-BN-1")</f>
        <v>AGP-PO-4-BN-1</v>
      </c>
      <c r="F626" s="98">
        <v>0.08</v>
      </c>
      <c r="G626" s="110"/>
      <c r="H626" s="98"/>
      <c r="I626" s="98"/>
      <c r="J626" s="98"/>
      <c r="K626" s="98"/>
      <c r="L626" s="104"/>
      <c r="M626" s="98" t="s">
        <v>39</v>
      </c>
      <c r="N626" s="103" t="str">
        <f>IFERROR(__xludf.DUMMYFUNCTION("""COMPUTED_VALUE"""),"")</f>
        <v/>
      </c>
      <c r="O626" s="104"/>
      <c r="P626" s="104"/>
      <c r="Q626" s="104"/>
      <c r="R626" s="104" t="s">
        <v>954</v>
      </c>
      <c r="S626" s="104">
        <v>4.0</v>
      </c>
      <c r="T626" s="104" t="s">
        <v>4220</v>
      </c>
      <c r="U626" s="104"/>
      <c r="V626" s="104" t="s">
        <v>4220</v>
      </c>
      <c r="W626" s="104"/>
    </row>
    <row r="627">
      <c r="A627" s="105">
        <v>46087.0</v>
      </c>
      <c r="B627" s="79" t="str">
        <f>IFERROR(__xludf.DUMMYFUNCTION("""COMPUTED_VALUE"""),"TA-OR-OR-1A-8")</f>
        <v>TA-OR-OR-1A-8</v>
      </c>
      <c r="C627" s="104"/>
      <c r="D627" s="104"/>
      <c r="E627" s="104" t="str">
        <f>IFERROR(__xludf.DUMMYFUNCTION("""COMPUTED_VALUE"""),"AGP-PO-4-BN-1")</f>
        <v>AGP-PO-4-BN-1</v>
      </c>
      <c r="F627" s="98">
        <v>8.0</v>
      </c>
      <c r="G627" s="110"/>
      <c r="H627" s="98"/>
      <c r="I627" s="98"/>
      <c r="J627" s="98"/>
      <c r="K627" s="111">
        <v>15.0</v>
      </c>
      <c r="L627" s="104"/>
      <c r="M627" s="98">
        <v>15.0</v>
      </c>
      <c r="N627" s="103" t="str">
        <f>IFERROR(__xludf.DUMMYFUNCTION("""COMPUTED_VALUE"""),"")</f>
        <v/>
      </c>
      <c r="O627" s="104"/>
      <c r="P627" s="102" t="s">
        <v>1626</v>
      </c>
      <c r="Q627" s="104"/>
      <c r="R627" s="104" t="s">
        <v>955</v>
      </c>
      <c r="S627" s="104">
        <v>4.0</v>
      </c>
      <c r="T627" s="104" t="s">
        <v>4221</v>
      </c>
      <c r="U627" s="104"/>
      <c r="V627" s="104" t="s">
        <v>4221</v>
      </c>
      <c r="W627" s="104"/>
    </row>
    <row r="628">
      <c r="A628" s="105">
        <v>46087.0</v>
      </c>
      <c r="B628" s="79" t="str">
        <f>IFERROR(__xludf.DUMMYFUNCTION("""COMPUTED_VALUE"""),"TA-OR-OR-1A-9")</f>
        <v>TA-OR-OR-1A-9</v>
      </c>
      <c r="C628" s="104"/>
      <c r="D628" s="104"/>
      <c r="E628" s="104" t="str">
        <f>IFERROR(__xludf.DUMMYFUNCTION("""COMPUTED_VALUE"""),"AGP-PO-4-BN-1")</f>
        <v>AGP-PO-4-BN-1</v>
      </c>
      <c r="F628" s="98">
        <v>0.08</v>
      </c>
      <c r="G628" s="110"/>
      <c r="H628" s="98"/>
      <c r="I628" s="98"/>
      <c r="J628" s="98"/>
      <c r="K628" s="98"/>
      <c r="L628" s="104"/>
      <c r="M628" s="98" t="s">
        <v>39</v>
      </c>
      <c r="N628" s="103" t="str">
        <f>IFERROR(__xludf.DUMMYFUNCTION("""COMPUTED_VALUE"""),"")</f>
        <v/>
      </c>
      <c r="O628" s="104"/>
      <c r="P628" s="104"/>
      <c r="Q628" s="104"/>
      <c r="R628" s="104" t="s">
        <v>956</v>
      </c>
      <c r="S628" s="104">
        <v>4.0</v>
      </c>
      <c r="T628" s="104" t="s">
        <v>4222</v>
      </c>
      <c r="U628" s="104"/>
      <c r="V628" s="104" t="s">
        <v>4222</v>
      </c>
      <c r="W628" s="104"/>
    </row>
    <row r="629">
      <c r="A629" s="105">
        <v>46087.0</v>
      </c>
      <c r="B629" s="79" t="str">
        <f>IFERROR(__xludf.DUMMYFUNCTION("""COMPUTED_VALUE"""),"TA-OR-OR-1A-10")</f>
        <v>TA-OR-OR-1A-10</v>
      </c>
      <c r="C629" s="104"/>
      <c r="D629" s="104"/>
      <c r="E629" s="104" t="str">
        <f>IFERROR(__xludf.DUMMYFUNCTION("""COMPUTED_VALUE"""),"AGP-PO-4-BN-1")</f>
        <v>AGP-PO-4-BN-1</v>
      </c>
      <c r="F629" s="98">
        <v>0.08</v>
      </c>
      <c r="G629" s="110"/>
      <c r="H629" s="98"/>
      <c r="I629" s="98"/>
      <c r="J629" s="98"/>
      <c r="K629" s="98"/>
      <c r="L629" s="104"/>
      <c r="M629" s="98" t="s">
        <v>39</v>
      </c>
      <c r="N629" s="103" t="str">
        <f>IFERROR(__xludf.DUMMYFUNCTION("""COMPUTED_VALUE"""),"")</f>
        <v/>
      </c>
      <c r="O629" s="104"/>
      <c r="P629" s="104"/>
      <c r="Q629" s="104"/>
      <c r="R629" s="104" t="s">
        <v>957</v>
      </c>
      <c r="S629" s="104">
        <v>4.0</v>
      </c>
      <c r="T629" s="104" t="s">
        <v>4223</v>
      </c>
      <c r="U629" s="104"/>
      <c r="V629" s="104" t="s">
        <v>4223</v>
      </c>
      <c r="W629" s="104"/>
    </row>
    <row r="630">
      <c r="A630" s="105">
        <v>46087.0</v>
      </c>
      <c r="B630" s="79" t="str">
        <f>IFERROR(__xludf.DUMMYFUNCTION("""COMPUTED_VALUE"""),"TA-OR-OR-1A-11")</f>
        <v>TA-OR-OR-1A-11</v>
      </c>
      <c r="C630" s="104"/>
      <c r="D630" s="104"/>
      <c r="E630" s="104" t="str">
        <f>IFERROR(__xludf.DUMMYFUNCTION("""COMPUTED_VALUE"""),"")</f>
        <v/>
      </c>
      <c r="F630" s="98">
        <v>0.08</v>
      </c>
      <c r="G630" s="110"/>
      <c r="H630" s="98"/>
      <c r="I630" s="98"/>
      <c r="J630" s="98"/>
      <c r="K630" s="98"/>
      <c r="L630" s="104"/>
      <c r="M630" s="98" t="s">
        <v>39</v>
      </c>
      <c r="N630" s="103" t="str">
        <f>IFERROR(__xludf.DUMMYFUNCTION("""COMPUTED_VALUE"""),"")</f>
        <v/>
      </c>
      <c r="O630" s="104"/>
      <c r="P630" s="104"/>
      <c r="Q630" s="104"/>
      <c r="R630" s="104" t="s">
        <v>958</v>
      </c>
      <c r="S630" s="104">
        <v>4.0</v>
      </c>
      <c r="T630" s="104" t="s">
        <v>4224</v>
      </c>
      <c r="U630" s="104"/>
      <c r="V630" s="104" t="s">
        <v>4224</v>
      </c>
      <c r="W630" s="104"/>
    </row>
    <row r="631">
      <c r="A631" s="105">
        <v>46087.0</v>
      </c>
      <c r="B631" s="79" t="str">
        <f>IFERROR(__xludf.DUMMYFUNCTION("""COMPUTED_VALUE"""),"TA-OR-OR-1A-12")</f>
        <v>TA-OR-OR-1A-12</v>
      </c>
      <c r="C631" s="104"/>
      <c r="D631" s="104"/>
      <c r="E631" s="104" t="str">
        <f>IFERROR(__xludf.DUMMYFUNCTION("""COMPUTED_VALUE"""),"")</f>
        <v/>
      </c>
      <c r="F631" s="98">
        <v>0.08</v>
      </c>
      <c r="G631" s="110"/>
      <c r="H631" s="98"/>
      <c r="I631" s="98"/>
      <c r="J631" s="98"/>
      <c r="K631" s="98"/>
      <c r="L631" s="104"/>
      <c r="M631" s="98" t="s">
        <v>39</v>
      </c>
      <c r="N631" s="103" t="str">
        <f>IFERROR(__xludf.DUMMYFUNCTION("""COMPUTED_VALUE"""),"")</f>
        <v/>
      </c>
      <c r="O631" s="104"/>
      <c r="P631" s="104"/>
      <c r="Q631" s="104"/>
      <c r="R631" s="104" t="s">
        <v>959</v>
      </c>
      <c r="S631" s="104">
        <v>4.0</v>
      </c>
      <c r="T631" s="104" t="s">
        <v>4225</v>
      </c>
      <c r="U631" s="104"/>
      <c r="V631" s="104" t="s">
        <v>4225</v>
      </c>
      <c r="W631" s="104"/>
    </row>
    <row r="632">
      <c r="A632" s="105">
        <v>46087.0</v>
      </c>
      <c r="B632" s="79" t="str">
        <f>IFERROR(__xludf.DUMMYFUNCTION("""COMPUTED_VALUE"""),"TA-OR-OR-1A-13")</f>
        <v>TA-OR-OR-1A-13</v>
      </c>
      <c r="C632" s="104"/>
      <c r="D632" s="104"/>
      <c r="E632" s="104" t="str">
        <f>IFERROR(__xludf.DUMMYFUNCTION("""COMPUTED_VALUE"""),"")</f>
        <v/>
      </c>
      <c r="F632" s="98">
        <v>0.08</v>
      </c>
      <c r="G632" s="110"/>
      <c r="H632" s="98"/>
      <c r="I632" s="98"/>
      <c r="J632" s="98"/>
      <c r="K632" s="98"/>
      <c r="L632" s="104"/>
      <c r="M632" s="98" t="s">
        <v>39</v>
      </c>
      <c r="N632" s="103" t="str">
        <f>IFERROR(__xludf.DUMMYFUNCTION("""COMPUTED_VALUE"""),"")</f>
        <v/>
      </c>
      <c r="O632" s="104"/>
      <c r="P632" s="104"/>
      <c r="Q632" s="104"/>
      <c r="R632" s="104" t="s">
        <v>960</v>
      </c>
      <c r="S632" s="104">
        <v>4.0</v>
      </c>
      <c r="T632" s="104" t="s">
        <v>4226</v>
      </c>
      <c r="U632" s="104"/>
      <c r="V632" s="104" t="s">
        <v>4226</v>
      </c>
      <c r="W632" s="104"/>
    </row>
    <row r="633">
      <c r="A633" s="105">
        <v>46087.0</v>
      </c>
      <c r="B633" s="79" t="str">
        <f>IFERROR(__xludf.DUMMYFUNCTION("""COMPUTED_VALUE"""),"TA-OR-OR-1A-14")</f>
        <v>TA-OR-OR-1A-14</v>
      </c>
      <c r="C633" s="104"/>
      <c r="D633" s="104"/>
      <c r="E633" s="104" t="str">
        <f>IFERROR(__xludf.DUMMYFUNCTION("""COMPUTED_VALUE"""),"")</f>
        <v/>
      </c>
      <c r="F633" s="98">
        <v>0.08</v>
      </c>
      <c r="G633" s="110"/>
      <c r="H633" s="98"/>
      <c r="I633" s="98"/>
      <c r="J633" s="98"/>
      <c r="K633" s="98"/>
      <c r="L633" s="104"/>
      <c r="M633" s="98" t="s">
        <v>39</v>
      </c>
      <c r="N633" s="103" t="str">
        <f>IFERROR(__xludf.DUMMYFUNCTION("""COMPUTED_VALUE"""),"")</f>
        <v/>
      </c>
      <c r="O633" s="104"/>
      <c r="P633" s="104"/>
      <c r="Q633" s="104"/>
      <c r="R633" s="104" t="s">
        <v>961</v>
      </c>
      <c r="S633" s="104">
        <v>4.0</v>
      </c>
      <c r="T633" s="104" t="s">
        <v>4227</v>
      </c>
      <c r="U633" s="104"/>
      <c r="V633" s="104" t="s">
        <v>4227</v>
      </c>
      <c r="W633" s="104"/>
    </row>
    <row r="634">
      <c r="A634" s="105">
        <v>46087.0</v>
      </c>
      <c r="B634" s="79" t="str">
        <f>IFERROR(__xludf.DUMMYFUNCTION("""COMPUTED_VALUE"""),"TA-OR-OR-1A-15")</f>
        <v>TA-OR-OR-1A-15</v>
      </c>
      <c r="C634" s="104"/>
      <c r="D634" s="104"/>
      <c r="E634" s="104" t="str">
        <f>IFERROR(__xludf.DUMMYFUNCTION("""COMPUTED_VALUE"""),"")</f>
        <v/>
      </c>
      <c r="F634" s="98">
        <v>0.08</v>
      </c>
      <c r="G634" s="110"/>
      <c r="H634" s="98"/>
      <c r="I634" s="98"/>
      <c r="J634" s="98"/>
      <c r="K634" s="98"/>
      <c r="L634" s="104"/>
      <c r="M634" s="98" t="s">
        <v>39</v>
      </c>
      <c r="N634" s="103" t="str">
        <f>IFERROR(__xludf.DUMMYFUNCTION("""COMPUTED_VALUE"""),"")</f>
        <v/>
      </c>
      <c r="O634" s="104"/>
      <c r="P634" s="104"/>
      <c r="Q634" s="104"/>
      <c r="R634" s="104" t="s">
        <v>962</v>
      </c>
      <c r="S634" s="104">
        <v>4.0</v>
      </c>
      <c r="T634" s="104" t="s">
        <v>4228</v>
      </c>
      <c r="U634" s="104"/>
      <c r="V634" s="104" t="s">
        <v>4228</v>
      </c>
      <c r="W634" s="104"/>
    </row>
    <row r="635">
      <c r="A635" s="105">
        <v>46154.0</v>
      </c>
      <c r="B635" s="79" t="str">
        <f>IFERROR(__xludf.DUMMYFUNCTION("""COMPUTED_VALUE"""),"TG-ALO-VER-1A")</f>
        <v>TG-ALO-VER-1A</v>
      </c>
      <c r="C635" s="104"/>
      <c r="D635" s="104"/>
      <c r="E635" s="104" t="str">
        <f>IFERROR(__xludf.DUMMYFUNCTION("""COMPUTED_VALUE"""),"AGP-PO-4-BN-1")</f>
        <v>AGP-PO-4-BN-1</v>
      </c>
      <c r="F635" s="98">
        <v>9.0</v>
      </c>
      <c r="G635" s="110"/>
      <c r="H635" s="98"/>
      <c r="I635" s="98"/>
      <c r="J635" s="98"/>
      <c r="K635" s="98"/>
      <c r="L635" s="104"/>
      <c r="M635" s="98" t="s">
        <v>39</v>
      </c>
      <c r="N635" s="103" t="str">
        <f>IFERROR(__xludf.DUMMYFUNCTION("""COMPUTED_VALUE"""),"")</f>
        <v/>
      </c>
      <c r="O635" s="104"/>
      <c r="P635" s="104"/>
      <c r="Q635" s="104"/>
      <c r="R635" s="104" t="s">
        <v>965</v>
      </c>
      <c r="S635" s="104">
        <v>18.0</v>
      </c>
      <c r="T635" s="104" t="s">
        <v>4229</v>
      </c>
      <c r="U635" s="104"/>
      <c r="V635" s="104" t="s">
        <v>4229</v>
      </c>
      <c r="W635" s="104"/>
    </row>
    <row r="636">
      <c r="A636" s="105">
        <v>46154.0</v>
      </c>
      <c r="B636" s="79" t="str">
        <f>IFERROR(__xludf.DUMMYFUNCTION("""COMPUTED_VALUE"""),"TG-ALO-VER-1A-2")</f>
        <v>TG-ALO-VER-1A-2</v>
      </c>
      <c r="C636" s="104"/>
      <c r="D636" s="104"/>
      <c r="E636" s="104" t="str">
        <f>IFERROR(__xludf.DUMMYFUNCTION("""COMPUTED_VALUE"""),"AGP-PO-4-BN-1")</f>
        <v>AGP-PO-4-BN-1</v>
      </c>
      <c r="F636" s="98">
        <v>9.0</v>
      </c>
      <c r="G636" s="110"/>
      <c r="H636" s="98"/>
      <c r="I636" s="98"/>
      <c r="J636" s="98"/>
      <c r="K636" s="98"/>
      <c r="L636" s="104"/>
      <c r="M636" s="98" t="s">
        <v>39</v>
      </c>
      <c r="N636" s="103" t="str">
        <f>IFERROR(__xludf.DUMMYFUNCTION("""COMPUTED_VALUE"""),"")</f>
        <v/>
      </c>
      <c r="O636" s="104"/>
      <c r="P636" s="104"/>
      <c r="Q636" s="104"/>
      <c r="R636" s="104" t="s">
        <v>967</v>
      </c>
      <c r="S636" s="104">
        <v>18.0</v>
      </c>
      <c r="T636" s="104" t="s">
        <v>4230</v>
      </c>
      <c r="U636" s="104"/>
      <c r="V636" s="104" t="s">
        <v>4230</v>
      </c>
      <c r="W636" s="104"/>
    </row>
    <row r="637">
      <c r="A637" s="105">
        <v>46154.0</v>
      </c>
      <c r="B637" s="79" t="str">
        <f>IFERROR(__xludf.DUMMYFUNCTION("""COMPUTED_VALUE"""),"TG-ALO-VER-1A-3")</f>
        <v>TG-ALO-VER-1A-3</v>
      </c>
      <c r="C637" s="104"/>
      <c r="D637" s="104"/>
      <c r="E637" s="104" t="str">
        <f>IFERROR(__xludf.DUMMYFUNCTION("""COMPUTED_VALUE"""),"AGP-PO-4-BN-1")</f>
        <v>AGP-PO-4-BN-1</v>
      </c>
      <c r="F637" s="98">
        <v>9.0</v>
      </c>
      <c r="G637" s="110"/>
      <c r="H637" s="98"/>
      <c r="I637" s="98"/>
      <c r="J637" s="98"/>
      <c r="K637" s="98"/>
      <c r="L637" s="104"/>
      <c r="M637" s="98" t="s">
        <v>39</v>
      </c>
      <c r="N637" s="103" t="str">
        <f>IFERROR(__xludf.DUMMYFUNCTION("""COMPUTED_VALUE"""),"")</f>
        <v/>
      </c>
      <c r="O637" s="104"/>
      <c r="P637" s="104"/>
      <c r="Q637" s="104"/>
      <c r="R637" s="104" t="s">
        <v>969</v>
      </c>
      <c r="S637" s="104">
        <v>18.0</v>
      </c>
      <c r="T637" s="104" t="s">
        <v>4231</v>
      </c>
      <c r="U637" s="104"/>
      <c r="V637" s="104" t="s">
        <v>4231</v>
      </c>
      <c r="W637" s="104"/>
    </row>
    <row r="638">
      <c r="A638" s="105">
        <v>46154.0</v>
      </c>
      <c r="B638" s="79" t="str">
        <f>IFERROR(__xludf.DUMMYFUNCTION("""COMPUTED_VALUE"""),"TG-MA-VMI-1A")</f>
        <v>TG-MA-VMI-1A</v>
      </c>
      <c r="C638" s="104"/>
      <c r="D638" s="104"/>
      <c r="E638" s="104" t="str">
        <f>IFERROR(__xludf.DUMMYFUNCTION("""COMPUTED_VALUE"""),"AGP-PO-4-BN-1")</f>
        <v>AGP-PO-4-BN-1</v>
      </c>
      <c r="F638" s="98">
        <v>36.0</v>
      </c>
      <c r="G638" s="110"/>
      <c r="H638" s="98"/>
      <c r="I638" s="98"/>
      <c r="J638" s="98"/>
      <c r="K638" s="98"/>
      <c r="L638" s="104"/>
      <c r="M638" s="98" t="s">
        <v>39</v>
      </c>
      <c r="N638" s="103" t="str">
        <f>IFERROR(__xludf.DUMMYFUNCTION("""COMPUTED_VALUE"""),"")</f>
        <v/>
      </c>
      <c r="O638" s="104"/>
      <c r="P638" s="104"/>
      <c r="Q638" s="104"/>
      <c r="R638" s="104" t="s">
        <v>972</v>
      </c>
      <c r="S638" s="104">
        <v>72.0</v>
      </c>
      <c r="T638" s="104" t="s">
        <v>4232</v>
      </c>
      <c r="U638" s="104"/>
      <c r="V638" s="104" t="s">
        <v>4232</v>
      </c>
      <c r="W638" s="104"/>
    </row>
    <row r="639">
      <c r="A639" s="105">
        <v>46154.0</v>
      </c>
      <c r="B639" s="79" t="str">
        <f>IFERROR(__xludf.DUMMYFUNCTION("""COMPUTED_VALUE"""),"TG-MA-VMI-1A-2")</f>
        <v>TG-MA-VMI-1A-2</v>
      </c>
      <c r="C639" s="104"/>
      <c r="D639" s="104"/>
      <c r="E639" s="104" t="str">
        <f>IFERROR(__xludf.DUMMYFUNCTION("""COMPUTED_VALUE"""),"ST-PO-3-NU-1")</f>
        <v>ST-PO-3-NU-1</v>
      </c>
      <c r="F639" s="98">
        <v>36.0</v>
      </c>
      <c r="G639" s="110"/>
      <c r="H639" s="98"/>
      <c r="I639" s="98"/>
      <c r="J639" s="98"/>
      <c r="K639" s="98"/>
      <c r="L639" s="104"/>
      <c r="M639" s="98" t="s">
        <v>39</v>
      </c>
      <c r="N639" s="103" t="str">
        <f>IFERROR(__xludf.DUMMYFUNCTION("""COMPUTED_VALUE"""),"")</f>
        <v/>
      </c>
      <c r="O639" s="104"/>
      <c r="P639" s="104"/>
      <c r="Q639" s="104"/>
      <c r="R639" s="104" t="s">
        <v>974</v>
      </c>
      <c r="S639" s="104">
        <v>72.0</v>
      </c>
      <c r="T639" s="104" t="s">
        <v>4233</v>
      </c>
      <c r="U639" s="104"/>
      <c r="V639" s="104" t="s">
        <v>4233</v>
      </c>
      <c r="W639" s="104"/>
    </row>
    <row r="640">
      <c r="A640" s="105">
        <v>46154.0</v>
      </c>
      <c r="B640" s="79" t="str">
        <f>IFERROR(__xludf.DUMMYFUNCTION("""COMPUTED_VALUE"""),"TG-SP-VPLD-1A")</f>
        <v>TG-SP-VPLD-1A</v>
      </c>
      <c r="C640" s="104"/>
      <c r="D640" s="104"/>
      <c r="E640" s="104" t="str">
        <f>IFERROR(__xludf.DUMMYFUNCTION("""COMPUTED_VALUE"""),"NR-PO-8-TBP-1")</f>
        <v>NR-PO-8-TBP-1</v>
      </c>
      <c r="F640" s="98">
        <v>9.0</v>
      </c>
      <c r="G640" s="110"/>
      <c r="H640" s="98"/>
      <c r="I640" s="98"/>
      <c r="J640" s="98"/>
      <c r="K640" s="98"/>
      <c r="L640" s="104"/>
      <c r="M640" s="98" t="s">
        <v>39</v>
      </c>
      <c r="N640" s="103" t="str">
        <f>IFERROR(__xludf.DUMMYFUNCTION("""COMPUTED_VALUE"""),"")</f>
        <v/>
      </c>
      <c r="O640" s="104"/>
      <c r="P640" s="104"/>
      <c r="Q640" s="104"/>
      <c r="R640" s="104" t="s">
        <v>977</v>
      </c>
      <c r="S640" s="104">
        <v>18.0</v>
      </c>
      <c r="T640" s="104" t="s">
        <v>4234</v>
      </c>
      <c r="U640" s="104"/>
      <c r="V640" s="104" t="s">
        <v>4234</v>
      </c>
      <c r="W640" s="104"/>
    </row>
    <row r="641">
      <c r="A641" s="105">
        <v>46154.0</v>
      </c>
      <c r="B641" s="79" t="str">
        <f>IFERROR(__xludf.DUMMYFUNCTION("""COMPUTED_VALUE"""),"TG-PO-GO-1A")</f>
        <v>TG-PO-GO-1A</v>
      </c>
      <c r="C641" s="104"/>
      <c r="D641" s="104"/>
      <c r="E641" s="104" t="str">
        <f>IFERROR(__xludf.DUMMYFUNCTION("""COMPUTED_VALUE"""),"AGP-PO-4-BN-1")</f>
        <v>AGP-PO-4-BN-1</v>
      </c>
      <c r="F641" s="98">
        <v>9.0</v>
      </c>
      <c r="G641" s="110"/>
      <c r="H641" s="98"/>
      <c r="I641" s="98"/>
      <c r="J641" s="98"/>
      <c r="K641" s="98"/>
      <c r="L641" s="104"/>
      <c r="M641" s="98" t="s">
        <v>39</v>
      </c>
      <c r="N641" s="103" t="str">
        <f>IFERROR(__xludf.DUMMYFUNCTION("""COMPUTED_VALUE"""),"")</f>
        <v/>
      </c>
      <c r="O641" s="104"/>
      <c r="P641" s="104"/>
      <c r="Q641" s="104"/>
      <c r="R641" s="104" t="s">
        <v>979</v>
      </c>
      <c r="S641" s="104">
        <v>18.0</v>
      </c>
      <c r="T641" s="104" t="s">
        <v>4235</v>
      </c>
      <c r="U641" s="104"/>
      <c r="V641" s="104" t="s">
        <v>4235</v>
      </c>
      <c r="W641" s="104"/>
    </row>
    <row r="642">
      <c r="A642" s="105">
        <v>46154.0</v>
      </c>
      <c r="B642" s="79" t="str">
        <f>IFERROR(__xludf.DUMMYFUNCTION("""COMPUTED_VALUE"""),"TG-PO-GO-1A-2")</f>
        <v>TG-PO-GO-1A-2</v>
      </c>
      <c r="C642" s="104"/>
      <c r="D642" s="104"/>
      <c r="E642" s="104" t="str">
        <f>IFERROR(__xludf.DUMMYFUNCTION("""COMPUTED_VALUE"""),"AGP-PO-4-BN-1")</f>
        <v>AGP-PO-4-BN-1</v>
      </c>
      <c r="F642" s="98">
        <v>9.0</v>
      </c>
      <c r="G642" s="110"/>
      <c r="H642" s="98"/>
      <c r="I642" s="98"/>
      <c r="J642" s="98"/>
      <c r="K642" s="98"/>
      <c r="L642" s="104"/>
      <c r="M642" s="98" t="s">
        <v>39</v>
      </c>
      <c r="N642" s="103" t="str">
        <f>IFERROR(__xludf.DUMMYFUNCTION("""COMPUTED_VALUE"""),"")</f>
        <v/>
      </c>
      <c r="O642" s="104"/>
      <c r="P642" s="104"/>
      <c r="Q642" s="104"/>
      <c r="R642" s="104" t="s">
        <v>981</v>
      </c>
      <c r="S642" s="104">
        <v>18.0</v>
      </c>
      <c r="T642" s="104" t="s">
        <v>4236</v>
      </c>
      <c r="U642" s="104"/>
      <c r="V642" s="104" t="s">
        <v>4236</v>
      </c>
      <c r="W642" s="104"/>
    </row>
    <row r="643">
      <c r="A643" s="105">
        <v>46154.0</v>
      </c>
      <c r="B643" s="79" t="str">
        <f>IFERROR(__xludf.DUMMYFUNCTION("""COMPUTED_VALUE"""),"TG-PO-GO-1A-3")</f>
        <v>TG-PO-GO-1A-3</v>
      </c>
      <c r="C643" s="104"/>
      <c r="D643" s="104"/>
      <c r="E643" s="104" t="str">
        <f>IFERROR(__xludf.DUMMYFUNCTION("""COMPUTED_VALUE"""),"AGP-PO-4-BN-1")</f>
        <v>AGP-PO-4-BN-1</v>
      </c>
      <c r="F643" s="98">
        <v>0.0</v>
      </c>
      <c r="G643" s="110"/>
      <c r="H643" s="98"/>
      <c r="I643" s="98"/>
      <c r="J643" s="98"/>
      <c r="K643" s="98"/>
      <c r="L643" s="104"/>
      <c r="M643" s="98" t="s">
        <v>39</v>
      </c>
      <c r="N643" s="103" t="str">
        <f>IFERROR(__xludf.DUMMYFUNCTION("""COMPUTED_VALUE"""),"")</f>
        <v/>
      </c>
      <c r="O643" s="104"/>
      <c r="P643" s="104"/>
      <c r="Q643" s="104"/>
      <c r="R643" s="104" t="s">
        <v>983</v>
      </c>
      <c r="S643" s="104">
        <v>18.0</v>
      </c>
      <c r="T643" s="104" t="s">
        <v>4237</v>
      </c>
      <c r="U643" s="104"/>
      <c r="V643" s="104" t="s">
        <v>4237</v>
      </c>
      <c r="W643" s="104"/>
    </row>
    <row r="644">
      <c r="A644" s="105">
        <v>46154.0</v>
      </c>
      <c r="B644" s="79" t="str">
        <f>IFERROR(__xludf.DUMMYFUNCTION("""COMPUTED_VALUE"""),"TG-DI-CAM-1A")</f>
        <v>TG-DI-CAM-1A</v>
      </c>
      <c r="C644" s="104"/>
      <c r="D644" s="104"/>
      <c r="E644" s="104" t="str">
        <f>IFERROR(__xludf.DUMMYFUNCTION("""COMPUTED_VALUE"""),"AGP-PO-4-BN-1")</f>
        <v>AGP-PO-4-BN-1</v>
      </c>
      <c r="F644" s="98">
        <v>9.0</v>
      </c>
      <c r="G644" s="110"/>
      <c r="H644" s="98"/>
      <c r="I644" s="98"/>
      <c r="J644" s="98"/>
      <c r="K644" s="111"/>
      <c r="L644" s="104"/>
      <c r="M644" s="98" t="s">
        <v>39</v>
      </c>
      <c r="N644" s="103" t="str">
        <f>IFERROR(__xludf.DUMMYFUNCTION("""COMPUTED_VALUE"""),"")</f>
        <v/>
      </c>
      <c r="O644" s="104"/>
      <c r="P644" s="102" t="s">
        <v>1692</v>
      </c>
      <c r="Q644" s="104"/>
      <c r="R644" s="104" t="s">
        <v>987</v>
      </c>
      <c r="S644" s="104">
        <v>18.0</v>
      </c>
      <c r="T644" s="104" t="s">
        <v>4238</v>
      </c>
      <c r="U644" s="104"/>
      <c r="V644" s="104" t="s">
        <v>4238</v>
      </c>
      <c r="W644" s="104"/>
    </row>
    <row r="645">
      <c r="A645" s="105">
        <v>46154.0</v>
      </c>
      <c r="B645" s="79" t="str">
        <f>IFERROR(__xludf.DUMMYFUNCTION("""COMPUTED_VALUE"""),"TG-DI-CAM-1A-2")</f>
        <v>TG-DI-CAM-1A-2</v>
      </c>
      <c r="C645" s="104"/>
      <c r="D645" s="104"/>
      <c r="E645" s="104" t="str">
        <f>IFERROR(__xludf.DUMMYFUNCTION("""COMPUTED_VALUE"""),"AGP-PO-4-BN-1")</f>
        <v>AGP-PO-4-BN-1</v>
      </c>
      <c r="F645" s="98">
        <v>9.0</v>
      </c>
      <c r="G645" s="110"/>
      <c r="H645" s="98"/>
      <c r="I645" s="98"/>
      <c r="J645" s="98"/>
      <c r="K645" s="98"/>
      <c r="L645" s="104"/>
      <c r="M645" s="98" t="s">
        <v>39</v>
      </c>
      <c r="N645" s="103" t="str">
        <f>IFERROR(__xludf.DUMMYFUNCTION("""COMPUTED_VALUE"""),"")</f>
        <v/>
      </c>
      <c r="O645" s="104"/>
      <c r="P645" s="104"/>
      <c r="Q645" s="104"/>
      <c r="R645" s="104" t="s">
        <v>989</v>
      </c>
      <c r="S645" s="104">
        <v>18.0</v>
      </c>
      <c r="T645" s="104" t="s">
        <v>4239</v>
      </c>
      <c r="U645" s="104"/>
      <c r="V645" s="104" t="s">
        <v>4239</v>
      </c>
      <c r="W645" s="104"/>
    </row>
    <row r="646">
      <c r="A646" s="105">
        <v>46154.0</v>
      </c>
      <c r="B646" s="79" t="str">
        <f>IFERROR(__xludf.DUMMYFUNCTION("""COMPUTED_VALUE"""),"TG-SYN-BUT-1A")</f>
        <v>TG-SYN-BUT-1A</v>
      </c>
      <c r="C646" s="104"/>
      <c r="D646" s="104"/>
      <c r="E646" s="104" t="str">
        <f>IFERROR(__xludf.DUMMYFUNCTION("""COMPUTED_VALUE"""),"GA-PO-6-WH-1")</f>
        <v>GA-PO-6-WH-1</v>
      </c>
      <c r="F646" s="98">
        <v>9.0</v>
      </c>
      <c r="G646" s="110"/>
      <c r="H646" s="98"/>
      <c r="I646" s="98"/>
      <c r="J646" s="98"/>
      <c r="K646" s="98"/>
      <c r="L646" s="104"/>
      <c r="M646" s="98" t="s">
        <v>39</v>
      </c>
      <c r="N646" s="103" t="str">
        <f>IFERROR(__xludf.DUMMYFUNCTION("""COMPUTED_VALUE"""),"")</f>
        <v/>
      </c>
      <c r="O646" s="104"/>
      <c r="P646" s="104"/>
      <c r="Q646" s="104"/>
      <c r="R646" s="104" t="s">
        <v>992</v>
      </c>
      <c r="S646" s="104">
        <v>18.0</v>
      </c>
      <c r="T646" s="104" t="s">
        <v>4240</v>
      </c>
      <c r="U646" s="104"/>
      <c r="V646" s="104" t="s">
        <v>4240</v>
      </c>
      <c r="W646" s="104"/>
    </row>
    <row r="647">
      <c r="A647" s="105">
        <v>46154.0</v>
      </c>
      <c r="B647" s="79" t="str">
        <f>IFERROR(__xludf.DUMMYFUNCTION("""COMPUTED_VALUE"""),"TG-SYN-BUT-1A-2")</f>
        <v>TG-SYN-BUT-1A-2</v>
      </c>
      <c r="C647" s="104"/>
      <c r="D647" s="104"/>
      <c r="E647" s="104" t="str">
        <f>IFERROR(__xludf.DUMMYFUNCTION("""COMPUTED_VALUE"""),"GA-PO-6-BL-1")</f>
        <v>GA-PO-6-BL-1</v>
      </c>
      <c r="F647" s="98">
        <v>9.0</v>
      </c>
      <c r="G647" s="110"/>
      <c r="H647" s="98"/>
      <c r="I647" s="98"/>
      <c r="J647" s="98"/>
      <c r="K647" s="98"/>
      <c r="L647" s="104"/>
      <c r="M647" s="98" t="s">
        <v>39</v>
      </c>
      <c r="N647" s="103" t="str">
        <f>IFERROR(__xludf.DUMMYFUNCTION("""COMPUTED_VALUE"""),"")</f>
        <v/>
      </c>
      <c r="O647" s="104"/>
      <c r="P647" s="104"/>
      <c r="Q647" s="104"/>
      <c r="R647" s="104" t="s">
        <v>994</v>
      </c>
      <c r="S647" s="104">
        <v>18.0</v>
      </c>
      <c r="T647" s="104" t="s">
        <v>4241</v>
      </c>
      <c r="U647" s="104"/>
      <c r="V647" s="104" t="s">
        <v>4241</v>
      </c>
      <c r="W647" s="104"/>
    </row>
    <row r="648">
      <c r="A648" s="105">
        <v>46154.0</v>
      </c>
      <c r="B648" s="79" t="str">
        <f>IFERROR(__xludf.DUMMYFUNCTION("""COMPUTED_VALUE"""),"TG-SP-PLI-1A")</f>
        <v>TG-SP-PLI-1A</v>
      </c>
      <c r="C648" s="104"/>
      <c r="D648" s="104"/>
      <c r="E648" s="104" t="str">
        <f>IFERROR(__xludf.DUMMYFUNCTION("""COMPUTED_VALUE"""),"ST-PO-6-NU-1")</f>
        <v>ST-PO-6-NU-1</v>
      </c>
      <c r="F648" s="98">
        <v>9.0</v>
      </c>
      <c r="G648" s="110"/>
      <c r="H648" s="98"/>
      <c r="I648" s="98"/>
      <c r="J648" s="98"/>
      <c r="K648" s="111">
        <v>0.0</v>
      </c>
      <c r="L648" s="104"/>
      <c r="M648" s="98">
        <v>0.0</v>
      </c>
      <c r="N648" s="103" t="str">
        <f>IFERROR(__xludf.DUMMYFUNCTION("""COMPUTED_VALUE"""),"")</f>
        <v/>
      </c>
      <c r="O648" s="104"/>
      <c r="P648" s="102" t="s">
        <v>1626</v>
      </c>
      <c r="Q648" s="104"/>
      <c r="R648" s="104" t="s">
        <v>997</v>
      </c>
      <c r="S648" s="104">
        <v>18.0</v>
      </c>
      <c r="T648" s="104" t="s">
        <v>4242</v>
      </c>
      <c r="U648" s="104"/>
      <c r="V648" s="104" t="s">
        <v>4242</v>
      </c>
      <c r="W648" s="104"/>
    </row>
    <row r="649">
      <c r="A649" s="105">
        <v>46154.0</v>
      </c>
      <c r="B649" s="79" t="str">
        <f>IFERROR(__xludf.DUMMYFUNCTION("""COMPUTED_VALUE"""),"TG-SP-PLI-1A-2")</f>
        <v>TG-SP-PLI-1A-2</v>
      </c>
      <c r="C649" s="104"/>
      <c r="D649" s="104"/>
      <c r="E649" s="104" t="str">
        <f>IFERROR(__xludf.DUMMYFUNCTION("""COMPUTED_VALUE"""),"ST-PO-6-NU-1")</f>
        <v>ST-PO-6-NU-1</v>
      </c>
      <c r="F649" s="98">
        <v>9.0</v>
      </c>
      <c r="G649" s="110"/>
      <c r="H649" s="98"/>
      <c r="I649" s="98"/>
      <c r="J649" s="98"/>
      <c r="K649" s="98"/>
      <c r="L649" s="104"/>
      <c r="M649" s="98" t="s">
        <v>39</v>
      </c>
      <c r="N649" s="103" t="str">
        <f>IFERROR(__xludf.DUMMYFUNCTION("""COMPUTED_VALUE"""),"")</f>
        <v/>
      </c>
      <c r="O649" s="104"/>
      <c r="P649" s="104"/>
      <c r="Q649" s="104"/>
      <c r="R649" s="104" t="s">
        <v>999</v>
      </c>
      <c r="S649" s="104">
        <v>18.0</v>
      </c>
      <c r="T649" s="104" t="s">
        <v>4243</v>
      </c>
      <c r="U649" s="104"/>
      <c r="V649" s="104" t="s">
        <v>4243</v>
      </c>
      <c r="W649" s="104"/>
    </row>
    <row r="650">
      <c r="A650" s="105">
        <v>46154.0</v>
      </c>
      <c r="B650" s="79" t="str">
        <f>IFERROR(__xludf.DUMMYFUNCTION("""COMPUTED_VALUE"""),"TG-NE-BP-3A")</f>
        <v>TG-NE-BP-3A</v>
      </c>
      <c r="C650" s="104"/>
      <c r="D650" s="104"/>
      <c r="E650" s="104" t="str">
        <f>IFERROR(__xludf.DUMMYFUNCTION("""COMPUTED_VALUE"""),"AGP-PO-4-BN-1")</f>
        <v>AGP-PO-4-BN-1</v>
      </c>
      <c r="F650" s="98" t="s">
        <v>39</v>
      </c>
      <c r="G650" s="110"/>
      <c r="H650" s="98"/>
      <c r="I650" s="98"/>
      <c r="J650" s="98"/>
      <c r="K650" s="98"/>
      <c r="L650" s="104"/>
      <c r="M650" s="98" t="s">
        <v>39</v>
      </c>
      <c r="N650" s="103" t="str">
        <f>IFERROR(__xludf.DUMMYFUNCTION("""COMPUTED_VALUE"""),"")</f>
        <v/>
      </c>
      <c r="O650" s="104"/>
      <c r="P650" s="104"/>
      <c r="Q650" s="104"/>
      <c r="R650" s="104" t="s">
        <v>1002</v>
      </c>
      <c r="S650" s="104">
        <v>18.0</v>
      </c>
      <c r="T650" s="104" t="s">
        <v>4244</v>
      </c>
      <c r="U650" s="104"/>
      <c r="V650" s="104" t="s">
        <v>4244</v>
      </c>
      <c r="W650" s="104"/>
    </row>
    <row r="651">
      <c r="A651" s="105">
        <v>46154.0</v>
      </c>
      <c r="B651" s="79" t="str">
        <f>IFERROR(__xludf.DUMMYFUNCTION("""COMPUTED_VALUE"""),"TG-NE-BP-3A-2")</f>
        <v>TG-NE-BP-3A-2</v>
      </c>
      <c r="C651" s="104"/>
      <c r="D651" s="104"/>
      <c r="E651" s="104" t="str">
        <f>IFERROR(__xludf.DUMMYFUNCTION("""COMPUTED_VALUE"""),"AGP-PO-4-BN-1")</f>
        <v>AGP-PO-4-BN-1</v>
      </c>
      <c r="F651" s="98">
        <v>4.5</v>
      </c>
      <c r="G651" s="110"/>
      <c r="H651" s="98"/>
      <c r="I651" s="98"/>
      <c r="J651" s="98"/>
      <c r="K651" s="98"/>
      <c r="L651" s="104"/>
      <c r="M651" s="98" t="s">
        <v>39</v>
      </c>
      <c r="N651" s="103" t="str">
        <f>IFERROR(__xludf.DUMMYFUNCTION("""COMPUTED_VALUE"""),"")</f>
        <v/>
      </c>
      <c r="O651" s="104"/>
      <c r="P651" s="102"/>
      <c r="Q651" s="104"/>
      <c r="R651" s="104" t="s">
        <v>1005</v>
      </c>
      <c r="S651" s="104">
        <v>18.0</v>
      </c>
      <c r="T651" s="104" t="s">
        <v>4245</v>
      </c>
      <c r="U651" s="104"/>
      <c r="V651" s="104" t="s">
        <v>4245</v>
      </c>
      <c r="W651" s="104"/>
    </row>
    <row r="652">
      <c r="A652" s="105">
        <v>46150.0</v>
      </c>
      <c r="B652" s="79" t="str">
        <f>IFERROR(__xludf.DUMMYFUNCTION("""COMPUTED_VALUE"""),"DSE-SYN-GLO-1A-4")</f>
        <v>DSE-SYN-GLO-1A-4</v>
      </c>
      <c r="C652" s="104"/>
      <c r="D652" s="104"/>
      <c r="E652" s="104" t="str">
        <f>IFERROR(__xludf.DUMMYFUNCTION("""COMPUTED_VALUE"""),"")</f>
        <v/>
      </c>
      <c r="F652" s="98">
        <v>4.99</v>
      </c>
      <c r="G652" s="110"/>
      <c r="H652" s="98"/>
      <c r="I652" s="98"/>
      <c r="J652" s="98"/>
      <c r="K652" s="98"/>
      <c r="L652" s="104"/>
      <c r="M652" s="98" t="s">
        <v>39</v>
      </c>
      <c r="N652" s="103" t="str">
        <f>IFERROR(__xludf.DUMMYFUNCTION("""COMPUTED_VALUE"""),"")</f>
        <v/>
      </c>
      <c r="O652" s="104"/>
      <c r="P652" s="104"/>
      <c r="Q652" s="104"/>
      <c r="R652" s="104" t="s">
        <v>1007</v>
      </c>
      <c r="S652" s="104">
        <v>15.0</v>
      </c>
      <c r="T652" s="104" t="s">
        <v>4246</v>
      </c>
      <c r="U652" s="104"/>
      <c r="V652" s="104" t="s">
        <v>4246</v>
      </c>
      <c r="W652" s="104"/>
    </row>
    <row r="653">
      <c r="A653" s="105">
        <v>46150.0</v>
      </c>
      <c r="B653" s="79" t="str">
        <f>IFERROR(__xludf.DUMMYFUNCTION("""COMPUTED_VALUE"""),"DSE-SYN-GLO-1A-5")</f>
        <v>DSE-SYN-GLO-1A-5</v>
      </c>
      <c r="C653" s="104"/>
      <c r="D653" s="104"/>
      <c r="E653" s="104" t="str">
        <f>IFERROR(__xludf.DUMMYFUNCTION("""COMPUTED_VALUE"""),"AGP-PO-4-BN-1")</f>
        <v>AGP-PO-4-BN-1</v>
      </c>
      <c r="F653" s="98">
        <v>4.99</v>
      </c>
      <c r="G653" s="110"/>
      <c r="H653" s="98"/>
      <c r="I653" s="98"/>
      <c r="J653" s="98"/>
      <c r="K653" s="98"/>
      <c r="L653" s="104"/>
      <c r="M653" s="98" t="s">
        <v>39</v>
      </c>
      <c r="N653" s="103" t="str">
        <f>IFERROR(__xludf.DUMMYFUNCTION("""COMPUTED_VALUE"""),"")</f>
        <v/>
      </c>
      <c r="O653" s="104"/>
      <c r="P653" s="104"/>
      <c r="Q653" s="104"/>
      <c r="R653" s="104" t="s">
        <v>1008</v>
      </c>
      <c r="S653" s="104">
        <v>15.0</v>
      </c>
      <c r="T653" s="104" t="s">
        <v>4247</v>
      </c>
      <c r="U653" s="104"/>
      <c r="V653" s="104" t="s">
        <v>4247</v>
      </c>
      <c r="W653" s="104"/>
    </row>
    <row r="654">
      <c r="A654" s="105">
        <v>46150.0</v>
      </c>
      <c r="B654" s="79" t="str">
        <f>IFERROR(__xludf.DUMMYFUNCTION("""COMPUTED_VALUE"""),"DSE-SYN-GLO-1A-6")</f>
        <v>DSE-SYN-GLO-1A-6</v>
      </c>
      <c r="C654" s="104"/>
      <c r="D654" s="104"/>
      <c r="E654" s="104" t="str">
        <f>IFERROR(__xludf.DUMMYFUNCTION("""COMPUTED_VALUE"""),"AGP-PO-4-BN-1")</f>
        <v>AGP-PO-4-BN-1</v>
      </c>
      <c r="F654" s="98">
        <v>4.99</v>
      </c>
      <c r="G654" s="110"/>
      <c r="H654" s="98"/>
      <c r="I654" s="98"/>
      <c r="J654" s="98"/>
      <c r="K654" s="98"/>
      <c r="L654" s="104"/>
      <c r="M654" s="98" t="s">
        <v>39</v>
      </c>
      <c r="N654" s="103" t="str">
        <f>IFERROR(__xludf.DUMMYFUNCTION("""COMPUTED_VALUE"""),"")</f>
        <v/>
      </c>
      <c r="O654" s="104"/>
      <c r="P654" s="104"/>
      <c r="Q654" s="104"/>
      <c r="R654" s="104" t="s">
        <v>1009</v>
      </c>
      <c r="S654" s="104">
        <v>15.0</v>
      </c>
      <c r="T654" s="104" t="s">
        <v>4248</v>
      </c>
      <c r="U654" s="104"/>
      <c r="V654" s="104" t="s">
        <v>4248</v>
      </c>
      <c r="W654" s="104"/>
    </row>
    <row r="655">
      <c r="A655" s="105">
        <v>46150.0</v>
      </c>
      <c r="B655" s="79" t="str">
        <f>IFERROR(__xludf.DUMMYFUNCTION("""COMPUTED_VALUE"""),"DSE-SYN-NR-1A-4")</f>
        <v>DSE-SYN-NR-1A-4</v>
      </c>
      <c r="C655" s="104"/>
      <c r="D655" s="104"/>
      <c r="E655" s="104" t="str">
        <f>IFERROR(__xludf.DUMMYFUNCTION("""COMPUTED_VALUE"""),"AGP-PO-4-BN-1")</f>
        <v>AGP-PO-4-BN-1</v>
      </c>
      <c r="F655" s="98">
        <v>4.99</v>
      </c>
      <c r="G655" s="110"/>
      <c r="H655" s="98"/>
      <c r="I655" s="98"/>
      <c r="J655" s="98"/>
      <c r="K655" s="98"/>
      <c r="L655" s="104"/>
      <c r="M655" s="98" t="s">
        <v>39</v>
      </c>
      <c r="N655" s="103" t="str">
        <f>IFERROR(__xludf.DUMMYFUNCTION("""COMPUTED_VALUE"""),"")</f>
        <v/>
      </c>
      <c r="O655" s="104"/>
      <c r="P655" s="104"/>
      <c r="Q655" s="104"/>
      <c r="R655" s="104" t="s">
        <v>1010</v>
      </c>
      <c r="S655" s="104">
        <v>15.0</v>
      </c>
      <c r="T655" s="104" t="s">
        <v>4249</v>
      </c>
      <c r="U655" s="104"/>
      <c r="V655" s="104" t="s">
        <v>4249</v>
      </c>
      <c r="W655" s="104"/>
    </row>
    <row r="656">
      <c r="A656" s="105">
        <v>46150.0</v>
      </c>
      <c r="B656" s="79" t="str">
        <f>IFERROR(__xludf.DUMMYFUNCTION("""COMPUTED_VALUE"""),"DSE-SYN-NR-1A-5")</f>
        <v>DSE-SYN-NR-1A-5</v>
      </c>
      <c r="C656" s="104"/>
      <c r="D656" s="104"/>
      <c r="E656" s="104" t="str">
        <f>IFERROR(__xludf.DUMMYFUNCTION("""COMPUTED_VALUE"""),"AGP-PO-4-BN-1")</f>
        <v>AGP-PO-4-BN-1</v>
      </c>
      <c r="F656" s="98">
        <v>4.99</v>
      </c>
      <c r="G656" s="110"/>
      <c r="H656" s="98"/>
      <c r="I656" s="98"/>
      <c r="J656" s="98"/>
      <c r="K656" s="98"/>
      <c r="L656" s="104"/>
      <c r="M656" s="98" t="s">
        <v>39</v>
      </c>
      <c r="N656" s="103" t="str">
        <f>IFERROR(__xludf.DUMMYFUNCTION("""COMPUTED_VALUE"""),"")</f>
        <v/>
      </c>
      <c r="O656" s="104"/>
      <c r="P656" s="104"/>
      <c r="Q656" s="104"/>
      <c r="R656" s="104" t="s">
        <v>1011</v>
      </c>
      <c r="S656" s="104">
        <v>15.0</v>
      </c>
      <c r="T656" s="104" t="s">
        <v>4250</v>
      </c>
      <c r="U656" s="104"/>
      <c r="V656" s="104" t="s">
        <v>4250</v>
      </c>
      <c r="W656" s="104"/>
    </row>
    <row r="657">
      <c r="A657" s="105">
        <v>46150.0</v>
      </c>
      <c r="B657" s="79" t="str">
        <f>IFERROR(__xludf.DUMMYFUNCTION("""COMPUTED_VALUE"""),"DSE-SYN-NR-1A-6")</f>
        <v>DSE-SYN-NR-1A-6</v>
      </c>
      <c r="C657" s="104"/>
      <c r="D657" s="104"/>
      <c r="E657" s="104" t="str">
        <f>IFERROR(__xludf.DUMMYFUNCTION("""COMPUTED_VALUE"""),"AGP-PO-4-BN-1")</f>
        <v>AGP-PO-4-BN-1</v>
      </c>
      <c r="F657" s="98">
        <v>4.99</v>
      </c>
      <c r="G657" s="110"/>
      <c r="H657" s="98"/>
      <c r="I657" s="98"/>
      <c r="J657" s="98"/>
      <c r="K657" s="98"/>
      <c r="L657" s="104"/>
      <c r="M657" s="98" t="s">
        <v>39</v>
      </c>
      <c r="N657" s="103" t="str">
        <f>IFERROR(__xludf.DUMMYFUNCTION("""COMPUTED_VALUE"""),"")</f>
        <v/>
      </c>
      <c r="O657" s="104"/>
      <c r="P657" s="104"/>
      <c r="Q657" s="104"/>
      <c r="R657" s="104" t="s">
        <v>1012</v>
      </c>
      <c r="S657" s="104">
        <v>15.0</v>
      </c>
      <c r="T657" s="104" t="s">
        <v>4251</v>
      </c>
      <c r="U657" s="104"/>
      <c r="V657" s="104" t="s">
        <v>4251</v>
      </c>
      <c r="W657" s="104"/>
    </row>
    <row r="658">
      <c r="A658" s="105">
        <v>46150.0</v>
      </c>
      <c r="B658" s="79" t="str">
        <f>IFERROR(__xludf.DUMMYFUNCTION("""COMPUTED_VALUE"""),"DSE-SYN-MM-1A-4")</f>
        <v>DSE-SYN-MM-1A-4</v>
      </c>
      <c r="C658" s="104"/>
      <c r="D658" s="104"/>
      <c r="E658" s="104" t="str">
        <f>IFERROR(__xludf.DUMMYFUNCTION("""COMPUTED_VALUE"""),"AGP-PO-4-BN-1")</f>
        <v>AGP-PO-4-BN-1</v>
      </c>
      <c r="F658" s="98">
        <v>4.99</v>
      </c>
      <c r="G658" s="110"/>
      <c r="H658" s="98"/>
      <c r="I658" s="98"/>
      <c r="J658" s="98"/>
      <c r="K658" s="98"/>
      <c r="L658" s="104"/>
      <c r="M658" s="98" t="s">
        <v>39</v>
      </c>
      <c r="N658" s="103" t="str">
        <f>IFERROR(__xludf.DUMMYFUNCTION("""COMPUTED_VALUE"""),"")</f>
        <v/>
      </c>
      <c r="O658" s="104"/>
      <c r="P658" s="104"/>
      <c r="Q658" s="104"/>
      <c r="R658" s="104" t="s">
        <v>1013</v>
      </c>
      <c r="S658" s="104">
        <v>15.0</v>
      </c>
      <c r="T658" s="104" t="s">
        <v>4252</v>
      </c>
      <c r="U658" s="104"/>
      <c r="V658" s="104" t="s">
        <v>4252</v>
      </c>
      <c r="W658" s="104"/>
    </row>
    <row r="659">
      <c r="A659" s="105">
        <v>46150.0</v>
      </c>
      <c r="B659" s="79" t="str">
        <f>IFERROR(__xludf.DUMMYFUNCTION("""COMPUTED_VALUE"""),"DSE-SYN-MM-1A-5")</f>
        <v>DSE-SYN-MM-1A-5</v>
      </c>
      <c r="C659" s="104"/>
      <c r="D659" s="104"/>
      <c r="E659" s="104" t="str">
        <f>IFERROR(__xludf.DUMMYFUNCTION("""COMPUTED_VALUE"""),"AGP-PO-4-BN-1")</f>
        <v>AGP-PO-4-BN-1</v>
      </c>
      <c r="F659" s="98">
        <v>4.99</v>
      </c>
      <c r="G659" s="110"/>
      <c r="H659" s="98"/>
      <c r="I659" s="98"/>
      <c r="J659" s="98"/>
      <c r="K659" s="98"/>
      <c r="L659" s="104"/>
      <c r="M659" s="98" t="s">
        <v>39</v>
      </c>
      <c r="N659" s="103" t="str">
        <f>IFERROR(__xludf.DUMMYFUNCTION("""COMPUTED_VALUE"""),"")</f>
        <v/>
      </c>
      <c r="O659" s="104"/>
      <c r="P659" s="104"/>
      <c r="Q659" s="104"/>
      <c r="R659" s="104" t="s">
        <v>1014</v>
      </c>
      <c r="S659" s="104">
        <v>15.0</v>
      </c>
      <c r="T659" s="104" t="s">
        <v>4253</v>
      </c>
      <c r="U659" s="104"/>
      <c r="V659" s="104" t="s">
        <v>4253</v>
      </c>
      <c r="W659" s="104"/>
    </row>
    <row r="660">
      <c r="A660" s="105">
        <v>46150.0</v>
      </c>
      <c r="B660" s="79" t="str">
        <f>IFERROR(__xludf.DUMMYFUNCTION("""COMPUTED_VALUE"""),"DSE-SYN-MM-1A-6")</f>
        <v>DSE-SYN-MM-1A-6</v>
      </c>
      <c r="C660" s="104"/>
      <c r="D660" s="104"/>
      <c r="E660" s="104" t="str">
        <f>IFERROR(__xludf.DUMMYFUNCTION("""COMPUTED_VALUE"""),"AGP-PO-4-BN-1")</f>
        <v>AGP-PO-4-BN-1</v>
      </c>
      <c r="F660" s="98">
        <v>4.99</v>
      </c>
      <c r="G660" s="110"/>
      <c r="H660" s="98"/>
      <c r="I660" s="98"/>
      <c r="J660" s="98"/>
      <c r="K660" s="98"/>
      <c r="L660" s="104"/>
      <c r="M660" s="98" t="s">
        <v>39</v>
      </c>
      <c r="N660" s="103" t="str">
        <f>IFERROR(__xludf.DUMMYFUNCTION("""COMPUTED_VALUE"""),"")</f>
        <v/>
      </c>
      <c r="O660" s="104"/>
      <c r="P660" s="104"/>
      <c r="Q660" s="104"/>
      <c r="R660" s="104" t="s">
        <v>1015</v>
      </c>
      <c r="S660" s="104">
        <v>15.0</v>
      </c>
      <c r="T660" s="104" t="s">
        <v>4254</v>
      </c>
      <c r="U660" s="104"/>
      <c r="V660" s="104" t="s">
        <v>4254</v>
      </c>
      <c r="W660" s="104"/>
    </row>
    <row r="661">
      <c r="A661" s="105">
        <v>46158.0</v>
      </c>
      <c r="B661" s="79" t="str">
        <f>IFERROR(__xludf.DUMMYFUNCTION("""COMPUTED_VALUE"""),"DR-AC-JMB-1A")</f>
        <v>DR-AC-JMB-1A</v>
      </c>
      <c r="C661" s="104"/>
      <c r="D661" s="104"/>
      <c r="E661" s="104" t="str">
        <f>IFERROR(__xludf.DUMMYFUNCTION("""COMPUTED_VALUE"""),"AGP-PO-4-BN-1")</f>
        <v>AGP-PO-4-BN-1</v>
      </c>
      <c r="F661" s="98">
        <v>0.0</v>
      </c>
      <c r="G661" s="110"/>
      <c r="H661" s="98"/>
      <c r="I661" s="98"/>
      <c r="J661" s="98"/>
      <c r="K661" s="98"/>
      <c r="L661" s="104"/>
      <c r="M661" s="98" t="s">
        <v>39</v>
      </c>
      <c r="N661" s="103" t="str">
        <f>IFERROR(__xludf.DUMMYFUNCTION("""COMPUTED_VALUE"""),"")</f>
        <v/>
      </c>
      <c r="O661" s="104"/>
      <c r="P661" s="104"/>
      <c r="Q661" s="104"/>
      <c r="R661" s="104" t="s">
        <v>1019</v>
      </c>
      <c r="S661" s="104">
        <v>6.0</v>
      </c>
      <c r="T661" s="104" t="s">
        <v>4255</v>
      </c>
      <c r="U661" s="104"/>
      <c r="V661" s="104" t="s">
        <v>4255</v>
      </c>
      <c r="W661" s="104"/>
    </row>
    <row r="662">
      <c r="A662" s="105">
        <v>46158.0</v>
      </c>
      <c r="B662" s="79" t="str">
        <f>IFERROR(__xludf.DUMMYFUNCTION("""COMPUTED_VALUE"""),"DR-AC-JMB-1A-2")</f>
        <v>DR-AC-JMB-1A-2</v>
      </c>
      <c r="C662" s="104"/>
      <c r="D662" s="104"/>
      <c r="E662" s="104" t="str">
        <f>IFERROR(__xludf.DUMMYFUNCTION("""COMPUTED_VALUE"""),"AGP-PO-4-BN-1")</f>
        <v>AGP-PO-4-BN-1</v>
      </c>
      <c r="F662" s="98">
        <v>0.0</v>
      </c>
      <c r="G662" s="110"/>
      <c r="H662" s="98"/>
      <c r="I662" s="98"/>
      <c r="J662" s="98"/>
      <c r="K662" s="98"/>
      <c r="L662" s="104"/>
      <c r="M662" s="98" t="s">
        <v>39</v>
      </c>
      <c r="N662" s="103" t="str">
        <f>IFERROR(__xludf.DUMMYFUNCTION("""COMPUTED_VALUE"""),"")</f>
        <v/>
      </c>
      <c r="O662" s="104"/>
      <c r="P662" s="104"/>
      <c r="Q662" s="104"/>
      <c r="R662" s="104" t="s">
        <v>1022</v>
      </c>
      <c r="S662" s="104">
        <v>6.0</v>
      </c>
      <c r="T662" s="104" t="s">
        <v>4256</v>
      </c>
      <c r="U662" s="104"/>
      <c r="V662" s="104" t="s">
        <v>4256</v>
      </c>
      <c r="W662" s="104"/>
    </row>
    <row r="663">
      <c r="A663" s="105">
        <v>46158.0</v>
      </c>
      <c r="B663" s="79" t="str">
        <f>IFERROR(__xludf.DUMMYFUNCTION("""COMPUTED_VALUE"""),"DR-AC-JMB-1A-3")</f>
        <v>DR-AC-JMB-1A-3</v>
      </c>
      <c r="C663" s="104"/>
      <c r="D663" s="104"/>
      <c r="E663" s="104" t="str">
        <f>IFERROR(__xludf.DUMMYFUNCTION("""COMPUTED_VALUE"""),"AGP-PO-4-BN-1")</f>
        <v>AGP-PO-4-BN-1</v>
      </c>
      <c r="F663" s="98">
        <v>0.0</v>
      </c>
      <c r="G663" s="110"/>
      <c r="H663" s="98"/>
      <c r="I663" s="98"/>
      <c r="J663" s="98"/>
      <c r="K663" s="98"/>
      <c r="L663" s="104"/>
      <c r="M663" s="98" t="s">
        <v>39</v>
      </c>
      <c r="N663" s="103" t="str">
        <f>IFERROR(__xludf.DUMMYFUNCTION("""COMPUTED_VALUE"""),"")</f>
        <v/>
      </c>
      <c r="O663" s="104"/>
      <c r="P663" s="104"/>
      <c r="Q663" s="104"/>
      <c r="R663" s="104" t="s">
        <v>1023</v>
      </c>
      <c r="S663" s="104">
        <v>6.0</v>
      </c>
      <c r="T663" s="104" t="s">
        <v>4257</v>
      </c>
      <c r="U663" s="104"/>
      <c r="V663" s="104" t="s">
        <v>4257</v>
      </c>
      <c r="W663" s="104"/>
    </row>
    <row r="664">
      <c r="A664" s="105">
        <v>46158.0</v>
      </c>
      <c r="B664" s="79" t="str">
        <f>IFERROR(__xludf.DUMMYFUNCTION("""COMPUTED_VALUE"""),"DR-AC-JMB-1A-4")</f>
        <v>DR-AC-JMB-1A-4</v>
      </c>
      <c r="C664" s="104"/>
      <c r="D664" s="104"/>
      <c r="E664" s="104" t="str">
        <f>IFERROR(__xludf.DUMMYFUNCTION("""COMPUTED_VALUE"""),"AGP-PO-4-BN-1")</f>
        <v>AGP-PO-4-BN-1</v>
      </c>
      <c r="F664" s="98">
        <v>0.0</v>
      </c>
      <c r="G664" s="110"/>
      <c r="H664" s="98"/>
      <c r="I664" s="98"/>
      <c r="J664" s="98"/>
      <c r="K664" s="98"/>
      <c r="L664" s="104"/>
      <c r="M664" s="98" t="s">
        <v>39</v>
      </c>
      <c r="N664" s="103" t="str">
        <f>IFERROR(__xludf.DUMMYFUNCTION("""COMPUTED_VALUE"""),"")</f>
        <v/>
      </c>
      <c r="O664" s="104"/>
      <c r="P664" s="104"/>
      <c r="Q664" s="104"/>
      <c r="R664" s="104" t="s">
        <v>1024</v>
      </c>
      <c r="S664" s="104">
        <v>6.0</v>
      </c>
      <c r="T664" s="104" t="s">
        <v>4258</v>
      </c>
      <c r="U664" s="104"/>
      <c r="V664" s="104" t="s">
        <v>4258</v>
      </c>
      <c r="W664" s="104"/>
    </row>
    <row r="665">
      <c r="A665" s="105">
        <v>46158.0</v>
      </c>
      <c r="B665" s="79" t="str">
        <f>IFERROR(__xludf.DUMMYFUNCTION("""COMPUTED_VALUE"""),"DR-AC-JMB-1A-5")</f>
        <v>DR-AC-JMB-1A-5</v>
      </c>
      <c r="C665" s="104"/>
      <c r="D665" s="104"/>
      <c r="E665" s="104" t="str">
        <f>IFERROR(__xludf.DUMMYFUNCTION("""COMPUTED_VALUE"""),"AGP-PO-4-BN-1")</f>
        <v>AGP-PO-4-BN-1</v>
      </c>
      <c r="F665" s="98">
        <v>0.0</v>
      </c>
      <c r="G665" s="110"/>
      <c r="H665" s="98"/>
      <c r="I665" s="98"/>
      <c r="J665" s="98"/>
      <c r="K665" s="98"/>
      <c r="L665" s="104"/>
      <c r="M665" s="98" t="s">
        <v>39</v>
      </c>
      <c r="N665" s="103" t="str">
        <f>IFERROR(__xludf.DUMMYFUNCTION("""COMPUTED_VALUE"""),"")</f>
        <v/>
      </c>
      <c r="O665" s="104"/>
      <c r="P665" s="104"/>
      <c r="Q665" s="104"/>
      <c r="R665" s="104" t="s">
        <v>1025</v>
      </c>
      <c r="S665" s="104">
        <v>6.0</v>
      </c>
      <c r="T665" s="104" t="s">
        <v>4259</v>
      </c>
      <c r="U665" s="104"/>
      <c r="V665" s="104" t="s">
        <v>4259</v>
      </c>
      <c r="W665" s="104"/>
    </row>
    <row r="666">
      <c r="A666" s="105">
        <v>46158.0</v>
      </c>
      <c r="B666" s="79" t="str">
        <f>IFERROR(__xludf.DUMMYFUNCTION("""COMPUTED_VALUE"""),"DR-AC-JMB-1A-6")</f>
        <v>DR-AC-JMB-1A-6</v>
      </c>
      <c r="C666" s="104"/>
      <c r="D666" s="104"/>
      <c r="E666" s="104" t="str">
        <f>IFERROR(__xludf.DUMMYFUNCTION("""COMPUTED_VALUE"""),"AGP-PO-4-BN-1")</f>
        <v>AGP-PO-4-BN-1</v>
      </c>
      <c r="F666" s="98">
        <v>0.0</v>
      </c>
      <c r="G666" s="110"/>
      <c r="H666" s="98"/>
      <c r="I666" s="98"/>
      <c r="J666" s="98"/>
      <c r="K666" s="98"/>
      <c r="L666" s="104"/>
      <c r="M666" s="98" t="s">
        <v>39</v>
      </c>
      <c r="N666" s="103" t="str">
        <f>IFERROR(__xludf.DUMMYFUNCTION("""COMPUTED_VALUE"""),"")</f>
        <v/>
      </c>
      <c r="O666" s="104"/>
      <c r="P666" s="104"/>
      <c r="Q666" s="104"/>
      <c r="R666" s="104" t="s">
        <v>1026</v>
      </c>
      <c r="S666" s="104">
        <v>6.0</v>
      </c>
      <c r="T666" s="104" t="s">
        <v>4260</v>
      </c>
      <c r="U666" s="104"/>
      <c r="V666" s="104" t="s">
        <v>4260</v>
      </c>
      <c r="W666" s="104"/>
    </row>
    <row r="667">
      <c r="A667" s="105">
        <v>46158.0</v>
      </c>
      <c r="B667" s="79" t="str">
        <f>IFERROR(__xludf.DUMMYFUNCTION("""COMPUTED_VALUE"""),"DR-AC-JMB-1A-7")</f>
        <v>DR-AC-JMB-1A-7</v>
      </c>
      <c r="C667" s="104"/>
      <c r="D667" s="104"/>
      <c r="E667" s="104" t="str">
        <f>IFERROR(__xludf.DUMMYFUNCTION("""COMPUTED_VALUE"""),"AGP-PO-4-BN-1")</f>
        <v>AGP-PO-4-BN-1</v>
      </c>
      <c r="F667" s="98">
        <v>0.0</v>
      </c>
      <c r="G667" s="110"/>
      <c r="H667" s="98"/>
      <c r="I667" s="98"/>
      <c r="J667" s="98"/>
      <c r="K667" s="98"/>
      <c r="L667" s="104"/>
      <c r="M667" s="98" t="s">
        <v>39</v>
      </c>
      <c r="N667" s="103" t="str">
        <f>IFERROR(__xludf.DUMMYFUNCTION("""COMPUTED_VALUE"""),"")</f>
        <v/>
      </c>
      <c r="O667" s="104"/>
      <c r="P667" s="104"/>
      <c r="Q667" s="104"/>
      <c r="R667" s="104" t="s">
        <v>1027</v>
      </c>
      <c r="S667" s="104">
        <v>6.0</v>
      </c>
      <c r="T667" s="104" t="s">
        <v>4261</v>
      </c>
      <c r="U667" s="104"/>
      <c r="V667" s="104" t="s">
        <v>4261</v>
      </c>
      <c r="W667" s="104"/>
    </row>
    <row r="668">
      <c r="A668" s="105">
        <v>45885.0</v>
      </c>
      <c r="B668" s="79" t="str">
        <f>IFERROR(__xludf.DUMMYFUNCTION("""COMPUTED_VALUE"""),"HS-PO-GO-1H")</f>
        <v>HS-PO-GO-1H</v>
      </c>
      <c r="C668" s="104"/>
      <c r="D668" s="104"/>
      <c r="E668" s="104" t="str">
        <f>IFERROR(__xludf.DUMMYFUNCTION("""COMPUTED_VALUE"""),"DV-PO-2-WH-1")</f>
        <v>DV-PO-2-WH-1</v>
      </c>
      <c r="F668" s="98">
        <v>0.0</v>
      </c>
      <c r="G668" s="110"/>
      <c r="H668" s="98"/>
      <c r="I668" s="98"/>
      <c r="J668" s="98"/>
      <c r="K668" s="98"/>
      <c r="L668" s="104"/>
      <c r="M668" s="98" t="s">
        <v>39</v>
      </c>
      <c r="N668" s="103" t="str">
        <f>IFERROR(__xludf.DUMMYFUNCTION("""COMPUTED_VALUE"""),"")</f>
        <v/>
      </c>
      <c r="O668" s="104"/>
      <c r="P668" s="104"/>
      <c r="Q668" s="104"/>
      <c r="R668" s="104" t="s">
        <v>4262</v>
      </c>
      <c r="S668" s="104" t="s">
        <v>39</v>
      </c>
      <c r="T668" s="104" t="s">
        <v>4263</v>
      </c>
      <c r="U668" s="104"/>
      <c r="V668" s="104" t="s">
        <v>4263</v>
      </c>
      <c r="W668" s="104"/>
    </row>
    <row r="669">
      <c r="A669" s="105">
        <v>45885.0</v>
      </c>
      <c r="B669" s="79" t="str">
        <f>IFERROR(__xludf.DUMMYFUNCTION("""COMPUTED_VALUE"""),"TOGPS-PH-POO-1A-2")</f>
        <v>TOGPS-PH-POO-1A-2</v>
      </c>
      <c r="C669" s="104"/>
      <c r="D669" s="104"/>
      <c r="E669" s="104" t="str">
        <f>IFERROR(__xludf.DUMMYFUNCTION("""COMPUTED_VALUE"""),"TE-PO-4-MU-1")</f>
        <v>TE-PO-4-MU-1</v>
      </c>
      <c r="F669" s="98" t="s">
        <v>39</v>
      </c>
      <c r="G669" s="110"/>
      <c r="H669" s="98"/>
      <c r="I669" s="98"/>
      <c r="J669" s="98"/>
      <c r="K669" s="98"/>
      <c r="L669" s="104"/>
      <c r="M669" s="98" t="s">
        <v>39</v>
      </c>
      <c r="N669" s="103" t="str">
        <f>IFERROR(__xludf.DUMMYFUNCTION("""COMPUTED_VALUE"""),"")</f>
        <v/>
      </c>
      <c r="O669" s="104"/>
      <c r="P669" s="104"/>
      <c r="Q669" s="104"/>
      <c r="R669" s="104" t="s">
        <v>4264</v>
      </c>
      <c r="S669" s="104" t="s">
        <v>39</v>
      </c>
      <c r="T669" s="104" t="s">
        <v>4265</v>
      </c>
      <c r="U669" s="104"/>
      <c r="V669" s="104" t="s">
        <v>4265</v>
      </c>
      <c r="W669" s="104"/>
    </row>
    <row r="670">
      <c r="A670" s="105">
        <v>45891.0</v>
      </c>
      <c r="B670" s="79" t="str">
        <f>IFERROR(__xludf.DUMMYFUNCTION("""COMPUTED_VALUE"""),"FMY-MA-DE-1A-4A")</f>
        <v>FMY-MA-DE-1A-4A</v>
      </c>
      <c r="C670" s="104"/>
      <c r="D670" s="104"/>
      <c r="E670" s="104" t="str">
        <f>IFERROR(__xludf.DUMMYFUNCTION("""COMPUTED_VALUE"""),"GA-PO-6-MU-1")</f>
        <v>GA-PO-6-MU-1</v>
      </c>
      <c r="F670" s="98">
        <v>1.57</v>
      </c>
      <c r="G670" s="110"/>
      <c r="H670" s="98"/>
      <c r="I670" s="98"/>
      <c r="J670" s="98"/>
      <c r="K670" s="98"/>
      <c r="L670" s="104"/>
      <c r="M670" s="98" t="s">
        <v>39</v>
      </c>
      <c r="N670" s="103" t="str">
        <f>IFERROR(__xludf.DUMMYFUNCTION("""COMPUTED_VALUE"""),"")</f>
        <v/>
      </c>
      <c r="O670" s="104"/>
      <c r="P670" s="104"/>
      <c r="Q670" s="104"/>
      <c r="R670" s="104" t="s">
        <v>4266</v>
      </c>
      <c r="S670" s="104" t="s">
        <v>39</v>
      </c>
      <c r="T670" s="104" t="s">
        <v>4267</v>
      </c>
      <c r="U670" s="104"/>
      <c r="V670" s="104" t="s">
        <v>4267</v>
      </c>
      <c r="W670" s="104"/>
    </row>
    <row r="671">
      <c r="A671" s="105">
        <v>45891.0</v>
      </c>
      <c r="B671" s="79" t="str">
        <f>IFERROR(__xludf.DUMMYFUNCTION("""COMPUTED_VALUE"""),"FMY-MA-DE-1A-4B")</f>
        <v>FMY-MA-DE-1A-4B</v>
      </c>
      <c r="C671" s="104"/>
      <c r="D671" s="104"/>
      <c r="E671" s="104" t="str">
        <f>IFERROR(__xludf.DUMMYFUNCTION("""COMPUTED_VALUE"""),"GA-PO-6-MU-1")</f>
        <v>GA-PO-6-MU-1</v>
      </c>
      <c r="F671" s="98">
        <v>1.57</v>
      </c>
      <c r="G671" s="110"/>
      <c r="H671" s="98"/>
      <c r="I671" s="98"/>
      <c r="J671" s="98"/>
      <c r="K671" s="98"/>
      <c r="L671" s="104"/>
      <c r="M671" s="98" t="s">
        <v>39</v>
      </c>
      <c r="N671" s="103" t="str">
        <f>IFERROR(__xludf.DUMMYFUNCTION("""COMPUTED_VALUE"""),"")</f>
        <v/>
      </c>
      <c r="O671" s="104"/>
      <c r="P671" s="104"/>
      <c r="Q671" s="104"/>
      <c r="R671" s="104" t="s">
        <v>4268</v>
      </c>
      <c r="S671" s="104" t="s">
        <v>39</v>
      </c>
      <c r="T671" s="104" t="s">
        <v>4269</v>
      </c>
      <c r="U671" s="104"/>
      <c r="V671" s="104" t="s">
        <v>4269</v>
      </c>
      <c r="W671" s="104"/>
    </row>
    <row r="672">
      <c r="A672" s="105">
        <v>45891.0</v>
      </c>
      <c r="B672" s="79" t="str">
        <f>IFERROR(__xludf.DUMMYFUNCTION("""COMPUTED_VALUE"""),"FMY-MA-DE-1A-4C")</f>
        <v>FMY-MA-DE-1A-4C</v>
      </c>
      <c r="C672" s="104"/>
      <c r="D672" s="104"/>
      <c r="E672" s="104" t="str">
        <f>IFERROR(__xludf.DUMMYFUNCTION("""COMPUTED_VALUE"""),"TE-PO-4-MU-1")</f>
        <v>TE-PO-4-MU-1</v>
      </c>
      <c r="F672" s="98">
        <v>1.57</v>
      </c>
      <c r="G672" s="110"/>
      <c r="H672" s="98"/>
      <c r="I672" s="98"/>
      <c r="J672" s="98"/>
      <c r="K672" s="98"/>
      <c r="L672" s="104"/>
      <c r="M672" s="98" t="s">
        <v>39</v>
      </c>
      <c r="N672" s="103" t="str">
        <f>IFERROR(__xludf.DUMMYFUNCTION("""COMPUTED_VALUE"""),"")</f>
        <v/>
      </c>
      <c r="O672" s="104"/>
      <c r="P672" s="104"/>
      <c r="Q672" s="104"/>
      <c r="R672" s="104" t="s">
        <v>4270</v>
      </c>
      <c r="S672" s="104" t="s">
        <v>39</v>
      </c>
      <c r="T672" s="104" t="s">
        <v>4271</v>
      </c>
      <c r="U672" s="104"/>
      <c r="V672" s="104" t="s">
        <v>4271</v>
      </c>
      <c r="W672" s="104"/>
    </row>
    <row r="673">
      <c r="A673" s="105">
        <v>45891.0</v>
      </c>
      <c r="B673" s="79" t="str">
        <f>IFERROR(__xludf.DUMMYFUNCTION("""COMPUTED_VALUE"""),"FMY-MA-DE-1A-4D")</f>
        <v>FMY-MA-DE-1A-4D</v>
      </c>
      <c r="C673" s="104"/>
      <c r="D673" s="104"/>
      <c r="E673" s="104" t="str">
        <f>IFERROR(__xludf.DUMMYFUNCTION("""COMPUTED_VALUE"""),"TE-PO-4-MU-1")</f>
        <v>TE-PO-4-MU-1</v>
      </c>
      <c r="F673" s="98">
        <v>1.57</v>
      </c>
      <c r="G673" s="110"/>
      <c r="H673" s="98"/>
      <c r="I673" s="98"/>
      <c r="J673" s="98"/>
      <c r="K673" s="98"/>
      <c r="L673" s="104"/>
      <c r="M673" s="98" t="s">
        <v>39</v>
      </c>
      <c r="N673" s="103" t="str">
        <f>IFERROR(__xludf.DUMMYFUNCTION("""COMPUTED_VALUE"""),"")</f>
        <v/>
      </c>
      <c r="O673" s="104"/>
      <c r="P673" s="104"/>
      <c r="Q673" s="104"/>
      <c r="R673" s="104" t="s">
        <v>4272</v>
      </c>
      <c r="S673" s="104" t="s">
        <v>39</v>
      </c>
      <c r="T673" s="104" t="s">
        <v>4273</v>
      </c>
      <c r="U673" s="104"/>
      <c r="V673" s="104" t="s">
        <v>4273</v>
      </c>
      <c r="W673" s="104"/>
    </row>
    <row r="674">
      <c r="A674" s="105">
        <v>45891.0</v>
      </c>
      <c r="B674" s="79" t="str">
        <f>IFERROR(__xludf.DUMMYFUNCTION("""COMPUTED_VALUE"""),"FMY-MA-DE-1A-4E")</f>
        <v>FMY-MA-DE-1A-4E</v>
      </c>
      <c r="C674" s="104"/>
      <c r="D674" s="104"/>
      <c r="E674" s="104" t="str">
        <f>IFERROR(__xludf.DUMMYFUNCTION("""COMPUTED_VALUE"""),"TE-PO-4-MU-1")</f>
        <v>TE-PO-4-MU-1</v>
      </c>
      <c r="F674" s="98">
        <v>1.57</v>
      </c>
      <c r="G674" s="110"/>
      <c r="H674" s="98"/>
      <c r="I674" s="98"/>
      <c r="J674" s="98"/>
      <c r="K674" s="98"/>
      <c r="L674" s="104"/>
      <c r="M674" s="98" t="s">
        <v>39</v>
      </c>
      <c r="N674" s="103" t="str">
        <f>IFERROR(__xludf.DUMMYFUNCTION("""COMPUTED_VALUE"""),"")</f>
        <v/>
      </c>
      <c r="O674" s="104"/>
      <c r="P674" s="104"/>
      <c r="Q674" s="104"/>
      <c r="R674" s="104" t="s">
        <v>4274</v>
      </c>
      <c r="S674" s="104" t="s">
        <v>39</v>
      </c>
      <c r="T674" s="104" t="s">
        <v>4275</v>
      </c>
      <c r="U674" s="104"/>
      <c r="V674" s="104" t="s">
        <v>4275</v>
      </c>
      <c r="W674" s="104"/>
    </row>
    <row r="675">
      <c r="A675" s="105">
        <v>45891.0</v>
      </c>
      <c r="B675" s="79" t="str">
        <f>IFERROR(__xludf.DUMMYFUNCTION("""COMPUTED_VALUE"""),"FMY-MA-DE-1A-4F")</f>
        <v>FMY-MA-DE-1A-4F</v>
      </c>
      <c r="C675" s="104"/>
      <c r="D675" s="104"/>
      <c r="E675" s="104" t="str">
        <f>IFERROR(__xludf.DUMMYFUNCTION("""COMPUTED_VALUE"""),"DV-PO-2-WH-1")</f>
        <v>DV-PO-2-WH-1</v>
      </c>
      <c r="F675" s="98">
        <v>1.57</v>
      </c>
      <c r="G675" s="110"/>
      <c r="H675" s="98"/>
      <c r="I675" s="98"/>
      <c r="J675" s="98"/>
      <c r="K675" s="98"/>
      <c r="L675" s="104"/>
      <c r="M675" s="98" t="s">
        <v>39</v>
      </c>
      <c r="N675" s="103" t="str">
        <f>IFERROR(__xludf.DUMMYFUNCTION("""COMPUTED_VALUE"""),"")</f>
        <v/>
      </c>
      <c r="O675" s="104"/>
      <c r="P675" s="104"/>
      <c r="Q675" s="104"/>
      <c r="R675" s="104" t="s">
        <v>4276</v>
      </c>
      <c r="S675" s="104" t="s">
        <v>39</v>
      </c>
      <c r="T675" s="104" t="s">
        <v>4277</v>
      </c>
      <c r="U675" s="104"/>
      <c r="V675" s="104" t="s">
        <v>4277</v>
      </c>
      <c r="W675" s="104"/>
    </row>
    <row r="676">
      <c r="A676" s="105">
        <v>45891.0</v>
      </c>
      <c r="B676" s="79" t="str">
        <f>IFERROR(__xludf.DUMMYFUNCTION("""COMPUTED_VALUE"""),"FMY-MA-DE-1A-3A")</f>
        <v>FMY-MA-DE-1A-3A</v>
      </c>
      <c r="C676" s="104"/>
      <c r="D676" s="104"/>
      <c r="E676" s="104" t="str">
        <f>IFERROR(__xludf.DUMMYFUNCTION("""COMPUTED_VALUE"""),"ZO-PO-4-WL-1")</f>
        <v>ZO-PO-4-WL-1</v>
      </c>
      <c r="F676" s="98">
        <v>3.3316666666666666</v>
      </c>
      <c r="G676" s="110"/>
      <c r="H676" s="98"/>
      <c r="I676" s="98"/>
      <c r="J676" s="98"/>
      <c r="K676" s="98"/>
      <c r="L676" s="104"/>
      <c r="M676" s="98" t="s">
        <v>39</v>
      </c>
      <c r="N676" s="103" t="str">
        <f>IFERROR(__xludf.DUMMYFUNCTION("""COMPUTED_VALUE"""),"")</f>
        <v/>
      </c>
      <c r="O676" s="104"/>
      <c r="P676" s="104"/>
      <c r="Q676" s="104"/>
      <c r="R676" s="104" t="s">
        <v>4278</v>
      </c>
      <c r="S676" s="104" t="s">
        <v>39</v>
      </c>
      <c r="T676" s="104" t="s">
        <v>4279</v>
      </c>
      <c r="U676" s="104"/>
      <c r="V676" s="104" t="s">
        <v>4279</v>
      </c>
      <c r="W676" s="104"/>
    </row>
    <row r="677">
      <c r="A677" s="105">
        <v>45891.0</v>
      </c>
      <c r="B677" s="79" t="str">
        <f>IFERROR(__xludf.DUMMYFUNCTION("""COMPUTED_VALUE"""),"FMY-MA-DE-1A-3B")</f>
        <v>FMY-MA-DE-1A-3B</v>
      </c>
      <c r="C677" s="104"/>
      <c r="D677" s="104"/>
      <c r="E677" s="104" t="str">
        <f>IFERROR(__xludf.DUMMYFUNCTION("""COMPUTED_VALUE"""),"ZO-PO-4-WL-1")</f>
        <v>ZO-PO-4-WL-1</v>
      </c>
      <c r="F677" s="98">
        <v>3.3316666666666666</v>
      </c>
      <c r="G677" s="110"/>
      <c r="H677" s="98"/>
      <c r="I677" s="98"/>
      <c r="J677" s="98"/>
      <c r="K677" s="98"/>
      <c r="L677" s="104"/>
      <c r="M677" s="98" t="s">
        <v>39</v>
      </c>
      <c r="N677" s="103" t="str">
        <f>IFERROR(__xludf.DUMMYFUNCTION("""COMPUTED_VALUE"""),"")</f>
        <v/>
      </c>
      <c r="O677" s="104"/>
      <c r="P677" s="104"/>
      <c r="Q677" s="104"/>
      <c r="R677" s="104" t="s">
        <v>4280</v>
      </c>
      <c r="S677" s="104" t="s">
        <v>39</v>
      </c>
      <c r="T677" s="104" t="s">
        <v>4281</v>
      </c>
      <c r="U677" s="104"/>
      <c r="V677" s="104" t="s">
        <v>4281</v>
      </c>
      <c r="W677" s="104"/>
    </row>
    <row r="678">
      <c r="A678" s="105">
        <v>45891.0</v>
      </c>
      <c r="B678" s="79" t="str">
        <f>IFERROR(__xludf.DUMMYFUNCTION("""COMPUTED_VALUE"""),"FMY-MA-DE-1A-3C")</f>
        <v>FMY-MA-DE-1A-3C</v>
      </c>
      <c r="C678" s="104"/>
      <c r="D678" s="104"/>
      <c r="E678" s="104" t="str">
        <f>IFERROR(__xludf.DUMMYFUNCTION("""COMPUTED_VALUE"""),"ZO-PO-4-WL-1")</f>
        <v>ZO-PO-4-WL-1</v>
      </c>
      <c r="F678" s="98">
        <v>3.3316666666666666</v>
      </c>
      <c r="G678" s="110"/>
      <c r="H678" s="98"/>
      <c r="I678" s="98"/>
      <c r="J678" s="98"/>
      <c r="K678" s="98"/>
      <c r="L678" s="104"/>
      <c r="M678" s="98" t="s">
        <v>39</v>
      </c>
      <c r="N678" s="103" t="str">
        <f>IFERROR(__xludf.DUMMYFUNCTION("""COMPUTED_VALUE"""),"")</f>
        <v/>
      </c>
      <c r="O678" s="104"/>
      <c r="P678" s="104"/>
      <c r="Q678" s="104"/>
      <c r="R678" s="104" t="s">
        <v>4282</v>
      </c>
      <c r="S678" s="104" t="s">
        <v>39</v>
      </c>
      <c r="T678" s="104" t="s">
        <v>4283</v>
      </c>
      <c r="U678" s="104"/>
      <c r="V678" s="104" t="s">
        <v>4283</v>
      </c>
      <c r="W678" s="104"/>
    </row>
    <row r="679">
      <c r="A679" s="105">
        <v>45891.0</v>
      </c>
      <c r="B679" s="79" t="str">
        <f>IFERROR(__xludf.DUMMYFUNCTION("""COMPUTED_VALUE"""),"FMY-MA-DE-1A-3D")</f>
        <v>FMY-MA-DE-1A-3D</v>
      </c>
      <c r="C679" s="104"/>
      <c r="D679" s="104"/>
      <c r="E679" s="104" t="str">
        <f>IFERROR(__xludf.DUMMYFUNCTION("""COMPUTED_VALUE"""),"ZO-PO-4-WL-1")</f>
        <v>ZO-PO-4-WL-1</v>
      </c>
      <c r="F679" s="98">
        <v>3.3316666666666666</v>
      </c>
      <c r="G679" s="110"/>
      <c r="H679" s="98"/>
      <c r="I679" s="98"/>
      <c r="J679" s="98"/>
      <c r="K679" s="98"/>
      <c r="L679" s="104"/>
      <c r="M679" s="98" t="s">
        <v>39</v>
      </c>
      <c r="N679" s="103" t="str">
        <f>IFERROR(__xludf.DUMMYFUNCTION("""COMPUTED_VALUE"""),"")</f>
        <v/>
      </c>
      <c r="O679" s="104"/>
      <c r="P679" s="104"/>
      <c r="Q679" s="104"/>
      <c r="R679" s="104" t="s">
        <v>4284</v>
      </c>
      <c r="S679" s="104" t="s">
        <v>39</v>
      </c>
      <c r="T679" s="104" t="s">
        <v>4285</v>
      </c>
      <c r="U679" s="104"/>
      <c r="V679" s="104" t="s">
        <v>4285</v>
      </c>
      <c r="W679" s="104"/>
    </row>
    <row r="680">
      <c r="A680" s="105">
        <v>45891.0</v>
      </c>
      <c r="B680" s="79" t="str">
        <f>IFERROR(__xludf.DUMMYFUNCTION("""COMPUTED_VALUE"""),"FMY-MA-DE-1A-3E")</f>
        <v>FMY-MA-DE-1A-3E</v>
      </c>
      <c r="C680" s="104"/>
      <c r="D680" s="104"/>
      <c r="E680" s="104" t="str">
        <f>IFERROR(__xludf.DUMMYFUNCTION("""COMPUTED_VALUE"""),"AN-PO-3-MU-1")</f>
        <v>AN-PO-3-MU-1</v>
      </c>
      <c r="F680" s="98">
        <v>3.3316666666666666</v>
      </c>
      <c r="G680" s="110"/>
      <c r="H680" s="98"/>
      <c r="I680" s="98"/>
      <c r="J680" s="98"/>
      <c r="K680" s="98"/>
      <c r="L680" s="104"/>
      <c r="M680" s="98" t="s">
        <v>39</v>
      </c>
      <c r="N680" s="103" t="str">
        <f>IFERROR(__xludf.DUMMYFUNCTION("""COMPUTED_VALUE"""),"")</f>
        <v/>
      </c>
      <c r="O680" s="104"/>
      <c r="P680" s="104"/>
      <c r="Q680" s="104"/>
      <c r="R680" s="104" t="s">
        <v>4286</v>
      </c>
      <c r="S680" s="104" t="s">
        <v>39</v>
      </c>
      <c r="T680" s="104" t="s">
        <v>4287</v>
      </c>
      <c r="U680" s="104"/>
      <c r="V680" s="104" t="s">
        <v>4287</v>
      </c>
      <c r="W680" s="104"/>
    </row>
    <row r="681">
      <c r="A681" s="105">
        <v>45896.0</v>
      </c>
      <c r="B681" s="79" t="str">
        <f>IFERROR(__xludf.DUMMYFUNCTION("""COMPUTED_VALUE"""),"HD-AL-LO-1A-2B")</f>
        <v>HD-AL-LO-1A-2B</v>
      </c>
      <c r="C681" s="104"/>
      <c r="D681" s="104"/>
      <c r="E681" s="104" t="str">
        <f>IFERROR(__xludf.DUMMYFUNCTION("""COMPUTED_VALUE"""),"AN-PO-3-MU-1")</f>
        <v>AN-PO-3-MU-1</v>
      </c>
      <c r="F681" s="98">
        <v>9.993333333333334</v>
      </c>
      <c r="G681" s="110"/>
      <c r="H681" s="98"/>
      <c r="I681" s="98"/>
      <c r="J681" s="98"/>
      <c r="K681" s="98"/>
      <c r="L681" s="104"/>
      <c r="M681" s="98" t="s">
        <v>39</v>
      </c>
      <c r="N681" s="103" t="str">
        <f>IFERROR(__xludf.DUMMYFUNCTION("""COMPUTED_VALUE"""),"")</f>
        <v/>
      </c>
      <c r="O681" s="104"/>
      <c r="P681" s="104"/>
      <c r="Q681" s="104"/>
      <c r="R681" s="104" t="s">
        <v>4288</v>
      </c>
      <c r="S681" s="104" t="s">
        <v>39</v>
      </c>
      <c r="T681" s="104" t="s">
        <v>4289</v>
      </c>
      <c r="U681" s="104"/>
      <c r="V681" s="104" t="s">
        <v>4289</v>
      </c>
      <c r="W681" s="104"/>
    </row>
    <row r="682">
      <c r="A682" s="105">
        <v>45896.0</v>
      </c>
      <c r="B682" s="79" t="str">
        <f>IFERROR(__xludf.DUMMYFUNCTION("""COMPUTED_VALUE"""),"HD-AL-LO-1A-2C")</f>
        <v>HD-AL-LO-1A-2C</v>
      </c>
      <c r="C682" s="104"/>
      <c r="D682" s="104"/>
      <c r="E682" s="104" t="str">
        <f>IFERROR(__xludf.DUMMYFUNCTION("""COMPUTED_VALUE"""),"DV-PO-2-WH-1")</f>
        <v>DV-PO-2-WH-1</v>
      </c>
      <c r="F682" s="98">
        <v>9.993333333333334</v>
      </c>
      <c r="G682" s="110"/>
      <c r="H682" s="98"/>
      <c r="I682" s="98"/>
      <c r="J682" s="98"/>
      <c r="K682" s="98"/>
      <c r="L682" s="104"/>
      <c r="M682" s="98" t="s">
        <v>39</v>
      </c>
      <c r="N682" s="103" t="str">
        <f>IFERROR(__xludf.DUMMYFUNCTION("""COMPUTED_VALUE"""),"")</f>
        <v/>
      </c>
      <c r="O682" s="104"/>
      <c r="P682" s="104"/>
      <c r="Q682" s="104"/>
      <c r="R682" s="104" t="s">
        <v>4290</v>
      </c>
      <c r="S682" s="104" t="s">
        <v>39</v>
      </c>
      <c r="T682" s="104" t="s">
        <v>4291</v>
      </c>
      <c r="U682" s="104"/>
      <c r="V682" s="104" t="s">
        <v>4291</v>
      </c>
      <c r="W682" s="104"/>
    </row>
    <row r="683">
      <c r="A683" s="105">
        <v>45885.0</v>
      </c>
      <c r="B683" s="79" t="str">
        <f>IFERROR(__xludf.DUMMYFUNCTION("""COMPUTED_VALUE"""),"HS-PH-HL-1B")</f>
        <v>HS-PH-HL-1B</v>
      </c>
      <c r="C683" s="104"/>
      <c r="D683" s="104"/>
      <c r="E683" s="104" t="str">
        <f>IFERROR(__xludf.DUMMYFUNCTION("""COMPUTED_VALUE"""),"TE-PO-4-MU-1")</f>
        <v>TE-PO-4-MU-1</v>
      </c>
      <c r="F683" s="98">
        <v>0.0</v>
      </c>
      <c r="G683" s="110"/>
      <c r="H683" s="98"/>
      <c r="I683" s="98"/>
      <c r="J683" s="98"/>
      <c r="K683" s="98"/>
      <c r="L683" s="104"/>
      <c r="M683" s="98" t="s">
        <v>39</v>
      </c>
      <c r="N683" s="103" t="str">
        <f>IFERROR(__xludf.DUMMYFUNCTION("""COMPUTED_VALUE"""),"")</f>
        <v/>
      </c>
      <c r="O683" s="104"/>
      <c r="P683" s="104"/>
      <c r="Q683" s="104"/>
      <c r="R683" s="104" t="s">
        <v>4292</v>
      </c>
      <c r="S683" s="104" t="s">
        <v>39</v>
      </c>
      <c r="T683" s="104" t="s">
        <v>4293</v>
      </c>
      <c r="U683" s="104"/>
      <c r="V683" s="104" t="s">
        <v>4293</v>
      </c>
      <c r="W683" s="104"/>
    </row>
    <row r="684">
      <c r="A684" s="105">
        <v>45885.0</v>
      </c>
      <c r="B684" s="79" t="str">
        <f>IFERROR(__xludf.DUMMYFUNCTION("""COMPUTED_VALUE"""),"HS-PH-HL-1C")</f>
        <v>HS-PH-HL-1C</v>
      </c>
      <c r="C684" s="104"/>
      <c r="D684" s="104"/>
      <c r="E684" s="104" t="str">
        <f>IFERROR(__xludf.DUMMYFUNCTION("""COMPUTED_VALUE"""),"TE-PO-4-MU-1")</f>
        <v>TE-PO-4-MU-1</v>
      </c>
      <c r="F684" s="98">
        <v>0.0</v>
      </c>
      <c r="G684" s="110"/>
      <c r="H684" s="98"/>
      <c r="I684" s="98"/>
      <c r="J684" s="98"/>
      <c r="K684" s="98"/>
      <c r="L684" s="104"/>
      <c r="M684" s="98" t="s">
        <v>39</v>
      </c>
      <c r="N684" s="103" t="str">
        <f>IFERROR(__xludf.DUMMYFUNCTION("""COMPUTED_VALUE"""),"")</f>
        <v/>
      </c>
      <c r="O684" s="104"/>
      <c r="P684" s="104"/>
      <c r="Q684" s="104"/>
      <c r="R684" s="104" t="s">
        <v>4294</v>
      </c>
      <c r="S684" s="104" t="s">
        <v>39</v>
      </c>
      <c r="T684" s="104" t="s">
        <v>4295</v>
      </c>
      <c r="U684" s="104"/>
      <c r="V684" s="104" t="s">
        <v>4295</v>
      </c>
      <c r="W684" s="104"/>
    </row>
    <row r="685">
      <c r="A685" s="105">
        <v>45886.0</v>
      </c>
      <c r="B685" s="79" t="str">
        <f>IFERROR(__xludf.DUMMYFUNCTION("""COMPUTED_VALUE"""),"HD-AL-LO-1B")</f>
        <v>HD-AL-LO-1B</v>
      </c>
      <c r="C685" s="104"/>
      <c r="D685" s="104"/>
      <c r="E685" s="104" t="str">
        <f>IFERROR(__xludf.DUMMYFUNCTION("""COMPUTED_VALUE"""),"WO-PO-6-MU-1")</f>
        <v>WO-PO-6-MU-1</v>
      </c>
      <c r="F685" s="98">
        <v>7.495</v>
      </c>
      <c r="G685" s="110"/>
      <c r="H685" s="98"/>
      <c r="I685" s="98"/>
      <c r="J685" s="98"/>
      <c r="K685" s="98"/>
      <c r="L685" s="104"/>
      <c r="M685" s="98" t="s">
        <v>39</v>
      </c>
      <c r="N685" s="103" t="str">
        <f>IFERROR(__xludf.DUMMYFUNCTION("""COMPUTED_VALUE"""),"")</f>
        <v/>
      </c>
      <c r="O685" s="104"/>
      <c r="P685" s="104"/>
      <c r="Q685" s="104"/>
      <c r="R685" s="104" t="s">
        <v>4296</v>
      </c>
      <c r="S685" s="104" t="s">
        <v>39</v>
      </c>
      <c r="T685" s="104" t="s">
        <v>4297</v>
      </c>
      <c r="U685" s="104"/>
      <c r="V685" s="104" t="s">
        <v>4297</v>
      </c>
      <c r="W685" s="104"/>
    </row>
    <row r="686">
      <c r="A686" s="105">
        <v>45888.0</v>
      </c>
      <c r="B686" s="79" t="str">
        <f>IFERROR(__xludf.DUMMYFUNCTION("""COMPUTED_VALUE"""),"HS-PI-PEP-1C")</f>
        <v>HS-PI-PEP-1C</v>
      </c>
      <c r="C686" s="104"/>
      <c r="D686" s="104"/>
      <c r="E686" s="104" t="str">
        <f>IFERROR(__xludf.DUMMYFUNCTION("""COMPUTED_VALUE"""),"AN-PO-3-MU-1")</f>
        <v>AN-PO-3-MU-1</v>
      </c>
      <c r="F686" s="98">
        <v>0.0</v>
      </c>
      <c r="G686" s="110"/>
      <c r="H686" s="98"/>
      <c r="I686" s="98"/>
      <c r="J686" s="98"/>
      <c r="K686" s="98"/>
      <c r="L686" s="104"/>
      <c r="M686" s="98" t="s">
        <v>39</v>
      </c>
      <c r="N686" s="103" t="str">
        <f>IFERROR(__xludf.DUMMYFUNCTION("""COMPUTED_VALUE"""),"")</f>
        <v/>
      </c>
      <c r="O686" s="104"/>
      <c r="P686" s="104"/>
      <c r="Q686" s="104"/>
      <c r="R686" s="104" t="s">
        <v>4298</v>
      </c>
      <c r="S686" s="104" t="s">
        <v>39</v>
      </c>
      <c r="T686" s="104" t="s">
        <v>4299</v>
      </c>
      <c r="U686" s="104"/>
      <c r="V686" s="104" t="s">
        <v>4299</v>
      </c>
      <c r="W686" s="104"/>
    </row>
    <row r="687">
      <c r="A687" s="105">
        <v>45890.0</v>
      </c>
      <c r="B687" s="79" t="str">
        <f>IFERROR(__xludf.DUMMYFUNCTION("""COMPUTED_VALUE"""),"HS-PO-GO-1I")</f>
        <v>HS-PO-GO-1I</v>
      </c>
      <c r="C687" s="104"/>
      <c r="D687" s="104"/>
      <c r="E687" s="104" t="str">
        <f>IFERROR(__xludf.DUMMYFUNCTION("""COMPUTED_VALUE"""),"TE-PO-4-MU-1")</f>
        <v>TE-PO-4-MU-1</v>
      </c>
      <c r="F687" s="98">
        <v>0.0</v>
      </c>
      <c r="G687" s="110"/>
      <c r="H687" s="98"/>
      <c r="I687" s="98"/>
      <c r="J687" s="98"/>
      <c r="K687" s="98"/>
      <c r="L687" s="104"/>
      <c r="M687" s="98" t="s">
        <v>39</v>
      </c>
      <c r="N687" s="103" t="str">
        <f>IFERROR(__xludf.DUMMYFUNCTION("""COMPUTED_VALUE"""),"")</f>
        <v/>
      </c>
      <c r="O687" s="104"/>
      <c r="P687" s="104"/>
      <c r="Q687" s="104"/>
      <c r="R687" s="104" t="s">
        <v>4300</v>
      </c>
      <c r="S687" s="104" t="s">
        <v>39</v>
      </c>
      <c r="T687" s="104" t="s">
        <v>4301</v>
      </c>
      <c r="U687" s="104"/>
      <c r="V687" s="104" t="s">
        <v>4301</v>
      </c>
      <c r="W687" s="104"/>
    </row>
    <row r="688">
      <c r="A688" s="105"/>
      <c r="B688" s="79" t="str">
        <f>IFERROR(__xludf.DUMMYFUNCTION("""COMPUTED_VALUE"""),"HS-SPA-PLD-1F")</f>
        <v>HS-SPA-PLD-1F</v>
      </c>
      <c r="C688" s="104"/>
      <c r="D688" s="104"/>
      <c r="E688" s="104"/>
      <c r="F688" s="98" t="s">
        <v>39</v>
      </c>
      <c r="G688" s="110"/>
      <c r="H688" s="98"/>
      <c r="I688" s="98"/>
      <c r="J688" s="98"/>
      <c r="K688" s="98"/>
      <c r="L688" s="104"/>
      <c r="M688" s="98" t="s">
        <v>39</v>
      </c>
      <c r="N688" s="103" t="str">
        <f>IFERROR(__xludf.DUMMYFUNCTION("""COMPUTED_VALUE"""),"")</f>
        <v/>
      </c>
      <c r="O688" s="104"/>
      <c r="P688" s="104"/>
      <c r="Q688" s="104"/>
      <c r="R688" s="104"/>
      <c r="S688" s="104" t="s">
        <v>39</v>
      </c>
      <c r="T688" s="104" t="s">
        <v>4302</v>
      </c>
      <c r="U688" s="104"/>
      <c r="V688" s="104" t="s">
        <v>4302</v>
      </c>
      <c r="W688" s="104"/>
    </row>
    <row r="689">
      <c r="A689" s="105">
        <v>45890.0</v>
      </c>
      <c r="B689" s="79" t="str">
        <f>IFERROR(__xludf.DUMMYFUNCTION("""COMPUTED_VALUE"""),"HS-PI-PEP-1B")</f>
        <v>HS-PI-PEP-1B</v>
      </c>
      <c r="C689" s="104"/>
      <c r="D689" s="104"/>
      <c r="E689" s="104" t="str">
        <f>IFERROR(__xludf.DUMMYFUNCTION("""COMPUTED_VALUE"""),"AN-PO-3-MU-1")</f>
        <v>AN-PO-3-MU-1</v>
      </c>
      <c r="F689" s="98">
        <v>0.0</v>
      </c>
      <c r="G689" s="110"/>
      <c r="H689" s="98"/>
      <c r="I689" s="98"/>
      <c r="J689" s="98"/>
      <c r="K689" s="98"/>
      <c r="L689" s="104"/>
      <c r="M689" s="98" t="s">
        <v>39</v>
      </c>
      <c r="N689" s="103" t="str">
        <f>IFERROR(__xludf.DUMMYFUNCTION("""COMPUTED_VALUE"""),"")</f>
        <v/>
      </c>
      <c r="O689" s="104"/>
      <c r="P689" s="104"/>
      <c r="Q689" s="104"/>
      <c r="R689" s="104" t="s">
        <v>4303</v>
      </c>
      <c r="S689" s="104" t="s">
        <v>39</v>
      </c>
      <c r="T689" s="104" t="s">
        <v>4304</v>
      </c>
      <c r="U689" s="104"/>
      <c r="V689" s="104" t="s">
        <v>4304</v>
      </c>
      <c r="W689" s="104"/>
    </row>
    <row r="690">
      <c r="A690" s="105">
        <v>45890.0</v>
      </c>
      <c r="B690" s="79" t="str">
        <f>IFERROR(__xludf.DUMMYFUNCTION("""COMPUTED_VALUE"""),"WM-PH-WK-1D")</f>
        <v>WM-PH-WK-1D</v>
      </c>
      <c r="C690" s="104"/>
      <c r="D690" s="104"/>
      <c r="E690" s="104" t="str">
        <f>IFERROR(__xludf.DUMMYFUNCTION("""COMPUTED_VALUE"""),"HY-PO-3-DO-1")</f>
        <v>HY-PO-3-DO-1</v>
      </c>
      <c r="F690" s="98">
        <v>4.9925</v>
      </c>
      <c r="G690" s="110"/>
      <c r="H690" s="98"/>
      <c r="I690" s="98"/>
      <c r="J690" s="98"/>
      <c r="K690" s="98"/>
      <c r="L690" s="104"/>
      <c r="M690" s="98" t="s">
        <v>39</v>
      </c>
      <c r="N690" s="103" t="str">
        <f>IFERROR(__xludf.DUMMYFUNCTION("""COMPUTED_VALUE"""),"")</f>
        <v/>
      </c>
      <c r="O690" s="104"/>
      <c r="P690" s="104"/>
      <c r="Q690" s="104"/>
      <c r="R690" s="104" t="s">
        <v>4305</v>
      </c>
      <c r="S690" s="104" t="s">
        <v>39</v>
      </c>
      <c r="T690" s="104" t="s">
        <v>4306</v>
      </c>
      <c r="U690" s="104"/>
      <c r="V690" s="104" t="s">
        <v>4306</v>
      </c>
      <c r="W690" s="104"/>
    </row>
    <row r="691">
      <c r="A691" s="105">
        <v>45890.0</v>
      </c>
      <c r="B691" s="79" t="str">
        <f>IFERROR(__xludf.DUMMYFUNCTION("""COMPUTED_VALUE"""),"BWH-PO-PAJ-1A-4A")</f>
        <v>BWH-PO-PAJ-1A-4A</v>
      </c>
      <c r="C691" s="104"/>
      <c r="D691" s="104"/>
      <c r="E691" s="104" t="str">
        <f>IFERROR(__xludf.DUMMYFUNCTION("""COMPUTED_VALUE"""),"DV-PO-2-WH-1")</f>
        <v>DV-PO-2-WH-1</v>
      </c>
      <c r="F691" s="98">
        <v>1.95</v>
      </c>
      <c r="G691" s="110"/>
      <c r="H691" s="98"/>
      <c r="I691" s="98"/>
      <c r="J691" s="98"/>
      <c r="K691" s="98"/>
      <c r="L691" s="104"/>
      <c r="M691" s="98" t="s">
        <v>39</v>
      </c>
      <c r="N691" s="103" t="str">
        <f>IFERROR(__xludf.DUMMYFUNCTION("""COMPUTED_VALUE"""),"")</f>
        <v/>
      </c>
      <c r="O691" s="104"/>
      <c r="P691" s="104"/>
      <c r="Q691" s="104"/>
      <c r="R691" s="104" t="s">
        <v>4307</v>
      </c>
      <c r="S691" s="104" t="s">
        <v>39</v>
      </c>
      <c r="T691" s="104" t="s">
        <v>4308</v>
      </c>
      <c r="U691" s="104"/>
      <c r="V691" s="104" t="s">
        <v>4308</v>
      </c>
      <c r="W691" s="104"/>
    </row>
    <row r="692">
      <c r="A692" s="105">
        <v>45890.0</v>
      </c>
      <c r="B692" s="79" t="str">
        <f>IFERROR(__xludf.DUMMYFUNCTION("""COMPUTED_VALUE"""),"BWH-PO-PAJ-1A-4B")</f>
        <v>BWH-PO-PAJ-1A-4B</v>
      </c>
      <c r="C692" s="104"/>
      <c r="D692" s="104"/>
      <c r="E692" s="104" t="str">
        <f>IFERROR(__xludf.DUMMYFUNCTION("""COMPUTED_VALUE"""),"AN-PO-3-MU-1")</f>
        <v>AN-PO-3-MU-1</v>
      </c>
      <c r="F692" s="98">
        <v>1.95</v>
      </c>
      <c r="G692" s="110"/>
      <c r="H692" s="98"/>
      <c r="I692" s="98"/>
      <c r="J692" s="98"/>
      <c r="K692" s="98"/>
      <c r="L692" s="104"/>
      <c r="M692" s="98" t="s">
        <v>39</v>
      </c>
      <c r="N692" s="103" t="str">
        <f>IFERROR(__xludf.DUMMYFUNCTION("""COMPUTED_VALUE"""),"")</f>
        <v/>
      </c>
      <c r="O692" s="104"/>
      <c r="P692" s="104"/>
      <c r="Q692" s="104"/>
      <c r="R692" s="104" t="s">
        <v>4309</v>
      </c>
      <c r="S692" s="104" t="s">
        <v>39</v>
      </c>
      <c r="T692" s="104" t="s">
        <v>4310</v>
      </c>
      <c r="U692" s="104"/>
      <c r="V692" s="104" t="s">
        <v>4310</v>
      </c>
      <c r="W692" s="104"/>
    </row>
    <row r="693">
      <c r="A693" s="105">
        <v>45890.0</v>
      </c>
      <c r="B693" s="79" t="str">
        <f>IFERROR(__xludf.DUMMYFUNCTION("""COMPUTED_VALUE"""),"BWH-PO-PAJ-1A-4C")</f>
        <v>BWH-PO-PAJ-1A-4C</v>
      </c>
      <c r="C693" s="104"/>
      <c r="D693" s="104"/>
      <c r="E693" s="104" t="str">
        <f>IFERROR(__xludf.DUMMYFUNCTION("""COMPUTED_VALUE"""),"AN-PO-3-MU-1")</f>
        <v>AN-PO-3-MU-1</v>
      </c>
      <c r="F693" s="98">
        <v>1.95</v>
      </c>
      <c r="G693" s="110"/>
      <c r="H693" s="98"/>
      <c r="I693" s="98"/>
      <c r="J693" s="98"/>
      <c r="K693" s="98"/>
      <c r="L693" s="104"/>
      <c r="M693" s="98" t="s">
        <v>39</v>
      </c>
      <c r="N693" s="103" t="str">
        <f>IFERROR(__xludf.DUMMYFUNCTION("""COMPUTED_VALUE"""),"")</f>
        <v/>
      </c>
      <c r="O693" s="104"/>
      <c r="P693" s="104"/>
      <c r="Q693" s="104"/>
      <c r="R693" s="104" t="s">
        <v>4311</v>
      </c>
      <c r="S693" s="104" t="s">
        <v>39</v>
      </c>
      <c r="T693" s="104" t="s">
        <v>4312</v>
      </c>
      <c r="U693" s="104"/>
      <c r="V693" s="104" t="s">
        <v>4312</v>
      </c>
      <c r="W693" s="104"/>
    </row>
    <row r="694">
      <c r="A694" s="105">
        <v>45891.0</v>
      </c>
      <c r="B694" s="79" t="str">
        <f>IFERROR(__xludf.DUMMYFUNCTION("""COMPUTED_VALUE"""),"FMY-MA-DE-1A-5B")</f>
        <v>FMY-MA-DE-1A-5B</v>
      </c>
      <c r="C694" s="104"/>
      <c r="D694" s="104"/>
      <c r="E694" s="104" t="str">
        <f>IFERROR(__xludf.DUMMYFUNCTION("""COMPUTED_VALUE"""),"GA-PO-6-MU-1")</f>
        <v>GA-PO-6-MU-1</v>
      </c>
      <c r="F694" s="98">
        <v>2.7475</v>
      </c>
      <c r="G694" s="110"/>
      <c r="H694" s="98"/>
      <c r="I694" s="98"/>
      <c r="J694" s="98"/>
      <c r="K694" s="98"/>
      <c r="L694" s="104"/>
      <c r="M694" s="98" t="s">
        <v>39</v>
      </c>
      <c r="N694" s="103" t="str">
        <f>IFERROR(__xludf.DUMMYFUNCTION("""COMPUTED_VALUE"""),"")</f>
        <v/>
      </c>
      <c r="O694" s="104"/>
      <c r="P694" s="104"/>
      <c r="Q694" s="104"/>
      <c r="R694" s="104" t="s">
        <v>4313</v>
      </c>
      <c r="S694" s="104" t="s">
        <v>39</v>
      </c>
      <c r="T694" s="104" t="s">
        <v>4314</v>
      </c>
      <c r="U694" s="104"/>
      <c r="V694" s="104" t="s">
        <v>4314</v>
      </c>
      <c r="W694" s="104"/>
    </row>
    <row r="695">
      <c r="A695" s="105">
        <v>45891.0</v>
      </c>
      <c r="B695" s="79" t="str">
        <f>IFERROR(__xludf.DUMMYFUNCTION("""COMPUTED_VALUE"""),"FMY-MA-DE-1A-5C")</f>
        <v>FMY-MA-DE-1A-5C</v>
      </c>
      <c r="C695" s="104"/>
      <c r="D695" s="104"/>
      <c r="E695" s="104" t="str">
        <f>IFERROR(__xludf.DUMMYFUNCTION("""COMPUTED_VALUE"""),"TE-PO-4-MU-1")</f>
        <v>TE-PO-4-MU-1</v>
      </c>
      <c r="F695" s="98">
        <v>2.7475</v>
      </c>
      <c r="G695" s="110"/>
      <c r="H695" s="98"/>
      <c r="I695" s="98"/>
      <c r="J695" s="98"/>
      <c r="K695" s="98"/>
      <c r="L695" s="104"/>
      <c r="M695" s="98" t="s">
        <v>39</v>
      </c>
      <c r="N695" s="103" t="str">
        <f>IFERROR(__xludf.DUMMYFUNCTION("""COMPUTED_VALUE"""),"")</f>
        <v/>
      </c>
      <c r="O695" s="104"/>
      <c r="P695" s="104"/>
      <c r="Q695" s="104"/>
      <c r="R695" s="104" t="s">
        <v>4315</v>
      </c>
      <c r="S695" s="104" t="s">
        <v>39</v>
      </c>
      <c r="T695" s="104" t="s">
        <v>4316</v>
      </c>
      <c r="U695" s="104"/>
      <c r="V695" s="104" t="s">
        <v>4316</v>
      </c>
      <c r="W695" s="104"/>
    </row>
    <row r="696">
      <c r="A696" s="105">
        <v>45891.0</v>
      </c>
      <c r="B696" s="79" t="str">
        <f>IFERROR(__xludf.DUMMYFUNCTION("""COMPUTED_VALUE"""),"FMY-MA-DE-1A-5D")</f>
        <v>FMY-MA-DE-1A-5D</v>
      </c>
      <c r="C696" s="104"/>
      <c r="D696" s="104"/>
      <c r="E696" s="104" t="str">
        <f>IFERROR(__xludf.DUMMYFUNCTION("""COMPUTED_VALUE"""),"AN-PO-3-MU-1")</f>
        <v>AN-PO-3-MU-1</v>
      </c>
      <c r="F696" s="98">
        <v>2.7475</v>
      </c>
      <c r="G696" s="110"/>
      <c r="H696" s="98"/>
      <c r="I696" s="98"/>
      <c r="J696" s="98"/>
      <c r="K696" s="98"/>
      <c r="L696" s="104"/>
      <c r="M696" s="98" t="s">
        <v>39</v>
      </c>
      <c r="N696" s="103" t="str">
        <f>IFERROR(__xludf.DUMMYFUNCTION("""COMPUTED_VALUE"""),"")</f>
        <v/>
      </c>
      <c r="O696" s="104"/>
      <c r="P696" s="104"/>
      <c r="Q696" s="104"/>
      <c r="R696" s="104" t="s">
        <v>4317</v>
      </c>
      <c r="S696" s="104" t="s">
        <v>39</v>
      </c>
      <c r="T696" s="104" t="s">
        <v>4318</v>
      </c>
      <c r="U696" s="104"/>
      <c r="V696" s="104" t="s">
        <v>4318</v>
      </c>
      <c r="W696" s="104"/>
    </row>
    <row r="697">
      <c r="A697" s="105">
        <v>45892.0</v>
      </c>
      <c r="B697" s="79" t="str">
        <f>IFERROR(__xludf.DUMMYFUNCTION("""COMPUTED_VALUE"""),"WM-PH-WK-1B")</f>
        <v>WM-PH-WK-1B</v>
      </c>
      <c r="C697" s="104"/>
      <c r="D697" s="104"/>
      <c r="E697" s="104" t="str">
        <f>IFERROR(__xludf.DUMMYFUNCTION("""COMPUTED_VALUE"""),"MU-PO-4-WH-1")</f>
        <v>MU-PO-4-WH-1</v>
      </c>
      <c r="F697" s="98">
        <v>4.9925</v>
      </c>
      <c r="G697" s="110"/>
      <c r="H697" s="98"/>
      <c r="I697" s="98"/>
      <c r="J697" s="98"/>
      <c r="K697" s="98"/>
      <c r="L697" s="104"/>
      <c r="M697" s="98" t="s">
        <v>39</v>
      </c>
      <c r="N697" s="103" t="str">
        <f>IFERROR(__xludf.DUMMYFUNCTION("""COMPUTED_VALUE"""),"")</f>
        <v/>
      </c>
      <c r="O697" s="104"/>
      <c r="P697" s="104"/>
      <c r="Q697" s="104"/>
      <c r="R697" s="104" t="s">
        <v>4319</v>
      </c>
      <c r="S697" s="104" t="s">
        <v>39</v>
      </c>
      <c r="T697" s="104" t="s">
        <v>4320</v>
      </c>
      <c r="U697" s="104"/>
      <c r="V697" s="104" t="s">
        <v>4320</v>
      </c>
      <c r="W697" s="104"/>
    </row>
    <row r="698">
      <c r="A698" s="105">
        <v>45892.0</v>
      </c>
      <c r="B698" s="79" t="str">
        <f>IFERROR(__xludf.DUMMYFUNCTION("""COMPUTED_VALUE"""),"HD-ST-TR-1B")</f>
        <v>HD-ST-TR-1B</v>
      </c>
      <c r="C698" s="104"/>
      <c r="D698" s="104"/>
      <c r="E698" s="104" t="str">
        <f>IFERROR(__xludf.DUMMYFUNCTION("""COMPUTED_VALUE"""),"TE-PO-4-MU-1")</f>
        <v>TE-PO-4-MU-1</v>
      </c>
      <c r="F698" s="98">
        <v>9.99</v>
      </c>
      <c r="G698" s="110"/>
      <c r="H698" s="98"/>
      <c r="I698" s="98"/>
      <c r="J698" s="98"/>
      <c r="K698" s="98"/>
      <c r="L698" s="104"/>
      <c r="M698" s="98" t="s">
        <v>39</v>
      </c>
      <c r="N698" s="103" t="str">
        <f>IFERROR(__xludf.DUMMYFUNCTION("""COMPUTED_VALUE"""),"")</f>
        <v/>
      </c>
      <c r="O698" s="104"/>
      <c r="P698" s="104"/>
      <c r="Q698" s="104"/>
      <c r="R698" s="104" t="s">
        <v>4321</v>
      </c>
      <c r="S698" s="104" t="s">
        <v>39</v>
      </c>
      <c r="T698" s="104" t="s">
        <v>4322</v>
      </c>
      <c r="U698" s="104"/>
      <c r="V698" s="104" t="s">
        <v>4322</v>
      </c>
      <c r="W698" s="104"/>
    </row>
    <row r="699">
      <c r="A699" s="105">
        <v>45892.0</v>
      </c>
      <c r="B699" s="79" t="str">
        <f>IFERROR(__xludf.DUMMYFUNCTION("""COMPUTED_VALUE"""),"HD-ST-TR-1C")</f>
        <v>HD-ST-TR-1C</v>
      </c>
      <c r="C699" s="104"/>
      <c r="D699" s="104"/>
      <c r="E699" s="104" t="str">
        <f>IFERROR(__xludf.DUMMYFUNCTION("""COMPUTED_VALUE"""),"TE-PO-4-MU-1")</f>
        <v>TE-PO-4-MU-1</v>
      </c>
      <c r="F699" s="98">
        <v>9.99</v>
      </c>
      <c r="G699" s="110"/>
      <c r="H699" s="98"/>
      <c r="I699" s="98"/>
      <c r="J699" s="98"/>
      <c r="K699" s="98"/>
      <c r="L699" s="104"/>
      <c r="M699" s="98" t="s">
        <v>39</v>
      </c>
      <c r="N699" s="103" t="str">
        <f>IFERROR(__xludf.DUMMYFUNCTION("""COMPUTED_VALUE"""),"")</f>
        <v/>
      </c>
      <c r="O699" s="104"/>
      <c r="P699" s="104"/>
      <c r="Q699" s="104"/>
      <c r="R699" s="104" t="s">
        <v>4323</v>
      </c>
      <c r="S699" s="104" t="s">
        <v>39</v>
      </c>
      <c r="T699" s="104" t="s">
        <v>4324</v>
      </c>
      <c r="U699" s="104"/>
      <c r="V699" s="104" t="s">
        <v>4324</v>
      </c>
      <c r="W699" s="104"/>
    </row>
    <row r="700">
      <c r="A700" s="105">
        <v>45892.0</v>
      </c>
      <c r="B700" s="79" t="str">
        <f>IFERROR(__xludf.DUMMYFUNCTION("""COMPUTED_VALUE"""),"IST-PH-PP-1B")</f>
        <v>IST-PH-PP-1B</v>
      </c>
      <c r="C700" s="104"/>
      <c r="D700" s="104"/>
      <c r="E700" s="104" t="str">
        <f>IFERROR(__xludf.DUMMYFUNCTION("""COMPUTED_VALUE"""),"YA-PO-2-CL-1")</f>
        <v>YA-PO-2-CL-1</v>
      </c>
      <c r="F700" s="98">
        <v>5.4</v>
      </c>
      <c r="G700" s="110"/>
      <c r="H700" s="98"/>
      <c r="I700" s="98"/>
      <c r="J700" s="98"/>
      <c r="K700" s="98"/>
      <c r="L700" s="104"/>
      <c r="M700" s="98" t="s">
        <v>39</v>
      </c>
      <c r="N700" s="103" t="str">
        <f>IFERROR(__xludf.DUMMYFUNCTION("""COMPUTED_VALUE"""),"")</f>
        <v/>
      </c>
      <c r="O700" s="104"/>
      <c r="P700" s="104"/>
      <c r="Q700" s="104"/>
      <c r="R700" s="104" t="s">
        <v>4325</v>
      </c>
      <c r="S700" s="104" t="s">
        <v>39</v>
      </c>
      <c r="T700" s="104" t="s">
        <v>4326</v>
      </c>
      <c r="U700" s="104"/>
      <c r="V700" s="104" t="s">
        <v>4326</v>
      </c>
      <c r="W700" s="104"/>
    </row>
    <row r="701">
      <c r="A701" s="105">
        <v>45892.0</v>
      </c>
      <c r="B701" s="79" t="str">
        <f>IFERROR(__xludf.DUMMYFUNCTION("""COMPUTED_VALUE"""),"IST-PH-PP-1C")</f>
        <v>IST-PH-PP-1C</v>
      </c>
      <c r="C701" s="104"/>
      <c r="D701" s="104"/>
      <c r="E701" s="104" t="str">
        <f>IFERROR(__xludf.DUMMYFUNCTION("""COMPUTED_VALUE"""),"YA-PO-2-CL-1")</f>
        <v>YA-PO-2-CL-1</v>
      </c>
      <c r="F701" s="98">
        <v>5.4</v>
      </c>
      <c r="G701" s="110"/>
      <c r="H701" s="98"/>
      <c r="I701" s="98"/>
      <c r="J701" s="98"/>
      <c r="K701" s="98"/>
      <c r="L701" s="104"/>
      <c r="M701" s="98" t="s">
        <v>39</v>
      </c>
      <c r="N701" s="103" t="str">
        <f>IFERROR(__xludf.DUMMYFUNCTION("""COMPUTED_VALUE"""),"")</f>
        <v/>
      </c>
      <c r="O701" s="104"/>
      <c r="P701" s="104"/>
      <c r="Q701" s="104"/>
      <c r="R701" s="104" t="s">
        <v>4327</v>
      </c>
      <c r="S701" s="104" t="s">
        <v>39</v>
      </c>
      <c r="T701" s="104" t="s">
        <v>4328</v>
      </c>
      <c r="U701" s="104"/>
      <c r="V701" s="104" t="s">
        <v>4328</v>
      </c>
      <c r="W701" s="104"/>
    </row>
    <row r="702">
      <c r="A702" s="105">
        <v>45892.0</v>
      </c>
      <c r="B702" s="79" t="str">
        <f>IFERROR(__xludf.DUMMYFUNCTION("""COMPUTED_VALUE"""),"HD-AL-GVF-1A")</f>
        <v>HD-AL-GVF-1A</v>
      </c>
      <c r="C702" s="104"/>
      <c r="D702" s="104"/>
      <c r="E702" s="104" t="str">
        <f>IFERROR(__xludf.DUMMYFUNCTION("""COMPUTED_VALUE"""),"GA-PO-6-MU-1")</f>
        <v>GA-PO-6-MU-1</v>
      </c>
      <c r="F702" s="98" t="s">
        <v>39</v>
      </c>
      <c r="G702" s="110"/>
      <c r="H702" s="98"/>
      <c r="I702" s="98"/>
      <c r="J702" s="98"/>
      <c r="K702" s="98"/>
      <c r="L702" s="104"/>
      <c r="M702" s="98" t="s">
        <v>39</v>
      </c>
      <c r="N702" s="103" t="str">
        <f>IFERROR(__xludf.DUMMYFUNCTION("""COMPUTED_VALUE"""),"")</f>
        <v/>
      </c>
      <c r="O702" s="104"/>
      <c r="P702" s="104"/>
      <c r="Q702" s="104"/>
      <c r="R702" s="104" t="s">
        <v>4329</v>
      </c>
      <c r="S702" s="104" t="s">
        <v>39</v>
      </c>
      <c r="T702" s="104" t="s">
        <v>4330</v>
      </c>
      <c r="U702" s="104"/>
      <c r="V702" s="104" t="s">
        <v>4330</v>
      </c>
      <c r="W702" s="104"/>
    </row>
    <row r="703">
      <c r="A703" s="105">
        <v>45892.0</v>
      </c>
      <c r="B703" s="79" t="str">
        <f>IFERROR(__xludf.DUMMYFUNCTION("""COMPUTED_VALUE"""),"HD-AL-GVF-1A-2B")</f>
        <v>HD-AL-GVF-1A-2B</v>
      </c>
      <c r="C703" s="104"/>
      <c r="D703" s="104"/>
      <c r="E703" s="104" t="str">
        <f>IFERROR(__xludf.DUMMYFUNCTION("""COMPUTED_VALUE"""),"GA-PO-6-MU-1")</f>
        <v>GA-PO-6-MU-1</v>
      </c>
      <c r="F703" s="98">
        <v>14.99</v>
      </c>
      <c r="G703" s="110"/>
      <c r="H703" s="98"/>
      <c r="I703" s="98"/>
      <c r="J703" s="98"/>
      <c r="K703" s="98"/>
      <c r="L703" s="104"/>
      <c r="M703" s="98" t="s">
        <v>39</v>
      </c>
      <c r="N703" s="103" t="str">
        <f>IFERROR(__xludf.DUMMYFUNCTION("""COMPUTED_VALUE"""),"")</f>
        <v/>
      </c>
      <c r="O703" s="104"/>
      <c r="P703" s="104"/>
      <c r="Q703" s="104"/>
      <c r="R703" s="104" t="s">
        <v>4331</v>
      </c>
      <c r="S703" s="104" t="s">
        <v>39</v>
      </c>
      <c r="T703" s="104" t="s">
        <v>4332</v>
      </c>
      <c r="U703" s="104"/>
      <c r="V703" s="104" t="s">
        <v>4332</v>
      </c>
      <c r="W703" s="104"/>
    </row>
    <row r="704">
      <c r="A704" s="105"/>
      <c r="B704" s="79" t="str">
        <f>IFERROR(__xludf.DUMMYFUNCTION("""COMPUTED_VALUE"""),"HS-SPA-PLD-1C")</f>
        <v>HS-SPA-PLD-1C</v>
      </c>
      <c r="C704" s="104"/>
      <c r="D704" s="104"/>
      <c r="E704" s="104"/>
      <c r="F704" s="98" t="s">
        <v>39</v>
      </c>
      <c r="G704" s="110"/>
      <c r="H704" s="98"/>
      <c r="I704" s="98"/>
      <c r="J704" s="98"/>
      <c r="K704" s="98"/>
      <c r="L704" s="104"/>
      <c r="M704" s="98" t="s">
        <v>39</v>
      </c>
      <c r="N704" s="103" t="str">
        <f>IFERROR(__xludf.DUMMYFUNCTION("""COMPUTED_VALUE"""),"")</f>
        <v/>
      </c>
      <c r="O704" s="104"/>
      <c r="P704" s="104"/>
      <c r="Q704" s="104"/>
      <c r="R704" s="104"/>
      <c r="S704" s="104" t="s">
        <v>39</v>
      </c>
      <c r="T704" s="104" t="s">
        <v>4333</v>
      </c>
      <c r="U704" s="104"/>
      <c r="V704" s="104" t="s">
        <v>4333</v>
      </c>
      <c r="W704" s="104"/>
    </row>
    <row r="705">
      <c r="A705" s="105">
        <v>45893.0</v>
      </c>
      <c r="B705" s="79" t="str">
        <f>IFERROR(__xludf.DUMMYFUNCTION("""COMPUTED_VALUE"""),"HS-SP-PLD-1E")</f>
        <v>HS-SP-PLD-1E</v>
      </c>
      <c r="C705" s="104"/>
      <c r="D705" s="104"/>
      <c r="E705" s="104" t="str">
        <f>IFERROR(__xludf.DUMMYFUNCTION("""COMPUTED_VALUE"""),"TE-PO-4-MU-1")</f>
        <v>TE-PO-4-MU-1</v>
      </c>
      <c r="F705" s="98">
        <v>2.49875</v>
      </c>
      <c r="G705" s="110"/>
      <c r="H705" s="98"/>
      <c r="I705" s="98"/>
      <c r="J705" s="98"/>
      <c r="K705" s="98"/>
      <c r="L705" s="104"/>
      <c r="M705" s="98" t="s">
        <v>39</v>
      </c>
      <c r="N705" s="103" t="str">
        <f>IFERROR(__xludf.DUMMYFUNCTION("""COMPUTED_VALUE"""),"")</f>
        <v/>
      </c>
      <c r="O705" s="104"/>
      <c r="P705" s="104"/>
      <c r="Q705" s="104"/>
      <c r="R705" s="104" t="s">
        <v>4334</v>
      </c>
      <c r="S705" s="104" t="s">
        <v>39</v>
      </c>
      <c r="T705" s="104" t="s">
        <v>4335</v>
      </c>
      <c r="U705" s="104"/>
      <c r="V705" s="104" t="s">
        <v>4335</v>
      </c>
      <c r="W705" s="104"/>
    </row>
    <row r="706">
      <c r="A706" s="105">
        <v>45893.0</v>
      </c>
      <c r="B706" s="79" t="str">
        <f>IFERROR(__xludf.DUMMYFUNCTION("""COMPUTED_VALUE"""),"HS-BE-AW-1B")</f>
        <v>HS-BE-AW-1B</v>
      </c>
      <c r="C706" s="104"/>
      <c r="D706" s="104"/>
      <c r="E706" s="104" t="str">
        <f>IFERROR(__xludf.DUMMYFUNCTION("""COMPUTED_VALUE"""),"AN-PO-3-MU-1")</f>
        <v>AN-PO-3-MU-1</v>
      </c>
      <c r="F706" s="98">
        <v>0.0</v>
      </c>
      <c r="G706" s="110"/>
      <c r="H706" s="98"/>
      <c r="I706" s="98"/>
      <c r="J706" s="98"/>
      <c r="K706" s="98"/>
      <c r="L706" s="104"/>
      <c r="M706" s="98" t="s">
        <v>39</v>
      </c>
      <c r="N706" s="103" t="str">
        <f>IFERROR(__xludf.DUMMYFUNCTION("""COMPUTED_VALUE"""),"")</f>
        <v/>
      </c>
      <c r="O706" s="104"/>
      <c r="P706" s="104"/>
      <c r="Q706" s="104"/>
      <c r="R706" s="104" t="s">
        <v>4336</v>
      </c>
      <c r="S706" s="104" t="s">
        <v>39</v>
      </c>
      <c r="T706" s="104" t="s">
        <v>4337</v>
      </c>
      <c r="U706" s="104"/>
      <c r="V706" s="104" t="s">
        <v>4337</v>
      </c>
      <c r="W706" s="104"/>
    </row>
    <row r="707">
      <c r="A707" s="105">
        <v>45893.0</v>
      </c>
      <c r="B707" s="79" t="str">
        <f>IFERROR(__xludf.DUMMYFUNCTION("""COMPUTED_VALUE"""),"HS-BE-AW-1C")</f>
        <v>HS-BE-AW-1C</v>
      </c>
      <c r="C707" s="104"/>
      <c r="D707" s="104"/>
      <c r="E707" s="104" t="str">
        <f>IFERROR(__xludf.DUMMYFUNCTION("""COMPUTED_VALUE"""),"WO-PO-6-MU-1")</f>
        <v>WO-PO-6-MU-1</v>
      </c>
      <c r="F707" s="98">
        <v>0.0</v>
      </c>
      <c r="G707" s="110"/>
      <c r="H707" s="98"/>
      <c r="I707" s="98"/>
      <c r="J707" s="98"/>
      <c r="K707" s="98"/>
      <c r="L707" s="104"/>
      <c r="M707" s="98" t="s">
        <v>39</v>
      </c>
      <c r="N707" s="103" t="str">
        <f>IFERROR(__xludf.DUMMYFUNCTION("""COMPUTED_VALUE"""),"")</f>
        <v/>
      </c>
      <c r="O707" s="104"/>
      <c r="P707" s="104"/>
      <c r="Q707" s="104"/>
      <c r="R707" s="104" t="s">
        <v>4338</v>
      </c>
      <c r="S707" s="104" t="s">
        <v>39</v>
      </c>
      <c r="T707" s="104" t="s">
        <v>4339</v>
      </c>
      <c r="U707" s="104"/>
      <c r="V707" s="104" t="s">
        <v>4339</v>
      </c>
      <c r="W707" s="104"/>
    </row>
    <row r="708">
      <c r="A708" s="105">
        <v>45893.0</v>
      </c>
      <c r="B708" s="79" t="str">
        <f>IFERROR(__xludf.DUMMYFUNCTION("""COMPUTED_VALUE"""),"FMY-CA-MA-1B")</f>
        <v>FMY-CA-MA-1B</v>
      </c>
      <c r="C708" s="104"/>
      <c r="D708" s="104"/>
      <c r="E708" s="104" t="str">
        <f>IFERROR(__xludf.DUMMYFUNCTION("""COMPUTED_VALUE"""),"TE-PO-4-MU-1")</f>
        <v>TE-PO-4-MU-1</v>
      </c>
      <c r="F708" s="98">
        <v>3.3316666666666666</v>
      </c>
      <c r="G708" s="110"/>
      <c r="H708" s="98"/>
      <c r="I708" s="98"/>
      <c r="J708" s="98"/>
      <c r="K708" s="98"/>
      <c r="L708" s="104"/>
      <c r="M708" s="98" t="s">
        <v>39</v>
      </c>
      <c r="N708" s="103" t="str">
        <f>IFERROR(__xludf.DUMMYFUNCTION("""COMPUTED_VALUE"""),"")</f>
        <v/>
      </c>
      <c r="O708" s="104"/>
      <c r="P708" s="104"/>
      <c r="Q708" s="104"/>
      <c r="R708" s="104" t="s">
        <v>4340</v>
      </c>
      <c r="S708" s="104" t="s">
        <v>39</v>
      </c>
      <c r="T708" s="104" t="s">
        <v>4341</v>
      </c>
      <c r="U708" s="104"/>
      <c r="V708" s="104" t="s">
        <v>4341</v>
      </c>
      <c r="W708" s="104"/>
    </row>
    <row r="709">
      <c r="A709" s="105">
        <v>45893.0</v>
      </c>
      <c r="B709" s="79" t="str">
        <f>IFERROR(__xludf.DUMMYFUNCTION("""COMPUTED_VALUE"""),"FMY-CA-MA-1C")</f>
        <v>FMY-CA-MA-1C</v>
      </c>
      <c r="C709" s="104"/>
      <c r="D709" s="104"/>
      <c r="E709" s="104" t="str">
        <f>IFERROR(__xludf.DUMMYFUNCTION("""COMPUTED_VALUE"""),"TE-PO-4-MU-1")</f>
        <v>TE-PO-4-MU-1</v>
      </c>
      <c r="F709" s="98">
        <v>3.3316666666666666</v>
      </c>
      <c r="G709" s="110"/>
      <c r="H709" s="98"/>
      <c r="I709" s="98"/>
      <c r="J709" s="98"/>
      <c r="K709" s="98"/>
      <c r="L709" s="104"/>
      <c r="M709" s="98" t="s">
        <v>39</v>
      </c>
      <c r="N709" s="103" t="str">
        <f>IFERROR(__xludf.DUMMYFUNCTION("""COMPUTED_VALUE"""),"")</f>
        <v/>
      </c>
      <c r="O709" s="104"/>
      <c r="P709" s="104"/>
      <c r="Q709" s="104"/>
      <c r="R709" s="104" t="s">
        <v>4342</v>
      </c>
      <c r="S709" s="104" t="s">
        <v>39</v>
      </c>
      <c r="T709" s="104" t="s">
        <v>4343</v>
      </c>
      <c r="U709" s="104"/>
      <c r="V709" s="104" t="s">
        <v>4343</v>
      </c>
      <c r="W709" s="104"/>
    </row>
    <row r="710">
      <c r="A710" s="105">
        <v>45893.0</v>
      </c>
      <c r="B710" s="79" t="str">
        <f>IFERROR(__xludf.DUMMYFUNCTION("""COMPUTED_VALUE"""),"FMY-CA-MA-1D")</f>
        <v>FMY-CA-MA-1D</v>
      </c>
      <c r="C710" s="104"/>
      <c r="D710" s="104"/>
      <c r="E710" s="104" t="str">
        <f>IFERROR(__xludf.DUMMYFUNCTION("""COMPUTED_VALUE"""),"TE-PO-4-MU-1")</f>
        <v>TE-PO-4-MU-1</v>
      </c>
      <c r="F710" s="98">
        <v>3.3316666666666666</v>
      </c>
      <c r="G710" s="110"/>
      <c r="H710" s="98"/>
      <c r="I710" s="98"/>
      <c r="J710" s="98"/>
      <c r="K710" s="98"/>
      <c r="L710" s="104"/>
      <c r="M710" s="98" t="s">
        <v>39</v>
      </c>
      <c r="N710" s="103" t="str">
        <f>IFERROR(__xludf.DUMMYFUNCTION("""COMPUTED_VALUE"""),"")</f>
        <v/>
      </c>
      <c r="O710" s="104"/>
      <c r="P710" s="104"/>
      <c r="Q710" s="104"/>
      <c r="R710" s="104" t="s">
        <v>4344</v>
      </c>
      <c r="S710" s="104" t="s">
        <v>39</v>
      </c>
      <c r="T710" s="104" t="s">
        <v>4345</v>
      </c>
      <c r="U710" s="104"/>
      <c r="V710" s="104" t="s">
        <v>4345</v>
      </c>
      <c r="W710" s="104"/>
    </row>
    <row r="711">
      <c r="A711" s="105">
        <v>45893.0</v>
      </c>
      <c r="B711" s="79" t="str">
        <f>IFERROR(__xludf.DUMMYFUNCTION("""COMPUTED_VALUE"""),"FMY-CA-MA-1E")</f>
        <v>FMY-CA-MA-1E</v>
      </c>
      <c r="C711" s="104"/>
      <c r="D711" s="104"/>
      <c r="E711" s="104" t="str">
        <f>IFERROR(__xludf.DUMMYFUNCTION("""COMPUTED_VALUE"""),"TO-PO-4-MU-1")</f>
        <v>TO-PO-4-MU-1</v>
      </c>
      <c r="F711" s="98">
        <v>3.3316666666666666</v>
      </c>
      <c r="G711" s="110"/>
      <c r="H711" s="98"/>
      <c r="I711" s="98"/>
      <c r="J711" s="98"/>
      <c r="K711" s="98"/>
      <c r="L711" s="104"/>
      <c r="M711" s="98" t="s">
        <v>39</v>
      </c>
      <c r="N711" s="103" t="str">
        <f>IFERROR(__xludf.DUMMYFUNCTION("""COMPUTED_VALUE"""),"")</f>
        <v/>
      </c>
      <c r="O711" s="104"/>
      <c r="P711" s="104"/>
      <c r="Q711" s="104"/>
      <c r="R711" s="104" t="s">
        <v>4346</v>
      </c>
      <c r="S711" s="104" t="s">
        <v>39</v>
      </c>
      <c r="T711" s="104" t="s">
        <v>4347</v>
      </c>
      <c r="U711" s="104"/>
      <c r="V711" s="104" t="s">
        <v>4347</v>
      </c>
      <c r="W711" s="104"/>
    </row>
    <row r="712">
      <c r="A712" s="105">
        <v>45893.0</v>
      </c>
      <c r="B712" s="79" t="str">
        <f>IFERROR(__xludf.DUMMYFUNCTION("""COMPUTED_VALUE"""),"FMY-CA-MA-1F")</f>
        <v>FMY-CA-MA-1F</v>
      </c>
      <c r="C712" s="104"/>
      <c r="D712" s="104"/>
      <c r="E712" s="104" t="str">
        <f>IFERROR(__xludf.DUMMYFUNCTION("""COMPUTED_VALUE"""),"AN-PO-3-MU-1")</f>
        <v>AN-PO-3-MU-1</v>
      </c>
      <c r="F712" s="98">
        <v>3.3316666666666666</v>
      </c>
      <c r="G712" s="110"/>
      <c r="H712" s="98"/>
      <c r="I712" s="98"/>
      <c r="J712" s="98"/>
      <c r="K712" s="98"/>
      <c r="L712" s="104"/>
      <c r="M712" s="98" t="s">
        <v>39</v>
      </c>
      <c r="N712" s="103" t="str">
        <f>IFERROR(__xludf.DUMMYFUNCTION("""COMPUTED_VALUE"""),"")</f>
        <v/>
      </c>
      <c r="O712" s="104"/>
      <c r="P712" s="104"/>
      <c r="Q712" s="104"/>
      <c r="R712" s="104" t="s">
        <v>4348</v>
      </c>
      <c r="S712" s="104" t="s">
        <v>39</v>
      </c>
      <c r="T712" s="104" t="s">
        <v>4349</v>
      </c>
      <c r="U712" s="104"/>
      <c r="V712" s="104" t="s">
        <v>4349</v>
      </c>
      <c r="W712" s="104"/>
    </row>
    <row r="713">
      <c r="A713" s="105">
        <v>45893.0</v>
      </c>
      <c r="B713" s="79" t="str">
        <f>IFERROR(__xludf.DUMMYFUNCTION("""COMPUTED_VALUE"""),"FMY-CA-MA-1G")</f>
        <v>FMY-CA-MA-1G</v>
      </c>
      <c r="C713" s="104"/>
      <c r="D713" s="104"/>
      <c r="E713" s="104" t="str">
        <f>IFERROR(__xludf.DUMMYFUNCTION("""COMPUTED_VALUE"""),"HY-PO-3-DO-1")</f>
        <v>HY-PO-3-DO-1</v>
      </c>
      <c r="F713" s="98">
        <v>3.3316666666666666</v>
      </c>
      <c r="G713" s="110"/>
      <c r="H713" s="98"/>
      <c r="I713" s="98"/>
      <c r="J713" s="98"/>
      <c r="K713" s="98"/>
      <c r="L713" s="104"/>
      <c r="M713" s="98" t="s">
        <v>39</v>
      </c>
      <c r="N713" s="103" t="str">
        <f>IFERROR(__xludf.DUMMYFUNCTION("""COMPUTED_VALUE"""),"")</f>
        <v/>
      </c>
      <c r="O713" s="104"/>
      <c r="P713" s="104"/>
      <c r="Q713" s="104"/>
      <c r="R713" s="104" t="s">
        <v>4350</v>
      </c>
      <c r="S713" s="104" t="s">
        <v>39</v>
      </c>
      <c r="T713" s="104" t="s">
        <v>4351</v>
      </c>
      <c r="U713" s="104"/>
      <c r="V713" s="104" t="s">
        <v>4351</v>
      </c>
      <c r="W713" s="104"/>
    </row>
    <row r="714">
      <c r="A714" s="105">
        <v>45893.0</v>
      </c>
      <c r="B714" s="79" t="str">
        <f>IFERROR(__xludf.DUMMYFUNCTION("""COMPUTED_VALUE"""),"FMY-CA-MA-1H")</f>
        <v>FMY-CA-MA-1H</v>
      </c>
      <c r="C714" s="104"/>
      <c r="D714" s="104"/>
      <c r="E714" s="104" t="str">
        <f>IFERROR(__xludf.DUMMYFUNCTION("""COMPUTED_VALUE"""),"HY-PO-3-DO-1")</f>
        <v>HY-PO-3-DO-1</v>
      </c>
      <c r="F714" s="98">
        <v>3.3316666666666666</v>
      </c>
      <c r="G714" s="110"/>
      <c r="H714" s="98"/>
      <c r="I714" s="98"/>
      <c r="J714" s="98"/>
      <c r="K714" s="98"/>
      <c r="L714" s="104"/>
      <c r="M714" s="98" t="s">
        <v>39</v>
      </c>
      <c r="N714" s="103" t="str">
        <f>IFERROR(__xludf.DUMMYFUNCTION("""COMPUTED_VALUE"""),"")</f>
        <v/>
      </c>
      <c r="O714" s="104"/>
      <c r="P714" s="104"/>
      <c r="Q714" s="104"/>
      <c r="R714" s="104" t="s">
        <v>4352</v>
      </c>
      <c r="S714" s="104" t="s">
        <v>39</v>
      </c>
      <c r="T714" s="104" t="s">
        <v>4353</v>
      </c>
      <c r="U714" s="104"/>
      <c r="V714" s="104" t="s">
        <v>4353</v>
      </c>
      <c r="W714" s="104"/>
    </row>
    <row r="715">
      <c r="A715" s="105">
        <v>45894.0</v>
      </c>
      <c r="B715" s="79" t="str">
        <f>IFERROR(__xludf.DUMMYFUNCTION("""COMPUTED_VALUE"""),"HS-PH-BRL-1B")</f>
        <v>HS-PH-BRL-1B</v>
      </c>
      <c r="C715" s="104"/>
      <c r="D715" s="104"/>
      <c r="E715" s="104" t="str">
        <f>IFERROR(__xludf.DUMMYFUNCTION("""COMPUTED_VALUE"""),"GA-PO-6-MU-1")</f>
        <v>GA-PO-6-MU-1</v>
      </c>
      <c r="F715" s="98">
        <v>0.0</v>
      </c>
      <c r="G715" s="110"/>
      <c r="H715" s="98"/>
      <c r="I715" s="98"/>
      <c r="J715" s="98"/>
      <c r="K715" s="98"/>
      <c r="L715" s="104"/>
      <c r="M715" s="98" t="s">
        <v>39</v>
      </c>
      <c r="N715" s="103" t="str">
        <f>IFERROR(__xludf.DUMMYFUNCTION("""COMPUTED_VALUE"""),"")</f>
        <v/>
      </c>
      <c r="O715" s="104"/>
      <c r="P715" s="104"/>
      <c r="Q715" s="104"/>
      <c r="R715" s="104" t="s">
        <v>4354</v>
      </c>
      <c r="S715" s="104" t="s">
        <v>39</v>
      </c>
      <c r="T715" s="104" t="s">
        <v>4355</v>
      </c>
      <c r="U715" s="104"/>
      <c r="V715" s="104" t="s">
        <v>4355</v>
      </c>
      <c r="W715" s="104"/>
    </row>
    <row r="716">
      <c r="A716" s="105">
        <v>45894.0</v>
      </c>
      <c r="B716" s="79" t="str">
        <f>IFERROR(__xludf.DUMMYFUNCTION("""COMPUTED_VALUE"""),"HS-PH-BRL-1C")</f>
        <v>HS-PH-BRL-1C</v>
      </c>
      <c r="C716" s="104"/>
      <c r="D716" s="104"/>
      <c r="E716" s="104" t="str">
        <f>IFERROR(__xludf.DUMMYFUNCTION("""COMPUTED_VALUE"""),"GA-PO-4-WH-1")</f>
        <v>GA-PO-4-WH-1</v>
      </c>
      <c r="F716" s="98">
        <v>0.0</v>
      </c>
      <c r="G716" s="110"/>
      <c r="H716" s="98"/>
      <c r="I716" s="98"/>
      <c r="J716" s="98"/>
      <c r="K716" s="98"/>
      <c r="L716" s="104"/>
      <c r="M716" s="98" t="s">
        <v>39</v>
      </c>
      <c r="N716" s="103" t="str">
        <f>IFERROR(__xludf.DUMMYFUNCTION("""COMPUTED_VALUE"""),"")</f>
        <v/>
      </c>
      <c r="O716" s="104"/>
      <c r="P716" s="104"/>
      <c r="Q716" s="104"/>
      <c r="R716" s="104" t="s">
        <v>4356</v>
      </c>
      <c r="S716" s="104" t="s">
        <v>39</v>
      </c>
      <c r="T716" s="104" t="s">
        <v>4357</v>
      </c>
      <c r="U716" s="104"/>
      <c r="V716" s="104" t="s">
        <v>4357</v>
      </c>
      <c r="W716" s="104"/>
    </row>
    <row r="717">
      <c r="A717" s="105">
        <v>45896.0</v>
      </c>
      <c r="B717" s="79" t="str">
        <f>IFERROR(__xludf.DUMMYFUNCTION("""COMPUTED_VALUE"""),"TGOPS-PH-WW-1B")</f>
        <v>TGOPS-PH-WW-1B</v>
      </c>
      <c r="C717" s="104"/>
      <c r="D717" s="104"/>
      <c r="E717" s="104" t="str">
        <f>IFERROR(__xludf.DUMMYFUNCTION("""COMPUTED_VALUE"""),"TE-PO-4-MU-1")</f>
        <v>TE-PO-4-MU-1</v>
      </c>
      <c r="F717" s="98">
        <v>2.1983333333333333</v>
      </c>
      <c r="G717" s="110"/>
      <c r="H717" s="98"/>
      <c r="I717" s="98"/>
      <c r="J717" s="98"/>
      <c r="K717" s="98"/>
      <c r="L717" s="104"/>
      <c r="M717" s="98" t="s">
        <v>39</v>
      </c>
      <c r="N717" s="103" t="str">
        <f>IFERROR(__xludf.DUMMYFUNCTION("""COMPUTED_VALUE"""),"")</f>
        <v/>
      </c>
      <c r="O717" s="104"/>
      <c r="P717" s="104"/>
      <c r="Q717" s="104"/>
      <c r="R717" s="104" t="s">
        <v>4358</v>
      </c>
      <c r="S717" s="104" t="s">
        <v>39</v>
      </c>
      <c r="T717" s="104" t="s">
        <v>4359</v>
      </c>
      <c r="U717" s="104"/>
      <c r="V717" s="104" t="s">
        <v>4359</v>
      </c>
      <c r="W717" s="104"/>
    </row>
    <row r="718">
      <c r="A718" s="105">
        <v>45896.0</v>
      </c>
      <c r="B718" s="79" t="str">
        <f>IFERROR(__xludf.DUMMYFUNCTION("""COMPUTED_VALUE"""),"TGOPS-PH-WW-1C")</f>
        <v>TGOPS-PH-WW-1C</v>
      </c>
      <c r="C718" s="104"/>
      <c r="D718" s="104"/>
      <c r="E718" s="104" t="str">
        <f>IFERROR(__xludf.DUMMYFUNCTION("""COMPUTED_VALUE"""),"TE-PO-4-MU-1")</f>
        <v>TE-PO-4-MU-1</v>
      </c>
      <c r="F718" s="98">
        <v>2.1983333333333333</v>
      </c>
      <c r="G718" s="110"/>
      <c r="H718" s="98"/>
      <c r="I718" s="98"/>
      <c r="J718" s="98"/>
      <c r="K718" s="98"/>
      <c r="L718" s="104"/>
      <c r="M718" s="98" t="s">
        <v>39</v>
      </c>
      <c r="N718" s="103" t="str">
        <f>IFERROR(__xludf.DUMMYFUNCTION("""COMPUTED_VALUE"""),"")</f>
        <v/>
      </c>
      <c r="O718" s="104"/>
      <c r="P718" s="104"/>
      <c r="Q718" s="104"/>
      <c r="R718" s="104" t="s">
        <v>4360</v>
      </c>
      <c r="S718" s="104" t="s">
        <v>39</v>
      </c>
      <c r="T718" s="104" t="s">
        <v>4361</v>
      </c>
      <c r="U718" s="104"/>
      <c r="V718" s="104" t="s">
        <v>4361</v>
      </c>
      <c r="W718" s="104"/>
    </row>
    <row r="719">
      <c r="A719" s="105">
        <v>45896.0</v>
      </c>
      <c r="B719" s="79" t="str">
        <f>IFERROR(__xludf.DUMMYFUNCTION("""COMPUTED_VALUE"""),"TGOPS-PH-WW-1D")</f>
        <v>TGOPS-PH-WW-1D</v>
      </c>
      <c r="C719" s="104"/>
      <c r="D719" s="104"/>
      <c r="E719" s="104" t="str">
        <f>IFERROR(__xludf.DUMMYFUNCTION("""COMPUTED_VALUE"""),"TE-PO-4-MU-1")</f>
        <v>TE-PO-4-MU-1</v>
      </c>
      <c r="F719" s="98">
        <v>2.1983333333333333</v>
      </c>
      <c r="G719" s="110"/>
      <c r="H719" s="98"/>
      <c r="I719" s="98"/>
      <c r="J719" s="98"/>
      <c r="K719" s="98"/>
      <c r="L719" s="104"/>
      <c r="M719" s="98" t="s">
        <v>39</v>
      </c>
      <c r="N719" s="103" t="str">
        <f>IFERROR(__xludf.DUMMYFUNCTION("""COMPUTED_VALUE"""),"")</f>
        <v/>
      </c>
      <c r="O719" s="104"/>
      <c r="P719" s="104"/>
      <c r="Q719" s="104"/>
      <c r="R719" s="104" t="s">
        <v>4362</v>
      </c>
      <c r="S719" s="104" t="s">
        <v>39</v>
      </c>
      <c r="T719" s="104" t="s">
        <v>4363</v>
      </c>
      <c r="U719" s="104"/>
      <c r="V719" s="104" t="s">
        <v>4363</v>
      </c>
      <c r="W719" s="104"/>
    </row>
    <row r="720">
      <c r="A720" s="105">
        <v>45896.0</v>
      </c>
      <c r="B720" s="79" t="str">
        <f>IFERROR(__xludf.DUMMYFUNCTION("""COMPUTED_VALUE"""),"TGOPS-PH-WW-1E")</f>
        <v>TGOPS-PH-WW-1E</v>
      </c>
      <c r="C720" s="104"/>
      <c r="D720" s="104"/>
      <c r="E720" s="104" t="str">
        <f>IFERROR(__xludf.DUMMYFUNCTION("""COMPUTED_VALUE"""),"YA-PO-2-CL-1")</f>
        <v>YA-PO-2-CL-1</v>
      </c>
      <c r="F720" s="98">
        <v>2.1983333333333333</v>
      </c>
      <c r="G720" s="110"/>
      <c r="H720" s="98"/>
      <c r="I720" s="98"/>
      <c r="J720" s="98"/>
      <c r="K720" s="98"/>
      <c r="L720" s="104"/>
      <c r="M720" s="98" t="s">
        <v>39</v>
      </c>
      <c r="N720" s="103" t="str">
        <f>IFERROR(__xludf.DUMMYFUNCTION("""COMPUTED_VALUE"""),"")</f>
        <v/>
      </c>
      <c r="O720" s="104"/>
      <c r="P720" s="104"/>
      <c r="Q720" s="104"/>
      <c r="R720" s="104" t="s">
        <v>4364</v>
      </c>
      <c r="S720" s="104" t="s">
        <v>39</v>
      </c>
      <c r="T720" s="104" t="s">
        <v>4365</v>
      </c>
      <c r="U720" s="104"/>
      <c r="V720" s="104" t="s">
        <v>4365</v>
      </c>
      <c r="W720" s="104"/>
    </row>
    <row r="721">
      <c r="A721" s="105">
        <v>45896.0</v>
      </c>
      <c r="B721" s="79" t="str">
        <f>IFERROR(__xludf.DUMMYFUNCTION("""COMPUTED_VALUE"""),"TGOPS-PH-WW-1F")</f>
        <v>TGOPS-PH-WW-1F</v>
      </c>
      <c r="C721" s="104"/>
      <c r="D721" s="104"/>
      <c r="E721" s="104" t="str">
        <f>IFERROR(__xludf.DUMMYFUNCTION("""COMPUTED_VALUE"""),"YA-PO-2-CL-1")</f>
        <v>YA-PO-2-CL-1</v>
      </c>
      <c r="F721" s="98">
        <v>2.1983333333333333</v>
      </c>
      <c r="G721" s="110"/>
      <c r="H721" s="98"/>
      <c r="I721" s="98"/>
      <c r="J721" s="98"/>
      <c r="K721" s="98"/>
      <c r="L721" s="104"/>
      <c r="M721" s="98" t="s">
        <v>39</v>
      </c>
      <c r="N721" s="103" t="str">
        <f>IFERROR(__xludf.DUMMYFUNCTION("""COMPUTED_VALUE"""),"")</f>
        <v/>
      </c>
      <c r="O721" s="104"/>
      <c r="P721" s="104"/>
      <c r="Q721" s="104"/>
      <c r="R721" s="104" t="s">
        <v>4366</v>
      </c>
      <c r="S721" s="104" t="s">
        <v>39</v>
      </c>
      <c r="T721" s="104" t="s">
        <v>4367</v>
      </c>
      <c r="U721" s="104"/>
      <c r="V721" s="104" t="s">
        <v>4367</v>
      </c>
      <c r="W721" s="104"/>
    </row>
    <row r="722">
      <c r="A722" s="105">
        <v>45896.0</v>
      </c>
      <c r="B722" s="79" t="str">
        <f>IFERROR(__xludf.DUMMYFUNCTION("""COMPUTED_VALUE"""),"TGOPS-PH-WW-1A-3B")</f>
        <v>TGOPS-PH-WW-1A-3B</v>
      </c>
      <c r="C722" s="104"/>
      <c r="D722" s="104"/>
      <c r="E722" s="104" t="str">
        <f>IFERROR(__xludf.DUMMYFUNCTION("""COMPUTED_VALUE"""),"GA-PO-4-WH-1")</f>
        <v>GA-PO-4-WH-1</v>
      </c>
      <c r="F722" s="98">
        <v>4.3966666666666665</v>
      </c>
      <c r="G722" s="110"/>
      <c r="H722" s="98"/>
      <c r="I722" s="98"/>
      <c r="J722" s="98"/>
      <c r="K722" s="98"/>
      <c r="L722" s="104"/>
      <c r="M722" s="98" t="s">
        <v>39</v>
      </c>
      <c r="N722" s="103" t="str">
        <f>IFERROR(__xludf.DUMMYFUNCTION("""COMPUTED_VALUE"""),"")</f>
        <v/>
      </c>
      <c r="O722" s="104"/>
      <c r="P722" s="104"/>
      <c r="Q722" s="104"/>
      <c r="R722" s="104" t="s">
        <v>4368</v>
      </c>
      <c r="S722" s="104" t="s">
        <v>39</v>
      </c>
      <c r="T722" s="104" t="s">
        <v>4369</v>
      </c>
      <c r="U722" s="104"/>
      <c r="V722" s="104" t="s">
        <v>4369</v>
      </c>
      <c r="W722" s="104"/>
    </row>
    <row r="723">
      <c r="A723" s="105">
        <v>45896.0</v>
      </c>
      <c r="B723" s="79" t="str">
        <f>IFERROR(__xludf.DUMMYFUNCTION("""COMPUTED_VALUE"""),"TGOPS-PH-WW-1A-3C")</f>
        <v>TGOPS-PH-WW-1A-3C</v>
      </c>
      <c r="C723" s="104"/>
      <c r="D723" s="104"/>
      <c r="E723" s="104" t="str">
        <f>IFERROR(__xludf.DUMMYFUNCTION("""COMPUTED_VALUE"""),"AN-PO-3-MU-1")</f>
        <v>AN-PO-3-MU-1</v>
      </c>
      <c r="F723" s="98">
        <v>4.3966666666666665</v>
      </c>
      <c r="G723" s="110"/>
      <c r="H723" s="98"/>
      <c r="I723" s="98"/>
      <c r="J723" s="98"/>
      <c r="K723" s="98"/>
      <c r="L723" s="104"/>
      <c r="M723" s="98" t="s">
        <v>39</v>
      </c>
      <c r="N723" s="103" t="str">
        <f>IFERROR(__xludf.DUMMYFUNCTION("""COMPUTED_VALUE"""),"")</f>
        <v/>
      </c>
      <c r="O723" s="104"/>
      <c r="P723" s="104"/>
      <c r="Q723" s="104"/>
      <c r="R723" s="104" t="s">
        <v>4370</v>
      </c>
      <c r="S723" s="104" t="s">
        <v>39</v>
      </c>
      <c r="T723" s="104" t="s">
        <v>4371</v>
      </c>
      <c r="U723" s="104"/>
      <c r="V723" s="104" t="s">
        <v>4371</v>
      </c>
      <c r="W723" s="104"/>
    </row>
    <row r="724">
      <c r="A724" s="105">
        <v>45896.0</v>
      </c>
      <c r="B724" s="79" t="str">
        <f>IFERROR(__xludf.DUMMYFUNCTION("""COMPUTED_VALUE"""),"TGOPS-PH-WW-1A-2D")</f>
        <v>TGOPS-PH-WW-1A-2D</v>
      </c>
      <c r="C724" s="104"/>
      <c r="D724" s="104"/>
      <c r="E724" s="104" t="str">
        <f>IFERROR(__xludf.DUMMYFUNCTION("""COMPUTED_VALUE"""),"GA-PO-6-MU-1")</f>
        <v>GA-PO-6-MU-1</v>
      </c>
      <c r="F724" s="98">
        <v>3.2975</v>
      </c>
      <c r="G724" s="110"/>
      <c r="H724" s="98"/>
      <c r="I724" s="98"/>
      <c r="J724" s="98"/>
      <c r="K724" s="98"/>
      <c r="L724" s="104"/>
      <c r="M724" s="98" t="s">
        <v>39</v>
      </c>
      <c r="N724" s="103" t="str">
        <f>IFERROR(__xludf.DUMMYFUNCTION("""COMPUTED_VALUE"""),"")</f>
        <v/>
      </c>
      <c r="O724" s="104"/>
      <c r="P724" s="104"/>
      <c r="Q724" s="104"/>
      <c r="R724" s="104" t="s">
        <v>4372</v>
      </c>
      <c r="S724" s="104" t="s">
        <v>39</v>
      </c>
      <c r="T724" s="104" t="s">
        <v>4373</v>
      </c>
      <c r="U724" s="104"/>
      <c r="V724" s="104" t="s">
        <v>4373</v>
      </c>
      <c r="W724" s="104"/>
    </row>
    <row r="725">
      <c r="A725" s="105">
        <v>45896.0</v>
      </c>
      <c r="B725" s="79" t="str">
        <f>IFERROR(__xludf.DUMMYFUNCTION("""COMPUTED_VALUE"""),"TGOPS-PH-WW-1A-2B")</f>
        <v>TGOPS-PH-WW-1A-2B</v>
      </c>
      <c r="C725" s="104"/>
      <c r="D725" s="104"/>
      <c r="E725" s="104" t="str">
        <f>IFERROR(__xludf.DUMMYFUNCTION("""COMPUTED_VALUE"""),"TE-PO-4-MU-3")</f>
        <v>TE-PO-4-MU-3</v>
      </c>
      <c r="F725" s="98">
        <v>3.2975</v>
      </c>
      <c r="G725" s="110"/>
      <c r="H725" s="98"/>
      <c r="I725" s="98"/>
      <c r="J725" s="98"/>
      <c r="K725" s="98"/>
      <c r="L725" s="104"/>
      <c r="M725" s="98" t="s">
        <v>39</v>
      </c>
      <c r="N725" s="103" t="str">
        <f>IFERROR(__xludf.DUMMYFUNCTION("""COMPUTED_VALUE"""),"")</f>
        <v/>
      </c>
      <c r="O725" s="104"/>
      <c r="P725" s="104"/>
      <c r="Q725" s="104"/>
      <c r="R725" s="104" t="s">
        <v>4374</v>
      </c>
      <c r="S725" s="104" t="s">
        <v>39</v>
      </c>
      <c r="T725" s="104" t="s">
        <v>4375</v>
      </c>
      <c r="U725" s="104"/>
      <c r="V725" s="104" t="s">
        <v>4375</v>
      </c>
      <c r="W725" s="104"/>
    </row>
    <row r="726">
      <c r="A726" s="105">
        <v>45896.0</v>
      </c>
      <c r="B726" s="79" t="str">
        <f>IFERROR(__xludf.DUMMYFUNCTION("""COMPUTED_VALUE"""),"TGOPS-PH-WW-1A-2C")</f>
        <v>TGOPS-PH-WW-1A-2C</v>
      </c>
      <c r="C726" s="104"/>
      <c r="D726" s="104"/>
      <c r="E726" s="104" t="str">
        <f>IFERROR(__xludf.DUMMYFUNCTION("""COMPUTED_VALUE"""),"TE-PO-4-MU-2")</f>
        <v>TE-PO-4-MU-2</v>
      </c>
      <c r="F726" s="98">
        <v>3.2975</v>
      </c>
      <c r="G726" s="110"/>
      <c r="H726" s="98"/>
      <c r="I726" s="98"/>
      <c r="J726" s="98"/>
      <c r="K726" s="98"/>
      <c r="L726" s="104"/>
      <c r="M726" s="98" t="s">
        <v>39</v>
      </c>
      <c r="N726" s="103" t="str">
        <f>IFERROR(__xludf.DUMMYFUNCTION("""COMPUTED_VALUE"""),"")</f>
        <v/>
      </c>
      <c r="O726" s="104"/>
      <c r="P726" s="104"/>
      <c r="Q726" s="104"/>
      <c r="R726" s="104" t="s">
        <v>4376</v>
      </c>
      <c r="S726" s="104" t="s">
        <v>39</v>
      </c>
      <c r="T726" s="104" t="s">
        <v>4377</v>
      </c>
      <c r="U726" s="104"/>
      <c r="V726" s="104" t="s">
        <v>4377</v>
      </c>
      <c r="W726" s="104"/>
    </row>
    <row r="727">
      <c r="A727" s="105">
        <v>45897.0</v>
      </c>
      <c r="B727" s="79" t="str">
        <f>IFERROR(__xludf.DUMMYFUNCTION("""COMPUTED_VALUE"""),"FMY-PH-PL-1B")</f>
        <v>FMY-PH-PL-1B</v>
      </c>
      <c r="C727" s="104"/>
      <c r="D727" s="104"/>
      <c r="E727" s="104" t="str">
        <f>IFERROR(__xludf.DUMMYFUNCTION("""COMPUTED_VALUE"""),"GA-PO-6-MU-1")</f>
        <v>GA-PO-6-MU-1</v>
      </c>
      <c r="F727" s="98">
        <v>9.995</v>
      </c>
      <c r="G727" s="110"/>
      <c r="H727" s="98"/>
      <c r="I727" s="98"/>
      <c r="J727" s="98"/>
      <c r="K727" s="98"/>
      <c r="L727" s="104"/>
      <c r="M727" s="98" t="s">
        <v>39</v>
      </c>
      <c r="N727" s="103" t="str">
        <f>IFERROR(__xludf.DUMMYFUNCTION("""COMPUTED_VALUE"""),"")</f>
        <v/>
      </c>
      <c r="O727" s="104"/>
      <c r="P727" s="104"/>
      <c r="Q727" s="104"/>
      <c r="R727" s="104" t="s">
        <v>4378</v>
      </c>
      <c r="S727" s="104" t="s">
        <v>39</v>
      </c>
      <c r="T727" s="104" t="s">
        <v>4379</v>
      </c>
      <c r="U727" s="104"/>
      <c r="V727" s="104" t="s">
        <v>4379</v>
      </c>
      <c r="W727" s="104"/>
    </row>
    <row r="728">
      <c r="A728" s="105">
        <v>45897.0</v>
      </c>
      <c r="B728" s="79" t="str">
        <f>IFERROR(__xludf.DUMMYFUNCTION("""COMPUTED_VALUE"""),"FMY-MA-PE-1B")</f>
        <v>FMY-MA-PE-1B</v>
      </c>
      <c r="C728" s="104"/>
      <c r="D728" s="104"/>
      <c r="E728" s="104" t="str">
        <f>IFERROR(__xludf.DUMMYFUNCTION("""COMPUTED_VALUE"""),"PS-PO-5.5-MU-1")</f>
        <v>PS-PO-5.5-MU-1</v>
      </c>
      <c r="F728" s="98">
        <v>2.427142857142857</v>
      </c>
      <c r="G728" s="110"/>
      <c r="H728" s="98"/>
      <c r="I728" s="98"/>
      <c r="J728" s="98"/>
      <c r="K728" s="98"/>
      <c r="L728" s="104"/>
      <c r="M728" s="98" t="s">
        <v>39</v>
      </c>
      <c r="N728" s="103" t="str">
        <f>IFERROR(__xludf.DUMMYFUNCTION("""COMPUTED_VALUE"""),"")</f>
        <v/>
      </c>
      <c r="O728" s="104"/>
      <c r="P728" s="102" t="s">
        <v>1626</v>
      </c>
      <c r="Q728" s="104"/>
      <c r="R728" s="104" t="s">
        <v>4380</v>
      </c>
      <c r="S728" s="104" t="s">
        <v>39</v>
      </c>
      <c r="T728" s="104" t="s">
        <v>4381</v>
      </c>
      <c r="U728" s="104"/>
      <c r="V728" s="104" t="s">
        <v>4381</v>
      </c>
      <c r="W728" s="104"/>
    </row>
    <row r="729">
      <c r="A729" s="105">
        <v>45897.0</v>
      </c>
      <c r="B729" s="79" t="str">
        <f>IFERROR(__xludf.DUMMYFUNCTION("""COMPUTED_VALUE"""),"FMY-MA-PE-1C")</f>
        <v>FMY-MA-PE-1C</v>
      </c>
      <c r="C729" s="104"/>
      <c r="D729" s="104"/>
      <c r="E729" s="104" t="str">
        <f>IFERROR(__xludf.DUMMYFUNCTION("""COMPUTED_VALUE"""),"PS-PO-5.5-MU-1")</f>
        <v>PS-PO-5.5-MU-1</v>
      </c>
      <c r="F729" s="98">
        <v>2.427142857142857</v>
      </c>
      <c r="G729" s="110"/>
      <c r="H729" s="98"/>
      <c r="I729" s="98"/>
      <c r="J729" s="98"/>
      <c r="K729" s="111"/>
      <c r="L729" s="104"/>
      <c r="M729" s="98" t="s">
        <v>39</v>
      </c>
      <c r="N729" s="103" t="str">
        <f>IFERROR(__xludf.DUMMYFUNCTION("""COMPUTED_VALUE"""),"")</f>
        <v/>
      </c>
      <c r="O729" s="104"/>
      <c r="P729" s="102" t="s">
        <v>2512</v>
      </c>
      <c r="Q729" s="104"/>
      <c r="R729" s="104" t="s">
        <v>4382</v>
      </c>
      <c r="S729" s="104" t="s">
        <v>39</v>
      </c>
      <c r="T729" s="104" t="s">
        <v>4383</v>
      </c>
      <c r="U729" s="104"/>
      <c r="V729" s="104" t="s">
        <v>4383</v>
      </c>
      <c r="W729" s="104"/>
    </row>
    <row r="730">
      <c r="A730" s="105">
        <v>45897.0</v>
      </c>
      <c r="B730" s="79" t="str">
        <f>IFERROR(__xludf.DUMMYFUNCTION("""COMPUTED_VALUE"""),"FMY-MA-PE-1D")</f>
        <v>FMY-MA-PE-1D</v>
      </c>
      <c r="C730" s="104"/>
      <c r="D730" s="104"/>
      <c r="E730" s="104" t="str">
        <f>IFERROR(__xludf.DUMMYFUNCTION("""COMPUTED_VALUE"""),"PS-PO-5.5-MU-1")</f>
        <v>PS-PO-5.5-MU-1</v>
      </c>
      <c r="F730" s="98">
        <v>2.427142857142857</v>
      </c>
      <c r="G730" s="110"/>
      <c r="H730" s="98"/>
      <c r="I730" s="98"/>
      <c r="J730" s="98"/>
      <c r="K730" s="98"/>
      <c r="L730" s="104"/>
      <c r="M730" s="98" t="s">
        <v>39</v>
      </c>
      <c r="N730" s="103" t="str">
        <f>IFERROR(__xludf.DUMMYFUNCTION("""COMPUTED_VALUE"""),"")</f>
        <v/>
      </c>
      <c r="O730" s="104"/>
      <c r="P730" s="104"/>
      <c r="Q730" s="104"/>
      <c r="R730" s="104" t="s">
        <v>4384</v>
      </c>
      <c r="S730" s="104" t="s">
        <v>39</v>
      </c>
      <c r="T730" s="104" t="s">
        <v>4385</v>
      </c>
      <c r="U730" s="104"/>
      <c r="V730" s="104" t="s">
        <v>4385</v>
      </c>
      <c r="W730" s="104"/>
    </row>
    <row r="731">
      <c r="A731" s="105">
        <v>45897.0</v>
      </c>
      <c r="B731" s="79" t="str">
        <f>IFERROR(__xludf.DUMMYFUNCTION("""COMPUTED_VALUE"""),"FMY-MA-PE-1E")</f>
        <v>FMY-MA-PE-1E</v>
      </c>
      <c r="C731" s="104"/>
      <c r="D731" s="104"/>
      <c r="E731" s="104" t="str">
        <f>IFERROR(__xludf.DUMMYFUNCTION("""COMPUTED_VALUE"""),"TE-PO-4-MU-1")</f>
        <v>TE-PO-4-MU-1</v>
      </c>
      <c r="F731" s="98">
        <v>2.427142857142857</v>
      </c>
      <c r="G731" s="110"/>
      <c r="H731" s="98"/>
      <c r="I731" s="98"/>
      <c r="J731" s="98"/>
      <c r="K731" s="98"/>
      <c r="L731" s="104"/>
      <c r="M731" s="98" t="s">
        <v>39</v>
      </c>
      <c r="N731" s="103" t="str">
        <f>IFERROR(__xludf.DUMMYFUNCTION("""COMPUTED_VALUE"""),"")</f>
        <v/>
      </c>
      <c r="O731" s="104"/>
      <c r="P731" s="104"/>
      <c r="Q731" s="104"/>
      <c r="R731" s="104" t="s">
        <v>4386</v>
      </c>
      <c r="S731" s="104" t="s">
        <v>39</v>
      </c>
      <c r="T731" s="104" t="s">
        <v>4387</v>
      </c>
      <c r="U731" s="104"/>
      <c r="V731" s="104" t="s">
        <v>4387</v>
      </c>
      <c r="W731" s="104"/>
    </row>
    <row r="732">
      <c r="A732" s="105">
        <v>45897.0</v>
      </c>
      <c r="B732" s="79" t="str">
        <f>IFERROR(__xludf.DUMMYFUNCTION("""COMPUTED_VALUE"""),"FMY-MA-PE-1F")</f>
        <v>FMY-MA-PE-1F</v>
      </c>
      <c r="C732" s="104"/>
      <c r="D732" s="104"/>
      <c r="E732" s="104" t="str">
        <f>IFERROR(__xludf.DUMMYFUNCTION("""COMPUTED_VALUE"""),"TE-PO-4-MU-1")</f>
        <v>TE-PO-4-MU-1</v>
      </c>
      <c r="F732" s="98">
        <v>2.427142857142857</v>
      </c>
      <c r="G732" s="110"/>
      <c r="H732" s="98"/>
      <c r="I732" s="98"/>
      <c r="J732" s="98"/>
      <c r="K732" s="98"/>
      <c r="L732" s="104"/>
      <c r="M732" s="98" t="s">
        <v>39</v>
      </c>
      <c r="N732" s="103" t="str">
        <f>IFERROR(__xludf.DUMMYFUNCTION("""COMPUTED_VALUE"""),"")</f>
        <v/>
      </c>
      <c r="O732" s="104"/>
      <c r="P732" s="104"/>
      <c r="Q732" s="104"/>
      <c r="R732" s="104" t="s">
        <v>4388</v>
      </c>
      <c r="S732" s="104" t="s">
        <v>39</v>
      </c>
      <c r="T732" s="104" t="s">
        <v>4389</v>
      </c>
      <c r="U732" s="104"/>
      <c r="V732" s="104" t="s">
        <v>4389</v>
      </c>
      <c r="W732" s="104"/>
    </row>
    <row r="733">
      <c r="A733" s="105">
        <v>45897.0</v>
      </c>
      <c r="B733" s="79" t="str">
        <f>IFERROR(__xludf.DUMMYFUNCTION("""COMPUTED_VALUE"""),"FMY-MA-PE-1G")</f>
        <v>FMY-MA-PE-1G</v>
      </c>
      <c r="C733" s="104"/>
      <c r="D733" s="104"/>
      <c r="E733" s="104" t="str">
        <f>IFERROR(__xludf.DUMMYFUNCTION("""COMPUTED_VALUE"""),"GA-PO-6-MU-1")</f>
        <v>GA-PO-6-MU-1</v>
      </c>
      <c r="F733" s="98">
        <v>2.427142857142857</v>
      </c>
      <c r="G733" s="110"/>
      <c r="H733" s="98"/>
      <c r="I733" s="98"/>
      <c r="J733" s="98"/>
      <c r="K733" s="98"/>
      <c r="L733" s="104"/>
      <c r="M733" s="98" t="s">
        <v>39</v>
      </c>
      <c r="N733" s="103" t="str">
        <f>IFERROR(__xludf.DUMMYFUNCTION("""COMPUTED_VALUE"""),"")</f>
        <v/>
      </c>
      <c r="O733" s="104"/>
      <c r="P733" s="104"/>
      <c r="Q733" s="104"/>
      <c r="R733" s="104" t="s">
        <v>4390</v>
      </c>
      <c r="S733" s="104" t="s">
        <v>39</v>
      </c>
      <c r="T733" s="104" t="s">
        <v>4391</v>
      </c>
      <c r="U733" s="104"/>
      <c r="V733" s="104" t="s">
        <v>4391</v>
      </c>
      <c r="W733" s="104"/>
    </row>
    <row r="734">
      <c r="A734" s="105">
        <v>45897.0</v>
      </c>
      <c r="B734" s="79" t="str">
        <f>IFERROR(__xludf.DUMMYFUNCTION("""COMPUTED_VALUE"""),"FMY-AG-SPA-1B")</f>
        <v>FMY-AG-SPA-1B</v>
      </c>
      <c r="C734" s="104"/>
      <c r="D734" s="104"/>
      <c r="E734" s="104" t="str">
        <f>IFERROR(__xludf.DUMMYFUNCTION("""COMPUTED_VALUE"""),"TE-PO-4-MU-1")</f>
        <v>TE-PO-4-MU-1</v>
      </c>
      <c r="F734" s="98">
        <v>3.3316666666666666</v>
      </c>
      <c r="G734" s="110"/>
      <c r="H734" s="98"/>
      <c r="I734" s="98"/>
      <c r="J734" s="98"/>
      <c r="K734" s="98"/>
      <c r="L734" s="104"/>
      <c r="M734" s="98" t="s">
        <v>39</v>
      </c>
      <c r="N734" s="103" t="str">
        <f>IFERROR(__xludf.DUMMYFUNCTION("""COMPUTED_VALUE"""),"")</f>
        <v/>
      </c>
      <c r="O734" s="104"/>
      <c r="P734" s="104"/>
      <c r="Q734" s="104"/>
      <c r="R734" s="104" t="s">
        <v>4392</v>
      </c>
      <c r="S734" s="104" t="s">
        <v>39</v>
      </c>
      <c r="T734" s="104" t="s">
        <v>4393</v>
      </c>
      <c r="U734" s="104"/>
      <c r="V734" s="104" t="s">
        <v>4393</v>
      </c>
      <c r="W734" s="104"/>
    </row>
    <row r="735">
      <c r="A735" s="105">
        <v>45897.0</v>
      </c>
      <c r="B735" s="79" t="str">
        <f>IFERROR(__xludf.DUMMYFUNCTION("""COMPUTED_VALUE"""),"FMY-AG-SPA-1C")</f>
        <v>FMY-AG-SPA-1C</v>
      </c>
      <c r="C735" s="104"/>
      <c r="D735" s="104"/>
      <c r="E735" s="104" t="str">
        <f>IFERROR(__xludf.DUMMYFUNCTION("""COMPUTED_VALUE"""),"TE-PO-4-MU-1")</f>
        <v>TE-PO-4-MU-1</v>
      </c>
      <c r="F735" s="98">
        <v>3.3316666666666666</v>
      </c>
      <c r="G735" s="110"/>
      <c r="H735" s="98"/>
      <c r="I735" s="98"/>
      <c r="J735" s="98"/>
      <c r="K735" s="98"/>
      <c r="L735" s="104"/>
      <c r="M735" s="98" t="s">
        <v>39</v>
      </c>
      <c r="N735" s="103" t="str">
        <f>IFERROR(__xludf.DUMMYFUNCTION("""COMPUTED_VALUE"""),"")</f>
        <v/>
      </c>
      <c r="O735" s="104"/>
      <c r="P735" s="104"/>
      <c r="Q735" s="104"/>
      <c r="R735" s="104" t="s">
        <v>4394</v>
      </c>
      <c r="S735" s="104" t="s">
        <v>39</v>
      </c>
      <c r="T735" s="104" t="s">
        <v>4395</v>
      </c>
      <c r="U735" s="104"/>
      <c r="V735" s="104" t="s">
        <v>4395</v>
      </c>
      <c r="W735" s="104"/>
    </row>
    <row r="736">
      <c r="A736" s="105">
        <v>45897.0</v>
      </c>
      <c r="B736" s="79" t="str">
        <f>IFERROR(__xludf.DUMMYFUNCTION("""COMPUTED_VALUE"""),"FMY-AG-SPA-1D")</f>
        <v>FMY-AG-SPA-1D</v>
      </c>
      <c r="C736" s="104"/>
      <c r="D736" s="104"/>
      <c r="E736" s="104" t="str">
        <f>IFERROR(__xludf.DUMMYFUNCTION("""COMPUTED_VALUE"""),"TE-PO-4-MU-1")</f>
        <v>TE-PO-4-MU-1</v>
      </c>
      <c r="F736" s="98">
        <v>3.3316666666666666</v>
      </c>
      <c r="G736" s="110"/>
      <c r="H736" s="98"/>
      <c r="I736" s="98"/>
      <c r="J736" s="98"/>
      <c r="K736" s="98"/>
      <c r="L736" s="104"/>
      <c r="M736" s="98" t="s">
        <v>39</v>
      </c>
      <c r="N736" s="103" t="str">
        <f>IFERROR(__xludf.DUMMYFUNCTION("""COMPUTED_VALUE"""),"")</f>
        <v/>
      </c>
      <c r="O736" s="104"/>
      <c r="P736" s="104"/>
      <c r="Q736" s="104"/>
      <c r="R736" s="104" t="s">
        <v>4396</v>
      </c>
      <c r="S736" s="104" t="s">
        <v>39</v>
      </c>
      <c r="T736" s="104" t="s">
        <v>4397</v>
      </c>
      <c r="U736" s="104"/>
      <c r="V736" s="104" t="s">
        <v>4397</v>
      </c>
      <c r="W736" s="104"/>
    </row>
    <row r="737">
      <c r="A737" s="105">
        <v>45897.0</v>
      </c>
      <c r="B737" s="79" t="str">
        <f>IFERROR(__xludf.DUMMYFUNCTION("""COMPUTED_VALUE"""),"FMY-AG-SPA-1E")</f>
        <v>FMY-AG-SPA-1E</v>
      </c>
      <c r="C737" s="104"/>
      <c r="D737" s="104"/>
      <c r="E737" s="104" t="str">
        <f>IFERROR(__xludf.DUMMYFUNCTION("""COMPUTED_VALUE"""),"TE-PO-4-MU-1")</f>
        <v>TE-PO-4-MU-1</v>
      </c>
      <c r="F737" s="98">
        <v>3.3316666666666666</v>
      </c>
      <c r="G737" s="110"/>
      <c r="H737" s="98"/>
      <c r="I737" s="98"/>
      <c r="J737" s="98"/>
      <c r="K737" s="98"/>
      <c r="L737" s="104"/>
      <c r="M737" s="98" t="s">
        <v>39</v>
      </c>
      <c r="N737" s="103" t="str">
        <f>IFERROR(__xludf.DUMMYFUNCTION("""COMPUTED_VALUE"""),"")</f>
        <v/>
      </c>
      <c r="O737" s="104"/>
      <c r="P737" s="104"/>
      <c r="Q737" s="104"/>
      <c r="R737" s="104" t="s">
        <v>4398</v>
      </c>
      <c r="S737" s="104" t="s">
        <v>39</v>
      </c>
      <c r="T737" s="104" t="s">
        <v>4399</v>
      </c>
      <c r="U737" s="104"/>
      <c r="V737" s="104" t="s">
        <v>4399</v>
      </c>
      <c r="W737" s="104"/>
    </row>
    <row r="738">
      <c r="A738" s="105">
        <v>45897.0</v>
      </c>
      <c r="B738" s="79" t="str">
        <f>IFERROR(__xludf.DUMMYFUNCTION("""COMPUTED_VALUE"""),"FMY-AG-SPA-1F")</f>
        <v>FMY-AG-SPA-1F</v>
      </c>
      <c r="C738" s="104"/>
      <c r="D738" s="104"/>
      <c r="E738" s="104" t="str">
        <f>IFERROR(__xludf.DUMMYFUNCTION("""COMPUTED_VALUE"""),"DV-PO-2-WH-1")</f>
        <v>DV-PO-2-WH-1</v>
      </c>
      <c r="F738" s="98">
        <v>3.3316666666666666</v>
      </c>
      <c r="G738" s="110"/>
      <c r="H738" s="98"/>
      <c r="I738" s="98"/>
      <c r="J738" s="98"/>
      <c r="K738" s="98"/>
      <c r="L738" s="104"/>
      <c r="M738" s="98" t="s">
        <v>39</v>
      </c>
      <c r="N738" s="103" t="str">
        <f>IFERROR(__xludf.DUMMYFUNCTION("""COMPUTED_VALUE"""),"")</f>
        <v/>
      </c>
      <c r="O738" s="104"/>
      <c r="P738" s="104"/>
      <c r="Q738" s="104"/>
      <c r="R738" s="104" t="s">
        <v>4400</v>
      </c>
      <c r="S738" s="104" t="s">
        <v>39</v>
      </c>
      <c r="T738" s="104" t="s">
        <v>4401</v>
      </c>
      <c r="U738" s="104"/>
      <c r="V738" s="104" t="s">
        <v>4401</v>
      </c>
      <c r="W738" s="104"/>
    </row>
    <row r="739">
      <c r="A739" s="105">
        <v>45897.0</v>
      </c>
      <c r="B739" s="79" t="str">
        <f>IFERROR(__xludf.DUMMYFUNCTION("""COMPUTED_VALUE"""),"FMY-MA-DE-1B")</f>
        <v>FMY-MA-DE-1B</v>
      </c>
      <c r="C739" s="104"/>
      <c r="D739" s="104"/>
      <c r="E739" s="104" t="str">
        <f>IFERROR(__xludf.DUMMYFUNCTION("""COMPUTED_VALUE"""),"PS-PO-5.5-MU-1")</f>
        <v>PS-PO-5.5-MU-1</v>
      </c>
      <c r="F739" s="98">
        <v>2.198</v>
      </c>
      <c r="G739" s="110"/>
      <c r="H739" s="98"/>
      <c r="I739" s="98"/>
      <c r="J739" s="98"/>
      <c r="K739" s="98"/>
      <c r="L739" s="104"/>
      <c r="M739" s="98" t="s">
        <v>39</v>
      </c>
      <c r="N739" s="103" t="str">
        <f>IFERROR(__xludf.DUMMYFUNCTION("""COMPUTED_VALUE"""),"")</f>
        <v/>
      </c>
      <c r="O739" s="104"/>
      <c r="P739" s="104"/>
      <c r="Q739" s="104"/>
      <c r="R739" s="104" t="s">
        <v>4402</v>
      </c>
      <c r="S739" s="104" t="s">
        <v>39</v>
      </c>
      <c r="T739" s="104" t="s">
        <v>4403</v>
      </c>
      <c r="U739" s="104"/>
      <c r="V739" s="104" t="s">
        <v>4403</v>
      </c>
      <c r="W739" s="104"/>
    </row>
    <row r="740">
      <c r="A740" s="105">
        <v>45897.0</v>
      </c>
      <c r="B740" s="79" t="str">
        <f>IFERROR(__xludf.DUMMYFUNCTION("""COMPUTED_VALUE"""),"FMY-MA-DE-1C")</f>
        <v>FMY-MA-DE-1C</v>
      </c>
      <c r="C740" s="104"/>
      <c r="D740" s="104"/>
      <c r="E740" s="104" t="str">
        <f>IFERROR(__xludf.DUMMYFUNCTION("""COMPUTED_VALUE"""),"TE-PO-4-MU-1")</f>
        <v>TE-PO-4-MU-1</v>
      </c>
      <c r="F740" s="98">
        <v>2.198</v>
      </c>
      <c r="G740" s="110"/>
      <c r="H740" s="98"/>
      <c r="I740" s="98"/>
      <c r="J740" s="98"/>
      <c r="K740" s="98"/>
      <c r="L740" s="104"/>
      <c r="M740" s="98" t="s">
        <v>39</v>
      </c>
      <c r="N740" s="103" t="str">
        <f>IFERROR(__xludf.DUMMYFUNCTION("""COMPUTED_VALUE"""),"")</f>
        <v/>
      </c>
      <c r="O740" s="104"/>
      <c r="P740" s="104"/>
      <c r="Q740" s="104"/>
      <c r="R740" s="104" t="s">
        <v>4404</v>
      </c>
      <c r="S740" s="104" t="s">
        <v>39</v>
      </c>
      <c r="T740" s="104" t="s">
        <v>4405</v>
      </c>
      <c r="U740" s="104"/>
      <c r="V740" s="104" t="s">
        <v>4405</v>
      </c>
      <c r="W740" s="104"/>
    </row>
    <row r="741">
      <c r="A741" s="105">
        <v>45897.0</v>
      </c>
      <c r="B741" s="79" t="str">
        <f>IFERROR(__xludf.DUMMYFUNCTION("""COMPUTED_VALUE"""),"FMY-MA-DE-1D")</f>
        <v>FMY-MA-DE-1D</v>
      </c>
      <c r="C741" s="104"/>
      <c r="D741" s="104"/>
      <c r="E741" s="104" t="str">
        <f>IFERROR(__xludf.DUMMYFUNCTION("""COMPUTED_VALUE"""),"TE-PO-4-MU-1")</f>
        <v>TE-PO-4-MU-1</v>
      </c>
      <c r="F741" s="98">
        <v>2.198</v>
      </c>
      <c r="G741" s="110"/>
      <c r="H741" s="98"/>
      <c r="I741" s="98"/>
      <c r="J741" s="98"/>
      <c r="K741" s="98"/>
      <c r="L741" s="104"/>
      <c r="M741" s="98" t="s">
        <v>39</v>
      </c>
      <c r="N741" s="103" t="str">
        <f>IFERROR(__xludf.DUMMYFUNCTION("""COMPUTED_VALUE"""),"")</f>
        <v/>
      </c>
      <c r="O741" s="104"/>
      <c r="P741" s="104"/>
      <c r="Q741" s="104"/>
      <c r="R741" s="104" t="s">
        <v>4406</v>
      </c>
      <c r="S741" s="104" t="s">
        <v>39</v>
      </c>
      <c r="T741" s="104" t="s">
        <v>4407</v>
      </c>
      <c r="U741" s="104"/>
      <c r="V741" s="104" t="s">
        <v>4407</v>
      </c>
      <c r="W741" s="104"/>
    </row>
    <row r="742">
      <c r="A742" s="105">
        <v>45897.0</v>
      </c>
      <c r="B742" s="79" t="str">
        <f>IFERROR(__xludf.DUMMYFUNCTION("""COMPUTED_VALUE"""),"FMY-MA-DE-1E")</f>
        <v>FMY-MA-DE-1E</v>
      </c>
      <c r="C742" s="104"/>
      <c r="D742" s="104"/>
      <c r="E742" s="104" t="str">
        <f>IFERROR(__xludf.DUMMYFUNCTION("""COMPUTED_VALUE"""),"TE-PO-4-MU-1")</f>
        <v>TE-PO-4-MU-1</v>
      </c>
      <c r="F742" s="98">
        <v>2.198</v>
      </c>
      <c r="G742" s="110"/>
      <c r="H742" s="98"/>
      <c r="I742" s="98"/>
      <c r="J742" s="98"/>
      <c r="K742" s="98"/>
      <c r="L742" s="104"/>
      <c r="M742" s="98" t="s">
        <v>39</v>
      </c>
      <c r="N742" s="103" t="str">
        <f>IFERROR(__xludf.DUMMYFUNCTION("""COMPUTED_VALUE"""),"")</f>
        <v/>
      </c>
      <c r="O742" s="104"/>
      <c r="P742" s="104"/>
      <c r="Q742" s="104"/>
      <c r="R742" s="104" t="s">
        <v>4408</v>
      </c>
      <c r="S742" s="104" t="s">
        <v>39</v>
      </c>
      <c r="T742" s="104" t="s">
        <v>4409</v>
      </c>
      <c r="U742" s="104"/>
      <c r="V742" s="104" t="s">
        <v>4409</v>
      </c>
      <c r="W742" s="104"/>
    </row>
    <row r="743">
      <c r="A743" s="105">
        <v>45898.0</v>
      </c>
      <c r="B743" s="79" t="str">
        <f>IFERROR(__xludf.DUMMYFUNCTION("""COMPUTED_VALUE"""),"HS-PH-HL-1F")</f>
        <v>HS-PH-HL-1F</v>
      </c>
      <c r="C743" s="104"/>
      <c r="D743" s="104"/>
      <c r="E743" s="104" t="str">
        <f>IFERROR(__xludf.DUMMYFUNCTION("""COMPUTED_VALUE"""),"LO-PO-3.7-CD-1")</f>
        <v>LO-PO-3.7-CD-1</v>
      </c>
      <c r="F743" s="98">
        <v>0.0</v>
      </c>
      <c r="G743" s="110"/>
      <c r="H743" s="98"/>
      <c r="I743" s="98"/>
      <c r="J743" s="98"/>
      <c r="K743" s="98"/>
      <c r="L743" s="104"/>
      <c r="M743" s="98" t="s">
        <v>39</v>
      </c>
      <c r="N743" s="103" t="str">
        <f>IFERROR(__xludf.DUMMYFUNCTION("""COMPUTED_VALUE"""),"")</f>
        <v/>
      </c>
      <c r="O743" s="104"/>
      <c r="P743" s="104"/>
      <c r="Q743" s="104"/>
      <c r="R743" s="104" t="s">
        <v>4410</v>
      </c>
      <c r="S743" s="104" t="s">
        <v>39</v>
      </c>
      <c r="T743" s="104" t="s">
        <v>4411</v>
      </c>
      <c r="U743" s="104"/>
      <c r="V743" s="104" t="s">
        <v>4411</v>
      </c>
      <c r="W743" s="104"/>
    </row>
    <row r="744">
      <c r="A744" s="105">
        <v>45898.0</v>
      </c>
      <c r="B744" s="79" t="str">
        <f>IFERROR(__xludf.DUMMYFUNCTION("""COMPUTED_VALUE"""),"HS-PH-BRL-1D")</f>
        <v>HS-PH-BRL-1D</v>
      </c>
      <c r="C744" s="104"/>
      <c r="D744" s="104"/>
      <c r="E744" s="104" t="str">
        <f>IFERROR(__xludf.DUMMYFUNCTION("""COMPUTED_VALUE"""),"LO-PO-3.7-CD-1")</f>
        <v>LO-PO-3.7-CD-1</v>
      </c>
      <c r="F744" s="98">
        <v>0.0</v>
      </c>
      <c r="G744" s="110"/>
      <c r="H744" s="98"/>
      <c r="I744" s="98"/>
      <c r="J744" s="98"/>
      <c r="K744" s="98"/>
      <c r="L744" s="104"/>
      <c r="M744" s="98" t="s">
        <v>39</v>
      </c>
      <c r="N744" s="103" t="str">
        <f>IFERROR(__xludf.DUMMYFUNCTION("""COMPUTED_VALUE"""),"")</f>
        <v/>
      </c>
      <c r="O744" s="104"/>
      <c r="P744" s="104"/>
      <c r="Q744" s="104"/>
      <c r="R744" s="104" t="s">
        <v>4412</v>
      </c>
      <c r="S744" s="104" t="s">
        <v>39</v>
      </c>
      <c r="T744" s="104" t="s">
        <v>4413</v>
      </c>
      <c r="U744" s="104"/>
      <c r="V744" s="104" t="s">
        <v>4413</v>
      </c>
      <c r="W744" s="104"/>
    </row>
    <row r="745">
      <c r="A745" s="105">
        <v>45900.0</v>
      </c>
      <c r="B745" s="79" t="str">
        <f>IFERROR(__xludf.DUMMYFUNCTION("""COMPUTED_VALUE"""),"BTPG-HO-KP-1B")</f>
        <v>BTPG-HO-KP-1B</v>
      </c>
      <c r="C745" s="104"/>
      <c r="D745" s="104"/>
      <c r="E745" s="104" t="str">
        <f>IFERROR(__xludf.DUMMYFUNCTION("""COMPUTED_VALUE"""),"LO-PO-3.7-CD-1")</f>
        <v>LO-PO-3.7-CD-1</v>
      </c>
      <c r="F745" s="98">
        <v>6.083333333333333</v>
      </c>
      <c r="G745" s="110"/>
      <c r="H745" s="98"/>
      <c r="I745" s="98"/>
      <c r="J745" s="98"/>
      <c r="K745" s="98"/>
      <c r="L745" s="104"/>
      <c r="M745" s="98" t="s">
        <v>39</v>
      </c>
      <c r="N745" s="103" t="str">
        <f>IFERROR(__xludf.DUMMYFUNCTION("""COMPUTED_VALUE"""),"")</f>
        <v/>
      </c>
      <c r="O745" s="104"/>
      <c r="P745" s="104"/>
      <c r="Q745" s="104"/>
      <c r="R745" s="104" t="s">
        <v>4414</v>
      </c>
      <c r="S745" s="104" t="s">
        <v>39</v>
      </c>
      <c r="T745" s="104" t="s">
        <v>4415</v>
      </c>
      <c r="U745" s="104"/>
      <c r="V745" s="104" t="s">
        <v>4415</v>
      </c>
      <c r="W745" s="104"/>
    </row>
    <row r="746">
      <c r="A746" s="105">
        <v>45900.0</v>
      </c>
      <c r="B746" s="79" t="str">
        <f>IFERROR(__xludf.DUMMYFUNCTION("""COMPUTED_VALUE"""),"BTPG-HO-KP-1C")</f>
        <v>BTPG-HO-KP-1C</v>
      </c>
      <c r="C746" s="104"/>
      <c r="D746" s="104"/>
      <c r="E746" s="104" t="str">
        <f>IFERROR(__xludf.DUMMYFUNCTION("""COMPUTED_VALUE"""),"LO-PO-3.7-CD-1")</f>
        <v>LO-PO-3.7-CD-1</v>
      </c>
      <c r="F746" s="98">
        <v>6.083333333333333</v>
      </c>
      <c r="G746" s="110"/>
      <c r="H746" s="98"/>
      <c r="I746" s="98"/>
      <c r="J746" s="98"/>
      <c r="K746" s="98"/>
      <c r="L746" s="104"/>
      <c r="M746" s="98" t="s">
        <v>39</v>
      </c>
      <c r="N746" s="103" t="str">
        <f>IFERROR(__xludf.DUMMYFUNCTION("""COMPUTED_VALUE"""),"")</f>
        <v/>
      </c>
      <c r="O746" s="104"/>
      <c r="P746" s="104"/>
      <c r="Q746" s="104"/>
      <c r="R746" s="104" t="s">
        <v>4416</v>
      </c>
      <c r="S746" s="104" t="s">
        <v>39</v>
      </c>
      <c r="T746" s="104" t="s">
        <v>4417</v>
      </c>
      <c r="U746" s="104"/>
      <c r="V746" s="104" t="s">
        <v>4417</v>
      </c>
      <c r="W746" s="104"/>
    </row>
    <row r="747">
      <c r="A747" s="105">
        <v>45900.0</v>
      </c>
      <c r="B747" s="79" t="str">
        <f>IFERROR(__xludf.DUMMYFUNCTION("""COMPUTED_VALUE"""),"BTPG-HO-KP-1D")</f>
        <v>BTPG-HO-KP-1D</v>
      </c>
      <c r="C747" s="104"/>
      <c r="D747" s="104"/>
      <c r="E747" s="104" t="str">
        <f>IFERROR(__xludf.DUMMYFUNCTION("""COMPUTED_VALUE"""),"AN-PO-3-MU-1")</f>
        <v>AN-PO-3-MU-1</v>
      </c>
      <c r="F747" s="98">
        <v>6.083333333333333</v>
      </c>
      <c r="G747" s="110"/>
      <c r="H747" s="98"/>
      <c r="I747" s="98"/>
      <c r="J747" s="98"/>
      <c r="K747" s="98"/>
      <c r="L747" s="104"/>
      <c r="M747" s="98" t="s">
        <v>39</v>
      </c>
      <c r="N747" s="103" t="str">
        <f>IFERROR(__xludf.DUMMYFUNCTION("""COMPUTED_VALUE"""),"")</f>
        <v/>
      </c>
      <c r="O747" s="104"/>
      <c r="P747" s="104"/>
      <c r="Q747" s="104"/>
      <c r="R747" s="104" t="s">
        <v>4418</v>
      </c>
      <c r="S747" s="104" t="s">
        <v>39</v>
      </c>
      <c r="T747" s="104" t="s">
        <v>4419</v>
      </c>
      <c r="U747" s="104"/>
      <c r="V747" s="104" t="s">
        <v>4419</v>
      </c>
      <c r="W747" s="104"/>
    </row>
    <row r="748">
      <c r="A748" s="105">
        <v>45900.0</v>
      </c>
      <c r="B748" s="79" t="str">
        <f>IFERROR(__xludf.DUMMYFUNCTION("""COMPUTED_VALUE"""),"BTPG-HO-KP-1E")</f>
        <v>BTPG-HO-KP-1E</v>
      </c>
      <c r="C748" s="104"/>
      <c r="D748" s="104"/>
      <c r="E748" s="104" t="str">
        <f>IFERROR(__xludf.DUMMYFUNCTION("""COMPUTED_VALUE"""),"AN-PO-3-MU-1")</f>
        <v>AN-PO-3-MU-1</v>
      </c>
      <c r="F748" s="98">
        <v>6.083333333333333</v>
      </c>
      <c r="G748" s="110"/>
      <c r="H748" s="98"/>
      <c r="I748" s="98"/>
      <c r="J748" s="98"/>
      <c r="K748" s="98"/>
      <c r="L748" s="104"/>
      <c r="M748" s="98" t="s">
        <v>39</v>
      </c>
      <c r="N748" s="103" t="str">
        <f>IFERROR(__xludf.DUMMYFUNCTION("""COMPUTED_VALUE"""),"")</f>
        <v/>
      </c>
      <c r="O748" s="104"/>
      <c r="P748" s="104"/>
      <c r="Q748" s="104"/>
      <c r="R748" s="104" t="s">
        <v>4420</v>
      </c>
      <c r="S748" s="104" t="s">
        <v>39</v>
      </c>
      <c r="T748" s="104" t="s">
        <v>4421</v>
      </c>
      <c r="U748" s="104"/>
      <c r="V748" s="104" t="s">
        <v>4421</v>
      </c>
      <c r="W748" s="104"/>
    </row>
    <row r="749">
      <c r="A749" s="105">
        <v>45900.0</v>
      </c>
      <c r="B749" s="79" t="str">
        <f>IFERROR(__xludf.DUMMYFUNCTION("""COMPUTED_VALUE"""),"BTPG-HO-KP-1F")</f>
        <v>BTPG-HO-KP-1F</v>
      </c>
      <c r="C749" s="104"/>
      <c r="D749" s="104"/>
      <c r="E749" s="104" t="str">
        <f>IFERROR(__xludf.DUMMYFUNCTION("""COMPUTED_VALUE"""),"DV-PO-2-WH-1")</f>
        <v>DV-PO-2-WH-1</v>
      </c>
      <c r="F749" s="98">
        <v>6.083333333333333</v>
      </c>
      <c r="G749" s="110"/>
      <c r="H749" s="98"/>
      <c r="I749" s="98"/>
      <c r="J749" s="98"/>
      <c r="K749" s="98"/>
      <c r="L749" s="104"/>
      <c r="M749" s="98" t="s">
        <v>39</v>
      </c>
      <c r="N749" s="103" t="str">
        <f>IFERROR(__xludf.DUMMYFUNCTION("""COMPUTED_VALUE"""),"")</f>
        <v/>
      </c>
      <c r="O749" s="104"/>
      <c r="P749" s="104"/>
      <c r="Q749" s="104"/>
      <c r="R749" s="104" t="s">
        <v>4422</v>
      </c>
      <c r="S749" s="104" t="s">
        <v>39</v>
      </c>
      <c r="T749" s="104" t="s">
        <v>4423</v>
      </c>
      <c r="U749" s="104"/>
      <c r="V749" s="104" t="s">
        <v>4423</v>
      </c>
      <c r="W749" s="104"/>
    </row>
    <row r="750">
      <c r="A750" s="105">
        <v>45898.0</v>
      </c>
      <c r="B750" s="79" t="str">
        <f>IFERROR(__xludf.DUMMYFUNCTION("""COMPUTED_VALUE"""),"HS-BE-AW-1I")</f>
        <v>HS-BE-AW-1I</v>
      </c>
      <c r="C750" s="104"/>
      <c r="D750" s="104"/>
      <c r="E750" s="104" t="str">
        <f>IFERROR(__xludf.DUMMYFUNCTION("""COMPUTED_VALUE"""),"TE-PO-4-MU-1")</f>
        <v>TE-PO-4-MU-1</v>
      </c>
      <c r="F750" s="98">
        <v>0.0</v>
      </c>
      <c r="G750" s="110"/>
      <c r="H750" s="98"/>
      <c r="I750" s="98"/>
      <c r="J750" s="98"/>
      <c r="K750" s="98"/>
      <c r="L750" s="104"/>
      <c r="M750" s="98" t="s">
        <v>39</v>
      </c>
      <c r="N750" s="103" t="str">
        <f>IFERROR(__xludf.DUMMYFUNCTION("""COMPUTED_VALUE"""),"")</f>
        <v/>
      </c>
      <c r="O750" s="104"/>
      <c r="P750" s="104"/>
      <c r="Q750" s="104"/>
      <c r="R750" s="104" t="s">
        <v>4424</v>
      </c>
      <c r="S750" s="104" t="s">
        <v>39</v>
      </c>
      <c r="T750" s="104" t="s">
        <v>4425</v>
      </c>
      <c r="U750" s="104"/>
      <c r="V750" s="104" t="s">
        <v>4425</v>
      </c>
      <c r="W750" s="104"/>
    </row>
    <row r="751">
      <c r="A751" s="105">
        <v>45898.0</v>
      </c>
      <c r="B751" s="79" t="str">
        <f>IFERROR(__xludf.DUMMYFUNCTION("""COMPUTED_VALUE"""),"HS-BE-AW-1K")</f>
        <v>HS-BE-AW-1K</v>
      </c>
      <c r="C751" s="104"/>
      <c r="D751" s="104"/>
      <c r="E751" s="104" t="str">
        <f>IFERROR(__xludf.DUMMYFUNCTION("""COMPUTED_VALUE"""),"AN-PO-3-MU-1")</f>
        <v>AN-PO-3-MU-1</v>
      </c>
      <c r="F751" s="98">
        <v>0.0</v>
      </c>
      <c r="G751" s="110"/>
      <c r="H751" s="98"/>
      <c r="I751" s="98"/>
      <c r="J751" s="98"/>
      <c r="K751" s="98"/>
      <c r="L751" s="104"/>
      <c r="M751" s="98" t="s">
        <v>39</v>
      </c>
      <c r="N751" s="103" t="str">
        <f>IFERROR(__xludf.DUMMYFUNCTION("""COMPUTED_VALUE"""),"")</f>
        <v/>
      </c>
      <c r="O751" s="104"/>
      <c r="P751" s="104"/>
      <c r="Q751" s="104"/>
      <c r="R751" s="104" t="s">
        <v>4426</v>
      </c>
      <c r="S751" s="104" t="s">
        <v>39</v>
      </c>
      <c r="T751" s="104" t="s">
        <v>4427</v>
      </c>
      <c r="U751" s="104"/>
      <c r="V751" s="104" t="s">
        <v>4427</v>
      </c>
      <c r="W751" s="104"/>
    </row>
    <row r="752">
      <c r="A752" s="105">
        <v>45898.0</v>
      </c>
      <c r="B752" s="79" t="str">
        <f>IFERROR(__xludf.DUMMYFUNCTION("""COMPUTED_VALUE"""),"BWH-PO-PAJ-1B")</f>
        <v>BWH-PO-PAJ-1B</v>
      </c>
      <c r="C752" s="104"/>
      <c r="D752" s="104"/>
      <c r="E752" s="104" t="str">
        <f>IFERROR(__xludf.DUMMYFUNCTION("""COMPUTED_VALUE"""),"LO-PO-3.7-CD-1")</f>
        <v>LO-PO-3.7-CD-1</v>
      </c>
      <c r="F752" s="98">
        <v>7.8</v>
      </c>
      <c r="G752" s="110"/>
      <c r="H752" s="98"/>
      <c r="I752" s="98"/>
      <c r="J752" s="98"/>
      <c r="K752" s="98"/>
      <c r="L752" s="104"/>
      <c r="M752" s="98" t="s">
        <v>39</v>
      </c>
      <c r="N752" s="103" t="str">
        <f>IFERROR(__xludf.DUMMYFUNCTION("""COMPUTED_VALUE"""),"")</f>
        <v/>
      </c>
      <c r="O752" s="104"/>
      <c r="P752" s="104"/>
      <c r="Q752" s="104"/>
      <c r="R752" s="104" t="s">
        <v>4428</v>
      </c>
      <c r="S752" s="104" t="s">
        <v>39</v>
      </c>
      <c r="T752" s="104" t="s">
        <v>4429</v>
      </c>
      <c r="U752" s="104"/>
      <c r="V752" s="104" t="s">
        <v>4429</v>
      </c>
      <c r="W752" s="104"/>
    </row>
    <row r="753">
      <c r="A753" s="105">
        <v>45898.0</v>
      </c>
      <c r="B753" s="79" t="str">
        <f>IFERROR(__xludf.DUMMYFUNCTION("""COMPUTED_VALUE"""),"HS-PO-GO-1K")</f>
        <v>HS-PO-GO-1K</v>
      </c>
      <c r="C753" s="104"/>
      <c r="D753" s="104"/>
      <c r="E753" s="104" t="str">
        <f>IFERROR(__xludf.DUMMYFUNCTION("""COMPUTED_VALUE"""),"AN-PO-3-MU-1")</f>
        <v>AN-PO-3-MU-1</v>
      </c>
      <c r="F753" s="98">
        <v>0.0</v>
      </c>
      <c r="G753" s="110"/>
      <c r="H753" s="98"/>
      <c r="I753" s="98"/>
      <c r="J753" s="98"/>
      <c r="K753" s="98"/>
      <c r="L753" s="104"/>
      <c r="M753" s="98" t="s">
        <v>39</v>
      </c>
      <c r="N753" s="103" t="str">
        <f>IFERROR(__xludf.DUMMYFUNCTION("""COMPUTED_VALUE"""),"")</f>
        <v/>
      </c>
      <c r="O753" s="104"/>
      <c r="P753" s="104"/>
      <c r="Q753" s="104"/>
      <c r="R753" s="104" t="s">
        <v>4430</v>
      </c>
      <c r="S753" s="104" t="s">
        <v>39</v>
      </c>
      <c r="T753" s="104" t="s">
        <v>4431</v>
      </c>
      <c r="U753" s="104"/>
      <c r="V753" s="104" t="s">
        <v>4431</v>
      </c>
      <c r="W753" s="104"/>
    </row>
    <row r="754">
      <c r="A754" s="105">
        <v>45906.0</v>
      </c>
      <c r="B754" s="79" t="str">
        <f>IFERROR(__xludf.DUMMYFUNCTION("""COMPUTED_VALUE"""),"HS-PO-GO-1D")</f>
        <v>HS-PO-GO-1D</v>
      </c>
      <c r="C754" s="104"/>
      <c r="D754" s="104"/>
      <c r="E754" s="104"/>
      <c r="F754" s="98">
        <v>0.0</v>
      </c>
      <c r="G754" s="110"/>
      <c r="H754" s="98"/>
      <c r="I754" s="98"/>
      <c r="J754" s="98"/>
      <c r="K754" s="98"/>
      <c r="L754" s="104"/>
      <c r="M754" s="98" t="s">
        <v>39</v>
      </c>
      <c r="N754" s="103" t="str">
        <f>IFERROR(__xludf.DUMMYFUNCTION("""COMPUTED_VALUE"""),"")</f>
        <v/>
      </c>
      <c r="O754" s="104"/>
      <c r="P754" s="104"/>
      <c r="Q754" s="104"/>
      <c r="R754" s="104" t="s">
        <v>4432</v>
      </c>
      <c r="S754" s="104" t="s">
        <v>39</v>
      </c>
      <c r="T754" s="104" t="s">
        <v>4433</v>
      </c>
      <c r="U754" s="104"/>
      <c r="V754" s="104" t="s">
        <v>4433</v>
      </c>
      <c r="W754" s="104"/>
    </row>
    <row r="755">
      <c r="A755" s="105">
        <v>45914.0</v>
      </c>
      <c r="B755" s="79" t="str">
        <f>IFERROR(__xludf.DUMMYFUNCTION("""COMPUTED_VALUE"""),"AGP-AL-NI-1A-3B")</f>
        <v>AGP-AL-NI-1A-3B</v>
      </c>
      <c r="C755" s="104"/>
      <c r="D755" s="104"/>
      <c r="E755" s="104" t="str">
        <f>IFERROR(__xludf.DUMMYFUNCTION("""COMPUTED_VALUE"""),"TE-PO-4-MU-2")</f>
        <v>TE-PO-4-MU-2</v>
      </c>
      <c r="F755" s="98">
        <v>0.7272727272727273</v>
      </c>
      <c r="G755" s="110"/>
      <c r="H755" s="98"/>
      <c r="I755" s="98"/>
      <c r="J755" s="98"/>
      <c r="K755" s="98"/>
      <c r="L755" s="104"/>
      <c r="M755" s="98" t="s">
        <v>39</v>
      </c>
      <c r="N755" s="103" t="str">
        <f>IFERROR(__xludf.DUMMYFUNCTION("""COMPUTED_VALUE"""),"")</f>
        <v/>
      </c>
      <c r="O755" s="104"/>
      <c r="P755" s="104"/>
      <c r="Q755" s="104"/>
      <c r="R755" s="104" t="s">
        <v>4434</v>
      </c>
      <c r="S755" s="104" t="s">
        <v>39</v>
      </c>
      <c r="T755" s="104" t="s">
        <v>4435</v>
      </c>
      <c r="U755" s="104"/>
      <c r="V755" s="104" t="s">
        <v>4435</v>
      </c>
      <c r="W755" s="104"/>
    </row>
    <row r="756">
      <c r="A756" s="105">
        <v>45914.0</v>
      </c>
      <c r="B756" s="79" t="str">
        <f>IFERROR(__xludf.DUMMYFUNCTION("""COMPUTED_VALUE"""),"AGP-AL-NI-1A-3C")</f>
        <v>AGP-AL-NI-1A-3C</v>
      </c>
      <c r="C756" s="104"/>
      <c r="D756" s="104"/>
      <c r="E756" s="104" t="str">
        <f>IFERROR(__xludf.DUMMYFUNCTION("""COMPUTED_VALUE"""),"LO-PO-3.7-CD-1")</f>
        <v>LO-PO-3.7-CD-1</v>
      </c>
      <c r="F756" s="98">
        <v>0.7272727272727273</v>
      </c>
      <c r="G756" s="110"/>
      <c r="H756" s="98"/>
      <c r="I756" s="98"/>
      <c r="J756" s="98"/>
      <c r="K756" s="98"/>
      <c r="L756" s="104"/>
      <c r="M756" s="98" t="s">
        <v>39</v>
      </c>
      <c r="N756" s="103" t="str">
        <f>IFERROR(__xludf.DUMMYFUNCTION("""COMPUTED_VALUE"""),"")</f>
        <v/>
      </c>
      <c r="O756" s="104"/>
      <c r="P756" s="104"/>
      <c r="Q756" s="104"/>
      <c r="R756" s="104" t="s">
        <v>4436</v>
      </c>
      <c r="S756" s="104" t="s">
        <v>39</v>
      </c>
      <c r="T756" s="104" t="s">
        <v>4437</v>
      </c>
      <c r="U756" s="104"/>
      <c r="V756" s="104" t="s">
        <v>4437</v>
      </c>
      <c r="W756" s="104"/>
    </row>
    <row r="757">
      <c r="A757" s="105">
        <v>45914.0</v>
      </c>
      <c r="B757" s="79" t="str">
        <f>IFERROR(__xludf.DUMMYFUNCTION("""COMPUTED_VALUE"""),"AGP-PH-BC-1B")</f>
        <v>AGP-PH-BC-1B</v>
      </c>
      <c r="C757" s="104"/>
      <c r="D757" s="104"/>
      <c r="E757" s="104" t="str">
        <f>IFERROR(__xludf.DUMMYFUNCTION("""COMPUTED_VALUE"""),"AN-PO-3-MU-1")</f>
        <v>AN-PO-3-MU-1</v>
      </c>
      <c r="F757" s="98">
        <v>2.0</v>
      </c>
      <c r="G757" s="110"/>
      <c r="H757" s="98"/>
      <c r="I757" s="98"/>
      <c r="J757" s="98"/>
      <c r="K757" s="98"/>
      <c r="L757" s="104"/>
      <c r="M757" s="98" t="s">
        <v>39</v>
      </c>
      <c r="N757" s="103" t="str">
        <f>IFERROR(__xludf.DUMMYFUNCTION("""COMPUTED_VALUE"""),"")</f>
        <v/>
      </c>
      <c r="O757" s="104"/>
      <c r="P757" s="104"/>
      <c r="Q757" s="104"/>
      <c r="R757" s="104" t="s">
        <v>4438</v>
      </c>
      <c r="S757" s="104" t="s">
        <v>39</v>
      </c>
      <c r="T757" s="104" t="s">
        <v>4439</v>
      </c>
      <c r="U757" s="104"/>
      <c r="V757" s="104" t="s">
        <v>4439</v>
      </c>
      <c r="W757" s="104"/>
    </row>
    <row r="758">
      <c r="A758" s="105">
        <v>45914.0</v>
      </c>
      <c r="B758" s="79" t="str">
        <f>IFERROR(__xludf.DUMMYFUNCTION("""COMPUTED_VALUE"""),"AGP-PH-BC-1C")</f>
        <v>AGP-PH-BC-1C</v>
      </c>
      <c r="C758" s="104"/>
      <c r="D758" s="104"/>
      <c r="E758" s="104" t="str">
        <f>IFERROR(__xludf.DUMMYFUNCTION("""COMPUTED_VALUE"""),"AN-PO-3-MU-1")</f>
        <v>AN-PO-3-MU-1</v>
      </c>
      <c r="F758" s="98">
        <v>2.0</v>
      </c>
      <c r="G758" s="110"/>
      <c r="H758" s="98"/>
      <c r="I758" s="98"/>
      <c r="J758" s="98"/>
      <c r="K758" s="98"/>
      <c r="L758" s="104"/>
      <c r="M758" s="98" t="s">
        <v>39</v>
      </c>
      <c r="N758" s="103" t="str">
        <f>IFERROR(__xludf.DUMMYFUNCTION("""COMPUTED_VALUE"""),"")</f>
        <v/>
      </c>
      <c r="O758" s="104"/>
      <c r="P758" s="104"/>
      <c r="Q758" s="104"/>
      <c r="R758" s="104" t="s">
        <v>4440</v>
      </c>
      <c r="S758" s="104" t="s">
        <v>39</v>
      </c>
      <c r="T758" s="104" t="s">
        <v>4441</v>
      </c>
      <c r="U758" s="104"/>
      <c r="V758" s="104" t="s">
        <v>4441</v>
      </c>
      <c r="W758" s="104"/>
    </row>
    <row r="759">
      <c r="A759" s="105">
        <v>45914.0</v>
      </c>
      <c r="B759" s="79" t="str">
        <f>IFERROR(__xludf.DUMMYFUNCTION("""COMPUTED_VALUE"""),"AGP-PH-BC-1A-2A")</f>
        <v>AGP-PH-BC-1A-2A</v>
      </c>
      <c r="C759" s="104"/>
      <c r="D759" s="104"/>
      <c r="E759" s="104" t="str">
        <f>IFERROR(__xludf.DUMMYFUNCTION("""COMPUTED_VALUE"""),"AN-PO-3-MU-1")</f>
        <v>AN-PO-3-MU-1</v>
      </c>
      <c r="F759" s="98">
        <v>2.0</v>
      </c>
      <c r="G759" s="110"/>
      <c r="H759" s="98"/>
      <c r="I759" s="98"/>
      <c r="J759" s="98"/>
      <c r="K759" s="98"/>
      <c r="L759" s="104"/>
      <c r="M759" s="98" t="s">
        <v>39</v>
      </c>
      <c r="N759" s="103" t="str">
        <f>IFERROR(__xludf.DUMMYFUNCTION("""COMPUTED_VALUE"""),"")</f>
        <v/>
      </c>
      <c r="O759" s="104"/>
      <c r="P759" s="104"/>
      <c r="Q759" s="104"/>
      <c r="R759" s="104" t="s">
        <v>4442</v>
      </c>
      <c r="S759" s="104" t="s">
        <v>39</v>
      </c>
      <c r="T759" s="104" t="s">
        <v>4443</v>
      </c>
      <c r="U759" s="104"/>
      <c r="V759" s="104" t="s">
        <v>4443</v>
      </c>
      <c r="W759" s="104"/>
    </row>
    <row r="760">
      <c r="A760" s="105">
        <v>45914.0</v>
      </c>
      <c r="B760" s="79" t="str">
        <f>IFERROR(__xludf.DUMMYFUNCTION("""COMPUTED_VALUE"""),"AGP-PH-BC-1A-2B")</f>
        <v>AGP-PH-BC-1A-2B</v>
      </c>
      <c r="C760" s="104"/>
      <c r="D760" s="104"/>
      <c r="E760" s="104" t="str">
        <f>IFERROR(__xludf.DUMMYFUNCTION("""COMPUTED_VALUE"""),"AN-PO-3-MU-1")</f>
        <v>AN-PO-3-MU-1</v>
      </c>
      <c r="F760" s="98">
        <v>2.0</v>
      </c>
      <c r="G760" s="110"/>
      <c r="H760" s="98"/>
      <c r="I760" s="98"/>
      <c r="J760" s="98"/>
      <c r="K760" s="98"/>
      <c r="L760" s="104"/>
      <c r="M760" s="98" t="s">
        <v>39</v>
      </c>
      <c r="N760" s="103" t="str">
        <f>IFERROR(__xludf.DUMMYFUNCTION("""COMPUTED_VALUE"""),"")</f>
        <v/>
      </c>
      <c r="O760" s="104"/>
      <c r="P760" s="104"/>
      <c r="Q760" s="104"/>
      <c r="R760" s="104" t="s">
        <v>4444</v>
      </c>
      <c r="S760" s="104" t="s">
        <v>39</v>
      </c>
      <c r="T760" s="104" t="s">
        <v>4445</v>
      </c>
      <c r="U760" s="104"/>
      <c r="V760" s="104" t="s">
        <v>4445</v>
      </c>
      <c r="W760" s="104"/>
    </row>
    <row r="761">
      <c r="A761" s="105">
        <v>45914.0</v>
      </c>
      <c r="B761" s="79" t="str">
        <f>IFERROR(__xludf.DUMMYFUNCTION("""COMPUTED_VALUE"""),"AGP-PH-BC-1A-3A")</f>
        <v>AGP-PH-BC-1A-3A</v>
      </c>
      <c r="C761" s="104"/>
      <c r="D761" s="104"/>
      <c r="E761" s="104" t="str">
        <f>IFERROR(__xludf.DUMMYFUNCTION("""COMPUTED_VALUE"""),"DV-PO-2-WH-1")</f>
        <v>DV-PO-2-WH-1</v>
      </c>
      <c r="F761" s="98">
        <v>2.0</v>
      </c>
      <c r="G761" s="110"/>
      <c r="H761" s="98"/>
      <c r="I761" s="98"/>
      <c r="J761" s="98"/>
      <c r="K761" s="98"/>
      <c r="L761" s="104"/>
      <c r="M761" s="98" t="s">
        <v>39</v>
      </c>
      <c r="N761" s="103" t="str">
        <f>IFERROR(__xludf.DUMMYFUNCTION("""COMPUTED_VALUE"""),"")</f>
        <v/>
      </c>
      <c r="O761" s="104"/>
      <c r="P761" s="104"/>
      <c r="Q761" s="104"/>
      <c r="R761" s="104" t="s">
        <v>4446</v>
      </c>
      <c r="S761" s="104" t="s">
        <v>39</v>
      </c>
      <c r="T761" s="104" t="s">
        <v>4447</v>
      </c>
      <c r="U761" s="104"/>
      <c r="V761" s="104" t="s">
        <v>4447</v>
      </c>
      <c r="W761" s="104"/>
    </row>
    <row r="762">
      <c r="A762" s="105">
        <v>45914.0</v>
      </c>
      <c r="B762" s="79" t="str">
        <f>IFERROR(__xludf.DUMMYFUNCTION("""COMPUTED_VALUE"""),"AGP-PH-BC-1A-3B")</f>
        <v>AGP-PH-BC-1A-3B</v>
      </c>
      <c r="C762" s="104"/>
      <c r="D762" s="104"/>
      <c r="E762" s="104" t="str">
        <f>IFERROR(__xludf.DUMMYFUNCTION("""COMPUTED_VALUE"""),"DV-PO-2-WH-1")</f>
        <v>DV-PO-2-WH-1</v>
      </c>
      <c r="F762" s="98">
        <v>2.0</v>
      </c>
      <c r="G762" s="110"/>
      <c r="H762" s="98"/>
      <c r="I762" s="98"/>
      <c r="J762" s="98"/>
      <c r="K762" s="98"/>
      <c r="L762" s="104"/>
      <c r="M762" s="98" t="s">
        <v>39</v>
      </c>
      <c r="N762" s="103" t="str">
        <f>IFERROR(__xludf.DUMMYFUNCTION("""COMPUTED_VALUE"""),"")</f>
        <v/>
      </c>
      <c r="O762" s="104"/>
      <c r="P762" s="104"/>
      <c r="Q762" s="104"/>
      <c r="R762" s="104" t="s">
        <v>4448</v>
      </c>
      <c r="S762" s="104" t="s">
        <v>39</v>
      </c>
      <c r="T762" s="104" t="s">
        <v>4449</v>
      </c>
      <c r="U762" s="104"/>
      <c r="V762" s="104" t="s">
        <v>4449</v>
      </c>
      <c r="W762" s="104"/>
    </row>
    <row r="763">
      <c r="A763" s="105">
        <v>45914.0</v>
      </c>
      <c r="B763" s="79" t="str">
        <f>IFERROR(__xludf.DUMMYFUNCTION("""COMPUTED_VALUE"""),"AGP-PH-BC-1A-4B")</f>
        <v>AGP-PH-BC-1A-4B</v>
      </c>
      <c r="C763" s="104"/>
      <c r="D763" s="104"/>
      <c r="E763" s="104" t="str">
        <f>IFERROR(__xludf.DUMMYFUNCTION("""COMPUTED_VALUE"""),"TE-PO-4-MU-2")</f>
        <v>TE-PO-4-MU-2</v>
      </c>
      <c r="F763" s="98">
        <v>3.0</v>
      </c>
      <c r="G763" s="110"/>
      <c r="H763" s="98"/>
      <c r="I763" s="98"/>
      <c r="J763" s="98"/>
      <c r="K763" s="98"/>
      <c r="L763" s="104"/>
      <c r="M763" s="98" t="s">
        <v>39</v>
      </c>
      <c r="N763" s="103" t="str">
        <f>IFERROR(__xludf.DUMMYFUNCTION("""COMPUTED_VALUE"""),"")</f>
        <v/>
      </c>
      <c r="O763" s="104"/>
      <c r="P763" s="104"/>
      <c r="Q763" s="104"/>
      <c r="R763" s="104" t="s">
        <v>4450</v>
      </c>
      <c r="S763" s="104" t="s">
        <v>39</v>
      </c>
      <c r="T763" s="104" t="s">
        <v>4451</v>
      </c>
      <c r="U763" s="104"/>
      <c r="V763" s="104" t="s">
        <v>4451</v>
      </c>
      <c r="W763" s="104"/>
    </row>
    <row r="764">
      <c r="A764" s="105">
        <v>45915.0</v>
      </c>
      <c r="B764" s="79" t="str">
        <f>IFERROR(__xludf.DUMMYFUNCTION("""COMPUTED_VALUE"""),"BPF-PO-NE-1A-2A")</f>
        <v>BPF-PO-NE-1A-2A</v>
      </c>
      <c r="C764" s="104"/>
      <c r="D764" s="104"/>
      <c r="E764" s="104" t="str">
        <f>IFERROR(__xludf.DUMMYFUNCTION("""COMPUTED_VALUE"""),"MU-PO-4-WH-1")</f>
        <v>MU-PO-4-WH-1</v>
      </c>
      <c r="F764" s="98">
        <v>13.0</v>
      </c>
      <c r="G764" s="110"/>
      <c r="H764" s="98"/>
      <c r="I764" s="98"/>
      <c r="J764" s="98"/>
      <c r="K764" s="98"/>
      <c r="L764" s="104"/>
      <c r="M764" s="98" t="s">
        <v>39</v>
      </c>
      <c r="N764" s="103" t="str">
        <f>IFERROR(__xludf.DUMMYFUNCTION("""COMPUTED_VALUE"""),"")</f>
        <v/>
      </c>
      <c r="O764" s="104"/>
      <c r="P764" s="104"/>
      <c r="Q764" s="104"/>
      <c r="R764" s="104" t="s">
        <v>4452</v>
      </c>
      <c r="S764" s="104" t="s">
        <v>39</v>
      </c>
      <c r="T764" s="104" t="s">
        <v>4453</v>
      </c>
      <c r="U764" s="104"/>
      <c r="V764" s="104" t="s">
        <v>4453</v>
      </c>
      <c r="W764" s="104"/>
    </row>
    <row r="765">
      <c r="A765" s="105">
        <v>45915.0</v>
      </c>
      <c r="B765" s="79" t="str">
        <f>IFERROR(__xludf.DUMMYFUNCTION("""COMPUTED_VALUE"""),"BPF-PO-NE-1A-2B")</f>
        <v>BPF-PO-NE-1A-2B</v>
      </c>
      <c r="C765" s="104"/>
      <c r="D765" s="104"/>
      <c r="E765" s="104" t="str">
        <f>IFERROR(__xludf.DUMMYFUNCTION("""COMPUTED_VALUE"""),"MU-PO-4-WH-1")</f>
        <v>MU-PO-4-WH-1</v>
      </c>
      <c r="F765" s="98">
        <v>4.333333333333333</v>
      </c>
      <c r="G765" s="110"/>
      <c r="H765" s="98"/>
      <c r="I765" s="98"/>
      <c r="J765" s="98"/>
      <c r="K765" s="98"/>
      <c r="L765" s="104"/>
      <c r="M765" s="98" t="s">
        <v>39</v>
      </c>
      <c r="N765" s="103" t="str">
        <f>IFERROR(__xludf.DUMMYFUNCTION("""COMPUTED_VALUE"""),"")</f>
        <v/>
      </c>
      <c r="O765" s="104"/>
      <c r="P765" s="104"/>
      <c r="Q765" s="104"/>
      <c r="R765" s="104" t="s">
        <v>4454</v>
      </c>
      <c r="S765" s="104" t="s">
        <v>39</v>
      </c>
      <c r="T765" s="104" t="s">
        <v>4455</v>
      </c>
      <c r="U765" s="104"/>
      <c r="V765" s="104" t="s">
        <v>4455</v>
      </c>
      <c r="W765" s="104"/>
    </row>
    <row r="766">
      <c r="A766" s="105">
        <v>45915.0</v>
      </c>
      <c r="B766" s="79" t="str">
        <f>IFERROR(__xludf.DUMMYFUNCTION("""COMPUTED_VALUE"""),"BPF-PO-NE-1A-2C")</f>
        <v>BPF-PO-NE-1A-2C</v>
      </c>
      <c r="C766" s="104"/>
      <c r="D766" s="104"/>
      <c r="E766" s="104" t="str">
        <f>IFERROR(__xludf.DUMMYFUNCTION("""COMPUTED_VALUE"""),"MU-PO-4-WH-1")</f>
        <v>MU-PO-4-WH-1</v>
      </c>
      <c r="F766" s="98">
        <v>4.333333333333333</v>
      </c>
      <c r="G766" s="110"/>
      <c r="H766" s="98"/>
      <c r="I766" s="98"/>
      <c r="J766" s="98"/>
      <c r="K766" s="98"/>
      <c r="L766" s="104"/>
      <c r="M766" s="98" t="s">
        <v>39</v>
      </c>
      <c r="N766" s="103" t="str">
        <f>IFERROR(__xludf.DUMMYFUNCTION("""COMPUTED_VALUE"""),"")</f>
        <v/>
      </c>
      <c r="O766" s="104"/>
      <c r="P766" s="104"/>
      <c r="Q766" s="104"/>
      <c r="R766" s="104" t="s">
        <v>4456</v>
      </c>
      <c r="S766" s="104" t="s">
        <v>39</v>
      </c>
      <c r="T766" s="104" t="s">
        <v>4457</v>
      </c>
      <c r="U766" s="104"/>
      <c r="V766" s="104" t="s">
        <v>4457</v>
      </c>
      <c r="W766" s="104"/>
    </row>
    <row r="767">
      <c r="A767" s="105">
        <v>45915.0</v>
      </c>
      <c r="B767" s="79" t="str">
        <f>IFERROR(__xludf.DUMMYFUNCTION("""COMPUTED_VALUE"""),"BWH-PH-VRCRH-1B")</f>
        <v>BWH-PH-VRCRH-1B</v>
      </c>
      <c r="C767" s="104"/>
      <c r="D767" s="104"/>
      <c r="E767" s="104" t="str">
        <f>IFERROR(__xludf.DUMMYFUNCTION("""COMPUTED_VALUE"""),"MU-PO-4-WH-1")</f>
        <v>MU-PO-4-WH-1</v>
      </c>
      <c r="F767" s="98">
        <v>11.0</v>
      </c>
      <c r="G767" s="110"/>
      <c r="H767" s="98"/>
      <c r="I767" s="98"/>
      <c r="J767" s="98"/>
      <c r="K767" s="98"/>
      <c r="L767" s="104"/>
      <c r="M767" s="98" t="s">
        <v>39</v>
      </c>
      <c r="N767" s="103" t="str">
        <f>IFERROR(__xludf.DUMMYFUNCTION("""COMPUTED_VALUE"""),"")</f>
        <v/>
      </c>
      <c r="O767" s="104"/>
      <c r="P767" s="104"/>
      <c r="Q767" s="104"/>
      <c r="R767" s="104" t="s">
        <v>4458</v>
      </c>
      <c r="S767" s="104" t="s">
        <v>39</v>
      </c>
      <c r="T767" s="104" t="s">
        <v>4459</v>
      </c>
      <c r="U767" s="104"/>
      <c r="V767" s="104" t="s">
        <v>4459</v>
      </c>
      <c r="W767" s="104"/>
    </row>
    <row r="768">
      <c r="A768" s="105">
        <v>45915.0</v>
      </c>
      <c r="B768" s="79" t="str">
        <f>IFERROR(__xludf.DUMMYFUNCTION("""COMPUTED_VALUE"""),"BWH-PH-VRCRH-1C")</f>
        <v>BWH-PH-VRCRH-1C</v>
      </c>
      <c r="C768" s="104"/>
      <c r="D768" s="104"/>
      <c r="E768" s="104" t="str">
        <f>IFERROR(__xludf.DUMMYFUNCTION("""COMPUTED_VALUE"""),"MU-PO-4-WH-1")</f>
        <v>MU-PO-4-WH-1</v>
      </c>
      <c r="F768" s="98">
        <v>11.0</v>
      </c>
      <c r="G768" s="110"/>
      <c r="H768" s="98"/>
      <c r="I768" s="98"/>
      <c r="J768" s="98"/>
      <c r="K768" s="98"/>
      <c r="L768" s="104"/>
      <c r="M768" s="98" t="s">
        <v>39</v>
      </c>
      <c r="N768" s="103" t="str">
        <f>IFERROR(__xludf.DUMMYFUNCTION("""COMPUTED_VALUE"""),"")</f>
        <v/>
      </c>
      <c r="O768" s="104"/>
      <c r="P768" s="104"/>
      <c r="Q768" s="104"/>
      <c r="R768" s="104" t="s">
        <v>4460</v>
      </c>
      <c r="S768" s="104" t="s">
        <v>39</v>
      </c>
      <c r="T768" s="104" t="s">
        <v>4461</v>
      </c>
      <c r="U768" s="104"/>
      <c r="V768" s="104" t="s">
        <v>4461</v>
      </c>
      <c r="W768" s="104"/>
    </row>
    <row r="769">
      <c r="A769" s="105">
        <v>45915.0</v>
      </c>
      <c r="B769" s="79" t="str">
        <f>IFERROR(__xludf.DUMMYFUNCTION("""COMPUTED_VALUE"""),"BWH-PH-VRCRH-1D")</f>
        <v>BWH-PH-VRCRH-1D</v>
      </c>
      <c r="C769" s="104"/>
      <c r="D769" s="104"/>
      <c r="E769" s="104" t="str">
        <f>IFERROR(__xludf.DUMMYFUNCTION("""COMPUTED_VALUE"""),"MU-PO-4-WH-1")</f>
        <v>MU-PO-4-WH-1</v>
      </c>
      <c r="F769" s="98">
        <v>11.0</v>
      </c>
      <c r="G769" s="110"/>
      <c r="H769" s="98"/>
      <c r="I769" s="98"/>
      <c r="J769" s="98"/>
      <c r="K769" s="98"/>
      <c r="L769" s="104"/>
      <c r="M769" s="98" t="s">
        <v>39</v>
      </c>
      <c r="N769" s="103" t="str">
        <f>IFERROR(__xludf.DUMMYFUNCTION("""COMPUTED_VALUE"""),"")</f>
        <v/>
      </c>
      <c r="O769" s="104"/>
      <c r="P769" s="104"/>
      <c r="Q769" s="104"/>
      <c r="R769" s="104" t="s">
        <v>4462</v>
      </c>
      <c r="S769" s="104" t="s">
        <v>39</v>
      </c>
      <c r="T769" s="104" t="s">
        <v>4463</v>
      </c>
      <c r="U769" s="104"/>
      <c r="V769" s="104" t="s">
        <v>4463</v>
      </c>
      <c r="W769" s="104"/>
    </row>
    <row r="770">
      <c r="A770" s="105">
        <v>45915.0</v>
      </c>
      <c r="B770" s="79" t="str">
        <f>IFERROR(__xludf.DUMMYFUNCTION("""COMPUTED_VALUE"""),"BWH-PH-VRCRH-1E")</f>
        <v>BWH-PH-VRCRH-1E</v>
      </c>
      <c r="C770" s="104"/>
      <c r="D770" s="104"/>
      <c r="E770" s="104" t="str">
        <f>IFERROR(__xludf.DUMMYFUNCTION("""COMPUTED_VALUE"""),"MU-PO-4-WH-1")</f>
        <v>MU-PO-4-WH-1</v>
      </c>
      <c r="F770" s="98">
        <v>11.0</v>
      </c>
      <c r="G770" s="110"/>
      <c r="H770" s="98"/>
      <c r="I770" s="98"/>
      <c r="J770" s="98"/>
      <c r="K770" s="98"/>
      <c r="L770" s="104"/>
      <c r="M770" s="98" t="s">
        <v>39</v>
      </c>
      <c r="N770" s="103" t="str">
        <f>IFERROR(__xludf.DUMMYFUNCTION("""COMPUTED_VALUE"""),"")</f>
        <v/>
      </c>
      <c r="O770" s="104"/>
      <c r="P770" s="104"/>
      <c r="Q770" s="104"/>
      <c r="R770" s="104" t="s">
        <v>4464</v>
      </c>
      <c r="S770" s="104" t="s">
        <v>39</v>
      </c>
      <c r="T770" s="104" t="s">
        <v>4465</v>
      </c>
      <c r="U770" s="104"/>
      <c r="V770" s="104" t="s">
        <v>4465</v>
      </c>
      <c r="W770" s="104"/>
    </row>
    <row r="771">
      <c r="A771" s="105">
        <v>45915.0</v>
      </c>
      <c r="B771" s="79" t="str">
        <f>IFERROR(__xludf.DUMMYFUNCTION("""COMPUTED_VALUE"""),"BWH-PH-VRCRH-1F")</f>
        <v>BWH-PH-VRCRH-1F</v>
      </c>
      <c r="C771" s="104"/>
      <c r="D771" s="104"/>
      <c r="E771" s="104" t="str">
        <f>IFERROR(__xludf.DUMMYFUNCTION("""COMPUTED_VALUE"""),"AN-PO-3-MU-1")</f>
        <v>AN-PO-3-MU-1</v>
      </c>
      <c r="F771" s="98">
        <v>11.0</v>
      </c>
      <c r="G771" s="110"/>
      <c r="H771" s="98"/>
      <c r="I771" s="98"/>
      <c r="J771" s="98"/>
      <c r="K771" s="98"/>
      <c r="L771" s="104"/>
      <c r="M771" s="98" t="s">
        <v>39</v>
      </c>
      <c r="N771" s="103" t="str">
        <f>IFERROR(__xludf.DUMMYFUNCTION("""COMPUTED_VALUE"""),"")</f>
        <v/>
      </c>
      <c r="O771" s="104"/>
      <c r="P771" s="104"/>
      <c r="Q771" s="104"/>
      <c r="R771" s="104" t="s">
        <v>4466</v>
      </c>
      <c r="S771" s="104" t="s">
        <v>39</v>
      </c>
      <c r="T771" s="104" t="s">
        <v>4467</v>
      </c>
      <c r="U771" s="104"/>
      <c r="V771" s="104" t="s">
        <v>4467</v>
      </c>
      <c r="W771" s="104"/>
    </row>
    <row r="772">
      <c r="A772" s="105">
        <v>45916.0</v>
      </c>
      <c r="B772" s="79" t="str">
        <f>IFERROR(__xludf.DUMMYFUNCTION("""COMPUTED_VALUE"""),"FM-PH-BMV-1A-2B")</f>
        <v>FM-PH-BMV-1A-2B</v>
      </c>
      <c r="C772" s="104"/>
      <c r="D772" s="104"/>
      <c r="E772" s="104" t="str">
        <f>IFERROR(__xludf.DUMMYFUNCTION("""COMPUTED_VALUE"""),"WO-PO-6-WH-2")</f>
        <v>WO-PO-6-WH-2</v>
      </c>
      <c r="F772" s="98">
        <v>7.5</v>
      </c>
      <c r="G772" s="110"/>
      <c r="H772" s="98"/>
      <c r="I772" s="98"/>
      <c r="J772" s="98"/>
      <c r="K772" s="98"/>
      <c r="L772" s="104"/>
      <c r="M772" s="98" t="s">
        <v>39</v>
      </c>
      <c r="N772" s="103" t="str">
        <f>IFERROR(__xludf.DUMMYFUNCTION("""COMPUTED_VALUE"""),"")</f>
        <v/>
      </c>
      <c r="O772" s="104"/>
      <c r="P772" s="104"/>
      <c r="Q772" s="104"/>
      <c r="R772" s="104" t="s">
        <v>4468</v>
      </c>
      <c r="S772" s="104" t="s">
        <v>39</v>
      </c>
      <c r="T772" s="104" t="s">
        <v>4469</v>
      </c>
      <c r="U772" s="104"/>
      <c r="V772" s="104" t="s">
        <v>4469</v>
      </c>
      <c r="W772" s="104"/>
    </row>
    <row r="773">
      <c r="A773" s="105">
        <v>45916.0</v>
      </c>
      <c r="B773" s="79" t="str">
        <f>IFERROR(__xludf.DUMMYFUNCTION("""COMPUTED_VALUE"""),"FM-PH-BMV-1A-2A")</f>
        <v>FM-PH-BMV-1A-2A</v>
      </c>
      <c r="C773" s="104"/>
      <c r="D773" s="104"/>
      <c r="E773" s="104" t="str">
        <f>IFERROR(__xludf.DUMMYFUNCTION("""COMPUTED_VALUE"""),"WO-PO-6-WH-2")</f>
        <v>WO-PO-6-WH-2</v>
      </c>
      <c r="F773" s="98">
        <v>7.5</v>
      </c>
      <c r="G773" s="110"/>
      <c r="H773" s="98"/>
      <c r="I773" s="98"/>
      <c r="J773" s="98"/>
      <c r="K773" s="98"/>
      <c r="L773" s="104"/>
      <c r="M773" s="98" t="s">
        <v>39</v>
      </c>
      <c r="N773" s="103" t="str">
        <f>IFERROR(__xludf.DUMMYFUNCTION("""COMPUTED_VALUE"""),"")</f>
        <v/>
      </c>
      <c r="O773" s="104"/>
      <c r="P773" s="104"/>
      <c r="Q773" s="104"/>
      <c r="R773" s="104" t="s">
        <v>4470</v>
      </c>
      <c r="S773" s="104" t="s">
        <v>39</v>
      </c>
      <c r="T773" s="104" t="s">
        <v>4471</v>
      </c>
      <c r="U773" s="104"/>
      <c r="V773" s="104" t="s">
        <v>4471</v>
      </c>
      <c r="W773" s="104"/>
    </row>
    <row r="774">
      <c r="A774" s="105">
        <v>45918.0</v>
      </c>
      <c r="B774" s="79" t="str">
        <f>IFERROR(__xludf.DUMMYFUNCTION("""COMPUTED_VALUE"""),"AM-PH-BI-1B")</f>
        <v>AM-PH-BI-1B</v>
      </c>
      <c r="C774" s="104"/>
      <c r="D774" s="104"/>
      <c r="E774" s="104" t="str">
        <f>IFERROR(__xludf.DUMMYFUNCTION("""COMPUTED_VALUE"""),"MU-PO-4-WH-1")</f>
        <v>MU-PO-4-WH-1</v>
      </c>
      <c r="F774" s="98">
        <v>3.4166666666666665</v>
      </c>
      <c r="G774" s="110"/>
      <c r="H774" s="98"/>
      <c r="I774" s="98"/>
      <c r="J774" s="98"/>
      <c r="K774" s="98"/>
      <c r="L774" s="104"/>
      <c r="M774" s="98" t="s">
        <v>39</v>
      </c>
      <c r="N774" s="103" t="str">
        <f>IFERROR(__xludf.DUMMYFUNCTION("""COMPUTED_VALUE"""),"")</f>
        <v/>
      </c>
      <c r="O774" s="104"/>
      <c r="P774" s="104"/>
      <c r="Q774" s="104"/>
      <c r="R774" s="104" t="s">
        <v>4472</v>
      </c>
      <c r="S774" s="104" t="s">
        <v>39</v>
      </c>
      <c r="T774" s="104" t="s">
        <v>4473</v>
      </c>
      <c r="U774" s="104"/>
      <c r="V774" s="104" t="s">
        <v>4473</v>
      </c>
      <c r="W774" s="104"/>
    </row>
    <row r="775">
      <c r="A775" s="105">
        <v>45918.0</v>
      </c>
      <c r="B775" s="79" t="str">
        <f>IFERROR(__xludf.DUMMYFUNCTION("""COMPUTED_VALUE"""),"AM-PH-BI-1C")</f>
        <v>AM-PH-BI-1C</v>
      </c>
      <c r="C775" s="104"/>
      <c r="D775" s="104"/>
      <c r="E775" s="104" t="str">
        <f>IFERROR(__xludf.DUMMYFUNCTION("""COMPUTED_VALUE"""),"MU-PO-4-WH-1")</f>
        <v>MU-PO-4-WH-1</v>
      </c>
      <c r="F775" s="98">
        <v>3.4166666666666665</v>
      </c>
      <c r="G775" s="110"/>
      <c r="H775" s="98"/>
      <c r="I775" s="98"/>
      <c r="J775" s="98"/>
      <c r="K775" s="98"/>
      <c r="L775" s="104"/>
      <c r="M775" s="98" t="s">
        <v>39</v>
      </c>
      <c r="N775" s="103" t="str">
        <f>IFERROR(__xludf.DUMMYFUNCTION("""COMPUTED_VALUE"""),"")</f>
        <v/>
      </c>
      <c r="O775" s="104"/>
      <c r="P775" s="104"/>
      <c r="Q775" s="104"/>
      <c r="R775" s="104" t="s">
        <v>4474</v>
      </c>
      <c r="S775" s="104" t="s">
        <v>39</v>
      </c>
      <c r="T775" s="104" t="s">
        <v>4475</v>
      </c>
      <c r="U775" s="104"/>
      <c r="V775" s="104" t="s">
        <v>4475</v>
      </c>
      <c r="W775" s="104"/>
    </row>
    <row r="776">
      <c r="A776" s="105">
        <v>45923.0</v>
      </c>
      <c r="B776" s="79" t="str">
        <f>IFERROR(__xludf.DUMMYFUNCTION("""COMPUTED_VALUE"""),"HS-BE-AW-1M")</f>
        <v>HS-BE-AW-1M</v>
      </c>
      <c r="C776" s="104"/>
      <c r="D776" s="104"/>
      <c r="E776" s="104" t="str">
        <f>IFERROR(__xludf.DUMMYFUNCTION("""COMPUTED_VALUE"""),"MU-PO-4-WH-1")</f>
        <v>MU-PO-4-WH-1</v>
      </c>
      <c r="F776" s="98">
        <v>0.0</v>
      </c>
      <c r="G776" s="110"/>
      <c r="H776" s="98"/>
      <c r="I776" s="98"/>
      <c r="J776" s="98"/>
      <c r="K776" s="98"/>
      <c r="L776" s="104"/>
      <c r="M776" s="98" t="s">
        <v>39</v>
      </c>
      <c r="N776" s="103" t="str">
        <f>IFERROR(__xludf.DUMMYFUNCTION("""COMPUTED_VALUE"""),"")</f>
        <v/>
      </c>
      <c r="O776" s="104"/>
      <c r="P776" s="104"/>
      <c r="Q776" s="104"/>
      <c r="R776" s="104" t="s">
        <v>4476</v>
      </c>
      <c r="S776" s="104" t="s">
        <v>39</v>
      </c>
      <c r="T776" s="104" t="s">
        <v>4477</v>
      </c>
      <c r="U776" s="104"/>
      <c r="V776" s="104" t="s">
        <v>4477</v>
      </c>
      <c r="W776" s="104"/>
    </row>
    <row r="777">
      <c r="A777" s="105">
        <v>45923.0</v>
      </c>
      <c r="B777" s="79" t="str">
        <f>IFERROR(__xludf.DUMMYFUNCTION("""COMPUTED_VALUE"""),"HS-BE-AW-1N")</f>
        <v>HS-BE-AW-1N</v>
      </c>
      <c r="C777" s="104"/>
      <c r="D777" s="104"/>
      <c r="E777" s="104" t="str">
        <f>IFERROR(__xludf.DUMMYFUNCTION("""COMPUTED_VALUE"""),"MU-PO-4-WH-1")</f>
        <v>MU-PO-4-WH-1</v>
      </c>
      <c r="F777" s="98">
        <v>0.0</v>
      </c>
      <c r="G777" s="110"/>
      <c r="H777" s="98"/>
      <c r="I777" s="98"/>
      <c r="J777" s="98"/>
      <c r="K777" s="98"/>
      <c r="L777" s="104"/>
      <c r="M777" s="98" t="s">
        <v>39</v>
      </c>
      <c r="N777" s="103" t="str">
        <f>IFERROR(__xludf.DUMMYFUNCTION("""COMPUTED_VALUE"""),"")</f>
        <v/>
      </c>
      <c r="O777" s="104"/>
      <c r="P777" s="104"/>
      <c r="Q777" s="104"/>
      <c r="R777" s="104" t="s">
        <v>4478</v>
      </c>
      <c r="S777" s="104" t="s">
        <v>39</v>
      </c>
      <c r="T777" s="104" t="s">
        <v>4479</v>
      </c>
      <c r="U777" s="104"/>
      <c r="V777" s="104" t="s">
        <v>4479</v>
      </c>
      <c r="W777" s="104"/>
    </row>
    <row r="778">
      <c r="A778" s="105">
        <v>45923.0</v>
      </c>
      <c r="B778" s="79" t="str">
        <f>IFERROR(__xludf.DUMMYFUNCTION("""COMPUTED_VALUE"""),"HS-BE-AW-1O")</f>
        <v>HS-BE-AW-1O</v>
      </c>
      <c r="C778" s="104"/>
      <c r="D778" s="104"/>
      <c r="E778" s="104" t="str">
        <f>IFERROR(__xludf.DUMMYFUNCTION("""COMPUTED_VALUE"""),"MU-PO-4-WH-1")</f>
        <v>MU-PO-4-WH-1</v>
      </c>
      <c r="F778" s="98">
        <v>0.0</v>
      </c>
      <c r="G778" s="110"/>
      <c r="H778" s="98"/>
      <c r="I778" s="98"/>
      <c r="J778" s="98"/>
      <c r="K778" s="98"/>
      <c r="L778" s="104"/>
      <c r="M778" s="98" t="s">
        <v>39</v>
      </c>
      <c r="N778" s="103" t="str">
        <f>IFERROR(__xludf.DUMMYFUNCTION("""COMPUTED_VALUE"""),"")</f>
        <v/>
      </c>
      <c r="O778" s="104"/>
      <c r="P778" s="104"/>
      <c r="Q778" s="104"/>
      <c r="R778" s="104" t="s">
        <v>4480</v>
      </c>
      <c r="S778" s="104" t="s">
        <v>39</v>
      </c>
      <c r="T778" s="104" t="s">
        <v>4481</v>
      </c>
      <c r="U778" s="104"/>
      <c r="V778" s="104" t="s">
        <v>4481</v>
      </c>
      <c r="W778" s="104"/>
    </row>
    <row r="779">
      <c r="A779" s="105">
        <v>45923.0</v>
      </c>
      <c r="B779" s="79" t="str">
        <f>IFERROR(__xludf.DUMMYFUNCTION("""COMPUTED_VALUE"""),"HS-BE-AW-1P")</f>
        <v>HS-BE-AW-1P</v>
      </c>
      <c r="C779" s="104"/>
      <c r="D779" s="104"/>
      <c r="E779" s="104" t="str">
        <f>IFERROR(__xludf.DUMMYFUNCTION("""COMPUTED_VALUE"""),"MU-PO-4-WH-1")</f>
        <v>MU-PO-4-WH-1</v>
      </c>
      <c r="F779" s="98">
        <v>0.0</v>
      </c>
      <c r="G779" s="110"/>
      <c r="H779" s="98"/>
      <c r="I779" s="98"/>
      <c r="J779" s="98"/>
      <c r="K779" s="98"/>
      <c r="L779" s="104"/>
      <c r="M779" s="98" t="s">
        <v>39</v>
      </c>
      <c r="N779" s="103" t="str">
        <f>IFERROR(__xludf.DUMMYFUNCTION("""COMPUTED_VALUE"""),"")</f>
        <v/>
      </c>
      <c r="O779" s="104"/>
      <c r="P779" s="104"/>
      <c r="Q779" s="104"/>
      <c r="R779" s="104" t="s">
        <v>4482</v>
      </c>
      <c r="S779" s="104" t="s">
        <v>39</v>
      </c>
      <c r="T779" s="104" t="s">
        <v>4483</v>
      </c>
      <c r="U779" s="104"/>
      <c r="V779" s="104" t="s">
        <v>4483</v>
      </c>
      <c r="W779" s="104"/>
    </row>
    <row r="780">
      <c r="A780" s="105">
        <v>45923.0</v>
      </c>
      <c r="B780" s="79" t="str">
        <f>IFERROR(__xludf.DUMMYFUNCTION("""COMPUTED_VALUE"""),"HS-BE-AW-1Q")</f>
        <v>HS-BE-AW-1Q</v>
      </c>
      <c r="C780" s="104"/>
      <c r="D780" s="104"/>
      <c r="E780" s="104" t="str">
        <f>IFERROR(__xludf.DUMMYFUNCTION("""COMPUTED_VALUE"""),"AN-PO-3-MU-1")</f>
        <v>AN-PO-3-MU-1</v>
      </c>
      <c r="F780" s="98">
        <v>0.0</v>
      </c>
      <c r="G780" s="110"/>
      <c r="H780" s="98"/>
      <c r="I780" s="98"/>
      <c r="J780" s="98"/>
      <c r="K780" s="98"/>
      <c r="L780" s="104"/>
      <c r="M780" s="98" t="s">
        <v>39</v>
      </c>
      <c r="N780" s="103" t="str">
        <f>IFERROR(__xludf.DUMMYFUNCTION("""COMPUTED_VALUE"""),"")</f>
        <v/>
      </c>
      <c r="O780" s="104"/>
      <c r="P780" s="104"/>
      <c r="Q780" s="104"/>
      <c r="R780" s="104" t="s">
        <v>4484</v>
      </c>
      <c r="S780" s="104" t="s">
        <v>39</v>
      </c>
      <c r="T780" s="104" t="s">
        <v>4485</v>
      </c>
      <c r="U780" s="104"/>
      <c r="V780" s="104" t="s">
        <v>4485</v>
      </c>
      <c r="W780" s="104"/>
    </row>
    <row r="781">
      <c r="A781" s="105">
        <v>45923.0</v>
      </c>
      <c r="B781" s="79" t="str">
        <f>IFERROR(__xludf.DUMMYFUNCTION("""COMPUTED_VALUE"""),"HS-BE-AW-1R")</f>
        <v>HS-BE-AW-1R</v>
      </c>
      <c r="C781" s="104"/>
      <c r="D781" s="104"/>
      <c r="E781" s="104" t="str">
        <f>IFERROR(__xludf.DUMMYFUNCTION("""COMPUTED_VALUE"""),"AN-PO-3-MU-1")</f>
        <v>AN-PO-3-MU-1</v>
      </c>
      <c r="F781" s="98">
        <v>0.0</v>
      </c>
      <c r="G781" s="110"/>
      <c r="H781" s="98"/>
      <c r="I781" s="98"/>
      <c r="J781" s="98"/>
      <c r="K781" s="98"/>
      <c r="L781" s="104"/>
      <c r="M781" s="98" t="s">
        <v>39</v>
      </c>
      <c r="N781" s="103" t="str">
        <f>IFERROR(__xludf.DUMMYFUNCTION("""COMPUTED_VALUE"""),"")</f>
        <v/>
      </c>
      <c r="O781" s="104"/>
      <c r="P781" s="104"/>
      <c r="Q781" s="104"/>
      <c r="R781" s="104" t="s">
        <v>4486</v>
      </c>
      <c r="S781" s="104" t="s">
        <v>39</v>
      </c>
      <c r="T781" s="104" t="s">
        <v>4487</v>
      </c>
      <c r="U781" s="104"/>
      <c r="V781" s="104" t="s">
        <v>4487</v>
      </c>
      <c r="W781" s="104"/>
    </row>
    <row r="782">
      <c r="A782" s="105">
        <v>45900.0</v>
      </c>
      <c r="B782" s="79" t="str">
        <f>IFERROR(__xludf.DUMMYFUNCTION("""COMPUTED_VALUE"""),"FM-PH-PP-1B")</f>
        <v>FM-PH-PP-1B</v>
      </c>
      <c r="C782" s="104"/>
      <c r="D782" s="104"/>
      <c r="E782" s="104" t="str">
        <f>IFERROR(__xludf.DUMMYFUNCTION("""COMPUTED_VALUE"""),"RO-PO-4-CL-2")</f>
        <v>RO-PO-4-CL-2</v>
      </c>
      <c r="F782" s="98">
        <v>0.0</v>
      </c>
      <c r="G782" s="110"/>
      <c r="H782" s="98"/>
      <c r="I782" s="98"/>
      <c r="J782" s="98"/>
      <c r="K782" s="98"/>
      <c r="L782" s="104"/>
      <c r="M782" s="98" t="s">
        <v>39</v>
      </c>
      <c r="N782" s="103" t="str">
        <f>IFERROR(__xludf.DUMMYFUNCTION("""COMPUTED_VALUE"""),"")</f>
        <v/>
      </c>
      <c r="O782" s="104"/>
      <c r="P782" s="104"/>
      <c r="Q782" s="104"/>
      <c r="R782" s="104" t="s">
        <v>4488</v>
      </c>
      <c r="S782" s="104" t="s">
        <v>39</v>
      </c>
      <c r="T782" s="104" t="s">
        <v>4489</v>
      </c>
      <c r="U782" s="104"/>
      <c r="V782" s="104" t="s">
        <v>4489</v>
      </c>
      <c r="W782" s="104"/>
    </row>
    <row r="783">
      <c r="A783" s="105">
        <v>45900.0</v>
      </c>
      <c r="B783" s="79" t="str">
        <f>IFERROR(__xludf.DUMMYFUNCTION("""COMPUTED_VALUE"""),"FM-PH-PP-1C")</f>
        <v>FM-PH-PP-1C</v>
      </c>
      <c r="C783" s="104"/>
      <c r="D783" s="104"/>
      <c r="E783" s="104" t="str">
        <f>IFERROR(__xludf.DUMMYFUNCTION("""COMPUTED_VALUE"""),"RO-PO-4-CL-2")</f>
        <v>RO-PO-4-CL-2</v>
      </c>
      <c r="F783" s="98">
        <v>0.0</v>
      </c>
      <c r="G783" s="110"/>
      <c r="H783" s="98"/>
      <c r="I783" s="98"/>
      <c r="J783" s="98"/>
      <c r="K783" s="98"/>
      <c r="L783" s="104"/>
      <c r="M783" s="98" t="s">
        <v>39</v>
      </c>
      <c r="N783" s="103" t="str">
        <f>IFERROR(__xludf.DUMMYFUNCTION("""COMPUTED_VALUE"""),"")</f>
        <v/>
      </c>
      <c r="O783" s="104"/>
      <c r="P783" s="104"/>
      <c r="Q783" s="104"/>
      <c r="R783" s="104" t="s">
        <v>4490</v>
      </c>
      <c r="S783" s="104" t="s">
        <v>39</v>
      </c>
      <c r="T783" s="104" t="s">
        <v>4491</v>
      </c>
      <c r="U783" s="104"/>
      <c r="V783" s="104" t="s">
        <v>4491</v>
      </c>
      <c r="W783" s="104"/>
    </row>
    <row r="784">
      <c r="A784" s="105">
        <v>45900.0</v>
      </c>
      <c r="B784" s="79" t="str">
        <f>IFERROR(__xludf.DUMMYFUNCTION("""COMPUTED_VALUE"""),"FM-PH-PP-1D")</f>
        <v>FM-PH-PP-1D</v>
      </c>
      <c r="C784" s="104"/>
      <c r="D784" s="104"/>
      <c r="E784" s="104" t="str">
        <f>IFERROR(__xludf.DUMMYFUNCTION("""COMPUTED_VALUE"""),"RO-PO-4-CL-2")</f>
        <v>RO-PO-4-CL-2</v>
      </c>
      <c r="F784" s="98">
        <v>0.0</v>
      </c>
      <c r="G784" s="110"/>
      <c r="H784" s="98"/>
      <c r="I784" s="98"/>
      <c r="J784" s="98"/>
      <c r="K784" s="98"/>
      <c r="L784" s="104"/>
      <c r="M784" s="98" t="s">
        <v>39</v>
      </c>
      <c r="N784" s="103" t="str">
        <f>IFERROR(__xludf.DUMMYFUNCTION("""COMPUTED_VALUE"""),"")</f>
        <v/>
      </c>
      <c r="O784" s="104"/>
      <c r="P784" s="104"/>
      <c r="Q784" s="104"/>
      <c r="R784" s="104" t="s">
        <v>4492</v>
      </c>
      <c r="S784" s="104" t="s">
        <v>39</v>
      </c>
      <c r="T784" s="104" t="s">
        <v>4493</v>
      </c>
      <c r="U784" s="104"/>
      <c r="V784" s="104" t="s">
        <v>4493</v>
      </c>
      <c r="W784" s="104"/>
    </row>
    <row r="785">
      <c r="A785" s="105">
        <v>45893.0</v>
      </c>
      <c r="B785" s="79" t="str">
        <f>IFERROR(__xludf.DUMMYFUNCTION("""COMPUTED_VALUE"""),"HS-BE-AW-1G")</f>
        <v>HS-BE-AW-1G</v>
      </c>
      <c r="C785" s="104"/>
      <c r="D785" s="104"/>
      <c r="E785" s="104" t="str">
        <f>IFERROR(__xludf.DUMMYFUNCTION("""COMPUTED_VALUE"""),"AN-PO-3-MU-1")</f>
        <v>AN-PO-3-MU-1</v>
      </c>
      <c r="F785" s="98">
        <v>0.0</v>
      </c>
      <c r="G785" s="110"/>
      <c r="H785" s="98"/>
      <c r="I785" s="98"/>
      <c r="J785" s="98"/>
      <c r="K785" s="98"/>
      <c r="L785" s="104"/>
      <c r="M785" s="98" t="s">
        <v>39</v>
      </c>
      <c r="N785" s="103" t="str">
        <f>IFERROR(__xludf.DUMMYFUNCTION("""COMPUTED_VALUE"""),"")</f>
        <v/>
      </c>
      <c r="O785" s="104"/>
      <c r="P785" s="104"/>
      <c r="Q785" s="104"/>
      <c r="R785" s="104" t="s">
        <v>4494</v>
      </c>
      <c r="S785" s="104" t="s">
        <v>39</v>
      </c>
      <c r="T785" s="104" t="s">
        <v>4495</v>
      </c>
      <c r="U785" s="104"/>
      <c r="V785" s="104" t="s">
        <v>4495</v>
      </c>
      <c r="W785" s="104"/>
    </row>
    <row r="786">
      <c r="A786" s="105">
        <v>45952.0</v>
      </c>
      <c r="B786" s="79" t="str">
        <f>IFERROR(__xludf.DUMMYFUNCTION("""COMPUTED_VALUE"""),"HS-BE-AW-1D")</f>
        <v>HS-BE-AW-1D</v>
      </c>
      <c r="C786" s="104"/>
      <c r="D786" s="104"/>
      <c r="E786" s="104" t="str">
        <f>IFERROR(__xludf.DUMMYFUNCTION("""COMPUTED_VALUE"""),"TE-PO-4-MU-1")</f>
        <v>TE-PO-4-MU-1</v>
      </c>
      <c r="F786" s="98">
        <v>0.0</v>
      </c>
      <c r="G786" s="110"/>
      <c r="H786" s="98"/>
      <c r="I786" s="98"/>
      <c r="J786" s="98"/>
      <c r="K786" s="98"/>
      <c r="L786" s="104"/>
      <c r="M786" s="98" t="s">
        <v>39</v>
      </c>
      <c r="N786" s="103" t="str">
        <f>IFERROR(__xludf.DUMMYFUNCTION("""COMPUTED_VALUE"""),"")</f>
        <v/>
      </c>
      <c r="O786" s="104"/>
      <c r="P786" s="104"/>
      <c r="Q786" s="104"/>
      <c r="R786" s="104" t="s">
        <v>4496</v>
      </c>
      <c r="S786" s="104" t="s">
        <v>39</v>
      </c>
      <c r="T786" s="104" t="s">
        <v>4497</v>
      </c>
      <c r="U786" s="104"/>
      <c r="V786" s="104" t="s">
        <v>4497</v>
      </c>
      <c r="W786" s="104"/>
    </row>
    <row r="787">
      <c r="A787" s="105">
        <v>45884.0</v>
      </c>
      <c r="B787" s="79" t="str">
        <f>IFERROR(__xludf.DUMMYFUNCTION("""COMPUTED_VALUE"""),"HS-PO-GO-1B")</f>
        <v>HS-PO-GO-1B</v>
      </c>
      <c r="C787" s="104"/>
      <c r="D787" s="104"/>
      <c r="E787" s="104" t="str">
        <f>IFERROR(__xludf.DUMMYFUNCTION("""COMPUTED_VALUE"""),"DV-PO-2-WH-1")</f>
        <v>DV-PO-2-WH-1</v>
      </c>
      <c r="F787" s="98">
        <v>0.0</v>
      </c>
      <c r="G787" s="110"/>
      <c r="H787" s="98"/>
      <c r="I787" s="98"/>
      <c r="J787" s="98"/>
      <c r="K787" s="98"/>
      <c r="L787" s="104"/>
      <c r="M787" s="98" t="s">
        <v>39</v>
      </c>
      <c r="N787" s="103" t="str">
        <f>IFERROR(__xludf.DUMMYFUNCTION("""COMPUTED_VALUE"""),"")</f>
        <v/>
      </c>
      <c r="O787" s="104"/>
      <c r="P787" s="104"/>
      <c r="Q787" s="104"/>
      <c r="R787" s="104" t="s">
        <v>4498</v>
      </c>
      <c r="S787" s="104" t="s">
        <v>39</v>
      </c>
      <c r="T787" s="104" t="s">
        <v>4499</v>
      </c>
      <c r="U787" s="104"/>
      <c r="V787" s="104" t="s">
        <v>4499</v>
      </c>
      <c r="W787" s="104"/>
    </row>
    <row r="788">
      <c r="A788" s="105">
        <v>45899.0</v>
      </c>
      <c r="B788" s="79" t="str">
        <f>IFERROR(__xludf.DUMMYFUNCTION("""COMPUTED_VALUE"""),"HS-PO-GO-1J")</f>
        <v>HS-PO-GO-1J</v>
      </c>
      <c r="C788" s="104"/>
      <c r="D788" s="104"/>
      <c r="E788" s="104" t="str">
        <f>IFERROR(__xludf.DUMMYFUNCTION("""COMPUTED_VALUE"""),"TE-PO-4-MU-1")</f>
        <v>TE-PO-4-MU-1</v>
      </c>
      <c r="F788" s="98">
        <v>0.0</v>
      </c>
      <c r="G788" s="110"/>
      <c r="H788" s="98"/>
      <c r="I788" s="98"/>
      <c r="J788" s="98"/>
      <c r="K788" s="98"/>
      <c r="L788" s="104"/>
      <c r="M788" s="98" t="s">
        <v>39</v>
      </c>
      <c r="N788" s="103" t="str">
        <f>IFERROR(__xludf.DUMMYFUNCTION("""COMPUTED_VALUE"""),"")</f>
        <v/>
      </c>
      <c r="O788" s="104"/>
      <c r="P788" s="104"/>
      <c r="Q788" s="104"/>
      <c r="R788" s="104" t="s">
        <v>4500</v>
      </c>
      <c r="S788" s="104" t="s">
        <v>39</v>
      </c>
      <c r="T788" s="104" t="s">
        <v>4501</v>
      </c>
      <c r="U788" s="104"/>
      <c r="V788" s="104" t="s">
        <v>4501</v>
      </c>
      <c r="W788" s="104"/>
    </row>
    <row r="789">
      <c r="A789" s="105">
        <v>45899.0</v>
      </c>
      <c r="B789" s="79" t="str">
        <f>IFERROR(__xludf.DUMMYFUNCTION("""COMPUTED_VALUE"""),"BWH-PO-PAJ-1A-3A")</f>
        <v>BWH-PO-PAJ-1A-3A</v>
      </c>
      <c r="C789" s="104"/>
      <c r="D789" s="104"/>
      <c r="E789" s="104" t="str">
        <f>IFERROR(__xludf.DUMMYFUNCTION("""COMPUTED_VALUE"""),"TE-PO-4-MU-1")</f>
        <v>TE-PO-4-MU-1</v>
      </c>
      <c r="F789" s="98">
        <v>7.8</v>
      </c>
      <c r="G789" s="110"/>
      <c r="H789" s="98"/>
      <c r="I789" s="98"/>
      <c r="J789" s="98"/>
      <c r="K789" s="98"/>
      <c r="L789" s="104"/>
      <c r="M789" s="98" t="s">
        <v>39</v>
      </c>
      <c r="N789" s="103" t="str">
        <f>IFERROR(__xludf.DUMMYFUNCTION("""COMPUTED_VALUE"""),"")</f>
        <v/>
      </c>
      <c r="O789" s="104"/>
      <c r="P789" s="104"/>
      <c r="Q789" s="104"/>
      <c r="R789" s="104" t="s">
        <v>4502</v>
      </c>
      <c r="S789" s="104" t="s">
        <v>39</v>
      </c>
      <c r="T789" s="104" t="s">
        <v>4503</v>
      </c>
      <c r="U789" s="104"/>
      <c r="V789" s="104" t="s">
        <v>4503</v>
      </c>
      <c r="W789" s="104"/>
    </row>
    <row r="790">
      <c r="A790" s="105">
        <v>45899.0</v>
      </c>
      <c r="B790" s="79" t="str">
        <f>IFERROR(__xludf.DUMMYFUNCTION("""COMPUTED_VALUE"""),"HS-PO-GO-1C")</f>
        <v>HS-PO-GO-1C</v>
      </c>
      <c r="C790" s="104"/>
      <c r="D790" s="104"/>
      <c r="E790" s="104" t="str">
        <f>IFERROR(__xludf.DUMMYFUNCTION("""COMPUTED_VALUE"""),"DV-PO-2-WH-1")</f>
        <v>DV-PO-2-WH-1</v>
      </c>
      <c r="F790" s="98">
        <v>0.0</v>
      </c>
      <c r="G790" s="110"/>
      <c r="H790" s="98"/>
      <c r="I790" s="98"/>
      <c r="J790" s="98"/>
      <c r="K790" s="98"/>
      <c r="L790" s="104"/>
      <c r="M790" s="98" t="s">
        <v>39</v>
      </c>
      <c r="N790" s="103" t="str">
        <f>IFERROR(__xludf.DUMMYFUNCTION("""COMPUTED_VALUE"""),"")</f>
        <v/>
      </c>
      <c r="O790" s="104"/>
      <c r="P790" s="104"/>
      <c r="Q790" s="104"/>
      <c r="R790" s="104" t="s">
        <v>4504</v>
      </c>
      <c r="S790" s="104" t="s">
        <v>39</v>
      </c>
      <c r="T790" s="104" t="s">
        <v>4505</v>
      </c>
      <c r="U790" s="104"/>
      <c r="V790" s="104" t="s">
        <v>4505</v>
      </c>
      <c r="W790" s="104"/>
    </row>
    <row r="791">
      <c r="A791" s="105">
        <v>45957.0</v>
      </c>
      <c r="B791" s="79" t="str">
        <f>IFERROR(__xludf.DUMMYFUNCTION("""COMPUTED_VALUE"""),"HD-AL-BDS-1B")</f>
        <v>HD-AL-BDS-1B</v>
      </c>
      <c r="C791" s="104"/>
      <c r="D791" s="104"/>
      <c r="E791" s="104" t="str">
        <f>IFERROR(__xludf.DUMMYFUNCTION("""COMPUTED_VALUE"""),"MA-PO-3-SW-1")</f>
        <v>MA-PO-3-SW-1</v>
      </c>
      <c r="F791" s="98">
        <v>6.66</v>
      </c>
      <c r="G791" s="110"/>
      <c r="H791" s="98"/>
      <c r="I791" s="98"/>
      <c r="J791" s="98"/>
      <c r="K791" s="98"/>
      <c r="L791" s="104"/>
      <c r="M791" s="98" t="s">
        <v>39</v>
      </c>
      <c r="N791" s="103" t="str">
        <f>IFERROR(__xludf.DUMMYFUNCTION("""COMPUTED_VALUE"""),"")</f>
        <v/>
      </c>
      <c r="O791" s="104"/>
      <c r="P791" s="104"/>
      <c r="Q791" s="104"/>
      <c r="R791" s="104" t="s">
        <v>4506</v>
      </c>
      <c r="S791" s="104" t="s">
        <v>39</v>
      </c>
      <c r="T791" s="104" t="s">
        <v>4507</v>
      </c>
      <c r="U791" s="104"/>
      <c r="V791" s="104" t="s">
        <v>4507</v>
      </c>
      <c r="W791" s="104"/>
    </row>
    <row r="792">
      <c r="A792" s="105">
        <v>45957.0</v>
      </c>
      <c r="B792" s="79" t="str">
        <f>IFERROR(__xludf.DUMMYFUNCTION("""COMPUTED_VALUE"""),"HD-AL-BDS-1C")</f>
        <v>HD-AL-BDS-1C</v>
      </c>
      <c r="C792" s="104"/>
      <c r="D792" s="104"/>
      <c r="E792" s="104" t="str">
        <f>IFERROR(__xludf.DUMMYFUNCTION("""COMPUTED_VALUE"""),"MA-PO-3-SW-1")</f>
        <v>MA-PO-3-SW-1</v>
      </c>
      <c r="F792" s="98">
        <v>6.66</v>
      </c>
      <c r="G792" s="110"/>
      <c r="H792" s="98"/>
      <c r="I792" s="98"/>
      <c r="J792" s="98"/>
      <c r="K792" s="98"/>
      <c r="L792" s="104"/>
      <c r="M792" s="98" t="s">
        <v>39</v>
      </c>
      <c r="N792" s="103" t="str">
        <f>IFERROR(__xludf.DUMMYFUNCTION("""COMPUTED_VALUE"""),"")</f>
        <v/>
      </c>
      <c r="O792" s="104"/>
      <c r="P792" s="104"/>
      <c r="Q792" s="104"/>
      <c r="R792" s="104" t="s">
        <v>4508</v>
      </c>
      <c r="S792" s="104" t="s">
        <v>39</v>
      </c>
      <c r="T792" s="104" t="s">
        <v>4509</v>
      </c>
      <c r="U792" s="104"/>
      <c r="V792" s="104" t="s">
        <v>4509</v>
      </c>
      <c r="W792" s="104"/>
    </row>
    <row r="793">
      <c r="A793" s="105">
        <v>45957.0</v>
      </c>
      <c r="B793" s="79" t="str">
        <f>IFERROR(__xludf.DUMMYFUNCTION("""COMPUTED_VALUE"""),"FM-SYN-MB-1A")</f>
        <v>FM-SYN-MB-1A</v>
      </c>
      <c r="C793" s="104"/>
      <c r="D793" s="104"/>
      <c r="E793" s="104" t="str">
        <f>IFERROR(__xludf.DUMMYFUNCTION("""COMPUTED_VALUE"""),"MA-PO-3-SW-1")</f>
        <v>MA-PO-3-SW-1</v>
      </c>
      <c r="F793" s="98" t="s">
        <v>39</v>
      </c>
      <c r="G793" s="110"/>
      <c r="H793" s="98"/>
      <c r="I793" s="98"/>
      <c r="J793" s="98"/>
      <c r="K793" s="98"/>
      <c r="L793" s="104"/>
      <c r="M793" s="98" t="s">
        <v>39</v>
      </c>
      <c r="N793" s="103" t="str">
        <f>IFERROR(__xludf.DUMMYFUNCTION("""COMPUTED_VALUE"""),"")</f>
        <v/>
      </c>
      <c r="O793" s="104"/>
      <c r="P793" s="104"/>
      <c r="Q793" s="104"/>
      <c r="R793" s="104" t="s">
        <v>4510</v>
      </c>
      <c r="S793" s="104" t="s">
        <v>39</v>
      </c>
      <c r="T793" s="104" t="s">
        <v>4511</v>
      </c>
      <c r="U793" s="104"/>
      <c r="V793" s="104" t="s">
        <v>4511</v>
      </c>
      <c r="W793" s="104"/>
    </row>
    <row r="794">
      <c r="A794" s="105">
        <v>45966.0</v>
      </c>
      <c r="B794" s="79" t="str">
        <f>IFERROR(__xludf.DUMMYFUNCTION("""COMPUTED_VALUE"""),"BPF-SE-SOP-2B")</f>
        <v>BPF-SE-SOP-2B</v>
      </c>
      <c r="C794" s="104"/>
      <c r="D794" s="104"/>
      <c r="E794" s="104" t="str">
        <f>IFERROR(__xludf.DUMMYFUNCTION("""COMPUTED_VALUE"""),"YA-PO-2-CL-1")</f>
        <v>YA-PO-2-CL-1</v>
      </c>
      <c r="F794" s="98">
        <v>0.0</v>
      </c>
      <c r="G794" s="110"/>
      <c r="H794" s="98"/>
      <c r="I794" s="98"/>
      <c r="J794" s="98"/>
      <c r="K794" s="98"/>
      <c r="L794" s="104"/>
      <c r="M794" s="98" t="s">
        <v>39</v>
      </c>
      <c r="N794" s="103" t="str">
        <f>IFERROR(__xludf.DUMMYFUNCTION("""COMPUTED_VALUE"""),"")</f>
        <v/>
      </c>
      <c r="O794" s="104"/>
      <c r="P794" s="104"/>
      <c r="Q794" s="104"/>
      <c r="R794" s="104" t="s">
        <v>4512</v>
      </c>
      <c r="S794" s="104" t="s">
        <v>39</v>
      </c>
      <c r="T794" s="104" t="s">
        <v>4513</v>
      </c>
      <c r="U794" s="104"/>
      <c r="V794" s="104" t="s">
        <v>4513</v>
      </c>
      <c r="W794" s="104"/>
    </row>
    <row r="795">
      <c r="A795" s="105">
        <v>45958.0</v>
      </c>
      <c r="B795" s="79" t="str">
        <f>IFERROR(__xludf.DUMMYFUNCTION("""COMPUTED_VALUE"""),"TLC-PH-CS-1B")</f>
        <v>TLC-PH-CS-1B</v>
      </c>
      <c r="C795" s="104"/>
      <c r="D795" s="104"/>
      <c r="E795" s="104" t="str">
        <f>IFERROR(__xludf.DUMMYFUNCTION("""COMPUTED_VALUE"""),"AN-PO-3-MU-1")</f>
        <v>AN-PO-3-MU-1</v>
      </c>
      <c r="F795" s="98">
        <v>0.0</v>
      </c>
      <c r="G795" s="110"/>
      <c r="H795" s="98"/>
      <c r="I795" s="98"/>
      <c r="J795" s="111"/>
      <c r="K795" s="98"/>
      <c r="L795" s="104"/>
      <c r="M795" s="98" t="s">
        <v>39</v>
      </c>
      <c r="N795" s="103" t="str">
        <f>IFERROR(__xludf.DUMMYFUNCTION("""COMPUTED_VALUE"""),"")</f>
        <v/>
      </c>
      <c r="O795" s="104"/>
      <c r="P795" s="102" t="s">
        <v>1692</v>
      </c>
      <c r="Q795" s="104"/>
      <c r="R795" s="104" t="s">
        <v>4514</v>
      </c>
      <c r="S795" s="104" t="s">
        <v>39</v>
      </c>
      <c r="T795" s="104" t="s">
        <v>4515</v>
      </c>
      <c r="U795" s="104"/>
      <c r="V795" s="104" t="s">
        <v>4515</v>
      </c>
      <c r="W795" s="104"/>
    </row>
    <row r="796">
      <c r="A796" s="105">
        <v>45960.0</v>
      </c>
      <c r="B796" s="79" t="str">
        <f>IFERROR(__xludf.DUMMYFUNCTION("""COMPUTED_VALUE"""),"HS-PH-HL-1G")</f>
        <v>HS-PH-HL-1G</v>
      </c>
      <c r="C796" s="104"/>
      <c r="D796" s="104"/>
      <c r="E796" s="104" t="str">
        <f>IFERROR(__xludf.DUMMYFUNCTION("""COMPUTED_VALUE"""),"AN-PO-3-MU-1")</f>
        <v>AN-PO-3-MU-1</v>
      </c>
      <c r="F796" s="98">
        <v>0.0</v>
      </c>
      <c r="G796" s="110"/>
      <c r="H796" s="98"/>
      <c r="I796" s="98"/>
      <c r="J796" s="111"/>
      <c r="K796" s="98"/>
      <c r="L796" s="104"/>
      <c r="M796" s="98" t="s">
        <v>39</v>
      </c>
      <c r="N796" s="103" t="str">
        <f>IFERROR(__xludf.DUMMYFUNCTION("""COMPUTED_VALUE"""),"")</f>
        <v/>
      </c>
      <c r="O796" s="104"/>
      <c r="P796" s="102" t="s">
        <v>1692</v>
      </c>
      <c r="Q796" s="104"/>
      <c r="R796" s="104" t="s">
        <v>4516</v>
      </c>
      <c r="S796" s="104" t="s">
        <v>39</v>
      </c>
      <c r="T796" s="104" t="s">
        <v>4517</v>
      </c>
      <c r="U796" s="104"/>
      <c r="V796" s="104" t="s">
        <v>4517</v>
      </c>
      <c r="W796" s="104"/>
    </row>
    <row r="797">
      <c r="A797" s="105">
        <v>45960.0</v>
      </c>
      <c r="B797" s="79" t="str">
        <f>IFERROR(__xludf.DUMMYFUNCTION("""COMPUTED_VALUE"""),"HS-PO-GO-1G")</f>
        <v>HS-PO-GO-1G</v>
      </c>
      <c r="C797" s="104"/>
      <c r="D797" s="104"/>
      <c r="E797" s="104" t="str">
        <f>IFERROR(__xludf.DUMMYFUNCTION("""COMPUTED_VALUE"""),"AN-PO-3-MU-1")</f>
        <v>AN-PO-3-MU-1</v>
      </c>
      <c r="F797" s="98">
        <v>0.0</v>
      </c>
      <c r="G797" s="110"/>
      <c r="H797" s="98"/>
      <c r="I797" s="98"/>
      <c r="J797" s="111"/>
      <c r="K797" s="98"/>
      <c r="L797" s="104"/>
      <c r="M797" s="98" t="s">
        <v>39</v>
      </c>
      <c r="N797" s="103" t="str">
        <f>IFERROR(__xludf.DUMMYFUNCTION("""COMPUTED_VALUE"""),"")</f>
        <v/>
      </c>
      <c r="O797" s="104"/>
      <c r="P797" s="104"/>
      <c r="Q797" s="104"/>
      <c r="R797" s="104" t="s">
        <v>4518</v>
      </c>
      <c r="S797" s="104" t="s">
        <v>39</v>
      </c>
      <c r="T797" s="104" t="s">
        <v>4519</v>
      </c>
      <c r="U797" s="104"/>
      <c r="V797" s="104" t="s">
        <v>4519</v>
      </c>
      <c r="W797" s="104"/>
    </row>
    <row r="798">
      <c r="A798" s="105">
        <v>45957.0</v>
      </c>
      <c r="B798" s="79" t="str">
        <f>IFERROR(__xludf.DUMMYFUNCTION("""COMPUTED_VALUE"""),"WM-PH-WK-1C")</f>
        <v>WM-PH-WK-1C</v>
      </c>
      <c r="C798" s="104"/>
      <c r="D798" s="104"/>
      <c r="E798" s="104" t="str">
        <f>IFERROR(__xludf.DUMMYFUNCTION("""COMPUTED_VALUE"""),"AN-PO-3-MU-1")</f>
        <v>AN-PO-3-MU-1</v>
      </c>
      <c r="F798" s="98">
        <v>4.9925</v>
      </c>
      <c r="G798" s="110"/>
      <c r="H798" s="98"/>
      <c r="I798" s="98"/>
      <c r="J798" s="98"/>
      <c r="K798" s="98"/>
      <c r="L798" s="104"/>
      <c r="M798" s="98" t="s">
        <v>39</v>
      </c>
      <c r="N798" s="103" t="str">
        <f>IFERROR(__xludf.DUMMYFUNCTION("""COMPUTED_VALUE"""),"")</f>
        <v/>
      </c>
      <c r="O798" s="104"/>
      <c r="P798" s="104"/>
      <c r="Q798" s="104"/>
      <c r="R798" s="104" t="s">
        <v>4520</v>
      </c>
      <c r="S798" s="104" t="s">
        <v>39</v>
      </c>
      <c r="T798" s="104" t="s">
        <v>4521</v>
      </c>
      <c r="U798" s="104"/>
      <c r="V798" s="104" t="s">
        <v>4521</v>
      </c>
      <c r="W798" s="104"/>
    </row>
    <row r="799">
      <c r="A799" s="105">
        <v>45958.0</v>
      </c>
      <c r="B799" s="79" t="str">
        <f>IFERROR(__xludf.DUMMYFUNCTION("""COMPUTED_VALUE"""),"HS-BE-AW-1S")</f>
        <v>HS-BE-AW-1S</v>
      </c>
      <c r="C799" s="104"/>
      <c r="D799" s="104"/>
      <c r="E799" s="104" t="str">
        <f>IFERROR(__xludf.DUMMYFUNCTION("""COMPUTED_VALUE"""),"AN-PO-3-MU-1")</f>
        <v>AN-PO-3-MU-1</v>
      </c>
      <c r="F799" s="98">
        <v>0.0</v>
      </c>
      <c r="G799" s="110"/>
      <c r="H799" s="98"/>
      <c r="I799" s="98"/>
      <c r="J799" s="98"/>
      <c r="K799" s="98"/>
      <c r="L799" s="104"/>
      <c r="M799" s="98" t="s">
        <v>39</v>
      </c>
      <c r="N799" s="103" t="str">
        <f>IFERROR(__xludf.DUMMYFUNCTION("""COMPUTED_VALUE"""),"")</f>
        <v/>
      </c>
      <c r="O799" s="104"/>
      <c r="P799" s="104"/>
      <c r="Q799" s="104"/>
      <c r="R799" s="104" t="s">
        <v>4522</v>
      </c>
      <c r="S799" s="104" t="s">
        <v>39</v>
      </c>
      <c r="T799" s="104" t="s">
        <v>4523</v>
      </c>
      <c r="U799" s="104"/>
      <c r="V799" s="104" t="s">
        <v>4523</v>
      </c>
      <c r="W799" s="104"/>
    </row>
    <row r="800">
      <c r="A800" s="105">
        <v>45960.0</v>
      </c>
      <c r="B800" s="79" t="str">
        <f>IFERROR(__xludf.DUMMYFUNCTION("""COMPUTED_VALUE"""),"HS-PO-GO-1L")</f>
        <v>HS-PO-GO-1L</v>
      </c>
      <c r="C800" s="104"/>
      <c r="D800" s="104"/>
      <c r="E800" s="104" t="str">
        <f>IFERROR(__xludf.DUMMYFUNCTION("""COMPUTED_VALUE"""),"AN-PO-3-MU-1")</f>
        <v>AN-PO-3-MU-1</v>
      </c>
      <c r="F800" s="98">
        <v>0.0</v>
      </c>
      <c r="G800" s="110"/>
      <c r="H800" s="98"/>
      <c r="I800" s="98"/>
      <c r="J800" s="111">
        <v>10.0</v>
      </c>
      <c r="K800" s="98"/>
      <c r="L800" s="104"/>
      <c r="M800" s="98">
        <v>10.0</v>
      </c>
      <c r="N800" s="103" t="str">
        <f>IFERROR(__xludf.DUMMYFUNCTION("""COMPUTED_VALUE"""),"")</f>
        <v/>
      </c>
      <c r="O800" s="104"/>
      <c r="P800" s="104"/>
      <c r="Q800" s="104"/>
      <c r="R800" s="104" t="s">
        <v>4524</v>
      </c>
      <c r="S800" s="104" t="s">
        <v>39</v>
      </c>
      <c r="T800" s="104" t="s">
        <v>4525</v>
      </c>
      <c r="U800" s="104"/>
      <c r="V800" s="104" t="s">
        <v>4525</v>
      </c>
      <c r="W800" s="104"/>
    </row>
    <row r="801">
      <c r="A801" s="105">
        <v>45960.0</v>
      </c>
      <c r="B801" s="79" t="str">
        <f>IFERROR(__xludf.DUMMYFUNCTION("""COMPUTED_VALUE"""),"BWH-PO-PAJ-2A-4B")</f>
        <v>BWH-PO-PAJ-2A-4B</v>
      </c>
      <c r="C801" s="104"/>
      <c r="D801" s="104"/>
      <c r="E801" s="104" t="str">
        <f>IFERROR(__xludf.DUMMYFUNCTION("""COMPUTED_VALUE"""),"AN-PO-3-MU-1")</f>
        <v>AN-PO-3-MU-1</v>
      </c>
      <c r="F801" s="98">
        <v>7.8</v>
      </c>
      <c r="G801" s="110"/>
      <c r="H801" s="98"/>
      <c r="I801" s="98"/>
      <c r="J801" s="111">
        <v>10.0</v>
      </c>
      <c r="K801" s="111">
        <v>10.0</v>
      </c>
      <c r="L801" s="104"/>
      <c r="M801" s="98">
        <v>10.0</v>
      </c>
      <c r="N801" s="103" t="str">
        <f>IFERROR(__xludf.DUMMYFUNCTION("""COMPUTED_VALUE"""),"")</f>
        <v/>
      </c>
      <c r="O801" s="104"/>
      <c r="P801" s="104"/>
      <c r="Q801" s="104"/>
      <c r="R801" s="104" t="s">
        <v>4526</v>
      </c>
      <c r="S801" s="104" t="s">
        <v>39</v>
      </c>
      <c r="T801" s="104" t="s">
        <v>4527</v>
      </c>
      <c r="U801" s="104"/>
      <c r="V801" s="104" t="s">
        <v>4527</v>
      </c>
      <c r="W801" s="104"/>
    </row>
    <row r="802">
      <c r="A802" s="105">
        <v>45960.0</v>
      </c>
      <c r="B802" s="79" t="str">
        <f>IFERROR(__xludf.DUMMYFUNCTION("""COMPUTED_VALUE"""),"BPF-SE-SOP-2C")</f>
        <v>BPF-SE-SOP-2C</v>
      </c>
      <c r="C802" s="104"/>
      <c r="D802" s="104"/>
      <c r="E802" s="104" t="str">
        <f>IFERROR(__xludf.DUMMYFUNCTION("""COMPUTED_VALUE"""),"AN-PO-3-MU-1")</f>
        <v>AN-PO-3-MU-1</v>
      </c>
      <c r="F802" s="98">
        <v>0.0</v>
      </c>
      <c r="G802" s="110"/>
      <c r="H802" s="98"/>
      <c r="I802" s="98"/>
      <c r="J802" s="111">
        <v>10.0</v>
      </c>
      <c r="K802" s="98"/>
      <c r="L802" s="104"/>
      <c r="M802" s="98">
        <v>10.0</v>
      </c>
      <c r="N802" s="103" t="str">
        <f>IFERROR(__xludf.DUMMYFUNCTION("""COMPUTED_VALUE"""),"")</f>
        <v/>
      </c>
      <c r="O802" s="104"/>
      <c r="P802" s="104"/>
      <c r="Q802" s="104"/>
      <c r="R802" s="104" t="s">
        <v>4528</v>
      </c>
      <c r="S802" s="104" t="s">
        <v>39</v>
      </c>
      <c r="T802" s="104" t="s">
        <v>4529</v>
      </c>
      <c r="U802" s="104"/>
      <c r="V802" s="104" t="s">
        <v>4529</v>
      </c>
      <c r="W802" s="104"/>
    </row>
    <row r="803">
      <c r="A803" s="105">
        <v>45959.0</v>
      </c>
      <c r="B803" s="79" t="str">
        <f>IFERROR(__xludf.DUMMYFUNCTION("""COMPUTED_VALUE"""),"HS-BE-AW-1U")</f>
        <v>HS-BE-AW-1U</v>
      </c>
      <c r="C803" s="104"/>
      <c r="D803" s="104"/>
      <c r="E803" s="104" t="str">
        <f>IFERROR(__xludf.DUMMYFUNCTION("""COMPUTED_VALUE"""),"YA-PO-2-CL-1")</f>
        <v>YA-PO-2-CL-1</v>
      </c>
      <c r="F803" s="98">
        <v>0.0</v>
      </c>
      <c r="G803" s="110"/>
      <c r="H803" s="98"/>
      <c r="I803" s="98"/>
      <c r="J803" s="111">
        <v>10.0</v>
      </c>
      <c r="K803" s="98"/>
      <c r="L803" s="104"/>
      <c r="M803" s="98">
        <v>10.0</v>
      </c>
      <c r="N803" s="103" t="str">
        <f>IFERROR(__xludf.DUMMYFUNCTION("""COMPUTED_VALUE"""),"")</f>
        <v/>
      </c>
      <c r="O803" s="104"/>
      <c r="P803" s="104"/>
      <c r="Q803" s="104"/>
      <c r="R803" s="104" t="s">
        <v>4530</v>
      </c>
      <c r="S803" s="104" t="s">
        <v>39</v>
      </c>
      <c r="T803" s="104" t="s">
        <v>4531</v>
      </c>
      <c r="U803" s="104"/>
      <c r="V803" s="104" t="s">
        <v>4531</v>
      </c>
      <c r="W803" s="104"/>
    </row>
    <row r="804">
      <c r="A804" s="105">
        <v>45959.0</v>
      </c>
      <c r="B804" s="79" t="str">
        <f>IFERROR(__xludf.DUMMYFUNCTION("""COMPUTED_VALUE"""),"HS-BE-AW-1T")</f>
        <v>HS-BE-AW-1T</v>
      </c>
      <c r="C804" s="104"/>
      <c r="D804" s="104"/>
      <c r="E804" s="104" t="str">
        <f>IFERROR(__xludf.DUMMYFUNCTION("""COMPUTED_VALUE"""),"YA-PO-2-CL-1")</f>
        <v>YA-PO-2-CL-1</v>
      </c>
      <c r="F804" s="98">
        <v>0.0</v>
      </c>
      <c r="G804" s="110"/>
      <c r="H804" s="98"/>
      <c r="I804" s="98"/>
      <c r="J804" s="111">
        <v>10.0</v>
      </c>
      <c r="K804" s="98"/>
      <c r="L804" s="104"/>
      <c r="M804" s="98">
        <v>10.0</v>
      </c>
      <c r="N804" s="103" t="str">
        <f>IFERROR(__xludf.DUMMYFUNCTION("""COMPUTED_VALUE"""),"")</f>
        <v/>
      </c>
      <c r="O804" s="104"/>
      <c r="P804" s="104"/>
      <c r="Q804" s="104"/>
      <c r="R804" s="104" t="s">
        <v>4532</v>
      </c>
      <c r="S804" s="104" t="s">
        <v>39</v>
      </c>
      <c r="T804" s="104" t="s">
        <v>4533</v>
      </c>
      <c r="U804" s="104"/>
      <c r="V804" s="104" t="s">
        <v>4533</v>
      </c>
      <c r="W804" s="104"/>
    </row>
    <row r="805">
      <c r="A805" s="105">
        <v>45969.0</v>
      </c>
      <c r="B805" s="79" t="str">
        <f>IFERROR(__xludf.DUMMYFUNCTION("""COMPUTED_VALUE"""),"HS-BE-AW-1L")</f>
        <v>HS-BE-AW-1L</v>
      </c>
      <c r="C805" s="104"/>
      <c r="D805" s="104"/>
      <c r="E805" s="104" t="str">
        <f>IFERROR(__xludf.DUMMYFUNCTION("""COMPUTED_VALUE"""),"ST-PO-3-NU-1")</f>
        <v>ST-PO-3-NU-1</v>
      </c>
      <c r="F805" s="98">
        <v>0.0</v>
      </c>
      <c r="G805" s="110"/>
      <c r="H805" s="98"/>
      <c r="I805" s="98"/>
      <c r="J805" s="111">
        <v>6.0</v>
      </c>
      <c r="K805" s="98"/>
      <c r="L805" s="104"/>
      <c r="M805" s="98">
        <v>6.0</v>
      </c>
      <c r="N805" s="103" t="str">
        <f>IFERROR(__xludf.DUMMYFUNCTION("""COMPUTED_VALUE"""),"")</f>
        <v/>
      </c>
      <c r="O805" s="104"/>
      <c r="P805" s="102" t="s">
        <v>1692</v>
      </c>
      <c r="Q805" s="104"/>
      <c r="R805" s="104" t="s">
        <v>4534</v>
      </c>
      <c r="S805" s="104" t="s">
        <v>39</v>
      </c>
      <c r="T805" s="104" t="s">
        <v>4535</v>
      </c>
      <c r="U805" s="104"/>
      <c r="V805" s="104" t="s">
        <v>4535</v>
      </c>
      <c r="W805" s="104"/>
    </row>
    <row r="806">
      <c r="A806" s="105">
        <v>45918.0</v>
      </c>
      <c r="B806" s="79" t="str">
        <f>IFERROR(__xludf.DUMMYFUNCTION("""COMPUTED_VALUE"""),"HS-PH-HL-1H")</f>
        <v>HS-PH-HL-1H</v>
      </c>
      <c r="C806" s="104"/>
      <c r="D806" s="104"/>
      <c r="E806" s="104" t="str">
        <f>IFERROR(__xludf.DUMMYFUNCTION("""COMPUTED_VALUE"""),"RO-PO-4-CL-2")</f>
        <v>RO-PO-4-CL-2</v>
      </c>
      <c r="F806" s="98">
        <v>0.0</v>
      </c>
      <c r="G806" s="110"/>
      <c r="H806" s="98"/>
      <c r="I806" s="98"/>
      <c r="J806" s="111">
        <v>3.0</v>
      </c>
      <c r="K806" s="98"/>
      <c r="L806" s="104"/>
      <c r="M806" s="98">
        <v>3.0</v>
      </c>
      <c r="N806" s="103" t="str">
        <f>IFERROR(__xludf.DUMMYFUNCTION("""COMPUTED_VALUE"""),"")</f>
        <v/>
      </c>
      <c r="O806" s="104"/>
      <c r="P806" s="104"/>
      <c r="Q806" s="104"/>
      <c r="R806" s="104" t="s">
        <v>4536</v>
      </c>
      <c r="S806" s="104" t="s">
        <v>39</v>
      </c>
      <c r="T806" s="104" t="s">
        <v>4537</v>
      </c>
      <c r="U806" s="104"/>
      <c r="V806" s="104" t="s">
        <v>4537</v>
      </c>
      <c r="W806" s="104"/>
    </row>
    <row r="807">
      <c r="A807" s="105">
        <v>45894.0</v>
      </c>
      <c r="B807" s="79" t="str">
        <f>IFERROR(__xludf.DUMMYFUNCTION("""COMPUTED_VALUE"""),"HS-PH-BRL-1E")</f>
        <v>HS-PH-BRL-1E</v>
      </c>
      <c r="C807" s="104"/>
      <c r="D807" s="104"/>
      <c r="E807" s="104" t="str">
        <f>IFERROR(__xludf.DUMMYFUNCTION("""COMPUTED_VALUE"""),"EB-PO-4-DO-1")</f>
        <v>EB-PO-4-DO-1</v>
      </c>
      <c r="F807" s="98">
        <v>0.0</v>
      </c>
      <c r="G807" s="110"/>
      <c r="H807" s="98"/>
      <c r="I807" s="98"/>
      <c r="J807" s="98"/>
      <c r="K807" s="98"/>
      <c r="L807" s="104"/>
      <c r="M807" s="98" t="s">
        <v>39</v>
      </c>
      <c r="N807" s="103" t="str">
        <f>IFERROR(__xludf.DUMMYFUNCTION("""COMPUTED_VALUE"""),"")</f>
        <v/>
      </c>
      <c r="O807" s="104"/>
      <c r="P807" s="104"/>
      <c r="Q807" s="104"/>
      <c r="R807" s="104" t="s">
        <v>4538</v>
      </c>
      <c r="S807" s="104" t="s">
        <v>39</v>
      </c>
      <c r="T807" s="104" t="s">
        <v>4539</v>
      </c>
      <c r="U807" s="104"/>
      <c r="V807" s="104" t="s">
        <v>4539</v>
      </c>
      <c r="W807" s="104"/>
    </row>
    <row r="808">
      <c r="A808" s="105">
        <v>45928.0</v>
      </c>
      <c r="B808" s="79" t="str">
        <f>IFERROR(__xludf.DUMMYFUNCTION("""COMPUTED_VALUE"""),"HS-PO-GO-1M")</f>
        <v>HS-PO-GO-1M</v>
      </c>
      <c r="C808" s="104"/>
      <c r="D808" s="104"/>
      <c r="E808" s="104" t="str">
        <f>IFERROR(__xludf.DUMMYFUNCTION("""COMPUTED_VALUE"""),"YA-PO-2-CL-1")</f>
        <v>YA-PO-2-CL-1</v>
      </c>
      <c r="F808" s="98">
        <v>0.0</v>
      </c>
      <c r="G808" s="110"/>
      <c r="H808" s="98"/>
      <c r="I808" s="98"/>
      <c r="J808" s="98"/>
      <c r="K808" s="98"/>
      <c r="L808" s="104"/>
      <c r="M808" s="98" t="s">
        <v>39</v>
      </c>
      <c r="N808" s="103" t="str">
        <f>IFERROR(__xludf.DUMMYFUNCTION("""COMPUTED_VALUE"""),"")</f>
        <v/>
      </c>
      <c r="O808" s="104"/>
      <c r="P808" s="104"/>
      <c r="Q808" s="104"/>
      <c r="R808" s="104" t="s">
        <v>4540</v>
      </c>
      <c r="S808" s="104" t="s">
        <v>39</v>
      </c>
      <c r="T808" s="104" t="s">
        <v>4541</v>
      </c>
      <c r="U808" s="104"/>
      <c r="V808" s="104" t="s">
        <v>4541</v>
      </c>
      <c r="W808" s="104"/>
    </row>
    <row r="809">
      <c r="A809" s="105">
        <v>45976.0</v>
      </c>
      <c r="B809" s="79" t="str">
        <f>IFERROR(__xludf.DUMMYFUNCTION("""COMPUTED_VALUE"""),"AGP-SYN-EC-1B")</f>
        <v>AGP-SYN-EC-1B</v>
      </c>
      <c r="C809" s="104"/>
      <c r="D809" s="104"/>
      <c r="E809" s="104" t="str">
        <f>IFERROR(__xludf.DUMMYFUNCTION("""COMPUTED_VALUE"""),"GA-PO-4-WH-1")</f>
        <v>GA-PO-4-WH-1</v>
      </c>
      <c r="F809" s="98">
        <v>8.25</v>
      </c>
      <c r="G809" s="110"/>
      <c r="H809" s="98"/>
      <c r="I809" s="98"/>
      <c r="J809" s="98"/>
      <c r="K809" s="98"/>
      <c r="L809" s="104"/>
      <c r="M809" s="98" t="s">
        <v>39</v>
      </c>
      <c r="N809" s="103" t="str">
        <f>IFERROR(__xludf.DUMMYFUNCTION("""COMPUTED_VALUE"""),"")</f>
        <v/>
      </c>
      <c r="O809" s="104"/>
      <c r="P809" s="104"/>
      <c r="Q809" s="104"/>
      <c r="R809" s="104" t="s">
        <v>4542</v>
      </c>
      <c r="S809" s="104" t="s">
        <v>39</v>
      </c>
      <c r="T809" s="104" t="s">
        <v>4543</v>
      </c>
      <c r="U809" s="104"/>
      <c r="V809" s="104" t="s">
        <v>4543</v>
      </c>
      <c r="W809" s="104"/>
    </row>
    <row r="810">
      <c r="A810" s="105">
        <v>45976.0</v>
      </c>
      <c r="B810" s="79" t="str">
        <f>IFERROR(__xludf.DUMMYFUNCTION("""COMPUTED_VALUE"""),"AGP-SYN-EC-1C")</f>
        <v>AGP-SYN-EC-1C</v>
      </c>
      <c r="C810" s="104"/>
      <c r="D810" s="104"/>
      <c r="E810" s="104" t="str">
        <f>IFERROR(__xludf.DUMMYFUNCTION("""COMPUTED_VALUE"""),"GA-PO-4-WH-1")</f>
        <v>GA-PO-4-WH-1</v>
      </c>
      <c r="F810" s="98">
        <v>8.25</v>
      </c>
      <c r="G810" s="110"/>
      <c r="H810" s="98"/>
      <c r="I810" s="98"/>
      <c r="J810" s="98"/>
      <c r="K810" s="98"/>
      <c r="L810" s="104"/>
      <c r="M810" s="98" t="s">
        <v>39</v>
      </c>
      <c r="N810" s="103" t="str">
        <f>IFERROR(__xludf.DUMMYFUNCTION("""COMPUTED_VALUE"""),"")</f>
        <v/>
      </c>
      <c r="O810" s="104"/>
      <c r="P810" s="104"/>
      <c r="Q810" s="104"/>
      <c r="R810" s="104" t="s">
        <v>4544</v>
      </c>
      <c r="S810" s="104" t="s">
        <v>39</v>
      </c>
      <c r="T810" s="104" t="s">
        <v>4545</v>
      </c>
      <c r="U810" s="104"/>
      <c r="V810" s="104" t="s">
        <v>4545</v>
      </c>
      <c r="W810" s="104"/>
    </row>
    <row r="811">
      <c r="A811" s="105">
        <v>45976.0</v>
      </c>
      <c r="B811" s="79" t="str">
        <f>IFERROR(__xludf.DUMMYFUNCTION("""COMPUTED_VALUE"""),"AGP-SYN-EC-1D")</f>
        <v>AGP-SYN-EC-1D</v>
      </c>
      <c r="C811" s="104"/>
      <c r="D811" s="104"/>
      <c r="E811" s="104" t="str">
        <f>IFERROR(__xludf.DUMMYFUNCTION("""COMPUTED_VALUE"""),"MA-PO-4-SW-1")</f>
        <v>MA-PO-4-SW-1</v>
      </c>
      <c r="F811" s="98">
        <v>8.25</v>
      </c>
      <c r="G811" s="110"/>
      <c r="H811" s="98"/>
      <c r="I811" s="98"/>
      <c r="J811" s="98"/>
      <c r="K811" s="98"/>
      <c r="L811" s="104"/>
      <c r="M811" s="98" t="s">
        <v>39</v>
      </c>
      <c r="N811" s="103" t="str">
        <f>IFERROR(__xludf.DUMMYFUNCTION("""COMPUTED_VALUE"""),"")</f>
        <v/>
      </c>
      <c r="O811" s="104"/>
      <c r="P811" s="104"/>
      <c r="Q811" s="104"/>
      <c r="R811" s="104" t="s">
        <v>4546</v>
      </c>
      <c r="S811" s="104" t="s">
        <v>39</v>
      </c>
      <c r="T811" s="104" t="s">
        <v>4547</v>
      </c>
      <c r="U811" s="104"/>
      <c r="V811" s="104" t="s">
        <v>4547</v>
      </c>
      <c r="W811" s="104"/>
    </row>
    <row r="812">
      <c r="A812" s="105">
        <v>45899.0</v>
      </c>
      <c r="B812" s="79" t="str">
        <f>IFERROR(__xludf.DUMMYFUNCTION("""COMPUTED_VALUE"""),"FM-PH-WK-1B")</f>
        <v>FM-PH-WK-1B</v>
      </c>
      <c r="C812" s="104"/>
      <c r="D812" s="104"/>
      <c r="E812" s="104" t="str">
        <f>IFERROR(__xludf.DUMMYFUNCTION("""COMPUTED_VALUE"""),"EC-PO-5-SW-1")</f>
        <v>EC-PO-5-SW-1</v>
      </c>
      <c r="F812" s="98">
        <v>15.0</v>
      </c>
      <c r="G812" s="110"/>
      <c r="H812" s="98"/>
      <c r="I812" s="98"/>
      <c r="J812" s="98"/>
      <c r="K812" s="98"/>
      <c r="L812" s="104"/>
      <c r="M812" s="98" t="s">
        <v>39</v>
      </c>
      <c r="N812" s="103" t="str">
        <f>IFERROR(__xludf.DUMMYFUNCTION("""COMPUTED_VALUE"""),"")</f>
        <v/>
      </c>
      <c r="O812" s="104"/>
      <c r="P812" s="104"/>
      <c r="Q812" s="104"/>
      <c r="R812" s="104" t="s">
        <v>4548</v>
      </c>
      <c r="S812" s="104" t="s">
        <v>39</v>
      </c>
      <c r="T812" s="104" t="s">
        <v>4549</v>
      </c>
      <c r="U812" s="104"/>
      <c r="V812" s="104" t="s">
        <v>4549</v>
      </c>
      <c r="W812" s="104"/>
    </row>
    <row r="813">
      <c r="A813" s="105">
        <v>45899.0</v>
      </c>
      <c r="B813" s="79" t="str">
        <f>IFERROR(__xludf.DUMMYFUNCTION("""COMPUTED_VALUE"""),"HS-DR-SP-1B")</f>
        <v>HS-DR-SP-1B</v>
      </c>
      <c r="C813" s="104"/>
      <c r="D813" s="104"/>
      <c r="E813" s="104" t="str">
        <f>IFERROR(__xludf.DUMMYFUNCTION("""COMPUTED_VALUE"""),"TO-PO-4-MU-1")</f>
        <v>TO-PO-4-MU-1</v>
      </c>
      <c r="F813" s="98">
        <v>0.0</v>
      </c>
      <c r="G813" s="110"/>
      <c r="H813" s="98"/>
      <c r="I813" s="98"/>
      <c r="J813" s="98"/>
      <c r="K813" s="98"/>
      <c r="L813" s="104"/>
      <c r="M813" s="98" t="s">
        <v>39</v>
      </c>
      <c r="N813" s="103" t="str">
        <f>IFERROR(__xludf.DUMMYFUNCTION("""COMPUTED_VALUE"""),"")</f>
        <v/>
      </c>
      <c r="O813" s="104"/>
      <c r="P813" s="104"/>
      <c r="Q813" s="104"/>
      <c r="R813" s="104" t="s">
        <v>4550</v>
      </c>
      <c r="S813" s="104" t="s">
        <v>39</v>
      </c>
      <c r="T813" s="104" t="s">
        <v>4551</v>
      </c>
      <c r="U813" s="104"/>
      <c r="V813" s="104" t="s">
        <v>4551</v>
      </c>
      <c r="W813" s="104"/>
    </row>
    <row r="814">
      <c r="A814" s="105">
        <v>45899.0</v>
      </c>
      <c r="B814" s="79" t="str">
        <f>IFERROR(__xludf.DUMMYFUNCTION("""COMPUTED_VALUE"""),"HS-DR-SP-1C")</f>
        <v>HS-DR-SP-1C</v>
      </c>
      <c r="C814" s="104"/>
      <c r="D814" s="104"/>
      <c r="E814" s="104" t="str">
        <f>IFERROR(__xludf.DUMMYFUNCTION("""COMPUTED_VALUE"""),"ZO-PO-4-WL-1")</f>
        <v>ZO-PO-4-WL-1</v>
      </c>
      <c r="F814" s="98">
        <v>0.0</v>
      </c>
      <c r="G814" s="110"/>
      <c r="H814" s="98"/>
      <c r="I814" s="98"/>
      <c r="J814" s="98"/>
      <c r="K814" s="98"/>
      <c r="L814" s="104"/>
      <c r="M814" s="98" t="s">
        <v>39</v>
      </c>
      <c r="N814" s="103" t="str">
        <f>IFERROR(__xludf.DUMMYFUNCTION("""COMPUTED_VALUE"""),"")</f>
        <v/>
      </c>
      <c r="O814" s="104"/>
      <c r="P814" s="104"/>
      <c r="Q814" s="104"/>
      <c r="R814" s="104" t="s">
        <v>4552</v>
      </c>
      <c r="S814" s="104" t="s">
        <v>39</v>
      </c>
      <c r="T814" s="104" t="s">
        <v>4553</v>
      </c>
      <c r="U814" s="104"/>
      <c r="V814" s="104" t="s">
        <v>4553</v>
      </c>
      <c r="W814" s="104"/>
    </row>
    <row r="815">
      <c r="A815" s="105">
        <v>45912.0</v>
      </c>
      <c r="B815" s="79" t="str">
        <f>IFERROR(__xludf.DUMMYFUNCTION("""COMPUTED_VALUE"""),"JJP-PH-PP-1B")</f>
        <v>JJP-PH-PP-1B</v>
      </c>
      <c r="C815" s="104"/>
      <c r="D815" s="104"/>
      <c r="E815" s="104" t="str">
        <f>IFERROR(__xludf.DUMMYFUNCTION("""COMPUTED_VALUE"""),"MU-PO-4-WH-1")</f>
        <v>MU-PO-4-WH-1</v>
      </c>
      <c r="F815" s="98">
        <v>8.495</v>
      </c>
      <c r="G815" s="110"/>
      <c r="H815" s="98"/>
      <c r="I815" s="98"/>
      <c r="J815" s="98"/>
      <c r="K815" s="98"/>
      <c r="L815" s="104"/>
      <c r="M815" s="98" t="s">
        <v>39</v>
      </c>
      <c r="N815" s="103" t="str">
        <f>IFERROR(__xludf.DUMMYFUNCTION("""COMPUTED_VALUE"""),"")</f>
        <v/>
      </c>
      <c r="O815" s="104"/>
      <c r="P815" s="104"/>
      <c r="Q815" s="104"/>
      <c r="R815" s="104" t="s">
        <v>4554</v>
      </c>
      <c r="S815" s="104" t="s">
        <v>39</v>
      </c>
      <c r="T815" s="104" t="s">
        <v>4555</v>
      </c>
      <c r="U815" s="104"/>
      <c r="V815" s="104" t="s">
        <v>4555</v>
      </c>
      <c r="W815" s="104"/>
    </row>
    <row r="816">
      <c r="A816" s="105">
        <v>45957.0</v>
      </c>
      <c r="B816" s="79" t="str">
        <f>IFERROR(__xludf.DUMMYFUNCTION("""COMPUTED_VALUE"""),"BPF-CE-VSH-1B")</f>
        <v>BPF-CE-VSH-1B</v>
      </c>
      <c r="C816" s="104"/>
      <c r="D816" s="104"/>
      <c r="E816" s="104" t="str">
        <f>IFERROR(__xludf.DUMMYFUNCTION("""COMPUTED_VALUE"""),"YA-PO-2-CL-1")</f>
        <v>YA-PO-2-CL-1</v>
      </c>
      <c r="F816" s="98">
        <v>19.49</v>
      </c>
      <c r="G816" s="110"/>
      <c r="H816" s="98"/>
      <c r="I816" s="98"/>
      <c r="J816" s="98"/>
      <c r="K816" s="98"/>
      <c r="L816" s="104"/>
      <c r="M816" s="98" t="s">
        <v>39</v>
      </c>
      <c r="N816" s="103" t="str">
        <f>IFERROR(__xludf.DUMMYFUNCTION("""COMPUTED_VALUE"""),"")</f>
        <v/>
      </c>
      <c r="O816" s="104"/>
      <c r="P816" s="104"/>
      <c r="Q816" s="104"/>
      <c r="R816" s="104" t="s">
        <v>4556</v>
      </c>
      <c r="S816" s="104" t="s">
        <v>39</v>
      </c>
      <c r="T816" s="104" t="s">
        <v>4557</v>
      </c>
      <c r="U816" s="104"/>
      <c r="V816" s="104" t="s">
        <v>4557</v>
      </c>
      <c r="W816" s="104"/>
    </row>
    <row r="817">
      <c r="A817" s="105">
        <v>45980.0</v>
      </c>
      <c r="B817" s="79" t="str">
        <f>IFERROR(__xludf.DUMMYFUNCTION("""COMPUTED_VALUE"""),"TLC-BE-BR-1B")</f>
        <v>TLC-BE-BR-1B</v>
      </c>
      <c r="C817" s="104"/>
      <c r="D817" s="104"/>
      <c r="E817" s="104" t="str">
        <f>IFERROR(__xludf.DUMMYFUNCTION("""COMPUTED_VALUE"""),"MU-PO-3-MU-1")</f>
        <v>MU-PO-3-MU-1</v>
      </c>
      <c r="F817" s="98">
        <v>10.0</v>
      </c>
      <c r="G817" s="110"/>
      <c r="H817" s="98"/>
      <c r="I817" s="98"/>
      <c r="J817" s="98"/>
      <c r="K817" s="98"/>
      <c r="L817" s="104"/>
      <c r="M817" s="98" t="s">
        <v>39</v>
      </c>
      <c r="N817" s="103" t="str">
        <f>IFERROR(__xludf.DUMMYFUNCTION("""COMPUTED_VALUE"""),"")</f>
        <v/>
      </c>
      <c r="O817" s="104"/>
      <c r="P817" s="104"/>
      <c r="Q817" s="104"/>
      <c r="R817" s="104" t="s">
        <v>4558</v>
      </c>
      <c r="S817" s="104" t="s">
        <v>39</v>
      </c>
      <c r="T817" s="104" t="s">
        <v>4559</v>
      </c>
      <c r="U817" s="104"/>
      <c r="V817" s="104" t="s">
        <v>4559</v>
      </c>
      <c r="W817" s="104"/>
    </row>
    <row r="818">
      <c r="A818" s="105">
        <v>45980.0</v>
      </c>
      <c r="B818" s="79" t="str">
        <f>IFERROR(__xludf.DUMMYFUNCTION("""COMPUTED_VALUE"""),"IST-PH-GL-1B")</f>
        <v>IST-PH-GL-1B</v>
      </c>
      <c r="C818" s="104"/>
      <c r="D818" s="104"/>
      <c r="E818" s="104" t="str">
        <f>IFERROR(__xludf.DUMMYFUNCTION("""COMPUTED_VALUE"""),"GA-PO-4-BL-1")</f>
        <v>GA-PO-4-BL-1</v>
      </c>
      <c r="F818" s="98">
        <v>4.666666666666667</v>
      </c>
      <c r="G818" s="110"/>
      <c r="H818" s="98"/>
      <c r="I818" s="98"/>
      <c r="J818" s="98"/>
      <c r="K818" s="98"/>
      <c r="L818" s="104"/>
      <c r="M818" s="98" t="s">
        <v>39</v>
      </c>
      <c r="N818" s="103" t="str">
        <f>IFERROR(__xludf.DUMMYFUNCTION("""COMPUTED_VALUE"""),"")</f>
        <v/>
      </c>
      <c r="O818" s="104"/>
      <c r="P818" s="104"/>
      <c r="Q818" s="104"/>
      <c r="R818" s="104" t="s">
        <v>4560</v>
      </c>
      <c r="S818" s="104" t="s">
        <v>39</v>
      </c>
      <c r="T818" s="104" t="s">
        <v>4561</v>
      </c>
      <c r="U818" s="104"/>
      <c r="V818" s="104" t="s">
        <v>4561</v>
      </c>
      <c r="W818" s="104"/>
    </row>
    <row r="819">
      <c r="A819" s="105">
        <v>45980.0</v>
      </c>
      <c r="B819" s="79" t="str">
        <f>IFERROR(__xludf.DUMMYFUNCTION("""COMPUTED_VALUE"""),"IST-PH-GL-1C")</f>
        <v>IST-PH-GL-1C</v>
      </c>
      <c r="C819" s="104"/>
      <c r="D819" s="104"/>
      <c r="E819" s="104" t="str">
        <f>IFERROR(__xludf.DUMMYFUNCTION("""COMPUTED_VALUE"""),"GA-PO-4-WH-1")</f>
        <v>GA-PO-4-WH-1</v>
      </c>
      <c r="F819" s="98">
        <v>4.666666666666667</v>
      </c>
      <c r="G819" s="110"/>
      <c r="H819" s="98"/>
      <c r="I819" s="98"/>
      <c r="J819" s="98"/>
      <c r="K819" s="98"/>
      <c r="L819" s="104"/>
      <c r="M819" s="98" t="s">
        <v>39</v>
      </c>
      <c r="N819" s="103" t="str">
        <f>IFERROR(__xludf.DUMMYFUNCTION("""COMPUTED_VALUE"""),"")</f>
        <v/>
      </c>
      <c r="O819" s="104"/>
      <c r="P819" s="104"/>
      <c r="Q819" s="104"/>
      <c r="R819" s="104" t="s">
        <v>4562</v>
      </c>
      <c r="S819" s="104" t="s">
        <v>39</v>
      </c>
      <c r="T819" s="104" t="s">
        <v>4563</v>
      </c>
      <c r="U819" s="104"/>
      <c r="V819" s="104" t="s">
        <v>4563</v>
      </c>
      <c r="W819" s="104"/>
    </row>
    <row r="820">
      <c r="A820" s="105">
        <v>45980.0</v>
      </c>
      <c r="B820" s="79" t="str">
        <f>IFERROR(__xludf.DUMMYFUNCTION("""COMPUTED_VALUE"""),"TLC-SYN-AU-1B")</f>
        <v>TLC-SYN-AU-1B</v>
      </c>
      <c r="C820" s="104"/>
      <c r="D820" s="104"/>
      <c r="E820" s="104" t="str">
        <f>IFERROR(__xludf.DUMMYFUNCTION("""COMPUTED_VALUE"""),"MU-PO-3-MU-1")</f>
        <v>MU-PO-3-MU-1</v>
      </c>
      <c r="F820" s="98">
        <v>10.0</v>
      </c>
      <c r="G820" s="110"/>
      <c r="H820" s="98"/>
      <c r="I820" s="98"/>
      <c r="J820" s="98"/>
      <c r="K820" s="98"/>
      <c r="L820" s="104"/>
      <c r="M820" s="98" t="s">
        <v>39</v>
      </c>
      <c r="N820" s="103" t="str">
        <f>IFERROR(__xludf.DUMMYFUNCTION("""COMPUTED_VALUE"""),"")</f>
        <v/>
      </c>
      <c r="O820" s="104"/>
      <c r="P820" s="104"/>
      <c r="Q820" s="104"/>
      <c r="R820" s="104" t="s">
        <v>4564</v>
      </c>
      <c r="S820" s="104" t="s">
        <v>39</v>
      </c>
      <c r="T820" s="104" t="s">
        <v>4565</v>
      </c>
      <c r="U820" s="104"/>
      <c r="V820" s="104" t="s">
        <v>4565</v>
      </c>
      <c r="W820" s="104"/>
    </row>
    <row r="821">
      <c r="A821" s="105">
        <v>45980.0</v>
      </c>
      <c r="B821" s="79" t="str">
        <f>IFERROR(__xludf.DUMMYFUNCTION("""COMPUTED_VALUE"""),"TLC-PH-BXP-1B")</f>
        <v>TLC-PH-BXP-1B</v>
      </c>
      <c r="C821" s="104"/>
      <c r="D821" s="104"/>
      <c r="E821" s="104" t="str">
        <f>IFERROR(__xludf.DUMMYFUNCTION("""COMPUTED_VALUE"""),"GA-PO-4-BL-1")</f>
        <v>GA-PO-4-BL-1</v>
      </c>
      <c r="F821" s="98">
        <v>12.0</v>
      </c>
      <c r="G821" s="110"/>
      <c r="H821" s="98"/>
      <c r="I821" s="98"/>
      <c r="J821" s="98"/>
      <c r="K821" s="98"/>
      <c r="L821" s="104"/>
      <c r="M821" s="98" t="s">
        <v>39</v>
      </c>
      <c r="N821" s="103" t="str">
        <f>IFERROR(__xludf.DUMMYFUNCTION("""COMPUTED_VALUE"""),"")</f>
        <v/>
      </c>
      <c r="O821" s="104"/>
      <c r="P821" s="104"/>
      <c r="Q821" s="104"/>
      <c r="R821" s="104" t="s">
        <v>4566</v>
      </c>
      <c r="S821" s="104" t="s">
        <v>39</v>
      </c>
      <c r="T821" s="104" t="s">
        <v>4567</v>
      </c>
      <c r="U821" s="104"/>
      <c r="V821" s="104" t="s">
        <v>4567</v>
      </c>
      <c r="W821" s="104"/>
    </row>
    <row r="822">
      <c r="A822" s="105">
        <v>45981.0</v>
      </c>
      <c r="B822" s="79" t="str">
        <f>IFERROR(__xludf.DUMMYFUNCTION("""COMPUTED_VALUE"""),"DSE-COL-MOJ-1A-9B")</f>
        <v>DSE-COL-MOJ-1A-9B</v>
      </c>
      <c r="C822" s="104"/>
      <c r="D822" s="104"/>
      <c r="E822" s="104" t="str">
        <f>IFERROR(__xludf.DUMMYFUNCTION("""COMPUTED_VALUE"""),"YA-PO-2-CL-1")</f>
        <v>YA-PO-2-CL-1</v>
      </c>
      <c r="F822" s="98">
        <v>0.975</v>
      </c>
      <c r="G822" s="110"/>
      <c r="H822" s="98"/>
      <c r="I822" s="98"/>
      <c r="J822" s="98"/>
      <c r="K822" s="98"/>
      <c r="L822" s="104"/>
      <c r="M822" s="98" t="s">
        <v>39</v>
      </c>
      <c r="N822" s="103" t="str">
        <f>IFERROR(__xludf.DUMMYFUNCTION("""COMPUTED_VALUE"""),"")</f>
        <v/>
      </c>
      <c r="O822" s="104"/>
      <c r="P822" s="104"/>
      <c r="Q822" s="104"/>
      <c r="R822" s="104" t="s">
        <v>4568</v>
      </c>
      <c r="S822" s="104" t="s">
        <v>39</v>
      </c>
      <c r="T822" s="104" t="s">
        <v>4569</v>
      </c>
      <c r="U822" s="104"/>
      <c r="V822" s="104" t="s">
        <v>4569</v>
      </c>
      <c r="W822" s="104"/>
    </row>
    <row r="823">
      <c r="A823" s="105">
        <v>45983.0</v>
      </c>
      <c r="B823" s="79" t="str">
        <f>IFERROR(__xludf.DUMMYFUNCTION("""COMPUTED_VALUE"""),"TLC-BE-MAC-1B")</f>
        <v>TLC-BE-MAC-1B</v>
      </c>
      <c r="C823" s="104"/>
      <c r="D823" s="104"/>
      <c r="E823" s="104" t="str">
        <f>IFERROR(__xludf.DUMMYFUNCTION("""COMPUTED_VALUE"""),"MU-PO-3-MU-1")</f>
        <v>MU-PO-3-MU-1</v>
      </c>
      <c r="F823" s="98">
        <v>8.0</v>
      </c>
      <c r="G823" s="110"/>
      <c r="H823" s="98"/>
      <c r="I823" s="98"/>
      <c r="J823" s="98"/>
      <c r="K823" s="98"/>
      <c r="L823" s="104"/>
      <c r="M823" s="98" t="s">
        <v>39</v>
      </c>
      <c r="N823" s="103" t="str">
        <f>IFERROR(__xludf.DUMMYFUNCTION("""COMPUTED_VALUE"""),"")</f>
        <v/>
      </c>
      <c r="O823" s="104"/>
      <c r="P823" s="104"/>
      <c r="Q823" s="104"/>
      <c r="R823" s="104" t="s">
        <v>4570</v>
      </c>
      <c r="S823" s="104" t="s">
        <v>39</v>
      </c>
      <c r="T823" s="104" t="s">
        <v>4571</v>
      </c>
      <c r="U823" s="104"/>
      <c r="V823" s="104" t="s">
        <v>4571</v>
      </c>
      <c r="W823" s="104"/>
    </row>
    <row r="824">
      <c r="A824" s="105">
        <v>45987.0</v>
      </c>
      <c r="B824" s="79" t="str">
        <f>IFERROR(__xludf.DUMMYFUNCTION("""COMPUTED_VALUE"""),"HS-PO-GO-1O")</f>
        <v>HS-PO-GO-1O</v>
      </c>
      <c r="C824" s="104"/>
      <c r="D824" s="104"/>
      <c r="E824" s="104" t="str">
        <f>IFERROR(__xludf.DUMMYFUNCTION("""COMPUTED_VALUE"""),"WO-PO-6-WH-2")</f>
        <v>WO-PO-6-WH-2</v>
      </c>
      <c r="F824" s="98">
        <v>0.0</v>
      </c>
      <c r="G824" s="110"/>
      <c r="H824" s="98"/>
      <c r="I824" s="98"/>
      <c r="J824" s="111">
        <v>10.0</v>
      </c>
      <c r="K824" s="98"/>
      <c r="L824" s="104"/>
      <c r="M824" s="98">
        <v>10.0</v>
      </c>
      <c r="N824" s="103" t="str">
        <f>IFERROR(__xludf.DUMMYFUNCTION("""COMPUTED_VALUE"""),"")</f>
        <v/>
      </c>
      <c r="O824" s="104"/>
      <c r="P824" s="102" t="s">
        <v>1692</v>
      </c>
      <c r="Q824" s="104"/>
      <c r="R824" s="104" t="s">
        <v>4572</v>
      </c>
      <c r="S824" s="104" t="s">
        <v>39</v>
      </c>
      <c r="T824" s="104" t="s">
        <v>4573</v>
      </c>
      <c r="U824" s="104"/>
      <c r="V824" s="104" t="s">
        <v>4573</v>
      </c>
      <c r="W824" s="104"/>
    </row>
    <row r="825">
      <c r="A825" s="105">
        <v>45987.0</v>
      </c>
      <c r="B825" s="79" t="str">
        <f>IFERROR(__xludf.DUMMYFUNCTION("""COMPUTED_VALUE"""),"HS-PO-GO-1N")</f>
        <v>HS-PO-GO-1N</v>
      </c>
      <c r="C825" s="104"/>
      <c r="D825" s="104"/>
      <c r="E825" s="104" t="str">
        <f>IFERROR(__xludf.DUMMYFUNCTION("""COMPUTED_VALUE"""),"GA-PO-6-BL-1")</f>
        <v>GA-PO-6-BL-1</v>
      </c>
      <c r="F825" s="98">
        <v>0.0</v>
      </c>
      <c r="G825" s="110"/>
      <c r="H825" s="98"/>
      <c r="I825" s="98"/>
      <c r="J825" s="98"/>
      <c r="K825" s="98"/>
      <c r="L825" s="104"/>
      <c r="M825" s="98" t="s">
        <v>39</v>
      </c>
      <c r="N825" s="103" t="str">
        <f>IFERROR(__xludf.DUMMYFUNCTION("""COMPUTED_VALUE"""),"")</f>
        <v/>
      </c>
      <c r="O825" s="104"/>
      <c r="P825" s="104"/>
      <c r="Q825" s="104"/>
      <c r="R825" s="104" t="s">
        <v>4574</v>
      </c>
      <c r="S825" s="104" t="s">
        <v>39</v>
      </c>
      <c r="T825" s="104" t="s">
        <v>4575</v>
      </c>
      <c r="U825" s="104"/>
      <c r="V825" s="104" t="s">
        <v>4575</v>
      </c>
      <c r="W825" s="104"/>
    </row>
    <row r="826">
      <c r="A826" s="105">
        <v>45899.0</v>
      </c>
      <c r="B826" s="79" t="str">
        <f>IFERROR(__xludf.DUMMYFUNCTION("""COMPUTED_VALUE"""),"HS-CT-BM-1B")</f>
        <v>HS-CT-BM-1B</v>
      </c>
      <c r="C826" s="104"/>
      <c r="D826" s="104"/>
      <c r="E826" s="104" t="str">
        <f>IFERROR(__xludf.DUMMYFUNCTION("""COMPUTED_VALUE"""),"ZO-PO-4-WL-1")</f>
        <v>ZO-PO-4-WL-1</v>
      </c>
      <c r="F826" s="98">
        <v>0.0</v>
      </c>
      <c r="G826" s="110"/>
      <c r="H826" s="98"/>
      <c r="I826" s="98"/>
      <c r="J826" s="98"/>
      <c r="K826" s="98"/>
      <c r="L826" s="104"/>
      <c r="M826" s="98" t="s">
        <v>39</v>
      </c>
      <c r="N826" s="103" t="str">
        <f>IFERROR(__xludf.DUMMYFUNCTION("""COMPUTED_VALUE"""),"")</f>
        <v/>
      </c>
      <c r="O826" s="104"/>
      <c r="P826" s="104"/>
      <c r="Q826" s="104"/>
      <c r="R826" s="104" t="s">
        <v>4576</v>
      </c>
      <c r="S826" s="104" t="s">
        <v>39</v>
      </c>
      <c r="T826" s="104" t="s">
        <v>4577</v>
      </c>
      <c r="U826" s="104"/>
      <c r="V826" s="104" t="s">
        <v>4577</v>
      </c>
      <c r="W826" s="104"/>
    </row>
    <row r="827">
      <c r="A827" s="105">
        <v>46005.0</v>
      </c>
      <c r="B827" s="79" t="str">
        <f>IFERROR(__xludf.DUMMYFUNCTION("""COMPUTED_VALUE"""),"TG-CHL-SPI-1B")</f>
        <v>TG-CHL-SPI-1B</v>
      </c>
      <c r="C827" s="104"/>
      <c r="D827" s="104"/>
      <c r="E827" s="104" t="str">
        <f>IFERROR(__xludf.DUMMYFUNCTION("""COMPUTED_VALUE"""),"EC-PO-5-SW-1")</f>
        <v>EC-PO-5-SW-1</v>
      </c>
      <c r="F827" s="98">
        <v>4.75</v>
      </c>
      <c r="G827" s="110"/>
      <c r="H827" s="98"/>
      <c r="I827" s="98"/>
      <c r="J827" s="98"/>
      <c r="K827" s="98"/>
      <c r="L827" s="104"/>
      <c r="M827" s="98" t="s">
        <v>39</v>
      </c>
      <c r="N827" s="103" t="str">
        <f>IFERROR(__xludf.DUMMYFUNCTION("""COMPUTED_VALUE"""),"")</f>
        <v/>
      </c>
      <c r="O827" s="104"/>
      <c r="P827" s="104"/>
      <c r="Q827" s="104"/>
      <c r="R827" s="104" t="s">
        <v>4578</v>
      </c>
      <c r="S827" s="104" t="s">
        <v>39</v>
      </c>
      <c r="T827" s="104" t="s">
        <v>4579</v>
      </c>
      <c r="U827" s="104"/>
      <c r="V827" s="104" t="s">
        <v>4579</v>
      </c>
      <c r="W827" s="104"/>
    </row>
    <row r="828">
      <c r="A828" s="105">
        <v>45914.0</v>
      </c>
      <c r="B828" s="79" t="str">
        <f>IFERROR(__xludf.DUMMYFUNCTION("""COMPUTED_VALUE"""),"AGP-AL-NI-1A-2B")</f>
        <v>AGP-AL-NI-1A-2B</v>
      </c>
      <c r="C828" s="104"/>
      <c r="D828" s="104"/>
      <c r="E828" s="104" t="str">
        <f>IFERROR(__xludf.DUMMYFUNCTION("""COMPUTED_VALUE"""),"HY-PO-3-DO-1")</f>
        <v>HY-PO-3-DO-1</v>
      </c>
      <c r="F828" s="98">
        <v>2.6666666666666665</v>
      </c>
      <c r="G828" s="110"/>
      <c r="H828" s="98"/>
      <c r="I828" s="98"/>
      <c r="J828" s="98"/>
      <c r="K828" s="98"/>
      <c r="L828" s="104"/>
      <c r="M828" s="98" t="s">
        <v>39</v>
      </c>
      <c r="N828" s="103" t="str">
        <f>IFERROR(__xludf.DUMMYFUNCTION("""COMPUTED_VALUE"""),"")</f>
        <v/>
      </c>
      <c r="O828" s="104"/>
      <c r="P828" s="104"/>
      <c r="Q828" s="104"/>
      <c r="R828" s="104" t="s">
        <v>4580</v>
      </c>
      <c r="S828" s="104" t="s">
        <v>39</v>
      </c>
      <c r="T828" s="104" t="s">
        <v>4581</v>
      </c>
      <c r="U828" s="104"/>
      <c r="V828" s="104" t="s">
        <v>4581</v>
      </c>
      <c r="W828" s="104"/>
    </row>
    <row r="829">
      <c r="A829" s="105">
        <v>45914.0</v>
      </c>
      <c r="B829" s="79" t="str">
        <f>IFERROR(__xludf.DUMMYFUNCTION("""COMPUTED_VALUE"""),"AGP-AL-NI-1A-2C")</f>
        <v>AGP-AL-NI-1A-2C</v>
      </c>
      <c r="C829" s="104"/>
      <c r="D829" s="104"/>
      <c r="E829" s="104" t="str">
        <f>IFERROR(__xludf.DUMMYFUNCTION("""COMPUTED_VALUE"""),"HY-PO-3-DO-1")</f>
        <v>HY-PO-3-DO-1</v>
      </c>
      <c r="F829" s="98">
        <v>2.6666666666666665</v>
      </c>
      <c r="G829" s="110"/>
      <c r="H829" s="98"/>
      <c r="I829" s="98"/>
      <c r="J829" s="98"/>
      <c r="K829" s="98"/>
      <c r="L829" s="104"/>
      <c r="M829" s="98" t="s">
        <v>39</v>
      </c>
      <c r="N829" s="103" t="str">
        <f>IFERROR(__xludf.DUMMYFUNCTION("""COMPUTED_VALUE"""),"")</f>
        <v/>
      </c>
      <c r="O829" s="104"/>
      <c r="P829" s="104"/>
      <c r="Q829" s="104"/>
      <c r="R829" s="104" t="s">
        <v>4582</v>
      </c>
      <c r="S829" s="104" t="s">
        <v>39</v>
      </c>
      <c r="T829" s="104" t="s">
        <v>4583</v>
      </c>
      <c r="U829" s="104"/>
      <c r="V829" s="104" t="s">
        <v>4583</v>
      </c>
      <c r="W829" s="104"/>
    </row>
    <row r="830">
      <c r="A830" s="105">
        <v>46007.0</v>
      </c>
      <c r="B830" s="79" t="str">
        <f>IFERROR(__xludf.DUMMYFUNCTION("""COMPUTED_VALUE"""),"TLC-PH-GCN-1B")</f>
        <v>TLC-PH-GCN-1B</v>
      </c>
      <c r="C830" s="104"/>
      <c r="D830" s="104"/>
      <c r="E830" s="104" t="str">
        <f>IFERROR(__xludf.DUMMYFUNCTION("""COMPUTED_VALUE"""),"MU-PO-4-WH-1")</f>
        <v>MU-PO-4-WH-1</v>
      </c>
      <c r="F830" s="98">
        <v>8.0</v>
      </c>
      <c r="G830" s="110"/>
      <c r="H830" s="98"/>
      <c r="I830" s="98"/>
      <c r="J830" s="98"/>
      <c r="K830" s="98"/>
      <c r="L830" s="104"/>
      <c r="M830" s="98" t="s">
        <v>39</v>
      </c>
      <c r="N830" s="103" t="str">
        <f>IFERROR(__xludf.DUMMYFUNCTION("""COMPUTED_VALUE"""),"")</f>
        <v/>
      </c>
      <c r="O830" s="104"/>
      <c r="P830" s="104"/>
      <c r="Q830" s="104"/>
      <c r="R830" s="104" t="s">
        <v>4584</v>
      </c>
      <c r="S830" s="104" t="s">
        <v>39</v>
      </c>
      <c r="T830" s="104" t="s">
        <v>4585</v>
      </c>
      <c r="U830" s="104"/>
      <c r="V830" s="104" t="s">
        <v>4585</v>
      </c>
      <c r="W830" s="104"/>
    </row>
    <row r="831">
      <c r="A831" s="105">
        <v>46007.0</v>
      </c>
      <c r="B831" s="79" t="str">
        <f>IFERROR(__xludf.DUMMYFUNCTION("""COMPUTED_VALUE"""),"TLC-PH-GCN-1C")</f>
        <v>TLC-PH-GCN-1C</v>
      </c>
      <c r="C831" s="104"/>
      <c r="D831" s="104"/>
      <c r="E831" s="104" t="str">
        <f>IFERROR(__xludf.DUMMYFUNCTION("""COMPUTED_VALUE"""),"YA-PO-2-CL-1")</f>
        <v>YA-PO-2-CL-1</v>
      </c>
      <c r="F831" s="98">
        <v>8.0</v>
      </c>
      <c r="G831" s="110"/>
      <c r="H831" s="98"/>
      <c r="I831" s="98"/>
      <c r="J831" s="98"/>
      <c r="K831" s="98"/>
      <c r="L831" s="104"/>
      <c r="M831" s="98" t="s">
        <v>39</v>
      </c>
      <c r="N831" s="103" t="str">
        <f>IFERROR(__xludf.DUMMYFUNCTION("""COMPUTED_VALUE"""),"")</f>
        <v/>
      </c>
      <c r="O831" s="104"/>
      <c r="P831" s="104"/>
      <c r="Q831" s="104"/>
      <c r="R831" s="104" t="s">
        <v>4586</v>
      </c>
      <c r="S831" s="104" t="s">
        <v>39</v>
      </c>
      <c r="T831" s="104" t="s">
        <v>4587</v>
      </c>
      <c r="U831" s="104"/>
      <c r="V831" s="104" t="s">
        <v>4587</v>
      </c>
      <c r="W831" s="104"/>
    </row>
    <row r="832">
      <c r="A832" s="105">
        <v>46007.0</v>
      </c>
      <c r="B832" s="79" t="str">
        <f>IFERROR(__xludf.DUMMYFUNCTION("""COMPUTED_VALUE"""),"TLC-PH-GCN-1D")</f>
        <v>TLC-PH-GCN-1D</v>
      </c>
      <c r="C832" s="104"/>
      <c r="D832" s="104"/>
      <c r="E832" s="104" t="str">
        <f>IFERROR(__xludf.DUMMYFUNCTION("""COMPUTED_VALUE"""),"YA-PO-2-CL-1")</f>
        <v>YA-PO-2-CL-1</v>
      </c>
      <c r="F832" s="98">
        <v>8.0</v>
      </c>
      <c r="G832" s="110"/>
      <c r="H832" s="98"/>
      <c r="I832" s="98"/>
      <c r="J832" s="98"/>
      <c r="K832" s="98"/>
      <c r="L832" s="104"/>
      <c r="M832" s="98" t="s">
        <v>39</v>
      </c>
      <c r="N832" s="103" t="str">
        <f>IFERROR(__xludf.DUMMYFUNCTION("""COMPUTED_VALUE"""),"")</f>
        <v/>
      </c>
      <c r="O832" s="104"/>
      <c r="P832" s="104"/>
      <c r="Q832" s="104"/>
      <c r="R832" s="104" t="s">
        <v>4588</v>
      </c>
      <c r="S832" s="104" t="s">
        <v>39</v>
      </c>
      <c r="T832" s="104" t="s">
        <v>4589</v>
      </c>
      <c r="U832" s="104"/>
      <c r="V832" s="104" t="s">
        <v>4589</v>
      </c>
      <c r="W832" s="104"/>
    </row>
    <row r="833">
      <c r="A833" s="105">
        <v>46007.0</v>
      </c>
      <c r="B833" s="79" t="str">
        <f>IFERROR(__xludf.DUMMYFUNCTION("""COMPUTED_VALUE"""),"TLC-PH-GCN-1E")</f>
        <v>TLC-PH-GCN-1E</v>
      </c>
      <c r="C833" s="104"/>
      <c r="D833" s="104"/>
      <c r="E833" s="104" t="str">
        <f>IFERROR(__xludf.DUMMYFUNCTION("""COMPUTED_VALUE"""),"YA-PO-2-CL-1")</f>
        <v>YA-PO-2-CL-1</v>
      </c>
      <c r="F833" s="98">
        <v>8.0</v>
      </c>
      <c r="G833" s="110"/>
      <c r="H833" s="98"/>
      <c r="I833" s="98"/>
      <c r="J833" s="98"/>
      <c r="K833" s="98"/>
      <c r="L833" s="104"/>
      <c r="M833" s="98" t="s">
        <v>39</v>
      </c>
      <c r="N833" s="103" t="str">
        <f>IFERROR(__xludf.DUMMYFUNCTION("""COMPUTED_VALUE"""),"")</f>
        <v/>
      </c>
      <c r="O833" s="104"/>
      <c r="P833" s="104"/>
      <c r="Q833" s="104"/>
      <c r="R833" s="104" t="s">
        <v>4590</v>
      </c>
      <c r="S833" s="104" t="s">
        <v>39</v>
      </c>
      <c r="T833" s="104" t="s">
        <v>4591</v>
      </c>
      <c r="U833" s="104"/>
      <c r="V833" s="104" t="s">
        <v>4591</v>
      </c>
      <c r="W833" s="104"/>
    </row>
    <row r="834">
      <c r="A834" s="105">
        <v>46007.0</v>
      </c>
      <c r="B834" s="79" t="str">
        <f>IFERROR(__xludf.DUMMYFUNCTION("""COMPUTED_VALUE"""),"AGP-PH-ROF-1B")</f>
        <v>AGP-PH-ROF-1B</v>
      </c>
      <c r="C834" s="104"/>
      <c r="D834" s="104"/>
      <c r="E834" s="104" t="str">
        <f>IFERROR(__xludf.DUMMYFUNCTION("""COMPUTED_VALUE"""),"MU-PO-4-WH-1")</f>
        <v>MU-PO-4-WH-1</v>
      </c>
      <c r="F834" s="98">
        <v>1.6</v>
      </c>
      <c r="G834" s="110"/>
      <c r="H834" s="98"/>
      <c r="I834" s="98"/>
      <c r="J834" s="98"/>
      <c r="K834" s="98"/>
      <c r="L834" s="104"/>
      <c r="M834" s="98" t="s">
        <v>39</v>
      </c>
      <c r="N834" s="103" t="str">
        <f>IFERROR(__xludf.DUMMYFUNCTION("""COMPUTED_VALUE"""),"")</f>
        <v/>
      </c>
      <c r="O834" s="104"/>
      <c r="P834" s="104"/>
      <c r="Q834" s="104"/>
      <c r="R834" s="104" t="s">
        <v>4592</v>
      </c>
      <c r="S834" s="104" t="s">
        <v>39</v>
      </c>
      <c r="T834" s="104" t="s">
        <v>4593</v>
      </c>
      <c r="U834" s="104"/>
      <c r="V834" s="104" t="s">
        <v>4593</v>
      </c>
      <c r="W834" s="104"/>
    </row>
    <row r="835">
      <c r="A835" s="105">
        <v>46007.0</v>
      </c>
      <c r="B835" s="79" t="str">
        <f>IFERROR(__xludf.DUMMYFUNCTION("""COMPUTED_VALUE"""),"AGP-PH-ROF-1C")</f>
        <v>AGP-PH-ROF-1C</v>
      </c>
      <c r="C835" s="104"/>
      <c r="D835" s="104"/>
      <c r="E835" s="104" t="str">
        <f>IFERROR(__xludf.DUMMYFUNCTION("""COMPUTED_VALUE"""),"MU-PO-4-WH-1")</f>
        <v>MU-PO-4-WH-1</v>
      </c>
      <c r="F835" s="98">
        <v>1.6</v>
      </c>
      <c r="G835" s="110"/>
      <c r="H835" s="98"/>
      <c r="I835" s="98"/>
      <c r="J835" s="98"/>
      <c r="K835" s="98"/>
      <c r="L835" s="104"/>
      <c r="M835" s="98" t="s">
        <v>39</v>
      </c>
      <c r="N835" s="103" t="str">
        <f>IFERROR(__xludf.DUMMYFUNCTION("""COMPUTED_VALUE"""),"")</f>
        <v/>
      </c>
      <c r="O835" s="104"/>
      <c r="P835" s="104"/>
      <c r="Q835" s="104"/>
      <c r="R835" s="104" t="s">
        <v>4594</v>
      </c>
      <c r="S835" s="104" t="s">
        <v>39</v>
      </c>
      <c r="T835" s="104" t="s">
        <v>4595</v>
      </c>
      <c r="U835" s="104"/>
      <c r="V835" s="104" t="s">
        <v>4595</v>
      </c>
      <c r="W835" s="104"/>
    </row>
    <row r="836">
      <c r="A836" s="105">
        <v>46007.0</v>
      </c>
      <c r="B836" s="79" t="str">
        <f>IFERROR(__xludf.DUMMYFUNCTION("""COMPUTED_VALUE"""),"AGP-PH-ROF-1D")</f>
        <v>AGP-PH-ROF-1D</v>
      </c>
      <c r="C836" s="104"/>
      <c r="D836" s="104"/>
      <c r="E836" s="104" t="str">
        <f>IFERROR(__xludf.DUMMYFUNCTION("""COMPUTED_VALUE"""),"YA-PO-2-CL-1")</f>
        <v>YA-PO-2-CL-1</v>
      </c>
      <c r="F836" s="98">
        <v>1.6</v>
      </c>
      <c r="G836" s="110"/>
      <c r="H836" s="98"/>
      <c r="I836" s="98"/>
      <c r="J836" s="98"/>
      <c r="K836" s="98"/>
      <c r="L836" s="104"/>
      <c r="M836" s="98" t="s">
        <v>39</v>
      </c>
      <c r="N836" s="103" t="str">
        <f>IFERROR(__xludf.DUMMYFUNCTION("""COMPUTED_VALUE"""),"")</f>
        <v/>
      </c>
      <c r="O836" s="104"/>
      <c r="P836" s="104"/>
      <c r="Q836" s="104"/>
      <c r="R836" s="104" t="s">
        <v>4596</v>
      </c>
      <c r="S836" s="104" t="s">
        <v>39</v>
      </c>
      <c r="T836" s="104" t="s">
        <v>4597</v>
      </c>
      <c r="U836" s="104"/>
      <c r="V836" s="104" t="s">
        <v>4597</v>
      </c>
      <c r="W836" s="104"/>
    </row>
    <row r="837">
      <c r="A837" s="105">
        <v>46007.0</v>
      </c>
      <c r="B837" s="79" t="str">
        <f>IFERROR(__xludf.DUMMYFUNCTION("""COMPUTED_VALUE"""),"AGP-PH-ROF-1E")</f>
        <v>AGP-PH-ROF-1E</v>
      </c>
      <c r="C837" s="104"/>
      <c r="D837" s="104"/>
      <c r="E837" s="104" t="str">
        <f>IFERROR(__xludf.DUMMYFUNCTION("""COMPUTED_VALUE"""),"YA-PO-2-CL-1")</f>
        <v>YA-PO-2-CL-1</v>
      </c>
      <c r="F837" s="98">
        <v>1.6</v>
      </c>
      <c r="G837" s="110"/>
      <c r="H837" s="98"/>
      <c r="I837" s="98"/>
      <c r="J837" s="98"/>
      <c r="K837" s="98"/>
      <c r="L837" s="104"/>
      <c r="M837" s="98" t="s">
        <v>39</v>
      </c>
      <c r="N837" s="103" t="str">
        <f>IFERROR(__xludf.DUMMYFUNCTION("""COMPUTED_VALUE"""),"")</f>
        <v/>
      </c>
      <c r="O837" s="104"/>
      <c r="P837" s="104"/>
      <c r="Q837" s="104"/>
      <c r="R837" s="104" t="s">
        <v>4598</v>
      </c>
      <c r="S837" s="104" t="s">
        <v>39</v>
      </c>
      <c r="T837" s="104" t="s">
        <v>4599</v>
      </c>
      <c r="U837" s="104"/>
      <c r="V837" s="104" t="s">
        <v>4599</v>
      </c>
      <c r="W837" s="104"/>
    </row>
    <row r="838">
      <c r="A838" s="105">
        <v>46007.0</v>
      </c>
      <c r="B838" s="79" t="str">
        <f>IFERROR(__xludf.DUMMYFUNCTION("""COMPUTED_VALUE"""),"BWH-PH-RAPK-2A-2B")</f>
        <v>BWH-PH-RAPK-2A-2B</v>
      </c>
      <c r="C838" s="104"/>
      <c r="D838" s="104"/>
      <c r="E838" s="104" t="str">
        <f>IFERROR(__xludf.DUMMYFUNCTION("""COMPUTED_VALUE"""),"YA-PO-2-CL-1")</f>
        <v>YA-PO-2-CL-1</v>
      </c>
      <c r="F838" s="98">
        <v>5.1</v>
      </c>
      <c r="G838" s="110"/>
      <c r="H838" s="98"/>
      <c r="I838" s="98"/>
      <c r="J838" s="98"/>
      <c r="K838" s="98"/>
      <c r="L838" s="104"/>
      <c r="M838" s="98" t="s">
        <v>39</v>
      </c>
      <c r="N838" s="103" t="str">
        <f>IFERROR(__xludf.DUMMYFUNCTION("""COMPUTED_VALUE"""),"")</f>
        <v/>
      </c>
      <c r="O838" s="104"/>
      <c r="P838" s="104"/>
      <c r="Q838" s="104"/>
      <c r="R838" s="104" t="s">
        <v>4600</v>
      </c>
      <c r="S838" s="104" t="s">
        <v>39</v>
      </c>
      <c r="T838" s="104" t="s">
        <v>4601</v>
      </c>
      <c r="U838" s="104"/>
      <c r="V838" s="104" t="s">
        <v>4601</v>
      </c>
      <c r="W838" s="104"/>
    </row>
    <row r="839">
      <c r="A839" s="105">
        <v>46009.0</v>
      </c>
      <c r="B839" s="79" t="str">
        <f>IFERROR(__xludf.DUMMYFUNCTION("""COMPUTED_VALUE"""),"IST-PH-WP-1B")</f>
        <v>IST-PH-WP-1B</v>
      </c>
      <c r="C839" s="104"/>
      <c r="D839" s="104"/>
      <c r="E839" s="104" t="str">
        <f>IFERROR(__xludf.DUMMYFUNCTION("""COMPUTED_VALUE"""),"GA-PO-6-BL-1")</f>
        <v>GA-PO-6-BL-1</v>
      </c>
      <c r="F839" s="98">
        <v>10.0</v>
      </c>
      <c r="G839" s="110"/>
      <c r="H839" s="98"/>
      <c r="I839" s="98"/>
      <c r="J839" s="98"/>
      <c r="K839" s="98"/>
      <c r="L839" s="104"/>
      <c r="M839" s="98" t="s">
        <v>39</v>
      </c>
      <c r="N839" s="103" t="str">
        <f>IFERROR(__xludf.DUMMYFUNCTION("""COMPUTED_VALUE"""),"")</f>
        <v/>
      </c>
      <c r="O839" s="104"/>
      <c r="P839" s="104"/>
      <c r="Q839" s="104"/>
      <c r="R839" s="104" t="s">
        <v>4602</v>
      </c>
      <c r="S839" s="104" t="s">
        <v>39</v>
      </c>
      <c r="T839" s="104" t="s">
        <v>4603</v>
      </c>
      <c r="U839" s="104"/>
      <c r="V839" s="104" t="s">
        <v>4603</v>
      </c>
      <c r="W839" s="104"/>
    </row>
    <row r="840">
      <c r="A840" s="105">
        <v>46011.0</v>
      </c>
      <c r="B840" s="79" t="str">
        <f>IFERROR(__xludf.DUMMYFUNCTION("""COMPUTED_VALUE"""),"BWH-SYN-WE-1A-4B")</f>
        <v>BWH-SYN-WE-1A-4B</v>
      </c>
      <c r="C840" s="104"/>
      <c r="D840" s="104"/>
      <c r="E840" s="104" t="str">
        <f>IFERROR(__xludf.DUMMYFUNCTION("""COMPUTED_VALUE"""),"MU-PO-4-WH-1")</f>
        <v>MU-PO-4-WH-1</v>
      </c>
      <c r="F840" s="98">
        <v>2.1</v>
      </c>
      <c r="G840" s="110"/>
      <c r="H840" s="98"/>
      <c r="I840" s="98"/>
      <c r="J840" s="98"/>
      <c r="K840" s="98"/>
      <c r="L840" s="104"/>
      <c r="M840" s="98" t="s">
        <v>39</v>
      </c>
      <c r="N840" s="103" t="str">
        <f>IFERROR(__xludf.DUMMYFUNCTION("""COMPUTED_VALUE"""),"")</f>
        <v/>
      </c>
      <c r="O840" s="104"/>
      <c r="P840" s="104"/>
      <c r="Q840" s="104"/>
      <c r="R840" s="104" t="s">
        <v>4604</v>
      </c>
      <c r="S840" s="104" t="s">
        <v>39</v>
      </c>
      <c r="T840" s="104" t="s">
        <v>4605</v>
      </c>
      <c r="U840" s="104"/>
      <c r="V840" s="104" t="s">
        <v>4605</v>
      </c>
      <c r="W840" s="104"/>
    </row>
    <row r="841">
      <c r="A841" s="105">
        <v>46011.0</v>
      </c>
      <c r="B841" s="79" t="str">
        <f>IFERROR(__xludf.DUMMYFUNCTION("""COMPUTED_VALUE"""),"BWH-SYN-WE-1A-4C")</f>
        <v>BWH-SYN-WE-1A-4C</v>
      </c>
      <c r="C841" s="104"/>
      <c r="D841" s="104"/>
      <c r="E841" s="104" t="str">
        <f>IFERROR(__xludf.DUMMYFUNCTION("""COMPUTED_VALUE"""),"GA-PO-4-BL-1")</f>
        <v>GA-PO-4-BL-1</v>
      </c>
      <c r="F841" s="98">
        <v>2.1</v>
      </c>
      <c r="G841" s="110"/>
      <c r="H841" s="98"/>
      <c r="I841" s="98"/>
      <c r="J841" s="98"/>
      <c r="K841" s="98"/>
      <c r="L841" s="104"/>
      <c r="M841" s="98" t="s">
        <v>39</v>
      </c>
      <c r="N841" s="103" t="str">
        <f>IFERROR(__xludf.DUMMYFUNCTION("""COMPUTED_VALUE"""),"")</f>
        <v/>
      </c>
      <c r="O841" s="104"/>
      <c r="P841" s="104"/>
      <c r="Q841" s="104"/>
      <c r="R841" s="104" t="s">
        <v>4606</v>
      </c>
      <c r="S841" s="104" t="s">
        <v>39</v>
      </c>
      <c r="T841" s="104" t="s">
        <v>4607</v>
      </c>
      <c r="U841" s="104"/>
      <c r="V841" s="104" t="s">
        <v>4607</v>
      </c>
      <c r="W841" s="104"/>
    </row>
    <row r="842">
      <c r="A842" s="105">
        <v>46011.0</v>
      </c>
      <c r="B842" s="79" t="str">
        <f>IFERROR(__xludf.DUMMYFUNCTION("""COMPUTED_VALUE"""),"BWH-AL-QD-1B")</f>
        <v>BWH-AL-QD-1B</v>
      </c>
      <c r="C842" s="104"/>
      <c r="D842" s="104"/>
      <c r="E842" s="104" t="str">
        <f>IFERROR(__xludf.DUMMYFUNCTION("""COMPUTED_VALUE"""),"HY-PO-3-DO-1")</f>
        <v>HY-PO-3-DO-1</v>
      </c>
      <c r="F842" s="98">
        <v>1.3199999999999998</v>
      </c>
      <c r="G842" s="110"/>
      <c r="H842" s="98"/>
      <c r="I842" s="98"/>
      <c r="J842" s="98"/>
      <c r="K842" s="98"/>
      <c r="L842" s="104"/>
      <c r="M842" s="98" t="s">
        <v>39</v>
      </c>
      <c r="N842" s="103" t="str">
        <f>IFERROR(__xludf.DUMMYFUNCTION("""COMPUTED_VALUE"""),"")</f>
        <v/>
      </c>
      <c r="O842" s="104"/>
      <c r="P842" s="104"/>
      <c r="Q842" s="104"/>
      <c r="R842" s="104" t="s">
        <v>4608</v>
      </c>
      <c r="S842" s="104" t="s">
        <v>39</v>
      </c>
      <c r="T842" s="104" t="s">
        <v>4609</v>
      </c>
      <c r="U842" s="104"/>
      <c r="V842" s="104" t="s">
        <v>4609</v>
      </c>
      <c r="W842" s="104"/>
    </row>
    <row r="843">
      <c r="A843" s="105">
        <v>46011.0</v>
      </c>
      <c r="B843" s="79" t="str">
        <f>IFERROR(__xludf.DUMMYFUNCTION("""COMPUTED_VALUE"""),"BWH-AL-QD-1C")</f>
        <v>BWH-AL-QD-1C</v>
      </c>
      <c r="C843" s="104"/>
      <c r="D843" s="104"/>
      <c r="E843" s="104" t="str">
        <f>IFERROR(__xludf.DUMMYFUNCTION("""COMPUTED_VALUE"""),"HY-PO-3-DO-1")</f>
        <v>HY-PO-3-DO-1</v>
      </c>
      <c r="F843" s="98">
        <v>1.3199999999999998</v>
      </c>
      <c r="G843" s="110"/>
      <c r="H843" s="98"/>
      <c r="I843" s="98"/>
      <c r="J843" s="98"/>
      <c r="K843" s="98"/>
      <c r="L843" s="104"/>
      <c r="M843" s="98" t="s">
        <v>39</v>
      </c>
      <c r="N843" s="103" t="str">
        <f>IFERROR(__xludf.DUMMYFUNCTION("""COMPUTED_VALUE"""),"")</f>
        <v/>
      </c>
      <c r="O843" s="104"/>
      <c r="P843" s="104"/>
      <c r="Q843" s="104"/>
      <c r="R843" s="104" t="s">
        <v>4610</v>
      </c>
      <c r="S843" s="104" t="s">
        <v>39</v>
      </c>
      <c r="T843" s="104" t="s">
        <v>4611</v>
      </c>
      <c r="U843" s="104"/>
      <c r="V843" s="104" t="s">
        <v>4611</v>
      </c>
      <c r="W843" s="104"/>
    </row>
    <row r="844">
      <c r="A844" s="105">
        <v>46011.0</v>
      </c>
      <c r="B844" s="79" t="str">
        <f>IFERROR(__xludf.DUMMYFUNCTION("""COMPUTED_VALUE"""),"BWH-AL-QD-1D")</f>
        <v>BWH-AL-QD-1D</v>
      </c>
      <c r="C844" s="104"/>
      <c r="D844" s="104"/>
      <c r="E844" s="104" t="str">
        <f>IFERROR(__xludf.DUMMYFUNCTION("""COMPUTED_VALUE"""),"HY-PO-3-DO-1")</f>
        <v>HY-PO-3-DO-1</v>
      </c>
      <c r="F844" s="98">
        <v>1.3199999999999998</v>
      </c>
      <c r="G844" s="110"/>
      <c r="H844" s="98"/>
      <c r="I844" s="98"/>
      <c r="J844" s="98"/>
      <c r="K844" s="98"/>
      <c r="L844" s="104"/>
      <c r="M844" s="98" t="s">
        <v>39</v>
      </c>
      <c r="N844" s="103" t="str">
        <f>IFERROR(__xludf.DUMMYFUNCTION("""COMPUTED_VALUE"""),"")</f>
        <v/>
      </c>
      <c r="O844" s="104"/>
      <c r="P844" s="104"/>
      <c r="Q844" s="104"/>
      <c r="R844" s="104" t="s">
        <v>4612</v>
      </c>
      <c r="S844" s="104" t="s">
        <v>39</v>
      </c>
      <c r="T844" s="104" t="s">
        <v>4613</v>
      </c>
      <c r="U844" s="104"/>
      <c r="V844" s="104" t="s">
        <v>4613</v>
      </c>
      <c r="W844" s="104"/>
    </row>
    <row r="845">
      <c r="A845" s="105">
        <v>46011.0</v>
      </c>
      <c r="B845" s="79" t="str">
        <f>IFERROR(__xludf.DUMMYFUNCTION("""COMPUTED_VALUE"""),"BWH-AL-QD-1A-3B")</f>
        <v>BWH-AL-QD-1A-3B</v>
      </c>
      <c r="C845" s="104"/>
      <c r="D845" s="104"/>
      <c r="E845" s="104" t="str">
        <f>IFERROR(__xludf.DUMMYFUNCTION("""COMPUTED_VALUE"""),"HY-PO-3-DO-1")</f>
        <v>HY-PO-3-DO-1</v>
      </c>
      <c r="F845" s="98">
        <v>2.1999999999999997</v>
      </c>
      <c r="G845" s="110"/>
      <c r="H845" s="98"/>
      <c r="I845" s="98"/>
      <c r="J845" s="98"/>
      <c r="K845" s="98"/>
      <c r="L845" s="104"/>
      <c r="M845" s="98" t="s">
        <v>39</v>
      </c>
      <c r="N845" s="103" t="str">
        <f>IFERROR(__xludf.DUMMYFUNCTION("""COMPUTED_VALUE"""),"")</f>
        <v/>
      </c>
      <c r="O845" s="104"/>
      <c r="P845" s="104"/>
      <c r="Q845" s="104"/>
      <c r="R845" s="104" t="s">
        <v>4614</v>
      </c>
      <c r="S845" s="104" t="s">
        <v>39</v>
      </c>
      <c r="T845" s="104" t="s">
        <v>4615</v>
      </c>
      <c r="U845" s="104"/>
      <c r="V845" s="104" t="s">
        <v>4615</v>
      </c>
      <c r="W845" s="104"/>
    </row>
    <row r="846">
      <c r="A846" s="105">
        <v>46011.0</v>
      </c>
      <c r="B846" s="79" t="str">
        <f>IFERROR(__xludf.DUMMYFUNCTION("""COMPUTED_VALUE"""),"BWH-AL-QD-1A-3C")</f>
        <v>BWH-AL-QD-1A-3C</v>
      </c>
      <c r="C846" s="104"/>
      <c r="D846" s="104"/>
      <c r="E846" s="104" t="str">
        <f>IFERROR(__xludf.DUMMYFUNCTION("""COMPUTED_VALUE"""),"HY-PO-3-DO-1")</f>
        <v>HY-PO-3-DO-1</v>
      </c>
      <c r="F846" s="98">
        <v>2.1999999999999997</v>
      </c>
      <c r="G846" s="110"/>
      <c r="H846" s="98"/>
      <c r="I846" s="98"/>
      <c r="J846" s="98"/>
      <c r="K846" s="98"/>
      <c r="L846" s="104"/>
      <c r="M846" s="98" t="s">
        <v>39</v>
      </c>
      <c r="N846" s="103" t="str">
        <f>IFERROR(__xludf.DUMMYFUNCTION("""COMPUTED_VALUE"""),"")</f>
        <v/>
      </c>
      <c r="O846" s="104"/>
      <c r="P846" s="104"/>
      <c r="Q846" s="104"/>
      <c r="R846" s="104" t="s">
        <v>4616</v>
      </c>
      <c r="S846" s="104" t="s">
        <v>39</v>
      </c>
      <c r="T846" s="104" t="s">
        <v>4617</v>
      </c>
      <c r="U846" s="104"/>
      <c r="V846" s="104" t="s">
        <v>4617</v>
      </c>
      <c r="W846" s="104"/>
    </row>
    <row r="847">
      <c r="A847" s="105">
        <v>46011.0</v>
      </c>
      <c r="B847" s="79" t="str">
        <f>IFERROR(__xludf.DUMMYFUNCTION("""COMPUTED_VALUE"""),"BWH-AL-QD-1A-5B")</f>
        <v>BWH-AL-QD-1A-5B</v>
      </c>
      <c r="C847" s="104"/>
      <c r="D847" s="104"/>
      <c r="E847" s="104" t="str">
        <f>IFERROR(__xludf.DUMMYFUNCTION("""COMPUTED_VALUE"""),"HY-PO-3-DO-1")</f>
        <v>HY-PO-3-DO-1</v>
      </c>
      <c r="F847" s="98">
        <v>1.0999999999999999</v>
      </c>
      <c r="G847" s="110"/>
      <c r="H847" s="98"/>
      <c r="I847" s="98"/>
      <c r="J847" s="98"/>
      <c r="K847" s="98"/>
      <c r="L847" s="104"/>
      <c r="M847" s="98" t="s">
        <v>39</v>
      </c>
      <c r="N847" s="103" t="str">
        <f>IFERROR(__xludf.DUMMYFUNCTION("""COMPUTED_VALUE"""),"")</f>
        <v/>
      </c>
      <c r="O847" s="104"/>
      <c r="P847" s="104"/>
      <c r="Q847" s="104"/>
      <c r="R847" s="104" t="s">
        <v>4618</v>
      </c>
      <c r="S847" s="104" t="s">
        <v>39</v>
      </c>
      <c r="T847" s="104" t="s">
        <v>4619</v>
      </c>
      <c r="U847" s="104"/>
      <c r="V847" s="104" t="s">
        <v>4619</v>
      </c>
      <c r="W847" s="104"/>
    </row>
    <row r="848">
      <c r="A848" s="105">
        <v>46011.0</v>
      </c>
      <c r="B848" s="79" t="str">
        <f>IFERROR(__xludf.DUMMYFUNCTION("""COMPUTED_VALUE"""),"BWH-AL-QD-1A-5C")</f>
        <v>BWH-AL-QD-1A-5C</v>
      </c>
      <c r="C848" s="104"/>
      <c r="D848" s="104"/>
      <c r="E848" s="104" t="str">
        <f>IFERROR(__xludf.DUMMYFUNCTION("""COMPUTED_VALUE"""),"HY-PO-3-DO-1")</f>
        <v>HY-PO-3-DO-1</v>
      </c>
      <c r="F848" s="98">
        <v>1.0999999999999999</v>
      </c>
      <c r="G848" s="110"/>
      <c r="H848" s="98"/>
      <c r="I848" s="98"/>
      <c r="J848" s="98"/>
      <c r="K848" s="98"/>
      <c r="L848" s="104"/>
      <c r="M848" s="98" t="s">
        <v>39</v>
      </c>
      <c r="N848" s="103" t="str">
        <f>IFERROR(__xludf.DUMMYFUNCTION("""COMPUTED_VALUE"""),"")</f>
        <v/>
      </c>
      <c r="O848" s="104"/>
      <c r="P848" s="104"/>
      <c r="Q848" s="104"/>
      <c r="R848" s="104" t="s">
        <v>4620</v>
      </c>
      <c r="S848" s="104" t="s">
        <v>39</v>
      </c>
      <c r="T848" s="104" t="s">
        <v>4621</v>
      </c>
      <c r="U848" s="104"/>
      <c r="V848" s="104" t="s">
        <v>4621</v>
      </c>
      <c r="W848" s="104"/>
    </row>
    <row r="849">
      <c r="A849" s="105">
        <v>46011.0</v>
      </c>
      <c r="B849" s="79" t="str">
        <f>IFERROR(__xludf.DUMMYFUNCTION("""COMPUTED_VALUE"""),"BWH-AL-QD-1A-5D")</f>
        <v>BWH-AL-QD-1A-5D</v>
      </c>
      <c r="C849" s="104"/>
      <c r="D849" s="104"/>
      <c r="E849" s="104" t="str">
        <f>IFERROR(__xludf.DUMMYFUNCTION("""COMPUTED_VALUE"""),"HY-PO-3-DO-1")</f>
        <v>HY-PO-3-DO-1</v>
      </c>
      <c r="F849" s="98">
        <v>1.0999999999999999</v>
      </c>
      <c r="G849" s="110"/>
      <c r="H849" s="98"/>
      <c r="I849" s="98"/>
      <c r="J849" s="98"/>
      <c r="K849" s="98"/>
      <c r="L849" s="104"/>
      <c r="M849" s="98" t="s">
        <v>39</v>
      </c>
      <c r="N849" s="103" t="str">
        <f>IFERROR(__xludf.DUMMYFUNCTION("""COMPUTED_VALUE"""),"")</f>
        <v/>
      </c>
      <c r="O849" s="104"/>
      <c r="P849" s="104"/>
      <c r="Q849" s="104"/>
      <c r="R849" s="104" t="s">
        <v>4622</v>
      </c>
      <c r="S849" s="104" t="s">
        <v>39</v>
      </c>
      <c r="T849" s="104" t="s">
        <v>4623</v>
      </c>
      <c r="U849" s="104"/>
      <c r="V849" s="104" t="s">
        <v>4623</v>
      </c>
      <c r="W849" s="104"/>
    </row>
    <row r="850">
      <c r="A850" s="105">
        <v>46011.0</v>
      </c>
      <c r="B850" s="79" t="str">
        <f>IFERROR(__xludf.DUMMYFUNCTION("""COMPUTED_VALUE"""),"BWH-AL-QD-1A-5E")</f>
        <v>BWH-AL-QD-1A-5E</v>
      </c>
      <c r="C850" s="104"/>
      <c r="D850" s="104"/>
      <c r="E850" s="104" t="str">
        <f>IFERROR(__xludf.DUMMYFUNCTION("""COMPUTED_VALUE"""),"HY-PO-3-DO-1")</f>
        <v>HY-PO-3-DO-1</v>
      </c>
      <c r="F850" s="98">
        <v>1.0999999999999999</v>
      </c>
      <c r="G850" s="110"/>
      <c r="H850" s="98"/>
      <c r="I850" s="98"/>
      <c r="J850" s="98"/>
      <c r="K850" s="98"/>
      <c r="L850" s="104"/>
      <c r="M850" s="98" t="s">
        <v>39</v>
      </c>
      <c r="N850" s="103" t="str">
        <f>IFERROR(__xludf.DUMMYFUNCTION("""COMPUTED_VALUE"""),"")</f>
        <v/>
      </c>
      <c r="O850" s="104"/>
      <c r="P850" s="104"/>
      <c r="Q850" s="104"/>
      <c r="R850" s="104" t="s">
        <v>4624</v>
      </c>
      <c r="S850" s="104" t="s">
        <v>39</v>
      </c>
      <c r="T850" s="104" t="s">
        <v>4625</v>
      </c>
      <c r="U850" s="104"/>
      <c r="V850" s="104" t="s">
        <v>4625</v>
      </c>
      <c r="W850" s="104"/>
    </row>
    <row r="851">
      <c r="A851" s="105">
        <v>46011.0</v>
      </c>
      <c r="B851" s="79" t="str">
        <f>IFERROR(__xludf.DUMMYFUNCTION("""COMPUTED_VALUE"""),"BWH-AL-QD-1A-5F")</f>
        <v>BWH-AL-QD-1A-5F</v>
      </c>
      <c r="C851" s="104"/>
      <c r="D851" s="104"/>
      <c r="E851" s="104" t="str">
        <f>IFERROR(__xludf.DUMMYFUNCTION("""COMPUTED_VALUE"""),"HY-PO-3-DO-1")</f>
        <v>HY-PO-3-DO-1</v>
      </c>
      <c r="F851" s="98">
        <v>1.0999999999999999</v>
      </c>
      <c r="G851" s="110"/>
      <c r="H851" s="98"/>
      <c r="I851" s="98"/>
      <c r="J851" s="98"/>
      <c r="K851" s="98"/>
      <c r="L851" s="104"/>
      <c r="M851" s="98" t="s">
        <v>39</v>
      </c>
      <c r="N851" s="103" t="str">
        <f>IFERROR(__xludf.DUMMYFUNCTION("""COMPUTED_VALUE"""),"")</f>
        <v/>
      </c>
      <c r="O851" s="104"/>
      <c r="P851" s="104"/>
      <c r="Q851" s="104"/>
      <c r="R851" s="104" t="s">
        <v>4626</v>
      </c>
      <c r="S851" s="104" t="s">
        <v>39</v>
      </c>
      <c r="T851" s="104" t="s">
        <v>4627</v>
      </c>
      <c r="U851" s="104"/>
      <c r="V851" s="104" t="s">
        <v>4627</v>
      </c>
      <c r="W851" s="104"/>
    </row>
    <row r="852">
      <c r="A852" s="105">
        <v>46085.0</v>
      </c>
      <c r="B852" s="79" t="str">
        <f>IFERROR(__xludf.DUMMYFUNCTION("""COMPUTED_VALUE"""),"BWH-AL-QD-1A-4B")</f>
        <v>BWH-AL-QD-1A-4B</v>
      </c>
      <c r="C852" s="104"/>
      <c r="D852" s="104"/>
      <c r="E852" s="104" t="str">
        <f>IFERROR(__xludf.DUMMYFUNCTION("""COMPUTED_VALUE"""),"NR-PO-3-BP-1")</f>
        <v>NR-PO-3-BP-1</v>
      </c>
      <c r="F852" s="98">
        <v>1.0999999999999999</v>
      </c>
      <c r="G852" s="110"/>
      <c r="H852" s="98"/>
      <c r="I852" s="98"/>
      <c r="J852" s="98"/>
      <c r="K852" s="98"/>
      <c r="L852" s="104"/>
      <c r="M852" s="98" t="s">
        <v>39</v>
      </c>
      <c r="N852" s="103" t="str">
        <f>IFERROR(__xludf.DUMMYFUNCTION("""COMPUTED_VALUE"""),"")</f>
        <v/>
      </c>
      <c r="O852" s="104"/>
      <c r="P852" s="104"/>
      <c r="Q852" s="104"/>
      <c r="R852" s="104" t="s">
        <v>4628</v>
      </c>
      <c r="S852" s="104" t="s">
        <v>39</v>
      </c>
      <c r="T852" s="104" t="s">
        <v>4629</v>
      </c>
      <c r="U852" s="104"/>
      <c r="V852" s="104" t="s">
        <v>4629</v>
      </c>
      <c r="W852" s="104"/>
    </row>
    <row r="853">
      <c r="A853" s="105">
        <v>46085.0</v>
      </c>
      <c r="B853" s="79" t="str">
        <f>IFERROR(__xludf.DUMMYFUNCTION("""COMPUTED_VALUE"""),"BWH-AL-QD-1A-4C")</f>
        <v>BWH-AL-QD-1A-4C</v>
      </c>
      <c r="C853" s="104"/>
      <c r="D853" s="104"/>
      <c r="E853" s="104" t="str">
        <f>IFERROR(__xludf.DUMMYFUNCTION("""COMPUTED_VALUE"""),"NR-PO-3-BP-1")</f>
        <v>NR-PO-3-BP-1</v>
      </c>
      <c r="F853" s="98">
        <v>1.0999999999999999</v>
      </c>
      <c r="G853" s="110"/>
      <c r="H853" s="98"/>
      <c r="I853" s="98"/>
      <c r="J853" s="98"/>
      <c r="K853" s="98"/>
      <c r="L853" s="104"/>
      <c r="M853" s="98" t="s">
        <v>39</v>
      </c>
      <c r="N853" s="103" t="str">
        <f>IFERROR(__xludf.DUMMYFUNCTION("""COMPUTED_VALUE"""),"")</f>
        <v/>
      </c>
      <c r="O853" s="104"/>
      <c r="P853" s="104"/>
      <c r="Q853" s="104"/>
      <c r="R853" s="104" t="s">
        <v>4630</v>
      </c>
      <c r="S853" s="104" t="s">
        <v>39</v>
      </c>
      <c r="T853" s="104" t="s">
        <v>4631</v>
      </c>
      <c r="U853" s="104"/>
      <c r="V853" s="104" t="s">
        <v>4631</v>
      </c>
      <c r="W853" s="104"/>
    </row>
    <row r="854">
      <c r="A854" s="105">
        <v>46085.0</v>
      </c>
      <c r="B854" s="79" t="str">
        <f>IFERROR(__xludf.DUMMYFUNCTION("""COMPUTED_VALUE"""),"BWH-AL-QD-1A-4D")</f>
        <v>BWH-AL-QD-1A-4D</v>
      </c>
      <c r="C854" s="104"/>
      <c r="D854" s="104"/>
      <c r="E854" s="104" t="str">
        <f>IFERROR(__xludf.DUMMYFUNCTION("""COMPUTED_VALUE"""),"NR-PO-3-BP-1")</f>
        <v>NR-PO-3-BP-1</v>
      </c>
      <c r="F854" s="98">
        <v>1.0999999999999999</v>
      </c>
      <c r="G854" s="110"/>
      <c r="H854" s="98"/>
      <c r="I854" s="98"/>
      <c r="J854" s="98"/>
      <c r="K854" s="98"/>
      <c r="L854" s="104"/>
      <c r="M854" s="98" t="s">
        <v>39</v>
      </c>
      <c r="N854" s="103" t="str">
        <f>IFERROR(__xludf.DUMMYFUNCTION("""COMPUTED_VALUE"""),"")</f>
        <v/>
      </c>
      <c r="O854" s="104"/>
      <c r="P854" s="104"/>
      <c r="Q854" s="104"/>
      <c r="R854" s="104" t="s">
        <v>4632</v>
      </c>
      <c r="S854" s="104" t="s">
        <v>39</v>
      </c>
      <c r="T854" s="104" t="s">
        <v>4633</v>
      </c>
      <c r="U854" s="104"/>
      <c r="V854" s="104" t="s">
        <v>4633</v>
      </c>
      <c r="W854" s="104"/>
    </row>
    <row r="855">
      <c r="A855" s="105">
        <v>46085.0</v>
      </c>
      <c r="B855" s="79" t="str">
        <f>IFERROR(__xludf.DUMMYFUNCTION("""COMPUTED_VALUE"""),"BWH-AL-QD-1A-4E")</f>
        <v>BWH-AL-QD-1A-4E</v>
      </c>
      <c r="C855" s="104"/>
      <c r="D855" s="104"/>
      <c r="E855" s="104" t="str">
        <f>IFERROR(__xludf.DUMMYFUNCTION("""COMPUTED_VALUE"""),"NR-PO-3-BP-1")</f>
        <v>NR-PO-3-BP-1</v>
      </c>
      <c r="F855" s="98">
        <v>1.0999999999999999</v>
      </c>
      <c r="G855" s="110"/>
      <c r="H855" s="98"/>
      <c r="I855" s="98"/>
      <c r="J855" s="98"/>
      <c r="K855" s="98"/>
      <c r="L855" s="104"/>
      <c r="M855" s="98" t="s">
        <v>39</v>
      </c>
      <c r="N855" s="103" t="str">
        <f>IFERROR(__xludf.DUMMYFUNCTION("""COMPUTED_VALUE"""),"")</f>
        <v/>
      </c>
      <c r="O855" s="104"/>
      <c r="P855" s="104"/>
      <c r="Q855" s="104"/>
      <c r="R855" s="104" t="s">
        <v>4634</v>
      </c>
      <c r="S855" s="104" t="s">
        <v>39</v>
      </c>
      <c r="T855" s="104" t="s">
        <v>4635</v>
      </c>
      <c r="U855" s="104"/>
      <c r="V855" s="104" t="s">
        <v>4635</v>
      </c>
      <c r="W855" s="104"/>
    </row>
    <row r="856">
      <c r="A856" s="105">
        <v>46086.0</v>
      </c>
      <c r="B856" s="79" t="str">
        <f>IFERROR(__xludf.DUMMYFUNCTION("""COMPUTED_VALUE"""),"RSV-EPI-PM-1B")</f>
        <v>RSV-EPI-PM-1B</v>
      </c>
      <c r="C856" s="104"/>
      <c r="D856" s="104"/>
      <c r="E856" s="104" t="str">
        <f>IFERROR(__xludf.DUMMYFUNCTION("""COMPUTED_VALUE"""),"EC-PO-5-SW-1")</f>
        <v>EC-PO-5-SW-1</v>
      </c>
      <c r="F856" s="98">
        <v>7.5</v>
      </c>
      <c r="G856" s="110"/>
      <c r="H856" s="98"/>
      <c r="I856" s="98"/>
      <c r="J856" s="98"/>
      <c r="K856" s="98"/>
      <c r="L856" s="104"/>
      <c r="M856" s="98" t="s">
        <v>39</v>
      </c>
      <c r="N856" s="103" t="str">
        <f>IFERROR(__xludf.DUMMYFUNCTION("""COMPUTED_VALUE"""),"")</f>
        <v/>
      </c>
      <c r="O856" s="104"/>
      <c r="P856" s="104"/>
      <c r="Q856" s="104"/>
      <c r="R856" s="104" t="s">
        <v>4636</v>
      </c>
      <c r="S856" s="104" t="s">
        <v>39</v>
      </c>
      <c r="T856" s="104" t="s">
        <v>4637</v>
      </c>
      <c r="U856" s="104"/>
      <c r="V856" s="104" t="s">
        <v>4637</v>
      </c>
      <c r="W856" s="104"/>
    </row>
    <row r="857">
      <c r="A857" s="105">
        <v>45899.0</v>
      </c>
      <c r="B857" s="79" t="str">
        <f>IFERROR(__xludf.DUMMYFUNCTION("""COMPUTED_VALUE"""),"HS-CT-BM-1C")</f>
        <v>HS-CT-BM-1C</v>
      </c>
      <c r="C857" s="104"/>
      <c r="D857" s="104"/>
      <c r="E857" s="104" t="str">
        <f>IFERROR(__xludf.DUMMYFUNCTION("""COMPUTED_VALUE"""),"EL-PO-4.3-CM-1")</f>
        <v>EL-PO-4.3-CM-1</v>
      </c>
      <c r="F857" s="98">
        <v>0.0</v>
      </c>
      <c r="G857" s="110"/>
      <c r="H857" s="98"/>
      <c r="I857" s="98"/>
      <c r="J857" s="98"/>
      <c r="K857" s="98"/>
      <c r="L857" s="104"/>
      <c r="M857" s="98" t="s">
        <v>39</v>
      </c>
      <c r="N857" s="103" t="str">
        <f>IFERROR(__xludf.DUMMYFUNCTION("""COMPUTED_VALUE"""),"")</f>
        <v/>
      </c>
      <c r="O857" s="104"/>
      <c r="P857" s="104"/>
      <c r="Q857" s="104"/>
      <c r="R857" s="104" t="s">
        <v>4638</v>
      </c>
      <c r="S857" s="104" t="s">
        <v>39</v>
      </c>
      <c r="T857" s="104" t="s">
        <v>4639</v>
      </c>
      <c r="U857" s="104"/>
      <c r="V857" s="104" t="s">
        <v>4639</v>
      </c>
      <c r="W857" s="104"/>
    </row>
    <row r="858">
      <c r="A858" s="105">
        <v>46105.0</v>
      </c>
      <c r="B858" s="79" t="str">
        <f>IFERROR(__xludf.DUMMYFUNCTION("""COMPUTED_VALUE"""),"TLC-BE-SLC-1B")</f>
        <v>TLC-BE-SLC-1B</v>
      </c>
      <c r="C858" s="104"/>
      <c r="D858" s="104"/>
      <c r="E858" s="104" t="str">
        <f>IFERROR(__xludf.DUMMYFUNCTION("""COMPUTED_VALUE"""),"RO-PO-4-CL-2")</f>
        <v>RO-PO-4-CL-2</v>
      </c>
      <c r="F858" s="98">
        <v>7.333333333333333</v>
      </c>
      <c r="G858" s="110"/>
      <c r="H858" s="98"/>
      <c r="I858" s="98"/>
      <c r="J858" s="98"/>
      <c r="K858" s="98"/>
      <c r="L858" s="104"/>
      <c r="M858" s="98" t="s">
        <v>39</v>
      </c>
      <c r="N858" s="103" t="str">
        <f>IFERROR(__xludf.DUMMYFUNCTION("""COMPUTED_VALUE"""),"")</f>
        <v/>
      </c>
      <c r="O858" s="104"/>
      <c r="P858" s="104"/>
      <c r="Q858" s="104"/>
      <c r="R858" s="104" t="s">
        <v>4640</v>
      </c>
      <c r="S858" s="104" t="s">
        <v>39</v>
      </c>
      <c r="T858" s="104" t="s">
        <v>4641</v>
      </c>
      <c r="U858" s="104"/>
      <c r="V858" s="104" t="s">
        <v>4641</v>
      </c>
      <c r="W858" s="104"/>
    </row>
    <row r="859">
      <c r="A859" s="105">
        <v>46105.0</v>
      </c>
      <c r="B859" s="79" t="str">
        <f>IFERROR(__xludf.DUMMYFUNCTION("""COMPUTED_VALUE"""),"TLC-BE-SLC-1C")</f>
        <v>TLC-BE-SLC-1C</v>
      </c>
      <c r="C859" s="104"/>
      <c r="D859" s="104"/>
      <c r="E859" s="104" t="str">
        <f>IFERROR(__xludf.DUMMYFUNCTION("""COMPUTED_VALUE"""),"RO-PO-4-CL-2")</f>
        <v>RO-PO-4-CL-2</v>
      </c>
      <c r="F859" s="98">
        <v>7.333333333333333</v>
      </c>
      <c r="G859" s="110"/>
      <c r="H859" s="98"/>
      <c r="I859" s="98"/>
      <c r="J859" s="98"/>
      <c r="K859" s="98"/>
      <c r="L859" s="104"/>
      <c r="M859" s="98" t="s">
        <v>39</v>
      </c>
      <c r="N859" s="103" t="str">
        <f>IFERROR(__xludf.DUMMYFUNCTION("""COMPUTED_VALUE"""),"")</f>
        <v/>
      </c>
      <c r="O859" s="104"/>
      <c r="P859" s="104"/>
      <c r="Q859" s="104"/>
      <c r="R859" s="104" t="s">
        <v>4642</v>
      </c>
      <c r="S859" s="104" t="s">
        <v>39</v>
      </c>
      <c r="T859" s="104" t="s">
        <v>4643</v>
      </c>
      <c r="U859" s="104"/>
      <c r="V859" s="104" t="s">
        <v>4643</v>
      </c>
      <c r="W859" s="104"/>
    </row>
    <row r="860">
      <c r="A860" s="105">
        <v>46110.0</v>
      </c>
      <c r="B860" s="79" t="str">
        <f>IFERROR(__xludf.DUMMYFUNCTION("""COMPUTED_VALUE"""),"TA-OC-HB-1B")</f>
        <v>TA-OC-HB-1B</v>
      </c>
      <c r="C860" s="104"/>
      <c r="D860" s="104"/>
      <c r="E860" s="104" t="str">
        <f>IFERROR(__xludf.DUMMYFUNCTION("""COMPUTED_VALUE"""),"ST-PO-4-NU-1")</f>
        <v>ST-PO-4-NU-1</v>
      </c>
      <c r="F860" s="98">
        <v>0.05384615384615384</v>
      </c>
      <c r="G860" s="110"/>
      <c r="H860" s="98"/>
      <c r="I860" s="98"/>
      <c r="J860" s="98"/>
      <c r="K860" s="98"/>
      <c r="L860" s="104"/>
      <c r="M860" s="98" t="s">
        <v>39</v>
      </c>
      <c r="N860" s="103" t="str">
        <f>IFERROR(__xludf.DUMMYFUNCTION("""COMPUTED_VALUE"""),"")</f>
        <v/>
      </c>
      <c r="O860" s="104"/>
      <c r="P860" s="104"/>
      <c r="Q860" s="104"/>
      <c r="R860" s="104" t="s">
        <v>4644</v>
      </c>
      <c r="S860" s="104" t="s">
        <v>39</v>
      </c>
      <c r="T860" s="104" t="s">
        <v>4645</v>
      </c>
      <c r="U860" s="104"/>
      <c r="V860" s="104" t="s">
        <v>4645</v>
      </c>
      <c r="W860" s="104"/>
    </row>
    <row r="861">
      <c r="A861" s="105">
        <v>46110.0</v>
      </c>
      <c r="B861" s="79" t="str">
        <f>IFERROR(__xludf.DUMMYFUNCTION("""COMPUTED_VALUE"""),"TA-OC-HB-1C")</f>
        <v>TA-OC-HB-1C</v>
      </c>
      <c r="C861" s="104"/>
      <c r="D861" s="104"/>
      <c r="E861" s="104" t="str">
        <f>IFERROR(__xludf.DUMMYFUNCTION("""COMPUTED_VALUE"""),"ST-PO-4-NU-1")</f>
        <v>ST-PO-4-NU-1</v>
      </c>
      <c r="F861" s="98">
        <v>0.05384615384615384</v>
      </c>
      <c r="G861" s="110"/>
      <c r="H861" s="98"/>
      <c r="I861" s="98"/>
      <c r="J861" s="98"/>
      <c r="K861" s="98"/>
      <c r="L861" s="104"/>
      <c r="M861" s="98" t="s">
        <v>39</v>
      </c>
      <c r="N861" s="103" t="str">
        <f>IFERROR(__xludf.DUMMYFUNCTION("""COMPUTED_VALUE"""),"")</f>
        <v/>
      </c>
      <c r="O861" s="104"/>
      <c r="P861" s="104"/>
      <c r="Q861" s="104"/>
      <c r="R861" s="104" t="s">
        <v>4646</v>
      </c>
      <c r="S861" s="104" t="s">
        <v>39</v>
      </c>
      <c r="T861" s="104" t="s">
        <v>4647</v>
      </c>
      <c r="U861" s="104"/>
      <c r="V861" s="104" t="s">
        <v>4647</v>
      </c>
      <c r="W861" s="104"/>
    </row>
    <row r="862">
      <c r="A862" s="105">
        <v>46110.0</v>
      </c>
      <c r="B862" s="79" t="str">
        <f>IFERROR(__xludf.DUMMYFUNCTION("""COMPUTED_VALUE"""),"TA-OC-HB-1D")</f>
        <v>TA-OC-HB-1D</v>
      </c>
      <c r="C862" s="104"/>
      <c r="D862" s="104"/>
      <c r="E862" s="104" t="str">
        <f>IFERROR(__xludf.DUMMYFUNCTION("""COMPUTED_VALUE"""),"ST-PO-4-NU-1")</f>
        <v>ST-PO-4-NU-1</v>
      </c>
      <c r="F862" s="98">
        <v>0.05384615384615384</v>
      </c>
      <c r="G862" s="110"/>
      <c r="H862" s="98"/>
      <c r="I862" s="98"/>
      <c r="J862" s="98"/>
      <c r="K862" s="98"/>
      <c r="L862" s="104"/>
      <c r="M862" s="98" t="s">
        <v>39</v>
      </c>
      <c r="N862" s="103" t="str">
        <f>IFERROR(__xludf.DUMMYFUNCTION("""COMPUTED_VALUE"""),"")</f>
        <v/>
      </c>
      <c r="O862" s="104"/>
      <c r="P862" s="104"/>
      <c r="Q862" s="104"/>
      <c r="R862" s="104" t="s">
        <v>4648</v>
      </c>
      <c r="S862" s="104" t="s">
        <v>39</v>
      </c>
      <c r="T862" s="104" t="s">
        <v>4649</v>
      </c>
      <c r="U862" s="104"/>
      <c r="V862" s="104" t="s">
        <v>4649</v>
      </c>
      <c r="W862" s="104"/>
    </row>
    <row r="863">
      <c r="A863" s="105">
        <v>46110.0</v>
      </c>
      <c r="B863" s="79" t="str">
        <f>IFERROR(__xludf.DUMMYFUNCTION("""COMPUTED_VALUE"""),"TA-OC-HB-1E")</f>
        <v>TA-OC-HB-1E</v>
      </c>
      <c r="C863" s="104"/>
      <c r="D863" s="104"/>
      <c r="E863" s="104" t="str">
        <f>IFERROR(__xludf.DUMMYFUNCTION("""COMPUTED_VALUE"""),"ST-PO-4-NU-1")</f>
        <v>ST-PO-4-NU-1</v>
      </c>
      <c r="F863" s="98">
        <v>0.05384615384615384</v>
      </c>
      <c r="G863" s="110"/>
      <c r="H863" s="98"/>
      <c r="I863" s="98"/>
      <c r="J863" s="98"/>
      <c r="K863" s="98"/>
      <c r="L863" s="104"/>
      <c r="M863" s="98" t="s">
        <v>39</v>
      </c>
      <c r="N863" s="103" t="str">
        <f>IFERROR(__xludf.DUMMYFUNCTION("""COMPUTED_VALUE"""),"")</f>
        <v/>
      </c>
      <c r="O863" s="104"/>
      <c r="P863" s="104"/>
      <c r="Q863" s="104"/>
      <c r="R863" s="104" t="s">
        <v>4650</v>
      </c>
      <c r="S863" s="104" t="s">
        <v>39</v>
      </c>
      <c r="T863" s="104" t="s">
        <v>4651</v>
      </c>
      <c r="U863" s="104"/>
      <c r="V863" s="104" t="s">
        <v>4651</v>
      </c>
      <c r="W863" s="104"/>
    </row>
    <row r="864">
      <c r="A864" s="105">
        <v>46110.0</v>
      </c>
      <c r="B864" s="79" t="str">
        <f>IFERROR(__xludf.DUMMYFUNCTION("""COMPUTED_VALUE"""),"TA-OC-HB-1F")</f>
        <v>TA-OC-HB-1F</v>
      </c>
      <c r="C864" s="104"/>
      <c r="D864" s="104"/>
      <c r="E864" s="104" t="str">
        <f>IFERROR(__xludf.DUMMYFUNCTION("""COMPUTED_VALUE"""),"ST-PO-4-NU-1")</f>
        <v>ST-PO-4-NU-1</v>
      </c>
      <c r="F864" s="98">
        <v>0.05384615384615384</v>
      </c>
      <c r="G864" s="110"/>
      <c r="H864" s="98"/>
      <c r="I864" s="98"/>
      <c r="J864" s="98"/>
      <c r="K864" s="98"/>
      <c r="L864" s="104"/>
      <c r="M864" s="98" t="s">
        <v>39</v>
      </c>
      <c r="N864" s="103" t="str">
        <f>IFERROR(__xludf.DUMMYFUNCTION("""COMPUTED_VALUE"""),"")</f>
        <v/>
      </c>
      <c r="O864" s="104"/>
      <c r="P864" s="104"/>
      <c r="Q864" s="104"/>
      <c r="R864" s="104" t="s">
        <v>4652</v>
      </c>
      <c r="S864" s="104" t="s">
        <v>39</v>
      </c>
      <c r="T864" s="104" t="s">
        <v>4653</v>
      </c>
      <c r="U864" s="104"/>
      <c r="V864" s="104" t="s">
        <v>4653</v>
      </c>
      <c r="W864" s="104"/>
    </row>
    <row r="865">
      <c r="A865" s="105">
        <v>46110.0</v>
      </c>
      <c r="B865" s="79" t="str">
        <f>IFERROR(__xludf.DUMMYFUNCTION("""COMPUTED_VALUE"""),"TA-OC-HB-1G")</f>
        <v>TA-OC-HB-1G</v>
      </c>
      <c r="C865" s="104"/>
      <c r="D865" s="104"/>
      <c r="E865" s="104" t="str">
        <f>IFERROR(__xludf.DUMMYFUNCTION("""COMPUTED_VALUE"""),"ST-PO-4-NU-1")</f>
        <v>ST-PO-4-NU-1</v>
      </c>
      <c r="F865" s="98">
        <v>0.05384615384615384</v>
      </c>
      <c r="G865" s="110"/>
      <c r="H865" s="98"/>
      <c r="I865" s="98"/>
      <c r="J865" s="98"/>
      <c r="K865" s="98"/>
      <c r="L865" s="104"/>
      <c r="M865" s="98" t="s">
        <v>39</v>
      </c>
      <c r="N865" s="103" t="str">
        <f>IFERROR(__xludf.DUMMYFUNCTION("""COMPUTED_VALUE"""),"")</f>
        <v/>
      </c>
      <c r="O865" s="104"/>
      <c r="P865" s="104"/>
      <c r="Q865" s="104"/>
      <c r="R865" s="104" t="s">
        <v>4654</v>
      </c>
      <c r="S865" s="104" t="s">
        <v>39</v>
      </c>
      <c r="T865" s="104" t="s">
        <v>4655</v>
      </c>
      <c r="U865" s="104"/>
      <c r="V865" s="104" t="s">
        <v>4655</v>
      </c>
      <c r="W865" s="104"/>
    </row>
    <row r="866">
      <c r="A866" s="105">
        <v>46110.0</v>
      </c>
      <c r="B866" s="79" t="str">
        <f>IFERROR(__xludf.DUMMYFUNCTION("""COMPUTED_VALUE"""),"TA-OC-HB-1H")</f>
        <v>TA-OC-HB-1H</v>
      </c>
      <c r="C866" s="104"/>
      <c r="D866" s="104"/>
      <c r="E866" s="104" t="str">
        <f>IFERROR(__xludf.DUMMYFUNCTION("""COMPUTED_VALUE"""),"ST-PO-4-NU-1")</f>
        <v>ST-PO-4-NU-1</v>
      </c>
      <c r="F866" s="98">
        <v>0.05384615384615384</v>
      </c>
      <c r="G866" s="110"/>
      <c r="H866" s="98"/>
      <c r="I866" s="98"/>
      <c r="J866" s="98"/>
      <c r="K866" s="98"/>
      <c r="L866" s="104"/>
      <c r="M866" s="98" t="s">
        <v>39</v>
      </c>
      <c r="N866" s="103" t="str">
        <f>IFERROR(__xludf.DUMMYFUNCTION("""COMPUTED_VALUE"""),"")</f>
        <v/>
      </c>
      <c r="O866" s="104"/>
      <c r="P866" s="104"/>
      <c r="Q866" s="104"/>
      <c r="R866" s="104" t="s">
        <v>4656</v>
      </c>
      <c r="S866" s="104" t="s">
        <v>39</v>
      </c>
      <c r="T866" s="104" t="s">
        <v>4657</v>
      </c>
      <c r="U866" s="104"/>
      <c r="V866" s="104" t="s">
        <v>4657</v>
      </c>
      <c r="W866" s="104"/>
    </row>
    <row r="867">
      <c r="A867" s="105">
        <v>46110.0</v>
      </c>
      <c r="B867" s="79" t="str">
        <f>IFERROR(__xludf.DUMMYFUNCTION("""COMPUTED_VALUE"""),"TA-OC-HB-1I")</f>
        <v>TA-OC-HB-1I</v>
      </c>
      <c r="C867" s="104"/>
      <c r="D867" s="104"/>
      <c r="E867" s="104" t="str">
        <f>IFERROR(__xludf.DUMMYFUNCTION("""COMPUTED_VALUE"""),"ST-PO-4-NU-1")</f>
        <v>ST-PO-4-NU-1</v>
      </c>
      <c r="F867" s="98">
        <v>0.05384615384615384</v>
      </c>
      <c r="G867" s="110"/>
      <c r="H867" s="98"/>
      <c r="I867" s="98"/>
      <c r="J867" s="98"/>
      <c r="K867" s="98"/>
      <c r="L867" s="104"/>
      <c r="M867" s="98" t="s">
        <v>39</v>
      </c>
      <c r="N867" s="103" t="str">
        <f>IFERROR(__xludf.DUMMYFUNCTION("""COMPUTED_VALUE"""),"")</f>
        <v/>
      </c>
      <c r="O867" s="104"/>
      <c r="P867" s="104"/>
      <c r="Q867" s="104"/>
      <c r="R867" s="104" t="s">
        <v>4658</v>
      </c>
      <c r="S867" s="104" t="s">
        <v>39</v>
      </c>
      <c r="T867" s="104" t="s">
        <v>4659</v>
      </c>
      <c r="U867" s="104"/>
      <c r="V867" s="104" t="s">
        <v>4659</v>
      </c>
      <c r="W867" s="104"/>
    </row>
    <row r="868">
      <c r="A868" s="105">
        <v>46110.0</v>
      </c>
      <c r="B868" s="79" t="str">
        <f>IFERROR(__xludf.DUMMYFUNCTION("""COMPUTED_VALUE"""),"TA-OC-HB-1J")</f>
        <v>TA-OC-HB-1J</v>
      </c>
      <c r="C868" s="104"/>
      <c r="D868" s="104"/>
      <c r="E868" s="104" t="str">
        <f>IFERROR(__xludf.DUMMYFUNCTION("""COMPUTED_VALUE"""),"ST-PO-4-NU-1")</f>
        <v>ST-PO-4-NU-1</v>
      </c>
      <c r="F868" s="98">
        <v>0.05384615384615384</v>
      </c>
      <c r="G868" s="110"/>
      <c r="H868" s="98"/>
      <c r="I868" s="98"/>
      <c r="J868" s="98"/>
      <c r="K868" s="98"/>
      <c r="L868" s="104"/>
      <c r="M868" s="98" t="s">
        <v>39</v>
      </c>
      <c r="N868" s="103" t="str">
        <f>IFERROR(__xludf.DUMMYFUNCTION("""COMPUTED_VALUE"""),"")</f>
        <v/>
      </c>
      <c r="O868" s="104"/>
      <c r="P868" s="104"/>
      <c r="Q868" s="104"/>
      <c r="R868" s="104" t="s">
        <v>4660</v>
      </c>
      <c r="S868" s="104" t="s">
        <v>39</v>
      </c>
      <c r="T868" s="104" t="s">
        <v>4661</v>
      </c>
      <c r="U868" s="104"/>
      <c r="V868" s="104" t="s">
        <v>4661</v>
      </c>
      <c r="W868" s="104"/>
    </row>
    <row r="869">
      <c r="A869" s="105">
        <v>46110.0</v>
      </c>
      <c r="B869" s="79" t="str">
        <f>IFERROR(__xludf.DUMMYFUNCTION("""COMPUTED_VALUE"""),"TA-OC-HB-1K")</f>
        <v>TA-OC-HB-1K</v>
      </c>
      <c r="C869" s="104"/>
      <c r="D869" s="104"/>
      <c r="E869" s="104" t="str">
        <f>IFERROR(__xludf.DUMMYFUNCTION("""COMPUTED_VALUE"""),"ST-PO-4-NU-1")</f>
        <v>ST-PO-4-NU-1</v>
      </c>
      <c r="F869" s="98">
        <v>0.05384615384615384</v>
      </c>
      <c r="G869" s="110"/>
      <c r="H869" s="98"/>
      <c r="I869" s="98"/>
      <c r="J869" s="98"/>
      <c r="K869" s="98"/>
      <c r="L869" s="104"/>
      <c r="M869" s="98" t="s">
        <v>39</v>
      </c>
      <c r="N869" s="103" t="str">
        <f>IFERROR(__xludf.DUMMYFUNCTION("""COMPUTED_VALUE"""),"")</f>
        <v/>
      </c>
      <c r="O869" s="104"/>
      <c r="P869" s="104"/>
      <c r="Q869" s="104"/>
      <c r="R869" s="104" t="s">
        <v>4662</v>
      </c>
      <c r="S869" s="104" t="s">
        <v>39</v>
      </c>
      <c r="T869" s="104" t="s">
        <v>4663</v>
      </c>
      <c r="U869" s="104"/>
      <c r="V869" s="104" t="s">
        <v>4663</v>
      </c>
      <c r="W869" s="104"/>
    </row>
    <row r="870">
      <c r="A870" s="105">
        <v>46110.0</v>
      </c>
      <c r="B870" s="79" t="str">
        <f>IFERROR(__xludf.DUMMYFUNCTION("""COMPUTED_VALUE"""),"TA-OC-HB-1L")</f>
        <v>TA-OC-HB-1L</v>
      </c>
      <c r="C870" s="104"/>
      <c r="D870" s="104"/>
      <c r="E870" s="104" t="str">
        <f>IFERROR(__xludf.DUMMYFUNCTION("""COMPUTED_VALUE"""),"ST-PO-4-NU-1")</f>
        <v>ST-PO-4-NU-1</v>
      </c>
      <c r="F870" s="98">
        <v>0.05384615384615384</v>
      </c>
      <c r="G870" s="110"/>
      <c r="H870" s="98"/>
      <c r="I870" s="98"/>
      <c r="J870" s="98"/>
      <c r="K870" s="98"/>
      <c r="L870" s="104"/>
      <c r="M870" s="98" t="s">
        <v>39</v>
      </c>
      <c r="N870" s="103" t="str">
        <f>IFERROR(__xludf.DUMMYFUNCTION("""COMPUTED_VALUE"""),"")</f>
        <v/>
      </c>
      <c r="O870" s="104"/>
      <c r="P870" s="104"/>
      <c r="Q870" s="104"/>
      <c r="R870" s="104" t="s">
        <v>4664</v>
      </c>
      <c r="S870" s="104" t="s">
        <v>39</v>
      </c>
      <c r="T870" s="104" t="s">
        <v>4665</v>
      </c>
      <c r="U870" s="104"/>
      <c r="V870" s="104" t="s">
        <v>4665</v>
      </c>
      <c r="W870" s="104"/>
    </row>
    <row r="871">
      <c r="A871" s="105">
        <v>46110.0</v>
      </c>
      <c r="B871" s="79" t="str">
        <f>IFERROR(__xludf.DUMMYFUNCTION("""COMPUTED_VALUE"""),"TA-OC-HB-1M")</f>
        <v>TA-OC-HB-1M</v>
      </c>
      <c r="C871" s="104"/>
      <c r="D871" s="104"/>
      <c r="E871" s="104" t="str">
        <f>IFERROR(__xludf.DUMMYFUNCTION("""COMPUTED_VALUE"""),"ST-PO-4-NU-1")</f>
        <v>ST-PO-4-NU-1</v>
      </c>
      <c r="F871" s="98">
        <v>0.05384615384615384</v>
      </c>
      <c r="G871" s="110"/>
      <c r="H871" s="98"/>
      <c r="I871" s="98"/>
      <c r="J871" s="98"/>
      <c r="K871" s="98"/>
      <c r="L871" s="104"/>
      <c r="M871" s="98" t="s">
        <v>39</v>
      </c>
      <c r="N871" s="103" t="str">
        <f>IFERROR(__xludf.DUMMYFUNCTION("""COMPUTED_VALUE"""),"")</f>
        <v/>
      </c>
      <c r="O871" s="104"/>
      <c r="P871" s="104"/>
      <c r="Q871" s="104"/>
      <c r="R871" s="104" t="s">
        <v>4666</v>
      </c>
      <c r="S871" s="104" t="s">
        <v>39</v>
      </c>
      <c r="T871" s="104" t="s">
        <v>4667</v>
      </c>
      <c r="U871" s="104"/>
      <c r="V871" s="104" t="s">
        <v>4667</v>
      </c>
      <c r="W871" s="104"/>
    </row>
    <row r="872">
      <c r="A872" s="105">
        <v>46011.0</v>
      </c>
      <c r="B872" s="79" t="str">
        <f>IFERROR(__xludf.DUMMYFUNCTION("""COMPUTED_VALUE"""),"BWH-AL-QD-1E")</f>
        <v>BWH-AL-QD-1E</v>
      </c>
      <c r="C872" s="104"/>
      <c r="D872" s="104"/>
      <c r="E872" s="104" t="str">
        <f>IFERROR(__xludf.DUMMYFUNCTION("""COMPUTED_VALUE"""),"HY-PO-3-DO-1")</f>
        <v>HY-PO-3-DO-1</v>
      </c>
      <c r="F872" s="98">
        <v>1.3199999999999998</v>
      </c>
      <c r="G872" s="110"/>
      <c r="H872" s="98"/>
      <c r="I872" s="98"/>
      <c r="J872" s="98"/>
      <c r="K872" s="98"/>
      <c r="L872" s="104"/>
      <c r="M872" s="98" t="s">
        <v>39</v>
      </c>
      <c r="N872" s="103" t="str">
        <f>IFERROR(__xludf.DUMMYFUNCTION("""COMPUTED_VALUE"""),"")</f>
        <v/>
      </c>
      <c r="O872" s="104"/>
      <c r="P872" s="104"/>
      <c r="Q872" s="104"/>
      <c r="R872" s="104" t="s">
        <v>4668</v>
      </c>
      <c r="S872" s="104" t="s">
        <v>39</v>
      </c>
      <c r="T872" s="104" t="s">
        <v>4669</v>
      </c>
      <c r="U872" s="104"/>
      <c r="V872" s="104" t="s">
        <v>4669</v>
      </c>
      <c r="W872" s="104"/>
    </row>
    <row r="873">
      <c r="A873" s="105">
        <v>46140.0</v>
      </c>
      <c r="B873" s="79" t="str">
        <f>IFERROR(__xludf.DUMMYFUNCTION("""COMPUTED_VALUE"""),"HS-DR-SP-1D")</f>
        <v>HS-DR-SP-1D</v>
      </c>
      <c r="C873" s="104"/>
      <c r="D873" s="104"/>
      <c r="E873" s="104" t="str">
        <f>IFERROR(__xludf.DUMMYFUNCTION("""COMPUTED_VALUE"""),"GA-PO-6-BL-1")</f>
        <v>GA-PO-6-BL-1</v>
      </c>
      <c r="F873" s="98">
        <v>0.0</v>
      </c>
      <c r="G873" s="110"/>
      <c r="H873" s="98"/>
      <c r="I873" s="98"/>
      <c r="J873" s="98"/>
      <c r="K873" s="98"/>
      <c r="L873" s="104"/>
      <c r="M873" s="98" t="s">
        <v>39</v>
      </c>
      <c r="N873" s="103" t="str">
        <f>IFERROR(__xludf.DUMMYFUNCTION("""COMPUTED_VALUE"""),"")</f>
        <v/>
      </c>
      <c r="O873" s="104"/>
      <c r="P873" s="104"/>
      <c r="Q873" s="104"/>
      <c r="R873" s="104" t="s">
        <v>4670</v>
      </c>
      <c r="S873" s="104" t="s">
        <v>39</v>
      </c>
      <c r="T873" s="104" t="s">
        <v>4671</v>
      </c>
      <c r="U873" s="104"/>
      <c r="V873" s="104" t="s">
        <v>4671</v>
      </c>
      <c r="W873" s="104"/>
    </row>
    <row r="874">
      <c r="A874" s="105">
        <v>45893.0</v>
      </c>
      <c r="B874" s="79" t="str">
        <f>IFERROR(__xludf.DUMMYFUNCTION("""COMPUTED_VALUE"""),"HS-SP-PLD-1B")</f>
        <v>HS-SP-PLD-1B</v>
      </c>
      <c r="C874" s="104"/>
      <c r="D874" s="104"/>
      <c r="E874" s="104" t="str">
        <f>IFERROR(__xludf.DUMMYFUNCTION("""COMPUTED_VALUE"""),"ST-PO-6-NU-1")</f>
        <v>ST-PO-6-NU-1</v>
      </c>
      <c r="F874" s="98">
        <v>2.49875</v>
      </c>
      <c r="G874" s="110"/>
      <c r="H874" s="98"/>
      <c r="I874" s="98"/>
      <c r="J874" s="98"/>
      <c r="K874" s="98"/>
      <c r="L874" s="104"/>
      <c r="M874" s="98" t="s">
        <v>39</v>
      </c>
      <c r="N874" s="103" t="str">
        <f>IFERROR(__xludf.DUMMYFUNCTION("""COMPUTED_VALUE"""),"")</f>
        <v/>
      </c>
      <c r="O874" s="104"/>
      <c r="P874" s="104"/>
      <c r="Q874" s="104"/>
      <c r="R874" s="104" t="s">
        <v>4672</v>
      </c>
      <c r="S874" s="104" t="s">
        <v>39</v>
      </c>
      <c r="T874" s="104" t="s">
        <v>4673</v>
      </c>
      <c r="U874" s="104"/>
      <c r="V874" s="104" t="s">
        <v>4673</v>
      </c>
      <c r="W874" s="104"/>
    </row>
    <row r="875">
      <c r="A875" s="105">
        <v>45893.0</v>
      </c>
      <c r="B875" s="79" t="str">
        <f>IFERROR(__xludf.DUMMYFUNCTION("""COMPUTED_VALUE"""),"HS-SP-PLD-1C")</f>
        <v>HS-SP-PLD-1C</v>
      </c>
      <c r="C875" s="104"/>
      <c r="D875" s="104"/>
      <c r="E875" s="104" t="str">
        <f>IFERROR(__xludf.DUMMYFUNCTION("""COMPUTED_VALUE"""),"PS-PO-5.5-MU-1")</f>
        <v>PS-PO-5.5-MU-1</v>
      </c>
      <c r="F875" s="98">
        <v>2.49875</v>
      </c>
      <c r="G875" s="110"/>
      <c r="H875" s="98"/>
      <c r="I875" s="98"/>
      <c r="J875" s="98"/>
      <c r="K875" s="98"/>
      <c r="L875" s="104"/>
      <c r="M875" s="98" t="s">
        <v>39</v>
      </c>
      <c r="N875" s="103" t="str">
        <f>IFERROR(__xludf.DUMMYFUNCTION("""COMPUTED_VALUE"""),"")</f>
        <v/>
      </c>
      <c r="O875" s="104"/>
      <c r="P875" s="104"/>
      <c r="Q875" s="104"/>
      <c r="R875" s="104" t="s">
        <v>4674</v>
      </c>
      <c r="S875" s="104" t="s">
        <v>39</v>
      </c>
      <c r="T875" s="104" t="s">
        <v>4675</v>
      </c>
      <c r="U875" s="104"/>
      <c r="V875" s="104" t="s">
        <v>4675</v>
      </c>
      <c r="W875" s="104"/>
    </row>
    <row r="876">
      <c r="A876" s="105">
        <v>45893.0</v>
      </c>
      <c r="B876" s="79" t="str">
        <f>IFERROR(__xludf.DUMMYFUNCTION("""COMPUTED_VALUE"""),"HS-SP-PLD-1D")</f>
        <v>HS-SP-PLD-1D</v>
      </c>
      <c r="C876" s="104"/>
      <c r="D876" s="104"/>
      <c r="E876" s="104" t="str">
        <f>IFERROR(__xludf.DUMMYFUNCTION("""COMPUTED_VALUE"""),"TE-PO-4-MU-1")</f>
        <v>TE-PO-4-MU-1</v>
      </c>
      <c r="F876" s="98">
        <v>2.49875</v>
      </c>
      <c r="G876" s="110"/>
      <c r="H876" s="98"/>
      <c r="I876" s="98"/>
      <c r="J876" s="98"/>
      <c r="K876" s="98"/>
      <c r="L876" s="104"/>
      <c r="M876" s="98" t="s">
        <v>39</v>
      </c>
      <c r="N876" s="103" t="str">
        <f>IFERROR(__xludf.DUMMYFUNCTION("""COMPUTED_VALUE"""),"")</f>
        <v/>
      </c>
      <c r="O876" s="104"/>
      <c r="P876" s="104"/>
      <c r="Q876" s="104"/>
      <c r="R876" s="104" t="s">
        <v>4676</v>
      </c>
      <c r="S876" s="104" t="s">
        <v>39</v>
      </c>
      <c r="T876" s="104" t="s">
        <v>4677</v>
      </c>
      <c r="U876" s="104"/>
      <c r="V876" s="104" t="s">
        <v>4677</v>
      </c>
      <c r="W876" s="104"/>
    </row>
    <row r="877">
      <c r="A877" s="105">
        <v>45893.0</v>
      </c>
      <c r="B877" s="79" t="str">
        <f>IFERROR(__xludf.DUMMYFUNCTION("""COMPUTED_VALUE"""),"HS-SP-PLD-1F")</f>
        <v>HS-SP-PLD-1F</v>
      </c>
      <c r="C877" s="104"/>
      <c r="D877" s="104"/>
      <c r="E877" s="104" t="str">
        <f>IFERROR(__xludf.DUMMYFUNCTION("""COMPUTED_VALUE"""),"DV-PO-2-WH-1")</f>
        <v>DV-PO-2-WH-1</v>
      </c>
      <c r="F877" s="98">
        <v>2.49875</v>
      </c>
      <c r="G877" s="110"/>
      <c r="H877" s="98"/>
      <c r="I877" s="98"/>
      <c r="J877" s="98"/>
      <c r="K877" s="98"/>
      <c r="L877" s="104"/>
      <c r="M877" s="98" t="s">
        <v>39</v>
      </c>
      <c r="N877" s="103" t="str">
        <f>IFERROR(__xludf.DUMMYFUNCTION("""COMPUTED_VALUE"""),"")</f>
        <v/>
      </c>
      <c r="O877" s="104"/>
      <c r="P877" s="104"/>
      <c r="Q877" s="104"/>
      <c r="R877" s="104" t="s">
        <v>4678</v>
      </c>
      <c r="S877" s="104" t="s">
        <v>39</v>
      </c>
      <c r="T877" s="104" t="s">
        <v>4679</v>
      </c>
      <c r="U877" s="104"/>
      <c r="V877" s="104" t="s">
        <v>4679</v>
      </c>
      <c r="W877" s="104"/>
    </row>
    <row r="878">
      <c r="A878" s="105">
        <v>45893.0</v>
      </c>
      <c r="B878" s="79" t="str">
        <f>IFERROR(__xludf.DUMMYFUNCTION("""COMPUTED_VALUE"""),"HS-SP-PLD-1G")</f>
        <v>HS-SP-PLD-1G</v>
      </c>
      <c r="C878" s="104"/>
      <c r="D878" s="104"/>
      <c r="E878" s="104" t="str">
        <f>IFERROR(__xludf.DUMMYFUNCTION("""COMPUTED_VALUE"""),"MU-PO-3-MU-1")</f>
        <v>MU-PO-3-MU-1</v>
      </c>
      <c r="F878" s="98">
        <v>2.49875</v>
      </c>
      <c r="G878" s="110"/>
      <c r="H878" s="98"/>
      <c r="I878" s="98"/>
      <c r="J878" s="98"/>
      <c r="K878" s="98"/>
      <c r="L878" s="104"/>
      <c r="M878" s="98" t="s">
        <v>39</v>
      </c>
      <c r="N878" s="103" t="str">
        <f>IFERROR(__xludf.DUMMYFUNCTION("""COMPUTED_VALUE"""),"")</f>
        <v/>
      </c>
      <c r="O878" s="104"/>
      <c r="P878" s="104"/>
      <c r="Q878" s="104"/>
      <c r="R878" s="104" t="s">
        <v>4680</v>
      </c>
      <c r="S878" s="104" t="s">
        <v>39</v>
      </c>
      <c r="T878" s="104" t="s">
        <v>4681</v>
      </c>
      <c r="U878" s="104"/>
      <c r="V878" s="104" t="s">
        <v>4681</v>
      </c>
      <c r="W878" s="104"/>
    </row>
    <row r="879">
      <c r="A879" s="105">
        <v>45893.0</v>
      </c>
      <c r="B879" s="79" t="str">
        <f>IFERROR(__xludf.DUMMYFUNCTION("""COMPUTED_VALUE"""),"HS-SP-PLD-1H")</f>
        <v>HS-SP-PLD-1H</v>
      </c>
      <c r="C879" s="104"/>
      <c r="D879" s="104"/>
      <c r="E879" s="104" t="str">
        <f>IFERROR(__xludf.DUMMYFUNCTION("""COMPUTED_VALUE"""),"DV-PO-2-WH-1")</f>
        <v>DV-PO-2-WH-1</v>
      </c>
      <c r="F879" s="98">
        <v>2.49875</v>
      </c>
      <c r="G879" s="110"/>
      <c r="H879" s="98"/>
      <c r="I879" s="98"/>
      <c r="J879" s="98"/>
      <c r="K879" s="98"/>
      <c r="L879" s="104"/>
      <c r="M879" s="98" t="s">
        <v>39</v>
      </c>
      <c r="N879" s="103" t="str">
        <f>IFERROR(__xludf.DUMMYFUNCTION("""COMPUTED_VALUE"""),"")</f>
        <v/>
      </c>
      <c r="O879" s="104"/>
      <c r="P879" s="104"/>
      <c r="Q879" s="104"/>
      <c r="R879" s="104" t="s">
        <v>4682</v>
      </c>
      <c r="S879" s="104" t="s">
        <v>39</v>
      </c>
      <c r="T879" s="104" t="s">
        <v>4683</v>
      </c>
      <c r="U879" s="104"/>
      <c r="V879" s="104" t="s">
        <v>4683</v>
      </c>
      <c r="W879" s="104"/>
    </row>
    <row r="880">
      <c r="A880" s="105">
        <v>46146.0</v>
      </c>
      <c r="B880" s="79" t="str">
        <f>IFERROR(__xludf.DUMMYFUNCTION("""COMPUTED_VALUE"""),"BWH-PH-RAPK-1A-5B")</f>
        <v>BWH-PH-RAPK-1A-5B</v>
      </c>
      <c r="C880" s="104"/>
      <c r="D880" s="104"/>
      <c r="E880" s="104" t="str">
        <f>IFERROR(__xludf.DUMMYFUNCTION("""COMPUTED_VALUE"""),"YA-PO-2-CL-1")</f>
        <v>YA-PO-2-CL-1</v>
      </c>
      <c r="F880" s="98">
        <v>3.4</v>
      </c>
      <c r="G880" s="110"/>
      <c r="H880" s="98"/>
      <c r="I880" s="98"/>
      <c r="J880" s="98"/>
      <c r="K880" s="98"/>
      <c r="L880" s="104"/>
      <c r="M880" s="98" t="s">
        <v>39</v>
      </c>
      <c r="N880" s="103" t="str">
        <f>IFERROR(__xludf.DUMMYFUNCTION("""COMPUTED_VALUE"""),"")</f>
        <v/>
      </c>
      <c r="O880" s="104"/>
      <c r="P880" s="104"/>
      <c r="Q880" s="104"/>
      <c r="R880" s="104" t="s">
        <v>4684</v>
      </c>
      <c r="S880" s="104" t="s">
        <v>39</v>
      </c>
      <c r="T880" s="104" t="s">
        <v>4685</v>
      </c>
      <c r="U880" s="104"/>
      <c r="V880" s="104" t="s">
        <v>4685</v>
      </c>
      <c r="W880" s="104"/>
    </row>
    <row r="881">
      <c r="A881" s="105">
        <v>46146.0</v>
      </c>
      <c r="B881" s="79" t="str">
        <f>IFERROR(__xludf.DUMMYFUNCTION("""COMPUTED_VALUE"""),"BWH-PH-RAPK-1A-5C")</f>
        <v>BWH-PH-RAPK-1A-5C</v>
      </c>
      <c r="C881" s="104"/>
      <c r="D881" s="104"/>
      <c r="E881" s="104" t="str">
        <f>IFERROR(__xludf.DUMMYFUNCTION("""COMPUTED_VALUE"""),"YA-PO-2-CL-1")</f>
        <v>YA-PO-2-CL-1</v>
      </c>
      <c r="F881" s="98">
        <v>3.4</v>
      </c>
      <c r="G881" s="110"/>
      <c r="H881" s="98"/>
      <c r="I881" s="98"/>
      <c r="J881" s="98"/>
      <c r="K881" s="98"/>
      <c r="L881" s="104"/>
      <c r="M881" s="98" t="s">
        <v>39</v>
      </c>
      <c r="N881" s="103" t="str">
        <f>IFERROR(__xludf.DUMMYFUNCTION("""COMPUTED_VALUE"""),"")</f>
        <v/>
      </c>
      <c r="O881" s="104"/>
      <c r="P881" s="104"/>
      <c r="Q881" s="104"/>
      <c r="R881" s="104" t="s">
        <v>4686</v>
      </c>
      <c r="S881" s="104" t="s">
        <v>39</v>
      </c>
      <c r="T881" s="104" t="s">
        <v>4687</v>
      </c>
      <c r="U881" s="104"/>
      <c r="V881" s="104" t="s">
        <v>4687</v>
      </c>
      <c r="W881" s="104"/>
    </row>
    <row r="882">
      <c r="A882" s="105">
        <v>46146.0</v>
      </c>
      <c r="B882" s="79" t="str">
        <f>IFERROR(__xludf.DUMMYFUNCTION("""COMPUTED_VALUE"""),"TA-TH-TH-1B")</f>
        <v>TA-TH-TH-1B</v>
      </c>
      <c r="C882" s="104"/>
      <c r="D882" s="104"/>
      <c r="E882" s="104" t="str">
        <f>IFERROR(__xludf.DUMMYFUNCTION("""COMPUTED_VALUE"""),"AGP-PO-4-BN-1")</f>
        <v>AGP-PO-4-BN-1</v>
      </c>
      <c r="F882" s="98">
        <v>0.02666666666666667</v>
      </c>
      <c r="G882" s="110"/>
      <c r="H882" s="98"/>
      <c r="I882" s="98"/>
      <c r="J882" s="98"/>
      <c r="K882" s="98"/>
      <c r="L882" s="104"/>
      <c r="M882" s="98" t="s">
        <v>39</v>
      </c>
      <c r="N882" s="103" t="str">
        <f>IFERROR(__xludf.DUMMYFUNCTION("""COMPUTED_VALUE"""),"")</f>
        <v/>
      </c>
      <c r="O882" s="104"/>
      <c r="P882" s="104"/>
      <c r="Q882" s="104"/>
      <c r="R882" s="104" t="s">
        <v>4688</v>
      </c>
      <c r="S882" s="104" t="s">
        <v>39</v>
      </c>
      <c r="T882" s="104" t="s">
        <v>4689</v>
      </c>
      <c r="U882" s="104"/>
      <c r="V882" s="104" t="s">
        <v>4689</v>
      </c>
      <c r="W882" s="104"/>
    </row>
    <row r="883">
      <c r="A883" s="105">
        <v>46146.0</v>
      </c>
      <c r="B883" s="79" t="str">
        <f>IFERROR(__xludf.DUMMYFUNCTION("""COMPUTED_VALUE"""),"TA-TH-TH-1C")</f>
        <v>TA-TH-TH-1C</v>
      </c>
      <c r="C883" s="104"/>
      <c r="D883" s="104"/>
      <c r="E883" s="104" t="str">
        <f>IFERROR(__xludf.DUMMYFUNCTION("""COMPUTED_VALUE"""),"AGP-PO-4-BN-1")</f>
        <v>AGP-PO-4-BN-1</v>
      </c>
      <c r="F883" s="98">
        <v>0.02666666666666667</v>
      </c>
      <c r="G883" s="110"/>
      <c r="H883" s="98"/>
      <c r="I883" s="98"/>
      <c r="J883" s="98"/>
      <c r="K883" s="98"/>
      <c r="L883" s="104"/>
      <c r="M883" s="98" t="s">
        <v>39</v>
      </c>
      <c r="N883" s="103" t="str">
        <f>IFERROR(__xludf.DUMMYFUNCTION("""COMPUTED_VALUE"""),"")</f>
        <v/>
      </c>
      <c r="O883" s="104"/>
      <c r="P883" s="104"/>
      <c r="Q883" s="104"/>
      <c r="R883" s="104" t="s">
        <v>4690</v>
      </c>
      <c r="S883" s="104" t="s">
        <v>39</v>
      </c>
      <c r="T883" s="104" t="s">
        <v>4691</v>
      </c>
      <c r="U883" s="104"/>
      <c r="V883" s="104" t="s">
        <v>4691</v>
      </c>
      <c r="W883" s="104"/>
    </row>
    <row r="884">
      <c r="A884" s="105">
        <v>46146.0</v>
      </c>
      <c r="B884" s="79" t="str">
        <f>IFERROR(__xludf.DUMMYFUNCTION("""COMPUTED_VALUE"""),"TA-TH-TH-1A-2B")</f>
        <v>TA-TH-TH-1A-2B</v>
      </c>
      <c r="C884" s="104"/>
      <c r="D884" s="104"/>
      <c r="E884" s="104" t="str">
        <f>IFERROR(__xludf.DUMMYFUNCTION("""COMPUTED_VALUE"""),"AGP-PO-4-BN-1")</f>
        <v>AGP-PO-4-BN-1</v>
      </c>
      <c r="F884" s="98">
        <v>0.04</v>
      </c>
      <c r="G884" s="110"/>
      <c r="H884" s="98"/>
      <c r="I884" s="98"/>
      <c r="J884" s="98"/>
      <c r="K884" s="98"/>
      <c r="L884" s="104"/>
      <c r="M884" s="98" t="s">
        <v>39</v>
      </c>
      <c r="N884" s="103" t="str">
        <f>IFERROR(__xludf.DUMMYFUNCTION("""COMPUTED_VALUE"""),"")</f>
        <v/>
      </c>
      <c r="O884" s="104"/>
      <c r="P884" s="104"/>
      <c r="Q884" s="104"/>
      <c r="R884" s="104" t="s">
        <v>4692</v>
      </c>
      <c r="S884" s="104" t="s">
        <v>39</v>
      </c>
      <c r="T884" s="104" t="s">
        <v>4693</v>
      </c>
      <c r="U884" s="104"/>
      <c r="V884" s="104" t="s">
        <v>4693</v>
      </c>
      <c r="W884" s="104"/>
    </row>
    <row r="885">
      <c r="A885" s="105">
        <v>46147.0</v>
      </c>
      <c r="B885" s="79" t="str">
        <f>IFERROR(__xludf.DUMMYFUNCTION("""COMPUTED_VALUE"""),"AGP-AL-NI-1A-3D")</f>
        <v>AGP-AL-NI-1A-3D</v>
      </c>
      <c r="C885" s="104"/>
      <c r="D885" s="104"/>
      <c r="E885" s="104" t="str">
        <f>IFERROR(__xludf.DUMMYFUNCTION("""COMPUTED_VALUE"""),"BS-PO-LG-PB-1")</f>
        <v>BS-PO-LG-PB-1</v>
      </c>
      <c r="F885" s="98">
        <v>0.7272727272727273</v>
      </c>
      <c r="G885" s="110"/>
      <c r="H885" s="98"/>
      <c r="I885" s="98"/>
      <c r="J885" s="98"/>
      <c r="K885" s="98"/>
      <c r="L885" s="104"/>
      <c r="M885" s="98" t="s">
        <v>39</v>
      </c>
      <c r="N885" s="103" t="str">
        <f>IFERROR(__xludf.DUMMYFUNCTION("""COMPUTED_VALUE"""),"")</f>
        <v/>
      </c>
      <c r="O885" s="104"/>
      <c r="P885" s="104"/>
      <c r="Q885" s="104"/>
      <c r="R885" s="104" t="s">
        <v>4694</v>
      </c>
      <c r="S885" s="104" t="s">
        <v>39</v>
      </c>
      <c r="T885" s="104" t="s">
        <v>4695</v>
      </c>
      <c r="U885" s="104"/>
      <c r="V885" s="104" t="s">
        <v>4695</v>
      </c>
      <c r="W885" s="104"/>
    </row>
    <row r="886">
      <c r="A886" s="105">
        <v>46147.0</v>
      </c>
      <c r="B886" s="79" t="str">
        <f>IFERROR(__xludf.DUMMYFUNCTION("""COMPUTED_VALUE"""),"AGP-AL-NI-1A-3E")</f>
        <v>AGP-AL-NI-1A-3E</v>
      </c>
      <c r="C886" s="104"/>
      <c r="D886" s="104"/>
      <c r="E886" s="104" t="str">
        <f>IFERROR(__xludf.DUMMYFUNCTION("""COMPUTED_VALUE"""),"BS-PO-LG-PB-1")</f>
        <v>BS-PO-LG-PB-1</v>
      </c>
      <c r="F886" s="98">
        <v>0.7272727272727273</v>
      </c>
      <c r="G886" s="110"/>
      <c r="H886" s="98"/>
      <c r="I886" s="98"/>
      <c r="J886" s="98"/>
      <c r="K886" s="98"/>
      <c r="L886" s="104"/>
      <c r="M886" s="98" t="s">
        <v>39</v>
      </c>
      <c r="N886" s="103" t="str">
        <f>IFERROR(__xludf.DUMMYFUNCTION("""COMPUTED_VALUE"""),"")</f>
        <v/>
      </c>
      <c r="O886" s="104"/>
      <c r="P886" s="104"/>
      <c r="Q886" s="104"/>
      <c r="R886" s="104" t="s">
        <v>4696</v>
      </c>
      <c r="S886" s="104" t="s">
        <v>39</v>
      </c>
      <c r="T886" s="104" t="s">
        <v>4697</v>
      </c>
      <c r="U886" s="104"/>
      <c r="V886" s="104" t="s">
        <v>4697</v>
      </c>
      <c r="W886" s="104"/>
    </row>
    <row r="887">
      <c r="A887" s="105">
        <v>46147.0</v>
      </c>
      <c r="B887" s="79" t="str">
        <f>IFERROR(__xludf.DUMMYFUNCTION("""COMPUTED_VALUE"""),"AGP-AL-NI-1A-3F")</f>
        <v>AGP-AL-NI-1A-3F</v>
      </c>
      <c r="C887" s="104"/>
      <c r="D887" s="104"/>
      <c r="E887" s="104" t="str">
        <f>IFERROR(__xludf.DUMMYFUNCTION("""COMPUTED_VALUE"""),"BS-PO-LG-PB-1")</f>
        <v>BS-PO-LG-PB-1</v>
      </c>
      <c r="F887" s="98">
        <v>0.7272727272727273</v>
      </c>
      <c r="G887" s="110"/>
      <c r="H887" s="98"/>
      <c r="I887" s="98"/>
      <c r="J887" s="98"/>
      <c r="K887" s="98"/>
      <c r="L887" s="104"/>
      <c r="M887" s="98" t="s">
        <v>39</v>
      </c>
      <c r="N887" s="103" t="str">
        <f>IFERROR(__xludf.DUMMYFUNCTION("""COMPUTED_VALUE"""),"")</f>
        <v/>
      </c>
      <c r="O887" s="104"/>
      <c r="P887" s="104"/>
      <c r="Q887" s="104"/>
      <c r="R887" s="104" t="s">
        <v>4698</v>
      </c>
      <c r="S887" s="104" t="s">
        <v>39</v>
      </c>
      <c r="T887" s="104" t="s">
        <v>4699</v>
      </c>
      <c r="U887" s="104"/>
      <c r="V887" s="104" t="s">
        <v>4699</v>
      </c>
      <c r="W887" s="104"/>
    </row>
    <row r="888">
      <c r="A888" s="105">
        <v>46147.0</v>
      </c>
      <c r="B888" s="79" t="str">
        <f>IFERROR(__xludf.DUMMYFUNCTION("""COMPUTED_VALUE"""),"AGP-AL-NI-1A-3G")</f>
        <v>AGP-AL-NI-1A-3G</v>
      </c>
      <c r="C888" s="104"/>
      <c r="D888" s="104"/>
      <c r="E888" s="104" t="str">
        <f>IFERROR(__xludf.DUMMYFUNCTION("""COMPUTED_VALUE"""),"BS-PO-LG-PB-1")</f>
        <v>BS-PO-LG-PB-1</v>
      </c>
      <c r="F888" s="98">
        <v>0.7272727272727273</v>
      </c>
      <c r="G888" s="110"/>
      <c r="H888" s="98"/>
      <c r="I888" s="98"/>
      <c r="J888" s="98"/>
      <c r="K888" s="98"/>
      <c r="L888" s="104"/>
      <c r="M888" s="98" t="s">
        <v>39</v>
      </c>
      <c r="N888" s="103" t="str">
        <f>IFERROR(__xludf.DUMMYFUNCTION("""COMPUTED_VALUE"""),"")</f>
        <v/>
      </c>
      <c r="O888" s="104"/>
      <c r="P888" s="104"/>
      <c r="Q888" s="104"/>
      <c r="R888" s="104" t="s">
        <v>4700</v>
      </c>
      <c r="S888" s="104" t="s">
        <v>39</v>
      </c>
      <c r="T888" s="104" t="s">
        <v>4701</v>
      </c>
      <c r="U888" s="104"/>
      <c r="V888" s="104" t="s">
        <v>4701</v>
      </c>
      <c r="W888" s="104"/>
    </row>
    <row r="889">
      <c r="A889" s="105">
        <v>46147.0</v>
      </c>
      <c r="B889" s="79" t="str">
        <f>IFERROR(__xludf.DUMMYFUNCTION("""COMPUTED_VALUE"""),"AGP-AL-NI-1A-3H")</f>
        <v>AGP-AL-NI-1A-3H</v>
      </c>
      <c r="C889" s="104"/>
      <c r="D889" s="104"/>
      <c r="E889" s="104" t="str">
        <f>IFERROR(__xludf.DUMMYFUNCTION("""COMPUTED_VALUE"""),"BS-PO-LG-PB-1")</f>
        <v>BS-PO-LG-PB-1</v>
      </c>
      <c r="F889" s="98">
        <v>0.7272727272727273</v>
      </c>
      <c r="G889" s="110"/>
      <c r="H889" s="98"/>
      <c r="I889" s="98"/>
      <c r="J889" s="98"/>
      <c r="K889" s="98"/>
      <c r="L889" s="104"/>
      <c r="M889" s="98" t="s">
        <v>39</v>
      </c>
      <c r="N889" s="103" t="str">
        <f>IFERROR(__xludf.DUMMYFUNCTION("""COMPUTED_VALUE"""),"")</f>
        <v/>
      </c>
      <c r="O889" s="104"/>
      <c r="P889" s="104"/>
      <c r="Q889" s="104"/>
      <c r="R889" s="104" t="s">
        <v>4702</v>
      </c>
      <c r="S889" s="104" t="s">
        <v>39</v>
      </c>
      <c r="T889" s="104" t="s">
        <v>4703</v>
      </c>
      <c r="U889" s="104"/>
      <c r="V889" s="104" t="s">
        <v>4703</v>
      </c>
      <c r="W889" s="104"/>
    </row>
    <row r="890">
      <c r="A890" s="105">
        <v>46147.0</v>
      </c>
      <c r="B890" s="79" t="str">
        <f>IFERROR(__xludf.DUMMYFUNCTION("""COMPUTED_VALUE"""),"AGP-AL-NI-1A-3I")</f>
        <v>AGP-AL-NI-1A-3I</v>
      </c>
      <c r="C890" s="104"/>
      <c r="D890" s="104"/>
      <c r="E890" s="104" t="str">
        <f>IFERROR(__xludf.DUMMYFUNCTION("""COMPUTED_VALUE"""),"BS-PO-LG-PB-1")</f>
        <v>BS-PO-LG-PB-1</v>
      </c>
      <c r="F890" s="98">
        <v>0.7272727272727273</v>
      </c>
      <c r="G890" s="110"/>
      <c r="H890" s="98"/>
      <c r="I890" s="98"/>
      <c r="J890" s="98"/>
      <c r="K890" s="98"/>
      <c r="L890" s="104"/>
      <c r="M890" s="98" t="s">
        <v>39</v>
      </c>
      <c r="N890" s="103" t="str">
        <f>IFERROR(__xludf.DUMMYFUNCTION("""COMPUTED_VALUE"""),"")</f>
        <v/>
      </c>
      <c r="O890" s="104"/>
      <c r="P890" s="104"/>
      <c r="Q890" s="104"/>
      <c r="R890" s="104" t="s">
        <v>4704</v>
      </c>
      <c r="S890" s="104" t="s">
        <v>39</v>
      </c>
      <c r="T890" s="104" t="s">
        <v>4705</v>
      </c>
      <c r="U890" s="104"/>
      <c r="V890" s="104" t="s">
        <v>4705</v>
      </c>
      <c r="W890" s="104"/>
    </row>
    <row r="891">
      <c r="A891" s="105">
        <v>46147.0</v>
      </c>
      <c r="B891" s="79" t="str">
        <f>IFERROR(__xludf.DUMMYFUNCTION("""COMPUTED_VALUE"""),"AGP-AL-NI-1A-3J")</f>
        <v>AGP-AL-NI-1A-3J</v>
      </c>
      <c r="C891" s="104"/>
      <c r="D891" s="104"/>
      <c r="E891" s="104" t="str">
        <f>IFERROR(__xludf.DUMMYFUNCTION("""COMPUTED_VALUE"""),"BS-PO-LG-PB-1")</f>
        <v>BS-PO-LG-PB-1</v>
      </c>
      <c r="F891" s="98">
        <v>0.7272727272727273</v>
      </c>
      <c r="G891" s="110"/>
      <c r="H891" s="98"/>
      <c r="I891" s="98"/>
      <c r="J891" s="98"/>
      <c r="K891" s="98"/>
      <c r="L891" s="104"/>
      <c r="M891" s="98" t="s">
        <v>39</v>
      </c>
      <c r="N891" s="103" t="str">
        <f>IFERROR(__xludf.DUMMYFUNCTION("""COMPUTED_VALUE"""),"")</f>
        <v/>
      </c>
      <c r="O891" s="104"/>
      <c r="P891" s="104"/>
      <c r="Q891" s="104"/>
      <c r="R891" s="104" t="s">
        <v>4706</v>
      </c>
      <c r="S891" s="104" t="s">
        <v>39</v>
      </c>
      <c r="T891" s="104" t="s">
        <v>4707</v>
      </c>
      <c r="U891" s="104"/>
      <c r="V891" s="104" t="s">
        <v>4707</v>
      </c>
      <c r="W891" s="104"/>
    </row>
    <row r="892">
      <c r="A892" s="105">
        <v>46147.0</v>
      </c>
      <c r="B892" s="79" t="str">
        <f>IFERROR(__xludf.DUMMYFUNCTION("""COMPUTED_VALUE"""),"BWH-SYN-WE-1B")</f>
        <v>BWH-SYN-WE-1B</v>
      </c>
      <c r="C892" s="104"/>
      <c r="D892" s="104"/>
      <c r="E892" s="104" t="str">
        <f>IFERROR(__xludf.DUMMYFUNCTION("""COMPUTED_VALUE"""),"AGP-PO-4-BN-1")</f>
        <v>AGP-PO-4-BN-1</v>
      </c>
      <c r="F892" s="98">
        <v>3.15</v>
      </c>
      <c r="G892" s="110"/>
      <c r="H892" s="98"/>
      <c r="I892" s="98"/>
      <c r="J892" s="98"/>
      <c r="K892" s="98"/>
      <c r="L892" s="104"/>
      <c r="M892" s="98" t="s">
        <v>39</v>
      </c>
      <c r="N892" s="103" t="str">
        <f>IFERROR(__xludf.DUMMYFUNCTION("""COMPUTED_VALUE"""),"")</f>
        <v/>
      </c>
      <c r="O892" s="104"/>
      <c r="P892" s="104"/>
      <c r="Q892" s="104"/>
      <c r="R892" s="104" t="s">
        <v>4708</v>
      </c>
      <c r="S892" s="104" t="s">
        <v>39</v>
      </c>
      <c r="T892" s="104" t="s">
        <v>4709</v>
      </c>
      <c r="U892" s="104"/>
      <c r="V892" s="104" t="s">
        <v>4709</v>
      </c>
      <c r="W892" s="104"/>
    </row>
    <row r="893">
      <c r="A893" s="105">
        <v>46147.0</v>
      </c>
      <c r="B893" s="79" t="str">
        <f>IFERROR(__xludf.DUMMYFUNCTION("""COMPUTED_VALUE"""),"FMY-MA-DE-1A-2B")</f>
        <v>FMY-MA-DE-1A-2B</v>
      </c>
      <c r="C893" s="104"/>
      <c r="D893" s="104"/>
      <c r="E893" s="104" t="str">
        <f>IFERROR(__xludf.DUMMYFUNCTION("""COMPUTED_VALUE"""),"ST-PO-6-NU-1")</f>
        <v>ST-PO-6-NU-1</v>
      </c>
      <c r="F893" s="98">
        <v>9.995</v>
      </c>
      <c r="G893" s="110"/>
      <c r="H893" s="98"/>
      <c r="I893" s="98"/>
      <c r="J893" s="98"/>
      <c r="K893" s="98"/>
      <c r="L893" s="104"/>
      <c r="M893" s="98" t="s">
        <v>39</v>
      </c>
      <c r="N893" s="103" t="str">
        <f>IFERROR(__xludf.DUMMYFUNCTION("""COMPUTED_VALUE"""),"")</f>
        <v/>
      </c>
      <c r="O893" s="104"/>
      <c r="P893" s="104"/>
      <c r="Q893" s="104"/>
      <c r="R893" s="104" t="s">
        <v>4710</v>
      </c>
      <c r="S893" s="104" t="s">
        <v>39</v>
      </c>
      <c r="T893" s="104" t="s">
        <v>4711</v>
      </c>
      <c r="U893" s="104"/>
      <c r="V893" s="104" t="s">
        <v>4711</v>
      </c>
      <c r="W893" s="104"/>
    </row>
    <row r="894">
      <c r="A894" s="105">
        <v>46155.0</v>
      </c>
      <c r="B894" s="79" t="str">
        <f>IFERROR(__xludf.DUMMYFUNCTION("""COMPUTED_VALUE"""),"TG-NE-BP-3A-2B")</f>
        <v>TG-NE-BP-3A-2B</v>
      </c>
      <c r="C894" s="104"/>
      <c r="D894" s="104"/>
      <c r="E894" s="104" t="str">
        <f>IFERROR(__xludf.DUMMYFUNCTION("""COMPUTED_VALUE"""),"AGP-PO-4-BN-1")</f>
        <v>AGP-PO-4-BN-1</v>
      </c>
      <c r="F894" s="98">
        <v>4.5</v>
      </c>
      <c r="G894" s="110"/>
      <c r="H894" s="98"/>
      <c r="I894" s="98"/>
      <c r="J894" s="98"/>
      <c r="K894" s="98"/>
      <c r="L894" s="104"/>
      <c r="M894" s="98" t="s">
        <v>39</v>
      </c>
      <c r="N894" s="103" t="str">
        <f>IFERROR(__xludf.DUMMYFUNCTION("""COMPUTED_VALUE"""),"")</f>
        <v/>
      </c>
      <c r="O894" s="104"/>
      <c r="P894" s="104"/>
      <c r="Q894" s="104"/>
      <c r="R894" s="104" t="s">
        <v>4712</v>
      </c>
      <c r="S894" s="104" t="s">
        <v>39</v>
      </c>
      <c r="T894" s="104" t="s">
        <v>4713</v>
      </c>
      <c r="U894" s="104"/>
      <c r="V894" s="104" t="s">
        <v>4713</v>
      </c>
      <c r="W894" s="104"/>
    </row>
    <row r="895">
      <c r="A895" s="105">
        <v>46159.0</v>
      </c>
      <c r="B895" s="79" t="str">
        <f>IFERROR(__xludf.DUMMYFUNCTION("""COMPUTED_VALUE"""),"HD-AL-LO-1C")</f>
        <v>HD-AL-LO-1C</v>
      </c>
      <c r="C895" s="104"/>
      <c r="D895" s="104"/>
      <c r="E895" s="104" t="str">
        <f>IFERROR(__xludf.DUMMYFUNCTION("""COMPUTED_VALUE"""),"BS-PO-LG-PB-1")</f>
        <v>BS-PO-LG-PB-1</v>
      </c>
      <c r="F895" s="98">
        <v>7.495</v>
      </c>
      <c r="G895" s="110"/>
      <c r="H895" s="98"/>
      <c r="I895" s="98"/>
      <c r="J895" s="98"/>
      <c r="K895" s="98"/>
      <c r="L895" s="104"/>
      <c r="M895" s="98" t="s">
        <v>39</v>
      </c>
      <c r="N895" s="103" t="str">
        <f>IFERROR(__xludf.DUMMYFUNCTION("""COMPUTED_VALUE"""),"")</f>
        <v/>
      </c>
      <c r="O895" s="104"/>
      <c r="P895" s="104"/>
      <c r="Q895" s="104"/>
      <c r="R895" s="104" t="s">
        <v>4714</v>
      </c>
      <c r="S895" s="104" t="s">
        <v>39</v>
      </c>
      <c r="T895" s="104" t="s">
        <v>4715</v>
      </c>
      <c r="U895" s="104"/>
      <c r="V895" s="104" t="s">
        <v>4715</v>
      </c>
      <c r="W895" s="104"/>
    </row>
    <row r="896">
      <c r="A896" s="105">
        <v>45881.0</v>
      </c>
      <c r="B896" s="79" t="str">
        <f>IFERROR(__xludf.DUMMYFUNCTION("""COMPUTED_VALUE"""),"EB-PO-4-DO-1")</f>
        <v>EB-PO-4-DO-1</v>
      </c>
      <c r="C896" s="104"/>
      <c r="D896" s="104"/>
      <c r="E896" s="104" t="str">
        <f>IFERROR(__xludf.DUMMYFUNCTION("""COMPUTED_VALUE"""),"EB-PO-4-DO-1")</f>
        <v>EB-PO-4-DO-1</v>
      </c>
      <c r="F896" s="98">
        <v>0.0</v>
      </c>
      <c r="G896" s="110"/>
      <c r="H896" s="98"/>
      <c r="I896" s="98"/>
      <c r="J896" s="98"/>
      <c r="K896" s="98"/>
      <c r="L896" s="104"/>
      <c r="M896" s="98" t="s">
        <v>39</v>
      </c>
      <c r="N896" s="103" t="str">
        <f>IFERROR(__xludf.DUMMYFUNCTION("""COMPUTED_VALUE"""),"")</f>
        <v/>
      </c>
      <c r="O896" s="104"/>
      <c r="P896" s="104"/>
      <c r="Q896" s="104"/>
      <c r="R896" s="104" t="s">
        <v>4716</v>
      </c>
      <c r="S896" s="104" t="s">
        <v>39</v>
      </c>
      <c r="T896" s="104" t="s">
        <v>4717</v>
      </c>
      <c r="U896" s="104"/>
      <c r="V896" s="104" t="s">
        <v>4717</v>
      </c>
      <c r="W896" s="104"/>
    </row>
    <row r="897">
      <c r="A897" s="105">
        <v>45881.0</v>
      </c>
      <c r="B897" s="79" t="str">
        <f>IFERROR(__xludf.DUMMYFUNCTION("""COMPUTED_VALUE"""),"DV-PO-2-WH-1")</f>
        <v>DV-PO-2-WH-1</v>
      </c>
      <c r="C897" s="104"/>
      <c r="D897" s="104"/>
      <c r="E897" s="104" t="str">
        <f>IFERROR(__xludf.DUMMYFUNCTION("""COMPUTED_VALUE"""),"DV-PO-2-WH-1")</f>
        <v>DV-PO-2-WH-1</v>
      </c>
      <c r="F897" s="98">
        <v>0.0</v>
      </c>
      <c r="G897" s="110"/>
      <c r="H897" s="98"/>
      <c r="I897" s="98"/>
      <c r="J897" s="98"/>
      <c r="K897" s="98"/>
      <c r="L897" s="104"/>
      <c r="M897" s="98" t="s">
        <v>39</v>
      </c>
      <c r="N897" s="103" t="str">
        <f>IFERROR(__xludf.DUMMYFUNCTION("""COMPUTED_VALUE"""),"")</f>
        <v/>
      </c>
      <c r="O897" s="104"/>
      <c r="P897" s="104"/>
      <c r="Q897" s="104"/>
      <c r="R897" s="104" t="s">
        <v>4718</v>
      </c>
      <c r="S897" s="104" t="s">
        <v>39</v>
      </c>
      <c r="T897" s="104" t="s">
        <v>4719</v>
      </c>
      <c r="U897" s="104"/>
      <c r="V897" s="104" t="s">
        <v>4719</v>
      </c>
      <c r="W897" s="104"/>
    </row>
    <row r="898">
      <c r="A898" s="105">
        <v>45880.0</v>
      </c>
      <c r="B898" s="79" t="str">
        <f>IFERROR(__xludf.DUMMYFUNCTION("""COMPUTED_VALUE"""),"AN-PO-3-MU-1")</f>
        <v>AN-PO-3-MU-1</v>
      </c>
      <c r="C898" s="104"/>
      <c r="D898" s="104"/>
      <c r="E898" s="104" t="str">
        <f>IFERROR(__xludf.DUMMYFUNCTION("""COMPUTED_VALUE"""),"AN-PO-3-MU-1")</f>
        <v>AN-PO-3-MU-1</v>
      </c>
      <c r="F898" s="98">
        <v>0.0</v>
      </c>
      <c r="G898" s="110"/>
      <c r="H898" s="98"/>
      <c r="I898" s="98"/>
      <c r="J898" s="98"/>
      <c r="K898" s="98"/>
      <c r="L898" s="104"/>
      <c r="M898" s="98" t="s">
        <v>39</v>
      </c>
      <c r="N898" s="103" t="str">
        <f>IFERROR(__xludf.DUMMYFUNCTION("""COMPUTED_VALUE"""),"")</f>
        <v/>
      </c>
      <c r="O898" s="104"/>
      <c r="P898" s="104"/>
      <c r="Q898" s="104"/>
      <c r="R898" s="104" t="s">
        <v>4720</v>
      </c>
      <c r="S898" s="104" t="s">
        <v>39</v>
      </c>
      <c r="T898" s="104" t="s">
        <v>4721</v>
      </c>
      <c r="U898" s="104"/>
      <c r="V898" s="104" t="s">
        <v>4721</v>
      </c>
      <c r="W898" s="104"/>
    </row>
    <row r="899">
      <c r="A899" s="105">
        <v>45880.0</v>
      </c>
      <c r="B899" s="79" t="str">
        <f>IFERROR(__xludf.DUMMYFUNCTION("""COMPUTED_VALUE"""),"YA-PO-2-CL-1")</f>
        <v>YA-PO-2-CL-1</v>
      </c>
      <c r="C899" s="104"/>
      <c r="D899" s="104"/>
      <c r="E899" s="104" t="str">
        <f>IFERROR(__xludf.DUMMYFUNCTION("""COMPUTED_VALUE"""),"YA-PO-2-CL-1")</f>
        <v>YA-PO-2-CL-1</v>
      </c>
      <c r="F899" s="98">
        <v>0.0</v>
      </c>
      <c r="G899" s="110"/>
      <c r="H899" s="98"/>
      <c r="I899" s="98"/>
      <c r="J899" s="98"/>
      <c r="K899" s="98"/>
      <c r="L899" s="104"/>
      <c r="M899" s="98" t="s">
        <v>39</v>
      </c>
      <c r="N899" s="103" t="str">
        <f>IFERROR(__xludf.DUMMYFUNCTION("""COMPUTED_VALUE"""),"")</f>
        <v/>
      </c>
      <c r="O899" s="104"/>
      <c r="P899" s="104"/>
      <c r="Q899" s="104"/>
      <c r="R899" s="104" t="s">
        <v>4722</v>
      </c>
      <c r="S899" s="104" t="s">
        <v>39</v>
      </c>
      <c r="T899" s="104" t="s">
        <v>4723</v>
      </c>
      <c r="U899" s="104"/>
      <c r="V899" s="104" t="s">
        <v>4723</v>
      </c>
      <c r="W899" s="104"/>
    </row>
    <row r="900">
      <c r="A900" s="105">
        <v>45880.0</v>
      </c>
      <c r="B900" s="79" t="str">
        <f>IFERROR(__xludf.DUMMYFUNCTION("""COMPUTED_VALUE"""),"HY-PO-3-DO-1")</f>
        <v>HY-PO-3-DO-1</v>
      </c>
      <c r="C900" s="104"/>
      <c r="D900" s="104"/>
      <c r="E900" s="104" t="str">
        <f>IFERROR(__xludf.DUMMYFUNCTION("""COMPUTED_VALUE"""),"HY-PO-3-DO-1")</f>
        <v>HY-PO-3-DO-1</v>
      </c>
      <c r="F900" s="98">
        <v>0.0</v>
      </c>
      <c r="G900" s="110"/>
      <c r="H900" s="98"/>
      <c r="I900" s="98"/>
      <c r="J900" s="98"/>
      <c r="K900" s="98"/>
      <c r="L900" s="104"/>
      <c r="M900" s="98" t="s">
        <v>39</v>
      </c>
      <c r="N900" s="103" t="str">
        <f>IFERROR(__xludf.DUMMYFUNCTION("""COMPUTED_VALUE"""),"")</f>
        <v/>
      </c>
      <c r="O900" s="104"/>
      <c r="P900" s="104"/>
      <c r="Q900" s="104"/>
      <c r="R900" s="104" t="s">
        <v>4724</v>
      </c>
      <c r="S900" s="104" t="s">
        <v>39</v>
      </c>
      <c r="T900" s="104" t="s">
        <v>4725</v>
      </c>
      <c r="U900" s="104"/>
      <c r="V900" s="104" t="s">
        <v>4725</v>
      </c>
      <c r="W900" s="104"/>
    </row>
    <row r="901">
      <c r="A901" s="105">
        <v>45880.0</v>
      </c>
      <c r="B901" s="79" t="str">
        <f>IFERROR(__xludf.DUMMYFUNCTION("""COMPUTED_VALUE"""),"ZO-PO-4-WL-1")</f>
        <v>ZO-PO-4-WL-1</v>
      </c>
      <c r="C901" s="104"/>
      <c r="D901" s="104"/>
      <c r="E901" s="104" t="str">
        <f>IFERROR(__xludf.DUMMYFUNCTION("""COMPUTED_VALUE"""),"ZO-PO-4-WL-1")</f>
        <v>ZO-PO-4-WL-1</v>
      </c>
      <c r="F901" s="98">
        <v>0.0</v>
      </c>
      <c r="G901" s="110"/>
      <c r="H901" s="98"/>
      <c r="I901" s="98"/>
      <c r="J901" s="98"/>
      <c r="K901" s="98"/>
      <c r="L901" s="104"/>
      <c r="M901" s="98" t="s">
        <v>39</v>
      </c>
      <c r="N901" s="103" t="str">
        <f>IFERROR(__xludf.DUMMYFUNCTION("""COMPUTED_VALUE"""),"")</f>
        <v/>
      </c>
      <c r="O901" s="104"/>
      <c r="P901" s="104"/>
      <c r="Q901" s="104"/>
      <c r="R901" s="104" t="s">
        <v>4726</v>
      </c>
      <c r="S901" s="104" t="s">
        <v>39</v>
      </c>
      <c r="T901" s="104" t="s">
        <v>4727</v>
      </c>
      <c r="U901" s="104"/>
      <c r="V901" s="104" t="s">
        <v>4727</v>
      </c>
      <c r="W901" s="104"/>
    </row>
    <row r="902">
      <c r="A902" s="105">
        <v>45880.0</v>
      </c>
      <c r="B902" s="79" t="str">
        <f>IFERROR(__xludf.DUMMYFUNCTION("""COMPUTED_VALUE"""),"EL-PO-4.3-CM-1")</f>
        <v>EL-PO-4.3-CM-1</v>
      </c>
      <c r="C902" s="104"/>
      <c r="D902" s="104"/>
      <c r="E902" s="104" t="str">
        <f>IFERROR(__xludf.DUMMYFUNCTION("""COMPUTED_VALUE"""),"EL-PO-4.3-CM-1")</f>
        <v>EL-PO-4.3-CM-1</v>
      </c>
      <c r="F902" s="98">
        <v>0.0</v>
      </c>
      <c r="G902" s="110"/>
      <c r="H902" s="98"/>
      <c r="I902" s="98"/>
      <c r="J902" s="98"/>
      <c r="K902" s="98"/>
      <c r="L902" s="104"/>
      <c r="M902" s="98" t="s">
        <v>39</v>
      </c>
      <c r="N902" s="103" t="str">
        <f>IFERROR(__xludf.DUMMYFUNCTION("""COMPUTED_VALUE"""),"")</f>
        <v/>
      </c>
      <c r="O902" s="104"/>
      <c r="P902" s="104"/>
      <c r="Q902" s="104"/>
      <c r="R902" s="104" t="s">
        <v>4728</v>
      </c>
      <c r="S902" s="104" t="s">
        <v>39</v>
      </c>
      <c r="T902" s="104" t="s">
        <v>4729</v>
      </c>
      <c r="U902" s="104"/>
      <c r="V902" s="104" t="s">
        <v>4729</v>
      </c>
      <c r="W902" s="104"/>
    </row>
    <row r="903">
      <c r="A903" s="105">
        <v>45880.0</v>
      </c>
      <c r="B903" s="79" t="str">
        <f>IFERROR(__xludf.DUMMYFUNCTION("""COMPUTED_VALUE"""),"GA-PO-6-MU-1")</f>
        <v>GA-PO-6-MU-1</v>
      </c>
      <c r="C903" s="104"/>
      <c r="D903" s="104"/>
      <c r="E903" s="104" t="str">
        <f>IFERROR(__xludf.DUMMYFUNCTION("""COMPUTED_VALUE"""),"GA-PO-6-MU-1")</f>
        <v>GA-PO-6-MU-1</v>
      </c>
      <c r="F903" s="98">
        <v>0.0</v>
      </c>
      <c r="G903" s="110"/>
      <c r="H903" s="98"/>
      <c r="I903" s="98"/>
      <c r="J903" s="98"/>
      <c r="K903" s="98"/>
      <c r="L903" s="104"/>
      <c r="M903" s="98" t="s">
        <v>39</v>
      </c>
      <c r="N903" s="103" t="str">
        <f>IFERROR(__xludf.DUMMYFUNCTION("""COMPUTED_VALUE"""),"")</f>
        <v/>
      </c>
      <c r="O903" s="104"/>
      <c r="P903" s="104"/>
      <c r="Q903" s="104"/>
      <c r="R903" s="104" t="s">
        <v>4730</v>
      </c>
      <c r="S903" s="104" t="s">
        <v>39</v>
      </c>
      <c r="T903" s="104" t="s">
        <v>4731</v>
      </c>
      <c r="U903" s="104"/>
      <c r="V903" s="104" t="s">
        <v>4731</v>
      </c>
      <c r="W903" s="104"/>
    </row>
    <row r="904">
      <c r="A904" s="105">
        <v>45880.0</v>
      </c>
      <c r="B904" s="79" t="str">
        <f>IFERROR(__xludf.DUMMYFUNCTION("""COMPUTED_VALUE"""),"WO-PO-6-WH-1")</f>
        <v>WO-PO-6-WH-1</v>
      </c>
      <c r="C904" s="104"/>
      <c r="D904" s="104"/>
      <c r="E904" s="104" t="str">
        <f>IFERROR(__xludf.DUMMYFUNCTION("""COMPUTED_VALUE"""),"WO-PO-6-WH-1")</f>
        <v>WO-PO-6-WH-1</v>
      </c>
      <c r="F904" s="98">
        <v>0.0</v>
      </c>
      <c r="G904" s="110"/>
      <c r="H904" s="98"/>
      <c r="I904" s="98"/>
      <c r="J904" s="98"/>
      <c r="K904" s="98"/>
      <c r="L904" s="104"/>
      <c r="M904" s="98" t="s">
        <v>39</v>
      </c>
      <c r="N904" s="103" t="str">
        <f>IFERROR(__xludf.DUMMYFUNCTION("""COMPUTED_VALUE"""),"")</f>
        <v/>
      </c>
      <c r="O904" s="104"/>
      <c r="P904" s="104"/>
      <c r="Q904" s="104"/>
      <c r="R904" s="104" t="s">
        <v>4732</v>
      </c>
      <c r="S904" s="104" t="s">
        <v>39</v>
      </c>
      <c r="T904" s="104" t="s">
        <v>4733</v>
      </c>
      <c r="U904" s="104"/>
      <c r="V904" s="104" t="s">
        <v>4733</v>
      </c>
      <c r="W904" s="104"/>
    </row>
    <row r="905">
      <c r="A905" s="105">
        <v>45880.0</v>
      </c>
      <c r="B905" s="79" t="str">
        <f>IFERROR(__xludf.DUMMYFUNCTION("""COMPUTED_VALUE"""),"TE-PO-4-MU-1")</f>
        <v>TE-PO-4-MU-1</v>
      </c>
      <c r="C905" s="104"/>
      <c r="D905" s="104"/>
      <c r="E905" s="104" t="str">
        <f>IFERROR(__xludf.DUMMYFUNCTION("""COMPUTED_VALUE"""),"TE-PO-4-MU-1")</f>
        <v>TE-PO-4-MU-1</v>
      </c>
      <c r="F905" s="98">
        <v>0.0</v>
      </c>
      <c r="G905" s="110"/>
      <c r="H905" s="98"/>
      <c r="I905" s="98"/>
      <c r="J905" s="98"/>
      <c r="K905" s="98"/>
      <c r="L905" s="104"/>
      <c r="M905" s="98" t="s">
        <v>39</v>
      </c>
      <c r="N905" s="103" t="str">
        <f>IFERROR(__xludf.DUMMYFUNCTION("""COMPUTED_VALUE"""),"")</f>
        <v/>
      </c>
      <c r="O905" s="104"/>
      <c r="P905" s="104"/>
      <c r="Q905" s="104"/>
      <c r="R905" s="104" t="s">
        <v>4734</v>
      </c>
      <c r="S905" s="104" t="s">
        <v>39</v>
      </c>
      <c r="T905" s="104" t="s">
        <v>4735</v>
      </c>
      <c r="U905" s="104"/>
      <c r="V905" s="104" t="s">
        <v>4735</v>
      </c>
      <c r="W905" s="104"/>
    </row>
    <row r="906">
      <c r="A906" s="105">
        <v>45893.0</v>
      </c>
      <c r="B906" s="79" t="str">
        <f>IFERROR(__xludf.DUMMYFUNCTION("""COMPUTED_VALUE"""),"LO-PO-3.7-CD-1")</f>
        <v>LO-PO-3.7-CD-1</v>
      </c>
      <c r="C906" s="104"/>
      <c r="D906" s="104"/>
      <c r="E906" s="104" t="str">
        <f>IFERROR(__xludf.DUMMYFUNCTION("""COMPUTED_VALUE"""),"LO-PO-3.7-CD-1")</f>
        <v>LO-PO-3.7-CD-1</v>
      </c>
      <c r="F906" s="98">
        <v>0.0</v>
      </c>
      <c r="G906" s="110"/>
      <c r="H906" s="98"/>
      <c r="I906" s="98"/>
      <c r="J906" s="98"/>
      <c r="K906" s="98"/>
      <c r="L906" s="104"/>
      <c r="M906" s="98" t="s">
        <v>39</v>
      </c>
      <c r="N906" s="103" t="str">
        <f>IFERROR(__xludf.DUMMYFUNCTION("""COMPUTED_VALUE"""),"")</f>
        <v/>
      </c>
      <c r="O906" s="104"/>
      <c r="P906" s="104"/>
      <c r="Q906" s="104"/>
      <c r="R906" s="104" t="s">
        <v>4736</v>
      </c>
      <c r="S906" s="104" t="s">
        <v>39</v>
      </c>
      <c r="T906" s="104" t="s">
        <v>4737</v>
      </c>
      <c r="U906" s="104"/>
      <c r="V906" s="104" t="s">
        <v>4737</v>
      </c>
      <c r="W906" s="104"/>
    </row>
    <row r="907">
      <c r="A907" s="105">
        <v>45893.0</v>
      </c>
      <c r="B907" s="79" t="str">
        <f>IFERROR(__xludf.DUMMYFUNCTION("""COMPUTED_VALUE"""),"PS-PO-5.5-MU-1")</f>
        <v>PS-PO-5.5-MU-1</v>
      </c>
      <c r="C907" s="104"/>
      <c r="D907" s="104"/>
      <c r="E907" s="104" t="str">
        <f>IFERROR(__xludf.DUMMYFUNCTION("""COMPUTED_VALUE"""),"PS-PO-5.5-MU-1")</f>
        <v>PS-PO-5.5-MU-1</v>
      </c>
      <c r="F907" s="98">
        <v>0.0</v>
      </c>
      <c r="G907" s="110"/>
      <c r="H907" s="98"/>
      <c r="I907" s="98"/>
      <c r="J907" s="98"/>
      <c r="K907" s="98"/>
      <c r="L907" s="104"/>
      <c r="M907" s="98" t="s">
        <v>39</v>
      </c>
      <c r="N907" s="103" t="str">
        <f>IFERROR(__xludf.DUMMYFUNCTION("""COMPUTED_VALUE"""),"")</f>
        <v/>
      </c>
      <c r="O907" s="104"/>
      <c r="P907" s="104"/>
      <c r="Q907" s="104"/>
      <c r="R907" s="104" t="s">
        <v>4738</v>
      </c>
      <c r="S907" s="104" t="s">
        <v>39</v>
      </c>
      <c r="T907" s="104" t="s">
        <v>4739</v>
      </c>
      <c r="U907" s="104"/>
      <c r="V907" s="104" t="s">
        <v>4739</v>
      </c>
      <c r="W907" s="104"/>
    </row>
    <row r="908">
      <c r="A908" s="105">
        <v>45892.0</v>
      </c>
      <c r="B908" s="79" t="str">
        <f>IFERROR(__xludf.DUMMYFUNCTION("""COMPUTED_VALUE"""),"WO-PO-6-MU-1")</f>
        <v>WO-PO-6-MU-1</v>
      </c>
      <c r="C908" s="104"/>
      <c r="D908" s="104"/>
      <c r="E908" s="104" t="str">
        <f>IFERROR(__xludf.DUMMYFUNCTION("""COMPUTED_VALUE"""),"WO-PO-6-MU-1")</f>
        <v>WO-PO-6-MU-1</v>
      </c>
      <c r="F908" s="98">
        <v>0.0</v>
      </c>
      <c r="G908" s="110"/>
      <c r="H908" s="98"/>
      <c r="I908" s="98"/>
      <c r="J908" s="98"/>
      <c r="K908" s="98"/>
      <c r="L908" s="104"/>
      <c r="M908" s="98" t="s">
        <v>39</v>
      </c>
      <c r="N908" s="103" t="str">
        <f>IFERROR(__xludf.DUMMYFUNCTION("""COMPUTED_VALUE"""),"")</f>
        <v/>
      </c>
      <c r="O908" s="104"/>
      <c r="P908" s="104"/>
      <c r="Q908" s="104"/>
      <c r="R908" s="104" t="s">
        <v>4740</v>
      </c>
      <c r="S908" s="104" t="s">
        <v>39</v>
      </c>
      <c r="T908" s="104" t="s">
        <v>4741</v>
      </c>
      <c r="U908" s="104"/>
      <c r="V908" s="104" t="s">
        <v>4741</v>
      </c>
      <c r="W908" s="104"/>
    </row>
    <row r="909">
      <c r="A909" s="105">
        <v>45892.0</v>
      </c>
      <c r="B909" s="79" t="str">
        <f>IFERROR(__xludf.DUMMYFUNCTION("""COMPUTED_VALUE"""),"TE-PO-4-MU-2")</f>
        <v>TE-PO-4-MU-2</v>
      </c>
      <c r="C909" s="104"/>
      <c r="D909" s="104"/>
      <c r="E909" s="104" t="str">
        <f>IFERROR(__xludf.DUMMYFUNCTION("""COMPUTED_VALUE"""),"TE-PO-4-MU-2")</f>
        <v>TE-PO-4-MU-2</v>
      </c>
      <c r="F909" s="98">
        <v>0.0</v>
      </c>
      <c r="G909" s="110"/>
      <c r="H909" s="98"/>
      <c r="I909" s="98"/>
      <c r="J909" s="98"/>
      <c r="K909" s="98"/>
      <c r="L909" s="104"/>
      <c r="M909" s="98" t="s">
        <v>39</v>
      </c>
      <c r="N909" s="103" t="str">
        <f>IFERROR(__xludf.DUMMYFUNCTION("""COMPUTED_VALUE"""),"")</f>
        <v/>
      </c>
      <c r="O909" s="104"/>
      <c r="P909" s="104"/>
      <c r="Q909" s="104"/>
      <c r="R909" s="104" t="s">
        <v>4742</v>
      </c>
      <c r="S909" s="104" t="s">
        <v>39</v>
      </c>
      <c r="T909" s="104" t="s">
        <v>4743</v>
      </c>
      <c r="U909" s="104"/>
      <c r="V909" s="104" t="s">
        <v>4743</v>
      </c>
      <c r="W909" s="104"/>
    </row>
    <row r="910">
      <c r="A910" s="105">
        <v>45892.0</v>
      </c>
      <c r="B910" s="79" t="str">
        <f>IFERROR(__xludf.DUMMYFUNCTION("""COMPUTED_VALUE"""),"GA-PO-6-WH-2")</f>
        <v>GA-PO-6-WH-2</v>
      </c>
      <c r="C910" s="104"/>
      <c r="D910" s="104"/>
      <c r="E910" s="104" t="str">
        <f>IFERROR(__xludf.DUMMYFUNCTION("""COMPUTED_VALUE"""),"GA-PO-6-WH-2")</f>
        <v>GA-PO-6-WH-2</v>
      </c>
      <c r="F910" s="98">
        <v>0.0</v>
      </c>
      <c r="G910" s="110"/>
      <c r="H910" s="98"/>
      <c r="I910" s="98"/>
      <c r="J910" s="98"/>
      <c r="K910" s="98"/>
      <c r="L910" s="104"/>
      <c r="M910" s="98" t="s">
        <v>39</v>
      </c>
      <c r="N910" s="103" t="str">
        <f>IFERROR(__xludf.DUMMYFUNCTION("""COMPUTED_VALUE"""),"")</f>
        <v/>
      </c>
      <c r="O910" s="104"/>
      <c r="P910" s="104"/>
      <c r="Q910" s="104"/>
      <c r="R910" s="104" t="s">
        <v>4744</v>
      </c>
      <c r="S910" s="104" t="s">
        <v>39</v>
      </c>
      <c r="T910" s="104" t="s">
        <v>4745</v>
      </c>
      <c r="U910" s="104"/>
      <c r="V910" s="104" t="s">
        <v>4745</v>
      </c>
      <c r="W910" s="104"/>
    </row>
    <row r="911">
      <c r="A911" s="105">
        <v>45892.0</v>
      </c>
      <c r="B911" s="79" t="str">
        <f>IFERROR(__xludf.DUMMYFUNCTION("""COMPUTED_VALUE"""),"OM-PO-4-CR-1")</f>
        <v>OM-PO-4-CR-1</v>
      </c>
      <c r="C911" s="104"/>
      <c r="D911" s="104"/>
      <c r="E911" s="104" t="str">
        <f>IFERROR(__xludf.DUMMYFUNCTION("""COMPUTED_VALUE"""),"OM-PO-4-CR-1")</f>
        <v>OM-PO-4-CR-1</v>
      </c>
      <c r="F911" s="98">
        <v>0.0</v>
      </c>
      <c r="G911" s="110"/>
      <c r="H911" s="98"/>
      <c r="I911" s="98"/>
      <c r="J911" s="98"/>
      <c r="K911" s="98"/>
      <c r="L911" s="104"/>
      <c r="M911" s="98" t="s">
        <v>39</v>
      </c>
      <c r="N911" s="103" t="str">
        <f>IFERROR(__xludf.DUMMYFUNCTION("""COMPUTED_VALUE"""),"")</f>
        <v/>
      </c>
      <c r="O911" s="104"/>
      <c r="P911" s="104"/>
      <c r="Q911" s="104"/>
      <c r="R911" s="104" t="s">
        <v>4746</v>
      </c>
      <c r="S911" s="104" t="s">
        <v>39</v>
      </c>
      <c r="T911" s="104" t="s">
        <v>4747</v>
      </c>
      <c r="U911" s="104"/>
      <c r="V911" s="104" t="s">
        <v>4747</v>
      </c>
      <c r="W911" s="104"/>
    </row>
    <row r="912">
      <c r="A912" s="105">
        <v>45892.0</v>
      </c>
      <c r="B912" s="79" t="str">
        <f>IFERROR(__xludf.DUMMYFUNCTION("""COMPUTED_VALUE"""),"TE-PO-4-MU-3")</f>
        <v>TE-PO-4-MU-3</v>
      </c>
      <c r="C912" s="104"/>
      <c r="D912" s="104"/>
      <c r="E912" s="104" t="str">
        <f>IFERROR(__xludf.DUMMYFUNCTION("""COMPUTED_VALUE"""),"TE-PO-4-MU-3")</f>
        <v>TE-PO-4-MU-3</v>
      </c>
      <c r="F912" s="98">
        <v>0.0</v>
      </c>
      <c r="G912" s="110"/>
      <c r="H912" s="98"/>
      <c r="I912" s="98"/>
      <c r="J912" s="98"/>
      <c r="K912" s="98"/>
      <c r="L912" s="104"/>
      <c r="M912" s="98" t="s">
        <v>39</v>
      </c>
      <c r="N912" s="103" t="str">
        <f>IFERROR(__xludf.DUMMYFUNCTION("""COMPUTED_VALUE"""),"")</f>
        <v/>
      </c>
      <c r="O912" s="104"/>
      <c r="P912" s="104"/>
      <c r="Q912" s="104"/>
      <c r="R912" s="104" t="s">
        <v>4748</v>
      </c>
      <c r="S912" s="104" t="s">
        <v>39</v>
      </c>
      <c r="T912" s="104" t="s">
        <v>4749</v>
      </c>
      <c r="U912" s="104"/>
      <c r="V912" s="104" t="s">
        <v>4749</v>
      </c>
      <c r="W912" s="104"/>
    </row>
    <row r="913">
      <c r="A913" s="105">
        <v>45932.0</v>
      </c>
      <c r="B913" s="79" t="str">
        <f>IFERROR(__xludf.DUMMYFUNCTION("""COMPUTED_VALUE"""),"TO-PO-4-MU-1")</f>
        <v>TO-PO-4-MU-1</v>
      </c>
      <c r="C913" s="104"/>
      <c r="D913" s="104"/>
      <c r="E913" s="104" t="str">
        <f>IFERROR(__xludf.DUMMYFUNCTION("""COMPUTED_VALUE"""),"TO-PO-4-MU-1")</f>
        <v>TO-PO-4-MU-1</v>
      </c>
      <c r="F913" s="98">
        <v>0.0</v>
      </c>
      <c r="G913" s="110"/>
      <c r="H913" s="98"/>
      <c r="I913" s="98"/>
      <c r="J913" s="98"/>
      <c r="K913" s="98"/>
      <c r="L913" s="104"/>
      <c r="M913" s="98" t="s">
        <v>39</v>
      </c>
      <c r="N913" s="103" t="str">
        <f>IFERROR(__xludf.DUMMYFUNCTION("""COMPUTED_VALUE"""),"")</f>
        <v/>
      </c>
      <c r="O913" s="104"/>
      <c r="P913" s="104"/>
      <c r="Q913" s="104"/>
      <c r="R913" s="104" t="s">
        <v>4750</v>
      </c>
      <c r="S913" s="104" t="s">
        <v>39</v>
      </c>
      <c r="T913" s="104" t="s">
        <v>4751</v>
      </c>
      <c r="U913" s="104"/>
      <c r="V913" s="104" t="s">
        <v>4751</v>
      </c>
      <c r="W913" s="104"/>
    </row>
    <row r="914">
      <c r="A914" s="105">
        <v>45915.0</v>
      </c>
      <c r="B914" s="79" t="str">
        <f>IFERROR(__xludf.DUMMYFUNCTION("""COMPUTED_VALUE"""),"MU-PO-4-WH-1")</f>
        <v>MU-PO-4-WH-1</v>
      </c>
      <c r="C914" s="104"/>
      <c r="D914" s="104"/>
      <c r="E914" s="104" t="str">
        <f>IFERROR(__xludf.DUMMYFUNCTION("""COMPUTED_VALUE"""),"MU-PO-4-WH-1")</f>
        <v>MU-PO-4-WH-1</v>
      </c>
      <c r="F914" s="98">
        <v>0.0</v>
      </c>
      <c r="G914" s="110"/>
      <c r="H914" s="98"/>
      <c r="I914" s="98"/>
      <c r="J914" s="98"/>
      <c r="K914" s="98"/>
      <c r="L914" s="104"/>
      <c r="M914" s="98" t="s">
        <v>39</v>
      </c>
      <c r="N914" s="103" t="str">
        <f>IFERROR(__xludf.DUMMYFUNCTION("""COMPUTED_VALUE"""),"")</f>
        <v/>
      </c>
      <c r="O914" s="104"/>
      <c r="P914" s="104"/>
      <c r="Q914" s="104"/>
      <c r="R914" s="104" t="s">
        <v>4752</v>
      </c>
      <c r="S914" s="104" t="s">
        <v>39</v>
      </c>
      <c r="T914" s="104" t="s">
        <v>4753</v>
      </c>
      <c r="U914" s="104"/>
      <c r="V914" s="104" t="s">
        <v>4753</v>
      </c>
      <c r="W914" s="104"/>
    </row>
    <row r="915">
      <c r="A915" s="105">
        <v>45924.0</v>
      </c>
      <c r="B915" s="79" t="str">
        <f>IFERROR(__xludf.DUMMYFUNCTION("""COMPUTED_VALUE"""),"GA-PO-4-WH-1")</f>
        <v>GA-PO-4-WH-1</v>
      </c>
      <c r="C915" s="104"/>
      <c r="D915" s="104"/>
      <c r="E915" s="104" t="str">
        <f>IFERROR(__xludf.DUMMYFUNCTION("""COMPUTED_VALUE"""),"GA-PO-4-WH-1")</f>
        <v>GA-PO-4-WH-1</v>
      </c>
      <c r="F915" s="98">
        <v>0.0</v>
      </c>
      <c r="G915" s="110"/>
      <c r="H915" s="98"/>
      <c r="I915" s="98"/>
      <c r="J915" s="98"/>
      <c r="K915" s="98"/>
      <c r="L915" s="104"/>
      <c r="M915" s="98" t="s">
        <v>39</v>
      </c>
      <c r="N915" s="103" t="str">
        <f>IFERROR(__xludf.DUMMYFUNCTION("""COMPUTED_VALUE"""),"")</f>
        <v/>
      </c>
      <c r="O915" s="104"/>
      <c r="P915" s="104"/>
      <c r="Q915" s="104"/>
      <c r="R915" s="104" t="s">
        <v>4754</v>
      </c>
      <c r="S915" s="104" t="s">
        <v>39</v>
      </c>
      <c r="T915" s="104" t="s">
        <v>4755</v>
      </c>
      <c r="U915" s="104"/>
      <c r="V915" s="104" t="s">
        <v>4755</v>
      </c>
      <c r="W915" s="104"/>
    </row>
    <row r="916">
      <c r="A916" s="105">
        <v>45924.0</v>
      </c>
      <c r="B916" s="79" t="str">
        <f>IFERROR(__xludf.DUMMYFUNCTION("""COMPUTED_VALUE"""),"GA-PO-6-BL-1")</f>
        <v>GA-PO-6-BL-1</v>
      </c>
      <c r="C916" s="104"/>
      <c r="D916" s="104"/>
      <c r="E916" s="104" t="str">
        <f>IFERROR(__xludf.DUMMYFUNCTION("""COMPUTED_VALUE"""),"GA-PO-6-BL-1")</f>
        <v>GA-PO-6-BL-1</v>
      </c>
      <c r="F916" s="98">
        <v>0.0</v>
      </c>
      <c r="G916" s="110"/>
      <c r="H916" s="98"/>
      <c r="I916" s="98"/>
      <c r="J916" s="98"/>
      <c r="K916" s="98"/>
      <c r="L916" s="104"/>
      <c r="M916" s="98" t="s">
        <v>39</v>
      </c>
      <c r="N916" s="103" t="str">
        <f>IFERROR(__xludf.DUMMYFUNCTION("""COMPUTED_VALUE"""),"")</f>
        <v/>
      </c>
      <c r="O916" s="104"/>
      <c r="P916" s="104"/>
      <c r="Q916" s="104"/>
      <c r="R916" s="104" t="s">
        <v>4756</v>
      </c>
      <c r="S916" s="104" t="s">
        <v>39</v>
      </c>
      <c r="T916" s="104" t="s">
        <v>4757</v>
      </c>
      <c r="U916" s="104"/>
      <c r="V916" s="104" t="s">
        <v>4757</v>
      </c>
      <c r="W916" s="104"/>
    </row>
    <row r="917">
      <c r="A917" s="105">
        <v>45925.0</v>
      </c>
      <c r="B917" s="79" t="str">
        <f>IFERROR(__xludf.DUMMYFUNCTION("""COMPUTED_VALUE"""),"GA-PO-6-WH-1")</f>
        <v>GA-PO-6-WH-1</v>
      </c>
      <c r="C917" s="104"/>
      <c r="D917" s="104"/>
      <c r="E917" s="104" t="str">
        <f>IFERROR(__xludf.DUMMYFUNCTION("""COMPUTED_VALUE"""),"GA-PO-6-WH-1")</f>
        <v>GA-PO-6-WH-1</v>
      </c>
      <c r="F917" s="98">
        <v>0.0</v>
      </c>
      <c r="G917" s="110"/>
      <c r="H917" s="98"/>
      <c r="I917" s="98"/>
      <c r="J917" s="98"/>
      <c r="K917" s="98"/>
      <c r="L917" s="104"/>
      <c r="M917" s="98" t="s">
        <v>39</v>
      </c>
      <c r="N917" s="103" t="str">
        <f>IFERROR(__xludf.DUMMYFUNCTION("""COMPUTED_VALUE"""),"")</f>
        <v/>
      </c>
      <c r="O917" s="104"/>
      <c r="P917" s="104"/>
      <c r="Q917" s="104"/>
      <c r="R917" s="104" t="s">
        <v>4758</v>
      </c>
      <c r="S917" s="104" t="s">
        <v>39</v>
      </c>
      <c r="T917" s="104" t="s">
        <v>4759</v>
      </c>
      <c r="U917" s="104"/>
      <c r="V917" s="104" t="s">
        <v>4759</v>
      </c>
      <c r="W917" s="104"/>
    </row>
    <row r="918">
      <c r="A918" s="105">
        <v>45924.0</v>
      </c>
      <c r="B918" s="79" t="str">
        <f>IFERROR(__xludf.DUMMYFUNCTION("""COMPUTED_VALUE"""),"GA-PO-4-BL-1")</f>
        <v>GA-PO-4-BL-1</v>
      </c>
      <c r="C918" s="104"/>
      <c r="D918" s="104"/>
      <c r="E918" s="104" t="str">
        <f>IFERROR(__xludf.DUMMYFUNCTION("""COMPUTED_VALUE"""),"GA-PO-4-BL-1")</f>
        <v>GA-PO-4-BL-1</v>
      </c>
      <c r="F918" s="98">
        <v>0.0</v>
      </c>
      <c r="G918" s="110"/>
      <c r="H918" s="98"/>
      <c r="I918" s="98"/>
      <c r="J918" s="98"/>
      <c r="K918" s="98"/>
      <c r="L918" s="104"/>
      <c r="M918" s="98" t="s">
        <v>39</v>
      </c>
      <c r="N918" s="103" t="str">
        <f>IFERROR(__xludf.DUMMYFUNCTION("""COMPUTED_VALUE"""),"")</f>
        <v/>
      </c>
      <c r="O918" s="104"/>
      <c r="P918" s="104"/>
      <c r="Q918" s="104"/>
      <c r="R918" s="104" t="s">
        <v>4760</v>
      </c>
      <c r="S918" s="104" t="s">
        <v>39</v>
      </c>
      <c r="T918" s="104" t="s">
        <v>4761</v>
      </c>
      <c r="U918" s="104"/>
      <c r="V918" s="104" t="s">
        <v>4761</v>
      </c>
      <c r="W918" s="104"/>
    </row>
    <row r="919">
      <c r="A919" s="105">
        <v>45924.0</v>
      </c>
      <c r="B919" s="79" t="str">
        <f>IFERROR(__xludf.DUMMYFUNCTION("""COMPUTED_VALUE"""),"EC-PO-5-SW-1")</f>
        <v>EC-PO-5-SW-1</v>
      </c>
      <c r="C919" s="104"/>
      <c r="D919" s="104"/>
      <c r="E919" s="104" t="str">
        <f>IFERROR(__xludf.DUMMYFUNCTION("""COMPUTED_VALUE"""),"EC-PO-5-SW-1")</f>
        <v>EC-PO-5-SW-1</v>
      </c>
      <c r="F919" s="98">
        <v>0.0</v>
      </c>
      <c r="G919" s="110"/>
      <c r="H919" s="98"/>
      <c r="I919" s="98"/>
      <c r="J919" s="98"/>
      <c r="K919" s="98"/>
      <c r="L919" s="104"/>
      <c r="M919" s="98" t="s">
        <v>39</v>
      </c>
      <c r="N919" s="103" t="str">
        <f>IFERROR(__xludf.DUMMYFUNCTION("""COMPUTED_VALUE"""),"")</f>
        <v/>
      </c>
      <c r="O919" s="104"/>
      <c r="P919" s="104"/>
      <c r="Q919" s="104"/>
      <c r="R919" s="104" t="s">
        <v>4762</v>
      </c>
      <c r="S919" s="104" t="s">
        <v>39</v>
      </c>
      <c r="T919" s="104" t="s">
        <v>4763</v>
      </c>
      <c r="U919" s="104"/>
      <c r="V919" s="104" t="s">
        <v>4763</v>
      </c>
      <c r="W919" s="104"/>
    </row>
    <row r="920">
      <c r="A920" s="105">
        <v>45930.0</v>
      </c>
      <c r="B920" s="79" t="str">
        <f>IFERROR(__xludf.DUMMYFUNCTION("""COMPUTED_VALUE"""),"ME-PO-4-SW-1")</f>
        <v>ME-PO-4-SW-1</v>
      </c>
      <c r="C920" s="104"/>
      <c r="D920" s="104"/>
      <c r="E920" s="104" t="str">
        <f>IFERROR(__xludf.DUMMYFUNCTION("""COMPUTED_VALUE"""),"ME-PO-4-SW-1")</f>
        <v>ME-PO-4-SW-1</v>
      </c>
      <c r="F920" s="98">
        <v>0.0</v>
      </c>
      <c r="G920" s="110"/>
      <c r="H920" s="98"/>
      <c r="I920" s="98"/>
      <c r="J920" s="98"/>
      <c r="K920" s="98"/>
      <c r="L920" s="104"/>
      <c r="M920" s="98" t="s">
        <v>39</v>
      </c>
      <c r="N920" s="103" t="str">
        <f>IFERROR(__xludf.DUMMYFUNCTION("""COMPUTED_VALUE"""),"")</f>
        <v/>
      </c>
      <c r="O920" s="104"/>
      <c r="P920" s="104"/>
      <c r="Q920" s="104"/>
      <c r="R920" s="104" t="s">
        <v>4764</v>
      </c>
      <c r="S920" s="104" t="s">
        <v>39</v>
      </c>
      <c r="T920" s="104" t="s">
        <v>4765</v>
      </c>
      <c r="U920" s="104"/>
      <c r="V920" s="104" t="s">
        <v>4765</v>
      </c>
      <c r="W920" s="104"/>
    </row>
    <row r="921">
      <c r="A921" s="105">
        <v>45930.0</v>
      </c>
      <c r="B921" s="79" t="str">
        <f>IFERROR(__xludf.DUMMYFUNCTION("""COMPUTED_VALUE"""),"EC-PO-5-SW-2")</f>
        <v>EC-PO-5-SW-2</v>
      </c>
      <c r="C921" s="104"/>
      <c r="D921" s="104"/>
      <c r="E921" s="104" t="str">
        <f>IFERROR(__xludf.DUMMYFUNCTION("""COMPUTED_VALUE"""),"EC-PO-5-SW-2")</f>
        <v>EC-PO-5-SW-2</v>
      </c>
      <c r="F921" s="98">
        <v>0.0</v>
      </c>
      <c r="G921" s="110"/>
      <c r="H921" s="98"/>
      <c r="I921" s="98"/>
      <c r="J921" s="98"/>
      <c r="K921" s="98"/>
      <c r="L921" s="104"/>
      <c r="M921" s="98" t="s">
        <v>39</v>
      </c>
      <c r="N921" s="103" t="str">
        <f>IFERROR(__xludf.DUMMYFUNCTION("""COMPUTED_VALUE"""),"")</f>
        <v/>
      </c>
      <c r="O921" s="104"/>
      <c r="P921" s="104"/>
      <c r="Q921" s="104"/>
      <c r="R921" s="104" t="s">
        <v>4766</v>
      </c>
      <c r="S921" s="104" t="s">
        <v>39</v>
      </c>
      <c r="T921" s="104" t="s">
        <v>4767</v>
      </c>
      <c r="U921" s="104"/>
      <c r="V921" s="104" t="s">
        <v>4767</v>
      </c>
      <c r="W921" s="104"/>
    </row>
    <row r="922">
      <c r="A922" s="105">
        <v>45930.0</v>
      </c>
      <c r="B922" s="79" t="str">
        <f>IFERROR(__xludf.DUMMYFUNCTION("""COMPUTED_VALUE"""),"PC-PO-5-SW-1")</f>
        <v>PC-PO-5-SW-1</v>
      </c>
      <c r="C922" s="104"/>
      <c r="D922" s="104"/>
      <c r="E922" s="104" t="str">
        <f>IFERROR(__xludf.DUMMYFUNCTION("""COMPUTED_VALUE"""),"PC-PO-5-SW-1")</f>
        <v>PC-PO-5-SW-1</v>
      </c>
      <c r="F922" s="98">
        <v>0.0</v>
      </c>
      <c r="G922" s="110"/>
      <c r="H922" s="98"/>
      <c r="I922" s="98"/>
      <c r="J922" s="98"/>
      <c r="K922" s="98"/>
      <c r="L922" s="104"/>
      <c r="M922" s="98" t="s">
        <v>39</v>
      </c>
      <c r="N922" s="103" t="str">
        <f>IFERROR(__xludf.DUMMYFUNCTION("""COMPUTED_VALUE"""),"")</f>
        <v/>
      </c>
      <c r="O922" s="104"/>
      <c r="P922" s="104"/>
      <c r="Q922" s="104"/>
      <c r="R922" s="104" t="s">
        <v>4768</v>
      </c>
      <c r="S922" s="104" t="s">
        <v>39</v>
      </c>
      <c r="T922" s="104" t="s">
        <v>4769</v>
      </c>
      <c r="U922" s="104"/>
      <c r="V922" s="104" t="s">
        <v>4769</v>
      </c>
      <c r="W922" s="104"/>
    </row>
    <row r="923">
      <c r="A923" s="105">
        <v>45933.0</v>
      </c>
      <c r="B923" s="79" t="str">
        <f>IFERROR(__xludf.DUMMYFUNCTION("""COMPUTED_VALUE"""),"MA-PO-5-SW-1")</f>
        <v>MA-PO-5-SW-1</v>
      </c>
      <c r="C923" s="104"/>
      <c r="D923" s="104"/>
      <c r="E923" s="104" t="str">
        <f>IFERROR(__xludf.DUMMYFUNCTION("""COMPUTED_VALUE"""),"MA-PO-5-SW-1")</f>
        <v>MA-PO-5-SW-1</v>
      </c>
      <c r="F923" s="98">
        <v>0.0</v>
      </c>
      <c r="G923" s="110"/>
      <c r="H923" s="98"/>
      <c r="I923" s="98"/>
      <c r="J923" s="98"/>
      <c r="K923" s="98"/>
      <c r="L923" s="104"/>
      <c r="M923" s="98" t="s">
        <v>39</v>
      </c>
      <c r="N923" s="103" t="str">
        <f>IFERROR(__xludf.DUMMYFUNCTION("""COMPUTED_VALUE"""),"")</f>
        <v/>
      </c>
      <c r="O923" s="104"/>
      <c r="P923" s="104"/>
      <c r="Q923" s="104"/>
      <c r="R923" s="104" t="s">
        <v>4770</v>
      </c>
      <c r="S923" s="104" t="s">
        <v>39</v>
      </c>
      <c r="T923" s="104" t="s">
        <v>4771</v>
      </c>
      <c r="U923" s="104"/>
      <c r="V923" s="104" t="s">
        <v>4771</v>
      </c>
      <c r="W923" s="104"/>
    </row>
    <row r="924">
      <c r="A924" s="105">
        <v>45933.0</v>
      </c>
      <c r="B924" s="79" t="str">
        <f>IFERROR(__xludf.DUMMYFUNCTION("""COMPUTED_VALUE"""),"MA-PO-4-SW-1")</f>
        <v>MA-PO-4-SW-1</v>
      </c>
      <c r="C924" s="104"/>
      <c r="D924" s="104"/>
      <c r="E924" s="104" t="str">
        <f>IFERROR(__xludf.DUMMYFUNCTION("""COMPUTED_VALUE"""),"MA-PO-4-SW-1")</f>
        <v>MA-PO-4-SW-1</v>
      </c>
      <c r="F924" s="98">
        <v>0.0</v>
      </c>
      <c r="G924" s="110"/>
      <c r="H924" s="98"/>
      <c r="I924" s="98"/>
      <c r="J924" s="98"/>
      <c r="K924" s="98"/>
      <c r="L924" s="104"/>
      <c r="M924" s="98" t="s">
        <v>39</v>
      </c>
      <c r="N924" s="103" t="str">
        <f>IFERROR(__xludf.DUMMYFUNCTION("""COMPUTED_VALUE"""),"")</f>
        <v/>
      </c>
      <c r="O924" s="104"/>
      <c r="P924" s="104"/>
      <c r="Q924" s="104"/>
      <c r="R924" s="104" t="s">
        <v>4772</v>
      </c>
      <c r="S924" s="104" t="s">
        <v>39</v>
      </c>
      <c r="T924" s="104" t="s">
        <v>4773</v>
      </c>
      <c r="U924" s="104"/>
      <c r="V924" s="104" t="s">
        <v>4773</v>
      </c>
      <c r="W924" s="104"/>
    </row>
    <row r="925">
      <c r="A925" s="105">
        <v>45933.0</v>
      </c>
      <c r="B925" s="79" t="str">
        <f>IFERROR(__xludf.DUMMYFUNCTION("""COMPUTED_VALUE"""),"MA-PO-3-SW-1")</f>
        <v>MA-PO-3-SW-1</v>
      </c>
      <c r="C925" s="104"/>
      <c r="D925" s="104"/>
      <c r="E925" s="104" t="str">
        <f>IFERROR(__xludf.DUMMYFUNCTION("""COMPUTED_VALUE"""),"MA-PO-3-SW-1")</f>
        <v>MA-PO-3-SW-1</v>
      </c>
      <c r="F925" s="98">
        <v>0.0</v>
      </c>
      <c r="G925" s="110"/>
      <c r="H925" s="98"/>
      <c r="I925" s="98"/>
      <c r="J925" s="98"/>
      <c r="K925" s="98"/>
      <c r="L925" s="104"/>
      <c r="M925" s="98" t="s">
        <v>39</v>
      </c>
      <c r="N925" s="103" t="str">
        <f>IFERROR(__xludf.DUMMYFUNCTION("""COMPUTED_VALUE"""),"")</f>
        <v/>
      </c>
      <c r="O925" s="104"/>
      <c r="P925" s="104"/>
      <c r="Q925" s="104"/>
      <c r="R925" s="104" t="s">
        <v>4774</v>
      </c>
      <c r="S925" s="104" t="s">
        <v>39</v>
      </c>
      <c r="T925" s="104" t="s">
        <v>4775</v>
      </c>
      <c r="U925" s="104"/>
      <c r="V925" s="104" t="s">
        <v>4775</v>
      </c>
      <c r="W925" s="104"/>
    </row>
    <row r="926">
      <c r="A926" s="105">
        <v>45920.0</v>
      </c>
      <c r="B926" s="79" t="str">
        <f>IFERROR(__xludf.DUMMYFUNCTION("""COMPUTED_VALUE"""),"JC-PL-EL-6")</f>
        <v>JC-PL-EL-6</v>
      </c>
      <c r="C926" s="104"/>
      <c r="D926" s="104"/>
      <c r="E926" s="104" t="str">
        <f>IFERROR(__xludf.DUMMYFUNCTION("""COMPUTED_VALUE"""),"JC-PL-EL-6")</f>
        <v>JC-PL-EL-6</v>
      </c>
      <c r="F926" s="98">
        <v>0.0</v>
      </c>
      <c r="G926" s="110"/>
      <c r="H926" s="98"/>
      <c r="I926" s="98"/>
      <c r="J926" s="98"/>
      <c r="K926" s="98"/>
      <c r="L926" s="104"/>
      <c r="M926" s="98" t="s">
        <v>39</v>
      </c>
      <c r="N926" s="103" t="str">
        <f>IFERROR(__xludf.DUMMYFUNCTION("""COMPUTED_VALUE"""),"")</f>
        <v/>
      </c>
      <c r="O926" s="104"/>
      <c r="P926" s="104"/>
      <c r="Q926" s="104"/>
      <c r="R926" s="104" t="s">
        <v>4776</v>
      </c>
      <c r="S926" s="104" t="s">
        <v>39</v>
      </c>
      <c r="T926" s="104" t="s">
        <v>4777</v>
      </c>
      <c r="U926" s="104"/>
      <c r="V926" s="104" t="s">
        <v>4777</v>
      </c>
      <c r="W926" s="104"/>
    </row>
    <row r="927">
      <c r="A927" s="105">
        <v>45920.0</v>
      </c>
      <c r="B927" s="79" t="str">
        <f>IFERROR(__xludf.DUMMYFUNCTION("""COMPUTED_VALUE"""),"JC-PL-SS-6")</f>
        <v>JC-PL-SS-6</v>
      </c>
      <c r="C927" s="104"/>
      <c r="D927" s="104"/>
      <c r="E927" s="104" t="str">
        <f>IFERROR(__xludf.DUMMYFUNCTION("""COMPUTED_VALUE"""),"JC-PL-SS-6")</f>
        <v>JC-PL-SS-6</v>
      </c>
      <c r="F927" s="98">
        <v>0.0</v>
      </c>
      <c r="G927" s="110"/>
      <c r="H927" s="98"/>
      <c r="I927" s="98"/>
      <c r="J927" s="98"/>
      <c r="K927" s="98"/>
      <c r="L927" s="104"/>
      <c r="M927" s="98" t="s">
        <v>39</v>
      </c>
      <c r="N927" s="103" t="str">
        <f>IFERROR(__xludf.DUMMYFUNCTION("""COMPUTED_VALUE"""),"")</f>
        <v/>
      </c>
      <c r="O927" s="104"/>
      <c r="P927" s="104"/>
      <c r="Q927" s="104"/>
      <c r="R927" s="104" t="s">
        <v>4778</v>
      </c>
      <c r="S927" s="104" t="s">
        <v>39</v>
      </c>
      <c r="T927" s="104" t="s">
        <v>4779</v>
      </c>
      <c r="U927" s="104"/>
      <c r="V927" s="104" t="s">
        <v>4779</v>
      </c>
      <c r="W927" s="104"/>
    </row>
    <row r="928">
      <c r="A928" s="105">
        <v>45920.0</v>
      </c>
      <c r="B928" s="79" t="str">
        <f>IFERROR(__xludf.DUMMYFUNCTION("""COMPUTED_VALUE"""),"JC-PL-SN-6")</f>
        <v>JC-PL-SN-6</v>
      </c>
      <c r="C928" s="104"/>
      <c r="D928" s="104"/>
      <c r="E928" s="104" t="str">
        <f>IFERROR(__xludf.DUMMYFUNCTION("""COMPUTED_VALUE"""),"JC-PL-SN-6")</f>
        <v>JC-PL-SN-6</v>
      </c>
      <c r="F928" s="98">
        <v>0.0</v>
      </c>
      <c r="G928" s="110"/>
      <c r="H928" s="98"/>
      <c r="I928" s="98"/>
      <c r="J928" s="98"/>
      <c r="K928" s="98"/>
      <c r="L928" s="104"/>
      <c r="M928" s="98" t="s">
        <v>39</v>
      </c>
      <c r="N928" s="103" t="str">
        <f>IFERROR(__xludf.DUMMYFUNCTION("""COMPUTED_VALUE"""),"")</f>
        <v/>
      </c>
      <c r="O928" s="104"/>
      <c r="P928" s="104"/>
      <c r="Q928" s="104"/>
      <c r="R928" s="104" t="s">
        <v>4780</v>
      </c>
      <c r="S928" s="104" t="s">
        <v>39</v>
      </c>
      <c r="T928" s="104" t="s">
        <v>4781</v>
      </c>
      <c r="U928" s="104"/>
      <c r="V928" s="104" t="s">
        <v>4781</v>
      </c>
      <c r="W928" s="104"/>
    </row>
    <row r="929">
      <c r="A929" s="105">
        <v>45920.0</v>
      </c>
      <c r="B929" s="79" t="str">
        <f>IFERROR(__xludf.DUMMYFUNCTION("""COMPUTED_VALUE"""),"JC-PL-TU-6")</f>
        <v>JC-PL-TU-6</v>
      </c>
      <c r="C929" s="104"/>
      <c r="D929" s="104"/>
      <c r="E929" s="104" t="str">
        <f>IFERROR(__xludf.DUMMYFUNCTION("""COMPUTED_VALUE"""),"JC-PL-TU-6")</f>
        <v>JC-PL-TU-6</v>
      </c>
      <c r="F929" s="98">
        <v>0.0</v>
      </c>
      <c r="G929" s="110"/>
      <c r="H929" s="98"/>
      <c r="I929" s="98"/>
      <c r="J929" s="98"/>
      <c r="K929" s="98"/>
      <c r="L929" s="104"/>
      <c r="M929" s="98" t="s">
        <v>39</v>
      </c>
      <c r="N929" s="103" t="str">
        <f>IFERROR(__xludf.DUMMYFUNCTION("""COMPUTED_VALUE"""),"")</f>
        <v/>
      </c>
      <c r="O929" s="104"/>
      <c r="P929" s="104"/>
      <c r="Q929" s="104"/>
      <c r="R929" s="104" t="s">
        <v>4782</v>
      </c>
      <c r="S929" s="104" t="s">
        <v>39</v>
      </c>
      <c r="T929" s="104" t="s">
        <v>4783</v>
      </c>
      <c r="U929" s="104"/>
      <c r="V929" s="104" t="s">
        <v>4783</v>
      </c>
      <c r="W929" s="104"/>
    </row>
    <row r="930">
      <c r="A930" s="105">
        <v>45925.0</v>
      </c>
      <c r="B930" s="79" t="str">
        <f>IFERROR(__xludf.DUMMYFUNCTION("""COMPUTED_VALUE"""),"TPM-ST-GI-5")</f>
        <v>TPM-ST-GI-5</v>
      </c>
      <c r="C930" s="104"/>
      <c r="D930" s="104"/>
      <c r="E930" s="104" t="str">
        <f>IFERROR(__xludf.DUMMYFUNCTION("""COMPUTED_VALUE"""),"TPM-ST-GI-5")</f>
        <v>TPM-ST-GI-5</v>
      </c>
      <c r="F930" s="98">
        <v>0.0</v>
      </c>
      <c r="G930" s="110"/>
      <c r="H930" s="98"/>
      <c r="I930" s="98"/>
      <c r="J930" s="98"/>
      <c r="K930" s="98"/>
      <c r="L930" s="104"/>
      <c r="M930" s="98" t="s">
        <v>39</v>
      </c>
      <c r="N930" s="103" t="str">
        <f>IFERROR(__xludf.DUMMYFUNCTION("""COMPUTED_VALUE"""),"")</f>
        <v/>
      </c>
      <c r="O930" s="104"/>
      <c r="P930" s="104"/>
      <c r="Q930" s="104"/>
      <c r="R930" s="104" t="s">
        <v>4784</v>
      </c>
      <c r="S930" s="104" t="s">
        <v>39</v>
      </c>
      <c r="T930" s="104" t="s">
        <v>4785</v>
      </c>
      <c r="U930" s="104"/>
      <c r="V930" s="104" t="s">
        <v>4785</v>
      </c>
      <c r="W930" s="104"/>
    </row>
    <row r="931">
      <c r="A931" s="105">
        <v>45925.0</v>
      </c>
      <c r="B931" s="79" t="str">
        <f>IFERROR(__xludf.DUMMYFUNCTION("""COMPUTED_VALUE"""),"TPM-ST-LIS-10")</f>
        <v>TPM-ST-LIS-10</v>
      </c>
      <c r="C931" s="104"/>
      <c r="D931" s="104"/>
      <c r="E931" s="104" t="str">
        <f>IFERROR(__xludf.DUMMYFUNCTION("""COMPUTED_VALUE"""),"TPM-ST-LIS-10")</f>
        <v>TPM-ST-LIS-10</v>
      </c>
      <c r="F931" s="98">
        <v>0.0</v>
      </c>
      <c r="G931" s="110"/>
      <c r="H931" s="98"/>
      <c r="I931" s="98"/>
      <c r="J931" s="98"/>
      <c r="K931" s="98"/>
      <c r="L931" s="104"/>
      <c r="M931" s="98" t="s">
        <v>39</v>
      </c>
      <c r="N931" s="103" t="str">
        <f>IFERROR(__xludf.DUMMYFUNCTION("""COMPUTED_VALUE"""),"")</f>
        <v/>
      </c>
      <c r="O931" s="104"/>
      <c r="P931" s="104"/>
      <c r="Q931" s="104"/>
      <c r="R931" s="104" t="s">
        <v>4786</v>
      </c>
      <c r="S931" s="104" t="s">
        <v>39</v>
      </c>
      <c r="T931" s="104" t="s">
        <v>4787</v>
      </c>
      <c r="U931" s="104"/>
      <c r="V931" s="104" t="s">
        <v>4787</v>
      </c>
      <c r="W931" s="104"/>
    </row>
    <row r="932">
      <c r="A932" s="105">
        <v>45925.0</v>
      </c>
      <c r="B932" s="79" t="str">
        <f>IFERROR(__xludf.DUMMYFUNCTION("""COMPUTED_VALUE"""),"TPM-ST-PL-5")</f>
        <v>TPM-ST-PL-5</v>
      </c>
      <c r="C932" s="104"/>
      <c r="D932" s="104"/>
      <c r="E932" s="104" t="str">
        <f>IFERROR(__xludf.DUMMYFUNCTION("""COMPUTED_VALUE"""),"TPM-ST-PL-5")</f>
        <v>TPM-ST-PL-5</v>
      </c>
      <c r="F932" s="98">
        <v>0.0</v>
      </c>
      <c r="G932" s="110"/>
      <c r="H932" s="98"/>
      <c r="I932" s="98"/>
      <c r="J932" s="98"/>
      <c r="K932" s="98"/>
      <c r="L932" s="104"/>
      <c r="M932" s="98" t="s">
        <v>39</v>
      </c>
      <c r="N932" s="103" t="str">
        <f>IFERROR(__xludf.DUMMYFUNCTION("""COMPUTED_VALUE"""),"")</f>
        <v/>
      </c>
      <c r="O932" s="104"/>
      <c r="P932" s="104"/>
      <c r="Q932" s="104"/>
      <c r="R932" s="104" t="s">
        <v>4788</v>
      </c>
      <c r="S932" s="104" t="s">
        <v>39</v>
      </c>
      <c r="T932" s="104" t="s">
        <v>4789</v>
      </c>
      <c r="U932" s="104"/>
      <c r="V932" s="104" t="s">
        <v>4789</v>
      </c>
      <c r="W932" s="104"/>
    </row>
    <row r="933">
      <c r="A933" s="105">
        <v>45925.0</v>
      </c>
      <c r="B933" s="79" t="str">
        <f>IFERROR(__xludf.DUMMYFUNCTION("""COMPUTED_VALUE"""),"TPM-ST-JO-5")</f>
        <v>TPM-ST-JO-5</v>
      </c>
      <c r="C933" s="104"/>
      <c r="D933" s="104"/>
      <c r="E933" s="104" t="str">
        <f>IFERROR(__xludf.DUMMYFUNCTION("""COMPUTED_VALUE"""),"TPM-ST-JO-5")</f>
        <v>TPM-ST-JO-5</v>
      </c>
      <c r="F933" s="98">
        <v>0.0</v>
      </c>
      <c r="G933" s="110"/>
      <c r="H933" s="98"/>
      <c r="I933" s="98"/>
      <c r="J933" s="98"/>
      <c r="K933" s="98"/>
      <c r="L933" s="104"/>
      <c r="M933" s="98" t="s">
        <v>39</v>
      </c>
      <c r="N933" s="103" t="str">
        <f>IFERROR(__xludf.DUMMYFUNCTION("""COMPUTED_VALUE"""),"")</f>
        <v/>
      </c>
      <c r="O933" s="104"/>
      <c r="P933" s="104"/>
      <c r="Q933" s="104"/>
      <c r="R933" s="104" t="s">
        <v>4790</v>
      </c>
      <c r="S933" s="104" t="s">
        <v>39</v>
      </c>
      <c r="T933" s="104" t="s">
        <v>4791</v>
      </c>
      <c r="U933" s="104"/>
      <c r="V933" s="104" t="s">
        <v>4791</v>
      </c>
      <c r="W933" s="104"/>
    </row>
    <row r="934">
      <c r="A934" s="105">
        <v>45925.0</v>
      </c>
      <c r="B934" s="79" t="str">
        <f>IFERROR(__xludf.DUMMYFUNCTION("""COMPUTED_VALUE"""),"TPM-ST-MD-5")</f>
        <v>TPM-ST-MD-5</v>
      </c>
      <c r="C934" s="104"/>
      <c r="D934" s="104"/>
      <c r="E934" s="104" t="str">
        <f>IFERROR(__xludf.DUMMYFUNCTION("""COMPUTED_VALUE"""),"TPM-ST-MD-5")</f>
        <v>TPM-ST-MD-5</v>
      </c>
      <c r="F934" s="98">
        <v>0.0</v>
      </c>
      <c r="G934" s="110"/>
      <c r="H934" s="98"/>
      <c r="I934" s="98"/>
      <c r="J934" s="98"/>
      <c r="K934" s="98"/>
      <c r="L934" s="104"/>
      <c r="M934" s="98" t="s">
        <v>39</v>
      </c>
      <c r="N934" s="103" t="str">
        <f>IFERROR(__xludf.DUMMYFUNCTION("""COMPUTED_VALUE"""),"")</f>
        <v/>
      </c>
      <c r="O934" s="104"/>
      <c r="P934" s="104"/>
      <c r="Q934" s="104"/>
      <c r="R934" s="104" t="s">
        <v>4792</v>
      </c>
      <c r="S934" s="104" t="s">
        <v>39</v>
      </c>
      <c r="T934" s="104" t="s">
        <v>4793</v>
      </c>
      <c r="U934" s="104"/>
      <c r="V934" s="104" t="s">
        <v>4793</v>
      </c>
      <c r="W934" s="104"/>
    </row>
    <row r="935">
      <c r="A935" s="105">
        <v>45925.0</v>
      </c>
      <c r="B935" s="79" t="str">
        <f>IFERROR(__xludf.DUMMYFUNCTION("""COMPUTED_VALUE"""),"TPM-ST-ED-5")</f>
        <v>TPM-ST-ED-5</v>
      </c>
      <c r="C935" s="104"/>
      <c r="D935" s="104"/>
      <c r="E935" s="104" t="str">
        <f>IFERROR(__xludf.DUMMYFUNCTION("""COMPUTED_VALUE"""),"TPM-ST-ED-5")</f>
        <v>TPM-ST-ED-5</v>
      </c>
      <c r="F935" s="98">
        <v>0.0</v>
      </c>
      <c r="G935" s="110"/>
      <c r="H935" s="98"/>
      <c r="I935" s="98"/>
      <c r="J935" s="98"/>
      <c r="K935" s="98"/>
      <c r="L935" s="104"/>
      <c r="M935" s="98" t="s">
        <v>39</v>
      </c>
      <c r="N935" s="103" t="str">
        <f>IFERROR(__xludf.DUMMYFUNCTION("""COMPUTED_VALUE"""),"")</f>
        <v/>
      </c>
      <c r="O935" s="104"/>
      <c r="P935" s="104"/>
      <c r="Q935" s="104"/>
      <c r="R935" s="104" t="s">
        <v>4794</v>
      </c>
      <c r="S935" s="104" t="s">
        <v>39</v>
      </c>
      <c r="T935" s="104" t="s">
        <v>4795</v>
      </c>
      <c r="U935" s="104"/>
      <c r="V935" s="104" t="s">
        <v>4795</v>
      </c>
      <c r="W935" s="104"/>
    </row>
    <row r="936">
      <c r="A936" s="105">
        <v>45925.0</v>
      </c>
      <c r="B936" s="79" t="str">
        <f>IFERROR(__xludf.DUMMYFUNCTION("""COMPUTED_VALUE"""),"TPM-ST-PPP-5")</f>
        <v>TPM-ST-PPP-5</v>
      </c>
      <c r="C936" s="104"/>
      <c r="D936" s="104"/>
      <c r="E936" s="104" t="str">
        <f>IFERROR(__xludf.DUMMYFUNCTION("""COMPUTED_VALUE"""),"TPM-ST-PPP-5")</f>
        <v>TPM-ST-PPP-5</v>
      </c>
      <c r="F936" s="98">
        <v>0.0</v>
      </c>
      <c r="G936" s="110"/>
      <c r="H936" s="98"/>
      <c r="I936" s="98"/>
      <c r="J936" s="98"/>
      <c r="K936" s="98"/>
      <c r="L936" s="104"/>
      <c r="M936" s="98" t="s">
        <v>39</v>
      </c>
      <c r="N936" s="103" t="str">
        <f>IFERROR(__xludf.DUMMYFUNCTION("""COMPUTED_VALUE"""),"")</f>
        <v/>
      </c>
      <c r="O936" s="104"/>
      <c r="P936" s="104"/>
      <c r="Q936" s="104"/>
      <c r="R936" s="104" t="s">
        <v>4796</v>
      </c>
      <c r="S936" s="104" t="s">
        <v>39</v>
      </c>
      <c r="T936" s="104" t="s">
        <v>4797</v>
      </c>
      <c r="U936" s="104"/>
      <c r="V936" s="104" t="s">
        <v>4797</v>
      </c>
      <c r="W936" s="104"/>
    </row>
    <row r="937">
      <c r="A937" s="105">
        <v>45925.0</v>
      </c>
      <c r="B937" s="79" t="str">
        <f>IFERROR(__xludf.DUMMYFUNCTION("""COMPUTED_VALUE"""),"TPM-ST-ACP-5")</f>
        <v>TPM-ST-ACP-5</v>
      </c>
      <c r="C937" s="104"/>
      <c r="D937" s="104"/>
      <c r="E937" s="104" t="str">
        <f>IFERROR(__xludf.DUMMYFUNCTION("""COMPUTED_VALUE"""),"TPM-ST-ACP-5")</f>
        <v>TPM-ST-ACP-5</v>
      </c>
      <c r="F937" s="98">
        <v>0.0</v>
      </c>
      <c r="G937" s="110"/>
      <c r="H937" s="98"/>
      <c r="I937" s="98"/>
      <c r="J937" s="98"/>
      <c r="K937" s="98"/>
      <c r="L937" s="104"/>
      <c r="M937" s="98" t="s">
        <v>39</v>
      </c>
      <c r="N937" s="103" t="str">
        <f>IFERROR(__xludf.DUMMYFUNCTION("""COMPUTED_VALUE"""),"")</f>
        <v/>
      </c>
      <c r="O937" s="104"/>
      <c r="P937" s="104"/>
      <c r="Q937" s="104"/>
      <c r="R937" s="104" t="s">
        <v>4798</v>
      </c>
      <c r="S937" s="104" t="s">
        <v>39</v>
      </c>
      <c r="T937" s="104" t="s">
        <v>4799</v>
      </c>
      <c r="U937" s="104"/>
      <c r="V937" s="104" t="s">
        <v>4799</v>
      </c>
      <c r="W937" s="104"/>
    </row>
    <row r="938">
      <c r="A938" s="105">
        <v>45925.0</v>
      </c>
      <c r="B938" s="79" t="str">
        <f>IFERROR(__xludf.DUMMYFUNCTION("""COMPUTED_VALUE"""),"TPM-ST-MAP-5")</f>
        <v>TPM-ST-MAP-5</v>
      </c>
      <c r="C938" s="104"/>
      <c r="D938" s="104"/>
      <c r="E938" s="104" t="str">
        <f>IFERROR(__xludf.DUMMYFUNCTION("""COMPUTED_VALUE"""),"TPM-ST-MAP-5")</f>
        <v>TPM-ST-MAP-5</v>
      </c>
      <c r="F938" s="98">
        <v>0.0</v>
      </c>
      <c r="G938" s="110"/>
      <c r="H938" s="98"/>
      <c r="I938" s="98"/>
      <c r="J938" s="98"/>
      <c r="K938" s="98"/>
      <c r="L938" s="104"/>
      <c r="M938" s="98" t="s">
        <v>39</v>
      </c>
      <c r="N938" s="103" t="str">
        <f>IFERROR(__xludf.DUMMYFUNCTION("""COMPUTED_VALUE"""),"")</f>
        <v/>
      </c>
      <c r="O938" s="104"/>
      <c r="P938" s="104"/>
      <c r="Q938" s="104"/>
      <c r="R938" s="104" t="s">
        <v>4800</v>
      </c>
      <c r="S938" s="104" t="s">
        <v>39</v>
      </c>
      <c r="T938" s="104" t="s">
        <v>4801</v>
      </c>
      <c r="U938" s="104"/>
      <c r="V938" s="104" t="s">
        <v>4801</v>
      </c>
      <c r="W938" s="104"/>
    </row>
    <row r="939">
      <c r="A939" s="105">
        <v>45925.0</v>
      </c>
      <c r="B939" s="79" t="str">
        <f>IFERROR(__xludf.DUMMYFUNCTION("""COMPUTED_VALUE"""),"AS-EA-SS-3")</f>
        <v>AS-EA-SS-3</v>
      </c>
      <c r="C939" s="104"/>
      <c r="D939" s="104"/>
      <c r="E939" s="104" t="str">
        <f>IFERROR(__xludf.DUMMYFUNCTION("""COMPUTED_VALUE"""),"AS-EA-SS-3")</f>
        <v>AS-EA-SS-3</v>
      </c>
      <c r="F939" s="98">
        <v>0.0</v>
      </c>
      <c r="G939" s="110"/>
      <c r="H939" s="98"/>
      <c r="I939" s="98"/>
      <c r="J939" s="98"/>
      <c r="K939" s="98"/>
      <c r="L939" s="104"/>
      <c r="M939" s="98" t="s">
        <v>39</v>
      </c>
      <c r="N939" s="103" t="str">
        <f>IFERROR(__xludf.DUMMYFUNCTION("""COMPUTED_VALUE"""),"")</f>
        <v/>
      </c>
      <c r="O939" s="104"/>
      <c r="P939" s="104"/>
      <c r="Q939" s="104"/>
      <c r="R939" s="104" t="s">
        <v>4802</v>
      </c>
      <c r="S939" s="104" t="s">
        <v>39</v>
      </c>
      <c r="T939" s="104" t="s">
        <v>4803</v>
      </c>
      <c r="U939" s="104"/>
      <c r="V939" s="104" t="s">
        <v>4803</v>
      </c>
      <c r="W939" s="104"/>
    </row>
    <row r="940">
      <c r="A940" s="105">
        <v>45925.0</v>
      </c>
      <c r="B940" s="79" t="str">
        <f>IFERROR(__xludf.DUMMYFUNCTION("""COMPUTED_VALUE"""),"AS-EA-MD-4")</f>
        <v>AS-EA-MD-4</v>
      </c>
      <c r="C940" s="104"/>
      <c r="D940" s="104"/>
      <c r="E940" s="104" t="str">
        <f>IFERROR(__xludf.DUMMYFUNCTION("""COMPUTED_VALUE"""),"AS-EA-MD-4")</f>
        <v>AS-EA-MD-4</v>
      </c>
      <c r="F940" s="98">
        <v>0.0</v>
      </c>
      <c r="G940" s="110"/>
      <c r="H940" s="98"/>
      <c r="I940" s="98"/>
      <c r="J940" s="98"/>
      <c r="K940" s="98"/>
      <c r="L940" s="104"/>
      <c r="M940" s="98" t="s">
        <v>39</v>
      </c>
      <c r="N940" s="103" t="str">
        <f>IFERROR(__xludf.DUMMYFUNCTION("""COMPUTED_VALUE"""),"")</f>
        <v/>
      </c>
      <c r="O940" s="104"/>
      <c r="P940" s="104"/>
      <c r="Q940" s="104"/>
      <c r="R940" s="104" t="s">
        <v>4804</v>
      </c>
      <c r="S940" s="104" t="s">
        <v>39</v>
      </c>
      <c r="T940" s="104" t="s">
        <v>4805</v>
      </c>
      <c r="U940" s="104"/>
      <c r="V940" s="104" t="s">
        <v>4805</v>
      </c>
      <c r="W940" s="104"/>
    </row>
    <row r="941">
      <c r="A941" s="105">
        <v>45925.0</v>
      </c>
      <c r="B941" s="79" t="str">
        <f>IFERROR(__xludf.DUMMYFUNCTION("""COMPUTED_VALUE"""),"AS-EA-SC-2")</f>
        <v>AS-EA-SC-2</v>
      </c>
      <c r="C941" s="104"/>
      <c r="D941" s="104"/>
      <c r="E941" s="104" t="str">
        <f>IFERROR(__xludf.DUMMYFUNCTION("""COMPUTED_VALUE"""),"AS-EA-SC-2")</f>
        <v>AS-EA-SC-2</v>
      </c>
      <c r="F941" s="98">
        <v>0.0</v>
      </c>
      <c r="G941" s="110"/>
      <c r="H941" s="98"/>
      <c r="I941" s="98"/>
      <c r="J941" s="98"/>
      <c r="K941" s="98"/>
      <c r="L941" s="104"/>
      <c r="M941" s="98" t="s">
        <v>39</v>
      </c>
      <c r="N941" s="103" t="str">
        <f>IFERROR(__xludf.DUMMYFUNCTION("""COMPUTED_VALUE"""),"")</f>
        <v/>
      </c>
      <c r="O941" s="104"/>
      <c r="P941" s="104"/>
      <c r="Q941" s="104"/>
      <c r="R941" s="104" t="s">
        <v>4806</v>
      </c>
      <c r="S941" s="104" t="s">
        <v>39</v>
      </c>
      <c r="T941" s="104" t="s">
        <v>4807</v>
      </c>
      <c r="U941" s="104"/>
      <c r="V941" s="104" t="s">
        <v>4807</v>
      </c>
      <c r="W941" s="104"/>
    </row>
    <row r="942">
      <c r="A942" s="105">
        <v>45925.0</v>
      </c>
      <c r="B942" s="79" t="str">
        <f>IFERROR(__xludf.DUMMYFUNCTION("""COMPUTED_VALUE"""),"AS-NE-SC-2")</f>
        <v>AS-NE-SC-2</v>
      </c>
      <c r="C942" s="104"/>
      <c r="D942" s="104"/>
      <c r="E942" s="104" t="str">
        <f>IFERROR(__xludf.DUMMYFUNCTION("""COMPUTED_VALUE"""),"AS-NE-SC-2")</f>
        <v>AS-NE-SC-2</v>
      </c>
      <c r="F942" s="98">
        <v>0.0</v>
      </c>
      <c r="G942" s="110"/>
      <c r="H942" s="98"/>
      <c r="I942" s="98"/>
      <c r="J942" s="98"/>
      <c r="K942" s="98"/>
      <c r="L942" s="104"/>
      <c r="M942" s="98" t="s">
        <v>39</v>
      </c>
      <c r="N942" s="103" t="str">
        <f>IFERROR(__xludf.DUMMYFUNCTION("""COMPUTED_VALUE"""),"")</f>
        <v/>
      </c>
      <c r="O942" s="104"/>
      <c r="P942" s="104"/>
      <c r="Q942" s="104"/>
      <c r="R942" s="104" t="s">
        <v>4808</v>
      </c>
      <c r="S942" s="104" t="s">
        <v>39</v>
      </c>
      <c r="T942" s="104" t="s">
        <v>4809</v>
      </c>
      <c r="U942" s="104"/>
      <c r="V942" s="104" t="s">
        <v>4809</v>
      </c>
      <c r="W942" s="104"/>
    </row>
    <row r="943">
      <c r="A943" s="105">
        <v>45925.0</v>
      </c>
      <c r="B943" s="79" t="str">
        <f>IFERROR(__xludf.DUMMYFUNCTION("""COMPUTED_VALUE"""),"AS-NE-ML-4")</f>
        <v>AS-NE-ML-4</v>
      </c>
      <c r="C943" s="104"/>
      <c r="D943" s="104"/>
      <c r="E943" s="104" t="str">
        <f>IFERROR(__xludf.DUMMYFUNCTION("""COMPUTED_VALUE"""),"AS-NE-ML-4")</f>
        <v>AS-NE-ML-4</v>
      </c>
      <c r="F943" s="98">
        <v>0.0</v>
      </c>
      <c r="G943" s="110"/>
      <c r="H943" s="98"/>
      <c r="I943" s="98"/>
      <c r="J943" s="98"/>
      <c r="K943" s="98"/>
      <c r="L943" s="104"/>
      <c r="M943" s="98" t="s">
        <v>39</v>
      </c>
      <c r="N943" s="103" t="str">
        <f>IFERROR(__xludf.DUMMYFUNCTION("""COMPUTED_VALUE"""),"")</f>
        <v/>
      </c>
      <c r="O943" s="104"/>
      <c r="P943" s="104"/>
      <c r="Q943" s="104"/>
      <c r="R943" s="104" t="s">
        <v>4810</v>
      </c>
      <c r="S943" s="104" t="s">
        <v>39</v>
      </c>
      <c r="T943" s="104" t="s">
        <v>4811</v>
      </c>
      <c r="U943" s="104"/>
      <c r="V943" s="104" t="s">
        <v>4811</v>
      </c>
      <c r="W943" s="104"/>
    </row>
    <row r="944">
      <c r="A944" s="105">
        <v>45931.0</v>
      </c>
      <c r="B944" s="79" t="str">
        <f>IFERROR(__xludf.DUMMYFUNCTION("""COMPUTED_VALUE"""),"ARC-ST-ED-10")</f>
        <v>ARC-ST-ED-10</v>
      </c>
      <c r="C944" s="104"/>
      <c r="D944" s="104"/>
      <c r="E944" s="104" t="str">
        <f>IFERROR(__xludf.DUMMYFUNCTION("""COMPUTED_VALUE"""),"ARC-ST-ED-10")</f>
        <v>ARC-ST-ED-10</v>
      </c>
      <c r="F944" s="98">
        <v>0.0</v>
      </c>
      <c r="G944" s="110"/>
      <c r="H944" s="98"/>
      <c r="I944" s="98"/>
      <c r="J944" s="98"/>
      <c r="K944" s="98"/>
      <c r="L944" s="104"/>
      <c r="M944" s="98" t="s">
        <v>39</v>
      </c>
      <c r="N944" s="103" t="str">
        <f>IFERROR(__xludf.DUMMYFUNCTION("""COMPUTED_VALUE"""),"")</f>
        <v/>
      </c>
      <c r="O944" s="104"/>
      <c r="P944" s="104"/>
      <c r="Q944" s="104"/>
      <c r="R944" s="104" t="s">
        <v>4812</v>
      </c>
      <c r="S944" s="104" t="s">
        <v>39</v>
      </c>
      <c r="T944" s="104" t="s">
        <v>4813</v>
      </c>
      <c r="U944" s="104"/>
      <c r="V944" s="104" t="s">
        <v>4813</v>
      </c>
      <c r="W944" s="104"/>
    </row>
    <row r="945">
      <c r="A945" s="105">
        <v>45931.0</v>
      </c>
      <c r="B945" s="79" t="str">
        <f>IFERROR(__xludf.DUMMYFUNCTION("""COMPUTED_VALUE"""),"ARC-ST-PL-10")</f>
        <v>ARC-ST-PL-10</v>
      </c>
      <c r="C945" s="104"/>
      <c r="D945" s="104"/>
      <c r="E945" s="104" t="str">
        <f>IFERROR(__xludf.DUMMYFUNCTION("""COMPUTED_VALUE"""),"ARC-ST-PL-10")</f>
        <v>ARC-ST-PL-10</v>
      </c>
      <c r="F945" s="98">
        <v>0.0</v>
      </c>
      <c r="G945" s="110"/>
      <c r="H945" s="98"/>
      <c r="I945" s="98"/>
      <c r="J945" s="98"/>
      <c r="K945" s="98"/>
      <c r="L945" s="104"/>
      <c r="M945" s="98" t="s">
        <v>39</v>
      </c>
      <c r="N945" s="103" t="str">
        <f>IFERROR(__xludf.DUMMYFUNCTION("""COMPUTED_VALUE"""),"")</f>
        <v/>
      </c>
      <c r="O945" s="104"/>
      <c r="P945" s="104"/>
      <c r="Q945" s="104"/>
      <c r="R945" s="104" t="s">
        <v>4814</v>
      </c>
      <c r="S945" s="104" t="s">
        <v>39</v>
      </c>
      <c r="T945" s="104" t="s">
        <v>4815</v>
      </c>
      <c r="U945" s="104"/>
      <c r="V945" s="104" t="s">
        <v>4815</v>
      </c>
      <c r="W945" s="104"/>
    </row>
    <row r="946">
      <c r="A946" s="105">
        <v>45931.0</v>
      </c>
      <c r="B946" s="79" t="str">
        <f>IFERROR(__xludf.DUMMYFUNCTION("""COMPUTED_VALUE"""),"ARC-KC-NEP-10")</f>
        <v>ARC-KC-NEP-10</v>
      </c>
      <c r="C946" s="104"/>
      <c r="D946" s="104"/>
      <c r="E946" s="104" t="str">
        <f>IFERROR(__xludf.DUMMYFUNCTION("""COMPUTED_VALUE"""),"ARC-KC-NEP-10")</f>
        <v>ARC-KC-NEP-10</v>
      </c>
      <c r="F946" s="98">
        <v>0.0</v>
      </c>
      <c r="G946" s="110"/>
      <c r="H946" s="98"/>
      <c r="I946" s="98"/>
      <c r="J946" s="98"/>
      <c r="K946" s="98"/>
      <c r="L946" s="104"/>
      <c r="M946" s="98" t="s">
        <v>39</v>
      </c>
      <c r="N946" s="103" t="str">
        <f>IFERROR(__xludf.DUMMYFUNCTION("""COMPUTED_VALUE"""),"")</f>
        <v/>
      </c>
      <c r="O946" s="104"/>
      <c r="P946" s="104"/>
      <c r="Q946" s="104"/>
      <c r="R946" s="104" t="s">
        <v>4816</v>
      </c>
      <c r="S946" s="104" t="s">
        <v>39</v>
      </c>
      <c r="T946" s="104" t="s">
        <v>4817</v>
      </c>
      <c r="U946" s="104"/>
      <c r="V946" s="104" t="s">
        <v>4817</v>
      </c>
      <c r="W946" s="104"/>
    </row>
    <row r="947">
      <c r="A947" s="105">
        <v>45931.0</v>
      </c>
      <c r="B947" s="79" t="str">
        <f>IFERROR(__xludf.DUMMYFUNCTION("""COMPUTED_VALUE"""),"ARC-TB-PA-5")</f>
        <v>ARC-TB-PA-5</v>
      </c>
      <c r="C947" s="104"/>
      <c r="D947" s="104"/>
      <c r="E947" s="104" t="str">
        <f>IFERROR(__xludf.DUMMYFUNCTION("""COMPUTED_VALUE"""),"ARC-TB-PA-5")</f>
        <v>ARC-TB-PA-5</v>
      </c>
      <c r="F947" s="98">
        <v>0.0</v>
      </c>
      <c r="G947" s="110"/>
      <c r="H947" s="98"/>
      <c r="I947" s="98"/>
      <c r="J947" s="98"/>
      <c r="K947" s="98"/>
      <c r="L947" s="104"/>
      <c r="M947" s="98" t="s">
        <v>39</v>
      </c>
      <c r="N947" s="103" t="str">
        <f>IFERROR(__xludf.DUMMYFUNCTION("""COMPUTED_VALUE"""),"")</f>
        <v/>
      </c>
      <c r="O947" s="104"/>
      <c r="P947" s="104"/>
      <c r="Q947" s="104"/>
      <c r="R947" s="104" t="s">
        <v>4818</v>
      </c>
      <c r="S947" s="104" t="s">
        <v>39</v>
      </c>
      <c r="T947" s="104" t="s">
        <v>4819</v>
      </c>
      <c r="U947" s="104"/>
      <c r="V947" s="104" t="s">
        <v>4819</v>
      </c>
      <c r="W947" s="104"/>
    </row>
    <row r="948">
      <c r="A948" s="105">
        <v>45931.0</v>
      </c>
      <c r="B948" s="79" t="str">
        <f>IFERROR(__xludf.DUMMYFUNCTION("""COMPUTED_VALUE"""),"ARC-TB-DH-3")</f>
        <v>ARC-TB-DH-3</v>
      </c>
      <c r="C948" s="104"/>
      <c r="D948" s="104"/>
      <c r="E948" s="104" t="str">
        <f>IFERROR(__xludf.DUMMYFUNCTION("""COMPUTED_VALUE"""),"ARC-TB-DH-3")</f>
        <v>ARC-TB-DH-3</v>
      </c>
      <c r="F948" s="98">
        <v>0.0</v>
      </c>
      <c r="G948" s="110"/>
      <c r="H948" s="98"/>
      <c r="I948" s="98"/>
      <c r="J948" s="98"/>
      <c r="K948" s="98"/>
      <c r="L948" s="104"/>
      <c r="M948" s="98" t="s">
        <v>39</v>
      </c>
      <c r="N948" s="103" t="str">
        <f>IFERROR(__xludf.DUMMYFUNCTION("""COMPUTED_VALUE"""),"")</f>
        <v/>
      </c>
      <c r="O948" s="104"/>
      <c r="P948" s="104"/>
      <c r="Q948" s="104"/>
      <c r="R948" s="104" t="s">
        <v>4820</v>
      </c>
      <c r="S948" s="104" t="s">
        <v>39</v>
      </c>
      <c r="T948" s="104" t="s">
        <v>4821</v>
      </c>
      <c r="U948" s="104"/>
      <c r="V948" s="104" t="s">
        <v>4821</v>
      </c>
      <c r="W948" s="104"/>
    </row>
    <row r="949">
      <c r="A949" s="105">
        <v>45933.0</v>
      </c>
      <c r="B949" s="79" t="str">
        <f>IFERROR(__xludf.DUMMYFUNCTION("""COMPUTED_VALUE"""),"AD-KC-PLE-8")</f>
        <v>AD-KC-PLE-8</v>
      </c>
      <c r="C949" s="104"/>
      <c r="D949" s="104"/>
      <c r="E949" s="104" t="str">
        <f>IFERROR(__xludf.DUMMYFUNCTION("""COMPUTED_VALUE"""),"AD-KC-PLE-8")</f>
        <v>AD-KC-PLE-8</v>
      </c>
      <c r="F949" s="98">
        <v>0.0</v>
      </c>
      <c r="G949" s="110"/>
      <c r="H949" s="98"/>
      <c r="I949" s="98"/>
      <c r="J949" s="98"/>
      <c r="K949" s="98"/>
      <c r="L949" s="104"/>
      <c r="M949" s="98" t="s">
        <v>39</v>
      </c>
      <c r="N949" s="103" t="str">
        <f>IFERROR(__xludf.DUMMYFUNCTION("""COMPUTED_VALUE"""),"")</f>
        <v/>
      </c>
      <c r="O949" s="104"/>
      <c r="P949" s="104"/>
      <c r="Q949" s="104"/>
      <c r="R949" s="104" t="s">
        <v>4822</v>
      </c>
      <c r="S949" s="104" t="s">
        <v>39</v>
      </c>
      <c r="T949" s="104" t="s">
        <v>4823</v>
      </c>
      <c r="U949" s="104"/>
      <c r="V949" s="104" t="s">
        <v>4823</v>
      </c>
      <c r="W949" s="104"/>
    </row>
    <row r="950">
      <c r="A950" s="105">
        <v>45828.0</v>
      </c>
      <c r="B950" s="79" t="str">
        <f>IFERROR(__xludf.DUMMYFUNCTION("""COMPUTED_VALUE"""),"RO-PO-4-CL-2")</f>
        <v>RO-PO-4-CL-2</v>
      </c>
      <c r="C950" s="104"/>
      <c r="D950" s="104"/>
      <c r="E950" s="104" t="str">
        <f>IFERROR(__xludf.DUMMYFUNCTION("""COMPUTED_VALUE"""),"RO-PO-4-CL-2")</f>
        <v>RO-PO-4-CL-2</v>
      </c>
      <c r="F950" s="98">
        <v>0.0</v>
      </c>
      <c r="G950" s="110"/>
      <c r="H950" s="98"/>
      <c r="I950" s="98"/>
      <c r="J950" s="98"/>
      <c r="K950" s="98"/>
      <c r="L950" s="104"/>
      <c r="M950" s="98" t="s">
        <v>39</v>
      </c>
      <c r="N950" s="103" t="str">
        <f>IFERROR(__xludf.DUMMYFUNCTION("""COMPUTED_VALUE"""),"")</f>
        <v/>
      </c>
      <c r="O950" s="104"/>
      <c r="P950" s="104"/>
      <c r="Q950" s="104"/>
      <c r="R950" s="104" t="s">
        <v>4824</v>
      </c>
      <c r="S950" s="104" t="s">
        <v>39</v>
      </c>
      <c r="T950" s="104" t="s">
        <v>4825</v>
      </c>
      <c r="U950" s="104"/>
      <c r="V950" s="104" t="s">
        <v>4825</v>
      </c>
      <c r="W950" s="104"/>
    </row>
    <row r="951">
      <c r="A951" s="105">
        <v>45938.0</v>
      </c>
      <c r="B951" s="79" t="str">
        <f>IFERROR(__xludf.DUMMYFUNCTION("""COMPUTED_VALUE"""),"ST-PO-0-CU-1")</f>
        <v>ST-PO-0-CU-1</v>
      </c>
      <c r="C951" s="104"/>
      <c r="D951" s="104"/>
      <c r="E951" s="104" t="str">
        <f>IFERROR(__xludf.DUMMYFUNCTION("""COMPUTED_VALUE"""),"ST-PO-0-CU-1")</f>
        <v>ST-PO-0-CU-1</v>
      </c>
      <c r="F951" s="98">
        <v>0.0</v>
      </c>
      <c r="G951" s="110"/>
      <c r="H951" s="98"/>
      <c r="I951" s="98"/>
      <c r="J951" s="98"/>
      <c r="K951" s="98"/>
      <c r="L951" s="104"/>
      <c r="M951" s="98" t="s">
        <v>39</v>
      </c>
      <c r="N951" s="103" t="str">
        <f>IFERROR(__xludf.DUMMYFUNCTION("""COMPUTED_VALUE"""),"")</f>
        <v/>
      </c>
      <c r="O951" s="104"/>
      <c r="P951" s="104"/>
      <c r="Q951" s="104"/>
      <c r="R951" s="104" t="s">
        <v>4826</v>
      </c>
      <c r="S951" s="104" t="s">
        <v>39</v>
      </c>
      <c r="T951" s="104" t="s">
        <v>4827</v>
      </c>
      <c r="U951" s="104"/>
      <c r="V951" s="104" t="s">
        <v>4827</v>
      </c>
      <c r="W951" s="104"/>
    </row>
    <row r="952">
      <c r="A952" s="105">
        <v>45938.0</v>
      </c>
      <c r="B952" s="79" t="str">
        <f>IFERROR(__xludf.DUMMYFUNCTION("""COMPUTED_VALUE"""),"ST-PO-4-NU-1")</f>
        <v>ST-PO-4-NU-1</v>
      </c>
      <c r="C952" s="104"/>
      <c r="D952" s="104"/>
      <c r="E952" s="104" t="str">
        <f>IFERROR(__xludf.DUMMYFUNCTION("""COMPUTED_VALUE"""),"ST-PO-4-NU-1")</f>
        <v>ST-PO-4-NU-1</v>
      </c>
      <c r="F952" s="98">
        <v>0.0</v>
      </c>
      <c r="G952" s="110"/>
      <c r="H952" s="98"/>
      <c r="I952" s="98"/>
      <c r="J952" s="98"/>
      <c r="K952" s="98"/>
      <c r="L952" s="104"/>
      <c r="M952" s="98" t="s">
        <v>39</v>
      </c>
      <c r="N952" s="103" t="str">
        <f>IFERROR(__xludf.DUMMYFUNCTION("""COMPUTED_VALUE"""),"")</f>
        <v/>
      </c>
      <c r="O952" s="104"/>
      <c r="P952" s="104"/>
      <c r="Q952" s="104"/>
      <c r="R952" s="104" t="s">
        <v>4828</v>
      </c>
      <c r="S952" s="104" t="s">
        <v>39</v>
      </c>
      <c r="T952" s="104" t="s">
        <v>4829</v>
      </c>
      <c r="U952" s="104"/>
      <c r="V952" s="104" t="s">
        <v>4829</v>
      </c>
      <c r="W952" s="104"/>
    </row>
    <row r="953">
      <c r="A953" s="105">
        <v>45938.0</v>
      </c>
      <c r="B953" s="79" t="str">
        <f>IFERROR(__xludf.DUMMYFUNCTION("""COMPUTED_VALUE"""),"ST-PO-3-NU-1")</f>
        <v>ST-PO-3-NU-1</v>
      </c>
      <c r="C953" s="104"/>
      <c r="D953" s="104"/>
      <c r="E953" s="104" t="str">
        <f>IFERROR(__xludf.DUMMYFUNCTION("""COMPUTED_VALUE"""),"ST-PO-3-NU-1")</f>
        <v>ST-PO-3-NU-1</v>
      </c>
      <c r="F953" s="98">
        <v>0.0</v>
      </c>
      <c r="G953" s="110"/>
      <c r="H953" s="98"/>
      <c r="I953" s="98"/>
      <c r="J953" s="98"/>
      <c r="K953" s="98"/>
      <c r="L953" s="104"/>
      <c r="M953" s="98" t="s">
        <v>39</v>
      </c>
      <c r="N953" s="103" t="str">
        <f>IFERROR(__xludf.DUMMYFUNCTION("""COMPUTED_VALUE"""),"")</f>
        <v/>
      </c>
      <c r="O953" s="104"/>
      <c r="P953" s="104"/>
      <c r="Q953" s="104"/>
      <c r="R953" s="104" t="s">
        <v>4830</v>
      </c>
      <c r="S953" s="104" t="s">
        <v>39</v>
      </c>
      <c r="T953" s="104" t="s">
        <v>4831</v>
      </c>
      <c r="U953" s="104"/>
      <c r="V953" s="104" t="s">
        <v>4831</v>
      </c>
      <c r="W953" s="104"/>
    </row>
    <row r="954">
      <c r="A954" s="105">
        <v>45938.0</v>
      </c>
      <c r="B954" s="79" t="str">
        <f>IFERROR(__xludf.DUMMYFUNCTION("""COMPUTED_VALUE"""),"ST-PO-6-NU-1")</f>
        <v>ST-PO-6-NU-1</v>
      </c>
      <c r="C954" s="104"/>
      <c r="D954" s="104"/>
      <c r="E954" s="104" t="str">
        <f>IFERROR(__xludf.DUMMYFUNCTION("""COMPUTED_VALUE"""),"ST-PO-6-NU-1")</f>
        <v>ST-PO-6-NU-1</v>
      </c>
      <c r="F954" s="98">
        <v>0.0</v>
      </c>
      <c r="G954" s="110"/>
      <c r="H954" s="98"/>
      <c r="I954" s="98"/>
      <c r="J954" s="98"/>
      <c r="K954" s="98"/>
      <c r="L954" s="104"/>
      <c r="M954" s="98" t="s">
        <v>39</v>
      </c>
      <c r="N954" s="103" t="str">
        <f>IFERROR(__xludf.DUMMYFUNCTION("""COMPUTED_VALUE"""),"")</f>
        <v/>
      </c>
      <c r="O954" s="104"/>
      <c r="P954" s="104"/>
      <c r="Q954" s="104"/>
      <c r="R954" s="104" t="s">
        <v>4832</v>
      </c>
      <c r="S954" s="104" t="s">
        <v>39</v>
      </c>
      <c r="T954" s="104" t="s">
        <v>4833</v>
      </c>
      <c r="U954" s="104"/>
      <c r="V954" s="104" t="s">
        <v>4833</v>
      </c>
      <c r="W954" s="104"/>
    </row>
    <row r="955">
      <c r="A955" s="105">
        <v>45938.0</v>
      </c>
      <c r="B955" s="79" t="str">
        <f>IFERROR(__xludf.DUMMYFUNCTION("""COMPUTED_VALUE"""),"ST-PO-2-NU-1")</f>
        <v>ST-PO-2-NU-1</v>
      </c>
      <c r="C955" s="104"/>
      <c r="D955" s="104"/>
      <c r="E955" s="104" t="str">
        <f>IFERROR(__xludf.DUMMYFUNCTION("""COMPUTED_VALUE"""),"ST-PO-2-NU-1")</f>
        <v>ST-PO-2-NU-1</v>
      </c>
      <c r="F955" s="98">
        <v>0.0</v>
      </c>
      <c r="G955" s="110"/>
      <c r="H955" s="98"/>
      <c r="I955" s="98"/>
      <c r="J955" s="98"/>
      <c r="K955" s="98"/>
      <c r="L955" s="104"/>
      <c r="M955" s="98" t="s">
        <v>39</v>
      </c>
      <c r="N955" s="103" t="str">
        <f>IFERROR(__xludf.DUMMYFUNCTION("""COMPUTED_VALUE"""),"")</f>
        <v/>
      </c>
      <c r="O955" s="104"/>
      <c r="P955" s="104"/>
      <c r="Q955" s="104"/>
      <c r="R955" s="104" t="s">
        <v>4834</v>
      </c>
      <c r="S955" s="104" t="s">
        <v>39</v>
      </c>
      <c r="T955" s="104" t="s">
        <v>4835</v>
      </c>
      <c r="U955" s="104"/>
      <c r="V955" s="104" t="s">
        <v>4835</v>
      </c>
      <c r="W955" s="104"/>
    </row>
    <row r="956">
      <c r="A956" s="105">
        <v>45938.0</v>
      </c>
      <c r="B956" s="79" t="str">
        <f>IFERROR(__xludf.DUMMYFUNCTION("""COMPUTED_VALUE"""),"ST-PO-0-PL-1")</f>
        <v>ST-PO-0-PL-1</v>
      </c>
      <c r="C956" s="104"/>
      <c r="D956" s="104"/>
      <c r="E956" s="104" t="str">
        <f>IFERROR(__xludf.DUMMYFUNCTION("""COMPUTED_VALUE"""),"ST-PO-0-PL-1")</f>
        <v>ST-PO-0-PL-1</v>
      </c>
      <c r="F956" s="98">
        <v>0.0</v>
      </c>
      <c r="G956" s="110"/>
      <c r="H956" s="98"/>
      <c r="I956" s="98"/>
      <c r="J956" s="98"/>
      <c r="K956" s="98"/>
      <c r="L956" s="104"/>
      <c r="M956" s="98" t="s">
        <v>39</v>
      </c>
      <c r="N956" s="103" t="str">
        <f>IFERROR(__xludf.DUMMYFUNCTION("""COMPUTED_VALUE"""),"")</f>
        <v/>
      </c>
      <c r="O956" s="104"/>
      <c r="P956" s="104"/>
      <c r="Q956" s="104"/>
      <c r="R956" s="104" t="s">
        <v>4836</v>
      </c>
      <c r="S956" s="104" t="s">
        <v>39</v>
      </c>
      <c r="T956" s="104" t="s">
        <v>4837</v>
      </c>
      <c r="U956" s="104"/>
      <c r="V956" s="104" t="s">
        <v>4837</v>
      </c>
      <c r="W956" s="104"/>
    </row>
    <row r="957">
      <c r="A957" s="105">
        <v>45938.0</v>
      </c>
      <c r="B957" s="79" t="str">
        <f>IFERROR(__xludf.DUMMYFUNCTION("""COMPUTED_VALUE"""),"ST-PO-6-HA-1")</f>
        <v>ST-PO-6-HA-1</v>
      </c>
      <c r="C957" s="104"/>
      <c r="D957" s="104"/>
      <c r="E957" s="104" t="str">
        <f>IFERROR(__xludf.DUMMYFUNCTION("""COMPUTED_VALUE"""),"ST-PO-6-HA-1")</f>
        <v>ST-PO-6-HA-1</v>
      </c>
      <c r="F957" s="98">
        <v>0.0</v>
      </c>
      <c r="G957" s="110"/>
      <c r="H957" s="98"/>
      <c r="I957" s="98"/>
      <c r="J957" s="98"/>
      <c r="K957" s="98"/>
      <c r="L957" s="104"/>
      <c r="M957" s="98" t="s">
        <v>39</v>
      </c>
      <c r="N957" s="103" t="str">
        <f>IFERROR(__xludf.DUMMYFUNCTION("""COMPUTED_VALUE"""),"")</f>
        <v/>
      </c>
      <c r="O957" s="104"/>
      <c r="P957" s="104"/>
      <c r="Q957" s="104"/>
      <c r="R957" s="104" t="s">
        <v>4838</v>
      </c>
      <c r="S957" s="104" t="s">
        <v>39</v>
      </c>
      <c r="T957" s="104" t="s">
        <v>4839</v>
      </c>
      <c r="U957" s="104"/>
      <c r="V957" s="104" t="s">
        <v>4839</v>
      </c>
      <c r="W957" s="104"/>
    </row>
    <row r="958">
      <c r="A958" s="105">
        <v>45938.0</v>
      </c>
      <c r="B958" s="79" t="str">
        <f>IFERROR(__xludf.DUMMYFUNCTION("""COMPUTED_VALUE"""),"ST-PO-0-STA-1")</f>
        <v>ST-PO-0-STA-1</v>
      </c>
      <c r="C958" s="104"/>
      <c r="D958" s="104"/>
      <c r="E958" s="104" t="str">
        <f>IFERROR(__xludf.DUMMYFUNCTION("""COMPUTED_VALUE"""),"ST-PO-0-STA-1")</f>
        <v>ST-PO-0-STA-1</v>
      </c>
      <c r="F958" s="98">
        <v>0.0</v>
      </c>
      <c r="G958" s="110"/>
      <c r="H958" s="98"/>
      <c r="I958" s="98"/>
      <c r="J958" s="98"/>
      <c r="K958" s="98"/>
      <c r="L958" s="104"/>
      <c r="M958" s="98" t="s">
        <v>39</v>
      </c>
      <c r="N958" s="103" t="str">
        <f>IFERROR(__xludf.DUMMYFUNCTION("""COMPUTED_VALUE"""),"")</f>
        <v/>
      </c>
      <c r="O958" s="104"/>
      <c r="P958" s="104"/>
      <c r="Q958" s="104"/>
      <c r="R958" s="104" t="s">
        <v>4840</v>
      </c>
      <c r="S958" s="104" t="s">
        <v>39</v>
      </c>
      <c r="T958" s="104" t="s">
        <v>4841</v>
      </c>
      <c r="U958" s="104"/>
      <c r="V958" s="104" t="s">
        <v>4841</v>
      </c>
      <c r="W958" s="104"/>
    </row>
    <row r="959">
      <c r="A959" s="105">
        <v>45928.0</v>
      </c>
      <c r="B959" s="79" t="str">
        <f>IFERROR(__xludf.DUMMYFUNCTION("""COMPUTED_VALUE"""),"FL-EA-PLA-6")</f>
        <v>FL-EA-PLA-6</v>
      </c>
      <c r="C959" s="104"/>
      <c r="D959" s="104"/>
      <c r="E959" s="104" t="str">
        <f>IFERROR(__xludf.DUMMYFUNCTION("""COMPUTED_VALUE"""),"FL-EA-PLA-6")</f>
        <v>FL-EA-PLA-6</v>
      </c>
      <c r="F959" s="98">
        <v>0.0</v>
      </c>
      <c r="G959" s="110"/>
      <c r="H959" s="98"/>
      <c r="I959" s="98"/>
      <c r="J959" s="98"/>
      <c r="K959" s="98"/>
      <c r="L959" s="104"/>
      <c r="M959" s="98" t="s">
        <v>39</v>
      </c>
      <c r="N959" s="103" t="str">
        <f>IFERROR(__xludf.DUMMYFUNCTION("""COMPUTED_VALUE"""),"")</f>
        <v/>
      </c>
      <c r="O959" s="104"/>
      <c r="P959" s="104"/>
      <c r="Q959" s="104"/>
      <c r="R959" s="104" t="s">
        <v>4842</v>
      </c>
      <c r="S959" s="104" t="s">
        <v>39</v>
      </c>
      <c r="T959" s="104" t="s">
        <v>4843</v>
      </c>
      <c r="U959" s="104"/>
      <c r="V959" s="104" t="s">
        <v>4843</v>
      </c>
      <c r="W959" s="104"/>
    </row>
    <row r="960">
      <c r="A960" s="105">
        <v>45928.0</v>
      </c>
      <c r="B960" s="79" t="str">
        <f>IFERROR(__xludf.DUMMYFUNCTION("""COMPUTED_VALUE"""),"YY-EA-PL-7")</f>
        <v>YY-EA-PL-7</v>
      </c>
      <c r="C960" s="104"/>
      <c r="D960" s="104"/>
      <c r="E960" s="104" t="str">
        <f>IFERROR(__xludf.DUMMYFUNCTION("""COMPUTED_VALUE"""),"YY-EA-PL-7")</f>
        <v>YY-EA-PL-7</v>
      </c>
      <c r="F960" s="98">
        <v>0.0</v>
      </c>
      <c r="G960" s="110"/>
      <c r="H960" s="98"/>
      <c r="I960" s="98"/>
      <c r="J960" s="98"/>
      <c r="K960" s="98"/>
      <c r="L960" s="104"/>
      <c r="M960" s="98" t="s">
        <v>39</v>
      </c>
      <c r="N960" s="103" t="str">
        <f>IFERROR(__xludf.DUMMYFUNCTION("""COMPUTED_VALUE"""),"")</f>
        <v/>
      </c>
      <c r="O960" s="104"/>
      <c r="P960" s="104"/>
      <c r="Q960" s="104"/>
      <c r="R960" s="104" t="s">
        <v>4844</v>
      </c>
      <c r="S960" s="104" t="s">
        <v>39</v>
      </c>
      <c r="T960" s="104" t="s">
        <v>4845</v>
      </c>
      <c r="U960" s="104"/>
      <c r="V960" s="104" t="s">
        <v>4845</v>
      </c>
      <c r="W960" s="104"/>
    </row>
    <row r="961">
      <c r="A961" s="105">
        <v>45958.0</v>
      </c>
      <c r="B961" s="79" t="str">
        <f>IFERROR(__xludf.DUMMYFUNCTION("""COMPUTED_VALUE"""),"AS-ST-PL-100")</f>
        <v>AS-ST-PL-100</v>
      </c>
      <c r="C961" s="104"/>
      <c r="D961" s="104"/>
      <c r="E961" s="104" t="str">
        <f>IFERROR(__xludf.DUMMYFUNCTION("""COMPUTED_VALUE"""),"AS-ST-PL-100")</f>
        <v>AS-ST-PL-100</v>
      </c>
      <c r="F961" s="98">
        <v>0.0</v>
      </c>
      <c r="G961" s="110"/>
      <c r="H961" s="98"/>
      <c r="I961" s="98"/>
      <c r="J961" s="98"/>
      <c r="K961" s="98"/>
      <c r="L961" s="104"/>
      <c r="M961" s="98" t="s">
        <v>39</v>
      </c>
      <c r="N961" s="103" t="str">
        <f>IFERROR(__xludf.DUMMYFUNCTION("""COMPUTED_VALUE"""),"")</f>
        <v/>
      </c>
      <c r="O961" s="104"/>
      <c r="P961" s="104"/>
      <c r="Q961" s="104"/>
      <c r="R961" s="104" t="s">
        <v>4846</v>
      </c>
      <c r="S961" s="104" t="s">
        <v>39</v>
      </c>
      <c r="T961" s="104" t="s">
        <v>4847</v>
      </c>
      <c r="U961" s="104"/>
      <c r="V961" s="104" t="s">
        <v>4847</v>
      </c>
      <c r="W961" s="104"/>
    </row>
    <row r="962">
      <c r="A962" s="105">
        <v>45958.0</v>
      </c>
      <c r="B962" s="79" t="str">
        <f>IFERROR(__xludf.DUMMYFUNCTION("""COMPUTED_VALUE"""),"ZX-ST-PL-100")</f>
        <v>ZX-ST-PL-100</v>
      </c>
      <c r="C962" s="104"/>
      <c r="D962" s="104"/>
      <c r="E962" s="104" t="str">
        <f>IFERROR(__xludf.DUMMYFUNCTION("""COMPUTED_VALUE"""),"ZX-ST-PL-100")</f>
        <v>ZX-ST-PL-100</v>
      </c>
      <c r="F962" s="98">
        <v>0.0</v>
      </c>
      <c r="G962" s="110"/>
      <c r="H962" s="98"/>
      <c r="I962" s="98"/>
      <c r="J962" s="98"/>
      <c r="K962" s="98"/>
      <c r="L962" s="104"/>
      <c r="M962" s="98" t="s">
        <v>39</v>
      </c>
      <c r="N962" s="103" t="str">
        <f>IFERROR(__xludf.DUMMYFUNCTION("""COMPUTED_VALUE"""),"")</f>
        <v/>
      </c>
      <c r="O962" s="104"/>
      <c r="P962" s="104"/>
      <c r="Q962" s="104"/>
      <c r="R962" s="104" t="s">
        <v>4848</v>
      </c>
      <c r="S962" s="104" t="s">
        <v>39</v>
      </c>
      <c r="T962" s="104" t="s">
        <v>4849</v>
      </c>
      <c r="U962" s="104"/>
      <c r="V962" s="104" t="s">
        <v>4849</v>
      </c>
      <c r="W962" s="104"/>
    </row>
    <row r="963">
      <c r="A963" s="105">
        <v>45958.0</v>
      </c>
      <c r="B963" s="79" t="str">
        <f>IFERROR(__xludf.DUMMYFUNCTION("""COMPUTED_VALUE"""),"ZW-ST-PLA-100")</f>
        <v>ZW-ST-PLA-100</v>
      </c>
      <c r="C963" s="104"/>
      <c r="D963" s="104"/>
      <c r="E963" s="104" t="str">
        <f>IFERROR(__xludf.DUMMYFUNCTION("""COMPUTED_VALUE"""),"ZW-ST-PLA-100")</f>
        <v>ZW-ST-PLA-100</v>
      </c>
      <c r="F963" s="98">
        <v>0.0</v>
      </c>
      <c r="G963" s="110"/>
      <c r="H963" s="98"/>
      <c r="I963" s="98"/>
      <c r="J963" s="98"/>
      <c r="K963" s="98"/>
      <c r="L963" s="104"/>
      <c r="M963" s="98" t="s">
        <v>39</v>
      </c>
      <c r="N963" s="103" t="str">
        <f>IFERROR(__xludf.DUMMYFUNCTION("""COMPUTED_VALUE"""),"")</f>
        <v/>
      </c>
      <c r="O963" s="104"/>
      <c r="P963" s="104"/>
      <c r="Q963" s="104"/>
      <c r="R963" s="104" t="s">
        <v>4850</v>
      </c>
      <c r="S963" s="104" t="s">
        <v>39</v>
      </c>
      <c r="T963" s="104" t="s">
        <v>4851</v>
      </c>
      <c r="U963" s="104"/>
      <c r="V963" s="104" t="s">
        <v>4851</v>
      </c>
      <c r="W963" s="104"/>
    </row>
    <row r="964">
      <c r="A964" s="105">
        <v>45958.0</v>
      </c>
      <c r="B964" s="79" t="str">
        <f>IFERROR(__xludf.DUMMYFUNCTION("""COMPUTED_VALUE"""),"FS-KC-PLA-7")</f>
        <v>FS-KC-PLA-7</v>
      </c>
      <c r="C964" s="104"/>
      <c r="D964" s="104"/>
      <c r="E964" s="104" t="str">
        <f>IFERROR(__xludf.DUMMYFUNCTION("""COMPUTED_VALUE"""),"FS-KC-PLA-7")</f>
        <v>FS-KC-PLA-7</v>
      </c>
      <c r="F964" s="98">
        <v>0.0</v>
      </c>
      <c r="G964" s="110"/>
      <c r="H964" s="98"/>
      <c r="I964" s="98"/>
      <c r="J964" s="98"/>
      <c r="K964" s="98"/>
      <c r="L964" s="104"/>
      <c r="M964" s="98" t="s">
        <v>39</v>
      </c>
      <c r="N964" s="103" t="str">
        <f>IFERROR(__xludf.DUMMYFUNCTION("""COMPUTED_VALUE"""),"")</f>
        <v/>
      </c>
      <c r="O964" s="104"/>
      <c r="P964" s="104"/>
      <c r="Q964" s="104"/>
      <c r="R964" s="104" t="s">
        <v>4852</v>
      </c>
      <c r="S964" s="104" t="s">
        <v>39</v>
      </c>
      <c r="T964" s="104" t="s">
        <v>4853</v>
      </c>
      <c r="U964" s="104"/>
      <c r="V964" s="104" t="s">
        <v>4853</v>
      </c>
      <c r="W964" s="104"/>
    </row>
    <row r="965">
      <c r="A965" s="105">
        <v>45958.0</v>
      </c>
      <c r="B965" s="79" t="str">
        <f>IFERROR(__xludf.DUMMYFUNCTION("""COMPUTED_VALUE"""),"AN-DE-PLA-12")</f>
        <v>AN-DE-PLA-12</v>
      </c>
      <c r="C965" s="104"/>
      <c r="D965" s="104"/>
      <c r="E965" s="104" t="str">
        <f>IFERROR(__xludf.DUMMYFUNCTION("""COMPUTED_VALUE"""),"AN-DE-PLA-12")</f>
        <v>AN-DE-PLA-12</v>
      </c>
      <c r="F965" s="98">
        <v>0.0</v>
      </c>
      <c r="G965" s="110"/>
      <c r="H965" s="98"/>
      <c r="I965" s="98"/>
      <c r="J965" s="98"/>
      <c r="K965" s="98"/>
      <c r="L965" s="104"/>
      <c r="M965" s="98" t="s">
        <v>39</v>
      </c>
      <c r="N965" s="103" t="str">
        <f>IFERROR(__xludf.DUMMYFUNCTION("""COMPUTED_VALUE"""),"")</f>
        <v/>
      </c>
      <c r="O965" s="104"/>
      <c r="P965" s="104"/>
      <c r="Q965" s="104"/>
      <c r="R965" s="104" t="s">
        <v>4854</v>
      </c>
      <c r="S965" s="104" t="s">
        <v>39</v>
      </c>
      <c r="T965" s="104" t="s">
        <v>4855</v>
      </c>
      <c r="U965" s="104"/>
      <c r="V965" s="104" t="s">
        <v>4855</v>
      </c>
      <c r="W965" s="104"/>
    </row>
    <row r="966">
      <c r="A966" s="105">
        <v>45928.0</v>
      </c>
      <c r="B966" s="79" t="str">
        <f>IFERROR(__xludf.DUMMYFUNCTION("""COMPUTED_VALUE"""),"CM-CK-PL-1")</f>
        <v>CM-CK-PL-1</v>
      </c>
      <c r="C966" s="104"/>
      <c r="D966" s="104"/>
      <c r="E966" s="104" t="str">
        <f>IFERROR(__xludf.DUMMYFUNCTION("""COMPUTED_VALUE"""),"CM-CK-PL-1")</f>
        <v>CM-CK-PL-1</v>
      </c>
      <c r="F966" s="98">
        <v>0.0</v>
      </c>
      <c r="G966" s="110"/>
      <c r="H966" s="98"/>
      <c r="I966" s="98"/>
      <c r="J966" s="98"/>
      <c r="K966" s="98"/>
      <c r="L966" s="104"/>
      <c r="M966" s="98" t="s">
        <v>39</v>
      </c>
      <c r="N966" s="103" t="str">
        <f>IFERROR(__xludf.DUMMYFUNCTION("""COMPUTED_VALUE"""),"")</f>
        <v/>
      </c>
      <c r="O966" s="104"/>
      <c r="P966" s="104"/>
      <c r="Q966" s="104"/>
      <c r="R966" s="104" t="s">
        <v>4856</v>
      </c>
      <c r="S966" s="104" t="s">
        <v>39</v>
      </c>
      <c r="T966" s="104" t="s">
        <v>4857</v>
      </c>
      <c r="U966" s="104"/>
      <c r="V966" s="104" t="s">
        <v>4857</v>
      </c>
      <c r="W966" s="104"/>
    </row>
    <row r="967">
      <c r="A967" s="105">
        <v>45951.0</v>
      </c>
      <c r="B967" s="79" t="str">
        <f>IFERROR(__xludf.DUMMYFUNCTION("""COMPUTED_VALUE"""),"YCS-CK-PLA-1")</f>
        <v>YCS-CK-PLA-1</v>
      </c>
      <c r="C967" s="104"/>
      <c r="D967" s="104"/>
      <c r="E967" s="104" t="str">
        <f>IFERROR(__xludf.DUMMYFUNCTION("""COMPUTED_VALUE"""),"YCS-CK-PLA-1")</f>
        <v>YCS-CK-PLA-1</v>
      </c>
      <c r="F967" s="98">
        <v>0.0</v>
      </c>
      <c r="G967" s="110"/>
      <c r="H967" s="98"/>
      <c r="I967" s="98"/>
      <c r="J967" s="98"/>
      <c r="K967" s="98"/>
      <c r="L967" s="104"/>
      <c r="M967" s="98" t="s">
        <v>39</v>
      </c>
      <c r="N967" s="103" t="str">
        <f>IFERROR(__xludf.DUMMYFUNCTION("""COMPUTED_VALUE"""),"")</f>
        <v/>
      </c>
      <c r="O967" s="104"/>
      <c r="P967" s="104"/>
      <c r="Q967" s="104"/>
      <c r="R967" s="104" t="s">
        <v>4858</v>
      </c>
      <c r="S967" s="104" t="s">
        <v>39</v>
      </c>
      <c r="T967" s="104" t="s">
        <v>4859</v>
      </c>
      <c r="U967" s="104"/>
      <c r="V967" s="104" t="s">
        <v>4859</v>
      </c>
      <c r="W967" s="104"/>
    </row>
    <row r="968">
      <c r="A968" s="105">
        <v>45964.0</v>
      </c>
      <c r="B968" s="79" t="str">
        <f>IFERROR(__xludf.DUMMYFUNCTION("""COMPUTED_VALUE"""),"UN-PA-HPA-3")</f>
        <v>UN-PA-HPA-3</v>
      </c>
      <c r="C968" s="104"/>
      <c r="D968" s="104"/>
      <c r="E968" s="104" t="str">
        <f>IFERROR(__xludf.DUMMYFUNCTION("""COMPUTED_VALUE"""),"UN-PA-HPA-3")</f>
        <v>UN-PA-HPA-3</v>
      </c>
      <c r="F968" s="98">
        <v>0.0</v>
      </c>
      <c r="G968" s="110"/>
      <c r="H968" s="98"/>
      <c r="I968" s="98"/>
      <c r="J968" s="98"/>
      <c r="K968" s="98"/>
      <c r="L968" s="104"/>
      <c r="M968" s="98" t="s">
        <v>39</v>
      </c>
      <c r="N968" s="103" t="str">
        <f>IFERROR(__xludf.DUMMYFUNCTION("""COMPUTED_VALUE"""),"")</f>
        <v/>
      </c>
      <c r="O968" s="104"/>
      <c r="P968" s="104"/>
      <c r="Q968" s="104"/>
      <c r="R968" s="104" t="s">
        <v>4860</v>
      </c>
      <c r="S968" s="104" t="s">
        <v>39</v>
      </c>
      <c r="T968" s="104" t="s">
        <v>4861</v>
      </c>
      <c r="U968" s="104"/>
      <c r="V968" s="104" t="s">
        <v>4861</v>
      </c>
      <c r="W968" s="104"/>
    </row>
    <row r="969">
      <c r="A969" s="105">
        <v>45928.0</v>
      </c>
      <c r="B969" s="79" t="str">
        <f>IFERROR(__xludf.DUMMYFUNCTION("""COMPUTED_VALUE"""),"MU-PO-3-MU-1")</f>
        <v>MU-PO-3-MU-1</v>
      </c>
      <c r="C969" s="104"/>
      <c r="D969" s="104"/>
      <c r="E969" s="104" t="str">
        <f>IFERROR(__xludf.DUMMYFUNCTION("""COMPUTED_VALUE"""),"MU-PO-3-MU-1")</f>
        <v>MU-PO-3-MU-1</v>
      </c>
      <c r="F969" s="98">
        <v>0.0</v>
      </c>
      <c r="G969" s="110"/>
      <c r="H969" s="98"/>
      <c r="I969" s="98"/>
      <c r="J969" s="98"/>
      <c r="K969" s="98"/>
      <c r="L969" s="104"/>
      <c r="M969" s="98" t="s">
        <v>39</v>
      </c>
      <c r="N969" s="103" t="str">
        <f>IFERROR(__xludf.DUMMYFUNCTION("""COMPUTED_VALUE"""),"")</f>
        <v/>
      </c>
      <c r="O969" s="104"/>
      <c r="P969" s="104"/>
      <c r="Q969" s="104"/>
      <c r="R969" s="104" t="s">
        <v>4862</v>
      </c>
      <c r="S969" s="104" t="s">
        <v>39</v>
      </c>
      <c r="T969" s="104" t="s">
        <v>4863</v>
      </c>
      <c r="U969" s="104"/>
      <c r="V969" s="104" t="s">
        <v>4863</v>
      </c>
      <c r="W969" s="104"/>
    </row>
    <row r="970">
      <c r="A970" s="114">
        <v>45938.0</v>
      </c>
      <c r="B970" s="115" t="str">
        <f>IFERROR(__xludf.DUMMYFUNCTION("""COMPUTED_VALUE"""),"ST-PO-5-NU-1")</f>
        <v>ST-PO-5-NU-1</v>
      </c>
      <c r="C970" s="116"/>
      <c r="D970" s="116"/>
      <c r="E970" s="116" t="str">
        <f>IFERROR(__xludf.DUMMYFUNCTION("""COMPUTED_VALUE"""),"ST-PO-5-NU-1")</f>
        <v>ST-PO-5-NU-1</v>
      </c>
      <c r="F970" s="117">
        <v>0.0</v>
      </c>
      <c r="G970" s="116"/>
      <c r="H970" s="117"/>
      <c r="I970" s="117"/>
      <c r="J970" s="117"/>
      <c r="K970" s="117"/>
      <c r="L970" s="116"/>
      <c r="M970" s="117" t="s">
        <v>39</v>
      </c>
      <c r="N970" s="118" t="str">
        <f>IFERROR(__xludf.DUMMYFUNCTION("""COMPUTED_VALUE"""),"")</f>
        <v/>
      </c>
      <c r="O970" s="116"/>
      <c r="P970" s="116"/>
      <c r="Q970" s="116"/>
      <c r="R970" s="116" t="s">
        <v>4864</v>
      </c>
      <c r="S970" s="116" t="s">
        <v>39</v>
      </c>
      <c r="T970" s="104" t="s">
        <v>4865</v>
      </c>
      <c r="U970" s="116"/>
      <c r="V970" s="104" t="s">
        <v>4865</v>
      </c>
      <c r="W970" s="116"/>
    </row>
    <row r="971">
      <c r="A971" s="114">
        <v>45986.0</v>
      </c>
      <c r="B971" s="115" t="str">
        <f>IFERROR(__xludf.DUMMYFUNCTION("""COMPUTED_VALUE"""),"UN-PA-HPA-10")</f>
        <v>UN-PA-HPA-10</v>
      </c>
      <c r="C971" s="116"/>
      <c r="D971" s="116"/>
      <c r="E971" s="116" t="str">
        <f>IFERROR(__xludf.DUMMYFUNCTION("""COMPUTED_VALUE"""),"UN-PA-HPA-10")</f>
        <v>UN-PA-HPA-10</v>
      </c>
      <c r="F971" s="117">
        <v>0.0</v>
      </c>
      <c r="G971" s="116"/>
      <c r="H971" s="117"/>
      <c r="I971" s="117"/>
      <c r="J971" s="117"/>
      <c r="K971" s="117"/>
      <c r="L971" s="116"/>
      <c r="M971" s="117" t="s">
        <v>39</v>
      </c>
      <c r="N971" s="118" t="str">
        <f>IFERROR(__xludf.DUMMYFUNCTION("""COMPUTED_VALUE"""),"")</f>
        <v/>
      </c>
      <c r="O971" s="116"/>
      <c r="P971" s="116"/>
      <c r="Q971" s="116"/>
      <c r="R971" s="116" t="s">
        <v>4866</v>
      </c>
      <c r="S971" s="116" t="s">
        <v>39</v>
      </c>
      <c r="T971" s="104" t="s">
        <v>4867</v>
      </c>
      <c r="U971" s="116"/>
      <c r="V971" s="104" t="s">
        <v>4867</v>
      </c>
      <c r="W971" s="116"/>
    </row>
    <row r="972">
      <c r="A972" s="114">
        <v>45958.0</v>
      </c>
      <c r="B972" s="115" t="str">
        <f>IFERROR(__xludf.DUMMYFUNCTION("""COMPUTED_VALUE"""),"PS-ST-PL-50")</f>
        <v>PS-ST-PL-50</v>
      </c>
      <c r="C972" s="116"/>
      <c r="D972" s="116"/>
      <c r="E972" s="116" t="str">
        <f>IFERROR(__xludf.DUMMYFUNCTION("""COMPUTED_VALUE"""),"PS-ST-PL-50")</f>
        <v>PS-ST-PL-50</v>
      </c>
      <c r="F972" s="117">
        <v>0.0</v>
      </c>
      <c r="G972" s="116"/>
      <c r="H972" s="117"/>
      <c r="I972" s="117"/>
      <c r="J972" s="117"/>
      <c r="K972" s="117"/>
      <c r="L972" s="116"/>
      <c r="M972" s="117" t="s">
        <v>39</v>
      </c>
      <c r="N972" s="118" t="str">
        <f>IFERROR(__xludf.DUMMYFUNCTION("""COMPUTED_VALUE"""),"")</f>
        <v/>
      </c>
      <c r="O972" s="116"/>
      <c r="P972" s="116"/>
      <c r="Q972" s="116"/>
      <c r="R972" s="116" t="s">
        <v>4868</v>
      </c>
      <c r="S972" s="116" t="s">
        <v>39</v>
      </c>
      <c r="T972" s="104" t="s">
        <v>4869</v>
      </c>
      <c r="U972" s="116"/>
      <c r="V972" s="104" t="s">
        <v>4869</v>
      </c>
      <c r="W972" s="116"/>
    </row>
    <row r="973">
      <c r="A973" s="114">
        <v>46004.0</v>
      </c>
      <c r="B973" s="115" t="str">
        <f>IFERROR(__xludf.DUMMYFUNCTION("""COMPUTED_VALUE"""),"BS-SO-HO-1")</f>
        <v>BS-SO-HO-1</v>
      </c>
      <c r="C973" s="116"/>
      <c r="D973" s="116"/>
      <c r="E973" s="116" t="str">
        <f>IFERROR(__xludf.DUMMYFUNCTION("""COMPUTED_VALUE"""),"BS-SO-HO-1")</f>
        <v>BS-SO-HO-1</v>
      </c>
      <c r="F973" s="117">
        <v>0.0</v>
      </c>
      <c r="G973" s="116"/>
      <c r="H973" s="117"/>
      <c r="I973" s="117"/>
      <c r="J973" s="117"/>
      <c r="K973" s="117"/>
      <c r="L973" s="116"/>
      <c r="M973" s="117" t="s">
        <v>39</v>
      </c>
      <c r="N973" s="118" t="str">
        <f>IFERROR(__xludf.DUMMYFUNCTION("""COMPUTED_VALUE"""),"")</f>
        <v/>
      </c>
      <c r="O973" s="116"/>
      <c r="P973" s="116"/>
      <c r="Q973" s="116"/>
      <c r="R973" s="116" t="s">
        <v>4870</v>
      </c>
      <c r="S973" s="116" t="s">
        <v>39</v>
      </c>
      <c r="T973" s="104" t="s">
        <v>4871</v>
      </c>
      <c r="U973" s="116"/>
      <c r="V973" s="104" t="s">
        <v>4871</v>
      </c>
      <c r="W973" s="116"/>
    </row>
    <row r="974">
      <c r="A974" s="114">
        <v>46004.0</v>
      </c>
      <c r="B974" s="115" t="str">
        <f>IFERROR(__xludf.DUMMYFUNCTION("""COMPUTED_VALUE"""),"BS-SO-ACM-1")</f>
        <v>BS-SO-ACM-1</v>
      </c>
      <c r="C974" s="116"/>
      <c r="D974" s="116"/>
      <c r="E974" s="116" t="str">
        <f>IFERROR(__xludf.DUMMYFUNCTION("""COMPUTED_VALUE"""),"BS-SO-ACM-1")</f>
        <v>BS-SO-ACM-1</v>
      </c>
      <c r="F974" s="117">
        <v>0.0</v>
      </c>
      <c r="G974" s="116"/>
      <c r="H974" s="117"/>
      <c r="I974" s="117"/>
      <c r="J974" s="117"/>
      <c r="K974" s="117"/>
      <c r="L974" s="116"/>
      <c r="M974" s="117" t="s">
        <v>39</v>
      </c>
      <c r="N974" s="118" t="str">
        <f>IFERROR(__xludf.DUMMYFUNCTION("""COMPUTED_VALUE"""),"")</f>
        <v/>
      </c>
      <c r="O974" s="116"/>
      <c r="P974" s="116"/>
      <c r="Q974" s="116"/>
      <c r="R974" s="116" t="s">
        <v>4872</v>
      </c>
      <c r="S974" s="116" t="s">
        <v>39</v>
      </c>
      <c r="T974" s="104" t="s">
        <v>4873</v>
      </c>
      <c r="U974" s="116"/>
      <c r="V974" s="104" t="s">
        <v>4873</v>
      </c>
      <c r="W974" s="116"/>
    </row>
    <row r="975">
      <c r="A975" s="114">
        <v>46004.0</v>
      </c>
      <c r="B975" s="115" t="str">
        <f>IFERROR(__xludf.DUMMYFUNCTION("""COMPUTED_VALUE"""),"BS-SO-AL-1")</f>
        <v>BS-SO-AL-1</v>
      </c>
      <c r="C975" s="116"/>
      <c r="D975" s="116"/>
      <c r="E975" s="116" t="str">
        <f>IFERROR(__xludf.DUMMYFUNCTION("""COMPUTED_VALUE"""),"BS-SO-AL-1")</f>
        <v>BS-SO-AL-1</v>
      </c>
      <c r="F975" s="117">
        <v>0.0</v>
      </c>
      <c r="G975" s="116"/>
      <c r="H975" s="117"/>
      <c r="I975" s="117"/>
      <c r="J975" s="117"/>
      <c r="K975" s="117"/>
      <c r="L975" s="116"/>
      <c r="M975" s="117" t="s">
        <v>39</v>
      </c>
      <c r="N975" s="118" t="str">
        <f>IFERROR(__xludf.DUMMYFUNCTION("""COMPUTED_VALUE"""),"")</f>
        <v/>
      </c>
      <c r="O975" s="116"/>
      <c r="P975" s="116"/>
      <c r="Q975" s="116"/>
      <c r="R975" s="116" t="s">
        <v>4874</v>
      </c>
      <c r="S975" s="116" t="s">
        <v>39</v>
      </c>
      <c r="T975" s="104" t="s">
        <v>4875</v>
      </c>
      <c r="U975" s="116"/>
      <c r="V975" s="104" t="s">
        <v>4875</v>
      </c>
      <c r="W975" s="116"/>
    </row>
    <row r="976">
      <c r="A976" s="114">
        <v>46004.0</v>
      </c>
      <c r="B976" s="115" t="str">
        <f>IFERROR(__xludf.DUMMYFUNCTION("""COMPUTED_VALUE"""),"BS-SO-CA-1")</f>
        <v>BS-SO-CA-1</v>
      </c>
      <c r="C976" s="116"/>
      <c r="D976" s="116"/>
      <c r="E976" s="116" t="str">
        <f>IFERROR(__xludf.DUMMYFUNCTION("""COMPUTED_VALUE"""),"BS-SO-CA-1")</f>
        <v>BS-SO-CA-1</v>
      </c>
      <c r="F976" s="117">
        <v>0.0</v>
      </c>
      <c r="G976" s="116"/>
      <c r="H976" s="117"/>
      <c r="I976" s="117"/>
      <c r="J976" s="117"/>
      <c r="K976" s="117"/>
      <c r="L976" s="116"/>
      <c r="M976" s="117" t="s">
        <v>39</v>
      </c>
      <c r="N976" s="118" t="str">
        <f>IFERROR(__xludf.DUMMYFUNCTION("""COMPUTED_VALUE"""),"")</f>
        <v/>
      </c>
      <c r="O976" s="116"/>
      <c r="P976" s="116"/>
      <c r="Q976" s="116"/>
      <c r="R976" s="116" t="s">
        <v>4876</v>
      </c>
      <c r="S976" s="116" t="s">
        <v>39</v>
      </c>
      <c r="T976" s="104" t="s">
        <v>4877</v>
      </c>
      <c r="U976" s="116"/>
      <c r="V976" s="104" t="s">
        <v>4877</v>
      </c>
      <c r="W976" s="116"/>
    </row>
    <row r="977">
      <c r="A977" s="114">
        <v>46004.0</v>
      </c>
      <c r="B977" s="115" t="str">
        <f>IFERROR(__xludf.DUMMYFUNCTION("""COMPUTED_VALUE"""),"BS-SO-FRM-1")</f>
        <v>BS-SO-FRM-1</v>
      </c>
      <c r="C977" s="116"/>
      <c r="D977" s="116"/>
      <c r="E977" s="116" t="str">
        <f>IFERROR(__xludf.DUMMYFUNCTION("""COMPUTED_VALUE"""),"BS-SO-FRM-1")</f>
        <v>BS-SO-FRM-1</v>
      </c>
      <c r="F977" s="117">
        <v>0.0</v>
      </c>
      <c r="G977" s="116"/>
      <c r="H977" s="117"/>
      <c r="I977" s="117"/>
      <c r="J977" s="117"/>
      <c r="K977" s="117"/>
      <c r="L977" s="116"/>
      <c r="M977" s="117" t="s">
        <v>39</v>
      </c>
      <c r="N977" s="118" t="str">
        <f>IFERROR(__xludf.DUMMYFUNCTION("""COMPUTED_VALUE"""),"")</f>
        <v/>
      </c>
      <c r="O977" s="116"/>
      <c r="P977" s="116"/>
      <c r="Q977" s="116"/>
      <c r="R977" s="116" t="s">
        <v>4878</v>
      </c>
      <c r="S977" s="116" t="s">
        <v>39</v>
      </c>
      <c r="T977" s="104" t="s">
        <v>4879</v>
      </c>
      <c r="U977" s="116"/>
      <c r="V977" s="104" t="s">
        <v>4879</v>
      </c>
      <c r="W977" s="116"/>
    </row>
    <row r="978">
      <c r="A978" s="114">
        <v>46009.0</v>
      </c>
      <c r="B978" s="115" t="str">
        <f>IFERROR(__xludf.DUMMYFUNCTION("""COMPUTED_VALUE"""),"SDW-KC-BU-1")</f>
        <v>SDW-KC-BU-1</v>
      </c>
      <c r="C978" s="116"/>
      <c r="D978" s="116"/>
      <c r="E978" s="116" t="str">
        <f>IFERROR(__xludf.DUMMYFUNCTION("""COMPUTED_VALUE"""),"SDW-KC-BU-1")</f>
        <v>SDW-KC-BU-1</v>
      </c>
      <c r="F978" s="117">
        <v>0.0</v>
      </c>
      <c r="G978" s="116"/>
      <c r="H978" s="117"/>
      <c r="I978" s="117"/>
      <c r="J978" s="117"/>
      <c r="K978" s="117"/>
      <c r="L978" s="116"/>
      <c r="M978" s="117" t="s">
        <v>39</v>
      </c>
      <c r="N978" s="118" t="str">
        <f>IFERROR(__xludf.DUMMYFUNCTION("""COMPUTED_VALUE"""),"")</f>
        <v/>
      </c>
      <c r="O978" s="116"/>
      <c r="P978" s="116"/>
      <c r="Q978" s="116"/>
      <c r="R978" s="116" t="s">
        <v>4880</v>
      </c>
      <c r="S978" s="116" t="s">
        <v>39</v>
      </c>
      <c r="T978" s="104" t="s">
        <v>4881</v>
      </c>
      <c r="U978" s="116"/>
      <c r="V978" s="104" t="s">
        <v>4881</v>
      </c>
      <c r="W978" s="116"/>
    </row>
    <row r="979">
      <c r="A979" s="114">
        <v>46009.0</v>
      </c>
      <c r="B979" s="115" t="str">
        <f>IFERROR(__xludf.DUMMYFUNCTION("""COMPUTED_VALUE"""),"SDW-KC-LT-4")</f>
        <v>SDW-KC-LT-4</v>
      </c>
      <c r="C979" s="116"/>
      <c r="D979" s="116"/>
      <c r="E979" s="116" t="str">
        <f>IFERROR(__xludf.DUMMYFUNCTION("""COMPUTED_VALUE"""),"SDW-KC-LT-4")</f>
        <v>SDW-KC-LT-4</v>
      </c>
      <c r="F979" s="117">
        <v>0.0</v>
      </c>
      <c r="G979" s="116"/>
      <c r="H979" s="117"/>
      <c r="I979" s="117"/>
      <c r="J979" s="117"/>
      <c r="K979" s="117"/>
      <c r="L979" s="116"/>
      <c r="M979" s="117" t="s">
        <v>39</v>
      </c>
      <c r="N979" s="118" t="str">
        <f>IFERROR(__xludf.DUMMYFUNCTION("""COMPUTED_VALUE"""),"")</f>
        <v/>
      </c>
      <c r="O979" s="116"/>
      <c r="P979" s="116"/>
      <c r="Q979" s="116"/>
      <c r="R979" s="116" t="s">
        <v>4882</v>
      </c>
      <c r="S979" s="116" t="s">
        <v>39</v>
      </c>
      <c r="T979" s="104" t="s">
        <v>4883</v>
      </c>
      <c r="U979" s="116"/>
      <c r="V979" s="104" t="s">
        <v>4883</v>
      </c>
      <c r="W979" s="116"/>
    </row>
    <row r="980">
      <c r="A980" s="114">
        <v>46009.0</v>
      </c>
      <c r="B980" s="115" t="str">
        <f>IFERROR(__xludf.DUMMYFUNCTION("""COMPUTED_VALUE"""),"SDW-KC-LM-5")</f>
        <v>SDW-KC-LM-5</v>
      </c>
      <c r="C980" s="116"/>
      <c r="D980" s="116"/>
      <c r="E980" s="116" t="str">
        <f>IFERROR(__xludf.DUMMYFUNCTION("""COMPUTED_VALUE"""),"SDW-KC-LM-5")</f>
        <v>SDW-KC-LM-5</v>
      </c>
      <c r="F980" s="117">
        <v>0.0</v>
      </c>
      <c r="G980" s="116"/>
      <c r="H980" s="117"/>
      <c r="I980" s="117"/>
      <c r="J980" s="117"/>
      <c r="K980" s="117"/>
      <c r="L980" s="116"/>
      <c r="M980" s="117" t="s">
        <v>39</v>
      </c>
      <c r="N980" s="118" t="str">
        <f>IFERROR(__xludf.DUMMYFUNCTION("""COMPUTED_VALUE"""),"")</f>
        <v/>
      </c>
      <c r="O980" s="116"/>
      <c r="P980" s="116"/>
      <c r="Q980" s="116"/>
      <c r="R980" s="116" t="s">
        <v>4884</v>
      </c>
      <c r="S980" s="116" t="s">
        <v>39</v>
      </c>
      <c r="T980" s="104" t="s">
        <v>4885</v>
      </c>
      <c r="U980" s="116"/>
      <c r="V980" s="104" t="s">
        <v>4885</v>
      </c>
      <c r="W980" s="116"/>
    </row>
    <row r="981">
      <c r="A981" s="114">
        <v>46009.0</v>
      </c>
      <c r="B981" s="115" t="str">
        <f>IFERROR(__xludf.DUMMYFUNCTION("""COMPUTED_VALUE"""),"SDW-KC-QB-5")</f>
        <v>SDW-KC-QB-5</v>
      </c>
      <c r="C981" s="116"/>
      <c r="D981" s="116"/>
      <c r="E981" s="116" t="str">
        <f>IFERROR(__xludf.DUMMYFUNCTION("""COMPUTED_VALUE"""),"SDW-KC-QB-5")</f>
        <v>SDW-KC-QB-5</v>
      </c>
      <c r="F981" s="117">
        <v>0.0</v>
      </c>
      <c r="G981" s="116"/>
      <c r="H981" s="117"/>
      <c r="I981" s="117"/>
      <c r="J981" s="117"/>
      <c r="K981" s="117"/>
      <c r="L981" s="116"/>
      <c r="M981" s="117" t="s">
        <v>39</v>
      </c>
      <c r="N981" s="118" t="str">
        <f>IFERROR(__xludf.DUMMYFUNCTION("""COMPUTED_VALUE"""),"")</f>
        <v/>
      </c>
      <c r="O981" s="116"/>
      <c r="P981" s="116"/>
      <c r="Q981" s="116"/>
      <c r="R981" s="116" t="s">
        <v>4886</v>
      </c>
      <c r="S981" s="116" t="s">
        <v>39</v>
      </c>
      <c r="T981" s="104" t="s">
        <v>4887</v>
      </c>
      <c r="U981" s="116"/>
      <c r="V981" s="104" t="s">
        <v>4887</v>
      </c>
      <c r="W981" s="116"/>
    </row>
    <row r="982">
      <c r="A982" s="114">
        <v>46009.0</v>
      </c>
      <c r="B982" s="115" t="str">
        <f>IFERROR(__xludf.DUMMYFUNCTION("""COMPUTED_VALUE"""),"SDW-KC-LF-5")</f>
        <v>SDW-KC-LF-5</v>
      </c>
      <c r="C982" s="116"/>
      <c r="D982" s="116"/>
      <c r="E982" s="116" t="str">
        <f>IFERROR(__xludf.DUMMYFUNCTION("""COMPUTED_VALUE"""),"SDW-KC-LF-5")</f>
        <v>SDW-KC-LF-5</v>
      </c>
      <c r="F982" s="117">
        <v>0.0</v>
      </c>
      <c r="G982" s="116"/>
      <c r="H982" s="117"/>
      <c r="I982" s="117"/>
      <c r="J982" s="117"/>
      <c r="K982" s="117"/>
      <c r="L982" s="116"/>
      <c r="M982" s="117" t="s">
        <v>39</v>
      </c>
      <c r="N982" s="118" t="str">
        <f>IFERROR(__xludf.DUMMYFUNCTION("""COMPUTED_VALUE"""),"")</f>
        <v/>
      </c>
      <c r="O982" s="116"/>
      <c r="P982" s="116"/>
      <c r="Q982" s="116"/>
      <c r="R982" s="116" t="s">
        <v>4888</v>
      </c>
      <c r="S982" s="116" t="s">
        <v>39</v>
      </c>
      <c r="T982" s="104" t="s">
        <v>4889</v>
      </c>
      <c r="U982" s="116"/>
      <c r="V982" s="104" t="s">
        <v>4889</v>
      </c>
      <c r="W982" s="116"/>
    </row>
    <row r="983">
      <c r="A983" s="114">
        <v>46009.0</v>
      </c>
      <c r="B983" s="115" t="str">
        <f>IFERROR(__xludf.DUMMYFUNCTION("""COMPUTED_VALUE"""),"SDW-KC-RO-5")</f>
        <v>SDW-KC-RO-5</v>
      </c>
      <c r="C983" s="116"/>
      <c r="D983" s="116"/>
      <c r="E983" s="116" t="str">
        <f>IFERROR(__xludf.DUMMYFUNCTION("""COMPUTED_VALUE"""),"SDW-KC-RO-5")</f>
        <v>SDW-KC-RO-5</v>
      </c>
      <c r="F983" s="117">
        <v>0.0</v>
      </c>
      <c r="G983" s="116"/>
      <c r="H983" s="117"/>
      <c r="I983" s="117"/>
      <c r="J983" s="117"/>
      <c r="K983" s="117"/>
      <c r="L983" s="116"/>
      <c r="M983" s="117" t="s">
        <v>39</v>
      </c>
      <c r="N983" s="118" t="str">
        <f>IFERROR(__xludf.DUMMYFUNCTION("""COMPUTED_VALUE"""),"")</f>
        <v/>
      </c>
      <c r="O983" s="116"/>
      <c r="P983" s="116"/>
      <c r="Q983" s="116"/>
      <c r="R983" s="116" t="s">
        <v>4890</v>
      </c>
      <c r="S983" s="116" t="s">
        <v>39</v>
      </c>
      <c r="T983" s="104" t="s">
        <v>4891</v>
      </c>
      <c r="U983" s="116"/>
      <c r="V983" s="104" t="s">
        <v>4891</v>
      </c>
      <c r="W983" s="116"/>
    </row>
    <row r="984">
      <c r="A984" s="114">
        <v>46009.0</v>
      </c>
      <c r="B984" s="115" t="str">
        <f>IFERROR(__xludf.DUMMYFUNCTION("""COMPUTED_VALUE"""),"SDW-PM-GL-5")</f>
        <v>SDW-PM-GL-5</v>
      </c>
      <c r="C984" s="116"/>
      <c r="D984" s="116"/>
      <c r="E984" s="116" t="str">
        <f>IFERROR(__xludf.DUMMYFUNCTION("""COMPUTED_VALUE"""),"SDW-PM-GL-5")</f>
        <v>SDW-PM-GL-5</v>
      </c>
      <c r="F984" s="117">
        <v>0.0</v>
      </c>
      <c r="G984" s="116"/>
      <c r="H984" s="117"/>
      <c r="I984" s="117"/>
      <c r="J984" s="117"/>
      <c r="K984" s="117"/>
      <c r="L984" s="116"/>
      <c r="M984" s="117" t="s">
        <v>39</v>
      </c>
      <c r="N984" s="118" t="str">
        <f>IFERROR(__xludf.DUMMYFUNCTION("""COMPUTED_VALUE"""),"")</f>
        <v/>
      </c>
      <c r="O984" s="116"/>
      <c r="P984" s="116"/>
      <c r="Q984" s="116"/>
      <c r="R984" s="116" t="s">
        <v>4892</v>
      </c>
      <c r="S984" s="116" t="s">
        <v>39</v>
      </c>
      <c r="T984" s="104" t="s">
        <v>4893</v>
      </c>
      <c r="U984" s="116"/>
      <c r="V984" s="104" t="s">
        <v>4893</v>
      </c>
      <c r="W984" s="116"/>
    </row>
    <row r="985">
      <c r="A985" s="114">
        <v>46009.0</v>
      </c>
      <c r="B985" s="115" t="str">
        <f>IFERROR(__xludf.DUMMYFUNCTION("""COMPUTED_VALUE"""),"SDW-PO-4.3-DF-1")</f>
        <v>SDW-PO-4.3-DF-1</v>
      </c>
      <c r="C985" s="116"/>
      <c r="D985" s="116"/>
      <c r="E985" s="116" t="str">
        <f>IFERROR(__xludf.DUMMYFUNCTION("""COMPUTED_VALUE"""),"SDW-PO-4.3-DF-1")</f>
        <v>SDW-PO-4.3-DF-1</v>
      </c>
      <c r="F985" s="117">
        <v>0.0</v>
      </c>
      <c r="G985" s="116"/>
      <c r="H985" s="117"/>
      <c r="I985" s="117"/>
      <c r="J985" s="117"/>
      <c r="K985" s="117"/>
      <c r="L985" s="116"/>
      <c r="M985" s="117" t="s">
        <v>39</v>
      </c>
      <c r="N985" s="118" t="str">
        <f>IFERROR(__xludf.DUMMYFUNCTION("""COMPUTED_VALUE"""),"")</f>
        <v/>
      </c>
      <c r="O985" s="116"/>
      <c r="P985" s="116"/>
      <c r="Q985" s="116"/>
      <c r="R985" s="116" t="s">
        <v>4894</v>
      </c>
      <c r="S985" s="116" t="s">
        <v>39</v>
      </c>
      <c r="T985" s="104" t="s">
        <v>4895</v>
      </c>
      <c r="U985" s="116"/>
      <c r="V985" s="104" t="s">
        <v>4895</v>
      </c>
      <c r="W985" s="116"/>
    </row>
    <row r="986">
      <c r="A986" s="114">
        <v>46009.0</v>
      </c>
      <c r="B986" s="115" t="str">
        <f>IFERROR(__xludf.DUMMYFUNCTION("""COMPUTED_VALUE"""),"SDW-WS-WTW-18")</f>
        <v>SDW-WS-WTW-18</v>
      </c>
      <c r="C986" s="116"/>
      <c r="D986" s="116"/>
      <c r="E986" s="116" t="str">
        <f>IFERROR(__xludf.DUMMYFUNCTION("""COMPUTED_VALUE"""),"SDW-WS-WTW-18")</f>
        <v>SDW-WS-WTW-18</v>
      </c>
      <c r="F986" s="117">
        <v>0.0</v>
      </c>
      <c r="G986" s="116"/>
      <c r="H986" s="117"/>
      <c r="I986" s="117"/>
      <c r="J986" s="117"/>
      <c r="K986" s="117"/>
      <c r="L986" s="116"/>
      <c r="M986" s="117" t="s">
        <v>39</v>
      </c>
      <c r="N986" s="118" t="str">
        <f>IFERROR(__xludf.DUMMYFUNCTION("""COMPUTED_VALUE"""),"")</f>
        <v/>
      </c>
      <c r="O986" s="116"/>
      <c r="P986" s="116"/>
      <c r="Q986" s="116"/>
      <c r="R986" s="116" t="s">
        <v>4896</v>
      </c>
      <c r="S986" s="116" t="s">
        <v>39</v>
      </c>
      <c r="T986" s="104" t="s">
        <v>4897</v>
      </c>
      <c r="U986" s="116"/>
      <c r="V986" s="104" t="s">
        <v>4897</v>
      </c>
      <c r="W986" s="116"/>
    </row>
    <row r="987">
      <c r="A987" s="114">
        <v>46021.0</v>
      </c>
      <c r="B987" s="115" t="str">
        <f>IFERROR(__xludf.DUMMYFUNCTION("""COMPUTED_VALUE"""),"NR-PO-5-BP-1")</f>
        <v>NR-PO-5-BP-1</v>
      </c>
      <c r="C987" s="116"/>
      <c r="D987" s="116"/>
      <c r="E987" s="116" t="str">
        <f>IFERROR(__xludf.DUMMYFUNCTION("""COMPUTED_VALUE"""),"NR-PO-5-BP-1")</f>
        <v>NR-PO-5-BP-1</v>
      </c>
      <c r="F987" s="117">
        <v>0.0</v>
      </c>
      <c r="G987" s="116"/>
      <c r="H987" s="117"/>
      <c r="I987" s="117"/>
      <c r="J987" s="117"/>
      <c r="K987" s="117"/>
      <c r="L987" s="116"/>
      <c r="M987" s="117" t="s">
        <v>39</v>
      </c>
      <c r="N987" s="118" t="str">
        <f>IFERROR(__xludf.DUMMYFUNCTION("""COMPUTED_VALUE"""),"")</f>
        <v/>
      </c>
      <c r="O987" s="116"/>
      <c r="P987" s="116"/>
      <c r="Q987" s="116"/>
      <c r="R987" s="116" t="s">
        <v>4898</v>
      </c>
      <c r="S987" s="116" t="s">
        <v>39</v>
      </c>
      <c r="T987" s="104" t="s">
        <v>4899</v>
      </c>
      <c r="U987" s="116"/>
      <c r="V987" s="104" t="s">
        <v>4899</v>
      </c>
      <c r="W987" s="116"/>
    </row>
    <row r="988">
      <c r="A988" s="114">
        <v>46021.0</v>
      </c>
      <c r="B988" s="115" t="str">
        <f>IFERROR(__xludf.DUMMYFUNCTION("""COMPUTED_VALUE"""),"NR-PO-3-BP-1")</f>
        <v>NR-PO-3-BP-1</v>
      </c>
      <c r="C988" s="116"/>
      <c r="D988" s="116"/>
      <c r="E988" s="116" t="str">
        <f>IFERROR(__xludf.DUMMYFUNCTION("""COMPUTED_VALUE"""),"NR-PO-3-BP-1")</f>
        <v>NR-PO-3-BP-1</v>
      </c>
      <c r="F988" s="117">
        <v>0.0</v>
      </c>
      <c r="G988" s="116"/>
      <c r="H988" s="117"/>
      <c r="I988" s="117"/>
      <c r="J988" s="117"/>
      <c r="K988" s="117"/>
      <c r="L988" s="116"/>
      <c r="M988" s="117" t="s">
        <v>39</v>
      </c>
      <c r="N988" s="118" t="str">
        <f>IFERROR(__xludf.DUMMYFUNCTION("""COMPUTED_VALUE"""),"")</f>
        <v/>
      </c>
      <c r="O988" s="116"/>
      <c r="P988" s="116"/>
      <c r="Q988" s="116"/>
      <c r="R988" s="116" t="s">
        <v>4900</v>
      </c>
      <c r="S988" s="116" t="s">
        <v>39</v>
      </c>
      <c r="T988" s="104" t="s">
        <v>4901</v>
      </c>
      <c r="U988" s="116"/>
      <c r="V988" s="104" t="s">
        <v>4901</v>
      </c>
      <c r="W988" s="116"/>
    </row>
    <row r="989">
      <c r="A989" s="114">
        <v>46021.0</v>
      </c>
      <c r="B989" s="115" t="str">
        <f>IFERROR(__xludf.DUMMYFUNCTION("""COMPUTED_VALUE"""),"NR-PO-8-BP-1")</f>
        <v>NR-PO-8-BP-1</v>
      </c>
      <c r="C989" s="116"/>
      <c r="D989" s="116"/>
      <c r="E989" s="116" t="str">
        <f>IFERROR(__xludf.DUMMYFUNCTION("""COMPUTED_VALUE"""),"NR-PO-8-BP-1")</f>
        <v>NR-PO-8-BP-1</v>
      </c>
      <c r="F989" s="117">
        <v>0.0</v>
      </c>
      <c r="G989" s="116"/>
      <c r="H989" s="117"/>
      <c r="I989" s="117"/>
      <c r="J989" s="117"/>
      <c r="K989" s="117"/>
      <c r="L989" s="116"/>
      <c r="M989" s="117" t="s">
        <v>39</v>
      </c>
      <c r="N989" s="118" t="str">
        <f>IFERROR(__xludf.DUMMYFUNCTION("""COMPUTED_VALUE"""),"")</f>
        <v/>
      </c>
      <c r="O989" s="116"/>
      <c r="P989" s="116"/>
      <c r="Q989" s="116"/>
      <c r="R989" s="116" t="s">
        <v>4902</v>
      </c>
      <c r="S989" s="116" t="s">
        <v>39</v>
      </c>
      <c r="T989" s="104" t="s">
        <v>4903</v>
      </c>
      <c r="U989" s="116"/>
      <c r="V989" s="104" t="s">
        <v>4903</v>
      </c>
      <c r="W989" s="116"/>
    </row>
    <row r="990">
      <c r="A990" s="114">
        <v>46087.0</v>
      </c>
      <c r="B990" s="115" t="str">
        <f>IFERROR(__xludf.DUMMYFUNCTION("""COMPUTED_VALUE"""),"BS-SO-SS-1")</f>
        <v>BS-SO-SS-1</v>
      </c>
      <c r="C990" s="116"/>
      <c r="D990" s="116"/>
      <c r="E990" s="116" t="str">
        <f>IFERROR(__xludf.DUMMYFUNCTION("""COMPUTED_VALUE"""),"BS-SO-SS-1")</f>
        <v>BS-SO-SS-1</v>
      </c>
      <c r="F990" s="117">
        <v>0.0</v>
      </c>
      <c r="G990" s="116"/>
      <c r="H990" s="117"/>
      <c r="I990" s="117"/>
      <c r="J990" s="117"/>
      <c r="K990" s="117"/>
      <c r="L990" s="116"/>
      <c r="M990" s="117" t="s">
        <v>39</v>
      </c>
      <c r="N990" s="118" t="str">
        <f>IFERROR(__xludf.DUMMYFUNCTION("""COMPUTED_VALUE"""),"")</f>
        <v/>
      </c>
      <c r="O990" s="116"/>
      <c r="P990" s="116"/>
      <c r="Q990" s="116"/>
      <c r="R990" s="116" t="s">
        <v>4904</v>
      </c>
      <c r="S990" s="116" t="s">
        <v>39</v>
      </c>
      <c r="T990" s="104" t="s">
        <v>4905</v>
      </c>
      <c r="U990" s="116"/>
      <c r="V990" s="104" t="s">
        <v>4905</v>
      </c>
      <c r="W990" s="116"/>
    </row>
    <row r="991">
      <c r="A991" s="114">
        <v>46097.0</v>
      </c>
      <c r="B991" s="115" t="str">
        <f>IFERROR(__xludf.DUMMYFUNCTION("""COMPUTED_VALUE"""),"SU-PS-12-MS-6")</f>
        <v>SU-PS-12-MS-6</v>
      </c>
      <c r="C991" s="116"/>
      <c r="D991" s="116"/>
      <c r="E991" s="116" t="str">
        <f>IFERROR(__xludf.DUMMYFUNCTION("""COMPUTED_VALUE"""),"SU-PS-12-MS-6")</f>
        <v>SU-PS-12-MS-6</v>
      </c>
      <c r="F991" s="117">
        <v>0.0</v>
      </c>
      <c r="G991" s="116"/>
      <c r="H991" s="117"/>
      <c r="I991" s="117"/>
      <c r="J991" s="117"/>
      <c r="K991" s="117"/>
      <c r="L991" s="116"/>
      <c r="M991" s="117" t="s">
        <v>39</v>
      </c>
      <c r="N991" s="118" t="str">
        <f>IFERROR(__xludf.DUMMYFUNCTION("""COMPUTED_VALUE"""),"")</f>
        <v/>
      </c>
      <c r="O991" s="116"/>
      <c r="P991" s="116"/>
      <c r="Q991" s="116"/>
      <c r="R991" s="116" t="s">
        <v>4906</v>
      </c>
      <c r="S991" s="116" t="s">
        <v>39</v>
      </c>
      <c r="T991" s="104" t="s">
        <v>4907</v>
      </c>
      <c r="U991" s="116"/>
      <c r="V991" s="104" t="s">
        <v>4907</v>
      </c>
      <c r="W991" s="116"/>
    </row>
    <row r="992">
      <c r="A992" s="114">
        <v>46086.0</v>
      </c>
      <c r="B992" s="115" t="str">
        <f>IFERROR(__xludf.DUMMYFUNCTION("""COMPUTED_VALUE"""),"SU-PS-16-MP-3")</f>
        <v>SU-PS-16-MP-3</v>
      </c>
      <c r="C992" s="116"/>
      <c r="D992" s="116"/>
      <c r="E992" s="116" t="str">
        <f>IFERROR(__xludf.DUMMYFUNCTION("""COMPUTED_VALUE"""),"SU-PS-16-MP-3")</f>
        <v>SU-PS-16-MP-3</v>
      </c>
      <c r="F992" s="117">
        <v>0.0</v>
      </c>
      <c r="G992" s="116"/>
      <c r="H992" s="117"/>
      <c r="I992" s="117"/>
      <c r="J992" s="117"/>
      <c r="K992" s="117"/>
      <c r="L992" s="116"/>
      <c r="M992" s="117" t="s">
        <v>39</v>
      </c>
      <c r="N992" s="118" t="str">
        <f>IFERROR(__xludf.DUMMYFUNCTION("""COMPUTED_VALUE"""),"")</f>
        <v/>
      </c>
      <c r="O992" s="116"/>
      <c r="P992" s="116"/>
      <c r="Q992" s="116"/>
      <c r="R992" s="116" t="s">
        <v>4908</v>
      </c>
      <c r="S992" s="116" t="s">
        <v>39</v>
      </c>
      <c r="T992" s="104" t="s">
        <v>4909</v>
      </c>
      <c r="U992" s="116"/>
      <c r="V992" s="104" t="s">
        <v>4909</v>
      </c>
      <c r="W992" s="116"/>
    </row>
    <row r="993">
      <c r="A993" s="114">
        <v>46099.0</v>
      </c>
      <c r="B993" s="115" t="str">
        <f>IFERROR(__xludf.DUMMYFUNCTION("""COMPUTED_VALUE"""),"NR-PO-3-TBP-1")</f>
        <v>NR-PO-3-TBP-1</v>
      </c>
      <c r="C993" s="116"/>
      <c r="D993" s="116"/>
      <c r="E993" s="116" t="str">
        <f>IFERROR(__xludf.DUMMYFUNCTION("""COMPUTED_VALUE"""),"NR-PO-3-TBP-1")</f>
        <v>NR-PO-3-TBP-1</v>
      </c>
      <c r="F993" s="117">
        <v>0.0</v>
      </c>
      <c r="G993" s="116"/>
      <c r="H993" s="117"/>
      <c r="I993" s="117"/>
      <c r="J993" s="117"/>
      <c r="K993" s="117"/>
      <c r="L993" s="116"/>
      <c r="M993" s="117"/>
      <c r="N993" s="118" t="str">
        <f>IFERROR(__xludf.DUMMYFUNCTION("""COMPUTED_VALUE"""),"")</f>
        <v/>
      </c>
      <c r="O993" s="116"/>
      <c r="P993" s="116"/>
      <c r="Q993" s="116"/>
      <c r="R993" s="116" t="s">
        <v>4910</v>
      </c>
      <c r="S993" s="116" t="s">
        <v>39</v>
      </c>
      <c r="T993" s="104" t="s">
        <v>4911</v>
      </c>
      <c r="U993" s="116"/>
      <c r="V993" s="104" t="s">
        <v>4911</v>
      </c>
      <c r="W993" s="116"/>
    </row>
    <row r="994">
      <c r="A994" s="114">
        <v>46099.0</v>
      </c>
      <c r="B994" s="115" t="str">
        <f>IFERROR(__xludf.DUMMYFUNCTION("""COMPUTED_VALUE"""),"NR-PO-5-TBP-1")</f>
        <v>NR-PO-5-TBP-1</v>
      </c>
      <c r="C994" s="116"/>
      <c r="D994" s="116"/>
      <c r="E994" s="116" t="str">
        <f>IFERROR(__xludf.DUMMYFUNCTION("""COMPUTED_VALUE"""),"NR-PO-5-TBP-1")</f>
        <v>NR-PO-5-TBP-1</v>
      </c>
      <c r="F994" s="117">
        <v>0.0</v>
      </c>
      <c r="G994" s="116"/>
      <c r="H994" s="117"/>
      <c r="I994" s="117"/>
      <c r="J994" s="117"/>
      <c r="K994" s="117"/>
      <c r="L994" s="116"/>
      <c r="M994" s="117"/>
      <c r="N994" s="118" t="str">
        <f>IFERROR(__xludf.DUMMYFUNCTION("""COMPUTED_VALUE"""),"")</f>
        <v/>
      </c>
      <c r="O994" s="116"/>
      <c r="P994" s="116"/>
      <c r="Q994" s="116"/>
      <c r="R994" s="116" t="s">
        <v>4912</v>
      </c>
      <c r="S994" s="116" t="s">
        <v>39</v>
      </c>
      <c r="T994" s="104" t="s">
        <v>4913</v>
      </c>
      <c r="U994" s="116"/>
      <c r="V994" s="104" t="s">
        <v>4913</v>
      </c>
      <c r="W994" s="116"/>
    </row>
    <row r="995">
      <c r="A995" s="114">
        <v>46099.0</v>
      </c>
      <c r="B995" s="115" t="str">
        <f>IFERROR(__xludf.DUMMYFUNCTION("""COMPUTED_VALUE"""),"NR-PO-8-TBP-1")</f>
        <v>NR-PO-8-TBP-1</v>
      </c>
      <c r="C995" s="116"/>
      <c r="D995" s="116"/>
      <c r="E995" s="116" t="str">
        <f>IFERROR(__xludf.DUMMYFUNCTION("""COMPUTED_VALUE"""),"NR-PO-8-TBP-1")</f>
        <v>NR-PO-8-TBP-1</v>
      </c>
      <c r="F995" s="117">
        <v>0.0</v>
      </c>
      <c r="G995" s="116"/>
      <c r="H995" s="117"/>
      <c r="I995" s="117"/>
      <c r="J995" s="117"/>
      <c r="K995" s="117"/>
      <c r="L995" s="116"/>
      <c r="M995" s="117"/>
      <c r="N995" s="118" t="str">
        <f>IFERROR(__xludf.DUMMYFUNCTION("""COMPUTED_VALUE"""),"")</f>
        <v/>
      </c>
      <c r="O995" s="116"/>
      <c r="P995" s="116"/>
      <c r="Q995" s="116"/>
      <c r="R995" s="116" t="s">
        <v>4914</v>
      </c>
      <c r="S995" s="116" t="s">
        <v>39</v>
      </c>
      <c r="T995" s="104" t="s">
        <v>4915</v>
      </c>
      <c r="U995" s="116"/>
      <c r="V995" s="104" t="s">
        <v>4915</v>
      </c>
      <c r="W995" s="116"/>
    </row>
    <row r="996">
      <c r="A996" s="114">
        <v>46099.0</v>
      </c>
      <c r="B996" s="115" t="str">
        <f>IFERROR(__xludf.DUMMYFUNCTION("""COMPUTED_VALUE"""),"NR-PO-3-PBP-1")</f>
        <v>NR-PO-3-PBP-1</v>
      </c>
      <c r="C996" s="116"/>
      <c r="D996" s="116"/>
      <c r="E996" s="116" t="str">
        <f>IFERROR(__xludf.DUMMYFUNCTION("""COMPUTED_VALUE"""),"NR-PO-3-PBP-1")</f>
        <v>NR-PO-3-PBP-1</v>
      </c>
      <c r="F996" s="117">
        <v>0.0</v>
      </c>
      <c r="G996" s="116"/>
      <c r="H996" s="117"/>
      <c r="I996" s="117"/>
      <c r="J996" s="117"/>
      <c r="K996" s="117"/>
      <c r="L996" s="116"/>
      <c r="M996" s="117"/>
      <c r="N996" s="118" t="str">
        <f>IFERROR(__xludf.DUMMYFUNCTION("""COMPUTED_VALUE"""),"")</f>
        <v/>
      </c>
      <c r="O996" s="116"/>
      <c r="P996" s="116"/>
      <c r="Q996" s="116"/>
      <c r="R996" s="116" t="s">
        <v>4916</v>
      </c>
      <c r="S996" s="116" t="s">
        <v>39</v>
      </c>
      <c r="T996" s="104" t="s">
        <v>4917</v>
      </c>
      <c r="U996" s="116"/>
      <c r="V996" s="104" t="s">
        <v>4917</v>
      </c>
      <c r="W996" s="116"/>
    </row>
    <row r="997">
      <c r="A997" s="114">
        <v>46099.0</v>
      </c>
      <c r="B997" s="115" t="str">
        <f>IFERROR(__xludf.DUMMYFUNCTION("""COMPUTED_VALUE"""),"NR-PO-5-PBP-1")</f>
        <v>NR-PO-5-PBP-1</v>
      </c>
      <c r="C997" s="116"/>
      <c r="D997" s="116"/>
      <c r="E997" s="116" t="str">
        <f>IFERROR(__xludf.DUMMYFUNCTION("""COMPUTED_VALUE"""),"NR-PO-5-PBP-1")</f>
        <v>NR-PO-5-PBP-1</v>
      </c>
      <c r="F997" s="117">
        <v>0.0</v>
      </c>
      <c r="G997" s="116"/>
      <c r="H997" s="117"/>
      <c r="I997" s="117"/>
      <c r="J997" s="117"/>
      <c r="K997" s="117"/>
      <c r="L997" s="116"/>
      <c r="M997" s="117"/>
      <c r="N997" s="118" t="str">
        <f>IFERROR(__xludf.DUMMYFUNCTION("""COMPUTED_VALUE"""),"")</f>
        <v/>
      </c>
      <c r="O997" s="116"/>
      <c r="P997" s="116"/>
      <c r="Q997" s="116"/>
      <c r="R997" s="116" t="s">
        <v>4918</v>
      </c>
      <c r="S997" s="116" t="s">
        <v>39</v>
      </c>
      <c r="T997" s="104" t="s">
        <v>4919</v>
      </c>
      <c r="U997" s="116"/>
      <c r="V997" s="104" t="s">
        <v>4919</v>
      </c>
      <c r="W997" s="116"/>
    </row>
    <row r="998">
      <c r="A998" s="114">
        <v>46099.0</v>
      </c>
      <c r="B998" s="115" t="str">
        <f>IFERROR(__xludf.DUMMYFUNCTION("""COMPUTED_VALUE"""),"NR-PO-8-PBP-1")</f>
        <v>NR-PO-8-PBP-1</v>
      </c>
      <c r="C998" s="116"/>
      <c r="D998" s="116"/>
      <c r="E998" s="116" t="str">
        <f>IFERROR(__xludf.DUMMYFUNCTION("""COMPUTED_VALUE"""),"NR-PO-8-PBP-1")</f>
        <v>NR-PO-8-PBP-1</v>
      </c>
      <c r="F998" s="117">
        <v>0.0</v>
      </c>
      <c r="G998" s="116"/>
      <c r="H998" s="117"/>
      <c r="I998" s="117"/>
      <c r="J998" s="117"/>
      <c r="K998" s="117"/>
      <c r="L998" s="116"/>
      <c r="M998" s="117"/>
      <c r="N998" s="118" t="str">
        <f>IFERROR(__xludf.DUMMYFUNCTION("""COMPUTED_VALUE"""),"")</f>
        <v/>
      </c>
      <c r="O998" s="116"/>
      <c r="P998" s="116"/>
      <c r="Q998" s="116"/>
      <c r="R998" s="116" t="s">
        <v>4920</v>
      </c>
      <c r="S998" s="116" t="s">
        <v>39</v>
      </c>
      <c r="T998" s="104" t="s">
        <v>4921</v>
      </c>
      <c r="U998" s="116"/>
      <c r="V998" s="104" t="s">
        <v>4921</v>
      </c>
      <c r="W998" s="116"/>
    </row>
    <row r="999">
      <c r="A999" s="114">
        <v>46099.0</v>
      </c>
      <c r="B999" s="115" t="str">
        <f>IFERROR(__xludf.DUMMYFUNCTION("""COMPUTED_VALUE"""),"BS-PO-2-GL-1")</f>
        <v>BS-PO-2-GL-1</v>
      </c>
      <c r="C999" s="116"/>
      <c r="D999" s="116"/>
      <c r="E999" s="116" t="str">
        <f>IFERROR(__xludf.DUMMYFUNCTION("""COMPUTED_VALUE"""),"BS-PO-2-GL-1")</f>
        <v>BS-PO-2-GL-1</v>
      </c>
      <c r="F999" s="117">
        <v>0.0</v>
      </c>
      <c r="G999" s="116"/>
      <c r="H999" s="117"/>
      <c r="I999" s="117"/>
      <c r="J999" s="117"/>
      <c r="K999" s="117"/>
      <c r="L999" s="116"/>
      <c r="M999" s="117"/>
      <c r="N999" s="118" t="str">
        <f>IFERROR(__xludf.DUMMYFUNCTION("""COMPUTED_VALUE"""),"")</f>
        <v/>
      </c>
      <c r="O999" s="116"/>
      <c r="P999" s="116"/>
      <c r="Q999" s="116"/>
      <c r="R999" s="116" t="s">
        <v>4922</v>
      </c>
      <c r="S999" s="116" t="s">
        <v>39</v>
      </c>
      <c r="T999" s="104" t="s">
        <v>4923</v>
      </c>
      <c r="U999" s="116"/>
      <c r="V999" s="104" t="s">
        <v>4923</v>
      </c>
      <c r="W999" s="116"/>
    </row>
    <row r="1000">
      <c r="A1000" s="114">
        <v>46021.0</v>
      </c>
      <c r="B1000" s="115" t="str">
        <f>IFERROR(__xludf.DUMMYFUNCTION("""COMPUTED_VALUE"""),"NR-PO-5-SNB-1")</f>
        <v>NR-PO-5-SNB-1</v>
      </c>
      <c r="C1000" s="116"/>
      <c r="D1000" s="116"/>
      <c r="E1000" s="116" t="str">
        <f>IFERROR(__xludf.DUMMYFUNCTION("""COMPUTED_VALUE"""),"NR-PO-5-SNB-1")</f>
        <v>NR-PO-5-SNB-1</v>
      </c>
      <c r="F1000" s="117">
        <v>0.0</v>
      </c>
      <c r="G1000" s="116"/>
      <c r="H1000" s="117"/>
      <c r="I1000" s="117"/>
      <c r="J1000" s="117"/>
      <c r="K1000" s="117"/>
      <c r="L1000" s="116"/>
      <c r="M1000" s="117"/>
      <c r="N1000" s="118" t="str">
        <f>IFERROR(__xludf.DUMMYFUNCTION("""COMPUTED_VALUE"""),"")</f>
        <v/>
      </c>
      <c r="O1000" s="116"/>
      <c r="P1000" s="116"/>
      <c r="Q1000" s="116"/>
      <c r="R1000" s="116" t="s">
        <v>4924</v>
      </c>
      <c r="S1000" s="116" t="s">
        <v>39</v>
      </c>
      <c r="T1000" s="104" t="s">
        <v>4925</v>
      </c>
      <c r="U1000" s="116"/>
      <c r="V1000" s="104" t="s">
        <v>4925</v>
      </c>
      <c r="W1000" s="116"/>
    </row>
    <row r="1001">
      <c r="A1001" s="114">
        <v>46104.0</v>
      </c>
      <c r="B1001" s="115" t="str">
        <f>IFERROR(__xludf.DUMMYFUNCTION("""COMPUTED_VALUE"""),"NR-PO-3-SNB-1")</f>
        <v>NR-PO-3-SNB-1</v>
      </c>
      <c r="C1001" s="116"/>
      <c r="D1001" s="116"/>
      <c r="E1001" s="116" t="str">
        <f>IFERROR(__xludf.DUMMYFUNCTION("""COMPUTED_VALUE"""),"NR-PO-3-SNB-1")</f>
        <v>NR-PO-3-SNB-1</v>
      </c>
      <c r="F1001" s="117">
        <v>0.0</v>
      </c>
      <c r="G1001" s="116"/>
      <c r="H1001" s="117"/>
      <c r="I1001" s="117"/>
      <c r="J1001" s="117"/>
      <c r="K1001" s="117"/>
      <c r="L1001" s="116"/>
      <c r="M1001" s="117"/>
      <c r="N1001" s="118" t="str">
        <f>IFERROR(__xludf.DUMMYFUNCTION("""COMPUTED_VALUE"""),"")</f>
        <v/>
      </c>
      <c r="O1001" s="116"/>
      <c r="P1001" s="116"/>
      <c r="Q1001" s="116"/>
      <c r="R1001" s="116" t="s">
        <v>4926</v>
      </c>
      <c r="S1001" s="116" t="s">
        <v>39</v>
      </c>
      <c r="T1001" s="104" t="s">
        <v>4927</v>
      </c>
      <c r="U1001" s="116"/>
      <c r="V1001" s="104" t="s">
        <v>4927</v>
      </c>
      <c r="W1001" s="116"/>
    </row>
    <row r="1002">
      <c r="A1002" s="114">
        <v>46087.0</v>
      </c>
      <c r="B1002" s="115" t="str">
        <f>IFERROR(__xludf.DUMMYFUNCTION("""COMPUTED_VALUE"""),"BS-PO-LG-PB-1")</f>
        <v>BS-PO-LG-PB-1</v>
      </c>
      <c r="C1002" s="116"/>
      <c r="D1002" s="116"/>
      <c r="E1002" s="116" t="str">
        <f>IFERROR(__xludf.DUMMYFUNCTION("""COMPUTED_VALUE"""),"BS-PO-LG-PB-1")</f>
        <v>BS-PO-LG-PB-1</v>
      </c>
      <c r="F1002" s="117">
        <v>0.0</v>
      </c>
      <c r="G1002" s="116"/>
      <c r="H1002" s="117"/>
      <c r="I1002" s="117"/>
      <c r="J1002" s="117"/>
      <c r="K1002" s="117"/>
      <c r="L1002" s="116"/>
      <c r="M1002" s="117"/>
      <c r="N1002" s="118" t="str">
        <f>IFERROR(__xludf.DUMMYFUNCTION("""COMPUTED_VALUE"""),"")</f>
        <v/>
      </c>
      <c r="O1002" s="116"/>
      <c r="P1002" s="116"/>
      <c r="Q1002" s="116"/>
      <c r="R1002" s="116" t="s">
        <v>4928</v>
      </c>
      <c r="S1002" s="116" t="s">
        <v>39</v>
      </c>
      <c r="T1002" s="104" t="s">
        <v>4929</v>
      </c>
      <c r="U1002" s="116"/>
      <c r="V1002" s="104" t="s">
        <v>4929</v>
      </c>
      <c r="W1002" s="116"/>
    </row>
    <row r="1003">
      <c r="A1003" s="114">
        <v>46105.0</v>
      </c>
      <c r="B1003" s="115" t="str">
        <f>IFERROR(__xludf.DUMMYFUNCTION("""COMPUTED_VALUE"""),"DT-PO-3-GL-1")</f>
        <v>DT-PO-3-GL-1</v>
      </c>
      <c r="C1003" s="116"/>
      <c r="D1003" s="116"/>
      <c r="E1003" s="116" t="str">
        <f>IFERROR(__xludf.DUMMYFUNCTION("""COMPUTED_VALUE"""),"DT-PO-3-GL-1")</f>
        <v>DT-PO-3-GL-1</v>
      </c>
      <c r="F1003" s="117">
        <v>0.0</v>
      </c>
      <c r="G1003" s="116"/>
      <c r="H1003" s="117"/>
      <c r="I1003" s="117"/>
      <c r="J1003" s="117"/>
      <c r="K1003" s="117"/>
      <c r="L1003" s="116"/>
      <c r="M1003" s="117"/>
      <c r="N1003" s="118" t="str">
        <f>IFERROR(__xludf.DUMMYFUNCTION("""COMPUTED_VALUE"""),"")</f>
        <v/>
      </c>
      <c r="O1003" s="116"/>
      <c r="P1003" s="116"/>
      <c r="Q1003" s="116"/>
      <c r="R1003" s="116" t="s">
        <v>4930</v>
      </c>
      <c r="S1003" s="116" t="s">
        <v>39</v>
      </c>
      <c r="T1003" s="104" t="s">
        <v>4931</v>
      </c>
      <c r="U1003" s="116"/>
      <c r="V1003" s="104" t="s">
        <v>4931</v>
      </c>
      <c r="W1003" s="116"/>
    </row>
    <row r="1004">
      <c r="A1004" s="114">
        <v>46105.0</v>
      </c>
      <c r="B1004" s="115" t="str">
        <f>IFERROR(__xludf.DUMMYFUNCTION("""COMPUTED_VALUE"""),"DT-PO-6-GL-1")</f>
        <v>DT-PO-6-GL-1</v>
      </c>
      <c r="C1004" s="116"/>
      <c r="D1004" s="116"/>
      <c r="E1004" s="116" t="str">
        <f>IFERROR(__xludf.DUMMYFUNCTION("""COMPUTED_VALUE"""),"DT-PO-6-GL-1")</f>
        <v>DT-PO-6-GL-1</v>
      </c>
      <c r="F1004" s="117">
        <v>0.0</v>
      </c>
      <c r="G1004" s="116"/>
      <c r="H1004" s="117"/>
      <c r="I1004" s="117"/>
      <c r="J1004" s="117"/>
      <c r="K1004" s="117"/>
      <c r="L1004" s="116"/>
      <c r="M1004" s="117"/>
      <c r="N1004" s="118" t="str">
        <f>IFERROR(__xludf.DUMMYFUNCTION("""COMPUTED_VALUE"""),"")</f>
        <v/>
      </c>
      <c r="O1004" s="116"/>
      <c r="P1004" s="116"/>
      <c r="Q1004" s="116"/>
      <c r="R1004" s="116" t="s">
        <v>4932</v>
      </c>
      <c r="S1004" s="116" t="s">
        <v>39</v>
      </c>
      <c r="T1004" s="104" t="s">
        <v>4933</v>
      </c>
      <c r="U1004" s="116"/>
      <c r="V1004" s="104" t="s">
        <v>4933</v>
      </c>
      <c r="W1004" s="116"/>
    </row>
    <row r="1005">
      <c r="A1005" s="114">
        <v>46086.0</v>
      </c>
      <c r="B1005" s="115" t="str">
        <f>IFERROR(__xludf.DUMMYFUNCTION("""COMPUTED_VALUE"""),"BS-SO-ACM-2")</f>
        <v>BS-SO-ACM-2</v>
      </c>
      <c r="C1005" s="116"/>
      <c r="D1005" s="116"/>
      <c r="E1005" s="116" t="str">
        <f>IFERROR(__xludf.DUMMYFUNCTION("""COMPUTED_VALUE"""),"BS-SO-ACM-2")</f>
        <v>BS-SO-ACM-2</v>
      </c>
      <c r="F1005" s="117">
        <v>0.0</v>
      </c>
      <c r="G1005" s="116"/>
      <c r="H1005" s="117"/>
      <c r="I1005" s="117"/>
      <c r="J1005" s="117"/>
      <c r="K1005" s="117"/>
      <c r="L1005" s="116"/>
      <c r="M1005" s="117"/>
      <c r="N1005" s="118" t="str">
        <f>IFERROR(__xludf.DUMMYFUNCTION("""COMPUTED_VALUE"""),"")</f>
        <v/>
      </c>
      <c r="O1005" s="116"/>
      <c r="P1005" s="116"/>
      <c r="Q1005" s="116"/>
      <c r="R1005" s="116" t="s">
        <v>4934</v>
      </c>
      <c r="S1005" s="116" t="s">
        <v>39</v>
      </c>
      <c r="T1005" s="104" t="s">
        <v>4935</v>
      </c>
      <c r="U1005" s="116"/>
      <c r="V1005" s="104" t="s">
        <v>4935</v>
      </c>
      <c r="W1005" s="116"/>
    </row>
    <row r="1006">
      <c r="A1006" s="114">
        <v>46100.0</v>
      </c>
      <c r="B1006" s="115" t="str">
        <f>IFERROR(__xludf.DUMMYFUNCTION("""COMPUTED_VALUE"""),"BS-SO-ACM-4")</f>
        <v>BS-SO-ACM-4</v>
      </c>
      <c r="C1006" s="116"/>
      <c r="D1006" s="116"/>
      <c r="E1006" s="116" t="str">
        <f>IFERROR(__xludf.DUMMYFUNCTION("""COMPUTED_VALUE"""),"BS-SO-ACM-4")</f>
        <v>BS-SO-ACM-4</v>
      </c>
      <c r="F1006" s="117">
        <v>0.0</v>
      </c>
      <c r="G1006" s="116"/>
      <c r="H1006" s="117"/>
      <c r="I1006" s="117"/>
      <c r="J1006" s="117"/>
      <c r="K1006" s="117"/>
      <c r="L1006" s="116"/>
      <c r="M1006" s="117"/>
      <c r="N1006" s="118" t="str">
        <f>IFERROR(__xludf.DUMMYFUNCTION("""COMPUTED_VALUE"""),"")</f>
        <v/>
      </c>
      <c r="O1006" s="116"/>
      <c r="P1006" s="116"/>
      <c r="Q1006" s="116"/>
      <c r="R1006" s="116" t="s">
        <v>4936</v>
      </c>
      <c r="S1006" s="116" t="s">
        <v>39</v>
      </c>
      <c r="T1006" s="104" t="s">
        <v>4937</v>
      </c>
      <c r="U1006" s="116"/>
      <c r="V1006" s="104" t="s">
        <v>4937</v>
      </c>
      <c r="W1006" s="116"/>
    </row>
    <row r="1007">
      <c r="A1007" s="114">
        <v>46106.0</v>
      </c>
      <c r="B1007" s="115" t="str">
        <f>IFERROR(__xludf.DUMMYFUNCTION("""COMPUTED_VALUE"""),"BS-SO-FRM-2")</f>
        <v>BS-SO-FRM-2</v>
      </c>
      <c r="C1007" s="116"/>
      <c r="D1007" s="116"/>
      <c r="E1007" s="116" t="str">
        <f>IFERROR(__xludf.DUMMYFUNCTION("""COMPUTED_VALUE"""),"BS-SO-FRM-2")</f>
        <v>BS-SO-FRM-2</v>
      </c>
      <c r="F1007" s="117">
        <v>0.0</v>
      </c>
      <c r="G1007" s="116"/>
      <c r="H1007" s="117"/>
      <c r="I1007" s="117"/>
      <c r="J1007" s="117"/>
      <c r="K1007" s="117"/>
      <c r="L1007" s="116"/>
      <c r="M1007" s="117"/>
      <c r="N1007" s="118" t="str">
        <f>IFERROR(__xludf.DUMMYFUNCTION("""COMPUTED_VALUE"""),"")</f>
        <v/>
      </c>
      <c r="O1007" s="116"/>
      <c r="P1007" s="116"/>
      <c r="Q1007" s="116"/>
      <c r="R1007" s="116" t="s">
        <v>4938</v>
      </c>
      <c r="S1007" s="116" t="s">
        <v>39</v>
      </c>
      <c r="T1007" s="104" t="s">
        <v>4939</v>
      </c>
      <c r="U1007" s="116"/>
      <c r="V1007" s="104" t="s">
        <v>4939</v>
      </c>
      <c r="W1007" s="116"/>
    </row>
    <row r="1008">
      <c r="A1008" s="114">
        <v>46099.0</v>
      </c>
      <c r="B1008" s="115" t="str">
        <f>IFERROR(__xludf.DUMMYFUNCTION("""COMPUTED_VALUE"""),"BS-SO-ACM-3")</f>
        <v>BS-SO-ACM-3</v>
      </c>
      <c r="C1008" s="116"/>
      <c r="D1008" s="116"/>
      <c r="E1008" s="116" t="str">
        <f>IFERROR(__xludf.DUMMYFUNCTION("""COMPUTED_VALUE"""),"BS-SO-ACM-3")</f>
        <v>BS-SO-ACM-3</v>
      </c>
      <c r="F1008" s="117">
        <v>0.0</v>
      </c>
      <c r="G1008" s="116"/>
      <c r="H1008" s="117"/>
      <c r="I1008" s="117"/>
      <c r="J1008" s="117"/>
      <c r="K1008" s="117"/>
      <c r="L1008" s="116"/>
      <c r="M1008" s="117"/>
      <c r="N1008" s="118" t="str">
        <f>IFERROR(__xludf.DUMMYFUNCTION("""COMPUTED_VALUE"""),"")</f>
        <v/>
      </c>
      <c r="O1008" s="116"/>
      <c r="P1008" s="116"/>
      <c r="Q1008" s="116"/>
      <c r="R1008" s="116" t="s">
        <v>4940</v>
      </c>
      <c r="S1008" s="116" t="s">
        <v>39</v>
      </c>
      <c r="T1008" s="104" t="s">
        <v>4941</v>
      </c>
      <c r="U1008" s="116"/>
      <c r="V1008" s="104" t="s">
        <v>4941</v>
      </c>
      <c r="W1008" s="116"/>
    </row>
    <row r="1009">
      <c r="A1009" s="114">
        <v>46107.0</v>
      </c>
      <c r="B1009" s="115" t="str">
        <f>IFERROR(__xludf.DUMMYFUNCTION("""COMPUTED_VALUE"""),"BS-SO-ACM-5")</f>
        <v>BS-SO-ACM-5</v>
      </c>
      <c r="C1009" s="116"/>
      <c r="D1009" s="116"/>
      <c r="E1009" s="116" t="str">
        <f>IFERROR(__xludf.DUMMYFUNCTION("""COMPUTED_VALUE"""),"BS-SO-ACM-5")</f>
        <v>BS-SO-ACM-5</v>
      </c>
      <c r="F1009" s="117">
        <v>0.0</v>
      </c>
      <c r="G1009" s="116"/>
      <c r="H1009" s="117"/>
      <c r="I1009" s="117"/>
      <c r="J1009" s="117"/>
      <c r="K1009" s="117"/>
      <c r="L1009" s="116"/>
      <c r="M1009" s="117"/>
      <c r="N1009" s="118" t="str">
        <f>IFERROR(__xludf.DUMMYFUNCTION("""COMPUTED_VALUE"""),"")</f>
        <v/>
      </c>
      <c r="O1009" s="116"/>
      <c r="P1009" s="116"/>
      <c r="Q1009" s="116"/>
      <c r="R1009" s="116" t="s">
        <v>4942</v>
      </c>
      <c r="S1009" s="116" t="s">
        <v>39</v>
      </c>
      <c r="T1009" s="104" t="s">
        <v>4943</v>
      </c>
      <c r="U1009" s="116"/>
      <c r="V1009" s="104" t="s">
        <v>4943</v>
      </c>
      <c r="W1009" s="116"/>
    </row>
    <row r="1010">
      <c r="A1010" s="114">
        <v>46107.0</v>
      </c>
      <c r="B1010" s="115" t="str">
        <f>IFERROR(__xludf.DUMMYFUNCTION("""COMPUTED_VALUE"""),"TL-PO-2-GL-1")</f>
        <v>TL-PO-2-GL-1</v>
      </c>
      <c r="C1010" s="116"/>
      <c r="D1010" s="116"/>
      <c r="E1010" s="116" t="str">
        <f>IFERROR(__xludf.DUMMYFUNCTION("""COMPUTED_VALUE"""),"TL-PO-2-GL-1")</f>
        <v>TL-PO-2-GL-1</v>
      </c>
      <c r="F1010" s="117">
        <v>0.0</v>
      </c>
      <c r="G1010" s="116"/>
      <c r="H1010" s="117"/>
      <c r="I1010" s="117"/>
      <c r="J1010" s="117"/>
      <c r="K1010" s="117"/>
      <c r="L1010" s="116"/>
      <c r="M1010" s="117"/>
      <c r="N1010" s="118" t="str">
        <f>IFERROR(__xludf.DUMMYFUNCTION("""COMPUTED_VALUE"""),"")</f>
        <v/>
      </c>
      <c r="O1010" s="116"/>
      <c r="P1010" s="116"/>
      <c r="Q1010" s="116"/>
      <c r="R1010" s="116" t="s">
        <v>4944</v>
      </c>
      <c r="S1010" s="116" t="s">
        <v>39</v>
      </c>
      <c r="T1010" s="104" t="s">
        <v>4945</v>
      </c>
      <c r="U1010" s="116"/>
      <c r="V1010" s="104" t="s">
        <v>4945</v>
      </c>
      <c r="W1010" s="116"/>
    </row>
    <row r="1011">
      <c r="A1011" s="114">
        <v>46108.0</v>
      </c>
      <c r="B1011" s="115" t="str">
        <f>IFERROR(__xludf.DUMMYFUNCTION("""COMPUTED_VALUE"""),"BS-SO-HO-2")</f>
        <v>BS-SO-HO-2</v>
      </c>
      <c r="C1011" s="116"/>
      <c r="D1011" s="116"/>
      <c r="E1011" s="116" t="str">
        <f>IFERROR(__xludf.DUMMYFUNCTION("""COMPUTED_VALUE"""),"BS-SO-HO-2")</f>
        <v>BS-SO-HO-2</v>
      </c>
      <c r="F1011" s="117">
        <v>0.0</v>
      </c>
      <c r="G1011" s="116"/>
      <c r="H1011" s="117"/>
      <c r="I1011" s="117"/>
      <c r="J1011" s="117"/>
      <c r="K1011" s="117"/>
      <c r="L1011" s="116"/>
      <c r="M1011" s="117"/>
      <c r="N1011" s="118" t="str">
        <f>IFERROR(__xludf.DUMMYFUNCTION("""COMPUTED_VALUE"""),"")</f>
        <v/>
      </c>
      <c r="O1011" s="116"/>
      <c r="P1011" s="116"/>
      <c r="Q1011" s="116"/>
      <c r="R1011" s="116" t="s">
        <v>4946</v>
      </c>
      <c r="S1011" s="116" t="s">
        <v>39</v>
      </c>
      <c r="T1011" s="104" t="s">
        <v>4947</v>
      </c>
      <c r="U1011" s="116"/>
      <c r="V1011" s="104" t="s">
        <v>4947</v>
      </c>
      <c r="W1011" s="116"/>
    </row>
    <row r="1012">
      <c r="A1012" s="114">
        <v>46110.0</v>
      </c>
      <c r="B1012" s="115" t="str">
        <f>IFERROR(__xludf.DUMMYFUNCTION("""COMPUTED_VALUE"""),"TR-SB-MSB-8")</f>
        <v>TR-SB-MSB-8</v>
      </c>
      <c r="C1012" s="116"/>
      <c r="D1012" s="116"/>
      <c r="E1012" s="116" t="str">
        <f>IFERROR(__xludf.DUMMYFUNCTION("""COMPUTED_VALUE"""),"TR-SB-MSB-8")</f>
        <v>TR-SB-MSB-8</v>
      </c>
      <c r="F1012" s="117">
        <v>0.0</v>
      </c>
      <c r="G1012" s="116"/>
      <c r="H1012" s="117"/>
      <c r="I1012" s="117"/>
      <c r="J1012" s="117"/>
      <c r="K1012" s="117"/>
      <c r="L1012" s="116"/>
      <c r="M1012" s="117"/>
      <c r="N1012" s="118" t="str">
        <f>IFERROR(__xludf.DUMMYFUNCTION("""COMPUTED_VALUE"""),"")</f>
        <v/>
      </c>
      <c r="O1012" s="116"/>
      <c r="P1012" s="116"/>
      <c r="Q1012" s="116"/>
      <c r="R1012" s="116" t="s">
        <v>4948</v>
      </c>
      <c r="S1012" s="116" t="s">
        <v>39</v>
      </c>
      <c r="T1012" s="104" t="s">
        <v>4949</v>
      </c>
      <c r="U1012" s="116"/>
      <c r="V1012" s="104" t="s">
        <v>4949</v>
      </c>
      <c r="W1012" s="116"/>
    </row>
    <row r="1013">
      <c r="A1013" s="114">
        <v>46111.0</v>
      </c>
      <c r="B1013" s="115" t="str">
        <f>IFERROR(__xludf.DUMMYFUNCTION("""COMPUTED_VALUE"""),"BS-SO-AL-2")</f>
        <v>BS-SO-AL-2</v>
      </c>
      <c r="C1013" s="116"/>
      <c r="D1013" s="116"/>
      <c r="E1013" s="116" t="str">
        <f>IFERROR(__xludf.DUMMYFUNCTION("""COMPUTED_VALUE"""),"BS-SO-AL-2")</f>
        <v>BS-SO-AL-2</v>
      </c>
      <c r="F1013" s="117">
        <v>0.0</v>
      </c>
      <c r="G1013" s="116"/>
      <c r="H1013" s="117"/>
      <c r="I1013" s="117"/>
      <c r="J1013" s="117"/>
      <c r="K1013" s="117"/>
      <c r="L1013" s="116"/>
      <c r="M1013" s="117"/>
      <c r="N1013" s="118" t="str">
        <f>IFERROR(__xludf.DUMMYFUNCTION("""COMPUTED_VALUE"""),"")</f>
        <v/>
      </c>
      <c r="O1013" s="116"/>
      <c r="P1013" s="116"/>
      <c r="Q1013" s="116"/>
      <c r="R1013" s="116" t="s">
        <v>4950</v>
      </c>
      <c r="S1013" s="116" t="s">
        <v>39</v>
      </c>
      <c r="T1013" s="104" t="s">
        <v>4951</v>
      </c>
      <c r="U1013" s="116"/>
      <c r="V1013" s="104" t="s">
        <v>4951</v>
      </c>
      <c r="W1013" s="116"/>
    </row>
    <row r="1014">
      <c r="A1014" s="114">
        <v>46137.0</v>
      </c>
      <c r="B1014" s="115" t="str">
        <f>IFERROR(__xludf.DUMMYFUNCTION("""COMPUTED_VALUE"""),"ST-PO-6-COP-1")</f>
        <v>ST-PO-6-COP-1</v>
      </c>
      <c r="C1014" s="116"/>
      <c r="D1014" s="116"/>
      <c r="E1014" s="116" t="str">
        <f>IFERROR(__xludf.DUMMYFUNCTION("""COMPUTED_VALUE"""),"ST-PO-6-COP-1")</f>
        <v>ST-PO-6-COP-1</v>
      </c>
      <c r="F1014" s="117">
        <v>0.0</v>
      </c>
      <c r="G1014" s="116"/>
      <c r="H1014" s="117"/>
      <c r="I1014" s="117"/>
      <c r="J1014" s="117"/>
      <c r="K1014" s="117"/>
      <c r="L1014" s="116"/>
      <c r="M1014" s="117"/>
      <c r="N1014" s="118" t="str">
        <f>IFERROR(__xludf.DUMMYFUNCTION("""COMPUTED_VALUE"""),"")</f>
        <v/>
      </c>
      <c r="O1014" s="116"/>
      <c r="P1014" s="116"/>
      <c r="Q1014" s="116"/>
      <c r="R1014" s="116" t="s">
        <v>4952</v>
      </c>
      <c r="S1014" s="116" t="s">
        <v>39</v>
      </c>
      <c r="T1014" s="104" t="s">
        <v>4953</v>
      </c>
      <c r="U1014" s="116"/>
      <c r="V1014" s="104" t="s">
        <v>4953</v>
      </c>
      <c r="W1014" s="116"/>
    </row>
    <row r="1015">
      <c r="A1015" s="114">
        <v>46137.0</v>
      </c>
      <c r="B1015" s="115" t="str">
        <f>IFERROR(__xludf.DUMMYFUNCTION("""COMPUTED_VALUE"""),"ST-PO-4-COP-1")</f>
        <v>ST-PO-4-COP-1</v>
      </c>
      <c r="C1015" s="116"/>
      <c r="D1015" s="116"/>
      <c r="E1015" s="116" t="str">
        <f>IFERROR(__xludf.DUMMYFUNCTION("""COMPUTED_VALUE"""),"ST-PO-4-COP-1")</f>
        <v>ST-PO-4-COP-1</v>
      </c>
      <c r="F1015" s="117">
        <v>0.0</v>
      </c>
      <c r="G1015" s="116"/>
      <c r="H1015" s="117"/>
      <c r="I1015" s="117"/>
      <c r="J1015" s="117"/>
      <c r="K1015" s="117"/>
      <c r="L1015" s="116"/>
      <c r="M1015" s="117"/>
      <c r="N1015" s="118" t="str">
        <f>IFERROR(__xludf.DUMMYFUNCTION("""COMPUTED_VALUE"""),"")</f>
        <v/>
      </c>
      <c r="O1015" s="116"/>
      <c r="P1015" s="116"/>
      <c r="Q1015" s="116"/>
      <c r="R1015" s="116" t="s">
        <v>4954</v>
      </c>
      <c r="S1015" s="116" t="s">
        <v>39</v>
      </c>
      <c r="T1015" s="104" t="s">
        <v>4955</v>
      </c>
      <c r="U1015" s="116"/>
      <c r="V1015" s="104" t="s">
        <v>4955</v>
      </c>
      <c r="W1015" s="116"/>
    </row>
    <row r="1016">
      <c r="A1016" s="114">
        <v>46144.0</v>
      </c>
      <c r="B1016" s="115" t="str">
        <f>IFERROR(__xludf.DUMMYFUNCTION("""COMPUTED_VALUE"""),"BS-SO-ACM-6")</f>
        <v>BS-SO-ACM-6</v>
      </c>
      <c r="C1016" s="116"/>
      <c r="D1016" s="116"/>
      <c r="E1016" s="116" t="str">
        <f>IFERROR(__xludf.DUMMYFUNCTION("""COMPUTED_VALUE"""),"BS-SO-ACM-6")</f>
        <v>BS-SO-ACM-6</v>
      </c>
      <c r="F1016" s="117">
        <v>0.0</v>
      </c>
      <c r="G1016" s="116"/>
      <c r="H1016" s="117"/>
      <c r="I1016" s="117"/>
      <c r="J1016" s="117"/>
      <c r="K1016" s="117"/>
      <c r="L1016" s="116"/>
      <c r="M1016" s="117"/>
      <c r="N1016" s="118" t="str">
        <f>IFERROR(__xludf.DUMMYFUNCTION("""COMPUTED_VALUE"""),"")</f>
        <v/>
      </c>
      <c r="O1016" s="116"/>
      <c r="P1016" s="116"/>
      <c r="Q1016" s="116"/>
      <c r="R1016" s="116" t="s">
        <v>4956</v>
      </c>
      <c r="S1016" s="116" t="s">
        <v>39</v>
      </c>
      <c r="T1016" s="104" t="s">
        <v>4957</v>
      </c>
      <c r="U1016" s="116"/>
      <c r="V1016" s="104" t="s">
        <v>4957</v>
      </c>
      <c r="W1016" s="116"/>
    </row>
    <row r="1017">
      <c r="A1017" s="114">
        <v>46145.0</v>
      </c>
      <c r="B1017" s="115" t="str">
        <f>IFERROR(__xludf.DUMMYFUNCTION("""COMPUTED_VALUE"""),"BS-SO-SU-1")</f>
        <v>BS-SO-SU-1</v>
      </c>
      <c r="C1017" s="116"/>
      <c r="D1017" s="116"/>
      <c r="E1017" s="116" t="str">
        <f>IFERROR(__xludf.DUMMYFUNCTION("""COMPUTED_VALUE"""),"BS-SO-SU-1")</f>
        <v>BS-SO-SU-1</v>
      </c>
      <c r="F1017" s="117">
        <v>0.0</v>
      </c>
      <c r="G1017" s="116"/>
      <c r="H1017" s="117"/>
      <c r="I1017" s="117"/>
      <c r="J1017" s="117"/>
      <c r="K1017" s="117"/>
      <c r="L1017" s="116"/>
      <c r="M1017" s="117"/>
      <c r="N1017" s="118" t="str">
        <f>IFERROR(__xludf.DUMMYFUNCTION("""COMPUTED_VALUE"""),"")</f>
        <v/>
      </c>
      <c r="O1017" s="116"/>
      <c r="P1017" s="116"/>
      <c r="Q1017" s="116"/>
      <c r="R1017" s="116" t="s">
        <v>4958</v>
      </c>
      <c r="S1017" s="116" t="s">
        <v>39</v>
      </c>
      <c r="T1017" s="104" t="s">
        <v>4959</v>
      </c>
      <c r="U1017" s="116"/>
      <c r="V1017" s="104" t="s">
        <v>4959</v>
      </c>
      <c r="W1017" s="116"/>
    </row>
    <row r="1018">
      <c r="A1018" s="114">
        <v>46145.0</v>
      </c>
      <c r="B1018" s="115" t="str">
        <f>IFERROR(__xludf.DUMMYFUNCTION("""COMPUTED_VALUE"""),"BS-SO-RE-1")</f>
        <v>BS-SO-RE-1</v>
      </c>
      <c r="C1018" s="116"/>
      <c r="D1018" s="116"/>
      <c r="E1018" s="116" t="str">
        <f>IFERROR(__xludf.DUMMYFUNCTION("""COMPUTED_VALUE"""),"BS-SO-RE-1")</f>
        <v>BS-SO-RE-1</v>
      </c>
      <c r="F1018" s="117">
        <v>0.0</v>
      </c>
      <c r="G1018" s="116"/>
      <c r="H1018" s="117"/>
      <c r="I1018" s="117"/>
      <c r="J1018" s="117"/>
      <c r="K1018" s="117"/>
      <c r="L1018" s="116"/>
      <c r="M1018" s="117"/>
      <c r="N1018" s="118" t="str">
        <f>IFERROR(__xludf.DUMMYFUNCTION("""COMPUTED_VALUE"""),"")</f>
        <v/>
      </c>
      <c r="O1018" s="116"/>
      <c r="P1018" s="116"/>
      <c r="Q1018" s="116"/>
      <c r="R1018" s="116" t="s">
        <v>4960</v>
      </c>
      <c r="S1018" s="116" t="s">
        <v>39</v>
      </c>
      <c r="T1018" s="104" t="s">
        <v>4961</v>
      </c>
      <c r="U1018" s="116"/>
      <c r="V1018" s="104" t="s">
        <v>4961</v>
      </c>
      <c r="W1018" s="116"/>
    </row>
    <row r="1019">
      <c r="A1019" s="114">
        <v>46146.0</v>
      </c>
      <c r="B1019" s="115" t="str">
        <f>IFERROR(__xludf.DUMMYFUNCTION("""COMPUTED_VALUE"""),"AGP-PO-4-BN-1")</f>
        <v>AGP-PO-4-BN-1</v>
      </c>
      <c r="C1019" s="116"/>
      <c r="D1019" s="116"/>
      <c r="E1019" s="116" t="str">
        <f>IFERROR(__xludf.DUMMYFUNCTION("""COMPUTED_VALUE"""),"AGP-PO-4-BN-1")</f>
        <v>AGP-PO-4-BN-1</v>
      </c>
      <c r="F1019" s="117">
        <v>0.0</v>
      </c>
      <c r="G1019" s="116"/>
      <c r="H1019" s="117"/>
      <c r="I1019" s="117"/>
      <c r="J1019" s="117"/>
      <c r="K1019" s="117"/>
      <c r="L1019" s="116"/>
      <c r="M1019" s="117"/>
      <c r="N1019" s="118" t="str">
        <f>IFERROR(__xludf.DUMMYFUNCTION("""COMPUTED_VALUE"""),"")</f>
        <v/>
      </c>
      <c r="O1019" s="116"/>
      <c r="P1019" s="116"/>
      <c r="Q1019" s="116"/>
      <c r="R1019" s="116" t="s">
        <v>4962</v>
      </c>
      <c r="S1019" s="116" t="s">
        <v>39</v>
      </c>
      <c r="T1019" s="104" t="s">
        <v>4963</v>
      </c>
      <c r="U1019" s="116"/>
      <c r="V1019" s="104" t="s">
        <v>4963</v>
      </c>
      <c r="W1019" s="116"/>
    </row>
    <row r="1020">
      <c r="A1020" s="114">
        <v>46146.0</v>
      </c>
      <c r="B1020" s="115" t="str">
        <f>IFERROR(__xludf.DUMMYFUNCTION("""COMPUTED_VALUE"""),"BS-PS-24-BA-1")</f>
        <v>BS-PS-24-BA-1</v>
      </c>
      <c r="C1020" s="116"/>
      <c r="D1020" s="116"/>
      <c r="E1020" s="116" t="str">
        <f>IFERROR(__xludf.DUMMYFUNCTION("""COMPUTED_VALUE"""),"BS-PS-24-BA-1")</f>
        <v>BS-PS-24-BA-1</v>
      </c>
      <c r="F1020" s="117">
        <v>0.0</v>
      </c>
      <c r="G1020" s="116"/>
      <c r="H1020" s="117"/>
      <c r="I1020" s="117"/>
      <c r="J1020" s="117"/>
      <c r="K1020" s="117"/>
      <c r="L1020" s="116"/>
      <c r="M1020" s="117"/>
      <c r="N1020" s="118" t="str">
        <f>IFERROR(__xludf.DUMMYFUNCTION("""COMPUTED_VALUE"""),"")</f>
        <v/>
      </c>
      <c r="O1020" s="116"/>
      <c r="P1020" s="116"/>
      <c r="Q1020" s="116"/>
      <c r="R1020" s="116" t="s">
        <v>4964</v>
      </c>
      <c r="S1020" s="116" t="s">
        <v>39</v>
      </c>
      <c r="T1020" s="104" t="s">
        <v>4965</v>
      </c>
      <c r="U1020" s="116"/>
      <c r="V1020" s="104" t="s">
        <v>4965</v>
      </c>
      <c r="W1020" s="116"/>
    </row>
    <row r="1021">
      <c r="A1021" s="114">
        <v>46146.0</v>
      </c>
      <c r="B1021" s="115" t="str">
        <f>IFERROR(__xludf.DUMMYFUNCTION("""COMPUTED_VALUE"""),"BS-PS-18-BA-1")</f>
        <v>BS-PS-18-BA-1</v>
      </c>
      <c r="C1021" s="116"/>
      <c r="D1021" s="116"/>
      <c r="E1021" s="116" t="str">
        <f>IFERROR(__xludf.DUMMYFUNCTION("""COMPUTED_VALUE"""),"BS-PS-18-BA-1")</f>
        <v>BS-PS-18-BA-1</v>
      </c>
      <c r="F1021" s="117">
        <v>0.0</v>
      </c>
      <c r="G1021" s="116"/>
      <c r="H1021" s="117"/>
      <c r="I1021" s="117"/>
      <c r="J1021" s="117"/>
      <c r="K1021" s="117"/>
      <c r="L1021" s="116"/>
      <c r="M1021" s="117"/>
      <c r="N1021" s="118" t="str">
        <f>IFERROR(__xludf.DUMMYFUNCTION("""COMPUTED_VALUE"""),"")</f>
        <v/>
      </c>
      <c r="O1021" s="116"/>
      <c r="P1021" s="116"/>
      <c r="Q1021" s="116"/>
      <c r="R1021" s="116" t="s">
        <v>4966</v>
      </c>
      <c r="S1021" s="116" t="s">
        <v>39</v>
      </c>
      <c r="T1021" s="104" t="s">
        <v>4967</v>
      </c>
      <c r="U1021" s="116"/>
      <c r="V1021" s="104" t="s">
        <v>4967</v>
      </c>
      <c r="W1021" s="116"/>
    </row>
    <row r="1022">
      <c r="A1022" s="114">
        <v>46146.0</v>
      </c>
      <c r="B1022" s="115" t="str">
        <f>IFERROR(__xludf.DUMMYFUNCTION("""COMPUTED_VALUE"""),"BS-PS-12-BA-1")</f>
        <v>BS-PS-12-BA-1</v>
      </c>
      <c r="C1022" s="116"/>
      <c r="D1022" s="116"/>
      <c r="E1022" s="116" t="str">
        <f>IFERROR(__xludf.DUMMYFUNCTION("""COMPUTED_VALUE"""),"BS-PS-12-BA-1")</f>
        <v>BS-PS-12-BA-1</v>
      </c>
      <c r="F1022" s="117">
        <v>0.0</v>
      </c>
      <c r="G1022" s="116"/>
      <c r="H1022" s="117"/>
      <c r="I1022" s="117"/>
      <c r="J1022" s="117"/>
      <c r="K1022" s="117"/>
      <c r="L1022" s="116"/>
      <c r="M1022" s="117"/>
      <c r="N1022" s="118" t="str">
        <f>IFERROR(__xludf.DUMMYFUNCTION("""COMPUTED_VALUE"""),"")</f>
        <v/>
      </c>
      <c r="O1022" s="116"/>
      <c r="P1022" s="116"/>
      <c r="Q1022" s="116"/>
      <c r="R1022" s="116" t="s">
        <v>4968</v>
      </c>
      <c r="S1022" s="116" t="s">
        <v>39</v>
      </c>
      <c r="T1022" s="104" t="s">
        <v>4969</v>
      </c>
      <c r="U1022" s="116"/>
      <c r="V1022" s="104" t="s">
        <v>4969</v>
      </c>
      <c r="W1022" s="116"/>
    </row>
    <row r="1023">
      <c r="A1023" s="114">
        <v>46148.0</v>
      </c>
      <c r="B1023" s="115" t="str">
        <f>IFERROR(__xludf.DUMMYFUNCTION("""COMPUTED_VALUE"""),"BS-PS-16-BA-1")</f>
        <v>BS-PS-16-BA-1</v>
      </c>
      <c r="C1023" s="116"/>
      <c r="D1023" s="116"/>
      <c r="E1023" s="116" t="str">
        <f>IFERROR(__xludf.DUMMYFUNCTION("""COMPUTED_VALUE"""),"BS-PS-16-BA-1")</f>
        <v>BS-PS-16-BA-1</v>
      </c>
      <c r="F1023" s="117">
        <v>0.0</v>
      </c>
      <c r="G1023" s="116"/>
      <c r="H1023" s="117"/>
      <c r="I1023" s="117"/>
      <c r="J1023" s="117"/>
      <c r="K1023" s="117"/>
      <c r="L1023" s="116"/>
      <c r="M1023" s="117"/>
      <c r="N1023" s="118" t="str">
        <f>IFERROR(__xludf.DUMMYFUNCTION("""COMPUTED_VALUE"""),"")</f>
        <v/>
      </c>
      <c r="O1023" s="116"/>
      <c r="P1023" s="116"/>
      <c r="Q1023" s="116"/>
      <c r="R1023" s="116" t="s">
        <v>4970</v>
      </c>
      <c r="S1023" s="116" t="s">
        <v>39</v>
      </c>
      <c r="T1023" s="104" t="s">
        <v>4971</v>
      </c>
      <c r="U1023" s="116"/>
      <c r="V1023" s="104" t="s">
        <v>4971</v>
      </c>
      <c r="W1023" s="116"/>
    </row>
    <row r="1024">
      <c r="A1024" s="114">
        <v>46150.0</v>
      </c>
      <c r="B1024" s="115" t="str">
        <f>IFERROR(__xludf.DUMMYFUNCTION("""COMPUTED_VALUE"""),"BS-SO-FRM-3")</f>
        <v>BS-SO-FRM-3</v>
      </c>
      <c r="C1024" s="116"/>
      <c r="D1024" s="116"/>
      <c r="E1024" s="116" t="str">
        <f>IFERROR(__xludf.DUMMYFUNCTION("""COMPUTED_VALUE"""),"BS-SO-FRM-3")</f>
        <v>BS-SO-FRM-3</v>
      </c>
      <c r="F1024" s="117">
        <v>0.0</v>
      </c>
      <c r="G1024" s="116"/>
      <c r="H1024" s="117"/>
      <c r="I1024" s="117"/>
      <c r="J1024" s="117"/>
      <c r="K1024" s="117"/>
      <c r="L1024" s="116"/>
      <c r="M1024" s="117"/>
      <c r="N1024" s="118" t="str">
        <f>IFERROR(__xludf.DUMMYFUNCTION("""COMPUTED_VALUE"""),"")</f>
        <v/>
      </c>
      <c r="O1024" s="116"/>
      <c r="P1024" s="116"/>
      <c r="Q1024" s="116"/>
      <c r="R1024" s="116" t="s">
        <v>4972</v>
      </c>
      <c r="S1024" s="116" t="s">
        <v>39</v>
      </c>
      <c r="T1024" s="104" t="s">
        <v>4973</v>
      </c>
      <c r="U1024" s="116"/>
      <c r="V1024" s="104" t="s">
        <v>4973</v>
      </c>
      <c r="W1024" s="116"/>
    </row>
    <row r="1025">
      <c r="A1025" s="114">
        <v>46150.0</v>
      </c>
      <c r="B1025" s="115" t="str">
        <f>IFERROR(__xludf.DUMMYFUNCTION("""COMPUTED_VALUE"""),"BS-SO-ACM-7")</f>
        <v>BS-SO-ACM-7</v>
      </c>
      <c r="C1025" s="116"/>
      <c r="D1025" s="116"/>
      <c r="E1025" s="116" t="str">
        <f>IFERROR(__xludf.DUMMYFUNCTION("""COMPUTED_VALUE"""),"BS-SO-ACM-7")</f>
        <v>BS-SO-ACM-7</v>
      </c>
      <c r="F1025" s="117">
        <v>0.0</v>
      </c>
      <c r="G1025" s="116"/>
      <c r="H1025" s="117"/>
      <c r="I1025" s="117"/>
      <c r="J1025" s="117"/>
      <c r="K1025" s="117"/>
      <c r="L1025" s="116"/>
      <c r="M1025" s="117"/>
      <c r="N1025" s="118" t="str">
        <f>IFERROR(__xludf.DUMMYFUNCTION("""COMPUTED_VALUE"""),"")</f>
        <v/>
      </c>
      <c r="O1025" s="116"/>
      <c r="P1025" s="116"/>
      <c r="Q1025" s="116"/>
      <c r="R1025" s="116" t="s">
        <v>4974</v>
      </c>
      <c r="S1025" s="116" t="s">
        <v>39</v>
      </c>
      <c r="T1025" s="104" t="s">
        <v>4975</v>
      </c>
      <c r="U1025" s="116"/>
      <c r="V1025" s="104" t="s">
        <v>4975</v>
      </c>
      <c r="W1025" s="116"/>
    </row>
    <row r="1026">
      <c r="A1026" s="114">
        <v>46152.0</v>
      </c>
      <c r="B1026" s="115" t="str">
        <f>IFERROR(__xludf.DUMMYFUNCTION("""COMPUTED_VALUE"""),"BS-SO-VM-1")</f>
        <v>BS-SO-VM-1</v>
      </c>
      <c r="C1026" s="116"/>
      <c r="D1026" s="116"/>
      <c r="E1026" s="116" t="str">
        <f>IFERROR(__xludf.DUMMYFUNCTION("""COMPUTED_VALUE"""),"BS-SO-VM-1")</f>
        <v>BS-SO-VM-1</v>
      </c>
      <c r="F1026" s="117">
        <v>0.0</v>
      </c>
      <c r="G1026" s="116"/>
      <c r="H1026" s="117"/>
      <c r="I1026" s="117"/>
      <c r="J1026" s="117"/>
      <c r="K1026" s="117"/>
      <c r="L1026" s="116"/>
      <c r="M1026" s="117"/>
      <c r="N1026" s="118" t="str">
        <f>IFERROR(__xludf.DUMMYFUNCTION("""COMPUTED_VALUE"""),"")</f>
        <v/>
      </c>
      <c r="O1026" s="116"/>
      <c r="P1026" s="116"/>
      <c r="Q1026" s="116"/>
      <c r="R1026" s="116" t="s">
        <v>4976</v>
      </c>
      <c r="S1026" s="116" t="s">
        <v>39</v>
      </c>
      <c r="T1026" s="104" t="s">
        <v>4977</v>
      </c>
      <c r="U1026" s="116"/>
      <c r="V1026" s="104" t="s">
        <v>4977</v>
      </c>
      <c r="W1026" s="116"/>
    </row>
    <row r="1027">
      <c r="A1027" s="114">
        <v>46158.0</v>
      </c>
      <c r="B1027" s="115" t="str">
        <f>IFERROR(__xludf.DUMMYFUNCTION("""COMPUTED_VALUE"""),"ST-PO-0-BR-1")</f>
        <v>ST-PO-0-BR-1</v>
      </c>
      <c r="C1027" s="116"/>
      <c r="D1027" s="116"/>
      <c r="E1027" s="116" t="str">
        <f>IFERROR(__xludf.DUMMYFUNCTION("""COMPUTED_VALUE"""),"ST-PO-0-BR-1")</f>
        <v>ST-PO-0-BR-1</v>
      </c>
      <c r="F1027" s="117">
        <v>0.0</v>
      </c>
      <c r="G1027" s="116"/>
      <c r="H1027" s="117"/>
      <c r="I1027" s="117"/>
      <c r="J1027" s="117"/>
      <c r="K1027" s="117"/>
      <c r="L1027" s="116"/>
      <c r="M1027" s="117"/>
      <c r="N1027" s="118" t="str">
        <f>IFERROR(__xludf.DUMMYFUNCTION("""COMPUTED_VALUE"""),"")</f>
        <v/>
      </c>
      <c r="O1027" s="116"/>
      <c r="P1027" s="116"/>
      <c r="Q1027" s="116"/>
      <c r="R1027" s="116" t="s">
        <v>4978</v>
      </c>
      <c r="S1027" s="116" t="s">
        <v>39</v>
      </c>
      <c r="T1027" s="104" t="s">
        <v>4979</v>
      </c>
      <c r="U1027" s="116"/>
      <c r="V1027" s="104" t="s">
        <v>4979</v>
      </c>
      <c r="W1027" s="116"/>
    </row>
    <row r="1028">
      <c r="A1028" s="114" t="s">
        <v>39</v>
      </c>
      <c r="B1028" s="115"/>
      <c r="C1028" s="116"/>
      <c r="D1028" s="116"/>
      <c r="E1028" s="116" t="str">
        <f>IFERROR(__xludf.DUMMYFUNCTION("""COMPUTED_VALUE"""),"")</f>
        <v/>
      </c>
      <c r="F1028" s="117" t="s">
        <v>39</v>
      </c>
      <c r="G1028" s="116"/>
      <c r="H1028" s="117"/>
      <c r="I1028" s="117"/>
      <c r="J1028" s="117"/>
      <c r="K1028" s="117"/>
      <c r="L1028" s="116"/>
      <c r="M1028" s="117"/>
      <c r="N1028" s="118" t="str">
        <f>IFERROR(__xludf.DUMMYFUNCTION("""COMPUTED_VALUE"""),"")</f>
        <v/>
      </c>
      <c r="O1028" s="116"/>
      <c r="P1028" s="116"/>
      <c r="Q1028" s="116"/>
      <c r="R1028" s="116" t="s">
        <v>39</v>
      </c>
      <c r="S1028" s="116" t="s">
        <v>39</v>
      </c>
      <c r="T1028" s="104" t="s">
        <v>4980</v>
      </c>
      <c r="U1028" s="116"/>
      <c r="V1028" s="104" t="s">
        <v>4980</v>
      </c>
      <c r="W1028" s="116"/>
    </row>
    <row r="1029">
      <c r="A1029" s="114" t="s">
        <v>39</v>
      </c>
      <c r="B1029" s="115"/>
      <c r="C1029" s="116"/>
      <c r="D1029" s="116"/>
      <c r="E1029" s="116" t="str">
        <f>IFERROR(__xludf.DUMMYFUNCTION("""COMPUTED_VALUE"""),"")</f>
        <v/>
      </c>
      <c r="F1029" s="117" t="s">
        <v>39</v>
      </c>
      <c r="G1029" s="116"/>
      <c r="H1029" s="117"/>
      <c r="I1029" s="117"/>
      <c r="J1029" s="117"/>
      <c r="K1029" s="117"/>
      <c r="L1029" s="116"/>
      <c r="M1029" s="117"/>
      <c r="N1029" s="118" t="str">
        <f>IFERROR(__xludf.DUMMYFUNCTION("""COMPUTED_VALUE"""),"")</f>
        <v/>
      </c>
      <c r="O1029" s="116"/>
      <c r="P1029" s="116"/>
      <c r="Q1029" s="116"/>
      <c r="R1029" s="116" t="s">
        <v>39</v>
      </c>
      <c r="S1029" s="116" t="s">
        <v>39</v>
      </c>
      <c r="T1029" s="104" t="s">
        <v>4981</v>
      </c>
      <c r="U1029" s="116"/>
      <c r="V1029" s="104" t="s">
        <v>4981</v>
      </c>
      <c r="W1029" s="116"/>
    </row>
    <row r="1030">
      <c r="A1030" s="114" t="s">
        <v>39</v>
      </c>
      <c r="B1030" s="115"/>
      <c r="C1030" s="116"/>
      <c r="D1030" s="116"/>
      <c r="E1030" s="116" t="str">
        <f>IFERROR(__xludf.DUMMYFUNCTION("""COMPUTED_VALUE"""),"")</f>
        <v/>
      </c>
      <c r="F1030" s="117" t="s">
        <v>39</v>
      </c>
      <c r="G1030" s="116"/>
      <c r="H1030" s="117"/>
      <c r="I1030" s="117"/>
      <c r="J1030" s="117"/>
      <c r="K1030" s="117"/>
      <c r="L1030" s="116"/>
      <c r="M1030" s="117"/>
      <c r="N1030" s="118" t="str">
        <f>IFERROR(__xludf.DUMMYFUNCTION("""COMPUTED_VALUE"""),"")</f>
        <v/>
      </c>
      <c r="O1030" s="116"/>
      <c r="P1030" s="116"/>
      <c r="Q1030" s="116"/>
      <c r="R1030" s="116" t="s">
        <v>39</v>
      </c>
      <c r="S1030" s="116" t="s">
        <v>39</v>
      </c>
      <c r="T1030" s="104" t="s">
        <v>4982</v>
      </c>
      <c r="U1030" s="116"/>
      <c r="V1030" s="104" t="s">
        <v>4982</v>
      </c>
      <c r="W1030" s="116"/>
    </row>
    <row r="1031">
      <c r="A1031" s="114" t="s">
        <v>39</v>
      </c>
      <c r="B1031" s="115"/>
      <c r="C1031" s="116"/>
      <c r="D1031" s="116"/>
      <c r="E1031" s="116" t="str">
        <f>IFERROR(__xludf.DUMMYFUNCTION("""COMPUTED_VALUE"""),"")</f>
        <v/>
      </c>
      <c r="F1031" s="117" t="s">
        <v>39</v>
      </c>
      <c r="G1031" s="116"/>
      <c r="H1031" s="117"/>
      <c r="I1031" s="117"/>
      <c r="J1031" s="117"/>
      <c r="K1031" s="117"/>
      <c r="L1031" s="116"/>
      <c r="M1031" s="117"/>
      <c r="N1031" s="118" t="str">
        <f>IFERROR(__xludf.DUMMYFUNCTION("""COMPUTED_VALUE"""),"")</f>
        <v/>
      </c>
      <c r="O1031" s="116"/>
      <c r="P1031" s="116"/>
      <c r="Q1031" s="116"/>
      <c r="R1031" s="116" t="s">
        <v>39</v>
      </c>
      <c r="S1031" s="116" t="s">
        <v>39</v>
      </c>
      <c r="T1031" s="104" t="s">
        <v>4983</v>
      </c>
      <c r="U1031" s="116"/>
      <c r="V1031" s="104" t="s">
        <v>4983</v>
      </c>
      <c r="W1031" s="116"/>
    </row>
    <row r="1032">
      <c r="A1032" s="114" t="s">
        <v>39</v>
      </c>
      <c r="B1032" s="115"/>
      <c r="C1032" s="116"/>
      <c r="D1032" s="116"/>
      <c r="E1032" s="116" t="str">
        <f>IFERROR(__xludf.DUMMYFUNCTION("""COMPUTED_VALUE"""),"")</f>
        <v/>
      </c>
      <c r="F1032" s="117" t="s">
        <v>39</v>
      </c>
      <c r="G1032" s="116"/>
      <c r="H1032" s="117"/>
      <c r="I1032" s="117"/>
      <c r="J1032" s="117"/>
      <c r="K1032" s="117"/>
      <c r="L1032" s="116"/>
      <c r="M1032" s="117"/>
      <c r="N1032" s="118" t="str">
        <f>IFERROR(__xludf.DUMMYFUNCTION("""COMPUTED_VALUE"""),"")</f>
        <v/>
      </c>
      <c r="O1032" s="116"/>
      <c r="P1032" s="116"/>
      <c r="Q1032" s="116"/>
      <c r="R1032" s="116" t="s">
        <v>39</v>
      </c>
      <c r="S1032" s="116" t="s">
        <v>39</v>
      </c>
      <c r="T1032" s="104" t="s">
        <v>4984</v>
      </c>
      <c r="U1032" s="116"/>
      <c r="V1032" s="104" t="s">
        <v>4984</v>
      </c>
      <c r="W1032" s="116"/>
    </row>
    <row r="1033">
      <c r="A1033" s="114" t="s">
        <v>39</v>
      </c>
      <c r="B1033" s="115"/>
      <c r="C1033" s="116"/>
      <c r="D1033" s="116"/>
      <c r="E1033" s="116" t="str">
        <f>IFERROR(__xludf.DUMMYFUNCTION("""COMPUTED_VALUE"""),"")</f>
        <v/>
      </c>
      <c r="F1033" s="117" t="s">
        <v>39</v>
      </c>
      <c r="G1033" s="116"/>
      <c r="H1033" s="117"/>
      <c r="I1033" s="117"/>
      <c r="J1033" s="117"/>
      <c r="K1033" s="117"/>
      <c r="L1033" s="116"/>
      <c r="M1033" s="117"/>
      <c r="N1033" s="118" t="str">
        <f>IFERROR(__xludf.DUMMYFUNCTION("""COMPUTED_VALUE"""),"")</f>
        <v/>
      </c>
      <c r="O1033" s="116"/>
      <c r="P1033" s="116"/>
      <c r="Q1033" s="116"/>
      <c r="R1033" s="116" t="s">
        <v>39</v>
      </c>
      <c r="S1033" s="116" t="s">
        <v>39</v>
      </c>
      <c r="T1033" s="104" t="s">
        <v>4985</v>
      </c>
      <c r="U1033" s="116"/>
      <c r="V1033" s="104" t="s">
        <v>4985</v>
      </c>
      <c r="W1033" s="116"/>
    </row>
    <row r="1034">
      <c r="A1034" s="114" t="s">
        <v>39</v>
      </c>
      <c r="B1034" s="115"/>
      <c r="C1034" s="116"/>
      <c r="D1034" s="116"/>
      <c r="E1034" s="116" t="str">
        <f>IFERROR(__xludf.DUMMYFUNCTION("""COMPUTED_VALUE"""),"")</f>
        <v/>
      </c>
      <c r="F1034" s="117" t="s">
        <v>39</v>
      </c>
      <c r="G1034" s="116"/>
      <c r="H1034" s="117"/>
      <c r="I1034" s="117"/>
      <c r="J1034" s="117"/>
      <c r="K1034" s="117"/>
      <c r="L1034" s="116"/>
      <c r="M1034" s="117"/>
      <c r="N1034" s="118" t="str">
        <f>IFERROR(__xludf.DUMMYFUNCTION("""COMPUTED_VALUE"""),"")</f>
        <v/>
      </c>
      <c r="O1034" s="116"/>
      <c r="P1034" s="116"/>
      <c r="Q1034" s="116"/>
      <c r="R1034" s="116" t="s">
        <v>39</v>
      </c>
      <c r="S1034" s="116" t="s">
        <v>39</v>
      </c>
      <c r="T1034" s="104" t="s">
        <v>4986</v>
      </c>
      <c r="U1034" s="116"/>
      <c r="V1034" s="104" t="s">
        <v>4986</v>
      </c>
      <c r="W1034" s="116"/>
    </row>
    <row r="1035">
      <c r="A1035" s="114" t="s">
        <v>39</v>
      </c>
      <c r="B1035" s="115"/>
      <c r="C1035" s="116"/>
      <c r="D1035" s="116"/>
      <c r="E1035" s="116" t="str">
        <f>IFERROR(__xludf.DUMMYFUNCTION("""COMPUTED_VALUE"""),"")</f>
        <v/>
      </c>
      <c r="F1035" s="117" t="s">
        <v>39</v>
      </c>
      <c r="G1035" s="116"/>
      <c r="H1035" s="117"/>
      <c r="I1035" s="117"/>
      <c r="J1035" s="117"/>
      <c r="K1035" s="117"/>
      <c r="L1035" s="116"/>
      <c r="M1035" s="117"/>
      <c r="N1035" s="118" t="str">
        <f>IFERROR(__xludf.DUMMYFUNCTION("""COMPUTED_VALUE"""),"")</f>
        <v/>
      </c>
      <c r="O1035" s="116"/>
      <c r="P1035" s="116"/>
      <c r="Q1035" s="116"/>
      <c r="R1035" s="116" t="s">
        <v>39</v>
      </c>
      <c r="S1035" s="116" t="s">
        <v>39</v>
      </c>
      <c r="T1035" s="104" t="s">
        <v>4987</v>
      </c>
      <c r="U1035" s="116"/>
      <c r="V1035" s="104" t="s">
        <v>4987</v>
      </c>
      <c r="W1035" s="116"/>
    </row>
    <row r="1036">
      <c r="A1036" s="114" t="s">
        <v>39</v>
      </c>
      <c r="B1036" s="115"/>
      <c r="C1036" s="116"/>
      <c r="D1036" s="116"/>
      <c r="E1036" s="116" t="str">
        <f>IFERROR(__xludf.DUMMYFUNCTION("""COMPUTED_VALUE"""),"")</f>
        <v/>
      </c>
      <c r="F1036" s="117" t="s">
        <v>39</v>
      </c>
      <c r="G1036" s="116"/>
      <c r="H1036" s="117"/>
      <c r="I1036" s="117"/>
      <c r="J1036" s="117"/>
      <c r="K1036" s="117"/>
      <c r="L1036" s="116"/>
      <c r="M1036" s="117"/>
      <c r="N1036" s="118" t="str">
        <f>IFERROR(__xludf.DUMMYFUNCTION("""COMPUTED_VALUE"""),"")</f>
        <v/>
      </c>
      <c r="O1036" s="116"/>
      <c r="P1036" s="116"/>
      <c r="Q1036" s="116"/>
      <c r="R1036" s="116" t="s">
        <v>39</v>
      </c>
      <c r="S1036" s="116" t="s">
        <v>39</v>
      </c>
      <c r="T1036" s="104" t="s">
        <v>4988</v>
      </c>
      <c r="U1036" s="116"/>
      <c r="V1036" s="104" t="s">
        <v>4988</v>
      </c>
      <c r="W1036" s="116"/>
    </row>
    <row r="1037">
      <c r="A1037" s="114" t="s">
        <v>39</v>
      </c>
      <c r="B1037" s="115"/>
      <c r="C1037" s="116"/>
      <c r="D1037" s="116"/>
      <c r="E1037" s="116" t="str">
        <f>IFERROR(__xludf.DUMMYFUNCTION("""COMPUTED_VALUE"""),"")</f>
        <v/>
      </c>
      <c r="F1037" s="117" t="s">
        <v>39</v>
      </c>
      <c r="G1037" s="116"/>
      <c r="H1037" s="117"/>
      <c r="I1037" s="117"/>
      <c r="J1037" s="117"/>
      <c r="K1037" s="117"/>
      <c r="L1037" s="116"/>
      <c r="M1037" s="117"/>
      <c r="N1037" s="118" t="str">
        <f>IFERROR(__xludf.DUMMYFUNCTION("""COMPUTED_VALUE"""),"")</f>
        <v/>
      </c>
      <c r="O1037" s="116"/>
      <c r="P1037" s="116"/>
      <c r="Q1037" s="116"/>
      <c r="R1037" s="116" t="s">
        <v>39</v>
      </c>
      <c r="S1037" s="116" t="s">
        <v>39</v>
      </c>
      <c r="T1037" s="104" t="s">
        <v>4989</v>
      </c>
      <c r="U1037" s="116"/>
      <c r="V1037" s="104" t="s">
        <v>4989</v>
      </c>
      <c r="W1037" s="116"/>
    </row>
    <row r="1038">
      <c r="A1038" s="114" t="s">
        <v>39</v>
      </c>
      <c r="B1038" s="115"/>
      <c r="C1038" s="116"/>
      <c r="D1038" s="116"/>
      <c r="E1038" s="116" t="str">
        <f>IFERROR(__xludf.DUMMYFUNCTION("""COMPUTED_VALUE"""),"")</f>
        <v/>
      </c>
      <c r="F1038" s="117" t="s">
        <v>39</v>
      </c>
      <c r="G1038" s="116"/>
      <c r="H1038" s="117"/>
      <c r="I1038" s="117"/>
      <c r="J1038" s="117"/>
      <c r="K1038" s="117"/>
      <c r="L1038" s="116"/>
      <c r="M1038" s="117"/>
      <c r="N1038" s="118" t="str">
        <f>IFERROR(__xludf.DUMMYFUNCTION("""COMPUTED_VALUE"""),"")</f>
        <v/>
      </c>
      <c r="O1038" s="116"/>
      <c r="P1038" s="116"/>
      <c r="Q1038" s="116"/>
      <c r="R1038" s="116" t="s">
        <v>39</v>
      </c>
      <c r="S1038" s="116" t="s">
        <v>39</v>
      </c>
      <c r="T1038" s="104" t="s">
        <v>4990</v>
      </c>
      <c r="U1038" s="116"/>
      <c r="V1038" s="104" t="s">
        <v>4990</v>
      </c>
      <c r="W1038" s="116"/>
    </row>
    <row r="1039">
      <c r="A1039" s="114" t="s">
        <v>39</v>
      </c>
      <c r="B1039" s="115"/>
      <c r="C1039" s="116"/>
      <c r="D1039" s="116"/>
      <c r="E1039" s="116" t="str">
        <f>IFERROR(__xludf.DUMMYFUNCTION("""COMPUTED_VALUE"""),"")</f>
        <v/>
      </c>
      <c r="F1039" s="117" t="s">
        <v>39</v>
      </c>
      <c r="G1039" s="116"/>
      <c r="H1039" s="117"/>
      <c r="I1039" s="117"/>
      <c r="J1039" s="117"/>
      <c r="K1039" s="117"/>
      <c r="L1039" s="116"/>
      <c r="M1039" s="117"/>
      <c r="N1039" s="118" t="str">
        <f>IFERROR(__xludf.DUMMYFUNCTION("""COMPUTED_VALUE"""),"")</f>
        <v/>
      </c>
      <c r="O1039" s="116"/>
      <c r="P1039" s="116"/>
      <c r="Q1039" s="116"/>
      <c r="R1039" s="116" t="s">
        <v>39</v>
      </c>
      <c r="S1039" s="116" t="s">
        <v>39</v>
      </c>
      <c r="T1039" s="104" t="s">
        <v>4991</v>
      </c>
      <c r="U1039" s="116"/>
      <c r="V1039" s="104" t="s">
        <v>4991</v>
      </c>
      <c r="W1039" s="116"/>
    </row>
    <row r="1040">
      <c r="A1040" s="114" t="s">
        <v>39</v>
      </c>
      <c r="B1040" s="115"/>
      <c r="C1040" s="116"/>
      <c r="D1040" s="116"/>
      <c r="E1040" s="116" t="str">
        <f>IFERROR(__xludf.DUMMYFUNCTION("""COMPUTED_VALUE"""),"")</f>
        <v/>
      </c>
      <c r="F1040" s="117" t="s">
        <v>39</v>
      </c>
      <c r="G1040" s="116"/>
      <c r="H1040" s="117"/>
      <c r="I1040" s="117"/>
      <c r="J1040" s="117"/>
      <c r="K1040" s="117"/>
      <c r="L1040" s="116"/>
      <c r="M1040" s="117"/>
      <c r="N1040" s="118" t="str">
        <f>IFERROR(__xludf.DUMMYFUNCTION("""COMPUTED_VALUE"""),"")</f>
        <v/>
      </c>
      <c r="O1040" s="116"/>
      <c r="P1040" s="116"/>
      <c r="Q1040" s="116"/>
      <c r="R1040" s="116" t="s">
        <v>39</v>
      </c>
      <c r="S1040" s="116" t="s">
        <v>39</v>
      </c>
      <c r="T1040" s="104" t="s">
        <v>4992</v>
      </c>
      <c r="U1040" s="116"/>
      <c r="V1040" s="104" t="s">
        <v>4992</v>
      </c>
      <c r="W1040" s="116"/>
    </row>
    <row r="1041">
      <c r="A1041" s="114" t="s">
        <v>39</v>
      </c>
      <c r="B1041" s="115"/>
      <c r="C1041" s="116"/>
      <c r="D1041" s="116"/>
      <c r="E1041" s="116" t="str">
        <f>IFERROR(__xludf.DUMMYFUNCTION("""COMPUTED_VALUE"""),"")</f>
        <v/>
      </c>
      <c r="F1041" s="117" t="s">
        <v>39</v>
      </c>
      <c r="G1041" s="116"/>
      <c r="H1041" s="117"/>
      <c r="I1041" s="117"/>
      <c r="J1041" s="117"/>
      <c r="K1041" s="117"/>
      <c r="L1041" s="116"/>
      <c r="M1041" s="117"/>
      <c r="N1041" s="118" t="str">
        <f>IFERROR(__xludf.DUMMYFUNCTION("""COMPUTED_VALUE"""),"")</f>
        <v/>
      </c>
      <c r="O1041" s="116"/>
      <c r="P1041" s="116"/>
      <c r="Q1041" s="116"/>
      <c r="R1041" s="116" t="s">
        <v>39</v>
      </c>
      <c r="S1041" s="116" t="s">
        <v>39</v>
      </c>
      <c r="T1041" s="104" t="s">
        <v>4993</v>
      </c>
      <c r="U1041" s="116"/>
      <c r="V1041" s="104" t="s">
        <v>4993</v>
      </c>
      <c r="W1041" s="116"/>
    </row>
    <row r="1042">
      <c r="A1042" s="114" t="s">
        <v>39</v>
      </c>
      <c r="B1042" s="115"/>
      <c r="C1042" s="116"/>
      <c r="D1042" s="116"/>
      <c r="E1042" s="116" t="str">
        <f>IFERROR(__xludf.DUMMYFUNCTION("""COMPUTED_VALUE"""),"")</f>
        <v/>
      </c>
      <c r="F1042" s="117" t="s">
        <v>39</v>
      </c>
      <c r="G1042" s="116"/>
      <c r="H1042" s="117"/>
      <c r="I1042" s="117"/>
      <c r="J1042" s="117"/>
      <c r="K1042" s="117"/>
      <c r="L1042" s="116"/>
      <c r="M1042" s="117"/>
      <c r="N1042" s="118" t="str">
        <f>IFERROR(__xludf.DUMMYFUNCTION("""COMPUTED_VALUE"""),"")</f>
        <v/>
      </c>
      <c r="O1042" s="116"/>
      <c r="P1042" s="116"/>
      <c r="Q1042" s="116"/>
      <c r="R1042" s="116" t="s">
        <v>39</v>
      </c>
      <c r="S1042" s="116" t="s">
        <v>39</v>
      </c>
      <c r="T1042" s="104" t="s">
        <v>4994</v>
      </c>
      <c r="U1042" s="116"/>
      <c r="V1042" s="104" t="s">
        <v>4994</v>
      </c>
      <c r="W1042" s="116"/>
    </row>
    <row r="1043">
      <c r="A1043" s="114" t="s">
        <v>39</v>
      </c>
      <c r="B1043" s="115"/>
      <c r="C1043" s="116"/>
      <c r="D1043" s="116"/>
      <c r="E1043" s="116" t="str">
        <f>IFERROR(__xludf.DUMMYFUNCTION("""COMPUTED_VALUE"""),"")</f>
        <v/>
      </c>
      <c r="F1043" s="117" t="s">
        <v>39</v>
      </c>
      <c r="G1043" s="116"/>
      <c r="H1043" s="117"/>
      <c r="I1043" s="117"/>
      <c r="J1043" s="117"/>
      <c r="K1043" s="117"/>
      <c r="L1043" s="116"/>
      <c r="M1043" s="117"/>
      <c r="N1043" s="118" t="str">
        <f>IFERROR(__xludf.DUMMYFUNCTION("""COMPUTED_VALUE"""),"")</f>
        <v/>
      </c>
      <c r="O1043" s="116"/>
      <c r="P1043" s="116"/>
      <c r="Q1043" s="116"/>
      <c r="R1043" s="116" t="s">
        <v>39</v>
      </c>
      <c r="S1043" s="116" t="s">
        <v>39</v>
      </c>
      <c r="T1043" s="104" t="s">
        <v>4995</v>
      </c>
      <c r="U1043" s="116"/>
      <c r="V1043" s="104" t="s">
        <v>4995</v>
      </c>
      <c r="W1043" s="116"/>
    </row>
    <row r="1044">
      <c r="A1044" s="114" t="s">
        <v>39</v>
      </c>
      <c r="B1044" s="115"/>
      <c r="C1044" s="116"/>
      <c r="D1044" s="116"/>
      <c r="E1044" s="116" t="str">
        <f>IFERROR(__xludf.DUMMYFUNCTION("""COMPUTED_VALUE"""),"")</f>
        <v/>
      </c>
      <c r="F1044" s="117" t="s">
        <v>39</v>
      </c>
      <c r="G1044" s="116"/>
      <c r="H1044" s="117"/>
      <c r="I1044" s="117"/>
      <c r="J1044" s="117"/>
      <c r="K1044" s="117"/>
      <c r="L1044" s="116"/>
      <c r="M1044" s="117"/>
      <c r="N1044" s="118" t="str">
        <f>IFERROR(__xludf.DUMMYFUNCTION("""COMPUTED_VALUE"""),"")</f>
        <v/>
      </c>
      <c r="O1044" s="116"/>
      <c r="P1044" s="116"/>
      <c r="Q1044" s="116"/>
      <c r="R1044" s="116" t="s">
        <v>39</v>
      </c>
      <c r="S1044" s="116" t="s">
        <v>39</v>
      </c>
      <c r="T1044" s="104" t="s">
        <v>4996</v>
      </c>
      <c r="U1044" s="116"/>
      <c r="V1044" s="104" t="s">
        <v>4996</v>
      </c>
      <c r="W1044" s="116"/>
    </row>
    <row r="1045">
      <c r="A1045" s="114" t="s">
        <v>39</v>
      </c>
      <c r="B1045" s="115"/>
      <c r="C1045" s="116"/>
      <c r="D1045" s="116"/>
      <c r="E1045" s="116" t="str">
        <f>IFERROR(__xludf.DUMMYFUNCTION("""COMPUTED_VALUE"""),"")</f>
        <v/>
      </c>
      <c r="F1045" s="117" t="s">
        <v>39</v>
      </c>
      <c r="G1045" s="116"/>
      <c r="H1045" s="117"/>
      <c r="I1045" s="117"/>
      <c r="J1045" s="117"/>
      <c r="K1045" s="117"/>
      <c r="L1045" s="116"/>
      <c r="M1045" s="117"/>
      <c r="N1045" s="118" t="str">
        <f>IFERROR(__xludf.DUMMYFUNCTION("""COMPUTED_VALUE"""),"")</f>
        <v/>
      </c>
      <c r="O1045" s="116"/>
      <c r="P1045" s="116"/>
      <c r="Q1045" s="116"/>
      <c r="R1045" s="116" t="s">
        <v>39</v>
      </c>
      <c r="S1045" s="116" t="s">
        <v>39</v>
      </c>
      <c r="T1045" s="104" t="s">
        <v>4997</v>
      </c>
      <c r="U1045" s="116"/>
      <c r="V1045" s="104" t="s">
        <v>4997</v>
      </c>
      <c r="W1045" s="116"/>
    </row>
    <row r="1046">
      <c r="A1046" s="114" t="s">
        <v>39</v>
      </c>
      <c r="B1046" s="115"/>
      <c r="C1046" s="116"/>
      <c r="D1046" s="116"/>
      <c r="E1046" s="116" t="str">
        <f>IFERROR(__xludf.DUMMYFUNCTION("""COMPUTED_VALUE"""),"")</f>
        <v/>
      </c>
      <c r="F1046" s="117" t="s">
        <v>39</v>
      </c>
      <c r="G1046" s="116"/>
      <c r="H1046" s="117"/>
      <c r="I1046" s="117"/>
      <c r="J1046" s="117"/>
      <c r="K1046" s="117"/>
      <c r="L1046" s="116"/>
      <c r="M1046" s="117"/>
      <c r="N1046" s="118" t="str">
        <f>IFERROR(__xludf.DUMMYFUNCTION("""COMPUTED_VALUE"""),"")</f>
        <v/>
      </c>
      <c r="O1046" s="116"/>
      <c r="P1046" s="116"/>
      <c r="Q1046" s="116"/>
      <c r="R1046" s="116" t="s">
        <v>39</v>
      </c>
      <c r="S1046" s="116" t="s">
        <v>39</v>
      </c>
      <c r="T1046" s="104" t="s">
        <v>4998</v>
      </c>
      <c r="U1046" s="116"/>
      <c r="V1046" s="104" t="s">
        <v>4998</v>
      </c>
      <c r="W1046" s="116"/>
    </row>
    <row r="1047">
      <c r="A1047" s="114" t="s">
        <v>39</v>
      </c>
      <c r="B1047" s="115"/>
      <c r="C1047" s="116"/>
      <c r="D1047" s="116"/>
      <c r="E1047" s="116" t="str">
        <f>IFERROR(__xludf.DUMMYFUNCTION("""COMPUTED_VALUE"""),"")</f>
        <v/>
      </c>
      <c r="F1047" s="117" t="s">
        <v>39</v>
      </c>
      <c r="G1047" s="116"/>
      <c r="H1047" s="117"/>
      <c r="I1047" s="117"/>
      <c r="J1047" s="117"/>
      <c r="K1047" s="117"/>
      <c r="L1047" s="116"/>
      <c r="M1047" s="117"/>
      <c r="N1047" s="118" t="str">
        <f>IFERROR(__xludf.DUMMYFUNCTION("""COMPUTED_VALUE"""),"")</f>
        <v/>
      </c>
      <c r="O1047" s="116"/>
      <c r="P1047" s="116"/>
      <c r="Q1047" s="116"/>
      <c r="R1047" s="116" t="s">
        <v>39</v>
      </c>
      <c r="S1047" s="116" t="s">
        <v>39</v>
      </c>
      <c r="T1047" s="104" t="s">
        <v>4999</v>
      </c>
      <c r="U1047" s="116"/>
      <c r="V1047" s="104" t="s">
        <v>4999</v>
      </c>
      <c r="W1047" s="116"/>
    </row>
    <row r="1048">
      <c r="A1048" s="114" t="s">
        <v>39</v>
      </c>
      <c r="B1048" s="115"/>
      <c r="C1048" s="116"/>
      <c r="D1048" s="116"/>
      <c r="E1048" s="116" t="str">
        <f>IFERROR(__xludf.DUMMYFUNCTION("""COMPUTED_VALUE"""),"")</f>
        <v/>
      </c>
      <c r="F1048" s="117" t="s">
        <v>39</v>
      </c>
      <c r="G1048" s="116"/>
      <c r="H1048" s="117"/>
      <c r="I1048" s="117"/>
      <c r="J1048" s="117"/>
      <c r="K1048" s="117"/>
      <c r="L1048" s="116"/>
      <c r="M1048" s="117"/>
      <c r="N1048" s="118" t="str">
        <f>IFERROR(__xludf.DUMMYFUNCTION("""COMPUTED_VALUE"""),"")</f>
        <v/>
      </c>
      <c r="O1048" s="116"/>
      <c r="P1048" s="116"/>
      <c r="Q1048" s="116"/>
      <c r="R1048" s="116" t="s">
        <v>39</v>
      </c>
      <c r="S1048" s="116" t="s">
        <v>39</v>
      </c>
      <c r="T1048" s="104" t="s">
        <v>5000</v>
      </c>
      <c r="U1048" s="116"/>
      <c r="V1048" s="104" t="s">
        <v>5000</v>
      </c>
      <c r="W1048" s="116"/>
    </row>
    <row r="1049">
      <c r="A1049" s="114" t="s">
        <v>39</v>
      </c>
      <c r="B1049" s="115"/>
      <c r="C1049" s="116"/>
      <c r="D1049" s="116"/>
      <c r="E1049" s="116" t="str">
        <f>IFERROR(__xludf.DUMMYFUNCTION("""COMPUTED_VALUE"""),"")</f>
        <v/>
      </c>
      <c r="F1049" s="117" t="s">
        <v>39</v>
      </c>
      <c r="G1049" s="116"/>
      <c r="H1049" s="117"/>
      <c r="I1049" s="117"/>
      <c r="J1049" s="117"/>
      <c r="K1049" s="117"/>
      <c r="L1049" s="116"/>
      <c r="M1049" s="117"/>
      <c r="N1049" s="118" t="str">
        <f>IFERROR(__xludf.DUMMYFUNCTION("""COMPUTED_VALUE"""),"")</f>
        <v/>
      </c>
      <c r="O1049" s="116"/>
      <c r="P1049" s="116"/>
      <c r="Q1049" s="116"/>
      <c r="R1049" s="116" t="s">
        <v>39</v>
      </c>
      <c r="S1049" s="116" t="s">
        <v>39</v>
      </c>
      <c r="T1049" s="104" t="s">
        <v>5001</v>
      </c>
      <c r="U1049" s="116"/>
      <c r="V1049" s="104" t="s">
        <v>5001</v>
      </c>
      <c r="W1049" s="116"/>
    </row>
    <row r="1050">
      <c r="A1050" s="114" t="s">
        <v>39</v>
      </c>
      <c r="B1050" s="115"/>
      <c r="C1050" s="116"/>
      <c r="D1050" s="116"/>
      <c r="E1050" s="116" t="str">
        <f>IFERROR(__xludf.DUMMYFUNCTION("""COMPUTED_VALUE"""),"")</f>
        <v/>
      </c>
      <c r="F1050" s="117" t="s">
        <v>39</v>
      </c>
      <c r="G1050" s="116"/>
      <c r="H1050" s="117"/>
      <c r="I1050" s="117"/>
      <c r="J1050" s="117"/>
      <c r="K1050" s="117"/>
      <c r="L1050" s="116"/>
      <c r="M1050" s="117"/>
      <c r="N1050" s="118" t="str">
        <f>IFERROR(__xludf.DUMMYFUNCTION("""COMPUTED_VALUE"""),"")</f>
        <v/>
      </c>
      <c r="O1050" s="116"/>
      <c r="P1050" s="116"/>
      <c r="Q1050" s="116"/>
      <c r="R1050" s="116" t="s">
        <v>39</v>
      </c>
      <c r="S1050" s="116" t="s">
        <v>39</v>
      </c>
      <c r="T1050" s="104" t="s">
        <v>5002</v>
      </c>
      <c r="U1050" s="116"/>
      <c r="V1050" s="104" t="s">
        <v>5002</v>
      </c>
      <c r="W1050" s="116"/>
    </row>
    <row r="1051">
      <c r="A1051" s="114" t="s">
        <v>39</v>
      </c>
      <c r="B1051" s="115"/>
      <c r="C1051" s="116"/>
      <c r="D1051" s="116"/>
      <c r="E1051" s="116" t="str">
        <f>IFERROR(__xludf.DUMMYFUNCTION("""COMPUTED_VALUE"""),"")</f>
        <v/>
      </c>
      <c r="F1051" s="117" t="s">
        <v>39</v>
      </c>
      <c r="G1051" s="116"/>
      <c r="H1051" s="117"/>
      <c r="I1051" s="117"/>
      <c r="J1051" s="117"/>
      <c r="K1051" s="117"/>
      <c r="L1051" s="116"/>
      <c r="M1051" s="117"/>
      <c r="N1051" s="118" t="str">
        <f>IFERROR(__xludf.DUMMYFUNCTION("""COMPUTED_VALUE"""),"")</f>
        <v/>
      </c>
      <c r="O1051" s="116"/>
      <c r="P1051" s="116"/>
      <c r="Q1051" s="116"/>
      <c r="R1051" s="116" t="s">
        <v>39</v>
      </c>
      <c r="S1051" s="116" t="s">
        <v>39</v>
      </c>
      <c r="T1051" s="104" t="s">
        <v>5003</v>
      </c>
      <c r="U1051" s="116"/>
      <c r="V1051" s="104" t="s">
        <v>5003</v>
      </c>
      <c r="W1051" s="116"/>
    </row>
    <row r="1052">
      <c r="A1052" s="114" t="s">
        <v>39</v>
      </c>
      <c r="B1052" s="115"/>
      <c r="C1052" s="116"/>
      <c r="D1052" s="116"/>
      <c r="E1052" s="116" t="str">
        <f>IFERROR(__xludf.DUMMYFUNCTION("""COMPUTED_VALUE"""),"")</f>
        <v/>
      </c>
      <c r="F1052" s="117" t="s">
        <v>39</v>
      </c>
      <c r="G1052" s="116"/>
      <c r="H1052" s="117"/>
      <c r="I1052" s="117"/>
      <c r="J1052" s="117"/>
      <c r="K1052" s="117"/>
      <c r="L1052" s="116"/>
      <c r="M1052" s="117"/>
      <c r="N1052" s="118" t="str">
        <f>IFERROR(__xludf.DUMMYFUNCTION("""COMPUTED_VALUE"""),"")</f>
        <v/>
      </c>
      <c r="O1052" s="116"/>
      <c r="P1052" s="116"/>
      <c r="Q1052" s="116"/>
      <c r="R1052" s="116" t="s">
        <v>39</v>
      </c>
      <c r="S1052" s="116" t="s">
        <v>39</v>
      </c>
      <c r="T1052" s="104" t="s">
        <v>5004</v>
      </c>
      <c r="U1052" s="116"/>
      <c r="V1052" s="104" t="s">
        <v>5004</v>
      </c>
      <c r="W1052" s="116"/>
    </row>
    <row r="1053">
      <c r="A1053" s="114" t="s">
        <v>39</v>
      </c>
      <c r="B1053" s="115"/>
      <c r="C1053" s="116"/>
      <c r="D1053" s="116"/>
      <c r="E1053" s="116" t="str">
        <f>IFERROR(__xludf.DUMMYFUNCTION("""COMPUTED_VALUE"""),"")</f>
        <v/>
      </c>
      <c r="F1053" s="117" t="s">
        <v>39</v>
      </c>
      <c r="G1053" s="116"/>
      <c r="H1053" s="117"/>
      <c r="I1053" s="117"/>
      <c r="J1053" s="117"/>
      <c r="K1053" s="117"/>
      <c r="L1053" s="116"/>
      <c r="M1053" s="117"/>
      <c r="N1053" s="118" t="str">
        <f>IFERROR(__xludf.DUMMYFUNCTION("""COMPUTED_VALUE"""),"")</f>
        <v/>
      </c>
      <c r="O1053" s="116"/>
      <c r="P1053" s="116"/>
      <c r="Q1053" s="116"/>
      <c r="R1053" s="116" t="s">
        <v>39</v>
      </c>
      <c r="S1053" s="116" t="s">
        <v>39</v>
      </c>
      <c r="T1053" s="104" t="s">
        <v>5005</v>
      </c>
      <c r="U1053" s="116"/>
      <c r="V1053" s="104" t="s">
        <v>5005</v>
      </c>
      <c r="W1053" s="116"/>
    </row>
    <row r="1054">
      <c r="A1054" s="114" t="s">
        <v>39</v>
      </c>
      <c r="B1054" s="115"/>
      <c r="C1054" s="116"/>
      <c r="D1054" s="116"/>
      <c r="E1054" s="116" t="str">
        <f>IFERROR(__xludf.DUMMYFUNCTION("""COMPUTED_VALUE"""),"")</f>
        <v/>
      </c>
      <c r="F1054" s="117" t="s">
        <v>39</v>
      </c>
      <c r="G1054" s="116"/>
      <c r="H1054" s="117"/>
      <c r="I1054" s="117"/>
      <c r="J1054" s="117"/>
      <c r="K1054" s="117"/>
      <c r="L1054" s="116"/>
      <c r="M1054" s="117"/>
      <c r="N1054" s="118" t="str">
        <f>IFERROR(__xludf.DUMMYFUNCTION("""COMPUTED_VALUE"""),"")</f>
        <v/>
      </c>
      <c r="O1054" s="116"/>
      <c r="P1054" s="116"/>
      <c r="Q1054" s="116"/>
      <c r="R1054" s="116" t="s">
        <v>39</v>
      </c>
      <c r="S1054" s="116" t="s">
        <v>39</v>
      </c>
      <c r="T1054" s="104" t="s">
        <v>5006</v>
      </c>
      <c r="U1054" s="116"/>
      <c r="V1054" s="104" t="s">
        <v>5006</v>
      </c>
      <c r="W1054" s="116"/>
    </row>
    <row r="1055">
      <c r="A1055" s="114" t="s">
        <v>39</v>
      </c>
      <c r="B1055" s="115"/>
      <c r="C1055" s="116"/>
      <c r="D1055" s="116"/>
      <c r="E1055" s="116" t="str">
        <f>IFERROR(__xludf.DUMMYFUNCTION("""COMPUTED_VALUE"""),"")</f>
        <v/>
      </c>
      <c r="F1055" s="117" t="s">
        <v>39</v>
      </c>
      <c r="G1055" s="116"/>
      <c r="H1055" s="117"/>
      <c r="I1055" s="117"/>
      <c r="J1055" s="117"/>
      <c r="K1055" s="117"/>
      <c r="L1055" s="116"/>
      <c r="M1055" s="117"/>
      <c r="N1055" s="118" t="str">
        <f>IFERROR(__xludf.DUMMYFUNCTION("""COMPUTED_VALUE"""),"")</f>
        <v/>
      </c>
      <c r="O1055" s="116"/>
      <c r="P1055" s="116"/>
      <c r="Q1055" s="116"/>
      <c r="R1055" s="116" t="s">
        <v>39</v>
      </c>
      <c r="S1055" s="116" t="s">
        <v>39</v>
      </c>
      <c r="T1055" s="104" t="s">
        <v>5007</v>
      </c>
      <c r="U1055" s="116"/>
      <c r="V1055" s="104" t="s">
        <v>5007</v>
      </c>
      <c r="W1055" s="116"/>
    </row>
    <row r="1056">
      <c r="A1056" s="114" t="s">
        <v>39</v>
      </c>
      <c r="B1056" s="115"/>
      <c r="C1056" s="116"/>
      <c r="D1056" s="116"/>
      <c r="E1056" s="116" t="str">
        <f>IFERROR(__xludf.DUMMYFUNCTION("""COMPUTED_VALUE"""),"")</f>
        <v/>
      </c>
      <c r="F1056" s="117" t="s">
        <v>39</v>
      </c>
      <c r="G1056" s="116"/>
      <c r="H1056" s="117"/>
      <c r="I1056" s="117"/>
      <c r="J1056" s="117"/>
      <c r="K1056" s="117"/>
      <c r="L1056" s="116"/>
      <c r="M1056" s="117"/>
      <c r="N1056" s="118" t="str">
        <f>IFERROR(__xludf.DUMMYFUNCTION("""COMPUTED_VALUE"""),"")</f>
        <v/>
      </c>
      <c r="O1056" s="116"/>
      <c r="P1056" s="116"/>
      <c r="Q1056" s="116"/>
      <c r="R1056" s="116" t="s">
        <v>39</v>
      </c>
      <c r="S1056" s="116" t="s">
        <v>39</v>
      </c>
      <c r="T1056" s="104" t="s">
        <v>5008</v>
      </c>
      <c r="U1056" s="116"/>
      <c r="V1056" s="104" t="s">
        <v>5008</v>
      </c>
      <c r="W1056" s="116"/>
    </row>
    <row r="1057">
      <c r="A1057" s="114" t="s">
        <v>39</v>
      </c>
      <c r="B1057" s="115"/>
      <c r="C1057" s="116"/>
      <c r="D1057" s="116"/>
      <c r="E1057" s="116" t="str">
        <f>IFERROR(__xludf.DUMMYFUNCTION("""COMPUTED_VALUE"""),"")</f>
        <v/>
      </c>
      <c r="F1057" s="117" t="s">
        <v>39</v>
      </c>
      <c r="G1057" s="116"/>
      <c r="H1057" s="117"/>
      <c r="I1057" s="117"/>
      <c r="J1057" s="117"/>
      <c r="K1057" s="117"/>
      <c r="L1057" s="116"/>
      <c r="M1057" s="117"/>
      <c r="N1057" s="118" t="str">
        <f>IFERROR(__xludf.DUMMYFUNCTION("""COMPUTED_VALUE"""),"")</f>
        <v/>
      </c>
      <c r="O1057" s="116"/>
      <c r="P1057" s="116"/>
      <c r="Q1057" s="116"/>
      <c r="R1057" s="116" t="s">
        <v>39</v>
      </c>
      <c r="S1057" s="116" t="s">
        <v>39</v>
      </c>
      <c r="T1057" s="104" t="s">
        <v>5009</v>
      </c>
      <c r="U1057" s="116"/>
      <c r="V1057" s="104" t="s">
        <v>5009</v>
      </c>
      <c r="W1057" s="116"/>
    </row>
    <row r="1058">
      <c r="A1058" s="114" t="s">
        <v>39</v>
      </c>
      <c r="B1058" s="115"/>
      <c r="C1058" s="116"/>
      <c r="D1058" s="116"/>
      <c r="E1058" s="116" t="str">
        <f>IFERROR(__xludf.DUMMYFUNCTION("""COMPUTED_VALUE"""),"")</f>
        <v/>
      </c>
      <c r="F1058" s="117" t="s">
        <v>39</v>
      </c>
      <c r="G1058" s="116"/>
      <c r="H1058" s="117"/>
      <c r="I1058" s="117"/>
      <c r="J1058" s="117"/>
      <c r="K1058" s="117"/>
      <c r="L1058" s="116"/>
      <c r="M1058" s="117"/>
      <c r="N1058" s="118" t="str">
        <f>IFERROR(__xludf.DUMMYFUNCTION("""COMPUTED_VALUE"""),"")</f>
        <v/>
      </c>
      <c r="O1058" s="116"/>
      <c r="P1058" s="116"/>
      <c r="Q1058" s="116"/>
      <c r="R1058" s="116" t="s">
        <v>39</v>
      </c>
      <c r="S1058" s="116" t="s">
        <v>39</v>
      </c>
      <c r="T1058" s="104" t="s">
        <v>5010</v>
      </c>
      <c r="U1058" s="116"/>
      <c r="V1058" s="104" t="s">
        <v>5010</v>
      </c>
      <c r="W1058" s="116"/>
    </row>
    <row r="1059">
      <c r="A1059" s="114" t="s">
        <v>39</v>
      </c>
      <c r="B1059" s="115"/>
      <c r="C1059" s="116"/>
      <c r="D1059" s="116"/>
      <c r="E1059" s="116" t="str">
        <f>IFERROR(__xludf.DUMMYFUNCTION("""COMPUTED_VALUE"""),"")</f>
        <v/>
      </c>
      <c r="F1059" s="117" t="s">
        <v>39</v>
      </c>
      <c r="G1059" s="116"/>
      <c r="H1059" s="117"/>
      <c r="I1059" s="117"/>
      <c r="J1059" s="117"/>
      <c r="K1059" s="117"/>
      <c r="L1059" s="116"/>
      <c r="M1059" s="117"/>
      <c r="N1059" s="118" t="str">
        <f>IFERROR(__xludf.DUMMYFUNCTION("""COMPUTED_VALUE"""),"")</f>
        <v/>
      </c>
      <c r="O1059" s="116"/>
      <c r="P1059" s="116"/>
      <c r="Q1059" s="116"/>
      <c r="R1059" s="116" t="s">
        <v>39</v>
      </c>
      <c r="S1059" s="116" t="s">
        <v>39</v>
      </c>
      <c r="T1059" s="104" t="s">
        <v>5011</v>
      </c>
      <c r="U1059" s="116"/>
      <c r="V1059" s="104" t="s">
        <v>5011</v>
      </c>
      <c r="W1059" s="116"/>
    </row>
    <row r="1060">
      <c r="A1060" s="114" t="s">
        <v>39</v>
      </c>
      <c r="B1060" s="115"/>
      <c r="C1060" s="116"/>
      <c r="D1060" s="116"/>
      <c r="E1060" s="116" t="str">
        <f>IFERROR(__xludf.DUMMYFUNCTION("""COMPUTED_VALUE"""),"")</f>
        <v/>
      </c>
      <c r="F1060" s="117" t="s">
        <v>39</v>
      </c>
      <c r="G1060" s="116"/>
      <c r="H1060" s="117"/>
      <c r="I1060" s="117"/>
      <c r="J1060" s="117"/>
      <c r="K1060" s="117"/>
      <c r="L1060" s="116"/>
      <c r="M1060" s="117"/>
      <c r="N1060" s="118" t="str">
        <f>IFERROR(__xludf.DUMMYFUNCTION("""COMPUTED_VALUE"""),"")</f>
        <v/>
      </c>
      <c r="O1060" s="116"/>
      <c r="P1060" s="116"/>
      <c r="Q1060" s="116"/>
      <c r="R1060" s="116" t="s">
        <v>39</v>
      </c>
      <c r="S1060" s="116" t="s">
        <v>39</v>
      </c>
      <c r="T1060" s="104" t="s">
        <v>5012</v>
      </c>
      <c r="U1060" s="116"/>
      <c r="V1060" s="104" t="s">
        <v>5012</v>
      </c>
      <c r="W1060" s="116"/>
    </row>
    <row r="1061">
      <c r="A1061" s="114" t="s">
        <v>39</v>
      </c>
      <c r="B1061" s="115"/>
      <c r="C1061" s="116"/>
      <c r="D1061" s="116"/>
      <c r="E1061" s="116" t="str">
        <f>IFERROR(__xludf.DUMMYFUNCTION("""COMPUTED_VALUE"""),"")</f>
        <v/>
      </c>
      <c r="F1061" s="117" t="s">
        <v>39</v>
      </c>
      <c r="G1061" s="116"/>
      <c r="H1061" s="117"/>
      <c r="I1061" s="117"/>
      <c r="J1061" s="117"/>
      <c r="K1061" s="117"/>
      <c r="L1061" s="116"/>
      <c r="M1061" s="117"/>
      <c r="N1061" s="118" t="str">
        <f>IFERROR(__xludf.DUMMYFUNCTION("""COMPUTED_VALUE"""),"")</f>
        <v/>
      </c>
      <c r="O1061" s="116"/>
      <c r="P1061" s="116"/>
      <c r="Q1061" s="116"/>
      <c r="R1061" s="116" t="s">
        <v>39</v>
      </c>
      <c r="S1061" s="116" t="s">
        <v>39</v>
      </c>
      <c r="T1061" s="104" t="s">
        <v>5013</v>
      </c>
      <c r="U1061" s="116"/>
      <c r="V1061" s="104" t="s">
        <v>5013</v>
      </c>
      <c r="W1061" s="116"/>
    </row>
    <row r="1062">
      <c r="A1062" s="114" t="s">
        <v>39</v>
      </c>
      <c r="B1062" s="115"/>
      <c r="C1062" s="116"/>
      <c r="D1062" s="116"/>
      <c r="E1062" s="116" t="str">
        <f>IFERROR(__xludf.DUMMYFUNCTION("""COMPUTED_VALUE"""),"")</f>
        <v/>
      </c>
      <c r="F1062" s="117" t="s">
        <v>39</v>
      </c>
      <c r="G1062" s="116"/>
      <c r="H1062" s="117"/>
      <c r="I1062" s="117"/>
      <c r="J1062" s="117"/>
      <c r="K1062" s="117"/>
      <c r="L1062" s="116"/>
      <c r="M1062" s="117"/>
      <c r="N1062" s="118" t="str">
        <f>IFERROR(__xludf.DUMMYFUNCTION("""COMPUTED_VALUE"""),"")</f>
        <v/>
      </c>
      <c r="O1062" s="116"/>
      <c r="P1062" s="116"/>
      <c r="Q1062" s="116"/>
      <c r="R1062" s="116" t="s">
        <v>39</v>
      </c>
      <c r="S1062" s="116" t="s">
        <v>39</v>
      </c>
      <c r="T1062" s="104" t="s">
        <v>5014</v>
      </c>
      <c r="U1062" s="116"/>
      <c r="V1062" s="104" t="s">
        <v>5014</v>
      </c>
      <c r="W1062" s="116"/>
    </row>
    <row r="1063">
      <c r="A1063" s="114" t="s">
        <v>39</v>
      </c>
      <c r="B1063" s="115"/>
      <c r="C1063" s="116"/>
      <c r="D1063" s="116"/>
      <c r="E1063" s="116" t="str">
        <f>IFERROR(__xludf.DUMMYFUNCTION("""COMPUTED_VALUE"""),"")</f>
        <v/>
      </c>
      <c r="F1063" s="117" t="s">
        <v>39</v>
      </c>
      <c r="G1063" s="116"/>
      <c r="H1063" s="117"/>
      <c r="I1063" s="117"/>
      <c r="J1063" s="117"/>
      <c r="K1063" s="117"/>
      <c r="L1063" s="116"/>
      <c r="M1063" s="117"/>
      <c r="N1063" s="118" t="str">
        <f>IFERROR(__xludf.DUMMYFUNCTION("""COMPUTED_VALUE"""),"")</f>
        <v/>
      </c>
      <c r="O1063" s="116"/>
      <c r="P1063" s="116"/>
      <c r="Q1063" s="116"/>
      <c r="R1063" s="116" t="s">
        <v>39</v>
      </c>
      <c r="S1063" s="116" t="s">
        <v>39</v>
      </c>
      <c r="T1063" s="104" t="s">
        <v>5015</v>
      </c>
      <c r="U1063" s="116"/>
      <c r="V1063" s="104" t="s">
        <v>5015</v>
      </c>
      <c r="W1063" s="116"/>
    </row>
    <row r="1064">
      <c r="A1064" s="114" t="s">
        <v>39</v>
      </c>
      <c r="B1064" s="115"/>
      <c r="C1064" s="116"/>
      <c r="D1064" s="116"/>
      <c r="E1064" s="116" t="str">
        <f>IFERROR(__xludf.DUMMYFUNCTION("""COMPUTED_VALUE"""),"")</f>
        <v/>
      </c>
      <c r="F1064" s="117" t="s">
        <v>39</v>
      </c>
      <c r="G1064" s="116"/>
      <c r="H1064" s="117"/>
      <c r="I1064" s="117"/>
      <c r="J1064" s="117"/>
      <c r="K1064" s="117"/>
      <c r="L1064" s="116"/>
      <c r="M1064" s="117"/>
      <c r="N1064" s="118" t="str">
        <f>IFERROR(__xludf.DUMMYFUNCTION("""COMPUTED_VALUE"""),"")</f>
        <v/>
      </c>
      <c r="O1064" s="116"/>
      <c r="P1064" s="116"/>
      <c r="Q1064" s="116"/>
      <c r="R1064" s="116" t="s">
        <v>39</v>
      </c>
      <c r="S1064" s="116" t="s">
        <v>39</v>
      </c>
      <c r="T1064" s="104" t="s">
        <v>5016</v>
      </c>
      <c r="U1064" s="116"/>
      <c r="V1064" s="104" t="s">
        <v>5016</v>
      </c>
      <c r="W1064" s="116"/>
    </row>
    <row r="1065">
      <c r="A1065" s="114" t="s">
        <v>39</v>
      </c>
      <c r="B1065" s="115"/>
      <c r="C1065" s="116"/>
      <c r="D1065" s="116"/>
      <c r="E1065" s="116" t="str">
        <f>IFERROR(__xludf.DUMMYFUNCTION("""COMPUTED_VALUE"""),"")</f>
        <v/>
      </c>
      <c r="F1065" s="117" t="s">
        <v>39</v>
      </c>
      <c r="G1065" s="116"/>
      <c r="H1065" s="117"/>
      <c r="I1065" s="117"/>
      <c r="J1065" s="117"/>
      <c r="K1065" s="117"/>
      <c r="L1065" s="116"/>
      <c r="M1065" s="117"/>
      <c r="N1065" s="118" t="str">
        <f>IFERROR(__xludf.DUMMYFUNCTION("""COMPUTED_VALUE"""),"")</f>
        <v/>
      </c>
      <c r="O1065" s="116"/>
      <c r="P1065" s="116"/>
      <c r="Q1065" s="116"/>
      <c r="R1065" s="116" t="s">
        <v>39</v>
      </c>
      <c r="S1065" s="116" t="s">
        <v>39</v>
      </c>
      <c r="T1065" s="104" t="s">
        <v>5017</v>
      </c>
      <c r="U1065" s="116"/>
      <c r="V1065" s="104" t="s">
        <v>5017</v>
      </c>
      <c r="W1065" s="116"/>
    </row>
    <row r="1066">
      <c r="A1066" s="114" t="s">
        <v>39</v>
      </c>
      <c r="B1066" s="115"/>
      <c r="C1066" s="116"/>
      <c r="D1066" s="116"/>
      <c r="E1066" s="116" t="str">
        <f>IFERROR(__xludf.DUMMYFUNCTION("""COMPUTED_VALUE"""),"")</f>
        <v/>
      </c>
      <c r="F1066" s="117" t="s">
        <v>39</v>
      </c>
      <c r="G1066" s="116"/>
      <c r="H1066" s="117"/>
      <c r="I1066" s="117"/>
      <c r="J1066" s="117"/>
      <c r="K1066" s="117"/>
      <c r="L1066" s="116"/>
      <c r="M1066" s="117"/>
      <c r="N1066" s="118" t="str">
        <f>IFERROR(__xludf.DUMMYFUNCTION("""COMPUTED_VALUE"""),"")</f>
        <v/>
      </c>
      <c r="O1066" s="116"/>
      <c r="P1066" s="116"/>
      <c r="Q1066" s="116"/>
      <c r="R1066" s="116" t="s">
        <v>39</v>
      </c>
      <c r="S1066" s="116" t="s">
        <v>39</v>
      </c>
      <c r="T1066" s="104" t="s">
        <v>5018</v>
      </c>
      <c r="U1066" s="116"/>
      <c r="V1066" s="104" t="s">
        <v>5018</v>
      </c>
      <c r="W1066" s="116"/>
    </row>
    <row r="1067">
      <c r="A1067" s="114" t="s">
        <v>39</v>
      </c>
      <c r="B1067" s="115"/>
      <c r="C1067" s="116"/>
      <c r="D1067" s="116"/>
      <c r="E1067" s="116" t="str">
        <f>IFERROR(__xludf.DUMMYFUNCTION("""COMPUTED_VALUE"""),"")</f>
        <v/>
      </c>
      <c r="F1067" s="117" t="s">
        <v>39</v>
      </c>
      <c r="G1067" s="116"/>
      <c r="H1067" s="117"/>
      <c r="I1067" s="117"/>
      <c r="J1067" s="117"/>
      <c r="K1067" s="117"/>
      <c r="L1067" s="116"/>
      <c r="M1067" s="117"/>
      <c r="N1067" s="118" t="str">
        <f>IFERROR(__xludf.DUMMYFUNCTION("""COMPUTED_VALUE"""),"")</f>
        <v/>
      </c>
      <c r="O1067" s="116"/>
      <c r="P1067" s="116"/>
      <c r="Q1067" s="116"/>
      <c r="R1067" s="116" t="s">
        <v>39</v>
      </c>
      <c r="S1067" s="116" t="s">
        <v>39</v>
      </c>
      <c r="T1067" s="104" t="s">
        <v>5019</v>
      </c>
      <c r="U1067" s="116"/>
      <c r="V1067" s="104" t="s">
        <v>5019</v>
      </c>
      <c r="W1067" s="116"/>
    </row>
    <row r="1068">
      <c r="A1068" s="114" t="s">
        <v>39</v>
      </c>
      <c r="B1068" s="115"/>
      <c r="C1068" s="116"/>
      <c r="D1068" s="116"/>
      <c r="E1068" s="116" t="str">
        <f>IFERROR(__xludf.DUMMYFUNCTION("""COMPUTED_VALUE"""),"")</f>
        <v/>
      </c>
      <c r="F1068" s="117" t="s">
        <v>39</v>
      </c>
      <c r="G1068" s="116"/>
      <c r="H1068" s="117"/>
      <c r="I1068" s="117"/>
      <c r="J1068" s="117"/>
      <c r="K1068" s="117"/>
      <c r="L1068" s="116"/>
      <c r="M1068" s="117"/>
      <c r="N1068" s="118" t="str">
        <f>IFERROR(__xludf.DUMMYFUNCTION("""COMPUTED_VALUE"""),"")</f>
        <v/>
      </c>
      <c r="O1068" s="116"/>
      <c r="P1068" s="116"/>
      <c r="Q1068" s="116"/>
      <c r="R1068" s="116" t="s">
        <v>39</v>
      </c>
      <c r="S1068" s="116" t="s">
        <v>39</v>
      </c>
      <c r="T1068" s="104" t="s">
        <v>5020</v>
      </c>
      <c r="U1068" s="116"/>
      <c r="V1068" s="104" t="s">
        <v>5020</v>
      </c>
      <c r="W1068" s="116"/>
    </row>
    <row r="1069">
      <c r="A1069" s="114" t="s">
        <v>39</v>
      </c>
      <c r="B1069" s="115"/>
      <c r="C1069" s="116"/>
      <c r="D1069" s="116"/>
      <c r="E1069" s="116" t="str">
        <f>IFERROR(__xludf.DUMMYFUNCTION("""COMPUTED_VALUE"""),"")</f>
        <v/>
      </c>
      <c r="F1069" s="117" t="s">
        <v>39</v>
      </c>
      <c r="G1069" s="116"/>
      <c r="H1069" s="117"/>
      <c r="I1069" s="117"/>
      <c r="J1069" s="117"/>
      <c r="K1069" s="117"/>
      <c r="L1069" s="116"/>
      <c r="M1069" s="117"/>
      <c r="N1069" s="118" t="str">
        <f>IFERROR(__xludf.DUMMYFUNCTION("""COMPUTED_VALUE"""),"")</f>
        <v/>
      </c>
      <c r="O1069" s="116"/>
      <c r="P1069" s="116"/>
      <c r="Q1069" s="116"/>
      <c r="R1069" s="116" t="s">
        <v>39</v>
      </c>
      <c r="S1069" s="116" t="s">
        <v>39</v>
      </c>
      <c r="T1069" s="104" t="s">
        <v>5021</v>
      </c>
      <c r="U1069" s="116"/>
      <c r="V1069" s="104" t="s">
        <v>5021</v>
      </c>
      <c r="W1069" s="116"/>
    </row>
    <row r="1070">
      <c r="A1070" s="114" t="s">
        <v>39</v>
      </c>
      <c r="B1070" s="115"/>
      <c r="C1070" s="116"/>
      <c r="D1070" s="116"/>
      <c r="E1070" s="116" t="str">
        <f>IFERROR(__xludf.DUMMYFUNCTION("""COMPUTED_VALUE"""),"")</f>
        <v/>
      </c>
      <c r="F1070" s="117" t="s">
        <v>39</v>
      </c>
      <c r="G1070" s="116"/>
      <c r="H1070" s="117"/>
      <c r="I1070" s="117"/>
      <c r="J1070" s="117"/>
      <c r="K1070" s="117"/>
      <c r="L1070" s="116"/>
      <c r="M1070" s="117"/>
      <c r="N1070" s="118" t="str">
        <f>IFERROR(__xludf.DUMMYFUNCTION("""COMPUTED_VALUE"""),"")</f>
        <v/>
      </c>
      <c r="O1070" s="116"/>
      <c r="P1070" s="116"/>
      <c r="Q1070" s="116"/>
      <c r="R1070" s="116" t="s">
        <v>39</v>
      </c>
      <c r="S1070" s="116" t="s">
        <v>39</v>
      </c>
      <c r="T1070" s="104" t="s">
        <v>5022</v>
      </c>
      <c r="U1070" s="116"/>
      <c r="V1070" s="104" t="s">
        <v>5022</v>
      </c>
      <c r="W1070" s="116"/>
    </row>
    <row r="1071">
      <c r="A1071" s="114" t="s">
        <v>39</v>
      </c>
      <c r="B1071" s="115"/>
      <c r="C1071" s="116"/>
      <c r="D1071" s="116"/>
      <c r="E1071" s="116" t="str">
        <f>IFERROR(__xludf.DUMMYFUNCTION("""COMPUTED_VALUE"""),"")</f>
        <v/>
      </c>
      <c r="F1071" s="117" t="s">
        <v>39</v>
      </c>
      <c r="G1071" s="116"/>
      <c r="H1071" s="117"/>
      <c r="I1071" s="117"/>
      <c r="J1071" s="117"/>
      <c r="K1071" s="117"/>
      <c r="L1071" s="116"/>
      <c r="M1071" s="117"/>
      <c r="N1071" s="118" t="str">
        <f>IFERROR(__xludf.DUMMYFUNCTION("""COMPUTED_VALUE"""),"")</f>
        <v/>
      </c>
      <c r="O1071" s="116"/>
      <c r="P1071" s="116"/>
      <c r="Q1071" s="116"/>
      <c r="R1071" s="116" t="s">
        <v>39</v>
      </c>
      <c r="S1071" s="116" t="s">
        <v>39</v>
      </c>
      <c r="T1071" s="104" t="s">
        <v>5023</v>
      </c>
      <c r="U1071" s="116"/>
      <c r="V1071" s="104" t="s">
        <v>5023</v>
      </c>
      <c r="W1071" s="116"/>
    </row>
    <row r="1072">
      <c r="A1072" s="114" t="s">
        <v>39</v>
      </c>
      <c r="B1072" s="115"/>
      <c r="C1072" s="116"/>
      <c r="D1072" s="116"/>
      <c r="E1072" s="116" t="str">
        <f>IFERROR(__xludf.DUMMYFUNCTION("""COMPUTED_VALUE"""),"")</f>
        <v/>
      </c>
      <c r="F1072" s="117" t="s">
        <v>39</v>
      </c>
      <c r="G1072" s="116"/>
      <c r="H1072" s="117"/>
      <c r="I1072" s="117"/>
      <c r="J1072" s="117"/>
      <c r="K1072" s="117"/>
      <c r="L1072" s="116"/>
      <c r="M1072" s="117"/>
      <c r="N1072" s="118" t="str">
        <f>IFERROR(__xludf.DUMMYFUNCTION("""COMPUTED_VALUE"""),"")</f>
        <v/>
      </c>
      <c r="O1072" s="116"/>
      <c r="P1072" s="116"/>
      <c r="Q1072" s="116"/>
      <c r="R1072" s="116" t="s">
        <v>39</v>
      </c>
      <c r="S1072" s="116" t="s">
        <v>39</v>
      </c>
      <c r="T1072" s="104" t="s">
        <v>5024</v>
      </c>
      <c r="U1072" s="116"/>
      <c r="V1072" s="104" t="s">
        <v>5024</v>
      </c>
      <c r="W1072" s="116"/>
    </row>
    <row r="1073">
      <c r="A1073" s="114" t="s">
        <v>39</v>
      </c>
      <c r="B1073" s="115"/>
      <c r="C1073" s="116"/>
      <c r="D1073" s="116"/>
      <c r="E1073" s="116" t="str">
        <f>IFERROR(__xludf.DUMMYFUNCTION("""COMPUTED_VALUE"""),"")</f>
        <v/>
      </c>
      <c r="F1073" s="117" t="s">
        <v>39</v>
      </c>
      <c r="G1073" s="116"/>
      <c r="H1073" s="117"/>
      <c r="I1073" s="117"/>
      <c r="J1073" s="117"/>
      <c r="K1073" s="117"/>
      <c r="L1073" s="116"/>
      <c r="M1073" s="117"/>
      <c r="N1073" s="118" t="str">
        <f>IFERROR(__xludf.DUMMYFUNCTION("""COMPUTED_VALUE"""),"")</f>
        <v/>
      </c>
      <c r="O1073" s="116"/>
      <c r="P1073" s="116"/>
      <c r="Q1073" s="116"/>
      <c r="R1073" s="116" t="s">
        <v>39</v>
      </c>
      <c r="S1073" s="116" t="s">
        <v>39</v>
      </c>
      <c r="T1073" s="104" t="s">
        <v>5025</v>
      </c>
      <c r="U1073" s="116"/>
      <c r="V1073" s="104" t="s">
        <v>5025</v>
      </c>
      <c r="W1073" s="116"/>
    </row>
    <row r="1074">
      <c r="A1074" s="114" t="s">
        <v>39</v>
      </c>
      <c r="B1074" s="115"/>
      <c r="C1074" s="116"/>
      <c r="D1074" s="116"/>
      <c r="E1074" s="116" t="str">
        <f>IFERROR(__xludf.DUMMYFUNCTION("""COMPUTED_VALUE"""),"")</f>
        <v/>
      </c>
      <c r="F1074" s="117" t="s">
        <v>39</v>
      </c>
      <c r="G1074" s="116"/>
      <c r="H1074" s="117"/>
      <c r="I1074" s="117"/>
      <c r="J1074" s="117"/>
      <c r="K1074" s="117"/>
      <c r="L1074" s="116"/>
      <c r="M1074" s="117"/>
      <c r="N1074" s="118" t="str">
        <f>IFERROR(__xludf.DUMMYFUNCTION("""COMPUTED_VALUE"""),"")</f>
        <v/>
      </c>
      <c r="O1074" s="116"/>
      <c r="P1074" s="116"/>
      <c r="Q1074" s="116"/>
      <c r="R1074" s="116" t="s">
        <v>39</v>
      </c>
      <c r="S1074" s="116" t="s">
        <v>39</v>
      </c>
      <c r="T1074" s="104" t="s">
        <v>5026</v>
      </c>
      <c r="U1074" s="116"/>
      <c r="V1074" s="104" t="s">
        <v>5026</v>
      </c>
      <c r="W1074" s="116"/>
    </row>
    <row r="1075">
      <c r="A1075" s="114" t="s">
        <v>39</v>
      </c>
      <c r="B1075" s="115"/>
      <c r="C1075" s="116"/>
      <c r="D1075" s="116"/>
      <c r="E1075" s="116" t="str">
        <f>IFERROR(__xludf.DUMMYFUNCTION("""COMPUTED_VALUE"""),"")</f>
        <v/>
      </c>
      <c r="F1075" s="117" t="s">
        <v>39</v>
      </c>
      <c r="G1075" s="116"/>
      <c r="H1075" s="117"/>
      <c r="I1075" s="117"/>
      <c r="J1075" s="117"/>
      <c r="K1075" s="117"/>
      <c r="L1075" s="116"/>
      <c r="M1075" s="117"/>
      <c r="N1075" s="118" t="str">
        <f>IFERROR(__xludf.DUMMYFUNCTION("""COMPUTED_VALUE"""),"")</f>
        <v/>
      </c>
      <c r="O1075" s="116"/>
      <c r="P1075" s="116"/>
      <c r="Q1075" s="116"/>
      <c r="R1075" s="116" t="s">
        <v>39</v>
      </c>
      <c r="S1075" s="116" t="s">
        <v>39</v>
      </c>
      <c r="T1075" s="104" t="s">
        <v>5027</v>
      </c>
      <c r="U1075" s="116"/>
      <c r="V1075" s="104" t="s">
        <v>5027</v>
      </c>
      <c r="W1075" s="116"/>
    </row>
    <row r="1076">
      <c r="A1076" s="114" t="s">
        <v>39</v>
      </c>
      <c r="B1076" s="115"/>
      <c r="C1076" s="116"/>
      <c r="D1076" s="116"/>
      <c r="E1076" s="116" t="str">
        <f>IFERROR(__xludf.DUMMYFUNCTION("""COMPUTED_VALUE"""),"")</f>
        <v/>
      </c>
      <c r="F1076" s="117" t="s">
        <v>39</v>
      </c>
      <c r="G1076" s="116"/>
      <c r="H1076" s="117"/>
      <c r="I1076" s="117"/>
      <c r="J1076" s="117"/>
      <c r="K1076" s="117"/>
      <c r="L1076" s="116"/>
      <c r="M1076" s="117"/>
      <c r="N1076" s="118" t="str">
        <f>IFERROR(__xludf.DUMMYFUNCTION("""COMPUTED_VALUE"""),"")</f>
        <v/>
      </c>
      <c r="O1076" s="116"/>
      <c r="P1076" s="116"/>
      <c r="Q1076" s="116"/>
      <c r="R1076" s="116" t="s">
        <v>39</v>
      </c>
      <c r="S1076" s="116" t="s">
        <v>39</v>
      </c>
      <c r="T1076" s="104" t="s">
        <v>5028</v>
      </c>
      <c r="U1076" s="116"/>
      <c r="V1076" s="104" t="s">
        <v>5028</v>
      </c>
      <c r="W1076" s="116"/>
    </row>
    <row r="1077">
      <c r="A1077" s="114" t="s">
        <v>39</v>
      </c>
      <c r="B1077" s="115"/>
      <c r="C1077" s="116"/>
      <c r="D1077" s="116"/>
      <c r="E1077" s="116" t="str">
        <f>IFERROR(__xludf.DUMMYFUNCTION("""COMPUTED_VALUE"""),"")</f>
        <v/>
      </c>
      <c r="F1077" s="117" t="s">
        <v>39</v>
      </c>
      <c r="G1077" s="116"/>
      <c r="H1077" s="117"/>
      <c r="I1077" s="117"/>
      <c r="J1077" s="117"/>
      <c r="K1077" s="117"/>
      <c r="L1077" s="116"/>
      <c r="M1077" s="117"/>
      <c r="N1077" s="118" t="str">
        <f>IFERROR(__xludf.DUMMYFUNCTION("""COMPUTED_VALUE"""),"")</f>
        <v/>
      </c>
      <c r="O1077" s="116"/>
      <c r="P1077" s="116"/>
      <c r="Q1077" s="116"/>
      <c r="R1077" s="116" t="s">
        <v>39</v>
      </c>
      <c r="S1077" s="116" t="s">
        <v>39</v>
      </c>
      <c r="T1077" s="104" t="s">
        <v>5029</v>
      </c>
      <c r="U1077" s="116"/>
      <c r="V1077" s="104" t="s">
        <v>5029</v>
      </c>
      <c r="W1077" s="116"/>
    </row>
    <row r="1078">
      <c r="A1078" s="114" t="s">
        <v>39</v>
      </c>
      <c r="B1078" s="115"/>
      <c r="C1078" s="116"/>
      <c r="D1078" s="116"/>
      <c r="E1078" s="116" t="str">
        <f>IFERROR(__xludf.DUMMYFUNCTION("""COMPUTED_VALUE"""),"")</f>
        <v/>
      </c>
      <c r="F1078" s="117" t="s">
        <v>39</v>
      </c>
      <c r="G1078" s="116"/>
      <c r="H1078" s="117"/>
      <c r="I1078" s="117"/>
      <c r="J1078" s="117"/>
      <c r="K1078" s="117"/>
      <c r="L1078" s="116"/>
      <c r="M1078" s="117"/>
      <c r="N1078" s="118" t="str">
        <f>IFERROR(__xludf.DUMMYFUNCTION("""COMPUTED_VALUE"""),"")</f>
        <v/>
      </c>
      <c r="O1078" s="116"/>
      <c r="P1078" s="116"/>
      <c r="Q1078" s="116"/>
      <c r="R1078" s="116" t="s">
        <v>39</v>
      </c>
      <c r="S1078" s="116" t="s">
        <v>39</v>
      </c>
      <c r="T1078" s="104" t="s">
        <v>5030</v>
      </c>
      <c r="U1078" s="116"/>
      <c r="V1078" s="104" t="s">
        <v>5030</v>
      </c>
      <c r="W1078" s="116"/>
    </row>
    <row r="1079">
      <c r="A1079" s="114" t="s">
        <v>39</v>
      </c>
      <c r="B1079" s="115"/>
      <c r="C1079" s="116"/>
      <c r="D1079" s="116"/>
      <c r="E1079" s="116" t="str">
        <f>IFERROR(__xludf.DUMMYFUNCTION("""COMPUTED_VALUE"""),"")</f>
        <v/>
      </c>
      <c r="F1079" s="117" t="s">
        <v>39</v>
      </c>
      <c r="G1079" s="116"/>
      <c r="H1079" s="117"/>
      <c r="I1079" s="117"/>
      <c r="J1079" s="117"/>
      <c r="K1079" s="117"/>
      <c r="L1079" s="116"/>
      <c r="M1079" s="117"/>
      <c r="N1079" s="118" t="str">
        <f>IFERROR(__xludf.DUMMYFUNCTION("""COMPUTED_VALUE"""),"")</f>
        <v/>
      </c>
      <c r="O1079" s="116"/>
      <c r="P1079" s="116"/>
      <c r="Q1079" s="116"/>
      <c r="R1079" s="116" t="s">
        <v>39</v>
      </c>
      <c r="S1079" s="116" t="s">
        <v>39</v>
      </c>
      <c r="T1079" s="104" t="s">
        <v>5031</v>
      </c>
      <c r="U1079" s="116"/>
      <c r="V1079" s="104" t="s">
        <v>5031</v>
      </c>
      <c r="W1079" s="116"/>
    </row>
    <row r="1080">
      <c r="A1080" s="114" t="s">
        <v>39</v>
      </c>
      <c r="B1080" s="115"/>
      <c r="C1080" s="116"/>
      <c r="D1080" s="116"/>
      <c r="E1080" s="116" t="str">
        <f>IFERROR(__xludf.DUMMYFUNCTION("""COMPUTED_VALUE"""),"")</f>
        <v/>
      </c>
      <c r="F1080" s="117" t="s">
        <v>39</v>
      </c>
      <c r="G1080" s="116"/>
      <c r="H1080" s="117"/>
      <c r="I1080" s="117"/>
      <c r="J1080" s="117"/>
      <c r="K1080" s="117"/>
      <c r="L1080" s="116"/>
      <c r="M1080" s="117"/>
      <c r="N1080" s="118" t="str">
        <f>IFERROR(__xludf.DUMMYFUNCTION("""COMPUTED_VALUE"""),"")</f>
        <v/>
      </c>
      <c r="O1080" s="116"/>
      <c r="P1080" s="116"/>
      <c r="Q1080" s="116"/>
      <c r="R1080" s="116" t="s">
        <v>39</v>
      </c>
      <c r="S1080" s="116" t="s">
        <v>39</v>
      </c>
      <c r="T1080" s="104" t="s">
        <v>5032</v>
      </c>
      <c r="U1080" s="116"/>
      <c r="V1080" s="104" t="s">
        <v>5032</v>
      </c>
      <c r="W1080" s="116"/>
    </row>
    <row r="1081">
      <c r="A1081" s="114" t="s">
        <v>39</v>
      </c>
      <c r="B1081" s="115"/>
      <c r="C1081" s="116"/>
      <c r="D1081" s="116"/>
      <c r="E1081" s="116" t="str">
        <f>IFERROR(__xludf.DUMMYFUNCTION("""COMPUTED_VALUE"""),"")</f>
        <v/>
      </c>
      <c r="F1081" s="117" t="s">
        <v>39</v>
      </c>
      <c r="G1081" s="116"/>
      <c r="H1081" s="117"/>
      <c r="I1081" s="117"/>
      <c r="J1081" s="117"/>
      <c r="K1081" s="117"/>
      <c r="L1081" s="116"/>
      <c r="M1081" s="117"/>
      <c r="N1081" s="118" t="str">
        <f>IFERROR(__xludf.DUMMYFUNCTION("""COMPUTED_VALUE"""),"")</f>
        <v/>
      </c>
      <c r="O1081" s="116"/>
      <c r="P1081" s="116"/>
      <c r="Q1081" s="116"/>
      <c r="R1081" s="116" t="s">
        <v>39</v>
      </c>
      <c r="S1081" s="116" t="s">
        <v>39</v>
      </c>
      <c r="T1081" s="104" t="s">
        <v>5033</v>
      </c>
      <c r="U1081" s="116"/>
      <c r="V1081" s="104" t="s">
        <v>5033</v>
      </c>
      <c r="W1081" s="116"/>
    </row>
    <row r="1082">
      <c r="A1082" s="114" t="s">
        <v>39</v>
      </c>
      <c r="B1082" s="115"/>
      <c r="C1082" s="116"/>
      <c r="D1082" s="116"/>
      <c r="E1082" s="116" t="str">
        <f>IFERROR(__xludf.DUMMYFUNCTION("""COMPUTED_VALUE"""),"")</f>
        <v/>
      </c>
      <c r="F1082" s="117" t="s">
        <v>39</v>
      </c>
      <c r="G1082" s="116"/>
      <c r="H1082" s="117"/>
      <c r="I1082" s="117"/>
      <c r="J1082" s="117"/>
      <c r="K1082" s="117"/>
      <c r="L1082" s="116"/>
      <c r="M1082" s="117"/>
      <c r="N1082" s="118" t="str">
        <f>IFERROR(__xludf.DUMMYFUNCTION("""COMPUTED_VALUE"""),"")</f>
        <v/>
      </c>
      <c r="O1082" s="116"/>
      <c r="P1082" s="116"/>
      <c r="Q1082" s="116"/>
      <c r="R1082" s="116" t="s">
        <v>39</v>
      </c>
      <c r="S1082" s="116" t="s">
        <v>39</v>
      </c>
      <c r="T1082" s="104" t="s">
        <v>5034</v>
      </c>
      <c r="U1082" s="116"/>
      <c r="V1082" s="104" t="s">
        <v>5034</v>
      </c>
      <c r="W1082" s="116"/>
    </row>
    <row r="1083">
      <c r="A1083" s="114" t="s">
        <v>39</v>
      </c>
      <c r="B1083" s="115"/>
      <c r="C1083" s="116"/>
      <c r="D1083" s="116"/>
      <c r="E1083" s="116" t="str">
        <f>IFERROR(__xludf.DUMMYFUNCTION("""COMPUTED_VALUE"""),"")</f>
        <v/>
      </c>
      <c r="F1083" s="117" t="s">
        <v>39</v>
      </c>
      <c r="G1083" s="116"/>
      <c r="H1083" s="117"/>
      <c r="I1083" s="117"/>
      <c r="J1083" s="117"/>
      <c r="K1083" s="117"/>
      <c r="L1083" s="116"/>
      <c r="M1083" s="117"/>
      <c r="N1083" s="118" t="str">
        <f>IFERROR(__xludf.DUMMYFUNCTION("""COMPUTED_VALUE"""),"")</f>
        <v/>
      </c>
      <c r="O1083" s="116"/>
      <c r="P1083" s="116"/>
      <c r="Q1083" s="116"/>
      <c r="R1083" s="116" t="s">
        <v>39</v>
      </c>
      <c r="S1083" s="116" t="s">
        <v>39</v>
      </c>
      <c r="T1083" s="104" t="s">
        <v>5035</v>
      </c>
      <c r="U1083" s="116"/>
      <c r="V1083" s="104" t="s">
        <v>5035</v>
      </c>
      <c r="W1083" s="116"/>
    </row>
    <row r="1084">
      <c r="A1084" s="114" t="s">
        <v>39</v>
      </c>
      <c r="B1084" s="115"/>
      <c r="C1084" s="116"/>
      <c r="D1084" s="116"/>
      <c r="E1084" s="116" t="str">
        <f>IFERROR(__xludf.DUMMYFUNCTION("""COMPUTED_VALUE"""),"")</f>
        <v/>
      </c>
      <c r="F1084" s="117" t="s">
        <v>39</v>
      </c>
      <c r="G1084" s="116"/>
      <c r="H1084" s="117"/>
      <c r="I1084" s="117"/>
      <c r="J1084" s="117"/>
      <c r="K1084" s="117"/>
      <c r="L1084" s="116"/>
      <c r="M1084" s="117"/>
      <c r="N1084" s="118" t="str">
        <f>IFERROR(__xludf.DUMMYFUNCTION("""COMPUTED_VALUE"""),"")</f>
        <v/>
      </c>
      <c r="O1084" s="116"/>
      <c r="P1084" s="116"/>
      <c r="Q1084" s="116"/>
      <c r="R1084" s="116" t="s">
        <v>39</v>
      </c>
      <c r="S1084" s="116" t="s">
        <v>39</v>
      </c>
      <c r="T1084" s="104" t="s">
        <v>5036</v>
      </c>
      <c r="U1084" s="116"/>
      <c r="V1084" s="104" t="s">
        <v>5036</v>
      </c>
      <c r="W1084" s="116"/>
    </row>
    <row r="1085">
      <c r="A1085" s="114" t="s">
        <v>39</v>
      </c>
      <c r="B1085" s="115"/>
      <c r="C1085" s="116"/>
      <c r="D1085" s="116"/>
      <c r="E1085" s="116" t="str">
        <f>IFERROR(__xludf.DUMMYFUNCTION("""COMPUTED_VALUE"""),"")</f>
        <v/>
      </c>
      <c r="F1085" s="117" t="s">
        <v>39</v>
      </c>
      <c r="G1085" s="116"/>
      <c r="H1085" s="117"/>
      <c r="I1085" s="117"/>
      <c r="J1085" s="117"/>
      <c r="K1085" s="117"/>
      <c r="L1085" s="116"/>
      <c r="M1085" s="117"/>
      <c r="N1085" s="118" t="str">
        <f>IFERROR(__xludf.DUMMYFUNCTION("""COMPUTED_VALUE"""),"")</f>
        <v/>
      </c>
      <c r="O1085" s="116"/>
      <c r="P1085" s="116"/>
      <c r="Q1085" s="116"/>
      <c r="R1085" s="116" t="s">
        <v>39</v>
      </c>
      <c r="S1085" s="116" t="s">
        <v>39</v>
      </c>
      <c r="T1085" s="104" t="s">
        <v>5037</v>
      </c>
      <c r="U1085" s="116"/>
      <c r="V1085" s="104" t="s">
        <v>5037</v>
      </c>
      <c r="W1085" s="116"/>
    </row>
    <row r="1086">
      <c r="A1086" s="114" t="s">
        <v>39</v>
      </c>
      <c r="B1086" s="115"/>
      <c r="C1086" s="116"/>
      <c r="D1086" s="116"/>
      <c r="E1086" s="116" t="str">
        <f>IFERROR(__xludf.DUMMYFUNCTION("""COMPUTED_VALUE"""),"")</f>
        <v/>
      </c>
      <c r="F1086" s="117" t="s">
        <v>39</v>
      </c>
      <c r="G1086" s="116"/>
      <c r="H1086" s="117"/>
      <c r="I1086" s="117"/>
      <c r="J1086" s="117"/>
      <c r="K1086" s="117"/>
      <c r="L1086" s="116"/>
      <c r="M1086" s="117"/>
      <c r="N1086" s="118" t="str">
        <f>IFERROR(__xludf.DUMMYFUNCTION("""COMPUTED_VALUE"""),"")</f>
        <v/>
      </c>
      <c r="O1086" s="116"/>
      <c r="P1086" s="116"/>
      <c r="Q1086" s="116"/>
      <c r="R1086" s="116" t="s">
        <v>39</v>
      </c>
      <c r="S1086" s="116" t="s">
        <v>39</v>
      </c>
      <c r="T1086" s="104" t="s">
        <v>5038</v>
      </c>
      <c r="U1086" s="116"/>
      <c r="V1086" s="104" t="s">
        <v>5038</v>
      </c>
      <c r="W1086" s="116"/>
    </row>
    <row r="1087">
      <c r="A1087" s="114" t="s">
        <v>39</v>
      </c>
      <c r="B1087" s="115"/>
      <c r="C1087" s="116"/>
      <c r="D1087" s="116"/>
      <c r="E1087" s="116" t="str">
        <f>IFERROR(__xludf.DUMMYFUNCTION("""COMPUTED_VALUE"""),"")</f>
        <v/>
      </c>
      <c r="F1087" s="117" t="s">
        <v>39</v>
      </c>
      <c r="G1087" s="116"/>
      <c r="H1087" s="117"/>
      <c r="I1087" s="117"/>
      <c r="J1087" s="117"/>
      <c r="K1087" s="117"/>
      <c r="L1087" s="116"/>
      <c r="M1087" s="117"/>
      <c r="N1087" s="118" t="str">
        <f>IFERROR(__xludf.DUMMYFUNCTION("""COMPUTED_VALUE"""),"")</f>
        <v/>
      </c>
      <c r="O1087" s="116"/>
      <c r="P1087" s="116"/>
      <c r="Q1087" s="116"/>
      <c r="R1087" s="116" t="s">
        <v>39</v>
      </c>
      <c r="S1087" s="116" t="s">
        <v>39</v>
      </c>
      <c r="T1087" s="104" t="s">
        <v>5039</v>
      </c>
      <c r="U1087" s="116"/>
      <c r="V1087" s="104" t="s">
        <v>5039</v>
      </c>
      <c r="W1087" s="116"/>
    </row>
    <row r="1088">
      <c r="A1088" s="114" t="s">
        <v>39</v>
      </c>
      <c r="B1088" s="115"/>
      <c r="C1088" s="116"/>
      <c r="D1088" s="116"/>
      <c r="E1088" s="116" t="str">
        <f>IFERROR(__xludf.DUMMYFUNCTION("""COMPUTED_VALUE"""),"")</f>
        <v/>
      </c>
      <c r="F1088" s="117" t="s">
        <v>39</v>
      </c>
      <c r="G1088" s="116"/>
      <c r="H1088" s="117"/>
      <c r="I1088" s="117"/>
      <c r="J1088" s="117"/>
      <c r="K1088" s="117"/>
      <c r="L1088" s="116"/>
      <c r="M1088" s="117"/>
      <c r="N1088" s="118" t="str">
        <f>IFERROR(__xludf.DUMMYFUNCTION("""COMPUTED_VALUE"""),"")</f>
        <v/>
      </c>
      <c r="O1088" s="116"/>
      <c r="P1088" s="116"/>
      <c r="Q1088" s="116"/>
      <c r="R1088" s="116" t="s">
        <v>39</v>
      </c>
      <c r="S1088" s="116" t="s">
        <v>39</v>
      </c>
      <c r="T1088" s="104" t="s">
        <v>5040</v>
      </c>
      <c r="U1088" s="116"/>
      <c r="V1088" s="104" t="s">
        <v>5040</v>
      </c>
      <c r="W1088" s="116"/>
    </row>
    <row r="1089">
      <c r="A1089" s="114" t="s">
        <v>39</v>
      </c>
      <c r="B1089" s="115"/>
      <c r="C1089" s="116"/>
      <c r="D1089" s="116"/>
      <c r="E1089" s="116" t="str">
        <f>IFERROR(__xludf.DUMMYFUNCTION("""COMPUTED_VALUE"""),"")</f>
        <v/>
      </c>
      <c r="F1089" s="117" t="s">
        <v>39</v>
      </c>
      <c r="G1089" s="116"/>
      <c r="H1089" s="117"/>
      <c r="I1089" s="117"/>
      <c r="J1089" s="117"/>
      <c r="K1089" s="117"/>
      <c r="L1089" s="116"/>
      <c r="M1089" s="117"/>
      <c r="N1089" s="118" t="str">
        <f>IFERROR(__xludf.DUMMYFUNCTION("""COMPUTED_VALUE"""),"")</f>
        <v/>
      </c>
      <c r="O1089" s="116"/>
      <c r="P1089" s="116"/>
      <c r="Q1089" s="116"/>
      <c r="R1089" s="116" t="s">
        <v>39</v>
      </c>
      <c r="S1089" s="116" t="s">
        <v>39</v>
      </c>
      <c r="T1089" s="104" t="s">
        <v>5041</v>
      </c>
      <c r="U1089" s="116"/>
      <c r="V1089" s="104" t="s">
        <v>5041</v>
      </c>
      <c r="W1089" s="116"/>
    </row>
    <row r="1090">
      <c r="A1090" s="114" t="s">
        <v>39</v>
      </c>
      <c r="B1090" s="115"/>
      <c r="C1090" s="116"/>
      <c r="D1090" s="116"/>
      <c r="E1090" s="116" t="str">
        <f>IFERROR(__xludf.DUMMYFUNCTION("""COMPUTED_VALUE"""),"")</f>
        <v/>
      </c>
      <c r="F1090" s="117" t="s">
        <v>39</v>
      </c>
      <c r="G1090" s="116"/>
      <c r="H1090" s="117"/>
      <c r="I1090" s="117"/>
      <c r="J1090" s="117"/>
      <c r="K1090" s="117"/>
      <c r="L1090" s="116"/>
      <c r="M1090" s="117"/>
      <c r="N1090" s="118" t="str">
        <f>IFERROR(__xludf.DUMMYFUNCTION("""COMPUTED_VALUE"""),"")</f>
        <v/>
      </c>
      <c r="O1090" s="116"/>
      <c r="P1090" s="116"/>
      <c r="Q1090" s="116"/>
      <c r="R1090" s="116" t="s">
        <v>39</v>
      </c>
      <c r="S1090" s="116" t="s">
        <v>39</v>
      </c>
      <c r="T1090" s="104" t="s">
        <v>5042</v>
      </c>
      <c r="U1090" s="116"/>
      <c r="V1090" s="104" t="s">
        <v>5042</v>
      </c>
      <c r="W1090" s="116"/>
    </row>
    <row r="1091">
      <c r="A1091" s="114" t="s">
        <v>39</v>
      </c>
      <c r="B1091" s="115"/>
      <c r="C1091" s="116"/>
      <c r="D1091" s="116"/>
      <c r="E1091" s="116" t="str">
        <f>IFERROR(__xludf.DUMMYFUNCTION("""COMPUTED_VALUE"""),"")</f>
        <v/>
      </c>
      <c r="F1091" s="117" t="s">
        <v>39</v>
      </c>
      <c r="G1091" s="116"/>
      <c r="H1091" s="117"/>
      <c r="I1091" s="117"/>
      <c r="J1091" s="117"/>
      <c r="K1091" s="117"/>
      <c r="L1091" s="116"/>
      <c r="M1091" s="117"/>
      <c r="N1091" s="118" t="str">
        <f>IFERROR(__xludf.DUMMYFUNCTION("""COMPUTED_VALUE"""),"")</f>
        <v/>
      </c>
      <c r="O1091" s="116"/>
      <c r="P1091" s="116"/>
      <c r="Q1091" s="116"/>
      <c r="R1091" s="116" t="s">
        <v>39</v>
      </c>
      <c r="S1091" s="116" t="s">
        <v>39</v>
      </c>
      <c r="T1091" s="104" t="s">
        <v>5043</v>
      </c>
      <c r="U1091" s="116"/>
      <c r="V1091" s="104" t="s">
        <v>5043</v>
      </c>
      <c r="W1091" s="116"/>
    </row>
    <row r="1092">
      <c r="A1092" s="114" t="s">
        <v>39</v>
      </c>
      <c r="B1092" s="115"/>
      <c r="C1092" s="116"/>
      <c r="D1092" s="116"/>
      <c r="E1092" s="116" t="str">
        <f>IFERROR(__xludf.DUMMYFUNCTION("""COMPUTED_VALUE"""),"")</f>
        <v/>
      </c>
      <c r="F1092" s="117" t="s">
        <v>39</v>
      </c>
      <c r="G1092" s="116"/>
      <c r="H1092" s="117"/>
      <c r="I1092" s="117"/>
      <c r="J1092" s="117"/>
      <c r="K1092" s="117"/>
      <c r="L1092" s="116"/>
      <c r="M1092" s="117"/>
      <c r="N1092" s="118" t="str">
        <f>IFERROR(__xludf.DUMMYFUNCTION("""COMPUTED_VALUE"""),"")</f>
        <v/>
      </c>
      <c r="O1092" s="116"/>
      <c r="P1092" s="116"/>
      <c r="Q1092" s="116"/>
      <c r="R1092" s="116" t="s">
        <v>39</v>
      </c>
      <c r="S1092" s="116" t="s">
        <v>39</v>
      </c>
      <c r="T1092" s="104" t="s">
        <v>5044</v>
      </c>
      <c r="U1092" s="116"/>
      <c r="V1092" s="104" t="s">
        <v>5044</v>
      </c>
      <c r="W1092" s="116"/>
    </row>
    <row r="1093">
      <c r="A1093" s="114" t="s">
        <v>39</v>
      </c>
      <c r="B1093" s="115"/>
      <c r="C1093" s="116"/>
      <c r="D1093" s="116"/>
      <c r="E1093" s="116" t="str">
        <f>IFERROR(__xludf.DUMMYFUNCTION("""COMPUTED_VALUE"""),"")</f>
        <v/>
      </c>
      <c r="F1093" s="117" t="s">
        <v>39</v>
      </c>
      <c r="G1093" s="116"/>
      <c r="H1093" s="117"/>
      <c r="I1093" s="117"/>
      <c r="J1093" s="117"/>
      <c r="K1093" s="117"/>
      <c r="L1093" s="116"/>
      <c r="M1093" s="117"/>
      <c r="N1093" s="118" t="str">
        <f>IFERROR(__xludf.DUMMYFUNCTION("""COMPUTED_VALUE"""),"")</f>
        <v/>
      </c>
      <c r="O1093" s="116"/>
      <c r="P1093" s="116"/>
      <c r="Q1093" s="116"/>
      <c r="R1093" s="116" t="s">
        <v>39</v>
      </c>
      <c r="S1093" s="116" t="s">
        <v>39</v>
      </c>
      <c r="T1093" s="104" t="s">
        <v>5045</v>
      </c>
      <c r="U1093" s="116"/>
      <c r="V1093" s="104" t="s">
        <v>5045</v>
      </c>
      <c r="W1093" s="116"/>
    </row>
    <row r="1094">
      <c r="A1094" s="114" t="s">
        <v>39</v>
      </c>
      <c r="B1094" s="115"/>
      <c r="C1094" s="116"/>
      <c r="D1094" s="116"/>
      <c r="E1094" s="116" t="str">
        <f>IFERROR(__xludf.DUMMYFUNCTION("""COMPUTED_VALUE"""),"")</f>
        <v/>
      </c>
      <c r="F1094" s="117" t="s">
        <v>39</v>
      </c>
      <c r="G1094" s="116"/>
      <c r="H1094" s="117"/>
      <c r="I1094" s="117"/>
      <c r="J1094" s="117"/>
      <c r="K1094" s="117"/>
      <c r="L1094" s="116"/>
      <c r="M1094" s="117"/>
      <c r="N1094" s="118" t="str">
        <f>IFERROR(__xludf.DUMMYFUNCTION("""COMPUTED_VALUE"""),"")</f>
        <v/>
      </c>
      <c r="O1094" s="116"/>
      <c r="P1094" s="116"/>
      <c r="Q1094" s="116"/>
      <c r="R1094" s="116" t="s">
        <v>39</v>
      </c>
      <c r="S1094" s="116" t="s">
        <v>39</v>
      </c>
      <c r="T1094" s="104" t="s">
        <v>5046</v>
      </c>
      <c r="U1094" s="116"/>
      <c r="V1094" s="104" t="s">
        <v>5046</v>
      </c>
      <c r="W1094" s="116"/>
    </row>
    <row r="1095">
      <c r="A1095" s="114" t="s">
        <v>39</v>
      </c>
      <c r="B1095" s="115"/>
      <c r="C1095" s="116"/>
      <c r="D1095" s="116"/>
      <c r="E1095" s="116" t="str">
        <f>IFERROR(__xludf.DUMMYFUNCTION("""COMPUTED_VALUE"""),"")</f>
        <v/>
      </c>
      <c r="F1095" s="117" t="s">
        <v>39</v>
      </c>
      <c r="G1095" s="116"/>
      <c r="H1095" s="117"/>
      <c r="I1095" s="117"/>
      <c r="J1095" s="117"/>
      <c r="K1095" s="117"/>
      <c r="L1095" s="116"/>
      <c r="M1095" s="117"/>
      <c r="N1095" s="118" t="str">
        <f>IFERROR(__xludf.DUMMYFUNCTION("""COMPUTED_VALUE"""),"")</f>
        <v/>
      </c>
      <c r="O1095" s="116"/>
      <c r="P1095" s="116"/>
      <c r="Q1095" s="116"/>
      <c r="R1095" s="116" t="s">
        <v>39</v>
      </c>
      <c r="S1095" s="116" t="s">
        <v>39</v>
      </c>
      <c r="T1095" s="104" t="s">
        <v>5047</v>
      </c>
      <c r="U1095" s="116"/>
      <c r="V1095" s="104" t="s">
        <v>5047</v>
      </c>
      <c r="W1095" s="116"/>
    </row>
    <row r="1096">
      <c r="A1096" s="114" t="s">
        <v>39</v>
      </c>
      <c r="B1096" s="115"/>
      <c r="C1096" s="116"/>
      <c r="D1096" s="116"/>
      <c r="E1096" s="116" t="str">
        <f>IFERROR(__xludf.DUMMYFUNCTION("""COMPUTED_VALUE"""),"")</f>
        <v/>
      </c>
      <c r="F1096" s="117" t="s">
        <v>39</v>
      </c>
      <c r="G1096" s="116"/>
      <c r="H1096" s="117"/>
      <c r="I1096" s="117"/>
      <c r="J1096" s="117"/>
      <c r="K1096" s="117"/>
      <c r="L1096" s="116"/>
      <c r="M1096" s="117"/>
      <c r="N1096" s="118" t="str">
        <f>IFERROR(__xludf.DUMMYFUNCTION("""COMPUTED_VALUE"""),"")</f>
        <v/>
      </c>
      <c r="O1096" s="116"/>
      <c r="P1096" s="116"/>
      <c r="Q1096" s="116"/>
      <c r="R1096" s="116" t="s">
        <v>39</v>
      </c>
      <c r="S1096" s="116" t="s">
        <v>39</v>
      </c>
      <c r="T1096" s="104" t="s">
        <v>5048</v>
      </c>
      <c r="U1096" s="116"/>
      <c r="V1096" s="104" t="s">
        <v>5048</v>
      </c>
      <c r="W1096" s="116"/>
    </row>
    <row r="1097">
      <c r="A1097" s="114" t="s">
        <v>39</v>
      </c>
      <c r="B1097" s="115"/>
      <c r="C1097" s="116"/>
      <c r="D1097" s="116"/>
      <c r="E1097" s="116" t="str">
        <f>IFERROR(__xludf.DUMMYFUNCTION("""COMPUTED_VALUE"""),"")</f>
        <v/>
      </c>
      <c r="F1097" s="117" t="s">
        <v>39</v>
      </c>
      <c r="G1097" s="116"/>
      <c r="H1097" s="117"/>
      <c r="I1097" s="117"/>
      <c r="J1097" s="117"/>
      <c r="K1097" s="117"/>
      <c r="L1097" s="116"/>
      <c r="M1097" s="117"/>
      <c r="N1097" s="118" t="str">
        <f>IFERROR(__xludf.DUMMYFUNCTION("""COMPUTED_VALUE"""),"")</f>
        <v/>
      </c>
      <c r="O1097" s="116"/>
      <c r="P1097" s="116"/>
      <c r="Q1097" s="116"/>
      <c r="R1097" s="116" t="s">
        <v>39</v>
      </c>
      <c r="S1097" s="116" t="s">
        <v>39</v>
      </c>
      <c r="T1097" s="104" t="s">
        <v>5049</v>
      </c>
      <c r="U1097" s="116"/>
      <c r="V1097" s="104" t="s">
        <v>5049</v>
      </c>
      <c r="W1097" s="116"/>
    </row>
    <row r="1098">
      <c r="A1098" s="114" t="s">
        <v>39</v>
      </c>
      <c r="B1098" s="115"/>
      <c r="C1098" s="116"/>
      <c r="D1098" s="116"/>
      <c r="E1098" s="116" t="str">
        <f>IFERROR(__xludf.DUMMYFUNCTION("""COMPUTED_VALUE"""),"")</f>
        <v/>
      </c>
      <c r="F1098" s="117" t="s">
        <v>39</v>
      </c>
      <c r="G1098" s="116"/>
      <c r="H1098" s="117"/>
      <c r="I1098" s="117"/>
      <c r="J1098" s="117"/>
      <c r="K1098" s="117"/>
      <c r="L1098" s="116"/>
      <c r="M1098" s="117"/>
      <c r="N1098" s="118" t="str">
        <f>IFERROR(__xludf.DUMMYFUNCTION("""COMPUTED_VALUE"""),"")</f>
        <v/>
      </c>
      <c r="O1098" s="116"/>
      <c r="P1098" s="116"/>
      <c r="Q1098" s="116"/>
      <c r="R1098" s="116" t="s">
        <v>39</v>
      </c>
      <c r="S1098" s="116" t="s">
        <v>39</v>
      </c>
      <c r="T1098" s="104" t="s">
        <v>5050</v>
      </c>
      <c r="U1098" s="116"/>
      <c r="V1098" s="104" t="s">
        <v>5050</v>
      </c>
      <c r="W1098" s="116"/>
    </row>
    <row r="1099">
      <c r="A1099" s="114" t="s">
        <v>39</v>
      </c>
      <c r="B1099" s="115"/>
      <c r="C1099" s="116"/>
      <c r="D1099" s="116"/>
      <c r="E1099" s="116" t="str">
        <f>IFERROR(__xludf.DUMMYFUNCTION("""COMPUTED_VALUE"""),"")</f>
        <v/>
      </c>
      <c r="F1099" s="117" t="s">
        <v>39</v>
      </c>
      <c r="G1099" s="116"/>
      <c r="H1099" s="117"/>
      <c r="I1099" s="117"/>
      <c r="J1099" s="117"/>
      <c r="K1099" s="117"/>
      <c r="L1099" s="116"/>
      <c r="M1099" s="117"/>
      <c r="N1099" s="118" t="str">
        <f>IFERROR(__xludf.DUMMYFUNCTION("""COMPUTED_VALUE"""),"")</f>
        <v/>
      </c>
      <c r="O1099" s="116"/>
      <c r="P1099" s="116"/>
      <c r="Q1099" s="116"/>
      <c r="R1099" s="116" t="s">
        <v>39</v>
      </c>
      <c r="S1099" s="116" t="s">
        <v>39</v>
      </c>
      <c r="T1099" s="104" t="s">
        <v>5051</v>
      </c>
      <c r="U1099" s="116"/>
      <c r="V1099" s="104" t="s">
        <v>5051</v>
      </c>
      <c r="W1099" s="116"/>
    </row>
    <row r="1100">
      <c r="A1100" s="114" t="s">
        <v>39</v>
      </c>
      <c r="B1100" s="115"/>
      <c r="C1100" s="116"/>
      <c r="D1100" s="116"/>
      <c r="E1100" s="116" t="str">
        <f>IFERROR(__xludf.DUMMYFUNCTION("""COMPUTED_VALUE"""),"")</f>
        <v/>
      </c>
      <c r="F1100" s="117" t="s">
        <v>39</v>
      </c>
      <c r="G1100" s="116"/>
      <c r="H1100" s="117"/>
      <c r="I1100" s="117"/>
      <c r="J1100" s="117"/>
      <c r="K1100" s="117"/>
      <c r="L1100" s="116"/>
      <c r="M1100" s="117"/>
      <c r="N1100" s="118" t="str">
        <f>IFERROR(__xludf.DUMMYFUNCTION("""COMPUTED_VALUE"""),"")</f>
        <v/>
      </c>
      <c r="O1100" s="116"/>
      <c r="P1100" s="116"/>
      <c r="Q1100" s="116"/>
      <c r="R1100" s="116" t="s">
        <v>39</v>
      </c>
      <c r="S1100" s="116" t="s">
        <v>39</v>
      </c>
      <c r="T1100" s="104" t="s">
        <v>5052</v>
      </c>
      <c r="U1100" s="116"/>
      <c r="V1100" s="104" t="s">
        <v>5052</v>
      </c>
      <c r="W1100" s="116"/>
    </row>
    <row r="1101">
      <c r="A1101" s="114" t="s">
        <v>39</v>
      </c>
      <c r="B1101" s="115"/>
      <c r="C1101" s="116"/>
      <c r="D1101" s="116"/>
      <c r="E1101" s="116" t="str">
        <f>IFERROR(__xludf.DUMMYFUNCTION("""COMPUTED_VALUE"""),"")</f>
        <v/>
      </c>
      <c r="F1101" s="117" t="s">
        <v>39</v>
      </c>
      <c r="G1101" s="116"/>
      <c r="H1101" s="117"/>
      <c r="I1101" s="117"/>
      <c r="J1101" s="117"/>
      <c r="K1101" s="117"/>
      <c r="L1101" s="116"/>
      <c r="M1101" s="117"/>
      <c r="N1101" s="118" t="str">
        <f>IFERROR(__xludf.DUMMYFUNCTION("""COMPUTED_VALUE"""),"")</f>
        <v/>
      </c>
      <c r="O1101" s="116"/>
      <c r="P1101" s="116"/>
      <c r="Q1101" s="116"/>
      <c r="R1101" s="116" t="s">
        <v>39</v>
      </c>
      <c r="S1101" s="116" t="s">
        <v>39</v>
      </c>
      <c r="T1101" s="104" t="s">
        <v>5053</v>
      </c>
      <c r="U1101" s="116"/>
      <c r="V1101" s="104" t="s">
        <v>5053</v>
      </c>
      <c r="W1101" s="116"/>
    </row>
    <row r="1102">
      <c r="A1102" s="114" t="s">
        <v>39</v>
      </c>
      <c r="B1102" s="115"/>
      <c r="C1102" s="116"/>
      <c r="D1102" s="116"/>
      <c r="E1102" s="116" t="str">
        <f>IFERROR(__xludf.DUMMYFUNCTION("""COMPUTED_VALUE"""),"")</f>
        <v/>
      </c>
      <c r="F1102" s="117" t="s">
        <v>39</v>
      </c>
      <c r="G1102" s="116"/>
      <c r="H1102" s="117"/>
      <c r="I1102" s="117"/>
      <c r="J1102" s="117"/>
      <c r="K1102" s="117"/>
      <c r="L1102" s="116"/>
      <c r="M1102" s="117"/>
      <c r="N1102" s="118" t="str">
        <f>IFERROR(__xludf.DUMMYFUNCTION("""COMPUTED_VALUE"""),"")</f>
        <v/>
      </c>
      <c r="O1102" s="116"/>
      <c r="P1102" s="116"/>
      <c r="Q1102" s="116"/>
      <c r="R1102" s="116" t="s">
        <v>39</v>
      </c>
      <c r="S1102" s="116" t="s">
        <v>39</v>
      </c>
      <c r="T1102" s="104" t="s">
        <v>5054</v>
      </c>
      <c r="U1102" s="116"/>
      <c r="V1102" s="104" t="s">
        <v>5054</v>
      </c>
      <c r="W1102" s="116"/>
    </row>
    <row r="1103">
      <c r="A1103" s="114" t="s">
        <v>39</v>
      </c>
      <c r="B1103" s="115"/>
      <c r="C1103" s="116"/>
      <c r="D1103" s="116"/>
      <c r="E1103" s="116" t="str">
        <f>IFERROR(__xludf.DUMMYFUNCTION("""COMPUTED_VALUE"""),"")</f>
        <v/>
      </c>
      <c r="F1103" s="117" t="s">
        <v>39</v>
      </c>
      <c r="G1103" s="116"/>
      <c r="H1103" s="117"/>
      <c r="I1103" s="117"/>
      <c r="J1103" s="117"/>
      <c r="K1103" s="117"/>
      <c r="L1103" s="116"/>
      <c r="M1103" s="117"/>
      <c r="N1103" s="118" t="str">
        <f>IFERROR(__xludf.DUMMYFUNCTION("""COMPUTED_VALUE"""),"")</f>
        <v/>
      </c>
      <c r="O1103" s="116"/>
      <c r="P1103" s="116"/>
      <c r="Q1103" s="116"/>
      <c r="R1103" s="116" t="s">
        <v>39</v>
      </c>
      <c r="S1103" s="116" t="s">
        <v>39</v>
      </c>
      <c r="T1103" s="104" t="s">
        <v>5055</v>
      </c>
      <c r="U1103" s="116"/>
      <c r="V1103" s="104" t="s">
        <v>5055</v>
      </c>
      <c r="W1103" s="116"/>
    </row>
    <row r="1104">
      <c r="A1104" s="114" t="s">
        <v>39</v>
      </c>
      <c r="B1104" s="115"/>
      <c r="C1104" s="116"/>
      <c r="D1104" s="116"/>
      <c r="E1104" s="116" t="str">
        <f>IFERROR(__xludf.DUMMYFUNCTION("""COMPUTED_VALUE"""),"")</f>
        <v/>
      </c>
      <c r="F1104" s="117" t="s">
        <v>39</v>
      </c>
      <c r="G1104" s="116"/>
      <c r="H1104" s="117"/>
      <c r="I1104" s="117"/>
      <c r="J1104" s="117"/>
      <c r="K1104" s="117"/>
      <c r="L1104" s="116"/>
      <c r="M1104" s="117"/>
      <c r="N1104" s="118" t="str">
        <f>IFERROR(__xludf.DUMMYFUNCTION("""COMPUTED_VALUE"""),"")</f>
        <v/>
      </c>
      <c r="O1104" s="116"/>
      <c r="P1104" s="116"/>
      <c r="Q1104" s="116"/>
      <c r="R1104" s="116" t="s">
        <v>39</v>
      </c>
      <c r="S1104" s="116" t="s">
        <v>39</v>
      </c>
      <c r="T1104" s="104" t="s">
        <v>5056</v>
      </c>
      <c r="U1104" s="116"/>
      <c r="V1104" s="104" t="s">
        <v>5056</v>
      </c>
      <c r="W1104" s="116"/>
    </row>
    <row r="1105">
      <c r="A1105" s="114" t="s">
        <v>39</v>
      </c>
      <c r="B1105" s="115"/>
      <c r="C1105" s="116"/>
      <c r="D1105" s="116"/>
      <c r="E1105" s="116" t="str">
        <f>IFERROR(__xludf.DUMMYFUNCTION("""COMPUTED_VALUE"""),"")</f>
        <v/>
      </c>
      <c r="F1105" s="117" t="s">
        <v>39</v>
      </c>
      <c r="G1105" s="116"/>
      <c r="H1105" s="117"/>
      <c r="I1105" s="117"/>
      <c r="J1105" s="117"/>
      <c r="K1105" s="117"/>
      <c r="L1105" s="116"/>
      <c r="M1105" s="117"/>
      <c r="N1105" s="118" t="str">
        <f>IFERROR(__xludf.DUMMYFUNCTION("""COMPUTED_VALUE"""),"")</f>
        <v/>
      </c>
      <c r="O1105" s="116"/>
      <c r="P1105" s="116"/>
      <c r="Q1105" s="116"/>
      <c r="R1105" s="116" t="s">
        <v>39</v>
      </c>
      <c r="S1105" s="116" t="s">
        <v>39</v>
      </c>
      <c r="T1105" s="104" t="s">
        <v>5057</v>
      </c>
      <c r="U1105" s="116"/>
      <c r="V1105" s="104" t="s">
        <v>5057</v>
      </c>
      <c r="W1105" s="116"/>
    </row>
    <row r="1106">
      <c r="A1106" s="114" t="s">
        <v>39</v>
      </c>
      <c r="B1106" s="115"/>
      <c r="C1106" s="116"/>
      <c r="D1106" s="116"/>
      <c r="E1106" s="116" t="str">
        <f>IFERROR(__xludf.DUMMYFUNCTION("""COMPUTED_VALUE"""),"")</f>
        <v/>
      </c>
      <c r="F1106" s="117" t="s">
        <v>39</v>
      </c>
      <c r="G1106" s="116"/>
      <c r="H1106" s="117"/>
      <c r="I1106" s="117"/>
      <c r="J1106" s="117"/>
      <c r="K1106" s="117"/>
      <c r="L1106" s="116"/>
      <c r="M1106" s="117"/>
      <c r="N1106" s="118" t="str">
        <f>IFERROR(__xludf.DUMMYFUNCTION("""COMPUTED_VALUE"""),"")</f>
        <v/>
      </c>
      <c r="O1106" s="116"/>
      <c r="P1106" s="116"/>
      <c r="Q1106" s="116"/>
      <c r="R1106" s="116" t="s">
        <v>39</v>
      </c>
      <c r="S1106" s="116" t="s">
        <v>39</v>
      </c>
      <c r="T1106" s="104" t="s">
        <v>5058</v>
      </c>
      <c r="U1106" s="116"/>
      <c r="V1106" s="104" t="s">
        <v>5058</v>
      </c>
      <c r="W1106" s="116"/>
    </row>
    <row r="1107">
      <c r="A1107" s="114" t="s">
        <v>39</v>
      </c>
      <c r="B1107" s="115"/>
      <c r="C1107" s="116"/>
      <c r="D1107" s="116"/>
      <c r="E1107" s="116" t="str">
        <f>IFERROR(__xludf.DUMMYFUNCTION("""COMPUTED_VALUE"""),"")</f>
        <v/>
      </c>
      <c r="F1107" s="117" t="s">
        <v>39</v>
      </c>
      <c r="G1107" s="116"/>
      <c r="H1107" s="117"/>
      <c r="I1107" s="117"/>
      <c r="J1107" s="117"/>
      <c r="K1107" s="117"/>
      <c r="L1107" s="116"/>
      <c r="M1107" s="117"/>
      <c r="N1107" s="118" t="str">
        <f>IFERROR(__xludf.DUMMYFUNCTION("""COMPUTED_VALUE"""),"")</f>
        <v/>
      </c>
      <c r="O1107" s="116"/>
      <c r="P1107" s="116"/>
      <c r="Q1107" s="116"/>
      <c r="R1107" s="116" t="s">
        <v>39</v>
      </c>
      <c r="S1107" s="116" t="s">
        <v>39</v>
      </c>
      <c r="T1107" s="104" t="s">
        <v>5059</v>
      </c>
      <c r="U1107" s="116"/>
      <c r="V1107" s="104" t="s">
        <v>5059</v>
      </c>
      <c r="W1107" s="116"/>
    </row>
    <row r="1108">
      <c r="A1108" s="114" t="s">
        <v>39</v>
      </c>
      <c r="B1108" s="115"/>
      <c r="C1108" s="116"/>
      <c r="D1108" s="116"/>
      <c r="E1108" s="116" t="str">
        <f>IFERROR(__xludf.DUMMYFUNCTION("""COMPUTED_VALUE"""),"")</f>
        <v/>
      </c>
      <c r="F1108" s="117" t="s">
        <v>39</v>
      </c>
      <c r="G1108" s="116"/>
      <c r="H1108" s="117"/>
      <c r="I1108" s="117"/>
      <c r="J1108" s="117"/>
      <c r="K1108" s="117"/>
      <c r="L1108" s="116"/>
      <c r="M1108" s="117"/>
      <c r="N1108" s="118" t="str">
        <f>IFERROR(__xludf.DUMMYFUNCTION("""COMPUTED_VALUE"""),"")</f>
        <v/>
      </c>
      <c r="O1108" s="116"/>
      <c r="P1108" s="116"/>
      <c r="Q1108" s="116"/>
      <c r="R1108" s="116" t="s">
        <v>39</v>
      </c>
      <c r="S1108" s="116" t="s">
        <v>39</v>
      </c>
      <c r="T1108" s="104" t="s">
        <v>5060</v>
      </c>
      <c r="U1108" s="116"/>
      <c r="V1108" s="104" t="s">
        <v>5060</v>
      </c>
      <c r="W1108" s="116"/>
    </row>
    <row r="1109">
      <c r="A1109" s="114" t="s">
        <v>39</v>
      </c>
      <c r="B1109" s="115"/>
      <c r="C1109" s="116"/>
      <c r="D1109" s="116"/>
      <c r="E1109" s="116" t="str">
        <f>IFERROR(__xludf.DUMMYFUNCTION("""COMPUTED_VALUE"""),"")</f>
        <v/>
      </c>
      <c r="F1109" s="117" t="s">
        <v>39</v>
      </c>
      <c r="G1109" s="116"/>
      <c r="H1109" s="117"/>
      <c r="I1109" s="117"/>
      <c r="J1109" s="117"/>
      <c r="K1109" s="117"/>
      <c r="L1109" s="116"/>
      <c r="M1109" s="117"/>
      <c r="N1109" s="118" t="str">
        <f>IFERROR(__xludf.DUMMYFUNCTION("""COMPUTED_VALUE"""),"")</f>
        <v/>
      </c>
      <c r="O1109" s="116"/>
      <c r="P1109" s="116"/>
      <c r="Q1109" s="116"/>
      <c r="R1109" s="116" t="s">
        <v>39</v>
      </c>
      <c r="S1109" s="116" t="s">
        <v>39</v>
      </c>
      <c r="T1109" s="104" t="s">
        <v>5061</v>
      </c>
      <c r="U1109" s="116"/>
      <c r="V1109" s="104" t="s">
        <v>5061</v>
      </c>
      <c r="W1109" s="116"/>
    </row>
    <row r="1110">
      <c r="A1110" s="114" t="s">
        <v>39</v>
      </c>
      <c r="B1110" s="115"/>
      <c r="C1110" s="116"/>
      <c r="D1110" s="116"/>
      <c r="E1110" s="116" t="str">
        <f>IFERROR(__xludf.DUMMYFUNCTION("""COMPUTED_VALUE"""),"")</f>
        <v/>
      </c>
      <c r="F1110" s="117" t="s">
        <v>39</v>
      </c>
      <c r="G1110" s="116"/>
      <c r="H1110" s="117"/>
      <c r="I1110" s="117"/>
      <c r="J1110" s="117"/>
      <c r="K1110" s="117"/>
      <c r="L1110" s="116"/>
      <c r="M1110" s="117"/>
      <c r="N1110" s="118" t="str">
        <f>IFERROR(__xludf.DUMMYFUNCTION("""COMPUTED_VALUE"""),"")</f>
        <v/>
      </c>
      <c r="O1110" s="116"/>
      <c r="P1110" s="116"/>
      <c r="Q1110" s="116"/>
      <c r="R1110" s="116" t="s">
        <v>39</v>
      </c>
      <c r="S1110" s="116" t="s">
        <v>39</v>
      </c>
      <c r="T1110" s="104" t="s">
        <v>5062</v>
      </c>
      <c r="U1110" s="116"/>
      <c r="V1110" s="104" t="s">
        <v>5062</v>
      </c>
      <c r="W1110" s="116"/>
    </row>
    <row r="1111">
      <c r="A1111" s="114" t="s">
        <v>39</v>
      </c>
      <c r="B1111" s="115"/>
      <c r="C1111" s="116"/>
      <c r="D1111" s="116"/>
      <c r="E1111" s="116" t="str">
        <f>IFERROR(__xludf.DUMMYFUNCTION("""COMPUTED_VALUE"""),"")</f>
        <v/>
      </c>
      <c r="F1111" s="117" t="s">
        <v>39</v>
      </c>
      <c r="G1111" s="116"/>
      <c r="H1111" s="117"/>
      <c r="I1111" s="117"/>
      <c r="J1111" s="117"/>
      <c r="K1111" s="117"/>
      <c r="L1111" s="116"/>
      <c r="M1111" s="117"/>
      <c r="N1111" s="118" t="str">
        <f>IFERROR(__xludf.DUMMYFUNCTION("""COMPUTED_VALUE"""),"")</f>
        <v/>
      </c>
      <c r="O1111" s="116"/>
      <c r="P1111" s="116"/>
      <c r="Q1111" s="116"/>
      <c r="R1111" s="116" t="s">
        <v>39</v>
      </c>
      <c r="S1111" s="116" t="s">
        <v>39</v>
      </c>
      <c r="T1111" s="104" t="s">
        <v>5063</v>
      </c>
      <c r="U1111" s="116"/>
      <c r="V1111" s="104" t="s">
        <v>5063</v>
      </c>
      <c r="W1111" s="116"/>
    </row>
    <row r="1112">
      <c r="A1112" s="114" t="s">
        <v>39</v>
      </c>
      <c r="B1112" s="115"/>
      <c r="C1112" s="116"/>
      <c r="D1112" s="116"/>
      <c r="E1112" s="116" t="str">
        <f>IFERROR(__xludf.DUMMYFUNCTION("""COMPUTED_VALUE"""),"")</f>
        <v/>
      </c>
      <c r="F1112" s="117" t="s">
        <v>39</v>
      </c>
      <c r="G1112" s="116"/>
      <c r="H1112" s="117"/>
      <c r="I1112" s="117"/>
      <c r="J1112" s="117"/>
      <c r="K1112" s="117"/>
      <c r="L1112" s="116"/>
      <c r="M1112" s="117"/>
      <c r="N1112" s="118" t="str">
        <f>IFERROR(__xludf.DUMMYFUNCTION("""COMPUTED_VALUE"""),"")</f>
        <v/>
      </c>
      <c r="O1112" s="116"/>
      <c r="P1112" s="116"/>
      <c r="Q1112" s="116"/>
      <c r="R1112" s="116" t="s">
        <v>39</v>
      </c>
      <c r="S1112" s="116" t="s">
        <v>39</v>
      </c>
      <c r="T1112" s="104" t="s">
        <v>5064</v>
      </c>
      <c r="U1112" s="116"/>
      <c r="V1112" s="104" t="s">
        <v>5064</v>
      </c>
      <c r="W1112" s="116"/>
    </row>
    <row r="1113">
      <c r="A1113" s="114" t="s">
        <v>39</v>
      </c>
      <c r="B1113" s="115"/>
      <c r="C1113" s="116"/>
      <c r="D1113" s="116"/>
      <c r="E1113" s="116" t="str">
        <f>IFERROR(__xludf.DUMMYFUNCTION("""COMPUTED_VALUE"""),"")</f>
        <v/>
      </c>
      <c r="F1113" s="117" t="s">
        <v>39</v>
      </c>
      <c r="G1113" s="116"/>
      <c r="H1113" s="117"/>
      <c r="I1113" s="117"/>
      <c r="J1113" s="117"/>
      <c r="K1113" s="117"/>
      <c r="L1113" s="116"/>
      <c r="M1113" s="117"/>
      <c r="N1113" s="118" t="str">
        <f>IFERROR(__xludf.DUMMYFUNCTION("""COMPUTED_VALUE"""),"")</f>
        <v/>
      </c>
      <c r="O1113" s="116"/>
      <c r="P1113" s="116"/>
      <c r="Q1113" s="116"/>
      <c r="R1113" s="116" t="s">
        <v>39</v>
      </c>
      <c r="S1113" s="116" t="s">
        <v>39</v>
      </c>
      <c r="T1113" s="104" t="s">
        <v>5065</v>
      </c>
      <c r="U1113" s="116"/>
      <c r="V1113" s="104" t="s">
        <v>5065</v>
      </c>
      <c r="W1113" s="116"/>
    </row>
    <row r="1114">
      <c r="A1114" s="114" t="s">
        <v>39</v>
      </c>
      <c r="B1114" s="115"/>
      <c r="C1114" s="116"/>
      <c r="D1114" s="116"/>
      <c r="E1114" s="116" t="str">
        <f>IFERROR(__xludf.DUMMYFUNCTION("""COMPUTED_VALUE"""),"")</f>
        <v/>
      </c>
      <c r="F1114" s="117" t="s">
        <v>39</v>
      </c>
      <c r="G1114" s="116"/>
      <c r="H1114" s="117"/>
      <c r="I1114" s="117"/>
      <c r="J1114" s="117"/>
      <c r="K1114" s="117"/>
      <c r="L1114" s="116"/>
      <c r="M1114" s="117"/>
      <c r="N1114" s="118" t="str">
        <f>IFERROR(__xludf.DUMMYFUNCTION("""COMPUTED_VALUE"""),"")</f>
        <v/>
      </c>
      <c r="O1114" s="116"/>
      <c r="P1114" s="116"/>
      <c r="Q1114" s="116"/>
      <c r="R1114" s="116" t="s">
        <v>39</v>
      </c>
      <c r="S1114" s="116" t="s">
        <v>39</v>
      </c>
      <c r="T1114" s="104" t="s">
        <v>5066</v>
      </c>
      <c r="U1114" s="116"/>
      <c r="V1114" s="104" t="s">
        <v>5066</v>
      </c>
      <c r="W1114" s="116"/>
    </row>
    <row r="1115">
      <c r="A1115" s="114" t="s">
        <v>39</v>
      </c>
      <c r="B1115" s="115"/>
      <c r="C1115" s="116"/>
      <c r="D1115" s="116"/>
      <c r="E1115" s="116" t="str">
        <f>IFERROR(__xludf.DUMMYFUNCTION("""COMPUTED_VALUE"""),"")</f>
        <v/>
      </c>
      <c r="F1115" s="117" t="s">
        <v>39</v>
      </c>
      <c r="G1115" s="116"/>
      <c r="H1115" s="117"/>
      <c r="I1115" s="117"/>
      <c r="J1115" s="117"/>
      <c r="K1115" s="117"/>
      <c r="L1115" s="116"/>
      <c r="M1115" s="117"/>
      <c r="N1115" s="118" t="str">
        <f>IFERROR(__xludf.DUMMYFUNCTION("""COMPUTED_VALUE"""),"")</f>
        <v/>
      </c>
      <c r="O1115" s="116"/>
      <c r="P1115" s="116"/>
      <c r="Q1115" s="116"/>
      <c r="R1115" s="116" t="s">
        <v>39</v>
      </c>
      <c r="S1115" s="116" t="s">
        <v>39</v>
      </c>
      <c r="T1115" s="104" t="s">
        <v>5067</v>
      </c>
      <c r="U1115" s="116"/>
      <c r="V1115" s="104" t="s">
        <v>5067</v>
      </c>
      <c r="W1115" s="116"/>
    </row>
    <row r="1116">
      <c r="A1116" s="114" t="s">
        <v>39</v>
      </c>
      <c r="B1116" s="115"/>
      <c r="C1116" s="116"/>
      <c r="D1116" s="116"/>
      <c r="E1116" s="116" t="str">
        <f>IFERROR(__xludf.DUMMYFUNCTION("""COMPUTED_VALUE"""),"")</f>
        <v/>
      </c>
      <c r="F1116" s="117" t="s">
        <v>39</v>
      </c>
      <c r="G1116" s="116"/>
      <c r="H1116" s="117"/>
      <c r="I1116" s="117"/>
      <c r="J1116" s="117"/>
      <c r="K1116" s="117"/>
      <c r="L1116" s="116"/>
      <c r="M1116" s="117"/>
      <c r="N1116" s="118" t="str">
        <f>IFERROR(__xludf.DUMMYFUNCTION("""COMPUTED_VALUE"""),"")</f>
        <v/>
      </c>
      <c r="O1116" s="116"/>
      <c r="P1116" s="116"/>
      <c r="Q1116" s="116"/>
      <c r="R1116" s="116" t="s">
        <v>39</v>
      </c>
      <c r="S1116" s="116" t="s">
        <v>39</v>
      </c>
      <c r="T1116" s="104" t="s">
        <v>5068</v>
      </c>
      <c r="U1116" s="116"/>
      <c r="V1116" s="104" t="s">
        <v>5068</v>
      </c>
      <c r="W1116" s="116"/>
    </row>
    <row r="1117">
      <c r="A1117" s="114" t="s">
        <v>39</v>
      </c>
      <c r="B1117" s="115"/>
      <c r="C1117" s="116"/>
      <c r="D1117" s="116"/>
      <c r="E1117" s="116" t="str">
        <f>IFERROR(__xludf.DUMMYFUNCTION("""COMPUTED_VALUE"""),"")</f>
        <v/>
      </c>
      <c r="F1117" s="117" t="s">
        <v>39</v>
      </c>
      <c r="G1117" s="116"/>
      <c r="H1117" s="117"/>
      <c r="I1117" s="117"/>
      <c r="J1117" s="117"/>
      <c r="K1117" s="117"/>
      <c r="L1117" s="116"/>
      <c r="M1117" s="117"/>
      <c r="N1117" s="118" t="str">
        <f>IFERROR(__xludf.DUMMYFUNCTION("""COMPUTED_VALUE"""),"")</f>
        <v/>
      </c>
      <c r="O1117" s="116"/>
      <c r="P1117" s="116"/>
      <c r="Q1117" s="116"/>
      <c r="R1117" s="116" t="s">
        <v>39</v>
      </c>
      <c r="S1117" s="116" t="s">
        <v>39</v>
      </c>
      <c r="T1117" s="104" t="s">
        <v>5069</v>
      </c>
      <c r="U1117" s="116"/>
      <c r="V1117" s="104" t="s">
        <v>5069</v>
      </c>
      <c r="W1117" s="116"/>
    </row>
    <row r="1118">
      <c r="A1118" s="114" t="s">
        <v>39</v>
      </c>
      <c r="B1118" s="115"/>
      <c r="C1118" s="116"/>
      <c r="D1118" s="116"/>
      <c r="E1118" s="116" t="str">
        <f>IFERROR(__xludf.DUMMYFUNCTION("""COMPUTED_VALUE"""),"")</f>
        <v/>
      </c>
      <c r="F1118" s="117" t="s">
        <v>39</v>
      </c>
      <c r="G1118" s="116"/>
      <c r="H1118" s="117"/>
      <c r="I1118" s="117"/>
      <c r="J1118" s="117"/>
      <c r="K1118" s="117"/>
      <c r="L1118" s="116"/>
      <c r="M1118" s="117"/>
      <c r="N1118" s="118" t="str">
        <f>IFERROR(__xludf.DUMMYFUNCTION("""COMPUTED_VALUE"""),"")</f>
        <v/>
      </c>
      <c r="O1118" s="116"/>
      <c r="P1118" s="116"/>
      <c r="Q1118" s="116"/>
      <c r="R1118" s="116" t="s">
        <v>39</v>
      </c>
      <c r="S1118" s="116" t="s">
        <v>39</v>
      </c>
      <c r="T1118" s="104" t="s">
        <v>5070</v>
      </c>
      <c r="U1118" s="116"/>
      <c r="V1118" s="104" t="s">
        <v>5070</v>
      </c>
      <c r="W1118" s="116"/>
    </row>
    <row r="1119">
      <c r="A1119" s="114" t="s">
        <v>39</v>
      </c>
      <c r="B1119" s="115"/>
      <c r="C1119" s="116"/>
      <c r="D1119" s="116"/>
      <c r="E1119" s="116" t="str">
        <f>IFERROR(__xludf.DUMMYFUNCTION("""COMPUTED_VALUE"""),"")</f>
        <v/>
      </c>
      <c r="F1119" s="117" t="s">
        <v>39</v>
      </c>
      <c r="G1119" s="116"/>
      <c r="H1119" s="117"/>
      <c r="I1119" s="117"/>
      <c r="J1119" s="117"/>
      <c r="K1119" s="117"/>
      <c r="L1119" s="116"/>
      <c r="M1119" s="117"/>
      <c r="N1119" s="118" t="str">
        <f>IFERROR(__xludf.DUMMYFUNCTION("""COMPUTED_VALUE"""),"")</f>
        <v/>
      </c>
      <c r="O1119" s="116"/>
      <c r="P1119" s="116"/>
      <c r="Q1119" s="116"/>
      <c r="R1119" s="116" t="s">
        <v>39</v>
      </c>
      <c r="S1119" s="116" t="s">
        <v>39</v>
      </c>
      <c r="T1119" s="104" t="s">
        <v>5071</v>
      </c>
      <c r="U1119" s="116"/>
      <c r="V1119" s="104" t="s">
        <v>5071</v>
      </c>
      <c r="W1119" s="116"/>
    </row>
    <row r="1120">
      <c r="A1120" s="114" t="s">
        <v>39</v>
      </c>
      <c r="B1120" s="115"/>
      <c r="C1120" s="116"/>
      <c r="D1120" s="116"/>
      <c r="E1120" s="116" t="str">
        <f>IFERROR(__xludf.DUMMYFUNCTION("""COMPUTED_VALUE"""),"")</f>
        <v/>
      </c>
      <c r="F1120" s="117" t="s">
        <v>39</v>
      </c>
      <c r="G1120" s="116"/>
      <c r="H1120" s="117"/>
      <c r="I1120" s="117"/>
      <c r="J1120" s="117"/>
      <c r="K1120" s="117"/>
      <c r="L1120" s="116"/>
      <c r="M1120" s="117"/>
      <c r="N1120" s="118" t="str">
        <f>IFERROR(__xludf.DUMMYFUNCTION("""COMPUTED_VALUE"""),"")</f>
        <v/>
      </c>
      <c r="O1120" s="116"/>
      <c r="P1120" s="116"/>
      <c r="Q1120" s="116"/>
      <c r="R1120" s="116" t="s">
        <v>39</v>
      </c>
      <c r="S1120" s="116" t="s">
        <v>39</v>
      </c>
      <c r="T1120" s="104" t="s">
        <v>5072</v>
      </c>
      <c r="U1120" s="116"/>
      <c r="V1120" s="104" t="s">
        <v>5072</v>
      </c>
      <c r="W1120" s="116"/>
    </row>
    <row r="1121">
      <c r="A1121" s="114" t="s">
        <v>39</v>
      </c>
      <c r="B1121" s="115"/>
      <c r="C1121" s="116"/>
      <c r="D1121" s="116"/>
      <c r="E1121" s="116" t="str">
        <f>IFERROR(__xludf.DUMMYFUNCTION("""COMPUTED_VALUE"""),"")</f>
        <v/>
      </c>
      <c r="F1121" s="117" t="s">
        <v>39</v>
      </c>
      <c r="G1121" s="116"/>
      <c r="H1121" s="117"/>
      <c r="I1121" s="117"/>
      <c r="J1121" s="117"/>
      <c r="K1121" s="117"/>
      <c r="L1121" s="116"/>
      <c r="M1121" s="117"/>
      <c r="N1121" s="118" t="str">
        <f>IFERROR(__xludf.DUMMYFUNCTION("""COMPUTED_VALUE"""),"")</f>
        <v/>
      </c>
      <c r="O1121" s="116"/>
      <c r="P1121" s="116"/>
      <c r="Q1121" s="116"/>
      <c r="R1121" s="116" t="s">
        <v>39</v>
      </c>
      <c r="S1121" s="116" t="s">
        <v>39</v>
      </c>
      <c r="T1121" s="104" t="s">
        <v>5073</v>
      </c>
      <c r="U1121" s="116"/>
      <c r="V1121" s="104" t="s">
        <v>5073</v>
      </c>
      <c r="W1121" s="116"/>
    </row>
    <row r="1122">
      <c r="A1122" s="114" t="s">
        <v>39</v>
      </c>
      <c r="B1122" s="115"/>
      <c r="C1122" s="116"/>
      <c r="D1122" s="116"/>
      <c r="E1122" s="116" t="str">
        <f>IFERROR(__xludf.DUMMYFUNCTION("""COMPUTED_VALUE"""),"")</f>
        <v/>
      </c>
      <c r="F1122" s="117" t="s">
        <v>39</v>
      </c>
      <c r="G1122" s="116"/>
      <c r="H1122" s="117"/>
      <c r="I1122" s="117"/>
      <c r="J1122" s="117"/>
      <c r="K1122" s="117"/>
      <c r="L1122" s="116"/>
      <c r="M1122" s="117"/>
      <c r="N1122" s="118" t="str">
        <f>IFERROR(__xludf.DUMMYFUNCTION("""COMPUTED_VALUE"""),"")</f>
        <v/>
      </c>
      <c r="O1122" s="116"/>
      <c r="P1122" s="116"/>
      <c r="Q1122" s="116"/>
      <c r="R1122" s="116" t="s">
        <v>39</v>
      </c>
      <c r="S1122" s="116" t="s">
        <v>39</v>
      </c>
      <c r="T1122" s="104" t="s">
        <v>5074</v>
      </c>
      <c r="U1122" s="116"/>
      <c r="V1122" s="104" t="s">
        <v>5074</v>
      </c>
      <c r="W1122" s="116"/>
    </row>
    <row r="1123">
      <c r="A1123" s="114" t="s">
        <v>39</v>
      </c>
      <c r="B1123" s="115"/>
      <c r="C1123" s="116"/>
      <c r="D1123" s="116"/>
      <c r="E1123" s="116" t="str">
        <f>IFERROR(__xludf.DUMMYFUNCTION("""COMPUTED_VALUE"""),"")</f>
        <v/>
      </c>
      <c r="F1123" s="117" t="s">
        <v>39</v>
      </c>
      <c r="G1123" s="116"/>
      <c r="H1123" s="117"/>
      <c r="I1123" s="117"/>
      <c r="J1123" s="117"/>
      <c r="K1123" s="117"/>
      <c r="L1123" s="116"/>
      <c r="M1123" s="117"/>
      <c r="N1123" s="118" t="str">
        <f>IFERROR(__xludf.DUMMYFUNCTION("""COMPUTED_VALUE"""),"")</f>
        <v/>
      </c>
      <c r="O1123" s="116"/>
      <c r="P1123" s="116"/>
      <c r="Q1123" s="116"/>
      <c r="R1123" s="116" t="s">
        <v>39</v>
      </c>
      <c r="S1123" s="116" t="s">
        <v>39</v>
      </c>
      <c r="T1123" s="104" t="s">
        <v>5075</v>
      </c>
      <c r="U1123" s="116"/>
      <c r="V1123" s="104" t="s">
        <v>5075</v>
      </c>
      <c r="W1123" s="116"/>
    </row>
    <row r="1124">
      <c r="A1124" s="114" t="s">
        <v>39</v>
      </c>
      <c r="B1124" s="115"/>
      <c r="C1124" s="116"/>
      <c r="D1124" s="116"/>
      <c r="E1124" s="116" t="str">
        <f>IFERROR(__xludf.DUMMYFUNCTION("""COMPUTED_VALUE"""),"")</f>
        <v/>
      </c>
      <c r="F1124" s="117" t="s">
        <v>39</v>
      </c>
      <c r="G1124" s="116"/>
      <c r="H1124" s="117"/>
      <c r="I1124" s="117"/>
      <c r="J1124" s="117"/>
      <c r="K1124" s="117"/>
      <c r="L1124" s="116"/>
      <c r="M1124" s="117"/>
      <c r="N1124" s="118" t="str">
        <f>IFERROR(__xludf.DUMMYFUNCTION("""COMPUTED_VALUE"""),"")</f>
        <v/>
      </c>
      <c r="O1124" s="116"/>
      <c r="P1124" s="116"/>
      <c r="Q1124" s="116"/>
      <c r="R1124" s="116" t="s">
        <v>39</v>
      </c>
      <c r="S1124" s="116" t="s">
        <v>39</v>
      </c>
      <c r="T1124" s="104" t="s">
        <v>5076</v>
      </c>
      <c r="U1124" s="116"/>
      <c r="V1124" s="104" t="s">
        <v>5076</v>
      </c>
      <c r="W1124" s="116"/>
    </row>
    <row r="1125">
      <c r="A1125" s="114" t="s">
        <v>39</v>
      </c>
      <c r="B1125" s="115"/>
      <c r="C1125" s="116"/>
      <c r="D1125" s="116"/>
      <c r="E1125" s="116" t="str">
        <f>IFERROR(__xludf.DUMMYFUNCTION("""COMPUTED_VALUE"""),"")</f>
        <v/>
      </c>
      <c r="F1125" s="117" t="s">
        <v>39</v>
      </c>
      <c r="G1125" s="116"/>
      <c r="H1125" s="117"/>
      <c r="I1125" s="117"/>
      <c r="J1125" s="117"/>
      <c r="K1125" s="117"/>
      <c r="L1125" s="116"/>
      <c r="M1125" s="117"/>
      <c r="N1125" s="118" t="str">
        <f>IFERROR(__xludf.DUMMYFUNCTION("""COMPUTED_VALUE"""),"")</f>
        <v/>
      </c>
      <c r="O1125" s="116"/>
      <c r="P1125" s="116"/>
      <c r="Q1125" s="116"/>
      <c r="R1125" s="116" t="s">
        <v>39</v>
      </c>
      <c r="S1125" s="116" t="s">
        <v>39</v>
      </c>
      <c r="T1125" s="104" t="s">
        <v>5077</v>
      </c>
      <c r="U1125" s="116"/>
      <c r="V1125" s="104" t="s">
        <v>5077</v>
      </c>
      <c r="W1125" s="116"/>
    </row>
    <row r="1126">
      <c r="A1126" s="114" t="s">
        <v>39</v>
      </c>
      <c r="B1126" s="115"/>
      <c r="C1126" s="116"/>
      <c r="D1126" s="116"/>
      <c r="E1126" s="116" t="str">
        <f>IFERROR(__xludf.DUMMYFUNCTION("""COMPUTED_VALUE"""),"")</f>
        <v/>
      </c>
      <c r="F1126" s="117" t="s">
        <v>39</v>
      </c>
      <c r="G1126" s="116"/>
      <c r="H1126" s="117"/>
      <c r="I1126" s="117"/>
      <c r="J1126" s="117"/>
      <c r="K1126" s="117"/>
      <c r="L1126" s="116"/>
      <c r="M1126" s="117"/>
      <c r="N1126" s="118" t="str">
        <f>IFERROR(__xludf.DUMMYFUNCTION("""COMPUTED_VALUE"""),"")</f>
        <v/>
      </c>
      <c r="O1126" s="116"/>
      <c r="P1126" s="116"/>
      <c r="Q1126" s="116"/>
      <c r="R1126" s="116" t="s">
        <v>39</v>
      </c>
      <c r="S1126" s="116" t="s">
        <v>39</v>
      </c>
      <c r="T1126" s="104" t="s">
        <v>5078</v>
      </c>
      <c r="U1126" s="116"/>
      <c r="V1126" s="104" t="s">
        <v>5078</v>
      </c>
      <c r="W1126" s="116"/>
    </row>
    <row r="1127">
      <c r="A1127" s="114" t="s">
        <v>39</v>
      </c>
      <c r="B1127" s="115"/>
      <c r="C1127" s="116"/>
      <c r="D1127" s="116"/>
      <c r="E1127" s="116" t="str">
        <f>IFERROR(__xludf.DUMMYFUNCTION("""COMPUTED_VALUE"""),"")</f>
        <v/>
      </c>
      <c r="F1127" s="117" t="s">
        <v>39</v>
      </c>
      <c r="G1127" s="116"/>
      <c r="H1127" s="117"/>
      <c r="I1127" s="117"/>
      <c r="J1127" s="117"/>
      <c r="K1127" s="117"/>
      <c r="L1127" s="116"/>
      <c r="M1127" s="117"/>
      <c r="N1127" s="118" t="str">
        <f>IFERROR(__xludf.DUMMYFUNCTION("""COMPUTED_VALUE"""),"")</f>
        <v/>
      </c>
      <c r="O1127" s="116"/>
      <c r="P1127" s="116"/>
      <c r="Q1127" s="116"/>
      <c r="R1127" s="116" t="s">
        <v>39</v>
      </c>
      <c r="S1127" s="116" t="s">
        <v>39</v>
      </c>
      <c r="T1127" s="104" t="s">
        <v>5079</v>
      </c>
      <c r="U1127" s="116"/>
      <c r="V1127" s="104" t="s">
        <v>5079</v>
      </c>
      <c r="W1127" s="116"/>
    </row>
    <row r="1128">
      <c r="A1128" s="114" t="s">
        <v>39</v>
      </c>
      <c r="B1128" s="115"/>
      <c r="C1128" s="116"/>
      <c r="D1128" s="116"/>
      <c r="E1128" s="116" t="str">
        <f>IFERROR(__xludf.DUMMYFUNCTION("""COMPUTED_VALUE"""),"")</f>
        <v/>
      </c>
      <c r="F1128" s="117" t="s">
        <v>39</v>
      </c>
      <c r="G1128" s="116"/>
      <c r="H1128" s="117"/>
      <c r="I1128" s="117"/>
      <c r="J1128" s="117"/>
      <c r="K1128" s="117"/>
      <c r="L1128" s="116"/>
      <c r="M1128" s="117"/>
      <c r="N1128" s="118" t="str">
        <f>IFERROR(__xludf.DUMMYFUNCTION("""COMPUTED_VALUE"""),"")</f>
        <v/>
      </c>
      <c r="O1128" s="116"/>
      <c r="P1128" s="116"/>
      <c r="Q1128" s="116"/>
      <c r="R1128" s="116" t="s">
        <v>39</v>
      </c>
      <c r="S1128" s="116" t="s">
        <v>39</v>
      </c>
      <c r="T1128" s="104" t="s">
        <v>5080</v>
      </c>
      <c r="U1128" s="116"/>
      <c r="V1128" s="104" t="s">
        <v>5080</v>
      </c>
      <c r="W1128" s="116"/>
    </row>
    <row r="1129">
      <c r="A1129" s="114" t="s">
        <v>39</v>
      </c>
      <c r="B1129" s="115"/>
      <c r="C1129" s="116"/>
      <c r="D1129" s="116"/>
      <c r="E1129" s="116" t="str">
        <f>IFERROR(__xludf.DUMMYFUNCTION("""COMPUTED_VALUE"""),"")</f>
        <v/>
      </c>
      <c r="F1129" s="117" t="s">
        <v>39</v>
      </c>
      <c r="G1129" s="116"/>
      <c r="H1129" s="117"/>
      <c r="I1129" s="117"/>
      <c r="J1129" s="117"/>
      <c r="K1129" s="117"/>
      <c r="L1129" s="116"/>
      <c r="M1129" s="117"/>
      <c r="N1129" s="118" t="str">
        <f>IFERROR(__xludf.DUMMYFUNCTION("""COMPUTED_VALUE"""),"")</f>
        <v/>
      </c>
      <c r="O1129" s="116"/>
      <c r="P1129" s="116"/>
      <c r="Q1129" s="116"/>
      <c r="R1129" s="116" t="s">
        <v>39</v>
      </c>
      <c r="S1129" s="116" t="s">
        <v>39</v>
      </c>
      <c r="T1129" s="104" t="s">
        <v>5081</v>
      </c>
      <c r="U1129" s="116"/>
      <c r="V1129" s="104" t="s">
        <v>5081</v>
      </c>
      <c r="W1129" s="116"/>
    </row>
    <row r="1130">
      <c r="A1130" s="114" t="s">
        <v>39</v>
      </c>
      <c r="B1130" s="115"/>
      <c r="C1130" s="116"/>
      <c r="D1130" s="116"/>
      <c r="E1130" s="116" t="str">
        <f>IFERROR(__xludf.DUMMYFUNCTION("""COMPUTED_VALUE"""),"")</f>
        <v/>
      </c>
      <c r="F1130" s="117" t="s">
        <v>39</v>
      </c>
      <c r="G1130" s="116"/>
      <c r="H1130" s="117"/>
      <c r="I1130" s="117"/>
      <c r="J1130" s="117"/>
      <c r="K1130" s="117"/>
      <c r="L1130" s="116"/>
      <c r="M1130" s="117"/>
      <c r="N1130" s="118" t="str">
        <f>IFERROR(__xludf.DUMMYFUNCTION("""COMPUTED_VALUE"""),"")</f>
        <v/>
      </c>
      <c r="O1130" s="116"/>
      <c r="P1130" s="116"/>
      <c r="Q1130" s="116"/>
      <c r="R1130" s="116" t="s">
        <v>39</v>
      </c>
      <c r="S1130" s="116" t="s">
        <v>39</v>
      </c>
      <c r="T1130" s="104" t="s">
        <v>5082</v>
      </c>
      <c r="U1130" s="116"/>
      <c r="V1130" s="104" t="s">
        <v>5082</v>
      </c>
      <c r="W1130" s="116"/>
    </row>
    <row r="1131">
      <c r="A1131" s="114" t="s">
        <v>39</v>
      </c>
      <c r="B1131" s="115"/>
      <c r="C1131" s="116"/>
      <c r="D1131" s="116"/>
      <c r="E1131" s="116" t="str">
        <f>IFERROR(__xludf.DUMMYFUNCTION("""COMPUTED_VALUE"""),"")</f>
        <v/>
      </c>
      <c r="F1131" s="117" t="s">
        <v>39</v>
      </c>
      <c r="G1131" s="116"/>
      <c r="H1131" s="117"/>
      <c r="I1131" s="117"/>
      <c r="J1131" s="117"/>
      <c r="K1131" s="117"/>
      <c r="L1131" s="116"/>
      <c r="M1131" s="117"/>
      <c r="N1131" s="118" t="str">
        <f>IFERROR(__xludf.DUMMYFUNCTION("""COMPUTED_VALUE"""),"")</f>
        <v/>
      </c>
      <c r="O1131" s="116"/>
      <c r="P1131" s="116"/>
      <c r="Q1131" s="116"/>
      <c r="R1131" s="116" t="s">
        <v>39</v>
      </c>
      <c r="S1131" s="116" t="s">
        <v>39</v>
      </c>
      <c r="T1131" s="104" t="s">
        <v>5083</v>
      </c>
      <c r="U1131" s="116"/>
      <c r="V1131" s="104" t="s">
        <v>5083</v>
      </c>
      <c r="W1131" s="116"/>
    </row>
    <row r="1132">
      <c r="A1132" s="114" t="s">
        <v>39</v>
      </c>
      <c r="B1132" s="115"/>
      <c r="C1132" s="116"/>
      <c r="D1132" s="116"/>
      <c r="E1132" s="116" t="str">
        <f>IFERROR(__xludf.DUMMYFUNCTION("""COMPUTED_VALUE"""),"")</f>
        <v/>
      </c>
      <c r="F1132" s="117" t="s">
        <v>39</v>
      </c>
      <c r="G1132" s="116"/>
      <c r="H1132" s="117"/>
      <c r="I1132" s="117"/>
      <c r="J1132" s="117"/>
      <c r="K1132" s="117"/>
      <c r="L1132" s="116"/>
      <c r="M1132" s="117"/>
      <c r="N1132" s="118" t="str">
        <f>IFERROR(__xludf.DUMMYFUNCTION("""COMPUTED_VALUE"""),"")</f>
        <v/>
      </c>
      <c r="O1132" s="116"/>
      <c r="P1132" s="116"/>
      <c r="Q1132" s="116"/>
      <c r="R1132" s="116" t="s">
        <v>39</v>
      </c>
      <c r="S1132" s="116" t="s">
        <v>39</v>
      </c>
      <c r="T1132" s="104" t="s">
        <v>5084</v>
      </c>
      <c r="U1132" s="116"/>
      <c r="V1132" s="104" t="s">
        <v>5084</v>
      </c>
      <c r="W1132" s="116"/>
    </row>
    <row r="1133">
      <c r="A1133" s="114" t="s">
        <v>39</v>
      </c>
      <c r="B1133" s="115"/>
      <c r="C1133" s="116"/>
      <c r="D1133" s="116"/>
      <c r="E1133" s="116" t="str">
        <f>IFERROR(__xludf.DUMMYFUNCTION("""COMPUTED_VALUE"""),"")</f>
        <v/>
      </c>
      <c r="F1133" s="117" t="s">
        <v>39</v>
      </c>
      <c r="G1133" s="116"/>
      <c r="H1133" s="117"/>
      <c r="I1133" s="117"/>
      <c r="J1133" s="117"/>
      <c r="K1133" s="117"/>
      <c r="L1133" s="116"/>
      <c r="M1133" s="117"/>
      <c r="N1133" s="118" t="str">
        <f>IFERROR(__xludf.DUMMYFUNCTION("""COMPUTED_VALUE"""),"")</f>
        <v/>
      </c>
      <c r="O1133" s="116"/>
      <c r="P1133" s="116"/>
      <c r="Q1133" s="116"/>
      <c r="R1133" s="116" t="s">
        <v>39</v>
      </c>
      <c r="S1133" s="116" t="s">
        <v>39</v>
      </c>
      <c r="T1133" s="104" t="s">
        <v>5085</v>
      </c>
      <c r="U1133" s="116"/>
      <c r="V1133" s="104" t="s">
        <v>5085</v>
      </c>
      <c r="W1133" s="116"/>
    </row>
    <row r="1134">
      <c r="A1134" s="114" t="s">
        <v>39</v>
      </c>
      <c r="B1134" s="115"/>
      <c r="C1134" s="116"/>
      <c r="D1134" s="116"/>
      <c r="E1134" s="116" t="str">
        <f>IFERROR(__xludf.DUMMYFUNCTION("""COMPUTED_VALUE"""),"")</f>
        <v/>
      </c>
      <c r="F1134" s="117" t="s">
        <v>39</v>
      </c>
      <c r="G1134" s="116"/>
      <c r="H1134" s="117"/>
      <c r="I1134" s="117"/>
      <c r="J1134" s="117"/>
      <c r="K1134" s="117"/>
      <c r="L1134" s="116"/>
      <c r="M1134" s="117"/>
      <c r="N1134" s="118" t="str">
        <f>IFERROR(__xludf.DUMMYFUNCTION("""COMPUTED_VALUE"""),"")</f>
        <v/>
      </c>
      <c r="O1134" s="116"/>
      <c r="P1134" s="116"/>
      <c r="Q1134" s="116"/>
      <c r="R1134" s="116" t="s">
        <v>39</v>
      </c>
      <c r="S1134" s="116" t="s">
        <v>39</v>
      </c>
      <c r="T1134" s="104" t="s">
        <v>5086</v>
      </c>
      <c r="U1134" s="116"/>
      <c r="V1134" s="104" t="s">
        <v>5086</v>
      </c>
      <c r="W1134" s="116"/>
    </row>
    <row r="1135">
      <c r="A1135" s="114" t="s">
        <v>39</v>
      </c>
      <c r="B1135" s="115"/>
      <c r="C1135" s="116"/>
      <c r="D1135" s="116"/>
      <c r="E1135" s="116" t="str">
        <f>IFERROR(__xludf.DUMMYFUNCTION("""COMPUTED_VALUE"""),"")</f>
        <v/>
      </c>
      <c r="F1135" s="117" t="s">
        <v>39</v>
      </c>
      <c r="G1135" s="116"/>
      <c r="H1135" s="117"/>
      <c r="I1135" s="117"/>
      <c r="J1135" s="117"/>
      <c r="K1135" s="117"/>
      <c r="L1135" s="116"/>
      <c r="M1135" s="117"/>
      <c r="N1135" s="118" t="str">
        <f>IFERROR(__xludf.DUMMYFUNCTION("""COMPUTED_VALUE"""),"")</f>
        <v/>
      </c>
      <c r="O1135" s="116"/>
      <c r="P1135" s="116"/>
      <c r="Q1135" s="116"/>
      <c r="R1135" s="116" t="s">
        <v>39</v>
      </c>
      <c r="S1135" s="116" t="s">
        <v>39</v>
      </c>
      <c r="T1135" s="104" t="s">
        <v>5087</v>
      </c>
      <c r="U1135" s="116"/>
      <c r="V1135" s="104" t="s">
        <v>5087</v>
      </c>
      <c r="W1135" s="116"/>
    </row>
    <row r="1136">
      <c r="A1136" s="114" t="s">
        <v>39</v>
      </c>
      <c r="B1136" s="115"/>
      <c r="C1136" s="116"/>
      <c r="D1136" s="116"/>
      <c r="E1136" s="116" t="str">
        <f>IFERROR(__xludf.DUMMYFUNCTION("""COMPUTED_VALUE"""),"")</f>
        <v/>
      </c>
      <c r="F1136" s="117" t="s">
        <v>39</v>
      </c>
      <c r="G1136" s="116"/>
      <c r="H1136" s="117"/>
      <c r="I1136" s="117"/>
      <c r="J1136" s="117"/>
      <c r="K1136" s="117"/>
      <c r="L1136" s="116"/>
      <c r="M1136" s="117"/>
      <c r="N1136" s="118" t="str">
        <f>IFERROR(__xludf.DUMMYFUNCTION("""COMPUTED_VALUE"""),"")</f>
        <v/>
      </c>
      <c r="O1136" s="116"/>
      <c r="P1136" s="116"/>
      <c r="Q1136" s="116"/>
      <c r="R1136" s="116" t="s">
        <v>39</v>
      </c>
      <c r="S1136" s="116" t="s">
        <v>39</v>
      </c>
      <c r="T1136" s="104" t="s">
        <v>5088</v>
      </c>
      <c r="U1136" s="116"/>
      <c r="V1136" s="104" t="s">
        <v>5088</v>
      </c>
      <c r="W1136" s="116"/>
    </row>
    <row r="1137">
      <c r="A1137" s="114" t="s">
        <v>39</v>
      </c>
      <c r="B1137" s="115"/>
      <c r="C1137" s="116"/>
      <c r="D1137" s="116"/>
      <c r="E1137" s="116" t="str">
        <f>IFERROR(__xludf.DUMMYFUNCTION("""COMPUTED_VALUE"""),"")</f>
        <v/>
      </c>
      <c r="F1137" s="117" t="s">
        <v>39</v>
      </c>
      <c r="G1137" s="116"/>
      <c r="H1137" s="117"/>
      <c r="I1137" s="117"/>
      <c r="J1137" s="117"/>
      <c r="K1137" s="117"/>
      <c r="L1137" s="116"/>
      <c r="M1137" s="117"/>
      <c r="N1137" s="118" t="str">
        <f>IFERROR(__xludf.DUMMYFUNCTION("""COMPUTED_VALUE"""),"")</f>
        <v/>
      </c>
      <c r="O1137" s="116"/>
      <c r="P1137" s="116"/>
      <c r="Q1137" s="116"/>
      <c r="R1137" s="116" t="s">
        <v>39</v>
      </c>
      <c r="S1137" s="116" t="s">
        <v>39</v>
      </c>
      <c r="T1137" s="104" t="s">
        <v>5089</v>
      </c>
      <c r="U1137" s="116"/>
      <c r="V1137" s="104" t="s">
        <v>5089</v>
      </c>
      <c r="W1137" s="116"/>
    </row>
    <row r="1138">
      <c r="A1138" s="114" t="s">
        <v>39</v>
      </c>
      <c r="B1138" s="115"/>
      <c r="C1138" s="116"/>
      <c r="D1138" s="116"/>
      <c r="E1138" s="116" t="str">
        <f>IFERROR(__xludf.DUMMYFUNCTION("""COMPUTED_VALUE"""),"")</f>
        <v/>
      </c>
      <c r="F1138" s="117" t="s">
        <v>39</v>
      </c>
      <c r="G1138" s="116"/>
      <c r="H1138" s="117"/>
      <c r="I1138" s="117"/>
      <c r="J1138" s="117"/>
      <c r="K1138" s="117"/>
      <c r="L1138" s="116"/>
      <c r="M1138" s="117"/>
      <c r="N1138" s="118" t="str">
        <f>IFERROR(__xludf.DUMMYFUNCTION("""COMPUTED_VALUE"""),"")</f>
        <v/>
      </c>
      <c r="O1138" s="116"/>
      <c r="P1138" s="116"/>
      <c r="Q1138" s="116"/>
      <c r="R1138" s="116" t="s">
        <v>39</v>
      </c>
      <c r="S1138" s="116" t="s">
        <v>39</v>
      </c>
      <c r="T1138" s="104" t="s">
        <v>5090</v>
      </c>
      <c r="U1138" s="116"/>
      <c r="V1138" s="104" t="s">
        <v>5090</v>
      </c>
      <c r="W1138" s="116"/>
    </row>
    <row r="1139">
      <c r="A1139" s="114" t="s">
        <v>39</v>
      </c>
      <c r="B1139" s="115"/>
      <c r="C1139" s="116"/>
      <c r="D1139" s="116"/>
      <c r="E1139" s="116" t="str">
        <f>IFERROR(__xludf.DUMMYFUNCTION("""COMPUTED_VALUE"""),"")</f>
        <v/>
      </c>
      <c r="F1139" s="117" t="s">
        <v>39</v>
      </c>
      <c r="G1139" s="116"/>
      <c r="H1139" s="117"/>
      <c r="I1139" s="117"/>
      <c r="J1139" s="117"/>
      <c r="K1139" s="117"/>
      <c r="L1139" s="116"/>
      <c r="M1139" s="117"/>
      <c r="N1139" s="118" t="str">
        <f>IFERROR(__xludf.DUMMYFUNCTION("""COMPUTED_VALUE"""),"")</f>
        <v/>
      </c>
      <c r="O1139" s="116"/>
      <c r="P1139" s="116"/>
      <c r="Q1139" s="116"/>
      <c r="R1139" s="116" t="s">
        <v>39</v>
      </c>
      <c r="S1139" s="116" t="s">
        <v>39</v>
      </c>
      <c r="T1139" s="104" t="s">
        <v>5091</v>
      </c>
      <c r="U1139" s="116"/>
      <c r="V1139" s="104" t="s">
        <v>5091</v>
      </c>
      <c r="W1139" s="116"/>
    </row>
    <row r="1140">
      <c r="A1140" s="114" t="s">
        <v>39</v>
      </c>
      <c r="B1140" s="115"/>
      <c r="C1140" s="116"/>
      <c r="D1140" s="116"/>
      <c r="E1140" s="116" t="str">
        <f>IFERROR(__xludf.DUMMYFUNCTION("""COMPUTED_VALUE"""),"")</f>
        <v/>
      </c>
      <c r="F1140" s="117" t="s">
        <v>39</v>
      </c>
      <c r="G1140" s="116"/>
      <c r="H1140" s="117"/>
      <c r="I1140" s="117"/>
      <c r="J1140" s="117"/>
      <c r="K1140" s="117"/>
      <c r="L1140" s="116"/>
      <c r="M1140" s="117"/>
      <c r="N1140" s="118" t="str">
        <f>IFERROR(__xludf.DUMMYFUNCTION("""COMPUTED_VALUE"""),"")</f>
        <v/>
      </c>
      <c r="O1140" s="116"/>
      <c r="P1140" s="116"/>
      <c r="Q1140" s="116"/>
      <c r="R1140" s="116" t="s">
        <v>39</v>
      </c>
      <c r="S1140" s="116" t="s">
        <v>39</v>
      </c>
      <c r="T1140" s="104" t="s">
        <v>5092</v>
      </c>
      <c r="U1140" s="116"/>
      <c r="V1140" s="104" t="s">
        <v>5092</v>
      </c>
      <c r="W1140" s="116"/>
    </row>
    <row r="1141">
      <c r="A1141" s="114" t="s">
        <v>39</v>
      </c>
      <c r="B1141" s="115"/>
      <c r="C1141" s="116"/>
      <c r="D1141" s="116"/>
      <c r="E1141" s="116" t="str">
        <f>IFERROR(__xludf.DUMMYFUNCTION("""COMPUTED_VALUE"""),"")</f>
        <v/>
      </c>
      <c r="F1141" s="117" t="s">
        <v>39</v>
      </c>
      <c r="G1141" s="116"/>
      <c r="H1141" s="117"/>
      <c r="I1141" s="117"/>
      <c r="J1141" s="117"/>
      <c r="K1141" s="117"/>
      <c r="L1141" s="116"/>
      <c r="M1141" s="117"/>
      <c r="N1141" s="118" t="str">
        <f>IFERROR(__xludf.DUMMYFUNCTION("""COMPUTED_VALUE"""),"")</f>
        <v/>
      </c>
      <c r="O1141" s="116"/>
      <c r="P1141" s="116"/>
      <c r="Q1141" s="116"/>
      <c r="R1141" s="116" t="s">
        <v>39</v>
      </c>
      <c r="S1141" s="116" t="s">
        <v>39</v>
      </c>
      <c r="T1141" s="104" t="s">
        <v>5093</v>
      </c>
      <c r="U1141" s="116"/>
      <c r="V1141" s="104" t="s">
        <v>5093</v>
      </c>
      <c r="W1141" s="116"/>
    </row>
    <row r="1142">
      <c r="A1142" s="114" t="s">
        <v>39</v>
      </c>
      <c r="B1142" s="115"/>
      <c r="C1142" s="116"/>
      <c r="D1142" s="116"/>
      <c r="E1142" s="116" t="str">
        <f>IFERROR(__xludf.DUMMYFUNCTION("""COMPUTED_VALUE"""),"")</f>
        <v/>
      </c>
      <c r="F1142" s="117" t="s">
        <v>39</v>
      </c>
      <c r="G1142" s="116"/>
      <c r="H1142" s="117"/>
      <c r="I1142" s="117"/>
      <c r="J1142" s="117"/>
      <c r="K1142" s="117"/>
      <c r="L1142" s="116"/>
      <c r="M1142" s="117"/>
      <c r="N1142" s="118" t="str">
        <f>IFERROR(__xludf.DUMMYFUNCTION("""COMPUTED_VALUE"""),"")</f>
        <v/>
      </c>
      <c r="O1142" s="116"/>
      <c r="P1142" s="116"/>
      <c r="Q1142" s="116"/>
      <c r="R1142" s="116" t="s">
        <v>39</v>
      </c>
      <c r="S1142" s="116" t="s">
        <v>39</v>
      </c>
      <c r="T1142" s="104" t="s">
        <v>5094</v>
      </c>
      <c r="U1142" s="116"/>
      <c r="V1142" s="104" t="s">
        <v>5094</v>
      </c>
      <c r="W1142" s="116"/>
    </row>
    <row r="1143">
      <c r="A1143" s="114" t="s">
        <v>39</v>
      </c>
      <c r="B1143" s="115"/>
      <c r="C1143" s="116"/>
      <c r="D1143" s="116"/>
      <c r="E1143" s="116" t="str">
        <f>IFERROR(__xludf.DUMMYFUNCTION("""COMPUTED_VALUE"""),"")</f>
        <v/>
      </c>
      <c r="F1143" s="117" t="s">
        <v>39</v>
      </c>
      <c r="G1143" s="116"/>
      <c r="H1143" s="117"/>
      <c r="I1143" s="117"/>
      <c r="J1143" s="117"/>
      <c r="K1143" s="117"/>
      <c r="L1143" s="116"/>
      <c r="M1143" s="117"/>
      <c r="N1143" s="118" t="str">
        <f>IFERROR(__xludf.DUMMYFUNCTION("""COMPUTED_VALUE"""),"")</f>
        <v/>
      </c>
      <c r="O1143" s="116"/>
      <c r="P1143" s="116"/>
      <c r="Q1143" s="116"/>
      <c r="R1143" s="116" t="s">
        <v>39</v>
      </c>
      <c r="S1143" s="116" t="s">
        <v>39</v>
      </c>
      <c r="T1143" s="104" t="s">
        <v>5095</v>
      </c>
      <c r="U1143" s="116"/>
      <c r="V1143" s="104" t="s">
        <v>5095</v>
      </c>
      <c r="W1143" s="116"/>
    </row>
    <row r="1144">
      <c r="A1144" s="114" t="s">
        <v>39</v>
      </c>
      <c r="B1144" s="115"/>
      <c r="C1144" s="116"/>
      <c r="D1144" s="116"/>
      <c r="E1144" s="116" t="str">
        <f>IFERROR(__xludf.DUMMYFUNCTION("""COMPUTED_VALUE"""),"")</f>
        <v/>
      </c>
      <c r="F1144" s="117" t="s">
        <v>39</v>
      </c>
      <c r="G1144" s="116"/>
      <c r="H1144" s="117"/>
      <c r="I1144" s="117"/>
      <c r="J1144" s="117"/>
      <c r="K1144" s="117"/>
      <c r="L1144" s="116"/>
      <c r="M1144" s="117"/>
      <c r="N1144" s="118" t="str">
        <f>IFERROR(__xludf.DUMMYFUNCTION("""COMPUTED_VALUE"""),"")</f>
        <v/>
      </c>
      <c r="O1144" s="116"/>
      <c r="P1144" s="116"/>
      <c r="Q1144" s="116"/>
      <c r="R1144" s="116" t="s">
        <v>39</v>
      </c>
      <c r="S1144" s="116" t="s">
        <v>39</v>
      </c>
      <c r="T1144" s="104" t="s">
        <v>5096</v>
      </c>
      <c r="U1144" s="116"/>
      <c r="V1144" s="104" t="s">
        <v>5096</v>
      </c>
      <c r="W1144" s="116"/>
    </row>
    <row r="1145">
      <c r="A1145" s="114" t="s">
        <v>39</v>
      </c>
      <c r="B1145" s="115"/>
      <c r="C1145" s="116"/>
      <c r="D1145" s="116"/>
      <c r="E1145" s="116" t="str">
        <f>IFERROR(__xludf.DUMMYFUNCTION("""COMPUTED_VALUE"""),"")</f>
        <v/>
      </c>
      <c r="F1145" s="117" t="s">
        <v>39</v>
      </c>
      <c r="G1145" s="116"/>
      <c r="H1145" s="117"/>
      <c r="I1145" s="117"/>
      <c r="J1145" s="117"/>
      <c r="K1145" s="117"/>
      <c r="L1145" s="116"/>
      <c r="M1145" s="117"/>
      <c r="N1145" s="118" t="str">
        <f>IFERROR(__xludf.DUMMYFUNCTION("""COMPUTED_VALUE"""),"")</f>
        <v/>
      </c>
      <c r="O1145" s="116"/>
      <c r="P1145" s="116"/>
      <c r="Q1145" s="116"/>
      <c r="R1145" s="116" t="s">
        <v>39</v>
      </c>
      <c r="S1145" s="116" t="s">
        <v>39</v>
      </c>
      <c r="T1145" s="104" t="s">
        <v>5097</v>
      </c>
      <c r="U1145" s="116"/>
      <c r="V1145" s="104" t="s">
        <v>5097</v>
      </c>
      <c r="W1145" s="116"/>
    </row>
    <row r="1146">
      <c r="A1146" s="114" t="s">
        <v>39</v>
      </c>
      <c r="B1146" s="115"/>
      <c r="C1146" s="116"/>
      <c r="D1146" s="116"/>
      <c r="E1146" s="116" t="str">
        <f>IFERROR(__xludf.DUMMYFUNCTION("""COMPUTED_VALUE"""),"")</f>
        <v/>
      </c>
      <c r="F1146" s="117" t="s">
        <v>39</v>
      </c>
      <c r="G1146" s="116"/>
      <c r="H1146" s="117"/>
      <c r="I1146" s="117"/>
      <c r="J1146" s="117"/>
      <c r="K1146" s="117"/>
      <c r="L1146" s="116"/>
      <c r="M1146" s="117"/>
      <c r="N1146" s="118" t="str">
        <f>IFERROR(__xludf.DUMMYFUNCTION("""COMPUTED_VALUE"""),"")</f>
        <v/>
      </c>
      <c r="O1146" s="116"/>
      <c r="P1146" s="116"/>
      <c r="Q1146" s="116"/>
      <c r="R1146" s="116" t="s">
        <v>39</v>
      </c>
      <c r="S1146" s="116" t="s">
        <v>39</v>
      </c>
      <c r="T1146" s="104" t="s">
        <v>5098</v>
      </c>
      <c r="U1146" s="116"/>
      <c r="V1146" s="104" t="s">
        <v>5098</v>
      </c>
      <c r="W1146" s="116"/>
    </row>
    <row r="1147">
      <c r="A1147" s="114" t="s">
        <v>39</v>
      </c>
      <c r="B1147" s="115"/>
      <c r="C1147" s="116"/>
      <c r="D1147" s="116"/>
      <c r="E1147" s="116" t="str">
        <f>IFERROR(__xludf.DUMMYFUNCTION("""COMPUTED_VALUE"""),"")</f>
        <v/>
      </c>
      <c r="F1147" s="117" t="s">
        <v>39</v>
      </c>
      <c r="G1147" s="116"/>
      <c r="H1147" s="117"/>
      <c r="I1147" s="117"/>
      <c r="J1147" s="117"/>
      <c r="K1147" s="117"/>
      <c r="L1147" s="116"/>
      <c r="M1147" s="117"/>
      <c r="N1147" s="118" t="str">
        <f>IFERROR(__xludf.DUMMYFUNCTION("""COMPUTED_VALUE"""),"")</f>
        <v/>
      </c>
      <c r="O1147" s="116"/>
      <c r="P1147" s="116"/>
      <c r="Q1147" s="116"/>
      <c r="R1147" s="116" t="s">
        <v>39</v>
      </c>
      <c r="S1147" s="116" t="s">
        <v>39</v>
      </c>
      <c r="T1147" s="104" t="s">
        <v>5099</v>
      </c>
      <c r="U1147" s="116"/>
      <c r="V1147" s="104" t="s">
        <v>5099</v>
      </c>
      <c r="W1147" s="116"/>
    </row>
    <row r="1148">
      <c r="A1148" s="114" t="s">
        <v>39</v>
      </c>
      <c r="B1148" s="115"/>
      <c r="C1148" s="116"/>
      <c r="D1148" s="116"/>
      <c r="E1148" s="116" t="str">
        <f>IFERROR(__xludf.DUMMYFUNCTION("""COMPUTED_VALUE"""),"")</f>
        <v/>
      </c>
      <c r="F1148" s="117" t="s">
        <v>39</v>
      </c>
      <c r="G1148" s="116"/>
      <c r="H1148" s="117"/>
      <c r="I1148" s="117"/>
      <c r="J1148" s="117"/>
      <c r="K1148" s="117"/>
      <c r="L1148" s="116"/>
      <c r="M1148" s="117"/>
      <c r="N1148" s="118" t="str">
        <f>IFERROR(__xludf.DUMMYFUNCTION("""COMPUTED_VALUE"""),"")</f>
        <v/>
      </c>
      <c r="O1148" s="116"/>
      <c r="P1148" s="116"/>
      <c r="Q1148" s="116"/>
      <c r="R1148" s="116" t="s">
        <v>39</v>
      </c>
      <c r="S1148" s="116" t="s">
        <v>39</v>
      </c>
      <c r="T1148" s="104" t="s">
        <v>5100</v>
      </c>
      <c r="U1148" s="116"/>
      <c r="V1148" s="104" t="s">
        <v>5100</v>
      </c>
      <c r="W1148" s="116"/>
    </row>
    <row r="1149">
      <c r="A1149" s="114" t="s">
        <v>39</v>
      </c>
      <c r="B1149" s="115"/>
      <c r="C1149" s="116"/>
      <c r="D1149" s="116"/>
      <c r="E1149" s="116" t="str">
        <f>IFERROR(__xludf.DUMMYFUNCTION("""COMPUTED_VALUE"""),"")</f>
        <v/>
      </c>
      <c r="F1149" s="117" t="s">
        <v>39</v>
      </c>
      <c r="G1149" s="116"/>
      <c r="H1149" s="117"/>
      <c r="I1149" s="117"/>
      <c r="J1149" s="117"/>
      <c r="K1149" s="117"/>
      <c r="L1149" s="116"/>
      <c r="M1149" s="117"/>
      <c r="N1149" s="118" t="str">
        <f>IFERROR(__xludf.DUMMYFUNCTION("""COMPUTED_VALUE"""),"")</f>
        <v/>
      </c>
      <c r="O1149" s="116"/>
      <c r="P1149" s="116"/>
      <c r="Q1149" s="116"/>
      <c r="R1149" s="116" t="s">
        <v>39</v>
      </c>
      <c r="S1149" s="116" t="s">
        <v>39</v>
      </c>
      <c r="T1149" s="104" t="s">
        <v>5101</v>
      </c>
      <c r="U1149" s="116"/>
      <c r="V1149" s="104" t="s">
        <v>5101</v>
      </c>
      <c r="W1149" s="116"/>
    </row>
    <row r="1150">
      <c r="A1150" s="114" t="s">
        <v>39</v>
      </c>
      <c r="B1150" s="115"/>
      <c r="C1150" s="116"/>
      <c r="D1150" s="116"/>
      <c r="E1150" s="116" t="str">
        <f>IFERROR(__xludf.DUMMYFUNCTION("""COMPUTED_VALUE"""),"")</f>
        <v/>
      </c>
      <c r="F1150" s="117" t="s">
        <v>39</v>
      </c>
      <c r="G1150" s="116"/>
      <c r="H1150" s="117"/>
      <c r="I1150" s="117"/>
      <c r="J1150" s="117"/>
      <c r="K1150" s="117"/>
      <c r="L1150" s="116"/>
      <c r="M1150" s="117"/>
      <c r="N1150" s="118" t="str">
        <f>IFERROR(__xludf.DUMMYFUNCTION("""COMPUTED_VALUE"""),"")</f>
        <v/>
      </c>
      <c r="O1150" s="116"/>
      <c r="P1150" s="116"/>
      <c r="Q1150" s="116"/>
      <c r="R1150" s="116" t="s">
        <v>39</v>
      </c>
      <c r="S1150" s="116" t="s">
        <v>39</v>
      </c>
      <c r="T1150" s="104" t="s">
        <v>5102</v>
      </c>
      <c r="U1150" s="116"/>
      <c r="V1150" s="104" t="s">
        <v>5102</v>
      </c>
      <c r="W1150" s="116"/>
    </row>
    <row r="1151">
      <c r="A1151" s="114" t="s">
        <v>39</v>
      </c>
      <c r="B1151" s="115"/>
      <c r="C1151" s="116"/>
      <c r="D1151" s="116"/>
      <c r="E1151" s="116" t="str">
        <f>IFERROR(__xludf.DUMMYFUNCTION("""COMPUTED_VALUE"""),"")</f>
        <v/>
      </c>
      <c r="F1151" s="117" t="s">
        <v>39</v>
      </c>
      <c r="G1151" s="116"/>
      <c r="H1151" s="117"/>
      <c r="I1151" s="117"/>
      <c r="J1151" s="117"/>
      <c r="K1151" s="117"/>
      <c r="L1151" s="116"/>
      <c r="M1151" s="117"/>
      <c r="N1151" s="118" t="str">
        <f>IFERROR(__xludf.DUMMYFUNCTION("""COMPUTED_VALUE"""),"")</f>
        <v/>
      </c>
      <c r="O1151" s="116"/>
      <c r="P1151" s="116"/>
      <c r="Q1151" s="116"/>
      <c r="R1151" s="116" t="s">
        <v>39</v>
      </c>
      <c r="S1151" s="116" t="s">
        <v>39</v>
      </c>
      <c r="T1151" s="104" t="s">
        <v>5103</v>
      </c>
      <c r="U1151" s="116"/>
      <c r="V1151" s="104" t="s">
        <v>5103</v>
      </c>
      <c r="W1151" s="116"/>
    </row>
    <row r="1152">
      <c r="A1152" s="114" t="s">
        <v>39</v>
      </c>
      <c r="B1152" s="115"/>
      <c r="C1152" s="116"/>
      <c r="D1152" s="116"/>
      <c r="E1152" s="116" t="str">
        <f>IFERROR(__xludf.DUMMYFUNCTION("""COMPUTED_VALUE"""),"")</f>
        <v/>
      </c>
      <c r="F1152" s="117" t="s">
        <v>39</v>
      </c>
      <c r="G1152" s="116"/>
      <c r="H1152" s="117"/>
      <c r="I1152" s="117"/>
      <c r="J1152" s="117"/>
      <c r="K1152" s="117"/>
      <c r="L1152" s="116"/>
      <c r="M1152" s="117"/>
      <c r="N1152" s="118" t="str">
        <f>IFERROR(__xludf.DUMMYFUNCTION("""COMPUTED_VALUE"""),"")</f>
        <v/>
      </c>
      <c r="O1152" s="116"/>
      <c r="P1152" s="116"/>
      <c r="Q1152" s="116"/>
      <c r="R1152" s="116" t="s">
        <v>39</v>
      </c>
      <c r="S1152" s="116" t="s">
        <v>39</v>
      </c>
      <c r="T1152" s="104" t="s">
        <v>5104</v>
      </c>
      <c r="U1152" s="116"/>
      <c r="V1152" s="104" t="s">
        <v>5104</v>
      </c>
      <c r="W1152" s="116"/>
    </row>
    <row r="1153">
      <c r="A1153" s="114" t="s">
        <v>39</v>
      </c>
      <c r="B1153" s="115"/>
      <c r="C1153" s="116"/>
      <c r="D1153" s="116"/>
      <c r="E1153" s="116" t="str">
        <f>IFERROR(__xludf.DUMMYFUNCTION("""COMPUTED_VALUE"""),"")</f>
        <v/>
      </c>
      <c r="F1153" s="117" t="s">
        <v>39</v>
      </c>
      <c r="G1153" s="116"/>
      <c r="H1153" s="117"/>
      <c r="I1153" s="117"/>
      <c r="J1153" s="117"/>
      <c r="K1153" s="117"/>
      <c r="L1153" s="116"/>
      <c r="M1153" s="117"/>
      <c r="N1153" s="118" t="str">
        <f>IFERROR(__xludf.DUMMYFUNCTION("""COMPUTED_VALUE"""),"")</f>
        <v/>
      </c>
      <c r="O1153" s="116"/>
      <c r="P1153" s="116"/>
      <c r="Q1153" s="116"/>
      <c r="R1153" s="116" t="s">
        <v>39</v>
      </c>
      <c r="S1153" s="116" t="s">
        <v>39</v>
      </c>
      <c r="T1153" s="104" t="s">
        <v>5105</v>
      </c>
      <c r="U1153" s="116"/>
      <c r="V1153" s="104" t="s">
        <v>5105</v>
      </c>
      <c r="W1153" s="116"/>
    </row>
    <row r="1154">
      <c r="A1154" s="114" t="s">
        <v>39</v>
      </c>
      <c r="B1154" s="115"/>
      <c r="C1154" s="116"/>
      <c r="D1154" s="116"/>
      <c r="E1154" s="116" t="str">
        <f>IFERROR(__xludf.DUMMYFUNCTION("""COMPUTED_VALUE"""),"")</f>
        <v/>
      </c>
      <c r="F1154" s="117" t="s">
        <v>39</v>
      </c>
      <c r="G1154" s="116"/>
      <c r="H1154" s="117"/>
      <c r="I1154" s="117"/>
      <c r="J1154" s="117"/>
      <c r="K1154" s="117"/>
      <c r="L1154" s="116"/>
      <c r="M1154" s="117"/>
      <c r="N1154" s="118" t="str">
        <f>IFERROR(__xludf.DUMMYFUNCTION("""COMPUTED_VALUE"""),"")</f>
        <v/>
      </c>
      <c r="O1154" s="116"/>
      <c r="P1154" s="116"/>
      <c r="Q1154" s="116"/>
      <c r="R1154" s="116" t="s">
        <v>39</v>
      </c>
      <c r="S1154" s="116" t="s">
        <v>39</v>
      </c>
      <c r="T1154" s="104" t="s">
        <v>5106</v>
      </c>
      <c r="U1154" s="116"/>
      <c r="V1154" s="104" t="s">
        <v>5106</v>
      </c>
      <c r="W1154" s="116"/>
    </row>
    <row r="1155">
      <c r="A1155" s="114" t="s">
        <v>39</v>
      </c>
      <c r="B1155" s="115"/>
      <c r="C1155" s="116"/>
      <c r="D1155" s="116"/>
      <c r="E1155" s="116" t="str">
        <f>IFERROR(__xludf.DUMMYFUNCTION("""COMPUTED_VALUE"""),"")</f>
        <v/>
      </c>
      <c r="F1155" s="117" t="s">
        <v>39</v>
      </c>
      <c r="G1155" s="116"/>
      <c r="H1155" s="117"/>
      <c r="I1155" s="117"/>
      <c r="J1155" s="117"/>
      <c r="K1155" s="117"/>
      <c r="L1155" s="116"/>
      <c r="M1155" s="117"/>
      <c r="N1155" s="118" t="str">
        <f>IFERROR(__xludf.DUMMYFUNCTION("""COMPUTED_VALUE"""),"")</f>
        <v/>
      </c>
      <c r="O1155" s="116"/>
      <c r="P1155" s="116"/>
      <c r="Q1155" s="116"/>
      <c r="R1155" s="116" t="s">
        <v>39</v>
      </c>
      <c r="S1155" s="116" t="s">
        <v>39</v>
      </c>
      <c r="T1155" s="104" t="s">
        <v>5107</v>
      </c>
      <c r="U1155" s="116"/>
      <c r="V1155" s="104" t="s">
        <v>5107</v>
      </c>
      <c r="W1155" s="116"/>
    </row>
    <row r="1156">
      <c r="A1156" s="114" t="s">
        <v>39</v>
      </c>
      <c r="B1156" s="115"/>
      <c r="C1156" s="116"/>
      <c r="D1156" s="116"/>
      <c r="E1156" s="116" t="str">
        <f>IFERROR(__xludf.DUMMYFUNCTION("""COMPUTED_VALUE"""),"")</f>
        <v/>
      </c>
      <c r="F1156" s="117" t="s">
        <v>39</v>
      </c>
      <c r="G1156" s="116"/>
      <c r="H1156" s="117"/>
      <c r="I1156" s="117"/>
      <c r="J1156" s="117"/>
      <c r="K1156" s="117"/>
      <c r="L1156" s="116"/>
      <c r="M1156" s="117"/>
      <c r="N1156" s="118" t="str">
        <f>IFERROR(__xludf.DUMMYFUNCTION("""COMPUTED_VALUE"""),"")</f>
        <v/>
      </c>
      <c r="O1156" s="116"/>
      <c r="P1156" s="116"/>
      <c r="Q1156" s="116"/>
      <c r="R1156" s="116" t="s">
        <v>39</v>
      </c>
      <c r="S1156" s="116" t="s">
        <v>39</v>
      </c>
      <c r="T1156" s="104" t="s">
        <v>5108</v>
      </c>
      <c r="U1156" s="116"/>
      <c r="V1156" s="104" t="s">
        <v>5108</v>
      </c>
      <c r="W1156" s="116"/>
    </row>
    <row r="1157">
      <c r="A1157" s="114" t="s">
        <v>39</v>
      </c>
      <c r="B1157" s="115"/>
      <c r="C1157" s="116"/>
      <c r="D1157" s="116"/>
      <c r="E1157" s="116" t="str">
        <f>IFERROR(__xludf.DUMMYFUNCTION("""COMPUTED_VALUE"""),"")</f>
        <v/>
      </c>
      <c r="F1157" s="117" t="s">
        <v>39</v>
      </c>
      <c r="G1157" s="116"/>
      <c r="H1157" s="117"/>
      <c r="I1157" s="117"/>
      <c r="J1157" s="117"/>
      <c r="K1157" s="117"/>
      <c r="L1157" s="116"/>
      <c r="M1157" s="117"/>
      <c r="N1157" s="118" t="str">
        <f>IFERROR(__xludf.DUMMYFUNCTION("""COMPUTED_VALUE"""),"")</f>
        <v/>
      </c>
      <c r="O1157" s="116"/>
      <c r="P1157" s="116"/>
      <c r="Q1157" s="116"/>
      <c r="R1157" s="116" t="s">
        <v>39</v>
      </c>
      <c r="S1157" s="116" t="s">
        <v>39</v>
      </c>
      <c r="T1157" s="104" t="s">
        <v>5109</v>
      </c>
      <c r="U1157" s="116"/>
      <c r="V1157" s="104" t="s">
        <v>5109</v>
      </c>
      <c r="W1157" s="116"/>
    </row>
    <row r="1158">
      <c r="A1158" s="114" t="s">
        <v>39</v>
      </c>
      <c r="B1158" s="115"/>
      <c r="C1158" s="116"/>
      <c r="D1158" s="116"/>
      <c r="E1158" s="116" t="str">
        <f>IFERROR(__xludf.DUMMYFUNCTION("""COMPUTED_VALUE"""),"")</f>
        <v/>
      </c>
      <c r="F1158" s="117" t="s">
        <v>39</v>
      </c>
      <c r="G1158" s="116"/>
      <c r="H1158" s="117"/>
      <c r="I1158" s="117"/>
      <c r="J1158" s="117"/>
      <c r="K1158" s="117"/>
      <c r="L1158" s="116"/>
      <c r="M1158" s="117"/>
      <c r="N1158" s="118" t="str">
        <f>IFERROR(__xludf.DUMMYFUNCTION("""COMPUTED_VALUE"""),"")</f>
        <v/>
      </c>
      <c r="O1158" s="116"/>
      <c r="P1158" s="116"/>
      <c r="Q1158" s="116"/>
      <c r="R1158" s="116" t="s">
        <v>39</v>
      </c>
      <c r="S1158" s="116" t="s">
        <v>39</v>
      </c>
      <c r="T1158" s="104" t="s">
        <v>5110</v>
      </c>
      <c r="U1158" s="116"/>
      <c r="V1158" s="104" t="s">
        <v>5110</v>
      </c>
      <c r="W1158" s="116"/>
    </row>
    <row r="1159">
      <c r="A1159" s="114" t="s">
        <v>39</v>
      </c>
      <c r="B1159" s="115"/>
      <c r="C1159" s="116"/>
      <c r="D1159" s="116"/>
      <c r="E1159" s="116" t="str">
        <f>IFERROR(__xludf.DUMMYFUNCTION("""COMPUTED_VALUE"""),"")</f>
        <v/>
      </c>
      <c r="F1159" s="117" t="s">
        <v>39</v>
      </c>
      <c r="G1159" s="116"/>
      <c r="H1159" s="117"/>
      <c r="I1159" s="117"/>
      <c r="J1159" s="117"/>
      <c r="K1159" s="117"/>
      <c r="L1159" s="116"/>
      <c r="M1159" s="117"/>
      <c r="N1159" s="118" t="str">
        <f>IFERROR(__xludf.DUMMYFUNCTION("""COMPUTED_VALUE"""),"")</f>
        <v/>
      </c>
      <c r="O1159" s="116"/>
      <c r="P1159" s="116"/>
      <c r="Q1159" s="116"/>
      <c r="R1159" s="116" t="s">
        <v>39</v>
      </c>
      <c r="S1159" s="116" t="s">
        <v>39</v>
      </c>
      <c r="T1159" s="104" t="s">
        <v>5111</v>
      </c>
      <c r="U1159" s="116"/>
      <c r="V1159" s="104" t="s">
        <v>5111</v>
      </c>
      <c r="W1159" s="116"/>
    </row>
    <row r="1160">
      <c r="A1160" s="114" t="s">
        <v>39</v>
      </c>
      <c r="B1160" s="115"/>
      <c r="C1160" s="116"/>
      <c r="D1160" s="116"/>
      <c r="E1160" s="116" t="str">
        <f>IFERROR(__xludf.DUMMYFUNCTION("""COMPUTED_VALUE"""),"")</f>
        <v/>
      </c>
      <c r="F1160" s="117" t="s">
        <v>39</v>
      </c>
      <c r="G1160" s="116"/>
      <c r="H1160" s="117"/>
      <c r="I1160" s="117"/>
      <c r="J1160" s="117"/>
      <c r="K1160" s="117"/>
      <c r="L1160" s="116"/>
      <c r="M1160" s="117"/>
      <c r="N1160" s="118" t="str">
        <f>IFERROR(__xludf.DUMMYFUNCTION("""COMPUTED_VALUE"""),"")</f>
        <v/>
      </c>
      <c r="O1160" s="116"/>
      <c r="P1160" s="116"/>
      <c r="Q1160" s="116"/>
      <c r="R1160" s="116" t="s">
        <v>39</v>
      </c>
      <c r="S1160" s="116" t="s">
        <v>39</v>
      </c>
      <c r="T1160" s="104" t="s">
        <v>5112</v>
      </c>
      <c r="U1160" s="116"/>
      <c r="V1160" s="104" t="s">
        <v>5112</v>
      </c>
      <c r="W1160" s="116"/>
    </row>
    <row r="1161">
      <c r="A1161" s="114" t="s">
        <v>39</v>
      </c>
      <c r="B1161" s="115"/>
      <c r="C1161" s="116"/>
      <c r="D1161" s="116"/>
      <c r="E1161" s="116" t="str">
        <f>IFERROR(__xludf.DUMMYFUNCTION("""COMPUTED_VALUE"""),"")</f>
        <v/>
      </c>
      <c r="F1161" s="117" t="s">
        <v>39</v>
      </c>
      <c r="G1161" s="116"/>
      <c r="H1161" s="117"/>
      <c r="I1161" s="117"/>
      <c r="J1161" s="117"/>
      <c r="K1161" s="117"/>
      <c r="L1161" s="116"/>
      <c r="M1161" s="117"/>
      <c r="N1161" s="118" t="str">
        <f>IFERROR(__xludf.DUMMYFUNCTION("""COMPUTED_VALUE"""),"")</f>
        <v/>
      </c>
      <c r="O1161" s="116"/>
      <c r="P1161" s="116"/>
      <c r="Q1161" s="116"/>
      <c r="R1161" s="116" t="s">
        <v>39</v>
      </c>
      <c r="S1161" s="116" t="s">
        <v>39</v>
      </c>
      <c r="T1161" s="104" t="s">
        <v>5113</v>
      </c>
      <c r="U1161" s="116"/>
      <c r="V1161" s="104" t="s">
        <v>5113</v>
      </c>
      <c r="W1161" s="116"/>
    </row>
    <row r="1162">
      <c r="A1162" s="114" t="s">
        <v>39</v>
      </c>
      <c r="B1162" s="115"/>
      <c r="C1162" s="116"/>
      <c r="D1162" s="116"/>
      <c r="E1162" s="116" t="str">
        <f>IFERROR(__xludf.DUMMYFUNCTION("""COMPUTED_VALUE"""),"")</f>
        <v/>
      </c>
      <c r="F1162" s="117" t="s">
        <v>39</v>
      </c>
      <c r="G1162" s="116"/>
      <c r="H1162" s="117"/>
      <c r="I1162" s="117"/>
      <c r="J1162" s="117"/>
      <c r="K1162" s="117"/>
      <c r="L1162" s="116"/>
      <c r="M1162" s="117"/>
      <c r="N1162" s="118" t="str">
        <f>IFERROR(__xludf.DUMMYFUNCTION("""COMPUTED_VALUE"""),"")</f>
        <v/>
      </c>
      <c r="O1162" s="116"/>
      <c r="P1162" s="116"/>
      <c r="Q1162" s="116"/>
      <c r="R1162" s="116" t="s">
        <v>39</v>
      </c>
      <c r="S1162" s="116" t="s">
        <v>39</v>
      </c>
      <c r="T1162" s="104" t="s">
        <v>5114</v>
      </c>
      <c r="U1162" s="116"/>
      <c r="V1162" s="104" t="s">
        <v>5114</v>
      </c>
      <c r="W1162" s="116"/>
    </row>
    <row r="1163">
      <c r="A1163" s="114" t="s">
        <v>39</v>
      </c>
      <c r="B1163" s="115"/>
      <c r="C1163" s="116"/>
      <c r="D1163" s="116"/>
      <c r="E1163" s="116" t="str">
        <f>IFERROR(__xludf.DUMMYFUNCTION("""COMPUTED_VALUE"""),"")</f>
        <v/>
      </c>
      <c r="F1163" s="117" t="s">
        <v>39</v>
      </c>
      <c r="G1163" s="116"/>
      <c r="H1163" s="117"/>
      <c r="I1163" s="117"/>
      <c r="J1163" s="117"/>
      <c r="K1163" s="117"/>
      <c r="L1163" s="116"/>
      <c r="M1163" s="117"/>
      <c r="N1163" s="118" t="str">
        <f>IFERROR(__xludf.DUMMYFUNCTION("""COMPUTED_VALUE"""),"")</f>
        <v/>
      </c>
      <c r="O1163" s="116"/>
      <c r="P1163" s="116"/>
      <c r="Q1163" s="116"/>
      <c r="R1163" s="116" t="s">
        <v>39</v>
      </c>
      <c r="S1163" s="116" t="s">
        <v>39</v>
      </c>
      <c r="T1163" s="104" t="s">
        <v>5115</v>
      </c>
      <c r="U1163" s="116"/>
      <c r="V1163" s="104" t="s">
        <v>5115</v>
      </c>
      <c r="W1163" s="116"/>
    </row>
    <row r="1164">
      <c r="A1164" s="114" t="s">
        <v>39</v>
      </c>
      <c r="B1164" s="115"/>
      <c r="C1164" s="116"/>
      <c r="D1164" s="116"/>
      <c r="E1164" s="116" t="str">
        <f>IFERROR(__xludf.DUMMYFUNCTION("""COMPUTED_VALUE"""),"")</f>
        <v/>
      </c>
      <c r="F1164" s="117" t="s">
        <v>39</v>
      </c>
      <c r="G1164" s="116"/>
      <c r="H1164" s="117"/>
      <c r="I1164" s="117"/>
      <c r="J1164" s="117"/>
      <c r="K1164" s="117"/>
      <c r="L1164" s="116"/>
      <c r="M1164" s="117"/>
      <c r="N1164" s="118" t="str">
        <f>IFERROR(__xludf.DUMMYFUNCTION("""COMPUTED_VALUE"""),"")</f>
        <v/>
      </c>
      <c r="O1164" s="116"/>
      <c r="P1164" s="116"/>
      <c r="Q1164" s="116"/>
      <c r="R1164" s="116" t="s">
        <v>39</v>
      </c>
      <c r="S1164" s="116" t="s">
        <v>39</v>
      </c>
      <c r="T1164" s="104" t="s">
        <v>5116</v>
      </c>
      <c r="U1164" s="116"/>
      <c r="V1164" s="104" t="s">
        <v>5116</v>
      </c>
      <c r="W1164" s="116"/>
    </row>
    <row r="1165">
      <c r="A1165" s="114" t="s">
        <v>39</v>
      </c>
      <c r="B1165" s="115"/>
      <c r="C1165" s="116"/>
      <c r="D1165" s="116"/>
      <c r="E1165" s="116" t="str">
        <f>IFERROR(__xludf.DUMMYFUNCTION("""COMPUTED_VALUE"""),"")</f>
        <v/>
      </c>
      <c r="F1165" s="117" t="s">
        <v>39</v>
      </c>
      <c r="G1165" s="116"/>
      <c r="H1165" s="117"/>
      <c r="I1165" s="117"/>
      <c r="J1165" s="117"/>
      <c r="K1165" s="117"/>
      <c r="L1165" s="116"/>
      <c r="M1165" s="117"/>
      <c r="N1165" s="118" t="str">
        <f>IFERROR(__xludf.DUMMYFUNCTION("""COMPUTED_VALUE"""),"")</f>
        <v/>
      </c>
      <c r="O1165" s="116"/>
      <c r="P1165" s="116"/>
      <c r="Q1165" s="116"/>
      <c r="R1165" s="116" t="s">
        <v>39</v>
      </c>
      <c r="S1165" s="116" t="s">
        <v>39</v>
      </c>
      <c r="T1165" s="104" t="s">
        <v>5117</v>
      </c>
      <c r="U1165" s="116"/>
      <c r="V1165" s="104" t="s">
        <v>5117</v>
      </c>
      <c r="W1165" s="116"/>
    </row>
    <row r="1166">
      <c r="A1166" s="114" t="s">
        <v>39</v>
      </c>
      <c r="B1166" s="115"/>
      <c r="C1166" s="116"/>
      <c r="D1166" s="116"/>
      <c r="E1166" s="116" t="str">
        <f>IFERROR(__xludf.DUMMYFUNCTION("""COMPUTED_VALUE"""),"")</f>
        <v/>
      </c>
      <c r="F1166" s="117" t="s">
        <v>39</v>
      </c>
      <c r="G1166" s="116"/>
      <c r="H1166" s="117"/>
      <c r="I1166" s="117"/>
      <c r="J1166" s="117"/>
      <c r="K1166" s="117"/>
      <c r="L1166" s="116"/>
      <c r="M1166" s="117"/>
      <c r="N1166" s="118" t="str">
        <f>IFERROR(__xludf.DUMMYFUNCTION("""COMPUTED_VALUE"""),"")</f>
        <v/>
      </c>
      <c r="O1166" s="116"/>
      <c r="P1166" s="116"/>
      <c r="Q1166" s="116"/>
      <c r="R1166" s="116" t="s">
        <v>39</v>
      </c>
      <c r="S1166" s="116" t="s">
        <v>39</v>
      </c>
      <c r="T1166" s="104" t="s">
        <v>5118</v>
      </c>
      <c r="U1166" s="116"/>
      <c r="V1166" s="104" t="s">
        <v>5118</v>
      </c>
      <c r="W1166" s="116"/>
    </row>
    <row r="1167">
      <c r="A1167" s="114" t="s">
        <v>39</v>
      </c>
      <c r="B1167" s="115"/>
      <c r="C1167" s="116"/>
      <c r="D1167" s="116"/>
      <c r="E1167" s="116" t="str">
        <f>IFERROR(__xludf.DUMMYFUNCTION("""COMPUTED_VALUE"""),"")</f>
        <v/>
      </c>
      <c r="F1167" s="117" t="s">
        <v>39</v>
      </c>
      <c r="G1167" s="116"/>
      <c r="H1167" s="117"/>
      <c r="I1167" s="117"/>
      <c r="J1167" s="117"/>
      <c r="K1167" s="117"/>
      <c r="L1167" s="116"/>
      <c r="M1167" s="117"/>
      <c r="N1167" s="118" t="str">
        <f>IFERROR(__xludf.DUMMYFUNCTION("""COMPUTED_VALUE"""),"")</f>
        <v/>
      </c>
      <c r="O1167" s="116"/>
      <c r="P1167" s="116"/>
      <c r="Q1167" s="116"/>
      <c r="R1167" s="116" t="s">
        <v>39</v>
      </c>
      <c r="S1167" s="116" t="s">
        <v>39</v>
      </c>
      <c r="T1167" s="104" t="s">
        <v>5119</v>
      </c>
      <c r="U1167" s="116"/>
      <c r="V1167" s="104" t="s">
        <v>5119</v>
      </c>
      <c r="W1167" s="116"/>
    </row>
    <row r="1168">
      <c r="A1168" s="114" t="s">
        <v>39</v>
      </c>
      <c r="B1168" s="115"/>
      <c r="C1168" s="116"/>
      <c r="D1168" s="116"/>
      <c r="E1168" s="116" t="str">
        <f>IFERROR(__xludf.DUMMYFUNCTION("""COMPUTED_VALUE"""),"")</f>
        <v/>
      </c>
      <c r="F1168" s="117" t="s">
        <v>39</v>
      </c>
      <c r="G1168" s="116"/>
      <c r="H1168" s="117"/>
      <c r="I1168" s="117"/>
      <c r="J1168" s="117"/>
      <c r="K1168" s="117"/>
      <c r="L1168" s="116"/>
      <c r="M1168" s="117"/>
      <c r="N1168" s="118" t="str">
        <f>IFERROR(__xludf.DUMMYFUNCTION("""COMPUTED_VALUE"""),"")</f>
        <v/>
      </c>
      <c r="O1168" s="116"/>
      <c r="P1168" s="116"/>
      <c r="Q1168" s="116"/>
      <c r="R1168" s="116" t="s">
        <v>39</v>
      </c>
      <c r="S1168" s="116" t="s">
        <v>39</v>
      </c>
      <c r="T1168" s="104" t="s">
        <v>5120</v>
      </c>
      <c r="U1168" s="116"/>
      <c r="V1168" s="104" t="s">
        <v>5120</v>
      </c>
      <c r="W1168" s="116"/>
    </row>
    <row r="1169">
      <c r="A1169" s="114" t="s">
        <v>39</v>
      </c>
      <c r="B1169" s="115"/>
      <c r="C1169" s="116"/>
      <c r="D1169" s="116"/>
      <c r="E1169" s="116" t="str">
        <f>IFERROR(__xludf.DUMMYFUNCTION("""COMPUTED_VALUE"""),"")</f>
        <v/>
      </c>
      <c r="F1169" s="117" t="s">
        <v>39</v>
      </c>
      <c r="G1169" s="116"/>
      <c r="H1169" s="117"/>
      <c r="I1169" s="117"/>
      <c r="J1169" s="117"/>
      <c r="K1169" s="117"/>
      <c r="L1169" s="116"/>
      <c r="M1169" s="117"/>
      <c r="N1169" s="118" t="str">
        <f>IFERROR(__xludf.DUMMYFUNCTION("""COMPUTED_VALUE"""),"")</f>
        <v/>
      </c>
      <c r="O1169" s="116"/>
      <c r="P1169" s="116"/>
      <c r="Q1169" s="116"/>
      <c r="R1169" s="116" t="s">
        <v>39</v>
      </c>
      <c r="S1169" s="116" t="s">
        <v>39</v>
      </c>
      <c r="T1169" s="104" t="s">
        <v>5121</v>
      </c>
      <c r="U1169" s="116"/>
      <c r="V1169" s="104" t="s">
        <v>5121</v>
      </c>
      <c r="W1169" s="116"/>
    </row>
    <row r="1170">
      <c r="A1170" s="114" t="s">
        <v>39</v>
      </c>
      <c r="B1170" s="115"/>
      <c r="C1170" s="116"/>
      <c r="D1170" s="116"/>
      <c r="E1170" s="116" t="str">
        <f>IFERROR(__xludf.DUMMYFUNCTION("""COMPUTED_VALUE"""),"")</f>
        <v/>
      </c>
      <c r="F1170" s="117" t="s">
        <v>39</v>
      </c>
      <c r="G1170" s="116"/>
      <c r="H1170" s="117"/>
      <c r="I1170" s="117"/>
      <c r="J1170" s="117"/>
      <c r="K1170" s="117"/>
      <c r="L1170" s="116"/>
      <c r="M1170" s="117"/>
      <c r="N1170" s="118" t="str">
        <f>IFERROR(__xludf.DUMMYFUNCTION("""COMPUTED_VALUE"""),"")</f>
        <v/>
      </c>
      <c r="O1170" s="116"/>
      <c r="P1170" s="116"/>
      <c r="Q1170" s="116"/>
      <c r="R1170" s="116" t="s">
        <v>39</v>
      </c>
      <c r="S1170" s="116" t="s">
        <v>39</v>
      </c>
      <c r="T1170" s="104" t="s">
        <v>5122</v>
      </c>
      <c r="U1170" s="116"/>
      <c r="V1170" s="104" t="s">
        <v>5122</v>
      </c>
      <c r="W1170" s="116"/>
    </row>
    <row r="1171">
      <c r="A1171" s="114" t="s">
        <v>39</v>
      </c>
      <c r="B1171" s="115"/>
      <c r="C1171" s="116"/>
      <c r="D1171" s="116"/>
      <c r="E1171" s="116" t="str">
        <f>IFERROR(__xludf.DUMMYFUNCTION("""COMPUTED_VALUE"""),"")</f>
        <v/>
      </c>
      <c r="F1171" s="117" t="s">
        <v>39</v>
      </c>
      <c r="G1171" s="116"/>
      <c r="H1171" s="117"/>
      <c r="I1171" s="117"/>
      <c r="J1171" s="117"/>
      <c r="K1171" s="117"/>
      <c r="L1171" s="116"/>
      <c r="M1171" s="117"/>
      <c r="N1171" s="118" t="str">
        <f>IFERROR(__xludf.DUMMYFUNCTION("""COMPUTED_VALUE"""),"")</f>
        <v/>
      </c>
      <c r="O1171" s="116"/>
      <c r="P1171" s="116"/>
      <c r="Q1171" s="116"/>
      <c r="R1171" s="116" t="s">
        <v>39</v>
      </c>
      <c r="S1171" s="116" t="s">
        <v>39</v>
      </c>
      <c r="T1171" s="104" t="s">
        <v>5123</v>
      </c>
      <c r="U1171" s="116"/>
      <c r="V1171" s="104" t="s">
        <v>5123</v>
      </c>
      <c r="W1171" s="116"/>
    </row>
    <row r="1172">
      <c r="A1172" s="114" t="s">
        <v>39</v>
      </c>
      <c r="B1172" s="115"/>
      <c r="C1172" s="116"/>
      <c r="D1172" s="116"/>
      <c r="E1172" s="116" t="str">
        <f>IFERROR(__xludf.DUMMYFUNCTION("""COMPUTED_VALUE"""),"")</f>
        <v/>
      </c>
      <c r="F1172" s="117" t="s">
        <v>39</v>
      </c>
      <c r="G1172" s="116"/>
      <c r="H1172" s="117"/>
      <c r="I1172" s="117"/>
      <c r="J1172" s="117"/>
      <c r="K1172" s="117"/>
      <c r="L1172" s="116"/>
      <c r="M1172" s="117"/>
      <c r="N1172" s="118" t="str">
        <f>IFERROR(__xludf.DUMMYFUNCTION("""COMPUTED_VALUE"""),"")</f>
        <v/>
      </c>
      <c r="O1172" s="116"/>
      <c r="P1172" s="116"/>
      <c r="Q1172" s="116"/>
      <c r="R1172" s="116" t="s">
        <v>39</v>
      </c>
      <c r="S1172" s="116" t="s">
        <v>39</v>
      </c>
      <c r="T1172" s="104" t="s">
        <v>5124</v>
      </c>
      <c r="U1172" s="116"/>
      <c r="V1172" s="104" t="s">
        <v>5124</v>
      </c>
      <c r="W1172" s="116"/>
    </row>
    <row r="1173">
      <c r="A1173" s="114" t="s">
        <v>39</v>
      </c>
      <c r="B1173" s="115"/>
      <c r="C1173" s="116"/>
      <c r="D1173" s="116"/>
      <c r="E1173" s="116" t="str">
        <f>IFERROR(__xludf.DUMMYFUNCTION("""COMPUTED_VALUE"""),"")</f>
        <v/>
      </c>
      <c r="F1173" s="117" t="s">
        <v>39</v>
      </c>
      <c r="G1173" s="116"/>
      <c r="H1173" s="117"/>
      <c r="I1173" s="117"/>
      <c r="J1173" s="117"/>
      <c r="K1173" s="117"/>
      <c r="L1173" s="116"/>
      <c r="M1173" s="117"/>
      <c r="N1173" s="118" t="str">
        <f>IFERROR(__xludf.DUMMYFUNCTION("""COMPUTED_VALUE"""),"")</f>
        <v/>
      </c>
      <c r="O1173" s="116"/>
      <c r="P1173" s="116"/>
      <c r="Q1173" s="116"/>
      <c r="R1173" s="116" t="s">
        <v>39</v>
      </c>
      <c r="S1173" s="116" t="s">
        <v>39</v>
      </c>
      <c r="T1173" s="104" t="s">
        <v>5125</v>
      </c>
      <c r="U1173" s="116"/>
      <c r="V1173" s="104" t="s">
        <v>5125</v>
      </c>
      <c r="W1173" s="116"/>
    </row>
    <row r="1174">
      <c r="A1174" s="114" t="s">
        <v>39</v>
      </c>
      <c r="B1174" s="115"/>
      <c r="C1174" s="116"/>
      <c r="D1174" s="116"/>
      <c r="E1174" s="116" t="str">
        <f>IFERROR(__xludf.DUMMYFUNCTION("""COMPUTED_VALUE"""),"")</f>
        <v/>
      </c>
      <c r="F1174" s="117" t="s">
        <v>39</v>
      </c>
      <c r="G1174" s="116"/>
      <c r="H1174" s="117"/>
      <c r="I1174" s="117"/>
      <c r="J1174" s="117"/>
      <c r="K1174" s="117"/>
      <c r="L1174" s="116"/>
      <c r="M1174" s="117"/>
      <c r="N1174" s="118" t="str">
        <f>IFERROR(__xludf.DUMMYFUNCTION("""COMPUTED_VALUE"""),"")</f>
        <v/>
      </c>
      <c r="O1174" s="116"/>
      <c r="P1174" s="116"/>
      <c r="Q1174" s="116"/>
      <c r="R1174" s="116" t="s">
        <v>39</v>
      </c>
      <c r="S1174" s="116" t="s">
        <v>39</v>
      </c>
      <c r="T1174" s="104" t="s">
        <v>5126</v>
      </c>
      <c r="U1174" s="116"/>
      <c r="V1174" s="104" t="s">
        <v>5126</v>
      </c>
      <c r="W1174" s="116"/>
    </row>
    <row r="1175">
      <c r="A1175" s="114" t="s">
        <v>39</v>
      </c>
      <c r="B1175" s="115"/>
      <c r="C1175" s="116"/>
      <c r="D1175" s="116"/>
      <c r="E1175" s="116" t="str">
        <f>IFERROR(__xludf.DUMMYFUNCTION("""COMPUTED_VALUE"""),"")</f>
        <v/>
      </c>
      <c r="F1175" s="117" t="s">
        <v>39</v>
      </c>
      <c r="G1175" s="116"/>
      <c r="H1175" s="117"/>
      <c r="I1175" s="117"/>
      <c r="J1175" s="117"/>
      <c r="K1175" s="117"/>
      <c r="L1175" s="116"/>
      <c r="M1175" s="117"/>
      <c r="N1175" s="118" t="str">
        <f>IFERROR(__xludf.DUMMYFUNCTION("""COMPUTED_VALUE"""),"")</f>
        <v/>
      </c>
      <c r="O1175" s="116"/>
      <c r="P1175" s="116"/>
      <c r="Q1175" s="116"/>
      <c r="R1175" s="116" t="s">
        <v>39</v>
      </c>
      <c r="S1175" s="116" t="s">
        <v>39</v>
      </c>
      <c r="T1175" s="104" t="s">
        <v>5127</v>
      </c>
      <c r="U1175" s="116"/>
      <c r="V1175" s="104" t="s">
        <v>5127</v>
      </c>
      <c r="W1175" s="116"/>
    </row>
    <row r="1176">
      <c r="A1176" s="114" t="s">
        <v>39</v>
      </c>
      <c r="B1176" s="115"/>
      <c r="C1176" s="116"/>
      <c r="D1176" s="116"/>
      <c r="E1176" s="116" t="str">
        <f>IFERROR(__xludf.DUMMYFUNCTION("""COMPUTED_VALUE"""),"")</f>
        <v/>
      </c>
      <c r="F1176" s="117" t="s">
        <v>39</v>
      </c>
      <c r="G1176" s="116"/>
      <c r="H1176" s="117"/>
      <c r="I1176" s="117"/>
      <c r="J1176" s="117"/>
      <c r="K1176" s="117"/>
      <c r="L1176" s="116"/>
      <c r="M1176" s="117"/>
      <c r="N1176" s="118" t="str">
        <f>IFERROR(__xludf.DUMMYFUNCTION("""COMPUTED_VALUE"""),"")</f>
        <v/>
      </c>
      <c r="O1176" s="116"/>
      <c r="P1176" s="116"/>
      <c r="Q1176" s="116"/>
      <c r="R1176" s="116" t="s">
        <v>39</v>
      </c>
      <c r="S1176" s="116" t="s">
        <v>39</v>
      </c>
      <c r="T1176" s="104" t="s">
        <v>5128</v>
      </c>
      <c r="U1176" s="116"/>
      <c r="V1176" s="104" t="s">
        <v>5128</v>
      </c>
      <c r="W1176" s="116"/>
    </row>
    <row r="1177">
      <c r="A1177" s="114" t="s">
        <v>39</v>
      </c>
      <c r="B1177" s="115"/>
      <c r="C1177" s="116"/>
      <c r="D1177" s="116"/>
      <c r="E1177" s="116" t="str">
        <f>IFERROR(__xludf.DUMMYFUNCTION("""COMPUTED_VALUE"""),"")</f>
        <v/>
      </c>
      <c r="F1177" s="117" t="s">
        <v>39</v>
      </c>
      <c r="G1177" s="116"/>
      <c r="H1177" s="117"/>
      <c r="I1177" s="117"/>
      <c r="J1177" s="117"/>
      <c r="K1177" s="117"/>
      <c r="L1177" s="116"/>
      <c r="M1177" s="117"/>
      <c r="N1177" s="118" t="str">
        <f>IFERROR(__xludf.DUMMYFUNCTION("""COMPUTED_VALUE"""),"")</f>
        <v/>
      </c>
      <c r="O1177" s="116"/>
      <c r="P1177" s="116"/>
      <c r="Q1177" s="116"/>
      <c r="R1177" s="116" t="s">
        <v>39</v>
      </c>
      <c r="S1177" s="116" t="s">
        <v>39</v>
      </c>
      <c r="T1177" s="104" t="s">
        <v>5129</v>
      </c>
      <c r="U1177" s="116"/>
      <c r="V1177" s="104" t="s">
        <v>5129</v>
      </c>
      <c r="W1177" s="116"/>
    </row>
    <row r="1178">
      <c r="A1178" s="114" t="s">
        <v>39</v>
      </c>
      <c r="B1178" s="115"/>
      <c r="C1178" s="116"/>
      <c r="D1178" s="116"/>
      <c r="E1178" s="116" t="str">
        <f>IFERROR(__xludf.DUMMYFUNCTION("""COMPUTED_VALUE"""),"")</f>
        <v/>
      </c>
      <c r="F1178" s="117" t="s">
        <v>39</v>
      </c>
      <c r="G1178" s="116"/>
      <c r="H1178" s="117"/>
      <c r="I1178" s="117"/>
      <c r="J1178" s="117"/>
      <c r="K1178" s="117"/>
      <c r="L1178" s="116"/>
      <c r="M1178" s="117"/>
      <c r="N1178" s="118" t="str">
        <f>IFERROR(__xludf.DUMMYFUNCTION("""COMPUTED_VALUE"""),"")</f>
        <v/>
      </c>
      <c r="O1178" s="116"/>
      <c r="P1178" s="116"/>
      <c r="Q1178" s="116"/>
      <c r="R1178" s="116" t="s">
        <v>39</v>
      </c>
      <c r="S1178" s="116" t="s">
        <v>39</v>
      </c>
      <c r="T1178" s="104" t="s">
        <v>5130</v>
      </c>
      <c r="U1178" s="116"/>
      <c r="V1178" s="104" t="s">
        <v>5130</v>
      </c>
      <c r="W1178" s="116"/>
    </row>
    <row r="1179">
      <c r="A1179" s="114" t="s">
        <v>39</v>
      </c>
      <c r="B1179" s="115"/>
      <c r="C1179" s="116"/>
      <c r="D1179" s="116"/>
      <c r="E1179" s="116" t="str">
        <f>IFERROR(__xludf.DUMMYFUNCTION("""COMPUTED_VALUE"""),"")</f>
        <v/>
      </c>
      <c r="F1179" s="117" t="s">
        <v>39</v>
      </c>
      <c r="G1179" s="116"/>
      <c r="H1179" s="117"/>
      <c r="I1179" s="117"/>
      <c r="J1179" s="117"/>
      <c r="K1179" s="117"/>
      <c r="L1179" s="116"/>
      <c r="M1179" s="117"/>
      <c r="N1179" s="118" t="str">
        <f>IFERROR(__xludf.DUMMYFUNCTION("""COMPUTED_VALUE"""),"")</f>
        <v/>
      </c>
      <c r="O1179" s="116"/>
      <c r="P1179" s="116"/>
      <c r="Q1179" s="116"/>
      <c r="R1179" s="116" t="s">
        <v>39</v>
      </c>
      <c r="S1179" s="116" t="s">
        <v>39</v>
      </c>
      <c r="T1179" s="104" t="s">
        <v>5131</v>
      </c>
      <c r="U1179" s="116"/>
      <c r="V1179" s="104" t="s">
        <v>5131</v>
      </c>
      <c r="W1179" s="116"/>
    </row>
    <row r="1180">
      <c r="A1180" s="114" t="s">
        <v>39</v>
      </c>
      <c r="B1180" s="115"/>
      <c r="C1180" s="116"/>
      <c r="D1180" s="116"/>
      <c r="E1180" s="116" t="str">
        <f>IFERROR(__xludf.DUMMYFUNCTION("""COMPUTED_VALUE"""),"")</f>
        <v/>
      </c>
      <c r="F1180" s="117" t="s">
        <v>39</v>
      </c>
      <c r="G1180" s="116"/>
      <c r="H1180" s="117"/>
      <c r="I1180" s="117"/>
      <c r="J1180" s="117"/>
      <c r="K1180" s="117"/>
      <c r="L1180" s="116"/>
      <c r="M1180" s="117"/>
      <c r="N1180" s="118" t="str">
        <f>IFERROR(__xludf.DUMMYFUNCTION("""COMPUTED_VALUE"""),"")</f>
        <v/>
      </c>
      <c r="O1180" s="116"/>
      <c r="P1180" s="116"/>
      <c r="Q1180" s="116"/>
      <c r="R1180" s="116" t="s">
        <v>39</v>
      </c>
      <c r="S1180" s="116" t="s">
        <v>39</v>
      </c>
      <c r="T1180" s="104" t="s">
        <v>5132</v>
      </c>
      <c r="U1180" s="116"/>
      <c r="V1180" s="104" t="s">
        <v>5132</v>
      </c>
      <c r="W1180" s="116"/>
    </row>
    <row r="1181">
      <c r="A1181" s="114" t="s">
        <v>39</v>
      </c>
      <c r="B1181" s="115"/>
      <c r="C1181" s="116"/>
      <c r="D1181" s="116"/>
      <c r="E1181" s="116" t="str">
        <f>IFERROR(__xludf.DUMMYFUNCTION("""COMPUTED_VALUE"""),"")</f>
        <v/>
      </c>
      <c r="F1181" s="117" t="s">
        <v>39</v>
      </c>
      <c r="G1181" s="116"/>
      <c r="H1181" s="117"/>
      <c r="I1181" s="117"/>
      <c r="J1181" s="117"/>
      <c r="K1181" s="117"/>
      <c r="L1181" s="116"/>
      <c r="M1181" s="117"/>
      <c r="N1181" s="118" t="str">
        <f>IFERROR(__xludf.DUMMYFUNCTION("""COMPUTED_VALUE"""),"")</f>
        <v/>
      </c>
      <c r="O1181" s="116"/>
      <c r="P1181" s="116"/>
      <c r="Q1181" s="116"/>
      <c r="R1181" s="116" t="s">
        <v>39</v>
      </c>
      <c r="S1181" s="116" t="s">
        <v>39</v>
      </c>
      <c r="T1181" s="104" t="s">
        <v>5133</v>
      </c>
      <c r="U1181" s="116"/>
      <c r="V1181" s="104" t="s">
        <v>5133</v>
      </c>
      <c r="W1181" s="116"/>
    </row>
    <row r="1182">
      <c r="A1182" s="114" t="s">
        <v>39</v>
      </c>
      <c r="B1182" s="115"/>
      <c r="C1182" s="116"/>
      <c r="D1182" s="116"/>
      <c r="E1182" s="116" t="str">
        <f>IFERROR(__xludf.DUMMYFUNCTION("""COMPUTED_VALUE"""),"")</f>
        <v/>
      </c>
      <c r="F1182" s="117" t="s">
        <v>39</v>
      </c>
      <c r="G1182" s="116"/>
      <c r="H1182" s="117"/>
      <c r="I1182" s="117"/>
      <c r="J1182" s="117"/>
      <c r="K1182" s="117"/>
      <c r="L1182" s="116"/>
      <c r="M1182" s="117"/>
      <c r="N1182" s="118" t="str">
        <f>IFERROR(__xludf.DUMMYFUNCTION("""COMPUTED_VALUE"""),"")</f>
        <v/>
      </c>
      <c r="O1182" s="116"/>
      <c r="P1182" s="116"/>
      <c r="Q1182" s="116"/>
      <c r="R1182" s="116" t="s">
        <v>39</v>
      </c>
      <c r="S1182" s="116" t="s">
        <v>39</v>
      </c>
      <c r="T1182" s="104" t="s">
        <v>5134</v>
      </c>
      <c r="U1182" s="116"/>
      <c r="V1182" s="104" t="s">
        <v>5134</v>
      </c>
      <c r="W1182" s="116"/>
    </row>
    <row r="1183">
      <c r="A1183" s="114" t="s">
        <v>39</v>
      </c>
      <c r="B1183" s="115"/>
      <c r="C1183" s="116"/>
      <c r="D1183" s="116"/>
      <c r="E1183" s="116" t="str">
        <f>IFERROR(__xludf.DUMMYFUNCTION("""COMPUTED_VALUE"""),"")</f>
        <v/>
      </c>
      <c r="F1183" s="117" t="s">
        <v>39</v>
      </c>
      <c r="G1183" s="116"/>
      <c r="H1183" s="117"/>
      <c r="I1183" s="117"/>
      <c r="J1183" s="117"/>
      <c r="K1183" s="117"/>
      <c r="L1183" s="116"/>
      <c r="M1183" s="117"/>
      <c r="N1183" s="118" t="str">
        <f>IFERROR(__xludf.DUMMYFUNCTION("""COMPUTED_VALUE"""),"")</f>
        <v/>
      </c>
      <c r="O1183" s="116"/>
      <c r="P1183" s="116"/>
      <c r="Q1183" s="116"/>
      <c r="R1183" s="116" t="s">
        <v>39</v>
      </c>
      <c r="S1183" s="116" t="s">
        <v>39</v>
      </c>
      <c r="T1183" s="104" t="s">
        <v>5135</v>
      </c>
      <c r="U1183" s="116"/>
      <c r="V1183" s="104" t="s">
        <v>5135</v>
      </c>
      <c r="W1183" s="116"/>
    </row>
    <row r="1184">
      <c r="A1184" s="114" t="s">
        <v>39</v>
      </c>
      <c r="B1184" s="115"/>
      <c r="C1184" s="116"/>
      <c r="D1184" s="116"/>
      <c r="E1184" s="116" t="str">
        <f>IFERROR(__xludf.DUMMYFUNCTION("""COMPUTED_VALUE"""),"")</f>
        <v/>
      </c>
      <c r="F1184" s="117" t="s">
        <v>39</v>
      </c>
      <c r="G1184" s="116"/>
      <c r="H1184" s="117"/>
      <c r="I1184" s="117"/>
      <c r="J1184" s="117"/>
      <c r="K1184" s="117"/>
      <c r="L1184" s="116"/>
      <c r="M1184" s="117"/>
      <c r="N1184" s="118" t="str">
        <f>IFERROR(__xludf.DUMMYFUNCTION("""COMPUTED_VALUE"""),"")</f>
        <v/>
      </c>
      <c r="O1184" s="116"/>
      <c r="P1184" s="116"/>
      <c r="Q1184" s="116"/>
      <c r="R1184" s="116" t="s">
        <v>39</v>
      </c>
      <c r="S1184" s="116" t="s">
        <v>39</v>
      </c>
      <c r="T1184" s="104" t="s">
        <v>5136</v>
      </c>
      <c r="U1184" s="116"/>
      <c r="V1184" s="104" t="s">
        <v>5136</v>
      </c>
      <c r="W1184" s="116"/>
    </row>
    <row r="1185">
      <c r="A1185" s="114" t="s">
        <v>39</v>
      </c>
      <c r="B1185" s="115"/>
      <c r="C1185" s="116"/>
      <c r="D1185" s="116"/>
      <c r="E1185" s="116" t="str">
        <f>IFERROR(__xludf.DUMMYFUNCTION("""COMPUTED_VALUE"""),"")</f>
        <v/>
      </c>
      <c r="F1185" s="117" t="s">
        <v>39</v>
      </c>
      <c r="G1185" s="116"/>
      <c r="H1185" s="117"/>
      <c r="I1185" s="117"/>
      <c r="J1185" s="117"/>
      <c r="K1185" s="117"/>
      <c r="L1185" s="116"/>
      <c r="M1185" s="117"/>
      <c r="N1185" s="118" t="str">
        <f>IFERROR(__xludf.DUMMYFUNCTION("""COMPUTED_VALUE"""),"")</f>
        <v/>
      </c>
      <c r="O1185" s="116"/>
      <c r="P1185" s="116"/>
      <c r="Q1185" s="116"/>
      <c r="R1185" s="116" t="s">
        <v>39</v>
      </c>
      <c r="S1185" s="116" t="s">
        <v>39</v>
      </c>
      <c r="T1185" s="104" t="s">
        <v>5137</v>
      </c>
      <c r="U1185" s="116"/>
      <c r="V1185" s="104" t="s">
        <v>5137</v>
      </c>
      <c r="W1185" s="116"/>
    </row>
    <row r="1186">
      <c r="A1186" s="114" t="s">
        <v>39</v>
      </c>
      <c r="B1186" s="115"/>
      <c r="C1186" s="116"/>
      <c r="D1186" s="116"/>
      <c r="E1186" s="116" t="str">
        <f>IFERROR(__xludf.DUMMYFUNCTION("""COMPUTED_VALUE"""),"")</f>
        <v/>
      </c>
      <c r="F1186" s="117" t="s">
        <v>39</v>
      </c>
      <c r="G1186" s="116"/>
      <c r="H1186" s="117"/>
      <c r="I1186" s="117"/>
      <c r="J1186" s="117"/>
      <c r="K1186" s="117"/>
      <c r="L1186" s="116"/>
      <c r="M1186" s="117"/>
      <c r="N1186" s="118" t="str">
        <f>IFERROR(__xludf.DUMMYFUNCTION("""COMPUTED_VALUE"""),"")</f>
        <v/>
      </c>
      <c r="O1186" s="116"/>
      <c r="P1186" s="116"/>
      <c r="Q1186" s="116"/>
      <c r="R1186" s="116" t="s">
        <v>39</v>
      </c>
      <c r="S1186" s="116" t="s">
        <v>39</v>
      </c>
      <c r="T1186" s="104" t="s">
        <v>5138</v>
      </c>
      <c r="U1186" s="116"/>
      <c r="V1186" s="104" t="s">
        <v>5138</v>
      </c>
      <c r="W1186" s="116"/>
    </row>
    <row r="1187">
      <c r="A1187" s="114" t="s">
        <v>39</v>
      </c>
      <c r="B1187" s="115"/>
      <c r="C1187" s="116"/>
      <c r="D1187" s="116"/>
      <c r="E1187" s="116" t="str">
        <f>IFERROR(__xludf.DUMMYFUNCTION("""COMPUTED_VALUE"""),"")</f>
        <v/>
      </c>
      <c r="F1187" s="117" t="s">
        <v>39</v>
      </c>
      <c r="G1187" s="116"/>
      <c r="H1187" s="117"/>
      <c r="I1187" s="117"/>
      <c r="J1187" s="117"/>
      <c r="K1187" s="117"/>
      <c r="L1187" s="116"/>
      <c r="M1187" s="117"/>
      <c r="N1187" s="118" t="str">
        <f>IFERROR(__xludf.DUMMYFUNCTION("""COMPUTED_VALUE"""),"")</f>
        <v/>
      </c>
      <c r="O1187" s="116"/>
      <c r="P1187" s="116"/>
      <c r="Q1187" s="116"/>
      <c r="R1187" s="116" t="s">
        <v>39</v>
      </c>
      <c r="S1187" s="116" t="s">
        <v>39</v>
      </c>
      <c r="T1187" s="104" t="s">
        <v>5139</v>
      </c>
      <c r="U1187" s="116"/>
      <c r="V1187" s="104" t="s">
        <v>5139</v>
      </c>
      <c r="W1187" s="116"/>
    </row>
    <row r="1188">
      <c r="A1188" s="114" t="s">
        <v>39</v>
      </c>
      <c r="B1188" s="115"/>
      <c r="C1188" s="116"/>
      <c r="D1188" s="116"/>
      <c r="E1188" s="116" t="str">
        <f>IFERROR(__xludf.DUMMYFUNCTION("""COMPUTED_VALUE"""),"")</f>
        <v/>
      </c>
      <c r="F1188" s="117" t="s">
        <v>39</v>
      </c>
      <c r="G1188" s="116"/>
      <c r="H1188" s="117"/>
      <c r="I1188" s="117"/>
      <c r="J1188" s="117"/>
      <c r="K1188" s="117"/>
      <c r="L1188" s="116"/>
      <c r="M1188" s="117"/>
      <c r="N1188" s="118" t="str">
        <f>IFERROR(__xludf.DUMMYFUNCTION("""COMPUTED_VALUE"""),"")</f>
        <v/>
      </c>
      <c r="O1188" s="116"/>
      <c r="P1188" s="116"/>
      <c r="Q1188" s="116"/>
      <c r="R1188" s="116" t="s">
        <v>39</v>
      </c>
      <c r="S1188" s="116" t="s">
        <v>39</v>
      </c>
      <c r="T1188" s="104" t="s">
        <v>5140</v>
      </c>
      <c r="U1188" s="116"/>
      <c r="V1188" s="104" t="s">
        <v>5140</v>
      </c>
      <c r="W1188" s="116"/>
    </row>
    <row r="1189">
      <c r="A1189" s="114" t="s">
        <v>39</v>
      </c>
      <c r="B1189" s="115"/>
      <c r="C1189" s="116"/>
      <c r="D1189" s="116"/>
      <c r="E1189" s="116" t="str">
        <f>IFERROR(__xludf.DUMMYFUNCTION("""COMPUTED_VALUE"""),"")</f>
        <v/>
      </c>
      <c r="F1189" s="117" t="s">
        <v>39</v>
      </c>
      <c r="G1189" s="116"/>
      <c r="H1189" s="117"/>
      <c r="I1189" s="117"/>
      <c r="J1189" s="117"/>
      <c r="K1189" s="117"/>
      <c r="L1189" s="116"/>
      <c r="M1189" s="117"/>
      <c r="N1189" s="118" t="str">
        <f>IFERROR(__xludf.DUMMYFUNCTION("""COMPUTED_VALUE"""),"")</f>
        <v/>
      </c>
      <c r="O1189" s="116"/>
      <c r="P1189" s="116"/>
      <c r="Q1189" s="116"/>
      <c r="R1189" s="116" t="s">
        <v>39</v>
      </c>
      <c r="S1189" s="116" t="s">
        <v>39</v>
      </c>
      <c r="T1189" s="104" t="s">
        <v>5141</v>
      </c>
      <c r="U1189" s="116"/>
      <c r="V1189" s="104" t="s">
        <v>5141</v>
      </c>
      <c r="W1189" s="116"/>
    </row>
    <row r="1190">
      <c r="A1190" s="114" t="s">
        <v>39</v>
      </c>
      <c r="B1190" s="115"/>
      <c r="C1190" s="116"/>
      <c r="D1190" s="116"/>
      <c r="E1190" s="116" t="str">
        <f>IFERROR(__xludf.DUMMYFUNCTION("""COMPUTED_VALUE"""),"")</f>
        <v/>
      </c>
      <c r="F1190" s="117" t="s">
        <v>39</v>
      </c>
      <c r="G1190" s="116"/>
      <c r="H1190" s="117"/>
      <c r="I1190" s="117"/>
      <c r="J1190" s="117"/>
      <c r="K1190" s="117"/>
      <c r="L1190" s="116"/>
      <c r="M1190" s="117"/>
      <c r="N1190" s="118" t="str">
        <f>IFERROR(__xludf.DUMMYFUNCTION("""COMPUTED_VALUE"""),"")</f>
        <v/>
      </c>
      <c r="O1190" s="116"/>
      <c r="P1190" s="116"/>
      <c r="Q1190" s="116"/>
      <c r="R1190" s="116" t="s">
        <v>39</v>
      </c>
      <c r="S1190" s="116" t="s">
        <v>39</v>
      </c>
      <c r="T1190" s="104" t="s">
        <v>5142</v>
      </c>
      <c r="U1190" s="116"/>
      <c r="V1190" s="104" t="s">
        <v>5142</v>
      </c>
      <c r="W1190" s="116"/>
    </row>
    <row r="1191">
      <c r="A1191" s="114" t="s">
        <v>39</v>
      </c>
      <c r="B1191" s="115"/>
      <c r="C1191" s="116"/>
      <c r="D1191" s="116"/>
      <c r="E1191" s="116" t="str">
        <f>IFERROR(__xludf.DUMMYFUNCTION("""COMPUTED_VALUE"""),"")</f>
        <v/>
      </c>
      <c r="F1191" s="117" t="s">
        <v>39</v>
      </c>
      <c r="G1191" s="116"/>
      <c r="H1191" s="117"/>
      <c r="I1191" s="117"/>
      <c r="J1191" s="117"/>
      <c r="K1191" s="117"/>
      <c r="L1191" s="116"/>
      <c r="M1191" s="117"/>
      <c r="N1191" s="118" t="str">
        <f>IFERROR(__xludf.DUMMYFUNCTION("""COMPUTED_VALUE"""),"")</f>
        <v/>
      </c>
      <c r="O1191" s="116"/>
      <c r="P1191" s="116"/>
      <c r="Q1191" s="116"/>
      <c r="R1191" s="116" t="s">
        <v>39</v>
      </c>
      <c r="S1191" s="116" t="s">
        <v>39</v>
      </c>
      <c r="T1191" s="104" t="s">
        <v>5143</v>
      </c>
      <c r="U1191" s="116"/>
      <c r="V1191" s="104" t="s">
        <v>5143</v>
      </c>
      <c r="W1191" s="116"/>
    </row>
    <row r="1192">
      <c r="A1192" s="114" t="s">
        <v>39</v>
      </c>
      <c r="B1192" s="115"/>
      <c r="C1192" s="116"/>
      <c r="D1192" s="116"/>
      <c r="E1192" s="116" t="str">
        <f>IFERROR(__xludf.DUMMYFUNCTION("""COMPUTED_VALUE"""),"")</f>
        <v/>
      </c>
      <c r="F1192" s="117" t="s">
        <v>39</v>
      </c>
      <c r="G1192" s="116"/>
      <c r="H1192" s="117"/>
      <c r="I1192" s="117"/>
      <c r="J1192" s="117"/>
      <c r="K1192" s="117"/>
      <c r="L1192" s="116"/>
      <c r="M1192" s="117"/>
      <c r="N1192" s="118" t="str">
        <f>IFERROR(__xludf.DUMMYFUNCTION("""COMPUTED_VALUE"""),"")</f>
        <v/>
      </c>
      <c r="O1192" s="116"/>
      <c r="P1192" s="116"/>
      <c r="Q1192" s="116"/>
      <c r="R1192" s="116" t="s">
        <v>39</v>
      </c>
      <c r="S1192" s="116" t="s">
        <v>39</v>
      </c>
      <c r="T1192" s="104" t="s">
        <v>5144</v>
      </c>
      <c r="U1192" s="116"/>
      <c r="V1192" s="104" t="s">
        <v>5144</v>
      </c>
      <c r="W1192" s="116"/>
    </row>
    <row r="1193">
      <c r="A1193" s="114" t="s">
        <v>39</v>
      </c>
      <c r="B1193" s="115"/>
      <c r="C1193" s="116"/>
      <c r="D1193" s="116"/>
      <c r="E1193" s="116" t="str">
        <f>IFERROR(__xludf.DUMMYFUNCTION("""COMPUTED_VALUE"""),"")</f>
        <v/>
      </c>
      <c r="F1193" s="117" t="s">
        <v>39</v>
      </c>
      <c r="G1193" s="116"/>
      <c r="H1193" s="117"/>
      <c r="I1193" s="117"/>
      <c r="J1193" s="117"/>
      <c r="K1193" s="117"/>
      <c r="L1193" s="116"/>
      <c r="M1193" s="117"/>
      <c r="N1193" s="118" t="str">
        <f>IFERROR(__xludf.DUMMYFUNCTION("""COMPUTED_VALUE"""),"")</f>
        <v/>
      </c>
      <c r="O1193" s="116"/>
      <c r="P1193" s="116"/>
      <c r="Q1193" s="116"/>
      <c r="R1193" s="116" t="s">
        <v>39</v>
      </c>
      <c r="S1193" s="116" t="s">
        <v>39</v>
      </c>
      <c r="T1193" s="104" t="s">
        <v>5145</v>
      </c>
      <c r="U1193" s="116"/>
      <c r="V1193" s="104" t="s">
        <v>5145</v>
      </c>
      <c r="W1193" s="116"/>
    </row>
    <row r="1194">
      <c r="A1194" s="114" t="s">
        <v>39</v>
      </c>
      <c r="B1194" s="115"/>
      <c r="C1194" s="116"/>
      <c r="D1194" s="116"/>
      <c r="E1194" s="116" t="str">
        <f>IFERROR(__xludf.DUMMYFUNCTION("""COMPUTED_VALUE"""),"")</f>
        <v/>
      </c>
      <c r="F1194" s="117" t="s">
        <v>39</v>
      </c>
      <c r="G1194" s="116"/>
      <c r="H1194" s="117"/>
      <c r="I1194" s="117"/>
      <c r="J1194" s="117"/>
      <c r="K1194" s="117"/>
      <c r="L1194" s="116"/>
      <c r="M1194" s="117"/>
      <c r="N1194" s="118" t="str">
        <f>IFERROR(__xludf.DUMMYFUNCTION("""COMPUTED_VALUE"""),"")</f>
        <v/>
      </c>
      <c r="O1194" s="116"/>
      <c r="P1194" s="116"/>
      <c r="Q1194" s="116"/>
      <c r="R1194" s="116" t="s">
        <v>39</v>
      </c>
      <c r="S1194" s="116" t="s">
        <v>39</v>
      </c>
      <c r="T1194" s="104" t="s">
        <v>5146</v>
      </c>
      <c r="U1194" s="116"/>
      <c r="V1194" s="104" t="s">
        <v>5146</v>
      </c>
      <c r="W1194" s="116"/>
    </row>
    <row r="1195">
      <c r="A1195" s="114" t="s">
        <v>39</v>
      </c>
      <c r="B1195" s="115"/>
      <c r="C1195" s="116"/>
      <c r="D1195" s="116"/>
      <c r="E1195" s="116" t="str">
        <f>IFERROR(__xludf.DUMMYFUNCTION("""COMPUTED_VALUE"""),"")</f>
        <v/>
      </c>
      <c r="F1195" s="117" t="s">
        <v>39</v>
      </c>
      <c r="G1195" s="116"/>
      <c r="H1195" s="117"/>
      <c r="I1195" s="117"/>
      <c r="J1195" s="117"/>
      <c r="K1195" s="117"/>
      <c r="L1195" s="116"/>
      <c r="M1195" s="117"/>
      <c r="N1195" s="118" t="str">
        <f>IFERROR(__xludf.DUMMYFUNCTION("""COMPUTED_VALUE"""),"")</f>
        <v/>
      </c>
      <c r="O1195" s="116"/>
      <c r="P1195" s="116"/>
      <c r="Q1195" s="116"/>
      <c r="R1195" s="116" t="s">
        <v>39</v>
      </c>
      <c r="S1195" s="116" t="s">
        <v>39</v>
      </c>
      <c r="T1195" s="104" t="s">
        <v>5147</v>
      </c>
      <c r="U1195" s="116"/>
      <c r="V1195" s="104" t="s">
        <v>5147</v>
      </c>
      <c r="W1195" s="116"/>
    </row>
    <row r="1196">
      <c r="A1196" s="114" t="s">
        <v>39</v>
      </c>
      <c r="B1196" s="115"/>
      <c r="C1196" s="116"/>
      <c r="D1196" s="116"/>
      <c r="E1196" s="116" t="str">
        <f>IFERROR(__xludf.DUMMYFUNCTION("""COMPUTED_VALUE"""),"")</f>
        <v/>
      </c>
      <c r="F1196" s="117" t="s">
        <v>39</v>
      </c>
      <c r="G1196" s="116"/>
      <c r="H1196" s="117"/>
      <c r="I1196" s="117"/>
      <c r="J1196" s="117"/>
      <c r="K1196" s="117"/>
      <c r="L1196" s="116"/>
      <c r="M1196" s="117"/>
      <c r="N1196" s="118" t="str">
        <f>IFERROR(__xludf.DUMMYFUNCTION("""COMPUTED_VALUE"""),"")</f>
        <v/>
      </c>
      <c r="O1196" s="116"/>
      <c r="P1196" s="116"/>
      <c r="Q1196" s="116"/>
      <c r="R1196" s="116" t="s">
        <v>39</v>
      </c>
      <c r="S1196" s="116" t="s">
        <v>39</v>
      </c>
      <c r="T1196" s="104" t="s">
        <v>5148</v>
      </c>
      <c r="U1196" s="116"/>
      <c r="V1196" s="104" t="s">
        <v>5148</v>
      </c>
      <c r="W1196" s="116"/>
    </row>
    <row r="1197">
      <c r="A1197" s="114" t="s">
        <v>39</v>
      </c>
      <c r="B1197" s="115"/>
      <c r="C1197" s="116"/>
      <c r="D1197" s="116"/>
      <c r="E1197" s="116" t="str">
        <f>IFERROR(__xludf.DUMMYFUNCTION("""COMPUTED_VALUE"""),"")</f>
        <v/>
      </c>
      <c r="F1197" s="117" t="s">
        <v>39</v>
      </c>
      <c r="G1197" s="116"/>
      <c r="H1197" s="117"/>
      <c r="I1197" s="117"/>
      <c r="J1197" s="117"/>
      <c r="K1197" s="117"/>
      <c r="L1197" s="116"/>
      <c r="M1197" s="117"/>
      <c r="N1197" s="118" t="str">
        <f>IFERROR(__xludf.DUMMYFUNCTION("""COMPUTED_VALUE"""),"")</f>
        <v/>
      </c>
      <c r="O1197" s="116"/>
      <c r="P1197" s="116"/>
      <c r="Q1197" s="116"/>
      <c r="R1197" s="116" t="s">
        <v>39</v>
      </c>
      <c r="S1197" s="116" t="s">
        <v>39</v>
      </c>
      <c r="T1197" s="104" t="s">
        <v>5149</v>
      </c>
      <c r="U1197" s="116"/>
      <c r="V1197" s="104" t="s">
        <v>5149</v>
      </c>
      <c r="W1197" s="116"/>
    </row>
    <row r="1198">
      <c r="A1198" s="114" t="s">
        <v>39</v>
      </c>
      <c r="B1198" s="115"/>
      <c r="C1198" s="116"/>
      <c r="D1198" s="116"/>
      <c r="E1198" s="116" t="str">
        <f>IFERROR(__xludf.DUMMYFUNCTION("""COMPUTED_VALUE"""),"")</f>
        <v/>
      </c>
      <c r="F1198" s="117" t="s">
        <v>39</v>
      </c>
      <c r="G1198" s="116"/>
      <c r="H1198" s="117"/>
      <c r="I1198" s="117"/>
      <c r="J1198" s="117"/>
      <c r="K1198" s="117"/>
      <c r="L1198" s="116"/>
      <c r="M1198" s="117"/>
      <c r="N1198" s="118" t="str">
        <f>IFERROR(__xludf.DUMMYFUNCTION("""COMPUTED_VALUE"""),"")</f>
        <v/>
      </c>
      <c r="O1198" s="116"/>
      <c r="P1198" s="116"/>
      <c r="Q1198" s="116"/>
      <c r="R1198" s="116" t="s">
        <v>39</v>
      </c>
      <c r="S1198" s="116" t="s">
        <v>39</v>
      </c>
      <c r="T1198" s="104" t="s">
        <v>5150</v>
      </c>
      <c r="U1198" s="116"/>
      <c r="V1198" s="104" t="s">
        <v>5150</v>
      </c>
      <c r="W1198" s="116"/>
    </row>
    <row r="1199">
      <c r="A1199" s="114" t="s">
        <v>39</v>
      </c>
      <c r="B1199" s="115"/>
      <c r="C1199" s="116"/>
      <c r="D1199" s="116"/>
      <c r="E1199" s="116" t="str">
        <f>IFERROR(__xludf.DUMMYFUNCTION("""COMPUTED_VALUE"""),"")</f>
        <v/>
      </c>
      <c r="F1199" s="117" t="s">
        <v>39</v>
      </c>
      <c r="G1199" s="116"/>
      <c r="H1199" s="117"/>
      <c r="I1199" s="117"/>
      <c r="J1199" s="117"/>
      <c r="K1199" s="117"/>
      <c r="L1199" s="116"/>
      <c r="M1199" s="117"/>
      <c r="N1199" s="118" t="str">
        <f>IFERROR(__xludf.DUMMYFUNCTION("""COMPUTED_VALUE"""),"")</f>
        <v/>
      </c>
      <c r="O1199" s="116"/>
      <c r="P1199" s="116"/>
      <c r="Q1199" s="116"/>
      <c r="R1199" s="116" t="s">
        <v>39</v>
      </c>
      <c r="S1199" s="116" t="s">
        <v>39</v>
      </c>
      <c r="T1199" s="104" t="s">
        <v>5151</v>
      </c>
      <c r="U1199" s="116"/>
      <c r="V1199" s="104" t="s">
        <v>5151</v>
      </c>
      <c r="W1199" s="116"/>
    </row>
    <row r="1200">
      <c r="A1200" s="114" t="s">
        <v>39</v>
      </c>
      <c r="B1200" s="115"/>
      <c r="C1200" s="116"/>
      <c r="D1200" s="116"/>
      <c r="E1200" s="116" t="str">
        <f>IFERROR(__xludf.DUMMYFUNCTION("""COMPUTED_VALUE"""),"")</f>
        <v/>
      </c>
      <c r="F1200" s="117" t="s">
        <v>39</v>
      </c>
      <c r="G1200" s="116"/>
      <c r="H1200" s="117"/>
      <c r="I1200" s="117"/>
      <c r="J1200" s="117"/>
      <c r="K1200" s="117"/>
      <c r="L1200" s="116"/>
      <c r="M1200" s="117"/>
      <c r="N1200" s="118" t="str">
        <f>IFERROR(__xludf.DUMMYFUNCTION("""COMPUTED_VALUE"""),"")</f>
        <v/>
      </c>
      <c r="O1200" s="116"/>
      <c r="P1200" s="116"/>
      <c r="Q1200" s="116"/>
      <c r="R1200" s="116" t="s">
        <v>39</v>
      </c>
      <c r="S1200" s="116" t="s">
        <v>39</v>
      </c>
      <c r="T1200" s="104" t="s">
        <v>5152</v>
      </c>
      <c r="U1200" s="116"/>
      <c r="V1200" s="104" t="s">
        <v>5152</v>
      </c>
      <c r="W1200" s="116"/>
    </row>
    <row r="1201">
      <c r="A1201" s="114" t="s">
        <v>39</v>
      </c>
      <c r="B1201" s="115"/>
      <c r="C1201" s="116"/>
      <c r="D1201" s="116"/>
      <c r="E1201" s="116" t="str">
        <f>IFERROR(__xludf.DUMMYFUNCTION("""COMPUTED_VALUE"""),"")</f>
        <v/>
      </c>
      <c r="F1201" s="117" t="s">
        <v>39</v>
      </c>
      <c r="G1201" s="116"/>
      <c r="H1201" s="117"/>
      <c r="I1201" s="117"/>
      <c r="J1201" s="117"/>
      <c r="K1201" s="117"/>
      <c r="L1201" s="116"/>
      <c r="M1201" s="117"/>
      <c r="N1201" s="118" t="str">
        <f>IFERROR(__xludf.DUMMYFUNCTION("""COMPUTED_VALUE"""),"")</f>
        <v/>
      </c>
      <c r="O1201" s="116"/>
      <c r="P1201" s="116"/>
      <c r="Q1201" s="116"/>
      <c r="R1201" s="116" t="s">
        <v>39</v>
      </c>
      <c r="S1201" s="116" t="s">
        <v>39</v>
      </c>
      <c r="T1201" s="104" t="s">
        <v>5153</v>
      </c>
      <c r="U1201" s="116"/>
      <c r="V1201" s="104" t="s">
        <v>5153</v>
      </c>
      <c r="W1201" s="116"/>
    </row>
    <row r="1202">
      <c r="A1202" s="114" t="s">
        <v>39</v>
      </c>
      <c r="B1202" s="115"/>
      <c r="C1202" s="116"/>
      <c r="D1202" s="116"/>
      <c r="E1202" s="116" t="str">
        <f>IFERROR(__xludf.DUMMYFUNCTION("""COMPUTED_VALUE"""),"")</f>
        <v/>
      </c>
      <c r="F1202" s="117" t="s">
        <v>39</v>
      </c>
      <c r="G1202" s="116"/>
      <c r="H1202" s="117"/>
      <c r="I1202" s="117"/>
      <c r="J1202" s="117"/>
      <c r="K1202" s="117"/>
      <c r="L1202" s="116"/>
      <c r="M1202" s="117"/>
      <c r="N1202" s="118" t="str">
        <f>IFERROR(__xludf.DUMMYFUNCTION("""COMPUTED_VALUE"""),"")</f>
        <v/>
      </c>
      <c r="O1202" s="116"/>
      <c r="P1202" s="116"/>
      <c r="Q1202" s="116"/>
      <c r="R1202" s="116" t="s">
        <v>39</v>
      </c>
      <c r="S1202" s="116" t="s">
        <v>39</v>
      </c>
      <c r="T1202" s="104" t="s">
        <v>5154</v>
      </c>
      <c r="U1202" s="116"/>
      <c r="V1202" s="104" t="s">
        <v>5154</v>
      </c>
      <c r="W1202" s="116"/>
    </row>
    <row r="1203">
      <c r="A1203" s="114" t="s">
        <v>39</v>
      </c>
      <c r="B1203" s="115"/>
      <c r="C1203" s="116"/>
      <c r="D1203" s="116"/>
      <c r="E1203" s="116" t="str">
        <f>IFERROR(__xludf.DUMMYFUNCTION("""COMPUTED_VALUE"""),"")</f>
        <v/>
      </c>
      <c r="F1203" s="117" t="s">
        <v>39</v>
      </c>
      <c r="G1203" s="116"/>
      <c r="H1203" s="117"/>
      <c r="I1203" s="117"/>
      <c r="J1203" s="117"/>
      <c r="K1203" s="117"/>
      <c r="L1203" s="116"/>
      <c r="M1203" s="117"/>
      <c r="N1203" s="118" t="str">
        <f>IFERROR(__xludf.DUMMYFUNCTION("""COMPUTED_VALUE"""),"")</f>
        <v/>
      </c>
      <c r="O1203" s="116"/>
      <c r="P1203" s="116"/>
      <c r="Q1203" s="116"/>
      <c r="R1203" s="116" t="s">
        <v>39</v>
      </c>
      <c r="S1203" s="116" t="s">
        <v>39</v>
      </c>
      <c r="T1203" s="104" t="s">
        <v>5155</v>
      </c>
      <c r="U1203" s="116"/>
      <c r="V1203" s="104" t="s">
        <v>5155</v>
      </c>
      <c r="W1203" s="116"/>
    </row>
    <row r="1204">
      <c r="A1204" s="114" t="s">
        <v>39</v>
      </c>
      <c r="B1204" s="115"/>
      <c r="C1204" s="116"/>
      <c r="D1204" s="116"/>
      <c r="E1204" s="116" t="str">
        <f>IFERROR(__xludf.DUMMYFUNCTION("""COMPUTED_VALUE"""),"")</f>
        <v/>
      </c>
      <c r="F1204" s="117" t="s">
        <v>39</v>
      </c>
      <c r="G1204" s="116"/>
      <c r="H1204" s="117"/>
      <c r="I1204" s="117"/>
      <c r="J1204" s="117"/>
      <c r="K1204" s="117"/>
      <c r="L1204" s="116"/>
      <c r="M1204" s="117"/>
      <c r="N1204" s="118" t="str">
        <f>IFERROR(__xludf.DUMMYFUNCTION("""COMPUTED_VALUE"""),"")</f>
        <v/>
      </c>
      <c r="O1204" s="116"/>
      <c r="P1204" s="116"/>
      <c r="Q1204" s="116"/>
      <c r="R1204" s="116" t="s">
        <v>39</v>
      </c>
      <c r="S1204" s="116" t="s">
        <v>39</v>
      </c>
      <c r="T1204" s="104" t="s">
        <v>5156</v>
      </c>
      <c r="U1204" s="116"/>
      <c r="V1204" s="104" t="s">
        <v>5156</v>
      </c>
      <c r="W1204" s="116"/>
    </row>
    <row r="1205">
      <c r="A1205" s="114" t="s">
        <v>39</v>
      </c>
      <c r="B1205" s="115"/>
      <c r="C1205" s="116"/>
      <c r="D1205" s="116"/>
      <c r="E1205" s="116" t="str">
        <f>IFERROR(__xludf.DUMMYFUNCTION("""COMPUTED_VALUE"""),"")</f>
        <v/>
      </c>
      <c r="F1205" s="117" t="s">
        <v>39</v>
      </c>
      <c r="G1205" s="116"/>
      <c r="H1205" s="117"/>
      <c r="I1205" s="117"/>
      <c r="J1205" s="117"/>
      <c r="K1205" s="117"/>
      <c r="L1205" s="116"/>
      <c r="M1205" s="117"/>
      <c r="N1205" s="118" t="str">
        <f>IFERROR(__xludf.DUMMYFUNCTION("""COMPUTED_VALUE"""),"")</f>
        <v/>
      </c>
      <c r="O1205" s="116"/>
      <c r="P1205" s="116"/>
      <c r="Q1205" s="116"/>
      <c r="R1205" s="116" t="s">
        <v>39</v>
      </c>
      <c r="S1205" s="116" t="s">
        <v>39</v>
      </c>
      <c r="T1205" s="104" t="s">
        <v>5157</v>
      </c>
      <c r="U1205" s="116"/>
      <c r="V1205" s="104" t="s">
        <v>5157</v>
      </c>
      <c r="W1205" s="116"/>
    </row>
    <row r="1206">
      <c r="A1206" s="114" t="s">
        <v>39</v>
      </c>
      <c r="B1206" s="115"/>
      <c r="C1206" s="116"/>
      <c r="D1206" s="116"/>
      <c r="E1206" s="116" t="str">
        <f>IFERROR(__xludf.DUMMYFUNCTION("""COMPUTED_VALUE"""),"")</f>
        <v/>
      </c>
      <c r="F1206" s="117" t="s">
        <v>39</v>
      </c>
      <c r="G1206" s="116"/>
      <c r="H1206" s="117"/>
      <c r="I1206" s="117"/>
      <c r="J1206" s="117"/>
      <c r="K1206" s="117"/>
      <c r="L1206" s="116"/>
      <c r="M1206" s="117"/>
      <c r="N1206" s="118" t="str">
        <f>IFERROR(__xludf.DUMMYFUNCTION("""COMPUTED_VALUE"""),"")</f>
        <v/>
      </c>
      <c r="O1206" s="116"/>
      <c r="P1206" s="116"/>
      <c r="Q1206" s="116"/>
      <c r="R1206" s="116" t="s">
        <v>39</v>
      </c>
      <c r="S1206" s="116" t="s">
        <v>39</v>
      </c>
      <c r="T1206" s="104" t="s">
        <v>5158</v>
      </c>
      <c r="U1206" s="116"/>
      <c r="V1206" s="104" t="s">
        <v>5158</v>
      </c>
      <c r="W1206" s="116"/>
    </row>
    <row r="1207">
      <c r="A1207" s="114" t="s">
        <v>39</v>
      </c>
      <c r="B1207" s="115"/>
      <c r="C1207" s="116"/>
      <c r="D1207" s="116"/>
      <c r="E1207" s="116" t="str">
        <f>IFERROR(__xludf.DUMMYFUNCTION("""COMPUTED_VALUE"""),"")</f>
        <v/>
      </c>
      <c r="F1207" s="117" t="s">
        <v>39</v>
      </c>
      <c r="G1207" s="116"/>
      <c r="H1207" s="117"/>
      <c r="I1207" s="117"/>
      <c r="J1207" s="117"/>
      <c r="K1207" s="117"/>
      <c r="L1207" s="116"/>
      <c r="M1207" s="117"/>
      <c r="N1207" s="118" t="str">
        <f>IFERROR(__xludf.DUMMYFUNCTION("""COMPUTED_VALUE"""),"")</f>
        <v/>
      </c>
      <c r="O1207" s="116"/>
      <c r="P1207" s="116"/>
      <c r="Q1207" s="116"/>
      <c r="R1207" s="116" t="s">
        <v>39</v>
      </c>
      <c r="S1207" s="116" t="s">
        <v>39</v>
      </c>
      <c r="T1207" s="104" t="s">
        <v>5159</v>
      </c>
      <c r="U1207" s="116"/>
      <c r="V1207" s="104" t="s">
        <v>5159</v>
      </c>
      <c r="W1207" s="116"/>
    </row>
    <row r="1208">
      <c r="A1208" s="114" t="s">
        <v>39</v>
      </c>
      <c r="B1208" s="115"/>
      <c r="C1208" s="116"/>
      <c r="D1208" s="116"/>
      <c r="E1208" s="116" t="str">
        <f>IFERROR(__xludf.DUMMYFUNCTION("""COMPUTED_VALUE"""),"")</f>
        <v/>
      </c>
      <c r="F1208" s="117" t="s">
        <v>39</v>
      </c>
      <c r="G1208" s="116"/>
      <c r="H1208" s="117"/>
      <c r="I1208" s="117"/>
      <c r="J1208" s="117"/>
      <c r="K1208" s="117"/>
      <c r="L1208" s="116"/>
      <c r="M1208" s="117"/>
      <c r="N1208" s="118" t="str">
        <f>IFERROR(__xludf.DUMMYFUNCTION("""COMPUTED_VALUE"""),"")</f>
        <v/>
      </c>
      <c r="O1208" s="116"/>
      <c r="P1208" s="116"/>
      <c r="Q1208" s="116"/>
      <c r="R1208" s="116" t="s">
        <v>39</v>
      </c>
      <c r="S1208" s="116" t="s">
        <v>39</v>
      </c>
      <c r="T1208" s="104" t="s">
        <v>5160</v>
      </c>
      <c r="U1208" s="116"/>
      <c r="V1208" s="104" t="s">
        <v>5160</v>
      </c>
      <c r="W1208" s="116"/>
    </row>
    <row r="1209">
      <c r="A1209" s="114" t="s">
        <v>39</v>
      </c>
      <c r="B1209" s="115"/>
      <c r="C1209" s="116"/>
      <c r="D1209" s="116"/>
      <c r="E1209" s="116" t="str">
        <f>IFERROR(__xludf.DUMMYFUNCTION("""COMPUTED_VALUE"""),"")</f>
        <v/>
      </c>
      <c r="F1209" s="117" t="s">
        <v>39</v>
      </c>
      <c r="G1209" s="116"/>
      <c r="H1209" s="117"/>
      <c r="I1209" s="117"/>
      <c r="J1209" s="117"/>
      <c r="K1209" s="117"/>
      <c r="L1209" s="116"/>
      <c r="M1209" s="117"/>
      <c r="N1209" s="118" t="str">
        <f>IFERROR(__xludf.DUMMYFUNCTION("""COMPUTED_VALUE"""),"")</f>
        <v/>
      </c>
      <c r="O1209" s="116"/>
      <c r="P1209" s="116"/>
      <c r="Q1209" s="116"/>
      <c r="R1209" s="116" t="s">
        <v>39</v>
      </c>
      <c r="S1209" s="116" t="s">
        <v>39</v>
      </c>
      <c r="T1209" s="104" t="s">
        <v>5161</v>
      </c>
      <c r="U1209" s="116"/>
      <c r="V1209" s="104" t="s">
        <v>5161</v>
      </c>
      <c r="W1209" s="116"/>
    </row>
    <row r="1210">
      <c r="A1210" s="114" t="s">
        <v>39</v>
      </c>
      <c r="B1210" s="115"/>
      <c r="C1210" s="116"/>
      <c r="D1210" s="116"/>
      <c r="E1210" s="116" t="str">
        <f>IFERROR(__xludf.DUMMYFUNCTION("""COMPUTED_VALUE"""),"")</f>
        <v/>
      </c>
      <c r="F1210" s="117" t="s">
        <v>39</v>
      </c>
      <c r="G1210" s="116"/>
      <c r="H1210" s="117"/>
      <c r="I1210" s="117"/>
      <c r="J1210" s="117"/>
      <c r="K1210" s="117"/>
      <c r="L1210" s="116"/>
      <c r="M1210" s="117"/>
      <c r="N1210" s="118" t="str">
        <f>IFERROR(__xludf.DUMMYFUNCTION("""COMPUTED_VALUE"""),"")</f>
        <v/>
      </c>
      <c r="O1210" s="116"/>
      <c r="P1210" s="116"/>
      <c r="Q1210" s="116"/>
      <c r="R1210" s="116" t="s">
        <v>39</v>
      </c>
      <c r="S1210" s="116" t="s">
        <v>39</v>
      </c>
      <c r="T1210" s="104" t="s">
        <v>5162</v>
      </c>
      <c r="U1210" s="116"/>
      <c r="V1210" s="104" t="s">
        <v>5162</v>
      </c>
      <c r="W1210" s="116"/>
    </row>
    <row r="1211">
      <c r="A1211" s="114" t="s">
        <v>39</v>
      </c>
      <c r="B1211" s="115"/>
      <c r="C1211" s="116"/>
      <c r="D1211" s="116"/>
      <c r="E1211" s="116" t="str">
        <f>IFERROR(__xludf.DUMMYFUNCTION("""COMPUTED_VALUE"""),"")</f>
        <v/>
      </c>
      <c r="F1211" s="117" t="s">
        <v>39</v>
      </c>
      <c r="G1211" s="116"/>
      <c r="H1211" s="117"/>
      <c r="I1211" s="117"/>
      <c r="J1211" s="117"/>
      <c r="K1211" s="117"/>
      <c r="L1211" s="116"/>
      <c r="M1211" s="117"/>
      <c r="N1211" s="118" t="str">
        <f>IFERROR(__xludf.DUMMYFUNCTION("""COMPUTED_VALUE"""),"")</f>
        <v/>
      </c>
      <c r="O1211" s="116"/>
      <c r="P1211" s="116"/>
      <c r="Q1211" s="116"/>
      <c r="R1211" s="116" t="s">
        <v>39</v>
      </c>
      <c r="S1211" s="116" t="s">
        <v>39</v>
      </c>
      <c r="T1211" s="104" t="s">
        <v>5163</v>
      </c>
      <c r="U1211" s="116"/>
      <c r="V1211" s="104" t="s">
        <v>5163</v>
      </c>
      <c r="W1211" s="116"/>
    </row>
    <row r="1212">
      <c r="A1212" s="114" t="s">
        <v>39</v>
      </c>
      <c r="B1212" s="115"/>
      <c r="C1212" s="116"/>
      <c r="D1212" s="116"/>
      <c r="E1212" s="116" t="str">
        <f>IFERROR(__xludf.DUMMYFUNCTION("""COMPUTED_VALUE"""),"")</f>
        <v/>
      </c>
      <c r="F1212" s="117" t="s">
        <v>39</v>
      </c>
      <c r="G1212" s="116"/>
      <c r="H1212" s="117"/>
      <c r="I1212" s="117"/>
      <c r="J1212" s="117"/>
      <c r="K1212" s="117"/>
      <c r="L1212" s="116"/>
      <c r="M1212" s="117"/>
      <c r="N1212" s="118" t="str">
        <f>IFERROR(__xludf.DUMMYFUNCTION("""COMPUTED_VALUE"""),"")</f>
        <v/>
      </c>
      <c r="O1212" s="116"/>
      <c r="P1212" s="116"/>
      <c r="Q1212" s="116"/>
      <c r="R1212" s="116" t="s">
        <v>39</v>
      </c>
      <c r="S1212" s="116" t="s">
        <v>39</v>
      </c>
      <c r="T1212" s="104" t="s">
        <v>5164</v>
      </c>
      <c r="U1212" s="116"/>
      <c r="V1212" s="104" t="s">
        <v>5164</v>
      </c>
      <c r="W1212" s="116"/>
    </row>
    <row r="1213">
      <c r="A1213" s="114" t="s">
        <v>39</v>
      </c>
      <c r="B1213" s="115"/>
      <c r="C1213" s="116"/>
      <c r="D1213" s="116"/>
      <c r="E1213" s="116" t="str">
        <f>IFERROR(__xludf.DUMMYFUNCTION("""COMPUTED_VALUE"""),"")</f>
        <v/>
      </c>
      <c r="F1213" s="117" t="s">
        <v>39</v>
      </c>
      <c r="G1213" s="116"/>
      <c r="H1213" s="117"/>
      <c r="I1213" s="117"/>
      <c r="J1213" s="117"/>
      <c r="K1213" s="117"/>
      <c r="L1213" s="116"/>
      <c r="M1213" s="117"/>
      <c r="N1213" s="118" t="str">
        <f>IFERROR(__xludf.DUMMYFUNCTION("""COMPUTED_VALUE"""),"")</f>
        <v/>
      </c>
      <c r="O1213" s="116"/>
      <c r="P1213" s="116"/>
      <c r="Q1213" s="116"/>
      <c r="R1213" s="116" t="s">
        <v>39</v>
      </c>
      <c r="S1213" s="116" t="s">
        <v>39</v>
      </c>
      <c r="T1213" s="104" t="s">
        <v>5165</v>
      </c>
      <c r="U1213" s="116"/>
      <c r="V1213" s="104" t="s">
        <v>5165</v>
      </c>
      <c r="W1213" s="116"/>
    </row>
    <row r="1214">
      <c r="A1214" s="114" t="s">
        <v>39</v>
      </c>
      <c r="B1214" s="115"/>
      <c r="C1214" s="116"/>
      <c r="D1214" s="116"/>
      <c r="E1214" s="116" t="str">
        <f>IFERROR(__xludf.DUMMYFUNCTION("""COMPUTED_VALUE"""),"")</f>
        <v/>
      </c>
      <c r="F1214" s="117" t="s">
        <v>39</v>
      </c>
      <c r="G1214" s="116"/>
      <c r="H1214" s="117"/>
      <c r="I1214" s="117"/>
      <c r="J1214" s="117"/>
      <c r="K1214" s="117"/>
      <c r="L1214" s="116"/>
      <c r="M1214" s="117"/>
      <c r="N1214" s="118" t="str">
        <f>IFERROR(__xludf.DUMMYFUNCTION("""COMPUTED_VALUE"""),"")</f>
        <v/>
      </c>
      <c r="O1214" s="116"/>
      <c r="P1214" s="116"/>
      <c r="Q1214" s="116"/>
      <c r="R1214" s="116" t="s">
        <v>39</v>
      </c>
      <c r="S1214" s="116" t="s">
        <v>39</v>
      </c>
      <c r="T1214" s="104" t="s">
        <v>5166</v>
      </c>
      <c r="U1214" s="116"/>
      <c r="V1214" s="104" t="s">
        <v>5166</v>
      </c>
      <c r="W1214" s="116"/>
    </row>
    <row r="1215">
      <c r="A1215" s="114" t="s">
        <v>39</v>
      </c>
      <c r="B1215" s="115"/>
      <c r="C1215" s="116"/>
      <c r="D1215" s="116"/>
      <c r="E1215" s="116" t="str">
        <f>IFERROR(__xludf.DUMMYFUNCTION("""COMPUTED_VALUE"""),"")</f>
        <v/>
      </c>
      <c r="F1215" s="117" t="s">
        <v>39</v>
      </c>
      <c r="G1215" s="116"/>
      <c r="H1215" s="117"/>
      <c r="I1215" s="117"/>
      <c r="J1215" s="117"/>
      <c r="K1215" s="117"/>
      <c r="L1215" s="116"/>
      <c r="M1215" s="117"/>
      <c r="N1215" s="118" t="str">
        <f>IFERROR(__xludf.DUMMYFUNCTION("""COMPUTED_VALUE"""),"")</f>
        <v/>
      </c>
      <c r="O1215" s="116"/>
      <c r="P1215" s="116"/>
      <c r="Q1215" s="116"/>
      <c r="R1215" s="116" t="s">
        <v>39</v>
      </c>
      <c r="S1215" s="116" t="s">
        <v>39</v>
      </c>
      <c r="T1215" s="104" t="s">
        <v>5167</v>
      </c>
      <c r="U1215" s="116"/>
      <c r="V1215" s="104" t="s">
        <v>5167</v>
      </c>
      <c r="W1215" s="116"/>
    </row>
    <row r="1216">
      <c r="A1216" s="114" t="s">
        <v>39</v>
      </c>
      <c r="B1216" s="115"/>
      <c r="C1216" s="116"/>
      <c r="D1216" s="116"/>
      <c r="E1216" s="116" t="str">
        <f>IFERROR(__xludf.DUMMYFUNCTION("""COMPUTED_VALUE"""),"")</f>
        <v/>
      </c>
      <c r="F1216" s="117" t="s">
        <v>39</v>
      </c>
      <c r="G1216" s="116"/>
      <c r="H1216" s="117"/>
      <c r="I1216" s="117"/>
      <c r="J1216" s="117"/>
      <c r="K1216" s="117"/>
      <c r="L1216" s="116"/>
      <c r="M1216" s="117"/>
      <c r="N1216" s="118" t="str">
        <f>IFERROR(__xludf.DUMMYFUNCTION("""COMPUTED_VALUE"""),"")</f>
        <v/>
      </c>
      <c r="O1216" s="116"/>
      <c r="P1216" s="116"/>
      <c r="Q1216" s="116"/>
      <c r="R1216" s="116" t="s">
        <v>39</v>
      </c>
      <c r="S1216" s="116" t="s">
        <v>39</v>
      </c>
      <c r="T1216" s="104" t="s">
        <v>5168</v>
      </c>
      <c r="U1216" s="116"/>
      <c r="V1216" s="104" t="s">
        <v>5168</v>
      </c>
      <c r="W1216" s="116"/>
    </row>
    <row r="1217">
      <c r="A1217" s="114" t="s">
        <v>39</v>
      </c>
      <c r="B1217" s="115"/>
      <c r="C1217" s="116"/>
      <c r="D1217" s="116"/>
      <c r="E1217" s="116" t="str">
        <f>IFERROR(__xludf.DUMMYFUNCTION("""COMPUTED_VALUE"""),"")</f>
        <v/>
      </c>
      <c r="F1217" s="117" t="s">
        <v>39</v>
      </c>
      <c r="G1217" s="116"/>
      <c r="H1217" s="117"/>
      <c r="I1217" s="117"/>
      <c r="J1217" s="117"/>
      <c r="K1217" s="117"/>
      <c r="L1217" s="116"/>
      <c r="M1217" s="117"/>
      <c r="N1217" s="118" t="str">
        <f>IFERROR(__xludf.DUMMYFUNCTION("""COMPUTED_VALUE"""),"")</f>
        <v/>
      </c>
      <c r="O1217" s="116"/>
      <c r="P1217" s="116"/>
      <c r="Q1217" s="116"/>
      <c r="R1217" s="116" t="s">
        <v>39</v>
      </c>
      <c r="S1217" s="116" t="s">
        <v>39</v>
      </c>
      <c r="T1217" s="104" t="s">
        <v>5169</v>
      </c>
      <c r="U1217" s="116"/>
      <c r="V1217" s="104" t="s">
        <v>5169</v>
      </c>
      <c r="W1217" s="116"/>
    </row>
    <row r="1218">
      <c r="A1218" s="114" t="s">
        <v>39</v>
      </c>
      <c r="B1218" s="115"/>
      <c r="C1218" s="116"/>
      <c r="D1218" s="116"/>
      <c r="E1218" s="116" t="str">
        <f>IFERROR(__xludf.DUMMYFUNCTION("""COMPUTED_VALUE"""),"")</f>
        <v/>
      </c>
      <c r="F1218" s="117" t="s">
        <v>39</v>
      </c>
      <c r="G1218" s="116"/>
      <c r="H1218" s="117"/>
      <c r="I1218" s="117"/>
      <c r="J1218" s="117"/>
      <c r="K1218" s="117"/>
      <c r="L1218" s="116"/>
      <c r="M1218" s="117"/>
      <c r="N1218" s="118" t="str">
        <f>IFERROR(__xludf.DUMMYFUNCTION("""COMPUTED_VALUE"""),"")</f>
        <v/>
      </c>
      <c r="O1218" s="116"/>
      <c r="P1218" s="116"/>
      <c r="Q1218" s="116"/>
      <c r="R1218" s="116" t="s">
        <v>39</v>
      </c>
      <c r="S1218" s="116" t="s">
        <v>39</v>
      </c>
      <c r="T1218" s="104" t="s">
        <v>5170</v>
      </c>
      <c r="U1218" s="116"/>
      <c r="V1218" s="104" t="s">
        <v>5170</v>
      </c>
      <c r="W1218" s="116"/>
    </row>
    <row r="1219">
      <c r="A1219" s="114" t="s">
        <v>39</v>
      </c>
      <c r="B1219" s="115"/>
      <c r="C1219" s="116"/>
      <c r="D1219" s="116"/>
      <c r="E1219" s="116" t="str">
        <f>IFERROR(__xludf.DUMMYFUNCTION("""COMPUTED_VALUE"""),"")</f>
        <v/>
      </c>
      <c r="F1219" s="117" t="s">
        <v>39</v>
      </c>
      <c r="G1219" s="116"/>
      <c r="H1219" s="117"/>
      <c r="I1219" s="117"/>
      <c r="J1219" s="117"/>
      <c r="K1219" s="117"/>
      <c r="L1219" s="116"/>
      <c r="M1219" s="117"/>
      <c r="N1219" s="118" t="str">
        <f>IFERROR(__xludf.DUMMYFUNCTION("""COMPUTED_VALUE"""),"")</f>
        <v/>
      </c>
      <c r="O1219" s="116"/>
      <c r="P1219" s="116"/>
      <c r="Q1219" s="116"/>
      <c r="R1219" s="116" t="s">
        <v>39</v>
      </c>
      <c r="S1219" s="116" t="s">
        <v>39</v>
      </c>
      <c r="T1219" s="104" t="s">
        <v>5171</v>
      </c>
      <c r="U1219" s="116"/>
      <c r="V1219" s="104" t="s">
        <v>5171</v>
      </c>
      <c r="W1219" s="116"/>
    </row>
    <row r="1220">
      <c r="A1220" s="114" t="s">
        <v>39</v>
      </c>
      <c r="B1220" s="115"/>
      <c r="C1220" s="116"/>
      <c r="D1220" s="116"/>
      <c r="E1220" s="116" t="str">
        <f>IFERROR(__xludf.DUMMYFUNCTION("""COMPUTED_VALUE"""),"")</f>
        <v/>
      </c>
      <c r="F1220" s="117" t="s">
        <v>39</v>
      </c>
      <c r="G1220" s="116"/>
      <c r="H1220" s="117"/>
      <c r="I1220" s="117"/>
      <c r="J1220" s="117"/>
      <c r="K1220" s="117"/>
      <c r="L1220" s="116"/>
      <c r="M1220" s="117"/>
      <c r="N1220" s="118" t="str">
        <f>IFERROR(__xludf.DUMMYFUNCTION("""COMPUTED_VALUE"""),"")</f>
        <v/>
      </c>
      <c r="O1220" s="116"/>
      <c r="P1220" s="116"/>
      <c r="Q1220" s="116"/>
      <c r="R1220" s="116" t="s">
        <v>39</v>
      </c>
      <c r="S1220" s="116" t="s">
        <v>39</v>
      </c>
      <c r="T1220" s="104" t="s">
        <v>5172</v>
      </c>
      <c r="U1220" s="116"/>
      <c r="V1220" s="104" t="s">
        <v>5172</v>
      </c>
      <c r="W1220" s="116"/>
    </row>
    <row r="1221">
      <c r="A1221" s="114" t="s">
        <v>39</v>
      </c>
      <c r="B1221" s="115"/>
      <c r="C1221" s="116"/>
      <c r="D1221" s="116"/>
      <c r="E1221" s="116" t="str">
        <f>IFERROR(__xludf.DUMMYFUNCTION("""COMPUTED_VALUE"""),"")</f>
        <v/>
      </c>
      <c r="F1221" s="117" t="s">
        <v>39</v>
      </c>
      <c r="G1221" s="116"/>
      <c r="H1221" s="117"/>
      <c r="I1221" s="117"/>
      <c r="J1221" s="117"/>
      <c r="K1221" s="117"/>
      <c r="L1221" s="116"/>
      <c r="M1221" s="117"/>
      <c r="N1221" s="118" t="str">
        <f>IFERROR(__xludf.DUMMYFUNCTION("""COMPUTED_VALUE"""),"")</f>
        <v/>
      </c>
      <c r="O1221" s="116"/>
      <c r="P1221" s="116"/>
      <c r="Q1221" s="116"/>
      <c r="R1221" s="116" t="s">
        <v>39</v>
      </c>
      <c r="S1221" s="116" t="s">
        <v>39</v>
      </c>
      <c r="T1221" s="104" t="s">
        <v>5173</v>
      </c>
      <c r="U1221" s="116"/>
      <c r="V1221" s="104" t="s">
        <v>5173</v>
      </c>
      <c r="W1221" s="116"/>
    </row>
    <row r="1222">
      <c r="A1222" s="114" t="s">
        <v>39</v>
      </c>
      <c r="B1222" s="115"/>
      <c r="C1222" s="116"/>
      <c r="D1222" s="116"/>
      <c r="E1222" s="116" t="str">
        <f>IFERROR(__xludf.DUMMYFUNCTION("""COMPUTED_VALUE"""),"")</f>
        <v/>
      </c>
      <c r="F1222" s="117" t="s">
        <v>39</v>
      </c>
      <c r="G1222" s="116"/>
      <c r="H1222" s="117"/>
      <c r="I1222" s="117"/>
      <c r="J1222" s="117"/>
      <c r="K1222" s="117"/>
      <c r="L1222" s="116"/>
      <c r="M1222" s="117"/>
      <c r="N1222" s="118" t="str">
        <f>IFERROR(__xludf.DUMMYFUNCTION("""COMPUTED_VALUE"""),"")</f>
        <v/>
      </c>
      <c r="O1222" s="116"/>
      <c r="P1222" s="116"/>
      <c r="Q1222" s="116"/>
      <c r="R1222" s="116" t="s">
        <v>39</v>
      </c>
      <c r="S1222" s="116" t="s">
        <v>39</v>
      </c>
      <c r="T1222" s="104" t="s">
        <v>5174</v>
      </c>
      <c r="U1222" s="116"/>
      <c r="V1222" s="104" t="s">
        <v>5174</v>
      </c>
      <c r="W1222" s="116"/>
    </row>
    <row r="1223">
      <c r="A1223" s="114" t="s">
        <v>39</v>
      </c>
      <c r="B1223" s="115"/>
      <c r="C1223" s="116"/>
      <c r="D1223" s="116"/>
      <c r="E1223" s="116" t="str">
        <f>IFERROR(__xludf.DUMMYFUNCTION("""COMPUTED_VALUE"""),"")</f>
        <v/>
      </c>
      <c r="F1223" s="117" t="s">
        <v>39</v>
      </c>
      <c r="G1223" s="116"/>
      <c r="H1223" s="117"/>
      <c r="I1223" s="117"/>
      <c r="J1223" s="117"/>
      <c r="K1223" s="117"/>
      <c r="L1223" s="116"/>
      <c r="M1223" s="117"/>
      <c r="N1223" s="118" t="str">
        <f>IFERROR(__xludf.DUMMYFUNCTION("""COMPUTED_VALUE"""),"")</f>
        <v/>
      </c>
      <c r="O1223" s="116"/>
      <c r="P1223" s="116"/>
      <c r="Q1223" s="116"/>
      <c r="R1223" s="116" t="s">
        <v>39</v>
      </c>
      <c r="S1223" s="116" t="s">
        <v>39</v>
      </c>
      <c r="T1223" s="104" t="s">
        <v>5175</v>
      </c>
      <c r="U1223" s="116"/>
      <c r="V1223" s="104" t="s">
        <v>5175</v>
      </c>
      <c r="W1223" s="116"/>
    </row>
    <row r="1224">
      <c r="A1224" s="114" t="s">
        <v>39</v>
      </c>
      <c r="B1224" s="115"/>
      <c r="C1224" s="116"/>
      <c r="D1224" s="116"/>
      <c r="E1224" s="116" t="str">
        <f>IFERROR(__xludf.DUMMYFUNCTION("""COMPUTED_VALUE"""),"")</f>
        <v/>
      </c>
      <c r="F1224" s="117" t="s">
        <v>39</v>
      </c>
      <c r="G1224" s="116"/>
      <c r="H1224" s="117"/>
      <c r="I1224" s="117"/>
      <c r="J1224" s="117"/>
      <c r="K1224" s="117"/>
      <c r="L1224" s="116"/>
      <c r="M1224" s="117"/>
      <c r="N1224" s="118" t="str">
        <f>IFERROR(__xludf.DUMMYFUNCTION("""COMPUTED_VALUE"""),"")</f>
        <v/>
      </c>
      <c r="O1224" s="116"/>
      <c r="P1224" s="116"/>
      <c r="Q1224" s="116"/>
      <c r="R1224" s="116" t="s">
        <v>39</v>
      </c>
      <c r="S1224" s="116" t="s">
        <v>39</v>
      </c>
      <c r="T1224" s="104" t="s">
        <v>5176</v>
      </c>
      <c r="U1224" s="116"/>
      <c r="V1224" s="104" t="s">
        <v>5176</v>
      </c>
      <c r="W1224" s="116"/>
    </row>
    <row r="1225">
      <c r="A1225" s="114" t="s">
        <v>39</v>
      </c>
      <c r="B1225" s="115"/>
      <c r="C1225" s="116"/>
      <c r="D1225" s="116"/>
      <c r="E1225" s="116" t="str">
        <f>IFERROR(__xludf.DUMMYFUNCTION("""COMPUTED_VALUE"""),"")</f>
        <v/>
      </c>
      <c r="F1225" s="117" t="s">
        <v>39</v>
      </c>
      <c r="G1225" s="116"/>
      <c r="H1225" s="117"/>
      <c r="I1225" s="117"/>
      <c r="J1225" s="117"/>
      <c r="K1225" s="117"/>
      <c r="L1225" s="116"/>
      <c r="M1225" s="117"/>
      <c r="N1225" s="118" t="str">
        <f>IFERROR(__xludf.DUMMYFUNCTION("""COMPUTED_VALUE"""),"")</f>
        <v/>
      </c>
      <c r="O1225" s="116"/>
      <c r="P1225" s="116"/>
      <c r="Q1225" s="116"/>
      <c r="R1225" s="116" t="s">
        <v>39</v>
      </c>
      <c r="S1225" s="116" t="s">
        <v>39</v>
      </c>
      <c r="T1225" s="104" t="s">
        <v>5177</v>
      </c>
      <c r="U1225" s="116"/>
      <c r="V1225" s="104" t="s">
        <v>5177</v>
      </c>
      <c r="W1225" s="116"/>
    </row>
    <row r="1226">
      <c r="A1226" s="114" t="s">
        <v>39</v>
      </c>
      <c r="B1226" s="115"/>
      <c r="C1226" s="116"/>
      <c r="D1226" s="116"/>
      <c r="E1226" s="116" t="str">
        <f>IFERROR(__xludf.DUMMYFUNCTION("""COMPUTED_VALUE"""),"")</f>
        <v/>
      </c>
      <c r="F1226" s="117" t="s">
        <v>39</v>
      </c>
      <c r="G1226" s="116"/>
      <c r="H1226" s="117"/>
      <c r="I1226" s="117"/>
      <c r="J1226" s="117"/>
      <c r="K1226" s="117"/>
      <c r="L1226" s="116"/>
      <c r="M1226" s="117"/>
      <c r="N1226" s="118" t="str">
        <f>IFERROR(__xludf.DUMMYFUNCTION("""COMPUTED_VALUE"""),"")</f>
        <v/>
      </c>
      <c r="O1226" s="116"/>
      <c r="P1226" s="116"/>
      <c r="Q1226" s="116"/>
      <c r="R1226" s="116" t="s">
        <v>39</v>
      </c>
      <c r="S1226" s="116" t="s">
        <v>39</v>
      </c>
      <c r="T1226" s="104" t="s">
        <v>5178</v>
      </c>
      <c r="U1226" s="116"/>
      <c r="V1226" s="104" t="s">
        <v>5178</v>
      </c>
      <c r="W1226" s="116"/>
    </row>
    <row r="1227">
      <c r="A1227" s="114" t="s">
        <v>39</v>
      </c>
      <c r="B1227" s="115"/>
      <c r="C1227" s="116"/>
      <c r="D1227" s="116"/>
      <c r="E1227" s="116" t="str">
        <f>IFERROR(__xludf.DUMMYFUNCTION("""COMPUTED_VALUE"""),"")</f>
        <v/>
      </c>
      <c r="F1227" s="117" t="s">
        <v>39</v>
      </c>
      <c r="G1227" s="116"/>
      <c r="H1227" s="117"/>
      <c r="I1227" s="117"/>
      <c r="J1227" s="117"/>
      <c r="K1227" s="117"/>
      <c r="L1227" s="116"/>
      <c r="M1227" s="117"/>
      <c r="N1227" s="118" t="str">
        <f>IFERROR(__xludf.DUMMYFUNCTION("""COMPUTED_VALUE"""),"")</f>
        <v/>
      </c>
      <c r="O1227" s="116"/>
      <c r="P1227" s="116"/>
      <c r="Q1227" s="116"/>
      <c r="R1227" s="116" t="s">
        <v>39</v>
      </c>
      <c r="S1227" s="116" t="s">
        <v>39</v>
      </c>
      <c r="T1227" s="104" t="s">
        <v>5179</v>
      </c>
      <c r="U1227" s="116"/>
      <c r="V1227" s="104" t="s">
        <v>5179</v>
      </c>
      <c r="W1227" s="116"/>
    </row>
    <row r="1228">
      <c r="A1228" s="114" t="s">
        <v>39</v>
      </c>
      <c r="B1228" s="115"/>
      <c r="C1228" s="116"/>
      <c r="D1228" s="116"/>
      <c r="E1228" s="116" t="str">
        <f>IFERROR(__xludf.DUMMYFUNCTION("""COMPUTED_VALUE"""),"")</f>
        <v/>
      </c>
      <c r="F1228" s="117" t="s">
        <v>39</v>
      </c>
      <c r="G1228" s="116"/>
      <c r="H1228" s="117"/>
      <c r="I1228" s="117"/>
      <c r="J1228" s="117"/>
      <c r="K1228" s="117"/>
      <c r="L1228" s="116"/>
      <c r="M1228" s="117"/>
      <c r="N1228" s="118" t="str">
        <f>IFERROR(__xludf.DUMMYFUNCTION("""COMPUTED_VALUE"""),"")</f>
        <v/>
      </c>
      <c r="O1228" s="116"/>
      <c r="P1228" s="116"/>
      <c r="Q1228" s="116"/>
      <c r="R1228" s="116" t="s">
        <v>39</v>
      </c>
      <c r="S1228" s="116" t="s">
        <v>39</v>
      </c>
      <c r="T1228" s="104" t="s">
        <v>5180</v>
      </c>
      <c r="U1228" s="116"/>
      <c r="V1228" s="104" t="s">
        <v>5180</v>
      </c>
      <c r="W1228" s="116"/>
    </row>
    <row r="1229">
      <c r="A1229" s="114" t="s">
        <v>39</v>
      </c>
      <c r="B1229" s="115"/>
      <c r="C1229" s="116"/>
      <c r="D1229" s="116"/>
      <c r="E1229" s="116" t="str">
        <f>IFERROR(__xludf.DUMMYFUNCTION("""COMPUTED_VALUE"""),"")</f>
        <v/>
      </c>
      <c r="F1229" s="117" t="s">
        <v>39</v>
      </c>
      <c r="G1229" s="116"/>
      <c r="H1229" s="117"/>
      <c r="I1229" s="117"/>
      <c r="J1229" s="117"/>
      <c r="K1229" s="117"/>
      <c r="L1229" s="116"/>
      <c r="M1229" s="117"/>
      <c r="N1229" s="118" t="str">
        <f>IFERROR(__xludf.DUMMYFUNCTION("""COMPUTED_VALUE"""),"")</f>
        <v/>
      </c>
      <c r="O1229" s="116"/>
      <c r="P1229" s="116"/>
      <c r="Q1229" s="116"/>
      <c r="R1229" s="116" t="s">
        <v>39</v>
      </c>
      <c r="S1229" s="116" t="s">
        <v>39</v>
      </c>
      <c r="T1229" s="104" t="s">
        <v>5181</v>
      </c>
      <c r="U1229" s="116"/>
      <c r="V1229" s="104" t="s">
        <v>5181</v>
      </c>
      <c r="W1229" s="116"/>
    </row>
    <row r="1230">
      <c r="A1230" s="114" t="s">
        <v>39</v>
      </c>
      <c r="B1230" s="115"/>
      <c r="C1230" s="116"/>
      <c r="D1230" s="116"/>
      <c r="E1230" s="116" t="str">
        <f>IFERROR(__xludf.DUMMYFUNCTION("""COMPUTED_VALUE"""),"")</f>
        <v/>
      </c>
      <c r="F1230" s="117" t="s">
        <v>39</v>
      </c>
      <c r="G1230" s="116"/>
      <c r="H1230" s="117"/>
      <c r="I1230" s="117"/>
      <c r="J1230" s="117"/>
      <c r="K1230" s="117"/>
      <c r="L1230" s="116"/>
      <c r="M1230" s="117"/>
      <c r="N1230" s="118" t="str">
        <f>IFERROR(__xludf.DUMMYFUNCTION("""COMPUTED_VALUE"""),"")</f>
        <v/>
      </c>
      <c r="O1230" s="116"/>
      <c r="P1230" s="116"/>
      <c r="Q1230" s="116"/>
      <c r="R1230" s="116" t="s">
        <v>39</v>
      </c>
      <c r="S1230" s="116" t="s">
        <v>39</v>
      </c>
      <c r="T1230" s="104" t="s">
        <v>5182</v>
      </c>
      <c r="U1230" s="116"/>
      <c r="V1230" s="104" t="s">
        <v>5182</v>
      </c>
      <c r="W1230" s="116"/>
    </row>
    <row r="1231">
      <c r="A1231" s="114" t="s">
        <v>39</v>
      </c>
      <c r="B1231" s="115"/>
      <c r="C1231" s="116"/>
      <c r="D1231" s="116"/>
      <c r="E1231" s="116" t="str">
        <f>IFERROR(__xludf.DUMMYFUNCTION("""COMPUTED_VALUE"""),"")</f>
        <v/>
      </c>
      <c r="F1231" s="117" t="s">
        <v>39</v>
      </c>
      <c r="G1231" s="116"/>
      <c r="H1231" s="117"/>
      <c r="I1231" s="117"/>
      <c r="J1231" s="117"/>
      <c r="K1231" s="117"/>
      <c r="L1231" s="116"/>
      <c r="M1231" s="117"/>
      <c r="N1231" s="118" t="str">
        <f>IFERROR(__xludf.DUMMYFUNCTION("""COMPUTED_VALUE"""),"")</f>
        <v/>
      </c>
      <c r="O1231" s="116"/>
      <c r="P1231" s="116"/>
      <c r="Q1231" s="116"/>
      <c r="R1231" s="116" t="s">
        <v>39</v>
      </c>
      <c r="S1231" s="116" t="s">
        <v>39</v>
      </c>
      <c r="T1231" s="104" t="s">
        <v>5183</v>
      </c>
      <c r="U1231" s="116"/>
      <c r="V1231" s="104" t="s">
        <v>5183</v>
      </c>
      <c r="W1231" s="116"/>
    </row>
    <row r="1232">
      <c r="A1232" s="114" t="s">
        <v>39</v>
      </c>
      <c r="B1232" s="115"/>
      <c r="C1232" s="116"/>
      <c r="D1232" s="116"/>
      <c r="E1232" s="116" t="str">
        <f>IFERROR(__xludf.DUMMYFUNCTION("""COMPUTED_VALUE"""),"")</f>
        <v/>
      </c>
      <c r="F1232" s="117" t="s">
        <v>39</v>
      </c>
      <c r="G1232" s="116"/>
      <c r="H1232" s="117"/>
      <c r="I1232" s="117"/>
      <c r="J1232" s="117"/>
      <c r="K1232" s="117"/>
      <c r="L1232" s="116"/>
      <c r="M1232" s="117"/>
      <c r="N1232" s="118" t="str">
        <f>IFERROR(__xludf.DUMMYFUNCTION("""COMPUTED_VALUE"""),"")</f>
        <v/>
      </c>
      <c r="O1232" s="116"/>
      <c r="P1232" s="116"/>
      <c r="Q1232" s="116"/>
      <c r="R1232" s="116" t="s">
        <v>39</v>
      </c>
      <c r="S1232" s="116" t="s">
        <v>39</v>
      </c>
      <c r="T1232" s="104" t="s">
        <v>5184</v>
      </c>
      <c r="U1232" s="116"/>
      <c r="V1232" s="104" t="s">
        <v>5184</v>
      </c>
      <c r="W1232" s="116"/>
    </row>
    <row r="1233">
      <c r="A1233" s="114" t="s">
        <v>39</v>
      </c>
      <c r="B1233" s="115"/>
      <c r="C1233" s="116"/>
      <c r="D1233" s="116"/>
      <c r="E1233" s="116" t="str">
        <f>IFERROR(__xludf.DUMMYFUNCTION("""COMPUTED_VALUE"""),"")</f>
        <v/>
      </c>
      <c r="F1233" s="117" t="s">
        <v>39</v>
      </c>
      <c r="G1233" s="116"/>
      <c r="H1233" s="117"/>
      <c r="I1233" s="117"/>
      <c r="J1233" s="117"/>
      <c r="K1233" s="117"/>
      <c r="L1233" s="116"/>
      <c r="M1233" s="117"/>
      <c r="N1233" s="118" t="str">
        <f>IFERROR(__xludf.DUMMYFUNCTION("""COMPUTED_VALUE"""),"")</f>
        <v/>
      </c>
      <c r="O1233" s="116"/>
      <c r="P1233" s="116"/>
      <c r="Q1233" s="116"/>
      <c r="R1233" s="116" t="s">
        <v>39</v>
      </c>
      <c r="S1233" s="116" t="s">
        <v>39</v>
      </c>
      <c r="T1233" s="104" t="s">
        <v>5185</v>
      </c>
      <c r="U1233" s="116"/>
      <c r="V1233" s="104" t="s">
        <v>5185</v>
      </c>
      <c r="W1233" s="116"/>
    </row>
    <row r="1234">
      <c r="A1234" s="114" t="s">
        <v>39</v>
      </c>
      <c r="B1234" s="115"/>
      <c r="C1234" s="116"/>
      <c r="D1234" s="116"/>
      <c r="E1234" s="116" t="str">
        <f>IFERROR(__xludf.DUMMYFUNCTION("""COMPUTED_VALUE"""),"")</f>
        <v/>
      </c>
      <c r="F1234" s="117" t="s">
        <v>39</v>
      </c>
      <c r="G1234" s="116"/>
      <c r="H1234" s="117"/>
      <c r="I1234" s="117"/>
      <c r="J1234" s="117"/>
      <c r="K1234" s="117"/>
      <c r="L1234" s="116"/>
      <c r="M1234" s="117"/>
      <c r="N1234" s="118" t="str">
        <f>IFERROR(__xludf.DUMMYFUNCTION("""COMPUTED_VALUE"""),"")</f>
        <v/>
      </c>
      <c r="O1234" s="116"/>
      <c r="P1234" s="116"/>
      <c r="Q1234" s="116"/>
      <c r="R1234" s="116" t="s">
        <v>39</v>
      </c>
      <c r="S1234" s="116" t="s">
        <v>39</v>
      </c>
      <c r="T1234" s="104" t="s">
        <v>5186</v>
      </c>
      <c r="U1234" s="116"/>
      <c r="V1234" s="104" t="s">
        <v>5186</v>
      </c>
      <c r="W1234" s="116"/>
    </row>
    <row r="1235">
      <c r="A1235" s="114" t="s">
        <v>39</v>
      </c>
      <c r="B1235" s="115"/>
      <c r="C1235" s="116"/>
      <c r="D1235" s="116"/>
      <c r="E1235" s="116" t="str">
        <f>IFERROR(__xludf.DUMMYFUNCTION("""COMPUTED_VALUE"""),"")</f>
        <v/>
      </c>
      <c r="F1235" s="117" t="s">
        <v>39</v>
      </c>
      <c r="G1235" s="116"/>
      <c r="H1235" s="117"/>
      <c r="I1235" s="117"/>
      <c r="J1235" s="117"/>
      <c r="K1235" s="117"/>
      <c r="L1235" s="116"/>
      <c r="M1235" s="117"/>
      <c r="N1235" s="118" t="str">
        <f>IFERROR(__xludf.DUMMYFUNCTION("""COMPUTED_VALUE"""),"")</f>
        <v/>
      </c>
      <c r="O1235" s="116"/>
      <c r="P1235" s="116"/>
      <c r="Q1235" s="116"/>
      <c r="R1235" s="116" t="s">
        <v>39</v>
      </c>
      <c r="S1235" s="116" t="s">
        <v>39</v>
      </c>
      <c r="T1235" s="104" t="s">
        <v>5187</v>
      </c>
      <c r="U1235" s="116"/>
      <c r="V1235" s="104" t="s">
        <v>5187</v>
      </c>
      <c r="W1235" s="116"/>
    </row>
    <row r="1236">
      <c r="A1236" s="114" t="s">
        <v>39</v>
      </c>
      <c r="B1236" s="115"/>
      <c r="C1236" s="116"/>
      <c r="D1236" s="116"/>
      <c r="E1236" s="116" t="str">
        <f>IFERROR(__xludf.DUMMYFUNCTION("""COMPUTED_VALUE"""),"")</f>
        <v/>
      </c>
      <c r="F1236" s="117" t="s">
        <v>39</v>
      </c>
      <c r="G1236" s="116"/>
      <c r="H1236" s="117"/>
      <c r="I1236" s="117"/>
      <c r="J1236" s="117"/>
      <c r="K1236" s="117"/>
      <c r="L1236" s="116"/>
      <c r="M1236" s="117"/>
      <c r="N1236" s="118" t="str">
        <f>IFERROR(__xludf.DUMMYFUNCTION("""COMPUTED_VALUE"""),"")</f>
        <v/>
      </c>
      <c r="O1236" s="116"/>
      <c r="P1236" s="116"/>
      <c r="Q1236" s="116"/>
      <c r="R1236" s="116" t="s">
        <v>39</v>
      </c>
      <c r="S1236" s="116" t="s">
        <v>39</v>
      </c>
      <c r="T1236" s="104" t="s">
        <v>5188</v>
      </c>
      <c r="U1236" s="116"/>
      <c r="V1236" s="104" t="s">
        <v>5188</v>
      </c>
      <c r="W1236" s="116"/>
    </row>
    <row r="1237">
      <c r="A1237" s="114" t="s">
        <v>39</v>
      </c>
      <c r="B1237" s="115"/>
      <c r="C1237" s="116"/>
      <c r="D1237" s="116"/>
      <c r="E1237" s="116" t="str">
        <f>IFERROR(__xludf.DUMMYFUNCTION("""COMPUTED_VALUE"""),"")</f>
        <v/>
      </c>
      <c r="F1237" s="117" t="s">
        <v>39</v>
      </c>
      <c r="G1237" s="116"/>
      <c r="H1237" s="117"/>
      <c r="I1237" s="117"/>
      <c r="J1237" s="117"/>
      <c r="K1237" s="117"/>
      <c r="L1237" s="116"/>
      <c r="M1237" s="117"/>
      <c r="N1237" s="118" t="str">
        <f>IFERROR(__xludf.DUMMYFUNCTION("""COMPUTED_VALUE"""),"")</f>
        <v/>
      </c>
      <c r="O1237" s="116"/>
      <c r="P1237" s="116"/>
      <c r="Q1237" s="116"/>
      <c r="R1237" s="116" t="s">
        <v>39</v>
      </c>
      <c r="S1237" s="116" t="s">
        <v>39</v>
      </c>
      <c r="T1237" s="104" t="s">
        <v>5189</v>
      </c>
      <c r="U1237" s="116"/>
      <c r="V1237" s="104" t="s">
        <v>5189</v>
      </c>
      <c r="W1237" s="116"/>
    </row>
    <row r="1238">
      <c r="A1238" s="114" t="s">
        <v>39</v>
      </c>
      <c r="B1238" s="115"/>
      <c r="C1238" s="116"/>
      <c r="D1238" s="116"/>
      <c r="E1238" s="116" t="str">
        <f>IFERROR(__xludf.DUMMYFUNCTION("""COMPUTED_VALUE"""),"")</f>
        <v/>
      </c>
      <c r="F1238" s="117" t="s">
        <v>39</v>
      </c>
      <c r="G1238" s="116"/>
      <c r="H1238" s="117"/>
      <c r="I1238" s="117"/>
      <c r="J1238" s="117"/>
      <c r="K1238" s="117"/>
      <c r="L1238" s="116"/>
      <c r="M1238" s="117"/>
      <c r="N1238" s="118" t="str">
        <f>IFERROR(__xludf.DUMMYFUNCTION("""COMPUTED_VALUE"""),"")</f>
        <v/>
      </c>
      <c r="O1238" s="116"/>
      <c r="P1238" s="116"/>
      <c r="Q1238" s="116"/>
      <c r="R1238" s="116" t="s">
        <v>39</v>
      </c>
      <c r="S1238" s="116" t="s">
        <v>39</v>
      </c>
      <c r="T1238" s="104" t="s">
        <v>5190</v>
      </c>
      <c r="U1238" s="116"/>
      <c r="V1238" s="104" t="s">
        <v>5190</v>
      </c>
      <c r="W1238" s="116"/>
    </row>
    <row r="1239">
      <c r="A1239" s="114" t="s">
        <v>39</v>
      </c>
      <c r="B1239" s="115"/>
      <c r="C1239" s="116"/>
      <c r="D1239" s="116"/>
      <c r="E1239" s="116" t="str">
        <f>IFERROR(__xludf.DUMMYFUNCTION("""COMPUTED_VALUE"""),"")</f>
        <v/>
      </c>
      <c r="F1239" s="117" t="s">
        <v>39</v>
      </c>
      <c r="G1239" s="116"/>
      <c r="H1239" s="117"/>
      <c r="I1239" s="117"/>
      <c r="J1239" s="117"/>
      <c r="K1239" s="117"/>
      <c r="L1239" s="116"/>
      <c r="M1239" s="117"/>
      <c r="N1239" s="118" t="str">
        <f>IFERROR(__xludf.DUMMYFUNCTION("""COMPUTED_VALUE"""),"")</f>
        <v/>
      </c>
      <c r="O1239" s="116"/>
      <c r="P1239" s="116"/>
      <c r="Q1239" s="116"/>
      <c r="R1239" s="116" t="s">
        <v>39</v>
      </c>
      <c r="S1239" s="116" t="s">
        <v>39</v>
      </c>
      <c r="T1239" s="104" t="s">
        <v>5191</v>
      </c>
      <c r="U1239" s="116"/>
      <c r="V1239" s="104" t="s">
        <v>5191</v>
      </c>
      <c r="W1239" s="116"/>
    </row>
    <row r="1240">
      <c r="A1240" s="114" t="s">
        <v>39</v>
      </c>
      <c r="B1240" s="115"/>
      <c r="C1240" s="116"/>
      <c r="D1240" s="116"/>
      <c r="E1240" s="116" t="str">
        <f>IFERROR(__xludf.DUMMYFUNCTION("""COMPUTED_VALUE"""),"")</f>
        <v/>
      </c>
      <c r="F1240" s="117" t="s">
        <v>39</v>
      </c>
      <c r="G1240" s="116"/>
      <c r="H1240" s="117"/>
      <c r="I1240" s="117"/>
      <c r="J1240" s="117"/>
      <c r="K1240" s="117"/>
      <c r="L1240" s="116"/>
      <c r="M1240" s="117"/>
      <c r="N1240" s="118" t="str">
        <f>IFERROR(__xludf.DUMMYFUNCTION("""COMPUTED_VALUE"""),"")</f>
        <v/>
      </c>
      <c r="O1240" s="116"/>
      <c r="P1240" s="116"/>
      <c r="Q1240" s="116"/>
      <c r="R1240" s="116" t="s">
        <v>39</v>
      </c>
      <c r="S1240" s="116" t="s">
        <v>39</v>
      </c>
      <c r="T1240" s="104" t="s">
        <v>5192</v>
      </c>
      <c r="U1240" s="116"/>
      <c r="V1240" s="104" t="s">
        <v>5192</v>
      </c>
      <c r="W1240" s="116"/>
    </row>
    <row r="1241">
      <c r="A1241" s="114" t="s">
        <v>39</v>
      </c>
      <c r="B1241" s="115"/>
      <c r="C1241" s="116"/>
      <c r="D1241" s="116"/>
      <c r="E1241" s="116" t="str">
        <f>IFERROR(__xludf.DUMMYFUNCTION("""COMPUTED_VALUE"""),"")</f>
        <v/>
      </c>
      <c r="F1241" s="117" t="s">
        <v>39</v>
      </c>
      <c r="G1241" s="116"/>
      <c r="H1241" s="117"/>
      <c r="I1241" s="117"/>
      <c r="J1241" s="117"/>
      <c r="K1241" s="117"/>
      <c r="L1241" s="116"/>
      <c r="M1241" s="117"/>
      <c r="N1241" s="118" t="str">
        <f>IFERROR(__xludf.DUMMYFUNCTION("""COMPUTED_VALUE"""),"")</f>
        <v/>
      </c>
      <c r="O1241" s="116"/>
      <c r="P1241" s="116"/>
      <c r="Q1241" s="116"/>
      <c r="R1241" s="116" t="s">
        <v>39</v>
      </c>
      <c r="S1241" s="116" t="s">
        <v>39</v>
      </c>
      <c r="T1241" s="104" t="s">
        <v>5193</v>
      </c>
      <c r="U1241" s="116"/>
      <c r="V1241" s="104" t="s">
        <v>5193</v>
      </c>
      <c r="W1241" s="116"/>
    </row>
    <row r="1242">
      <c r="A1242" s="114" t="s">
        <v>39</v>
      </c>
      <c r="B1242" s="115"/>
      <c r="C1242" s="116"/>
      <c r="D1242" s="116"/>
      <c r="E1242" s="116" t="str">
        <f>IFERROR(__xludf.DUMMYFUNCTION("""COMPUTED_VALUE"""),"")</f>
        <v/>
      </c>
      <c r="F1242" s="117" t="s">
        <v>39</v>
      </c>
      <c r="G1242" s="116"/>
      <c r="H1242" s="117"/>
      <c r="I1242" s="117"/>
      <c r="J1242" s="117"/>
      <c r="K1242" s="117"/>
      <c r="L1242" s="116"/>
      <c r="M1242" s="117"/>
      <c r="N1242" s="118" t="str">
        <f>IFERROR(__xludf.DUMMYFUNCTION("""COMPUTED_VALUE"""),"")</f>
        <v/>
      </c>
      <c r="O1242" s="116"/>
      <c r="P1242" s="116"/>
      <c r="Q1242" s="116"/>
      <c r="R1242" s="116" t="s">
        <v>39</v>
      </c>
      <c r="S1242" s="116" t="s">
        <v>39</v>
      </c>
      <c r="T1242" s="104" t="s">
        <v>5194</v>
      </c>
      <c r="U1242" s="116"/>
      <c r="V1242" s="104" t="s">
        <v>5194</v>
      </c>
      <c r="W1242" s="116"/>
    </row>
    <row r="1243">
      <c r="A1243" s="114" t="s">
        <v>39</v>
      </c>
      <c r="B1243" s="115"/>
      <c r="C1243" s="116"/>
      <c r="D1243" s="116"/>
      <c r="E1243" s="116" t="str">
        <f>IFERROR(__xludf.DUMMYFUNCTION("""COMPUTED_VALUE"""),"")</f>
        <v/>
      </c>
      <c r="F1243" s="117" t="s">
        <v>39</v>
      </c>
      <c r="G1243" s="116"/>
      <c r="H1243" s="117"/>
      <c r="I1243" s="117"/>
      <c r="J1243" s="117"/>
      <c r="K1243" s="117"/>
      <c r="L1243" s="116"/>
      <c r="M1243" s="117"/>
      <c r="N1243" s="118" t="str">
        <f>IFERROR(__xludf.DUMMYFUNCTION("""COMPUTED_VALUE"""),"")</f>
        <v/>
      </c>
      <c r="O1243" s="116"/>
      <c r="P1243" s="116"/>
      <c r="Q1243" s="116"/>
      <c r="R1243" s="116" t="s">
        <v>39</v>
      </c>
      <c r="S1243" s="116" t="s">
        <v>39</v>
      </c>
      <c r="T1243" s="104" t="s">
        <v>5195</v>
      </c>
      <c r="U1243" s="116"/>
      <c r="V1243" s="104" t="s">
        <v>5195</v>
      </c>
      <c r="W1243" s="116"/>
    </row>
    <row r="1244">
      <c r="A1244" s="114" t="s">
        <v>39</v>
      </c>
      <c r="B1244" s="115"/>
      <c r="C1244" s="116"/>
      <c r="D1244" s="116"/>
      <c r="E1244" s="116" t="str">
        <f>IFERROR(__xludf.DUMMYFUNCTION("""COMPUTED_VALUE"""),"")</f>
        <v/>
      </c>
      <c r="F1244" s="117" t="s">
        <v>39</v>
      </c>
      <c r="G1244" s="116"/>
      <c r="H1244" s="117"/>
      <c r="I1244" s="117"/>
      <c r="J1244" s="117"/>
      <c r="K1244" s="117"/>
      <c r="L1244" s="116"/>
      <c r="M1244" s="117"/>
      <c r="N1244" s="118" t="str">
        <f>IFERROR(__xludf.DUMMYFUNCTION("""COMPUTED_VALUE"""),"")</f>
        <v/>
      </c>
      <c r="O1244" s="116"/>
      <c r="P1244" s="116"/>
      <c r="Q1244" s="116"/>
      <c r="R1244" s="116" t="s">
        <v>39</v>
      </c>
      <c r="S1244" s="116" t="s">
        <v>39</v>
      </c>
      <c r="T1244" s="104" t="s">
        <v>5196</v>
      </c>
      <c r="U1244" s="116"/>
      <c r="V1244" s="104" t="s">
        <v>5196</v>
      </c>
      <c r="W1244" s="116"/>
    </row>
    <row r="1245">
      <c r="A1245" s="114" t="s">
        <v>39</v>
      </c>
      <c r="B1245" s="115"/>
      <c r="C1245" s="116"/>
      <c r="D1245" s="116"/>
      <c r="E1245" s="116" t="str">
        <f>IFERROR(__xludf.DUMMYFUNCTION("""COMPUTED_VALUE"""),"")</f>
        <v/>
      </c>
      <c r="F1245" s="117" t="s">
        <v>39</v>
      </c>
      <c r="G1245" s="116"/>
      <c r="H1245" s="117"/>
      <c r="I1245" s="117"/>
      <c r="J1245" s="117"/>
      <c r="K1245" s="117"/>
      <c r="L1245" s="116"/>
      <c r="M1245" s="117"/>
      <c r="N1245" s="118" t="str">
        <f>IFERROR(__xludf.DUMMYFUNCTION("""COMPUTED_VALUE"""),"")</f>
        <v/>
      </c>
      <c r="O1245" s="116"/>
      <c r="P1245" s="116"/>
      <c r="Q1245" s="116"/>
      <c r="R1245" s="116" t="s">
        <v>39</v>
      </c>
      <c r="S1245" s="116" t="s">
        <v>39</v>
      </c>
      <c r="T1245" s="104" t="s">
        <v>5197</v>
      </c>
      <c r="U1245" s="116"/>
      <c r="V1245" s="104" t="s">
        <v>5197</v>
      </c>
      <c r="W1245" s="116"/>
    </row>
    <row r="1246">
      <c r="A1246" s="114" t="s">
        <v>39</v>
      </c>
      <c r="B1246" s="115"/>
      <c r="C1246" s="116"/>
      <c r="D1246" s="116"/>
      <c r="E1246" s="116" t="str">
        <f>IFERROR(__xludf.DUMMYFUNCTION("""COMPUTED_VALUE"""),"")</f>
        <v/>
      </c>
      <c r="F1246" s="117" t="s">
        <v>39</v>
      </c>
      <c r="G1246" s="116"/>
      <c r="H1246" s="117"/>
      <c r="I1246" s="117"/>
      <c r="J1246" s="117"/>
      <c r="K1246" s="117"/>
      <c r="L1246" s="116"/>
      <c r="M1246" s="117"/>
      <c r="N1246" s="118" t="str">
        <f>IFERROR(__xludf.DUMMYFUNCTION("""COMPUTED_VALUE"""),"")</f>
        <v/>
      </c>
      <c r="O1246" s="116"/>
      <c r="P1246" s="116"/>
      <c r="Q1246" s="116"/>
      <c r="R1246" s="116" t="s">
        <v>39</v>
      </c>
      <c r="S1246" s="116" t="s">
        <v>39</v>
      </c>
      <c r="T1246" s="104" t="s">
        <v>5198</v>
      </c>
      <c r="U1246" s="116"/>
      <c r="V1246" s="104" t="s">
        <v>5198</v>
      </c>
      <c r="W1246" s="116"/>
    </row>
    <row r="1247">
      <c r="A1247" s="114" t="s">
        <v>39</v>
      </c>
      <c r="B1247" s="115"/>
      <c r="C1247" s="116"/>
      <c r="D1247" s="116"/>
      <c r="E1247" s="116" t="str">
        <f>IFERROR(__xludf.DUMMYFUNCTION("""COMPUTED_VALUE"""),"")</f>
        <v/>
      </c>
      <c r="F1247" s="117" t="s">
        <v>39</v>
      </c>
      <c r="G1247" s="116"/>
      <c r="H1247" s="117"/>
      <c r="I1247" s="117"/>
      <c r="J1247" s="117"/>
      <c r="K1247" s="117"/>
      <c r="L1247" s="116"/>
      <c r="M1247" s="117"/>
      <c r="N1247" s="118" t="str">
        <f>IFERROR(__xludf.DUMMYFUNCTION("""COMPUTED_VALUE"""),"")</f>
        <v/>
      </c>
      <c r="O1247" s="116"/>
      <c r="P1247" s="116"/>
      <c r="Q1247" s="116"/>
      <c r="R1247" s="116" t="s">
        <v>39</v>
      </c>
      <c r="S1247" s="116" t="s">
        <v>39</v>
      </c>
      <c r="T1247" s="104" t="s">
        <v>5199</v>
      </c>
      <c r="U1247" s="116"/>
      <c r="V1247" s="104" t="s">
        <v>5199</v>
      </c>
      <c r="W1247" s="116"/>
    </row>
    <row r="1248">
      <c r="A1248" s="114" t="s">
        <v>39</v>
      </c>
      <c r="B1248" s="115"/>
      <c r="C1248" s="116"/>
      <c r="D1248" s="116"/>
      <c r="E1248" s="116" t="str">
        <f>IFERROR(__xludf.DUMMYFUNCTION("""COMPUTED_VALUE"""),"")</f>
        <v/>
      </c>
      <c r="F1248" s="117" t="s">
        <v>39</v>
      </c>
      <c r="G1248" s="116"/>
      <c r="H1248" s="117"/>
      <c r="I1248" s="117"/>
      <c r="J1248" s="117"/>
      <c r="K1248" s="117"/>
      <c r="L1248" s="116"/>
      <c r="M1248" s="117"/>
      <c r="N1248" s="118" t="str">
        <f>IFERROR(__xludf.DUMMYFUNCTION("""COMPUTED_VALUE"""),"")</f>
        <v/>
      </c>
      <c r="O1248" s="116"/>
      <c r="P1248" s="116"/>
      <c r="Q1248" s="116"/>
      <c r="R1248" s="116" t="s">
        <v>39</v>
      </c>
      <c r="S1248" s="116" t="s">
        <v>39</v>
      </c>
      <c r="T1248" s="104" t="s">
        <v>5200</v>
      </c>
      <c r="U1248" s="116"/>
      <c r="V1248" s="104" t="s">
        <v>5200</v>
      </c>
      <c r="W1248" s="116"/>
    </row>
    <row r="1249">
      <c r="A1249" s="114" t="s">
        <v>39</v>
      </c>
      <c r="B1249" s="115"/>
      <c r="C1249" s="116"/>
      <c r="D1249" s="116"/>
      <c r="E1249" s="116" t="str">
        <f>IFERROR(__xludf.DUMMYFUNCTION("""COMPUTED_VALUE"""),"")</f>
        <v/>
      </c>
      <c r="F1249" s="117" t="s">
        <v>39</v>
      </c>
      <c r="G1249" s="116"/>
      <c r="H1249" s="117"/>
      <c r="I1249" s="117"/>
      <c r="J1249" s="117"/>
      <c r="K1249" s="117"/>
      <c r="L1249" s="116"/>
      <c r="M1249" s="117"/>
      <c r="N1249" s="118" t="str">
        <f>IFERROR(__xludf.DUMMYFUNCTION("""COMPUTED_VALUE"""),"")</f>
        <v/>
      </c>
      <c r="O1249" s="116"/>
      <c r="P1249" s="116"/>
      <c r="Q1249" s="116"/>
      <c r="R1249" s="116" t="s">
        <v>39</v>
      </c>
      <c r="S1249" s="116" t="s">
        <v>39</v>
      </c>
      <c r="T1249" s="104" t="s">
        <v>5201</v>
      </c>
      <c r="U1249" s="116"/>
      <c r="V1249" s="104" t="s">
        <v>5201</v>
      </c>
      <c r="W1249" s="116"/>
    </row>
    <row r="1250">
      <c r="A1250" s="114" t="s">
        <v>39</v>
      </c>
      <c r="B1250" s="115"/>
      <c r="C1250" s="116"/>
      <c r="D1250" s="116"/>
      <c r="E1250" s="116" t="str">
        <f>IFERROR(__xludf.DUMMYFUNCTION("""COMPUTED_VALUE"""),"")</f>
        <v/>
      </c>
      <c r="F1250" s="117" t="s">
        <v>39</v>
      </c>
      <c r="G1250" s="116"/>
      <c r="H1250" s="117"/>
      <c r="I1250" s="117"/>
      <c r="J1250" s="117"/>
      <c r="K1250" s="117"/>
      <c r="L1250" s="116"/>
      <c r="M1250" s="117"/>
      <c r="N1250" s="118" t="str">
        <f>IFERROR(__xludf.DUMMYFUNCTION("""COMPUTED_VALUE"""),"")</f>
        <v/>
      </c>
      <c r="O1250" s="116"/>
      <c r="P1250" s="116"/>
      <c r="Q1250" s="116"/>
      <c r="R1250" s="116" t="s">
        <v>39</v>
      </c>
      <c r="S1250" s="116" t="s">
        <v>39</v>
      </c>
      <c r="T1250" s="104" t="s">
        <v>5202</v>
      </c>
      <c r="U1250" s="116"/>
      <c r="V1250" s="104" t="s">
        <v>5202</v>
      </c>
      <c r="W1250" s="116"/>
    </row>
    <row r="1251">
      <c r="A1251" s="114" t="s">
        <v>39</v>
      </c>
      <c r="B1251" s="115"/>
      <c r="C1251" s="116"/>
      <c r="D1251" s="116"/>
      <c r="E1251" s="116" t="str">
        <f>IFERROR(__xludf.DUMMYFUNCTION("""COMPUTED_VALUE"""),"")</f>
        <v/>
      </c>
      <c r="F1251" s="117" t="s">
        <v>39</v>
      </c>
      <c r="G1251" s="116"/>
      <c r="H1251" s="117"/>
      <c r="I1251" s="117"/>
      <c r="J1251" s="117"/>
      <c r="K1251" s="117"/>
      <c r="L1251" s="116"/>
      <c r="M1251" s="117"/>
      <c r="N1251" s="118" t="str">
        <f>IFERROR(__xludf.DUMMYFUNCTION("""COMPUTED_VALUE"""),"")</f>
        <v/>
      </c>
      <c r="O1251" s="116"/>
      <c r="P1251" s="116"/>
      <c r="Q1251" s="116"/>
      <c r="R1251" s="116" t="s">
        <v>39</v>
      </c>
      <c r="S1251" s="116" t="s">
        <v>39</v>
      </c>
      <c r="T1251" s="104" t="s">
        <v>5203</v>
      </c>
      <c r="U1251" s="116"/>
      <c r="V1251" s="104" t="s">
        <v>5203</v>
      </c>
      <c r="W1251" s="116"/>
    </row>
    <row r="1252">
      <c r="A1252" s="114" t="s">
        <v>39</v>
      </c>
      <c r="B1252" s="115"/>
      <c r="C1252" s="116"/>
      <c r="D1252" s="116"/>
      <c r="E1252" s="116" t="str">
        <f>IFERROR(__xludf.DUMMYFUNCTION("""COMPUTED_VALUE"""),"")</f>
        <v/>
      </c>
      <c r="F1252" s="117" t="s">
        <v>39</v>
      </c>
      <c r="G1252" s="116"/>
      <c r="H1252" s="117"/>
      <c r="I1252" s="117"/>
      <c r="J1252" s="117"/>
      <c r="K1252" s="117"/>
      <c r="L1252" s="116"/>
      <c r="M1252" s="117"/>
      <c r="N1252" s="118" t="str">
        <f>IFERROR(__xludf.DUMMYFUNCTION("""COMPUTED_VALUE"""),"")</f>
        <v/>
      </c>
      <c r="O1252" s="116"/>
      <c r="P1252" s="116"/>
      <c r="Q1252" s="116"/>
      <c r="R1252" s="116" t="s">
        <v>39</v>
      </c>
      <c r="S1252" s="116" t="s">
        <v>39</v>
      </c>
      <c r="T1252" s="104" t="s">
        <v>5204</v>
      </c>
      <c r="U1252" s="116"/>
      <c r="V1252" s="104" t="s">
        <v>5204</v>
      </c>
      <c r="W1252" s="116"/>
    </row>
    <row r="1253">
      <c r="A1253" s="114" t="s">
        <v>39</v>
      </c>
      <c r="B1253" s="115"/>
      <c r="C1253" s="116"/>
      <c r="D1253" s="116"/>
      <c r="E1253" s="116" t="str">
        <f>IFERROR(__xludf.DUMMYFUNCTION("""COMPUTED_VALUE"""),"")</f>
        <v/>
      </c>
      <c r="F1253" s="117" t="s">
        <v>39</v>
      </c>
      <c r="G1253" s="116"/>
      <c r="H1253" s="117"/>
      <c r="I1253" s="117"/>
      <c r="J1253" s="117"/>
      <c r="K1253" s="117"/>
      <c r="L1253" s="116"/>
      <c r="M1253" s="117"/>
      <c r="N1253" s="118" t="str">
        <f>IFERROR(__xludf.DUMMYFUNCTION("""COMPUTED_VALUE"""),"")</f>
        <v/>
      </c>
      <c r="O1253" s="116"/>
      <c r="P1253" s="116"/>
      <c r="Q1253" s="116"/>
      <c r="R1253" s="116" t="s">
        <v>39</v>
      </c>
      <c r="S1253" s="116" t="s">
        <v>39</v>
      </c>
      <c r="T1253" s="104" t="s">
        <v>5205</v>
      </c>
      <c r="U1253" s="116"/>
      <c r="V1253" s="104" t="s">
        <v>5205</v>
      </c>
      <c r="W1253" s="116"/>
    </row>
    <row r="1254">
      <c r="A1254" s="114" t="s">
        <v>39</v>
      </c>
      <c r="B1254" s="115"/>
      <c r="C1254" s="116"/>
      <c r="D1254" s="116"/>
      <c r="E1254" s="116" t="str">
        <f>IFERROR(__xludf.DUMMYFUNCTION("""COMPUTED_VALUE"""),"")</f>
        <v/>
      </c>
      <c r="F1254" s="117" t="s">
        <v>39</v>
      </c>
      <c r="G1254" s="116"/>
      <c r="H1254" s="117"/>
      <c r="I1254" s="117"/>
      <c r="J1254" s="117"/>
      <c r="K1254" s="117"/>
      <c r="L1254" s="116"/>
      <c r="M1254" s="117"/>
      <c r="N1254" s="118" t="str">
        <f>IFERROR(__xludf.DUMMYFUNCTION("""COMPUTED_VALUE"""),"")</f>
        <v/>
      </c>
      <c r="O1254" s="116"/>
      <c r="P1254" s="116"/>
      <c r="Q1254" s="116"/>
      <c r="R1254" s="116" t="s">
        <v>39</v>
      </c>
      <c r="S1254" s="116" t="s">
        <v>39</v>
      </c>
      <c r="T1254" s="104" t="s">
        <v>5206</v>
      </c>
      <c r="U1254" s="116"/>
      <c r="V1254" s="104" t="s">
        <v>5206</v>
      </c>
      <c r="W1254" s="116"/>
    </row>
    <row r="1255">
      <c r="A1255" s="114" t="s">
        <v>39</v>
      </c>
      <c r="B1255" s="115"/>
      <c r="C1255" s="116"/>
      <c r="D1255" s="116"/>
      <c r="E1255" s="116" t="str">
        <f>IFERROR(__xludf.DUMMYFUNCTION("""COMPUTED_VALUE"""),"")</f>
        <v/>
      </c>
      <c r="F1255" s="117" t="s">
        <v>39</v>
      </c>
      <c r="G1255" s="116"/>
      <c r="H1255" s="117"/>
      <c r="I1255" s="117"/>
      <c r="J1255" s="117"/>
      <c r="K1255" s="117"/>
      <c r="L1255" s="116"/>
      <c r="M1255" s="117"/>
      <c r="N1255" s="118" t="str">
        <f>IFERROR(__xludf.DUMMYFUNCTION("""COMPUTED_VALUE"""),"")</f>
        <v/>
      </c>
      <c r="O1255" s="116"/>
      <c r="P1255" s="116"/>
      <c r="Q1255" s="116"/>
      <c r="R1255" s="116" t="s">
        <v>39</v>
      </c>
      <c r="S1255" s="116" t="s">
        <v>39</v>
      </c>
      <c r="T1255" s="104" t="s">
        <v>5207</v>
      </c>
      <c r="U1255" s="116"/>
      <c r="V1255" s="104" t="s">
        <v>5207</v>
      </c>
      <c r="W1255" s="116"/>
    </row>
    <row r="1256">
      <c r="A1256" s="114" t="s">
        <v>39</v>
      </c>
      <c r="B1256" s="115"/>
      <c r="C1256" s="116"/>
      <c r="D1256" s="116"/>
      <c r="E1256" s="116" t="str">
        <f>IFERROR(__xludf.DUMMYFUNCTION("""COMPUTED_VALUE"""),"")</f>
        <v/>
      </c>
      <c r="F1256" s="117" t="s">
        <v>39</v>
      </c>
      <c r="G1256" s="116"/>
      <c r="H1256" s="117"/>
      <c r="I1256" s="117"/>
      <c r="J1256" s="117"/>
      <c r="K1256" s="117"/>
      <c r="L1256" s="116"/>
      <c r="M1256" s="117"/>
      <c r="N1256" s="118" t="str">
        <f>IFERROR(__xludf.DUMMYFUNCTION("""COMPUTED_VALUE"""),"")</f>
        <v/>
      </c>
      <c r="O1256" s="116"/>
      <c r="P1256" s="116"/>
      <c r="Q1256" s="116"/>
      <c r="R1256" s="116" t="s">
        <v>39</v>
      </c>
      <c r="S1256" s="116" t="s">
        <v>39</v>
      </c>
      <c r="T1256" s="104" t="s">
        <v>5208</v>
      </c>
      <c r="U1256" s="116"/>
      <c r="V1256" s="104" t="s">
        <v>5208</v>
      </c>
      <c r="W1256" s="116"/>
    </row>
    <row r="1257">
      <c r="A1257" s="114" t="s">
        <v>39</v>
      </c>
      <c r="B1257" s="115"/>
      <c r="C1257" s="116"/>
      <c r="D1257" s="116"/>
      <c r="E1257" s="116" t="str">
        <f>IFERROR(__xludf.DUMMYFUNCTION("""COMPUTED_VALUE"""),"")</f>
        <v/>
      </c>
      <c r="F1257" s="117" t="s">
        <v>39</v>
      </c>
      <c r="G1257" s="116"/>
      <c r="H1257" s="117"/>
      <c r="I1257" s="117"/>
      <c r="J1257" s="117"/>
      <c r="K1257" s="117"/>
      <c r="L1257" s="116"/>
      <c r="M1257" s="117"/>
      <c r="N1257" s="118" t="str">
        <f>IFERROR(__xludf.DUMMYFUNCTION("""COMPUTED_VALUE"""),"")</f>
        <v/>
      </c>
      <c r="O1257" s="116"/>
      <c r="P1257" s="116"/>
      <c r="Q1257" s="116"/>
      <c r="R1257" s="116" t="s">
        <v>39</v>
      </c>
      <c r="S1257" s="116" t="s">
        <v>39</v>
      </c>
      <c r="T1257" s="104" t="s">
        <v>5209</v>
      </c>
      <c r="U1257" s="116"/>
      <c r="V1257" s="104" t="s">
        <v>5209</v>
      </c>
      <c r="W1257" s="116"/>
    </row>
    <row r="1258">
      <c r="A1258" s="114" t="s">
        <v>39</v>
      </c>
      <c r="B1258" s="115"/>
      <c r="C1258" s="116"/>
      <c r="D1258" s="116"/>
      <c r="E1258" s="116" t="str">
        <f>IFERROR(__xludf.DUMMYFUNCTION("""COMPUTED_VALUE"""),"")</f>
        <v/>
      </c>
      <c r="F1258" s="117" t="s">
        <v>39</v>
      </c>
      <c r="G1258" s="116"/>
      <c r="H1258" s="117"/>
      <c r="I1258" s="117"/>
      <c r="J1258" s="117"/>
      <c r="K1258" s="117"/>
      <c r="L1258" s="116"/>
      <c r="M1258" s="117"/>
      <c r="N1258" s="118" t="str">
        <f>IFERROR(__xludf.DUMMYFUNCTION("""COMPUTED_VALUE"""),"")</f>
        <v/>
      </c>
      <c r="O1258" s="116"/>
      <c r="P1258" s="116"/>
      <c r="Q1258" s="116"/>
      <c r="R1258" s="116" t="s">
        <v>39</v>
      </c>
      <c r="S1258" s="116" t="s">
        <v>39</v>
      </c>
      <c r="T1258" s="104" t="s">
        <v>5210</v>
      </c>
      <c r="U1258" s="116"/>
      <c r="V1258" s="104" t="s">
        <v>5210</v>
      </c>
      <c r="W1258" s="116"/>
    </row>
    <row r="1259">
      <c r="A1259" s="114" t="s">
        <v>39</v>
      </c>
      <c r="B1259" s="115"/>
      <c r="C1259" s="116"/>
      <c r="D1259" s="116"/>
      <c r="E1259" s="116" t="str">
        <f>IFERROR(__xludf.DUMMYFUNCTION("""COMPUTED_VALUE"""),"")</f>
        <v/>
      </c>
      <c r="F1259" s="117" t="s">
        <v>39</v>
      </c>
      <c r="G1259" s="116"/>
      <c r="H1259" s="117"/>
      <c r="I1259" s="117"/>
      <c r="J1259" s="117"/>
      <c r="K1259" s="117"/>
      <c r="L1259" s="116"/>
      <c r="M1259" s="117"/>
      <c r="N1259" s="118" t="str">
        <f>IFERROR(__xludf.DUMMYFUNCTION("""COMPUTED_VALUE"""),"")</f>
        <v/>
      </c>
      <c r="O1259" s="116"/>
      <c r="P1259" s="116"/>
      <c r="Q1259" s="116"/>
      <c r="R1259" s="116" t="s">
        <v>39</v>
      </c>
      <c r="S1259" s="116" t="s">
        <v>39</v>
      </c>
      <c r="T1259" s="104" t="s">
        <v>5211</v>
      </c>
      <c r="U1259" s="116"/>
      <c r="V1259" s="104" t="s">
        <v>5211</v>
      </c>
      <c r="W1259" s="116"/>
    </row>
    <row r="1260">
      <c r="A1260" s="114" t="s">
        <v>39</v>
      </c>
      <c r="B1260" s="115"/>
      <c r="C1260" s="116"/>
      <c r="D1260" s="116"/>
      <c r="E1260" s="116" t="str">
        <f>IFERROR(__xludf.DUMMYFUNCTION("""COMPUTED_VALUE"""),"")</f>
        <v/>
      </c>
      <c r="F1260" s="117" t="s">
        <v>39</v>
      </c>
      <c r="G1260" s="116"/>
      <c r="H1260" s="117"/>
      <c r="I1260" s="117"/>
      <c r="J1260" s="117"/>
      <c r="K1260" s="117"/>
      <c r="L1260" s="116"/>
      <c r="M1260" s="117"/>
      <c r="N1260" s="118" t="str">
        <f>IFERROR(__xludf.DUMMYFUNCTION("""COMPUTED_VALUE"""),"")</f>
        <v/>
      </c>
      <c r="O1260" s="116"/>
      <c r="P1260" s="116"/>
      <c r="Q1260" s="116"/>
      <c r="R1260" s="116" t="s">
        <v>39</v>
      </c>
      <c r="S1260" s="116" t="s">
        <v>39</v>
      </c>
      <c r="T1260" s="104" t="s">
        <v>5212</v>
      </c>
      <c r="U1260" s="116"/>
      <c r="V1260" s="104" t="s">
        <v>5212</v>
      </c>
      <c r="W1260" s="116"/>
    </row>
    <row r="1261">
      <c r="A1261" s="114" t="s">
        <v>39</v>
      </c>
      <c r="B1261" s="115"/>
      <c r="C1261" s="116"/>
      <c r="D1261" s="116"/>
      <c r="E1261" s="116" t="str">
        <f>IFERROR(__xludf.DUMMYFUNCTION("""COMPUTED_VALUE"""),"")</f>
        <v/>
      </c>
      <c r="F1261" s="117" t="s">
        <v>39</v>
      </c>
      <c r="G1261" s="116"/>
      <c r="H1261" s="117"/>
      <c r="I1261" s="117"/>
      <c r="J1261" s="117"/>
      <c r="K1261" s="117"/>
      <c r="L1261" s="116"/>
      <c r="M1261" s="117"/>
      <c r="N1261" s="118" t="str">
        <f>IFERROR(__xludf.DUMMYFUNCTION("""COMPUTED_VALUE"""),"")</f>
        <v/>
      </c>
      <c r="O1261" s="116"/>
      <c r="P1261" s="116"/>
      <c r="Q1261" s="116"/>
      <c r="R1261" s="116" t="s">
        <v>39</v>
      </c>
      <c r="S1261" s="116" t="s">
        <v>39</v>
      </c>
      <c r="T1261" s="104" t="s">
        <v>5213</v>
      </c>
      <c r="U1261" s="116"/>
      <c r="V1261" s="104" t="s">
        <v>5213</v>
      </c>
      <c r="W1261" s="116"/>
    </row>
    <row r="1262">
      <c r="A1262" s="114" t="s">
        <v>39</v>
      </c>
      <c r="B1262" s="115"/>
      <c r="C1262" s="116"/>
      <c r="D1262" s="116"/>
      <c r="E1262" s="116" t="str">
        <f>IFERROR(__xludf.DUMMYFUNCTION("""COMPUTED_VALUE"""),"")</f>
        <v/>
      </c>
      <c r="F1262" s="117" t="s">
        <v>39</v>
      </c>
      <c r="G1262" s="116"/>
      <c r="H1262" s="117"/>
      <c r="I1262" s="117"/>
      <c r="J1262" s="117"/>
      <c r="K1262" s="117"/>
      <c r="L1262" s="116"/>
      <c r="M1262" s="117"/>
      <c r="N1262" s="118" t="str">
        <f>IFERROR(__xludf.DUMMYFUNCTION("""COMPUTED_VALUE"""),"")</f>
        <v/>
      </c>
      <c r="O1262" s="116"/>
      <c r="P1262" s="116"/>
      <c r="Q1262" s="116"/>
      <c r="R1262" s="116" t="s">
        <v>39</v>
      </c>
      <c r="S1262" s="116" t="s">
        <v>39</v>
      </c>
      <c r="T1262" s="104" t="s">
        <v>5214</v>
      </c>
      <c r="U1262" s="116"/>
      <c r="V1262" s="104" t="s">
        <v>5214</v>
      </c>
      <c r="W1262" s="116"/>
    </row>
    <row r="1263">
      <c r="A1263" s="114" t="s">
        <v>39</v>
      </c>
      <c r="B1263" s="115"/>
      <c r="C1263" s="116"/>
      <c r="D1263" s="116"/>
      <c r="E1263" s="116" t="str">
        <f>IFERROR(__xludf.DUMMYFUNCTION("""COMPUTED_VALUE"""),"")</f>
        <v/>
      </c>
      <c r="F1263" s="117" t="s">
        <v>39</v>
      </c>
      <c r="G1263" s="116"/>
      <c r="H1263" s="117"/>
      <c r="I1263" s="117"/>
      <c r="J1263" s="117"/>
      <c r="K1263" s="117"/>
      <c r="L1263" s="116"/>
      <c r="M1263" s="117"/>
      <c r="N1263" s="118" t="str">
        <f>IFERROR(__xludf.DUMMYFUNCTION("""COMPUTED_VALUE"""),"")</f>
        <v/>
      </c>
      <c r="O1263" s="116"/>
      <c r="P1263" s="116"/>
      <c r="Q1263" s="116"/>
      <c r="R1263" s="116" t="s">
        <v>39</v>
      </c>
      <c r="S1263" s="116" t="s">
        <v>39</v>
      </c>
      <c r="T1263" s="104" t="s">
        <v>5215</v>
      </c>
      <c r="U1263" s="116"/>
      <c r="V1263" s="104" t="s">
        <v>5215</v>
      </c>
      <c r="W1263" s="116"/>
    </row>
    <row r="1264">
      <c r="A1264" s="114" t="s">
        <v>39</v>
      </c>
      <c r="B1264" s="115"/>
      <c r="C1264" s="116"/>
      <c r="D1264" s="116"/>
      <c r="E1264" s="116" t="str">
        <f>IFERROR(__xludf.DUMMYFUNCTION("""COMPUTED_VALUE"""),"")</f>
        <v/>
      </c>
      <c r="F1264" s="117" t="s">
        <v>39</v>
      </c>
      <c r="G1264" s="116"/>
      <c r="H1264" s="117"/>
      <c r="I1264" s="117"/>
      <c r="J1264" s="117"/>
      <c r="K1264" s="117"/>
      <c r="L1264" s="116"/>
      <c r="M1264" s="117"/>
      <c r="N1264" s="118" t="str">
        <f>IFERROR(__xludf.DUMMYFUNCTION("""COMPUTED_VALUE"""),"")</f>
        <v/>
      </c>
      <c r="O1264" s="116"/>
      <c r="P1264" s="116"/>
      <c r="Q1264" s="116"/>
      <c r="R1264" s="116" t="s">
        <v>39</v>
      </c>
      <c r="S1264" s="116" t="s">
        <v>39</v>
      </c>
      <c r="T1264" s="104" t="s">
        <v>5216</v>
      </c>
      <c r="U1264" s="116"/>
      <c r="V1264" s="104" t="s">
        <v>5216</v>
      </c>
      <c r="W1264" s="116"/>
    </row>
    <row r="1265">
      <c r="A1265" s="114" t="s">
        <v>39</v>
      </c>
      <c r="B1265" s="115"/>
      <c r="C1265" s="116"/>
      <c r="D1265" s="116"/>
      <c r="E1265" s="116" t="str">
        <f>IFERROR(__xludf.DUMMYFUNCTION("""COMPUTED_VALUE"""),"")</f>
        <v/>
      </c>
      <c r="F1265" s="117" t="s">
        <v>39</v>
      </c>
      <c r="G1265" s="116"/>
      <c r="H1265" s="117"/>
      <c r="I1265" s="117"/>
      <c r="J1265" s="117"/>
      <c r="K1265" s="117"/>
      <c r="L1265" s="116"/>
      <c r="M1265" s="117"/>
      <c r="N1265" s="118" t="str">
        <f>IFERROR(__xludf.DUMMYFUNCTION("""COMPUTED_VALUE"""),"")</f>
        <v/>
      </c>
      <c r="O1265" s="116"/>
      <c r="P1265" s="116"/>
      <c r="Q1265" s="116"/>
      <c r="R1265" s="116" t="s">
        <v>39</v>
      </c>
      <c r="S1265" s="116" t="s">
        <v>39</v>
      </c>
      <c r="T1265" s="104" t="s">
        <v>5217</v>
      </c>
      <c r="U1265" s="116"/>
      <c r="V1265" s="104" t="s">
        <v>5217</v>
      </c>
      <c r="W1265" s="116"/>
    </row>
    <row r="1266">
      <c r="A1266" s="114" t="s">
        <v>39</v>
      </c>
      <c r="B1266" s="115"/>
      <c r="C1266" s="116"/>
      <c r="D1266" s="116"/>
      <c r="E1266" s="116" t="str">
        <f>IFERROR(__xludf.DUMMYFUNCTION("""COMPUTED_VALUE"""),"")</f>
        <v/>
      </c>
      <c r="F1266" s="117" t="s">
        <v>39</v>
      </c>
      <c r="G1266" s="116"/>
      <c r="H1266" s="117"/>
      <c r="I1266" s="117"/>
      <c r="J1266" s="117"/>
      <c r="K1266" s="117"/>
      <c r="L1266" s="116"/>
      <c r="M1266" s="117"/>
      <c r="N1266" s="118" t="str">
        <f>IFERROR(__xludf.DUMMYFUNCTION("""COMPUTED_VALUE"""),"")</f>
        <v/>
      </c>
      <c r="O1266" s="116"/>
      <c r="P1266" s="116"/>
      <c r="Q1266" s="116"/>
      <c r="R1266" s="116" t="s">
        <v>39</v>
      </c>
      <c r="S1266" s="116" t="s">
        <v>39</v>
      </c>
      <c r="T1266" s="104" t="s">
        <v>5218</v>
      </c>
      <c r="U1266" s="116"/>
      <c r="V1266" s="104" t="s">
        <v>5218</v>
      </c>
      <c r="W1266" s="116"/>
    </row>
    <row r="1267">
      <c r="A1267" s="114" t="s">
        <v>39</v>
      </c>
      <c r="B1267" s="115"/>
      <c r="C1267" s="116"/>
      <c r="D1267" s="116"/>
      <c r="E1267" s="116" t="str">
        <f>IFERROR(__xludf.DUMMYFUNCTION("""COMPUTED_VALUE"""),"")</f>
        <v/>
      </c>
      <c r="F1267" s="117" t="s">
        <v>39</v>
      </c>
      <c r="G1267" s="116"/>
      <c r="H1267" s="117"/>
      <c r="I1267" s="117"/>
      <c r="J1267" s="117"/>
      <c r="K1267" s="117"/>
      <c r="L1267" s="116"/>
      <c r="M1267" s="117"/>
      <c r="N1267" s="118" t="str">
        <f>IFERROR(__xludf.DUMMYFUNCTION("""COMPUTED_VALUE"""),"")</f>
        <v/>
      </c>
      <c r="O1267" s="116"/>
      <c r="P1267" s="116"/>
      <c r="Q1267" s="116"/>
      <c r="R1267" s="116" t="s">
        <v>39</v>
      </c>
      <c r="S1267" s="116" t="s">
        <v>39</v>
      </c>
      <c r="T1267" s="104" t="s">
        <v>5219</v>
      </c>
      <c r="U1267" s="116"/>
      <c r="V1267" s="104" t="s">
        <v>5219</v>
      </c>
      <c r="W1267" s="116"/>
    </row>
    <row r="1268">
      <c r="A1268" s="114" t="s">
        <v>39</v>
      </c>
      <c r="B1268" s="115"/>
      <c r="C1268" s="116"/>
      <c r="D1268" s="116"/>
      <c r="E1268" s="116" t="str">
        <f>IFERROR(__xludf.DUMMYFUNCTION("""COMPUTED_VALUE"""),"")</f>
        <v/>
      </c>
      <c r="F1268" s="117" t="s">
        <v>39</v>
      </c>
      <c r="G1268" s="116"/>
      <c r="H1268" s="117"/>
      <c r="I1268" s="117"/>
      <c r="J1268" s="117"/>
      <c r="K1268" s="117"/>
      <c r="L1268" s="116"/>
      <c r="M1268" s="117"/>
      <c r="N1268" s="118" t="str">
        <f>IFERROR(__xludf.DUMMYFUNCTION("""COMPUTED_VALUE"""),"")</f>
        <v/>
      </c>
      <c r="O1268" s="116"/>
      <c r="P1268" s="116"/>
      <c r="Q1268" s="116"/>
      <c r="R1268" s="116" t="s">
        <v>39</v>
      </c>
      <c r="S1268" s="116" t="s">
        <v>39</v>
      </c>
      <c r="T1268" s="104" t="s">
        <v>5220</v>
      </c>
      <c r="U1268" s="116"/>
      <c r="V1268" s="104" t="s">
        <v>5220</v>
      </c>
      <c r="W1268" s="116"/>
    </row>
    <row r="1269">
      <c r="A1269" s="114" t="s">
        <v>39</v>
      </c>
      <c r="B1269" s="115"/>
      <c r="C1269" s="116"/>
      <c r="D1269" s="116"/>
      <c r="E1269" s="116" t="str">
        <f>IFERROR(__xludf.DUMMYFUNCTION("""COMPUTED_VALUE"""),"")</f>
        <v/>
      </c>
      <c r="F1269" s="117" t="s">
        <v>39</v>
      </c>
      <c r="G1269" s="116"/>
      <c r="H1269" s="117"/>
      <c r="I1269" s="117"/>
      <c r="J1269" s="117"/>
      <c r="K1269" s="117"/>
      <c r="L1269" s="116"/>
      <c r="M1269" s="117"/>
      <c r="N1269" s="118" t="str">
        <f>IFERROR(__xludf.DUMMYFUNCTION("""COMPUTED_VALUE"""),"")</f>
        <v/>
      </c>
      <c r="O1269" s="116"/>
      <c r="P1269" s="116"/>
      <c r="Q1269" s="116"/>
      <c r="R1269" s="116" t="s">
        <v>39</v>
      </c>
      <c r="S1269" s="116" t="s">
        <v>39</v>
      </c>
      <c r="T1269" s="104" t="s">
        <v>5221</v>
      </c>
      <c r="U1269" s="116"/>
      <c r="V1269" s="104" t="s">
        <v>5221</v>
      </c>
      <c r="W1269" s="116"/>
    </row>
    <row r="1270">
      <c r="A1270" s="114" t="s">
        <v>39</v>
      </c>
      <c r="B1270" s="115"/>
      <c r="C1270" s="116"/>
      <c r="D1270" s="116"/>
      <c r="E1270" s="116" t="str">
        <f>IFERROR(__xludf.DUMMYFUNCTION("""COMPUTED_VALUE"""),"")</f>
        <v/>
      </c>
      <c r="F1270" s="117" t="s">
        <v>39</v>
      </c>
      <c r="G1270" s="116"/>
      <c r="H1270" s="117"/>
      <c r="I1270" s="117"/>
      <c r="J1270" s="117"/>
      <c r="K1270" s="117"/>
      <c r="L1270" s="116"/>
      <c r="M1270" s="117"/>
      <c r="N1270" s="118" t="str">
        <f>IFERROR(__xludf.DUMMYFUNCTION("""COMPUTED_VALUE"""),"")</f>
        <v/>
      </c>
      <c r="O1270" s="116"/>
      <c r="P1270" s="116"/>
      <c r="Q1270" s="116"/>
      <c r="R1270" s="116" t="s">
        <v>39</v>
      </c>
      <c r="S1270" s="116" t="s">
        <v>39</v>
      </c>
      <c r="T1270" s="104" t="s">
        <v>5222</v>
      </c>
      <c r="U1270" s="116"/>
      <c r="V1270" s="104" t="s">
        <v>5222</v>
      </c>
      <c r="W1270" s="116"/>
    </row>
    <row r="1271">
      <c r="A1271" s="114" t="s">
        <v>39</v>
      </c>
      <c r="B1271" s="115"/>
      <c r="C1271" s="116"/>
      <c r="D1271" s="116"/>
      <c r="E1271" s="116" t="str">
        <f>IFERROR(__xludf.DUMMYFUNCTION("""COMPUTED_VALUE"""),"")</f>
        <v/>
      </c>
      <c r="F1271" s="117" t="s">
        <v>39</v>
      </c>
      <c r="G1271" s="116"/>
      <c r="H1271" s="117"/>
      <c r="I1271" s="117"/>
      <c r="J1271" s="117"/>
      <c r="K1271" s="117"/>
      <c r="L1271" s="116"/>
      <c r="M1271" s="117"/>
      <c r="N1271" s="118" t="str">
        <f>IFERROR(__xludf.DUMMYFUNCTION("""COMPUTED_VALUE"""),"")</f>
        <v/>
      </c>
      <c r="O1271" s="116"/>
      <c r="P1271" s="116"/>
      <c r="Q1271" s="116"/>
      <c r="R1271" s="116" t="s">
        <v>39</v>
      </c>
      <c r="S1271" s="116" t="s">
        <v>39</v>
      </c>
      <c r="T1271" s="104" t="s">
        <v>5223</v>
      </c>
      <c r="U1271" s="116"/>
      <c r="V1271" s="104" t="s">
        <v>5223</v>
      </c>
      <c r="W1271" s="116"/>
    </row>
    <row r="1272">
      <c r="A1272" s="114" t="s">
        <v>39</v>
      </c>
      <c r="B1272" s="115"/>
      <c r="C1272" s="116"/>
      <c r="D1272" s="116"/>
      <c r="E1272" s="116" t="str">
        <f>IFERROR(__xludf.DUMMYFUNCTION("""COMPUTED_VALUE"""),"")</f>
        <v/>
      </c>
      <c r="F1272" s="117" t="s">
        <v>39</v>
      </c>
      <c r="G1272" s="116"/>
      <c r="H1272" s="117"/>
      <c r="I1272" s="117"/>
      <c r="J1272" s="117"/>
      <c r="K1272" s="117"/>
      <c r="L1272" s="116"/>
      <c r="M1272" s="117"/>
      <c r="N1272" s="118" t="str">
        <f>IFERROR(__xludf.DUMMYFUNCTION("""COMPUTED_VALUE"""),"")</f>
        <v/>
      </c>
      <c r="O1272" s="116"/>
      <c r="P1272" s="116"/>
      <c r="Q1272" s="116"/>
      <c r="R1272" s="116" t="s">
        <v>39</v>
      </c>
      <c r="S1272" s="116" t="s">
        <v>39</v>
      </c>
      <c r="T1272" s="104" t="s">
        <v>5224</v>
      </c>
      <c r="U1272" s="116"/>
      <c r="V1272" s="104" t="s">
        <v>5224</v>
      </c>
      <c r="W1272" s="116"/>
    </row>
    <row r="1273">
      <c r="A1273" s="114" t="s">
        <v>39</v>
      </c>
      <c r="B1273" s="115"/>
      <c r="C1273" s="116"/>
      <c r="D1273" s="116"/>
      <c r="E1273" s="116" t="str">
        <f>IFERROR(__xludf.DUMMYFUNCTION("""COMPUTED_VALUE"""),"")</f>
        <v/>
      </c>
      <c r="F1273" s="117" t="s">
        <v>39</v>
      </c>
      <c r="G1273" s="116"/>
      <c r="H1273" s="117"/>
      <c r="I1273" s="117"/>
      <c r="J1273" s="117"/>
      <c r="K1273" s="117"/>
      <c r="L1273" s="116"/>
      <c r="M1273" s="117"/>
      <c r="N1273" s="118" t="str">
        <f>IFERROR(__xludf.DUMMYFUNCTION("""COMPUTED_VALUE"""),"")</f>
        <v/>
      </c>
      <c r="O1273" s="116"/>
      <c r="P1273" s="116"/>
      <c r="Q1273" s="116"/>
      <c r="R1273" s="116" t="s">
        <v>39</v>
      </c>
      <c r="S1273" s="116" t="s">
        <v>39</v>
      </c>
      <c r="T1273" s="104" t="s">
        <v>5225</v>
      </c>
      <c r="U1273" s="116"/>
      <c r="V1273" s="104" t="s">
        <v>5225</v>
      </c>
      <c r="W1273" s="116"/>
    </row>
    <row r="1274">
      <c r="A1274" s="114" t="s">
        <v>39</v>
      </c>
      <c r="B1274" s="115"/>
      <c r="C1274" s="116"/>
      <c r="D1274" s="116"/>
      <c r="E1274" s="116" t="str">
        <f>IFERROR(__xludf.DUMMYFUNCTION("""COMPUTED_VALUE"""),"")</f>
        <v/>
      </c>
      <c r="F1274" s="117" t="s">
        <v>39</v>
      </c>
      <c r="G1274" s="116"/>
      <c r="H1274" s="117"/>
      <c r="I1274" s="117"/>
      <c r="J1274" s="117"/>
      <c r="K1274" s="117"/>
      <c r="L1274" s="116"/>
      <c r="M1274" s="117"/>
      <c r="N1274" s="118" t="str">
        <f>IFERROR(__xludf.DUMMYFUNCTION("""COMPUTED_VALUE"""),"")</f>
        <v/>
      </c>
      <c r="O1274" s="116"/>
      <c r="P1274" s="116"/>
      <c r="Q1274" s="116"/>
      <c r="R1274" s="116" t="s">
        <v>39</v>
      </c>
      <c r="S1274" s="116" t="s">
        <v>39</v>
      </c>
      <c r="T1274" s="104" t="s">
        <v>5226</v>
      </c>
      <c r="U1274" s="116"/>
      <c r="V1274" s="104" t="s">
        <v>5226</v>
      </c>
      <c r="W1274" s="116"/>
    </row>
    <row r="1275">
      <c r="A1275" s="114" t="s">
        <v>39</v>
      </c>
      <c r="B1275" s="115"/>
      <c r="C1275" s="116"/>
      <c r="D1275" s="116"/>
      <c r="E1275" s="116" t="str">
        <f>IFERROR(__xludf.DUMMYFUNCTION("""COMPUTED_VALUE"""),"")</f>
        <v/>
      </c>
      <c r="F1275" s="117" t="s">
        <v>39</v>
      </c>
      <c r="G1275" s="116"/>
      <c r="H1275" s="117"/>
      <c r="I1275" s="117"/>
      <c r="J1275" s="117"/>
      <c r="K1275" s="117"/>
      <c r="L1275" s="116"/>
      <c r="M1275" s="117"/>
      <c r="N1275" s="118" t="str">
        <f>IFERROR(__xludf.DUMMYFUNCTION("""COMPUTED_VALUE"""),"")</f>
        <v/>
      </c>
      <c r="O1275" s="116"/>
      <c r="P1275" s="116"/>
      <c r="Q1275" s="116"/>
      <c r="R1275" s="116" t="s">
        <v>39</v>
      </c>
      <c r="S1275" s="116" t="s">
        <v>39</v>
      </c>
      <c r="T1275" s="104" t="s">
        <v>5227</v>
      </c>
      <c r="U1275" s="116"/>
      <c r="V1275" s="104" t="s">
        <v>5227</v>
      </c>
      <c r="W1275" s="116"/>
    </row>
    <row r="1276">
      <c r="A1276" s="114" t="s">
        <v>39</v>
      </c>
      <c r="B1276" s="115"/>
      <c r="C1276" s="116"/>
      <c r="D1276" s="116"/>
      <c r="E1276" s="116" t="str">
        <f>IFERROR(__xludf.DUMMYFUNCTION("""COMPUTED_VALUE"""),"")</f>
        <v/>
      </c>
      <c r="F1276" s="117" t="s">
        <v>39</v>
      </c>
      <c r="G1276" s="116"/>
      <c r="H1276" s="117"/>
      <c r="I1276" s="117"/>
      <c r="J1276" s="117"/>
      <c r="K1276" s="117"/>
      <c r="L1276" s="116"/>
      <c r="M1276" s="117"/>
      <c r="N1276" s="118" t="str">
        <f>IFERROR(__xludf.DUMMYFUNCTION("""COMPUTED_VALUE"""),"")</f>
        <v/>
      </c>
      <c r="O1276" s="116"/>
      <c r="P1276" s="116"/>
      <c r="Q1276" s="116"/>
      <c r="R1276" s="116" t="s">
        <v>39</v>
      </c>
      <c r="S1276" s="116" t="s">
        <v>39</v>
      </c>
      <c r="T1276" s="104" t="s">
        <v>5228</v>
      </c>
      <c r="U1276" s="116"/>
      <c r="V1276" s="104" t="s">
        <v>5228</v>
      </c>
      <c r="W1276" s="116"/>
    </row>
    <row r="1277">
      <c r="A1277" s="114" t="s">
        <v>39</v>
      </c>
      <c r="B1277" s="115"/>
      <c r="C1277" s="116"/>
      <c r="D1277" s="116"/>
      <c r="E1277" s="116" t="str">
        <f>IFERROR(__xludf.DUMMYFUNCTION("""COMPUTED_VALUE"""),"")</f>
        <v/>
      </c>
      <c r="F1277" s="117" t="s">
        <v>39</v>
      </c>
      <c r="G1277" s="116"/>
      <c r="H1277" s="117"/>
      <c r="I1277" s="117"/>
      <c r="J1277" s="117"/>
      <c r="K1277" s="117"/>
      <c r="L1277" s="116"/>
      <c r="M1277" s="117"/>
      <c r="N1277" s="118" t="str">
        <f>IFERROR(__xludf.DUMMYFUNCTION("""COMPUTED_VALUE"""),"")</f>
        <v/>
      </c>
      <c r="O1277" s="116"/>
      <c r="P1277" s="116"/>
      <c r="Q1277" s="116"/>
      <c r="R1277" s="116" t="s">
        <v>39</v>
      </c>
      <c r="S1277" s="116" t="s">
        <v>39</v>
      </c>
      <c r="T1277" s="104" t="s">
        <v>5229</v>
      </c>
      <c r="U1277" s="116"/>
      <c r="V1277" s="104" t="s">
        <v>5229</v>
      </c>
      <c r="W1277" s="116"/>
    </row>
    <row r="1278">
      <c r="A1278" s="114" t="s">
        <v>39</v>
      </c>
      <c r="B1278" s="115"/>
      <c r="C1278" s="116"/>
      <c r="D1278" s="116"/>
      <c r="E1278" s="116" t="str">
        <f>IFERROR(__xludf.DUMMYFUNCTION("""COMPUTED_VALUE"""),"")</f>
        <v/>
      </c>
      <c r="F1278" s="117" t="s">
        <v>39</v>
      </c>
      <c r="G1278" s="116"/>
      <c r="H1278" s="117"/>
      <c r="I1278" s="117"/>
      <c r="J1278" s="117"/>
      <c r="K1278" s="117"/>
      <c r="L1278" s="116"/>
      <c r="M1278" s="117"/>
      <c r="N1278" s="118" t="str">
        <f>IFERROR(__xludf.DUMMYFUNCTION("""COMPUTED_VALUE"""),"")</f>
        <v/>
      </c>
      <c r="O1278" s="116"/>
      <c r="P1278" s="116"/>
      <c r="Q1278" s="116"/>
      <c r="R1278" s="116" t="s">
        <v>39</v>
      </c>
      <c r="S1278" s="116" t="s">
        <v>39</v>
      </c>
      <c r="T1278" s="104" t="s">
        <v>5230</v>
      </c>
      <c r="U1278" s="116"/>
      <c r="V1278" s="104" t="s">
        <v>5230</v>
      </c>
      <c r="W1278" s="116"/>
    </row>
    <row r="1279">
      <c r="A1279" s="114" t="s">
        <v>39</v>
      </c>
      <c r="B1279" s="115"/>
      <c r="C1279" s="116"/>
      <c r="D1279" s="116"/>
      <c r="E1279" s="116" t="str">
        <f>IFERROR(__xludf.DUMMYFUNCTION("""COMPUTED_VALUE"""),"")</f>
        <v/>
      </c>
      <c r="F1279" s="117" t="s">
        <v>39</v>
      </c>
      <c r="G1279" s="116"/>
      <c r="H1279" s="117"/>
      <c r="I1279" s="117"/>
      <c r="J1279" s="117"/>
      <c r="K1279" s="117"/>
      <c r="L1279" s="116"/>
      <c r="M1279" s="117"/>
      <c r="N1279" s="118" t="str">
        <f>IFERROR(__xludf.DUMMYFUNCTION("""COMPUTED_VALUE"""),"")</f>
        <v/>
      </c>
      <c r="O1279" s="116"/>
      <c r="P1279" s="116"/>
      <c r="Q1279" s="116"/>
      <c r="R1279" s="116" t="s">
        <v>39</v>
      </c>
      <c r="S1279" s="116" t="s">
        <v>39</v>
      </c>
      <c r="T1279" s="104" t="s">
        <v>5231</v>
      </c>
      <c r="U1279" s="116"/>
      <c r="V1279" s="104" t="s">
        <v>5231</v>
      </c>
      <c r="W1279" s="116"/>
    </row>
    <row r="1280">
      <c r="A1280" s="114" t="s">
        <v>39</v>
      </c>
      <c r="B1280" s="115"/>
      <c r="C1280" s="116"/>
      <c r="D1280" s="116"/>
      <c r="E1280" s="116" t="str">
        <f>IFERROR(__xludf.DUMMYFUNCTION("""COMPUTED_VALUE"""),"")</f>
        <v/>
      </c>
      <c r="F1280" s="117" t="s">
        <v>39</v>
      </c>
      <c r="G1280" s="116"/>
      <c r="H1280" s="117"/>
      <c r="I1280" s="117"/>
      <c r="J1280" s="117"/>
      <c r="K1280" s="117"/>
      <c r="L1280" s="116"/>
      <c r="M1280" s="117"/>
      <c r="N1280" s="118" t="str">
        <f>IFERROR(__xludf.DUMMYFUNCTION("""COMPUTED_VALUE"""),"")</f>
        <v/>
      </c>
      <c r="O1280" s="116"/>
      <c r="P1280" s="116"/>
      <c r="Q1280" s="116"/>
      <c r="R1280" s="116" t="s">
        <v>39</v>
      </c>
      <c r="S1280" s="116" t="s">
        <v>39</v>
      </c>
      <c r="T1280" s="104" t="s">
        <v>5232</v>
      </c>
      <c r="U1280" s="116"/>
      <c r="V1280" s="104" t="s">
        <v>5232</v>
      </c>
      <c r="W1280" s="116"/>
    </row>
    <row r="1281">
      <c r="A1281" s="114" t="s">
        <v>39</v>
      </c>
      <c r="B1281" s="115"/>
      <c r="C1281" s="116"/>
      <c r="D1281" s="116"/>
      <c r="E1281" s="116" t="str">
        <f>IFERROR(__xludf.DUMMYFUNCTION("""COMPUTED_VALUE"""),"")</f>
        <v/>
      </c>
      <c r="F1281" s="117" t="s">
        <v>39</v>
      </c>
      <c r="G1281" s="116"/>
      <c r="H1281" s="117"/>
      <c r="I1281" s="117"/>
      <c r="J1281" s="117"/>
      <c r="K1281" s="117"/>
      <c r="L1281" s="116"/>
      <c r="M1281" s="117"/>
      <c r="N1281" s="118" t="str">
        <f>IFERROR(__xludf.DUMMYFUNCTION("""COMPUTED_VALUE"""),"")</f>
        <v/>
      </c>
      <c r="O1281" s="116"/>
      <c r="P1281" s="116"/>
      <c r="Q1281" s="116"/>
      <c r="R1281" s="116" t="s">
        <v>39</v>
      </c>
      <c r="S1281" s="116" t="s">
        <v>39</v>
      </c>
      <c r="T1281" s="104" t="s">
        <v>5233</v>
      </c>
      <c r="U1281" s="116"/>
      <c r="V1281" s="104" t="s">
        <v>5233</v>
      </c>
      <c r="W1281" s="116"/>
    </row>
    <row r="1282">
      <c r="A1282" s="114" t="s">
        <v>39</v>
      </c>
      <c r="B1282" s="115"/>
      <c r="C1282" s="116"/>
      <c r="D1282" s="116"/>
      <c r="E1282" s="116" t="str">
        <f>IFERROR(__xludf.DUMMYFUNCTION("""COMPUTED_VALUE"""),"")</f>
        <v/>
      </c>
      <c r="F1282" s="117" t="s">
        <v>39</v>
      </c>
      <c r="G1282" s="116"/>
      <c r="H1282" s="117"/>
      <c r="I1282" s="117"/>
      <c r="J1282" s="117"/>
      <c r="K1282" s="117"/>
      <c r="L1282" s="116"/>
      <c r="M1282" s="117"/>
      <c r="N1282" s="118" t="str">
        <f>IFERROR(__xludf.DUMMYFUNCTION("""COMPUTED_VALUE"""),"")</f>
        <v/>
      </c>
      <c r="O1282" s="116"/>
      <c r="P1282" s="116"/>
      <c r="Q1282" s="116"/>
      <c r="R1282" s="116" t="s">
        <v>39</v>
      </c>
      <c r="S1282" s="116" t="s">
        <v>39</v>
      </c>
      <c r="T1282" s="104" t="s">
        <v>5234</v>
      </c>
      <c r="U1282" s="116"/>
      <c r="V1282" s="104" t="s">
        <v>5234</v>
      </c>
      <c r="W1282" s="116"/>
    </row>
    <row r="1283">
      <c r="A1283" s="114" t="s">
        <v>39</v>
      </c>
      <c r="B1283" s="115"/>
      <c r="C1283" s="116"/>
      <c r="D1283" s="116"/>
      <c r="E1283" s="116" t="str">
        <f>IFERROR(__xludf.DUMMYFUNCTION("""COMPUTED_VALUE"""),"")</f>
        <v/>
      </c>
      <c r="F1283" s="117" t="s">
        <v>39</v>
      </c>
      <c r="G1283" s="116"/>
      <c r="H1283" s="117"/>
      <c r="I1283" s="117"/>
      <c r="J1283" s="117"/>
      <c r="K1283" s="117"/>
      <c r="L1283" s="116"/>
      <c r="M1283" s="117"/>
      <c r="N1283" s="118" t="str">
        <f>IFERROR(__xludf.DUMMYFUNCTION("""COMPUTED_VALUE"""),"")</f>
        <v/>
      </c>
      <c r="O1283" s="116"/>
      <c r="P1283" s="116"/>
      <c r="Q1283" s="116"/>
      <c r="R1283" s="116" t="s">
        <v>39</v>
      </c>
      <c r="S1283" s="116" t="s">
        <v>39</v>
      </c>
      <c r="T1283" s="104" t="s">
        <v>5235</v>
      </c>
      <c r="U1283" s="116"/>
      <c r="V1283" s="104" t="s">
        <v>5235</v>
      </c>
      <c r="W1283" s="116"/>
    </row>
    <row r="1284">
      <c r="A1284" s="114" t="s">
        <v>39</v>
      </c>
      <c r="B1284" s="115"/>
      <c r="C1284" s="116"/>
      <c r="D1284" s="116"/>
      <c r="E1284" s="116" t="str">
        <f>IFERROR(__xludf.DUMMYFUNCTION("""COMPUTED_VALUE"""),"")</f>
        <v/>
      </c>
      <c r="F1284" s="117" t="s">
        <v>39</v>
      </c>
      <c r="G1284" s="116"/>
      <c r="H1284" s="117"/>
      <c r="I1284" s="117"/>
      <c r="J1284" s="117"/>
      <c r="K1284" s="117"/>
      <c r="L1284" s="116"/>
      <c r="M1284" s="117"/>
      <c r="N1284" s="118" t="str">
        <f>IFERROR(__xludf.DUMMYFUNCTION("""COMPUTED_VALUE"""),"")</f>
        <v/>
      </c>
      <c r="O1284" s="116"/>
      <c r="P1284" s="116"/>
      <c r="Q1284" s="116"/>
      <c r="R1284" s="116" t="s">
        <v>39</v>
      </c>
      <c r="S1284" s="116" t="s">
        <v>39</v>
      </c>
      <c r="T1284" s="104" t="s">
        <v>5236</v>
      </c>
      <c r="U1284" s="116"/>
      <c r="V1284" s="104" t="s">
        <v>5236</v>
      </c>
      <c r="W1284" s="116"/>
    </row>
    <row r="1285">
      <c r="A1285" s="114" t="s">
        <v>39</v>
      </c>
      <c r="B1285" s="115"/>
      <c r="C1285" s="116"/>
      <c r="D1285" s="116"/>
      <c r="E1285" s="116" t="str">
        <f>IFERROR(__xludf.DUMMYFUNCTION("""COMPUTED_VALUE"""),"")</f>
        <v/>
      </c>
      <c r="F1285" s="117" t="s">
        <v>39</v>
      </c>
      <c r="G1285" s="116"/>
      <c r="H1285" s="117"/>
      <c r="I1285" s="117"/>
      <c r="J1285" s="117"/>
      <c r="K1285" s="117"/>
      <c r="L1285" s="116"/>
      <c r="M1285" s="117"/>
      <c r="N1285" s="118" t="str">
        <f>IFERROR(__xludf.DUMMYFUNCTION("""COMPUTED_VALUE"""),"")</f>
        <v/>
      </c>
      <c r="O1285" s="116"/>
      <c r="P1285" s="116"/>
      <c r="Q1285" s="116"/>
      <c r="R1285" s="116" t="s">
        <v>39</v>
      </c>
      <c r="S1285" s="116" t="s">
        <v>39</v>
      </c>
      <c r="T1285" s="104" t="s">
        <v>5237</v>
      </c>
      <c r="U1285" s="116"/>
      <c r="V1285" s="104" t="s">
        <v>5237</v>
      </c>
      <c r="W1285" s="116"/>
    </row>
    <row r="1286">
      <c r="A1286" s="114" t="s">
        <v>39</v>
      </c>
      <c r="B1286" s="115"/>
      <c r="C1286" s="116"/>
      <c r="D1286" s="116"/>
      <c r="E1286" s="116" t="str">
        <f>IFERROR(__xludf.DUMMYFUNCTION("""COMPUTED_VALUE"""),"")</f>
        <v/>
      </c>
      <c r="F1286" s="117" t="s">
        <v>39</v>
      </c>
      <c r="G1286" s="116"/>
      <c r="H1286" s="117"/>
      <c r="I1286" s="117"/>
      <c r="J1286" s="117"/>
      <c r="K1286" s="117"/>
      <c r="L1286" s="116"/>
      <c r="M1286" s="117"/>
      <c r="N1286" s="118" t="str">
        <f>IFERROR(__xludf.DUMMYFUNCTION("""COMPUTED_VALUE"""),"")</f>
        <v/>
      </c>
      <c r="O1286" s="116"/>
      <c r="P1286" s="116"/>
      <c r="Q1286" s="116"/>
      <c r="R1286" s="116" t="s">
        <v>39</v>
      </c>
      <c r="S1286" s="116" t="s">
        <v>39</v>
      </c>
      <c r="T1286" s="104" t="s">
        <v>5238</v>
      </c>
      <c r="U1286" s="116"/>
      <c r="V1286" s="104" t="s">
        <v>5238</v>
      </c>
      <c r="W1286" s="116"/>
    </row>
    <row r="1287">
      <c r="A1287" s="114" t="s">
        <v>39</v>
      </c>
      <c r="B1287" s="115"/>
      <c r="C1287" s="116"/>
      <c r="D1287" s="116"/>
      <c r="E1287" s="116" t="str">
        <f>IFERROR(__xludf.DUMMYFUNCTION("""COMPUTED_VALUE"""),"")</f>
        <v/>
      </c>
      <c r="F1287" s="117" t="s">
        <v>39</v>
      </c>
      <c r="G1287" s="116"/>
      <c r="H1287" s="117"/>
      <c r="I1287" s="117"/>
      <c r="J1287" s="117"/>
      <c r="K1287" s="117"/>
      <c r="L1287" s="116"/>
      <c r="M1287" s="117"/>
      <c r="N1287" s="118" t="str">
        <f>IFERROR(__xludf.DUMMYFUNCTION("""COMPUTED_VALUE"""),"")</f>
        <v/>
      </c>
      <c r="O1287" s="116"/>
      <c r="P1287" s="116"/>
      <c r="Q1287" s="116"/>
      <c r="R1287" s="116" t="s">
        <v>39</v>
      </c>
      <c r="S1287" s="116" t="s">
        <v>39</v>
      </c>
      <c r="T1287" s="104" t="s">
        <v>5239</v>
      </c>
      <c r="U1287" s="116"/>
      <c r="V1287" s="104" t="s">
        <v>5239</v>
      </c>
      <c r="W1287" s="116"/>
    </row>
    <row r="1288">
      <c r="A1288" s="114" t="s">
        <v>39</v>
      </c>
      <c r="B1288" s="115"/>
      <c r="C1288" s="116"/>
      <c r="D1288" s="116"/>
      <c r="E1288" s="116" t="str">
        <f>IFERROR(__xludf.DUMMYFUNCTION("""COMPUTED_VALUE"""),"")</f>
        <v/>
      </c>
      <c r="F1288" s="117" t="s">
        <v>39</v>
      </c>
      <c r="G1288" s="116"/>
      <c r="H1288" s="117"/>
      <c r="I1288" s="117"/>
      <c r="J1288" s="117"/>
      <c r="K1288" s="117"/>
      <c r="L1288" s="116"/>
      <c r="M1288" s="117"/>
      <c r="N1288" s="118" t="str">
        <f>IFERROR(__xludf.DUMMYFUNCTION("""COMPUTED_VALUE"""),"")</f>
        <v/>
      </c>
      <c r="O1288" s="116"/>
      <c r="P1288" s="116"/>
      <c r="Q1288" s="116"/>
      <c r="R1288" s="116" t="s">
        <v>39</v>
      </c>
      <c r="S1288" s="116" t="s">
        <v>39</v>
      </c>
      <c r="T1288" s="104" t="s">
        <v>5240</v>
      </c>
      <c r="U1288" s="116"/>
      <c r="V1288" s="104" t="s">
        <v>5240</v>
      </c>
      <c r="W1288" s="116"/>
    </row>
    <row r="1289">
      <c r="A1289" s="114" t="s">
        <v>39</v>
      </c>
      <c r="B1289" s="115"/>
      <c r="C1289" s="116"/>
      <c r="D1289" s="116"/>
      <c r="E1289" s="116" t="str">
        <f>IFERROR(__xludf.DUMMYFUNCTION("""COMPUTED_VALUE"""),"")</f>
        <v/>
      </c>
      <c r="F1289" s="117" t="s">
        <v>39</v>
      </c>
      <c r="G1289" s="116"/>
      <c r="H1289" s="117"/>
      <c r="I1289" s="117"/>
      <c r="J1289" s="117"/>
      <c r="K1289" s="117"/>
      <c r="L1289" s="116"/>
      <c r="M1289" s="117"/>
      <c r="N1289" s="118" t="str">
        <f>IFERROR(__xludf.DUMMYFUNCTION("""COMPUTED_VALUE"""),"")</f>
        <v/>
      </c>
      <c r="O1289" s="116"/>
      <c r="P1289" s="116"/>
      <c r="Q1289" s="116"/>
      <c r="R1289" s="116" t="s">
        <v>39</v>
      </c>
      <c r="S1289" s="116" t="s">
        <v>39</v>
      </c>
      <c r="T1289" s="104" t="s">
        <v>5241</v>
      </c>
      <c r="U1289" s="116"/>
      <c r="V1289" s="104" t="s">
        <v>5241</v>
      </c>
      <c r="W1289" s="116"/>
    </row>
    <row r="1290">
      <c r="A1290" s="114" t="s">
        <v>39</v>
      </c>
      <c r="B1290" s="115"/>
      <c r="C1290" s="116"/>
      <c r="D1290" s="116"/>
      <c r="E1290" s="116" t="str">
        <f>IFERROR(__xludf.DUMMYFUNCTION("""COMPUTED_VALUE"""),"")</f>
        <v/>
      </c>
      <c r="F1290" s="117" t="s">
        <v>39</v>
      </c>
      <c r="G1290" s="116"/>
      <c r="H1290" s="117"/>
      <c r="I1290" s="117"/>
      <c r="J1290" s="117"/>
      <c r="K1290" s="117"/>
      <c r="L1290" s="116"/>
      <c r="M1290" s="117"/>
      <c r="N1290" s="118" t="str">
        <f>IFERROR(__xludf.DUMMYFUNCTION("""COMPUTED_VALUE"""),"")</f>
        <v/>
      </c>
      <c r="O1290" s="116"/>
      <c r="P1290" s="116"/>
      <c r="Q1290" s="116"/>
      <c r="R1290" s="116" t="s">
        <v>39</v>
      </c>
      <c r="S1290" s="116" t="s">
        <v>39</v>
      </c>
      <c r="T1290" s="104" t="s">
        <v>5242</v>
      </c>
      <c r="U1290" s="116"/>
      <c r="V1290" s="104" t="s">
        <v>5242</v>
      </c>
      <c r="W1290" s="116"/>
    </row>
    <row r="1291">
      <c r="A1291" s="114" t="s">
        <v>39</v>
      </c>
      <c r="B1291" s="115"/>
      <c r="C1291" s="116"/>
      <c r="D1291" s="116"/>
      <c r="E1291" s="116" t="str">
        <f>IFERROR(__xludf.DUMMYFUNCTION("""COMPUTED_VALUE"""),"")</f>
        <v/>
      </c>
      <c r="F1291" s="117" t="s">
        <v>39</v>
      </c>
      <c r="G1291" s="116"/>
      <c r="H1291" s="117"/>
      <c r="I1291" s="117"/>
      <c r="J1291" s="117"/>
      <c r="K1291" s="117"/>
      <c r="L1291" s="116"/>
      <c r="M1291" s="117"/>
      <c r="N1291" s="118" t="str">
        <f>IFERROR(__xludf.DUMMYFUNCTION("""COMPUTED_VALUE"""),"")</f>
        <v/>
      </c>
      <c r="O1291" s="116"/>
      <c r="P1291" s="116"/>
      <c r="Q1291" s="116"/>
      <c r="R1291" s="116" t="s">
        <v>39</v>
      </c>
      <c r="S1291" s="116" t="s">
        <v>39</v>
      </c>
      <c r="T1291" s="104" t="s">
        <v>5243</v>
      </c>
      <c r="U1291" s="116"/>
      <c r="V1291" s="104" t="s">
        <v>5243</v>
      </c>
      <c r="W1291" s="116"/>
    </row>
    <row r="1292">
      <c r="A1292" s="114" t="s">
        <v>39</v>
      </c>
      <c r="B1292" s="115"/>
      <c r="C1292" s="116"/>
      <c r="D1292" s="116"/>
      <c r="E1292" s="116" t="str">
        <f>IFERROR(__xludf.DUMMYFUNCTION("""COMPUTED_VALUE"""),"")</f>
        <v/>
      </c>
      <c r="F1292" s="117" t="s">
        <v>39</v>
      </c>
      <c r="G1292" s="116"/>
      <c r="H1292" s="117"/>
      <c r="I1292" s="117"/>
      <c r="J1292" s="117"/>
      <c r="K1292" s="117"/>
      <c r="L1292" s="116"/>
      <c r="M1292" s="117"/>
      <c r="N1292" s="118" t="str">
        <f>IFERROR(__xludf.DUMMYFUNCTION("""COMPUTED_VALUE"""),"")</f>
        <v/>
      </c>
      <c r="O1292" s="116"/>
      <c r="P1292" s="116"/>
      <c r="Q1292" s="116"/>
      <c r="R1292" s="116" t="s">
        <v>39</v>
      </c>
      <c r="S1292" s="116" t="s">
        <v>39</v>
      </c>
      <c r="T1292" s="104" t="s">
        <v>5244</v>
      </c>
      <c r="U1292" s="116"/>
      <c r="V1292" s="104" t="s">
        <v>5244</v>
      </c>
      <c r="W1292" s="116"/>
    </row>
    <row r="1293">
      <c r="A1293" s="114" t="s">
        <v>39</v>
      </c>
      <c r="B1293" s="115"/>
      <c r="C1293" s="116"/>
      <c r="D1293" s="116"/>
      <c r="E1293" s="116" t="str">
        <f>IFERROR(__xludf.DUMMYFUNCTION("""COMPUTED_VALUE"""),"")</f>
        <v/>
      </c>
      <c r="F1293" s="117" t="s">
        <v>39</v>
      </c>
      <c r="G1293" s="116"/>
      <c r="H1293" s="117"/>
      <c r="I1293" s="117"/>
      <c r="J1293" s="117"/>
      <c r="K1293" s="117"/>
      <c r="L1293" s="116"/>
      <c r="M1293" s="117"/>
      <c r="N1293" s="118" t="str">
        <f>IFERROR(__xludf.DUMMYFUNCTION("""COMPUTED_VALUE"""),"")</f>
        <v/>
      </c>
      <c r="O1293" s="116"/>
      <c r="P1293" s="116"/>
      <c r="Q1293" s="116"/>
      <c r="R1293" s="116" t="s">
        <v>39</v>
      </c>
      <c r="S1293" s="116" t="s">
        <v>39</v>
      </c>
      <c r="T1293" s="104" t="s">
        <v>5245</v>
      </c>
      <c r="U1293" s="116"/>
      <c r="V1293" s="104" t="s">
        <v>5245</v>
      </c>
      <c r="W1293" s="116"/>
    </row>
    <row r="1294">
      <c r="A1294" s="114" t="s">
        <v>39</v>
      </c>
      <c r="B1294" s="115"/>
      <c r="C1294" s="116"/>
      <c r="D1294" s="116"/>
      <c r="E1294" s="116" t="str">
        <f>IFERROR(__xludf.DUMMYFUNCTION("""COMPUTED_VALUE"""),"")</f>
        <v/>
      </c>
      <c r="F1294" s="117" t="s">
        <v>39</v>
      </c>
      <c r="G1294" s="116"/>
      <c r="H1294" s="117"/>
      <c r="I1294" s="117"/>
      <c r="J1294" s="117"/>
      <c r="K1294" s="117"/>
      <c r="L1294" s="116"/>
      <c r="M1294" s="117"/>
      <c r="N1294" s="118" t="str">
        <f>IFERROR(__xludf.DUMMYFUNCTION("""COMPUTED_VALUE"""),"")</f>
        <v/>
      </c>
      <c r="O1294" s="116"/>
      <c r="P1294" s="116"/>
      <c r="Q1294" s="116"/>
      <c r="R1294" s="116" t="s">
        <v>39</v>
      </c>
      <c r="S1294" s="116" t="s">
        <v>39</v>
      </c>
      <c r="T1294" s="104" t="s">
        <v>5246</v>
      </c>
      <c r="U1294" s="116"/>
      <c r="V1294" s="104" t="s">
        <v>5246</v>
      </c>
      <c r="W1294" s="116"/>
    </row>
    <row r="1295">
      <c r="A1295" s="114" t="s">
        <v>39</v>
      </c>
      <c r="B1295" s="115"/>
      <c r="C1295" s="116"/>
      <c r="D1295" s="116"/>
      <c r="E1295" s="116" t="str">
        <f>IFERROR(__xludf.DUMMYFUNCTION("""COMPUTED_VALUE"""),"")</f>
        <v/>
      </c>
      <c r="F1295" s="117" t="s">
        <v>39</v>
      </c>
      <c r="G1295" s="116"/>
      <c r="H1295" s="117"/>
      <c r="I1295" s="117"/>
      <c r="J1295" s="117"/>
      <c r="K1295" s="117"/>
      <c r="L1295" s="116"/>
      <c r="M1295" s="117"/>
      <c r="N1295" s="118" t="str">
        <f>IFERROR(__xludf.DUMMYFUNCTION("""COMPUTED_VALUE"""),"")</f>
        <v/>
      </c>
      <c r="O1295" s="116"/>
      <c r="P1295" s="116"/>
      <c r="Q1295" s="116"/>
      <c r="R1295" s="116" t="s">
        <v>39</v>
      </c>
      <c r="S1295" s="116" t="s">
        <v>39</v>
      </c>
      <c r="T1295" s="104" t="s">
        <v>5247</v>
      </c>
      <c r="U1295" s="116"/>
      <c r="V1295" s="104" t="s">
        <v>5247</v>
      </c>
      <c r="W1295" s="116"/>
    </row>
    <row r="1296">
      <c r="A1296" s="114" t="s">
        <v>39</v>
      </c>
      <c r="B1296" s="115"/>
      <c r="C1296" s="116"/>
      <c r="D1296" s="116"/>
      <c r="E1296" s="116" t="str">
        <f>IFERROR(__xludf.DUMMYFUNCTION("""COMPUTED_VALUE"""),"")</f>
        <v/>
      </c>
      <c r="F1296" s="117" t="s">
        <v>39</v>
      </c>
      <c r="G1296" s="116"/>
      <c r="H1296" s="117"/>
      <c r="I1296" s="117"/>
      <c r="J1296" s="117"/>
      <c r="K1296" s="117"/>
      <c r="L1296" s="116"/>
      <c r="M1296" s="117"/>
      <c r="N1296" s="118" t="str">
        <f>IFERROR(__xludf.DUMMYFUNCTION("""COMPUTED_VALUE"""),"")</f>
        <v/>
      </c>
      <c r="O1296" s="116"/>
      <c r="P1296" s="116"/>
      <c r="Q1296" s="116"/>
      <c r="R1296" s="116" t="s">
        <v>39</v>
      </c>
      <c r="S1296" s="116" t="s">
        <v>39</v>
      </c>
      <c r="T1296" s="104" t="s">
        <v>5248</v>
      </c>
      <c r="U1296" s="116"/>
      <c r="V1296" s="104" t="s">
        <v>5248</v>
      </c>
      <c r="W1296" s="116"/>
    </row>
    <row r="1297">
      <c r="A1297" s="114" t="s">
        <v>39</v>
      </c>
      <c r="B1297" s="115"/>
      <c r="C1297" s="116"/>
      <c r="D1297" s="116"/>
      <c r="E1297" s="116" t="str">
        <f>IFERROR(__xludf.DUMMYFUNCTION("""COMPUTED_VALUE"""),"")</f>
        <v/>
      </c>
      <c r="F1297" s="117" t="s">
        <v>39</v>
      </c>
      <c r="G1297" s="116"/>
      <c r="H1297" s="117"/>
      <c r="I1297" s="117"/>
      <c r="J1297" s="117"/>
      <c r="K1297" s="117"/>
      <c r="L1297" s="116"/>
      <c r="M1297" s="117"/>
      <c r="N1297" s="118" t="str">
        <f>IFERROR(__xludf.DUMMYFUNCTION("""COMPUTED_VALUE"""),"")</f>
        <v/>
      </c>
      <c r="O1297" s="116"/>
      <c r="P1297" s="116"/>
      <c r="Q1297" s="116"/>
      <c r="R1297" s="116" t="s">
        <v>39</v>
      </c>
      <c r="S1297" s="116" t="s">
        <v>39</v>
      </c>
      <c r="T1297" s="104" t="s">
        <v>5249</v>
      </c>
      <c r="U1297" s="116"/>
      <c r="V1297" s="104" t="s">
        <v>5249</v>
      </c>
      <c r="W1297" s="116"/>
    </row>
    <row r="1298">
      <c r="A1298" s="114" t="s">
        <v>39</v>
      </c>
      <c r="B1298" s="115"/>
      <c r="C1298" s="116"/>
      <c r="D1298" s="116"/>
      <c r="E1298" s="116" t="str">
        <f>IFERROR(__xludf.DUMMYFUNCTION("""COMPUTED_VALUE"""),"")</f>
        <v/>
      </c>
      <c r="F1298" s="117" t="s">
        <v>39</v>
      </c>
      <c r="G1298" s="116"/>
      <c r="H1298" s="117"/>
      <c r="I1298" s="117"/>
      <c r="J1298" s="117"/>
      <c r="K1298" s="117"/>
      <c r="L1298" s="116"/>
      <c r="M1298" s="117"/>
      <c r="N1298" s="118" t="str">
        <f>IFERROR(__xludf.DUMMYFUNCTION("""COMPUTED_VALUE"""),"")</f>
        <v/>
      </c>
      <c r="O1298" s="116"/>
      <c r="P1298" s="116"/>
      <c r="Q1298" s="116"/>
      <c r="R1298" s="116" t="s">
        <v>39</v>
      </c>
      <c r="S1298" s="116" t="s">
        <v>39</v>
      </c>
      <c r="T1298" s="104" t="s">
        <v>5250</v>
      </c>
      <c r="U1298" s="116"/>
      <c r="V1298" s="104" t="s">
        <v>5250</v>
      </c>
      <c r="W1298" s="116"/>
    </row>
    <row r="1299">
      <c r="A1299" s="114" t="s">
        <v>39</v>
      </c>
      <c r="B1299" s="115"/>
      <c r="C1299" s="116"/>
      <c r="D1299" s="116"/>
      <c r="E1299" s="116" t="str">
        <f>IFERROR(__xludf.DUMMYFUNCTION("""COMPUTED_VALUE"""),"")</f>
        <v/>
      </c>
      <c r="F1299" s="117" t="s">
        <v>39</v>
      </c>
      <c r="G1299" s="116"/>
      <c r="H1299" s="117"/>
      <c r="I1299" s="117"/>
      <c r="J1299" s="117"/>
      <c r="K1299" s="117"/>
      <c r="L1299" s="116"/>
      <c r="M1299" s="117"/>
      <c r="N1299" s="118" t="str">
        <f>IFERROR(__xludf.DUMMYFUNCTION("""COMPUTED_VALUE"""),"")</f>
        <v/>
      </c>
      <c r="O1299" s="116"/>
      <c r="P1299" s="116"/>
      <c r="Q1299" s="116"/>
      <c r="R1299" s="116" t="s">
        <v>39</v>
      </c>
      <c r="S1299" s="116" t="s">
        <v>39</v>
      </c>
      <c r="T1299" s="104" t="s">
        <v>5251</v>
      </c>
      <c r="U1299" s="116"/>
      <c r="V1299" s="104" t="s">
        <v>5251</v>
      </c>
      <c r="W1299" s="116"/>
    </row>
    <row r="1300">
      <c r="A1300" s="114" t="s">
        <v>39</v>
      </c>
      <c r="B1300" s="115"/>
      <c r="C1300" s="116"/>
      <c r="D1300" s="116"/>
      <c r="E1300" s="116" t="str">
        <f>IFERROR(__xludf.DUMMYFUNCTION("""COMPUTED_VALUE"""),"")</f>
        <v/>
      </c>
      <c r="F1300" s="117" t="s">
        <v>39</v>
      </c>
      <c r="G1300" s="116"/>
      <c r="H1300" s="117"/>
      <c r="I1300" s="117"/>
      <c r="J1300" s="117"/>
      <c r="K1300" s="117"/>
      <c r="L1300" s="116"/>
      <c r="M1300" s="117"/>
      <c r="N1300" s="118" t="str">
        <f>IFERROR(__xludf.DUMMYFUNCTION("""COMPUTED_VALUE"""),"")</f>
        <v/>
      </c>
      <c r="O1300" s="116"/>
      <c r="P1300" s="116"/>
      <c r="Q1300" s="116"/>
      <c r="R1300" s="116" t="s">
        <v>39</v>
      </c>
      <c r="S1300" s="116" t="s">
        <v>39</v>
      </c>
      <c r="T1300" s="104" t="s">
        <v>5252</v>
      </c>
      <c r="U1300" s="116"/>
      <c r="V1300" s="104" t="s">
        <v>5252</v>
      </c>
      <c r="W1300" s="116"/>
    </row>
    <row r="1301">
      <c r="A1301" s="114" t="s">
        <v>39</v>
      </c>
      <c r="B1301" s="115"/>
      <c r="C1301" s="116"/>
      <c r="D1301" s="116"/>
      <c r="E1301" s="116" t="str">
        <f>IFERROR(__xludf.DUMMYFUNCTION("""COMPUTED_VALUE"""),"")</f>
        <v/>
      </c>
      <c r="F1301" s="117" t="s">
        <v>39</v>
      </c>
      <c r="G1301" s="116"/>
      <c r="H1301" s="117"/>
      <c r="I1301" s="117"/>
      <c r="J1301" s="117"/>
      <c r="K1301" s="117"/>
      <c r="L1301" s="116"/>
      <c r="M1301" s="117"/>
      <c r="N1301" s="118" t="str">
        <f>IFERROR(__xludf.DUMMYFUNCTION("""COMPUTED_VALUE"""),"")</f>
        <v/>
      </c>
      <c r="O1301" s="116"/>
      <c r="P1301" s="116"/>
      <c r="Q1301" s="116"/>
      <c r="R1301" s="116" t="s">
        <v>39</v>
      </c>
      <c r="S1301" s="116" t="s">
        <v>39</v>
      </c>
      <c r="T1301" s="104" t="s">
        <v>5253</v>
      </c>
      <c r="U1301" s="116"/>
      <c r="V1301" s="104" t="s">
        <v>5253</v>
      </c>
      <c r="W1301" s="116"/>
    </row>
    <row r="1302">
      <c r="A1302" s="114" t="s">
        <v>39</v>
      </c>
      <c r="B1302" s="115"/>
      <c r="C1302" s="116"/>
      <c r="D1302" s="116"/>
      <c r="E1302" s="116" t="str">
        <f>IFERROR(__xludf.DUMMYFUNCTION("""COMPUTED_VALUE"""),"")</f>
        <v/>
      </c>
      <c r="F1302" s="117" t="s">
        <v>39</v>
      </c>
      <c r="G1302" s="116"/>
      <c r="H1302" s="117"/>
      <c r="I1302" s="117"/>
      <c r="J1302" s="117"/>
      <c r="K1302" s="117"/>
      <c r="L1302" s="116"/>
      <c r="M1302" s="117"/>
      <c r="N1302" s="118" t="str">
        <f>IFERROR(__xludf.DUMMYFUNCTION("""COMPUTED_VALUE"""),"")</f>
        <v/>
      </c>
      <c r="O1302" s="116"/>
      <c r="P1302" s="116"/>
      <c r="Q1302" s="116"/>
      <c r="R1302" s="116" t="s">
        <v>39</v>
      </c>
      <c r="S1302" s="116" t="s">
        <v>39</v>
      </c>
      <c r="T1302" s="104" t="s">
        <v>5254</v>
      </c>
      <c r="U1302" s="116"/>
      <c r="V1302" s="104" t="s">
        <v>5254</v>
      </c>
      <c r="W1302" s="116"/>
    </row>
    <row r="1303">
      <c r="A1303" s="114" t="s">
        <v>39</v>
      </c>
      <c r="B1303" s="115"/>
      <c r="C1303" s="116"/>
      <c r="D1303" s="116"/>
      <c r="E1303" s="116" t="str">
        <f>IFERROR(__xludf.DUMMYFUNCTION("""COMPUTED_VALUE"""),"")</f>
        <v/>
      </c>
      <c r="F1303" s="117" t="s">
        <v>39</v>
      </c>
      <c r="G1303" s="116"/>
      <c r="H1303" s="117"/>
      <c r="I1303" s="117"/>
      <c r="J1303" s="117"/>
      <c r="K1303" s="117"/>
      <c r="L1303" s="116"/>
      <c r="M1303" s="117"/>
      <c r="N1303" s="118" t="str">
        <f>IFERROR(__xludf.DUMMYFUNCTION("""COMPUTED_VALUE"""),"")</f>
        <v/>
      </c>
      <c r="O1303" s="116"/>
      <c r="P1303" s="116"/>
      <c r="Q1303" s="116"/>
      <c r="R1303" s="116" t="s">
        <v>39</v>
      </c>
      <c r="S1303" s="116" t="s">
        <v>39</v>
      </c>
      <c r="T1303" s="104" t="s">
        <v>5255</v>
      </c>
      <c r="U1303" s="116"/>
      <c r="V1303" s="104" t="s">
        <v>5255</v>
      </c>
      <c r="W1303" s="116"/>
    </row>
    <row r="1304">
      <c r="A1304" s="114" t="s">
        <v>39</v>
      </c>
      <c r="B1304" s="115"/>
      <c r="C1304" s="116"/>
      <c r="D1304" s="116"/>
      <c r="E1304" s="116" t="str">
        <f>IFERROR(__xludf.DUMMYFUNCTION("""COMPUTED_VALUE"""),"")</f>
        <v/>
      </c>
      <c r="F1304" s="117" t="s">
        <v>39</v>
      </c>
      <c r="G1304" s="116"/>
      <c r="H1304" s="117"/>
      <c r="I1304" s="117"/>
      <c r="J1304" s="117"/>
      <c r="K1304" s="117"/>
      <c r="L1304" s="116"/>
      <c r="M1304" s="117"/>
      <c r="N1304" s="118" t="str">
        <f>IFERROR(__xludf.DUMMYFUNCTION("""COMPUTED_VALUE"""),"")</f>
        <v/>
      </c>
      <c r="O1304" s="116"/>
      <c r="P1304" s="116"/>
      <c r="Q1304" s="116"/>
      <c r="R1304" s="116" t="s">
        <v>39</v>
      </c>
      <c r="S1304" s="116" t="s">
        <v>39</v>
      </c>
      <c r="T1304" s="104" t="s">
        <v>5256</v>
      </c>
      <c r="U1304" s="116"/>
      <c r="V1304" s="104" t="s">
        <v>5256</v>
      </c>
      <c r="W1304" s="116"/>
    </row>
    <row r="1305">
      <c r="A1305" s="114" t="s">
        <v>39</v>
      </c>
      <c r="B1305" s="115"/>
      <c r="C1305" s="116"/>
      <c r="D1305" s="116"/>
      <c r="E1305" s="116" t="str">
        <f>IFERROR(__xludf.DUMMYFUNCTION("""COMPUTED_VALUE"""),"")</f>
        <v/>
      </c>
      <c r="F1305" s="117" t="s">
        <v>39</v>
      </c>
      <c r="G1305" s="116"/>
      <c r="H1305" s="117"/>
      <c r="I1305" s="117"/>
      <c r="J1305" s="117"/>
      <c r="K1305" s="117"/>
      <c r="L1305" s="116"/>
      <c r="M1305" s="117"/>
      <c r="N1305" s="118" t="str">
        <f>IFERROR(__xludf.DUMMYFUNCTION("""COMPUTED_VALUE"""),"")</f>
        <v/>
      </c>
      <c r="O1305" s="116"/>
      <c r="P1305" s="116"/>
      <c r="Q1305" s="116"/>
      <c r="R1305" s="116" t="s">
        <v>39</v>
      </c>
      <c r="S1305" s="116" t="s">
        <v>39</v>
      </c>
      <c r="T1305" s="104" t="s">
        <v>5257</v>
      </c>
      <c r="U1305" s="116"/>
      <c r="V1305" s="104" t="s">
        <v>5257</v>
      </c>
      <c r="W1305" s="116"/>
    </row>
    <row r="1306">
      <c r="A1306" s="114" t="s">
        <v>39</v>
      </c>
      <c r="B1306" s="115"/>
      <c r="C1306" s="116"/>
      <c r="D1306" s="116"/>
      <c r="E1306" s="116" t="str">
        <f>IFERROR(__xludf.DUMMYFUNCTION("""COMPUTED_VALUE"""),"")</f>
        <v/>
      </c>
      <c r="F1306" s="117" t="s">
        <v>39</v>
      </c>
      <c r="G1306" s="116"/>
      <c r="H1306" s="117"/>
      <c r="I1306" s="117"/>
      <c r="J1306" s="117"/>
      <c r="K1306" s="117"/>
      <c r="L1306" s="116"/>
      <c r="M1306" s="117"/>
      <c r="N1306" s="118" t="str">
        <f>IFERROR(__xludf.DUMMYFUNCTION("""COMPUTED_VALUE"""),"")</f>
        <v/>
      </c>
      <c r="O1306" s="116"/>
      <c r="P1306" s="116"/>
      <c r="Q1306" s="116"/>
      <c r="R1306" s="116" t="s">
        <v>39</v>
      </c>
      <c r="S1306" s="116" t="s">
        <v>39</v>
      </c>
      <c r="T1306" s="104" t="s">
        <v>5258</v>
      </c>
      <c r="U1306" s="116"/>
      <c r="V1306" s="104" t="s">
        <v>5258</v>
      </c>
      <c r="W1306" s="116"/>
    </row>
    <row r="1307">
      <c r="A1307" s="114" t="s">
        <v>39</v>
      </c>
      <c r="B1307" s="115"/>
      <c r="C1307" s="116"/>
      <c r="D1307" s="116"/>
      <c r="E1307" s="116" t="str">
        <f>IFERROR(__xludf.DUMMYFUNCTION("""COMPUTED_VALUE"""),"")</f>
        <v/>
      </c>
      <c r="F1307" s="117" t="s">
        <v>39</v>
      </c>
      <c r="G1307" s="116"/>
      <c r="H1307" s="117"/>
      <c r="I1307" s="117"/>
      <c r="J1307" s="117"/>
      <c r="K1307" s="117"/>
      <c r="L1307" s="116"/>
      <c r="M1307" s="117"/>
      <c r="N1307" s="118" t="str">
        <f>IFERROR(__xludf.DUMMYFUNCTION("""COMPUTED_VALUE"""),"")</f>
        <v/>
      </c>
      <c r="O1307" s="116"/>
      <c r="P1307" s="116"/>
      <c r="Q1307" s="116"/>
      <c r="R1307" s="116" t="s">
        <v>39</v>
      </c>
      <c r="S1307" s="116" t="s">
        <v>39</v>
      </c>
      <c r="T1307" s="104" t="s">
        <v>5259</v>
      </c>
      <c r="U1307" s="116"/>
      <c r="V1307" s="104" t="s">
        <v>5259</v>
      </c>
      <c r="W1307" s="116"/>
    </row>
    <row r="1308">
      <c r="A1308" s="114" t="s">
        <v>39</v>
      </c>
      <c r="B1308" s="115"/>
      <c r="C1308" s="116"/>
      <c r="D1308" s="116"/>
      <c r="E1308" s="116" t="str">
        <f>IFERROR(__xludf.DUMMYFUNCTION("""COMPUTED_VALUE"""),"")</f>
        <v/>
      </c>
      <c r="F1308" s="117" t="s">
        <v>39</v>
      </c>
      <c r="G1308" s="116"/>
      <c r="H1308" s="117"/>
      <c r="I1308" s="117"/>
      <c r="J1308" s="117"/>
      <c r="K1308" s="117"/>
      <c r="L1308" s="116"/>
      <c r="M1308" s="117"/>
      <c r="N1308" s="118" t="str">
        <f>IFERROR(__xludf.DUMMYFUNCTION("""COMPUTED_VALUE"""),"")</f>
        <v/>
      </c>
      <c r="O1308" s="116"/>
      <c r="P1308" s="116"/>
      <c r="Q1308" s="116"/>
      <c r="R1308" s="116" t="s">
        <v>39</v>
      </c>
      <c r="S1308" s="116" t="s">
        <v>39</v>
      </c>
      <c r="T1308" s="104" t="s">
        <v>5260</v>
      </c>
      <c r="U1308" s="116"/>
      <c r="V1308" s="104" t="s">
        <v>5260</v>
      </c>
      <c r="W1308" s="116"/>
    </row>
    <row r="1309">
      <c r="A1309" s="114" t="s">
        <v>39</v>
      </c>
      <c r="B1309" s="115"/>
      <c r="C1309" s="116"/>
      <c r="D1309" s="116"/>
      <c r="E1309" s="116" t="str">
        <f>IFERROR(__xludf.DUMMYFUNCTION("""COMPUTED_VALUE"""),"")</f>
        <v/>
      </c>
      <c r="F1309" s="117" t="s">
        <v>39</v>
      </c>
      <c r="G1309" s="116"/>
      <c r="H1309" s="117"/>
      <c r="I1309" s="117"/>
      <c r="J1309" s="117"/>
      <c r="K1309" s="117"/>
      <c r="L1309" s="116"/>
      <c r="M1309" s="117"/>
      <c r="N1309" s="118" t="str">
        <f>IFERROR(__xludf.DUMMYFUNCTION("""COMPUTED_VALUE"""),"")</f>
        <v/>
      </c>
      <c r="O1309" s="116"/>
      <c r="P1309" s="116"/>
      <c r="Q1309" s="116"/>
      <c r="R1309" s="116" t="s">
        <v>39</v>
      </c>
      <c r="S1309" s="116" t="s">
        <v>39</v>
      </c>
      <c r="T1309" s="104" t="s">
        <v>5261</v>
      </c>
      <c r="U1309" s="116"/>
      <c r="V1309" s="104" t="s">
        <v>5261</v>
      </c>
      <c r="W1309" s="116"/>
    </row>
    <row r="1310">
      <c r="A1310" s="114" t="s">
        <v>39</v>
      </c>
      <c r="B1310" s="115"/>
      <c r="C1310" s="116"/>
      <c r="D1310" s="116"/>
      <c r="E1310" s="116" t="str">
        <f>IFERROR(__xludf.DUMMYFUNCTION("""COMPUTED_VALUE"""),"")</f>
        <v/>
      </c>
      <c r="F1310" s="117" t="s">
        <v>39</v>
      </c>
      <c r="G1310" s="116"/>
      <c r="H1310" s="117"/>
      <c r="I1310" s="117"/>
      <c r="J1310" s="117"/>
      <c r="K1310" s="117"/>
      <c r="L1310" s="116"/>
      <c r="M1310" s="117"/>
      <c r="N1310" s="118" t="str">
        <f>IFERROR(__xludf.DUMMYFUNCTION("""COMPUTED_VALUE"""),"")</f>
        <v/>
      </c>
      <c r="O1310" s="116"/>
      <c r="P1310" s="116"/>
      <c r="Q1310" s="116"/>
      <c r="R1310" s="116" t="s">
        <v>39</v>
      </c>
      <c r="S1310" s="116" t="s">
        <v>39</v>
      </c>
      <c r="T1310" s="104" t="s">
        <v>5262</v>
      </c>
      <c r="U1310" s="116"/>
      <c r="V1310" s="104" t="s">
        <v>5262</v>
      </c>
      <c r="W1310" s="116"/>
    </row>
    <row r="1311">
      <c r="A1311" s="114" t="s">
        <v>39</v>
      </c>
      <c r="B1311" s="115"/>
      <c r="C1311" s="116"/>
      <c r="D1311" s="116"/>
      <c r="E1311" s="116" t="str">
        <f>IFERROR(__xludf.DUMMYFUNCTION("""COMPUTED_VALUE"""),"")</f>
        <v/>
      </c>
      <c r="F1311" s="117" t="s">
        <v>39</v>
      </c>
      <c r="G1311" s="116"/>
      <c r="H1311" s="117"/>
      <c r="I1311" s="117"/>
      <c r="J1311" s="117"/>
      <c r="K1311" s="117"/>
      <c r="L1311" s="116"/>
      <c r="M1311" s="117"/>
      <c r="N1311" s="118" t="str">
        <f>IFERROR(__xludf.DUMMYFUNCTION("""COMPUTED_VALUE"""),"")</f>
        <v/>
      </c>
      <c r="O1311" s="116"/>
      <c r="P1311" s="116"/>
      <c r="Q1311" s="116"/>
      <c r="R1311" s="116" t="s">
        <v>39</v>
      </c>
      <c r="S1311" s="116" t="s">
        <v>39</v>
      </c>
      <c r="T1311" s="104" t="s">
        <v>5263</v>
      </c>
      <c r="U1311" s="116"/>
      <c r="V1311" s="104" t="s">
        <v>5263</v>
      </c>
      <c r="W1311" s="116"/>
    </row>
    <row r="1312">
      <c r="A1312" s="114" t="s">
        <v>39</v>
      </c>
      <c r="B1312" s="115"/>
      <c r="C1312" s="116"/>
      <c r="D1312" s="116"/>
      <c r="E1312" s="116" t="str">
        <f>IFERROR(__xludf.DUMMYFUNCTION("""COMPUTED_VALUE"""),"")</f>
        <v/>
      </c>
      <c r="F1312" s="117" t="s">
        <v>39</v>
      </c>
      <c r="G1312" s="116"/>
      <c r="H1312" s="117"/>
      <c r="I1312" s="117"/>
      <c r="J1312" s="117"/>
      <c r="K1312" s="117"/>
      <c r="L1312" s="116"/>
      <c r="M1312" s="117"/>
      <c r="N1312" s="118" t="str">
        <f>IFERROR(__xludf.DUMMYFUNCTION("""COMPUTED_VALUE"""),"")</f>
        <v/>
      </c>
      <c r="O1312" s="116"/>
      <c r="P1312" s="116"/>
      <c r="Q1312" s="116"/>
      <c r="R1312" s="116" t="s">
        <v>39</v>
      </c>
      <c r="S1312" s="116" t="s">
        <v>39</v>
      </c>
      <c r="T1312" s="104" t="s">
        <v>5264</v>
      </c>
      <c r="U1312" s="116"/>
      <c r="V1312" s="104" t="s">
        <v>5264</v>
      </c>
      <c r="W1312" s="116"/>
    </row>
    <row r="1313">
      <c r="A1313" s="114" t="s">
        <v>39</v>
      </c>
      <c r="B1313" s="115"/>
      <c r="C1313" s="116"/>
      <c r="D1313" s="116"/>
      <c r="E1313" s="116" t="str">
        <f>IFERROR(__xludf.DUMMYFUNCTION("""COMPUTED_VALUE"""),"")</f>
        <v/>
      </c>
      <c r="F1313" s="117" t="s">
        <v>39</v>
      </c>
      <c r="G1313" s="116"/>
      <c r="H1313" s="117"/>
      <c r="I1313" s="117"/>
      <c r="J1313" s="117"/>
      <c r="K1313" s="117"/>
      <c r="L1313" s="116"/>
      <c r="M1313" s="117"/>
      <c r="N1313" s="118" t="str">
        <f>IFERROR(__xludf.DUMMYFUNCTION("""COMPUTED_VALUE"""),"")</f>
        <v/>
      </c>
      <c r="O1313" s="116"/>
      <c r="P1313" s="116"/>
      <c r="Q1313" s="116"/>
      <c r="R1313" s="116" t="s">
        <v>39</v>
      </c>
      <c r="S1313" s="116" t="s">
        <v>39</v>
      </c>
      <c r="T1313" s="104" t="s">
        <v>5265</v>
      </c>
      <c r="U1313" s="116"/>
      <c r="V1313" s="104" t="s">
        <v>5265</v>
      </c>
      <c r="W1313" s="116"/>
    </row>
    <row r="1314">
      <c r="A1314" s="114" t="s">
        <v>39</v>
      </c>
      <c r="B1314" s="115"/>
      <c r="C1314" s="116"/>
      <c r="D1314" s="116"/>
      <c r="E1314" s="116" t="str">
        <f>IFERROR(__xludf.DUMMYFUNCTION("""COMPUTED_VALUE"""),"")</f>
        <v/>
      </c>
      <c r="F1314" s="117" t="s">
        <v>39</v>
      </c>
      <c r="G1314" s="116"/>
      <c r="H1314" s="117"/>
      <c r="I1314" s="117"/>
      <c r="J1314" s="117"/>
      <c r="K1314" s="117"/>
      <c r="L1314" s="116"/>
      <c r="M1314" s="117"/>
      <c r="N1314" s="118" t="str">
        <f>IFERROR(__xludf.DUMMYFUNCTION("""COMPUTED_VALUE"""),"")</f>
        <v/>
      </c>
      <c r="O1314" s="116"/>
      <c r="P1314" s="116"/>
      <c r="Q1314" s="116"/>
      <c r="R1314" s="116" t="s">
        <v>39</v>
      </c>
      <c r="S1314" s="116" t="s">
        <v>39</v>
      </c>
      <c r="T1314" s="104" t="s">
        <v>5266</v>
      </c>
      <c r="U1314" s="116"/>
      <c r="V1314" s="104" t="s">
        <v>5266</v>
      </c>
      <c r="W1314" s="116"/>
    </row>
    <row r="1315">
      <c r="A1315" s="114" t="s">
        <v>39</v>
      </c>
      <c r="B1315" s="115"/>
      <c r="C1315" s="116"/>
      <c r="D1315" s="116"/>
      <c r="E1315" s="116" t="str">
        <f>IFERROR(__xludf.DUMMYFUNCTION("""COMPUTED_VALUE"""),"")</f>
        <v/>
      </c>
      <c r="F1315" s="117" t="s">
        <v>39</v>
      </c>
      <c r="G1315" s="116"/>
      <c r="H1315" s="117"/>
      <c r="I1315" s="117"/>
      <c r="J1315" s="117"/>
      <c r="K1315" s="117"/>
      <c r="L1315" s="116"/>
      <c r="M1315" s="117"/>
      <c r="N1315" s="118" t="str">
        <f>IFERROR(__xludf.DUMMYFUNCTION("""COMPUTED_VALUE"""),"")</f>
        <v/>
      </c>
      <c r="O1315" s="116"/>
      <c r="P1315" s="116"/>
      <c r="Q1315" s="116"/>
      <c r="R1315" s="116" t="s">
        <v>39</v>
      </c>
      <c r="S1315" s="116" t="s">
        <v>39</v>
      </c>
      <c r="T1315" s="104" t="s">
        <v>5267</v>
      </c>
      <c r="U1315" s="116"/>
      <c r="V1315" s="104" t="s">
        <v>5267</v>
      </c>
      <c r="W1315" s="116"/>
    </row>
    <row r="1316">
      <c r="A1316" s="114" t="s">
        <v>39</v>
      </c>
      <c r="B1316" s="115"/>
      <c r="C1316" s="116"/>
      <c r="D1316" s="116"/>
      <c r="E1316" s="116" t="str">
        <f>IFERROR(__xludf.DUMMYFUNCTION("""COMPUTED_VALUE"""),"")</f>
        <v/>
      </c>
      <c r="F1316" s="117" t="s">
        <v>39</v>
      </c>
      <c r="G1316" s="116"/>
      <c r="H1316" s="117"/>
      <c r="I1316" s="117"/>
      <c r="J1316" s="117"/>
      <c r="K1316" s="117"/>
      <c r="L1316" s="116"/>
      <c r="M1316" s="117"/>
      <c r="N1316" s="118" t="str">
        <f>IFERROR(__xludf.DUMMYFUNCTION("""COMPUTED_VALUE"""),"")</f>
        <v/>
      </c>
      <c r="O1316" s="116"/>
      <c r="P1316" s="116"/>
      <c r="Q1316" s="116"/>
      <c r="R1316" s="116" t="s">
        <v>39</v>
      </c>
      <c r="S1316" s="116" t="s">
        <v>39</v>
      </c>
      <c r="T1316" s="104" t="s">
        <v>5268</v>
      </c>
      <c r="U1316" s="116"/>
      <c r="V1316" s="104" t="s">
        <v>5268</v>
      </c>
      <c r="W1316" s="116"/>
    </row>
    <row r="1317">
      <c r="A1317" s="114" t="s">
        <v>39</v>
      </c>
      <c r="B1317" s="115"/>
      <c r="C1317" s="116"/>
      <c r="D1317" s="116"/>
      <c r="E1317" s="116" t="str">
        <f>IFERROR(__xludf.DUMMYFUNCTION("""COMPUTED_VALUE"""),"")</f>
        <v/>
      </c>
      <c r="F1317" s="117" t="s">
        <v>39</v>
      </c>
      <c r="G1317" s="116"/>
      <c r="H1317" s="117"/>
      <c r="I1317" s="117"/>
      <c r="J1317" s="117"/>
      <c r="K1317" s="117"/>
      <c r="L1317" s="116"/>
      <c r="M1317" s="117"/>
      <c r="N1317" s="118" t="str">
        <f>IFERROR(__xludf.DUMMYFUNCTION("""COMPUTED_VALUE"""),"")</f>
        <v/>
      </c>
      <c r="O1317" s="116"/>
      <c r="P1317" s="116"/>
      <c r="Q1317" s="116"/>
      <c r="R1317" s="116" t="s">
        <v>39</v>
      </c>
      <c r="S1317" s="116" t="s">
        <v>39</v>
      </c>
      <c r="T1317" s="104" t="s">
        <v>5269</v>
      </c>
      <c r="U1317" s="116"/>
      <c r="V1317" s="104" t="s">
        <v>5269</v>
      </c>
      <c r="W1317" s="116"/>
    </row>
    <row r="1318">
      <c r="A1318" s="114" t="s">
        <v>39</v>
      </c>
      <c r="B1318" s="115"/>
      <c r="C1318" s="116"/>
      <c r="D1318" s="116"/>
      <c r="E1318" s="116" t="str">
        <f>IFERROR(__xludf.DUMMYFUNCTION("""COMPUTED_VALUE"""),"")</f>
        <v/>
      </c>
      <c r="F1318" s="117" t="s">
        <v>39</v>
      </c>
      <c r="G1318" s="116"/>
      <c r="H1318" s="117"/>
      <c r="I1318" s="117"/>
      <c r="J1318" s="117"/>
      <c r="K1318" s="117"/>
      <c r="L1318" s="116"/>
      <c r="M1318" s="117"/>
      <c r="N1318" s="118" t="str">
        <f>IFERROR(__xludf.DUMMYFUNCTION("""COMPUTED_VALUE"""),"")</f>
        <v/>
      </c>
      <c r="O1318" s="116"/>
      <c r="P1318" s="116"/>
      <c r="Q1318" s="116"/>
      <c r="R1318" s="116" t="s">
        <v>39</v>
      </c>
      <c r="S1318" s="116" t="s">
        <v>39</v>
      </c>
      <c r="T1318" s="104" t="s">
        <v>5270</v>
      </c>
      <c r="U1318" s="116"/>
      <c r="V1318" s="104" t="s">
        <v>5270</v>
      </c>
      <c r="W1318" s="116"/>
    </row>
    <row r="1319">
      <c r="A1319" s="114" t="s">
        <v>39</v>
      </c>
      <c r="B1319" s="115"/>
      <c r="C1319" s="116"/>
      <c r="D1319" s="116"/>
      <c r="E1319" s="116" t="str">
        <f>IFERROR(__xludf.DUMMYFUNCTION("""COMPUTED_VALUE"""),"")</f>
        <v/>
      </c>
      <c r="F1319" s="117" t="s">
        <v>39</v>
      </c>
      <c r="G1319" s="116"/>
      <c r="H1319" s="117"/>
      <c r="I1319" s="117"/>
      <c r="J1319" s="117"/>
      <c r="K1319" s="117"/>
      <c r="L1319" s="116"/>
      <c r="M1319" s="117"/>
      <c r="N1319" s="118" t="str">
        <f>IFERROR(__xludf.DUMMYFUNCTION("""COMPUTED_VALUE"""),"")</f>
        <v/>
      </c>
      <c r="O1319" s="116"/>
      <c r="P1319" s="116"/>
      <c r="Q1319" s="116"/>
      <c r="R1319" s="116" t="s">
        <v>39</v>
      </c>
      <c r="S1319" s="116" t="s">
        <v>39</v>
      </c>
      <c r="T1319" s="104" t="s">
        <v>5271</v>
      </c>
      <c r="U1319" s="116"/>
      <c r="V1319" s="104" t="s">
        <v>5271</v>
      </c>
      <c r="W1319" s="116"/>
    </row>
    <row r="1320">
      <c r="A1320" s="114" t="s">
        <v>39</v>
      </c>
      <c r="B1320" s="115"/>
      <c r="C1320" s="116"/>
      <c r="D1320" s="116"/>
      <c r="E1320" s="116" t="str">
        <f>IFERROR(__xludf.DUMMYFUNCTION("""COMPUTED_VALUE"""),"")</f>
        <v/>
      </c>
      <c r="F1320" s="117" t="s">
        <v>39</v>
      </c>
      <c r="G1320" s="116"/>
      <c r="H1320" s="117"/>
      <c r="I1320" s="117"/>
      <c r="J1320" s="117"/>
      <c r="K1320" s="117"/>
      <c r="L1320" s="116"/>
      <c r="M1320" s="117"/>
      <c r="N1320" s="118" t="str">
        <f>IFERROR(__xludf.DUMMYFUNCTION("""COMPUTED_VALUE"""),"")</f>
        <v/>
      </c>
      <c r="O1320" s="116"/>
      <c r="P1320" s="116"/>
      <c r="Q1320" s="116"/>
      <c r="R1320" s="116" t="s">
        <v>39</v>
      </c>
      <c r="S1320" s="116" t="s">
        <v>39</v>
      </c>
      <c r="T1320" s="104" t="s">
        <v>5272</v>
      </c>
      <c r="U1320" s="116"/>
      <c r="V1320" s="104" t="s">
        <v>5272</v>
      </c>
      <c r="W1320" s="116"/>
    </row>
    <row r="1321">
      <c r="A1321" s="114" t="s">
        <v>39</v>
      </c>
      <c r="B1321" s="115"/>
      <c r="C1321" s="116"/>
      <c r="D1321" s="116"/>
      <c r="E1321" s="116" t="str">
        <f>IFERROR(__xludf.DUMMYFUNCTION("""COMPUTED_VALUE"""),"")</f>
        <v/>
      </c>
      <c r="F1321" s="117" t="s">
        <v>39</v>
      </c>
      <c r="G1321" s="116"/>
      <c r="H1321" s="117"/>
      <c r="I1321" s="117"/>
      <c r="J1321" s="117"/>
      <c r="K1321" s="117"/>
      <c r="L1321" s="116"/>
      <c r="M1321" s="117"/>
      <c r="N1321" s="118" t="str">
        <f>IFERROR(__xludf.DUMMYFUNCTION("""COMPUTED_VALUE"""),"")</f>
        <v/>
      </c>
      <c r="O1321" s="116"/>
      <c r="P1321" s="116"/>
      <c r="Q1321" s="116"/>
      <c r="R1321" s="116" t="s">
        <v>39</v>
      </c>
      <c r="S1321" s="116" t="s">
        <v>39</v>
      </c>
      <c r="T1321" s="104" t="s">
        <v>5273</v>
      </c>
      <c r="U1321" s="116"/>
      <c r="V1321" s="104" t="s">
        <v>5273</v>
      </c>
      <c r="W1321" s="116"/>
    </row>
    <row r="1322">
      <c r="A1322" s="114" t="s">
        <v>39</v>
      </c>
      <c r="B1322" s="115"/>
      <c r="C1322" s="116"/>
      <c r="D1322" s="116"/>
      <c r="E1322" s="116" t="str">
        <f>IFERROR(__xludf.DUMMYFUNCTION("""COMPUTED_VALUE"""),"")</f>
        <v/>
      </c>
      <c r="F1322" s="117" t="s">
        <v>39</v>
      </c>
      <c r="G1322" s="116"/>
      <c r="H1322" s="117"/>
      <c r="I1322" s="117"/>
      <c r="J1322" s="117"/>
      <c r="K1322" s="117"/>
      <c r="L1322" s="116"/>
      <c r="M1322" s="117"/>
      <c r="N1322" s="118" t="str">
        <f>IFERROR(__xludf.DUMMYFUNCTION("""COMPUTED_VALUE"""),"")</f>
        <v/>
      </c>
      <c r="O1322" s="116"/>
      <c r="P1322" s="116"/>
      <c r="Q1322" s="116"/>
      <c r="R1322" s="116" t="s">
        <v>39</v>
      </c>
      <c r="S1322" s="116" t="s">
        <v>39</v>
      </c>
      <c r="T1322" s="104" t="s">
        <v>5274</v>
      </c>
      <c r="U1322" s="116"/>
      <c r="V1322" s="104" t="s">
        <v>5274</v>
      </c>
      <c r="W1322" s="116"/>
    </row>
    <row r="1323">
      <c r="A1323" s="114" t="s">
        <v>39</v>
      </c>
      <c r="B1323" s="115"/>
      <c r="C1323" s="116"/>
      <c r="D1323" s="116"/>
      <c r="E1323" s="116" t="str">
        <f>IFERROR(__xludf.DUMMYFUNCTION("""COMPUTED_VALUE"""),"")</f>
        <v/>
      </c>
      <c r="F1323" s="117" t="s">
        <v>39</v>
      </c>
      <c r="G1323" s="116"/>
      <c r="H1323" s="117"/>
      <c r="I1323" s="117"/>
      <c r="J1323" s="117"/>
      <c r="K1323" s="117"/>
      <c r="L1323" s="116"/>
      <c r="M1323" s="117"/>
      <c r="N1323" s="118" t="str">
        <f>IFERROR(__xludf.DUMMYFUNCTION("""COMPUTED_VALUE"""),"")</f>
        <v/>
      </c>
      <c r="O1323" s="116"/>
      <c r="P1323" s="116"/>
      <c r="Q1323" s="116"/>
      <c r="R1323" s="116" t="s">
        <v>39</v>
      </c>
      <c r="S1323" s="116" t="s">
        <v>39</v>
      </c>
      <c r="T1323" s="104" t="s">
        <v>5275</v>
      </c>
      <c r="U1323" s="116"/>
      <c r="V1323" s="104" t="s">
        <v>5275</v>
      </c>
      <c r="W1323" s="116"/>
    </row>
    <row r="1324">
      <c r="A1324" s="114" t="s">
        <v>39</v>
      </c>
      <c r="B1324" s="115"/>
      <c r="C1324" s="116"/>
      <c r="D1324" s="116"/>
      <c r="E1324" s="116" t="str">
        <f>IFERROR(__xludf.DUMMYFUNCTION("""COMPUTED_VALUE"""),"")</f>
        <v/>
      </c>
      <c r="F1324" s="117" t="s">
        <v>39</v>
      </c>
      <c r="G1324" s="116"/>
      <c r="H1324" s="117"/>
      <c r="I1324" s="117"/>
      <c r="J1324" s="117"/>
      <c r="K1324" s="117"/>
      <c r="L1324" s="116"/>
      <c r="M1324" s="117"/>
      <c r="N1324" s="118" t="str">
        <f>IFERROR(__xludf.DUMMYFUNCTION("""COMPUTED_VALUE"""),"")</f>
        <v/>
      </c>
      <c r="O1324" s="116"/>
      <c r="P1324" s="116"/>
      <c r="Q1324" s="116"/>
      <c r="R1324" s="116" t="s">
        <v>39</v>
      </c>
      <c r="S1324" s="116" t="s">
        <v>39</v>
      </c>
      <c r="T1324" s="104" t="s">
        <v>5276</v>
      </c>
      <c r="U1324" s="116"/>
      <c r="V1324" s="104" t="s">
        <v>5276</v>
      </c>
      <c r="W1324" s="116"/>
    </row>
    <row r="1325">
      <c r="A1325" s="114" t="s">
        <v>39</v>
      </c>
      <c r="B1325" s="115"/>
      <c r="C1325" s="116"/>
      <c r="D1325" s="116"/>
      <c r="E1325" s="116" t="str">
        <f>IFERROR(__xludf.DUMMYFUNCTION("""COMPUTED_VALUE"""),"")</f>
        <v/>
      </c>
      <c r="F1325" s="117" t="s">
        <v>39</v>
      </c>
      <c r="G1325" s="116"/>
      <c r="H1325" s="117"/>
      <c r="I1325" s="117"/>
      <c r="J1325" s="117"/>
      <c r="K1325" s="117"/>
      <c r="L1325" s="116"/>
      <c r="M1325" s="117"/>
      <c r="N1325" s="118" t="str">
        <f>IFERROR(__xludf.DUMMYFUNCTION("""COMPUTED_VALUE"""),"")</f>
        <v/>
      </c>
      <c r="O1325" s="116"/>
      <c r="P1325" s="116"/>
      <c r="Q1325" s="116"/>
      <c r="R1325" s="116" t="s">
        <v>39</v>
      </c>
      <c r="S1325" s="116" t="s">
        <v>39</v>
      </c>
      <c r="T1325" s="104" t="s">
        <v>5277</v>
      </c>
      <c r="U1325" s="116"/>
      <c r="V1325" s="104" t="s">
        <v>5277</v>
      </c>
      <c r="W1325" s="116"/>
    </row>
    <row r="1326">
      <c r="A1326" s="114" t="s">
        <v>39</v>
      </c>
      <c r="B1326" s="115"/>
      <c r="C1326" s="116"/>
      <c r="D1326" s="116"/>
      <c r="E1326" s="116" t="str">
        <f>IFERROR(__xludf.DUMMYFUNCTION("""COMPUTED_VALUE"""),"")</f>
        <v/>
      </c>
      <c r="F1326" s="117" t="s">
        <v>39</v>
      </c>
      <c r="G1326" s="116"/>
      <c r="H1326" s="117"/>
      <c r="I1326" s="117"/>
      <c r="J1326" s="117"/>
      <c r="K1326" s="117"/>
      <c r="L1326" s="116"/>
      <c r="M1326" s="117"/>
      <c r="N1326" s="118" t="str">
        <f>IFERROR(__xludf.DUMMYFUNCTION("""COMPUTED_VALUE"""),"")</f>
        <v/>
      </c>
      <c r="O1326" s="116"/>
      <c r="P1326" s="116"/>
      <c r="Q1326" s="116"/>
      <c r="R1326" s="116" t="s">
        <v>39</v>
      </c>
      <c r="S1326" s="116" t="s">
        <v>39</v>
      </c>
      <c r="T1326" s="104" t="s">
        <v>5278</v>
      </c>
      <c r="U1326" s="116"/>
      <c r="V1326" s="104" t="s">
        <v>5278</v>
      </c>
      <c r="W1326" s="116"/>
    </row>
    <row r="1327">
      <c r="A1327" s="114" t="s">
        <v>39</v>
      </c>
      <c r="B1327" s="115"/>
      <c r="C1327" s="116"/>
      <c r="D1327" s="116"/>
      <c r="E1327" s="116" t="str">
        <f>IFERROR(__xludf.DUMMYFUNCTION("""COMPUTED_VALUE"""),"")</f>
        <v/>
      </c>
      <c r="F1327" s="117" t="s">
        <v>39</v>
      </c>
      <c r="G1327" s="116"/>
      <c r="H1327" s="117"/>
      <c r="I1327" s="117"/>
      <c r="J1327" s="117"/>
      <c r="K1327" s="117"/>
      <c r="L1327" s="116"/>
      <c r="M1327" s="117"/>
      <c r="N1327" s="118" t="str">
        <f>IFERROR(__xludf.DUMMYFUNCTION("""COMPUTED_VALUE"""),"")</f>
        <v/>
      </c>
      <c r="O1327" s="116"/>
      <c r="P1327" s="116"/>
      <c r="Q1327" s="116"/>
      <c r="R1327" s="116" t="s">
        <v>39</v>
      </c>
      <c r="S1327" s="116" t="s">
        <v>39</v>
      </c>
      <c r="T1327" s="104" t="s">
        <v>5279</v>
      </c>
      <c r="U1327" s="116"/>
      <c r="V1327" s="104" t="s">
        <v>5279</v>
      </c>
      <c r="W1327" s="116"/>
    </row>
    <row r="1328">
      <c r="A1328" s="114" t="s">
        <v>39</v>
      </c>
      <c r="B1328" s="115"/>
      <c r="C1328" s="116"/>
      <c r="D1328" s="116"/>
      <c r="E1328" s="116" t="str">
        <f>IFERROR(__xludf.DUMMYFUNCTION("""COMPUTED_VALUE"""),"")</f>
        <v/>
      </c>
      <c r="F1328" s="117" t="s">
        <v>39</v>
      </c>
      <c r="G1328" s="116"/>
      <c r="H1328" s="117"/>
      <c r="I1328" s="117"/>
      <c r="J1328" s="117"/>
      <c r="K1328" s="117"/>
      <c r="L1328" s="116"/>
      <c r="M1328" s="117"/>
      <c r="N1328" s="118" t="str">
        <f>IFERROR(__xludf.DUMMYFUNCTION("""COMPUTED_VALUE"""),"")</f>
        <v/>
      </c>
      <c r="O1328" s="116"/>
      <c r="P1328" s="116"/>
      <c r="Q1328" s="116"/>
      <c r="R1328" s="116" t="s">
        <v>39</v>
      </c>
      <c r="S1328" s="116" t="s">
        <v>39</v>
      </c>
      <c r="T1328" s="104" t="s">
        <v>5280</v>
      </c>
      <c r="U1328" s="116"/>
      <c r="V1328" s="104" t="s">
        <v>5280</v>
      </c>
      <c r="W1328" s="116"/>
    </row>
    <row r="1329">
      <c r="A1329" s="114" t="s">
        <v>39</v>
      </c>
      <c r="B1329" s="115"/>
      <c r="C1329" s="116"/>
      <c r="D1329" s="116"/>
      <c r="E1329" s="116" t="str">
        <f>IFERROR(__xludf.DUMMYFUNCTION("""COMPUTED_VALUE"""),"")</f>
        <v/>
      </c>
      <c r="F1329" s="117" t="s">
        <v>39</v>
      </c>
      <c r="G1329" s="116"/>
      <c r="H1329" s="117"/>
      <c r="I1329" s="117"/>
      <c r="J1329" s="117"/>
      <c r="K1329" s="117"/>
      <c r="L1329" s="116"/>
      <c r="M1329" s="117"/>
      <c r="N1329" s="118" t="str">
        <f>IFERROR(__xludf.DUMMYFUNCTION("""COMPUTED_VALUE"""),"")</f>
        <v/>
      </c>
      <c r="O1329" s="116"/>
      <c r="P1329" s="116"/>
      <c r="Q1329" s="116"/>
      <c r="R1329" s="116" t="s">
        <v>39</v>
      </c>
      <c r="S1329" s="116" t="s">
        <v>39</v>
      </c>
      <c r="T1329" s="104" t="s">
        <v>5281</v>
      </c>
      <c r="U1329" s="116"/>
      <c r="V1329" s="104" t="s">
        <v>5281</v>
      </c>
      <c r="W1329" s="116"/>
    </row>
    <row r="1330">
      <c r="A1330" s="114" t="s">
        <v>39</v>
      </c>
      <c r="B1330" s="115"/>
      <c r="C1330" s="116"/>
      <c r="D1330" s="116"/>
      <c r="E1330" s="116" t="str">
        <f>IFERROR(__xludf.DUMMYFUNCTION("""COMPUTED_VALUE"""),"")</f>
        <v/>
      </c>
      <c r="F1330" s="117" t="s">
        <v>39</v>
      </c>
      <c r="G1330" s="116"/>
      <c r="H1330" s="117"/>
      <c r="I1330" s="117"/>
      <c r="J1330" s="117"/>
      <c r="K1330" s="117"/>
      <c r="L1330" s="116"/>
      <c r="M1330" s="117"/>
      <c r="N1330" s="118" t="str">
        <f>IFERROR(__xludf.DUMMYFUNCTION("""COMPUTED_VALUE"""),"")</f>
        <v/>
      </c>
      <c r="O1330" s="116"/>
      <c r="P1330" s="116"/>
      <c r="Q1330" s="116"/>
      <c r="R1330" s="116" t="s">
        <v>39</v>
      </c>
      <c r="S1330" s="116" t="s">
        <v>39</v>
      </c>
      <c r="T1330" s="104" t="s">
        <v>5282</v>
      </c>
      <c r="U1330" s="116"/>
      <c r="V1330" s="104" t="s">
        <v>5282</v>
      </c>
      <c r="W1330" s="116"/>
    </row>
    <row r="1331">
      <c r="A1331" s="114" t="s">
        <v>39</v>
      </c>
      <c r="B1331" s="115"/>
      <c r="C1331" s="116"/>
      <c r="D1331" s="116"/>
      <c r="E1331" s="116" t="str">
        <f>IFERROR(__xludf.DUMMYFUNCTION("""COMPUTED_VALUE"""),"")</f>
        <v/>
      </c>
      <c r="F1331" s="117" t="s">
        <v>39</v>
      </c>
      <c r="G1331" s="116"/>
      <c r="H1331" s="117"/>
      <c r="I1331" s="117"/>
      <c r="J1331" s="117"/>
      <c r="K1331" s="117"/>
      <c r="L1331" s="116"/>
      <c r="M1331" s="117"/>
      <c r="N1331" s="118" t="str">
        <f>IFERROR(__xludf.DUMMYFUNCTION("""COMPUTED_VALUE"""),"")</f>
        <v/>
      </c>
      <c r="O1331" s="116"/>
      <c r="P1331" s="116"/>
      <c r="Q1331" s="116"/>
      <c r="R1331" s="116" t="s">
        <v>39</v>
      </c>
      <c r="S1331" s="116" t="s">
        <v>39</v>
      </c>
      <c r="T1331" s="104" t="s">
        <v>5283</v>
      </c>
      <c r="U1331" s="116"/>
      <c r="V1331" s="104" t="s">
        <v>5283</v>
      </c>
      <c r="W1331" s="116"/>
    </row>
    <row r="1332">
      <c r="A1332" s="114" t="s">
        <v>39</v>
      </c>
      <c r="B1332" s="115"/>
      <c r="C1332" s="116"/>
      <c r="D1332" s="116"/>
      <c r="E1332" s="116" t="str">
        <f>IFERROR(__xludf.DUMMYFUNCTION("""COMPUTED_VALUE"""),"")</f>
        <v/>
      </c>
      <c r="F1332" s="117" t="s">
        <v>39</v>
      </c>
      <c r="G1332" s="116"/>
      <c r="H1332" s="117"/>
      <c r="I1332" s="117"/>
      <c r="J1332" s="117"/>
      <c r="K1332" s="117"/>
      <c r="L1332" s="116"/>
      <c r="M1332" s="117"/>
      <c r="N1332" s="118" t="str">
        <f>IFERROR(__xludf.DUMMYFUNCTION("""COMPUTED_VALUE"""),"")</f>
        <v/>
      </c>
      <c r="O1332" s="116"/>
      <c r="P1332" s="116"/>
      <c r="Q1332" s="116"/>
      <c r="R1332" s="116" t="s">
        <v>39</v>
      </c>
      <c r="S1332" s="116" t="s">
        <v>39</v>
      </c>
      <c r="T1332" s="104" t="s">
        <v>5284</v>
      </c>
      <c r="U1332" s="116"/>
      <c r="V1332" s="104" t="s">
        <v>5284</v>
      </c>
      <c r="W1332" s="116"/>
    </row>
    <row r="1333">
      <c r="A1333" s="114" t="s">
        <v>39</v>
      </c>
      <c r="B1333" s="115"/>
      <c r="C1333" s="116"/>
      <c r="D1333" s="116"/>
      <c r="E1333" s="116" t="str">
        <f>IFERROR(__xludf.DUMMYFUNCTION("""COMPUTED_VALUE"""),"")</f>
        <v/>
      </c>
      <c r="F1333" s="117" t="s">
        <v>39</v>
      </c>
      <c r="G1333" s="116"/>
      <c r="H1333" s="117"/>
      <c r="I1333" s="117"/>
      <c r="J1333" s="117"/>
      <c r="K1333" s="117"/>
      <c r="L1333" s="116"/>
      <c r="M1333" s="117"/>
      <c r="N1333" s="118" t="str">
        <f>IFERROR(__xludf.DUMMYFUNCTION("""COMPUTED_VALUE"""),"")</f>
        <v/>
      </c>
      <c r="O1333" s="116"/>
      <c r="P1333" s="116"/>
      <c r="Q1333" s="116"/>
      <c r="R1333" s="116" t="s">
        <v>39</v>
      </c>
      <c r="S1333" s="116" t="s">
        <v>39</v>
      </c>
      <c r="T1333" s="104" t="s">
        <v>5285</v>
      </c>
      <c r="U1333" s="116"/>
      <c r="V1333" s="104" t="s">
        <v>5285</v>
      </c>
      <c r="W1333" s="116"/>
    </row>
    <row r="1334">
      <c r="A1334" s="114" t="s">
        <v>39</v>
      </c>
      <c r="B1334" s="115"/>
      <c r="C1334" s="116"/>
      <c r="D1334" s="116"/>
      <c r="E1334" s="116" t="str">
        <f>IFERROR(__xludf.DUMMYFUNCTION("""COMPUTED_VALUE"""),"")</f>
        <v/>
      </c>
      <c r="F1334" s="117" t="s">
        <v>39</v>
      </c>
      <c r="G1334" s="116"/>
      <c r="H1334" s="117"/>
      <c r="I1334" s="117"/>
      <c r="J1334" s="117"/>
      <c r="K1334" s="117"/>
      <c r="L1334" s="116"/>
      <c r="M1334" s="117"/>
      <c r="N1334" s="118" t="str">
        <f>IFERROR(__xludf.DUMMYFUNCTION("""COMPUTED_VALUE"""),"")</f>
        <v/>
      </c>
      <c r="O1334" s="116"/>
      <c r="P1334" s="116"/>
      <c r="Q1334" s="116"/>
      <c r="R1334" s="116" t="s">
        <v>39</v>
      </c>
      <c r="S1334" s="116" t="s">
        <v>39</v>
      </c>
      <c r="T1334" s="104" t="s">
        <v>5286</v>
      </c>
      <c r="U1334" s="116"/>
      <c r="V1334" s="104" t="s">
        <v>5286</v>
      </c>
      <c r="W1334" s="116"/>
    </row>
    <row r="1335">
      <c r="A1335" s="114" t="s">
        <v>39</v>
      </c>
      <c r="B1335" s="115"/>
      <c r="C1335" s="116"/>
      <c r="D1335" s="116"/>
      <c r="E1335" s="116" t="str">
        <f>IFERROR(__xludf.DUMMYFUNCTION("""COMPUTED_VALUE"""),"")</f>
        <v/>
      </c>
      <c r="F1335" s="117" t="s">
        <v>39</v>
      </c>
      <c r="G1335" s="116"/>
      <c r="H1335" s="117"/>
      <c r="I1335" s="117"/>
      <c r="J1335" s="117"/>
      <c r="K1335" s="117"/>
      <c r="L1335" s="116"/>
      <c r="M1335" s="117"/>
      <c r="N1335" s="118" t="str">
        <f>IFERROR(__xludf.DUMMYFUNCTION("""COMPUTED_VALUE"""),"")</f>
        <v/>
      </c>
      <c r="O1335" s="116"/>
      <c r="P1335" s="116"/>
      <c r="Q1335" s="116"/>
      <c r="R1335" s="116" t="s">
        <v>39</v>
      </c>
      <c r="S1335" s="116" t="s">
        <v>39</v>
      </c>
      <c r="T1335" s="104" t="s">
        <v>5287</v>
      </c>
      <c r="U1335" s="116"/>
      <c r="V1335" s="104" t="s">
        <v>5287</v>
      </c>
      <c r="W1335" s="116"/>
    </row>
    <row r="1336">
      <c r="A1336" s="114" t="s">
        <v>39</v>
      </c>
      <c r="B1336" s="115"/>
      <c r="C1336" s="116"/>
      <c r="D1336" s="116"/>
      <c r="E1336" s="116" t="str">
        <f>IFERROR(__xludf.DUMMYFUNCTION("""COMPUTED_VALUE"""),"")</f>
        <v/>
      </c>
      <c r="F1336" s="117" t="s">
        <v>39</v>
      </c>
      <c r="G1336" s="116"/>
      <c r="H1336" s="117"/>
      <c r="I1336" s="117"/>
      <c r="J1336" s="117"/>
      <c r="K1336" s="117"/>
      <c r="L1336" s="116"/>
      <c r="M1336" s="117"/>
      <c r="N1336" s="118" t="str">
        <f>IFERROR(__xludf.DUMMYFUNCTION("""COMPUTED_VALUE"""),"")</f>
        <v/>
      </c>
      <c r="O1336" s="116"/>
      <c r="P1336" s="116"/>
      <c r="Q1336" s="116"/>
      <c r="R1336" s="116" t="s">
        <v>39</v>
      </c>
      <c r="S1336" s="116" t="s">
        <v>39</v>
      </c>
      <c r="T1336" s="104" t="s">
        <v>5288</v>
      </c>
      <c r="U1336" s="116"/>
      <c r="V1336" s="104" t="s">
        <v>5288</v>
      </c>
      <c r="W1336" s="116"/>
    </row>
    <row r="1337">
      <c r="A1337" s="114" t="s">
        <v>39</v>
      </c>
      <c r="B1337" s="115"/>
      <c r="C1337" s="116"/>
      <c r="D1337" s="116"/>
      <c r="E1337" s="116" t="str">
        <f>IFERROR(__xludf.DUMMYFUNCTION("""COMPUTED_VALUE"""),"")</f>
        <v/>
      </c>
      <c r="F1337" s="117" t="s">
        <v>39</v>
      </c>
      <c r="G1337" s="116"/>
      <c r="H1337" s="117"/>
      <c r="I1337" s="117"/>
      <c r="J1337" s="117"/>
      <c r="K1337" s="117"/>
      <c r="L1337" s="116"/>
      <c r="M1337" s="117"/>
      <c r="N1337" s="118" t="str">
        <f>IFERROR(__xludf.DUMMYFUNCTION("""COMPUTED_VALUE"""),"")</f>
        <v/>
      </c>
      <c r="O1337" s="116"/>
      <c r="P1337" s="116"/>
      <c r="Q1337" s="116"/>
      <c r="R1337" s="116" t="s">
        <v>39</v>
      </c>
      <c r="S1337" s="116" t="s">
        <v>39</v>
      </c>
      <c r="T1337" s="104" t="s">
        <v>5289</v>
      </c>
      <c r="U1337" s="116"/>
      <c r="V1337" s="104" t="s">
        <v>5289</v>
      </c>
      <c r="W1337" s="116"/>
    </row>
    <row r="1338">
      <c r="A1338" s="114" t="s">
        <v>39</v>
      </c>
      <c r="B1338" s="115"/>
      <c r="C1338" s="116"/>
      <c r="D1338" s="116"/>
      <c r="E1338" s="116" t="str">
        <f>IFERROR(__xludf.DUMMYFUNCTION("""COMPUTED_VALUE"""),"")</f>
        <v/>
      </c>
      <c r="F1338" s="117" t="s">
        <v>39</v>
      </c>
      <c r="G1338" s="116"/>
      <c r="H1338" s="117"/>
      <c r="I1338" s="117"/>
      <c r="J1338" s="117"/>
      <c r="K1338" s="117"/>
      <c r="L1338" s="116"/>
      <c r="M1338" s="117"/>
      <c r="N1338" s="118" t="str">
        <f>IFERROR(__xludf.DUMMYFUNCTION("""COMPUTED_VALUE"""),"")</f>
        <v/>
      </c>
      <c r="O1338" s="116"/>
      <c r="P1338" s="116"/>
      <c r="Q1338" s="116"/>
      <c r="R1338" s="116" t="s">
        <v>39</v>
      </c>
      <c r="S1338" s="116" t="s">
        <v>39</v>
      </c>
      <c r="T1338" s="104" t="s">
        <v>5290</v>
      </c>
      <c r="U1338" s="116"/>
      <c r="V1338" s="104" t="s">
        <v>5290</v>
      </c>
      <c r="W1338" s="116"/>
    </row>
    <row r="1339">
      <c r="A1339" s="114" t="s">
        <v>39</v>
      </c>
      <c r="B1339" s="115"/>
      <c r="C1339" s="116"/>
      <c r="D1339" s="116"/>
      <c r="E1339" s="116" t="str">
        <f>IFERROR(__xludf.DUMMYFUNCTION("""COMPUTED_VALUE"""),"")</f>
        <v/>
      </c>
      <c r="F1339" s="117" t="s">
        <v>39</v>
      </c>
      <c r="G1339" s="116"/>
      <c r="H1339" s="117"/>
      <c r="I1339" s="117"/>
      <c r="J1339" s="117"/>
      <c r="K1339" s="117"/>
      <c r="L1339" s="116"/>
      <c r="M1339" s="117"/>
      <c r="N1339" s="118" t="str">
        <f>IFERROR(__xludf.DUMMYFUNCTION("""COMPUTED_VALUE"""),"")</f>
        <v/>
      </c>
      <c r="O1339" s="116"/>
      <c r="P1339" s="116"/>
      <c r="Q1339" s="116"/>
      <c r="R1339" s="116" t="s">
        <v>39</v>
      </c>
      <c r="S1339" s="116" t="s">
        <v>39</v>
      </c>
      <c r="T1339" s="104" t="s">
        <v>5291</v>
      </c>
      <c r="U1339" s="116"/>
      <c r="V1339" s="104" t="s">
        <v>5291</v>
      </c>
      <c r="W1339" s="116"/>
    </row>
    <row r="1340">
      <c r="A1340" s="114" t="s">
        <v>39</v>
      </c>
      <c r="B1340" s="115"/>
      <c r="C1340" s="116"/>
      <c r="D1340" s="116"/>
      <c r="E1340" s="116" t="str">
        <f>IFERROR(__xludf.DUMMYFUNCTION("""COMPUTED_VALUE"""),"")</f>
        <v/>
      </c>
      <c r="F1340" s="117" t="s">
        <v>39</v>
      </c>
      <c r="G1340" s="116"/>
      <c r="H1340" s="117"/>
      <c r="I1340" s="117"/>
      <c r="J1340" s="117"/>
      <c r="K1340" s="117"/>
      <c r="L1340" s="116"/>
      <c r="M1340" s="117"/>
      <c r="N1340" s="118" t="str">
        <f>IFERROR(__xludf.DUMMYFUNCTION("""COMPUTED_VALUE"""),"")</f>
        <v/>
      </c>
      <c r="O1340" s="116"/>
      <c r="P1340" s="116"/>
      <c r="Q1340" s="116"/>
      <c r="R1340" s="116" t="s">
        <v>39</v>
      </c>
      <c r="S1340" s="116" t="s">
        <v>39</v>
      </c>
      <c r="T1340" s="104" t="s">
        <v>5292</v>
      </c>
      <c r="U1340" s="116"/>
      <c r="V1340" s="104" t="s">
        <v>5292</v>
      </c>
      <c r="W1340" s="116"/>
    </row>
    <row r="1341">
      <c r="A1341" s="114" t="s">
        <v>39</v>
      </c>
      <c r="B1341" s="115"/>
      <c r="C1341" s="116"/>
      <c r="D1341" s="116"/>
      <c r="E1341" s="116" t="str">
        <f>IFERROR(__xludf.DUMMYFUNCTION("""COMPUTED_VALUE"""),"")</f>
        <v/>
      </c>
      <c r="F1341" s="117" t="s">
        <v>39</v>
      </c>
      <c r="G1341" s="116"/>
      <c r="H1341" s="117"/>
      <c r="I1341" s="117"/>
      <c r="J1341" s="117"/>
      <c r="K1341" s="117"/>
      <c r="L1341" s="116"/>
      <c r="M1341" s="117"/>
      <c r="N1341" s="118" t="str">
        <f>IFERROR(__xludf.DUMMYFUNCTION("""COMPUTED_VALUE"""),"")</f>
        <v/>
      </c>
      <c r="O1341" s="116"/>
      <c r="P1341" s="116"/>
      <c r="Q1341" s="116"/>
      <c r="R1341" s="116" t="s">
        <v>39</v>
      </c>
      <c r="S1341" s="116" t="s">
        <v>39</v>
      </c>
      <c r="T1341" s="104" t="s">
        <v>5293</v>
      </c>
      <c r="U1341" s="116"/>
      <c r="V1341" s="104" t="s">
        <v>5293</v>
      </c>
      <c r="W1341" s="116"/>
    </row>
    <row r="1342">
      <c r="A1342" s="114" t="s">
        <v>39</v>
      </c>
      <c r="B1342" s="115"/>
      <c r="C1342" s="116"/>
      <c r="D1342" s="116"/>
      <c r="E1342" s="116" t="str">
        <f>IFERROR(__xludf.DUMMYFUNCTION("""COMPUTED_VALUE"""),"")</f>
        <v/>
      </c>
      <c r="F1342" s="117" t="s">
        <v>39</v>
      </c>
      <c r="G1342" s="116"/>
      <c r="H1342" s="117"/>
      <c r="I1342" s="117"/>
      <c r="J1342" s="117"/>
      <c r="K1342" s="117"/>
      <c r="L1342" s="116"/>
      <c r="M1342" s="117"/>
      <c r="N1342" s="118" t="str">
        <f>IFERROR(__xludf.DUMMYFUNCTION("""COMPUTED_VALUE"""),"")</f>
        <v/>
      </c>
      <c r="O1342" s="116"/>
      <c r="P1342" s="116"/>
      <c r="Q1342" s="116"/>
      <c r="R1342" s="116" t="s">
        <v>39</v>
      </c>
      <c r="S1342" s="116" t="s">
        <v>39</v>
      </c>
      <c r="T1342" s="104" t="s">
        <v>5294</v>
      </c>
      <c r="U1342" s="116"/>
      <c r="V1342" s="104" t="s">
        <v>5294</v>
      </c>
      <c r="W1342" s="116"/>
    </row>
    <row r="1343">
      <c r="A1343" s="114" t="s">
        <v>39</v>
      </c>
      <c r="B1343" s="115"/>
      <c r="C1343" s="116"/>
      <c r="D1343" s="116"/>
      <c r="E1343" s="116" t="str">
        <f>IFERROR(__xludf.DUMMYFUNCTION("""COMPUTED_VALUE"""),"")</f>
        <v/>
      </c>
      <c r="F1343" s="117" t="s">
        <v>39</v>
      </c>
      <c r="G1343" s="116"/>
      <c r="H1343" s="117"/>
      <c r="I1343" s="117"/>
      <c r="J1343" s="117"/>
      <c r="K1343" s="117"/>
      <c r="L1343" s="116"/>
      <c r="M1343" s="117"/>
      <c r="N1343" s="118" t="str">
        <f>IFERROR(__xludf.DUMMYFUNCTION("""COMPUTED_VALUE"""),"")</f>
        <v/>
      </c>
      <c r="O1343" s="116"/>
      <c r="P1343" s="116"/>
      <c r="Q1343" s="116"/>
      <c r="R1343" s="116" t="s">
        <v>39</v>
      </c>
      <c r="S1343" s="116" t="s">
        <v>39</v>
      </c>
      <c r="T1343" s="104" t="s">
        <v>5295</v>
      </c>
      <c r="U1343" s="116"/>
      <c r="V1343" s="104" t="s">
        <v>5295</v>
      </c>
      <c r="W1343" s="116"/>
    </row>
    <row r="1344">
      <c r="A1344" s="114" t="s">
        <v>39</v>
      </c>
      <c r="B1344" s="115"/>
      <c r="C1344" s="116"/>
      <c r="D1344" s="116"/>
      <c r="E1344" s="116" t="str">
        <f>IFERROR(__xludf.DUMMYFUNCTION("""COMPUTED_VALUE"""),"")</f>
        <v/>
      </c>
      <c r="F1344" s="117" t="s">
        <v>39</v>
      </c>
      <c r="G1344" s="116"/>
      <c r="H1344" s="117"/>
      <c r="I1344" s="117"/>
      <c r="J1344" s="117"/>
      <c r="K1344" s="117"/>
      <c r="L1344" s="116"/>
      <c r="M1344" s="117"/>
      <c r="N1344" s="118" t="str">
        <f>IFERROR(__xludf.DUMMYFUNCTION("""COMPUTED_VALUE"""),"")</f>
        <v/>
      </c>
      <c r="O1344" s="116"/>
      <c r="P1344" s="116"/>
      <c r="Q1344" s="116"/>
      <c r="R1344" s="116" t="s">
        <v>39</v>
      </c>
      <c r="S1344" s="116" t="s">
        <v>39</v>
      </c>
      <c r="T1344" s="104" t="s">
        <v>5296</v>
      </c>
      <c r="U1344" s="116"/>
      <c r="V1344" s="104" t="s">
        <v>5296</v>
      </c>
      <c r="W1344" s="116"/>
    </row>
    <row r="1345">
      <c r="A1345" s="114" t="s">
        <v>39</v>
      </c>
      <c r="B1345" s="115"/>
      <c r="C1345" s="116"/>
      <c r="D1345" s="116"/>
      <c r="E1345" s="116" t="str">
        <f>IFERROR(__xludf.DUMMYFUNCTION("""COMPUTED_VALUE"""),"")</f>
        <v/>
      </c>
      <c r="F1345" s="117" t="s">
        <v>39</v>
      </c>
      <c r="G1345" s="116"/>
      <c r="H1345" s="117"/>
      <c r="I1345" s="117"/>
      <c r="J1345" s="117"/>
      <c r="K1345" s="117"/>
      <c r="L1345" s="116"/>
      <c r="M1345" s="117"/>
      <c r="N1345" s="118" t="str">
        <f>IFERROR(__xludf.DUMMYFUNCTION("""COMPUTED_VALUE"""),"")</f>
        <v/>
      </c>
      <c r="O1345" s="116"/>
      <c r="P1345" s="116"/>
      <c r="Q1345" s="116"/>
      <c r="R1345" s="116" t="s">
        <v>39</v>
      </c>
      <c r="S1345" s="116" t="s">
        <v>39</v>
      </c>
      <c r="T1345" s="104" t="s">
        <v>5297</v>
      </c>
      <c r="U1345" s="116"/>
      <c r="V1345" s="104" t="s">
        <v>5297</v>
      </c>
      <c r="W1345" s="116"/>
    </row>
    <row r="1346">
      <c r="A1346" s="114" t="s">
        <v>39</v>
      </c>
      <c r="B1346" s="115"/>
      <c r="C1346" s="116"/>
      <c r="D1346" s="116"/>
      <c r="E1346" s="116" t="str">
        <f>IFERROR(__xludf.DUMMYFUNCTION("""COMPUTED_VALUE"""),"")</f>
        <v/>
      </c>
      <c r="F1346" s="117" t="s">
        <v>39</v>
      </c>
      <c r="G1346" s="116"/>
      <c r="H1346" s="117"/>
      <c r="I1346" s="117"/>
      <c r="J1346" s="117"/>
      <c r="K1346" s="117"/>
      <c r="L1346" s="116"/>
      <c r="M1346" s="117"/>
      <c r="N1346" s="118" t="str">
        <f>IFERROR(__xludf.DUMMYFUNCTION("""COMPUTED_VALUE"""),"")</f>
        <v/>
      </c>
      <c r="O1346" s="116"/>
      <c r="P1346" s="116"/>
      <c r="Q1346" s="116"/>
      <c r="R1346" s="116" t="s">
        <v>39</v>
      </c>
      <c r="S1346" s="116" t="s">
        <v>39</v>
      </c>
      <c r="T1346" s="104" t="s">
        <v>5298</v>
      </c>
      <c r="U1346" s="116"/>
      <c r="V1346" s="104" t="s">
        <v>5298</v>
      </c>
      <c r="W1346" s="116"/>
    </row>
    <row r="1347">
      <c r="A1347" s="114" t="s">
        <v>39</v>
      </c>
      <c r="B1347" s="115"/>
      <c r="C1347" s="116"/>
      <c r="D1347" s="116"/>
      <c r="E1347" s="116" t="str">
        <f>IFERROR(__xludf.DUMMYFUNCTION("""COMPUTED_VALUE"""),"")</f>
        <v/>
      </c>
      <c r="F1347" s="117" t="s">
        <v>39</v>
      </c>
      <c r="G1347" s="116"/>
      <c r="H1347" s="117"/>
      <c r="I1347" s="117"/>
      <c r="J1347" s="117"/>
      <c r="K1347" s="117"/>
      <c r="L1347" s="116"/>
      <c r="M1347" s="117"/>
      <c r="N1347" s="118" t="str">
        <f>IFERROR(__xludf.DUMMYFUNCTION("""COMPUTED_VALUE"""),"")</f>
        <v/>
      </c>
      <c r="O1347" s="116"/>
      <c r="P1347" s="116"/>
      <c r="Q1347" s="116"/>
      <c r="R1347" s="116" t="s">
        <v>39</v>
      </c>
      <c r="S1347" s="116" t="s">
        <v>39</v>
      </c>
      <c r="T1347" s="104" t="s">
        <v>5299</v>
      </c>
      <c r="U1347" s="116"/>
      <c r="V1347" s="104" t="s">
        <v>5299</v>
      </c>
      <c r="W1347" s="116"/>
    </row>
    <row r="1348">
      <c r="A1348" s="114" t="s">
        <v>39</v>
      </c>
      <c r="B1348" s="115"/>
      <c r="C1348" s="116"/>
      <c r="D1348" s="116"/>
      <c r="E1348" s="116" t="str">
        <f>IFERROR(__xludf.DUMMYFUNCTION("""COMPUTED_VALUE"""),"")</f>
        <v/>
      </c>
      <c r="F1348" s="117" t="s">
        <v>39</v>
      </c>
      <c r="G1348" s="116"/>
      <c r="H1348" s="117"/>
      <c r="I1348" s="117"/>
      <c r="J1348" s="117"/>
      <c r="K1348" s="117"/>
      <c r="L1348" s="116"/>
      <c r="M1348" s="117"/>
      <c r="N1348" s="118" t="str">
        <f>IFERROR(__xludf.DUMMYFUNCTION("""COMPUTED_VALUE"""),"")</f>
        <v/>
      </c>
      <c r="O1348" s="116"/>
      <c r="P1348" s="116"/>
      <c r="Q1348" s="116"/>
      <c r="R1348" s="116" t="s">
        <v>39</v>
      </c>
      <c r="S1348" s="116" t="s">
        <v>39</v>
      </c>
      <c r="T1348" s="104" t="s">
        <v>5300</v>
      </c>
      <c r="U1348" s="116"/>
      <c r="V1348" s="104" t="s">
        <v>5300</v>
      </c>
      <c r="W1348" s="116"/>
    </row>
    <row r="1349">
      <c r="A1349" s="114" t="s">
        <v>39</v>
      </c>
      <c r="B1349" s="115"/>
      <c r="C1349" s="116"/>
      <c r="D1349" s="116"/>
      <c r="E1349" s="116" t="str">
        <f>IFERROR(__xludf.DUMMYFUNCTION("""COMPUTED_VALUE"""),"")</f>
        <v/>
      </c>
      <c r="F1349" s="117" t="s">
        <v>39</v>
      </c>
      <c r="G1349" s="116"/>
      <c r="H1349" s="117"/>
      <c r="I1349" s="117"/>
      <c r="J1349" s="117"/>
      <c r="K1349" s="117"/>
      <c r="L1349" s="116"/>
      <c r="M1349" s="117"/>
      <c r="N1349" s="118" t="str">
        <f>IFERROR(__xludf.DUMMYFUNCTION("""COMPUTED_VALUE"""),"")</f>
        <v/>
      </c>
      <c r="O1349" s="116"/>
      <c r="P1349" s="116"/>
      <c r="Q1349" s="116"/>
      <c r="R1349" s="116" t="s">
        <v>39</v>
      </c>
      <c r="S1349" s="116" t="s">
        <v>39</v>
      </c>
      <c r="T1349" s="104" t="s">
        <v>5301</v>
      </c>
      <c r="U1349" s="116"/>
      <c r="V1349" s="104" t="s">
        <v>5301</v>
      </c>
      <c r="W1349" s="116"/>
    </row>
    <row r="1350">
      <c r="A1350" s="114" t="s">
        <v>39</v>
      </c>
      <c r="B1350" s="115"/>
      <c r="C1350" s="116"/>
      <c r="D1350" s="116"/>
      <c r="E1350" s="116" t="str">
        <f>IFERROR(__xludf.DUMMYFUNCTION("""COMPUTED_VALUE"""),"")</f>
        <v/>
      </c>
      <c r="F1350" s="117" t="s">
        <v>39</v>
      </c>
      <c r="G1350" s="116"/>
      <c r="H1350" s="117"/>
      <c r="I1350" s="117"/>
      <c r="J1350" s="117"/>
      <c r="K1350" s="117"/>
      <c r="L1350" s="116"/>
      <c r="M1350" s="117"/>
      <c r="N1350" s="118" t="str">
        <f>IFERROR(__xludf.DUMMYFUNCTION("""COMPUTED_VALUE"""),"")</f>
        <v/>
      </c>
      <c r="O1350" s="116"/>
      <c r="P1350" s="116"/>
      <c r="Q1350" s="116"/>
      <c r="R1350" s="116" t="s">
        <v>39</v>
      </c>
      <c r="S1350" s="116" t="s">
        <v>39</v>
      </c>
      <c r="T1350" s="104" t="s">
        <v>5302</v>
      </c>
      <c r="U1350" s="116"/>
      <c r="V1350" s="104" t="s">
        <v>5302</v>
      </c>
      <c r="W1350" s="116"/>
    </row>
    <row r="1351">
      <c r="A1351" s="114" t="s">
        <v>39</v>
      </c>
      <c r="B1351" s="115"/>
      <c r="C1351" s="116"/>
      <c r="D1351" s="116"/>
      <c r="E1351" s="116" t="str">
        <f>IFERROR(__xludf.DUMMYFUNCTION("""COMPUTED_VALUE"""),"")</f>
        <v/>
      </c>
      <c r="F1351" s="117" t="s">
        <v>39</v>
      </c>
      <c r="G1351" s="116"/>
      <c r="H1351" s="117"/>
      <c r="I1351" s="117"/>
      <c r="J1351" s="117"/>
      <c r="K1351" s="117"/>
      <c r="L1351" s="116"/>
      <c r="M1351" s="117"/>
      <c r="N1351" s="118" t="str">
        <f>IFERROR(__xludf.DUMMYFUNCTION("""COMPUTED_VALUE"""),"")</f>
        <v/>
      </c>
      <c r="O1351" s="116"/>
      <c r="P1351" s="116"/>
      <c r="Q1351" s="116"/>
      <c r="R1351" s="116" t="s">
        <v>39</v>
      </c>
      <c r="S1351" s="116" t="s">
        <v>39</v>
      </c>
      <c r="T1351" s="104" t="s">
        <v>5303</v>
      </c>
      <c r="U1351" s="116"/>
      <c r="V1351" s="104" t="s">
        <v>5303</v>
      </c>
      <c r="W1351" s="116"/>
    </row>
    <row r="1352">
      <c r="A1352" s="114" t="s">
        <v>39</v>
      </c>
      <c r="B1352" s="115"/>
      <c r="C1352" s="116"/>
      <c r="D1352" s="116"/>
      <c r="E1352" s="116" t="str">
        <f>IFERROR(__xludf.DUMMYFUNCTION("""COMPUTED_VALUE"""),"")</f>
        <v/>
      </c>
      <c r="F1352" s="117" t="s">
        <v>39</v>
      </c>
      <c r="G1352" s="116"/>
      <c r="H1352" s="117"/>
      <c r="I1352" s="117"/>
      <c r="J1352" s="117"/>
      <c r="K1352" s="117"/>
      <c r="L1352" s="116"/>
      <c r="M1352" s="117"/>
      <c r="N1352" s="118" t="str">
        <f>IFERROR(__xludf.DUMMYFUNCTION("""COMPUTED_VALUE"""),"")</f>
        <v/>
      </c>
      <c r="O1352" s="116"/>
      <c r="P1352" s="116"/>
      <c r="Q1352" s="116"/>
      <c r="R1352" s="116" t="s">
        <v>39</v>
      </c>
      <c r="S1352" s="116" t="s">
        <v>39</v>
      </c>
      <c r="T1352" s="104" t="s">
        <v>5304</v>
      </c>
      <c r="U1352" s="116"/>
      <c r="V1352" s="104" t="s">
        <v>5304</v>
      </c>
      <c r="W1352" s="116"/>
    </row>
    <row r="1353">
      <c r="A1353" s="114" t="s">
        <v>39</v>
      </c>
      <c r="B1353" s="115"/>
      <c r="C1353" s="116"/>
      <c r="D1353" s="116"/>
      <c r="E1353" s="116" t="str">
        <f>IFERROR(__xludf.DUMMYFUNCTION("""COMPUTED_VALUE"""),"")</f>
        <v/>
      </c>
      <c r="F1353" s="117" t="s">
        <v>39</v>
      </c>
      <c r="G1353" s="116"/>
      <c r="H1353" s="117"/>
      <c r="I1353" s="117"/>
      <c r="J1353" s="117"/>
      <c r="K1353" s="117"/>
      <c r="L1353" s="116"/>
      <c r="M1353" s="117"/>
      <c r="N1353" s="118" t="str">
        <f>IFERROR(__xludf.DUMMYFUNCTION("""COMPUTED_VALUE"""),"")</f>
        <v/>
      </c>
      <c r="O1353" s="116"/>
      <c r="P1353" s="116"/>
      <c r="Q1353" s="116"/>
      <c r="R1353" s="116" t="s">
        <v>39</v>
      </c>
      <c r="S1353" s="116" t="s">
        <v>39</v>
      </c>
      <c r="T1353" s="104" t="s">
        <v>5305</v>
      </c>
      <c r="U1353" s="116"/>
      <c r="V1353" s="104" t="s">
        <v>5305</v>
      </c>
      <c r="W1353" s="116"/>
    </row>
    <row r="1354">
      <c r="A1354" s="114" t="s">
        <v>39</v>
      </c>
      <c r="B1354" s="115"/>
      <c r="C1354" s="116"/>
      <c r="D1354" s="116"/>
      <c r="E1354" s="116" t="str">
        <f>IFERROR(__xludf.DUMMYFUNCTION("""COMPUTED_VALUE"""),"")</f>
        <v/>
      </c>
      <c r="F1354" s="117" t="s">
        <v>39</v>
      </c>
      <c r="G1354" s="116"/>
      <c r="H1354" s="117"/>
      <c r="I1354" s="117"/>
      <c r="J1354" s="117"/>
      <c r="K1354" s="117"/>
      <c r="L1354" s="116"/>
      <c r="M1354" s="117"/>
      <c r="N1354" s="118" t="str">
        <f>IFERROR(__xludf.DUMMYFUNCTION("""COMPUTED_VALUE"""),"")</f>
        <v/>
      </c>
      <c r="O1354" s="116"/>
      <c r="P1354" s="116"/>
      <c r="Q1354" s="116"/>
      <c r="R1354" s="116" t="s">
        <v>39</v>
      </c>
      <c r="S1354" s="116" t="s">
        <v>39</v>
      </c>
      <c r="T1354" s="104" t="s">
        <v>5306</v>
      </c>
      <c r="U1354" s="116"/>
      <c r="V1354" s="104" t="s">
        <v>5306</v>
      </c>
      <c r="W1354" s="116"/>
    </row>
    <row r="1355">
      <c r="A1355" s="114" t="s">
        <v>39</v>
      </c>
      <c r="B1355" s="115"/>
      <c r="C1355" s="116"/>
      <c r="D1355" s="116"/>
      <c r="E1355" s="116" t="str">
        <f>IFERROR(__xludf.DUMMYFUNCTION("""COMPUTED_VALUE"""),"")</f>
        <v/>
      </c>
      <c r="F1355" s="117" t="s">
        <v>39</v>
      </c>
      <c r="G1355" s="116"/>
      <c r="H1355" s="117"/>
      <c r="I1355" s="117"/>
      <c r="J1355" s="117"/>
      <c r="K1355" s="117"/>
      <c r="L1355" s="116"/>
      <c r="M1355" s="117"/>
      <c r="N1355" s="118" t="str">
        <f>IFERROR(__xludf.DUMMYFUNCTION("""COMPUTED_VALUE"""),"")</f>
        <v/>
      </c>
      <c r="O1355" s="116"/>
      <c r="P1355" s="116"/>
      <c r="Q1355" s="116"/>
      <c r="R1355" s="116" t="s">
        <v>39</v>
      </c>
      <c r="S1355" s="116" t="s">
        <v>39</v>
      </c>
      <c r="T1355" s="104" t="s">
        <v>5307</v>
      </c>
      <c r="U1355" s="116"/>
      <c r="V1355" s="104" t="s">
        <v>5307</v>
      </c>
      <c r="W1355" s="116"/>
    </row>
    <row r="1356">
      <c r="A1356" s="114" t="s">
        <v>39</v>
      </c>
      <c r="B1356" s="115"/>
      <c r="C1356" s="116"/>
      <c r="D1356" s="116"/>
      <c r="E1356" s="116" t="str">
        <f>IFERROR(__xludf.DUMMYFUNCTION("""COMPUTED_VALUE"""),"")</f>
        <v/>
      </c>
      <c r="F1356" s="117" t="s">
        <v>39</v>
      </c>
      <c r="G1356" s="116"/>
      <c r="H1356" s="117"/>
      <c r="I1356" s="117"/>
      <c r="J1356" s="117"/>
      <c r="K1356" s="117"/>
      <c r="L1356" s="116"/>
      <c r="M1356" s="117"/>
      <c r="N1356" s="118" t="str">
        <f>IFERROR(__xludf.DUMMYFUNCTION("""COMPUTED_VALUE"""),"")</f>
        <v/>
      </c>
      <c r="O1356" s="116"/>
      <c r="P1356" s="116"/>
      <c r="Q1356" s="116"/>
      <c r="R1356" s="116" t="s">
        <v>39</v>
      </c>
      <c r="S1356" s="116" t="s">
        <v>39</v>
      </c>
      <c r="T1356" s="104" t="s">
        <v>5308</v>
      </c>
      <c r="U1356" s="116"/>
      <c r="V1356" s="104" t="s">
        <v>5308</v>
      </c>
      <c r="W1356" s="116"/>
    </row>
    <row r="1357">
      <c r="A1357" s="114" t="s">
        <v>39</v>
      </c>
      <c r="B1357" s="115"/>
      <c r="C1357" s="116"/>
      <c r="D1357" s="116"/>
      <c r="E1357" s="116" t="str">
        <f>IFERROR(__xludf.DUMMYFUNCTION("""COMPUTED_VALUE"""),"")</f>
        <v/>
      </c>
      <c r="F1357" s="117" t="s">
        <v>39</v>
      </c>
      <c r="G1357" s="116"/>
      <c r="H1357" s="117"/>
      <c r="I1357" s="117"/>
      <c r="J1357" s="117"/>
      <c r="K1357" s="117"/>
      <c r="L1357" s="116"/>
      <c r="M1357" s="117"/>
      <c r="N1357" s="118" t="str">
        <f>IFERROR(__xludf.DUMMYFUNCTION("""COMPUTED_VALUE"""),"")</f>
        <v/>
      </c>
      <c r="O1357" s="116"/>
      <c r="P1357" s="116"/>
      <c r="Q1357" s="116"/>
      <c r="R1357" s="116" t="s">
        <v>39</v>
      </c>
      <c r="S1357" s="116" t="s">
        <v>39</v>
      </c>
      <c r="T1357" s="104" t="s">
        <v>5309</v>
      </c>
      <c r="U1357" s="116"/>
      <c r="V1357" s="104" t="s">
        <v>5309</v>
      </c>
      <c r="W1357" s="116"/>
    </row>
    <row r="1358">
      <c r="A1358" s="114" t="s">
        <v>39</v>
      </c>
      <c r="B1358" s="115"/>
      <c r="C1358" s="116"/>
      <c r="D1358" s="116"/>
      <c r="E1358" s="116" t="str">
        <f>IFERROR(__xludf.DUMMYFUNCTION("""COMPUTED_VALUE"""),"")</f>
        <v/>
      </c>
      <c r="F1358" s="117" t="s">
        <v>39</v>
      </c>
      <c r="G1358" s="116"/>
      <c r="H1358" s="117"/>
      <c r="I1358" s="117"/>
      <c r="J1358" s="117"/>
      <c r="K1358" s="117"/>
      <c r="L1358" s="116"/>
      <c r="M1358" s="117"/>
      <c r="N1358" s="118" t="str">
        <f>IFERROR(__xludf.DUMMYFUNCTION("""COMPUTED_VALUE"""),"")</f>
        <v/>
      </c>
      <c r="O1358" s="116"/>
      <c r="P1358" s="116"/>
      <c r="Q1358" s="116"/>
      <c r="R1358" s="116" t="s">
        <v>39</v>
      </c>
      <c r="S1358" s="116" t="s">
        <v>39</v>
      </c>
      <c r="T1358" s="104" t="s">
        <v>5310</v>
      </c>
      <c r="U1358" s="116"/>
      <c r="V1358" s="104" t="s">
        <v>5310</v>
      </c>
      <c r="W1358" s="116"/>
    </row>
    <row r="1359">
      <c r="A1359" s="114" t="s">
        <v>39</v>
      </c>
      <c r="B1359" s="115"/>
      <c r="C1359" s="116"/>
      <c r="D1359" s="116"/>
      <c r="E1359" s="116" t="str">
        <f>IFERROR(__xludf.DUMMYFUNCTION("""COMPUTED_VALUE"""),"")</f>
        <v/>
      </c>
      <c r="F1359" s="117" t="s">
        <v>39</v>
      </c>
      <c r="G1359" s="116"/>
      <c r="H1359" s="117"/>
      <c r="I1359" s="117"/>
      <c r="J1359" s="117"/>
      <c r="K1359" s="117"/>
      <c r="L1359" s="116"/>
      <c r="M1359" s="117"/>
      <c r="N1359" s="118" t="str">
        <f>IFERROR(__xludf.DUMMYFUNCTION("""COMPUTED_VALUE"""),"")</f>
        <v/>
      </c>
      <c r="O1359" s="116"/>
      <c r="P1359" s="116"/>
      <c r="Q1359" s="116"/>
      <c r="R1359" s="116" t="s">
        <v>39</v>
      </c>
      <c r="S1359" s="116" t="s">
        <v>39</v>
      </c>
      <c r="T1359" s="104" t="s">
        <v>5311</v>
      </c>
      <c r="U1359" s="116"/>
      <c r="V1359" s="104" t="s">
        <v>5311</v>
      </c>
      <c r="W1359" s="116"/>
    </row>
    <row r="1360">
      <c r="A1360" s="114" t="s">
        <v>39</v>
      </c>
      <c r="B1360" s="115"/>
      <c r="C1360" s="116"/>
      <c r="D1360" s="116"/>
      <c r="E1360" s="116" t="str">
        <f>IFERROR(__xludf.DUMMYFUNCTION("""COMPUTED_VALUE"""),"")</f>
        <v/>
      </c>
      <c r="F1360" s="117" t="s">
        <v>39</v>
      </c>
      <c r="G1360" s="116"/>
      <c r="H1360" s="117"/>
      <c r="I1360" s="117"/>
      <c r="J1360" s="117"/>
      <c r="K1360" s="117"/>
      <c r="L1360" s="116"/>
      <c r="M1360" s="117"/>
      <c r="N1360" s="118" t="str">
        <f>IFERROR(__xludf.DUMMYFUNCTION("""COMPUTED_VALUE"""),"")</f>
        <v/>
      </c>
      <c r="O1360" s="116"/>
      <c r="P1360" s="116"/>
      <c r="Q1360" s="116"/>
      <c r="R1360" s="116" t="s">
        <v>39</v>
      </c>
      <c r="S1360" s="116" t="s">
        <v>39</v>
      </c>
      <c r="T1360" s="104" t="s">
        <v>5312</v>
      </c>
      <c r="U1360" s="116"/>
      <c r="V1360" s="104" t="s">
        <v>5312</v>
      </c>
      <c r="W1360" s="116"/>
    </row>
    <row r="1361">
      <c r="A1361" s="114" t="s">
        <v>39</v>
      </c>
      <c r="B1361" s="115"/>
      <c r="C1361" s="116"/>
      <c r="D1361" s="116"/>
      <c r="E1361" s="116" t="str">
        <f>IFERROR(__xludf.DUMMYFUNCTION("""COMPUTED_VALUE"""),"")</f>
        <v/>
      </c>
      <c r="F1361" s="117" t="s">
        <v>39</v>
      </c>
      <c r="G1361" s="116"/>
      <c r="H1361" s="117"/>
      <c r="I1361" s="117"/>
      <c r="J1361" s="117"/>
      <c r="K1361" s="117"/>
      <c r="L1361" s="116"/>
      <c r="M1361" s="117"/>
      <c r="N1361" s="118" t="str">
        <f>IFERROR(__xludf.DUMMYFUNCTION("""COMPUTED_VALUE"""),"")</f>
        <v/>
      </c>
      <c r="O1361" s="116"/>
      <c r="P1361" s="116"/>
      <c r="Q1361" s="116"/>
      <c r="R1361" s="116" t="s">
        <v>39</v>
      </c>
      <c r="S1361" s="116" t="s">
        <v>39</v>
      </c>
      <c r="T1361" s="104" t="s">
        <v>5313</v>
      </c>
      <c r="U1361" s="116"/>
      <c r="V1361" s="104" t="s">
        <v>5313</v>
      </c>
      <c r="W1361" s="116"/>
    </row>
    <row r="1362">
      <c r="A1362" s="114" t="s">
        <v>39</v>
      </c>
      <c r="B1362" s="115"/>
      <c r="C1362" s="116"/>
      <c r="D1362" s="116"/>
      <c r="E1362" s="116" t="str">
        <f>IFERROR(__xludf.DUMMYFUNCTION("""COMPUTED_VALUE"""),"")</f>
        <v/>
      </c>
      <c r="F1362" s="117" t="s">
        <v>39</v>
      </c>
      <c r="G1362" s="116"/>
      <c r="H1362" s="117"/>
      <c r="I1362" s="117"/>
      <c r="J1362" s="117"/>
      <c r="K1362" s="117"/>
      <c r="L1362" s="116"/>
      <c r="M1362" s="117"/>
      <c r="N1362" s="118" t="str">
        <f>IFERROR(__xludf.DUMMYFUNCTION("""COMPUTED_VALUE"""),"")</f>
        <v/>
      </c>
      <c r="O1362" s="116"/>
      <c r="P1362" s="116"/>
      <c r="Q1362" s="116"/>
      <c r="R1362" s="116" t="s">
        <v>39</v>
      </c>
      <c r="S1362" s="116" t="s">
        <v>39</v>
      </c>
      <c r="T1362" s="104" t="s">
        <v>5314</v>
      </c>
      <c r="U1362" s="116"/>
      <c r="V1362" s="104" t="s">
        <v>5314</v>
      </c>
      <c r="W1362" s="116"/>
    </row>
    <row r="1363">
      <c r="A1363" s="114" t="s">
        <v>39</v>
      </c>
      <c r="B1363" s="115"/>
      <c r="C1363" s="116"/>
      <c r="D1363" s="116"/>
      <c r="E1363" s="116" t="str">
        <f>IFERROR(__xludf.DUMMYFUNCTION("""COMPUTED_VALUE"""),"")</f>
        <v/>
      </c>
      <c r="F1363" s="117" t="s">
        <v>39</v>
      </c>
      <c r="G1363" s="116"/>
      <c r="H1363" s="117"/>
      <c r="I1363" s="117"/>
      <c r="J1363" s="117"/>
      <c r="K1363" s="117"/>
      <c r="L1363" s="116"/>
      <c r="M1363" s="117"/>
      <c r="N1363" s="118" t="str">
        <f>IFERROR(__xludf.DUMMYFUNCTION("""COMPUTED_VALUE"""),"")</f>
        <v/>
      </c>
      <c r="O1363" s="116"/>
      <c r="P1363" s="116"/>
      <c r="Q1363" s="116"/>
      <c r="R1363" s="116" t="s">
        <v>39</v>
      </c>
      <c r="S1363" s="116" t="s">
        <v>39</v>
      </c>
      <c r="T1363" s="104" t="s">
        <v>5315</v>
      </c>
      <c r="U1363" s="116"/>
      <c r="V1363" s="104" t="s">
        <v>5315</v>
      </c>
      <c r="W1363" s="116"/>
    </row>
    <row r="1364">
      <c r="A1364" s="114" t="s">
        <v>39</v>
      </c>
      <c r="B1364" s="115"/>
      <c r="C1364" s="116"/>
      <c r="D1364" s="116"/>
      <c r="E1364" s="116" t="str">
        <f>IFERROR(__xludf.DUMMYFUNCTION("""COMPUTED_VALUE"""),"")</f>
        <v/>
      </c>
      <c r="F1364" s="117" t="s">
        <v>39</v>
      </c>
      <c r="G1364" s="116"/>
      <c r="H1364" s="117"/>
      <c r="I1364" s="117"/>
      <c r="J1364" s="117"/>
      <c r="K1364" s="117"/>
      <c r="L1364" s="116"/>
      <c r="M1364" s="117"/>
      <c r="N1364" s="118" t="str">
        <f>IFERROR(__xludf.DUMMYFUNCTION("""COMPUTED_VALUE"""),"")</f>
        <v/>
      </c>
      <c r="O1364" s="116"/>
      <c r="P1364" s="116"/>
      <c r="Q1364" s="116"/>
      <c r="R1364" s="116" t="s">
        <v>39</v>
      </c>
      <c r="S1364" s="116" t="s">
        <v>39</v>
      </c>
      <c r="T1364" s="104" t="s">
        <v>5316</v>
      </c>
      <c r="U1364" s="116"/>
      <c r="V1364" s="104" t="s">
        <v>5316</v>
      </c>
      <c r="W1364" s="116"/>
    </row>
    <row r="1365">
      <c r="A1365" s="114" t="s">
        <v>39</v>
      </c>
      <c r="B1365" s="115"/>
      <c r="C1365" s="116"/>
      <c r="D1365" s="116"/>
      <c r="E1365" s="116" t="str">
        <f>IFERROR(__xludf.DUMMYFUNCTION("""COMPUTED_VALUE"""),"")</f>
        <v/>
      </c>
      <c r="F1365" s="117" t="s">
        <v>39</v>
      </c>
      <c r="G1365" s="116"/>
      <c r="H1365" s="117"/>
      <c r="I1365" s="117"/>
      <c r="J1365" s="117"/>
      <c r="K1365" s="117"/>
      <c r="L1365" s="116"/>
      <c r="M1365" s="117"/>
      <c r="N1365" s="118" t="str">
        <f>IFERROR(__xludf.DUMMYFUNCTION("""COMPUTED_VALUE"""),"")</f>
        <v/>
      </c>
      <c r="O1365" s="116"/>
      <c r="P1365" s="116"/>
      <c r="Q1365" s="116"/>
      <c r="R1365" s="116" t="s">
        <v>39</v>
      </c>
      <c r="S1365" s="116" t="s">
        <v>39</v>
      </c>
      <c r="T1365" s="104" t="s">
        <v>5317</v>
      </c>
      <c r="U1365" s="116"/>
      <c r="V1365" s="104" t="s">
        <v>5317</v>
      </c>
      <c r="W1365" s="116"/>
    </row>
    <row r="1366">
      <c r="A1366" s="114" t="s">
        <v>39</v>
      </c>
      <c r="B1366" s="115"/>
      <c r="C1366" s="116"/>
      <c r="D1366" s="116"/>
      <c r="E1366" s="116" t="str">
        <f>IFERROR(__xludf.DUMMYFUNCTION("""COMPUTED_VALUE"""),"")</f>
        <v/>
      </c>
      <c r="F1366" s="117" t="s">
        <v>39</v>
      </c>
      <c r="G1366" s="116"/>
      <c r="H1366" s="117"/>
      <c r="I1366" s="117"/>
      <c r="J1366" s="117"/>
      <c r="K1366" s="117"/>
      <c r="L1366" s="116"/>
      <c r="M1366" s="117"/>
      <c r="N1366" s="118" t="str">
        <f>IFERROR(__xludf.DUMMYFUNCTION("""COMPUTED_VALUE"""),"")</f>
        <v/>
      </c>
      <c r="O1366" s="116"/>
      <c r="P1366" s="116"/>
      <c r="Q1366" s="116"/>
      <c r="R1366" s="116" t="s">
        <v>39</v>
      </c>
      <c r="S1366" s="116" t="s">
        <v>39</v>
      </c>
      <c r="T1366" s="104" t="s">
        <v>5318</v>
      </c>
      <c r="U1366" s="116"/>
      <c r="V1366" s="104" t="s">
        <v>5318</v>
      </c>
      <c r="W1366" s="116"/>
    </row>
    <row r="1367">
      <c r="A1367" s="114" t="s">
        <v>39</v>
      </c>
      <c r="B1367" s="115"/>
      <c r="C1367" s="116"/>
      <c r="D1367" s="116"/>
      <c r="E1367" s="116" t="str">
        <f>IFERROR(__xludf.DUMMYFUNCTION("""COMPUTED_VALUE"""),"")</f>
        <v/>
      </c>
      <c r="F1367" s="117" t="s">
        <v>39</v>
      </c>
      <c r="G1367" s="116"/>
      <c r="H1367" s="117"/>
      <c r="I1367" s="117"/>
      <c r="J1367" s="117"/>
      <c r="K1367" s="117"/>
      <c r="L1367" s="116"/>
      <c r="M1367" s="117"/>
      <c r="N1367" s="118" t="str">
        <f>IFERROR(__xludf.DUMMYFUNCTION("""COMPUTED_VALUE"""),"")</f>
        <v/>
      </c>
      <c r="O1367" s="116"/>
      <c r="P1367" s="116"/>
      <c r="Q1367" s="116"/>
      <c r="R1367" s="116" t="s">
        <v>39</v>
      </c>
      <c r="S1367" s="116" t="s">
        <v>39</v>
      </c>
      <c r="T1367" s="104" t="s">
        <v>5319</v>
      </c>
      <c r="U1367" s="116"/>
      <c r="V1367" s="104" t="s">
        <v>5319</v>
      </c>
      <c r="W1367" s="116"/>
    </row>
    <row r="1368">
      <c r="A1368" s="114" t="s">
        <v>39</v>
      </c>
      <c r="B1368" s="115"/>
      <c r="C1368" s="116"/>
      <c r="D1368" s="116"/>
      <c r="E1368" s="116" t="str">
        <f>IFERROR(__xludf.DUMMYFUNCTION("""COMPUTED_VALUE"""),"")</f>
        <v/>
      </c>
      <c r="F1368" s="117" t="s">
        <v>39</v>
      </c>
      <c r="G1368" s="116"/>
      <c r="H1368" s="117"/>
      <c r="I1368" s="117"/>
      <c r="J1368" s="117"/>
      <c r="K1368" s="117"/>
      <c r="L1368" s="116"/>
      <c r="M1368" s="117"/>
      <c r="N1368" s="118" t="str">
        <f>IFERROR(__xludf.DUMMYFUNCTION("""COMPUTED_VALUE"""),"")</f>
        <v/>
      </c>
      <c r="O1368" s="116"/>
      <c r="P1368" s="116"/>
      <c r="Q1368" s="116"/>
      <c r="R1368" s="116" t="s">
        <v>39</v>
      </c>
      <c r="S1368" s="116" t="s">
        <v>39</v>
      </c>
      <c r="T1368" s="104" t="s">
        <v>5320</v>
      </c>
      <c r="U1368" s="116"/>
      <c r="V1368" s="104" t="s">
        <v>5320</v>
      </c>
      <c r="W1368" s="116"/>
    </row>
    <row r="1369">
      <c r="A1369" s="114" t="s">
        <v>39</v>
      </c>
      <c r="B1369" s="115"/>
      <c r="C1369" s="116"/>
      <c r="D1369" s="116"/>
      <c r="E1369" s="116" t="str">
        <f>IFERROR(__xludf.DUMMYFUNCTION("""COMPUTED_VALUE"""),"")</f>
        <v/>
      </c>
      <c r="F1369" s="117" t="s">
        <v>39</v>
      </c>
      <c r="G1369" s="116"/>
      <c r="H1369" s="117"/>
      <c r="I1369" s="117"/>
      <c r="J1369" s="117"/>
      <c r="K1369" s="117"/>
      <c r="L1369" s="116"/>
      <c r="M1369" s="117"/>
      <c r="N1369" s="118" t="str">
        <f>IFERROR(__xludf.DUMMYFUNCTION("""COMPUTED_VALUE"""),"")</f>
        <v/>
      </c>
      <c r="O1369" s="116"/>
      <c r="P1369" s="116"/>
      <c r="Q1369" s="116"/>
      <c r="R1369" s="116" t="s">
        <v>39</v>
      </c>
      <c r="S1369" s="116" t="s">
        <v>39</v>
      </c>
      <c r="T1369" s="104" t="s">
        <v>5321</v>
      </c>
      <c r="U1369" s="116"/>
      <c r="V1369" s="104" t="s">
        <v>5321</v>
      </c>
      <c r="W1369" s="116"/>
    </row>
    <row r="1370">
      <c r="A1370" s="114" t="s">
        <v>39</v>
      </c>
      <c r="B1370" s="115"/>
      <c r="C1370" s="116"/>
      <c r="D1370" s="116"/>
      <c r="E1370" s="116" t="str">
        <f>IFERROR(__xludf.DUMMYFUNCTION("""COMPUTED_VALUE"""),"")</f>
        <v/>
      </c>
      <c r="F1370" s="117" t="s">
        <v>39</v>
      </c>
      <c r="G1370" s="116"/>
      <c r="H1370" s="117"/>
      <c r="I1370" s="117"/>
      <c r="J1370" s="117"/>
      <c r="K1370" s="117"/>
      <c r="L1370" s="116"/>
      <c r="M1370" s="117"/>
      <c r="N1370" s="118" t="str">
        <f>IFERROR(__xludf.DUMMYFUNCTION("""COMPUTED_VALUE"""),"")</f>
        <v/>
      </c>
      <c r="O1370" s="116"/>
      <c r="P1370" s="116"/>
      <c r="Q1370" s="116"/>
      <c r="R1370" s="116" t="s">
        <v>39</v>
      </c>
      <c r="S1370" s="116" t="s">
        <v>39</v>
      </c>
      <c r="T1370" s="104" t="s">
        <v>5322</v>
      </c>
      <c r="U1370" s="116"/>
      <c r="V1370" s="104" t="s">
        <v>5322</v>
      </c>
      <c r="W1370" s="116"/>
    </row>
    <row r="1371">
      <c r="A1371" s="114" t="s">
        <v>39</v>
      </c>
      <c r="B1371" s="115"/>
      <c r="C1371" s="116"/>
      <c r="D1371" s="116"/>
      <c r="E1371" s="116" t="str">
        <f>IFERROR(__xludf.DUMMYFUNCTION("""COMPUTED_VALUE"""),"")</f>
        <v/>
      </c>
      <c r="F1371" s="117" t="s">
        <v>39</v>
      </c>
      <c r="G1371" s="116"/>
      <c r="H1371" s="117"/>
      <c r="I1371" s="117"/>
      <c r="J1371" s="117"/>
      <c r="K1371" s="117"/>
      <c r="L1371" s="116"/>
      <c r="M1371" s="117"/>
      <c r="N1371" s="118" t="str">
        <f>IFERROR(__xludf.DUMMYFUNCTION("""COMPUTED_VALUE"""),"")</f>
        <v/>
      </c>
      <c r="O1371" s="116"/>
      <c r="P1371" s="116"/>
      <c r="Q1371" s="116"/>
      <c r="R1371" s="116" t="s">
        <v>39</v>
      </c>
      <c r="S1371" s="116" t="s">
        <v>39</v>
      </c>
      <c r="T1371" s="104" t="s">
        <v>5323</v>
      </c>
      <c r="U1371" s="116"/>
      <c r="V1371" s="104" t="s">
        <v>5323</v>
      </c>
      <c r="W1371" s="116"/>
    </row>
    <row r="1372">
      <c r="A1372" s="114" t="s">
        <v>39</v>
      </c>
      <c r="B1372" s="115"/>
      <c r="C1372" s="116"/>
      <c r="D1372" s="116"/>
      <c r="E1372" s="116" t="str">
        <f>IFERROR(__xludf.DUMMYFUNCTION("""COMPUTED_VALUE"""),"")</f>
        <v/>
      </c>
      <c r="F1372" s="117" t="s">
        <v>39</v>
      </c>
      <c r="G1372" s="116"/>
      <c r="H1372" s="117"/>
      <c r="I1372" s="117"/>
      <c r="J1372" s="117"/>
      <c r="K1372" s="117"/>
      <c r="L1372" s="116"/>
      <c r="M1372" s="117"/>
      <c r="N1372" s="118" t="str">
        <f>IFERROR(__xludf.DUMMYFUNCTION("""COMPUTED_VALUE"""),"")</f>
        <v/>
      </c>
      <c r="O1372" s="116"/>
      <c r="P1372" s="116"/>
      <c r="Q1372" s="116"/>
      <c r="R1372" s="116" t="s">
        <v>39</v>
      </c>
      <c r="S1372" s="116" t="s">
        <v>39</v>
      </c>
      <c r="T1372" s="104" t="s">
        <v>5324</v>
      </c>
      <c r="U1372" s="116"/>
      <c r="V1372" s="104" t="s">
        <v>5324</v>
      </c>
      <c r="W1372" s="116"/>
    </row>
    <row r="1373">
      <c r="A1373" s="114" t="s">
        <v>39</v>
      </c>
      <c r="B1373" s="115"/>
      <c r="C1373" s="116"/>
      <c r="D1373" s="116"/>
      <c r="E1373" s="116" t="str">
        <f>IFERROR(__xludf.DUMMYFUNCTION("""COMPUTED_VALUE"""),"")</f>
        <v/>
      </c>
      <c r="F1373" s="117" t="s">
        <v>39</v>
      </c>
      <c r="G1373" s="116"/>
      <c r="H1373" s="117"/>
      <c r="I1373" s="117"/>
      <c r="J1373" s="117"/>
      <c r="K1373" s="117"/>
      <c r="L1373" s="116"/>
      <c r="M1373" s="117"/>
      <c r="N1373" s="118" t="str">
        <f>IFERROR(__xludf.DUMMYFUNCTION("""COMPUTED_VALUE"""),"")</f>
        <v/>
      </c>
      <c r="O1373" s="116"/>
      <c r="P1373" s="116"/>
      <c r="Q1373" s="116"/>
      <c r="R1373" s="116" t="s">
        <v>39</v>
      </c>
      <c r="S1373" s="116" t="s">
        <v>39</v>
      </c>
      <c r="T1373" s="104" t="s">
        <v>5325</v>
      </c>
      <c r="U1373" s="116"/>
      <c r="V1373" s="104" t="s">
        <v>5325</v>
      </c>
      <c r="W1373" s="116"/>
    </row>
    <row r="1374">
      <c r="A1374" s="114" t="s">
        <v>39</v>
      </c>
      <c r="B1374" s="115"/>
      <c r="C1374" s="116"/>
      <c r="D1374" s="116"/>
      <c r="E1374" s="116" t="str">
        <f>IFERROR(__xludf.DUMMYFUNCTION("""COMPUTED_VALUE"""),"")</f>
        <v/>
      </c>
      <c r="F1374" s="117" t="s">
        <v>39</v>
      </c>
      <c r="G1374" s="116"/>
      <c r="H1374" s="117"/>
      <c r="I1374" s="117"/>
      <c r="J1374" s="117"/>
      <c r="K1374" s="117"/>
      <c r="L1374" s="116"/>
      <c r="M1374" s="117"/>
      <c r="N1374" s="118" t="str">
        <f>IFERROR(__xludf.DUMMYFUNCTION("""COMPUTED_VALUE"""),"")</f>
        <v/>
      </c>
      <c r="O1374" s="116"/>
      <c r="P1374" s="116"/>
      <c r="Q1374" s="116"/>
      <c r="R1374" s="116" t="s">
        <v>39</v>
      </c>
      <c r="S1374" s="116" t="s">
        <v>39</v>
      </c>
      <c r="T1374" s="104" t="s">
        <v>5326</v>
      </c>
      <c r="U1374" s="116"/>
      <c r="V1374" s="104" t="s">
        <v>5326</v>
      </c>
      <c r="W1374" s="116"/>
    </row>
    <row r="1375">
      <c r="A1375" s="114" t="s">
        <v>39</v>
      </c>
      <c r="B1375" s="115"/>
      <c r="C1375" s="116"/>
      <c r="D1375" s="116"/>
      <c r="E1375" s="116" t="str">
        <f>IFERROR(__xludf.DUMMYFUNCTION("""COMPUTED_VALUE"""),"")</f>
        <v/>
      </c>
      <c r="F1375" s="117" t="s">
        <v>39</v>
      </c>
      <c r="G1375" s="116"/>
      <c r="H1375" s="117"/>
      <c r="I1375" s="117"/>
      <c r="J1375" s="117"/>
      <c r="K1375" s="117"/>
      <c r="L1375" s="116"/>
      <c r="M1375" s="117"/>
      <c r="N1375" s="118" t="str">
        <f>IFERROR(__xludf.DUMMYFUNCTION("""COMPUTED_VALUE"""),"")</f>
        <v/>
      </c>
      <c r="O1375" s="116"/>
      <c r="P1375" s="116"/>
      <c r="Q1375" s="116"/>
      <c r="R1375" s="116" t="s">
        <v>39</v>
      </c>
      <c r="S1375" s="116" t="s">
        <v>39</v>
      </c>
      <c r="T1375" s="104" t="s">
        <v>5327</v>
      </c>
      <c r="U1375" s="116"/>
      <c r="V1375" s="104" t="s">
        <v>5327</v>
      </c>
      <c r="W1375" s="116"/>
    </row>
    <row r="1376">
      <c r="A1376" s="114" t="s">
        <v>39</v>
      </c>
      <c r="B1376" s="115"/>
      <c r="C1376" s="116"/>
      <c r="D1376" s="116"/>
      <c r="E1376" s="116" t="str">
        <f>IFERROR(__xludf.DUMMYFUNCTION("""COMPUTED_VALUE"""),"")</f>
        <v/>
      </c>
      <c r="F1376" s="117" t="s">
        <v>39</v>
      </c>
      <c r="G1376" s="116"/>
      <c r="H1376" s="117"/>
      <c r="I1376" s="117"/>
      <c r="J1376" s="117"/>
      <c r="K1376" s="117"/>
      <c r="L1376" s="116"/>
      <c r="M1376" s="117"/>
      <c r="N1376" s="118" t="str">
        <f>IFERROR(__xludf.DUMMYFUNCTION("""COMPUTED_VALUE"""),"")</f>
        <v/>
      </c>
      <c r="O1376" s="116"/>
      <c r="P1376" s="116"/>
      <c r="Q1376" s="116"/>
      <c r="R1376" s="116" t="s">
        <v>39</v>
      </c>
      <c r="S1376" s="116" t="s">
        <v>39</v>
      </c>
      <c r="T1376" s="104" t="s">
        <v>5328</v>
      </c>
      <c r="U1376" s="116"/>
      <c r="V1376" s="104" t="s">
        <v>5328</v>
      </c>
      <c r="W1376" s="116"/>
    </row>
    <row r="1377">
      <c r="A1377" s="114" t="s">
        <v>39</v>
      </c>
      <c r="B1377" s="115"/>
      <c r="C1377" s="116"/>
      <c r="D1377" s="116"/>
      <c r="E1377" s="116" t="str">
        <f>IFERROR(__xludf.DUMMYFUNCTION("""COMPUTED_VALUE"""),"")</f>
        <v/>
      </c>
      <c r="F1377" s="117" t="s">
        <v>39</v>
      </c>
      <c r="G1377" s="116"/>
      <c r="H1377" s="117"/>
      <c r="I1377" s="117"/>
      <c r="J1377" s="117"/>
      <c r="K1377" s="117"/>
      <c r="L1377" s="116"/>
      <c r="M1377" s="117"/>
      <c r="N1377" s="118" t="str">
        <f>IFERROR(__xludf.DUMMYFUNCTION("""COMPUTED_VALUE"""),"")</f>
        <v/>
      </c>
      <c r="O1377" s="116"/>
      <c r="P1377" s="116"/>
      <c r="Q1377" s="116"/>
      <c r="R1377" s="116" t="s">
        <v>39</v>
      </c>
      <c r="S1377" s="116" t="s">
        <v>39</v>
      </c>
      <c r="T1377" s="104" t="s">
        <v>5329</v>
      </c>
      <c r="U1377" s="116"/>
      <c r="V1377" s="104" t="s">
        <v>5329</v>
      </c>
      <c r="W1377" s="116"/>
    </row>
    <row r="1378">
      <c r="A1378" s="114" t="s">
        <v>39</v>
      </c>
      <c r="B1378" s="115"/>
      <c r="C1378" s="116"/>
      <c r="D1378" s="116"/>
      <c r="E1378" s="116" t="str">
        <f>IFERROR(__xludf.DUMMYFUNCTION("""COMPUTED_VALUE"""),"")</f>
        <v/>
      </c>
      <c r="F1378" s="117" t="s">
        <v>39</v>
      </c>
      <c r="G1378" s="116"/>
      <c r="H1378" s="117"/>
      <c r="I1378" s="117"/>
      <c r="J1378" s="117"/>
      <c r="K1378" s="117"/>
      <c r="L1378" s="116"/>
      <c r="M1378" s="117"/>
      <c r="N1378" s="118" t="str">
        <f>IFERROR(__xludf.DUMMYFUNCTION("""COMPUTED_VALUE"""),"")</f>
        <v/>
      </c>
      <c r="O1378" s="116"/>
      <c r="P1378" s="116"/>
      <c r="Q1378" s="116"/>
      <c r="R1378" s="116" t="s">
        <v>39</v>
      </c>
      <c r="S1378" s="116" t="s">
        <v>39</v>
      </c>
      <c r="T1378" s="104" t="s">
        <v>5330</v>
      </c>
      <c r="U1378" s="116"/>
      <c r="V1378" s="104" t="s">
        <v>5330</v>
      </c>
      <c r="W1378" s="116"/>
    </row>
    <row r="1379">
      <c r="A1379" s="114" t="s">
        <v>39</v>
      </c>
      <c r="B1379" s="115"/>
      <c r="C1379" s="116"/>
      <c r="D1379" s="116"/>
      <c r="E1379" s="116" t="str">
        <f>IFERROR(__xludf.DUMMYFUNCTION("""COMPUTED_VALUE"""),"")</f>
        <v/>
      </c>
      <c r="F1379" s="117" t="s">
        <v>39</v>
      </c>
      <c r="G1379" s="116"/>
      <c r="H1379" s="117"/>
      <c r="I1379" s="117"/>
      <c r="J1379" s="117"/>
      <c r="K1379" s="117"/>
      <c r="L1379" s="116"/>
      <c r="M1379" s="117"/>
      <c r="N1379" s="118" t="str">
        <f>IFERROR(__xludf.DUMMYFUNCTION("""COMPUTED_VALUE"""),"")</f>
        <v/>
      </c>
      <c r="O1379" s="116"/>
      <c r="P1379" s="116"/>
      <c r="Q1379" s="116"/>
      <c r="R1379" s="116" t="s">
        <v>39</v>
      </c>
      <c r="S1379" s="116" t="s">
        <v>39</v>
      </c>
      <c r="T1379" s="104" t="s">
        <v>5331</v>
      </c>
      <c r="U1379" s="116"/>
      <c r="V1379" s="104" t="s">
        <v>5331</v>
      </c>
      <c r="W1379" s="116"/>
    </row>
    <row r="1380">
      <c r="A1380" s="114" t="s">
        <v>39</v>
      </c>
      <c r="B1380" s="115"/>
      <c r="C1380" s="116"/>
      <c r="D1380" s="116"/>
      <c r="E1380" s="116" t="str">
        <f>IFERROR(__xludf.DUMMYFUNCTION("""COMPUTED_VALUE"""),"")</f>
        <v/>
      </c>
      <c r="F1380" s="117" t="s">
        <v>39</v>
      </c>
      <c r="G1380" s="116"/>
      <c r="H1380" s="117"/>
      <c r="I1380" s="117"/>
      <c r="J1380" s="117"/>
      <c r="K1380" s="117"/>
      <c r="L1380" s="116"/>
      <c r="M1380" s="117"/>
      <c r="N1380" s="118" t="str">
        <f>IFERROR(__xludf.DUMMYFUNCTION("""COMPUTED_VALUE"""),"")</f>
        <v/>
      </c>
      <c r="O1380" s="116"/>
      <c r="P1380" s="116"/>
      <c r="Q1380" s="116"/>
      <c r="R1380" s="116" t="s">
        <v>39</v>
      </c>
      <c r="S1380" s="116" t="s">
        <v>39</v>
      </c>
      <c r="T1380" s="104" t="s">
        <v>5332</v>
      </c>
      <c r="U1380" s="116"/>
      <c r="V1380" s="104" t="s">
        <v>5332</v>
      </c>
      <c r="W1380" s="116"/>
    </row>
    <row r="1381">
      <c r="A1381" s="114" t="s">
        <v>39</v>
      </c>
      <c r="B1381" s="115"/>
      <c r="C1381" s="116"/>
      <c r="D1381" s="116"/>
      <c r="E1381" s="116" t="str">
        <f>IFERROR(__xludf.DUMMYFUNCTION("""COMPUTED_VALUE"""),"")</f>
        <v/>
      </c>
      <c r="F1381" s="117" t="s">
        <v>39</v>
      </c>
      <c r="G1381" s="116"/>
      <c r="H1381" s="117"/>
      <c r="I1381" s="117"/>
      <c r="J1381" s="117"/>
      <c r="K1381" s="117"/>
      <c r="L1381" s="116"/>
      <c r="M1381" s="117"/>
      <c r="N1381" s="118" t="str">
        <f>IFERROR(__xludf.DUMMYFUNCTION("""COMPUTED_VALUE"""),"")</f>
        <v/>
      </c>
      <c r="O1381" s="116"/>
      <c r="P1381" s="116"/>
      <c r="Q1381" s="116"/>
      <c r="R1381" s="116" t="s">
        <v>39</v>
      </c>
      <c r="S1381" s="116" t="s">
        <v>39</v>
      </c>
      <c r="T1381" s="104" t="s">
        <v>5333</v>
      </c>
      <c r="U1381" s="116"/>
      <c r="V1381" s="104" t="s">
        <v>5333</v>
      </c>
      <c r="W1381" s="116"/>
    </row>
    <row r="1382">
      <c r="A1382" s="114" t="s">
        <v>39</v>
      </c>
      <c r="B1382" s="115"/>
      <c r="C1382" s="116"/>
      <c r="D1382" s="116"/>
      <c r="E1382" s="116" t="str">
        <f>IFERROR(__xludf.DUMMYFUNCTION("""COMPUTED_VALUE"""),"")</f>
        <v/>
      </c>
      <c r="F1382" s="117" t="s">
        <v>39</v>
      </c>
      <c r="G1382" s="116"/>
      <c r="H1382" s="117"/>
      <c r="I1382" s="117"/>
      <c r="J1382" s="117"/>
      <c r="K1382" s="117"/>
      <c r="L1382" s="116"/>
      <c r="M1382" s="117"/>
      <c r="N1382" s="118" t="str">
        <f>IFERROR(__xludf.DUMMYFUNCTION("""COMPUTED_VALUE"""),"")</f>
        <v/>
      </c>
      <c r="O1382" s="116"/>
      <c r="P1382" s="116"/>
      <c r="Q1382" s="116"/>
      <c r="R1382" s="116" t="s">
        <v>39</v>
      </c>
      <c r="S1382" s="116" t="s">
        <v>39</v>
      </c>
      <c r="T1382" s="104" t="s">
        <v>5334</v>
      </c>
      <c r="U1382" s="116"/>
      <c r="V1382" s="104" t="s">
        <v>5334</v>
      </c>
      <c r="W1382" s="116"/>
    </row>
    <row r="1383">
      <c r="A1383" s="114" t="s">
        <v>39</v>
      </c>
      <c r="B1383" s="115"/>
      <c r="C1383" s="116"/>
      <c r="D1383" s="116"/>
      <c r="E1383" s="116" t="str">
        <f>IFERROR(__xludf.DUMMYFUNCTION("""COMPUTED_VALUE"""),"")</f>
        <v/>
      </c>
      <c r="F1383" s="117" t="s">
        <v>39</v>
      </c>
      <c r="G1383" s="116"/>
      <c r="H1383" s="117"/>
      <c r="I1383" s="117"/>
      <c r="J1383" s="117"/>
      <c r="K1383" s="117"/>
      <c r="L1383" s="116"/>
      <c r="M1383" s="117"/>
      <c r="N1383" s="118" t="str">
        <f>IFERROR(__xludf.DUMMYFUNCTION("""COMPUTED_VALUE"""),"")</f>
        <v/>
      </c>
      <c r="O1383" s="116"/>
      <c r="P1383" s="116"/>
      <c r="Q1383" s="116"/>
      <c r="R1383" s="116" t="s">
        <v>39</v>
      </c>
      <c r="S1383" s="116" t="s">
        <v>39</v>
      </c>
      <c r="T1383" s="104" t="s">
        <v>5335</v>
      </c>
      <c r="U1383" s="116"/>
      <c r="V1383" s="104" t="s">
        <v>5335</v>
      </c>
      <c r="W1383" s="116"/>
    </row>
    <row r="1384">
      <c r="A1384" s="114" t="s">
        <v>39</v>
      </c>
      <c r="B1384" s="115"/>
      <c r="C1384" s="116"/>
      <c r="D1384" s="116"/>
      <c r="E1384" s="116" t="str">
        <f>IFERROR(__xludf.DUMMYFUNCTION("""COMPUTED_VALUE"""),"")</f>
        <v/>
      </c>
      <c r="F1384" s="117" t="s">
        <v>39</v>
      </c>
      <c r="G1384" s="116"/>
      <c r="H1384" s="117"/>
      <c r="I1384" s="117"/>
      <c r="J1384" s="117"/>
      <c r="K1384" s="117"/>
      <c r="L1384" s="116"/>
      <c r="M1384" s="117"/>
      <c r="N1384" s="118" t="str">
        <f>IFERROR(__xludf.DUMMYFUNCTION("""COMPUTED_VALUE"""),"")</f>
        <v/>
      </c>
      <c r="O1384" s="116"/>
      <c r="P1384" s="116"/>
      <c r="Q1384" s="116"/>
      <c r="R1384" s="116" t="s">
        <v>39</v>
      </c>
      <c r="S1384" s="116" t="s">
        <v>39</v>
      </c>
      <c r="T1384" s="104" t="s">
        <v>5336</v>
      </c>
      <c r="U1384" s="116"/>
      <c r="V1384" s="104" t="s">
        <v>5336</v>
      </c>
      <c r="W1384" s="116"/>
    </row>
    <row r="1385">
      <c r="A1385" s="114" t="s">
        <v>39</v>
      </c>
      <c r="B1385" s="115"/>
      <c r="C1385" s="116"/>
      <c r="D1385" s="116"/>
      <c r="E1385" s="116" t="str">
        <f>IFERROR(__xludf.DUMMYFUNCTION("""COMPUTED_VALUE"""),"")</f>
        <v/>
      </c>
      <c r="F1385" s="117" t="s">
        <v>39</v>
      </c>
      <c r="G1385" s="116"/>
      <c r="H1385" s="117"/>
      <c r="I1385" s="117"/>
      <c r="J1385" s="117"/>
      <c r="K1385" s="117"/>
      <c r="L1385" s="116"/>
      <c r="M1385" s="117"/>
      <c r="N1385" s="118" t="str">
        <f>IFERROR(__xludf.DUMMYFUNCTION("""COMPUTED_VALUE"""),"")</f>
        <v/>
      </c>
      <c r="O1385" s="116"/>
      <c r="P1385" s="116"/>
      <c r="Q1385" s="116"/>
      <c r="R1385" s="116" t="s">
        <v>39</v>
      </c>
      <c r="S1385" s="116" t="s">
        <v>39</v>
      </c>
      <c r="T1385" s="104" t="s">
        <v>5337</v>
      </c>
      <c r="U1385" s="116"/>
      <c r="V1385" s="104" t="s">
        <v>5337</v>
      </c>
      <c r="W1385" s="116"/>
    </row>
    <row r="1386">
      <c r="A1386" s="114" t="s">
        <v>39</v>
      </c>
      <c r="B1386" s="115"/>
      <c r="C1386" s="116"/>
      <c r="D1386" s="116"/>
      <c r="E1386" s="116" t="str">
        <f>IFERROR(__xludf.DUMMYFUNCTION("""COMPUTED_VALUE"""),"")</f>
        <v/>
      </c>
      <c r="F1386" s="117" t="s">
        <v>39</v>
      </c>
      <c r="G1386" s="116"/>
      <c r="H1386" s="117"/>
      <c r="I1386" s="117"/>
      <c r="J1386" s="117"/>
      <c r="K1386" s="117"/>
      <c r="L1386" s="116"/>
      <c r="M1386" s="117"/>
      <c r="N1386" s="118" t="str">
        <f>IFERROR(__xludf.DUMMYFUNCTION("""COMPUTED_VALUE"""),"")</f>
        <v/>
      </c>
      <c r="O1386" s="116"/>
      <c r="P1386" s="116"/>
      <c r="Q1386" s="116"/>
      <c r="R1386" s="116" t="s">
        <v>39</v>
      </c>
      <c r="S1386" s="116" t="s">
        <v>39</v>
      </c>
      <c r="T1386" s="104" t="s">
        <v>5338</v>
      </c>
      <c r="U1386" s="116"/>
      <c r="V1386" s="104" t="s">
        <v>5338</v>
      </c>
      <c r="W1386" s="116"/>
    </row>
    <row r="1387">
      <c r="A1387" s="114" t="s">
        <v>39</v>
      </c>
      <c r="B1387" s="115"/>
      <c r="C1387" s="116"/>
      <c r="D1387" s="116"/>
      <c r="E1387" s="116" t="str">
        <f>IFERROR(__xludf.DUMMYFUNCTION("""COMPUTED_VALUE"""),"")</f>
        <v/>
      </c>
      <c r="F1387" s="117" t="s">
        <v>39</v>
      </c>
      <c r="G1387" s="116"/>
      <c r="H1387" s="117"/>
      <c r="I1387" s="117"/>
      <c r="J1387" s="117"/>
      <c r="K1387" s="117"/>
      <c r="L1387" s="116"/>
      <c r="M1387" s="117"/>
      <c r="N1387" s="118" t="str">
        <f>IFERROR(__xludf.DUMMYFUNCTION("""COMPUTED_VALUE"""),"")</f>
        <v/>
      </c>
      <c r="O1387" s="116"/>
      <c r="P1387" s="116"/>
      <c r="Q1387" s="116"/>
      <c r="R1387" s="116" t="s">
        <v>39</v>
      </c>
      <c r="S1387" s="116" t="s">
        <v>39</v>
      </c>
      <c r="T1387" s="104" t="s">
        <v>5339</v>
      </c>
      <c r="U1387" s="116"/>
      <c r="V1387" s="104" t="s">
        <v>5339</v>
      </c>
      <c r="W1387" s="116"/>
    </row>
    <row r="1388">
      <c r="A1388" s="114" t="s">
        <v>39</v>
      </c>
      <c r="B1388" s="115"/>
      <c r="C1388" s="116"/>
      <c r="D1388" s="116"/>
      <c r="E1388" s="116" t="str">
        <f>IFERROR(__xludf.DUMMYFUNCTION("""COMPUTED_VALUE"""),"")</f>
        <v/>
      </c>
      <c r="F1388" s="117" t="s">
        <v>39</v>
      </c>
      <c r="G1388" s="116"/>
      <c r="H1388" s="117"/>
      <c r="I1388" s="117"/>
      <c r="J1388" s="117"/>
      <c r="K1388" s="117"/>
      <c r="L1388" s="116"/>
      <c r="M1388" s="117"/>
      <c r="N1388" s="118" t="str">
        <f>IFERROR(__xludf.DUMMYFUNCTION("""COMPUTED_VALUE"""),"")</f>
        <v/>
      </c>
      <c r="O1388" s="116"/>
      <c r="P1388" s="116"/>
      <c r="Q1388" s="116"/>
      <c r="R1388" s="116" t="s">
        <v>39</v>
      </c>
      <c r="S1388" s="116" t="s">
        <v>39</v>
      </c>
      <c r="T1388" s="104" t="s">
        <v>5340</v>
      </c>
      <c r="U1388" s="116"/>
      <c r="V1388" s="104" t="s">
        <v>5340</v>
      </c>
      <c r="W1388" s="116"/>
    </row>
    <row r="1389">
      <c r="A1389" s="114" t="s">
        <v>39</v>
      </c>
      <c r="B1389" s="115"/>
      <c r="C1389" s="116"/>
      <c r="D1389" s="116"/>
      <c r="E1389" s="116" t="str">
        <f>IFERROR(__xludf.DUMMYFUNCTION("""COMPUTED_VALUE"""),"")</f>
        <v/>
      </c>
      <c r="F1389" s="117" t="s">
        <v>39</v>
      </c>
      <c r="G1389" s="116"/>
      <c r="H1389" s="117"/>
      <c r="I1389" s="117"/>
      <c r="J1389" s="117"/>
      <c r="K1389" s="117"/>
      <c r="L1389" s="116"/>
      <c r="M1389" s="117"/>
      <c r="N1389" s="118" t="str">
        <f>IFERROR(__xludf.DUMMYFUNCTION("""COMPUTED_VALUE"""),"")</f>
        <v/>
      </c>
      <c r="O1389" s="116"/>
      <c r="P1389" s="116"/>
      <c r="Q1389" s="116"/>
      <c r="R1389" s="116" t="s">
        <v>39</v>
      </c>
      <c r="S1389" s="116" t="s">
        <v>39</v>
      </c>
      <c r="T1389" s="104" t="s">
        <v>5341</v>
      </c>
      <c r="U1389" s="116"/>
      <c r="V1389" s="104" t="s">
        <v>5341</v>
      </c>
      <c r="W1389" s="116"/>
    </row>
    <row r="1390">
      <c r="A1390" s="114" t="s">
        <v>39</v>
      </c>
      <c r="B1390" s="115"/>
      <c r="C1390" s="116"/>
      <c r="D1390" s="116"/>
      <c r="E1390" s="116" t="str">
        <f>IFERROR(__xludf.DUMMYFUNCTION("""COMPUTED_VALUE"""),"")</f>
        <v/>
      </c>
      <c r="F1390" s="117" t="s">
        <v>39</v>
      </c>
      <c r="G1390" s="116"/>
      <c r="H1390" s="117"/>
      <c r="I1390" s="117"/>
      <c r="J1390" s="117"/>
      <c r="K1390" s="117"/>
      <c r="L1390" s="116"/>
      <c r="M1390" s="117"/>
      <c r="N1390" s="118" t="str">
        <f>IFERROR(__xludf.DUMMYFUNCTION("""COMPUTED_VALUE"""),"")</f>
        <v/>
      </c>
      <c r="O1390" s="116"/>
      <c r="P1390" s="116"/>
      <c r="Q1390" s="116"/>
      <c r="R1390" s="116" t="s">
        <v>39</v>
      </c>
      <c r="S1390" s="116" t="s">
        <v>39</v>
      </c>
      <c r="T1390" s="104" t="s">
        <v>5342</v>
      </c>
      <c r="U1390" s="116"/>
      <c r="V1390" s="104" t="s">
        <v>5342</v>
      </c>
      <c r="W1390" s="116"/>
    </row>
    <row r="1391">
      <c r="A1391" s="114" t="s">
        <v>39</v>
      </c>
      <c r="B1391" s="115"/>
      <c r="C1391" s="116"/>
      <c r="D1391" s="116"/>
      <c r="E1391" s="116" t="str">
        <f>IFERROR(__xludf.DUMMYFUNCTION("""COMPUTED_VALUE"""),"")</f>
        <v/>
      </c>
      <c r="F1391" s="117" t="s">
        <v>39</v>
      </c>
      <c r="G1391" s="116"/>
      <c r="H1391" s="117"/>
      <c r="I1391" s="117"/>
      <c r="J1391" s="117"/>
      <c r="K1391" s="117"/>
      <c r="L1391" s="116"/>
      <c r="M1391" s="117"/>
      <c r="N1391" s="118" t="str">
        <f>IFERROR(__xludf.DUMMYFUNCTION("""COMPUTED_VALUE"""),"")</f>
        <v/>
      </c>
      <c r="O1391" s="116"/>
      <c r="P1391" s="116"/>
      <c r="Q1391" s="116"/>
      <c r="R1391" s="116" t="s">
        <v>39</v>
      </c>
      <c r="S1391" s="116" t="s">
        <v>39</v>
      </c>
      <c r="T1391" s="104" t="s">
        <v>5343</v>
      </c>
      <c r="U1391" s="116"/>
      <c r="V1391" s="104" t="s">
        <v>5343</v>
      </c>
      <c r="W1391" s="116"/>
    </row>
    <row r="1392">
      <c r="A1392" s="114" t="s">
        <v>39</v>
      </c>
      <c r="B1392" s="115"/>
      <c r="C1392" s="116"/>
      <c r="D1392" s="116"/>
      <c r="E1392" s="116" t="str">
        <f>IFERROR(__xludf.DUMMYFUNCTION("""COMPUTED_VALUE"""),"")</f>
        <v/>
      </c>
      <c r="F1392" s="117" t="s">
        <v>39</v>
      </c>
      <c r="G1392" s="116"/>
      <c r="H1392" s="117"/>
      <c r="I1392" s="117"/>
      <c r="J1392" s="117"/>
      <c r="K1392" s="117"/>
      <c r="L1392" s="116"/>
      <c r="M1392" s="117"/>
      <c r="N1392" s="118" t="str">
        <f>IFERROR(__xludf.DUMMYFUNCTION("""COMPUTED_VALUE"""),"")</f>
        <v/>
      </c>
      <c r="O1392" s="116"/>
      <c r="P1392" s="116"/>
      <c r="Q1392" s="116"/>
      <c r="R1392" s="116" t="s">
        <v>39</v>
      </c>
      <c r="S1392" s="116" t="s">
        <v>39</v>
      </c>
      <c r="T1392" s="104" t="s">
        <v>5344</v>
      </c>
      <c r="U1392" s="116"/>
      <c r="V1392" s="104" t="s">
        <v>5344</v>
      </c>
      <c r="W1392" s="116"/>
    </row>
    <row r="1393">
      <c r="A1393" s="114" t="s">
        <v>39</v>
      </c>
      <c r="B1393" s="115"/>
      <c r="C1393" s="116"/>
      <c r="D1393" s="116"/>
      <c r="E1393" s="116" t="str">
        <f>IFERROR(__xludf.DUMMYFUNCTION("""COMPUTED_VALUE"""),"")</f>
        <v/>
      </c>
      <c r="F1393" s="117" t="s">
        <v>39</v>
      </c>
      <c r="G1393" s="116"/>
      <c r="H1393" s="117"/>
      <c r="I1393" s="117"/>
      <c r="J1393" s="117"/>
      <c r="K1393" s="117"/>
      <c r="L1393" s="116"/>
      <c r="M1393" s="117"/>
      <c r="N1393" s="118" t="str">
        <f>IFERROR(__xludf.DUMMYFUNCTION("""COMPUTED_VALUE"""),"")</f>
        <v/>
      </c>
      <c r="O1393" s="116"/>
      <c r="P1393" s="116"/>
      <c r="Q1393" s="116"/>
      <c r="R1393" s="116" t="s">
        <v>39</v>
      </c>
      <c r="S1393" s="116" t="s">
        <v>39</v>
      </c>
      <c r="T1393" s="104" t="s">
        <v>5345</v>
      </c>
      <c r="U1393" s="116"/>
      <c r="V1393" s="104" t="s">
        <v>5345</v>
      </c>
      <c r="W1393" s="116"/>
    </row>
    <row r="1394">
      <c r="A1394" s="114" t="s">
        <v>39</v>
      </c>
      <c r="B1394" s="115"/>
      <c r="C1394" s="116"/>
      <c r="D1394" s="116"/>
      <c r="E1394" s="116" t="str">
        <f>IFERROR(__xludf.DUMMYFUNCTION("""COMPUTED_VALUE"""),"")</f>
        <v/>
      </c>
      <c r="F1394" s="117" t="s">
        <v>39</v>
      </c>
      <c r="G1394" s="116"/>
      <c r="H1394" s="117"/>
      <c r="I1394" s="117"/>
      <c r="J1394" s="117"/>
      <c r="K1394" s="117"/>
      <c r="L1394" s="116"/>
      <c r="M1394" s="117"/>
      <c r="N1394" s="118" t="str">
        <f>IFERROR(__xludf.DUMMYFUNCTION("""COMPUTED_VALUE"""),"")</f>
        <v/>
      </c>
      <c r="O1394" s="116"/>
      <c r="P1394" s="116"/>
      <c r="Q1394" s="116"/>
      <c r="R1394" s="116" t="s">
        <v>39</v>
      </c>
      <c r="S1394" s="116" t="s">
        <v>39</v>
      </c>
      <c r="T1394" s="104" t="s">
        <v>5346</v>
      </c>
      <c r="U1394" s="116"/>
      <c r="V1394" s="104" t="s">
        <v>5346</v>
      </c>
      <c r="W1394" s="116"/>
    </row>
    <row r="1395">
      <c r="A1395" s="114" t="s">
        <v>39</v>
      </c>
      <c r="B1395" s="115"/>
      <c r="C1395" s="116"/>
      <c r="D1395" s="116"/>
      <c r="E1395" s="116" t="str">
        <f>IFERROR(__xludf.DUMMYFUNCTION("""COMPUTED_VALUE"""),"")</f>
        <v/>
      </c>
      <c r="F1395" s="117" t="s">
        <v>39</v>
      </c>
      <c r="G1395" s="116"/>
      <c r="H1395" s="117"/>
      <c r="I1395" s="117"/>
      <c r="J1395" s="117"/>
      <c r="K1395" s="117"/>
      <c r="L1395" s="116"/>
      <c r="M1395" s="117"/>
      <c r="N1395" s="118" t="str">
        <f>IFERROR(__xludf.DUMMYFUNCTION("""COMPUTED_VALUE"""),"")</f>
        <v/>
      </c>
      <c r="O1395" s="116"/>
      <c r="P1395" s="116"/>
      <c r="Q1395" s="116"/>
      <c r="R1395" s="116" t="s">
        <v>39</v>
      </c>
      <c r="S1395" s="116" t="s">
        <v>39</v>
      </c>
      <c r="T1395" s="104" t="s">
        <v>5347</v>
      </c>
      <c r="U1395" s="116"/>
      <c r="V1395" s="104" t="s">
        <v>5347</v>
      </c>
      <c r="W1395" s="116"/>
    </row>
    <row r="1396">
      <c r="A1396" s="114" t="s">
        <v>39</v>
      </c>
      <c r="B1396" s="115"/>
      <c r="C1396" s="116"/>
      <c r="D1396" s="116"/>
      <c r="E1396" s="116" t="str">
        <f>IFERROR(__xludf.DUMMYFUNCTION("""COMPUTED_VALUE"""),"")</f>
        <v/>
      </c>
      <c r="F1396" s="117" t="s">
        <v>39</v>
      </c>
      <c r="G1396" s="116"/>
      <c r="H1396" s="117"/>
      <c r="I1396" s="117"/>
      <c r="J1396" s="117"/>
      <c r="K1396" s="117"/>
      <c r="L1396" s="116"/>
      <c r="M1396" s="117"/>
      <c r="N1396" s="118" t="str">
        <f>IFERROR(__xludf.DUMMYFUNCTION("""COMPUTED_VALUE"""),"")</f>
        <v/>
      </c>
      <c r="O1396" s="116"/>
      <c r="P1396" s="116"/>
      <c r="Q1396" s="116"/>
      <c r="R1396" s="116" t="s">
        <v>39</v>
      </c>
      <c r="S1396" s="116" t="s">
        <v>39</v>
      </c>
      <c r="T1396" s="104" t="s">
        <v>5348</v>
      </c>
      <c r="U1396" s="116"/>
      <c r="V1396" s="104" t="s">
        <v>5348</v>
      </c>
      <c r="W1396" s="116"/>
    </row>
    <row r="1397">
      <c r="A1397" s="114" t="s">
        <v>39</v>
      </c>
      <c r="B1397" s="115"/>
      <c r="C1397" s="116"/>
      <c r="D1397" s="116"/>
      <c r="E1397" s="116" t="str">
        <f>IFERROR(__xludf.DUMMYFUNCTION("""COMPUTED_VALUE"""),"")</f>
        <v/>
      </c>
      <c r="F1397" s="117" t="s">
        <v>39</v>
      </c>
      <c r="G1397" s="116"/>
      <c r="H1397" s="117"/>
      <c r="I1397" s="117"/>
      <c r="J1397" s="117"/>
      <c r="K1397" s="117"/>
      <c r="L1397" s="116"/>
      <c r="M1397" s="117"/>
      <c r="N1397" s="118" t="str">
        <f>IFERROR(__xludf.DUMMYFUNCTION("""COMPUTED_VALUE"""),"")</f>
        <v/>
      </c>
      <c r="O1397" s="116"/>
      <c r="P1397" s="116"/>
      <c r="Q1397" s="116"/>
      <c r="R1397" s="116" t="s">
        <v>39</v>
      </c>
      <c r="S1397" s="116" t="s">
        <v>39</v>
      </c>
      <c r="T1397" s="104" t="s">
        <v>5349</v>
      </c>
      <c r="U1397" s="116"/>
      <c r="V1397" s="104" t="s">
        <v>5349</v>
      </c>
      <c r="W1397" s="116"/>
    </row>
    <row r="1398">
      <c r="A1398" s="114" t="s">
        <v>39</v>
      </c>
      <c r="B1398" s="115"/>
      <c r="C1398" s="116"/>
      <c r="D1398" s="116"/>
      <c r="E1398" s="116" t="str">
        <f>IFERROR(__xludf.DUMMYFUNCTION("""COMPUTED_VALUE"""),"")</f>
        <v/>
      </c>
      <c r="F1398" s="117" t="s">
        <v>39</v>
      </c>
      <c r="G1398" s="116"/>
      <c r="H1398" s="117"/>
      <c r="I1398" s="117"/>
      <c r="J1398" s="117"/>
      <c r="K1398" s="117"/>
      <c r="L1398" s="116"/>
      <c r="M1398" s="117"/>
      <c r="N1398" s="118" t="str">
        <f>IFERROR(__xludf.DUMMYFUNCTION("""COMPUTED_VALUE"""),"")</f>
        <v/>
      </c>
      <c r="O1398" s="116"/>
      <c r="P1398" s="116"/>
      <c r="Q1398" s="116"/>
      <c r="R1398" s="116" t="s">
        <v>39</v>
      </c>
      <c r="S1398" s="116" t="s">
        <v>39</v>
      </c>
      <c r="T1398" s="104" t="s">
        <v>5350</v>
      </c>
      <c r="U1398" s="116"/>
      <c r="V1398" s="104" t="s">
        <v>5350</v>
      </c>
      <c r="W1398" s="116"/>
    </row>
    <row r="1399">
      <c r="A1399" s="114" t="s">
        <v>39</v>
      </c>
      <c r="B1399" s="115"/>
      <c r="C1399" s="116"/>
      <c r="D1399" s="116"/>
      <c r="E1399" s="116" t="str">
        <f>IFERROR(__xludf.DUMMYFUNCTION("""COMPUTED_VALUE"""),"")</f>
        <v/>
      </c>
      <c r="F1399" s="117" t="s">
        <v>39</v>
      </c>
      <c r="G1399" s="116"/>
      <c r="H1399" s="117"/>
      <c r="I1399" s="117"/>
      <c r="J1399" s="117"/>
      <c r="K1399" s="117"/>
      <c r="L1399" s="116"/>
      <c r="M1399" s="117"/>
      <c r="N1399" s="118" t="str">
        <f>IFERROR(__xludf.DUMMYFUNCTION("""COMPUTED_VALUE"""),"")</f>
        <v/>
      </c>
      <c r="O1399" s="116"/>
      <c r="P1399" s="116"/>
      <c r="Q1399" s="116"/>
      <c r="R1399" s="116" t="s">
        <v>39</v>
      </c>
      <c r="S1399" s="116" t="s">
        <v>39</v>
      </c>
      <c r="T1399" s="104" t="s">
        <v>5351</v>
      </c>
      <c r="U1399" s="116"/>
      <c r="V1399" s="104" t="s">
        <v>5351</v>
      </c>
      <c r="W1399" s="116"/>
    </row>
    <row r="1400">
      <c r="A1400" s="114" t="s">
        <v>39</v>
      </c>
      <c r="B1400" s="115"/>
      <c r="C1400" s="116"/>
      <c r="D1400" s="116"/>
      <c r="E1400" s="116" t="str">
        <f>IFERROR(__xludf.DUMMYFUNCTION("""COMPUTED_VALUE"""),"")</f>
        <v/>
      </c>
      <c r="F1400" s="117" t="s">
        <v>39</v>
      </c>
      <c r="G1400" s="116"/>
      <c r="H1400" s="117"/>
      <c r="I1400" s="117"/>
      <c r="J1400" s="117"/>
      <c r="K1400" s="117"/>
      <c r="L1400" s="116"/>
      <c r="M1400" s="117"/>
      <c r="N1400" s="118" t="str">
        <f>IFERROR(__xludf.DUMMYFUNCTION("""COMPUTED_VALUE"""),"")</f>
        <v/>
      </c>
      <c r="O1400" s="116"/>
      <c r="P1400" s="116"/>
      <c r="Q1400" s="116"/>
      <c r="R1400" s="116" t="s">
        <v>39</v>
      </c>
      <c r="S1400" s="116" t="s">
        <v>39</v>
      </c>
      <c r="T1400" s="104" t="s">
        <v>5352</v>
      </c>
      <c r="U1400" s="116"/>
      <c r="V1400" s="104" t="s">
        <v>5352</v>
      </c>
      <c r="W1400" s="116"/>
    </row>
    <row r="1401">
      <c r="A1401" s="114" t="s">
        <v>39</v>
      </c>
      <c r="B1401" s="115"/>
      <c r="C1401" s="116"/>
      <c r="D1401" s="116"/>
      <c r="E1401" s="116" t="str">
        <f>IFERROR(__xludf.DUMMYFUNCTION("""COMPUTED_VALUE"""),"")</f>
        <v/>
      </c>
      <c r="F1401" s="117" t="s">
        <v>39</v>
      </c>
      <c r="G1401" s="116"/>
      <c r="H1401" s="117"/>
      <c r="I1401" s="117"/>
      <c r="J1401" s="117"/>
      <c r="K1401" s="117"/>
      <c r="L1401" s="116"/>
      <c r="M1401" s="117"/>
      <c r="N1401" s="118" t="str">
        <f>IFERROR(__xludf.DUMMYFUNCTION("""COMPUTED_VALUE"""),"")</f>
        <v/>
      </c>
      <c r="O1401" s="116"/>
      <c r="P1401" s="116"/>
      <c r="Q1401" s="116"/>
      <c r="R1401" s="116" t="s">
        <v>39</v>
      </c>
      <c r="S1401" s="116" t="s">
        <v>39</v>
      </c>
      <c r="T1401" s="104" t="s">
        <v>5353</v>
      </c>
      <c r="U1401" s="116"/>
      <c r="V1401" s="104" t="s">
        <v>5353</v>
      </c>
      <c r="W1401" s="116"/>
    </row>
    <row r="1402">
      <c r="A1402" s="114" t="s">
        <v>39</v>
      </c>
      <c r="B1402" s="115"/>
      <c r="C1402" s="116"/>
      <c r="D1402" s="116"/>
      <c r="E1402" s="116" t="str">
        <f>IFERROR(__xludf.DUMMYFUNCTION("""COMPUTED_VALUE"""),"")</f>
        <v/>
      </c>
      <c r="F1402" s="117" t="s">
        <v>39</v>
      </c>
      <c r="G1402" s="116"/>
      <c r="H1402" s="117"/>
      <c r="I1402" s="117"/>
      <c r="J1402" s="117"/>
      <c r="K1402" s="117"/>
      <c r="L1402" s="116"/>
      <c r="M1402" s="117"/>
      <c r="N1402" s="118" t="str">
        <f>IFERROR(__xludf.DUMMYFUNCTION("""COMPUTED_VALUE"""),"")</f>
        <v/>
      </c>
      <c r="O1402" s="116"/>
      <c r="P1402" s="116"/>
      <c r="Q1402" s="116"/>
      <c r="R1402" s="116" t="s">
        <v>39</v>
      </c>
      <c r="S1402" s="116" t="s">
        <v>39</v>
      </c>
      <c r="T1402" s="104" t="s">
        <v>5354</v>
      </c>
      <c r="U1402" s="116"/>
      <c r="V1402" s="104" t="s">
        <v>5354</v>
      </c>
      <c r="W1402" s="116"/>
    </row>
    <row r="1403">
      <c r="A1403" s="114" t="s">
        <v>39</v>
      </c>
      <c r="B1403" s="115"/>
      <c r="C1403" s="116"/>
      <c r="D1403" s="116"/>
      <c r="E1403" s="116" t="str">
        <f>IFERROR(__xludf.DUMMYFUNCTION("""COMPUTED_VALUE"""),"")</f>
        <v/>
      </c>
      <c r="F1403" s="117" t="s">
        <v>39</v>
      </c>
      <c r="G1403" s="116"/>
      <c r="H1403" s="117"/>
      <c r="I1403" s="117"/>
      <c r="J1403" s="117"/>
      <c r="K1403" s="117"/>
      <c r="L1403" s="116"/>
      <c r="M1403" s="117"/>
      <c r="N1403" s="118" t="str">
        <f>IFERROR(__xludf.DUMMYFUNCTION("""COMPUTED_VALUE"""),"")</f>
        <v/>
      </c>
      <c r="O1403" s="116"/>
      <c r="P1403" s="116"/>
      <c r="Q1403" s="116"/>
      <c r="R1403" s="116" t="s">
        <v>39</v>
      </c>
      <c r="S1403" s="116" t="s">
        <v>39</v>
      </c>
      <c r="T1403" s="104" t="s">
        <v>5355</v>
      </c>
      <c r="U1403" s="116"/>
      <c r="V1403" s="104" t="s">
        <v>5355</v>
      </c>
      <c r="W1403" s="116"/>
    </row>
    <row r="1404">
      <c r="A1404" s="114" t="s">
        <v>39</v>
      </c>
      <c r="B1404" s="115"/>
      <c r="C1404" s="116"/>
      <c r="D1404" s="116"/>
      <c r="E1404" s="116" t="str">
        <f>IFERROR(__xludf.DUMMYFUNCTION("""COMPUTED_VALUE"""),"")</f>
        <v/>
      </c>
      <c r="F1404" s="117" t="s">
        <v>39</v>
      </c>
      <c r="G1404" s="116"/>
      <c r="H1404" s="117"/>
      <c r="I1404" s="117"/>
      <c r="J1404" s="117"/>
      <c r="K1404" s="117"/>
      <c r="L1404" s="116"/>
      <c r="M1404" s="117"/>
      <c r="N1404" s="118" t="str">
        <f>IFERROR(__xludf.DUMMYFUNCTION("""COMPUTED_VALUE"""),"")</f>
        <v/>
      </c>
      <c r="O1404" s="116"/>
      <c r="P1404" s="116"/>
      <c r="Q1404" s="116"/>
      <c r="R1404" s="116" t="s">
        <v>39</v>
      </c>
      <c r="S1404" s="116" t="s">
        <v>39</v>
      </c>
      <c r="T1404" s="104" t="s">
        <v>5356</v>
      </c>
      <c r="U1404" s="116"/>
      <c r="V1404" s="104" t="s">
        <v>5356</v>
      </c>
      <c r="W1404" s="116"/>
    </row>
    <row r="1405">
      <c r="A1405" s="114" t="s">
        <v>39</v>
      </c>
      <c r="B1405" s="115"/>
      <c r="C1405" s="116"/>
      <c r="D1405" s="116"/>
      <c r="E1405" s="116" t="str">
        <f>IFERROR(__xludf.DUMMYFUNCTION("""COMPUTED_VALUE"""),"")</f>
        <v/>
      </c>
      <c r="F1405" s="117" t="s">
        <v>39</v>
      </c>
      <c r="G1405" s="116"/>
      <c r="H1405" s="117"/>
      <c r="I1405" s="117"/>
      <c r="J1405" s="117"/>
      <c r="K1405" s="117"/>
      <c r="L1405" s="116"/>
      <c r="M1405" s="117"/>
      <c r="N1405" s="118" t="str">
        <f>IFERROR(__xludf.DUMMYFUNCTION("""COMPUTED_VALUE"""),"")</f>
        <v/>
      </c>
      <c r="O1405" s="116"/>
      <c r="P1405" s="116"/>
      <c r="Q1405" s="116"/>
      <c r="R1405" s="116" t="s">
        <v>39</v>
      </c>
      <c r="S1405" s="116" t="s">
        <v>39</v>
      </c>
      <c r="T1405" s="104" t="s">
        <v>5357</v>
      </c>
      <c r="U1405" s="116"/>
      <c r="V1405" s="104" t="s">
        <v>5357</v>
      </c>
      <c r="W1405" s="116"/>
    </row>
    <row r="1406">
      <c r="A1406" s="114" t="s">
        <v>39</v>
      </c>
      <c r="B1406" s="115"/>
      <c r="C1406" s="116"/>
      <c r="D1406" s="116"/>
      <c r="E1406" s="116" t="str">
        <f>IFERROR(__xludf.DUMMYFUNCTION("""COMPUTED_VALUE"""),"")</f>
        <v/>
      </c>
      <c r="F1406" s="117" t="s">
        <v>39</v>
      </c>
      <c r="G1406" s="116"/>
      <c r="H1406" s="117"/>
      <c r="I1406" s="117"/>
      <c r="J1406" s="117"/>
      <c r="K1406" s="117"/>
      <c r="L1406" s="116"/>
      <c r="M1406" s="117"/>
      <c r="N1406" s="118" t="str">
        <f>IFERROR(__xludf.DUMMYFUNCTION("""COMPUTED_VALUE"""),"")</f>
        <v/>
      </c>
      <c r="O1406" s="116"/>
      <c r="P1406" s="116"/>
      <c r="Q1406" s="116"/>
      <c r="R1406" s="116" t="s">
        <v>39</v>
      </c>
      <c r="S1406" s="116" t="s">
        <v>39</v>
      </c>
      <c r="T1406" s="104" t="s">
        <v>5358</v>
      </c>
      <c r="U1406" s="116"/>
      <c r="V1406" s="104" t="s">
        <v>5358</v>
      </c>
      <c r="W1406" s="116"/>
    </row>
    <row r="1407">
      <c r="A1407" s="114" t="s">
        <v>39</v>
      </c>
      <c r="B1407" s="115"/>
      <c r="C1407" s="116"/>
      <c r="D1407" s="116"/>
      <c r="E1407" s="116" t="str">
        <f>IFERROR(__xludf.DUMMYFUNCTION("""COMPUTED_VALUE"""),"")</f>
        <v/>
      </c>
      <c r="F1407" s="117" t="s">
        <v>39</v>
      </c>
      <c r="G1407" s="116"/>
      <c r="H1407" s="117"/>
      <c r="I1407" s="117"/>
      <c r="J1407" s="117"/>
      <c r="K1407" s="117"/>
      <c r="L1407" s="116"/>
      <c r="M1407" s="117"/>
      <c r="N1407" s="118" t="str">
        <f>IFERROR(__xludf.DUMMYFUNCTION("""COMPUTED_VALUE"""),"")</f>
        <v/>
      </c>
      <c r="O1407" s="116"/>
      <c r="P1407" s="116"/>
      <c r="Q1407" s="116"/>
      <c r="R1407" s="116" t="s">
        <v>39</v>
      </c>
      <c r="S1407" s="116" t="s">
        <v>39</v>
      </c>
      <c r="T1407" s="104" t="s">
        <v>5359</v>
      </c>
      <c r="U1407" s="116"/>
      <c r="V1407" s="104" t="s">
        <v>5359</v>
      </c>
      <c r="W1407" s="116"/>
    </row>
    <row r="1408">
      <c r="A1408" s="114" t="s">
        <v>39</v>
      </c>
      <c r="B1408" s="115"/>
      <c r="C1408" s="116"/>
      <c r="D1408" s="116"/>
      <c r="E1408" s="116" t="str">
        <f>IFERROR(__xludf.DUMMYFUNCTION("""COMPUTED_VALUE"""),"")</f>
        <v/>
      </c>
      <c r="F1408" s="117" t="s">
        <v>39</v>
      </c>
      <c r="G1408" s="116"/>
      <c r="H1408" s="117"/>
      <c r="I1408" s="117"/>
      <c r="J1408" s="117"/>
      <c r="K1408" s="117"/>
      <c r="L1408" s="116"/>
      <c r="M1408" s="117"/>
      <c r="N1408" s="118" t="str">
        <f>IFERROR(__xludf.DUMMYFUNCTION("""COMPUTED_VALUE"""),"")</f>
        <v/>
      </c>
      <c r="O1408" s="116"/>
      <c r="P1408" s="116"/>
      <c r="Q1408" s="116"/>
      <c r="R1408" s="116" t="s">
        <v>39</v>
      </c>
      <c r="S1408" s="116" t="s">
        <v>39</v>
      </c>
      <c r="T1408" s="104" t="s">
        <v>5360</v>
      </c>
      <c r="U1408" s="116"/>
      <c r="V1408" s="104" t="s">
        <v>5360</v>
      </c>
      <c r="W1408" s="116"/>
    </row>
    <row r="1409">
      <c r="A1409" s="114" t="s">
        <v>39</v>
      </c>
      <c r="B1409" s="115"/>
      <c r="C1409" s="116"/>
      <c r="D1409" s="116"/>
      <c r="E1409" s="116" t="str">
        <f>IFERROR(__xludf.DUMMYFUNCTION("""COMPUTED_VALUE"""),"")</f>
        <v/>
      </c>
      <c r="F1409" s="117" t="s">
        <v>39</v>
      </c>
      <c r="G1409" s="116"/>
      <c r="H1409" s="117"/>
      <c r="I1409" s="117"/>
      <c r="J1409" s="117"/>
      <c r="K1409" s="117"/>
      <c r="L1409" s="116"/>
      <c r="M1409" s="117"/>
      <c r="N1409" s="118" t="str">
        <f>IFERROR(__xludf.DUMMYFUNCTION("""COMPUTED_VALUE"""),"")</f>
        <v/>
      </c>
      <c r="O1409" s="116"/>
      <c r="P1409" s="116"/>
      <c r="Q1409" s="116"/>
      <c r="R1409" s="116" t="s">
        <v>39</v>
      </c>
      <c r="S1409" s="116" t="s">
        <v>39</v>
      </c>
      <c r="T1409" s="104" t="s">
        <v>5361</v>
      </c>
      <c r="U1409" s="116"/>
      <c r="V1409" s="104" t="s">
        <v>5361</v>
      </c>
      <c r="W1409" s="116"/>
    </row>
    <row r="1410">
      <c r="A1410" s="114" t="s">
        <v>39</v>
      </c>
      <c r="B1410" s="115"/>
      <c r="C1410" s="116"/>
      <c r="D1410" s="116"/>
      <c r="E1410" s="116" t="str">
        <f>IFERROR(__xludf.DUMMYFUNCTION("""COMPUTED_VALUE"""),"")</f>
        <v/>
      </c>
      <c r="F1410" s="117" t="s">
        <v>39</v>
      </c>
      <c r="G1410" s="116"/>
      <c r="H1410" s="117"/>
      <c r="I1410" s="117"/>
      <c r="J1410" s="117"/>
      <c r="K1410" s="117"/>
      <c r="L1410" s="116"/>
      <c r="M1410" s="117"/>
      <c r="N1410" s="118" t="str">
        <f>IFERROR(__xludf.DUMMYFUNCTION("""COMPUTED_VALUE"""),"")</f>
        <v/>
      </c>
      <c r="O1410" s="116"/>
      <c r="P1410" s="116"/>
      <c r="Q1410" s="116"/>
      <c r="R1410" s="116" t="s">
        <v>39</v>
      </c>
      <c r="S1410" s="116" t="s">
        <v>39</v>
      </c>
      <c r="T1410" s="104" t="s">
        <v>5362</v>
      </c>
      <c r="U1410" s="116"/>
      <c r="V1410" s="104" t="s">
        <v>5362</v>
      </c>
      <c r="W1410" s="116"/>
    </row>
    <row r="1411">
      <c r="A1411" s="114" t="s">
        <v>39</v>
      </c>
      <c r="B1411" s="115"/>
      <c r="C1411" s="116"/>
      <c r="D1411" s="116"/>
      <c r="E1411" s="116" t="str">
        <f>IFERROR(__xludf.DUMMYFUNCTION("""COMPUTED_VALUE"""),"")</f>
        <v/>
      </c>
      <c r="F1411" s="117" t="s">
        <v>39</v>
      </c>
      <c r="G1411" s="116"/>
      <c r="H1411" s="117"/>
      <c r="I1411" s="117"/>
      <c r="J1411" s="117"/>
      <c r="K1411" s="117"/>
      <c r="L1411" s="116"/>
      <c r="M1411" s="117"/>
      <c r="N1411" s="118" t="str">
        <f>IFERROR(__xludf.DUMMYFUNCTION("""COMPUTED_VALUE"""),"")</f>
        <v/>
      </c>
      <c r="O1411" s="116"/>
      <c r="P1411" s="116"/>
      <c r="Q1411" s="116"/>
      <c r="R1411" s="116" t="s">
        <v>39</v>
      </c>
      <c r="S1411" s="116" t="s">
        <v>39</v>
      </c>
      <c r="T1411" s="104" t="s">
        <v>5363</v>
      </c>
      <c r="U1411" s="116"/>
      <c r="V1411" s="104" t="s">
        <v>5363</v>
      </c>
      <c r="W1411" s="116"/>
    </row>
    <row r="1412">
      <c r="A1412" s="114" t="s">
        <v>39</v>
      </c>
      <c r="B1412" s="115"/>
      <c r="C1412" s="116"/>
      <c r="D1412" s="116"/>
      <c r="E1412" s="116" t="str">
        <f>IFERROR(__xludf.DUMMYFUNCTION("""COMPUTED_VALUE"""),"")</f>
        <v/>
      </c>
      <c r="F1412" s="117" t="s">
        <v>39</v>
      </c>
      <c r="G1412" s="116"/>
      <c r="H1412" s="117"/>
      <c r="I1412" s="117"/>
      <c r="J1412" s="117"/>
      <c r="K1412" s="117"/>
      <c r="L1412" s="116"/>
      <c r="M1412" s="117"/>
      <c r="N1412" s="118" t="str">
        <f>IFERROR(__xludf.DUMMYFUNCTION("""COMPUTED_VALUE"""),"")</f>
        <v/>
      </c>
      <c r="O1412" s="116"/>
      <c r="P1412" s="116"/>
      <c r="Q1412" s="116"/>
      <c r="R1412" s="116" t="s">
        <v>39</v>
      </c>
      <c r="S1412" s="116" t="s">
        <v>39</v>
      </c>
      <c r="T1412" s="104" t="s">
        <v>5364</v>
      </c>
      <c r="U1412" s="116"/>
      <c r="V1412" s="104" t="s">
        <v>5364</v>
      </c>
      <c r="W1412" s="116"/>
    </row>
    <row r="1413">
      <c r="A1413" s="114" t="s">
        <v>39</v>
      </c>
      <c r="B1413" s="115"/>
      <c r="C1413" s="116"/>
      <c r="D1413" s="116"/>
      <c r="E1413" s="116" t="str">
        <f>IFERROR(__xludf.DUMMYFUNCTION("""COMPUTED_VALUE"""),"")</f>
        <v/>
      </c>
      <c r="F1413" s="117" t="s">
        <v>39</v>
      </c>
      <c r="G1413" s="116"/>
      <c r="H1413" s="117"/>
      <c r="I1413" s="117"/>
      <c r="J1413" s="117"/>
      <c r="K1413" s="117"/>
      <c r="L1413" s="116"/>
      <c r="M1413" s="117"/>
      <c r="N1413" s="118" t="str">
        <f>IFERROR(__xludf.DUMMYFUNCTION("""COMPUTED_VALUE"""),"")</f>
        <v/>
      </c>
      <c r="O1413" s="116"/>
      <c r="P1413" s="116"/>
      <c r="Q1413" s="116"/>
      <c r="R1413" s="116" t="s">
        <v>39</v>
      </c>
      <c r="S1413" s="116" t="s">
        <v>39</v>
      </c>
      <c r="T1413" s="104" t="s">
        <v>5365</v>
      </c>
      <c r="U1413" s="116"/>
      <c r="V1413" s="104" t="s">
        <v>5365</v>
      </c>
      <c r="W1413" s="116"/>
    </row>
    <row r="1414">
      <c r="A1414" s="114" t="s">
        <v>39</v>
      </c>
      <c r="B1414" s="115"/>
      <c r="C1414" s="116"/>
      <c r="D1414" s="116"/>
      <c r="E1414" s="116" t="str">
        <f>IFERROR(__xludf.DUMMYFUNCTION("""COMPUTED_VALUE"""),"")</f>
        <v/>
      </c>
      <c r="F1414" s="117" t="s">
        <v>39</v>
      </c>
      <c r="G1414" s="116"/>
      <c r="H1414" s="117"/>
      <c r="I1414" s="117"/>
      <c r="J1414" s="117"/>
      <c r="K1414" s="117"/>
      <c r="L1414" s="116"/>
      <c r="M1414" s="117"/>
      <c r="N1414" s="118" t="str">
        <f>IFERROR(__xludf.DUMMYFUNCTION("""COMPUTED_VALUE"""),"")</f>
        <v/>
      </c>
      <c r="O1414" s="116"/>
      <c r="P1414" s="116"/>
      <c r="Q1414" s="116"/>
      <c r="R1414" s="116" t="s">
        <v>39</v>
      </c>
      <c r="S1414" s="116" t="s">
        <v>39</v>
      </c>
      <c r="T1414" s="104" t="s">
        <v>5366</v>
      </c>
      <c r="U1414" s="116"/>
      <c r="V1414" s="104" t="s">
        <v>5366</v>
      </c>
      <c r="W1414" s="116"/>
    </row>
    <row r="1415">
      <c r="A1415" s="114" t="s">
        <v>39</v>
      </c>
      <c r="B1415" s="115"/>
      <c r="C1415" s="116"/>
      <c r="D1415" s="116"/>
      <c r="E1415" s="116" t="str">
        <f>IFERROR(__xludf.DUMMYFUNCTION("""COMPUTED_VALUE"""),"")</f>
        <v/>
      </c>
      <c r="F1415" s="117" t="s">
        <v>39</v>
      </c>
      <c r="G1415" s="116"/>
      <c r="H1415" s="117"/>
      <c r="I1415" s="117"/>
      <c r="J1415" s="117"/>
      <c r="K1415" s="117"/>
      <c r="L1415" s="116"/>
      <c r="M1415" s="117"/>
      <c r="N1415" s="118" t="str">
        <f>IFERROR(__xludf.DUMMYFUNCTION("""COMPUTED_VALUE"""),"")</f>
        <v/>
      </c>
      <c r="O1415" s="116"/>
      <c r="P1415" s="116"/>
      <c r="Q1415" s="116"/>
      <c r="R1415" s="116" t="s">
        <v>39</v>
      </c>
      <c r="S1415" s="116" t="s">
        <v>39</v>
      </c>
      <c r="T1415" s="104" t="s">
        <v>5367</v>
      </c>
      <c r="U1415" s="116"/>
      <c r="V1415" s="104" t="s">
        <v>5367</v>
      </c>
      <c r="W1415" s="116"/>
    </row>
    <row r="1416">
      <c r="A1416" s="114" t="s">
        <v>39</v>
      </c>
      <c r="B1416" s="115"/>
      <c r="C1416" s="116"/>
      <c r="D1416" s="116"/>
      <c r="E1416" s="116" t="str">
        <f>IFERROR(__xludf.DUMMYFUNCTION("""COMPUTED_VALUE"""),"")</f>
        <v/>
      </c>
      <c r="F1416" s="117" t="s">
        <v>39</v>
      </c>
      <c r="G1416" s="116"/>
      <c r="H1416" s="117"/>
      <c r="I1416" s="117"/>
      <c r="J1416" s="117"/>
      <c r="K1416" s="117"/>
      <c r="L1416" s="116"/>
      <c r="M1416" s="117"/>
      <c r="N1416" s="118" t="str">
        <f>IFERROR(__xludf.DUMMYFUNCTION("""COMPUTED_VALUE"""),"")</f>
        <v/>
      </c>
      <c r="O1416" s="116"/>
      <c r="P1416" s="116"/>
      <c r="Q1416" s="116"/>
      <c r="R1416" s="116" t="s">
        <v>39</v>
      </c>
      <c r="S1416" s="116" t="s">
        <v>39</v>
      </c>
      <c r="T1416" s="104" t="s">
        <v>5368</v>
      </c>
      <c r="U1416" s="116"/>
      <c r="V1416" s="104" t="s">
        <v>5368</v>
      </c>
      <c r="W1416" s="116"/>
    </row>
    <row r="1417">
      <c r="A1417" s="114" t="s">
        <v>39</v>
      </c>
      <c r="B1417" s="115"/>
      <c r="C1417" s="116"/>
      <c r="D1417" s="116"/>
      <c r="E1417" s="116" t="str">
        <f>IFERROR(__xludf.DUMMYFUNCTION("""COMPUTED_VALUE"""),"")</f>
        <v/>
      </c>
      <c r="F1417" s="117" t="s">
        <v>39</v>
      </c>
      <c r="G1417" s="116"/>
      <c r="H1417" s="117"/>
      <c r="I1417" s="117"/>
      <c r="J1417" s="117"/>
      <c r="K1417" s="117"/>
      <c r="L1417" s="116"/>
      <c r="M1417" s="117"/>
      <c r="N1417" s="118" t="str">
        <f>IFERROR(__xludf.DUMMYFUNCTION("""COMPUTED_VALUE"""),"")</f>
        <v/>
      </c>
      <c r="O1417" s="116"/>
      <c r="P1417" s="116"/>
      <c r="Q1417" s="116"/>
      <c r="R1417" s="116" t="s">
        <v>39</v>
      </c>
      <c r="S1417" s="116" t="s">
        <v>39</v>
      </c>
      <c r="T1417" s="104" t="s">
        <v>5369</v>
      </c>
      <c r="U1417" s="116"/>
      <c r="V1417" s="104" t="s">
        <v>5369</v>
      </c>
      <c r="W1417" s="116"/>
    </row>
    <row r="1418">
      <c r="A1418" s="114" t="s">
        <v>39</v>
      </c>
      <c r="B1418" s="115"/>
      <c r="C1418" s="116"/>
      <c r="D1418" s="116"/>
      <c r="E1418" s="116" t="str">
        <f>IFERROR(__xludf.DUMMYFUNCTION("""COMPUTED_VALUE"""),"")</f>
        <v/>
      </c>
      <c r="F1418" s="117" t="s">
        <v>39</v>
      </c>
      <c r="G1418" s="116"/>
      <c r="H1418" s="117"/>
      <c r="I1418" s="117"/>
      <c r="J1418" s="117"/>
      <c r="K1418" s="117"/>
      <c r="L1418" s="116"/>
      <c r="M1418" s="117"/>
      <c r="N1418" s="118" t="str">
        <f>IFERROR(__xludf.DUMMYFUNCTION("""COMPUTED_VALUE"""),"")</f>
        <v/>
      </c>
      <c r="O1418" s="116"/>
      <c r="P1418" s="116"/>
      <c r="Q1418" s="116"/>
      <c r="R1418" s="116" t="s">
        <v>39</v>
      </c>
      <c r="S1418" s="116" t="s">
        <v>39</v>
      </c>
      <c r="T1418" s="104" t="s">
        <v>5370</v>
      </c>
      <c r="U1418" s="116"/>
      <c r="V1418" s="104" t="s">
        <v>5370</v>
      </c>
      <c r="W1418" s="116"/>
    </row>
    <row r="1419">
      <c r="A1419" s="114" t="s">
        <v>39</v>
      </c>
      <c r="B1419" s="115"/>
      <c r="C1419" s="116"/>
      <c r="D1419" s="116"/>
      <c r="E1419" s="116" t="str">
        <f>IFERROR(__xludf.DUMMYFUNCTION("""COMPUTED_VALUE"""),"")</f>
        <v/>
      </c>
      <c r="F1419" s="117" t="s">
        <v>39</v>
      </c>
      <c r="G1419" s="116"/>
      <c r="H1419" s="117"/>
      <c r="I1419" s="117"/>
      <c r="J1419" s="117"/>
      <c r="K1419" s="117"/>
      <c r="L1419" s="116"/>
      <c r="M1419" s="117"/>
      <c r="N1419" s="118" t="str">
        <f>IFERROR(__xludf.DUMMYFUNCTION("""COMPUTED_VALUE"""),"")</f>
        <v/>
      </c>
      <c r="O1419" s="116"/>
      <c r="P1419" s="116"/>
      <c r="Q1419" s="116"/>
      <c r="R1419" s="116" t="s">
        <v>39</v>
      </c>
      <c r="S1419" s="116" t="s">
        <v>39</v>
      </c>
      <c r="T1419" s="104" t="s">
        <v>5371</v>
      </c>
      <c r="U1419" s="116"/>
      <c r="V1419" s="104" t="s">
        <v>5371</v>
      </c>
      <c r="W1419" s="116"/>
    </row>
    <row r="1420">
      <c r="A1420" s="114" t="s">
        <v>39</v>
      </c>
      <c r="B1420" s="115"/>
      <c r="C1420" s="116"/>
      <c r="D1420" s="116"/>
      <c r="E1420" s="116" t="str">
        <f>IFERROR(__xludf.DUMMYFUNCTION("""COMPUTED_VALUE"""),"")</f>
        <v/>
      </c>
      <c r="F1420" s="117" t="s">
        <v>39</v>
      </c>
      <c r="G1420" s="116"/>
      <c r="H1420" s="117"/>
      <c r="I1420" s="117"/>
      <c r="J1420" s="117"/>
      <c r="K1420" s="117"/>
      <c r="L1420" s="116"/>
      <c r="M1420" s="117"/>
      <c r="N1420" s="118" t="str">
        <f>IFERROR(__xludf.DUMMYFUNCTION("""COMPUTED_VALUE"""),"")</f>
        <v/>
      </c>
      <c r="O1420" s="116"/>
      <c r="P1420" s="116"/>
      <c r="Q1420" s="116"/>
      <c r="R1420" s="116" t="s">
        <v>39</v>
      </c>
      <c r="S1420" s="116" t="s">
        <v>39</v>
      </c>
      <c r="T1420" s="104" t="s">
        <v>5372</v>
      </c>
      <c r="U1420" s="116"/>
      <c r="V1420" s="104" t="s">
        <v>5372</v>
      </c>
      <c r="W1420" s="116"/>
    </row>
    <row r="1421">
      <c r="A1421" s="114" t="s">
        <v>39</v>
      </c>
      <c r="B1421" s="115"/>
      <c r="C1421" s="116"/>
      <c r="D1421" s="116"/>
      <c r="E1421" s="116" t="str">
        <f>IFERROR(__xludf.DUMMYFUNCTION("""COMPUTED_VALUE"""),"")</f>
        <v/>
      </c>
      <c r="F1421" s="117" t="s">
        <v>39</v>
      </c>
      <c r="G1421" s="116"/>
      <c r="H1421" s="117"/>
      <c r="I1421" s="117"/>
      <c r="J1421" s="117"/>
      <c r="K1421" s="117"/>
      <c r="L1421" s="116"/>
      <c r="M1421" s="117"/>
      <c r="N1421" s="118" t="str">
        <f>IFERROR(__xludf.DUMMYFUNCTION("""COMPUTED_VALUE"""),"")</f>
        <v/>
      </c>
      <c r="O1421" s="116"/>
      <c r="P1421" s="116"/>
      <c r="Q1421" s="116"/>
      <c r="R1421" s="116" t="s">
        <v>39</v>
      </c>
      <c r="S1421" s="116" t="s">
        <v>39</v>
      </c>
      <c r="T1421" s="104" t="s">
        <v>5373</v>
      </c>
      <c r="U1421" s="116"/>
      <c r="V1421" s="104" t="s">
        <v>5373</v>
      </c>
      <c r="W1421" s="116"/>
    </row>
    <row r="1422">
      <c r="A1422" s="114" t="s">
        <v>39</v>
      </c>
      <c r="B1422" s="115"/>
      <c r="C1422" s="116"/>
      <c r="D1422" s="116"/>
      <c r="E1422" s="116" t="str">
        <f>IFERROR(__xludf.DUMMYFUNCTION("""COMPUTED_VALUE"""),"")</f>
        <v/>
      </c>
      <c r="F1422" s="117" t="s">
        <v>39</v>
      </c>
      <c r="G1422" s="116"/>
      <c r="H1422" s="117"/>
      <c r="I1422" s="117"/>
      <c r="J1422" s="117"/>
      <c r="K1422" s="117"/>
      <c r="L1422" s="116"/>
      <c r="M1422" s="117"/>
      <c r="N1422" s="118" t="str">
        <f>IFERROR(__xludf.DUMMYFUNCTION("""COMPUTED_VALUE"""),"")</f>
        <v/>
      </c>
      <c r="O1422" s="116"/>
      <c r="P1422" s="116"/>
      <c r="Q1422" s="116"/>
      <c r="R1422" s="116" t="s">
        <v>39</v>
      </c>
      <c r="S1422" s="116" t="s">
        <v>39</v>
      </c>
      <c r="T1422" s="104" t="s">
        <v>5374</v>
      </c>
      <c r="U1422" s="116"/>
      <c r="V1422" s="104" t="s">
        <v>5374</v>
      </c>
      <c r="W1422" s="116"/>
    </row>
    <row r="1423">
      <c r="A1423" s="114" t="s">
        <v>39</v>
      </c>
      <c r="B1423" s="115"/>
      <c r="C1423" s="116"/>
      <c r="D1423" s="116"/>
      <c r="E1423" s="116" t="str">
        <f>IFERROR(__xludf.DUMMYFUNCTION("""COMPUTED_VALUE"""),"")</f>
        <v/>
      </c>
      <c r="F1423" s="117" t="s">
        <v>39</v>
      </c>
      <c r="G1423" s="116"/>
      <c r="H1423" s="117"/>
      <c r="I1423" s="117"/>
      <c r="J1423" s="117"/>
      <c r="K1423" s="117"/>
      <c r="L1423" s="116"/>
      <c r="M1423" s="117"/>
      <c r="N1423" s="118" t="str">
        <f>IFERROR(__xludf.DUMMYFUNCTION("""COMPUTED_VALUE"""),"")</f>
        <v/>
      </c>
      <c r="O1423" s="116"/>
      <c r="P1423" s="116"/>
      <c r="Q1423" s="116"/>
      <c r="R1423" s="116" t="s">
        <v>39</v>
      </c>
      <c r="S1423" s="116" t="s">
        <v>39</v>
      </c>
      <c r="T1423" s="104" t="s">
        <v>5375</v>
      </c>
      <c r="U1423" s="116"/>
      <c r="V1423" s="104" t="s">
        <v>5375</v>
      </c>
      <c r="W1423" s="116"/>
    </row>
    <row r="1424">
      <c r="A1424" s="114" t="s">
        <v>39</v>
      </c>
      <c r="B1424" s="115"/>
      <c r="C1424" s="116"/>
      <c r="D1424" s="116"/>
      <c r="E1424" s="116" t="str">
        <f>IFERROR(__xludf.DUMMYFUNCTION("""COMPUTED_VALUE"""),"")</f>
        <v/>
      </c>
      <c r="F1424" s="117" t="s">
        <v>39</v>
      </c>
      <c r="G1424" s="116"/>
      <c r="H1424" s="117"/>
      <c r="I1424" s="117"/>
      <c r="J1424" s="117"/>
      <c r="K1424" s="117"/>
      <c r="L1424" s="116"/>
      <c r="M1424" s="117"/>
      <c r="N1424" s="118" t="str">
        <f>IFERROR(__xludf.DUMMYFUNCTION("""COMPUTED_VALUE"""),"")</f>
        <v/>
      </c>
      <c r="O1424" s="116"/>
      <c r="P1424" s="116"/>
      <c r="Q1424" s="116"/>
      <c r="R1424" s="116" t="s">
        <v>39</v>
      </c>
      <c r="S1424" s="116" t="s">
        <v>39</v>
      </c>
      <c r="T1424" s="104" t="s">
        <v>5376</v>
      </c>
      <c r="U1424" s="116"/>
      <c r="V1424" s="104" t="s">
        <v>5376</v>
      </c>
      <c r="W1424" s="116"/>
    </row>
    <row r="1425">
      <c r="A1425" s="114" t="s">
        <v>39</v>
      </c>
      <c r="B1425" s="115"/>
      <c r="C1425" s="116"/>
      <c r="D1425" s="116"/>
      <c r="E1425" s="116" t="str">
        <f>IFERROR(__xludf.DUMMYFUNCTION("""COMPUTED_VALUE"""),"")</f>
        <v/>
      </c>
      <c r="F1425" s="117" t="s">
        <v>39</v>
      </c>
      <c r="G1425" s="116"/>
      <c r="H1425" s="117"/>
      <c r="I1425" s="117"/>
      <c r="J1425" s="117"/>
      <c r="K1425" s="117"/>
      <c r="L1425" s="116"/>
      <c r="M1425" s="117"/>
      <c r="N1425" s="118" t="str">
        <f>IFERROR(__xludf.DUMMYFUNCTION("""COMPUTED_VALUE"""),"")</f>
        <v/>
      </c>
      <c r="O1425" s="116"/>
      <c r="P1425" s="116"/>
      <c r="Q1425" s="116"/>
      <c r="R1425" s="116" t="s">
        <v>39</v>
      </c>
      <c r="S1425" s="116" t="s">
        <v>39</v>
      </c>
      <c r="T1425" s="104" t="s">
        <v>5377</v>
      </c>
      <c r="U1425" s="116"/>
      <c r="V1425" s="104" t="s">
        <v>5377</v>
      </c>
      <c r="W1425" s="116"/>
    </row>
    <row r="1426">
      <c r="A1426" s="114" t="s">
        <v>39</v>
      </c>
      <c r="B1426" s="115"/>
      <c r="C1426" s="116"/>
      <c r="D1426" s="116"/>
      <c r="E1426" s="116" t="str">
        <f>IFERROR(__xludf.DUMMYFUNCTION("""COMPUTED_VALUE"""),"")</f>
        <v/>
      </c>
      <c r="F1426" s="117" t="s">
        <v>39</v>
      </c>
      <c r="G1426" s="116"/>
      <c r="H1426" s="117"/>
      <c r="I1426" s="117"/>
      <c r="J1426" s="117"/>
      <c r="K1426" s="117"/>
      <c r="L1426" s="116"/>
      <c r="M1426" s="117"/>
      <c r="N1426" s="118" t="str">
        <f>IFERROR(__xludf.DUMMYFUNCTION("""COMPUTED_VALUE"""),"")</f>
        <v/>
      </c>
      <c r="O1426" s="116"/>
      <c r="P1426" s="116"/>
      <c r="Q1426" s="116"/>
      <c r="R1426" s="116" t="s">
        <v>39</v>
      </c>
      <c r="S1426" s="116" t="s">
        <v>39</v>
      </c>
      <c r="T1426" s="104" t="s">
        <v>5378</v>
      </c>
      <c r="U1426" s="116"/>
      <c r="V1426" s="104" t="s">
        <v>5378</v>
      </c>
      <c r="W1426" s="116"/>
    </row>
    <row r="1427">
      <c r="A1427" s="114" t="s">
        <v>39</v>
      </c>
      <c r="B1427" s="115"/>
      <c r="C1427" s="116"/>
      <c r="D1427" s="116"/>
      <c r="E1427" s="116" t="str">
        <f>IFERROR(__xludf.DUMMYFUNCTION("""COMPUTED_VALUE"""),"")</f>
        <v/>
      </c>
      <c r="F1427" s="117" t="s">
        <v>39</v>
      </c>
      <c r="G1427" s="116"/>
      <c r="H1427" s="117"/>
      <c r="I1427" s="117"/>
      <c r="J1427" s="117"/>
      <c r="K1427" s="117"/>
      <c r="L1427" s="116"/>
      <c r="M1427" s="117"/>
      <c r="N1427" s="118" t="str">
        <f>IFERROR(__xludf.DUMMYFUNCTION("""COMPUTED_VALUE"""),"")</f>
        <v/>
      </c>
      <c r="O1427" s="116"/>
      <c r="P1427" s="116"/>
      <c r="Q1427" s="116"/>
      <c r="R1427" s="116" t="s">
        <v>39</v>
      </c>
      <c r="S1427" s="116" t="s">
        <v>39</v>
      </c>
      <c r="T1427" s="104" t="s">
        <v>5379</v>
      </c>
      <c r="U1427" s="116"/>
      <c r="V1427" s="104" t="s">
        <v>5379</v>
      </c>
      <c r="W1427" s="116"/>
    </row>
    <row r="1428">
      <c r="A1428" s="114" t="s">
        <v>39</v>
      </c>
      <c r="B1428" s="115"/>
      <c r="C1428" s="116"/>
      <c r="D1428" s="116"/>
      <c r="E1428" s="116" t="str">
        <f>IFERROR(__xludf.DUMMYFUNCTION("""COMPUTED_VALUE"""),"")</f>
        <v/>
      </c>
      <c r="F1428" s="117" t="s">
        <v>39</v>
      </c>
      <c r="G1428" s="116"/>
      <c r="H1428" s="117"/>
      <c r="I1428" s="117"/>
      <c r="J1428" s="117"/>
      <c r="K1428" s="117"/>
      <c r="L1428" s="116"/>
      <c r="M1428" s="117"/>
      <c r="N1428" s="118" t="str">
        <f>IFERROR(__xludf.DUMMYFUNCTION("""COMPUTED_VALUE"""),"")</f>
        <v/>
      </c>
      <c r="O1428" s="116"/>
      <c r="P1428" s="116"/>
      <c r="Q1428" s="116"/>
      <c r="R1428" s="116" t="s">
        <v>39</v>
      </c>
      <c r="S1428" s="116" t="s">
        <v>39</v>
      </c>
      <c r="T1428" s="104" t="s">
        <v>5380</v>
      </c>
      <c r="U1428" s="116"/>
      <c r="V1428" s="104" t="s">
        <v>5380</v>
      </c>
      <c r="W1428" s="116"/>
    </row>
    <row r="1429">
      <c r="A1429" s="114" t="s">
        <v>39</v>
      </c>
      <c r="B1429" s="115"/>
      <c r="C1429" s="116"/>
      <c r="D1429" s="116"/>
      <c r="E1429" s="116" t="str">
        <f>IFERROR(__xludf.DUMMYFUNCTION("""COMPUTED_VALUE"""),"")</f>
        <v/>
      </c>
      <c r="F1429" s="117" t="s">
        <v>39</v>
      </c>
      <c r="G1429" s="116"/>
      <c r="H1429" s="117"/>
      <c r="I1429" s="117"/>
      <c r="J1429" s="117"/>
      <c r="K1429" s="117"/>
      <c r="L1429" s="116"/>
      <c r="M1429" s="117"/>
      <c r="N1429" s="118" t="str">
        <f>IFERROR(__xludf.DUMMYFUNCTION("""COMPUTED_VALUE"""),"")</f>
        <v/>
      </c>
      <c r="O1429" s="116"/>
      <c r="P1429" s="116"/>
      <c r="Q1429" s="116"/>
      <c r="R1429" s="116" t="s">
        <v>39</v>
      </c>
      <c r="S1429" s="116" t="s">
        <v>39</v>
      </c>
      <c r="T1429" s="104" t="s">
        <v>5381</v>
      </c>
      <c r="U1429" s="116"/>
      <c r="V1429" s="104" t="s">
        <v>5381</v>
      </c>
      <c r="W1429" s="116"/>
    </row>
    <row r="1430">
      <c r="A1430" s="114" t="s">
        <v>39</v>
      </c>
      <c r="B1430" s="115"/>
      <c r="C1430" s="116"/>
      <c r="D1430" s="116"/>
      <c r="E1430" s="116" t="str">
        <f>IFERROR(__xludf.DUMMYFUNCTION("""COMPUTED_VALUE"""),"")</f>
        <v/>
      </c>
      <c r="F1430" s="117" t="s">
        <v>39</v>
      </c>
      <c r="G1430" s="116"/>
      <c r="H1430" s="117"/>
      <c r="I1430" s="117"/>
      <c r="J1430" s="117"/>
      <c r="K1430" s="117"/>
      <c r="L1430" s="116"/>
      <c r="M1430" s="117"/>
      <c r="N1430" s="118" t="str">
        <f>IFERROR(__xludf.DUMMYFUNCTION("""COMPUTED_VALUE"""),"")</f>
        <v/>
      </c>
      <c r="O1430" s="116"/>
      <c r="P1430" s="116"/>
      <c r="Q1430" s="116"/>
      <c r="R1430" s="116" t="s">
        <v>39</v>
      </c>
      <c r="S1430" s="116" t="s">
        <v>39</v>
      </c>
      <c r="T1430" s="104" t="s">
        <v>5382</v>
      </c>
      <c r="U1430" s="116"/>
      <c r="V1430" s="104" t="s">
        <v>5382</v>
      </c>
      <c r="W1430" s="116"/>
    </row>
    <row r="1431">
      <c r="A1431" s="114" t="s">
        <v>39</v>
      </c>
      <c r="B1431" s="115"/>
      <c r="C1431" s="116"/>
      <c r="D1431" s="116"/>
      <c r="E1431" s="116" t="str">
        <f>IFERROR(__xludf.DUMMYFUNCTION("""COMPUTED_VALUE"""),"")</f>
        <v/>
      </c>
      <c r="F1431" s="117" t="s">
        <v>39</v>
      </c>
      <c r="G1431" s="116"/>
      <c r="H1431" s="117"/>
      <c r="I1431" s="117"/>
      <c r="J1431" s="117"/>
      <c r="K1431" s="117"/>
      <c r="L1431" s="116"/>
      <c r="M1431" s="117"/>
      <c r="N1431" s="118" t="str">
        <f>IFERROR(__xludf.DUMMYFUNCTION("""COMPUTED_VALUE"""),"")</f>
        <v/>
      </c>
      <c r="O1431" s="116"/>
      <c r="P1431" s="116"/>
      <c r="Q1431" s="116"/>
      <c r="R1431" s="116" t="s">
        <v>39</v>
      </c>
      <c r="S1431" s="116" t="s">
        <v>39</v>
      </c>
      <c r="T1431" s="104" t="s">
        <v>5383</v>
      </c>
      <c r="U1431" s="116"/>
      <c r="V1431" s="104" t="s">
        <v>5383</v>
      </c>
      <c r="W1431" s="116"/>
    </row>
    <row r="1432">
      <c r="A1432" s="114" t="s">
        <v>39</v>
      </c>
      <c r="B1432" s="115"/>
      <c r="C1432" s="116"/>
      <c r="D1432" s="116"/>
      <c r="E1432" s="116" t="str">
        <f>IFERROR(__xludf.DUMMYFUNCTION("""COMPUTED_VALUE"""),"")</f>
        <v/>
      </c>
      <c r="F1432" s="117" t="s">
        <v>39</v>
      </c>
      <c r="G1432" s="116"/>
      <c r="H1432" s="117"/>
      <c r="I1432" s="117"/>
      <c r="J1432" s="117"/>
      <c r="K1432" s="117"/>
      <c r="L1432" s="116"/>
      <c r="M1432" s="117"/>
      <c r="N1432" s="118" t="str">
        <f>IFERROR(__xludf.DUMMYFUNCTION("""COMPUTED_VALUE"""),"")</f>
        <v/>
      </c>
      <c r="O1432" s="116"/>
      <c r="P1432" s="116"/>
      <c r="Q1432" s="116"/>
      <c r="R1432" s="116" t="s">
        <v>39</v>
      </c>
      <c r="S1432" s="116" t="s">
        <v>39</v>
      </c>
      <c r="T1432" s="104" t="s">
        <v>5384</v>
      </c>
      <c r="U1432" s="116"/>
      <c r="V1432" s="104" t="s">
        <v>5384</v>
      </c>
      <c r="W1432" s="116"/>
    </row>
    <row r="1433">
      <c r="A1433" s="114" t="s">
        <v>39</v>
      </c>
      <c r="B1433" s="115"/>
      <c r="C1433" s="116"/>
      <c r="D1433" s="116"/>
      <c r="E1433" s="116" t="str">
        <f>IFERROR(__xludf.DUMMYFUNCTION("""COMPUTED_VALUE"""),"")</f>
        <v/>
      </c>
      <c r="F1433" s="117" t="s">
        <v>39</v>
      </c>
      <c r="G1433" s="116"/>
      <c r="H1433" s="117"/>
      <c r="I1433" s="117"/>
      <c r="J1433" s="117"/>
      <c r="K1433" s="117"/>
      <c r="L1433" s="116"/>
      <c r="M1433" s="117"/>
      <c r="N1433" s="118" t="str">
        <f>IFERROR(__xludf.DUMMYFUNCTION("""COMPUTED_VALUE"""),"")</f>
        <v/>
      </c>
      <c r="O1433" s="116"/>
      <c r="P1433" s="116"/>
      <c r="Q1433" s="116"/>
      <c r="R1433" s="116" t="s">
        <v>39</v>
      </c>
      <c r="S1433" s="116" t="s">
        <v>39</v>
      </c>
      <c r="T1433" s="104" t="s">
        <v>5385</v>
      </c>
      <c r="U1433" s="116"/>
      <c r="V1433" s="104" t="s">
        <v>5385</v>
      </c>
      <c r="W1433" s="116"/>
    </row>
    <row r="1434">
      <c r="A1434" s="114" t="s">
        <v>39</v>
      </c>
      <c r="B1434" s="115"/>
      <c r="C1434" s="116"/>
      <c r="D1434" s="116"/>
      <c r="E1434" s="116" t="str">
        <f>IFERROR(__xludf.DUMMYFUNCTION("""COMPUTED_VALUE"""),"")</f>
        <v/>
      </c>
      <c r="F1434" s="117" t="s">
        <v>39</v>
      </c>
      <c r="G1434" s="116"/>
      <c r="H1434" s="117"/>
      <c r="I1434" s="117"/>
      <c r="J1434" s="117"/>
      <c r="K1434" s="117"/>
      <c r="L1434" s="116"/>
      <c r="M1434" s="117"/>
      <c r="N1434" s="118" t="str">
        <f>IFERROR(__xludf.DUMMYFUNCTION("""COMPUTED_VALUE"""),"")</f>
        <v/>
      </c>
      <c r="O1434" s="116"/>
      <c r="P1434" s="116"/>
      <c r="Q1434" s="116"/>
      <c r="R1434" s="116" t="s">
        <v>39</v>
      </c>
      <c r="S1434" s="116" t="s">
        <v>39</v>
      </c>
      <c r="T1434" s="104" t="s">
        <v>5386</v>
      </c>
      <c r="U1434" s="116"/>
      <c r="V1434" s="104" t="s">
        <v>5386</v>
      </c>
      <c r="W1434" s="116"/>
    </row>
    <row r="1435">
      <c r="A1435" s="114" t="s">
        <v>39</v>
      </c>
      <c r="B1435" s="115"/>
      <c r="C1435" s="116"/>
      <c r="D1435" s="116"/>
      <c r="E1435" s="116" t="str">
        <f>IFERROR(__xludf.DUMMYFUNCTION("""COMPUTED_VALUE"""),"")</f>
        <v/>
      </c>
      <c r="F1435" s="117" t="s">
        <v>39</v>
      </c>
      <c r="G1435" s="116"/>
      <c r="H1435" s="117"/>
      <c r="I1435" s="117"/>
      <c r="J1435" s="117"/>
      <c r="K1435" s="117"/>
      <c r="L1435" s="116"/>
      <c r="M1435" s="117"/>
      <c r="N1435" s="118" t="str">
        <f>IFERROR(__xludf.DUMMYFUNCTION("""COMPUTED_VALUE"""),"")</f>
        <v/>
      </c>
      <c r="O1435" s="116"/>
      <c r="P1435" s="116"/>
      <c r="Q1435" s="116"/>
      <c r="R1435" s="116" t="s">
        <v>39</v>
      </c>
      <c r="S1435" s="116" t="s">
        <v>39</v>
      </c>
      <c r="T1435" s="104" t="s">
        <v>5387</v>
      </c>
      <c r="U1435" s="116"/>
      <c r="V1435" s="104" t="s">
        <v>5387</v>
      </c>
      <c r="W1435" s="116"/>
    </row>
    <row r="1436">
      <c r="A1436" s="114" t="s">
        <v>39</v>
      </c>
      <c r="B1436" s="115"/>
      <c r="C1436" s="116"/>
      <c r="D1436" s="116"/>
      <c r="E1436" s="116" t="str">
        <f>IFERROR(__xludf.DUMMYFUNCTION("""COMPUTED_VALUE"""),"")</f>
        <v/>
      </c>
      <c r="F1436" s="117" t="s">
        <v>39</v>
      </c>
      <c r="G1436" s="116"/>
      <c r="H1436" s="117"/>
      <c r="I1436" s="117"/>
      <c r="J1436" s="117"/>
      <c r="K1436" s="117"/>
      <c r="L1436" s="116"/>
      <c r="M1436" s="117"/>
      <c r="N1436" s="118" t="str">
        <f>IFERROR(__xludf.DUMMYFUNCTION("""COMPUTED_VALUE"""),"")</f>
        <v/>
      </c>
      <c r="O1436" s="116"/>
      <c r="P1436" s="116"/>
      <c r="Q1436" s="116"/>
      <c r="R1436" s="116" t="s">
        <v>39</v>
      </c>
      <c r="S1436" s="116" t="s">
        <v>39</v>
      </c>
      <c r="T1436" s="104" t="s">
        <v>5388</v>
      </c>
      <c r="U1436" s="116"/>
      <c r="V1436" s="104" t="s">
        <v>5388</v>
      </c>
      <c r="W1436" s="116"/>
    </row>
    <row r="1437">
      <c r="A1437" s="114" t="s">
        <v>39</v>
      </c>
      <c r="B1437" s="115"/>
      <c r="C1437" s="116"/>
      <c r="D1437" s="116"/>
      <c r="E1437" s="116" t="str">
        <f>IFERROR(__xludf.DUMMYFUNCTION("""COMPUTED_VALUE"""),"")</f>
        <v/>
      </c>
      <c r="F1437" s="117" t="s">
        <v>39</v>
      </c>
      <c r="G1437" s="116"/>
      <c r="H1437" s="117"/>
      <c r="I1437" s="117"/>
      <c r="J1437" s="117"/>
      <c r="K1437" s="117"/>
      <c r="L1437" s="116"/>
      <c r="M1437" s="117"/>
      <c r="N1437" s="118" t="str">
        <f>IFERROR(__xludf.DUMMYFUNCTION("""COMPUTED_VALUE"""),"")</f>
        <v/>
      </c>
      <c r="O1437" s="116"/>
      <c r="P1437" s="116"/>
      <c r="Q1437" s="116"/>
      <c r="R1437" s="116" t="s">
        <v>39</v>
      </c>
      <c r="S1437" s="116" t="s">
        <v>39</v>
      </c>
      <c r="T1437" s="104" t="s">
        <v>5389</v>
      </c>
      <c r="U1437" s="116"/>
      <c r="V1437" s="104" t="s">
        <v>5389</v>
      </c>
      <c r="W1437" s="116"/>
    </row>
    <row r="1438">
      <c r="A1438" s="114" t="s">
        <v>39</v>
      </c>
      <c r="B1438" s="115"/>
      <c r="C1438" s="116"/>
      <c r="D1438" s="116"/>
      <c r="E1438" s="116" t="str">
        <f>IFERROR(__xludf.DUMMYFUNCTION("""COMPUTED_VALUE"""),"")</f>
        <v/>
      </c>
      <c r="F1438" s="117" t="s">
        <v>39</v>
      </c>
      <c r="G1438" s="116"/>
      <c r="H1438" s="117"/>
      <c r="I1438" s="117"/>
      <c r="J1438" s="117"/>
      <c r="K1438" s="117"/>
      <c r="L1438" s="116"/>
      <c r="M1438" s="117"/>
      <c r="N1438" s="118" t="str">
        <f>IFERROR(__xludf.DUMMYFUNCTION("""COMPUTED_VALUE"""),"")</f>
        <v/>
      </c>
      <c r="O1438" s="116"/>
      <c r="P1438" s="116"/>
      <c r="Q1438" s="116"/>
      <c r="R1438" s="116" t="s">
        <v>39</v>
      </c>
      <c r="S1438" s="116" t="s">
        <v>39</v>
      </c>
      <c r="T1438" s="104" t="s">
        <v>5390</v>
      </c>
      <c r="U1438" s="116"/>
      <c r="V1438" s="104" t="s">
        <v>5390</v>
      </c>
      <c r="W1438" s="116"/>
    </row>
    <row r="1439">
      <c r="A1439" s="114" t="s">
        <v>39</v>
      </c>
      <c r="B1439" s="115"/>
      <c r="C1439" s="116"/>
      <c r="D1439" s="116"/>
      <c r="E1439" s="116" t="str">
        <f>IFERROR(__xludf.DUMMYFUNCTION("""COMPUTED_VALUE"""),"")</f>
        <v/>
      </c>
      <c r="F1439" s="117" t="s">
        <v>39</v>
      </c>
      <c r="G1439" s="116"/>
      <c r="H1439" s="117"/>
      <c r="I1439" s="117"/>
      <c r="J1439" s="117"/>
      <c r="K1439" s="117"/>
      <c r="L1439" s="116"/>
      <c r="M1439" s="117"/>
      <c r="N1439" s="118" t="str">
        <f>IFERROR(__xludf.DUMMYFUNCTION("""COMPUTED_VALUE"""),"")</f>
        <v/>
      </c>
      <c r="O1439" s="116"/>
      <c r="P1439" s="116"/>
      <c r="Q1439" s="116"/>
      <c r="R1439" s="116" t="s">
        <v>39</v>
      </c>
      <c r="S1439" s="116" t="s">
        <v>39</v>
      </c>
      <c r="T1439" s="104" t="s">
        <v>5391</v>
      </c>
      <c r="U1439" s="116"/>
      <c r="V1439" s="104" t="s">
        <v>5391</v>
      </c>
      <c r="W1439" s="116"/>
    </row>
    <row r="1440">
      <c r="A1440" s="114" t="s">
        <v>39</v>
      </c>
      <c r="B1440" s="115"/>
      <c r="C1440" s="116"/>
      <c r="D1440" s="116"/>
      <c r="E1440" s="116" t="str">
        <f>IFERROR(__xludf.DUMMYFUNCTION("""COMPUTED_VALUE"""),"")</f>
        <v/>
      </c>
      <c r="F1440" s="117" t="s">
        <v>39</v>
      </c>
      <c r="G1440" s="116"/>
      <c r="H1440" s="117"/>
      <c r="I1440" s="117"/>
      <c r="J1440" s="117"/>
      <c r="K1440" s="117"/>
      <c r="L1440" s="116"/>
      <c r="M1440" s="117"/>
      <c r="N1440" s="118" t="str">
        <f>IFERROR(__xludf.DUMMYFUNCTION("""COMPUTED_VALUE"""),"")</f>
        <v/>
      </c>
      <c r="O1440" s="116"/>
      <c r="P1440" s="116"/>
      <c r="Q1440" s="116"/>
      <c r="R1440" s="116" t="s">
        <v>39</v>
      </c>
      <c r="S1440" s="116" t="s">
        <v>39</v>
      </c>
      <c r="T1440" s="104" t="s">
        <v>5392</v>
      </c>
      <c r="U1440" s="116"/>
      <c r="V1440" s="104" t="s">
        <v>5392</v>
      </c>
      <c r="W1440" s="116"/>
    </row>
    <row r="1441">
      <c r="A1441" s="114" t="s">
        <v>39</v>
      </c>
      <c r="B1441" s="115"/>
      <c r="C1441" s="116"/>
      <c r="D1441" s="116"/>
      <c r="E1441" s="116" t="str">
        <f>IFERROR(__xludf.DUMMYFUNCTION("""COMPUTED_VALUE"""),"")</f>
        <v/>
      </c>
      <c r="F1441" s="117" t="s">
        <v>39</v>
      </c>
      <c r="G1441" s="116"/>
      <c r="H1441" s="117"/>
      <c r="I1441" s="117"/>
      <c r="J1441" s="117"/>
      <c r="K1441" s="117"/>
      <c r="L1441" s="116"/>
      <c r="M1441" s="117"/>
      <c r="N1441" s="118" t="str">
        <f>IFERROR(__xludf.DUMMYFUNCTION("""COMPUTED_VALUE"""),"")</f>
        <v/>
      </c>
      <c r="O1441" s="116"/>
      <c r="P1441" s="116"/>
      <c r="Q1441" s="116"/>
      <c r="R1441" s="116" t="s">
        <v>39</v>
      </c>
      <c r="S1441" s="116" t="s">
        <v>39</v>
      </c>
      <c r="T1441" s="104" t="s">
        <v>5393</v>
      </c>
      <c r="U1441" s="116"/>
      <c r="V1441" s="104" t="s">
        <v>5393</v>
      </c>
      <c r="W1441" s="116"/>
    </row>
    <row r="1442">
      <c r="A1442" s="114" t="s">
        <v>39</v>
      </c>
      <c r="B1442" s="115"/>
      <c r="C1442" s="116"/>
      <c r="D1442" s="116"/>
      <c r="E1442" s="116" t="str">
        <f>IFERROR(__xludf.DUMMYFUNCTION("""COMPUTED_VALUE"""),"")</f>
        <v/>
      </c>
      <c r="F1442" s="117" t="s">
        <v>39</v>
      </c>
      <c r="G1442" s="116"/>
      <c r="H1442" s="117"/>
      <c r="I1442" s="117"/>
      <c r="J1442" s="117"/>
      <c r="K1442" s="117"/>
      <c r="L1442" s="116"/>
      <c r="M1442" s="117"/>
      <c r="N1442" s="118" t="str">
        <f>IFERROR(__xludf.DUMMYFUNCTION("""COMPUTED_VALUE"""),"")</f>
        <v/>
      </c>
      <c r="O1442" s="116"/>
      <c r="P1442" s="116"/>
      <c r="Q1442" s="116"/>
      <c r="R1442" s="116" t="s">
        <v>39</v>
      </c>
      <c r="S1442" s="116" t="s">
        <v>39</v>
      </c>
      <c r="T1442" s="104" t="s">
        <v>5394</v>
      </c>
      <c r="U1442" s="116"/>
      <c r="V1442" s="104" t="s">
        <v>5394</v>
      </c>
      <c r="W1442" s="116"/>
    </row>
    <row r="1443">
      <c r="A1443" s="114" t="s">
        <v>39</v>
      </c>
      <c r="B1443" s="115"/>
      <c r="C1443" s="116"/>
      <c r="D1443" s="116"/>
      <c r="E1443" s="116" t="str">
        <f>IFERROR(__xludf.DUMMYFUNCTION("""COMPUTED_VALUE"""),"")</f>
        <v/>
      </c>
      <c r="F1443" s="117" t="s">
        <v>39</v>
      </c>
      <c r="G1443" s="116"/>
      <c r="H1443" s="117"/>
      <c r="I1443" s="117"/>
      <c r="J1443" s="117"/>
      <c r="K1443" s="117"/>
      <c r="L1443" s="116"/>
      <c r="M1443" s="117"/>
      <c r="N1443" s="118" t="str">
        <f>IFERROR(__xludf.DUMMYFUNCTION("""COMPUTED_VALUE"""),"")</f>
        <v/>
      </c>
      <c r="O1443" s="116"/>
      <c r="P1443" s="116"/>
      <c r="Q1443" s="116"/>
      <c r="R1443" s="116" t="s">
        <v>39</v>
      </c>
      <c r="S1443" s="116" t="s">
        <v>39</v>
      </c>
      <c r="T1443" s="104" t="s">
        <v>5395</v>
      </c>
      <c r="U1443" s="116"/>
      <c r="V1443" s="104" t="s">
        <v>5395</v>
      </c>
      <c r="W1443" s="116"/>
    </row>
    <row r="1444">
      <c r="A1444" s="114" t="s">
        <v>39</v>
      </c>
      <c r="B1444" s="115"/>
      <c r="C1444" s="116"/>
      <c r="D1444" s="116"/>
      <c r="E1444" s="116" t="str">
        <f>IFERROR(__xludf.DUMMYFUNCTION("""COMPUTED_VALUE"""),"")</f>
        <v/>
      </c>
      <c r="F1444" s="117" t="s">
        <v>39</v>
      </c>
      <c r="G1444" s="116"/>
      <c r="H1444" s="117"/>
      <c r="I1444" s="117"/>
      <c r="J1444" s="117"/>
      <c r="K1444" s="117"/>
      <c r="L1444" s="116"/>
      <c r="M1444" s="117"/>
      <c r="N1444" s="118" t="str">
        <f>IFERROR(__xludf.DUMMYFUNCTION("""COMPUTED_VALUE"""),"")</f>
        <v/>
      </c>
      <c r="O1444" s="116"/>
      <c r="P1444" s="116"/>
      <c r="Q1444" s="116"/>
      <c r="R1444" s="116" t="s">
        <v>39</v>
      </c>
      <c r="S1444" s="116" t="s">
        <v>39</v>
      </c>
      <c r="T1444" s="104" t="s">
        <v>5396</v>
      </c>
      <c r="U1444" s="116"/>
      <c r="V1444" s="104" t="s">
        <v>5396</v>
      </c>
      <c r="W1444" s="116"/>
    </row>
    <row r="1445">
      <c r="A1445" s="114" t="s">
        <v>39</v>
      </c>
      <c r="B1445" s="115"/>
      <c r="C1445" s="116"/>
      <c r="D1445" s="116"/>
      <c r="E1445" s="116" t="str">
        <f>IFERROR(__xludf.DUMMYFUNCTION("""COMPUTED_VALUE"""),"")</f>
        <v/>
      </c>
      <c r="F1445" s="117" t="s">
        <v>39</v>
      </c>
      <c r="G1445" s="116"/>
      <c r="H1445" s="117"/>
      <c r="I1445" s="117"/>
      <c r="J1445" s="117"/>
      <c r="K1445" s="117"/>
      <c r="L1445" s="116"/>
      <c r="M1445" s="117"/>
      <c r="N1445" s="118" t="str">
        <f>IFERROR(__xludf.DUMMYFUNCTION("""COMPUTED_VALUE"""),"")</f>
        <v/>
      </c>
      <c r="O1445" s="116"/>
      <c r="P1445" s="116"/>
      <c r="Q1445" s="116"/>
      <c r="R1445" s="116" t="s">
        <v>39</v>
      </c>
      <c r="S1445" s="116" t="s">
        <v>39</v>
      </c>
      <c r="T1445" s="104" t="s">
        <v>5397</v>
      </c>
      <c r="U1445" s="116"/>
      <c r="V1445" s="104" t="s">
        <v>5397</v>
      </c>
      <c r="W1445" s="116"/>
    </row>
    <row r="1446">
      <c r="A1446" s="114" t="s">
        <v>39</v>
      </c>
      <c r="B1446" s="115"/>
      <c r="C1446" s="116"/>
      <c r="D1446" s="116"/>
      <c r="E1446" s="116" t="str">
        <f>IFERROR(__xludf.DUMMYFUNCTION("""COMPUTED_VALUE"""),"")</f>
        <v/>
      </c>
      <c r="F1446" s="117" t="s">
        <v>39</v>
      </c>
      <c r="G1446" s="116"/>
      <c r="H1446" s="117"/>
      <c r="I1446" s="117"/>
      <c r="J1446" s="117"/>
      <c r="K1446" s="117"/>
      <c r="L1446" s="116"/>
      <c r="M1446" s="117"/>
      <c r="N1446" s="118" t="str">
        <f>IFERROR(__xludf.DUMMYFUNCTION("""COMPUTED_VALUE"""),"")</f>
        <v/>
      </c>
      <c r="O1446" s="116"/>
      <c r="P1446" s="116"/>
      <c r="Q1446" s="116"/>
      <c r="R1446" s="116" t="s">
        <v>39</v>
      </c>
      <c r="S1446" s="116" t="s">
        <v>39</v>
      </c>
      <c r="T1446" s="104" t="s">
        <v>5398</v>
      </c>
      <c r="U1446" s="116"/>
      <c r="V1446" s="104" t="s">
        <v>5398</v>
      </c>
      <c r="W1446" s="116"/>
    </row>
    <row r="1447">
      <c r="A1447" s="114" t="s">
        <v>39</v>
      </c>
      <c r="B1447" s="115"/>
      <c r="C1447" s="116"/>
      <c r="D1447" s="116"/>
      <c r="E1447" s="116" t="str">
        <f>IFERROR(__xludf.DUMMYFUNCTION("""COMPUTED_VALUE"""),"")</f>
        <v/>
      </c>
      <c r="F1447" s="117" t="s">
        <v>39</v>
      </c>
      <c r="G1447" s="116"/>
      <c r="H1447" s="117"/>
      <c r="I1447" s="117"/>
      <c r="J1447" s="117"/>
      <c r="K1447" s="117"/>
      <c r="L1447" s="116"/>
      <c r="M1447" s="117"/>
      <c r="N1447" s="118" t="str">
        <f>IFERROR(__xludf.DUMMYFUNCTION("""COMPUTED_VALUE"""),"")</f>
        <v/>
      </c>
      <c r="O1447" s="116"/>
      <c r="P1447" s="116"/>
      <c r="Q1447" s="116"/>
      <c r="R1447" s="116" t="s">
        <v>39</v>
      </c>
      <c r="S1447" s="116" t="s">
        <v>39</v>
      </c>
      <c r="T1447" s="104" t="s">
        <v>5399</v>
      </c>
      <c r="U1447" s="116"/>
      <c r="V1447" s="104" t="s">
        <v>5399</v>
      </c>
      <c r="W1447" s="116"/>
    </row>
    <row r="1448">
      <c r="A1448" s="114" t="s">
        <v>39</v>
      </c>
      <c r="B1448" s="115"/>
      <c r="C1448" s="116"/>
      <c r="D1448" s="116"/>
      <c r="E1448" s="116" t="str">
        <f>IFERROR(__xludf.DUMMYFUNCTION("""COMPUTED_VALUE"""),"")</f>
        <v/>
      </c>
      <c r="F1448" s="117" t="s">
        <v>39</v>
      </c>
      <c r="G1448" s="116"/>
      <c r="H1448" s="117"/>
      <c r="I1448" s="117"/>
      <c r="J1448" s="117"/>
      <c r="K1448" s="117"/>
      <c r="L1448" s="116"/>
      <c r="M1448" s="117"/>
      <c r="N1448" s="118" t="str">
        <f>IFERROR(__xludf.DUMMYFUNCTION("""COMPUTED_VALUE"""),"")</f>
        <v/>
      </c>
      <c r="O1448" s="116"/>
      <c r="P1448" s="116"/>
      <c r="Q1448" s="116"/>
      <c r="R1448" s="116" t="s">
        <v>39</v>
      </c>
      <c r="S1448" s="116" t="s">
        <v>39</v>
      </c>
      <c r="T1448" s="104" t="s">
        <v>5400</v>
      </c>
      <c r="U1448" s="116"/>
      <c r="V1448" s="104" t="s">
        <v>5400</v>
      </c>
      <c r="W1448" s="116"/>
    </row>
    <row r="1449">
      <c r="A1449" s="114" t="s">
        <v>39</v>
      </c>
      <c r="B1449" s="115"/>
      <c r="C1449" s="116"/>
      <c r="D1449" s="116"/>
      <c r="E1449" s="116" t="str">
        <f>IFERROR(__xludf.DUMMYFUNCTION("""COMPUTED_VALUE"""),"")</f>
        <v/>
      </c>
      <c r="F1449" s="117" t="s">
        <v>39</v>
      </c>
      <c r="G1449" s="116"/>
      <c r="H1449" s="117"/>
      <c r="I1449" s="117"/>
      <c r="J1449" s="117"/>
      <c r="K1449" s="117"/>
      <c r="L1449" s="116"/>
      <c r="M1449" s="117"/>
      <c r="N1449" s="118" t="str">
        <f>IFERROR(__xludf.DUMMYFUNCTION("""COMPUTED_VALUE"""),"")</f>
        <v/>
      </c>
      <c r="O1449" s="116"/>
      <c r="P1449" s="116"/>
      <c r="Q1449" s="116"/>
      <c r="R1449" s="116" t="s">
        <v>39</v>
      </c>
      <c r="S1449" s="116" t="s">
        <v>39</v>
      </c>
      <c r="T1449" s="104" t="s">
        <v>5401</v>
      </c>
      <c r="U1449" s="116"/>
      <c r="V1449" s="104" t="s">
        <v>5401</v>
      </c>
      <c r="W1449" s="116"/>
    </row>
    <row r="1450">
      <c r="A1450" s="114" t="s">
        <v>39</v>
      </c>
      <c r="B1450" s="115"/>
      <c r="C1450" s="116"/>
      <c r="D1450" s="116"/>
      <c r="E1450" s="116" t="str">
        <f>IFERROR(__xludf.DUMMYFUNCTION("""COMPUTED_VALUE"""),"")</f>
        <v/>
      </c>
      <c r="F1450" s="117" t="s">
        <v>39</v>
      </c>
      <c r="G1450" s="116"/>
      <c r="H1450" s="117"/>
      <c r="I1450" s="117"/>
      <c r="J1450" s="117"/>
      <c r="K1450" s="117"/>
      <c r="L1450" s="116"/>
      <c r="M1450" s="117"/>
      <c r="N1450" s="118" t="str">
        <f>IFERROR(__xludf.DUMMYFUNCTION("""COMPUTED_VALUE"""),"")</f>
        <v/>
      </c>
      <c r="O1450" s="116"/>
      <c r="P1450" s="116"/>
      <c r="Q1450" s="116"/>
      <c r="R1450" s="116" t="s">
        <v>39</v>
      </c>
      <c r="S1450" s="116" t="s">
        <v>39</v>
      </c>
      <c r="T1450" s="104" t="s">
        <v>5402</v>
      </c>
      <c r="U1450" s="116"/>
      <c r="V1450" s="104" t="s">
        <v>5402</v>
      </c>
      <c r="W1450" s="116"/>
    </row>
    <row r="1451">
      <c r="A1451" s="114" t="s">
        <v>39</v>
      </c>
      <c r="B1451" s="115"/>
      <c r="C1451" s="116"/>
      <c r="D1451" s="116"/>
      <c r="E1451" s="116" t="str">
        <f>IFERROR(__xludf.DUMMYFUNCTION("""COMPUTED_VALUE"""),"")</f>
        <v/>
      </c>
      <c r="F1451" s="117" t="s">
        <v>39</v>
      </c>
      <c r="G1451" s="116"/>
      <c r="H1451" s="117"/>
      <c r="I1451" s="117"/>
      <c r="J1451" s="117"/>
      <c r="K1451" s="117"/>
      <c r="L1451" s="116"/>
      <c r="M1451" s="117"/>
      <c r="N1451" s="118" t="str">
        <f>IFERROR(__xludf.DUMMYFUNCTION("""COMPUTED_VALUE"""),"")</f>
        <v/>
      </c>
      <c r="O1451" s="116"/>
      <c r="P1451" s="116"/>
      <c r="Q1451" s="116"/>
      <c r="R1451" s="116" t="s">
        <v>39</v>
      </c>
      <c r="S1451" s="116" t="s">
        <v>39</v>
      </c>
      <c r="T1451" s="104" t="s">
        <v>5403</v>
      </c>
      <c r="U1451" s="116"/>
      <c r="V1451" s="104" t="s">
        <v>5403</v>
      </c>
      <c r="W1451" s="116"/>
    </row>
    <row r="1452">
      <c r="A1452" s="114" t="s">
        <v>39</v>
      </c>
      <c r="B1452" s="115"/>
      <c r="C1452" s="116"/>
      <c r="D1452" s="116"/>
      <c r="E1452" s="116" t="str">
        <f>IFERROR(__xludf.DUMMYFUNCTION("""COMPUTED_VALUE"""),"")</f>
        <v/>
      </c>
      <c r="F1452" s="117" t="s">
        <v>39</v>
      </c>
      <c r="G1452" s="116"/>
      <c r="H1452" s="117"/>
      <c r="I1452" s="117"/>
      <c r="J1452" s="117"/>
      <c r="K1452" s="117"/>
      <c r="L1452" s="116"/>
      <c r="M1452" s="117"/>
      <c r="N1452" s="118" t="str">
        <f>IFERROR(__xludf.DUMMYFUNCTION("""COMPUTED_VALUE"""),"")</f>
        <v/>
      </c>
      <c r="O1452" s="116"/>
      <c r="P1452" s="116"/>
      <c r="Q1452" s="116"/>
      <c r="R1452" s="116" t="s">
        <v>39</v>
      </c>
      <c r="S1452" s="116" t="s">
        <v>39</v>
      </c>
      <c r="T1452" s="104" t="s">
        <v>5404</v>
      </c>
      <c r="U1452" s="116"/>
      <c r="V1452" s="104" t="s">
        <v>5404</v>
      </c>
      <c r="W1452" s="116"/>
    </row>
    <row r="1453">
      <c r="A1453" s="114" t="s">
        <v>39</v>
      </c>
      <c r="B1453" s="115"/>
      <c r="C1453" s="116"/>
      <c r="D1453" s="116"/>
      <c r="E1453" s="116" t="str">
        <f>IFERROR(__xludf.DUMMYFUNCTION("""COMPUTED_VALUE"""),"")</f>
        <v/>
      </c>
      <c r="F1453" s="117" t="s">
        <v>39</v>
      </c>
      <c r="G1453" s="116"/>
      <c r="H1453" s="117"/>
      <c r="I1453" s="117"/>
      <c r="J1453" s="117"/>
      <c r="K1453" s="117"/>
      <c r="L1453" s="116"/>
      <c r="M1453" s="117"/>
      <c r="N1453" s="118" t="str">
        <f>IFERROR(__xludf.DUMMYFUNCTION("""COMPUTED_VALUE"""),"")</f>
        <v/>
      </c>
      <c r="O1453" s="116"/>
      <c r="P1453" s="116"/>
      <c r="Q1453" s="116"/>
      <c r="R1453" s="116" t="s">
        <v>39</v>
      </c>
      <c r="S1453" s="116" t="s">
        <v>39</v>
      </c>
      <c r="T1453" s="104" t="s">
        <v>5405</v>
      </c>
      <c r="U1453" s="116"/>
      <c r="V1453" s="104" t="s">
        <v>5405</v>
      </c>
      <c r="W1453" s="116"/>
    </row>
    <row r="1454">
      <c r="A1454" s="114" t="s">
        <v>39</v>
      </c>
      <c r="B1454" s="115"/>
      <c r="C1454" s="116"/>
      <c r="D1454" s="116"/>
      <c r="E1454" s="116" t="str">
        <f>IFERROR(__xludf.DUMMYFUNCTION("""COMPUTED_VALUE"""),"")</f>
        <v/>
      </c>
      <c r="F1454" s="117" t="s">
        <v>39</v>
      </c>
      <c r="G1454" s="116"/>
      <c r="H1454" s="117"/>
      <c r="I1454" s="117"/>
      <c r="J1454" s="117"/>
      <c r="K1454" s="117"/>
      <c r="L1454" s="116"/>
      <c r="M1454" s="117"/>
      <c r="N1454" s="118" t="str">
        <f>IFERROR(__xludf.DUMMYFUNCTION("""COMPUTED_VALUE"""),"")</f>
        <v/>
      </c>
      <c r="O1454" s="116"/>
      <c r="P1454" s="116"/>
      <c r="Q1454" s="116"/>
      <c r="R1454" s="116" t="s">
        <v>39</v>
      </c>
      <c r="S1454" s="116" t="s">
        <v>39</v>
      </c>
      <c r="T1454" s="104" t="s">
        <v>5406</v>
      </c>
      <c r="U1454" s="116"/>
      <c r="V1454" s="104" t="s">
        <v>5406</v>
      </c>
      <c r="W1454" s="116"/>
    </row>
    <row r="1455">
      <c r="A1455" s="114" t="s">
        <v>39</v>
      </c>
      <c r="B1455" s="115"/>
      <c r="C1455" s="116"/>
      <c r="D1455" s="116"/>
      <c r="E1455" s="116" t="str">
        <f>IFERROR(__xludf.DUMMYFUNCTION("""COMPUTED_VALUE"""),"")</f>
        <v/>
      </c>
      <c r="F1455" s="117" t="s">
        <v>39</v>
      </c>
      <c r="G1455" s="116"/>
      <c r="H1455" s="117"/>
      <c r="I1455" s="117"/>
      <c r="J1455" s="117"/>
      <c r="K1455" s="117"/>
      <c r="L1455" s="116"/>
      <c r="M1455" s="117"/>
      <c r="N1455" s="118" t="str">
        <f>IFERROR(__xludf.DUMMYFUNCTION("""COMPUTED_VALUE"""),"")</f>
        <v/>
      </c>
      <c r="O1455" s="116"/>
      <c r="P1455" s="116"/>
      <c r="Q1455" s="116"/>
      <c r="R1455" s="116" t="s">
        <v>39</v>
      </c>
      <c r="S1455" s="116" t="s">
        <v>39</v>
      </c>
      <c r="T1455" s="104" t="s">
        <v>5407</v>
      </c>
      <c r="U1455" s="116"/>
      <c r="V1455" s="104" t="s">
        <v>5407</v>
      </c>
      <c r="W1455" s="116"/>
    </row>
    <row r="1456">
      <c r="A1456" s="114" t="s">
        <v>39</v>
      </c>
      <c r="B1456" s="115"/>
      <c r="C1456" s="116"/>
      <c r="D1456" s="116"/>
      <c r="E1456" s="116" t="str">
        <f>IFERROR(__xludf.DUMMYFUNCTION("""COMPUTED_VALUE"""),"")</f>
        <v/>
      </c>
      <c r="F1456" s="117" t="s">
        <v>39</v>
      </c>
      <c r="G1456" s="116"/>
      <c r="H1456" s="117"/>
      <c r="I1456" s="117"/>
      <c r="J1456" s="117"/>
      <c r="K1456" s="117"/>
      <c r="L1456" s="116"/>
      <c r="M1456" s="117"/>
      <c r="N1456" s="118" t="str">
        <f>IFERROR(__xludf.DUMMYFUNCTION("""COMPUTED_VALUE"""),"")</f>
        <v/>
      </c>
      <c r="O1456" s="116"/>
      <c r="P1456" s="116"/>
      <c r="Q1456" s="116"/>
      <c r="R1456" s="116" t="s">
        <v>39</v>
      </c>
      <c r="S1456" s="116" t="s">
        <v>39</v>
      </c>
      <c r="T1456" s="104" t="s">
        <v>5408</v>
      </c>
      <c r="U1456" s="116"/>
      <c r="V1456" s="104" t="s">
        <v>5408</v>
      </c>
      <c r="W1456" s="116"/>
    </row>
    <row r="1457">
      <c r="A1457" s="114" t="s">
        <v>39</v>
      </c>
      <c r="B1457" s="115"/>
      <c r="C1457" s="116"/>
      <c r="D1457" s="116"/>
      <c r="E1457" s="116" t="str">
        <f>IFERROR(__xludf.DUMMYFUNCTION("""COMPUTED_VALUE"""),"")</f>
        <v/>
      </c>
      <c r="F1457" s="117" t="s">
        <v>39</v>
      </c>
      <c r="G1457" s="116"/>
      <c r="H1457" s="117"/>
      <c r="I1457" s="117"/>
      <c r="J1457" s="117"/>
      <c r="K1457" s="117"/>
      <c r="L1457" s="116"/>
      <c r="M1457" s="117"/>
      <c r="N1457" s="118" t="str">
        <f>IFERROR(__xludf.DUMMYFUNCTION("""COMPUTED_VALUE"""),"")</f>
        <v/>
      </c>
      <c r="O1457" s="116"/>
      <c r="P1457" s="116"/>
      <c r="Q1457" s="116"/>
      <c r="R1457" s="116" t="s">
        <v>39</v>
      </c>
      <c r="S1457" s="116" t="s">
        <v>39</v>
      </c>
      <c r="T1457" s="104" t="s">
        <v>5409</v>
      </c>
      <c r="U1457" s="116"/>
      <c r="V1457" s="104" t="s">
        <v>5409</v>
      </c>
      <c r="W1457" s="116"/>
    </row>
    <row r="1458">
      <c r="A1458" s="114" t="s">
        <v>39</v>
      </c>
      <c r="B1458" s="115"/>
      <c r="C1458" s="116"/>
      <c r="D1458" s="116"/>
      <c r="E1458" s="116" t="str">
        <f>IFERROR(__xludf.DUMMYFUNCTION("""COMPUTED_VALUE"""),"")</f>
        <v/>
      </c>
      <c r="F1458" s="117" t="s">
        <v>39</v>
      </c>
      <c r="G1458" s="116"/>
      <c r="H1458" s="117"/>
      <c r="I1458" s="117"/>
      <c r="J1458" s="117"/>
      <c r="K1458" s="117"/>
      <c r="L1458" s="116"/>
      <c r="M1458" s="117"/>
      <c r="N1458" s="118" t="str">
        <f>IFERROR(__xludf.DUMMYFUNCTION("""COMPUTED_VALUE"""),"")</f>
        <v/>
      </c>
      <c r="O1458" s="116"/>
      <c r="P1458" s="116"/>
      <c r="Q1458" s="116"/>
      <c r="R1458" s="116" t="s">
        <v>39</v>
      </c>
      <c r="S1458" s="116" t="s">
        <v>39</v>
      </c>
      <c r="T1458" s="104" t="s">
        <v>5410</v>
      </c>
      <c r="U1458" s="116"/>
      <c r="V1458" s="104" t="s">
        <v>5410</v>
      </c>
      <c r="W1458" s="116"/>
    </row>
    <row r="1459">
      <c r="A1459" s="114" t="s">
        <v>39</v>
      </c>
      <c r="B1459" s="115"/>
      <c r="C1459" s="116"/>
      <c r="D1459" s="116"/>
      <c r="E1459" s="116" t="str">
        <f>IFERROR(__xludf.DUMMYFUNCTION("""COMPUTED_VALUE"""),"")</f>
        <v/>
      </c>
      <c r="F1459" s="117" t="s">
        <v>39</v>
      </c>
      <c r="G1459" s="116"/>
      <c r="H1459" s="117"/>
      <c r="I1459" s="117"/>
      <c r="J1459" s="117"/>
      <c r="K1459" s="117"/>
      <c r="L1459" s="116"/>
      <c r="M1459" s="117"/>
      <c r="N1459" s="118" t="str">
        <f>IFERROR(__xludf.DUMMYFUNCTION("""COMPUTED_VALUE"""),"")</f>
        <v/>
      </c>
      <c r="O1459" s="116"/>
      <c r="P1459" s="116"/>
      <c r="Q1459" s="116"/>
      <c r="R1459" s="116" t="s">
        <v>39</v>
      </c>
      <c r="S1459" s="116" t="s">
        <v>39</v>
      </c>
      <c r="T1459" s="104" t="s">
        <v>5411</v>
      </c>
      <c r="U1459" s="116"/>
      <c r="V1459" s="104" t="s">
        <v>5411</v>
      </c>
      <c r="W1459" s="116"/>
    </row>
    <row r="1460">
      <c r="A1460" s="114" t="s">
        <v>39</v>
      </c>
      <c r="B1460" s="115"/>
      <c r="C1460" s="116"/>
      <c r="D1460" s="116"/>
      <c r="E1460" s="116" t="str">
        <f>IFERROR(__xludf.DUMMYFUNCTION("""COMPUTED_VALUE"""),"")</f>
        <v/>
      </c>
      <c r="F1460" s="117" t="s">
        <v>39</v>
      </c>
      <c r="G1460" s="116"/>
      <c r="H1460" s="117"/>
      <c r="I1460" s="117"/>
      <c r="J1460" s="117"/>
      <c r="K1460" s="117"/>
      <c r="L1460" s="116"/>
      <c r="M1460" s="117"/>
      <c r="N1460" s="118" t="str">
        <f>IFERROR(__xludf.DUMMYFUNCTION("""COMPUTED_VALUE"""),"")</f>
        <v/>
      </c>
      <c r="O1460" s="116"/>
      <c r="P1460" s="116"/>
      <c r="Q1460" s="116"/>
      <c r="R1460" s="116" t="s">
        <v>39</v>
      </c>
      <c r="S1460" s="116" t="s">
        <v>39</v>
      </c>
      <c r="T1460" s="104" t="s">
        <v>5412</v>
      </c>
      <c r="U1460" s="116"/>
      <c r="V1460" s="104" t="s">
        <v>5412</v>
      </c>
      <c r="W1460" s="116"/>
    </row>
    <row r="1461">
      <c r="A1461" s="114" t="s">
        <v>39</v>
      </c>
      <c r="B1461" s="115"/>
      <c r="C1461" s="116"/>
      <c r="D1461" s="116"/>
      <c r="E1461" s="116" t="str">
        <f>IFERROR(__xludf.DUMMYFUNCTION("""COMPUTED_VALUE"""),"")</f>
        <v/>
      </c>
      <c r="F1461" s="117" t="s">
        <v>39</v>
      </c>
      <c r="G1461" s="116"/>
      <c r="H1461" s="117"/>
      <c r="I1461" s="117"/>
      <c r="J1461" s="117"/>
      <c r="K1461" s="117"/>
      <c r="L1461" s="116"/>
      <c r="M1461" s="117"/>
      <c r="N1461" s="118" t="str">
        <f>IFERROR(__xludf.DUMMYFUNCTION("""COMPUTED_VALUE"""),"")</f>
        <v/>
      </c>
      <c r="O1461" s="116"/>
      <c r="P1461" s="116"/>
      <c r="Q1461" s="116"/>
      <c r="R1461" s="116" t="s">
        <v>39</v>
      </c>
      <c r="S1461" s="116" t="s">
        <v>39</v>
      </c>
      <c r="T1461" s="104" t="s">
        <v>5413</v>
      </c>
      <c r="U1461" s="116"/>
      <c r="V1461" s="104" t="s">
        <v>5413</v>
      </c>
      <c r="W1461" s="116"/>
    </row>
    <row r="1462">
      <c r="A1462" s="114" t="s">
        <v>39</v>
      </c>
      <c r="B1462" s="115"/>
      <c r="C1462" s="116"/>
      <c r="D1462" s="116"/>
      <c r="E1462" s="116" t="str">
        <f>IFERROR(__xludf.DUMMYFUNCTION("""COMPUTED_VALUE"""),"")</f>
        <v/>
      </c>
      <c r="F1462" s="117" t="s">
        <v>39</v>
      </c>
      <c r="G1462" s="116"/>
      <c r="H1462" s="117"/>
      <c r="I1462" s="117"/>
      <c r="J1462" s="117"/>
      <c r="K1462" s="117"/>
      <c r="L1462" s="116"/>
      <c r="M1462" s="117"/>
      <c r="N1462" s="118" t="str">
        <f>IFERROR(__xludf.DUMMYFUNCTION("""COMPUTED_VALUE"""),"")</f>
        <v/>
      </c>
      <c r="O1462" s="116"/>
      <c r="P1462" s="116"/>
      <c r="Q1462" s="116"/>
      <c r="R1462" s="116" t="s">
        <v>39</v>
      </c>
      <c r="S1462" s="116" t="s">
        <v>39</v>
      </c>
      <c r="T1462" s="104" t="s">
        <v>5414</v>
      </c>
      <c r="U1462" s="116"/>
      <c r="V1462" s="104" t="s">
        <v>5414</v>
      </c>
      <c r="W1462" s="116"/>
    </row>
    <row r="1463">
      <c r="A1463" s="114" t="s">
        <v>39</v>
      </c>
      <c r="B1463" s="115"/>
      <c r="C1463" s="116"/>
      <c r="D1463" s="116"/>
      <c r="E1463" s="116" t="str">
        <f>IFERROR(__xludf.DUMMYFUNCTION("""COMPUTED_VALUE"""),"")</f>
        <v/>
      </c>
      <c r="F1463" s="117" t="s">
        <v>39</v>
      </c>
      <c r="G1463" s="116"/>
      <c r="H1463" s="117"/>
      <c r="I1463" s="117"/>
      <c r="J1463" s="117"/>
      <c r="K1463" s="117"/>
      <c r="L1463" s="116"/>
      <c r="M1463" s="117"/>
      <c r="N1463" s="118" t="str">
        <f>IFERROR(__xludf.DUMMYFUNCTION("""COMPUTED_VALUE"""),"")</f>
        <v/>
      </c>
      <c r="O1463" s="116"/>
      <c r="P1463" s="116"/>
      <c r="Q1463" s="116"/>
      <c r="R1463" s="116" t="s">
        <v>39</v>
      </c>
      <c r="S1463" s="116" t="s">
        <v>39</v>
      </c>
      <c r="T1463" s="104" t="s">
        <v>5415</v>
      </c>
      <c r="U1463" s="116"/>
      <c r="V1463" s="104" t="s">
        <v>5415</v>
      </c>
      <c r="W1463" s="116"/>
    </row>
    <row r="1464">
      <c r="A1464" s="114" t="s">
        <v>39</v>
      </c>
      <c r="B1464" s="115"/>
      <c r="C1464" s="116"/>
      <c r="D1464" s="116"/>
      <c r="E1464" s="116" t="str">
        <f>IFERROR(__xludf.DUMMYFUNCTION("""COMPUTED_VALUE"""),"")</f>
        <v/>
      </c>
      <c r="F1464" s="117" t="s">
        <v>39</v>
      </c>
      <c r="G1464" s="116"/>
      <c r="H1464" s="117"/>
      <c r="I1464" s="117"/>
      <c r="J1464" s="117"/>
      <c r="K1464" s="117"/>
      <c r="L1464" s="116"/>
      <c r="M1464" s="117"/>
      <c r="N1464" s="118" t="str">
        <f>IFERROR(__xludf.DUMMYFUNCTION("""COMPUTED_VALUE"""),"")</f>
        <v/>
      </c>
      <c r="O1464" s="116"/>
      <c r="P1464" s="116"/>
      <c r="Q1464" s="116"/>
      <c r="R1464" s="116" t="s">
        <v>39</v>
      </c>
      <c r="S1464" s="116" t="s">
        <v>39</v>
      </c>
      <c r="T1464" s="104" t="s">
        <v>5416</v>
      </c>
      <c r="U1464" s="116"/>
      <c r="V1464" s="104" t="s">
        <v>5416</v>
      </c>
      <c r="W1464" s="116"/>
    </row>
    <row r="1465">
      <c r="A1465" s="114" t="s">
        <v>39</v>
      </c>
      <c r="B1465" s="115"/>
      <c r="C1465" s="116"/>
      <c r="D1465" s="116"/>
      <c r="E1465" s="116" t="str">
        <f>IFERROR(__xludf.DUMMYFUNCTION("""COMPUTED_VALUE"""),"")</f>
        <v/>
      </c>
      <c r="F1465" s="117" t="s">
        <v>39</v>
      </c>
      <c r="G1465" s="116"/>
      <c r="H1465" s="117"/>
      <c r="I1465" s="117"/>
      <c r="J1465" s="117"/>
      <c r="K1465" s="117"/>
      <c r="L1465" s="116"/>
      <c r="M1465" s="117"/>
      <c r="N1465" s="118" t="str">
        <f>IFERROR(__xludf.DUMMYFUNCTION("""COMPUTED_VALUE"""),"")</f>
        <v/>
      </c>
      <c r="O1465" s="116"/>
      <c r="P1465" s="116"/>
      <c r="Q1465" s="116"/>
      <c r="R1465" s="116" t="s">
        <v>39</v>
      </c>
      <c r="S1465" s="116" t="s">
        <v>39</v>
      </c>
      <c r="T1465" s="104" t="s">
        <v>5417</v>
      </c>
      <c r="U1465" s="116"/>
      <c r="V1465" s="104" t="s">
        <v>5417</v>
      </c>
      <c r="W1465" s="116"/>
    </row>
    <row r="1466">
      <c r="A1466" s="114" t="s">
        <v>39</v>
      </c>
      <c r="B1466" s="115"/>
      <c r="C1466" s="116"/>
      <c r="D1466" s="116"/>
      <c r="E1466" s="116" t="str">
        <f>IFERROR(__xludf.DUMMYFUNCTION("""COMPUTED_VALUE"""),"")</f>
        <v/>
      </c>
      <c r="F1466" s="117" t="s">
        <v>39</v>
      </c>
      <c r="G1466" s="116"/>
      <c r="H1466" s="117"/>
      <c r="I1466" s="117"/>
      <c r="J1466" s="117"/>
      <c r="K1466" s="117"/>
      <c r="L1466" s="116"/>
      <c r="M1466" s="117"/>
      <c r="N1466" s="118" t="str">
        <f>IFERROR(__xludf.DUMMYFUNCTION("""COMPUTED_VALUE"""),"")</f>
        <v/>
      </c>
      <c r="O1466" s="116"/>
      <c r="P1466" s="116"/>
      <c r="Q1466" s="116"/>
      <c r="R1466" s="116" t="s">
        <v>39</v>
      </c>
      <c r="S1466" s="116" t="s">
        <v>39</v>
      </c>
      <c r="T1466" s="104" t="s">
        <v>5418</v>
      </c>
      <c r="U1466" s="116"/>
      <c r="V1466" s="104" t="s">
        <v>5418</v>
      </c>
      <c r="W1466" s="116"/>
    </row>
    <row r="1467">
      <c r="A1467" s="114" t="s">
        <v>39</v>
      </c>
      <c r="B1467" s="115"/>
      <c r="C1467" s="116"/>
      <c r="D1467" s="116"/>
      <c r="E1467" s="116" t="str">
        <f>IFERROR(__xludf.DUMMYFUNCTION("""COMPUTED_VALUE"""),"")</f>
        <v/>
      </c>
      <c r="F1467" s="117" t="s">
        <v>39</v>
      </c>
      <c r="G1467" s="116"/>
      <c r="H1467" s="117"/>
      <c r="I1467" s="117"/>
      <c r="J1467" s="117"/>
      <c r="K1467" s="117"/>
      <c r="L1467" s="116"/>
      <c r="M1467" s="117"/>
      <c r="N1467" s="118" t="str">
        <f>IFERROR(__xludf.DUMMYFUNCTION("""COMPUTED_VALUE"""),"")</f>
        <v/>
      </c>
      <c r="O1467" s="116"/>
      <c r="P1467" s="116"/>
      <c r="Q1467" s="116"/>
      <c r="R1467" s="116" t="s">
        <v>39</v>
      </c>
      <c r="S1467" s="116" t="s">
        <v>39</v>
      </c>
      <c r="T1467" s="104" t="s">
        <v>5419</v>
      </c>
      <c r="U1467" s="116"/>
      <c r="V1467" s="104" t="s">
        <v>5419</v>
      </c>
      <c r="W1467" s="116"/>
    </row>
    <row r="1468">
      <c r="A1468" s="114" t="s">
        <v>39</v>
      </c>
      <c r="B1468" s="115"/>
      <c r="C1468" s="116"/>
      <c r="D1468" s="116"/>
      <c r="E1468" s="116" t="str">
        <f>IFERROR(__xludf.DUMMYFUNCTION("""COMPUTED_VALUE"""),"")</f>
        <v/>
      </c>
      <c r="F1468" s="117" t="s">
        <v>39</v>
      </c>
      <c r="G1468" s="116"/>
      <c r="H1468" s="117"/>
      <c r="I1468" s="117"/>
      <c r="J1468" s="117"/>
      <c r="K1468" s="117"/>
      <c r="L1468" s="116"/>
      <c r="M1468" s="117"/>
      <c r="N1468" s="118" t="str">
        <f>IFERROR(__xludf.DUMMYFUNCTION("""COMPUTED_VALUE"""),"")</f>
        <v/>
      </c>
      <c r="O1468" s="116"/>
      <c r="P1468" s="116"/>
      <c r="Q1468" s="116"/>
      <c r="R1468" s="116" t="s">
        <v>39</v>
      </c>
      <c r="S1468" s="116" t="s">
        <v>39</v>
      </c>
      <c r="T1468" s="104" t="s">
        <v>5420</v>
      </c>
      <c r="U1468" s="116"/>
      <c r="V1468" s="104" t="s">
        <v>5420</v>
      </c>
      <c r="W1468" s="116"/>
    </row>
    <row r="1469">
      <c r="A1469" s="114" t="s">
        <v>39</v>
      </c>
      <c r="B1469" s="115"/>
      <c r="C1469" s="116"/>
      <c r="D1469" s="116"/>
      <c r="E1469" s="116" t="str">
        <f>IFERROR(__xludf.DUMMYFUNCTION("""COMPUTED_VALUE"""),"")</f>
        <v/>
      </c>
      <c r="F1469" s="117" t="s">
        <v>39</v>
      </c>
      <c r="G1469" s="116"/>
      <c r="H1469" s="117"/>
      <c r="I1469" s="117"/>
      <c r="J1469" s="117"/>
      <c r="K1469" s="117"/>
      <c r="L1469" s="116"/>
      <c r="M1469" s="117"/>
      <c r="N1469" s="118" t="str">
        <f>IFERROR(__xludf.DUMMYFUNCTION("""COMPUTED_VALUE"""),"")</f>
        <v/>
      </c>
      <c r="O1469" s="116"/>
      <c r="P1469" s="116"/>
      <c r="Q1469" s="116"/>
      <c r="R1469" s="116" t="s">
        <v>39</v>
      </c>
      <c r="S1469" s="116" t="s">
        <v>39</v>
      </c>
      <c r="T1469" s="104" t="s">
        <v>5421</v>
      </c>
      <c r="U1469" s="116"/>
      <c r="V1469" s="104" t="s">
        <v>5421</v>
      </c>
      <c r="W1469" s="116"/>
    </row>
    <row r="1470">
      <c r="A1470" s="114" t="s">
        <v>39</v>
      </c>
      <c r="B1470" s="115"/>
      <c r="C1470" s="116"/>
      <c r="D1470" s="116"/>
      <c r="E1470" s="116" t="str">
        <f>IFERROR(__xludf.DUMMYFUNCTION("""COMPUTED_VALUE"""),"")</f>
        <v/>
      </c>
      <c r="F1470" s="117" t="s">
        <v>39</v>
      </c>
      <c r="G1470" s="116"/>
      <c r="H1470" s="117"/>
      <c r="I1470" s="117"/>
      <c r="J1470" s="117"/>
      <c r="K1470" s="117"/>
      <c r="L1470" s="116"/>
      <c r="M1470" s="117"/>
      <c r="N1470" s="118" t="str">
        <f>IFERROR(__xludf.DUMMYFUNCTION("""COMPUTED_VALUE"""),"")</f>
        <v/>
      </c>
      <c r="O1470" s="116"/>
      <c r="P1470" s="116"/>
      <c r="Q1470" s="116"/>
      <c r="R1470" s="116" t="s">
        <v>39</v>
      </c>
      <c r="S1470" s="116" t="s">
        <v>39</v>
      </c>
      <c r="T1470" s="104" t="s">
        <v>5422</v>
      </c>
      <c r="U1470" s="116"/>
      <c r="V1470" s="104" t="s">
        <v>5422</v>
      </c>
      <c r="W1470" s="116"/>
    </row>
    <row r="1471">
      <c r="A1471" s="114" t="s">
        <v>39</v>
      </c>
      <c r="B1471" s="115"/>
      <c r="C1471" s="116"/>
      <c r="D1471" s="116"/>
      <c r="E1471" s="116" t="str">
        <f>IFERROR(__xludf.DUMMYFUNCTION("""COMPUTED_VALUE"""),"")</f>
        <v/>
      </c>
      <c r="F1471" s="117" t="s">
        <v>39</v>
      </c>
      <c r="G1471" s="116"/>
      <c r="H1471" s="117"/>
      <c r="I1471" s="117"/>
      <c r="J1471" s="117"/>
      <c r="K1471" s="117"/>
      <c r="L1471" s="116"/>
      <c r="M1471" s="117"/>
      <c r="N1471" s="118" t="str">
        <f>IFERROR(__xludf.DUMMYFUNCTION("""COMPUTED_VALUE"""),"")</f>
        <v/>
      </c>
      <c r="O1471" s="116"/>
      <c r="P1471" s="116"/>
      <c r="Q1471" s="116"/>
      <c r="R1471" s="116" t="s">
        <v>39</v>
      </c>
      <c r="S1471" s="116" t="s">
        <v>39</v>
      </c>
      <c r="T1471" s="104" t="s">
        <v>5423</v>
      </c>
      <c r="U1471" s="116"/>
      <c r="V1471" s="104" t="s">
        <v>5423</v>
      </c>
      <c r="W1471" s="116"/>
    </row>
    <row r="1472">
      <c r="A1472" s="114" t="s">
        <v>39</v>
      </c>
      <c r="B1472" s="115"/>
      <c r="C1472" s="116"/>
      <c r="D1472" s="116"/>
      <c r="E1472" s="116" t="str">
        <f>IFERROR(__xludf.DUMMYFUNCTION("""COMPUTED_VALUE"""),"")</f>
        <v/>
      </c>
      <c r="F1472" s="117" t="s">
        <v>39</v>
      </c>
      <c r="G1472" s="116"/>
      <c r="H1472" s="117"/>
      <c r="I1472" s="117"/>
      <c r="J1472" s="117"/>
      <c r="K1472" s="117"/>
      <c r="L1472" s="116"/>
      <c r="M1472" s="117"/>
      <c r="N1472" s="118" t="str">
        <f>IFERROR(__xludf.DUMMYFUNCTION("""COMPUTED_VALUE"""),"")</f>
        <v/>
      </c>
      <c r="O1472" s="116"/>
      <c r="P1472" s="116"/>
      <c r="Q1472" s="116"/>
      <c r="R1472" s="116" t="s">
        <v>39</v>
      </c>
      <c r="S1472" s="116" t="s">
        <v>39</v>
      </c>
      <c r="T1472" s="104" t="s">
        <v>5424</v>
      </c>
      <c r="U1472" s="116"/>
      <c r="V1472" s="104" t="s">
        <v>5424</v>
      </c>
      <c r="W1472" s="116"/>
    </row>
    <row r="1473">
      <c r="A1473" s="114" t="s">
        <v>39</v>
      </c>
      <c r="B1473" s="115"/>
      <c r="C1473" s="116"/>
      <c r="D1473" s="116"/>
      <c r="E1473" s="116" t="str">
        <f>IFERROR(__xludf.DUMMYFUNCTION("""COMPUTED_VALUE"""),"")</f>
        <v/>
      </c>
      <c r="F1473" s="117" t="s">
        <v>39</v>
      </c>
      <c r="G1473" s="116"/>
      <c r="H1473" s="117"/>
      <c r="I1473" s="117"/>
      <c r="J1473" s="117"/>
      <c r="K1473" s="117"/>
      <c r="L1473" s="116"/>
      <c r="M1473" s="117"/>
      <c r="N1473" s="118" t="str">
        <f>IFERROR(__xludf.DUMMYFUNCTION("""COMPUTED_VALUE"""),"")</f>
        <v/>
      </c>
      <c r="O1473" s="116"/>
      <c r="P1473" s="116"/>
      <c r="Q1473" s="116"/>
      <c r="R1473" s="116" t="s">
        <v>39</v>
      </c>
      <c r="S1473" s="116" t="s">
        <v>39</v>
      </c>
      <c r="T1473" s="104" t="s">
        <v>5425</v>
      </c>
      <c r="U1473" s="116"/>
      <c r="V1473" s="104" t="s">
        <v>5425</v>
      </c>
      <c r="W1473" s="116"/>
    </row>
    <row r="1474">
      <c r="A1474" s="114" t="s">
        <v>39</v>
      </c>
      <c r="B1474" s="115"/>
      <c r="C1474" s="116"/>
      <c r="D1474" s="116"/>
      <c r="E1474" s="116" t="str">
        <f>IFERROR(__xludf.DUMMYFUNCTION("""COMPUTED_VALUE"""),"")</f>
        <v/>
      </c>
      <c r="F1474" s="117" t="s">
        <v>39</v>
      </c>
      <c r="G1474" s="116"/>
      <c r="H1474" s="117"/>
      <c r="I1474" s="117"/>
      <c r="J1474" s="117"/>
      <c r="K1474" s="117"/>
      <c r="L1474" s="116"/>
      <c r="M1474" s="117"/>
      <c r="N1474" s="118" t="str">
        <f>IFERROR(__xludf.DUMMYFUNCTION("""COMPUTED_VALUE"""),"")</f>
        <v/>
      </c>
      <c r="O1474" s="116"/>
      <c r="P1474" s="116"/>
      <c r="Q1474" s="116"/>
      <c r="R1474" s="116" t="s">
        <v>39</v>
      </c>
      <c r="S1474" s="116" t="s">
        <v>39</v>
      </c>
      <c r="T1474" s="104" t="s">
        <v>5426</v>
      </c>
      <c r="U1474" s="116"/>
      <c r="V1474" s="104" t="s">
        <v>5426</v>
      </c>
      <c r="W1474" s="116"/>
    </row>
    <row r="1475">
      <c r="A1475" s="114" t="s">
        <v>39</v>
      </c>
      <c r="B1475" s="115"/>
      <c r="C1475" s="116"/>
      <c r="D1475" s="116"/>
      <c r="E1475" s="116" t="str">
        <f>IFERROR(__xludf.DUMMYFUNCTION("""COMPUTED_VALUE"""),"")</f>
        <v/>
      </c>
      <c r="F1475" s="117" t="s">
        <v>39</v>
      </c>
      <c r="G1475" s="116"/>
      <c r="H1475" s="117"/>
      <c r="I1475" s="117"/>
      <c r="J1475" s="117"/>
      <c r="K1475" s="117"/>
      <c r="L1475" s="116"/>
      <c r="M1475" s="117"/>
      <c r="N1475" s="118" t="str">
        <f>IFERROR(__xludf.DUMMYFUNCTION("""COMPUTED_VALUE"""),"")</f>
        <v/>
      </c>
      <c r="O1475" s="116"/>
      <c r="P1475" s="116"/>
      <c r="Q1475" s="116"/>
      <c r="R1475" s="116" t="s">
        <v>39</v>
      </c>
      <c r="S1475" s="116" t="s">
        <v>39</v>
      </c>
      <c r="T1475" s="104" t="s">
        <v>5427</v>
      </c>
      <c r="U1475" s="116"/>
      <c r="V1475" s="104" t="s">
        <v>5427</v>
      </c>
      <c r="W1475" s="116"/>
    </row>
    <row r="1476">
      <c r="A1476" s="114" t="s">
        <v>39</v>
      </c>
      <c r="B1476" s="115"/>
      <c r="C1476" s="116"/>
      <c r="D1476" s="116"/>
      <c r="E1476" s="116" t="str">
        <f>IFERROR(__xludf.DUMMYFUNCTION("""COMPUTED_VALUE"""),"")</f>
        <v/>
      </c>
      <c r="F1476" s="117" t="s">
        <v>39</v>
      </c>
      <c r="G1476" s="116"/>
      <c r="H1476" s="117"/>
      <c r="I1476" s="117"/>
      <c r="J1476" s="117"/>
      <c r="K1476" s="117"/>
      <c r="L1476" s="116"/>
      <c r="M1476" s="117"/>
      <c r="N1476" s="118" t="str">
        <f>IFERROR(__xludf.DUMMYFUNCTION("""COMPUTED_VALUE"""),"")</f>
        <v/>
      </c>
      <c r="O1476" s="116"/>
      <c r="P1476" s="116"/>
      <c r="Q1476" s="116"/>
      <c r="R1476" s="116" t="s">
        <v>39</v>
      </c>
      <c r="S1476" s="116" t="s">
        <v>39</v>
      </c>
      <c r="T1476" s="104" t="s">
        <v>5428</v>
      </c>
      <c r="U1476" s="116"/>
      <c r="V1476" s="104" t="s">
        <v>5428</v>
      </c>
      <c r="W1476" s="116"/>
    </row>
    <row r="1477">
      <c r="A1477" s="114" t="s">
        <v>39</v>
      </c>
      <c r="B1477" s="115"/>
      <c r="C1477" s="116"/>
      <c r="D1477" s="116"/>
      <c r="E1477" s="116" t="str">
        <f>IFERROR(__xludf.DUMMYFUNCTION("""COMPUTED_VALUE"""),"")</f>
        <v/>
      </c>
      <c r="F1477" s="117" t="s">
        <v>39</v>
      </c>
      <c r="G1477" s="116"/>
      <c r="H1477" s="117"/>
      <c r="I1477" s="117"/>
      <c r="J1477" s="117"/>
      <c r="K1477" s="117"/>
      <c r="L1477" s="116"/>
      <c r="M1477" s="117"/>
      <c r="N1477" s="118" t="str">
        <f>IFERROR(__xludf.DUMMYFUNCTION("""COMPUTED_VALUE"""),"")</f>
        <v/>
      </c>
      <c r="O1477" s="116"/>
      <c r="P1477" s="116"/>
      <c r="Q1477" s="116"/>
      <c r="R1477" s="116" t="s">
        <v>39</v>
      </c>
      <c r="S1477" s="116" t="s">
        <v>39</v>
      </c>
      <c r="T1477" s="104" t="s">
        <v>5429</v>
      </c>
      <c r="U1477" s="116"/>
      <c r="V1477" s="104" t="s">
        <v>5429</v>
      </c>
      <c r="W1477" s="116"/>
    </row>
    <row r="1478">
      <c r="A1478" s="114" t="s">
        <v>39</v>
      </c>
      <c r="B1478" s="115"/>
      <c r="C1478" s="116"/>
      <c r="D1478" s="116"/>
      <c r="E1478" s="116" t="str">
        <f>IFERROR(__xludf.DUMMYFUNCTION("""COMPUTED_VALUE"""),"")</f>
        <v/>
      </c>
      <c r="F1478" s="117" t="s">
        <v>39</v>
      </c>
      <c r="G1478" s="116"/>
      <c r="H1478" s="117"/>
      <c r="I1478" s="117"/>
      <c r="J1478" s="117"/>
      <c r="K1478" s="117"/>
      <c r="L1478" s="116"/>
      <c r="M1478" s="117"/>
      <c r="N1478" s="118" t="str">
        <f>IFERROR(__xludf.DUMMYFUNCTION("""COMPUTED_VALUE"""),"")</f>
        <v/>
      </c>
      <c r="O1478" s="116"/>
      <c r="P1478" s="116"/>
      <c r="Q1478" s="116"/>
      <c r="R1478" s="116" t="s">
        <v>39</v>
      </c>
      <c r="S1478" s="116" t="s">
        <v>39</v>
      </c>
      <c r="T1478" s="104" t="s">
        <v>5430</v>
      </c>
      <c r="U1478" s="116"/>
      <c r="V1478" s="104" t="s">
        <v>5430</v>
      </c>
      <c r="W1478" s="116"/>
    </row>
    <row r="1479">
      <c r="A1479" s="114" t="s">
        <v>39</v>
      </c>
      <c r="B1479" s="115"/>
      <c r="C1479" s="116"/>
      <c r="D1479" s="116"/>
      <c r="E1479" s="116" t="str">
        <f>IFERROR(__xludf.DUMMYFUNCTION("""COMPUTED_VALUE"""),"")</f>
        <v/>
      </c>
      <c r="F1479" s="117" t="s">
        <v>39</v>
      </c>
      <c r="G1479" s="116"/>
      <c r="H1479" s="117"/>
      <c r="I1479" s="117"/>
      <c r="J1479" s="117"/>
      <c r="K1479" s="117"/>
      <c r="L1479" s="116"/>
      <c r="M1479" s="117"/>
      <c r="N1479" s="118" t="str">
        <f>IFERROR(__xludf.DUMMYFUNCTION("""COMPUTED_VALUE"""),"")</f>
        <v/>
      </c>
      <c r="O1479" s="116"/>
      <c r="P1479" s="116"/>
      <c r="Q1479" s="116"/>
      <c r="R1479" s="116" t="s">
        <v>39</v>
      </c>
      <c r="S1479" s="116" t="s">
        <v>39</v>
      </c>
      <c r="T1479" s="104" t="s">
        <v>5431</v>
      </c>
      <c r="U1479" s="116"/>
      <c r="V1479" s="104" t="s">
        <v>5431</v>
      </c>
      <c r="W1479" s="116"/>
    </row>
    <row r="1480">
      <c r="A1480" s="114" t="s">
        <v>39</v>
      </c>
      <c r="B1480" s="115"/>
      <c r="C1480" s="116"/>
      <c r="D1480" s="116"/>
      <c r="E1480" s="116" t="str">
        <f>IFERROR(__xludf.DUMMYFUNCTION("""COMPUTED_VALUE"""),"")</f>
        <v/>
      </c>
      <c r="F1480" s="117" t="s">
        <v>39</v>
      </c>
      <c r="G1480" s="116"/>
      <c r="H1480" s="117"/>
      <c r="I1480" s="117"/>
      <c r="J1480" s="117"/>
      <c r="K1480" s="117"/>
      <c r="L1480" s="116"/>
      <c r="M1480" s="117"/>
      <c r="N1480" s="118" t="str">
        <f>IFERROR(__xludf.DUMMYFUNCTION("""COMPUTED_VALUE"""),"")</f>
        <v/>
      </c>
      <c r="O1480" s="116"/>
      <c r="P1480" s="116"/>
      <c r="Q1480" s="116"/>
      <c r="R1480" s="116" t="s">
        <v>39</v>
      </c>
      <c r="S1480" s="116" t="s">
        <v>39</v>
      </c>
      <c r="T1480" s="104" t="s">
        <v>5432</v>
      </c>
      <c r="U1480" s="116"/>
      <c r="V1480" s="104" t="s">
        <v>5432</v>
      </c>
      <c r="W1480" s="116"/>
    </row>
    <row r="1481">
      <c r="A1481" s="114" t="s">
        <v>39</v>
      </c>
      <c r="B1481" s="115"/>
      <c r="C1481" s="116"/>
      <c r="D1481" s="116"/>
      <c r="E1481" s="116" t="str">
        <f>IFERROR(__xludf.DUMMYFUNCTION("""COMPUTED_VALUE"""),"")</f>
        <v/>
      </c>
      <c r="F1481" s="117" t="s">
        <v>39</v>
      </c>
      <c r="G1481" s="116"/>
      <c r="H1481" s="117"/>
      <c r="I1481" s="117"/>
      <c r="J1481" s="117"/>
      <c r="K1481" s="117"/>
      <c r="L1481" s="116"/>
      <c r="M1481" s="117"/>
      <c r="N1481" s="118" t="str">
        <f>IFERROR(__xludf.DUMMYFUNCTION("""COMPUTED_VALUE"""),"")</f>
        <v/>
      </c>
      <c r="O1481" s="116"/>
      <c r="P1481" s="116"/>
      <c r="Q1481" s="116"/>
      <c r="R1481" s="116" t="s">
        <v>39</v>
      </c>
      <c r="S1481" s="116" t="s">
        <v>39</v>
      </c>
      <c r="T1481" s="104" t="s">
        <v>5433</v>
      </c>
      <c r="U1481" s="116"/>
      <c r="V1481" s="104" t="s">
        <v>5433</v>
      </c>
      <c r="W1481" s="116"/>
    </row>
    <row r="1482">
      <c r="A1482" s="114" t="s">
        <v>39</v>
      </c>
      <c r="B1482" s="115"/>
      <c r="C1482" s="116"/>
      <c r="D1482" s="116"/>
      <c r="E1482" s="116" t="str">
        <f>IFERROR(__xludf.DUMMYFUNCTION("""COMPUTED_VALUE"""),"")</f>
        <v/>
      </c>
      <c r="F1482" s="117" t="s">
        <v>39</v>
      </c>
      <c r="G1482" s="116"/>
      <c r="H1482" s="117"/>
      <c r="I1482" s="117"/>
      <c r="J1482" s="117"/>
      <c r="K1482" s="117"/>
      <c r="L1482" s="116"/>
      <c r="M1482" s="117"/>
      <c r="N1482" s="118" t="str">
        <f>IFERROR(__xludf.DUMMYFUNCTION("""COMPUTED_VALUE"""),"")</f>
        <v/>
      </c>
      <c r="O1482" s="116"/>
      <c r="P1482" s="116"/>
      <c r="Q1482" s="116"/>
      <c r="R1482" s="116" t="s">
        <v>39</v>
      </c>
      <c r="S1482" s="116" t="s">
        <v>39</v>
      </c>
      <c r="T1482" s="104" t="s">
        <v>5434</v>
      </c>
      <c r="U1482" s="116"/>
      <c r="V1482" s="104" t="s">
        <v>5434</v>
      </c>
      <c r="W1482" s="116"/>
    </row>
    <row r="1483">
      <c r="A1483" s="114" t="s">
        <v>39</v>
      </c>
      <c r="B1483" s="115"/>
      <c r="C1483" s="116"/>
      <c r="D1483" s="116"/>
      <c r="E1483" s="116" t="str">
        <f>IFERROR(__xludf.DUMMYFUNCTION("""COMPUTED_VALUE"""),"")</f>
        <v/>
      </c>
      <c r="F1483" s="117" t="s">
        <v>39</v>
      </c>
      <c r="G1483" s="116"/>
      <c r="H1483" s="117"/>
      <c r="I1483" s="117"/>
      <c r="J1483" s="117"/>
      <c r="K1483" s="117"/>
      <c r="L1483" s="116"/>
      <c r="M1483" s="117"/>
      <c r="N1483" s="118" t="str">
        <f>IFERROR(__xludf.DUMMYFUNCTION("""COMPUTED_VALUE"""),"")</f>
        <v/>
      </c>
      <c r="O1483" s="116"/>
      <c r="P1483" s="116"/>
      <c r="Q1483" s="116"/>
      <c r="R1483" s="116" t="s">
        <v>39</v>
      </c>
      <c r="S1483" s="116" t="s">
        <v>39</v>
      </c>
      <c r="T1483" s="104" t="s">
        <v>5435</v>
      </c>
      <c r="U1483" s="116"/>
      <c r="V1483" s="104" t="s">
        <v>5435</v>
      </c>
      <c r="W1483" s="116"/>
    </row>
    <row r="1484">
      <c r="A1484" s="114" t="s">
        <v>39</v>
      </c>
      <c r="B1484" s="115"/>
      <c r="C1484" s="116"/>
      <c r="D1484" s="116"/>
      <c r="E1484" s="116" t="str">
        <f>IFERROR(__xludf.DUMMYFUNCTION("""COMPUTED_VALUE"""),"")</f>
        <v/>
      </c>
      <c r="F1484" s="117" t="s">
        <v>39</v>
      </c>
      <c r="G1484" s="116"/>
      <c r="H1484" s="117"/>
      <c r="I1484" s="117"/>
      <c r="J1484" s="117"/>
      <c r="K1484" s="117"/>
      <c r="L1484" s="116"/>
      <c r="M1484" s="117"/>
      <c r="N1484" s="118" t="str">
        <f>IFERROR(__xludf.DUMMYFUNCTION("""COMPUTED_VALUE"""),"")</f>
        <v/>
      </c>
      <c r="O1484" s="116"/>
      <c r="P1484" s="116"/>
      <c r="Q1484" s="116"/>
      <c r="R1484" s="116" t="s">
        <v>39</v>
      </c>
      <c r="S1484" s="116" t="s">
        <v>39</v>
      </c>
      <c r="T1484" s="104" t="s">
        <v>5436</v>
      </c>
      <c r="U1484" s="116"/>
      <c r="V1484" s="104" t="s">
        <v>5436</v>
      </c>
      <c r="W1484" s="116"/>
    </row>
    <row r="1485">
      <c r="A1485" s="114" t="s">
        <v>39</v>
      </c>
      <c r="B1485" s="115"/>
      <c r="C1485" s="116"/>
      <c r="D1485" s="116"/>
      <c r="E1485" s="116" t="str">
        <f>IFERROR(__xludf.DUMMYFUNCTION("""COMPUTED_VALUE"""),"")</f>
        <v/>
      </c>
      <c r="F1485" s="117" t="s">
        <v>39</v>
      </c>
      <c r="G1485" s="116"/>
      <c r="H1485" s="117"/>
      <c r="I1485" s="117"/>
      <c r="J1485" s="117"/>
      <c r="K1485" s="117"/>
      <c r="L1485" s="116"/>
      <c r="M1485" s="117"/>
      <c r="N1485" s="118" t="str">
        <f>IFERROR(__xludf.DUMMYFUNCTION("""COMPUTED_VALUE"""),"")</f>
        <v/>
      </c>
      <c r="O1485" s="116"/>
      <c r="P1485" s="116"/>
      <c r="Q1485" s="116"/>
      <c r="R1485" s="116" t="s">
        <v>39</v>
      </c>
      <c r="S1485" s="116" t="s">
        <v>39</v>
      </c>
      <c r="T1485" s="104" t="s">
        <v>5437</v>
      </c>
      <c r="U1485" s="116"/>
      <c r="V1485" s="104" t="s">
        <v>5437</v>
      </c>
      <c r="W1485" s="116"/>
    </row>
    <row r="1486">
      <c r="A1486" s="114" t="s">
        <v>39</v>
      </c>
      <c r="B1486" s="115"/>
      <c r="C1486" s="116"/>
      <c r="D1486" s="116"/>
      <c r="E1486" s="116" t="str">
        <f>IFERROR(__xludf.DUMMYFUNCTION("""COMPUTED_VALUE"""),"")</f>
        <v/>
      </c>
      <c r="F1486" s="117" t="s">
        <v>39</v>
      </c>
      <c r="G1486" s="116"/>
      <c r="H1486" s="117"/>
      <c r="I1486" s="117"/>
      <c r="J1486" s="117"/>
      <c r="K1486" s="117"/>
      <c r="L1486" s="116"/>
      <c r="M1486" s="117"/>
      <c r="N1486" s="118" t="str">
        <f>IFERROR(__xludf.DUMMYFUNCTION("""COMPUTED_VALUE"""),"")</f>
        <v/>
      </c>
      <c r="O1486" s="116"/>
      <c r="P1486" s="116"/>
      <c r="Q1486" s="116"/>
      <c r="R1486" s="116" t="s">
        <v>39</v>
      </c>
      <c r="S1486" s="116" t="s">
        <v>39</v>
      </c>
      <c r="T1486" s="104" t="s">
        <v>5438</v>
      </c>
      <c r="U1486" s="116"/>
      <c r="V1486" s="104" t="s">
        <v>5438</v>
      </c>
      <c r="W1486" s="116"/>
    </row>
    <row r="1487">
      <c r="A1487" s="114" t="s">
        <v>39</v>
      </c>
      <c r="B1487" s="115"/>
      <c r="C1487" s="116"/>
      <c r="D1487" s="116"/>
      <c r="E1487" s="116" t="str">
        <f>IFERROR(__xludf.DUMMYFUNCTION("""COMPUTED_VALUE"""),"")</f>
        <v/>
      </c>
      <c r="F1487" s="117" t="s">
        <v>39</v>
      </c>
      <c r="G1487" s="116"/>
      <c r="H1487" s="117"/>
      <c r="I1487" s="117"/>
      <c r="J1487" s="117"/>
      <c r="K1487" s="117"/>
      <c r="L1487" s="116"/>
      <c r="M1487" s="117"/>
      <c r="N1487" s="118" t="str">
        <f>IFERROR(__xludf.DUMMYFUNCTION("""COMPUTED_VALUE"""),"")</f>
        <v/>
      </c>
      <c r="O1487" s="116"/>
      <c r="P1487" s="116"/>
      <c r="Q1487" s="116"/>
      <c r="R1487" s="116" t="s">
        <v>39</v>
      </c>
      <c r="S1487" s="116" t="s">
        <v>39</v>
      </c>
      <c r="T1487" s="104" t="s">
        <v>5439</v>
      </c>
      <c r="U1487" s="116"/>
      <c r="V1487" s="104" t="s">
        <v>5439</v>
      </c>
      <c r="W1487" s="116"/>
    </row>
    <row r="1488">
      <c r="A1488" s="114" t="s">
        <v>39</v>
      </c>
      <c r="B1488" s="115"/>
      <c r="C1488" s="116"/>
      <c r="D1488" s="116"/>
      <c r="E1488" s="116" t="str">
        <f>IFERROR(__xludf.DUMMYFUNCTION("""COMPUTED_VALUE"""),"")</f>
        <v/>
      </c>
      <c r="F1488" s="117" t="s">
        <v>39</v>
      </c>
      <c r="G1488" s="116"/>
      <c r="H1488" s="117"/>
      <c r="I1488" s="117"/>
      <c r="J1488" s="117"/>
      <c r="K1488" s="117"/>
      <c r="L1488" s="116"/>
      <c r="M1488" s="117"/>
      <c r="N1488" s="118" t="str">
        <f>IFERROR(__xludf.DUMMYFUNCTION("""COMPUTED_VALUE"""),"")</f>
        <v/>
      </c>
      <c r="O1488" s="116"/>
      <c r="P1488" s="116"/>
      <c r="Q1488" s="116"/>
      <c r="R1488" s="116" t="s">
        <v>39</v>
      </c>
      <c r="S1488" s="116" t="s">
        <v>39</v>
      </c>
      <c r="T1488" s="104" t="s">
        <v>5440</v>
      </c>
      <c r="U1488" s="116"/>
      <c r="V1488" s="104" t="s">
        <v>5440</v>
      </c>
      <c r="W1488" s="116"/>
    </row>
    <row r="1489">
      <c r="A1489" s="114" t="s">
        <v>39</v>
      </c>
      <c r="B1489" s="115"/>
      <c r="C1489" s="116"/>
      <c r="D1489" s="116"/>
      <c r="E1489" s="116" t="str">
        <f>IFERROR(__xludf.DUMMYFUNCTION("""COMPUTED_VALUE"""),"")</f>
        <v/>
      </c>
      <c r="F1489" s="117" t="s">
        <v>39</v>
      </c>
      <c r="G1489" s="116"/>
      <c r="H1489" s="117"/>
      <c r="I1489" s="117"/>
      <c r="J1489" s="117"/>
      <c r="K1489" s="117"/>
      <c r="L1489" s="116"/>
      <c r="M1489" s="117"/>
      <c r="N1489" s="118" t="str">
        <f>IFERROR(__xludf.DUMMYFUNCTION("""COMPUTED_VALUE"""),"")</f>
        <v/>
      </c>
      <c r="O1489" s="116"/>
      <c r="P1489" s="116"/>
      <c r="Q1489" s="116"/>
      <c r="R1489" s="116" t="s">
        <v>39</v>
      </c>
      <c r="S1489" s="116" t="s">
        <v>39</v>
      </c>
      <c r="T1489" s="104" t="s">
        <v>5441</v>
      </c>
      <c r="U1489" s="116"/>
      <c r="V1489" s="104" t="s">
        <v>5441</v>
      </c>
      <c r="W1489" s="116"/>
    </row>
    <row r="1490">
      <c r="A1490" s="114" t="s">
        <v>39</v>
      </c>
      <c r="B1490" s="115"/>
      <c r="C1490" s="116"/>
      <c r="D1490" s="116"/>
      <c r="E1490" s="116" t="str">
        <f>IFERROR(__xludf.DUMMYFUNCTION("""COMPUTED_VALUE"""),"")</f>
        <v/>
      </c>
      <c r="F1490" s="117" t="s">
        <v>39</v>
      </c>
      <c r="G1490" s="116"/>
      <c r="H1490" s="117"/>
      <c r="I1490" s="117"/>
      <c r="J1490" s="117"/>
      <c r="K1490" s="117"/>
      <c r="L1490" s="116"/>
      <c r="M1490" s="117"/>
      <c r="N1490" s="118" t="str">
        <f>IFERROR(__xludf.DUMMYFUNCTION("""COMPUTED_VALUE"""),"")</f>
        <v/>
      </c>
      <c r="O1490" s="116"/>
      <c r="P1490" s="116"/>
      <c r="Q1490" s="116"/>
      <c r="R1490" s="116" t="s">
        <v>39</v>
      </c>
      <c r="S1490" s="116" t="s">
        <v>39</v>
      </c>
      <c r="T1490" s="104" t="s">
        <v>5442</v>
      </c>
      <c r="U1490" s="116"/>
      <c r="V1490" s="104" t="s">
        <v>5442</v>
      </c>
      <c r="W1490" s="116"/>
    </row>
    <row r="1491">
      <c r="A1491" s="114" t="s">
        <v>39</v>
      </c>
      <c r="B1491" s="115"/>
      <c r="C1491" s="116"/>
      <c r="D1491" s="116"/>
      <c r="E1491" s="116" t="str">
        <f>IFERROR(__xludf.DUMMYFUNCTION("""COMPUTED_VALUE"""),"")</f>
        <v/>
      </c>
      <c r="F1491" s="117" t="s">
        <v>39</v>
      </c>
      <c r="G1491" s="116"/>
      <c r="H1491" s="117"/>
      <c r="I1491" s="117"/>
      <c r="J1491" s="117"/>
      <c r="K1491" s="117"/>
      <c r="L1491" s="116"/>
      <c r="M1491" s="117"/>
      <c r="N1491" s="118" t="str">
        <f>IFERROR(__xludf.DUMMYFUNCTION("""COMPUTED_VALUE"""),"")</f>
        <v/>
      </c>
      <c r="O1491" s="116"/>
      <c r="P1491" s="116"/>
      <c r="Q1491" s="116"/>
      <c r="R1491" s="116" t="s">
        <v>39</v>
      </c>
      <c r="S1491" s="116" t="s">
        <v>39</v>
      </c>
      <c r="T1491" s="104" t="s">
        <v>5443</v>
      </c>
      <c r="U1491" s="116"/>
      <c r="V1491" s="104" t="s">
        <v>5443</v>
      </c>
      <c r="W1491" s="116"/>
    </row>
    <row r="1492">
      <c r="A1492" s="114" t="s">
        <v>39</v>
      </c>
      <c r="B1492" s="115"/>
      <c r="C1492" s="116"/>
      <c r="D1492" s="116"/>
      <c r="E1492" s="116" t="str">
        <f>IFERROR(__xludf.DUMMYFUNCTION("""COMPUTED_VALUE"""),"")</f>
        <v/>
      </c>
      <c r="F1492" s="117" t="s">
        <v>39</v>
      </c>
      <c r="G1492" s="116"/>
      <c r="H1492" s="117"/>
      <c r="I1492" s="117"/>
      <c r="J1492" s="117"/>
      <c r="K1492" s="117"/>
      <c r="L1492" s="116"/>
      <c r="M1492" s="117"/>
      <c r="N1492" s="118" t="str">
        <f>IFERROR(__xludf.DUMMYFUNCTION("""COMPUTED_VALUE"""),"")</f>
        <v/>
      </c>
      <c r="O1492" s="116"/>
      <c r="P1492" s="116"/>
      <c r="Q1492" s="116"/>
      <c r="R1492" s="116" t="s">
        <v>39</v>
      </c>
      <c r="S1492" s="116" t="s">
        <v>39</v>
      </c>
      <c r="T1492" s="104" t="s">
        <v>5444</v>
      </c>
      <c r="U1492" s="116"/>
      <c r="V1492" s="104" t="s">
        <v>5444</v>
      </c>
      <c r="W1492" s="116"/>
    </row>
    <row r="1493">
      <c r="A1493" s="114" t="s">
        <v>39</v>
      </c>
      <c r="B1493" s="115"/>
      <c r="C1493" s="116"/>
      <c r="D1493" s="116"/>
      <c r="E1493" s="116" t="str">
        <f>IFERROR(__xludf.DUMMYFUNCTION("""COMPUTED_VALUE"""),"")</f>
        <v/>
      </c>
      <c r="F1493" s="117" t="s">
        <v>39</v>
      </c>
      <c r="G1493" s="116"/>
      <c r="H1493" s="117"/>
      <c r="I1493" s="117"/>
      <c r="J1493" s="117"/>
      <c r="K1493" s="117"/>
      <c r="L1493" s="116"/>
      <c r="M1493" s="117"/>
      <c r="N1493" s="118" t="str">
        <f>IFERROR(__xludf.DUMMYFUNCTION("""COMPUTED_VALUE"""),"")</f>
        <v/>
      </c>
      <c r="O1493" s="116"/>
      <c r="P1493" s="116"/>
      <c r="Q1493" s="116"/>
      <c r="R1493" s="116" t="s">
        <v>39</v>
      </c>
      <c r="S1493" s="116" t="s">
        <v>39</v>
      </c>
      <c r="T1493" s="104" t="s">
        <v>5445</v>
      </c>
      <c r="U1493" s="116"/>
      <c r="V1493" s="104" t="s">
        <v>5445</v>
      </c>
      <c r="W1493" s="116"/>
    </row>
    <row r="1494">
      <c r="A1494" s="114" t="s">
        <v>39</v>
      </c>
      <c r="B1494" s="115"/>
      <c r="C1494" s="116"/>
      <c r="D1494" s="116"/>
      <c r="E1494" s="116" t="str">
        <f>IFERROR(__xludf.DUMMYFUNCTION("""COMPUTED_VALUE"""),"")</f>
        <v/>
      </c>
      <c r="F1494" s="117" t="s">
        <v>39</v>
      </c>
      <c r="G1494" s="116"/>
      <c r="H1494" s="117"/>
      <c r="I1494" s="117"/>
      <c r="J1494" s="117"/>
      <c r="K1494" s="117"/>
      <c r="L1494" s="116"/>
      <c r="M1494" s="117"/>
      <c r="N1494" s="118" t="str">
        <f>IFERROR(__xludf.DUMMYFUNCTION("""COMPUTED_VALUE"""),"")</f>
        <v/>
      </c>
      <c r="O1494" s="116"/>
      <c r="P1494" s="116"/>
      <c r="Q1494" s="116"/>
      <c r="R1494" s="116" t="s">
        <v>39</v>
      </c>
      <c r="S1494" s="116" t="s">
        <v>39</v>
      </c>
      <c r="T1494" s="104" t="s">
        <v>5446</v>
      </c>
      <c r="U1494" s="116"/>
      <c r="V1494" s="104" t="s">
        <v>5446</v>
      </c>
      <c r="W1494" s="116"/>
    </row>
    <row r="1495">
      <c r="A1495" s="114" t="s">
        <v>39</v>
      </c>
      <c r="B1495" s="115"/>
      <c r="C1495" s="116"/>
      <c r="D1495" s="116"/>
      <c r="E1495" s="116" t="str">
        <f>IFERROR(__xludf.DUMMYFUNCTION("""COMPUTED_VALUE"""),"")</f>
        <v/>
      </c>
      <c r="F1495" s="117" t="s">
        <v>39</v>
      </c>
      <c r="G1495" s="116"/>
      <c r="H1495" s="117"/>
      <c r="I1495" s="117"/>
      <c r="J1495" s="117"/>
      <c r="K1495" s="117"/>
      <c r="L1495" s="116"/>
      <c r="M1495" s="117"/>
      <c r="N1495" s="118" t="str">
        <f>IFERROR(__xludf.DUMMYFUNCTION("""COMPUTED_VALUE"""),"")</f>
        <v/>
      </c>
      <c r="O1495" s="116"/>
      <c r="P1495" s="116"/>
      <c r="Q1495" s="116"/>
      <c r="R1495" s="116" t="s">
        <v>39</v>
      </c>
      <c r="S1495" s="116" t="s">
        <v>39</v>
      </c>
      <c r="T1495" s="104" t="s">
        <v>5447</v>
      </c>
      <c r="U1495" s="116"/>
      <c r="V1495" s="104" t="s">
        <v>5447</v>
      </c>
      <c r="W1495" s="116"/>
    </row>
    <row r="1496">
      <c r="A1496" s="114" t="s">
        <v>39</v>
      </c>
      <c r="B1496" s="115"/>
      <c r="C1496" s="116"/>
      <c r="D1496" s="116"/>
      <c r="E1496" s="116" t="str">
        <f>IFERROR(__xludf.DUMMYFUNCTION("""COMPUTED_VALUE"""),"")</f>
        <v/>
      </c>
      <c r="F1496" s="117" t="s">
        <v>39</v>
      </c>
      <c r="G1496" s="116"/>
      <c r="H1496" s="117"/>
      <c r="I1496" s="117"/>
      <c r="J1496" s="117"/>
      <c r="K1496" s="117"/>
      <c r="L1496" s="116"/>
      <c r="M1496" s="117"/>
      <c r="N1496" s="118" t="str">
        <f>IFERROR(__xludf.DUMMYFUNCTION("""COMPUTED_VALUE"""),"")</f>
        <v/>
      </c>
      <c r="O1496" s="116"/>
      <c r="P1496" s="116"/>
      <c r="Q1496" s="116"/>
      <c r="R1496" s="116" t="s">
        <v>39</v>
      </c>
      <c r="S1496" s="116" t="s">
        <v>39</v>
      </c>
      <c r="T1496" s="104" t="s">
        <v>5448</v>
      </c>
      <c r="U1496" s="116"/>
      <c r="V1496" s="104" t="s">
        <v>5448</v>
      </c>
      <c r="W1496" s="116"/>
    </row>
    <row r="1497">
      <c r="A1497" s="114" t="s">
        <v>39</v>
      </c>
      <c r="B1497" s="115"/>
      <c r="C1497" s="116"/>
      <c r="D1497" s="116"/>
      <c r="E1497" s="116" t="str">
        <f>IFERROR(__xludf.DUMMYFUNCTION("""COMPUTED_VALUE"""),"")</f>
        <v/>
      </c>
      <c r="F1497" s="117" t="s">
        <v>39</v>
      </c>
      <c r="G1497" s="116"/>
      <c r="H1497" s="117"/>
      <c r="I1497" s="117"/>
      <c r="J1497" s="117"/>
      <c r="K1497" s="117"/>
      <c r="L1497" s="116"/>
      <c r="M1497" s="117"/>
      <c r="N1497" s="118" t="str">
        <f>IFERROR(__xludf.DUMMYFUNCTION("""COMPUTED_VALUE"""),"")</f>
        <v/>
      </c>
      <c r="O1497" s="116"/>
      <c r="P1497" s="116"/>
      <c r="Q1497" s="116"/>
      <c r="R1497" s="116" t="s">
        <v>39</v>
      </c>
      <c r="S1497" s="116" t="s">
        <v>39</v>
      </c>
      <c r="T1497" s="104" t="s">
        <v>5449</v>
      </c>
      <c r="U1497" s="116"/>
      <c r="V1497" s="104" t="s">
        <v>5449</v>
      </c>
      <c r="W1497" s="116"/>
    </row>
    <row r="1498">
      <c r="A1498" s="114" t="s">
        <v>39</v>
      </c>
      <c r="B1498" s="115"/>
      <c r="C1498" s="116"/>
      <c r="D1498" s="116"/>
      <c r="E1498" s="116" t="str">
        <f>IFERROR(__xludf.DUMMYFUNCTION("""COMPUTED_VALUE"""),"")</f>
        <v/>
      </c>
      <c r="F1498" s="117" t="s">
        <v>39</v>
      </c>
      <c r="G1498" s="116"/>
      <c r="H1498" s="117"/>
      <c r="I1498" s="117"/>
      <c r="J1498" s="117"/>
      <c r="K1498" s="117"/>
      <c r="L1498" s="116"/>
      <c r="M1498" s="117"/>
      <c r="N1498" s="118" t="str">
        <f>IFERROR(__xludf.DUMMYFUNCTION("""COMPUTED_VALUE"""),"")</f>
        <v/>
      </c>
      <c r="O1498" s="116"/>
      <c r="P1498" s="116"/>
      <c r="Q1498" s="116"/>
      <c r="R1498" s="116" t="s">
        <v>39</v>
      </c>
      <c r="S1498" s="116" t="s">
        <v>39</v>
      </c>
      <c r="T1498" s="104" t="s">
        <v>5450</v>
      </c>
      <c r="U1498" s="116"/>
      <c r="V1498" s="104" t="s">
        <v>5450</v>
      </c>
      <c r="W1498" s="116"/>
    </row>
    <row r="1499">
      <c r="A1499" s="114" t="s">
        <v>39</v>
      </c>
      <c r="B1499" s="115"/>
      <c r="C1499" s="116"/>
      <c r="D1499" s="116"/>
      <c r="E1499" s="116" t="str">
        <f>IFERROR(__xludf.DUMMYFUNCTION("""COMPUTED_VALUE"""),"")</f>
        <v/>
      </c>
      <c r="F1499" s="117" t="s">
        <v>39</v>
      </c>
      <c r="G1499" s="116"/>
      <c r="H1499" s="117"/>
      <c r="I1499" s="117"/>
      <c r="J1499" s="117"/>
      <c r="K1499" s="117"/>
      <c r="L1499" s="116"/>
      <c r="M1499" s="117"/>
      <c r="N1499" s="118" t="str">
        <f>IFERROR(__xludf.DUMMYFUNCTION("""COMPUTED_VALUE"""),"")</f>
        <v/>
      </c>
      <c r="O1499" s="116"/>
      <c r="P1499" s="116"/>
      <c r="Q1499" s="116"/>
      <c r="R1499" s="116" t="s">
        <v>39</v>
      </c>
      <c r="S1499" s="116" t="s">
        <v>39</v>
      </c>
      <c r="T1499" s="104" t="s">
        <v>5451</v>
      </c>
      <c r="U1499" s="116"/>
      <c r="V1499" s="104" t="s">
        <v>5451</v>
      </c>
      <c r="W1499" s="116"/>
    </row>
    <row r="1500">
      <c r="A1500" s="114" t="s">
        <v>39</v>
      </c>
      <c r="B1500" s="115"/>
      <c r="C1500" s="116"/>
      <c r="D1500" s="116"/>
      <c r="E1500" s="116" t="str">
        <f>IFERROR(__xludf.DUMMYFUNCTION("""COMPUTED_VALUE"""),"")</f>
        <v/>
      </c>
      <c r="F1500" s="117" t="s">
        <v>39</v>
      </c>
      <c r="G1500" s="116"/>
      <c r="H1500" s="117"/>
      <c r="I1500" s="117"/>
      <c r="J1500" s="117"/>
      <c r="K1500" s="117"/>
      <c r="L1500" s="116"/>
      <c r="M1500" s="117"/>
      <c r="N1500" s="118" t="str">
        <f>IFERROR(__xludf.DUMMYFUNCTION("""COMPUTED_VALUE"""),"")</f>
        <v/>
      </c>
      <c r="O1500" s="116"/>
      <c r="P1500" s="116"/>
      <c r="Q1500" s="116"/>
      <c r="R1500" s="116" t="s">
        <v>39</v>
      </c>
      <c r="S1500" s="116" t="s">
        <v>39</v>
      </c>
      <c r="T1500" s="104" t="s">
        <v>5452</v>
      </c>
      <c r="U1500" s="116"/>
      <c r="V1500" s="104" t="s">
        <v>5452</v>
      </c>
      <c r="W1500" s="116"/>
    </row>
    <row r="1501">
      <c r="A1501" s="114" t="s">
        <v>39</v>
      </c>
      <c r="B1501" s="115"/>
      <c r="C1501" s="116"/>
      <c r="D1501" s="116"/>
      <c r="E1501" s="116" t="str">
        <f>IFERROR(__xludf.DUMMYFUNCTION("""COMPUTED_VALUE"""),"")</f>
        <v/>
      </c>
      <c r="F1501" s="117" t="s">
        <v>39</v>
      </c>
      <c r="G1501" s="116"/>
      <c r="H1501" s="117"/>
      <c r="I1501" s="117"/>
      <c r="J1501" s="117"/>
      <c r="K1501" s="117"/>
      <c r="L1501" s="116"/>
      <c r="M1501" s="117"/>
      <c r="N1501" s="118" t="str">
        <f>IFERROR(__xludf.DUMMYFUNCTION("""COMPUTED_VALUE"""),"")</f>
        <v/>
      </c>
      <c r="O1501" s="116"/>
      <c r="P1501" s="116"/>
      <c r="Q1501" s="116"/>
      <c r="R1501" s="116" t="s">
        <v>39</v>
      </c>
      <c r="S1501" s="116" t="s">
        <v>39</v>
      </c>
      <c r="T1501" s="104" t="s">
        <v>5453</v>
      </c>
      <c r="U1501" s="116"/>
      <c r="V1501" s="104" t="s">
        <v>5453</v>
      </c>
      <c r="W1501" s="116"/>
    </row>
    <row r="1502">
      <c r="A1502" s="114" t="s">
        <v>39</v>
      </c>
      <c r="B1502" s="115"/>
      <c r="C1502" s="116"/>
      <c r="D1502" s="116"/>
      <c r="E1502" s="116" t="str">
        <f>IFERROR(__xludf.DUMMYFUNCTION("""COMPUTED_VALUE"""),"")</f>
        <v/>
      </c>
      <c r="F1502" s="117" t="s">
        <v>39</v>
      </c>
      <c r="G1502" s="116"/>
      <c r="H1502" s="117"/>
      <c r="I1502" s="117"/>
      <c r="J1502" s="117"/>
      <c r="K1502" s="117"/>
      <c r="L1502" s="116"/>
      <c r="M1502" s="117"/>
      <c r="N1502" s="118" t="str">
        <f>IFERROR(__xludf.DUMMYFUNCTION("""COMPUTED_VALUE"""),"")</f>
        <v/>
      </c>
      <c r="O1502" s="116"/>
      <c r="P1502" s="116"/>
      <c r="Q1502" s="116"/>
      <c r="R1502" s="116" t="s">
        <v>39</v>
      </c>
      <c r="S1502" s="116" t="s">
        <v>39</v>
      </c>
      <c r="T1502" s="104" t="s">
        <v>5454</v>
      </c>
      <c r="U1502" s="116"/>
      <c r="V1502" s="104" t="s">
        <v>5454</v>
      </c>
      <c r="W1502" s="116"/>
    </row>
    <row r="1503">
      <c r="A1503" s="114" t="s">
        <v>39</v>
      </c>
      <c r="B1503" s="115"/>
      <c r="C1503" s="116"/>
      <c r="D1503" s="116"/>
      <c r="E1503" s="116" t="str">
        <f>IFERROR(__xludf.DUMMYFUNCTION("""COMPUTED_VALUE"""),"")</f>
        <v/>
      </c>
      <c r="F1503" s="117" t="s">
        <v>39</v>
      </c>
      <c r="G1503" s="116"/>
      <c r="H1503" s="117"/>
      <c r="I1503" s="117"/>
      <c r="J1503" s="117"/>
      <c r="K1503" s="117"/>
      <c r="L1503" s="116"/>
      <c r="M1503" s="117"/>
      <c r="N1503" s="118" t="str">
        <f>IFERROR(__xludf.DUMMYFUNCTION("""COMPUTED_VALUE"""),"")</f>
        <v/>
      </c>
      <c r="O1503" s="116"/>
      <c r="P1503" s="116"/>
      <c r="Q1503" s="116"/>
      <c r="R1503" s="116" t="s">
        <v>39</v>
      </c>
      <c r="S1503" s="116" t="s">
        <v>39</v>
      </c>
      <c r="T1503" s="104" t="s">
        <v>5455</v>
      </c>
      <c r="U1503" s="116"/>
      <c r="V1503" s="104" t="s">
        <v>5455</v>
      </c>
      <c r="W1503" s="116"/>
    </row>
    <row r="1504">
      <c r="A1504" s="114" t="s">
        <v>39</v>
      </c>
      <c r="B1504" s="115"/>
      <c r="C1504" s="116"/>
      <c r="D1504" s="116"/>
      <c r="E1504" s="116" t="str">
        <f>IFERROR(__xludf.DUMMYFUNCTION("""COMPUTED_VALUE"""),"")</f>
        <v/>
      </c>
      <c r="F1504" s="117" t="s">
        <v>39</v>
      </c>
      <c r="G1504" s="116"/>
      <c r="H1504" s="117"/>
      <c r="I1504" s="117"/>
      <c r="J1504" s="117"/>
      <c r="K1504" s="117"/>
      <c r="L1504" s="116"/>
      <c r="M1504" s="117"/>
      <c r="N1504" s="118" t="str">
        <f>IFERROR(__xludf.DUMMYFUNCTION("""COMPUTED_VALUE"""),"")</f>
        <v/>
      </c>
      <c r="O1504" s="116"/>
      <c r="P1504" s="116"/>
      <c r="Q1504" s="116"/>
      <c r="R1504" s="116" t="s">
        <v>39</v>
      </c>
      <c r="S1504" s="116" t="s">
        <v>39</v>
      </c>
      <c r="T1504" s="104" t="s">
        <v>5456</v>
      </c>
      <c r="U1504" s="116"/>
      <c r="V1504" s="104" t="s">
        <v>5456</v>
      </c>
      <c r="W1504" s="116"/>
    </row>
    <row r="1505">
      <c r="A1505" s="114" t="s">
        <v>39</v>
      </c>
      <c r="B1505" s="115"/>
      <c r="C1505" s="116"/>
      <c r="D1505" s="116"/>
      <c r="E1505" s="116" t="str">
        <f>IFERROR(__xludf.DUMMYFUNCTION("""COMPUTED_VALUE"""),"")</f>
        <v/>
      </c>
      <c r="F1505" s="117" t="s">
        <v>39</v>
      </c>
      <c r="G1505" s="116"/>
      <c r="H1505" s="117"/>
      <c r="I1505" s="117"/>
      <c r="J1505" s="117"/>
      <c r="K1505" s="117"/>
      <c r="L1505" s="116"/>
      <c r="M1505" s="117"/>
      <c r="N1505" s="118" t="str">
        <f>IFERROR(__xludf.DUMMYFUNCTION("""COMPUTED_VALUE"""),"")</f>
        <v/>
      </c>
      <c r="O1505" s="116"/>
      <c r="P1505" s="116"/>
      <c r="Q1505" s="116"/>
      <c r="R1505" s="116" t="s">
        <v>39</v>
      </c>
      <c r="S1505" s="116" t="s">
        <v>39</v>
      </c>
      <c r="T1505" s="104" t="s">
        <v>5457</v>
      </c>
      <c r="U1505" s="116"/>
      <c r="V1505" s="104" t="s">
        <v>5457</v>
      </c>
      <c r="W1505" s="116"/>
    </row>
    <row r="1506">
      <c r="A1506" s="114" t="s">
        <v>39</v>
      </c>
      <c r="B1506" s="115"/>
      <c r="C1506" s="116"/>
      <c r="D1506" s="116"/>
      <c r="E1506" s="116" t="str">
        <f>IFERROR(__xludf.DUMMYFUNCTION("""COMPUTED_VALUE"""),"")</f>
        <v/>
      </c>
      <c r="F1506" s="117" t="s">
        <v>39</v>
      </c>
      <c r="G1506" s="116"/>
      <c r="H1506" s="117"/>
      <c r="I1506" s="117"/>
      <c r="J1506" s="117"/>
      <c r="K1506" s="117"/>
      <c r="L1506" s="116"/>
      <c r="M1506" s="117"/>
      <c r="N1506" s="118" t="str">
        <f>IFERROR(__xludf.DUMMYFUNCTION("""COMPUTED_VALUE"""),"")</f>
        <v/>
      </c>
      <c r="O1506" s="116"/>
      <c r="P1506" s="116"/>
      <c r="Q1506" s="116"/>
      <c r="R1506" s="116" t="s">
        <v>39</v>
      </c>
      <c r="S1506" s="116" t="s">
        <v>39</v>
      </c>
      <c r="T1506" s="104" t="s">
        <v>5458</v>
      </c>
      <c r="U1506" s="116"/>
      <c r="V1506" s="104" t="s">
        <v>5458</v>
      </c>
      <c r="W1506" s="116"/>
    </row>
    <row r="1507">
      <c r="A1507" s="114" t="s">
        <v>39</v>
      </c>
      <c r="B1507" s="115"/>
      <c r="C1507" s="116"/>
      <c r="D1507" s="116"/>
      <c r="E1507" s="116" t="str">
        <f>IFERROR(__xludf.DUMMYFUNCTION("""COMPUTED_VALUE"""),"")</f>
        <v/>
      </c>
      <c r="F1507" s="117" t="s">
        <v>39</v>
      </c>
      <c r="G1507" s="116"/>
      <c r="H1507" s="117"/>
      <c r="I1507" s="117"/>
      <c r="J1507" s="117"/>
      <c r="K1507" s="117"/>
      <c r="L1507" s="116"/>
      <c r="M1507" s="117"/>
      <c r="N1507" s="118" t="str">
        <f>IFERROR(__xludf.DUMMYFUNCTION("""COMPUTED_VALUE"""),"")</f>
        <v/>
      </c>
      <c r="O1507" s="116"/>
      <c r="P1507" s="116"/>
      <c r="Q1507" s="116"/>
      <c r="R1507" s="116" t="s">
        <v>39</v>
      </c>
      <c r="S1507" s="116" t="s">
        <v>39</v>
      </c>
      <c r="T1507" s="104" t="s">
        <v>5459</v>
      </c>
      <c r="U1507" s="116"/>
      <c r="V1507" s="104" t="s">
        <v>5459</v>
      </c>
      <c r="W1507" s="116"/>
    </row>
    <row r="1508">
      <c r="A1508" s="114" t="s">
        <v>39</v>
      </c>
      <c r="B1508" s="115"/>
      <c r="C1508" s="116"/>
      <c r="D1508" s="116"/>
      <c r="E1508" s="116" t="str">
        <f>IFERROR(__xludf.DUMMYFUNCTION("""COMPUTED_VALUE"""),"")</f>
        <v/>
      </c>
      <c r="F1508" s="117" t="s">
        <v>39</v>
      </c>
      <c r="G1508" s="116"/>
      <c r="H1508" s="117"/>
      <c r="I1508" s="117"/>
      <c r="J1508" s="117"/>
      <c r="K1508" s="117"/>
      <c r="L1508" s="116"/>
      <c r="M1508" s="117"/>
      <c r="N1508" s="118" t="str">
        <f>IFERROR(__xludf.DUMMYFUNCTION("""COMPUTED_VALUE"""),"")</f>
        <v/>
      </c>
      <c r="O1508" s="116"/>
      <c r="P1508" s="116"/>
      <c r="Q1508" s="116"/>
      <c r="R1508" s="116" t="s">
        <v>39</v>
      </c>
      <c r="S1508" s="116" t="s">
        <v>39</v>
      </c>
      <c r="T1508" s="104" t="s">
        <v>5460</v>
      </c>
      <c r="U1508" s="116"/>
      <c r="V1508" s="104" t="s">
        <v>5460</v>
      </c>
      <c r="W1508" s="116"/>
    </row>
    <row r="1509">
      <c r="A1509" s="114" t="s">
        <v>39</v>
      </c>
      <c r="B1509" s="115"/>
      <c r="C1509" s="116"/>
      <c r="D1509" s="116"/>
      <c r="E1509" s="116" t="str">
        <f>IFERROR(__xludf.DUMMYFUNCTION("""COMPUTED_VALUE"""),"")</f>
        <v/>
      </c>
      <c r="F1509" s="117" t="s">
        <v>39</v>
      </c>
      <c r="G1509" s="116"/>
      <c r="H1509" s="117"/>
      <c r="I1509" s="117"/>
      <c r="J1509" s="117"/>
      <c r="K1509" s="117"/>
      <c r="L1509" s="116"/>
      <c r="M1509" s="117"/>
      <c r="N1509" s="118" t="str">
        <f>IFERROR(__xludf.DUMMYFUNCTION("""COMPUTED_VALUE"""),"")</f>
        <v/>
      </c>
      <c r="O1509" s="116"/>
      <c r="P1509" s="116"/>
      <c r="Q1509" s="116"/>
      <c r="R1509" s="116" t="s">
        <v>39</v>
      </c>
      <c r="S1509" s="116" t="s">
        <v>39</v>
      </c>
      <c r="T1509" s="104" t="s">
        <v>5461</v>
      </c>
      <c r="U1509" s="116"/>
      <c r="V1509" s="104" t="s">
        <v>5461</v>
      </c>
      <c r="W1509" s="116"/>
    </row>
    <row r="1510">
      <c r="A1510" s="114" t="s">
        <v>39</v>
      </c>
      <c r="B1510" s="115"/>
      <c r="C1510" s="116"/>
      <c r="D1510" s="116"/>
      <c r="E1510" s="116" t="str">
        <f>IFERROR(__xludf.DUMMYFUNCTION("""COMPUTED_VALUE"""),"")</f>
        <v/>
      </c>
      <c r="F1510" s="117" t="s">
        <v>39</v>
      </c>
      <c r="G1510" s="116"/>
      <c r="H1510" s="117"/>
      <c r="I1510" s="117"/>
      <c r="J1510" s="117"/>
      <c r="K1510" s="117"/>
      <c r="L1510" s="116"/>
      <c r="M1510" s="117"/>
      <c r="N1510" s="118" t="str">
        <f>IFERROR(__xludf.DUMMYFUNCTION("""COMPUTED_VALUE"""),"")</f>
        <v/>
      </c>
      <c r="O1510" s="116"/>
      <c r="P1510" s="116"/>
      <c r="Q1510" s="116"/>
      <c r="R1510" s="116" t="s">
        <v>39</v>
      </c>
      <c r="S1510" s="116" t="s">
        <v>39</v>
      </c>
      <c r="T1510" s="104" t="s">
        <v>5462</v>
      </c>
      <c r="U1510" s="116"/>
      <c r="V1510" s="104" t="s">
        <v>5462</v>
      </c>
      <c r="W1510" s="116"/>
    </row>
    <row r="1511">
      <c r="A1511" s="114" t="s">
        <v>39</v>
      </c>
      <c r="B1511" s="115"/>
      <c r="C1511" s="116"/>
      <c r="D1511" s="116"/>
      <c r="E1511" s="116" t="str">
        <f>IFERROR(__xludf.DUMMYFUNCTION("""COMPUTED_VALUE"""),"")</f>
        <v/>
      </c>
      <c r="F1511" s="117" t="s">
        <v>39</v>
      </c>
      <c r="G1511" s="116"/>
      <c r="H1511" s="117"/>
      <c r="I1511" s="117"/>
      <c r="J1511" s="117"/>
      <c r="K1511" s="117"/>
      <c r="L1511" s="116"/>
      <c r="M1511" s="117"/>
      <c r="N1511" s="118" t="str">
        <f>IFERROR(__xludf.DUMMYFUNCTION("""COMPUTED_VALUE"""),"")</f>
        <v/>
      </c>
      <c r="O1511" s="116"/>
      <c r="P1511" s="116"/>
      <c r="Q1511" s="116"/>
      <c r="R1511" s="116" t="s">
        <v>39</v>
      </c>
      <c r="S1511" s="116" t="s">
        <v>39</v>
      </c>
      <c r="T1511" s="104" t="s">
        <v>5463</v>
      </c>
      <c r="U1511" s="116"/>
      <c r="V1511" s="104" t="s">
        <v>5463</v>
      </c>
      <c r="W1511" s="116"/>
    </row>
    <row r="1512">
      <c r="A1512" s="114" t="s">
        <v>39</v>
      </c>
      <c r="B1512" s="115"/>
      <c r="C1512" s="116"/>
      <c r="D1512" s="116"/>
      <c r="E1512" s="116" t="str">
        <f>IFERROR(__xludf.DUMMYFUNCTION("""COMPUTED_VALUE"""),"")</f>
        <v/>
      </c>
      <c r="F1512" s="117" t="s">
        <v>39</v>
      </c>
      <c r="G1512" s="116"/>
      <c r="H1512" s="117"/>
      <c r="I1512" s="117"/>
      <c r="J1512" s="117"/>
      <c r="K1512" s="117"/>
      <c r="L1512" s="116"/>
      <c r="M1512" s="117"/>
      <c r="N1512" s="118" t="str">
        <f>IFERROR(__xludf.DUMMYFUNCTION("""COMPUTED_VALUE"""),"")</f>
        <v/>
      </c>
      <c r="O1512" s="116"/>
      <c r="P1512" s="116"/>
      <c r="Q1512" s="116"/>
      <c r="R1512" s="116" t="s">
        <v>39</v>
      </c>
      <c r="S1512" s="116" t="s">
        <v>39</v>
      </c>
      <c r="T1512" s="104" t="s">
        <v>5464</v>
      </c>
      <c r="U1512" s="116"/>
      <c r="V1512" s="104" t="s">
        <v>5464</v>
      </c>
      <c r="W1512" s="116"/>
    </row>
    <row r="1513">
      <c r="A1513" s="114" t="s">
        <v>39</v>
      </c>
      <c r="B1513" s="115"/>
      <c r="C1513" s="116"/>
      <c r="D1513" s="116"/>
      <c r="E1513" s="116" t="str">
        <f>IFERROR(__xludf.DUMMYFUNCTION("""COMPUTED_VALUE"""),"")</f>
        <v/>
      </c>
      <c r="F1513" s="117" t="s">
        <v>39</v>
      </c>
      <c r="G1513" s="116"/>
      <c r="H1513" s="117"/>
      <c r="I1513" s="117"/>
      <c r="J1513" s="117"/>
      <c r="K1513" s="117"/>
      <c r="L1513" s="116"/>
      <c r="M1513" s="117"/>
      <c r="N1513" s="118" t="str">
        <f>IFERROR(__xludf.DUMMYFUNCTION("""COMPUTED_VALUE"""),"")</f>
        <v/>
      </c>
      <c r="O1513" s="116"/>
      <c r="P1513" s="116"/>
      <c r="Q1513" s="116"/>
      <c r="R1513" s="116" t="s">
        <v>39</v>
      </c>
      <c r="S1513" s="116" t="s">
        <v>39</v>
      </c>
      <c r="T1513" s="104" t="s">
        <v>5465</v>
      </c>
      <c r="U1513" s="116"/>
      <c r="V1513" s="104" t="s">
        <v>5465</v>
      </c>
      <c r="W1513" s="116"/>
    </row>
    <row r="1514">
      <c r="A1514" s="114" t="s">
        <v>39</v>
      </c>
      <c r="B1514" s="115"/>
      <c r="C1514" s="116"/>
      <c r="D1514" s="116"/>
      <c r="E1514" s="116" t="str">
        <f>IFERROR(__xludf.DUMMYFUNCTION("""COMPUTED_VALUE"""),"")</f>
        <v/>
      </c>
      <c r="F1514" s="117" t="s">
        <v>39</v>
      </c>
      <c r="G1514" s="116"/>
      <c r="H1514" s="117"/>
      <c r="I1514" s="117"/>
      <c r="J1514" s="117"/>
      <c r="K1514" s="117"/>
      <c r="L1514" s="116"/>
      <c r="M1514" s="117"/>
      <c r="N1514" s="118" t="str">
        <f>IFERROR(__xludf.DUMMYFUNCTION("""COMPUTED_VALUE"""),"")</f>
        <v/>
      </c>
      <c r="O1514" s="116"/>
      <c r="P1514" s="116"/>
      <c r="Q1514" s="116"/>
      <c r="R1514" s="116" t="s">
        <v>39</v>
      </c>
      <c r="S1514" s="116" t="s">
        <v>39</v>
      </c>
      <c r="T1514" s="104" t="s">
        <v>5466</v>
      </c>
      <c r="U1514" s="116"/>
      <c r="V1514" s="104" t="s">
        <v>5466</v>
      </c>
      <c r="W1514" s="116"/>
    </row>
    <row r="1515">
      <c r="A1515" s="114" t="s">
        <v>39</v>
      </c>
      <c r="B1515" s="115"/>
      <c r="C1515" s="116"/>
      <c r="D1515" s="116"/>
      <c r="E1515" s="116" t="str">
        <f>IFERROR(__xludf.DUMMYFUNCTION("""COMPUTED_VALUE"""),"")</f>
        <v/>
      </c>
      <c r="F1515" s="117" t="s">
        <v>39</v>
      </c>
      <c r="G1515" s="116"/>
      <c r="H1515" s="117"/>
      <c r="I1515" s="117"/>
      <c r="J1515" s="117"/>
      <c r="K1515" s="117"/>
      <c r="L1515" s="116"/>
      <c r="M1515" s="117"/>
      <c r="N1515" s="118" t="str">
        <f>IFERROR(__xludf.DUMMYFUNCTION("""COMPUTED_VALUE"""),"")</f>
        <v/>
      </c>
      <c r="O1515" s="116"/>
      <c r="P1515" s="116"/>
      <c r="Q1515" s="116"/>
      <c r="R1515" s="116" t="s">
        <v>39</v>
      </c>
      <c r="S1515" s="116" t="s">
        <v>39</v>
      </c>
      <c r="T1515" s="104" t="s">
        <v>5467</v>
      </c>
      <c r="U1515" s="116"/>
      <c r="V1515" s="104" t="s">
        <v>5467</v>
      </c>
      <c r="W1515" s="116"/>
    </row>
    <row r="1516">
      <c r="A1516" s="114" t="s">
        <v>39</v>
      </c>
      <c r="B1516" s="115"/>
      <c r="C1516" s="116"/>
      <c r="D1516" s="116"/>
      <c r="E1516" s="116" t="str">
        <f>IFERROR(__xludf.DUMMYFUNCTION("""COMPUTED_VALUE"""),"")</f>
        <v/>
      </c>
      <c r="F1516" s="117" t="s">
        <v>39</v>
      </c>
      <c r="G1516" s="116"/>
      <c r="H1516" s="117"/>
      <c r="I1516" s="117"/>
      <c r="J1516" s="117"/>
      <c r="K1516" s="117"/>
      <c r="L1516" s="116"/>
      <c r="M1516" s="117"/>
      <c r="N1516" s="118" t="str">
        <f>IFERROR(__xludf.DUMMYFUNCTION("""COMPUTED_VALUE"""),"")</f>
        <v/>
      </c>
      <c r="O1516" s="116"/>
      <c r="P1516" s="116"/>
      <c r="Q1516" s="116"/>
      <c r="R1516" s="116" t="s">
        <v>39</v>
      </c>
      <c r="S1516" s="116" t="s">
        <v>39</v>
      </c>
      <c r="T1516" s="104" t="s">
        <v>5468</v>
      </c>
      <c r="U1516" s="116"/>
      <c r="V1516" s="104" t="s">
        <v>5468</v>
      </c>
      <c r="W1516" s="116"/>
    </row>
    <row r="1517">
      <c r="A1517" s="114" t="s">
        <v>39</v>
      </c>
      <c r="B1517" s="115"/>
      <c r="C1517" s="116"/>
      <c r="D1517" s="116"/>
      <c r="E1517" s="116" t="str">
        <f>IFERROR(__xludf.DUMMYFUNCTION("""COMPUTED_VALUE"""),"")</f>
        <v/>
      </c>
      <c r="F1517" s="117" t="s">
        <v>39</v>
      </c>
      <c r="G1517" s="116"/>
      <c r="H1517" s="117"/>
      <c r="I1517" s="117"/>
      <c r="J1517" s="117"/>
      <c r="K1517" s="117"/>
      <c r="L1517" s="116"/>
      <c r="M1517" s="117"/>
      <c r="N1517" s="118" t="str">
        <f>IFERROR(__xludf.DUMMYFUNCTION("""COMPUTED_VALUE"""),"")</f>
        <v/>
      </c>
      <c r="O1517" s="116"/>
      <c r="P1517" s="116"/>
      <c r="Q1517" s="116"/>
      <c r="R1517" s="116" t="s">
        <v>39</v>
      </c>
      <c r="S1517" s="116" t="s">
        <v>39</v>
      </c>
      <c r="T1517" s="104" t="s">
        <v>5469</v>
      </c>
      <c r="U1517" s="116"/>
      <c r="V1517" s="104" t="s">
        <v>5469</v>
      </c>
      <c r="W1517" s="116"/>
    </row>
    <row r="1518">
      <c r="A1518" s="114" t="s">
        <v>39</v>
      </c>
      <c r="B1518" s="115"/>
      <c r="C1518" s="116"/>
      <c r="D1518" s="116"/>
      <c r="E1518" s="116" t="str">
        <f>IFERROR(__xludf.DUMMYFUNCTION("""COMPUTED_VALUE"""),"")</f>
        <v/>
      </c>
      <c r="F1518" s="117" t="s">
        <v>39</v>
      </c>
      <c r="G1518" s="116"/>
      <c r="H1518" s="117"/>
      <c r="I1518" s="117"/>
      <c r="J1518" s="117"/>
      <c r="K1518" s="117"/>
      <c r="L1518" s="116"/>
      <c r="M1518" s="117"/>
      <c r="N1518" s="118" t="str">
        <f>IFERROR(__xludf.DUMMYFUNCTION("""COMPUTED_VALUE"""),"")</f>
        <v/>
      </c>
      <c r="O1518" s="116"/>
      <c r="P1518" s="116"/>
      <c r="Q1518" s="116"/>
      <c r="R1518" s="116" t="s">
        <v>39</v>
      </c>
      <c r="S1518" s="116" t="s">
        <v>39</v>
      </c>
      <c r="T1518" s="104" t="s">
        <v>5470</v>
      </c>
      <c r="U1518" s="116"/>
      <c r="V1518" s="104" t="s">
        <v>5470</v>
      </c>
      <c r="W1518" s="116"/>
    </row>
    <row r="1519">
      <c r="A1519" s="114" t="s">
        <v>39</v>
      </c>
      <c r="B1519" s="115"/>
      <c r="C1519" s="116"/>
      <c r="D1519" s="116"/>
      <c r="E1519" s="116" t="str">
        <f>IFERROR(__xludf.DUMMYFUNCTION("""COMPUTED_VALUE"""),"")</f>
        <v/>
      </c>
      <c r="F1519" s="117" t="s">
        <v>39</v>
      </c>
      <c r="G1519" s="116"/>
      <c r="H1519" s="117"/>
      <c r="I1519" s="117"/>
      <c r="J1519" s="117"/>
      <c r="K1519" s="117"/>
      <c r="L1519" s="116"/>
      <c r="M1519" s="117"/>
      <c r="N1519" s="118" t="str">
        <f>IFERROR(__xludf.DUMMYFUNCTION("""COMPUTED_VALUE"""),"")</f>
        <v/>
      </c>
      <c r="O1519" s="116"/>
      <c r="P1519" s="116"/>
      <c r="Q1519" s="116"/>
      <c r="R1519" s="116" t="s">
        <v>39</v>
      </c>
      <c r="S1519" s="116" t="s">
        <v>39</v>
      </c>
      <c r="T1519" s="104" t="s">
        <v>5471</v>
      </c>
      <c r="U1519" s="116"/>
      <c r="V1519" s="104" t="s">
        <v>5471</v>
      </c>
      <c r="W1519" s="116"/>
    </row>
    <row r="1520">
      <c r="A1520" s="114" t="s">
        <v>39</v>
      </c>
      <c r="B1520" s="115"/>
      <c r="C1520" s="116"/>
      <c r="D1520" s="116"/>
      <c r="E1520" s="116" t="str">
        <f>IFERROR(__xludf.DUMMYFUNCTION("""COMPUTED_VALUE"""),"")</f>
        <v/>
      </c>
      <c r="F1520" s="117" t="s">
        <v>39</v>
      </c>
      <c r="G1520" s="116"/>
      <c r="H1520" s="117"/>
      <c r="I1520" s="117"/>
      <c r="J1520" s="117"/>
      <c r="K1520" s="117"/>
      <c r="L1520" s="116"/>
      <c r="M1520" s="117"/>
      <c r="N1520" s="118" t="str">
        <f>IFERROR(__xludf.DUMMYFUNCTION("""COMPUTED_VALUE"""),"")</f>
        <v/>
      </c>
      <c r="O1520" s="116"/>
      <c r="P1520" s="116"/>
      <c r="Q1520" s="116"/>
      <c r="R1520" s="116" t="s">
        <v>39</v>
      </c>
      <c r="S1520" s="116" t="s">
        <v>39</v>
      </c>
      <c r="T1520" s="104" t="s">
        <v>5472</v>
      </c>
      <c r="U1520" s="116"/>
      <c r="V1520" s="104" t="s">
        <v>5472</v>
      </c>
      <c r="W1520" s="116"/>
    </row>
    <row r="1521">
      <c r="A1521" s="114" t="s">
        <v>39</v>
      </c>
      <c r="B1521" s="115"/>
      <c r="C1521" s="116"/>
      <c r="D1521" s="116"/>
      <c r="E1521" s="116" t="str">
        <f>IFERROR(__xludf.DUMMYFUNCTION("""COMPUTED_VALUE"""),"")</f>
        <v/>
      </c>
      <c r="F1521" s="117" t="s">
        <v>39</v>
      </c>
      <c r="G1521" s="116"/>
      <c r="H1521" s="117"/>
      <c r="I1521" s="117"/>
      <c r="J1521" s="117"/>
      <c r="K1521" s="117"/>
      <c r="L1521" s="116"/>
      <c r="M1521" s="117"/>
      <c r="N1521" s="118" t="str">
        <f>IFERROR(__xludf.DUMMYFUNCTION("""COMPUTED_VALUE"""),"")</f>
        <v/>
      </c>
      <c r="O1521" s="116"/>
      <c r="P1521" s="116"/>
      <c r="Q1521" s="116"/>
      <c r="R1521" s="116" t="s">
        <v>39</v>
      </c>
      <c r="S1521" s="116" t="s">
        <v>39</v>
      </c>
      <c r="T1521" s="104" t="s">
        <v>5473</v>
      </c>
      <c r="U1521" s="116"/>
      <c r="V1521" s="104" t="s">
        <v>5473</v>
      </c>
      <c r="W1521" s="116"/>
    </row>
    <row r="1522">
      <c r="A1522" s="114" t="s">
        <v>39</v>
      </c>
      <c r="B1522" s="115"/>
      <c r="C1522" s="116"/>
      <c r="D1522" s="116"/>
      <c r="E1522" s="116" t="str">
        <f>IFERROR(__xludf.DUMMYFUNCTION("""COMPUTED_VALUE"""),"")</f>
        <v/>
      </c>
      <c r="F1522" s="117" t="s">
        <v>39</v>
      </c>
      <c r="G1522" s="116"/>
      <c r="H1522" s="117"/>
      <c r="I1522" s="117"/>
      <c r="J1522" s="117"/>
      <c r="K1522" s="117"/>
      <c r="L1522" s="116"/>
      <c r="M1522" s="117"/>
      <c r="N1522" s="118" t="str">
        <f>IFERROR(__xludf.DUMMYFUNCTION("""COMPUTED_VALUE"""),"")</f>
        <v/>
      </c>
      <c r="O1522" s="116"/>
      <c r="P1522" s="116"/>
      <c r="Q1522" s="116"/>
      <c r="R1522" s="116" t="s">
        <v>39</v>
      </c>
      <c r="S1522" s="116" t="s">
        <v>39</v>
      </c>
      <c r="T1522" s="104" t="s">
        <v>5474</v>
      </c>
      <c r="U1522" s="116"/>
      <c r="V1522" s="104" t="s">
        <v>5474</v>
      </c>
      <c r="W1522" s="116"/>
    </row>
    <row r="1523">
      <c r="A1523" s="114" t="s">
        <v>39</v>
      </c>
      <c r="B1523" s="115"/>
      <c r="C1523" s="116"/>
      <c r="D1523" s="116"/>
      <c r="E1523" s="116" t="str">
        <f>IFERROR(__xludf.DUMMYFUNCTION("""COMPUTED_VALUE"""),"")</f>
        <v/>
      </c>
      <c r="F1523" s="117" t="s">
        <v>39</v>
      </c>
      <c r="G1523" s="116"/>
      <c r="H1523" s="117"/>
      <c r="I1523" s="117"/>
      <c r="J1523" s="117"/>
      <c r="K1523" s="117"/>
      <c r="L1523" s="116"/>
      <c r="M1523" s="117"/>
      <c r="N1523" s="118" t="str">
        <f>IFERROR(__xludf.DUMMYFUNCTION("""COMPUTED_VALUE"""),"")</f>
        <v/>
      </c>
      <c r="O1523" s="116"/>
      <c r="P1523" s="116"/>
      <c r="Q1523" s="116"/>
      <c r="R1523" s="116" t="s">
        <v>39</v>
      </c>
      <c r="S1523" s="116" t="s">
        <v>39</v>
      </c>
      <c r="T1523" s="104" t="s">
        <v>5475</v>
      </c>
      <c r="U1523" s="116"/>
      <c r="V1523" s="104" t="s">
        <v>5475</v>
      </c>
      <c r="W1523" s="116"/>
    </row>
    <row r="1524">
      <c r="A1524" s="114" t="s">
        <v>39</v>
      </c>
      <c r="B1524" s="115"/>
      <c r="C1524" s="116"/>
      <c r="D1524" s="116"/>
      <c r="E1524" s="116" t="str">
        <f>IFERROR(__xludf.DUMMYFUNCTION("""COMPUTED_VALUE"""),"")</f>
        <v/>
      </c>
      <c r="F1524" s="117" t="s">
        <v>39</v>
      </c>
      <c r="G1524" s="116"/>
      <c r="H1524" s="117"/>
      <c r="I1524" s="117"/>
      <c r="J1524" s="117"/>
      <c r="K1524" s="117"/>
      <c r="L1524" s="116"/>
      <c r="M1524" s="117"/>
      <c r="N1524" s="118" t="str">
        <f>IFERROR(__xludf.DUMMYFUNCTION("""COMPUTED_VALUE"""),"")</f>
        <v/>
      </c>
      <c r="O1524" s="116"/>
      <c r="P1524" s="116"/>
      <c r="Q1524" s="116"/>
      <c r="R1524" s="116" t="s">
        <v>39</v>
      </c>
      <c r="S1524" s="116" t="s">
        <v>39</v>
      </c>
      <c r="T1524" s="104" t="s">
        <v>5476</v>
      </c>
      <c r="U1524" s="116"/>
      <c r="V1524" s="104" t="s">
        <v>5476</v>
      </c>
      <c r="W1524" s="116"/>
    </row>
    <row r="1525">
      <c r="A1525" s="114" t="s">
        <v>39</v>
      </c>
      <c r="B1525" s="115"/>
      <c r="C1525" s="116"/>
      <c r="D1525" s="116"/>
      <c r="E1525" s="116" t="str">
        <f>IFERROR(__xludf.DUMMYFUNCTION("""COMPUTED_VALUE"""),"")</f>
        <v/>
      </c>
      <c r="F1525" s="117" t="s">
        <v>39</v>
      </c>
      <c r="G1525" s="116"/>
      <c r="H1525" s="117"/>
      <c r="I1525" s="117"/>
      <c r="J1525" s="117"/>
      <c r="K1525" s="117"/>
      <c r="L1525" s="116"/>
      <c r="M1525" s="117"/>
      <c r="N1525" s="118" t="str">
        <f>IFERROR(__xludf.DUMMYFUNCTION("""COMPUTED_VALUE"""),"")</f>
        <v/>
      </c>
      <c r="O1525" s="116"/>
      <c r="P1525" s="116"/>
      <c r="Q1525" s="116"/>
      <c r="R1525" s="116" t="s">
        <v>39</v>
      </c>
      <c r="S1525" s="116" t="s">
        <v>39</v>
      </c>
      <c r="T1525" s="104" t="s">
        <v>5477</v>
      </c>
      <c r="U1525" s="116"/>
      <c r="V1525" s="104" t="s">
        <v>5477</v>
      </c>
      <c r="W1525" s="116"/>
    </row>
    <row r="1526">
      <c r="A1526" s="114" t="s">
        <v>39</v>
      </c>
      <c r="B1526" s="115"/>
      <c r="C1526" s="116"/>
      <c r="D1526" s="116"/>
      <c r="E1526" s="116" t="str">
        <f>IFERROR(__xludf.DUMMYFUNCTION("""COMPUTED_VALUE"""),"")</f>
        <v/>
      </c>
      <c r="F1526" s="117" t="s">
        <v>39</v>
      </c>
      <c r="G1526" s="116"/>
      <c r="H1526" s="117"/>
      <c r="I1526" s="117"/>
      <c r="J1526" s="117"/>
      <c r="K1526" s="117"/>
      <c r="L1526" s="116"/>
      <c r="M1526" s="117"/>
      <c r="N1526" s="118" t="str">
        <f>IFERROR(__xludf.DUMMYFUNCTION("""COMPUTED_VALUE"""),"")</f>
        <v/>
      </c>
      <c r="O1526" s="116"/>
      <c r="P1526" s="116"/>
      <c r="Q1526" s="116"/>
      <c r="R1526" s="116" t="s">
        <v>39</v>
      </c>
      <c r="S1526" s="116" t="s">
        <v>39</v>
      </c>
      <c r="T1526" s="104" t="s">
        <v>5478</v>
      </c>
      <c r="U1526" s="116"/>
      <c r="V1526" s="104" t="s">
        <v>5478</v>
      </c>
      <c r="W1526" s="116"/>
    </row>
    <row r="1527">
      <c r="A1527" s="114" t="s">
        <v>39</v>
      </c>
      <c r="B1527" s="115"/>
      <c r="C1527" s="116"/>
      <c r="D1527" s="116"/>
      <c r="E1527" s="116" t="str">
        <f>IFERROR(__xludf.DUMMYFUNCTION("""COMPUTED_VALUE"""),"")</f>
        <v/>
      </c>
      <c r="F1527" s="117" t="s">
        <v>39</v>
      </c>
      <c r="G1527" s="116"/>
      <c r="H1527" s="117"/>
      <c r="I1527" s="117"/>
      <c r="J1527" s="117"/>
      <c r="K1527" s="117"/>
      <c r="L1527" s="116"/>
      <c r="M1527" s="117"/>
      <c r="N1527" s="118" t="str">
        <f>IFERROR(__xludf.DUMMYFUNCTION("""COMPUTED_VALUE"""),"")</f>
        <v/>
      </c>
      <c r="O1527" s="116"/>
      <c r="P1527" s="116"/>
      <c r="Q1527" s="116"/>
      <c r="R1527" s="116" t="s">
        <v>39</v>
      </c>
      <c r="S1527" s="116" t="s">
        <v>39</v>
      </c>
      <c r="T1527" s="104" t="s">
        <v>5479</v>
      </c>
      <c r="U1527" s="116"/>
      <c r="V1527" s="104" t="s">
        <v>5479</v>
      </c>
      <c r="W1527" s="116"/>
    </row>
    <row r="1528">
      <c r="A1528" s="114" t="s">
        <v>39</v>
      </c>
      <c r="B1528" s="115"/>
      <c r="C1528" s="116"/>
      <c r="D1528" s="116"/>
      <c r="E1528" s="116" t="str">
        <f>IFERROR(__xludf.DUMMYFUNCTION("""COMPUTED_VALUE"""),"")</f>
        <v/>
      </c>
      <c r="F1528" s="117" t="s">
        <v>39</v>
      </c>
      <c r="G1528" s="116"/>
      <c r="H1528" s="117"/>
      <c r="I1528" s="117"/>
      <c r="J1528" s="117"/>
      <c r="K1528" s="117"/>
      <c r="L1528" s="116"/>
      <c r="M1528" s="117"/>
      <c r="N1528" s="118" t="str">
        <f>IFERROR(__xludf.DUMMYFUNCTION("""COMPUTED_VALUE"""),"")</f>
        <v/>
      </c>
      <c r="O1528" s="116"/>
      <c r="P1528" s="116"/>
      <c r="Q1528" s="116"/>
      <c r="R1528" s="116" t="s">
        <v>39</v>
      </c>
      <c r="S1528" s="116" t="s">
        <v>39</v>
      </c>
      <c r="T1528" s="104" t="s">
        <v>5480</v>
      </c>
      <c r="U1528" s="116"/>
      <c r="V1528" s="104" t="s">
        <v>5480</v>
      </c>
      <c r="W1528" s="116"/>
    </row>
    <row r="1529">
      <c r="A1529" s="114" t="s">
        <v>39</v>
      </c>
      <c r="B1529" s="115"/>
      <c r="C1529" s="116"/>
      <c r="D1529" s="116"/>
      <c r="E1529" s="116" t="str">
        <f>IFERROR(__xludf.DUMMYFUNCTION("""COMPUTED_VALUE"""),"")</f>
        <v/>
      </c>
      <c r="F1529" s="117" t="s">
        <v>39</v>
      </c>
      <c r="G1529" s="116"/>
      <c r="H1529" s="117"/>
      <c r="I1529" s="117"/>
      <c r="J1529" s="117"/>
      <c r="K1529" s="117"/>
      <c r="L1529" s="116"/>
      <c r="M1529" s="117"/>
      <c r="N1529" s="118" t="str">
        <f>IFERROR(__xludf.DUMMYFUNCTION("""COMPUTED_VALUE"""),"")</f>
        <v/>
      </c>
      <c r="O1529" s="116"/>
      <c r="P1529" s="116"/>
      <c r="Q1529" s="116"/>
      <c r="R1529" s="116" t="s">
        <v>39</v>
      </c>
      <c r="S1529" s="116" t="s">
        <v>39</v>
      </c>
      <c r="T1529" s="104" t="s">
        <v>5481</v>
      </c>
      <c r="U1529" s="116"/>
      <c r="V1529" s="104" t="s">
        <v>5481</v>
      </c>
      <c r="W1529" s="116"/>
    </row>
    <row r="1530">
      <c r="A1530" s="114" t="s">
        <v>39</v>
      </c>
      <c r="B1530" s="115"/>
      <c r="C1530" s="116"/>
      <c r="D1530" s="116"/>
      <c r="E1530" s="116" t="str">
        <f>IFERROR(__xludf.DUMMYFUNCTION("""COMPUTED_VALUE"""),"")</f>
        <v/>
      </c>
      <c r="F1530" s="117" t="s">
        <v>39</v>
      </c>
      <c r="G1530" s="116"/>
      <c r="H1530" s="117"/>
      <c r="I1530" s="117"/>
      <c r="J1530" s="117"/>
      <c r="K1530" s="117"/>
      <c r="L1530" s="116"/>
      <c r="M1530" s="117"/>
      <c r="N1530" s="118" t="str">
        <f>IFERROR(__xludf.DUMMYFUNCTION("""COMPUTED_VALUE"""),"")</f>
        <v/>
      </c>
      <c r="O1530" s="116"/>
      <c r="P1530" s="116"/>
      <c r="Q1530" s="116"/>
      <c r="R1530" s="116" t="s">
        <v>39</v>
      </c>
      <c r="S1530" s="116" t="s">
        <v>39</v>
      </c>
      <c r="T1530" s="104" t="s">
        <v>5482</v>
      </c>
      <c r="U1530" s="116"/>
      <c r="V1530" s="104" t="s">
        <v>5482</v>
      </c>
      <c r="W1530" s="116"/>
    </row>
    <row r="1531">
      <c r="A1531" s="114" t="s">
        <v>39</v>
      </c>
      <c r="B1531" s="115"/>
      <c r="C1531" s="116"/>
      <c r="D1531" s="116"/>
      <c r="E1531" s="116" t="str">
        <f>IFERROR(__xludf.DUMMYFUNCTION("""COMPUTED_VALUE"""),"")</f>
        <v/>
      </c>
      <c r="F1531" s="117" t="s">
        <v>39</v>
      </c>
      <c r="G1531" s="116"/>
      <c r="H1531" s="117"/>
      <c r="I1531" s="117"/>
      <c r="J1531" s="117"/>
      <c r="K1531" s="117"/>
      <c r="L1531" s="116"/>
      <c r="M1531" s="117"/>
      <c r="N1531" s="118" t="str">
        <f>IFERROR(__xludf.DUMMYFUNCTION("""COMPUTED_VALUE"""),"")</f>
        <v/>
      </c>
      <c r="O1531" s="116"/>
      <c r="P1531" s="116"/>
      <c r="Q1531" s="116"/>
      <c r="R1531" s="116" t="s">
        <v>39</v>
      </c>
      <c r="S1531" s="116" t="s">
        <v>39</v>
      </c>
      <c r="T1531" s="104" t="s">
        <v>5483</v>
      </c>
      <c r="U1531" s="116"/>
      <c r="V1531" s="104" t="s">
        <v>5483</v>
      </c>
      <c r="W1531" s="116"/>
    </row>
    <row r="1532">
      <c r="A1532" s="114" t="s">
        <v>39</v>
      </c>
      <c r="B1532" s="115"/>
      <c r="C1532" s="116"/>
      <c r="D1532" s="116"/>
      <c r="E1532" s="116" t="str">
        <f>IFERROR(__xludf.DUMMYFUNCTION("""COMPUTED_VALUE"""),"")</f>
        <v/>
      </c>
      <c r="F1532" s="117" t="s">
        <v>39</v>
      </c>
      <c r="G1532" s="116"/>
      <c r="H1532" s="117"/>
      <c r="I1532" s="117"/>
      <c r="J1532" s="117"/>
      <c r="K1532" s="117"/>
      <c r="L1532" s="116"/>
      <c r="M1532" s="117"/>
      <c r="N1532" s="118" t="str">
        <f>IFERROR(__xludf.DUMMYFUNCTION("""COMPUTED_VALUE"""),"")</f>
        <v/>
      </c>
      <c r="O1532" s="116"/>
      <c r="P1532" s="116"/>
      <c r="Q1532" s="116"/>
      <c r="R1532" s="116" t="s">
        <v>39</v>
      </c>
      <c r="S1532" s="116" t="s">
        <v>39</v>
      </c>
      <c r="T1532" s="104" t="s">
        <v>5484</v>
      </c>
      <c r="U1532" s="116"/>
      <c r="V1532" s="104" t="s">
        <v>5484</v>
      </c>
      <c r="W1532" s="116"/>
    </row>
    <row r="1533">
      <c r="A1533" s="114" t="s">
        <v>39</v>
      </c>
      <c r="B1533" s="115"/>
      <c r="C1533" s="116"/>
      <c r="D1533" s="116"/>
      <c r="E1533" s="116" t="str">
        <f>IFERROR(__xludf.DUMMYFUNCTION("""COMPUTED_VALUE"""),"")</f>
        <v/>
      </c>
      <c r="F1533" s="117" t="s">
        <v>39</v>
      </c>
      <c r="G1533" s="116"/>
      <c r="H1533" s="117"/>
      <c r="I1533" s="117"/>
      <c r="J1533" s="117"/>
      <c r="K1533" s="117"/>
      <c r="L1533" s="116"/>
      <c r="M1533" s="117"/>
      <c r="N1533" s="118" t="str">
        <f>IFERROR(__xludf.DUMMYFUNCTION("""COMPUTED_VALUE"""),"")</f>
        <v/>
      </c>
      <c r="O1533" s="116"/>
      <c r="P1533" s="116"/>
      <c r="Q1533" s="116"/>
      <c r="R1533" s="116" t="s">
        <v>39</v>
      </c>
      <c r="S1533" s="116" t="s">
        <v>39</v>
      </c>
      <c r="T1533" s="104" t="s">
        <v>5485</v>
      </c>
      <c r="U1533" s="116"/>
      <c r="V1533" s="104" t="s">
        <v>5485</v>
      </c>
      <c r="W1533" s="116"/>
    </row>
    <row r="1534">
      <c r="A1534" s="114" t="s">
        <v>39</v>
      </c>
      <c r="B1534" s="115"/>
      <c r="C1534" s="116"/>
      <c r="D1534" s="116"/>
      <c r="E1534" s="116" t="str">
        <f>IFERROR(__xludf.DUMMYFUNCTION("""COMPUTED_VALUE"""),"")</f>
        <v/>
      </c>
      <c r="F1534" s="117" t="s">
        <v>39</v>
      </c>
      <c r="G1534" s="116"/>
      <c r="H1534" s="117"/>
      <c r="I1534" s="117"/>
      <c r="J1534" s="117"/>
      <c r="K1534" s="117"/>
      <c r="L1534" s="116"/>
      <c r="M1534" s="117"/>
      <c r="N1534" s="118" t="str">
        <f>IFERROR(__xludf.DUMMYFUNCTION("""COMPUTED_VALUE"""),"")</f>
        <v/>
      </c>
      <c r="O1534" s="116"/>
      <c r="P1534" s="116"/>
      <c r="Q1534" s="116"/>
      <c r="R1534" s="116" t="s">
        <v>39</v>
      </c>
      <c r="S1534" s="116" t="s">
        <v>39</v>
      </c>
      <c r="T1534" s="104" t="s">
        <v>5486</v>
      </c>
      <c r="U1534" s="116"/>
      <c r="V1534" s="104" t="s">
        <v>5486</v>
      </c>
      <c r="W1534" s="116"/>
    </row>
    <row r="1535">
      <c r="A1535" s="114" t="s">
        <v>39</v>
      </c>
      <c r="B1535" s="115"/>
      <c r="C1535" s="116"/>
      <c r="D1535" s="116"/>
      <c r="E1535" s="116" t="str">
        <f>IFERROR(__xludf.DUMMYFUNCTION("""COMPUTED_VALUE"""),"")</f>
        <v/>
      </c>
      <c r="F1535" s="117" t="s">
        <v>39</v>
      </c>
      <c r="G1535" s="116"/>
      <c r="H1535" s="117"/>
      <c r="I1535" s="117"/>
      <c r="J1535" s="117"/>
      <c r="K1535" s="117"/>
      <c r="L1535" s="116"/>
      <c r="M1535" s="117"/>
      <c r="N1535" s="118" t="str">
        <f>IFERROR(__xludf.DUMMYFUNCTION("""COMPUTED_VALUE"""),"")</f>
        <v/>
      </c>
      <c r="O1535" s="116"/>
      <c r="P1535" s="116"/>
      <c r="Q1535" s="116"/>
      <c r="R1535" s="116" t="s">
        <v>39</v>
      </c>
      <c r="S1535" s="116" t="s">
        <v>39</v>
      </c>
      <c r="T1535" s="104" t="s">
        <v>5487</v>
      </c>
      <c r="U1535" s="116"/>
      <c r="V1535" s="104" t="s">
        <v>5487</v>
      </c>
      <c r="W1535" s="116"/>
    </row>
    <row r="1536">
      <c r="A1536" s="114" t="s">
        <v>39</v>
      </c>
      <c r="B1536" s="115"/>
      <c r="C1536" s="116"/>
      <c r="D1536" s="116"/>
      <c r="E1536" s="116" t="str">
        <f>IFERROR(__xludf.DUMMYFUNCTION("""COMPUTED_VALUE"""),"")</f>
        <v/>
      </c>
      <c r="F1536" s="117" t="s">
        <v>39</v>
      </c>
      <c r="G1536" s="116"/>
      <c r="H1536" s="117"/>
      <c r="I1536" s="117"/>
      <c r="J1536" s="117"/>
      <c r="K1536" s="117"/>
      <c r="L1536" s="116"/>
      <c r="M1536" s="117"/>
      <c r="N1536" s="118" t="str">
        <f>IFERROR(__xludf.DUMMYFUNCTION("""COMPUTED_VALUE"""),"")</f>
        <v/>
      </c>
      <c r="O1536" s="116"/>
      <c r="P1536" s="116"/>
      <c r="Q1536" s="116"/>
      <c r="R1536" s="116" t="s">
        <v>39</v>
      </c>
      <c r="S1536" s="116" t="s">
        <v>39</v>
      </c>
      <c r="T1536" s="104" t="s">
        <v>5488</v>
      </c>
      <c r="U1536" s="116"/>
      <c r="V1536" s="104" t="s">
        <v>5488</v>
      </c>
      <c r="W1536" s="116"/>
    </row>
    <row r="1537">
      <c r="A1537" s="114" t="s">
        <v>39</v>
      </c>
      <c r="B1537" s="115"/>
      <c r="C1537" s="116"/>
      <c r="D1537" s="116"/>
      <c r="E1537" s="116" t="str">
        <f>IFERROR(__xludf.DUMMYFUNCTION("""COMPUTED_VALUE"""),"")</f>
        <v/>
      </c>
      <c r="F1537" s="117" t="s">
        <v>39</v>
      </c>
      <c r="G1537" s="116"/>
      <c r="H1537" s="117"/>
      <c r="I1537" s="117"/>
      <c r="J1537" s="117"/>
      <c r="K1537" s="117"/>
      <c r="L1537" s="116"/>
      <c r="M1537" s="117"/>
      <c r="N1537" s="118" t="str">
        <f>IFERROR(__xludf.DUMMYFUNCTION("""COMPUTED_VALUE"""),"")</f>
        <v/>
      </c>
      <c r="O1537" s="116"/>
      <c r="P1537" s="116"/>
      <c r="Q1537" s="116"/>
      <c r="R1537" s="116" t="s">
        <v>39</v>
      </c>
      <c r="S1537" s="116" t="s">
        <v>39</v>
      </c>
      <c r="T1537" s="104" t="s">
        <v>5489</v>
      </c>
      <c r="U1537" s="116"/>
      <c r="V1537" s="104" t="s">
        <v>5489</v>
      </c>
      <c r="W1537" s="116"/>
    </row>
    <row r="1538">
      <c r="A1538" s="114" t="s">
        <v>39</v>
      </c>
      <c r="B1538" s="115"/>
      <c r="C1538" s="116"/>
      <c r="D1538" s="116"/>
      <c r="E1538" s="116" t="str">
        <f>IFERROR(__xludf.DUMMYFUNCTION("""COMPUTED_VALUE"""),"")</f>
        <v/>
      </c>
      <c r="F1538" s="117" t="s">
        <v>39</v>
      </c>
      <c r="G1538" s="116"/>
      <c r="H1538" s="117"/>
      <c r="I1538" s="117"/>
      <c r="J1538" s="117"/>
      <c r="K1538" s="117"/>
      <c r="L1538" s="116"/>
      <c r="M1538" s="117"/>
      <c r="N1538" s="118" t="str">
        <f>IFERROR(__xludf.DUMMYFUNCTION("""COMPUTED_VALUE"""),"")</f>
        <v/>
      </c>
      <c r="O1538" s="116"/>
      <c r="P1538" s="116"/>
      <c r="Q1538" s="116"/>
      <c r="R1538" s="116" t="s">
        <v>39</v>
      </c>
      <c r="S1538" s="116" t="s">
        <v>39</v>
      </c>
      <c r="T1538" s="104" t="s">
        <v>5490</v>
      </c>
      <c r="U1538" s="116"/>
      <c r="V1538" s="104" t="s">
        <v>5490</v>
      </c>
      <c r="W1538" s="116"/>
    </row>
    <row r="1539">
      <c r="A1539" s="114" t="s">
        <v>39</v>
      </c>
      <c r="B1539" s="115"/>
      <c r="C1539" s="116"/>
      <c r="D1539" s="116"/>
      <c r="E1539" s="116" t="str">
        <f>IFERROR(__xludf.DUMMYFUNCTION("""COMPUTED_VALUE"""),"")</f>
        <v/>
      </c>
      <c r="F1539" s="117" t="s">
        <v>39</v>
      </c>
      <c r="G1539" s="116"/>
      <c r="H1539" s="117"/>
      <c r="I1539" s="117"/>
      <c r="J1539" s="117"/>
      <c r="K1539" s="117"/>
      <c r="L1539" s="116"/>
      <c r="M1539" s="117"/>
      <c r="N1539" s="118" t="str">
        <f>IFERROR(__xludf.DUMMYFUNCTION("""COMPUTED_VALUE"""),"")</f>
        <v/>
      </c>
      <c r="O1539" s="116"/>
      <c r="P1539" s="116"/>
      <c r="Q1539" s="116"/>
      <c r="R1539" s="116" t="s">
        <v>39</v>
      </c>
      <c r="S1539" s="116" t="s">
        <v>39</v>
      </c>
      <c r="T1539" s="104" t="s">
        <v>5491</v>
      </c>
      <c r="U1539" s="116"/>
      <c r="V1539" s="104" t="s">
        <v>5491</v>
      </c>
      <c r="W1539" s="116"/>
    </row>
    <row r="1540">
      <c r="A1540" s="114" t="s">
        <v>39</v>
      </c>
      <c r="B1540" s="115"/>
      <c r="C1540" s="116"/>
      <c r="D1540" s="116"/>
      <c r="E1540" s="116" t="str">
        <f>IFERROR(__xludf.DUMMYFUNCTION("""COMPUTED_VALUE"""),"")</f>
        <v/>
      </c>
      <c r="F1540" s="117" t="s">
        <v>39</v>
      </c>
      <c r="G1540" s="116"/>
      <c r="H1540" s="117"/>
      <c r="I1540" s="117"/>
      <c r="J1540" s="117"/>
      <c r="K1540" s="117"/>
      <c r="L1540" s="116"/>
      <c r="M1540" s="117"/>
      <c r="N1540" s="118" t="str">
        <f>IFERROR(__xludf.DUMMYFUNCTION("""COMPUTED_VALUE"""),"")</f>
        <v/>
      </c>
      <c r="O1540" s="116"/>
      <c r="P1540" s="116"/>
      <c r="Q1540" s="116"/>
      <c r="R1540" s="116" t="s">
        <v>39</v>
      </c>
      <c r="S1540" s="116" t="s">
        <v>39</v>
      </c>
      <c r="T1540" s="104" t="s">
        <v>5492</v>
      </c>
      <c r="U1540" s="116"/>
      <c r="V1540" s="104" t="s">
        <v>5492</v>
      </c>
      <c r="W1540" s="116"/>
    </row>
    <row r="1541">
      <c r="A1541" s="114" t="s">
        <v>39</v>
      </c>
      <c r="B1541" s="115"/>
      <c r="C1541" s="116"/>
      <c r="D1541" s="116"/>
      <c r="E1541" s="116" t="str">
        <f>IFERROR(__xludf.DUMMYFUNCTION("""COMPUTED_VALUE"""),"")</f>
        <v/>
      </c>
      <c r="F1541" s="117" t="s">
        <v>39</v>
      </c>
      <c r="G1541" s="116"/>
      <c r="H1541" s="117"/>
      <c r="I1541" s="117"/>
      <c r="J1541" s="117"/>
      <c r="K1541" s="117"/>
      <c r="L1541" s="116"/>
      <c r="M1541" s="117"/>
      <c r="N1541" s="118" t="str">
        <f>IFERROR(__xludf.DUMMYFUNCTION("""COMPUTED_VALUE"""),"")</f>
        <v/>
      </c>
      <c r="O1541" s="116"/>
      <c r="P1541" s="116"/>
      <c r="Q1541" s="116"/>
      <c r="R1541" s="116" t="s">
        <v>39</v>
      </c>
      <c r="S1541" s="116" t="s">
        <v>39</v>
      </c>
      <c r="T1541" s="104" t="s">
        <v>5493</v>
      </c>
      <c r="U1541" s="116"/>
      <c r="V1541" s="104" t="s">
        <v>5493</v>
      </c>
      <c r="W1541" s="116"/>
    </row>
    <row r="1542">
      <c r="A1542" s="114" t="s">
        <v>39</v>
      </c>
      <c r="B1542" s="115"/>
      <c r="C1542" s="116"/>
      <c r="D1542" s="116"/>
      <c r="E1542" s="116" t="str">
        <f>IFERROR(__xludf.DUMMYFUNCTION("""COMPUTED_VALUE"""),"")</f>
        <v/>
      </c>
      <c r="F1542" s="117" t="s">
        <v>39</v>
      </c>
      <c r="G1542" s="116"/>
      <c r="H1542" s="117"/>
      <c r="I1542" s="117"/>
      <c r="J1542" s="117"/>
      <c r="K1542" s="117"/>
      <c r="L1542" s="116"/>
      <c r="M1542" s="117"/>
      <c r="N1542" s="118" t="str">
        <f>IFERROR(__xludf.DUMMYFUNCTION("""COMPUTED_VALUE"""),"")</f>
        <v/>
      </c>
      <c r="O1542" s="116"/>
      <c r="P1542" s="116"/>
      <c r="Q1542" s="116"/>
      <c r="R1542" s="116" t="s">
        <v>39</v>
      </c>
      <c r="S1542" s="116" t="s">
        <v>39</v>
      </c>
      <c r="T1542" s="104" t="s">
        <v>5494</v>
      </c>
      <c r="U1542" s="116"/>
      <c r="V1542" s="104" t="s">
        <v>5494</v>
      </c>
      <c r="W1542" s="116"/>
    </row>
    <row r="1543">
      <c r="A1543" s="114" t="s">
        <v>39</v>
      </c>
      <c r="B1543" s="115"/>
      <c r="C1543" s="116"/>
      <c r="D1543" s="116"/>
      <c r="E1543" s="116" t="str">
        <f>IFERROR(__xludf.DUMMYFUNCTION("""COMPUTED_VALUE"""),"")</f>
        <v/>
      </c>
      <c r="F1543" s="117" t="s">
        <v>39</v>
      </c>
      <c r="G1543" s="116"/>
      <c r="H1543" s="117"/>
      <c r="I1543" s="117"/>
      <c r="J1543" s="117"/>
      <c r="K1543" s="117"/>
      <c r="L1543" s="116"/>
      <c r="M1543" s="117"/>
      <c r="N1543" s="118" t="str">
        <f>IFERROR(__xludf.DUMMYFUNCTION("""COMPUTED_VALUE"""),"")</f>
        <v/>
      </c>
      <c r="O1543" s="116"/>
      <c r="P1543" s="116"/>
      <c r="Q1543" s="116"/>
      <c r="R1543" s="116" t="s">
        <v>39</v>
      </c>
      <c r="S1543" s="116" t="s">
        <v>39</v>
      </c>
      <c r="T1543" s="104" t="s">
        <v>5495</v>
      </c>
      <c r="U1543" s="116"/>
      <c r="V1543" s="104" t="s">
        <v>5495</v>
      </c>
      <c r="W1543" s="116"/>
    </row>
    <row r="1544">
      <c r="A1544" s="114" t="s">
        <v>39</v>
      </c>
      <c r="B1544" s="115"/>
      <c r="C1544" s="116"/>
      <c r="D1544" s="116"/>
      <c r="E1544" s="116" t="str">
        <f>IFERROR(__xludf.DUMMYFUNCTION("""COMPUTED_VALUE"""),"")</f>
        <v/>
      </c>
      <c r="F1544" s="117" t="s">
        <v>39</v>
      </c>
      <c r="G1544" s="116"/>
      <c r="H1544" s="117"/>
      <c r="I1544" s="117"/>
      <c r="J1544" s="117"/>
      <c r="K1544" s="117"/>
      <c r="L1544" s="116"/>
      <c r="M1544" s="117"/>
      <c r="N1544" s="118" t="str">
        <f>IFERROR(__xludf.DUMMYFUNCTION("""COMPUTED_VALUE"""),"")</f>
        <v/>
      </c>
      <c r="O1544" s="116"/>
      <c r="P1544" s="116"/>
      <c r="Q1544" s="116"/>
      <c r="R1544" s="116" t="s">
        <v>39</v>
      </c>
      <c r="S1544" s="116" t="s">
        <v>39</v>
      </c>
      <c r="T1544" s="104" t="s">
        <v>5496</v>
      </c>
      <c r="U1544" s="116"/>
      <c r="V1544" s="104" t="s">
        <v>5496</v>
      </c>
      <c r="W1544" s="116"/>
    </row>
    <row r="1545">
      <c r="A1545" s="114" t="s">
        <v>39</v>
      </c>
      <c r="B1545" s="115"/>
      <c r="C1545" s="116"/>
      <c r="D1545" s="116"/>
      <c r="E1545" s="116" t="str">
        <f>IFERROR(__xludf.DUMMYFUNCTION("""COMPUTED_VALUE"""),"")</f>
        <v/>
      </c>
      <c r="F1545" s="117" t="s">
        <v>39</v>
      </c>
      <c r="G1545" s="116"/>
      <c r="H1545" s="117"/>
      <c r="I1545" s="117"/>
      <c r="J1545" s="117"/>
      <c r="K1545" s="117"/>
      <c r="L1545" s="116"/>
      <c r="M1545" s="117"/>
      <c r="N1545" s="118" t="str">
        <f>IFERROR(__xludf.DUMMYFUNCTION("""COMPUTED_VALUE"""),"")</f>
        <v/>
      </c>
      <c r="O1545" s="116"/>
      <c r="P1545" s="116"/>
      <c r="Q1545" s="116"/>
      <c r="R1545" s="116" t="s">
        <v>39</v>
      </c>
      <c r="S1545" s="116" t="s">
        <v>39</v>
      </c>
      <c r="T1545" s="104" t="s">
        <v>5497</v>
      </c>
      <c r="U1545" s="116"/>
      <c r="V1545" s="104" t="s">
        <v>5497</v>
      </c>
      <c r="W1545" s="116"/>
    </row>
    <row r="1546">
      <c r="A1546" s="114" t="s">
        <v>39</v>
      </c>
      <c r="B1546" s="115"/>
      <c r="C1546" s="116"/>
      <c r="D1546" s="116"/>
      <c r="E1546" s="116" t="str">
        <f>IFERROR(__xludf.DUMMYFUNCTION("""COMPUTED_VALUE"""),"")</f>
        <v/>
      </c>
      <c r="F1546" s="117" t="s">
        <v>39</v>
      </c>
      <c r="G1546" s="116"/>
      <c r="H1546" s="117"/>
      <c r="I1546" s="117"/>
      <c r="J1546" s="117"/>
      <c r="K1546" s="117"/>
      <c r="L1546" s="116"/>
      <c r="M1546" s="117"/>
      <c r="N1546" s="118" t="str">
        <f>IFERROR(__xludf.DUMMYFUNCTION("""COMPUTED_VALUE"""),"")</f>
        <v/>
      </c>
      <c r="O1546" s="116"/>
      <c r="P1546" s="116"/>
      <c r="Q1546" s="116"/>
      <c r="R1546" s="116" t="s">
        <v>39</v>
      </c>
      <c r="S1546" s="116" t="s">
        <v>39</v>
      </c>
      <c r="T1546" s="104" t="s">
        <v>5498</v>
      </c>
      <c r="U1546" s="116"/>
      <c r="V1546" s="104" t="s">
        <v>5498</v>
      </c>
      <c r="W1546" s="116"/>
    </row>
    <row r="1547">
      <c r="A1547" s="114" t="s">
        <v>39</v>
      </c>
      <c r="B1547" s="115"/>
      <c r="C1547" s="116"/>
      <c r="D1547" s="116"/>
      <c r="E1547" s="116" t="str">
        <f>IFERROR(__xludf.DUMMYFUNCTION("""COMPUTED_VALUE"""),"")</f>
        <v/>
      </c>
      <c r="F1547" s="117" t="s">
        <v>39</v>
      </c>
      <c r="G1547" s="116"/>
      <c r="H1547" s="117"/>
      <c r="I1547" s="117"/>
      <c r="J1547" s="117"/>
      <c r="K1547" s="117"/>
      <c r="L1547" s="116"/>
      <c r="M1547" s="117"/>
      <c r="N1547" s="118" t="str">
        <f>IFERROR(__xludf.DUMMYFUNCTION("""COMPUTED_VALUE"""),"")</f>
        <v/>
      </c>
      <c r="O1547" s="116"/>
      <c r="P1547" s="116"/>
      <c r="Q1547" s="116"/>
      <c r="R1547" s="116" t="s">
        <v>39</v>
      </c>
      <c r="S1547" s="116" t="s">
        <v>39</v>
      </c>
      <c r="T1547" s="104" t="s">
        <v>5499</v>
      </c>
      <c r="U1547" s="116"/>
      <c r="V1547" s="104" t="s">
        <v>5499</v>
      </c>
      <c r="W1547" s="116"/>
    </row>
    <row r="1548">
      <c r="A1548" s="114" t="s">
        <v>39</v>
      </c>
      <c r="B1548" s="115"/>
      <c r="C1548" s="116"/>
      <c r="D1548" s="116"/>
      <c r="E1548" s="116" t="str">
        <f>IFERROR(__xludf.DUMMYFUNCTION("""COMPUTED_VALUE"""),"")</f>
        <v/>
      </c>
      <c r="F1548" s="117" t="s">
        <v>39</v>
      </c>
      <c r="G1548" s="116"/>
      <c r="H1548" s="117"/>
      <c r="I1548" s="117"/>
      <c r="J1548" s="117"/>
      <c r="K1548" s="117"/>
      <c r="L1548" s="116"/>
      <c r="M1548" s="117"/>
      <c r="N1548" s="118" t="str">
        <f>IFERROR(__xludf.DUMMYFUNCTION("""COMPUTED_VALUE"""),"")</f>
        <v/>
      </c>
      <c r="O1548" s="116"/>
      <c r="P1548" s="116"/>
      <c r="Q1548" s="116"/>
      <c r="R1548" s="116" t="s">
        <v>39</v>
      </c>
      <c r="S1548" s="116" t="s">
        <v>39</v>
      </c>
      <c r="T1548" s="104" t="s">
        <v>5500</v>
      </c>
      <c r="U1548" s="116"/>
      <c r="V1548" s="104" t="s">
        <v>5500</v>
      </c>
      <c r="W1548" s="116"/>
    </row>
    <row r="1549">
      <c r="A1549" s="114" t="s">
        <v>39</v>
      </c>
      <c r="B1549" s="115"/>
      <c r="C1549" s="116"/>
      <c r="D1549" s="116"/>
      <c r="E1549" s="116" t="str">
        <f>IFERROR(__xludf.DUMMYFUNCTION("""COMPUTED_VALUE"""),"")</f>
        <v/>
      </c>
      <c r="F1549" s="117" t="s">
        <v>39</v>
      </c>
      <c r="G1549" s="116"/>
      <c r="H1549" s="117"/>
      <c r="I1549" s="117"/>
      <c r="J1549" s="117"/>
      <c r="K1549" s="117"/>
      <c r="L1549" s="116"/>
      <c r="M1549" s="117"/>
      <c r="N1549" s="118" t="str">
        <f>IFERROR(__xludf.DUMMYFUNCTION("""COMPUTED_VALUE"""),"")</f>
        <v/>
      </c>
      <c r="O1549" s="116"/>
      <c r="P1549" s="116"/>
      <c r="Q1549" s="116"/>
      <c r="R1549" s="116" t="s">
        <v>39</v>
      </c>
      <c r="S1549" s="116" t="s">
        <v>39</v>
      </c>
      <c r="T1549" s="104" t="s">
        <v>5501</v>
      </c>
      <c r="U1549" s="116"/>
      <c r="V1549" s="104" t="s">
        <v>5501</v>
      </c>
      <c r="W1549" s="116"/>
    </row>
    <row r="1550">
      <c r="A1550" s="114" t="s">
        <v>39</v>
      </c>
      <c r="B1550" s="115"/>
      <c r="C1550" s="116"/>
      <c r="D1550" s="116"/>
      <c r="E1550" s="116" t="str">
        <f>IFERROR(__xludf.DUMMYFUNCTION("""COMPUTED_VALUE"""),"")</f>
        <v/>
      </c>
      <c r="F1550" s="117" t="s">
        <v>39</v>
      </c>
      <c r="G1550" s="116"/>
      <c r="H1550" s="117"/>
      <c r="I1550" s="117"/>
      <c r="J1550" s="117"/>
      <c r="K1550" s="117"/>
      <c r="L1550" s="116"/>
      <c r="M1550" s="117"/>
      <c r="N1550" s="118" t="str">
        <f>IFERROR(__xludf.DUMMYFUNCTION("""COMPUTED_VALUE"""),"")</f>
        <v/>
      </c>
      <c r="O1550" s="116"/>
      <c r="P1550" s="116"/>
      <c r="Q1550" s="116"/>
      <c r="R1550" s="116" t="s">
        <v>39</v>
      </c>
      <c r="S1550" s="116" t="s">
        <v>39</v>
      </c>
      <c r="T1550" s="104" t="s">
        <v>5502</v>
      </c>
      <c r="U1550" s="116"/>
      <c r="V1550" s="104" t="s">
        <v>5502</v>
      </c>
      <c r="W1550" s="116"/>
    </row>
    <row r="1551">
      <c r="A1551" s="114" t="s">
        <v>39</v>
      </c>
      <c r="B1551" s="115"/>
      <c r="C1551" s="116"/>
      <c r="D1551" s="116"/>
      <c r="E1551" s="116" t="str">
        <f>IFERROR(__xludf.DUMMYFUNCTION("""COMPUTED_VALUE"""),"")</f>
        <v/>
      </c>
      <c r="F1551" s="117" t="s">
        <v>39</v>
      </c>
      <c r="G1551" s="116"/>
      <c r="H1551" s="117"/>
      <c r="I1551" s="117"/>
      <c r="J1551" s="117"/>
      <c r="K1551" s="117"/>
      <c r="L1551" s="116"/>
      <c r="M1551" s="117"/>
      <c r="N1551" s="118" t="str">
        <f>IFERROR(__xludf.DUMMYFUNCTION("""COMPUTED_VALUE"""),"")</f>
        <v/>
      </c>
      <c r="O1551" s="116"/>
      <c r="P1551" s="116"/>
      <c r="Q1551" s="116"/>
      <c r="R1551" s="116" t="s">
        <v>39</v>
      </c>
      <c r="S1551" s="116" t="s">
        <v>39</v>
      </c>
      <c r="T1551" s="104" t="s">
        <v>5503</v>
      </c>
      <c r="U1551" s="116"/>
      <c r="V1551" s="104" t="s">
        <v>5503</v>
      </c>
      <c r="W1551" s="116"/>
    </row>
    <row r="1552">
      <c r="A1552" s="114" t="s">
        <v>39</v>
      </c>
      <c r="B1552" s="115"/>
      <c r="C1552" s="116"/>
      <c r="D1552" s="116"/>
      <c r="E1552" s="116" t="str">
        <f>IFERROR(__xludf.DUMMYFUNCTION("""COMPUTED_VALUE"""),"")</f>
        <v/>
      </c>
      <c r="F1552" s="117" t="s">
        <v>39</v>
      </c>
      <c r="G1552" s="116"/>
      <c r="H1552" s="117"/>
      <c r="I1552" s="117"/>
      <c r="J1552" s="117"/>
      <c r="K1552" s="117"/>
      <c r="L1552" s="116"/>
      <c r="M1552" s="117"/>
      <c r="N1552" s="118" t="str">
        <f>IFERROR(__xludf.DUMMYFUNCTION("""COMPUTED_VALUE"""),"")</f>
        <v/>
      </c>
      <c r="O1552" s="116"/>
      <c r="P1552" s="116"/>
      <c r="Q1552" s="116"/>
      <c r="R1552" s="116" t="s">
        <v>39</v>
      </c>
      <c r="S1552" s="116" t="s">
        <v>39</v>
      </c>
      <c r="T1552" s="104" t="s">
        <v>5504</v>
      </c>
      <c r="U1552" s="116"/>
      <c r="V1552" s="104" t="s">
        <v>5504</v>
      </c>
      <c r="W1552" s="116"/>
    </row>
    <row r="1553">
      <c r="A1553" s="114" t="s">
        <v>39</v>
      </c>
      <c r="B1553" s="115"/>
      <c r="C1553" s="116"/>
      <c r="D1553" s="116"/>
      <c r="E1553" s="116" t="str">
        <f>IFERROR(__xludf.DUMMYFUNCTION("""COMPUTED_VALUE"""),"")</f>
        <v/>
      </c>
      <c r="F1553" s="117" t="s">
        <v>39</v>
      </c>
      <c r="G1553" s="116"/>
      <c r="H1553" s="117"/>
      <c r="I1553" s="117"/>
      <c r="J1553" s="117"/>
      <c r="K1553" s="117"/>
      <c r="L1553" s="116"/>
      <c r="M1553" s="117"/>
      <c r="N1553" s="118" t="str">
        <f>IFERROR(__xludf.DUMMYFUNCTION("""COMPUTED_VALUE"""),"")</f>
        <v/>
      </c>
      <c r="O1553" s="116"/>
      <c r="P1553" s="116"/>
      <c r="Q1553" s="116"/>
      <c r="R1553" s="116" t="s">
        <v>39</v>
      </c>
      <c r="S1553" s="116" t="s">
        <v>39</v>
      </c>
      <c r="T1553" s="104" t="s">
        <v>5505</v>
      </c>
      <c r="U1553" s="116"/>
      <c r="V1553" s="104" t="s">
        <v>5505</v>
      </c>
      <c r="W1553" s="116"/>
    </row>
    <row r="1554">
      <c r="A1554" s="114" t="s">
        <v>39</v>
      </c>
      <c r="B1554" s="115"/>
      <c r="C1554" s="116"/>
      <c r="D1554" s="116"/>
      <c r="E1554" s="116" t="str">
        <f>IFERROR(__xludf.DUMMYFUNCTION("""COMPUTED_VALUE"""),"")</f>
        <v/>
      </c>
      <c r="F1554" s="117" t="s">
        <v>39</v>
      </c>
      <c r="G1554" s="116"/>
      <c r="H1554" s="117"/>
      <c r="I1554" s="117"/>
      <c r="J1554" s="117"/>
      <c r="K1554" s="117"/>
      <c r="L1554" s="116"/>
      <c r="M1554" s="117"/>
      <c r="N1554" s="118" t="str">
        <f>IFERROR(__xludf.DUMMYFUNCTION("""COMPUTED_VALUE"""),"")</f>
        <v/>
      </c>
      <c r="O1554" s="116"/>
      <c r="P1554" s="116"/>
      <c r="Q1554" s="116"/>
      <c r="R1554" s="116" t="s">
        <v>39</v>
      </c>
      <c r="S1554" s="116" t="s">
        <v>39</v>
      </c>
      <c r="T1554" s="104" t="s">
        <v>5506</v>
      </c>
      <c r="U1554" s="116"/>
      <c r="V1554" s="104" t="s">
        <v>5506</v>
      </c>
      <c r="W1554" s="116"/>
    </row>
    <row r="1555">
      <c r="A1555" s="114" t="s">
        <v>39</v>
      </c>
      <c r="B1555" s="115"/>
      <c r="C1555" s="116"/>
      <c r="D1555" s="116"/>
      <c r="E1555" s="116" t="str">
        <f>IFERROR(__xludf.DUMMYFUNCTION("""COMPUTED_VALUE"""),"")</f>
        <v/>
      </c>
      <c r="F1555" s="117" t="s">
        <v>39</v>
      </c>
      <c r="G1555" s="116"/>
      <c r="H1555" s="117"/>
      <c r="I1555" s="117"/>
      <c r="J1555" s="117"/>
      <c r="K1555" s="117"/>
      <c r="L1555" s="116"/>
      <c r="M1555" s="117"/>
      <c r="N1555" s="118" t="str">
        <f>IFERROR(__xludf.DUMMYFUNCTION("""COMPUTED_VALUE"""),"")</f>
        <v/>
      </c>
      <c r="O1555" s="116"/>
      <c r="P1555" s="116"/>
      <c r="Q1555" s="116"/>
      <c r="R1555" s="116" t="s">
        <v>39</v>
      </c>
      <c r="S1555" s="116" t="s">
        <v>39</v>
      </c>
      <c r="T1555" s="104" t="s">
        <v>5507</v>
      </c>
      <c r="U1555" s="116"/>
      <c r="V1555" s="104" t="s">
        <v>5507</v>
      </c>
      <c r="W1555" s="116"/>
    </row>
    <row r="1556">
      <c r="A1556" s="114" t="s">
        <v>39</v>
      </c>
      <c r="B1556" s="115"/>
      <c r="C1556" s="116"/>
      <c r="D1556" s="116"/>
      <c r="E1556" s="116" t="str">
        <f>IFERROR(__xludf.DUMMYFUNCTION("""COMPUTED_VALUE"""),"")</f>
        <v/>
      </c>
      <c r="F1556" s="117" t="s">
        <v>39</v>
      </c>
      <c r="G1556" s="116"/>
      <c r="H1556" s="117"/>
      <c r="I1556" s="117"/>
      <c r="J1556" s="117"/>
      <c r="K1556" s="117"/>
      <c r="L1556" s="116"/>
      <c r="M1556" s="117"/>
      <c r="N1556" s="118" t="str">
        <f>IFERROR(__xludf.DUMMYFUNCTION("""COMPUTED_VALUE"""),"")</f>
        <v/>
      </c>
      <c r="O1556" s="116"/>
      <c r="P1556" s="116"/>
      <c r="Q1556" s="116"/>
      <c r="R1556" s="116" t="s">
        <v>39</v>
      </c>
      <c r="S1556" s="116" t="s">
        <v>39</v>
      </c>
      <c r="T1556" s="104" t="s">
        <v>5508</v>
      </c>
      <c r="U1556" s="116"/>
      <c r="V1556" s="104" t="s">
        <v>5508</v>
      </c>
      <c r="W1556" s="116"/>
    </row>
    <row r="1557">
      <c r="A1557" s="114" t="s">
        <v>39</v>
      </c>
      <c r="B1557" s="115"/>
      <c r="C1557" s="116"/>
      <c r="D1557" s="116"/>
      <c r="E1557" s="116" t="str">
        <f>IFERROR(__xludf.DUMMYFUNCTION("""COMPUTED_VALUE"""),"")</f>
        <v/>
      </c>
      <c r="F1557" s="117" t="s">
        <v>39</v>
      </c>
      <c r="G1557" s="116"/>
      <c r="H1557" s="117"/>
      <c r="I1557" s="117"/>
      <c r="J1557" s="117"/>
      <c r="K1557" s="117"/>
      <c r="L1557" s="116"/>
      <c r="M1557" s="117"/>
      <c r="N1557" s="118" t="str">
        <f>IFERROR(__xludf.DUMMYFUNCTION("""COMPUTED_VALUE"""),"")</f>
        <v/>
      </c>
      <c r="O1557" s="116"/>
      <c r="P1557" s="116"/>
      <c r="Q1557" s="116"/>
      <c r="R1557" s="116" t="s">
        <v>39</v>
      </c>
      <c r="S1557" s="116" t="s">
        <v>39</v>
      </c>
      <c r="T1557" s="104" t="s">
        <v>5509</v>
      </c>
      <c r="U1557" s="116"/>
      <c r="V1557" s="104" t="s">
        <v>5509</v>
      </c>
      <c r="W1557" s="116"/>
    </row>
    <row r="1558">
      <c r="A1558" s="114" t="s">
        <v>39</v>
      </c>
      <c r="B1558" s="115"/>
      <c r="C1558" s="116"/>
      <c r="D1558" s="116"/>
      <c r="E1558" s="116" t="str">
        <f>IFERROR(__xludf.DUMMYFUNCTION("""COMPUTED_VALUE"""),"")</f>
        <v/>
      </c>
      <c r="F1558" s="117" t="s">
        <v>39</v>
      </c>
      <c r="G1558" s="116"/>
      <c r="H1558" s="117"/>
      <c r="I1558" s="117"/>
      <c r="J1558" s="117"/>
      <c r="K1558" s="117"/>
      <c r="L1558" s="116"/>
      <c r="M1558" s="117"/>
      <c r="N1558" s="118" t="str">
        <f>IFERROR(__xludf.DUMMYFUNCTION("""COMPUTED_VALUE"""),"")</f>
        <v/>
      </c>
      <c r="O1558" s="116"/>
      <c r="P1558" s="116"/>
      <c r="Q1558" s="116"/>
      <c r="R1558" s="116" t="s">
        <v>39</v>
      </c>
      <c r="S1558" s="116" t="s">
        <v>39</v>
      </c>
      <c r="T1558" s="104" t="s">
        <v>5510</v>
      </c>
      <c r="U1558" s="116"/>
      <c r="V1558" s="104" t="s">
        <v>5510</v>
      </c>
      <c r="W1558" s="116"/>
    </row>
    <row r="1559">
      <c r="A1559" s="114" t="s">
        <v>39</v>
      </c>
      <c r="B1559" s="115"/>
      <c r="C1559" s="116"/>
      <c r="D1559" s="116"/>
      <c r="E1559" s="116" t="str">
        <f>IFERROR(__xludf.DUMMYFUNCTION("""COMPUTED_VALUE"""),"")</f>
        <v/>
      </c>
      <c r="F1559" s="117" t="s">
        <v>39</v>
      </c>
      <c r="G1559" s="116"/>
      <c r="H1559" s="117"/>
      <c r="I1559" s="117"/>
      <c r="J1559" s="117"/>
      <c r="K1559" s="117"/>
      <c r="L1559" s="116"/>
      <c r="M1559" s="117"/>
      <c r="N1559" s="118" t="str">
        <f>IFERROR(__xludf.DUMMYFUNCTION("""COMPUTED_VALUE"""),"")</f>
        <v/>
      </c>
      <c r="O1559" s="116"/>
      <c r="P1559" s="116"/>
      <c r="Q1559" s="116"/>
      <c r="R1559" s="116" t="s">
        <v>39</v>
      </c>
      <c r="S1559" s="116" t="s">
        <v>39</v>
      </c>
      <c r="T1559" s="104" t="s">
        <v>5511</v>
      </c>
      <c r="U1559" s="116"/>
      <c r="V1559" s="104" t="s">
        <v>5511</v>
      </c>
      <c r="W1559" s="116"/>
    </row>
    <row r="1560">
      <c r="A1560" s="114" t="s">
        <v>39</v>
      </c>
      <c r="B1560" s="115"/>
      <c r="C1560" s="116"/>
      <c r="D1560" s="116"/>
      <c r="E1560" s="116" t="str">
        <f>IFERROR(__xludf.DUMMYFUNCTION("""COMPUTED_VALUE"""),"")</f>
        <v/>
      </c>
      <c r="F1560" s="117" t="s">
        <v>39</v>
      </c>
      <c r="G1560" s="116"/>
      <c r="H1560" s="117"/>
      <c r="I1560" s="117"/>
      <c r="J1560" s="117"/>
      <c r="K1560" s="117"/>
      <c r="L1560" s="116"/>
      <c r="M1560" s="117"/>
      <c r="N1560" s="118" t="str">
        <f>IFERROR(__xludf.DUMMYFUNCTION("""COMPUTED_VALUE"""),"")</f>
        <v/>
      </c>
      <c r="O1560" s="116"/>
      <c r="P1560" s="116"/>
      <c r="Q1560" s="116"/>
      <c r="R1560" s="116" t="s">
        <v>39</v>
      </c>
      <c r="S1560" s="116" t="s">
        <v>39</v>
      </c>
      <c r="T1560" s="104" t="s">
        <v>5512</v>
      </c>
      <c r="U1560" s="116"/>
      <c r="V1560" s="104" t="s">
        <v>5512</v>
      </c>
      <c r="W1560" s="116"/>
    </row>
    <row r="1561">
      <c r="A1561" s="114" t="s">
        <v>39</v>
      </c>
      <c r="B1561" s="115"/>
      <c r="C1561" s="116"/>
      <c r="D1561" s="116"/>
      <c r="E1561" s="116" t="str">
        <f>IFERROR(__xludf.DUMMYFUNCTION("""COMPUTED_VALUE"""),"")</f>
        <v/>
      </c>
      <c r="F1561" s="117" t="s">
        <v>39</v>
      </c>
      <c r="G1561" s="116"/>
      <c r="H1561" s="117"/>
      <c r="I1561" s="117"/>
      <c r="J1561" s="117"/>
      <c r="K1561" s="117"/>
      <c r="L1561" s="116"/>
      <c r="M1561" s="117"/>
      <c r="N1561" s="118" t="str">
        <f>IFERROR(__xludf.DUMMYFUNCTION("""COMPUTED_VALUE"""),"")</f>
        <v/>
      </c>
      <c r="O1561" s="116"/>
      <c r="P1561" s="116"/>
      <c r="Q1561" s="116"/>
      <c r="R1561" s="116" t="s">
        <v>39</v>
      </c>
      <c r="S1561" s="116" t="s">
        <v>39</v>
      </c>
      <c r="T1561" s="104" t="s">
        <v>5513</v>
      </c>
      <c r="U1561" s="116"/>
      <c r="V1561" s="104" t="s">
        <v>5513</v>
      </c>
      <c r="W1561" s="116"/>
    </row>
    <row r="1562">
      <c r="A1562" s="114" t="s">
        <v>39</v>
      </c>
      <c r="B1562" s="115"/>
      <c r="C1562" s="116"/>
      <c r="D1562" s="116"/>
      <c r="E1562" s="116" t="str">
        <f>IFERROR(__xludf.DUMMYFUNCTION("""COMPUTED_VALUE"""),"")</f>
        <v/>
      </c>
      <c r="F1562" s="117" t="s">
        <v>39</v>
      </c>
      <c r="G1562" s="116"/>
      <c r="H1562" s="117"/>
      <c r="I1562" s="117"/>
      <c r="J1562" s="117"/>
      <c r="K1562" s="117"/>
      <c r="L1562" s="116"/>
      <c r="M1562" s="117"/>
      <c r="N1562" s="118" t="str">
        <f>IFERROR(__xludf.DUMMYFUNCTION("""COMPUTED_VALUE"""),"")</f>
        <v/>
      </c>
      <c r="O1562" s="116"/>
      <c r="P1562" s="116"/>
      <c r="Q1562" s="116"/>
      <c r="R1562" s="116" t="s">
        <v>39</v>
      </c>
      <c r="S1562" s="116" t="s">
        <v>39</v>
      </c>
      <c r="T1562" s="104" t="s">
        <v>5514</v>
      </c>
      <c r="U1562" s="116"/>
      <c r="V1562" s="104" t="s">
        <v>5514</v>
      </c>
      <c r="W1562" s="116"/>
    </row>
    <row r="1563">
      <c r="A1563" s="114" t="s">
        <v>39</v>
      </c>
      <c r="B1563" s="115"/>
      <c r="C1563" s="116"/>
      <c r="D1563" s="116"/>
      <c r="E1563" s="116" t="str">
        <f>IFERROR(__xludf.DUMMYFUNCTION("""COMPUTED_VALUE"""),"")</f>
        <v/>
      </c>
      <c r="F1563" s="117" t="s">
        <v>39</v>
      </c>
      <c r="G1563" s="116"/>
      <c r="H1563" s="117"/>
      <c r="I1563" s="117"/>
      <c r="J1563" s="117"/>
      <c r="K1563" s="117"/>
      <c r="L1563" s="116"/>
      <c r="M1563" s="117"/>
      <c r="N1563" s="118" t="str">
        <f>IFERROR(__xludf.DUMMYFUNCTION("""COMPUTED_VALUE"""),"")</f>
        <v/>
      </c>
      <c r="O1563" s="116"/>
      <c r="P1563" s="116"/>
      <c r="Q1563" s="116"/>
      <c r="R1563" s="116" t="s">
        <v>39</v>
      </c>
      <c r="S1563" s="116" t="s">
        <v>39</v>
      </c>
      <c r="T1563" s="104" t="s">
        <v>5515</v>
      </c>
      <c r="U1563" s="116"/>
      <c r="V1563" s="104" t="s">
        <v>5515</v>
      </c>
      <c r="W1563" s="116"/>
    </row>
    <row r="1564">
      <c r="A1564" s="114" t="s">
        <v>39</v>
      </c>
      <c r="B1564" s="115"/>
      <c r="C1564" s="116"/>
      <c r="D1564" s="116"/>
      <c r="E1564" s="116" t="str">
        <f>IFERROR(__xludf.DUMMYFUNCTION("""COMPUTED_VALUE"""),"")</f>
        <v/>
      </c>
      <c r="F1564" s="117" t="s">
        <v>39</v>
      </c>
      <c r="G1564" s="116"/>
      <c r="H1564" s="117"/>
      <c r="I1564" s="117"/>
      <c r="J1564" s="117"/>
      <c r="K1564" s="117"/>
      <c r="L1564" s="116"/>
      <c r="M1564" s="117"/>
      <c r="N1564" s="118" t="str">
        <f>IFERROR(__xludf.DUMMYFUNCTION("""COMPUTED_VALUE"""),"")</f>
        <v/>
      </c>
      <c r="O1564" s="116"/>
      <c r="P1564" s="116"/>
      <c r="Q1564" s="116"/>
      <c r="R1564" s="116" t="s">
        <v>39</v>
      </c>
      <c r="S1564" s="116" t="s">
        <v>39</v>
      </c>
      <c r="T1564" s="104" t="s">
        <v>5516</v>
      </c>
      <c r="U1564" s="116"/>
      <c r="V1564" s="104" t="s">
        <v>5516</v>
      </c>
      <c r="W1564" s="116"/>
    </row>
    <row r="1565">
      <c r="A1565" s="114" t="s">
        <v>39</v>
      </c>
      <c r="B1565" s="115"/>
      <c r="C1565" s="116"/>
      <c r="D1565" s="116"/>
      <c r="E1565" s="116" t="str">
        <f>IFERROR(__xludf.DUMMYFUNCTION("""COMPUTED_VALUE"""),"")</f>
        <v/>
      </c>
      <c r="F1565" s="117" t="s">
        <v>39</v>
      </c>
      <c r="G1565" s="116"/>
      <c r="H1565" s="117"/>
      <c r="I1565" s="117"/>
      <c r="J1565" s="117"/>
      <c r="K1565" s="117"/>
      <c r="L1565" s="116"/>
      <c r="M1565" s="117"/>
      <c r="N1565" s="118" t="str">
        <f>IFERROR(__xludf.DUMMYFUNCTION("""COMPUTED_VALUE"""),"")</f>
        <v/>
      </c>
      <c r="O1565" s="116"/>
      <c r="P1565" s="116"/>
      <c r="Q1565" s="116"/>
      <c r="R1565" s="116" t="s">
        <v>39</v>
      </c>
      <c r="S1565" s="116" t="s">
        <v>39</v>
      </c>
      <c r="T1565" s="104" t="s">
        <v>5517</v>
      </c>
      <c r="U1565" s="116"/>
      <c r="V1565" s="104" t="s">
        <v>5517</v>
      </c>
      <c r="W1565" s="116"/>
    </row>
    <row r="1566">
      <c r="A1566" s="114" t="s">
        <v>39</v>
      </c>
      <c r="B1566" s="115"/>
      <c r="C1566" s="116"/>
      <c r="D1566" s="116"/>
      <c r="E1566" s="116" t="str">
        <f>IFERROR(__xludf.DUMMYFUNCTION("""COMPUTED_VALUE"""),"")</f>
        <v/>
      </c>
      <c r="F1566" s="117" t="s">
        <v>39</v>
      </c>
      <c r="G1566" s="116"/>
      <c r="H1566" s="117"/>
      <c r="I1566" s="117"/>
      <c r="J1566" s="117"/>
      <c r="K1566" s="117"/>
      <c r="L1566" s="116"/>
      <c r="M1566" s="117"/>
      <c r="N1566" s="118" t="str">
        <f>IFERROR(__xludf.DUMMYFUNCTION("""COMPUTED_VALUE"""),"")</f>
        <v/>
      </c>
      <c r="O1566" s="116"/>
      <c r="P1566" s="116"/>
      <c r="Q1566" s="116"/>
      <c r="R1566" s="116" t="s">
        <v>39</v>
      </c>
      <c r="S1566" s="116" t="s">
        <v>39</v>
      </c>
      <c r="T1566" s="104" t="s">
        <v>5518</v>
      </c>
      <c r="U1566" s="116"/>
      <c r="V1566" s="104" t="s">
        <v>5518</v>
      </c>
      <c r="W1566" s="116"/>
    </row>
    <row r="1567">
      <c r="A1567" s="114" t="s">
        <v>39</v>
      </c>
      <c r="B1567" s="115"/>
      <c r="C1567" s="116"/>
      <c r="D1567" s="116"/>
      <c r="E1567" s="116" t="str">
        <f>IFERROR(__xludf.DUMMYFUNCTION("""COMPUTED_VALUE"""),"")</f>
        <v/>
      </c>
      <c r="F1567" s="117" t="s">
        <v>39</v>
      </c>
      <c r="G1567" s="116"/>
      <c r="H1567" s="117"/>
      <c r="I1567" s="117"/>
      <c r="J1567" s="117"/>
      <c r="K1567" s="117"/>
      <c r="L1567" s="116"/>
      <c r="M1567" s="117"/>
      <c r="N1567" s="118" t="str">
        <f>IFERROR(__xludf.DUMMYFUNCTION("""COMPUTED_VALUE"""),"")</f>
        <v/>
      </c>
      <c r="O1567" s="116"/>
      <c r="P1567" s="116"/>
      <c r="Q1567" s="116"/>
      <c r="R1567" s="116" t="s">
        <v>39</v>
      </c>
      <c r="S1567" s="116" t="s">
        <v>39</v>
      </c>
      <c r="T1567" s="104" t="s">
        <v>5519</v>
      </c>
      <c r="U1567" s="116"/>
      <c r="V1567" s="104" t="s">
        <v>5519</v>
      </c>
      <c r="W1567" s="116"/>
    </row>
    <row r="1568">
      <c r="A1568" s="114" t="s">
        <v>39</v>
      </c>
      <c r="B1568" s="115"/>
      <c r="C1568" s="116"/>
      <c r="D1568" s="116"/>
      <c r="E1568" s="116" t="str">
        <f>IFERROR(__xludf.DUMMYFUNCTION("""COMPUTED_VALUE"""),"")</f>
        <v/>
      </c>
      <c r="F1568" s="117" t="s">
        <v>39</v>
      </c>
      <c r="G1568" s="116"/>
      <c r="H1568" s="117"/>
      <c r="I1568" s="117"/>
      <c r="J1568" s="117"/>
      <c r="K1568" s="117"/>
      <c r="L1568" s="116"/>
      <c r="M1568" s="117"/>
      <c r="N1568" s="118" t="str">
        <f>IFERROR(__xludf.DUMMYFUNCTION("""COMPUTED_VALUE"""),"")</f>
        <v/>
      </c>
      <c r="O1568" s="116"/>
      <c r="P1568" s="116"/>
      <c r="Q1568" s="116"/>
      <c r="R1568" s="116" t="s">
        <v>39</v>
      </c>
      <c r="S1568" s="116" t="s">
        <v>39</v>
      </c>
      <c r="T1568" s="104" t="s">
        <v>5520</v>
      </c>
      <c r="U1568" s="116"/>
      <c r="V1568" s="104" t="s">
        <v>5520</v>
      </c>
      <c r="W1568" s="116"/>
    </row>
    <row r="1569">
      <c r="A1569" s="114" t="s">
        <v>39</v>
      </c>
      <c r="B1569" s="115"/>
      <c r="C1569" s="116"/>
      <c r="D1569" s="116"/>
      <c r="E1569" s="116" t="str">
        <f>IFERROR(__xludf.DUMMYFUNCTION("""COMPUTED_VALUE"""),"")</f>
        <v/>
      </c>
      <c r="F1569" s="117" t="s">
        <v>39</v>
      </c>
      <c r="G1569" s="116"/>
      <c r="H1569" s="117"/>
      <c r="I1569" s="117"/>
      <c r="J1569" s="117"/>
      <c r="K1569" s="117"/>
      <c r="L1569" s="116"/>
      <c r="M1569" s="117"/>
      <c r="N1569" s="118" t="str">
        <f>IFERROR(__xludf.DUMMYFUNCTION("""COMPUTED_VALUE"""),"")</f>
        <v/>
      </c>
      <c r="O1569" s="116"/>
      <c r="P1569" s="116"/>
      <c r="Q1569" s="116"/>
      <c r="R1569" s="116" t="s">
        <v>39</v>
      </c>
      <c r="S1569" s="116" t="s">
        <v>39</v>
      </c>
      <c r="T1569" s="104" t="s">
        <v>5521</v>
      </c>
      <c r="U1569" s="116"/>
      <c r="V1569" s="104" t="s">
        <v>5521</v>
      </c>
      <c r="W1569" s="116"/>
    </row>
    <row r="1570">
      <c r="A1570" s="114" t="s">
        <v>39</v>
      </c>
      <c r="B1570" s="115"/>
      <c r="C1570" s="116"/>
      <c r="D1570" s="116"/>
      <c r="E1570" s="116" t="str">
        <f>IFERROR(__xludf.DUMMYFUNCTION("""COMPUTED_VALUE"""),"")</f>
        <v/>
      </c>
      <c r="F1570" s="117" t="s">
        <v>39</v>
      </c>
      <c r="G1570" s="116"/>
      <c r="H1570" s="117"/>
      <c r="I1570" s="117"/>
      <c r="J1570" s="117"/>
      <c r="K1570" s="117"/>
      <c r="L1570" s="116"/>
      <c r="M1570" s="117"/>
      <c r="N1570" s="118" t="str">
        <f>IFERROR(__xludf.DUMMYFUNCTION("""COMPUTED_VALUE"""),"")</f>
        <v/>
      </c>
      <c r="O1570" s="116"/>
      <c r="P1570" s="116"/>
      <c r="Q1570" s="116"/>
      <c r="R1570" s="116" t="s">
        <v>39</v>
      </c>
      <c r="S1570" s="116" t="s">
        <v>39</v>
      </c>
      <c r="T1570" s="104" t="s">
        <v>5522</v>
      </c>
      <c r="U1570" s="116"/>
      <c r="V1570" s="104" t="s">
        <v>5522</v>
      </c>
      <c r="W1570" s="116"/>
    </row>
    <row r="1571">
      <c r="A1571" s="114" t="s">
        <v>39</v>
      </c>
      <c r="B1571" s="115"/>
      <c r="C1571" s="116"/>
      <c r="D1571" s="116"/>
      <c r="E1571" s="116" t="str">
        <f>IFERROR(__xludf.DUMMYFUNCTION("""COMPUTED_VALUE"""),"")</f>
        <v/>
      </c>
      <c r="F1571" s="117" t="s">
        <v>39</v>
      </c>
      <c r="G1571" s="116"/>
      <c r="H1571" s="117"/>
      <c r="I1571" s="117"/>
      <c r="J1571" s="117"/>
      <c r="K1571" s="117"/>
      <c r="L1571" s="116"/>
      <c r="M1571" s="117"/>
      <c r="N1571" s="118" t="str">
        <f>IFERROR(__xludf.DUMMYFUNCTION("""COMPUTED_VALUE"""),"")</f>
        <v/>
      </c>
      <c r="O1571" s="116"/>
      <c r="P1571" s="116"/>
      <c r="Q1571" s="116"/>
      <c r="R1571" s="116" t="s">
        <v>39</v>
      </c>
      <c r="S1571" s="116" t="s">
        <v>39</v>
      </c>
      <c r="T1571" s="104" t="s">
        <v>5523</v>
      </c>
      <c r="U1571" s="116"/>
      <c r="V1571" s="104" t="s">
        <v>5523</v>
      </c>
      <c r="W1571" s="116"/>
    </row>
    <row r="1572">
      <c r="A1572" s="114" t="s">
        <v>39</v>
      </c>
      <c r="B1572" s="115"/>
      <c r="C1572" s="116"/>
      <c r="D1572" s="116"/>
      <c r="E1572" s="116" t="str">
        <f>IFERROR(__xludf.DUMMYFUNCTION("""COMPUTED_VALUE"""),"")</f>
        <v/>
      </c>
      <c r="F1572" s="117" t="s">
        <v>39</v>
      </c>
      <c r="G1572" s="116"/>
      <c r="H1572" s="117"/>
      <c r="I1572" s="117"/>
      <c r="J1572" s="117"/>
      <c r="K1572" s="117"/>
      <c r="L1572" s="116"/>
      <c r="M1572" s="117"/>
      <c r="N1572" s="118" t="str">
        <f>IFERROR(__xludf.DUMMYFUNCTION("""COMPUTED_VALUE"""),"")</f>
        <v/>
      </c>
      <c r="O1572" s="116"/>
      <c r="P1572" s="116"/>
      <c r="Q1572" s="116"/>
      <c r="R1572" s="116" t="s">
        <v>39</v>
      </c>
      <c r="S1572" s="116" t="s">
        <v>39</v>
      </c>
      <c r="T1572" s="104" t="s">
        <v>5524</v>
      </c>
      <c r="U1572" s="116"/>
      <c r="V1572" s="104" t="s">
        <v>5524</v>
      </c>
      <c r="W1572" s="116"/>
    </row>
    <row r="1573">
      <c r="A1573" s="114" t="s">
        <v>39</v>
      </c>
      <c r="B1573" s="115"/>
      <c r="C1573" s="116"/>
      <c r="D1573" s="116"/>
      <c r="E1573" s="116" t="str">
        <f>IFERROR(__xludf.DUMMYFUNCTION("""COMPUTED_VALUE"""),"")</f>
        <v/>
      </c>
      <c r="F1573" s="117" t="s">
        <v>39</v>
      </c>
      <c r="G1573" s="116"/>
      <c r="H1573" s="117"/>
      <c r="I1573" s="117"/>
      <c r="J1573" s="117"/>
      <c r="K1573" s="117"/>
      <c r="L1573" s="116"/>
      <c r="M1573" s="117"/>
      <c r="N1573" s="118" t="str">
        <f>IFERROR(__xludf.DUMMYFUNCTION("""COMPUTED_VALUE"""),"")</f>
        <v/>
      </c>
      <c r="O1573" s="116"/>
      <c r="P1573" s="116"/>
      <c r="Q1573" s="116"/>
      <c r="R1573" s="116" t="s">
        <v>39</v>
      </c>
      <c r="S1573" s="116" t="s">
        <v>39</v>
      </c>
      <c r="T1573" s="104" t="s">
        <v>5525</v>
      </c>
      <c r="U1573" s="116"/>
      <c r="V1573" s="104" t="s">
        <v>5525</v>
      </c>
      <c r="W1573" s="116"/>
    </row>
    <row r="1574">
      <c r="A1574" s="114" t="s">
        <v>39</v>
      </c>
      <c r="B1574" s="115"/>
      <c r="C1574" s="116"/>
      <c r="D1574" s="116"/>
      <c r="E1574" s="116" t="str">
        <f>IFERROR(__xludf.DUMMYFUNCTION("""COMPUTED_VALUE"""),"")</f>
        <v/>
      </c>
      <c r="F1574" s="117" t="s">
        <v>39</v>
      </c>
      <c r="G1574" s="116"/>
      <c r="H1574" s="117"/>
      <c r="I1574" s="117"/>
      <c r="J1574" s="117"/>
      <c r="K1574" s="117"/>
      <c r="L1574" s="116"/>
      <c r="M1574" s="117"/>
      <c r="N1574" s="118" t="str">
        <f>IFERROR(__xludf.DUMMYFUNCTION("""COMPUTED_VALUE"""),"")</f>
        <v/>
      </c>
      <c r="O1574" s="116"/>
      <c r="P1574" s="116"/>
      <c r="Q1574" s="116"/>
      <c r="R1574" s="116" t="s">
        <v>39</v>
      </c>
      <c r="S1574" s="116" t="s">
        <v>39</v>
      </c>
      <c r="T1574" s="104" t="s">
        <v>5526</v>
      </c>
      <c r="U1574" s="116"/>
      <c r="V1574" s="104" t="s">
        <v>5526</v>
      </c>
      <c r="W1574" s="116"/>
    </row>
    <row r="1575">
      <c r="A1575" s="114" t="s">
        <v>39</v>
      </c>
      <c r="B1575" s="115"/>
      <c r="C1575" s="116"/>
      <c r="D1575" s="116"/>
      <c r="E1575" s="116" t="str">
        <f>IFERROR(__xludf.DUMMYFUNCTION("""COMPUTED_VALUE"""),"")</f>
        <v/>
      </c>
      <c r="F1575" s="117" t="s">
        <v>39</v>
      </c>
      <c r="G1575" s="116"/>
      <c r="H1575" s="117"/>
      <c r="I1575" s="117"/>
      <c r="J1575" s="117"/>
      <c r="K1575" s="117"/>
      <c r="L1575" s="116"/>
      <c r="M1575" s="117"/>
      <c r="N1575" s="118" t="str">
        <f>IFERROR(__xludf.DUMMYFUNCTION("""COMPUTED_VALUE"""),"")</f>
        <v/>
      </c>
      <c r="O1575" s="116"/>
      <c r="P1575" s="116"/>
      <c r="Q1575" s="116"/>
      <c r="R1575" s="116" t="s">
        <v>39</v>
      </c>
      <c r="S1575" s="116" t="s">
        <v>39</v>
      </c>
      <c r="T1575" s="104" t="s">
        <v>5527</v>
      </c>
      <c r="U1575" s="116"/>
      <c r="V1575" s="104" t="s">
        <v>5527</v>
      </c>
      <c r="W1575" s="116"/>
    </row>
    <row r="1576">
      <c r="A1576" s="114" t="s">
        <v>39</v>
      </c>
      <c r="B1576" s="115"/>
      <c r="C1576" s="116"/>
      <c r="D1576" s="116"/>
      <c r="E1576" s="116" t="str">
        <f>IFERROR(__xludf.DUMMYFUNCTION("""COMPUTED_VALUE"""),"")</f>
        <v/>
      </c>
      <c r="F1576" s="117" t="s">
        <v>39</v>
      </c>
      <c r="G1576" s="116"/>
      <c r="H1576" s="117"/>
      <c r="I1576" s="117"/>
      <c r="J1576" s="117"/>
      <c r="K1576" s="117"/>
      <c r="L1576" s="116"/>
      <c r="M1576" s="117"/>
      <c r="N1576" s="118" t="str">
        <f>IFERROR(__xludf.DUMMYFUNCTION("""COMPUTED_VALUE"""),"")</f>
        <v/>
      </c>
      <c r="O1576" s="116"/>
      <c r="P1576" s="116"/>
      <c r="Q1576" s="116"/>
      <c r="R1576" s="116" t="s">
        <v>39</v>
      </c>
      <c r="S1576" s="116" t="s">
        <v>39</v>
      </c>
      <c r="T1576" s="104" t="s">
        <v>5528</v>
      </c>
      <c r="U1576" s="116"/>
      <c r="V1576" s="104" t="s">
        <v>5528</v>
      </c>
      <c r="W1576" s="116"/>
    </row>
    <row r="1577">
      <c r="A1577" s="114" t="s">
        <v>39</v>
      </c>
      <c r="B1577" s="115"/>
      <c r="C1577" s="116"/>
      <c r="D1577" s="116"/>
      <c r="E1577" s="116" t="str">
        <f>IFERROR(__xludf.DUMMYFUNCTION("""COMPUTED_VALUE"""),"")</f>
        <v/>
      </c>
      <c r="F1577" s="117" t="s">
        <v>39</v>
      </c>
      <c r="G1577" s="116"/>
      <c r="H1577" s="117"/>
      <c r="I1577" s="117"/>
      <c r="J1577" s="117"/>
      <c r="K1577" s="117"/>
      <c r="L1577" s="116"/>
      <c r="M1577" s="117"/>
      <c r="N1577" s="118" t="str">
        <f>IFERROR(__xludf.DUMMYFUNCTION("""COMPUTED_VALUE"""),"")</f>
        <v/>
      </c>
      <c r="O1577" s="116"/>
      <c r="P1577" s="116"/>
      <c r="Q1577" s="116"/>
      <c r="R1577" s="116" t="s">
        <v>39</v>
      </c>
      <c r="S1577" s="116" t="s">
        <v>39</v>
      </c>
      <c r="T1577" s="104" t="s">
        <v>5529</v>
      </c>
      <c r="U1577" s="116"/>
      <c r="V1577" s="104" t="s">
        <v>5529</v>
      </c>
      <c r="W1577" s="116"/>
    </row>
    <row r="1578">
      <c r="A1578" s="114" t="s">
        <v>39</v>
      </c>
      <c r="B1578" s="115"/>
      <c r="C1578" s="116"/>
      <c r="D1578" s="116"/>
      <c r="E1578" s="116" t="str">
        <f>IFERROR(__xludf.DUMMYFUNCTION("""COMPUTED_VALUE"""),"")</f>
        <v/>
      </c>
      <c r="F1578" s="117" t="s">
        <v>39</v>
      </c>
      <c r="G1578" s="116"/>
      <c r="H1578" s="117"/>
      <c r="I1578" s="117"/>
      <c r="J1578" s="117"/>
      <c r="K1578" s="117"/>
      <c r="L1578" s="116"/>
      <c r="M1578" s="117"/>
      <c r="N1578" s="118" t="str">
        <f>IFERROR(__xludf.DUMMYFUNCTION("""COMPUTED_VALUE"""),"")</f>
        <v/>
      </c>
      <c r="O1578" s="116"/>
      <c r="P1578" s="116"/>
      <c r="Q1578" s="116"/>
      <c r="R1578" s="116" t="s">
        <v>39</v>
      </c>
      <c r="S1578" s="116" t="s">
        <v>39</v>
      </c>
      <c r="T1578" s="104" t="s">
        <v>5530</v>
      </c>
      <c r="U1578" s="116"/>
      <c r="V1578" s="104" t="s">
        <v>5530</v>
      </c>
      <c r="W1578" s="116"/>
    </row>
    <row r="1579">
      <c r="A1579" s="114" t="s">
        <v>39</v>
      </c>
      <c r="B1579" s="115"/>
      <c r="C1579" s="116"/>
      <c r="D1579" s="116"/>
      <c r="E1579" s="116" t="str">
        <f>IFERROR(__xludf.DUMMYFUNCTION("""COMPUTED_VALUE"""),"")</f>
        <v/>
      </c>
      <c r="F1579" s="117" t="s">
        <v>39</v>
      </c>
      <c r="G1579" s="116"/>
      <c r="H1579" s="117"/>
      <c r="I1579" s="117"/>
      <c r="J1579" s="117"/>
      <c r="K1579" s="117"/>
      <c r="L1579" s="116"/>
      <c r="M1579" s="117"/>
      <c r="N1579" s="118" t="str">
        <f>IFERROR(__xludf.DUMMYFUNCTION("""COMPUTED_VALUE"""),"")</f>
        <v/>
      </c>
      <c r="O1579" s="116"/>
      <c r="P1579" s="116"/>
      <c r="Q1579" s="116"/>
      <c r="R1579" s="116" t="s">
        <v>39</v>
      </c>
      <c r="S1579" s="116" t="s">
        <v>39</v>
      </c>
      <c r="T1579" s="104" t="s">
        <v>5531</v>
      </c>
      <c r="U1579" s="116"/>
      <c r="V1579" s="104" t="s">
        <v>5531</v>
      </c>
      <c r="W1579" s="116"/>
    </row>
    <row r="1580">
      <c r="A1580" s="114" t="s">
        <v>39</v>
      </c>
      <c r="B1580" s="115"/>
      <c r="C1580" s="116"/>
      <c r="D1580" s="116"/>
      <c r="E1580" s="116" t="str">
        <f>IFERROR(__xludf.DUMMYFUNCTION("""COMPUTED_VALUE"""),"")</f>
        <v/>
      </c>
      <c r="F1580" s="117" t="s">
        <v>39</v>
      </c>
      <c r="G1580" s="116"/>
      <c r="H1580" s="117"/>
      <c r="I1580" s="117"/>
      <c r="J1580" s="117"/>
      <c r="K1580" s="117"/>
      <c r="L1580" s="116"/>
      <c r="M1580" s="117"/>
      <c r="N1580" s="118" t="str">
        <f>IFERROR(__xludf.DUMMYFUNCTION("""COMPUTED_VALUE"""),"")</f>
        <v/>
      </c>
      <c r="O1580" s="116"/>
      <c r="P1580" s="116"/>
      <c r="Q1580" s="116"/>
      <c r="R1580" s="116" t="s">
        <v>39</v>
      </c>
      <c r="S1580" s="116" t="s">
        <v>39</v>
      </c>
      <c r="T1580" s="104" t="s">
        <v>5532</v>
      </c>
      <c r="U1580" s="116"/>
      <c r="V1580" s="104" t="s">
        <v>5532</v>
      </c>
      <c r="W1580" s="116"/>
    </row>
    <row r="1581">
      <c r="A1581" s="114" t="s">
        <v>39</v>
      </c>
      <c r="B1581" s="115"/>
      <c r="C1581" s="116"/>
      <c r="D1581" s="116"/>
      <c r="E1581" s="116" t="str">
        <f>IFERROR(__xludf.DUMMYFUNCTION("""COMPUTED_VALUE"""),"")</f>
        <v/>
      </c>
      <c r="F1581" s="117" t="s">
        <v>39</v>
      </c>
      <c r="G1581" s="116"/>
      <c r="H1581" s="117"/>
      <c r="I1581" s="117"/>
      <c r="J1581" s="117"/>
      <c r="K1581" s="117"/>
      <c r="L1581" s="116"/>
      <c r="M1581" s="117"/>
      <c r="N1581" s="118" t="str">
        <f>IFERROR(__xludf.DUMMYFUNCTION("""COMPUTED_VALUE"""),"")</f>
        <v/>
      </c>
      <c r="O1581" s="116"/>
      <c r="P1581" s="116"/>
      <c r="Q1581" s="116"/>
      <c r="R1581" s="116" t="s">
        <v>39</v>
      </c>
      <c r="S1581" s="116" t="s">
        <v>39</v>
      </c>
      <c r="T1581" s="104" t="s">
        <v>5533</v>
      </c>
      <c r="U1581" s="116"/>
      <c r="V1581" s="104" t="s">
        <v>5533</v>
      </c>
      <c r="W1581" s="116"/>
    </row>
    <row r="1582">
      <c r="A1582" s="114" t="s">
        <v>39</v>
      </c>
      <c r="B1582" s="115"/>
      <c r="C1582" s="116"/>
      <c r="D1582" s="116"/>
      <c r="E1582" s="116" t="str">
        <f>IFERROR(__xludf.DUMMYFUNCTION("""COMPUTED_VALUE"""),"")</f>
        <v/>
      </c>
      <c r="F1582" s="117" t="s">
        <v>39</v>
      </c>
      <c r="G1582" s="116"/>
      <c r="H1582" s="117"/>
      <c r="I1582" s="117"/>
      <c r="J1582" s="117"/>
      <c r="K1582" s="117"/>
      <c r="L1582" s="116"/>
      <c r="M1582" s="117"/>
      <c r="N1582" s="118" t="str">
        <f>IFERROR(__xludf.DUMMYFUNCTION("""COMPUTED_VALUE"""),"")</f>
        <v/>
      </c>
      <c r="O1582" s="116"/>
      <c r="P1582" s="116"/>
      <c r="Q1582" s="116"/>
      <c r="R1582" s="116" t="s">
        <v>39</v>
      </c>
      <c r="S1582" s="116" t="s">
        <v>39</v>
      </c>
      <c r="T1582" s="104" t="s">
        <v>5534</v>
      </c>
      <c r="U1582" s="116"/>
      <c r="V1582" s="104" t="s">
        <v>5534</v>
      </c>
      <c r="W1582" s="116"/>
    </row>
    <row r="1583">
      <c r="A1583" s="114" t="s">
        <v>39</v>
      </c>
      <c r="B1583" s="115"/>
      <c r="C1583" s="116"/>
      <c r="D1583" s="116"/>
      <c r="E1583" s="116" t="str">
        <f>IFERROR(__xludf.DUMMYFUNCTION("""COMPUTED_VALUE"""),"")</f>
        <v/>
      </c>
      <c r="F1583" s="117" t="s">
        <v>39</v>
      </c>
      <c r="G1583" s="116"/>
      <c r="H1583" s="117"/>
      <c r="I1583" s="117"/>
      <c r="J1583" s="117"/>
      <c r="K1583" s="117"/>
      <c r="L1583" s="116"/>
      <c r="M1583" s="117"/>
      <c r="N1583" s="118" t="str">
        <f>IFERROR(__xludf.DUMMYFUNCTION("""COMPUTED_VALUE"""),"")</f>
        <v/>
      </c>
      <c r="O1583" s="116"/>
      <c r="P1583" s="116"/>
      <c r="Q1583" s="116"/>
      <c r="R1583" s="116" t="s">
        <v>39</v>
      </c>
      <c r="S1583" s="116" t="s">
        <v>39</v>
      </c>
      <c r="T1583" s="104" t="s">
        <v>5535</v>
      </c>
      <c r="U1583" s="116"/>
      <c r="V1583" s="104" t="s">
        <v>5535</v>
      </c>
      <c r="W1583" s="116"/>
    </row>
    <row r="1584">
      <c r="A1584" s="114" t="s">
        <v>39</v>
      </c>
      <c r="B1584" s="115"/>
      <c r="C1584" s="116"/>
      <c r="D1584" s="116"/>
      <c r="E1584" s="116" t="str">
        <f>IFERROR(__xludf.DUMMYFUNCTION("""COMPUTED_VALUE"""),"")</f>
        <v/>
      </c>
      <c r="F1584" s="117" t="s">
        <v>39</v>
      </c>
      <c r="G1584" s="116"/>
      <c r="H1584" s="117"/>
      <c r="I1584" s="117"/>
      <c r="J1584" s="117"/>
      <c r="K1584" s="117"/>
      <c r="L1584" s="116"/>
      <c r="M1584" s="117"/>
      <c r="N1584" s="118" t="str">
        <f>IFERROR(__xludf.DUMMYFUNCTION("""COMPUTED_VALUE"""),"")</f>
        <v/>
      </c>
      <c r="O1584" s="116"/>
      <c r="P1584" s="116"/>
      <c r="Q1584" s="116"/>
      <c r="R1584" s="116" t="s">
        <v>39</v>
      </c>
      <c r="S1584" s="116" t="s">
        <v>39</v>
      </c>
      <c r="T1584" s="104" t="s">
        <v>5536</v>
      </c>
      <c r="U1584" s="116"/>
      <c r="V1584" s="104" t="s">
        <v>5536</v>
      </c>
      <c r="W1584" s="116"/>
    </row>
    <row r="1585">
      <c r="A1585" s="114" t="s">
        <v>39</v>
      </c>
      <c r="B1585" s="115"/>
      <c r="C1585" s="116"/>
      <c r="D1585" s="116"/>
      <c r="E1585" s="116" t="str">
        <f>IFERROR(__xludf.DUMMYFUNCTION("""COMPUTED_VALUE"""),"")</f>
        <v/>
      </c>
      <c r="F1585" s="117" t="s">
        <v>39</v>
      </c>
      <c r="G1585" s="116"/>
      <c r="H1585" s="117"/>
      <c r="I1585" s="117"/>
      <c r="J1585" s="117"/>
      <c r="K1585" s="117"/>
      <c r="L1585" s="116"/>
      <c r="M1585" s="117"/>
      <c r="N1585" s="118" t="str">
        <f>IFERROR(__xludf.DUMMYFUNCTION("""COMPUTED_VALUE"""),"")</f>
        <v/>
      </c>
      <c r="O1585" s="116"/>
      <c r="P1585" s="116"/>
      <c r="Q1585" s="116"/>
      <c r="R1585" s="116" t="s">
        <v>39</v>
      </c>
      <c r="S1585" s="116" t="s">
        <v>39</v>
      </c>
      <c r="T1585" s="104" t="s">
        <v>5537</v>
      </c>
      <c r="U1585" s="116"/>
      <c r="V1585" s="104" t="s">
        <v>5537</v>
      </c>
      <c r="W1585" s="116"/>
    </row>
    <row r="1586">
      <c r="A1586" s="114" t="s">
        <v>39</v>
      </c>
      <c r="B1586" s="115"/>
      <c r="C1586" s="116"/>
      <c r="D1586" s="116"/>
      <c r="E1586" s="116" t="str">
        <f>IFERROR(__xludf.DUMMYFUNCTION("""COMPUTED_VALUE"""),"")</f>
        <v/>
      </c>
      <c r="F1586" s="117" t="s">
        <v>39</v>
      </c>
      <c r="G1586" s="116"/>
      <c r="H1586" s="117"/>
      <c r="I1586" s="117"/>
      <c r="J1586" s="117"/>
      <c r="K1586" s="117"/>
      <c r="L1586" s="116"/>
      <c r="M1586" s="117"/>
      <c r="N1586" s="118" t="str">
        <f>IFERROR(__xludf.DUMMYFUNCTION("""COMPUTED_VALUE"""),"")</f>
        <v/>
      </c>
      <c r="O1586" s="116"/>
      <c r="P1586" s="116"/>
      <c r="Q1586" s="116"/>
      <c r="R1586" s="116" t="s">
        <v>39</v>
      </c>
      <c r="S1586" s="116" t="s">
        <v>39</v>
      </c>
      <c r="T1586" s="104" t="s">
        <v>5538</v>
      </c>
      <c r="U1586" s="116"/>
      <c r="V1586" s="104" t="s">
        <v>5538</v>
      </c>
      <c r="W1586" s="116"/>
    </row>
    <row r="1587">
      <c r="A1587" s="114" t="s">
        <v>39</v>
      </c>
      <c r="B1587" s="115"/>
      <c r="C1587" s="116"/>
      <c r="D1587" s="116"/>
      <c r="E1587" s="116" t="str">
        <f>IFERROR(__xludf.DUMMYFUNCTION("""COMPUTED_VALUE"""),"")</f>
        <v/>
      </c>
      <c r="F1587" s="117" t="s">
        <v>39</v>
      </c>
      <c r="G1587" s="116"/>
      <c r="H1587" s="117"/>
      <c r="I1587" s="117"/>
      <c r="J1587" s="117"/>
      <c r="K1587" s="117"/>
      <c r="L1587" s="116"/>
      <c r="M1587" s="117"/>
      <c r="N1587" s="118" t="str">
        <f>IFERROR(__xludf.DUMMYFUNCTION("""COMPUTED_VALUE"""),"")</f>
        <v/>
      </c>
      <c r="O1587" s="116"/>
      <c r="P1587" s="116"/>
      <c r="Q1587" s="116"/>
      <c r="R1587" s="116" t="s">
        <v>39</v>
      </c>
      <c r="S1587" s="116" t="s">
        <v>39</v>
      </c>
      <c r="T1587" s="104" t="s">
        <v>5539</v>
      </c>
      <c r="U1587" s="116"/>
      <c r="V1587" s="104" t="s">
        <v>5539</v>
      </c>
      <c r="W1587" s="116"/>
    </row>
    <row r="1588">
      <c r="A1588" s="114" t="s">
        <v>39</v>
      </c>
      <c r="B1588" s="115"/>
      <c r="C1588" s="116"/>
      <c r="D1588" s="116"/>
      <c r="E1588" s="116" t="str">
        <f>IFERROR(__xludf.DUMMYFUNCTION("""COMPUTED_VALUE"""),"")</f>
        <v/>
      </c>
      <c r="F1588" s="117" t="s">
        <v>39</v>
      </c>
      <c r="G1588" s="116"/>
      <c r="H1588" s="117"/>
      <c r="I1588" s="117"/>
      <c r="J1588" s="117"/>
      <c r="K1588" s="117"/>
      <c r="L1588" s="116"/>
      <c r="M1588" s="117"/>
      <c r="N1588" s="118" t="str">
        <f>IFERROR(__xludf.DUMMYFUNCTION("""COMPUTED_VALUE"""),"")</f>
        <v/>
      </c>
      <c r="O1588" s="116"/>
      <c r="P1588" s="116"/>
      <c r="Q1588" s="116"/>
      <c r="R1588" s="116" t="s">
        <v>39</v>
      </c>
      <c r="S1588" s="116" t="s">
        <v>39</v>
      </c>
      <c r="T1588" s="104" t="s">
        <v>5540</v>
      </c>
      <c r="U1588" s="116"/>
      <c r="V1588" s="104" t="s">
        <v>5540</v>
      </c>
      <c r="W1588" s="116"/>
    </row>
    <row r="1589">
      <c r="A1589" s="114" t="s">
        <v>39</v>
      </c>
      <c r="B1589" s="115"/>
      <c r="C1589" s="116"/>
      <c r="D1589" s="116"/>
      <c r="E1589" s="116" t="str">
        <f>IFERROR(__xludf.DUMMYFUNCTION("""COMPUTED_VALUE"""),"")</f>
        <v/>
      </c>
      <c r="F1589" s="117" t="s">
        <v>39</v>
      </c>
      <c r="G1589" s="116"/>
      <c r="H1589" s="117"/>
      <c r="I1589" s="117"/>
      <c r="J1589" s="117"/>
      <c r="K1589" s="117"/>
      <c r="L1589" s="116"/>
      <c r="M1589" s="117"/>
      <c r="N1589" s="118" t="str">
        <f>IFERROR(__xludf.DUMMYFUNCTION("""COMPUTED_VALUE"""),"")</f>
        <v/>
      </c>
      <c r="O1589" s="116"/>
      <c r="P1589" s="116"/>
      <c r="Q1589" s="116"/>
      <c r="R1589" s="116" t="s">
        <v>39</v>
      </c>
      <c r="S1589" s="116" t="s">
        <v>39</v>
      </c>
      <c r="T1589" s="104" t="s">
        <v>5541</v>
      </c>
      <c r="U1589" s="116"/>
      <c r="V1589" s="104" t="s">
        <v>5541</v>
      </c>
      <c r="W1589" s="116"/>
    </row>
    <row r="1590">
      <c r="A1590" s="114" t="s">
        <v>39</v>
      </c>
      <c r="B1590" s="115"/>
      <c r="C1590" s="116"/>
      <c r="D1590" s="116"/>
      <c r="E1590" s="116" t="str">
        <f>IFERROR(__xludf.DUMMYFUNCTION("""COMPUTED_VALUE"""),"")</f>
        <v/>
      </c>
      <c r="F1590" s="117" t="s">
        <v>39</v>
      </c>
      <c r="G1590" s="116"/>
      <c r="H1590" s="117"/>
      <c r="I1590" s="117"/>
      <c r="J1590" s="117"/>
      <c r="K1590" s="117"/>
      <c r="L1590" s="116"/>
      <c r="M1590" s="117"/>
      <c r="N1590" s="118" t="str">
        <f>IFERROR(__xludf.DUMMYFUNCTION("""COMPUTED_VALUE"""),"")</f>
        <v/>
      </c>
      <c r="O1590" s="116"/>
      <c r="P1590" s="116"/>
      <c r="Q1590" s="116"/>
      <c r="R1590" s="116" t="s">
        <v>39</v>
      </c>
      <c r="S1590" s="116" t="s">
        <v>39</v>
      </c>
      <c r="T1590" s="104" t="s">
        <v>5542</v>
      </c>
      <c r="U1590" s="116"/>
      <c r="V1590" s="104" t="s">
        <v>5542</v>
      </c>
      <c r="W1590" s="116"/>
    </row>
    <row r="1591">
      <c r="A1591" s="114" t="s">
        <v>39</v>
      </c>
      <c r="B1591" s="115"/>
      <c r="C1591" s="116"/>
      <c r="D1591" s="116"/>
      <c r="E1591" s="116" t="str">
        <f>IFERROR(__xludf.DUMMYFUNCTION("""COMPUTED_VALUE"""),"")</f>
        <v/>
      </c>
      <c r="F1591" s="117" t="s">
        <v>39</v>
      </c>
      <c r="G1591" s="116"/>
      <c r="H1591" s="117"/>
      <c r="I1591" s="117"/>
      <c r="J1591" s="117"/>
      <c r="K1591" s="117"/>
      <c r="L1591" s="116"/>
      <c r="M1591" s="117"/>
      <c r="N1591" s="118" t="str">
        <f>IFERROR(__xludf.DUMMYFUNCTION("""COMPUTED_VALUE"""),"")</f>
        <v/>
      </c>
      <c r="O1591" s="116"/>
      <c r="P1591" s="116"/>
      <c r="Q1591" s="116"/>
      <c r="R1591" s="116" t="s">
        <v>39</v>
      </c>
      <c r="S1591" s="116" t="s">
        <v>39</v>
      </c>
      <c r="T1591" s="104" t="s">
        <v>5543</v>
      </c>
      <c r="U1591" s="116"/>
      <c r="V1591" s="104" t="s">
        <v>5543</v>
      </c>
      <c r="W1591" s="116"/>
    </row>
    <row r="1592">
      <c r="A1592" s="114" t="s">
        <v>39</v>
      </c>
      <c r="B1592" s="115"/>
      <c r="C1592" s="116"/>
      <c r="D1592" s="116"/>
      <c r="E1592" s="116" t="str">
        <f>IFERROR(__xludf.DUMMYFUNCTION("""COMPUTED_VALUE"""),"")</f>
        <v/>
      </c>
      <c r="F1592" s="117" t="s">
        <v>39</v>
      </c>
      <c r="G1592" s="116"/>
      <c r="H1592" s="117"/>
      <c r="I1592" s="117"/>
      <c r="J1592" s="117"/>
      <c r="K1592" s="117"/>
      <c r="L1592" s="116"/>
      <c r="M1592" s="117"/>
      <c r="N1592" s="118" t="str">
        <f>IFERROR(__xludf.DUMMYFUNCTION("""COMPUTED_VALUE"""),"")</f>
        <v/>
      </c>
      <c r="O1592" s="116"/>
      <c r="P1592" s="116"/>
      <c r="Q1592" s="116"/>
      <c r="R1592" s="116" t="s">
        <v>39</v>
      </c>
      <c r="S1592" s="116" t="s">
        <v>39</v>
      </c>
      <c r="T1592" s="104" t="s">
        <v>5544</v>
      </c>
      <c r="U1592" s="116"/>
      <c r="V1592" s="104" t="s">
        <v>5544</v>
      </c>
      <c r="W1592" s="116"/>
    </row>
    <row r="1593">
      <c r="A1593" s="114" t="s">
        <v>39</v>
      </c>
      <c r="B1593" s="115"/>
      <c r="C1593" s="116"/>
      <c r="D1593" s="116"/>
      <c r="E1593" s="116" t="str">
        <f>IFERROR(__xludf.DUMMYFUNCTION("""COMPUTED_VALUE"""),"")</f>
        <v/>
      </c>
      <c r="F1593" s="117" t="s">
        <v>39</v>
      </c>
      <c r="G1593" s="116"/>
      <c r="H1593" s="117"/>
      <c r="I1593" s="117"/>
      <c r="J1593" s="117"/>
      <c r="K1593" s="117"/>
      <c r="L1593" s="116"/>
      <c r="M1593" s="117"/>
      <c r="N1593" s="118" t="str">
        <f>IFERROR(__xludf.DUMMYFUNCTION("""COMPUTED_VALUE"""),"")</f>
        <v/>
      </c>
      <c r="O1593" s="116"/>
      <c r="P1593" s="116"/>
      <c r="Q1593" s="116"/>
      <c r="R1593" s="116" t="s">
        <v>39</v>
      </c>
      <c r="S1593" s="116" t="s">
        <v>39</v>
      </c>
      <c r="T1593" s="104" t="s">
        <v>5545</v>
      </c>
      <c r="U1593" s="116"/>
      <c r="V1593" s="104" t="s">
        <v>5545</v>
      </c>
      <c r="W1593" s="116"/>
    </row>
    <row r="1594">
      <c r="A1594" s="114" t="s">
        <v>39</v>
      </c>
      <c r="B1594" s="115"/>
      <c r="C1594" s="116"/>
      <c r="D1594" s="116"/>
      <c r="E1594" s="116" t="str">
        <f>IFERROR(__xludf.DUMMYFUNCTION("""COMPUTED_VALUE"""),"")</f>
        <v/>
      </c>
      <c r="F1594" s="117" t="s">
        <v>39</v>
      </c>
      <c r="G1594" s="116"/>
      <c r="H1594" s="117"/>
      <c r="I1594" s="117"/>
      <c r="J1594" s="117"/>
      <c r="K1594" s="117"/>
      <c r="L1594" s="116"/>
      <c r="M1594" s="117"/>
      <c r="N1594" s="118" t="str">
        <f>IFERROR(__xludf.DUMMYFUNCTION("""COMPUTED_VALUE"""),"")</f>
        <v/>
      </c>
      <c r="O1594" s="116"/>
      <c r="P1594" s="116"/>
      <c r="Q1594" s="116"/>
      <c r="R1594" s="116" t="s">
        <v>39</v>
      </c>
      <c r="S1594" s="116" t="s">
        <v>39</v>
      </c>
      <c r="T1594" s="104" t="s">
        <v>5546</v>
      </c>
      <c r="U1594" s="116"/>
      <c r="V1594" s="104" t="s">
        <v>5546</v>
      </c>
      <c r="W1594" s="116"/>
    </row>
    <row r="1595">
      <c r="A1595" s="114" t="s">
        <v>39</v>
      </c>
      <c r="B1595" s="115"/>
      <c r="C1595" s="116"/>
      <c r="D1595" s="116"/>
      <c r="E1595" s="116" t="str">
        <f>IFERROR(__xludf.DUMMYFUNCTION("""COMPUTED_VALUE"""),"")</f>
        <v/>
      </c>
      <c r="F1595" s="117" t="s">
        <v>39</v>
      </c>
      <c r="G1595" s="116"/>
      <c r="H1595" s="117"/>
      <c r="I1595" s="117"/>
      <c r="J1595" s="117"/>
      <c r="K1595" s="117"/>
      <c r="L1595" s="116"/>
      <c r="M1595" s="117"/>
      <c r="N1595" s="118" t="str">
        <f>IFERROR(__xludf.DUMMYFUNCTION("""COMPUTED_VALUE"""),"")</f>
        <v/>
      </c>
      <c r="O1595" s="116"/>
      <c r="P1595" s="116"/>
      <c r="Q1595" s="116"/>
      <c r="R1595" s="116" t="s">
        <v>39</v>
      </c>
      <c r="S1595" s="116" t="s">
        <v>39</v>
      </c>
      <c r="T1595" s="104" t="s">
        <v>5547</v>
      </c>
      <c r="U1595" s="116"/>
      <c r="V1595" s="104" t="s">
        <v>5547</v>
      </c>
      <c r="W1595" s="116"/>
    </row>
    <row r="1596">
      <c r="A1596" s="114" t="s">
        <v>39</v>
      </c>
      <c r="B1596" s="115"/>
      <c r="C1596" s="116"/>
      <c r="D1596" s="116"/>
      <c r="E1596" s="116" t="str">
        <f>IFERROR(__xludf.DUMMYFUNCTION("""COMPUTED_VALUE"""),"")</f>
        <v/>
      </c>
      <c r="F1596" s="117" t="s">
        <v>39</v>
      </c>
      <c r="G1596" s="116"/>
      <c r="H1596" s="117"/>
      <c r="I1596" s="117"/>
      <c r="J1596" s="117"/>
      <c r="K1596" s="117"/>
      <c r="L1596" s="116"/>
      <c r="M1596" s="117"/>
      <c r="N1596" s="118" t="str">
        <f>IFERROR(__xludf.DUMMYFUNCTION("""COMPUTED_VALUE"""),"")</f>
        <v/>
      </c>
      <c r="O1596" s="116"/>
      <c r="P1596" s="116"/>
      <c r="Q1596" s="116"/>
      <c r="R1596" s="116" t="s">
        <v>39</v>
      </c>
      <c r="S1596" s="116" t="s">
        <v>39</v>
      </c>
      <c r="T1596" s="104" t="s">
        <v>5548</v>
      </c>
      <c r="U1596" s="116"/>
      <c r="V1596" s="104" t="s">
        <v>5548</v>
      </c>
      <c r="W1596" s="116"/>
    </row>
    <row r="1597">
      <c r="A1597" s="114" t="s">
        <v>39</v>
      </c>
      <c r="B1597" s="115"/>
      <c r="C1597" s="116"/>
      <c r="D1597" s="116"/>
      <c r="E1597" s="116" t="str">
        <f>IFERROR(__xludf.DUMMYFUNCTION("""COMPUTED_VALUE"""),"")</f>
        <v/>
      </c>
      <c r="F1597" s="117" t="s">
        <v>39</v>
      </c>
      <c r="G1597" s="116"/>
      <c r="H1597" s="117"/>
      <c r="I1597" s="117"/>
      <c r="J1597" s="117"/>
      <c r="K1597" s="117"/>
      <c r="L1597" s="116"/>
      <c r="M1597" s="117"/>
      <c r="N1597" s="118" t="str">
        <f>IFERROR(__xludf.DUMMYFUNCTION("""COMPUTED_VALUE"""),"")</f>
        <v/>
      </c>
      <c r="O1597" s="116"/>
      <c r="P1597" s="116"/>
      <c r="Q1597" s="116"/>
      <c r="R1597" s="116" t="s">
        <v>39</v>
      </c>
      <c r="S1597" s="116" t="s">
        <v>39</v>
      </c>
      <c r="T1597" s="104" t="s">
        <v>5549</v>
      </c>
      <c r="U1597" s="116"/>
      <c r="V1597" s="104" t="s">
        <v>5549</v>
      </c>
      <c r="W1597" s="116"/>
    </row>
    <row r="1598">
      <c r="A1598" s="114" t="s">
        <v>39</v>
      </c>
      <c r="B1598" s="115"/>
      <c r="C1598" s="116"/>
      <c r="D1598" s="116"/>
      <c r="E1598" s="116" t="str">
        <f>IFERROR(__xludf.DUMMYFUNCTION("""COMPUTED_VALUE"""),"")</f>
        <v/>
      </c>
      <c r="F1598" s="117" t="s">
        <v>39</v>
      </c>
      <c r="G1598" s="116"/>
      <c r="H1598" s="117"/>
      <c r="I1598" s="117"/>
      <c r="J1598" s="117"/>
      <c r="K1598" s="117"/>
      <c r="L1598" s="116"/>
      <c r="M1598" s="117"/>
      <c r="N1598" s="118" t="str">
        <f>IFERROR(__xludf.DUMMYFUNCTION("""COMPUTED_VALUE"""),"")</f>
        <v/>
      </c>
      <c r="O1598" s="116"/>
      <c r="P1598" s="116"/>
      <c r="Q1598" s="116"/>
      <c r="R1598" s="116" t="s">
        <v>39</v>
      </c>
      <c r="S1598" s="116" t="s">
        <v>39</v>
      </c>
      <c r="T1598" s="104" t="s">
        <v>5550</v>
      </c>
      <c r="U1598" s="116"/>
      <c r="V1598" s="104" t="s">
        <v>5550</v>
      </c>
      <c r="W1598" s="116"/>
    </row>
    <row r="1599">
      <c r="A1599" s="114" t="s">
        <v>39</v>
      </c>
      <c r="B1599" s="115"/>
      <c r="C1599" s="116"/>
      <c r="D1599" s="116"/>
      <c r="E1599" s="116" t="str">
        <f>IFERROR(__xludf.DUMMYFUNCTION("""COMPUTED_VALUE"""),"")</f>
        <v/>
      </c>
      <c r="F1599" s="117" t="s">
        <v>39</v>
      </c>
      <c r="G1599" s="116"/>
      <c r="H1599" s="117"/>
      <c r="I1599" s="117"/>
      <c r="J1599" s="117"/>
      <c r="K1599" s="117"/>
      <c r="L1599" s="116"/>
      <c r="M1599" s="117"/>
      <c r="N1599" s="118" t="str">
        <f>IFERROR(__xludf.DUMMYFUNCTION("""COMPUTED_VALUE"""),"")</f>
        <v/>
      </c>
      <c r="O1599" s="116"/>
      <c r="P1599" s="116"/>
      <c r="Q1599" s="116"/>
      <c r="R1599" s="116" t="s">
        <v>39</v>
      </c>
      <c r="S1599" s="116" t="s">
        <v>39</v>
      </c>
      <c r="T1599" s="104" t="s">
        <v>5551</v>
      </c>
      <c r="U1599" s="116"/>
      <c r="V1599" s="104" t="s">
        <v>5551</v>
      </c>
      <c r="W1599" s="116"/>
    </row>
    <row r="1600">
      <c r="A1600" s="114" t="s">
        <v>39</v>
      </c>
      <c r="B1600" s="115"/>
      <c r="C1600" s="116"/>
      <c r="D1600" s="116"/>
      <c r="E1600" s="116" t="str">
        <f>IFERROR(__xludf.DUMMYFUNCTION("""COMPUTED_VALUE"""),"")</f>
        <v/>
      </c>
      <c r="F1600" s="117" t="s">
        <v>39</v>
      </c>
      <c r="G1600" s="116"/>
      <c r="H1600" s="117"/>
      <c r="I1600" s="117"/>
      <c r="J1600" s="117"/>
      <c r="K1600" s="117"/>
      <c r="L1600" s="116"/>
      <c r="M1600" s="117"/>
      <c r="N1600" s="118" t="str">
        <f>IFERROR(__xludf.DUMMYFUNCTION("""COMPUTED_VALUE"""),"")</f>
        <v/>
      </c>
      <c r="O1600" s="116"/>
      <c r="P1600" s="116"/>
      <c r="Q1600" s="116"/>
      <c r="R1600" s="116" t="s">
        <v>39</v>
      </c>
      <c r="S1600" s="116" t="s">
        <v>39</v>
      </c>
      <c r="T1600" s="104" t="s">
        <v>5552</v>
      </c>
      <c r="U1600" s="116"/>
      <c r="V1600" s="104" t="s">
        <v>5552</v>
      </c>
      <c r="W1600" s="116"/>
    </row>
    <row r="1601">
      <c r="A1601" s="114" t="s">
        <v>39</v>
      </c>
      <c r="B1601" s="115"/>
      <c r="C1601" s="116"/>
      <c r="D1601" s="116"/>
      <c r="E1601" s="116" t="str">
        <f>IFERROR(__xludf.DUMMYFUNCTION("""COMPUTED_VALUE"""),"")</f>
        <v/>
      </c>
      <c r="F1601" s="117" t="s">
        <v>39</v>
      </c>
      <c r="G1601" s="116"/>
      <c r="H1601" s="117"/>
      <c r="I1601" s="117"/>
      <c r="J1601" s="117"/>
      <c r="K1601" s="117"/>
      <c r="L1601" s="116"/>
      <c r="M1601" s="117"/>
      <c r="N1601" s="118" t="str">
        <f>IFERROR(__xludf.DUMMYFUNCTION("""COMPUTED_VALUE"""),"")</f>
        <v/>
      </c>
      <c r="O1601" s="116"/>
      <c r="P1601" s="116"/>
      <c r="Q1601" s="116"/>
      <c r="R1601" s="116" t="s">
        <v>39</v>
      </c>
      <c r="S1601" s="116" t="s">
        <v>39</v>
      </c>
      <c r="T1601" s="104" t="s">
        <v>5553</v>
      </c>
      <c r="U1601" s="116"/>
      <c r="V1601" s="104" t="s">
        <v>5553</v>
      </c>
      <c r="W1601" s="116"/>
    </row>
    <row r="1602">
      <c r="A1602" s="114" t="s">
        <v>39</v>
      </c>
      <c r="B1602" s="115"/>
      <c r="C1602" s="116"/>
      <c r="D1602" s="116"/>
      <c r="E1602" s="116" t="str">
        <f>IFERROR(__xludf.DUMMYFUNCTION("""COMPUTED_VALUE"""),"")</f>
        <v/>
      </c>
      <c r="F1602" s="117" t="s">
        <v>39</v>
      </c>
      <c r="G1602" s="116"/>
      <c r="H1602" s="117"/>
      <c r="I1602" s="117"/>
      <c r="J1602" s="117"/>
      <c r="K1602" s="117"/>
      <c r="L1602" s="116"/>
      <c r="M1602" s="117"/>
      <c r="N1602" s="118" t="str">
        <f>IFERROR(__xludf.DUMMYFUNCTION("""COMPUTED_VALUE"""),"")</f>
        <v/>
      </c>
      <c r="O1602" s="116"/>
      <c r="P1602" s="116"/>
      <c r="Q1602" s="116"/>
      <c r="R1602" s="116" t="s">
        <v>39</v>
      </c>
      <c r="S1602" s="116" t="s">
        <v>39</v>
      </c>
      <c r="T1602" s="104" t="s">
        <v>5554</v>
      </c>
      <c r="U1602" s="116"/>
      <c r="V1602" s="104" t="s">
        <v>5554</v>
      </c>
      <c r="W1602" s="116"/>
    </row>
    <row r="1603">
      <c r="A1603" s="114" t="s">
        <v>39</v>
      </c>
      <c r="B1603" s="115"/>
      <c r="C1603" s="116"/>
      <c r="D1603" s="116"/>
      <c r="E1603" s="116" t="str">
        <f>IFERROR(__xludf.DUMMYFUNCTION("""COMPUTED_VALUE"""),"")</f>
        <v/>
      </c>
      <c r="F1603" s="117" t="s">
        <v>39</v>
      </c>
      <c r="G1603" s="116"/>
      <c r="H1603" s="117"/>
      <c r="I1603" s="117"/>
      <c r="J1603" s="117"/>
      <c r="K1603" s="117"/>
      <c r="L1603" s="116"/>
      <c r="M1603" s="117"/>
      <c r="N1603" s="118" t="str">
        <f>IFERROR(__xludf.DUMMYFUNCTION("""COMPUTED_VALUE"""),"")</f>
        <v/>
      </c>
      <c r="O1603" s="116"/>
      <c r="P1603" s="116"/>
      <c r="Q1603" s="116"/>
      <c r="R1603" s="116" t="s">
        <v>39</v>
      </c>
      <c r="S1603" s="116" t="s">
        <v>39</v>
      </c>
      <c r="T1603" s="104" t="s">
        <v>5555</v>
      </c>
      <c r="U1603" s="116"/>
      <c r="V1603" s="104" t="s">
        <v>5555</v>
      </c>
      <c r="W1603" s="116"/>
    </row>
    <row r="1604">
      <c r="A1604" s="114" t="s">
        <v>39</v>
      </c>
      <c r="B1604" s="115"/>
      <c r="C1604" s="116"/>
      <c r="D1604" s="116"/>
      <c r="E1604" s="116" t="str">
        <f>IFERROR(__xludf.DUMMYFUNCTION("""COMPUTED_VALUE"""),"")</f>
        <v/>
      </c>
      <c r="F1604" s="117" t="s">
        <v>39</v>
      </c>
      <c r="G1604" s="116"/>
      <c r="H1604" s="117"/>
      <c r="I1604" s="117"/>
      <c r="J1604" s="117"/>
      <c r="K1604" s="117"/>
      <c r="L1604" s="116"/>
      <c r="M1604" s="117"/>
      <c r="N1604" s="118" t="str">
        <f>IFERROR(__xludf.DUMMYFUNCTION("""COMPUTED_VALUE"""),"")</f>
        <v/>
      </c>
      <c r="O1604" s="116"/>
      <c r="P1604" s="116"/>
      <c r="Q1604" s="116"/>
      <c r="R1604" s="116" t="s">
        <v>39</v>
      </c>
      <c r="S1604" s="116" t="s">
        <v>39</v>
      </c>
      <c r="T1604" s="104" t="s">
        <v>5556</v>
      </c>
      <c r="U1604" s="116"/>
      <c r="V1604" s="104" t="s">
        <v>5556</v>
      </c>
      <c r="W1604" s="116"/>
    </row>
    <row r="1605">
      <c r="A1605" s="114" t="s">
        <v>39</v>
      </c>
      <c r="B1605" s="115"/>
      <c r="C1605" s="116"/>
      <c r="D1605" s="116"/>
      <c r="E1605" s="116" t="str">
        <f>IFERROR(__xludf.DUMMYFUNCTION("""COMPUTED_VALUE"""),"")</f>
        <v/>
      </c>
      <c r="F1605" s="117" t="s">
        <v>39</v>
      </c>
      <c r="G1605" s="116"/>
      <c r="H1605" s="117"/>
      <c r="I1605" s="117"/>
      <c r="J1605" s="117"/>
      <c r="K1605" s="117"/>
      <c r="L1605" s="116"/>
      <c r="M1605" s="117"/>
      <c r="N1605" s="118" t="str">
        <f>IFERROR(__xludf.DUMMYFUNCTION("""COMPUTED_VALUE"""),"")</f>
        <v/>
      </c>
      <c r="O1605" s="116"/>
      <c r="P1605" s="116"/>
      <c r="Q1605" s="116"/>
      <c r="R1605" s="116" t="s">
        <v>39</v>
      </c>
      <c r="S1605" s="116" t="s">
        <v>39</v>
      </c>
      <c r="T1605" s="104" t="s">
        <v>5557</v>
      </c>
      <c r="U1605" s="116"/>
      <c r="V1605" s="104" t="s">
        <v>5557</v>
      </c>
      <c r="W1605" s="116"/>
    </row>
    <row r="1606">
      <c r="A1606" s="114" t="s">
        <v>39</v>
      </c>
      <c r="B1606" s="115"/>
      <c r="C1606" s="116"/>
      <c r="D1606" s="116"/>
      <c r="E1606" s="116" t="str">
        <f>IFERROR(__xludf.DUMMYFUNCTION("""COMPUTED_VALUE"""),"")</f>
        <v/>
      </c>
      <c r="F1606" s="117" t="s">
        <v>39</v>
      </c>
      <c r="G1606" s="116"/>
      <c r="H1606" s="117"/>
      <c r="I1606" s="117"/>
      <c r="J1606" s="117"/>
      <c r="K1606" s="117"/>
      <c r="L1606" s="116"/>
      <c r="M1606" s="117"/>
      <c r="N1606" s="118" t="str">
        <f>IFERROR(__xludf.DUMMYFUNCTION("""COMPUTED_VALUE"""),"")</f>
        <v/>
      </c>
      <c r="O1606" s="116"/>
      <c r="P1606" s="116"/>
      <c r="Q1606" s="116"/>
      <c r="R1606" s="116" t="s">
        <v>39</v>
      </c>
      <c r="S1606" s="116" t="s">
        <v>39</v>
      </c>
      <c r="T1606" s="104" t="s">
        <v>5558</v>
      </c>
      <c r="U1606" s="116"/>
      <c r="V1606" s="104" t="s">
        <v>5558</v>
      </c>
      <c r="W1606" s="116"/>
    </row>
    <row r="1607">
      <c r="A1607" s="114" t="s">
        <v>39</v>
      </c>
      <c r="B1607" s="115"/>
      <c r="C1607" s="116"/>
      <c r="D1607" s="116"/>
      <c r="E1607" s="116" t="str">
        <f>IFERROR(__xludf.DUMMYFUNCTION("""COMPUTED_VALUE"""),"")</f>
        <v/>
      </c>
      <c r="F1607" s="117" t="s">
        <v>39</v>
      </c>
      <c r="G1607" s="116"/>
      <c r="H1607" s="117"/>
      <c r="I1607" s="117"/>
      <c r="J1607" s="117"/>
      <c r="K1607" s="117"/>
      <c r="L1607" s="116"/>
      <c r="M1607" s="117"/>
      <c r="N1607" s="118" t="str">
        <f>IFERROR(__xludf.DUMMYFUNCTION("""COMPUTED_VALUE"""),"")</f>
        <v/>
      </c>
      <c r="O1607" s="116"/>
      <c r="P1607" s="116"/>
      <c r="Q1607" s="116"/>
      <c r="R1607" s="116" t="s">
        <v>39</v>
      </c>
      <c r="S1607" s="116" t="s">
        <v>39</v>
      </c>
      <c r="T1607" s="104" t="s">
        <v>5559</v>
      </c>
      <c r="U1607" s="116"/>
      <c r="V1607" s="104" t="s">
        <v>5559</v>
      </c>
      <c r="W1607" s="116"/>
    </row>
    <row r="1608">
      <c r="A1608" s="114" t="s">
        <v>39</v>
      </c>
      <c r="B1608" s="115"/>
      <c r="C1608" s="116"/>
      <c r="D1608" s="116"/>
      <c r="E1608" s="116" t="str">
        <f>IFERROR(__xludf.DUMMYFUNCTION("""COMPUTED_VALUE"""),"")</f>
        <v/>
      </c>
      <c r="F1608" s="117" t="s">
        <v>39</v>
      </c>
      <c r="G1608" s="116"/>
      <c r="H1608" s="117"/>
      <c r="I1608" s="117"/>
      <c r="J1608" s="117"/>
      <c r="K1608" s="117"/>
      <c r="L1608" s="116"/>
      <c r="M1608" s="117"/>
      <c r="N1608" s="118" t="str">
        <f>IFERROR(__xludf.DUMMYFUNCTION("""COMPUTED_VALUE"""),"")</f>
        <v/>
      </c>
      <c r="O1608" s="116"/>
      <c r="P1608" s="116"/>
      <c r="Q1608" s="116"/>
      <c r="R1608" s="116" t="s">
        <v>39</v>
      </c>
      <c r="S1608" s="116" t="s">
        <v>39</v>
      </c>
      <c r="T1608" s="104" t="s">
        <v>5560</v>
      </c>
      <c r="U1608" s="116"/>
      <c r="V1608" s="104" t="s">
        <v>5560</v>
      </c>
      <c r="W1608" s="116"/>
    </row>
    <row r="1609">
      <c r="A1609" s="114" t="s">
        <v>39</v>
      </c>
      <c r="B1609" s="115"/>
      <c r="C1609" s="116"/>
      <c r="D1609" s="116"/>
      <c r="E1609" s="116" t="str">
        <f>IFERROR(__xludf.DUMMYFUNCTION("""COMPUTED_VALUE"""),"")</f>
        <v/>
      </c>
      <c r="F1609" s="117" t="s">
        <v>39</v>
      </c>
      <c r="G1609" s="116"/>
      <c r="H1609" s="117"/>
      <c r="I1609" s="117"/>
      <c r="J1609" s="117"/>
      <c r="K1609" s="117"/>
      <c r="L1609" s="116"/>
      <c r="M1609" s="117"/>
      <c r="N1609" s="118" t="str">
        <f>IFERROR(__xludf.DUMMYFUNCTION("""COMPUTED_VALUE"""),"")</f>
        <v/>
      </c>
      <c r="O1609" s="116"/>
      <c r="P1609" s="116"/>
      <c r="Q1609" s="116"/>
      <c r="R1609" s="116" t="s">
        <v>39</v>
      </c>
      <c r="S1609" s="116" t="s">
        <v>39</v>
      </c>
      <c r="T1609" s="104" t="s">
        <v>5561</v>
      </c>
      <c r="U1609" s="116"/>
      <c r="V1609" s="104" t="s">
        <v>5561</v>
      </c>
      <c r="W1609" s="116"/>
    </row>
    <row r="1610">
      <c r="A1610" s="114" t="s">
        <v>39</v>
      </c>
      <c r="B1610" s="115"/>
      <c r="C1610" s="116"/>
      <c r="D1610" s="116"/>
      <c r="E1610" s="116" t="str">
        <f>IFERROR(__xludf.DUMMYFUNCTION("""COMPUTED_VALUE"""),"")</f>
        <v/>
      </c>
      <c r="F1610" s="117" t="s">
        <v>39</v>
      </c>
      <c r="G1610" s="116"/>
      <c r="H1610" s="117"/>
      <c r="I1610" s="117"/>
      <c r="J1610" s="117"/>
      <c r="K1610" s="117"/>
      <c r="L1610" s="116"/>
      <c r="M1610" s="117"/>
      <c r="N1610" s="118" t="str">
        <f>IFERROR(__xludf.DUMMYFUNCTION("""COMPUTED_VALUE"""),"")</f>
        <v/>
      </c>
      <c r="O1610" s="116"/>
      <c r="P1610" s="116"/>
      <c r="Q1610" s="116"/>
      <c r="R1610" s="116" t="s">
        <v>39</v>
      </c>
      <c r="S1610" s="116" t="s">
        <v>39</v>
      </c>
      <c r="T1610" s="104" t="s">
        <v>5562</v>
      </c>
      <c r="U1610" s="116"/>
      <c r="V1610" s="104" t="s">
        <v>5562</v>
      </c>
      <c r="W1610" s="116"/>
    </row>
    <row r="1611">
      <c r="A1611" s="114" t="s">
        <v>39</v>
      </c>
      <c r="B1611" s="115"/>
      <c r="C1611" s="116"/>
      <c r="D1611" s="116"/>
      <c r="E1611" s="116" t="str">
        <f>IFERROR(__xludf.DUMMYFUNCTION("""COMPUTED_VALUE"""),"")</f>
        <v/>
      </c>
      <c r="F1611" s="117" t="s">
        <v>39</v>
      </c>
      <c r="G1611" s="116"/>
      <c r="H1611" s="117"/>
      <c r="I1611" s="117"/>
      <c r="J1611" s="117"/>
      <c r="K1611" s="117"/>
      <c r="L1611" s="116"/>
      <c r="M1611" s="117"/>
      <c r="N1611" s="118" t="str">
        <f>IFERROR(__xludf.DUMMYFUNCTION("""COMPUTED_VALUE"""),"")</f>
        <v/>
      </c>
      <c r="O1611" s="116"/>
      <c r="P1611" s="116"/>
      <c r="Q1611" s="116"/>
      <c r="R1611" s="116" t="s">
        <v>39</v>
      </c>
      <c r="S1611" s="116" t="s">
        <v>39</v>
      </c>
      <c r="T1611" s="104" t="s">
        <v>5563</v>
      </c>
      <c r="U1611" s="116"/>
      <c r="V1611" s="104" t="s">
        <v>5563</v>
      </c>
      <c r="W1611" s="116"/>
    </row>
    <row r="1612">
      <c r="A1612" s="114" t="s">
        <v>39</v>
      </c>
      <c r="B1612" s="115"/>
      <c r="C1612" s="116"/>
      <c r="D1612" s="116"/>
      <c r="E1612" s="116" t="str">
        <f>IFERROR(__xludf.DUMMYFUNCTION("""COMPUTED_VALUE"""),"")</f>
        <v/>
      </c>
      <c r="F1612" s="117" t="s">
        <v>39</v>
      </c>
      <c r="G1612" s="116"/>
      <c r="H1612" s="117"/>
      <c r="I1612" s="117"/>
      <c r="J1612" s="117"/>
      <c r="K1612" s="117"/>
      <c r="L1612" s="116"/>
      <c r="M1612" s="117"/>
      <c r="N1612" s="118" t="str">
        <f>IFERROR(__xludf.DUMMYFUNCTION("""COMPUTED_VALUE"""),"")</f>
        <v/>
      </c>
      <c r="O1612" s="116"/>
      <c r="P1612" s="116"/>
      <c r="Q1612" s="116"/>
      <c r="R1612" s="116" t="s">
        <v>39</v>
      </c>
      <c r="S1612" s="116" t="s">
        <v>39</v>
      </c>
      <c r="T1612" s="104" t="s">
        <v>5564</v>
      </c>
      <c r="U1612" s="116"/>
      <c r="V1612" s="104" t="s">
        <v>5564</v>
      </c>
      <c r="W1612" s="116"/>
    </row>
    <row r="1613">
      <c r="A1613" s="114" t="s">
        <v>39</v>
      </c>
      <c r="B1613" s="115"/>
      <c r="C1613" s="116"/>
      <c r="D1613" s="116"/>
      <c r="E1613" s="116" t="str">
        <f>IFERROR(__xludf.DUMMYFUNCTION("""COMPUTED_VALUE"""),"")</f>
        <v/>
      </c>
      <c r="F1613" s="117" t="s">
        <v>39</v>
      </c>
      <c r="G1613" s="116"/>
      <c r="H1613" s="117"/>
      <c r="I1613" s="117"/>
      <c r="J1613" s="117"/>
      <c r="K1613" s="117"/>
      <c r="L1613" s="116"/>
      <c r="M1613" s="117"/>
      <c r="N1613" s="118" t="str">
        <f>IFERROR(__xludf.DUMMYFUNCTION("""COMPUTED_VALUE"""),"")</f>
        <v/>
      </c>
      <c r="O1613" s="116"/>
      <c r="P1613" s="116"/>
      <c r="Q1613" s="116"/>
      <c r="R1613" s="116" t="s">
        <v>39</v>
      </c>
      <c r="S1613" s="116" t="s">
        <v>39</v>
      </c>
      <c r="T1613" s="104" t="s">
        <v>5565</v>
      </c>
      <c r="U1613" s="116"/>
      <c r="V1613" s="104" t="s">
        <v>5565</v>
      </c>
      <c r="W1613" s="116"/>
    </row>
    <row r="1614">
      <c r="A1614" s="114" t="s">
        <v>39</v>
      </c>
      <c r="B1614" s="115"/>
      <c r="C1614" s="116"/>
      <c r="D1614" s="116"/>
      <c r="E1614" s="116" t="str">
        <f>IFERROR(__xludf.DUMMYFUNCTION("""COMPUTED_VALUE"""),"")</f>
        <v/>
      </c>
      <c r="F1614" s="117" t="s">
        <v>39</v>
      </c>
      <c r="G1614" s="116"/>
      <c r="H1614" s="117"/>
      <c r="I1614" s="117"/>
      <c r="J1614" s="117"/>
      <c r="K1614" s="117"/>
      <c r="L1614" s="116"/>
      <c r="M1614" s="117"/>
      <c r="N1614" s="118" t="str">
        <f>IFERROR(__xludf.DUMMYFUNCTION("""COMPUTED_VALUE"""),"")</f>
        <v/>
      </c>
      <c r="O1614" s="116"/>
      <c r="P1614" s="116"/>
      <c r="Q1614" s="116"/>
      <c r="R1614" s="116" t="s">
        <v>39</v>
      </c>
      <c r="S1614" s="116" t="s">
        <v>39</v>
      </c>
      <c r="T1614" s="104" t="s">
        <v>5566</v>
      </c>
      <c r="U1614" s="116"/>
      <c r="V1614" s="104" t="s">
        <v>5566</v>
      </c>
      <c r="W1614" s="116"/>
    </row>
    <row r="1615">
      <c r="A1615" s="114" t="s">
        <v>39</v>
      </c>
      <c r="B1615" s="115"/>
      <c r="C1615" s="116"/>
      <c r="D1615" s="116"/>
      <c r="E1615" s="116" t="str">
        <f>IFERROR(__xludf.DUMMYFUNCTION("""COMPUTED_VALUE"""),"")</f>
        <v/>
      </c>
      <c r="F1615" s="117" t="s">
        <v>39</v>
      </c>
      <c r="G1615" s="116"/>
      <c r="H1615" s="117"/>
      <c r="I1615" s="117"/>
      <c r="J1615" s="117"/>
      <c r="K1615" s="117"/>
      <c r="L1615" s="116"/>
      <c r="M1615" s="117"/>
      <c r="N1615" s="118" t="str">
        <f>IFERROR(__xludf.DUMMYFUNCTION("""COMPUTED_VALUE"""),"")</f>
        <v/>
      </c>
      <c r="O1615" s="116"/>
      <c r="P1615" s="116"/>
      <c r="Q1615" s="116"/>
      <c r="R1615" s="116" t="s">
        <v>39</v>
      </c>
      <c r="S1615" s="116" t="s">
        <v>39</v>
      </c>
      <c r="T1615" s="104" t="s">
        <v>5567</v>
      </c>
      <c r="U1615" s="116"/>
      <c r="V1615" s="104" t="s">
        <v>5567</v>
      </c>
      <c r="W1615" s="116"/>
    </row>
    <row r="1616">
      <c r="A1616" s="114" t="s">
        <v>39</v>
      </c>
      <c r="B1616" s="115"/>
      <c r="C1616" s="116"/>
      <c r="D1616" s="116"/>
      <c r="E1616" s="116" t="str">
        <f>IFERROR(__xludf.DUMMYFUNCTION("""COMPUTED_VALUE"""),"")</f>
        <v/>
      </c>
      <c r="F1616" s="117" t="s">
        <v>39</v>
      </c>
      <c r="G1616" s="116"/>
      <c r="H1616" s="117"/>
      <c r="I1616" s="117"/>
      <c r="J1616" s="117"/>
      <c r="K1616" s="117"/>
      <c r="L1616" s="116"/>
      <c r="M1616" s="117"/>
      <c r="N1616" s="118" t="str">
        <f>IFERROR(__xludf.DUMMYFUNCTION("""COMPUTED_VALUE"""),"")</f>
        <v/>
      </c>
      <c r="O1616" s="116"/>
      <c r="P1616" s="116"/>
      <c r="Q1616" s="116"/>
      <c r="R1616" s="116" t="s">
        <v>39</v>
      </c>
      <c r="S1616" s="116" t="s">
        <v>39</v>
      </c>
      <c r="T1616" s="104" t="s">
        <v>5568</v>
      </c>
      <c r="U1616" s="116"/>
      <c r="V1616" s="104" t="s">
        <v>5568</v>
      </c>
      <c r="W1616" s="116"/>
    </row>
    <row r="1617">
      <c r="A1617" s="114" t="s">
        <v>39</v>
      </c>
      <c r="B1617" s="115"/>
      <c r="C1617" s="116"/>
      <c r="D1617" s="116"/>
      <c r="E1617" s="116" t="str">
        <f>IFERROR(__xludf.DUMMYFUNCTION("""COMPUTED_VALUE"""),"")</f>
        <v/>
      </c>
      <c r="F1617" s="117" t="s">
        <v>39</v>
      </c>
      <c r="G1617" s="116"/>
      <c r="H1617" s="117"/>
      <c r="I1617" s="117"/>
      <c r="J1617" s="117"/>
      <c r="K1617" s="117"/>
      <c r="L1617" s="116"/>
      <c r="M1617" s="117"/>
      <c r="N1617" s="118" t="str">
        <f>IFERROR(__xludf.DUMMYFUNCTION("""COMPUTED_VALUE"""),"")</f>
        <v/>
      </c>
      <c r="O1617" s="116"/>
      <c r="P1617" s="116"/>
      <c r="Q1617" s="116"/>
      <c r="R1617" s="116" t="s">
        <v>39</v>
      </c>
      <c r="S1617" s="116" t="s">
        <v>39</v>
      </c>
      <c r="T1617" s="104" t="s">
        <v>5569</v>
      </c>
      <c r="U1617" s="116"/>
      <c r="V1617" s="104" t="s">
        <v>5569</v>
      </c>
      <c r="W1617" s="116"/>
    </row>
    <row r="1618">
      <c r="A1618" s="114" t="s">
        <v>39</v>
      </c>
      <c r="B1618" s="115"/>
      <c r="C1618" s="116"/>
      <c r="D1618" s="116"/>
      <c r="E1618" s="116" t="str">
        <f>IFERROR(__xludf.DUMMYFUNCTION("""COMPUTED_VALUE"""),"")</f>
        <v/>
      </c>
      <c r="F1618" s="117" t="s">
        <v>39</v>
      </c>
      <c r="G1618" s="116"/>
      <c r="H1618" s="117"/>
      <c r="I1618" s="117"/>
      <c r="J1618" s="117"/>
      <c r="K1618" s="117"/>
      <c r="L1618" s="116"/>
      <c r="M1618" s="117"/>
      <c r="N1618" s="118" t="str">
        <f>IFERROR(__xludf.DUMMYFUNCTION("""COMPUTED_VALUE"""),"")</f>
        <v/>
      </c>
      <c r="O1618" s="116"/>
      <c r="P1618" s="116"/>
      <c r="Q1618" s="116"/>
      <c r="R1618" s="116" t="s">
        <v>39</v>
      </c>
      <c r="S1618" s="116" t="s">
        <v>39</v>
      </c>
      <c r="T1618" s="104" t="s">
        <v>5570</v>
      </c>
      <c r="U1618" s="116"/>
      <c r="V1618" s="104" t="s">
        <v>5570</v>
      </c>
      <c r="W1618" s="116"/>
    </row>
    <row r="1619">
      <c r="A1619" s="114" t="s">
        <v>39</v>
      </c>
      <c r="B1619" s="115"/>
      <c r="C1619" s="116"/>
      <c r="D1619" s="116"/>
      <c r="E1619" s="116" t="str">
        <f>IFERROR(__xludf.DUMMYFUNCTION("""COMPUTED_VALUE"""),"")</f>
        <v/>
      </c>
      <c r="F1619" s="117" t="s">
        <v>39</v>
      </c>
      <c r="G1619" s="116"/>
      <c r="H1619" s="117"/>
      <c r="I1619" s="117"/>
      <c r="J1619" s="117"/>
      <c r="K1619" s="117"/>
      <c r="L1619" s="116"/>
      <c r="M1619" s="117"/>
      <c r="N1619" s="118" t="str">
        <f>IFERROR(__xludf.DUMMYFUNCTION("""COMPUTED_VALUE"""),"")</f>
        <v/>
      </c>
      <c r="O1619" s="116"/>
      <c r="P1619" s="116"/>
      <c r="Q1619" s="116"/>
      <c r="R1619" s="116" t="s">
        <v>39</v>
      </c>
      <c r="S1619" s="116" t="s">
        <v>39</v>
      </c>
      <c r="T1619" s="104" t="s">
        <v>5571</v>
      </c>
      <c r="U1619" s="116"/>
      <c r="V1619" s="104" t="s">
        <v>5571</v>
      </c>
      <c r="W1619" s="116"/>
    </row>
    <row r="1620">
      <c r="A1620" s="114" t="s">
        <v>39</v>
      </c>
      <c r="B1620" s="115"/>
      <c r="C1620" s="116"/>
      <c r="D1620" s="116"/>
      <c r="E1620" s="116" t="str">
        <f>IFERROR(__xludf.DUMMYFUNCTION("""COMPUTED_VALUE"""),"")</f>
        <v/>
      </c>
      <c r="F1620" s="117" t="s">
        <v>39</v>
      </c>
      <c r="G1620" s="116"/>
      <c r="H1620" s="117"/>
      <c r="I1620" s="117"/>
      <c r="J1620" s="117"/>
      <c r="K1620" s="117"/>
      <c r="L1620" s="116"/>
      <c r="M1620" s="117"/>
      <c r="N1620" s="118" t="str">
        <f>IFERROR(__xludf.DUMMYFUNCTION("""COMPUTED_VALUE"""),"")</f>
        <v/>
      </c>
      <c r="O1620" s="116"/>
      <c r="P1620" s="116"/>
      <c r="Q1620" s="116"/>
      <c r="R1620" s="116" t="s">
        <v>39</v>
      </c>
      <c r="S1620" s="116" t="s">
        <v>39</v>
      </c>
      <c r="T1620" s="104" t="s">
        <v>5572</v>
      </c>
      <c r="U1620" s="116"/>
      <c r="V1620" s="104" t="s">
        <v>5572</v>
      </c>
      <c r="W1620" s="116"/>
    </row>
    <row r="1621">
      <c r="A1621" s="114" t="s">
        <v>39</v>
      </c>
      <c r="B1621" s="115"/>
      <c r="C1621" s="116"/>
      <c r="D1621" s="116"/>
      <c r="E1621" s="116" t="str">
        <f>IFERROR(__xludf.DUMMYFUNCTION("""COMPUTED_VALUE"""),"")</f>
        <v/>
      </c>
      <c r="F1621" s="117" t="s">
        <v>39</v>
      </c>
      <c r="G1621" s="116"/>
      <c r="H1621" s="117"/>
      <c r="I1621" s="117"/>
      <c r="J1621" s="117"/>
      <c r="K1621" s="117"/>
      <c r="L1621" s="116"/>
      <c r="M1621" s="117"/>
      <c r="N1621" s="118" t="str">
        <f>IFERROR(__xludf.DUMMYFUNCTION("""COMPUTED_VALUE"""),"")</f>
        <v/>
      </c>
      <c r="O1621" s="116"/>
      <c r="P1621" s="116"/>
      <c r="Q1621" s="116"/>
      <c r="R1621" s="116" t="s">
        <v>39</v>
      </c>
      <c r="S1621" s="116" t="s">
        <v>39</v>
      </c>
      <c r="T1621" s="104" t="s">
        <v>5573</v>
      </c>
      <c r="U1621" s="116"/>
      <c r="V1621" s="104" t="s">
        <v>5573</v>
      </c>
      <c r="W1621" s="116"/>
    </row>
    <row r="1622">
      <c r="A1622" s="114" t="s">
        <v>39</v>
      </c>
      <c r="B1622" s="115"/>
      <c r="C1622" s="116"/>
      <c r="D1622" s="116"/>
      <c r="E1622" s="116" t="str">
        <f>IFERROR(__xludf.DUMMYFUNCTION("""COMPUTED_VALUE"""),"")</f>
        <v/>
      </c>
      <c r="F1622" s="117" t="s">
        <v>39</v>
      </c>
      <c r="G1622" s="116"/>
      <c r="H1622" s="117"/>
      <c r="I1622" s="117"/>
      <c r="J1622" s="117"/>
      <c r="K1622" s="117"/>
      <c r="L1622" s="116"/>
      <c r="M1622" s="117"/>
      <c r="N1622" s="118" t="str">
        <f>IFERROR(__xludf.DUMMYFUNCTION("""COMPUTED_VALUE"""),"")</f>
        <v/>
      </c>
      <c r="O1622" s="116"/>
      <c r="P1622" s="116"/>
      <c r="Q1622" s="116"/>
      <c r="R1622" s="116" t="s">
        <v>39</v>
      </c>
      <c r="S1622" s="116" t="s">
        <v>39</v>
      </c>
      <c r="T1622" s="104" t="s">
        <v>5574</v>
      </c>
      <c r="U1622" s="116"/>
      <c r="V1622" s="104" t="s">
        <v>5574</v>
      </c>
      <c r="W1622" s="116"/>
    </row>
    <row r="1623">
      <c r="A1623" s="114" t="s">
        <v>39</v>
      </c>
      <c r="B1623" s="115"/>
      <c r="C1623" s="116"/>
      <c r="D1623" s="116"/>
      <c r="E1623" s="116" t="str">
        <f>IFERROR(__xludf.DUMMYFUNCTION("""COMPUTED_VALUE"""),"")</f>
        <v/>
      </c>
      <c r="F1623" s="117" t="s">
        <v>39</v>
      </c>
      <c r="G1623" s="116"/>
      <c r="H1623" s="117"/>
      <c r="I1623" s="117"/>
      <c r="J1623" s="117"/>
      <c r="K1623" s="117"/>
      <c r="L1623" s="116"/>
      <c r="M1623" s="117"/>
      <c r="N1623" s="118" t="str">
        <f>IFERROR(__xludf.DUMMYFUNCTION("""COMPUTED_VALUE"""),"")</f>
        <v/>
      </c>
      <c r="O1623" s="116"/>
      <c r="P1623" s="116"/>
      <c r="Q1623" s="116"/>
      <c r="R1623" s="116" t="s">
        <v>39</v>
      </c>
      <c r="S1623" s="116" t="s">
        <v>39</v>
      </c>
      <c r="T1623" s="104" t="s">
        <v>5575</v>
      </c>
      <c r="U1623" s="116"/>
      <c r="V1623" s="104" t="s">
        <v>5575</v>
      </c>
      <c r="W1623" s="116"/>
    </row>
    <row r="1624">
      <c r="A1624" s="114" t="s">
        <v>39</v>
      </c>
      <c r="B1624" s="115"/>
      <c r="C1624" s="116"/>
      <c r="D1624" s="116"/>
      <c r="E1624" s="116" t="str">
        <f>IFERROR(__xludf.DUMMYFUNCTION("""COMPUTED_VALUE"""),"")</f>
        <v/>
      </c>
      <c r="F1624" s="117" t="s">
        <v>39</v>
      </c>
      <c r="G1624" s="116"/>
      <c r="H1624" s="117"/>
      <c r="I1624" s="117"/>
      <c r="J1624" s="117"/>
      <c r="K1624" s="117"/>
      <c r="L1624" s="116"/>
      <c r="M1624" s="117"/>
      <c r="N1624" s="118" t="str">
        <f>IFERROR(__xludf.DUMMYFUNCTION("""COMPUTED_VALUE"""),"")</f>
        <v/>
      </c>
      <c r="O1624" s="116"/>
      <c r="P1624" s="116"/>
      <c r="Q1624" s="116"/>
      <c r="R1624" s="116" t="s">
        <v>39</v>
      </c>
      <c r="S1624" s="116" t="s">
        <v>39</v>
      </c>
      <c r="T1624" s="104" t="s">
        <v>5576</v>
      </c>
      <c r="U1624" s="116"/>
      <c r="V1624" s="104" t="s">
        <v>5576</v>
      </c>
      <c r="W1624" s="116"/>
    </row>
    <row r="1625">
      <c r="A1625" s="114" t="s">
        <v>39</v>
      </c>
      <c r="B1625" s="115"/>
      <c r="C1625" s="116"/>
      <c r="D1625" s="116"/>
      <c r="E1625" s="116" t="str">
        <f>IFERROR(__xludf.DUMMYFUNCTION("""COMPUTED_VALUE"""),"")</f>
        <v/>
      </c>
      <c r="F1625" s="117" t="s">
        <v>39</v>
      </c>
      <c r="G1625" s="116"/>
      <c r="H1625" s="117"/>
      <c r="I1625" s="117"/>
      <c r="J1625" s="117"/>
      <c r="K1625" s="117"/>
      <c r="L1625" s="116"/>
      <c r="M1625" s="117"/>
      <c r="N1625" s="118" t="str">
        <f>IFERROR(__xludf.DUMMYFUNCTION("""COMPUTED_VALUE"""),"")</f>
        <v/>
      </c>
      <c r="O1625" s="116"/>
      <c r="P1625" s="116"/>
      <c r="Q1625" s="116"/>
      <c r="R1625" s="116" t="s">
        <v>39</v>
      </c>
      <c r="S1625" s="116" t="s">
        <v>39</v>
      </c>
      <c r="T1625" s="104" t="s">
        <v>5577</v>
      </c>
      <c r="U1625" s="116"/>
      <c r="V1625" s="104" t="s">
        <v>5577</v>
      </c>
      <c r="W1625" s="116"/>
    </row>
    <row r="1626">
      <c r="A1626" s="114" t="s">
        <v>39</v>
      </c>
      <c r="B1626" s="115"/>
      <c r="C1626" s="116"/>
      <c r="D1626" s="116"/>
      <c r="E1626" s="116" t="str">
        <f>IFERROR(__xludf.DUMMYFUNCTION("""COMPUTED_VALUE"""),"")</f>
        <v/>
      </c>
      <c r="F1626" s="117" t="s">
        <v>39</v>
      </c>
      <c r="G1626" s="116"/>
      <c r="H1626" s="117"/>
      <c r="I1626" s="117"/>
      <c r="J1626" s="117"/>
      <c r="K1626" s="117"/>
      <c r="L1626" s="116"/>
      <c r="M1626" s="117"/>
      <c r="N1626" s="118" t="str">
        <f>IFERROR(__xludf.DUMMYFUNCTION("""COMPUTED_VALUE"""),"")</f>
        <v/>
      </c>
      <c r="O1626" s="116"/>
      <c r="P1626" s="116"/>
      <c r="Q1626" s="116"/>
      <c r="R1626" s="116" t="s">
        <v>39</v>
      </c>
      <c r="S1626" s="116" t="s">
        <v>39</v>
      </c>
      <c r="T1626" s="104" t="s">
        <v>5578</v>
      </c>
      <c r="U1626" s="116"/>
      <c r="V1626" s="104" t="s">
        <v>5578</v>
      </c>
      <c r="W1626" s="116"/>
    </row>
    <row r="1627">
      <c r="A1627" s="114" t="s">
        <v>39</v>
      </c>
      <c r="B1627" s="115"/>
      <c r="C1627" s="116"/>
      <c r="D1627" s="116"/>
      <c r="E1627" s="116" t="str">
        <f>IFERROR(__xludf.DUMMYFUNCTION("""COMPUTED_VALUE"""),"")</f>
        <v/>
      </c>
      <c r="F1627" s="117" t="s">
        <v>39</v>
      </c>
      <c r="G1627" s="116"/>
      <c r="H1627" s="117"/>
      <c r="I1627" s="117"/>
      <c r="J1627" s="117"/>
      <c r="K1627" s="117"/>
      <c r="L1627" s="116"/>
      <c r="M1627" s="117"/>
      <c r="N1627" s="118" t="str">
        <f>IFERROR(__xludf.DUMMYFUNCTION("""COMPUTED_VALUE"""),"")</f>
        <v/>
      </c>
      <c r="O1627" s="116"/>
      <c r="P1627" s="116"/>
      <c r="Q1627" s="116"/>
      <c r="R1627" s="116" t="s">
        <v>39</v>
      </c>
      <c r="S1627" s="116" t="s">
        <v>39</v>
      </c>
      <c r="T1627" s="104" t="s">
        <v>5579</v>
      </c>
      <c r="U1627" s="116"/>
      <c r="V1627" s="104" t="s">
        <v>5579</v>
      </c>
      <c r="W1627" s="116"/>
    </row>
    <row r="1628">
      <c r="A1628" s="114" t="s">
        <v>39</v>
      </c>
      <c r="B1628" s="115"/>
      <c r="C1628" s="116"/>
      <c r="D1628" s="116"/>
      <c r="E1628" s="116" t="str">
        <f>IFERROR(__xludf.DUMMYFUNCTION("""COMPUTED_VALUE"""),"")</f>
        <v/>
      </c>
      <c r="F1628" s="117" t="s">
        <v>39</v>
      </c>
      <c r="G1628" s="116"/>
      <c r="H1628" s="117"/>
      <c r="I1628" s="117"/>
      <c r="J1628" s="117"/>
      <c r="K1628" s="117"/>
      <c r="L1628" s="116"/>
      <c r="M1628" s="117"/>
      <c r="N1628" s="118" t="str">
        <f>IFERROR(__xludf.DUMMYFUNCTION("""COMPUTED_VALUE"""),"")</f>
        <v/>
      </c>
      <c r="O1628" s="116"/>
      <c r="P1628" s="116"/>
      <c r="Q1628" s="116"/>
      <c r="R1628" s="116" t="s">
        <v>39</v>
      </c>
      <c r="S1628" s="116" t="s">
        <v>39</v>
      </c>
      <c r="T1628" s="104" t="s">
        <v>5580</v>
      </c>
      <c r="U1628" s="116"/>
      <c r="V1628" s="104" t="s">
        <v>5580</v>
      </c>
      <c r="W1628" s="116"/>
    </row>
    <row r="1629">
      <c r="A1629" s="114" t="s">
        <v>39</v>
      </c>
      <c r="B1629" s="115"/>
      <c r="C1629" s="116"/>
      <c r="D1629" s="116"/>
      <c r="E1629" s="116" t="str">
        <f>IFERROR(__xludf.DUMMYFUNCTION("""COMPUTED_VALUE"""),"")</f>
        <v/>
      </c>
      <c r="F1629" s="117" t="s">
        <v>39</v>
      </c>
      <c r="G1629" s="116"/>
      <c r="H1629" s="117"/>
      <c r="I1629" s="117"/>
      <c r="J1629" s="117"/>
      <c r="K1629" s="117"/>
      <c r="L1629" s="116"/>
      <c r="M1629" s="117"/>
      <c r="N1629" s="118" t="str">
        <f>IFERROR(__xludf.DUMMYFUNCTION("""COMPUTED_VALUE"""),"")</f>
        <v/>
      </c>
      <c r="O1629" s="116"/>
      <c r="P1629" s="116"/>
      <c r="Q1629" s="116"/>
      <c r="R1629" s="116" t="s">
        <v>39</v>
      </c>
      <c r="S1629" s="116" t="s">
        <v>39</v>
      </c>
      <c r="T1629" s="104" t="s">
        <v>5581</v>
      </c>
      <c r="U1629" s="116"/>
      <c r="V1629" s="104" t="s">
        <v>5581</v>
      </c>
      <c r="W1629" s="116"/>
    </row>
    <row r="1630">
      <c r="A1630" s="114" t="s">
        <v>39</v>
      </c>
      <c r="B1630" s="115"/>
      <c r="C1630" s="116"/>
      <c r="D1630" s="116"/>
      <c r="E1630" s="116" t="str">
        <f>IFERROR(__xludf.DUMMYFUNCTION("""COMPUTED_VALUE"""),"")</f>
        <v/>
      </c>
      <c r="F1630" s="117" t="s">
        <v>39</v>
      </c>
      <c r="G1630" s="116"/>
      <c r="H1630" s="117"/>
      <c r="I1630" s="117"/>
      <c r="J1630" s="117"/>
      <c r="K1630" s="117"/>
      <c r="L1630" s="116"/>
      <c r="M1630" s="117"/>
      <c r="N1630" s="118" t="str">
        <f>IFERROR(__xludf.DUMMYFUNCTION("""COMPUTED_VALUE"""),"")</f>
        <v/>
      </c>
      <c r="O1630" s="116"/>
      <c r="P1630" s="116"/>
      <c r="Q1630" s="116"/>
      <c r="R1630" s="116" t="s">
        <v>39</v>
      </c>
      <c r="S1630" s="116" t="s">
        <v>39</v>
      </c>
      <c r="T1630" s="104" t="s">
        <v>5582</v>
      </c>
      <c r="U1630" s="116"/>
      <c r="V1630" s="104" t="s">
        <v>5582</v>
      </c>
      <c r="W1630" s="116"/>
    </row>
    <row r="1631">
      <c r="A1631" s="114" t="s">
        <v>39</v>
      </c>
      <c r="B1631" s="115"/>
      <c r="C1631" s="116"/>
      <c r="D1631" s="116"/>
      <c r="E1631" s="116" t="str">
        <f>IFERROR(__xludf.DUMMYFUNCTION("""COMPUTED_VALUE"""),"")</f>
        <v/>
      </c>
      <c r="F1631" s="117" t="s">
        <v>39</v>
      </c>
      <c r="G1631" s="116"/>
      <c r="H1631" s="117"/>
      <c r="I1631" s="117"/>
      <c r="J1631" s="117"/>
      <c r="K1631" s="117"/>
      <c r="L1631" s="116"/>
      <c r="M1631" s="117"/>
      <c r="N1631" s="118" t="str">
        <f>IFERROR(__xludf.DUMMYFUNCTION("""COMPUTED_VALUE"""),"")</f>
        <v/>
      </c>
      <c r="O1631" s="116"/>
      <c r="P1631" s="116"/>
      <c r="Q1631" s="116"/>
      <c r="R1631" s="116" t="s">
        <v>39</v>
      </c>
      <c r="S1631" s="116" t="s">
        <v>39</v>
      </c>
      <c r="T1631" s="104" t="s">
        <v>5583</v>
      </c>
      <c r="U1631" s="116"/>
      <c r="V1631" s="104" t="s">
        <v>5583</v>
      </c>
      <c r="W1631" s="116"/>
    </row>
    <row r="1632">
      <c r="A1632" s="114" t="s">
        <v>39</v>
      </c>
      <c r="B1632" s="115"/>
      <c r="C1632" s="116"/>
      <c r="D1632" s="116"/>
      <c r="E1632" s="116" t="str">
        <f>IFERROR(__xludf.DUMMYFUNCTION("""COMPUTED_VALUE"""),"")</f>
        <v/>
      </c>
      <c r="F1632" s="117" t="s">
        <v>39</v>
      </c>
      <c r="G1632" s="116"/>
      <c r="H1632" s="117"/>
      <c r="I1632" s="117"/>
      <c r="J1632" s="117"/>
      <c r="K1632" s="117"/>
      <c r="L1632" s="116"/>
      <c r="M1632" s="117"/>
      <c r="N1632" s="118" t="str">
        <f>IFERROR(__xludf.DUMMYFUNCTION("""COMPUTED_VALUE"""),"")</f>
        <v/>
      </c>
      <c r="O1632" s="116"/>
      <c r="P1632" s="116"/>
      <c r="Q1632" s="116"/>
      <c r="R1632" s="116" t="s">
        <v>39</v>
      </c>
      <c r="S1632" s="116" t="s">
        <v>39</v>
      </c>
      <c r="T1632" s="104" t="s">
        <v>5584</v>
      </c>
      <c r="U1632" s="116"/>
      <c r="V1632" s="104" t="s">
        <v>5584</v>
      </c>
      <c r="W1632" s="116"/>
    </row>
    <row r="1633">
      <c r="A1633" s="114" t="s">
        <v>39</v>
      </c>
      <c r="B1633" s="115"/>
      <c r="C1633" s="116"/>
      <c r="D1633" s="116"/>
      <c r="E1633" s="116" t="str">
        <f>IFERROR(__xludf.DUMMYFUNCTION("""COMPUTED_VALUE"""),"")</f>
        <v/>
      </c>
      <c r="F1633" s="117" t="s">
        <v>39</v>
      </c>
      <c r="G1633" s="116"/>
      <c r="H1633" s="117"/>
      <c r="I1633" s="117"/>
      <c r="J1633" s="117"/>
      <c r="K1633" s="117"/>
      <c r="L1633" s="116"/>
      <c r="M1633" s="117"/>
      <c r="N1633" s="118" t="str">
        <f>IFERROR(__xludf.DUMMYFUNCTION("""COMPUTED_VALUE"""),"")</f>
        <v/>
      </c>
      <c r="O1633" s="116"/>
      <c r="P1633" s="116"/>
      <c r="Q1633" s="116"/>
      <c r="R1633" s="116" t="s">
        <v>39</v>
      </c>
      <c r="S1633" s="116" t="s">
        <v>39</v>
      </c>
      <c r="T1633" s="104" t="s">
        <v>5585</v>
      </c>
      <c r="U1633" s="116"/>
      <c r="V1633" s="104" t="s">
        <v>5585</v>
      </c>
      <c r="W1633" s="116"/>
    </row>
    <row r="1634">
      <c r="A1634" s="114" t="s">
        <v>39</v>
      </c>
      <c r="B1634" s="115"/>
      <c r="C1634" s="116"/>
      <c r="D1634" s="116"/>
      <c r="E1634" s="116" t="str">
        <f>IFERROR(__xludf.DUMMYFUNCTION("""COMPUTED_VALUE"""),"")</f>
        <v/>
      </c>
      <c r="F1634" s="117" t="s">
        <v>39</v>
      </c>
      <c r="G1634" s="116"/>
      <c r="H1634" s="117"/>
      <c r="I1634" s="117"/>
      <c r="J1634" s="117"/>
      <c r="K1634" s="117"/>
      <c r="L1634" s="116"/>
      <c r="M1634" s="117"/>
      <c r="N1634" s="118" t="str">
        <f>IFERROR(__xludf.DUMMYFUNCTION("""COMPUTED_VALUE"""),"")</f>
        <v/>
      </c>
      <c r="O1634" s="116"/>
      <c r="P1634" s="116"/>
      <c r="Q1634" s="116"/>
      <c r="R1634" s="116" t="s">
        <v>39</v>
      </c>
      <c r="S1634" s="116" t="s">
        <v>39</v>
      </c>
      <c r="T1634" s="104" t="s">
        <v>5586</v>
      </c>
      <c r="U1634" s="116"/>
      <c r="V1634" s="104" t="s">
        <v>5586</v>
      </c>
      <c r="W1634" s="116"/>
    </row>
    <row r="1635">
      <c r="A1635" s="114" t="s">
        <v>39</v>
      </c>
      <c r="B1635" s="115"/>
      <c r="C1635" s="116"/>
      <c r="D1635" s="116"/>
      <c r="E1635" s="116" t="str">
        <f>IFERROR(__xludf.DUMMYFUNCTION("""COMPUTED_VALUE"""),"")</f>
        <v/>
      </c>
      <c r="F1635" s="117" t="s">
        <v>39</v>
      </c>
      <c r="G1635" s="116"/>
      <c r="H1635" s="117"/>
      <c r="I1635" s="117"/>
      <c r="J1635" s="117"/>
      <c r="K1635" s="117"/>
      <c r="L1635" s="116"/>
      <c r="M1635" s="117"/>
      <c r="N1635" s="118" t="str">
        <f>IFERROR(__xludf.DUMMYFUNCTION("""COMPUTED_VALUE"""),"")</f>
        <v/>
      </c>
      <c r="O1635" s="116"/>
      <c r="P1635" s="116"/>
      <c r="Q1635" s="116"/>
      <c r="R1635" s="116" t="s">
        <v>39</v>
      </c>
      <c r="S1635" s="116" t="s">
        <v>39</v>
      </c>
      <c r="T1635" s="104" t="s">
        <v>5587</v>
      </c>
      <c r="U1635" s="116"/>
      <c r="V1635" s="104" t="s">
        <v>5587</v>
      </c>
      <c r="W1635" s="116"/>
    </row>
    <row r="1636">
      <c r="A1636" s="114" t="s">
        <v>39</v>
      </c>
      <c r="B1636" s="115"/>
      <c r="C1636" s="116"/>
      <c r="D1636" s="116"/>
      <c r="E1636" s="116" t="str">
        <f>IFERROR(__xludf.DUMMYFUNCTION("""COMPUTED_VALUE"""),"")</f>
        <v/>
      </c>
      <c r="F1636" s="117" t="s">
        <v>39</v>
      </c>
      <c r="G1636" s="116"/>
      <c r="H1636" s="117"/>
      <c r="I1636" s="117"/>
      <c r="J1636" s="117"/>
      <c r="K1636" s="117"/>
      <c r="L1636" s="116"/>
      <c r="M1636" s="117"/>
      <c r="N1636" s="118" t="str">
        <f>IFERROR(__xludf.DUMMYFUNCTION("""COMPUTED_VALUE"""),"")</f>
        <v/>
      </c>
      <c r="O1636" s="116"/>
      <c r="P1636" s="116"/>
      <c r="Q1636" s="116"/>
      <c r="R1636" s="116" t="s">
        <v>39</v>
      </c>
      <c r="S1636" s="116" t="s">
        <v>39</v>
      </c>
      <c r="T1636" s="104" t="s">
        <v>5588</v>
      </c>
      <c r="U1636" s="116"/>
      <c r="V1636" s="104" t="s">
        <v>5588</v>
      </c>
      <c r="W1636" s="116"/>
    </row>
    <row r="1637">
      <c r="A1637" s="114" t="s">
        <v>39</v>
      </c>
      <c r="B1637" s="115"/>
      <c r="C1637" s="116"/>
      <c r="D1637" s="116"/>
      <c r="E1637" s="116" t="str">
        <f>IFERROR(__xludf.DUMMYFUNCTION("""COMPUTED_VALUE"""),"")</f>
        <v/>
      </c>
      <c r="F1637" s="117" t="s">
        <v>39</v>
      </c>
      <c r="G1637" s="116"/>
      <c r="H1637" s="117"/>
      <c r="I1637" s="117"/>
      <c r="J1637" s="117"/>
      <c r="K1637" s="117"/>
      <c r="L1637" s="116"/>
      <c r="M1637" s="117"/>
      <c r="N1637" s="118" t="str">
        <f>IFERROR(__xludf.DUMMYFUNCTION("""COMPUTED_VALUE"""),"")</f>
        <v/>
      </c>
      <c r="O1637" s="116"/>
      <c r="P1637" s="116"/>
      <c r="Q1637" s="116"/>
      <c r="R1637" s="116" t="s">
        <v>39</v>
      </c>
      <c r="S1637" s="116" t="s">
        <v>39</v>
      </c>
      <c r="T1637" s="104" t="s">
        <v>5589</v>
      </c>
      <c r="U1637" s="116"/>
      <c r="V1637" s="104" t="s">
        <v>5589</v>
      </c>
      <c r="W1637" s="116"/>
    </row>
    <row r="1638">
      <c r="A1638" s="114" t="s">
        <v>39</v>
      </c>
      <c r="B1638" s="115"/>
      <c r="C1638" s="116"/>
      <c r="D1638" s="116"/>
      <c r="E1638" s="116" t="str">
        <f>IFERROR(__xludf.DUMMYFUNCTION("""COMPUTED_VALUE"""),"")</f>
        <v/>
      </c>
      <c r="F1638" s="117" t="s">
        <v>39</v>
      </c>
      <c r="G1638" s="116"/>
      <c r="H1638" s="117"/>
      <c r="I1638" s="117"/>
      <c r="J1638" s="117"/>
      <c r="K1638" s="117"/>
      <c r="L1638" s="116"/>
      <c r="M1638" s="117"/>
      <c r="N1638" s="118" t="str">
        <f>IFERROR(__xludf.DUMMYFUNCTION("""COMPUTED_VALUE"""),"")</f>
        <v/>
      </c>
      <c r="O1638" s="116"/>
      <c r="P1638" s="116"/>
      <c r="Q1638" s="116"/>
      <c r="R1638" s="116" t="s">
        <v>39</v>
      </c>
      <c r="S1638" s="116" t="s">
        <v>39</v>
      </c>
      <c r="T1638" s="104" t="s">
        <v>5590</v>
      </c>
      <c r="U1638" s="116"/>
      <c r="V1638" s="104" t="s">
        <v>5590</v>
      </c>
      <c r="W1638" s="116"/>
    </row>
    <row r="1639">
      <c r="A1639" s="114" t="s">
        <v>39</v>
      </c>
      <c r="B1639" s="115"/>
      <c r="C1639" s="116"/>
      <c r="D1639" s="116"/>
      <c r="E1639" s="116" t="str">
        <f>IFERROR(__xludf.DUMMYFUNCTION("""COMPUTED_VALUE"""),"")</f>
        <v/>
      </c>
      <c r="F1639" s="117" t="s">
        <v>39</v>
      </c>
      <c r="G1639" s="116"/>
      <c r="H1639" s="117"/>
      <c r="I1639" s="117"/>
      <c r="J1639" s="117"/>
      <c r="K1639" s="117"/>
      <c r="L1639" s="116"/>
      <c r="M1639" s="117"/>
      <c r="N1639" s="118" t="str">
        <f>IFERROR(__xludf.DUMMYFUNCTION("""COMPUTED_VALUE"""),"")</f>
        <v/>
      </c>
      <c r="O1639" s="116"/>
      <c r="P1639" s="116"/>
      <c r="Q1639" s="116"/>
      <c r="R1639" s="116" t="s">
        <v>39</v>
      </c>
      <c r="S1639" s="116" t="s">
        <v>39</v>
      </c>
      <c r="T1639" s="104" t="s">
        <v>5591</v>
      </c>
      <c r="U1639" s="116"/>
      <c r="V1639" s="104" t="s">
        <v>5591</v>
      </c>
      <c r="W1639" s="116"/>
    </row>
    <row r="1640">
      <c r="A1640" s="114" t="s">
        <v>39</v>
      </c>
      <c r="B1640" s="115"/>
      <c r="C1640" s="116"/>
      <c r="D1640" s="116"/>
      <c r="E1640" s="116" t="str">
        <f>IFERROR(__xludf.DUMMYFUNCTION("""COMPUTED_VALUE"""),"")</f>
        <v/>
      </c>
      <c r="F1640" s="117" t="s">
        <v>39</v>
      </c>
      <c r="G1640" s="116"/>
      <c r="H1640" s="117"/>
      <c r="I1640" s="117"/>
      <c r="J1640" s="117"/>
      <c r="K1640" s="117"/>
      <c r="L1640" s="116"/>
      <c r="M1640" s="117"/>
      <c r="N1640" s="118" t="str">
        <f>IFERROR(__xludf.DUMMYFUNCTION("""COMPUTED_VALUE"""),"")</f>
        <v/>
      </c>
      <c r="O1640" s="116"/>
      <c r="P1640" s="116"/>
      <c r="Q1640" s="116"/>
      <c r="R1640" s="116" t="s">
        <v>39</v>
      </c>
      <c r="S1640" s="116" t="s">
        <v>39</v>
      </c>
      <c r="T1640" s="104" t="s">
        <v>5592</v>
      </c>
      <c r="U1640" s="116"/>
      <c r="V1640" s="104" t="s">
        <v>5592</v>
      </c>
      <c r="W1640" s="116"/>
    </row>
    <row r="1641">
      <c r="A1641" s="114" t="s">
        <v>39</v>
      </c>
      <c r="B1641" s="115"/>
      <c r="C1641" s="116"/>
      <c r="D1641" s="116"/>
      <c r="E1641" s="116" t="str">
        <f>IFERROR(__xludf.DUMMYFUNCTION("""COMPUTED_VALUE"""),"")</f>
        <v/>
      </c>
      <c r="F1641" s="117" t="s">
        <v>39</v>
      </c>
      <c r="G1641" s="116"/>
      <c r="H1641" s="117"/>
      <c r="I1641" s="117"/>
      <c r="J1641" s="117"/>
      <c r="K1641" s="117"/>
      <c r="L1641" s="116"/>
      <c r="M1641" s="117"/>
      <c r="N1641" s="118" t="str">
        <f>IFERROR(__xludf.DUMMYFUNCTION("""COMPUTED_VALUE"""),"")</f>
        <v/>
      </c>
      <c r="O1641" s="116"/>
      <c r="P1641" s="116"/>
      <c r="Q1641" s="116"/>
      <c r="R1641" s="116" t="s">
        <v>39</v>
      </c>
      <c r="S1641" s="116" t="s">
        <v>39</v>
      </c>
      <c r="T1641" s="104" t="s">
        <v>5593</v>
      </c>
      <c r="U1641" s="116"/>
      <c r="V1641" s="104" t="s">
        <v>5593</v>
      </c>
      <c r="W1641" s="116"/>
    </row>
    <row r="1642">
      <c r="A1642" s="114" t="s">
        <v>39</v>
      </c>
      <c r="B1642" s="115"/>
      <c r="C1642" s="116"/>
      <c r="D1642" s="116"/>
      <c r="E1642" s="116" t="str">
        <f>IFERROR(__xludf.DUMMYFUNCTION("""COMPUTED_VALUE"""),"")</f>
        <v/>
      </c>
      <c r="F1642" s="117" t="s">
        <v>39</v>
      </c>
      <c r="G1642" s="116"/>
      <c r="H1642" s="117"/>
      <c r="I1642" s="117"/>
      <c r="J1642" s="117"/>
      <c r="K1642" s="117"/>
      <c r="L1642" s="116"/>
      <c r="M1642" s="117"/>
      <c r="N1642" s="118" t="str">
        <f>IFERROR(__xludf.DUMMYFUNCTION("""COMPUTED_VALUE"""),"")</f>
        <v/>
      </c>
      <c r="O1642" s="116"/>
      <c r="P1642" s="116"/>
      <c r="Q1642" s="116"/>
      <c r="R1642" s="116" t="s">
        <v>39</v>
      </c>
      <c r="S1642" s="116" t="s">
        <v>39</v>
      </c>
      <c r="T1642" s="104" t="s">
        <v>5594</v>
      </c>
      <c r="U1642" s="116"/>
      <c r="V1642" s="104" t="s">
        <v>5594</v>
      </c>
      <c r="W1642" s="116"/>
    </row>
    <row r="1643">
      <c r="A1643" s="114" t="s">
        <v>39</v>
      </c>
      <c r="B1643" s="115"/>
      <c r="C1643" s="116"/>
      <c r="D1643" s="116"/>
      <c r="E1643" s="116" t="str">
        <f>IFERROR(__xludf.DUMMYFUNCTION("""COMPUTED_VALUE"""),"")</f>
        <v/>
      </c>
      <c r="F1643" s="117" t="s">
        <v>39</v>
      </c>
      <c r="G1643" s="116"/>
      <c r="H1643" s="117"/>
      <c r="I1643" s="117"/>
      <c r="J1643" s="117"/>
      <c r="K1643" s="117"/>
      <c r="L1643" s="116"/>
      <c r="M1643" s="117"/>
      <c r="N1643" s="118" t="str">
        <f>IFERROR(__xludf.DUMMYFUNCTION("""COMPUTED_VALUE"""),"")</f>
        <v/>
      </c>
      <c r="O1643" s="116"/>
      <c r="P1643" s="116"/>
      <c r="Q1643" s="116"/>
      <c r="R1643" s="116" t="s">
        <v>39</v>
      </c>
      <c r="S1643" s="116" t="s">
        <v>39</v>
      </c>
      <c r="T1643" s="104" t="s">
        <v>5595</v>
      </c>
      <c r="U1643" s="116"/>
      <c r="V1643" s="104" t="s">
        <v>5595</v>
      </c>
      <c r="W1643" s="116"/>
    </row>
    <row r="1644">
      <c r="A1644" s="114" t="s">
        <v>39</v>
      </c>
      <c r="B1644" s="115"/>
      <c r="C1644" s="116"/>
      <c r="D1644" s="116"/>
      <c r="E1644" s="116" t="str">
        <f>IFERROR(__xludf.DUMMYFUNCTION("""COMPUTED_VALUE"""),"")</f>
        <v/>
      </c>
      <c r="F1644" s="117" t="s">
        <v>39</v>
      </c>
      <c r="G1644" s="116"/>
      <c r="H1644" s="117"/>
      <c r="I1644" s="117"/>
      <c r="J1644" s="117"/>
      <c r="K1644" s="117"/>
      <c r="L1644" s="116"/>
      <c r="M1644" s="117"/>
      <c r="N1644" s="118" t="str">
        <f>IFERROR(__xludf.DUMMYFUNCTION("""COMPUTED_VALUE"""),"")</f>
        <v/>
      </c>
      <c r="O1644" s="116"/>
      <c r="P1644" s="116"/>
      <c r="Q1644" s="116"/>
      <c r="R1644" s="116" t="s">
        <v>39</v>
      </c>
      <c r="S1644" s="116" t="s">
        <v>39</v>
      </c>
      <c r="T1644" s="104" t="s">
        <v>5596</v>
      </c>
      <c r="U1644" s="116"/>
      <c r="V1644" s="104" t="s">
        <v>5596</v>
      </c>
      <c r="W1644" s="116"/>
    </row>
    <row r="1645">
      <c r="A1645" s="114" t="s">
        <v>39</v>
      </c>
      <c r="B1645" s="115"/>
      <c r="C1645" s="116"/>
      <c r="D1645" s="116"/>
      <c r="E1645" s="116" t="str">
        <f>IFERROR(__xludf.DUMMYFUNCTION("""COMPUTED_VALUE"""),"")</f>
        <v/>
      </c>
      <c r="F1645" s="117" t="s">
        <v>39</v>
      </c>
      <c r="G1645" s="116"/>
      <c r="H1645" s="117"/>
      <c r="I1645" s="117"/>
      <c r="J1645" s="117"/>
      <c r="K1645" s="117"/>
      <c r="L1645" s="116"/>
      <c r="M1645" s="117"/>
      <c r="N1645" s="118" t="str">
        <f>IFERROR(__xludf.DUMMYFUNCTION("""COMPUTED_VALUE"""),"")</f>
        <v/>
      </c>
      <c r="O1645" s="116"/>
      <c r="P1645" s="116"/>
      <c r="Q1645" s="116"/>
      <c r="R1645" s="116" t="s">
        <v>39</v>
      </c>
      <c r="S1645" s="116" t="s">
        <v>39</v>
      </c>
      <c r="T1645" s="104" t="s">
        <v>5597</v>
      </c>
      <c r="U1645" s="116"/>
      <c r="V1645" s="104" t="s">
        <v>5597</v>
      </c>
      <c r="W1645" s="116"/>
    </row>
    <row r="1646">
      <c r="A1646" s="114" t="s">
        <v>39</v>
      </c>
      <c r="B1646" s="115"/>
      <c r="C1646" s="116"/>
      <c r="D1646" s="116"/>
      <c r="E1646" s="116" t="str">
        <f>IFERROR(__xludf.DUMMYFUNCTION("""COMPUTED_VALUE"""),"")</f>
        <v/>
      </c>
      <c r="F1646" s="117" t="s">
        <v>39</v>
      </c>
      <c r="G1646" s="116"/>
      <c r="H1646" s="117"/>
      <c r="I1646" s="117"/>
      <c r="J1646" s="117"/>
      <c r="K1646" s="117"/>
      <c r="L1646" s="116"/>
      <c r="M1646" s="117"/>
      <c r="N1646" s="118" t="str">
        <f>IFERROR(__xludf.DUMMYFUNCTION("""COMPUTED_VALUE"""),"")</f>
        <v/>
      </c>
      <c r="O1646" s="116"/>
      <c r="P1646" s="116"/>
      <c r="Q1646" s="116"/>
      <c r="R1646" s="116" t="s">
        <v>39</v>
      </c>
      <c r="S1646" s="116" t="s">
        <v>39</v>
      </c>
      <c r="T1646" s="104" t="s">
        <v>5598</v>
      </c>
      <c r="U1646" s="116"/>
      <c r="V1646" s="104" t="s">
        <v>5598</v>
      </c>
      <c r="W1646" s="116"/>
    </row>
    <row r="1647">
      <c r="A1647" s="114" t="s">
        <v>39</v>
      </c>
      <c r="B1647" s="115"/>
      <c r="C1647" s="116"/>
      <c r="D1647" s="116"/>
      <c r="E1647" s="116" t="str">
        <f>IFERROR(__xludf.DUMMYFUNCTION("""COMPUTED_VALUE"""),"")</f>
        <v/>
      </c>
      <c r="F1647" s="117" t="s">
        <v>39</v>
      </c>
      <c r="G1647" s="116"/>
      <c r="H1647" s="117"/>
      <c r="I1647" s="117"/>
      <c r="J1647" s="117"/>
      <c r="K1647" s="117"/>
      <c r="L1647" s="116"/>
      <c r="M1647" s="117"/>
      <c r="N1647" s="118" t="str">
        <f>IFERROR(__xludf.DUMMYFUNCTION("""COMPUTED_VALUE"""),"")</f>
        <v/>
      </c>
      <c r="O1647" s="116"/>
      <c r="P1647" s="116"/>
      <c r="Q1647" s="116"/>
      <c r="R1647" s="116" t="s">
        <v>39</v>
      </c>
      <c r="S1647" s="116" t="s">
        <v>39</v>
      </c>
      <c r="T1647" s="104" t="s">
        <v>5599</v>
      </c>
      <c r="U1647" s="116"/>
      <c r="V1647" s="104" t="s">
        <v>5599</v>
      </c>
      <c r="W1647" s="116"/>
    </row>
    <row r="1648">
      <c r="A1648" s="114" t="s">
        <v>39</v>
      </c>
      <c r="B1648" s="115"/>
      <c r="C1648" s="116"/>
      <c r="D1648" s="116"/>
      <c r="E1648" s="116" t="str">
        <f>IFERROR(__xludf.DUMMYFUNCTION("""COMPUTED_VALUE"""),"")</f>
        <v/>
      </c>
      <c r="F1648" s="117" t="s">
        <v>39</v>
      </c>
      <c r="G1648" s="116"/>
      <c r="H1648" s="117"/>
      <c r="I1648" s="117"/>
      <c r="J1648" s="117"/>
      <c r="K1648" s="117"/>
      <c r="L1648" s="116"/>
      <c r="M1648" s="117"/>
      <c r="N1648" s="118" t="str">
        <f>IFERROR(__xludf.DUMMYFUNCTION("""COMPUTED_VALUE"""),"")</f>
        <v/>
      </c>
      <c r="O1648" s="116"/>
      <c r="P1648" s="116"/>
      <c r="Q1648" s="116"/>
      <c r="R1648" s="116" t="s">
        <v>39</v>
      </c>
      <c r="S1648" s="116" t="s">
        <v>39</v>
      </c>
      <c r="T1648" s="104" t="s">
        <v>5600</v>
      </c>
      <c r="U1648" s="116"/>
      <c r="V1648" s="104" t="s">
        <v>5600</v>
      </c>
      <c r="W1648" s="116"/>
    </row>
    <row r="1649">
      <c r="A1649" s="114" t="s">
        <v>39</v>
      </c>
      <c r="B1649" s="115"/>
      <c r="C1649" s="116"/>
      <c r="D1649" s="116"/>
      <c r="E1649" s="116" t="str">
        <f>IFERROR(__xludf.DUMMYFUNCTION("""COMPUTED_VALUE"""),"")</f>
        <v/>
      </c>
      <c r="F1649" s="117" t="s">
        <v>39</v>
      </c>
      <c r="G1649" s="116"/>
      <c r="H1649" s="117"/>
      <c r="I1649" s="117"/>
      <c r="J1649" s="117"/>
      <c r="K1649" s="117"/>
      <c r="L1649" s="116"/>
      <c r="M1649" s="117"/>
      <c r="N1649" s="118" t="str">
        <f>IFERROR(__xludf.DUMMYFUNCTION("""COMPUTED_VALUE"""),"")</f>
        <v/>
      </c>
      <c r="O1649" s="116"/>
      <c r="P1649" s="116"/>
      <c r="Q1649" s="116"/>
      <c r="R1649" s="116" t="s">
        <v>39</v>
      </c>
      <c r="S1649" s="116" t="s">
        <v>39</v>
      </c>
      <c r="T1649" s="104" t="s">
        <v>5601</v>
      </c>
      <c r="U1649" s="116"/>
      <c r="V1649" s="104" t="s">
        <v>5601</v>
      </c>
      <c r="W1649" s="116"/>
    </row>
    <row r="1650">
      <c r="A1650" s="114" t="s">
        <v>39</v>
      </c>
      <c r="B1650" s="115"/>
      <c r="C1650" s="116"/>
      <c r="D1650" s="116"/>
      <c r="E1650" s="116" t="str">
        <f>IFERROR(__xludf.DUMMYFUNCTION("""COMPUTED_VALUE"""),"")</f>
        <v/>
      </c>
      <c r="F1650" s="117" t="s">
        <v>39</v>
      </c>
      <c r="G1650" s="116"/>
      <c r="H1650" s="117"/>
      <c r="I1650" s="117"/>
      <c r="J1650" s="117"/>
      <c r="K1650" s="117"/>
      <c r="L1650" s="116"/>
      <c r="M1650" s="117"/>
      <c r="N1650" s="118" t="str">
        <f>IFERROR(__xludf.DUMMYFUNCTION("""COMPUTED_VALUE"""),"")</f>
        <v/>
      </c>
      <c r="O1650" s="116"/>
      <c r="P1650" s="116"/>
      <c r="Q1650" s="116"/>
      <c r="R1650" s="116" t="s">
        <v>39</v>
      </c>
      <c r="S1650" s="116" t="s">
        <v>39</v>
      </c>
      <c r="T1650" s="104" t="s">
        <v>5602</v>
      </c>
      <c r="U1650" s="116"/>
      <c r="V1650" s="104" t="s">
        <v>5602</v>
      </c>
      <c r="W1650" s="116"/>
    </row>
    <row r="1651">
      <c r="A1651" s="114" t="s">
        <v>39</v>
      </c>
      <c r="B1651" s="115"/>
      <c r="C1651" s="116"/>
      <c r="D1651" s="116"/>
      <c r="E1651" s="116" t="str">
        <f>IFERROR(__xludf.DUMMYFUNCTION("""COMPUTED_VALUE"""),"")</f>
        <v/>
      </c>
      <c r="F1651" s="117" t="s">
        <v>39</v>
      </c>
      <c r="G1651" s="116"/>
      <c r="H1651" s="117"/>
      <c r="I1651" s="117"/>
      <c r="J1651" s="117"/>
      <c r="K1651" s="117"/>
      <c r="L1651" s="116"/>
      <c r="M1651" s="117"/>
      <c r="N1651" s="118" t="str">
        <f>IFERROR(__xludf.DUMMYFUNCTION("""COMPUTED_VALUE"""),"")</f>
        <v/>
      </c>
      <c r="O1651" s="116"/>
      <c r="P1651" s="116"/>
      <c r="Q1651" s="116"/>
      <c r="R1651" s="116" t="s">
        <v>39</v>
      </c>
      <c r="S1651" s="116" t="s">
        <v>39</v>
      </c>
      <c r="T1651" s="104" t="s">
        <v>5603</v>
      </c>
      <c r="U1651" s="116"/>
      <c r="V1651" s="104" t="s">
        <v>5603</v>
      </c>
      <c r="W1651" s="116"/>
    </row>
    <row r="1652">
      <c r="A1652" s="114" t="s">
        <v>39</v>
      </c>
      <c r="B1652" s="115"/>
      <c r="C1652" s="116"/>
      <c r="D1652" s="116"/>
      <c r="E1652" s="116" t="str">
        <f>IFERROR(__xludf.DUMMYFUNCTION("""COMPUTED_VALUE"""),"")</f>
        <v/>
      </c>
      <c r="F1652" s="117" t="s">
        <v>39</v>
      </c>
      <c r="G1652" s="116"/>
      <c r="H1652" s="117"/>
      <c r="I1652" s="117"/>
      <c r="J1652" s="117"/>
      <c r="K1652" s="117"/>
      <c r="L1652" s="116"/>
      <c r="M1652" s="117"/>
      <c r="N1652" s="118" t="str">
        <f>IFERROR(__xludf.DUMMYFUNCTION("""COMPUTED_VALUE"""),"")</f>
        <v/>
      </c>
      <c r="O1652" s="116"/>
      <c r="P1652" s="116"/>
      <c r="Q1652" s="116"/>
      <c r="R1652" s="116" t="s">
        <v>39</v>
      </c>
      <c r="S1652" s="116" t="s">
        <v>39</v>
      </c>
      <c r="T1652" s="104" t="s">
        <v>5604</v>
      </c>
      <c r="U1652" s="116"/>
      <c r="V1652" s="104" t="s">
        <v>5604</v>
      </c>
      <c r="W1652" s="116"/>
    </row>
    <row r="1653">
      <c r="A1653" s="114" t="s">
        <v>39</v>
      </c>
      <c r="B1653" s="115"/>
      <c r="C1653" s="116"/>
      <c r="D1653" s="116"/>
      <c r="E1653" s="116" t="str">
        <f>IFERROR(__xludf.DUMMYFUNCTION("""COMPUTED_VALUE"""),"")</f>
        <v/>
      </c>
      <c r="F1653" s="117" t="s">
        <v>39</v>
      </c>
      <c r="G1653" s="116"/>
      <c r="H1653" s="117"/>
      <c r="I1653" s="117"/>
      <c r="J1653" s="117"/>
      <c r="K1653" s="117"/>
      <c r="L1653" s="116"/>
      <c r="M1653" s="117"/>
      <c r="N1653" s="118" t="str">
        <f>IFERROR(__xludf.DUMMYFUNCTION("""COMPUTED_VALUE"""),"")</f>
        <v/>
      </c>
      <c r="O1653" s="116"/>
      <c r="P1653" s="116"/>
      <c r="Q1653" s="116"/>
      <c r="R1653" s="116" t="s">
        <v>39</v>
      </c>
      <c r="S1653" s="116" t="s">
        <v>39</v>
      </c>
      <c r="T1653" s="104" t="s">
        <v>5605</v>
      </c>
      <c r="U1653" s="116"/>
      <c r="V1653" s="104" t="s">
        <v>5605</v>
      </c>
      <c r="W1653" s="116"/>
    </row>
    <row r="1654">
      <c r="A1654" s="114" t="s">
        <v>39</v>
      </c>
      <c r="B1654" s="115"/>
      <c r="C1654" s="116"/>
      <c r="D1654" s="116"/>
      <c r="E1654" s="116" t="str">
        <f>IFERROR(__xludf.DUMMYFUNCTION("""COMPUTED_VALUE"""),"")</f>
        <v/>
      </c>
      <c r="F1654" s="117" t="s">
        <v>39</v>
      </c>
      <c r="G1654" s="116"/>
      <c r="H1654" s="117"/>
      <c r="I1654" s="117"/>
      <c r="J1654" s="117"/>
      <c r="K1654" s="117"/>
      <c r="L1654" s="116"/>
      <c r="M1654" s="117"/>
      <c r="N1654" s="118" t="str">
        <f>IFERROR(__xludf.DUMMYFUNCTION("""COMPUTED_VALUE"""),"")</f>
        <v/>
      </c>
      <c r="O1654" s="116"/>
      <c r="P1654" s="116"/>
      <c r="Q1654" s="116"/>
      <c r="R1654" s="116" t="s">
        <v>39</v>
      </c>
      <c r="S1654" s="116" t="s">
        <v>39</v>
      </c>
      <c r="T1654" s="104" t="s">
        <v>5606</v>
      </c>
      <c r="U1654" s="116"/>
      <c r="V1654" s="104" t="s">
        <v>5606</v>
      </c>
      <c r="W1654" s="116"/>
    </row>
    <row r="1655">
      <c r="A1655" s="114" t="s">
        <v>39</v>
      </c>
      <c r="B1655" s="115"/>
      <c r="C1655" s="116"/>
      <c r="D1655" s="116"/>
      <c r="E1655" s="116" t="str">
        <f>IFERROR(__xludf.DUMMYFUNCTION("""COMPUTED_VALUE"""),"")</f>
        <v/>
      </c>
      <c r="F1655" s="117" t="s">
        <v>39</v>
      </c>
      <c r="G1655" s="116"/>
      <c r="H1655" s="117"/>
      <c r="I1655" s="117"/>
      <c r="J1655" s="117"/>
      <c r="K1655" s="117"/>
      <c r="L1655" s="116"/>
      <c r="M1655" s="117"/>
      <c r="N1655" s="118" t="str">
        <f>IFERROR(__xludf.DUMMYFUNCTION("""COMPUTED_VALUE"""),"")</f>
        <v/>
      </c>
      <c r="O1655" s="116"/>
      <c r="P1655" s="116"/>
      <c r="Q1655" s="116"/>
      <c r="R1655" s="116" t="s">
        <v>39</v>
      </c>
      <c r="S1655" s="116" t="s">
        <v>39</v>
      </c>
      <c r="T1655" s="104" t="s">
        <v>5607</v>
      </c>
      <c r="U1655" s="116"/>
      <c r="V1655" s="104" t="s">
        <v>5607</v>
      </c>
      <c r="W1655" s="116"/>
    </row>
    <row r="1656">
      <c r="A1656" s="114" t="s">
        <v>39</v>
      </c>
      <c r="B1656" s="115"/>
      <c r="C1656" s="116"/>
      <c r="D1656" s="116"/>
      <c r="E1656" s="116" t="str">
        <f>IFERROR(__xludf.DUMMYFUNCTION("""COMPUTED_VALUE"""),"")</f>
        <v/>
      </c>
      <c r="F1656" s="117" t="s">
        <v>39</v>
      </c>
      <c r="G1656" s="116"/>
      <c r="H1656" s="117"/>
      <c r="I1656" s="117"/>
      <c r="J1656" s="117"/>
      <c r="K1656" s="117"/>
      <c r="L1656" s="116"/>
      <c r="M1656" s="117"/>
      <c r="N1656" s="118" t="str">
        <f>IFERROR(__xludf.DUMMYFUNCTION("""COMPUTED_VALUE"""),"")</f>
        <v/>
      </c>
      <c r="O1656" s="116"/>
      <c r="P1656" s="116"/>
      <c r="Q1656" s="116"/>
      <c r="R1656" s="116" t="s">
        <v>39</v>
      </c>
      <c r="S1656" s="116" t="s">
        <v>39</v>
      </c>
      <c r="T1656" s="104" t="s">
        <v>5608</v>
      </c>
      <c r="U1656" s="116"/>
      <c r="V1656" s="104" t="s">
        <v>5608</v>
      </c>
      <c r="W1656" s="116"/>
    </row>
    <row r="1657">
      <c r="A1657" s="114" t="s">
        <v>39</v>
      </c>
      <c r="B1657" s="115"/>
      <c r="C1657" s="116"/>
      <c r="D1657" s="116"/>
      <c r="E1657" s="116" t="str">
        <f>IFERROR(__xludf.DUMMYFUNCTION("""COMPUTED_VALUE"""),"")</f>
        <v/>
      </c>
      <c r="F1657" s="117" t="s">
        <v>39</v>
      </c>
      <c r="G1657" s="116"/>
      <c r="H1657" s="117"/>
      <c r="I1657" s="117"/>
      <c r="J1657" s="117"/>
      <c r="K1657" s="117"/>
      <c r="L1657" s="116"/>
      <c r="M1657" s="117"/>
      <c r="N1657" s="118" t="str">
        <f>IFERROR(__xludf.DUMMYFUNCTION("""COMPUTED_VALUE"""),"")</f>
        <v/>
      </c>
      <c r="O1657" s="116"/>
      <c r="P1657" s="116"/>
      <c r="Q1657" s="116"/>
      <c r="R1657" s="116" t="s">
        <v>39</v>
      </c>
      <c r="S1657" s="116" t="s">
        <v>39</v>
      </c>
      <c r="T1657" s="104" t="s">
        <v>5609</v>
      </c>
      <c r="U1657" s="116"/>
      <c r="V1657" s="104" t="s">
        <v>5609</v>
      </c>
      <c r="W1657" s="116"/>
    </row>
    <row r="1658">
      <c r="A1658" s="114" t="s">
        <v>39</v>
      </c>
      <c r="B1658" s="115"/>
      <c r="C1658" s="116"/>
      <c r="D1658" s="116"/>
      <c r="E1658" s="116" t="str">
        <f>IFERROR(__xludf.DUMMYFUNCTION("""COMPUTED_VALUE"""),"")</f>
        <v/>
      </c>
      <c r="F1658" s="117" t="s">
        <v>39</v>
      </c>
      <c r="G1658" s="116"/>
      <c r="H1658" s="117"/>
      <c r="I1658" s="117"/>
      <c r="J1658" s="117"/>
      <c r="K1658" s="117"/>
      <c r="L1658" s="116"/>
      <c r="M1658" s="117"/>
      <c r="N1658" s="118" t="str">
        <f>IFERROR(__xludf.DUMMYFUNCTION("""COMPUTED_VALUE"""),"")</f>
        <v/>
      </c>
      <c r="O1658" s="116"/>
      <c r="P1658" s="116"/>
      <c r="Q1658" s="116"/>
      <c r="R1658" s="116" t="s">
        <v>39</v>
      </c>
      <c r="S1658" s="116" t="s">
        <v>39</v>
      </c>
      <c r="T1658" s="104" t="s">
        <v>5610</v>
      </c>
      <c r="U1658" s="116"/>
      <c r="V1658" s="104" t="s">
        <v>5610</v>
      </c>
      <c r="W1658" s="116"/>
    </row>
    <row r="1659">
      <c r="A1659" s="114" t="s">
        <v>39</v>
      </c>
      <c r="B1659" s="115"/>
      <c r="C1659" s="116"/>
      <c r="D1659" s="116"/>
      <c r="E1659" s="116" t="str">
        <f>IFERROR(__xludf.DUMMYFUNCTION("""COMPUTED_VALUE"""),"")</f>
        <v/>
      </c>
      <c r="F1659" s="117" t="s">
        <v>39</v>
      </c>
      <c r="G1659" s="116"/>
      <c r="H1659" s="117"/>
      <c r="I1659" s="117"/>
      <c r="J1659" s="117"/>
      <c r="K1659" s="117"/>
      <c r="L1659" s="116"/>
      <c r="M1659" s="117"/>
      <c r="N1659" s="118" t="str">
        <f>IFERROR(__xludf.DUMMYFUNCTION("""COMPUTED_VALUE"""),"")</f>
        <v/>
      </c>
      <c r="O1659" s="116"/>
      <c r="P1659" s="116"/>
      <c r="Q1659" s="116"/>
      <c r="R1659" s="116" t="s">
        <v>39</v>
      </c>
      <c r="S1659" s="116" t="s">
        <v>39</v>
      </c>
      <c r="T1659" s="104" t="s">
        <v>5611</v>
      </c>
      <c r="U1659" s="116"/>
      <c r="V1659" s="104" t="s">
        <v>5611</v>
      </c>
      <c r="W1659" s="116"/>
    </row>
    <row r="1660">
      <c r="A1660" s="114" t="s">
        <v>39</v>
      </c>
      <c r="B1660" s="115"/>
      <c r="C1660" s="116"/>
      <c r="D1660" s="116"/>
      <c r="E1660" s="116" t="str">
        <f>IFERROR(__xludf.DUMMYFUNCTION("""COMPUTED_VALUE"""),"")</f>
        <v/>
      </c>
      <c r="F1660" s="117" t="s">
        <v>39</v>
      </c>
      <c r="G1660" s="116"/>
      <c r="H1660" s="117"/>
      <c r="I1660" s="117"/>
      <c r="J1660" s="117"/>
      <c r="K1660" s="117"/>
      <c r="L1660" s="116"/>
      <c r="M1660" s="117"/>
      <c r="N1660" s="118" t="str">
        <f>IFERROR(__xludf.DUMMYFUNCTION("""COMPUTED_VALUE"""),"")</f>
        <v/>
      </c>
      <c r="O1660" s="116"/>
      <c r="P1660" s="116"/>
      <c r="Q1660" s="116"/>
      <c r="R1660" s="116" t="s">
        <v>39</v>
      </c>
      <c r="S1660" s="116" t="s">
        <v>39</v>
      </c>
      <c r="T1660" s="104" t="s">
        <v>5612</v>
      </c>
      <c r="U1660" s="116"/>
      <c r="V1660" s="104" t="s">
        <v>5612</v>
      </c>
      <c r="W1660" s="116"/>
    </row>
    <row r="1661">
      <c r="A1661" s="114" t="s">
        <v>39</v>
      </c>
      <c r="B1661" s="115"/>
      <c r="C1661" s="116"/>
      <c r="D1661" s="116"/>
      <c r="E1661" s="116" t="str">
        <f>IFERROR(__xludf.DUMMYFUNCTION("""COMPUTED_VALUE"""),"")</f>
        <v/>
      </c>
      <c r="F1661" s="117" t="s">
        <v>39</v>
      </c>
      <c r="G1661" s="116"/>
      <c r="H1661" s="117"/>
      <c r="I1661" s="117"/>
      <c r="J1661" s="117"/>
      <c r="K1661" s="117"/>
      <c r="L1661" s="116"/>
      <c r="M1661" s="117"/>
      <c r="N1661" s="118" t="str">
        <f>IFERROR(__xludf.DUMMYFUNCTION("""COMPUTED_VALUE"""),"")</f>
        <v/>
      </c>
      <c r="O1661" s="116"/>
      <c r="P1661" s="116"/>
      <c r="Q1661" s="116"/>
      <c r="R1661" s="116" t="s">
        <v>39</v>
      </c>
      <c r="S1661" s="116" t="s">
        <v>39</v>
      </c>
      <c r="T1661" s="104" t="s">
        <v>5613</v>
      </c>
      <c r="U1661" s="116"/>
      <c r="V1661" s="104" t="s">
        <v>5613</v>
      </c>
      <c r="W1661" s="116"/>
    </row>
    <row r="1662">
      <c r="A1662" s="114" t="s">
        <v>39</v>
      </c>
      <c r="B1662" s="115"/>
      <c r="C1662" s="116"/>
      <c r="D1662" s="116"/>
      <c r="E1662" s="116" t="str">
        <f>IFERROR(__xludf.DUMMYFUNCTION("""COMPUTED_VALUE"""),"")</f>
        <v/>
      </c>
      <c r="F1662" s="117" t="s">
        <v>39</v>
      </c>
      <c r="G1662" s="116"/>
      <c r="H1662" s="117"/>
      <c r="I1662" s="117"/>
      <c r="J1662" s="117"/>
      <c r="K1662" s="117"/>
      <c r="L1662" s="116"/>
      <c r="M1662" s="117"/>
      <c r="N1662" s="118" t="str">
        <f>IFERROR(__xludf.DUMMYFUNCTION("""COMPUTED_VALUE"""),"")</f>
        <v/>
      </c>
      <c r="O1662" s="116"/>
      <c r="P1662" s="116"/>
      <c r="Q1662" s="116"/>
      <c r="R1662" s="116" t="s">
        <v>39</v>
      </c>
      <c r="S1662" s="116" t="s">
        <v>39</v>
      </c>
      <c r="T1662" s="104" t="s">
        <v>5614</v>
      </c>
      <c r="U1662" s="116"/>
      <c r="V1662" s="104" t="s">
        <v>5614</v>
      </c>
      <c r="W1662" s="116"/>
    </row>
    <row r="1663">
      <c r="A1663" s="114" t="s">
        <v>39</v>
      </c>
      <c r="B1663" s="115"/>
      <c r="C1663" s="116"/>
      <c r="D1663" s="116"/>
      <c r="E1663" s="116" t="str">
        <f>IFERROR(__xludf.DUMMYFUNCTION("""COMPUTED_VALUE"""),"")</f>
        <v/>
      </c>
      <c r="F1663" s="117" t="s">
        <v>39</v>
      </c>
      <c r="G1663" s="116"/>
      <c r="H1663" s="117"/>
      <c r="I1663" s="117"/>
      <c r="J1663" s="117"/>
      <c r="K1663" s="117"/>
      <c r="L1663" s="116"/>
      <c r="M1663" s="117"/>
      <c r="N1663" s="118" t="str">
        <f>IFERROR(__xludf.DUMMYFUNCTION("""COMPUTED_VALUE"""),"")</f>
        <v/>
      </c>
      <c r="O1663" s="116"/>
      <c r="P1663" s="116"/>
      <c r="Q1663" s="116"/>
      <c r="R1663" s="116" t="s">
        <v>39</v>
      </c>
      <c r="S1663" s="116" t="s">
        <v>39</v>
      </c>
      <c r="T1663" s="104" t="s">
        <v>5615</v>
      </c>
      <c r="U1663" s="116"/>
      <c r="V1663" s="104" t="s">
        <v>5615</v>
      </c>
      <c r="W1663" s="116"/>
    </row>
    <row r="1664">
      <c r="A1664" s="114" t="s">
        <v>39</v>
      </c>
      <c r="B1664" s="115"/>
      <c r="C1664" s="116"/>
      <c r="D1664" s="116"/>
      <c r="E1664" s="116" t="str">
        <f>IFERROR(__xludf.DUMMYFUNCTION("""COMPUTED_VALUE"""),"")</f>
        <v/>
      </c>
      <c r="F1664" s="117" t="s">
        <v>39</v>
      </c>
      <c r="G1664" s="116"/>
      <c r="H1664" s="117"/>
      <c r="I1664" s="117"/>
      <c r="J1664" s="117"/>
      <c r="K1664" s="117"/>
      <c r="L1664" s="116"/>
      <c r="M1664" s="117"/>
      <c r="N1664" s="118" t="str">
        <f>IFERROR(__xludf.DUMMYFUNCTION("""COMPUTED_VALUE"""),"")</f>
        <v/>
      </c>
      <c r="O1664" s="116"/>
      <c r="P1664" s="116"/>
      <c r="Q1664" s="116"/>
      <c r="R1664" s="116" t="s">
        <v>39</v>
      </c>
      <c r="S1664" s="116" t="s">
        <v>39</v>
      </c>
      <c r="T1664" s="104" t="s">
        <v>5616</v>
      </c>
      <c r="U1664" s="116"/>
      <c r="V1664" s="104" t="s">
        <v>5616</v>
      </c>
      <c r="W1664" s="116"/>
    </row>
    <row r="1665">
      <c r="A1665" s="114" t="s">
        <v>39</v>
      </c>
      <c r="B1665" s="115"/>
      <c r="C1665" s="116"/>
      <c r="D1665" s="116"/>
      <c r="E1665" s="116" t="str">
        <f>IFERROR(__xludf.DUMMYFUNCTION("""COMPUTED_VALUE"""),"")</f>
        <v/>
      </c>
      <c r="F1665" s="117" t="s">
        <v>39</v>
      </c>
      <c r="G1665" s="116"/>
      <c r="H1665" s="117"/>
      <c r="I1665" s="117"/>
      <c r="J1665" s="117"/>
      <c r="K1665" s="117"/>
      <c r="L1665" s="116"/>
      <c r="M1665" s="117"/>
      <c r="N1665" s="118" t="str">
        <f>IFERROR(__xludf.DUMMYFUNCTION("""COMPUTED_VALUE"""),"")</f>
        <v/>
      </c>
      <c r="O1665" s="116"/>
      <c r="P1665" s="116"/>
      <c r="Q1665" s="116"/>
      <c r="R1665" s="116" t="s">
        <v>39</v>
      </c>
      <c r="S1665" s="116" t="s">
        <v>39</v>
      </c>
      <c r="T1665" s="104" t="s">
        <v>5617</v>
      </c>
      <c r="U1665" s="116"/>
      <c r="V1665" s="104" t="s">
        <v>5617</v>
      </c>
      <c r="W1665" s="116"/>
    </row>
    <row r="1666">
      <c r="A1666" s="114" t="s">
        <v>39</v>
      </c>
      <c r="B1666" s="115"/>
      <c r="C1666" s="116"/>
      <c r="D1666" s="116"/>
      <c r="E1666" s="116" t="str">
        <f>IFERROR(__xludf.DUMMYFUNCTION("""COMPUTED_VALUE"""),"")</f>
        <v/>
      </c>
      <c r="F1666" s="117" t="s">
        <v>39</v>
      </c>
      <c r="G1666" s="116"/>
      <c r="H1666" s="117"/>
      <c r="I1666" s="117"/>
      <c r="J1666" s="117"/>
      <c r="K1666" s="117"/>
      <c r="L1666" s="116"/>
      <c r="M1666" s="117"/>
      <c r="N1666" s="118" t="str">
        <f>IFERROR(__xludf.DUMMYFUNCTION("""COMPUTED_VALUE"""),"")</f>
        <v/>
      </c>
      <c r="O1666" s="116"/>
      <c r="P1666" s="116"/>
      <c r="Q1666" s="116"/>
      <c r="R1666" s="116" t="s">
        <v>39</v>
      </c>
      <c r="S1666" s="116" t="s">
        <v>39</v>
      </c>
      <c r="T1666" s="104" t="s">
        <v>5618</v>
      </c>
      <c r="U1666" s="116"/>
      <c r="V1666" s="104" t="s">
        <v>5618</v>
      </c>
      <c r="W1666" s="116"/>
    </row>
    <row r="1667">
      <c r="A1667" s="114" t="s">
        <v>39</v>
      </c>
      <c r="B1667" s="115"/>
      <c r="C1667" s="116"/>
      <c r="D1667" s="116"/>
      <c r="E1667" s="116" t="str">
        <f>IFERROR(__xludf.DUMMYFUNCTION("""COMPUTED_VALUE"""),"")</f>
        <v/>
      </c>
      <c r="F1667" s="117" t="s">
        <v>39</v>
      </c>
      <c r="G1667" s="116"/>
      <c r="H1667" s="117"/>
      <c r="I1667" s="117"/>
      <c r="J1667" s="117"/>
      <c r="K1667" s="117"/>
      <c r="L1667" s="116"/>
      <c r="M1667" s="117"/>
      <c r="N1667" s="118" t="str">
        <f>IFERROR(__xludf.DUMMYFUNCTION("""COMPUTED_VALUE"""),"")</f>
        <v/>
      </c>
      <c r="O1667" s="116"/>
      <c r="P1667" s="116"/>
      <c r="Q1667" s="116"/>
      <c r="R1667" s="116" t="s">
        <v>39</v>
      </c>
      <c r="S1667" s="116" t="s">
        <v>39</v>
      </c>
      <c r="T1667" s="104" t="s">
        <v>5619</v>
      </c>
      <c r="U1667" s="116"/>
      <c r="V1667" s="104" t="s">
        <v>5619</v>
      </c>
      <c r="W1667" s="116"/>
    </row>
    <row r="1668">
      <c r="A1668" s="114" t="s">
        <v>39</v>
      </c>
      <c r="B1668" s="115"/>
      <c r="C1668" s="116"/>
      <c r="D1668" s="116"/>
      <c r="E1668" s="116" t="str">
        <f>IFERROR(__xludf.DUMMYFUNCTION("""COMPUTED_VALUE"""),"")</f>
        <v/>
      </c>
      <c r="F1668" s="117" t="s">
        <v>39</v>
      </c>
      <c r="G1668" s="116"/>
      <c r="H1668" s="117"/>
      <c r="I1668" s="117"/>
      <c r="J1668" s="117"/>
      <c r="K1668" s="117"/>
      <c r="L1668" s="116"/>
      <c r="M1668" s="117"/>
      <c r="N1668" s="118" t="str">
        <f>IFERROR(__xludf.DUMMYFUNCTION("""COMPUTED_VALUE"""),"")</f>
        <v/>
      </c>
      <c r="O1668" s="116"/>
      <c r="P1668" s="116"/>
      <c r="Q1668" s="116"/>
      <c r="R1668" s="116" t="s">
        <v>39</v>
      </c>
      <c r="S1668" s="116" t="s">
        <v>39</v>
      </c>
      <c r="T1668" s="104" t="s">
        <v>5620</v>
      </c>
      <c r="U1668" s="116"/>
      <c r="V1668" s="104" t="s">
        <v>5620</v>
      </c>
      <c r="W1668" s="116"/>
    </row>
    <row r="1669">
      <c r="A1669" s="114" t="s">
        <v>39</v>
      </c>
      <c r="B1669" s="115"/>
      <c r="C1669" s="116"/>
      <c r="D1669" s="116"/>
      <c r="E1669" s="116" t="str">
        <f>IFERROR(__xludf.DUMMYFUNCTION("""COMPUTED_VALUE"""),"")</f>
        <v/>
      </c>
      <c r="F1669" s="117" t="s">
        <v>39</v>
      </c>
      <c r="G1669" s="116"/>
      <c r="H1669" s="117"/>
      <c r="I1669" s="117"/>
      <c r="J1669" s="117"/>
      <c r="K1669" s="117"/>
      <c r="L1669" s="116"/>
      <c r="M1669" s="117"/>
      <c r="N1669" s="118" t="str">
        <f>IFERROR(__xludf.DUMMYFUNCTION("""COMPUTED_VALUE"""),"")</f>
        <v/>
      </c>
      <c r="O1669" s="116"/>
      <c r="P1669" s="116"/>
      <c r="Q1669" s="116"/>
      <c r="R1669" s="116" t="s">
        <v>39</v>
      </c>
      <c r="S1669" s="116" t="s">
        <v>39</v>
      </c>
      <c r="T1669" s="104" t="s">
        <v>5621</v>
      </c>
      <c r="U1669" s="116"/>
      <c r="V1669" s="104" t="s">
        <v>5621</v>
      </c>
      <c r="W1669" s="116"/>
    </row>
    <row r="1670">
      <c r="A1670" s="114" t="s">
        <v>39</v>
      </c>
      <c r="B1670" s="115"/>
      <c r="C1670" s="116"/>
      <c r="D1670" s="116"/>
      <c r="E1670" s="116" t="str">
        <f>IFERROR(__xludf.DUMMYFUNCTION("""COMPUTED_VALUE"""),"")</f>
        <v/>
      </c>
      <c r="F1670" s="117" t="s">
        <v>39</v>
      </c>
      <c r="G1670" s="116"/>
      <c r="H1670" s="117"/>
      <c r="I1670" s="117"/>
      <c r="J1670" s="117"/>
      <c r="K1670" s="117"/>
      <c r="L1670" s="116"/>
      <c r="M1670" s="117"/>
      <c r="N1670" s="118" t="str">
        <f>IFERROR(__xludf.DUMMYFUNCTION("""COMPUTED_VALUE"""),"")</f>
        <v/>
      </c>
      <c r="O1670" s="116"/>
      <c r="P1670" s="116"/>
      <c r="Q1670" s="116"/>
      <c r="R1670" s="116" t="s">
        <v>39</v>
      </c>
      <c r="S1670" s="116" t="s">
        <v>39</v>
      </c>
      <c r="T1670" s="104" t="s">
        <v>5622</v>
      </c>
      <c r="U1670" s="116"/>
      <c r="V1670" s="104" t="s">
        <v>5622</v>
      </c>
      <c r="W1670" s="116"/>
    </row>
    <row r="1671">
      <c r="A1671" s="114" t="s">
        <v>39</v>
      </c>
      <c r="B1671" s="115"/>
      <c r="C1671" s="116"/>
      <c r="D1671" s="116"/>
      <c r="E1671" s="116" t="str">
        <f>IFERROR(__xludf.DUMMYFUNCTION("""COMPUTED_VALUE"""),"")</f>
        <v/>
      </c>
      <c r="F1671" s="117" t="s">
        <v>39</v>
      </c>
      <c r="G1671" s="116"/>
      <c r="H1671" s="117"/>
      <c r="I1671" s="117"/>
      <c r="J1671" s="117"/>
      <c r="K1671" s="117"/>
      <c r="L1671" s="116"/>
      <c r="M1671" s="117"/>
      <c r="N1671" s="118" t="str">
        <f>IFERROR(__xludf.DUMMYFUNCTION("""COMPUTED_VALUE"""),"")</f>
        <v/>
      </c>
      <c r="O1671" s="116"/>
      <c r="P1671" s="116"/>
      <c r="Q1671" s="116"/>
      <c r="R1671" s="116" t="s">
        <v>39</v>
      </c>
      <c r="S1671" s="116" t="s">
        <v>39</v>
      </c>
      <c r="T1671" s="104" t="s">
        <v>5623</v>
      </c>
      <c r="U1671" s="116"/>
      <c r="V1671" s="104" t="s">
        <v>5623</v>
      </c>
      <c r="W1671" s="116"/>
    </row>
    <row r="1672">
      <c r="A1672" s="114" t="s">
        <v>39</v>
      </c>
      <c r="B1672" s="115"/>
      <c r="C1672" s="116"/>
      <c r="D1672" s="116"/>
      <c r="E1672" s="116" t="str">
        <f>IFERROR(__xludf.DUMMYFUNCTION("""COMPUTED_VALUE"""),"")</f>
        <v/>
      </c>
      <c r="F1672" s="117" t="s">
        <v>39</v>
      </c>
      <c r="G1672" s="116"/>
      <c r="H1672" s="117"/>
      <c r="I1672" s="117"/>
      <c r="J1672" s="117"/>
      <c r="K1672" s="117"/>
      <c r="L1672" s="116"/>
      <c r="M1672" s="117"/>
      <c r="N1672" s="118" t="str">
        <f>IFERROR(__xludf.DUMMYFUNCTION("""COMPUTED_VALUE"""),"")</f>
        <v/>
      </c>
      <c r="O1672" s="116"/>
      <c r="P1672" s="116"/>
      <c r="Q1672" s="116"/>
      <c r="R1672" s="116" t="s">
        <v>39</v>
      </c>
      <c r="S1672" s="116" t="s">
        <v>39</v>
      </c>
      <c r="T1672" s="104" t="s">
        <v>5624</v>
      </c>
      <c r="U1672" s="116"/>
      <c r="V1672" s="104" t="s">
        <v>5624</v>
      </c>
      <c r="W1672" s="116"/>
    </row>
    <row r="1673">
      <c r="A1673" s="114" t="s">
        <v>39</v>
      </c>
      <c r="B1673" s="115"/>
      <c r="C1673" s="116"/>
      <c r="D1673" s="116"/>
      <c r="E1673" s="116" t="str">
        <f>IFERROR(__xludf.DUMMYFUNCTION("""COMPUTED_VALUE"""),"")</f>
        <v/>
      </c>
      <c r="F1673" s="117" t="s">
        <v>39</v>
      </c>
      <c r="G1673" s="116"/>
      <c r="H1673" s="117"/>
      <c r="I1673" s="117"/>
      <c r="J1673" s="117"/>
      <c r="K1673" s="117"/>
      <c r="L1673" s="116"/>
      <c r="M1673" s="117"/>
      <c r="N1673" s="118" t="str">
        <f>IFERROR(__xludf.DUMMYFUNCTION("""COMPUTED_VALUE"""),"")</f>
        <v/>
      </c>
      <c r="O1673" s="116"/>
      <c r="P1673" s="116"/>
      <c r="Q1673" s="116"/>
      <c r="R1673" s="116" t="s">
        <v>39</v>
      </c>
      <c r="S1673" s="116" t="s">
        <v>39</v>
      </c>
      <c r="T1673" s="104" t="s">
        <v>5625</v>
      </c>
      <c r="U1673" s="116"/>
      <c r="V1673" s="104" t="s">
        <v>5625</v>
      </c>
      <c r="W1673" s="116"/>
    </row>
    <row r="1674">
      <c r="A1674" s="114" t="s">
        <v>39</v>
      </c>
      <c r="B1674" s="115"/>
      <c r="C1674" s="116"/>
      <c r="D1674" s="116"/>
      <c r="E1674" s="116" t="str">
        <f>IFERROR(__xludf.DUMMYFUNCTION("""COMPUTED_VALUE"""),"")</f>
        <v/>
      </c>
      <c r="F1674" s="117" t="s">
        <v>39</v>
      </c>
      <c r="G1674" s="116"/>
      <c r="H1674" s="117"/>
      <c r="I1674" s="117"/>
      <c r="J1674" s="117"/>
      <c r="K1674" s="117"/>
      <c r="L1674" s="116"/>
      <c r="M1674" s="117"/>
      <c r="N1674" s="118" t="str">
        <f>IFERROR(__xludf.DUMMYFUNCTION("""COMPUTED_VALUE"""),"")</f>
        <v/>
      </c>
      <c r="O1674" s="116"/>
      <c r="P1674" s="116"/>
      <c r="Q1674" s="116"/>
      <c r="R1674" s="116" t="s">
        <v>39</v>
      </c>
      <c r="S1674" s="116" t="s">
        <v>39</v>
      </c>
      <c r="T1674" s="104" t="s">
        <v>5626</v>
      </c>
      <c r="U1674" s="116"/>
      <c r="V1674" s="104" t="s">
        <v>5626</v>
      </c>
      <c r="W1674" s="116"/>
    </row>
    <row r="1675">
      <c r="A1675" s="114" t="s">
        <v>39</v>
      </c>
      <c r="B1675" s="115"/>
      <c r="C1675" s="116"/>
      <c r="D1675" s="116"/>
      <c r="E1675" s="116" t="str">
        <f>IFERROR(__xludf.DUMMYFUNCTION("""COMPUTED_VALUE"""),"")</f>
        <v/>
      </c>
      <c r="F1675" s="117" t="s">
        <v>39</v>
      </c>
      <c r="G1675" s="116"/>
      <c r="H1675" s="117"/>
      <c r="I1675" s="117"/>
      <c r="J1675" s="117"/>
      <c r="K1675" s="117"/>
      <c r="L1675" s="116"/>
      <c r="M1675" s="117"/>
      <c r="N1675" s="118" t="str">
        <f>IFERROR(__xludf.DUMMYFUNCTION("""COMPUTED_VALUE"""),"")</f>
        <v/>
      </c>
      <c r="O1675" s="116"/>
      <c r="P1675" s="116"/>
      <c r="Q1675" s="116"/>
      <c r="R1675" s="116" t="s">
        <v>39</v>
      </c>
      <c r="S1675" s="116" t="s">
        <v>39</v>
      </c>
      <c r="T1675" s="104" t="s">
        <v>5627</v>
      </c>
      <c r="U1675" s="116"/>
      <c r="V1675" s="104" t="s">
        <v>5627</v>
      </c>
      <c r="W1675" s="116"/>
    </row>
    <row r="1676">
      <c r="A1676" s="114" t="s">
        <v>39</v>
      </c>
      <c r="B1676" s="115"/>
      <c r="C1676" s="116"/>
      <c r="D1676" s="116"/>
      <c r="E1676" s="116" t="str">
        <f>IFERROR(__xludf.DUMMYFUNCTION("""COMPUTED_VALUE"""),"")</f>
        <v/>
      </c>
      <c r="F1676" s="117" t="s">
        <v>39</v>
      </c>
      <c r="G1676" s="116"/>
      <c r="H1676" s="117"/>
      <c r="I1676" s="117"/>
      <c r="J1676" s="117"/>
      <c r="K1676" s="117"/>
      <c r="L1676" s="116"/>
      <c r="M1676" s="117"/>
      <c r="N1676" s="118" t="str">
        <f>IFERROR(__xludf.DUMMYFUNCTION("""COMPUTED_VALUE"""),"")</f>
        <v/>
      </c>
      <c r="O1676" s="116"/>
      <c r="P1676" s="116"/>
      <c r="Q1676" s="116"/>
      <c r="R1676" s="116" t="s">
        <v>39</v>
      </c>
      <c r="S1676" s="116" t="s">
        <v>39</v>
      </c>
      <c r="T1676" s="104" t="s">
        <v>5628</v>
      </c>
      <c r="U1676" s="116"/>
      <c r="V1676" s="104" t="s">
        <v>5628</v>
      </c>
      <c r="W1676" s="116"/>
    </row>
    <row r="1677">
      <c r="A1677" s="114" t="s">
        <v>39</v>
      </c>
      <c r="B1677" s="115"/>
      <c r="C1677" s="116"/>
      <c r="D1677" s="116"/>
      <c r="E1677" s="116" t="str">
        <f>IFERROR(__xludf.DUMMYFUNCTION("""COMPUTED_VALUE"""),"")</f>
        <v/>
      </c>
      <c r="F1677" s="117" t="s">
        <v>39</v>
      </c>
      <c r="G1677" s="116"/>
      <c r="H1677" s="117"/>
      <c r="I1677" s="117"/>
      <c r="J1677" s="117"/>
      <c r="K1677" s="117"/>
      <c r="L1677" s="116"/>
      <c r="M1677" s="117"/>
      <c r="N1677" s="118" t="str">
        <f>IFERROR(__xludf.DUMMYFUNCTION("""COMPUTED_VALUE"""),"")</f>
        <v/>
      </c>
      <c r="O1677" s="116"/>
      <c r="P1677" s="116"/>
      <c r="Q1677" s="116"/>
      <c r="R1677" s="116" t="s">
        <v>39</v>
      </c>
      <c r="S1677" s="116" t="s">
        <v>39</v>
      </c>
      <c r="T1677" s="104" t="s">
        <v>5629</v>
      </c>
      <c r="U1677" s="116"/>
      <c r="V1677" s="104" t="s">
        <v>5629</v>
      </c>
      <c r="W1677" s="116"/>
    </row>
    <row r="1678">
      <c r="A1678" s="114" t="s">
        <v>39</v>
      </c>
      <c r="B1678" s="115"/>
      <c r="C1678" s="116"/>
      <c r="D1678" s="116"/>
      <c r="E1678" s="116" t="str">
        <f>IFERROR(__xludf.DUMMYFUNCTION("""COMPUTED_VALUE"""),"")</f>
        <v/>
      </c>
      <c r="F1678" s="117" t="s">
        <v>39</v>
      </c>
      <c r="G1678" s="116"/>
      <c r="H1678" s="117"/>
      <c r="I1678" s="117"/>
      <c r="J1678" s="117"/>
      <c r="K1678" s="117"/>
      <c r="L1678" s="116"/>
      <c r="M1678" s="117"/>
      <c r="N1678" s="118" t="str">
        <f>IFERROR(__xludf.DUMMYFUNCTION("""COMPUTED_VALUE"""),"")</f>
        <v/>
      </c>
      <c r="O1678" s="116"/>
      <c r="P1678" s="116"/>
      <c r="Q1678" s="116"/>
      <c r="R1678" s="116" t="s">
        <v>39</v>
      </c>
      <c r="S1678" s="116" t="s">
        <v>39</v>
      </c>
      <c r="T1678" s="104" t="s">
        <v>5630</v>
      </c>
      <c r="U1678" s="116"/>
      <c r="V1678" s="104" t="s">
        <v>5630</v>
      </c>
      <c r="W1678" s="116"/>
    </row>
    <row r="1679">
      <c r="A1679" s="114" t="s">
        <v>39</v>
      </c>
      <c r="B1679" s="115"/>
      <c r="C1679" s="116"/>
      <c r="D1679" s="116"/>
      <c r="E1679" s="116" t="str">
        <f>IFERROR(__xludf.DUMMYFUNCTION("""COMPUTED_VALUE"""),"")</f>
        <v/>
      </c>
      <c r="F1679" s="117" t="s">
        <v>39</v>
      </c>
      <c r="G1679" s="116"/>
      <c r="H1679" s="117"/>
      <c r="I1679" s="117"/>
      <c r="J1679" s="117"/>
      <c r="K1679" s="117"/>
      <c r="L1679" s="116"/>
      <c r="M1679" s="117"/>
      <c r="N1679" s="118" t="str">
        <f>IFERROR(__xludf.DUMMYFUNCTION("""COMPUTED_VALUE"""),"")</f>
        <v/>
      </c>
      <c r="O1679" s="116"/>
      <c r="P1679" s="116"/>
      <c r="Q1679" s="116"/>
      <c r="R1679" s="116" t="s">
        <v>39</v>
      </c>
      <c r="S1679" s="116" t="s">
        <v>39</v>
      </c>
      <c r="T1679" s="104" t="s">
        <v>5631</v>
      </c>
      <c r="U1679" s="116"/>
      <c r="V1679" s="104" t="s">
        <v>5631</v>
      </c>
      <c r="W1679" s="116"/>
    </row>
    <row r="1680">
      <c r="A1680" s="114" t="s">
        <v>39</v>
      </c>
      <c r="B1680" s="115"/>
      <c r="C1680" s="116"/>
      <c r="D1680" s="116"/>
      <c r="E1680" s="116" t="str">
        <f>IFERROR(__xludf.DUMMYFUNCTION("""COMPUTED_VALUE"""),"")</f>
        <v/>
      </c>
      <c r="F1680" s="117" t="s">
        <v>39</v>
      </c>
      <c r="G1680" s="116"/>
      <c r="H1680" s="117"/>
      <c r="I1680" s="117"/>
      <c r="J1680" s="117"/>
      <c r="K1680" s="117"/>
      <c r="L1680" s="116"/>
      <c r="M1680" s="117"/>
      <c r="N1680" s="118" t="str">
        <f>IFERROR(__xludf.DUMMYFUNCTION("""COMPUTED_VALUE"""),"")</f>
        <v/>
      </c>
      <c r="O1680" s="116"/>
      <c r="P1680" s="116"/>
      <c r="Q1680" s="116"/>
      <c r="R1680" s="116" t="s">
        <v>39</v>
      </c>
      <c r="S1680" s="116" t="s">
        <v>39</v>
      </c>
      <c r="T1680" s="104" t="s">
        <v>5632</v>
      </c>
      <c r="U1680" s="116"/>
      <c r="V1680" s="104" t="s">
        <v>5632</v>
      </c>
      <c r="W1680" s="116"/>
    </row>
    <row r="1681">
      <c r="A1681" s="114" t="s">
        <v>39</v>
      </c>
      <c r="B1681" s="115"/>
      <c r="C1681" s="116"/>
      <c r="D1681" s="116"/>
      <c r="E1681" s="116" t="str">
        <f>IFERROR(__xludf.DUMMYFUNCTION("""COMPUTED_VALUE"""),"")</f>
        <v/>
      </c>
      <c r="F1681" s="117" t="s">
        <v>39</v>
      </c>
      <c r="G1681" s="116"/>
      <c r="H1681" s="117"/>
      <c r="I1681" s="117"/>
      <c r="J1681" s="117"/>
      <c r="K1681" s="117"/>
      <c r="L1681" s="116"/>
      <c r="M1681" s="117"/>
      <c r="N1681" s="118" t="str">
        <f>IFERROR(__xludf.DUMMYFUNCTION("""COMPUTED_VALUE"""),"")</f>
        <v/>
      </c>
      <c r="O1681" s="116"/>
      <c r="P1681" s="116"/>
      <c r="Q1681" s="116"/>
      <c r="R1681" s="116" t="s">
        <v>39</v>
      </c>
      <c r="S1681" s="116" t="s">
        <v>39</v>
      </c>
      <c r="T1681" s="104" t="s">
        <v>5633</v>
      </c>
      <c r="U1681" s="116"/>
      <c r="V1681" s="104" t="s">
        <v>5633</v>
      </c>
      <c r="W1681" s="116"/>
    </row>
    <row r="1682">
      <c r="A1682" s="114" t="s">
        <v>39</v>
      </c>
      <c r="B1682" s="115"/>
      <c r="C1682" s="116"/>
      <c r="D1682" s="116"/>
      <c r="E1682" s="116" t="str">
        <f>IFERROR(__xludf.DUMMYFUNCTION("""COMPUTED_VALUE"""),"")</f>
        <v/>
      </c>
      <c r="F1682" s="117" t="s">
        <v>39</v>
      </c>
      <c r="G1682" s="116"/>
      <c r="H1682" s="117"/>
      <c r="I1682" s="117"/>
      <c r="J1682" s="117"/>
      <c r="K1682" s="117"/>
      <c r="L1682" s="116"/>
      <c r="M1682" s="117"/>
      <c r="N1682" s="118" t="str">
        <f>IFERROR(__xludf.DUMMYFUNCTION("""COMPUTED_VALUE"""),"")</f>
        <v/>
      </c>
      <c r="O1682" s="116"/>
      <c r="P1682" s="116"/>
      <c r="Q1682" s="116"/>
      <c r="R1682" s="116" t="s">
        <v>39</v>
      </c>
      <c r="S1682" s="116" t="s">
        <v>39</v>
      </c>
      <c r="T1682" s="104" t="s">
        <v>5634</v>
      </c>
      <c r="U1682" s="116"/>
      <c r="V1682" s="104" t="s">
        <v>5634</v>
      </c>
      <c r="W1682" s="116"/>
    </row>
    <row r="1683">
      <c r="A1683" s="114" t="s">
        <v>39</v>
      </c>
      <c r="B1683" s="115"/>
      <c r="C1683" s="116"/>
      <c r="D1683" s="116"/>
      <c r="E1683" s="116" t="str">
        <f>IFERROR(__xludf.DUMMYFUNCTION("""COMPUTED_VALUE"""),"")</f>
        <v/>
      </c>
      <c r="F1683" s="117" t="s">
        <v>39</v>
      </c>
      <c r="G1683" s="116"/>
      <c r="H1683" s="117"/>
      <c r="I1683" s="117"/>
      <c r="J1683" s="117"/>
      <c r="K1683" s="117"/>
      <c r="L1683" s="116"/>
      <c r="M1683" s="117"/>
      <c r="N1683" s="118" t="str">
        <f>IFERROR(__xludf.DUMMYFUNCTION("""COMPUTED_VALUE"""),"")</f>
        <v/>
      </c>
      <c r="O1683" s="116"/>
      <c r="P1683" s="116"/>
      <c r="Q1683" s="116"/>
      <c r="R1683" s="116" t="s">
        <v>39</v>
      </c>
      <c r="S1683" s="116" t="s">
        <v>39</v>
      </c>
      <c r="T1683" s="104" t="s">
        <v>5635</v>
      </c>
      <c r="U1683" s="116"/>
      <c r="V1683" s="104" t="s">
        <v>5635</v>
      </c>
      <c r="W1683" s="116"/>
    </row>
    <row r="1684">
      <c r="A1684" s="114" t="s">
        <v>39</v>
      </c>
      <c r="B1684" s="115"/>
      <c r="C1684" s="116"/>
      <c r="D1684" s="116"/>
      <c r="E1684" s="116" t="str">
        <f>IFERROR(__xludf.DUMMYFUNCTION("""COMPUTED_VALUE"""),"")</f>
        <v/>
      </c>
      <c r="F1684" s="117" t="s">
        <v>39</v>
      </c>
      <c r="G1684" s="116"/>
      <c r="H1684" s="117"/>
      <c r="I1684" s="117"/>
      <c r="J1684" s="117"/>
      <c r="K1684" s="117"/>
      <c r="L1684" s="116"/>
      <c r="M1684" s="117"/>
      <c r="N1684" s="118" t="str">
        <f>IFERROR(__xludf.DUMMYFUNCTION("""COMPUTED_VALUE"""),"")</f>
        <v/>
      </c>
      <c r="O1684" s="116"/>
      <c r="P1684" s="116"/>
      <c r="Q1684" s="116"/>
      <c r="R1684" s="116" t="s">
        <v>39</v>
      </c>
      <c r="S1684" s="116" t="s">
        <v>39</v>
      </c>
      <c r="T1684" s="104" t="s">
        <v>5636</v>
      </c>
      <c r="U1684" s="116"/>
      <c r="V1684" s="104" t="s">
        <v>5636</v>
      </c>
      <c r="W1684" s="116"/>
    </row>
    <row r="1685">
      <c r="A1685" s="114" t="s">
        <v>39</v>
      </c>
      <c r="B1685" s="115"/>
      <c r="C1685" s="116"/>
      <c r="D1685" s="116"/>
      <c r="E1685" s="116" t="str">
        <f>IFERROR(__xludf.DUMMYFUNCTION("""COMPUTED_VALUE"""),"")</f>
        <v/>
      </c>
      <c r="F1685" s="117" t="s">
        <v>39</v>
      </c>
      <c r="G1685" s="116"/>
      <c r="H1685" s="117"/>
      <c r="I1685" s="117"/>
      <c r="J1685" s="117"/>
      <c r="K1685" s="117"/>
      <c r="L1685" s="116"/>
      <c r="M1685" s="117"/>
      <c r="N1685" s="118" t="str">
        <f>IFERROR(__xludf.DUMMYFUNCTION("""COMPUTED_VALUE"""),"")</f>
        <v/>
      </c>
      <c r="O1685" s="116"/>
      <c r="P1685" s="116"/>
      <c r="Q1685" s="116"/>
      <c r="R1685" s="116" t="s">
        <v>39</v>
      </c>
      <c r="S1685" s="116" t="s">
        <v>39</v>
      </c>
      <c r="T1685" s="104" t="s">
        <v>5637</v>
      </c>
      <c r="U1685" s="116"/>
      <c r="V1685" s="104" t="s">
        <v>5637</v>
      </c>
      <c r="W1685" s="116"/>
    </row>
    <row r="1686">
      <c r="A1686" s="114" t="s">
        <v>39</v>
      </c>
      <c r="B1686" s="115"/>
      <c r="C1686" s="116"/>
      <c r="D1686" s="116"/>
      <c r="E1686" s="116" t="str">
        <f>IFERROR(__xludf.DUMMYFUNCTION("""COMPUTED_VALUE"""),"")</f>
        <v/>
      </c>
      <c r="F1686" s="117" t="s">
        <v>39</v>
      </c>
      <c r="G1686" s="116"/>
      <c r="H1686" s="117"/>
      <c r="I1686" s="117"/>
      <c r="J1686" s="117"/>
      <c r="K1686" s="117"/>
      <c r="L1686" s="116"/>
      <c r="M1686" s="117"/>
      <c r="N1686" s="118" t="str">
        <f>IFERROR(__xludf.DUMMYFUNCTION("""COMPUTED_VALUE"""),"")</f>
        <v/>
      </c>
      <c r="O1686" s="116"/>
      <c r="P1686" s="116"/>
      <c r="Q1686" s="116"/>
      <c r="R1686" s="116" t="s">
        <v>39</v>
      </c>
      <c r="S1686" s="116" t="s">
        <v>39</v>
      </c>
      <c r="T1686" s="104" t="s">
        <v>5638</v>
      </c>
      <c r="U1686" s="116"/>
      <c r="V1686" s="104" t="s">
        <v>5638</v>
      </c>
      <c r="W1686" s="116"/>
    </row>
    <row r="1687">
      <c r="A1687" s="114" t="s">
        <v>39</v>
      </c>
      <c r="B1687" s="115"/>
      <c r="C1687" s="116"/>
      <c r="D1687" s="116"/>
      <c r="E1687" s="116" t="str">
        <f>IFERROR(__xludf.DUMMYFUNCTION("""COMPUTED_VALUE"""),"")</f>
        <v/>
      </c>
      <c r="F1687" s="117" t="s">
        <v>39</v>
      </c>
      <c r="G1687" s="116"/>
      <c r="H1687" s="117"/>
      <c r="I1687" s="117"/>
      <c r="J1687" s="117"/>
      <c r="K1687" s="117"/>
      <c r="L1687" s="116"/>
      <c r="M1687" s="117"/>
      <c r="N1687" s="118" t="str">
        <f>IFERROR(__xludf.DUMMYFUNCTION("""COMPUTED_VALUE"""),"")</f>
        <v/>
      </c>
      <c r="O1687" s="116"/>
      <c r="P1687" s="116"/>
      <c r="Q1687" s="116"/>
      <c r="R1687" s="116" t="s">
        <v>39</v>
      </c>
      <c r="S1687" s="116" t="s">
        <v>39</v>
      </c>
      <c r="T1687" s="104" t="s">
        <v>5639</v>
      </c>
      <c r="U1687" s="116"/>
      <c r="V1687" s="104" t="s">
        <v>5639</v>
      </c>
      <c r="W1687" s="116"/>
    </row>
    <row r="1688">
      <c r="A1688" s="114" t="s">
        <v>39</v>
      </c>
      <c r="B1688" s="115"/>
      <c r="C1688" s="116"/>
      <c r="D1688" s="116"/>
      <c r="E1688" s="116" t="str">
        <f>IFERROR(__xludf.DUMMYFUNCTION("""COMPUTED_VALUE"""),"")</f>
        <v/>
      </c>
      <c r="F1688" s="117" t="s">
        <v>39</v>
      </c>
      <c r="G1688" s="116"/>
      <c r="H1688" s="117"/>
      <c r="I1688" s="117"/>
      <c r="J1688" s="117"/>
      <c r="K1688" s="117"/>
      <c r="L1688" s="116"/>
      <c r="M1688" s="117"/>
      <c r="N1688" s="118" t="str">
        <f>IFERROR(__xludf.DUMMYFUNCTION("""COMPUTED_VALUE"""),"")</f>
        <v/>
      </c>
      <c r="O1688" s="116"/>
      <c r="P1688" s="116"/>
      <c r="Q1688" s="116"/>
      <c r="R1688" s="116" t="s">
        <v>39</v>
      </c>
      <c r="S1688" s="116" t="s">
        <v>39</v>
      </c>
      <c r="T1688" s="104" t="s">
        <v>5640</v>
      </c>
      <c r="U1688" s="116"/>
      <c r="V1688" s="104" t="s">
        <v>5640</v>
      </c>
      <c r="W1688" s="116"/>
    </row>
    <row r="1689">
      <c r="A1689" s="114" t="s">
        <v>39</v>
      </c>
      <c r="B1689" s="115"/>
      <c r="C1689" s="116"/>
      <c r="D1689" s="116"/>
      <c r="E1689" s="116" t="str">
        <f>IFERROR(__xludf.DUMMYFUNCTION("""COMPUTED_VALUE"""),"")</f>
        <v/>
      </c>
      <c r="F1689" s="117" t="s">
        <v>39</v>
      </c>
      <c r="G1689" s="116"/>
      <c r="H1689" s="117"/>
      <c r="I1689" s="117"/>
      <c r="J1689" s="117"/>
      <c r="K1689" s="117"/>
      <c r="L1689" s="116"/>
      <c r="M1689" s="117"/>
      <c r="N1689" s="118" t="str">
        <f>IFERROR(__xludf.DUMMYFUNCTION("""COMPUTED_VALUE"""),"")</f>
        <v/>
      </c>
      <c r="O1689" s="116"/>
      <c r="P1689" s="116"/>
      <c r="Q1689" s="116"/>
      <c r="R1689" s="116" t="s">
        <v>39</v>
      </c>
      <c r="S1689" s="116" t="s">
        <v>39</v>
      </c>
      <c r="T1689" s="104" t="s">
        <v>5641</v>
      </c>
      <c r="U1689" s="116"/>
      <c r="V1689" s="104" t="s">
        <v>5641</v>
      </c>
      <c r="W1689" s="116"/>
    </row>
    <row r="1690">
      <c r="A1690" s="114" t="s">
        <v>39</v>
      </c>
      <c r="B1690" s="115"/>
      <c r="C1690" s="116"/>
      <c r="D1690" s="116"/>
      <c r="E1690" s="116" t="str">
        <f>IFERROR(__xludf.DUMMYFUNCTION("""COMPUTED_VALUE"""),"")</f>
        <v/>
      </c>
      <c r="F1690" s="117" t="s">
        <v>39</v>
      </c>
      <c r="G1690" s="116"/>
      <c r="H1690" s="117"/>
      <c r="I1690" s="117"/>
      <c r="J1690" s="117"/>
      <c r="K1690" s="117"/>
      <c r="L1690" s="116"/>
      <c r="M1690" s="117"/>
      <c r="N1690" s="118" t="str">
        <f>IFERROR(__xludf.DUMMYFUNCTION("""COMPUTED_VALUE"""),"")</f>
        <v/>
      </c>
      <c r="O1690" s="116"/>
      <c r="P1690" s="116"/>
      <c r="Q1690" s="116"/>
      <c r="R1690" s="116" t="s">
        <v>39</v>
      </c>
      <c r="S1690" s="116" t="s">
        <v>39</v>
      </c>
      <c r="T1690" s="104" t="s">
        <v>5642</v>
      </c>
      <c r="U1690" s="116"/>
      <c r="V1690" s="104" t="s">
        <v>5642</v>
      </c>
      <c r="W1690" s="116"/>
    </row>
    <row r="1691">
      <c r="A1691" s="114" t="s">
        <v>39</v>
      </c>
      <c r="B1691" s="115"/>
      <c r="C1691" s="116"/>
      <c r="D1691" s="116"/>
      <c r="E1691" s="116" t="str">
        <f>IFERROR(__xludf.DUMMYFUNCTION("""COMPUTED_VALUE"""),"")</f>
        <v/>
      </c>
      <c r="F1691" s="117" t="s">
        <v>39</v>
      </c>
      <c r="G1691" s="116"/>
      <c r="H1691" s="117"/>
      <c r="I1691" s="117"/>
      <c r="J1691" s="117"/>
      <c r="K1691" s="117"/>
      <c r="L1691" s="116"/>
      <c r="M1691" s="117"/>
      <c r="N1691" s="118" t="str">
        <f>IFERROR(__xludf.DUMMYFUNCTION("""COMPUTED_VALUE"""),"")</f>
        <v/>
      </c>
      <c r="O1691" s="116"/>
      <c r="P1691" s="116"/>
      <c r="Q1691" s="116"/>
      <c r="R1691" s="116" t="s">
        <v>39</v>
      </c>
      <c r="S1691" s="116" t="s">
        <v>39</v>
      </c>
      <c r="T1691" s="104" t="s">
        <v>5643</v>
      </c>
      <c r="U1691" s="116"/>
      <c r="V1691" s="104" t="s">
        <v>5643</v>
      </c>
      <c r="W1691" s="116"/>
    </row>
    <row r="1692">
      <c r="A1692" s="114" t="s">
        <v>39</v>
      </c>
      <c r="B1692" s="115"/>
      <c r="C1692" s="116"/>
      <c r="D1692" s="116"/>
      <c r="E1692" s="116" t="str">
        <f>IFERROR(__xludf.DUMMYFUNCTION("""COMPUTED_VALUE"""),"")</f>
        <v/>
      </c>
      <c r="F1692" s="117" t="s">
        <v>39</v>
      </c>
      <c r="G1692" s="116"/>
      <c r="H1692" s="117"/>
      <c r="I1692" s="117"/>
      <c r="J1692" s="117"/>
      <c r="K1692" s="117"/>
      <c r="L1692" s="116"/>
      <c r="M1692" s="117"/>
      <c r="N1692" s="118" t="str">
        <f>IFERROR(__xludf.DUMMYFUNCTION("""COMPUTED_VALUE"""),"")</f>
        <v/>
      </c>
      <c r="O1692" s="116"/>
      <c r="P1692" s="116"/>
      <c r="Q1692" s="116"/>
      <c r="R1692" s="116" t="s">
        <v>39</v>
      </c>
      <c r="S1692" s="116" t="s">
        <v>39</v>
      </c>
      <c r="T1692" s="104" t="s">
        <v>5644</v>
      </c>
      <c r="U1692" s="116"/>
      <c r="V1692" s="104" t="s">
        <v>5644</v>
      </c>
      <c r="W1692" s="116"/>
    </row>
    <row r="1693">
      <c r="A1693" s="114" t="s">
        <v>39</v>
      </c>
      <c r="B1693" s="115"/>
      <c r="C1693" s="116"/>
      <c r="D1693" s="116"/>
      <c r="E1693" s="116" t="str">
        <f>IFERROR(__xludf.DUMMYFUNCTION("""COMPUTED_VALUE"""),"")</f>
        <v/>
      </c>
      <c r="F1693" s="117" t="s">
        <v>39</v>
      </c>
      <c r="G1693" s="116"/>
      <c r="H1693" s="117"/>
      <c r="I1693" s="117"/>
      <c r="J1693" s="117"/>
      <c r="K1693" s="117"/>
      <c r="L1693" s="116"/>
      <c r="M1693" s="117"/>
      <c r="N1693" s="118" t="str">
        <f>IFERROR(__xludf.DUMMYFUNCTION("""COMPUTED_VALUE"""),"")</f>
        <v/>
      </c>
      <c r="O1693" s="116"/>
      <c r="P1693" s="116"/>
      <c r="Q1693" s="116"/>
      <c r="R1693" s="116" t="s">
        <v>39</v>
      </c>
      <c r="S1693" s="116" t="s">
        <v>39</v>
      </c>
      <c r="T1693" s="104" t="s">
        <v>5645</v>
      </c>
      <c r="U1693" s="116"/>
      <c r="V1693" s="104" t="s">
        <v>5645</v>
      </c>
      <c r="W1693" s="116"/>
    </row>
    <row r="1694">
      <c r="A1694" s="114" t="s">
        <v>39</v>
      </c>
      <c r="B1694" s="115"/>
      <c r="C1694" s="116"/>
      <c r="D1694" s="116"/>
      <c r="E1694" s="116" t="str">
        <f>IFERROR(__xludf.DUMMYFUNCTION("""COMPUTED_VALUE"""),"")</f>
        <v/>
      </c>
      <c r="F1694" s="117" t="s">
        <v>39</v>
      </c>
      <c r="G1694" s="116"/>
      <c r="H1694" s="117"/>
      <c r="I1694" s="117"/>
      <c r="J1694" s="117"/>
      <c r="K1694" s="117"/>
      <c r="L1694" s="116"/>
      <c r="M1694" s="117"/>
      <c r="N1694" s="118" t="str">
        <f>IFERROR(__xludf.DUMMYFUNCTION("""COMPUTED_VALUE"""),"")</f>
        <v/>
      </c>
      <c r="O1694" s="116"/>
      <c r="P1694" s="116"/>
      <c r="Q1694" s="116"/>
      <c r="R1694" s="116" t="s">
        <v>39</v>
      </c>
      <c r="S1694" s="116" t="s">
        <v>39</v>
      </c>
      <c r="T1694" s="104" t="s">
        <v>5646</v>
      </c>
      <c r="U1694" s="116"/>
      <c r="V1694" s="104" t="s">
        <v>5646</v>
      </c>
      <c r="W1694" s="116"/>
    </row>
    <row r="1695">
      <c r="A1695" s="114" t="s">
        <v>39</v>
      </c>
      <c r="B1695" s="115"/>
      <c r="C1695" s="116"/>
      <c r="D1695" s="116"/>
      <c r="E1695" s="116" t="str">
        <f>IFERROR(__xludf.DUMMYFUNCTION("""COMPUTED_VALUE"""),"")</f>
        <v/>
      </c>
      <c r="F1695" s="117" t="s">
        <v>39</v>
      </c>
      <c r="G1695" s="116"/>
      <c r="H1695" s="117"/>
      <c r="I1695" s="117"/>
      <c r="J1695" s="117"/>
      <c r="K1695" s="117"/>
      <c r="L1695" s="116"/>
      <c r="M1695" s="117"/>
      <c r="N1695" s="118" t="str">
        <f>IFERROR(__xludf.DUMMYFUNCTION("""COMPUTED_VALUE"""),"")</f>
        <v/>
      </c>
      <c r="O1695" s="116"/>
      <c r="P1695" s="116"/>
      <c r="Q1695" s="116"/>
      <c r="R1695" s="116" t="s">
        <v>39</v>
      </c>
      <c r="S1695" s="116" t="s">
        <v>39</v>
      </c>
      <c r="T1695" s="104" t="s">
        <v>5647</v>
      </c>
      <c r="U1695" s="116"/>
      <c r="V1695" s="104" t="s">
        <v>5647</v>
      </c>
      <c r="W1695" s="116"/>
    </row>
    <row r="1696">
      <c r="A1696" s="114" t="s">
        <v>39</v>
      </c>
      <c r="B1696" s="115"/>
      <c r="C1696" s="116"/>
      <c r="D1696" s="116"/>
      <c r="E1696" s="116" t="str">
        <f>IFERROR(__xludf.DUMMYFUNCTION("""COMPUTED_VALUE"""),"")</f>
        <v/>
      </c>
      <c r="F1696" s="117" t="s">
        <v>39</v>
      </c>
      <c r="G1696" s="116"/>
      <c r="H1696" s="117"/>
      <c r="I1696" s="117"/>
      <c r="J1696" s="117"/>
      <c r="K1696" s="117"/>
      <c r="L1696" s="116"/>
      <c r="M1696" s="117"/>
      <c r="N1696" s="118" t="str">
        <f>IFERROR(__xludf.DUMMYFUNCTION("""COMPUTED_VALUE"""),"")</f>
        <v/>
      </c>
      <c r="O1696" s="116"/>
      <c r="P1696" s="116"/>
      <c r="Q1696" s="116"/>
      <c r="R1696" s="116" t="s">
        <v>39</v>
      </c>
      <c r="S1696" s="116" t="s">
        <v>39</v>
      </c>
      <c r="T1696" s="104" t="s">
        <v>5648</v>
      </c>
      <c r="U1696" s="116"/>
      <c r="V1696" s="104" t="s">
        <v>5648</v>
      </c>
      <c r="W1696" s="116"/>
    </row>
    <row r="1697">
      <c r="A1697" s="114" t="s">
        <v>39</v>
      </c>
      <c r="B1697" s="115"/>
      <c r="C1697" s="116"/>
      <c r="D1697" s="116"/>
      <c r="E1697" s="116" t="str">
        <f>IFERROR(__xludf.DUMMYFUNCTION("""COMPUTED_VALUE"""),"")</f>
        <v/>
      </c>
      <c r="F1697" s="117" t="s">
        <v>39</v>
      </c>
      <c r="G1697" s="116"/>
      <c r="H1697" s="117"/>
      <c r="I1697" s="117"/>
      <c r="J1697" s="117"/>
      <c r="K1697" s="117"/>
      <c r="L1697" s="116"/>
      <c r="M1697" s="117"/>
      <c r="N1697" s="118" t="str">
        <f>IFERROR(__xludf.DUMMYFUNCTION("""COMPUTED_VALUE"""),"")</f>
        <v/>
      </c>
      <c r="O1697" s="116"/>
      <c r="P1697" s="116"/>
      <c r="Q1697" s="116"/>
      <c r="R1697" s="116" t="s">
        <v>39</v>
      </c>
      <c r="S1697" s="116" t="s">
        <v>39</v>
      </c>
      <c r="T1697" s="104" t="s">
        <v>5649</v>
      </c>
      <c r="U1697" s="116"/>
      <c r="V1697" s="104" t="s">
        <v>5649</v>
      </c>
      <c r="W1697" s="116"/>
    </row>
    <row r="1698">
      <c r="A1698" s="114" t="s">
        <v>39</v>
      </c>
      <c r="B1698" s="115"/>
      <c r="C1698" s="116"/>
      <c r="D1698" s="116"/>
      <c r="E1698" s="116" t="str">
        <f>IFERROR(__xludf.DUMMYFUNCTION("""COMPUTED_VALUE"""),"")</f>
        <v/>
      </c>
      <c r="F1698" s="117" t="s">
        <v>39</v>
      </c>
      <c r="G1698" s="116"/>
      <c r="H1698" s="117"/>
      <c r="I1698" s="117"/>
      <c r="J1698" s="117"/>
      <c r="K1698" s="117"/>
      <c r="L1698" s="116"/>
      <c r="M1698" s="117"/>
      <c r="N1698" s="118" t="str">
        <f>IFERROR(__xludf.DUMMYFUNCTION("""COMPUTED_VALUE"""),"")</f>
        <v/>
      </c>
      <c r="O1698" s="116"/>
      <c r="P1698" s="116"/>
      <c r="Q1698" s="116"/>
      <c r="R1698" s="116" t="s">
        <v>39</v>
      </c>
      <c r="S1698" s="116" t="s">
        <v>39</v>
      </c>
      <c r="T1698" s="104" t="s">
        <v>5650</v>
      </c>
      <c r="U1698" s="116"/>
      <c r="V1698" s="104" t="s">
        <v>5650</v>
      </c>
      <c r="W1698" s="116"/>
    </row>
    <row r="1699">
      <c r="A1699" s="114" t="s">
        <v>39</v>
      </c>
      <c r="B1699" s="115"/>
      <c r="C1699" s="116"/>
      <c r="D1699" s="116"/>
      <c r="E1699" s="116" t="str">
        <f>IFERROR(__xludf.DUMMYFUNCTION("""COMPUTED_VALUE"""),"")</f>
        <v/>
      </c>
      <c r="F1699" s="117" t="s">
        <v>39</v>
      </c>
      <c r="G1699" s="116"/>
      <c r="H1699" s="117"/>
      <c r="I1699" s="117"/>
      <c r="J1699" s="117"/>
      <c r="K1699" s="117"/>
      <c r="L1699" s="116"/>
      <c r="M1699" s="117"/>
      <c r="N1699" s="118" t="str">
        <f>IFERROR(__xludf.DUMMYFUNCTION("""COMPUTED_VALUE"""),"")</f>
        <v/>
      </c>
      <c r="O1699" s="116"/>
      <c r="P1699" s="116"/>
      <c r="Q1699" s="116"/>
      <c r="R1699" s="116" t="s">
        <v>39</v>
      </c>
      <c r="S1699" s="116" t="s">
        <v>39</v>
      </c>
      <c r="T1699" s="104" t="s">
        <v>5651</v>
      </c>
      <c r="U1699" s="116"/>
      <c r="V1699" s="104" t="s">
        <v>5651</v>
      </c>
      <c r="W1699" s="116"/>
    </row>
    <row r="1700">
      <c r="A1700" s="114" t="s">
        <v>39</v>
      </c>
      <c r="B1700" s="115"/>
      <c r="C1700" s="116"/>
      <c r="D1700" s="116"/>
      <c r="E1700" s="116" t="str">
        <f>IFERROR(__xludf.DUMMYFUNCTION("""COMPUTED_VALUE"""),"")</f>
        <v/>
      </c>
      <c r="F1700" s="117" t="s">
        <v>39</v>
      </c>
      <c r="G1700" s="116"/>
      <c r="H1700" s="117"/>
      <c r="I1700" s="117"/>
      <c r="J1700" s="117"/>
      <c r="K1700" s="117"/>
      <c r="L1700" s="116"/>
      <c r="M1700" s="117"/>
      <c r="N1700" s="118" t="str">
        <f>IFERROR(__xludf.DUMMYFUNCTION("""COMPUTED_VALUE"""),"")</f>
        <v/>
      </c>
      <c r="O1700" s="116"/>
      <c r="P1700" s="116"/>
      <c r="Q1700" s="116"/>
      <c r="R1700" s="116" t="s">
        <v>39</v>
      </c>
      <c r="S1700" s="116" t="s">
        <v>39</v>
      </c>
      <c r="T1700" s="104" t="s">
        <v>5652</v>
      </c>
      <c r="U1700" s="116"/>
      <c r="V1700" s="104" t="s">
        <v>5652</v>
      </c>
      <c r="W1700" s="116"/>
    </row>
    <row r="1701">
      <c r="A1701" s="114" t="s">
        <v>39</v>
      </c>
      <c r="B1701" s="115"/>
      <c r="C1701" s="116"/>
      <c r="D1701" s="116"/>
      <c r="E1701" s="116" t="str">
        <f>IFERROR(__xludf.DUMMYFUNCTION("""COMPUTED_VALUE"""),"")</f>
        <v/>
      </c>
      <c r="F1701" s="117" t="s">
        <v>39</v>
      </c>
      <c r="G1701" s="116"/>
      <c r="H1701" s="117"/>
      <c r="I1701" s="117"/>
      <c r="J1701" s="117"/>
      <c r="K1701" s="117"/>
      <c r="L1701" s="116"/>
      <c r="M1701" s="117"/>
      <c r="N1701" s="118" t="str">
        <f>IFERROR(__xludf.DUMMYFUNCTION("""COMPUTED_VALUE"""),"")</f>
        <v/>
      </c>
      <c r="O1701" s="116"/>
      <c r="P1701" s="116"/>
      <c r="Q1701" s="116"/>
      <c r="R1701" s="116" t="s">
        <v>39</v>
      </c>
      <c r="S1701" s="116" t="s">
        <v>39</v>
      </c>
      <c r="T1701" s="104" t="s">
        <v>5653</v>
      </c>
      <c r="U1701" s="116"/>
      <c r="V1701" s="104" t="s">
        <v>5653</v>
      </c>
      <c r="W1701" s="116"/>
    </row>
    <row r="1702">
      <c r="A1702" s="114" t="s">
        <v>39</v>
      </c>
      <c r="B1702" s="115"/>
      <c r="C1702" s="116"/>
      <c r="D1702" s="116"/>
      <c r="E1702" s="116" t="str">
        <f>IFERROR(__xludf.DUMMYFUNCTION("""COMPUTED_VALUE"""),"")</f>
        <v/>
      </c>
      <c r="F1702" s="117" t="s">
        <v>39</v>
      </c>
      <c r="G1702" s="116"/>
      <c r="H1702" s="117"/>
      <c r="I1702" s="117"/>
      <c r="J1702" s="117"/>
      <c r="K1702" s="117"/>
      <c r="L1702" s="116"/>
      <c r="M1702" s="117"/>
      <c r="N1702" s="118" t="str">
        <f>IFERROR(__xludf.DUMMYFUNCTION("""COMPUTED_VALUE"""),"")</f>
        <v/>
      </c>
      <c r="O1702" s="116"/>
      <c r="P1702" s="116"/>
      <c r="Q1702" s="116"/>
      <c r="R1702" s="116" t="s">
        <v>39</v>
      </c>
      <c r="S1702" s="116" t="s">
        <v>39</v>
      </c>
      <c r="T1702" s="104" t="s">
        <v>5654</v>
      </c>
      <c r="U1702" s="116"/>
      <c r="V1702" s="104" t="s">
        <v>5654</v>
      </c>
      <c r="W1702" s="116"/>
    </row>
    <row r="1703">
      <c r="A1703" s="114" t="s">
        <v>39</v>
      </c>
      <c r="B1703" s="115"/>
      <c r="C1703" s="116"/>
      <c r="D1703" s="116"/>
      <c r="E1703" s="116" t="str">
        <f>IFERROR(__xludf.DUMMYFUNCTION("""COMPUTED_VALUE"""),"")</f>
        <v/>
      </c>
      <c r="F1703" s="117" t="s">
        <v>39</v>
      </c>
      <c r="G1703" s="116"/>
      <c r="H1703" s="117"/>
      <c r="I1703" s="117"/>
      <c r="J1703" s="117"/>
      <c r="K1703" s="117"/>
      <c r="L1703" s="116"/>
      <c r="M1703" s="117"/>
      <c r="N1703" s="118" t="str">
        <f>IFERROR(__xludf.DUMMYFUNCTION("""COMPUTED_VALUE"""),"")</f>
        <v/>
      </c>
      <c r="O1703" s="116"/>
      <c r="P1703" s="116"/>
      <c r="Q1703" s="116"/>
      <c r="R1703" s="116" t="s">
        <v>39</v>
      </c>
      <c r="S1703" s="116" t="s">
        <v>39</v>
      </c>
      <c r="T1703" s="104" t="s">
        <v>5655</v>
      </c>
      <c r="U1703" s="116"/>
      <c r="V1703" s="104" t="s">
        <v>5655</v>
      </c>
      <c r="W1703" s="116"/>
    </row>
    <row r="1704">
      <c r="A1704" s="114" t="s">
        <v>39</v>
      </c>
      <c r="B1704" s="115"/>
      <c r="C1704" s="116"/>
      <c r="D1704" s="116"/>
      <c r="E1704" s="116" t="str">
        <f>IFERROR(__xludf.DUMMYFUNCTION("""COMPUTED_VALUE"""),"")</f>
        <v/>
      </c>
      <c r="F1704" s="117" t="s">
        <v>39</v>
      </c>
      <c r="G1704" s="116"/>
      <c r="H1704" s="117"/>
      <c r="I1704" s="117"/>
      <c r="J1704" s="117"/>
      <c r="K1704" s="117"/>
      <c r="L1704" s="116"/>
      <c r="M1704" s="117"/>
      <c r="N1704" s="118" t="str">
        <f>IFERROR(__xludf.DUMMYFUNCTION("""COMPUTED_VALUE"""),"")</f>
        <v/>
      </c>
      <c r="O1704" s="116"/>
      <c r="P1704" s="116"/>
      <c r="Q1704" s="116"/>
      <c r="R1704" s="116" t="s">
        <v>39</v>
      </c>
      <c r="S1704" s="116" t="s">
        <v>39</v>
      </c>
      <c r="T1704" s="104" t="s">
        <v>5656</v>
      </c>
      <c r="U1704" s="116"/>
      <c r="V1704" s="104" t="s">
        <v>5656</v>
      </c>
      <c r="W1704" s="116"/>
    </row>
    <row r="1705">
      <c r="A1705" s="114" t="s">
        <v>39</v>
      </c>
      <c r="B1705" s="115"/>
      <c r="C1705" s="116"/>
      <c r="D1705" s="116"/>
      <c r="E1705" s="116" t="str">
        <f>IFERROR(__xludf.DUMMYFUNCTION("""COMPUTED_VALUE"""),"")</f>
        <v/>
      </c>
      <c r="F1705" s="117" t="s">
        <v>39</v>
      </c>
      <c r="G1705" s="116"/>
      <c r="H1705" s="117"/>
      <c r="I1705" s="117"/>
      <c r="J1705" s="117"/>
      <c r="K1705" s="117"/>
      <c r="L1705" s="116"/>
      <c r="M1705" s="117"/>
      <c r="N1705" s="118" t="str">
        <f>IFERROR(__xludf.DUMMYFUNCTION("""COMPUTED_VALUE"""),"")</f>
        <v/>
      </c>
      <c r="O1705" s="116"/>
      <c r="P1705" s="116"/>
      <c r="Q1705" s="116"/>
      <c r="R1705" s="116" t="s">
        <v>39</v>
      </c>
      <c r="S1705" s="116" t="s">
        <v>39</v>
      </c>
      <c r="T1705" s="104" t="s">
        <v>5657</v>
      </c>
      <c r="U1705" s="116"/>
      <c r="V1705" s="104" t="s">
        <v>5657</v>
      </c>
      <c r="W1705" s="116"/>
    </row>
    <row r="1706">
      <c r="A1706" s="114" t="s">
        <v>39</v>
      </c>
      <c r="B1706" s="115"/>
      <c r="C1706" s="116"/>
      <c r="D1706" s="116"/>
      <c r="E1706" s="116" t="str">
        <f>IFERROR(__xludf.DUMMYFUNCTION("""COMPUTED_VALUE"""),"")</f>
        <v/>
      </c>
      <c r="F1706" s="117" t="s">
        <v>39</v>
      </c>
      <c r="G1706" s="116"/>
      <c r="H1706" s="117"/>
      <c r="I1706" s="117"/>
      <c r="J1706" s="117"/>
      <c r="K1706" s="117"/>
      <c r="L1706" s="116"/>
      <c r="M1706" s="117"/>
      <c r="N1706" s="118" t="str">
        <f>IFERROR(__xludf.DUMMYFUNCTION("""COMPUTED_VALUE"""),"")</f>
        <v/>
      </c>
      <c r="O1706" s="116"/>
      <c r="P1706" s="116"/>
      <c r="Q1706" s="116"/>
      <c r="R1706" s="116" t="s">
        <v>39</v>
      </c>
      <c r="S1706" s="116" t="s">
        <v>39</v>
      </c>
      <c r="T1706" s="104" t="s">
        <v>5658</v>
      </c>
      <c r="U1706" s="116"/>
      <c r="V1706" s="104" t="s">
        <v>5658</v>
      </c>
      <c r="W1706" s="116"/>
    </row>
    <row r="1707">
      <c r="A1707" s="114" t="s">
        <v>39</v>
      </c>
      <c r="B1707" s="115"/>
      <c r="C1707" s="116"/>
      <c r="D1707" s="116"/>
      <c r="E1707" s="116" t="str">
        <f>IFERROR(__xludf.DUMMYFUNCTION("""COMPUTED_VALUE"""),"")</f>
        <v/>
      </c>
      <c r="F1707" s="117" t="s">
        <v>39</v>
      </c>
      <c r="G1707" s="116"/>
      <c r="H1707" s="117"/>
      <c r="I1707" s="117"/>
      <c r="J1707" s="117"/>
      <c r="K1707" s="117"/>
      <c r="L1707" s="116"/>
      <c r="M1707" s="117"/>
      <c r="N1707" s="118" t="str">
        <f>IFERROR(__xludf.DUMMYFUNCTION("""COMPUTED_VALUE"""),"")</f>
        <v/>
      </c>
      <c r="O1707" s="116"/>
      <c r="P1707" s="116"/>
      <c r="Q1707" s="116"/>
      <c r="R1707" s="116" t="s">
        <v>39</v>
      </c>
      <c r="S1707" s="116" t="s">
        <v>39</v>
      </c>
      <c r="T1707" s="104" t="s">
        <v>5659</v>
      </c>
      <c r="U1707" s="116"/>
      <c r="V1707" s="104" t="s">
        <v>5659</v>
      </c>
      <c r="W1707" s="116"/>
    </row>
    <row r="1708">
      <c r="A1708" s="114" t="s">
        <v>39</v>
      </c>
      <c r="B1708" s="115"/>
      <c r="C1708" s="116"/>
      <c r="D1708" s="116"/>
      <c r="E1708" s="116" t="str">
        <f>IFERROR(__xludf.DUMMYFUNCTION("""COMPUTED_VALUE"""),"")</f>
        <v/>
      </c>
      <c r="F1708" s="117" t="s">
        <v>39</v>
      </c>
      <c r="G1708" s="116"/>
      <c r="H1708" s="117"/>
      <c r="I1708" s="117"/>
      <c r="J1708" s="117"/>
      <c r="K1708" s="117"/>
      <c r="L1708" s="116"/>
      <c r="M1708" s="117"/>
      <c r="N1708" s="118" t="str">
        <f>IFERROR(__xludf.DUMMYFUNCTION("""COMPUTED_VALUE"""),"")</f>
        <v/>
      </c>
      <c r="O1708" s="116"/>
      <c r="P1708" s="116"/>
      <c r="Q1708" s="116"/>
      <c r="R1708" s="116" t="s">
        <v>39</v>
      </c>
      <c r="S1708" s="116" t="s">
        <v>39</v>
      </c>
      <c r="T1708" s="104" t="s">
        <v>5660</v>
      </c>
      <c r="U1708" s="116"/>
      <c r="V1708" s="104" t="s">
        <v>5660</v>
      </c>
      <c r="W1708" s="116"/>
    </row>
    <row r="1709">
      <c r="A1709" s="114" t="s">
        <v>39</v>
      </c>
      <c r="B1709" s="115"/>
      <c r="C1709" s="116"/>
      <c r="D1709" s="116"/>
      <c r="E1709" s="116" t="str">
        <f>IFERROR(__xludf.DUMMYFUNCTION("""COMPUTED_VALUE"""),"")</f>
        <v/>
      </c>
      <c r="F1709" s="117" t="s">
        <v>39</v>
      </c>
      <c r="G1709" s="116"/>
      <c r="H1709" s="117"/>
      <c r="I1709" s="117"/>
      <c r="J1709" s="117"/>
      <c r="K1709" s="117"/>
      <c r="L1709" s="116"/>
      <c r="M1709" s="117"/>
      <c r="N1709" s="118" t="str">
        <f>IFERROR(__xludf.DUMMYFUNCTION("""COMPUTED_VALUE"""),"")</f>
        <v/>
      </c>
      <c r="O1709" s="116"/>
      <c r="P1709" s="116"/>
      <c r="Q1709" s="116"/>
      <c r="R1709" s="116" t="s">
        <v>39</v>
      </c>
      <c r="S1709" s="116" t="s">
        <v>39</v>
      </c>
      <c r="T1709" s="104" t="s">
        <v>5661</v>
      </c>
      <c r="U1709" s="116"/>
      <c r="V1709" s="104" t="s">
        <v>5661</v>
      </c>
      <c r="W1709" s="116"/>
    </row>
    <row r="1710">
      <c r="A1710" s="114" t="s">
        <v>39</v>
      </c>
      <c r="B1710" s="115"/>
      <c r="C1710" s="116"/>
      <c r="D1710" s="116"/>
      <c r="E1710" s="116" t="str">
        <f>IFERROR(__xludf.DUMMYFUNCTION("""COMPUTED_VALUE"""),"")</f>
        <v/>
      </c>
      <c r="F1710" s="117" t="s">
        <v>39</v>
      </c>
      <c r="G1710" s="116"/>
      <c r="H1710" s="117"/>
      <c r="I1710" s="117"/>
      <c r="J1710" s="117"/>
      <c r="K1710" s="117"/>
      <c r="L1710" s="116"/>
      <c r="M1710" s="117"/>
      <c r="N1710" s="118" t="str">
        <f>IFERROR(__xludf.DUMMYFUNCTION("""COMPUTED_VALUE"""),"")</f>
        <v/>
      </c>
      <c r="O1710" s="116"/>
      <c r="P1710" s="116"/>
      <c r="Q1710" s="116"/>
      <c r="R1710" s="116" t="s">
        <v>39</v>
      </c>
      <c r="S1710" s="116" t="s">
        <v>39</v>
      </c>
      <c r="T1710" s="104" t="s">
        <v>5662</v>
      </c>
      <c r="U1710" s="116"/>
      <c r="V1710" s="104" t="s">
        <v>5662</v>
      </c>
      <c r="W1710" s="116"/>
    </row>
    <row r="1711">
      <c r="A1711" s="114" t="s">
        <v>39</v>
      </c>
      <c r="B1711" s="115"/>
      <c r="C1711" s="116"/>
      <c r="D1711" s="116"/>
      <c r="E1711" s="116" t="str">
        <f>IFERROR(__xludf.DUMMYFUNCTION("""COMPUTED_VALUE"""),"")</f>
        <v/>
      </c>
      <c r="F1711" s="117" t="s">
        <v>39</v>
      </c>
      <c r="G1711" s="116"/>
      <c r="H1711" s="117"/>
      <c r="I1711" s="117"/>
      <c r="J1711" s="117"/>
      <c r="K1711" s="117"/>
      <c r="L1711" s="116"/>
      <c r="M1711" s="117"/>
      <c r="N1711" s="118" t="str">
        <f>IFERROR(__xludf.DUMMYFUNCTION("""COMPUTED_VALUE"""),"")</f>
        <v/>
      </c>
      <c r="O1711" s="116"/>
      <c r="P1711" s="116"/>
      <c r="Q1711" s="116"/>
      <c r="R1711" s="116" t="s">
        <v>39</v>
      </c>
      <c r="S1711" s="116" t="s">
        <v>39</v>
      </c>
      <c r="T1711" s="104" t="s">
        <v>5663</v>
      </c>
      <c r="U1711" s="116"/>
      <c r="V1711" s="104" t="s">
        <v>5663</v>
      </c>
      <c r="W1711" s="116"/>
    </row>
    <row r="1712">
      <c r="A1712" s="114" t="s">
        <v>39</v>
      </c>
      <c r="B1712" s="115"/>
      <c r="C1712" s="116"/>
      <c r="D1712" s="116"/>
      <c r="E1712" s="116" t="str">
        <f>IFERROR(__xludf.DUMMYFUNCTION("""COMPUTED_VALUE"""),"")</f>
        <v/>
      </c>
      <c r="F1712" s="117" t="s">
        <v>39</v>
      </c>
      <c r="G1712" s="116"/>
      <c r="H1712" s="117"/>
      <c r="I1712" s="117"/>
      <c r="J1712" s="117"/>
      <c r="K1712" s="117"/>
      <c r="L1712" s="116"/>
      <c r="M1712" s="117"/>
      <c r="N1712" s="118" t="str">
        <f>IFERROR(__xludf.DUMMYFUNCTION("""COMPUTED_VALUE"""),"")</f>
        <v/>
      </c>
      <c r="O1712" s="116"/>
      <c r="P1712" s="116"/>
      <c r="Q1712" s="116"/>
      <c r="R1712" s="116" t="s">
        <v>39</v>
      </c>
      <c r="S1712" s="116" t="s">
        <v>39</v>
      </c>
      <c r="T1712" s="104" t="s">
        <v>5664</v>
      </c>
      <c r="U1712" s="116"/>
      <c r="V1712" s="104" t="s">
        <v>5664</v>
      </c>
      <c r="W1712" s="116"/>
    </row>
    <row r="1713">
      <c r="A1713" s="114" t="s">
        <v>39</v>
      </c>
      <c r="B1713" s="115"/>
      <c r="C1713" s="116"/>
      <c r="D1713" s="116"/>
      <c r="E1713" s="116" t="str">
        <f>IFERROR(__xludf.DUMMYFUNCTION("""COMPUTED_VALUE"""),"")</f>
        <v/>
      </c>
      <c r="F1713" s="117" t="s">
        <v>39</v>
      </c>
      <c r="G1713" s="116"/>
      <c r="H1713" s="117"/>
      <c r="I1713" s="117"/>
      <c r="J1713" s="117"/>
      <c r="K1713" s="117"/>
      <c r="L1713" s="116"/>
      <c r="M1713" s="117"/>
      <c r="N1713" s="118" t="str">
        <f>IFERROR(__xludf.DUMMYFUNCTION("""COMPUTED_VALUE"""),"")</f>
        <v/>
      </c>
      <c r="O1713" s="116"/>
      <c r="P1713" s="116"/>
      <c r="Q1713" s="116"/>
      <c r="R1713" s="116" t="s">
        <v>39</v>
      </c>
      <c r="S1713" s="116" t="s">
        <v>39</v>
      </c>
      <c r="T1713" s="104" t="s">
        <v>5665</v>
      </c>
      <c r="U1713" s="116"/>
      <c r="V1713" s="104" t="s">
        <v>5665</v>
      </c>
      <c r="W1713" s="116"/>
    </row>
    <row r="1714">
      <c r="A1714" s="114" t="s">
        <v>39</v>
      </c>
      <c r="B1714" s="115"/>
      <c r="C1714" s="116"/>
      <c r="D1714" s="116"/>
      <c r="E1714" s="116" t="str">
        <f>IFERROR(__xludf.DUMMYFUNCTION("""COMPUTED_VALUE"""),"")</f>
        <v/>
      </c>
      <c r="F1714" s="117" t="s">
        <v>39</v>
      </c>
      <c r="G1714" s="116"/>
      <c r="H1714" s="117"/>
      <c r="I1714" s="117"/>
      <c r="J1714" s="117"/>
      <c r="K1714" s="117"/>
      <c r="L1714" s="116"/>
      <c r="M1714" s="117"/>
      <c r="N1714" s="118" t="str">
        <f>IFERROR(__xludf.DUMMYFUNCTION("""COMPUTED_VALUE"""),"")</f>
        <v/>
      </c>
      <c r="O1714" s="116"/>
      <c r="P1714" s="116"/>
      <c r="Q1714" s="116"/>
      <c r="R1714" s="116" t="s">
        <v>39</v>
      </c>
      <c r="S1714" s="116" t="s">
        <v>39</v>
      </c>
      <c r="T1714" s="104" t="s">
        <v>5666</v>
      </c>
      <c r="U1714" s="116"/>
      <c r="V1714" s="104" t="s">
        <v>5666</v>
      </c>
      <c r="W1714" s="116"/>
    </row>
    <row r="1715">
      <c r="A1715" s="114" t="s">
        <v>39</v>
      </c>
      <c r="B1715" s="115"/>
      <c r="C1715" s="116"/>
      <c r="D1715" s="116"/>
      <c r="E1715" s="116" t="str">
        <f>IFERROR(__xludf.DUMMYFUNCTION("""COMPUTED_VALUE"""),"")</f>
        <v/>
      </c>
      <c r="F1715" s="117" t="s">
        <v>39</v>
      </c>
      <c r="G1715" s="116"/>
      <c r="H1715" s="117"/>
      <c r="I1715" s="117"/>
      <c r="J1715" s="117"/>
      <c r="K1715" s="117"/>
      <c r="L1715" s="116"/>
      <c r="M1715" s="117"/>
      <c r="N1715" s="118" t="str">
        <f>IFERROR(__xludf.DUMMYFUNCTION("""COMPUTED_VALUE"""),"")</f>
        <v/>
      </c>
      <c r="O1715" s="116"/>
      <c r="P1715" s="116"/>
      <c r="Q1715" s="116"/>
      <c r="R1715" s="116" t="s">
        <v>39</v>
      </c>
      <c r="S1715" s="116" t="s">
        <v>39</v>
      </c>
      <c r="T1715" s="104" t="s">
        <v>5667</v>
      </c>
      <c r="U1715" s="116"/>
      <c r="V1715" s="104" t="s">
        <v>5667</v>
      </c>
      <c r="W1715" s="116"/>
    </row>
    <row r="1716">
      <c r="A1716" s="114" t="s">
        <v>39</v>
      </c>
      <c r="B1716" s="115"/>
      <c r="C1716" s="116"/>
      <c r="D1716" s="116"/>
      <c r="E1716" s="116" t="str">
        <f>IFERROR(__xludf.DUMMYFUNCTION("""COMPUTED_VALUE"""),"")</f>
        <v/>
      </c>
      <c r="F1716" s="117" t="s">
        <v>39</v>
      </c>
      <c r="G1716" s="116"/>
      <c r="H1716" s="117"/>
      <c r="I1716" s="117"/>
      <c r="J1716" s="117"/>
      <c r="K1716" s="117"/>
      <c r="L1716" s="116"/>
      <c r="M1716" s="117"/>
      <c r="N1716" s="118" t="str">
        <f>IFERROR(__xludf.DUMMYFUNCTION("""COMPUTED_VALUE"""),"")</f>
        <v/>
      </c>
      <c r="O1716" s="116"/>
      <c r="P1716" s="116"/>
      <c r="Q1716" s="116"/>
      <c r="R1716" s="116" t="s">
        <v>39</v>
      </c>
      <c r="S1716" s="116" t="s">
        <v>39</v>
      </c>
      <c r="T1716" s="104" t="s">
        <v>5668</v>
      </c>
      <c r="U1716" s="116"/>
      <c r="V1716" s="104" t="s">
        <v>5668</v>
      </c>
      <c r="W1716" s="116"/>
    </row>
    <row r="1717">
      <c r="A1717" s="114" t="s">
        <v>39</v>
      </c>
      <c r="B1717" s="115"/>
      <c r="C1717" s="116"/>
      <c r="D1717" s="116"/>
      <c r="E1717" s="116" t="str">
        <f>IFERROR(__xludf.DUMMYFUNCTION("""COMPUTED_VALUE"""),"")</f>
        <v/>
      </c>
      <c r="F1717" s="117" t="s">
        <v>39</v>
      </c>
      <c r="G1717" s="116"/>
      <c r="H1717" s="117"/>
      <c r="I1717" s="117"/>
      <c r="J1717" s="117"/>
      <c r="K1717" s="117"/>
      <c r="L1717" s="116"/>
      <c r="M1717" s="117"/>
      <c r="N1717" s="118" t="str">
        <f>IFERROR(__xludf.DUMMYFUNCTION("""COMPUTED_VALUE"""),"")</f>
        <v/>
      </c>
      <c r="O1717" s="116"/>
      <c r="P1717" s="116"/>
      <c r="Q1717" s="116"/>
      <c r="R1717" s="116" t="s">
        <v>39</v>
      </c>
      <c r="S1717" s="116" t="s">
        <v>39</v>
      </c>
      <c r="T1717" s="104" t="s">
        <v>5669</v>
      </c>
      <c r="U1717" s="116"/>
      <c r="V1717" s="104" t="s">
        <v>5669</v>
      </c>
      <c r="W1717" s="116"/>
    </row>
    <row r="1718">
      <c r="A1718" s="114" t="s">
        <v>39</v>
      </c>
      <c r="B1718" s="115"/>
      <c r="C1718" s="116"/>
      <c r="D1718" s="116"/>
      <c r="E1718" s="116" t="str">
        <f>IFERROR(__xludf.DUMMYFUNCTION("""COMPUTED_VALUE"""),"")</f>
        <v/>
      </c>
      <c r="F1718" s="117" t="s">
        <v>39</v>
      </c>
      <c r="G1718" s="116"/>
      <c r="H1718" s="117"/>
      <c r="I1718" s="117"/>
      <c r="J1718" s="117"/>
      <c r="K1718" s="117"/>
      <c r="L1718" s="116"/>
      <c r="M1718" s="117"/>
      <c r="N1718" s="118" t="str">
        <f>IFERROR(__xludf.DUMMYFUNCTION("""COMPUTED_VALUE"""),"")</f>
        <v/>
      </c>
      <c r="O1718" s="116"/>
      <c r="P1718" s="116"/>
      <c r="Q1718" s="116"/>
      <c r="R1718" s="116" t="s">
        <v>39</v>
      </c>
      <c r="S1718" s="116" t="s">
        <v>39</v>
      </c>
      <c r="T1718" s="104" t="s">
        <v>5670</v>
      </c>
      <c r="U1718" s="116"/>
      <c r="V1718" s="104" t="s">
        <v>5670</v>
      </c>
      <c r="W1718" s="116"/>
    </row>
    <row r="1719">
      <c r="A1719" s="114" t="s">
        <v>39</v>
      </c>
      <c r="B1719" s="115"/>
      <c r="C1719" s="116"/>
      <c r="D1719" s="116"/>
      <c r="E1719" s="116" t="str">
        <f>IFERROR(__xludf.DUMMYFUNCTION("""COMPUTED_VALUE"""),"")</f>
        <v/>
      </c>
      <c r="F1719" s="117" t="s">
        <v>39</v>
      </c>
      <c r="G1719" s="116"/>
      <c r="H1719" s="117"/>
      <c r="I1719" s="117"/>
      <c r="J1719" s="117"/>
      <c r="K1719" s="117"/>
      <c r="L1719" s="116"/>
      <c r="M1719" s="117"/>
      <c r="N1719" s="118" t="str">
        <f>IFERROR(__xludf.DUMMYFUNCTION("""COMPUTED_VALUE"""),"")</f>
        <v/>
      </c>
      <c r="O1719" s="116"/>
      <c r="P1719" s="116"/>
      <c r="Q1719" s="116"/>
      <c r="R1719" s="116" t="s">
        <v>39</v>
      </c>
      <c r="S1719" s="116" t="s">
        <v>39</v>
      </c>
      <c r="T1719" s="104" t="s">
        <v>5671</v>
      </c>
      <c r="U1719" s="116"/>
      <c r="V1719" s="104" t="s">
        <v>5671</v>
      </c>
      <c r="W1719" s="116"/>
    </row>
    <row r="1720">
      <c r="A1720" s="114" t="s">
        <v>39</v>
      </c>
      <c r="B1720" s="115"/>
      <c r="C1720" s="116"/>
      <c r="D1720" s="116"/>
      <c r="E1720" s="116" t="str">
        <f>IFERROR(__xludf.DUMMYFUNCTION("""COMPUTED_VALUE"""),"")</f>
        <v/>
      </c>
      <c r="F1720" s="117" t="s">
        <v>39</v>
      </c>
      <c r="G1720" s="116"/>
      <c r="H1720" s="117"/>
      <c r="I1720" s="117"/>
      <c r="J1720" s="117"/>
      <c r="K1720" s="117"/>
      <c r="L1720" s="116"/>
      <c r="M1720" s="117"/>
      <c r="N1720" s="118" t="str">
        <f>IFERROR(__xludf.DUMMYFUNCTION("""COMPUTED_VALUE"""),"")</f>
        <v/>
      </c>
      <c r="O1720" s="116"/>
      <c r="P1720" s="116"/>
      <c r="Q1720" s="116"/>
      <c r="R1720" s="116" t="s">
        <v>39</v>
      </c>
      <c r="S1720" s="116" t="s">
        <v>39</v>
      </c>
      <c r="T1720" s="104" t="s">
        <v>5672</v>
      </c>
      <c r="U1720" s="116"/>
      <c r="V1720" s="104" t="s">
        <v>5672</v>
      </c>
      <c r="W1720" s="116"/>
    </row>
    <row r="1721">
      <c r="A1721" s="114" t="s">
        <v>39</v>
      </c>
      <c r="B1721" s="115"/>
      <c r="C1721" s="116"/>
      <c r="D1721" s="116"/>
      <c r="E1721" s="116" t="str">
        <f>IFERROR(__xludf.DUMMYFUNCTION("""COMPUTED_VALUE"""),"")</f>
        <v/>
      </c>
      <c r="F1721" s="117" t="s">
        <v>39</v>
      </c>
      <c r="G1721" s="116"/>
      <c r="H1721" s="117"/>
      <c r="I1721" s="117"/>
      <c r="J1721" s="117"/>
      <c r="K1721" s="117"/>
      <c r="L1721" s="116"/>
      <c r="M1721" s="117"/>
      <c r="N1721" s="118" t="str">
        <f>IFERROR(__xludf.DUMMYFUNCTION("""COMPUTED_VALUE"""),"")</f>
        <v/>
      </c>
      <c r="O1721" s="116"/>
      <c r="P1721" s="116"/>
      <c r="Q1721" s="116"/>
      <c r="R1721" s="116" t="s">
        <v>39</v>
      </c>
      <c r="S1721" s="116" t="s">
        <v>39</v>
      </c>
      <c r="T1721" s="104" t="s">
        <v>5673</v>
      </c>
      <c r="U1721" s="116"/>
      <c r="V1721" s="104" t="s">
        <v>5673</v>
      </c>
      <c r="W1721" s="116"/>
    </row>
    <row r="1722">
      <c r="A1722" s="114" t="s">
        <v>39</v>
      </c>
      <c r="B1722" s="115"/>
      <c r="C1722" s="116"/>
      <c r="D1722" s="116"/>
      <c r="E1722" s="116" t="str">
        <f>IFERROR(__xludf.DUMMYFUNCTION("""COMPUTED_VALUE"""),"")</f>
        <v/>
      </c>
      <c r="F1722" s="117" t="s">
        <v>39</v>
      </c>
      <c r="G1722" s="116"/>
      <c r="H1722" s="117"/>
      <c r="I1722" s="117"/>
      <c r="J1722" s="117"/>
      <c r="K1722" s="117"/>
      <c r="L1722" s="116"/>
      <c r="M1722" s="117"/>
      <c r="N1722" s="118" t="str">
        <f>IFERROR(__xludf.DUMMYFUNCTION("""COMPUTED_VALUE"""),"")</f>
        <v/>
      </c>
      <c r="O1722" s="116"/>
      <c r="P1722" s="116"/>
      <c r="Q1722" s="116"/>
      <c r="R1722" s="116" t="s">
        <v>39</v>
      </c>
      <c r="S1722" s="116" t="s">
        <v>39</v>
      </c>
      <c r="T1722" s="104" t="s">
        <v>5674</v>
      </c>
      <c r="U1722" s="116"/>
      <c r="V1722" s="104" t="s">
        <v>5674</v>
      </c>
      <c r="W1722" s="116"/>
    </row>
    <row r="1723">
      <c r="A1723" s="114" t="s">
        <v>39</v>
      </c>
      <c r="B1723" s="115"/>
      <c r="C1723" s="116"/>
      <c r="D1723" s="116"/>
      <c r="E1723" s="116" t="str">
        <f>IFERROR(__xludf.DUMMYFUNCTION("""COMPUTED_VALUE"""),"")</f>
        <v/>
      </c>
      <c r="F1723" s="117" t="s">
        <v>39</v>
      </c>
      <c r="G1723" s="116"/>
      <c r="H1723" s="117"/>
      <c r="I1723" s="117"/>
      <c r="J1723" s="117"/>
      <c r="K1723" s="117"/>
      <c r="L1723" s="116"/>
      <c r="M1723" s="117"/>
      <c r="N1723" s="118" t="str">
        <f>IFERROR(__xludf.DUMMYFUNCTION("""COMPUTED_VALUE"""),"")</f>
        <v/>
      </c>
      <c r="O1723" s="116"/>
      <c r="P1723" s="116"/>
      <c r="Q1723" s="116"/>
      <c r="R1723" s="116" t="s">
        <v>39</v>
      </c>
      <c r="S1723" s="116" t="s">
        <v>39</v>
      </c>
      <c r="T1723" s="104" t="s">
        <v>5675</v>
      </c>
      <c r="U1723" s="116"/>
      <c r="V1723" s="104" t="s">
        <v>5675</v>
      </c>
      <c r="W1723" s="116"/>
    </row>
    <row r="1724">
      <c r="A1724" s="114" t="s">
        <v>39</v>
      </c>
      <c r="B1724" s="115"/>
      <c r="C1724" s="116"/>
      <c r="D1724" s="116"/>
      <c r="E1724" s="116" t="str">
        <f>IFERROR(__xludf.DUMMYFUNCTION("""COMPUTED_VALUE"""),"")</f>
        <v/>
      </c>
      <c r="F1724" s="117" t="s">
        <v>39</v>
      </c>
      <c r="G1724" s="116"/>
      <c r="H1724" s="117"/>
      <c r="I1724" s="117"/>
      <c r="J1724" s="117"/>
      <c r="K1724" s="117"/>
      <c r="L1724" s="116"/>
      <c r="M1724" s="117"/>
      <c r="N1724" s="118" t="str">
        <f>IFERROR(__xludf.DUMMYFUNCTION("""COMPUTED_VALUE"""),"")</f>
        <v/>
      </c>
      <c r="O1724" s="116"/>
      <c r="P1724" s="116"/>
      <c r="Q1724" s="116"/>
      <c r="R1724" s="116" t="s">
        <v>39</v>
      </c>
      <c r="S1724" s="116" t="s">
        <v>39</v>
      </c>
      <c r="T1724" s="104" t="s">
        <v>5676</v>
      </c>
      <c r="U1724" s="116"/>
      <c r="V1724" s="104" t="s">
        <v>5676</v>
      </c>
      <c r="W1724" s="116"/>
    </row>
    <row r="1725">
      <c r="A1725" s="114" t="s">
        <v>39</v>
      </c>
      <c r="B1725" s="115"/>
      <c r="C1725" s="116"/>
      <c r="D1725" s="116"/>
      <c r="E1725" s="116" t="str">
        <f>IFERROR(__xludf.DUMMYFUNCTION("""COMPUTED_VALUE"""),"")</f>
        <v/>
      </c>
      <c r="F1725" s="117" t="s">
        <v>39</v>
      </c>
      <c r="G1725" s="116"/>
      <c r="H1725" s="117"/>
      <c r="I1725" s="117"/>
      <c r="J1725" s="117"/>
      <c r="K1725" s="117"/>
      <c r="L1725" s="116"/>
      <c r="M1725" s="117"/>
      <c r="N1725" s="118" t="str">
        <f>IFERROR(__xludf.DUMMYFUNCTION("""COMPUTED_VALUE"""),"")</f>
        <v/>
      </c>
      <c r="O1725" s="116"/>
      <c r="P1725" s="116"/>
      <c r="Q1725" s="116"/>
      <c r="R1725" s="116" t="s">
        <v>39</v>
      </c>
      <c r="S1725" s="116" t="s">
        <v>39</v>
      </c>
      <c r="T1725" s="104" t="s">
        <v>5677</v>
      </c>
      <c r="U1725" s="116"/>
      <c r="V1725" s="104" t="s">
        <v>5677</v>
      </c>
      <c r="W1725" s="116"/>
    </row>
    <row r="1726">
      <c r="A1726" s="114" t="s">
        <v>39</v>
      </c>
      <c r="B1726" s="115"/>
      <c r="C1726" s="116"/>
      <c r="D1726" s="116"/>
      <c r="E1726" s="116" t="str">
        <f>IFERROR(__xludf.DUMMYFUNCTION("""COMPUTED_VALUE"""),"")</f>
        <v/>
      </c>
      <c r="F1726" s="117" t="s">
        <v>39</v>
      </c>
      <c r="G1726" s="116"/>
      <c r="H1726" s="117"/>
      <c r="I1726" s="117"/>
      <c r="J1726" s="117"/>
      <c r="K1726" s="117"/>
      <c r="L1726" s="116"/>
      <c r="M1726" s="117"/>
      <c r="N1726" s="118" t="str">
        <f>IFERROR(__xludf.DUMMYFUNCTION("""COMPUTED_VALUE"""),"")</f>
        <v/>
      </c>
      <c r="O1726" s="116"/>
      <c r="P1726" s="116"/>
      <c r="Q1726" s="116"/>
      <c r="R1726" s="116" t="s">
        <v>39</v>
      </c>
      <c r="S1726" s="116" t="s">
        <v>39</v>
      </c>
      <c r="T1726" s="104" t="s">
        <v>5678</v>
      </c>
      <c r="U1726" s="116"/>
      <c r="V1726" s="104" t="s">
        <v>5678</v>
      </c>
      <c r="W1726" s="116"/>
    </row>
    <row r="1727">
      <c r="A1727" s="114" t="s">
        <v>39</v>
      </c>
      <c r="B1727" s="115"/>
      <c r="C1727" s="116"/>
      <c r="D1727" s="116"/>
      <c r="E1727" s="116" t="str">
        <f>IFERROR(__xludf.DUMMYFUNCTION("""COMPUTED_VALUE"""),"")</f>
        <v/>
      </c>
      <c r="F1727" s="117" t="s">
        <v>39</v>
      </c>
      <c r="G1727" s="116"/>
      <c r="H1727" s="117"/>
      <c r="I1727" s="117"/>
      <c r="J1727" s="117"/>
      <c r="K1727" s="117"/>
      <c r="L1727" s="116"/>
      <c r="M1727" s="117"/>
      <c r="N1727" s="118" t="str">
        <f>IFERROR(__xludf.DUMMYFUNCTION("""COMPUTED_VALUE"""),"")</f>
        <v/>
      </c>
      <c r="O1727" s="116"/>
      <c r="P1727" s="116"/>
      <c r="Q1727" s="116"/>
      <c r="R1727" s="116" t="s">
        <v>39</v>
      </c>
      <c r="S1727" s="116" t="s">
        <v>39</v>
      </c>
      <c r="T1727" s="104" t="s">
        <v>5679</v>
      </c>
      <c r="U1727" s="116"/>
      <c r="V1727" s="104" t="s">
        <v>5679</v>
      </c>
      <c r="W1727" s="116"/>
    </row>
    <row r="1728">
      <c r="A1728" s="114" t="s">
        <v>39</v>
      </c>
      <c r="B1728" s="115"/>
      <c r="C1728" s="116"/>
      <c r="D1728" s="116"/>
      <c r="E1728" s="116" t="str">
        <f>IFERROR(__xludf.DUMMYFUNCTION("""COMPUTED_VALUE"""),"")</f>
        <v/>
      </c>
      <c r="F1728" s="117" t="s">
        <v>39</v>
      </c>
      <c r="G1728" s="116"/>
      <c r="H1728" s="117"/>
      <c r="I1728" s="117"/>
      <c r="J1728" s="117"/>
      <c r="K1728" s="117"/>
      <c r="L1728" s="116"/>
      <c r="M1728" s="117"/>
      <c r="N1728" s="118" t="str">
        <f>IFERROR(__xludf.DUMMYFUNCTION("""COMPUTED_VALUE"""),"")</f>
        <v/>
      </c>
      <c r="O1728" s="116"/>
      <c r="P1728" s="116"/>
      <c r="Q1728" s="116"/>
      <c r="R1728" s="116" t="s">
        <v>39</v>
      </c>
      <c r="S1728" s="116" t="s">
        <v>39</v>
      </c>
      <c r="T1728" s="104" t="s">
        <v>5680</v>
      </c>
      <c r="U1728" s="116"/>
      <c r="V1728" s="104" t="s">
        <v>5680</v>
      </c>
      <c r="W1728" s="116"/>
    </row>
    <row r="1729">
      <c r="A1729" s="114" t="s">
        <v>39</v>
      </c>
      <c r="B1729" s="115"/>
      <c r="C1729" s="116"/>
      <c r="D1729" s="116"/>
      <c r="E1729" s="116" t="str">
        <f>IFERROR(__xludf.DUMMYFUNCTION("""COMPUTED_VALUE"""),"")</f>
        <v/>
      </c>
      <c r="F1729" s="117" t="s">
        <v>39</v>
      </c>
      <c r="G1729" s="116"/>
      <c r="H1729" s="117"/>
      <c r="I1729" s="117"/>
      <c r="J1729" s="117"/>
      <c r="K1729" s="117"/>
      <c r="L1729" s="116"/>
      <c r="M1729" s="117"/>
      <c r="N1729" s="118" t="str">
        <f>IFERROR(__xludf.DUMMYFUNCTION("""COMPUTED_VALUE"""),"")</f>
        <v/>
      </c>
      <c r="O1729" s="116"/>
      <c r="P1729" s="116"/>
      <c r="Q1729" s="116"/>
      <c r="R1729" s="116" t="s">
        <v>39</v>
      </c>
      <c r="S1729" s="116" t="s">
        <v>39</v>
      </c>
      <c r="T1729" s="104" t="s">
        <v>5681</v>
      </c>
      <c r="U1729" s="116"/>
      <c r="V1729" s="104" t="s">
        <v>5681</v>
      </c>
      <c r="W1729" s="116"/>
    </row>
    <row r="1730">
      <c r="A1730" s="114" t="s">
        <v>39</v>
      </c>
      <c r="B1730" s="115"/>
      <c r="C1730" s="116"/>
      <c r="D1730" s="116"/>
      <c r="E1730" s="116" t="str">
        <f>IFERROR(__xludf.DUMMYFUNCTION("""COMPUTED_VALUE"""),"")</f>
        <v/>
      </c>
      <c r="F1730" s="117" t="s">
        <v>39</v>
      </c>
      <c r="G1730" s="116"/>
      <c r="H1730" s="117"/>
      <c r="I1730" s="117"/>
      <c r="J1730" s="117"/>
      <c r="K1730" s="117"/>
      <c r="L1730" s="116"/>
      <c r="M1730" s="117"/>
      <c r="N1730" s="118" t="str">
        <f>IFERROR(__xludf.DUMMYFUNCTION("""COMPUTED_VALUE"""),"")</f>
        <v/>
      </c>
      <c r="O1730" s="116"/>
      <c r="P1730" s="116"/>
      <c r="Q1730" s="116"/>
      <c r="R1730" s="116" t="s">
        <v>39</v>
      </c>
      <c r="S1730" s="116" t="s">
        <v>39</v>
      </c>
      <c r="T1730" s="104" t="s">
        <v>5682</v>
      </c>
      <c r="U1730" s="116"/>
      <c r="V1730" s="104" t="s">
        <v>5682</v>
      </c>
      <c r="W1730" s="116"/>
    </row>
    <row r="1731">
      <c r="A1731" s="114" t="s">
        <v>39</v>
      </c>
      <c r="B1731" s="115"/>
      <c r="C1731" s="116"/>
      <c r="D1731" s="116"/>
      <c r="E1731" s="116" t="str">
        <f>IFERROR(__xludf.DUMMYFUNCTION("""COMPUTED_VALUE"""),"")</f>
        <v/>
      </c>
      <c r="F1731" s="117" t="s">
        <v>39</v>
      </c>
      <c r="G1731" s="116"/>
      <c r="H1731" s="117"/>
      <c r="I1731" s="117"/>
      <c r="J1731" s="117"/>
      <c r="K1731" s="117"/>
      <c r="L1731" s="116"/>
      <c r="M1731" s="117"/>
      <c r="N1731" s="118" t="str">
        <f>IFERROR(__xludf.DUMMYFUNCTION("""COMPUTED_VALUE"""),"")</f>
        <v/>
      </c>
      <c r="O1731" s="116"/>
      <c r="P1731" s="116"/>
      <c r="Q1731" s="116"/>
      <c r="R1731" s="116" t="s">
        <v>39</v>
      </c>
      <c r="S1731" s="116" t="s">
        <v>39</v>
      </c>
      <c r="T1731" s="104" t="s">
        <v>5683</v>
      </c>
      <c r="U1731" s="116"/>
      <c r="V1731" s="104" t="s">
        <v>5683</v>
      </c>
      <c r="W1731" s="116"/>
    </row>
    <row r="1732">
      <c r="A1732" s="114" t="s">
        <v>39</v>
      </c>
      <c r="B1732" s="115"/>
      <c r="C1732" s="116"/>
      <c r="D1732" s="116"/>
      <c r="E1732" s="116" t="str">
        <f>IFERROR(__xludf.DUMMYFUNCTION("""COMPUTED_VALUE"""),"")</f>
        <v/>
      </c>
      <c r="F1732" s="117" t="s">
        <v>39</v>
      </c>
      <c r="G1732" s="116"/>
      <c r="H1732" s="117"/>
      <c r="I1732" s="117"/>
      <c r="J1732" s="117"/>
      <c r="K1732" s="117"/>
      <c r="L1732" s="116"/>
      <c r="M1732" s="117"/>
      <c r="N1732" s="118" t="str">
        <f>IFERROR(__xludf.DUMMYFUNCTION("""COMPUTED_VALUE"""),"")</f>
        <v/>
      </c>
      <c r="O1732" s="116"/>
      <c r="P1732" s="116"/>
      <c r="Q1732" s="116"/>
      <c r="R1732" s="116" t="s">
        <v>39</v>
      </c>
      <c r="S1732" s="116" t="s">
        <v>39</v>
      </c>
      <c r="T1732" s="104" t="s">
        <v>5684</v>
      </c>
      <c r="U1732" s="116"/>
      <c r="V1732" s="104" t="s">
        <v>5684</v>
      </c>
      <c r="W1732" s="116"/>
    </row>
    <row r="1733">
      <c r="A1733" s="114" t="s">
        <v>39</v>
      </c>
      <c r="B1733" s="115"/>
      <c r="C1733" s="116"/>
      <c r="D1733" s="116"/>
      <c r="E1733" s="116" t="str">
        <f>IFERROR(__xludf.DUMMYFUNCTION("""COMPUTED_VALUE"""),"")</f>
        <v/>
      </c>
      <c r="F1733" s="117" t="s">
        <v>39</v>
      </c>
      <c r="G1733" s="116"/>
      <c r="H1733" s="117"/>
      <c r="I1733" s="117"/>
      <c r="J1733" s="117"/>
      <c r="K1733" s="117"/>
      <c r="L1733" s="116"/>
      <c r="M1733" s="117"/>
      <c r="N1733" s="118" t="str">
        <f>IFERROR(__xludf.DUMMYFUNCTION("""COMPUTED_VALUE"""),"")</f>
        <v/>
      </c>
      <c r="O1733" s="116"/>
      <c r="P1733" s="116"/>
      <c r="Q1733" s="116"/>
      <c r="R1733" s="116" t="s">
        <v>39</v>
      </c>
      <c r="S1733" s="116" t="s">
        <v>39</v>
      </c>
      <c r="T1733" s="104" t="s">
        <v>5685</v>
      </c>
      <c r="U1733" s="116"/>
      <c r="V1733" s="104" t="s">
        <v>5685</v>
      </c>
      <c r="W1733" s="116"/>
    </row>
    <row r="1734">
      <c r="A1734" s="114" t="s">
        <v>39</v>
      </c>
      <c r="B1734" s="115"/>
      <c r="C1734" s="116"/>
      <c r="D1734" s="116"/>
      <c r="E1734" s="116" t="str">
        <f>IFERROR(__xludf.DUMMYFUNCTION("""COMPUTED_VALUE"""),"")</f>
        <v/>
      </c>
      <c r="F1734" s="117" t="s">
        <v>39</v>
      </c>
      <c r="G1734" s="116"/>
      <c r="H1734" s="117"/>
      <c r="I1734" s="117"/>
      <c r="J1734" s="117"/>
      <c r="K1734" s="117"/>
      <c r="L1734" s="116"/>
      <c r="M1734" s="117"/>
      <c r="N1734" s="118" t="str">
        <f>IFERROR(__xludf.DUMMYFUNCTION("""COMPUTED_VALUE"""),"")</f>
        <v/>
      </c>
      <c r="O1734" s="116"/>
      <c r="P1734" s="116"/>
      <c r="Q1734" s="116"/>
      <c r="R1734" s="116" t="s">
        <v>39</v>
      </c>
      <c r="S1734" s="116" t="s">
        <v>39</v>
      </c>
      <c r="T1734" s="104" t="s">
        <v>5686</v>
      </c>
      <c r="U1734" s="116"/>
      <c r="V1734" s="104" t="s">
        <v>5686</v>
      </c>
      <c r="W1734" s="116"/>
    </row>
    <row r="1735">
      <c r="A1735" s="114" t="s">
        <v>39</v>
      </c>
      <c r="B1735" s="115"/>
      <c r="C1735" s="116"/>
      <c r="D1735" s="116"/>
      <c r="E1735" s="116" t="str">
        <f>IFERROR(__xludf.DUMMYFUNCTION("""COMPUTED_VALUE"""),"")</f>
        <v/>
      </c>
      <c r="F1735" s="117" t="s">
        <v>39</v>
      </c>
      <c r="G1735" s="116"/>
      <c r="H1735" s="117"/>
      <c r="I1735" s="117"/>
      <c r="J1735" s="117"/>
      <c r="K1735" s="117"/>
      <c r="L1735" s="116"/>
      <c r="M1735" s="117"/>
      <c r="N1735" s="118" t="str">
        <f>IFERROR(__xludf.DUMMYFUNCTION("""COMPUTED_VALUE"""),"")</f>
        <v/>
      </c>
      <c r="O1735" s="116"/>
      <c r="P1735" s="116"/>
      <c r="Q1735" s="116"/>
      <c r="R1735" s="116" t="s">
        <v>39</v>
      </c>
      <c r="S1735" s="116" t="s">
        <v>39</v>
      </c>
      <c r="T1735" s="104" t="s">
        <v>5687</v>
      </c>
      <c r="U1735" s="116"/>
      <c r="V1735" s="104" t="s">
        <v>5687</v>
      </c>
      <c r="W1735" s="116"/>
    </row>
    <row r="1736">
      <c r="A1736" s="114" t="s">
        <v>39</v>
      </c>
      <c r="B1736" s="115"/>
      <c r="C1736" s="116"/>
      <c r="D1736" s="116"/>
      <c r="E1736" s="116" t="str">
        <f>IFERROR(__xludf.DUMMYFUNCTION("""COMPUTED_VALUE"""),"")</f>
        <v/>
      </c>
      <c r="F1736" s="117" t="s">
        <v>39</v>
      </c>
      <c r="G1736" s="116"/>
      <c r="H1736" s="117"/>
      <c r="I1736" s="117"/>
      <c r="J1736" s="117"/>
      <c r="K1736" s="117"/>
      <c r="L1736" s="116"/>
      <c r="M1736" s="117"/>
      <c r="N1736" s="118" t="str">
        <f>IFERROR(__xludf.DUMMYFUNCTION("""COMPUTED_VALUE"""),"")</f>
        <v/>
      </c>
      <c r="O1736" s="116"/>
      <c r="P1736" s="116"/>
      <c r="Q1736" s="116"/>
      <c r="R1736" s="116" t="s">
        <v>39</v>
      </c>
      <c r="S1736" s="116" t="s">
        <v>39</v>
      </c>
      <c r="T1736" s="104" t="s">
        <v>5688</v>
      </c>
      <c r="U1736" s="116"/>
      <c r="V1736" s="104" t="s">
        <v>5688</v>
      </c>
      <c r="W1736" s="116"/>
    </row>
    <row r="1737">
      <c r="A1737" s="114" t="s">
        <v>39</v>
      </c>
      <c r="B1737" s="115"/>
      <c r="C1737" s="116"/>
      <c r="D1737" s="116"/>
      <c r="E1737" s="116" t="str">
        <f>IFERROR(__xludf.DUMMYFUNCTION("""COMPUTED_VALUE"""),"")</f>
        <v/>
      </c>
      <c r="F1737" s="117" t="s">
        <v>39</v>
      </c>
      <c r="G1737" s="116"/>
      <c r="H1737" s="117"/>
      <c r="I1737" s="117"/>
      <c r="J1737" s="117"/>
      <c r="K1737" s="117"/>
      <c r="L1737" s="116"/>
      <c r="M1737" s="117"/>
      <c r="N1737" s="118" t="str">
        <f>IFERROR(__xludf.DUMMYFUNCTION("""COMPUTED_VALUE"""),"")</f>
        <v/>
      </c>
      <c r="O1737" s="116"/>
      <c r="P1737" s="116"/>
      <c r="Q1737" s="116"/>
      <c r="R1737" s="116" t="s">
        <v>39</v>
      </c>
      <c r="S1737" s="116" t="s">
        <v>39</v>
      </c>
      <c r="T1737" s="104" t="s">
        <v>5689</v>
      </c>
      <c r="U1737" s="116"/>
      <c r="V1737" s="104" t="s">
        <v>5689</v>
      </c>
      <c r="W1737" s="116"/>
    </row>
    <row r="1738">
      <c r="A1738" s="114" t="s">
        <v>39</v>
      </c>
      <c r="B1738" s="115"/>
      <c r="C1738" s="116"/>
      <c r="D1738" s="116"/>
      <c r="E1738" s="116" t="str">
        <f>IFERROR(__xludf.DUMMYFUNCTION("""COMPUTED_VALUE"""),"")</f>
        <v/>
      </c>
      <c r="F1738" s="117" t="s">
        <v>39</v>
      </c>
      <c r="G1738" s="116"/>
      <c r="H1738" s="117"/>
      <c r="I1738" s="117"/>
      <c r="J1738" s="117"/>
      <c r="K1738" s="117"/>
      <c r="L1738" s="116"/>
      <c r="M1738" s="117"/>
      <c r="N1738" s="118" t="str">
        <f>IFERROR(__xludf.DUMMYFUNCTION("""COMPUTED_VALUE"""),"")</f>
        <v/>
      </c>
      <c r="O1738" s="116"/>
      <c r="P1738" s="116"/>
      <c r="Q1738" s="116"/>
      <c r="R1738" s="116" t="s">
        <v>39</v>
      </c>
      <c r="S1738" s="116" t="s">
        <v>39</v>
      </c>
      <c r="T1738" s="104" t="s">
        <v>5690</v>
      </c>
      <c r="U1738" s="116"/>
      <c r="V1738" s="104" t="s">
        <v>5690</v>
      </c>
      <c r="W1738" s="116"/>
    </row>
    <row r="1739">
      <c r="A1739" s="114" t="s">
        <v>39</v>
      </c>
      <c r="B1739" s="115"/>
      <c r="C1739" s="116"/>
      <c r="D1739" s="116"/>
      <c r="E1739" s="116" t="str">
        <f>IFERROR(__xludf.DUMMYFUNCTION("""COMPUTED_VALUE"""),"")</f>
        <v/>
      </c>
      <c r="F1739" s="117" t="s">
        <v>39</v>
      </c>
      <c r="G1739" s="116"/>
      <c r="H1739" s="117"/>
      <c r="I1739" s="117"/>
      <c r="J1739" s="117"/>
      <c r="K1739" s="117"/>
      <c r="L1739" s="116"/>
      <c r="M1739" s="117"/>
      <c r="N1739" s="118" t="str">
        <f>IFERROR(__xludf.DUMMYFUNCTION("""COMPUTED_VALUE"""),"")</f>
        <v/>
      </c>
      <c r="O1739" s="116"/>
      <c r="P1739" s="116"/>
      <c r="Q1739" s="116"/>
      <c r="R1739" s="116" t="s">
        <v>39</v>
      </c>
      <c r="S1739" s="116" t="s">
        <v>39</v>
      </c>
      <c r="T1739" s="104" t="s">
        <v>5691</v>
      </c>
      <c r="U1739" s="116"/>
      <c r="V1739" s="104" t="s">
        <v>5691</v>
      </c>
      <c r="W1739" s="116"/>
    </row>
    <row r="1740">
      <c r="A1740" s="114" t="s">
        <v>39</v>
      </c>
      <c r="B1740" s="115"/>
      <c r="C1740" s="116"/>
      <c r="D1740" s="116"/>
      <c r="E1740" s="116" t="str">
        <f>IFERROR(__xludf.DUMMYFUNCTION("""COMPUTED_VALUE"""),"")</f>
        <v/>
      </c>
      <c r="F1740" s="117" t="s">
        <v>39</v>
      </c>
      <c r="G1740" s="116"/>
      <c r="H1740" s="117"/>
      <c r="I1740" s="117"/>
      <c r="J1740" s="117"/>
      <c r="K1740" s="117"/>
      <c r="L1740" s="116"/>
      <c r="M1740" s="117"/>
      <c r="N1740" s="118" t="str">
        <f>IFERROR(__xludf.DUMMYFUNCTION("""COMPUTED_VALUE"""),"")</f>
        <v/>
      </c>
      <c r="O1740" s="116"/>
      <c r="P1740" s="116"/>
      <c r="Q1740" s="116"/>
      <c r="R1740" s="116" t="s">
        <v>39</v>
      </c>
      <c r="S1740" s="116" t="s">
        <v>39</v>
      </c>
      <c r="T1740" s="104" t="s">
        <v>5692</v>
      </c>
      <c r="U1740" s="116"/>
      <c r="V1740" s="104" t="s">
        <v>5692</v>
      </c>
      <c r="W1740" s="116"/>
    </row>
    <row r="1741">
      <c r="A1741" s="114" t="s">
        <v>39</v>
      </c>
      <c r="B1741" s="115"/>
      <c r="C1741" s="116"/>
      <c r="D1741" s="116"/>
      <c r="E1741" s="116" t="str">
        <f>IFERROR(__xludf.DUMMYFUNCTION("""COMPUTED_VALUE"""),"")</f>
        <v/>
      </c>
      <c r="F1741" s="117" t="s">
        <v>39</v>
      </c>
      <c r="G1741" s="116"/>
      <c r="H1741" s="117"/>
      <c r="I1741" s="117"/>
      <c r="J1741" s="117"/>
      <c r="K1741" s="117"/>
      <c r="L1741" s="116"/>
      <c r="M1741" s="117"/>
      <c r="N1741" s="118" t="str">
        <f>IFERROR(__xludf.DUMMYFUNCTION("""COMPUTED_VALUE"""),"")</f>
        <v/>
      </c>
      <c r="O1741" s="116"/>
      <c r="P1741" s="116"/>
      <c r="Q1741" s="116"/>
      <c r="R1741" s="116" t="s">
        <v>39</v>
      </c>
      <c r="S1741" s="116" t="s">
        <v>39</v>
      </c>
      <c r="T1741" s="104" t="s">
        <v>5693</v>
      </c>
      <c r="U1741" s="116"/>
      <c r="V1741" s="104" t="s">
        <v>5693</v>
      </c>
      <c r="W1741" s="116"/>
    </row>
    <row r="1742">
      <c r="A1742" s="114" t="s">
        <v>39</v>
      </c>
      <c r="B1742" s="115"/>
      <c r="C1742" s="116"/>
      <c r="D1742" s="116"/>
      <c r="E1742" s="116" t="str">
        <f>IFERROR(__xludf.DUMMYFUNCTION("""COMPUTED_VALUE"""),"")</f>
        <v/>
      </c>
      <c r="F1742" s="117" t="s">
        <v>39</v>
      </c>
      <c r="G1742" s="116"/>
      <c r="H1742" s="117"/>
      <c r="I1742" s="117"/>
      <c r="J1742" s="117"/>
      <c r="K1742" s="117"/>
      <c r="L1742" s="116"/>
      <c r="M1742" s="117"/>
      <c r="N1742" s="118" t="str">
        <f>IFERROR(__xludf.DUMMYFUNCTION("""COMPUTED_VALUE"""),"")</f>
        <v/>
      </c>
      <c r="O1742" s="116"/>
      <c r="P1742" s="116"/>
      <c r="Q1742" s="116"/>
      <c r="R1742" s="116" t="s">
        <v>39</v>
      </c>
      <c r="S1742" s="116" t="s">
        <v>39</v>
      </c>
      <c r="T1742" s="104" t="s">
        <v>5694</v>
      </c>
      <c r="U1742" s="116"/>
      <c r="V1742" s="104" t="s">
        <v>5694</v>
      </c>
      <c r="W1742" s="116"/>
    </row>
    <row r="1743">
      <c r="A1743" s="114" t="s">
        <v>39</v>
      </c>
      <c r="B1743" s="115"/>
      <c r="C1743" s="116"/>
      <c r="D1743" s="116"/>
      <c r="E1743" s="116" t="str">
        <f>IFERROR(__xludf.DUMMYFUNCTION("""COMPUTED_VALUE"""),"")</f>
        <v/>
      </c>
      <c r="F1743" s="117" t="s">
        <v>39</v>
      </c>
      <c r="G1743" s="116"/>
      <c r="H1743" s="117"/>
      <c r="I1743" s="117"/>
      <c r="J1743" s="117"/>
      <c r="K1743" s="117"/>
      <c r="L1743" s="116"/>
      <c r="M1743" s="117"/>
      <c r="N1743" s="118" t="str">
        <f>IFERROR(__xludf.DUMMYFUNCTION("""COMPUTED_VALUE"""),"")</f>
        <v/>
      </c>
      <c r="O1743" s="116"/>
      <c r="P1743" s="116"/>
      <c r="Q1743" s="116"/>
      <c r="R1743" s="116" t="s">
        <v>39</v>
      </c>
      <c r="S1743" s="116" t="s">
        <v>39</v>
      </c>
      <c r="T1743" s="104" t="s">
        <v>5695</v>
      </c>
      <c r="U1743" s="116"/>
      <c r="V1743" s="104" t="s">
        <v>5695</v>
      </c>
      <c r="W1743" s="116"/>
    </row>
    <row r="1744">
      <c r="A1744" s="114" t="s">
        <v>39</v>
      </c>
      <c r="B1744" s="115"/>
      <c r="C1744" s="116"/>
      <c r="D1744" s="116"/>
      <c r="E1744" s="116" t="str">
        <f>IFERROR(__xludf.DUMMYFUNCTION("""COMPUTED_VALUE"""),"")</f>
        <v/>
      </c>
      <c r="F1744" s="117" t="s">
        <v>39</v>
      </c>
      <c r="G1744" s="116"/>
      <c r="H1744" s="117"/>
      <c r="I1744" s="117"/>
      <c r="J1744" s="117"/>
      <c r="K1744" s="117"/>
      <c r="L1744" s="116"/>
      <c r="M1744" s="117"/>
      <c r="N1744" s="118" t="str">
        <f>IFERROR(__xludf.DUMMYFUNCTION("""COMPUTED_VALUE"""),"")</f>
        <v/>
      </c>
      <c r="O1744" s="116"/>
      <c r="P1744" s="116"/>
      <c r="Q1744" s="116"/>
      <c r="R1744" s="116" t="s">
        <v>39</v>
      </c>
      <c r="S1744" s="116" t="s">
        <v>39</v>
      </c>
      <c r="T1744" s="104" t="s">
        <v>5696</v>
      </c>
      <c r="U1744" s="116"/>
      <c r="V1744" s="104" t="s">
        <v>5696</v>
      </c>
      <c r="W1744" s="116"/>
    </row>
    <row r="1745">
      <c r="A1745" s="114" t="s">
        <v>39</v>
      </c>
      <c r="B1745" s="115"/>
      <c r="C1745" s="116"/>
      <c r="D1745" s="116"/>
      <c r="E1745" s="116" t="str">
        <f>IFERROR(__xludf.DUMMYFUNCTION("""COMPUTED_VALUE"""),"")</f>
        <v/>
      </c>
      <c r="F1745" s="117" t="s">
        <v>39</v>
      </c>
      <c r="G1745" s="116"/>
      <c r="H1745" s="117"/>
      <c r="I1745" s="117"/>
      <c r="J1745" s="117"/>
      <c r="K1745" s="117"/>
      <c r="L1745" s="116"/>
      <c r="M1745" s="117"/>
      <c r="N1745" s="118" t="str">
        <f>IFERROR(__xludf.DUMMYFUNCTION("""COMPUTED_VALUE"""),"")</f>
        <v/>
      </c>
      <c r="O1745" s="116"/>
      <c r="P1745" s="116"/>
      <c r="Q1745" s="116"/>
      <c r="R1745" s="116" t="s">
        <v>39</v>
      </c>
      <c r="S1745" s="116" t="s">
        <v>39</v>
      </c>
      <c r="T1745" s="104" t="s">
        <v>5697</v>
      </c>
      <c r="U1745" s="116"/>
      <c r="V1745" s="104" t="s">
        <v>5697</v>
      </c>
      <c r="W1745" s="116"/>
    </row>
    <row r="1746">
      <c r="A1746" s="114" t="s">
        <v>39</v>
      </c>
      <c r="B1746" s="115"/>
      <c r="C1746" s="116"/>
      <c r="D1746" s="116"/>
      <c r="E1746" s="116" t="str">
        <f>IFERROR(__xludf.DUMMYFUNCTION("""COMPUTED_VALUE"""),"")</f>
        <v/>
      </c>
      <c r="F1746" s="117" t="s">
        <v>39</v>
      </c>
      <c r="G1746" s="116"/>
      <c r="H1746" s="117"/>
      <c r="I1746" s="117"/>
      <c r="J1746" s="117"/>
      <c r="K1746" s="117"/>
      <c r="L1746" s="116"/>
      <c r="M1746" s="117"/>
      <c r="N1746" s="118" t="str">
        <f>IFERROR(__xludf.DUMMYFUNCTION("""COMPUTED_VALUE"""),"")</f>
        <v/>
      </c>
      <c r="O1746" s="116"/>
      <c r="P1746" s="116"/>
      <c r="Q1746" s="116"/>
      <c r="R1746" s="116" t="s">
        <v>39</v>
      </c>
      <c r="S1746" s="116" t="s">
        <v>39</v>
      </c>
      <c r="T1746" s="104" t="s">
        <v>5698</v>
      </c>
      <c r="U1746" s="116"/>
      <c r="V1746" s="104" t="s">
        <v>5698</v>
      </c>
      <c r="W1746" s="116"/>
    </row>
    <row r="1747">
      <c r="A1747" s="114" t="s">
        <v>39</v>
      </c>
      <c r="B1747" s="115"/>
      <c r="C1747" s="116"/>
      <c r="D1747" s="116"/>
      <c r="E1747" s="116" t="str">
        <f>IFERROR(__xludf.DUMMYFUNCTION("""COMPUTED_VALUE"""),"")</f>
        <v/>
      </c>
      <c r="F1747" s="117" t="s">
        <v>39</v>
      </c>
      <c r="G1747" s="116"/>
      <c r="H1747" s="117"/>
      <c r="I1747" s="117"/>
      <c r="J1747" s="117"/>
      <c r="K1747" s="117"/>
      <c r="L1747" s="116"/>
      <c r="M1747" s="117"/>
      <c r="N1747" s="118" t="str">
        <f>IFERROR(__xludf.DUMMYFUNCTION("""COMPUTED_VALUE"""),"")</f>
        <v/>
      </c>
      <c r="O1747" s="116"/>
      <c r="P1747" s="116"/>
      <c r="Q1747" s="116"/>
      <c r="R1747" s="116" t="s">
        <v>39</v>
      </c>
      <c r="S1747" s="116" t="s">
        <v>39</v>
      </c>
      <c r="T1747" s="104" t="s">
        <v>5699</v>
      </c>
      <c r="U1747" s="116"/>
      <c r="V1747" s="104" t="s">
        <v>5699</v>
      </c>
      <c r="W1747" s="116"/>
    </row>
    <row r="1748">
      <c r="A1748" s="114" t="s">
        <v>39</v>
      </c>
      <c r="B1748" s="115"/>
      <c r="C1748" s="116"/>
      <c r="D1748" s="116"/>
      <c r="E1748" s="116" t="str">
        <f>IFERROR(__xludf.DUMMYFUNCTION("""COMPUTED_VALUE"""),"")</f>
        <v/>
      </c>
      <c r="F1748" s="117" t="s">
        <v>39</v>
      </c>
      <c r="G1748" s="116"/>
      <c r="H1748" s="117"/>
      <c r="I1748" s="117"/>
      <c r="J1748" s="117"/>
      <c r="K1748" s="117"/>
      <c r="L1748" s="116"/>
      <c r="M1748" s="117"/>
      <c r="N1748" s="118" t="str">
        <f>IFERROR(__xludf.DUMMYFUNCTION("""COMPUTED_VALUE"""),"")</f>
        <v/>
      </c>
      <c r="O1748" s="116"/>
      <c r="P1748" s="116"/>
      <c r="Q1748" s="116"/>
      <c r="R1748" s="116" t="s">
        <v>39</v>
      </c>
      <c r="S1748" s="116" t="s">
        <v>39</v>
      </c>
      <c r="T1748" s="104" t="s">
        <v>5700</v>
      </c>
      <c r="U1748" s="116"/>
      <c r="V1748" s="104" t="s">
        <v>5700</v>
      </c>
      <c r="W1748" s="116"/>
    </row>
    <row r="1749">
      <c r="A1749" s="114" t="s">
        <v>39</v>
      </c>
      <c r="B1749" s="115"/>
      <c r="C1749" s="116"/>
      <c r="D1749" s="116"/>
      <c r="E1749" s="116" t="str">
        <f>IFERROR(__xludf.DUMMYFUNCTION("""COMPUTED_VALUE"""),"")</f>
        <v/>
      </c>
      <c r="F1749" s="117" t="s">
        <v>39</v>
      </c>
      <c r="G1749" s="116"/>
      <c r="H1749" s="117"/>
      <c r="I1749" s="117"/>
      <c r="J1749" s="117"/>
      <c r="K1749" s="117"/>
      <c r="L1749" s="116"/>
      <c r="M1749" s="117"/>
      <c r="N1749" s="118" t="str">
        <f>IFERROR(__xludf.DUMMYFUNCTION("""COMPUTED_VALUE"""),"")</f>
        <v/>
      </c>
      <c r="O1749" s="116"/>
      <c r="P1749" s="116"/>
      <c r="Q1749" s="116"/>
      <c r="R1749" s="116" t="s">
        <v>39</v>
      </c>
      <c r="S1749" s="116" t="s">
        <v>39</v>
      </c>
      <c r="T1749" s="104" t="s">
        <v>5701</v>
      </c>
      <c r="U1749" s="116"/>
      <c r="V1749" s="104" t="s">
        <v>5701</v>
      </c>
      <c r="W1749" s="116"/>
    </row>
    <row r="1750">
      <c r="A1750" s="114" t="s">
        <v>39</v>
      </c>
      <c r="B1750" s="115"/>
      <c r="C1750" s="116"/>
      <c r="D1750" s="116"/>
      <c r="E1750" s="116" t="str">
        <f>IFERROR(__xludf.DUMMYFUNCTION("""COMPUTED_VALUE"""),"")</f>
        <v/>
      </c>
      <c r="F1750" s="117" t="s">
        <v>39</v>
      </c>
      <c r="G1750" s="116"/>
      <c r="H1750" s="117"/>
      <c r="I1750" s="117"/>
      <c r="J1750" s="117"/>
      <c r="K1750" s="117"/>
      <c r="L1750" s="116"/>
      <c r="M1750" s="117"/>
      <c r="N1750" s="118" t="str">
        <f>IFERROR(__xludf.DUMMYFUNCTION("""COMPUTED_VALUE"""),"")</f>
        <v/>
      </c>
      <c r="O1750" s="116"/>
      <c r="P1750" s="116"/>
      <c r="Q1750" s="116"/>
      <c r="R1750" s="116" t="s">
        <v>39</v>
      </c>
      <c r="S1750" s="116" t="s">
        <v>39</v>
      </c>
      <c r="T1750" s="104" t="s">
        <v>5702</v>
      </c>
      <c r="U1750" s="116"/>
      <c r="V1750" s="104" t="s">
        <v>5702</v>
      </c>
      <c r="W1750" s="116"/>
    </row>
    <row r="1751">
      <c r="A1751" s="114" t="s">
        <v>39</v>
      </c>
      <c r="B1751" s="115"/>
      <c r="C1751" s="116"/>
      <c r="D1751" s="116"/>
      <c r="E1751" s="116" t="str">
        <f>IFERROR(__xludf.DUMMYFUNCTION("""COMPUTED_VALUE"""),"")</f>
        <v/>
      </c>
      <c r="F1751" s="117" t="s">
        <v>39</v>
      </c>
      <c r="G1751" s="116"/>
      <c r="H1751" s="117"/>
      <c r="I1751" s="117"/>
      <c r="J1751" s="117"/>
      <c r="K1751" s="117"/>
      <c r="L1751" s="116"/>
      <c r="M1751" s="117"/>
      <c r="N1751" s="118" t="str">
        <f>IFERROR(__xludf.DUMMYFUNCTION("""COMPUTED_VALUE"""),"")</f>
        <v/>
      </c>
      <c r="O1751" s="116"/>
      <c r="P1751" s="116"/>
      <c r="Q1751" s="116"/>
      <c r="R1751" s="116" t="s">
        <v>39</v>
      </c>
      <c r="S1751" s="116" t="s">
        <v>39</v>
      </c>
      <c r="T1751" s="104" t="s">
        <v>5703</v>
      </c>
      <c r="U1751" s="116"/>
      <c r="V1751" s="104" t="s">
        <v>5703</v>
      </c>
      <c r="W1751" s="116"/>
    </row>
    <row r="1752">
      <c r="A1752" s="114" t="s">
        <v>39</v>
      </c>
      <c r="B1752" s="115"/>
      <c r="C1752" s="116"/>
      <c r="D1752" s="116"/>
      <c r="E1752" s="116" t="str">
        <f>IFERROR(__xludf.DUMMYFUNCTION("""COMPUTED_VALUE"""),"")</f>
        <v/>
      </c>
      <c r="F1752" s="117" t="s">
        <v>39</v>
      </c>
      <c r="G1752" s="116"/>
      <c r="H1752" s="117"/>
      <c r="I1752" s="117"/>
      <c r="J1752" s="117"/>
      <c r="K1752" s="117"/>
      <c r="L1752" s="116"/>
      <c r="M1752" s="117"/>
      <c r="N1752" s="118" t="str">
        <f>IFERROR(__xludf.DUMMYFUNCTION("""COMPUTED_VALUE"""),"")</f>
        <v/>
      </c>
      <c r="O1752" s="116"/>
      <c r="P1752" s="116"/>
      <c r="Q1752" s="116"/>
      <c r="R1752" s="116" t="s">
        <v>39</v>
      </c>
      <c r="S1752" s="116" t="s">
        <v>39</v>
      </c>
      <c r="T1752" s="104" t="s">
        <v>5704</v>
      </c>
      <c r="U1752" s="116"/>
      <c r="V1752" s="104" t="s">
        <v>5704</v>
      </c>
      <c r="W1752" s="116"/>
    </row>
    <row r="1753">
      <c r="A1753" s="114" t="s">
        <v>39</v>
      </c>
      <c r="B1753" s="115"/>
      <c r="C1753" s="116"/>
      <c r="D1753" s="116"/>
      <c r="E1753" s="116" t="str">
        <f>IFERROR(__xludf.DUMMYFUNCTION("""COMPUTED_VALUE"""),"")</f>
        <v/>
      </c>
      <c r="F1753" s="117" t="s">
        <v>39</v>
      </c>
      <c r="G1753" s="116"/>
      <c r="H1753" s="117"/>
      <c r="I1753" s="117"/>
      <c r="J1753" s="117"/>
      <c r="K1753" s="117"/>
      <c r="L1753" s="116"/>
      <c r="M1753" s="117"/>
      <c r="N1753" s="118" t="str">
        <f>IFERROR(__xludf.DUMMYFUNCTION("""COMPUTED_VALUE"""),"")</f>
        <v/>
      </c>
      <c r="O1753" s="116"/>
      <c r="P1753" s="116"/>
      <c r="Q1753" s="116"/>
      <c r="R1753" s="116" t="s">
        <v>39</v>
      </c>
      <c r="S1753" s="116" t="s">
        <v>39</v>
      </c>
      <c r="T1753" s="104" t="s">
        <v>5705</v>
      </c>
      <c r="U1753" s="116"/>
      <c r="V1753" s="104" t="s">
        <v>5705</v>
      </c>
      <c r="W1753" s="116"/>
    </row>
    <row r="1754">
      <c r="A1754" s="114" t="s">
        <v>39</v>
      </c>
      <c r="B1754" s="115"/>
      <c r="C1754" s="116"/>
      <c r="D1754" s="116"/>
      <c r="E1754" s="116" t="str">
        <f>IFERROR(__xludf.DUMMYFUNCTION("""COMPUTED_VALUE"""),"")</f>
        <v/>
      </c>
      <c r="F1754" s="117" t="s">
        <v>39</v>
      </c>
      <c r="G1754" s="116"/>
      <c r="H1754" s="117"/>
      <c r="I1754" s="117"/>
      <c r="J1754" s="117"/>
      <c r="K1754" s="117"/>
      <c r="L1754" s="116"/>
      <c r="M1754" s="117"/>
      <c r="N1754" s="118" t="str">
        <f>IFERROR(__xludf.DUMMYFUNCTION("""COMPUTED_VALUE"""),"")</f>
        <v/>
      </c>
      <c r="O1754" s="116"/>
      <c r="P1754" s="116"/>
      <c r="Q1754" s="116"/>
      <c r="R1754" s="116" t="s">
        <v>39</v>
      </c>
      <c r="S1754" s="116" t="s">
        <v>39</v>
      </c>
      <c r="T1754" s="104" t="s">
        <v>5706</v>
      </c>
      <c r="U1754" s="116"/>
      <c r="V1754" s="104" t="s">
        <v>5706</v>
      </c>
      <c r="W1754" s="116"/>
    </row>
    <row r="1755">
      <c r="A1755" s="114" t="s">
        <v>39</v>
      </c>
      <c r="B1755" s="115"/>
      <c r="C1755" s="116"/>
      <c r="D1755" s="116"/>
      <c r="E1755" s="116" t="str">
        <f>IFERROR(__xludf.DUMMYFUNCTION("""COMPUTED_VALUE"""),"")</f>
        <v/>
      </c>
      <c r="F1755" s="117" t="s">
        <v>39</v>
      </c>
      <c r="G1755" s="116"/>
      <c r="H1755" s="117"/>
      <c r="I1755" s="117"/>
      <c r="J1755" s="117"/>
      <c r="K1755" s="117"/>
      <c r="L1755" s="116"/>
      <c r="M1755" s="117"/>
      <c r="N1755" s="118" t="str">
        <f>IFERROR(__xludf.DUMMYFUNCTION("""COMPUTED_VALUE"""),"")</f>
        <v/>
      </c>
      <c r="O1755" s="116"/>
      <c r="P1755" s="116"/>
      <c r="Q1755" s="116"/>
      <c r="R1755" s="116" t="s">
        <v>39</v>
      </c>
      <c r="S1755" s="116" t="s">
        <v>39</v>
      </c>
      <c r="T1755" s="104" t="s">
        <v>5707</v>
      </c>
      <c r="U1755" s="116"/>
      <c r="V1755" s="104" t="s">
        <v>5707</v>
      </c>
      <c r="W1755" s="116"/>
    </row>
    <row r="1756">
      <c r="A1756" s="114" t="s">
        <v>39</v>
      </c>
      <c r="B1756" s="115"/>
      <c r="C1756" s="116"/>
      <c r="D1756" s="116"/>
      <c r="E1756" s="116" t="str">
        <f>IFERROR(__xludf.DUMMYFUNCTION("""COMPUTED_VALUE"""),"")</f>
        <v/>
      </c>
      <c r="F1756" s="117" t="s">
        <v>39</v>
      </c>
      <c r="G1756" s="116"/>
      <c r="H1756" s="117"/>
      <c r="I1756" s="117"/>
      <c r="J1756" s="117"/>
      <c r="K1756" s="117"/>
      <c r="L1756" s="116"/>
      <c r="M1756" s="117"/>
      <c r="N1756" s="118" t="str">
        <f>IFERROR(__xludf.DUMMYFUNCTION("""COMPUTED_VALUE"""),"")</f>
        <v/>
      </c>
      <c r="O1756" s="116"/>
      <c r="P1756" s="116"/>
      <c r="Q1756" s="116"/>
      <c r="R1756" s="116" t="s">
        <v>39</v>
      </c>
      <c r="S1756" s="116" t="s">
        <v>39</v>
      </c>
      <c r="T1756" s="104" t="s">
        <v>5708</v>
      </c>
      <c r="U1756" s="116"/>
      <c r="V1756" s="104" t="s">
        <v>5708</v>
      </c>
      <c r="W1756" s="116"/>
    </row>
    <row r="1757">
      <c r="A1757" s="114" t="s">
        <v>39</v>
      </c>
      <c r="B1757" s="115"/>
      <c r="C1757" s="116"/>
      <c r="D1757" s="116"/>
      <c r="E1757" s="116" t="str">
        <f>IFERROR(__xludf.DUMMYFUNCTION("""COMPUTED_VALUE"""),"")</f>
        <v/>
      </c>
      <c r="F1757" s="117" t="s">
        <v>39</v>
      </c>
      <c r="G1757" s="116"/>
      <c r="H1757" s="117"/>
      <c r="I1757" s="117"/>
      <c r="J1757" s="117"/>
      <c r="K1757" s="117"/>
      <c r="L1757" s="116"/>
      <c r="M1757" s="117"/>
      <c r="N1757" s="118" t="str">
        <f>IFERROR(__xludf.DUMMYFUNCTION("""COMPUTED_VALUE"""),"")</f>
        <v/>
      </c>
      <c r="O1757" s="116"/>
      <c r="P1757" s="116"/>
      <c r="Q1757" s="116"/>
      <c r="R1757" s="116" t="s">
        <v>39</v>
      </c>
      <c r="S1757" s="116" t="s">
        <v>39</v>
      </c>
      <c r="T1757" s="104" t="s">
        <v>5709</v>
      </c>
      <c r="U1757" s="116"/>
      <c r="V1757" s="104" t="s">
        <v>5709</v>
      </c>
      <c r="W1757" s="116"/>
    </row>
    <row r="1758">
      <c r="A1758" s="114" t="s">
        <v>39</v>
      </c>
      <c r="B1758" s="115"/>
      <c r="C1758" s="116"/>
      <c r="D1758" s="116"/>
      <c r="E1758" s="116" t="str">
        <f>IFERROR(__xludf.DUMMYFUNCTION("""COMPUTED_VALUE"""),"")</f>
        <v/>
      </c>
      <c r="F1758" s="117" t="s">
        <v>39</v>
      </c>
      <c r="G1758" s="116"/>
      <c r="H1758" s="117"/>
      <c r="I1758" s="117"/>
      <c r="J1758" s="117"/>
      <c r="K1758" s="117"/>
      <c r="L1758" s="116"/>
      <c r="M1758" s="117"/>
      <c r="N1758" s="118" t="str">
        <f>IFERROR(__xludf.DUMMYFUNCTION("""COMPUTED_VALUE"""),"")</f>
        <v/>
      </c>
      <c r="O1758" s="116"/>
      <c r="P1758" s="116"/>
      <c r="Q1758" s="116"/>
      <c r="R1758" s="116" t="s">
        <v>39</v>
      </c>
      <c r="S1758" s="116" t="s">
        <v>39</v>
      </c>
      <c r="T1758" s="104" t="s">
        <v>5710</v>
      </c>
      <c r="U1758" s="116"/>
      <c r="V1758" s="104" t="s">
        <v>5710</v>
      </c>
      <c r="W1758" s="116"/>
    </row>
    <row r="1759">
      <c r="A1759" s="114" t="s">
        <v>39</v>
      </c>
      <c r="B1759" s="115"/>
      <c r="C1759" s="116"/>
      <c r="D1759" s="116"/>
      <c r="E1759" s="116" t="str">
        <f>IFERROR(__xludf.DUMMYFUNCTION("""COMPUTED_VALUE"""),"")</f>
        <v/>
      </c>
      <c r="F1759" s="117" t="s">
        <v>39</v>
      </c>
      <c r="G1759" s="116"/>
      <c r="H1759" s="117"/>
      <c r="I1759" s="117"/>
      <c r="J1759" s="117"/>
      <c r="K1759" s="117"/>
      <c r="L1759" s="116"/>
      <c r="M1759" s="117"/>
      <c r="N1759" s="118" t="str">
        <f>IFERROR(__xludf.DUMMYFUNCTION("""COMPUTED_VALUE"""),"")</f>
        <v/>
      </c>
      <c r="O1759" s="116"/>
      <c r="P1759" s="116"/>
      <c r="Q1759" s="116"/>
      <c r="R1759" s="116" t="s">
        <v>39</v>
      </c>
      <c r="S1759" s="116" t="s">
        <v>39</v>
      </c>
      <c r="T1759" s="104" t="s">
        <v>5711</v>
      </c>
      <c r="U1759" s="116"/>
      <c r="V1759" s="104" t="s">
        <v>5711</v>
      </c>
      <c r="W1759" s="116"/>
    </row>
    <row r="1760">
      <c r="A1760" s="114" t="s">
        <v>39</v>
      </c>
      <c r="B1760" s="115"/>
      <c r="C1760" s="116"/>
      <c r="D1760" s="116"/>
      <c r="E1760" s="116" t="str">
        <f>IFERROR(__xludf.DUMMYFUNCTION("""COMPUTED_VALUE"""),"")</f>
        <v/>
      </c>
      <c r="F1760" s="117" t="s">
        <v>39</v>
      </c>
      <c r="G1760" s="116"/>
      <c r="H1760" s="117"/>
      <c r="I1760" s="117"/>
      <c r="J1760" s="117"/>
      <c r="K1760" s="117"/>
      <c r="L1760" s="116"/>
      <c r="M1760" s="117"/>
      <c r="N1760" s="118" t="str">
        <f>IFERROR(__xludf.DUMMYFUNCTION("""COMPUTED_VALUE"""),"")</f>
        <v/>
      </c>
      <c r="O1760" s="116"/>
      <c r="P1760" s="116"/>
      <c r="Q1760" s="116"/>
      <c r="R1760" s="116" t="s">
        <v>39</v>
      </c>
      <c r="S1760" s="116" t="s">
        <v>39</v>
      </c>
      <c r="T1760" s="104" t="s">
        <v>5712</v>
      </c>
      <c r="U1760" s="116"/>
      <c r="V1760" s="104" t="s">
        <v>5712</v>
      </c>
      <c r="W1760" s="116"/>
    </row>
    <row r="1761">
      <c r="A1761" s="114" t="s">
        <v>39</v>
      </c>
      <c r="B1761" s="115"/>
      <c r="C1761" s="116"/>
      <c r="D1761" s="116"/>
      <c r="E1761" s="116" t="str">
        <f>IFERROR(__xludf.DUMMYFUNCTION("""COMPUTED_VALUE"""),"")</f>
        <v/>
      </c>
      <c r="F1761" s="117" t="s">
        <v>39</v>
      </c>
      <c r="G1761" s="116"/>
      <c r="H1761" s="117"/>
      <c r="I1761" s="117"/>
      <c r="J1761" s="117"/>
      <c r="K1761" s="117"/>
      <c r="L1761" s="116"/>
      <c r="M1761" s="117"/>
      <c r="N1761" s="118" t="str">
        <f>IFERROR(__xludf.DUMMYFUNCTION("""COMPUTED_VALUE"""),"")</f>
        <v/>
      </c>
      <c r="O1761" s="116"/>
      <c r="P1761" s="116"/>
      <c r="Q1761" s="116"/>
      <c r="R1761" s="116" t="s">
        <v>39</v>
      </c>
      <c r="S1761" s="116" t="s">
        <v>39</v>
      </c>
      <c r="T1761" s="104" t="s">
        <v>5713</v>
      </c>
      <c r="U1761" s="116"/>
      <c r="V1761" s="104" t="s">
        <v>5713</v>
      </c>
      <c r="W1761" s="116"/>
    </row>
    <row r="1762">
      <c r="A1762" s="114" t="s">
        <v>39</v>
      </c>
      <c r="B1762" s="115"/>
      <c r="C1762" s="116"/>
      <c r="D1762" s="116"/>
      <c r="E1762" s="116" t="str">
        <f>IFERROR(__xludf.DUMMYFUNCTION("""COMPUTED_VALUE"""),"")</f>
        <v/>
      </c>
      <c r="F1762" s="117" t="s">
        <v>39</v>
      </c>
      <c r="G1762" s="116"/>
      <c r="H1762" s="117"/>
      <c r="I1762" s="117"/>
      <c r="J1762" s="117"/>
      <c r="K1762" s="117"/>
      <c r="L1762" s="116"/>
      <c r="M1762" s="117"/>
      <c r="N1762" s="118" t="str">
        <f>IFERROR(__xludf.DUMMYFUNCTION("""COMPUTED_VALUE"""),"")</f>
        <v/>
      </c>
      <c r="O1762" s="116"/>
      <c r="P1762" s="116"/>
      <c r="Q1762" s="116"/>
      <c r="R1762" s="116" t="s">
        <v>39</v>
      </c>
      <c r="S1762" s="116" t="s">
        <v>39</v>
      </c>
      <c r="T1762" s="104" t="s">
        <v>5714</v>
      </c>
      <c r="U1762" s="116"/>
      <c r="V1762" s="104" t="s">
        <v>5714</v>
      </c>
      <c r="W1762" s="116"/>
    </row>
    <row r="1763">
      <c r="A1763" s="114" t="s">
        <v>39</v>
      </c>
      <c r="B1763" s="115"/>
      <c r="C1763" s="116"/>
      <c r="D1763" s="116"/>
      <c r="E1763" s="116" t="str">
        <f>IFERROR(__xludf.DUMMYFUNCTION("""COMPUTED_VALUE"""),"")</f>
        <v/>
      </c>
      <c r="F1763" s="117" t="s">
        <v>39</v>
      </c>
      <c r="G1763" s="116"/>
      <c r="H1763" s="117"/>
      <c r="I1763" s="117"/>
      <c r="J1763" s="117"/>
      <c r="K1763" s="117"/>
      <c r="L1763" s="116"/>
      <c r="M1763" s="117"/>
      <c r="N1763" s="118" t="str">
        <f>IFERROR(__xludf.DUMMYFUNCTION("""COMPUTED_VALUE"""),"")</f>
        <v/>
      </c>
      <c r="O1763" s="116"/>
      <c r="P1763" s="116"/>
      <c r="Q1763" s="116"/>
      <c r="R1763" s="116" t="s">
        <v>39</v>
      </c>
      <c r="S1763" s="116" t="s">
        <v>39</v>
      </c>
      <c r="T1763" s="104" t="s">
        <v>5715</v>
      </c>
      <c r="U1763" s="116"/>
      <c r="V1763" s="104" t="s">
        <v>5715</v>
      </c>
      <c r="W1763" s="116"/>
    </row>
    <row r="1764">
      <c r="A1764" s="114" t="s">
        <v>39</v>
      </c>
      <c r="B1764" s="115"/>
      <c r="C1764" s="116"/>
      <c r="D1764" s="116"/>
      <c r="E1764" s="116" t="str">
        <f>IFERROR(__xludf.DUMMYFUNCTION("""COMPUTED_VALUE"""),"")</f>
        <v/>
      </c>
      <c r="F1764" s="117" t="s">
        <v>39</v>
      </c>
      <c r="G1764" s="116"/>
      <c r="H1764" s="117"/>
      <c r="I1764" s="117"/>
      <c r="J1764" s="117"/>
      <c r="K1764" s="117"/>
      <c r="L1764" s="116"/>
      <c r="M1764" s="117"/>
      <c r="N1764" s="118" t="str">
        <f>IFERROR(__xludf.DUMMYFUNCTION("""COMPUTED_VALUE"""),"")</f>
        <v/>
      </c>
      <c r="O1764" s="116"/>
      <c r="P1764" s="116"/>
      <c r="Q1764" s="116"/>
      <c r="R1764" s="116" t="s">
        <v>39</v>
      </c>
      <c r="S1764" s="116" t="s">
        <v>39</v>
      </c>
      <c r="T1764" s="104" t="s">
        <v>5716</v>
      </c>
      <c r="U1764" s="116"/>
      <c r="V1764" s="104" t="s">
        <v>5716</v>
      </c>
      <c r="W1764" s="116"/>
    </row>
    <row r="1765">
      <c r="A1765" s="114" t="s">
        <v>39</v>
      </c>
      <c r="B1765" s="115"/>
      <c r="C1765" s="116"/>
      <c r="D1765" s="116"/>
      <c r="E1765" s="116" t="str">
        <f>IFERROR(__xludf.DUMMYFUNCTION("""COMPUTED_VALUE"""),"")</f>
        <v/>
      </c>
      <c r="F1765" s="117" t="s">
        <v>39</v>
      </c>
      <c r="G1765" s="116"/>
      <c r="H1765" s="117"/>
      <c r="I1765" s="117"/>
      <c r="J1765" s="117"/>
      <c r="K1765" s="117"/>
      <c r="L1765" s="116"/>
      <c r="M1765" s="117"/>
      <c r="N1765" s="118" t="str">
        <f>IFERROR(__xludf.DUMMYFUNCTION("""COMPUTED_VALUE"""),"")</f>
        <v/>
      </c>
      <c r="O1765" s="116"/>
      <c r="P1765" s="116"/>
      <c r="Q1765" s="116"/>
      <c r="R1765" s="116" t="s">
        <v>39</v>
      </c>
      <c r="S1765" s="116" t="s">
        <v>39</v>
      </c>
      <c r="T1765" s="104" t="s">
        <v>5717</v>
      </c>
      <c r="U1765" s="116"/>
      <c r="V1765" s="104" t="s">
        <v>5717</v>
      </c>
      <c r="W1765" s="116"/>
    </row>
    <row r="1766">
      <c r="A1766" s="114" t="s">
        <v>39</v>
      </c>
      <c r="B1766" s="115"/>
      <c r="C1766" s="116"/>
      <c r="D1766" s="116"/>
      <c r="E1766" s="116" t="str">
        <f>IFERROR(__xludf.DUMMYFUNCTION("""COMPUTED_VALUE"""),"")</f>
        <v/>
      </c>
      <c r="F1766" s="117" t="s">
        <v>39</v>
      </c>
      <c r="G1766" s="116"/>
      <c r="H1766" s="117"/>
      <c r="I1766" s="117"/>
      <c r="J1766" s="117"/>
      <c r="K1766" s="117"/>
      <c r="L1766" s="116"/>
      <c r="M1766" s="117"/>
      <c r="N1766" s="118" t="str">
        <f>IFERROR(__xludf.DUMMYFUNCTION("""COMPUTED_VALUE"""),"")</f>
        <v/>
      </c>
      <c r="O1766" s="116"/>
      <c r="P1766" s="116"/>
      <c r="Q1766" s="116"/>
      <c r="R1766" s="116" t="s">
        <v>39</v>
      </c>
      <c r="S1766" s="116" t="s">
        <v>39</v>
      </c>
      <c r="T1766" s="104" t="s">
        <v>5718</v>
      </c>
      <c r="U1766" s="116"/>
      <c r="V1766" s="104" t="s">
        <v>5718</v>
      </c>
      <c r="W1766" s="116"/>
    </row>
    <row r="1767">
      <c r="A1767" s="114" t="s">
        <v>39</v>
      </c>
      <c r="B1767" s="115"/>
      <c r="C1767" s="116"/>
      <c r="D1767" s="116"/>
      <c r="E1767" s="116" t="str">
        <f>IFERROR(__xludf.DUMMYFUNCTION("""COMPUTED_VALUE"""),"")</f>
        <v/>
      </c>
      <c r="F1767" s="117" t="s">
        <v>39</v>
      </c>
      <c r="G1767" s="116"/>
      <c r="H1767" s="117"/>
      <c r="I1767" s="117"/>
      <c r="J1767" s="117"/>
      <c r="K1767" s="117"/>
      <c r="L1767" s="116"/>
      <c r="M1767" s="117"/>
      <c r="N1767" s="118" t="str">
        <f>IFERROR(__xludf.DUMMYFUNCTION("""COMPUTED_VALUE"""),"")</f>
        <v/>
      </c>
      <c r="O1767" s="116"/>
      <c r="P1767" s="116"/>
      <c r="Q1767" s="116"/>
      <c r="R1767" s="116" t="s">
        <v>39</v>
      </c>
      <c r="S1767" s="116" t="s">
        <v>39</v>
      </c>
      <c r="T1767" s="104" t="s">
        <v>5719</v>
      </c>
      <c r="U1767" s="116"/>
      <c r="V1767" s="104" t="s">
        <v>5719</v>
      </c>
      <c r="W1767" s="116"/>
    </row>
    <row r="1768">
      <c r="A1768" s="114" t="s">
        <v>39</v>
      </c>
      <c r="B1768" s="115"/>
      <c r="C1768" s="116"/>
      <c r="D1768" s="116"/>
      <c r="E1768" s="116" t="str">
        <f>IFERROR(__xludf.DUMMYFUNCTION("""COMPUTED_VALUE"""),"")</f>
        <v/>
      </c>
      <c r="F1768" s="117" t="s">
        <v>39</v>
      </c>
      <c r="G1768" s="116"/>
      <c r="H1768" s="117"/>
      <c r="I1768" s="117"/>
      <c r="J1768" s="117"/>
      <c r="K1768" s="117"/>
      <c r="L1768" s="116"/>
      <c r="M1768" s="117"/>
      <c r="N1768" s="118" t="str">
        <f>IFERROR(__xludf.DUMMYFUNCTION("""COMPUTED_VALUE"""),"")</f>
        <v/>
      </c>
      <c r="O1768" s="116"/>
      <c r="P1768" s="116"/>
      <c r="Q1768" s="116"/>
      <c r="R1768" s="116" t="s">
        <v>39</v>
      </c>
      <c r="S1768" s="116" t="s">
        <v>39</v>
      </c>
      <c r="T1768" s="104" t="s">
        <v>5720</v>
      </c>
      <c r="U1768" s="116"/>
      <c r="V1768" s="104" t="s">
        <v>5720</v>
      </c>
      <c r="W1768" s="116"/>
    </row>
    <row r="1769">
      <c r="A1769" s="114" t="s">
        <v>39</v>
      </c>
      <c r="B1769" s="115"/>
      <c r="C1769" s="116"/>
      <c r="D1769" s="116"/>
      <c r="E1769" s="116" t="str">
        <f>IFERROR(__xludf.DUMMYFUNCTION("""COMPUTED_VALUE"""),"")</f>
        <v/>
      </c>
      <c r="F1769" s="117" t="s">
        <v>39</v>
      </c>
      <c r="G1769" s="116"/>
      <c r="H1769" s="117"/>
      <c r="I1769" s="117"/>
      <c r="J1769" s="117"/>
      <c r="K1769" s="117"/>
      <c r="L1769" s="116"/>
      <c r="M1769" s="117"/>
      <c r="N1769" s="118" t="str">
        <f>IFERROR(__xludf.DUMMYFUNCTION("""COMPUTED_VALUE"""),"")</f>
        <v/>
      </c>
      <c r="O1769" s="116"/>
      <c r="P1769" s="116"/>
      <c r="Q1769" s="116"/>
      <c r="R1769" s="116" t="s">
        <v>39</v>
      </c>
      <c r="S1769" s="116" t="s">
        <v>39</v>
      </c>
      <c r="T1769" s="104" t="s">
        <v>5721</v>
      </c>
      <c r="U1769" s="116"/>
      <c r="V1769" s="104" t="s">
        <v>5721</v>
      </c>
      <c r="W1769" s="116"/>
    </row>
    <row r="1770">
      <c r="A1770" s="114" t="s">
        <v>39</v>
      </c>
      <c r="B1770" s="115"/>
      <c r="C1770" s="116"/>
      <c r="D1770" s="116"/>
      <c r="E1770" s="116" t="str">
        <f>IFERROR(__xludf.DUMMYFUNCTION("""COMPUTED_VALUE"""),"")</f>
        <v/>
      </c>
      <c r="F1770" s="117" t="s">
        <v>39</v>
      </c>
      <c r="G1770" s="116"/>
      <c r="H1770" s="117"/>
      <c r="I1770" s="117"/>
      <c r="J1770" s="117"/>
      <c r="K1770" s="117"/>
      <c r="L1770" s="116"/>
      <c r="M1770" s="117"/>
      <c r="N1770" s="118" t="str">
        <f>IFERROR(__xludf.DUMMYFUNCTION("""COMPUTED_VALUE"""),"")</f>
        <v/>
      </c>
      <c r="O1770" s="116"/>
      <c r="P1770" s="116"/>
      <c r="Q1770" s="116"/>
      <c r="R1770" s="116" t="s">
        <v>39</v>
      </c>
      <c r="S1770" s="116" t="s">
        <v>39</v>
      </c>
      <c r="T1770" s="104" t="s">
        <v>5722</v>
      </c>
      <c r="U1770" s="116"/>
      <c r="V1770" s="104" t="s">
        <v>5722</v>
      </c>
      <c r="W1770" s="116"/>
    </row>
    <row r="1771">
      <c r="A1771" s="114" t="s">
        <v>39</v>
      </c>
      <c r="B1771" s="115"/>
      <c r="C1771" s="116"/>
      <c r="D1771" s="116"/>
      <c r="E1771" s="116" t="str">
        <f>IFERROR(__xludf.DUMMYFUNCTION("""COMPUTED_VALUE"""),"")</f>
        <v/>
      </c>
      <c r="F1771" s="117" t="s">
        <v>39</v>
      </c>
      <c r="G1771" s="116"/>
      <c r="H1771" s="117"/>
      <c r="I1771" s="117"/>
      <c r="J1771" s="117"/>
      <c r="K1771" s="117"/>
      <c r="L1771" s="116"/>
      <c r="M1771" s="117"/>
      <c r="N1771" s="118" t="str">
        <f>IFERROR(__xludf.DUMMYFUNCTION("""COMPUTED_VALUE"""),"")</f>
        <v/>
      </c>
      <c r="O1771" s="116"/>
      <c r="P1771" s="116"/>
      <c r="Q1771" s="116"/>
      <c r="R1771" s="116" t="s">
        <v>39</v>
      </c>
      <c r="S1771" s="116" t="s">
        <v>39</v>
      </c>
      <c r="T1771" s="104" t="s">
        <v>5723</v>
      </c>
      <c r="U1771" s="116"/>
      <c r="V1771" s="104" t="s">
        <v>5723</v>
      </c>
      <c r="W1771" s="116"/>
    </row>
    <row r="1772">
      <c r="A1772" s="114" t="s">
        <v>39</v>
      </c>
      <c r="B1772" s="115"/>
      <c r="C1772" s="116"/>
      <c r="D1772" s="116"/>
      <c r="E1772" s="116" t="str">
        <f>IFERROR(__xludf.DUMMYFUNCTION("""COMPUTED_VALUE"""),"")</f>
        <v/>
      </c>
      <c r="F1772" s="117" t="s">
        <v>39</v>
      </c>
      <c r="G1772" s="116"/>
      <c r="H1772" s="117"/>
      <c r="I1772" s="117"/>
      <c r="J1772" s="117"/>
      <c r="K1772" s="117"/>
      <c r="L1772" s="116"/>
      <c r="M1772" s="117"/>
      <c r="N1772" s="118" t="str">
        <f>IFERROR(__xludf.DUMMYFUNCTION("""COMPUTED_VALUE"""),"")</f>
        <v/>
      </c>
      <c r="O1772" s="116"/>
      <c r="P1772" s="116"/>
      <c r="Q1772" s="116"/>
      <c r="R1772" s="116" t="s">
        <v>39</v>
      </c>
      <c r="S1772" s="116" t="s">
        <v>39</v>
      </c>
      <c r="T1772" s="104" t="s">
        <v>5724</v>
      </c>
      <c r="U1772" s="116"/>
      <c r="V1772" s="104" t="s">
        <v>5724</v>
      </c>
      <c r="W1772" s="116"/>
    </row>
    <row r="1773">
      <c r="A1773" s="114" t="s">
        <v>39</v>
      </c>
      <c r="B1773" s="115"/>
      <c r="C1773" s="116"/>
      <c r="D1773" s="116"/>
      <c r="E1773" s="116" t="str">
        <f>IFERROR(__xludf.DUMMYFUNCTION("""COMPUTED_VALUE"""),"")</f>
        <v/>
      </c>
      <c r="F1773" s="117" t="s">
        <v>39</v>
      </c>
      <c r="G1773" s="116"/>
      <c r="H1773" s="117"/>
      <c r="I1773" s="117"/>
      <c r="J1773" s="117"/>
      <c r="K1773" s="117"/>
      <c r="L1773" s="116"/>
      <c r="M1773" s="117"/>
      <c r="N1773" s="118" t="str">
        <f>IFERROR(__xludf.DUMMYFUNCTION("""COMPUTED_VALUE"""),"")</f>
        <v/>
      </c>
      <c r="O1773" s="116"/>
      <c r="P1773" s="116"/>
      <c r="Q1773" s="116"/>
      <c r="R1773" s="116" t="s">
        <v>39</v>
      </c>
      <c r="S1773" s="116" t="s">
        <v>39</v>
      </c>
      <c r="T1773" s="104" t="s">
        <v>5725</v>
      </c>
      <c r="U1773" s="116"/>
      <c r="V1773" s="104" t="s">
        <v>5725</v>
      </c>
      <c r="W1773" s="116"/>
    </row>
    <row r="1774">
      <c r="A1774" s="114" t="s">
        <v>39</v>
      </c>
      <c r="B1774" s="115"/>
      <c r="C1774" s="116"/>
      <c r="D1774" s="116"/>
      <c r="E1774" s="116" t="str">
        <f>IFERROR(__xludf.DUMMYFUNCTION("""COMPUTED_VALUE"""),"")</f>
        <v/>
      </c>
      <c r="F1774" s="117" t="s">
        <v>39</v>
      </c>
      <c r="G1774" s="116"/>
      <c r="H1774" s="117"/>
      <c r="I1774" s="117"/>
      <c r="J1774" s="117"/>
      <c r="K1774" s="117"/>
      <c r="L1774" s="116"/>
      <c r="M1774" s="117"/>
      <c r="N1774" s="118" t="str">
        <f>IFERROR(__xludf.DUMMYFUNCTION("""COMPUTED_VALUE"""),"")</f>
        <v/>
      </c>
      <c r="O1774" s="116"/>
      <c r="P1774" s="116"/>
      <c r="Q1774" s="116"/>
      <c r="R1774" s="116" t="s">
        <v>39</v>
      </c>
      <c r="S1774" s="116" t="s">
        <v>39</v>
      </c>
      <c r="T1774" s="104" t="s">
        <v>5726</v>
      </c>
      <c r="U1774" s="116"/>
      <c r="V1774" s="104" t="s">
        <v>5726</v>
      </c>
      <c r="W1774" s="116"/>
    </row>
    <row r="1775">
      <c r="A1775" s="114" t="s">
        <v>39</v>
      </c>
      <c r="B1775" s="115"/>
      <c r="C1775" s="116"/>
      <c r="D1775" s="116"/>
      <c r="E1775" s="116" t="str">
        <f>IFERROR(__xludf.DUMMYFUNCTION("""COMPUTED_VALUE"""),"")</f>
        <v/>
      </c>
      <c r="F1775" s="117" t="s">
        <v>39</v>
      </c>
      <c r="G1775" s="116"/>
      <c r="H1775" s="117"/>
      <c r="I1775" s="117"/>
      <c r="J1775" s="117"/>
      <c r="K1775" s="117"/>
      <c r="L1775" s="116"/>
      <c r="M1775" s="117"/>
      <c r="N1775" s="118" t="str">
        <f>IFERROR(__xludf.DUMMYFUNCTION("""COMPUTED_VALUE"""),"")</f>
        <v/>
      </c>
      <c r="O1775" s="116"/>
      <c r="P1775" s="116"/>
      <c r="Q1775" s="116"/>
      <c r="R1775" s="116" t="s">
        <v>39</v>
      </c>
      <c r="S1775" s="116" t="s">
        <v>39</v>
      </c>
      <c r="T1775" s="104" t="s">
        <v>5727</v>
      </c>
      <c r="U1775" s="116"/>
      <c r="V1775" s="104" t="s">
        <v>5727</v>
      </c>
      <c r="W1775" s="116"/>
    </row>
    <row r="1776">
      <c r="A1776" s="114" t="s">
        <v>39</v>
      </c>
      <c r="B1776" s="115"/>
      <c r="C1776" s="116"/>
      <c r="D1776" s="116"/>
      <c r="E1776" s="116" t="str">
        <f>IFERROR(__xludf.DUMMYFUNCTION("""COMPUTED_VALUE"""),"")</f>
        <v/>
      </c>
      <c r="F1776" s="117" t="s">
        <v>39</v>
      </c>
      <c r="G1776" s="116"/>
      <c r="H1776" s="117"/>
      <c r="I1776" s="117"/>
      <c r="J1776" s="117"/>
      <c r="K1776" s="117"/>
      <c r="L1776" s="116"/>
      <c r="M1776" s="117"/>
      <c r="N1776" s="118" t="str">
        <f>IFERROR(__xludf.DUMMYFUNCTION("""COMPUTED_VALUE"""),"")</f>
        <v/>
      </c>
      <c r="O1776" s="116"/>
      <c r="P1776" s="116"/>
      <c r="Q1776" s="116"/>
      <c r="R1776" s="116" t="s">
        <v>39</v>
      </c>
      <c r="S1776" s="116" t="s">
        <v>39</v>
      </c>
      <c r="T1776" s="104" t="s">
        <v>5728</v>
      </c>
      <c r="U1776" s="116"/>
      <c r="V1776" s="104" t="s">
        <v>5728</v>
      </c>
      <c r="W1776" s="116"/>
    </row>
    <row r="1777">
      <c r="A1777" s="114" t="s">
        <v>39</v>
      </c>
      <c r="B1777" s="115"/>
      <c r="C1777" s="116"/>
      <c r="D1777" s="116"/>
      <c r="E1777" s="116" t="str">
        <f>IFERROR(__xludf.DUMMYFUNCTION("""COMPUTED_VALUE"""),"")</f>
        <v/>
      </c>
      <c r="F1777" s="117" t="s">
        <v>39</v>
      </c>
      <c r="G1777" s="116"/>
      <c r="H1777" s="117"/>
      <c r="I1777" s="117"/>
      <c r="J1777" s="117"/>
      <c r="K1777" s="117"/>
      <c r="L1777" s="116"/>
      <c r="M1777" s="117"/>
      <c r="N1777" s="118" t="str">
        <f>IFERROR(__xludf.DUMMYFUNCTION("""COMPUTED_VALUE"""),"")</f>
        <v/>
      </c>
      <c r="O1777" s="116"/>
      <c r="P1777" s="116"/>
      <c r="Q1777" s="116"/>
      <c r="R1777" s="116" t="s">
        <v>39</v>
      </c>
      <c r="S1777" s="116" t="s">
        <v>39</v>
      </c>
      <c r="T1777" s="104" t="s">
        <v>5729</v>
      </c>
      <c r="U1777" s="116"/>
      <c r="V1777" s="104" t="s">
        <v>5729</v>
      </c>
      <c r="W1777" s="116"/>
    </row>
    <row r="1778">
      <c r="A1778" s="114" t="s">
        <v>39</v>
      </c>
      <c r="B1778" s="115"/>
      <c r="C1778" s="116"/>
      <c r="D1778" s="116"/>
      <c r="E1778" s="116" t="str">
        <f>IFERROR(__xludf.DUMMYFUNCTION("""COMPUTED_VALUE"""),"")</f>
        <v/>
      </c>
      <c r="F1778" s="117" t="s">
        <v>39</v>
      </c>
      <c r="G1778" s="116"/>
      <c r="H1778" s="117"/>
      <c r="I1778" s="117"/>
      <c r="J1778" s="117"/>
      <c r="K1778" s="117"/>
      <c r="L1778" s="116"/>
      <c r="M1778" s="117"/>
      <c r="N1778" s="118" t="str">
        <f>IFERROR(__xludf.DUMMYFUNCTION("""COMPUTED_VALUE"""),"")</f>
        <v/>
      </c>
      <c r="O1778" s="116"/>
      <c r="P1778" s="116"/>
      <c r="Q1778" s="116"/>
      <c r="R1778" s="116" t="s">
        <v>39</v>
      </c>
      <c r="S1778" s="116" t="s">
        <v>39</v>
      </c>
      <c r="T1778" s="104" t="s">
        <v>5730</v>
      </c>
      <c r="U1778" s="116"/>
      <c r="V1778" s="104" t="s">
        <v>5730</v>
      </c>
      <c r="W1778" s="116"/>
    </row>
    <row r="1779">
      <c r="A1779" s="114" t="s">
        <v>39</v>
      </c>
      <c r="B1779" s="115"/>
      <c r="C1779" s="116"/>
      <c r="D1779" s="116"/>
      <c r="E1779" s="116" t="str">
        <f>IFERROR(__xludf.DUMMYFUNCTION("""COMPUTED_VALUE"""),"")</f>
        <v/>
      </c>
      <c r="F1779" s="117" t="s">
        <v>39</v>
      </c>
      <c r="G1779" s="116"/>
      <c r="H1779" s="117"/>
      <c r="I1779" s="117"/>
      <c r="J1779" s="117"/>
      <c r="K1779" s="117"/>
      <c r="L1779" s="116"/>
      <c r="M1779" s="117"/>
      <c r="N1779" s="118" t="str">
        <f>IFERROR(__xludf.DUMMYFUNCTION("""COMPUTED_VALUE"""),"")</f>
        <v/>
      </c>
      <c r="O1779" s="116"/>
      <c r="P1779" s="116"/>
      <c r="Q1779" s="116"/>
      <c r="R1779" s="116" t="s">
        <v>39</v>
      </c>
      <c r="S1779" s="116" t="s">
        <v>39</v>
      </c>
      <c r="T1779" s="104" t="s">
        <v>5731</v>
      </c>
      <c r="U1779" s="116"/>
      <c r="V1779" s="104" t="s">
        <v>5731</v>
      </c>
      <c r="W1779" s="116"/>
    </row>
    <row r="1780">
      <c r="A1780" s="114" t="s">
        <v>39</v>
      </c>
      <c r="B1780" s="115"/>
      <c r="C1780" s="116"/>
      <c r="D1780" s="116"/>
      <c r="E1780" s="116" t="str">
        <f>IFERROR(__xludf.DUMMYFUNCTION("""COMPUTED_VALUE"""),"")</f>
        <v/>
      </c>
      <c r="F1780" s="117" t="s">
        <v>39</v>
      </c>
      <c r="G1780" s="116"/>
      <c r="H1780" s="117"/>
      <c r="I1780" s="117"/>
      <c r="J1780" s="117"/>
      <c r="K1780" s="117"/>
      <c r="L1780" s="116"/>
      <c r="M1780" s="117"/>
      <c r="N1780" s="118" t="str">
        <f>IFERROR(__xludf.DUMMYFUNCTION("""COMPUTED_VALUE"""),"")</f>
        <v/>
      </c>
      <c r="O1780" s="116"/>
      <c r="P1780" s="116"/>
      <c r="Q1780" s="116"/>
      <c r="R1780" s="116" t="s">
        <v>39</v>
      </c>
      <c r="S1780" s="116" t="s">
        <v>39</v>
      </c>
      <c r="T1780" s="104" t="s">
        <v>5732</v>
      </c>
      <c r="U1780" s="116"/>
      <c r="V1780" s="104" t="s">
        <v>5732</v>
      </c>
      <c r="W1780" s="116"/>
    </row>
    <row r="1781">
      <c r="A1781" s="114" t="s">
        <v>39</v>
      </c>
      <c r="B1781" s="115"/>
      <c r="C1781" s="116"/>
      <c r="D1781" s="116"/>
      <c r="E1781" s="116" t="str">
        <f>IFERROR(__xludf.DUMMYFUNCTION("""COMPUTED_VALUE"""),"")</f>
        <v/>
      </c>
      <c r="F1781" s="117" t="s">
        <v>39</v>
      </c>
      <c r="G1781" s="116"/>
      <c r="H1781" s="117"/>
      <c r="I1781" s="117"/>
      <c r="J1781" s="117"/>
      <c r="K1781" s="117"/>
      <c r="L1781" s="116"/>
      <c r="M1781" s="117"/>
      <c r="N1781" s="118" t="str">
        <f>IFERROR(__xludf.DUMMYFUNCTION("""COMPUTED_VALUE"""),"")</f>
        <v/>
      </c>
      <c r="O1781" s="116"/>
      <c r="P1781" s="116"/>
      <c r="Q1781" s="116"/>
      <c r="R1781" s="116" t="s">
        <v>39</v>
      </c>
      <c r="S1781" s="116" t="s">
        <v>39</v>
      </c>
      <c r="T1781" s="104" t="s">
        <v>5733</v>
      </c>
      <c r="U1781" s="116"/>
      <c r="V1781" s="104" t="s">
        <v>5733</v>
      </c>
      <c r="W1781" s="116"/>
    </row>
    <row r="1782">
      <c r="A1782" s="114" t="s">
        <v>39</v>
      </c>
      <c r="B1782" s="115"/>
      <c r="C1782" s="116"/>
      <c r="D1782" s="116"/>
      <c r="E1782" s="116" t="str">
        <f>IFERROR(__xludf.DUMMYFUNCTION("""COMPUTED_VALUE"""),"")</f>
        <v/>
      </c>
      <c r="F1782" s="117" t="s">
        <v>39</v>
      </c>
      <c r="G1782" s="116"/>
      <c r="H1782" s="117"/>
      <c r="I1782" s="117"/>
      <c r="J1782" s="117"/>
      <c r="K1782" s="117"/>
      <c r="L1782" s="116"/>
      <c r="M1782" s="117"/>
      <c r="N1782" s="118" t="str">
        <f>IFERROR(__xludf.DUMMYFUNCTION("""COMPUTED_VALUE"""),"")</f>
        <v/>
      </c>
      <c r="O1782" s="116"/>
      <c r="P1782" s="116"/>
      <c r="Q1782" s="116"/>
      <c r="R1782" s="116" t="s">
        <v>39</v>
      </c>
      <c r="S1782" s="116" t="s">
        <v>39</v>
      </c>
      <c r="T1782" s="104" t="s">
        <v>5734</v>
      </c>
      <c r="U1782" s="116"/>
      <c r="V1782" s="104" t="s">
        <v>5734</v>
      </c>
      <c r="W1782" s="116"/>
    </row>
    <row r="1783">
      <c r="A1783" s="114" t="s">
        <v>39</v>
      </c>
      <c r="B1783" s="115"/>
      <c r="C1783" s="116"/>
      <c r="D1783" s="116"/>
      <c r="E1783" s="116" t="str">
        <f>IFERROR(__xludf.DUMMYFUNCTION("""COMPUTED_VALUE"""),"")</f>
        <v/>
      </c>
      <c r="F1783" s="117" t="s">
        <v>39</v>
      </c>
      <c r="G1783" s="116"/>
      <c r="H1783" s="117"/>
      <c r="I1783" s="117"/>
      <c r="J1783" s="117"/>
      <c r="K1783" s="117"/>
      <c r="L1783" s="116"/>
      <c r="M1783" s="117"/>
      <c r="N1783" s="118" t="str">
        <f>IFERROR(__xludf.DUMMYFUNCTION("""COMPUTED_VALUE"""),"")</f>
        <v/>
      </c>
      <c r="O1783" s="116"/>
      <c r="P1783" s="116"/>
      <c r="Q1783" s="116"/>
      <c r="R1783" s="116" t="s">
        <v>39</v>
      </c>
      <c r="S1783" s="116" t="s">
        <v>39</v>
      </c>
      <c r="T1783" s="104" t="s">
        <v>5735</v>
      </c>
      <c r="U1783" s="116"/>
      <c r="V1783" s="104" t="s">
        <v>5735</v>
      </c>
      <c r="W1783" s="116"/>
    </row>
    <row r="1784">
      <c r="A1784" s="114" t="s">
        <v>39</v>
      </c>
      <c r="B1784" s="115"/>
      <c r="C1784" s="116"/>
      <c r="D1784" s="116"/>
      <c r="E1784" s="116" t="str">
        <f>IFERROR(__xludf.DUMMYFUNCTION("""COMPUTED_VALUE"""),"")</f>
        <v/>
      </c>
      <c r="F1784" s="117" t="s">
        <v>39</v>
      </c>
      <c r="G1784" s="116"/>
      <c r="H1784" s="117"/>
      <c r="I1784" s="117"/>
      <c r="J1784" s="117"/>
      <c r="K1784" s="117"/>
      <c r="L1784" s="116"/>
      <c r="M1784" s="117"/>
      <c r="N1784" s="118" t="str">
        <f>IFERROR(__xludf.DUMMYFUNCTION("""COMPUTED_VALUE"""),"")</f>
        <v/>
      </c>
      <c r="O1784" s="116"/>
      <c r="P1784" s="116"/>
      <c r="Q1784" s="116"/>
      <c r="R1784" s="116" t="s">
        <v>39</v>
      </c>
      <c r="S1784" s="116" t="s">
        <v>39</v>
      </c>
      <c r="T1784" s="104" t="s">
        <v>5736</v>
      </c>
      <c r="U1784" s="116"/>
      <c r="V1784" s="104" t="s">
        <v>5736</v>
      </c>
      <c r="W1784" s="116"/>
    </row>
    <row r="1785">
      <c r="A1785" s="114" t="s">
        <v>39</v>
      </c>
      <c r="B1785" s="115"/>
      <c r="C1785" s="116"/>
      <c r="D1785" s="116"/>
      <c r="E1785" s="116" t="str">
        <f>IFERROR(__xludf.DUMMYFUNCTION("""COMPUTED_VALUE"""),"")</f>
        <v/>
      </c>
      <c r="F1785" s="117" t="s">
        <v>39</v>
      </c>
      <c r="G1785" s="116"/>
      <c r="H1785" s="117"/>
      <c r="I1785" s="117"/>
      <c r="J1785" s="117"/>
      <c r="K1785" s="117"/>
      <c r="L1785" s="116"/>
      <c r="M1785" s="117"/>
      <c r="N1785" s="118" t="str">
        <f>IFERROR(__xludf.DUMMYFUNCTION("""COMPUTED_VALUE"""),"")</f>
        <v/>
      </c>
      <c r="O1785" s="116"/>
      <c r="P1785" s="116"/>
      <c r="Q1785" s="116"/>
      <c r="R1785" s="116" t="s">
        <v>39</v>
      </c>
      <c r="S1785" s="116" t="s">
        <v>39</v>
      </c>
      <c r="T1785" s="104" t="s">
        <v>5737</v>
      </c>
      <c r="U1785" s="116"/>
      <c r="V1785" s="104" t="s">
        <v>5737</v>
      </c>
      <c r="W1785" s="116"/>
    </row>
    <row r="1786">
      <c r="A1786" s="114" t="s">
        <v>39</v>
      </c>
      <c r="B1786" s="115"/>
      <c r="C1786" s="116"/>
      <c r="D1786" s="116"/>
      <c r="E1786" s="116" t="str">
        <f>IFERROR(__xludf.DUMMYFUNCTION("""COMPUTED_VALUE"""),"")</f>
        <v/>
      </c>
      <c r="F1786" s="117" t="s">
        <v>39</v>
      </c>
      <c r="G1786" s="116"/>
      <c r="H1786" s="117"/>
      <c r="I1786" s="117"/>
      <c r="J1786" s="117"/>
      <c r="K1786" s="117"/>
      <c r="L1786" s="116"/>
      <c r="M1786" s="117"/>
      <c r="N1786" s="118" t="str">
        <f>IFERROR(__xludf.DUMMYFUNCTION("""COMPUTED_VALUE"""),"")</f>
        <v/>
      </c>
      <c r="O1786" s="116"/>
      <c r="P1786" s="116"/>
      <c r="Q1786" s="116"/>
      <c r="R1786" s="116" t="s">
        <v>39</v>
      </c>
      <c r="S1786" s="116" t="s">
        <v>39</v>
      </c>
      <c r="T1786" s="104" t="s">
        <v>5738</v>
      </c>
      <c r="U1786" s="116"/>
      <c r="V1786" s="104" t="s">
        <v>5738</v>
      </c>
      <c r="W1786" s="116"/>
    </row>
    <row r="1787">
      <c r="A1787" s="114" t="s">
        <v>39</v>
      </c>
      <c r="B1787" s="115"/>
      <c r="C1787" s="116"/>
      <c r="D1787" s="116"/>
      <c r="E1787" s="116" t="str">
        <f>IFERROR(__xludf.DUMMYFUNCTION("""COMPUTED_VALUE"""),"")</f>
        <v/>
      </c>
      <c r="F1787" s="117" t="s">
        <v>39</v>
      </c>
      <c r="G1787" s="116"/>
      <c r="H1787" s="117"/>
      <c r="I1787" s="117"/>
      <c r="J1787" s="117"/>
      <c r="K1787" s="117"/>
      <c r="L1787" s="116"/>
      <c r="M1787" s="117"/>
      <c r="N1787" s="118" t="str">
        <f>IFERROR(__xludf.DUMMYFUNCTION("""COMPUTED_VALUE"""),"")</f>
        <v/>
      </c>
      <c r="O1787" s="116"/>
      <c r="P1787" s="116"/>
      <c r="Q1787" s="116"/>
      <c r="R1787" s="116" t="s">
        <v>39</v>
      </c>
      <c r="S1787" s="116" t="s">
        <v>39</v>
      </c>
      <c r="T1787" s="104" t="s">
        <v>5739</v>
      </c>
      <c r="U1787" s="116"/>
      <c r="V1787" s="104" t="s">
        <v>5739</v>
      </c>
      <c r="W1787" s="116"/>
    </row>
    <row r="1788">
      <c r="A1788" s="114" t="s">
        <v>39</v>
      </c>
      <c r="B1788" s="115"/>
      <c r="C1788" s="116"/>
      <c r="D1788" s="116"/>
      <c r="E1788" s="116" t="str">
        <f>IFERROR(__xludf.DUMMYFUNCTION("""COMPUTED_VALUE"""),"")</f>
        <v/>
      </c>
      <c r="F1788" s="117" t="s">
        <v>39</v>
      </c>
      <c r="G1788" s="116"/>
      <c r="H1788" s="117"/>
      <c r="I1788" s="117"/>
      <c r="J1788" s="117"/>
      <c r="K1788" s="117"/>
      <c r="L1788" s="116"/>
      <c r="M1788" s="117"/>
      <c r="N1788" s="118" t="str">
        <f>IFERROR(__xludf.DUMMYFUNCTION("""COMPUTED_VALUE"""),"")</f>
        <v/>
      </c>
      <c r="O1788" s="116"/>
      <c r="P1788" s="116"/>
      <c r="Q1788" s="116"/>
      <c r="R1788" s="116" t="s">
        <v>39</v>
      </c>
      <c r="S1788" s="116" t="s">
        <v>39</v>
      </c>
      <c r="T1788" s="104" t="s">
        <v>5740</v>
      </c>
      <c r="U1788" s="116"/>
      <c r="V1788" s="104" t="s">
        <v>5740</v>
      </c>
      <c r="W1788" s="116"/>
    </row>
    <row r="1789">
      <c r="A1789" s="114" t="s">
        <v>39</v>
      </c>
      <c r="B1789" s="115"/>
      <c r="C1789" s="116"/>
      <c r="D1789" s="116"/>
      <c r="E1789" s="116" t="str">
        <f>IFERROR(__xludf.DUMMYFUNCTION("""COMPUTED_VALUE"""),"")</f>
        <v/>
      </c>
      <c r="F1789" s="117" t="s">
        <v>39</v>
      </c>
      <c r="G1789" s="116"/>
      <c r="H1789" s="117"/>
      <c r="I1789" s="117"/>
      <c r="J1789" s="117"/>
      <c r="K1789" s="117"/>
      <c r="L1789" s="116"/>
      <c r="M1789" s="117"/>
      <c r="N1789" s="118" t="str">
        <f>IFERROR(__xludf.DUMMYFUNCTION("""COMPUTED_VALUE"""),"")</f>
        <v/>
      </c>
      <c r="O1789" s="116"/>
      <c r="P1789" s="116"/>
      <c r="Q1789" s="116"/>
      <c r="R1789" s="116" t="s">
        <v>39</v>
      </c>
      <c r="S1789" s="116" t="s">
        <v>39</v>
      </c>
      <c r="T1789" s="104" t="s">
        <v>5741</v>
      </c>
      <c r="U1789" s="116"/>
      <c r="V1789" s="104" t="s">
        <v>5741</v>
      </c>
      <c r="W1789" s="116"/>
    </row>
    <row r="1790">
      <c r="A1790" s="114" t="s">
        <v>39</v>
      </c>
      <c r="B1790" s="115"/>
      <c r="C1790" s="116"/>
      <c r="D1790" s="116"/>
      <c r="E1790" s="116" t="str">
        <f>IFERROR(__xludf.DUMMYFUNCTION("""COMPUTED_VALUE"""),"")</f>
        <v/>
      </c>
      <c r="F1790" s="117" t="s">
        <v>39</v>
      </c>
      <c r="G1790" s="116"/>
      <c r="H1790" s="117"/>
      <c r="I1790" s="117"/>
      <c r="J1790" s="117"/>
      <c r="K1790" s="117"/>
      <c r="L1790" s="116"/>
      <c r="M1790" s="117"/>
      <c r="N1790" s="118" t="str">
        <f>IFERROR(__xludf.DUMMYFUNCTION("""COMPUTED_VALUE"""),"")</f>
        <v/>
      </c>
      <c r="O1790" s="116"/>
      <c r="P1790" s="116"/>
      <c r="Q1790" s="116"/>
      <c r="R1790" s="116" t="s">
        <v>39</v>
      </c>
      <c r="S1790" s="116" t="s">
        <v>39</v>
      </c>
      <c r="T1790" s="104" t="s">
        <v>5742</v>
      </c>
      <c r="U1790" s="116"/>
      <c r="V1790" s="104" t="s">
        <v>5742</v>
      </c>
      <c r="W1790" s="116"/>
    </row>
    <row r="1791">
      <c r="A1791" s="114" t="s">
        <v>39</v>
      </c>
      <c r="B1791" s="115"/>
      <c r="C1791" s="116"/>
      <c r="D1791" s="116"/>
      <c r="E1791" s="116" t="str">
        <f>IFERROR(__xludf.DUMMYFUNCTION("""COMPUTED_VALUE"""),"")</f>
        <v/>
      </c>
      <c r="F1791" s="117" t="s">
        <v>39</v>
      </c>
      <c r="G1791" s="116"/>
      <c r="H1791" s="117"/>
      <c r="I1791" s="117"/>
      <c r="J1791" s="117"/>
      <c r="K1791" s="117"/>
      <c r="L1791" s="116"/>
      <c r="M1791" s="117"/>
      <c r="N1791" s="118" t="str">
        <f>IFERROR(__xludf.DUMMYFUNCTION("""COMPUTED_VALUE"""),"")</f>
        <v/>
      </c>
      <c r="O1791" s="116"/>
      <c r="P1791" s="116"/>
      <c r="Q1791" s="116"/>
      <c r="R1791" s="116" t="s">
        <v>39</v>
      </c>
      <c r="S1791" s="116" t="s">
        <v>39</v>
      </c>
      <c r="T1791" s="104" t="s">
        <v>5743</v>
      </c>
      <c r="U1791" s="116"/>
      <c r="V1791" s="104" t="s">
        <v>5743</v>
      </c>
      <c r="W1791" s="116"/>
    </row>
    <row r="1792">
      <c r="A1792" s="114" t="s">
        <v>39</v>
      </c>
      <c r="B1792" s="115"/>
      <c r="C1792" s="116"/>
      <c r="D1792" s="116"/>
      <c r="E1792" s="116" t="str">
        <f>IFERROR(__xludf.DUMMYFUNCTION("""COMPUTED_VALUE"""),"")</f>
        <v/>
      </c>
      <c r="F1792" s="117" t="s">
        <v>39</v>
      </c>
      <c r="G1792" s="116"/>
      <c r="H1792" s="117"/>
      <c r="I1792" s="117"/>
      <c r="J1792" s="117"/>
      <c r="K1792" s="117"/>
      <c r="L1792" s="116"/>
      <c r="M1792" s="117"/>
      <c r="N1792" s="118" t="str">
        <f>IFERROR(__xludf.DUMMYFUNCTION("""COMPUTED_VALUE"""),"")</f>
        <v/>
      </c>
      <c r="O1792" s="116"/>
      <c r="P1792" s="116"/>
      <c r="Q1792" s="116"/>
      <c r="R1792" s="116" t="s">
        <v>39</v>
      </c>
      <c r="S1792" s="116" t="s">
        <v>39</v>
      </c>
      <c r="T1792" s="104" t="s">
        <v>5744</v>
      </c>
      <c r="U1792" s="116"/>
      <c r="V1792" s="104" t="s">
        <v>5744</v>
      </c>
      <c r="W1792" s="116"/>
    </row>
    <row r="1793">
      <c r="A1793" s="114" t="s">
        <v>39</v>
      </c>
      <c r="B1793" s="115"/>
      <c r="C1793" s="116"/>
      <c r="D1793" s="116"/>
      <c r="E1793" s="116" t="str">
        <f>IFERROR(__xludf.DUMMYFUNCTION("""COMPUTED_VALUE"""),"")</f>
        <v/>
      </c>
      <c r="F1793" s="117" t="s">
        <v>39</v>
      </c>
      <c r="G1793" s="116"/>
      <c r="H1793" s="117"/>
      <c r="I1793" s="117"/>
      <c r="J1793" s="117"/>
      <c r="K1793" s="117"/>
      <c r="L1793" s="116"/>
      <c r="M1793" s="117"/>
      <c r="N1793" s="118" t="str">
        <f>IFERROR(__xludf.DUMMYFUNCTION("""COMPUTED_VALUE"""),"")</f>
        <v/>
      </c>
      <c r="O1793" s="116"/>
      <c r="P1793" s="116"/>
      <c r="Q1793" s="116"/>
      <c r="R1793" s="116" t="s">
        <v>39</v>
      </c>
      <c r="S1793" s="116" t="s">
        <v>39</v>
      </c>
      <c r="T1793" s="104" t="s">
        <v>5745</v>
      </c>
      <c r="U1793" s="116"/>
      <c r="V1793" s="104" t="s">
        <v>5745</v>
      </c>
      <c r="W1793" s="116"/>
    </row>
    <row r="1794">
      <c r="A1794" s="114" t="s">
        <v>39</v>
      </c>
      <c r="B1794" s="115"/>
      <c r="C1794" s="116"/>
      <c r="D1794" s="116"/>
      <c r="E1794" s="116" t="str">
        <f>IFERROR(__xludf.DUMMYFUNCTION("""COMPUTED_VALUE"""),"")</f>
        <v/>
      </c>
      <c r="F1794" s="117" t="s">
        <v>39</v>
      </c>
      <c r="G1794" s="116"/>
      <c r="H1794" s="117"/>
      <c r="I1794" s="117"/>
      <c r="J1794" s="117"/>
      <c r="K1794" s="117"/>
      <c r="L1794" s="116"/>
      <c r="M1794" s="117"/>
      <c r="N1794" s="118" t="str">
        <f>IFERROR(__xludf.DUMMYFUNCTION("""COMPUTED_VALUE"""),"")</f>
        <v/>
      </c>
      <c r="O1794" s="116"/>
      <c r="P1794" s="116"/>
      <c r="Q1794" s="116"/>
      <c r="R1794" s="116" t="s">
        <v>39</v>
      </c>
      <c r="S1794" s="116" t="s">
        <v>39</v>
      </c>
      <c r="T1794" s="104" t="s">
        <v>5746</v>
      </c>
      <c r="U1794" s="116"/>
      <c r="V1794" s="104" t="s">
        <v>5746</v>
      </c>
      <c r="W1794" s="116"/>
    </row>
    <row r="1795">
      <c r="A1795" s="114" t="s">
        <v>39</v>
      </c>
      <c r="B1795" s="115"/>
      <c r="C1795" s="116"/>
      <c r="D1795" s="116"/>
      <c r="E1795" s="116" t="str">
        <f>IFERROR(__xludf.DUMMYFUNCTION("""COMPUTED_VALUE"""),"")</f>
        <v/>
      </c>
      <c r="F1795" s="117" t="s">
        <v>39</v>
      </c>
      <c r="G1795" s="116"/>
      <c r="H1795" s="117"/>
      <c r="I1795" s="117"/>
      <c r="J1795" s="117"/>
      <c r="K1795" s="117"/>
      <c r="L1795" s="116"/>
      <c r="M1795" s="117"/>
      <c r="N1795" s="118" t="str">
        <f>IFERROR(__xludf.DUMMYFUNCTION("""COMPUTED_VALUE"""),"")</f>
        <v/>
      </c>
      <c r="O1795" s="116"/>
      <c r="P1795" s="116"/>
      <c r="Q1795" s="116"/>
      <c r="R1795" s="116" t="s">
        <v>39</v>
      </c>
      <c r="S1795" s="116" t="s">
        <v>39</v>
      </c>
      <c r="T1795" s="104" t="s">
        <v>5747</v>
      </c>
      <c r="U1795" s="116"/>
      <c r="V1795" s="104" t="s">
        <v>5747</v>
      </c>
      <c r="W1795" s="116"/>
    </row>
    <row r="1796">
      <c r="A1796" s="114" t="s">
        <v>39</v>
      </c>
      <c r="B1796" s="115"/>
      <c r="C1796" s="116"/>
      <c r="D1796" s="116"/>
      <c r="E1796" s="116" t="str">
        <f>IFERROR(__xludf.DUMMYFUNCTION("""COMPUTED_VALUE"""),"")</f>
        <v/>
      </c>
      <c r="F1796" s="117" t="s">
        <v>39</v>
      </c>
      <c r="G1796" s="116"/>
      <c r="H1796" s="117"/>
      <c r="I1796" s="117"/>
      <c r="J1796" s="117"/>
      <c r="K1796" s="117"/>
      <c r="L1796" s="116"/>
      <c r="M1796" s="117"/>
      <c r="N1796" s="118" t="str">
        <f>IFERROR(__xludf.DUMMYFUNCTION("""COMPUTED_VALUE"""),"")</f>
        <v/>
      </c>
      <c r="O1796" s="116"/>
      <c r="P1796" s="116"/>
      <c r="Q1796" s="116"/>
      <c r="R1796" s="116" t="s">
        <v>39</v>
      </c>
      <c r="S1796" s="116" t="s">
        <v>39</v>
      </c>
      <c r="T1796" s="104" t="s">
        <v>5748</v>
      </c>
      <c r="U1796" s="116"/>
      <c r="V1796" s="104" t="s">
        <v>5748</v>
      </c>
      <c r="W1796" s="116"/>
    </row>
    <row r="1797">
      <c r="A1797" s="114" t="s">
        <v>39</v>
      </c>
      <c r="B1797" s="115"/>
      <c r="C1797" s="116"/>
      <c r="D1797" s="116"/>
      <c r="E1797" s="116" t="str">
        <f>IFERROR(__xludf.DUMMYFUNCTION("""COMPUTED_VALUE"""),"")</f>
        <v/>
      </c>
      <c r="F1797" s="117" t="s">
        <v>39</v>
      </c>
      <c r="G1797" s="116"/>
      <c r="H1797" s="117"/>
      <c r="I1797" s="117"/>
      <c r="J1797" s="117"/>
      <c r="K1797" s="117"/>
      <c r="L1797" s="116"/>
      <c r="M1797" s="117"/>
      <c r="N1797" s="118" t="str">
        <f>IFERROR(__xludf.DUMMYFUNCTION("""COMPUTED_VALUE"""),"")</f>
        <v/>
      </c>
      <c r="O1797" s="116"/>
      <c r="P1797" s="116"/>
      <c r="Q1797" s="116"/>
      <c r="R1797" s="116" t="s">
        <v>39</v>
      </c>
      <c r="S1797" s="116" t="s">
        <v>39</v>
      </c>
      <c r="T1797" s="104" t="s">
        <v>5749</v>
      </c>
      <c r="U1797" s="116"/>
      <c r="V1797" s="104" t="s">
        <v>5749</v>
      </c>
      <c r="W1797" s="116"/>
    </row>
    <row r="1798">
      <c r="A1798" s="114" t="s">
        <v>39</v>
      </c>
      <c r="B1798" s="115"/>
      <c r="C1798" s="116"/>
      <c r="D1798" s="116"/>
      <c r="E1798" s="116" t="str">
        <f>IFERROR(__xludf.DUMMYFUNCTION("""COMPUTED_VALUE"""),"")</f>
        <v/>
      </c>
      <c r="F1798" s="117" t="s">
        <v>39</v>
      </c>
      <c r="G1798" s="116"/>
      <c r="H1798" s="117"/>
      <c r="I1798" s="117"/>
      <c r="J1798" s="117"/>
      <c r="K1798" s="117"/>
      <c r="L1798" s="116"/>
      <c r="M1798" s="117"/>
      <c r="N1798" s="118" t="str">
        <f>IFERROR(__xludf.DUMMYFUNCTION("""COMPUTED_VALUE"""),"")</f>
        <v/>
      </c>
      <c r="O1798" s="116"/>
      <c r="P1798" s="116"/>
      <c r="Q1798" s="116"/>
      <c r="R1798" s="116" t="s">
        <v>39</v>
      </c>
      <c r="S1798" s="116" t="s">
        <v>39</v>
      </c>
      <c r="T1798" s="104" t="s">
        <v>5750</v>
      </c>
      <c r="U1798" s="116"/>
      <c r="V1798" s="104" t="s">
        <v>5750</v>
      </c>
      <c r="W1798" s="116"/>
    </row>
    <row r="1799">
      <c r="A1799" s="114" t="s">
        <v>39</v>
      </c>
      <c r="B1799" s="115"/>
      <c r="C1799" s="116"/>
      <c r="D1799" s="116"/>
      <c r="E1799" s="116" t="str">
        <f>IFERROR(__xludf.DUMMYFUNCTION("""COMPUTED_VALUE"""),"")</f>
        <v/>
      </c>
      <c r="F1799" s="117" t="s">
        <v>39</v>
      </c>
      <c r="G1799" s="116"/>
      <c r="H1799" s="117"/>
      <c r="I1799" s="117"/>
      <c r="J1799" s="117"/>
      <c r="K1799" s="117"/>
      <c r="L1799" s="116"/>
      <c r="M1799" s="117"/>
      <c r="N1799" s="118" t="str">
        <f>IFERROR(__xludf.DUMMYFUNCTION("""COMPUTED_VALUE"""),"")</f>
        <v/>
      </c>
      <c r="O1799" s="116"/>
      <c r="P1799" s="116"/>
      <c r="Q1799" s="116"/>
      <c r="R1799" s="116" t="s">
        <v>39</v>
      </c>
      <c r="S1799" s="116" t="s">
        <v>39</v>
      </c>
      <c r="T1799" s="104" t="s">
        <v>5751</v>
      </c>
      <c r="U1799" s="116"/>
      <c r="V1799" s="104" t="s">
        <v>5751</v>
      </c>
      <c r="W1799" s="116"/>
    </row>
    <row r="1800">
      <c r="A1800" s="114" t="s">
        <v>39</v>
      </c>
      <c r="B1800" s="115"/>
      <c r="C1800" s="116"/>
      <c r="D1800" s="116"/>
      <c r="E1800" s="116" t="str">
        <f>IFERROR(__xludf.DUMMYFUNCTION("""COMPUTED_VALUE"""),"")</f>
        <v/>
      </c>
      <c r="F1800" s="117" t="s">
        <v>39</v>
      </c>
      <c r="G1800" s="116"/>
      <c r="H1800" s="117"/>
      <c r="I1800" s="117"/>
      <c r="J1800" s="117"/>
      <c r="K1800" s="117"/>
      <c r="L1800" s="116"/>
      <c r="M1800" s="117"/>
      <c r="N1800" s="118" t="str">
        <f>IFERROR(__xludf.DUMMYFUNCTION("""COMPUTED_VALUE"""),"")</f>
        <v/>
      </c>
      <c r="O1800" s="116"/>
      <c r="P1800" s="116"/>
      <c r="Q1800" s="116"/>
      <c r="R1800" s="116" t="s">
        <v>39</v>
      </c>
      <c r="S1800" s="116" t="s">
        <v>39</v>
      </c>
      <c r="T1800" s="104" t="s">
        <v>5752</v>
      </c>
      <c r="U1800" s="116"/>
      <c r="V1800" s="104" t="s">
        <v>5752</v>
      </c>
      <c r="W1800" s="116"/>
    </row>
    <row r="1801">
      <c r="A1801" s="114" t="s">
        <v>39</v>
      </c>
      <c r="B1801" s="115"/>
      <c r="C1801" s="116"/>
      <c r="D1801" s="116"/>
      <c r="E1801" s="116" t="str">
        <f>IFERROR(__xludf.DUMMYFUNCTION("""COMPUTED_VALUE"""),"")</f>
        <v/>
      </c>
      <c r="F1801" s="117" t="s">
        <v>39</v>
      </c>
      <c r="G1801" s="116"/>
      <c r="H1801" s="117"/>
      <c r="I1801" s="117"/>
      <c r="J1801" s="117"/>
      <c r="K1801" s="117"/>
      <c r="L1801" s="116"/>
      <c r="M1801" s="117"/>
      <c r="N1801" s="118" t="str">
        <f>IFERROR(__xludf.DUMMYFUNCTION("""COMPUTED_VALUE"""),"")</f>
        <v/>
      </c>
      <c r="O1801" s="116"/>
      <c r="P1801" s="116"/>
      <c r="Q1801" s="116"/>
      <c r="R1801" s="116" t="s">
        <v>39</v>
      </c>
      <c r="S1801" s="116" t="s">
        <v>39</v>
      </c>
      <c r="T1801" s="104" t="s">
        <v>5753</v>
      </c>
      <c r="U1801" s="116"/>
      <c r="V1801" s="104" t="s">
        <v>5753</v>
      </c>
      <c r="W1801" s="116"/>
    </row>
    <row r="1802">
      <c r="A1802" s="114" t="s">
        <v>39</v>
      </c>
      <c r="B1802" s="115"/>
      <c r="C1802" s="116"/>
      <c r="D1802" s="116"/>
      <c r="E1802" s="116" t="str">
        <f>IFERROR(__xludf.DUMMYFUNCTION("""COMPUTED_VALUE"""),"")</f>
        <v/>
      </c>
      <c r="F1802" s="117" t="s">
        <v>39</v>
      </c>
      <c r="G1802" s="116"/>
      <c r="H1802" s="117"/>
      <c r="I1802" s="117"/>
      <c r="J1802" s="117"/>
      <c r="K1802" s="117"/>
      <c r="L1802" s="116"/>
      <c r="M1802" s="117"/>
      <c r="N1802" s="118" t="str">
        <f>IFERROR(__xludf.DUMMYFUNCTION("""COMPUTED_VALUE"""),"")</f>
        <v/>
      </c>
      <c r="O1802" s="116"/>
      <c r="P1802" s="116"/>
      <c r="Q1802" s="116"/>
      <c r="R1802" s="116" t="s">
        <v>39</v>
      </c>
      <c r="S1802" s="116" t="s">
        <v>39</v>
      </c>
      <c r="T1802" s="104" t="s">
        <v>5754</v>
      </c>
      <c r="U1802" s="116"/>
      <c r="V1802" s="104" t="s">
        <v>5754</v>
      </c>
      <c r="W1802" s="116"/>
    </row>
    <row r="1803">
      <c r="A1803" s="114" t="s">
        <v>39</v>
      </c>
      <c r="B1803" s="115"/>
      <c r="C1803" s="116"/>
      <c r="D1803" s="116"/>
      <c r="E1803" s="116" t="str">
        <f>IFERROR(__xludf.DUMMYFUNCTION("""COMPUTED_VALUE"""),"")</f>
        <v/>
      </c>
      <c r="F1803" s="117" t="s">
        <v>39</v>
      </c>
      <c r="G1803" s="116"/>
      <c r="H1803" s="117"/>
      <c r="I1803" s="117"/>
      <c r="J1803" s="117"/>
      <c r="K1803" s="117"/>
      <c r="L1803" s="116"/>
      <c r="M1803" s="117"/>
      <c r="N1803" s="118" t="str">
        <f>IFERROR(__xludf.DUMMYFUNCTION("""COMPUTED_VALUE"""),"")</f>
        <v/>
      </c>
      <c r="O1803" s="116"/>
      <c r="P1803" s="116"/>
      <c r="Q1803" s="116"/>
      <c r="R1803" s="116" t="s">
        <v>39</v>
      </c>
      <c r="S1803" s="116" t="s">
        <v>39</v>
      </c>
      <c r="T1803" s="104" t="s">
        <v>5755</v>
      </c>
      <c r="U1803" s="116"/>
      <c r="V1803" s="104" t="s">
        <v>5755</v>
      </c>
      <c r="W1803" s="116"/>
    </row>
    <row r="1804">
      <c r="A1804" s="114" t="s">
        <v>39</v>
      </c>
      <c r="B1804" s="115"/>
      <c r="C1804" s="116"/>
      <c r="D1804" s="116"/>
      <c r="E1804" s="116" t="str">
        <f>IFERROR(__xludf.DUMMYFUNCTION("""COMPUTED_VALUE"""),"")</f>
        <v/>
      </c>
      <c r="F1804" s="117" t="s">
        <v>39</v>
      </c>
      <c r="G1804" s="116"/>
      <c r="H1804" s="117"/>
      <c r="I1804" s="117"/>
      <c r="J1804" s="117"/>
      <c r="K1804" s="117"/>
      <c r="L1804" s="116"/>
      <c r="M1804" s="117"/>
      <c r="N1804" s="118" t="str">
        <f>IFERROR(__xludf.DUMMYFUNCTION("""COMPUTED_VALUE"""),"")</f>
        <v/>
      </c>
      <c r="O1804" s="116"/>
      <c r="P1804" s="116"/>
      <c r="Q1804" s="116"/>
      <c r="R1804" s="116" t="s">
        <v>39</v>
      </c>
      <c r="S1804" s="116" t="s">
        <v>39</v>
      </c>
      <c r="T1804" s="104" t="s">
        <v>5756</v>
      </c>
      <c r="U1804" s="116"/>
      <c r="V1804" s="104" t="s">
        <v>5756</v>
      </c>
      <c r="W1804" s="116"/>
    </row>
    <row r="1805">
      <c r="A1805" s="114" t="s">
        <v>39</v>
      </c>
      <c r="B1805" s="115"/>
      <c r="C1805" s="116"/>
      <c r="D1805" s="116"/>
      <c r="E1805" s="116" t="str">
        <f>IFERROR(__xludf.DUMMYFUNCTION("""COMPUTED_VALUE"""),"")</f>
        <v/>
      </c>
      <c r="F1805" s="117" t="s">
        <v>39</v>
      </c>
      <c r="G1805" s="116"/>
      <c r="H1805" s="117"/>
      <c r="I1805" s="117"/>
      <c r="J1805" s="117"/>
      <c r="K1805" s="117"/>
      <c r="L1805" s="116"/>
      <c r="M1805" s="117"/>
      <c r="N1805" s="118" t="str">
        <f>IFERROR(__xludf.DUMMYFUNCTION("""COMPUTED_VALUE"""),"")</f>
        <v/>
      </c>
      <c r="O1805" s="116"/>
      <c r="P1805" s="116"/>
      <c r="Q1805" s="116"/>
      <c r="R1805" s="116" t="s">
        <v>39</v>
      </c>
      <c r="S1805" s="116" t="s">
        <v>39</v>
      </c>
      <c r="T1805" s="104" t="s">
        <v>5757</v>
      </c>
      <c r="U1805" s="116"/>
      <c r="V1805" s="104" t="s">
        <v>5757</v>
      </c>
      <c r="W1805" s="116"/>
    </row>
    <row r="1806">
      <c r="A1806" s="114" t="s">
        <v>39</v>
      </c>
      <c r="B1806" s="115"/>
      <c r="C1806" s="116"/>
      <c r="D1806" s="116"/>
      <c r="E1806" s="116" t="str">
        <f>IFERROR(__xludf.DUMMYFUNCTION("""COMPUTED_VALUE"""),"")</f>
        <v/>
      </c>
      <c r="F1806" s="117" t="s">
        <v>39</v>
      </c>
      <c r="G1806" s="116"/>
      <c r="H1806" s="117"/>
      <c r="I1806" s="117"/>
      <c r="J1806" s="117"/>
      <c r="K1806" s="117"/>
      <c r="L1806" s="116"/>
      <c r="M1806" s="117"/>
      <c r="N1806" s="118" t="str">
        <f>IFERROR(__xludf.DUMMYFUNCTION("""COMPUTED_VALUE"""),"")</f>
        <v/>
      </c>
      <c r="O1806" s="116"/>
      <c r="P1806" s="116"/>
      <c r="Q1806" s="116"/>
      <c r="R1806" s="116" t="s">
        <v>39</v>
      </c>
      <c r="S1806" s="116" t="s">
        <v>39</v>
      </c>
      <c r="T1806" s="104" t="s">
        <v>5758</v>
      </c>
      <c r="U1806" s="116"/>
      <c r="V1806" s="104" t="s">
        <v>5758</v>
      </c>
      <c r="W1806" s="116"/>
    </row>
    <row r="1807">
      <c r="A1807" s="114" t="s">
        <v>39</v>
      </c>
      <c r="B1807" s="115"/>
      <c r="C1807" s="116"/>
      <c r="D1807" s="116"/>
      <c r="E1807" s="116" t="str">
        <f>IFERROR(__xludf.DUMMYFUNCTION("""COMPUTED_VALUE"""),"")</f>
        <v/>
      </c>
      <c r="F1807" s="117" t="s">
        <v>39</v>
      </c>
      <c r="G1807" s="116"/>
      <c r="H1807" s="117"/>
      <c r="I1807" s="117"/>
      <c r="J1807" s="117"/>
      <c r="K1807" s="117"/>
      <c r="L1807" s="116"/>
      <c r="M1807" s="117"/>
      <c r="N1807" s="118" t="str">
        <f>IFERROR(__xludf.DUMMYFUNCTION("""COMPUTED_VALUE"""),"")</f>
        <v/>
      </c>
      <c r="O1807" s="116"/>
      <c r="P1807" s="116"/>
      <c r="Q1807" s="116"/>
      <c r="R1807" s="116" t="s">
        <v>39</v>
      </c>
      <c r="S1807" s="116" t="s">
        <v>39</v>
      </c>
      <c r="T1807" s="104" t="s">
        <v>5759</v>
      </c>
      <c r="U1807" s="116"/>
      <c r="V1807" s="104" t="s">
        <v>5759</v>
      </c>
      <c r="W1807" s="116"/>
    </row>
    <row r="1808">
      <c r="A1808" s="114" t="s">
        <v>39</v>
      </c>
      <c r="B1808" s="115"/>
      <c r="C1808" s="116"/>
      <c r="D1808" s="116"/>
      <c r="E1808" s="116" t="str">
        <f>IFERROR(__xludf.DUMMYFUNCTION("""COMPUTED_VALUE"""),"")</f>
        <v/>
      </c>
      <c r="F1808" s="117" t="s">
        <v>39</v>
      </c>
      <c r="G1808" s="116"/>
      <c r="H1808" s="117"/>
      <c r="I1808" s="117"/>
      <c r="J1808" s="117"/>
      <c r="K1808" s="117"/>
      <c r="L1808" s="116"/>
      <c r="M1808" s="117"/>
      <c r="N1808" s="118" t="str">
        <f>IFERROR(__xludf.DUMMYFUNCTION("""COMPUTED_VALUE"""),"")</f>
        <v/>
      </c>
      <c r="O1808" s="116"/>
      <c r="P1808" s="116"/>
      <c r="Q1808" s="116"/>
      <c r="R1808" s="116" t="s">
        <v>39</v>
      </c>
      <c r="S1808" s="116" t="s">
        <v>39</v>
      </c>
      <c r="T1808" s="104" t="s">
        <v>5760</v>
      </c>
      <c r="U1808" s="116"/>
      <c r="V1808" s="104" t="s">
        <v>5760</v>
      </c>
      <c r="W1808" s="116"/>
    </row>
    <row r="1809">
      <c r="A1809" s="114" t="s">
        <v>39</v>
      </c>
      <c r="B1809" s="115"/>
      <c r="C1809" s="116"/>
      <c r="D1809" s="116"/>
      <c r="E1809" s="116" t="str">
        <f>IFERROR(__xludf.DUMMYFUNCTION("""COMPUTED_VALUE"""),"")</f>
        <v/>
      </c>
      <c r="F1809" s="117" t="s">
        <v>39</v>
      </c>
      <c r="G1809" s="116"/>
      <c r="H1809" s="117"/>
      <c r="I1809" s="117"/>
      <c r="J1809" s="117"/>
      <c r="K1809" s="117"/>
      <c r="L1809" s="116"/>
      <c r="M1809" s="117"/>
      <c r="N1809" s="118" t="str">
        <f>IFERROR(__xludf.DUMMYFUNCTION("""COMPUTED_VALUE"""),"")</f>
        <v/>
      </c>
      <c r="O1809" s="116"/>
      <c r="P1809" s="116"/>
      <c r="Q1809" s="116"/>
      <c r="R1809" s="116" t="s">
        <v>39</v>
      </c>
      <c r="S1809" s="116" t="s">
        <v>39</v>
      </c>
      <c r="T1809" s="104" t="s">
        <v>5761</v>
      </c>
      <c r="U1809" s="116"/>
      <c r="V1809" s="104" t="s">
        <v>5761</v>
      </c>
      <c r="W1809" s="116"/>
    </row>
    <row r="1810">
      <c r="A1810" s="114" t="s">
        <v>39</v>
      </c>
      <c r="B1810" s="115"/>
      <c r="C1810" s="116"/>
      <c r="D1810" s="116"/>
      <c r="E1810" s="116" t="str">
        <f>IFERROR(__xludf.DUMMYFUNCTION("""COMPUTED_VALUE"""),"")</f>
        <v/>
      </c>
      <c r="F1810" s="117" t="s">
        <v>39</v>
      </c>
      <c r="G1810" s="116"/>
      <c r="H1810" s="117"/>
      <c r="I1810" s="117"/>
      <c r="J1810" s="117"/>
      <c r="K1810" s="117"/>
      <c r="L1810" s="116"/>
      <c r="M1810" s="117"/>
      <c r="N1810" s="118" t="str">
        <f>IFERROR(__xludf.DUMMYFUNCTION("""COMPUTED_VALUE"""),"")</f>
        <v/>
      </c>
      <c r="O1810" s="116"/>
      <c r="P1810" s="116"/>
      <c r="Q1810" s="116"/>
      <c r="R1810" s="116" t="s">
        <v>39</v>
      </c>
      <c r="S1810" s="116" t="s">
        <v>39</v>
      </c>
      <c r="T1810" s="104" t="s">
        <v>5762</v>
      </c>
      <c r="U1810" s="116"/>
      <c r="V1810" s="104" t="s">
        <v>5762</v>
      </c>
      <c r="W1810" s="116"/>
    </row>
    <row r="1811">
      <c r="A1811" s="114" t="s">
        <v>39</v>
      </c>
      <c r="B1811" s="115"/>
      <c r="C1811" s="116"/>
      <c r="D1811" s="116"/>
      <c r="E1811" s="116" t="str">
        <f>IFERROR(__xludf.DUMMYFUNCTION("""COMPUTED_VALUE"""),"")</f>
        <v/>
      </c>
      <c r="F1811" s="117" t="s">
        <v>39</v>
      </c>
      <c r="G1811" s="116"/>
      <c r="H1811" s="117"/>
      <c r="I1811" s="117"/>
      <c r="J1811" s="117"/>
      <c r="K1811" s="117"/>
      <c r="L1811" s="116"/>
      <c r="M1811" s="117"/>
      <c r="N1811" s="118" t="str">
        <f>IFERROR(__xludf.DUMMYFUNCTION("""COMPUTED_VALUE"""),"")</f>
        <v/>
      </c>
      <c r="O1811" s="116"/>
      <c r="P1811" s="116"/>
      <c r="Q1811" s="116"/>
      <c r="R1811" s="116" t="s">
        <v>39</v>
      </c>
      <c r="S1811" s="116" t="s">
        <v>39</v>
      </c>
      <c r="T1811" s="104" t="s">
        <v>5763</v>
      </c>
      <c r="U1811" s="116"/>
      <c r="V1811" s="104" t="s">
        <v>5763</v>
      </c>
      <c r="W1811" s="116"/>
    </row>
    <row r="1812">
      <c r="A1812" s="114" t="s">
        <v>39</v>
      </c>
      <c r="B1812" s="115"/>
      <c r="C1812" s="116"/>
      <c r="D1812" s="116"/>
      <c r="E1812" s="116" t="str">
        <f>IFERROR(__xludf.DUMMYFUNCTION("""COMPUTED_VALUE"""),"")</f>
        <v/>
      </c>
      <c r="F1812" s="117" t="s">
        <v>39</v>
      </c>
      <c r="G1812" s="116"/>
      <c r="H1812" s="117"/>
      <c r="I1812" s="117"/>
      <c r="J1812" s="117"/>
      <c r="K1812" s="117"/>
      <c r="L1812" s="116"/>
      <c r="M1812" s="117"/>
      <c r="N1812" s="118" t="str">
        <f>IFERROR(__xludf.DUMMYFUNCTION("""COMPUTED_VALUE"""),"")</f>
        <v/>
      </c>
      <c r="O1812" s="116"/>
      <c r="P1812" s="116"/>
      <c r="Q1812" s="116"/>
      <c r="R1812" s="116" t="s">
        <v>39</v>
      </c>
      <c r="S1812" s="116" t="s">
        <v>39</v>
      </c>
      <c r="T1812" s="104" t="s">
        <v>5764</v>
      </c>
      <c r="U1812" s="116"/>
      <c r="V1812" s="104" t="s">
        <v>5764</v>
      </c>
      <c r="W1812" s="116"/>
    </row>
    <row r="1813">
      <c r="A1813" s="114" t="s">
        <v>39</v>
      </c>
      <c r="B1813" s="115"/>
      <c r="C1813" s="116"/>
      <c r="D1813" s="116"/>
      <c r="E1813" s="116" t="str">
        <f>IFERROR(__xludf.DUMMYFUNCTION("""COMPUTED_VALUE"""),"")</f>
        <v/>
      </c>
      <c r="F1813" s="117" t="s">
        <v>39</v>
      </c>
      <c r="G1813" s="116"/>
      <c r="H1813" s="117"/>
      <c r="I1813" s="117"/>
      <c r="J1813" s="117"/>
      <c r="K1813" s="117"/>
      <c r="L1813" s="116"/>
      <c r="M1813" s="117"/>
      <c r="N1813" s="118" t="str">
        <f>IFERROR(__xludf.DUMMYFUNCTION("""COMPUTED_VALUE"""),"")</f>
        <v/>
      </c>
      <c r="O1813" s="116"/>
      <c r="P1813" s="116"/>
      <c r="Q1813" s="116"/>
      <c r="R1813" s="116" t="s">
        <v>39</v>
      </c>
      <c r="S1813" s="116" t="s">
        <v>39</v>
      </c>
      <c r="T1813" s="104" t="s">
        <v>5765</v>
      </c>
      <c r="U1813" s="116"/>
      <c r="V1813" s="104" t="s">
        <v>5765</v>
      </c>
      <c r="W1813" s="116"/>
    </row>
    <row r="1814">
      <c r="A1814" s="114" t="s">
        <v>39</v>
      </c>
      <c r="B1814" s="115"/>
      <c r="C1814" s="116"/>
      <c r="D1814" s="116"/>
      <c r="E1814" s="116" t="str">
        <f>IFERROR(__xludf.DUMMYFUNCTION("""COMPUTED_VALUE"""),"")</f>
        <v/>
      </c>
      <c r="F1814" s="117" t="s">
        <v>39</v>
      </c>
      <c r="G1814" s="116"/>
      <c r="H1814" s="117"/>
      <c r="I1814" s="117"/>
      <c r="J1814" s="117"/>
      <c r="K1814" s="117"/>
      <c r="L1814" s="116"/>
      <c r="M1814" s="117"/>
      <c r="N1814" s="118" t="str">
        <f>IFERROR(__xludf.DUMMYFUNCTION("""COMPUTED_VALUE"""),"")</f>
        <v/>
      </c>
      <c r="O1814" s="116"/>
      <c r="P1814" s="116"/>
      <c r="Q1814" s="116"/>
      <c r="R1814" s="116" t="s">
        <v>39</v>
      </c>
      <c r="S1814" s="116" t="s">
        <v>39</v>
      </c>
      <c r="T1814" s="104" t="s">
        <v>5766</v>
      </c>
      <c r="U1814" s="116"/>
      <c r="V1814" s="104" t="s">
        <v>5766</v>
      </c>
      <c r="W1814" s="116"/>
    </row>
    <row r="1815">
      <c r="A1815" s="114" t="s">
        <v>39</v>
      </c>
      <c r="B1815" s="115"/>
      <c r="C1815" s="116"/>
      <c r="D1815" s="116"/>
      <c r="E1815" s="116" t="str">
        <f>IFERROR(__xludf.DUMMYFUNCTION("""COMPUTED_VALUE"""),"")</f>
        <v/>
      </c>
      <c r="F1815" s="117" t="s">
        <v>39</v>
      </c>
      <c r="G1815" s="116"/>
      <c r="H1815" s="117"/>
      <c r="I1815" s="117"/>
      <c r="J1815" s="117"/>
      <c r="K1815" s="117"/>
      <c r="L1815" s="116"/>
      <c r="M1815" s="117"/>
      <c r="N1815" s="118" t="str">
        <f>IFERROR(__xludf.DUMMYFUNCTION("""COMPUTED_VALUE"""),"")</f>
        <v/>
      </c>
      <c r="O1815" s="116"/>
      <c r="P1815" s="116"/>
      <c r="Q1815" s="116"/>
      <c r="R1815" s="116" t="s">
        <v>39</v>
      </c>
      <c r="S1815" s="116" t="s">
        <v>39</v>
      </c>
      <c r="T1815" s="104" t="s">
        <v>5767</v>
      </c>
      <c r="U1815" s="116"/>
      <c r="V1815" s="104" t="s">
        <v>5767</v>
      </c>
      <c r="W1815" s="116"/>
    </row>
    <row r="1816">
      <c r="A1816" s="114" t="s">
        <v>39</v>
      </c>
      <c r="B1816" s="115"/>
      <c r="C1816" s="116"/>
      <c r="D1816" s="116"/>
      <c r="E1816" s="116" t="str">
        <f>IFERROR(__xludf.DUMMYFUNCTION("""COMPUTED_VALUE"""),"")</f>
        <v/>
      </c>
      <c r="F1816" s="117" t="s">
        <v>39</v>
      </c>
      <c r="G1816" s="116"/>
      <c r="H1816" s="117"/>
      <c r="I1816" s="117"/>
      <c r="J1816" s="117"/>
      <c r="K1816" s="117"/>
      <c r="L1816" s="116"/>
      <c r="M1816" s="117"/>
      <c r="N1816" s="118" t="str">
        <f>IFERROR(__xludf.DUMMYFUNCTION("""COMPUTED_VALUE"""),"")</f>
        <v/>
      </c>
      <c r="O1816" s="116"/>
      <c r="P1816" s="116"/>
      <c r="Q1816" s="116"/>
      <c r="R1816" s="116" t="s">
        <v>39</v>
      </c>
      <c r="S1816" s="116" t="s">
        <v>39</v>
      </c>
      <c r="T1816" s="104" t="s">
        <v>5768</v>
      </c>
      <c r="U1816" s="116"/>
      <c r="V1816" s="104" t="s">
        <v>5768</v>
      </c>
      <c r="W1816" s="116"/>
    </row>
    <row r="1817">
      <c r="A1817" s="114" t="s">
        <v>39</v>
      </c>
      <c r="B1817" s="115"/>
      <c r="C1817" s="116"/>
      <c r="D1817" s="116"/>
      <c r="E1817" s="116" t="str">
        <f>IFERROR(__xludf.DUMMYFUNCTION("""COMPUTED_VALUE"""),"")</f>
        <v/>
      </c>
      <c r="F1817" s="117" t="s">
        <v>39</v>
      </c>
      <c r="G1817" s="116"/>
      <c r="H1817" s="117"/>
      <c r="I1817" s="117"/>
      <c r="J1817" s="117"/>
      <c r="K1817" s="117"/>
      <c r="L1817" s="116"/>
      <c r="M1817" s="117"/>
      <c r="N1817" s="118" t="str">
        <f>IFERROR(__xludf.DUMMYFUNCTION("""COMPUTED_VALUE"""),"")</f>
        <v/>
      </c>
      <c r="O1817" s="116"/>
      <c r="P1817" s="116"/>
      <c r="Q1817" s="116"/>
      <c r="R1817" s="116" t="s">
        <v>39</v>
      </c>
      <c r="S1817" s="116" t="s">
        <v>39</v>
      </c>
      <c r="T1817" s="104" t="s">
        <v>5769</v>
      </c>
      <c r="U1817" s="116"/>
      <c r="V1817" s="104" t="s">
        <v>5769</v>
      </c>
      <c r="W1817" s="116"/>
    </row>
    <row r="1818">
      <c r="A1818" s="114" t="s">
        <v>39</v>
      </c>
      <c r="B1818" s="115"/>
      <c r="C1818" s="116"/>
      <c r="D1818" s="116"/>
      <c r="E1818" s="116" t="str">
        <f>IFERROR(__xludf.DUMMYFUNCTION("""COMPUTED_VALUE"""),"")</f>
        <v/>
      </c>
      <c r="F1818" s="117" t="s">
        <v>39</v>
      </c>
      <c r="G1818" s="116"/>
      <c r="H1818" s="117"/>
      <c r="I1818" s="117"/>
      <c r="J1818" s="117"/>
      <c r="K1818" s="117"/>
      <c r="L1818" s="116"/>
      <c r="M1818" s="117"/>
      <c r="N1818" s="118" t="str">
        <f>IFERROR(__xludf.DUMMYFUNCTION("""COMPUTED_VALUE"""),"")</f>
        <v/>
      </c>
      <c r="O1818" s="116"/>
      <c r="P1818" s="116"/>
      <c r="Q1818" s="116"/>
      <c r="R1818" s="116" t="s">
        <v>39</v>
      </c>
      <c r="S1818" s="116" t="s">
        <v>39</v>
      </c>
      <c r="T1818" s="104" t="s">
        <v>5770</v>
      </c>
      <c r="U1818" s="116"/>
      <c r="V1818" s="104" t="s">
        <v>5770</v>
      </c>
      <c r="W1818" s="116"/>
    </row>
    <row r="1819">
      <c r="A1819" s="114" t="s">
        <v>39</v>
      </c>
      <c r="B1819" s="115"/>
      <c r="C1819" s="116"/>
      <c r="D1819" s="116"/>
      <c r="E1819" s="116" t="str">
        <f>IFERROR(__xludf.DUMMYFUNCTION("""COMPUTED_VALUE"""),"")</f>
        <v/>
      </c>
      <c r="F1819" s="117" t="s">
        <v>39</v>
      </c>
      <c r="G1819" s="116"/>
      <c r="H1819" s="117"/>
      <c r="I1819" s="117"/>
      <c r="J1819" s="117"/>
      <c r="K1819" s="117"/>
      <c r="L1819" s="116"/>
      <c r="M1819" s="117"/>
      <c r="N1819" s="118" t="str">
        <f>IFERROR(__xludf.DUMMYFUNCTION("""COMPUTED_VALUE"""),"")</f>
        <v/>
      </c>
      <c r="O1819" s="116"/>
      <c r="P1819" s="116"/>
      <c r="Q1819" s="116"/>
      <c r="R1819" s="116" t="s">
        <v>39</v>
      </c>
      <c r="S1819" s="116" t="s">
        <v>39</v>
      </c>
      <c r="T1819" s="104" t="s">
        <v>5771</v>
      </c>
      <c r="U1819" s="116"/>
      <c r="V1819" s="104" t="s">
        <v>5771</v>
      </c>
      <c r="W1819" s="116"/>
    </row>
    <row r="1820">
      <c r="A1820" s="114" t="s">
        <v>39</v>
      </c>
      <c r="B1820" s="115"/>
      <c r="C1820" s="116"/>
      <c r="D1820" s="116"/>
      <c r="E1820" s="116" t="str">
        <f>IFERROR(__xludf.DUMMYFUNCTION("""COMPUTED_VALUE"""),"")</f>
        <v/>
      </c>
      <c r="F1820" s="117" t="s">
        <v>39</v>
      </c>
      <c r="G1820" s="116"/>
      <c r="H1820" s="117"/>
      <c r="I1820" s="117"/>
      <c r="J1820" s="117"/>
      <c r="K1820" s="117"/>
      <c r="L1820" s="116"/>
      <c r="M1820" s="117"/>
      <c r="N1820" s="118" t="str">
        <f>IFERROR(__xludf.DUMMYFUNCTION("""COMPUTED_VALUE"""),"")</f>
        <v/>
      </c>
      <c r="O1820" s="116"/>
      <c r="P1820" s="116"/>
      <c r="Q1820" s="116"/>
      <c r="R1820" s="116" t="s">
        <v>39</v>
      </c>
      <c r="S1820" s="116" t="s">
        <v>39</v>
      </c>
      <c r="T1820" s="104" t="s">
        <v>5772</v>
      </c>
      <c r="U1820" s="116"/>
      <c r="V1820" s="104" t="s">
        <v>5772</v>
      </c>
      <c r="W1820" s="116"/>
    </row>
    <row r="1821">
      <c r="A1821" s="114" t="s">
        <v>39</v>
      </c>
      <c r="B1821" s="115"/>
      <c r="C1821" s="116"/>
      <c r="D1821" s="116"/>
      <c r="E1821" s="116" t="str">
        <f>IFERROR(__xludf.DUMMYFUNCTION("""COMPUTED_VALUE"""),"")</f>
        <v/>
      </c>
      <c r="F1821" s="117" t="s">
        <v>39</v>
      </c>
      <c r="G1821" s="116"/>
      <c r="H1821" s="117"/>
      <c r="I1821" s="117"/>
      <c r="J1821" s="117"/>
      <c r="K1821" s="117"/>
      <c r="L1821" s="116"/>
      <c r="M1821" s="117"/>
      <c r="N1821" s="118" t="str">
        <f>IFERROR(__xludf.DUMMYFUNCTION("""COMPUTED_VALUE"""),"")</f>
        <v/>
      </c>
      <c r="O1821" s="116"/>
      <c r="P1821" s="116"/>
      <c r="Q1821" s="116"/>
      <c r="R1821" s="116" t="s">
        <v>39</v>
      </c>
      <c r="S1821" s="116" t="s">
        <v>39</v>
      </c>
      <c r="T1821" s="104" t="s">
        <v>5773</v>
      </c>
      <c r="U1821" s="116"/>
      <c r="V1821" s="104" t="s">
        <v>5773</v>
      </c>
      <c r="W1821" s="116"/>
    </row>
    <row r="1822">
      <c r="A1822" s="114" t="s">
        <v>39</v>
      </c>
      <c r="B1822" s="115"/>
      <c r="C1822" s="116"/>
      <c r="D1822" s="116"/>
      <c r="E1822" s="116" t="str">
        <f>IFERROR(__xludf.DUMMYFUNCTION("""COMPUTED_VALUE"""),"")</f>
        <v/>
      </c>
      <c r="F1822" s="117" t="s">
        <v>39</v>
      </c>
      <c r="G1822" s="116"/>
      <c r="H1822" s="117"/>
      <c r="I1822" s="117"/>
      <c r="J1822" s="117"/>
      <c r="K1822" s="117"/>
      <c r="L1822" s="116"/>
      <c r="M1822" s="117"/>
      <c r="N1822" s="118" t="str">
        <f>IFERROR(__xludf.DUMMYFUNCTION("""COMPUTED_VALUE"""),"")</f>
        <v/>
      </c>
      <c r="O1822" s="116"/>
      <c r="P1822" s="116"/>
      <c r="Q1822" s="116"/>
      <c r="R1822" s="116" t="s">
        <v>39</v>
      </c>
      <c r="S1822" s="116" t="s">
        <v>39</v>
      </c>
      <c r="T1822" s="104" t="s">
        <v>5774</v>
      </c>
      <c r="U1822" s="116"/>
      <c r="V1822" s="104" t="s">
        <v>5774</v>
      </c>
      <c r="W1822" s="116"/>
    </row>
    <row r="1823">
      <c r="A1823" s="114" t="s">
        <v>39</v>
      </c>
      <c r="B1823" s="115"/>
      <c r="C1823" s="116"/>
      <c r="D1823" s="116"/>
      <c r="E1823" s="116" t="str">
        <f>IFERROR(__xludf.DUMMYFUNCTION("""COMPUTED_VALUE"""),"")</f>
        <v/>
      </c>
      <c r="F1823" s="117" t="s">
        <v>39</v>
      </c>
      <c r="G1823" s="116"/>
      <c r="H1823" s="117"/>
      <c r="I1823" s="117"/>
      <c r="J1823" s="117"/>
      <c r="K1823" s="117"/>
      <c r="L1823" s="116"/>
      <c r="M1823" s="117"/>
      <c r="N1823" s="118" t="str">
        <f>IFERROR(__xludf.DUMMYFUNCTION("""COMPUTED_VALUE"""),"")</f>
        <v/>
      </c>
      <c r="O1823" s="116"/>
      <c r="P1823" s="116"/>
      <c r="Q1823" s="116"/>
      <c r="R1823" s="116" t="s">
        <v>39</v>
      </c>
      <c r="S1823" s="116" t="s">
        <v>39</v>
      </c>
      <c r="T1823" s="104" t="s">
        <v>5775</v>
      </c>
      <c r="U1823" s="116"/>
      <c r="V1823" s="104" t="s">
        <v>5775</v>
      </c>
      <c r="W1823" s="116"/>
    </row>
    <row r="1824">
      <c r="A1824" s="114" t="s">
        <v>39</v>
      </c>
      <c r="B1824" s="115"/>
      <c r="C1824" s="116"/>
      <c r="D1824" s="116"/>
      <c r="E1824" s="116" t="str">
        <f>IFERROR(__xludf.DUMMYFUNCTION("""COMPUTED_VALUE"""),"")</f>
        <v/>
      </c>
      <c r="F1824" s="117" t="s">
        <v>39</v>
      </c>
      <c r="G1824" s="116"/>
      <c r="H1824" s="117"/>
      <c r="I1824" s="117"/>
      <c r="J1824" s="117"/>
      <c r="K1824" s="117"/>
      <c r="L1824" s="116"/>
      <c r="M1824" s="117"/>
      <c r="N1824" s="118" t="str">
        <f>IFERROR(__xludf.DUMMYFUNCTION("""COMPUTED_VALUE"""),"")</f>
        <v/>
      </c>
      <c r="O1824" s="116"/>
      <c r="P1824" s="116"/>
      <c r="Q1824" s="116"/>
      <c r="R1824" s="116" t="s">
        <v>39</v>
      </c>
      <c r="S1824" s="116" t="s">
        <v>39</v>
      </c>
      <c r="T1824" s="104" t="s">
        <v>5776</v>
      </c>
      <c r="U1824" s="116"/>
      <c r="V1824" s="104" t="s">
        <v>5776</v>
      </c>
      <c r="W1824" s="116"/>
    </row>
    <row r="1825">
      <c r="A1825" s="114" t="s">
        <v>39</v>
      </c>
      <c r="B1825" s="115"/>
      <c r="C1825" s="116"/>
      <c r="D1825" s="116"/>
      <c r="E1825" s="116" t="str">
        <f>IFERROR(__xludf.DUMMYFUNCTION("""COMPUTED_VALUE"""),"")</f>
        <v/>
      </c>
      <c r="F1825" s="117" t="s">
        <v>39</v>
      </c>
      <c r="G1825" s="116"/>
      <c r="H1825" s="117"/>
      <c r="I1825" s="117"/>
      <c r="J1825" s="117"/>
      <c r="K1825" s="117"/>
      <c r="L1825" s="116"/>
      <c r="M1825" s="117"/>
      <c r="N1825" s="118" t="str">
        <f>IFERROR(__xludf.DUMMYFUNCTION("""COMPUTED_VALUE"""),"")</f>
        <v/>
      </c>
      <c r="O1825" s="116"/>
      <c r="P1825" s="116"/>
      <c r="Q1825" s="116"/>
      <c r="R1825" s="116" t="s">
        <v>39</v>
      </c>
      <c r="S1825" s="116" t="s">
        <v>39</v>
      </c>
      <c r="T1825" s="104" t="s">
        <v>5777</v>
      </c>
      <c r="U1825" s="116"/>
      <c r="V1825" s="104" t="s">
        <v>5777</v>
      </c>
      <c r="W1825" s="116"/>
    </row>
    <row r="1826">
      <c r="A1826" s="114" t="s">
        <v>39</v>
      </c>
      <c r="B1826" s="115"/>
      <c r="C1826" s="116"/>
      <c r="D1826" s="116"/>
      <c r="E1826" s="116" t="str">
        <f>IFERROR(__xludf.DUMMYFUNCTION("""COMPUTED_VALUE"""),"")</f>
        <v/>
      </c>
      <c r="F1826" s="117" t="s">
        <v>39</v>
      </c>
      <c r="G1826" s="116"/>
      <c r="H1826" s="117"/>
      <c r="I1826" s="117"/>
      <c r="J1826" s="117"/>
      <c r="K1826" s="117"/>
      <c r="L1826" s="116"/>
      <c r="M1826" s="117"/>
      <c r="N1826" s="118" t="str">
        <f>IFERROR(__xludf.DUMMYFUNCTION("""COMPUTED_VALUE"""),"")</f>
        <v/>
      </c>
      <c r="O1826" s="116"/>
      <c r="P1826" s="116"/>
      <c r="Q1826" s="116"/>
      <c r="R1826" s="116" t="s">
        <v>39</v>
      </c>
      <c r="S1826" s="116" t="s">
        <v>39</v>
      </c>
      <c r="T1826" s="104" t="s">
        <v>5778</v>
      </c>
      <c r="U1826" s="116"/>
      <c r="V1826" s="104" t="s">
        <v>5778</v>
      </c>
      <c r="W1826" s="116"/>
    </row>
    <row r="1827">
      <c r="A1827" s="114" t="s">
        <v>39</v>
      </c>
      <c r="B1827" s="115"/>
      <c r="C1827" s="116"/>
      <c r="D1827" s="116"/>
      <c r="E1827" s="116" t="str">
        <f>IFERROR(__xludf.DUMMYFUNCTION("""COMPUTED_VALUE"""),"")</f>
        <v/>
      </c>
      <c r="F1827" s="117" t="s">
        <v>39</v>
      </c>
      <c r="G1827" s="116"/>
      <c r="H1827" s="117"/>
      <c r="I1827" s="117"/>
      <c r="J1827" s="117"/>
      <c r="K1827" s="117"/>
      <c r="L1827" s="116"/>
      <c r="M1827" s="117"/>
      <c r="N1827" s="118" t="str">
        <f>IFERROR(__xludf.DUMMYFUNCTION("""COMPUTED_VALUE"""),"")</f>
        <v/>
      </c>
      <c r="O1827" s="116"/>
      <c r="P1827" s="116"/>
      <c r="Q1827" s="116"/>
      <c r="R1827" s="116" t="s">
        <v>39</v>
      </c>
      <c r="S1827" s="116" t="s">
        <v>39</v>
      </c>
      <c r="T1827" s="104" t="s">
        <v>5779</v>
      </c>
      <c r="U1827" s="116"/>
      <c r="V1827" s="104" t="s">
        <v>5779</v>
      </c>
      <c r="W1827" s="116"/>
    </row>
    <row r="1828">
      <c r="A1828" s="114" t="s">
        <v>39</v>
      </c>
      <c r="B1828" s="115"/>
      <c r="C1828" s="116"/>
      <c r="D1828" s="116"/>
      <c r="E1828" s="116" t="str">
        <f>IFERROR(__xludf.DUMMYFUNCTION("""COMPUTED_VALUE"""),"")</f>
        <v/>
      </c>
      <c r="F1828" s="117" t="s">
        <v>39</v>
      </c>
      <c r="G1828" s="116"/>
      <c r="H1828" s="117"/>
      <c r="I1828" s="117"/>
      <c r="J1828" s="117"/>
      <c r="K1828" s="117"/>
      <c r="L1828" s="116"/>
      <c r="M1828" s="117"/>
      <c r="N1828" s="118" t="str">
        <f>IFERROR(__xludf.DUMMYFUNCTION("""COMPUTED_VALUE"""),"")</f>
        <v/>
      </c>
      <c r="O1828" s="116"/>
      <c r="P1828" s="116"/>
      <c r="Q1828" s="116"/>
      <c r="R1828" s="116" t="s">
        <v>39</v>
      </c>
      <c r="S1828" s="116" t="s">
        <v>39</v>
      </c>
      <c r="T1828" s="104" t="s">
        <v>5780</v>
      </c>
      <c r="U1828" s="116"/>
      <c r="V1828" s="104" t="s">
        <v>5780</v>
      </c>
      <c r="W1828" s="116"/>
    </row>
    <row r="1829">
      <c r="A1829" s="114" t="s">
        <v>39</v>
      </c>
      <c r="B1829" s="115"/>
      <c r="C1829" s="116"/>
      <c r="D1829" s="116"/>
      <c r="E1829" s="116" t="str">
        <f>IFERROR(__xludf.DUMMYFUNCTION("""COMPUTED_VALUE"""),"")</f>
        <v/>
      </c>
      <c r="F1829" s="117" t="s">
        <v>39</v>
      </c>
      <c r="G1829" s="116"/>
      <c r="H1829" s="117"/>
      <c r="I1829" s="117"/>
      <c r="J1829" s="117"/>
      <c r="K1829" s="117"/>
      <c r="L1829" s="116"/>
      <c r="M1829" s="117"/>
      <c r="N1829" s="118" t="str">
        <f>IFERROR(__xludf.DUMMYFUNCTION("""COMPUTED_VALUE"""),"")</f>
        <v/>
      </c>
      <c r="O1829" s="116"/>
      <c r="P1829" s="116"/>
      <c r="Q1829" s="116"/>
      <c r="R1829" s="116" t="s">
        <v>39</v>
      </c>
      <c r="S1829" s="116" t="s">
        <v>39</v>
      </c>
      <c r="T1829" s="104" t="s">
        <v>5781</v>
      </c>
      <c r="U1829" s="116"/>
      <c r="V1829" s="104" t="s">
        <v>5781</v>
      </c>
      <c r="W1829" s="116"/>
    </row>
    <row r="1830">
      <c r="A1830" s="114" t="s">
        <v>39</v>
      </c>
      <c r="B1830" s="115"/>
      <c r="C1830" s="116"/>
      <c r="D1830" s="116"/>
      <c r="E1830" s="116" t="str">
        <f>IFERROR(__xludf.DUMMYFUNCTION("""COMPUTED_VALUE"""),"")</f>
        <v/>
      </c>
      <c r="F1830" s="117" t="s">
        <v>39</v>
      </c>
      <c r="G1830" s="116"/>
      <c r="H1830" s="117"/>
      <c r="I1830" s="117"/>
      <c r="J1830" s="117"/>
      <c r="K1830" s="117"/>
      <c r="L1830" s="116"/>
      <c r="M1830" s="117"/>
      <c r="N1830" s="118" t="str">
        <f>IFERROR(__xludf.DUMMYFUNCTION("""COMPUTED_VALUE"""),"")</f>
        <v/>
      </c>
      <c r="O1830" s="116"/>
      <c r="P1830" s="116"/>
      <c r="Q1830" s="116"/>
      <c r="R1830" s="116" t="s">
        <v>39</v>
      </c>
      <c r="S1830" s="116" t="s">
        <v>39</v>
      </c>
      <c r="T1830" s="104" t="s">
        <v>5782</v>
      </c>
      <c r="U1830" s="116"/>
      <c r="V1830" s="104" t="s">
        <v>5782</v>
      </c>
      <c r="W1830" s="116"/>
    </row>
    <row r="1831">
      <c r="A1831" s="114" t="s">
        <v>39</v>
      </c>
      <c r="B1831" s="115"/>
      <c r="C1831" s="116"/>
      <c r="D1831" s="116"/>
      <c r="E1831" s="116" t="str">
        <f>IFERROR(__xludf.DUMMYFUNCTION("""COMPUTED_VALUE"""),"")</f>
        <v/>
      </c>
      <c r="F1831" s="117" t="s">
        <v>39</v>
      </c>
      <c r="G1831" s="116"/>
      <c r="H1831" s="117"/>
      <c r="I1831" s="117"/>
      <c r="J1831" s="117"/>
      <c r="K1831" s="117"/>
      <c r="L1831" s="116"/>
      <c r="M1831" s="117"/>
      <c r="N1831" s="118" t="str">
        <f>IFERROR(__xludf.DUMMYFUNCTION("""COMPUTED_VALUE"""),"")</f>
        <v/>
      </c>
      <c r="O1831" s="116"/>
      <c r="P1831" s="116"/>
      <c r="Q1831" s="116"/>
      <c r="R1831" s="116" t="s">
        <v>39</v>
      </c>
      <c r="S1831" s="116" t="s">
        <v>39</v>
      </c>
      <c r="T1831" s="104" t="s">
        <v>5783</v>
      </c>
      <c r="U1831" s="116"/>
      <c r="V1831" s="104" t="s">
        <v>5783</v>
      </c>
      <c r="W1831" s="116"/>
    </row>
    <row r="1832">
      <c r="A1832" s="114" t="s">
        <v>39</v>
      </c>
      <c r="B1832" s="115"/>
      <c r="C1832" s="116"/>
      <c r="D1832" s="116"/>
      <c r="E1832" s="116" t="str">
        <f>IFERROR(__xludf.DUMMYFUNCTION("""COMPUTED_VALUE"""),"")</f>
        <v/>
      </c>
      <c r="F1832" s="117" t="s">
        <v>39</v>
      </c>
      <c r="G1832" s="116"/>
      <c r="H1832" s="117"/>
      <c r="I1832" s="117"/>
      <c r="J1832" s="117"/>
      <c r="K1832" s="117"/>
      <c r="L1832" s="116"/>
      <c r="M1832" s="117"/>
      <c r="N1832" s="118" t="str">
        <f>IFERROR(__xludf.DUMMYFUNCTION("""COMPUTED_VALUE"""),"")</f>
        <v/>
      </c>
      <c r="O1832" s="116"/>
      <c r="P1832" s="116"/>
      <c r="Q1832" s="116"/>
      <c r="R1832" s="116" t="s">
        <v>39</v>
      </c>
      <c r="S1832" s="116" t="s">
        <v>39</v>
      </c>
      <c r="T1832" s="104" t="s">
        <v>5784</v>
      </c>
      <c r="U1832" s="116"/>
      <c r="V1832" s="104" t="s">
        <v>5784</v>
      </c>
      <c r="W1832" s="116"/>
    </row>
    <row r="1833">
      <c r="A1833" s="114" t="s">
        <v>39</v>
      </c>
      <c r="B1833" s="115"/>
      <c r="C1833" s="116"/>
      <c r="D1833" s="116"/>
      <c r="E1833" s="116" t="str">
        <f>IFERROR(__xludf.DUMMYFUNCTION("""COMPUTED_VALUE"""),"")</f>
        <v/>
      </c>
      <c r="F1833" s="117" t="s">
        <v>39</v>
      </c>
      <c r="G1833" s="116"/>
      <c r="H1833" s="117"/>
      <c r="I1833" s="117"/>
      <c r="J1833" s="117"/>
      <c r="K1833" s="117"/>
      <c r="L1833" s="116"/>
      <c r="M1833" s="117"/>
      <c r="N1833" s="118" t="str">
        <f>IFERROR(__xludf.DUMMYFUNCTION("""COMPUTED_VALUE"""),"")</f>
        <v/>
      </c>
      <c r="O1833" s="116"/>
      <c r="P1833" s="116"/>
      <c r="Q1833" s="116"/>
      <c r="R1833" s="116" t="s">
        <v>39</v>
      </c>
      <c r="S1833" s="116" t="s">
        <v>39</v>
      </c>
      <c r="T1833" s="104" t="s">
        <v>5785</v>
      </c>
      <c r="U1833" s="116"/>
      <c r="V1833" s="104" t="s">
        <v>5785</v>
      </c>
      <c r="W1833" s="116"/>
    </row>
    <row r="1834">
      <c r="A1834" s="114" t="s">
        <v>39</v>
      </c>
      <c r="B1834" s="115"/>
      <c r="C1834" s="116"/>
      <c r="D1834" s="116"/>
      <c r="E1834" s="116" t="str">
        <f>IFERROR(__xludf.DUMMYFUNCTION("""COMPUTED_VALUE"""),"")</f>
        <v/>
      </c>
      <c r="F1834" s="117" t="s">
        <v>39</v>
      </c>
      <c r="G1834" s="116"/>
      <c r="H1834" s="117"/>
      <c r="I1834" s="117"/>
      <c r="J1834" s="117"/>
      <c r="K1834" s="117"/>
      <c r="L1834" s="116"/>
      <c r="M1834" s="117"/>
      <c r="N1834" s="118" t="str">
        <f>IFERROR(__xludf.DUMMYFUNCTION("""COMPUTED_VALUE"""),"")</f>
        <v/>
      </c>
      <c r="O1834" s="116"/>
      <c r="P1834" s="116"/>
      <c r="Q1834" s="116"/>
      <c r="R1834" s="116" t="s">
        <v>39</v>
      </c>
      <c r="S1834" s="116" t="s">
        <v>39</v>
      </c>
      <c r="T1834" s="104" t="s">
        <v>5786</v>
      </c>
      <c r="U1834" s="116"/>
      <c r="V1834" s="104" t="s">
        <v>5786</v>
      </c>
      <c r="W1834" s="116"/>
    </row>
    <row r="1835">
      <c r="A1835" s="114" t="s">
        <v>39</v>
      </c>
      <c r="B1835" s="115"/>
      <c r="C1835" s="116"/>
      <c r="D1835" s="116"/>
      <c r="E1835" s="116" t="str">
        <f>IFERROR(__xludf.DUMMYFUNCTION("""COMPUTED_VALUE"""),"")</f>
        <v/>
      </c>
      <c r="F1835" s="117" t="s">
        <v>39</v>
      </c>
      <c r="G1835" s="116"/>
      <c r="H1835" s="117"/>
      <c r="I1835" s="117"/>
      <c r="J1835" s="117"/>
      <c r="K1835" s="117"/>
      <c r="L1835" s="116"/>
      <c r="M1835" s="117"/>
      <c r="N1835" s="118" t="str">
        <f>IFERROR(__xludf.DUMMYFUNCTION("""COMPUTED_VALUE"""),"")</f>
        <v/>
      </c>
      <c r="O1835" s="116"/>
      <c r="P1835" s="116"/>
      <c r="Q1835" s="116"/>
      <c r="R1835" s="116" t="s">
        <v>39</v>
      </c>
      <c r="S1835" s="116" t="s">
        <v>39</v>
      </c>
      <c r="T1835" s="104" t="s">
        <v>5787</v>
      </c>
      <c r="U1835" s="116"/>
      <c r="V1835" s="104" t="s">
        <v>5787</v>
      </c>
      <c r="W1835" s="116"/>
    </row>
    <row r="1836">
      <c r="A1836" s="114" t="s">
        <v>39</v>
      </c>
      <c r="B1836" s="115"/>
      <c r="C1836" s="116"/>
      <c r="D1836" s="116"/>
      <c r="E1836" s="116" t="str">
        <f>IFERROR(__xludf.DUMMYFUNCTION("""COMPUTED_VALUE"""),"")</f>
        <v/>
      </c>
      <c r="F1836" s="117" t="s">
        <v>39</v>
      </c>
      <c r="G1836" s="116"/>
      <c r="H1836" s="117"/>
      <c r="I1836" s="117"/>
      <c r="J1836" s="117"/>
      <c r="K1836" s="117"/>
      <c r="L1836" s="116"/>
      <c r="M1836" s="117"/>
      <c r="N1836" s="118" t="str">
        <f>IFERROR(__xludf.DUMMYFUNCTION("""COMPUTED_VALUE"""),"")</f>
        <v/>
      </c>
      <c r="O1836" s="116"/>
      <c r="P1836" s="116"/>
      <c r="Q1836" s="116"/>
      <c r="R1836" s="116" t="s">
        <v>39</v>
      </c>
      <c r="S1836" s="116" t="s">
        <v>39</v>
      </c>
      <c r="T1836" s="104" t="s">
        <v>5788</v>
      </c>
      <c r="U1836" s="116"/>
      <c r="V1836" s="104" t="s">
        <v>5788</v>
      </c>
      <c r="W1836" s="116"/>
    </row>
    <row r="1837">
      <c r="A1837" s="114" t="s">
        <v>39</v>
      </c>
      <c r="B1837" s="115"/>
      <c r="C1837" s="116"/>
      <c r="D1837" s="116"/>
      <c r="E1837" s="116" t="str">
        <f>IFERROR(__xludf.DUMMYFUNCTION("""COMPUTED_VALUE"""),"")</f>
        <v/>
      </c>
      <c r="F1837" s="117" t="s">
        <v>39</v>
      </c>
      <c r="G1837" s="116"/>
      <c r="H1837" s="117"/>
      <c r="I1837" s="117"/>
      <c r="J1837" s="117"/>
      <c r="K1837" s="117"/>
      <c r="L1837" s="116"/>
      <c r="M1837" s="117"/>
      <c r="N1837" s="118" t="str">
        <f>IFERROR(__xludf.DUMMYFUNCTION("""COMPUTED_VALUE"""),"")</f>
        <v/>
      </c>
      <c r="O1837" s="116"/>
      <c r="P1837" s="116"/>
      <c r="Q1837" s="116"/>
      <c r="R1837" s="116" t="s">
        <v>39</v>
      </c>
      <c r="S1837" s="116" t="s">
        <v>39</v>
      </c>
      <c r="T1837" s="104" t="s">
        <v>5789</v>
      </c>
      <c r="U1837" s="116"/>
      <c r="V1837" s="104" t="s">
        <v>5789</v>
      </c>
      <c r="W1837" s="116"/>
    </row>
    <row r="1838">
      <c r="A1838" s="114" t="s">
        <v>39</v>
      </c>
      <c r="B1838" s="115"/>
      <c r="C1838" s="116"/>
      <c r="D1838" s="116"/>
      <c r="E1838" s="116" t="str">
        <f>IFERROR(__xludf.DUMMYFUNCTION("""COMPUTED_VALUE"""),"")</f>
        <v/>
      </c>
      <c r="F1838" s="117" t="s">
        <v>39</v>
      </c>
      <c r="G1838" s="116"/>
      <c r="H1838" s="117"/>
      <c r="I1838" s="117"/>
      <c r="J1838" s="117"/>
      <c r="K1838" s="117"/>
      <c r="L1838" s="116"/>
      <c r="M1838" s="117"/>
      <c r="N1838" s="118" t="str">
        <f>IFERROR(__xludf.DUMMYFUNCTION("""COMPUTED_VALUE"""),"")</f>
        <v/>
      </c>
      <c r="O1838" s="116"/>
      <c r="P1838" s="116"/>
      <c r="Q1838" s="116"/>
      <c r="R1838" s="116" t="s">
        <v>39</v>
      </c>
      <c r="S1838" s="116" t="s">
        <v>39</v>
      </c>
      <c r="T1838" s="104" t="s">
        <v>5790</v>
      </c>
      <c r="U1838" s="116"/>
      <c r="V1838" s="104" t="s">
        <v>5790</v>
      </c>
      <c r="W1838" s="116"/>
    </row>
    <row r="1839">
      <c r="A1839" s="114" t="s">
        <v>39</v>
      </c>
      <c r="B1839" s="115"/>
      <c r="C1839" s="116"/>
      <c r="D1839" s="116"/>
      <c r="E1839" s="116" t="str">
        <f>IFERROR(__xludf.DUMMYFUNCTION("""COMPUTED_VALUE"""),"")</f>
        <v/>
      </c>
      <c r="F1839" s="117" t="s">
        <v>39</v>
      </c>
      <c r="G1839" s="116"/>
      <c r="H1839" s="117"/>
      <c r="I1839" s="117"/>
      <c r="J1839" s="117"/>
      <c r="K1839" s="117"/>
      <c r="L1839" s="116"/>
      <c r="M1839" s="117"/>
      <c r="N1839" s="118" t="str">
        <f>IFERROR(__xludf.DUMMYFUNCTION("""COMPUTED_VALUE"""),"")</f>
        <v/>
      </c>
      <c r="O1839" s="116"/>
      <c r="P1839" s="116"/>
      <c r="Q1839" s="116"/>
      <c r="R1839" s="116" t="s">
        <v>39</v>
      </c>
      <c r="S1839" s="116" t="s">
        <v>39</v>
      </c>
      <c r="T1839" s="104" t="s">
        <v>5791</v>
      </c>
      <c r="U1839" s="116"/>
      <c r="V1839" s="104" t="s">
        <v>5791</v>
      </c>
      <c r="W1839" s="116"/>
    </row>
    <row r="1840">
      <c r="A1840" s="114" t="s">
        <v>39</v>
      </c>
      <c r="B1840" s="115"/>
      <c r="C1840" s="116"/>
      <c r="D1840" s="116"/>
      <c r="E1840" s="116" t="str">
        <f>IFERROR(__xludf.DUMMYFUNCTION("""COMPUTED_VALUE"""),"")</f>
        <v/>
      </c>
      <c r="F1840" s="117" t="s">
        <v>39</v>
      </c>
      <c r="G1840" s="116"/>
      <c r="H1840" s="117"/>
      <c r="I1840" s="117"/>
      <c r="J1840" s="117"/>
      <c r="K1840" s="117"/>
      <c r="L1840" s="116"/>
      <c r="M1840" s="117"/>
      <c r="N1840" s="118" t="str">
        <f>IFERROR(__xludf.DUMMYFUNCTION("""COMPUTED_VALUE"""),"")</f>
        <v/>
      </c>
      <c r="O1840" s="116"/>
      <c r="P1840" s="116"/>
      <c r="Q1840" s="116"/>
      <c r="R1840" s="116" t="s">
        <v>39</v>
      </c>
      <c r="S1840" s="116" t="s">
        <v>39</v>
      </c>
      <c r="T1840" s="104" t="s">
        <v>5792</v>
      </c>
      <c r="U1840" s="116"/>
      <c r="V1840" s="104" t="s">
        <v>5792</v>
      </c>
      <c r="W1840" s="116"/>
    </row>
    <row r="1841">
      <c r="A1841" s="114" t="s">
        <v>39</v>
      </c>
      <c r="B1841" s="115"/>
      <c r="C1841" s="116"/>
      <c r="D1841" s="116"/>
      <c r="E1841" s="116" t="str">
        <f>IFERROR(__xludf.DUMMYFUNCTION("""COMPUTED_VALUE"""),"")</f>
        <v/>
      </c>
      <c r="F1841" s="117" t="s">
        <v>39</v>
      </c>
      <c r="G1841" s="116"/>
      <c r="H1841" s="117"/>
      <c r="I1841" s="117"/>
      <c r="J1841" s="117"/>
      <c r="K1841" s="117"/>
      <c r="L1841" s="116"/>
      <c r="M1841" s="117"/>
      <c r="N1841" s="118" t="str">
        <f>IFERROR(__xludf.DUMMYFUNCTION("""COMPUTED_VALUE"""),"")</f>
        <v/>
      </c>
      <c r="O1841" s="116"/>
      <c r="P1841" s="116"/>
      <c r="Q1841" s="116"/>
      <c r="R1841" s="116" t="s">
        <v>39</v>
      </c>
      <c r="S1841" s="116" t="s">
        <v>39</v>
      </c>
      <c r="T1841" s="104" t="s">
        <v>5793</v>
      </c>
      <c r="U1841" s="116"/>
      <c r="V1841" s="104" t="s">
        <v>5793</v>
      </c>
      <c r="W1841" s="116"/>
    </row>
    <row r="1842">
      <c r="A1842" s="114" t="s">
        <v>39</v>
      </c>
      <c r="B1842" s="115"/>
      <c r="C1842" s="116"/>
      <c r="D1842" s="116"/>
      <c r="E1842" s="116" t="str">
        <f>IFERROR(__xludf.DUMMYFUNCTION("""COMPUTED_VALUE"""),"")</f>
        <v/>
      </c>
      <c r="F1842" s="117" t="s">
        <v>39</v>
      </c>
      <c r="G1842" s="116"/>
      <c r="H1842" s="117"/>
      <c r="I1842" s="117"/>
      <c r="J1842" s="117"/>
      <c r="K1842" s="117"/>
      <c r="L1842" s="116"/>
      <c r="M1842" s="117"/>
      <c r="N1842" s="118" t="str">
        <f>IFERROR(__xludf.DUMMYFUNCTION("""COMPUTED_VALUE"""),"")</f>
        <v/>
      </c>
      <c r="O1842" s="116"/>
      <c r="P1842" s="116"/>
      <c r="Q1842" s="116"/>
      <c r="R1842" s="116" t="s">
        <v>39</v>
      </c>
      <c r="S1842" s="116" t="s">
        <v>39</v>
      </c>
      <c r="T1842" s="104" t="s">
        <v>5794</v>
      </c>
      <c r="U1842" s="116"/>
      <c r="V1842" s="104" t="s">
        <v>5794</v>
      </c>
      <c r="W1842" s="116"/>
    </row>
    <row r="1843">
      <c r="A1843" s="114" t="s">
        <v>39</v>
      </c>
      <c r="B1843" s="115"/>
      <c r="C1843" s="116"/>
      <c r="D1843" s="116"/>
      <c r="E1843" s="116" t="str">
        <f>IFERROR(__xludf.DUMMYFUNCTION("""COMPUTED_VALUE"""),"")</f>
        <v/>
      </c>
      <c r="F1843" s="117" t="s">
        <v>39</v>
      </c>
      <c r="G1843" s="116"/>
      <c r="H1843" s="117"/>
      <c r="I1843" s="117"/>
      <c r="J1843" s="117"/>
      <c r="K1843" s="117"/>
      <c r="L1843" s="116"/>
      <c r="M1843" s="117"/>
      <c r="N1843" s="118" t="str">
        <f>IFERROR(__xludf.DUMMYFUNCTION("""COMPUTED_VALUE"""),"")</f>
        <v/>
      </c>
      <c r="O1843" s="116"/>
      <c r="P1843" s="116"/>
      <c r="Q1843" s="116"/>
      <c r="R1843" s="116" t="s">
        <v>39</v>
      </c>
      <c r="S1843" s="116" t="s">
        <v>39</v>
      </c>
      <c r="T1843" s="104" t="s">
        <v>5795</v>
      </c>
      <c r="U1843" s="116"/>
      <c r="V1843" s="104" t="s">
        <v>5795</v>
      </c>
      <c r="W1843" s="116"/>
    </row>
    <row r="1844">
      <c r="A1844" s="114" t="s">
        <v>39</v>
      </c>
      <c r="B1844" s="115"/>
      <c r="C1844" s="116"/>
      <c r="D1844" s="116"/>
      <c r="E1844" s="116" t="str">
        <f>IFERROR(__xludf.DUMMYFUNCTION("""COMPUTED_VALUE"""),"")</f>
        <v/>
      </c>
      <c r="F1844" s="117" t="s">
        <v>39</v>
      </c>
      <c r="G1844" s="116"/>
      <c r="H1844" s="117"/>
      <c r="I1844" s="117"/>
      <c r="J1844" s="117"/>
      <c r="K1844" s="117"/>
      <c r="L1844" s="116"/>
      <c r="M1844" s="117"/>
      <c r="N1844" s="118" t="str">
        <f>IFERROR(__xludf.DUMMYFUNCTION("""COMPUTED_VALUE"""),"")</f>
        <v/>
      </c>
      <c r="O1844" s="116"/>
      <c r="P1844" s="116"/>
      <c r="Q1844" s="116"/>
      <c r="R1844" s="116" t="s">
        <v>39</v>
      </c>
      <c r="S1844" s="116" t="s">
        <v>39</v>
      </c>
      <c r="T1844" s="104" t="s">
        <v>5796</v>
      </c>
      <c r="U1844" s="116"/>
      <c r="V1844" s="104" t="s">
        <v>5796</v>
      </c>
      <c r="W1844" s="116"/>
    </row>
    <row r="1845">
      <c r="A1845" s="114" t="s">
        <v>39</v>
      </c>
      <c r="B1845" s="115"/>
      <c r="C1845" s="116"/>
      <c r="D1845" s="116"/>
      <c r="E1845" s="116" t="str">
        <f>IFERROR(__xludf.DUMMYFUNCTION("""COMPUTED_VALUE"""),"")</f>
        <v/>
      </c>
      <c r="F1845" s="117" t="s">
        <v>39</v>
      </c>
      <c r="G1845" s="116"/>
      <c r="H1845" s="117"/>
      <c r="I1845" s="117"/>
      <c r="J1845" s="117"/>
      <c r="K1845" s="117"/>
      <c r="L1845" s="116"/>
      <c r="M1845" s="117"/>
      <c r="N1845" s="118" t="str">
        <f>IFERROR(__xludf.DUMMYFUNCTION("""COMPUTED_VALUE"""),"")</f>
        <v/>
      </c>
      <c r="O1845" s="116"/>
      <c r="P1845" s="116"/>
      <c r="Q1845" s="116"/>
      <c r="R1845" s="116" t="s">
        <v>39</v>
      </c>
      <c r="S1845" s="116" t="s">
        <v>39</v>
      </c>
      <c r="T1845" s="104" t="s">
        <v>5797</v>
      </c>
      <c r="U1845" s="116"/>
      <c r="V1845" s="104" t="s">
        <v>5797</v>
      </c>
      <c r="W1845" s="116"/>
    </row>
    <row r="1846">
      <c r="A1846" s="114" t="s">
        <v>39</v>
      </c>
      <c r="B1846" s="115"/>
      <c r="C1846" s="116"/>
      <c r="D1846" s="116"/>
      <c r="E1846" s="116" t="str">
        <f>IFERROR(__xludf.DUMMYFUNCTION("""COMPUTED_VALUE"""),"")</f>
        <v/>
      </c>
      <c r="F1846" s="117" t="s">
        <v>39</v>
      </c>
      <c r="G1846" s="116"/>
      <c r="H1846" s="117"/>
      <c r="I1846" s="117"/>
      <c r="J1846" s="117"/>
      <c r="K1846" s="117"/>
      <c r="L1846" s="116"/>
      <c r="M1846" s="117"/>
      <c r="N1846" s="118" t="str">
        <f>IFERROR(__xludf.DUMMYFUNCTION("""COMPUTED_VALUE"""),"")</f>
        <v/>
      </c>
      <c r="O1846" s="116"/>
      <c r="P1846" s="116"/>
      <c r="Q1846" s="116"/>
      <c r="R1846" s="116" t="s">
        <v>39</v>
      </c>
      <c r="S1846" s="116" t="s">
        <v>39</v>
      </c>
      <c r="T1846" s="104" t="s">
        <v>5798</v>
      </c>
      <c r="U1846" s="116"/>
      <c r="V1846" s="104" t="s">
        <v>5798</v>
      </c>
      <c r="W1846" s="116"/>
    </row>
    <row r="1847">
      <c r="A1847" s="114" t="s">
        <v>39</v>
      </c>
      <c r="B1847" s="115"/>
      <c r="C1847" s="116"/>
      <c r="D1847" s="116"/>
      <c r="E1847" s="116" t="str">
        <f>IFERROR(__xludf.DUMMYFUNCTION("""COMPUTED_VALUE"""),"")</f>
        <v/>
      </c>
      <c r="F1847" s="117" t="s">
        <v>39</v>
      </c>
      <c r="G1847" s="116"/>
      <c r="H1847" s="117"/>
      <c r="I1847" s="117"/>
      <c r="J1847" s="117"/>
      <c r="K1847" s="117"/>
      <c r="L1847" s="116"/>
      <c r="M1847" s="117"/>
      <c r="N1847" s="118" t="str">
        <f>IFERROR(__xludf.DUMMYFUNCTION("""COMPUTED_VALUE"""),"")</f>
        <v/>
      </c>
      <c r="O1847" s="116"/>
      <c r="P1847" s="116"/>
      <c r="Q1847" s="116"/>
      <c r="R1847" s="116" t="s">
        <v>39</v>
      </c>
      <c r="S1847" s="116" t="s">
        <v>39</v>
      </c>
      <c r="T1847" s="104" t="s">
        <v>5799</v>
      </c>
      <c r="U1847" s="116"/>
      <c r="V1847" s="104" t="s">
        <v>5799</v>
      </c>
      <c r="W1847" s="116"/>
    </row>
    <row r="1848">
      <c r="A1848" s="114" t="s">
        <v>39</v>
      </c>
      <c r="B1848" s="115"/>
      <c r="C1848" s="116"/>
      <c r="D1848" s="116"/>
      <c r="E1848" s="116" t="str">
        <f>IFERROR(__xludf.DUMMYFUNCTION("""COMPUTED_VALUE"""),"")</f>
        <v/>
      </c>
      <c r="F1848" s="117" t="s">
        <v>39</v>
      </c>
      <c r="G1848" s="116"/>
      <c r="H1848" s="117"/>
      <c r="I1848" s="117"/>
      <c r="J1848" s="117"/>
      <c r="K1848" s="117"/>
      <c r="L1848" s="116"/>
      <c r="M1848" s="117"/>
      <c r="N1848" s="118" t="str">
        <f>IFERROR(__xludf.DUMMYFUNCTION("""COMPUTED_VALUE"""),"")</f>
        <v/>
      </c>
      <c r="O1848" s="116"/>
      <c r="P1848" s="116"/>
      <c r="Q1848" s="116"/>
      <c r="R1848" s="116" t="s">
        <v>39</v>
      </c>
      <c r="S1848" s="116" t="s">
        <v>39</v>
      </c>
      <c r="T1848" s="104" t="s">
        <v>5800</v>
      </c>
      <c r="U1848" s="116"/>
      <c r="V1848" s="104" t="s">
        <v>5800</v>
      </c>
      <c r="W1848" s="116"/>
    </row>
    <row r="1849">
      <c r="A1849" s="114" t="s">
        <v>39</v>
      </c>
      <c r="B1849" s="115"/>
      <c r="C1849" s="116"/>
      <c r="D1849" s="116"/>
      <c r="E1849" s="116" t="str">
        <f>IFERROR(__xludf.DUMMYFUNCTION("""COMPUTED_VALUE"""),"")</f>
        <v/>
      </c>
      <c r="F1849" s="117" t="s">
        <v>39</v>
      </c>
      <c r="G1849" s="116"/>
      <c r="H1849" s="117"/>
      <c r="I1849" s="117"/>
      <c r="J1849" s="117"/>
      <c r="K1849" s="117"/>
      <c r="L1849" s="116"/>
      <c r="M1849" s="117"/>
      <c r="N1849" s="118" t="str">
        <f>IFERROR(__xludf.DUMMYFUNCTION("""COMPUTED_VALUE"""),"")</f>
        <v/>
      </c>
      <c r="O1849" s="116"/>
      <c r="P1849" s="116"/>
      <c r="Q1849" s="116"/>
      <c r="R1849" s="116" t="s">
        <v>39</v>
      </c>
      <c r="S1849" s="116" t="s">
        <v>39</v>
      </c>
      <c r="T1849" s="104" t="s">
        <v>5801</v>
      </c>
      <c r="U1849" s="116"/>
      <c r="V1849" s="104" t="s">
        <v>5801</v>
      </c>
      <c r="W1849" s="116"/>
    </row>
    <row r="1850">
      <c r="A1850" s="114" t="s">
        <v>39</v>
      </c>
      <c r="B1850" s="115"/>
      <c r="C1850" s="116"/>
      <c r="D1850" s="116"/>
      <c r="E1850" s="116" t="str">
        <f>IFERROR(__xludf.DUMMYFUNCTION("""COMPUTED_VALUE"""),"")</f>
        <v/>
      </c>
      <c r="F1850" s="117" t="s">
        <v>39</v>
      </c>
      <c r="G1850" s="116"/>
      <c r="H1850" s="117"/>
      <c r="I1850" s="117"/>
      <c r="J1850" s="117"/>
      <c r="K1850" s="117"/>
      <c r="L1850" s="116"/>
      <c r="M1850" s="117"/>
      <c r="N1850" s="118" t="str">
        <f>IFERROR(__xludf.DUMMYFUNCTION("""COMPUTED_VALUE"""),"")</f>
        <v/>
      </c>
      <c r="O1850" s="116"/>
      <c r="P1850" s="116"/>
      <c r="Q1850" s="116"/>
      <c r="R1850" s="116" t="s">
        <v>39</v>
      </c>
      <c r="S1850" s="116" t="s">
        <v>39</v>
      </c>
      <c r="T1850" s="104" t="s">
        <v>5802</v>
      </c>
      <c r="U1850" s="116"/>
      <c r="V1850" s="104" t="s">
        <v>5802</v>
      </c>
      <c r="W1850" s="116"/>
    </row>
    <row r="1851">
      <c r="A1851" s="114" t="s">
        <v>39</v>
      </c>
      <c r="B1851" s="115"/>
      <c r="C1851" s="116"/>
      <c r="D1851" s="116"/>
      <c r="E1851" s="116" t="str">
        <f>IFERROR(__xludf.DUMMYFUNCTION("""COMPUTED_VALUE"""),"")</f>
        <v/>
      </c>
      <c r="F1851" s="117" t="s">
        <v>39</v>
      </c>
      <c r="G1851" s="116"/>
      <c r="H1851" s="117"/>
      <c r="I1851" s="117"/>
      <c r="J1851" s="117"/>
      <c r="K1851" s="117"/>
      <c r="L1851" s="116"/>
      <c r="M1851" s="117"/>
      <c r="N1851" s="118" t="str">
        <f>IFERROR(__xludf.DUMMYFUNCTION("""COMPUTED_VALUE"""),"")</f>
        <v/>
      </c>
      <c r="O1851" s="116"/>
      <c r="P1851" s="116"/>
      <c r="Q1851" s="116"/>
      <c r="R1851" s="116" t="s">
        <v>39</v>
      </c>
      <c r="S1851" s="116" t="s">
        <v>39</v>
      </c>
      <c r="T1851" s="104" t="s">
        <v>5803</v>
      </c>
      <c r="U1851" s="116"/>
      <c r="V1851" s="104" t="s">
        <v>5803</v>
      </c>
      <c r="W1851" s="116"/>
    </row>
    <row r="1852">
      <c r="A1852" s="114" t="s">
        <v>39</v>
      </c>
      <c r="B1852" s="115"/>
      <c r="C1852" s="116"/>
      <c r="D1852" s="116"/>
      <c r="E1852" s="116" t="str">
        <f>IFERROR(__xludf.DUMMYFUNCTION("""COMPUTED_VALUE"""),"")</f>
        <v/>
      </c>
      <c r="F1852" s="117" t="s">
        <v>39</v>
      </c>
      <c r="G1852" s="116"/>
      <c r="H1852" s="117"/>
      <c r="I1852" s="117"/>
      <c r="J1852" s="117"/>
      <c r="K1852" s="117"/>
      <c r="L1852" s="116"/>
      <c r="M1852" s="117"/>
      <c r="N1852" s="118" t="str">
        <f>IFERROR(__xludf.DUMMYFUNCTION("""COMPUTED_VALUE"""),"")</f>
        <v/>
      </c>
      <c r="O1852" s="116"/>
      <c r="P1852" s="116"/>
      <c r="Q1852" s="116"/>
      <c r="R1852" s="116" t="s">
        <v>39</v>
      </c>
      <c r="S1852" s="116" t="s">
        <v>39</v>
      </c>
      <c r="T1852" s="104" t="s">
        <v>5804</v>
      </c>
      <c r="U1852" s="116"/>
      <c r="V1852" s="104" t="s">
        <v>5804</v>
      </c>
      <c r="W1852" s="116"/>
    </row>
    <row r="1853">
      <c r="A1853" s="114" t="s">
        <v>39</v>
      </c>
      <c r="B1853" s="115"/>
      <c r="C1853" s="116"/>
      <c r="D1853" s="116"/>
      <c r="E1853" s="116" t="str">
        <f>IFERROR(__xludf.DUMMYFUNCTION("""COMPUTED_VALUE"""),"")</f>
        <v/>
      </c>
      <c r="F1853" s="117" t="s">
        <v>39</v>
      </c>
      <c r="G1853" s="116"/>
      <c r="H1853" s="117"/>
      <c r="I1853" s="117"/>
      <c r="J1853" s="117"/>
      <c r="K1853" s="117"/>
      <c r="L1853" s="116"/>
      <c r="M1853" s="117"/>
      <c r="N1853" s="118" t="str">
        <f>IFERROR(__xludf.DUMMYFUNCTION("""COMPUTED_VALUE"""),"")</f>
        <v/>
      </c>
      <c r="O1853" s="116"/>
      <c r="P1853" s="116"/>
      <c r="Q1853" s="116"/>
      <c r="R1853" s="116" t="s">
        <v>39</v>
      </c>
      <c r="S1853" s="116" t="s">
        <v>39</v>
      </c>
      <c r="T1853" s="104" t="s">
        <v>5805</v>
      </c>
      <c r="U1853" s="116"/>
      <c r="V1853" s="104" t="s">
        <v>5805</v>
      </c>
      <c r="W1853" s="116"/>
    </row>
    <row r="1854">
      <c r="A1854" s="114" t="s">
        <v>39</v>
      </c>
      <c r="B1854" s="115"/>
      <c r="C1854" s="116"/>
      <c r="D1854" s="116"/>
      <c r="E1854" s="116" t="str">
        <f>IFERROR(__xludf.DUMMYFUNCTION("""COMPUTED_VALUE"""),"")</f>
        <v/>
      </c>
      <c r="F1854" s="117" t="s">
        <v>39</v>
      </c>
      <c r="G1854" s="116"/>
      <c r="H1854" s="117"/>
      <c r="I1854" s="117"/>
      <c r="J1854" s="117"/>
      <c r="K1854" s="117"/>
      <c r="L1854" s="116"/>
      <c r="M1854" s="117"/>
      <c r="N1854" s="118" t="str">
        <f>IFERROR(__xludf.DUMMYFUNCTION("""COMPUTED_VALUE"""),"")</f>
        <v/>
      </c>
      <c r="O1854" s="116"/>
      <c r="P1854" s="116"/>
      <c r="Q1854" s="116"/>
      <c r="R1854" s="116" t="s">
        <v>39</v>
      </c>
      <c r="S1854" s="116" t="s">
        <v>39</v>
      </c>
      <c r="T1854" s="104" t="s">
        <v>5806</v>
      </c>
      <c r="U1854" s="116"/>
      <c r="V1854" s="104" t="s">
        <v>5806</v>
      </c>
      <c r="W1854" s="116"/>
    </row>
    <row r="1855">
      <c r="A1855" s="114" t="s">
        <v>39</v>
      </c>
      <c r="B1855" s="115"/>
      <c r="C1855" s="116"/>
      <c r="D1855" s="116"/>
      <c r="E1855" s="116" t="str">
        <f>IFERROR(__xludf.DUMMYFUNCTION("""COMPUTED_VALUE"""),"")</f>
        <v/>
      </c>
      <c r="F1855" s="117" t="s">
        <v>39</v>
      </c>
      <c r="G1855" s="116"/>
      <c r="H1855" s="117"/>
      <c r="I1855" s="117"/>
      <c r="J1855" s="117"/>
      <c r="K1855" s="117"/>
      <c r="L1855" s="116"/>
      <c r="M1855" s="117"/>
      <c r="N1855" s="118" t="str">
        <f>IFERROR(__xludf.DUMMYFUNCTION("""COMPUTED_VALUE"""),"")</f>
        <v/>
      </c>
      <c r="O1855" s="116"/>
      <c r="P1855" s="116"/>
      <c r="Q1855" s="116"/>
      <c r="R1855" s="116" t="s">
        <v>39</v>
      </c>
      <c r="S1855" s="116" t="s">
        <v>39</v>
      </c>
      <c r="T1855" s="104" t="s">
        <v>5807</v>
      </c>
      <c r="U1855" s="116"/>
      <c r="V1855" s="104" t="s">
        <v>5807</v>
      </c>
      <c r="W1855" s="116"/>
    </row>
    <row r="1856">
      <c r="A1856" s="114" t="s">
        <v>39</v>
      </c>
      <c r="B1856" s="115"/>
      <c r="C1856" s="116"/>
      <c r="D1856" s="116"/>
      <c r="E1856" s="116" t="str">
        <f>IFERROR(__xludf.DUMMYFUNCTION("""COMPUTED_VALUE"""),"")</f>
        <v/>
      </c>
      <c r="F1856" s="117" t="s">
        <v>39</v>
      </c>
      <c r="G1856" s="116"/>
      <c r="H1856" s="117"/>
      <c r="I1856" s="117"/>
      <c r="J1856" s="117"/>
      <c r="K1856" s="117"/>
      <c r="L1856" s="116"/>
      <c r="M1856" s="117"/>
      <c r="N1856" s="118" t="str">
        <f>IFERROR(__xludf.DUMMYFUNCTION("""COMPUTED_VALUE"""),"")</f>
        <v/>
      </c>
      <c r="O1856" s="116"/>
      <c r="P1856" s="116"/>
      <c r="Q1856" s="116"/>
      <c r="R1856" s="116" t="s">
        <v>39</v>
      </c>
      <c r="S1856" s="116" t="s">
        <v>39</v>
      </c>
      <c r="T1856" s="104" t="s">
        <v>5808</v>
      </c>
      <c r="U1856" s="116"/>
      <c r="V1856" s="104" t="s">
        <v>5808</v>
      </c>
      <c r="W1856" s="116"/>
    </row>
    <row r="1857">
      <c r="A1857" s="114" t="s">
        <v>39</v>
      </c>
      <c r="B1857" s="115"/>
      <c r="C1857" s="116"/>
      <c r="D1857" s="116"/>
      <c r="E1857" s="116" t="str">
        <f>IFERROR(__xludf.DUMMYFUNCTION("""COMPUTED_VALUE"""),"")</f>
        <v/>
      </c>
      <c r="F1857" s="117" t="s">
        <v>39</v>
      </c>
      <c r="G1857" s="116"/>
      <c r="H1857" s="117"/>
      <c r="I1857" s="117"/>
      <c r="J1857" s="117"/>
      <c r="K1857" s="117"/>
      <c r="L1857" s="116"/>
      <c r="M1857" s="117"/>
      <c r="N1857" s="118" t="str">
        <f>IFERROR(__xludf.DUMMYFUNCTION("""COMPUTED_VALUE"""),"")</f>
        <v/>
      </c>
      <c r="O1857" s="116"/>
      <c r="P1857" s="116"/>
      <c r="Q1857" s="116"/>
      <c r="R1857" s="116" t="s">
        <v>39</v>
      </c>
      <c r="S1857" s="116" t="s">
        <v>39</v>
      </c>
      <c r="T1857" s="104" t="s">
        <v>5809</v>
      </c>
      <c r="U1857" s="116"/>
      <c r="V1857" s="104" t="s">
        <v>5809</v>
      </c>
      <c r="W1857" s="116"/>
    </row>
    <row r="1858">
      <c r="A1858" s="114" t="s">
        <v>39</v>
      </c>
      <c r="B1858" s="115"/>
      <c r="C1858" s="116"/>
      <c r="D1858" s="116"/>
      <c r="E1858" s="116" t="str">
        <f>IFERROR(__xludf.DUMMYFUNCTION("""COMPUTED_VALUE"""),"")</f>
        <v/>
      </c>
      <c r="F1858" s="117" t="s">
        <v>39</v>
      </c>
      <c r="G1858" s="116"/>
      <c r="H1858" s="117"/>
      <c r="I1858" s="117"/>
      <c r="J1858" s="117"/>
      <c r="K1858" s="117"/>
      <c r="L1858" s="116"/>
      <c r="M1858" s="117"/>
      <c r="N1858" s="118" t="str">
        <f>IFERROR(__xludf.DUMMYFUNCTION("""COMPUTED_VALUE"""),"")</f>
        <v/>
      </c>
      <c r="O1858" s="116"/>
      <c r="P1858" s="116"/>
      <c r="Q1858" s="116"/>
      <c r="R1858" s="116" t="s">
        <v>39</v>
      </c>
      <c r="S1858" s="116" t="s">
        <v>39</v>
      </c>
      <c r="T1858" s="104" t="s">
        <v>5810</v>
      </c>
      <c r="U1858" s="116"/>
      <c r="V1858" s="104" t="s">
        <v>5810</v>
      </c>
      <c r="W1858" s="116"/>
    </row>
    <row r="1859">
      <c r="A1859" s="114" t="s">
        <v>39</v>
      </c>
      <c r="B1859" s="115"/>
      <c r="C1859" s="116"/>
      <c r="D1859" s="116"/>
      <c r="E1859" s="116" t="str">
        <f>IFERROR(__xludf.DUMMYFUNCTION("""COMPUTED_VALUE"""),"")</f>
        <v/>
      </c>
      <c r="F1859" s="117" t="s">
        <v>39</v>
      </c>
      <c r="G1859" s="116"/>
      <c r="H1859" s="117"/>
      <c r="I1859" s="117"/>
      <c r="J1859" s="117"/>
      <c r="K1859" s="117"/>
      <c r="L1859" s="116"/>
      <c r="M1859" s="117"/>
      <c r="N1859" s="118" t="str">
        <f>IFERROR(__xludf.DUMMYFUNCTION("""COMPUTED_VALUE"""),"")</f>
        <v/>
      </c>
      <c r="O1859" s="116"/>
      <c r="P1859" s="116"/>
      <c r="Q1859" s="116"/>
      <c r="R1859" s="116" t="s">
        <v>39</v>
      </c>
      <c r="S1859" s="116" t="s">
        <v>39</v>
      </c>
      <c r="T1859" s="104" t="s">
        <v>5811</v>
      </c>
      <c r="U1859" s="116"/>
      <c r="V1859" s="104" t="s">
        <v>5811</v>
      </c>
      <c r="W1859" s="116"/>
    </row>
    <row r="1860">
      <c r="A1860" s="114" t="s">
        <v>39</v>
      </c>
      <c r="B1860" s="115"/>
      <c r="C1860" s="116"/>
      <c r="D1860" s="116"/>
      <c r="E1860" s="116" t="str">
        <f>IFERROR(__xludf.DUMMYFUNCTION("""COMPUTED_VALUE"""),"")</f>
        <v/>
      </c>
      <c r="F1860" s="117" t="s">
        <v>39</v>
      </c>
      <c r="G1860" s="116"/>
      <c r="H1860" s="117"/>
      <c r="I1860" s="117"/>
      <c r="J1860" s="117"/>
      <c r="K1860" s="117"/>
      <c r="L1860" s="116"/>
      <c r="M1860" s="117"/>
      <c r="N1860" s="118" t="str">
        <f>IFERROR(__xludf.DUMMYFUNCTION("""COMPUTED_VALUE"""),"")</f>
        <v/>
      </c>
      <c r="O1860" s="116"/>
      <c r="P1860" s="116"/>
      <c r="Q1860" s="116"/>
      <c r="R1860" s="116" t="s">
        <v>39</v>
      </c>
      <c r="S1860" s="116" t="s">
        <v>39</v>
      </c>
      <c r="T1860" s="104" t="s">
        <v>5812</v>
      </c>
      <c r="U1860" s="116"/>
      <c r="V1860" s="104" t="s">
        <v>5812</v>
      </c>
      <c r="W1860" s="116"/>
    </row>
    <row r="1861">
      <c r="A1861" s="114" t="s">
        <v>39</v>
      </c>
      <c r="B1861" s="115"/>
      <c r="C1861" s="116"/>
      <c r="D1861" s="116"/>
      <c r="E1861" s="116" t="str">
        <f>IFERROR(__xludf.DUMMYFUNCTION("""COMPUTED_VALUE"""),"")</f>
        <v/>
      </c>
      <c r="F1861" s="117" t="s">
        <v>39</v>
      </c>
      <c r="G1861" s="116"/>
      <c r="H1861" s="117"/>
      <c r="I1861" s="117"/>
      <c r="J1861" s="117"/>
      <c r="K1861" s="117"/>
      <c r="L1861" s="116"/>
      <c r="M1861" s="117"/>
      <c r="N1861" s="118" t="str">
        <f>IFERROR(__xludf.DUMMYFUNCTION("""COMPUTED_VALUE"""),"")</f>
        <v/>
      </c>
      <c r="O1861" s="116"/>
      <c r="P1861" s="116"/>
      <c r="Q1861" s="116"/>
      <c r="R1861" s="116" t="s">
        <v>39</v>
      </c>
      <c r="S1861" s="116" t="s">
        <v>39</v>
      </c>
      <c r="T1861" s="104" t="s">
        <v>5813</v>
      </c>
      <c r="U1861" s="116"/>
      <c r="V1861" s="104" t="s">
        <v>5813</v>
      </c>
      <c r="W1861" s="116"/>
    </row>
    <row r="1862">
      <c r="A1862" s="114" t="s">
        <v>39</v>
      </c>
      <c r="B1862" s="115"/>
      <c r="C1862" s="116"/>
      <c r="D1862" s="116"/>
      <c r="E1862" s="116" t="str">
        <f>IFERROR(__xludf.DUMMYFUNCTION("""COMPUTED_VALUE"""),"")</f>
        <v/>
      </c>
      <c r="F1862" s="117" t="s">
        <v>39</v>
      </c>
      <c r="G1862" s="116"/>
      <c r="H1862" s="117"/>
      <c r="I1862" s="117"/>
      <c r="J1862" s="117"/>
      <c r="K1862" s="117"/>
      <c r="L1862" s="116"/>
      <c r="M1862" s="117"/>
      <c r="N1862" s="118" t="str">
        <f>IFERROR(__xludf.DUMMYFUNCTION("""COMPUTED_VALUE"""),"")</f>
        <v/>
      </c>
      <c r="O1862" s="116"/>
      <c r="P1862" s="116"/>
      <c r="Q1862" s="116"/>
      <c r="R1862" s="116" t="s">
        <v>39</v>
      </c>
      <c r="S1862" s="116" t="s">
        <v>39</v>
      </c>
      <c r="T1862" s="104" t="s">
        <v>5814</v>
      </c>
      <c r="U1862" s="116"/>
      <c r="V1862" s="104" t="s">
        <v>5814</v>
      </c>
      <c r="W1862" s="116"/>
    </row>
    <row r="1863">
      <c r="A1863" s="114" t="s">
        <v>39</v>
      </c>
      <c r="B1863" s="115"/>
      <c r="C1863" s="116"/>
      <c r="D1863" s="116"/>
      <c r="E1863" s="116" t="str">
        <f>IFERROR(__xludf.DUMMYFUNCTION("""COMPUTED_VALUE"""),"")</f>
        <v/>
      </c>
      <c r="F1863" s="117" t="s">
        <v>39</v>
      </c>
      <c r="G1863" s="116"/>
      <c r="H1863" s="117"/>
      <c r="I1863" s="117"/>
      <c r="J1863" s="117"/>
      <c r="K1863" s="117"/>
      <c r="L1863" s="116"/>
      <c r="M1863" s="117"/>
      <c r="N1863" s="118" t="str">
        <f>IFERROR(__xludf.DUMMYFUNCTION("""COMPUTED_VALUE"""),"")</f>
        <v/>
      </c>
      <c r="O1863" s="116"/>
      <c r="P1863" s="116"/>
      <c r="Q1863" s="116"/>
      <c r="R1863" s="116" t="s">
        <v>39</v>
      </c>
      <c r="S1863" s="116" t="s">
        <v>39</v>
      </c>
      <c r="T1863" s="104" t="s">
        <v>5815</v>
      </c>
      <c r="U1863" s="116"/>
      <c r="V1863" s="104" t="s">
        <v>5815</v>
      </c>
      <c r="W1863" s="116"/>
    </row>
    <row r="1864">
      <c r="A1864" s="114" t="s">
        <v>39</v>
      </c>
      <c r="B1864" s="115"/>
      <c r="C1864" s="116"/>
      <c r="D1864" s="116"/>
      <c r="E1864" s="116" t="str">
        <f>IFERROR(__xludf.DUMMYFUNCTION("""COMPUTED_VALUE"""),"")</f>
        <v/>
      </c>
      <c r="F1864" s="117" t="s">
        <v>39</v>
      </c>
      <c r="G1864" s="116"/>
      <c r="H1864" s="117"/>
      <c r="I1864" s="117"/>
      <c r="J1864" s="117"/>
      <c r="K1864" s="117"/>
      <c r="L1864" s="116"/>
      <c r="M1864" s="117"/>
      <c r="N1864" s="118" t="str">
        <f>IFERROR(__xludf.DUMMYFUNCTION("""COMPUTED_VALUE"""),"")</f>
        <v/>
      </c>
      <c r="O1864" s="116"/>
      <c r="P1864" s="116"/>
      <c r="Q1864" s="116"/>
      <c r="R1864" s="116" t="s">
        <v>39</v>
      </c>
      <c r="S1864" s="116" t="s">
        <v>39</v>
      </c>
      <c r="T1864" s="104" t="s">
        <v>5816</v>
      </c>
      <c r="U1864" s="116"/>
      <c r="V1864" s="104" t="s">
        <v>5816</v>
      </c>
      <c r="W1864" s="116"/>
    </row>
    <row r="1865">
      <c r="A1865" s="114" t="s">
        <v>39</v>
      </c>
      <c r="B1865" s="115"/>
      <c r="C1865" s="116"/>
      <c r="D1865" s="116"/>
      <c r="E1865" s="116" t="str">
        <f>IFERROR(__xludf.DUMMYFUNCTION("""COMPUTED_VALUE"""),"")</f>
        <v/>
      </c>
      <c r="F1865" s="117" t="s">
        <v>39</v>
      </c>
      <c r="G1865" s="116"/>
      <c r="H1865" s="117"/>
      <c r="I1865" s="117"/>
      <c r="J1865" s="117"/>
      <c r="K1865" s="117"/>
      <c r="L1865" s="116"/>
      <c r="M1865" s="117"/>
      <c r="N1865" s="118" t="str">
        <f>IFERROR(__xludf.DUMMYFUNCTION("""COMPUTED_VALUE"""),"")</f>
        <v/>
      </c>
      <c r="O1865" s="116"/>
      <c r="P1865" s="116"/>
      <c r="Q1865" s="116"/>
      <c r="R1865" s="116" t="s">
        <v>39</v>
      </c>
      <c r="S1865" s="116" t="s">
        <v>39</v>
      </c>
      <c r="T1865" s="104" t="s">
        <v>5817</v>
      </c>
      <c r="U1865" s="116"/>
      <c r="V1865" s="104" t="s">
        <v>5817</v>
      </c>
      <c r="W1865" s="116"/>
    </row>
    <row r="1866">
      <c r="A1866" s="114" t="s">
        <v>39</v>
      </c>
      <c r="B1866" s="115"/>
      <c r="C1866" s="116"/>
      <c r="D1866" s="116"/>
      <c r="E1866" s="116" t="str">
        <f>IFERROR(__xludf.DUMMYFUNCTION("""COMPUTED_VALUE"""),"")</f>
        <v/>
      </c>
      <c r="F1866" s="117" t="s">
        <v>39</v>
      </c>
      <c r="G1866" s="116"/>
      <c r="H1866" s="117"/>
      <c r="I1866" s="117"/>
      <c r="J1866" s="117"/>
      <c r="K1866" s="117"/>
      <c r="L1866" s="116"/>
      <c r="M1866" s="117"/>
      <c r="N1866" s="118" t="str">
        <f>IFERROR(__xludf.DUMMYFUNCTION("""COMPUTED_VALUE"""),"")</f>
        <v/>
      </c>
      <c r="O1866" s="116"/>
      <c r="P1866" s="116"/>
      <c r="Q1866" s="116"/>
      <c r="R1866" s="116" t="s">
        <v>39</v>
      </c>
      <c r="S1866" s="116" t="s">
        <v>39</v>
      </c>
      <c r="T1866" s="104" t="s">
        <v>5818</v>
      </c>
      <c r="U1866" s="116"/>
      <c r="V1866" s="104" t="s">
        <v>5818</v>
      </c>
      <c r="W1866" s="116"/>
    </row>
    <row r="1867">
      <c r="A1867" s="114" t="s">
        <v>39</v>
      </c>
      <c r="B1867" s="115"/>
      <c r="C1867" s="116"/>
      <c r="D1867" s="116"/>
      <c r="E1867" s="116" t="str">
        <f>IFERROR(__xludf.DUMMYFUNCTION("""COMPUTED_VALUE"""),"")</f>
        <v/>
      </c>
      <c r="F1867" s="117" t="s">
        <v>39</v>
      </c>
      <c r="G1867" s="116"/>
      <c r="H1867" s="117"/>
      <c r="I1867" s="117"/>
      <c r="J1867" s="117"/>
      <c r="K1867" s="117"/>
      <c r="L1867" s="116"/>
      <c r="M1867" s="117"/>
      <c r="N1867" s="118" t="str">
        <f>IFERROR(__xludf.DUMMYFUNCTION("""COMPUTED_VALUE"""),"")</f>
        <v/>
      </c>
      <c r="O1867" s="116"/>
      <c r="P1867" s="116"/>
      <c r="Q1867" s="116"/>
      <c r="R1867" s="116" t="s">
        <v>39</v>
      </c>
      <c r="S1867" s="116" t="s">
        <v>39</v>
      </c>
      <c r="T1867" s="104" t="s">
        <v>5819</v>
      </c>
      <c r="U1867" s="116"/>
      <c r="V1867" s="104" t="s">
        <v>5819</v>
      </c>
      <c r="W1867" s="116"/>
    </row>
    <row r="1868">
      <c r="A1868" s="114" t="s">
        <v>39</v>
      </c>
      <c r="B1868" s="115"/>
      <c r="C1868" s="116"/>
      <c r="D1868" s="116"/>
      <c r="E1868" s="116" t="str">
        <f>IFERROR(__xludf.DUMMYFUNCTION("""COMPUTED_VALUE"""),"")</f>
        <v/>
      </c>
      <c r="F1868" s="117" t="s">
        <v>39</v>
      </c>
      <c r="G1868" s="116"/>
      <c r="H1868" s="117"/>
      <c r="I1868" s="117"/>
      <c r="J1868" s="117"/>
      <c r="K1868" s="117"/>
      <c r="L1868" s="116"/>
      <c r="M1868" s="117"/>
      <c r="N1868" s="118" t="str">
        <f>IFERROR(__xludf.DUMMYFUNCTION("""COMPUTED_VALUE"""),"")</f>
        <v/>
      </c>
      <c r="O1868" s="116"/>
      <c r="P1868" s="116"/>
      <c r="Q1868" s="116"/>
      <c r="R1868" s="116" t="s">
        <v>39</v>
      </c>
      <c r="S1868" s="116" t="s">
        <v>39</v>
      </c>
      <c r="T1868" s="104" t="s">
        <v>5820</v>
      </c>
      <c r="U1868" s="116"/>
      <c r="V1868" s="104" t="s">
        <v>5820</v>
      </c>
      <c r="W1868" s="116"/>
    </row>
    <row r="1869">
      <c r="A1869" s="114" t="s">
        <v>39</v>
      </c>
      <c r="B1869" s="115"/>
      <c r="C1869" s="116"/>
      <c r="D1869" s="116"/>
      <c r="E1869" s="116" t="str">
        <f>IFERROR(__xludf.DUMMYFUNCTION("""COMPUTED_VALUE"""),"")</f>
        <v/>
      </c>
      <c r="F1869" s="117" t="s">
        <v>39</v>
      </c>
      <c r="G1869" s="116"/>
      <c r="H1869" s="117"/>
      <c r="I1869" s="117"/>
      <c r="J1869" s="117"/>
      <c r="K1869" s="117"/>
      <c r="L1869" s="116"/>
      <c r="M1869" s="117"/>
      <c r="N1869" s="118" t="str">
        <f>IFERROR(__xludf.DUMMYFUNCTION("""COMPUTED_VALUE"""),"")</f>
        <v/>
      </c>
      <c r="O1869" s="116"/>
      <c r="P1869" s="116"/>
      <c r="Q1869" s="116"/>
      <c r="R1869" s="116" t="s">
        <v>39</v>
      </c>
      <c r="S1869" s="116" t="s">
        <v>39</v>
      </c>
      <c r="T1869" s="104" t="s">
        <v>5821</v>
      </c>
      <c r="U1869" s="116"/>
      <c r="V1869" s="104" t="s">
        <v>5821</v>
      </c>
      <c r="W1869" s="116"/>
    </row>
    <row r="1870">
      <c r="A1870" s="114" t="s">
        <v>39</v>
      </c>
      <c r="B1870" s="115"/>
      <c r="C1870" s="116"/>
      <c r="D1870" s="116"/>
      <c r="E1870" s="116" t="str">
        <f>IFERROR(__xludf.DUMMYFUNCTION("""COMPUTED_VALUE"""),"")</f>
        <v/>
      </c>
      <c r="F1870" s="117" t="s">
        <v>39</v>
      </c>
      <c r="G1870" s="116"/>
      <c r="H1870" s="117"/>
      <c r="I1870" s="117"/>
      <c r="J1870" s="117"/>
      <c r="K1870" s="117"/>
      <c r="L1870" s="116"/>
      <c r="M1870" s="117"/>
      <c r="N1870" s="118" t="str">
        <f>IFERROR(__xludf.DUMMYFUNCTION("""COMPUTED_VALUE"""),"")</f>
        <v/>
      </c>
      <c r="O1870" s="116"/>
      <c r="P1870" s="116"/>
      <c r="Q1870" s="116"/>
      <c r="R1870" s="116" t="s">
        <v>39</v>
      </c>
      <c r="S1870" s="116" t="s">
        <v>39</v>
      </c>
      <c r="T1870" s="104" t="s">
        <v>5822</v>
      </c>
      <c r="U1870" s="116"/>
      <c r="V1870" s="104" t="s">
        <v>5822</v>
      </c>
      <c r="W1870" s="116"/>
    </row>
    <row r="1871">
      <c r="A1871" s="114" t="s">
        <v>39</v>
      </c>
      <c r="B1871" s="115"/>
      <c r="C1871" s="116"/>
      <c r="D1871" s="116"/>
      <c r="E1871" s="116" t="str">
        <f>IFERROR(__xludf.DUMMYFUNCTION("""COMPUTED_VALUE"""),"")</f>
        <v/>
      </c>
      <c r="F1871" s="117" t="s">
        <v>39</v>
      </c>
      <c r="G1871" s="116"/>
      <c r="H1871" s="117"/>
      <c r="I1871" s="117"/>
      <c r="J1871" s="117"/>
      <c r="K1871" s="117"/>
      <c r="L1871" s="116"/>
      <c r="M1871" s="117"/>
      <c r="N1871" s="118" t="str">
        <f>IFERROR(__xludf.DUMMYFUNCTION("""COMPUTED_VALUE"""),"")</f>
        <v/>
      </c>
      <c r="O1871" s="116"/>
      <c r="P1871" s="116"/>
      <c r="Q1871" s="116"/>
      <c r="R1871" s="116" t="s">
        <v>39</v>
      </c>
      <c r="S1871" s="116" t="s">
        <v>39</v>
      </c>
      <c r="T1871" s="104" t="s">
        <v>5823</v>
      </c>
      <c r="U1871" s="116"/>
      <c r="V1871" s="104" t="s">
        <v>5823</v>
      </c>
      <c r="W1871" s="116"/>
    </row>
    <row r="1872">
      <c r="A1872" s="114" t="s">
        <v>39</v>
      </c>
      <c r="B1872" s="115"/>
      <c r="C1872" s="116"/>
      <c r="D1872" s="116"/>
      <c r="E1872" s="116" t="str">
        <f>IFERROR(__xludf.DUMMYFUNCTION("""COMPUTED_VALUE"""),"")</f>
        <v/>
      </c>
      <c r="F1872" s="117" t="s">
        <v>39</v>
      </c>
      <c r="G1872" s="116"/>
      <c r="H1872" s="117"/>
      <c r="I1872" s="117"/>
      <c r="J1872" s="117"/>
      <c r="K1872" s="117"/>
      <c r="L1872" s="116"/>
      <c r="M1872" s="117"/>
      <c r="N1872" s="118" t="str">
        <f>IFERROR(__xludf.DUMMYFUNCTION("""COMPUTED_VALUE"""),"")</f>
        <v/>
      </c>
      <c r="O1872" s="116"/>
      <c r="P1872" s="116"/>
      <c r="Q1872" s="116"/>
      <c r="R1872" s="116" t="s">
        <v>39</v>
      </c>
      <c r="S1872" s="116" t="s">
        <v>39</v>
      </c>
      <c r="T1872" s="104" t="s">
        <v>5824</v>
      </c>
      <c r="U1872" s="116"/>
      <c r="V1872" s="104" t="s">
        <v>5824</v>
      </c>
      <c r="W1872" s="116"/>
    </row>
    <row r="1873">
      <c r="A1873" s="114" t="s">
        <v>39</v>
      </c>
      <c r="B1873" s="115"/>
      <c r="C1873" s="116"/>
      <c r="D1873" s="116"/>
      <c r="E1873" s="116" t="str">
        <f>IFERROR(__xludf.DUMMYFUNCTION("""COMPUTED_VALUE"""),"")</f>
        <v/>
      </c>
      <c r="F1873" s="117" t="s">
        <v>39</v>
      </c>
      <c r="G1873" s="116"/>
      <c r="H1873" s="117"/>
      <c r="I1873" s="117"/>
      <c r="J1873" s="117"/>
      <c r="K1873" s="117"/>
      <c r="L1873" s="116"/>
      <c r="M1873" s="117"/>
      <c r="N1873" s="118" t="str">
        <f>IFERROR(__xludf.DUMMYFUNCTION("""COMPUTED_VALUE"""),"")</f>
        <v/>
      </c>
      <c r="O1873" s="116"/>
      <c r="P1873" s="116"/>
      <c r="Q1873" s="116"/>
      <c r="R1873" s="116" t="s">
        <v>39</v>
      </c>
      <c r="S1873" s="116" t="s">
        <v>39</v>
      </c>
      <c r="T1873" s="104" t="s">
        <v>5825</v>
      </c>
      <c r="U1873" s="116"/>
      <c r="V1873" s="104" t="s">
        <v>5825</v>
      </c>
      <c r="W1873" s="116"/>
    </row>
    <row r="1874">
      <c r="A1874" s="114" t="s">
        <v>39</v>
      </c>
      <c r="B1874" s="115"/>
      <c r="C1874" s="116"/>
      <c r="D1874" s="116"/>
      <c r="E1874" s="116" t="str">
        <f>IFERROR(__xludf.DUMMYFUNCTION("""COMPUTED_VALUE"""),"")</f>
        <v/>
      </c>
      <c r="F1874" s="117" t="s">
        <v>39</v>
      </c>
      <c r="G1874" s="116"/>
      <c r="H1874" s="117"/>
      <c r="I1874" s="117"/>
      <c r="J1874" s="117"/>
      <c r="K1874" s="117"/>
      <c r="L1874" s="116"/>
      <c r="M1874" s="117"/>
      <c r="N1874" s="118" t="str">
        <f>IFERROR(__xludf.DUMMYFUNCTION("""COMPUTED_VALUE"""),"")</f>
        <v/>
      </c>
      <c r="O1874" s="116"/>
      <c r="P1874" s="116"/>
      <c r="Q1874" s="116"/>
      <c r="R1874" s="116" t="s">
        <v>39</v>
      </c>
      <c r="S1874" s="116" t="s">
        <v>39</v>
      </c>
      <c r="T1874" s="104" t="s">
        <v>5826</v>
      </c>
      <c r="U1874" s="116"/>
      <c r="V1874" s="104" t="s">
        <v>5826</v>
      </c>
      <c r="W1874" s="116"/>
    </row>
    <row r="1875">
      <c r="A1875" s="114" t="s">
        <v>39</v>
      </c>
      <c r="B1875" s="115"/>
      <c r="C1875" s="116"/>
      <c r="D1875" s="116"/>
      <c r="E1875" s="116" t="str">
        <f>IFERROR(__xludf.DUMMYFUNCTION("""COMPUTED_VALUE"""),"")</f>
        <v/>
      </c>
      <c r="F1875" s="117" t="s">
        <v>39</v>
      </c>
      <c r="G1875" s="116"/>
      <c r="H1875" s="117"/>
      <c r="I1875" s="117"/>
      <c r="J1875" s="117"/>
      <c r="K1875" s="117"/>
      <c r="L1875" s="116"/>
      <c r="M1875" s="117"/>
      <c r="N1875" s="118" t="str">
        <f>IFERROR(__xludf.DUMMYFUNCTION("""COMPUTED_VALUE"""),"")</f>
        <v/>
      </c>
      <c r="O1875" s="116"/>
      <c r="P1875" s="116"/>
      <c r="Q1875" s="116"/>
      <c r="R1875" s="116" t="s">
        <v>39</v>
      </c>
      <c r="S1875" s="116" t="s">
        <v>39</v>
      </c>
      <c r="T1875" s="104" t="s">
        <v>5827</v>
      </c>
      <c r="U1875" s="116"/>
      <c r="V1875" s="104" t="s">
        <v>5827</v>
      </c>
      <c r="W1875" s="116"/>
    </row>
    <row r="1876">
      <c r="A1876" s="114" t="s">
        <v>39</v>
      </c>
      <c r="B1876" s="115"/>
      <c r="C1876" s="116"/>
      <c r="D1876" s="116"/>
      <c r="E1876" s="116" t="str">
        <f>IFERROR(__xludf.DUMMYFUNCTION("""COMPUTED_VALUE"""),"")</f>
        <v/>
      </c>
      <c r="F1876" s="117" t="s">
        <v>39</v>
      </c>
      <c r="G1876" s="116"/>
      <c r="H1876" s="117"/>
      <c r="I1876" s="117"/>
      <c r="J1876" s="117"/>
      <c r="K1876" s="117"/>
      <c r="L1876" s="116"/>
      <c r="M1876" s="117"/>
      <c r="N1876" s="118" t="str">
        <f>IFERROR(__xludf.DUMMYFUNCTION("""COMPUTED_VALUE"""),"")</f>
        <v/>
      </c>
      <c r="O1876" s="116"/>
      <c r="P1876" s="116"/>
      <c r="Q1876" s="116"/>
      <c r="R1876" s="116" t="s">
        <v>39</v>
      </c>
      <c r="S1876" s="116" t="s">
        <v>39</v>
      </c>
      <c r="T1876" s="104" t="s">
        <v>5828</v>
      </c>
      <c r="U1876" s="116"/>
      <c r="V1876" s="104" t="s">
        <v>5828</v>
      </c>
      <c r="W1876" s="116"/>
    </row>
    <row r="1877">
      <c r="A1877" s="114" t="s">
        <v>39</v>
      </c>
      <c r="B1877" s="115"/>
      <c r="C1877" s="116"/>
      <c r="D1877" s="116"/>
      <c r="E1877" s="116" t="str">
        <f>IFERROR(__xludf.DUMMYFUNCTION("""COMPUTED_VALUE"""),"")</f>
        <v/>
      </c>
      <c r="F1877" s="117" t="s">
        <v>39</v>
      </c>
      <c r="G1877" s="116"/>
      <c r="H1877" s="117"/>
      <c r="I1877" s="117"/>
      <c r="J1877" s="117"/>
      <c r="K1877" s="117"/>
      <c r="L1877" s="116"/>
      <c r="M1877" s="117"/>
      <c r="N1877" s="118" t="str">
        <f>IFERROR(__xludf.DUMMYFUNCTION("""COMPUTED_VALUE"""),"")</f>
        <v/>
      </c>
      <c r="O1877" s="116"/>
      <c r="P1877" s="116"/>
      <c r="Q1877" s="116"/>
      <c r="R1877" s="116" t="s">
        <v>39</v>
      </c>
      <c r="S1877" s="116" t="s">
        <v>39</v>
      </c>
      <c r="T1877" s="104" t="s">
        <v>5829</v>
      </c>
      <c r="U1877" s="116"/>
      <c r="V1877" s="104" t="s">
        <v>5829</v>
      </c>
      <c r="W1877" s="116"/>
    </row>
    <row r="1878">
      <c r="A1878" s="114" t="s">
        <v>39</v>
      </c>
      <c r="B1878" s="115"/>
      <c r="C1878" s="116"/>
      <c r="D1878" s="116"/>
      <c r="E1878" s="116" t="str">
        <f>IFERROR(__xludf.DUMMYFUNCTION("""COMPUTED_VALUE"""),"")</f>
        <v/>
      </c>
      <c r="F1878" s="117" t="s">
        <v>39</v>
      </c>
      <c r="G1878" s="116"/>
      <c r="H1878" s="117"/>
      <c r="I1878" s="117"/>
      <c r="J1878" s="117"/>
      <c r="K1878" s="117"/>
      <c r="L1878" s="116"/>
      <c r="M1878" s="117"/>
      <c r="N1878" s="118" t="str">
        <f>IFERROR(__xludf.DUMMYFUNCTION("""COMPUTED_VALUE"""),"")</f>
        <v/>
      </c>
      <c r="O1878" s="116"/>
      <c r="P1878" s="116"/>
      <c r="Q1878" s="116"/>
      <c r="R1878" s="116" t="s">
        <v>39</v>
      </c>
      <c r="S1878" s="116" t="s">
        <v>39</v>
      </c>
      <c r="T1878" s="104" t="s">
        <v>5830</v>
      </c>
      <c r="U1878" s="116"/>
      <c r="V1878" s="104" t="s">
        <v>5830</v>
      </c>
      <c r="W1878" s="116"/>
    </row>
    <row r="1879">
      <c r="A1879" s="114" t="s">
        <v>39</v>
      </c>
      <c r="B1879" s="115"/>
      <c r="C1879" s="116"/>
      <c r="D1879" s="116"/>
      <c r="E1879" s="116" t="str">
        <f>IFERROR(__xludf.DUMMYFUNCTION("""COMPUTED_VALUE"""),"")</f>
        <v/>
      </c>
      <c r="F1879" s="117" t="s">
        <v>39</v>
      </c>
      <c r="G1879" s="116"/>
      <c r="H1879" s="117"/>
      <c r="I1879" s="117"/>
      <c r="J1879" s="117"/>
      <c r="K1879" s="117"/>
      <c r="L1879" s="116"/>
      <c r="M1879" s="117"/>
      <c r="N1879" s="118" t="str">
        <f>IFERROR(__xludf.DUMMYFUNCTION("""COMPUTED_VALUE"""),"")</f>
        <v/>
      </c>
      <c r="O1879" s="116"/>
      <c r="P1879" s="116"/>
      <c r="Q1879" s="116"/>
      <c r="R1879" s="116" t="s">
        <v>39</v>
      </c>
      <c r="S1879" s="116" t="s">
        <v>39</v>
      </c>
      <c r="T1879" s="104" t="s">
        <v>5831</v>
      </c>
      <c r="U1879" s="116"/>
      <c r="V1879" s="104" t="s">
        <v>5831</v>
      </c>
      <c r="W1879" s="116"/>
    </row>
    <row r="1880">
      <c r="A1880" s="114" t="s">
        <v>39</v>
      </c>
      <c r="B1880" s="115"/>
      <c r="C1880" s="116"/>
      <c r="D1880" s="116"/>
      <c r="E1880" s="116" t="str">
        <f>IFERROR(__xludf.DUMMYFUNCTION("""COMPUTED_VALUE"""),"")</f>
        <v/>
      </c>
      <c r="F1880" s="117" t="s">
        <v>39</v>
      </c>
      <c r="G1880" s="116"/>
      <c r="H1880" s="117"/>
      <c r="I1880" s="117"/>
      <c r="J1880" s="117"/>
      <c r="K1880" s="117"/>
      <c r="L1880" s="116"/>
      <c r="M1880" s="117"/>
      <c r="N1880" s="118" t="str">
        <f>IFERROR(__xludf.DUMMYFUNCTION("""COMPUTED_VALUE"""),"")</f>
        <v/>
      </c>
      <c r="O1880" s="116"/>
      <c r="P1880" s="116"/>
      <c r="Q1880" s="116"/>
      <c r="R1880" s="116" t="s">
        <v>39</v>
      </c>
      <c r="S1880" s="116" t="s">
        <v>39</v>
      </c>
      <c r="T1880" s="104" t="s">
        <v>5832</v>
      </c>
      <c r="U1880" s="116"/>
      <c r="V1880" s="104" t="s">
        <v>5832</v>
      </c>
      <c r="W1880" s="116"/>
    </row>
    <row r="1881">
      <c r="A1881" s="114" t="s">
        <v>39</v>
      </c>
      <c r="B1881" s="115"/>
      <c r="C1881" s="116"/>
      <c r="D1881" s="116"/>
      <c r="E1881" s="116" t="str">
        <f>IFERROR(__xludf.DUMMYFUNCTION("""COMPUTED_VALUE"""),"")</f>
        <v/>
      </c>
      <c r="F1881" s="117" t="s">
        <v>39</v>
      </c>
      <c r="G1881" s="116"/>
      <c r="H1881" s="117"/>
      <c r="I1881" s="117"/>
      <c r="J1881" s="117"/>
      <c r="K1881" s="117"/>
      <c r="L1881" s="116"/>
      <c r="M1881" s="117"/>
      <c r="N1881" s="118" t="str">
        <f>IFERROR(__xludf.DUMMYFUNCTION("""COMPUTED_VALUE"""),"")</f>
        <v/>
      </c>
      <c r="O1881" s="116"/>
      <c r="P1881" s="116"/>
      <c r="Q1881" s="116"/>
      <c r="R1881" s="116" t="s">
        <v>39</v>
      </c>
      <c r="S1881" s="116" t="s">
        <v>39</v>
      </c>
      <c r="T1881" s="104" t="s">
        <v>5833</v>
      </c>
      <c r="U1881" s="116"/>
      <c r="V1881" s="104" t="s">
        <v>5833</v>
      </c>
      <c r="W1881" s="116"/>
    </row>
    <row r="1882">
      <c r="A1882" s="114" t="s">
        <v>39</v>
      </c>
      <c r="B1882" s="115"/>
      <c r="C1882" s="116"/>
      <c r="D1882" s="116"/>
      <c r="E1882" s="116" t="str">
        <f>IFERROR(__xludf.DUMMYFUNCTION("""COMPUTED_VALUE"""),"")</f>
        <v/>
      </c>
      <c r="F1882" s="117" t="s">
        <v>39</v>
      </c>
      <c r="G1882" s="116"/>
      <c r="H1882" s="117"/>
      <c r="I1882" s="117"/>
      <c r="J1882" s="117"/>
      <c r="K1882" s="117"/>
      <c r="L1882" s="116"/>
      <c r="M1882" s="117"/>
      <c r="N1882" s="118" t="str">
        <f>IFERROR(__xludf.DUMMYFUNCTION("""COMPUTED_VALUE"""),"")</f>
        <v/>
      </c>
      <c r="O1882" s="116"/>
      <c r="P1882" s="116"/>
      <c r="Q1882" s="116"/>
      <c r="R1882" s="116" t="s">
        <v>39</v>
      </c>
      <c r="S1882" s="116" t="s">
        <v>39</v>
      </c>
      <c r="T1882" s="104" t="s">
        <v>5834</v>
      </c>
      <c r="U1882" s="116"/>
      <c r="V1882" s="104" t="s">
        <v>5834</v>
      </c>
      <c r="W1882" s="116"/>
    </row>
    <row r="1883">
      <c r="A1883" s="114" t="s">
        <v>39</v>
      </c>
      <c r="B1883" s="115"/>
      <c r="C1883" s="116"/>
      <c r="D1883" s="116"/>
      <c r="E1883" s="116" t="str">
        <f>IFERROR(__xludf.DUMMYFUNCTION("""COMPUTED_VALUE"""),"")</f>
        <v/>
      </c>
      <c r="F1883" s="117" t="s">
        <v>39</v>
      </c>
      <c r="G1883" s="116"/>
      <c r="H1883" s="117"/>
      <c r="I1883" s="117"/>
      <c r="J1883" s="117"/>
      <c r="K1883" s="117"/>
      <c r="L1883" s="116"/>
      <c r="M1883" s="117"/>
      <c r="N1883" s="118" t="str">
        <f>IFERROR(__xludf.DUMMYFUNCTION("""COMPUTED_VALUE"""),"")</f>
        <v/>
      </c>
      <c r="O1883" s="116"/>
      <c r="P1883" s="116"/>
      <c r="Q1883" s="116"/>
      <c r="R1883" s="116" t="s">
        <v>39</v>
      </c>
      <c r="S1883" s="116" t="s">
        <v>39</v>
      </c>
      <c r="T1883" s="104" t="s">
        <v>5835</v>
      </c>
      <c r="U1883" s="116"/>
      <c r="V1883" s="104" t="s">
        <v>5835</v>
      </c>
      <c r="W1883" s="116"/>
    </row>
    <row r="1884">
      <c r="A1884" s="114" t="s">
        <v>39</v>
      </c>
      <c r="B1884" s="115"/>
      <c r="C1884" s="116"/>
      <c r="D1884" s="116"/>
      <c r="E1884" s="116" t="str">
        <f>IFERROR(__xludf.DUMMYFUNCTION("""COMPUTED_VALUE"""),"")</f>
        <v/>
      </c>
      <c r="F1884" s="117" t="s">
        <v>39</v>
      </c>
      <c r="G1884" s="116"/>
      <c r="H1884" s="117"/>
      <c r="I1884" s="117"/>
      <c r="J1884" s="117"/>
      <c r="K1884" s="117"/>
      <c r="L1884" s="116"/>
      <c r="M1884" s="117"/>
      <c r="N1884" s="118" t="str">
        <f>IFERROR(__xludf.DUMMYFUNCTION("""COMPUTED_VALUE"""),"")</f>
        <v/>
      </c>
      <c r="O1884" s="116"/>
      <c r="P1884" s="116"/>
      <c r="Q1884" s="116"/>
      <c r="R1884" s="116" t="s">
        <v>39</v>
      </c>
      <c r="S1884" s="116" t="s">
        <v>39</v>
      </c>
      <c r="T1884" s="104" t="s">
        <v>5836</v>
      </c>
      <c r="U1884" s="116"/>
      <c r="V1884" s="104" t="s">
        <v>5836</v>
      </c>
      <c r="W1884" s="116"/>
    </row>
    <row r="1885">
      <c r="A1885" s="114" t="s">
        <v>39</v>
      </c>
      <c r="B1885" s="115"/>
      <c r="C1885" s="116"/>
      <c r="D1885" s="116"/>
      <c r="E1885" s="116" t="str">
        <f>IFERROR(__xludf.DUMMYFUNCTION("""COMPUTED_VALUE"""),"")</f>
        <v/>
      </c>
      <c r="F1885" s="117" t="s">
        <v>39</v>
      </c>
      <c r="G1885" s="116"/>
      <c r="H1885" s="117"/>
      <c r="I1885" s="117"/>
      <c r="J1885" s="117"/>
      <c r="K1885" s="117"/>
      <c r="L1885" s="116"/>
      <c r="M1885" s="117"/>
      <c r="N1885" s="118" t="str">
        <f>IFERROR(__xludf.DUMMYFUNCTION("""COMPUTED_VALUE"""),"")</f>
        <v/>
      </c>
      <c r="O1885" s="116"/>
      <c r="P1885" s="116"/>
      <c r="Q1885" s="116"/>
      <c r="R1885" s="116" t="s">
        <v>39</v>
      </c>
      <c r="S1885" s="116" t="s">
        <v>39</v>
      </c>
      <c r="T1885" s="104" t="s">
        <v>5837</v>
      </c>
      <c r="U1885" s="116"/>
      <c r="V1885" s="104" t="s">
        <v>5837</v>
      </c>
      <c r="W1885" s="116"/>
    </row>
    <row r="1886">
      <c r="A1886" s="114" t="s">
        <v>39</v>
      </c>
      <c r="B1886" s="115"/>
      <c r="C1886" s="116"/>
      <c r="D1886" s="116"/>
      <c r="E1886" s="116" t="str">
        <f>IFERROR(__xludf.DUMMYFUNCTION("""COMPUTED_VALUE"""),"")</f>
        <v/>
      </c>
      <c r="F1886" s="117" t="s">
        <v>39</v>
      </c>
      <c r="G1886" s="116"/>
      <c r="H1886" s="117"/>
      <c r="I1886" s="117"/>
      <c r="J1886" s="117"/>
      <c r="K1886" s="117"/>
      <c r="L1886" s="116"/>
      <c r="M1886" s="117"/>
      <c r="N1886" s="118" t="str">
        <f>IFERROR(__xludf.DUMMYFUNCTION("""COMPUTED_VALUE"""),"")</f>
        <v/>
      </c>
      <c r="O1886" s="116"/>
      <c r="P1886" s="116"/>
      <c r="Q1886" s="116"/>
      <c r="R1886" s="116" t="s">
        <v>39</v>
      </c>
      <c r="S1886" s="116" t="s">
        <v>39</v>
      </c>
      <c r="T1886" s="104" t="s">
        <v>5838</v>
      </c>
      <c r="U1886" s="116"/>
      <c r="V1886" s="104" t="s">
        <v>5838</v>
      </c>
      <c r="W1886" s="116"/>
    </row>
    <row r="1887">
      <c r="A1887" s="114" t="s">
        <v>39</v>
      </c>
      <c r="B1887" s="115"/>
      <c r="C1887" s="116"/>
      <c r="D1887" s="116"/>
      <c r="E1887" s="116" t="str">
        <f>IFERROR(__xludf.DUMMYFUNCTION("""COMPUTED_VALUE"""),"")</f>
        <v/>
      </c>
      <c r="F1887" s="117" t="s">
        <v>39</v>
      </c>
      <c r="G1887" s="116"/>
      <c r="H1887" s="117"/>
      <c r="I1887" s="117"/>
      <c r="J1887" s="117"/>
      <c r="K1887" s="117"/>
      <c r="L1887" s="116"/>
      <c r="M1887" s="117"/>
      <c r="N1887" s="118" t="str">
        <f>IFERROR(__xludf.DUMMYFUNCTION("""COMPUTED_VALUE"""),"")</f>
        <v/>
      </c>
      <c r="O1887" s="116"/>
      <c r="P1887" s="116"/>
      <c r="Q1887" s="116"/>
      <c r="R1887" s="116" t="s">
        <v>39</v>
      </c>
      <c r="S1887" s="116" t="s">
        <v>39</v>
      </c>
      <c r="T1887" s="104" t="s">
        <v>5839</v>
      </c>
      <c r="U1887" s="116"/>
      <c r="V1887" s="104" t="s">
        <v>5839</v>
      </c>
      <c r="W1887" s="116"/>
    </row>
    <row r="1888">
      <c r="A1888" s="114" t="s">
        <v>39</v>
      </c>
      <c r="B1888" s="115"/>
      <c r="C1888" s="116"/>
      <c r="D1888" s="116"/>
      <c r="E1888" s="116" t="str">
        <f>IFERROR(__xludf.DUMMYFUNCTION("""COMPUTED_VALUE"""),"")</f>
        <v/>
      </c>
      <c r="F1888" s="117" t="s">
        <v>39</v>
      </c>
      <c r="G1888" s="116"/>
      <c r="H1888" s="117"/>
      <c r="I1888" s="117"/>
      <c r="J1888" s="117"/>
      <c r="K1888" s="117"/>
      <c r="L1888" s="116"/>
      <c r="M1888" s="117"/>
      <c r="N1888" s="118" t="str">
        <f>IFERROR(__xludf.DUMMYFUNCTION("""COMPUTED_VALUE"""),"")</f>
        <v/>
      </c>
      <c r="O1888" s="116"/>
      <c r="P1888" s="116"/>
      <c r="Q1888" s="116"/>
      <c r="R1888" s="116" t="s">
        <v>39</v>
      </c>
      <c r="S1888" s="116" t="s">
        <v>39</v>
      </c>
      <c r="T1888" s="104" t="s">
        <v>5840</v>
      </c>
      <c r="U1888" s="116"/>
      <c r="V1888" s="104" t="s">
        <v>5840</v>
      </c>
      <c r="W1888" s="116"/>
    </row>
    <row r="1889">
      <c r="A1889" s="114" t="s">
        <v>39</v>
      </c>
      <c r="B1889" s="115"/>
      <c r="C1889" s="116"/>
      <c r="D1889" s="116"/>
      <c r="E1889" s="116" t="str">
        <f>IFERROR(__xludf.DUMMYFUNCTION("""COMPUTED_VALUE"""),"")</f>
        <v/>
      </c>
      <c r="F1889" s="117" t="s">
        <v>39</v>
      </c>
      <c r="G1889" s="116"/>
      <c r="H1889" s="117"/>
      <c r="I1889" s="117"/>
      <c r="J1889" s="117"/>
      <c r="K1889" s="117"/>
      <c r="L1889" s="116"/>
      <c r="M1889" s="117"/>
      <c r="N1889" s="118" t="str">
        <f>IFERROR(__xludf.DUMMYFUNCTION("""COMPUTED_VALUE"""),"")</f>
        <v/>
      </c>
      <c r="O1889" s="116"/>
      <c r="P1889" s="116"/>
      <c r="Q1889" s="116"/>
      <c r="R1889" s="116" t="s">
        <v>39</v>
      </c>
      <c r="S1889" s="116" t="s">
        <v>39</v>
      </c>
      <c r="T1889" s="104" t="s">
        <v>5841</v>
      </c>
      <c r="U1889" s="116"/>
      <c r="V1889" s="104" t="s">
        <v>5841</v>
      </c>
      <c r="W1889" s="116"/>
    </row>
    <row r="1890">
      <c r="A1890" s="114" t="s">
        <v>39</v>
      </c>
      <c r="B1890" s="115"/>
      <c r="C1890" s="116"/>
      <c r="D1890" s="116"/>
      <c r="E1890" s="116" t="str">
        <f>IFERROR(__xludf.DUMMYFUNCTION("""COMPUTED_VALUE"""),"")</f>
        <v/>
      </c>
      <c r="F1890" s="117" t="s">
        <v>39</v>
      </c>
      <c r="G1890" s="116"/>
      <c r="H1890" s="117"/>
      <c r="I1890" s="117"/>
      <c r="J1890" s="117"/>
      <c r="K1890" s="117"/>
      <c r="L1890" s="116"/>
      <c r="M1890" s="117"/>
      <c r="N1890" s="118" t="str">
        <f>IFERROR(__xludf.DUMMYFUNCTION("""COMPUTED_VALUE"""),"")</f>
        <v/>
      </c>
      <c r="O1890" s="116"/>
      <c r="P1890" s="116"/>
      <c r="Q1890" s="116"/>
      <c r="R1890" s="116" t="s">
        <v>39</v>
      </c>
      <c r="S1890" s="116" t="s">
        <v>39</v>
      </c>
      <c r="T1890" s="104" t="s">
        <v>5842</v>
      </c>
      <c r="U1890" s="116"/>
      <c r="V1890" s="104" t="s">
        <v>5842</v>
      </c>
      <c r="W1890" s="116"/>
    </row>
    <row r="1891">
      <c r="A1891" s="114" t="s">
        <v>39</v>
      </c>
      <c r="B1891" s="115"/>
      <c r="C1891" s="116"/>
      <c r="D1891" s="116"/>
      <c r="E1891" s="116" t="str">
        <f>IFERROR(__xludf.DUMMYFUNCTION("""COMPUTED_VALUE"""),"")</f>
        <v/>
      </c>
      <c r="F1891" s="117" t="s">
        <v>39</v>
      </c>
      <c r="G1891" s="116"/>
      <c r="H1891" s="117"/>
      <c r="I1891" s="117"/>
      <c r="J1891" s="117"/>
      <c r="K1891" s="117"/>
      <c r="L1891" s="116"/>
      <c r="M1891" s="117"/>
      <c r="N1891" s="118" t="str">
        <f>IFERROR(__xludf.DUMMYFUNCTION("""COMPUTED_VALUE"""),"")</f>
        <v/>
      </c>
      <c r="O1891" s="116"/>
      <c r="P1891" s="116"/>
      <c r="Q1891" s="116"/>
      <c r="R1891" s="116" t="s">
        <v>39</v>
      </c>
      <c r="S1891" s="116" t="s">
        <v>39</v>
      </c>
      <c r="T1891" s="104" t="s">
        <v>5843</v>
      </c>
      <c r="U1891" s="116"/>
      <c r="V1891" s="104" t="s">
        <v>5843</v>
      </c>
      <c r="W1891" s="116"/>
    </row>
    <row r="1892">
      <c r="A1892" s="114" t="s">
        <v>39</v>
      </c>
      <c r="B1892" s="115"/>
      <c r="C1892" s="116"/>
      <c r="D1892" s="116"/>
      <c r="E1892" s="116" t="str">
        <f>IFERROR(__xludf.DUMMYFUNCTION("""COMPUTED_VALUE"""),"")</f>
        <v/>
      </c>
      <c r="F1892" s="117" t="s">
        <v>39</v>
      </c>
      <c r="G1892" s="116"/>
      <c r="H1892" s="117"/>
      <c r="I1892" s="117"/>
      <c r="J1892" s="117"/>
      <c r="K1892" s="117"/>
      <c r="L1892" s="116"/>
      <c r="M1892" s="117"/>
      <c r="N1892" s="118" t="str">
        <f>IFERROR(__xludf.DUMMYFUNCTION("""COMPUTED_VALUE"""),"")</f>
        <v/>
      </c>
      <c r="O1892" s="116"/>
      <c r="P1892" s="116"/>
      <c r="Q1892" s="116"/>
      <c r="R1892" s="116" t="s">
        <v>39</v>
      </c>
      <c r="S1892" s="116" t="s">
        <v>39</v>
      </c>
      <c r="T1892" s="104" t="s">
        <v>5844</v>
      </c>
      <c r="U1892" s="116"/>
      <c r="V1892" s="104" t="s">
        <v>5844</v>
      </c>
      <c r="W1892" s="116"/>
    </row>
    <row r="1893">
      <c r="A1893" s="114" t="s">
        <v>39</v>
      </c>
      <c r="B1893" s="115"/>
      <c r="C1893" s="116"/>
      <c r="D1893" s="116"/>
      <c r="E1893" s="116" t="str">
        <f>IFERROR(__xludf.DUMMYFUNCTION("""COMPUTED_VALUE"""),"")</f>
        <v/>
      </c>
      <c r="F1893" s="117" t="s">
        <v>39</v>
      </c>
      <c r="G1893" s="116"/>
      <c r="H1893" s="117"/>
      <c r="I1893" s="117"/>
      <c r="J1893" s="117"/>
      <c r="K1893" s="117"/>
      <c r="L1893" s="116"/>
      <c r="M1893" s="117"/>
      <c r="N1893" s="118" t="str">
        <f>IFERROR(__xludf.DUMMYFUNCTION("""COMPUTED_VALUE"""),"")</f>
        <v/>
      </c>
      <c r="O1893" s="116"/>
      <c r="P1893" s="116"/>
      <c r="Q1893" s="116"/>
      <c r="R1893" s="116" t="s">
        <v>39</v>
      </c>
      <c r="S1893" s="116" t="s">
        <v>39</v>
      </c>
      <c r="T1893" s="104" t="s">
        <v>5845</v>
      </c>
      <c r="U1893" s="116"/>
      <c r="V1893" s="104" t="s">
        <v>5845</v>
      </c>
      <c r="W1893" s="116"/>
    </row>
    <row r="1894">
      <c r="A1894" s="114" t="s">
        <v>39</v>
      </c>
      <c r="B1894" s="115"/>
      <c r="C1894" s="116"/>
      <c r="D1894" s="116"/>
      <c r="E1894" s="116" t="str">
        <f>IFERROR(__xludf.DUMMYFUNCTION("""COMPUTED_VALUE"""),"")</f>
        <v/>
      </c>
      <c r="F1894" s="117" t="s">
        <v>39</v>
      </c>
      <c r="G1894" s="116"/>
      <c r="H1894" s="117"/>
      <c r="I1894" s="117"/>
      <c r="J1894" s="117"/>
      <c r="K1894" s="117"/>
      <c r="L1894" s="116"/>
      <c r="M1894" s="117"/>
      <c r="N1894" s="118" t="str">
        <f>IFERROR(__xludf.DUMMYFUNCTION("""COMPUTED_VALUE"""),"")</f>
        <v/>
      </c>
      <c r="O1894" s="116"/>
      <c r="P1894" s="116"/>
      <c r="Q1894" s="116"/>
      <c r="R1894" s="116" t="s">
        <v>39</v>
      </c>
      <c r="S1894" s="116" t="s">
        <v>39</v>
      </c>
      <c r="T1894" s="104" t="s">
        <v>5846</v>
      </c>
      <c r="U1894" s="116"/>
      <c r="V1894" s="104" t="s">
        <v>5846</v>
      </c>
      <c r="W1894" s="116"/>
    </row>
    <row r="1895">
      <c r="A1895" s="114" t="s">
        <v>39</v>
      </c>
      <c r="B1895" s="115"/>
      <c r="C1895" s="116"/>
      <c r="D1895" s="116"/>
      <c r="E1895" s="116" t="str">
        <f>IFERROR(__xludf.DUMMYFUNCTION("""COMPUTED_VALUE"""),"")</f>
        <v/>
      </c>
      <c r="F1895" s="117" t="s">
        <v>39</v>
      </c>
      <c r="G1895" s="116"/>
      <c r="H1895" s="117"/>
      <c r="I1895" s="117"/>
      <c r="J1895" s="117"/>
      <c r="K1895" s="117"/>
      <c r="L1895" s="116"/>
      <c r="M1895" s="117"/>
      <c r="N1895" s="118" t="str">
        <f>IFERROR(__xludf.DUMMYFUNCTION("""COMPUTED_VALUE"""),"")</f>
        <v/>
      </c>
      <c r="O1895" s="116"/>
      <c r="P1895" s="116"/>
      <c r="Q1895" s="116"/>
      <c r="R1895" s="116" t="s">
        <v>39</v>
      </c>
      <c r="S1895" s="116" t="s">
        <v>39</v>
      </c>
      <c r="T1895" s="104" t="s">
        <v>5847</v>
      </c>
      <c r="U1895" s="116"/>
      <c r="V1895" s="104" t="s">
        <v>5847</v>
      </c>
      <c r="W1895" s="116"/>
    </row>
    <row r="1896">
      <c r="A1896" s="114" t="s">
        <v>39</v>
      </c>
      <c r="B1896" s="115"/>
      <c r="C1896" s="116"/>
      <c r="D1896" s="116"/>
      <c r="E1896" s="116" t="str">
        <f>IFERROR(__xludf.DUMMYFUNCTION("""COMPUTED_VALUE"""),"")</f>
        <v/>
      </c>
      <c r="F1896" s="117" t="s">
        <v>39</v>
      </c>
      <c r="G1896" s="116"/>
      <c r="H1896" s="117"/>
      <c r="I1896" s="117"/>
      <c r="J1896" s="117"/>
      <c r="K1896" s="117"/>
      <c r="L1896" s="116"/>
      <c r="M1896" s="117"/>
      <c r="N1896" s="118" t="str">
        <f>IFERROR(__xludf.DUMMYFUNCTION("""COMPUTED_VALUE"""),"")</f>
        <v/>
      </c>
      <c r="O1896" s="116"/>
      <c r="P1896" s="116"/>
      <c r="Q1896" s="116"/>
      <c r="R1896" s="116" t="s">
        <v>39</v>
      </c>
      <c r="S1896" s="116" t="s">
        <v>39</v>
      </c>
      <c r="T1896" s="104" t="s">
        <v>5848</v>
      </c>
      <c r="U1896" s="116"/>
      <c r="V1896" s="104" t="s">
        <v>5848</v>
      </c>
      <c r="W1896" s="116"/>
    </row>
    <row r="1897">
      <c r="A1897" s="114" t="s">
        <v>39</v>
      </c>
      <c r="B1897" s="115"/>
      <c r="C1897" s="116"/>
      <c r="D1897" s="116"/>
      <c r="E1897" s="116" t="str">
        <f>IFERROR(__xludf.DUMMYFUNCTION("""COMPUTED_VALUE"""),"")</f>
        <v/>
      </c>
      <c r="F1897" s="117" t="s">
        <v>39</v>
      </c>
      <c r="G1897" s="116"/>
      <c r="H1897" s="117"/>
      <c r="I1897" s="117"/>
      <c r="J1897" s="117"/>
      <c r="K1897" s="117"/>
      <c r="L1897" s="116"/>
      <c r="M1897" s="117"/>
      <c r="N1897" s="118" t="str">
        <f>IFERROR(__xludf.DUMMYFUNCTION("""COMPUTED_VALUE"""),"")</f>
        <v/>
      </c>
      <c r="O1897" s="116"/>
      <c r="P1897" s="116"/>
      <c r="Q1897" s="116"/>
      <c r="R1897" s="116" t="s">
        <v>39</v>
      </c>
      <c r="S1897" s="116" t="s">
        <v>39</v>
      </c>
      <c r="T1897" s="104" t="s">
        <v>5849</v>
      </c>
      <c r="U1897" s="116"/>
      <c r="V1897" s="104" t="s">
        <v>5849</v>
      </c>
      <c r="W1897" s="116"/>
    </row>
    <row r="1898">
      <c r="A1898" s="114" t="s">
        <v>39</v>
      </c>
      <c r="B1898" s="115"/>
      <c r="C1898" s="116"/>
      <c r="D1898" s="116"/>
      <c r="E1898" s="116" t="str">
        <f>IFERROR(__xludf.DUMMYFUNCTION("""COMPUTED_VALUE"""),"")</f>
        <v/>
      </c>
      <c r="F1898" s="117" t="s">
        <v>39</v>
      </c>
      <c r="G1898" s="116"/>
      <c r="H1898" s="117"/>
      <c r="I1898" s="117"/>
      <c r="J1898" s="117"/>
      <c r="K1898" s="117"/>
      <c r="L1898" s="116"/>
      <c r="M1898" s="117"/>
      <c r="N1898" s="118" t="str">
        <f>IFERROR(__xludf.DUMMYFUNCTION("""COMPUTED_VALUE"""),"")</f>
        <v/>
      </c>
      <c r="O1898" s="116"/>
      <c r="P1898" s="116"/>
      <c r="Q1898" s="116"/>
      <c r="R1898" s="116" t="s">
        <v>39</v>
      </c>
      <c r="S1898" s="116" t="s">
        <v>39</v>
      </c>
      <c r="T1898" s="104" t="s">
        <v>5850</v>
      </c>
      <c r="U1898" s="116"/>
      <c r="V1898" s="104" t="s">
        <v>5850</v>
      </c>
      <c r="W1898" s="116"/>
    </row>
    <row r="1899">
      <c r="A1899" s="114" t="s">
        <v>39</v>
      </c>
      <c r="B1899" s="115"/>
      <c r="C1899" s="116"/>
      <c r="D1899" s="116"/>
      <c r="E1899" s="116" t="str">
        <f>IFERROR(__xludf.DUMMYFUNCTION("""COMPUTED_VALUE"""),"")</f>
        <v/>
      </c>
      <c r="F1899" s="117" t="s">
        <v>39</v>
      </c>
      <c r="G1899" s="116"/>
      <c r="H1899" s="117"/>
      <c r="I1899" s="117"/>
      <c r="J1899" s="117"/>
      <c r="K1899" s="117"/>
      <c r="L1899" s="116"/>
      <c r="M1899" s="117"/>
      <c r="N1899" s="118" t="str">
        <f>IFERROR(__xludf.DUMMYFUNCTION("""COMPUTED_VALUE"""),"")</f>
        <v/>
      </c>
      <c r="O1899" s="116"/>
      <c r="P1899" s="116"/>
      <c r="Q1899" s="116"/>
      <c r="R1899" s="116" t="s">
        <v>39</v>
      </c>
      <c r="S1899" s="116" t="s">
        <v>39</v>
      </c>
      <c r="T1899" s="104" t="s">
        <v>5851</v>
      </c>
      <c r="U1899" s="116"/>
      <c r="V1899" s="104" t="s">
        <v>5851</v>
      </c>
      <c r="W1899" s="116"/>
    </row>
    <row r="1900">
      <c r="A1900" s="114" t="s">
        <v>39</v>
      </c>
      <c r="B1900" s="115"/>
      <c r="C1900" s="116"/>
      <c r="D1900" s="116"/>
      <c r="E1900" s="116" t="str">
        <f>IFERROR(__xludf.DUMMYFUNCTION("""COMPUTED_VALUE"""),"")</f>
        <v/>
      </c>
      <c r="F1900" s="117" t="s">
        <v>39</v>
      </c>
      <c r="G1900" s="116"/>
      <c r="H1900" s="117"/>
      <c r="I1900" s="117"/>
      <c r="J1900" s="117"/>
      <c r="K1900" s="117"/>
      <c r="L1900" s="116"/>
      <c r="M1900" s="117"/>
      <c r="N1900" s="118" t="str">
        <f>IFERROR(__xludf.DUMMYFUNCTION("""COMPUTED_VALUE"""),"")</f>
        <v/>
      </c>
      <c r="O1900" s="116"/>
      <c r="P1900" s="116"/>
      <c r="Q1900" s="116"/>
      <c r="R1900" s="116" t="s">
        <v>39</v>
      </c>
      <c r="S1900" s="116" t="s">
        <v>39</v>
      </c>
      <c r="T1900" s="104" t="s">
        <v>5852</v>
      </c>
      <c r="U1900" s="116"/>
      <c r="V1900" s="104" t="s">
        <v>5852</v>
      </c>
      <c r="W1900" s="116"/>
    </row>
    <row r="1901">
      <c r="A1901" s="114" t="s">
        <v>39</v>
      </c>
      <c r="B1901" s="115"/>
      <c r="C1901" s="116"/>
      <c r="D1901" s="116"/>
      <c r="E1901" s="116" t="str">
        <f>IFERROR(__xludf.DUMMYFUNCTION("""COMPUTED_VALUE"""),"")</f>
        <v/>
      </c>
      <c r="F1901" s="117" t="s">
        <v>39</v>
      </c>
      <c r="G1901" s="116"/>
      <c r="H1901" s="117"/>
      <c r="I1901" s="117"/>
      <c r="J1901" s="117"/>
      <c r="K1901" s="117"/>
      <c r="L1901" s="116"/>
      <c r="M1901" s="117"/>
      <c r="N1901" s="118" t="str">
        <f>IFERROR(__xludf.DUMMYFUNCTION("""COMPUTED_VALUE"""),"")</f>
        <v/>
      </c>
      <c r="O1901" s="116"/>
      <c r="P1901" s="116"/>
      <c r="Q1901" s="116"/>
      <c r="R1901" s="116" t="s">
        <v>39</v>
      </c>
      <c r="S1901" s="116" t="s">
        <v>39</v>
      </c>
      <c r="T1901" s="104" t="s">
        <v>5853</v>
      </c>
      <c r="U1901" s="116"/>
      <c r="V1901" s="104" t="s">
        <v>5853</v>
      </c>
      <c r="W1901" s="116"/>
    </row>
    <row r="1902">
      <c r="A1902" s="114" t="s">
        <v>39</v>
      </c>
      <c r="B1902" s="115"/>
      <c r="C1902" s="116"/>
      <c r="D1902" s="116"/>
      <c r="E1902" s="116" t="str">
        <f>IFERROR(__xludf.DUMMYFUNCTION("""COMPUTED_VALUE"""),"")</f>
        <v/>
      </c>
      <c r="F1902" s="117" t="s">
        <v>39</v>
      </c>
      <c r="G1902" s="116"/>
      <c r="H1902" s="117"/>
      <c r="I1902" s="117"/>
      <c r="J1902" s="117"/>
      <c r="K1902" s="117"/>
      <c r="L1902" s="116"/>
      <c r="M1902" s="117"/>
      <c r="N1902" s="118" t="str">
        <f>IFERROR(__xludf.DUMMYFUNCTION("""COMPUTED_VALUE"""),"")</f>
        <v/>
      </c>
      <c r="O1902" s="116"/>
      <c r="P1902" s="116"/>
      <c r="Q1902" s="116"/>
      <c r="R1902" s="116" t="s">
        <v>39</v>
      </c>
      <c r="S1902" s="116" t="s">
        <v>39</v>
      </c>
      <c r="T1902" s="104" t="s">
        <v>5854</v>
      </c>
      <c r="U1902" s="116"/>
      <c r="V1902" s="104" t="s">
        <v>5854</v>
      </c>
      <c r="W1902" s="116"/>
    </row>
    <row r="1903">
      <c r="A1903" s="114" t="s">
        <v>39</v>
      </c>
      <c r="B1903" s="115"/>
      <c r="C1903" s="116"/>
      <c r="D1903" s="116"/>
      <c r="E1903" s="116" t="str">
        <f>IFERROR(__xludf.DUMMYFUNCTION("""COMPUTED_VALUE"""),"")</f>
        <v/>
      </c>
      <c r="F1903" s="117" t="s">
        <v>39</v>
      </c>
      <c r="G1903" s="116"/>
      <c r="H1903" s="117"/>
      <c r="I1903" s="117"/>
      <c r="J1903" s="117"/>
      <c r="K1903" s="117"/>
      <c r="L1903" s="116"/>
      <c r="M1903" s="117"/>
      <c r="N1903" s="118" t="str">
        <f>IFERROR(__xludf.DUMMYFUNCTION("""COMPUTED_VALUE"""),"")</f>
        <v/>
      </c>
      <c r="O1903" s="116"/>
      <c r="P1903" s="116"/>
      <c r="Q1903" s="116"/>
      <c r="R1903" s="116" t="s">
        <v>39</v>
      </c>
      <c r="S1903" s="116" t="s">
        <v>39</v>
      </c>
      <c r="T1903" s="104" t="s">
        <v>5855</v>
      </c>
      <c r="U1903" s="116"/>
      <c r="V1903" s="104" t="s">
        <v>5855</v>
      </c>
      <c r="W1903" s="116"/>
    </row>
    <row r="1904">
      <c r="A1904" s="114" t="s">
        <v>39</v>
      </c>
      <c r="B1904" s="115"/>
      <c r="C1904" s="116"/>
      <c r="D1904" s="116"/>
      <c r="E1904" s="116" t="str">
        <f>IFERROR(__xludf.DUMMYFUNCTION("""COMPUTED_VALUE"""),"")</f>
        <v/>
      </c>
      <c r="F1904" s="117" t="s">
        <v>39</v>
      </c>
      <c r="G1904" s="116"/>
      <c r="H1904" s="117"/>
      <c r="I1904" s="117"/>
      <c r="J1904" s="117"/>
      <c r="K1904" s="117"/>
      <c r="L1904" s="116"/>
      <c r="M1904" s="117"/>
      <c r="N1904" s="118" t="str">
        <f>IFERROR(__xludf.DUMMYFUNCTION("""COMPUTED_VALUE"""),"")</f>
        <v/>
      </c>
      <c r="O1904" s="116"/>
      <c r="P1904" s="116"/>
      <c r="Q1904" s="116"/>
      <c r="R1904" s="116" t="s">
        <v>39</v>
      </c>
      <c r="S1904" s="116" t="s">
        <v>39</v>
      </c>
      <c r="T1904" s="104" t="s">
        <v>5856</v>
      </c>
      <c r="U1904" s="116"/>
      <c r="V1904" s="104" t="s">
        <v>5856</v>
      </c>
      <c r="W1904" s="116"/>
    </row>
    <row r="1905">
      <c r="A1905" s="114" t="s">
        <v>39</v>
      </c>
      <c r="B1905" s="115"/>
      <c r="C1905" s="116"/>
      <c r="D1905" s="116"/>
      <c r="E1905" s="116" t="str">
        <f>IFERROR(__xludf.DUMMYFUNCTION("""COMPUTED_VALUE"""),"")</f>
        <v/>
      </c>
      <c r="F1905" s="117" t="s">
        <v>39</v>
      </c>
      <c r="G1905" s="116"/>
      <c r="H1905" s="117"/>
      <c r="I1905" s="117"/>
      <c r="J1905" s="117"/>
      <c r="K1905" s="117"/>
      <c r="L1905" s="116"/>
      <c r="M1905" s="117"/>
      <c r="N1905" s="118" t="str">
        <f>IFERROR(__xludf.DUMMYFUNCTION("""COMPUTED_VALUE"""),"")</f>
        <v/>
      </c>
      <c r="O1905" s="116"/>
      <c r="P1905" s="116"/>
      <c r="Q1905" s="116"/>
      <c r="R1905" s="116" t="s">
        <v>39</v>
      </c>
      <c r="S1905" s="116" t="s">
        <v>39</v>
      </c>
      <c r="T1905" s="104" t="s">
        <v>5857</v>
      </c>
      <c r="U1905" s="116"/>
      <c r="V1905" s="104" t="s">
        <v>5857</v>
      </c>
      <c r="W1905" s="116"/>
    </row>
    <row r="1906">
      <c r="A1906" s="114" t="s">
        <v>39</v>
      </c>
      <c r="B1906" s="115"/>
      <c r="C1906" s="116"/>
      <c r="D1906" s="116"/>
      <c r="E1906" s="116" t="str">
        <f>IFERROR(__xludf.DUMMYFUNCTION("""COMPUTED_VALUE"""),"")</f>
        <v/>
      </c>
      <c r="F1906" s="117" t="s">
        <v>39</v>
      </c>
      <c r="G1906" s="116"/>
      <c r="H1906" s="117"/>
      <c r="I1906" s="117"/>
      <c r="J1906" s="117"/>
      <c r="K1906" s="117"/>
      <c r="L1906" s="116"/>
      <c r="M1906" s="117"/>
      <c r="N1906" s="118" t="str">
        <f>IFERROR(__xludf.DUMMYFUNCTION("""COMPUTED_VALUE"""),"")</f>
        <v/>
      </c>
      <c r="O1906" s="116"/>
      <c r="P1906" s="116"/>
      <c r="Q1906" s="116"/>
      <c r="R1906" s="116" t="s">
        <v>39</v>
      </c>
      <c r="S1906" s="116" t="s">
        <v>39</v>
      </c>
      <c r="T1906" s="104" t="s">
        <v>5858</v>
      </c>
      <c r="U1906" s="116"/>
      <c r="V1906" s="104" t="s">
        <v>5858</v>
      </c>
      <c r="W1906" s="116"/>
    </row>
    <row r="1907">
      <c r="A1907" s="114" t="s">
        <v>39</v>
      </c>
      <c r="B1907" s="115"/>
      <c r="C1907" s="116"/>
      <c r="D1907" s="116"/>
      <c r="E1907" s="116" t="str">
        <f>IFERROR(__xludf.DUMMYFUNCTION("""COMPUTED_VALUE"""),"")</f>
        <v/>
      </c>
      <c r="F1907" s="117" t="s">
        <v>39</v>
      </c>
      <c r="G1907" s="116"/>
      <c r="H1907" s="117"/>
      <c r="I1907" s="117"/>
      <c r="J1907" s="117"/>
      <c r="K1907" s="117"/>
      <c r="L1907" s="116"/>
      <c r="M1907" s="117"/>
      <c r="N1907" s="118" t="str">
        <f>IFERROR(__xludf.DUMMYFUNCTION("""COMPUTED_VALUE"""),"")</f>
        <v/>
      </c>
      <c r="O1907" s="116"/>
      <c r="P1907" s="116"/>
      <c r="Q1907" s="116"/>
      <c r="R1907" s="116" t="s">
        <v>39</v>
      </c>
      <c r="S1907" s="116" t="s">
        <v>39</v>
      </c>
      <c r="T1907" s="104" t="s">
        <v>5859</v>
      </c>
      <c r="U1907" s="116"/>
      <c r="V1907" s="104" t="s">
        <v>5859</v>
      </c>
      <c r="W1907" s="116"/>
    </row>
    <row r="1908">
      <c r="A1908" s="114" t="s">
        <v>39</v>
      </c>
      <c r="B1908" s="115"/>
      <c r="C1908" s="116"/>
      <c r="D1908" s="116"/>
      <c r="E1908" s="116" t="str">
        <f>IFERROR(__xludf.DUMMYFUNCTION("""COMPUTED_VALUE"""),"")</f>
        <v/>
      </c>
      <c r="F1908" s="117" t="s">
        <v>39</v>
      </c>
      <c r="G1908" s="116"/>
      <c r="H1908" s="117"/>
      <c r="I1908" s="117"/>
      <c r="J1908" s="117"/>
      <c r="K1908" s="117"/>
      <c r="L1908" s="116"/>
      <c r="M1908" s="117"/>
      <c r="N1908" s="118" t="str">
        <f>IFERROR(__xludf.DUMMYFUNCTION("""COMPUTED_VALUE"""),"")</f>
        <v/>
      </c>
      <c r="O1908" s="116"/>
      <c r="P1908" s="116"/>
      <c r="Q1908" s="116"/>
      <c r="R1908" s="116" t="s">
        <v>39</v>
      </c>
      <c r="S1908" s="116" t="s">
        <v>39</v>
      </c>
      <c r="T1908" s="104" t="s">
        <v>5860</v>
      </c>
      <c r="U1908" s="116"/>
      <c r="V1908" s="104" t="s">
        <v>5860</v>
      </c>
      <c r="W1908" s="116"/>
    </row>
    <row r="1909">
      <c r="A1909" s="114" t="s">
        <v>39</v>
      </c>
      <c r="B1909" s="115"/>
      <c r="C1909" s="116"/>
      <c r="D1909" s="116"/>
      <c r="E1909" s="116" t="str">
        <f>IFERROR(__xludf.DUMMYFUNCTION("""COMPUTED_VALUE"""),"")</f>
        <v/>
      </c>
      <c r="F1909" s="117" t="s">
        <v>39</v>
      </c>
      <c r="G1909" s="116"/>
      <c r="H1909" s="117"/>
      <c r="I1909" s="117"/>
      <c r="J1909" s="117"/>
      <c r="K1909" s="117"/>
      <c r="L1909" s="116"/>
      <c r="M1909" s="117"/>
      <c r="N1909" s="118" t="str">
        <f>IFERROR(__xludf.DUMMYFUNCTION("""COMPUTED_VALUE"""),"")</f>
        <v/>
      </c>
      <c r="O1909" s="116"/>
      <c r="P1909" s="116"/>
      <c r="Q1909" s="116"/>
      <c r="R1909" s="116" t="s">
        <v>39</v>
      </c>
      <c r="S1909" s="116" t="s">
        <v>39</v>
      </c>
      <c r="T1909" s="104" t="s">
        <v>5861</v>
      </c>
      <c r="U1909" s="116"/>
      <c r="V1909" s="104" t="s">
        <v>5861</v>
      </c>
      <c r="W1909" s="116"/>
    </row>
    <row r="1910">
      <c r="A1910" s="114" t="s">
        <v>39</v>
      </c>
      <c r="B1910" s="115"/>
      <c r="C1910" s="116"/>
      <c r="D1910" s="116"/>
      <c r="E1910" s="116" t="str">
        <f>IFERROR(__xludf.DUMMYFUNCTION("""COMPUTED_VALUE"""),"")</f>
        <v/>
      </c>
      <c r="F1910" s="117" t="s">
        <v>39</v>
      </c>
      <c r="G1910" s="116"/>
      <c r="H1910" s="117"/>
      <c r="I1910" s="117"/>
      <c r="J1910" s="117"/>
      <c r="K1910" s="117"/>
      <c r="L1910" s="116"/>
      <c r="M1910" s="117"/>
      <c r="N1910" s="118" t="str">
        <f>IFERROR(__xludf.DUMMYFUNCTION("""COMPUTED_VALUE"""),"")</f>
        <v/>
      </c>
      <c r="O1910" s="116"/>
      <c r="P1910" s="116"/>
      <c r="Q1910" s="116"/>
      <c r="R1910" s="116" t="s">
        <v>39</v>
      </c>
      <c r="S1910" s="116" t="s">
        <v>39</v>
      </c>
      <c r="T1910" s="104" t="s">
        <v>5862</v>
      </c>
      <c r="U1910" s="116"/>
      <c r="V1910" s="104" t="s">
        <v>5862</v>
      </c>
      <c r="W1910" s="116"/>
    </row>
    <row r="1911">
      <c r="A1911" s="114" t="s">
        <v>39</v>
      </c>
      <c r="B1911" s="115"/>
      <c r="C1911" s="116"/>
      <c r="D1911" s="116"/>
      <c r="E1911" s="116" t="str">
        <f>IFERROR(__xludf.DUMMYFUNCTION("""COMPUTED_VALUE"""),"")</f>
        <v/>
      </c>
      <c r="F1911" s="117" t="s">
        <v>39</v>
      </c>
      <c r="G1911" s="116"/>
      <c r="H1911" s="117"/>
      <c r="I1911" s="117"/>
      <c r="J1911" s="117"/>
      <c r="K1911" s="117"/>
      <c r="L1911" s="116"/>
      <c r="M1911" s="117"/>
      <c r="N1911" s="118" t="str">
        <f>IFERROR(__xludf.DUMMYFUNCTION("""COMPUTED_VALUE"""),"")</f>
        <v/>
      </c>
      <c r="O1911" s="116"/>
      <c r="P1911" s="116"/>
      <c r="Q1911" s="116"/>
      <c r="R1911" s="116" t="s">
        <v>39</v>
      </c>
      <c r="S1911" s="116" t="s">
        <v>39</v>
      </c>
      <c r="T1911" s="104" t="s">
        <v>5863</v>
      </c>
      <c r="U1911" s="116"/>
      <c r="V1911" s="104" t="s">
        <v>5863</v>
      </c>
      <c r="W1911" s="116"/>
    </row>
    <row r="1912">
      <c r="A1912" s="114" t="s">
        <v>39</v>
      </c>
      <c r="B1912" s="115"/>
      <c r="C1912" s="116"/>
      <c r="D1912" s="116"/>
      <c r="E1912" s="116" t="str">
        <f>IFERROR(__xludf.DUMMYFUNCTION("""COMPUTED_VALUE"""),"")</f>
        <v/>
      </c>
      <c r="F1912" s="117" t="s">
        <v>39</v>
      </c>
      <c r="G1912" s="116"/>
      <c r="H1912" s="117"/>
      <c r="I1912" s="117"/>
      <c r="J1912" s="117"/>
      <c r="K1912" s="117"/>
      <c r="L1912" s="116"/>
      <c r="M1912" s="117"/>
      <c r="N1912" s="118" t="str">
        <f>IFERROR(__xludf.DUMMYFUNCTION("""COMPUTED_VALUE"""),"")</f>
        <v/>
      </c>
      <c r="O1912" s="116"/>
      <c r="P1912" s="116"/>
      <c r="Q1912" s="116"/>
      <c r="R1912" s="116" t="s">
        <v>39</v>
      </c>
      <c r="S1912" s="116" t="s">
        <v>39</v>
      </c>
      <c r="T1912" s="104" t="s">
        <v>5864</v>
      </c>
      <c r="U1912" s="116"/>
      <c r="V1912" s="104" t="s">
        <v>5864</v>
      </c>
      <c r="W1912" s="116"/>
    </row>
    <row r="1913">
      <c r="A1913" s="114" t="s">
        <v>39</v>
      </c>
      <c r="B1913" s="115"/>
      <c r="C1913" s="116"/>
      <c r="D1913" s="116"/>
      <c r="E1913" s="116" t="str">
        <f>IFERROR(__xludf.DUMMYFUNCTION("""COMPUTED_VALUE"""),"")</f>
        <v/>
      </c>
      <c r="F1913" s="117" t="s">
        <v>39</v>
      </c>
      <c r="G1913" s="116"/>
      <c r="H1913" s="117"/>
      <c r="I1913" s="117"/>
      <c r="J1913" s="117"/>
      <c r="K1913" s="117"/>
      <c r="L1913" s="116"/>
      <c r="M1913" s="117"/>
      <c r="N1913" s="118" t="str">
        <f>IFERROR(__xludf.DUMMYFUNCTION("""COMPUTED_VALUE"""),"")</f>
        <v/>
      </c>
      <c r="O1913" s="116"/>
      <c r="P1913" s="116"/>
      <c r="Q1913" s="116"/>
      <c r="R1913" s="116" t="s">
        <v>39</v>
      </c>
      <c r="S1913" s="116" t="s">
        <v>39</v>
      </c>
      <c r="T1913" s="104" t="s">
        <v>5865</v>
      </c>
      <c r="U1913" s="116"/>
      <c r="V1913" s="104" t="s">
        <v>5865</v>
      </c>
      <c r="W1913" s="116"/>
    </row>
    <row r="1914">
      <c r="A1914" s="114" t="s">
        <v>39</v>
      </c>
      <c r="B1914" s="115"/>
      <c r="C1914" s="116"/>
      <c r="D1914" s="116"/>
      <c r="E1914" s="116" t="str">
        <f>IFERROR(__xludf.DUMMYFUNCTION("""COMPUTED_VALUE"""),"")</f>
        <v/>
      </c>
      <c r="F1914" s="117" t="s">
        <v>39</v>
      </c>
      <c r="G1914" s="116"/>
      <c r="H1914" s="117"/>
      <c r="I1914" s="117"/>
      <c r="J1914" s="117"/>
      <c r="K1914" s="117"/>
      <c r="L1914" s="116"/>
      <c r="M1914" s="117"/>
      <c r="N1914" s="118" t="str">
        <f>IFERROR(__xludf.DUMMYFUNCTION("""COMPUTED_VALUE"""),"")</f>
        <v/>
      </c>
      <c r="O1914" s="116"/>
      <c r="P1914" s="116"/>
      <c r="Q1914" s="116"/>
      <c r="R1914" s="116" t="s">
        <v>39</v>
      </c>
      <c r="S1914" s="116" t="s">
        <v>39</v>
      </c>
      <c r="T1914" s="104" t="s">
        <v>5866</v>
      </c>
      <c r="U1914" s="116"/>
      <c r="V1914" s="104" t="s">
        <v>5866</v>
      </c>
      <c r="W1914" s="116"/>
    </row>
    <row r="1915">
      <c r="A1915" s="114" t="s">
        <v>39</v>
      </c>
      <c r="B1915" s="115"/>
      <c r="C1915" s="116"/>
      <c r="D1915" s="116"/>
      <c r="E1915" s="116" t="str">
        <f>IFERROR(__xludf.DUMMYFUNCTION("""COMPUTED_VALUE"""),"")</f>
        <v/>
      </c>
      <c r="F1915" s="117" t="s">
        <v>39</v>
      </c>
      <c r="G1915" s="116"/>
      <c r="H1915" s="117"/>
      <c r="I1915" s="117"/>
      <c r="J1915" s="117"/>
      <c r="K1915" s="117"/>
      <c r="L1915" s="116"/>
      <c r="M1915" s="117"/>
      <c r="N1915" s="118" t="str">
        <f>IFERROR(__xludf.DUMMYFUNCTION("""COMPUTED_VALUE"""),"")</f>
        <v/>
      </c>
      <c r="O1915" s="116"/>
      <c r="P1915" s="116"/>
      <c r="Q1915" s="116"/>
      <c r="R1915" s="116" t="s">
        <v>39</v>
      </c>
      <c r="S1915" s="116" t="s">
        <v>39</v>
      </c>
      <c r="T1915" s="104" t="s">
        <v>5867</v>
      </c>
      <c r="U1915" s="116"/>
      <c r="V1915" s="104" t="s">
        <v>5867</v>
      </c>
      <c r="W1915" s="116"/>
    </row>
    <row r="1916">
      <c r="A1916" s="114" t="s">
        <v>39</v>
      </c>
      <c r="B1916" s="115"/>
      <c r="C1916" s="116"/>
      <c r="D1916" s="116"/>
      <c r="E1916" s="116" t="str">
        <f>IFERROR(__xludf.DUMMYFUNCTION("""COMPUTED_VALUE"""),"")</f>
        <v/>
      </c>
      <c r="F1916" s="117" t="s">
        <v>39</v>
      </c>
      <c r="G1916" s="116"/>
      <c r="H1916" s="117"/>
      <c r="I1916" s="117"/>
      <c r="J1916" s="117"/>
      <c r="K1916" s="117"/>
      <c r="L1916" s="116"/>
      <c r="M1916" s="117"/>
      <c r="N1916" s="118" t="str">
        <f>IFERROR(__xludf.DUMMYFUNCTION("""COMPUTED_VALUE"""),"")</f>
        <v/>
      </c>
      <c r="O1916" s="116"/>
      <c r="P1916" s="116"/>
      <c r="Q1916" s="116"/>
      <c r="R1916" s="116" t="s">
        <v>39</v>
      </c>
      <c r="S1916" s="116" t="s">
        <v>39</v>
      </c>
      <c r="T1916" s="104" t="s">
        <v>5868</v>
      </c>
      <c r="U1916" s="116"/>
      <c r="V1916" s="104" t="s">
        <v>5868</v>
      </c>
      <c r="W1916" s="116"/>
    </row>
    <row r="1917">
      <c r="A1917" s="114" t="s">
        <v>39</v>
      </c>
      <c r="B1917" s="115"/>
      <c r="C1917" s="116"/>
      <c r="D1917" s="116"/>
      <c r="E1917" s="116" t="str">
        <f>IFERROR(__xludf.DUMMYFUNCTION("""COMPUTED_VALUE"""),"")</f>
        <v/>
      </c>
      <c r="F1917" s="117" t="s">
        <v>39</v>
      </c>
      <c r="G1917" s="116"/>
      <c r="H1917" s="117"/>
      <c r="I1917" s="117"/>
      <c r="J1917" s="117"/>
      <c r="K1917" s="117"/>
      <c r="L1917" s="116"/>
      <c r="M1917" s="117"/>
      <c r="N1917" s="118" t="str">
        <f>IFERROR(__xludf.DUMMYFUNCTION("""COMPUTED_VALUE"""),"")</f>
        <v/>
      </c>
      <c r="O1917" s="116"/>
      <c r="P1917" s="116"/>
      <c r="Q1917" s="116"/>
      <c r="R1917" s="116" t="s">
        <v>39</v>
      </c>
      <c r="S1917" s="116" t="s">
        <v>39</v>
      </c>
      <c r="T1917" s="104" t="s">
        <v>5869</v>
      </c>
      <c r="U1917" s="116"/>
      <c r="V1917" s="104" t="s">
        <v>5869</v>
      </c>
      <c r="W1917" s="116"/>
    </row>
    <row r="1918">
      <c r="A1918" s="114" t="s">
        <v>39</v>
      </c>
      <c r="B1918" s="115"/>
      <c r="C1918" s="116"/>
      <c r="D1918" s="116"/>
      <c r="E1918" s="116" t="str">
        <f>IFERROR(__xludf.DUMMYFUNCTION("""COMPUTED_VALUE"""),"")</f>
        <v/>
      </c>
      <c r="F1918" s="117" t="s">
        <v>39</v>
      </c>
      <c r="G1918" s="116"/>
      <c r="H1918" s="117"/>
      <c r="I1918" s="117"/>
      <c r="J1918" s="117"/>
      <c r="K1918" s="117"/>
      <c r="L1918" s="116"/>
      <c r="M1918" s="117"/>
      <c r="N1918" s="118" t="str">
        <f>IFERROR(__xludf.DUMMYFUNCTION("""COMPUTED_VALUE"""),"")</f>
        <v/>
      </c>
      <c r="O1918" s="116"/>
      <c r="P1918" s="116"/>
      <c r="Q1918" s="116"/>
      <c r="R1918" s="116" t="s">
        <v>39</v>
      </c>
      <c r="S1918" s="116" t="s">
        <v>39</v>
      </c>
      <c r="T1918" s="104" t="s">
        <v>5870</v>
      </c>
      <c r="U1918" s="116"/>
      <c r="V1918" s="104" t="s">
        <v>5870</v>
      </c>
      <c r="W1918" s="116"/>
    </row>
    <row r="1919">
      <c r="A1919" s="114" t="s">
        <v>39</v>
      </c>
      <c r="B1919" s="115"/>
      <c r="C1919" s="116"/>
      <c r="D1919" s="116"/>
      <c r="E1919" s="116" t="str">
        <f>IFERROR(__xludf.DUMMYFUNCTION("""COMPUTED_VALUE"""),"")</f>
        <v/>
      </c>
      <c r="F1919" s="117" t="s">
        <v>39</v>
      </c>
      <c r="G1919" s="116"/>
      <c r="H1919" s="117"/>
      <c r="I1919" s="117"/>
      <c r="J1919" s="117"/>
      <c r="K1919" s="117"/>
      <c r="L1919" s="116"/>
      <c r="M1919" s="117"/>
      <c r="N1919" s="118" t="str">
        <f>IFERROR(__xludf.DUMMYFUNCTION("""COMPUTED_VALUE"""),"")</f>
        <v/>
      </c>
      <c r="O1919" s="116"/>
      <c r="P1919" s="116"/>
      <c r="Q1919" s="116"/>
      <c r="R1919" s="116" t="s">
        <v>39</v>
      </c>
      <c r="S1919" s="116" t="s">
        <v>39</v>
      </c>
      <c r="T1919" s="104" t="s">
        <v>5871</v>
      </c>
      <c r="U1919" s="116"/>
      <c r="V1919" s="104" t="s">
        <v>5871</v>
      </c>
      <c r="W1919" s="116"/>
    </row>
    <row r="1920">
      <c r="A1920" s="114" t="s">
        <v>39</v>
      </c>
      <c r="B1920" s="115"/>
      <c r="C1920" s="116"/>
      <c r="D1920" s="116"/>
      <c r="E1920" s="116" t="str">
        <f>IFERROR(__xludf.DUMMYFUNCTION("""COMPUTED_VALUE"""),"")</f>
        <v/>
      </c>
      <c r="F1920" s="117" t="s">
        <v>39</v>
      </c>
      <c r="G1920" s="116"/>
      <c r="H1920" s="117"/>
      <c r="I1920" s="117"/>
      <c r="J1920" s="117"/>
      <c r="K1920" s="117"/>
      <c r="L1920" s="116"/>
      <c r="M1920" s="117"/>
      <c r="N1920" s="118" t="str">
        <f>IFERROR(__xludf.DUMMYFUNCTION("""COMPUTED_VALUE"""),"")</f>
        <v/>
      </c>
      <c r="O1920" s="116"/>
      <c r="P1920" s="116"/>
      <c r="Q1920" s="116"/>
      <c r="R1920" s="116" t="s">
        <v>39</v>
      </c>
      <c r="S1920" s="116" t="s">
        <v>39</v>
      </c>
      <c r="T1920" s="104" t="s">
        <v>5872</v>
      </c>
      <c r="U1920" s="116"/>
      <c r="V1920" s="104" t="s">
        <v>5872</v>
      </c>
      <c r="W1920" s="116"/>
    </row>
    <row r="1921">
      <c r="A1921" s="114" t="s">
        <v>39</v>
      </c>
      <c r="B1921" s="115"/>
      <c r="C1921" s="116"/>
      <c r="D1921" s="116"/>
      <c r="E1921" s="116" t="str">
        <f>IFERROR(__xludf.DUMMYFUNCTION("""COMPUTED_VALUE"""),"")</f>
        <v/>
      </c>
      <c r="F1921" s="117" t="s">
        <v>39</v>
      </c>
      <c r="G1921" s="116"/>
      <c r="H1921" s="117"/>
      <c r="I1921" s="117"/>
      <c r="J1921" s="117"/>
      <c r="K1921" s="117"/>
      <c r="L1921" s="116"/>
      <c r="M1921" s="117"/>
      <c r="N1921" s="118" t="str">
        <f>IFERROR(__xludf.DUMMYFUNCTION("""COMPUTED_VALUE"""),"")</f>
        <v/>
      </c>
      <c r="O1921" s="116"/>
      <c r="P1921" s="116"/>
      <c r="Q1921" s="116"/>
      <c r="R1921" s="116" t="s">
        <v>39</v>
      </c>
      <c r="S1921" s="116" t="s">
        <v>39</v>
      </c>
      <c r="T1921" s="104" t="s">
        <v>5873</v>
      </c>
      <c r="U1921" s="116"/>
      <c r="V1921" s="104" t="s">
        <v>5873</v>
      </c>
      <c r="W1921" s="116"/>
    </row>
    <row r="1922">
      <c r="A1922" s="114" t="s">
        <v>39</v>
      </c>
      <c r="B1922" s="115"/>
      <c r="C1922" s="116"/>
      <c r="D1922" s="116"/>
      <c r="E1922" s="116" t="str">
        <f>IFERROR(__xludf.DUMMYFUNCTION("""COMPUTED_VALUE"""),"")</f>
        <v/>
      </c>
      <c r="F1922" s="117" t="s">
        <v>39</v>
      </c>
      <c r="G1922" s="116"/>
      <c r="H1922" s="117"/>
      <c r="I1922" s="117"/>
      <c r="J1922" s="117"/>
      <c r="K1922" s="117"/>
      <c r="L1922" s="116"/>
      <c r="M1922" s="117"/>
      <c r="N1922" s="118" t="str">
        <f>IFERROR(__xludf.DUMMYFUNCTION("""COMPUTED_VALUE"""),"")</f>
        <v/>
      </c>
      <c r="O1922" s="116"/>
      <c r="P1922" s="116"/>
      <c r="Q1922" s="116"/>
      <c r="R1922" s="116" t="s">
        <v>39</v>
      </c>
      <c r="S1922" s="116" t="s">
        <v>39</v>
      </c>
      <c r="T1922" s="104" t="s">
        <v>5874</v>
      </c>
      <c r="U1922" s="116"/>
      <c r="V1922" s="104" t="s">
        <v>5874</v>
      </c>
      <c r="W1922" s="116"/>
    </row>
    <row r="1923">
      <c r="A1923" s="114" t="s">
        <v>39</v>
      </c>
      <c r="B1923" s="115"/>
      <c r="C1923" s="116"/>
      <c r="D1923" s="116"/>
      <c r="E1923" s="116" t="str">
        <f>IFERROR(__xludf.DUMMYFUNCTION("""COMPUTED_VALUE"""),"")</f>
        <v/>
      </c>
      <c r="F1923" s="117" t="s">
        <v>39</v>
      </c>
      <c r="G1923" s="116"/>
      <c r="H1923" s="117"/>
      <c r="I1923" s="117"/>
      <c r="J1923" s="117"/>
      <c r="K1923" s="117"/>
      <c r="L1923" s="116"/>
      <c r="M1923" s="117"/>
      <c r="N1923" s="118" t="str">
        <f>IFERROR(__xludf.DUMMYFUNCTION("""COMPUTED_VALUE"""),"")</f>
        <v/>
      </c>
      <c r="O1923" s="116"/>
      <c r="P1923" s="116"/>
      <c r="Q1923" s="116"/>
      <c r="R1923" s="116" t="s">
        <v>39</v>
      </c>
      <c r="S1923" s="116" t="s">
        <v>39</v>
      </c>
      <c r="T1923" s="104" t="s">
        <v>5875</v>
      </c>
      <c r="U1923" s="116"/>
      <c r="V1923" s="104" t="s">
        <v>5875</v>
      </c>
      <c r="W1923" s="116"/>
    </row>
    <row r="1924">
      <c r="A1924" s="114" t="s">
        <v>39</v>
      </c>
      <c r="B1924" s="115"/>
      <c r="C1924" s="116"/>
      <c r="D1924" s="116"/>
      <c r="E1924" s="116" t="str">
        <f>IFERROR(__xludf.DUMMYFUNCTION("""COMPUTED_VALUE"""),"")</f>
        <v/>
      </c>
      <c r="F1924" s="117" t="s">
        <v>39</v>
      </c>
      <c r="G1924" s="116"/>
      <c r="H1924" s="117"/>
      <c r="I1924" s="117"/>
      <c r="J1924" s="117"/>
      <c r="K1924" s="117"/>
      <c r="L1924" s="116"/>
      <c r="M1924" s="117"/>
      <c r="N1924" s="118" t="str">
        <f>IFERROR(__xludf.DUMMYFUNCTION("""COMPUTED_VALUE"""),"")</f>
        <v/>
      </c>
      <c r="O1924" s="116"/>
      <c r="P1924" s="116"/>
      <c r="Q1924" s="116"/>
      <c r="R1924" s="116" t="s">
        <v>39</v>
      </c>
      <c r="S1924" s="116" t="s">
        <v>39</v>
      </c>
      <c r="T1924" s="104" t="s">
        <v>5876</v>
      </c>
      <c r="U1924" s="116"/>
      <c r="V1924" s="104" t="s">
        <v>5876</v>
      </c>
      <c r="W1924" s="116"/>
    </row>
    <row r="1925">
      <c r="A1925" s="114" t="s">
        <v>39</v>
      </c>
      <c r="B1925" s="115"/>
      <c r="C1925" s="116"/>
      <c r="D1925" s="116"/>
      <c r="E1925" s="116" t="str">
        <f>IFERROR(__xludf.DUMMYFUNCTION("""COMPUTED_VALUE"""),"")</f>
        <v/>
      </c>
      <c r="F1925" s="117" t="s">
        <v>39</v>
      </c>
      <c r="G1925" s="116"/>
      <c r="H1925" s="117"/>
      <c r="I1925" s="117"/>
      <c r="J1925" s="117"/>
      <c r="K1925" s="117"/>
      <c r="L1925" s="116"/>
      <c r="M1925" s="117"/>
      <c r="N1925" s="118" t="str">
        <f>IFERROR(__xludf.DUMMYFUNCTION("""COMPUTED_VALUE"""),"")</f>
        <v/>
      </c>
      <c r="O1925" s="116"/>
      <c r="P1925" s="116"/>
      <c r="Q1925" s="116"/>
      <c r="R1925" s="116" t="s">
        <v>39</v>
      </c>
      <c r="S1925" s="116" t="s">
        <v>39</v>
      </c>
      <c r="T1925" s="104" t="s">
        <v>5877</v>
      </c>
      <c r="U1925" s="116"/>
      <c r="V1925" s="104" t="s">
        <v>5877</v>
      </c>
      <c r="W1925" s="116"/>
    </row>
    <row r="1926">
      <c r="A1926" s="114" t="s">
        <v>39</v>
      </c>
      <c r="B1926" s="115"/>
      <c r="C1926" s="116"/>
      <c r="D1926" s="116"/>
      <c r="E1926" s="116" t="str">
        <f>IFERROR(__xludf.DUMMYFUNCTION("""COMPUTED_VALUE"""),"")</f>
        <v/>
      </c>
      <c r="F1926" s="117" t="s">
        <v>39</v>
      </c>
      <c r="G1926" s="116"/>
      <c r="H1926" s="117"/>
      <c r="I1926" s="117"/>
      <c r="J1926" s="117"/>
      <c r="K1926" s="117"/>
      <c r="L1926" s="116"/>
      <c r="M1926" s="117"/>
      <c r="N1926" s="118" t="str">
        <f>IFERROR(__xludf.DUMMYFUNCTION("""COMPUTED_VALUE"""),"")</f>
        <v/>
      </c>
      <c r="O1926" s="116"/>
      <c r="P1926" s="116"/>
      <c r="Q1926" s="116"/>
      <c r="R1926" s="116" t="s">
        <v>39</v>
      </c>
      <c r="S1926" s="116" t="s">
        <v>39</v>
      </c>
      <c r="T1926" s="104" t="s">
        <v>5878</v>
      </c>
      <c r="U1926" s="116"/>
      <c r="V1926" s="104" t="s">
        <v>5878</v>
      </c>
      <c r="W1926" s="116"/>
    </row>
    <row r="1927">
      <c r="A1927" s="114" t="s">
        <v>39</v>
      </c>
      <c r="B1927" s="115"/>
      <c r="C1927" s="116"/>
      <c r="D1927" s="116"/>
      <c r="E1927" s="116" t="str">
        <f>IFERROR(__xludf.DUMMYFUNCTION("""COMPUTED_VALUE"""),"")</f>
        <v/>
      </c>
      <c r="F1927" s="117" t="s">
        <v>39</v>
      </c>
      <c r="G1927" s="116"/>
      <c r="H1927" s="117"/>
      <c r="I1927" s="117"/>
      <c r="J1927" s="117"/>
      <c r="K1927" s="117"/>
      <c r="L1927" s="116"/>
      <c r="M1927" s="117"/>
      <c r="N1927" s="118" t="str">
        <f>IFERROR(__xludf.DUMMYFUNCTION("""COMPUTED_VALUE"""),"")</f>
        <v/>
      </c>
      <c r="O1927" s="116"/>
      <c r="P1927" s="116"/>
      <c r="Q1927" s="116"/>
      <c r="R1927" s="116" t="s">
        <v>39</v>
      </c>
      <c r="S1927" s="116" t="s">
        <v>39</v>
      </c>
      <c r="T1927" s="104" t="s">
        <v>5879</v>
      </c>
      <c r="U1927" s="116"/>
      <c r="V1927" s="104" t="s">
        <v>5879</v>
      </c>
      <c r="W1927" s="116"/>
    </row>
    <row r="1928">
      <c r="A1928" s="114" t="s">
        <v>39</v>
      </c>
      <c r="B1928" s="115"/>
      <c r="C1928" s="116"/>
      <c r="D1928" s="116"/>
      <c r="E1928" s="116" t="str">
        <f>IFERROR(__xludf.DUMMYFUNCTION("""COMPUTED_VALUE"""),"")</f>
        <v/>
      </c>
      <c r="F1928" s="117" t="s">
        <v>39</v>
      </c>
      <c r="G1928" s="116"/>
      <c r="H1928" s="117"/>
      <c r="I1928" s="117"/>
      <c r="J1928" s="117"/>
      <c r="K1928" s="117"/>
      <c r="L1928" s="116"/>
      <c r="M1928" s="117"/>
      <c r="N1928" s="118" t="str">
        <f>IFERROR(__xludf.DUMMYFUNCTION("""COMPUTED_VALUE"""),"")</f>
        <v/>
      </c>
      <c r="O1928" s="116"/>
      <c r="P1928" s="116"/>
      <c r="Q1928" s="116"/>
      <c r="R1928" s="116" t="s">
        <v>39</v>
      </c>
      <c r="S1928" s="116" t="s">
        <v>39</v>
      </c>
      <c r="T1928" s="104" t="s">
        <v>5880</v>
      </c>
      <c r="U1928" s="116"/>
      <c r="V1928" s="104" t="s">
        <v>5880</v>
      </c>
      <c r="W1928" s="116"/>
    </row>
    <row r="1929">
      <c r="A1929" s="114" t="s">
        <v>39</v>
      </c>
      <c r="B1929" s="115"/>
      <c r="C1929" s="116"/>
      <c r="D1929" s="116"/>
      <c r="E1929" s="116" t="str">
        <f>IFERROR(__xludf.DUMMYFUNCTION("""COMPUTED_VALUE"""),"")</f>
        <v/>
      </c>
      <c r="F1929" s="117" t="s">
        <v>39</v>
      </c>
      <c r="G1929" s="116"/>
      <c r="H1929" s="117"/>
      <c r="I1929" s="117"/>
      <c r="J1929" s="117"/>
      <c r="K1929" s="117"/>
      <c r="L1929" s="116"/>
      <c r="M1929" s="117"/>
      <c r="N1929" s="118" t="str">
        <f>IFERROR(__xludf.DUMMYFUNCTION("""COMPUTED_VALUE"""),"")</f>
        <v/>
      </c>
      <c r="O1929" s="116"/>
      <c r="P1929" s="116"/>
      <c r="Q1929" s="116"/>
      <c r="R1929" s="116" t="s">
        <v>39</v>
      </c>
      <c r="S1929" s="116" t="s">
        <v>39</v>
      </c>
      <c r="T1929" s="104" t="s">
        <v>5881</v>
      </c>
      <c r="U1929" s="116"/>
      <c r="V1929" s="104" t="s">
        <v>5881</v>
      </c>
      <c r="W1929" s="116"/>
    </row>
    <row r="1930">
      <c r="A1930" s="114" t="s">
        <v>39</v>
      </c>
      <c r="B1930" s="115"/>
      <c r="C1930" s="116"/>
      <c r="D1930" s="116"/>
      <c r="E1930" s="116" t="str">
        <f>IFERROR(__xludf.DUMMYFUNCTION("""COMPUTED_VALUE"""),"")</f>
        <v/>
      </c>
      <c r="F1930" s="117" t="s">
        <v>39</v>
      </c>
      <c r="G1930" s="116"/>
      <c r="H1930" s="117"/>
      <c r="I1930" s="117"/>
      <c r="J1930" s="117"/>
      <c r="K1930" s="117"/>
      <c r="L1930" s="116"/>
      <c r="M1930" s="117"/>
      <c r="N1930" s="118" t="str">
        <f>IFERROR(__xludf.DUMMYFUNCTION("""COMPUTED_VALUE"""),"")</f>
        <v/>
      </c>
      <c r="O1930" s="116"/>
      <c r="P1930" s="116"/>
      <c r="Q1930" s="116"/>
      <c r="R1930" s="116" t="s">
        <v>39</v>
      </c>
      <c r="S1930" s="116" t="s">
        <v>39</v>
      </c>
      <c r="T1930" s="104" t="s">
        <v>5882</v>
      </c>
      <c r="U1930" s="116"/>
      <c r="V1930" s="104" t="s">
        <v>5882</v>
      </c>
      <c r="W1930" s="116"/>
    </row>
    <row r="1931">
      <c r="A1931" s="114" t="s">
        <v>39</v>
      </c>
      <c r="B1931" s="115"/>
      <c r="C1931" s="116"/>
      <c r="D1931" s="116"/>
      <c r="E1931" s="116" t="str">
        <f>IFERROR(__xludf.DUMMYFUNCTION("""COMPUTED_VALUE"""),"")</f>
        <v/>
      </c>
      <c r="F1931" s="117" t="s">
        <v>39</v>
      </c>
      <c r="G1931" s="116"/>
      <c r="H1931" s="117"/>
      <c r="I1931" s="117"/>
      <c r="J1931" s="117"/>
      <c r="K1931" s="117"/>
      <c r="L1931" s="116"/>
      <c r="M1931" s="117"/>
      <c r="N1931" s="118" t="str">
        <f>IFERROR(__xludf.DUMMYFUNCTION("""COMPUTED_VALUE"""),"")</f>
        <v/>
      </c>
      <c r="O1931" s="116"/>
      <c r="P1931" s="116"/>
      <c r="Q1931" s="116"/>
      <c r="R1931" s="116" t="s">
        <v>39</v>
      </c>
      <c r="S1931" s="116" t="s">
        <v>39</v>
      </c>
      <c r="T1931" s="104" t="s">
        <v>5883</v>
      </c>
      <c r="U1931" s="116"/>
      <c r="V1931" s="104" t="s">
        <v>5883</v>
      </c>
      <c r="W1931" s="116"/>
    </row>
    <row r="1932">
      <c r="A1932" s="114" t="s">
        <v>39</v>
      </c>
      <c r="B1932" s="115"/>
      <c r="C1932" s="116"/>
      <c r="D1932" s="116"/>
      <c r="E1932" s="116" t="str">
        <f>IFERROR(__xludf.DUMMYFUNCTION("""COMPUTED_VALUE"""),"")</f>
        <v/>
      </c>
      <c r="F1932" s="117" t="s">
        <v>39</v>
      </c>
      <c r="G1932" s="116"/>
      <c r="H1932" s="117"/>
      <c r="I1932" s="117"/>
      <c r="J1932" s="117"/>
      <c r="K1932" s="117"/>
      <c r="L1932" s="116"/>
      <c r="M1932" s="117"/>
      <c r="N1932" s="118" t="str">
        <f>IFERROR(__xludf.DUMMYFUNCTION("""COMPUTED_VALUE"""),"")</f>
        <v/>
      </c>
      <c r="O1932" s="116"/>
      <c r="P1932" s="116"/>
      <c r="Q1932" s="116"/>
      <c r="R1932" s="116" t="s">
        <v>39</v>
      </c>
      <c r="S1932" s="116" t="s">
        <v>39</v>
      </c>
      <c r="T1932" s="104" t="s">
        <v>5884</v>
      </c>
      <c r="U1932" s="116"/>
      <c r="V1932" s="104" t="s">
        <v>5884</v>
      </c>
      <c r="W1932" s="116"/>
    </row>
    <row r="1933">
      <c r="A1933" s="114" t="s">
        <v>39</v>
      </c>
      <c r="B1933" s="115"/>
      <c r="C1933" s="116"/>
      <c r="D1933" s="116"/>
      <c r="E1933" s="116" t="str">
        <f>IFERROR(__xludf.DUMMYFUNCTION("""COMPUTED_VALUE"""),"")</f>
        <v/>
      </c>
      <c r="F1933" s="117" t="s">
        <v>39</v>
      </c>
      <c r="G1933" s="116"/>
      <c r="H1933" s="117"/>
      <c r="I1933" s="117"/>
      <c r="J1933" s="117"/>
      <c r="K1933" s="117"/>
      <c r="L1933" s="116"/>
      <c r="M1933" s="117"/>
      <c r="N1933" s="118" t="str">
        <f>IFERROR(__xludf.DUMMYFUNCTION("""COMPUTED_VALUE"""),"")</f>
        <v/>
      </c>
      <c r="O1933" s="116"/>
      <c r="P1933" s="116"/>
      <c r="Q1933" s="116"/>
      <c r="R1933" s="116" t="s">
        <v>39</v>
      </c>
      <c r="S1933" s="116" t="s">
        <v>39</v>
      </c>
      <c r="T1933" s="104" t="s">
        <v>5885</v>
      </c>
      <c r="U1933" s="116"/>
      <c r="V1933" s="104" t="s">
        <v>5885</v>
      </c>
      <c r="W1933" s="116"/>
    </row>
    <row r="1934">
      <c r="A1934" s="114" t="s">
        <v>39</v>
      </c>
      <c r="B1934" s="115"/>
      <c r="C1934" s="116"/>
      <c r="D1934" s="116"/>
      <c r="E1934" s="116" t="str">
        <f>IFERROR(__xludf.DUMMYFUNCTION("""COMPUTED_VALUE"""),"")</f>
        <v/>
      </c>
      <c r="F1934" s="117" t="s">
        <v>39</v>
      </c>
      <c r="G1934" s="116"/>
      <c r="H1934" s="117"/>
      <c r="I1934" s="117"/>
      <c r="J1934" s="117"/>
      <c r="K1934" s="117"/>
      <c r="L1934" s="116"/>
      <c r="M1934" s="117"/>
      <c r="N1934" s="118" t="str">
        <f>IFERROR(__xludf.DUMMYFUNCTION("""COMPUTED_VALUE"""),"")</f>
        <v/>
      </c>
      <c r="O1934" s="116"/>
      <c r="P1934" s="116"/>
      <c r="Q1934" s="116"/>
      <c r="R1934" s="116" t="s">
        <v>39</v>
      </c>
      <c r="S1934" s="116" t="s">
        <v>39</v>
      </c>
      <c r="T1934" s="104" t="s">
        <v>5886</v>
      </c>
      <c r="U1934" s="116"/>
      <c r="V1934" s="104" t="s">
        <v>5886</v>
      </c>
      <c r="W1934" s="116"/>
    </row>
    <row r="1935">
      <c r="A1935" s="114" t="s">
        <v>39</v>
      </c>
      <c r="B1935" s="115"/>
      <c r="C1935" s="116"/>
      <c r="D1935" s="116"/>
      <c r="E1935" s="116" t="str">
        <f>IFERROR(__xludf.DUMMYFUNCTION("""COMPUTED_VALUE"""),"")</f>
        <v/>
      </c>
      <c r="F1935" s="117" t="s">
        <v>39</v>
      </c>
      <c r="G1935" s="116"/>
      <c r="H1935" s="117"/>
      <c r="I1935" s="117"/>
      <c r="J1935" s="117"/>
      <c r="K1935" s="117"/>
      <c r="L1935" s="116"/>
      <c r="M1935" s="117"/>
      <c r="N1935" s="118" t="str">
        <f>IFERROR(__xludf.DUMMYFUNCTION("""COMPUTED_VALUE"""),"")</f>
        <v/>
      </c>
      <c r="O1935" s="116"/>
      <c r="P1935" s="116"/>
      <c r="Q1935" s="116"/>
      <c r="R1935" s="116" t="s">
        <v>39</v>
      </c>
      <c r="S1935" s="116" t="s">
        <v>39</v>
      </c>
      <c r="T1935" s="104" t="s">
        <v>5887</v>
      </c>
      <c r="U1935" s="116"/>
      <c r="V1935" s="104" t="s">
        <v>5887</v>
      </c>
      <c r="W1935" s="116"/>
    </row>
    <row r="1936">
      <c r="A1936" s="114" t="s">
        <v>39</v>
      </c>
      <c r="B1936" s="115"/>
      <c r="C1936" s="116"/>
      <c r="D1936" s="116"/>
      <c r="E1936" s="116" t="str">
        <f>IFERROR(__xludf.DUMMYFUNCTION("""COMPUTED_VALUE"""),"")</f>
        <v/>
      </c>
      <c r="F1936" s="117" t="s">
        <v>39</v>
      </c>
      <c r="G1936" s="116"/>
      <c r="H1936" s="117"/>
      <c r="I1936" s="117"/>
      <c r="J1936" s="117"/>
      <c r="K1936" s="117"/>
      <c r="L1936" s="116"/>
      <c r="M1936" s="117"/>
      <c r="N1936" s="118" t="str">
        <f>IFERROR(__xludf.DUMMYFUNCTION("""COMPUTED_VALUE"""),"")</f>
        <v/>
      </c>
      <c r="O1936" s="116"/>
      <c r="P1936" s="116"/>
      <c r="Q1936" s="116"/>
      <c r="R1936" s="116" t="s">
        <v>39</v>
      </c>
      <c r="S1936" s="116" t="s">
        <v>39</v>
      </c>
      <c r="T1936" s="104" t="s">
        <v>5888</v>
      </c>
      <c r="U1936" s="116"/>
      <c r="V1936" s="104" t="s">
        <v>5888</v>
      </c>
      <c r="W1936" s="116"/>
    </row>
    <row r="1937">
      <c r="A1937" s="114" t="s">
        <v>39</v>
      </c>
      <c r="B1937" s="115"/>
      <c r="C1937" s="116"/>
      <c r="D1937" s="116"/>
      <c r="E1937" s="116" t="str">
        <f>IFERROR(__xludf.DUMMYFUNCTION("""COMPUTED_VALUE"""),"")</f>
        <v/>
      </c>
      <c r="F1937" s="117" t="s">
        <v>39</v>
      </c>
      <c r="G1937" s="116"/>
      <c r="H1937" s="117"/>
      <c r="I1937" s="117"/>
      <c r="J1937" s="117"/>
      <c r="K1937" s="117"/>
      <c r="L1937" s="116"/>
      <c r="M1937" s="117"/>
      <c r="N1937" s="118" t="str">
        <f>IFERROR(__xludf.DUMMYFUNCTION("""COMPUTED_VALUE"""),"")</f>
        <v/>
      </c>
      <c r="O1937" s="116"/>
      <c r="P1937" s="116"/>
      <c r="Q1937" s="116"/>
      <c r="R1937" s="116" t="s">
        <v>39</v>
      </c>
      <c r="S1937" s="116" t="s">
        <v>39</v>
      </c>
      <c r="T1937" s="104" t="s">
        <v>5889</v>
      </c>
      <c r="U1937" s="116"/>
      <c r="V1937" s="104" t="s">
        <v>5889</v>
      </c>
      <c r="W1937" s="116"/>
    </row>
    <row r="1938">
      <c r="A1938" s="114" t="s">
        <v>39</v>
      </c>
      <c r="B1938" s="115"/>
      <c r="C1938" s="116"/>
      <c r="D1938" s="116"/>
      <c r="E1938" s="116" t="str">
        <f>IFERROR(__xludf.DUMMYFUNCTION("""COMPUTED_VALUE"""),"")</f>
        <v/>
      </c>
      <c r="F1938" s="117" t="s">
        <v>39</v>
      </c>
      <c r="G1938" s="116"/>
      <c r="H1938" s="117"/>
      <c r="I1938" s="117"/>
      <c r="J1938" s="117"/>
      <c r="K1938" s="117"/>
      <c r="L1938" s="116"/>
      <c r="M1938" s="117"/>
      <c r="N1938" s="118" t="str">
        <f>IFERROR(__xludf.DUMMYFUNCTION("""COMPUTED_VALUE"""),"")</f>
        <v/>
      </c>
      <c r="O1938" s="116"/>
      <c r="P1938" s="116"/>
      <c r="Q1938" s="116"/>
      <c r="R1938" s="116" t="s">
        <v>39</v>
      </c>
      <c r="S1938" s="116" t="s">
        <v>39</v>
      </c>
      <c r="T1938" s="104" t="s">
        <v>5890</v>
      </c>
      <c r="U1938" s="116"/>
      <c r="V1938" s="104" t="s">
        <v>5890</v>
      </c>
      <c r="W1938" s="116"/>
    </row>
    <row r="1939">
      <c r="A1939" s="114" t="s">
        <v>39</v>
      </c>
      <c r="B1939" s="115"/>
      <c r="C1939" s="116"/>
      <c r="D1939" s="116"/>
      <c r="E1939" s="116" t="str">
        <f>IFERROR(__xludf.DUMMYFUNCTION("""COMPUTED_VALUE"""),"")</f>
        <v/>
      </c>
      <c r="F1939" s="117" t="s">
        <v>39</v>
      </c>
      <c r="G1939" s="116"/>
      <c r="H1939" s="117"/>
      <c r="I1939" s="117"/>
      <c r="J1939" s="117"/>
      <c r="K1939" s="117"/>
      <c r="L1939" s="116"/>
      <c r="M1939" s="117"/>
      <c r="N1939" s="118" t="str">
        <f>IFERROR(__xludf.DUMMYFUNCTION("""COMPUTED_VALUE"""),"")</f>
        <v/>
      </c>
      <c r="O1939" s="116"/>
      <c r="P1939" s="116"/>
      <c r="Q1939" s="116"/>
      <c r="R1939" s="116" t="s">
        <v>39</v>
      </c>
      <c r="S1939" s="116" t="s">
        <v>39</v>
      </c>
      <c r="T1939" s="104" t="s">
        <v>5891</v>
      </c>
      <c r="U1939" s="116"/>
      <c r="V1939" s="104" t="s">
        <v>5891</v>
      </c>
      <c r="W1939" s="116"/>
    </row>
    <row r="1940">
      <c r="A1940" s="114" t="s">
        <v>39</v>
      </c>
      <c r="B1940" s="115"/>
      <c r="C1940" s="116"/>
      <c r="D1940" s="116"/>
      <c r="E1940" s="116" t="str">
        <f>IFERROR(__xludf.DUMMYFUNCTION("""COMPUTED_VALUE"""),"")</f>
        <v/>
      </c>
      <c r="F1940" s="117" t="s">
        <v>39</v>
      </c>
      <c r="G1940" s="116"/>
      <c r="H1940" s="117"/>
      <c r="I1940" s="117"/>
      <c r="J1940" s="117"/>
      <c r="K1940" s="117"/>
      <c r="L1940" s="116"/>
      <c r="M1940" s="117"/>
      <c r="N1940" s="118" t="str">
        <f>IFERROR(__xludf.DUMMYFUNCTION("""COMPUTED_VALUE"""),"")</f>
        <v/>
      </c>
      <c r="O1940" s="116"/>
      <c r="P1940" s="116"/>
      <c r="Q1940" s="116"/>
      <c r="R1940" s="116" t="s">
        <v>39</v>
      </c>
      <c r="S1940" s="116" t="s">
        <v>39</v>
      </c>
      <c r="T1940" s="104" t="s">
        <v>5892</v>
      </c>
      <c r="U1940" s="116"/>
      <c r="V1940" s="104" t="s">
        <v>5892</v>
      </c>
      <c r="W1940" s="116"/>
    </row>
    <row r="1941">
      <c r="A1941" s="114" t="s">
        <v>39</v>
      </c>
      <c r="B1941" s="115"/>
      <c r="C1941" s="116"/>
      <c r="D1941" s="116"/>
      <c r="E1941" s="116" t="str">
        <f>IFERROR(__xludf.DUMMYFUNCTION("""COMPUTED_VALUE"""),"")</f>
        <v/>
      </c>
      <c r="F1941" s="117" t="s">
        <v>39</v>
      </c>
      <c r="G1941" s="116"/>
      <c r="H1941" s="117"/>
      <c r="I1941" s="117"/>
      <c r="J1941" s="117"/>
      <c r="K1941" s="117"/>
      <c r="L1941" s="116"/>
      <c r="M1941" s="117"/>
      <c r="N1941" s="118" t="str">
        <f>IFERROR(__xludf.DUMMYFUNCTION("""COMPUTED_VALUE"""),"")</f>
        <v/>
      </c>
      <c r="O1941" s="116"/>
      <c r="P1941" s="116"/>
      <c r="Q1941" s="116"/>
      <c r="R1941" s="116" t="s">
        <v>39</v>
      </c>
      <c r="S1941" s="116" t="s">
        <v>39</v>
      </c>
      <c r="T1941" s="104" t="s">
        <v>5893</v>
      </c>
      <c r="U1941" s="116"/>
      <c r="V1941" s="104" t="s">
        <v>5893</v>
      </c>
      <c r="W1941" s="116"/>
    </row>
    <row r="1942">
      <c r="A1942" s="114" t="s">
        <v>39</v>
      </c>
      <c r="B1942" s="115"/>
      <c r="C1942" s="116"/>
      <c r="D1942" s="116"/>
      <c r="E1942" s="116" t="str">
        <f>IFERROR(__xludf.DUMMYFUNCTION("""COMPUTED_VALUE"""),"")</f>
        <v/>
      </c>
      <c r="F1942" s="117" t="s">
        <v>39</v>
      </c>
      <c r="G1942" s="116"/>
      <c r="H1942" s="117"/>
      <c r="I1942" s="117"/>
      <c r="J1942" s="117"/>
      <c r="K1942" s="117"/>
      <c r="L1942" s="116"/>
      <c r="M1942" s="117"/>
      <c r="N1942" s="118" t="str">
        <f>IFERROR(__xludf.DUMMYFUNCTION("""COMPUTED_VALUE"""),"")</f>
        <v/>
      </c>
      <c r="O1942" s="116"/>
      <c r="P1942" s="116"/>
      <c r="Q1942" s="116"/>
      <c r="R1942" s="116" t="s">
        <v>39</v>
      </c>
      <c r="S1942" s="116" t="s">
        <v>39</v>
      </c>
      <c r="T1942" s="104" t="s">
        <v>5894</v>
      </c>
      <c r="U1942" s="116"/>
      <c r="V1942" s="104" t="s">
        <v>5894</v>
      </c>
      <c r="W1942" s="116"/>
    </row>
    <row r="1943">
      <c r="A1943" s="114" t="s">
        <v>39</v>
      </c>
      <c r="B1943" s="115"/>
      <c r="C1943" s="116"/>
      <c r="D1943" s="116"/>
      <c r="E1943" s="116" t="str">
        <f>IFERROR(__xludf.DUMMYFUNCTION("""COMPUTED_VALUE"""),"")</f>
        <v/>
      </c>
      <c r="F1943" s="117" t="s">
        <v>39</v>
      </c>
      <c r="G1943" s="116"/>
      <c r="H1943" s="117"/>
      <c r="I1943" s="117"/>
      <c r="J1943" s="117"/>
      <c r="K1943" s="117"/>
      <c r="L1943" s="116"/>
      <c r="M1943" s="117"/>
      <c r="N1943" s="118" t="str">
        <f>IFERROR(__xludf.DUMMYFUNCTION("""COMPUTED_VALUE"""),"")</f>
        <v/>
      </c>
      <c r="O1943" s="116"/>
      <c r="P1943" s="116"/>
      <c r="Q1943" s="116"/>
      <c r="R1943" s="116" t="s">
        <v>39</v>
      </c>
      <c r="S1943" s="116" t="s">
        <v>39</v>
      </c>
      <c r="T1943" s="104" t="s">
        <v>5895</v>
      </c>
      <c r="U1943" s="116"/>
      <c r="V1943" s="104" t="s">
        <v>5895</v>
      </c>
      <c r="W1943" s="116"/>
    </row>
    <row r="1944">
      <c r="A1944" s="114" t="s">
        <v>39</v>
      </c>
      <c r="B1944" s="115"/>
      <c r="C1944" s="116"/>
      <c r="D1944" s="116"/>
      <c r="E1944" s="116" t="str">
        <f>IFERROR(__xludf.DUMMYFUNCTION("""COMPUTED_VALUE"""),"")</f>
        <v/>
      </c>
      <c r="F1944" s="117" t="s">
        <v>39</v>
      </c>
      <c r="G1944" s="116"/>
      <c r="H1944" s="117"/>
      <c r="I1944" s="117"/>
      <c r="J1944" s="117"/>
      <c r="K1944" s="117"/>
      <c r="L1944" s="116"/>
      <c r="M1944" s="117"/>
      <c r="N1944" s="118" t="str">
        <f>IFERROR(__xludf.DUMMYFUNCTION("""COMPUTED_VALUE"""),"")</f>
        <v/>
      </c>
      <c r="O1944" s="116"/>
      <c r="P1944" s="116"/>
      <c r="Q1944" s="116"/>
      <c r="R1944" s="116" t="s">
        <v>39</v>
      </c>
      <c r="S1944" s="116" t="s">
        <v>39</v>
      </c>
      <c r="T1944" s="104" t="s">
        <v>5896</v>
      </c>
      <c r="U1944" s="116"/>
      <c r="V1944" s="104" t="s">
        <v>5896</v>
      </c>
      <c r="W1944" s="116"/>
    </row>
    <row r="1945">
      <c r="A1945" s="114" t="s">
        <v>39</v>
      </c>
      <c r="B1945" s="115"/>
      <c r="C1945" s="116"/>
      <c r="D1945" s="116"/>
      <c r="E1945" s="116" t="str">
        <f>IFERROR(__xludf.DUMMYFUNCTION("""COMPUTED_VALUE"""),"")</f>
        <v/>
      </c>
      <c r="F1945" s="117" t="s">
        <v>39</v>
      </c>
      <c r="G1945" s="116"/>
      <c r="H1945" s="117"/>
      <c r="I1945" s="117"/>
      <c r="J1945" s="117"/>
      <c r="K1945" s="117"/>
      <c r="L1945" s="116"/>
      <c r="M1945" s="117"/>
      <c r="N1945" s="118" t="str">
        <f>IFERROR(__xludf.DUMMYFUNCTION("""COMPUTED_VALUE"""),"")</f>
        <v/>
      </c>
      <c r="O1945" s="116"/>
      <c r="P1945" s="116"/>
      <c r="Q1945" s="116"/>
      <c r="R1945" s="116" t="s">
        <v>39</v>
      </c>
      <c r="S1945" s="116" t="s">
        <v>39</v>
      </c>
      <c r="T1945" s="104" t="s">
        <v>5897</v>
      </c>
      <c r="U1945" s="116"/>
      <c r="V1945" s="104" t="s">
        <v>5897</v>
      </c>
      <c r="W1945" s="116"/>
    </row>
    <row r="1946">
      <c r="A1946" s="114" t="s">
        <v>39</v>
      </c>
      <c r="B1946" s="115"/>
      <c r="C1946" s="116"/>
      <c r="D1946" s="116"/>
      <c r="E1946" s="116" t="str">
        <f>IFERROR(__xludf.DUMMYFUNCTION("""COMPUTED_VALUE"""),"")</f>
        <v/>
      </c>
      <c r="F1946" s="117" t="s">
        <v>39</v>
      </c>
      <c r="G1946" s="116"/>
      <c r="H1946" s="117"/>
      <c r="I1946" s="117"/>
      <c r="J1946" s="117"/>
      <c r="K1946" s="117"/>
      <c r="L1946" s="116"/>
      <c r="M1946" s="117"/>
      <c r="N1946" s="118" t="str">
        <f>IFERROR(__xludf.DUMMYFUNCTION("""COMPUTED_VALUE"""),"")</f>
        <v/>
      </c>
      <c r="O1946" s="116"/>
      <c r="P1946" s="116"/>
      <c r="Q1946" s="116"/>
      <c r="R1946" s="116" t="s">
        <v>39</v>
      </c>
      <c r="S1946" s="116" t="s">
        <v>39</v>
      </c>
      <c r="T1946" s="104" t="s">
        <v>5898</v>
      </c>
      <c r="U1946" s="116"/>
      <c r="V1946" s="104" t="s">
        <v>5898</v>
      </c>
      <c r="W1946" s="116"/>
    </row>
    <row r="1947">
      <c r="A1947" s="114" t="s">
        <v>39</v>
      </c>
      <c r="B1947" s="115"/>
      <c r="C1947" s="116"/>
      <c r="D1947" s="116"/>
      <c r="E1947" s="116" t="str">
        <f>IFERROR(__xludf.DUMMYFUNCTION("""COMPUTED_VALUE"""),"")</f>
        <v/>
      </c>
      <c r="F1947" s="117" t="s">
        <v>39</v>
      </c>
      <c r="G1947" s="116"/>
      <c r="H1947" s="117"/>
      <c r="I1947" s="117"/>
      <c r="J1947" s="117"/>
      <c r="K1947" s="117"/>
      <c r="L1947" s="116"/>
      <c r="M1947" s="117"/>
      <c r="N1947" s="118" t="str">
        <f>IFERROR(__xludf.DUMMYFUNCTION("""COMPUTED_VALUE"""),"")</f>
        <v/>
      </c>
      <c r="O1947" s="116"/>
      <c r="P1947" s="116"/>
      <c r="Q1947" s="116"/>
      <c r="R1947" s="116" t="s">
        <v>39</v>
      </c>
      <c r="S1947" s="116" t="s">
        <v>39</v>
      </c>
      <c r="T1947" s="104" t="s">
        <v>5899</v>
      </c>
      <c r="U1947" s="116"/>
      <c r="V1947" s="104" t="s">
        <v>5899</v>
      </c>
      <c r="W1947" s="116"/>
    </row>
    <row r="1948">
      <c r="A1948" s="114" t="s">
        <v>39</v>
      </c>
      <c r="B1948" s="115"/>
      <c r="C1948" s="116"/>
      <c r="D1948" s="116"/>
      <c r="E1948" s="116" t="str">
        <f>IFERROR(__xludf.DUMMYFUNCTION("""COMPUTED_VALUE"""),"")</f>
        <v/>
      </c>
      <c r="F1948" s="117" t="s">
        <v>39</v>
      </c>
      <c r="G1948" s="116"/>
      <c r="H1948" s="117"/>
      <c r="I1948" s="117"/>
      <c r="J1948" s="117"/>
      <c r="K1948" s="117"/>
      <c r="L1948" s="116"/>
      <c r="M1948" s="117"/>
      <c r="N1948" s="118" t="str">
        <f>IFERROR(__xludf.DUMMYFUNCTION("""COMPUTED_VALUE"""),"")</f>
        <v/>
      </c>
      <c r="O1948" s="116"/>
      <c r="P1948" s="116"/>
      <c r="Q1948" s="116"/>
      <c r="R1948" s="116" t="s">
        <v>39</v>
      </c>
      <c r="S1948" s="116" t="s">
        <v>39</v>
      </c>
      <c r="T1948" s="104" t="s">
        <v>5900</v>
      </c>
      <c r="U1948" s="116"/>
      <c r="V1948" s="104" t="s">
        <v>5900</v>
      </c>
      <c r="W1948" s="116"/>
    </row>
    <row r="1949">
      <c r="A1949" s="114" t="s">
        <v>39</v>
      </c>
      <c r="B1949" s="115"/>
      <c r="C1949" s="116"/>
      <c r="D1949" s="116"/>
      <c r="E1949" s="116" t="str">
        <f>IFERROR(__xludf.DUMMYFUNCTION("""COMPUTED_VALUE"""),"")</f>
        <v/>
      </c>
      <c r="F1949" s="117" t="s">
        <v>39</v>
      </c>
      <c r="G1949" s="116"/>
      <c r="H1949" s="117"/>
      <c r="I1949" s="117"/>
      <c r="J1949" s="117"/>
      <c r="K1949" s="117"/>
      <c r="L1949" s="116"/>
      <c r="M1949" s="117"/>
      <c r="N1949" s="118" t="str">
        <f>IFERROR(__xludf.DUMMYFUNCTION("""COMPUTED_VALUE"""),"")</f>
        <v/>
      </c>
      <c r="O1949" s="116"/>
      <c r="P1949" s="116"/>
      <c r="Q1949" s="116"/>
      <c r="R1949" s="116" t="s">
        <v>39</v>
      </c>
      <c r="S1949" s="116" t="s">
        <v>39</v>
      </c>
      <c r="T1949" s="104" t="s">
        <v>5901</v>
      </c>
      <c r="U1949" s="116"/>
      <c r="V1949" s="104" t="s">
        <v>5901</v>
      </c>
      <c r="W1949" s="116"/>
    </row>
    <row r="1950">
      <c r="A1950" s="114" t="s">
        <v>39</v>
      </c>
      <c r="B1950" s="115"/>
      <c r="C1950" s="116"/>
      <c r="D1950" s="116"/>
      <c r="E1950" s="116" t="str">
        <f>IFERROR(__xludf.DUMMYFUNCTION("""COMPUTED_VALUE"""),"")</f>
        <v/>
      </c>
      <c r="F1950" s="117" t="s">
        <v>39</v>
      </c>
      <c r="G1950" s="116"/>
      <c r="H1950" s="117"/>
      <c r="I1950" s="117"/>
      <c r="J1950" s="117"/>
      <c r="K1950" s="117"/>
      <c r="L1950" s="116"/>
      <c r="M1950" s="117"/>
      <c r="N1950" s="118" t="str">
        <f>IFERROR(__xludf.DUMMYFUNCTION("""COMPUTED_VALUE"""),"")</f>
        <v/>
      </c>
      <c r="O1950" s="116"/>
      <c r="P1950" s="116"/>
      <c r="Q1950" s="116"/>
      <c r="R1950" s="116" t="s">
        <v>39</v>
      </c>
      <c r="S1950" s="116" t="s">
        <v>39</v>
      </c>
      <c r="T1950" s="104" t="s">
        <v>5902</v>
      </c>
      <c r="U1950" s="116"/>
      <c r="V1950" s="104" t="s">
        <v>5902</v>
      </c>
      <c r="W1950" s="116"/>
    </row>
    <row r="1951">
      <c r="A1951" s="114" t="s">
        <v>39</v>
      </c>
      <c r="B1951" s="115"/>
      <c r="C1951" s="116"/>
      <c r="D1951" s="116"/>
      <c r="E1951" s="116" t="str">
        <f>IFERROR(__xludf.DUMMYFUNCTION("""COMPUTED_VALUE"""),"")</f>
        <v/>
      </c>
      <c r="F1951" s="117" t="s">
        <v>39</v>
      </c>
      <c r="G1951" s="116"/>
      <c r="H1951" s="117"/>
      <c r="I1951" s="117"/>
      <c r="J1951" s="117"/>
      <c r="K1951" s="117"/>
      <c r="L1951" s="116"/>
      <c r="M1951" s="117"/>
      <c r="N1951" s="118" t="str">
        <f>IFERROR(__xludf.DUMMYFUNCTION("""COMPUTED_VALUE"""),"")</f>
        <v/>
      </c>
      <c r="O1951" s="116"/>
      <c r="P1951" s="116"/>
      <c r="Q1951" s="116"/>
      <c r="R1951" s="116" t="s">
        <v>39</v>
      </c>
      <c r="S1951" s="116" t="s">
        <v>39</v>
      </c>
      <c r="T1951" s="104" t="s">
        <v>5903</v>
      </c>
      <c r="U1951" s="116"/>
      <c r="V1951" s="104" t="s">
        <v>5903</v>
      </c>
      <c r="W1951" s="116"/>
    </row>
    <row r="1952">
      <c r="A1952" s="114" t="s">
        <v>39</v>
      </c>
      <c r="B1952" s="115"/>
      <c r="C1952" s="116"/>
      <c r="D1952" s="116"/>
      <c r="E1952" s="116" t="str">
        <f>IFERROR(__xludf.DUMMYFUNCTION("""COMPUTED_VALUE"""),"")</f>
        <v/>
      </c>
      <c r="F1952" s="117" t="s">
        <v>39</v>
      </c>
      <c r="G1952" s="116"/>
      <c r="H1952" s="117"/>
      <c r="I1952" s="117"/>
      <c r="J1952" s="117"/>
      <c r="K1952" s="117"/>
      <c r="L1952" s="116"/>
      <c r="M1952" s="117"/>
      <c r="N1952" s="118" t="str">
        <f>IFERROR(__xludf.DUMMYFUNCTION("""COMPUTED_VALUE"""),"")</f>
        <v/>
      </c>
      <c r="O1952" s="116"/>
      <c r="P1952" s="116"/>
      <c r="Q1952" s="116"/>
      <c r="R1952" s="116" t="s">
        <v>39</v>
      </c>
      <c r="S1952" s="116" t="s">
        <v>39</v>
      </c>
      <c r="T1952" s="104" t="s">
        <v>5904</v>
      </c>
      <c r="U1952" s="116"/>
      <c r="V1952" s="104" t="s">
        <v>5904</v>
      </c>
      <c r="W1952" s="116"/>
    </row>
    <row r="1953">
      <c r="A1953" s="114" t="s">
        <v>39</v>
      </c>
      <c r="B1953" s="115"/>
      <c r="C1953" s="116"/>
      <c r="D1953" s="116"/>
      <c r="E1953" s="116" t="str">
        <f>IFERROR(__xludf.DUMMYFUNCTION("""COMPUTED_VALUE"""),"")</f>
        <v/>
      </c>
      <c r="F1953" s="117" t="s">
        <v>39</v>
      </c>
      <c r="G1953" s="116"/>
      <c r="H1953" s="117"/>
      <c r="I1953" s="117"/>
      <c r="J1953" s="117"/>
      <c r="K1953" s="117"/>
      <c r="L1953" s="116"/>
      <c r="M1953" s="117"/>
      <c r="N1953" s="118" t="str">
        <f>IFERROR(__xludf.DUMMYFUNCTION("""COMPUTED_VALUE"""),"")</f>
        <v/>
      </c>
      <c r="O1953" s="116"/>
      <c r="P1953" s="116"/>
      <c r="Q1953" s="116"/>
      <c r="R1953" s="116" t="s">
        <v>39</v>
      </c>
      <c r="S1953" s="116" t="s">
        <v>39</v>
      </c>
      <c r="T1953" s="104" t="s">
        <v>5905</v>
      </c>
      <c r="U1953" s="116"/>
      <c r="V1953" s="104" t="s">
        <v>5905</v>
      </c>
      <c r="W1953" s="116"/>
    </row>
    <row r="1954">
      <c r="A1954" s="114" t="s">
        <v>39</v>
      </c>
      <c r="B1954" s="115"/>
      <c r="C1954" s="116"/>
      <c r="D1954" s="116"/>
      <c r="E1954" s="116" t="str">
        <f>IFERROR(__xludf.DUMMYFUNCTION("""COMPUTED_VALUE"""),"")</f>
        <v/>
      </c>
      <c r="F1954" s="117" t="s">
        <v>39</v>
      </c>
      <c r="G1954" s="116"/>
      <c r="H1954" s="117"/>
      <c r="I1954" s="117"/>
      <c r="J1954" s="117"/>
      <c r="K1954" s="117"/>
      <c r="L1954" s="116"/>
      <c r="M1954" s="117"/>
      <c r="N1954" s="118" t="str">
        <f>IFERROR(__xludf.DUMMYFUNCTION("""COMPUTED_VALUE"""),"")</f>
        <v/>
      </c>
      <c r="O1954" s="116"/>
      <c r="P1954" s="116"/>
      <c r="Q1954" s="116"/>
      <c r="R1954" s="116" t="s">
        <v>39</v>
      </c>
      <c r="S1954" s="116" t="s">
        <v>39</v>
      </c>
      <c r="T1954" s="104" t="s">
        <v>5906</v>
      </c>
      <c r="U1954" s="116"/>
      <c r="V1954" s="104" t="s">
        <v>5906</v>
      </c>
      <c r="W1954" s="116"/>
    </row>
    <row r="1955">
      <c r="A1955" s="114" t="s">
        <v>39</v>
      </c>
      <c r="B1955" s="115"/>
      <c r="C1955" s="116"/>
      <c r="D1955" s="116"/>
      <c r="E1955" s="116" t="str">
        <f>IFERROR(__xludf.DUMMYFUNCTION("""COMPUTED_VALUE"""),"")</f>
        <v/>
      </c>
      <c r="F1955" s="117" t="s">
        <v>39</v>
      </c>
      <c r="G1955" s="116"/>
      <c r="H1955" s="117"/>
      <c r="I1955" s="117"/>
      <c r="J1955" s="117"/>
      <c r="K1955" s="117"/>
      <c r="L1955" s="116"/>
      <c r="M1955" s="117"/>
      <c r="N1955" s="118" t="str">
        <f>IFERROR(__xludf.DUMMYFUNCTION("""COMPUTED_VALUE"""),"")</f>
        <v/>
      </c>
      <c r="O1955" s="116"/>
      <c r="P1955" s="116"/>
      <c r="Q1955" s="116"/>
      <c r="R1955" s="116" t="s">
        <v>39</v>
      </c>
      <c r="S1955" s="116" t="s">
        <v>39</v>
      </c>
      <c r="T1955" s="104" t="s">
        <v>5907</v>
      </c>
      <c r="U1955" s="116"/>
      <c r="V1955" s="104" t="s">
        <v>5907</v>
      </c>
      <c r="W1955" s="116"/>
    </row>
    <row r="1956">
      <c r="A1956" s="114" t="s">
        <v>39</v>
      </c>
      <c r="B1956" s="115"/>
      <c r="C1956" s="116"/>
      <c r="D1956" s="116"/>
      <c r="E1956" s="116" t="str">
        <f>IFERROR(__xludf.DUMMYFUNCTION("""COMPUTED_VALUE"""),"")</f>
        <v/>
      </c>
      <c r="F1956" s="117" t="s">
        <v>39</v>
      </c>
      <c r="G1956" s="116"/>
      <c r="H1956" s="117"/>
      <c r="I1956" s="117"/>
      <c r="J1956" s="117"/>
      <c r="K1956" s="117"/>
      <c r="L1956" s="116"/>
      <c r="M1956" s="117"/>
      <c r="N1956" s="118" t="str">
        <f>IFERROR(__xludf.DUMMYFUNCTION("""COMPUTED_VALUE"""),"")</f>
        <v/>
      </c>
      <c r="O1956" s="116"/>
      <c r="P1956" s="116"/>
      <c r="Q1956" s="116"/>
      <c r="R1956" s="116" t="s">
        <v>39</v>
      </c>
      <c r="S1956" s="116" t="s">
        <v>39</v>
      </c>
      <c r="T1956" s="104" t="s">
        <v>5908</v>
      </c>
      <c r="U1956" s="116"/>
      <c r="V1956" s="104" t="s">
        <v>5908</v>
      </c>
      <c r="W1956" s="116"/>
    </row>
    <row r="1957">
      <c r="A1957" s="114" t="s">
        <v>39</v>
      </c>
      <c r="B1957" s="115"/>
      <c r="C1957" s="116"/>
      <c r="D1957" s="116"/>
      <c r="E1957" s="116" t="str">
        <f>IFERROR(__xludf.DUMMYFUNCTION("""COMPUTED_VALUE"""),"")</f>
        <v/>
      </c>
      <c r="F1957" s="117" t="s">
        <v>39</v>
      </c>
      <c r="G1957" s="116"/>
      <c r="H1957" s="117"/>
      <c r="I1957" s="117"/>
      <c r="J1957" s="117"/>
      <c r="K1957" s="117"/>
      <c r="L1957" s="116"/>
      <c r="M1957" s="117"/>
      <c r="N1957" s="118" t="str">
        <f>IFERROR(__xludf.DUMMYFUNCTION("""COMPUTED_VALUE"""),"")</f>
        <v/>
      </c>
      <c r="O1957" s="116"/>
      <c r="P1957" s="116"/>
      <c r="Q1957" s="116"/>
      <c r="R1957" s="116" t="s">
        <v>39</v>
      </c>
      <c r="S1957" s="116" t="s">
        <v>39</v>
      </c>
      <c r="T1957" s="104" t="s">
        <v>5909</v>
      </c>
      <c r="U1957" s="116"/>
      <c r="V1957" s="104" t="s">
        <v>5909</v>
      </c>
      <c r="W1957" s="116"/>
    </row>
    <row r="1958">
      <c r="A1958" s="114" t="s">
        <v>39</v>
      </c>
      <c r="B1958" s="115"/>
      <c r="C1958" s="116"/>
      <c r="D1958" s="116"/>
      <c r="E1958" s="116" t="str">
        <f>IFERROR(__xludf.DUMMYFUNCTION("""COMPUTED_VALUE"""),"")</f>
        <v/>
      </c>
      <c r="F1958" s="117" t="s">
        <v>39</v>
      </c>
      <c r="G1958" s="116"/>
      <c r="H1958" s="117"/>
      <c r="I1958" s="117"/>
      <c r="J1958" s="117"/>
      <c r="K1958" s="117"/>
      <c r="L1958" s="116"/>
      <c r="M1958" s="117"/>
      <c r="N1958" s="118" t="str">
        <f>IFERROR(__xludf.DUMMYFUNCTION("""COMPUTED_VALUE"""),"")</f>
        <v/>
      </c>
      <c r="O1958" s="116"/>
      <c r="P1958" s="116"/>
      <c r="Q1958" s="116"/>
      <c r="R1958" s="116" t="s">
        <v>39</v>
      </c>
      <c r="S1958" s="116" t="s">
        <v>39</v>
      </c>
      <c r="T1958" s="104" t="s">
        <v>5910</v>
      </c>
      <c r="U1958" s="116"/>
      <c r="V1958" s="104" t="s">
        <v>5910</v>
      </c>
      <c r="W1958" s="116"/>
    </row>
    <row r="1959">
      <c r="A1959" s="114" t="s">
        <v>39</v>
      </c>
      <c r="B1959" s="115"/>
      <c r="C1959" s="116"/>
      <c r="D1959" s="116"/>
      <c r="E1959" s="116" t="str">
        <f>IFERROR(__xludf.DUMMYFUNCTION("""COMPUTED_VALUE"""),"")</f>
        <v/>
      </c>
      <c r="F1959" s="117" t="s">
        <v>39</v>
      </c>
      <c r="G1959" s="116"/>
      <c r="H1959" s="117"/>
      <c r="I1959" s="117"/>
      <c r="J1959" s="117"/>
      <c r="K1959" s="117"/>
      <c r="L1959" s="116"/>
      <c r="M1959" s="117"/>
      <c r="N1959" s="118" t="str">
        <f>IFERROR(__xludf.DUMMYFUNCTION("""COMPUTED_VALUE"""),"")</f>
        <v/>
      </c>
      <c r="O1959" s="116"/>
      <c r="P1959" s="116"/>
      <c r="Q1959" s="116"/>
      <c r="R1959" s="116" t="s">
        <v>39</v>
      </c>
      <c r="S1959" s="116" t="s">
        <v>39</v>
      </c>
      <c r="T1959" s="104" t="s">
        <v>5911</v>
      </c>
      <c r="U1959" s="116"/>
      <c r="V1959" s="104" t="s">
        <v>5911</v>
      </c>
      <c r="W1959" s="116"/>
    </row>
    <row r="1960">
      <c r="A1960" s="114" t="s">
        <v>39</v>
      </c>
      <c r="B1960" s="115"/>
      <c r="C1960" s="116"/>
      <c r="D1960" s="116"/>
      <c r="E1960" s="116" t="str">
        <f>IFERROR(__xludf.DUMMYFUNCTION("""COMPUTED_VALUE"""),"")</f>
        <v/>
      </c>
      <c r="F1960" s="117" t="s">
        <v>39</v>
      </c>
      <c r="G1960" s="116"/>
      <c r="H1960" s="117"/>
      <c r="I1960" s="117"/>
      <c r="J1960" s="117"/>
      <c r="K1960" s="117"/>
      <c r="L1960" s="116"/>
      <c r="M1960" s="117"/>
      <c r="N1960" s="118" t="str">
        <f>IFERROR(__xludf.DUMMYFUNCTION("""COMPUTED_VALUE"""),"")</f>
        <v/>
      </c>
      <c r="O1960" s="116"/>
      <c r="P1960" s="116"/>
      <c r="Q1960" s="116"/>
      <c r="R1960" s="116" t="s">
        <v>39</v>
      </c>
      <c r="S1960" s="116" t="s">
        <v>39</v>
      </c>
      <c r="T1960" s="104" t="s">
        <v>5912</v>
      </c>
      <c r="U1960" s="116"/>
      <c r="V1960" s="104" t="s">
        <v>5912</v>
      </c>
      <c r="W1960" s="116"/>
    </row>
    <row r="1961">
      <c r="A1961" s="114" t="s">
        <v>39</v>
      </c>
      <c r="B1961" s="115"/>
      <c r="C1961" s="116"/>
      <c r="D1961" s="116"/>
      <c r="E1961" s="116" t="str">
        <f>IFERROR(__xludf.DUMMYFUNCTION("""COMPUTED_VALUE"""),"")</f>
        <v/>
      </c>
      <c r="F1961" s="117" t="s">
        <v>39</v>
      </c>
      <c r="G1961" s="116"/>
      <c r="H1961" s="117"/>
      <c r="I1961" s="117"/>
      <c r="J1961" s="117"/>
      <c r="K1961" s="117"/>
      <c r="L1961" s="116"/>
      <c r="M1961" s="117"/>
      <c r="N1961" s="118" t="str">
        <f>IFERROR(__xludf.DUMMYFUNCTION("""COMPUTED_VALUE"""),"")</f>
        <v/>
      </c>
      <c r="O1961" s="116"/>
      <c r="P1961" s="116"/>
      <c r="Q1961" s="116"/>
      <c r="R1961" s="116" t="s">
        <v>39</v>
      </c>
      <c r="S1961" s="116" t="s">
        <v>39</v>
      </c>
      <c r="T1961" s="104" t="s">
        <v>5913</v>
      </c>
      <c r="U1961" s="116"/>
      <c r="V1961" s="104" t="s">
        <v>5913</v>
      </c>
      <c r="W1961" s="116"/>
    </row>
    <row r="1962">
      <c r="A1962" s="114" t="s">
        <v>39</v>
      </c>
      <c r="B1962" s="115"/>
      <c r="C1962" s="116"/>
      <c r="D1962" s="116"/>
      <c r="E1962" s="116" t="str">
        <f>IFERROR(__xludf.DUMMYFUNCTION("""COMPUTED_VALUE"""),"")</f>
        <v/>
      </c>
      <c r="F1962" s="117" t="s">
        <v>39</v>
      </c>
      <c r="G1962" s="116"/>
      <c r="H1962" s="117"/>
      <c r="I1962" s="117"/>
      <c r="J1962" s="117"/>
      <c r="K1962" s="117"/>
      <c r="L1962" s="116"/>
      <c r="M1962" s="117"/>
      <c r="N1962" s="118" t="str">
        <f>IFERROR(__xludf.DUMMYFUNCTION("""COMPUTED_VALUE"""),"")</f>
        <v/>
      </c>
      <c r="O1962" s="116"/>
      <c r="P1962" s="116"/>
      <c r="Q1962" s="116"/>
      <c r="R1962" s="116" t="s">
        <v>39</v>
      </c>
      <c r="S1962" s="116" t="s">
        <v>39</v>
      </c>
      <c r="T1962" s="104" t="s">
        <v>5914</v>
      </c>
      <c r="U1962" s="116"/>
      <c r="V1962" s="104" t="s">
        <v>5914</v>
      </c>
      <c r="W1962" s="116"/>
    </row>
    <row r="1963">
      <c r="A1963" s="114" t="s">
        <v>39</v>
      </c>
      <c r="B1963" s="115"/>
      <c r="C1963" s="116"/>
      <c r="D1963" s="116"/>
      <c r="E1963" s="116" t="str">
        <f>IFERROR(__xludf.DUMMYFUNCTION("""COMPUTED_VALUE"""),"")</f>
        <v/>
      </c>
      <c r="F1963" s="117" t="s">
        <v>39</v>
      </c>
      <c r="G1963" s="116"/>
      <c r="H1963" s="117"/>
      <c r="I1963" s="117"/>
      <c r="J1963" s="117"/>
      <c r="K1963" s="117"/>
      <c r="L1963" s="116"/>
      <c r="M1963" s="117"/>
      <c r="N1963" s="118" t="str">
        <f>IFERROR(__xludf.DUMMYFUNCTION("""COMPUTED_VALUE"""),"")</f>
        <v/>
      </c>
      <c r="O1963" s="116"/>
      <c r="P1963" s="116"/>
      <c r="Q1963" s="116"/>
      <c r="R1963" s="116" t="s">
        <v>39</v>
      </c>
      <c r="S1963" s="116" t="s">
        <v>39</v>
      </c>
      <c r="T1963" s="104" t="s">
        <v>5915</v>
      </c>
      <c r="U1963" s="116"/>
      <c r="V1963" s="104" t="s">
        <v>5915</v>
      </c>
      <c r="W1963" s="116"/>
    </row>
    <row r="1964">
      <c r="A1964" s="114" t="s">
        <v>39</v>
      </c>
      <c r="B1964" s="115"/>
      <c r="C1964" s="116"/>
      <c r="D1964" s="116"/>
      <c r="E1964" s="116" t="str">
        <f>IFERROR(__xludf.DUMMYFUNCTION("""COMPUTED_VALUE"""),"")</f>
        <v/>
      </c>
      <c r="F1964" s="117" t="s">
        <v>39</v>
      </c>
      <c r="G1964" s="116"/>
      <c r="H1964" s="117"/>
      <c r="I1964" s="117"/>
      <c r="J1964" s="117"/>
      <c r="K1964" s="117"/>
      <c r="L1964" s="116"/>
      <c r="M1964" s="117"/>
      <c r="N1964" s="118" t="str">
        <f>IFERROR(__xludf.DUMMYFUNCTION("""COMPUTED_VALUE"""),"")</f>
        <v/>
      </c>
      <c r="O1964" s="116"/>
      <c r="P1964" s="116"/>
      <c r="Q1964" s="116"/>
      <c r="R1964" s="116" t="s">
        <v>39</v>
      </c>
      <c r="S1964" s="116" t="s">
        <v>39</v>
      </c>
      <c r="T1964" s="104" t="s">
        <v>5916</v>
      </c>
      <c r="U1964" s="116"/>
      <c r="V1964" s="104" t="s">
        <v>5916</v>
      </c>
      <c r="W1964" s="116"/>
    </row>
    <row r="1965">
      <c r="A1965" s="114" t="s">
        <v>39</v>
      </c>
      <c r="B1965" s="115"/>
      <c r="C1965" s="116"/>
      <c r="D1965" s="116"/>
      <c r="E1965" s="116" t="str">
        <f>IFERROR(__xludf.DUMMYFUNCTION("""COMPUTED_VALUE"""),"")</f>
        <v/>
      </c>
      <c r="F1965" s="117" t="s">
        <v>39</v>
      </c>
      <c r="G1965" s="116"/>
      <c r="H1965" s="117"/>
      <c r="I1965" s="117"/>
      <c r="J1965" s="117"/>
      <c r="K1965" s="117"/>
      <c r="L1965" s="116"/>
      <c r="M1965" s="117"/>
      <c r="N1965" s="118" t="str">
        <f>IFERROR(__xludf.DUMMYFUNCTION("""COMPUTED_VALUE"""),"")</f>
        <v/>
      </c>
      <c r="O1965" s="116"/>
      <c r="P1965" s="116"/>
      <c r="Q1965" s="116"/>
      <c r="R1965" s="116" t="s">
        <v>39</v>
      </c>
      <c r="S1965" s="116" t="s">
        <v>39</v>
      </c>
      <c r="T1965" s="104" t="s">
        <v>5917</v>
      </c>
      <c r="U1965" s="116"/>
      <c r="V1965" s="104" t="s">
        <v>5917</v>
      </c>
      <c r="W1965" s="116"/>
    </row>
    <row r="1966">
      <c r="A1966" s="114" t="s">
        <v>39</v>
      </c>
      <c r="B1966" s="115"/>
      <c r="C1966" s="116"/>
      <c r="D1966" s="116"/>
      <c r="E1966" s="116" t="str">
        <f>IFERROR(__xludf.DUMMYFUNCTION("""COMPUTED_VALUE"""),"")</f>
        <v/>
      </c>
      <c r="F1966" s="117" t="s">
        <v>39</v>
      </c>
      <c r="G1966" s="116"/>
      <c r="H1966" s="117"/>
      <c r="I1966" s="117"/>
      <c r="J1966" s="117"/>
      <c r="K1966" s="117"/>
      <c r="L1966" s="116"/>
      <c r="M1966" s="117"/>
      <c r="N1966" s="118" t="str">
        <f>IFERROR(__xludf.DUMMYFUNCTION("""COMPUTED_VALUE"""),"")</f>
        <v/>
      </c>
      <c r="O1966" s="116"/>
      <c r="P1966" s="116"/>
      <c r="Q1966" s="116"/>
      <c r="R1966" s="116" t="s">
        <v>39</v>
      </c>
      <c r="S1966" s="116" t="s">
        <v>39</v>
      </c>
      <c r="T1966" s="104" t="s">
        <v>5918</v>
      </c>
      <c r="U1966" s="116"/>
      <c r="V1966" s="104" t="s">
        <v>5918</v>
      </c>
      <c r="W1966" s="116"/>
    </row>
    <row r="1967">
      <c r="A1967" s="114" t="s">
        <v>39</v>
      </c>
      <c r="B1967" s="115"/>
      <c r="C1967" s="116"/>
      <c r="D1967" s="116"/>
      <c r="E1967" s="116" t="str">
        <f>IFERROR(__xludf.DUMMYFUNCTION("""COMPUTED_VALUE"""),"")</f>
        <v/>
      </c>
      <c r="F1967" s="117" t="s">
        <v>39</v>
      </c>
      <c r="G1967" s="116"/>
      <c r="H1967" s="117"/>
      <c r="I1967" s="117"/>
      <c r="J1967" s="117"/>
      <c r="K1967" s="117"/>
      <c r="L1967" s="116"/>
      <c r="M1967" s="117"/>
      <c r="N1967" s="118" t="str">
        <f>IFERROR(__xludf.DUMMYFUNCTION("""COMPUTED_VALUE"""),"")</f>
        <v/>
      </c>
      <c r="O1967" s="116"/>
      <c r="P1967" s="116"/>
      <c r="Q1967" s="116"/>
      <c r="R1967" s="116" t="s">
        <v>39</v>
      </c>
      <c r="S1967" s="116" t="s">
        <v>39</v>
      </c>
      <c r="T1967" s="104" t="s">
        <v>5919</v>
      </c>
      <c r="U1967" s="116"/>
      <c r="V1967" s="104" t="s">
        <v>5919</v>
      </c>
      <c r="W1967" s="116"/>
    </row>
    <row r="1968">
      <c r="A1968" s="114" t="s">
        <v>39</v>
      </c>
      <c r="B1968" s="115"/>
      <c r="C1968" s="116"/>
      <c r="D1968" s="116"/>
      <c r="E1968" s="116" t="str">
        <f>IFERROR(__xludf.DUMMYFUNCTION("""COMPUTED_VALUE"""),"")</f>
        <v/>
      </c>
      <c r="F1968" s="117" t="s">
        <v>39</v>
      </c>
      <c r="G1968" s="116"/>
      <c r="H1968" s="117"/>
      <c r="I1968" s="117"/>
      <c r="J1968" s="117"/>
      <c r="K1968" s="117"/>
      <c r="L1968" s="116"/>
      <c r="M1968" s="117"/>
      <c r="N1968" s="118" t="str">
        <f>IFERROR(__xludf.DUMMYFUNCTION("""COMPUTED_VALUE"""),"")</f>
        <v/>
      </c>
      <c r="O1968" s="116"/>
      <c r="P1968" s="116"/>
      <c r="Q1968" s="116"/>
      <c r="R1968" s="116" t="s">
        <v>39</v>
      </c>
      <c r="S1968" s="116" t="s">
        <v>39</v>
      </c>
      <c r="T1968" s="104" t="s">
        <v>5920</v>
      </c>
      <c r="U1968" s="116"/>
      <c r="V1968" s="104" t="s">
        <v>5920</v>
      </c>
      <c r="W1968" s="116"/>
    </row>
    <row r="1969">
      <c r="A1969" s="114" t="s">
        <v>39</v>
      </c>
      <c r="B1969" s="115"/>
      <c r="C1969" s="116"/>
      <c r="D1969" s="116"/>
      <c r="E1969" s="116" t="str">
        <f>IFERROR(__xludf.DUMMYFUNCTION("""COMPUTED_VALUE"""),"")</f>
        <v/>
      </c>
      <c r="F1969" s="117" t="s">
        <v>39</v>
      </c>
      <c r="G1969" s="116"/>
      <c r="H1969" s="117"/>
      <c r="I1969" s="117"/>
      <c r="J1969" s="117"/>
      <c r="K1969" s="117"/>
      <c r="L1969" s="116"/>
      <c r="M1969" s="117"/>
      <c r="N1969" s="118" t="str">
        <f>IFERROR(__xludf.DUMMYFUNCTION("""COMPUTED_VALUE"""),"")</f>
        <v/>
      </c>
      <c r="O1969" s="116"/>
      <c r="P1969" s="116"/>
      <c r="Q1969" s="116"/>
      <c r="R1969" s="116" t="s">
        <v>39</v>
      </c>
      <c r="S1969" s="116" t="s">
        <v>39</v>
      </c>
      <c r="T1969" s="104" t="s">
        <v>5921</v>
      </c>
      <c r="U1969" s="116"/>
      <c r="V1969" s="104" t="s">
        <v>5921</v>
      </c>
      <c r="W1969" s="116"/>
    </row>
    <row r="1970">
      <c r="A1970" s="114" t="s">
        <v>39</v>
      </c>
      <c r="B1970" s="115"/>
      <c r="C1970" s="116"/>
      <c r="D1970" s="116"/>
      <c r="E1970" s="116" t="str">
        <f>IFERROR(__xludf.DUMMYFUNCTION("""COMPUTED_VALUE"""),"")</f>
        <v/>
      </c>
      <c r="F1970" s="117" t="s">
        <v>39</v>
      </c>
      <c r="G1970" s="116"/>
      <c r="H1970" s="117"/>
      <c r="I1970" s="117"/>
      <c r="J1970" s="117"/>
      <c r="K1970" s="117"/>
      <c r="L1970" s="116"/>
      <c r="M1970" s="117"/>
      <c r="N1970" s="118" t="str">
        <f>IFERROR(__xludf.DUMMYFUNCTION("""COMPUTED_VALUE"""),"")</f>
        <v/>
      </c>
      <c r="O1970" s="116"/>
      <c r="P1970" s="116"/>
      <c r="Q1970" s="116"/>
      <c r="R1970" s="116" t="s">
        <v>39</v>
      </c>
      <c r="S1970" s="116" t="s">
        <v>39</v>
      </c>
      <c r="T1970" s="104" t="s">
        <v>5922</v>
      </c>
      <c r="U1970" s="116"/>
      <c r="V1970" s="104" t="s">
        <v>5922</v>
      </c>
      <c r="W1970" s="116"/>
    </row>
    <row r="1971">
      <c r="A1971" s="114" t="s">
        <v>39</v>
      </c>
      <c r="B1971" s="115"/>
      <c r="C1971" s="116"/>
      <c r="D1971" s="116"/>
      <c r="E1971" s="116" t="str">
        <f>IFERROR(__xludf.DUMMYFUNCTION("""COMPUTED_VALUE"""),"")</f>
        <v/>
      </c>
      <c r="F1971" s="117" t="s">
        <v>39</v>
      </c>
      <c r="G1971" s="116"/>
      <c r="H1971" s="117"/>
      <c r="I1971" s="117"/>
      <c r="J1971" s="117"/>
      <c r="K1971" s="117"/>
      <c r="L1971" s="116"/>
      <c r="M1971" s="117"/>
      <c r="N1971" s="118" t="str">
        <f>IFERROR(__xludf.DUMMYFUNCTION("""COMPUTED_VALUE"""),"")</f>
        <v/>
      </c>
      <c r="O1971" s="116"/>
      <c r="P1971" s="116"/>
      <c r="Q1971" s="116"/>
      <c r="R1971" s="116" t="s">
        <v>39</v>
      </c>
      <c r="S1971" s="116" t="s">
        <v>39</v>
      </c>
      <c r="T1971" s="104" t="s">
        <v>5923</v>
      </c>
      <c r="U1971" s="116"/>
      <c r="V1971" s="104" t="s">
        <v>5923</v>
      </c>
      <c r="W1971" s="116"/>
    </row>
    <row r="1972">
      <c r="A1972" s="114" t="s">
        <v>39</v>
      </c>
      <c r="B1972" s="115"/>
      <c r="C1972" s="116"/>
      <c r="D1972" s="116"/>
      <c r="E1972" s="116" t="str">
        <f>IFERROR(__xludf.DUMMYFUNCTION("""COMPUTED_VALUE"""),"")</f>
        <v/>
      </c>
      <c r="F1972" s="117" t="s">
        <v>39</v>
      </c>
      <c r="G1972" s="116"/>
      <c r="H1972" s="117"/>
      <c r="I1972" s="117"/>
      <c r="J1972" s="117"/>
      <c r="K1972" s="117"/>
      <c r="L1972" s="116"/>
      <c r="M1972" s="117"/>
      <c r="N1972" s="118" t="str">
        <f>IFERROR(__xludf.DUMMYFUNCTION("""COMPUTED_VALUE"""),"")</f>
        <v/>
      </c>
      <c r="O1972" s="116"/>
      <c r="P1972" s="116"/>
      <c r="Q1972" s="116"/>
      <c r="R1972" s="116" t="s">
        <v>39</v>
      </c>
      <c r="S1972" s="116" t="s">
        <v>39</v>
      </c>
      <c r="T1972" s="104" t="s">
        <v>5924</v>
      </c>
      <c r="U1972" s="116"/>
      <c r="V1972" s="104" t="s">
        <v>5924</v>
      </c>
      <c r="W1972" s="116"/>
    </row>
    <row r="1973">
      <c r="A1973" s="114" t="s">
        <v>39</v>
      </c>
      <c r="B1973" s="115"/>
      <c r="C1973" s="116"/>
      <c r="D1973" s="116"/>
      <c r="E1973" s="116" t="str">
        <f>IFERROR(__xludf.DUMMYFUNCTION("""COMPUTED_VALUE"""),"")</f>
        <v/>
      </c>
      <c r="F1973" s="117" t="s">
        <v>39</v>
      </c>
      <c r="G1973" s="116"/>
      <c r="H1973" s="117"/>
      <c r="I1973" s="117"/>
      <c r="J1973" s="117"/>
      <c r="K1973" s="117"/>
      <c r="L1973" s="116"/>
      <c r="M1973" s="117"/>
      <c r="N1973" s="118" t="str">
        <f>IFERROR(__xludf.DUMMYFUNCTION("""COMPUTED_VALUE"""),"")</f>
        <v/>
      </c>
      <c r="O1973" s="116"/>
      <c r="P1973" s="116"/>
      <c r="Q1973" s="116"/>
      <c r="R1973" s="116" t="s">
        <v>39</v>
      </c>
      <c r="S1973" s="116" t="s">
        <v>39</v>
      </c>
      <c r="T1973" s="104" t="s">
        <v>5925</v>
      </c>
      <c r="U1973" s="116"/>
      <c r="V1973" s="104" t="s">
        <v>5925</v>
      </c>
      <c r="W1973" s="116"/>
    </row>
    <row r="1974">
      <c r="A1974" s="114" t="s">
        <v>39</v>
      </c>
      <c r="B1974" s="115"/>
      <c r="C1974" s="116"/>
      <c r="D1974" s="116"/>
      <c r="E1974" s="116" t="str">
        <f>IFERROR(__xludf.DUMMYFUNCTION("""COMPUTED_VALUE"""),"")</f>
        <v/>
      </c>
      <c r="F1974" s="117" t="s">
        <v>39</v>
      </c>
      <c r="G1974" s="116"/>
      <c r="H1974" s="117"/>
      <c r="I1974" s="117"/>
      <c r="J1974" s="117"/>
      <c r="K1974" s="117"/>
      <c r="L1974" s="116"/>
      <c r="M1974" s="117"/>
      <c r="N1974" s="118" t="str">
        <f>IFERROR(__xludf.DUMMYFUNCTION("""COMPUTED_VALUE"""),"")</f>
        <v/>
      </c>
      <c r="O1974" s="116"/>
      <c r="P1974" s="116"/>
      <c r="Q1974" s="116"/>
      <c r="R1974" s="116" t="s">
        <v>39</v>
      </c>
      <c r="S1974" s="116" t="s">
        <v>39</v>
      </c>
      <c r="T1974" s="104" t="s">
        <v>5926</v>
      </c>
      <c r="U1974" s="116"/>
      <c r="V1974" s="104" t="s">
        <v>5926</v>
      </c>
      <c r="W1974" s="116"/>
    </row>
    <row r="1975">
      <c r="A1975" s="114" t="s">
        <v>39</v>
      </c>
      <c r="B1975" s="115"/>
      <c r="C1975" s="116"/>
      <c r="D1975" s="116"/>
      <c r="E1975" s="116" t="str">
        <f>IFERROR(__xludf.DUMMYFUNCTION("""COMPUTED_VALUE"""),"")</f>
        <v/>
      </c>
      <c r="F1975" s="117" t="s">
        <v>39</v>
      </c>
      <c r="G1975" s="116"/>
      <c r="H1975" s="117"/>
      <c r="I1975" s="117"/>
      <c r="J1975" s="117"/>
      <c r="K1975" s="117"/>
      <c r="L1975" s="116"/>
      <c r="M1975" s="117"/>
      <c r="N1975" s="118" t="str">
        <f>IFERROR(__xludf.DUMMYFUNCTION("""COMPUTED_VALUE"""),"")</f>
        <v/>
      </c>
      <c r="O1975" s="116"/>
      <c r="P1975" s="116"/>
      <c r="Q1975" s="116"/>
      <c r="R1975" s="116" t="s">
        <v>39</v>
      </c>
      <c r="S1975" s="116" t="s">
        <v>39</v>
      </c>
      <c r="T1975" s="104" t="s">
        <v>5927</v>
      </c>
      <c r="U1975" s="116"/>
      <c r="V1975" s="104" t="s">
        <v>5927</v>
      </c>
      <c r="W1975" s="116"/>
    </row>
    <row r="1976">
      <c r="A1976" s="114" t="s">
        <v>39</v>
      </c>
      <c r="B1976" s="115"/>
      <c r="C1976" s="116"/>
      <c r="D1976" s="116"/>
      <c r="E1976" s="116" t="str">
        <f>IFERROR(__xludf.DUMMYFUNCTION("""COMPUTED_VALUE"""),"")</f>
        <v/>
      </c>
      <c r="F1976" s="117" t="s">
        <v>39</v>
      </c>
      <c r="G1976" s="116"/>
      <c r="H1976" s="117"/>
      <c r="I1976" s="117"/>
      <c r="J1976" s="117"/>
      <c r="K1976" s="117"/>
      <c r="L1976" s="116"/>
      <c r="M1976" s="117"/>
      <c r="N1976" s="118" t="str">
        <f>IFERROR(__xludf.DUMMYFUNCTION("""COMPUTED_VALUE"""),"")</f>
        <v/>
      </c>
      <c r="O1976" s="116"/>
      <c r="P1976" s="116"/>
      <c r="Q1976" s="116"/>
      <c r="R1976" s="116" t="s">
        <v>39</v>
      </c>
      <c r="S1976" s="116" t="s">
        <v>39</v>
      </c>
      <c r="T1976" s="104" t="s">
        <v>5928</v>
      </c>
      <c r="U1976" s="116"/>
      <c r="V1976" s="104" t="s">
        <v>5928</v>
      </c>
      <c r="W1976" s="116"/>
    </row>
    <row r="1977">
      <c r="A1977" s="114" t="s">
        <v>39</v>
      </c>
      <c r="B1977" s="115"/>
      <c r="C1977" s="116"/>
      <c r="D1977" s="116"/>
      <c r="E1977" s="116" t="str">
        <f>IFERROR(__xludf.DUMMYFUNCTION("""COMPUTED_VALUE"""),"")</f>
        <v/>
      </c>
      <c r="F1977" s="117" t="s">
        <v>39</v>
      </c>
      <c r="G1977" s="116"/>
      <c r="H1977" s="117"/>
      <c r="I1977" s="117"/>
      <c r="J1977" s="117"/>
      <c r="K1977" s="117"/>
      <c r="L1977" s="116"/>
      <c r="M1977" s="117"/>
      <c r="N1977" s="118" t="str">
        <f>IFERROR(__xludf.DUMMYFUNCTION("""COMPUTED_VALUE"""),"")</f>
        <v/>
      </c>
      <c r="O1977" s="116"/>
      <c r="P1977" s="116"/>
      <c r="Q1977" s="116"/>
      <c r="R1977" s="116" t="s">
        <v>39</v>
      </c>
      <c r="S1977" s="116" t="s">
        <v>39</v>
      </c>
      <c r="T1977" s="104" t="s">
        <v>5929</v>
      </c>
      <c r="U1977" s="116"/>
      <c r="V1977" s="104" t="s">
        <v>5929</v>
      </c>
      <c r="W1977" s="116"/>
    </row>
    <row r="1978">
      <c r="A1978" s="114" t="s">
        <v>39</v>
      </c>
      <c r="B1978" s="115"/>
      <c r="C1978" s="116"/>
      <c r="D1978" s="116"/>
      <c r="E1978" s="116" t="str">
        <f>IFERROR(__xludf.DUMMYFUNCTION("""COMPUTED_VALUE"""),"")</f>
        <v/>
      </c>
      <c r="F1978" s="117" t="s">
        <v>39</v>
      </c>
      <c r="G1978" s="116"/>
      <c r="H1978" s="117"/>
      <c r="I1978" s="117"/>
      <c r="J1978" s="117"/>
      <c r="K1978" s="117"/>
      <c r="L1978" s="116"/>
      <c r="M1978" s="117"/>
      <c r="N1978" s="118" t="str">
        <f>IFERROR(__xludf.DUMMYFUNCTION("""COMPUTED_VALUE"""),"")</f>
        <v/>
      </c>
      <c r="O1978" s="116"/>
      <c r="P1978" s="116"/>
      <c r="Q1978" s="116"/>
      <c r="R1978" s="116" t="s">
        <v>39</v>
      </c>
      <c r="S1978" s="116" t="s">
        <v>39</v>
      </c>
      <c r="T1978" s="104" t="s">
        <v>5930</v>
      </c>
      <c r="U1978" s="116"/>
      <c r="V1978" s="104" t="s">
        <v>5930</v>
      </c>
      <c r="W1978" s="116"/>
    </row>
    <row r="1979">
      <c r="A1979" s="114" t="s">
        <v>39</v>
      </c>
      <c r="B1979" s="115"/>
      <c r="C1979" s="116"/>
      <c r="D1979" s="116"/>
      <c r="E1979" s="116" t="str">
        <f>IFERROR(__xludf.DUMMYFUNCTION("""COMPUTED_VALUE"""),"")</f>
        <v/>
      </c>
      <c r="F1979" s="117" t="s">
        <v>39</v>
      </c>
      <c r="G1979" s="116"/>
      <c r="H1979" s="117"/>
      <c r="I1979" s="117"/>
      <c r="J1979" s="117"/>
      <c r="K1979" s="117"/>
      <c r="L1979" s="116"/>
      <c r="M1979" s="117"/>
      <c r="N1979" s="118" t="str">
        <f>IFERROR(__xludf.DUMMYFUNCTION("""COMPUTED_VALUE"""),"")</f>
        <v/>
      </c>
      <c r="O1979" s="116"/>
      <c r="P1979" s="116"/>
      <c r="Q1979" s="116"/>
      <c r="R1979" s="116" t="s">
        <v>39</v>
      </c>
      <c r="S1979" s="116" t="s">
        <v>39</v>
      </c>
      <c r="T1979" s="104" t="s">
        <v>5931</v>
      </c>
      <c r="U1979" s="116"/>
      <c r="V1979" s="104" t="s">
        <v>5931</v>
      </c>
      <c r="W1979" s="116"/>
    </row>
    <row r="1980">
      <c r="A1980" s="114" t="s">
        <v>39</v>
      </c>
      <c r="B1980" s="115"/>
      <c r="C1980" s="116"/>
      <c r="D1980" s="116"/>
      <c r="E1980" s="116" t="str">
        <f>IFERROR(__xludf.DUMMYFUNCTION("""COMPUTED_VALUE"""),"")</f>
        <v/>
      </c>
      <c r="F1980" s="117" t="s">
        <v>39</v>
      </c>
      <c r="G1980" s="116"/>
      <c r="H1980" s="117"/>
      <c r="I1980" s="117"/>
      <c r="J1980" s="117"/>
      <c r="K1980" s="117"/>
      <c r="L1980" s="116"/>
      <c r="M1980" s="117"/>
      <c r="N1980" s="118" t="str">
        <f>IFERROR(__xludf.DUMMYFUNCTION("""COMPUTED_VALUE"""),"")</f>
        <v/>
      </c>
      <c r="O1980" s="116"/>
      <c r="P1980" s="116"/>
      <c r="Q1980" s="116"/>
      <c r="R1980" s="116" t="s">
        <v>39</v>
      </c>
      <c r="S1980" s="116" t="s">
        <v>39</v>
      </c>
      <c r="T1980" s="104" t="s">
        <v>5932</v>
      </c>
      <c r="U1980" s="116"/>
      <c r="V1980" s="104" t="s">
        <v>5932</v>
      </c>
      <c r="W1980" s="116"/>
    </row>
    <row r="1981">
      <c r="A1981" s="114" t="s">
        <v>39</v>
      </c>
      <c r="B1981" s="115"/>
      <c r="C1981" s="116"/>
      <c r="D1981" s="116"/>
      <c r="E1981" s="116" t="str">
        <f>IFERROR(__xludf.DUMMYFUNCTION("""COMPUTED_VALUE"""),"")</f>
        <v/>
      </c>
      <c r="F1981" s="117" t="s">
        <v>39</v>
      </c>
      <c r="G1981" s="116"/>
      <c r="H1981" s="117"/>
      <c r="I1981" s="117"/>
      <c r="J1981" s="117"/>
      <c r="K1981" s="117"/>
      <c r="L1981" s="116"/>
      <c r="M1981" s="117"/>
      <c r="N1981" s="118" t="str">
        <f>IFERROR(__xludf.DUMMYFUNCTION("""COMPUTED_VALUE"""),"")</f>
        <v/>
      </c>
      <c r="O1981" s="116"/>
      <c r="P1981" s="116"/>
      <c r="Q1981" s="116"/>
      <c r="R1981" s="116" t="s">
        <v>39</v>
      </c>
      <c r="S1981" s="116" t="s">
        <v>39</v>
      </c>
      <c r="T1981" s="104" t="s">
        <v>5933</v>
      </c>
      <c r="U1981" s="116"/>
      <c r="V1981" s="104" t="s">
        <v>5933</v>
      </c>
      <c r="W1981" s="116"/>
    </row>
    <row r="1982">
      <c r="A1982" s="114" t="s">
        <v>39</v>
      </c>
      <c r="B1982" s="115"/>
      <c r="C1982" s="116"/>
      <c r="D1982" s="116"/>
      <c r="E1982" s="116" t="str">
        <f>IFERROR(__xludf.DUMMYFUNCTION("""COMPUTED_VALUE"""),"")</f>
        <v/>
      </c>
      <c r="F1982" s="117" t="s">
        <v>39</v>
      </c>
      <c r="G1982" s="116"/>
      <c r="H1982" s="117"/>
      <c r="I1982" s="117"/>
      <c r="J1982" s="117"/>
      <c r="K1982" s="117"/>
      <c r="L1982" s="116"/>
      <c r="M1982" s="117"/>
      <c r="N1982" s="118" t="str">
        <f>IFERROR(__xludf.DUMMYFUNCTION("""COMPUTED_VALUE"""),"")</f>
        <v/>
      </c>
      <c r="O1982" s="116"/>
      <c r="P1982" s="116"/>
      <c r="Q1982" s="116"/>
      <c r="R1982" s="116" t="s">
        <v>39</v>
      </c>
      <c r="S1982" s="116" t="s">
        <v>39</v>
      </c>
      <c r="T1982" s="104" t="s">
        <v>5934</v>
      </c>
      <c r="U1982" s="116"/>
      <c r="V1982" s="104" t="s">
        <v>5934</v>
      </c>
      <c r="W1982" s="116"/>
    </row>
    <row r="1983">
      <c r="A1983" s="114" t="s">
        <v>39</v>
      </c>
      <c r="B1983" s="115"/>
      <c r="C1983" s="116"/>
      <c r="D1983" s="116"/>
      <c r="E1983" s="116" t="str">
        <f>IFERROR(__xludf.DUMMYFUNCTION("""COMPUTED_VALUE"""),"")</f>
        <v/>
      </c>
      <c r="F1983" s="117" t="s">
        <v>39</v>
      </c>
      <c r="G1983" s="116"/>
      <c r="H1983" s="117"/>
      <c r="I1983" s="117"/>
      <c r="J1983" s="117"/>
      <c r="K1983" s="117"/>
      <c r="L1983" s="116"/>
      <c r="M1983" s="117"/>
      <c r="N1983" s="118" t="str">
        <f>IFERROR(__xludf.DUMMYFUNCTION("""COMPUTED_VALUE"""),"")</f>
        <v/>
      </c>
      <c r="O1983" s="116"/>
      <c r="P1983" s="116"/>
      <c r="Q1983" s="116"/>
      <c r="R1983" s="116" t="s">
        <v>39</v>
      </c>
      <c r="S1983" s="116" t="s">
        <v>39</v>
      </c>
      <c r="T1983" s="104" t="s">
        <v>5935</v>
      </c>
      <c r="U1983" s="116"/>
      <c r="V1983" s="104" t="s">
        <v>5935</v>
      </c>
      <c r="W1983" s="116"/>
    </row>
    <row r="1984">
      <c r="A1984" s="114" t="s">
        <v>39</v>
      </c>
      <c r="B1984" s="115"/>
      <c r="C1984" s="116"/>
      <c r="D1984" s="116"/>
      <c r="E1984" s="116" t="str">
        <f>IFERROR(__xludf.DUMMYFUNCTION("""COMPUTED_VALUE"""),"")</f>
        <v/>
      </c>
      <c r="F1984" s="117" t="s">
        <v>39</v>
      </c>
      <c r="G1984" s="116"/>
      <c r="H1984" s="117"/>
      <c r="I1984" s="117"/>
      <c r="J1984" s="117"/>
      <c r="K1984" s="117"/>
      <c r="L1984" s="116"/>
      <c r="M1984" s="117"/>
      <c r="N1984" s="118" t="str">
        <f>IFERROR(__xludf.DUMMYFUNCTION("""COMPUTED_VALUE"""),"")</f>
        <v/>
      </c>
      <c r="O1984" s="116"/>
      <c r="P1984" s="116"/>
      <c r="Q1984" s="116"/>
      <c r="R1984" s="116" t="s">
        <v>39</v>
      </c>
      <c r="S1984" s="116" t="s">
        <v>39</v>
      </c>
      <c r="T1984" s="104" t="s">
        <v>5936</v>
      </c>
      <c r="U1984" s="116"/>
      <c r="V1984" s="104" t="s">
        <v>5936</v>
      </c>
      <c r="W1984" s="116"/>
    </row>
    <row r="1985">
      <c r="A1985" s="114" t="s">
        <v>39</v>
      </c>
      <c r="B1985" s="115"/>
      <c r="C1985" s="116"/>
      <c r="D1985" s="116"/>
      <c r="E1985" s="116" t="str">
        <f>IFERROR(__xludf.DUMMYFUNCTION("""COMPUTED_VALUE"""),"")</f>
        <v/>
      </c>
      <c r="F1985" s="117" t="s">
        <v>39</v>
      </c>
      <c r="G1985" s="116"/>
      <c r="H1985" s="117"/>
      <c r="I1985" s="117"/>
      <c r="J1985" s="117"/>
      <c r="K1985" s="117"/>
      <c r="L1985" s="116"/>
      <c r="M1985" s="117"/>
      <c r="N1985" s="118" t="str">
        <f>IFERROR(__xludf.DUMMYFUNCTION("""COMPUTED_VALUE"""),"")</f>
        <v/>
      </c>
      <c r="O1985" s="116"/>
      <c r="P1985" s="116"/>
      <c r="Q1985" s="116"/>
      <c r="R1985" s="116" t="s">
        <v>39</v>
      </c>
      <c r="S1985" s="116" t="s">
        <v>39</v>
      </c>
      <c r="T1985" s="104" t="s">
        <v>5937</v>
      </c>
      <c r="U1985" s="116"/>
      <c r="V1985" s="104" t="s">
        <v>5937</v>
      </c>
      <c r="W1985" s="116"/>
    </row>
    <row r="1986">
      <c r="A1986" s="114" t="s">
        <v>39</v>
      </c>
      <c r="B1986" s="115"/>
      <c r="C1986" s="116"/>
      <c r="D1986" s="116"/>
      <c r="E1986" s="116" t="str">
        <f>IFERROR(__xludf.DUMMYFUNCTION("""COMPUTED_VALUE"""),"")</f>
        <v/>
      </c>
      <c r="F1986" s="117" t="s">
        <v>39</v>
      </c>
      <c r="G1986" s="116"/>
      <c r="H1986" s="117"/>
      <c r="I1986" s="117"/>
      <c r="J1986" s="117"/>
      <c r="K1986" s="117"/>
      <c r="L1986" s="116"/>
      <c r="M1986" s="117"/>
      <c r="N1986" s="118" t="str">
        <f>IFERROR(__xludf.DUMMYFUNCTION("""COMPUTED_VALUE"""),"")</f>
        <v/>
      </c>
      <c r="O1986" s="116"/>
      <c r="P1986" s="116"/>
      <c r="Q1986" s="116"/>
      <c r="R1986" s="116" t="s">
        <v>39</v>
      </c>
      <c r="S1986" s="116" t="s">
        <v>39</v>
      </c>
      <c r="T1986" s="104" t="s">
        <v>5938</v>
      </c>
      <c r="U1986" s="116"/>
      <c r="V1986" s="104" t="s">
        <v>5938</v>
      </c>
      <c r="W1986" s="116"/>
    </row>
    <row r="1987">
      <c r="A1987" s="114" t="s">
        <v>39</v>
      </c>
      <c r="B1987" s="115"/>
      <c r="C1987" s="116"/>
      <c r="D1987" s="116"/>
      <c r="E1987" s="116" t="str">
        <f>IFERROR(__xludf.DUMMYFUNCTION("""COMPUTED_VALUE"""),"")</f>
        <v/>
      </c>
      <c r="F1987" s="117" t="s">
        <v>39</v>
      </c>
      <c r="G1987" s="116"/>
      <c r="H1987" s="117"/>
      <c r="I1987" s="117"/>
      <c r="J1987" s="117"/>
      <c r="K1987" s="117"/>
      <c r="L1987" s="116"/>
      <c r="M1987" s="117"/>
      <c r="N1987" s="118" t="str">
        <f>IFERROR(__xludf.DUMMYFUNCTION("""COMPUTED_VALUE"""),"")</f>
        <v/>
      </c>
      <c r="O1987" s="116"/>
      <c r="P1987" s="116"/>
      <c r="Q1987" s="116"/>
      <c r="R1987" s="116" t="s">
        <v>39</v>
      </c>
      <c r="S1987" s="116" t="s">
        <v>39</v>
      </c>
      <c r="T1987" s="104" t="s">
        <v>5939</v>
      </c>
      <c r="U1987" s="116"/>
      <c r="V1987" s="104" t="s">
        <v>5939</v>
      </c>
      <c r="W1987" s="116"/>
    </row>
    <row r="1988">
      <c r="A1988" s="114" t="s">
        <v>39</v>
      </c>
      <c r="B1988" s="115"/>
      <c r="C1988" s="116"/>
      <c r="D1988" s="116"/>
      <c r="E1988" s="116" t="str">
        <f>IFERROR(__xludf.DUMMYFUNCTION("""COMPUTED_VALUE"""),"")</f>
        <v/>
      </c>
      <c r="F1988" s="117" t="s">
        <v>39</v>
      </c>
      <c r="G1988" s="116"/>
      <c r="H1988" s="117"/>
      <c r="I1988" s="117"/>
      <c r="J1988" s="117"/>
      <c r="K1988" s="117"/>
      <c r="L1988" s="116"/>
      <c r="M1988" s="117"/>
      <c r="N1988" s="118" t="str">
        <f>IFERROR(__xludf.DUMMYFUNCTION("""COMPUTED_VALUE"""),"")</f>
        <v/>
      </c>
      <c r="O1988" s="116"/>
      <c r="P1988" s="116"/>
      <c r="Q1988" s="116"/>
      <c r="R1988" s="116" t="s">
        <v>39</v>
      </c>
      <c r="S1988" s="116" t="s">
        <v>39</v>
      </c>
      <c r="T1988" s="104" t="s">
        <v>5940</v>
      </c>
      <c r="U1988" s="116"/>
      <c r="V1988" s="104" t="s">
        <v>5940</v>
      </c>
      <c r="W1988" s="116"/>
    </row>
    <row r="1989">
      <c r="A1989" s="114" t="s">
        <v>39</v>
      </c>
      <c r="B1989" s="115"/>
      <c r="C1989" s="116"/>
      <c r="D1989" s="116"/>
      <c r="E1989" s="116" t="str">
        <f>IFERROR(__xludf.DUMMYFUNCTION("""COMPUTED_VALUE"""),"")</f>
        <v/>
      </c>
      <c r="F1989" s="117" t="s">
        <v>39</v>
      </c>
      <c r="G1989" s="116"/>
      <c r="H1989" s="117"/>
      <c r="I1989" s="117"/>
      <c r="J1989" s="117"/>
      <c r="K1989" s="117"/>
      <c r="L1989" s="116"/>
      <c r="M1989" s="117"/>
      <c r="N1989" s="118" t="str">
        <f>IFERROR(__xludf.DUMMYFUNCTION("""COMPUTED_VALUE"""),"")</f>
        <v/>
      </c>
      <c r="O1989" s="116"/>
      <c r="P1989" s="116"/>
      <c r="Q1989" s="116"/>
      <c r="R1989" s="116" t="s">
        <v>39</v>
      </c>
      <c r="S1989" s="116" t="s">
        <v>39</v>
      </c>
      <c r="T1989" s="104" t="s">
        <v>5941</v>
      </c>
      <c r="U1989" s="116"/>
      <c r="V1989" s="104" t="s">
        <v>5941</v>
      </c>
      <c r="W1989" s="116"/>
    </row>
    <row r="1990">
      <c r="A1990" s="114" t="s">
        <v>39</v>
      </c>
      <c r="B1990" s="115"/>
      <c r="C1990" s="116"/>
      <c r="D1990" s="116"/>
      <c r="E1990" s="116" t="str">
        <f>IFERROR(__xludf.DUMMYFUNCTION("""COMPUTED_VALUE"""),"")</f>
        <v/>
      </c>
      <c r="F1990" s="117" t="s">
        <v>39</v>
      </c>
      <c r="G1990" s="116"/>
      <c r="H1990" s="117"/>
      <c r="I1990" s="117"/>
      <c r="J1990" s="117"/>
      <c r="K1990" s="117"/>
      <c r="L1990" s="116"/>
      <c r="M1990" s="117"/>
      <c r="N1990" s="118" t="str">
        <f>IFERROR(__xludf.DUMMYFUNCTION("""COMPUTED_VALUE"""),"")</f>
        <v/>
      </c>
      <c r="O1990" s="116"/>
      <c r="P1990" s="116"/>
      <c r="Q1990" s="116"/>
      <c r="R1990" s="116" t="s">
        <v>39</v>
      </c>
      <c r="S1990" s="116" t="s">
        <v>39</v>
      </c>
      <c r="T1990" s="104" t="s">
        <v>5942</v>
      </c>
      <c r="U1990" s="116"/>
      <c r="V1990" s="104" t="s">
        <v>5942</v>
      </c>
      <c r="W1990" s="116"/>
    </row>
    <row r="1991">
      <c r="A1991" s="114" t="s">
        <v>39</v>
      </c>
      <c r="B1991" s="115"/>
      <c r="C1991" s="116"/>
      <c r="D1991" s="116"/>
      <c r="E1991" s="116" t="str">
        <f>IFERROR(__xludf.DUMMYFUNCTION("""COMPUTED_VALUE"""),"")</f>
        <v/>
      </c>
      <c r="F1991" s="117" t="s">
        <v>39</v>
      </c>
      <c r="G1991" s="116"/>
      <c r="H1991" s="117"/>
      <c r="I1991" s="117"/>
      <c r="J1991" s="117"/>
      <c r="K1991" s="117"/>
      <c r="L1991" s="116"/>
      <c r="M1991" s="117"/>
      <c r="N1991" s="118" t="str">
        <f>IFERROR(__xludf.DUMMYFUNCTION("""COMPUTED_VALUE"""),"")</f>
        <v/>
      </c>
      <c r="O1991" s="116"/>
      <c r="P1991" s="116"/>
      <c r="Q1991" s="116"/>
      <c r="R1991" s="116" t="s">
        <v>39</v>
      </c>
      <c r="S1991" s="116" t="s">
        <v>39</v>
      </c>
      <c r="T1991" s="104" t="s">
        <v>5943</v>
      </c>
      <c r="U1991" s="116"/>
      <c r="V1991" s="104" t="s">
        <v>5943</v>
      </c>
      <c r="W1991" s="116"/>
    </row>
    <row r="1992">
      <c r="A1992" s="114" t="s">
        <v>39</v>
      </c>
      <c r="B1992" s="115"/>
      <c r="C1992" s="116"/>
      <c r="D1992" s="116"/>
      <c r="E1992" s="116" t="str">
        <f>IFERROR(__xludf.DUMMYFUNCTION("""COMPUTED_VALUE"""),"")</f>
        <v/>
      </c>
      <c r="F1992" s="117" t="s">
        <v>39</v>
      </c>
      <c r="G1992" s="116"/>
      <c r="H1992" s="117"/>
      <c r="I1992" s="117"/>
      <c r="J1992" s="117"/>
      <c r="K1992" s="117"/>
      <c r="L1992" s="116"/>
      <c r="M1992" s="117"/>
      <c r="N1992" s="118" t="str">
        <f>IFERROR(__xludf.DUMMYFUNCTION("""COMPUTED_VALUE"""),"")</f>
        <v/>
      </c>
      <c r="O1992" s="116"/>
      <c r="P1992" s="116"/>
      <c r="Q1992" s="116"/>
      <c r="R1992" s="116" t="s">
        <v>39</v>
      </c>
      <c r="S1992" s="116" t="s">
        <v>39</v>
      </c>
      <c r="T1992" s="104" t="s">
        <v>5944</v>
      </c>
      <c r="U1992" s="116"/>
      <c r="V1992" s="104" t="s">
        <v>5944</v>
      </c>
      <c r="W1992" s="116"/>
    </row>
    <row r="1993">
      <c r="A1993" s="114" t="s">
        <v>39</v>
      </c>
      <c r="B1993" s="115"/>
      <c r="C1993" s="116"/>
      <c r="D1993" s="116"/>
      <c r="E1993" s="116" t="str">
        <f>IFERROR(__xludf.DUMMYFUNCTION("""COMPUTED_VALUE"""),"")</f>
        <v/>
      </c>
      <c r="F1993" s="117" t="s">
        <v>39</v>
      </c>
      <c r="G1993" s="116"/>
      <c r="H1993" s="117"/>
      <c r="I1993" s="117"/>
      <c r="J1993" s="117"/>
      <c r="K1993" s="117"/>
      <c r="L1993" s="116"/>
      <c r="M1993" s="117"/>
      <c r="N1993" s="118" t="str">
        <f>IFERROR(__xludf.DUMMYFUNCTION("""COMPUTED_VALUE"""),"")</f>
        <v/>
      </c>
      <c r="O1993" s="116"/>
      <c r="P1993" s="116"/>
      <c r="Q1993" s="116"/>
      <c r="R1993" s="116" t="s">
        <v>39</v>
      </c>
      <c r="S1993" s="116" t="s">
        <v>39</v>
      </c>
      <c r="T1993" s="104" t="s">
        <v>5945</v>
      </c>
      <c r="U1993" s="116"/>
      <c r="V1993" s="104" t="s">
        <v>5945</v>
      </c>
      <c r="W1993" s="116"/>
    </row>
    <row r="1994">
      <c r="A1994" s="114" t="s">
        <v>39</v>
      </c>
      <c r="B1994" s="115"/>
      <c r="C1994" s="116"/>
      <c r="D1994" s="116"/>
      <c r="E1994" s="116" t="str">
        <f>IFERROR(__xludf.DUMMYFUNCTION("""COMPUTED_VALUE"""),"")</f>
        <v/>
      </c>
      <c r="F1994" s="117" t="s">
        <v>39</v>
      </c>
      <c r="G1994" s="116"/>
      <c r="H1994" s="117"/>
      <c r="I1994" s="117"/>
      <c r="J1994" s="117"/>
      <c r="K1994" s="117"/>
      <c r="L1994" s="116"/>
      <c r="M1994" s="117"/>
      <c r="N1994" s="118" t="str">
        <f>IFERROR(__xludf.DUMMYFUNCTION("""COMPUTED_VALUE"""),"")</f>
        <v/>
      </c>
      <c r="O1994" s="116"/>
      <c r="P1994" s="116"/>
      <c r="Q1994" s="116"/>
      <c r="R1994" s="116" t="s">
        <v>39</v>
      </c>
      <c r="S1994" s="116" t="s">
        <v>39</v>
      </c>
      <c r="T1994" s="104" t="s">
        <v>5946</v>
      </c>
      <c r="U1994" s="116"/>
      <c r="V1994" s="104" t="s">
        <v>5946</v>
      </c>
      <c r="W1994" s="116"/>
    </row>
    <row r="1995">
      <c r="A1995" s="114" t="s">
        <v>39</v>
      </c>
      <c r="B1995" s="115"/>
      <c r="C1995" s="116"/>
      <c r="D1995" s="116"/>
      <c r="E1995" s="116" t="str">
        <f>IFERROR(__xludf.DUMMYFUNCTION("""COMPUTED_VALUE"""),"")</f>
        <v/>
      </c>
      <c r="F1995" s="117" t="s">
        <v>39</v>
      </c>
      <c r="G1995" s="116"/>
      <c r="H1995" s="117"/>
      <c r="I1995" s="117"/>
      <c r="J1995" s="117"/>
      <c r="K1995" s="117"/>
      <c r="L1995" s="116"/>
      <c r="M1995" s="117"/>
      <c r="N1995" s="118" t="str">
        <f>IFERROR(__xludf.DUMMYFUNCTION("""COMPUTED_VALUE"""),"")</f>
        <v/>
      </c>
      <c r="O1995" s="116"/>
      <c r="P1995" s="116"/>
      <c r="Q1995" s="116"/>
      <c r="R1995" s="116" t="s">
        <v>39</v>
      </c>
      <c r="S1995" s="116" t="s">
        <v>39</v>
      </c>
      <c r="T1995" s="104" t="s">
        <v>5947</v>
      </c>
      <c r="U1995" s="116"/>
      <c r="V1995" s="104" t="s">
        <v>5947</v>
      </c>
      <c r="W1995" s="116"/>
    </row>
    <row r="1996">
      <c r="A1996" s="114" t="s">
        <v>39</v>
      </c>
      <c r="B1996" s="115"/>
      <c r="C1996" s="116"/>
      <c r="D1996" s="116"/>
      <c r="E1996" s="116" t="str">
        <f>IFERROR(__xludf.DUMMYFUNCTION("""COMPUTED_VALUE"""),"")</f>
        <v/>
      </c>
      <c r="F1996" s="117" t="s">
        <v>39</v>
      </c>
      <c r="G1996" s="116"/>
      <c r="H1996" s="117"/>
      <c r="I1996" s="117"/>
      <c r="J1996" s="117"/>
      <c r="K1996" s="117"/>
      <c r="L1996" s="116"/>
      <c r="M1996" s="117"/>
      <c r="N1996" s="118" t="str">
        <f>IFERROR(__xludf.DUMMYFUNCTION("""COMPUTED_VALUE"""),"")</f>
        <v/>
      </c>
      <c r="O1996" s="116"/>
      <c r="P1996" s="116"/>
      <c r="Q1996" s="116"/>
      <c r="R1996" s="116" t="s">
        <v>39</v>
      </c>
      <c r="S1996" s="116" t="s">
        <v>39</v>
      </c>
      <c r="T1996" s="104" t="s">
        <v>5948</v>
      </c>
      <c r="U1996" s="116"/>
      <c r="V1996" s="104" t="s">
        <v>5948</v>
      </c>
      <c r="W1996" s="116"/>
    </row>
    <row r="1997">
      <c r="A1997" s="114" t="s">
        <v>39</v>
      </c>
      <c r="B1997" s="115"/>
      <c r="C1997" s="116"/>
      <c r="D1997" s="116"/>
      <c r="E1997" s="116" t="str">
        <f>IFERROR(__xludf.DUMMYFUNCTION("""COMPUTED_VALUE"""),"")</f>
        <v/>
      </c>
      <c r="F1997" s="117" t="s">
        <v>39</v>
      </c>
      <c r="G1997" s="116"/>
      <c r="H1997" s="117"/>
      <c r="I1997" s="117"/>
      <c r="J1997" s="117"/>
      <c r="K1997" s="117"/>
      <c r="L1997" s="116"/>
      <c r="M1997" s="117"/>
      <c r="N1997" s="118" t="str">
        <f>IFERROR(__xludf.DUMMYFUNCTION("""COMPUTED_VALUE"""),"")</f>
        <v/>
      </c>
      <c r="O1997" s="116"/>
      <c r="P1997" s="116"/>
      <c r="Q1997" s="116"/>
      <c r="R1997" s="116" t="s">
        <v>39</v>
      </c>
      <c r="S1997" s="116" t="s">
        <v>39</v>
      </c>
      <c r="T1997" s="104" t="s">
        <v>5949</v>
      </c>
      <c r="U1997" s="116"/>
      <c r="V1997" s="104" t="s">
        <v>5949</v>
      </c>
      <c r="W1997" s="116"/>
    </row>
    <row r="1998">
      <c r="A1998" s="114" t="s">
        <v>39</v>
      </c>
      <c r="B1998" s="115"/>
      <c r="C1998" s="116"/>
      <c r="D1998" s="116"/>
      <c r="E1998" s="116" t="str">
        <f>IFERROR(__xludf.DUMMYFUNCTION("""COMPUTED_VALUE"""),"")</f>
        <v/>
      </c>
      <c r="F1998" s="117" t="s">
        <v>39</v>
      </c>
      <c r="G1998" s="116"/>
      <c r="H1998" s="117"/>
      <c r="I1998" s="117"/>
      <c r="J1998" s="117"/>
      <c r="K1998" s="117"/>
      <c r="L1998" s="116"/>
      <c r="M1998" s="117"/>
      <c r="N1998" s="118" t="str">
        <f>IFERROR(__xludf.DUMMYFUNCTION("""COMPUTED_VALUE"""),"")</f>
        <v/>
      </c>
      <c r="O1998" s="116"/>
      <c r="P1998" s="116"/>
      <c r="Q1998" s="116"/>
      <c r="R1998" s="116" t="s">
        <v>39</v>
      </c>
      <c r="S1998" s="116" t="s">
        <v>39</v>
      </c>
      <c r="T1998" s="104" t="s">
        <v>5950</v>
      </c>
      <c r="U1998" s="116"/>
      <c r="V1998" s="104" t="s">
        <v>5950</v>
      </c>
      <c r="W1998" s="116"/>
    </row>
    <row r="1999">
      <c r="A1999" s="114" t="s">
        <v>39</v>
      </c>
      <c r="B1999" s="115"/>
      <c r="C1999" s="116"/>
      <c r="D1999" s="116"/>
      <c r="E1999" s="116" t="str">
        <f>IFERROR(__xludf.DUMMYFUNCTION("""COMPUTED_VALUE"""),"")</f>
        <v/>
      </c>
      <c r="F1999" s="117" t="s">
        <v>39</v>
      </c>
      <c r="G1999" s="116"/>
      <c r="H1999" s="117"/>
      <c r="I1999" s="117"/>
      <c r="J1999" s="117"/>
      <c r="K1999" s="117"/>
      <c r="L1999" s="116"/>
      <c r="M1999" s="117"/>
      <c r="N1999" s="118" t="str">
        <f>IFERROR(__xludf.DUMMYFUNCTION("""COMPUTED_VALUE"""),"")</f>
        <v/>
      </c>
      <c r="O1999" s="116"/>
      <c r="P1999" s="116"/>
      <c r="Q1999" s="116"/>
      <c r="R1999" s="116" t="s">
        <v>39</v>
      </c>
      <c r="S1999" s="116" t="s">
        <v>39</v>
      </c>
      <c r="T1999" s="104" t="s">
        <v>5951</v>
      </c>
      <c r="U1999" s="116"/>
      <c r="V1999" s="104" t="s">
        <v>5951</v>
      </c>
      <c r="W1999" s="116"/>
    </row>
    <row r="2000">
      <c r="A2000" s="114" t="s">
        <v>39</v>
      </c>
      <c r="B2000" s="115"/>
      <c r="C2000" s="116"/>
      <c r="D2000" s="116"/>
      <c r="E2000" s="116" t="str">
        <f>IFERROR(__xludf.DUMMYFUNCTION("""COMPUTED_VALUE"""),"")</f>
        <v/>
      </c>
      <c r="F2000" s="117" t="s">
        <v>39</v>
      </c>
      <c r="G2000" s="116"/>
      <c r="H2000" s="117"/>
      <c r="I2000" s="117"/>
      <c r="J2000" s="117"/>
      <c r="K2000" s="117"/>
      <c r="L2000" s="116"/>
      <c r="M2000" s="117"/>
      <c r="N2000" s="118" t="str">
        <f>IFERROR(__xludf.DUMMYFUNCTION("""COMPUTED_VALUE"""),"")</f>
        <v/>
      </c>
      <c r="O2000" s="116"/>
      <c r="P2000" s="116"/>
      <c r="Q2000" s="116"/>
      <c r="R2000" s="116" t="s">
        <v>39</v>
      </c>
      <c r="S2000" s="116" t="s">
        <v>39</v>
      </c>
      <c r="T2000" s="104" t="s">
        <v>5952</v>
      </c>
      <c r="U2000" s="116"/>
      <c r="V2000" s="104" t="s">
        <v>5952</v>
      </c>
      <c r="W2000" s="116"/>
    </row>
    <row r="2001">
      <c r="A2001" s="114" t="s">
        <v>39</v>
      </c>
      <c r="B2001" s="115"/>
      <c r="C2001" s="116"/>
      <c r="D2001" s="116"/>
      <c r="E2001" s="116" t="str">
        <f>IFERROR(__xludf.DUMMYFUNCTION("""COMPUTED_VALUE"""),"")</f>
        <v/>
      </c>
      <c r="F2001" s="117" t="s">
        <v>39</v>
      </c>
      <c r="G2001" s="116"/>
      <c r="H2001" s="117"/>
      <c r="I2001" s="117"/>
      <c r="J2001" s="117"/>
      <c r="K2001" s="117"/>
      <c r="L2001" s="116"/>
      <c r="M2001" s="117"/>
      <c r="N2001" s="118" t="str">
        <f>IFERROR(__xludf.DUMMYFUNCTION("""COMPUTED_VALUE"""),"")</f>
        <v/>
      </c>
      <c r="O2001" s="116"/>
      <c r="P2001" s="116"/>
      <c r="Q2001" s="116"/>
      <c r="R2001" s="116" t="s">
        <v>39</v>
      </c>
      <c r="S2001" s="116" t="s">
        <v>39</v>
      </c>
      <c r="T2001" s="104"/>
      <c r="U2001" s="116"/>
      <c r="V2001" s="104"/>
      <c r="W2001" s="116"/>
    </row>
    <row r="2002">
      <c r="A2002" s="114" t="s">
        <v>39</v>
      </c>
      <c r="B2002" s="115"/>
      <c r="C2002" s="116"/>
      <c r="D2002" s="116"/>
      <c r="E2002" s="116" t="str">
        <f>IFERROR(__xludf.DUMMYFUNCTION("""COMPUTED_VALUE"""),"")</f>
        <v/>
      </c>
      <c r="F2002" s="117" t="s">
        <v>39</v>
      </c>
      <c r="G2002" s="116"/>
      <c r="H2002" s="117"/>
      <c r="I2002" s="117"/>
      <c r="J2002" s="117"/>
      <c r="K2002" s="117"/>
      <c r="L2002" s="116"/>
      <c r="M2002" s="117"/>
      <c r="N2002" s="118" t="str">
        <f>IFERROR(__xludf.DUMMYFUNCTION("""COMPUTED_VALUE"""),"")</f>
        <v/>
      </c>
      <c r="O2002" s="116"/>
      <c r="P2002" s="116"/>
      <c r="Q2002" s="116"/>
      <c r="R2002" s="116" t="s">
        <v>39</v>
      </c>
      <c r="S2002" s="116" t="s">
        <v>39</v>
      </c>
      <c r="T2002" s="104"/>
      <c r="U2002" s="116"/>
      <c r="V2002" s="104"/>
      <c r="W2002" s="116"/>
    </row>
    <row r="2003">
      <c r="A2003" s="114" t="s">
        <v>39</v>
      </c>
      <c r="B2003" s="115"/>
      <c r="C2003" s="116"/>
      <c r="D2003" s="116"/>
      <c r="E2003" s="116" t="str">
        <f>IFERROR(__xludf.DUMMYFUNCTION("""COMPUTED_VALUE"""),"")</f>
        <v/>
      </c>
      <c r="F2003" s="117" t="s">
        <v>39</v>
      </c>
      <c r="G2003" s="116"/>
      <c r="H2003" s="117"/>
      <c r="I2003" s="117"/>
      <c r="J2003" s="117"/>
      <c r="K2003" s="117"/>
      <c r="L2003" s="116"/>
      <c r="M2003" s="117"/>
      <c r="N2003" s="118" t="str">
        <f>IFERROR(__xludf.DUMMYFUNCTION("""COMPUTED_VALUE"""),"")</f>
        <v/>
      </c>
      <c r="O2003" s="116"/>
      <c r="P2003" s="116"/>
      <c r="Q2003" s="116"/>
      <c r="R2003" s="116" t="s">
        <v>39</v>
      </c>
      <c r="S2003" s="116" t="s">
        <v>39</v>
      </c>
      <c r="T2003" s="104"/>
      <c r="U2003" s="116"/>
      <c r="V2003" s="104"/>
      <c r="W2003" s="116"/>
    </row>
    <row r="2004">
      <c r="A2004" s="114" t="s">
        <v>39</v>
      </c>
      <c r="B2004" s="115"/>
      <c r="C2004" s="116"/>
      <c r="D2004" s="116"/>
      <c r="E2004" s="116" t="str">
        <f>IFERROR(__xludf.DUMMYFUNCTION("""COMPUTED_VALUE"""),"")</f>
        <v/>
      </c>
      <c r="F2004" s="117" t="s">
        <v>39</v>
      </c>
      <c r="G2004" s="116"/>
      <c r="H2004" s="117"/>
      <c r="I2004" s="117"/>
      <c r="J2004" s="117"/>
      <c r="K2004" s="117"/>
      <c r="L2004" s="116"/>
      <c r="M2004" s="117"/>
      <c r="N2004" s="118" t="str">
        <f>IFERROR(__xludf.DUMMYFUNCTION("""COMPUTED_VALUE"""),"")</f>
        <v/>
      </c>
      <c r="O2004" s="116"/>
      <c r="P2004" s="116"/>
      <c r="Q2004" s="116"/>
      <c r="R2004" s="116" t="s">
        <v>39</v>
      </c>
      <c r="S2004" s="116" t="s">
        <v>39</v>
      </c>
      <c r="T2004" s="104"/>
      <c r="U2004" s="116"/>
      <c r="V2004" s="104"/>
      <c r="W2004" s="116"/>
    </row>
    <row r="2005">
      <c r="A2005" s="114" t="s">
        <v>39</v>
      </c>
      <c r="B2005" s="115"/>
      <c r="C2005" s="116"/>
      <c r="D2005" s="116"/>
      <c r="E2005" s="116" t="str">
        <f>IFERROR(__xludf.DUMMYFUNCTION("""COMPUTED_VALUE"""),"")</f>
        <v/>
      </c>
      <c r="F2005" s="117" t="s">
        <v>39</v>
      </c>
      <c r="G2005" s="116"/>
      <c r="H2005" s="117"/>
      <c r="I2005" s="117"/>
      <c r="J2005" s="117"/>
      <c r="K2005" s="117"/>
      <c r="L2005" s="116"/>
      <c r="M2005" s="117"/>
      <c r="N2005" s="118" t="str">
        <f>IFERROR(__xludf.DUMMYFUNCTION("""COMPUTED_VALUE"""),"")</f>
        <v/>
      </c>
      <c r="O2005" s="116"/>
      <c r="P2005" s="116"/>
      <c r="Q2005" s="116"/>
      <c r="R2005" s="116" t="s">
        <v>39</v>
      </c>
      <c r="S2005" s="116" t="s">
        <v>39</v>
      </c>
      <c r="T2005" s="104"/>
      <c r="U2005" s="116"/>
      <c r="V2005" s="104"/>
      <c r="W2005" s="116"/>
    </row>
    <row r="2006">
      <c r="A2006" s="114" t="s">
        <v>39</v>
      </c>
      <c r="B2006" s="115"/>
      <c r="C2006" s="116"/>
      <c r="D2006" s="116"/>
      <c r="E2006" s="116" t="str">
        <f>IFERROR(__xludf.DUMMYFUNCTION("""COMPUTED_VALUE"""),"")</f>
        <v/>
      </c>
      <c r="F2006" s="117" t="s">
        <v>39</v>
      </c>
      <c r="G2006" s="116"/>
      <c r="H2006" s="117"/>
      <c r="I2006" s="117"/>
      <c r="J2006" s="117"/>
      <c r="K2006" s="117"/>
      <c r="L2006" s="116"/>
      <c r="M2006" s="117"/>
      <c r="N2006" s="118" t="str">
        <f>IFERROR(__xludf.DUMMYFUNCTION("""COMPUTED_VALUE"""),"")</f>
        <v/>
      </c>
      <c r="O2006" s="116"/>
      <c r="P2006" s="116"/>
      <c r="Q2006" s="116"/>
      <c r="R2006" s="116" t="s">
        <v>39</v>
      </c>
      <c r="S2006" s="116" t="s">
        <v>39</v>
      </c>
      <c r="T2006" s="104"/>
      <c r="U2006" s="116"/>
      <c r="V2006" s="104"/>
      <c r="W2006" s="116"/>
    </row>
    <row r="2007">
      <c r="A2007" s="114" t="s">
        <v>39</v>
      </c>
      <c r="B2007" s="115"/>
      <c r="C2007" s="116"/>
      <c r="D2007" s="116"/>
      <c r="E2007" s="116" t="str">
        <f>IFERROR(__xludf.DUMMYFUNCTION("""COMPUTED_VALUE"""),"")</f>
        <v/>
      </c>
      <c r="F2007" s="117" t="s">
        <v>39</v>
      </c>
      <c r="G2007" s="116"/>
      <c r="H2007" s="117"/>
      <c r="I2007" s="117"/>
      <c r="J2007" s="117"/>
      <c r="K2007" s="117"/>
      <c r="L2007" s="116"/>
      <c r="M2007" s="117"/>
      <c r="N2007" s="118" t="str">
        <f>IFERROR(__xludf.DUMMYFUNCTION("""COMPUTED_VALUE"""),"")</f>
        <v/>
      </c>
      <c r="O2007" s="116"/>
      <c r="P2007" s="116"/>
      <c r="Q2007" s="116"/>
      <c r="R2007" s="116" t="s">
        <v>39</v>
      </c>
      <c r="S2007" s="116" t="s">
        <v>39</v>
      </c>
      <c r="T2007" s="104"/>
      <c r="U2007" s="116"/>
      <c r="V2007" s="104"/>
      <c r="W2007" s="116"/>
    </row>
    <row r="2008">
      <c r="A2008" s="114" t="s">
        <v>39</v>
      </c>
      <c r="B2008" s="115"/>
      <c r="C2008" s="116"/>
      <c r="D2008" s="116"/>
      <c r="E2008" s="116" t="str">
        <f>IFERROR(__xludf.DUMMYFUNCTION("""COMPUTED_VALUE"""),"")</f>
        <v/>
      </c>
      <c r="F2008" s="117" t="s">
        <v>39</v>
      </c>
      <c r="G2008" s="116"/>
      <c r="H2008" s="117"/>
      <c r="I2008" s="117"/>
      <c r="J2008" s="117"/>
      <c r="K2008" s="117"/>
      <c r="L2008" s="116"/>
      <c r="M2008" s="117"/>
      <c r="N2008" s="118" t="str">
        <f>IFERROR(__xludf.DUMMYFUNCTION("""COMPUTED_VALUE"""),"")</f>
        <v/>
      </c>
      <c r="O2008" s="116"/>
      <c r="P2008" s="116"/>
      <c r="Q2008" s="116"/>
      <c r="R2008" s="116" t="s">
        <v>39</v>
      </c>
      <c r="S2008" s="116" t="s">
        <v>39</v>
      </c>
      <c r="T2008" s="104"/>
      <c r="U2008" s="116"/>
      <c r="V2008" s="104"/>
      <c r="W2008" s="116"/>
    </row>
    <row r="2009">
      <c r="A2009" s="114" t="s">
        <v>39</v>
      </c>
      <c r="B2009" s="115"/>
      <c r="C2009" s="116"/>
      <c r="D2009" s="116"/>
      <c r="E2009" s="116" t="str">
        <f>IFERROR(__xludf.DUMMYFUNCTION("""COMPUTED_VALUE"""),"")</f>
        <v/>
      </c>
      <c r="F2009" s="117" t="s">
        <v>39</v>
      </c>
      <c r="G2009" s="116"/>
      <c r="H2009" s="117"/>
      <c r="I2009" s="117"/>
      <c r="J2009" s="117"/>
      <c r="K2009" s="117"/>
      <c r="L2009" s="116"/>
      <c r="M2009" s="117"/>
      <c r="N2009" s="118" t="str">
        <f>IFERROR(__xludf.DUMMYFUNCTION("""COMPUTED_VALUE"""),"")</f>
        <v/>
      </c>
      <c r="O2009" s="116"/>
      <c r="P2009" s="116"/>
      <c r="Q2009" s="116"/>
      <c r="R2009" s="116" t="s">
        <v>39</v>
      </c>
      <c r="S2009" s="116" t="s">
        <v>39</v>
      </c>
      <c r="T2009" s="104"/>
      <c r="U2009" s="116"/>
      <c r="V2009" s="104"/>
      <c r="W2009" s="116"/>
    </row>
    <row r="2010">
      <c r="A2010" s="114" t="s">
        <v>39</v>
      </c>
      <c r="B2010" s="115"/>
      <c r="C2010" s="116"/>
      <c r="D2010" s="116"/>
      <c r="E2010" s="116" t="str">
        <f>IFERROR(__xludf.DUMMYFUNCTION("""COMPUTED_VALUE"""),"")</f>
        <v/>
      </c>
      <c r="F2010" s="117" t="s">
        <v>39</v>
      </c>
      <c r="G2010" s="116"/>
      <c r="H2010" s="117"/>
      <c r="I2010" s="117"/>
      <c r="J2010" s="117"/>
      <c r="K2010" s="117"/>
      <c r="L2010" s="116"/>
      <c r="M2010" s="117"/>
      <c r="N2010" s="118" t="str">
        <f>IFERROR(__xludf.DUMMYFUNCTION("""COMPUTED_VALUE"""),"")</f>
        <v/>
      </c>
      <c r="O2010" s="116"/>
      <c r="P2010" s="116"/>
      <c r="Q2010" s="116"/>
      <c r="R2010" s="116" t="s">
        <v>39</v>
      </c>
      <c r="S2010" s="116" t="s">
        <v>39</v>
      </c>
      <c r="T2010" s="104"/>
      <c r="U2010" s="116"/>
      <c r="V2010" s="104"/>
      <c r="W2010" s="116"/>
    </row>
    <row r="2011">
      <c r="A2011" s="114" t="s">
        <v>39</v>
      </c>
      <c r="B2011" s="115"/>
      <c r="C2011" s="116"/>
      <c r="D2011" s="116"/>
      <c r="E2011" s="116" t="str">
        <f>IFERROR(__xludf.DUMMYFUNCTION("""COMPUTED_VALUE"""),"")</f>
        <v/>
      </c>
      <c r="F2011" s="117" t="s">
        <v>39</v>
      </c>
      <c r="G2011" s="116"/>
      <c r="H2011" s="117"/>
      <c r="I2011" s="117"/>
      <c r="J2011" s="117"/>
      <c r="K2011" s="117"/>
      <c r="L2011" s="116"/>
      <c r="M2011" s="117"/>
      <c r="N2011" s="118" t="str">
        <f>IFERROR(__xludf.DUMMYFUNCTION("""COMPUTED_VALUE"""),"")</f>
        <v/>
      </c>
      <c r="O2011" s="116"/>
      <c r="P2011" s="116"/>
      <c r="Q2011" s="116"/>
      <c r="R2011" s="116" t="s">
        <v>39</v>
      </c>
      <c r="S2011" s="116" t="s">
        <v>39</v>
      </c>
      <c r="T2011" s="104"/>
      <c r="U2011" s="116"/>
      <c r="V2011" s="104"/>
      <c r="W2011" s="116"/>
    </row>
    <row r="2012">
      <c r="A2012" s="114" t="s">
        <v>39</v>
      </c>
      <c r="B2012" s="115"/>
      <c r="C2012" s="116"/>
      <c r="D2012" s="116"/>
      <c r="E2012" s="116" t="str">
        <f>IFERROR(__xludf.DUMMYFUNCTION("""COMPUTED_VALUE"""),"")</f>
        <v/>
      </c>
      <c r="F2012" s="117" t="s">
        <v>39</v>
      </c>
      <c r="G2012" s="116"/>
      <c r="H2012" s="117"/>
      <c r="I2012" s="117"/>
      <c r="J2012" s="117"/>
      <c r="K2012" s="117"/>
      <c r="L2012" s="116"/>
      <c r="M2012" s="117"/>
      <c r="N2012" s="118" t="str">
        <f>IFERROR(__xludf.DUMMYFUNCTION("""COMPUTED_VALUE"""),"")</f>
        <v/>
      </c>
      <c r="O2012" s="116"/>
      <c r="P2012" s="116"/>
      <c r="Q2012" s="116"/>
      <c r="R2012" s="116" t="s">
        <v>39</v>
      </c>
      <c r="S2012" s="116" t="s">
        <v>39</v>
      </c>
      <c r="T2012" s="104"/>
      <c r="U2012" s="116"/>
      <c r="V2012" s="104"/>
      <c r="W2012" s="116"/>
    </row>
    <row r="2013">
      <c r="A2013" s="114" t="s">
        <v>39</v>
      </c>
      <c r="B2013" s="115"/>
      <c r="C2013" s="116"/>
      <c r="D2013" s="116"/>
      <c r="E2013" s="116" t="str">
        <f>IFERROR(__xludf.DUMMYFUNCTION("""COMPUTED_VALUE"""),"")</f>
        <v/>
      </c>
      <c r="F2013" s="117" t="s">
        <v>39</v>
      </c>
      <c r="G2013" s="116"/>
      <c r="H2013" s="117"/>
      <c r="I2013" s="117"/>
      <c r="J2013" s="117"/>
      <c r="K2013" s="117"/>
      <c r="L2013" s="116"/>
      <c r="M2013" s="117"/>
      <c r="N2013" s="118" t="str">
        <f>IFERROR(__xludf.DUMMYFUNCTION("""COMPUTED_VALUE"""),"")</f>
        <v/>
      </c>
      <c r="O2013" s="116"/>
      <c r="P2013" s="116"/>
      <c r="Q2013" s="116"/>
      <c r="R2013" s="116" t="s">
        <v>39</v>
      </c>
      <c r="S2013" s="116" t="s">
        <v>39</v>
      </c>
      <c r="T2013" s="104"/>
      <c r="U2013" s="116"/>
      <c r="V2013" s="104"/>
      <c r="W2013" s="116"/>
    </row>
    <row r="2014">
      <c r="A2014" s="114" t="s">
        <v>39</v>
      </c>
      <c r="B2014" s="115"/>
      <c r="C2014" s="116"/>
      <c r="D2014" s="116"/>
      <c r="E2014" s="116" t="str">
        <f>IFERROR(__xludf.DUMMYFUNCTION("""COMPUTED_VALUE"""),"")</f>
        <v/>
      </c>
      <c r="F2014" s="117" t="s">
        <v>39</v>
      </c>
      <c r="G2014" s="116"/>
      <c r="H2014" s="117"/>
      <c r="I2014" s="117"/>
      <c r="J2014" s="117"/>
      <c r="K2014" s="117"/>
      <c r="L2014" s="116"/>
      <c r="M2014" s="117"/>
      <c r="N2014" s="118" t="str">
        <f>IFERROR(__xludf.DUMMYFUNCTION("""COMPUTED_VALUE"""),"")</f>
        <v/>
      </c>
      <c r="O2014" s="116"/>
      <c r="P2014" s="116"/>
      <c r="Q2014" s="116"/>
      <c r="R2014" s="116" t="s">
        <v>39</v>
      </c>
      <c r="S2014" s="116" t="s">
        <v>39</v>
      </c>
      <c r="T2014" s="104"/>
      <c r="U2014" s="116"/>
      <c r="V2014" s="104"/>
      <c r="W2014" s="116"/>
    </row>
    <row r="2015">
      <c r="A2015" s="114" t="s">
        <v>39</v>
      </c>
      <c r="B2015" s="115"/>
      <c r="C2015" s="116"/>
      <c r="D2015" s="116"/>
      <c r="E2015" s="116" t="str">
        <f>IFERROR(__xludf.DUMMYFUNCTION("""COMPUTED_VALUE"""),"")</f>
        <v/>
      </c>
      <c r="F2015" s="117" t="s">
        <v>39</v>
      </c>
      <c r="G2015" s="116"/>
      <c r="H2015" s="117"/>
      <c r="I2015" s="117"/>
      <c r="J2015" s="117"/>
      <c r="K2015" s="117"/>
      <c r="L2015" s="116"/>
      <c r="M2015" s="117"/>
      <c r="N2015" s="118" t="str">
        <f>IFERROR(__xludf.DUMMYFUNCTION("""COMPUTED_VALUE"""),"")</f>
        <v/>
      </c>
      <c r="O2015" s="116"/>
      <c r="P2015" s="116"/>
      <c r="Q2015" s="116"/>
      <c r="R2015" s="116" t="s">
        <v>39</v>
      </c>
      <c r="S2015" s="116" t="s">
        <v>39</v>
      </c>
      <c r="T2015" s="104"/>
      <c r="U2015" s="116"/>
      <c r="V2015" s="104"/>
      <c r="W2015" s="116"/>
    </row>
    <row r="2016">
      <c r="A2016" s="114" t="s">
        <v>39</v>
      </c>
      <c r="B2016" s="115"/>
      <c r="C2016" s="116"/>
      <c r="D2016" s="116"/>
      <c r="E2016" s="116" t="str">
        <f>IFERROR(__xludf.DUMMYFUNCTION("""COMPUTED_VALUE"""),"")</f>
        <v/>
      </c>
      <c r="F2016" s="117" t="s">
        <v>39</v>
      </c>
      <c r="G2016" s="116"/>
      <c r="H2016" s="117"/>
      <c r="I2016" s="117"/>
      <c r="J2016" s="117"/>
      <c r="K2016" s="117"/>
      <c r="L2016" s="116"/>
      <c r="M2016" s="117"/>
      <c r="N2016" s="118" t="str">
        <f>IFERROR(__xludf.DUMMYFUNCTION("""COMPUTED_VALUE"""),"")</f>
        <v/>
      </c>
      <c r="O2016" s="116"/>
      <c r="P2016" s="116"/>
      <c r="Q2016" s="116"/>
      <c r="R2016" s="116" t="s">
        <v>39</v>
      </c>
      <c r="S2016" s="116" t="s">
        <v>39</v>
      </c>
      <c r="T2016" s="104"/>
      <c r="U2016" s="116"/>
      <c r="V2016" s="104"/>
      <c r="W2016" s="116"/>
    </row>
    <row r="2017">
      <c r="A2017" s="114" t="s">
        <v>39</v>
      </c>
      <c r="B2017" s="115"/>
      <c r="C2017" s="116"/>
      <c r="D2017" s="116"/>
      <c r="E2017" s="116" t="str">
        <f>IFERROR(__xludf.DUMMYFUNCTION("""COMPUTED_VALUE"""),"")</f>
        <v/>
      </c>
      <c r="F2017" s="117" t="s">
        <v>39</v>
      </c>
      <c r="G2017" s="116"/>
      <c r="H2017" s="117"/>
      <c r="I2017" s="117"/>
      <c r="J2017" s="117"/>
      <c r="K2017" s="117"/>
      <c r="L2017" s="116"/>
      <c r="M2017" s="117"/>
      <c r="N2017" s="118" t="str">
        <f>IFERROR(__xludf.DUMMYFUNCTION("""COMPUTED_VALUE"""),"")</f>
        <v/>
      </c>
      <c r="O2017" s="116"/>
      <c r="P2017" s="116"/>
      <c r="Q2017" s="116"/>
      <c r="R2017" s="116" t="s">
        <v>39</v>
      </c>
      <c r="S2017" s="116" t="s">
        <v>39</v>
      </c>
      <c r="T2017" s="104"/>
      <c r="U2017" s="116"/>
      <c r="V2017" s="104"/>
      <c r="W2017" s="116"/>
    </row>
    <row r="2018">
      <c r="A2018" s="114" t="s">
        <v>39</v>
      </c>
      <c r="B2018" s="115"/>
      <c r="C2018" s="116"/>
      <c r="D2018" s="116"/>
      <c r="E2018" s="116" t="str">
        <f>IFERROR(__xludf.DUMMYFUNCTION("""COMPUTED_VALUE"""),"")</f>
        <v/>
      </c>
      <c r="F2018" s="117" t="s">
        <v>39</v>
      </c>
      <c r="G2018" s="116"/>
      <c r="H2018" s="117"/>
      <c r="I2018" s="117"/>
      <c r="J2018" s="117"/>
      <c r="K2018" s="117"/>
      <c r="L2018" s="116"/>
      <c r="M2018" s="117"/>
      <c r="N2018" s="118" t="str">
        <f>IFERROR(__xludf.DUMMYFUNCTION("""COMPUTED_VALUE"""),"")</f>
        <v/>
      </c>
      <c r="O2018" s="116"/>
      <c r="P2018" s="116"/>
      <c r="Q2018" s="116"/>
      <c r="R2018" s="116" t="s">
        <v>39</v>
      </c>
      <c r="S2018" s="116" t="s">
        <v>39</v>
      </c>
      <c r="T2018" s="104"/>
      <c r="U2018" s="116"/>
      <c r="V2018" s="104"/>
      <c r="W2018" s="116"/>
    </row>
    <row r="2019">
      <c r="A2019" s="114" t="s">
        <v>39</v>
      </c>
      <c r="B2019" s="115"/>
      <c r="C2019" s="116"/>
      <c r="D2019" s="116"/>
      <c r="E2019" s="116" t="str">
        <f>IFERROR(__xludf.DUMMYFUNCTION("""COMPUTED_VALUE"""),"")</f>
        <v/>
      </c>
      <c r="F2019" s="117" t="s">
        <v>39</v>
      </c>
      <c r="G2019" s="116"/>
      <c r="H2019" s="117"/>
      <c r="I2019" s="117"/>
      <c r="J2019" s="117"/>
      <c r="K2019" s="117"/>
      <c r="L2019" s="116"/>
      <c r="M2019" s="117"/>
      <c r="N2019" s="118" t="str">
        <f>IFERROR(__xludf.DUMMYFUNCTION("""COMPUTED_VALUE"""),"")</f>
        <v/>
      </c>
      <c r="O2019" s="116"/>
      <c r="P2019" s="116"/>
      <c r="Q2019" s="116"/>
      <c r="R2019" s="116" t="s">
        <v>39</v>
      </c>
      <c r="S2019" s="116" t="s">
        <v>39</v>
      </c>
      <c r="T2019" s="104"/>
      <c r="U2019" s="116"/>
      <c r="V2019" s="104"/>
      <c r="W2019" s="116"/>
    </row>
    <row r="2020">
      <c r="A2020" s="114" t="s">
        <v>39</v>
      </c>
      <c r="B2020" s="115"/>
      <c r="C2020" s="116"/>
      <c r="D2020" s="116"/>
      <c r="E2020" s="116" t="str">
        <f>IFERROR(__xludf.DUMMYFUNCTION("""COMPUTED_VALUE"""),"")</f>
        <v/>
      </c>
      <c r="F2020" s="117" t="s">
        <v>39</v>
      </c>
      <c r="G2020" s="116"/>
      <c r="H2020" s="117"/>
      <c r="I2020" s="117"/>
      <c r="J2020" s="117"/>
      <c r="K2020" s="117"/>
      <c r="L2020" s="116"/>
      <c r="M2020" s="117"/>
      <c r="N2020" s="118" t="str">
        <f>IFERROR(__xludf.DUMMYFUNCTION("""COMPUTED_VALUE"""),"")</f>
        <v/>
      </c>
      <c r="O2020" s="116"/>
      <c r="P2020" s="116"/>
      <c r="Q2020" s="116"/>
      <c r="R2020" s="116" t="s">
        <v>39</v>
      </c>
      <c r="S2020" s="116" t="s">
        <v>39</v>
      </c>
      <c r="T2020" s="104"/>
      <c r="U2020" s="116"/>
      <c r="V2020" s="104"/>
      <c r="W2020" s="116"/>
    </row>
    <row r="2021">
      <c r="A2021" s="114" t="s">
        <v>39</v>
      </c>
      <c r="B2021" s="115"/>
      <c r="C2021" s="116"/>
      <c r="D2021" s="116"/>
      <c r="E2021" s="116" t="str">
        <f>IFERROR(__xludf.DUMMYFUNCTION("""COMPUTED_VALUE"""),"")</f>
        <v/>
      </c>
      <c r="F2021" s="117" t="s">
        <v>39</v>
      </c>
      <c r="G2021" s="116"/>
      <c r="H2021" s="117"/>
      <c r="I2021" s="117"/>
      <c r="J2021" s="117"/>
      <c r="K2021" s="117"/>
      <c r="L2021" s="116"/>
      <c r="M2021" s="117"/>
      <c r="N2021" s="118" t="str">
        <f>IFERROR(__xludf.DUMMYFUNCTION("""COMPUTED_VALUE"""),"")</f>
        <v/>
      </c>
      <c r="O2021" s="116"/>
      <c r="P2021" s="116"/>
      <c r="Q2021" s="116"/>
      <c r="R2021" s="116" t="s">
        <v>39</v>
      </c>
      <c r="S2021" s="116" t="s">
        <v>39</v>
      </c>
      <c r="T2021" s="104"/>
      <c r="U2021" s="116"/>
      <c r="V2021" s="104"/>
      <c r="W2021" s="116"/>
    </row>
    <row r="2022">
      <c r="A2022" s="114" t="s">
        <v>39</v>
      </c>
      <c r="B2022" s="115"/>
      <c r="C2022" s="116"/>
      <c r="D2022" s="116"/>
      <c r="E2022" s="116" t="str">
        <f>IFERROR(__xludf.DUMMYFUNCTION("""COMPUTED_VALUE"""),"")</f>
        <v/>
      </c>
      <c r="F2022" s="117" t="s">
        <v>39</v>
      </c>
      <c r="G2022" s="116"/>
      <c r="H2022" s="117"/>
      <c r="I2022" s="117"/>
      <c r="J2022" s="117"/>
      <c r="K2022" s="117"/>
      <c r="L2022" s="116"/>
      <c r="M2022" s="117"/>
      <c r="N2022" s="118" t="str">
        <f>IFERROR(__xludf.DUMMYFUNCTION("""COMPUTED_VALUE"""),"")</f>
        <v/>
      </c>
      <c r="O2022" s="116"/>
      <c r="P2022" s="116"/>
      <c r="Q2022" s="116"/>
      <c r="R2022" s="116" t="s">
        <v>39</v>
      </c>
      <c r="S2022" s="116" t="s">
        <v>39</v>
      </c>
      <c r="T2022" s="104"/>
      <c r="U2022" s="116"/>
      <c r="V2022" s="104"/>
      <c r="W2022" s="116"/>
    </row>
    <row r="2023">
      <c r="A2023" s="114" t="s">
        <v>39</v>
      </c>
      <c r="B2023" s="115"/>
      <c r="C2023" s="116"/>
      <c r="D2023" s="116"/>
      <c r="E2023" s="116" t="str">
        <f>IFERROR(__xludf.DUMMYFUNCTION("""COMPUTED_VALUE"""),"")</f>
        <v/>
      </c>
      <c r="F2023" s="117" t="s">
        <v>39</v>
      </c>
      <c r="G2023" s="116"/>
      <c r="H2023" s="117"/>
      <c r="I2023" s="117"/>
      <c r="J2023" s="117"/>
      <c r="K2023" s="117"/>
      <c r="L2023" s="116"/>
      <c r="M2023" s="117"/>
      <c r="N2023" s="118" t="str">
        <f>IFERROR(__xludf.DUMMYFUNCTION("""COMPUTED_VALUE"""),"")</f>
        <v/>
      </c>
      <c r="O2023" s="116"/>
      <c r="P2023" s="116"/>
      <c r="Q2023" s="116"/>
      <c r="R2023" s="116" t="s">
        <v>39</v>
      </c>
      <c r="S2023" s="116" t="s">
        <v>39</v>
      </c>
      <c r="T2023" s="104"/>
      <c r="U2023" s="116"/>
      <c r="V2023" s="104"/>
      <c r="W2023" s="116"/>
    </row>
    <row r="2024">
      <c r="A2024" s="114" t="s">
        <v>39</v>
      </c>
      <c r="B2024" s="115"/>
      <c r="C2024" s="116"/>
      <c r="D2024" s="116"/>
      <c r="E2024" s="116" t="str">
        <f>IFERROR(__xludf.DUMMYFUNCTION("""COMPUTED_VALUE"""),"")</f>
        <v/>
      </c>
      <c r="F2024" s="117" t="s">
        <v>39</v>
      </c>
      <c r="G2024" s="116"/>
      <c r="H2024" s="117"/>
      <c r="I2024" s="117"/>
      <c r="J2024" s="117"/>
      <c r="K2024" s="117"/>
      <c r="L2024" s="116"/>
      <c r="M2024" s="117"/>
      <c r="N2024" s="118" t="str">
        <f>IFERROR(__xludf.DUMMYFUNCTION("""COMPUTED_VALUE"""),"")</f>
        <v/>
      </c>
      <c r="O2024" s="116"/>
      <c r="P2024" s="116"/>
      <c r="Q2024" s="116"/>
      <c r="R2024" s="116" t="s">
        <v>39</v>
      </c>
      <c r="S2024" s="116" t="s">
        <v>39</v>
      </c>
      <c r="T2024" s="104"/>
      <c r="U2024" s="116"/>
      <c r="V2024" s="104"/>
      <c r="W2024" s="116"/>
    </row>
    <row r="2025">
      <c r="A2025" s="114" t="s">
        <v>39</v>
      </c>
      <c r="B2025" s="115"/>
      <c r="C2025" s="116"/>
      <c r="D2025" s="116"/>
      <c r="E2025" s="116" t="str">
        <f>IFERROR(__xludf.DUMMYFUNCTION("""COMPUTED_VALUE"""),"")</f>
        <v/>
      </c>
      <c r="F2025" s="117" t="s">
        <v>39</v>
      </c>
      <c r="G2025" s="116"/>
      <c r="H2025" s="117"/>
      <c r="I2025" s="117"/>
      <c r="J2025" s="117"/>
      <c r="K2025" s="117"/>
      <c r="L2025" s="116"/>
      <c r="M2025" s="117"/>
      <c r="N2025" s="118" t="str">
        <f>IFERROR(__xludf.DUMMYFUNCTION("""COMPUTED_VALUE"""),"")</f>
        <v/>
      </c>
      <c r="O2025" s="116"/>
      <c r="P2025" s="116"/>
      <c r="Q2025" s="116"/>
      <c r="R2025" s="116" t="s">
        <v>39</v>
      </c>
      <c r="S2025" s="116" t="s">
        <v>39</v>
      </c>
      <c r="T2025" s="104"/>
      <c r="U2025" s="116"/>
      <c r="V2025" s="104"/>
      <c r="W2025" s="116"/>
    </row>
    <row r="2026">
      <c r="A2026" s="114" t="s">
        <v>39</v>
      </c>
      <c r="B2026" s="115"/>
      <c r="C2026" s="116"/>
      <c r="D2026" s="116"/>
      <c r="E2026" s="116" t="str">
        <f>IFERROR(__xludf.DUMMYFUNCTION("""COMPUTED_VALUE"""),"")</f>
        <v/>
      </c>
      <c r="F2026" s="117" t="s">
        <v>39</v>
      </c>
      <c r="G2026" s="116"/>
      <c r="H2026" s="117"/>
      <c r="I2026" s="117"/>
      <c r="J2026" s="117"/>
      <c r="K2026" s="117"/>
      <c r="L2026" s="116"/>
      <c r="M2026" s="117"/>
      <c r="N2026" s="118" t="str">
        <f>IFERROR(__xludf.DUMMYFUNCTION("""COMPUTED_VALUE"""),"")</f>
        <v/>
      </c>
      <c r="O2026" s="116"/>
      <c r="P2026" s="116"/>
      <c r="Q2026" s="116"/>
      <c r="R2026" s="116" t="s">
        <v>39</v>
      </c>
      <c r="S2026" s="116" t="s">
        <v>39</v>
      </c>
      <c r="T2026" s="104"/>
      <c r="U2026" s="116"/>
      <c r="V2026" s="104"/>
      <c r="W2026" s="116"/>
    </row>
    <row r="2027">
      <c r="A2027" s="114" t="s">
        <v>39</v>
      </c>
      <c r="B2027" s="115"/>
      <c r="C2027" s="116"/>
      <c r="D2027" s="116"/>
      <c r="E2027" s="116" t="str">
        <f>IFERROR(__xludf.DUMMYFUNCTION("""COMPUTED_VALUE"""),"")</f>
        <v/>
      </c>
      <c r="F2027" s="117" t="s">
        <v>39</v>
      </c>
      <c r="G2027" s="116"/>
      <c r="H2027" s="117"/>
      <c r="I2027" s="117"/>
      <c r="J2027" s="117"/>
      <c r="K2027" s="117"/>
      <c r="L2027" s="116"/>
      <c r="M2027" s="117"/>
      <c r="N2027" s="118" t="str">
        <f>IFERROR(__xludf.DUMMYFUNCTION("""COMPUTED_VALUE"""),"")</f>
        <v/>
      </c>
      <c r="O2027" s="116"/>
      <c r="P2027" s="116"/>
      <c r="Q2027" s="116"/>
      <c r="R2027" s="116" t="s">
        <v>39</v>
      </c>
      <c r="S2027" s="116" t="s">
        <v>39</v>
      </c>
      <c r="T2027" s="104"/>
      <c r="U2027" s="116"/>
      <c r="V2027" s="104"/>
      <c r="W2027" s="116"/>
    </row>
    <row r="2028">
      <c r="A2028" s="114" t="s">
        <v>39</v>
      </c>
      <c r="B2028" s="115"/>
      <c r="C2028" s="116"/>
      <c r="D2028" s="116"/>
      <c r="E2028" s="116" t="str">
        <f>IFERROR(__xludf.DUMMYFUNCTION("""COMPUTED_VALUE"""),"")</f>
        <v/>
      </c>
      <c r="F2028" s="117" t="s">
        <v>39</v>
      </c>
      <c r="G2028" s="116"/>
      <c r="H2028" s="117"/>
      <c r="I2028" s="117"/>
      <c r="J2028" s="117"/>
      <c r="K2028" s="117"/>
      <c r="L2028" s="116"/>
      <c r="M2028" s="117"/>
      <c r="N2028" s="118" t="str">
        <f>IFERROR(__xludf.DUMMYFUNCTION("""COMPUTED_VALUE"""),"")</f>
        <v/>
      </c>
      <c r="O2028" s="116"/>
      <c r="P2028" s="116"/>
      <c r="Q2028" s="116"/>
      <c r="R2028" s="116" t="s">
        <v>39</v>
      </c>
      <c r="S2028" s="116" t="s">
        <v>39</v>
      </c>
      <c r="T2028" s="104"/>
      <c r="U2028" s="116"/>
      <c r="V2028" s="104"/>
      <c r="W2028" s="116"/>
    </row>
    <row r="2029">
      <c r="A2029" s="114" t="s">
        <v>39</v>
      </c>
      <c r="B2029" s="115"/>
      <c r="C2029" s="116"/>
      <c r="D2029" s="116"/>
      <c r="E2029" s="116" t="str">
        <f>IFERROR(__xludf.DUMMYFUNCTION("""COMPUTED_VALUE"""),"")</f>
        <v/>
      </c>
      <c r="F2029" s="117" t="s">
        <v>39</v>
      </c>
      <c r="G2029" s="116"/>
      <c r="H2029" s="117"/>
      <c r="I2029" s="117"/>
      <c r="J2029" s="117"/>
      <c r="K2029" s="117"/>
      <c r="L2029" s="116"/>
      <c r="M2029" s="117"/>
      <c r="N2029" s="118" t="str">
        <f>IFERROR(__xludf.DUMMYFUNCTION("""COMPUTED_VALUE"""),"")</f>
        <v/>
      </c>
      <c r="O2029" s="116"/>
      <c r="P2029" s="116"/>
      <c r="Q2029" s="116"/>
      <c r="R2029" s="116" t="s">
        <v>39</v>
      </c>
      <c r="S2029" s="116" t="s">
        <v>39</v>
      </c>
      <c r="T2029" s="104"/>
      <c r="U2029" s="116"/>
      <c r="V2029" s="104"/>
      <c r="W2029" s="116"/>
    </row>
    <row r="2030">
      <c r="A2030" s="114" t="s">
        <v>39</v>
      </c>
      <c r="B2030" s="115"/>
      <c r="C2030" s="116"/>
      <c r="D2030" s="116"/>
      <c r="E2030" s="116" t="str">
        <f>IFERROR(__xludf.DUMMYFUNCTION("""COMPUTED_VALUE"""),"")</f>
        <v/>
      </c>
      <c r="F2030" s="117" t="s">
        <v>39</v>
      </c>
      <c r="G2030" s="116"/>
      <c r="H2030" s="117"/>
      <c r="I2030" s="117"/>
      <c r="J2030" s="117"/>
      <c r="K2030" s="117"/>
      <c r="L2030" s="116"/>
      <c r="M2030" s="117"/>
      <c r="N2030" s="118" t="str">
        <f>IFERROR(__xludf.DUMMYFUNCTION("""COMPUTED_VALUE"""),"")</f>
        <v/>
      </c>
      <c r="O2030" s="116"/>
      <c r="P2030" s="116"/>
      <c r="Q2030" s="116"/>
      <c r="R2030" s="116" t="s">
        <v>39</v>
      </c>
      <c r="S2030" s="116" t="s">
        <v>39</v>
      </c>
      <c r="T2030" s="104"/>
      <c r="U2030" s="116"/>
      <c r="V2030" s="104"/>
      <c r="W2030" s="116"/>
    </row>
    <row r="2031">
      <c r="A2031" s="114" t="s">
        <v>39</v>
      </c>
      <c r="B2031" s="115"/>
      <c r="C2031" s="116"/>
      <c r="D2031" s="116"/>
      <c r="E2031" s="116" t="str">
        <f>IFERROR(__xludf.DUMMYFUNCTION("""COMPUTED_VALUE"""),"")</f>
        <v/>
      </c>
      <c r="F2031" s="117" t="s">
        <v>39</v>
      </c>
      <c r="G2031" s="116"/>
      <c r="H2031" s="117"/>
      <c r="I2031" s="117"/>
      <c r="J2031" s="117"/>
      <c r="K2031" s="117"/>
      <c r="L2031" s="116"/>
      <c r="M2031" s="117"/>
      <c r="N2031" s="118" t="str">
        <f>IFERROR(__xludf.DUMMYFUNCTION("""COMPUTED_VALUE"""),"")</f>
        <v/>
      </c>
      <c r="O2031" s="116"/>
      <c r="P2031" s="116"/>
      <c r="Q2031" s="116"/>
      <c r="R2031" s="116" t="s">
        <v>39</v>
      </c>
      <c r="S2031" s="116" t="s">
        <v>39</v>
      </c>
      <c r="T2031" s="104"/>
      <c r="U2031" s="116"/>
      <c r="V2031" s="104"/>
      <c r="W2031" s="116"/>
    </row>
    <row r="2032">
      <c r="A2032" s="114" t="s">
        <v>39</v>
      </c>
      <c r="B2032" s="115"/>
      <c r="C2032" s="116"/>
      <c r="D2032" s="116"/>
      <c r="E2032" s="116" t="str">
        <f>IFERROR(__xludf.DUMMYFUNCTION("""COMPUTED_VALUE"""),"")</f>
        <v/>
      </c>
      <c r="F2032" s="117" t="s">
        <v>39</v>
      </c>
      <c r="G2032" s="116"/>
      <c r="H2032" s="117"/>
      <c r="I2032" s="117"/>
      <c r="J2032" s="117"/>
      <c r="K2032" s="117"/>
      <c r="L2032" s="116"/>
      <c r="M2032" s="117"/>
      <c r="N2032" s="118" t="str">
        <f>IFERROR(__xludf.DUMMYFUNCTION("""COMPUTED_VALUE"""),"")</f>
        <v/>
      </c>
      <c r="O2032" s="116"/>
      <c r="P2032" s="116"/>
      <c r="Q2032" s="116"/>
      <c r="R2032" s="116" t="s">
        <v>39</v>
      </c>
      <c r="S2032" s="116" t="s">
        <v>39</v>
      </c>
      <c r="T2032" s="104"/>
      <c r="U2032" s="116"/>
      <c r="V2032" s="104"/>
      <c r="W2032" s="116"/>
    </row>
    <row r="2033">
      <c r="A2033" s="114" t="s">
        <v>39</v>
      </c>
      <c r="B2033" s="115"/>
      <c r="C2033" s="116"/>
      <c r="D2033" s="116"/>
      <c r="E2033" s="116" t="str">
        <f>IFERROR(__xludf.DUMMYFUNCTION("""COMPUTED_VALUE"""),"")</f>
        <v/>
      </c>
      <c r="F2033" s="117" t="s">
        <v>39</v>
      </c>
      <c r="G2033" s="116"/>
      <c r="H2033" s="117"/>
      <c r="I2033" s="117"/>
      <c r="J2033" s="117"/>
      <c r="K2033" s="117"/>
      <c r="L2033" s="116"/>
      <c r="M2033" s="117"/>
      <c r="N2033" s="118" t="str">
        <f>IFERROR(__xludf.DUMMYFUNCTION("""COMPUTED_VALUE"""),"")</f>
        <v/>
      </c>
      <c r="O2033" s="116"/>
      <c r="P2033" s="116"/>
      <c r="Q2033" s="116"/>
      <c r="R2033" s="116" t="s">
        <v>39</v>
      </c>
      <c r="S2033" s="116" t="s">
        <v>39</v>
      </c>
      <c r="T2033" s="104"/>
      <c r="U2033" s="116"/>
      <c r="V2033" s="104"/>
      <c r="W2033" s="116"/>
    </row>
    <row r="2034">
      <c r="A2034" s="114" t="s">
        <v>39</v>
      </c>
      <c r="B2034" s="115"/>
      <c r="C2034" s="116"/>
      <c r="D2034" s="116"/>
      <c r="E2034" s="116" t="str">
        <f>IFERROR(__xludf.DUMMYFUNCTION("""COMPUTED_VALUE"""),"")</f>
        <v/>
      </c>
      <c r="F2034" s="117" t="s">
        <v>39</v>
      </c>
      <c r="G2034" s="116"/>
      <c r="H2034" s="117"/>
      <c r="I2034" s="117"/>
      <c r="J2034" s="117"/>
      <c r="K2034" s="117"/>
      <c r="L2034" s="116"/>
      <c r="M2034" s="117"/>
      <c r="N2034" s="118" t="str">
        <f>IFERROR(__xludf.DUMMYFUNCTION("""COMPUTED_VALUE"""),"")</f>
        <v/>
      </c>
      <c r="O2034" s="116"/>
      <c r="P2034" s="116"/>
      <c r="Q2034" s="116"/>
      <c r="R2034" s="116" t="s">
        <v>39</v>
      </c>
      <c r="S2034" s="116" t="s">
        <v>39</v>
      </c>
      <c r="T2034" s="104"/>
      <c r="U2034" s="116"/>
      <c r="V2034" s="104"/>
      <c r="W2034" s="116"/>
    </row>
    <row r="2035">
      <c r="A2035" s="114" t="s">
        <v>39</v>
      </c>
      <c r="B2035" s="115"/>
      <c r="C2035" s="116"/>
      <c r="D2035" s="116"/>
      <c r="E2035" s="116" t="str">
        <f>IFERROR(__xludf.DUMMYFUNCTION("""COMPUTED_VALUE"""),"")</f>
        <v/>
      </c>
      <c r="F2035" s="117" t="s">
        <v>39</v>
      </c>
      <c r="G2035" s="116"/>
      <c r="H2035" s="117"/>
      <c r="I2035" s="117"/>
      <c r="J2035" s="117"/>
      <c r="K2035" s="117"/>
      <c r="L2035" s="116"/>
      <c r="M2035" s="117"/>
      <c r="N2035" s="118" t="str">
        <f>IFERROR(__xludf.DUMMYFUNCTION("""COMPUTED_VALUE"""),"")</f>
        <v/>
      </c>
      <c r="O2035" s="116"/>
      <c r="P2035" s="116"/>
      <c r="Q2035" s="116"/>
      <c r="R2035" s="116" t="s">
        <v>39</v>
      </c>
      <c r="S2035" s="116" t="s">
        <v>39</v>
      </c>
      <c r="T2035" s="104"/>
      <c r="U2035" s="116"/>
      <c r="V2035" s="104"/>
      <c r="W2035" s="116"/>
    </row>
    <row r="2036">
      <c r="A2036" s="114" t="s">
        <v>39</v>
      </c>
      <c r="B2036" s="115"/>
      <c r="C2036" s="116"/>
      <c r="D2036" s="116"/>
      <c r="E2036" s="116" t="str">
        <f>IFERROR(__xludf.DUMMYFUNCTION("""COMPUTED_VALUE"""),"")</f>
        <v/>
      </c>
      <c r="F2036" s="117" t="s">
        <v>39</v>
      </c>
      <c r="G2036" s="116"/>
      <c r="H2036" s="117"/>
      <c r="I2036" s="117"/>
      <c r="J2036" s="117"/>
      <c r="K2036" s="117"/>
      <c r="L2036" s="116"/>
      <c r="M2036" s="117"/>
      <c r="N2036" s="118" t="str">
        <f>IFERROR(__xludf.DUMMYFUNCTION("""COMPUTED_VALUE"""),"")</f>
        <v/>
      </c>
      <c r="O2036" s="116"/>
      <c r="P2036" s="116"/>
      <c r="Q2036" s="116"/>
      <c r="R2036" s="116" t="s">
        <v>39</v>
      </c>
      <c r="S2036" s="116" t="s">
        <v>39</v>
      </c>
      <c r="T2036" s="104"/>
      <c r="U2036" s="116"/>
      <c r="V2036" s="104"/>
      <c r="W2036" s="116"/>
    </row>
    <row r="2037">
      <c r="A2037" s="114" t="s">
        <v>39</v>
      </c>
      <c r="B2037" s="115"/>
      <c r="C2037" s="116"/>
      <c r="D2037" s="116"/>
      <c r="E2037" s="116" t="str">
        <f>IFERROR(__xludf.DUMMYFUNCTION("""COMPUTED_VALUE"""),"")</f>
        <v/>
      </c>
      <c r="F2037" s="117" t="s">
        <v>39</v>
      </c>
      <c r="G2037" s="116"/>
      <c r="H2037" s="117"/>
      <c r="I2037" s="117"/>
      <c r="J2037" s="117"/>
      <c r="K2037" s="117"/>
      <c r="L2037" s="116"/>
      <c r="M2037" s="117"/>
      <c r="N2037" s="118" t="str">
        <f>IFERROR(__xludf.DUMMYFUNCTION("""COMPUTED_VALUE"""),"")</f>
        <v/>
      </c>
      <c r="O2037" s="116"/>
      <c r="P2037" s="116"/>
      <c r="Q2037" s="116"/>
      <c r="R2037" s="116" t="s">
        <v>39</v>
      </c>
      <c r="S2037" s="116" t="s">
        <v>39</v>
      </c>
      <c r="T2037" s="104"/>
      <c r="U2037" s="116"/>
      <c r="V2037" s="104"/>
      <c r="W2037" s="116"/>
    </row>
    <row r="2038">
      <c r="A2038" s="114" t="s">
        <v>39</v>
      </c>
      <c r="B2038" s="115"/>
      <c r="C2038" s="116"/>
      <c r="D2038" s="116"/>
      <c r="E2038" s="116" t="str">
        <f>IFERROR(__xludf.DUMMYFUNCTION("""COMPUTED_VALUE"""),"")</f>
        <v/>
      </c>
      <c r="F2038" s="117" t="s">
        <v>39</v>
      </c>
      <c r="G2038" s="116"/>
      <c r="H2038" s="117"/>
      <c r="I2038" s="117"/>
      <c r="J2038" s="117"/>
      <c r="K2038" s="117"/>
      <c r="L2038" s="116"/>
      <c r="M2038" s="117"/>
      <c r="N2038" s="118" t="str">
        <f>IFERROR(__xludf.DUMMYFUNCTION("""COMPUTED_VALUE"""),"")</f>
        <v/>
      </c>
      <c r="O2038" s="116"/>
      <c r="P2038" s="116"/>
      <c r="Q2038" s="116"/>
      <c r="R2038" s="116" t="s">
        <v>39</v>
      </c>
      <c r="S2038" s="116" t="s">
        <v>39</v>
      </c>
      <c r="T2038" s="104"/>
      <c r="U2038" s="116"/>
      <c r="V2038" s="104"/>
      <c r="W2038" s="116"/>
    </row>
    <row r="2039">
      <c r="A2039" s="114" t="s">
        <v>39</v>
      </c>
      <c r="B2039" s="115"/>
      <c r="C2039" s="116"/>
      <c r="D2039" s="116"/>
      <c r="E2039" s="116" t="str">
        <f>IFERROR(__xludf.DUMMYFUNCTION("""COMPUTED_VALUE"""),"")</f>
        <v/>
      </c>
      <c r="F2039" s="117" t="s">
        <v>39</v>
      </c>
      <c r="G2039" s="116"/>
      <c r="H2039" s="117"/>
      <c r="I2039" s="117"/>
      <c r="J2039" s="117"/>
      <c r="K2039" s="117"/>
      <c r="L2039" s="116"/>
      <c r="M2039" s="117"/>
      <c r="N2039" s="118" t="str">
        <f>IFERROR(__xludf.DUMMYFUNCTION("""COMPUTED_VALUE"""),"")</f>
        <v/>
      </c>
      <c r="O2039" s="116"/>
      <c r="P2039" s="116"/>
      <c r="Q2039" s="116"/>
      <c r="R2039" s="116" t="s">
        <v>39</v>
      </c>
      <c r="S2039" s="116" t="s">
        <v>39</v>
      </c>
      <c r="T2039" s="104"/>
      <c r="U2039" s="116"/>
      <c r="V2039" s="104"/>
      <c r="W2039" s="116"/>
    </row>
    <row r="2040">
      <c r="A2040" s="114" t="s">
        <v>39</v>
      </c>
      <c r="B2040" s="115"/>
      <c r="C2040" s="116"/>
      <c r="D2040" s="116"/>
      <c r="E2040" s="116" t="str">
        <f>IFERROR(__xludf.DUMMYFUNCTION("""COMPUTED_VALUE"""),"")</f>
        <v/>
      </c>
      <c r="F2040" s="117" t="s">
        <v>39</v>
      </c>
      <c r="G2040" s="116"/>
      <c r="H2040" s="117"/>
      <c r="I2040" s="117"/>
      <c r="J2040" s="117"/>
      <c r="K2040" s="117"/>
      <c r="L2040" s="116"/>
      <c r="M2040" s="117"/>
      <c r="N2040" s="118" t="str">
        <f>IFERROR(__xludf.DUMMYFUNCTION("""COMPUTED_VALUE"""),"")</f>
        <v/>
      </c>
      <c r="O2040" s="116"/>
      <c r="P2040" s="116"/>
      <c r="Q2040" s="116"/>
      <c r="R2040" s="116" t="s">
        <v>39</v>
      </c>
      <c r="S2040" s="116" t="s">
        <v>39</v>
      </c>
      <c r="T2040" s="104"/>
      <c r="U2040" s="116"/>
      <c r="V2040" s="104"/>
      <c r="W2040" s="116"/>
    </row>
    <row r="2041">
      <c r="A2041" s="114" t="s">
        <v>39</v>
      </c>
      <c r="B2041" s="115"/>
      <c r="C2041" s="116"/>
      <c r="D2041" s="116"/>
      <c r="E2041" s="116" t="str">
        <f>IFERROR(__xludf.DUMMYFUNCTION("""COMPUTED_VALUE"""),"")</f>
        <v/>
      </c>
      <c r="F2041" s="117" t="s">
        <v>39</v>
      </c>
      <c r="G2041" s="116"/>
      <c r="H2041" s="117"/>
      <c r="I2041" s="117"/>
      <c r="J2041" s="117"/>
      <c r="K2041" s="117"/>
      <c r="L2041" s="116"/>
      <c r="M2041" s="117"/>
      <c r="N2041" s="118" t="str">
        <f>IFERROR(__xludf.DUMMYFUNCTION("""COMPUTED_VALUE"""),"")</f>
        <v/>
      </c>
      <c r="O2041" s="116"/>
      <c r="P2041" s="116"/>
      <c r="Q2041" s="116"/>
      <c r="R2041" s="116" t="s">
        <v>39</v>
      </c>
      <c r="S2041" s="116" t="s">
        <v>39</v>
      </c>
      <c r="T2041" s="104"/>
      <c r="U2041" s="116"/>
      <c r="V2041" s="104"/>
      <c r="W2041" s="116"/>
    </row>
    <row r="2042">
      <c r="A2042" s="114" t="s">
        <v>39</v>
      </c>
      <c r="B2042" s="115"/>
      <c r="C2042" s="116"/>
      <c r="D2042" s="116"/>
      <c r="E2042" s="116" t="str">
        <f>IFERROR(__xludf.DUMMYFUNCTION("""COMPUTED_VALUE"""),"")</f>
        <v/>
      </c>
      <c r="F2042" s="117" t="s">
        <v>39</v>
      </c>
      <c r="G2042" s="116"/>
      <c r="H2042" s="117"/>
      <c r="I2042" s="117"/>
      <c r="J2042" s="117"/>
      <c r="K2042" s="117"/>
      <c r="L2042" s="116"/>
      <c r="M2042" s="117"/>
      <c r="N2042" s="118" t="str">
        <f>IFERROR(__xludf.DUMMYFUNCTION("""COMPUTED_VALUE"""),"")</f>
        <v/>
      </c>
      <c r="O2042" s="116"/>
      <c r="P2042" s="116"/>
      <c r="Q2042" s="116"/>
      <c r="R2042" s="116" t="s">
        <v>39</v>
      </c>
      <c r="S2042" s="116" t="s">
        <v>39</v>
      </c>
      <c r="T2042" s="104"/>
      <c r="U2042" s="116"/>
      <c r="V2042" s="104"/>
      <c r="W2042" s="116"/>
    </row>
    <row r="2043">
      <c r="A2043" s="114" t="s">
        <v>39</v>
      </c>
      <c r="B2043" s="115"/>
      <c r="C2043" s="116"/>
      <c r="D2043" s="116"/>
      <c r="E2043" s="116" t="str">
        <f>IFERROR(__xludf.DUMMYFUNCTION("""COMPUTED_VALUE"""),"")</f>
        <v/>
      </c>
      <c r="F2043" s="117" t="s">
        <v>39</v>
      </c>
      <c r="G2043" s="116"/>
      <c r="H2043" s="117"/>
      <c r="I2043" s="117"/>
      <c r="J2043" s="117"/>
      <c r="K2043" s="117"/>
      <c r="L2043" s="116"/>
      <c r="M2043" s="117"/>
      <c r="N2043" s="118" t="str">
        <f>IFERROR(__xludf.DUMMYFUNCTION("""COMPUTED_VALUE"""),"")</f>
        <v/>
      </c>
      <c r="O2043" s="116"/>
      <c r="P2043" s="116"/>
      <c r="Q2043" s="116"/>
      <c r="R2043" s="116" t="s">
        <v>39</v>
      </c>
      <c r="S2043" s="116" t="s">
        <v>39</v>
      </c>
      <c r="T2043" s="104"/>
      <c r="U2043" s="116"/>
      <c r="V2043" s="104"/>
      <c r="W2043" s="116"/>
    </row>
    <row r="2044">
      <c r="A2044" s="114" t="s">
        <v>39</v>
      </c>
      <c r="B2044" s="115"/>
      <c r="C2044" s="116"/>
      <c r="D2044" s="116"/>
      <c r="E2044" s="116" t="str">
        <f>IFERROR(__xludf.DUMMYFUNCTION("""COMPUTED_VALUE"""),"")</f>
        <v/>
      </c>
      <c r="F2044" s="117" t="s">
        <v>39</v>
      </c>
      <c r="G2044" s="116"/>
      <c r="H2044" s="117"/>
      <c r="I2044" s="117"/>
      <c r="J2044" s="117"/>
      <c r="K2044" s="117"/>
      <c r="L2044" s="116"/>
      <c r="M2044" s="117"/>
      <c r="N2044" s="118" t="str">
        <f>IFERROR(__xludf.DUMMYFUNCTION("""COMPUTED_VALUE"""),"")</f>
        <v/>
      </c>
      <c r="O2044" s="116"/>
      <c r="P2044" s="116"/>
      <c r="Q2044" s="116"/>
      <c r="R2044" s="116" t="s">
        <v>39</v>
      </c>
      <c r="S2044" s="116" t="s">
        <v>39</v>
      </c>
      <c r="T2044" s="104"/>
      <c r="U2044" s="116"/>
      <c r="V2044" s="104"/>
      <c r="W2044" s="116"/>
    </row>
    <row r="2045">
      <c r="A2045" s="114" t="s">
        <v>39</v>
      </c>
      <c r="B2045" s="115"/>
      <c r="C2045" s="116"/>
      <c r="D2045" s="116"/>
      <c r="E2045" s="116" t="str">
        <f>IFERROR(__xludf.DUMMYFUNCTION("""COMPUTED_VALUE"""),"")</f>
        <v/>
      </c>
      <c r="F2045" s="117" t="s">
        <v>39</v>
      </c>
      <c r="G2045" s="116"/>
      <c r="H2045" s="117"/>
      <c r="I2045" s="117"/>
      <c r="J2045" s="117"/>
      <c r="K2045" s="117"/>
      <c r="L2045" s="116"/>
      <c r="M2045" s="117"/>
      <c r="N2045" s="118" t="str">
        <f>IFERROR(__xludf.DUMMYFUNCTION("""COMPUTED_VALUE"""),"")</f>
        <v/>
      </c>
      <c r="O2045" s="116"/>
      <c r="P2045" s="116"/>
      <c r="Q2045" s="116"/>
      <c r="R2045" s="116" t="s">
        <v>39</v>
      </c>
      <c r="S2045" s="116" t="s">
        <v>39</v>
      </c>
      <c r="T2045" s="104"/>
      <c r="U2045" s="116"/>
      <c r="V2045" s="104"/>
      <c r="W2045" s="116"/>
    </row>
    <row r="2046">
      <c r="A2046" s="114" t="s">
        <v>39</v>
      </c>
      <c r="B2046" s="115"/>
      <c r="C2046" s="116"/>
      <c r="D2046" s="116"/>
      <c r="E2046" s="116" t="str">
        <f>IFERROR(__xludf.DUMMYFUNCTION("""COMPUTED_VALUE"""),"")</f>
        <v/>
      </c>
      <c r="F2046" s="117" t="s">
        <v>39</v>
      </c>
      <c r="G2046" s="116"/>
      <c r="H2046" s="117"/>
      <c r="I2046" s="117"/>
      <c r="J2046" s="117"/>
      <c r="K2046" s="117"/>
      <c r="L2046" s="116"/>
      <c r="M2046" s="117"/>
      <c r="N2046" s="118" t="str">
        <f>IFERROR(__xludf.DUMMYFUNCTION("""COMPUTED_VALUE"""),"")</f>
        <v/>
      </c>
      <c r="O2046" s="116"/>
      <c r="P2046" s="116"/>
      <c r="Q2046" s="116"/>
      <c r="R2046" s="116" t="s">
        <v>39</v>
      </c>
      <c r="S2046" s="116" t="s">
        <v>39</v>
      </c>
      <c r="T2046" s="104"/>
      <c r="U2046" s="116"/>
      <c r="V2046" s="104"/>
      <c r="W2046" s="116"/>
    </row>
    <row r="2047">
      <c r="A2047" s="114" t="s">
        <v>39</v>
      </c>
      <c r="B2047" s="115"/>
      <c r="C2047" s="116"/>
      <c r="D2047" s="116"/>
      <c r="E2047" s="116" t="str">
        <f>IFERROR(__xludf.DUMMYFUNCTION("""COMPUTED_VALUE"""),"")</f>
        <v/>
      </c>
      <c r="F2047" s="117" t="s">
        <v>39</v>
      </c>
      <c r="G2047" s="116"/>
      <c r="H2047" s="117"/>
      <c r="I2047" s="117"/>
      <c r="J2047" s="117"/>
      <c r="K2047" s="117"/>
      <c r="L2047" s="116"/>
      <c r="M2047" s="117"/>
      <c r="N2047" s="118" t="str">
        <f>IFERROR(__xludf.DUMMYFUNCTION("""COMPUTED_VALUE"""),"")</f>
        <v/>
      </c>
      <c r="O2047" s="116"/>
      <c r="P2047" s="116"/>
      <c r="Q2047" s="116"/>
      <c r="R2047" s="116" t="s">
        <v>39</v>
      </c>
      <c r="S2047" s="116" t="s">
        <v>39</v>
      </c>
      <c r="T2047" s="104"/>
      <c r="U2047" s="116"/>
      <c r="V2047" s="104"/>
      <c r="W2047" s="116"/>
    </row>
    <row r="2048">
      <c r="A2048" s="114" t="s">
        <v>39</v>
      </c>
      <c r="B2048" s="115"/>
      <c r="C2048" s="116"/>
      <c r="D2048" s="116"/>
      <c r="E2048" s="116" t="str">
        <f>IFERROR(__xludf.DUMMYFUNCTION("""COMPUTED_VALUE"""),"")</f>
        <v/>
      </c>
      <c r="F2048" s="117" t="s">
        <v>39</v>
      </c>
      <c r="G2048" s="116"/>
      <c r="H2048" s="117"/>
      <c r="I2048" s="117"/>
      <c r="J2048" s="117"/>
      <c r="K2048" s="117"/>
      <c r="L2048" s="116"/>
      <c r="M2048" s="117"/>
      <c r="N2048" s="118" t="str">
        <f>IFERROR(__xludf.DUMMYFUNCTION("""COMPUTED_VALUE"""),"")</f>
        <v/>
      </c>
      <c r="O2048" s="116"/>
      <c r="P2048" s="116"/>
      <c r="Q2048" s="116"/>
      <c r="R2048" s="116" t="s">
        <v>39</v>
      </c>
      <c r="S2048" s="116" t="s">
        <v>39</v>
      </c>
      <c r="T2048" s="104"/>
      <c r="U2048" s="116"/>
      <c r="V2048" s="104"/>
      <c r="W2048" s="116"/>
    </row>
    <row r="2049">
      <c r="A2049" s="114" t="s">
        <v>39</v>
      </c>
      <c r="B2049" s="115"/>
      <c r="C2049" s="116"/>
      <c r="D2049" s="116"/>
      <c r="E2049" s="116" t="str">
        <f>IFERROR(__xludf.DUMMYFUNCTION("""COMPUTED_VALUE"""),"")</f>
        <v/>
      </c>
      <c r="F2049" s="117" t="s">
        <v>39</v>
      </c>
      <c r="G2049" s="116"/>
      <c r="H2049" s="117"/>
      <c r="I2049" s="117"/>
      <c r="J2049" s="117"/>
      <c r="K2049" s="117"/>
      <c r="L2049" s="116"/>
      <c r="M2049" s="117"/>
      <c r="N2049" s="118" t="str">
        <f>IFERROR(__xludf.DUMMYFUNCTION("""COMPUTED_VALUE"""),"")</f>
        <v/>
      </c>
      <c r="O2049" s="116"/>
      <c r="P2049" s="116"/>
      <c r="Q2049" s="116"/>
      <c r="R2049" s="116" t="s">
        <v>39</v>
      </c>
      <c r="S2049" s="116" t="s">
        <v>39</v>
      </c>
      <c r="T2049" s="104"/>
      <c r="U2049" s="116"/>
      <c r="V2049" s="104"/>
      <c r="W2049" s="116"/>
    </row>
    <row r="2050">
      <c r="A2050" s="114" t="s">
        <v>39</v>
      </c>
      <c r="B2050" s="115"/>
      <c r="C2050" s="116"/>
      <c r="D2050" s="116"/>
      <c r="E2050" s="116" t="str">
        <f>IFERROR(__xludf.DUMMYFUNCTION("""COMPUTED_VALUE"""),"")</f>
        <v/>
      </c>
      <c r="F2050" s="117" t="s">
        <v>39</v>
      </c>
      <c r="G2050" s="116"/>
      <c r="H2050" s="117"/>
      <c r="I2050" s="117"/>
      <c r="J2050" s="117"/>
      <c r="K2050" s="117"/>
      <c r="L2050" s="116"/>
      <c r="M2050" s="117"/>
      <c r="N2050" s="118" t="str">
        <f>IFERROR(__xludf.DUMMYFUNCTION("""COMPUTED_VALUE"""),"")</f>
        <v/>
      </c>
      <c r="O2050" s="116"/>
      <c r="P2050" s="116"/>
      <c r="Q2050" s="116"/>
      <c r="R2050" s="116" t="s">
        <v>39</v>
      </c>
      <c r="S2050" s="116" t="s">
        <v>39</v>
      </c>
      <c r="T2050" s="104"/>
      <c r="U2050" s="116"/>
      <c r="V2050" s="104"/>
      <c r="W2050" s="116"/>
    </row>
    <row r="2051">
      <c r="A2051" s="114" t="s">
        <v>39</v>
      </c>
      <c r="B2051" s="115"/>
      <c r="C2051" s="116"/>
      <c r="D2051" s="116"/>
      <c r="E2051" s="116" t="str">
        <f>IFERROR(__xludf.DUMMYFUNCTION("""COMPUTED_VALUE"""),"")</f>
        <v/>
      </c>
      <c r="F2051" s="117" t="s">
        <v>39</v>
      </c>
      <c r="G2051" s="116"/>
      <c r="H2051" s="117"/>
      <c r="I2051" s="117"/>
      <c r="J2051" s="117"/>
      <c r="K2051" s="117"/>
      <c r="L2051" s="116"/>
      <c r="M2051" s="117"/>
      <c r="N2051" s="118" t="str">
        <f>IFERROR(__xludf.DUMMYFUNCTION("""COMPUTED_VALUE"""),"")</f>
        <v/>
      </c>
      <c r="O2051" s="116"/>
      <c r="P2051" s="116"/>
      <c r="Q2051" s="116"/>
      <c r="R2051" s="116" t="s">
        <v>39</v>
      </c>
      <c r="S2051" s="116" t="s">
        <v>39</v>
      </c>
      <c r="T2051" s="104"/>
      <c r="U2051" s="116"/>
      <c r="V2051" s="104"/>
      <c r="W2051" s="116"/>
    </row>
    <row r="2052">
      <c r="A2052" s="114" t="s">
        <v>39</v>
      </c>
      <c r="B2052" s="115"/>
      <c r="C2052" s="116"/>
      <c r="D2052" s="116"/>
      <c r="E2052" s="116" t="str">
        <f>IFERROR(__xludf.DUMMYFUNCTION("""COMPUTED_VALUE"""),"")</f>
        <v/>
      </c>
      <c r="F2052" s="117" t="s">
        <v>39</v>
      </c>
      <c r="G2052" s="116"/>
      <c r="H2052" s="117"/>
      <c r="I2052" s="117"/>
      <c r="J2052" s="117"/>
      <c r="K2052" s="117"/>
      <c r="L2052" s="116"/>
      <c r="M2052" s="117"/>
      <c r="N2052" s="118" t="str">
        <f>IFERROR(__xludf.DUMMYFUNCTION("""COMPUTED_VALUE"""),"")</f>
        <v/>
      </c>
      <c r="O2052" s="116"/>
      <c r="P2052" s="116"/>
      <c r="Q2052" s="116"/>
      <c r="R2052" s="116" t="s">
        <v>39</v>
      </c>
      <c r="S2052" s="116" t="s">
        <v>39</v>
      </c>
      <c r="T2052" s="104"/>
      <c r="U2052" s="116"/>
      <c r="V2052" s="104"/>
      <c r="W2052" s="116"/>
    </row>
    <row r="2053">
      <c r="A2053" s="114" t="s">
        <v>39</v>
      </c>
      <c r="B2053" s="115"/>
      <c r="C2053" s="116"/>
      <c r="D2053" s="116"/>
      <c r="E2053" s="116" t="str">
        <f>IFERROR(__xludf.DUMMYFUNCTION("""COMPUTED_VALUE"""),"")</f>
        <v/>
      </c>
      <c r="F2053" s="117" t="s">
        <v>39</v>
      </c>
      <c r="G2053" s="116"/>
      <c r="H2053" s="117"/>
      <c r="I2053" s="117"/>
      <c r="J2053" s="117"/>
      <c r="K2053" s="117"/>
      <c r="L2053" s="116"/>
      <c r="M2053" s="117"/>
      <c r="N2053" s="118" t="str">
        <f>IFERROR(__xludf.DUMMYFUNCTION("""COMPUTED_VALUE"""),"")</f>
        <v/>
      </c>
      <c r="O2053" s="116"/>
      <c r="P2053" s="116"/>
      <c r="Q2053" s="116"/>
      <c r="R2053" s="116" t="s">
        <v>39</v>
      </c>
      <c r="S2053" s="116" t="s">
        <v>39</v>
      </c>
      <c r="T2053" s="104"/>
      <c r="U2053" s="116"/>
      <c r="V2053" s="104"/>
      <c r="W2053" s="116"/>
    </row>
    <row r="2054">
      <c r="A2054" s="114" t="s">
        <v>39</v>
      </c>
      <c r="B2054" s="115"/>
      <c r="C2054" s="116"/>
      <c r="D2054" s="116"/>
      <c r="E2054" s="116" t="str">
        <f>IFERROR(__xludf.DUMMYFUNCTION("""COMPUTED_VALUE"""),"")</f>
        <v/>
      </c>
      <c r="F2054" s="117" t="s">
        <v>39</v>
      </c>
      <c r="G2054" s="116"/>
      <c r="H2054" s="117"/>
      <c r="I2054" s="117"/>
      <c r="J2054" s="117"/>
      <c r="K2054" s="117"/>
      <c r="L2054" s="116"/>
      <c r="M2054" s="117"/>
      <c r="N2054" s="118" t="str">
        <f>IFERROR(__xludf.DUMMYFUNCTION("""COMPUTED_VALUE"""),"")</f>
        <v/>
      </c>
      <c r="O2054" s="116"/>
      <c r="P2054" s="116"/>
      <c r="Q2054" s="116"/>
      <c r="R2054" s="116" t="s">
        <v>39</v>
      </c>
      <c r="S2054" s="116" t="s">
        <v>39</v>
      </c>
      <c r="T2054" s="104"/>
      <c r="U2054" s="116"/>
      <c r="V2054" s="104"/>
      <c r="W2054" s="116"/>
    </row>
    <row r="2055">
      <c r="A2055" s="114" t="s">
        <v>39</v>
      </c>
      <c r="B2055" s="115"/>
      <c r="C2055" s="116"/>
      <c r="D2055" s="116"/>
      <c r="E2055" s="116" t="str">
        <f>IFERROR(__xludf.DUMMYFUNCTION("""COMPUTED_VALUE"""),"")</f>
        <v/>
      </c>
      <c r="F2055" s="117" t="s">
        <v>39</v>
      </c>
      <c r="G2055" s="116"/>
      <c r="H2055" s="117"/>
      <c r="I2055" s="117"/>
      <c r="J2055" s="117"/>
      <c r="K2055" s="117"/>
      <c r="L2055" s="116"/>
      <c r="M2055" s="117"/>
      <c r="N2055" s="118" t="str">
        <f>IFERROR(__xludf.DUMMYFUNCTION("""COMPUTED_VALUE"""),"")</f>
        <v/>
      </c>
      <c r="O2055" s="116"/>
      <c r="P2055" s="116"/>
      <c r="Q2055" s="116"/>
      <c r="R2055" s="116" t="s">
        <v>39</v>
      </c>
      <c r="S2055" s="116" t="s">
        <v>39</v>
      </c>
      <c r="T2055" s="104"/>
      <c r="U2055" s="116"/>
      <c r="V2055" s="104"/>
      <c r="W2055" s="116"/>
    </row>
    <row r="2056">
      <c r="A2056" s="114" t="s">
        <v>39</v>
      </c>
      <c r="B2056" s="115"/>
      <c r="C2056" s="116"/>
      <c r="D2056" s="116"/>
      <c r="E2056" s="116" t="str">
        <f>IFERROR(__xludf.DUMMYFUNCTION("""COMPUTED_VALUE"""),"")</f>
        <v/>
      </c>
      <c r="F2056" s="117" t="s">
        <v>39</v>
      </c>
      <c r="G2056" s="116"/>
      <c r="H2056" s="117"/>
      <c r="I2056" s="117"/>
      <c r="J2056" s="117"/>
      <c r="K2056" s="117"/>
      <c r="L2056" s="116"/>
      <c r="M2056" s="117"/>
      <c r="N2056" s="118" t="str">
        <f>IFERROR(__xludf.DUMMYFUNCTION("""COMPUTED_VALUE"""),"")</f>
        <v/>
      </c>
      <c r="O2056" s="116"/>
      <c r="P2056" s="116"/>
      <c r="Q2056" s="116"/>
      <c r="R2056" s="116" t="s">
        <v>39</v>
      </c>
      <c r="S2056" s="116" t="s">
        <v>39</v>
      </c>
      <c r="T2056" s="104"/>
      <c r="U2056" s="116"/>
      <c r="V2056" s="104"/>
      <c r="W2056" s="116"/>
    </row>
    <row r="2057">
      <c r="A2057" s="114" t="s">
        <v>39</v>
      </c>
      <c r="B2057" s="115"/>
      <c r="C2057" s="116"/>
      <c r="D2057" s="116"/>
      <c r="E2057" s="116" t="str">
        <f>IFERROR(__xludf.DUMMYFUNCTION("""COMPUTED_VALUE"""),"")</f>
        <v/>
      </c>
      <c r="F2057" s="117" t="s">
        <v>39</v>
      </c>
      <c r="G2057" s="116"/>
      <c r="H2057" s="117"/>
      <c r="I2057" s="117"/>
      <c r="J2057" s="117"/>
      <c r="K2057" s="117"/>
      <c r="L2057" s="116"/>
      <c r="M2057" s="117"/>
      <c r="N2057" s="118" t="str">
        <f>IFERROR(__xludf.DUMMYFUNCTION("""COMPUTED_VALUE"""),"")</f>
        <v/>
      </c>
      <c r="O2057" s="116"/>
      <c r="P2057" s="116"/>
      <c r="Q2057" s="116"/>
      <c r="R2057" s="116" t="s">
        <v>39</v>
      </c>
      <c r="S2057" s="116" t="s">
        <v>39</v>
      </c>
      <c r="T2057" s="104"/>
      <c r="U2057" s="116"/>
      <c r="V2057" s="104"/>
      <c r="W2057" s="116"/>
    </row>
    <row r="2058">
      <c r="A2058" s="114" t="s">
        <v>39</v>
      </c>
      <c r="B2058" s="115"/>
      <c r="C2058" s="116"/>
      <c r="D2058" s="116"/>
      <c r="E2058" s="116" t="str">
        <f>IFERROR(__xludf.DUMMYFUNCTION("""COMPUTED_VALUE"""),"")</f>
        <v/>
      </c>
      <c r="F2058" s="117" t="s">
        <v>39</v>
      </c>
      <c r="G2058" s="116"/>
      <c r="H2058" s="117"/>
      <c r="I2058" s="117"/>
      <c r="J2058" s="117"/>
      <c r="K2058" s="117"/>
      <c r="L2058" s="116"/>
      <c r="M2058" s="117"/>
      <c r="N2058" s="118" t="str">
        <f>IFERROR(__xludf.DUMMYFUNCTION("""COMPUTED_VALUE"""),"")</f>
        <v/>
      </c>
      <c r="O2058" s="116"/>
      <c r="P2058" s="116"/>
      <c r="Q2058" s="116"/>
      <c r="R2058" s="116" t="s">
        <v>39</v>
      </c>
      <c r="S2058" s="116" t="s">
        <v>39</v>
      </c>
      <c r="T2058" s="104"/>
      <c r="U2058" s="116"/>
      <c r="V2058" s="104"/>
      <c r="W2058" s="116"/>
    </row>
    <row r="2059">
      <c r="A2059" s="114" t="s">
        <v>39</v>
      </c>
      <c r="B2059" s="115"/>
      <c r="C2059" s="116"/>
      <c r="D2059" s="116"/>
      <c r="E2059" s="116" t="str">
        <f>IFERROR(__xludf.DUMMYFUNCTION("""COMPUTED_VALUE"""),"")</f>
        <v/>
      </c>
      <c r="F2059" s="117" t="s">
        <v>39</v>
      </c>
      <c r="G2059" s="116"/>
      <c r="H2059" s="117"/>
      <c r="I2059" s="117"/>
      <c r="J2059" s="117"/>
      <c r="K2059" s="117"/>
      <c r="L2059" s="116"/>
      <c r="M2059" s="117"/>
      <c r="N2059" s="118" t="str">
        <f>IFERROR(__xludf.DUMMYFUNCTION("""COMPUTED_VALUE"""),"")</f>
        <v/>
      </c>
      <c r="O2059" s="116"/>
      <c r="P2059" s="116"/>
      <c r="Q2059" s="116"/>
      <c r="R2059" s="116" t="s">
        <v>39</v>
      </c>
      <c r="S2059" s="116" t="s">
        <v>39</v>
      </c>
      <c r="T2059" s="104"/>
      <c r="U2059" s="116"/>
      <c r="V2059" s="104"/>
      <c r="W2059" s="116"/>
    </row>
    <row r="2060">
      <c r="A2060" s="114" t="s">
        <v>39</v>
      </c>
      <c r="B2060" s="115"/>
      <c r="C2060" s="116"/>
      <c r="D2060" s="116"/>
      <c r="E2060" s="116" t="str">
        <f>IFERROR(__xludf.DUMMYFUNCTION("""COMPUTED_VALUE"""),"")</f>
        <v/>
      </c>
      <c r="F2060" s="117" t="s">
        <v>39</v>
      </c>
      <c r="G2060" s="116"/>
      <c r="H2060" s="117"/>
      <c r="I2060" s="117"/>
      <c r="J2060" s="117"/>
      <c r="K2060" s="117"/>
      <c r="L2060" s="116"/>
      <c r="M2060" s="117"/>
      <c r="N2060" s="118" t="str">
        <f>IFERROR(__xludf.DUMMYFUNCTION("""COMPUTED_VALUE"""),"")</f>
        <v/>
      </c>
      <c r="O2060" s="116"/>
      <c r="P2060" s="116"/>
      <c r="Q2060" s="116"/>
      <c r="R2060" s="116" t="s">
        <v>39</v>
      </c>
      <c r="S2060" s="116" t="s">
        <v>39</v>
      </c>
      <c r="T2060" s="104"/>
      <c r="U2060" s="116"/>
      <c r="V2060" s="104"/>
      <c r="W2060" s="116"/>
    </row>
    <row r="2061">
      <c r="A2061" s="114" t="s">
        <v>39</v>
      </c>
      <c r="B2061" s="115"/>
      <c r="C2061" s="116"/>
      <c r="D2061" s="116"/>
      <c r="E2061" s="116" t="str">
        <f>IFERROR(__xludf.DUMMYFUNCTION("""COMPUTED_VALUE"""),"")</f>
        <v/>
      </c>
      <c r="F2061" s="117" t="s">
        <v>39</v>
      </c>
      <c r="G2061" s="116"/>
      <c r="H2061" s="117"/>
      <c r="I2061" s="117"/>
      <c r="J2061" s="117"/>
      <c r="K2061" s="117"/>
      <c r="L2061" s="116"/>
      <c r="M2061" s="117"/>
      <c r="N2061" s="118" t="str">
        <f>IFERROR(__xludf.DUMMYFUNCTION("""COMPUTED_VALUE"""),"")</f>
        <v/>
      </c>
      <c r="O2061" s="116"/>
      <c r="P2061" s="116"/>
      <c r="Q2061" s="116"/>
      <c r="R2061" s="116" t="s">
        <v>39</v>
      </c>
      <c r="S2061" s="116" t="s">
        <v>39</v>
      </c>
      <c r="T2061" s="104"/>
      <c r="U2061" s="116"/>
      <c r="V2061" s="104"/>
      <c r="W2061" s="116"/>
    </row>
    <row r="2062">
      <c r="A2062" s="114" t="s">
        <v>39</v>
      </c>
      <c r="B2062" s="115"/>
      <c r="C2062" s="116"/>
      <c r="D2062" s="116"/>
      <c r="E2062" s="116" t="str">
        <f>IFERROR(__xludf.DUMMYFUNCTION("""COMPUTED_VALUE"""),"")</f>
        <v/>
      </c>
      <c r="F2062" s="117" t="s">
        <v>39</v>
      </c>
      <c r="G2062" s="116"/>
      <c r="H2062" s="117"/>
      <c r="I2062" s="117"/>
      <c r="J2062" s="117"/>
      <c r="K2062" s="117"/>
      <c r="L2062" s="116"/>
      <c r="M2062" s="117"/>
      <c r="N2062" s="118" t="str">
        <f>IFERROR(__xludf.DUMMYFUNCTION("""COMPUTED_VALUE"""),"")</f>
        <v/>
      </c>
      <c r="O2062" s="116"/>
      <c r="P2062" s="116"/>
      <c r="Q2062" s="116"/>
      <c r="R2062" s="116" t="s">
        <v>39</v>
      </c>
      <c r="S2062" s="116" t="s">
        <v>39</v>
      </c>
      <c r="T2062" s="104"/>
      <c r="U2062" s="116"/>
      <c r="V2062" s="104"/>
      <c r="W2062" s="116"/>
    </row>
    <row r="2063">
      <c r="A2063" s="114" t="s">
        <v>39</v>
      </c>
      <c r="B2063" s="115"/>
      <c r="C2063" s="116"/>
      <c r="D2063" s="116"/>
      <c r="E2063" s="116" t="str">
        <f>IFERROR(__xludf.DUMMYFUNCTION("""COMPUTED_VALUE"""),"")</f>
        <v/>
      </c>
      <c r="F2063" s="117" t="s">
        <v>39</v>
      </c>
      <c r="G2063" s="116"/>
      <c r="H2063" s="117"/>
      <c r="I2063" s="117"/>
      <c r="J2063" s="117"/>
      <c r="K2063" s="117"/>
      <c r="L2063" s="116"/>
      <c r="M2063" s="117"/>
      <c r="N2063" s="118" t="str">
        <f>IFERROR(__xludf.DUMMYFUNCTION("""COMPUTED_VALUE"""),"")</f>
        <v/>
      </c>
      <c r="O2063" s="116"/>
      <c r="P2063" s="116"/>
      <c r="Q2063" s="116"/>
      <c r="R2063" s="116" t="s">
        <v>39</v>
      </c>
      <c r="S2063" s="116" t="s">
        <v>39</v>
      </c>
      <c r="T2063" s="104"/>
      <c r="U2063" s="116"/>
      <c r="V2063" s="104"/>
      <c r="W2063" s="116"/>
    </row>
    <row r="2064">
      <c r="A2064" s="114" t="s">
        <v>39</v>
      </c>
      <c r="B2064" s="115"/>
      <c r="C2064" s="116"/>
      <c r="D2064" s="116"/>
      <c r="E2064" s="116" t="str">
        <f>IFERROR(__xludf.DUMMYFUNCTION("""COMPUTED_VALUE"""),"")</f>
        <v/>
      </c>
      <c r="F2064" s="117" t="s">
        <v>39</v>
      </c>
      <c r="G2064" s="116"/>
      <c r="H2064" s="117"/>
      <c r="I2064" s="117"/>
      <c r="J2064" s="117"/>
      <c r="K2064" s="117"/>
      <c r="L2064" s="116"/>
      <c r="M2064" s="117"/>
      <c r="N2064" s="118" t="str">
        <f>IFERROR(__xludf.DUMMYFUNCTION("""COMPUTED_VALUE"""),"")</f>
        <v/>
      </c>
      <c r="O2064" s="116"/>
      <c r="P2064" s="116"/>
      <c r="Q2064" s="116"/>
      <c r="R2064" s="116" t="s">
        <v>39</v>
      </c>
      <c r="S2064" s="116" t="s">
        <v>39</v>
      </c>
      <c r="T2064" s="104"/>
      <c r="U2064" s="116"/>
      <c r="V2064" s="104"/>
      <c r="W2064" s="116"/>
    </row>
    <row r="2065">
      <c r="A2065" s="114" t="s">
        <v>39</v>
      </c>
      <c r="B2065" s="115"/>
      <c r="C2065" s="116"/>
      <c r="D2065" s="116"/>
      <c r="E2065" s="116" t="str">
        <f>IFERROR(__xludf.DUMMYFUNCTION("""COMPUTED_VALUE"""),"")</f>
        <v/>
      </c>
      <c r="F2065" s="117" t="s">
        <v>39</v>
      </c>
      <c r="G2065" s="116"/>
      <c r="H2065" s="117"/>
      <c r="I2065" s="117"/>
      <c r="J2065" s="117"/>
      <c r="K2065" s="117"/>
      <c r="L2065" s="116"/>
      <c r="M2065" s="117"/>
      <c r="N2065" s="118" t="str">
        <f>IFERROR(__xludf.DUMMYFUNCTION("""COMPUTED_VALUE"""),"")</f>
        <v/>
      </c>
      <c r="O2065" s="116"/>
      <c r="P2065" s="116"/>
      <c r="Q2065" s="116"/>
      <c r="R2065" s="116" t="s">
        <v>39</v>
      </c>
      <c r="S2065" s="116" t="s">
        <v>39</v>
      </c>
      <c r="T2065" s="104"/>
      <c r="U2065" s="116"/>
      <c r="V2065" s="104"/>
      <c r="W2065" s="116"/>
    </row>
    <row r="2066">
      <c r="A2066" s="114" t="s">
        <v>39</v>
      </c>
      <c r="B2066" s="115"/>
      <c r="C2066" s="116"/>
      <c r="D2066" s="116"/>
      <c r="E2066" s="116" t="str">
        <f>IFERROR(__xludf.DUMMYFUNCTION("""COMPUTED_VALUE"""),"")</f>
        <v/>
      </c>
      <c r="F2066" s="117" t="s">
        <v>39</v>
      </c>
      <c r="G2066" s="116"/>
      <c r="H2066" s="117"/>
      <c r="I2066" s="117"/>
      <c r="J2066" s="117"/>
      <c r="K2066" s="117"/>
      <c r="L2066" s="116"/>
      <c r="M2066" s="117"/>
      <c r="N2066" s="118" t="str">
        <f>IFERROR(__xludf.DUMMYFUNCTION("""COMPUTED_VALUE"""),"")</f>
        <v/>
      </c>
      <c r="O2066" s="116"/>
      <c r="P2066" s="116"/>
      <c r="Q2066" s="116"/>
      <c r="R2066" s="116" t="s">
        <v>39</v>
      </c>
      <c r="S2066" s="116" t="s">
        <v>39</v>
      </c>
      <c r="T2066" s="104"/>
      <c r="U2066" s="116"/>
      <c r="V2066" s="104"/>
      <c r="W2066" s="116"/>
    </row>
    <row r="2067">
      <c r="A2067" s="114" t="s">
        <v>39</v>
      </c>
      <c r="B2067" s="115"/>
      <c r="C2067" s="116"/>
      <c r="D2067" s="116"/>
      <c r="E2067" s="116" t="str">
        <f>IFERROR(__xludf.DUMMYFUNCTION("""COMPUTED_VALUE"""),"")</f>
        <v/>
      </c>
      <c r="F2067" s="117" t="s">
        <v>39</v>
      </c>
      <c r="G2067" s="116"/>
      <c r="H2067" s="117"/>
      <c r="I2067" s="117"/>
      <c r="J2067" s="117"/>
      <c r="K2067" s="117"/>
      <c r="L2067" s="116"/>
      <c r="M2067" s="117"/>
      <c r="N2067" s="118" t="str">
        <f>IFERROR(__xludf.DUMMYFUNCTION("""COMPUTED_VALUE"""),"")</f>
        <v/>
      </c>
      <c r="O2067" s="116"/>
      <c r="P2067" s="116"/>
      <c r="Q2067" s="116"/>
      <c r="R2067" s="116" t="s">
        <v>39</v>
      </c>
      <c r="S2067" s="116" t="s">
        <v>39</v>
      </c>
      <c r="T2067" s="104"/>
      <c r="U2067" s="116"/>
      <c r="V2067" s="104"/>
      <c r="W2067" s="116"/>
    </row>
    <row r="2068">
      <c r="A2068" s="114" t="s">
        <v>39</v>
      </c>
      <c r="B2068" s="115"/>
      <c r="C2068" s="116"/>
      <c r="D2068" s="116"/>
      <c r="E2068" s="116" t="str">
        <f>IFERROR(__xludf.DUMMYFUNCTION("""COMPUTED_VALUE"""),"")</f>
        <v/>
      </c>
      <c r="F2068" s="117" t="s">
        <v>39</v>
      </c>
      <c r="G2068" s="116"/>
      <c r="H2068" s="117"/>
      <c r="I2068" s="117"/>
      <c r="J2068" s="117"/>
      <c r="K2068" s="117"/>
      <c r="L2068" s="116"/>
      <c r="M2068" s="117"/>
      <c r="N2068" s="118" t="str">
        <f>IFERROR(__xludf.DUMMYFUNCTION("""COMPUTED_VALUE"""),"")</f>
        <v/>
      </c>
      <c r="O2068" s="116"/>
      <c r="P2068" s="116"/>
      <c r="Q2068" s="116"/>
      <c r="R2068" s="116" t="s">
        <v>39</v>
      </c>
      <c r="S2068" s="116" t="s">
        <v>39</v>
      </c>
      <c r="T2068" s="104"/>
      <c r="U2068" s="116"/>
      <c r="V2068" s="104"/>
      <c r="W2068" s="116"/>
    </row>
    <row r="2069">
      <c r="A2069" s="114" t="s">
        <v>39</v>
      </c>
      <c r="B2069" s="115"/>
      <c r="C2069" s="116"/>
      <c r="D2069" s="116"/>
      <c r="E2069" s="116" t="str">
        <f>IFERROR(__xludf.DUMMYFUNCTION("""COMPUTED_VALUE"""),"")</f>
        <v/>
      </c>
      <c r="F2069" s="117" t="s">
        <v>39</v>
      </c>
      <c r="G2069" s="116"/>
      <c r="H2069" s="117"/>
      <c r="I2069" s="117"/>
      <c r="J2069" s="117"/>
      <c r="K2069" s="117"/>
      <c r="L2069" s="116"/>
      <c r="M2069" s="117"/>
      <c r="N2069" s="118" t="str">
        <f>IFERROR(__xludf.DUMMYFUNCTION("""COMPUTED_VALUE"""),"")</f>
        <v/>
      </c>
      <c r="O2069" s="116"/>
      <c r="P2069" s="116"/>
      <c r="Q2069" s="116"/>
      <c r="R2069" s="116" t="s">
        <v>39</v>
      </c>
      <c r="S2069" s="116" t="s">
        <v>39</v>
      </c>
      <c r="T2069" s="104"/>
      <c r="U2069" s="116"/>
      <c r="V2069" s="104"/>
      <c r="W2069" s="116"/>
    </row>
    <row r="2070">
      <c r="A2070" s="114" t="s">
        <v>39</v>
      </c>
      <c r="B2070" s="115"/>
      <c r="C2070" s="116"/>
      <c r="D2070" s="116"/>
      <c r="E2070" s="116" t="str">
        <f>IFERROR(__xludf.DUMMYFUNCTION("""COMPUTED_VALUE"""),"")</f>
        <v/>
      </c>
      <c r="F2070" s="117" t="s">
        <v>39</v>
      </c>
      <c r="G2070" s="116"/>
      <c r="H2070" s="117"/>
      <c r="I2070" s="117"/>
      <c r="J2070" s="117"/>
      <c r="K2070" s="117"/>
      <c r="L2070" s="116"/>
      <c r="M2070" s="117"/>
      <c r="N2070" s="118" t="str">
        <f>IFERROR(__xludf.DUMMYFUNCTION("""COMPUTED_VALUE"""),"")</f>
        <v/>
      </c>
      <c r="O2070" s="116"/>
      <c r="P2070" s="116"/>
      <c r="Q2070" s="116"/>
      <c r="R2070" s="116" t="s">
        <v>39</v>
      </c>
      <c r="S2070" s="116" t="s">
        <v>39</v>
      </c>
      <c r="T2070" s="104"/>
      <c r="U2070" s="116"/>
      <c r="V2070" s="104"/>
      <c r="W2070" s="116"/>
    </row>
    <row r="2071">
      <c r="A2071" s="114" t="s">
        <v>39</v>
      </c>
      <c r="B2071" s="115"/>
      <c r="C2071" s="116"/>
      <c r="D2071" s="116"/>
      <c r="E2071" s="116" t="str">
        <f>IFERROR(__xludf.DUMMYFUNCTION("""COMPUTED_VALUE"""),"")</f>
        <v/>
      </c>
      <c r="F2071" s="117" t="s">
        <v>39</v>
      </c>
      <c r="G2071" s="116"/>
      <c r="H2071" s="117"/>
      <c r="I2071" s="117"/>
      <c r="J2071" s="117"/>
      <c r="K2071" s="117"/>
      <c r="L2071" s="116"/>
      <c r="M2071" s="117"/>
      <c r="N2071" s="118" t="str">
        <f>IFERROR(__xludf.DUMMYFUNCTION("""COMPUTED_VALUE"""),"")</f>
        <v/>
      </c>
      <c r="O2071" s="116"/>
      <c r="P2071" s="116"/>
      <c r="Q2071" s="116"/>
      <c r="R2071" s="116" t="s">
        <v>39</v>
      </c>
      <c r="S2071" s="116" t="s">
        <v>39</v>
      </c>
      <c r="T2071" s="104"/>
      <c r="U2071" s="116"/>
      <c r="V2071" s="104"/>
      <c r="W2071" s="116"/>
    </row>
    <row r="2072">
      <c r="A2072" s="114" t="s">
        <v>39</v>
      </c>
      <c r="B2072" s="115"/>
      <c r="C2072" s="116"/>
      <c r="D2072" s="116"/>
      <c r="E2072" s="116" t="str">
        <f>IFERROR(__xludf.DUMMYFUNCTION("""COMPUTED_VALUE"""),"")</f>
        <v/>
      </c>
      <c r="F2072" s="117" t="s">
        <v>39</v>
      </c>
      <c r="G2072" s="116"/>
      <c r="H2072" s="117"/>
      <c r="I2072" s="117"/>
      <c r="J2072" s="117"/>
      <c r="K2072" s="117"/>
      <c r="L2072" s="116"/>
      <c r="M2072" s="117"/>
      <c r="N2072" s="118" t="str">
        <f>IFERROR(__xludf.DUMMYFUNCTION("""COMPUTED_VALUE"""),"")</f>
        <v/>
      </c>
      <c r="O2072" s="116"/>
      <c r="P2072" s="116"/>
      <c r="Q2072" s="116"/>
      <c r="R2072" s="116" t="s">
        <v>39</v>
      </c>
      <c r="S2072" s="116" t="s">
        <v>39</v>
      </c>
      <c r="T2072" s="104"/>
      <c r="U2072" s="116"/>
      <c r="V2072" s="104"/>
      <c r="W2072" s="116"/>
    </row>
    <row r="2073">
      <c r="A2073" s="114" t="s">
        <v>39</v>
      </c>
      <c r="B2073" s="115"/>
      <c r="C2073" s="116"/>
      <c r="D2073" s="116"/>
      <c r="E2073" s="116" t="str">
        <f>IFERROR(__xludf.DUMMYFUNCTION("""COMPUTED_VALUE"""),"")</f>
        <v/>
      </c>
      <c r="F2073" s="117" t="s">
        <v>39</v>
      </c>
      <c r="G2073" s="116"/>
      <c r="H2073" s="117"/>
      <c r="I2073" s="117"/>
      <c r="J2073" s="117"/>
      <c r="K2073" s="117"/>
      <c r="L2073" s="116"/>
      <c r="M2073" s="117"/>
      <c r="N2073" s="118" t="str">
        <f>IFERROR(__xludf.DUMMYFUNCTION("""COMPUTED_VALUE"""),"")</f>
        <v/>
      </c>
      <c r="O2073" s="116"/>
      <c r="P2073" s="116"/>
      <c r="Q2073" s="116"/>
      <c r="R2073" s="116" t="s">
        <v>39</v>
      </c>
      <c r="S2073" s="116" t="s">
        <v>39</v>
      </c>
      <c r="T2073" s="104"/>
      <c r="U2073" s="116"/>
      <c r="V2073" s="104"/>
      <c r="W2073" s="116"/>
    </row>
    <row r="2074">
      <c r="A2074" s="114" t="s">
        <v>39</v>
      </c>
      <c r="B2074" s="115"/>
      <c r="C2074" s="116"/>
      <c r="D2074" s="116"/>
      <c r="E2074" s="116" t="str">
        <f>IFERROR(__xludf.DUMMYFUNCTION("""COMPUTED_VALUE"""),"")</f>
        <v/>
      </c>
      <c r="F2074" s="117" t="s">
        <v>39</v>
      </c>
      <c r="G2074" s="116"/>
      <c r="H2074" s="117"/>
      <c r="I2074" s="117"/>
      <c r="J2074" s="117"/>
      <c r="K2074" s="117"/>
      <c r="L2074" s="116"/>
      <c r="M2074" s="117"/>
      <c r="N2074" s="118" t="str">
        <f>IFERROR(__xludf.DUMMYFUNCTION("""COMPUTED_VALUE"""),"")</f>
        <v/>
      </c>
      <c r="O2074" s="116"/>
      <c r="P2074" s="116"/>
      <c r="Q2074" s="116"/>
      <c r="R2074" s="116" t="s">
        <v>39</v>
      </c>
      <c r="S2074" s="116" t="s">
        <v>39</v>
      </c>
      <c r="T2074" s="104"/>
      <c r="U2074" s="116"/>
      <c r="V2074" s="104"/>
      <c r="W2074" s="116"/>
    </row>
    <row r="2075">
      <c r="A2075" s="114" t="s">
        <v>39</v>
      </c>
      <c r="B2075" s="115"/>
      <c r="C2075" s="116"/>
      <c r="D2075" s="116"/>
      <c r="E2075" s="116" t="str">
        <f>IFERROR(__xludf.DUMMYFUNCTION("""COMPUTED_VALUE"""),"")</f>
        <v/>
      </c>
      <c r="F2075" s="117" t="s">
        <v>39</v>
      </c>
      <c r="G2075" s="116"/>
      <c r="H2075" s="117"/>
      <c r="I2075" s="117"/>
      <c r="J2075" s="117"/>
      <c r="K2075" s="117"/>
      <c r="L2075" s="116"/>
      <c r="M2075" s="117"/>
      <c r="N2075" s="118" t="str">
        <f>IFERROR(__xludf.DUMMYFUNCTION("""COMPUTED_VALUE"""),"")</f>
        <v/>
      </c>
      <c r="O2075" s="116"/>
      <c r="P2075" s="116"/>
      <c r="Q2075" s="116"/>
      <c r="R2075" s="116" t="s">
        <v>39</v>
      </c>
      <c r="S2075" s="116" t="s">
        <v>39</v>
      </c>
      <c r="T2075" s="104"/>
      <c r="U2075" s="116"/>
      <c r="V2075" s="104"/>
      <c r="W2075" s="116"/>
    </row>
    <row r="2076">
      <c r="A2076" s="114" t="s">
        <v>39</v>
      </c>
      <c r="B2076" s="115"/>
      <c r="C2076" s="116"/>
      <c r="D2076" s="116"/>
      <c r="E2076" s="116" t="str">
        <f>IFERROR(__xludf.DUMMYFUNCTION("""COMPUTED_VALUE"""),"")</f>
        <v/>
      </c>
      <c r="F2076" s="117" t="s">
        <v>39</v>
      </c>
      <c r="G2076" s="116"/>
      <c r="H2076" s="117"/>
      <c r="I2076" s="117"/>
      <c r="J2076" s="117"/>
      <c r="K2076" s="117"/>
      <c r="L2076" s="116"/>
      <c r="M2076" s="117"/>
      <c r="N2076" s="118" t="str">
        <f>IFERROR(__xludf.DUMMYFUNCTION("""COMPUTED_VALUE"""),"")</f>
        <v/>
      </c>
      <c r="O2076" s="116"/>
      <c r="P2076" s="116"/>
      <c r="Q2076" s="116"/>
      <c r="R2076" s="116" t="s">
        <v>39</v>
      </c>
      <c r="S2076" s="116" t="s">
        <v>39</v>
      </c>
      <c r="T2076" s="104"/>
      <c r="U2076" s="116"/>
      <c r="V2076" s="104"/>
      <c r="W2076" s="116"/>
    </row>
    <row r="2077">
      <c r="A2077" s="114" t="s">
        <v>39</v>
      </c>
      <c r="B2077" s="115"/>
      <c r="C2077" s="116"/>
      <c r="D2077" s="116"/>
      <c r="E2077" s="116" t="str">
        <f>IFERROR(__xludf.DUMMYFUNCTION("""COMPUTED_VALUE"""),"")</f>
        <v/>
      </c>
      <c r="F2077" s="117" t="s">
        <v>39</v>
      </c>
      <c r="G2077" s="116"/>
      <c r="H2077" s="117"/>
      <c r="I2077" s="117"/>
      <c r="J2077" s="117"/>
      <c r="K2077" s="117"/>
      <c r="L2077" s="116"/>
      <c r="M2077" s="117"/>
      <c r="N2077" s="118" t="str">
        <f>IFERROR(__xludf.DUMMYFUNCTION("""COMPUTED_VALUE"""),"")</f>
        <v/>
      </c>
      <c r="O2077" s="116"/>
      <c r="P2077" s="116"/>
      <c r="Q2077" s="116"/>
      <c r="R2077" s="116" t="s">
        <v>39</v>
      </c>
      <c r="S2077" s="116" t="s">
        <v>39</v>
      </c>
      <c r="T2077" s="104"/>
      <c r="U2077" s="116"/>
      <c r="V2077" s="104"/>
      <c r="W2077" s="116"/>
    </row>
    <row r="2078">
      <c r="A2078" s="114" t="s">
        <v>39</v>
      </c>
      <c r="B2078" s="115"/>
      <c r="C2078" s="116"/>
      <c r="D2078" s="116"/>
      <c r="E2078" s="116" t="str">
        <f>IFERROR(__xludf.DUMMYFUNCTION("""COMPUTED_VALUE"""),"")</f>
        <v/>
      </c>
      <c r="F2078" s="117" t="s">
        <v>39</v>
      </c>
      <c r="G2078" s="116"/>
      <c r="H2078" s="117"/>
      <c r="I2078" s="117"/>
      <c r="J2078" s="117"/>
      <c r="K2078" s="117"/>
      <c r="L2078" s="116"/>
      <c r="M2078" s="117"/>
      <c r="N2078" s="118" t="str">
        <f>IFERROR(__xludf.DUMMYFUNCTION("""COMPUTED_VALUE"""),"")</f>
        <v/>
      </c>
      <c r="O2078" s="116"/>
      <c r="P2078" s="116"/>
      <c r="Q2078" s="116"/>
      <c r="R2078" s="116" t="s">
        <v>39</v>
      </c>
      <c r="S2078" s="116" t="s">
        <v>39</v>
      </c>
      <c r="T2078" s="104"/>
      <c r="U2078" s="116"/>
      <c r="V2078" s="104"/>
      <c r="W2078" s="116"/>
    </row>
    <row r="2079">
      <c r="A2079" s="114" t="s">
        <v>39</v>
      </c>
      <c r="B2079" s="115"/>
      <c r="C2079" s="116"/>
      <c r="D2079" s="116"/>
      <c r="E2079" s="116" t="str">
        <f>IFERROR(__xludf.DUMMYFUNCTION("""COMPUTED_VALUE"""),"")</f>
        <v/>
      </c>
      <c r="F2079" s="117" t="s">
        <v>39</v>
      </c>
      <c r="G2079" s="116"/>
      <c r="H2079" s="117"/>
      <c r="I2079" s="117"/>
      <c r="J2079" s="117"/>
      <c r="K2079" s="117"/>
      <c r="L2079" s="116"/>
      <c r="M2079" s="117"/>
      <c r="N2079" s="118" t="str">
        <f>IFERROR(__xludf.DUMMYFUNCTION("""COMPUTED_VALUE"""),"")</f>
        <v/>
      </c>
      <c r="O2079" s="116"/>
      <c r="P2079" s="116"/>
      <c r="Q2079" s="116"/>
      <c r="R2079" s="116" t="s">
        <v>39</v>
      </c>
      <c r="S2079" s="116" t="s">
        <v>39</v>
      </c>
      <c r="T2079" s="104"/>
      <c r="U2079" s="116"/>
      <c r="V2079" s="104"/>
      <c r="W2079" s="116"/>
    </row>
    <row r="2080">
      <c r="A2080" s="114" t="s">
        <v>39</v>
      </c>
      <c r="B2080" s="115"/>
      <c r="C2080" s="116"/>
      <c r="D2080" s="116"/>
      <c r="E2080" s="116" t="str">
        <f>IFERROR(__xludf.DUMMYFUNCTION("""COMPUTED_VALUE"""),"")</f>
        <v/>
      </c>
      <c r="F2080" s="117" t="s">
        <v>39</v>
      </c>
      <c r="G2080" s="116"/>
      <c r="H2080" s="117"/>
      <c r="I2080" s="117"/>
      <c r="J2080" s="117"/>
      <c r="K2080" s="117"/>
      <c r="L2080" s="116"/>
      <c r="M2080" s="117"/>
      <c r="N2080" s="118" t="str">
        <f>IFERROR(__xludf.DUMMYFUNCTION("""COMPUTED_VALUE"""),"")</f>
        <v/>
      </c>
      <c r="O2080" s="116"/>
      <c r="P2080" s="116"/>
      <c r="Q2080" s="116"/>
      <c r="R2080" s="116" t="s">
        <v>39</v>
      </c>
      <c r="S2080" s="116" t="s">
        <v>39</v>
      </c>
      <c r="T2080" s="104"/>
      <c r="U2080" s="116"/>
      <c r="V2080" s="104"/>
      <c r="W2080" s="116"/>
    </row>
    <row r="2081">
      <c r="A2081" s="114" t="s">
        <v>39</v>
      </c>
      <c r="B2081" s="115"/>
      <c r="C2081" s="116"/>
      <c r="D2081" s="116"/>
      <c r="E2081" s="116" t="str">
        <f>IFERROR(__xludf.DUMMYFUNCTION("""COMPUTED_VALUE"""),"")</f>
        <v/>
      </c>
      <c r="F2081" s="117" t="s">
        <v>39</v>
      </c>
      <c r="G2081" s="116"/>
      <c r="H2081" s="117"/>
      <c r="I2081" s="117"/>
      <c r="J2081" s="117"/>
      <c r="K2081" s="117"/>
      <c r="L2081" s="116"/>
      <c r="M2081" s="117"/>
      <c r="N2081" s="118" t="str">
        <f>IFERROR(__xludf.DUMMYFUNCTION("""COMPUTED_VALUE"""),"")</f>
        <v/>
      </c>
      <c r="O2081" s="116"/>
      <c r="P2081" s="116"/>
      <c r="Q2081" s="116"/>
      <c r="R2081" s="116" t="s">
        <v>39</v>
      </c>
      <c r="S2081" s="116" t="s">
        <v>39</v>
      </c>
      <c r="T2081" s="104"/>
      <c r="U2081" s="116"/>
      <c r="V2081" s="104"/>
      <c r="W2081" s="116"/>
    </row>
    <row r="2082">
      <c r="A2082" s="114" t="s">
        <v>39</v>
      </c>
      <c r="B2082" s="115"/>
      <c r="C2082" s="116"/>
      <c r="D2082" s="116"/>
      <c r="E2082" s="116" t="str">
        <f>IFERROR(__xludf.DUMMYFUNCTION("""COMPUTED_VALUE"""),"")</f>
        <v/>
      </c>
      <c r="F2082" s="117" t="s">
        <v>39</v>
      </c>
      <c r="G2082" s="116"/>
      <c r="H2082" s="117"/>
      <c r="I2082" s="117"/>
      <c r="J2082" s="117"/>
      <c r="K2082" s="117"/>
      <c r="L2082" s="116"/>
      <c r="M2082" s="117"/>
      <c r="N2082" s="118" t="str">
        <f>IFERROR(__xludf.DUMMYFUNCTION("""COMPUTED_VALUE"""),"")</f>
        <v/>
      </c>
      <c r="O2082" s="116"/>
      <c r="P2082" s="116"/>
      <c r="Q2082" s="116"/>
      <c r="R2082" s="116" t="s">
        <v>39</v>
      </c>
      <c r="S2082" s="116" t="s">
        <v>39</v>
      </c>
      <c r="T2082" s="104"/>
      <c r="U2082" s="116"/>
      <c r="V2082" s="104"/>
      <c r="W2082" s="116"/>
    </row>
    <row r="2083">
      <c r="A2083" s="114" t="s">
        <v>39</v>
      </c>
      <c r="B2083" s="115"/>
      <c r="C2083" s="116"/>
      <c r="D2083" s="116"/>
      <c r="E2083" s="116" t="str">
        <f>IFERROR(__xludf.DUMMYFUNCTION("""COMPUTED_VALUE"""),"")</f>
        <v/>
      </c>
      <c r="F2083" s="117" t="s">
        <v>39</v>
      </c>
      <c r="G2083" s="116"/>
      <c r="H2083" s="117"/>
      <c r="I2083" s="117"/>
      <c r="J2083" s="117"/>
      <c r="K2083" s="117"/>
      <c r="L2083" s="116"/>
      <c r="M2083" s="117"/>
      <c r="N2083" s="118" t="str">
        <f>IFERROR(__xludf.DUMMYFUNCTION("""COMPUTED_VALUE"""),"")</f>
        <v/>
      </c>
      <c r="O2083" s="116"/>
      <c r="P2083" s="116"/>
      <c r="Q2083" s="116"/>
      <c r="R2083" s="116" t="s">
        <v>39</v>
      </c>
      <c r="S2083" s="116" t="s">
        <v>39</v>
      </c>
      <c r="T2083" s="104"/>
      <c r="U2083" s="116"/>
      <c r="V2083" s="104"/>
      <c r="W2083" s="116"/>
    </row>
    <row r="2084">
      <c r="A2084" s="114" t="s">
        <v>39</v>
      </c>
      <c r="B2084" s="115"/>
      <c r="C2084" s="116"/>
      <c r="D2084" s="116"/>
      <c r="E2084" s="116" t="str">
        <f>IFERROR(__xludf.DUMMYFUNCTION("""COMPUTED_VALUE"""),"")</f>
        <v/>
      </c>
      <c r="F2084" s="117" t="s">
        <v>39</v>
      </c>
      <c r="G2084" s="116"/>
      <c r="H2084" s="117"/>
      <c r="I2084" s="117"/>
      <c r="J2084" s="117"/>
      <c r="K2084" s="117"/>
      <c r="L2084" s="116"/>
      <c r="M2084" s="117"/>
      <c r="N2084" s="118" t="str">
        <f>IFERROR(__xludf.DUMMYFUNCTION("""COMPUTED_VALUE"""),"")</f>
        <v/>
      </c>
      <c r="O2084" s="116"/>
      <c r="P2084" s="116"/>
      <c r="Q2084" s="116"/>
      <c r="R2084" s="116" t="s">
        <v>39</v>
      </c>
      <c r="S2084" s="116" t="s">
        <v>39</v>
      </c>
      <c r="T2084" s="104"/>
      <c r="U2084" s="116"/>
      <c r="V2084" s="104"/>
      <c r="W2084" s="116"/>
    </row>
    <row r="2085">
      <c r="A2085" s="114" t="s">
        <v>39</v>
      </c>
      <c r="B2085" s="115"/>
      <c r="C2085" s="116"/>
      <c r="D2085" s="116"/>
      <c r="E2085" s="116" t="str">
        <f>IFERROR(__xludf.DUMMYFUNCTION("""COMPUTED_VALUE"""),"")</f>
        <v/>
      </c>
      <c r="F2085" s="117" t="s">
        <v>39</v>
      </c>
      <c r="G2085" s="116"/>
      <c r="H2085" s="117"/>
      <c r="I2085" s="117"/>
      <c r="J2085" s="117"/>
      <c r="K2085" s="117"/>
      <c r="L2085" s="116"/>
      <c r="M2085" s="117"/>
      <c r="N2085" s="118" t="str">
        <f>IFERROR(__xludf.DUMMYFUNCTION("""COMPUTED_VALUE"""),"")</f>
        <v/>
      </c>
      <c r="O2085" s="116"/>
      <c r="P2085" s="116"/>
      <c r="Q2085" s="116"/>
      <c r="R2085" s="116" t="s">
        <v>39</v>
      </c>
      <c r="S2085" s="116" t="s">
        <v>39</v>
      </c>
      <c r="T2085" s="104"/>
      <c r="U2085" s="116"/>
      <c r="V2085" s="104"/>
      <c r="W2085" s="116"/>
    </row>
    <row r="2086">
      <c r="A2086" s="114" t="s">
        <v>39</v>
      </c>
      <c r="B2086" s="115"/>
      <c r="C2086" s="116"/>
      <c r="D2086" s="116"/>
      <c r="E2086" s="116" t="str">
        <f>IFERROR(__xludf.DUMMYFUNCTION("""COMPUTED_VALUE"""),"")</f>
        <v/>
      </c>
      <c r="F2086" s="117" t="s">
        <v>39</v>
      </c>
      <c r="G2086" s="116"/>
      <c r="H2086" s="117"/>
      <c r="I2086" s="117"/>
      <c r="J2086" s="117"/>
      <c r="K2086" s="117"/>
      <c r="L2086" s="116"/>
      <c r="M2086" s="117"/>
      <c r="N2086" s="118" t="str">
        <f>IFERROR(__xludf.DUMMYFUNCTION("""COMPUTED_VALUE"""),"")</f>
        <v/>
      </c>
      <c r="O2086" s="116"/>
      <c r="P2086" s="116"/>
      <c r="Q2086" s="116"/>
      <c r="R2086" s="116" t="s">
        <v>39</v>
      </c>
      <c r="S2086" s="116" t="s">
        <v>39</v>
      </c>
      <c r="T2086" s="104"/>
      <c r="U2086" s="116"/>
      <c r="V2086" s="104"/>
      <c r="W2086" s="116"/>
    </row>
    <row r="2087">
      <c r="A2087" s="114" t="s">
        <v>39</v>
      </c>
      <c r="B2087" s="115"/>
      <c r="C2087" s="116"/>
      <c r="D2087" s="116"/>
      <c r="E2087" s="116" t="str">
        <f>IFERROR(__xludf.DUMMYFUNCTION("""COMPUTED_VALUE"""),"")</f>
        <v/>
      </c>
      <c r="F2087" s="117" t="s">
        <v>39</v>
      </c>
      <c r="G2087" s="116"/>
      <c r="H2087" s="117"/>
      <c r="I2087" s="117"/>
      <c r="J2087" s="117"/>
      <c r="K2087" s="117"/>
      <c r="L2087" s="116"/>
      <c r="M2087" s="117"/>
      <c r="N2087" s="118" t="str">
        <f>IFERROR(__xludf.DUMMYFUNCTION("""COMPUTED_VALUE"""),"")</f>
        <v/>
      </c>
      <c r="O2087" s="116"/>
      <c r="P2087" s="116"/>
      <c r="Q2087" s="116"/>
      <c r="R2087" s="116" t="s">
        <v>39</v>
      </c>
      <c r="S2087" s="116" t="s">
        <v>39</v>
      </c>
      <c r="T2087" s="104"/>
      <c r="U2087" s="116"/>
      <c r="V2087" s="104"/>
      <c r="W2087" s="116"/>
    </row>
    <row r="2088">
      <c r="A2088" s="114" t="s">
        <v>39</v>
      </c>
      <c r="B2088" s="115"/>
      <c r="C2088" s="116"/>
      <c r="D2088" s="116"/>
      <c r="E2088" s="116" t="str">
        <f>IFERROR(__xludf.DUMMYFUNCTION("""COMPUTED_VALUE"""),"")</f>
        <v/>
      </c>
      <c r="F2088" s="117" t="s">
        <v>39</v>
      </c>
      <c r="G2088" s="116"/>
      <c r="H2088" s="117"/>
      <c r="I2088" s="117"/>
      <c r="J2088" s="117"/>
      <c r="K2088" s="117"/>
      <c r="L2088" s="116"/>
      <c r="M2088" s="117"/>
      <c r="N2088" s="118" t="str">
        <f>IFERROR(__xludf.DUMMYFUNCTION("""COMPUTED_VALUE"""),"")</f>
        <v/>
      </c>
      <c r="O2088" s="116"/>
      <c r="P2088" s="116"/>
      <c r="Q2088" s="116"/>
      <c r="R2088" s="116" t="s">
        <v>39</v>
      </c>
      <c r="S2088" s="116" t="s">
        <v>39</v>
      </c>
      <c r="T2088" s="104"/>
      <c r="U2088" s="116"/>
      <c r="V2088" s="104"/>
      <c r="W2088" s="116"/>
    </row>
    <row r="2089">
      <c r="A2089" s="114" t="s">
        <v>39</v>
      </c>
      <c r="B2089" s="115"/>
      <c r="C2089" s="116"/>
      <c r="D2089" s="116"/>
      <c r="E2089" s="116" t="str">
        <f>IFERROR(__xludf.DUMMYFUNCTION("""COMPUTED_VALUE"""),"")</f>
        <v/>
      </c>
      <c r="F2089" s="117" t="s">
        <v>39</v>
      </c>
      <c r="G2089" s="116"/>
      <c r="H2089" s="117"/>
      <c r="I2089" s="117"/>
      <c r="J2089" s="117"/>
      <c r="K2089" s="117"/>
      <c r="L2089" s="116"/>
      <c r="M2089" s="117"/>
      <c r="N2089" s="118" t="str">
        <f>IFERROR(__xludf.DUMMYFUNCTION("""COMPUTED_VALUE"""),"")</f>
        <v/>
      </c>
      <c r="O2089" s="116"/>
      <c r="P2089" s="116"/>
      <c r="Q2089" s="116"/>
      <c r="R2089" s="116" t="s">
        <v>39</v>
      </c>
      <c r="S2089" s="116" t="s">
        <v>39</v>
      </c>
      <c r="T2089" s="104"/>
      <c r="U2089" s="116"/>
      <c r="V2089" s="104"/>
      <c r="W2089" s="116"/>
    </row>
    <row r="2090">
      <c r="A2090" s="114" t="s">
        <v>39</v>
      </c>
      <c r="B2090" s="115"/>
      <c r="C2090" s="116"/>
      <c r="D2090" s="116"/>
      <c r="E2090" s="116" t="str">
        <f>IFERROR(__xludf.DUMMYFUNCTION("""COMPUTED_VALUE"""),"")</f>
        <v/>
      </c>
      <c r="F2090" s="117" t="s">
        <v>39</v>
      </c>
      <c r="G2090" s="116"/>
      <c r="H2090" s="117"/>
      <c r="I2090" s="117"/>
      <c r="J2090" s="117"/>
      <c r="K2090" s="117"/>
      <c r="L2090" s="116"/>
      <c r="M2090" s="117"/>
      <c r="N2090" s="118" t="str">
        <f>IFERROR(__xludf.DUMMYFUNCTION("""COMPUTED_VALUE"""),"")</f>
        <v/>
      </c>
      <c r="O2090" s="116"/>
      <c r="P2090" s="116"/>
      <c r="Q2090" s="116"/>
      <c r="R2090" s="116" t="s">
        <v>39</v>
      </c>
      <c r="S2090" s="116" t="s">
        <v>39</v>
      </c>
      <c r="T2090" s="104"/>
      <c r="U2090" s="116"/>
      <c r="V2090" s="104"/>
      <c r="W2090" s="116"/>
    </row>
    <row r="2091">
      <c r="A2091" s="114" t="s">
        <v>39</v>
      </c>
      <c r="B2091" s="115"/>
      <c r="C2091" s="116"/>
      <c r="D2091" s="116"/>
      <c r="E2091" s="116" t="str">
        <f>IFERROR(__xludf.DUMMYFUNCTION("""COMPUTED_VALUE"""),"")</f>
        <v/>
      </c>
      <c r="F2091" s="117" t="s">
        <v>39</v>
      </c>
      <c r="G2091" s="116"/>
      <c r="H2091" s="117"/>
      <c r="I2091" s="117"/>
      <c r="J2091" s="117"/>
      <c r="K2091" s="117"/>
      <c r="L2091" s="116"/>
      <c r="M2091" s="117"/>
      <c r="N2091" s="118" t="str">
        <f>IFERROR(__xludf.DUMMYFUNCTION("""COMPUTED_VALUE"""),"")</f>
        <v/>
      </c>
      <c r="O2091" s="116"/>
      <c r="P2091" s="116"/>
      <c r="Q2091" s="116"/>
      <c r="R2091" s="116" t="s">
        <v>39</v>
      </c>
      <c r="S2091" s="116" t="s">
        <v>39</v>
      </c>
      <c r="T2091" s="104"/>
      <c r="U2091" s="116"/>
      <c r="V2091" s="104"/>
      <c r="W2091" s="116"/>
    </row>
    <row r="2092">
      <c r="A2092" s="114" t="s">
        <v>39</v>
      </c>
      <c r="B2092" s="115"/>
      <c r="C2092" s="116"/>
      <c r="D2092" s="116"/>
      <c r="E2092" s="116" t="str">
        <f>IFERROR(__xludf.DUMMYFUNCTION("""COMPUTED_VALUE"""),"")</f>
        <v/>
      </c>
      <c r="F2092" s="117" t="s">
        <v>39</v>
      </c>
      <c r="G2092" s="116"/>
      <c r="H2092" s="117"/>
      <c r="I2092" s="117"/>
      <c r="J2092" s="117"/>
      <c r="K2092" s="117"/>
      <c r="L2092" s="116"/>
      <c r="M2092" s="117"/>
      <c r="N2092" s="118" t="str">
        <f>IFERROR(__xludf.DUMMYFUNCTION("""COMPUTED_VALUE"""),"")</f>
        <v/>
      </c>
      <c r="O2092" s="116"/>
      <c r="P2092" s="116"/>
      <c r="Q2092" s="116"/>
      <c r="R2092" s="116" t="s">
        <v>39</v>
      </c>
      <c r="S2092" s="116" t="s">
        <v>39</v>
      </c>
      <c r="T2092" s="104"/>
      <c r="U2092" s="116"/>
      <c r="V2092" s="104"/>
      <c r="W2092" s="116"/>
    </row>
    <row r="2093">
      <c r="A2093" s="114" t="s">
        <v>39</v>
      </c>
      <c r="B2093" s="115"/>
      <c r="C2093" s="116"/>
      <c r="D2093" s="116"/>
      <c r="E2093" s="116" t="str">
        <f>IFERROR(__xludf.DUMMYFUNCTION("""COMPUTED_VALUE"""),"")</f>
        <v/>
      </c>
      <c r="F2093" s="117" t="s">
        <v>39</v>
      </c>
      <c r="G2093" s="116"/>
      <c r="H2093" s="117"/>
      <c r="I2093" s="117"/>
      <c r="J2093" s="117"/>
      <c r="K2093" s="117"/>
      <c r="L2093" s="116"/>
      <c r="M2093" s="117"/>
      <c r="N2093" s="118" t="str">
        <f>IFERROR(__xludf.DUMMYFUNCTION("""COMPUTED_VALUE"""),"")</f>
        <v/>
      </c>
      <c r="O2093" s="116"/>
      <c r="P2093" s="116"/>
      <c r="Q2093" s="116"/>
      <c r="R2093" s="116" t="s">
        <v>39</v>
      </c>
      <c r="S2093" s="116" t="s">
        <v>39</v>
      </c>
      <c r="T2093" s="104"/>
      <c r="U2093" s="116"/>
      <c r="V2093" s="104"/>
      <c r="W2093" s="116"/>
    </row>
    <row r="2094">
      <c r="A2094" s="114" t="s">
        <v>39</v>
      </c>
      <c r="B2094" s="115"/>
      <c r="C2094" s="116"/>
      <c r="D2094" s="116"/>
      <c r="E2094" s="116" t="str">
        <f>IFERROR(__xludf.DUMMYFUNCTION("""COMPUTED_VALUE"""),"")</f>
        <v/>
      </c>
      <c r="F2094" s="117" t="s">
        <v>39</v>
      </c>
      <c r="G2094" s="116"/>
      <c r="H2094" s="117"/>
      <c r="I2094" s="117"/>
      <c r="J2094" s="117"/>
      <c r="K2094" s="117"/>
      <c r="L2094" s="116"/>
      <c r="M2094" s="117"/>
      <c r="N2094" s="118" t="str">
        <f>IFERROR(__xludf.DUMMYFUNCTION("""COMPUTED_VALUE"""),"")</f>
        <v/>
      </c>
      <c r="O2094" s="116"/>
      <c r="P2094" s="116"/>
      <c r="Q2094" s="116"/>
      <c r="R2094" s="116" t="s">
        <v>39</v>
      </c>
      <c r="S2094" s="116" t="s">
        <v>39</v>
      </c>
      <c r="T2094" s="104"/>
      <c r="U2094" s="116"/>
      <c r="V2094" s="104"/>
      <c r="W2094" s="116"/>
    </row>
    <row r="2095">
      <c r="A2095" s="114" t="s">
        <v>39</v>
      </c>
      <c r="B2095" s="115"/>
      <c r="C2095" s="116"/>
      <c r="D2095" s="116"/>
      <c r="E2095" s="116" t="str">
        <f>IFERROR(__xludf.DUMMYFUNCTION("""COMPUTED_VALUE"""),"")</f>
        <v/>
      </c>
      <c r="F2095" s="117" t="s">
        <v>39</v>
      </c>
      <c r="G2095" s="116"/>
      <c r="H2095" s="117"/>
      <c r="I2095" s="117"/>
      <c r="J2095" s="117"/>
      <c r="K2095" s="117"/>
      <c r="L2095" s="116"/>
      <c r="M2095" s="117"/>
      <c r="N2095" s="118" t="str">
        <f>IFERROR(__xludf.DUMMYFUNCTION("""COMPUTED_VALUE"""),"")</f>
        <v/>
      </c>
      <c r="O2095" s="116"/>
      <c r="P2095" s="116"/>
      <c r="Q2095" s="116"/>
      <c r="R2095" s="116" t="s">
        <v>39</v>
      </c>
      <c r="S2095" s="116" t="s">
        <v>39</v>
      </c>
      <c r="T2095" s="104"/>
      <c r="U2095" s="116"/>
      <c r="V2095" s="104"/>
      <c r="W2095" s="116"/>
    </row>
    <row r="2096">
      <c r="A2096" s="114" t="s">
        <v>39</v>
      </c>
      <c r="B2096" s="115"/>
      <c r="C2096" s="116"/>
      <c r="D2096" s="116"/>
      <c r="E2096" s="116" t="str">
        <f>IFERROR(__xludf.DUMMYFUNCTION("""COMPUTED_VALUE"""),"")</f>
        <v/>
      </c>
      <c r="F2096" s="117" t="s">
        <v>39</v>
      </c>
      <c r="G2096" s="116"/>
      <c r="H2096" s="117"/>
      <c r="I2096" s="117"/>
      <c r="J2096" s="117"/>
      <c r="K2096" s="117"/>
      <c r="L2096" s="116"/>
      <c r="M2096" s="117"/>
      <c r="N2096" s="118" t="str">
        <f>IFERROR(__xludf.DUMMYFUNCTION("""COMPUTED_VALUE"""),"")</f>
        <v/>
      </c>
      <c r="O2096" s="116"/>
      <c r="P2096" s="116"/>
      <c r="Q2096" s="116"/>
      <c r="R2096" s="116" t="s">
        <v>39</v>
      </c>
      <c r="S2096" s="116" t="s">
        <v>39</v>
      </c>
      <c r="T2096" s="104"/>
      <c r="U2096" s="116"/>
      <c r="V2096" s="104"/>
      <c r="W2096" s="116"/>
    </row>
    <row r="2097">
      <c r="A2097" s="114" t="s">
        <v>39</v>
      </c>
      <c r="B2097" s="115"/>
      <c r="C2097" s="116"/>
      <c r="D2097" s="116"/>
      <c r="E2097" s="116" t="str">
        <f>IFERROR(__xludf.DUMMYFUNCTION("""COMPUTED_VALUE"""),"")</f>
        <v/>
      </c>
      <c r="F2097" s="117" t="s">
        <v>39</v>
      </c>
      <c r="G2097" s="116"/>
      <c r="H2097" s="117"/>
      <c r="I2097" s="117"/>
      <c r="J2097" s="117"/>
      <c r="K2097" s="117"/>
      <c r="L2097" s="116"/>
      <c r="M2097" s="117"/>
      <c r="N2097" s="118" t="str">
        <f>IFERROR(__xludf.DUMMYFUNCTION("""COMPUTED_VALUE"""),"")</f>
        <v/>
      </c>
      <c r="O2097" s="116"/>
      <c r="P2097" s="116"/>
      <c r="Q2097" s="116"/>
      <c r="R2097" s="116" t="s">
        <v>39</v>
      </c>
      <c r="S2097" s="116" t="s">
        <v>39</v>
      </c>
      <c r="T2097" s="104"/>
      <c r="U2097" s="116"/>
      <c r="V2097" s="104"/>
      <c r="W2097" s="116"/>
    </row>
    <row r="2098">
      <c r="A2098" s="114" t="s">
        <v>39</v>
      </c>
      <c r="B2098" s="115"/>
      <c r="C2098" s="116"/>
      <c r="D2098" s="116"/>
      <c r="E2098" s="116" t="str">
        <f>IFERROR(__xludf.DUMMYFUNCTION("""COMPUTED_VALUE"""),"")</f>
        <v/>
      </c>
      <c r="F2098" s="117" t="s">
        <v>39</v>
      </c>
      <c r="G2098" s="116"/>
      <c r="H2098" s="117"/>
      <c r="I2098" s="117"/>
      <c r="J2098" s="117"/>
      <c r="K2098" s="117"/>
      <c r="L2098" s="116"/>
      <c r="M2098" s="117"/>
      <c r="N2098" s="118" t="str">
        <f>IFERROR(__xludf.DUMMYFUNCTION("""COMPUTED_VALUE"""),"")</f>
        <v/>
      </c>
      <c r="O2098" s="116"/>
      <c r="P2098" s="116"/>
      <c r="Q2098" s="116"/>
      <c r="R2098" s="116" t="s">
        <v>39</v>
      </c>
      <c r="S2098" s="116" t="s">
        <v>39</v>
      </c>
      <c r="T2098" s="104"/>
      <c r="U2098" s="116"/>
      <c r="V2098" s="104"/>
      <c r="W2098" s="116"/>
    </row>
    <row r="2099">
      <c r="A2099" s="114" t="s">
        <v>39</v>
      </c>
      <c r="B2099" s="115"/>
      <c r="C2099" s="116"/>
      <c r="D2099" s="116"/>
      <c r="E2099" s="116" t="str">
        <f>IFERROR(__xludf.DUMMYFUNCTION("""COMPUTED_VALUE"""),"")</f>
        <v/>
      </c>
      <c r="F2099" s="117" t="s">
        <v>39</v>
      </c>
      <c r="G2099" s="116"/>
      <c r="H2099" s="117"/>
      <c r="I2099" s="117"/>
      <c r="J2099" s="117"/>
      <c r="K2099" s="117"/>
      <c r="L2099" s="116"/>
      <c r="M2099" s="117"/>
      <c r="N2099" s="118" t="str">
        <f>IFERROR(__xludf.DUMMYFUNCTION("""COMPUTED_VALUE"""),"")</f>
        <v/>
      </c>
      <c r="O2099" s="116"/>
      <c r="P2099" s="116"/>
      <c r="Q2099" s="116"/>
      <c r="R2099" s="116" t="s">
        <v>39</v>
      </c>
      <c r="S2099" s="116" t="s">
        <v>39</v>
      </c>
      <c r="T2099" s="104"/>
      <c r="U2099" s="116"/>
      <c r="V2099" s="104"/>
      <c r="W2099" s="116"/>
    </row>
    <row r="2100">
      <c r="A2100" s="114" t="s">
        <v>39</v>
      </c>
      <c r="B2100" s="115"/>
      <c r="C2100" s="116"/>
      <c r="D2100" s="116"/>
      <c r="E2100" s="116" t="str">
        <f>IFERROR(__xludf.DUMMYFUNCTION("""COMPUTED_VALUE"""),"")</f>
        <v/>
      </c>
      <c r="F2100" s="117" t="s">
        <v>39</v>
      </c>
      <c r="G2100" s="116"/>
      <c r="H2100" s="117"/>
      <c r="I2100" s="117"/>
      <c r="J2100" s="117"/>
      <c r="K2100" s="117"/>
      <c r="L2100" s="116"/>
      <c r="M2100" s="117"/>
      <c r="N2100" s="118" t="str">
        <f>IFERROR(__xludf.DUMMYFUNCTION("""COMPUTED_VALUE"""),"")</f>
        <v/>
      </c>
      <c r="O2100" s="116"/>
      <c r="P2100" s="116"/>
      <c r="Q2100" s="116"/>
      <c r="R2100" s="116" t="s">
        <v>39</v>
      </c>
      <c r="S2100" s="116" t="s">
        <v>39</v>
      </c>
      <c r="T2100" s="104"/>
      <c r="U2100" s="116"/>
      <c r="V2100" s="104"/>
      <c r="W2100" s="116"/>
    </row>
    <row r="2101">
      <c r="A2101" s="114" t="s">
        <v>39</v>
      </c>
      <c r="B2101" s="115"/>
      <c r="C2101" s="116"/>
      <c r="D2101" s="116"/>
      <c r="E2101" s="116" t="str">
        <f>IFERROR(__xludf.DUMMYFUNCTION("""COMPUTED_VALUE"""),"")</f>
        <v/>
      </c>
      <c r="F2101" s="117" t="s">
        <v>39</v>
      </c>
      <c r="G2101" s="116"/>
      <c r="H2101" s="117"/>
      <c r="I2101" s="117"/>
      <c r="J2101" s="117"/>
      <c r="K2101" s="117"/>
      <c r="L2101" s="116"/>
      <c r="M2101" s="117"/>
      <c r="N2101" s="118" t="str">
        <f>IFERROR(__xludf.DUMMYFUNCTION("""COMPUTED_VALUE"""),"")</f>
        <v/>
      </c>
      <c r="O2101" s="116"/>
      <c r="P2101" s="116"/>
      <c r="Q2101" s="116"/>
      <c r="R2101" s="116" t="s">
        <v>39</v>
      </c>
      <c r="S2101" s="116" t="s">
        <v>39</v>
      </c>
      <c r="T2101" s="104"/>
      <c r="U2101" s="116"/>
      <c r="V2101" s="104"/>
      <c r="W2101" s="116"/>
    </row>
    <row r="2102">
      <c r="A2102" s="114" t="s">
        <v>39</v>
      </c>
      <c r="B2102" s="115"/>
      <c r="C2102" s="116"/>
      <c r="D2102" s="116"/>
      <c r="E2102" s="116" t="str">
        <f>IFERROR(__xludf.DUMMYFUNCTION("""COMPUTED_VALUE"""),"")</f>
        <v/>
      </c>
      <c r="F2102" s="117" t="s">
        <v>39</v>
      </c>
      <c r="G2102" s="116"/>
      <c r="H2102" s="117"/>
      <c r="I2102" s="117"/>
      <c r="J2102" s="117"/>
      <c r="K2102" s="117"/>
      <c r="L2102" s="116"/>
      <c r="M2102" s="117"/>
      <c r="N2102" s="118" t="str">
        <f>IFERROR(__xludf.DUMMYFUNCTION("""COMPUTED_VALUE"""),"")</f>
        <v/>
      </c>
      <c r="O2102" s="116"/>
      <c r="P2102" s="116"/>
      <c r="Q2102" s="116"/>
      <c r="R2102" s="116" t="s">
        <v>39</v>
      </c>
      <c r="S2102" s="116" t="s">
        <v>39</v>
      </c>
      <c r="T2102" s="104"/>
      <c r="U2102" s="116"/>
      <c r="V2102" s="104"/>
      <c r="W2102" s="116"/>
    </row>
    <row r="2103">
      <c r="A2103" s="114" t="s">
        <v>39</v>
      </c>
      <c r="B2103" s="115"/>
      <c r="C2103" s="116"/>
      <c r="D2103" s="116"/>
      <c r="E2103" s="116" t="str">
        <f>IFERROR(__xludf.DUMMYFUNCTION("""COMPUTED_VALUE"""),"")</f>
        <v/>
      </c>
      <c r="F2103" s="117" t="s">
        <v>39</v>
      </c>
      <c r="G2103" s="116"/>
      <c r="H2103" s="117"/>
      <c r="I2103" s="117"/>
      <c r="J2103" s="117"/>
      <c r="K2103" s="117"/>
      <c r="L2103" s="116"/>
      <c r="M2103" s="117"/>
      <c r="N2103" s="118" t="str">
        <f>IFERROR(__xludf.DUMMYFUNCTION("""COMPUTED_VALUE"""),"")</f>
        <v/>
      </c>
      <c r="O2103" s="116"/>
      <c r="P2103" s="116"/>
      <c r="Q2103" s="116"/>
      <c r="R2103" s="116" t="s">
        <v>39</v>
      </c>
      <c r="S2103" s="116" t="s">
        <v>39</v>
      </c>
      <c r="T2103" s="104"/>
      <c r="U2103" s="116"/>
      <c r="V2103" s="104"/>
      <c r="W2103" s="116"/>
    </row>
    <row r="2104">
      <c r="A2104" s="114" t="s">
        <v>39</v>
      </c>
      <c r="B2104" s="115"/>
      <c r="C2104" s="116"/>
      <c r="D2104" s="116"/>
      <c r="E2104" s="116" t="str">
        <f>IFERROR(__xludf.DUMMYFUNCTION("""COMPUTED_VALUE"""),"")</f>
        <v/>
      </c>
      <c r="F2104" s="117" t="s">
        <v>39</v>
      </c>
      <c r="G2104" s="116"/>
      <c r="H2104" s="117"/>
      <c r="I2104" s="117"/>
      <c r="J2104" s="117"/>
      <c r="K2104" s="117"/>
      <c r="L2104" s="116"/>
      <c r="M2104" s="117"/>
      <c r="N2104" s="118" t="str">
        <f>IFERROR(__xludf.DUMMYFUNCTION("""COMPUTED_VALUE"""),"")</f>
        <v/>
      </c>
      <c r="O2104" s="116"/>
      <c r="P2104" s="116"/>
      <c r="Q2104" s="116"/>
      <c r="R2104" s="116" t="s">
        <v>39</v>
      </c>
      <c r="S2104" s="116" t="s">
        <v>39</v>
      </c>
      <c r="T2104" s="104"/>
      <c r="U2104" s="116"/>
      <c r="V2104" s="104"/>
      <c r="W2104" s="116"/>
    </row>
    <row r="2105">
      <c r="A2105" s="114" t="s">
        <v>39</v>
      </c>
      <c r="B2105" s="115"/>
      <c r="C2105" s="116"/>
      <c r="D2105" s="116"/>
      <c r="E2105" s="116" t="str">
        <f>IFERROR(__xludf.DUMMYFUNCTION("""COMPUTED_VALUE"""),"")</f>
        <v/>
      </c>
      <c r="F2105" s="117" t="s">
        <v>39</v>
      </c>
      <c r="G2105" s="116"/>
      <c r="H2105" s="117"/>
      <c r="I2105" s="117"/>
      <c r="J2105" s="117"/>
      <c r="K2105" s="117"/>
      <c r="L2105" s="116"/>
      <c r="M2105" s="117"/>
      <c r="N2105" s="118" t="str">
        <f>IFERROR(__xludf.DUMMYFUNCTION("""COMPUTED_VALUE"""),"")</f>
        <v/>
      </c>
      <c r="O2105" s="116"/>
      <c r="P2105" s="116"/>
      <c r="Q2105" s="116"/>
      <c r="R2105" s="116" t="s">
        <v>39</v>
      </c>
      <c r="S2105" s="116" t="s">
        <v>39</v>
      </c>
      <c r="T2105" s="104"/>
      <c r="U2105" s="116"/>
      <c r="V2105" s="104"/>
      <c r="W2105" s="116"/>
    </row>
    <row r="2106">
      <c r="A2106" s="114" t="s">
        <v>39</v>
      </c>
      <c r="B2106" s="115"/>
      <c r="C2106" s="116"/>
      <c r="D2106" s="116"/>
      <c r="E2106" s="116" t="str">
        <f>IFERROR(__xludf.DUMMYFUNCTION("""COMPUTED_VALUE"""),"")</f>
        <v/>
      </c>
      <c r="F2106" s="117" t="s">
        <v>39</v>
      </c>
      <c r="G2106" s="116"/>
      <c r="H2106" s="117"/>
      <c r="I2106" s="117"/>
      <c r="J2106" s="117"/>
      <c r="K2106" s="117"/>
      <c r="L2106" s="116"/>
      <c r="M2106" s="117"/>
      <c r="N2106" s="118" t="str">
        <f>IFERROR(__xludf.DUMMYFUNCTION("""COMPUTED_VALUE"""),"")</f>
        <v/>
      </c>
      <c r="O2106" s="116"/>
      <c r="P2106" s="116"/>
      <c r="Q2106" s="116"/>
      <c r="R2106" s="116" t="s">
        <v>39</v>
      </c>
      <c r="S2106" s="116" t="s">
        <v>39</v>
      </c>
      <c r="T2106" s="104"/>
      <c r="U2106" s="116"/>
      <c r="V2106" s="104"/>
      <c r="W2106" s="116"/>
    </row>
    <row r="2107">
      <c r="A2107" s="114" t="s">
        <v>39</v>
      </c>
      <c r="B2107" s="115"/>
      <c r="C2107" s="116"/>
      <c r="D2107" s="116"/>
      <c r="E2107" s="116" t="str">
        <f>IFERROR(__xludf.DUMMYFUNCTION("""COMPUTED_VALUE"""),"")</f>
        <v/>
      </c>
      <c r="F2107" s="117" t="s">
        <v>39</v>
      </c>
      <c r="G2107" s="116"/>
      <c r="H2107" s="117"/>
      <c r="I2107" s="117"/>
      <c r="J2107" s="117"/>
      <c r="K2107" s="117"/>
      <c r="L2107" s="116"/>
      <c r="M2107" s="117"/>
      <c r="N2107" s="118" t="str">
        <f>IFERROR(__xludf.DUMMYFUNCTION("""COMPUTED_VALUE"""),"")</f>
        <v/>
      </c>
      <c r="O2107" s="116"/>
      <c r="P2107" s="116"/>
      <c r="Q2107" s="116"/>
      <c r="R2107" s="116" t="s">
        <v>39</v>
      </c>
      <c r="S2107" s="116" t="s">
        <v>39</v>
      </c>
      <c r="T2107" s="104"/>
      <c r="U2107" s="116"/>
      <c r="V2107" s="104"/>
      <c r="W2107" s="116"/>
    </row>
    <row r="2108">
      <c r="A2108" s="114" t="s">
        <v>39</v>
      </c>
      <c r="B2108" s="115"/>
      <c r="C2108" s="116"/>
      <c r="D2108" s="116"/>
      <c r="E2108" s="116" t="str">
        <f>IFERROR(__xludf.DUMMYFUNCTION("""COMPUTED_VALUE"""),"")</f>
        <v/>
      </c>
      <c r="F2108" s="117" t="s">
        <v>39</v>
      </c>
      <c r="G2108" s="116"/>
      <c r="H2108" s="117"/>
      <c r="I2108" s="117"/>
      <c r="J2108" s="117"/>
      <c r="K2108" s="117"/>
      <c r="L2108" s="116"/>
      <c r="M2108" s="117"/>
      <c r="N2108" s="118" t="str">
        <f>IFERROR(__xludf.DUMMYFUNCTION("""COMPUTED_VALUE"""),"")</f>
        <v/>
      </c>
      <c r="O2108" s="116"/>
      <c r="P2108" s="116"/>
      <c r="Q2108" s="116"/>
      <c r="R2108" s="116" t="s">
        <v>39</v>
      </c>
      <c r="S2108" s="116" t="s">
        <v>39</v>
      </c>
      <c r="T2108" s="104"/>
      <c r="U2108" s="116"/>
      <c r="V2108" s="104"/>
      <c r="W2108" s="116"/>
    </row>
    <row r="2109">
      <c r="A2109" s="114" t="s">
        <v>39</v>
      </c>
      <c r="B2109" s="115"/>
      <c r="C2109" s="116"/>
      <c r="D2109" s="116"/>
      <c r="E2109" s="116" t="str">
        <f>IFERROR(__xludf.DUMMYFUNCTION("""COMPUTED_VALUE"""),"")</f>
        <v/>
      </c>
      <c r="F2109" s="117" t="s">
        <v>39</v>
      </c>
      <c r="G2109" s="116"/>
      <c r="H2109" s="117"/>
      <c r="I2109" s="117"/>
      <c r="J2109" s="117"/>
      <c r="K2109" s="117"/>
      <c r="L2109" s="116"/>
      <c r="M2109" s="117"/>
      <c r="N2109" s="118" t="str">
        <f>IFERROR(__xludf.DUMMYFUNCTION("""COMPUTED_VALUE"""),"")</f>
        <v/>
      </c>
      <c r="O2109" s="116"/>
      <c r="P2109" s="116"/>
      <c r="Q2109" s="116"/>
      <c r="R2109" s="116" t="s">
        <v>39</v>
      </c>
      <c r="S2109" s="116" t="s">
        <v>39</v>
      </c>
      <c r="T2109" s="104"/>
      <c r="U2109" s="116"/>
      <c r="V2109" s="104"/>
      <c r="W2109" s="116"/>
    </row>
    <row r="2110">
      <c r="A2110" s="114" t="s">
        <v>39</v>
      </c>
      <c r="B2110" s="115"/>
      <c r="C2110" s="116"/>
      <c r="D2110" s="116"/>
      <c r="E2110" s="116" t="str">
        <f>IFERROR(__xludf.DUMMYFUNCTION("""COMPUTED_VALUE"""),"")</f>
        <v/>
      </c>
      <c r="F2110" s="117" t="s">
        <v>39</v>
      </c>
      <c r="G2110" s="116"/>
      <c r="H2110" s="117"/>
      <c r="I2110" s="117"/>
      <c r="J2110" s="117"/>
      <c r="K2110" s="117"/>
      <c r="L2110" s="116"/>
      <c r="M2110" s="117"/>
      <c r="N2110" s="118" t="str">
        <f>IFERROR(__xludf.DUMMYFUNCTION("""COMPUTED_VALUE"""),"")</f>
        <v/>
      </c>
      <c r="O2110" s="116"/>
      <c r="P2110" s="116"/>
      <c r="Q2110" s="116"/>
      <c r="R2110" s="116" t="s">
        <v>39</v>
      </c>
      <c r="S2110" s="116" t="s">
        <v>39</v>
      </c>
      <c r="T2110" s="104"/>
      <c r="U2110" s="116"/>
      <c r="V2110" s="104"/>
      <c r="W2110" s="116"/>
    </row>
    <row r="2111">
      <c r="A2111" s="114" t="s">
        <v>39</v>
      </c>
      <c r="B2111" s="115"/>
      <c r="C2111" s="116"/>
      <c r="D2111" s="116"/>
      <c r="E2111" s="116" t="str">
        <f>IFERROR(__xludf.DUMMYFUNCTION("""COMPUTED_VALUE"""),"")</f>
        <v/>
      </c>
      <c r="F2111" s="117" t="s">
        <v>39</v>
      </c>
      <c r="G2111" s="116"/>
      <c r="H2111" s="117"/>
      <c r="I2111" s="117"/>
      <c r="J2111" s="117"/>
      <c r="K2111" s="117"/>
      <c r="L2111" s="116"/>
      <c r="M2111" s="117"/>
      <c r="N2111" s="118" t="str">
        <f>IFERROR(__xludf.DUMMYFUNCTION("""COMPUTED_VALUE"""),"")</f>
        <v/>
      </c>
      <c r="O2111" s="116"/>
      <c r="P2111" s="116"/>
      <c r="Q2111" s="116"/>
      <c r="R2111" s="116" t="s">
        <v>39</v>
      </c>
      <c r="S2111" s="116" t="s">
        <v>39</v>
      </c>
      <c r="T2111" s="104"/>
      <c r="U2111" s="116"/>
      <c r="V2111" s="104"/>
      <c r="W2111" s="116"/>
    </row>
    <row r="2112">
      <c r="A2112" s="114" t="s">
        <v>39</v>
      </c>
      <c r="B2112" s="115"/>
      <c r="C2112" s="116"/>
      <c r="D2112" s="116"/>
      <c r="E2112" s="116" t="str">
        <f>IFERROR(__xludf.DUMMYFUNCTION("""COMPUTED_VALUE"""),"")</f>
        <v/>
      </c>
      <c r="F2112" s="117" t="s">
        <v>39</v>
      </c>
      <c r="G2112" s="116"/>
      <c r="H2112" s="117"/>
      <c r="I2112" s="117"/>
      <c r="J2112" s="117"/>
      <c r="K2112" s="117"/>
      <c r="L2112" s="116"/>
      <c r="M2112" s="117"/>
      <c r="N2112" s="118" t="str">
        <f>IFERROR(__xludf.DUMMYFUNCTION("""COMPUTED_VALUE"""),"")</f>
        <v/>
      </c>
      <c r="O2112" s="116"/>
      <c r="P2112" s="116"/>
      <c r="Q2112" s="116"/>
      <c r="R2112" s="116" t="s">
        <v>39</v>
      </c>
      <c r="S2112" s="116" t="s">
        <v>39</v>
      </c>
      <c r="T2112" s="104"/>
      <c r="U2112" s="116"/>
      <c r="V2112" s="104"/>
      <c r="W2112" s="116"/>
    </row>
    <row r="2113">
      <c r="A2113" s="114" t="s">
        <v>39</v>
      </c>
      <c r="B2113" s="115"/>
      <c r="C2113" s="116"/>
      <c r="D2113" s="116"/>
      <c r="E2113" s="116" t="str">
        <f>IFERROR(__xludf.DUMMYFUNCTION("""COMPUTED_VALUE"""),"")</f>
        <v/>
      </c>
      <c r="F2113" s="117" t="s">
        <v>39</v>
      </c>
      <c r="G2113" s="116"/>
      <c r="H2113" s="117"/>
      <c r="I2113" s="117"/>
      <c r="J2113" s="117"/>
      <c r="K2113" s="117"/>
      <c r="L2113" s="116"/>
      <c r="M2113" s="117"/>
      <c r="N2113" s="118" t="str">
        <f>IFERROR(__xludf.DUMMYFUNCTION("""COMPUTED_VALUE"""),"")</f>
        <v/>
      </c>
      <c r="O2113" s="116"/>
      <c r="P2113" s="116"/>
      <c r="Q2113" s="116"/>
      <c r="R2113" s="116" t="s">
        <v>39</v>
      </c>
      <c r="S2113" s="116" t="s">
        <v>39</v>
      </c>
      <c r="T2113" s="104"/>
      <c r="U2113" s="116"/>
      <c r="V2113" s="104"/>
      <c r="W2113" s="116"/>
    </row>
    <row r="2114">
      <c r="A2114" s="114" t="s">
        <v>39</v>
      </c>
      <c r="B2114" s="115"/>
      <c r="C2114" s="116"/>
      <c r="D2114" s="116"/>
      <c r="E2114" s="116" t="str">
        <f>IFERROR(__xludf.DUMMYFUNCTION("""COMPUTED_VALUE"""),"")</f>
        <v/>
      </c>
      <c r="F2114" s="117" t="s">
        <v>39</v>
      </c>
      <c r="G2114" s="116"/>
      <c r="H2114" s="117"/>
      <c r="I2114" s="117"/>
      <c r="J2114" s="117"/>
      <c r="K2114" s="117"/>
      <c r="L2114" s="116"/>
      <c r="M2114" s="117"/>
      <c r="N2114" s="118" t="str">
        <f>IFERROR(__xludf.DUMMYFUNCTION("""COMPUTED_VALUE"""),"")</f>
        <v/>
      </c>
      <c r="O2114" s="116"/>
      <c r="P2114" s="116"/>
      <c r="Q2114" s="116"/>
      <c r="R2114" s="116" t="s">
        <v>39</v>
      </c>
      <c r="S2114" s="116" t="s">
        <v>39</v>
      </c>
      <c r="T2114" s="104"/>
      <c r="U2114" s="116"/>
      <c r="V2114" s="104"/>
      <c r="W2114" s="116"/>
    </row>
    <row r="2115">
      <c r="A2115" s="114" t="s">
        <v>39</v>
      </c>
      <c r="B2115" s="115"/>
      <c r="C2115" s="116"/>
      <c r="D2115" s="116"/>
      <c r="E2115" s="116" t="str">
        <f>IFERROR(__xludf.DUMMYFUNCTION("""COMPUTED_VALUE"""),"")</f>
        <v/>
      </c>
      <c r="F2115" s="117" t="s">
        <v>39</v>
      </c>
      <c r="G2115" s="116"/>
      <c r="H2115" s="117"/>
      <c r="I2115" s="117"/>
      <c r="J2115" s="117"/>
      <c r="K2115" s="117"/>
      <c r="L2115" s="116"/>
      <c r="M2115" s="117"/>
      <c r="N2115" s="118" t="str">
        <f>IFERROR(__xludf.DUMMYFUNCTION("""COMPUTED_VALUE"""),"")</f>
        <v/>
      </c>
      <c r="O2115" s="116"/>
      <c r="P2115" s="116"/>
      <c r="Q2115" s="116"/>
      <c r="R2115" s="116" t="s">
        <v>39</v>
      </c>
      <c r="S2115" s="116" t="s">
        <v>39</v>
      </c>
      <c r="T2115" s="104"/>
      <c r="U2115" s="116"/>
      <c r="V2115" s="104"/>
      <c r="W2115" s="116"/>
    </row>
    <row r="2116">
      <c r="A2116" s="114" t="s">
        <v>39</v>
      </c>
      <c r="B2116" s="115"/>
      <c r="C2116" s="116"/>
      <c r="D2116" s="116"/>
      <c r="E2116" s="116" t="str">
        <f>IFERROR(__xludf.DUMMYFUNCTION("""COMPUTED_VALUE"""),"")</f>
        <v/>
      </c>
      <c r="F2116" s="117" t="s">
        <v>39</v>
      </c>
      <c r="G2116" s="116"/>
      <c r="H2116" s="117"/>
      <c r="I2116" s="117"/>
      <c r="J2116" s="117"/>
      <c r="K2116" s="117"/>
      <c r="L2116" s="116"/>
      <c r="M2116" s="117"/>
      <c r="N2116" s="118" t="str">
        <f>IFERROR(__xludf.DUMMYFUNCTION("""COMPUTED_VALUE"""),"")</f>
        <v/>
      </c>
      <c r="O2116" s="116"/>
      <c r="P2116" s="116"/>
      <c r="Q2116" s="116"/>
      <c r="R2116" s="116" t="s">
        <v>39</v>
      </c>
      <c r="S2116" s="116" t="s">
        <v>39</v>
      </c>
      <c r="T2116" s="104"/>
      <c r="U2116" s="116"/>
      <c r="V2116" s="104"/>
      <c r="W2116" s="116"/>
    </row>
    <row r="2117">
      <c r="A2117" s="114" t="s">
        <v>39</v>
      </c>
      <c r="B2117" s="115"/>
      <c r="C2117" s="116"/>
      <c r="D2117" s="116"/>
      <c r="E2117" s="116" t="str">
        <f>IFERROR(__xludf.DUMMYFUNCTION("""COMPUTED_VALUE"""),"")</f>
        <v/>
      </c>
      <c r="F2117" s="117" t="s">
        <v>39</v>
      </c>
      <c r="G2117" s="116"/>
      <c r="H2117" s="117"/>
      <c r="I2117" s="117"/>
      <c r="J2117" s="117"/>
      <c r="K2117" s="117"/>
      <c r="L2117" s="116"/>
      <c r="M2117" s="117"/>
      <c r="N2117" s="118" t="str">
        <f>IFERROR(__xludf.DUMMYFUNCTION("""COMPUTED_VALUE"""),"")</f>
        <v/>
      </c>
      <c r="O2117" s="116"/>
      <c r="P2117" s="116"/>
      <c r="Q2117" s="116"/>
      <c r="R2117" s="116" t="s">
        <v>39</v>
      </c>
      <c r="S2117" s="116" t="s">
        <v>39</v>
      </c>
      <c r="T2117" s="104"/>
      <c r="U2117" s="116"/>
      <c r="V2117" s="104"/>
      <c r="W2117" s="116"/>
    </row>
    <row r="2118">
      <c r="A2118" s="114" t="s">
        <v>39</v>
      </c>
      <c r="B2118" s="115"/>
      <c r="C2118" s="116"/>
      <c r="D2118" s="116"/>
      <c r="E2118" s="116" t="str">
        <f>IFERROR(__xludf.DUMMYFUNCTION("""COMPUTED_VALUE"""),"")</f>
        <v/>
      </c>
      <c r="F2118" s="117" t="s">
        <v>39</v>
      </c>
      <c r="G2118" s="116"/>
      <c r="H2118" s="117"/>
      <c r="I2118" s="117"/>
      <c r="J2118" s="117"/>
      <c r="K2118" s="117"/>
      <c r="L2118" s="116"/>
      <c r="M2118" s="117"/>
      <c r="N2118" s="118" t="str">
        <f>IFERROR(__xludf.DUMMYFUNCTION("""COMPUTED_VALUE"""),"")</f>
        <v/>
      </c>
      <c r="O2118" s="116"/>
      <c r="P2118" s="116"/>
      <c r="Q2118" s="116"/>
      <c r="R2118" s="116" t="s">
        <v>39</v>
      </c>
      <c r="S2118" s="116" t="s">
        <v>39</v>
      </c>
      <c r="T2118" s="104"/>
      <c r="U2118" s="116"/>
      <c r="V2118" s="104"/>
      <c r="W2118" s="116"/>
    </row>
    <row r="2119">
      <c r="A2119" s="114" t="s">
        <v>39</v>
      </c>
      <c r="B2119" s="115"/>
      <c r="C2119" s="116"/>
      <c r="D2119" s="116"/>
      <c r="E2119" s="116" t="str">
        <f>IFERROR(__xludf.DUMMYFUNCTION("""COMPUTED_VALUE"""),"")</f>
        <v/>
      </c>
      <c r="F2119" s="117" t="s">
        <v>39</v>
      </c>
      <c r="G2119" s="116"/>
      <c r="H2119" s="117"/>
      <c r="I2119" s="117"/>
      <c r="J2119" s="117"/>
      <c r="K2119" s="117"/>
      <c r="L2119" s="116"/>
      <c r="M2119" s="117"/>
      <c r="N2119" s="118" t="str">
        <f>IFERROR(__xludf.DUMMYFUNCTION("""COMPUTED_VALUE"""),"")</f>
        <v/>
      </c>
      <c r="O2119" s="116"/>
      <c r="P2119" s="116"/>
      <c r="Q2119" s="116"/>
      <c r="R2119" s="116" t="s">
        <v>39</v>
      </c>
      <c r="S2119" s="116" t="s">
        <v>39</v>
      </c>
      <c r="T2119" s="104"/>
      <c r="U2119" s="116"/>
      <c r="V2119" s="104"/>
      <c r="W2119" s="116"/>
    </row>
    <row r="2120">
      <c r="A2120" s="114" t="s">
        <v>39</v>
      </c>
      <c r="B2120" s="115"/>
      <c r="C2120" s="116"/>
      <c r="D2120" s="116"/>
      <c r="E2120" s="116" t="str">
        <f>IFERROR(__xludf.DUMMYFUNCTION("""COMPUTED_VALUE"""),"")</f>
        <v/>
      </c>
      <c r="F2120" s="117" t="s">
        <v>39</v>
      </c>
      <c r="G2120" s="116"/>
      <c r="H2120" s="117"/>
      <c r="I2120" s="117"/>
      <c r="J2120" s="117"/>
      <c r="K2120" s="117"/>
      <c r="L2120" s="116"/>
      <c r="M2120" s="117"/>
      <c r="N2120" s="118" t="str">
        <f>IFERROR(__xludf.DUMMYFUNCTION("""COMPUTED_VALUE"""),"")</f>
        <v/>
      </c>
      <c r="O2120" s="116"/>
      <c r="P2120" s="116"/>
      <c r="Q2120" s="116"/>
      <c r="R2120" s="116" t="s">
        <v>39</v>
      </c>
      <c r="S2120" s="116" t="s">
        <v>39</v>
      </c>
      <c r="T2120" s="104"/>
      <c r="U2120" s="116"/>
      <c r="V2120" s="104"/>
      <c r="W2120" s="116"/>
    </row>
    <row r="2121">
      <c r="A2121" s="114" t="s">
        <v>39</v>
      </c>
      <c r="B2121" s="115"/>
      <c r="C2121" s="116"/>
      <c r="D2121" s="116"/>
      <c r="E2121" s="116" t="str">
        <f>IFERROR(__xludf.DUMMYFUNCTION("""COMPUTED_VALUE"""),"")</f>
        <v/>
      </c>
      <c r="F2121" s="117" t="s">
        <v>39</v>
      </c>
      <c r="G2121" s="116"/>
      <c r="H2121" s="117"/>
      <c r="I2121" s="117"/>
      <c r="J2121" s="117"/>
      <c r="K2121" s="117"/>
      <c r="L2121" s="116"/>
      <c r="M2121" s="117"/>
      <c r="N2121" s="118" t="str">
        <f>IFERROR(__xludf.DUMMYFUNCTION("""COMPUTED_VALUE"""),"")</f>
        <v/>
      </c>
      <c r="O2121" s="116"/>
      <c r="P2121" s="116"/>
      <c r="Q2121" s="116"/>
      <c r="R2121" s="116" t="s">
        <v>39</v>
      </c>
      <c r="S2121" s="116" t="s">
        <v>39</v>
      </c>
      <c r="T2121" s="104"/>
      <c r="U2121" s="116"/>
      <c r="V2121" s="104"/>
      <c r="W2121" s="116"/>
    </row>
    <row r="2122">
      <c r="A2122" s="114" t="s">
        <v>39</v>
      </c>
      <c r="B2122" s="115"/>
      <c r="C2122" s="116"/>
      <c r="D2122" s="116"/>
      <c r="E2122" s="116" t="str">
        <f>IFERROR(__xludf.DUMMYFUNCTION("""COMPUTED_VALUE"""),"")</f>
        <v/>
      </c>
      <c r="F2122" s="117" t="s">
        <v>39</v>
      </c>
      <c r="G2122" s="116"/>
      <c r="H2122" s="117"/>
      <c r="I2122" s="117"/>
      <c r="J2122" s="117"/>
      <c r="K2122" s="117"/>
      <c r="L2122" s="116"/>
      <c r="M2122" s="117"/>
      <c r="N2122" s="118" t="str">
        <f>IFERROR(__xludf.DUMMYFUNCTION("""COMPUTED_VALUE"""),"")</f>
        <v/>
      </c>
      <c r="O2122" s="116"/>
      <c r="P2122" s="116"/>
      <c r="Q2122" s="116"/>
      <c r="R2122" s="116" t="s">
        <v>39</v>
      </c>
      <c r="S2122" s="116" t="s">
        <v>39</v>
      </c>
      <c r="T2122" s="104"/>
      <c r="U2122" s="116"/>
      <c r="V2122" s="104"/>
      <c r="W2122" s="116"/>
    </row>
    <row r="2123">
      <c r="A2123" s="114" t="s">
        <v>39</v>
      </c>
      <c r="B2123" s="115"/>
      <c r="C2123" s="116"/>
      <c r="D2123" s="116"/>
      <c r="E2123" s="116" t="str">
        <f>IFERROR(__xludf.DUMMYFUNCTION("""COMPUTED_VALUE"""),"")</f>
        <v/>
      </c>
      <c r="F2123" s="117" t="s">
        <v>39</v>
      </c>
      <c r="G2123" s="116"/>
      <c r="H2123" s="117"/>
      <c r="I2123" s="117"/>
      <c r="J2123" s="117"/>
      <c r="K2123" s="117"/>
      <c r="L2123" s="116"/>
      <c r="M2123" s="117"/>
      <c r="N2123" s="118" t="str">
        <f>IFERROR(__xludf.DUMMYFUNCTION("""COMPUTED_VALUE"""),"")</f>
        <v/>
      </c>
      <c r="O2123" s="116"/>
      <c r="P2123" s="116"/>
      <c r="Q2123" s="116"/>
      <c r="R2123" s="116" t="s">
        <v>39</v>
      </c>
      <c r="S2123" s="116" t="s">
        <v>39</v>
      </c>
      <c r="T2123" s="104"/>
      <c r="U2123" s="116"/>
      <c r="V2123" s="104"/>
      <c r="W2123" s="116"/>
    </row>
    <row r="2124">
      <c r="A2124" s="114" t="s">
        <v>39</v>
      </c>
      <c r="B2124" s="115"/>
      <c r="C2124" s="116"/>
      <c r="D2124" s="116"/>
      <c r="E2124" s="116" t="str">
        <f>IFERROR(__xludf.DUMMYFUNCTION("""COMPUTED_VALUE"""),"")</f>
        <v/>
      </c>
      <c r="F2124" s="117" t="s">
        <v>39</v>
      </c>
      <c r="G2124" s="116"/>
      <c r="H2124" s="117"/>
      <c r="I2124" s="117"/>
      <c r="J2124" s="117"/>
      <c r="K2124" s="117"/>
      <c r="L2124" s="116"/>
      <c r="M2124" s="117"/>
      <c r="N2124" s="118" t="str">
        <f>IFERROR(__xludf.DUMMYFUNCTION("""COMPUTED_VALUE"""),"")</f>
        <v/>
      </c>
      <c r="O2124" s="116"/>
      <c r="P2124" s="116"/>
      <c r="Q2124" s="116"/>
      <c r="R2124" s="116" t="s">
        <v>39</v>
      </c>
      <c r="S2124" s="116" t="s">
        <v>39</v>
      </c>
      <c r="T2124" s="104"/>
      <c r="U2124" s="116"/>
      <c r="V2124" s="104"/>
      <c r="W2124" s="116"/>
    </row>
    <row r="2125">
      <c r="A2125" s="114" t="s">
        <v>39</v>
      </c>
      <c r="B2125" s="115"/>
      <c r="C2125" s="116"/>
      <c r="D2125" s="116"/>
      <c r="E2125" s="116" t="str">
        <f>IFERROR(__xludf.DUMMYFUNCTION("""COMPUTED_VALUE"""),"")</f>
        <v/>
      </c>
      <c r="F2125" s="117" t="s">
        <v>39</v>
      </c>
      <c r="G2125" s="116"/>
      <c r="H2125" s="117"/>
      <c r="I2125" s="117"/>
      <c r="J2125" s="117"/>
      <c r="K2125" s="117"/>
      <c r="L2125" s="116"/>
      <c r="M2125" s="117"/>
      <c r="N2125" s="118" t="str">
        <f>IFERROR(__xludf.DUMMYFUNCTION("""COMPUTED_VALUE"""),"")</f>
        <v/>
      </c>
      <c r="O2125" s="116"/>
      <c r="P2125" s="116"/>
      <c r="Q2125" s="116"/>
      <c r="R2125" s="116" t="s">
        <v>39</v>
      </c>
      <c r="S2125" s="116" t="s">
        <v>39</v>
      </c>
      <c r="T2125" s="104"/>
      <c r="U2125" s="116"/>
      <c r="V2125" s="104"/>
      <c r="W2125" s="116"/>
    </row>
    <row r="2126">
      <c r="A2126" s="114" t="s">
        <v>39</v>
      </c>
      <c r="B2126" s="115"/>
      <c r="C2126" s="116"/>
      <c r="D2126" s="116"/>
      <c r="E2126" s="116" t="str">
        <f>IFERROR(__xludf.DUMMYFUNCTION("""COMPUTED_VALUE"""),"")</f>
        <v/>
      </c>
      <c r="F2126" s="117" t="s">
        <v>39</v>
      </c>
      <c r="G2126" s="116"/>
      <c r="H2126" s="117"/>
      <c r="I2126" s="117"/>
      <c r="J2126" s="117"/>
      <c r="K2126" s="117"/>
      <c r="L2126" s="116"/>
      <c r="M2126" s="117"/>
      <c r="N2126" s="118" t="str">
        <f>IFERROR(__xludf.DUMMYFUNCTION("""COMPUTED_VALUE"""),"")</f>
        <v/>
      </c>
      <c r="O2126" s="116"/>
      <c r="P2126" s="116"/>
      <c r="Q2126" s="116"/>
      <c r="R2126" s="116" t="s">
        <v>39</v>
      </c>
      <c r="S2126" s="116" t="s">
        <v>39</v>
      </c>
      <c r="T2126" s="104"/>
      <c r="U2126" s="116"/>
      <c r="V2126" s="104"/>
      <c r="W2126" s="116"/>
    </row>
    <row r="2127">
      <c r="A2127" s="114" t="s">
        <v>39</v>
      </c>
      <c r="B2127" s="115"/>
      <c r="C2127" s="116"/>
      <c r="D2127" s="116"/>
      <c r="E2127" s="116" t="str">
        <f>IFERROR(__xludf.DUMMYFUNCTION("""COMPUTED_VALUE"""),"")</f>
        <v/>
      </c>
      <c r="F2127" s="117" t="s">
        <v>39</v>
      </c>
      <c r="G2127" s="116"/>
      <c r="H2127" s="117"/>
      <c r="I2127" s="117"/>
      <c r="J2127" s="117"/>
      <c r="K2127" s="117"/>
      <c r="L2127" s="116"/>
      <c r="M2127" s="117"/>
      <c r="N2127" s="118" t="str">
        <f>IFERROR(__xludf.DUMMYFUNCTION("""COMPUTED_VALUE"""),"")</f>
        <v/>
      </c>
      <c r="O2127" s="116"/>
      <c r="P2127" s="116"/>
      <c r="Q2127" s="116"/>
      <c r="R2127" s="116" t="s">
        <v>39</v>
      </c>
      <c r="S2127" s="116" t="s">
        <v>39</v>
      </c>
      <c r="T2127" s="104"/>
      <c r="U2127" s="116"/>
      <c r="V2127" s="104"/>
      <c r="W2127" s="116"/>
    </row>
    <row r="2128">
      <c r="A2128" s="114" t="s">
        <v>39</v>
      </c>
      <c r="B2128" s="115"/>
      <c r="C2128" s="116"/>
      <c r="D2128" s="116"/>
      <c r="E2128" s="116" t="str">
        <f>IFERROR(__xludf.DUMMYFUNCTION("""COMPUTED_VALUE"""),"")</f>
        <v/>
      </c>
      <c r="F2128" s="117" t="s">
        <v>39</v>
      </c>
      <c r="G2128" s="116"/>
      <c r="H2128" s="117"/>
      <c r="I2128" s="117"/>
      <c r="J2128" s="117"/>
      <c r="K2128" s="117"/>
      <c r="L2128" s="116"/>
      <c r="M2128" s="117"/>
      <c r="N2128" s="118" t="str">
        <f>IFERROR(__xludf.DUMMYFUNCTION("""COMPUTED_VALUE"""),"")</f>
        <v/>
      </c>
      <c r="O2128" s="116"/>
      <c r="P2128" s="116"/>
      <c r="Q2128" s="116"/>
      <c r="R2128" s="116" t="s">
        <v>39</v>
      </c>
      <c r="S2128" s="116" t="s">
        <v>39</v>
      </c>
      <c r="T2128" s="104"/>
      <c r="U2128" s="116"/>
      <c r="V2128" s="104"/>
      <c r="W2128" s="116"/>
    </row>
    <row r="2129">
      <c r="A2129" s="114" t="s">
        <v>39</v>
      </c>
      <c r="B2129" s="115"/>
      <c r="C2129" s="116"/>
      <c r="D2129" s="116"/>
      <c r="E2129" s="116" t="str">
        <f>IFERROR(__xludf.DUMMYFUNCTION("""COMPUTED_VALUE"""),"")</f>
        <v/>
      </c>
      <c r="F2129" s="117" t="s">
        <v>39</v>
      </c>
      <c r="G2129" s="116"/>
      <c r="H2129" s="117"/>
      <c r="I2129" s="117"/>
      <c r="J2129" s="117"/>
      <c r="K2129" s="117"/>
      <c r="L2129" s="116"/>
      <c r="M2129" s="117"/>
      <c r="N2129" s="118" t="str">
        <f>IFERROR(__xludf.DUMMYFUNCTION("""COMPUTED_VALUE"""),"")</f>
        <v/>
      </c>
      <c r="O2129" s="116"/>
      <c r="P2129" s="116"/>
      <c r="Q2129" s="116"/>
      <c r="R2129" s="116" t="s">
        <v>39</v>
      </c>
      <c r="S2129" s="116" t="s">
        <v>39</v>
      </c>
      <c r="T2129" s="104"/>
      <c r="U2129" s="116"/>
      <c r="V2129" s="104"/>
      <c r="W2129" s="116"/>
    </row>
    <row r="2130">
      <c r="A2130" s="114" t="s">
        <v>39</v>
      </c>
      <c r="B2130" s="115"/>
      <c r="C2130" s="116"/>
      <c r="D2130" s="116"/>
      <c r="E2130" s="116" t="str">
        <f>IFERROR(__xludf.DUMMYFUNCTION("""COMPUTED_VALUE"""),"")</f>
        <v/>
      </c>
      <c r="F2130" s="117" t="s">
        <v>39</v>
      </c>
      <c r="G2130" s="116"/>
      <c r="H2130" s="117"/>
      <c r="I2130" s="117"/>
      <c r="J2130" s="117"/>
      <c r="K2130" s="117"/>
      <c r="L2130" s="116"/>
      <c r="M2130" s="117"/>
      <c r="N2130" s="118" t="str">
        <f>IFERROR(__xludf.DUMMYFUNCTION("""COMPUTED_VALUE"""),"")</f>
        <v/>
      </c>
      <c r="O2130" s="116"/>
      <c r="P2130" s="116"/>
      <c r="Q2130" s="116"/>
      <c r="R2130" s="116" t="s">
        <v>39</v>
      </c>
      <c r="S2130" s="116" t="s">
        <v>39</v>
      </c>
      <c r="T2130" s="104"/>
      <c r="U2130" s="116"/>
      <c r="V2130" s="104"/>
      <c r="W2130" s="116"/>
    </row>
    <row r="2131">
      <c r="A2131" s="114" t="s">
        <v>39</v>
      </c>
      <c r="B2131" s="115"/>
      <c r="C2131" s="116"/>
      <c r="D2131" s="116"/>
      <c r="E2131" s="116" t="str">
        <f>IFERROR(__xludf.DUMMYFUNCTION("""COMPUTED_VALUE"""),"")</f>
        <v/>
      </c>
      <c r="F2131" s="117" t="s">
        <v>39</v>
      </c>
      <c r="G2131" s="116"/>
      <c r="H2131" s="117"/>
      <c r="I2131" s="117"/>
      <c r="J2131" s="117"/>
      <c r="K2131" s="117"/>
      <c r="L2131" s="116"/>
      <c r="M2131" s="117"/>
      <c r="N2131" s="118" t="str">
        <f>IFERROR(__xludf.DUMMYFUNCTION("""COMPUTED_VALUE"""),"")</f>
        <v/>
      </c>
      <c r="O2131" s="116"/>
      <c r="P2131" s="116"/>
      <c r="Q2131" s="116"/>
      <c r="R2131" s="116" t="s">
        <v>39</v>
      </c>
      <c r="S2131" s="116" t="s">
        <v>39</v>
      </c>
      <c r="T2131" s="104"/>
      <c r="U2131" s="116"/>
      <c r="V2131" s="104"/>
      <c r="W2131" s="116"/>
    </row>
    <row r="2132">
      <c r="A2132" s="114" t="s">
        <v>39</v>
      </c>
      <c r="B2132" s="115"/>
      <c r="C2132" s="116"/>
      <c r="D2132" s="116"/>
      <c r="E2132" s="116" t="str">
        <f>IFERROR(__xludf.DUMMYFUNCTION("""COMPUTED_VALUE"""),"")</f>
        <v/>
      </c>
      <c r="F2132" s="117" t="s">
        <v>39</v>
      </c>
      <c r="G2132" s="116"/>
      <c r="H2132" s="117"/>
      <c r="I2132" s="117"/>
      <c r="J2132" s="117"/>
      <c r="K2132" s="117"/>
      <c r="L2132" s="116"/>
      <c r="M2132" s="117"/>
      <c r="N2132" s="118" t="str">
        <f>IFERROR(__xludf.DUMMYFUNCTION("""COMPUTED_VALUE"""),"")</f>
        <v/>
      </c>
      <c r="O2132" s="116"/>
      <c r="P2132" s="116"/>
      <c r="Q2132" s="116"/>
      <c r="R2132" s="116" t="s">
        <v>39</v>
      </c>
      <c r="S2132" s="116" t="s">
        <v>39</v>
      </c>
      <c r="T2132" s="104"/>
      <c r="U2132" s="116"/>
      <c r="V2132" s="104"/>
      <c r="W2132" s="116"/>
    </row>
    <row r="2133">
      <c r="A2133" s="114" t="s">
        <v>39</v>
      </c>
      <c r="B2133" s="115"/>
      <c r="C2133" s="116"/>
      <c r="D2133" s="116"/>
      <c r="E2133" s="116" t="str">
        <f>IFERROR(__xludf.DUMMYFUNCTION("""COMPUTED_VALUE"""),"")</f>
        <v/>
      </c>
      <c r="F2133" s="117" t="s">
        <v>39</v>
      </c>
      <c r="G2133" s="116"/>
      <c r="H2133" s="117"/>
      <c r="I2133" s="117"/>
      <c r="J2133" s="117"/>
      <c r="K2133" s="117"/>
      <c r="L2133" s="116"/>
      <c r="M2133" s="117"/>
      <c r="N2133" s="118" t="str">
        <f>IFERROR(__xludf.DUMMYFUNCTION("""COMPUTED_VALUE"""),"")</f>
        <v/>
      </c>
      <c r="O2133" s="116"/>
      <c r="P2133" s="116"/>
      <c r="Q2133" s="116"/>
      <c r="R2133" s="116" t="s">
        <v>39</v>
      </c>
      <c r="S2133" s="116" t="s">
        <v>39</v>
      </c>
      <c r="T2133" s="104"/>
      <c r="U2133" s="116"/>
      <c r="V2133" s="104"/>
      <c r="W2133" s="116"/>
    </row>
    <row r="2134">
      <c r="A2134" s="114" t="s">
        <v>39</v>
      </c>
      <c r="B2134" s="115"/>
      <c r="C2134" s="116"/>
      <c r="D2134" s="116"/>
      <c r="E2134" s="116" t="str">
        <f>IFERROR(__xludf.DUMMYFUNCTION("""COMPUTED_VALUE"""),"")</f>
        <v/>
      </c>
      <c r="F2134" s="117" t="s">
        <v>39</v>
      </c>
      <c r="G2134" s="116"/>
      <c r="H2134" s="117"/>
      <c r="I2134" s="117"/>
      <c r="J2134" s="117"/>
      <c r="K2134" s="117"/>
      <c r="L2134" s="116"/>
      <c r="M2134" s="117"/>
      <c r="N2134" s="118" t="str">
        <f>IFERROR(__xludf.DUMMYFUNCTION("""COMPUTED_VALUE"""),"")</f>
        <v/>
      </c>
      <c r="O2134" s="116"/>
      <c r="P2134" s="116"/>
      <c r="Q2134" s="116"/>
      <c r="R2134" s="116" t="s">
        <v>39</v>
      </c>
      <c r="S2134" s="116" t="s">
        <v>39</v>
      </c>
      <c r="T2134" s="104"/>
      <c r="U2134" s="116"/>
      <c r="V2134" s="104"/>
      <c r="W2134" s="116"/>
    </row>
    <row r="2135">
      <c r="A2135" s="114" t="s">
        <v>39</v>
      </c>
      <c r="B2135" s="115"/>
      <c r="C2135" s="116"/>
      <c r="D2135" s="116"/>
      <c r="E2135" s="116" t="str">
        <f>IFERROR(__xludf.DUMMYFUNCTION("""COMPUTED_VALUE"""),"")</f>
        <v/>
      </c>
      <c r="F2135" s="117" t="s">
        <v>39</v>
      </c>
      <c r="G2135" s="116"/>
      <c r="H2135" s="117"/>
      <c r="I2135" s="117"/>
      <c r="J2135" s="117"/>
      <c r="K2135" s="117"/>
      <c r="L2135" s="116"/>
      <c r="M2135" s="117"/>
      <c r="N2135" s="118" t="str">
        <f>IFERROR(__xludf.DUMMYFUNCTION("""COMPUTED_VALUE"""),"")</f>
        <v/>
      </c>
      <c r="O2135" s="116"/>
      <c r="P2135" s="116"/>
      <c r="Q2135" s="116"/>
      <c r="R2135" s="116" t="s">
        <v>39</v>
      </c>
      <c r="S2135" s="116" t="s">
        <v>39</v>
      </c>
      <c r="T2135" s="104"/>
      <c r="U2135" s="116"/>
      <c r="V2135" s="104"/>
      <c r="W2135" s="116"/>
    </row>
    <row r="2136">
      <c r="A2136" s="114" t="s">
        <v>39</v>
      </c>
      <c r="B2136" s="115"/>
      <c r="C2136" s="116"/>
      <c r="D2136" s="116"/>
      <c r="E2136" s="116" t="str">
        <f>IFERROR(__xludf.DUMMYFUNCTION("""COMPUTED_VALUE"""),"")</f>
        <v/>
      </c>
      <c r="F2136" s="117" t="s">
        <v>39</v>
      </c>
      <c r="G2136" s="116"/>
      <c r="H2136" s="117"/>
      <c r="I2136" s="117"/>
      <c r="J2136" s="117"/>
      <c r="K2136" s="117"/>
      <c r="L2136" s="116"/>
      <c r="M2136" s="117"/>
      <c r="N2136" s="118" t="str">
        <f>IFERROR(__xludf.DUMMYFUNCTION("""COMPUTED_VALUE"""),"")</f>
        <v/>
      </c>
      <c r="O2136" s="116"/>
      <c r="P2136" s="116"/>
      <c r="Q2136" s="116"/>
      <c r="R2136" s="116" t="s">
        <v>39</v>
      </c>
      <c r="S2136" s="116" t="s">
        <v>39</v>
      </c>
      <c r="T2136" s="104"/>
      <c r="U2136" s="116"/>
      <c r="V2136" s="104"/>
      <c r="W2136" s="116"/>
    </row>
    <row r="2137">
      <c r="A2137" s="114" t="s">
        <v>39</v>
      </c>
      <c r="B2137" s="115"/>
      <c r="C2137" s="116"/>
      <c r="D2137" s="116"/>
      <c r="E2137" s="116" t="str">
        <f>IFERROR(__xludf.DUMMYFUNCTION("""COMPUTED_VALUE"""),"")</f>
        <v/>
      </c>
      <c r="F2137" s="117" t="s">
        <v>39</v>
      </c>
      <c r="G2137" s="116"/>
      <c r="H2137" s="117"/>
      <c r="I2137" s="117"/>
      <c r="J2137" s="117"/>
      <c r="K2137" s="117"/>
      <c r="L2137" s="116"/>
      <c r="M2137" s="117"/>
      <c r="N2137" s="118" t="str">
        <f>IFERROR(__xludf.DUMMYFUNCTION("""COMPUTED_VALUE"""),"")</f>
        <v/>
      </c>
      <c r="O2137" s="116"/>
      <c r="P2137" s="116"/>
      <c r="Q2137" s="116"/>
      <c r="R2137" s="116" t="s">
        <v>39</v>
      </c>
      <c r="S2137" s="116" t="s">
        <v>39</v>
      </c>
      <c r="T2137" s="104"/>
      <c r="U2137" s="116"/>
      <c r="V2137" s="104"/>
      <c r="W2137" s="116"/>
    </row>
    <row r="2138">
      <c r="A2138" s="114" t="s">
        <v>39</v>
      </c>
      <c r="B2138" s="115"/>
      <c r="C2138" s="116"/>
      <c r="D2138" s="116"/>
      <c r="E2138" s="116" t="str">
        <f>IFERROR(__xludf.DUMMYFUNCTION("""COMPUTED_VALUE"""),"")</f>
        <v/>
      </c>
      <c r="F2138" s="117" t="s">
        <v>39</v>
      </c>
      <c r="G2138" s="116"/>
      <c r="H2138" s="117"/>
      <c r="I2138" s="117"/>
      <c r="J2138" s="117"/>
      <c r="K2138" s="117"/>
      <c r="L2138" s="116"/>
      <c r="M2138" s="117"/>
      <c r="N2138" s="118" t="str">
        <f>IFERROR(__xludf.DUMMYFUNCTION("""COMPUTED_VALUE"""),"")</f>
        <v/>
      </c>
      <c r="O2138" s="116"/>
      <c r="P2138" s="116"/>
      <c r="Q2138" s="116"/>
      <c r="R2138" s="116" t="s">
        <v>39</v>
      </c>
      <c r="S2138" s="116" t="s">
        <v>39</v>
      </c>
      <c r="T2138" s="104"/>
      <c r="U2138" s="116"/>
      <c r="V2138" s="104"/>
      <c r="W2138" s="116"/>
    </row>
    <row r="2139">
      <c r="A2139" s="114" t="s">
        <v>39</v>
      </c>
      <c r="B2139" s="115"/>
      <c r="C2139" s="116"/>
      <c r="D2139" s="116"/>
      <c r="E2139" s="116" t="str">
        <f>IFERROR(__xludf.DUMMYFUNCTION("""COMPUTED_VALUE"""),"")</f>
        <v/>
      </c>
      <c r="F2139" s="117" t="s">
        <v>39</v>
      </c>
      <c r="G2139" s="116"/>
      <c r="H2139" s="117"/>
      <c r="I2139" s="117"/>
      <c r="J2139" s="117"/>
      <c r="K2139" s="117"/>
      <c r="L2139" s="116"/>
      <c r="M2139" s="117"/>
      <c r="N2139" s="118" t="str">
        <f>IFERROR(__xludf.DUMMYFUNCTION("""COMPUTED_VALUE"""),"")</f>
        <v/>
      </c>
      <c r="O2139" s="116"/>
      <c r="P2139" s="116"/>
      <c r="Q2139" s="116"/>
      <c r="R2139" s="116" t="s">
        <v>39</v>
      </c>
      <c r="S2139" s="116" t="s">
        <v>39</v>
      </c>
      <c r="T2139" s="104"/>
      <c r="U2139" s="116"/>
      <c r="V2139" s="104"/>
      <c r="W2139" s="116"/>
    </row>
    <row r="2140">
      <c r="A2140" s="114" t="s">
        <v>39</v>
      </c>
      <c r="B2140" s="115"/>
      <c r="C2140" s="116"/>
      <c r="D2140" s="116"/>
      <c r="E2140" s="116" t="str">
        <f>IFERROR(__xludf.DUMMYFUNCTION("""COMPUTED_VALUE"""),"")</f>
        <v/>
      </c>
      <c r="F2140" s="117" t="s">
        <v>39</v>
      </c>
      <c r="G2140" s="116"/>
      <c r="H2140" s="117"/>
      <c r="I2140" s="117"/>
      <c r="J2140" s="117"/>
      <c r="K2140" s="117"/>
      <c r="L2140" s="116"/>
      <c r="M2140" s="117"/>
      <c r="N2140" s="118" t="str">
        <f>IFERROR(__xludf.DUMMYFUNCTION("""COMPUTED_VALUE"""),"")</f>
        <v/>
      </c>
      <c r="O2140" s="116"/>
      <c r="P2140" s="116"/>
      <c r="Q2140" s="116"/>
      <c r="R2140" s="116" t="s">
        <v>39</v>
      </c>
      <c r="S2140" s="116" t="s">
        <v>39</v>
      </c>
      <c r="T2140" s="104"/>
      <c r="U2140" s="116"/>
      <c r="V2140" s="104"/>
      <c r="W2140" s="116"/>
    </row>
    <row r="2141">
      <c r="A2141" s="114" t="s">
        <v>39</v>
      </c>
      <c r="B2141" s="115"/>
      <c r="C2141" s="116"/>
      <c r="D2141" s="116"/>
      <c r="E2141" s="116" t="str">
        <f>IFERROR(__xludf.DUMMYFUNCTION("""COMPUTED_VALUE"""),"")</f>
        <v/>
      </c>
      <c r="F2141" s="117" t="s">
        <v>39</v>
      </c>
      <c r="G2141" s="116"/>
      <c r="H2141" s="117"/>
      <c r="I2141" s="117"/>
      <c r="J2141" s="117"/>
      <c r="K2141" s="117"/>
      <c r="L2141" s="116"/>
      <c r="M2141" s="117"/>
      <c r="N2141" s="118" t="str">
        <f>IFERROR(__xludf.DUMMYFUNCTION("""COMPUTED_VALUE"""),"")</f>
        <v/>
      </c>
      <c r="O2141" s="116"/>
      <c r="P2141" s="116"/>
      <c r="Q2141" s="116"/>
      <c r="R2141" s="116" t="s">
        <v>39</v>
      </c>
      <c r="S2141" s="116" t="s">
        <v>39</v>
      </c>
      <c r="T2141" s="104"/>
      <c r="U2141" s="116"/>
      <c r="V2141" s="104"/>
      <c r="W2141" s="116"/>
    </row>
    <row r="2142">
      <c r="A2142" s="114" t="s">
        <v>39</v>
      </c>
      <c r="B2142" s="115"/>
      <c r="C2142" s="116"/>
      <c r="D2142" s="116"/>
      <c r="E2142" s="116" t="str">
        <f>IFERROR(__xludf.DUMMYFUNCTION("""COMPUTED_VALUE"""),"")</f>
        <v/>
      </c>
      <c r="F2142" s="117" t="s">
        <v>39</v>
      </c>
      <c r="G2142" s="116"/>
      <c r="H2142" s="117"/>
      <c r="I2142" s="117"/>
      <c r="J2142" s="117"/>
      <c r="K2142" s="117"/>
      <c r="L2142" s="116"/>
      <c r="M2142" s="117"/>
      <c r="N2142" s="118" t="str">
        <f>IFERROR(__xludf.DUMMYFUNCTION("""COMPUTED_VALUE"""),"")</f>
        <v/>
      </c>
      <c r="O2142" s="116"/>
      <c r="P2142" s="116"/>
      <c r="Q2142" s="116"/>
      <c r="R2142" s="116" t="s">
        <v>39</v>
      </c>
      <c r="S2142" s="116" t="s">
        <v>39</v>
      </c>
      <c r="T2142" s="104"/>
      <c r="U2142" s="116"/>
      <c r="V2142" s="104"/>
      <c r="W2142" s="116"/>
    </row>
    <row r="2143">
      <c r="A2143" s="114" t="s">
        <v>39</v>
      </c>
      <c r="B2143" s="115"/>
      <c r="C2143" s="116"/>
      <c r="D2143" s="116"/>
      <c r="E2143" s="116" t="str">
        <f>IFERROR(__xludf.DUMMYFUNCTION("""COMPUTED_VALUE"""),"")</f>
        <v/>
      </c>
      <c r="F2143" s="117" t="s">
        <v>39</v>
      </c>
      <c r="G2143" s="116"/>
      <c r="H2143" s="117"/>
      <c r="I2143" s="117"/>
      <c r="J2143" s="117"/>
      <c r="K2143" s="117"/>
      <c r="L2143" s="116"/>
      <c r="M2143" s="117"/>
      <c r="N2143" s="118" t="str">
        <f>IFERROR(__xludf.DUMMYFUNCTION("""COMPUTED_VALUE"""),"")</f>
        <v/>
      </c>
      <c r="O2143" s="116"/>
      <c r="P2143" s="116"/>
      <c r="Q2143" s="116"/>
      <c r="R2143" s="116" t="s">
        <v>39</v>
      </c>
      <c r="S2143" s="116" t="s">
        <v>39</v>
      </c>
      <c r="T2143" s="104"/>
      <c r="U2143" s="116"/>
      <c r="V2143" s="104"/>
      <c r="W2143" s="116"/>
    </row>
    <row r="2144">
      <c r="A2144" s="114" t="s">
        <v>39</v>
      </c>
      <c r="B2144" s="115"/>
      <c r="C2144" s="116"/>
      <c r="D2144" s="116"/>
      <c r="E2144" s="116" t="str">
        <f>IFERROR(__xludf.DUMMYFUNCTION("""COMPUTED_VALUE"""),"")</f>
        <v/>
      </c>
      <c r="F2144" s="117" t="s">
        <v>39</v>
      </c>
      <c r="G2144" s="116"/>
      <c r="H2144" s="117"/>
      <c r="I2144" s="117"/>
      <c r="J2144" s="117"/>
      <c r="K2144" s="117"/>
      <c r="L2144" s="116"/>
      <c r="M2144" s="117"/>
      <c r="N2144" s="118" t="str">
        <f>IFERROR(__xludf.DUMMYFUNCTION("""COMPUTED_VALUE"""),"")</f>
        <v/>
      </c>
      <c r="O2144" s="116"/>
      <c r="P2144" s="116"/>
      <c r="Q2144" s="116"/>
      <c r="R2144" s="116" t="s">
        <v>39</v>
      </c>
      <c r="S2144" s="116" t="s">
        <v>39</v>
      </c>
      <c r="T2144" s="104"/>
      <c r="U2144" s="116"/>
      <c r="V2144" s="104"/>
      <c r="W2144" s="116"/>
    </row>
    <row r="2145">
      <c r="A2145" s="114" t="s">
        <v>39</v>
      </c>
      <c r="B2145" s="115"/>
      <c r="C2145" s="116"/>
      <c r="D2145" s="116"/>
      <c r="E2145" s="116" t="str">
        <f>IFERROR(__xludf.DUMMYFUNCTION("""COMPUTED_VALUE"""),"")</f>
        <v/>
      </c>
      <c r="F2145" s="117" t="s">
        <v>39</v>
      </c>
      <c r="G2145" s="116"/>
      <c r="H2145" s="117"/>
      <c r="I2145" s="117"/>
      <c r="J2145" s="117"/>
      <c r="K2145" s="117"/>
      <c r="L2145" s="116"/>
      <c r="M2145" s="117"/>
      <c r="N2145" s="118" t="str">
        <f>IFERROR(__xludf.DUMMYFUNCTION("""COMPUTED_VALUE"""),"")</f>
        <v/>
      </c>
      <c r="O2145" s="116"/>
      <c r="P2145" s="116"/>
      <c r="Q2145" s="116"/>
      <c r="R2145" s="116" t="s">
        <v>39</v>
      </c>
      <c r="S2145" s="116" t="s">
        <v>39</v>
      </c>
      <c r="T2145" s="104"/>
      <c r="U2145" s="116"/>
      <c r="V2145" s="104"/>
      <c r="W2145" s="116"/>
    </row>
    <row r="2146">
      <c r="A2146" s="114" t="s">
        <v>39</v>
      </c>
      <c r="B2146" s="115"/>
      <c r="C2146" s="116"/>
      <c r="D2146" s="116"/>
      <c r="E2146" s="116" t="str">
        <f>IFERROR(__xludf.DUMMYFUNCTION("""COMPUTED_VALUE"""),"")</f>
        <v/>
      </c>
      <c r="F2146" s="117" t="s">
        <v>39</v>
      </c>
      <c r="G2146" s="116"/>
      <c r="H2146" s="117"/>
      <c r="I2146" s="117"/>
      <c r="J2146" s="117"/>
      <c r="K2146" s="117"/>
      <c r="L2146" s="116"/>
      <c r="M2146" s="117"/>
      <c r="N2146" s="118" t="str">
        <f>IFERROR(__xludf.DUMMYFUNCTION("""COMPUTED_VALUE"""),"")</f>
        <v/>
      </c>
      <c r="O2146" s="116"/>
      <c r="P2146" s="116"/>
      <c r="Q2146" s="116"/>
      <c r="R2146" s="116" t="s">
        <v>39</v>
      </c>
      <c r="S2146" s="116" t="s">
        <v>39</v>
      </c>
      <c r="T2146" s="104"/>
      <c r="U2146" s="116"/>
      <c r="V2146" s="104"/>
      <c r="W2146" s="116"/>
    </row>
    <row r="2147">
      <c r="A2147" s="114" t="s">
        <v>39</v>
      </c>
      <c r="B2147" s="115"/>
      <c r="C2147" s="116"/>
      <c r="D2147" s="116"/>
      <c r="E2147" s="116" t="str">
        <f>IFERROR(__xludf.DUMMYFUNCTION("""COMPUTED_VALUE"""),"")</f>
        <v/>
      </c>
      <c r="F2147" s="117" t="s">
        <v>39</v>
      </c>
      <c r="G2147" s="116"/>
      <c r="H2147" s="117"/>
      <c r="I2147" s="117"/>
      <c r="J2147" s="117"/>
      <c r="K2147" s="117"/>
      <c r="L2147" s="116"/>
      <c r="M2147" s="117"/>
      <c r="N2147" s="118" t="str">
        <f>IFERROR(__xludf.DUMMYFUNCTION("""COMPUTED_VALUE"""),"")</f>
        <v/>
      </c>
      <c r="O2147" s="116"/>
      <c r="P2147" s="116"/>
      <c r="Q2147" s="116"/>
      <c r="R2147" s="116" t="s">
        <v>39</v>
      </c>
      <c r="S2147" s="116" t="s">
        <v>39</v>
      </c>
      <c r="T2147" s="104"/>
      <c r="U2147" s="116"/>
      <c r="V2147" s="104"/>
      <c r="W2147" s="116"/>
    </row>
    <row r="2148">
      <c r="A2148" s="114" t="s">
        <v>39</v>
      </c>
      <c r="B2148" s="115"/>
      <c r="C2148" s="116"/>
      <c r="D2148" s="116"/>
      <c r="E2148" s="116" t="str">
        <f>IFERROR(__xludf.DUMMYFUNCTION("""COMPUTED_VALUE"""),"")</f>
        <v/>
      </c>
      <c r="F2148" s="117" t="s">
        <v>39</v>
      </c>
      <c r="G2148" s="116"/>
      <c r="H2148" s="117"/>
      <c r="I2148" s="117"/>
      <c r="J2148" s="117"/>
      <c r="K2148" s="117"/>
      <c r="L2148" s="116"/>
      <c r="M2148" s="117"/>
      <c r="N2148" s="118" t="str">
        <f>IFERROR(__xludf.DUMMYFUNCTION("""COMPUTED_VALUE"""),"")</f>
        <v/>
      </c>
      <c r="O2148" s="116"/>
      <c r="P2148" s="116"/>
      <c r="Q2148" s="116"/>
      <c r="R2148" s="116" t="s">
        <v>39</v>
      </c>
      <c r="S2148" s="116" t="s">
        <v>39</v>
      </c>
      <c r="T2148" s="104"/>
      <c r="U2148" s="116"/>
      <c r="V2148" s="104"/>
      <c r="W2148" s="116"/>
    </row>
    <row r="2149">
      <c r="A2149" s="114" t="s">
        <v>39</v>
      </c>
      <c r="B2149" s="115"/>
      <c r="C2149" s="116"/>
      <c r="D2149" s="116"/>
      <c r="E2149" s="116" t="str">
        <f>IFERROR(__xludf.DUMMYFUNCTION("""COMPUTED_VALUE"""),"")</f>
        <v/>
      </c>
      <c r="F2149" s="117" t="s">
        <v>39</v>
      </c>
      <c r="G2149" s="116"/>
      <c r="H2149" s="117"/>
      <c r="I2149" s="117"/>
      <c r="J2149" s="117"/>
      <c r="K2149" s="117"/>
      <c r="L2149" s="116"/>
      <c r="M2149" s="117"/>
      <c r="N2149" s="118" t="str">
        <f>IFERROR(__xludf.DUMMYFUNCTION("""COMPUTED_VALUE"""),"")</f>
        <v/>
      </c>
      <c r="O2149" s="116"/>
      <c r="P2149" s="116"/>
      <c r="Q2149" s="116"/>
      <c r="R2149" s="116" t="s">
        <v>39</v>
      </c>
      <c r="S2149" s="116" t="s">
        <v>39</v>
      </c>
      <c r="T2149" s="104"/>
      <c r="U2149" s="116"/>
      <c r="V2149" s="104"/>
      <c r="W2149" s="116"/>
    </row>
    <row r="2150">
      <c r="A2150" s="114" t="s">
        <v>39</v>
      </c>
      <c r="B2150" s="115"/>
      <c r="C2150" s="116"/>
      <c r="D2150" s="116"/>
      <c r="E2150" s="116" t="str">
        <f>IFERROR(__xludf.DUMMYFUNCTION("""COMPUTED_VALUE"""),"")</f>
        <v/>
      </c>
      <c r="F2150" s="117" t="s">
        <v>39</v>
      </c>
      <c r="G2150" s="116"/>
      <c r="H2150" s="117"/>
      <c r="I2150" s="117"/>
      <c r="J2150" s="117"/>
      <c r="K2150" s="117"/>
      <c r="L2150" s="116"/>
      <c r="M2150" s="117"/>
      <c r="N2150" s="118" t="str">
        <f>IFERROR(__xludf.DUMMYFUNCTION("""COMPUTED_VALUE"""),"")</f>
        <v/>
      </c>
      <c r="O2150" s="116"/>
      <c r="P2150" s="116"/>
      <c r="Q2150" s="116"/>
      <c r="R2150" s="116" t="s">
        <v>39</v>
      </c>
      <c r="S2150" s="116" t="s">
        <v>39</v>
      </c>
      <c r="T2150" s="104"/>
      <c r="U2150" s="116"/>
      <c r="V2150" s="104"/>
      <c r="W2150" s="116"/>
    </row>
    <row r="2151">
      <c r="A2151" s="114" t="s">
        <v>39</v>
      </c>
      <c r="B2151" s="115"/>
      <c r="C2151" s="116"/>
      <c r="D2151" s="116"/>
      <c r="E2151" s="116" t="str">
        <f>IFERROR(__xludf.DUMMYFUNCTION("""COMPUTED_VALUE"""),"")</f>
        <v/>
      </c>
      <c r="F2151" s="117" t="s">
        <v>39</v>
      </c>
      <c r="G2151" s="116"/>
      <c r="H2151" s="117"/>
      <c r="I2151" s="117"/>
      <c r="J2151" s="117"/>
      <c r="K2151" s="117"/>
      <c r="L2151" s="116"/>
      <c r="M2151" s="117"/>
      <c r="N2151" s="118" t="str">
        <f>IFERROR(__xludf.DUMMYFUNCTION("""COMPUTED_VALUE"""),"")</f>
        <v/>
      </c>
      <c r="O2151" s="116"/>
      <c r="P2151" s="116"/>
      <c r="Q2151" s="116"/>
      <c r="R2151" s="116" t="s">
        <v>39</v>
      </c>
      <c r="S2151" s="116" t="s">
        <v>39</v>
      </c>
      <c r="T2151" s="104"/>
      <c r="U2151" s="116"/>
      <c r="V2151" s="104"/>
      <c r="W2151" s="116"/>
    </row>
    <row r="2152">
      <c r="A2152" s="114" t="s">
        <v>39</v>
      </c>
      <c r="B2152" s="115"/>
      <c r="C2152" s="116"/>
      <c r="D2152" s="116"/>
      <c r="E2152" s="116" t="str">
        <f>IFERROR(__xludf.DUMMYFUNCTION("""COMPUTED_VALUE"""),"")</f>
        <v/>
      </c>
      <c r="F2152" s="117" t="s">
        <v>39</v>
      </c>
      <c r="G2152" s="116"/>
      <c r="H2152" s="117"/>
      <c r="I2152" s="117"/>
      <c r="J2152" s="117"/>
      <c r="K2152" s="117"/>
      <c r="L2152" s="116"/>
      <c r="M2152" s="117"/>
      <c r="N2152" s="118" t="str">
        <f>IFERROR(__xludf.DUMMYFUNCTION("""COMPUTED_VALUE"""),"")</f>
        <v/>
      </c>
      <c r="O2152" s="116"/>
      <c r="P2152" s="116"/>
      <c r="Q2152" s="116"/>
      <c r="R2152" s="116" t="s">
        <v>39</v>
      </c>
      <c r="S2152" s="116" t="s">
        <v>39</v>
      </c>
      <c r="T2152" s="104"/>
      <c r="U2152" s="116"/>
      <c r="V2152" s="104"/>
      <c r="W2152" s="116"/>
    </row>
    <row r="2153">
      <c r="A2153" s="114" t="s">
        <v>39</v>
      </c>
      <c r="B2153" s="115"/>
      <c r="C2153" s="116"/>
      <c r="D2153" s="116"/>
      <c r="E2153" s="116" t="str">
        <f>IFERROR(__xludf.DUMMYFUNCTION("""COMPUTED_VALUE"""),"")</f>
        <v/>
      </c>
      <c r="F2153" s="117" t="s">
        <v>39</v>
      </c>
      <c r="G2153" s="116"/>
      <c r="H2153" s="117"/>
      <c r="I2153" s="117"/>
      <c r="J2153" s="117"/>
      <c r="K2153" s="117"/>
      <c r="L2153" s="116"/>
      <c r="M2153" s="117"/>
      <c r="N2153" s="118" t="str">
        <f>IFERROR(__xludf.DUMMYFUNCTION("""COMPUTED_VALUE"""),"")</f>
        <v/>
      </c>
      <c r="O2153" s="116"/>
      <c r="P2153" s="116"/>
      <c r="Q2153" s="116"/>
      <c r="R2153" s="116" t="s">
        <v>39</v>
      </c>
      <c r="S2153" s="116" t="s">
        <v>39</v>
      </c>
      <c r="T2153" s="104"/>
      <c r="U2153" s="116"/>
      <c r="V2153" s="104"/>
      <c r="W2153" s="116"/>
    </row>
    <row r="2154">
      <c r="A2154" s="114" t="s">
        <v>39</v>
      </c>
      <c r="B2154" s="115"/>
      <c r="C2154" s="116"/>
      <c r="D2154" s="116"/>
      <c r="E2154" s="116" t="str">
        <f>IFERROR(__xludf.DUMMYFUNCTION("""COMPUTED_VALUE"""),"")</f>
        <v/>
      </c>
      <c r="F2154" s="117" t="s">
        <v>39</v>
      </c>
      <c r="G2154" s="116"/>
      <c r="H2154" s="117"/>
      <c r="I2154" s="117"/>
      <c r="J2154" s="117"/>
      <c r="K2154" s="117"/>
      <c r="L2154" s="116"/>
      <c r="M2154" s="117"/>
      <c r="N2154" s="118" t="str">
        <f>IFERROR(__xludf.DUMMYFUNCTION("""COMPUTED_VALUE"""),"")</f>
        <v/>
      </c>
      <c r="O2154" s="116"/>
      <c r="P2154" s="116"/>
      <c r="Q2154" s="116"/>
      <c r="R2154" s="116" t="s">
        <v>39</v>
      </c>
      <c r="S2154" s="116" t="s">
        <v>39</v>
      </c>
      <c r="T2154" s="104"/>
      <c r="U2154" s="116"/>
      <c r="V2154" s="104"/>
      <c r="W2154" s="116"/>
    </row>
    <row r="2155">
      <c r="A2155" s="114" t="s">
        <v>39</v>
      </c>
      <c r="B2155" s="115"/>
      <c r="C2155" s="116"/>
      <c r="D2155" s="116"/>
      <c r="E2155" s="116" t="str">
        <f>IFERROR(__xludf.DUMMYFUNCTION("""COMPUTED_VALUE"""),"")</f>
        <v/>
      </c>
      <c r="F2155" s="117" t="s">
        <v>39</v>
      </c>
      <c r="G2155" s="116"/>
      <c r="H2155" s="117"/>
      <c r="I2155" s="117"/>
      <c r="J2155" s="117"/>
      <c r="K2155" s="117"/>
      <c r="L2155" s="116"/>
      <c r="M2155" s="117"/>
      <c r="N2155" s="118" t="str">
        <f>IFERROR(__xludf.DUMMYFUNCTION("""COMPUTED_VALUE"""),"")</f>
        <v/>
      </c>
      <c r="O2155" s="116"/>
      <c r="P2155" s="116"/>
      <c r="Q2155" s="116"/>
      <c r="R2155" s="116" t="s">
        <v>39</v>
      </c>
      <c r="S2155" s="116" t="s">
        <v>39</v>
      </c>
      <c r="T2155" s="104"/>
      <c r="U2155" s="116"/>
      <c r="V2155" s="104"/>
      <c r="W2155" s="116"/>
    </row>
    <row r="2156">
      <c r="A2156" s="114" t="s">
        <v>39</v>
      </c>
      <c r="B2156" s="115"/>
      <c r="C2156" s="116"/>
      <c r="D2156" s="116"/>
      <c r="E2156" s="116" t="str">
        <f>IFERROR(__xludf.DUMMYFUNCTION("""COMPUTED_VALUE"""),"")</f>
        <v/>
      </c>
      <c r="F2156" s="117" t="s">
        <v>39</v>
      </c>
      <c r="G2156" s="116"/>
      <c r="H2156" s="117"/>
      <c r="I2156" s="117"/>
      <c r="J2156" s="117"/>
      <c r="K2156" s="117"/>
      <c r="L2156" s="116"/>
      <c r="M2156" s="117"/>
      <c r="N2156" s="118" t="str">
        <f>IFERROR(__xludf.DUMMYFUNCTION("""COMPUTED_VALUE"""),"")</f>
        <v/>
      </c>
      <c r="O2156" s="116"/>
      <c r="P2156" s="116"/>
      <c r="Q2156" s="116"/>
      <c r="R2156" s="116" t="s">
        <v>39</v>
      </c>
      <c r="S2156" s="116" t="s">
        <v>39</v>
      </c>
      <c r="T2156" s="104"/>
      <c r="U2156" s="116"/>
      <c r="V2156" s="104"/>
      <c r="W2156" s="116"/>
    </row>
    <row r="2157">
      <c r="A2157" s="114" t="s">
        <v>39</v>
      </c>
      <c r="B2157" s="115"/>
      <c r="C2157" s="116"/>
      <c r="D2157" s="116"/>
      <c r="E2157" s="116" t="str">
        <f>IFERROR(__xludf.DUMMYFUNCTION("""COMPUTED_VALUE"""),"")</f>
        <v/>
      </c>
      <c r="F2157" s="117" t="s">
        <v>39</v>
      </c>
      <c r="G2157" s="116"/>
      <c r="H2157" s="117"/>
      <c r="I2157" s="117"/>
      <c r="J2157" s="117"/>
      <c r="K2157" s="117"/>
      <c r="L2157" s="116"/>
      <c r="M2157" s="117"/>
      <c r="N2157" s="118" t="str">
        <f>IFERROR(__xludf.DUMMYFUNCTION("""COMPUTED_VALUE"""),"")</f>
        <v/>
      </c>
      <c r="O2157" s="116"/>
      <c r="P2157" s="116"/>
      <c r="Q2157" s="116"/>
      <c r="R2157" s="116" t="s">
        <v>39</v>
      </c>
      <c r="S2157" s="116" t="s">
        <v>39</v>
      </c>
      <c r="T2157" s="104"/>
      <c r="U2157" s="116"/>
      <c r="V2157" s="104"/>
      <c r="W2157" s="116"/>
    </row>
    <row r="2158">
      <c r="A2158" s="114" t="s">
        <v>39</v>
      </c>
      <c r="B2158" s="115"/>
      <c r="C2158" s="116"/>
      <c r="D2158" s="116"/>
      <c r="E2158" s="116" t="str">
        <f>IFERROR(__xludf.DUMMYFUNCTION("""COMPUTED_VALUE"""),"")</f>
        <v/>
      </c>
      <c r="F2158" s="117" t="s">
        <v>39</v>
      </c>
      <c r="G2158" s="116"/>
      <c r="H2158" s="117"/>
      <c r="I2158" s="117"/>
      <c r="J2158" s="117"/>
      <c r="K2158" s="117"/>
      <c r="L2158" s="116"/>
      <c r="M2158" s="117"/>
      <c r="N2158" s="118" t="str">
        <f>IFERROR(__xludf.DUMMYFUNCTION("""COMPUTED_VALUE"""),"")</f>
        <v/>
      </c>
      <c r="O2158" s="116"/>
      <c r="P2158" s="116"/>
      <c r="Q2158" s="116"/>
      <c r="R2158" s="116" t="s">
        <v>39</v>
      </c>
      <c r="S2158" s="116" t="s">
        <v>39</v>
      </c>
      <c r="T2158" s="104"/>
      <c r="U2158" s="116"/>
      <c r="V2158" s="104"/>
      <c r="W2158" s="116"/>
    </row>
    <row r="2159">
      <c r="A2159" s="114" t="s">
        <v>39</v>
      </c>
      <c r="B2159" s="115"/>
      <c r="C2159" s="116"/>
      <c r="D2159" s="116"/>
      <c r="E2159" s="116" t="str">
        <f>IFERROR(__xludf.DUMMYFUNCTION("""COMPUTED_VALUE"""),"")</f>
        <v/>
      </c>
      <c r="F2159" s="117" t="s">
        <v>39</v>
      </c>
      <c r="G2159" s="116"/>
      <c r="H2159" s="117"/>
      <c r="I2159" s="117"/>
      <c r="J2159" s="117"/>
      <c r="K2159" s="117"/>
      <c r="L2159" s="116"/>
      <c r="M2159" s="117"/>
      <c r="N2159" s="118" t="str">
        <f>IFERROR(__xludf.DUMMYFUNCTION("""COMPUTED_VALUE"""),"")</f>
        <v/>
      </c>
      <c r="O2159" s="116"/>
      <c r="P2159" s="116"/>
      <c r="Q2159" s="116"/>
      <c r="R2159" s="116" t="s">
        <v>39</v>
      </c>
      <c r="S2159" s="116" t="s">
        <v>39</v>
      </c>
      <c r="T2159" s="104"/>
      <c r="U2159" s="116"/>
      <c r="V2159" s="104"/>
      <c r="W2159" s="116"/>
    </row>
    <row r="2160">
      <c r="A2160" s="114" t="s">
        <v>39</v>
      </c>
      <c r="B2160" s="115"/>
      <c r="C2160" s="116"/>
      <c r="D2160" s="116"/>
      <c r="E2160" s="116" t="str">
        <f>IFERROR(__xludf.DUMMYFUNCTION("""COMPUTED_VALUE"""),"")</f>
        <v/>
      </c>
      <c r="F2160" s="117" t="s">
        <v>39</v>
      </c>
      <c r="G2160" s="116"/>
      <c r="H2160" s="117"/>
      <c r="I2160" s="117"/>
      <c r="J2160" s="117"/>
      <c r="K2160" s="117"/>
      <c r="L2160" s="116"/>
      <c r="M2160" s="117"/>
      <c r="N2160" s="118" t="str">
        <f>IFERROR(__xludf.DUMMYFUNCTION("""COMPUTED_VALUE"""),"")</f>
        <v/>
      </c>
      <c r="O2160" s="116"/>
      <c r="P2160" s="116"/>
      <c r="Q2160" s="116"/>
      <c r="R2160" s="116" t="s">
        <v>39</v>
      </c>
      <c r="S2160" s="116" t="s">
        <v>39</v>
      </c>
      <c r="T2160" s="104"/>
      <c r="U2160" s="116"/>
      <c r="V2160" s="104"/>
      <c r="W2160" s="116"/>
    </row>
    <row r="2161">
      <c r="A2161" s="114" t="s">
        <v>39</v>
      </c>
      <c r="B2161" s="115"/>
      <c r="C2161" s="116"/>
      <c r="D2161" s="116"/>
      <c r="E2161" s="116" t="str">
        <f>IFERROR(__xludf.DUMMYFUNCTION("""COMPUTED_VALUE"""),"")</f>
        <v/>
      </c>
      <c r="F2161" s="117" t="s">
        <v>39</v>
      </c>
      <c r="G2161" s="116"/>
      <c r="H2161" s="117"/>
      <c r="I2161" s="117"/>
      <c r="J2161" s="117"/>
      <c r="K2161" s="117"/>
      <c r="L2161" s="116"/>
      <c r="M2161" s="117"/>
      <c r="N2161" s="118" t="str">
        <f>IFERROR(__xludf.DUMMYFUNCTION("""COMPUTED_VALUE"""),"")</f>
        <v/>
      </c>
      <c r="O2161" s="116"/>
      <c r="P2161" s="116"/>
      <c r="Q2161" s="116"/>
      <c r="R2161" s="116" t="s">
        <v>39</v>
      </c>
      <c r="S2161" s="116" t="s">
        <v>39</v>
      </c>
      <c r="T2161" s="104"/>
      <c r="U2161" s="116"/>
      <c r="V2161" s="104"/>
      <c r="W2161" s="116"/>
    </row>
    <row r="2162">
      <c r="A2162" s="114" t="s">
        <v>39</v>
      </c>
      <c r="B2162" s="115"/>
      <c r="C2162" s="116"/>
      <c r="D2162" s="116"/>
      <c r="E2162" s="116" t="str">
        <f>IFERROR(__xludf.DUMMYFUNCTION("""COMPUTED_VALUE"""),"")</f>
        <v/>
      </c>
      <c r="F2162" s="117" t="s">
        <v>39</v>
      </c>
      <c r="G2162" s="116"/>
      <c r="H2162" s="117"/>
      <c r="I2162" s="117"/>
      <c r="J2162" s="117"/>
      <c r="K2162" s="117"/>
      <c r="L2162" s="116"/>
      <c r="M2162" s="117"/>
      <c r="N2162" s="118" t="str">
        <f>IFERROR(__xludf.DUMMYFUNCTION("""COMPUTED_VALUE"""),"")</f>
        <v/>
      </c>
      <c r="O2162" s="116"/>
      <c r="P2162" s="116"/>
      <c r="Q2162" s="116"/>
      <c r="R2162" s="116" t="s">
        <v>39</v>
      </c>
      <c r="S2162" s="116" t="s">
        <v>39</v>
      </c>
      <c r="T2162" s="104"/>
      <c r="U2162" s="116"/>
      <c r="V2162" s="104"/>
      <c r="W2162" s="116"/>
    </row>
    <row r="2163">
      <c r="A2163" s="114" t="s">
        <v>39</v>
      </c>
      <c r="B2163" s="115"/>
      <c r="C2163" s="116"/>
      <c r="D2163" s="116"/>
      <c r="E2163" s="116" t="str">
        <f>IFERROR(__xludf.DUMMYFUNCTION("""COMPUTED_VALUE"""),"")</f>
        <v/>
      </c>
      <c r="F2163" s="117" t="s">
        <v>39</v>
      </c>
      <c r="G2163" s="116"/>
      <c r="H2163" s="117"/>
      <c r="I2163" s="117"/>
      <c r="J2163" s="117"/>
      <c r="K2163" s="117"/>
      <c r="L2163" s="116"/>
      <c r="M2163" s="117"/>
      <c r="N2163" s="118" t="str">
        <f>IFERROR(__xludf.DUMMYFUNCTION("""COMPUTED_VALUE"""),"")</f>
        <v/>
      </c>
      <c r="O2163" s="116"/>
      <c r="P2163" s="116"/>
      <c r="Q2163" s="116"/>
      <c r="R2163" s="116" t="s">
        <v>39</v>
      </c>
      <c r="S2163" s="116" t="s">
        <v>39</v>
      </c>
      <c r="T2163" s="104"/>
      <c r="U2163" s="116"/>
      <c r="V2163" s="104"/>
      <c r="W2163" s="116"/>
    </row>
    <row r="2164">
      <c r="A2164" s="114" t="s">
        <v>39</v>
      </c>
      <c r="B2164" s="115"/>
      <c r="C2164" s="116"/>
      <c r="D2164" s="116"/>
      <c r="E2164" s="116" t="str">
        <f>IFERROR(__xludf.DUMMYFUNCTION("""COMPUTED_VALUE"""),"")</f>
        <v/>
      </c>
      <c r="F2164" s="117" t="s">
        <v>39</v>
      </c>
      <c r="G2164" s="116"/>
      <c r="H2164" s="117"/>
      <c r="I2164" s="117"/>
      <c r="J2164" s="117"/>
      <c r="K2164" s="117"/>
      <c r="L2164" s="116"/>
      <c r="M2164" s="117"/>
      <c r="N2164" s="118" t="str">
        <f>IFERROR(__xludf.DUMMYFUNCTION("""COMPUTED_VALUE"""),"")</f>
        <v/>
      </c>
      <c r="O2164" s="116"/>
      <c r="P2164" s="116"/>
      <c r="Q2164" s="116"/>
      <c r="R2164" s="116" t="s">
        <v>39</v>
      </c>
      <c r="S2164" s="116" t="s">
        <v>39</v>
      </c>
      <c r="T2164" s="104"/>
      <c r="U2164" s="116"/>
      <c r="V2164" s="104"/>
      <c r="W2164" s="116"/>
    </row>
    <row r="2165">
      <c r="A2165" s="114" t="s">
        <v>39</v>
      </c>
      <c r="B2165" s="115"/>
      <c r="C2165" s="116"/>
      <c r="D2165" s="116"/>
      <c r="E2165" s="116" t="str">
        <f>IFERROR(__xludf.DUMMYFUNCTION("""COMPUTED_VALUE"""),"")</f>
        <v/>
      </c>
      <c r="F2165" s="117" t="s">
        <v>39</v>
      </c>
      <c r="G2165" s="116"/>
      <c r="H2165" s="117"/>
      <c r="I2165" s="117"/>
      <c r="J2165" s="117"/>
      <c r="K2165" s="117"/>
      <c r="L2165" s="116"/>
      <c r="M2165" s="117"/>
      <c r="N2165" s="118" t="str">
        <f>IFERROR(__xludf.DUMMYFUNCTION("""COMPUTED_VALUE"""),"")</f>
        <v/>
      </c>
      <c r="O2165" s="116"/>
      <c r="P2165" s="116"/>
      <c r="Q2165" s="116"/>
      <c r="R2165" s="116" t="s">
        <v>39</v>
      </c>
      <c r="S2165" s="116" t="s">
        <v>39</v>
      </c>
      <c r="T2165" s="104"/>
      <c r="U2165" s="116"/>
      <c r="V2165" s="104"/>
      <c r="W2165" s="116"/>
    </row>
    <row r="2166">
      <c r="A2166" s="114" t="s">
        <v>39</v>
      </c>
      <c r="B2166" s="115"/>
      <c r="C2166" s="116"/>
      <c r="D2166" s="116"/>
      <c r="E2166" s="116" t="str">
        <f>IFERROR(__xludf.DUMMYFUNCTION("""COMPUTED_VALUE"""),"")</f>
        <v/>
      </c>
      <c r="F2166" s="117" t="s">
        <v>39</v>
      </c>
      <c r="G2166" s="116"/>
      <c r="H2166" s="117"/>
      <c r="I2166" s="117"/>
      <c r="J2166" s="117"/>
      <c r="K2166" s="117"/>
      <c r="L2166" s="116"/>
      <c r="M2166" s="117"/>
      <c r="N2166" s="118" t="str">
        <f>IFERROR(__xludf.DUMMYFUNCTION("""COMPUTED_VALUE"""),"")</f>
        <v/>
      </c>
      <c r="O2166" s="116"/>
      <c r="P2166" s="116"/>
      <c r="Q2166" s="116"/>
      <c r="R2166" s="116" t="s">
        <v>39</v>
      </c>
      <c r="S2166" s="116" t="s">
        <v>39</v>
      </c>
      <c r="T2166" s="104"/>
      <c r="U2166" s="116"/>
      <c r="V2166" s="104"/>
      <c r="W2166" s="116"/>
    </row>
    <row r="2167">
      <c r="A2167" s="114" t="s">
        <v>39</v>
      </c>
      <c r="B2167" s="115"/>
      <c r="C2167" s="116"/>
      <c r="D2167" s="116"/>
      <c r="E2167" s="116" t="str">
        <f>IFERROR(__xludf.DUMMYFUNCTION("""COMPUTED_VALUE"""),"")</f>
        <v/>
      </c>
      <c r="F2167" s="117" t="s">
        <v>39</v>
      </c>
      <c r="G2167" s="116"/>
      <c r="H2167" s="117"/>
      <c r="I2167" s="117"/>
      <c r="J2167" s="117"/>
      <c r="K2167" s="117"/>
      <c r="L2167" s="116"/>
      <c r="M2167" s="117"/>
      <c r="N2167" s="118" t="str">
        <f>IFERROR(__xludf.DUMMYFUNCTION("""COMPUTED_VALUE"""),"")</f>
        <v/>
      </c>
      <c r="O2167" s="116"/>
      <c r="P2167" s="116"/>
      <c r="Q2167" s="116"/>
      <c r="R2167" s="116" t="s">
        <v>39</v>
      </c>
      <c r="S2167" s="116" t="s">
        <v>39</v>
      </c>
      <c r="T2167" s="104"/>
      <c r="U2167" s="116"/>
      <c r="V2167" s="104"/>
      <c r="W2167" s="116"/>
    </row>
    <row r="2168">
      <c r="A2168" s="114" t="s">
        <v>39</v>
      </c>
      <c r="B2168" s="115"/>
      <c r="C2168" s="116"/>
      <c r="D2168" s="116"/>
      <c r="E2168" s="116" t="str">
        <f>IFERROR(__xludf.DUMMYFUNCTION("""COMPUTED_VALUE"""),"")</f>
        <v/>
      </c>
      <c r="F2168" s="117" t="s">
        <v>39</v>
      </c>
      <c r="G2168" s="116"/>
      <c r="H2168" s="117"/>
      <c r="I2168" s="117"/>
      <c r="J2168" s="117"/>
      <c r="K2168" s="117"/>
      <c r="L2168" s="116"/>
      <c r="M2168" s="117"/>
      <c r="N2168" s="118" t="str">
        <f>IFERROR(__xludf.DUMMYFUNCTION("""COMPUTED_VALUE"""),"")</f>
        <v/>
      </c>
      <c r="O2168" s="116"/>
      <c r="P2168" s="116"/>
      <c r="Q2168" s="116"/>
      <c r="R2168" s="116" t="s">
        <v>39</v>
      </c>
      <c r="S2168" s="116" t="s">
        <v>39</v>
      </c>
      <c r="T2168" s="104"/>
      <c r="U2168" s="116"/>
      <c r="V2168" s="104"/>
      <c r="W2168" s="116"/>
    </row>
    <row r="2169">
      <c r="A2169" s="114" t="s">
        <v>39</v>
      </c>
      <c r="B2169" s="115"/>
      <c r="C2169" s="116"/>
      <c r="D2169" s="116"/>
      <c r="E2169" s="116" t="str">
        <f>IFERROR(__xludf.DUMMYFUNCTION("""COMPUTED_VALUE"""),"")</f>
        <v/>
      </c>
      <c r="F2169" s="117" t="s">
        <v>39</v>
      </c>
      <c r="G2169" s="116"/>
      <c r="H2169" s="117"/>
      <c r="I2169" s="117"/>
      <c r="J2169" s="117"/>
      <c r="K2169" s="117"/>
      <c r="L2169" s="116"/>
      <c r="M2169" s="117"/>
      <c r="N2169" s="118" t="str">
        <f>IFERROR(__xludf.DUMMYFUNCTION("""COMPUTED_VALUE"""),"")</f>
        <v/>
      </c>
      <c r="O2169" s="116"/>
      <c r="P2169" s="116"/>
      <c r="Q2169" s="116"/>
      <c r="R2169" s="116" t="s">
        <v>39</v>
      </c>
      <c r="S2169" s="116" t="s">
        <v>39</v>
      </c>
      <c r="T2169" s="104"/>
      <c r="U2169" s="116"/>
      <c r="V2169" s="104"/>
      <c r="W2169" s="116"/>
    </row>
    <row r="2170">
      <c r="A2170" s="114" t="s">
        <v>39</v>
      </c>
      <c r="B2170" s="115"/>
      <c r="C2170" s="116"/>
      <c r="D2170" s="116"/>
      <c r="E2170" s="116" t="str">
        <f>IFERROR(__xludf.DUMMYFUNCTION("""COMPUTED_VALUE"""),"")</f>
        <v/>
      </c>
      <c r="F2170" s="117" t="s">
        <v>39</v>
      </c>
      <c r="G2170" s="116"/>
      <c r="H2170" s="117"/>
      <c r="I2170" s="117"/>
      <c r="J2170" s="117"/>
      <c r="K2170" s="117"/>
      <c r="L2170" s="116"/>
      <c r="M2170" s="117"/>
      <c r="N2170" s="118" t="str">
        <f>IFERROR(__xludf.DUMMYFUNCTION("""COMPUTED_VALUE"""),"")</f>
        <v/>
      </c>
      <c r="O2170" s="116"/>
      <c r="P2170" s="116"/>
      <c r="Q2170" s="116"/>
      <c r="R2170" s="116" t="s">
        <v>39</v>
      </c>
      <c r="S2170" s="116" t="s">
        <v>39</v>
      </c>
      <c r="T2170" s="104"/>
      <c r="U2170" s="116"/>
      <c r="V2170" s="104"/>
      <c r="W2170" s="116"/>
    </row>
    <row r="2171">
      <c r="A2171" s="114" t="s">
        <v>39</v>
      </c>
      <c r="B2171" s="115"/>
      <c r="C2171" s="116"/>
      <c r="D2171" s="116"/>
      <c r="E2171" s="116" t="str">
        <f>IFERROR(__xludf.DUMMYFUNCTION("""COMPUTED_VALUE"""),"")</f>
        <v/>
      </c>
      <c r="F2171" s="117" t="s">
        <v>39</v>
      </c>
      <c r="G2171" s="116"/>
      <c r="H2171" s="117"/>
      <c r="I2171" s="117"/>
      <c r="J2171" s="117"/>
      <c r="K2171" s="117"/>
      <c r="L2171" s="116"/>
      <c r="M2171" s="117"/>
      <c r="N2171" s="118" t="str">
        <f>IFERROR(__xludf.DUMMYFUNCTION("""COMPUTED_VALUE"""),"")</f>
        <v/>
      </c>
      <c r="O2171" s="116"/>
      <c r="P2171" s="116"/>
      <c r="Q2171" s="116"/>
      <c r="R2171" s="116" t="s">
        <v>39</v>
      </c>
      <c r="S2171" s="116" t="s">
        <v>39</v>
      </c>
      <c r="T2171" s="104"/>
      <c r="U2171" s="116"/>
      <c r="V2171" s="104"/>
      <c r="W2171" s="116"/>
    </row>
    <row r="2172">
      <c r="A2172" s="114" t="s">
        <v>39</v>
      </c>
      <c r="B2172" s="115"/>
      <c r="C2172" s="116"/>
      <c r="D2172" s="116"/>
      <c r="E2172" s="116" t="str">
        <f>IFERROR(__xludf.DUMMYFUNCTION("""COMPUTED_VALUE"""),"")</f>
        <v/>
      </c>
      <c r="F2172" s="117" t="s">
        <v>39</v>
      </c>
      <c r="G2172" s="116"/>
      <c r="H2172" s="117"/>
      <c r="I2172" s="117"/>
      <c r="J2172" s="117"/>
      <c r="K2172" s="117"/>
      <c r="L2172" s="116"/>
      <c r="M2172" s="117"/>
      <c r="N2172" s="118" t="str">
        <f>IFERROR(__xludf.DUMMYFUNCTION("""COMPUTED_VALUE"""),"")</f>
        <v/>
      </c>
      <c r="O2172" s="116"/>
      <c r="P2172" s="116"/>
      <c r="Q2172" s="116"/>
      <c r="R2172" s="116" t="s">
        <v>39</v>
      </c>
      <c r="S2172" s="116" t="s">
        <v>39</v>
      </c>
      <c r="T2172" s="104"/>
      <c r="U2172" s="116"/>
      <c r="V2172" s="104"/>
      <c r="W2172" s="116"/>
    </row>
    <row r="2173">
      <c r="A2173" s="114" t="s">
        <v>39</v>
      </c>
      <c r="B2173" s="115"/>
      <c r="C2173" s="116"/>
      <c r="D2173" s="116"/>
      <c r="E2173" s="116" t="str">
        <f>IFERROR(__xludf.DUMMYFUNCTION("""COMPUTED_VALUE"""),"")</f>
        <v/>
      </c>
      <c r="F2173" s="117" t="s">
        <v>39</v>
      </c>
      <c r="G2173" s="116"/>
      <c r="H2173" s="117"/>
      <c r="I2173" s="117"/>
      <c r="J2173" s="117"/>
      <c r="K2173" s="117"/>
      <c r="L2173" s="116"/>
      <c r="M2173" s="117"/>
      <c r="N2173" s="118" t="str">
        <f>IFERROR(__xludf.DUMMYFUNCTION("""COMPUTED_VALUE"""),"")</f>
        <v/>
      </c>
      <c r="O2173" s="116"/>
      <c r="P2173" s="116"/>
      <c r="Q2173" s="116"/>
      <c r="R2173" s="116" t="s">
        <v>39</v>
      </c>
      <c r="S2173" s="116" t="s">
        <v>39</v>
      </c>
      <c r="T2173" s="104"/>
      <c r="U2173" s="116"/>
      <c r="V2173" s="104"/>
      <c r="W2173" s="116"/>
    </row>
    <row r="2174">
      <c r="A2174" s="114" t="s">
        <v>39</v>
      </c>
      <c r="B2174" s="115"/>
      <c r="C2174" s="116"/>
      <c r="D2174" s="116"/>
      <c r="E2174" s="116" t="str">
        <f>IFERROR(__xludf.DUMMYFUNCTION("""COMPUTED_VALUE"""),"")</f>
        <v/>
      </c>
      <c r="F2174" s="117" t="s">
        <v>39</v>
      </c>
      <c r="G2174" s="116"/>
      <c r="H2174" s="117"/>
      <c r="I2174" s="117"/>
      <c r="J2174" s="117"/>
      <c r="K2174" s="117"/>
      <c r="L2174" s="116"/>
      <c r="M2174" s="117"/>
      <c r="N2174" s="118" t="str">
        <f>IFERROR(__xludf.DUMMYFUNCTION("""COMPUTED_VALUE"""),"")</f>
        <v/>
      </c>
      <c r="O2174" s="116"/>
      <c r="P2174" s="116"/>
      <c r="Q2174" s="116"/>
      <c r="R2174" s="116" t="s">
        <v>39</v>
      </c>
      <c r="S2174" s="116" t="s">
        <v>39</v>
      </c>
      <c r="T2174" s="104"/>
      <c r="U2174" s="116"/>
      <c r="V2174" s="104"/>
      <c r="W2174" s="116"/>
    </row>
    <row r="2175">
      <c r="A2175" s="114" t="s">
        <v>39</v>
      </c>
      <c r="B2175" s="115"/>
      <c r="C2175" s="116"/>
      <c r="D2175" s="116"/>
      <c r="E2175" s="116" t="str">
        <f>IFERROR(__xludf.DUMMYFUNCTION("""COMPUTED_VALUE"""),"")</f>
        <v/>
      </c>
      <c r="F2175" s="117" t="s">
        <v>39</v>
      </c>
      <c r="G2175" s="116"/>
      <c r="H2175" s="117"/>
      <c r="I2175" s="117"/>
      <c r="J2175" s="117"/>
      <c r="K2175" s="117"/>
      <c r="L2175" s="116"/>
      <c r="M2175" s="117"/>
      <c r="N2175" s="118" t="str">
        <f>IFERROR(__xludf.DUMMYFUNCTION("""COMPUTED_VALUE"""),"")</f>
        <v/>
      </c>
      <c r="O2175" s="116"/>
      <c r="P2175" s="116"/>
      <c r="Q2175" s="116"/>
      <c r="R2175" s="116" t="s">
        <v>39</v>
      </c>
      <c r="S2175" s="116" t="s">
        <v>39</v>
      </c>
      <c r="T2175" s="104"/>
      <c r="U2175" s="116"/>
      <c r="V2175" s="104"/>
      <c r="W2175" s="116"/>
    </row>
    <row r="2176">
      <c r="A2176" s="114" t="s">
        <v>39</v>
      </c>
      <c r="B2176" s="115"/>
      <c r="C2176" s="116"/>
      <c r="D2176" s="116"/>
      <c r="E2176" s="116" t="str">
        <f>IFERROR(__xludf.DUMMYFUNCTION("""COMPUTED_VALUE"""),"")</f>
        <v/>
      </c>
      <c r="F2176" s="117" t="s">
        <v>39</v>
      </c>
      <c r="G2176" s="116"/>
      <c r="H2176" s="117"/>
      <c r="I2176" s="117"/>
      <c r="J2176" s="117"/>
      <c r="K2176" s="117"/>
      <c r="L2176" s="116"/>
      <c r="M2176" s="117"/>
      <c r="N2176" s="118" t="str">
        <f>IFERROR(__xludf.DUMMYFUNCTION("""COMPUTED_VALUE"""),"")</f>
        <v/>
      </c>
      <c r="O2176" s="116"/>
      <c r="P2176" s="116"/>
      <c r="Q2176" s="116"/>
      <c r="R2176" s="116" t="s">
        <v>39</v>
      </c>
      <c r="S2176" s="116" t="s">
        <v>39</v>
      </c>
      <c r="T2176" s="104"/>
      <c r="U2176" s="116"/>
      <c r="V2176" s="104"/>
      <c r="W2176" s="116"/>
    </row>
    <row r="2177">
      <c r="A2177" s="114" t="s">
        <v>39</v>
      </c>
      <c r="B2177" s="115"/>
      <c r="C2177" s="116"/>
      <c r="D2177" s="116"/>
      <c r="E2177" s="116" t="str">
        <f>IFERROR(__xludf.DUMMYFUNCTION("""COMPUTED_VALUE"""),"")</f>
        <v/>
      </c>
      <c r="F2177" s="117" t="s">
        <v>39</v>
      </c>
      <c r="G2177" s="116"/>
      <c r="H2177" s="117"/>
      <c r="I2177" s="117"/>
      <c r="J2177" s="117"/>
      <c r="K2177" s="117"/>
      <c r="L2177" s="116"/>
      <c r="M2177" s="117"/>
      <c r="N2177" s="118" t="str">
        <f>IFERROR(__xludf.DUMMYFUNCTION("""COMPUTED_VALUE"""),"")</f>
        <v/>
      </c>
      <c r="O2177" s="116"/>
      <c r="P2177" s="116"/>
      <c r="Q2177" s="116"/>
      <c r="R2177" s="116" t="s">
        <v>39</v>
      </c>
      <c r="S2177" s="116" t="s">
        <v>39</v>
      </c>
      <c r="T2177" s="104"/>
      <c r="U2177" s="116"/>
      <c r="V2177" s="104"/>
      <c r="W2177" s="116"/>
    </row>
    <row r="2178">
      <c r="A2178" s="114" t="s">
        <v>39</v>
      </c>
      <c r="B2178" s="115"/>
      <c r="C2178" s="116"/>
      <c r="D2178" s="116"/>
      <c r="E2178" s="116" t="str">
        <f>IFERROR(__xludf.DUMMYFUNCTION("""COMPUTED_VALUE"""),"")</f>
        <v/>
      </c>
      <c r="F2178" s="117" t="s">
        <v>39</v>
      </c>
      <c r="G2178" s="116"/>
      <c r="H2178" s="117"/>
      <c r="I2178" s="117"/>
      <c r="J2178" s="117"/>
      <c r="K2178" s="117"/>
      <c r="L2178" s="116"/>
      <c r="M2178" s="117"/>
      <c r="N2178" s="118" t="str">
        <f>IFERROR(__xludf.DUMMYFUNCTION("""COMPUTED_VALUE"""),"")</f>
        <v/>
      </c>
      <c r="O2178" s="116"/>
      <c r="P2178" s="116"/>
      <c r="Q2178" s="116"/>
      <c r="R2178" s="116" t="s">
        <v>39</v>
      </c>
      <c r="S2178" s="116" t="s">
        <v>39</v>
      </c>
      <c r="T2178" s="104"/>
      <c r="U2178" s="116"/>
      <c r="V2178" s="104"/>
      <c r="W2178" s="116"/>
    </row>
    <row r="2179">
      <c r="A2179" s="114" t="s">
        <v>39</v>
      </c>
      <c r="B2179" s="115"/>
      <c r="C2179" s="116"/>
      <c r="D2179" s="116"/>
      <c r="E2179" s="116" t="str">
        <f>IFERROR(__xludf.DUMMYFUNCTION("""COMPUTED_VALUE"""),"")</f>
        <v/>
      </c>
      <c r="F2179" s="117" t="s">
        <v>39</v>
      </c>
      <c r="G2179" s="116"/>
      <c r="H2179" s="117"/>
      <c r="I2179" s="117"/>
      <c r="J2179" s="117"/>
      <c r="K2179" s="117"/>
      <c r="L2179" s="116"/>
      <c r="M2179" s="117"/>
      <c r="N2179" s="118" t="str">
        <f>IFERROR(__xludf.DUMMYFUNCTION("""COMPUTED_VALUE"""),"")</f>
        <v/>
      </c>
      <c r="O2179" s="116"/>
      <c r="P2179" s="116"/>
      <c r="Q2179" s="116"/>
      <c r="R2179" s="116" t="s">
        <v>39</v>
      </c>
      <c r="S2179" s="116" t="s">
        <v>39</v>
      </c>
      <c r="T2179" s="104"/>
      <c r="U2179" s="116"/>
      <c r="V2179" s="104"/>
      <c r="W2179" s="116"/>
    </row>
    <row r="2180">
      <c r="A2180" s="114" t="s">
        <v>39</v>
      </c>
      <c r="B2180" s="115"/>
      <c r="C2180" s="116"/>
      <c r="D2180" s="116"/>
      <c r="E2180" s="116" t="str">
        <f>IFERROR(__xludf.DUMMYFUNCTION("""COMPUTED_VALUE"""),"")</f>
        <v/>
      </c>
      <c r="F2180" s="117" t="s">
        <v>39</v>
      </c>
      <c r="G2180" s="116"/>
      <c r="H2180" s="117"/>
      <c r="I2180" s="117"/>
      <c r="J2180" s="117"/>
      <c r="K2180" s="117"/>
      <c r="L2180" s="116"/>
      <c r="M2180" s="117"/>
      <c r="N2180" s="118" t="str">
        <f>IFERROR(__xludf.DUMMYFUNCTION("""COMPUTED_VALUE"""),"")</f>
        <v/>
      </c>
      <c r="O2180" s="116"/>
      <c r="P2180" s="116"/>
      <c r="Q2180" s="116"/>
      <c r="R2180" s="116" t="s">
        <v>39</v>
      </c>
      <c r="S2180" s="116" t="s">
        <v>39</v>
      </c>
      <c r="T2180" s="104"/>
      <c r="U2180" s="116"/>
      <c r="V2180" s="104"/>
      <c r="W2180" s="116"/>
    </row>
    <row r="2181">
      <c r="A2181" s="114" t="s">
        <v>39</v>
      </c>
      <c r="B2181" s="115"/>
      <c r="C2181" s="116"/>
      <c r="D2181" s="116"/>
      <c r="E2181" s="116" t="str">
        <f>IFERROR(__xludf.DUMMYFUNCTION("""COMPUTED_VALUE"""),"")</f>
        <v/>
      </c>
      <c r="F2181" s="117" t="s">
        <v>39</v>
      </c>
      <c r="G2181" s="116"/>
      <c r="H2181" s="117"/>
      <c r="I2181" s="117"/>
      <c r="J2181" s="117"/>
      <c r="K2181" s="117"/>
      <c r="L2181" s="116"/>
      <c r="M2181" s="117"/>
      <c r="N2181" s="118" t="str">
        <f>IFERROR(__xludf.DUMMYFUNCTION("""COMPUTED_VALUE"""),"")</f>
        <v/>
      </c>
      <c r="O2181" s="116"/>
      <c r="P2181" s="116"/>
      <c r="Q2181" s="116"/>
      <c r="R2181" s="116" t="s">
        <v>39</v>
      </c>
      <c r="S2181" s="116" t="s">
        <v>39</v>
      </c>
      <c r="T2181" s="104"/>
      <c r="U2181" s="116"/>
      <c r="V2181" s="104"/>
      <c r="W2181" s="116"/>
    </row>
    <row r="2182">
      <c r="A2182" s="114" t="s">
        <v>39</v>
      </c>
      <c r="B2182" s="115"/>
      <c r="C2182" s="116"/>
      <c r="D2182" s="116"/>
      <c r="E2182" s="116" t="str">
        <f>IFERROR(__xludf.DUMMYFUNCTION("""COMPUTED_VALUE"""),"")</f>
        <v/>
      </c>
      <c r="F2182" s="117" t="s">
        <v>39</v>
      </c>
      <c r="G2182" s="116"/>
      <c r="H2182" s="117"/>
      <c r="I2182" s="117"/>
      <c r="J2182" s="117"/>
      <c r="K2182" s="117"/>
      <c r="L2182" s="116"/>
      <c r="M2182" s="117"/>
      <c r="N2182" s="118" t="str">
        <f>IFERROR(__xludf.DUMMYFUNCTION("""COMPUTED_VALUE"""),"")</f>
        <v/>
      </c>
      <c r="O2182" s="116"/>
      <c r="P2182" s="116"/>
      <c r="Q2182" s="116"/>
      <c r="R2182" s="116" t="s">
        <v>39</v>
      </c>
      <c r="S2182" s="116" t="s">
        <v>39</v>
      </c>
      <c r="T2182" s="104"/>
      <c r="U2182" s="116"/>
      <c r="V2182" s="104"/>
      <c r="W2182" s="116"/>
    </row>
    <row r="2183">
      <c r="A2183" s="114" t="s">
        <v>39</v>
      </c>
      <c r="B2183" s="115"/>
      <c r="C2183" s="116"/>
      <c r="D2183" s="116"/>
      <c r="E2183" s="116" t="str">
        <f>IFERROR(__xludf.DUMMYFUNCTION("""COMPUTED_VALUE"""),"")</f>
        <v/>
      </c>
      <c r="F2183" s="117" t="s">
        <v>39</v>
      </c>
      <c r="G2183" s="116"/>
      <c r="H2183" s="117"/>
      <c r="I2183" s="117"/>
      <c r="J2183" s="117"/>
      <c r="K2183" s="117"/>
      <c r="L2183" s="116"/>
      <c r="M2183" s="117"/>
      <c r="N2183" s="118" t="str">
        <f>IFERROR(__xludf.DUMMYFUNCTION("""COMPUTED_VALUE"""),"")</f>
        <v/>
      </c>
      <c r="O2183" s="116"/>
      <c r="P2183" s="116"/>
      <c r="Q2183" s="116"/>
      <c r="R2183" s="116" t="s">
        <v>39</v>
      </c>
      <c r="S2183" s="116" t="s">
        <v>39</v>
      </c>
      <c r="T2183" s="104"/>
      <c r="U2183" s="116"/>
      <c r="V2183" s="104"/>
      <c r="W2183" s="116"/>
    </row>
    <row r="2184">
      <c r="A2184" s="114" t="s">
        <v>39</v>
      </c>
      <c r="B2184" s="115"/>
      <c r="C2184" s="116"/>
      <c r="D2184" s="116"/>
      <c r="E2184" s="116" t="str">
        <f>IFERROR(__xludf.DUMMYFUNCTION("""COMPUTED_VALUE"""),"")</f>
        <v/>
      </c>
      <c r="F2184" s="117" t="s">
        <v>39</v>
      </c>
      <c r="G2184" s="116"/>
      <c r="H2184" s="117"/>
      <c r="I2184" s="117"/>
      <c r="J2184" s="117"/>
      <c r="K2184" s="117"/>
      <c r="L2184" s="116"/>
      <c r="M2184" s="117"/>
      <c r="N2184" s="118" t="str">
        <f>IFERROR(__xludf.DUMMYFUNCTION("""COMPUTED_VALUE"""),"")</f>
        <v/>
      </c>
      <c r="O2184" s="116"/>
      <c r="P2184" s="116"/>
      <c r="Q2184" s="116"/>
      <c r="R2184" s="116" t="s">
        <v>39</v>
      </c>
      <c r="S2184" s="116" t="s">
        <v>39</v>
      </c>
      <c r="T2184" s="104"/>
      <c r="U2184" s="116"/>
      <c r="V2184" s="104"/>
      <c r="W2184" s="116"/>
    </row>
    <row r="2185">
      <c r="A2185" s="114" t="s">
        <v>39</v>
      </c>
      <c r="B2185" s="115"/>
      <c r="C2185" s="116"/>
      <c r="D2185" s="116"/>
      <c r="E2185" s="116" t="str">
        <f>IFERROR(__xludf.DUMMYFUNCTION("""COMPUTED_VALUE"""),"")</f>
        <v/>
      </c>
      <c r="F2185" s="117" t="s">
        <v>39</v>
      </c>
      <c r="G2185" s="116"/>
      <c r="H2185" s="117"/>
      <c r="I2185" s="117"/>
      <c r="J2185" s="117"/>
      <c r="K2185" s="117"/>
      <c r="L2185" s="116"/>
      <c r="M2185" s="117"/>
      <c r="N2185" s="118" t="str">
        <f>IFERROR(__xludf.DUMMYFUNCTION("""COMPUTED_VALUE"""),"")</f>
        <v/>
      </c>
      <c r="O2185" s="116"/>
      <c r="P2185" s="116"/>
      <c r="Q2185" s="116"/>
      <c r="R2185" s="116" t="s">
        <v>39</v>
      </c>
      <c r="S2185" s="116" t="s">
        <v>39</v>
      </c>
      <c r="T2185" s="104"/>
      <c r="U2185" s="116"/>
      <c r="V2185" s="104"/>
      <c r="W2185" s="116"/>
    </row>
    <row r="2186">
      <c r="A2186" s="114" t="s">
        <v>39</v>
      </c>
      <c r="B2186" s="115"/>
      <c r="C2186" s="116"/>
      <c r="D2186" s="116"/>
      <c r="E2186" s="116" t="str">
        <f>IFERROR(__xludf.DUMMYFUNCTION("""COMPUTED_VALUE"""),"")</f>
        <v/>
      </c>
      <c r="F2186" s="117" t="s">
        <v>39</v>
      </c>
      <c r="G2186" s="116"/>
      <c r="H2186" s="117"/>
      <c r="I2186" s="117"/>
      <c r="J2186" s="117"/>
      <c r="K2186" s="117"/>
      <c r="L2186" s="116"/>
      <c r="M2186" s="117"/>
      <c r="N2186" s="118" t="str">
        <f>IFERROR(__xludf.DUMMYFUNCTION("""COMPUTED_VALUE"""),"")</f>
        <v/>
      </c>
      <c r="O2186" s="116"/>
      <c r="P2186" s="116"/>
      <c r="Q2186" s="116"/>
      <c r="R2186" s="116" t="s">
        <v>39</v>
      </c>
      <c r="S2186" s="116" t="s">
        <v>39</v>
      </c>
      <c r="T2186" s="104"/>
      <c r="U2186" s="116"/>
      <c r="V2186" s="104"/>
      <c r="W2186" s="116"/>
    </row>
    <row r="2187">
      <c r="A2187" s="114" t="s">
        <v>39</v>
      </c>
      <c r="B2187" s="115"/>
      <c r="C2187" s="116"/>
      <c r="D2187" s="116"/>
      <c r="E2187" s="116" t="str">
        <f>IFERROR(__xludf.DUMMYFUNCTION("""COMPUTED_VALUE"""),"")</f>
        <v/>
      </c>
      <c r="F2187" s="117" t="s">
        <v>39</v>
      </c>
      <c r="G2187" s="116"/>
      <c r="H2187" s="117"/>
      <c r="I2187" s="117"/>
      <c r="J2187" s="117"/>
      <c r="K2187" s="117"/>
      <c r="L2187" s="116"/>
      <c r="M2187" s="117"/>
      <c r="N2187" s="118" t="str">
        <f>IFERROR(__xludf.DUMMYFUNCTION("""COMPUTED_VALUE"""),"")</f>
        <v/>
      </c>
      <c r="O2187" s="116"/>
      <c r="P2187" s="116"/>
      <c r="Q2187" s="116"/>
      <c r="R2187" s="116" t="s">
        <v>39</v>
      </c>
      <c r="S2187" s="116" t="s">
        <v>39</v>
      </c>
      <c r="T2187" s="104"/>
      <c r="U2187" s="116"/>
      <c r="V2187" s="104"/>
      <c r="W2187" s="116"/>
    </row>
    <row r="2188">
      <c r="A2188" s="114" t="s">
        <v>39</v>
      </c>
      <c r="B2188" s="115"/>
      <c r="C2188" s="116"/>
      <c r="D2188" s="116"/>
      <c r="E2188" s="116" t="str">
        <f>IFERROR(__xludf.DUMMYFUNCTION("""COMPUTED_VALUE"""),"")</f>
        <v/>
      </c>
      <c r="F2188" s="117" t="s">
        <v>39</v>
      </c>
      <c r="G2188" s="116"/>
      <c r="H2188" s="117"/>
      <c r="I2188" s="117"/>
      <c r="J2188" s="117"/>
      <c r="K2188" s="117"/>
      <c r="L2188" s="116"/>
      <c r="M2188" s="117"/>
      <c r="N2188" s="118" t="str">
        <f>IFERROR(__xludf.DUMMYFUNCTION("""COMPUTED_VALUE"""),"")</f>
        <v/>
      </c>
      <c r="O2188" s="116"/>
      <c r="P2188" s="116"/>
      <c r="Q2188" s="116"/>
      <c r="R2188" s="116" t="s">
        <v>39</v>
      </c>
      <c r="S2188" s="116" t="s">
        <v>39</v>
      </c>
      <c r="T2188" s="104"/>
      <c r="U2188" s="116"/>
      <c r="V2188" s="104"/>
      <c r="W2188" s="116"/>
    </row>
    <row r="2189">
      <c r="A2189" s="114" t="s">
        <v>39</v>
      </c>
      <c r="B2189" s="115"/>
      <c r="C2189" s="116"/>
      <c r="D2189" s="116"/>
      <c r="E2189" s="116" t="str">
        <f>IFERROR(__xludf.DUMMYFUNCTION("""COMPUTED_VALUE"""),"")</f>
        <v/>
      </c>
      <c r="F2189" s="117" t="s">
        <v>39</v>
      </c>
      <c r="G2189" s="116"/>
      <c r="H2189" s="117"/>
      <c r="I2189" s="117"/>
      <c r="J2189" s="117"/>
      <c r="K2189" s="117"/>
      <c r="L2189" s="116"/>
      <c r="M2189" s="117"/>
      <c r="N2189" s="118" t="str">
        <f>IFERROR(__xludf.DUMMYFUNCTION("""COMPUTED_VALUE"""),"")</f>
        <v/>
      </c>
      <c r="O2189" s="116"/>
      <c r="P2189" s="116"/>
      <c r="Q2189" s="116"/>
      <c r="R2189" s="116" t="s">
        <v>39</v>
      </c>
      <c r="S2189" s="116" t="s">
        <v>39</v>
      </c>
      <c r="T2189" s="104"/>
      <c r="U2189" s="116"/>
      <c r="V2189" s="104"/>
      <c r="W2189" s="116"/>
    </row>
    <row r="2190">
      <c r="A2190" s="114" t="s">
        <v>39</v>
      </c>
      <c r="B2190" s="115"/>
      <c r="C2190" s="116"/>
      <c r="D2190" s="116"/>
      <c r="E2190" s="116" t="str">
        <f>IFERROR(__xludf.DUMMYFUNCTION("""COMPUTED_VALUE"""),"")</f>
        <v/>
      </c>
      <c r="F2190" s="117" t="s">
        <v>39</v>
      </c>
      <c r="G2190" s="116"/>
      <c r="H2190" s="117"/>
      <c r="I2190" s="117"/>
      <c r="J2190" s="117"/>
      <c r="K2190" s="117"/>
      <c r="L2190" s="116"/>
      <c r="M2190" s="117"/>
      <c r="N2190" s="118" t="str">
        <f>IFERROR(__xludf.DUMMYFUNCTION("""COMPUTED_VALUE"""),"")</f>
        <v/>
      </c>
      <c r="O2190" s="116"/>
      <c r="P2190" s="116"/>
      <c r="Q2190" s="116"/>
      <c r="R2190" s="116" t="s">
        <v>39</v>
      </c>
      <c r="S2190" s="116" t="s">
        <v>39</v>
      </c>
      <c r="T2190" s="104"/>
      <c r="U2190" s="116"/>
      <c r="V2190" s="104"/>
      <c r="W2190" s="116"/>
    </row>
    <row r="2191">
      <c r="A2191" s="114" t="s">
        <v>39</v>
      </c>
      <c r="B2191" s="115"/>
      <c r="C2191" s="116"/>
      <c r="D2191" s="116"/>
      <c r="E2191" s="116" t="str">
        <f>IFERROR(__xludf.DUMMYFUNCTION("""COMPUTED_VALUE"""),"")</f>
        <v/>
      </c>
      <c r="F2191" s="117" t="s">
        <v>39</v>
      </c>
      <c r="G2191" s="116"/>
      <c r="H2191" s="117"/>
      <c r="I2191" s="117"/>
      <c r="J2191" s="117"/>
      <c r="K2191" s="117"/>
      <c r="L2191" s="116"/>
      <c r="M2191" s="117"/>
      <c r="N2191" s="118" t="str">
        <f>IFERROR(__xludf.DUMMYFUNCTION("""COMPUTED_VALUE"""),"")</f>
        <v/>
      </c>
      <c r="O2191" s="116"/>
      <c r="P2191" s="116"/>
      <c r="Q2191" s="116"/>
      <c r="R2191" s="116" t="s">
        <v>39</v>
      </c>
      <c r="S2191" s="116" t="s">
        <v>39</v>
      </c>
      <c r="T2191" s="104"/>
      <c r="U2191" s="116"/>
      <c r="V2191" s="104"/>
      <c r="W2191" s="116"/>
    </row>
    <row r="2192">
      <c r="A2192" s="114" t="s">
        <v>39</v>
      </c>
      <c r="B2192" s="115"/>
      <c r="C2192" s="116"/>
      <c r="D2192" s="116"/>
      <c r="E2192" s="116" t="str">
        <f>IFERROR(__xludf.DUMMYFUNCTION("""COMPUTED_VALUE"""),"")</f>
        <v/>
      </c>
      <c r="F2192" s="117" t="s">
        <v>39</v>
      </c>
      <c r="G2192" s="116"/>
      <c r="H2192" s="117"/>
      <c r="I2192" s="117"/>
      <c r="J2192" s="117"/>
      <c r="K2192" s="117"/>
      <c r="L2192" s="116"/>
      <c r="M2192" s="117"/>
      <c r="N2192" s="118" t="str">
        <f>IFERROR(__xludf.DUMMYFUNCTION("""COMPUTED_VALUE"""),"")</f>
        <v/>
      </c>
      <c r="O2192" s="116"/>
      <c r="P2192" s="116"/>
      <c r="Q2192" s="116"/>
      <c r="R2192" s="116" t="s">
        <v>39</v>
      </c>
      <c r="S2192" s="116" t="s">
        <v>39</v>
      </c>
      <c r="T2192" s="104"/>
      <c r="U2192" s="116"/>
      <c r="V2192" s="104"/>
      <c r="W2192" s="116"/>
    </row>
    <row r="2193">
      <c r="A2193" s="114" t="s">
        <v>39</v>
      </c>
      <c r="B2193" s="115"/>
      <c r="C2193" s="116"/>
      <c r="D2193" s="116"/>
      <c r="E2193" s="116" t="str">
        <f>IFERROR(__xludf.DUMMYFUNCTION("""COMPUTED_VALUE"""),"")</f>
        <v/>
      </c>
      <c r="F2193" s="117" t="s">
        <v>39</v>
      </c>
      <c r="G2193" s="116"/>
      <c r="H2193" s="117"/>
      <c r="I2193" s="117"/>
      <c r="J2193" s="117"/>
      <c r="K2193" s="117"/>
      <c r="L2193" s="116"/>
      <c r="M2193" s="117"/>
      <c r="N2193" s="118" t="str">
        <f>IFERROR(__xludf.DUMMYFUNCTION("""COMPUTED_VALUE"""),"")</f>
        <v/>
      </c>
      <c r="O2193" s="116"/>
      <c r="P2193" s="116"/>
      <c r="Q2193" s="116"/>
      <c r="R2193" s="116" t="s">
        <v>39</v>
      </c>
      <c r="S2193" s="116" t="s">
        <v>39</v>
      </c>
      <c r="T2193" s="104"/>
      <c r="U2193" s="116"/>
      <c r="V2193" s="104"/>
      <c r="W2193" s="116"/>
    </row>
    <row r="2194">
      <c r="A2194" s="114" t="s">
        <v>39</v>
      </c>
      <c r="B2194" s="115"/>
      <c r="C2194" s="116"/>
      <c r="D2194" s="116"/>
      <c r="E2194" s="116" t="str">
        <f>IFERROR(__xludf.DUMMYFUNCTION("""COMPUTED_VALUE"""),"")</f>
        <v/>
      </c>
      <c r="F2194" s="117" t="s">
        <v>39</v>
      </c>
      <c r="G2194" s="116"/>
      <c r="H2194" s="117"/>
      <c r="I2194" s="117"/>
      <c r="J2194" s="117"/>
      <c r="K2194" s="117"/>
      <c r="L2194" s="116"/>
      <c r="M2194" s="117"/>
      <c r="N2194" s="118" t="str">
        <f>IFERROR(__xludf.DUMMYFUNCTION("""COMPUTED_VALUE"""),"")</f>
        <v/>
      </c>
      <c r="O2194" s="116"/>
      <c r="P2194" s="116"/>
      <c r="Q2194" s="116"/>
      <c r="R2194" s="116" t="s">
        <v>39</v>
      </c>
      <c r="S2194" s="116" t="s">
        <v>39</v>
      </c>
      <c r="T2194" s="104"/>
      <c r="U2194" s="116"/>
      <c r="V2194" s="104"/>
      <c r="W2194" s="116"/>
    </row>
    <row r="2195">
      <c r="A2195" s="114" t="s">
        <v>39</v>
      </c>
      <c r="B2195" s="115"/>
      <c r="C2195" s="116"/>
      <c r="D2195" s="116"/>
      <c r="E2195" s="116" t="str">
        <f>IFERROR(__xludf.DUMMYFUNCTION("""COMPUTED_VALUE"""),"")</f>
        <v/>
      </c>
      <c r="F2195" s="117" t="s">
        <v>39</v>
      </c>
      <c r="G2195" s="116"/>
      <c r="H2195" s="117"/>
      <c r="I2195" s="117"/>
      <c r="J2195" s="117"/>
      <c r="K2195" s="117"/>
      <c r="L2195" s="116"/>
      <c r="M2195" s="117"/>
      <c r="N2195" s="118" t="str">
        <f>IFERROR(__xludf.DUMMYFUNCTION("""COMPUTED_VALUE"""),"")</f>
        <v/>
      </c>
      <c r="O2195" s="116"/>
      <c r="P2195" s="116"/>
      <c r="Q2195" s="116"/>
      <c r="R2195" s="116" t="s">
        <v>39</v>
      </c>
      <c r="S2195" s="116" t="s">
        <v>39</v>
      </c>
      <c r="T2195" s="104"/>
      <c r="U2195" s="116"/>
      <c r="V2195" s="104"/>
      <c r="W2195" s="116"/>
    </row>
    <row r="2196">
      <c r="A2196" s="114" t="s">
        <v>39</v>
      </c>
      <c r="B2196" s="115"/>
      <c r="C2196" s="116"/>
      <c r="D2196" s="116"/>
      <c r="E2196" s="116" t="str">
        <f>IFERROR(__xludf.DUMMYFUNCTION("""COMPUTED_VALUE"""),"")</f>
        <v/>
      </c>
      <c r="F2196" s="117" t="s">
        <v>39</v>
      </c>
      <c r="G2196" s="116"/>
      <c r="H2196" s="117"/>
      <c r="I2196" s="117"/>
      <c r="J2196" s="117"/>
      <c r="K2196" s="117"/>
      <c r="L2196" s="116"/>
      <c r="M2196" s="117"/>
      <c r="N2196" s="118" t="str">
        <f>IFERROR(__xludf.DUMMYFUNCTION("""COMPUTED_VALUE"""),"")</f>
        <v/>
      </c>
      <c r="O2196" s="116"/>
      <c r="P2196" s="116"/>
      <c r="Q2196" s="116"/>
      <c r="R2196" s="116" t="s">
        <v>39</v>
      </c>
      <c r="S2196" s="116" t="s">
        <v>39</v>
      </c>
      <c r="T2196" s="104"/>
      <c r="U2196" s="116"/>
      <c r="V2196" s="104"/>
      <c r="W2196" s="116"/>
    </row>
    <row r="2197">
      <c r="A2197" s="114" t="s">
        <v>39</v>
      </c>
      <c r="B2197" s="115"/>
      <c r="C2197" s="116"/>
      <c r="D2197" s="116"/>
      <c r="E2197" s="116" t="str">
        <f>IFERROR(__xludf.DUMMYFUNCTION("""COMPUTED_VALUE"""),"")</f>
        <v/>
      </c>
      <c r="F2197" s="117" t="s">
        <v>39</v>
      </c>
      <c r="G2197" s="116"/>
      <c r="H2197" s="117"/>
      <c r="I2197" s="117"/>
      <c r="J2197" s="117"/>
      <c r="K2197" s="117"/>
      <c r="L2197" s="116"/>
      <c r="M2197" s="117"/>
      <c r="N2197" s="118" t="str">
        <f>IFERROR(__xludf.DUMMYFUNCTION("""COMPUTED_VALUE"""),"")</f>
        <v/>
      </c>
      <c r="O2197" s="116"/>
      <c r="P2197" s="116"/>
      <c r="Q2197" s="116"/>
      <c r="R2197" s="116" t="s">
        <v>39</v>
      </c>
      <c r="S2197" s="116" t="s">
        <v>39</v>
      </c>
      <c r="T2197" s="104"/>
      <c r="U2197" s="116"/>
      <c r="V2197" s="104"/>
      <c r="W2197" s="116"/>
    </row>
    <row r="2198">
      <c r="A2198" s="114" t="s">
        <v>39</v>
      </c>
      <c r="B2198" s="115"/>
      <c r="C2198" s="116"/>
      <c r="D2198" s="116"/>
      <c r="E2198" s="116" t="str">
        <f>IFERROR(__xludf.DUMMYFUNCTION("""COMPUTED_VALUE"""),"")</f>
        <v/>
      </c>
      <c r="F2198" s="117" t="s">
        <v>39</v>
      </c>
      <c r="G2198" s="116"/>
      <c r="H2198" s="117"/>
      <c r="I2198" s="117"/>
      <c r="J2198" s="117"/>
      <c r="K2198" s="117"/>
      <c r="L2198" s="116"/>
      <c r="M2198" s="117"/>
      <c r="N2198" s="118" t="str">
        <f>IFERROR(__xludf.DUMMYFUNCTION("""COMPUTED_VALUE"""),"")</f>
        <v/>
      </c>
      <c r="O2198" s="116"/>
      <c r="P2198" s="116"/>
      <c r="Q2198" s="116"/>
      <c r="R2198" s="116" t="s">
        <v>39</v>
      </c>
      <c r="S2198" s="116" t="s">
        <v>39</v>
      </c>
      <c r="T2198" s="104"/>
      <c r="U2198" s="116"/>
      <c r="V2198" s="104"/>
      <c r="W2198" s="116"/>
    </row>
    <row r="2199">
      <c r="A2199" s="114" t="s">
        <v>39</v>
      </c>
      <c r="B2199" s="115"/>
      <c r="C2199" s="116"/>
      <c r="D2199" s="116"/>
      <c r="E2199" s="116" t="str">
        <f>IFERROR(__xludf.DUMMYFUNCTION("""COMPUTED_VALUE"""),"")</f>
        <v/>
      </c>
      <c r="F2199" s="117" t="s">
        <v>39</v>
      </c>
      <c r="G2199" s="116"/>
      <c r="H2199" s="117"/>
      <c r="I2199" s="117"/>
      <c r="J2199" s="117"/>
      <c r="K2199" s="117"/>
      <c r="L2199" s="116"/>
      <c r="M2199" s="117"/>
      <c r="N2199" s="118" t="str">
        <f>IFERROR(__xludf.DUMMYFUNCTION("""COMPUTED_VALUE"""),"")</f>
        <v/>
      </c>
      <c r="O2199" s="116"/>
      <c r="P2199" s="116"/>
      <c r="Q2199" s="116"/>
      <c r="R2199" s="116" t="s">
        <v>39</v>
      </c>
      <c r="S2199" s="116" t="s">
        <v>39</v>
      </c>
      <c r="T2199" s="104"/>
      <c r="U2199" s="116"/>
      <c r="V2199" s="104"/>
      <c r="W2199" s="116"/>
    </row>
    <row r="2200">
      <c r="A2200" s="114" t="s">
        <v>39</v>
      </c>
      <c r="B2200" s="115"/>
      <c r="C2200" s="116"/>
      <c r="D2200" s="116"/>
      <c r="E2200" s="116" t="str">
        <f>IFERROR(__xludf.DUMMYFUNCTION("""COMPUTED_VALUE"""),"")</f>
        <v/>
      </c>
      <c r="F2200" s="117" t="s">
        <v>39</v>
      </c>
      <c r="G2200" s="116"/>
      <c r="H2200" s="117"/>
      <c r="I2200" s="117"/>
      <c r="J2200" s="117"/>
      <c r="K2200" s="117"/>
      <c r="L2200" s="116"/>
      <c r="M2200" s="117"/>
      <c r="N2200" s="118" t="str">
        <f>IFERROR(__xludf.DUMMYFUNCTION("""COMPUTED_VALUE"""),"")</f>
        <v/>
      </c>
      <c r="O2200" s="116"/>
      <c r="P2200" s="116"/>
      <c r="Q2200" s="116"/>
      <c r="R2200" s="116" t="s">
        <v>39</v>
      </c>
      <c r="S2200" s="116" t="s">
        <v>39</v>
      </c>
      <c r="T2200" s="104"/>
      <c r="U2200" s="116"/>
      <c r="V2200" s="104"/>
      <c r="W2200" s="116"/>
    </row>
    <row r="2201">
      <c r="A2201" s="114" t="s">
        <v>39</v>
      </c>
      <c r="B2201" s="115"/>
      <c r="C2201" s="116"/>
      <c r="D2201" s="116"/>
      <c r="E2201" s="116" t="str">
        <f>IFERROR(__xludf.DUMMYFUNCTION("""COMPUTED_VALUE"""),"")</f>
        <v/>
      </c>
      <c r="F2201" s="117" t="s">
        <v>39</v>
      </c>
      <c r="G2201" s="116"/>
      <c r="H2201" s="117"/>
      <c r="I2201" s="117"/>
      <c r="J2201" s="117"/>
      <c r="K2201" s="117"/>
      <c r="L2201" s="116"/>
      <c r="M2201" s="117"/>
      <c r="N2201" s="118" t="str">
        <f>IFERROR(__xludf.DUMMYFUNCTION("""COMPUTED_VALUE"""),"")</f>
        <v/>
      </c>
      <c r="O2201" s="116"/>
      <c r="P2201" s="116"/>
      <c r="Q2201" s="116"/>
      <c r="R2201" s="116" t="s">
        <v>39</v>
      </c>
      <c r="S2201" s="116" t="s">
        <v>39</v>
      </c>
      <c r="T2201" s="104"/>
      <c r="U2201" s="116"/>
      <c r="V2201" s="104"/>
      <c r="W2201" s="116"/>
    </row>
    <row r="2202">
      <c r="A2202" s="114" t="s">
        <v>39</v>
      </c>
      <c r="B2202" s="115"/>
      <c r="C2202" s="116"/>
      <c r="D2202" s="116"/>
      <c r="E2202" s="116" t="str">
        <f>IFERROR(__xludf.DUMMYFUNCTION("""COMPUTED_VALUE"""),"")</f>
        <v/>
      </c>
      <c r="F2202" s="117" t="s">
        <v>39</v>
      </c>
      <c r="G2202" s="116"/>
      <c r="H2202" s="117"/>
      <c r="I2202" s="117"/>
      <c r="J2202" s="117"/>
      <c r="K2202" s="117"/>
      <c r="L2202" s="116"/>
      <c r="M2202" s="117"/>
      <c r="N2202" s="118" t="str">
        <f>IFERROR(__xludf.DUMMYFUNCTION("""COMPUTED_VALUE"""),"")</f>
        <v/>
      </c>
      <c r="O2202" s="116"/>
      <c r="P2202" s="116"/>
      <c r="Q2202" s="116"/>
      <c r="R2202" s="116" t="s">
        <v>39</v>
      </c>
      <c r="S2202" s="116" t="s">
        <v>39</v>
      </c>
      <c r="T2202" s="104"/>
      <c r="U2202" s="116"/>
      <c r="V2202" s="104"/>
      <c r="W2202" s="116"/>
    </row>
    <row r="2203">
      <c r="A2203" s="114" t="s">
        <v>39</v>
      </c>
      <c r="B2203" s="115"/>
      <c r="C2203" s="116"/>
      <c r="D2203" s="116"/>
      <c r="E2203" s="116" t="str">
        <f>IFERROR(__xludf.DUMMYFUNCTION("""COMPUTED_VALUE"""),"")</f>
        <v/>
      </c>
      <c r="F2203" s="117" t="s">
        <v>39</v>
      </c>
      <c r="G2203" s="116"/>
      <c r="H2203" s="117"/>
      <c r="I2203" s="117"/>
      <c r="J2203" s="117"/>
      <c r="K2203" s="117"/>
      <c r="L2203" s="116"/>
      <c r="M2203" s="117"/>
      <c r="N2203" s="118" t="str">
        <f>IFERROR(__xludf.DUMMYFUNCTION("""COMPUTED_VALUE"""),"")</f>
        <v/>
      </c>
      <c r="O2203" s="116"/>
      <c r="P2203" s="116"/>
      <c r="Q2203" s="116"/>
      <c r="R2203" s="116" t="s">
        <v>39</v>
      </c>
      <c r="S2203" s="116" t="s">
        <v>39</v>
      </c>
      <c r="T2203" s="104"/>
      <c r="U2203" s="116"/>
      <c r="V2203" s="104"/>
      <c r="W2203" s="116"/>
    </row>
    <row r="2204">
      <c r="A2204" s="114" t="s">
        <v>39</v>
      </c>
      <c r="B2204" s="115"/>
      <c r="C2204" s="116"/>
      <c r="D2204" s="116"/>
      <c r="E2204" s="116" t="str">
        <f>IFERROR(__xludf.DUMMYFUNCTION("""COMPUTED_VALUE"""),"")</f>
        <v/>
      </c>
      <c r="F2204" s="117" t="s">
        <v>39</v>
      </c>
      <c r="G2204" s="116"/>
      <c r="H2204" s="117"/>
      <c r="I2204" s="117"/>
      <c r="J2204" s="117"/>
      <c r="K2204" s="117"/>
      <c r="L2204" s="116"/>
      <c r="M2204" s="117"/>
      <c r="N2204" s="118" t="str">
        <f>IFERROR(__xludf.DUMMYFUNCTION("""COMPUTED_VALUE"""),"")</f>
        <v/>
      </c>
      <c r="O2204" s="116"/>
      <c r="P2204" s="116"/>
      <c r="Q2204" s="116"/>
      <c r="R2204" s="116" t="s">
        <v>39</v>
      </c>
      <c r="S2204" s="116" t="s">
        <v>39</v>
      </c>
      <c r="T2204" s="104"/>
      <c r="U2204" s="116"/>
      <c r="V2204" s="104"/>
      <c r="W2204" s="116"/>
    </row>
    <row r="2205">
      <c r="A2205" s="114" t="s">
        <v>39</v>
      </c>
      <c r="B2205" s="115"/>
      <c r="C2205" s="116"/>
      <c r="D2205" s="116"/>
      <c r="E2205" s="116" t="str">
        <f>IFERROR(__xludf.DUMMYFUNCTION("""COMPUTED_VALUE"""),"")</f>
        <v/>
      </c>
      <c r="F2205" s="117" t="s">
        <v>39</v>
      </c>
      <c r="G2205" s="116"/>
      <c r="H2205" s="117"/>
      <c r="I2205" s="117"/>
      <c r="J2205" s="117"/>
      <c r="K2205" s="117"/>
      <c r="L2205" s="116"/>
      <c r="M2205" s="117"/>
      <c r="N2205" s="118" t="str">
        <f>IFERROR(__xludf.DUMMYFUNCTION("""COMPUTED_VALUE"""),"")</f>
        <v/>
      </c>
      <c r="O2205" s="116"/>
      <c r="P2205" s="116"/>
      <c r="Q2205" s="116"/>
      <c r="R2205" s="116" t="s">
        <v>39</v>
      </c>
      <c r="S2205" s="116" t="s">
        <v>39</v>
      </c>
      <c r="T2205" s="104"/>
      <c r="U2205" s="116"/>
      <c r="V2205" s="104"/>
      <c r="W2205" s="116"/>
    </row>
    <row r="2206">
      <c r="A2206" s="114" t="s">
        <v>39</v>
      </c>
      <c r="B2206" s="115"/>
      <c r="C2206" s="116"/>
      <c r="D2206" s="116"/>
      <c r="E2206" s="116" t="str">
        <f>IFERROR(__xludf.DUMMYFUNCTION("""COMPUTED_VALUE"""),"")</f>
        <v/>
      </c>
      <c r="F2206" s="117" t="s">
        <v>39</v>
      </c>
      <c r="G2206" s="116"/>
      <c r="H2206" s="117"/>
      <c r="I2206" s="117"/>
      <c r="J2206" s="117"/>
      <c r="K2206" s="117"/>
      <c r="L2206" s="116"/>
      <c r="M2206" s="117"/>
      <c r="N2206" s="118" t="str">
        <f>IFERROR(__xludf.DUMMYFUNCTION("""COMPUTED_VALUE"""),"")</f>
        <v/>
      </c>
      <c r="O2206" s="116"/>
      <c r="P2206" s="116"/>
      <c r="Q2206" s="116"/>
      <c r="R2206" s="116" t="s">
        <v>39</v>
      </c>
      <c r="S2206" s="116" t="s">
        <v>39</v>
      </c>
      <c r="T2206" s="104"/>
      <c r="U2206" s="116"/>
      <c r="V2206" s="104"/>
      <c r="W2206" s="116"/>
    </row>
    <row r="2207">
      <c r="A2207" s="114" t="s">
        <v>39</v>
      </c>
      <c r="B2207" s="115"/>
      <c r="C2207" s="116"/>
      <c r="D2207" s="116"/>
      <c r="E2207" s="116" t="str">
        <f>IFERROR(__xludf.DUMMYFUNCTION("""COMPUTED_VALUE"""),"")</f>
        <v/>
      </c>
      <c r="F2207" s="117" t="s">
        <v>39</v>
      </c>
      <c r="G2207" s="116"/>
      <c r="H2207" s="117"/>
      <c r="I2207" s="117"/>
      <c r="J2207" s="117"/>
      <c r="K2207" s="117"/>
      <c r="L2207" s="116"/>
      <c r="M2207" s="117"/>
      <c r="N2207" s="118" t="str">
        <f>IFERROR(__xludf.DUMMYFUNCTION("""COMPUTED_VALUE"""),"")</f>
        <v/>
      </c>
      <c r="O2207" s="116"/>
      <c r="P2207" s="116"/>
      <c r="Q2207" s="116"/>
      <c r="R2207" s="116" t="s">
        <v>39</v>
      </c>
      <c r="S2207" s="116" t="s">
        <v>39</v>
      </c>
      <c r="T2207" s="104"/>
      <c r="U2207" s="116"/>
      <c r="V2207" s="104"/>
      <c r="W2207" s="116"/>
    </row>
    <row r="2208">
      <c r="A2208" s="114" t="s">
        <v>39</v>
      </c>
      <c r="B2208" s="115"/>
      <c r="C2208" s="116"/>
      <c r="D2208" s="116"/>
      <c r="E2208" s="116" t="str">
        <f>IFERROR(__xludf.DUMMYFUNCTION("""COMPUTED_VALUE"""),"")</f>
        <v/>
      </c>
      <c r="F2208" s="117" t="s">
        <v>39</v>
      </c>
      <c r="G2208" s="116"/>
      <c r="H2208" s="117"/>
      <c r="I2208" s="117"/>
      <c r="J2208" s="117"/>
      <c r="K2208" s="117"/>
      <c r="L2208" s="116"/>
      <c r="M2208" s="117"/>
      <c r="N2208" s="118" t="str">
        <f>IFERROR(__xludf.DUMMYFUNCTION("""COMPUTED_VALUE"""),"")</f>
        <v/>
      </c>
      <c r="O2208" s="116"/>
      <c r="P2208" s="116"/>
      <c r="Q2208" s="116"/>
      <c r="R2208" s="116" t="s">
        <v>39</v>
      </c>
      <c r="S2208" s="116" t="s">
        <v>39</v>
      </c>
      <c r="T2208" s="104"/>
      <c r="U2208" s="116"/>
      <c r="V2208" s="104"/>
      <c r="W2208" s="116"/>
    </row>
    <row r="2209">
      <c r="A2209" s="114" t="s">
        <v>39</v>
      </c>
      <c r="B2209" s="115"/>
      <c r="C2209" s="116"/>
      <c r="D2209" s="116"/>
      <c r="E2209" s="116" t="str">
        <f>IFERROR(__xludf.DUMMYFUNCTION("""COMPUTED_VALUE"""),"")</f>
        <v/>
      </c>
      <c r="F2209" s="117" t="s">
        <v>39</v>
      </c>
      <c r="G2209" s="116"/>
      <c r="H2209" s="117"/>
      <c r="I2209" s="117"/>
      <c r="J2209" s="117"/>
      <c r="K2209" s="117"/>
      <c r="L2209" s="116"/>
      <c r="M2209" s="117"/>
      <c r="N2209" s="118" t="str">
        <f>IFERROR(__xludf.DUMMYFUNCTION("""COMPUTED_VALUE"""),"")</f>
        <v/>
      </c>
      <c r="O2209" s="116"/>
      <c r="P2209" s="116"/>
      <c r="Q2209" s="116"/>
      <c r="R2209" s="116" t="s">
        <v>39</v>
      </c>
      <c r="S2209" s="116" t="s">
        <v>39</v>
      </c>
      <c r="T2209" s="104"/>
      <c r="U2209" s="116"/>
      <c r="V2209" s="104"/>
      <c r="W2209" s="116"/>
    </row>
    <row r="2210">
      <c r="A2210" s="114" t="s">
        <v>39</v>
      </c>
      <c r="B2210" s="115"/>
      <c r="C2210" s="116"/>
      <c r="D2210" s="116"/>
      <c r="E2210" s="116" t="str">
        <f>IFERROR(__xludf.DUMMYFUNCTION("""COMPUTED_VALUE"""),"")</f>
        <v/>
      </c>
      <c r="F2210" s="117" t="s">
        <v>39</v>
      </c>
      <c r="G2210" s="116"/>
      <c r="H2210" s="117"/>
      <c r="I2210" s="117"/>
      <c r="J2210" s="117"/>
      <c r="K2210" s="117"/>
      <c r="L2210" s="116"/>
      <c r="M2210" s="117"/>
      <c r="N2210" s="118" t="str">
        <f>IFERROR(__xludf.DUMMYFUNCTION("""COMPUTED_VALUE"""),"")</f>
        <v/>
      </c>
      <c r="O2210" s="116"/>
      <c r="P2210" s="116"/>
      <c r="Q2210" s="116"/>
      <c r="R2210" s="116" t="s">
        <v>39</v>
      </c>
      <c r="S2210" s="116" t="s">
        <v>39</v>
      </c>
      <c r="T2210" s="104"/>
      <c r="U2210" s="116"/>
      <c r="V2210" s="104"/>
      <c r="W2210" s="116"/>
    </row>
    <row r="2211">
      <c r="A2211" s="114" t="s">
        <v>39</v>
      </c>
      <c r="B2211" s="115"/>
      <c r="C2211" s="116"/>
      <c r="D2211" s="116"/>
      <c r="E2211" s="116" t="str">
        <f>IFERROR(__xludf.DUMMYFUNCTION("""COMPUTED_VALUE"""),"")</f>
        <v/>
      </c>
      <c r="F2211" s="117" t="s">
        <v>39</v>
      </c>
      <c r="G2211" s="116"/>
      <c r="H2211" s="117"/>
      <c r="I2211" s="117"/>
      <c r="J2211" s="117"/>
      <c r="K2211" s="117"/>
      <c r="L2211" s="116"/>
      <c r="M2211" s="117"/>
      <c r="N2211" s="118" t="str">
        <f>IFERROR(__xludf.DUMMYFUNCTION("""COMPUTED_VALUE"""),"")</f>
        <v/>
      </c>
      <c r="O2211" s="116"/>
      <c r="P2211" s="116"/>
      <c r="Q2211" s="116"/>
      <c r="R2211" s="116" t="s">
        <v>39</v>
      </c>
      <c r="S2211" s="116" t="s">
        <v>39</v>
      </c>
      <c r="T2211" s="104"/>
      <c r="U2211" s="116"/>
      <c r="V2211" s="104"/>
      <c r="W2211" s="116"/>
    </row>
    <row r="2212">
      <c r="A2212" s="114" t="s">
        <v>39</v>
      </c>
      <c r="B2212" s="115"/>
      <c r="C2212" s="116"/>
      <c r="D2212" s="116"/>
      <c r="E2212" s="116" t="str">
        <f>IFERROR(__xludf.DUMMYFUNCTION("""COMPUTED_VALUE"""),"")</f>
        <v/>
      </c>
      <c r="F2212" s="117" t="s">
        <v>39</v>
      </c>
      <c r="G2212" s="116"/>
      <c r="H2212" s="117"/>
      <c r="I2212" s="117"/>
      <c r="J2212" s="117"/>
      <c r="K2212" s="117"/>
      <c r="L2212" s="116"/>
      <c r="M2212" s="117"/>
      <c r="N2212" s="118" t="str">
        <f>IFERROR(__xludf.DUMMYFUNCTION("""COMPUTED_VALUE"""),"")</f>
        <v/>
      </c>
      <c r="O2212" s="116"/>
      <c r="P2212" s="116"/>
      <c r="Q2212" s="116"/>
      <c r="R2212" s="116" t="s">
        <v>39</v>
      </c>
      <c r="S2212" s="116" t="s">
        <v>39</v>
      </c>
      <c r="T2212" s="104"/>
      <c r="U2212" s="116"/>
      <c r="V2212" s="104"/>
      <c r="W2212" s="116"/>
    </row>
    <row r="2213">
      <c r="A2213" s="114" t="s">
        <v>39</v>
      </c>
      <c r="B2213" s="115"/>
      <c r="C2213" s="116"/>
      <c r="D2213" s="116"/>
      <c r="E2213" s="116" t="str">
        <f>IFERROR(__xludf.DUMMYFUNCTION("""COMPUTED_VALUE"""),"")</f>
        <v/>
      </c>
      <c r="F2213" s="117" t="s">
        <v>39</v>
      </c>
      <c r="G2213" s="116"/>
      <c r="H2213" s="117"/>
      <c r="I2213" s="117"/>
      <c r="J2213" s="117"/>
      <c r="K2213" s="117"/>
      <c r="L2213" s="116"/>
      <c r="M2213" s="117"/>
      <c r="N2213" s="118" t="str">
        <f>IFERROR(__xludf.DUMMYFUNCTION("""COMPUTED_VALUE"""),"")</f>
        <v/>
      </c>
      <c r="O2213" s="116"/>
      <c r="P2213" s="116"/>
      <c r="Q2213" s="116"/>
      <c r="R2213" s="116" t="s">
        <v>39</v>
      </c>
      <c r="S2213" s="116" t="s">
        <v>39</v>
      </c>
      <c r="T2213" s="104"/>
      <c r="U2213" s="116"/>
      <c r="V2213" s="104"/>
      <c r="W2213" s="116"/>
    </row>
    <row r="2214">
      <c r="A2214" s="114" t="s">
        <v>39</v>
      </c>
      <c r="B2214" s="115"/>
      <c r="C2214" s="116"/>
      <c r="D2214" s="116"/>
      <c r="E2214" s="116" t="str">
        <f>IFERROR(__xludf.DUMMYFUNCTION("""COMPUTED_VALUE"""),"")</f>
        <v/>
      </c>
      <c r="F2214" s="117" t="s">
        <v>39</v>
      </c>
      <c r="G2214" s="116"/>
      <c r="H2214" s="117"/>
      <c r="I2214" s="117"/>
      <c r="J2214" s="117"/>
      <c r="K2214" s="117"/>
      <c r="L2214" s="116"/>
      <c r="M2214" s="117"/>
      <c r="N2214" s="118" t="str">
        <f>IFERROR(__xludf.DUMMYFUNCTION("""COMPUTED_VALUE"""),"")</f>
        <v/>
      </c>
      <c r="O2214" s="116"/>
      <c r="P2214" s="116"/>
      <c r="Q2214" s="116"/>
      <c r="R2214" s="116" t="s">
        <v>39</v>
      </c>
      <c r="S2214" s="116" t="s">
        <v>39</v>
      </c>
      <c r="T2214" s="104"/>
      <c r="U2214" s="116"/>
      <c r="V2214" s="104"/>
      <c r="W2214" s="116"/>
    </row>
    <row r="2215">
      <c r="A2215" s="114" t="s">
        <v>39</v>
      </c>
      <c r="B2215" s="115"/>
      <c r="C2215" s="116"/>
      <c r="D2215" s="116"/>
      <c r="E2215" s="116" t="str">
        <f>IFERROR(__xludf.DUMMYFUNCTION("""COMPUTED_VALUE"""),"")</f>
        <v/>
      </c>
      <c r="F2215" s="117" t="s">
        <v>39</v>
      </c>
      <c r="G2215" s="116"/>
      <c r="H2215" s="117"/>
      <c r="I2215" s="117"/>
      <c r="J2215" s="117"/>
      <c r="K2215" s="117"/>
      <c r="L2215" s="116"/>
      <c r="M2215" s="117"/>
      <c r="N2215" s="118" t="str">
        <f>IFERROR(__xludf.DUMMYFUNCTION("""COMPUTED_VALUE"""),"")</f>
        <v/>
      </c>
      <c r="O2215" s="116"/>
      <c r="P2215" s="116"/>
      <c r="Q2215" s="116"/>
      <c r="R2215" s="116" t="s">
        <v>39</v>
      </c>
      <c r="S2215" s="116" t="s">
        <v>39</v>
      </c>
      <c r="T2215" s="104"/>
      <c r="U2215" s="116"/>
      <c r="V2215" s="104"/>
      <c r="W2215" s="116"/>
    </row>
    <row r="2216">
      <c r="A2216" s="114" t="s">
        <v>39</v>
      </c>
      <c r="B2216" s="115"/>
      <c r="C2216" s="116"/>
      <c r="D2216" s="116"/>
      <c r="E2216" s="116" t="str">
        <f>IFERROR(__xludf.DUMMYFUNCTION("""COMPUTED_VALUE"""),"")</f>
        <v/>
      </c>
      <c r="F2216" s="117" t="s">
        <v>39</v>
      </c>
      <c r="G2216" s="116"/>
      <c r="H2216" s="117"/>
      <c r="I2216" s="117"/>
      <c r="J2216" s="117"/>
      <c r="K2216" s="117"/>
      <c r="L2216" s="116"/>
      <c r="M2216" s="117"/>
      <c r="N2216" s="118" t="str">
        <f>IFERROR(__xludf.DUMMYFUNCTION("""COMPUTED_VALUE"""),"")</f>
        <v/>
      </c>
      <c r="O2216" s="116"/>
      <c r="P2216" s="116"/>
      <c r="Q2216" s="116"/>
      <c r="R2216" s="116" t="s">
        <v>39</v>
      </c>
      <c r="S2216" s="116" t="s">
        <v>39</v>
      </c>
      <c r="T2216" s="104"/>
      <c r="U2216" s="116"/>
      <c r="V2216" s="104"/>
      <c r="W2216" s="116"/>
    </row>
    <row r="2217">
      <c r="A2217" s="114" t="s">
        <v>39</v>
      </c>
      <c r="B2217" s="115"/>
      <c r="C2217" s="116"/>
      <c r="D2217" s="116"/>
      <c r="E2217" s="116" t="str">
        <f>IFERROR(__xludf.DUMMYFUNCTION("""COMPUTED_VALUE"""),"")</f>
        <v/>
      </c>
      <c r="F2217" s="117" t="s">
        <v>39</v>
      </c>
      <c r="G2217" s="116"/>
      <c r="H2217" s="117"/>
      <c r="I2217" s="117"/>
      <c r="J2217" s="117"/>
      <c r="K2217" s="117"/>
      <c r="L2217" s="116"/>
      <c r="M2217" s="117"/>
      <c r="N2217" s="118" t="str">
        <f>IFERROR(__xludf.DUMMYFUNCTION("""COMPUTED_VALUE"""),"")</f>
        <v/>
      </c>
      <c r="O2217" s="116"/>
      <c r="P2217" s="116"/>
      <c r="Q2217" s="116"/>
      <c r="R2217" s="116" t="s">
        <v>39</v>
      </c>
      <c r="S2217" s="116" t="s">
        <v>39</v>
      </c>
      <c r="T2217" s="104"/>
      <c r="U2217" s="116"/>
      <c r="V2217" s="104"/>
      <c r="W2217" s="116"/>
    </row>
    <row r="2218">
      <c r="A2218" s="114" t="s">
        <v>39</v>
      </c>
      <c r="B2218" s="115"/>
      <c r="C2218" s="116"/>
      <c r="D2218" s="116"/>
      <c r="E2218" s="116" t="str">
        <f>IFERROR(__xludf.DUMMYFUNCTION("""COMPUTED_VALUE"""),"")</f>
        <v/>
      </c>
      <c r="F2218" s="117" t="s">
        <v>39</v>
      </c>
      <c r="G2218" s="116"/>
      <c r="H2218" s="117"/>
      <c r="I2218" s="117"/>
      <c r="J2218" s="117"/>
      <c r="K2218" s="117"/>
      <c r="L2218" s="116"/>
      <c r="M2218" s="117"/>
      <c r="N2218" s="118" t="str">
        <f>IFERROR(__xludf.DUMMYFUNCTION("""COMPUTED_VALUE"""),"")</f>
        <v/>
      </c>
      <c r="O2218" s="116"/>
      <c r="P2218" s="116"/>
      <c r="Q2218" s="116"/>
      <c r="R2218" s="116" t="s">
        <v>39</v>
      </c>
      <c r="S2218" s="116" t="s">
        <v>39</v>
      </c>
      <c r="T2218" s="104"/>
      <c r="U2218" s="116"/>
      <c r="V2218" s="104"/>
      <c r="W2218" s="116"/>
    </row>
    <row r="2219">
      <c r="A2219" s="114" t="s">
        <v>39</v>
      </c>
      <c r="B2219" s="115"/>
      <c r="C2219" s="116"/>
      <c r="D2219" s="116"/>
      <c r="E2219" s="116" t="str">
        <f>IFERROR(__xludf.DUMMYFUNCTION("""COMPUTED_VALUE"""),"")</f>
        <v/>
      </c>
      <c r="F2219" s="117" t="s">
        <v>39</v>
      </c>
      <c r="G2219" s="116"/>
      <c r="H2219" s="117"/>
      <c r="I2219" s="117"/>
      <c r="J2219" s="117"/>
      <c r="K2219" s="117"/>
      <c r="L2219" s="116"/>
      <c r="M2219" s="117"/>
      <c r="N2219" s="118" t="str">
        <f>IFERROR(__xludf.DUMMYFUNCTION("""COMPUTED_VALUE"""),"")</f>
        <v/>
      </c>
      <c r="O2219" s="116"/>
      <c r="P2219" s="116"/>
      <c r="Q2219" s="116"/>
      <c r="R2219" s="116" t="s">
        <v>39</v>
      </c>
      <c r="S2219" s="116" t="s">
        <v>39</v>
      </c>
      <c r="T2219" s="104"/>
      <c r="U2219" s="116"/>
      <c r="V2219" s="104"/>
      <c r="W2219" s="116"/>
    </row>
    <row r="2220">
      <c r="A2220" s="114" t="s">
        <v>39</v>
      </c>
      <c r="B2220" s="115"/>
      <c r="C2220" s="116"/>
      <c r="D2220" s="116"/>
      <c r="E2220" s="116" t="str">
        <f>IFERROR(__xludf.DUMMYFUNCTION("""COMPUTED_VALUE"""),"")</f>
        <v/>
      </c>
      <c r="F2220" s="117" t="s">
        <v>39</v>
      </c>
      <c r="G2220" s="116"/>
      <c r="H2220" s="117"/>
      <c r="I2220" s="117"/>
      <c r="J2220" s="117"/>
      <c r="K2220" s="117"/>
      <c r="L2220" s="116"/>
      <c r="M2220" s="117"/>
      <c r="N2220" s="118" t="str">
        <f>IFERROR(__xludf.DUMMYFUNCTION("""COMPUTED_VALUE"""),"")</f>
        <v/>
      </c>
      <c r="O2220" s="116"/>
      <c r="P2220" s="116"/>
      <c r="Q2220" s="116"/>
      <c r="R2220" s="116" t="s">
        <v>39</v>
      </c>
      <c r="S2220" s="116" t="s">
        <v>39</v>
      </c>
      <c r="T2220" s="104"/>
      <c r="U2220" s="116"/>
      <c r="V2220" s="104"/>
      <c r="W2220" s="116"/>
    </row>
    <row r="2221">
      <c r="A2221" s="114" t="s">
        <v>39</v>
      </c>
      <c r="B2221" s="115"/>
      <c r="C2221" s="116"/>
      <c r="D2221" s="116"/>
      <c r="E2221" s="116" t="str">
        <f>IFERROR(__xludf.DUMMYFUNCTION("""COMPUTED_VALUE"""),"")</f>
        <v/>
      </c>
      <c r="F2221" s="117" t="s">
        <v>39</v>
      </c>
      <c r="G2221" s="116"/>
      <c r="H2221" s="117"/>
      <c r="I2221" s="117"/>
      <c r="J2221" s="117"/>
      <c r="K2221" s="117"/>
      <c r="L2221" s="116"/>
      <c r="M2221" s="117"/>
      <c r="N2221" s="118" t="str">
        <f>IFERROR(__xludf.DUMMYFUNCTION("""COMPUTED_VALUE"""),"")</f>
        <v/>
      </c>
      <c r="O2221" s="116"/>
      <c r="P2221" s="116"/>
      <c r="Q2221" s="116"/>
      <c r="R2221" s="116" t="s">
        <v>39</v>
      </c>
      <c r="S2221" s="116" t="s">
        <v>39</v>
      </c>
      <c r="T2221" s="104"/>
      <c r="U2221" s="116"/>
      <c r="V2221" s="104"/>
      <c r="W2221" s="116"/>
    </row>
    <row r="2222">
      <c r="A2222" s="114" t="s">
        <v>39</v>
      </c>
      <c r="B2222" s="115"/>
      <c r="C2222" s="116"/>
      <c r="D2222" s="116"/>
      <c r="E2222" s="116" t="str">
        <f>IFERROR(__xludf.DUMMYFUNCTION("""COMPUTED_VALUE"""),"")</f>
        <v/>
      </c>
      <c r="F2222" s="117" t="s">
        <v>39</v>
      </c>
      <c r="G2222" s="116"/>
      <c r="H2222" s="117"/>
      <c r="I2222" s="117"/>
      <c r="J2222" s="117"/>
      <c r="K2222" s="117"/>
      <c r="L2222" s="116"/>
      <c r="M2222" s="117"/>
      <c r="N2222" s="118" t="str">
        <f>IFERROR(__xludf.DUMMYFUNCTION("""COMPUTED_VALUE"""),"")</f>
        <v/>
      </c>
      <c r="O2222" s="116"/>
      <c r="P2222" s="116"/>
      <c r="Q2222" s="116"/>
      <c r="R2222" s="116" t="s">
        <v>39</v>
      </c>
      <c r="S2222" s="116" t="s">
        <v>39</v>
      </c>
      <c r="T2222" s="104"/>
      <c r="U2222" s="116"/>
      <c r="V2222" s="104"/>
      <c r="W2222" s="116"/>
    </row>
    <row r="2223">
      <c r="A2223" s="114" t="s">
        <v>39</v>
      </c>
      <c r="B2223" s="115"/>
      <c r="C2223" s="116"/>
      <c r="D2223" s="116"/>
      <c r="E2223" s="116" t="str">
        <f>IFERROR(__xludf.DUMMYFUNCTION("""COMPUTED_VALUE"""),"")</f>
        <v/>
      </c>
      <c r="F2223" s="117" t="s">
        <v>39</v>
      </c>
      <c r="G2223" s="116"/>
      <c r="H2223" s="117"/>
      <c r="I2223" s="117"/>
      <c r="J2223" s="117"/>
      <c r="K2223" s="117"/>
      <c r="L2223" s="116"/>
      <c r="M2223" s="117"/>
      <c r="N2223" s="118" t="str">
        <f>IFERROR(__xludf.DUMMYFUNCTION("""COMPUTED_VALUE"""),"")</f>
        <v/>
      </c>
      <c r="O2223" s="116"/>
      <c r="P2223" s="116"/>
      <c r="Q2223" s="116"/>
      <c r="R2223" s="116" t="s">
        <v>39</v>
      </c>
      <c r="S2223" s="116" t="s">
        <v>39</v>
      </c>
      <c r="T2223" s="104"/>
      <c r="U2223" s="116"/>
      <c r="V2223" s="104"/>
      <c r="W2223" s="116"/>
    </row>
    <row r="2224">
      <c r="A2224" s="114" t="s">
        <v>39</v>
      </c>
      <c r="B2224" s="115"/>
      <c r="C2224" s="116"/>
      <c r="D2224" s="116"/>
      <c r="E2224" s="116" t="str">
        <f>IFERROR(__xludf.DUMMYFUNCTION("""COMPUTED_VALUE"""),"")</f>
        <v/>
      </c>
      <c r="F2224" s="117" t="s">
        <v>39</v>
      </c>
      <c r="G2224" s="116"/>
      <c r="H2224" s="117"/>
      <c r="I2224" s="117"/>
      <c r="J2224" s="117"/>
      <c r="K2224" s="117"/>
      <c r="L2224" s="116"/>
      <c r="M2224" s="117"/>
      <c r="N2224" s="118" t="str">
        <f>IFERROR(__xludf.DUMMYFUNCTION("""COMPUTED_VALUE"""),"")</f>
        <v/>
      </c>
      <c r="O2224" s="116"/>
      <c r="P2224" s="116"/>
      <c r="Q2224" s="116"/>
      <c r="R2224" s="116" t="s">
        <v>39</v>
      </c>
      <c r="S2224" s="116" t="s">
        <v>39</v>
      </c>
      <c r="T2224" s="104"/>
      <c r="U2224" s="116"/>
      <c r="V2224" s="104"/>
      <c r="W2224" s="116"/>
    </row>
    <row r="2225">
      <c r="A2225" s="114" t="s">
        <v>39</v>
      </c>
      <c r="B2225" s="115"/>
      <c r="C2225" s="116"/>
      <c r="D2225" s="116"/>
      <c r="E2225" s="116" t="str">
        <f>IFERROR(__xludf.DUMMYFUNCTION("""COMPUTED_VALUE"""),"")</f>
        <v/>
      </c>
      <c r="F2225" s="117" t="s">
        <v>39</v>
      </c>
      <c r="G2225" s="116"/>
      <c r="H2225" s="117"/>
      <c r="I2225" s="117"/>
      <c r="J2225" s="117"/>
      <c r="K2225" s="117"/>
      <c r="L2225" s="116"/>
      <c r="M2225" s="117"/>
      <c r="N2225" s="118" t="str">
        <f>IFERROR(__xludf.DUMMYFUNCTION("""COMPUTED_VALUE"""),"")</f>
        <v/>
      </c>
      <c r="O2225" s="116"/>
      <c r="P2225" s="116"/>
      <c r="Q2225" s="116"/>
      <c r="R2225" s="116" t="s">
        <v>39</v>
      </c>
      <c r="S2225" s="116" t="s">
        <v>39</v>
      </c>
      <c r="T2225" s="104"/>
      <c r="U2225" s="116"/>
      <c r="V2225" s="104"/>
      <c r="W2225" s="116"/>
    </row>
    <row r="2226">
      <c r="A2226" s="114" t="s">
        <v>39</v>
      </c>
      <c r="B2226" s="115"/>
      <c r="C2226" s="116"/>
      <c r="D2226" s="116"/>
      <c r="E2226" s="116" t="str">
        <f>IFERROR(__xludf.DUMMYFUNCTION("""COMPUTED_VALUE"""),"")</f>
        <v/>
      </c>
      <c r="F2226" s="117" t="s">
        <v>39</v>
      </c>
      <c r="G2226" s="116"/>
      <c r="H2226" s="117"/>
      <c r="I2226" s="117"/>
      <c r="J2226" s="117"/>
      <c r="K2226" s="117"/>
      <c r="L2226" s="116"/>
      <c r="M2226" s="117"/>
      <c r="N2226" s="118" t="str">
        <f>IFERROR(__xludf.DUMMYFUNCTION("""COMPUTED_VALUE"""),"")</f>
        <v/>
      </c>
      <c r="O2226" s="116"/>
      <c r="P2226" s="116"/>
      <c r="Q2226" s="116"/>
      <c r="R2226" s="116" t="s">
        <v>39</v>
      </c>
      <c r="S2226" s="116" t="s">
        <v>39</v>
      </c>
      <c r="T2226" s="104"/>
      <c r="U2226" s="116"/>
      <c r="V2226" s="104"/>
      <c r="W2226" s="116"/>
    </row>
    <row r="2227">
      <c r="A2227" s="114" t="s">
        <v>39</v>
      </c>
      <c r="B2227" s="115"/>
      <c r="C2227" s="116"/>
      <c r="D2227" s="116"/>
      <c r="E2227" s="116" t="str">
        <f>IFERROR(__xludf.DUMMYFUNCTION("""COMPUTED_VALUE"""),"")</f>
        <v/>
      </c>
      <c r="F2227" s="117" t="s">
        <v>39</v>
      </c>
      <c r="G2227" s="116"/>
      <c r="H2227" s="117"/>
      <c r="I2227" s="117"/>
      <c r="J2227" s="117"/>
      <c r="K2227" s="117"/>
      <c r="L2227" s="116"/>
      <c r="M2227" s="117"/>
      <c r="N2227" s="118" t="str">
        <f>IFERROR(__xludf.DUMMYFUNCTION("""COMPUTED_VALUE"""),"")</f>
        <v/>
      </c>
      <c r="O2227" s="116"/>
      <c r="P2227" s="116"/>
      <c r="Q2227" s="116"/>
      <c r="R2227" s="116" t="s">
        <v>39</v>
      </c>
      <c r="S2227" s="116" t="s">
        <v>39</v>
      </c>
      <c r="T2227" s="104"/>
      <c r="U2227" s="116"/>
      <c r="V2227" s="104"/>
      <c r="W2227" s="116"/>
    </row>
    <row r="2228">
      <c r="A2228" s="114" t="s">
        <v>39</v>
      </c>
      <c r="B2228" s="115"/>
      <c r="C2228" s="116"/>
      <c r="D2228" s="116"/>
      <c r="E2228" s="116" t="str">
        <f>IFERROR(__xludf.DUMMYFUNCTION("""COMPUTED_VALUE"""),"")</f>
        <v/>
      </c>
      <c r="F2228" s="117" t="s">
        <v>39</v>
      </c>
      <c r="G2228" s="116"/>
      <c r="H2228" s="117"/>
      <c r="I2228" s="117"/>
      <c r="J2228" s="117"/>
      <c r="K2228" s="117"/>
      <c r="L2228" s="116"/>
      <c r="M2228" s="117"/>
      <c r="N2228" s="118" t="str">
        <f>IFERROR(__xludf.DUMMYFUNCTION("""COMPUTED_VALUE"""),"")</f>
        <v/>
      </c>
      <c r="O2228" s="116"/>
      <c r="P2228" s="116"/>
      <c r="Q2228" s="116"/>
      <c r="R2228" s="116" t="s">
        <v>39</v>
      </c>
      <c r="S2228" s="116" t="s">
        <v>39</v>
      </c>
      <c r="T2228" s="104"/>
      <c r="U2228" s="116"/>
      <c r="V2228" s="104"/>
      <c r="W2228" s="116"/>
    </row>
    <row r="2229">
      <c r="A2229" s="114" t="s">
        <v>39</v>
      </c>
      <c r="B2229" s="115"/>
      <c r="C2229" s="116"/>
      <c r="D2229" s="116"/>
      <c r="E2229" s="116" t="str">
        <f>IFERROR(__xludf.DUMMYFUNCTION("""COMPUTED_VALUE"""),"")</f>
        <v/>
      </c>
      <c r="F2229" s="117" t="s">
        <v>39</v>
      </c>
      <c r="G2229" s="116"/>
      <c r="H2229" s="117"/>
      <c r="I2229" s="117"/>
      <c r="J2229" s="117"/>
      <c r="K2229" s="117"/>
      <c r="L2229" s="116"/>
      <c r="M2229" s="117"/>
      <c r="N2229" s="118" t="str">
        <f>IFERROR(__xludf.DUMMYFUNCTION("""COMPUTED_VALUE"""),"")</f>
        <v/>
      </c>
      <c r="O2229" s="116"/>
      <c r="P2229" s="116"/>
      <c r="Q2229" s="116"/>
      <c r="R2229" s="116" t="s">
        <v>39</v>
      </c>
      <c r="S2229" s="116" t="s">
        <v>39</v>
      </c>
      <c r="T2229" s="104"/>
      <c r="U2229" s="116"/>
      <c r="V2229" s="104"/>
      <c r="W2229" s="116"/>
    </row>
    <row r="2230">
      <c r="A2230" s="114" t="s">
        <v>39</v>
      </c>
      <c r="B2230" s="115"/>
      <c r="C2230" s="116"/>
      <c r="D2230" s="116"/>
      <c r="E2230" s="116" t="str">
        <f>IFERROR(__xludf.DUMMYFUNCTION("""COMPUTED_VALUE"""),"")</f>
        <v/>
      </c>
      <c r="F2230" s="117" t="s">
        <v>39</v>
      </c>
      <c r="G2230" s="116"/>
      <c r="H2230" s="117"/>
      <c r="I2230" s="117"/>
      <c r="J2230" s="117"/>
      <c r="K2230" s="117"/>
      <c r="L2230" s="116"/>
      <c r="M2230" s="117"/>
      <c r="N2230" s="118" t="str">
        <f>IFERROR(__xludf.DUMMYFUNCTION("""COMPUTED_VALUE"""),"")</f>
        <v/>
      </c>
      <c r="O2230" s="116"/>
      <c r="P2230" s="116"/>
      <c r="Q2230" s="116"/>
      <c r="R2230" s="116" t="s">
        <v>39</v>
      </c>
      <c r="S2230" s="116" t="s">
        <v>39</v>
      </c>
      <c r="T2230" s="104"/>
      <c r="U2230" s="116"/>
      <c r="V2230" s="104"/>
      <c r="W2230" s="116"/>
    </row>
    <row r="2231">
      <c r="A2231" s="114" t="s">
        <v>39</v>
      </c>
      <c r="B2231" s="115"/>
      <c r="C2231" s="116"/>
      <c r="D2231" s="116"/>
      <c r="E2231" s="116" t="str">
        <f>IFERROR(__xludf.DUMMYFUNCTION("""COMPUTED_VALUE"""),"")</f>
        <v/>
      </c>
      <c r="F2231" s="117" t="s">
        <v>39</v>
      </c>
      <c r="G2231" s="116"/>
      <c r="H2231" s="117"/>
      <c r="I2231" s="117"/>
      <c r="J2231" s="117"/>
      <c r="K2231" s="117"/>
      <c r="L2231" s="116"/>
      <c r="M2231" s="117"/>
      <c r="N2231" s="118" t="str">
        <f>IFERROR(__xludf.DUMMYFUNCTION("""COMPUTED_VALUE"""),"")</f>
        <v/>
      </c>
      <c r="O2231" s="116"/>
      <c r="P2231" s="116"/>
      <c r="Q2231" s="116"/>
      <c r="R2231" s="116" t="s">
        <v>39</v>
      </c>
      <c r="S2231" s="116" t="s">
        <v>39</v>
      </c>
      <c r="T2231" s="104"/>
      <c r="U2231" s="116"/>
      <c r="V2231" s="104"/>
      <c r="W2231" s="116"/>
    </row>
    <row r="2232">
      <c r="A2232" s="114" t="s">
        <v>39</v>
      </c>
      <c r="B2232" s="115"/>
      <c r="C2232" s="116"/>
      <c r="D2232" s="116"/>
      <c r="E2232" s="116" t="str">
        <f>IFERROR(__xludf.DUMMYFUNCTION("""COMPUTED_VALUE"""),"")</f>
        <v/>
      </c>
      <c r="F2232" s="117" t="s">
        <v>39</v>
      </c>
      <c r="G2232" s="116"/>
      <c r="H2232" s="117"/>
      <c r="I2232" s="117"/>
      <c r="J2232" s="117"/>
      <c r="K2232" s="117"/>
      <c r="L2232" s="116"/>
      <c r="M2232" s="117"/>
      <c r="N2232" s="118" t="str">
        <f>IFERROR(__xludf.DUMMYFUNCTION("""COMPUTED_VALUE"""),"")</f>
        <v/>
      </c>
      <c r="O2232" s="116"/>
      <c r="P2232" s="116"/>
      <c r="Q2232" s="116"/>
      <c r="R2232" s="116" t="s">
        <v>39</v>
      </c>
      <c r="S2232" s="116" t="s">
        <v>39</v>
      </c>
      <c r="T2232" s="104"/>
      <c r="U2232" s="116"/>
      <c r="V2232" s="104"/>
      <c r="W2232" s="116"/>
    </row>
    <row r="2233">
      <c r="A2233" s="114" t="s">
        <v>39</v>
      </c>
      <c r="B2233" s="115"/>
      <c r="C2233" s="116"/>
      <c r="D2233" s="116"/>
      <c r="E2233" s="116" t="str">
        <f>IFERROR(__xludf.DUMMYFUNCTION("""COMPUTED_VALUE"""),"")</f>
        <v/>
      </c>
      <c r="F2233" s="117" t="s">
        <v>39</v>
      </c>
      <c r="G2233" s="116"/>
      <c r="H2233" s="117"/>
      <c r="I2233" s="117"/>
      <c r="J2233" s="117"/>
      <c r="K2233" s="117"/>
      <c r="L2233" s="116"/>
      <c r="M2233" s="117"/>
      <c r="N2233" s="118" t="str">
        <f>IFERROR(__xludf.DUMMYFUNCTION("""COMPUTED_VALUE"""),"")</f>
        <v/>
      </c>
      <c r="O2233" s="116"/>
      <c r="P2233" s="116"/>
      <c r="Q2233" s="116"/>
      <c r="R2233" s="116" t="s">
        <v>39</v>
      </c>
      <c r="S2233" s="116" t="s">
        <v>39</v>
      </c>
      <c r="T2233" s="104"/>
      <c r="U2233" s="116"/>
      <c r="V2233" s="104"/>
      <c r="W2233" s="116"/>
    </row>
    <row r="2234">
      <c r="A2234" s="114" t="s">
        <v>39</v>
      </c>
      <c r="B2234" s="115"/>
      <c r="C2234" s="116"/>
      <c r="D2234" s="116"/>
      <c r="E2234" s="116" t="str">
        <f>IFERROR(__xludf.DUMMYFUNCTION("""COMPUTED_VALUE"""),"")</f>
        <v/>
      </c>
      <c r="F2234" s="117" t="s">
        <v>39</v>
      </c>
      <c r="G2234" s="116"/>
      <c r="H2234" s="117"/>
      <c r="I2234" s="117"/>
      <c r="J2234" s="117"/>
      <c r="K2234" s="117"/>
      <c r="L2234" s="116"/>
      <c r="M2234" s="117"/>
      <c r="N2234" s="118" t="str">
        <f>IFERROR(__xludf.DUMMYFUNCTION("""COMPUTED_VALUE"""),"")</f>
        <v/>
      </c>
      <c r="O2234" s="116"/>
      <c r="P2234" s="116"/>
      <c r="Q2234" s="116"/>
      <c r="R2234" s="116" t="s">
        <v>39</v>
      </c>
      <c r="S2234" s="116" t="s">
        <v>39</v>
      </c>
      <c r="T2234" s="104"/>
      <c r="U2234" s="116"/>
      <c r="V2234" s="104"/>
      <c r="W2234" s="116"/>
    </row>
    <row r="2235">
      <c r="A2235" s="114" t="s">
        <v>39</v>
      </c>
      <c r="B2235" s="115"/>
      <c r="C2235" s="116"/>
      <c r="D2235" s="116"/>
      <c r="E2235" s="116" t="str">
        <f>IFERROR(__xludf.DUMMYFUNCTION("""COMPUTED_VALUE"""),"")</f>
        <v/>
      </c>
      <c r="F2235" s="117" t="s">
        <v>39</v>
      </c>
      <c r="G2235" s="116"/>
      <c r="H2235" s="117"/>
      <c r="I2235" s="117"/>
      <c r="J2235" s="117"/>
      <c r="K2235" s="117"/>
      <c r="L2235" s="116"/>
      <c r="M2235" s="117"/>
      <c r="N2235" s="118" t="str">
        <f>IFERROR(__xludf.DUMMYFUNCTION("""COMPUTED_VALUE"""),"")</f>
        <v/>
      </c>
      <c r="O2235" s="116"/>
      <c r="P2235" s="116"/>
      <c r="Q2235" s="116"/>
      <c r="R2235" s="116" t="s">
        <v>39</v>
      </c>
      <c r="S2235" s="116" t="s">
        <v>39</v>
      </c>
      <c r="T2235" s="104"/>
      <c r="U2235" s="116"/>
      <c r="V2235" s="104"/>
      <c r="W2235" s="116"/>
    </row>
    <row r="2236">
      <c r="A2236" s="114" t="s">
        <v>39</v>
      </c>
      <c r="B2236" s="115"/>
      <c r="C2236" s="116"/>
      <c r="D2236" s="116"/>
      <c r="E2236" s="116" t="str">
        <f>IFERROR(__xludf.DUMMYFUNCTION("""COMPUTED_VALUE"""),"")</f>
        <v/>
      </c>
      <c r="F2236" s="117" t="s">
        <v>39</v>
      </c>
      <c r="G2236" s="116"/>
      <c r="H2236" s="117"/>
      <c r="I2236" s="117"/>
      <c r="J2236" s="117"/>
      <c r="K2236" s="117"/>
      <c r="L2236" s="116"/>
      <c r="M2236" s="117"/>
      <c r="N2236" s="118" t="str">
        <f>IFERROR(__xludf.DUMMYFUNCTION("""COMPUTED_VALUE"""),"")</f>
        <v/>
      </c>
      <c r="O2236" s="116"/>
      <c r="P2236" s="116"/>
      <c r="Q2236" s="116"/>
      <c r="R2236" s="116" t="s">
        <v>39</v>
      </c>
      <c r="S2236" s="116" t="s">
        <v>39</v>
      </c>
      <c r="T2236" s="104"/>
      <c r="U2236" s="116"/>
      <c r="V2236" s="104"/>
      <c r="W2236" s="116"/>
    </row>
    <row r="2237">
      <c r="A2237" s="114" t="s">
        <v>39</v>
      </c>
      <c r="B2237" s="115"/>
      <c r="C2237" s="116"/>
      <c r="D2237" s="116"/>
      <c r="E2237" s="116" t="str">
        <f>IFERROR(__xludf.DUMMYFUNCTION("""COMPUTED_VALUE"""),"")</f>
        <v/>
      </c>
      <c r="F2237" s="117" t="s">
        <v>39</v>
      </c>
      <c r="G2237" s="116"/>
      <c r="H2237" s="117"/>
      <c r="I2237" s="117"/>
      <c r="J2237" s="117"/>
      <c r="K2237" s="117"/>
      <c r="L2237" s="116"/>
      <c r="M2237" s="117"/>
      <c r="N2237" s="118" t="str">
        <f>IFERROR(__xludf.DUMMYFUNCTION("""COMPUTED_VALUE"""),"")</f>
        <v/>
      </c>
      <c r="O2237" s="116"/>
      <c r="P2237" s="116"/>
      <c r="Q2237" s="116"/>
      <c r="R2237" s="116" t="s">
        <v>39</v>
      </c>
      <c r="S2237" s="116" t="s">
        <v>39</v>
      </c>
      <c r="T2237" s="104"/>
      <c r="U2237" s="116"/>
      <c r="V2237" s="104"/>
      <c r="W2237" s="116"/>
    </row>
    <row r="2238">
      <c r="A2238" s="114" t="s">
        <v>39</v>
      </c>
      <c r="B2238" s="115"/>
      <c r="C2238" s="116"/>
      <c r="D2238" s="116"/>
      <c r="E2238" s="116" t="str">
        <f>IFERROR(__xludf.DUMMYFUNCTION("""COMPUTED_VALUE"""),"")</f>
        <v/>
      </c>
      <c r="F2238" s="117" t="s">
        <v>39</v>
      </c>
      <c r="G2238" s="116"/>
      <c r="H2238" s="117"/>
      <c r="I2238" s="117"/>
      <c r="J2238" s="117"/>
      <c r="K2238" s="117"/>
      <c r="L2238" s="116"/>
      <c r="M2238" s="117"/>
      <c r="N2238" s="118" t="str">
        <f>IFERROR(__xludf.DUMMYFUNCTION("""COMPUTED_VALUE"""),"")</f>
        <v/>
      </c>
      <c r="O2238" s="116"/>
      <c r="P2238" s="116"/>
      <c r="Q2238" s="116"/>
      <c r="R2238" s="116" t="s">
        <v>39</v>
      </c>
      <c r="S2238" s="116" t="s">
        <v>39</v>
      </c>
      <c r="T2238" s="104"/>
      <c r="U2238" s="116"/>
      <c r="V2238" s="104"/>
      <c r="W2238" s="116"/>
    </row>
    <row r="2239">
      <c r="A2239" s="114" t="s">
        <v>39</v>
      </c>
      <c r="B2239" s="115"/>
      <c r="C2239" s="116"/>
      <c r="D2239" s="116"/>
      <c r="E2239" s="116" t="str">
        <f>IFERROR(__xludf.DUMMYFUNCTION("""COMPUTED_VALUE"""),"")</f>
        <v/>
      </c>
      <c r="F2239" s="117" t="s">
        <v>39</v>
      </c>
      <c r="G2239" s="116"/>
      <c r="H2239" s="117"/>
      <c r="I2239" s="117"/>
      <c r="J2239" s="117"/>
      <c r="K2239" s="117"/>
      <c r="L2239" s="116"/>
      <c r="M2239" s="117"/>
      <c r="N2239" s="118" t="str">
        <f>IFERROR(__xludf.DUMMYFUNCTION("""COMPUTED_VALUE"""),"")</f>
        <v/>
      </c>
      <c r="O2239" s="116"/>
      <c r="P2239" s="116"/>
      <c r="Q2239" s="116"/>
      <c r="R2239" s="116" t="s">
        <v>39</v>
      </c>
      <c r="S2239" s="116" t="s">
        <v>39</v>
      </c>
      <c r="T2239" s="104"/>
      <c r="U2239" s="116"/>
      <c r="V2239" s="104"/>
      <c r="W2239" s="116"/>
    </row>
    <row r="2240">
      <c r="A2240" s="114" t="s">
        <v>39</v>
      </c>
      <c r="B2240" s="115"/>
      <c r="C2240" s="116"/>
      <c r="D2240" s="116"/>
      <c r="E2240" s="116" t="str">
        <f>IFERROR(__xludf.DUMMYFUNCTION("""COMPUTED_VALUE"""),"")</f>
        <v/>
      </c>
      <c r="F2240" s="117" t="s">
        <v>39</v>
      </c>
      <c r="G2240" s="116"/>
      <c r="H2240" s="117"/>
      <c r="I2240" s="117"/>
      <c r="J2240" s="117"/>
      <c r="K2240" s="117"/>
      <c r="L2240" s="116"/>
      <c r="M2240" s="117"/>
      <c r="N2240" s="118" t="str">
        <f>IFERROR(__xludf.DUMMYFUNCTION("""COMPUTED_VALUE"""),"")</f>
        <v/>
      </c>
      <c r="O2240" s="116"/>
      <c r="P2240" s="116"/>
      <c r="Q2240" s="116"/>
      <c r="R2240" s="116" t="s">
        <v>39</v>
      </c>
      <c r="S2240" s="116" t="s">
        <v>39</v>
      </c>
      <c r="T2240" s="104"/>
      <c r="U2240" s="116"/>
      <c r="V2240" s="104"/>
      <c r="W2240" s="116"/>
    </row>
    <row r="2241">
      <c r="A2241" s="114" t="s">
        <v>39</v>
      </c>
      <c r="B2241" s="115"/>
      <c r="C2241" s="116"/>
      <c r="D2241" s="116"/>
      <c r="E2241" s="116" t="str">
        <f>IFERROR(__xludf.DUMMYFUNCTION("""COMPUTED_VALUE"""),"")</f>
        <v/>
      </c>
      <c r="F2241" s="117" t="s">
        <v>39</v>
      </c>
      <c r="G2241" s="116"/>
      <c r="H2241" s="117"/>
      <c r="I2241" s="117"/>
      <c r="J2241" s="117"/>
      <c r="K2241" s="117"/>
      <c r="L2241" s="116"/>
      <c r="M2241" s="117"/>
      <c r="N2241" s="118" t="str">
        <f>IFERROR(__xludf.DUMMYFUNCTION("""COMPUTED_VALUE"""),"")</f>
        <v/>
      </c>
      <c r="O2241" s="116"/>
      <c r="P2241" s="116"/>
      <c r="Q2241" s="116"/>
      <c r="R2241" s="116" t="s">
        <v>39</v>
      </c>
      <c r="S2241" s="116" t="s">
        <v>39</v>
      </c>
      <c r="T2241" s="104"/>
      <c r="U2241" s="116"/>
      <c r="V2241" s="104"/>
      <c r="W2241" s="116"/>
    </row>
    <row r="2242">
      <c r="A2242" s="114" t="s">
        <v>39</v>
      </c>
      <c r="B2242" s="115"/>
      <c r="C2242" s="116"/>
      <c r="D2242" s="116"/>
      <c r="E2242" s="116" t="str">
        <f>IFERROR(__xludf.DUMMYFUNCTION("""COMPUTED_VALUE"""),"")</f>
        <v/>
      </c>
      <c r="F2242" s="117" t="s">
        <v>39</v>
      </c>
      <c r="G2242" s="116"/>
      <c r="H2242" s="117"/>
      <c r="I2242" s="117"/>
      <c r="J2242" s="117"/>
      <c r="K2242" s="117"/>
      <c r="L2242" s="116"/>
      <c r="M2242" s="117"/>
      <c r="N2242" s="118" t="str">
        <f>IFERROR(__xludf.DUMMYFUNCTION("""COMPUTED_VALUE"""),"")</f>
        <v/>
      </c>
      <c r="O2242" s="116"/>
      <c r="P2242" s="116"/>
      <c r="Q2242" s="116"/>
      <c r="R2242" s="116" t="s">
        <v>39</v>
      </c>
      <c r="S2242" s="116" t="s">
        <v>39</v>
      </c>
      <c r="T2242" s="104"/>
      <c r="U2242" s="116"/>
      <c r="V2242" s="104"/>
      <c r="W2242" s="116"/>
    </row>
    <row r="2243">
      <c r="A2243" s="114" t="s">
        <v>39</v>
      </c>
      <c r="B2243" s="115"/>
      <c r="C2243" s="116"/>
      <c r="D2243" s="116"/>
      <c r="E2243" s="116" t="str">
        <f>IFERROR(__xludf.DUMMYFUNCTION("""COMPUTED_VALUE"""),"")</f>
        <v/>
      </c>
      <c r="F2243" s="117" t="s">
        <v>39</v>
      </c>
      <c r="G2243" s="116"/>
      <c r="H2243" s="117"/>
      <c r="I2243" s="117"/>
      <c r="J2243" s="117"/>
      <c r="K2243" s="117"/>
      <c r="L2243" s="116"/>
      <c r="M2243" s="117"/>
      <c r="N2243" s="118" t="str">
        <f>IFERROR(__xludf.DUMMYFUNCTION("""COMPUTED_VALUE"""),"")</f>
        <v/>
      </c>
      <c r="O2243" s="116"/>
      <c r="P2243" s="116"/>
      <c r="Q2243" s="116"/>
      <c r="R2243" s="116" t="s">
        <v>39</v>
      </c>
      <c r="S2243" s="116" t="s">
        <v>39</v>
      </c>
      <c r="T2243" s="104"/>
      <c r="U2243" s="116"/>
      <c r="V2243" s="104"/>
      <c r="W2243" s="116"/>
    </row>
    <row r="2244">
      <c r="A2244" s="114" t="s">
        <v>39</v>
      </c>
      <c r="B2244" s="115"/>
      <c r="C2244" s="116"/>
      <c r="D2244" s="116"/>
      <c r="E2244" s="116" t="str">
        <f>IFERROR(__xludf.DUMMYFUNCTION("""COMPUTED_VALUE"""),"")</f>
        <v/>
      </c>
      <c r="F2244" s="117" t="s">
        <v>39</v>
      </c>
      <c r="G2244" s="116"/>
      <c r="H2244" s="117"/>
      <c r="I2244" s="117"/>
      <c r="J2244" s="117"/>
      <c r="K2244" s="117"/>
      <c r="L2244" s="116"/>
      <c r="M2244" s="117"/>
      <c r="N2244" s="118" t="str">
        <f>IFERROR(__xludf.DUMMYFUNCTION("""COMPUTED_VALUE"""),"")</f>
        <v/>
      </c>
      <c r="O2244" s="116"/>
      <c r="P2244" s="116"/>
      <c r="Q2244" s="116"/>
      <c r="R2244" s="116" t="s">
        <v>39</v>
      </c>
      <c r="S2244" s="116" t="s">
        <v>39</v>
      </c>
      <c r="T2244" s="104"/>
      <c r="U2244" s="116"/>
      <c r="V2244" s="104"/>
      <c r="W2244" s="116"/>
    </row>
    <row r="2245">
      <c r="A2245" s="114" t="s">
        <v>39</v>
      </c>
      <c r="B2245" s="115"/>
      <c r="C2245" s="116"/>
      <c r="D2245" s="116"/>
      <c r="E2245" s="116" t="str">
        <f>IFERROR(__xludf.DUMMYFUNCTION("""COMPUTED_VALUE"""),"")</f>
        <v/>
      </c>
      <c r="F2245" s="117" t="s">
        <v>39</v>
      </c>
      <c r="G2245" s="116"/>
      <c r="H2245" s="117"/>
      <c r="I2245" s="117"/>
      <c r="J2245" s="117"/>
      <c r="K2245" s="117"/>
      <c r="L2245" s="116"/>
      <c r="M2245" s="117"/>
      <c r="N2245" s="118" t="str">
        <f>IFERROR(__xludf.DUMMYFUNCTION("""COMPUTED_VALUE"""),"")</f>
        <v/>
      </c>
      <c r="O2245" s="116"/>
      <c r="P2245" s="116"/>
      <c r="Q2245" s="116"/>
      <c r="R2245" s="116" t="s">
        <v>39</v>
      </c>
      <c r="S2245" s="116" t="s">
        <v>39</v>
      </c>
      <c r="T2245" s="104"/>
      <c r="U2245" s="116"/>
      <c r="V2245" s="104"/>
      <c r="W2245" s="116"/>
    </row>
    <row r="2246">
      <c r="A2246" s="114" t="s">
        <v>39</v>
      </c>
      <c r="B2246" s="115"/>
      <c r="C2246" s="116"/>
      <c r="D2246" s="116"/>
      <c r="E2246" s="116" t="str">
        <f>IFERROR(__xludf.DUMMYFUNCTION("""COMPUTED_VALUE"""),"")</f>
        <v/>
      </c>
      <c r="F2246" s="117" t="s">
        <v>39</v>
      </c>
      <c r="G2246" s="116"/>
      <c r="H2246" s="117"/>
      <c r="I2246" s="117"/>
      <c r="J2246" s="117"/>
      <c r="K2246" s="117"/>
      <c r="L2246" s="116"/>
      <c r="M2246" s="117"/>
      <c r="N2246" s="118" t="str">
        <f>IFERROR(__xludf.DUMMYFUNCTION("""COMPUTED_VALUE"""),"")</f>
        <v/>
      </c>
      <c r="O2246" s="116"/>
      <c r="P2246" s="116"/>
      <c r="Q2246" s="116"/>
      <c r="R2246" s="116" t="s">
        <v>39</v>
      </c>
      <c r="S2246" s="116" t="s">
        <v>39</v>
      </c>
      <c r="T2246" s="104"/>
      <c r="U2246" s="116"/>
      <c r="V2246" s="104"/>
      <c r="W2246" s="116"/>
    </row>
    <row r="2247">
      <c r="A2247" s="114" t="s">
        <v>39</v>
      </c>
      <c r="B2247" s="115"/>
      <c r="C2247" s="116"/>
      <c r="D2247" s="116"/>
      <c r="E2247" s="116" t="str">
        <f>IFERROR(__xludf.DUMMYFUNCTION("""COMPUTED_VALUE"""),"")</f>
        <v/>
      </c>
      <c r="F2247" s="117" t="s">
        <v>39</v>
      </c>
      <c r="G2247" s="116"/>
      <c r="H2247" s="117"/>
      <c r="I2247" s="117"/>
      <c r="J2247" s="117"/>
      <c r="K2247" s="117"/>
      <c r="L2247" s="116"/>
      <c r="M2247" s="117"/>
      <c r="N2247" s="118" t="str">
        <f>IFERROR(__xludf.DUMMYFUNCTION("""COMPUTED_VALUE"""),"")</f>
        <v/>
      </c>
      <c r="O2247" s="116"/>
      <c r="P2247" s="116"/>
      <c r="Q2247" s="116"/>
      <c r="R2247" s="116" t="s">
        <v>39</v>
      </c>
      <c r="S2247" s="116" t="s">
        <v>39</v>
      </c>
      <c r="T2247" s="104"/>
      <c r="U2247" s="116"/>
      <c r="V2247" s="104"/>
      <c r="W2247" s="116"/>
    </row>
    <row r="2248">
      <c r="A2248" s="114" t="s">
        <v>39</v>
      </c>
      <c r="B2248" s="115"/>
      <c r="C2248" s="116"/>
      <c r="D2248" s="116"/>
      <c r="E2248" s="116" t="str">
        <f>IFERROR(__xludf.DUMMYFUNCTION("""COMPUTED_VALUE"""),"")</f>
        <v/>
      </c>
      <c r="F2248" s="117" t="s">
        <v>39</v>
      </c>
      <c r="G2248" s="116"/>
      <c r="H2248" s="117"/>
      <c r="I2248" s="117"/>
      <c r="J2248" s="117"/>
      <c r="K2248" s="117"/>
      <c r="L2248" s="116"/>
      <c r="M2248" s="117"/>
      <c r="N2248" s="118" t="str">
        <f>IFERROR(__xludf.DUMMYFUNCTION("""COMPUTED_VALUE"""),"")</f>
        <v/>
      </c>
      <c r="O2248" s="116"/>
      <c r="P2248" s="116"/>
      <c r="Q2248" s="116"/>
      <c r="R2248" s="116" t="s">
        <v>39</v>
      </c>
      <c r="S2248" s="116" t="s">
        <v>39</v>
      </c>
      <c r="T2248" s="104"/>
      <c r="U2248" s="116"/>
      <c r="V2248" s="104"/>
      <c r="W2248" s="116"/>
    </row>
    <row r="2249">
      <c r="A2249" s="114" t="s">
        <v>39</v>
      </c>
      <c r="B2249" s="115"/>
      <c r="C2249" s="116"/>
      <c r="D2249" s="116"/>
      <c r="E2249" s="116" t="str">
        <f>IFERROR(__xludf.DUMMYFUNCTION("""COMPUTED_VALUE"""),"")</f>
        <v/>
      </c>
      <c r="F2249" s="117" t="s">
        <v>39</v>
      </c>
      <c r="G2249" s="116"/>
      <c r="H2249" s="117"/>
      <c r="I2249" s="117"/>
      <c r="J2249" s="117"/>
      <c r="K2249" s="117"/>
      <c r="L2249" s="116"/>
      <c r="M2249" s="117"/>
      <c r="N2249" s="118" t="str">
        <f>IFERROR(__xludf.DUMMYFUNCTION("""COMPUTED_VALUE"""),"")</f>
        <v/>
      </c>
      <c r="O2249" s="116"/>
      <c r="P2249" s="116"/>
      <c r="Q2249" s="116"/>
      <c r="R2249" s="116" t="s">
        <v>39</v>
      </c>
      <c r="S2249" s="116" t="s">
        <v>39</v>
      </c>
      <c r="T2249" s="104"/>
      <c r="U2249" s="116"/>
      <c r="V2249" s="104"/>
      <c r="W2249" s="116"/>
    </row>
    <row r="2250">
      <c r="A2250" s="114" t="s">
        <v>39</v>
      </c>
      <c r="B2250" s="115"/>
      <c r="C2250" s="116"/>
      <c r="D2250" s="116"/>
      <c r="E2250" s="116" t="str">
        <f>IFERROR(__xludf.DUMMYFUNCTION("""COMPUTED_VALUE"""),"")</f>
        <v/>
      </c>
      <c r="F2250" s="117" t="s">
        <v>39</v>
      </c>
      <c r="G2250" s="116"/>
      <c r="H2250" s="117"/>
      <c r="I2250" s="117"/>
      <c r="J2250" s="117"/>
      <c r="K2250" s="117"/>
      <c r="L2250" s="116"/>
      <c r="M2250" s="117"/>
      <c r="N2250" s="118" t="str">
        <f>IFERROR(__xludf.DUMMYFUNCTION("""COMPUTED_VALUE"""),"")</f>
        <v/>
      </c>
      <c r="O2250" s="116"/>
      <c r="P2250" s="116"/>
      <c r="Q2250" s="116"/>
      <c r="R2250" s="116" t="s">
        <v>39</v>
      </c>
      <c r="S2250" s="116" t="s">
        <v>39</v>
      </c>
      <c r="T2250" s="104"/>
      <c r="U2250" s="116"/>
      <c r="V2250" s="104"/>
      <c r="W2250" s="116"/>
    </row>
    <row r="2251">
      <c r="A2251" s="114" t="s">
        <v>39</v>
      </c>
      <c r="B2251" s="115"/>
      <c r="C2251" s="116"/>
      <c r="D2251" s="116"/>
      <c r="E2251" s="116" t="str">
        <f>IFERROR(__xludf.DUMMYFUNCTION("""COMPUTED_VALUE"""),"")</f>
        <v/>
      </c>
      <c r="F2251" s="117" t="s">
        <v>39</v>
      </c>
      <c r="G2251" s="116"/>
      <c r="H2251" s="117"/>
      <c r="I2251" s="117"/>
      <c r="J2251" s="117"/>
      <c r="K2251" s="117"/>
      <c r="L2251" s="116"/>
      <c r="M2251" s="117"/>
      <c r="N2251" s="118" t="str">
        <f>IFERROR(__xludf.DUMMYFUNCTION("""COMPUTED_VALUE"""),"")</f>
        <v/>
      </c>
      <c r="O2251" s="116"/>
      <c r="P2251" s="116"/>
      <c r="Q2251" s="116"/>
      <c r="R2251" s="116" t="s">
        <v>39</v>
      </c>
      <c r="S2251" s="116" t="s">
        <v>39</v>
      </c>
      <c r="T2251" s="104"/>
      <c r="U2251" s="116"/>
      <c r="V2251" s="104"/>
      <c r="W2251" s="116"/>
    </row>
    <row r="2252">
      <c r="A2252" s="114" t="s">
        <v>39</v>
      </c>
      <c r="B2252" s="115"/>
      <c r="C2252" s="116"/>
      <c r="D2252" s="116"/>
      <c r="E2252" s="116" t="str">
        <f>IFERROR(__xludf.DUMMYFUNCTION("""COMPUTED_VALUE"""),"")</f>
        <v/>
      </c>
      <c r="F2252" s="117" t="s">
        <v>39</v>
      </c>
      <c r="G2252" s="116"/>
      <c r="H2252" s="117"/>
      <c r="I2252" s="117"/>
      <c r="J2252" s="117"/>
      <c r="K2252" s="117"/>
      <c r="L2252" s="116"/>
      <c r="M2252" s="117"/>
      <c r="N2252" s="118" t="str">
        <f>IFERROR(__xludf.DUMMYFUNCTION("""COMPUTED_VALUE"""),"")</f>
        <v/>
      </c>
      <c r="O2252" s="116"/>
      <c r="P2252" s="116"/>
      <c r="Q2252" s="116"/>
      <c r="R2252" s="116" t="s">
        <v>39</v>
      </c>
      <c r="S2252" s="116" t="s">
        <v>39</v>
      </c>
      <c r="T2252" s="104"/>
      <c r="U2252" s="116"/>
      <c r="V2252" s="104"/>
      <c r="W2252" s="116"/>
    </row>
    <row r="2253">
      <c r="A2253" s="114" t="s">
        <v>39</v>
      </c>
      <c r="B2253" s="115"/>
      <c r="C2253" s="116"/>
      <c r="D2253" s="116"/>
      <c r="E2253" s="116" t="str">
        <f>IFERROR(__xludf.DUMMYFUNCTION("""COMPUTED_VALUE"""),"")</f>
        <v/>
      </c>
      <c r="F2253" s="117" t="s">
        <v>39</v>
      </c>
      <c r="G2253" s="116"/>
      <c r="H2253" s="117"/>
      <c r="I2253" s="117"/>
      <c r="J2253" s="117"/>
      <c r="K2253" s="117"/>
      <c r="L2253" s="116"/>
      <c r="M2253" s="117"/>
      <c r="N2253" s="118" t="str">
        <f>IFERROR(__xludf.DUMMYFUNCTION("""COMPUTED_VALUE"""),"")</f>
        <v/>
      </c>
      <c r="O2253" s="116"/>
      <c r="P2253" s="116"/>
      <c r="Q2253" s="116"/>
      <c r="R2253" s="116" t="s">
        <v>39</v>
      </c>
      <c r="S2253" s="116" t="s">
        <v>39</v>
      </c>
      <c r="T2253" s="104"/>
      <c r="U2253" s="116"/>
      <c r="V2253" s="104"/>
      <c r="W2253" s="116"/>
    </row>
    <row r="2254">
      <c r="A2254" s="114" t="s">
        <v>39</v>
      </c>
      <c r="B2254" s="115"/>
      <c r="C2254" s="116"/>
      <c r="D2254" s="116"/>
      <c r="E2254" s="116" t="str">
        <f>IFERROR(__xludf.DUMMYFUNCTION("""COMPUTED_VALUE"""),"")</f>
        <v/>
      </c>
      <c r="F2254" s="117" t="s">
        <v>39</v>
      </c>
      <c r="G2254" s="116"/>
      <c r="H2254" s="117"/>
      <c r="I2254" s="117"/>
      <c r="J2254" s="117"/>
      <c r="K2254" s="117"/>
      <c r="L2254" s="116"/>
      <c r="M2254" s="117"/>
      <c r="N2254" s="118" t="str">
        <f>IFERROR(__xludf.DUMMYFUNCTION("""COMPUTED_VALUE"""),"")</f>
        <v/>
      </c>
      <c r="O2254" s="116"/>
      <c r="P2254" s="116"/>
      <c r="Q2254" s="116"/>
      <c r="R2254" s="116" t="s">
        <v>39</v>
      </c>
      <c r="S2254" s="116" t="s">
        <v>39</v>
      </c>
      <c r="T2254" s="104"/>
      <c r="U2254" s="116"/>
      <c r="V2254" s="104"/>
      <c r="W2254" s="116"/>
    </row>
    <row r="2255">
      <c r="A2255" s="114" t="s">
        <v>39</v>
      </c>
      <c r="B2255" s="115"/>
      <c r="C2255" s="116"/>
      <c r="D2255" s="116"/>
      <c r="E2255" s="116" t="str">
        <f>IFERROR(__xludf.DUMMYFUNCTION("""COMPUTED_VALUE"""),"")</f>
        <v/>
      </c>
      <c r="F2255" s="117" t="s">
        <v>39</v>
      </c>
      <c r="G2255" s="116"/>
      <c r="H2255" s="117"/>
      <c r="I2255" s="117"/>
      <c r="J2255" s="117"/>
      <c r="K2255" s="117"/>
      <c r="L2255" s="116"/>
      <c r="M2255" s="117"/>
      <c r="N2255" s="118" t="str">
        <f>IFERROR(__xludf.DUMMYFUNCTION("""COMPUTED_VALUE"""),"")</f>
        <v/>
      </c>
      <c r="O2255" s="116"/>
      <c r="P2255" s="116"/>
      <c r="Q2255" s="116"/>
      <c r="R2255" s="116" t="s">
        <v>39</v>
      </c>
      <c r="S2255" s="116" t="s">
        <v>39</v>
      </c>
      <c r="T2255" s="104"/>
      <c r="U2255" s="116"/>
      <c r="V2255" s="104"/>
      <c r="W2255" s="116"/>
    </row>
    <row r="2256">
      <c r="A2256" s="114" t="s">
        <v>39</v>
      </c>
      <c r="B2256" s="115"/>
      <c r="C2256" s="116"/>
      <c r="D2256" s="116"/>
      <c r="E2256" s="116" t="str">
        <f>IFERROR(__xludf.DUMMYFUNCTION("""COMPUTED_VALUE"""),"")</f>
        <v/>
      </c>
      <c r="F2256" s="117" t="s">
        <v>39</v>
      </c>
      <c r="G2256" s="116"/>
      <c r="H2256" s="117"/>
      <c r="I2256" s="117"/>
      <c r="J2256" s="117"/>
      <c r="K2256" s="117"/>
      <c r="L2256" s="116"/>
      <c r="M2256" s="117"/>
      <c r="N2256" s="118" t="str">
        <f>IFERROR(__xludf.DUMMYFUNCTION("""COMPUTED_VALUE"""),"")</f>
        <v/>
      </c>
      <c r="O2256" s="116"/>
      <c r="P2256" s="116"/>
      <c r="Q2256" s="116"/>
      <c r="R2256" s="116" t="s">
        <v>39</v>
      </c>
      <c r="S2256" s="116" t="s">
        <v>39</v>
      </c>
      <c r="T2256" s="104"/>
      <c r="U2256" s="116"/>
      <c r="V2256" s="104"/>
      <c r="W2256" s="116"/>
    </row>
    <row r="2257">
      <c r="A2257" s="114" t="s">
        <v>39</v>
      </c>
      <c r="B2257" s="115"/>
      <c r="C2257" s="116"/>
      <c r="D2257" s="116"/>
      <c r="E2257" s="116" t="str">
        <f>IFERROR(__xludf.DUMMYFUNCTION("""COMPUTED_VALUE"""),"")</f>
        <v/>
      </c>
      <c r="F2257" s="117" t="s">
        <v>39</v>
      </c>
      <c r="G2257" s="116"/>
      <c r="H2257" s="117"/>
      <c r="I2257" s="117"/>
      <c r="J2257" s="117"/>
      <c r="K2257" s="117"/>
      <c r="L2257" s="116"/>
      <c r="M2257" s="117"/>
      <c r="N2257" s="118" t="str">
        <f>IFERROR(__xludf.DUMMYFUNCTION("""COMPUTED_VALUE"""),"")</f>
        <v/>
      </c>
      <c r="O2257" s="116"/>
      <c r="P2257" s="116"/>
      <c r="Q2257" s="116"/>
      <c r="R2257" s="116" t="s">
        <v>39</v>
      </c>
      <c r="S2257" s="116" t="s">
        <v>39</v>
      </c>
      <c r="T2257" s="104"/>
      <c r="U2257" s="116"/>
      <c r="V2257" s="104"/>
      <c r="W2257" s="116"/>
    </row>
    <row r="2258">
      <c r="A2258" s="114" t="s">
        <v>39</v>
      </c>
      <c r="B2258" s="115"/>
      <c r="C2258" s="116"/>
      <c r="D2258" s="116"/>
      <c r="E2258" s="116" t="str">
        <f>IFERROR(__xludf.DUMMYFUNCTION("""COMPUTED_VALUE"""),"")</f>
        <v/>
      </c>
      <c r="F2258" s="117" t="s">
        <v>39</v>
      </c>
      <c r="G2258" s="116"/>
      <c r="H2258" s="117"/>
      <c r="I2258" s="117"/>
      <c r="J2258" s="117"/>
      <c r="K2258" s="117"/>
      <c r="L2258" s="116"/>
      <c r="M2258" s="117"/>
      <c r="N2258" s="118" t="str">
        <f>IFERROR(__xludf.DUMMYFUNCTION("""COMPUTED_VALUE"""),"")</f>
        <v/>
      </c>
      <c r="O2258" s="116"/>
      <c r="P2258" s="116"/>
      <c r="Q2258" s="116"/>
      <c r="R2258" s="116" t="s">
        <v>39</v>
      </c>
      <c r="S2258" s="116" t="s">
        <v>39</v>
      </c>
      <c r="T2258" s="104"/>
      <c r="U2258" s="116"/>
      <c r="V2258" s="104"/>
      <c r="W2258" s="116"/>
    </row>
    <row r="2259">
      <c r="A2259" s="114" t="s">
        <v>39</v>
      </c>
      <c r="B2259" s="115"/>
      <c r="C2259" s="116"/>
      <c r="D2259" s="116"/>
      <c r="E2259" s="116" t="str">
        <f>IFERROR(__xludf.DUMMYFUNCTION("""COMPUTED_VALUE"""),"")</f>
        <v/>
      </c>
      <c r="F2259" s="117" t="s">
        <v>39</v>
      </c>
      <c r="G2259" s="116"/>
      <c r="H2259" s="117"/>
      <c r="I2259" s="117"/>
      <c r="J2259" s="117"/>
      <c r="K2259" s="117"/>
      <c r="L2259" s="116"/>
      <c r="M2259" s="117"/>
      <c r="N2259" s="118" t="str">
        <f>IFERROR(__xludf.DUMMYFUNCTION("""COMPUTED_VALUE"""),"")</f>
        <v/>
      </c>
      <c r="O2259" s="116"/>
      <c r="P2259" s="116"/>
      <c r="Q2259" s="116"/>
      <c r="R2259" s="116" t="s">
        <v>39</v>
      </c>
      <c r="S2259" s="116" t="s">
        <v>39</v>
      </c>
      <c r="T2259" s="104"/>
      <c r="U2259" s="116"/>
      <c r="V2259" s="104"/>
      <c r="W2259" s="116"/>
    </row>
    <row r="2260">
      <c r="A2260" s="114" t="s">
        <v>39</v>
      </c>
      <c r="B2260" s="115"/>
      <c r="C2260" s="116"/>
      <c r="D2260" s="116"/>
      <c r="E2260" s="116" t="str">
        <f>IFERROR(__xludf.DUMMYFUNCTION("""COMPUTED_VALUE"""),"")</f>
        <v/>
      </c>
      <c r="F2260" s="117" t="s">
        <v>39</v>
      </c>
      <c r="G2260" s="116"/>
      <c r="H2260" s="117"/>
      <c r="I2260" s="117"/>
      <c r="J2260" s="117"/>
      <c r="K2260" s="117"/>
      <c r="L2260" s="116"/>
      <c r="M2260" s="117"/>
      <c r="N2260" s="118" t="str">
        <f>IFERROR(__xludf.DUMMYFUNCTION("""COMPUTED_VALUE"""),"")</f>
        <v/>
      </c>
      <c r="O2260" s="116"/>
      <c r="P2260" s="116"/>
      <c r="Q2260" s="116"/>
      <c r="R2260" s="116" t="s">
        <v>39</v>
      </c>
      <c r="S2260" s="116" t="s">
        <v>39</v>
      </c>
      <c r="T2260" s="104"/>
      <c r="U2260" s="116"/>
      <c r="V2260" s="104"/>
      <c r="W2260" s="116"/>
    </row>
    <row r="2261">
      <c r="A2261" s="114" t="s">
        <v>39</v>
      </c>
      <c r="B2261" s="115"/>
      <c r="C2261" s="116"/>
      <c r="D2261" s="116"/>
      <c r="E2261" s="116" t="str">
        <f>IFERROR(__xludf.DUMMYFUNCTION("""COMPUTED_VALUE"""),"")</f>
        <v/>
      </c>
      <c r="F2261" s="117" t="s">
        <v>39</v>
      </c>
      <c r="G2261" s="116"/>
      <c r="H2261" s="117"/>
      <c r="I2261" s="117"/>
      <c r="J2261" s="117"/>
      <c r="K2261" s="117"/>
      <c r="L2261" s="116"/>
      <c r="M2261" s="117"/>
      <c r="N2261" s="118" t="str">
        <f>IFERROR(__xludf.DUMMYFUNCTION("""COMPUTED_VALUE"""),"")</f>
        <v/>
      </c>
      <c r="O2261" s="116"/>
      <c r="P2261" s="116"/>
      <c r="Q2261" s="116"/>
      <c r="R2261" s="116" t="s">
        <v>39</v>
      </c>
      <c r="S2261" s="116" t="s">
        <v>39</v>
      </c>
      <c r="T2261" s="104"/>
      <c r="U2261" s="116"/>
      <c r="V2261" s="104"/>
      <c r="W2261" s="116"/>
    </row>
    <row r="2262">
      <c r="A2262" s="114" t="s">
        <v>39</v>
      </c>
      <c r="B2262" s="115"/>
      <c r="C2262" s="116"/>
      <c r="D2262" s="116"/>
      <c r="E2262" s="116" t="str">
        <f>IFERROR(__xludf.DUMMYFUNCTION("""COMPUTED_VALUE"""),"")</f>
        <v/>
      </c>
      <c r="F2262" s="117" t="s">
        <v>39</v>
      </c>
      <c r="G2262" s="116"/>
      <c r="H2262" s="117"/>
      <c r="I2262" s="117"/>
      <c r="J2262" s="117"/>
      <c r="K2262" s="117"/>
      <c r="L2262" s="116"/>
      <c r="M2262" s="117"/>
      <c r="N2262" s="118" t="str">
        <f>IFERROR(__xludf.DUMMYFUNCTION("""COMPUTED_VALUE"""),"")</f>
        <v/>
      </c>
      <c r="O2262" s="116"/>
      <c r="P2262" s="116"/>
      <c r="Q2262" s="116"/>
      <c r="R2262" s="116" t="s">
        <v>39</v>
      </c>
      <c r="S2262" s="116" t="s">
        <v>39</v>
      </c>
      <c r="T2262" s="104"/>
      <c r="U2262" s="116"/>
      <c r="V2262" s="104"/>
      <c r="W2262" s="116"/>
    </row>
    <row r="2263">
      <c r="A2263" s="114" t="s">
        <v>39</v>
      </c>
      <c r="B2263" s="115"/>
      <c r="C2263" s="116"/>
      <c r="D2263" s="116"/>
      <c r="E2263" s="116" t="str">
        <f>IFERROR(__xludf.DUMMYFUNCTION("""COMPUTED_VALUE"""),"")</f>
        <v/>
      </c>
      <c r="F2263" s="117" t="s">
        <v>39</v>
      </c>
      <c r="G2263" s="116"/>
      <c r="H2263" s="117"/>
      <c r="I2263" s="117"/>
      <c r="J2263" s="117"/>
      <c r="K2263" s="117"/>
      <c r="L2263" s="116"/>
      <c r="M2263" s="117"/>
      <c r="N2263" s="118" t="str">
        <f>IFERROR(__xludf.DUMMYFUNCTION("""COMPUTED_VALUE"""),"")</f>
        <v/>
      </c>
      <c r="O2263" s="116"/>
      <c r="P2263" s="116"/>
      <c r="Q2263" s="116"/>
      <c r="R2263" s="116" t="s">
        <v>39</v>
      </c>
      <c r="S2263" s="116" t="s">
        <v>39</v>
      </c>
      <c r="T2263" s="104"/>
      <c r="U2263" s="116"/>
      <c r="V2263" s="104"/>
      <c r="W2263" s="116"/>
    </row>
    <row r="2264">
      <c r="A2264" s="114" t="s">
        <v>39</v>
      </c>
      <c r="B2264" s="115"/>
      <c r="C2264" s="116"/>
      <c r="D2264" s="116"/>
      <c r="E2264" s="116" t="str">
        <f>IFERROR(__xludf.DUMMYFUNCTION("""COMPUTED_VALUE"""),"")</f>
        <v/>
      </c>
      <c r="F2264" s="117" t="s">
        <v>39</v>
      </c>
      <c r="G2264" s="116"/>
      <c r="H2264" s="117"/>
      <c r="I2264" s="117"/>
      <c r="J2264" s="117"/>
      <c r="K2264" s="117"/>
      <c r="L2264" s="116"/>
      <c r="M2264" s="117"/>
      <c r="N2264" s="118" t="str">
        <f>IFERROR(__xludf.DUMMYFUNCTION("""COMPUTED_VALUE"""),"")</f>
        <v/>
      </c>
      <c r="O2264" s="116"/>
      <c r="P2264" s="116"/>
      <c r="Q2264" s="116"/>
      <c r="R2264" s="116" t="s">
        <v>39</v>
      </c>
      <c r="S2264" s="116" t="s">
        <v>39</v>
      </c>
      <c r="T2264" s="104"/>
      <c r="U2264" s="116"/>
      <c r="V2264" s="104"/>
      <c r="W2264" s="116"/>
    </row>
    <row r="2265">
      <c r="A2265" s="114" t="s">
        <v>39</v>
      </c>
      <c r="B2265" s="115"/>
      <c r="C2265" s="116"/>
      <c r="D2265" s="116"/>
      <c r="E2265" s="116" t="str">
        <f>IFERROR(__xludf.DUMMYFUNCTION("""COMPUTED_VALUE"""),"")</f>
        <v/>
      </c>
      <c r="F2265" s="117" t="s">
        <v>39</v>
      </c>
      <c r="G2265" s="116"/>
      <c r="H2265" s="117"/>
      <c r="I2265" s="117"/>
      <c r="J2265" s="117"/>
      <c r="K2265" s="117"/>
      <c r="L2265" s="116"/>
      <c r="M2265" s="117"/>
      <c r="N2265" s="118" t="str">
        <f>IFERROR(__xludf.DUMMYFUNCTION("""COMPUTED_VALUE"""),"")</f>
        <v/>
      </c>
      <c r="O2265" s="116"/>
      <c r="P2265" s="116"/>
      <c r="Q2265" s="116"/>
      <c r="R2265" s="116" t="s">
        <v>39</v>
      </c>
      <c r="S2265" s="116" t="s">
        <v>39</v>
      </c>
      <c r="T2265" s="104"/>
      <c r="U2265" s="116"/>
      <c r="V2265" s="104"/>
      <c r="W2265" s="116"/>
    </row>
    <row r="2266">
      <c r="A2266" s="114" t="s">
        <v>39</v>
      </c>
      <c r="B2266" s="115"/>
      <c r="C2266" s="116"/>
      <c r="D2266" s="116"/>
      <c r="E2266" s="116" t="str">
        <f>IFERROR(__xludf.DUMMYFUNCTION("""COMPUTED_VALUE"""),"")</f>
        <v/>
      </c>
      <c r="F2266" s="117" t="s">
        <v>39</v>
      </c>
      <c r="G2266" s="116"/>
      <c r="H2266" s="117"/>
      <c r="I2266" s="117"/>
      <c r="J2266" s="117"/>
      <c r="K2266" s="117"/>
      <c r="L2266" s="116"/>
      <c r="M2266" s="117"/>
      <c r="N2266" s="118" t="str">
        <f>IFERROR(__xludf.DUMMYFUNCTION("""COMPUTED_VALUE"""),"")</f>
        <v/>
      </c>
      <c r="O2266" s="116"/>
      <c r="P2266" s="116"/>
      <c r="Q2266" s="116"/>
      <c r="R2266" s="116" t="s">
        <v>39</v>
      </c>
      <c r="S2266" s="116" t="s">
        <v>39</v>
      </c>
      <c r="T2266" s="104"/>
      <c r="U2266" s="116"/>
      <c r="V2266" s="104"/>
      <c r="W2266" s="116"/>
    </row>
    <row r="2267">
      <c r="A2267" s="114" t="s">
        <v>39</v>
      </c>
      <c r="B2267" s="115"/>
      <c r="C2267" s="116"/>
      <c r="D2267" s="116"/>
      <c r="E2267" s="116" t="str">
        <f>IFERROR(__xludf.DUMMYFUNCTION("""COMPUTED_VALUE"""),"")</f>
        <v/>
      </c>
      <c r="F2267" s="117" t="s">
        <v>39</v>
      </c>
      <c r="G2267" s="116"/>
      <c r="H2267" s="117"/>
      <c r="I2267" s="117"/>
      <c r="J2267" s="117"/>
      <c r="K2267" s="117"/>
      <c r="L2267" s="116"/>
      <c r="M2267" s="117"/>
      <c r="N2267" s="118" t="str">
        <f>IFERROR(__xludf.DUMMYFUNCTION("""COMPUTED_VALUE"""),"")</f>
        <v/>
      </c>
      <c r="O2267" s="116"/>
      <c r="P2267" s="116"/>
      <c r="Q2267" s="116"/>
      <c r="R2267" s="116" t="s">
        <v>39</v>
      </c>
      <c r="S2267" s="116" t="s">
        <v>39</v>
      </c>
      <c r="T2267" s="104"/>
      <c r="U2267" s="116"/>
      <c r="V2267" s="104"/>
      <c r="W2267" s="116"/>
    </row>
    <row r="2268">
      <c r="A2268" s="114" t="s">
        <v>39</v>
      </c>
      <c r="B2268" s="115"/>
      <c r="C2268" s="116"/>
      <c r="D2268" s="116"/>
      <c r="E2268" s="116" t="str">
        <f>IFERROR(__xludf.DUMMYFUNCTION("""COMPUTED_VALUE"""),"")</f>
        <v/>
      </c>
      <c r="F2268" s="117" t="s">
        <v>39</v>
      </c>
      <c r="G2268" s="116"/>
      <c r="H2268" s="117"/>
      <c r="I2268" s="117"/>
      <c r="J2268" s="117"/>
      <c r="K2268" s="117"/>
      <c r="L2268" s="116"/>
      <c r="M2268" s="117"/>
      <c r="N2268" s="118" t="str">
        <f>IFERROR(__xludf.DUMMYFUNCTION("""COMPUTED_VALUE"""),"")</f>
        <v/>
      </c>
      <c r="O2268" s="116"/>
      <c r="P2268" s="116"/>
      <c r="Q2268" s="116"/>
      <c r="R2268" s="116" t="s">
        <v>39</v>
      </c>
      <c r="S2268" s="116" t="s">
        <v>39</v>
      </c>
      <c r="T2268" s="104"/>
      <c r="U2268" s="116"/>
      <c r="V2268" s="104"/>
      <c r="W2268" s="116"/>
    </row>
    <row r="2269">
      <c r="A2269" s="114" t="s">
        <v>39</v>
      </c>
      <c r="B2269" s="115"/>
      <c r="C2269" s="116"/>
      <c r="D2269" s="116"/>
      <c r="E2269" s="116" t="str">
        <f>IFERROR(__xludf.DUMMYFUNCTION("""COMPUTED_VALUE"""),"")</f>
        <v/>
      </c>
      <c r="F2269" s="117" t="s">
        <v>39</v>
      </c>
      <c r="G2269" s="116"/>
      <c r="H2269" s="117"/>
      <c r="I2269" s="117"/>
      <c r="J2269" s="117"/>
      <c r="K2269" s="117"/>
      <c r="L2269" s="116"/>
      <c r="M2269" s="117"/>
      <c r="N2269" s="118" t="str">
        <f>IFERROR(__xludf.DUMMYFUNCTION("""COMPUTED_VALUE"""),"")</f>
        <v/>
      </c>
      <c r="O2269" s="116"/>
      <c r="P2269" s="116"/>
      <c r="Q2269" s="116"/>
      <c r="R2269" s="116" t="s">
        <v>39</v>
      </c>
      <c r="S2269" s="116" t="s">
        <v>39</v>
      </c>
      <c r="T2269" s="104"/>
      <c r="U2269" s="116"/>
      <c r="V2269" s="104"/>
      <c r="W2269" s="116"/>
    </row>
    <row r="2270">
      <c r="A2270" s="114" t="s">
        <v>39</v>
      </c>
      <c r="B2270" s="115"/>
      <c r="C2270" s="116"/>
      <c r="D2270" s="116"/>
      <c r="E2270" s="116" t="str">
        <f>IFERROR(__xludf.DUMMYFUNCTION("""COMPUTED_VALUE"""),"")</f>
        <v/>
      </c>
      <c r="F2270" s="117" t="s">
        <v>39</v>
      </c>
      <c r="G2270" s="116"/>
      <c r="H2270" s="117"/>
      <c r="I2270" s="117"/>
      <c r="J2270" s="117"/>
      <c r="K2270" s="117"/>
      <c r="L2270" s="116"/>
      <c r="M2270" s="117"/>
      <c r="N2270" s="118" t="str">
        <f>IFERROR(__xludf.DUMMYFUNCTION("""COMPUTED_VALUE"""),"")</f>
        <v/>
      </c>
      <c r="O2270" s="116"/>
      <c r="P2270" s="116"/>
      <c r="Q2270" s="116"/>
      <c r="R2270" s="116" t="s">
        <v>39</v>
      </c>
      <c r="S2270" s="116" t="s">
        <v>39</v>
      </c>
      <c r="T2270" s="104"/>
      <c r="U2270" s="116"/>
      <c r="V2270" s="104"/>
      <c r="W2270" s="116"/>
    </row>
    <row r="2271">
      <c r="A2271" s="114" t="s">
        <v>39</v>
      </c>
      <c r="B2271" s="115"/>
      <c r="C2271" s="116"/>
      <c r="D2271" s="116"/>
      <c r="E2271" s="116" t="str">
        <f>IFERROR(__xludf.DUMMYFUNCTION("""COMPUTED_VALUE"""),"")</f>
        <v/>
      </c>
      <c r="F2271" s="117" t="s">
        <v>39</v>
      </c>
      <c r="G2271" s="116"/>
      <c r="H2271" s="117"/>
      <c r="I2271" s="117"/>
      <c r="J2271" s="117"/>
      <c r="K2271" s="117"/>
      <c r="L2271" s="116"/>
      <c r="M2271" s="117"/>
      <c r="N2271" s="118" t="str">
        <f>IFERROR(__xludf.DUMMYFUNCTION("""COMPUTED_VALUE"""),"")</f>
        <v/>
      </c>
      <c r="O2271" s="116"/>
      <c r="P2271" s="116"/>
      <c r="Q2271" s="116"/>
      <c r="R2271" s="116" t="s">
        <v>39</v>
      </c>
      <c r="S2271" s="116" t="s">
        <v>39</v>
      </c>
      <c r="T2271" s="104"/>
      <c r="U2271" s="116"/>
      <c r="V2271" s="104"/>
      <c r="W2271" s="116"/>
    </row>
    <row r="2272">
      <c r="A2272" s="114" t="s">
        <v>39</v>
      </c>
      <c r="B2272" s="115"/>
      <c r="C2272" s="116"/>
      <c r="D2272" s="116"/>
      <c r="E2272" s="116" t="str">
        <f>IFERROR(__xludf.DUMMYFUNCTION("""COMPUTED_VALUE"""),"")</f>
        <v/>
      </c>
      <c r="F2272" s="117" t="s">
        <v>39</v>
      </c>
      <c r="G2272" s="116"/>
      <c r="H2272" s="117"/>
      <c r="I2272" s="117"/>
      <c r="J2272" s="117"/>
      <c r="K2272" s="117"/>
      <c r="L2272" s="116"/>
      <c r="M2272" s="117"/>
      <c r="N2272" s="118" t="str">
        <f>IFERROR(__xludf.DUMMYFUNCTION("""COMPUTED_VALUE"""),"")</f>
        <v/>
      </c>
      <c r="O2272" s="116"/>
      <c r="P2272" s="116"/>
      <c r="Q2272" s="116"/>
      <c r="R2272" s="116" t="s">
        <v>39</v>
      </c>
      <c r="S2272" s="116" t="s">
        <v>39</v>
      </c>
      <c r="T2272" s="104"/>
      <c r="U2272" s="116"/>
      <c r="V2272" s="104"/>
      <c r="W2272" s="116"/>
    </row>
    <row r="2273">
      <c r="A2273" s="114" t="s">
        <v>39</v>
      </c>
      <c r="B2273" s="115"/>
      <c r="C2273" s="116"/>
      <c r="D2273" s="116"/>
      <c r="E2273" s="116" t="str">
        <f>IFERROR(__xludf.DUMMYFUNCTION("""COMPUTED_VALUE"""),"")</f>
        <v/>
      </c>
      <c r="F2273" s="117" t="s">
        <v>39</v>
      </c>
      <c r="G2273" s="116"/>
      <c r="H2273" s="117"/>
      <c r="I2273" s="117"/>
      <c r="J2273" s="117"/>
      <c r="K2273" s="117"/>
      <c r="L2273" s="116"/>
      <c r="M2273" s="117"/>
      <c r="N2273" s="118" t="str">
        <f>IFERROR(__xludf.DUMMYFUNCTION("""COMPUTED_VALUE"""),"")</f>
        <v/>
      </c>
      <c r="O2273" s="116"/>
      <c r="P2273" s="116"/>
      <c r="Q2273" s="116"/>
      <c r="R2273" s="116" t="s">
        <v>39</v>
      </c>
      <c r="S2273" s="116" t="s">
        <v>39</v>
      </c>
      <c r="T2273" s="104"/>
      <c r="U2273" s="116"/>
      <c r="V2273" s="104"/>
      <c r="W2273" s="116"/>
    </row>
    <row r="2274">
      <c r="A2274" s="114" t="s">
        <v>39</v>
      </c>
      <c r="B2274" s="115"/>
      <c r="C2274" s="116"/>
      <c r="D2274" s="116"/>
      <c r="E2274" s="116" t="str">
        <f>IFERROR(__xludf.DUMMYFUNCTION("""COMPUTED_VALUE"""),"")</f>
        <v/>
      </c>
      <c r="F2274" s="117" t="s">
        <v>39</v>
      </c>
      <c r="G2274" s="116"/>
      <c r="H2274" s="117"/>
      <c r="I2274" s="117"/>
      <c r="J2274" s="117"/>
      <c r="K2274" s="117"/>
      <c r="L2274" s="116"/>
      <c r="M2274" s="117"/>
      <c r="N2274" s="118" t="str">
        <f>IFERROR(__xludf.DUMMYFUNCTION("""COMPUTED_VALUE"""),"")</f>
        <v/>
      </c>
      <c r="O2274" s="116"/>
      <c r="P2274" s="116"/>
      <c r="Q2274" s="116"/>
      <c r="R2274" s="116" t="s">
        <v>39</v>
      </c>
      <c r="S2274" s="116" t="s">
        <v>39</v>
      </c>
      <c r="T2274" s="104"/>
      <c r="U2274" s="116"/>
      <c r="V2274" s="104"/>
      <c r="W2274" s="116"/>
    </row>
    <row r="2275">
      <c r="A2275" s="114" t="s">
        <v>39</v>
      </c>
      <c r="B2275" s="115"/>
      <c r="C2275" s="116"/>
      <c r="D2275" s="116"/>
      <c r="E2275" s="116" t="str">
        <f>IFERROR(__xludf.DUMMYFUNCTION("""COMPUTED_VALUE"""),"")</f>
        <v/>
      </c>
      <c r="F2275" s="117" t="s">
        <v>39</v>
      </c>
      <c r="G2275" s="116"/>
      <c r="H2275" s="117"/>
      <c r="I2275" s="117"/>
      <c r="J2275" s="117"/>
      <c r="K2275" s="117"/>
      <c r="L2275" s="116"/>
      <c r="M2275" s="117"/>
      <c r="N2275" s="118" t="str">
        <f>IFERROR(__xludf.DUMMYFUNCTION("""COMPUTED_VALUE"""),"")</f>
        <v/>
      </c>
      <c r="O2275" s="116"/>
      <c r="P2275" s="116"/>
      <c r="Q2275" s="116"/>
      <c r="R2275" s="116" t="s">
        <v>39</v>
      </c>
      <c r="S2275" s="116" t="s">
        <v>39</v>
      </c>
      <c r="T2275" s="104"/>
      <c r="U2275" s="116"/>
      <c r="V2275" s="104"/>
      <c r="W2275" s="116"/>
    </row>
    <row r="2276">
      <c r="A2276" s="114" t="s">
        <v>39</v>
      </c>
      <c r="B2276" s="115"/>
      <c r="C2276" s="116"/>
      <c r="D2276" s="116"/>
      <c r="E2276" s="116" t="str">
        <f>IFERROR(__xludf.DUMMYFUNCTION("""COMPUTED_VALUE"""),"")</f>
        <v/>
      </c>
      <c r="F2276" s="117" t="s">
        <v>39</v>
      </c>
      <c r="G2276" s="116"/>
      <c r="H2276" s="117"/>
      <c r="I2276" s="117"/>
      <c r="J2276" s="117"/>
      <c r="K2276" s="117"/>
      <c r="L2276" s="116"/>
      <c r="M2276" s="117"/>
      <c r="N2276" s="118" t="str">
        <f>IFERROR(__xludf.DUMMYFUNCTION("""COMPUTED_VALUE"""),"")</f>
        <v/>
      </c>
      <c r="O2276" s="116"/>
      <c r="P2276" s="116"/>
      <c r="Q2276" s="116"/>
      <c r="R2276" s="116" t="s">
        <v>39</v>
      </c>
      <c r="S2276" s="116" t="s">
        <v>39</v>
      </c>
      <c r="T2276" s="104"/>
      <c r="U2276" s="116"/>
      <c r="V2276" s="104"/>
      <c r="W2276" s="116"/>
    </row>
    <row r="2277">
      <c r="A2277" s="114" t="s">
        <v>39</v>
      </c>
      <c r="B2277" s="115"/>
      <c r="C2277" s="116"/>
      <c r="D2277" s="116"/>
      <c r="E2277" s="116" t="str">
        <f>IFERROR(__xludf.DUMMYFUNCTION("""COMPUTED_VALUE"""),"")</f>
        <v/>
      </c>
      <c r="F2277" s="117" t="s">
        <v>39</v>
      </c>
      <c r="G2277" s="116"/>
      <c r="H2277" s="117"/>
      <c r="I2277" s="117"/>
      <c r="J2277" s="117"/>
      <c r="K2277" s="117"/>
      <c r="L2277" s="116"/>
      <c r="M2277" s="117"/>
      <c r="N2277" s="118" t="str">
        <f>IFERROR(__xludf.DUMMYFUNCTION("""COMPUTED_VALUE"""),"")</f>
        <v/>
      </c>
      <c r="O2277" s="116"/>
      <c r="P2277" s="116"/>
      <c r="Q2277" s="116"/>
      <c r="R2277" s="116" t="s">
        <v>39</v>
      </c>
      <c r="S2277" s="116" t="s">
        <v>39</v>
      </c>
      <c r="T2277" s="104"/>
      <c r="U2277" s="116"/>
      <c r="V2277" s="104"/>
      <c r="W2277" s="116"/>
    </row>
    <row r="2278">
      <c r="A2278" s="114" t="s">
        <v>39</v>
      </c>
      <c r="B2278" s="115"/>
      <c r="C2278" s="116"/>
      <c r="D2278" s="116"/>
      <c r="E2278" s="116" t="str">
        <f>IFERROR(__xludf.DUMMYFUNCTION("""COMPUTED_VALUE"""),"")</f>
        <v/>
      </c>
      <c r="F2278" s="117" t="s">
        <v>39</v>
      </c>
      <c r="G2278" s="116"/>
      <c r="H2278" s="117"/>
      <c r="I2278" s="117"/>
      <c r="J2278" s="117"/>
      <c r="K2278" s="117"/>
      <c r="L2278" s="116"/>
      <c r="M2278" s="117"/>
      <c r="N2278" s="118" t="str">
        <f>IFERROR(__xludf.DUMMYFUNCTION("""COMPUTED_VALUE"""),"")</f>
        <v/>
      </c>
      <c r="O2278" s="116"/>
      <c r="P2278" s="116"/>
      <c r="Q2278" s="116"/>
      <c r="R2278" s="116" t="s">
        <v>39</v>
      </c>
      <c r="S2278" s="116" t="s">
        <v>39</v>
      </c>
      <c r="T2278" s="104"/>
      <c r="U2278" s="116"/>
      <c r="V2278" s="104"/>
      <c r="W2278" s="116"/>
    </row>
    <row r="2279">
      <c r="A2279" s="114" t="s">
        <v>39</v>
      </c>
      <c r="B2279" s="115"/>
      <c r="C2279" s="116"/>
      <c r="D2279" s="116"/>
      <c r="E2279" s="116" t="str">
        <f>IFERROR(__xludf.DUMMYFUNCTION("""COMPUTED_VALUE"""),"")</f>
        <v/>
      </c>
      <c r="F2279" s="117" t="s">
        <v>39</v>
      </c>
      <c r="G2279" s="116"/>
      <c r="H2279" s="117"/>
      <c r="I2279" s="117"/>
      <c r="J2279" s="117"/>
      <c r="K2279" s="117"/>
      <c r="L2279" s="116"/>
      <c r="M2279" s="117"/>
      <c r="N2279" s="118" t="str">
        <f>IFERROR(__xludf.DUMMYFUNCTION("""COMPUTED_VALUE"""),"")</f>
        <v/>
      </c>
      <c r="O2279" s="116"/>
      <c r="P2279" s="116"/>
      <c r="Q2279" s="116"/>
      <c r="R2279" s="116" t="s">
        <v>39</v>
      </c>
      <c r="S2279" s="116" t="s">
        <v>39</v>
      </c>
      <c r="T2279" s="104"/>
      <c r="U2279" s="116"/>
      <c r="V2279" s="104"/>
      <c r="W2279" s="116"/>
    </row>
    <row r="2280">
      <c r="A2280" s="114" t="s">
        <v>39</v>
      </c>
      <c r="B2280" s="115"/>
      <c r="C2280" s="116"/>
      <c r="D2280" s="116"/>
      <c r="E2280" s="116" t="str">
        <f>IFERROR(__xludf.DUMMYFUNCTION("""COMPUTED_VALUE"""),"")</f>
        <v/>
      </c>
      <c r="F2280" s="117" t="s">
        <v>39</v>
      </c>
      <c r="G2280" s="116"/>
      <c r="H2280" s="117"/>
      <c r="I2280" s="117"/>
      <c r="J2280" s="117"/>
      <c r="K2280" s="117"/>
      <c r="L2280" s="116"/>
      <c r="M2280" s="117"/>
      <c r="N2280" s="118" t="str">
        <f>IFERROR(__xludf.DUMMYFUNCTION("""COMPUTED_VALUE"""),"")</f>
        <v/>
      </c>
      <c r="O2280" s="116"/>
      <c r="P2280" s="116"/>
      <c r="Q2280" s="116"/>
      <c r="R2280" s="116" t="s">
        <v>39</v>
      </c>
      <c r="S2280" s="116" t="s">
        <v>39</v>
      </c>
      <c r="T2280" s="104"/>
      <c r="U2280" s="116"/>
      <c r="V2280" s="104"/>
      <c r="W2280" s="116"/>
    </row>
    <row r="2281">
      <c r="A2281" s="114" t="s">
        <v>39</v>
      </c>
      <c r="B2281" s="115"/>
      <c r="C2281" s="116"/>
      <c r="D2281" s="116"/>
      <c r="E2281" s="116" t="str">
        <f>IFERROR(__xludf.DUMMYFUNCTION("""COMPUTED_VALUE"""),"")</f>
        <v/>
      </c>
      <c r="F2281" s="117" t="s">
        <v>39</v>
      </c>
      <c r="G2281" s="116"/>
      <c r="H2281" s="117"/>
      <c r="I2281" s="117"/>
      <c r="J2281" s="117"/>
      <c r="K2281" s="117"/>
      <c r="L2281" s="116"/>
      <c r="M2281" s="117"/>
      <c r="N2281" s="118" t="str">
        <f>IFERROR(__xludf.DUMMYFUNCTION("""COMPUTED_VALUE"""),"")</f>
        <v/>
      </c>
      <c r="O2281" s="116"/>
      <c r="P2281" s="116"/>
      <c r="Q2281" s="116"/>
      <c r="R2281" s="116" t="s">
        <v>39</v>
      </c>
      <c r="S2281" s="116" t="s">
        <v>39</v>
      </c>
      <c r="T2281" s="104"/>
      <c r="U2281" s="116"/>
      <c r="V2281" s="104"/>
      <c r="W2281" s="116"/>
    </row>
    <row r="2282">
      <c r="A2282" s="114" t="s">
        <v>39</v>
      </c>
      <c r="B2282" s="115"/>
      <c r="C2282" s="116"/>
      <c r="D2282" s="116"/>
      <c r="E2282" s="116" t="str">
        <f>IFERROR(__xludf.DUMMYFUNCTION("""COMPUTED_VALUE"""),"")</f>
        <v/>
      </c>
      <c r="F2282" s="117" t="s">
        <v>39</v>
      </c>
      <c r="G2282" s="116"/>
      <c r="H2282" s="117"/>
      <c r="I2282" s="117"/>
      <c r="J2282" s="117"/>
      <c r="K2282" s="117"/>
      <c r="L2282" s="116"/>
      <c r="M2282" s="117"/>
      <c r="N2282" s="118" t="str">
        <f>IFERROR(__xludf.DUMMYFUNCTION("""COMPUTED_VALUE"""),"")</f>
        <v/>
      </c>
      <c r="O2282" s="116"/>
      <c r="P2282" s="116"/>
      <c r="Q2282" s="116"/>
      <c r="R2282" s="116" t="s">
        <v>39</v>
      </c>
      <c r="S2282" s="116" t="s">
        <v>39</v>
      </c>
      <c r="T2282" s="104"/>
      <c r="U2282" s="116"/>
      <c r="V2282" s="104"/>
      <c r="W2282" s="116"/>
    </row>
    <row r="2283">
      <c r="A2283" s="114" t="s">
        <v>39</v>
      </c>
      <c r="B2283" s="115"/>
      <c r="C2283" s="116"/>
      <c r="D2283" s="116"/>
      <c r="E2283" s="116" t="str">
        <f>IFERROR(__xludf.DUMMYFUNCTION("""COMPUTED_VALUE"""),"")</f>
        <v/>
      </c>
      <c r="F2283" s="117" t="s">
        <v>39</v>
      </c>
      <c r="G2283" s="116"/>
      <c r="H2283" s="117"/>
      <c r="I2283" s="117"/>
      <c r="J2283" s="117"/>
      <c r="K2283" s="117"/>
      <c r="L2283" s="116"/>
      <c r="M2283" s="117"/>
      <c r="N2283" s="118" t="str">
        <f>IFERROR(__xludf.DUMMYFUNCTION("""COMPUTED_VALUE"""),"")</f>
        <v/>
      </c>
      <c r="O2283" s="116"/>
      <c r="P2283" s="116"/>
      <c r="Q2283" s="116"/>
      <c r="R2283" s="116" t="s">
        <v>39</v>
      </c>
      <c r="S2283" s="116" t="s">
        <v>39</v>
      </c>
      <c r="T2283" s="104"/>
      <c r="U2283" s="116"/>
      <c r="V2283" s="104"/>
      <c r="W2283" s="116"/>
    </row>
    <row r="2284">
      <c r="A2284" s="114" t="s">
        <v>39</v>
      </c>
      <c r="B2284" s="115"/>
      <c r="C2284" s="116"/>
      <c r="D2284" s="116"/>
      <c r="E2284" s="116" t="str">
        <f>IFERROR(__xludf.DUMMYFUNCTION("""COMPUTED_VALUE"""),"")</f>
        <v/>
      </c>
      <c r="F2284" s="117" t="s">
        <v>39</v>
      </c>
      <c r="G2284" s="116"/>
      <c r="H2284" s="117"/>
      <c r="I2284" s="117"/>
      <c r="J2284" s="117"/>
      <c r="K2284" s="117"/>
      <c r="L2284" s="116"/>
      <c r="M2284" s="117"/>
      <c r="N2284" s="118" t="str">
        <f>IFERROR(__xludf.DUMMYFUNCTION("""COMPUTED_VALUE"""),"")</f>
        <v/>
      </c>
      <c r="O2284" s="116"/>
      <c r="P2284" s="116"/>
      <c r="Q2284" s="116"/>
      <c r="R2284" s="116" t="s">
        <v>39</v>
      </c>
      <c r="S2284" s="116" t="s">
        <v>39</v>
      </c>
      <c r="T2284" s="104"/>
      <c r="U2284" s="116"/>
      <c r="V2284" s="104"/>
      <c r="W2284" s="116"/>
    </row>
    <row r="2285">
      <c r="A2285" s="114" t="s">
        <v>39</v>
      </c>
      <c r="B2285" s="115"/>
      <c r="C2285" s="116"/>
      <c r="D2285" s="116"/>
      <c r="E2285" s="116" t="str">
        <f>IFERROR(__xludf.DUMMYFUNCTION("""COMPUTED_VALUE"""),"")</f>
        <v/>
      </c>
      <c r="F2285" s="117" t="s">
        <v>39</v>
      </c>
      <c r="G2285" s="116"/>
      <c r="H2285" s="117"/>
      <c r="I2285" s="117"/>
      <c r="J2285" s="117"/>
      <c r="K2285" s="117"/>
      <c r="L2285" s="116"/>
      <c r="M2285" s="117"/>
      <c r="N2285" s="118" t="str">
        <f>IFERROR(__xludf.DUMMYFUNCTION("""COMPUTED_VALUE"""),"")</f>
        <v/>
      </c>
      <c r="O2285" s="116"/>
      <c r="P2285" s="116"/>
      <c r="Q2285" s="116"/>
      <c r="R2285" s="116" t="s">
        <v>39</v>
      </c>
      <c r="S2285" s="116" t="s">
        <v>39</v>
      </c>
      <c r="T2285" s="104"/>
      <c r="U2285" s="116"/>
      <c r="V2285" s="104"/>
      <c r="W2285" s="116"/>
    </row>
    <row r="2286">
      <c r="A2286" s="114" t="s">
        <v>39</v>
      </c>
      <c r="B2286" s="115"/>
      <c r="C2286" s="116"/>
      <c r="D2286" s="116"/>
      <c r="E2286" s="116" t="str">
        <f>IFERROR(__xludf.DUMMYFUNCTION("""COMPUTED_VALUE"""),"")</f>
        <v/>
      </c>
      <c r="F2286" s="117" t="s">
        <v>39</v>
      </c>
      <c r="G2286" s="116"/>
      <c r="H2286" s="117"/>
      <c r="I2286" s="117"/>
      <c r="J2286" s="117"/>
      <c r="K2286" s="117"/>
      <c r="L2286" s="116"/>
      <c r="M2286" s="117"/>
      <c r="N2286" s="118" t="str">
        <f>IFERROR(__xludf.DUMMYFUNCTION("""COMPUTED_VALUE"""),"")</f>
        <v/>
      </c>
      <c r="O2286" s="116"/>
      <c r="P2286" s="116"/>
      <c r="Q2286" s="116"/>
      <c r="R2286" s="116" t="s">
        <v>39</v>
      </c>
      <c r="S2286" s="116" t="s">
        <v>39</v>
      </c>
      <c r="T2286" s="104"/>
      <c r="U2286" s="116"/>
      <c r="V2286" s="104"/>
      <c r="W2286" s="116"/>
    </row>
    <row r="2287">
      <c r="A2287" s="114" t="s">
        <v>39</v>
      </c>
      <c r="B2287" s="115"/>
      <c r="C2287" s="116"/>
      <c r="D2287" s="116"/>
      <c r="E2287" s="116" t="str">
        <f>IFERROR(__xludf.DUMMYFUNCTION("""COMPUTED_VALUE"""),"")</f>
        <v/>
      </c>
      <c r="F2287" s="117" t="s">
        <v>39</v>
      </c>
      <c r="G2287" s="116"/>
      <c r="H2287" s="117"/>
      <c r="I2287" s="117"/>
      <c r="J2287" s="117"/>
      <c r="K2287" s="117"/>
      <c r="L2287" s="116"/>
      <c r="M2287" s="117"/>
      <c r="N2287" s="118" t="str">
        <f>IFERROR(__xludf.DUMMYFUNCTION("""COMPUTED_VALUE"""),"")</f>
        <v/>
      </c>
      <c r="O2287" s="116"/>
      <c r="P2287" s="116"/>
      <c r="Q2287" s="116"/>
      <c r="R2287" s="116" t="s">
        <v>39</v>
      </c>
      <c r="S2287" s="116" t="s">
        <v>39</v>
      </c>
      <c r="T2287" s="104"/>
      <c r="U2287" s="116"/>
      <c r="V2287" s="104"/>
      <c r="W2287" s="116"/>
    </row>
    <row r="2288">
      <c r="A2288" s="114" t="s">
        <v>39</v>
      </c>
      <c r="B2288" s="115"/>
      <c r="C2288" s="116"/>
      <c r="D2288" s="116"/>
      <c r="E2288" s="116" t="str">
        <f>IFERROR(__xludf.DUMMYFUNCTION("""COMPUTED_VALUE"""),"")</f>
        <v/>
      </c>
      <c r="F2288" s="117" t="s">
        <v>39</v>
      </c>
      <c r="G2288" s="116"/>
      <c r="H2288" s="117"/>
      <c r="I2288" s="117"/>
      <c r="J2288" s="117"/>
      <c r="K2288" s="117"/>
      <c r="L2288" s="116"/>
      <c r="M2288" s="117"/>
      <c r="N2288" s="118" t="str">
        <f>IFERROR(__xludf.DUMMYFUNCTION("""COMPUTED_VALUE"""),"")</f>
        <v/>
      </c>
      <c r="O2288" s="116"/>
      <c r="P2288" s="116"/>
      <c r="Q2288" s="116"/>
      <c r="R2288" s="116" t="s">
        <v>39</v>
      </c>
      <c r="S2288" s="116" t="s">
        <v>39</v>
      </c>
      <c r="T2288" s="104"/>
      <c r="U2288" s="116"/>
      <c r="V2288" s="104"/>
      <c r="W2288" s="116"/>
    </row>
    <row r="2289">
      <c r="A2289" s="114" t="s">
        <v>39</v>
      </c>
      <c r="B2289" s="115"/>
      <c r="C2289" s="116"/>
      <c r="D2289" s="116"/>
      <c r="E2289" s="116" t="str">
        <f>IFERROR(__xludf.DUMMYFUNCTION("""COMPUTED_VALUE"""),"")</f>
        <v/>
      </c>
      <c r="F2289" s="117" t="s">
        <v>39</v>
      </c>
      <c r="G2289" s="116"/>
      <c r="H2289" s="117"/>
      <c r="I2289" s="117"/>
      <c r="J2289" s="117"/>
      <c r="K2289" s="117"/>
      <c r="L2289" s="116"/>
      <c r="M2289" s="117"/>
      <c r="N2289" s="118" t="str">
        <f>IFERROR(__xludf.DUMMYFUNCTION("""COMPUTED_VALUE"""),"")</f>
        <v/>
      </c>
      <c r="O2289" s="116"/>
      <c r="P2289" s="116"/>
      <c r="Q2289" s="116"/>
      <c r="R2289" s="116" t="s">
        <v>39</v>
      </c>
      <c r="S2289" s="116" t="s">
        <v>39</v>
      </c>
      <c r="T2289" s="104"/>
      <c r="U2289" s="116"/>
      <c r="V2289" s="104"/>
      <c r="W2289" s="116"/>
    </row>
    <row r="2290">
      <c r="A2290" s="114" t="s">
        <v>39</v>
      </c>
      <c r="B2290" s="115"/>
      <c r="C2290" s="116"/>
      <c r="D2290" s="116"/>
      <c r="E2290" s="116" t="str">
        <f>IFERROR(__xludf.DUMMYFUNCTION("""COMPUTED_VALUE"""),"")</f>
        <v/>
      </c>
      <c r="F2290" s="117" t="s">
        <v>39</v>
      </c>
      <c r="G2290" s="116"/>
      <c r="H2290" s="117"/>
      <c r="I2290" s="117"/>
      <c r="J2290" s="117"/>
      <c r="K2290" s="117"/>
      <c r="L2290" s="116"/>
      <c r="M2290" s="117"/>
      <c r="N2290" s="118" t="str">
        <f>IFERROR(__xludf.DUMMYFUNCTION("""COMPUTED_VALUE"""),"")</f>
        <v/>
      </c>
      <c r="O2290" s="116"/>
      <c r="P2290" s="116"/>
      <c r="Q2290" s="116"/>
      <c r="R2290" s="116" t="s">
        <v>39</v>
      </c>
      <c r="S2290" s="116" t="s">
        <v>39</v>
      </c>
      <c r="T2290" s="104"/>
      <c r="U2290" s="116"/>
      <c r="V2290" s="104"/>
      <c r="W2290" s="116"/>
    </row>
    <row r="2291">
      <c r="A2291" s="114" t="s">
        <v>39</v>
      </c>
      <c r="B2291" s="115"/>
      <c r="C2291" s="116"/>
      <c r="D2291" s="116"/>
      <c r="E2291" s="116" t="str">
        <f>IFERROR(__xludf.DUMMYFUNCTION("""COMPUTED_VALUE"""),"")</f>
        <v/>
      </c>
      <c r="F2291" s="117" t="s">
        <v>39</v>
      </c>
      <c r="G2291" s="116"/>
      <c r="H2291" s="117"/>
      <c r="I2291" s="117"/>
      <c r="J2291" s="117"/>
      <c r="K2291" s="117"/>
      <c r="L2291" s="116"/>
      <c r="M2291" s="117"/>
      <c r="N2291" s="118" t="str">
        <f>IFERROR(__xludf.DUMMYFUNCTION("""COMPUTED_VALUE"""),"")</f>
        <v/>
      </c>
      <c r="O2291" s="116"/>
      <c r="P2291" s="116"/>
      <c r="Q2291" s="116"/>
      <c r="R2291" s="116" t="s">
        <v>39</v>
      </c>
      <c r="S2291" s="116" t="s">
        <v>39</v>
      </c>
      <c r="T2291" s="104"/>
      <c r="U2291" s="116"/>
      <c r="V2291" s="104"/>
      <c r="W2291" s="116"/>
    </row>
    <row r="2292">
      <c r="A2292" s="114" t="s">
        <v>39</v>
      </c>
      <c r="B2292" s="115"/>
      <c r="C2292" s="116"/>
      <c r="D2292" s="116"/>
      <c r="E2292" s="116" t="str">
        <f>IFERROR(__xludf.DUMMYFUNCTION("""COMPUTED_VALUE"""),"")</f>
        <v/>
      </c>
      <c r="F2292" s="117" t="s">
        <v>39</v>
      </c>
      <c r="G2292" s="116"/>
      <c r="H2292" s="117"/>
      <c r="I2292" s="117"/>
      <c r="J2292" s="117"/>
      <c r="K2292" s="117"/>
      <c r="L2292" s="116"/>
      <c r="M2292" s="117"/>
      <c r="N2292" s="118" t="str">
        <f>IFERROR(__xludf.DUMMYFUNCTION("""COMPUTED_VALUE"""),"")</f>
        <v/>
      </c>
      <c r="O2292" s="116"/>
      <c r="P2292" s="116"/>
      <c r="Q2292" s="116"/>
      <c r="R2292" s="116" t="s">
        <v>39</v>
      </c>
      <c r="S2292" s="116" t="s">
        <v>39</v>
      </c>
      <c r="T2292" s="104"/>
      <c r="U2292" s="116"/>
      <c r="V2292" s="104"/>
      <c r="W2292" s="116"/>
    </row>
    <row r="2293">
      <c r="A2293" s="114" t="s">
        <v>39</v>
      </c>
      <c r="B2293" s="115"/>
      <c r="C2293" s="116"/>
      <c r="D2293" s="116"/>
      <c r="E2293" s="116" t="str">
        <f>IFERROR(__xludf.DUMMYFUNCTION("""COMPUTED_VALUE"""),"")</f>
        <v/>
      </c>
      <c r="F2293" s="117" t="s">
        <v>39</v>
      </c>
      <c r="G2293" s="116"/>
      <c r="H2293" s="117"/>
      <c r="I2293" s="117"/>
      <c r="J2293" s="117"/>
      <c r="K2293" s="117"/>
      <c r="L2293" s="116"/>
      <c r="M2293" s="117"/>
      <c r="N2293" s="118" t="str">
        <f>IFERROR(__xludf.DUMMYFUNCTION("""COMPUTED_VALUE"""),"")</f>
        <v/>
      </c>
      <c r="O2293" s="116"/>
      <c r="P2293" s="116"/>
      <c r="Q2293" s="116"/>
      <c r="R2293" s="116" t="s">
        <v>39</v>
      </c>
      <c r="S2293" s="116" t="s">
        <v>39</v>
      </c>
      <c r="T2293" s="104"/>
      <c r="U2293" s="116"/>
      <c r="V2293" s="104"/>
      <c r="W2293" s="116"/>
    </row>
    <row r="2294">
      <c r="A2294" s="114" t="s">
        <v>39</v>
      </c>
      <c r="B2294" s="115"/>
      <c r="C2294" s="116"/>
      <c r="D2294" s="116"/>
      <c r="E2294" s="116" t="str">
        <f>IFERROR(__xludf.DUMMYFUNCTION("""COMPUTED_VALUE"""),"")</f>
        <v/>
      </c>
      <c r="F2294" s="117" t="s">
        <v>39</v>
      </c>
      <c r="G2294" s="116"/>
      <c r="H2294" s="117"/>
      <c r="I2294" s="117"/>
      <c r="J2294" s="117"/>
      <c r="K2294" s="117"/>
      <c r="L2294" s="116"/>
      <c r="M2294" s="117"/>
      <c r="N2294" s="118" t="str">
        <f>IFERROR(__xludf.DUMMYFUNCTION("""COMPUTED_VALUE"""),"")</f>
        <v/>
      </c>
      <c r="O2294" s="116"/>
      <c r="P2294" s="116"/>
      <c r="Q2294" s="116"/>
      <c r="R2294" s="116" t="s">
        <v>39</v>
      </c>
      <c r="S2294" s="116" t="s">
        <v>39</v>
      </c>
      <c r="T2294" s="104"/>
      <c r="U2294" s="116"/>
      <c r="V2294" s="104"/>
      <c r="W2294" s="116"/>
    </row>
    <row r="2295">
      <c r="A2295" s="114" t="s">
        <v>39</v>
      </c>
      <c r="B2295" s="115"/>
      <c r="C2295" s="116"/>
      <c r="D2295" s="116"/>
      <c r="E2295" s="116" t="str">
        <f>IFERROR(__xludf.DUMMYFUNCTION("""COMPUTED_VALUE"""),"")</f>
        <v/>
      </c>
      <c r="F2295" s="117" t="s">
        <v>39</v>
      </c>
      <c r="G2295" s="116"/>
      <c r="H2295" s="117"/>
      <c r="I2295" s="117"/>
      <c r="J2295" s="117"/>
      <c r="K2295" s="117"/>
      <c r="L2295" s="116"/>
      <c r="M2295" s="117"/>
      <c r="N2295" s="118" t="str">
        <f>IFERROR(__xludf.DUMMYFUNCTION("""COMPUTED_VALUE"""),"")</f>
        <v/>
      </c>
      <c r="O2295" s="116"/>
      <c r="P2295" s="116"/>
      <c r="Q2295" s="116"/>
      <c r="R2295" s="116" t="s">
        <v>39</v>
      </c>
      <c r="S2295" s="116" t="s">
        <v>39</v>
      </c>
      <c r="T2295" s="104"/>
      <c r="U2295" s="116"/>
      <c r="V2295" s="104"/>
      <c r="W2295" s="116"/>
    </row>
    <row r="2296">
      <c r="A2296" s="114" t="s">
        <v>39</v>
      </c>
      <c r="B2296" s="115"/>
      <c r="C2296" s="116"/>
      <c r="D2296" s="116"/>
      <c r="E2296" s="116" t="str">
        <f>IFERROR(__xludf.DUMMYFUNCTION("""COMPUTED_VALUE"""),"")</f>
        <v/>
      </c>
      <c r="F2296" s="117" t="s">
        <v>39</v>
      </c>
      <c r="G2296" s="116"/>
      <c r="H2296" s="117"/>
      <c r="I2296" s="117"/>
      <c r="J2296" s="117"/>
      <c r="K2296" s="117"/>
      <c r="L2296" s="116"/>
      <c r="M2296" s="117"/>
      <c r="N2296" s="118" t="str">
        <f>IFERROR(__xludf.DUMMYFUNCTION("""COMPUTED_VALUE"""),"")</f>
        <v/>
      </c>
      <c r="O2296" s="116"/>
      <c r="P2296" s="116"/>
      <c r="Q2296" s="116"/>
      <c r="R2296" s="116" t="s">
        <v>39</v>
      </c>
      <c r="S2296" s="116" t="s">
        <v>39</v>
      </c>
      <c r="T2296" s="104"/>
      <c r="U2296" s="116"/>
      <c r="V2296" s="104"/>
      <c r="W2296" s="116"/>
    </row>
    <row r="2297">
      <c r="A2297" s="114" t="s">
        <v>39</v>
      </c>
      <c r="B2297" s="115"/>
      <c r="C2297" s="116"/>
      <c r="D2297" s="116"/>
      <c r="E2297" s="116" t="str">
        <f>IFERROR(__xludf.DUMMYFUNCTION("""COMPUTED_VALUE"""),"")</f>
        <v/>
      </c>
      <c r="F2297" s="117" t="s">
        <v>39</v>
      </c>
      <c r="G2297" s="116"/>
      <c r="H2297" s="117"/>
      <c r="I2297" s="117"/>
      <c r="J2297" s="117"/>
      <c r="K2297" s="117"/>
      <c r="L2297" s="116"/>
      <c r="M2297" s="117"/>
      <c r="N2297" s="118" t="str">
        <f>IFERROR(__xludf.DUMMYFUNCTION("""COMPUTED_VALUE"""),"")</f>
        <v/>
      </c>
      <c r="O2297" s="116"/>
      <c r="P2297" s="116"/>
      <c r="Q2297" s="116"/>
      <c r="R2297" s="116" t="s">
        <v>39</v>
      </c>
      <c r="S2297" s="116" t="s">
        <v>39</v>
      </c>
      <c r="T2297" s="104"/>
      <c r="U2297" s="116"/>
      <c r="V2297" s="104"/>
      <c r="W2297" s="116"/>
    </row>
    <row r="2298">
      <c r="A2298" s="114" t="s">
        <v>39</v>
      </c>
      <c r="B2298" s="115"/>
      <c r="C2298" s="116"/>
      <c r="D2298" s="116"/>
      <c r="E2298" s="116" t="str">
        <f>IFERROR(__xludf.DUMMYFUNCTION("""COMPUTED_VALUE"""),"")</f>
        <v/>
      </c>
      <c r="F2298" s="117" t="s">
        <v>39</v>
      </c>
      <c r="G2298" s="116"/>
      <c r="H2298" s="117"/>
      <c r="I2298" s="117"/>
      <c r="J2298" s="117"/>
      <c r="K2298" s="117"/>
      <c r="L2298" s="116"/>
      <c r="M2298" s="117"/>
      <c r="N2298" s="118" t="str">
        <f>IFERROR(__xludf.DUMMYFUNCTION("""COMPUTED_VALUE"""),"")</f>
        <v/>
      </c>
      <c r="O2298" s="116"/>
      <c r="P2298" s="116"/>
      <c r="Q2298" s="116"/>
      <c r="R2298" s="116" t="s">
        <v>39</v>
      </c>
      <c r="S2298" s="116" t="s">
        <v>39</v>
      </c>
      <c r="T2298" s="104"/>
      <c r="U2298" s="116"/>
      <c r="V2298" s="104"/>
      <c r="W2298" s="116"/>
    </row>
    <row r="2299">
      <c r="A2299" s="114" t="s">
        <v>39</v>
      </c>
      <c r="B2299" s="115"/>
      <c r="C2299" s="116"/>
      <c r="D2299" s="116"/>
      <c r="E2299" s="116" t="str">
        <f>IFERROR(__xludf.DUMMYFUNCTION("""COMPUTED_VALUE"""),"")</f>
        <v/>
      </c>
      <c r="F2299" s="117" t="s">
        <v>39</v>
      </c>
      <c r="G2299" s="116"/>
      <c r="H2299" s="117"/>
      <c r="I2299" s="117"/>
      <c r="J2299" s="117"/>
      <c r="K2299" s="117"/>
      <c r="L2299" s="116"/>
      <c r="M2299" s="117"/>
      <c r="N2299" s="118" t="str">
        <f>IFERROR(__xludf.DUMMYFUNCTION("""COMPUTED_VALUE"""),"")</f>
        <v/>
      </c>
      <c r="O2299" s="116"/>
      <c r="P2299" s="116"/>
      <c r="Q2299" s="116"/>
      <c r="R2299" s="116" t="s">
        <v>39</v>
      </c>
      <c r="S2299" s="116" t="s">
        <v>39</v>
      </c>
      <c r="T2299" s="104"/>
      <c r="U2299" s="116"/>
      <c r="V2299" s="104"/>
      <c r="W2299" s="116"/>
    </row>
    <row r="2300">
      <c r="A2300" s="114" t="s">
        <v>39</v>
      </c>
      <c r="B2300" s="115"/>
      <c r="C2300" s="116"/>
      <c r="D2300" s="116"/>
      <c r="E2300" s="116" t="str">
        <f>IFERROR(__xludf.DUMMYFUNCTION("""COMPUTED_VALUE"""),"")</f>
        <v/>
      </c>
      <c r="F2300" s="117" t="s">
        <v>39</v>
      </c>
      <c r="G2300" s="116"/>
      <c r="H2300" s="117"/>
      <c r="I2300" s="117"/>
      <c r="J2300" s="117"/>
      <c r="K2300" s="117"/>
      <c r="L2300" s="116"/>
      <c r="M2300" s="117"/>
      <c r="N2300" s="118" t="str">
        <f>IFERROR(__xludf.DUMMYFUNCTION("""COMPUTED_VALUE"""),"")</f>
        <v/>
      </c>
      <c r="O2300" s="116"/>
      <c r="P2300" s="116"/>
      <c r="Q2300" s="116"/>
      <c r="R2300" s="116" t="s">
        <v>39</v>
      </c>
      <c r="S2300" s="116" t="s">
        <v>39</v>
      </c>
      <c r="T2300" s="104"/>
      <c r="U2300" s="116"/>
      <c r="V2300" s="104"/>
      <c r="W2300" s="116"/>
    </row>
    <row r="2301">
      <c r="A2301" s="114" t="s">
        <v>39</v>
      </c>
      <c r="B2301" s="115"/>
      <c r="C2301" s="116"/>
      <c r="D2301" s="116"/>
      <c r="E2301" s="116" t="str">
        <f>IFERROR(__xludf.DUMMYFUNCTION("""COMPUTED_VALUE"""),"")</f>
        <v/>
      </c>
      <c r="F2301" s="117" t="s">
        <v>39</v>
      </c>
      <c r="G2301" s="116"/>
      <c r="H2301" s="117"/>
      <c r="I2301" s="117"/>
      <c r="J2301" s="117"/>
      <c r="K2301" s="117"/>
      <c r="L2301" s="116"/>
      <c r="M2301" s="117"/>
      <c r="N2301" s="118" t="str">
        <f>IFERROR(__xludf.DUMMYFUNCTION("""COMPUTED_VALUE"""),"")</f>
        <v/>
      </c>
      <c r="O2301" s="116"/>
      <c r="P2301" s="116"/>
      <c r="Q2301" s="116"/>
      <c r="R2301" s="116" t="s">
        <v>39</v>
      </c>
      <c r="S2301" s="116" t="s">
        <v>39</v>
      </c>
      <c r="T2301" s="104"/>
      <c r="U2301" s="116"/>
      <c r="V2301" s="104"/>
      <c r="W2301" s="116"/>
    </row>
    <row r="2302">
      <c r="A2302" s="114" t="s">
        <v>39</v>
      </c>
      <c r="B2302" s="115"/>
      <c r="C2302" s="116"/>
      <c r="D2302" s="116"/>
      <c r="E2302" s="116" t="str">
        <f>IFERROR(__xludf.DUMMYFUNCTION("""COMPUTED_VALUE"""),"")</f>
        <v/>
      </c>
      <c r="F2302" s="117" t="s">
        <v>39</v>
      </c>
      <c r="G2302" s="116"/>
      <c r="H2302" s="117"/>
      <c r="I2302" s="117"/>
      <c r="J2302" s="117"/>
      <c r="K2302" s="117"/>
      <c r="L2302" s="116"/>
      <c r="M2302" s="117"/>
      <c r="N2302" s="118" t="str">
        <f>IFERROR(__xludf.DUMMYFUNCTION("""COMPUTED_VALUE"""),"")</f>
        <v/>
      </c>
      <c r="O2302" s="116"/>
      <c r="P2302" s="116"/>
      <c r="Q2302" s="116"/>
      <c r="R2302" s="116" t="s">
        <v>39</v>
      </c>
      <c r="S2302" s="116" t="s">
        <v>39</v>
      </c>
      <c r="T2302" s="104"/>
      <c r="U2302" s="116"/>
      <c r="V2302" s="104"/>
      <c r="W2302" s="116"/>
    </row>
    <row r="2303">
      <c r="A2303" s="114" t="s">
        <v>39</v>
      </c>
      <c r="B2303" s="115"/>
      <c r="C2303" s="116"/>
      <c r="D2303" s="116"/>
      <c r="E2303" s="116" t="str">
        <f>IFERROR(__xludf.DUMMYFUNCTION("""COMPUTED_VALUE"""),"")</f>
        <v/>
      </c>
      <c r="F2303" s="117" t="s">
        <v>39</v>
      </c>
      <c r="G2303" s="116"/>
      <c r="H2303" s="117"/>
      <c r="I2303" s="117"/>
      <c r="J2303" s="117"/>
      <c r="K2303" s="117"/>
      <c r="L2303" s="116"/>
      <c r="M2303" s="117"/>
      <c r="N2303" s="118" t="str">
        <f>IFERROR(__xludf.DUMMYFUNCTION("""COMPUTED_VALUE"""),"")</f>
        <v/>
      </c>
      <c r="O2303" s="116"/>
      <c r="P2303" s="116"/>
      <c r="Q2303" s="116"/>
      <c r="R2303" s="116" t="s">
        <v>39</v>
      </c>
      <c r="S2303" s="116" t="s">
        <v>39</v>
      </c>
      <c r="T2303" s="104"/>
      <c r="U2303" s="116"/>
      <c r="V2303" s="104"/>
      <c r="W2303" s="116"/>
    </row>
    <row r="2304">
      <c r="A2304" s="114" t="s">
        <v>39</v>
      </c>
      <c r="B2304" s="115"/>
      <c r="C2304" s="116"/>
      <c r="D2304" s="116"/>
      <c r="E2304" s="116" t="str">
        <f>IFERROR(__xludf.DUMMYFUNCTION("""COMPUTED_VALUE"""),"")</f>
        <v/>
      </c>
      <c r="F2304" s="117" t="s">
        <v>39</v>
      </c>
      <c r="G2304" s="116"/>
      <c r="H2304" s="117"/>
      <c r="I2304" s="117"/>
      <c r="J2304" s="117"/>
      <c r="K2304" s="117"/>
      <c r="L2304" s="116"/>
      <c r="M2304" s="117"/>
      <c r="N2304" s="118" t="str">
        <f>IFERROR(__xludf.DUMMYFUNCTION("""COMPUTED_VALUE"""),"")</f>
        <v/>
      </c>
      <c r="O2304" s="116"/>
      <c r="P2304" s="116"/>
      <c r="Q2304" s="116"/>
      <c r="R2304" s="116" t="s">
        <v>39</v>
      </c>
      <c r="S2304" s="116" t="s">
        <v>39</v>
      </c>
      <c r="T2304" s="104"/>
      <c r="U2304" s="116"/>
      <c r="V2304" s="104"/>
      <c r="W2304" s="116"/>
    </row>
    <row r="2305">
      <c r="A2305" s="114" t="s">
        <v>39</v>
      </c>
      <c r="B2305" s="115"/>
      <c r="C2305" s="116"/>
      <c r="D2305" s="116"/>
      <c r="E2305" s="116" t="str">
        <f>IFERROR(__xludf.DUMMYFUNCTION("""COMPUTED_VALUE"""),"")</f>
        <v/>
      </c>
      <c r="F2305" s="117" t="s">
        <v>39</v>
      </c>
      <c r="G2305" s="116"/>
      <c r="H2305" s="117"/>
      <c r="I2305" s="117"/>
      <c r="J2305" s="117"/>
      <c r="K2305" s="117"/>
      <c r="L2305" s="116"/>
      <c r="M2305" s="117"/>
      <c r="N2305" s="118" t="str">
        <f>IFERROR(__xludf.DUMMYFUNCTION("""COMPUTED_VALUE"""),"")</f>
        <v/>
      </c>
      <c r="O2305" s="116"/>
      <c r="P2305" s="116"/>
      <c r="Q2305" s="116"/>
      <c r="R2305" s="116" t="s">
        <v>39</v>
      </c>
      <c r="S2305" s="116" t="s">
        <v>39</v>
      </c>
      <c r="T2305" s="104"/>
      <c r="U2305" s="116"/>
      <c r="V2305" s="104"/>
      <c r="W2305" s="116"/>
    </row>
    <row r="2306">
      <c r="A2306" s="114" t="s">
        <v>39</v>
      </c>
      <c r="B2306" s="115"/>
      <c r="C2306" s="116"/>
      <c r="D2306" s="116"/>
      <c r="E2306" s="116" t="str">
        <f>IFERROR(__xludf.DUMMYFUNCTION("""COMPUTED_VALUE"""),"")</f>
        <v/>
      </c>
      <c r="F2306" s="117" t="s">
        <v>39</v>
      </c>
      <c r="G2306" s="116"/>
      <c r="H2306" s="117"/>
      <c r="I2306" s="117"/>
      <c r="J2306" s="117"/>
      <c r="K2306" s="117"/>
      <c r="L2306" s="116"/>
      <c r="M2306" s="117"/>
      <c r="N2306" s="118" t="str">
        <f>IFERROR(__xludf.DUMMYFUNCTION("""COMPUTED_VALUE"""),"")</f>
        <v/>
      </c>
      <c r="O2306" s="116"/>
      <c r="P2306" s="116"/>
      <c r="Q2306" s="116"/>
      <c r="R2306" s="116" t="s">
        <v>39</v>
      </c>
      <c r="S2306" s="116" t="s">
        <v>39</v>
      </c>
      <c r="T2306" s="104"/>
      <c r="U2306" s="116"/>
      <c r="V2306" s="104"/>
      <c r="W2306" s="116"/>
    </row>
    <row r="2307">
      <c r="A2307" s="114" t="s">
        <v>39</v>
      </c>
      <c r="B2307" s="115"/>
      <c r="C2307" s="116"/>
      <c r="D2307" s="116"/>
      <c r="E2307" s="116" t="str">
        <f>IFERROR(__xludf.DUMMYFUNCTION("""COMPUTED_VALUE"""),"")</f>
        <v/>
      </c>
      <c r="F2307" s="117" t="s">
        <v>39</v>
      </c>
      <c r="G2307" s="116"/>
      <c r="H2307" s="117"/>
      <c r="I2307" s="117"/>
      <c r="J2307" s="117"/>
      <c r="K2307" s="117"/>
      <c r="L2307" s="116"/>
      <c r="M2307" s="117"/>
      <c r="N2307" s="118" t="str">
        <f>IFERROR(__xludf.DUMMYFUNCTION("""COMPUTED_VALUE"""),"")</f>
        <v/>
      </c>
      <c r="O2307" s="116"/>
      <c r="P2307" s="116"/>
      <c r="Q2307" s="116"/>
      <c r="R2307" s="116" t="s">
        <v>39</v>
      </c>
      <c r="S2307" s="116" t="s">
        <v>39</v>
      </c>
      <c r="T2307" s="104"/>
      <c r="U2307" s="116"/>
      <c r="V2307" s="104"/>
      <c r="W2307" s="116"/>
    </row>
    <row r="2308">
      <c r="A2308" s="114" t="s">
        <v>39</v>
      </c>
      <c r="B2308" s="115"/>
      <c r="C2308" s="116"/>
      <c r="D2308" s="116"/>
      <c r="E2308" s="116" t="str">
        <f>IFERROR(__xludf.DUMMYFUNCTION("""COMPUTED_VALUE"""),"")</f>
        <v/>
      </c>
      <c r="F2308" s="117" t="s">
        <v>39</v>
      </c>
      <c r="G2308" s="116"/>
      <c r="H2308" s="117"/>
      <c r="I2308" s="117"/>
      <c r="J2308" s="117"/>
      <c r="K2308" s="117"/>
      <c r="L2308" s="116"/>
      <c r="M2308" s="117"/>
      <c r="N2308" s="118" t="str">
        <f>IFERROR(__xludf.DUMMYFUNCTION("""COMPUTED_VALUE"""),"")</f>
        <v/>
      </c>
      <c r="O2308" s="116"/>
      <c r="P2308" s="116"/>
      <c r="Q2308" s="116"/>
      <c r="R2308" s="116" t="s">
        <v>39</v>
      </c>
      <c r="S2308" s="116" t="s">
        <v>39</v>
      </c>
      <c r="T2308" s="104"/>
      <c r="U2308" s="116"/>
      <c r="V2308" s="104"/>
      <c r="W2308" s="116"/>
    </row>
    <row r="2309">
      <c r="A2309" s="114" t="s">
        <v>39</v>
      </c>
      <c r="B2309" s="115"/>
      <c r="C2309" s="116"/>
      <c r="D2309" s="116"/>
      <c r="E2309" s="116" t="str">
        <f>IFERROR(__xludf.DUMMYFUNCTION("""COMPUTED_VALUE"""),"")</f>
        <v/>
      </c>
      <c r="F2309" s="117" t="s">
        <v>39</v>
      </c>
      <c r="G2309" s="116"/>
      <c r="H2309" s="117"/>
      <c r="I2309" s="117"/>
      <c r="J2309" s="117"/>
      <c r="K2309" s="117"/>
      <c r="L2309" s="116"/>
      <c r="M2309" s="117"/>
      <c r="N2309" s="118" t="str">
        <f>IFERROR(__xludf.DUMMYFUNCTION("""COMPUTED_VALUE"""),"")</f>
        <v/>
      </c>
      <c r="O2309" s="116"/>
      <c r="P2309" s="116"/>
      <c r="Q2309" s="116"/>
      <c r="R2309" s="116" t="s">
        <v>39</v>
      </c>
      <c r="S2309" s="116" t="s">
        <v>39</v>
      </c>
      <c r="T2309" s="104"/>
      <c r="U2309" s="116"/>
      <c r="V2309" s="104"/>
      <c r="W2309" s="116"/>
    </row>
    <row r="2310">
      <c r="A2310" s="114" t="s">
        <v>39</v>
      </c>
      <c r="B2310" s="115"/>
      <c r="C2310" s="116"/>
      <c r="D2310" s="116"/>
      <c r="E2310" s="116" t="str">
        <f>IFERROR(__xludf.DUMMYFUNCTION("""COMPUTED_VALUE"""),"")</f>
        <v/>
      </c>
      <c r="F2310" s="117" t="s">
        <v>39</v>
      </c>
      <c r="G2310" s="116"/>
      <c r="H2310" s="117"/>
      <c r="I2310" s="117"/>
      <c r="J2310" s="117"/>
      <c r="K2310" s="117"/>
      <c r="L2310" s="116"/>
      <c r="M2310" s="117"/>
      <c r="N2310" s="118" t="str">
        <f>IFERROR(__xludf.DUMMYFUNCTION("""COMPUTED_VALUE"""),"")</f>
        <v/>
      </c>
      <c r="O2310" s="116"/>
      <c r="P2310" s="116"/>
      <c r="Q2310" s="116"/>
      <c r="R2310" s="116" t="s">
        <v>39</v>
      </c>
      <c r="S2310" s="116" t="s">
        <v>39</v>
      </c>
      <c r="T2310" s="104"/>
      <c r="U2310" s="116"/>
      <c r="V2310" s="104"/>
      <c r="W2310" s="116"/>
    </row>
    <row r="2311">
      <c r="A2311" s="114" t="s">
        <v>39</v>
      </c>
      <c r="B2311" s="115"/>
      <c r="C2311" s="116"/>
      <c r="D2311" s="116"/>
      <c r="E2311" s="116" t="str">
        <f>IFERROR(__xludf.DUMMYFUNCTION("""COMPUTED_VALUE"""),"")</f>
        <v/>
      </c>
      <c r="F2311" s="117" t="s">
        <v>39</v>
      </c>
      <c r="G2311" s="116"/>
      <c r="H2311" s="117"/>
      <c r="I2311" s="117"/>
      <c r="J2311" s="117"/>
      <c r="K2311" s="117"/>
      <c r="L2311" s="116"/>
      <c r="M2311" s="117"/>
      <c r="N2311" s="118" t="str">
        <f>IFERROR(__xludf.DUMMYFUNCTION("""COMPUTED_VALUE"""),"")</f>
        <v/>
      </c>
      <c r="O2311" s="116"/>
      <c r="P2311" s="116"/>
      <c r="Q2311" s="116"/>
      <c r="R2311" s="116" t="s">
        <v>39</v>
      </c>
      <c r="S2311" s="116" t="s">
        <v>39</v>
      </c>
      <c r="T2311" s="104"/>
      <c r="U2311" s="116"/>
      <c r="V2311" s="104"/>
      <c r="W2311" s="116"/>
    </row>
    <row r="2312">
      <c r="A2312" s="114" t="s">
        <v>39</v>
      </c>
      <c r="B2312" s="115"/>
      <c r="C2312" s="116"/>
      <c r="D2312" s="116"/>
      <c r="E2312" s="116" t="str">
        <f>IFERROR(__xludf.DUMMYFUNCTION("""COMPUTED_VALUE"""),"")</f>
        <v/>
      </c>
      <c r="F2312" s="117" t="s">
        <v>39</v>
      </c>
      <c r="G2312" s="116"/>
      <c r="H2312" s="117"/>
      <c r="I2312" s="117"/>
      <c r="J2312" s="117"/>
      <c r="K2312" s="117"/>
      <c r="L2312" s="116"/>
      <c r="M2312" s="117"/>
      <c r="N2312" s="118" t="str">
        <f>IFERROR(__xludf.DUMMYFUNCTION("""COMPUTED_VALUE"""),"")</f>
        <v/>
      </c>
      <c r="O2312" s="116"/>
      <c r="P2312" s="116"/>
      <c r="Q2312" s="116"/>
      <c r="R2312" s="116" t="s">
        <v>39</v>
      </c>
      <c r="S2312" s="116" t="s">
        <v>39</v>
      </c>
      <c r="T2312" s="104"/>
      <c r="U2312" s="116"/>
      <c r="V2312" s="104"/>
      <c r="W2312" s="116"/>
    </row>
    <row r="2313">
      <c r="A2313" s="114" t="s">
        <v>39</v>
      </c>
      <c r="B2313" s="115"/>
      <c r="C2313" s="116"/>
      <c r="D2313" s="116"/>
      <c r="E2313" s="116" t="str">
        <f>IFERROR(__xludf.DUMMYFUNCTION("""COMPUTED_VALUE"""),"")</f>
        <v/>
      </c>
      <c r="F2313" s="117" t="s">
        <v>39</v>
      </c>
      <c r="G2313" s="116"/>
      <c r="H2313" s="117"/>
      <c r="I2313" s="117"/>
      <c r="J2313" s="117"/>
      <c r="K2313" s="117"/>
      <c r="L2313" s="116"/>
      <c r="M2313" s="117"/>
      <c r="N2313" s="118" t="str">
        <f>IFERROR(__xludf.DUMMYFUNCTION("""COMPUTED_VALUE"""),"")</f>
        <v/>
      </c>
      <c r="O2313" s="116"/>
      <c r="P2313" s="116"/>
      <c r="Q2313" s="116"/>
      <c r="R2313" s="116" t="s">
        <v>39</v>
      </c>
      <c r="S2313" s="116" t="s">
        <v>39</v>
      </c>
      <c r="T2313" s="104"/>
      <c r="U2313" s="116"/>
      <c r="V2313" s="104"/>
      <c r="W2313" s="116"/>
    </row>
    <row r="2314">
      <c r="A2314" s="114" t="s">
        <v>39</v>
      </c>
      <c r="B2314" s="115"/>
      <c r="C2314" s="116"/>
      <c r="D2314" s="116"/>
      <c r="E2314" s="116" t="str">
        <f>IFERROR(__xludf.DUMMYFUNCTION("""COMPUTED_VALUE"""),"")</f>
        <v/>
      </c>
      <c r="F2314" s="117" t="s">
        <v>39</v>
      </c>
      <c r="G2314" s="116"/>
      <c r="H2314" s="117"/>
      <c r="I2314" s="117"/>
      <c r="J2314" s="117"/>
      <c r="K2314" s="117"/>
      <c r="L2314" s="116"/>
      <c r="M2314" s="117"/>
      <c r="N2314" s="118" t="str">
        <f>IFERROR(__xludf.DUMMYFUNCTION("""COMPUTED_VALUE"""),"")</f>
        <v/>
      </c>
      <c r="O2314" s="116"/>
      <c r="P2314" s="116"/>
      <c r="Q2314" s="116"/>
      <c r="R2314" s="116" t="s">
        <v>39</v>
      </c>
      <c r="S2314" s="116" t="s">
        <v>39</v>
      </c>
      <c r="T2314" s="104"/>
      <c r="U2314" s="116"/>
      <c r="V2314" s="104"/>
      <c r="W2314" s="116"/>
    </row>
    <row r="2315">
      <c r="A2315" s="114" t="s">
        <v>39</v>
      </c>
      <c r="B2315" s="115"/>
      <c r="C2315" s="116"/>
      <c r="D2315" s="116"/>
      <c r="E2315" s="116" t="str">
        <f>IFERROR(__xludf.DUMMYFUNCTION("""COMPUTED_VALUE"""),"")</f>
        <v/>
      </c>
      <c r="F2315" s="117" t="s">
        <v>39</v>
      </c>
      <c r="G2315" s="116"/>
      <c r="H2315" s="117"/>
      <c r="I2315" s="117"/>
      <c r="J2315" s="117"/>
      <c r="K2315" s="117"/>
      <c r="L2315" s="116"/>
      <c r="M2315" s="117"/>
      <c r="N2315" s="118" t="str">
        <f>IFERROR(__xludf.DUMMYFUNCTION("""COMPUTED_VALUE"""),"")</f>
        <v/>
      </c>
      <c r="O2315" s="116"/>
      <c r="P2315" s="116"/>
      <c r="Q2315" s="116"/>
      <c r="R2315" s="116" t="s">
        <v>39</v>
      </c>
      <c r="S2315" s="116" t="s">
        <v>39</v>
      </c>
      <c r="T2315" s="104"/>
      <c r="U2315" s="116"/>
      <c r="V2315" s="104"/>
      <c r="W2315" s="116"/>
    </row>
    <row r="2316">
      <c r="A2316" s="114" t="s">
        <v>39</v>
      </c>
      <c r="B2316" s="115"/>
      <c r="C2316" s="116"/>
      <c r="D2316" s="116"/>
      <c r="E2316" s="116" t="str">
        <f>IFERROR(__xludf.DUMMYFUNCTION("""COMPUTED_VALUE"""),"")</f>
        <v/>
      </c>
      <c r="F2316" s="117" t="s">
        <v>39</v>
      </c>
      <c r="G2316" s="116"/>
      <c r="H2316" s="117"/>
      <c r="I2316" s="117"/>
      <c r="J2316" s="117"/>
      <c r="K2316" s="117"/>
      <c r="L2316" s="116"/>
      <c r="M2316" s="117"/>
      <c r="N2316" s="118" t="str">
        <f>IFERROR(__xludf.DUMMYFUNCTION("""COMPUTED_VALUE"""),"")</f>
        <v/>
      </c>
      <c r="O2316" s="116"/>
      <c r="P2316" s="116"/>
      <c r="Q2316" s="116"/>
      <c r="R2316" s="116" t="s">
        <v>39</v>
      </c>
      <c r="S2316" s="116" t="s">
        <v>39</v>
      </c>
      <c r="T2316" s="104"/>
      <c r="U2316" s="116"/>
      <c r="V2316" s="104"/>
      <c r="W2316" s="116"/>
    </row>
    <row r="2317">
      <c r="A2317" s="114" t="s">
        <v>39</v>
      </c>
      <c r="B2317" s="115"/>
      <c r="C2317" s="116"/>
      <c r="D2317" s="116"/>
      <c r="E2317" s="116" t="str">
        <f>IFERROR(__xludf.DUMMYFUNCTION("""COMPUTED_VALUE"""),"")</f>
        <v/>
      </c>
      <c r="F2317" s="117" t="s">
        <v>39</v>
      </c>
      <c r="G2317" s="116"/>
      <c r="H2317" s="117"/>
      <c r="I2317" s="117"/>
      <c r="J2317" s="117"/>
      <c r="K2317" s="117"/>
      <c r="L2317" s="116"/>
      <c r="M2317" s="117"/>
      <c r="N2317" s="118" t="str">
        <f>IFERROR(__xludf.DUMMYFUNCTION("""COMPUTED_VALUE"""),"")</f>
        <v/>
      </c>
      <c r="O2317" s="116"/>
      <c r="P2317" s="116"/>
      <c r="Q2317" s="116"/>
      <c r="R2317" s="116" t="s">
        <v>39</v>
      </c>
      <c r="S2317" s="116" t="s">
        <v>39</v>
      </c>
      <c r="T2317" s="104"/>
      <c r="U2317" s="116"/>
      <c r="V2317" s="104"/>
      <c r="W2317" s="116"/>
    </row>
    <row r="2318">
      <c r="A2318" s="114" t="s">
        <v>39</v>
      </c>
      <c r="B2318" s="115"/>
      <c r="C2318" s="116"/>
      <c r="D2318" s="116"/>
      <c r="E2318" s="116" t="str">
        <f>IFERROR(__xludf.DUMMYFUNCTION("""COMPUTED_VALUE"""),"")</f>
        <v/>
      </c>
      <c r="F2318" s="117" t="s">
        <v>39</v>
      </c>
      <c r="G2318" s="116"/>
      <c r="H2318" s="117"/>
      <c r="I2318" s="117"/>
      <c r="J2318" s="117"/>
      <c r="K2318" s="117"/>
      <c r="L2318" s="116"/>
      <c r="M2318" s="117"/>
      <c r="N2318" s="118" t="str">
        <f>IFERROR(__xludf.DUMMYFUNCTION("""COMPUTED_VALUE"""),"")</f>
        <v/>
      </c>
      <c r="O2318" s="116"/>
      <c r="P2318" s="116"/>
      <c r="Q2318" s="116"/>
      <c r="R2318" s="116" t="s">
        <v>39</v>
      </c>
      <c r="S2318" s="116" t="s">
        <v>39</v>
      </c>
      <c r="T2318" s="104"/>
      <c r="U2318" s="116"/>
      <c r="V2318" s="104"/>
      <c r="W2318" s="116"/>
    </row>
    <row r="2319">
      <c r="A2319" s="114" t="s">
        <v>39</v>
      </c>
      <c r="B2319" s="115"/>
      <c r="C2319" s="116"/>
      <c r="D2319" s="116"/>
      <c r="E2319" s="116" t="str">
        <f>IFERROR(__xludf.DUMMYFUNCTION("""COMPUTED_VALUE"""),"")</f>
        <v/>
      </c>
      <c r="F2319" s="117" t="s">
        <v>39</v>
      </c>
      <c r="G2319" s="116"/>
      <c r="H2319" s="117"/>
      <c r="I2319" s="117"/>
      <c r="J2319" s="117"/>
      <c r="K2319" s="117"/>
      <c r="L2319" s="116"/>
      <c r="M2319" s="117"/>
      <c r="N2319" s="118" t="str">
        <f>IFERROR(__xludf.DUMMYFUNCTION("""COMPUTED_VALUE"""),"")</f>
        <v/>
      </c>
      <c r="O2319" s="116"/>
      <c r="P2319" s="116"/>
      <c r="Q2319" s="116"/>
      <c r="R2319" s="116" t="s">
        <v>39</v>
      </c>
      <c r="S2319" s="116" t="s">
        <v>39</v>
      </c>
      <c r="T2319" s="104"/>
      <c r="U2319" s="116"/>
      <c r="V2319" s="104"/>
      <c r="W2319" s="116"/>
    </row>
    <row r="2320">
      <c r="A2320" s="114" t="s">
        <v>39</v>
      </c>
      <c r="B2320" s="115"/>
      <c r="C2320" s="116"/>
      <c r="D2320" s="116"/>
      <c r="E2320" s="116" t="str">
        <f>IFERROR(__xludf.DUMMYFUNCTION("""COMPUTED_VALUE"""),"")</f>
        <v/>
      </c>
      <c r="F2320" s="117" t="s">
        <v>39</v>
      </c>
      <c r="G2320" s="116"/>
      <c r="H2320" s="117"/>
      <c r="I2320" s="117"/>
      <c r="J2320" s="117"/>
      <c r="K2320" s="117"/>
      <c r="L2320" s="116"/>
      <c r="M2320" s="117"/>
      <c r="N2320" s="118" t="str">
        <f>IFERROR(__xludf.DUMMYFUNCTION("""COMPUTED_VALUE"""),"")</f>
        <v/>
      </c>
      <c r="O2320" s="116"/>
      <c r="P2320" s="116"/>
      <c r="Q2320" s="116"/>
      <c r="R2320" s="116" t="s">
        <v>39</v>
      </c>
      <c r="S2320" s="116" t="s">
        <v>39</v>
      </c>
      <c r="T2320" s="104"/>
      <c r="U2320" s="116"/>
      <c r="V2320" s="104"/>
      <c r="W2320" s="116"/>
    </row>
    <row r="2321">
      <c r="A2321" s="114" t="s">
        <v>39</v>
      </c>
      <c r="B2321" s="115"/>
      <c r="C2321" s="116"/>
      <c r="D2321" s="116"/>
      <c r="E2321" s="116" t="str">
        <f>IFERROR(__xludf.DUMMYFUNCTION("""COMPUTED_VALUE"""),"")</f>
        <v/>
      </c>
      <c r="F2321" s="117" t="s">
        <v>39</v>
      </c>
      <c r="G2321" s="116"/>
      <c r="H2321" s="117"/>
      <c r="I2321" s="117"/>
      <c r="J2321" s="117"/>
      <c r="K2321" s="117"/>
      <c r="L2321" s="116"/>
      <c r="M2321" s="117"/>
      <c r="N2321" s="118" t="str">
        <f>IFERROR(__xludf.DUMMYFUNCTION("""COMPUTED_VALUE"""),"")</f>
        <v/>
      </c>
      <c r="O2321" s="116"/>
      <c r="P2321" s="116"/>
      <c r="Q2321" s="116"/>
      <c r="R2321" s="116" t="s">
        <v>39</v>
      </c>
      <c r="S2321" s="116" t="s">
        <v>39</v>
      </c>
      <c r="T2321" s="104"/>
      <c r="U2321" s="116"/>
      <c r="V2321" s="104"/>
      <c r="W2321" s="116"/>
    </row>
    <row r="2322">
      <c r="A2322" s="114" t="s">
        <v>39</v>
      </c>
      <c r="B2322" s="115"/>
      <c r="C2322" s="116"/>
      <c r="D2322" s="116"/>
      <c r="E2322" s="116" t="str">
        <f>IFERROR(__xludf.DUMMYFUNCTION("""COMPUTED_VALUE"""),"")</f>
        <v/>
      </c>
      <c r="F2322" s="117" t="s">
        <v>39</v>
      </c>
      <c r="G2322" s="116"/>
      <c r="H2322" s="117"/>
      <c r="I2322" s="117"/>
      <c r="J2322" s="117"/>
      <c r="K2322" s="117"/>
      <c r="L2322" s="116"/>
      <c r="M2322" s="117"/>
      <c r="N2322" s="118" t="str">
        <f>IFERROR(__xludf.DUMMYFUNCTION("""COMPUTED_VALUE"""),"")</f>
        <v/>
      </c>
      <c r="O2322" s="116"/>
      <c r="P2322" s="116"/>
      <c r="Q2322" s="116"/>
      <c r="R2322" s="116" t="s">
        <v>39</v>
      </c>
      <c r="S2322" s="116" t="s">
        <v>39</v>
      </c>
      <c r="T2322" s="104"/>
      <c r="U2322" s="116"/>
      <c r="V2322" s="104"/>
      <c r="W2322" s="116"/>
    </row>
    <row r="2323">
      <c r="A2323" s="114" t="s">
        <v>39</v>
      </c>
      <c r="B2323" s="115"/>
      <c r="C2323" s="116"/>
      <c r="D2323" s="116"/>
      <c r="E2323" s="116" t="str">
        <f>IFERROR(__xludf.DUMMYFUNCTION("""COMPUTED_VALUE"""),"")</f>
        <v/>
      </c>
      <c r="F2323" s="117" t="s">
        <v>39</v>
      </c>
      <c r="G2323" s="116"/>
      <c r="H2323" s="117"/>
      <c r="I2323" s="117"/>
      <c r="J2323" s="117"/>
      <c r="K2323" s="117"/>
      <c r="L2323" s="116"/>
      <c r="M2323" s="117"/>
      <c r="N2323" s="118" t="str">
        <f>IFERROR(__xludf.DUMMYFUNCTION("""COMPUTED_VALUE"""),"")</f>
        <v/>
      </c>
      <c r="O2323" s="116"/>
      <c r="P2323" s="116"/>
      <c r="Q2323" s="116"/>
      <c r="R2323" s="116" t="s">
        <v>39</v>
      </c>
      <c r="S2323" s="116" t="s">
        <v>39</v>
      </c>
      <c r="T2323" s="104"/>
      <c r="U2323" s="116"/>
      <c r="V2323" s="104"/>
      <c r="W2323" s="116"/>
    </row>
    <row r="2324">
      <c r="A2324" s="114" t="s">
        <v>39</v>
      </c>
      <c r="B2324" s="115"/>
      <c r="C2324" s="116"/>
      <c r="D2324" s="116"/>
      <c r="E2324" s="116" t="str">
        <f>IFERROR(__xludf.DUMMYFUNCTION("""COMPUTED_VALUE"""),"")</f>
        <v/>
      </c>
      <c r="F2324" s="117" t="s">
        <v>39</v>
      </c>
      <c r="G2324" s="116"/>
      <c r="H2324" s="117"/>
      <c r="I2324" s="117"/>
      <c r="J2324" s="117"/>
      <c r="K2324" s="117"/>
      <c r="L2324" s="116"/>
      <c r="M2324" s="117"/>
      <c r="N2324" s="118" t="str">
        <f>IFERROR(__xludf.DUMMYFUNCTION("""COMPUTED_VALUE"""),"")</f>
        <v/>
      </c>
      <c r="O2324" s="116"/>
      <c r="P2324" s="116"/>
      <c r="Q2324" s="116"/>
      <c r="R2324" s="116" t="s">
        <v>39</v>
      </c>
      <c r="S2324" s="116" t="s">
        <v>39</v>
      </c>
      <c r="T2324" s="104"/>
      <c r="U2324" s="116"/>
      <c r="V2324" s="104"/>
      <c r="W2324" s="116"/>
    </row>
    <row r="2325">
      <c r="A2325" s="114" t="s">
        <v>39</v>
      </c>
      <c r="B2325" s="115"/>
      <c r="C2325" s="116"/>
      <c r="D2325" s="116"/>
      <c r="E2325" s="116" t="str">
        <f>IFERROR(__xludf.DUMMYFUNCTION("""COMPUTED_VALUE"""),"")</f>
        <v/>
      </c>
      <c r="F2325" s="117" t="s">
        <v>39</v>
      </c>
      <c r="G2325" s="116"/>
      <c r="H2325" s="117"/>
      <c r="I2325" s="117"/>
      <c r="J2325" s="117"/>
      <c r="K2325" s="117"/>
      <c r="L2325" s="116"/>
      <c r="M2325" s="117"/>
      <c r="N2325" s="118" t="str">
        <f>IFERROR(__xludf.DUMMYFUNCTION("""COMPUTED_VALUE"""),"")</f>
        <v/>
      </c>
      <c r="O2325" s="116"/>
      <c r="P2325" s="116"/>
      <c r="Q2325" s="116"/>
      <c r="R2325" s="116" t="s">
        <v>39</v>
      </c>
      <c r="S2325" s="116" t="s">
        <v>39</v>
      </c>
      <c r="T2325" s="104"/>
      <c r="U2325" s="116"/>
      <c r="V2325" s="104"/>
      <c r="W2325" s="116"/>
    </row>
    <row r="2326">
      <c r="A2326" s="114" t="s">
        <v>39</v>
      </c>
      <c r="B2326" s="115"/>
      <c r="C2326" s="116"/>
      <c r="D2326" s="116"/>
      <c r="E2326" s="116" t="str">
        <f>IFERROR(__xludf.DUMMYFUNCTION("""COMPUTED_VALUE"""),"")</f>
        <v/>
      </c>
      <c r="F2326" s="117" t="s">
        <v>39</v>
      </c>
      <c r="G2326" s="116"/>
      <c r="H2326" s="117"/>
      <c r="I2326" s="117"/>
      <c r="J2326" s="117"/>
      <c r="K2326" s="117"/>
      <c r="L2326" s="116"/>
      <c r="M2326" s="117"/>
      <c r="N2326" s="118" t="str">
        <f>IFERROR(__xludf.DUMMYFUNCTION("""COMPUTED_VALUE"""),"")</f>
        <v/>
      </c>
      <c r="O2326" s="116"/>
      <c r="P2326" s="116"/>
      <c r="Q2326" s="116"/>
      <c r="R2326" s="116" t="s">
        <v>39</v>
      </c>
      <c r="S2326" s="116" t="s">
        <v>39</v>
      </c>
      <c r="T2326" s="104"/>
      <c r="U2326" s="116"/>
      <c r="V2326" s="104"/>
      <c r="W2326" s="116"/>
    </row>
    <row r="2327">
      <c r="A2327" s="114" t="s">
        <v>39</v>
      </c>
      <c r="B2327" s="115"/>
      <c r="C2327" s="116"/>
      <c r="D2327" s="116"/>
      <c r="E2327" s="116" t="str">
        <f>IFERROR(__xludf.DUMMYFUNCTION("""COMPUTED_VALUE"""),"")</f>
        <v/>
      </c>
      <c r="F2327" s="117" t="s">
        <v>39</v>
      </c>
      <c r="G2327" s="116"/>
      <c r="H2327" s="117"/>
      <c r="I2327" s="117"/>
      <c r="J2327" s="117"/>
      <c r="K2327" s="117"/>
      <c r="L2327" s="116"/>
      <c r="M2327" s="117"/>
      <c r="N2327" s="118" t="str">
        <f>IFERROR(__xludf.DUMMYFUNCTION("""COMPUTED_VALUE"""),"")</f>
        <v/>
      </c>
      <c r="O2327" s="116"/>
      <c r="P2327" s="116"/>
      <c r="Q2327" s="116"/>
      <c r="R2327" s="116" t="s">
        <v>39</v>
      </c>
      <c r="S2327" s="116" t="s">
        <v>39</v>
      </c>
      <c r="T2327" s="104"/>
      <c r="U2327" s="116"/>
      <c r="V2327" s="104"/>
      <c r="W2327" s="116"/>
    </row>
    <row r="2328">
      <c r="A2328" s="114" t="s">
        <v>39</v>
      </c>
      <c r="B2328" s="115"/>
      <c r="C2328" s="116"/>
      <c r="D2328" s="116"/>
      <c r="E2328" s="116" t="str">
        <f>IFERROR(__xludf.DUMMYFUNCTION("""COMPUTED_VALUE"""),"")</f>
        <v/>
      </c>
      <c r="F2328" s="117" t="s">
        <v>39</v>
      </c>
      <c r="G2328" s="116"/>
      <c r="H2328" s="117"/>
      <c r="I2328" s="117"/>
      <c r="J2328" s="117"/>
      <c r="K2328" s="117"/>
      <c r="L2328" s="116"/>
      <c r="M2328" s="117"/>
      <c r="N2328" s="118" t="str">
        <f>IFERROR(__xludf.DUMMYFUNCTION("""COMPUTED_VALUE"""),"")</f>
        <v/>
      </c>
      <c r="O2328" s="116"/>
      <c r="P2328" s="116"/>
      <c r="Q2328" s="116"/>
      <c r="R2328" s="116" t="s">
        <v>39</v>
      </c>
      <c r="S2328" s="116" t="s">
        <v>39</v>
      </c>
      <c r="T2328" s="104"/>
      <c r="U2328" s="116"/>
      <c r="V2328" s="104"/>
      <c r="W2328" s="116"/>
    </row>
    <row r="2329">
      <c r="A2329" s="114" t="s">
        <v>39</v>
      </c>
      <c r="B2329" s="115"/>
      <c r="C2329" s="116"/>
      <c r="D2329" s="116"/>
      <c r="E2329" s="116" t="str">
        <f>IFERROR(__xludf.DUMMYFUNCTION("""COMPUTED_VALUE"""),"")</f>
        <v/>
      </c>
      <c r="F2329" s="117" t="s">
        <v>39</v>
      </c>
      <c r="G2329" s="116"/>
      <c r="H2329" s="117"/>
      <c r="I2329" s="117"/>
      <c r="J2329" s="117"/>
      <c r="K2329" s="117"/>
      <c r="L2329" s="116"/>
      <c r="M2329" s="117"/>
      <c r="N2329" s="118" t="str">
        <f>IFERROR(__xludf.DUMMYFUNCTION("""COMPUTED_VALUE"""),"")</f>
        <v/>
      </c>
      <c r="O2329" s="116"/>
      <c r="P2329" s="116"/>
      <c r="Q2329" s="116"/>
      <c r="R2329" s="116" t="s">
        <v>39</v>
      </c>
      <c r="S2329" s="116" t="s">
        <v>39</v>
      </c>
      <c r="T2329" s="104"/>
      <c r="U2329" s="116"/>
      <c r="V2329" s="104"/>
      <c r="W2329" s="116"/>
    </row>
    <row r="2330">
      <c r="A2330" s="114" t="s">
        <v>39</v>
      </c>
      <c r="B2330" s="115"/>
      <c r="C2330" s="116"/>
      <c r="D2330" s="116"/>
      <c r="E2330" s="116" t="str">
        <f>IFERROR(__xludf.DUMMYFUNCTION("""COMPUTED_VALUE"""),"")</f>
        <v/>
      </c>
      <c r="F2330" s="117" t="s">
        <v>39</v>
      </c>
      <c r="G2330" s="116"/>
      <c r="H2330" s="117"/>
      <c r="I2330" s="117"/>
      <c r="J2330" s="117"/>
      <c r="K2330" s="117"/>
      <c r="L2330" s="116"/>
      <c r="M2330" s="117"/>
      <c r="N2330" s="118" t="str">
        <f>IFERROR(__xludf.DUMMYFUNCTION("""COMPUTED_VALUE"""),"")</f>
        <v/>
      </c>
      <c r="O2330" s="116"/>
      <c r="P2330" s="116"/>
      <c r="Q2330" s="116"/>
      <c r="R2330" s="116" t="s">
        <v>39</v>
      </c>
      <c r="S2330" s="116" t="s">
        <v>39</v>
      </c>
      <c r="T2330" s="104"/>
      <c r="U2330" s="116"/>
      <c r="V2330" s="104"/>
      <c r="W2330" s="116"/>
    </row>
    <row r="2331">
      <c r="A2331" s="114" t="s">
        <v>39</v>
      </c>
      <c r="B2331" s="115"/>
      <c r="C2331" s="116"/>
      <c r="D2331" s="116"/>
      <c r="E2331" s="116" t="str">
        <f>IFERROR(__xludf.DUMMYFUNCTION("""COMPUTED_VALUE"""),"")</f>
        <v/>
      </c>
      <c r="F2331" s="117" t="s">
        <v>39</v>
      </c>
      <c r="G2331" s="116"/>
      <c r="H2331" s="117"/>
      <c r="I2331" s="117"/>
      <c r="J2331" s="117"/>
      <c r="K2331" s="117"/>
      <c r="L2331" s="116"/>
      <c r="M2331" s="117"/>
      <c r="N2331" s="118" t="str">
        <f>IFERROR(__xludf.DUMMYFUNCTION("""COMPUTED_VALUE"""),"")</f>
        <v/>
      </c>
      <c r="O2331" s="116"/>
      <c r="P2331" s="116"/>
      <c r="Q2331" s="116"/>
      <c r="R2331" s="116" t="s">
        <v>39</v>
      </c>
      <c r="S2331" s="116" t="s">
        <v>39</v>
      </c>
      <c r="T2331" s="104"/>
      <c r="U2331" s="116"/>
      <c r="V2331" s="104"/>
      <c r="W2331" s="116"/>
    </row>
    <row r="2332">
      <c r="A2332" s="114" t="s">
        <v>39</v>
      </c>
      <c r="B2332" s="115"/>
      <c r="C2332" s="116"/>
      <c r="D2332" s="116"/>
      <c r="E2332" s="116" t="str">
        <f>IFERROR(__xludf.DUMMYFUNCTION("""COMPUTED_VALUE"""),"")</f>
        <v/>
      </c>
      <c r="F2332" s="117" t="s">
        <v>39</v>
      </c>
      <c r="G2332" s="116"/>
      <c r="H2332" s="117"/>
      <c r="I2332" s="117"/>
      <c r="J2332" s="117"/>
      <c r="K2332" s="117"/>
      <c r="L2332" s="116"/>
      <c r="M2332" s="117"/>
      <c r="N2332" s="118" t="str">
        <f>IFERROR(__xludf.DUMMYFUNCTION("""COMPUTED_VALUE"""),"")</f>
        <v/>
      </c>
      <c r="O2332" s="116"/>
      <c r="P2332" s="116"/>
      <c r="Q2332" s="116"/>
      <c r="R2332" s="116" t="s">
        <v>39</v>
      </c>
      <c r="S2332" s="116" t="s">
        <v>39</v>
      </c>
      <c r="T2332" s="104"/>
      <c r="U2332" s="116"/>
      <c r="V2332" s="104"/>
      <c r="W2332" s="116"/>
    </row>
    <row r="2333">
      <c r="A2333" s="114" t="s">
        <v>39</v>
      </c>
      <c r="B2333" s="115"/>
      <c r="C2333" s="116"/>
      <c r="D2333" s="116"/>
      <c r="E2333" s="116" t="str">
        <f>IFERROR(__xludf.DUMMYFUNCTION("""COMPUTED_VALUE"""),"")</f>
        <v/>
      </c>
      <c r="F2333" s="117" t="s">
        <v>39</v>
      </c>
      <c r="G2333" s="116"/>
      <c r="H2333" s="117"/>
      <c r="I2333" s="117"/>
      <c r="J2333" s="117"/>
      <c r="K2333" s="117"/>
      <c r="L2333" s="116"/>
      <c r="M2333" s="117"/>
      <c r="N2333" s="118" t="str">
        <f>IFERROR(__xludf.DUMMYFUNCTION("""COMPUTED_VALUE"""),"")</f>
        <v/>
      </c>
      <c r="O2333" s="116"/>
      <c r="P2333" s="116"/>
      <c r="Q2333" s="116"/>
      <c r="R2333" s="116" t="s">
        <v>39</v>
      </c>
      <c r="S2333" s="116" t="s">
        <v>39</v>
      </c>
      <c r="T2333" s="104"/>
      <c r="U2333" s="116"/>
      <c r="V2333" s="104"/>
      <c r="W2333" s="116"/>
    </row>
    <row r="2334">
      <c r="A2334" s="114" t="s">
        <v>39</v>
      </c>
      <c r="B2334" s="115"/>
      <c r="C2334" s="116"/>
      <c r="D2334" s="116"/>
      <c r="E2334" s="116" t="str">
        <f>IFERROR(__xludf.DUMMYFUNCTION("""COMPUTED_VALUE"""),"")</f>
        <v/>
      </c>
      <c r="F2334" s="117" t="s">
        <v>39</v>
      </c>
      <c r="G2334" s="116"/>
      <c r="H2334" s="117"/>
      <c r="I2334" s="117"/>
      <c r="J2334" s="117"/>
      <c r="K2334" s="117"/>
      <c r="L2334" s="116"/>
      <c r="M2334" s="117"/>
      <c r="N2334" s="118" t="str">
        <f>IFERROR(__xludf.DUMMYFUNCTION("""COMPUTED_VALUE"""),"")</f>
        <v/>
      </c>
      <c r="O2334" s="116"/>
      <c r="P2334" s="116"/>
      <c r="Q2334" s="116"/>
      <c r="R2334" s="116" t="s">
        <v>39</v>
      </c>
      <c r="S2334" s="116" t="s">
        <v>39</v>
      </c>
      <c r="T2334" s="104"/>
      <c r="U2334" s="116"/>
      <c r="V2334" s="104"/>
      <c r="W2334" s="116"/>
    </row>
    <row r="2335">
      <c r="A2335" s="114" t="s">
        <v>39</v>
      </c>
      <c r="B2335" s="115"/>
      <c r="C2335" s="116"/>
      <c r="D2335" s="116"/>
      <c r="E2335" s="116" t="str">
        <f>IFERROR(__xludf.DUMMYFUNCTION("""COMPUTED_VALUE"""),"")</f>
        <v/>
      </c>
      <c r="F2335" s="117" t="s">
        <v>39</v>
      </c>
      <c r="G2335" s="116"/>
      <c r="H2335" s="117"/>
      <c r="I2335" s="117"/>
      <c r="J2335" s="117"/>
      <c r="K2335" s="117"/>
      <c r="L2335" s="116"/>
      <c r="M2335" s="117"/>
      <c r="N2335" s="118" t="str">
        <f>IFERROR(__xludf.DUMMYFUNCTION("""COMPUTED_VALUE"""),"")</f>
        <v/>
      </c>
      <c r="O2335" s="116"/>
      <c r="P2335" s="116"/>
      <c r="Q2335" s="116"/>
      <c r="R2335" s="116" t="s">
        <v>39</v>
      </c>
      <c r="S2335" s="116" t="s">
        <v>39</v>
      </c>
      <c r="T2335" s="104"/>
      <c r="U2335" s="116"/>
      <c r="V2335" s="104"/>
      <c r="W2335" s="116"/>
    </row>
    <row r="2336">
      <c r="A2336" s="114" t="s">
        <v>39</v>
      </c>
      <c r="B2336" s="115"/>
      <c r="C2336" s="116"/>
      <c r="D2336" s="116"/>
      <c r="E2336" s="116" t="str">
        <f>IFERROR(__xludf.DUMMYFUNCTION("""COMPUTED_VALUE"""),"")</f>
        <v/>
      </c>
      <c r="F2336" s="117" t="s">
        <v>39</v>
      </c>
      <c r="G2336" s="116"/>
      <c r="H2336" s="117"/>
      <c r="I2336" s="117"/>
      <c r="J2336" s="117"/>
      <c r="K2336" s="117"/>
      <c r="L2336" s="116"/>
      <c r="M2336" s="117"/>
      <c r="N2336" s="118" t="str">
        <f>IFERROR(__xludf.DUMMYFUNCTION("""COMPUTED_VALUE"""),"")</f>
        <v/>
      </c>
      <c r="O2336" s="116"/>
      <c r="P2336" s="116"/>
      <c r="Q2336" s="116"/>
      <c r="R2336" s="116" t="s">
        <v>39</v>
      </c>
      <c r="S2336" s="116" t="s">
        <v>39</v>
      </c>
      <c r="T2336" s="104"/>
      <c r="U2336" s="116"/>
      <c r="V2336" s="104"/>
      <c r="W2336" s="116"/>
    </row>
    <row r="2337">
      <c r="A2337" s="114" t="s">
        <v>39</v>
      </c>
      <c r="B2337" s="115"/>
      <c r="C2337" s="116"/>
      <c r="D2337" s="116"/>
      <c r="E2337" s="116" t="str">
        <f>IFERROR(__xludf.DUMMYFUNCTION("""COMPUTED_VALUE"""),"")</f>
        <v/>
      </c>
      <c r="F2337" s="117" t="s">
        <v>39</v>
      </c>
      <c r="G2337" s="116"/>
      <c r="H2337" s="117"/>
      <c r="I2337" s="117"/>
      <c r="J2337" s="117"/>
      <c r="K2337" s="117"/>
      <c r="L2337" s="116"/>
      <c r="M2337" s="117"/>
      <c r="N2337" s="118" t="str">
        <f>IFERROR(__xludf.DUMMYFUNCTION("""COMPUTED_VALUE"""),"")</f>
        <v/>
      </c>
      <c r="O2337" s="116"/>
      <c r="P2337" s="116"/>
      <c r="Q2337" s="116"/>
      <c r="R2337" s="116" t="s">
        <v>39</v>
      </c>
      <c r="S2337" s="116" t="s">
        <v>39</v>
      </c>
      <c r="T2337" s="104"/>
      <c r="U2337" s="116"/>
      <c r="V2337" s="104"/>
      <c r="W2337" s="116"/>
    </row>
    <row r="2338">
      <c r="A2338" s="114" t="s">
        <v>39</v>
      </c>
      <c r="B2338" s="115"/>
      <c r="C2338" s="116"/>
      <c r="D2338" s="116"/>
      <c r="E2338" s="116" t="str">
        <f>IFERROR(__xludf.DUMMYFUNCTION("""COMPUTED_VALUE"""),"")</f>
        <v/>
      </c>
      <c r="F2338" s="117" t="s">
        <v>39</v>
      </c>
      <c r="G2338" s="116"/>
      <c r="H2338" s="117"/>
      <c r="I2338" s="117"/>
      <c r="J2338" s="117"/>
      <c r="K2338" s="117"/>
      <c r="L2338" s="116"/>
      <c r="M2338" s="117"/>
      <c r="N2338" s="118" t="str">
        <f>IFERROR(__xludf.DUMMYFUNCTION("""COMPUTED_VALUE"""),"")</f>
        <v/>
      </c>
      <c r="O2338" s="116"/>
      <c r="P2338" s="116"/>
      <c r="Q2338" s="116"/>
      <c r="R2338" s="116" t="s">
        <v>39</v>
      </c>
      <c r="S2338" s="116" t="s">
        <v>39</v>
      </c>
      <c r="T2338" s="104"/>
      <c r="U2338" s="116"/>
      <c r="V2338" s="104"/>
      <c r="W2338" s="116"/>
    </row>
    <row r="2339">
      <c r="A2339" s="114" t="s">
        <v>39</v>
      </c>
      <c r="B2339" s="115"/>
      <c r="C2339" s="116"/>
      <c r="D2339" s="116"/>
      <c r="E2339" s="116" t="str">
        <f>IFERROR(__xludf.DUMMYFUNCTION("""COMPUTED_VALUE"""),"")</f>
        <v/>
      </c>
      <c r="F2339" s="117" t="s">
        <v>39</v>
      </c>
      <c r="G2339" s="116"/>
      <c r="H2339" s="117"/>
      <c r="I2339" s="117"/>
      <c r="J2339" s="117"/>
      <c r="K2339" s="117"/>
      <c r="L2339" s="116"/>
      <c r="M2339" s="117"/>
      <c r="N2339" s="118" t="str">
        <f>IFERROR(__xludf.DUMMYFUNCTION("""COMPUTED_VALUE"""),"")</f>
        <v/>
      </c>
      <c r="O2339" s="116"/>
      <c r="P2339" s="116"/>
      <c r="Q2339" s="116"/>
      <c r="R2339" s="116" t="s">
        <v>39</v>
      </c>
      <c r="S2339" s="116" t="s">
        <v>39</v>
      </c>
      <c r="T2339" s="104"/>
      <c r="U2339" s="116"/>
      <c r="V2339" s="104"/>
      <c r="W2339" s="116"/>
    </row>
    <row r="2340">
      <c r="A2340" s="114" t="s">
        <v>39</v>
      </c>
      <c r="B2340" s="115"/>
      <c r="C2340" s="116"/>
      <c r="D2340" s="116"/>
      <c r="E2340" s="116" t="str">
        <f>IFERROR(__xludf.DUMMYFUNCTION("""COMPUTED_VALUE"""),"")</f>
        <v/>
      </c>
      <c r="F2340" s="117" t="s">
        <v>39</v>
      </c>
      <c r="G2340" s="116"/>
      <c r="H2340" s="117"/>
      <c r="I2340" s="117"/>
      <c r="J2340" s="117"/>
      <c r="K2340" s="117"/>
      <c r="L2340" s="116"/>
      <c r="M2340" s="117"/>
      <c r="N2340" s="118" t="str">
        <f>IFERROR(__xludf.DUMMYFUNCTION("""COMPUTED_VALUE"""),"")</f>
        <v/>
      </c>
      <c r="O2340" s="116"/>
      <c r="P2340" s="116"/>
      <c r="Q2340" s="116"/>
      <c r="R2340" s="116" t="s">
        <v>39</v>
      </c>
      <c r="S2340" s="116" t="s">
        <v>39</v>
      </c>
      <c r="T2340" s="104"/>
      <c r="U2340" s="116"/>
      <c r="V2340" s="104"/>
      <c r="W2340" s="116"/>
    </row>
    <row r="2341">
      <c r="A2341" s="114" t="s">
        <v>39</v>
      </c>
      <c r="B2341" s="115"/>
      <c r="C2341" s="116"/>
      <c r="D2341" s="116"/>
      <c r="E2341" s="116" t="str">
        <f>IFERROR(__xludf.DUMMYFUNCTION("""COMPUTED_VALUE"""),"")</f>
        <v/>
      </c>
      <c r="F2341" s="117" t="s">
        <v>39</v>
      </c>
      <c r="G2341" s="116"/>
      <c r="H2341" s="117"/>
      <c r="I2341" s="117"/>
      <c r="J2341" s="117"/>
      <c r="K2341" s="117"/>
      <c r="L2341" s="116"/>
      <c r="M2341" s="117"/>
      <c r="N2341" s="118" t="str">
        <f>IFERROR(__xludf.DUMMYFUNCTION("""COMPUTED_VALUE"""),"")</f>
        <v/>
      </c>
      <c r="O2341" s="116"/>
      <c r="P2341" s="116"/>
      <c r="Q2341" s="116"/>
      <c r="R2341" s="116" t="s">
        <v>39</v>
      </c>
      <c r="S2341" s="116" t="s">
        <v>39</v>
      </c>
      <c r="T2341" s="104"/>
      <c r="U2341" s="116"/>
      <c r="V2341" s="104"/>
      <c r="W2341" s="116"/>
    </row>
    <row r="2342">
      <c r="A2342" s="114" t="s">
        <v>39</v>
      </c>
      <c r="B2342" s="115"/>
      <c r="C2342" s="116"/>
      <c r="D2342" s="116"/>
      <c r="E2342" s="116" t="str">
        <f>IFERROR(__xludf.DUMMYFUNCTION("""COMPUTED_VALUE"""),"")</f>
        <v/>
      </c>
      <c r="F2342" s="117" t="s">
        <v>39</v>
      </c>
      <c r="G2342" s="116"/>
      <c r="H2342" s="117"/>
      <c r="I2342" s="117"/>
      <c r="J2342" s="117"/>
      <c r="K2342" s="117"/>
      <c r="L2342" s="116"/>
      <c r="M2342" s="117"/>
      <c r="N2342" s="118" t="str">
        <f>IFERROR(__xludf.DUMMYFUNCTION("""COMPUTED_VALUE"""),"")</f>
        <v/>
      </c>
      <c r="O2342" s="116"/>
      <c r="P2342" s="116"/>
      <c r="Q2342" s="116"/>
      <c r="R2342" s="116" t="s">
        <v>39</v>
      </c>
      <c r="S2342" s="116" t="s">
        <v>39</v>
      </c>
      <c r="T2342" s="104"/>
      <c r="U2342" s="116"/>
      <c r="V2342" s="104"/>
      <c r="W2342" s="116"/>
    </row>
    <row r="2343">
      <c r="A2343" s="114" t="s">
        <v>39</v>
      </c>
      <c r="B2343" s="115"/>
      <c r="C2343" s="116"/>
      <c r="D2343" s="116"/>
      <c r="E2343" s="116" t="str">
        <f>IFERROR(__xludf.DUMMYFUNCTION("""COMPUTED_VALUE"""),"")</f>
        <v/>
      </c>
      <c r="F2343" s="117" t="s">
        <v>39</v>
      </c>
      <c r="G2343" s="116"/>
      <c r="H2343" s="117"/>
      <c r="I2343" s="117"/>
      <c r="J2343" s="117"/>
      <c r="K2343" s="117"/>
      <c r="L2343" s="116"/>
      <c r="M2343" s="117"/>
      <c r="N2343" s="118" t="str">
        <f>IFERROR(__xludf.DUMMYFUNCTION("""COMPUTED_VALUE"""),"")</f>
        <v/>
      </c>
      <c r="O2343" s="116"/>
      <c r="P2343" s="116"/>
      <c r="Q2343" s="116"/>
      <c r="R2343" s="116" t="s">
        <v>39</v>
      </c>
      <c r="S2343" s="116" t="s">
        <v>39</v>
      </c>
      <c r="T2343" s="104"/>
      <c r="U2343" s="116"/>
      <c r="V2343" s="104"/>
      <c r="W2343" s="116"/>
    </row>
    <row r="2344">
      <c r="A2344" s="114" t="s">
        <v>39</v>
      </c>
      <c r="B2344" s="115"/>
      <c r="C2344" s="116"/>
      <c r="D2344" s="116"/>
      <c r="E2344" s="116" t="str">
        <f>IFERROR(__xludf.DUMMYFUNCTION("""COMPUTED_VALUE"""),"")</f>
        <v/>
      </c>
      <c r="F2344" s="117" t="s">
        <v>39</v>
      </c>
      <c r="G2344" s="116"/>
      <c r="H2344" s="117"/>
      <c r="I2344" s="117"/>
      <c r="J2344" s="117"/>
      <c r="K2344" s="117"/>
      <c r="L2344" s="116"/>
      <c r="M2344" s="117"/>
      <c r="N2344" s="118" t="str">
        <f>IFERROR(__xludf.DUMMYFUNCTION("""COMPUTED_VALUE"""),"")</f>
        <v/>
      </c>
      <c r="O2344" s="116"/>
      <c r="P2344" s="116"/>
      <c r="Q2344" s="116"/>
      <c r="R2344" s="116" t="s">
        <v>39</v>
      </c>
      <c r="S2344" s="116" t="s">
        <v>39</v>
      </c>
      <c r="T2344" s="104"/>
      <c r="U2344" s="116"/>
      <c r="V2344" s="104"/>
      <c r="W2344" s="116"/>
    </row>
    <row r="2345">
      <c r="A2345" s="114" t="s">
        <v>39</v>
      </c>
      <c r="B2345" s="115"/>
      <c r="C2345" s="116"/>
      <c r="D2345" s="116"/>
      <c r="E2345" s="116" t="str">
        <f>IFERROR(__xludf.DUMMYFUNCTION("""COMPUTED_VALUE"""),"")</f>
        <v/>
      </c>
      <c r="F2345" s="117" t="s">
        <v>39</v>
      </c>
      <c r="G2345" s="116"/>
      <c r="H2345" s="117"/>
      <c r="I2345" s="117"/>
      <c r="J2345" s="117"/>
      <c r="K2345" s="117"/>
      <c r="L2345" s="116"/>
      <c r="M2345" s="117"/>
      <c r="N2345" s="118" t="str">
        <f>IFERROR(__xludf.DUMMYFUNCTION("""COMPUTED_VALUE"""),"")</f>
        <v/>
      </c>
      <c r="O2345" s="116"/>
      <c r="P2345" s="116"/>
      <c r="Q2345" s="116"/>
      <c r="R2345" s="116" t="s">
        <v>39</v>
      </c>
      <c r="S2345" s="116" t="s">
        <v>39</v>
      </c>
      <c r="T2345" s="104"/>
      <c r="U2345" s="116"/>
      <c r="V2345" s="104"/>
      <c r="W2345" s="116"/>
    </row>
    <row r="2346">
      <c r="A2346" s="114" t="s">
        <v>39</v>
      </c>
      <c r="B2346" s="115"/>
      <c r="C2346" s="116"/>
      <c r="D2346" s="116"/>
      <c r="E2346" s="116" t="str">
        <f>IFERROR(__xludf.DUMMYFUNCTION("""COMPUTED_VALUE"""),"")</f>
        <v/>
      </c>
      <c r="F2346" s="117" t="s">
        <v>39</v>
      </c>
      <c r="G2346" s="116"/>
      <c r="H2346" s="117"/>
      <c r="I2346" s="117"/>
      <c r="J2346" s="117"/>
      <c r="K2346" s="117"/>
      <c r="L2346" s="116"/>
      <c r="M2346" s="117"/>
      <c r="N2346" s="118" t="str">
        <f>IFERROR(__xludf.DUMMYFUNCTION("""COMPUTED_VALUE"""),"")</f>
        <v/>
      </c>
      <c r="O2346" s="116"/>
      <c r="P2346" s="116"/>
      <c r="Q2346" s="116"/>
      <c r="R2346" s="116" t="s">
        <v>39</v>
      </c>
      <c r="S2346" s="116" t="s">
        <v>39</v>
      </c>
      <c r="T2346" s="104"/>
      <c r="U2346" s="116"/>
      <c r="V2346" s="104"/>
      <c r="W2346" s="116"/>
    </row>
    <row r="2347">
      <c r="A2347" s="114" t="s">
        <v>39</v>
      </c>
      <c r="B2347" s="115"/>
      <c r="C2347" s="116"/>
      <c r="D2347" s="116"/>
      <c r="E2347" s="116" t="str">
        <f>IFERROR(__xludf.DUMMYFUNCTION("""COMPUTED_VALUE"""),"")</f>
        <v/>
      </c>
      <c r="F2347" s="117" t="s">
        <v>39</v>
      </c>
      <c r="G2347" s="116"/>
      <c r="H2347" s="117"/>
      <c r="I2347" s="117"/>
      <c r="J2347" s="117"/>
      <c r="K2347" s="117"/>
      <c r="L2347" s="116"/>
      <c r="M2347" s="117"/>
      <c r="N2347" s="118" t="str">
        <f>IFERROR(__xludf.DUMMYFUNCTION("""COMPUTED_VALUE"""),"")</f>
        <v/>
      </c>
      <c r="O2347" s="116"/>
      <c r="P2347" s="116"/>
      <c r="Q2347" s="116"/>
      <c r="R2347" s="116" t="s">
        <v>39</v>
      </c>
      <c r="S2347" s="116" t="s">
        <v>39</v>
      </c>
      <c r="T2347" s="104"/>
      <c r="U2347" s="116"/>
      <c r="V2347" s="104"/>
      <c r="W2347" s="116"/>
    </row>
    <row r="2348">
      <c r="A2348" s="114" t="s">
        <v>39</v>
      </c>
      <c r="B2348" s="115"/>
      <c r="C2348" s="116"/>
      <c r="D2348" s="116"/>
      <c r="E2348" s="116" t="str">
        <f>IFERROR(__xludf.DUMMYFUNCTION("""COMPUTED_VALUE"""),"")</f>
        <v/>
      </c>
      <c r="F2348" s="117" t="s">
        <v>39</v>
      </c>
      <c r="G2348" s="116"/>
      <c r="H2348" s="117"/>
      <c r="I2348" s="117"/>
      <c r="J2348" s="117"/>
      <c r="K2348" s="117"/>
      <c r="L2348" s="116"/>
      <c r="M2348" s="117"/>
      <c r="N2348" s="118" t="str">
        <f>IFERROR(__xludf.DUMMYFUNCTION("""COMPUTED_VALUE"""),"")</f>
        <v/>
      </c>
      <c r="O2348" s="116"/>
      <c r="P2348" s="116"/>
      <c r="Q2348" s="116"/>
      <c r="R2348" s="116" t="s">
        <v>39</v>
      </c>
      <c r="S2348" s="116" t="s">
        <v>39</v>
      </c>
      <c r="T2348" s="104"/>
      <c r="U2348" s="116"/>
      <c r="V2348" s="104"/>
      <c r="W2348" s="116"/>
    </row>
    <row r="2349">
      <c r="A2349" s="114" t="s">
        <v>39</v>
      </c>
      <c r="B2349" s="115"/>
      <c r="C2349" s="116"/>
      <c r="D2349" s="116"/>
      <c r="E2349" s="116" t="str">
        <f>IFERROR(__xludf.DUMMYFUNCTION("""COMPUTED_VALUE"""),"")</f>
        <v/>
      </c>
      <c r="F2349" s="117" t="s">
        <v>39</v>
      </c>
      <c r="G2349" s="116"/>
      <c r="H2349" s="117"/>
      <c r="I2349" s="117"/>
      <c r="J2349" s="117"/>
      <c r="K2349" s="117"/>
      <c r="L2349" s="116"/>
      <c r="M2349" s="117"/>
      <c r="N2349" s="118" t="str">
        <f>IFERROR(__xludf.DUMMYFUNCTION("""COMPUTED_VALUE"""),"")</f>
        <v/>
      </c>
      <c r="O2349" s="116"/>
      <c r="P2349" s="116"/>
      <c r="Q2349" s="116"/>
      <c r="R2349" s="116" t="s">
        <v>39</v>
      </c>
      <c r="S2349" s="116" t="s">
        <v>39</v>
      </c>
      <c r="T2349" s="104"/>
      <c r="U2349" s="116"/>
      <c r="V2349" s="104"/>
      <c r="W2349" s="116"/>
    </row>
    <row r="2350">
      <c r="A2350" s="114" t="s">
        <v>39</v>
      </c>
      <c r="B2350" s="115"/>
      <c r="C2350" s="116"/>
      <c r="D2350" s="116"/>
      <c r="E2350" s="116" t="str">
        <f>IFERROR(__xludf.DUMMYFUNCTION("""COMPUTED_VALUE"""),"")</f>
        <v/>
      </c>
      <c r="F2350" s="117" t="s">
        <v>39</v>
      </c>
      <c r="G2350" s="116"/>
      <c r="H2350" s="117"/>
      <c r="I2350" s="117"/>
      <c r="J2350" s="117"/>
      <c r="K2350" s="117"/>
      <c r="L2350" s="116"/>
      <c r="M2350" s="117"/>
      <c r="N2350" s="118" t="str">
        <f>IFERROR(__xludf.DUMMYFUNCTION("""COMPUTED_VALUE"""),"")</f>
        <v/>
      </c>
      <c r="O2350" s="116"/>
      <c r="P2350" s="116"/>
      <c r="Q2350" s="116"/>
      <c r="R2350" s="116" t="s">
        <v>39</v>
      </c>
      <c r="S2350" s="116" t="s">
        <v>39</v>
      </c>
      <c r="T2350" s="104"/>
      <c r="U2350" s="116"/>
      <c r="V2350" s="104"/>
      <c r="W2350" s="116"/>
    </row>
    <row r="2351">
      <c r="A2351" s="114" t="s">
        <v>39</v>
      </c>
      <c r="B2351" s="115"/>
      <c r="C2351" s="116"/>
      <c r="D2351" s="116"/>
      <c r="E2351" s="116" t="str">
        <f>IFERROR(__xludf.DUMMYFUNCTION("""COMPUTED_VALUE"""),"")</f>
        <v/>
      </c>
      <c r="F2351" s="117" t="s">
        <v>39</v>
      </c>
      <c r="G2351" s="116"/>
      <c r="H2351" s="117"/>
      <c r="I2351" s="117"/>
      <c r="J2351" s="117"/>
      <c r="K2351" s="117"/>
      <c r="L2351" s="116"/>
      <c r="M2351" s="117"/>
      <c r="N2351" s="118" t="str">
        <f>IFERROR(__xludf.DUMMYFUNCTION("""COMPUTED_VALUE"""),"")</f>
        <v/>
      </c>
      <c r="O2351" s="116"/>
      <c r="P2351" s="116"/>
      <c r="Q2351" s="116"/>
      <c r="R2351" s="116" t="s">
        <v>39</v>
      </c>
      <c r="S2351" s="116" t="s">
        <v>39</v>
      </c>
      <c r="T2351" s="104"/>
      <c r="U2351" s="116"/>
      <c r="V2351" s="104"/>
      <c r="W2351" s="116"/>
    </row>
    <row r="2352">
      <c r="A2352" s="114" t="s">
        <v>39</v>
      </c>
      <c r="B2352" s="115"/>
      <c r="C2352" s="116"/>
      <c r="D2352" s="116"/>
      <c r="E2352" s="116" t="str">
        <f>IFERROR(__xludf.DUMMYFUNCTION("""COMPUTED_VALUE"""),"")</f>
        <v/>
      </c>
      <c r="F2352" s="117" t="s">
        <v>39</v>
      </c>
      <c r="G2352" s="116"/>
      <c r="H2352" s="117"/>
      <c r="I2352" s="117"/>
      <c r="J2352" s="117"/>
      <c r="K2352" s="117"/>
      <c r="L2352" s="116"/>
      <c r="M2352" s="117"/>
      <c r="N2352" s="118" t="str">
        <f>IFERROR(__xludf.DUMMYFUNCTION("""COMPUTED_VALUE"""),"")</f>
        <v/>
      </c>
      <c r="O2352" s="116"/>
      <c r="P2352" s="116"/>
      <c r="Q2352" s="116"/>
      <c r="R2352" s="116" t="s">
        <v>39</v>
      </c>
      <c r="S2352" s="116" t="s">
        <v>39</v>
      </c>
      <c r="T2352" s="104"/>
      <c r="U2352" s="116"/>
      <c r="V2352" s="104"/>
      <c r="W2352" s="116"/>
    </row>
    <row r="2353">
      <c r="A2353" s="114" t="s">
        <v>39</v>
      </c>
      <c r="B2353" s="115"/>
      <c r="C2353" s="116"/>
      <c r="D2353" s="116"/>
      <c r="E2353" s="116" t="str">
        <f>IFERROR(__xludf.DUMMYFUNCTION("""COMPUTED_VALUE"""),"")</f>
        <v/>
      </c>
      <c r="F2353" s="117" t="s">
        <v>39</v>
      </c>
      <c r="G2353" s="116"/>
      <c r="H2353" s="117"/>
      <c r="I2353" s="117"/>
      <c r="J2353" s="117"/>
      <c r="K2353" s="117"/>
      <c r="L2353" s="116"/>
      <c r="M2353" s="117"/>
      <c r="N2353" s="118" t="str">
        <f>IFERROR(__xludf.DUMMYFUNCTION("""COMPUTED_VALUE"""),"")</f>
        <v/>
      </c>
      <c r="O2353" s="116"/>
      <c r="P2353" s="116"/>
      <c r="Q2353" s="116"/>
      <c r="R2353" s="116" t="s">
        <v>39</v>
      </c>
      <c r="S2353" s="116" t="s">
        <v>39</v>
      </c>
      <c r="T2353" s="104"/>
      <c r="U2353" s="116"/>
      <c r="V2353" s="104"/>
      <c r="W2353" s="116"/>
    </row>
    <row r="2354">
      <c r="A2354" s="114" t="s">
        <v>39</v>
      </c>
      <c r="B2354" s="115"/>
      <c r="C2354" s="116"/>
      <c r="D2354" s="116"/>
      <c r="E2354" s="116" t="str">
        <f>IFERROR(__xludf.DUMMYFUNCTION("""COMPUTED_VALUE"""),"")</f>
        <v/>
      </c>
      <c r="F2354" s="117" t="s">
        <v>39</v>
      </c>
      <c r="G2354" s="116"/>
      <c r="H2354" s="117"/>
      <c r="I2354" s="117"/>
      <c r="J2354" s="117"/>
      <c r="K2354" s="117"/>
      <c r="L2354" s="116"/>
      <c r="M2354" s="117"/>
      <c r="N2354" s="118" t="str">
        <f>IFERROR(__xludf.DUMMYFUNCTION("""COMPUTED_VALUE"""),"")</f>
        <v/>
      </c>
      <c r="O2354" s="116"/>
      <c r="P2354" s="116"/>
      <c r="Q2354" s="116"/>
      <c r="R2354" s="116" t="s">
        <v>39</v>
      </c>
      <c r="S2354" s="116" t="s">
        <v>39</v>
      </c>
      <c r="T2354" s="104"/>
      <c r="U2354" s="116"/>
      <c r="V2354" s="104"/>
      <c r="W2354" s="116"/>
    </row>
    <row r="2355">
      <c r="A2355" s="114" t="s">
        <v>39</v>
      </c>
      <c r="B2355" s="115"/>
      <c r="C2355" s="116"/>
      <c r="D2355" s="116"/>
      <c r="E2355" s="116" t="str">
        <f>IFERROR(__xludf.DUMMYFUNCTION("""COMPUTED_VALUE"""),"")</f>
        <v/>
      </c>
      <c r="F2355" s="117" t="s">
        <v>39</v>
      </c>
      <c r="G2355" s="116"/>
      <c r="H2355" s="117"/>
      <c r="I2355" s="117"/>
      <c r="J2355" s="117"/>
      <c r="K2355" s="117"/>
      <c r="L2355" s="116"/>
      <c r="M2355" s="117"/>
      <c r="N2355" s="118" t="str">
        <f>IFERROR(__xludf.DUMMYFUNCTION("""COMPUTED_VALUE"""),"")</f>
        <v/>
      </c>
      <c r="O2355" s="116"/>
      <c r="P2355" s="116"/>
      <c r="Q2355" s="116"/>
      <c r="R2355" s="116" t="s">
        <v>39</v>
      </c>
      <c r="S2355" s="116" t="s">
        <v>39</v>
      </c>
      <c r="T2355" s="104"/>
      <c r="U2355" s="116"/>
      <c r="V2355" s="104"/>
      <c r="W2355" s="116"/>
    </row>
    <row r="2356">
      <c r="A2356" s="114" t="s">
        <v>39</v>
      </c>
      <c r="B2356" s="115"/>
      <c r="C2356" s="116"/>
      <c r="D2356" s="116"/>
      <c r="E2356" s="116" t="str">
        <f>IFERROR(__xludf.DUMMYFUNCTION("""COMPUTED_VALUE"""),"")</f>
        <v/>
      </c>
      <c r="F2356" s="117" t="s">
        <v>39</v>
      </c>
      <c r="G2356" s="116"/>
      <c r="H2356" s="117"/>
      <c r="I2356" s="117"/>
      <c r="J2356" s="117"/>
      <c r="K2356" s="117"/>
      <c r="L2356" s="116"/>
      <c r="M2356" s="117"/>
      <c r="N2356" s="118" t="str">
        <f>IFERROR(__xludf.DUMMYFUNCTION("""COMPUTED_VALUE"""),"")</f>
        <v/>
      </c>
      <c r="O2356" s="116"/>
      <c r="P2356" s="116"/>
      <c r="Q2356" s="116"/>
      <c r="R2356" s="116" t="s">
        <v>39</v>
      </c>
      <c r="S2356" s="116" t="s">
        <v>39</v>
      </c>
      <c r="T2356" s="104"/>
      <c r="U2356" s="116"/>
      <c r="V2356" s="104"/>
      <c r="W2356" s="116"/>
    </row>
    <row r="2357">
      <c r="A2357" s="114" t="s">
        <v>39</v>
      </c>
      <c r="B2357" s="115"/>
      <c r="C2357" s="116"/>
      <c r="D2357" s="116"/>
      <c r="E2357" s="116" t="str">
        <f>IFERROR(__xludf.DUMMYFUNCTION("""COMPUTED_VALUE"""),"")</f>
        <v/>
      </c>
      <c r="F2357" s="117" t="s">
        <v>39</v>
      </c>
      <c r="G2357" s="116"/>
      <c r="H2357" s="117"/>
      <c r="I2357" s="117"/>
      <c r="J2357" s="117"/>
      <c r="K2357" s="117"/>
      <c r="L2357" s="116"/>
      <c r="M2357" s="117"/>
      <c r="N2357" s="118" t="str">
        <f>IFERROR(__xludf.DUMMYFUNCTION("""COMPUTED_VALUE"""),"")</f>
        <v/>
      </c>
      <c r="O2357" s="116"/>
      <c r="P2357" s="116"/>
      <c r="Q2357" s="116"/>
      <c r="R2357" s="116" t="s">
        <v>39</v>
      </c>
      <c r="S2357" s="116" t="s">
        <v>39</v>
      </c>
      <c r="T2357" s="104"/>
      <c r="U2357" s="116"/>
      <c r="V2357" s="104"/>
      <c r="W2357" s="116"/>
    </row>
    <row r="2358">
      <c r="A2358" s="114" t="s">
        <v>39</v>
      </c>
      <c r="B2358" s="115"/>
      <c r="C2358" s="116"/>
      <c r="D2358" s="116"/>
      <c r="E2358" s="116" t="str">
        <f>IFERROR(__xludf.DUMMYFUNCTION("""COMPUTED_VALUE"""),"")</f>
        <v/>
      </c>
      <c r="F2358" s="117" t="s">
        <v>39</v>
      </c>
      <c r="G2358" s="116"/>
      <c r="H2358" s="117"/>
      <c r="I2358" s="117"/>
      <c r="J2358" s="117"/>
      <c r="K2358" s="117"/>
      <c r="L2358" s="116"/>
      <c r="M2358" s="117"/>
      <c r="N2358" s="118" t="str">
        <f>IFERROR(__xludf.DUMMYFUNCTION("""COMPUTED_VALUE"""),"")</f>
        <v/>
      </c>
      <c r="O2358" s="116"/>
      <c r="P2358" s="116"/>
      <c r="Q2358" s="116"/>
      <c r="R2358" s="116" t="s">
        <v>39</v>
      </c>
      <c r="S2358" s="116" t="s">
        <v>39</v>
      </c>
      <c r="T2358" s="104"/>
      <c r="U2358" s="116"/>
      <c r="V2358" s="104"/>
      <c r="W2358" s="116"/>
    </row>
    <row r="2359">
      <c r="A2359" s="114" t="s">
        <v>39</v>
      </c>
      <c r="B2359" s="115"/>
      <c r="C2359" s="116"/>
      <c r="D2359" s="116"/>
      <c r="E2359" s="116" t="str">
        <f>IFERROR(__xludf.DUMMYFUNCTION("""COMPUTED_VALUE"""),"")</f>
        <v/>
      </c>
      <c r="F2359" s="117" t="s">
        <v>39</v>
      </c>
      <c r="G2359" s="116"/>
      <c r="H2359" s="117"/>
      <c r="I2359" s="117"/>
      <c r="J2359" s="117"/>
      <c r="K2359" s="117"/>
      <c r="L2359" s="116"/>
      <c r="M2359" s="117"/>
      <c r="N2359" s="118" t="str">
        <f>IFERROR(__xludf.DUMMYFUNCTION("""COMPUTED_VALUE"""),"")</f>
        <v/>
      </c>
      <c r="O2359" s="116"/>
      <c r="P2359" s="116"/>
      <c r="Q2359" s="116"/>
      <c r="R2359" s="116" t="s">
        <v>39</v>
      </c>
      <c r="S2359" s="116" t="s">
        <v>39</v>
      </c>
      <c r="T2359" s="104"/>
      <c r="U2359" s="116"/>
      <c r="V2359" s="104"/>
      <c r="W2359" s="116"/>
    </row>
    <row r="2360">
      <c r="A2360" s="114" t="s">
        <v>39</v>
      </c>
      <c r="B2360" s="115"/>
      <c r="C2360" s="116"/>
      <c r="D2360" s="116"/>
      <c r="E2360" s="116" t="str">
        <f>IFERROR(__xludf.DUMMYFUNCTION("""COMPUTED_VALUE"""),"")</f>
        <v/>
      </c>
      <c r="F2360" s="117" t="s">
        <v>39</v>
      </c>
      <c r="G2360" s="116"/>
      <c r="H2360" s="117"/>
      <c r="I2360" s="117"/>
      <c r="J2360" s="117"/>
      <c r="K2360" s="117"/>
      <c r="L2360" s="116"/>
      <c r="M2360" s="117"/>
      <c r="N2360" s="118" t="str">
        <f>IFERROR(__xludf.DUMMYFUNCTION("""COMPUTED_VALUE"""),"")</f>
        <v/>
      </c>
      <c r="O2360" s="116"/>
      <c r="P2360" s="116"/>
      <c r="Q2360" s="116"/>
      <c r="R2360" s="116" t="s">
        <v>39</v>
      </c>
      <c r="S2360" s="116" t="s">
        <v>39</v>
      </c>
      <c r="T2360" s="104"/>
      <c r="U2360" s="116"/>
      <c r="V2360" s="104"/>
      <c r="W2360" s="116"/>
    </row>
    <row r="2361">
      <c r="A2361" s="114" t="s">
        <v>39</v>
      </c>
      <c r="B2361" s="115"/>
      <c r="C2361" s="116"/>
      <c r="D2361" s="116"/>
      <c r="E2361" s="116" t="str">
        <f>IFERROR(__xludf.DUMMYFUNCTION("""COMPUTED_VALUE"""),"")</f>
        <v/>
      </c>
      <c r="F2361" s="117" t="s">
        <v>39</v>
      </c>
      <c r="G2361" s="116"/>
      <c r="H2361" s="117"/>
      <c r="I2361" s="117"/>
      <c r="J2361" s="117"/>
      <c r="K2361" s="117"/>
      <c r="L2361" s="116"/>
      <c r="M2361" s="117"/>
      <c r="N2361" s="118" t="str">
        <f>IFERROR(__xludf.DUMMYFUNCTION("""COMPUTED_VALUE"""),"")</f>
        <v/>
      </c>
      <c r="O2361" s="116"/>
      <c r="P2361" s="116"/>
      <c r="Q2361" s="116"/>
      <c r="R2361" s="116" t="s">
        <v>39</v>
      </c>
      <c r="S2361" s="116" t="s">
        <v>39</v>
      </c>
      <c r="T2361" s="104"/>
      <c r="U2361" s="116"/>
      <c r="V2361" s="104"/>
      <c r="W2361" s="116"/>
    </row>
    <row r="2362">
      <c r="A2362" s="114" t="s">
        <v>39</v>
      </c>
      <c r="B2362" s="115"/>
      <c r="C2362" s="116"/>
      <c r="D2362" s="116"/>
      <c r="E2362" s="116" t="str">
        <f>IFERROR(__xludf.DUMMYFUNCTION("""COMPUTED_VALUE"""),"")</f>
        <v/>
      </c>
      <c r="F2362" s="117" t="s">
        <v>39</v>
      </c>
      <c r="G2362" s="116"/>
      <c r="H2362" s="117"/>
      <c r="I2362" s="117"/>
      <c r="J2362" s="117"/>
      <c r="K2362" s="117"/>
      <c r="L2362" s="116"/>
      <c r="M2362" s="117"/>
      <c r="N2362" s="118" t="str">
        <f>IFERROR(__xludf.DUMMYFUNCTION("""COMPUTED_VALUE"""),"")</f>
        <v/>
      </c>
      <c r="O2362" s="116"/>
      <c r="P2362" s="116"/>
      <c r="Q2362" s="116"/>
      <c r="R2362" s="116" t="s">
        <v>39</v>
      </c>
      <c r="S2362" s="116" t="s">
        <v>39</v>
      </c>
      <c r="T2362" s="104"/>
      <c r="U2362" s="116"/>
      <c r="V2362" s="104"/>
      <c r="W2362" s="116"/>
    </row>
    <row r="2363">
      <c r="A2363" s="114" t="s">
        <v>39</v>
      </c>
      <c r="B2363" s="115"/>
      <c r="C2363" s="116"/>
      <c r="D2363" s="116"/>
      <c r="E2363" s="116" t="str">
        <f>IFERROR(__xludf.DUMMYFUNCTION("""COMPUTED_VALUE"""),"")</f>
        <v/>
      </c>
      <c r="F2363" s="117" t="s">
        <v>39</v>
      </c>
      <c r="G2363" s="116"/>
      <c r="H2363" s="117"/>
      <c r="I2363" s="117"/>
      <c r="J2363" s="117"/>
      <c r="K2363" s="117"/>
      <c r="L2363" s="116"/>
      <c r="M2363" s="117"/>
      <c r="N2363" s="118" t="str">
        <f>IFERROR(__xludf.DUMMYFUNCTION("""COMPUTED_VALUE"""),"")</f>
        <v/>
      </c>
      <c r="O2363" s="116"/>
      <c r="P2363" s="116"/>
      <c r="Q2363" s="116"/>
      <c r="R2363" s="116" t="s">
        <v>39</v>
      </c>
      <c r="S2363" s="116" t="s">
        <v>39</v>
      </c>
      <c r="T2363" s="104"/>
      <c r="U2363" s="116"/>
      <c r="V2363" s="104"/>
      <c r="W2363" s="116"/>
    </row>
    <row r="2364">
      <c r="A2364" s="114" t="s">
        <v>39</v>
      </c>
      <c r="B2364" s="115"/>
      <c r="C2364" s="116"/>
      <c r="D2364" s="116"/>
      <c r="E2364" s="116" t="str">
        <f>IFERROR(__xludf.DUMMYFUNCTION("""COMPUTED_VALUE"""),"")</f>
        <v/>
      </c>
      <c r="F2364" s="117" t="s">
        <v>39</v>
      </c>
      <c r="G2364" s="116"/>
      <c r="H2364" s="117"/>
      <c r="I2364" s="117"/>
      <c r="J2364" s="117"/>
      <c r="K2364" s="117"/>
      <c r="L2364" s="116"/>
      <c r="M2364" s="117"/>
      <c r="N2364" s="118" t="str">
        <f>IFERROR(__xludf.DUMMYFUNCTION("""COMPUTED_VALUE"""),"")</f>
        <v/>
      </c>
      <c r="O2364" s="116"/>
      <c r="P2364" s="116"/>
      <c r="Q2364" s="116"/>
      <c r="R2364" s="116" t="s">
        <v>39</v>
      </c>
      <c r="S2364" s="116" t="s">
        <v>39</v>
      </c>
      <c r="T2364" s="104"/>
      <c r="U2364" s="116"/>
      <c r="V2364" s="104"/>
      <c r="W2364" s="116"/>
    </row>
    <row r="2365">
      <c r="A2365" s="114" t="s">
        <v>39</v>
      </c>
      <c r="B2365" s="115"/>
      <c r="C2365" s="116"/>
      <c r="D2365" s="116"/>
      <c r="E2365" s="116" t="str">
        <f>IFERROR(__xludf.DUMMYFUNCTION("""COMPUTED_VALUE"""),"")</f>
        <v/>
      </c>
      <c r="F2365" s="117" t="s">
        <v>39</v>
      </c>
      <c r="G2365" s="116"/>
      <c r="H2365" s="117"/>
      <c r="I2365" s="117"/>
      <c r="J2365" s="117"/>
      <c r="K2365" s="117"/>
      <c r="L2365" s="116"/>
      <c r="M2365" s="117"/>
      <c r="N2365" s="118" t="str">
        <f>IFERROR(__xludf.DUMMYFUNCTION("""COMPUTED_VALUE"""),"")</f>
        <v/>
      </c>
      <c r="O2365" s="116"/>
      <c r="P2365" s="116"/>
      <c r="Q2365" s="116"/>
      <c r="R2365" s="116" t="s">
        <v>39</v>
      </c>
      <c r="S2365" s="116" t="s">
        <v>39</v>
      </c>
      <c r="T2365" s="104"/>
      <c r="U2365" s="116"/>
      <c r="V2365" s="104"/>
      <c r="W2365" s="116"/>
    </row>
    <row r="2366">
      <c r="A2366" s="114" t="s">
        <v>39</v>
      </c>
      <c r="B2366" s="115"/>
      <c r="C2366" s="116"/>
      <c r="D2366" s="116"/>
      <c r="E2366" s="116" t="str">
        <f>IFERROR(__xludf.DUMMYFUNCTION("""COMPUTED_VALUE"""),"")</f>
        <v/>
      </c>
      <c r="F2366" s="117" t="s">
        <v>39</v>
      </c>
      <c r="G2366" s="116"/>
      <c r="H2366" s="117"/>
      <c r="I2366" s="117"/>
      <c r="J2366" s="117"/>
      <c r="K2366" s="117"/>
      <c r="L2366" s="116"/>
      <c r="M2366" s="117"/>
      <c r="N2366" s="118" t="str">
        <f>IFERROR(__xludf.DUMMYFUNCTION("""COMPUTED_VALUE"""),"")</f>
        <v/>
      </c>
      <c r="O2366" s="116"/>
      <c r="P2366" s="116"/>
      <c r="Q2366" s="116"/>
      <c r="R2366" s="116" t="s">
        <v>39</v>
      </c>
      <c r="S2366" s="116" t="s">
        <v>39</v>
      </c>
      <c r="T2366" s="104"/>
      <c r="U2366" s="116"/>
      <c r="V2366" s="104"/>
      <c r="W2366" s="116"/>
    </row>
    <row r="2367">
      <c r="A2367" s="114" t="s">
        <v>39</v>
      </c>
      <c r="B2367" s="115"/>
      <c r="C2367" s="116"/>
      <c r="D2367" s="116"/>
      <c r="E2367" s="116" t="str">
        <f>IFERROR(__xludf.DUMMYFUNCTION("""COMPUTED_VALUE"""),"")</f>
        <v/>
      </c>
      <c r="F2367" s="117" t="s">
        <v>39</v>
      </c>
      <c r="G2367" s="116"/>
      <c r="H2367" s="117"/>
      <c r="I2367" s="117"/>
      <c r="J2367" s="117"/>
      <c r="K2367" s="117"/>
      <c r="L2367" s="116"/>
      <c r="M2367" s="117"/>
      <c r="N2367" s="118" t="str">
        <f>IFERROR(__xludf.DUMMYFUNCTION("""COMPUTED_VALUE"""),"")</f>
        <v/>
      </c>
      <c r="O2367" s="116"/>
      <c r="P2367" s="116"/>
      <c r="Q2367" s="116"/>
      <c r="R2367" s="116" t="s">
        <v>39</v>
      </c>
      <c r="S2367" s="116" t="s">
        <v>39</v>
      </c>
      <c r="T2367" s="104"/>
      <c r="U2367" s="116"/>
      <c r="V2367" s="104"/>
      <c r="W2367" s="116"/>
    </row>
    <row r="2368">
      <c r="A2368" s="114" t="s">
        <v>39</v>
      </c>
      <c r="B2368" s="115"/>
      <c r="C2368" s="116"/>
      <c r="D2368" s="116"/>
      <c r="E2368" s="116" t="str">
        <f>IFERROR(__xludf.DUMMYFUNCTION("""COMPUTED_VALUE"""),"")</f>
        <v/>
      </c>
      <c r="F2368" s="117" t="s">
        <v>39</v>
      </c>
      <c r="G2368" s="116"/>
      <c r="H2368" s="117"/>
      <c r="I2368" s="117"/>
      <c r="J2368" s="117"/>
      <c r="K2368" s="117"/>
      <c r="L2368" s="116"/>
      <c r="M2368" s="117"/>
      <c r="N2368" s="118" t="str">
        <f>IFERROR(__xludf.DUMMYFUNCTION("""COMPUTED_VALUE"""),"")</f>
        <v/>
      </c>
      <c r="O2368" s="116"/>
      <c r="P2368" s="116"/>
      <c r="Q2368" s="116"/>
      <c r="R2368" s="116" t="s">
        <v>39</v>
      </c>
      <c r="S2368" s="116" t="s">
        <v>39</v>
      </c>
      <c r="T2368" s="104"/>
      <c r="U2368" s="116"/>
      <c r="V2368" s="104"/>
      <c r="W2368" s="116"/>
    </row>
    <row r="2369">
      <c r="A2369" s="114" t="s">
        <v>39</v>
      </c>
      <c r="B2369" s="115"/>
      <c r="C2369" s="116"/>
      <c r="D2369" s="116"/>
      <c r="E2369" s="116" t="str">
        <f>IFERROR(__xludf.DUMMYFUNCTION("""COMPUTED_VALUE"""),"")</f>
        <v/>
      </c>
      <c r="F2369" s="117" t="s">
        <v>39</v>
      </c>
      <c r="G2369" s="116"/>
      <c r="H2369" s="117"/>
      <c r="I2369" s="117"/>
      <c r="J2369" s="117"/>
      <c r="K2369" s="117"/>
      <c r="L2369" s="116"/>
      <c r="M2369" s="117"/>
      <c r="N2369" s="118" t="str">
        <f>IFERROR(__xludf.DUMMYFUNCTION("""COMPUTED_VALUE"""),"")</f>
        <v/>
      </c>
      <c r="O2369" s="116"/>
      <c r="P2369" s="116"/>
      <c r="Q2369" s="116"/>
      <c r="R2369" s="116" t="s">
        <v>39</v>
      </c>
      <c r="S2369" s="116" t="s">
        <v>39</v>
      </c>
      <c r="T2369" s="104"/>
      <c r="U2369" s="116"/>
      <c r="V2369" s="104"/>
      <c r="W2369" s="116"/>
    </row>
    <row r="2370">
      <c r="A2370" s="114" t="s">
        <v>39</v>
      </c>
      <c r="B2370" s="115"/>
      <c r="C2370" s="116"/>
      <c r="D2370" s="116"/>
      <c r="E2370" s="116" t="str">
        <f>IFERROR(__xludf.DUMMYFUNCTION("""COMPUTED_VALUE"""),"")</f>
        <v/>
      </c>
      <c r="F2370" s="117" t="s">
        <v>39</v>
      </c>
      <c r="G2370" s="116"/>
      <c r="H2370" s="117"/>
      <c r="I2370" s="117"/>
      <c r="J2370" s="117"/>
      <c r="K2370" s="117"/>
      <c r="L2370" s="116"/>
      <c r="M2370" s="117"/>
      <c r="N2370" s="118" t="str">
        <f>IFERROR(__xludf.DUMMYFUNCTION("""COMPUTED_VALUE"""),"")</f>
        <v/>
      </c>
      <c r="O2370" s="116"/>
      <c r="P2370" s="116"/>
      <c r="Q2370" s="116"/>
      <c r="R2370" s="116" t="s">
        <v>39</v>
      </c>
      <c r="S2370" s="116" t="s">
        <v>39</v>
      </c>
      <c r="T2370" s="104"/>
      <c r="U2370" s="116"/>
      <c r="V2370" s="104"/>
      <c r="W2370" s="116"/>
    </row>
    <row r="2371">
      <c r="A2371" s="114" t="s">
        <v>39</v>
      </c>
      <c r="B2371" s="115"/>
      <c r="C2371" s="116"/>
      <c r="D2371" s="116"/>
      <c r="E2371" s="116" t="str">
        <f>IFERROR(__xludf.DUMMYFUNCTION("""COMPUTED_VALUE"""),"")</f>
        <v/>
      </c>
      <c r="F2371" s="117" t="s">
        <v>39</v>
      </c>
      <c r="G2371" s="116"/>
      <c r="H2371" s="117"/>
      <c r="I2371" s="117"/>
      <c r="J2371" s="117"/>
      <c r="K2371" s="117"/>
      <c r="L2371" s="116"/>
      <c r="M2371" s="117"/>
      <c r="N2371" s="118" t="str">
        <f>IFERROR(__xludf.DUMMYFUNCTION("""COMPUTED_VALUE"""),"")</f>
        <v/>
      </c>
      <c r="O2371" s="116"/>
      <c r="P2371" s="116"/>
      <c r="Q2371" s="116"/>
      <c r="R2371" s="116" t="s">
        <v>39</v>
      </c>
      <c r="S2371" s="116" t="s">
        <v>39</v>
      </c>
      <c r="T2371" s="104"/>
      <c r="U2371" s="116"/>
      <c r="V2371" s="104"/>
      <c r="W2371" s="116"/>
    </row>
    <row r="2372">
      <c r="A2372" s="114" t="s">
        <v>39</v>
      </c>
      <c r="B2372" s="115"/>
      <c r="C2372" s="116"/>
      <c r="D2372" s="116"/>
      <c r="E2372" s="116" t="str">
        <f>IFERROR(__xludf.DUMMYFUNCTION("""COMPUTED_VALUE"""),"")</f>
        <v/>
      </c>
      <c r="F2372" s="117" t="s">
        <v>39</v>
      </c>
      <c r="G2372" s="116"/>
      <c r="H2372" s="117"/>
      <c r="I2372" s="117"/>
      <c r="J2372" s="117"/>
      <c r="K2372" s="117"/>
      <c r="L2372" s="116"/>
      <c r="M2372" s="117"/>
      <c r="N2372" s="118" t="str">
        <f>IFERROR(__xludf.DUMMYFUNCTION("""COMPUTED_VALUE"""),"")</f>
        <v/>
      </c>
      <c r="O2372" s="116"/>
      <c r="P2372" s="116"/>
      <c r="Q2372" s="116"/>
      <c r="R2372" s="116" t="s">
        <v>39</v>
      </c>
      <c r="S2372" s="116" t="s">
        <v>39</v>
      </c>
      <c r="T2372" s="104"/>
      <c r="U2372" s="116"/>
      <c r="V2372" s="104"/>
      <c r="W2372" s="116"/>
    </row>
    <row r="2373">
      <c r="A2373" s="114" t="s">
        <v>39</v>
      </c>
      <c r="B2373" s="115"/>
      <c r="C2373" s="116"/>
      <c r="D2373" s="116"/>
      <c r="E2373" s="116" t="str">
        <f>IFERROR(__xludf.DUMMYFUNCTION("""COMPUTED_VALUE"""),"")</f>
        <v/>
      </c>
      <c r="F2373" s="117" t="s">
        <v>39</v>
      </c>
      <c r="G2373" s="116"/>
      <c r="H2373" s="117"/>
      <c r="I2373" s="117"/>
      <c r="J2373" s="117"/>
      <c r="K2373" s="117"/>
      <c r="L2373" s="116"/>
      <c r="M2373" s="117"/>
      <c r="N2373" s="118" t="str">
        <f>IFERROR(__xludf.DUMMYFUNCTION("""COMPUTED_VALUE"""),"")</f>
        <v/>
      </c>
      <c r="O2373" s="116"/>
      <c r="P2373" s="116"/>
      <c r="Q2373" s="116"/>
      <c r="R2373" s="116" t="s">
        <v>39</v>
      </c>
      <c r="S2373" s="116" t="s">
        <v>39</v>
      </c>
      <c r="T2373" s="104"/>
      <c r="U2373" s="116"/>
      <c r="V2373" s="104"/>
      <c r="W2373" s="116"/>
    </row>
    <row r="2374">
      <c r="A2374" s="114" t="s">
        <v>39</v>
      </c>
      <c r="B2374" s="115"/>
      <c r="C2374" s="116"/>
      <c r="D2374" s="116"/>
      <c r="E2374" s="116" t="str">
        <f>IFERROR(__xludf.DUMMYFUNCTION("""COMPUTED_VALUE"""),"")</f>
        <v/>
      </c>
      <c r="F2374" s="117" t="s">
        <v>39</v>
      </c>
      <c r="G2374" s="116"/>
      <c r="H2374" s="117"/>
      <c r="I2374" s="117"/>
      <c r="J2374" s="117"/>
      <c r="K2374" s="117"/>
      <c r="L2374" s="116"/>
      <c r="M2374" s="117"/>
      <c r="N2374" s="118" t="str">
        <f>IFERROR(__xludf.DUMMYFUNCTION("""COMPUTED_VALUE"""),"")</f>
        <v/>
      </c>
      <c r="O2374" s="116"/>
      <c r="P2374" s="116"/>
      <c r="Q2374" s="116"/>
      <c r="R2374" s="116" t="s">
        <v>39</v>
      </c>
      <c r="S2374" s="116" t="s">
        <v>39</v>
      </c>
      <c r="T2374" s="104"/>
      <c r="U2374" s="116"/>
      <c r="V2374" s="104"/>
      <c r="W2374" s="116"/>
    </row>
    <row r="2375">
      <c r="A2375" s="114" t="s">
        <v>39</v>
      </c>
      <c r="B2375" s="115"/>
      <c r="C2375" s="116"/>
      <c r="D2375" s="116"/>
      <c r="E2375" s="116" t="str">
        <f>IFERROR(__xludf.DUMMYFUNCTION("""COMPUTED_VALUE"""),"")</f>
        <v/>
      </c>
      <c r="F2375" s="117" t="s">
        <v>39</v>
      </c>
      <c r="G2375" s="116"/>
      <c r="H2375" s="117"/>
      <c r="I2375" s="117"/>
      <c r="J2375" s="117"/>
      <c r="K2375" s="117"/>
      <c r="L2375" s="116"/>
      <c r="M2375" s="117"/>
      <c r="N2375" s="118" t="str">
        <f>IFERROR(__xludf.DUMMYFUNCTION("""COMPUTED_VALUE"""),"")</f>
        <v/>
      </c>
      <c r="O2375" s="116"/>
      <c r="P2375" s="116"/>
      <c r="Q2375" s="116"/>
      <c r="R2375" s="116" t="s">
        <v>39</v>
      </c>
      <c r="S2375" s="116" t="s">
        <v>39</v>
      </c>
      <c r="T2375" s="104"/>
      <c r="U2375" s="116"/>
      <c r="V2375" s="104"/>
      <c r="W2375" s="116"/>
    </row>
    <row r="2376">
      <c r="A2376" s="114" t="s">
        <v>39</v>
      </c>
      <c r="B2376" s="115"/>
      <c r="C2376" s="116"/>
      <c r="D2376" s="116"/>
      <c r="E2376" s="116" t="str">
        <f>IFERROR(__xludf.DUMMYFUNCTION("""COMPUTED_VALUE"""),"")</f>
        <v/>
      </c>
      <c r="F2376" s="117" t="s">
        <v>39</v>
      </c>
      <c r="G2376" s="116"/>
      <c r="H2376" s="117"/>
      <c r="I2376" s="117"/>
      <c r="J2376" s="117"/>
      <c r="K2376" s="117"/>
      <c r="L2376" s="116"/>
      <c r="M2376" s="117"/>
      <c r="N2376" s="118" t="str">
        <f>IFERROR(__xludf.DUMMYFUNCTION("""COMPUTED_VALUE"""),"")</f>
        <v/>
      </c>
      <c r="O2376" s="116"/>
      <c r="P2376" s="116"/>
      <c r="Q2376" s="116"/>
      <c r="R2376" s="116" t="s">
        <v>39</v>
      </c>
      <c r="S2376" s="116" t="s">
        <v>39</v>
      </c>
      <c r="T2376" s="104"/>
      <c r="U2376" s="116"/>
      <c r="V2376" s="104"/>
      <c r="W2376" s="116"/>
    </row>
    <row r="2377">
      <c r="A2377" s="114" t="s">
        <v>39</v>
      </c>
      <c r="B2377" s="115"/>
      <c r="C2377" s="116"/>
      <c r="D2377" s="116"/>
      <c r="E2377" s="116" t="str">
        <f>IFERROR(__xludf.DUMMYFUNCTION("""COMPUTED_VALUE"""),"")</f>
        <v/>
      </c>
      <c r="F2377" s="117" t="s">
        <v>39</v>
      </c>
      <c r="G2377" s="116"/>
      <c r="H2377" s="117"/>
      <c r="I2377" s="117"/>
      <c r="J2377" s="117"/>
      <c r="K2377" s="117"/>
      <c r="L2377" s="116"/>
      <c r="M2377" s="117"/>
      <c r="N2377" s="118" t="str">
        <f>IFERROR(__xludf.DUMMYFUNCTION("""COMPUTED_VALUE"""),"")</f>
        <v/>
      </c>
      <c r="O2377" s="116"/>
      <c r="P2377" s="116"/>
      <c r="Q2377" s="116"/>
      <c r="R2377" s="116" t="s">
        <v>39</v>
      </c>
      <c r="S2377" s="116" t="s">
        <v>39</v>
      </c>
      <c r="T2377" s="104"/>
      <c r="U2377" s="116"/>
      <c r="V2377" s="104"/>
      <c r="W2377" s="116"/>
    </row>
    <row r="2378">
      <c r="A2378" s="114" t="s">
        <v>39</v>
      </c>
      <c r="B2378" s="115"/>
      <c r="C2378" s="116"/>
      <c r="D2378" s="116"/>
      <c r="E2378" s="116" t="str">
        <f>IFERROR(__xludf.DUMMYFUNCTION("""COMPUTED_VALUE"""),"")</f>
        <v/>
      </c>
      <c r="F2378" s="117" t="s">
        <v>39</v>
      </c>
      <c r="G2378" s="116"/>
      <c r="H2378" s="117"/>
      <c r="I2378" s="117"/>
      <c r="J2378" s="117"/>
      <c r="K2378" s="117"/>
      <c r="L2378" s="116"/>
      <c r="M2378" s="117"/>
      <c r="N2378" s="118" t="str">
        <f>IFERROR(__xludf.DUMMYFUNCTION("""COMPUTED_VALUE"""),"")</f>
        <v/>
      </c>
      <c r="O2378" s="116"/>
      <c r="P2378" s="116"/>
      <c r="Q2378" s="116"/>
      <c r="R2378" s="116" t="s">
        <v>39</v>
      </c>
      <c r="S2378" s="116" t="s">
        <v>39</v>
      </c>
      <c r="T2378" s="104"/>
      <c r="U2378" s="116"/>
      <c r="V2378" s="104"/>
      <c r="W2378" s="116"/>
    </row>
    <row r="2379">
      <c r="A2379" s="114" t="s">
        <v>39</v>
      </c>
      <c r="B2379" s="115"/>
      <c r="C2379" s="116"/>
      <c r="D2379" s="116"/>
      <c r="E2379" s="116" t="str">
        <f>IFERROR(__xludf.DUMMYFUNCTION("""COMPUTED_VALUE"""),"")</f>
        <v/>
      </c>
      <c r="F2379" s="117" t="s">
        <v>39</v>
      </c>
      <c r="G2379" s="116"/>
      <c r="H2379" s="117"/>
      <c r="I2379" s="117"/>
      <c r="J2379" s="117"/>
      <c r="K2379" s="117"/>
      <c r="L2379" s="116"/>
      <c r="M2379" s="117"/>
      <c r="N2379" s="118" t="str">
        <f>IFERROR(__xludf.DUMMYFUNCTION("""COMPUTED_VALUE"""),"")</f>
        <v/>
      </c>
      <c r="O2379" s="116"/>
      <c r="P2379" s="116"/>
      <c r="Q2379" s="116"/>
      <c r="R2379" s="116" t="s">
        <v>39</v>
      </c>
      <c r="S2379" s="116" t="s">
        <v>39</v>
      </c>
      <c r="T2379" s="104"/>
      <c r="U2379" s="116"/>
      <c r="V2379" s="104"/>
      <c r="W2379" s="116"/>
    </row>
    <row r="2380">
      <c r="A2380" s="114" t="s">
        <v>39</v>
      </c>
      <c r="B2380" s="115"/>
      <c r="C2380" s="116"/>
      <c r="D2380" s="116"/>
      <c r="E2380" s="116" t="str">
        <f>IFERROR(__xludf.DUMMYFUNCTION("""COMPUTED_VALUE"""),"")</f>
        <v/>
      </c>
      <c r="F2380" s="117" t="s">
        <v>39</v>
      </c>
      <c r="G2380" s="116"/>
      <c r="H2380" s="117"/>
      <c r="I2380" s="117"/>
      <c r="J2380" s="117"/>
      <c r="K2380" s="117"/>
      <c r="L2380" s="116"/>
      <c r="M2380" s="117"/>
      <c r="N2380" s="118" t="str">
        <f>IFERROR(__xludf.DUMMYFUNCTION("""COMPUTED_VALUE"""),"")</f>
        <v/>
      </c>
      <c r="O2380" s="116"/>
      <c r="P2380" s="116"/>
      <c r="Q2380" s="116"/>
      <c r="R2380" s="116" t="s">
        <v>39</v>
      </c>
      <c r="S2380" s="116" t="s">
        <v>39</v>
      </c>
      <c r="T2380" s="104"/>
      <c r="U2380" s="116"/>
      <c r="V2380" s="104"/>
      <c r="W2380" s="116"/>
    </row>
    <row r="2381">
      <c r="A2381" s="114" t="s">
        <v>39</v>
      </c>
      <c r="B2381" s="115"/>
      <c r="C2381" s="116"/>
      <c r="D2381" s="116"/>
      <c r="E2381" s="116" t="str">
        <f>IFERROR(__xludf.DUMMYFUNCTION("""COMPUTED_VALUE"""),"")</f>
        <v/>
      </c>
      <c r="F2381" s="117" t="s">
        <v>39</v>
      </c>
      <c r="G2381" s="116"/>
      <c r="H2381" s="117"/>
      <c r="I2381" s="117"/>
      <c r="J2381" s="117"/>
      <c r="K2381" s="117"/>
      <c r="L2381" s="116"/>
      <c r="M2381" s="117"/>
      <c r="N2381" s="118" t="str">
        <f>IFERROR(__xludf.DUMMYFUNCTION("""COMPUTED_VALUE"""),"")</f>
        <v/>
      </c>
      <c r="O2381" s="116"/>
      <c r="P2381" s="116"/>
      <c r="Q2381" s="116"/>
      <c r="R2381" s="116" t="s">
        <v>39</v>
      </c>
      <c r="S2381" s="116" t="s">
        <v>39</v>
      </c>
      <c r="T2381" s="104"/>
      <c r="U2381" s="116"/>
      <c r="V2381" s="104"/>
      <c r="W2381" s="116"/>
    </row>
    <row r="2382">
      <c r="A2382" s="114" t="s">
        <v>39</v>
      </c>
      <c r="B2382" s="115"/>
      <c r="C2382" s="116"/>
      <c r="D2382" s="116"/>
      <c r="E2382" s="116" t="str">
        <f>IFERROR(__xludf.DUMMYFUNCTION("""COMPUTED_VALUE"""),"")</f>
        <v/>
      </c>
      <c r="F2382" s="117" t="s">
        <v>39</v>
      </c>
      <c r="G2382" s="116"/>
      <c r="H2382" s="117"/>
      <c r="I2382" s="117"/>
      <c r="J2382" s="117"/>
      <c r="K2382" s="117"/>
      <c r="L2382" s="116"/>
      <c r="M2382" s="117"/>
      <c r="N2382" s="118" t="str">
        <f>IFERROR(__xludf.DUMMYFUNCTION("""COMPUTED_VALUE"""),"")</f>
        <v/>
      </c>
      <c r="O2382" s="116"/>
      <c r="P2382" s="116"/>
      <c r="Q2382" s="116"/>
      <c r="R2382" s="116" t="s">
        <v>39</v>
      </c>
      <c r="S2382" s="116" t="s">
        <v>39</v>
      </c>
      <c r="T2382" s="104"/>
      <c r="U2382" s="116"/>
      <c r="V2382" s="104"/>
      <c r="W2382" s="116"/>
    </row>
    <row r="2383">
      <c r="A2383" s="114" t="s">
        <v>39</v>
      </c>
      <c r="B2383" s="115"/>
      <c r="C2383" s="116"/>
      <c r="D2383" s="116"/>
      <c r="E2383" s="116" t="str">
        <f>IFERROR(__xludf.DUMMYFUNCTION("""COMPUTED_VALUE"""),"")</f>
        <v/>
      </c>
      <c r="F2383" s="117" t="s">
        <v>39</v>
      </c>
      <c r="G2383" s="116"/>
      <c r="H2383" s="117"/>
      <c r="I2383" s="117"/>
      <c r="J2383" s="117"/>
      <c r="K2383" s="117"/>
      <c r="L2383" s="116"/>
      <c r="M2383" s="117"/>
      <c r="N2383" s="118" t="str">
        <f>IFERROR(__xludf.DUMMYFUNCTION("""COMPUTED_VALUE"""),"")</f>
        <v/>
      </c>
      <c r="O2383" s="116"/>
      <c r="P2383" s="116"/>
      <c r="Q2383" s="116"/>
      <c r="R2383" s="116" t="s">
        <v>39</v>
      </c>
      <c r="S2383" s="116" t="s">
        <v>39</v>
      </c>
      <c r="T2383" s="104"/>
      <c r="U2383" s="116"/>
      <c r="V2383" s="104"/>
      <c r="W2383" s="116"/>
    </row>
    <row r="2384">
      <c r="A2384" s="114" t="s">
        <v>39</v>
      </c>
      <c r="B2384" s="115"/>
      <c r="C2384" s="116"/>
      <c r="D2384" s="116"/>
      <c r="E2384" s="116" t="str">
        <f>IFERROR(__xludf.DUMMYFUNCTION("""COMPUTED_VALUE"""),"")</f>
        <v/>
      </c>
      <c r="F2384" s="117" t="s">
        <v>39</v>
      </c>
      <c r="G2384" s="116"/>
      <c r="H2384" s="117"/>
      <c r="I2384" s="117"/>
      <c r="J2384" s="117"/>
      <c r="K2384" s="117"/>
      <c r="L2384" s="116"/>
      <c r="M2384" s="117"/>
      <c r="N2384" s="118" t="str">
        <f>IFERROR(__xludf.DUMMYFUNCTION("""COMPUTED_VALUE"""),"")</f>
        <v/>
      </c>
      <c r="O2384" s="116"/>
      <c r="P2384" s="116"/>
      <c r="Q2384" s="116"/>
      <c r="R2384" s="116" t="s">
        <v>39</v>
      </c>
      <c r="S2384" s="116" t="s">
        <v>39</v>
      </c>
      <c r="T2384" s="104"/>
      <c r="U2384" s="116"/>
      <c r="V2384" s="104"/>
      <c r="W2384" s="116"/>
    </row>
    <row r="2385">
      <c r="A2385" s="114" t="s">
        <v>39</v>
      </c>
      <c r="B2385" s="115"/>
      <c r="C2385" s="116"/>
      <c r="D2385" s="116"/>
      <c r="E2385" s="116" t="str">
        <f>IFERROR(__xludf.DUMMYFUNCTION("""COMPUTED_VALUE"""),"")</f>
        <v/>
      </c>
      <c r="F2385" s="117" t="s">
        <v>39</v>
      </c>
      <c r="G2385" s="116"/>
      <c r="H2385" s="117"/>
      <c r="I2385" s="117"/>
      <c r="J2385" s="117"/>
      <c r="K2385" s="117"/>
      <c r="L2385" s="116"/>
      <c r="M2385" s="117"/>
      <c r="N2385" s="118" t="str">
        <f>IFERROR(__xludf.DUMMYFUNCTION("""COMPUTED_VALUE"""),"")</f>
        <v/>
      </c>
      <c r="O2385" s="116"/>
      <c r="P2385" s="116"/>
      <c r="Q2385" s="116"/>
      <c r="R2385" s="116" t="s">
        <v>39</v>
      </c>
      <c r="S2385" s="116" t="s">
        <v>39</v>
      </c>
      <c r="T2385" s="104"/>
      <c r="U2385" s="116"/>
      <c r="V2385" s="104"/>
      <c r="W2385" s="116"/>
    </row>
    <row r="2386">
      <c r="A2386" s="114" t="s">
        <v>39</v>
      </c>
      <c r="B2386" s="115"/>
      <c r="C2386" s="116"/>
      <c r="D2386" s="116"/>
      <c r="E2386" s="116" t="str">
        <f>IFERROR(__xludf.DUMMYFUNCTION("""COMPUTED_VALUE"""),"")</f>
        <v/>
      </c>
      <c r="F2386" s="117" t="s">
        <v>39</v>
      </c>
      <c r="G2386" s="116"/>
      <c r="H2386" s="117"/>
      <c r="I2386" s="117"/>
      <c r="J2386" s="117"/>
      <c r="K2386" s="117"/>
      <c r="L2386" s="116"/>
      <c r="M2386" s="117"/>
      <c r="N2386" s="118" t="str">
        <f>IFERROR(__xludf.DUMMYFUNCTION("""COMPUTED_VALUE"""),"")</f>
        <v/>
      </c>
      <c r="O2386" s="116"/>
      <c r="P2386" s="116"/>
      <c r="Q2386" s="116"/>
      <c r="R2386" s="116" t="s">
        <v>39</v>
      </c>
      <c r="S2386" s="116" t="s">
        <v>39</v>
      </c>
      <c r="T2386" s="104"/>
      <c r="U2386" s="116"/>
      <c r="V2386" s="104"/>
      <c r="W2386" s="116"/>
    </row>
    <row r="2387">
      <c r="A2387" s="114" t="s">
        <v>39</v>
      </c>
      <c r="B2387" s="115"/>
      <c r="C2387" s="116"/>
      <c r="D2387" s="116"/>
      <c r="E2387" s="116" t="str">
        <f>IFERROR(__xludf.DUMMYFUNCTION("""COMPUTED_VALUE"""),"")</f>
        <v/>
      </c>
      <c r="F2387" s="117" t="s">
        <v>39</v>
      </c>
      <c r="G2387" s="116"/>
      <c r="H2387" s="117"/>
      <c r="I2387" s="117"/>
      <c r="J2387" s="117"/>
      <c r="K2387" s="117"/>
      <c r="L2387" s="116"/>
      <c r="M2387" s="117"/>
      <c r="N2387" s="118" t="str">
        <f>IFERROR(__xludf.DUMMYFUNCTION("""COMPUTED_VALUE"""),"")</f>
        <v/>
      </c>
      <c r="O2387" s="116"/>
      <c r="P2387" s="116"/>
      <c r="Q2387" s="116"/>
      <c r="R2387" s="116" t="s">
        <v>39</v>
      </c>
      <c r="S2387" s="116" t="s">
        <v>39</v>
      </c>
      <c r="T2387" s="104"/>
      <c r="U2387" s="116"/>
      <c r="V2387" s="104"/>
      <c r="W2387" s="116"/>
    </row>
    <row r="2388">
      <c r="A2388" s="114" t="s">
        <v>39</v>
      </c>
      <c r="B2388" s="115"/>
      <c r="C2388" s="116"/>
      <c r="D2388" s="116"/>
      <c r="E2388" s="116" t="str">
        <f>IFERROR(__xludf.DUMMYFUNCTION("""COMPUTED_VALUE"""),"")</f>
        <v/>
      </c>
      <c r="F2388" s="117" t="s">
        <v>39</v>
      </c>
      <c r="G2388" s="116"/>
      <c r="H2388" s="117"/>
      <c r="I2388" s="117"/>
      <c r="J2388" s="117"/>
      <c r="K2388" s="117"/>
      <c r="L2388" s="116"/>
      <c r="M2388" s="117"/>
      <c r="N2388" s="118" t="str">
        <f>IFERROR(__xludf.DUMMYFUNCTION("""COMPUTED_VALUE"""),"")</f>
        <v/>
      </c>
      <c r="O2388" s="116"/>
      <c r="P2388" s="116"/>
      <c r="Q2388" s="116"/>
      <c r="R2388" s="116" t="s">
        <v>39</v>
      </c>
      <c r="S2388" s="116" t="s">
        <v>39</v>
      </c>
      <c r="T2388" s="104"/>
      <c r="U2388" s="116"/>
      <c r="V2388" s="104"/>
      <c r="W2388" s="116"/>
    </row>
    <row r="2389">
      <c r="A2389" s="114" t="s">
        <v>39</v>
      </c>
      <c r="B2389" s="115"/>
      <c r="C2389" s="116"/>
      <c r="D2389" s="116"/>
      <c r="E2389" s="116" t="str">
        <f>IFERROR(__xludf.DUMMYFUNCTION("""COMPUTED_VALUE"""),"")</f>
        <v/>
      </c>
      <c r="F2389" s="117" t="s">
        <v>39</v>
      </c>
      <c r="G2389" s="116"/>
      <c r="H2389" s="117"/>
      <c r="I2389" s="117"/>
      <c r="J2389" s="117"/>
      <c r="K2389" s="117"/>
      <c r="L2389" s="116"/>
      <c r="M2389" s="117"/>
      <c r="N2389" s="118" t="str">
        <f>IFERROR(__xludf.DUMMYFUNCTION("""COMPUTED_VALUE"""),"")</f>
        <v/>
      </c>
      <c r="O2389" s="116"/>
      <c r="P2389" s="116"/>
      <c r="Q2389" s="116"/>
      <c r="R2389" s="116" t="s">
        <v>39</v>
      </c>
      <c r="S2389" s="116" t="s">
        <v>39</v>
      </c>
      <c r="T2389" s="104"/>
      <c r="U2389" s="116"/>
      <c r="V2389" s="104"/>
      <c r="W2389" s="116"/>
    </row>
    <row r="2390">
      <c r="A2390" s="114" t="s">
        <v>39</v>
      </c>
      <c r="B2390" s="115"/>
      <c r="C2390" s="116"/>
      <c r="D2390" s="116"/>
      <c r="E2390" s="116" t="str">
        <f>IFERROR(__xludf.DUMMYFUNCTION("""COMPUTED_VALUE"""),"")</f>
        <v/>
      </c>
      <c r="F2390" s="117" t="s">
        <v>39</v>
      </c>
      <c r="G2390" s="116"/>
      <c r="H2390" s="117"/>
      <c r="I2390" s="117"/>
      <c r="J2390" s="117"/>
      <c r="K2390" s="117"/>
      <c r="L2390" s="116"/>
      <c r="M2390" s="117"/>
      <c r="N2390" s="118" t="str">
        <f>IFERROR(__xludf.DUMMYFUNCTION("""COMPUTED_VALUE"""),"")</f>
        <v/>
      </c>
      <c r="O2390" s="116"/>
      <c r="P2390" s="116"/>
      <c r="Q2390" s="116"/>
      <c r="R2390" s="116" t="s">
        <v>39</v>
      </c>
      <c r="S2390" s="116" t="s">
        <v>39</v>
      </c>
      <c r="T2390" s="104"/>
      <c r="U2390" s="116"/>
      <c r="V2390" s="104"/>
      <c r="W2390" s="116"/>
    </row>
    <row r="2391">
      <c r="A2391" s="114" t="s">
        <v>39</v>
      </c>
      <c r="B2391" s="115"/>
      <c r="C2391" s="116"/>
      <c r="D2391" s="116"/>
      <c r="E2391" s="116" t="str">
        <f>IFERROR(__xludf.DUMMYFUNCTION("""COMPUTED_VALUE"""),"")</f>
        <v/>
      </c>
      <c r="F2391" s="117" t="s">
        <v>39</v>
      </c>
      <c r="G2391" s="116"/>
      <c r="H2391" s="117"/>
      <c r="I2391" s="117"/>
      <c r="J2391" s="117"/>
      <c r="K2391" s="117"/>
      <c r="L2391" s="116"/>
      <c r="M2391" s="117"/>
      <c r="N2391" s="118" t="str">
        <f>IFERROR(__xludf.DUMMYFUNCTION("""COMPUTED_VALUE"""),"")</f>
        <v/>
      </c>
      <c r="O2391" s="116"/>
      <c r="P2391" s="116"/>
      <c r="Q2391" s="116"/>
      <c r="R2391" s="116" t="s">
        <v>39</v>
      </c>
      <c r="S2391" s="116" t="s">
        <v>39</v>
      </c>
      <c r="T2391" s="104"/>
      <c r="U2391" s="116"/>
      <c r="V2391" s="104"/>
      <c r="W2391" s="116"/>
    </row>
    <row r="2392">
      <c r="A2392" s="114" t="s">
        <v>39</v>
      </c>
      <c r="B2392" s="115"/>
      <c r="C2392" s="116"/>
      <c r="D2392" s="116"/>
      <c r="E2392" s="116" t="str">
        <f>IFERROR(__xludf.DUMMYFUNCTION("""COMPUTED_VALUE"""),"")</f>
        <v/>
      </c>
      <c r="F2392" s="117" t="s">
        <v>39</v>
      </c>
      <c r="G2392" s="116"/>
      <c r="H2392" s="117"/>
      <c r="I2392" s="117"/>
      <c r="J2392" s="117"/>
      <c r="K2392" s="117"/>
      <c r="L2392" s="116"/>
      <c r="M2392" s="117"/>
      <c r="N2392" s="118" t="str">
        <f>IFERROR(__xludf.DUMMYFUNCTION("""COMPUTED_VALUE"""),"")</f>
        <v/>
      </c>
      <c r="O2392" s="116"/>
      <c r="P2392" s="116"/>
      <c r="Q2392" s="116"/>
      <c r="R2392" s="116" t="s">
        <v>39</v>
      </c>
      <c r="S2392" s="116" t="s">
        <v>39</v>
      </c>
      <c r="T2392" s="104"/>
      <c r="U2392" s="116"/>
      <c r="V2392" s="104"/>
      <c r="W2392" s="116"/>
    </row>
    <row r="2393">
      <c r="A2393" s="114" t="s">
        <v>39</v>
      </c>
      <c r="B2393" s="115"/>
      <c r="C2393" s="116"/>
      <c r="D2393" s="116"/>
      <c r="E2393" s="116" t="str">
        <f>IFERROR(__xludf.DUMMYFUNCTION("""COMPUTED_VALUE"""),"")</f>
        <v/>
      </c>
      <c r="F2393" s="117" t="s">
        <v>39</v>
      </c>
      <c r="G2393" s="116"/>
      <c r="H2393" s="117"/>
      <c r="I2393" s="117"/>
      <c r="J2393" s="117"/>
      <c r="K2393" s="117"/>
      <c r="L2393" s="116"/>
      <c r="M2393" s="117"/>
      <c r="N2393" s="118" t="str">
        <f>IFERROR(__xludf.DUMMYFUNCTION("""COMPUTED_VALUE"""),"")</f>
        <v/>
      </c>
      <c r="O2393" s="116"/>
      <c r="P2393" s="116"/>
      <c r="Q2393" s="116"/>
      <c r="R2393" s="116" t="s">
        <v>39</v>
      </c>
      <c r="S2393" s="116" t="s">
        <v>39</v>
      </c>
      <c r="T2393" s="104"/>
      <c r="U2393" s="116"/>
      <c r="V2393" s="104"/>
      <c r="W2393" s="116"/>
    </row>
    <row r="2394">
      <c r="A2394" s="114" t="s">
        <v>39</v>
      </c>
      <c r="B2394" s="115"/>
      <c r="C2394" s="116"/>
      <c r="D2394" s="116"/>
      <c r="E2394" s="116" t="str">
        <f>IFERROR(__xludf.DUMMYFUNCTION("""COMPUTED_VALUE"""),"")</f>
        <v/>
      </c>
      <c r="F2394" s="117" t="s">
        <v>39</v>
      </c>
      <c r="G2394" s="116"/>
      <c r="H2394" s="117"/>
      <c r="I2394" s="117"/>
      <c r="J2394" s="117"/>
      <c r="K2394" s="117"/>
      <c r="L2394" s="116"/>
      <c r="M2394" s="117"/>
      <c r="N2394" s="118" t="str">
        <f>IFERROR(__xludf.DUMMYFUNCTION("""COMPUTED_VALUE"""),"")</f>
        <v/>
      </c>
      <c r="O2394" s="116"/>
      <c r="P2394" s="116"/>
      <c r="Q2394" s="116"/>
      <c r="R2394" s="116" t="s">
        <v>39</v>
      </c>
      <c r="S2394" s="116" t="s">
        <v>39</v>
      </c>
      <c r="T2394" s="104"/>
      <c r="U2394" s="116"/>
      <c r="V2394" s="104"/>
      <c r="W2394" s="116"/>
    </row>
    <row r="2395">
      <c r="A2395" s="114" t="s">
        <v>39</v>
      </c>
      <c r="B2395" s="115"/>
      <c r="C2395" s="116"/>
      <c r="D2395" s="116"/>
      <c r="E2395" s="116" t="str">
        <f>IFERROR(__xludf.DUMMYFUNCTION("""COMPUTED_VALUE"""),"")</f>
        <v/>
      </c>
      <c r="F2395" s="117" t="s">
        <v>39</v>
      </c>
      <c r="G2395" s="116"/>
      <c r="H2395" s="117"/>
      <c r="I2395" s="117"/>
      <c r="J2395" s="117"/>
      <c r="K2395" s="117"/>
      <c r="L2395" s="116"/>
      <c r="M2395" s="117"/>
      <c r="N2395" s="118" t="str">
        <f>IFERROR(__xludf.DUMMYFUNCTION("""COMPUTED_VALUE"""),"")</f>
        <v/>
      </c>
      <c r="O2395" s="116"/>
      <c r="P2395" s="116"/>
      <c r="Q2395" s="116"/>
      <c r="R2395" s="116" t="s">
        <v>39</v>
      </c>
      <c r="S2395" s="116" t="s">
        <v>39</v>
      </c>
      <c r="T2395" s="104"/>
      <c r="U2395" s="116"/>
      <c r="V2395" s="104"/>
      <c r="W2395" s="116"/>
    </row>
    <row r="2396">
      <c r="A2396" s="114" t="s">
        <v>39</v>
      </c>
      <c r="B2396" s="115"/>
      <c r="C2396" s="116"/>
      <c r="D2396" s="116"/>
      <c r="E2396" s="116" t="str">
        <f>IFERROR(__xludf.DUMMYFUNCTION("""COMPUTED_VALUE"""),"")</f>
        <v/>
      </c>
      <c r="F2396" s="117" t="s">
        <v>39</v>
      </c>
      <c r="G2396" s="116"/>
      <c r="H2396" s="117"/>
      <c r="I2396" s="117"/>
      <c r="J2396" s="117"/>
      <c r="K2396" s="117"/>
      <c r="L2396" s="116"/>
      <c r="M2396" s="117"/>
      <c r="N2396" s="118" t="str">
        <f>IFERROR(__xludf.DUMMYFUNCTION("""COMPUTED_VALUE"""),"")</f>
        <v/>
      </c>
      <c r="O2396" s="116"/>
      <c r="P2396" s="116"/>
      <c r="Q2396" s="116"/>
      <c r="R2396" s="116" t="s">
        <v>39</v>
      </c>
      <c r="S2396" s="116" t="s">
        <v>39</v>
      </c>
      <c r="T2396" s="104"/>
      <c r="U2396" s="116"/>
      <c r="V2396" s="104"/>
      <c r="W2396" s="116"/>
    </row>
    <row r="2397">
      <c r="A2397" s="114" t="s">
        <v>39</v>
      </c>
      <c r="B2397" s="115"/>
      <c r="C2397" s="116"/>
      <c r="D2397" s="116"/>
      <c r="E2397" s="116" t="str">
        <f>IFERROR(__xludf.DUMMYFUNCTION("""COMPUTED_VALUE"""),"")</f>
        <v/>
      </c>
      <c r="F2397" s="117" t="s">
        <v>39</v>
      </c>
      <c r="G2397" s="116"/>
      <c r="H2397" s="117"/>
      <c r="I2397" s="117"/>
      <c r="J2397" s="117"/>
      <c r="K2397" s="117"/>
      <c r="L2397" s="116"/>
      <c r="M2397" s="117"/>
      <c r="N2397" s="118" t="str">
        <f>IFERROR(__xludf.DUMMYFUNCTION("""COMPUTED_VALUE"""),"")</f>
        <v/>
      </c>
      <c r="O2397" s="116"/>
      <c r="P2397" s="116"/>
      <c r="Q2397" s="116"/>
      <c r="R2397" s="116" t="s">
        <v>39</v>
      </c>
      <c r="S2397" s="116" t="s">
        <v>39</v>
      </c>
      <c r="T2397" s="104"/>
      <c r="U2397" s="116"/>
      <c r="V2397" s="104"/>
      <c r="W2397" s="116"/>
    </row>
    <row r="2398">
      <c r="A2398" s="114" t="s">
        <v>39</v>
      </c>
      <c r="B2398" s="115"/>
      <c r="C2398" s="116"/>
      <c r="D2398" s="116"/>
      <c r="E2398" s="116" t="str">
        <f>IFERROR(__xludf.DUMMYFUNCTION("""COMPUTED_VALUE"""),"")</f>
        <v/>
      </c>
      <c r="F2398" s="117" t="s">
        <v>39</v>
      </c>
      <c r="G2398" s="116"/>
      <c r="H2398" s="117"/>
      <c r="I2398" s="117"/>
      <c r="J2398" s="117"/>
      <c r="K2398" s="117"/>
      <c r="L2398" s="116"/>
      <c r="M2398" s="117"/>
      <c r="N2398" s="118" t="str">
        <f>IFERROR(__xludf.DUMMYFUNCTION("""COMPUTED_VALUE"""),"")</f>
        <v/>
      </c>
      <c r="O2398" s="116"/>
      <c r="P2398" s="116"/>
      <c r="Q2398" s="116"/>
      <c r="R2398" s="116" t="s">
        <v>39</v>
      </c>
      <c r="S2398" s="116" t="s">
        <v>39</v>
      </c>
      <c r="T2398" s="104"/>
      <c r="U2398" s="116"/>
      <c r="V2398" s="104"/>
      <c r="W2398" s="116"/>
    </row>
    <row r="2399">
      <c r="A2399" s="114" t="s">
        <v>39</v>
      </c>
      <c r="B2399" s="115"/>
      <c r="C2399" s="116"/>
      <c r="D2399" s="116"/>
      <c r="E2399" s="116" t="str">
        <f>IFERROR(__xludf.DUMMYFUNCTION("""COMPUTED_VALUE"""),"")</f>
        <v/>
      </c>
      <c r="F2399" s="117" t="s">
        <v>39</v>
      </c>
      <c r="G2399" s="116"/>
      <c r="H2399" s="117"/>
      <c r="I2399" s="117"/>
      <c r="J2399" s="117"/>
      <c r="K2399" s="117"/>
      <c r="L2399" s="116"/>
      <c r="M2399" s="117"/>
      <c r="N2399" s="118" t="str">
        <f>IFERROR(__xludf.DUMMYFUNCTION("""COMPUTED_VALUE"""),"")</f>
        <v/>
      </c>
      <c r="O2399" s="116"/>
      <c r="P2399" s="116"/>
      <c r="Q2399" s="116"/>
      <c r="R2399" s="116" t="s">
        <v>39</v>
      </c>
      <c r="S2399" s="116" t="s">
        <v>39</v>
      </c>
      <c r="T2399" s="104"/>
      <c r="U2399" s="116"/>
      <c r="V2399" s="104"/>
      <c r="W2399" s="116"/>
    </row>
    <row r="2400">
      <c r="A2400" s="114" t="s">
        <v>39</v>
      </c>
      <c r="B2400" s="115"/>
      <c r="C2400" s="116"/>
      <c r="D2400" s="116"/>
      <c r="E2400" s="116" t="str">
        <f>IFERROR(__xludf.DUMMYFUNCTION("""COMPUTED_VALUE"""),"")</f>
        <v/>
      </c>
      <c r="F2400" s="117" t="s">
        <v>39</v>
      </c>
      <c r="G2400" s="116"/>
      <c r="H2400" s="117"/>
      <c r="I2400" s="117"/>
      <c r="J2400" s="117"/>
      <c r="K2400" s="117"/>
      <c r="L2400" s="116"/>
      <c r="M2400" s="117"/>
      <c r="N2400" s="118" t="str">
        <f>IFERROR(__xludf.DUMMYFUNCTION("""COMPUTED_VALUE"""),"")</f>
        <v/>
      </c>
      <c r="O2400" s="116"/>
      <c r="P2400" s="116"/>
      <c r="Q2400" s="116"/>
      <c r="R2400" s="116" t="s">
        <v>39</v>
      </c>
      <c r="S2400" s="116" t="s">
        <v>39</v>
      </c>
      <c r="T2400" s="104"/>
      <c r="U2400" s="116"/>
      <c r="V2400" s="104"/>
      <c r="W2400" s="116"/>
    </row>
    <row r="2401">
      <c r="A2401" s="114" t="s">
        <v>39</v>
      </c>
      <c r="B2401" s="115"/>
      <c r="C2401" s="116"/>
      <c r="D2401" s="116"/>
      <c r="E2401" s="116" t="str">
        <f>IFERROR(__xludf.DUMMYFUNCTION("""COMPUTED_VALUE"""),"")</f>
        <v/>
      </c>
      <c r="F2401" s="117" t="s">
        <v>39</v>
      </c>
      <c r="G2401" s="116"/>
      <c r="H2401" s="117"/>
      <c r="I2401" s="117"/>
      <c r="J2401" s="117"/>
      <c r="K2401" s="117"/>
      <c r="L2401" s="116"/>
      <c r="M2401" s="117"/>
      <c r="N2401" s="118" t="str">
        <f>IFERROR(__xludf.DUMMYFUNCTION("""COMPUTED_VALUE"""),"")</f>
        <v/>
      </c>
      <c r="O2401" s="116"/>
      <c r="P2401" s="116"/>
      <c r="Q2401" s="116"/>
      <c r="R2401" s="116" t="s">
        <v>39</v>
      </c>
      <c r="S2401" s="116" t="s">
        <v>39</v>
      </c>
      <c r="T2401" s="104"/>
      <c r="U2401" s="116"/>
      <c r="V2401" s="104"/>
      <c r="W2401" s="116"/>
    </row>
    <row r="2402">
      <c r="A2402" s="114" t="s">
        <v>39</v>
      </c>
      <c r="B2402" s="115"/>
      <c r="C2402" s="116"/>
      <c r="D2402" s="116"/>
      <c r="E2402" s="116" t="str">
        <f>IFERROR(__xludf.DUMMYFUNCTION("""COMPUTED_VALUE"""),"")</f>
        <v/>
      </c>
      <c r="F2402" s="117" t="s">
        <v>39</v>
      </c>
      <c r="G2402" s="116"/>
      <c r="H2402" s="117"/>
      <c r="I2402" s="117"/>
      <c r="J2402" s="117"/>
      <c r="K2402" s="117"/>
      <c r="L2402" s="116"/>
      <c r="M2402" s="117"/>
      <c r="N2402" s="118" t="str">
        <f>IFERROR(__xludf.DUMMYFUNCTION("""COMPUTED_VALUE"""),"")</f>
        <v/>
      </c>
      <c r="O2402" s="116"/>
      <c r="P2402" s="116"/>
      <c r="Q2402" s="116"/>
      <c r="R2402" s="116" t="s">
        <v>39</v>
      </c>
      <c r="S2402" s="116" t="s">
        <v>39</v>
      </c>
      <c r="T2402" s="104"/>
      <c r="U2402" s="116"/>
      <c r="V2402" s="104"/>
      <c r="W2402" s="116"/>
    </row>
    <row r="2403">
      <c r="A2403" s="114" t="s">
        <v>39</v>
      </c>
      <c r="B2403" s="115"/>
      <c r="C2403" s="116"/>
      <c r="D2403" s="116"/>
      <c r="E2403" s="116" t="str">
        <f>IFERROR(__xludf.DUMMYFUNCTION("""COMPUTED_VALUE"""),"")</f>
        <v/>
      </c>
      <c r="F2403" s="117" t="s">
        <v>39</v>
      </c>
      <c r="G2403" s="116"/>
      <c r="H2403" s="117"/>
      <c r="I2403" s="117"/>
      <c r="J2403" s="117"/>
      <c r="K2403" s="117"/>
      <c r="L2403" s="116"/>
      <c r="M2403" s="117"/>
      <c r="N2403" s="118" t="str">
        <f>IFERROR(__xludf.DUMMYFUNCTION("""COMPUTED_VALUE"""),"")</f>
        <v/>
      </c>
      <c r="O2403" s="116"/>
      <c r="P2403" s="116"/>
      <c r="Q2403" s="116"/>
      <c r="R2403" s="116" t="s">
        <v>39</v>
      </c>
      <c r="S2403" s="116" t="s">
        <v>39</v>
      </c>
      <c r="T2403" s="104"/>
      <c r="U2403" s="116"/>
      <c r="V2403" s="104"/>
      <c r="W2403" s="116"/>
    </row>
    <row r="2404">
      <c r="A2404" s="114" t="s">
        <v>39</v>
      </c>
      <c r="B2404" s="115"/>
      <c r="C2404" s="116"/>
      <c r="D2404" s="116"/>
      <c r="E2404" s="116" t="str">
        <f>IFERROR(__xludf.DUMMYFUNCTION("""COMPUTED_VALUE"""),"")</f>
        <v/>
      </c>
      <c r="F2404" s="117" t="s">
        <v>39</v>
      </c>
      <c r="G2404" s="116"/>
      <c r="H2404" s="117"/>
      <c r="I2404" s="117"/>
      <c r="J2404" s="117"/>
      <c r="K2404" s="117"/>
      <c r="L2404" s="116"/>
      <c r="M2404" s="117"/>
      <c r="N2404" s="118" t="str">
        <f>IFERROR(__xludf.DUMMYFUNCTION("""COMPUTED_VALUE"""),"")</f>
        <v/>
      </c>
      <c r="O2404" s="116"/>
      <c r="P2404" s="116"/>
      <c r="Q2404" s="116"/>
      <c r="R2404" s="116" t="s">
        <v>39</v>
      </c>
      <c r="S2404" s="116" t="s">
        <v>39</v>
      </c>
      <c r="T2404" s="104"/>
      <c r="U2404" s="116"/>
      <c r="V2404" s="104"/>
      <c r="W2404" s="116"/>
    </row>
    <row r="2405">
      <c r="A2405" s="114" t="s">
        <v>39</v>
      </c>
      <c r="B2405" s="115"/>
      <c r="C2405" s="116"/>
      <c r="D2405" s="116"/>
      <c r="E2405" s="116" t="str">
        <f>IFERROR(__xludf.DUMMYFUNCTION("""COMPUTED_VALUE"""),"")</f>
        <v/>
      </c>
      <c r="F2405" s="117" t="s">
        <v>39</v>
      </c>
      <c r="G2405" s="116"/>
      <c r="H2405" s="117"/>
      <c r="I2405" s="117"/>
      <c r="J2405" s="117"/>
      <c r="K2405" s="117"/>
      <c r="L2405" s="116"/>
      <c r="M2405" s="117"/>
      <c r="N2405" s="118" t="str">
        <f>IFERROR(__xludf.DUMMYFUNCTION("""COMPUTED_VALUE"""),"")</f>
        <v/>
      </c>
      <c r="O2405" s="116"/>
      <c r="P2405" s="116"/>
      <c r="Q2405" s="116"/>
      <c r="R2405" s="116" t="s">
        <v>39</v>
      </c>
      <c r="S2405" s="116" t="s">
        <v>39</v>
      </c>
      <c r="T2405" s="104"/>
      <c r="U2405" s="116"/>
      <c r="V2405" s="104"/>
      <c r="W2405" s="116"/>
    </row>
    <row r="2406">
      <c r="A2406" s="114" t="s">
        <v>39</v>
      </c>
      <c r="B2406" s="115"/>
      <c r="C2406" s="116"/>
      <c r="D2406" s="116"/>
      <c r="E2406" s="116" t="str">
        <f>IFERROR(__xludf.DUMMYFUNCTION("""COMPUTED_VALUE"""),"")</f>
        <v/>
      </c>
      <c r="F2406" s="117" t="s">
        <v>39</v>
      </c>
      <c r="G2406" s="116"/>
      <c r="H2406" s="117"/>
      <c r="I2406" s="117"/>
      <c r="J2406" s="117"/>
      <c r="K2406" s="117"/>
      <c r="L2406" s="116"/>
      <c r="M2406" s="117"/>
      <c r="N2406" s="118" t="str">
        <f>IFERROR(__xludf.DUMMYFUNCTION("""COMPUTED_VALUE"""),"")</f>
        <v/>
      </c>
      <c r="O2406" s="116"/>
      <c r="P2406" s="116"/>
      <c r="Q2406" s="116"/>
      <c r="R2406" s="116" t="s">
        <v>39</v>
      </c>
      <c r="S2406" s="116" t="s">
        <v>39</v>
      </c>
      <c r="T2406" s="104"/>
      <c r="U2406" s="116"/>
      <c r="V2406" s="104"/>
      <c r="W2406" s="116"/>
    </row>
    <row r="2407">
      <c r="A2407" s="114" t="s">
        <v>39</v>
      </c>
      <c r="B2407" s="115"/>
      <c r="C2407" s="116"/>
      <c r="D2407" s="116"/>
      <c r="E2407" s="116" t="str">
        <f>IFERROR(__xludf.DUMMYFUNCTION("""COMPUTED_VALUE"""),"")</f>
        <v/>
      </c>
      <c r="F2407" s="117" t="s">
        <v>39</v>
      </c>
      <c r="G2407" s="116"/>
      <c r="H2407" s="117"/>
      <c r="I2407" s="117"/>
      <c r="J2407" s="117"/>
      <c r="K2407" s="117"/>
      <c r="L2407" s="116"/>
      <c r="M2407" s="117"/>
      <c r="N2407" s="118" t="str">
        <f>IFERROR(__xludf.DUMMYFUNCTION("""COMPUTED_VALUE"""),"")</f>
        <v/>
      </c>
      <c r="O2407" s="116"/>
      <c r="P2407" s="116"/>
      <c r="Q2407" s="116"/>
      <c r="R2407" s="116" t="s">
        <v>39</v>
      </c>
      <c r="S2407" s="116" t="s">
        <v>39</v>
      </c>
      <c r="T2407" s="104"/>
      <c r="U2407" s="116"/>
      <c r="V2407" s="104"/>
      <c r="W2407" s="116"/>
    </row>
    <row r="2408">
      <c r="A2408" s="114" t="s">
        <v>39</v>
      </c>
      <c r="B2408" s="115"/>
      <c r="C2408" s="116"/>
      <c r="D2408" s="116"/>
      <c r="E2408" s="116" t="str">
        <f>IFERROR(__xludf.DUMMYFUNCTION("""COMPUTED_VALUE"""),"")</f>
        <v/>
      </c>
      <c r="F2408" s="117" t="s">
        <v>39</v>
      </c>
      <c r="G2408" s="116"/>
      <c r="H2408" s="117"/>
      <c r="I2408" s="117"/>
      <c r="J2408" s="117"/>
      <c r="K2408" s="117"/>
      <c r="L2408" s="116"/>
      <c r="M2408" s="117"/>
      <c r="N2408" s="118" t="str">
        <f>IFERROR(__xludf.DUMMYFUNCTION("""COMPUTED_VALUE"""),"")</f>
        <v/>
      </c>
      <c r="O2408" s="116"/>
      <c r="P2408" s="116"/>
      <c r="Q2408" s="116"/>
      <c r="R2408" s="116" t="s">
        <v>39</v>
      </c>
      <c r="S2408" s="116" t="s">
        <v>39</v>
      </c>
      <c r="T2408" s="104"/>
      <c r="U2408" s="116"/>
      <c r="V2408" s="104"/>
      <c r="W2408" s="116"/>
    </row>
    <row r="2409">
      <c r="A2409" s="114" t="s">
        <v>39</v>
      </c>
      <c r="B2409" s="115"/>
      <c r="C2409" s="116"/>
      <c r="D2409" s="116"/>
      <c r="E2409" s="116" t="str">
        <f>IFERROR(__xludf.DUMMYFUNCTION("""COMPUTED_VALUE"""),"")</f>
        <v/>
      </c>
      <c r="F2409" s="117" t="s">
        <v>39</v>
      </c>
      <c r="G2409" s="116"/>
      <c r="H2409" s="117"/>
      <c r="I2409" s="117"/>
      <c r="J2409" s="117"/>
      <c r="K2409" s="117"/>
      <c r="L2409" s="116"/>
      <c r="M2409" s="117"/>
      <c r="N2409" s="118" t="str">
        <f>IFERROR(__xludf.DUMMYFUNCTION("""COMPUTED_VALUE"""),"")</f>
        <v/>
      </c>
      <c r="O2409" s="116"/>
      <c r="P2409" s="116"/>
      <c r="Q2409" s="116"/>
      <c r="R2409" s="116" t="s">
        <v>39</v>
      </c>
      <c r="S2409" s="116" t="s">
        <v>39</v>
      </c>
      <c r="T2409" s="104"/>
      <c r="U2409" s="116"/>
      <c r="V2409" s="104"/>
      <c r="W2409" s="116"/>
    </row>
    <row r="2410">
      <c r="A2410" s="114" t="s">
        <v>39</v>
      </c>
      <c r="B2410" s="115"/>
      <c r="C2410" s="116"/>
      <c r="D2410" s="116"/>
      <c r="E2410" s="116" t="str">
        <f>IFERROR(__xludf.DUMMYFUNCTION("""COMPUTED_VALUE"""),"")</f>
        <v/>
      </c>
      <c r="F2410" s="117" t="s">
        <v>39</v>
      </c>
      <c r="G2410" s="116"/>
      <c r="H2410" s="117"/>
      <c r="I2410" s="117"/>
      <c r="J2410" s="117"/>
      <c r="K2410" s="117"/>
      <c r="L2410" s="116"/>
      <c r="M2410" s="117"/>
      <c r="N2410" s="118" t="str">
        <f>IFERROR(__xludf.DUMMYFUNCTION("""COMPUTED_VALUE"""),"")</f>
        <v/>
      </c>
      <c r="O2410" s="116"/>
      <c r="P2410" s="116"/>
      <c r="Q2410" s="116"/>
      <c r="R2410" s="116" t="s">
        <v>39</v>
      </c>
      <c r="S2410" s="116" t="s">
        <v>39</v>
      </c>
      <c r="T2410" s="104"/>
      <c r="U2410" s="116"/>
      <c r="V2410" s="104"/>
      <c r="W2410" s="116"/>
    </row>
    <row r="2411">
      <c r="A2411" s="114" t="s">
        <v>39</v>
      </c>
      <c r="B2411" s="115"/>
      <c r="C2411" s="116"/>
      <c r="D2411" s="116"/>
      <c r="E2411" s="116" t="str">
        <f>IFERROR(__xludf.DUMMYFUNCTION("""COMPUTED_VALUE"""),"")</f>
        <v/>
      </c>
      <c r="F2411" s="117" t="s">
        <v>39</v>
      </c>
      <c r="G2411" s="116"/>
      <c r="H2411" s="117"/>
      <c r="I2411" s="117"/>
      <c r="J2411" s="117"/>
      <c r="K2411" s="117"/>
      <c r="L2411" s="116"/>
      <c r="M2411" s="117"/>
      <c r="N2411" s="118" t="str">
        <f>IFERROR(__xludf.DUMMYFUNCTION("""COMPUTED_VALUE"""),"")</f>
        <v/>
      </c>
      <c r="O2411" s="116"/>
      <c r="P2411" s="116"/>
      <c r="Q2411" s="116"/>
      <c r="R2411" s="116" t="s">
        <v>39</v>
      </c>
      <c r="S2411" s="116" t="s">
        <v>39</v>
      </c>
      <c r="T2411" s="104"/>
      <c r="U2411" s="116"/>
      <c r="V2411" s="104"/>
      <c r="W2411" s="116"/>
    </row>
    <row r="2412">
      <c r="A2412" s="114" t="s">
        <v>39</v>
      </c>
      <c r="B2412" s="115"/>
      <c r="C2412" s="116"/>
      <c r="D2412" s="116"/>
      <c r="E2412" s="116" t="str">
        <f>IFERROR(__xludf.DUMMYFUNCTION("""COMPUTED_VALUE"""),"")</f>
        <v/>
      </c>
      <c r="F2412" s="117" t="s">
        <v>39</v>
      </c>
      <c r="G2412" s="116"/>
      <c r="H2412" s="117"/>
      <c r="I2412" s="117"/>
      <c r="J2412" s="117"/>
      <c r="K2412" s="117"/>
      <c r="L2412" s="116"/>
      <c r="M2412" s="117"/>
      <c r="N2412" s="118" t="str">
        <f>IFERROR(__xludf.DUMMYFUNCTION("""COMPUTED_VALUE"""),"")</f>
        <v/>
      </c>
      <c r="O2412" s="116"/>
      <c r="P2412" s="116"/>
      <c r="Q2412" s="116"/>
      <c r="R2412" s="116" t="s">
        <v>39</v>
      </c>
      <c r="S2412" s="116" t="s">
        <v>39</v>
      </c>
      <c r="T2412" s="104"/>
      <c r="U2412" s="116"/>
      <c r="V2412" s="104"/>
      <c r="W2412" s="116"/>
    </row>
    <row r="2413">
      <c r="A2413" s="114" t="s">
        <v>39</v>
      </c>
      <c r="B2413" s="115"/>
      <c r="C2413" s="116"/>
      <c r="D2413" s="116"/>
      <c r="E2413" s="116" t="str">
        <f>IFERROR(__xludf.DUMMYFUNCTION("""COMPUTED_VALUE"""),"")</f>
        <v/>
      </c>
      <c r="F2413" s="117" t="s">
        <v>39</v>
      </c>
      <c r="G2413" s="116"/>
      <c r="H2413" s="117"/>
      <c r="I2413" s="117"/>
      <c r="J2413" s="117"/>
      <c r="K2413" s="117"/>
      <c r="L2413" s="116"/>
      <c r="M2413" s="117"/>
      <c r="N2413" s="118" t="str">
        <f>IFERROR(__xludf.DUMMYFUNCTION("""COMPUTED_VALUE"""),"")</f>
        <v/>
      </c>
      <c r="O2413" s="116"/>
      <c r="P2413" s="116"/>
      <c r="Q2413" s="116"/>
      <c r="R2413" s="116" t="s">
        <v>39</v>
      </c>
      <c r="S2413" s="116" t="s">
        <v>39</v>
      </c>
      <c r="T2413" s="104"/>
      <c r="U2413" s="116"/>
      <c r="V2413" s="104"/>
      <c r="W2413" s="116"/>
    </row>
    <row r="2414">
      <c r="A2414" s="114" t="s">
        <v>39</v>
      </c>
      <c r="B2414" s="115"/>
      <c r="C2414" s="116"/>
      <c r="D2414" s="116"/>
      <c r="E2414" s="116" t="str">
        <f>IFERROR(__xludf.DUMMYFUNCTION("""COMPUTED_VALUE"""),"")</f>
        <v/>
      </c>
      <c r="F2414" s="117" t="s">
        <v>39</v>
      </c>
      <c r="G2414" s="116"/>
      <c r="H2414" s="117"/>
      <c r="I2414" s="117"/>
      <c r="J2414" s="117"/>
      <c r="K2414" s="117"/>
      <c r="L2414" s="116"/>
      <c r="M2414" s="117"/>
      <c r="N2414" s="118" t="str">
        <f>IFERROR(__xludf.DUMMYFUNCTION("""COMPUTED_VALUE"""),"")</f>
        <v/>
      </c>
      <c r="O2414" s="116"/>
      <c r="P2414" s="116"/>
      <c r="Q2414" s="116"/>
      <c r="R2414" s="116" t="s">
        <v>39</v>
      </c>
      <c r="S2414" s="116" t="s">
        <v>39</v>
      </c>
      <c r="T2414" s="104"/>
      <c r="U2414" s="116"/>
      <c r="V2414" s="104"/>
      <c r="W2414" s="116"/>
    </row>
    <row r="2415">
      <c r="A2415" s="114" t="s">
        <v>39</v>
      </c>
      <c r="B2415" s="115"/>
      <c r="C2415" s="116"/>
      <c r="D2415" s="116"/>
      <c r="E2415" s="116" t="str">
        <f>IFERROR(__xludf.DUMMYFUNCTION("""COMPUTED_VALUE"""),"")</f>
        <v/>
      </c>
      <c r="F2415" s="117" t="s">
        <v>39</v>
      </c>
      <c r="G2415" s="116"/>
      <c r="H2415" s="117"/>
      <c r="I2415" s="117"/>
      <c r="J2415" s="117"/>
      <c r="K2415" s="117"/>
      <c r="L2415" s="116"/>
      <c r="M2415" s="117"/>
      <c r="N2415" s="118" t="str">
        <f>IFERROR(__xludf.DUMMYFUNCTION("""COMPUTED_VALUE"""),"")</f>
        <v/>
      </c>
      <c r="O2415" s="116"/>
      <c r="P2415" s="116"/>
      <c r="Q2415" s="116"/>
      <c r="R2415" s="116" t="s">
        <v>39</v>
      </c>
      <c r="S2415" s="116" t="s">
        <v>39</v>
      </c>
      <c r="T2415" s="104"/>
      <c r="U2415" s="116"/>
      <c r="V2415" s="104"/>
      <c r="W2415" s="116"/>
    </row>
    <row r="2416">
      <c r="A2416" s="114" t="s">
        <v>39</v>
      </c>
      <c r="B2416" s="115"/>
      <c r="C2416" s="116"/>
      <c r="D2416" s="116"/>
      <c r="E2416" s="116" t="str">
        <f>IFERROR(__xludf.DUMMYFUNCTION("""COMPUTED_VALUE"""),"")</f>
        <v/>
      </c>
      <c r="F2416" s="117" t="s">
        <v>39</v>
      </c>
      <c r="G2416" s="116"/>
      <c r="H2416" s="117"/>
      <c r="I2416" s="117"/>
      <c r="J2416" s="117"/>
      <c r="K2416" s="117"/>
      <c r="L2416" s="116"/>
      <c r="M2416" s="117"/>
      <c r="N2416" s="118" t="str">
        <f>IFERROR(__xludf.DUMMYFUNCTION("""COMPUTED_VALUE"""),"")</f>
        <v/>
      </c>
      <c r="O2416" s="116"/>
      <c r="P2416" s="116"/>
      <c r="Q2416" s="116"/>
      <c r="R2416" s="116" t="s">
        <v>39</v>
      </c>
      <c r="S2416" s="116" t="s">
        <v>39</v>
      </c>
      <c r="T2416" s="104"/>
      <c r="U2416" s="116"/>
      <c r="V2416" s="104"/>
      <c r="W2416" s="116"/>
    </row>
    <row r="2417">
      <c r="A2417" s="114" t="s">
        <v>39</v>
      </c>
      <c r="B2417" s="115"/>
      <c r="C2417" s="116"/>
      <c r="D2417" s="116"/>
      <c r="E2417" s="116" t="str">
        <f>IFERROR(__xludf.DUMMYFUNCTION("""COMPUTED_VALUE"""),"")</f>
        <v/>
      </c>
      <c r="F2417" s="117" t="s">
        <v>39</v>
      </c>
      <c r="G2417" s="116"/>
      <c r="H2417" s="117"/>
      <c r="I2417" s="117"/>
      <c r="J2417" s="117"/>
      <c r="K2417" s="117"/>
      <c r="L2417" s="116"/>
      <c r="M2417" s="117"/>
      <c r="N2417" s="118" t="str">
        <f>IFERROR(__xludf.DUMMYFUNCTION("""COMPUTED_VALUE"""),"")</f>
        <v/>
      </c>
      <c r="O2417" s="116"/>
      <c r="P2417" s="116"/>
      <c r="Q2417" s="116"/>
      <c r="R2417" s="116" t="s">
        <v>39</v>
      </c>
      <c r="S2417" s="116" t="s">
        <v>39</v>
      </c>
      <c r="T2417" s="104"/>
      <c r="U2417" s="116"/>
      <c r="V2417" s="104"/>
      <c r="W2417" s="116"/>
    </row>
    <row r="2418">
      <c r="A2418" s="114" t="s">
        <v>39</v>
      </c>
      <c r="B2418" s="115"/>
      <c r="C2418" s="116"/>
      <c r="D2418" s="116"/>
      <c r="E2418" s="116" t="str">
        <f>IFERROR(__xludf.DUMMYFUNCTION("""COMPUTED_VALUE"""),"")</f>
        <v/>
      </c>
      <c r="F2418" s="117" t="s">
        <v>39</v>
      </c>
      <c r="G2418" s="116"/>
      <c r="H2418" s="117"/>
      <c r="I2418" s="117"/>
      <c r="J2418" s="117"/>
      <c r="K2418" s="117"/>
      <c r="L2418" s="116"/>
      <c r="M2418" s="117"/>
      <c r="N2418" s="118" t="str">
        <f>IFERROR(__xludf.DUMMYFUNCTION("""COMPUTED_VALUE"""),"")</f>
        <v/>
      </c>
      <c r="O2418" s="116"/>
      <c r="P2418" s="116"/>
      <c r="Q2418" s="116"/>
      <c r="R2418" s="116" t="s">
        <v>39</v>
      </c>
      <c r="S2418" s="116" t="s">
        <v>39</v>
      </c>
      <c r="T2418" s="104"/>
      <c r="U2418" s="116"/>
      <c r="V2418" s="104"/>
      <c r="W2418" s="116"/>
    </row>
    <row r="2419">
      <c r="A2419" s="114" t="s">
        <v>39</v>
      </c>
      <c r="B2419" s="115"/>
      <c r="C2419" s="116"/>
      <c r="D2419" s="116"/>
      <c r="E2419" s="116" t="str">
        <f>IFERROR(__xludf.DUMMYFUNCTION("""COMPUTED_VALUE"""),"")</f>
        <v/>
      </c>
      <c r="F2419" s="117" t="s">
        <v>39</v>
      </c>
      <c r="G2419" s="116"/>
      <c r="H2419" s="117"/>
      <c r="I2419" s="117"/>
      <c r="J2419" s="117"/>
      <c r="K2419" s="117"/>
      <c r="L2419" s="116"/>
      <c r="M2419" s="117"/>
      <c r="N2419" s="118" t="str">
        <f>IFERROR(__xludf.DUMMYFUNCTION("""COMPUTED_VALUE"""),"")</f>
        <v/>
      </c>
      <c r="O2419" s="116"/>
      <c r="P2419" s="116"/>
      <c r="Q2419" s="116"/>
      <c r="R2419" s="116" t="s">
        <v>39</v>
      </c>
      <c r="S2419" s="116" t="s">
        <v>39</v>
      </c>
      <c r="T2419" s="104"/>
      <c r="U2419" s="116"/>
      <c r="V2419" s="104"/>
      <c r="W2419" s="116"/>
    </row>
    <row r="2420">
      <c r="A2420" s="114" t="s">
        <v>39</v>
      </c>
      <c r="B2420" s="115"/>
      <c r="C2420" s="116"/>
      <c r="D2420" s="116"/>
      <c r="E2420" s="116" t="str">
        <f>IFERROR(__xludf.DUMMYFUNCTION("""COMPUTED_VALUE"""),"")</f>
        <v/>
      </c>
      <c r="F2420" s="117" t="s">
        <v>39</v>
      </c>
      <c r="G2420" s="116"/>
      <c r="H2420" s="117"/>
      <c r="I2420" s="117"/>
      <c r="J2420" s="117"/>
      <c r="K2420" s="117"/>
      <c r="L2420" s="116"/>
      <c r="M2420" s="117"/>
      <c r="N2420" s="118" t="str">
        <f>IFERROR(__xludf.DUMMYFUNCTION("""COMPUTED_VALUE"""),"")</f>
        <v/>
      </c>
      <c r="O2420" s="116"/>
      <c r="P2420" s="116"/>
      <c r="Q2420" s="116"/>
      <c r="R2420" s="116" t="s">
        <v>39</v>
      </c>
      <c r="S2420" s="116" t="s">
        <v>39</v>
      </c>
      <c r="T2420" s="104"/>
      <c r="U2420" s="116"/>
      <c r="V2420" s="104"/>
      <c r="W2420" s="116"/>
    </row>
    <row r="2421">
      <c r="A2421" s="114" t="s">
        <v>39</v>
      </c>
      <c r="B2421" s="115"/>
      <c r="C2421" s="116"/>
      <c r="D2421" s="116"/>
      <c r="E2421" s="116" t="str">
        <f>IFERROR(__xludf.DUMMYFUNCTION("""COMPUTED_VALUE"""),"")</f>
        <v/>
      </c>
      <c r="F2421" s="117" t="s">
        <v>39</v>
      </c>
      <c r="G2421" s="116"/>
      <c r="H2421" s="117"/>
      <c r="I2421" s="117"/>
      <c r="J2421" s="117"/>
      <c r="K2421" s="117"/>
      <c r="L2421" s="116"/>
      <c r="M2421" s="117"/>
      <c r="N2421" s="118" t="str">
        <f>IFERROR(__xludf.DUMMYFUNCTION("""COMPUTED_VALUE"""),"")</f>
        <v/>
      </c>
      <c r="O2421" s="116"/>
      <c r="P2421" s="116"/>
      <c r="Q2421" s="116"/>
      <c r="R2421" s="116" t="s">
        <v>39</v>
      </c>
      <c r="S2421" s="116" t="s">
        <v>39</v>
      </c>
      <c r="T2421" s="104"/>
      <c r="U2421" s="116"/>
      <c r="V2421" s="104"/>
      <c r="W2421" s="116"/>
    </row>
    <row r="2422">
      <c r="A2422" s="114" t="s">
        <v>39</v>
      </c>
      <c r="B2422" s="115"/>
      <c r="C2422" s="116"/>
      <c r="D2422" s="116"/>
      <c r="E2422" s="116" t="str">
        <f>IFERROR(__xludf.DUMMYFUNCTION("""COMPUTED_VALUE"""),"")</f>
        <v/>
      </c>
      <c r="F2422" s="117" t="s">
        <v>39</v>
      </c>
      <c r="G2422" s="116"/>
      <c r="H2422" s="117"/>
      <c r="I2422" s="117"/>
      <c r="J2422" s="117"/>
      <c r="K2422" s="117"/>
      <c r="L2422" s="116"/>
      <c r="M2422" s="117"/>
      <c r="N2422" s="118" t="str">
        <f>IFERROR(__xludf.DUMMYFUNCTION("""COMPUTED_VALUE"""),"")</f>
        <v/>
      </c>
      <c r="O2422" s="116"/>
      <c r="P2422" s="116"/>
      <c r="Q2422" s="116"/>
      <c r="R2422" s="116" t="s">
        <v>39</v>
      </c>
      <c r="S2422" s="116" t="s">
        <v>39</v>
      </c>
      <c r="T2422" s="104"/>
      <c r="U2422" s="116"/>
      <c r="V2422" s="104"/>
      <c r="W2422" s="116"/>
    </row>
    <row r="2423">
      <c r="A2423" s="114" t="s">
        <v>39</v>
      </c>
      <c r="B2423" s="115"/>
      <c r="C2423" s="116"/>
      <c r="D2423" s="116"/>
      <c r="E2423" s="116" t="str">
        <f>IFERROR(__xludf.DUMMYFUNCTION("""COMPUTED_VALUE"""),"")</f>
        <v/>
      </c>
      <c r="F2423" s="117" t="s">
        <v>39</v>
      </c>
      <c r="G2423" s="116"/>
      <c r="H2423" s="117"/>
      <c r="I2423" s="117"/>
      <c r="J2423" s="117"/>
      <c r="K2423" s="117"/>
      <c r="L2423" s="116"/>
      <c r="M2423" s="117"/>
      <c r="N2423" s="118" t="str">
        <f>IFERROR(__xludf.DUMMYFUNCTION("""COMPUTED_VALUE"""),"")</f>
        <v/>
      </c>
      <c r="O2423" s="116"/>
      <c r="P2423" s="116"/>
      <c r="Q2423" s="116"/>
      <c r="R2423" s="116" t="s">
        <v>39</v>
      </c>
      <c r="S2423" s="116" t="s">
        <v>39</v>
      </c>
      <c r="T2423" s="104"/>
      <c r="U2423" s="116"/>
      <c r="V2423" s="104"/>
      <c r="W2423" s="116"/>
    </row>
    <row r="2424">
      <c r="A2424" s="114" t="s">
        <v>39</v>
      </c>
      <c r="B2424" s="115"/>
      <c r="C2424" s="116"/>
      <c r="D2424" s="116"/>
      <c r="E2424" s="116" t="str">
        <f>IFERROR(__xludf.DUMMYFUNCTION("""COMPUTED_VALUE"""),"")</f>
        <v/>
      </c>
      <c r="F2424" s="117" t="s">
        <v>39</v>
      </c>
      <c r="G2424" s="116"/>
      <c r="H2424" s="117"/>
      <c r="I2424" s="117"/>
      <c r="J2424" s="117"/>
      <c r="K2424" s="117"/>
      <c r="L2424" s="116"/>
      <c r="M2424" s="117"/>
      <c r="N2424" s="118" t="str">
        <f>IFERROR(__xludf.DUMMYFUNCTION("""COMPUTED_VALUE"""),"")</f>
        <v/>
      </c>
      <c r="O2424" s="116"/>
      <c r="P2424" s="116"/>
      <c r="Q2424" s="116"/>
      <c r="R2424" s="116" t="s">
        <v>39</v>
      </c>
      <c r="S2424" s="116" t="s">
        <v>39</v>
      </c>
      <c r="T2424" s="104"/>
      <c r="U2424" s="116"/>
      <c r="V2424" s="104"/>
      <c r="W2424" s="116"/>
    </row>
    <row r="2425">
      <c r="A2425" s="114" t="s">
        <v>39</v>
      </c>
      <c r="B2425" s="115"/>
      <c r="C2425" s="116"/>
      <c r="D2425" s="116"/>
      <c r="E2425" s="116" t="str">
        <f>IFERROR(__xludf.DUMMYFUNCTION("""COMPUTED_VALUE"""),"")</f>
        <v/>
      </c>
      <c r="F2425" s="117" t="s">
        <v>39</v>
      </c>
      <c r="G2425" s="116"/>
      <c r="H2425" s="117"/>
      <c r="I2425" s="117"/>
      <c r="J2425" s="117"/>
      <c r="K2425" s="117"/>
      <c r="L2425" s="116"/>
      <c r="M2425" s="117"/>
      <c r="N2425" s="118" t="str">
        <f>IFERROR(__xludf.DUMMYFUNCTION("""COMPUTED_VALUE"""),"")</f>
        <v/>
      </c>
      <c r="O2425" s="116"/>
      <c r="P2425" s="116"/>
      <c r="Q2425" s="116"/>
      <c r="R2425" s="116" t="s">
        <v>39</v>
      </c>
      <c r="S2425" s="116" t="s">
        <v>39</v>
      </c>
      <c r="T2425" s="104"/>
      <c r="U2425" s="116"/>
      <c r="V2425" s="104"/>
      <c r="W2425" s="116"/>
    </row>
    <row r="2426">
      <c r="A2426" s="114" t="s">
        <v>39</v>
      </c>
      <c r="B2426" s="115"/>
      <c r="C2426" s="116"/>
      <c r="D2426" s="116"/>
      <c r="E2426" s="116" t="str">
        <f>IFERROR(__xludf.DUMMYFUNCTION("""COMPUTED_VALUE"""),"")</f>
        <v/>
      </c>
      <c r="F2426" s="117" t="s">
        <v>39</v>
      </c>
      <c r="G2426" s="116"/>
      <c r="H2426" s="117"/>
      <c r="I2426" s="117"/>
      <c r="J2426" s="117"/>
      <c r="K2426" s="117"/>
      <c r="L2426" s="116"/>
      <c r="M2426" s="117"/>
      <c r="N2426" s="118" t="str">
        <f>IFERROR(__xludf.DUMMYFUNCTION("""COMPUTED_VALUE"""),"")</f>
        <v/>
      </c>
      <c r="O2426" s="116"/>
      <c r="P2426" s="116"/>
      <c r="Q2426" s="116"/>
      <c r="R2426" s="116" t="s">
        <v>39</v>
      </c>
      <c r="S2426" s="116" t="s">
        <v>39</v>
      </c>
      <c r="T2426" s="104"/>
      <c r="U2426" s="116"/>
      <c r="V2426" s="104"/>
      <c r="W2426" s="116"/>
    </row>
    <row r="2427">
      <c r="A2427" s="114" t="s">
        <v>39</v>
      </c>
      <c r="B2427" s="115"/>
      <c r="C2427" s="116"/>
      <c r="D2427" s="116"/>
      <c r="E2427" s="116" t="str">
        <f>IFERROR(__xludf.DUMMYFUNCTION("""COMPUTED_VALUE"""),"")</f>
        <v/>
      </c>
      <c r="F2427" s="117" t="s">
        <v>39</v>
      </c>
      <c r="G2427" s="116"/>
      <c r="H2427" s="117"/>
      <c r="I2427" s="117"/>
      <c r="J2427" s="117"/>
      <c r="K2427" s="117"/>
      <c r="L2427" s="116"/>
      <c r="M2427" s="117"/>
      <c r="N2427" s="118" t="str">
        <f>IFERROR(__xludf.DUMMYFUNCTION("""COMPUTED_VALUE"""),"")</f>
        <v/>
      </c>
      <c r="O2427" s="116"/>
      <c r="P2427" s="116"/>
      <c r="Q2427" s="116"/>
      <c r="R2427" s="116" t="s">
        <v>39</v>
      </c>
      <c r="S2427" s="116" t="s">
        <v>39</v>
      </c>
      <c r="T2427" s="104"/>
      <c r="U2427" s="116"/>
      <c r="V2427" s="104"/>
      <c r="W2427" s="116"/>
    </row>
    <row r="2428">
      <c r="A2428" s="114" t="s">
        <v>39</v>
      </c>
      <c r="B2428" s="115"/>
      <c r="C2428" s="116"/>
      <c r="D2428" s="116"/>
      <c r="E2428" s="116" t="str">
        <f>IFERROR(__xludf.DUMMYFUNCTION("""COMPUTED_VALUE"""),"")</f>
        <v/>
      </c>
      <c r="F2428" s="117" t="s">
        <v>39</v>
      </c>
      <c r="G2428" s="116"/>
      <c r="H2428" s="117"/>
      <c r="I2428" s="117"/>
      <c r="J2428" s="117"/>
      <c r="K2428" s="117"/>
      <c r="L2428" s="116"/>
      <c r="M2428" s="117"/>
      <c r="N2428" s="118" t="str">
        <f>IFERROR(__xludf.DUMMYFUNCTION("""COMPUTED_VALUE"""),"")</f>
        <v/>
      </c>
      <c r="O2428" s="116"/>
      <c r="P2428" s="116"/>
      <c r="Q2428" s="116"/>
      <c r="R2428" s="116" t="s">
        <v>39</v>
      </c>
      <c r="S2428" s="116" t="s">
        <v>39</v>
      </c>
      <c r="T2428" s="104"/>
      <c r="U2428" s="116"/>
      <c r="V2428" s="104"/>
      <c r="W2428" s="116"/>
    </row>
    <row r="2429">
      <c r="A2429" s="114" t="s">
        <v>39</v>
      </c>
      <c r="B2429" s="115"/>
      <c r="C2429" s="116"/>
      <c r="D2429" s="116"/>
      <c r="E2429" s="116" t="str">
        <f>IFERROR(__xludf.DUMMYFUNCTION("""COMPUTED_VALUE"""),"")</f>
        <v/>
      </c>
      <c r="F2429" s="117" t="s">
        <v>39</v>
      </c>
      <c r="G2429" s="116"/>
      <c r="H2429" s="117"/>
      <c r="I2429" s="117"/>
      <c r="J2429" s="117"/>
      <c r="K2429" s="117"/>
      <c r="L2429" s="116"/>
      <c r="M2429" s="117"/>
      <c r="N2429" s="118" t="str">
        <f>IFERROR(__xludf.DUMMYFUNCTION("""COMPUTED_VALUE"""),"")</f>
        <v/>
      </c>
      <c r="O2429" s="116"/>
      <c r="P2429" s="116"/>
      <c r="Q2429" s="116"/>
      <c r="R2429" s="116" t="s">
        <v>39</v>
      </c>
      <c r="S2429" s="116" t="s">
        <v>39</v>
      </c>
      <c r="T2429" s="104"/>
      <c r="U2429" s="116"/>
      <c r="V2429" s="104"/>
      <c r="W2429" s="116"/>
    </row>
    <row r="2430">
      <c r="A2430" s="114" t="s">
        <v>39</v>
      </c>
      <c r="B2430" s="115"/>
      <c r="C2430" s="116"/>
      <c r="D2430" s="116"/>
      <c r="E2430" s="116" t="str">
        <f>IFERROR(__xludf.DUMMYFUNCTION("""COMPUTED_VALUE"""),"")</f>
        <v/>
      </c>
      <c r="F2430" s="117" t="s">
        <v>39</v>
      </c>
      <c r="G2430" s="116"/>
      <c r="H2430" s="117"/>
      <c r="I2430" s="117"/>
      <c r="J2430" s="117"/>
      <c r="K2430" s="117"/>
      <c r="L2430" s="116"/>
      <c r="M2430" s="117"/>
      <c r="N2430" s="118" t="str">
        <f>IFERROR(__xludf.DUMMYFUNCTION("""COMPUTED_VALUE"""),"")</f>
        <v/>
      </c>
      <c r="O2430" s="116"/>
      <c r="P2430" s="116"/>
      <c r="Q2430" s="116"/>
      <c r="R2430" s="116" t="s">
        <v>39</v>
      </c>
      <c r="S2430" s="116" t="s">
        <v>39</v>
      </c>
      <c r="T2430" s="104"/>
      <c r="U2430" s="116"/>
      <c r="V2430" s="104"/>
      <c r="W2430" s="116"/>
    </row>
    <row r="2431">
      <c r="A2431" s="114" t="s">
        <v>39</v>
      </c>
      <c r="B2431" s="115"/>
      <c r="C2431" s="116"/>
      <c r="D2431" s="116"/>
      <c r="E2431" s="116" t="str">
        <f>IFERROR(__xludf.DUMMYFUNCTION("""COMPUTED_VALUE"""),"")</f>
        <v/>
      </c>
      <c r="F2431" s="117" t="s">
        <v>39</v>
      </c>
      <c r="G2431" s="116"/>
      <c r="H2431" s="117"/>
      <c r="I2431" s="117"/>
      <c r="J2431" s="117"/>
      <c r="K2431" s="117"/>
      <c r="L2431" s="116"/>
      <c r="M2431" s="117"/>
      <c r="N2431" s="118" t="str">
        <f>IFERROR(__xludf.DUMMYFUNCTION("""COMPUTED_VALUE"""),"")</f>
        <v/>
      </c>
      <c r="O2431" s="116"/>
      <c r="P2431" s="116"/>
      <c r="Q2431" s="116"/>
      <c r="R2431" s="116" t="s">
        <v>39</v>
      </c>
      <c r="S2431" s="116" t="s">
        <v>39</v>
      </c>
      <c r="T2431" s="104"/>
      <c r="U2431" s="116"/>
      <c r="V2431" s="104"/>
      <c r="W2431" s="116"/>
    </row>
    <row r="2432">
      <c r="A2432" s="114" t="s">
        <v>39</v>
      </c>
      <c r="B2432" s="115"/>
      <c r="C2432" s="116"/>
      <c r="D2432" s="116"/>
      <c r="E2432" s="116" t="str">
        <f>IFERROR(__xludf.DUMMYFUNCTION("""COMPUTED_VALUE"""),"")</f>
        <v/>
      </c>
      <c r="F2432" s="117" t="s">
        <v>39</v>
      </c>
      <c r="G2432" s="116"/>
      <c r="H2432" s="117"/>
      <c r="I2432" s="117"/>
      <c r="J2432" s="117"/>
      <c r="K2432" s="117"/>
      <c r="L2432" s="116"/>
      <c r="M2432" s="117"/>
      <c r="N2432" s="118" t="str">
        <f>IFERROR(__xludf.DUMMYFUNCTION("""COMPUTED_VALUE"""),"")</f>
        <v/>
      </c>
      <c r="O2432" s="116"/>
      <c r="P2432" s="116"/>
      <c r="Q2432" s="116"/>
      <c r="R2432" s="116" t="s">
        <v>39</v>
      </c>
      <c r="S2432" s="116" t="s">
        <v>39</v>
      </c>
      <c r="T2432" s="104"/>
      <c r="U2432" s="116"/>
      <c r="V2432" s="104"/>
      <c r="W2432" s="116"/>
    </row>
    <row r="2433">
      <c r="A2433" s="114" t="s">
        <v>39</v>
      </c>
      <c r="B2433" s="115"/>
      <c r="C2433" s="116"/>
      <c r="D2433" s="116"/>
      <c r="E2433" s="116" t="str">
        <f>IFERROR(__xludf.DUMMYFUNCTION("""COMPUTED_VALUE"""),"")</f>
        <v/>
      </c>
      <c r="F2433" s="117" t="s">
        <v>39</v>
      </c>
      <c r="G2433" s="116"/>
      <c r="H2433" s="117"/>
      <c r="I2433" s="117"/>
      <c r="J2433" s="117"/>
      <c r="K2433" s="117"/>
      <c r="L2433" s="116"/>
      <c r="M2433" s="117"/>
      <c r="N2433" s="118" t="str">
        <f>IFERROR(__xludf.DUMMYFUNCTION("""COMPUTED_VALUE"""),"")</f>
        <v/>
      </c>
      <c r="O2433" s="116"/>
      <c r="P2433" s="116"/>
      <c r="Q2433" s="116"/>
      <c r="R2433" s="116" t="s">
        <v>39</v>
      </c>
      <c r="S2433" s="116" t="s">
        <v>39</v>
      </c>
      <c r="T2433" s="104"/>
      <c r="U2433" s="116"/>
      <c r="V2433" s="104"/>
      <c r="W2433" s="116"/>
    </row>
    <row r="2434">
      <c r="A2434" s="114" t="s">
        <v>39</v>
      </c>
      <c r="B2434" s="115"/>
      <c r="C2434" s="116"/>
      <c r="D2434" s="116"/>
      <c r="E2434" s="116" t="str">
        <f>IFERROR(__xludf.DUMMYFUNCTION("""COMPUTED_VALUE"""),"")</f>
        <v/>
      </c>
      <c r="F2434" s="117" t="s">
        <v>39</v>
      </c>
      <c r="G2434" s="116"/>
      <c r="H2434" s="117"/>
      <c r="I2434" s="117"/>
      <c r="J2434" s="117"/>
      <c r="K2434" s="117"/>
      <c r="L2434" s="116"/>
      <c r="M2434" s="117"/>
      <c r="N2434" s="118" t="str">
        <f>IFERROR(__xludf.DUMMYFUNCTION("""COMPUTED_VALUE"""),"")</f>
        <v/>
      </c>
      <c r="O2434" s="116"/>
      <c r="P2434" s="116"/>
      <c r="Q2434" s="116"/>
      <c r="R2434" s="116" t="s">
        <v>39</v>
      </c>
      <c r="S2434" s="116" t="s">
        <v>39</v>
      </c>
      <c r="T2434" s="104"/>
      <c r="U2434" s="116"/>
      <c r="V2434" s="104"/>
      <c r="W2434" s="116"/>
    </row>
    <row r="2435">
      <c r="A2435" s="114" t="s">
        <v>39</v>
      </c>
      <c r="B2435" s="115"/>
      <c r="C2435" s="116"/>
      <c r="D2435" s="116"/>
      <c r="E2435" s="116" t="str">
        <f>IFERROR(__xludf.DUMMYFUNCTION("""COMPUTED_VALUE"""),"")</f>
        <v/>
      </c>
      <c r="F2435" s="117" t="s">
        <v>39</v>
      </c>
      <c r="G2435" s="116"/>
      <c r="H2435" s="117"/>
      <c r="I2435" s="117"/>
      <c r="J2435" s="117"/>
      <c r="K2435" s="117"/>
      <c r="L2435" s="116"/>
      <c r="M2435" s="117"/>
      <c r="N2435" s="118" t="str">
        <f>IFERROR(__xludf.DUMMYFUNCTION("""COMPUTED_VALUE"""),"")</f>
        <v/>
      </c>
      <c r="O2435" s="116"/>
      <c r="P2435" s="116"/>
      <c r="Q2435" s="116"/>
      <c r="R2435" s="116" t="s">
        <v>39</v>
      </c>
      <c r="S2435" s="116" t="s">
        <v>39</v>
      </c>
      <c r="T2435" s="104"/>
      <c r="U2435" s="116"/>
      <c r="V2435" s="104"/>
      <c r="W2435" s="116"/>
    </row>
    <row r="2436">
      <c r="A2436" s="114" t="s">
        <v>39</v>
      </c>
      <c r="B2436" s="115"/>
      <c r="C2436" s="116"/>
      <c r="D2436" s="116"/>
      <c r="E2436" s="116" t="str">
        <f>IFERROR(__xludf.DUMMYFUNCTION("""COMPUTED_VALUE"""),"")</f>
        <v/>
      </c>
      <c r="F2436" s="117" t="s">
        <v>39</v>
      </c>
      <c r="G2436" s="116"/>
      <c r="H2436" s="117"/>
      <c r="I2436" s="117"/>
      <c r="J2436" s="117"/>
      <c r="K2436" s="117"/>
      <c r="L2436" s="116"/>
      <c r="M2436" s="117"/>
      <c r="N2436" s="118" t="str">
        <f>IFERROR(__xludf.DUMMYFUNCTION("""COMPUTED_VALUE"""),"")</f>
        <v/>
      </c>
      <c r="O2436" s="116"/>
      <c r="P2436" s="116"/>
      <c r="Q2436" s="116"/>
      <c r="R2436" s="116" t="s">
        <v>39</v>
      </c>
      <c r="S2436" s="116" t="s">
        <v>39</v>
      </c>
      <c r="T2436" s="104"/>
      <c r="U2436" s="116"/>
      <c r="V2436" s="104"/>
      <c r="W2436" s="116"/>
    </row>
    <row r="2437">
      <c r="A2437" s="114" t="s">
        <v>39</v>
      </c>
      <c r="B2437" s="115"/>
      <c r="C2437" s="116"/>
      <c r="D2437" s="116"/>
      <c r="E2437" s="116" t="str">
        <f>IFERROR(__xludf.DUMMYFUNCTION("""COMPUTED_VALUE"""),"")</f>
        <v/>
      </c>
      <c r="F2437" s="117" t="s">
        <v>39</v>
      </c>
      <c r="G2437" s="116"/>
      <c r="H2437" s="117"/>
      <c r="I2437" s="117"/>
      <c r="J2437" s="117"/>
      <c r="K2437" s="117"/>
      <c r="L2437" s="116"/>
      <c r="M2437" s="117"/>
      <c r="N2437" s="118" t="str">
        <f>IFERROR(__xludf.DUMMYFUNCTION("""COMPUTED_VALUE"""),"")</f>
        <v/>
      </c>
      <c r="O2437" s="116"/>
      <c r="P2437" s="116"/>
      <c r="Q2437" s="116"/>
      <c r="R2437" s="116" t="s">
        <v>39</v>
      </c>
      <c r="S2437" s="116" t="s">
        <v>39</v>
      </c>
      <c r="T2437" s="104"/>
      <c r="U2437" s="116"/>
      <c r="V2437" s="104"/>
      <c r="W2437" s="116"/>
    </row>
    <row r="2438">
      <c r="A2438" s="114" t="s">
        <v>39</v>
      </c>
      <c r="B2438" s="115"/>
      <c r="C2438" s="116"/>
      <c r="D2438" s="116"/>
      <c r="E2438" s="116" t="str">
        <f>IFERROR(__xludf.DUMMYFUNCTION("""COMPUTED_VALUE"""),"")</f>
        <v/>
      </c>
      <c r="F2438" s="117" t="s">
        <v>39</v>
      </c>
      <c r="G2438" s="116"/>
      <c r="H2438" s="117"/>
      <c r="I2438" s="117"/>
      <c r="J2438" s="117"/>
      <c r="K2438" s="117"/>
      <c r="L2438" s="116"/>
      <c r="M2438" s="117"/>
      <c r="N2438" s="118" t="str">
        <f>IFERROR(__xludf.DUMMYFUNCTION("""COMPUTED_VALUE"""),"")</f>
        <v/>
      </c>
      <c r="O2438" s="116"/>
      <c r="P2438" s="116"/>
      <c r="Q2438" s="116"/>
      <c r="R2438" s="116" t="s">
        <v>39</v>
      </c>
      <c r="S2438" s="116" t="s">
        <v>39</v>
      </c>
      <c r="T2438" s="104"/>
      <c r="U2438" s="116"/>
      <c r="V2438" s="104"/>
      <c r="W2438" s="116"/>
    </row>
    <row r="2439">
      <c r="A2439" s="114" t="s">
        <v>39</v>
      </c>
      <c r="B2439" s="115"/>
      <c r="C2439" s="116"/>
      <c r="D2439" s="116"/>
      <c r="E2439" s="116" t="str">
        <f>IFERROR(__xludf.DUMMYFUNCTION("""COMPUTED_VALUE"""),"")</f>
        <v/>
      </c>
      <c r="F2439" s="117" t="s">
        <v>39</v>
      </c>
      <c r="G2439" s="116"/>
      <c r="H2439" s="117"/>
      <c r="I2439" s="117"/>
      <c r="J2439" s="117"/>
      <c r="K2439" s="117"/>
      <c r="L2439" s="116"/>
      <c r="M2439" s="117"/>
      <c r="N2439" s="118" t="str">
        <f>IFERROR(__xludf.DUMMYFUNCTION("""COMPUTED_VALUE"""),"")</f>
        <v/>
      </c>
      <c r="O2439" s="116"/>
      <c r="P2439" s="116"/>
      <c r="Q2439" s="116"/>
      <c r="R2439" s="116" t="s">
        <v>39</v>
      </c>
      <c r="S2439" s="116" t="s">
        <v>39</v>
      </c>
      <c r="T2439" s="104"/>
      <c r="U2439" s="116"/>
      <c r="V2439" s="104"/>
      <c r="W2439" s="116"/>
    </row>
    <row r="2440">
      <c r="A2440" s="114" t="s">
        <v>39</v>
      </c>
      <c r="B2440" s="115"/>
      <c r="C2440" s="116"/>
      <c r="D2440" s="116"/>
      <c r="E2440" s="116" t="str">
        <f>IFERROR(__xludf.DUMMYFUNCTION("""COMPUTED_VALUE"""),"")</f>
        <v/>
      </c>
      <c r="F2440" s="117" t="s">
        <v>39</v>
      </c>
      <c r="G2440" s="116"/>
      <c r="H2440" s="117"/>
      <c r="I2440" s="117"/>
      <c r="J2440" s="117"/>
      <c r="K2440" s="117"/>
      <c r="L2440" s="116"/>
      <c r="M2440" s="117"/>
      <c r="N2440" s="118" t="str">
        <f>IFERROR(__xludf.DUMMYFUNCTION("""COMPUTED_VALUE"""),"")</f>
        <v/>
      </c>
      <c r="O2440" s="116"/>
      <c r="P2440" s="116"/>
      <c r="Q2440" s="116"/>
      <c r="R2440" s="116" t="s">
        <v>39</v>
      </c>
      <c r="S2440" s="116" t="s">
        <v>39</v>
      </c>
      <c r="T2440" s="104"/>
      <c r="U2440" s="116"/>
      <c r="V2440" s="104"/>
      <c r="W2440" s="116"/>
    </row>
    <row r="2441">
      <c r="A2441" s="114" t="s">
        <v>39</v>
      </c>
      <c r="B2441" s="115"/>
      <c r="C2441" s="116"/>
      <c r="D2441" s="116"/>
      <c r="E2441" s="116" t="str">
        <f>IFERROR(__xludf.DUMMYFUNCTION("""COMPUTED_VALUE"""),"")</f>
        <v/>
      </c>
      <c r="F2441" s="117" t="s">
        <v>39</v>
      </c>
      <c r="G2441" s="116"/>
      <c r="H2441" s="117"/>
      <c r="I2441" s="117"/>
      <c r="J2441" s="117"/>
      <c r="K2441" s="117"/>
      <c r="L2441" s="116"/>
      <c r="M2441" s="117"/>
      <c r="N2441" s="118" t="str">
        <f>IFERROR(__xludf.DUMMYFUNCTION("""COMPUTED_VALUE"""),"")</f>
        <v/>
      </c>
      <c r="O2441" s="116"/>
      <c r="P2441" s="116"/>
      <c r="Q2441" s="116"/>
      <c r="R2441" s="116" t="s">
        <v>39</v>
      </c>
      <c r="S2441" s="116" t="s">
        <v>39</v>
      </c>
      <c r="T2441" s="104"/>
      <c r="U2441" s="116"/>
      <c r="V2441" s="104"/>
      <c r="W2441" s="116"/>
    </row>
    <row r="2442">
      <c r="A2442" s="114" t="s">
        <v>39</v>
      </c>
      <c r="B2442" s="115"/>
      <c r="C2442" s="116"/>
      <c r="D2442" s="116"/>
      <c r="E2442" s="116" t="str">
        <f>IFERROR(__xludf.DUMMYFUNCTION("""COMPUTED_VALUE"""),"")</f>
        <v/>
      </c>
      <c r="F2442" s="117" t="s">
        <v>39</v>
      </c>
      <c r="G2442" s="116"/>
      <c r="H2442" s="117"/>
      <c r="I2442" s="117"/>
      <c r="J2442" s="117"/>
      <c r="K2442" s="117"/>
      <c r="L2442" s="116"/>
      <c r="M2442" s="117"/>
      <c r="N2442" s="118" t="str">
        <f>IFERROR(__xludf.DUMMYFUNCTION("""COMPUTED_VALUE"""),"")</f>
        <v/>
      </c>
      <c r="O2442" s="116"/>
      <c r="P2442" s="116"/>
      <c r="Q2442" s="116"/>
      <c r="R2442" s="116" t="s">
        <v>39</v>
      </c>
      <c r="S2442" s="116" t="s">
        <v>39</v>
      </c>
      <c r="T2442" s="104"/>
      <c r="U2442" s="116"/>
      <c r="V2442" s="104"/>
      <c r="W2442" s="116"/>
    </row>
    <row r="2443">
      <c r="A2443" s="114" t="s">
        <v>39</v>
      </c>
      <c r="B2443" s="115"/>
      <c r="C2443" s="116"/>
      <c r="D2443" s="116"/>
      <c r="E2443" s="116" t="str">
        <f>IFERROR(__xludf.DUMMYFUNCTION("""COMPUTED_VALUE"""),"")</f>
        <v/>
      </c>
      <c r="F2443" s="117" t="s">
        <v>39</v>
      </c>
      <c r="G2443" s="116"/>
      <c r="H2443" s="117"/>
      <c r="I2443" s="117"/>
      <c r="J2443" s="117"/>
      <c r="K2443" s="117"/>
      <c r="L2443" s="116"/>
      <c r="M2443" s="117"/>
      <c r="N2443" s="118" t="str">
        <f>IFERROR(__xludf.DUMMYFUNCTION("""COMPUTED_VALUE"""),"")</f>
        <v/>
      </c>
      <c r="O2443" s="116"/>
      <c r="P2443" s="116"/>
      <c r="Q2443" s="116"/>
      <c r="R2443" s="116" t="s">
        <v>39</v>
      </c>
      <c r="S2443" s="116" t="s">
        <v>39</v>
      </c>
      <c r="T2443" s="104"/>
      <c r="U2443" s="116"/>
      <c r="V2443" s="104"/>
      <c r="W2443" s="116"/>
    </row>
    <row r="2444">
      <c r="A2444" s="114" t="s">
        <v>39</v>
      </c>
      <c r="B2444" s="115"/>
      <c r="C2444" s="116"/>
      <c r="D2444" s="116"/>
      <c r="E2444" s="116" t="str">
        <f>IFERROR(__xludf.DUMMYFUNCTION("""COMPUTED_VALUE"""),"")</f>
        <v/>
      </c>
      <c r="F2444" s="117" t="s">
        <v>39</v>
      </c>
      <c r="G2444" s="116"/>
      <c r="H2444" s="117"/>
      <c r="I2444" s="117"/>
      <c r="J2444" s="117"/>
      <c r="K2444" s="117"/>
      <c r="L2444" s="116"/>
      <c r="M2444" s="117"/>
      <c r="N2444" s="118" t="str">
        <f>IFERROR(__xludf.DUMMYFUNCTION("""COMPUTED_VALUE"""),"")</f>
        <v/>
      </c>
      <c r="O2444" s="116"/>
      <c r="P2444" s="116"/>
      <c r="Q2444" s="116"/>
      <c r="R2444" s="116" t="s">
        <v>39</v>
      </c>
      <c r="S2444" s="116" t="s">
        <v>39</v>
      </c>
      <c r="T2444" s="104"/>
      <c r="U2444" s="116"/>
      <c r="V2444" s="104"/>
      <c r="W2444" s="116"/>
    </row>
    <row r="2445">
      <c r="A2445" s="114" t="s">
        <v>39</v>
      </c>
      <c r="B2445" s="115"/>
      <c r="C2445" s="116"/>
      <c r="D2445" s="116"/>
      <c r="E2445" s="116" t="str">
        <f>IFERROR(__xludf.DUMMYFUNCTION("""COMPUTED_VALUE"""),"")</f>
        <v/>
      </c>
      <c r="F2445" s="117" t="s">
        <v>39</v>
      </c>
      <c r="G2445" s="116"/>
      <c r="H2445" s="117"/>
      <c r="I2445" s="117"/>
      <c r="J2445" s="117"/>
      <c r="K2445" s="117"/>
      <c r="L2445" s="116"/>
      <c r="M2445" s="117"/>
      <c r="N2445" s="118" t="str">
        <f>IFERROR(__xludf.DUMMYFUNCTION("""COMPUTED_VALUE"""),"")</f>
        <v/>
      </c>
      <c r="O2445" s="116"/>
      <c r="P2445" s="116"/>
      <c r="Q2445" s="116"/>
      <c r="R2445" s="116" t="s">
        <v>39</v>
      </c>
      <c r="S2445" s="116" t="s">
        <v>39</v>
      </c>
      <c r="T2445" s="104"/>
      <c r="U2445" s="116"/>
      <c r="V2445" s="104"/>
      <c r="W2445" s="116"/>
    </row>
    <row r="2446">
      <c r="A2446" s="114" t="s">
        <v>39</v>
      </c>
      <c r="B2446" s="115"/>
      <c r="C2446" s="116"/>
      <c r="D2446" s="116"/>
      <c r="E2446" s="116" t="str">
        <f>IFERROR(__xludf.DUMMYFUNCTION("""COMPUTED_VALUE"""),"")</f>
        <v/>
      </c>
      <c r="F2446" s="117" t="s">
        <v>39</v>
      </c>
      <c r="G2446" s="116"/>
      <c r="H2446" s="117"/>
      <c r="I2446" s="117"/>
      <c r="J2446" s="117"/>
      <c r="K2446" s="117"/>
      <c r="L2446" s="116"/>
      <c r="M2446" s="117"/>
      <c r="N2446" s="118" t="str">
        <f>IFERROR(__xludf.DUMMYFUNCTION("""COMPUTED_VALUE"""),"")</f>
        <v/>
      </c>
      <c r="O2446" s="116"/>
      <c r="P2446" s="116"/>
      <c r="Q2446" s="116"/>
      <c r="R2446" s="116" t="s">
        <v>39</v>
      </c>
      <c r="S2446" s="116" t="s">
        <v>39</v>
      </c>
      <c r="T2446" s="104"/>
      <c r="U2446" s="116"/>
      <c r="V2446" s="104"/>
      <c r="W2446" s="116"/>
    </row>
    <row r="2447">
      <c r="A2447" s="114" t="s">
        <v>39</v>
      </c>
      <c r="B2447" s="115"/>
      <c r="C2447" s="116"/>
      <c r="D2447" s="116"/>
      <c r="E2447" s="116" t="str">
        <f>IFERROR(__xludf.DUMMYFUNCTION("""COMPUTED_VALUE"""),"")</f>
        <v/>
      </c>
      <c r="F2447" s="117" t="s">
        <v>39</v>
      </c>
      <c r="G2447" s="116"/>
      <c r="H2447" s="117"/>
      <c r="I2447" s="117"/>
      <c r="J2447" s="117"/>
      <c r="K2447" s="117"/>
      <c r="L2447" s="116"/>
      <c r="M2447" s="117"/>
      <c r="N2447" s="118" t="str">
        <f>IFERROR(__xludf.DUMMYFUNCTION("""COMPUTED_VALUE"""),"")</f>
        <v/>
      </c>
      <c r="O2447" s="116"/>
      <c r="P2447" s="116"/>
      <c r="Q2447" s="116"/>
      <c r="R2447" s="116" t="s">
        <v>39</v>
      </c>
      <c r="S2447" s="116" t="s">
        <v>39</v>
      </c>
      <c r="T2447" s="104"/>
      <c r="U2447" s="116"/>
      <c r="V2447" s="104"/>
      <c r="W2447" s="116"/>
    </row>
    <row r="2448">
      <c r="A2448" s="114" t="s">
        <v>39</v>
      </c>
      <c r="B2448" s="115"/>
      <c r="C2448" s="116"/>
      <c r="D2448" s="116"/>
      <c r="E2448" s="116" t="str">
        <f>IFERROR(__xludf.DUMMYFUNCTION("""COMPUTED_VALUE"""),"")</f>
        <v/>
      </c>
      <c r="F2448" s="117" t="s">
        <v>39</v>
      </c>
      <c r="G2448" s="116"/>
      <c r="H2448" s="117"/>
      <c r="I2448" s="117"/>
      <c r="J2448" s="117"/>
      <c r="K2448" s="117"/>
      <c r="L2448" s="116"/>
      <c r="M2448" s="117"/>
      <c r="N2448" s="118" t="str">
        <f>IFERROR(__xludf.DUMMYFUNCTION("""COMPUTED_VALUE"""),"")</f>
        <v/>
      </c>
      <c r="O2448" s="116"/>
      <c r="P2448" s="116"/>
      <c r="Q2448" s="116"/>
      <c r="R2448" s="116" t="s">
        <v>39</v>
      </c>
      <c r="S2448" s="116" t="s">
        <v>39</v>
      </c>
      <c r="T2448" s="104"/>
      <c r="U2448" s="116"/>
      <c r="V2448" s="104"/>
      <c r="W2448" s="116"/>
    </row>
    <row r="2449">
      <c r="A2449" s="114" t="s">
        <v>39</v>
      </c>
      <c r="B2449" s="115"/>
      <c r="C2449" s="116"/>
      <c r="D2449" s="116"/>
      <c r="E2449" s="116" t="str">
        <f>IFERROR(__xludf.DUMMYFUNCTION("""COMPUTED_VALUE"""),"")</f>
        <v/>
      </c>
      <c r="F2449" s="117" t="s">
        <v>39</v>
      </c>
      <c r="G2449" s="116"/>
      <c r="H2449" s="117"/>
      <c r="I2449" s="117"/>
      <c r="J2449" s="117"/>
      <c r="K2449" s="117"/>
      <c r="L2449" s="116"/>
      <c r="M2449" s="117"/>
      <c r="N2449" s="118" t="str">
        <f>IFERROR(__xludf.DUMMYFUNCTION("""COMPUTED_VALUE"""),"")</f>
        <v/>
      </c>
      <c r="O2449" s="116"/>
      <c r="P2449" s="116"/>
      <c r="Q2449" s="116"/>
      <c r="R2449" s="116" t="s">
        <v>39</v>
      </c>
      <c r="S2449" s="116" t="s">
        <v>39</v>
      </c>
      <c r="T2449" s="104"/>
      <c r="U2449" s="116"/>
      <c r="V2449" s="104"/>
      <c r="W2449" s="116"/>
    </row>
    <row r="2450">
      <c r="A2450" s="114" t="s">
        <v>39</v>
      </c>
      <c r="B2450" s="115"/>
      <c r="C2450" s="116"/>
      <c r="D2450" s="116"/>
      <c r="E2450" s="116" t="str">
        <f>IFERROR(__xludf.DUMMYFUNCTION("""COMPUTED_VALUE"""),"")</f>
        <v/>
      </c>
      <c r="F2450" s="117" t="s">
        <v>39</v>
      </c>
      <c r="G2450" s="116"/>
      <c r="H2450" s="117"/>
      <c r="I2450" s="117"/>
      <c r="J2450" s="117"/>
      <c r="K2450" s="117"/>
      <c r="L2450" s="116"/>
      <c r="M2450" s="117"/>
      <c r="N2450" s="118" t="str">
        <f>IFERROR(__xludf.DUMMYFUNCTION("""COMPUTED_VALUE"""),"")</f>
        <v/>
      </c>
      <c r="O2450" s="116"/>
      <c r="P2450" s="116"/>
      <c r="Q2450" s="116"/>
      <c r="R2450" s="116" t="s">
        <v>39</v>
      </c>
      <c r="S2450" s="116" t="s">
        <v>39</v>
      </c>
      <c r="T2450" s="104"/>
      <c r="U2450" s="116"/>
      <c r="V2450" s="104"/>
      <c r="W2450" s="116"/>
    </row>
    <row r="2451">
      <c r="A2451" s="114" t="s">
        <v>39</v>
      </c>
      <c r="B2451" s="115"/>
      <c r="C2451" s="116"/>
      <c r="D2451" s="116"/>
      <c r="E2451" s="116" t="str">
        <f>IFERROR(__xludf.DUMMYFUNCTION("""COMPUTED_VALUE"""),"")</f>
        <v/>
      </c>
      <c r="F2451" s="117" t="s">
        <v>39</v>
      </c>
      <c r="G2451" s="116"/>
      <c r="H2451" s="117"/>
      <c r="I2451" s="117"/>
      <c r="J2451" s="117"/>
      <c r="K2451" s="117"/>
      <c r="L2451" s="116"/>
      <c r="M2451" s="117"/>
      <c r="N2451" s="118" t="str">
        <f>IFERROR(__xludf.DUMMYFUNCTION("""COMPUTED_VALUE"""),"")</f>
        <v/>
      </c>
      <c r="O2451" s="116"/>
      <c r="P2451" s="116"/>
      <c r="Q2451" s="116"/>
      <c r="R2451" s="116" t="s">
        <v>39</v>
      </c>
      <c r="S2451" s="116" t="s">
        <v>39</v>
      </c>
      <c r="T2451" s="104"/>
      <c r="U2451" s="116"/>
      <c r="V2451" s="104"/>
      <c r="W2451" s="116"/>
    </row>
    <row r="2452">
      <c r="A2452" s="114" t="s">
        <v>39</v>
      </c>
      <c r="B2452" s="115"/>
      <c r="C2452" s="116"/>
      <c r="D2452" s="116"/>
      <c r="E2452" s="116" t="str">
        <f>IFERROR(__xludf.DUMMYFUNCTION("""COMPUTED_VALUE"""),"")</f>
        <v/>
      </c>
      <c r="F2452" s="117" t="s">
        <v>39</v>
      </c>
      <c r="G2452" s="116"/>
      <c r="H2452" s="117"/>
      <c r="I2452" s="117"/>
      <c r="J2452" s="117"/>
      <c r="K2452" s="117"/>
      <c r="L2452" s="116"/>
      <c r="M2452" s="117"/>
      <c r="N2452" s="118" t="str">
        <f>IFERROR(__xludf.DUMMYFUNCTION("""COMPUTED_VALUE"""),"")</f>
        <v/>
      </c>
      <c r="O2452" s="116"/>
      <c r="P2452" s="116"/>
      <c r="Q2452" s="116"/>
      <c r="R2452" s="116" t="s">
        <v>39</v>
      </c>
      <c r="S2452" s="116" t="s">
        <v>39</v>
      </c>
      <c r="T2452" s="104"/>
      <c r="U2452" s="116"/>
      <c r="V2452" s="104"/>
      <c r="W2452" s="116"/>
    </row>
    <row r="2453">
      <c r="A2453" s="114" t="s">
        <v>39</v>
      </c>
      <c r="B2453" s="115"/>
      <c r="C2453" s="116"/>
      <c r="D2453" s="116"/>
      <c r="E2453" s="116" t="str">
        <f>IFERROR(__xludf.DUMMYFUNCTION("""COMPUTED_VALUE"""),"")</f>
        <v/>
      </c>
      <c r="F2453" s="117" t="s">
        <v>39</v>
      </c>
      <c r="G2453" s="116"/>
      <c r="H2453" s="117"/>
      <c r="I2453" s="117"/>
      <c r="J2453" s="117"/>
      <c r="K2453" s="117"/>
      <c r="L2453" s="116"/>
      <c r="M2453" s="117"/>
      <c r="N2453" s="118" t="str">
        <f>IFERROR(__xludf.DUMMYFUNCTION("""COMPUTED_VALUE"""),"")</f>
        <v/>
      </c>
      <c r="O2453" s="116"/>
      <c r="P2453" s="116"/>
      <c r="Q2453" s="116"/>
      <c r="R2453" s="116" t="s">
        <v>39</v>
      </c>
      <c r="S2453" s="116" t="s">
        <v>39</v>
      </c>
      <c r="T2453" s="104"/>
      <c r="U2453" s="116"/>
      <c r="V2453" s="104"/>
      <c r="W2453" s="116"/>
    </row>
    <row r="2454">
      <c r="A2454" s="114" t="s">
        <v>39</v>
      </c>
      <c r="B2454" s="115"/>
      <c r="C2454" s="116"/>
      <c r="D2454" s="116"/>
      <c r="E2454" s="116" t="str">
        <f>IFERROR(__xludf.DUMMYFUNCTION("""COMPUTED_VALUE"""),"")</f>
        <v/>
      </c>
      <c r="F2454" s="117" t="s">
        <v>39</v>
      </c>
      <c r="G2454" s="116"/>
      <c r="H2454" s="117"/>
      <c r="I2454" s="117"/>
      <c r="J2454" s="117"/>
      <c r="K2454" s="117"/>
      <c r="L2454" s="116"/>
      <c r="M2454" s="117"/>
      <c r="N2454" s="118" t="str">
        <f>IFERROR(__xludf.DUMMYFUNCTION("""COMPUTED_VALUE"""),"")</f>
        <v/>
      </c>
      <c r="O2454" s="116"/>
      <c r="P2454" s="116"/>
      <c r="Q2454" s="116"/>
      <c r="R2454" s="116" t="s">
        <v>39</v>
      </c>
      <c r="S2454" s="116" t="s">
        <v>39</v>
      </c>
      <c r="T2454" s="104"/>
      <c r="U2454" s="116"/>
      <c r="V2454" s="104"/>
      <c r="W2454" s="116"/>
    </row>
    <row r="2455">
      <c r="A2455" s="114" t="s">
        <v>39</v>
      </c>
      <c r="B2455" s="115"/>
      <c r="C2455" s="116"/>
      <c r="D2455" s="116"/>
      <c r="E2455" s="116" t="str">
        <f>IFERROR(__xludf.DUMMYFUNCTION("""COMPUTED_VALUE"""),"")</f>
        <v/>
      </c>
      <c r="F2455" s="117" t="s">
        <v>39</v>
      </c>
      <c r="G2455" s="116"/>
      <c r="H2455" s="117"/>
      <c r="I2455" s="117"/>
      <c r="J2455" s="117"/>
      <c r="K2455" s="117"/>
      <c r="L2455" s="116"/>
      <c r="M2455" s="117"/>
      <c r="N2455" s="118" t="str">
        <f>IFERROR(__xludf.DUMMYFUNCTION("""COMPUTED_VALUE"""),"")</f>
        <v/>
      </c>
      <c r="O2455" s="116"/>
      <c r="P2455" s="116"/>
      <c r="Q2455" s="116"/>
      <c r="R2455" s="116" t="s">
        <v>39</v>
      </c>
      <c r="S2455" s="116" t="s">
        <v>39</v>
      </c>
      <c r="T2455" s="104"/>
      <c r="U2455" s="116"/>
      <c r="V2455" s="104"/>
      <c r="W2455" s="116"/>
    </row>
    <row r="2456">
      <c r="A2456" s="114" t="s">
        <v>39</v>
      </c>
      <c r="B2456" s="115"/>
      <c r="C2456" s="116"/>
      <c r="D2456" s="116"/>
      <c r="E2456" s="116" t="str">
        <f>IFERROR(__xludf.DUMMYFUNCTION("""COMPUTED_VALUE"""),"")</f>
        <v/>
      </c>
      <c r="F2456" s="117" t="s">
        <v>39</v>
      </c>
      <c r="G2456" s="116"/>
      <c r="H2456" s="117"/>
      <c r="I2456" s="117"/>
      <c r="J2456" s="117"/>
      <c r="K2456" s="117"/>
      <c r="L2456" s="116"/>
      <c r="M2456" s="117"/>
      <c r="N2456" s="118" t="str">
        <f>IFERROR(__xludf.DUMMYFUNCTION("""COMPUTED_VALUE"""),"")</f>
        <v/>
      </c>
      <c r="O2456" s="116"/>
      <c r="P2456" s="116"/>
      <c r="Q2456" s="116"/>
      <c r="R2456" s="116" t="s">
        <v>39</v>
      </c>
      <c r="S2456" s="116" t="s">
        <v>39</v>
      </c>
      <c r="T2456" s="104"/>
      <c r="U2456" s="116"/>
      <c r="V2456" s="104"/>
      <c r="W2456" s="116"/>
    </row>
    <row r="2457">
      <c r="A2457" s="114" t="s">
        <v>39</v>
      </c>
      <c r="B2457" s="115"/>
      <c r="C2457" s="116"/>
      <c r="D2457" s="116"/>
      <c r="E2457" s="116" t="str">
        <f>IFERROR(__xludf.DUMMYFUNCTION("""COMPUTED_VALUE"""),"")</f>
        <v/>
      </c>
      <c r="F2457" s="117" t="s">
        <v>39</v>
      </c>
      <c r="G2457" s="116"/>
      <c r="H2457" s="117"/>
      <c r="I2457" s="117"/>
      <c r="J2457" s="117"/>
      <c r="K2457" s="117"/>
      <c r="L2457" s="116"/>
      <c r="M2457" s="117"/>
      <c r="N2457" s="118" t="str">
        <f>IFERROR(__xludf.DUMMYFUNCTION("""COMPUTED_VALUE"""),"")</f>
        <v/>
      </c>
      <c r="O2457" s="116"/>
      <c r="P2457" s="116"/>
      <c r="Q2457" s="116"/>
      <c r="R2457" s="116" t="s">
        <v>39</v>
      </c>
      <c r="S2457" s="116" t="s">
        <v>39</v>
      </c>
      <c r="T2457" s="104"/>
      <c r="U2457" s="116"/>
      <c r="V2457" s="104"/>
      <c r="W2457" s="116"/>
    </row>
    <row r="2458">
      <c r="A2458" s="114" t="s">
        <v>39</v>
      </c>
      <c r="B2458" s="115"/>
      <c r="C2458" s="116"/>
      <c r="D2458" s="116"/>
      <c r="E2458" s="116" t="str">
        <f>IFERROR(__xludf.DUMMYFUNCTION("""COMPUTED_VALUE"""),"")</f>
        <v/>
      </c>
      <c r="F2458" s="117" t="s">
        <v>39</v>
      </c>
      <c r="G2458" s="116"/>
      <c r="H2458" s="117"/>
      <c r="I2458" s="117"/>
      <c r="J2458" s="117"/>
      <c r="K2458" s="117"/>
      <c r="L2458" s="116"/>
      <c r="M2458" s="117"/>
      <c r="N2458" s="118" t="str">
        <f>IFERROR(__xludf.DUMMYFUNCTION("""COMPUTED_VALUE"""),"")</f>
        <v/>
      </c>
      <c r="O2458" s="116"/>
      <c r="P2458" s="116"/>
      <c r="Q2458" s="116"/>
      <c r="R2458" s="116" t="s">
        <v>39</v>
      </c>
      <c r="S2458" s="116" t="s">
        <v>39</v>
      </c>
      <c r="T2458" s="104"/>
      <c r="U2458" s="116"/>
      <c r="V2458" s="104"/>
      <c r="W2458" s="116"/>
    </row>
    <row r="2459">
      <c r="A2459" s="114" t="s">
        <v>39</v>
      </c>
      <c r="B2459" s="115"/>
      <c r="C2459" s="116"/>
      <c r="D2459" s="116"/>
      <c r="E2459" s="116" t="str">
        <f>IFERROR(__xludf.DUMMYFUNCTION("""COMPUTED_VALUE"""),"")</f>
        <v/>
      </c>
      <c r="F2459" s="117" t="s">
        <v>39</v>
      </c>
      <c r="G2459" s="116"/>
      <c r="H2459" s="117"/>
      <c r="I2459" s="117"/>
      <c r="J2459" s="117"/>
      <c r="K2459" s="117"/>
      <c r="L2459" s="116"/>
      <c r="M2459" s="117"/>
      <c r="N2459" s="118" t="str">
        <f>IFERROR(__xludf.DUMMYFUNCTION("""COMPUTED_VALUE"""),"")</f>
        <v/>
      </c>
      <c r="O2459" s="116"/>
      <c r="P2459" s="116"/>
      <c r="Q2459" s="116"/>
      <c r="R2459" s="116" t="s">
        <v>39</v>
      </c>
      <c r="S2459" s="116" t="s">
        <v>39</v>
      </c>
      <c r="T2459" s="104"/>
      <c r="U2459" s="116"/>
      <c r="V2459" s="104"/>
      <c r="W2459" s="116"/>
    </row>
    <row r="2460">
      <c r="A2460" s="114" t="s">
        <v>39</v>
      </c>
      <c r="B2460" s="115"/>
      <c r="C2460" s="116"/>
      <c r="D2460" s="116"/>
      <c r="E2460" s="116" t="str">
        <f>IFERROR(__xludf.DUMMYFUNCTION("""COMPUTED_VALUE"""),"")</f>
        <v/>
      </c>
      <c r="F2460" s="117" t="s">
        <v>39</v>
      </c>
      <c r="G2460" s="116"/>
      <c r="H2460" s="117"/>
      <c r="I2460" s="117"/>
      <c r="J2460" s="117"/>
      <c r="K2460" s="117"/>
      <c r="L2460" s="116"/>
      <c r="M2460" s="117"/>
      <c r="N2460" s="118" t="str">
        <f>IFERROR(__xludf.DUMMYFUNCTION("""COMPUTED_VALUE"""),"")</f>
        <v/>
      </c>
      <c r="O2460" s="116"/>
      <c r="P2460" s="116"/>
      <c r="Q2460" s="116"/>
      <c r="R2460" s="116" t="s">
        <v>39</v>
      </c>
      <c r="S2460" s="116" t="s">
        <v>39</v>
      </c>
      <c r="T2460" s="104"/>
      <c r="U2460" s="116"/>
      <c r="V2460" s="104"/>
      <c r="W2460" s="116"/>
    </row>
    <row r="2461">
      <c r="A2461" s="114" t="s">
        <v>39</v>
      </c>
      <c r="B2461" s="115"/>
      <c r="C2461" s="116"/>
      <c r="D2461" s="116"/>
      <c r="E2461" s="116" t="str">
        <f>IFERROR(__xludf.DUMMYFUNCTION("""COMPUTED_VALUE"""),"")</f>
        <v/>
      </c>
      <c r="F2461" s="117" t="s">
        <v>39</v>
      </c>
      <c r="G2461" s="116"/>
      <c r="H2461" s="117"/>
      <c r="I2461" s="117"/>
      <c r="J2461" s="117"/>
      <c r="K2461" s="117"/>
      <c r="L2461" s="116"/>
      <c r="M2461" s="117"/>
      <c r="N2461" s="118" t="str">
        <f>IFERROR(__xludf.DUMMYFUNCTION("""COMPUTED_VALUE"""),"")</f>
        <v/>
      </c>
      <c r="O2461" s="116"/>
      <c r="P2461" s="116"/>
      <c r="Q2461" s="116"/>
      <c r="R2461" s="116" t="s">
        <v>39</v>
      </c>
      <c r="S2461" s="116" t="s">
        <v>39</v>
      </c>
      <c r="T2461" s="104"/>
      <c r="U2461" s="116"/>
      <c r="V2461" s="104"/>
      <c r="W2461" s="116"/>
    </row>
    <row r="2462">
      <c r="A2462" s="114" t="s">
        <v>39</v>
      </c>
      <c r="B2462" s="115"/>
      <c r="C2462" s="116"/>
      <c r="D2462" s="116"/>
      <c r="E2462" s="116" t="str">
        <f>IFERROR(__xludf.DUMMYFUNCTION("""COMPUTED_VALUE"""),"")</f>
        <v/>
      </c>
      <c r="F2462" s="117" t="s">
        <v>39</v>
      </c>
      <c r="G2462" s="116"/>
      <c r="H2462" s="117"/>
      <c r="I2462" s="117"/>
      <c r="J2462" s="117"/>
      <c r="K2462" s="117"/>
      <c r="L2462" s="116"/>
      <c r="M2462" s="117"/>
      <c r="N2462" s="118" t="str">
        <f>IFERROR(__xludf.DUMMYFUNCTION("""COMPUTED_VALUE"""),"")</f>
        <v/>
      </c>
      <c r="O2462" s="116"/>
      <c r="P2462" s="116"/>
      <c r="Q2462" s="116"/>
      <c r="R2462" s="116" t="s">
        <v>39</v>
      </c>
      <c r="S2462" s="116" t="s">
        <v>39</v>
      </c>
      <c r="T2462" s="104"/>
      <c r="U2462" s="116"/>
      <c r="V2462" s="104"/>
      <c r="W2462" s="116"/>
    </row>
    <row r="2463">
      <c r="A2463" s="114" t="s">
        <v>39</v>
      </c>
      <c r="B2463" s="115"/>
      <c r="C2463" s="116"/>
      <c r="D2463" s="116"/>
      <c r="E2463" s="116" t="str">
        <f>IFERROR(__xludf.DUMMYFUNCTION("""COMPUTED_VALUE"""),"")</f>
        <v/>
      </c>
      <c r="F2463" s="117" t="s">
        <v>39</v>
      </c>
      <c r="G2463" s="116"/>
      <c r="H2463" s="117"/>
      <c r="I2463" s="117"/>
      <c r="J2463" s="117"/>
      <c r="K2463" s="117"/>
      <c r="L2463" s="116"/>
      <c r="M2463" s="117"/>
      <c r="N2463" s="118" t="str">
        <f>IFERROR(__xludf.DUMMYFUNCTION("""COMPUTED_VALUE"""),"")</f>
        <v/>
      </c>
      <c r="O2463" s="116"/>
      <c r="P2463" s="116"/>
      <c r="Q2463" s="116"/>
      <c r="R2463" s="116" t="s">
        <v>39</v>
      </c>
      <c r="S2463" s="116" t="s">
        <v>39</v>
      </c>
      <c r="T2463" s="104"/>
      <c r="U2463" s="116"/>
      <c r="V2463" s="104"/>
      <c r="W2463" s="116"/>
    </row>
    <row r="2464">
      <c r="A2464" s="114" t="s">
        <v>39</v>
      </c>
      <c r="B2464" s="115"/>
      <c r="C2464" s="116"/>
      <c r="D2464" s="116"/>
      <c r="E2464" s="116" t="str">
        <f>IFERROR(__xludf.DUMMYFUNCTION("""COMPUTED_VALUE"""),"")</f>
        <v/>
      </c>
      <c r="F2464" s="117" t="s">
        <v>39</v>
      </c>
      <c r="G2464" s="116"/>
      <c r="H2464" s="117"/>
      <c r="I2464" s="117"/>
      <c r="J2464" s="117"/>
      <c r="K2464" s="117"/>
      <c r="L2464" s="116"/>
      <c r="M2464" s="117"/>
      <c r="N2464" s="118" t="str">
        <f>IFERROR(__xludf.DUMMYFUNCTION("""COMPUTED_VALUE"""),"")</f>
        <v/>
      </c>
      <c r="O2464" s="116"/>
      <c r="P2464" s="116"/>
      <c r="Q2464" s="116"/>
      <c r="R2464" s="116" t="s">
        <v>39</v>
      </c>
      <c r="S2464" s="116" t="s">
        <v>39</v>
      </c>
      <c r="T2464" s="104"/>
      <c r="U2464" s="116"/>
      <c r="V2464" s="104"/>
      <c r="W2464" s="116"/>
    </row>
    <row r="2465">
      <c r="A2465" s="114" t="s">
        <v>39</v>
      </c>
      <c r="B2465" s="115"/>
      <c r="C2465" s="116"/>
      <c r="D2465" s="116"/>
      <c r="E2465" s="116" t="str">
        <f>IFERROR(__xludf.DUMMYFUNCTION("""COMPUTED_VALUE"""),"")</f>
        <v/>
      </c>
      <c r="F2465" s="117" t="s">
        <v>39</v>
      </c>
      <c r="G2465" s="116"/>
      <c r="H2465" s="117"/>
      <c r="I2465" s="117"/>
      <c r="J2465" s="117"/>
      <c r="K2465" s="117"/>
      <c r="L2465" s="116"/>
      <c r="M2465" s="117"/>
      <c r="N2465" s="118" t="str">
        <f>IFERROR(__xludf.DUMMYFUNCTION("""COMPUTED_VALUE"""),"")</f>
        <v/>
      </c>
      <c r="O2465" s="116"/>
      <c r="P2465" s="116"/>
      <c r="Q2465" s="116"/>
      <c r="R2465" s="116" t="s">
        <v>39</v>
      </c>
      <c r="S2465" s="116" t="s">
        <v>39</v>
      </c>
      <c r="T2465" s="104"/>
      <c r="U2465" s="116"/>
      <c r="V2465" s="104"/>
      <c r="W2465" s="116"/>
    </row>
    <row r="2466">
      <c r="A2466" s="114" t="s">
        <v>39</v>
      </c>
      <c r="B2466" s="115"/>
      <c r="C2466" s="116"/>
      <c r="D2466" s="116"/>
      <c r="E2466" s="116" t="str">
        <f>IFERROR(__xludf.DUMMYFUNCTION("""COMPUTED_VALUE"""),"")</f>
        <v/>
      </c>
      <c r="F2466" s="117" t="s">
        <v>39</v>
      </c>
      <c r="G2466" s="116"/>
      <c r="H2466" s="117"/>
      <c r="I2466" s="117"/>
      <c r="J2466" s="117"/>
      <c r="K2466" s="117"/>
      <c r="L2466" s="116"/>
      <c r="M2466" s="117"/>
      <c r="N2466" s="118" t="str">
        <f>IFERROR(__xludf.DUMMYFUNCTION("""COMPUTED_VALUE"""),"")</f>
        <v/>
      </c>
      <c r="O2466" s="116"/>
      <c r="P2466" s="116"/>
      <c r="Q2466" s="116"/>
      <c r="R2466" s="116" t="s">
        <v>39</v>
      </c>
      <c r="S2466" s="116" t="s">
        <v>39</v>
      </c>
      <c r="T2466" s="104"/>
      <c r="U2466" s="116"/>
      <c r="V2466" s="104"/>
      <c r="W2466" s="116"/>
    </row>
    <row r="2467">
      <c r="A2467" s="114" t="s">
        <v>39</v>
      </c>
      <c r="B2467" s="115"/>
      <c r="C2467" s="116"/>
      <c r="D2467" s="116"/>
      <c r="E2467" s="116" t="str">
        <f>IFERROR(__xludf.DUMMYFUNCTION("""COMPUTED_VALUE"""),"")</f>
        <v/>
      </c>
      <c r="F2467" s="117" t="s">
        <v>39</v>
      </c>
      <c r="G2467" s="116"/>
      <c r="H2467" s="117"/>
      <c r="I2467" s="117"/>
      <c r="J2467" s="117"/>
      <c r="K2467" s="117"/>
      <c r="L2467" s="116"/>
      <c r="M2467" s="117"/>
      <c r="N2467" s="118" t="str">
        <f>IFERROR(__xludf.DUMMYFUNCTION("""COMPUTED_VALUE"""),"")</f>
        <v/>
      </c>
      <c r="O2467" s="116"/>
      <c r="P2467" s="116"/>
      <c r="Q2467" s="116"/>
      <c r="R2467" s="116" t="s">
        <v>39</v>
      </c>
      <c r="S2467" s="116" t="s">
        <v>39</v>
      </c>
      <c r="T2467" s="104"/>
      <c r="U2467" s="116"/>
      <c r="V2467" s="104"/>
      <c r="W2467" s="116"/>
    </row>
    <row r="2468">
      <c r="A2468" s="114" t="s">
        <v>39</v>
      </c>
      <c r="B2468" s="115"/>
      <c r="C2468" s="116"/>
      <c r="D2468" s="116"/>
      <c r="E2468" s="116" t="str">
        <f>IFERROR(__xludf.DUMMYFUNCTION("""COMPUTED_VALUE"""),"")</f>
        <v/>
      </c>
      <c r="F2468" s="117" t="s">
        <v>39</v>
      </c>
      <c r="G2468" s="116"/>
      <c r="H2468" s="117"/>
      <c r="I2468" s="117"/>
      <c r="J2468" s="117"/>
      <c r="K2468" s="117"/>
      <c r="L2468" s="116"/>
      <c r="M2468" s="117"/>
      <c r="N2468" s="118" t="str">
        <f>IFERROR(__xludf.DUMMYFUNCTION("""COMPUTED_VALUE"""),"")</f>
        <v/>
      </c>
      <c r="O2468" s="116"/>
      <c r="P2468" s="116"/>
      <c r="Q2468" s="116"/>
      <c r="R2468" s="116" t="s">
        <v>39</v>
      </c>
      <c r="S2468" s="116" t="s">
        <v>39</v>
      </c>
      <c r="T2468" s="104"/>
      <c r="U2468" s="116"/>
      <c r="V2468" s="104"/>
      <c r="W2468" s="116"/>
    </row>
    <row r="2469">
      <c r="A2469" s="114" t="s">
        <v>39</v>
      </c>
      <c r="B2469" s="115"/>
      <c r="C2469" s="116"/>
      <c r="D2469" s="116"/>
      <c r="E2469" s="116" t="str">
        <f>IFERROR(__xludf.DUMMYFUNCTION("""COMPUTED_VALUE"""),"")</f>
        <v/>
      </c>
      <c r="F2469" s="117" t="s">
        <v>39</v>
      </c>
      <c r="G2469" s="116"/>
      <c r="H2469" s="117"/>
      <c r="I2469" s="117"/>
      <c r="J2469" s="117"/>
      <c r="K2469" s="117"/>
      <c r="L2469" s="116"/>
      <c r="M2469" s="117"/>
      <c r="N2469" s="118" t="str">
        <f>IFERROR(__xludf.DUMMYFUNCTION("""COMPUTED_VALUE"""),"")</f>
        <v/>
      </c>
      <c r="O2469" s="116"/>
      <c r="P2469" s="116"/>
      <c r="Q2469" s="116"/>
      <c r="R2469" s="116" t="s">
        <v>39</v>
      </c>
      <c r="S2469" s="116" t="s">
        <v>39</v>
      </c>
      <c r="T2469" s="104"/>
      <c r="U2469" s="116"/>
      <c r="V2469" s="104"/>
      <c r="W2469" s="116"/>
    </row>
    <row r="2470">
      <c r="A2470" s="114" t="s">
        <v>39</v>
      </c>
      <c r="B2470" s="115"/>
      <c r="C2470" s="116"/>
      <c r="D2470" s="116"/>
      <c r="E2470" s="116" t="str">
        <f>IFERROR(__xludf.DUMMYFUNCTION("""COMPUTED_VALUE"""),"")</f>
        <v/>
      </c>
      <c r="F2470" s="117" t="s">
        <v>39</v>
      </c>
      <c r="G2470" s="116"/>
      <c r="H2470" s="117"/>
      <c r="I2470" s="117"/>
      <c r="J2470" s="117"/>
      <c r="K2470" s="117"/>
      <c r="L2470" s="116"/>
      <c r="M2470" s="117"/>
      <c r="N2470" s="118" t="str">
        <f>IFERROR(__xludf.DUMMYFUNCTION("""COMPUTED_VALUE"""),"")</f>
        <v/>
      </c>
      <c r="O2470" s="116"/>
      <c r="P2470" s="116"/>
      <c r="Q2470" s="116"/>
      <c r="R2470" s="116" t="s">
        <v>39</v>
      </c>
      <c r="S2470" s="116" t="s">
        <v>39</v>
      </c>
      <c r="T2470" s="104"/>
      <c r="U2470" s="116"/>
      <c r="V2470" s="104"/>
      <c r="W2470" s="116"/>
    </row>
    <row r="2471">
      <c r="A2471" s="114" t="s">
        <v>39</v>
      </c>
      <c r="B2471" s="115"/>
      <c r="C2471" s="116"/>
      <c r="D2471" s="116"/>
      <c r="E2471" s="116" t="str">
        <f>IFERROR(__xludf.DUMMYFUNCTION("""COMPUTED_VALUE"""),"")</f>
        <v/>
      </c>
      <c r="F2471" s="117" t="s">
        <v>39</v>
      </c>
      <c r="G2471" s="116"/>
      <c r="H2471" s="117"/>
      <c r="I2471" s="117"/>
      <c r="J2471" s="117"/>
      <c r="K2471" s="117"/>
      <c r="L2471" s="116"/>
      <c r="M2471" s="117"/>
      <c r="N2471" s="118" t="str">
        <f>IFERROR(__xludf.DUMMYFUNCTION("""COMPUTED_VALUE"""),"")</f>
        <v/>
      </c>
      <c r="O2471" s="116"/>
      <c r="P2471" s="116"/>
      <c r="Q2471" s="116"/>
      <c r="R2471" s="116" t="s">
        <v>39</v>
      </c>
      <c r="S2471" s="116" t="s">
        <v>39</v>
      </c>
      <c r="T2471" s="104"/>
      <c r="U2471" s="116"/>
      <c r="V2471" s="104"/>
      <c r="W2471" s="116"/>
    </row>
    <row r="2472">
      <c r="A2472" s="114" t="s">
        <v>39</v>
      </c>
      <c r="B2472" s="115"/>
      <c r="C2472" s="116"/>
      <c r="D2472" s="116"/>
      <c r="E2472" s="116" t="str">
        <f>IFERROR(__xludf.DUMMYFUNCTION("""COMPUTED_VALUE"""),"")</f>
        <v/>
      </c>
      <c r="F2472" s="117" t="s">
        <v>39</v>
      </c>
      <c r="G2472" s="116"/>
      <c r="H2472" s="117"/>
      <c r="I2472" s="117"/>
      <c r="J2472" s="117"/>
      <c r="K2472" s="117"/>
      <c r="L2472" s="116"/>
      <c r="M2472" s="117"/>
      <c r="N2472" s="118" t="str">
        <f>IFERROR(__xludf.DUMMYFUNCTION("""COMPUTED_VALUE"""),"")</f>
        <v/>
      </c>
      <c r="O2472" s="116"/>
      <c r="P2472" s="116"/>
      <c r="Q2472" s="116"/>
      <c r="R2472" s="116" t="s">
        <v>39</v>
      </c>
      <c r="S2472" s="116" t="s">
        <v>39</v>
      </c>
      <c r="T2472" s="104"/>
      <c r="U2472" s="116"/>
      <c r="V2472" s="104"/>
      <c r="W2472" s="116"/>
    </row>
    <row r="2473">
      <c r="A2473" s="114" t="s">
        <v>39</v>
      </c>
      <c r="B2473" s="115"/>
      <c r="C2473" s="116"/>
      <c r="D2473" s="116"/>
      <c r="E2473" s="116" t="str">
        <f>IFERROR(__xludf.DUMMYFUNCTION("""COMPUTED_VALUE"""),"")</f>
        <v/>
      </c>
      <c r="F2473" s="117" t="s">
        <v>39</v>
      </c>
      <c r="G2473" s="116"/>
      <c r="H2473" s="117"/>
      <c r="I2473" s="117"/>
      <c r="J2473" s="117"/>
      <c r="K2473" s="117"/>
      <c r="L2473" s="116"/>
      <c r="M2473" s="117"/>
      <c r="N2473" s="118" t="str">
        <f>IFERROR(__xludf.DUMMYFUNCTION("""COMPUTED_VALUE"""),"")</f>
        <v/>
      </c>
      <c r="O2473" s="116"/>
      <c r="P2473" s="116"/>
      <c r="Q2473" s="116"/>
      <c r="R2473" s="116" t="s">
        <v>39</v>
      </c>
      <c r="S2473" s="116" t="s">
        <v>39</v>
      </c>
      <c r="T2473" s="104"/>
      <c r="U2473" s="116"/>
      <c r="V2473" s="104"/>
      <c r="W2473" s="116"/>
    </row>
    <row r="2474">
      <c r="A2474" s="114" t="s">
        <v>39</v>
      </c>
      <c r="B2474" s="115"/>
      <c r="C2474" s="116"/>
      <c r="D2474" s="116"/>
      <c r="E2474" s="116" t="str">
        <f>IFERROR(__xludf.DUMMYFUNCTION("""COMPUTED_VALUE"""),"")</f>
        <v/>
      </c>
      <c r="F2474" s="117" t="s">
        <v>39</v>
      </c>
      <c r="G2474" s="116"/>
      <c r="H2474" s="117"/>
      <c r="I2474" s="117"/>
      <c r="J2474" s="117"/>
      <c r="K2474" s="117"/>
      <c r="L2474" s="116"/>
      <c r="M2474" s="117"/>
      <c r="N2474" s="118" t="str">
        <f>IFERROR(__xludf.DUMMYFUNCTION("""COMPUTED_VALUE"""),"")</f>
        <v/>
      </c>
      <c r="O2474" s="116"/>
      <c r="P2474" s="116"/>
      <c r="Q2474" s="116"/>
      <c r="R2474" s="116" t="s">
        <v>39</v>
      </c>
      <c r="S2474" s="116" t="s">
        <v>39</v>
      </c>
      <c r="T2474" s="104"/>
      <c r="U2474" s="116"/>
      <c r="V2474" s="104"/>
      <c r="W2474" s="116"/>
    </row>
    <row r="2475">
      <c r="A2475" s="114" t="s">
        <v>39</v>
      </c>
      <c r="B2475" s="115"/>
      <c r="C2475" s="116"/>
      <c r="D2475" s="116"/>
      <c r="E2475" s="116" t="str">
        <f>IFERROR(__xludf.DUMMYFUNCTION("""COMPUTED_VALUE"""),"")</f>
        <v/>
      </c>
      <c r="F2475" s="117" t="s">
        <v>39</v>
      </c>
      <c r="G2475" s="116"/>
      <c r="H2475" s="117"/>
      <c r="I2475" s="117"/>
      <c r="J2475" s="117"/>
      <c r="K2475" s="117"/>
      <c r="L2475" s="116"/>
      <c r="M2475" s="117"/>
      <c r="N2475" s="118" t="str">
        <f>IFERROR(__xludf.DUMMYFUNCTION("""COMPUTED_VALUE"""),"")</f>
        <v/>
      </c>
      <c r="O2475" s="116"/>
      <c r="P2475" s="116"/>
      <c r="Q2475" s="116"/>
      <c r="R2475" s="116" t="s">
        <v>39</v>
      </c>
      <c r="S2475" s="116" t="s">
        <v>39</v>
      </c>
      <c r="T2475" s="104"/>
      <c r="U2475" s="116"/>
      <c r="V2475" s="104"/>
      <c r="W2475" s="116"/>
    </row>
    <row r="2476">
      <c r="A2476" s="114" t="s">
        <v>39</v>
      </c>
      <c r="B2476" s="115"/>
      <c r="C2476" s="116"/>
      <c r="D2476" s="116"/>
      <c r="E2476" s="116" t="str">
        <f>IFERROR(__xludf.DUMMYFUNCTION("""COMPUTED_VALUE"""),"")</f>
        <v/>
      </c>
      <c r="F2476" s="117" t="s">
        <v>39</v>
      </c>
      <c r="G2476" s="116"/>
      <c r="H2476" s="117"/>
      <c r="I2476" s="117"/>
      <c r="J2476" s="117"/>
      <c r="K2476" s="117"/>
      <c r="L2476" s="116"/>
      <c r="M2476" s="117"/>
      <c r="N2476" s="118" t="str">
        <f>IFERROR(__xludf.DUMMYFUNCTION("""COMPUTED_VALUE"""),"")</f>
        <v/>
      </c>
      <c r="O2476" s="116"/>
      <c r="P2476" s="116"/>
      <c r="Q2476" s="116"/>
      <c r="R2476" s="116" t="s">
        <v>39</v>
      </c>
      <c r="S2476" s="116" t="s">
        <v>39</v>
      </c>
      <c r="T2476" s="104"/>
      <c r="U2476" s="116"/>
      <c r="V2476" s="104"/>
      <c r="W2476" s="116"/>
    </row>
    <row r="2477">
      <c r="A2477" s="114" t="s">
        <v>39</v>
      </c>
      <c r="B2477" s="115"/>
      <c r="C2477" s="116"/>
      <c r="D2477" s="116"/>
      <c r="E2477" s="116" t="str">
        <f>IFERROR(__xludf.DUMMYFUNCTION("""COMPUTED_VALUE"""),"")</f>
        <v/>
      </c>
      <c r="F2477" s="117" t="s">
        <v>39</v>
      </c>
      <c r="G2477" s="116"/>
      <c r="H2477" s="117"/>
      <c r="I2477" s="117"/>
      <c r="J2477" s="117"/>
      <c r="K2477" s="117"/>
      <c r="L2477" s="116"/>
      <c r="M2477" s="117"/>
      <c r="N2477" s="118" t="str">
        <f>IFERROR(__xludf.DUMMYFUNCTION("""COMPUTED_VALUE"""),"")</f>
        <v/>
      </c>
      <c r="O2477" s="116"/>
      <c r="P2477" s="116"/>
      <c r="Q2477" s="116"/>
      <c r="R2477" s="116" t="s">
        <v>39</v>
      </c>
      <c r="S2477" s="116" t="s">
        <v>39</v>
      </c>
      <c r="T2477" s="104"/>
      <c r="U2477" s="116"/>
      <c r="V2477" s="104"/>
      <c r="W2477" s="116"/>
    </row>
    <row r="2478">
      <c r="A2478" s="114" t="s">
        <v>39</v>
      </c>
      <c r="B2478" s="115"/>
      <c r="C2478" s="116"/>
      <c r="D2478" s="116"/>
      <c r="E2478" s="116" t="str">
        <f>IFERROR(__xludf.DUMMYFUNCTION("""COMPUTED_VALUE"""),"")</f>
        <v/>
      </c>
      <c r="F2478" s="117" t="s">
        <v>39</v>
      </c>
      <c r="G2478" s="116"/>
      <c r="H2478" s="117"/>
      <c r="I2478" s="117"/>
      <c r="J2478" s="117"/>
      <c r="K2478" s="117"/>
      <c r="L2478" s="116"/>
      <c r="M2478" s="117"/>
      <c r="N2478" s="118" t="str">
        <f>IFERROR(__xludf.DUMMYFUNCTION("""COMPUTED_VALUE"""),"")</f>
        <v/>
      </c>
      <c r="O2478" s="116"/>
      <c r="P2478" s="116"/>
      <c r="Q2478" s="116"/>
      <c r="R2478" s="116" t="s">
        <v>39</v>
      </c>
      <c r="S2478" s="116" t="s">
        <v>39</v>
      </c>
      <c r="T2478" s="104"/>
      <c r="U2478" s="116"/>
      <c r="V2478" s="104"/>
      <c r="W2478" s="116"/>
    </row>
    <row r="2479">
      <c r="A2479" s="114" t="s">
        <v>39</v>
      </c>
      <c r="B2479" s="115"/>
      <c r="C2479" s="116"/>
      <c r="D2479" s="116"/>
      <c r="E2479" s="116" t="str">
        <f>IFERROR(__xludf.DUMMYFUNCTION("""COMPUTED_VALUE"""),"")</f>
        <v/>
      </c>
      <c r="F2479" s="117" t="s">
        <v>39</v>
      </c>
      <c r="G2479" s="116"/>
      <c r="H2479" s="117"/>
      <c r="I2479" s="117"/>
      <c r="J2479" s="117"/>
      <c r="K2479" s="117"/>
      <c r="L2479" s="116"/>
      <c r="M2479" s="117"/>
      <c r="N2479" s="118" t="str">
        <f>IFERROR(__xludf.DUMMYFUNCTION("""COMPUTED_VALUE"""),"")</f>
        <v/>
      </c>
      <c r="O2479" s="116"/>
      <c r="P2479" s="116"/>
      <c r="Q2479" s="116"/>
      <c r="R2479" s="116" t="s">
        <v>39</v>
      </c>
      <c r="S2479" s="116" t="s">
        <v>39</v>
      </c>
      <c r="T2479" s="104"/>
      <c r="U2479" s="116"/>
      <c r="V2479" s="104"/>
      <c r="W2479" s="116"/>
    </row>
    <row r="2480">
      <c r="A2480" s="114" t="s">
        <v>39</v>
      </c>
      <c r="B2480" s="115"/>
      <c r="C2480" s="116"/>
      <c r="D2480" s="116"/>
      <c r="E2480" s="116" t="str">
        <f>IFERROR(__xludf.DUMMYFUNCTION("""COMPUTED_VALUE"""),"")</f>
        <v/>
      </c>
      <c r="F2480" s="117" t="s">
        <v>39</v>
      </c>
      <c r="G2480" s="116"/>
      <c r="H2480" s="117"/>
      <c r="I2480" s="117"/>
      <c r="J2480" s="117"/>
      <c r="K2480" s="117"/>
      <c r="L2480" s="116"/>
      <c r="M2480" s="117"/>
      <c r="N2480" s="118" t="str">
        <f>IFERROR(__xludf.DUMMYFUNCTION("""COMPUTED_VALUE"""),"")</f>
        <v/>
      </c>
      <c r="O2480" s="116"/>
      <c r="P2480" s="116"/>
      <c r="Q2480" s="116"/>
      <c r="R2480" s="116" t="s">
        <v>39</v>
      </c>
      <c r="S2480" s="116" t="s">
        <v>39</v>
      </c>
      <c r="T2480" s="104"/>
      <c r="U2480" s="116"/>
      <c r="V2480" s="104"/>
      <c r="W2480" s="116"/>
    </row>
    <row r="2481">
      <c r="A2481" s="114" t="s">
        <v>39</v>
      </c>
      <c r="B2481" s="115"/>
      <c r="C2481" s="116"/>
      <c r="D2481" s="116"/>
      <c r="E2481" s="116" t="str">
        <f>IFERROR(__xludf.DUMMYFUNCTION("""COMPUTED_VALUE"""),"")</f>
        <v/>
      </c>
      <c r="F2481" s="117" t="s">
        <v>39</v>
      </c>
      <c r="G2481" s="116"/>
      <c r="H2481" s="117"/>
      <c r="I2481" s="117"/>
      <c r="J2481" s="117"/>
      <c r="K2481" s="117"/>
      <c r="L2481" s="116"/>
      <c r="M2481" s="117"/>
      <c r="N2481" s="118" t="str">
        <f>IFERROR(__xludf.DUMMYFUNCTION("""COMPUTED_VALUE"""),"")</f>
        <v/>
      </c>
      <c r="O2481" s="116"/>
      <c r="P2481" s="116"/>
      <c r="Q2481" s="116"/>
      <c r="R2481" s="116" t="s">
        <v>39</v>
      </c>
      <c r="S2481" s="116" t="s">
        <v>39</v>
      </c>
      <c r="T2481" s="104"/>
      <c r="U2481" s="116"/>
      <c r="V2481" s="104"/>
      <c r="W2481" s="116"/>
    </row>
    <row r="2482">
      <c r="A2482" s="114" t="s">
        <v>39</v>
      </c>
      <c r="B2482" s="115"/>
      <c r="C2482" s="116"/>
      <c r="D2482" s="116"/>
      <c r="E2482" s="116" t="str">
        <f>IFERROR(__xludf.DUMMYFUNCTION("""COMPUTED_VALUE"""),"")</f>
        <v/>
      </c>
      <c r="F2482" s="117" t="s">
        <v>39</v>
      </c>
      <c r="G2482" s="116"/>
      <c r="H2482" s="117"/>
      <c r="I2482" s="117"/>
      <c r="J2482" s="117"/>
      <c r="K2482" s="117"/>
      <c r="L2482" s="116"/>
      <c r="M2482" s="117"/>
      <c r="N2482" s="118" t="str">
        <f>IFERROR(__xludf.DUMMYFUNCTION("""COMPUTED_VALUE"""),"")</f>
        <v/>
      </c>
      <c r="O2482" s="116"/>
      <c r="P2482" s="116"/>
      <c r="Q2482" s="116"/>
      <c r="R2482" s="116" t="s">
        <v>39</v>
      </c>
      <c r="S2482" s="116" t="s">
        <v>39</v>
      </c>
      <c r="T2482" s="104"/>
      <c r="U2482" s="116"/>
      <c r="V2482" s="104"/>
      <c r="W2482" s="116"/>
    </row>
    <row r="2483">
      <c r="A2483" s="114" t="s">
        <v>39</v>
      </c>
      <c r="B2483" s="115"/>
      <c r="C2483" s="116"/>
      <c r="D2483" s="116"/>
      <c r="E2483" s="116" t="str">
        <f>IFERROR(__xludf.DUMMYFUNCTION("""COMPUTED_VALUE"""),"")</f>
        <v/>
      </c>
      <c r="F2483" s="117" t="s">
        <v>39</v>
      </c>
      <c r="G2483" s="116"/>
      <c r="H2483" s="117"/>
      <c r="I2483" s="117"/>
      <c r="J2483" s="117"/>
      <c r="K2483" s="117"/>
      <c r="L2483" s="116"/>
      <c r="M2483" s="117"/>
      <c r="N2483" s="118" t="str">
        <f>IFERROR(__xludf.DUMMYFUNCTION("""COMPUTED_VALUE"""),"")</f>
        <v/>
      </c>
      <c r="O2483" s="116"/>
      <c r="P2483" s="116"/>
      <c r="Q2483" s="116"/>
      <c r="R2483" s="116" t="s">
        <v>39</v>
      </c>
      <c r="S2483" s="116" t="s">
        <v>39</v>
      </c>
      <c r="T2483" s="104"/>
      <c r="U2483" s="116"/>
      <c r="V2483" s="104"/>
      <c r="W2483" s="116"/>
    </row>
    <row r="2484">
      <c r="A2484" s="114" t="s">
        <v>39</v>
      </c>
      <c r="B2484" s="115"/>
      <c r="C2484" s="116"/>
      <c r="D2484" s="116"/>
      <c r="E2484" s="116" t="str">
        <f>IFERROR(__xludf.DUMMYFUNCTION("""COMPUTED_VALUE"""),"")</f>
        <v/>
      </c>
      <c r="F2484" s="117" t="s">
        <v>39</v>
      </c>
      <c r="G2484" s="116"/>
      <c r="H2484" s="117"/>
      <c r="I2484" s="117"/>
      <c r="J2484" s="117"/>
      <c r="K2484" s="117"/>
      <c r="L2484" s="116"/>
      <c r="M2484" s="117"/>
      <c r="N2484" s="118" t="str">
        <f>IFERROR(__xludf.DUMMYFUNCTION("""COMPUTED_VALUE"""),"")</f>
        <v/>
      </c>
      <c r="O2484" s="116"/>
      <c r="P2484" s="116"/>
      <c r="Q2484" s="116"/>
      <c r="R2484" s="116" t="s">
        <v>39</v>
      </c>
      <c r="S2484" s="116" t="s">
        <v>39</v>
      </c>
      <c r="T2484" s="104"/>
      <c r="U2484" s="116"/>
      <c r="V2484" s="104"/>
      <c r="W2484" s="116"/>
    </row>
    <row r="2485">
      <c r="A2485" s="114" t="s">
        <v>39</v>
      </c>
      <c r="B2485" s="115"/>
      <c r="C2485" s="116"/>
      <c r="D2485" s="116"/>
      <c r="E2485" s="116" t="str">
        <f>IFERROR(__xludf.DUMMYFUNCTION("""COMPUTED_VALUE"""),"")</f>
        <v/>
      </c>
      <c r="F2485" s="117" t="s">
        <v>39</v>
      </c>
      <c r="G2485" s="116"/>
      <c r="H2485" s="117"/>
      <c r="I2485" s="117"/>
      <c r="J2485" s="117"/>
      <c r="K2485" s="117"/>
      <c r="L2485" s="116"/>
      <c r="M2485" s="117"/>
      <c r="N2485" s="118" t="str">
        <f>IFERROR(__xludf.DUMMYFUNCTION("""COMPUTED_VALUE"""),"")</f>
        <v/>
      </c>
      <c r="O2485" s="116"/>
      <c r="P2485" s="116"/>
      <c r="Q2485" s="116"/>
      <c r="R2485" s="116" t="s">
        <v>39</v>
      </c>
      <c r="S2485" s="116" t="s">
        <v>39</v>
      </c>
      <c r="T2485" s="104"/>
      <c r="U2485" s="116"/>
      <c r="V2485" s="104"/>
      <c r="W2485" s="116"/>
    </row>
    <row r="2486">
      <c r="A2486" s="114" t="s">
        <v>39</v>
      </c>
      <c r="B2486" s="115"/>
      <c r="C2486" s="116"/>
      <c r="D2486" s="116"/>
      <c r="E2486" s="116" t="str">
        <f>IFERROR(__xludf.DUMMYFUNCTION("""COMPUTED_VALUE"""),"")</f>
        <v/>
      </c>
      <c r="F2486" s="117" t="s">
        <v>39</v>
      </c>
      <c r="G2486" s="116"/>
      <c r="H2486" s="117"/>
      <c r="I2486" s="117"/>
      <c r="J2486" s="117"/>
      <c r="K2486" s="117"/>
      <c r="L2486" s="116"/>
      <c r="M2486" s="117"/>
      <c r="N2486" s="118" t="str">
        <f>IFERROR(__xludf.DUMMYFUNCTION("""COMPUTED_VALUE"""),"")</f>
        <v/>
      </c>
      <c r="O2486" s="116"/>
      <c r="P2486" s="116"/>
      <c r="Q2486" s="116"/>
      <c r="R2486" s="116" t="s">
        <v>39</v>
      </c>
      <c r="S2486" s="116" t="s">
        <v>39</v>
      </c>
      <c r="T2486" s="104"/>
      <c r="U2486" s="116"/>
      <c r="V2486" s="104"/>
      <c r="W2486" s="116"/>
    </row>
    <row r="2487">
      <c r="A2487" s="114" t="s">
        <v>39</v>
      </c>
      <c r="B2487" s="115"/>
      <c r="C2487" s="116"/>
      <c r="D2487" s="116"/>
      <c r="E2487" s="116" t="str">
        <f>IFERROR(__xludf.DUMMYFUNCTION("""COMPUTED_VALUE"""),"")</f>
        <v/>
      </c>
      <c r="F2487" s="117" t="s">
        <v>39</v>
      </c>
      <c r="G2487" s="116"/>
      <c r="H2487" s="117"/>
      <c r="I2487" s="117"/>
      <c r="J2487" s="117"/>
      <c r="K2487" s="117"/>
      <c r="L2487" s="116"/>
      <c r="M2487" s="117"/>
      <c r="N2487" s="118" t="str">
        <f>IFERROR(__xludf.DUMMYFUNCTION("""COMPUTED_VALUE"""),"")</f>
        <v/>
      </c>
      <c r="O2487" s="116"/>
      <c r="P2487" s="116"/>
      <c r="Q2487" s="116"/>
      <c r="R2487" s="116" t="s">
        <v>39</v>
      </c>
      <c r="S2487" s="116" t="s">
        <v>39</v>
      </c>
      <c r="T2487" s="104"/>
      <c r="U2487" s="116"/>
      <c r="V2487" s="104"/>
      <c r="W2487" s="116"/>
    </row>
    <row r="2488">
      <c r="A2488" s="114" t="s">
        <v>39</v>
      </c>
      <c r="B2488" s="115"/>
      <c r="C2488" s="116"/>
      <c r="D2488" s="116"/>
      <c r="E2488" s="116" t="str">
        <f>IFERROR(__xludf.DUMMYFUNCTION("""COMPUTED_VALUE"""),"")</f>
        <v/>
      </c>
      <c r="F2488" s="117" t="s">
        <v>39</v>
      </c>
      <c r="G2488" s="116"/>
      <c r="H2488" s="117"/>
      <c r="I2488" s="117"/>
      <c r="J2488" s="117"/>
      <c r="K2488" s="117"/>
      <c r="L2488" s="116"/>
      <c r="M2488" s="117"/>
      <c r="N2488" s="118" t="str">
        <f>IFERROR(__xludf.DUMMYFUNCTION("""COMPUTED_VALUE"""),"")</f>
        <v/>
      </c>
      <c r="O2488" s="116"/>
      <c r="P2488" s="116"/>
      <c r="Q2488" s="116"/>
      <c r="R2488" s="116" t="s">
        <v>39</v>
      </c>
      <c r="S2488" s="116" t="s">
        <v>39</v>
      </c>
      <c r="T2488" s="104"/>
      <c r="U2488" s="116"/>
      <c r="V2488" s="104"/>
      <c r="W2488" s="116"/>
    </row>
    <row r="2489">
      <c r="A2489" s="114" t="s">
        <v>39</v>
      </c>
      <c r="B2489" s="115"/>
      <c r="C2489" s="116"/>
      <c r="D2489" s="116"/>
      <c r="E2489" s="116" t="str">
        <f>IFERROR(__xludf.DUMMYFUNCTION("""COMPUTED_VALUE"""),"")</f>
        <v/>
      </c>
      <c r="F2489" s="117" t="s">
        <v>39</v>
      </c>
      <c r="G2489" s="116"/>
      <c r="H2489" s="117"/>
      <c r="I2489" s="117"/>
      <c r="J2489" s="117"/>
      <c r="K2489" s="117"/>
      <c r="L2489" s="116"/>
      <c r="M2489" s="117"/>
      <c r="N2489" s="118" t="str">
        <f>IFERROR(__xludf.DUMMYFUNCTION("""COMPUTED_VALUE"""),"")</f>
        <v/>
      </c>
      <c r="O2489" s="116"/>
      <c r="P2489" s="116"/>
      <c r="Q2489" s="116"/>
      <c r="R2489" s="116" t="s">
        <v>39</v>
      </c>
      <c r="S2489" s="116" t="s">
        <v>39</v>
      </c>
      <c r="T2489" s="104"/>
      <c r="U2489" s="116"/>
      <c r="V2489" s="104"/>
      <c r="W2489" s="116"/>
    </row>
    <row r="2490">
      <c r="A2490" s="114" t="s">
        <v>39</v>
      </c>
      <c r="B2490" s="115"/>
      <c r="C2490" s="116"/>
      <c r="D2490" s="116"/>
      <c r="E2490" s="116" t="str">
        <f>IFERROR(__xludf.DUMMYFUNCTION("""COMPUTED_VALUE"""),"")</f>
        <v/>
      </c>
      <c r="F2490" s="117" t="s">
        <v>39</v>
      </c>
      <c r="G2490" s="116"/>
      <c r="H2490" s="117"/>
      <c r="I2490" s="117"/>
      <c r="J2490" s="117"/>
      <c r="K2490" s="117"/>
      <c r="L2490" s="116"/>
      <c r="M2490" s="117"/>
      <c r="N2490" s="118" t="str">
        <f>IFERROR(__xludf.DUMMYFUNCTION("""COMPUTED_VALUE"""),"")</f>
        <v/>
      </c>
      <c r="O2490" s="116"/>
      <c r="P2490" s="116"/>
      <c r="Q2490" s="116"/>
      <c r="R2490" s="116" t="s">
        <v>39</v>
      </c>
      <c r="S2490" s="116" t="s">
        <v>39</v>
      </c>
      <c r="T2490" s="104"/>
      <c r="U2490" s="116"/>
      <c r="V2490" s="104"/>
      <c r="W2490" s="116"/>
    </row>
    <row r="2491">
      <c r="A2491" s="114" t="s">
        <v>39</v>
      </c>
      <c r="B2491" s="115"/>
      <c r="C2491" s="116"/>
      <c r="D2491" s="116"/>
      <c r="E2491" s="116" t="str">
        <f>IFERROR(__xludf.DUMMYFUNCTION("""COMPUTED_VALUE"""),"")</f>
        <v/>
      </c>
      <c r="F2491" s="117" t="s">
        <v>39</v>
      </c>
      <c r="G2491" s="116"/>
      <c r="H2491" s="117"/>
      <c r="I2491" s="117"/>
      <c r="J2491" s="117"/>
      <c r="K2491" s="117"/>
      <c r="L2491" s="116"/>
      <c r="M2491" s="117"/>
      <c r="N2491" s="118" t="str">
        <f>IFERROR(__xludf.DUMMYFUNCTION("""COMPUTED_VALUE"""),"")</f>
        <v/>
      </c>
      <c r="O2491" s="116"/>
      <c r="P2491" s="116"/>
      <c r="Q2491" s="116"/>
      <c r="R2491" s="116" t="s">
        <v>39</v>
      </c>
      <c r="S2491" s="116" t="s">
        <v>39</v>
      </c>
      <c r="T2491" s="104"/>
      <c r="U2491" s="116"/>
      <c r="V2491" s="104"/>
      <c r="W2491" s="116"/>
    </row>
    <row r="2492">
      <c r="A2492" s="114" t="s">
        <v>39</v>
      </c>
      <c r="B2492" s="115"/>
      <c r="C2492" s="116"/>
      <c r="D2492" s="116"/>
      <c r="E2492" s="116" t="str">
        <f>IFERROR(__xludf.DUMMYFUNCTION("""COMPUTED_VALUE"""),"")</f>
        <v/>
      </c>
      <c r="F2492" s="117" t="s">
        <v>39</v>
      </c>
      <c r="G2492" s="116"/>
      <c r="H2492" s="117"/>
      <c r="I2492" s="117"/>
      <c r="J2492" s="117"/>
      <c r="K2492" s="117"/>
      <c r="L2492" s="116"/>
      <c r="M2492" s="117"/>
      <c r="N2492" s="118" t="str">
        <f>IFERROR(__xludf.DUMMYFUNCTION("""COMPUTED_VALUE"""),"")</f>
        <v/>
      </c>
      <c r="O2492" s="116"/>
      <c r="P2492" s="116"/>
      <c r="Q2492" s="116"/>
      <c r="R2492" s="116" t="s">
        <v>39</v>
      </c>
      <c r="S2492" s="116" t="s">
        <v>39</v>
      </c>
      <c r="T2492" s="104"/>
      <c r="U2492" s="116"/>
      <c r="V2492" s="104"/>
      <c r="W2492" s="116"/>
    </row>
    <row r="2493">
      <c r="A2493" s="114" t="s">
        <v>39</v>
      </c>
      <c r="B2493" s="115"/>
      <c r="C2493" s="116"/>
      <c r="D2493" s="116"/>
      <c r="E2493" s="116" t="str">
        <f>IFERROR(__xludf.DUMMYFUNCTION("""COMPUTED_VALUE"""),"")</f>
        <v/>
      </c>
      <c r="F2493" s="117" t="s">
        <v>39</v>
      </c>
      <c r="G2493" s="116"/>
      <c r="H2493" s="117"/>
      <c r="I2493" s="117"/>
      <c r="J2493" s="117"/>
      <c r="K2493" s="117"/>
      <c r="L2493" s="116"/>
      <c r="M2493" s="117"/>
      <c r="N2493" s="118" t="str">
        <f>IFERROR(__xludf.DUMMYFUNCTION("""COMPUTED_VALUE"""),"")</f>
        <v/>
      </c>
      <c r="O2493" s="116"/>
      <c r="P2493" s="116"/>
      <c r="Q2493" s="116"/>
      <c r="R2493" s="116" t="s">
        <v>39</v>
      </c>
      <c r="S2493" s="116" t="s">
        <v>39</v>
      </c>
      <c r="T2493" s="104"/>
      <c r="U2493" s="116"/>
      <c r="V2493" s="104"/>
      <c r="W2493" s="116"/>
    </row>
    <row r="2494">
      <c r="A2494" s="114" t="s">
        <v>39</v>
      </c>
      <c r="B2494" s="115"/>
      <c r="C2494" s="116"/>
      <c r="D2494" s="116"/>
      <c r="E2494" s="116" t="str">
        <f>IFERROR(__xludf.DUMMYFUNCTION("""COMPUTED_VALUE"""),"")</f>
        <v/>
      </c>
      <c r="F2494" s="117" t="s">
        <v>39</v>
      </c>
      <c r="G2494" s="116"/>
      <c r="H2494" s="117"/>
      <c r="I2494" s="117"/>
      <c r="J2494" s="117"/>
      <c r="K2494" s="117"/>
      <c r="L2494" s="116"/>
      <c r="M2494" s="117"/>
      <c r="N2494" s="118" t="str">
        <f>IFERROR(__xludf.DUMMYFUNCTION("""COMPUTED_VALUE"""),"")</f>
        <v/>
      </c>
      <c r="O2494" s="116"/>
      <c r="P2494" s="116"/>
      <c r="Q2494" s="116"/>
      <c r="R2494" s="116" t="s">
        <v>39</v>
      </c>
      <c r="S2494" s="116" t="s">
        <v>39</v>
      </c>
      <c r="T2494" s="104"/>
      <c r="U2494" s="116"/>
      <c r="V2494" s="104"/>
      <c r="W2494" s="116"/>
    </row>
    <row r="2495">
      <c r="A2495" s="114" t="s">
        <v>39</v>
      </c>
      <c r="B2495" s="115"/>
      <c r="C2495" s="116"/>
      <c r="D2495" s="116"/>
      <c r="E2495" s="116" t="str">
        <f>IFERROR(__xludf.DUMMYFUNCTION("""COMPUTED_VALUE"""),"")</f>
        <v/>
      </c>
      <c r="F2495" s="117" t="s">
        <v>39</v>
      </c>
      <c r="G2495" s="116"/>
      <c r="H2495" s="117"/>
      <c r="I2495" s="117"/>
      <c r="J2495" s="117"/>
      <c r="K2495" s="117"/>
      <c r="L2495" s="116"/>
      <c r="M2495" s="117"/>
      <c r="N2495" s="118" t="str">
        <f>IFERROR(__xludf.DUMMYFUNCTION("""COMPUTED_VALUE"""),"")</f>
        <v/>
      </c>
      <c r="O2495" s="116"/>
      <c r="P2495" s="116"/>
      <c r="Q2495" s="116"/>
      <c r="R2495" s="116" t="s">
        <v>39</v>
      </c>
      <c r="S2495" s="116" t="s">
        <v>39</v>
      </c>
      <c r="T2495" s="104"/>
      <c r="U2495" s="116"/>
      <c r="V2495" s="104"/>
      <c r="W2495" s="116"/>
    </row>
    <row r="2496">
      <c r="A2496" s="114" t="s">
        <v>39</v>
      </c>
      <c r="B2496" s="115"/>
      <c r="C2496" s="116"/>
      <c r="D2496" s="116"/>
      <c r="E2496" s="116" t="str">
        <f>IFERROR(__xludf.DUMMYFUNCTION("""COMPUTED_VALUE"""),"")</f>
        <v/>
      </c>
      <c r="F2496" s="117" t="s">
        <v>39</v>
      </c>
      <c r="G2496" s="116"/>
      <c r="H2496" s="117"/>
      <c r="I2496" s="117"/>
      <c r="J2496" s="117"/>
      <c r="K2496" s="117"/>
      <c r="L2496" s="116"/>
      <c r="M2496" s="117"/>
      <c r="N2496" s="118" t="str">
        <f>IFERROR(__xludf.DUMMYFUNCTION("""COMPUTED_VALUE"""),"")</f>
        <v/>
      </c>
      <c r="O2496" s="116"/>
      <c r="P2496" s="116"/>
      <c r="Q2496" s="116"/>
      <c r="R2496" s="116" t="s">
        <v>39</v>
      </c>
      <c r="S2496" s="116" t="s">
        <v>39</v>
      </c>
      <c r="T2496" s="104"/>
      <c r="U2496" s="116"/>
      <c r="V2496" s="104"/>
      <c r="W2496" s="116"/>
    </row>
    <row r="2497">
      <c r="A2497" s="114" t="s">
        <v>39</v>
      </c>
      <c r="B2497" s="115"/>
      <c r="C2497" s="116"/>
      <c r="D2497" s="116"/>
      <c r="E2497" s="116" t="str">
        <f>IFERROR(__xludf.DUMMYFUNCTION("""COMPUTED_VALUE"""),"")</f>
        <v/>
      </c>
      <c r="F2497" s="117" t="s">
        <v>39</v>
      </c>
      <c r="G2497" s="116"/>
      <c r="H2497" s="117"/>
      <c r="I2497" s="117"/>
      <c r="J2497" s="117"/>
      <c r="K2497" s="117"/>
      <c r="L2497" s="116"/>
      <c r="M2497" s="117"/>
      <c r="N2497" s="118" t="str">
        <f>IFERROR(__xludf.DUMMYFUNCTION("""COMPUTED_VALUE"""),"")</f>
        <v/>
      </c>
      <c r="O2497" s="116"/>
      <c r="P2497" s="116"/>
      <c r="Q2497" s="116"/>
      <c r="R2497" s="116" t="s">
        <v>39</v>
      </c>
      <c r="S2497" s="116" t="s">
        <v>39</v>
      </c>
      <c r="T2497" s="104"/>
      <c r="U2497" s="116"/>
      <c r="V2497" s="104"/>
      <c r="W2497" s="116"/>
    </row>
    <row r="2498">
      <c r="A2498" s="114" t="s">
        <v>39</v>
      </c>
      <c r="B2498" s="115"/>
      <c r="C2498" s="116"/>
      <c r="D2498" s="116"/>
      <c r="E2498" s="116" t="str">
        <f>IFERROR(__xludf.DUMMYFUNCTION("""COMPUTED_VALUE"""),"")</f>
        <v/>
      </c>
      <c r="F2498" s="117" t="s">
        <v>39</v>
      </c>
      <c r="G2498" s="116"/>
      <c r="H2498" s="117"/>
      <c r="I2498" s="117"/>
      <c r="J2498" s="117"/>
      <c r="K2498" s="117"/>
      <c r="L2498" s="116"/>
      <c r="M2498" s="117"/>
      <c r="N2498" s="118" t="str">
        <f>IFERROR(__xludf.DUMMYFUNCTION("""COMPUTED_VALUE"""),"")</f>
        <v/>
      </c>
      <c r="O2498" s="116"/>
      <c r="P2498" s="116"/>
      <c r="Q2498" s="116"/>
      <c r="R2498" s="116" t="s">
        <v>39</v>
      </c>
      <c r="S2498" s="116" t="s">
        <v>39</v>
      </c>
      <c r="T2498" s="104"/>
      <c r="U2498" s="116"/>
      <c r="V2498" s="104"/>
      <c r="W2498" s="116"/>
    </row>
    <row r="2499">
      <c r="A2499" s="114" t="s">
        <v>39</v>
      </c>
      <c r="B2499" s="115"/>
      <c r="C2499" s="116"/>
      <c r="D2499" s="116"/>
      <c r="E2499" s="116" t="str">
        <f>IFERROR(__xludf.DUMMYFUNCTION("""COMPUTED_VALUE"""),"")</f>
        <v/>
      </c>
      <c r="F2499" s="117" t="s">
        <v>39</v>
      </c>
      <c r="G2499" s="116"/>
      <c r="H2499" s="117"/>
      <c r="I2499" s="117"/>
      <c r="J2499" s="117"/>
      <c r="K2499" s="117"/>
      <c r="L2499" s="116"/>
      <c r="M2499" s="117"/>
      <c r="N2499" s="118" t="str">
        <f>IFERROR(__xludf.DUMMYFUNCTION("""COMPUTED_VALUE"""),"")</f>
        <v/>
      </c>
      <c r="O2499" s="116"/>
      <c r="P2499" s="116"/>
      <c r="Q2499" s="116"/>
      <c r="R2499" s="116" t="s">
        <v>39</v>
      </c>
      <c r="S2499" s="116" t="s">
        <v>39</v>
      </c>
      <c r="T2499" s="104"/>
      <c r="U2499" s="116"/>
      <c r="V2499" s="104"/>
      <c r="W2499" s="116"/>
    </row>
    <row r="2500">
      <c r="A2500" s="114" t="s">
        <v>39</v>
      </c>
      <c r="B2500" s="115"/>
      <c r="C2500" s="116"/>
      <c r="D2500" s="116"/>
      <c r="E2500" s="116" t="str">
        <f>IFERROR(__xludf.DUMMYFUNCTION("""COMPUTED_VALUE"""),"")</f>
        <v/>
      </c>
      <c r="F2500" s="117" t="s">
        <v>39</v>
      </c>
      <c r="G2500" s="116"/>
      <c r="H2500" s="117"/>
      <c r="I2500" s="117"/>
      <c r="J2500" s="117"/>
      <c r="K2500" s="117"/>
      <c r="L2500" s="116"/>
      <c r="M2500" s="117"/>
      <c r="N2500" s="118" t="str">
        <f>IFERROR(__xludf.DUMMYFUNCTION("""COMPUTED_VALUE"""),"")</f>
        <v/>
      </c>
      <c r="O2500" s="116"/>
      <c r="P2500" s="116"/>
      <c r="Q2500" s="116"/>
      <c r="R2500" s="116" t="s">
        <v>39</v>
      </c>
      <c r="S2500" s="116" t="s">
        <v>39</v>
      </c>
      <c r="T2500" s="104"/>
      <c r="U2500" s="116"/>
      <c r="V2500" s="104"/>
      <c r="W2500" s="116"/>
    </row>
    <row r="2501">
      <c r="A2501" s="114" t="s">
        <v>39</v>
      </c>
      <c r="B2501" s="115"/>
      <c r="C2501" s="116"/>
      <c r="D2501" s="116"/>
      <c r="E2501" s="116" t="str">
        <f>IFERROR(__xludf.DUMMYFUNCTION("""COMPUTED_VALUE"""),"")</f>
        <v/>
      </c>
      <c r="F2501" s="117" t="s">
        <v>39</v>
      </c>
      <c r="G2501" s="116"/>
      <c r="H2501" s="117"/>
      <c r="I2501" s="117"/>
      <c r="J2501" s="117"/>
      <c r="K2501" s="117"/>
      <c r="L2501" s="116"/>
      <c r="M2501" s="117"/>
      <c r="N2501" s="118" t="str">
        <f>IFERROR(__xludf.DUMMYFUNCTION("""COMPUTED_VALUE"""),"")</f>
        <v/>
      </c>
      <c r="O2501" s="116"/>
      <c r="P2501" s="116"/>
      <c r="Q2501" s="116"/>
      <c r="R2501" s="116" t="s">
        <v>39</v>
      </c>
      <c r="S2501" s="116" t="s">
        <v>39</v>
      </c>
      <c r="T2501" s="104"/>
      <c r="U2501" s="116"/>
      <c r="V2501" s="104"/>
      <c r="W2501" s="116"/>
    </row>
    <row r="2502">
      <c r="A2502" s="114" t="s">
        <v>39</v>
      </c>
      <c r="B2502" s="115"/>
      <c r="C2502" s="116"/>
      <c r="D2502" s="116"/>
      <c r="E2502" s="116" t="str">
        <f>IFERROR(__xludf.DUMMYFUNCTION("""COMPUTED_VALUE"""),"")</f>
        <v/>
      </c>
      <c r="F2502" s="117" t="s">
        <v>39</v>
      </c>
      <c r="G2502" s="116"/>
      <c r="H2502" s="117"/>
      <c r="I2502" s="117"/>
      <c r="J2502" s="117"/>
      <c r="K2502" s="117"/>
      <c r="L2502" s="116"/>
      <c r="M2502" s="117"/>
      <c r="N2502" s="118" t="str">
        <f>IFERROR(__xludf.DUMMYFUNCTION("""COMPUTED_VALUE"""),"")</f>
        <v/>
      </c>
      <c r="O2502" s="116"/>
      <c r="P2502" s="116"/>
      <c r="Q2502" s="116"/>
      <c r="R2502" s="116" t="s">
        <v>39</v>
      </c>
      <c r="S2502" s="116" t="s">
        <v>39</v>
      </c>
      <c r="T2502" s="104"/>
      <c r="U2502" s="116"/>
      <c r="V2502" s="104"/>
      <c r="W2502" s="116"/>
    </row>
    <row r="2503">
      <c r="A2503" s="114" t="s">
        <v>39</v>
      </c>
      <c r="B2503" s="115"/>
      <c r="C2503" s="116"/>
      <c r="D2503" s="116"/>
      <c r="E2503" s="116" t="str">
        <f>IFERROR(__xludf.DUMMYFUNCTION("""COMPUTED_VALUE"""),"")</f>
        <v/>
      </c>
      <c r="F2503" s="117" t="s">
        <v>39</v>
      </c>
      <c r="G2503" s="116"/>
      <c r="H2503" s="117"/>
      <c r="I2503" s="117"/>
      <c r="J2503" s="117"/>
      <c r="K2503" s="117"/>
      <c r="L2503" s="116"/>
      <c r="M2503" s="117"/>
      <c r="N2503" s="118" t="str">
        <f>IFERROR(__xludf.DUMMYFUNCTION("""COMPUTED_VALUE"""),"")</f>
        <v/>
      </c>
      <c r="O2503" s="116"/>
      <c r="P2503" s="116"/>
      <c r="Q2503" s="116"/>
      <c r="R2503" s="116" t="s">
        <v>39</v>
      </c>
      <c r="S2503" s="116" t="s">
        <v>39</v>
      </c>
      <c r="T2503" s="104"/>
      <c r="U2503" s="116"/>
      <c r="V2503" s="104"/>
      <c r="W2503" s="116"/>
    </row>
    <row r="2504">
      <c r="A2504" s="114" t="s">
        <v>39</v>
      </c>
      <c r="B2504" s="115"/>
      <c r="C2504" s="116"/>
      <c r="D2504" s="116"/>
      <c r="E2504" s="116" t="str">
        <f>IFERROR(__xludf.DUMMYFUNCTION("""COMPUTED_VALUE"""),"")</f>
        <v/>
      </c>
      <c r="F2504" s="117" t="s">
        <v>39</v>
      </c>
      <c r="G2504" s="116"/>
      <c r="H2504" s="117"/>
      <c r="I2504" s="117"/>
      <c r="J2504" s="117"/>
      <c r="K2504" s="117"/>
      <c r="L2504" s="116"/>
      <c r="M2504" s="117"/>
      <c r="N2504" s="118" t="str">
        <f>IFERROR(__xludf.DUMMYFUNCTION("""COMPUTED_VALUE"""),"")</f>
        <v/>
      </c>
      <c r="O2504" s="116"/>
      <c r="P2504" s="116"/>
      <c r="Q2504" s="116"/>
      <c r="R2504" s="116" t="s">
        <v>39</v>
      </c>
      <c r="S2504" s="116" t="s">
        <v>39</v>
      </c>
      <c r="T2504" s="104"/>
      <c r="U2504" s="116"/>
      <c r="V2504" s="104"/>
      <c r="W2504" s="116"/>
    </row>
    <row r="2505">
      <c r="A2505" s="114" t="s">
        <v>39</v>
      </c>
      <c r="B2505" s="115"/>
      <c r="C2505" s="116"/>
      <c r="D2505" s="116"/>
      <c r="E2505" s="116" t="str">
        <f>IFERROR(__xludf.DUMMYFUNCTION("""COMPUTED_VALUE"""),"")</f>
        <v/>
      </c>
      <c r="F2505" s="117" t="s">
        <v>39</v>
      </c>
      <c r="G2505" s="116"/>
      <c r="H2505" s="117"/>
      <c r="I2505" s="117"/>
      <c r="J2505" s="117"/>
      <c r="K2505" s="117"/>
      <c r="L2505" s="116"/>
      <c r="M2505" s="117"/>
      <c r="N2505" s="118" t="str">
        <f>IFERROR(__xludf.DUMMYFUNCTION("""COMPUTED_VALUE"""),"")</f>
        <v/>
      </c>
      <c r="O2505" s="116"/>
      <c r="P2505" s="116"/>
      <c r="Q2505" s="116"/>
      <c r="R2505" s="116" t="s">
        <v>39</v>
      </c>
      <c r="S2505" s="116" t="s">
        <v>39</v>
      </c>
      <c r="T2505" s="104"/>
      <c r="U2505" s="116"/>
      <c r="V2505" s="104"/>
      <c r="W2505" s="116"/>
    </row>
    <row r="2506">
      <c r="A2506" s="114" t="s">
        <v>39</v>
      </c>
      <c r="B2506" s="115"/>
      <c r="C2506" s="116"/>
      <c r="D2506" s="116"/>
      <c r="E2506" s="116" t="str">
        <f>IFERROR(__xludf.DUMMYFUNCTION("""COMPUTED_VALUE"""),"")</f>
        <v/>
      </c>
      <c r="F2506" s="117" t="s">
        <v>39</v>
      </c>
      <c r="G2506" s="116"/>
      <c r="H2506" s="117"/>
      <c r="I2506" s="117"/>
      <c r="J2506" s="117"/>
      <c r="K2506" s="117"/>
      <c r="L2506" s="116"/>
      <c r="M2506" s="117"/>
      <c r="N2506" s="118" t="str">
        <f>IFERROR(__xludf.DUMMYFUNCTION("""COMPUTED_VALUE"""),"")</f>
        <v/>
      </c>
      <c r="O2506" s="116"/>
      <c r="P2506" s="116"/>
      <c r="Q2506" s="116"/>
      <c r="R2506" s="116" t="s">
        <v>39</v>
      </c>
      <c r="S2506" s="116" t="s">
        <v>39</v>
      </c>
      <c r="T2506" s="104"/>
      <c r="U2506" s="116"/>
      <c r="V2506" s="104"/>
      <c r="W2506" s="116"/>
    </row>
    <row r="2507">
      <c r="A2507" s="114" t="s">
        <v>39</v>
      </c>
      <c r="B2507" s="115"/>
      <c r="C2507" s="116"/>
      <c r="D2507" s="116"/>
      <c r="E2507" s="116" t="str">
        <f>IFERROR(__xludf.DUMMYFUNCTION("""COMPUTED_VALUE"""),"")</f>
        <v/>
      </c>
      <c r="F2507" s="117" t="s">
        <v>39</v>
      </c>
      <c r="G2507" s="116"/>
      <c r="H2507" s="117"/>
      <c r="I2507" s="117"/>
      <c r="J2507" s="117"/>
      <c r="K2507" s="117"/>
      <c r="L2507" s="116"/>
      <c r="M2507" s="117"/>
      <c r="N2507" s="118" t="str">
        <f>IFERROR(__xludf.DUMMYFUNCTION("""COMPUTED_VALUE"""),"")</f>
        <v/>
      </c>
      <c r="O2507" s="116"/>
      <c r="P2507" s="116"/>
      <c r="Q2507" s="116"/>
      <c r="R2507" s="116" t="s">
        <v>39</v>
      </c>
      <c r="S2507" s="116" t="s">
        <v>39</v>
      </c>
      <c r="T2507" s="104"/>
      <c r="U2507" s="116"/>
      <c r="V2507" s="104"/>
      <c r="W2507" s="116"/>
    </row>
    <row r="2508">
      <c r="A2508" s="114" t="s">
        <v>39</v>
      </c>
      <c r="B2508" s="115"/>
      <c r="C2508" s="116"/>
      <c r="D2508" s="116"/>
      <c r="E2508" s="116" t="str">
        <f>IFERROR(__xludf.DUMMYFUNCTION("""COMPUTED_VALUE"""),"")</f>
        <v/>
      </c>
      <c r="F2508" s="117" t="s">
        <v>39</v>
      </c>
      <c r="G2508" s="116"/>
      <c r="H2508" s="117"/>
      <c r="I2508" s="117"/>
      <c r="J2508" s="117"/>
      <c r="K2508" s="117"/>
      <c r="L2508" s="116"/>
      <c r="M2508" s="117"/>
      <c r="N2508" s="118" t="str">
        <f>IFERROR(__xludf.DUMMYFUNCTION("""COMPUTED_VALUE"""),"")</f>
        <v/>
      </c>
      <c r="O2508" s="116"/>
      <c r="P2508" s="116"/>
      <c r="Q2508" s="116"/>
      <c r="R2508" s="116" t="s">
        <v>39</v>
      </c>
      <c r="S2508" s="116" t="s">
        <v>39</v>
      </c>
      <c r="T2508" s="104"/>
      <c r="U2508" s="116"/>
      <c r="V2508" s="104"/>
      <c r="W2508" s="116"/>
    </row>
    <row r="2509">
      <c r="A2509" s="114" t="s">
        <v>39</v>
      </c>
      <c r="B2509" s="115"/>
      <c r="C2509" s="116"/>
      <c r="D2509" s="116"/>
      <c r="E2509" s="116" t="str">
        <f>IFERROR(__xludf.DUMMYFUNCTION("""COMPUTED_VALUE"""),"")</f>
        <v/>
      </c>
      <c r="F2509" s="117" t="s">
        <v>39</v>
      </c>
      <c r="G2509" s="116"/>
      <c r="H2509" s="117"/>
      <c r="I2509" s="117"/>
      <c r="J2509" s="117"/>
      <c r="K2509" s="117"/>
      <c r="L2509" s="116"/>
      <c r="M2509" s="117"/>
      <c r="N2509" s="118" t="str">
        <f>IFERROR(__xludf.DUMMYFUNCTION("""COMPUTED_VALUE"""),"")</f>
        <v/>
      </c>
      <c r="O2509" s="116"/>
      <c r="P2509" s="116"/>
      <c r="Q2509" s="116"/>
      <c r="R2509" s="116" t="s">
        <v>39</v>
      </c>
      <c r="S2509" s="116" t="s">
        <v>39</v>
      </c>
      <c r="T2509" s="104"/>
      <c r="U2509" s="116"/>
      <c r="V2509" s="104"/>
      <c r="W2509" s="116"/>
    </row>
    <row r="2510">
      <c r="A2510" s="114" t="s">
        <v>39</v>
      </c>
      <c r="B2510" s="115"/>
      <c r="C2510" s="116"/>
      <c r="D2510" s="116"/>
      <c r="E2510" s="116" t="str">
        <f>IFERROR(__xludf.DUMMYFUNCTION("""COMPUTED_VALUE"""),"")</f>
        <v/>
      </c>
      <c r="F2510" s="117" t="s">
        <v>39</v>
      </c>
      <c r="G2510" s="116"/>
      <c r="H2510" s="117"/>
      <c r="I2510" s="117"/>
      <c r="J2510" s="117"/>
      <c r="K2510" s="117"/>
      <c r="L2510" s="116"/>
      <c r="M2510" s="117"/>
      <c r="N2510" s="118" t="str">
        <f>IFERROR(__xludf.DUMMYFUNCTION("""COMPUTED_VALUE"""),"")</f>
        <v/>
      </c>
      <c r="O2510" s="116"/>
      <c r="P2510" s="116"/>
      <c r="Q2510" s="116"/>
      <c r="R2510" s="116" t="s">
        <v>39</v>
      </c>
      <c r="S2510" s="116" t="s">
        <v>39</v>
      </c>
      <c r="T2510" s="104"/>
      <c r="U2510" s="116"/>
      <c r="V2510" s="104"/>
      <c r="W2510" s="116"/>
    </row>
    <row r="2511">
      <c r="A2511" s="114" t="s">
        <v>39</v>
      </c>
      <c r="B2511" s="115"/>
      <c r="C2511" s="116"/>
      <c r="D2511" s="116"/>
      <c r="E2511" s="116" t="str">
        <f>IFERROR(__xludf.DUMMYFUNCTION("""COMPUTED_VALUE"""),"")</f>
        <v/>
      </c>
      <c r="F2511" s="117" t="s">
        <v>39</v>
      </c>
      <c r="G2511" s="116"/>
      <c r="H2511" s="117"/>
      <c r="I2511" s="117"/>
      <c r="J2511" s="117"/>
      <c r="K2511" s="117"/>
      <c r="L2511" s="116"/>
      <c r="M2511" s="117"/>
      <c r="N2511" s="118" t="str">
        <f>IFERROR(__xludf.DUMMYFUNCTION("""COMPUTED_VALUE"""),"")</f>
        <v/>
      </c>
      <c r="O2511" s="116"/>
      <c r="P2511" s="116"/>
      <c r="Q2511" s="116"/>
      <c r="R2511" s="116" t="s">
        <v>39</v>
      </c>
      <c r="S2511" s="116" t="s">
        <v>39</v>
      </c>
      <c r="T2511" s="104"/>
      <c r="U2511" s="116"/>
      <c r="V2511" s="104"/>
      <c r="W2511" s="116"/>
    </row>
    <row r="2512">
      <c r="A2512" s="114" t="s">
        <v>39</v>
      </c>
      <c r="B2512" s="115"/>
      <c r="C2512" s="116"/>
      <c r="D2512" s="116"/>
      <c r="E2512" s="116" t="str">
        <f>IFERROR(__xludf.DUMMYFUNCTION("""COMPUTED_VALUE"""),"")</f>
        <v/>
      </c>
      <c r="F2512" s="117" t="s">
        <v>39</v>
      </c>
      <c r="G2512" s="116"/>
      <c r="H2512" s="117"/>
      <c r="I2512" s="117"/>
      <c r="J2512" s="117"/>
      <c r="K2512" s="117"/>
      <c r="L2512" s="116"/>
      <c r="M2512" s="117"/>
      <c r="N2512" s="118" t="str">
        <f>IFERROR(__xludf.DUMMYFUNCTION("""COMPUTED_VALUE"""),"")</f>
        <v/>
      </c>
      <c r="O2512" s="116"/>
      <c r="P2512" s="116"/>
      <c r="Q2512" s="116"/>
      <c r="R2512" s="116" t="s">
        <v>39</v>
      </c>
      <c r="S2512" s="116" t="s">
        <v>39</v>
      </c>
      <c r="T2512" s="104"/>
      <c r="U2512" s="116"/>
      <c r="V2512" s="104"/>
      <c r="W2512" s="116"/>
    </row>
    <row r="2513">
      <c r="A2513" s="114" t="s">
        <v>39</v>
      </c>
      <c r="B2513" s="115"/>
      <c r="C2513" s="116"/>
      <c r="D2513" s="116"/>
      <c r="E2513" s="116" t="str">
        <f>IFERROR(__xludf.DUMMYFUNCTION("""COMPUTED_VALUE"""),"")</f>
        <v/>
      </c>
      <c r="F2513" s="117" t="s">
        <v>39</v>
      </c>
      <c r="G2513" s="116"/>
      <c r="H2513" s="117"/>
      <c r="I2513" s="117"/>
      <c r="J2513" s="117"/>
      <c r="K2513" s="117"/>
      <c r="L2513" s="116"/>
      <c r="M2513" s="117"/>
      <c r="N2513" s="118" t="str">
        <f>IFERROR(__xludf.DUMMYFUNCTION("""COMPUTED_VALUE"""),"")</f>
        <v/>
      </c>
      <c r="O2513" s="116"/>
      <c r="P2513" s="116"/>
      <c r="Q2513" s="116"/>
      <c r="R2513" s="116" t="s">
        <v>39</v>
      </c>
      <c r="S2513" s="116" t="s">
        <v>39</v>
      </c>
      <c r="T2513" s="104"/>
      <c r="U2513" s="116"/>
      <c r="V2513" s="104"/>
      <c r="W2513" s="116"/>
    </row>
    <row r="2514">
      <c r="A2514" s="114" t="s">
        <v>39</v>
      </c>
      <c r="B2514" s="115"/>
      <c r="C2514" s="116"/>
      <c r="D2514" s="116"/>
      <c r="E2514" s="116" t="str">
        <f>IFERROR(__xludf.DUMMYFUNCTION("""COMPUTED_VALUE"""),"")</f>
        <v/>
      </c>
      <c r="F2514" s="117" t="s">
        <v>39</v>
      </c>
      <c r="G2514" s="116"/>
      <c r="H2514" s="117"/>
      <c r="I2514" s="117"/>
      <c r="J2514" s="117"/>
      <c r="K2514" s="117"/>
      <c r="L2514" s="116"/>
      <c r="M2514" s="117"/>
      <c r="N2514" s="118" t="str">
        <f>IFERROR(__xludf.DUMMYFUNCTION("""COMPUTED_VALUE"""),"")</f>
        <v/>
      </c>
      <c r="O2514" s="116"/>
      <c r="P2514" s="116"/>
      <c r="Q2514" s="116"/>
      <c r="R2514" s="116" t="s">
        <v>39</v>
      </c>
      <c r="S2514" s="116" t="s">
        <v>39</v>
      </c>
      <c r="T2514" s="104"/>
      <c r="U2514" s="116"/>
      <c r="V2514" s="104"/>
      <c r="W2514" s="116"/>
    </row>
    <row r="2515">
      <c r="A2515" s="114" t="s">
        <v>39</v>
      </c>
      <c r="B2515" s="115"/>
      <c r="C2515" s="116"/>
      <c r="D2515" s="116"/>
      <c r="E2515" s="116" t="str">
        <f>IFERROR(__xludf.DUMMYFUNCTION("""COMPUTED_VALUE"""),"")</f>
        <v/>
      </c>
      <c r="F2515" s="117" t="s">
        <v>39</v>
      </c>
      <c r="G2515" s="116"/>
      <c r="H2515" s="117"/>
      <c r="I2515" s="117"/>
      <c r="J2515" s="117"/>
      <c r="K2515" s="117"/>
      <c r="L2515" s="116"/>
      <c r="M2515" s="117"/>
      <c r="N2515" s="118" t="str">
        <f>IFERROR(__xludf.DUMMYFUNCTION("""COMPUTED_VALUE"""),"")</f>
        <v/>
      </c>
      <c r="O2515" s="116"/>
      <c r="P2515" s="116"/>
      <c r="Q2515" s="116"/>
      <c r="R2515" s="116" t="s">
        <v>39</v>
      </c>
      <c r="S2515" s="116" t="s">
        <v>39</v>
      </c>
      <c r="T2515" s="104"/>
      <c r="U2515" s="116"/>
      <c r="V2515" s="104"/>
      <c r="W2515" s="116"/>
    </row>
    <row r="2516">
      <c r="A2516" s="114" t="s">
        <v>39</v>
      </c>
      <c r="B2516" s="115"/>
      <c r="C2516" s="116"/>
      <c r="D2516" s="116"/>
      <c r="E2516" s="116" t="str">
        <f>IFERROR(__xludf.DUMMYFUNCTION("""COMPUTED_VALUE"""),"")</f>
        <v/>
      </c>
      <c r="F2516" s="117" t="s">
        <v>39</v>
      </c>
      <c r="G2516" s="116"/>
      <c r="H2516" s="117"/>
      <c r="I2516" s="117"/>
      <c r="J2516" s="117"/>
      <c r="K2516" s="117"/>
      <c r="L2516" s="116"/>
      <c r="M2516" s="117"/>
      <c r="N2516" s="118" t="str">
        <f>IFERROR(__xludf.DUMMYFUNCTION("""COMPUTED_VALUE"""),"")</f>
        <v/>
      </c>
      <c r="O2516" s="116"/>
      <c r="P2516" s="116"/>
      <c r="Q2516" s="116"/>
      <c r="R2516" s="116" t="s">
        <v>39</v>
      </c>
      <c r="S2516" s="116" t="s">
        <v>39</v>
      </c>
      <c r="T2516" s="104"/>
      <c r="U2516" s="116"/>
      <c r="V2516" s="104"/>
      <c r="W2516" s="116"/>
    </row>
    <row r="2517">
      <c r="A2517" s="114" t="s">
        <v>39</v>
      </c>
      <c r="B2517" s="115"/>
      <c r="C2517" s="116"/>
      <c r="D2517" s="116"/>
      <c r="E2517" s="116" t="str">
        <f>IFERROR(__xludf.DUMMYFUNCTION("""COMPUTED_VALUE"""),"")</f>
        <v/>
      </c>
      <c r="F2517" s="117" t="s">
        <v>39</v>
      </c>
      <c r="G2517" s="116"/>
      <c r="H2517" s="117"/>
      <c r="I2517" s="117"/>
      <c r="J2517" s="117"/>
      <c r="K2517" s="117"/>
      <c r="L2517" s="116"/>
      <c r="M2517" s="117"/>
      <c r="N2517" s="118" t="str">
        <f>IFERROR(__xludf.DUMMYFUNCTION("""COMPUTED_VALUE"""),"")</f>
        <v/>
      </c>
      <c r="O2517" s="116"/>
      <c r="P2517" s="116"/>
      <c r="Q2517" s="116"/>
      <c r="R2517" s="116" t="s">
        <v>39</v>
      </c>
      <c r="S2517" s="116" t="s">
        <v>39</v>
      </c>
      <c r="T2517" s="104"/>
      <c r="U2517" s="116"/>
      <c r="V2517" s="104"/>
      <c r="W2517" s="116"/>
    </row>
    <row r="2518">
      <c r="A2518" s="114" t="s">
        <v>39</v>
      </c>
      <c r="B2518" s="115"/>
      <c r="C2518" s="116"/>
      <c r="D2518" s="116"/>
      <c r="E2518" s="116" t="str">
        <f>IFERROR(__xludf.DUMMYFUNCTION("""COMPUTED_VALUE"""),"")</f>
        <v/>
      </c>
      <c r="F2518" s="117" t="s">
        <v>39</v>
      </c>
      <c r="G2518" s="116"/>
      <c r="H2518" s="117"/>
      <c r="I2518" s="117"/>
      <c r="J2518" s="117"/>
      <c r="K2518" s="117"/>
      <c r="L2518" s="116"/>
      <c r="M2518" s="117"/>
      <c r="N2518" s="118" t="str">
        <f>IFERROR(__xludf.DUMMYFUNCTION("""COMPUTED_VALUE"""),"")</f>
        <v/>
      </c>
      <c r="O2518" s="116"/>
      <c r="P2518" s="116"/>
      <c r="Q2518" s="116"/>
      <c r="R2518" s="116" t="s">
        <v>39</v>
      </c>
      <c r="S2518" s="116" t="s">
        <v>39</v>
      </c>
      <c r="T2518" s="104"/>
      <c r="U2518" s="116"/>
      <c r="V2518" s="104"/>
      <c r="W2518" s="116"/>
    </row>
    <row r="2519">
      <c r="A2519" s="114" t="s">
        <v>39</v>
      </c>
      <c r="B2519" s="115"/>
      <c r="C2519" s="116"/>
      <c r="D2519" s="116"/>
      <c r="E2519" s="116" t="str">
        <f>IFERROR(__xludf.DUMMYFUNCTION("""COMPUTED_VALUE"""),"")</f>
        <v/>
      </c>
      <c r="F2519" s="117" t="s">
        <v>39</v>
      </c>
      <c r="G2519" s="116"/>
      <c r="H2519" s="117"/>
      <c r="I2519" s="117"/>
      <c r="J2519" s="117"/>
      <c r="K2519" s="117"/>
      <c r="L2519" s="116"/>
      <c r="M2519" s="117"/>
      <c r="N2519" s="118" t="str">
        <f>IFERROR(__xludf.DUMMYFUNCTION("""COMPUTED_VALUE"""),"")</f>
        <v/>
      </c>
      <c r="O2519" s="116"/>
      <c r="P2519" s="116"/>
      <c r="Q2519" s="116"/>
      <c r="R2519" s="116" t="s">
        <v>39</v>
      </c>
      <c r="S2519" s="116" t="s">
        <v>39</v>
      </c>
      <c r="T2519" s="104"/>
      <c r="U2519" s="116"/>
      <c r="V2519" s="104"/>
      <c r="W2519" s="116"/>
    </row>
    <row r="2520">
      <c r="A2520" s="114" t="s">
        <v>39</v>
      </c>
      <c r="B2520" s="115"/>
      <c r="C2520" s="116"/>
      <c r="D2520" s="116"/>
      <c r="E2520" s="116" t="str">
        <f>IFERROR(__xludf.DUMMYFUNCTION("""COMPUTED_VALUE"""),"")</f>
        <v/>
      </c>
      <c r="F2520" s="117" t="s">
        <v>39</v>
      </c>
      <c r="G2520" s="116"/>
      <c r="H2520" s="117"/>
      <c r="I2520" s="117"/>
      <c r="J2520" s="117"/>
      <c r="K2520" s="117"/>
      <c r="L2520" s="116"/>
      <c r="M2520" s="117"/>
      <c r="N2520" s="118" t="str">
        <f>IFERROR(__xludf.DUMMYFUNCTION("""COMPUTED_VALUE"""),"")</f>
        <v/>
      </c>
      <c r="O2520" s="116"/>
      <c r="P2520" s="116"/>
      <c r="Q2520" s="116"/>
      <c r="R2520" s="116" t="s">
        <v>39</v>
      </c>
      <c r="S2520" s="116" t="s">
        <v>39</v>
      </c>
      <c r="T2520" s="104"/>
      <c r="U2520" s="116"/>
      <c r="V2520" s="104"/>
      <c r="W2520" s="116"/>
    </row>
    <row r="2521">
      <c r="A2521" s="114" t="s">
        <v>39</v>
      </c>
      <c r="B2521" s="115"/>
      <c r="C2521" s="116"/>
      <c r="D2521" s="116"/>
      <c r="E2521" s="116" t="str">
        <f>IFERROR(__xludf.DUMMYFUNCTION("""COMPUTED_VALUE"""),"")</f>
        <v/>
      </c>
      <c r="F2521" s="117" t="s">
        <v>39</v>
      </c>
      <c r="G2521" s="116"/>
      <c r="H2521" s="117"/>
      <c r="I2521" s="117"/>
      <c r="J2521" s="117"/>
      <c r="K2521" s="117"/>
      <c r="L2521" s="116"/>
      <c r="M2521" s="117"/>
      <c r="N2521" s="118" t="str">
        <f>IFERROR(__xludf.DUMMYFUNCTION("""COMPUTED_VALUE"""),"")</f>
        <v/>
      </c>
      <c r="O2521" s="116"/>
      <c r="P2521" s="116"/>
      <c r="Q2521" s="116"/>
      <c r="R2521" s="116" t="s">
        <v>39</v>
      </c>
      <c r="S2521" s="116" t="s">
        <v>39</v>
      </c>
      <c r="T2521" s="104"/>
      <c r="U2521" s="116"/>
      <c r="V2521" s="104"/>
      <c r="W2521" s="116"/>
    </row>
    <row r="2522">
      <c r="A2522" s="114" t="s">
        <v>39</v>
      </c>
      <c r="B2522" s="115"/>
      <c r="C2522" s="116"/>
      <c r="D2522" s="116"/>
      <c r="E2522" s="116" t="str">
        <f>IFERROR(__xludf.DUMMYFUNCTION("""COMPUTED_VALUE"""),"")</f>
        <v/>
      </c>
      <c r="F2522" s="117" t="s">
        <v>39</v>
      </c>
      <c r="G2522" s="116"/>
      <c r="H2522" s="117"/>
      <c r="I2522" s="117"/>
      <c r="J2522" s="117"/>
      <c r="K2522" s="117"/>
      <c r="L2522" s="116"/>
      <c r="M2522" s="117"/>
      <c r="N2522" s="118" t="str">
        <f>IFERROR(__xludf.DUMMYFUNCTION("""COMPUTED_VALUE"""),"")</f>
        <v/>
      </c>
      <c r="O2522" s="116"/>
      <c r="P2522" s="116"/>
      <c r="Q2522" s="116"/>
      <c r="R2522" s="116" t="s">
        <v>39</v>
      </c>
      <c r="S2522" s="116" t="s">
        <v>39</v>
      </c>
      <c r="T2522" s="104"/>
      <c r="U2522" s="116"/>
      <c r="V2522" s="104"/>
      <c r="W2522" s="116"/>
    </row>
    <row r="2523">
      <c r="A2523" s="114" t="s">
        <v>39</v>
      </c>
      <c r="B2523" s="115"/>
      <c r="C2523" s="116"/>
      <c r="D2523" s="116"/>
      <c r="E2523" s="116" t="str">
        <f>IFERROR(__xludf.DUMMYFUNCTION("""COMPUTED_VALUE"""),"")</f>
        <v/>
      </c>
      <c r="F2523" s="117" t="s">
        <v>39</v>
      </c>
      <c r="G2523" s="116"/>
      <c r="H2523" s="117"/>
      <c r="I2523" s="117"/>
      <c r="J2523" s="117"/>
      <c r="K2523" s="117"/>
      <c r="L2523" s="116"/>
      <c r="M2523" s="117"/>
      <c r="N2523" s="118" t="str">
        <f>IFERROR(__xludf.DUMMYFUNCTION("""COMPUTED_VALUE"""),"")</f>
        <v/>
      </c>
      <c r="O2523" s="116"/>
      <c r="P2523" s="116"/>
      <c r="Q2523" s="116"/>
      <c r="R2523" s="116" t="s">
        <v>39</v>
      </c>
      <c r="S2523" s="116" t="s">
        <v>39</v>
      </c>
      <c r="T2523" s="104"/>
      <c r="U2523" s="116"/>
      <c r="V2523" s="104"/>
      <c r="W2523" s="116"/>
    </row>
    <row r="2524">
      <c r="A2524" s="114" t="s">
        <v>39</v>
      </c>
      <c r="B2524" s="115"/>
      <c r="C2524" s="116"/>
      <c r="D2524" s="116"/>
      <c r="E2524" s="116" t="str">
        <f>IFERROR(__xludf.DUMMYFUNCTION("""COMPUTED_VALUE"""),"")</f>
        <v/>
      </c>
      <c r="F2524" s="117" t="s">
        <v>39</v>
      </c>
      <c r="G2524" s="116"/>
      <c r="H2524" s="117"/>
      <c r="I2524" s="117"/>
      <c r="J2524" s="117"/>
      <c r="K2524" s="117"/>
      <c r="L2524" s="116"/>
      <c r="M2524" s="117"/>
      <c r="N2524" s="118" t="str">
        <f>IFERROR(__xludf.DUMMYFUNCTION("""COMPUTED_VALUE"""),"")</f>
        <v/>
      </c>
      <c r="O2524" s="116"/>
      <c r="P2524" s="116"/>
      <c r="Q2524" s="116"/>
      <c r="R2524" s="116" t="s">
        <v>39</v>
      </c>
      <c r="S2524" s="116" t="s">
        <v>39</v>
      </c>
      <c r="T2524" s="104"/>
      <c r="U2524" s="116"/>
      <c r="V2524" s="104"/>
      <c r="W2524" s="116"/>
    </row>
    <row r="2525">
      <c r="A2525" s="114" t="s">
        <v>39</v>
      </c>
      <c r="B2525" s="115"/>
      <c r="C2525" s="116"/>
      <c r="D2525" s="116"/>
      <c r="E2525" s="116" t="str">
        <f>IFERROR(__xludf.DUMMYFUNCTION("""COMPUTED_VALUE"""),"")</f>
        <v/>
      </c>
      <c r="F2525" s="117" t="s">
        <v>39</v>
      </c>
      <c r="G2525" s="116"/>
      <c r="H2525" s="117"/>
      <c r="I2525" s="117"/>
      <c r="J2525" s="117"/>
      <c r="K2525" s="117"/>
      <c r="L2525" s="116"/>
      <c r="M2525" s="117"/>
      <c r="N2525" s="118" t="str">
        <f>IFERROR(__xludf.DUMMYFUNCTION("""COMPUTED_VALUE"""),"")</f>
        <v/>
      </c>
      <c r="O2525" s="116"/>
      <c r="P2525" s="116"/>
      <c r="Q2525" s="116"/>
      <c r="R2525" s="116" t="s">
        <v>39</v>
      </c>
      <c r="S2525" s="116" t="s">
        <v>39</v>
      </c>
      <c r="T2525" s="104"/>
      <c r="U2525" s="116"/>
      <c r="V2525" s="104"/>
      <c r="W2525" s="116"/>
    </row>
    <row r="2526">
      <c r="A2526" s="114" t="s">
        <v>39</v>
      </c>
      <c r="B2526" s="115"/>
      <c r="C2526" s="116"/>
      <c r="D2526" s="116"/>
      <c r="E2526" s="116" t="str">
        <f>IFERROR(__xludf.DUMMYFUNCTION("""COMPUTED_VALUE"""),"")</f>
        <v/>
      </c>
      <c r="F2526" s="117" t="s">
        <v>39</v>
      </c>
      <c r="G2526" s="116"/>
      <c r="H2526" s="117"/>
      <c r="I2526" s="117"/>
      <c r="J2526" s="117"/>
      <c r="K2526" s="117"/>
      <c r="L2526" s="116"/>
      <c r="M2526" s="117"/>
      <c r="N2526" s="118" t="str">
        <f>IFERROR(__xludf.DUMMYFUNCTION("""COMPUTED_VALUE"""),"")</f>
        <v/>
      </c>
      <c r="O2526" s="116"/>
      <c r="P2526" s="116"/>
      <c r="Q2526" s="116"/>
      <c r="R2526" s="116" t="s">
        <v>39</v>
      </c>
      <c r="S2526" s="116" t="s">
        <v>39</v>
      </c>
      <c r="T2526" s="104"/>
      <c r="U2526" s="116"/>
      <c r="V2526" s="104"/>
      <c r="W2526" s="116"/>
    </row>
    <row r="2527">
      <c r="A2527" s="114" t="s">
        <v>39</v>
      </c>
      <c r="B2527" s="115"/>
      <c r="C2527" s="116"/>
      <c r="D2527" s="116"/>
      <c r="E2527" s="116" t="str">
        <f>IFERROR(__xludf.DUMMYFUNCTION("""COMPUTED_VALUE"""),"")</f>
        <v/>
      </c>
      <c r="F2527" s="117" t="s">
        <v>39</v>
      </c>
      <c r="G2527" s="116"/>
      <c r="H2527" s="117"/>
      <c r="I2527" s="117"/>
      <c r="J2527" s="117"/>
      <c r="K2527" s="117"/>
      <c r="L2527" s="116"/>
      <c r="M2527" s="117"/>
      <c r="N2527" s="118" t="str">
        <f>IFERROR(__xludf.DUMMYFUNCTION("""COMPUTED_VALUE"""),"")</f>
        <v/>
      </c>
      <c r="O2527" s="116"/>
      <c r="P2527" s="116"/>
      <c r="Q2527" s="116"/>
      <c r="R2527" s="116" t="s">
        <v>39</v>
      </c>
      <c r="S2527" s="116" t="s">
        <v>39</v>
      </c>
      <c r="T2527" s="104"/>
      <c r="U2527" s="116"/>
      <c r="V2527" s="104"/>
      <c r="W2527" s="116"/>
    </row>
    <row r="2528">
      <c r="A2528" s="114" t="s">
        <v>39</v>
      </c>
      <c r="B2528" s="115"/>
      <c r="C2528" s="116"/>
      <c r="D2528" s="116"/>
      <c r="E2528" s="116" t="str">
        <f>IFERROR(__xludf.DUMMYFUNCTION("""COMPUTED_VALUE"""),"")</f>
        <v/>
      </c>
      <c r="F2528" s="117" t="s">
        <v>39</v>
      </c>
      <c r="G2528" s="116"/>
      <c r="H2528" s="117"/>
      <c r="I2528" s="117"/>
      <c r="J2528" s="117"/>
      <c r="K2528" s="117"/>
      <c r="L2528" s="116"/>
      <c r="M2528" s="117"/>
      <c r="N2528" s="118" t="str">
        <f>IFERROR(__xludf.DUMMYFUNCTION("""COMPUTED_VALUE"""),"")</f>
        <v/>
      </c>
      <c r="O2528" s="116"/>
      <c r="P2528" s="116"/>
      <c r="Q2528" s="116"/>
      <c r="R2528" s="116" t="s">
        <v>39</v>
      </c>
      <c r="S2528" s="116" t="s">
        <v>39</v>
      </c>
      <c r="T2528" s="104"/>
      <c r="U2528" s="116"/>
      <c r="V2528" s="104"/>
      <c r="W2528" s="116"/>
    </row>
    <row r="2529">
      <c r="A2529" s="114" t="s">
        <v>39</v>
      </c>
      <c r="B2529" s="115"/>
      <c r="C2529" s="116"/>
      <c r="D2529" s="116"/>
      <c r="E2529" s="116" t="str">
        <f>IFERROR(__xludf.DUMMYFUNCTION("""COMPUTED_VALUE"""),"")</f>
        <v/>
      </c>
      <c r="F2529" s="117" t="s">
        <v>39</v>
      </c>
      <c r="G2529" s="116"/>
      <c r="H2529" s="117"/>
      <c r="I2529" s="117"/>
      <c r="J2529" s="117"/>
      <c r="K2529" s="117"/>
      <c r="L2529" s="116"/>
      <c r="M2529" s="117"/>
      <c r="N2529" s="118" t="str">
        <f>IFERROR(__xludf.DUMMYFUNCTION("""COMPUTED_VALUE"""),"")</f>
        <v/>
      </c>
      <c r="O2529" s="116"/>
      <c r="P2529" s="116"/>
      <c r="Q2529" s="116"/>
      <c r="R2529" s="116" t="s">
        <v>39</v>
      </c>
      <c r="S2529" s="116" t="s">
        <v>39</v>
      </c>
      <c r="T2529" s="104"/>
      <c r="U2529" s="116"/>
      <c r="V2529" s="104"/>
      <c r="W2529" s="116"/>
    </row>
    <row r="2530">
      <c r="A2530" s="114" t="s">
        <v>39</v>
      </c>
      <c r="B2530" s="115"/>
      <c r="C2530" s="116"/>
      <c r="D2530" s="116"/>
      <c r="E2530" s="116" t="str">
        <f>IFERROR(__xludf.DUMMYFUNCTION("""COMPUTED_VALUE"""),"")</f>
        <v/>
      </c>
      <c r="F2530" s="117" t="s">
        <v>39</v>
      </c>
      <c r="G2530" s="116"/>
      <c r="H2530" s="117"/>
      <c r="I2530" s="117"/>
      <c r="J2530" s="117"/>
      <c r="K2530" s="117"/>
      <c r="L2530" s="116"/>
      <c r="M2530" s="117"/>
      <c r="N2530" s="118" t="str">
        <f>IFERROR(__xludf.DUMMYFUNCTION("""COMPUTED_VALUE"""),"")</f>
        <v/>
      </c>
      <c r="O2530" s="116"/>
      <c r="P2530" s="116"/>
      <c r="Q2530" s="116"/>
      <c r="R2530" s="116" t="s">
        <v>39</v>
      </c>
      <c r="S2530" s="116" t="s">
        <v>39</v>
      </c>
      <c r="T2530" s="104"/>
      <c r="U2530" s="116"/>
      <c r="V2530" s="104"/>
      <c r="W2530" s="116"/>
    </row>
    <row r="2531">
      <c r="A2531" s="114" t="s">
        <v>39</v>
      </c>
      <c r="B2531" s="115"/>
      <c r="C2531" s="116"/>
      <c r="D2531" s="116"/>
      <c r="E2531" s="116" t="str">
        <f>IFERROR(__xludf.DUMMYFUNCTION("""COMPUTED_VALUE"""),"")</f>
        <v/>
      </c>
      <c r="F2531" s="117" t="s">
        <v>39</v>
      </c>
      <c r="G2531" s="116"/>
      <c r="H2531" s="117"/>
      <c r="I2531" s="117"/>
      <c r="J2531" s="117"/>
      <c r="K2531" s="117"/>
      <c r="L2531" s="116"/>
      <c r="M2531" s="117"/>
      <c r="N2531" s="118" t="str">
        <f>IFERROR(__xludf.DUMMYFUNCTION("""COMPUTED_VALUE"""),"")</f>
        <v/>
      </c>
      <c r="O2531" s="116"/>
      <c r="P2531" s="116"/>
      <c r="Q2531" s="116"/>
      <c r="R2531" s="116" t="s">
        <v>39</v>
      </c>
      <c r="S2531" s="116" t="s">
        <v>39</v>
      </c>
      <c r="T2531" s="104"/>
      <c r="U2531" s="116"/>
      <c r="V2531" s="104"/>
      <c r="W2531" s="116"/>
    </row>
    <row r="2532">
      <c r="A2532" s="114" t="s">
        <v>39</v>
      </c>
      <c r="B2532" s="115"/>
      <c r="C2532" s="116"/>
      <c r="D2532" s="116"/>
      <c r="E2532" s="116" t="str">
        <f>IFERROR(__xludf.DUMMYFUNCTION("""COMPUTED_VALUE"""),"")</f>
        <v/>
      </c>
      <c r="F2532" s="117" t="s">
        <v>39</v>
      </c>
      <c r="G2532" s="116"/>
      <c r="H2532" s="117"/>
      <c r="I2532" s="117"/>
      <c r="J2532" s="117"/>
      <c r="K2532" s="117"/>
      <c r="L2532" s="116"/>
      <c r="M2532" s="117"/>
      <c r="N2532" s="118" t="str">
        <f>IFERROR(__xludf.DUMMYFUNCTION("""COMPUTED_VALUE"""),"")</f>
        <v/>
      </c>
      <c r="O2532" s="116"/>
      <c r="P2532" s="116"/>
      <c r="Q2532" s="116"/>
      <c r="R2532" s="116" t="s">
        <v>39</v>
      </c>
      <c r="S2532" s="116" t="s">
        <v>39</v>
      </c>
      <c r="T2532" s="104"/>
      <c r="U2532" s="116"/>
      <c r="V2532" s="104"/>
      <c r="W2532" s="116"/>
    </row>
    <row r="2533">
      <c r="A2533" s="114" t="s">
        <v>39</v>
      </c>
      <c r="B2533" s="115"/>
      <c r="C2533" s="116"/>
      <c r="D2533" s="116"/>
      <c r="E2533" s="116" t="str">
        <f>IFERROR(__xludf.DUMMYFUNCTION("""COMPUTED_VALUE"""),"")</f>
        <v/>
      </c>
      <c r="F2533" s="117" t="s">
        <v>39</v>
      </c>
      <c r="G2533" s="116"/>
      <c r="H2533" s="117"/>
      <c r="I2533" s="117"/>
      <c r="J2533" s="117"/>
      <c r="K2533" s="117"/>
      <c r="L2533" s="116"/>
      <c r="M2533" s="117"/>
      <c r="N2533" s="118" t="str">
        <f>IFERROR(__xludf.DUMMYFUNCTION("""COMPUTED_VALUE"""),"")</f>
        <v/>
      </c>
      <c r="O2533" s="116"/>
      <c r="P2533" s="116"/>
      <c r="Q2533" s="116"/>
      <c r="R2533" s="116" t="s">
        <v>39</v>
      </c>
      <c r="S2533" s="116" t="s">
        <v>39</v>
      </c>
      <c r="T2533" s="104"/>
      <c r="U2533" s="116"/>
      <c r="V2533" s="104"/>
      <c r="W2533" s="116"/>
    </row>
    <row r="2534">
      <c r="A2534" s="114" t="s">
        <v>39</v>
      </c>
      <c r="B2534" s="115"/>
      <c r="C2534" s="116"/>
      <c r="D2534" s="116"/>
      <c r="E2534" s="116" t="str">
        <f>IFERROR(__xludf.DUMMYFUNCTION("""COMPUTED_VALUE"""),"")</f>
        <v/>
      </c>
      <c r="F2534" s="117" t="s">
        <v>39</v>
      </c>
      <c r="G2534" s="116"/>
      <c r="H2534" s="117"/>
      <c r="I2534" s="117"/>
      <c r="J2534" s="117"/>
      <c r="K2534" s="117"/>
      <c r="L2534" s="116"/>
      <c r="M2534" s="117"/>
      <c r="N2534" s="118" t="str">
        <f>IFERROR(__xludf.DUMMYFUNCTION("""COMPUTED_VALUE"""),"")</f>
        <v/>
      </c>
      <c r="O2534" s="116"/>
      <c r="P2534" s="116"/>
      <c r="Q2534" s="116"/>
      <c r="R2534" s="116" t="s">
        <v>39</v>
      </c>
      <c r="S2534" s="116" t="s">
        <v>39</v>
      </c>
      <c r="T2534" s="104"/>
      <c r="U2534" s="116"/>
      <c r="V2534" s="104"/>
      <c r="W2534" s="116"/>
    </row>
    <row r="2535">
      <c r="A2535" s="114" t="s">
        <v>39</v>
      </c>
      <c r="B2535" s="115"/>
      <c r="C2535" s="116"/>
      <c r="D2535" s="116"/>
      <c r="E2535" s="116" t="str">
        <f>IFERROR(__xludf.DUMMYFUNCTION("""COMPUTED_VALUE"""),"")</f>
        <v/>
      </c>
      <c r="F2535" s="117" t="s">
        <v>39</v>
      </c>
      <c r="G2535" s="116"/>
      <c r="H2535" s="117"/>
      <c r="I2535" s="117"/>
      <c r="J2535" s="117"/>
      <c r="K2535" s="117"/>
      <c r="L2535" s="116"/>
      <c r="M2535" s="117"/>
      <c r="N2535" s="118" t="str">
        <f>IFERROR(__xludf.DUMMYFUNCTION("""COMPUTED_VALUE"""),"")</f>
        <v/>
      </c>
      <c r="O2535" s="116"/>
      <c r="P2535" s="116"/>
      <c r="Q2535" s="116"/>
      <c r="R2535" s="116" t="s">
        <v>39</v>
      </c>
      <c r="S2535" s="116" t="s">
        <v>39</v>
      </c>
      <c r="T2535" s="104"/>
      <c r="U2535" s="116"/>
      <c r="V2535" s="104"/>
      <c r="W2535" s="116"/>
    </row>
    <row r="2536">
      <c r="A2536" s="114" t="s">
        <v>39</v>
      </c>
      <c r="B2536" s="115"/>
      <c r="C2536" s="116"/>
      <c r="D2536" s="116"/>
      <c r="E2536" s="116" t="str">
        <f>IFERROR(__xludf.DUMMYFUNCTION("""COMPUTED_VALUE"""),"")</f>
        <v/>
      </c>
      <c r="F2536" s="117" t="s">
        <v>39</v>
      </c>
      <c r="G2536" s="116"/>
      <c r="H2536" s="117"/>
      <c r="I2536" s="117"/>
      <c r="J2536" s="117"/>
      <c r="K2536" s="117"/>
      <c r="L2536" s="116"/>
      <c r="M2536" s="117"/>
      <c r="N2536" s="118" t="str">
        <f>IFERROR(__xludf.DUMMYFUNCTION("""COMPUTED_VALUE"""),"")</f>
        <v/>
      </c>
      <c r="O2536" s="116"/>
      <c r="P2536" s="116"/>
      <c r="Q2536" s="116"/>
      <c r="R2536" s="116" t="s">
        <v>39</v>
      </c>
      <c r="S2536" s="116" t="s">
        <v>39</v>
      </c>
      <c r="T2536" s="104"/>
      <c r="U2536" s="116"/>
      <c r="V2536" s="104"/>
      <c r="W2536" s="116"/>
    </row>
    <row r="2537">
      <c r="A2537" s="114" t="s">
        <v>39</v>
      </c>
      <c r="B2537" s="115"/>
      <c r="C2537" s="116"/>
      <c r="D2537" s="116"/>
      <c r="E2537" s="116" t="str">
        <f>IFERROR(__xludf.DUMMYFUNCTION("""COMPUTED_VALUE"""),"")</f>
        <v/>
      </c>
      <c r="F2537" s="117" t="s">
        <v>39</v>
      </c>
      <c r="G2537" s="116"/>
      <c r="H2537" s="117"/>
      <c r="I2537" s="117"/>
      <c r="J2537" s="117"/>
      <c r="K2537" s="117"/>
      <c r="L2537" s="116"/>
      <c r="M2537" s="117"/>
      <c r="N2537" s="118" t="str">
        <f>IFERROR(__xludf.DUMMYFUNCTION("""COMPUTED_VALUE"""),"")</f>
        <v/>
      </c>
      <c r="O2537" s="116"/>
      <c r="P2537" s="116"/>
      <c r="Q2537" s="116"/>
      <c r="R2537" s="116" t="s">
        <v>39</v>
      </c>
      <c r="S2537" s="116" t="s">
        <v>39</v>
      </c>
      <c r="T2537" s="104"/>
      <c r="U2537" s="116"/>
      <c r="V2537" s="104"/>
      <c r="W2537" s="116"/>
    </row>
    <row r="2538">
      <c r="A2538" s="114" t="s">
        <v>39</v>
      </c>
      <c r="B2538" s="115"/>
      <c r="C2538" s="116"/>
      <c r="D2538" s="116"/>
      <c r="E2538" s="116" t="str">
        <f>IFERROR(__xludf.DUMMYFUNCTION("""COMPUTED_VALUE"""),"")</f>
        <v/>
      </c>
      <c r="F2538" s="117" t="s">
        <v>39</v>
      </c>
      <c r="G2538" s="116"/>
      <c r="H2538" s="117"/>
      <c r="I2538" s="117"/>
      <c r="J2538" s="117"/>
      <c r="K2538" s="117"/>
      <c r="L2538" s="116"/>
      <c r="M2538" s="117"/>
      <c r="N2538" s="118" t="str">
        <f>IFERROR(__xludf.DUMMYFUNCTION("""COMPUTED_VALUE"""),"")</f>
        <v/>
      </c>
      <c r="O2538" s="116"/>
      <c r="P2538" s="116"/>
      <c r="Q2538" s="116"/>
      <c r="R2538" s="116" t="s">
        <v>39</v>
      </c>
      <c r="S2538" s="116" t="s">
        <v>39</v>
      </c>
      <c r="T2538" s="104"/>
      <c r="U2538" s="116"/>
      <c r="V2538" s="104"/>
      <c r="W2538" s="116"/>
    </row>
    <row r="2539">
      <c r="A2539" s="114" t="s">
        <v>39</v>
      </c>
      <c r="B2539" s="115"/>
      <c r="C2539" s="116"/>
      <c r="D2539" s="116"/>
      <c r="E2539" s="116" t="str">
        <f>IFERROR(__xludf.DUMMYFUNCTION("""COMPUTED_VALUE"""),"")</f>
        <v/>
      </c>
      <c r="F2539" s="117" t="s">
        <v>39</v>
      </c>
      <c r="G2539" s="116"/>
      <c r="H2539" s="117"/>
      <c r="I2539" s="117"/>
      <c r="J2539" s="117"/>
      <c r="K2539" s="117"/>
      <c r="L2539" s="116"/>
      <c r="M2539" s="117"/>
      <c r="N2539" s="118" t="str">
        <f>IFERROR(__xludf.DUMMYFUNCTION("""COMPUTED_VALUE"""),"")</f>
        <v/>
      </c>
      <c r="O2539" s="116"/>
      <c r="P2539" s="116"/>
      <c r="Q2539" s="116"/>
      <c r="R2539" s="116" t="s">
        <v>39</v>
      </c>
      <c r="S2539" s="116" t="s">
        <v>39</v>
      </c>
      <c r="T2539" s="104"/>
      <c r="U2539" s="116"/>
      <c r="V2539" s="104"/>
      <c r="W2539" s="116"/>
    </row>
    <row r="2540">
      <c r="A2540" s="114" t="s">
        <v>39</v>
      </c>
      <c r="B2540" s="115"/>
      <c r="C2540" s="116"/>
      <c r="D2540" s="116"/>
      <c r="E2540" s="116" t="str">
        <f>IFERROR(__xludf.DUMMYFUNCTION("""COMPUTED_VALUE"""),"")</f>
        <v/>
      </c>
      <c r="F2540" s="117" t="s">
        <v>39</v>
      </c>
      <c r="G2540" s="116"/>
      <c r="H2540" s="117"/>
      <c r="I2540" s="117"/>
      <c r="J2540" s="117"/>
      <c r="K2540" s="117"/>
      <c r="L2540" s="116"/>
      <c r="M2540" s="117"/>
      <c r="N2540" s="118" t="str">
        <f>IFERROR(__xludf.DUMMYFUNCTION("""COMPUTED_VALUE"""),"")</f>
        <v/>
      </c>
      <c r="O2540" s="116"/>
      <c r="P2540" s="116"/>
      <c r="Q2540" s="116"/>
      <c r="R2540" s="116" t="s">
        <v>39</v>
      </c>
      <c r="S2540" s="116" t="s">
        <v>39</v>
      </c>
      <c r="T2540" s="104"/>
      <c r="U2540" s="116"/>
      <c r="V2540" s="104"/>
      <c r="W2540" s="116"/>
    </row>
    <row r="2541">
      <c r="A2541" s="114" t="s">
        <v>39</v>
      </c>
      <c r="B2541" s="115"/>
      <c r="C2541" s="116"/>
      <c r="D2541" s="116"/>
      <c r="E2541" s="116" t="str">
        <f>IFERROR(__xludf.DUMMYFUNCTION("""COMPUTED_VALUE"""),"")</f>
        <v/>
      </c>
      <c r="F2541" s="117" t="s">
        <v>39</v>
      </c>
      <c r="G2541" s="116"/>
      <c r="H2541" s="117"/>
      <c r="I2541" s="117"/>
      <c r="J2541" s="117"/>
      <c r="K2541" s="117"/>
      <c r="L2541" s="116"/>
      <c r="M2541" s="117"/>
      <c r="N2541" s="118" t="str">
        <f>IFERROR(__xludf.DUMMYFUNCTION("""COMPUTED_VALUE"""),"")</f>
        <v/>
      </c>
      <c r="O2541" s="116"/>
      <c r="P2541" s="116"/>
      <c r="Q2541" s="116"/>
      <c r="R2541" s="116" t="s">
        <v>39</v>
      </c>
      <c r="S2541" s="116" t="s">
        <v>39</v>
      </c>
      <c r="T2541" s="104"/>
      <c r="U2541" s="116"/>
      <c r="V2541" s="104"/>
      <c r="W2541" s="116"/>
    </row>
    <row r="2542">
      <c r="A2542" s="114" t="s">
        <v>39</v>
      </c>
      <c r="B2542" s="115"/>
      <c r="C2542" s="116"/>
      <c r="D2542" s="116"/>
      <c r="E2542" s="116" t="str">
        <f>IFERROR(__xludf.DUMMYFUNCTION("""COMPUTED_VALUE"""),"")</f>
        <v/>
      </c>
      <c r="F2542" s="117" t="s">
        <v>39</v>
      </c>
      <c r="G2542" s="116"/>
      <c r="H2542" s="117"/>
      <c r="I2542" s="117"/>
      <c r="J2542" s="117"/>
      <c r="K2542" s="117"/>
      <c r="L2542" s="116"/>
      <c r="M2542" s="117"/>
      <c r="N2542" s="118" t="str">
        <f>IFERROR(__xludf.DUMMYFUNCTION("""COMPUTED_VALUE"""),"")</f>
        <v/>
      </c>
      <c r="O2542" s="116"/>
      <c r="P2542" s="116"/>
      <c r="Q2542" s="116"/>
      <c r="R2542" s="116" t="s">
        <v>39</v>
      </c>
      <c r="S2542" s="116" t="s">
        <v>39</v>
      </c>
      <c r="T2542" s="104"/>
      <c r="U2542" s="116"/>
      <c r="V2542" s="104"/>
      <c r="W2542" s="116"/>
    </row>
    <row r="2543">
      <c r="A2543" s="114" t="s">
        <v>39</v>
      </c>
      <c r="B2543" s="115"/>
      <c r="C2543" s="116"/>
      <c r="D2543" s="116"/>
      <c r="E2543" s="116" t="str">
        <f>IFERROR(__xludf.DUMMYFUNCTION("""COMPUTED_VALUE"""),"")</f>
        <v/>
      </c>
      <c r="F2543" s="117" t="s">
        <v>39</v>
      </c>
      <c r="G2543" s="116"/>
      <c r="H2543" s="117"/>
      <c r="I2543" s="117"/>
      <c r="J2543" s="117"/>
      <c r="K2543" s="117"/>
      <c r="L2543" s="116"/>
      <c r="M2543" s="117"/>
      <c r="N2543" s="118" t="str">
        <f>IFERROR(__xludf.DUMMYFUNCTION("""COMPUTED_VALUE"""),"")</f>
        <v/>
      </c>
      <c r="O2543" s="116"/>
      <c r="P2543" s="116"/>
      <c r="Q2543" s="116"/>
      <c r="R2543" s="116" t="s">
        <v>39</v>
      </c>
      <c r="S2543" s="116" t="s">
        <v>39</v>
      </c>
      <c r="T2543" s="104"/>
      <c r="U2543" s="116"/>
      <c r="V2543" s="104"/>
      <c r="W2543" s="116"/>
    </row>
    <row r="2544">
      <c r="A2544" s="114" t="s">
        <v>39</v>
      </c>
      <c r="B2544" s="115"/>
      <c r="C2544" s="116"/>
      <c r="D2544" s="116"/>
      <c r="E2544" s="116" t="str">
        <f>IFERROR(__xludf.DUMMYFUNCTION("""COMPUTED_VALUE"""),"")</f>
        <v/>
      </c>
      <c r="F2544" s="117" t="s">
        <v>39</v>
      </c>
      <c r="G2544" s="116"/>
      <c r="H2544" s="117"/>
      <c r="I2544" s="117"/>
      <c r="J2544" s="117"/>
      <c r="K2544" s="117"/>
      <c r="L2544" s="116"/>
      <c r="M2544" s="117"/>
      <c r="N2544" s="118" t="str">
        <f>IFERROR(__xludf.DUMMYFUNCTION("""COMPUTED_VALUE"""),"")</f>
        <v/>
      </c>
      <c r="O2544" s="116"/>
      <c r="P2544" s="116"/>
      <c r="Q2544" s="116"/>
      <c r="R2544" s="116" t="s">
        <v>39</v>
      </c>
      <c r="S2544" s="116" t="s">
        <v>39</v>
      </c>
      <c r="T2544" s="104"/>
      <c r="U2544" s="116"/>
      <c r="V2544" s="104"/>
      <c r="W2544" s="116"/>
    </row>
    <row r="2545">
      <c r="A2545" s="114" t="s">
        <v>39</v>
      </c>
      <c r="B2545" s="115"/>
      <c r="C2545" s="116"/>
      <c r="D2545" s="116"/>
      <c r="E2545" s="116" t="str">
        <f>IFERROR(__xludf.DUMMYFUNCTION("""COMPUTED_VALUE"""),"")</f>
        <v/>
      </c>
      <c r="F2545" s="117" t="s">
        <v>39</v>
      </c>
      <c r="G2545" s="116"/>
      <c r="H2545" s="117"/>
      <c r="I2545" s="117"/>
      <c r="J2545" s="117"/>
      <c r="K2545" s="117"/>
      <c r="L2545" s="116"/>
      <c r="M2545" s="117"/>
      <c r="N2545" s="118" t="str">
        <f>IFERROR(__xludf.DUMMYFUNCTION("""COMPUTED_VALUE"""),"")</f>
        <v/>
      </c>
      <c r="O2545" s="116"/>
      <c r="P2545" s="116"/>
      <c r="Q2545" s="116"/>
      <c r="R2545" s="116" t="s">
        <v>39</v>
      </c>
      <c r="S2545" s="116" t="s">
        <v>39</v>
      </c>
      <c r="T2545" s="104"/>
      <c r="U2545" s="116"/>
      <c r="V2545" s="104"/>
      <c r="W2545" s="116"/>
    </row>
    <row r="2546">
      <c r="A2546" s="114" t="s">
        <v>39</v>
      </c>
      <c r="B2546" s="115"/>
      <c r="C2546" s="116"/>
      <c r="D2546" s="116"/>
      <c r="E2546" s="116" t="str">
        <f>IFERROR(__xludf.DUMMYFUNCTION("""COMPUTED_VALUE"""),"")</f>
        <v/>
      </c>
      <c r="F2546" s="117" t="s">
        <v>39</v>
      </c>
      <c r="G2546" s="116"/>
      <c r="H2546" s="117"/>
      <c r="I2546" s="117"/>
      <c r="J2546" s="117"/>
      <c r="K2546" s="117"/>
      <c r="L2546" s="116"/>
      <c r="M2546" s="117"/>
      <c r="N2546" s="118" t="str">
        <f>IFERROR(__xludf.DUMMYFUNCTION("""COMPUTED_VALUE"""),"")</f>
        <v/>
      </c>
      <c r="O2546" s="116"/>
      <c r="P2546" s="116"/>
      <c r="Q2546" s="116"/>
      <c r="R2546" s="116" t="s">
        <v>39</v>
      </c>
      <c r="S2546" s="116" t="s">
        <v>39</v>
      </c>
      <c r="T2546" s="104"/>
      <c r="U2546" s="116"/>
      <c r="V2546" s="104"/>
      <c r="W2546" s="116"/>
    </row>
    <row r="2547">
      <c r="A2547" s="114" t="s">
        <v>39</v>
      </c>
      <c r="B2547" s="115"/>
      <c r="C2547" s="116"/>
      <c r="D2547" s="116"/>
      <c r="E2547" s="116" t="str">
        <f>IFERROR(__xludf.DUMMYFUNCTION("""COMPUTED_VALUE"""),"")</f>
        <v/>
      </c>
      <c r="F2547" s="117" t="s">
        <v>39</v>
      </c>
      <c r="G2547" s="116"/>
      <c r="H2547" s="117"/>
      <c r="I2547" s="117"/>
      <c r="J2547" s="117"/>
      <c r="K2547" s="117"/>
      <c r="L2547" s="116"/>
      <c r="M2547" s="117"/>
      <c r="N2547" s="118" t="str">
        <f>IFERROR(__xludf.DUMMYFUNCTION("""COMPUTED_VALUE"""),"")</f>
        <v/>
      </c>
      <c r="O2547" s="116"/>
      <c r="P2547" s="116"/>
      <c r="Q2547" s="116"/>
      <c r="R2547" s="116" t="s">
        <v>39</v>
      </c>
      <c r="S2547" s="116" t="s">
        <v>39</v>
      </c>
      <c r="T2547" s="104"/>
      <c r="U2547" s="116"/>
      <c r="V2547" s="104"/>
      <c r="W2547" s="116"/>
    </row>
    <row r="2548">
      <c r="A2548" s="114" t="s">
        <v>39</v>
      </c>
      <c r="B2548" s="115"/>
      <c r="C2548" s="116"/>
      <c r="D2548" s="116"/>
      <c r="E2548" s="116" t="str">
        <f>IFERROR(__xludf.DUMMYFUNCTION("""COMPUTED_VALUE"""),"")</f>
        <v/>
      </c>
      <c r="F2548" s="117" t="s">
        <v>39</v>
      </c>
      <c r="G2548" s="116"/>
      <c r="H2548" s="117"/>
      <c r="I2548" s="117"/>
      <c r="J2548" s="117"/>
      <c r="K2548" s="117"/>
      <c r="L2548" s="116"/>
      <c r="M2548" s="117"/>
      <c r="N2548" s="118" t="str">
        <f>IFERROR(__xludf.DUMMYFUNCTION("""COMPUTED_VALUE"""),"")</f>
        <v/>
      </c>
      <c r="O2548" s="116"/>
      <c r="P2548" s="116"/>
      <c r="Q2548" s="116"/>
      <c r="R2548" s="116" t="s">
        <v>39</v>
      </c>
      <c r="S2548" s="116" t="s">
        <v>39</v>
      </c>
      <c r="T2548" s="104"/>
      <c r="U2548" s="116"/>
      <c r="V2548" s="104"/>
      <c r="W2548" s="116"/>
    </row>
    <row r="2549">
      <c r="A2549" s="114" t="s">
        <v>39</v>
      </c>
      <c r="B2549" s="115"/>
      <c r="C2549" s="116"/>
      <c r="D2549" s="116"/>
      <c r="E2549" s="116" t="str">
        <f>IFERROR(__xludf.DUMMYFUNCTION("""COMPUTED_VALUE"""),"")</f>
        <v/>
      </c>
      <c r="F2549" s="117" t="s">
        <v>39</v>
      </c>
      <c r="G2549" s="116"/>
      <c r="H2549" s="117"/>
      <c r="I2549" s="117"/>
      <c r="J2549" s="117"/>
      <c r="K2549" s="117"/>
      <c r="L2549" s="116"/>
      <c r="M2549" s="117"/>
      <c r="N2549" s="118" t="str">
        <f>IFERROR(__xludf.DUMMYFUNCTION("""COMPUTED_VALUE"""),"")</f>
        <v/>
      </c>
      <c r="O2549" s="116"/>
      <c r="P2549" s="116"/>
      <c r="Q2549" s="116"/>
      <c r="R2549" s="116" t="s">
        <v>39</v>
      </c>
      <c r="S2549" s="116" t="s">
        <v>39</v>
      </c>
      <c r="T2549" s="104"/>
      <c r="U2549" s="116"/>
      <c r="V2549" s="104"/>
      <c r="W2549" s="116"/>
    </row>
    <row r="2550">
      <c r="A2550" s="114" t="s">
        <v>39</v>
      </c>
      <c r="B2550" s="115"/>
      <c r="C2550" s="116"/>
      <c r="D2550" s="116"/>
      <c r="E2550" s="116" t="str">
        <f>IFERROR(__xludf.DUMMYFUNCTION("""COMPUTED_VALUE"""),"")</f>
        <v/>
      </c>
      <c r="F2550" s="117" t="s">
        <v>39</v>
      </c>
      <c r="G2550" s="116"/>
      <c r="H2550" s="117"/>
      <c r="I2550" s="117"/>
      <c r="J2550" s="117"/>
      <c r="K2550" s="117"/>
      <c r="L2550" s="116"/>
      <c r="M2550" s="117"/>
      <c r="N2550" s="118" t="str">
        <f>IFERROR(__xludf.DUMMYFUNCTION("""COMPUTED_VALUE"""),"")</f>
        <v/>
      </c>
      <c r="O2550" s="116"/>
      <c r="P2550" s="116"/>
      <c r="Q2550" s="116"/>
      <c r="R2550" s="116" t="s">
        <v>39</v>
      </c>
      <c r="S2550" s="116" t="s">
        <v>39</v>
      </c>
      <c r="T2550" s="104"/>
      <c r="U2550" s="116"/>
      <c r="V2550" s="104"/>
      <c r="W2550" s="116"/>
    </row>
    <row r="2551">
      <c r="A2551" s="114" t="s">
        <v>39</v>
      </c>
      <c r="B2551" s="115"/>
      <c r="C2551" s="116"/>
      <c r="D2551" s="116"/>
      <c r="E2551" s="116" t="str">
        <f>IFERROR(__xludf.DUMMYFUNCTION("""COMPUTED_VALUE"""),"")</f>
        <v/>
      </c>
      <c r="F2551" s="117" t="s">
        <v>39</v>
      </c>
      <c r="G2551" s="116"/>
      <c r="H2551" s="117"/>
      <c r="I2551" s="117"/>
      <c r="J2551" s="117"/>
      <c r="K2551" s="117"/>
      <c r="L2551" s="116"/>
      <c r="M2551" s="117"/>
      <c r="N2551" s="118" t="str">
        <f>IFERROR(__xludf.DUMMYFUNCTION("""COMPUTED_VALUE"""),"")</f>
        <v/>
      </c>
      <c r="O2551" s="116"/>
      <c r="P2551" s="116"/>
      <c r="Q2551" s="116"/>
      <c r="R2551" s="116" t="s">
        <v>39</v>
      </c>
      <c r="S2551" s="116" t="s">
        <v>39</v>
      </c>
      <c r="T2551" s="104"/>
      <c r="U2551" s="116"/>
      <c r="V2551" s="104"/>
      <c r="W2551" s="116"/>
    </row>
    <row r="2552">
      <c r="A2552" s="114" t="s">
        <v>39</v>
      </c>
      <c r="B2552" s="115"/>
      <c r="C2552" s="116"/>
      <c r="D2552" s="116"/>
      <c r="E2552" s="116" t="str">
        <f>IFERROR(__xludf.DUMMYFUNCTION("""COMPUTED_VALUE"""),"")</f>
        <v/>
      </c>
      <c r="F2552" s="117" t="s">
        <v>39</v>
      </c>
      <c r="G2552" s="116"/>
      <c r="H2552" s="117"/>
      <c r="I2552" s="117"/>
      <c r="J2552" s="117"/>
      <c r="K2552" s="117"/>
      <c r="L2552" s="116"/>
      <c r="M2552" s="117"/>
      <c r="N2552" s="118" t="str">
        <f>IFERROR(__xludf.DUMMYFUNCTION("""COMPUTED_VALUE"""),"")</f>
        <v/>
      </c>
      <c r="O2552" s="116"/>
      <c r="P2552" s="116"/>
      <c r="Q2552" s="116"/>
      <c r="R2552" s="116" t="s">
        <v>39</v>
      </c>
      <c r="S2552" s="116" t="s">
        <v>39</v>
      </c>
      <c r="T2552" s="104"/>
      <c r="U2552" s="116"/>
      <c r="V2552" s="104"/>
      <c r="W2552" s="116"/>
    </row>
    <row r="2553">
      <c r="A2553" s="114" t="s">
        <v>39</v>
      </c>
      <c r="B2553" s="115"/>
      <c r="C2553" s="116"/>
      <c r="D2553" s="116"/>
      <c r="E2553" s="116" t="str">
        <f>IFERROR(__xludf.DUMMYFUNCTION("""COMPUTED_VALUE"""),"")</f>
        <v/>
      </c>
      <c r="F2553" s="117" t="s">
        <v>39</v>
      </c>
      <c r="G2553" s="116"/>
      <c r="H2553" s="117"/>
      <c r="I2553" s="117"/>
      <c r="J2553" s="117"/>
      <c r="K2553" s="117"/>
      <c r="L2553" s="116"/>
      <c r="M2553" s="117"/>
      <c r="N2553" s="118" t="str">
        <f>IFERROR(__xludf.DUMMYFUNCTION("""COMPUTED_VALUE"""),"")</f>
        <v/>
      </c>
      <c r="O2553" s="116"/>
      <c r="P2553" s="116"/>
      <c r="Q2553" s="116"/>
      <c r="R2553" s="116" t="s">
        <v>39</v>
      </c>
      <c r="S2553" s="116" t="s">
        <v>39</v>
      </c>
      <c r="T2553" s="104"/>
      <c r="U2553" s="116"/>
      <c r="V2553" s="104"/>
      <c r="W2553" s="116"/>
    </row>
    <row r="2554">
      <c r="A2554" s="114" t="s">
        <v>39</v>
      </c>
      <c r="B2554" s="115"/>
      <c r="C2554" s="116"/>
      <c r="D2554" s="116"/>
      <c r="E2554" s="116" t="str">
        <f>IFERROR(__xludf.DUMMYFUNCTION("""COMPUTED_VALUE"""),"")</f>
        <v/>
      </c>
      <c r="F2554" s="117" t="s">
        <v>39</v>
      </c>
      <c r="G2554" s="116"/>
      <c r="H2554" s="117"/>
      <c r="I2554" s="117"/>
      <c r="J2554" s="117"/>
      <c r="K2554" s="117"/>
      <c r="L2554" s="116"/>
      <c r="M2554" s="117"/>
      <c r="N2554" s="118" t="str">
        <f>IFERROR(__xludf.DUMMYFUNCTION("""COMPUTED_VALUE"""),"")</f>
        <v/>
      </c>
      <c r="O2554" s="116"/>
      <c r="P2554" s="116"/>
      <c r="Q2554" s="116"/>
      <c r="R2554" s="116" t="s">
        <v>39</v>
      </c>
      <c r="S2554" s="116" t="s">
        <v>39</v>
      </c>
      <c r="T2554" s="104"/>
      <c r="U2554" s="116"/>
      <c r="V2554" s="104"/>
      <c r="W2554" s="116"/>
    </row>
    <row r="2555">
      <c r="A2555" s="114" t="s">
        <v>39</v>
      </c>
      <c r="B2555" s="115"/>
      <c r="C2555" s="116"/>
      <c r="D2555" s="116"/>
      <c r="E2555" s="116" t="str">
        <f>IFERROR(__xludf.DUMMYFUNCTION("""COMPUTED_VALUE"""),"")</f>
        <v/>
      </c>
      <c r="F2555" s="117" t="s">
        <v>39</v>
      </c>
      <c r="G2555" s="116"/>
      <c r="H2555" s="117"/>
      <c r="I2555" s="117"/>
      <c r="J2555" s="117"/>
      <c r="K2555" s="117"/>
      <c r="L2555" s="116"/>
      <c r="M2555" s="117"/>
      <c r="N2555" s="118" t="str">
        <f>IFERROR(__xludf.DUMMYFUNCTION("""COMPUTED_VALUE"""),"")</f>
        <v/>
      </c>
      <c r="O2555" s="116"/>
      <c r="P2555" s="116"/>
      <c r="Q2555" s="116"/>
      <c r="R2555" s="116" t="s">
        <v>39</v>
      </c>
      <c r="S2555" s="116" t="s">
        <v>39</v>
      </c>
      <c r="T2555" s="104"/>
      <c r="U2555" s="116"/>
      <c r="V2555" s="104"/>
      <c r="W2555" s="116"/>
    </row>
    <row r="2556">
      <c r="A2556" s="114" t="s">
        <v>39</v>
      </c>
      <c r="B2556" s="115"/>
      <c r="C2556" s="116"/>
      <c r="D2556" s="116"/>
      <c r="E2556" s="116" t="str">
        <f>IFERROR(__xludf.DUMMYFUNCTION("""COMPUTED_VALUE"""),"")</f>
        <v/>
      </c>
      <c r="F2556" s="117" t="s">
        <v>39</v>
      </c>
      <c r="G2556" s="116"/>
      <c r="H2556" s="117"/>
      <c r="I2556" s="117"/>
      <c r="J2556" s="117"/>
      <c r="K2556" s="117"/>
      <c r="L2556" s="116"/>
      <c r="M2556" s="117"/>
      <c r="N2556" s="118" t="str">
        <f>IFERROR(__xludf.DUMMYFUNCTION("""COMPUTED_VALUE"""),"")</f>
        <v/>
      </c>
      <c r="O2556" s="116"/>
      <c r="P2556" s="116"/>
      <c r="Q2556" s="116"/>
      <c r="R2556" s="116" t="s">
        <v>39</v>
      </c>
      <c r="S2556" s="116" t="s">
        <v>39</v>
      </c>
      <c r="T2556" s="104"/>
      <c r="U2556" s="116"/>
      <c r="V2556" s="104"/>
      <c r="W2556" s="116"/>
    </row>
    <row r="2557">
      <c r="A2557" s="114" t="s">
        <v>39</v>
      </c>
      <c r="B2557" s="115"/>
      <c r="C2557" s="116"/>
      <c r="D2557" s="116"/>
      <c r="E2557" s="116" t="str">
        <f>IFERROR(__xludf.DUMMYFUNCTION("""COMPUTED_VALUE"""),"")</f>
        <v/>
      </c>
      <c r="F2557" s="117" t="s">
        <v>39</v>
      </c>
      <c r="G2557" s="116"/>
      <c r="H2557" s="117"/>
      <c r="I2557" s="117"/>
      <c r="J2557" s="117"/>
      <c r="K2557" s="117"/>
      <c r="L2557" s="116"/>
      <c r="M2557" s="117"/>
      <c r="N2557" s="118" t="str">
        <f>IFERROR(__xludf.DUMMYFUNCTION("""COMPUTED_VALUE"""),"")</f>
        <v/>
      </c>
      <c r="O2557" s="116"/>
      <c r="P2557" s="116"/>
      <c r="Q2557" s="116"/>
      <c r="R2557" s="116" t="s">
        <v>39</v>
      </c>
      <c r="S2557" s="116" t="s">
        <v>39</v>
      </c>
      <c r="T2557" s="104"/>
      <c r="U2557" s="116"/>
      <c r="V2557" s="104"/>
      <c r="W2557" s="116"/>
    </row>
    <row r="2558">
      <c r="A2558" s="114" t="s">
        <v>39</v>
      </c>
      <c r="B2558" s="115"/>
      <c r="C2558" s="116"/>
      <c r="D2558" s="116"/>
      <c r="E2558" s="116" t="str">
        <f>IFERROR(__xludf.DUMMYFUNCTION("""COMPUTED_VALUE"""),"")</f>
        <v/>
      </c>
      <c r="F2558" s="117" t="s">
        <v>39</v>
      </c>
      <c r="G2558" s="116"/>
      <c r="H2558" s="117"/>
      <c r="I2558" s="117"/>
      <c r="J2558" s="117"/>
      <c r="K2558" s="117"/>
      <c r="L2558" s="116"/>
      <c r="M2558" s="117"/>
      <c r="N2558" s="118" t="str">
        <f>IFERROR(__xludf.DUMMYFUNCTION("""COMPUTED_VALUE"""),"")</f>
        <v/>
      </c>
      <c r="O2558" s="116"/>
      <c r="P2558" s="116"/>
      <c r="Q2558" s="116"/>
      <c r="R2558" s="116" t="s">
        <v>39</v>
      </c>
      <c r="S2558" s="116" t="s">
        <v>39</v>
      </c>
      <c r="T2558" s="104"/>
      <c r="U2558" s="116"/>
      <c r="V2558" s="104"/>
      <c r="W2558" s="116"/>
    </row>
    <row r="2559">
      <c r="A2559" s="114" t="s">
        <v>39</v>
      </c>
      <c r="B2559" s="115"/>
      <c r="C2559" s="116"/>
      <c r="D2559" s="116"/>
      <c r="E2559" s="116" t="str">
        <f>IFERROR(__xludf.DUMMYFUNCTION("""COMPUTED_VALUE"""),"")</f>
        <v/>
      </c>
      <c r="F2559" s="117" t="s">
        <v>39</v>
      </c>
      <c r="G2559" s="116"/>
      <c r="H2559" s="117"/>
      <c r="I2559" s="117"/>
      <c r="J2559" s="117"/>
      <c r="K2559" s="117"/>
      <c r="L2559" s="116"/>
      <c r="M2559" s="117"/>
      <c r="N2559" s="118" t="str">
        <f>IFERROR(__xludf.DUMMYFUNCTION("""COMPUTED_VALUE"""),"")</f>
        <v/>
      </c>
      <c r="O2559" s="116"/>
      <c r="P2559" s="116"/>
      <c r="Q2559" s="116"/>
      <c r="R2559" s="116" t="s">
        <v>39</v>
      </c>
      <c r="S2559" s="116" t="s">
        <v>39</v>
      </c>
      <c r="T2559" s="104"/>
      <c r="U2559" s="116"/>
      <c r="V2559" s="104"/>
      <c r="W2559" s="116"/>
    </row>
    <row r="2560">
      <c r="A2560" s="114" t="s">
        <v>39</v>
      </c>
      <c r="B2560" s="115"/>
      <c r="C2560" s="116"/>
      <c r="D2560" s="116"/>
      <c r="E2560" s="116" t="str">
        <f>IFERROR(__xludf.DUMMYFUNCTION("""COMPUTED_VALUE"""),"")</f>
        <v/>
      </c>
      <c r="F2560" s="117" t="s">
        <v>39</v>
      </c>
      <c r="G2560" s="116"/>
      <c r="H2560" s="117"/>
      <c r="I2560" s="117"/>
      <c r="J2560" s="117"/>
      <c r="K2560" s="117"/>
      <c r="L2560" s="116"/>
      <c r="M2560" s="117"/>
      <c r="N2560" s="118" t="str">
        <f>IFERROR(__xludf.DUMMYFUNCTION("""COMPUTED_VALUE"""),"")</f>
        <v/>
      </c>
      <c r="O2560" s="116"/>
      <c r="P2560" s="116"/>
      <c r="Q2560" s="116"/>
      <c r="R2560" s="116" t="s">
        <v>39</v>
      </c>
      <c r="S2560" s="116" t="s">
        <v>39</v>
      </c>
      <c r="T2560" s="104"/>
      <c r="U2560" s="116"/>
      <c r="V2560" s="104"/>
      <c r="W2560" s="116"/>
    </row>
    <row r="2561">
      <c r="A2561" s="114" t="s">
        <v>39</v>
      </c>
      <c r="B2561" s="115"/>
      <c r="C2561" s="116"/>
      <c r="D2561" s="116"/>
      <c r="E2561" s="116" t="str">
        <f>IFERROR(__xludf.DUMMYFUNCTION("""COMPUTED_VALUE"""),"")</f>
        <v/>
      </c>
      <c r="F2561" s="117" t="s">
        <v>39</v>
      </c>
      <c r="G2561" s="116"/>
      <c r="H2561" s="117"/>
      <c r="I2561" s="117"/>
      <c r="J2561" s="117"/>
      <c r="K2561" s="117"/>
      <c r="L2561" s="116"/>
      <c r="M2561" s="117"/>
      <c r="N2561" s="118" t="str">
        <f>IFERROR(__xludf.DUMMYFUNCTION("""COMPUTED_VALUE"""),"")</f>
        <v/>
      </c>
      <c r="O2561" s="116"/>
      <c r="P2561" s="116"/>
      <c r="Q2561" s="116"/>
      <c r="R2561" s="116" t="s">
        <v>39</v>
      </c>
      <c r="S2561" s="116" t="s">
        <v>39</v>
      </c>
      <c r="T2561" s="104"/>
      <c r="U2561" s="116"/>
      <c r="V2561" s="104"/>
      <c r="W2561" s="116"/>
    </row>
    <row r="2562">
      <c r="A2562" s="114" t="s">
        <v>39</v>
      </c>
      <c r="B2562" s="115"/>
      <c r="C2562" s="116"/>
      <c r="D2562" s="116"/>
      <c r="E2562" s="116" t="str">
        <f>IFERROR(__xludf.DUMMYFUNCTION("""COMPUTED_VALUE"""),"")</f>
        <v/>
      </c>
      <c r="F2562" s="117" t="s">
        <v>39</v>
      </c>
      <c r="G2562" s="116"/>
      <c r="H2562" s="117"/>
      <c r="I2562" s="117"/>
      <c r="J2562" s="117"/>
      <c r="K2562" s="117"/>
      <c r="L2562" s="116"/>
      <c r="M2562" s="117"/>
      <c r="N2562" s="118" t="str">
        <f>IFERROR(__xludf.DUMMYFUNCTION("""COMPUTED_VALUE"""),"")</f>
        <v/>
      </c>
      <c r="O2562" s="116"/>
      <c r="P2562" s="116"/>
      <c r="Q2562" s="116"/>
      <c r="R2562" s="116" t="s">
        <v>39</v>
      </c>
      <c r="S2562" s="116" t="s">
        <v>39</v>
      </c>
      <c r="T2562" s="104"/>
      <c r="U2562" s="116"/>
      <c r="V2562" s="104"/>
      <c r="W2562" s="116"/>
    </row>
    <row r="2563">
      <c r="A2563" s="114" t="s">
        <v>39</v>
      </c>
      <c r="B2563" s="115"/>
      <c r="C2563" s="116"/>
      <c r="D2563" s="116"/>
      <c r="E2563" s="116" t="str">
        <f>IFERROR(__xludf.DUMMYFUNCTION("""COMPUTED_VALUE"""),"")</f>
        <v/>
      </c>
      <c r="F2563" s="117" t="s">
        <v>39</v>
      </c>
      <c r="G2563" s="116"/>
      <c r="H2563" s="117"/>
      <c r="I2563" s="117"/>
      <c r="J2563" s="117"/>
      <c r="K2563" s="117"/>
      <c r="L2563" s="116"/>
      <c r="M2563" s="117"/>
      <c r="N2563" s="118" t="str">
        <f>IFERROR(__xludf.DUMMYFUNCTION("""COMPUTED_VALUE"""),"")</f>
        <v/>
      </c>
      <c r="O2563" s="116"/>
      <c r="P2563" s="116"/>
      <c r="Q2563" s="116"/>
      <c r="R2563" s="116" t="s">
        <v>39</v>
      </c>
      <c r="S2563" s="116" t="s">
        <v>39</v>
      </c>
      <c r="T2563" s="104"/>
      <c r="U2563" s="116"/>
      <c r="V2563" s="104"/>
      <c r="W2563" s="116"/>
    </row>
    <row r="2564">
      <c r="A2564" s="114" t="s">
        <v>39</v>
      </c>
      <c r="B2564" s="115"/>
      <c r="C2564" s="116"/>
      <c r="D2564" s="116"/>
      <c r="E2564" s="116" t="str">
        <f>IFERROR(__xludf.DUMMYFUNCTION("""COMPUTED_VALUE"""),"")</f>
        <v/>
      </c>
      <c r="F2564" s="117" t="s">
        <v>39</v>
      </c>
      <c r="G2564" s="116"/>
      <c r="H2564" s="117"/>
      <c r="I2564" s="117"/>
      <c r="J2564" s="117"/>
      <c r="K2564" s="117"/>
      <c r="L2564" s="116"/>
      <c r="M2564" s="117"/>
      <c r="N2564" s="118" t="str">
        <f>IFERROR(__xludf.DUMMYFUNCTION("""COMPUTED_VALUE"""),"")</f>
        <v/>
      </c>
      <c r="O2564" s="116"/>
      <c r="P2564" s="116"/>
      <c r="Q2564" s="116"/>
      <c r="R2564" s="116" t="s">
        <v>39</v>
      </c>
      <c r="S2564" s="116" t="s">
        <v>39</v>
      </c>
      <c r="T2564" s="104"/>
      <c r="U2564" s="116"/>
      <c r="V2564" s="104"/>
      <c r="W2564" s="116"/>
    </row>
    <row r="2565">
      <c r="A2565" s="114" t="s">
        <v>39</v>
      </c>
      <c r="B2565" s="115"/>
      <c r="C2565" s="116"/>
      <c r="D2565" s="116"/>
      <c r="E2565" s="116" t="str">
        <f>IFERROR(__xludf.DUMMYFUNCTION("""COMPUTED_VALUE"""),"")</f>
        <v/>
      </c>
      <c r="F2565" s="117" t="s">
        <v>39</v>
      </c>
      <c r="G2565" s="116"/>
      <c r="H2565" s="117"/>
      <c r="I2565" s="117"/>
      <c r="J2565" s="117"/>
      <c r="K2565" s="117"/>
      <c r="L2565" s="116"/>
      <c r="M2565" s="117"/>
      <c r="N2565" s="118" t="str">
        <f>IFERROR(__xludf.DUMMYFUNCTION("""COMPUTED_VALUE"""),"")</f>
        <v/>
      </c>
      <c r="O2565" s="116"/>
      <c r="P2565" s="116"/>
      <c r="Q2565" s="116"/>
      <c r="R2565" s="116" t="s">
        <v>39</v>
      </c>
      <c r="S2565" s="116" t="s">
        <v>39</v>
      </c>
      <c r="T2565" s="104"/>
      <c r="U2565" s="116"/>
      <c r="V2565" s="104"/>
      <c r="W2565" s="116"/>
    </row>
    <row r="2566">
      <c r="A2566" s="114" t="s">
        <v>39</v>
      </c>
      <c r="B2566" s="115"/>
      <c r="C2566" s="116"/>
      <c r="D2566" s="116"/>
      <c r="E2566" s="116" t="str">
        <f>IFERROR(__xludf.DUMMYFUNCTION("""COMPUTED_VALUE"""),"")</f>
        <v/>
      </c>
      <c r="F2566" s="117" t="s">
        <v>39</v>
      </c>
      <c r="G2566" s="116"/>
      <c r="H2566" s="117"/>
      <c r="I2566" s="117"/>
      <c r="J2566" s="117"/>
      <c r="K2566" s="117"/>
      <c r="L2566" s="116"/>
      <c r="M2566" s="117"/>
      <c r="N2566" s="118" t="str">
        <f>IFERROR(__xludf.DUMMYFUNCTION("""COMPUTED_VALUE"""),"")</f>
        <v/>
      </c>
      <c r="O2566" s="116"/>
      <c r="P2566" s="116"/>
      <c r="Q2566" s="116"/>
      <c r="R2566" s="116" t="s">
        <v>39</v>
      </c>
      <c r="S2566" s="116" t="s">
        <v>39</v>
      </c>
      <c r="T2566" s="104"/>
      <c r="U2566" s="116"/>
      <c r="V2566" s="104"/>
      <c r="W2566" s="116"/>
    </row>
    <row r="2567">
      <c r="A2567" s="114" t="s">
        <v>39</v>
      </c>
      <c r="B2567" s="115"/>
      <c r="C2567" s="116"/>
      <c r="D2567" s="116"/>
      <c r="E2567" s="116" t="str">
        <f>IFERROR(__xludf.DUMMYFUNCTION("""COMPUTED_VALUE"""),"")</f>
        <v/>
      </c>
      <c r="F2567" s="117" t="s">
        <v>39</v>
      </c>
      <c r="G2567" s="116"/>
      <c r="H2567" s="117"/>
      <c r="I2567" s="117"/>
      <c r="J2567" s="117"/>
      <c r="K2567" s="117"/>
      <c r="L2567" s="116"/>
      <c r="M2567" s="117"/>
      <c r="N2567" s="118" t="str">
        <f>IFERROR(__xludf.DUMMYFUNCTION("""COMPUTED_VALUE"""),"")</f>
        <v/>
      </c>
      <c r="O2567" s="116"/>
      <c r="P2567" s="116"/>
      <c r="Q2567" s="116"/>
      <c r="R2567" s="116" t="s">
        <v>39</v>
      </c>
      <c r="S2567" s="116" t="s">
        <v>39</v>
      </c>
      <c r="T2567" s="104"/>
      <c r="U2567" s="116"/>
      <c r="V2567" s="104"/>
      <c r="W2567" s="116"/>
    </row>
    <row r="2568">
      <c r="A2568" s="114" t="s">
        <v>39</v>
      </c>
      <c r="B2568" s="115"/>
      <c r="C2568" s="116"/>
      <c r="D2568" s="116"/>
      <c r="E2568" s="116" t="str">
        <f>IFERROR(__xludf.DUMMYFUNCTION("""COMPUTED_VALUE"""),"")</f>
        <v/>
      </c>
      <c r="F2568" s="117" t="s">
        <v>39</v>
      </c>
      <c r="G2568" s="116"/>
      <c r="H2568" s="117"/>
      <c r="I2568" s="117"/>
      <c r="J2568" s="117"/>
      <c r="K2568" s="117"/>
      <c r="L2568" s="116"/>
      <c r="M2568" s="117"/>
      <c r="N2568" s="118" t="str">
        <f>IFERROR(__xludf.DUMMYFUNCTION("""COMPUTED_VALUE"""),"")</f>
        <v/>
      </c>
      <c r="O2568" s="116"/>
      <c r="P2568" s="116"/>
      <c r="Q2568" s="116"/>
      <c r="R2568" s="116" t="s">
        <v>39</v>
      </c>
      <c r="S2568" s="116" t="s">
        <v>39</v>
      </c>
      <c r="T2568" s="104"/>
      <c r="U2568" s="116"/>
      <c r="V2568" s="104"/>
      <c r="W2568" s="116"/>
    </row>
    <row r="2569">
      <c r="A2569" s="114" t="s">
        <v>39</v>
      </c>
      <c r="B2569" s="115"/>
      <c r="C2569" s="116"/>
      <c r="D2569" s="116"/>
      <c r="E2569" s="116" t="str">
        <f>IFERROR(__xludf.DUMMYFUNCTION("""COMPUTED_VALUE"""),"")</f>
        <v/>
      </c>
      <c r="F2569" s="117" t="s">
        <v>39</v>
      </c>
      <c r="G2569" s="116"/>
      <c r="H2569" s="117"/>
      <c r="I2569" s="117"/>
      <c r="J2569" s="117"/>
      <c r="K2569" s="117"/>
      <c r="L2569" s="116"/>
      <c r="M2569" s="117"/>
      <c r="N2569" s="118" t="str">
        <f>IFERROR(__xludf.DUMMYFUNCTION("""COMPUTED_VALUE"""),"")</f>
        <v/>
      </c>
      <c r="O2569" s="116"/>
      <c r="P2569" s="116"/>
      <c r="Q2569" s="116"/>
      <c r="R2569" s="116" t="s">
        <v>39</v>
      </c>
      <c r="S2569" s="116" t="s">
        <v>39</v>
      </c>
      <c r="T2569" s="104"/>
      <c r="U2569" s="116"/>
      <c r="V2569" s="104"/>
      <c r="W2569" s="116"/>
    </row>
    <row r="2570">
      <c r="A2570" s="114" t="s">
        <v>39</v>
      </c>
      <c r="B2570" s="115"/>
      <c r="C2570" s="116"/>
      <c r="D2570" s="116"/>
      <c r="E2570" s="116" t="str">
        <f>IFERROR(__xludf.DUMMYFUNCTION("""COMPUTED_VALUE"""),"")</f>
        <v/>
      </c>
      <c r="F2570" s="117" t="s">
        <v>39</v>
      </c>
      <c r="G2570" s="116"/>
      <c r="H2570" s="117"/>
      <c r="I2570" s="117"/>
      <c r="J2570" s="117"/>
      <c r="K2570" s="117"/>
      <c r="L2570" s="116"/>
      <c r="M2570" s="117"/>
      <c r="N2570" s="118" t="str">
        <f>IFERROR(__xludf.DUMMYFUNCTION("""COMPUTED_VALUE"""),"")</f>
        <v/>
      </c>
      <c r="O2570" s="116"/>
      <c r="P2570" s="116"/>
      <c r="Q2570" s="116"/>
      <c r="R2570" s="116" t="s">
        <v>39</v>
      </c>
      <c r="S2570" s="116" t="s">
        <v>39</v>
      </c>
      <c r="T2570" s="104"/>
      <c r="U2570" s="116"/>
      <c r="V2570" s="104"/>
      <c r="W2570" s="116"/>
    </row>
    <row r="2571">
      <c r="A2571" s="114" t="s">
        <v>39</v>
      </c>
      <c r="B2571" s="115"/>
      <c r="C2571" s="116"/>
      <c r="D2571" s="116"/>
      <c r="E2571" s="116" t="str">
        <f>IFERROR(__xludf.DUMMYFUNCTION("""COMPUTED_VALUE"""),"")</f>
        <v/>
      </c>
      <c r="F2571" s="117" t="s">
        <v>39</v>
      </c>
      <c r="G2571" s="116"/>
      <c r="H2571" s="117"/>
      <c r="I2571" s="117"/>
      <c r="J2571" s="117"/>
      <c r="K2571" s="117"/>
      <c r="L2571" s="116"/>
      <c r="M2571" s="117"/>
      <c r="N2571" s="118" t="str">
        <f>IFERROR(__xludf.DUMMYFUNCTION("""COMPUTED_VALUE"""),"")</f>
        <v/>
      </c>
      <c r="O2571" s="116"/>
      <c r="P2571" s="116"/>
      <c r="Q2571" s="116"/>
      <c r="R2571" s="116" t="s">
        <v>39</v>
      </c>
      <c r="S2571" s="116" t="s">
        <v>39</v>
      </c>
      <c r="T2571" s="104"/>
      <c r="U2571" s="116"/>
      <c r="V2571" s="104"/>
      <c r="W2571" s="116"/>
    </row>
    <row r="2572">
      <c r="A2572" s="114" t="s">
        <v>39</v>
      </c>
      <c r="B2572" s="115"/>
      <c r="C2572" s="116"/>
      <c r="D2572" s="116"/>
      <c r="E2572" s="116" t="str">
        <f>IFERROR(__xludf.DUMMYFUNCTION("""COMPUTED_VALUE"""),"")</f>
        <v/>
      </c>
      <c r="F2572" s="117" t="s">
        <v>39</v>
      </c>
      <c r="G2572" s="116"/>
      <c r="H2572" s="117"/>
      <c r="I2572" s="117"/>
      <c r="J2572" s="117"/>
      <c r="K2572" s="117"/>
      <c r="L2572" s="116"/>
      <c r="M2572" s="117"/>
      <c r="N2572" s="118" t="str">
        <f>IFERROR(__xludf.DUMMYFUNCTION("""COMPUTED_VALUE"""),"")</f>
        <v/>
      </c>
      <c r="O2572" s="116"/>
      <c r="P2572" s="116"/>
      <c r="Q2572" s="116"/>
      <c r="R2572" s="116" t="s">
        <v>39</v>
      </c>
      <c r="S2572" s="116" t="s">
        <v>39</v>
      </c>
      <c r="T2572" s="104"/>
      <c r="U2572" s="116"/>
      <c r="V2572" s="104"/>
      <c r="W2572" s="116"/>
    </row>
    <row r="2573">
      <c r="A2573" s="114" t="s">
        <v>39</v>
      </c>
      <c r="B2573" s="115"/>
      <c r="C2573" s="116"/>
      <c r="D2573" s="116"/>
      <c r="E2573" s="116" t="str">
        <f>IFERROR(__xludf.DUMMYFUNCTION("""COMPUTED_VALUE"""),"")</f>
        <v/>
      </c>
      <c r="F2573" s="117" t="s">
        <v>39</v>
      </c>
      <c r="G2573" s="116"/>
      <c r="H2573" s="117"/>
      <c r="I2573" s="117"/>
      <c r="J2573" s="117"/>
      <c r="K2573" s="117"/>
      <c r="L2573" s="116"/>
      <c r="M2573" s="117"/>
      <c r="N2573" s="118" t="str">
        <f>IFERROR(__xludf.DUMMYFUNCTION("""COMPUTED_VALUE"""),"")</f>
        <v/>
      </c>
      <c r="O2573" s="116"/>
      <c r="P2573" s="116"/>
      <c r="Q2573" s="116"/>
      <c r="R2573" s="116" t="s">
        <v>39</v>
      </c>
      <c r="S2573" s="116" t="s">
        <v>39</v>
      </c>
      <c r="T2573" s="104"/>
      <c r="U2573" s="116"/>
      <c r="V2573" s="104"/>
      <c r="W2573" s="116"/>
    </row>
    <row r="2574">
      <c r="A2574" s="114" t="s">
        <v>39</v>
      </c>
      <c r="B2574" s="115"/>
      <c r="C2574" s="116"/>
      <c r="D2574" s="116"/>
      <c r="E2574" s="116" t="str">
        <f>IFERROR(__xludf.DUMMYFUNCTION("""COMPUTED_VALUE"""),"")</f>
        <v/>
      </c>
      <c r="F2574" s="117" t="s">
        <v>39</v>
      </c>
      <c r="G2574" s="116"/>
      <c r="H2574" s="117"/>
      <c r="I2574" s="117"/>
      <c r="J2574" s="117"/>
      <c r="K2574" s="117"/>
      <c r="L2574" s="116"/>
      <c r="M2574" s="117"/>
      <c r="N2574" s="118" t="str">
        <f>IFERROR(__xludf.DUMMYFUNCTION("""COMPUTED_VALUE"""),"")</f>
        <v/>
      </c>
      <c r="O2574" s="116"/>
      <c r="P2574" s="116"/>
      <c r="Q2574" s="116"/>
      <c r="R2574" s="116" t="s">
        <v>39</v>
      </c>
      <c r="S2574" s="116" t="s">
        <v>39</v>
      </c>
      <c r="T2574" s="104"/>
      <c r="U2574" s="116"/>
      <c r="V2574" s="104"/>
      <c r="W2574" s="116"/>
    </row>
    <row r="2575">
      <c r="A2575" s="114" t="s">
        <v>39</v>
      </c>
      <c r="B2575" s="115"/>
      <c r="C2575" s="116"/>
      <c r="D2575" s="116"/>
      <c r="E2575" s="116" t="str">
        <f>IFERROR(__xludf.DUMMYFUNCTION("""COMPUTED_VALUE"""),"")</f>
        <v/>
      </c>
      <c r="F2575" s="117" t="s">
        <v>39</v>
      </c>
      <c r="G2575" s="116"/>
      <c r="H2575" s="117"/>
      <c r="I2575" s="117"/>
      <c r="J2575" s="117"/>
      <c r="K2575" s="117"/>
      <c r="L2575" s="116"/>
      <c r="M2575" s="117"/>
      <c r="N2575" s="118" t="str">
        <f>IFERROR(__xludf.DUMMYFUNCTION("""COMPUTED_VALUE"""),"")</f>
        <v/>
      </c>
      <c r="O2575" s="116"/>
      <c r="P2575" s="116"/>
      <c r="Q2575" s="116"/>
      <c r="R2575" s="116" t="s">
        <v>39</v>
      </c>
      <c r="S2575" s="116" t="s">
        <v>39</v>
      </c>
      <c r="T2575" s="104"/>
      <c r="U2575" s="116"/>
      <c r="V2575" s="104"/>
      <c r="W2575" s="116"/>
    </row>
    <row r="2576">
      <c r="A2576" s="114" t="s">
        <v>39</v>
      </c>
      <c r="B2576" s="115"/>
      <c r="C2576" s="116"/>
      <c r="D2576" s="116"/>
      <c r="E2576" s="116" t="str">
        <f>IFERROR(__xludf.DUMMYFUNCTION("""COMPUTED_VALUE"""),"")</f>
        <v/>
      </c>
      <c r="F2576" s="117" t="s">
        <v>39</v>
      </c>
      <c r="G2576" s="116"/>
      <c r="H2576" s="117"/>
      <c r="I2576" s="117"/>
      <c r="J2576" s="117"/>
      <c r="K2576" s="117"/>
      <c r="L2576" s="116"/>
      <c r="M2576" s="117"/>
      <c r="N2576" s="118" t="str">
        <f>IFERROR(__xludf.DUMMYFUNCTION("""COMPUTED_VALUE"""),"")</f>
        <v/>
      </c>
      <c r="O2576" s="116"/>
      <c r="P2576" s="116"/>
      <c r="Q2576" s="116"/>
      <c r="R2576" s="116" t="s">
        <v>39</v>
      </c>
      <c r="S2576" s="116" t="s">
        <v>39</v>
      </c>
      <c r="T2576" s="104"/>
      <c r="U2576" s="116"/>
      <c r="V2576" s="104"/>
      <c r="W2576" s="116"/>
    </row>
    <row r="2577">
      <c r="A2577" s="114" t="s">
        <v>39</v>
      </c>
      <c r="B2577" s="115"/>
      <c r="C2577" s="116"/>
      <c r="D2577" s="116"/>
      <c r="E2577" s="116" t="str">
        <f>IFERROR(__xludf.DUMMYFUNCTION("""COMPUTED_VALUE"""),"")</f>
        <v/>
      </c>
      <c r="F2577" s="117" t="s">
        <v>39</v>
      </c>
      <c r="G2577" s="116"/>
      <c r="H2577" s="117"/>
      <c r="I2577" s="117"/>
      <c r="J2577" s="117"/>
      <c r="K2577" s="117"/>
      <c r="L2577" s="116"/>
      <c r="M2577" s="117"/>
      <c r="N2577" s="118" t="str">
        <f>IFERROR(__xludf.DUMMYFUNCTION("""COMPUTED_VALUE"""),"")</f>
        <v/>
      </c>
      <c r="O2577" s="116"/>
      <c r="P2577" s="116"/>
      <c r="Q2577" s="116"/>
      <c r="R2577" s="116" t="s">
        <v>39</v>
      </c>
      <c r="S2577" s="116" t="s">
        <v>39</v>
      </c>
      <c r="T2577" s="104"/>
      <c r="U2577" s="116"/>
      <c r="V2577" s="104"/>
      <c r="W2577" s="116"/>
    </row>
    <row r="2578">
      <c r="A2578" s="114" t="s">
        <v>39</v>
      </c>
      <c r="B2578" s="115"/>
      <c r="C2578" s="116"/>
      <c r="D2578" s="116"/>
      <c r="E2578" s="116" t="str">
        <f>IFERROR(__xludf.DUMMYFUNCTION("""COMPUTED_VALUE"""),"")</f>
        <v/>
      </c>
      <c r="F2578" s="117" t="s">
        <v>39</v>
      </c>
      <c r="G2578" s="116"/>
      <c r="H2578" s="117"/>
      <c r="I2578" s="117"/>
      <c r="J2578" s="117"/>
      <c r="K2578" s="117"/>
      <c r="L2578" s="116"/>
      <c r="M2578" s="117"/>
      <c r="N2578" s="118" t="str">
        <f>IFERROR(__xludf.DUMMYFUNCTION("""COMPUTED_VALUE"""),"")</f>
        <v/>
      </c>
      <c r="O2578" s="116"/>
      <c r="P2578" s="116"/>
      <c r="Q2578" s="116"/>
      <c r="R2578" s="116" t="s">
        <v>39</v>
      </c>
      <c r="S2578" s="116" t="s">
        <v>39</v>
      </c>
      <c r="T2578" s="104"/>
      <c r="U2578" s="116"/>
      <c r="V2578" s="104"/>
      <c r="W2578" s="116"/>
    </row>
    <row r="2579">
      <c r="A2579" s="114" t="s">
        <v>39</v>
      </c>
      <c r="B2579" s="115"/>
      <c r="C2579" s="116"/>
      <c r="D2579" s="116"/>
      <c r="E2579" s="116" t="str">
        <f>IFERROR(__xludf.DUMMYFUNCTION("""COMPUTED_VALUE"""),"")</f>
        <v/>
      </c>
      <c r="F2579" s="117" t="s">
        <v>39</v>
      </c>
      <c r="G2579" s="116"/>
      <c r="H2579" s="117"/>
      <c r="I2579" s="117"/>
      <c r="J2579" s="117"/>
      <c r="K2579" s="117"/>
      <c r="L2579" s="116"/>
      <c r="M2579" s="117"/>
      <c r="N2579" s="118" t="str">
        <f>IFERROR(__xludf.DUMMYFUNCTION("""COMPUTED_VALUE"""),"")</f>
        <v/>
      </c>
      <c r="O2579" s="116"/>
      <c r="P2579" s="116"/>
      <c r="Q2579" s="116"/>
      <c r="R2579" s="116" t="s">
        <v>39</v>
      </c>
      <c r="S2579" s="116" t="s">
        <v>39</v>
      </c>
      <c r="T2579" s="104"/>
      <c r="U2579" s="116"/>
      <c r="V2579" s="104"/>
      <c r="W2579" s="116"/>
    </row>
    <row r="2580">
      <c r="A2580" s="114" t="s">
        <v>39</v>
      </c>
      <c r="B2580" s="115"/>
      <c r="C2580" s="116"/>
      <c r="D2580" s="116"/>
      <c r="E2580" s="116" t="str">
        <f>IFERROR(__xludf.DUMMYFUNCTION("""COMPUTED_VALUE"""),"")</f>
        <v/>
      </c>
      <c r="F2580" s="117" t="s">
        <v>39</v>
      </c>
      <c r="G2580" s="116"/>
      <c r="H2580" s="117"/>
      <c r="I2580" s="117"/>
      <c r="J2580" s="117"/>
      <c r="K2580" s="117"/>
      <c r="L2580" s="116"/>
      <c r="M2580" s="117"/>
      <c r="N2580" s="118" t="str">
        <f>IFERROR(__xludf.DUMMYFUNCTION("""COMPUTED_VALUE"""),"")</f>
        <v/>
      </c>
      <c r="O2580" s="116"/>
      <c r="P2580" s="116"/>
      <c r="Q2580" s="116"/>
      <c r="R2580" s="116" t="s">
        <v>39</v>
      </c>
      <c r="S2580" s="116" t="s">
        <v>39</v>
      </c>
      <c r="T2580" s="104"/>
      <c r="U2580" s="116"/>
      <c r="V2580" s="104"/>
      <c r="W2580" s="116"/>
    </row>
    <row r="2581">
      <c r="A2581" s="114" t="s">
        <v>39</v>
      </c>
      <c r="B2581" s="115"/>
      <c r="C2581" s="116"/>
      <c r="D2581" s="116"/>
      <c r="E2581" s="116" t="str">
        <f>IFERROR(__xludf.DUMMYFUNCTION("""COMPUTED_VALUE"""),"")</f>
        <v/>
      </c>
      <c r="F2581" s="117" t="s">
        <v>39</v>
      </c>
      <c r="G2581" s="116"/>
      <c r="H2581" s="117"/>
      <c r="I2581" s="117"/>
      <c r="J2581" s="117"/>
      <c r="K2581" s="117"/>
      <c r="L2581" s="116"/>
      <c r="M2581" s="117"/>
      <c r="N2581" s="118" t="str">
        <f>IFERROR(__xludf.DUMMYFUNCTION("""COMPUTED_VALUE"""),"")</f>
        <v/>
      </c>
      <c r="O2581" s="116"/>
      <c r="P2581" s="116"/>
      <c r="Q2581" s="116"/>
      <c r="R2581" s="116" t="s">
        <v>39</v>
      </c>
      <c r="S2581" s="116" t="s">
        <v>39</v>
      </c>
      <c r="T2581" s="104"/>
      <c r="U2581" s="116"/>
      <c r="V2581" s="104"/>
      <c r="W2581" s="116"/>
    </row>
    <row r="2582">
      <c r="A2582" s="114" t="s">
        <v>39</v>
      </c>
      <c r="B2582" s="115"/>
      <c r="C2582" s="116"/>
      <c r="D2582" s="116"/>
      <c r="E2582" s="116" t="str">
        <f>IFERROR(__xludf.DUMMYFUNCTION("""COMPUTED_VALUE"""),"")</f>
        <v/>
      </c>
      <c r="F2582" s="117" t="s">
        <v>39</v>
      </c>
      <c r="G2582" s="116"/>
      <c r="H2582" s="117"/>
      <c r="I2582" s="117"/>
      <c r="J2582" s="117"/>
      <c r="K2582" s="117"/>
      <c r="L2582" s="116"/>
      <c r="M2582" s="117"/>
      <c r="N2582" s="118" t="str">
        <f>IFERROR(__xludf.DUMMYFUNCTION("""COMPUTED_VALUE"""),"")</f>
        <v/>
      </c>
      <c r="O2582" s="116"/>
      <c r="P2582" s="116"/>
      <c r="Q2582" s="116"/>
      <c r="R2582" s="116" t="s">
        <v>39</v>
      </c>
      <c r="S2582" s="116" t="s">
        <v>39</v>
      </c>
      <c r="T2582" s="104"/>
      <c r="U2582" s="116"/>
      <c r="V2582" s="104"/>
      <c r="W2582" s="116"/>
    </row>
    <row r="2583">
      <c r="A2583" s="114" t="s">
        <v>39</v>
      </c>
      <c r="B2583" s="115"/>
      <c r="C2583" s="116"/>
      <c r="D2583" s="116"/>
      <c r="E2583" s="116" t="str">
        <f>IFERROR(__xludf.DUMMYFUNCTION("""COMPUTED_VALUE"""),"")</f>
        <v/>
      </c>
      <c r="F2583" s="117" t="s">
        <v>39</v>
      </c>
      <c r="G2583" s="116"/>
      <c r="H2583" s="117"/>
      <c r="I2583" s="117"/>
      <c r="J2583" s="117"/>
      <c r="K2583" s="117"/>
      <c r="L2583" s="116"/>
      <c r="M2583" s="117"/>
      <c r="N2583" s="118" t="str">
        <f>IFERROR(__xludf.DUMMYFUNCTION("""COMPUTED_VALUE"""),"")</f>
        <v/>
      </c>
      <c r="O2583" s="116"/>
      <c r="P2583" s="116"/>
      <c r="Q2583" s="116"/>
      <c r="R2583" s="116" t="s">
        <v>39</v>
      </c>
      <c r="S2583" s="116" t="s">
        <v>39</v>
      </c>
      <c r="T2583" s="104"/>
      <c r="U2583" s="116"/>
      <c r="V2583" s="104"/>
      <c r="W2583" s="116"/>
    </row>
    <row r="2584">
      <c r="A2584" s="114" t="s">
        <v>39</v>
      </c>
      <c r="B2584" s="115"/>
      <c r="C2584" s="116"/>
      <c r="D2584" s="116"/>
      <c r="E2584" s="116" t="str">
        <f>IFERROR(__xludf.DUMMYFUNCTION("""COMPUTED_VALUE"""),"")</f>
        <v/>
      </c>
      <c r="F2584" s="117" t="s">
        <v>39</v>
      </c>
      <c r="G2584" s="116"/>
      <c r="H2584" s="117"/>
      <c r="I2584" s="117"/>
      <c r="J2584" s="117"/>
      <c r="K2584" s="117"/>
      <c r="L2584" s="116"/>
      <c r="M2584" s="117"/>
      <c r="N2584" s="118" t="str">
        <f>IFERROR(__xludf.DUMMYFUNCTION("""COMPUTED_VALUE"""),"")</f>
        <v/>
      </c>
      <c r="O2584" s="116"/>
      <c r="P2584" s="116"/>
      <c r="Q2584" s="116"/>
      <c r="R2584" s="116" t="s">
        <v>39</v>
      </c>
      <c r="S2584" s="116" t="s">
        <v>39</v>
      </c>
      <c r="T2584" s="104"/>
      <c r="U2584" s="116"/>
      <c r="V2584" s="104"/>
      <c r="W2584" s="116"/>
    </row>
    <row r="2585">
      <c r="A2585" s="114" t="s">
        <v>39</v>
      </c>
      <c r="B2585" s="115"/>
      <c r="C2585" s="116"/>
      <c r="D2585" s="116"/>
      <c r="E2585" s="116" t="str">
        <f>IFERROR(__xludf.DUMMYFUNCTION("""COMPUTED_VALUE"""),"")</f>
        <v/>
      </c>
      <c r="F2585" s="117" t="s">
        <v>39</v>
      </c>
      <c r="G2585" s="116"/>
      <c r="H2585" s="117"/>
      <c r="I2585" s="117"/>
      <c r="J2585" s="117"/>
      <c r="K2585" s="117"/>
      <c r="L2585" s="116"/>
      <c r="M2585" s="117"/>
      <c r="N2585" s="118" t="str">
        <f>IFERROR(__xludf.DUMMYFUNCTION("""COMPUTED_VALUE"""),"")</f>
        <v/>
      </c>
      <c r="O2585" s="116"/>
      <c r="P2585" s="116"/>
      <c r="Q2585" s="116"/>
      <c r="R2585" s="116" t="s">
        <v>39</v>
      </c>
      <c r="S2585" s="116" t="s">
        <v>39</v>
      </c>
      <c r="T2585" s="104"/>
      <c r="U2585" s="116"/>
      <c r="V2585" s="104"/>
      <c r="W2585" s="116"/>
    </row>
    <row r="2586">
      <c r="A2586" s="114" t="s">
        <v>39</v>
      </c>
      <c r="B2586" s="115"/>
      <c r="C2586" s="116"/>
      <c r="D2586" s="116"/>
      <c r="E2586" s="116" t="str">
        <f>IFERROR(__xludf.DUMMYFUNCTION("""COMPUTED_VALUE"""),"")</f>
        <v/>
      </c>
      <c r="F2586" s="117" t="s">
        <v>39</v>
      </c>
      <c r="G2586" s="116"/>
      <c r="H2586" s="117"/>
      <c r="I2586" s="117"/>
      <c r="J2586" s="117"/>
      <c r="K2586" s="117"/>
      <c r="L2586" s="116"/>
      <c r="M2586" s="117"/>
      <c r="N2586" s="118" t="str">
        <f>IFERROR(__xludf.DUMMYFUNCTION("""COMPUTED_VALUE"""),"")</f>
        <v/>
      </c>
      <c r="O2586" s="116"/>
      <c r="P2586" s="116"/>
      <c r="Q2586" s="116"/>
      <c r="R2586" s="116" t="s">
        <v>39</v>
      </c>
      <c r="S2586" s="116" t="s">
        <v>39</v>
      </c>
      <c r="T2586" s="104"/>
      <c r="U2586" s="116"/>
      <c r="V2586" s="104"/>
      <c r="W2586" s="116"/>
    </row>
    <row r="2587">
      <c r="A2587" s="114" t="s">
        <v>39</v>
      </c>
      <c r="B2587" s="115"/>
      <c r="C2587" s="116"/>
      <c r="D2587" s="116"/>
      <c r="E2587" s="116" t="str">
        <f>IFERROR(__xludf.DUMMYFUNCTION("""COMPUTED_VALUE"""),"")</f>
        <v/>
      </c>
      <c r="F2587" s="117" t="s">
        <v>39</v>
      </c>
      <c r="G2587" s="116"/>
      <c r="H2587" s="117"/>
      <c r="I2587" s="117"/>
      <c r="J2587" s="117"/>
      <c r="K2587" s="117"/>
      <c r="L2587" s="116"/>
      <c r="M2587" s="117"/>
      <c r="N2587" s="118" t="str">
        <f>IFERROR(__xludf.DUMMYFUNCTION("""COMPUTED_VALUE"""),"")</f>
        <v/>
      </c>
      <c r="O2587" s="116"/>
      <c r="P2587" s="116"/>
      <c r="Q2587" s="116"/>
      <c r="R2587" s="116" t="s">
        <v>39</v>
      </c>
      <c r="S2587" s="116" t="s">
        <v>39</v>
      </c>
      <c r="T2587" s="104"/>
      <c r="U2587" s="116"/>
      <c r="V2587" s="104"/>
      <c r="W2587" s="116"/>
    </row>
    <row r="2588">
      <c r="A2588" s="114" t="s">
        <v>39</v>
      </c>
      <c r="B2588" s="115"/>
      <c r="C2588" s="116"/>
      <c r="D2588" s="116"/>
      <c r="E2588" s="116" t="str">
        <f>IFERROR(__xludf.DUMMYFUNCTION("""COMPUTED_VALUE"""),"")</f>
        <v/>
      </c>
      <c r="F2588" s="117" t="s">
        <v>39</v>
      </c>
      <c r="G2588" s="116"/>
      <c r="H2588" s="117"/>
      <c r="I2588" s="117"/>
      <c r="J2588" s="117"/>
      <c r="K2588" s="117"/>
      <c r="L2588" s="116"/>
      <c r="M2588" s="117"/>
      <c r="N2588" s="118" t="str">
        <f>IFERROR(__xludf.DUMMYFUNCTION("""COMPUTED_VALUE"""),"")</f>
        <v/>
      </c>
      <c r="O2588" s="116"/>
      <c r="P2588" s="116"/>
      <c r="Q2588" s="116"/>
      <c r="R2588" s="116" t="s">
        <v>39</v>
      </c>
      <c r="S2588" s="116" t="s">
        <v>39</v>
      </c>
      <c r="T2588" s="104"/>
      <c r="U2588" s="116"/>
      <c r="V2588" s="104"/>
      <c r="W2588" s="116"/>
    </row>
    <row r="2589">
      <c r="A2589" s="114" t="s">
        <v>39</v>
      </c>
      <c r="B2589" s="115"/>
      <c r="C2589" s="116"/>
      <c r="D2589" s="116"/>
      <c r="E2589" s="116" t="str">
        <f>IFERROR(__xludf.DUMMYFUNCTION("""COMPUTED_VALUE"""),"")</f>
        <v/>
      </c>
      <c r="F2589" s="117" t="s">
        <v>39</v>
      </c>
      <c r="G2589" s="116"/>
      <c r="H2589" s="117"/>
      <c r="I2589" s="117"/>
      <c r="J2589" s="117"/>
      <c r="K2589" s="117"/>
      <c r="L2589" s="116"/>
      <c r="M2589" s="117"/>
      <c r="N2589" s="118" t="str">
        <f>IFERROR(__xludf.DUMMYFUNCTION("""COMPUTED_VALUE"""),"")</f>
        <v/>
      </c>
      <c r="O2589" s="116"/>
      <c r="P2589" s="116"/>
      <c r="Q2589" s="116"/>
      <c r="R2589" s="116" t="s">
        <v>39</v>
      </c>
      <c r="S2589" s="116" t="s">
        <v>39</v>
      </c>
      <c r="T2589" s="104"/>
      <c r="U2589" s="116"/>
      <c r="V2589" s="104"/>
      <c r="W2589" s="116"/>
    </row>
    <row r="2590">
      <c r="A2590" s="114" t="s">
        <v>39</v>
      </c>
      <c r="B2590" s="115"/>
      <c r="C2590" s="116"/>
      <c r="D2590" s="116"/>
      <c r="E2590" s="116" t="str">
        <f>IFERROR(__xludf.DUMMYFUNCTION("""COMPUTED_VALUE"""),"")</f>
        <v/>
      </c>
      <c r="F2590" s="117" t="s">
        <v>39</v>
      </c>
      <c r="G2590" s="116"/>
      <c r="H2590" s="117"/>
      <c r="I2590" s="117"/>
      <c r="J2590" s="117"/>
      <c r="K2590" s="117"/>
      <c r="L2590" s="116"/>
      <c r="M2590" s="117"/>
      <c r="N2590" s="118" t="str">
        <f>IFERROR(__xludf.DUMMYFUNCTION("""COMPUTED_VALUE"""),"")</f>
        <v/>
      </c>
      <c r="O2590" s="116"/>
      <c r="P2590" s="116"/>
      <c r="Q2590" s="116"/>
      <c r="R2590" s="116" t="s">
        <v>39</v>
      </c>
      <c r="S2590" s="116" t="s">
        <v>39</v>
      </c>
      <c r="T2590" s="104"/>
      <c r="U2590" s="116"/>
      <c r="V2590" s="104"/>
      <c r="W2590" s="116"/>
    </row>
    <row r="2591">
      <c r="A2591" s="114" t="s">
        <v>39</v>
      </c>
      <c r="B2591" s="115"/>
      <c r="C2591" s="116"/>
      <c r="D2591" s="116"/>
      <c r="E2591" s="116" t="str">
        <f>IFERROR(__xludf.DUMMYFUNCTION("""COMPUTED_VALUE"""),"")</f>
        <v/>
      </c>
      <c r="F2591" s="117" t="s">
        <v>39</v>
      </c>
      <c r="G2591" s="116"/>
      <c r="H2591" s="117"/>
      <c r="I2591" s="117"/>
      <c r="J2591" s="117"/>
      <c r="K2591" s="117"/>
      <c r="L2591" s="116"/>
      <c r="M2591" s="117"/>
      <c r="N2591" s="118" t="str">
        <f>IFERROR(__xludf.DUMMYFUNCTION("""COMPUTED_VALUE"""),"")</f>
        <v/>
      </c>
      <c r="O2591" s="116"/>
      <c r="P2591" s="116"/>
      <c r="Q2591" s="116"/>
      <c r="R2591" s="116" t="s">
        <v>39</v>
      </c>
      <c r="S2591" s="116" t="s">
        <v>39</v>
      </c>
      <c r="T2591" s="104"/>
      <c r="U2591" s="116"/>
      <c r="V2591" s="104"/>
      <c r="W2591" s="116"/>
    </row>
    <row r="2592">
      <c r="A2592" s="114" t="s">
        <v>39</v>
      </c>
      <c r="B2592" s="115"/>
      <c r="C2592" s="116"/>
      <c r="D2592" s="116"/>
      <c r="E2592" s="116" t="str">
        <f>IFERROR(__xludf.DUMMYFUNCTION("""COMPUTED_VALUE"""),"")</f>
        <v/>
      </c>
      <c r="F2592" s="117" t="s">
        <v>39</v>
      </c>
      <c r="G2592" s="116"/>
      <c r="H2592" s="117"/>
      <c r="I2592" s="117"/>
      <c r="J2592" s="117"/>
      <c r="K2592" s="117"/>
      <c r="L2592" s="116"/>
      <c r="M2592" s="117"/>
      <c r="N2592" s="118" t="str">
        <f>IFERROR(__xludf.DUMMYFUNCTION("""COMPUTED_VALUE"""),"")</f>
        <v/>
      </c>
      <c r="O2592" s="116"/>
      <c r="P2592" s="116"/>
      <c r="Q2592" s="116"/>
      <c r="R2592" s="116" t="s">
        <v>39</v>
      </c>
      <c r="S2592" s="116" t="s">
        <v>39</v>
      </c>
      <c r="T2592" s="104"/>
      <c r="U2592" s="116"/>
      <c r="V2592" s="104"/>
      <c r="W2592" s="116"/>
    </row>
    <row r="2593">
      <c r="A2593" s="114" t="s">
        <v>39</v>
      </c>
      <c r="B2593" s="115"/>
      <c r="C2593" s="116"/>
      <c r="D2593" s="116"/>
      <c r="E2593" s="116" t="str">
        <f>IFERROR(__xludf.DUMMYFUNCTION("""COMPUTED_VALUE"""),"")</f>
        <v/>
      </c>
      <c r="F2593" s="117" t="s">
        <v>39</v>
      </c>
      <c r="G2593" s="116"/>
      <c r="H2593" s="117"/>
      <c r="I2593" s="117"/>
      <c r="J2593" s="117"/>
      <c r="K2593" s="117"/>
      <c r="L2593" s="116"/>
      <c r="M2593" s="117"/>
      <c r="N2593" s="118" t="str">
        <f>IFERROR(__xludf.DUMMYFUNCTION("""COMPUTED_VALUE"""),"")</f>
        <v/>
      </c>
      <c r="O2593" s="116"/>
      <c r="P2593" s="116"/>
      <c r="Q2593" s="116"/>
      <c r="R2593" s="116" t="s">
        <v>39</v>
      </c>
      <c r="S2593" s="116" t="s">
        <v>39</v>
      </c>
      <c r="T2593" s="104"/>
      <c r="U2593" s="116"/>
      <c r="V2593" s="104"/>
      <c r="W2593" s="116"/>
    </row>
    <row r="2594">
      <c r="A2594" s="114" t="s">
        <v>39</v>
      </c>
      <c r="B2594" s="115"/>
      <c r="C2594" s="116"/>
      <c r="D2594" s="116"/>
      <c r="E2594" s="116" t="str">
        <f>IFERROR(__xludf.DUMMYFUNCTION("""COMPUTED_VALUE"""),"")</f>
        <v/>
      </c>
      <c r="F2594" s="117" t="s">
        <v>39</v>
      </c>
      <c r="G2594" s="116"/>
      <c r="H2594" s="117"/>
      <c r="I2594" s="117"/>
      <c r="J2594" s="117"/>
      <c r="K2594" s="117"/>
      <c r="L2594" s="116"/>
      <c r="M2594" s="117"/>
      <c r="N2594" s="118" t="str">
        <f>IFERROR(__xludf.DUMMYFUNCTION("""COMPUTED_VALUE"""),"")</f>
        <v/>
      </c>
      <c r="O2594" s="116"/>
      <c r="P2594" s="116"/>
      <c r="Q2594" s="116"/>
      <c r="R2594" s="116" t="s">
        <v>39</v>
      </c>
      <c r="S2594" s="116" t="s">
        <v>39</v>
      </c>
      <c r="T2594" s="104"/>
      <c r="U2594" s="116"/>
      <c r="V2594" s="104"/>
      <c r="W2594" s="116"/>
    </row>
    <row r="2595">
      <c r="A2595" s="114" t="s">
        <v>39</v>
      </c>
      <c r="B2595" s="115"/>
      <c r="C2595" s="116"/>
      <c r="D2595" s="116"/>
      <c r="E2595" s="116" t="str">
        <f>IFERROR(__xludf.DUMMYFUNCTION("""COMPUTED_VALUE"""),"")</f>
        <v/>
      </c>
      <c r="F2595" s="117" t="s">
        <v>39</v>
      </c>
      <c r="G2595" s="116"/>
      <c r="H2595" s="117"/>
      <c r="I2595" s="117"/>
      <c r="J2595" s="117"/>
      <c r="K2595" s="117"/>
      <c r="L2595" s="116"/>
      <c r="M2595" s="117"/>
      <c r="N2595" s="118" t="str">
        <f>IFERROR(__xludf.DUMMYFUNCTION("""COMPUTED_VALUE"""),"")</f>
        <v/>
      </c>
      <c r="O2595" s="116"/>
      <c r="P2595" s="116"/>
      <c r="Q2595" s="116"/>
      <c r="R2595" s="116" t="s">
        <v>39</v>
      </c>
      <c r="S2595" s="116" t="s">
        <v>39</v>
      </c>
      <c r="T2595" s="104"/>
      <c r="U2595" s="116"/>
      <c r="V2595" s="104"/>
      <c r="W2595" s="116"/>
    </row>
    <row r="2596">
      <c r="A2596" s="114" t="s">
        <v>39</v>
      </c>
      <c r="B2596" s="115"/>
      <c r="C2596" s="116"/>
      <c r="D2596" s="116"/>
      <c r="E2596" s="116" t="str">
        <f>IFERROR(__xludf.DUMMYFUNCTION("""COMPUTED_VALUE"""),"")</f>
        <v/>
      </c>
      <c r="F2596" s="117" t="s">
        <v>39</v>
      </c>
      <c r="G2596" s="116"/>
      <c r="H2596" s="117"/>
      <c r="I2596" s="117"/>
      <c r="J2596" s="117"/>
      <c r="K2596" s="117"/>
      <c r="L2596" s="116"/>
      <c r="M2596" s="117"/>
      <c r="N2596" s="118" t="str">
        <f>IFERROR(__xludf.DUMMYFUNCTION("""COMPUTED_VALUE"""),"")</f>
        <v/>
      </c>
      <c r="O2596" s="116"/>
      <c r="P2596" s="116"/>
      <c r="Q2596" s="116"/>
      <c r="R2596" s="116" t="s">
        <v>39</v>
      </c>
      <c r="S2596" s="116" t="s">
        <v>39</v>
      </c>
      <c r="T2596" s="104"/>
      <c r="U2596" s="116"/>
      <c r="V2596" s="104"/>
      <c r="W2596" s="116"/>
    </row>
    <row r="2597">
      <c r="A2597" s="114" t="s">
        <v>39</v>
      </c>
      <c r="B2597" s="115"/>
      <c r="C2597" s="116"/>
      <c r="D2597" s="116"/>
      <c r="E2597" s="116" t="str">
        <f>IFERROR(__xludf.DUMMYFUNCTION("""COMPUTED_VALUE"""),"")</f>
        <v/>
      </c>
      <c r="F2597" s="117" t="s">
        <v>39</v>
      </c>
      <c r="G2597" s="116"/>
      <c r="H2597" s="117"/>
      <c r="I2597" s="117"/>
      <c r="J2597" s="117"/>
      <c r="K2597" s="117"/>
      <c r="L2597" s="116"/>
      <c r="M2597" s="117"/>
      <c r="N2597" s="118" t="str">
        <f>IFERROR(__xludf.DUMMYFUNCTION("""COMPUTED_VALUE"""),"")</f>
        <v/>
      </c>
      <c r="O2597" s="116"/>
      <c r="P2597" s="116"/>
      <c r="Q2597" s="116"/>
      <c r="R2597" s="116" t="s">
        <v>39</v>
      </c>
      <c r="S2597" s="116" t="s">
        <v>39</v>
      </c>
      <c r="T2597" s="104"/>
      <c r="U2597" s="116"/>
      <c r="V2597" s="104"/>
      <c r="W2597" s="116"/>
    </row>
    <row r="2598">
      <c r="A2598" s="114" t="s">
        <v>39</v>
      </c>
      <c r="B2598" s="115"/>
      <c r="C2598" s="116"/>
      <c r="D2598" s="116"/>
      <c r="E2598" s="116" t="str">
        <f>IFERROR(__xludf.DUMMYFUNCTION("""COMPUTED_VALUE"""),"")</f>
        <v/>
      </c>
      <c r="F2598" s="117" t="s">
        <v>39</v>
      </c>
      <c r="G2598" s="116"/>
      <c r="H2598" s="117"/>
      <c r="I2598" s="117"/>
      <c r="J2598" s="117"/>
      <c r="K2598" s="117"/>
      <c r="L2598" s="116"/>
      <c r="M2598" s="117"/>
      <c r="N2598" s="118" t="str">
        <f>IFERROR(__xludf.DUMMYFUNCTION("""COMPUTED_VALUE"""),"")</f>
        <v/>
      </c>
      <c r="O2598" s="116"/>
      <c r="P2598" s="116"/>
      <c r="Q2598" s="116"/>
      <c r="R2598" s="116" t="s">
        <v>39</v>
      </c>
      <c r="S2598" s="116" t="s">
        <v>39</v>
      </c>
      <c r="T2598" s="104"/>
      <c r="U2598" s="116"/>
      <c r="V2598" s="104"/>
      <c r="W2598" s="116"/>
    </row>
    <row r="2599">
      <c r="A2599" s="114" t="s">
        <v>39</v>
      </c>
      <c r="B2599" s="115"/>
      <c r="C2599" s="116"/>
      <c r="D2599" s="116"/>
      <c r="E2599" s="116" t="str">
        <f>IFERROR(__xludf.DUMMYFUNCTION("""COMPUTED_VALUE"""),"")</f>
        <v/>
      </c>
      <c r="F2599" s="117" t="s">
        <v>39</v>
      </c>
      <c r="G2599" s="116"/>
      <c r="H2599" s="117"/>
      <c r="I2599" s="117"/>
      <c r="J2599" s="117"/>
      <c r="K2599" s="117"/>
      <c r="L2599" s="116"/>
      <c r="M2599" s="117"/>
      <c r="N2599" s="118" t="str">
        <f>IFERROR(__xludf.DUMMYFUNCTION("""COMPUTED_VALUE"""),"")</f>
        <v/>
      </c>
      <c r="O2599" s="116"/>
      <c r="P2599" s="116"/>
      <c r="Q2599" s="116"/>
      <c r="R2599" s="116" t="s">
        <v>39</v>
      </c>
      <c r="S2599" s="116" t="s">
        <v>39</v>
      </c>
      <c r="T2599" s="104"/>
      <c r="U2599" s="116"/>
      <c r="V2599" s="104"/>
      <c r="W2599" s="116"/>
    </row>
    <row r="2600">
      <c r="A2600" s="114" t="s">
        <v>39</v>
      </c>
      <c r="B2600" s="115"/>
      <c r="C2600" s="116"/>
      <c r="D2600" s="116"/>
      <c r="E2600" s="116" t="str">
        <f>IFERROR(__xludf.DUMMYFUNCTION("""COMPUTED_VALUE"""),"")</f>
        <v/>
      </c>
      <c r="F2600" s="117" t="s">
        <v>39</v>
      </c>
      <c r="G2600" s="116"/>
      <c r="H2600" s="117"/>
      <c r="I2600" s="117"/>
      <c r="J2600" s="117"/>
      <c r="K2600" s="117"/>
      <c r="L2600" s="116"/>
      <c r="M2600" s="117"/>
      <c r="N2600" s="118" t="str">
        <f>IFERROR(__xludf.DUMMYFUNCTION("""COMPUTED_VALUE"""),"")</f>
        <v/>
      </c>
      <c r="O2600" s="116"/>
      <c r="P2600" s="116"/>
      <c r="Q2600" s="116"/>
      <c r="R2600" s="116" t="s">
        <v>39</v>
      </c>
      <c r="S2600" s="116" t="s">
        <v>39</v>
      </c>
      <c r="T2600" s="104"/>
      <c r="U2600" s="116"/>
      <c r="V2600" s="104"/>
      <c r="W2600" s="116"/>
    </row>
    <row r="2601">
      <c r="A2601" s="114" t="s">
        <v>39</v>
      </c>
      <c r="B2601" s="115"/>
      <c r="C2601" s="116"/>
      <c r="D2601" s="116"/>
      <c r="E2601" s="116" t="str">
        <f>IFERROR(__xludf.DUMMYFUNCTION("""COMPUTED_VALUE"""),"")</f>
        <v/>
      </c>
      <c r="F2601" s="117" t="s">
        <v>39</v>
      </c>
      <c r="G2601" s="116"/>
      <c r="H2601" s="117"/>
      <c r="I2601" s="117"/>
      <c r="J2601" s="117"/>
      <c r="K2601" s="117"/>
      <c r="L2601" s="116"/>
      <c r="M2601" s="117"/>
      <c r="N2601" s="118" t="str">
        <f>IFERROR(__xludf.DUMMYFUNCTION("""COMPUTED_VALUE"""),"")</f>
        <v/>
      </c>
      <c r="O2601" s="116"/>
      <c r="P2601" s="116"/>
      <c r="Q2601" s="116"/>
      <c r="R2601" s="116" t="s">
        <v>39</v>
      </c>
      <c r="S2601" s="116" t="s">
        <v>39</v>
      </c>
      <c r="T2601" s="104"/>
      <c r="U2601" s="116"/>
      <c r="V2601" s="104"/>
      <c r="W2601" s="116"/>
    </row>
    <row r="2602">
      <c r="A2602" s="114" t="s">
        <v>39</v>
      </c>
      <c r="B2602" s="115"/>
      <c r="C2602" s="116"/>
      <c r="D2602" s="116"/>
      <c r="E2602" s="116" t="str">
        <f>IFERROR(__xludf.DUMMYFUNCTION("""COMPUTED_VALUE"""),"")</f>
        <v/>
      </c>
      <c r="F2602" s="117" t="s">
        <v>39</v>
      </c>
      <c r="G2602" s="116"/>
      <c r="H2602" s="117"/>
      <c r="I2602" s="117"/>
      <c r="J2602" s="117"/>
      <c r="K2602" s="117"/>
      <c r="L2602" s="116"/>
      <c r="M2602" s="117"/>
      <c r="N2602" s="118" t="str">
        <f>IFERROR(__xludf.DUMMYFUNCTION("""COMPUTED_VALUE"""),"")</f>
        <v/>
      </c>
      <c r="O2602" s="116"/>
      <c r="P2602" s="116"/>
      <c r="Q2602" s="116"/>
      <c r="R2602" s="116" t="s">
        <v>39</v>
      </c>
      <c r="S2602" s="116" t="s">
        <v>39</v>
      </c>
      <c r="T2602" s="104"/>
      <c r="U2602" s="116"/>
      <c r="V2602" s="104"/>
      <c r="W2602" s="116"/>
    </row>
    <row r="2603">
      <c r="A2603" s="114" t="s">
        <v>39</v>
      </c>
      <c r="B2603" s="115"/>
      <c r="C2603" s="116"/>
      <c r="D2603" s="116"/>
      <c r="E2603" s="116" t="str">
        <f>IFERROR(__xludf.DUMMYFUNCTION("""COMPUTED_VALUE"""),"")</f>
        <v/>
      </c>
      <c r="F2603" s="117" t="s">
        <v>39</v>
      </c>
      <c r="G2603" s="116"/>
      <c r="H2603" s="117"/>
      <c r="I2603" s="117"/>
      <c r="J2603" s="117"/>
      <c r="K2603" s="117"/>
      <c r="L2603" s="116"/>
      <c r="M2603" s="117"/>
      <c r="N2603" s="118" t="str">
        <f>IFERROR(__xludf.DUMMYFUNCTION("""COMPUTED_VALUE"""),"")</f>
        <v/>
      </c>
      <c r="O2603" s="116"/>
      <c r="P2603" s="116"/>
      <c r="Q2603" s="116"/>
      <c r="R2603" s="116" t="s">
        <v>39</v>
      </c>
      <c r="S2603" s="116" t="s">
        <v>39</v>
      </c>
      <c r="T2603" s="104"/>
      <c r="U2603" s="116"/>
      <c r="V2603" s="104"/>
      <c r="W2603" s="116"/>
    </row>
    <row r="2604">
      <c r="A2604" s="114" t="s">
        <v>39</v>
      </c>
      <c r="B2604" s="115"/>
      <c r="C2604" s="116"/>
      <c r="D2604" s="116"/>
      <c r="E2604" s="116" t="str">
        <f>IFERROR(__xludf.DUMMYFUNCTION("""COMPUTED_VALUE"""),"")</f>
        <v/>
      </c>
      <c r="F2604" s="117" t="s">
        <v>39</v>
      </c>
      <c r="G2604" s="116"/>
      <c r="H2604" s="117"/>
      <c r="I2604" s="117"/>
      <c r="J2604" s="117"/>
      <c r="K2604" s="117"/>
      <c r="L2604" s="116"/>
      <c r="M2604" s="117"/>
      <c r="N2604" s="118" t="str">
        <f>IFERROR(__xludf.DUMMYFUNCTION("""COMPUTED_VALUE"""),"")</f>
        <v/>
      </c>
      <c r="O2604" s="116"/>
      <c r="P2604" s="116"/>
      <c r="Q2604" s="116"/>
      <c r="R2604" s="116" t="s">
        <v>39</v>
      </c>
      <c r="S2604" s="116" t="s">
        <v>39</v>
      </c>
      <c r="T2604" s="104"/>
      <c r="U2604" s="116"/>
      <c r="V2604" s="104"/>
      <c r="W2604" s="116"/>
    </row>
    <row r="2605">
      <c r="A2605" s="114" t="s">
        <v>39</v>
      </c>
      <c r="B2605" s="115"/>
      <c r="C2605" s="116"/>
      <c r="D2605" s="116"/>
      <c r="E2605" s="116" t="str">
        <f>IFERROR(__xludf.DUMMYFUNCTION("""COMPUTED_VALUE"""),"")</f>
        <v/>
      </c>
      <c r="F2605" s="117" t="s">
        <v>39</v>
      </c>
      <c r="G2605" s="116"/>
      <c r="H2605" s="117"/>
      <c r="I2605" s="117"/>
      <c r="J2605" s="117"/>
      <c r="K2605" s="117"/>
      <c r="L2605" s="116"/>
      <c r="M2605" s="117"/>
      <c r="N2605" s="118" t="str">
        <f>IFERROR(__xludf.DUMMYFUNCTION("""COMPUTED_VALUE"""),"")</f>
        <v/>
      </c>
      <c r="O2605" s="116"/>
      <c r="P2605" s="116"/>
      <c r="Q2605" s="116"/>
      <c r="R2605" s="116" t="s">
        <v>39</v>
      </c>
      <c r="S2605" s="116" t="s">
        <v>39</v>
      </c>
      <c r="T2605" s="104"/>
      <c r="U2605" s="116"/>
      <c r="V2605" s="104"/>
      <c r="W2605" s="116"/>
    </row>
    <row r="2606">
      <c r="A2606" s="114" t="s">
        <v>39</v>
      </c>
      <c r="B2606" s="115"/>
      <c r="C2606" s="116"/>
      <c r="D2606" s="116"/>
      <c r="E2606" s="116" t="str">
        <f>IFERROR(__xludf.DUMMYFUNCTION("""COMPUTED_VALUE"""),"")</f>
        <v/>
      </c>
      <c r="F2606" s="117" t="s">
        <v>39</v>
      </c>
      <c r="G2606" s="116"/>
      <c r="H2606" s="117"/>
      <c r="I2606" s="117"/>
      <c r="J2606" s="117"/>
      <c r="K2606" s="117"/>
      <c r="L2606" s="116"/>
      <c r="M2606" s="117"/>
      <c r="N2606" s="118" t="str">
        <f>IFERROR(__xludf.DUMMYFUNCTION("""COMPUTED_VALUE"""),"")</f>
        <v/>
      </c>
      <c r="O2606" s="116"/>
      <c r="P2606" s="116"/>
      <c r="Q2606" s="116"/>
      <c r="R2606" s="116" t="s">
        <v>39</v>
      </c>
      <c r="S2606" s="116" t="s">
        <v>39</v>
      </c>
      <c r="T2606" s="104"/>
      <c r="U2606" s="116"/>
      <c r="V2606" s="104"/>
      <c r="W2606" s="116"/>
    </row>
    <row r="2607">
      <c r="A2607" s="114" t="s">
        <v>39</v>
      </c>
      <c r="B2607" s="115"/>
      <c r="C2607" s="116"/>
      <c r="D2607" s="116"/>
      <c r="E2607" s="116" t="str">
        <f>IFERROR(__xludf.DUMMYFUNCTION("""COMPUTED_VALUE"""),"")</f>
        <v/>
      </c>
      <c r="F2607" s="117" t="s">
        <v>39</v>
      </c>
      <c r="G2607" s="116"/>
      <c r="H2607" s="117"/>
      <c r="I2607" s="117"/>
      <c r="J2607" s="117"/>
      <c r="K2607" s="117"/>
      <c r="L2607" s="116"/>
      <c r="M2607" s="117"/>
      <c r="N2607" s="118" t="str">
        <f>IFERROR(__xludf.DUMMYFUNCTION("""COMPUTED_VALUE"""),"")</f>
        <v/>
      </c>
      <c r="O2607" s="116"/>
      <c r="P2607" s="116"/>
      <c r="Q2607" s="116"/>
      <c r="R2607" s="116" t="s">
        <v>39</v>
      </c>
      <c r="S2607" s="116" t="s">
        <v>39</v>
      </c>
      <c r="T2607" s="104"/>
      <c r="U2607" s="116"/>
      <c r="V2607" s="104"/>
      <c r="W2607" s="116"/>
    </row>
    <row r="2608">
      <c r="A2608" s="114" t="s">
        <v>39</v>
      </c>
      <c r="B2608" s="115"/>
      <c r="C2608" s="116"/>
      <c r="D2608" s="116"/>
      <c r="E2608" s="116" t="str">
        <f>IFERROR(__xludf.DUMMYFUNCTION("""COMPUTED_VALUE"""),"")</f>
        <v/>
      </c>
      <c r="F2608" s="117" t="s">
        <v>39</v>
      </c>
      <c r="G2608" s="116"/>
      <c r="H2608" s="117"/>
      <c r="I2608" s="117"/>
      <c r="J2608" s="117"/>
      <c r="K2608" s="117"/>
      <c r="L2608" s="116"/>
      <c r="M2608" s="117"/>
      <c r="N2608" s="118" t="str">
        <f>IFERROR(__xludf.DUMMYFUNCTION("""COMPUTED_VALUE"""),"")</f>
        <v/>
      </c>
      <c r="O2608" s="116"/>
      <c r="P2608" s="116"/>
      <c r="Q2608" s="116"/>
      <c r="R2608" s="116" t="s">
        <v>39</v>
      </c>
      <c r="S2608" s="116" t="s">
        <v>39</v>
      </c>
      <c r="T2608" s="104"/>
      <c r="U2608" s="116"/>
      <c r="V2608" s="104"/>
      <c r="W2608" s="116"/>
    </row>
    <row r="2609">
      <c r="A2609" s="114" t="s">
        <v>39</v>
      </c>
      <c r="B2609" s="115"/>
      <c r="C2609" s="116"/>
      <c r="D2609" s="116"/>
      <c r="E2609" s="116" t="str">
        <f>IFERROR(__xludf.DUMMYFUNCTION("""COMPUTED_VALUE"""),"")</f>
        <v/>
      </c>
      <c r="F2609" s="117" t="s">
        <v>39</v>
      </c>
      <c r="G2609" s="116"/>
      <c r="H2609" s="117"/>
      <c r="I2609" s="117"/>
      <c r="J2609" s="117"/>
      <c r="K2609" s="117"/>
      <c r="L2609" s="116"/>
      <c r="M2609" s="117"/>
      <c r="N2609" s="118" t="str">
        <f>IFERROR(__xludf.DUMMYFUNCTION("""COMPUTED_VALUE"""),"")</f>
        <v/>
      </c>
      <c r="O2609" s="116"/>
      <c r="P2609" s="116"/>
      <c r="Q2609" s="116"/>
      <c r="R2609" s="116" t="s">
        <v>39</v>
      </c>
      <c r="S2609" s="116" t="s">
        <v>39</v>
      </c>
      <c r="T2609" s="104"/>
      <c r="U2609" s="116"/>
      <c r="V2609" s="104"/>
      <c r="W2609" s="116"/>
    </row>
    <row r="2610">
      <c r="A2610" s="114" t="s">
        <v>39</v>
      </c>
      <c r="B2610" s="115"/>
      <c r="C2610" s="116"/>
      <c r="D2610" s="116"/>
      <c r="E2610" s="116" t="str">
        <f>IFERROR(__xludf.DUMMYFUNCTION("""COMPUTED_VALUE"""),"")</f>
        <v/>
      </c>
      <c r="F2610" s="117" t="s">
        <v>39</v>
      </c>
      <c r="G2610" s="116"/>
      <c r="H2610" s="117"/>
      <c r="I2610" s="117"/>
      <c r="J2610" s="117"/>
      <c r="K2610" s="117"/>
      <c r="L2610" s="116"/>
      <c r="M2610" s="117"/>
      <c r="N2610" s="118" t="str">
        <f>IFERROR(__xludf.DUMMYFUNCTION("""COMPUTED_VALUE"""),"")</f>
        <v/>
      </c>
      <c r="O2610" s="116"/>
      <c r="P2610" s="116"/>
      <c r="Q2610" s="116"/>
      <c r="R2610" s="116" t="s">
        <v>39</v>
      </c>
      <c r="S2610" s="116" t="s">
        <v>39</v>
      </c>
      <c r="T2610" s="104"/>
      <c r="U2610" s="116"/>
      <c r="V2610" s="104"/>
      <c r="W2610" s="116"/>
    </row>
    <row r="2611">
      <c r="A2611" s="114" t="s">
        <v>39</v>
      </c>
      <c r="B2611" s="115"/>
      <c r="C2611" s="116"/>
      <c r="D2611" s="116"/>
      <c r="E2611" s="116" t="str">
        <f>IFERROR(__xludf.DUMMYFUNCTION("""COMPUTED_VALUE"""),"")</f>
        <v/>
      </c>
      <c r="F2611" s="117" t="s">
        <v>39</v>
      </c>
      <c r="G2611" s="116"/>
      <c r="H2611" s="117"/>
      <c r="I2611" s="117"/>
      <c r="J2611" s="117"/>
      <c r="K2611" s="117"/>
      <c r="L2611" s="116"/>
      <c r="M2611" s="117"/>
      <c r="N2611" s="118" t="str">
        <f>IFERROR(__xludf.DUMMYFUNCTION("""COMPUTED_VALUE"""),"")</f>
        <v/>
      </c>
      <c r="O2611" s="116"/>
      <c r="P2611" s="116"/>
      <c r="Q2611" s="116"/>
      <c r="R2611" s="116" t="s">
        <v>39</v>
      </c>
      <c r="S2611" s="116" t="s">
        <v>39</v>
      </c>
      <c r="T2611" s="104"/>
      <c r="U2611" s="116"/>
      <c r="V2611" s="104"/>
      <c r="W2611" s="116"/>
    </row>
    <row r="2612">
      <c r="A2612" s="114" t="s">
        <v>39</v>
      </c>
      <c r="B2612" s="115"/>
      <c r="C2612" s="116"/>
      <c r="D2612" s="116"/>
      <c r="E2612" s="116" t="str">
        <f>IFERROR(__xludf.DUMMYFUNCTION("""COMPUTED_VALUE"""),"")</f>
        <v/>
      </c>
      <c r="F2612" s="117" t="s">
        <v>39</v>
      </c>
      <c r="G2612" s="116"/>
      <c r="H2612" s="117"/>
      <c r="I2612" s="117"/>
      <c r="J2612" s="117"/>
      <c r="K2612" s="117"/>
      <c r="L2612" s="116"/>
      <c r="M2612" s="117"/>
      <c r="N2612" s="118" t="str">
        <f>IFERROR(__xludf.DUMMYFUNCTION("""COMPUTED_VALUE"""),"")</f>
        <v/>
      </c>
      <c r="O2612" s="116"/>
      <c r="P2612" s="116"/>
      <c r="Q2612" s="116"/>
      <c r="R2612" s="116" t="s">
        <v>39</v>
      </c>
      <c r="S2612" s="116" t="s">
        <v>39</v>
      </c>
      <c r="T2612" s="104"/>
      <c r="U2612" s="116"/>
      <c r="V2612" s="104"/>
      <c r="W2612" s="116"/>
    </row>
    <row r="2613">
      <c r="A2613" s="114" t="s">
        <v>39</v>
      </c>
      <c r="B2613" s="115"/>
      <c r="C2613" s="116"/>
      <c r="D2613" s="116"/>
      <c r="E2613" s="116" t="str">
        <f>IFERROR(__xludf.DUMMYFUNCTION("""COMPUTED_VALUE"""),"")</f>
        <v/>
      </c>
      <c r="F2613" s="117" t="s">
        <v>39</v>
      </c>
      <c r="G2613" s="116"/>
      <c r="H2613" s="117"/>
      <c r="I2613" s="117"/>
      <c r="J2613" s="117"/>
      <c r="K2613" s="117"/>
      <c r="L2613" s="116"/>
      <c r="M2613" s="117"/>
      <c r="N2613" s="118" t="str">
        <f>IFERROR(__xludf.DUMMYFUNCTION("""COMPUTED_VALUE"""),"")</f>
        <v/>
      </c>
      <c r="O2613" s="116"/>
      <c r="P2613" s="116"/>
      <c r="Q2613" s="116"/>
      <c r="R2613" s="116" t="s">
        <v>39</v>
      </c>
      <c r="S2613" s="116" t="s">
        <v>39</v>
      </c>
      <c r="T2613" s="104"/>
      <c r="U2613" s="116"/>
      <c r="V2613" s="104"/>
      <c r="W2613" s="116"/>
    </row>
    <row r="2614">
      <c r="A2614" s="114" t="s">
        <v>39</v>
      </c>
      <c r="B2614" s="115"/>
      <c r="C2614" s="116"/>
      <c r="D2614" s="116"/>
      <c r="E2614" s="116" t="str">
        <f>IFERROR(__xludf.DUMMYFUNCTION("""COMPUTED_VALUE"""),"")</f>
        <v/>
      </c>
      <c r="F2614" s="117" t="s">
        <v>39</v>
      </c>
      <c r="G2614" s="116"/>
      <c r="H2614" s="117"/>
      <c r="I2614" s="117"/>
      <c r="J2614" s="117"/>
      <c r="K2614" s="117"/>
      <c r="L2614" s="116"/>
      <c r="M2614" s="117"/>
      <c r="N2614" s="118" t="str">
        <f>IFERROR(__xludf.DUMMYFUNCTION("""COMPUTED_VALUE"""),"")</f>
        <v/>
      </c>
      <c r="O2614" s="116"/>
      <c r="P2614" s="116"/>
      <c r="Q2614" s="116"/>
      <c r="R2614" s="116" t="s">
        <v>39</v>
      </c>
      <c r="S2614" s="116" t="s">
        <v>39</v>
      </c>
      <c r="T2614" s="104"/>
      <c r="U2614" s="116"/>
      <c r="V2614" s="104"/>
      <c r="W2614" s="116"/>
    </row>
    <row r="2615">
      <c r="A2615" s="114" t="s">
        <v>39</v>
      </c>
      <c r="B2615" s="115"/>
      <c r="C2615" s="116"/>
      <c r="D2615" s="116"/>
      <c r="E2615" s="116" t="str">
        <f>IFERROR(__xludf.DUMMYFUNCTION("""COMPUTED_VALUE"""),"")</f>
        <v/>
      </c>
      <c r="F2615" s="117" t="s">
        <v>39</v>
      </c>
      <c r="G2615" s="116"/>
      <c r="H2615" s="117"/>
      <c r="I2615" s="117"/>
      <c r="J2615" s="117"/>
      <c r="K2615" s="117"/>
      <c r="L2615" s="116"/>
      <c r="M2615" s="117"/>
      <c r="N2615" s="118" t="str">
        <f>IFERROR(__xludf.DUMMYFUNCTION("""COMPUTED_VALUE"""),"")</f>
        <v/>
      </c>
      <c r="O2615" s="116"/>
      <c r="P2615" s="116"/>
      <c r="Q2615" s="116"/>
      <c r="R2615" s="116" t="s">
        <v>39</v>
      </c>
      <c r="S2615" s="116" t="s">
        <v>39</v>
      </c>
      <c r="T2615" s="104"/>
      <c r="U2615" s="116"/>
      <c r="V2615" s="104"/>
      <c r="W2615" s="116"/>
    </row>
    <row r="2616">
      <c r="A2616" s="114" t="s">
        <v>39</v>
      </c>
      <c r="B2616" s="115"/>
      <c r="C2616" s="116"/>
      <c r="D2616" s="116"/>
      <c r="E2616" s="116" t="str">
        <f>IFERROR(__xludf.DUMMYFUNCTION("""COMPUTED_VALUE"""),"")</f>
        <v/>
      </c>
      <c r="F2616" s="117" t="s">
        <v>39</v>
      </c>
      <c r="G2616" s="116"/>
      <c r="H2616" s="117"/>
      <c r="I2616" s="117"/>
      <c r="J2616" s="117"/>
      <c r="K2616" s="117"/>
      <c r="L2616" s="116"/>
      <c r="M2616" s="117"/>
      <c r="N2616" s="118" t="str">
        <f>IFERROR(__xludf.DUMMYFUNCTION("""COMPUTED_VALUE"""),"")</f>
        <v/>
      </c>
      <c r="O2616" s="116"/>
      <c r="P2616" s="116"/>
      <c r="Q2616" s="116"/>
      <c r="R2616" s="116" t="s">
        <v>39</v>
      </c>
      <c r="S2616" s="116" t="s">
        <v>39</v>
      </c>
      <c r="T2616" s="104"/>
      <c r="U2616" s="116"/>
      <c r="V2616" s="104"/>
      <c r="W2616" s="116"/>
    </row>
    <row r="2617">
      <c r="A2617" s="114" t="s">
        <v>39</v>
      </c>
      <c r="B2617" s="115"/>
      <c r="C2617" s="116"/>
      <c r="D2617" s="116"/>
      <c r="E2617" s="116" t="str">
        <f>IFERROR(__xludf.DUMMYFUNCTION("""COMPUTED_VALUE"""),"")</f>
        <v/>
      </c>
      <c r="F2617" s="117" t="s">
        <v>39</v>
      </c>
      <c r="G2617" s="116"/>
      <c r="H2617" s="117"/>
      <c r="I2617" s="117"/>
      <c r="J2617" s="117"/>
      <c r="K2617" s="117"/>
      <c r="L2617" s="116"/>
      <c r="M2617" s="117"/>
      <c r="N2617" s="118" t="str">
        <f>IFERROR(__xludf.DUMMYFUNCTION("""COMPUTED_VALUE"""),"")</f>
        <v/>
      </c>
      <c r="O2617" s="116"/>
      <c r="P2617" s="116"/>
      <c r="Q2617" s="116"/>
      <c r="R2617" s="116" t="s">
        <v>39</v>
      </c>
      <c r="S2617" s="116" t="s">
        <v>39</v>
      </c>
      <c r="T2617" s="104"/>
      <c r="U2617" s="116"/>
      <c r="V2617" s="104"/>
      <c r="W2617" s="116"/>
    </row>
    <row r="2618">
      <c r="A2618" s="114" t="s">
        <v>39</v>
      </c>
      <c r="B2618" s="115"/>
      <c r="C2618" s="116"/>
      <c r="D2618" s="116"/>
      <c r="E2618" s="116" t="str">
        <f>IFERROR(__xludf.DUMMYFUNCTION("""COMPUTED_VALUE"""),"")</f>
        <v/>
      </c>
      <c r="F2618" s="117" t="s">
        <v>39</v>
      </c>
      <c r="G2618" s="116"/>
      <c r="H2618" s="117"/>
      <c r="I2618" s="117"/>
      <c r="J2618" s="117"/>
      <c r="K2618" s="117"/>
      <c r="L2618" s="116"/>
      <c r="M2618" s="117"/>
      <c r="N2618" s="118" t="str">
        <f>IFERROR(__xludf.DUMMYFUNCTION("""COMPUTED_VALUE"""),"")</f>
        <v/>
      </c>
      <c r="O2618" s="116"/>
      <c r="P2618" s="116"/>
      <c r="Q2618" s="116"/>
      <c r="R2618" s="116" t="s">
        <v>39</v>
      </c>
      <c r="S2618" s="116" t="s">
        <v>39</v>
      </c>
      <c r="T2618" s="104"/>
      <c r="U2618" s="116"/>
      <c r="V2618" s="104"/>
      <c r="W2618" s="116"/>
    </row>
    <row r="2619">
      <c r="A2619" s="114" t="s">
        <v>39</v>
      </c>
      <c r="B2619" s="115"/>
      <c r="C2619" s="116"/>
      <c r="D2619" s="116"/>
      <c r="E2619" s="116" t="str">
        <f>IFERROR(__xludf.DUMMYFUNCTION("""COMPUTED_VALUE"""),"")</f>
        <v/>
      </c>
      <c r="F2619" s="117" t="s">
        <v>39</v>
      </c>
      <c r="G2619" s="116"/>
      <c r="H2619" s="117"/>
      <c r="I2619" s="117"/>
      <c r="J2619" s="117"/>
      <c r="K2619" s="117"/>
      <c r="L2619" s="116"/>
      <c r="M2619" s="117"/>
      <c r="N2619" s="118" t="str">
        <f>IFERROR(__xludf.DUMMYFUNCTION("""COMPUTED_VALUE"""),"")</f>
        <v/>
      </c>
      <c r="O2619" s="116"/>
      <c r="P2619" s="116"/>
      <c r="Q2619" s="116"/>
      <c r="R2619" s="116" t="s">
        <v>39</v>
      </c>
      <c r="S2619" s="116" t="s">
        <v>39</v>
      </c>
      <c r="T2619" s="104"/>
      <c r="U2619" s="116"/>
      <c r="V2619" s="104"/>
      <c r="W2619" s="116"/>
    </row>
    <row r="2620">
      <c r="A2620" s="114" t="s">
        <v>39</v>
      </c>
      <c r="B2620" s="115"/>
      <c r="C2620" s="116"/>
      <c r="D2620" s="116"/>
      <c r="E2620" s="116" t="str">
        <f>IFERROR(__xludf.DUMMYFUNCTION("""COMPUTED_VALUE"""),"")</f>
        <v/>
      </c>
      <c r="F2620" s="117" t="s">
        <v>39</v>
      </c>
      <c r="G2620" s="116"/>
      <c r="H2620" s="117"/>
      <c r="I2620" s="117"/>
      <c r="J2620" s="117"/>
      <c r="K2620" s="117"/>
      <c r="L2620" s="116"/>
      <c r="M2620" s="117"/>
      <c r="N2620" s="118" t="str">
        <f>IFERROR(__xludf.DUMMYFUNCTION("""COMPUTED_VALUE"""),"")</f>
        <v/>
      </c>
      <c r="O2620" s="116"/>
      <c r="P2620" s="116"/>
      <c r="Q2620" s="116"/>
      <c r="R2620" s="116" t="s">
        <v>39</v>
      </c>
      <c r="S2620" s="116" t="s">
        <v>39</v>
      </c>
      <c r="T2620" s="104"/>
      <c r="U2620" s="116"/>
      <c r="V2620" s="104"/>
      <c r="W2620" s="116"/>
    </row>
    <row r="2621">
      <c r="A2621" s="114" t="s">
        <v>39</v>
      </c>
      <c r="B2621" s="115"/>
      <c r="C2621" s="116"/>
      <c r="D2621" s="116"/>
      <c r="E2621" s="116" t="str">
        <f>IFERROR(__xludf.DUMMYFUNCTION("""COMPUTED_VALUE"""),"")</f>
        <v/>
      </c>
      <c r="F2621" s="117" t="s">
        <v>39</v>
      </c>
      <c r="G2621" s="116"/>
      <c r="H2621" s="117"/>
      <c r="I2621" s="117"/>
      <c r="J2621" s="117"/>
      <c r="K2621" s="117"/>
      <c r="L2621" s="116"/>
      <c r="M2621" s="117"/>
      <c r="N2621" s="118" t="str">
        <f>IFERROR(__xludf.DUMMYFUNCTION("""COMPUTED_VALUE"""),"")</f>
        <v/>
      </c>
      <c r="O2621" s="116"/>
      <c r="P2621" s="116"/>
      <c r="Q2621" s="116"/>
      <c r="R2621" s="116" t="s">
        <v>39</v>
      </c>
      <c r="S2621" s="116" t="s">
        <v>39</v>
      </c>
      <c r="T2621" s="104"/>
      <c r="U2621" s="116"/>
      <c r="V2621" s="104"/>
      <c r="W2621" s="116"/>
    </row>
    <row r="2622">
      <c r="A2622" s="114" t="s">
        <v>39</v>
      </c>
      <c r="B2622" s="115"/>
      <c r="C2622" s="116"/>
      <c r="D2622" s="116"/>
      <c r="E2622" s="116" t="str">
        <f>IFERROR(__xludf.DUMMYFUNCTION("""COMPUTED_VALUE"""),"")</f>
        <v/>
      </c>
      <c r="F2622" s="117" t="s">
        <v>39</v>
      </c>
      <c r="G2622" s="116"/>
      <c r="H2622" s="117"/>
      <c r="I2622" s="117"/>
      <c r="J2622" s="117"/>
      <c r="K2622" s="117"/>
      <c r="L2622" s="116"/>
      <c r="M2622" s="117"/>
      <c r="N2622" s="118" t="str">
        <f>IFERROR(__xludf.DUMMYFUNCTION("""COMPUTED_VALUE"""),"")</f>
        <v/>
      </c>
      <c r="O2622" s="116"/>
      <c r="P2622" s="116"/>
      <c r="Q2622" s="116"/>
      <c r="R2622" s="116" t="s">
        <v>39</v>
      </c>
      <c r="S2622" s="116" t="s">
        <v>39</v>
      </c>
      <c r="T2622" s="104"/>
      <c r="U2622" s="116"/>
      <c r="V2622" s="104"/>
      <c r="W2622" s="116"/>
    </row>
    <row r="2623">
      <c r="A2623" s="114" t="s">
        <v>39</v>
      </c>
      <c r="B2623" s="115"/>
      <c r="C2623" s="116"/>
      <c r="D2623" s="116"/>
      <c r="E2623" s="116" t="str">
        <f>IFERROR(__xludf.DUMMYFUNCTION("""COMPUTED_VALUE"""),"")</f>
        <v/>
      </c>
      <c r="F2623" s="117" t="s">
        <v>39</v>
      </c>
      <c r="G2623" s="116"/>
      <c r="H2623" s="117"/>
      <c r="I2623" s="117"/>
      <c r="J2623" s="117"/>
      <c r="K2623" s="117"/>
      <c r="L2623" s="116"/>
      <c r="M2623" s="117"/>
      <c r="N2623" s="118" t="str">
        <f>IFERROR(__xludf.DUMMYFUNCTION("""COMPUTED_VALUE"""),"")</f>
        <v/>
      </c>
      <c r="O2623" s="116"/>
      <c r="P2623" s="116"/>
      <c r="Q2623" s="116"/>
      <c r="R2623" s="116" t="s">
        <v>39</v>
      </c>
      <c r="S2623" s="116" t="s">
        <v>39</v>
      </c>
      <c r="T2623" s="104"/>
      <c r="U2623" s="116"/>
      <c r="V2623" s="104"/>
      <c r="W2623" s="116"/>
    </row>
    <row r="2624">
      <c r="A2624" s="114" t="s">
        <v>39</v>
      </c>
      <c r="B2624" s="115"/>
      <c r="C2624" s="116"/>
      <c r="D2624" s="116"/>
      <c r="E2624" s="116" t="str">
        <f>IFERROR(__xludf.DUMMYFUNCTION("""COMPUTED_VALUE"""),"")</f>
        <v/>
      </c>
      <c r="F2624" s="117" t="s">
        <v>39</v>
      </c>
      <c r="G2624" s="116"/>
      <c r="H2624" s="117"/>
      <c r="I2624" s="117"/>
      <c r="J2624" s="117"/>
      <c r="K2624" s="117"/>
      <c r="L2624" s="116"/>
      <c r="M2624" s="117"/>
      <c r="N2624" s="118" t="str">
        <f>IFERROR(__xludf.DUMMYFUNCTION("""COMPUTED_VALUE"""),"")</f>
        <v/>
      </c>
      <c r="O2624" s="116"/>
      <c r="P2624" s="116"/>
      <c r="Q2624" s="116"/>
      <c r="R2624" s="116" t="s">
        <v>39</v>
      </c>
      <c r="S2624" s="116" t="s">
        <v>39</v>
      </c>
      <c r="T2624" s="104"/>
      <c r="U2624" s="116"/>
      <c r="V2624" s="104"/>
      <c r="W2624" s="116"/>
    </row>
    <row r="2625">
      <c r="A2625" s="114" t="s">
        <v>39</v>
      </c>
      <c r="B2625" s="115"/>
      <c r="C2625" s="116"/>
      <c r="D2625" s="116"/>
      <c r="E2625" s="116" t="str">
        <f>IFERROR(__xludf.DUMMYFUNCTION("""COMPUTED_VALUE"""),"")</f>
        <v/>
      </c>
      <c r="F2625" s="117" t="s">
        <v>39</v>
      </c>
      <c r="G2625" s="116"/>
      <c r="H2625" s="117"/>
      <c r="I2625" s="117"/>
      <c r="J2625" s="117"/>
      <c r="K2625" s="117"/>
      <c r="L2625" s="116"/>
      <c r="M2625" s="117"/>
      <c r="N2625" s="118" t="str">
        <f>IFERROR(__xludf.DUMMYFUNCTION("""COMPUTED_VALUE"""),"")</f>
        <v/>
      </c>
      <c r="O2625" s="116"/>
      <c r="P2625" s="116"/>
      <c r="Q2625" s="116"/>
      <c r="R2625" s="116" t="s">
        <v>39</v>
      </c>
      <c r="S2625" s="116" t="s">
        <v>39</v>
      </c>
      <c r="T2625" s="104"/>
      <c r="U2625" s="116"/>
      <c r="V2625" s="104"/>
      <c r="W2625" s="116"/>
    </row>
    <row r="2626">
      <c r="A2626" s="114" t="s">
        <v>39</v>
      </c>
      <c r="B2626" s="115"/>
      <c r="C2626" s="116"/>
      <c r="D2626" s="116"/>
      <c r="E2626" s="116" t="str">
        <f>IFERROR(__xludf.DUMMYFUNCTION("""COMPUTED_VALUE"""),"")</f>
        <v/>
      </c>
      <c r="F2626" s="117" t="s">
        <v>39</v>
      </c>
      <c r="G2626" s="116"/>
      <c r="H2626" s="117"/>
      <c r="I2626" s="117"/>
      <c r="J2626" s="117"/>
      <c r="K2626" s="117"/>
      <c r="L2626" s="116"/>
      <c r="M2626" s="117"/>
      <c r="N2626" s="118" t="str">
        <f>IFERROR(__xludf.DUMMYFUNCTION("""COMPUTED_VALUE"""),"")</f>
        <v/>
      </c>
      <c r="O2626" s="116"/>
      <c r="P2626" s="116"/>
      <c r="Q2626" s="116"/>
      <c r="R2626" s="116" t="s">
        <v>39</v>
      </c>
      <c r="S2626" s="116" t="s">
        <v>39</v>
      </c>
      <c r="T2626" s="104"/>
      <c r="U2626" s="116"/>
      <c r="V2626" s="104"/>
      <c r="W2626" s="116"/>
    </row>
    <row r="2627">
      <c r="A2627" s="114" t="s">
        <v>39</v>
      </c>
      <c r="B2627" s="115"/>
      <c r="C2627" s="116"/>
      <c r="D2627" s="116"/>
      <c r="E2627" s="116" t="str">
        <f>IFERROR(__xludf.DUMMYFUNCTION("""COMPUTED_VALUE"""),"")</f>
        <v/>
      </c>
      <c r="F2627" s="117" t="s">
        <v>39</v>
      </c>
      <c r="G2627" s="116"/>
      <c r="H2627" s="117"/>
      <c r="I2627" s="117"/>
      <c r="J2627" s="117"/>
      <c r="K2627" s="117"/>
      <c r="L2627" s="116"/>
      <c r="M2627" s="117"/>
      <c r="N2627" s="118" t="str">
        <f>IFERROR(__xludf.DUMMYFUNCTION("""COMPUTED_VALUE"""),"")</f>
        <v/>
      </c>
      <c r="O2627" s="116"/>
      <c r="P2627" s="116"/>
      <c r="Q2627" s="116"/>
      <c r="R2627" s="116" t="s">
        <v>39</v>
      </c>
      <c r="S2627" s="116" t="s">
        <v>39</v>
      </c>
      <c r="T2627" s="104"/>
      <c r="U2627" s="116"/>
      <c r="V2627" s="104"/>
      <c r="W2627" s="116"/>
    </row>
    <row r="2628">
      <c r="A2628" s="114" t="s">
        <v>39</v>
      </c>
      <c r="B2628" s="115"/>
      <c r="C2628" s="116"/>
      <c r="D2628" s="116"/>
      <c r="E2628" s="116" t="str">
        <f>IFERROR(__xludf.DUMMYFUNCTION("""COMPUTED_VALUE"""),"")</f>
        <v/>
      </c>
      <c r="F2628" s="117" t="s">
        <v>39</v>
      </c>
      <c r="G2628" s="116"/>
      <c r="H2628" s="117"/>
      <c r="I2628" s="117"/>
      <c r="J2628" s="117"/>
      <c r="K2628" s="117"/>
      <c r="L2628" s="116"/>
      <c r="M2628" s="117"/>
      <c r="N2628" s="118" t="str">
        <f>IFERROR(__xludf.DUMMYFUNCTION("""COMPUTED_VALUE"""),"")</f>
        <v/>
      </c>
      <c r="O2628" s="116"/>
      <c r="P2628" s="116"/>
      <c r="Q2628" s="116"/>
      <c r="R2628" s="116" t="s">
        <v>39</v>
      </c>
      <c r="S2628" s="116" t="s">
        <v>39</v>
      </c>
      <c r="T2628" s="104"/>
      <c r="U2628" s="116"/>
      <c r="V2628" s="104"/>
      <c r="W2628" s="116"/>
    </row>
    <row r="2629">
      <c r="A2629" s="114" t="s">
        <v>39</v>
      </c>
      <c r="B2629" s="115"/>
      <c r="C2629" s="116"/>
      <c r="D2629" s="116"/>
      <c r="E2629" s="116" t="str">
        <f>IFERROR(__xludf.DUMMYFUNCTION("""COMPUTED_VALUE"""),"")</f>
        <v/>
      </c>
      <c r="F2629" s="117" t="s">
        <v>39</v>
      </c>
      <c r="G2629" s="116"/>
      <c r="H2629" s="117"/>
      <c r="I2629" s="117"/>
      <c r="J2629" s="117"/>
      <c r="K2629" s="117"/>
      <c r="L2629" s="116"/>
      <c r="M2629" s="117"/>
      <c r="N2629" s="118" t="str">
        <f>IFERROR(__xludf.DUMMYFUNCTION("""COMPUTED_VALUE"""),"")</f>
        <v/>
      </c>
      <c r="O2629" s="116"/>
      <c r="P2629" s="116"/>
      <c r="Q2629" s="116"/>
      <c r="R2629" s="116" t="s">
        <v>39</v>
      </c>
      <c r="S2629" s="116" t="s">
        <v>39</v>
      </c>
      <c r="T2629" s="104"/>
      <c r="U2629" s="116"/>
      <c r="V2629" s="104"/>
      <c r="W2629" s="116"/>
    </row>
    <row r="2630">
      <c r="A2630" s="114" t="s">
        <v>39</v>
      </c>
      <c r="B2630" s="115"/>
      <c r="C2630" s="116"/>
      <c r="D2630" s="116"/>
      <c r="E2630" s="116" t="str">
        <f>IFERROR(__xludf.DUMMYFUNCTION("""COMPUTED_VALUE"""),"")</f>
        <v/>
      </c>
      <c r="F2630" s="117" t="s">
        <v>39</v>
      </c>
      <c r="G2630" s="116"/>
      <c r="H2630" s="117"/>
      <c r="I2630" s="117"/>
      <c r="J2630" s="117"/>
      <c r="K2630" s="117"/>
      <c r="L2630" s="116"/>
      <c r="M2630" s="117"/>
      <c r="N2630" s="118" t="str">
        <f>IFERROR(__xludf.DUMMYFUNCTION("""COMPUTED_VALUE"""),"")</f>
        <v/>
      </c>
      <c r="O2630" s="116"/>
      <c r="P2630" s="116"/>
      <c r="Q2630" s="116"/>
      <c r="R2630" s="116" t="s">
        <v>39</v>
      </c>
      <c r="S2630" s="116" t="s">
        <v>39</v>
      </c>
      <c r="T2630" s="104"/>
      <c r="U2630" s="116"/>
      <c r="V2630" s="104"/>
      <c r="W2630" s="116"/>
    </row>
    <row r="2631">
      <c r="A2631" s="114" t="s">
        <v>39</v>
      </c>
      <c r="B2631" s="115"/>
      <c r="C2631" s="116"/>
      <c r="D2631" s="116"/>
      <c r="E2631" s="116" t="str">
        <f>IFERROR(__xludf.DUMMYFUNCTION("""COMPUTED_VALUE"""),"")</f>
        <v/>
      </c>
      <c r="F2631" s="117" t="s">
        <v>39</v>
      </c>
      <c r="G2631" s="116"/>
      <c r="H2631" s="117"/>
      <c r="I2631" s="117"/>
      <c r="J2631" s="117"/>
      <c r="K2631" s="117"/>
      <c r="L2631" s="116"/>
      <c r="M2631" s="117"/>
      <c r="N2631" s="118" t="str">
        <f>IFERROR(__xludf.DUMMYFUNCTION("""COMPUTED_VALUE"""),"")</f>
        <v/>
      </c>
      <c r="O2631" s="116"/>
      <c r="P2631" s="116"/>
      <c r="Q2631" s="116"/>
      <c r="R2631" s="116" t="s">
        <v>39</v>
      </c>
      <c r="S2631" s="116" t="s">
        <v>39</v>
      </c>
      <c r="T2631" s="104"/>
      <c r="U2631" s="116"/>
      <c r="V2631" s="104"/>
      <c r="W2631" s="116"/>
    </row>
    <row r="2632">
      <c r="A2632" s="114" t="s">
        <v>39</v>
      </c>
      <c r="B2632" s="115"/>
      <c r="C2632" s="116"/>
      <c r="D2632" s="116"/>
      <c r="E2632" s="116" t="str">
        <f>IFERROR(__xludf.DUMMYFUNCTION("""COMPUTED_VALUE"""),"")</f>
        <v/>
      </c>
      <c r="F2632" s="117" t="s">
        <v>39</v>
      </c>
      <c r="G2632" s="116"/>
      <c r="H2632" s="117"/>
      <c r="I2632" s="117"/>
      <c r="J2632" s="117"/>
      <c r="K2632" s="117"/>
      <c r="L2632" s="116"/>
      <c r="M2632" s="117"/>
      <c r="N2632" s="118" t="str">
        <f>IFERROR(__xludf.DUMMYFUNCTION("""COMPUTED_VALUE"""),"")</f>
        <v/>
      </c>
      <c r="O2632" s="116"/>
      <c r="P2632" s="116"/>
      <c r="Q2632" s="116"/>
      <c r="R2632" s="116" t="s">
        <v>39</v>
      </c>
      <c r="S2632" s="116" t="s">
        <v>39</v>
      </c>
      <c r="T2632" s="104"/>
      <c r="U2632" s="116"/>
      <c r="V2632" s="104"/>
      <c r="W2632" s="116"/>
    </row>
    <row r="2633">
      <c r="A2633" s="114" t="s">
        <v>39</v>
      </c>
      <c r="B2633" s="115"/>
      <c r="C2633" s="116"/>
      <c r="D2633" s="116"/>
      <c r="E2633" s="116" t="str">
        <f>IFERROR(__xludf.DUMMYFUNCTION("""COMPUTED_VALUE"""),"")</f>
        <v/>
      </c>
      <c r="F2633" s="117" t="s">
        <v>39</v>
      </c>
      <c r="G2633" s="116"/>
      <c r="H2633" s="117"/>
      <c r="I2633" s="117"/>
      <c r="J2633" s="117"/>
      <c r="K2633" s="117"/>
      <c r="L2633" s="116"/>
      <c r="M2633" s="117"/>
      <c r="N2633" s="118" t="str">
        <f>IFERROR(__xludf.DUMMYFUNCTION("""COMPUTED_VALUE"""),"")</f>
        <v/>
      </c>
      <c r="O2633" s="116"/>
      <c r="P2633" s="116"/>
      <c r="Q2633" s="116"/>
      <c r="R2633" s="116" t="s">
        <v>39</v>
      </c>
      <c r="S2633" s="116" t="s">
        <v>39</v>
      </c>
      <c r="T2633" s="104"/>
      <c r="U2633" s="116"/>
      <c r="V2633" s="104"/>
      <c r="W2633" s="116"/>
    </row>
    <row r="2634">
      <c r="A2634" s="114" t="s">
        <v>39</v>
      </c>
      <c r="B2634" s="115"/>
      <c r="C2634" s="116"/>
      <c r="D2634" s="116"/>
      <c r="E2634" s="116" t="str">
        <f>IFERROR(__xludf.DUMMYFUNCTION("""COMPUTED_VALUE"""),"")</f>
        <v/>
      </c>
      <c r="F2634" s="117" t="s">
        <v>39</v>
      </c>
      <c r="G2634" s="116"/>
      <c r="H2634" s="117"/>
      <c r="I2634" s="117"/>
      <c r="J2634" s="117"/>
      <c r="K2634" s="117"/>
      <c r="L2634" s="116"/>
      <c r="M2634" s="117"/>
      <c r="N2634" s="118" t="str">
        <f>IFERROR(__xludf.DUMMYFUNCTION("""COMPUTED_VALUE"""),"")</f>
        <v/>
      </c>
      <c r="O2634" s="116"/>
      <c r="P2634" s="116"/>
      <c r="Q2634" s="116"/>
      <c r="R2634" s="116" t="s">
        <v>39</v>
      </c>
      <c r="S2634" s="116" t="s">
        <v>39</v>
      </c>
      <c r="T2634" s="104"/>
      <c r="U2634" s="116"/>
      <c r="V2634" s="104"/>
      <c r="W2634" s="116"/>
    </row>
    <row r="2635">
      <c r="A2635" s="114" t="s">
        <v>39</v>
      </c>
      <c r="B2635" s="115"/>
      <c r="C2635" s="116"/>
      <c r="D2635" s="116"/>
      <c r="E2635" s="116" t="str">
        <f>IFERROR(__xludf.DUMMYFUNCTION("""COMPUTED_VALUE"""),"")</f>
        <v/>
      </c>
      <c r="F2635" s="117" t="s">
        <v>39</v>
      </c>
      <c r="G2635" s="116"/>
      <c r="H2635" s="117"/>
      <c r="I2635" s="117"/>
      <c r="J2635" s="117"/>
      <c r="K2635" s="117"/>
      <c r="L2635" s="116"/>
      <c r="M2635" s="117"/>
      <c r="N2635" s="118" t="str">
        <f>IFERROR(__xludf.DUMMYFUNCTION("""COMPUTED_VALUE"""),"")</f>
        <v/>
      </c>
      <c r="O2635" s="116"/>
      <c r="P2635" s="116"/>
      <c r="Q2635" s="116"/>
      <c r="R2635" s="116" t="s">
        <v>39</v>
      </c>
      <c r="S2635" s="116" t="s">
        <v>39</v>
      </c>
      <c r="T2635" s="104"/>
      <c r="U2635" s="116"/>
      <c r="V2635" s="104"/>
      <c r="W2635" s="116"/>
    </row>
    <row r="2636">
      <c r="A2636" s="114" t="s">
        <v>39</v>
      </c>
      <c r="B2636" s="115"/>
      <c r="C2636" s="116"/>
      <c r="D2636" s="116"/>
      <c r="E2636" s="116" t="str">
        <f>IFERROR(__xludf.DUMMYFUNCTION("""COMPUTED_VALUE"""),"")</f>
        <v/>
      </c>
      <c r="F2636" s="117" t="s">
        <v>39</v>
      </c>
      <c r="G2636" s="116"/>
      <c r="H2636" s="117"/>
      <c r="I2636" s="117"/>
      <c r="J2636" s="117"/>
      <c r="K2636" s="117"/>
      <c r="L2636" s="116"/>
      <c r="M2636" s="117"/>
      <c r="N2636" s="118" t="str">
        <f>IFERROR(__xludf.DUMMYFUNCTION("""COMPUTED_VALUE"""),"")</f>
        <v/>
      </c>
      <c r="O2636" s="116"/>
      <c r="P2636" s="116"/>
      <c r="Q2636" s="116"/>
      <c r="R2636" s="116" t="s">
        <v>39</v>
      </c>
      <c r="S2636" s="116" t="s">
        <v>39</v>
      </c>
      <c r="T2636" s="104"/>
      <c r="U2636" s="116"/>
      <c r="V2636" s="104"/>
      <c r="W2636" s="116"/>
    </row>
    <row r="2637">
      <c r="A2637" s="114" t="s">
        <v>39</v>
      </c>
      <c r="B2637" s="115"/>
      <c r="C2637" s="116"/>
      <c r="D2637" s="116"/>
      <c r="E2637" s="116" t="str">
        <f>IFERROR(__xludf.DUMMYFUNCTION("""COMPUTED_VALUE"""),"")</f>
        <v/>
      </c>
      <c r="F2637" s="117" t="s">
        <v>39</v>
      </c>
      <c r="G2637" s="116"/>
      <c r="H2637" s="117"/>
      <c r="I2637" s="117"/>
      <c r="J2637" s="117"/>
      <c r="K2637" s="117"/>
      <c r="L2637" s="116"/>
      <c r="M2637" s="117"/>
      <c r="N2637" s="118" t="str">
        <f>IFERROR(__xludf.DUMMYFUNCTION("""COMPUTED_VALUE"""),"")</f>
        <v/>
      </c>
      <c r="O2637" s="116"/>
      <c r="P2637" s="116"/>
      <c r="Q2637" s="116"/>
      <c r="R2637" s="116" t="s">
        <v>39</v>
      </c>
      <c r="S2637" s="116" t="s">
        <v>39</v>
      </c>
      <c r="T2637" s="104"/>
      <c r="U2637" s="116"/>
      <c r="V2637" s="104"/>
      <c r="W2637" s="116"/>
    </row>
    <row r="2638">
      <c r="A2638" s="114" t="s">
        <v>39</v>
      </c>
      <c r="B2638" s="115"/>
      <c r="C2638" s="116"/>
      <c r="D2638" s="116"/>
      <c r="E2638" s="116" t="str">
        <f>IFERROR(__xludf.DUMMYFUNCTION("""COMPUTED_VALUE"""),"")</f>
        <v/>
      </c>
      <c r="F2638" s="117" t="s">
        <v>39</v>
      </c>
      <c r="G2638" s="116"/>
      <c r="H2638" s="117"/>
      <c r="I2638" s="117"/>
      <c r="J2638" s="117"/>
      <c r="K2638" s="117"/>
      <c r="L2638" s="116"/>
      <c r="M2638" s="117"/>
      <c r="N2638" s="118" t="str">
        <f>IFERROR(__xludf.DUMMYFUNCTION("""COMPUTED_VALUE"""),"")</f>
        <v/>
      </c>
      <c r="O2638" s="116"/>
      <c r="P2638" s="116"/>
      <c r="Q2638" s="116"/>
      <c r="R2638" s="116" t="s">
        <v>39</v>
      </c>
      <c r="S2638" s="116" t="s">
        <v>39</v>
      </c>
      <c r="T2638" s="104"/>
      <c r="U2638" s="116"/>
      <c r="V2638" s="104"/>
      <c r="W2638" s="116"/>
    </row>
    <row r="2639">
      <c r="A2639" s="114" t="s">
        <v>39</v>
      </c>
      <c r="B2639" s="115"/>
      <c r="C2639" s="116"/>
      <c r="D2639" s="116"/>
      <c r="E2639" s="116" t="str">
        <f>IFERROR(__xludf.DUMMYFUNCTION("""COMPUTED_VALUE"""),"")</f>
        <v/>
      </c>
      <c r="F2639" s="117" t="s">
        <v>39</v>
      </c>
      <c r="G2639" s="116"/>
      <c r="H2639" s="117"/>
      <c r="I2639" s="117"/>
      <c r="J2639" s="117"/>
      <c r="K2639" s="117"/>
      <c r="L2639" s="116"/>
      <c r="M2639" s="117"/>
      <c r="N2639" s="118" t="str">
        <f>IFERROR(__xludf.DUMMYFUNCTION("""COMPUTED_VALUE"""),"")</f>
        <v/>
      </c>
      <c r="O2639" s="116"/>
      <c r="P2639" s="116"/>
      <c r="Q2639" s="116"/>
      <c r="R2639" s="116" t="s">
        <v>39</v>
      </c>
      <c r="S2639" s="116" t="s">
        <v>39</v>
      </c>
      <c r="T2639" s="104"/>
      <c r="U2639" s="116"/>
      <c r="V2639" s="104"/>
      <c r="W2639" s="116"/>
    </row>
    <row r="2640">
      <c r="A2640" s="114" t="s">
        <v>39</v>
      </c>
      <c r="B2640" s="115"/>
      <c r="C2640" s="116"/>
      <c r="D2640" s="116"/>
      <c r="E2640" s="116" t="str">
        <f>IFERROR(__xludf.DUMMYFUNCTION("""COMPUTED_VALUE"""),"")</f>
        <v/>
      </c>
      <c r="F2640" s="117" t="s">
        <v>39</v>
      </c>
      <c r="G2640" s="116"/>
      <c r="H2640" s="117"/>
      <c r="I2640" s="117"/>
      <c r="J2640" s="117"/>
      <c r="K2640" s="117"/>
      <c r="L2640" s="116"/>
      <c r="M2640" s="117"/>
      <c r="N2640" s="118" t="str">
        <f>IFERROR(__xludf.DUMMYFUNCTION("""COMPUTED_VALUE"""),"")</f>
        <v/>
      </c>
      <c r="O2640" s="116"/>
      <c r="P2640" s="116"/>
      <c r="Q2640" s="116"/>
      <c r="R2640" s="116" t="s">
        <v>39</v>
      </c>
      <c r="S2640" s="116" t="s">
        <v>39</v>
      </c>
      <c r="T2640" s="104"/>
      <c r="U2640" s="116"/>
      <c r="V2640" s="104"/>
      <c r="W2640" s="116"/>
    </row>
    <row r="2641">
      <c r="A2641" s="114" t="s">
        <v>39</v>
      </c>
      <c r="B2641" s="115"/>
      <c r="C2641" s="116"/>
      <c r="D2641" s="116"/>
      <c r="E2641" s="116" t="str">
        <f>IFERROR(__xludf.DUMMYFUNCTION("""COMPUTED_VALUE"""),"")</f>
        <v/>
      </c>
      <c r="F2641" s="117" t="s">
        <v>39</v>
      </c>
      <c r="G2641" s="116"/>
      <c r="H2641" s="117"/>
      <c r="I2641" s="117"/>
      <c r="J2641" s="117"/>
      <c r="K2641" s="117"/>
      <c r="L2641" s="116"/>
      <c r="M2641" s="117"/>
      <c r="N2641" s="118" t="str">
        <f>IFERROR(__xludf.DUMMYFUNCTION("""COMPUTED_VALUE"""),"")</f>
        <v/>
      </c>
      <c r="O2641" s="116"/>
      <c r="P2641" s="116"/>
      <c r="Q2641" s="116"/>
      <c r="R2641" s="116" t="s">
        <v>39</v>
      </c>
      <c r="S2641" s="116" t="s">
        <v>39</v>
      </c>
      <c r="T2641" s="104"/>
      <c r="U2641" s="116"/>
      <c r="V2641" s="104"/>
      <c r="W2641" s="116"/>
    </row>
    <row r="2642">
      <c r="A2642" s="114" t="s">
        <v>39</v>
      </c>
      <c r="B2642" s="115"/>
      <c r="C2642" s="116"/>
      <c r="D2642" s="116"/>
      <c r="E2642" s="116" t="str">
        <f>IFERROR(__xludf.DUMMYFUNCTION("""COMPUTED_VALUE"""),"")</f>
        <v/>
      </c>
      <c r="F2642" s="117" t="s">
        <v>39</v>
      </c>
      <c r="G2642" s="116"/>
      <c r="H2642" s="117"/>
      <c r="I2642" s="117"/>
      <c r="J2642" s="117"/>
      <c r="K2642" s="117"/>
      <c r="L2642" s="116"/>
      <c r="M2642" s="117"/>
      <c r="N2642" s="118" t="str">
        <f>IFERROR(__xludf.DUMMYFUNCTION("""COMPUTED_VALUE"""),"")</f>
        <v/>
      </c>
      <c r="O2642" s="116"/>
      <c r="P2642" s="116"/>
      <c r="Q2642" s="116"/>
      <c r="R2642" s="116" t="s">
        <v>39</v>
      </c>
      <c r="S2642" s="116" t="s">
        <v>39</v>
      </c>
      <c r="T2642" s="104"/>
      <c r="U2642" s="116"/>
      <c r="V2642" s="104"/>
      <c r="W2642" s="116"/>
    </row>
    <row r="2643">
      <c r="A2643" s="114" t="s">
        <v>39</v>
      </c>
      <c r="B2643" s="115"/>
      <c r="C2643" s="116"/>
      <c r="D2643" s="116"/>
      <c r="E2643" s="116" t="str">
        <f>IFERROR(__xludf.DUMMYFUNCTION("""COMPUTED_VALUE"""),"")</f>
        <v/>
      </c>
      <c r="F2643" s="117" t="s">
        <v>39</v>
      </c>
      <c r="G2643" s="116"/>
      <c r="H2643" s="117"/>
      <c r="I2643" s="117"/>
      <c r="J2643" s="117"/>
      <c r="K2643" s="117"/>
      <c r="L2643" s="116"/>
      <c r="M2643" s="117"/>
      <c r="N2643" s="118" t="str">
        <f>IFERROR(__xludf.DUMMYFUNCTION("""COMPUTED_VALUE"""),"")</f>
        <v/>
      </c>
      <c r="O2643" s="116"/>
      <c r="P2643" s="116"/>
      <c r="Q2643" s="116"/>
      <c r="R2643" s="116" t="s">
        <v>39</v>
      </c>
      <c r="S2643" s="116" t="s">
        <v>39</v>
      </c>
      <c r="T2643" s="104"/>
      <c r="U2643" s="116"/>
      <c r="V2643" s="104"/>
      <c r="W2643" s="116"/>
    </row>
    <row r="2644">
      <c r="A2644" s="114" t="s">
        <v>39</v>
      </c>
      <c r="B2644" s="115"/>
      <c r="C2644" s="116"/>
      <c r="D2644" s="116"/>
      <c r="E2644" s="116" t="str">
        <f>IFERROR(__xludf.DUMMYFUNCTION("""COMPUTED_VALUE"""),"")</f>
        <v/>
      </c>
      <c r="F2644" s="117" t="s">
        <v>39</v>
      </c>
      <c r="G2644" s="116"/>
      <c r="H2644" s="117"/>
      <c r="I2644" s="117"/>
      <c r="J2644" s="117"/>
      <c r="K2644" s="117"/>
      <c r="L2644" s="116"/>
      <c r="M2644" s="117"/>
      <c r="N2644" s="118" t="str">
        <f>IFERROR(__xludf.DUMMYFUNCTION("""COMPUTED_VALUE"""),"")</f>
        <v/>
      </c>
      <c r="O2644" s="116"/>
      <c r="P2644" s="116"/>
      <c r="Q2644" s="116"/>
      <c r="R2644" s="116" t="s">
        <v>39</v>
      </c>
      <c r="S2644" s="116" t="s">
        <v>39</v>
      </c>
      <c r="T2644" s="104"/>
      <c r="U2644" s="116"/>
      <c r="V2644" s="104"/>
      <c r="W2644" s="116"/>
    </row>
    <row r="2645">
      <c r="A2645" s="114" t="s">
        <v>39</v>
      </c>
      <c r="B2645" s="115"/>
      <c r="C2645" s="116"/>
      <c r="D2645" s="116"/>
      <c r="E2645" s="116" t="str">
        <f>IFERROR(__xludf.DUMMYFUNCTION("""COMPUTED_VALUE"""),"")</f>
        <v/>
      </c>
      <c r="F2645" s="117" t="s">
        <v>39</v>
      </c>
      <c r="G2645" s="116"/>
      <c r="H2645" s="117"/>
      <c r="I2645" s="117"/>
      <c r="J2645" s="117"/>
      <c r="K2645" s="117"/>
      <c r="L2645" s="116"/>
      <c r="M2645" s="117"/>
      <c r="N2645" s="118" t="str">
        <f>IFERROR(__xludf.DUMMYFUNCTION("""COMPUTED_VALUE"""),"")</f>
        <v/>
      </c>
      <c r="O2645" s="116"/>
      <c r="P2645" s="116"/>
      <c r="Q2645" s="116"/>
      <c r="R2645" s="116" t="s">
        <v>39</v>
      </c>
      <c r="S2645" s="116" t="s">
        <v>39</v>
      </c>
      <c r="T2645" s="104"/>
      <c r="U2645" s="116"/>
      <c r="V2645" s="104"/>
      <c r="W2645" s="116"/>
    </row>
    <row r="2646">
      <c r="A2646" s="114" t="s">
        <v>39</v>
      </c>
      <c r="B2646" s="115"/>
      <c r="C2646" s="116"/>
      <c r="D2646" s="116"/>
      <c r="E2646" s="116" t="str">
        <f>IFERROR(__xludf.DUMMYFUNCTION("""COMPUTED_VALUE"""),"")</f>
        <v/>
      </c>
      <c r="F2646" s="117" t="s">
        <v>39</v>
      </c>
      <c r="G2646" s="116"/>
      <c r="H2646" s="117"/>
      <c r="I2646" s="117"/>
      <c r="J2646" s="117"/>
      <c r="K2646" s="117"/>
      <c r="L2646" s="116"/>
      <c r="M2646" s="117"/>
      <c r="N2646" s="118" t="str">
        <f>IFERROR(__xludf.DUMMYFUNCTION("""COMPUTED_VALUE"""),"")</f>
        <v/>
      </c>
      <c r="O2646" s="116"/>
      <c r="P2646" s="116"/>
      <c r="Q2646" s="116"/>
      <c r="R2646" s="116" t="s">
        <v>39</v>
      </c>
      <c r="S2646" s="116" t="s">
        <v>39</v>
      </c>
      <c r="T2646" s="104"/>
      <c r="U2646" s="116"/>
      <c r="V2646" s="104"/>
      <c r="W2646" s="116"/>
    </row>
    <row r="2647">
      <c r="A2647" s="114" t="s">
        <v>39</v>
      </c>
      <c r="B2647" s="115"/>
      <c r="C2647" s="116"/>
      <c r="D2647" s="116"/>
      <c r="E2647" s="116" t="str">
        <f>IFERROR(__xludf.DUMMYFUNCTION("""COMPUTED_VALUE"""),"")</f>
        <v/>
      </c>
      <c r="F2647" s="117" t="s">
        <v>39</v>
      </c>
      <c r="G2647" s="116"/>
      <c r="H2647" s="117"/>
      <c r="I2647" s="117"/>
      <c r="J2647" s="117"/>
      <c r="K2647" s="117"/>
      <c r="L2647" s="116"/>
      <c r="M2647" s="117"/>
      <c r="N2647" s="118" t="str">
        <f>IFERROR(__xludf.DUMMYFUNCTION("""COMPUTED_VALUE"""),"")</f>
        <v/>
      </c>
      <c r="O2647" s="116"/>
      <c r="P2647" s="116"/>
      <c r="Q2647" s="116"/>
      <c r="R2647" s="116" t="s">
        <v>39</v>
      </c>
      <c r="S2647" s="116" t="s">
        <v>39</v>
      </c>
      <c r="T2647" s="104"/>
      <c r="U2647" s="116"/>
      <c r="V2647" s="104"/>
      <c r="W2647" s="116"/>
    </row>
    <row r="2648">
      <c r="A2648" s="114" t="s">
        <v>39</v>
      </c>
      <c r="B2648" s="115"/>
      <c r="C2648" s="116"/>
      <c r="D2648" s="116"/>
      <c r="E2648" s="116" t="str">
        <f>IFERROR(__xludf.DUMMYFUNCTION("""COMPUTED_VALUE"""),"")</f>
        <v/>
      </c>
      <c r="F2648" s="117" t="s">
        <v>39</v>
      </c>
      <c r="G2648" s="116"/>
      <c r="H2648" s="117"/>
      <c r="I2648" s="117"/>
      <c r="J2648" s="117"/>
      <c r="K2648" s="117"/>
      <c r="L2648" s="116"/>
      <c r="M2648" s="117"/>
      <c r="N2648" s="118" t="str">
        <f>IFERROR(__xludf.DUMMYFUNCTION("""COMPUTED_VALUE"""),"")</f>
        <v/>
      </c>
      <c r="O2648" s="116"/>
      <c r="P2648" s="116"/>
      <c r="Q2648" s="116"/>
      <c r="R2648" s="116" t="s">
        <v>39</v>
      </c>
      <c r="S2648" s="116" t="s">
        <v>39</v>
      </c>
      <c r="T2648" s="104"/>
      <c r="U2648" s="116"/>
      <c r="V2648" s="104"/>
      <c r="W2648" s="116"/>
    </row>
    <row r="2649">
      <c r="A2649" s="114" t="s">
        <v>39</v>
      </c>
      <c r="B2649" s="115"/>
      <c r="C2649" s="116"/>
      <c r="D2649" s="116"/>
      <c r="E2649" s="116" t="str">
        <f>IFERROR(__xludf.DUMMYFUNCTION("""COMPUTED_VALUE"""),"")</f>
        <v/>
      </c>
      <c r="F2649" s="117" t="s">
        <v>39</v>
      </c>
      <c r="G2649" s="116"/>
      <c r="H2649" s="117"/>
      <c r="I2649" s="117"/>
      <c r="J2649" s="117"/>
      <c r="K2649" s="117"/>
      <c r="L2649" s="116"/>
      <c r="M2649" s="117"/>
      <c r="N2649" s="118" t="str">
        <f>IFERROR(__xludf.DUMMYFUNCTION("""COMPUTED_VALUE"""),"")</f>
        <v/>
      </c>
      <c r="O2649" s="116"/>
      <c r="P2649" s="116"/>
      <c r="Q2649" s="116"/>
      <c r="R2649" s="116" t="s">
        <v>39</v>
      </c>
      <c r="S2649" s="116" t="s">
        <v>39</v>
      </c>
      <c r="T2649" s="104"/>
      <c r="U2649" s="116"/>
      <c r="V2649" s="104"/>
      <c r="W2649" s="116"/>
    </row>
    <row r="2650">
      <c r="A2650" s="114" t="s">
        <v>39</v>
      </c>
      <c r="B2650" s="115"/>
      <c r="C2650" s="116"/>
      <c r="D2650" s="116"/>
      <c r="E2650" s="116" t="str">
        <f>IFERROR(__xludf.DUMMYFUNCTION("""COMPUTED_VALUE"""),"")</f>
        <v/>
      </c>
      <c r="F2650" s="117" t="s">
        <v>39</v>
      </c>
      <c r="G2650" s="116"/>
      <c r="H2650" s="117"/>
      <c r="I2650" s="117"/>
      <c r="J2650" s="117"/>
      <c r="K2650" s="117"/>
      <c r="L2650" s="116"/>
      <c r="M2650" s="117"/>
      <c r="N2650" s="118" t="str">
        <f>IFERROR(__xludf.DUMMYFUNCTION("""COMPUTED_VALUE"""),"")</f>
        <v/>
      </c>
      <c r="O2650" s="116"/>
      <c r="P2650" s="116"/>
      <c r="Q2650" s="116"/>
      <c r="R2650" s="116" t="s">
        <v>39</v>
      </c>
      <c r="S2650" s="116" t="s">
        <v>39</v>
      </c>
      <c r="T2650" s="104"/>
      <c r="U2650" s="116"/>
      <c r="V2650" s="104"/>
      <c r="W2650" s="116"/>
    </row>
    <row r="2651">
      <c r="A2651" s="114" t="s">
        <v>39</v>
      </c>
      <c r="B2651" s="115"/>
      <c r="C2651" s="116"/>
      <c r="D2651" s="116"/>
      <c r="E2651" s="116" t="str">
        <f>IFERROR(__xludf.DUMMYFUNCTION("""COMPUTED_VALUE"""),"")</f>
        <v/>
      </c>
      <c r="F2651" s="117" t="s">
        <v>39</v>
      </c>
      <c r="G2651" s="116"/>
      <c r="H2651" s="117"/>
      <c r="I2651" s="117"/>
      <c r="J2651" s="117"/>
      <c r="K2651" s="117"/>
      <c r="L2651" s="116"/>
      <c r="M2651" s="117"/>
      <c r="N2651" s="118" t="str">
        <f>IFERROR(__xludf.DUMMYFUNCTION("""COMPUTED_VALUE"""),"")</f>
        <v/>
      </c>
      <c r="O2651" s="116"/>
      <c r="P2651" s="116"/>
      <c r="Q2651" s="116"/>
      <c r="R2651" s="116" t="s">
        <v>39</v>
      </c>
      <c r="S2651" s="116" t="s">
        <v>39</v>
      </c>
      <c r="T2651" s="104"/>
      <c r="U2651" s="116"/>
      <c r="V2651" s="104"/>
      <c r="W2651" s="116"/>
    </row>
    <row r="2652">
      <c r="A2652" s="114" t="s">
        <v>39</v>
      </c>
      <c r="B2652" s="115"/>
      <c r="C2652" s="116"/>
      <c r="D2652" s="116"/>
      <c r="E2652" s="116" t="str">
        <f>IFERROR(__xludf.DUMMYFUNCTION("""COMPUTED_VALUE"""),"")</f>
        <v/>
      </c>
      <c r="F2652" s="117" t="s">
        <v>39</v>
      </c>
      <c r="G2652" s="116"/>
      <c r="H2652" s="117"/>
      <c r="I2652" s="117"/>
      <c r="J2652" s="117"/>
      <c r="K2652" s="117"/>
      <c r="L2652" s="116"/>
      <c r="M2652" s="117"/>
      <c r="N2652" s="118" t="str">
        <f>IFERROR(__xludf.DUMMYFUNCTION("""COMPUTED_VALUE"""),"")</f>
        <v/>
      </c>
      <c r="O2652" s="116"/>
      <c r="P2652" s="116"/>
      <c r="Q2652" s="116"/>
      <c r="R2652" s="116" t="s">
        <v>39</v>
      </c>
      <c r="S2652" s="116" t="s">
        <v>39</v>
      </c>
      <c r="T2652" s="104"/>
      <c r="U2652" s="116"/>
      <c r="V2652" s="104"/>
      <c r="W2652" s="116"/>
    </row>
    <row r="2653">
      <c r="A2653" s="114" t="s">
        <v>39</v>
      </c>
      <c r="B2653" s="115"/>
      <c r="C2653" s="116"/>
      <c r="D2653" s="116"/>
      <c r="E2653" s="116" t="str">
        <f>IFERROR(__xludf.DUMMYFUNCTION("""COMPUTED_VALUE"""),"")</f>
        <v/>
      </c>
      <c r="F2653" s="117" t="s">
        <v>39</v>
      </c>
      <c r="G2653" s="116"/>
      <c r="H2653" s="117"/>
      <c r="I2653" s="117"/>
      <c r="J2653" s="117"/>
      <c r="K2653" s="117"/>
      <c r="L2653" s="116"/>
      <c r="M2653" s="117"/>
      <c r="N2653" s="118" t="str">
        <f>IFERROR(__xludf.DUMMYFUNCTION("""COMPUTED_VALUE"""),"")</f>
        <v/>
      </c>
      <c r="O2653" s="116"/>
      <c r="P2653" s="116"/>
      <c r="Q2653" s="116"/>
      <c r="R2653" s="116" t="s">
        <v>39</v>
      </c>
      <c r="S2653" s="116" t="s">
        <v>39</v>
      </c>
      <c r="T2653" s="104"/>
      <c r="U2653" s="116"/>
      <c r="V2653" s="104"/>
      <c r="W2653" s="116"/>
    </row>
    <row r="2654">
      <c r="A2654" s="114" t="s">
        <v>39</v>
      </c>
      <c r="B2654" s="115"/>
      <c r="C2654" s="116"/>
      <c r="D2654" s="116"/>
      <c r="E2654" s="116" t="str">
        <f>IFERROR(__xludf.DUMMYFUNCTION("""COMPUTED_VALUE"""),"")</f>
        <v/>
      </c>
      <c r="F2654" s="117" t="s">
        <v>39</v>
      </c>
      <c r="G2654" s="116"/>
      <c r="H2654" s="117"/>
      <c r="I2654" s="117"/>
      <c r="J2654" s="117"/>
      <c r="K2654" s="117"/>
      <c r="L2654" s="116"/>
      <c r="M2654" s="117"/>
      <c r="N2654" s="118" t="str">
        <f>IFERROR(__xludf.DUMMYFUNCTION("""COMPUTED_VALUE"""),"")</f>
        <v/>
      </c>
      <c r="O2654" s="116"/>
      <c r="P2654" s="116"/>
      <c r="Q2654" s="116"/>
      <c r="R2654" s="116" t="s">
        <v>39</v>
      </c>
      <c r="S2654" s="116" t="s">
        <v>39</v>
      </c>
      <c r="T2654" s="104"/>
      <c r="U2654" s="116"/>
      <c r="V2654" s="104"/>
      <c r="W2654" s="116"/>
    </row>
    <row r="2655">
      <c r="A2655" s="114" t="s">
        <v>39</v>
      </c>
      <c r="B2655" s="115"/>
      <c r="C2655" s="116"/>
      <c r="D2655" s="116"/>
      <c r="E2655" s="116" t="str">
        <f>IFERROR(__xludf.DUMMYFUNCTION("""COMPUTED_VALUE"""),"")</f>
        <v/>
      </c>
      <c r="F2655" s="117" t="s">
        <v>39</v>
      </c>
      <c r="G2655" s="116"/>
      <c r="H2655" s="117"/>
      <c r="I2655" s="117"/>
      <c r="J2655" s="117"/>
      <c r="K2655" s="117"/>
      <c r="L2655" s="116"/>
      <c r="M2655" s="117"/>
      <c r="N2655" s="118" t="str">
        <f>IFERROR(__xludf.DUMMYFUNCTION("""COMPUTED_VALUE"""),"")</f>
        <v/>
      </c>
      <c r="O2655" s="116"/>
      <c r="P2655" s="116"/>
      <c r="Q2655" s="116"/>
      <c r="R2655" s="116" t="s">
        <v>39</v>
      </c>
      <c r="S2655" s="116" t="s">
        <v>39</v>
      </c>
      <c r="T2655" s="104"/>
      <c r="U2655" s="116"/>
      <c r="V2655" s="104"/>
      <c r="W2655" s="116"/>
    </row>
    <row r="2656">
      <c r="A2656" s="114" t="s">
        <v>39</v>
      </c>
      <c r="B2656" s="115"/>
      <c r="C2656" s="116"/>
      <c r="D2656" s="116"/>
      <c r="E2656" s="116" t="str">
        <f>IFERROR(__xludf.DUMMYFUNCTION("""COMPUTED_VALUE"""),"")</f>
        <v/>
      </c>
      <c r="F2656" s="117" t="s">
        <v>39</v>
      </c>
      <c r="G2656" s="116"/>
      <c r="H2656" s="117"/>
      <c r="I2656" s="117"/>
      <c r="J2656" s="117"/>
      <c r="K2656" s="117"/>
      <c r="L2656" s="116"/>
      <c r="M2656" s="117"/>
      <c r="N2656" s="118" t="str">
        <f>IFERROR(__xludf.DUMMYFUNCTION("""COMPUTED_VALUE"""),"")</f>
        <v/>
      </c>
      <c r="O2656" s="116"/>
      <c r="P2656" s="116"/>
      <c r="Q2656" s="116"/>
      <c r="R2656" s="116" t="s">
        <v>39</v>
      </c>
      <c r="S2656" s="116" t="s">
        <v>39</v>
      </c>
      <c r="T2656" s="104"/>
      <c r="U2656" s="116"/>
      <c r="V2656" s="104"/>
      <c r="W2656" s="116"/>
    </row>
    <row r="2657">
      <c r="A2657" s="114" t="s">
        <v>39</v>
      </c>
      <c r="B2657" s="115"/>
      <c r="C2657" s="116"/>
      <c r="D2657" s="116"/>
      <c r="E2657" s="116" t="str">
        <f>IFERROR(__xludf.DUMMYFUNCTION("""COMPUTED_VALUE"""),"")</f>
        <v/>
      </c>
      <c r="F2657" s="117" t="s">
        <v>39</v>
      </c>
      <c r="G2657" s="116"/>
      <c r="H2657" s="117"/>
      <c r="I2657" s="117"/>
      <c r="J2657" s="117"/>
      <c r="K2657" s="117"/>
      <c r="L2657" s="116"/>
      <c r="M2657" s="117"/>
      <c r="N2657" s="118" t="str">
        <f>IFERROR(__xludf.DUMMYFUNCTION("""COMPUTED_VALUE"""),"")</f>
        <v/>
      </c>
      <c r="O2657" s="116"/>
      <c r="P2657" s="116"/>
      <c r="Q2657" s="116"/>
      <c r="R2657" s="116" t="s">
        <v>39</v>
      </c>
      <c r="S2657" s="116" t="s">
        <v>39</v>
      </c>
      <c r="T2657" s="104"/>
      <c r="U2657" s="116"/>
      <c r="V2657" s="104"/>
      <c r="W2657" s="116"/>
    </row>
    <row r="2658">
      <c r="A2658" s="114" t="s">
        <v>39</v>
      </c>
      <c r="B2658" s="115"/>
      <c r="C2658" s="116"/>
      <c r="D2658" s="116"/>
      <c r="E2658" s="116" t="str">
        <f>IFERROR(__xludf.DUMMYFUNCTION("""COMPUTED_VALUE"""),"")</f>
        <v/>
      </c>
      <c r="F2658" s="117" t="s">
        <v>39</v>
      </c>
      <c r="G2658" s="116"/>
      <c r="H2658" s="117"/>
      <c r="I2658" s="117"/>
      <c r="J2658" s="117"/>
      <c r="K2658" s="117"/>
      <c r="L2658" s="116"/>
      <c r="M2658" s="117"/>
      <c r="N2658" s="118" t="str">
        <f>IFERROR(__xludf.DUMMYFUNCTION("""COMPUTED_VALUE"""),"")</f>
        <v/>
      </c>
      <c r="O2658" s="116"/>
      <c r="P2658" s="116"/>
      <c r="Q2658" s="116"/>
      <c r="R2658" s="116" t="s">
        <v>39</v>
      </c>
      <c r="S2658" s="116" t="s">
        <v>39</v>
      </c>
      <c r="T2658" s="104"/>
      <c r="U2658" s="116"/>
      <c r="V2658" s="104"/>
      <c r="W2658" s="116"/>
    </row>
    <row r="2659">
      <c r="A2659" s="114" t="s">
        <v>39</v>
      </c>
      <c r="B2659" s="115"/>
      <c r="C2659" s="116"/>
      <c r="D2659" s="116"/>
      <c r="E2659" s="116" t="str">
        <f>IFERROR(__xludf.DUMMYFUNCTION("""COMPUTED_VALUE"""),"")</f>
        <v/>
      </c>
      <c r="F2659" s="117" t="s">
        <v>39</v>
      </c>
      <c r="G2659" s="116"/>
      <c r="H2659" s="117"/>
      <c r="I2659" s="117"/>
      <c r="J2659" s="117"/>
      <c r="K2659" s="117"/>
      <c r="L2659" s="116"/>
      <c r="M2659" s="117"/>
      <c r="N2659" s="118" t="str">
        <f>IFERROR(__xludf.DUMMYFUNCTION("""COMPUTED_VALUE"""),"")</f>
        <v/>
      </c>
      <c r="O2659" s="116"/>
      <c r="P2659" s="116"/>
      <c r="Q2659" s="116"/>
      <c r="R2659" s="116" t="s">
        <v>39</v>
      </c>
      <c r="S2659" s="116" t="s">
        <v>39</v>
      </c>
      <c r="T2659" s="104"/>
      <c r="U2659" s="116"/>
      <c r="V2659" s="104"/>
      <c r="W2659" s="116"/>
    </row>
    <row r="2660">
      <c r="A2660" s="114" t="s">
        <v>39</v>
      </c>
      <c r="B2660" s="115"/>
      <c r="C2660" s="116"/>
      <c r="D2660" s="116"/>
      <c r="E2660" s="116" t="str">
        <f>IFERROR(__xludf.DUMMYFUNCTION("""COMPUTED_VALUE"""),"")</f>
        <v/>
      </c>
      <c r="F2660" s="117" t="s">
        <v>39</v>
      </c>
      <c r="G2660" s="116"/>
      <c r="H2660" s="117"/>
      <c r="I2660" s="117"/>
      <c r="J2660" s="117"/>
      <c r="K2660" s="117"/>
      <c r="L2660" s="116"/>
      <c r="M2660" s="117"/>
      <c r="N2660" s="118" t="str">
        <f>IFERROR(__xludf.DUMMYFUNCTION("""COMPUTED_VALUE"""),"")</f>
        <v/>
      </c>
      <c r="O2660" s="116"/>
      <c r="P2660" s="116"/>
      <c r="Q2660" s="116"/>
      <c r="R2660" s="116" t="s">
        <v>39</v>
      </c>
      <c r="S2660" s="116" t="s">
        <v>39</v>
      </c>
      <c r="T2660" s="104"/>
      <c r="U2660" s="116"/>
      <c r="V2660" s="104"/>
      <c r="W2660" s="116"/>
    </row>
    <row r="2661">
      <c r="A2661" s="114" t="s">
        <v>39</v>
      </c>
      <c r="B2661" s="115"/>
      <c r="C2661" s="116"/>
      <c r="D2661" s="116"/>
      <c r="E2661" s="116" t="str">
        <f>IFERROR(__xludf.DUMMYFUNCTION("""COMPUTED_VALUE"""),"")</f>
        <v/>
      </c>
      <c r="F2661" s="117" t="s">
        <v>39</v>
      </c>
      <c r="G2661" s="116"/>
      <c r="H2661" s="117"/>
      <c r="I2661" s="117"/>
      <c r="J2661" s="117"/>
      <c r="K2661" s="117"/>
      <c r="L2661" s="116"/>
      <c r="M2661" s="117"/>
      <c r="N2661" s="118" t="str">
        <f>IFERROR(__xludf.DUMMYFUNCTION("""COMPUTED_VALUE"""),"")</f>
        <v/>
      </c>
      <c r="O2661" s="116"/>
      <c r="P2661" s="116"/>
      <c r="Q2661" s="116"/>
      <c r="R2661" s="116" t="s">
        <v>39</v>
      </c>
      <c r="S2661" s="116" t="s">
        <v>39</v>
      </c>
      <c r="T2661" s="104"/>
      <c r="U2661" s="116"/>
      <c r="V2661" s="104"/>
      <c r="W2661" s="116"/>
    </row>
    <row r="2662">
      <c r="A2662" s="114" t="s">
        <v>39</v>
      </c>
      <c r="B2662" s="115"/>
      <c r="C2662" s="116"/>
      <c r="D2662" s="116"/>
      <c r="E2662" s="116" t="str">
        <f>IFERROR(__xludf.DUMMYFUNCTION("""COMPUTED_VALUE"""),"")</f>
        <v/>
      </c>
      <c r="F2662" s="117" t="s">
        <v>39</v>
      </c>
      <c r="G2662" s="116"/>
      <c r="H2662" s="117"/>
      <c r="I2662" s="117"/>
      <c r="J2662" s="117"/>
      <c r="K2662" s="117"/>
      <c r="L2662" s="116"/>
      <c r="M2662" s="117"/>
      <c r="N2662" s="118" t="str">
        <f>IFERROR(__xludf.DUMMYFUNCTION("""COMPUTED_VALUE"""),"")</f>
        <v/>
      </c>
      <c r="O2662" s="116"/>
      <c r="P2662" s="116"/>
      <c r="Q2662" s="116"/>
      <c r="R2662" s="116" t="s">
        <v>39</v>
      </c>
      <c r="S2662" s="116" t="s">
        <v>39</v>
      </c>
      <c r="T2662" s="104"/>
      <c r="U2662" s="116"/>
      <c r="V2662" s="104"/>
      <c r="W2662" s="116"/>
    </row>
    <row r="2663">
      <c r="A2663" s="114" t="s">
        <v>39</v>
      </c>
      <c r="B2663" s="115"/>
      <c r="C2663" s="116"/>
      <c r="D2663" s="116"/>
      <c r="E2663" s="116" t="str">
        <f>IFERROR(__xludf.DUMMYFUNCTION("""COMPUTED_VALUE"""),"")</f>
        <v/>
      </c>
      <c r="F2663" s="117" t="s">
        <v>39</v>
      </c>
      <c r="G2663" s="116"/>
      <c r="H2663" s="117"/>
      <c r="I2663" s="117"/>
      <c r="J2663" s="117"/>
      <c r="K2663" s="117"/>
      <c r="L2663" s="116"/>
      <c r="M2663" s="117"/>
      <c r="N2663" s="118" t="str">
        <f>IFERROR(__xludf.DUMMYFUNCTION("""COMPUTED_VALUE"""),"")</f>
        <v/>
      </c>
      <c r="O2663" s="116"/>
      <c r="P2663" s="116"/>
      <c r="Q2663" s="116"/>
      <c r="R2663" s="116" t="s">
        <v>39</v>
      </c>
      <c r="S2663" s="116" t="s">
        <v>39</v>
      </c>
      <c r="T2663" s="104"/>
      <c r="U2663" s="116"/>
      <c r="V2663" s="104"/>
      <c r="W2663" s="116"/>
    </row>
    <row r="2664">
      <c r="A2664" s="114" t="s">
        <v>39</v>
      </c>
      <c r="B2664" s="115"/>
      <c r="C2664" s="116"/>
      <c r="D2664" s="116"/>
      <c r="E2664" s="116" t="str">
        <f>IFERROR(__xludf.DUMMYFUNCTION("""COMPUTED_VALUE"""),"")</f>
        <v/>
      </c>
      <c r="F2664" s="117" t="s">
        <v>39</v>
      </c>
      <c r="G2664" s="116"/>
      <c r="H2664" s="117"/>
      <c r="I2664" s="117"/>
      <c r="J2664" s="117"/>
      <c r="K2664" s="117"/>
      <c r="L2664" s="116"/>
      <c r="M2664" s="117"/>
      <c r="N2664" s="118" t="str">
        <f>IFERROR(__xludf.DUMMYFUNCTION("""COMPUTED_VALUE"""),"")</f>
        <v/>
      </c>
      <c r="O2664" s="116"/>
      <c r="P2664" s="116"/>
      <c r="Q2664" s="116"/>
      <c r="R2664" s="116" t="s">
        <v>39</v>
      </c>
      <c r="S2664" s="116" t="s">
        <v>39</v>
      </c>
      <c r="T2664" s="104"/>
      <c r="U2664" s="116"/>
      <c r="V2664" s="104"/>
      <c r="W2664" s="116"/>
    </row>
    <row r="2665">
      <c r="A2665" s="114" t="s">
        <v>39</v>
      </c>
      <c r="B2665" s="115"/>
      <c r="C2665" s="116"/>
      <c r="D2665" s="116"/>
      <c r="E2665" s="116" t="str">
        <f>IFERROR(__xludf.DUMMYFUNCTION("""COMPUTED_VALUE"""),"")</f>
        <v/>
      </c>
      <c r="F2665" s="117" t="s">
        <v>39</v>
      </c>
      <c r="G2665" s="116"/>
      <c r="H2665" s="117"/>
      <c r="I2665" s="117"/>
      <c r="J2665" s="117"/>
      <c r="K2665" s="117"/>
      <c r="L2665" s="116"/>
      <c r="M2665" s="117"/>
      <c r="N2665" s="118" t="str">
        <f>IFERROR(__xludf.DUMMYFUNCTION("""COMPUTED_VALUE"""),"")</f>
        <v/>
      </c>
      <c r="O2665" s="116"/>
      <c r="P2665" s="116"/>
      <c r="Q2665" s="116"/>
      <c r="R2665" s="116" t="s">
        <v>39</v>
      </c>
      <c r="S2665" s="116" t="s">
        <v>39</v>
      </c>
      <c r="T2665" s="104"/>
      <c r="U2665" s="116"/>
      <c r="V2665" s="104"/>
      <c r="W2665" s="116"/>
    </row>
    <row r="2666">
      <c r="A2666" s="114" t="s">
        <v>39</v>
      </c>
      <c r="B2666" s="115"/>
      <c r="C2666" s="116"/>
      <c r="D2666" s="116"/>
      <c r="E2666" s="116" t="str">
        <f>IFERROR(__xludf.DUMMYFUNCTION("""COMPUTED_VALUE"""),"")</f>
        <v/>
      </c>
      <c r="F2666" s="117" t="s">
        <v>39</v>
      </c>
      <c r="G2666" s="116"/>
      <c r="H2666" s="117"/>
      <c r="I2666" s="117"/>
      <c r="J2666" s="117"/>
      <c r="K2666" s="117"/>
      <c r="L2666" s="116"/>
      <c r="M2666" s="117"/>
      <c r="N2666" s="118" t="str">
        <f>IFERROR(__xludf.DUMMYFUNCTION("""COMPUTED_VALUE"""),"")</f>
        <v/>
      </c>
      <c r="O2666" s="116"/>
      <c r="P2666" s="116"/>
      <c r="Q2666" s="116"/>
      <c r="R2666" s="116" t="s">
        <v>39</v>
      </c>
      <c r="S2666" s="116" t="s">
        <v>39</v>
      </c>
      <c r="T2666" s="104"/>
      <c r="U2666" s="116"/>
      <c r="V2666" s="104"/>
      <c r="W2666" s="116"/>
    </row>
    <row r="2667">
      <c r="A2667" s="114" t="s">
        <v>39</v>
      </c>
      <c r="B2667" s="115"/>
      <c r="C2667" s="116"/>
      <c r="D2667" s="116"/>
      <c r="E2667" s="116" t="str">
        <f>IFERROR(__xludf.DUMMYFUNCTION("""COMPUTED_VALUE"""),"")</f>
        <v/>
      </c>
      <c r="F2667" s="117" t="s">
        <v>39</v>
      </c>
      <c r="G2667" s="116"/>
      <c r="H2667" s="117"/>
      <c r="I2667" s="117"/>
      <c r="J2667" s="117"/>
      <c r="K2667" s="117"/>
      <c r="L2667" s="116"/>
      <c r="M2667" s="117"/>
      <c r="N2667" s="118" t="str">
        <f>IFERROR(__xludf.DUMMYFUNCTION("""COMPUTED_VALUE"""),"")</f>
        <v/>
      </c>
      <c r="O2667" s="116"/>
      <c r="P2667" s="116"/>
      <c r="Q2667" s="116"/>
      <c r="R2667" s="116" t="s">
        <v>39</v>
      </c>
      <c r="S2667" s="116" t="s">
        <v>39</v>
      </c>
      <c r="T2667" s="104"/>
      <c r="U2667" s="116"/>
      <c r="V2667" s="104"/>
      <c r="W2667" s="116"/>
    </row>
    <row r="2668">
      <c r="A2668" s="114" t="s">
        <v>39</v>
      </c>
      <c r="B2668" s="115"/>
      <c r="C2668" s="116"/>
      <c r="D2668" s="116"/>
      <c r="E2668" s="116" t="str">
        <f>IFERROR(__xludf.DUMMYFUNCTION("""COMPUTED_VALUE"""),"")</f>
        <v/>
      </c>
      <c r="F2668" s="117" t="s">
        <v>39</v>
      </c>
      <c r="G2668" s="116"/>
      <c r="H2668" s="117"/>
      <c r="I2668" s="117"/>
      <c r="J2668" s="117"/>
      <c r="K2668" s="117"/>
      <c r="L2668" s="116"/>
      <c r="M2668" s="117"/>
      <c r="N2668" s="118" t="str">
        <f>IFERROR(__xludf.DUMMYFUNCTION("""COMPUTED_VALUE"""),"")</f>
        <v/>
      </c>
      <c r="O2668" s="116"/>
      <c r="P2668" s="116"/>
      <c r="Q2668" s="116"/>
      <c r="R2668" s="116" t="s">
        <v>39</v>
      </c>
      <c r="S2668" s="116" t="s">
        <v>39</v>
      </c>
      <c r="T2668" s="104"/>
      <c r="U2668" s="116"/>
      <c r="V2668" s="104"/>
      <c r="W2668" s="116"/>
    </row>
    <row r="2669">
      <c r="A2669" s="114" t="s">
        <v>39</v>
      </c>
      <c r="B2669" s="115"/>
      <c r="C2669" s="116"/>
      <c r="D2669" s="116"/>
      <c r="E2669" s="116" t="str">
        <f>IFERROR(__xludf.DUMMYFUNCTION("""COMPUTED_VALUE"""),"")</f>
        <v/>
      </c>
      <c r="F2669" s="117" t="s">
        <v>39</v>
      </c>
      <c r="G2669" s="116"/>
      <c r="H2669" s="117"/>
      <c r="I2669" s="117"/>
      <c r="J2669" s="117"/>
      <c r="K2669" s="117"/>
      <c r="L2669" s="116"/>
      <c r="M2669" s="117"/>
      <c r="N2669" s="118" t="str">
        <f>IFERROR(__xludf.DUMMYFUNCTION("""COMPUTED_VALUE"""),"")</f>
        <v/>
      </c>
      <c r="O2669" s="116"/>
      <c r="P2669" s="116"/>
      <c r="Q2669" s="116"/>
      <c r="R2669" s="116" t="s">
        <v>39</v>
      </c>
      <c r="S2669" s="116" t="s">
        <v>39</v>
      </c>
      <c r="T2669" s="104"/>
      <c r="U2669" s="116"/>
      <c r="V2669" s="104"/>
      <c r="W2669" s="116"/>
    </row>
    <row r="2670">
      <c r="A2670" s="114" t="s">
        <v>39</v>
      </c>
      <c r="B2670" s="115"/>
      <c r="C2670" s="116"/>
      <c r="D2670" s="116"/>
      <c r="E2670" s="116" t="str">
        <f>IFERROR(__xludf.DUMMYFUNCTION("""COMPUTED_VALUE"""),"")</f>
        <v/>
      </c>
      <c r="F2670" s="117" t="s">
        <v>39</v>
      </c>
      <c r="G2670" s="116"/>
      <c r="H2670" s="117"/>
      <c r="I2670" s="117"/>
      <c r="J2670" s="117"/>
      <c r="K2670" s="117"/>
      <c r="L2670" s="116"/>
      <c r="M2670" s="117"/>
      <c r="N2670" s="118" t="str">
        <f>IFERROR(__xludf.DUMMYFUNCTION("""COMPUTED_VALUE"""),"")</f>
        <v/>
      </c>
      <c r="O2670" s="116"/>
      <c r="P2670" s="116"/>
      <c r="Q2670" s="116"/>
      <c r="R2670" s="116" t="s">
        <v>39</v>
      </c>
      <c r="S2670" s="116" t="s">
        <v>39</v>
      </c>
      <c r="T2670" s="104"/>
      <c r="U2670" s="116"/>
      <c r="V2670" s="104"/>
      <c r="W2670" s="116"/>
    </row>
    <row r="2671">
      <c r="A2671" s="114" t="s">
        <v>39</v>
      </c>
      <c r="B2671" s="115"/>
      <c r="C2671" s="116"/>
      <c r="D2671" s="116"/>
      <c r="E2671" s="116" t="str">
        <f>IFERROR(__xludf.DUMMYFUNCTION("""COMPUTED_VALUE"""),"")</f>
        <v/>
      </c>
      <c r="F2671" s="117" t="s">
        <v>39</v>
      </c>
      <c r="G2671" s="116"/>
      <c r="H2671" s="117"/>
      <c r="I2671" s="117"/>
      <c r="J2671" s="117"/>
      <c r="K2671" s="117"/>
      <c r="L2671" s="116"/>
      <c r="M2671" s="117"/>
      <c r="N2671" s="118" t="str">
        <f>IFERROR(__xludf.DUMMYFUNCTION("""COMPUTED_VALUE"""),"")</f>
        <v/>
      </c>
      <c r="O2671" s="116"/>
      <c r="P2671" s="116"/>
      <c r="Q2671" s="116"/>
      <c r="R2671" s="116" t="s">
        <v>39</v>
      </c>
      <c r="S2671" s="116" t="s">
        <v>39</v>
      </c>
      <c r="T2671" s="104"/>
      <c r="U2671" s="116"/>
      <c r="V2671" s="104"/>
      <c r="W2671" s="116"/>
    </row>
    <row r="2672">
      <c r="A2672" s="114" t="s">
        <v>39</v>
      </c>
      <c r="B2672" s="115"/>
      <c r="C2672" s="116"/>
      <c r="D2672" s="116"/>
      <c r="E2672" s="116" t="str">
        <f>IFERROR(__xludf.DUMMYFUNCTION("""COMPUTED_VALUE"""),"")</f>
        <v/>
      </c>
      <c r="F2672" s="117" t="s">
        <v>39</v>
      </c>
      <c r="G2672" s="116"/>
      <c r="H2672" s="117"/>
      <c r="I2672" s="117"/>
      <c r="J2672" s="117"/>
      <c r="K2672" s="117"/>
      <c r="L2672" s="116"/>
      <c r="M2672" s="117"/>
      <c r="N2672" s="118" t="str">
        <f>IFERROR(__xludf.DUMMYFUNCTION("""COMPUTED_VALUE"""),"")</f>
        <v/>
      </c>
      <c r="O2672" s="116"/>
      <c r="P2672" s="116"/>
      <c r="Q2672" s="116"/>
      <c r="R2672" s="116" t="s">
        <v>39</v>
      </c>
      <c r="S2672" s="116" t="s">
        <v>39</v>
      </c>
      <c r="T2672" s="104"/>
      <c r="U2672" s="116"/>
      <c r="V2672" s="104"/>
      <c r="W2672" s="116"/>
    </row>
    <row r="2673">
      <c r="A2673" s="114" t="s">
        <v>39</v>
      </c>
      <c r="B2673" s="115"/>
      <c r="C2673" s="116"/>
      <c r="D2673" s="116"/>
      <c r="E2673" s="116" t="str">
        <f>IFERROR(__xludf.DUMMYFUNCTION("""COMPUTED_VALUE"""),"")</f>
        <v/>
      </c>
      <c r="F2673" s="117" t="s">
        <v>39</v>
      </c>
      <c r="G2673" s="116"/>
      <c r="H2673" s="117"/>
      <c r="I2673" s="117"/>
      <c r="J2673" s="117"/>
      <c r="K2673" s="117"/>
      <c r="L2673" s="116"/>
      <c r="M2673" s="117"/>
      <c r="N2673" s="118" t="str">
        <f>IFERROR(__xludf.DUMMYFUNCTION("""COMPUTED_VALUE"""),"")</f>
        <v/>
      </c>
      <c r="O2673" s="116"/>
      <c r="P2673" s="116"/>
      <c r="Q2673" s="116"/>
      <c r="R2673" s="116" t="s">
        <v>39</v>
      </c>
      <c r="S2673" s="116" t="s">
        <v>39</v>
      </c>
      <c r="T2673" s="104"/>
      <c r="U2673" s="116"/>
      <c r="V2673" s="104"/>
      <c r="W2673" s="116"/>
    </row>
    <row r="2674">
      <c r="A2674" s="114" t="s">
        <v>39</v>
      </c>
      <c r="B2674" s="115"/>
      <c r="C2674" s="116"/>
      <c r="D2674" s="116"/>
      <c r="E2674" s="116" t="str">
        <f>IFERROR(__xludf.DUMMYFUNCTION("""COMPUTED_VALUE"""),"")</f>
        <v/>
      </c>
      <c r="F2674" s="117" t="s">
        <v>39</v>
      </c>
      <c r="G2674" s="116"/>
      <c r="H2674" s="117"/>
      <c r="I2674" s="117"/>
      <c r="J2674" s="117"/>
      <c r="K2674" s="117"/>
      <c r="L2674" s="116"/>
      <c r="M2674" s="117"/>
      <c r="N2674" s="118" t="str">
        <f>IFERROR(__xludf.DUMMYFUNCTION("""COMPUTED_VALUE"""),"")</f>
        <v/>
      </c>
      <c r="O2674" s="116"/>
      <c r="P2674" s="116"/>
      <c r="Q2674" s="116"/>
      <c r="R2674" s="116" t="s">
        <v>39</v>
      </c>
      <c r="S2674" s="116" t="s">
        <v>39</v>
      </c>
      <c r="T2674" s="104"/>
      <c r="U2674" s="116"/>
      <c r="V2674" s="104"/>
      <c r="W2674" s="116"/>
    </row>
    <row r="2675">
      <c r="A2675" s="114" t="s">
        <v>39</v>
      </c>
      <c r="B2675" s="115"/>
      <c r="C2675" s="116"/>
      <c r="D2675" s="116"/>
      <c r="E2675" s="116" t="str">
        <f>IFERROR(__xludf.DUMMYFUNCTION("""COMPUTED_VALUE"""),"")</f>
        <v/>
      </c>
      <c r="F2675" s="117" t="s">
        <v>39</v>
      </c>
      <c r="G2675" s="116"/>
      <c r="H2675" s="117"/>
      <c r="I2675" s="117"/>
      <c r="J2675" s="117"/>
      <c r="K2675" s="117"/>
      <c r="L2675" s="116"/>
      <c r="M2675" s="117"/>
      <c r="N2675" s="118" t="str">
        <f>IFERROR(__xludf.DUMMYFUNCTION("""COMPUTED_VALUE"""),"")</f>
        <v/>
      </c>
      <c r="O2675" s="116"/>
      <c r="P2675" s="116"/>
      <c r="Q2675" s="116"/>
      <c r="R2675" s="116" t="s">
        <v>39</v>
      </c>
      <c r="S2675" s="116" t="s">
        <v>39</v>
      </c>
      <c r="T2675" s="104"/>
      <c r="U2675" s="116"/>
      <c r="V2675" s="104"/>
      <c r="W2675" s="116"/>
    </row>
    <row r="2676">
      <c r="A2676" s="114" t="s">
        <v>39</v>
      </c>
      <c r="B2676" s="115"/>
      <c r="C2676" s="116"/>
      <c r="D2676" s="116"/>
      <c r="E2676" s="116" t="str">
        <f>IFERROR(__xludf.DUMMYFUNCTION("""COMPUTED_VALUE"""),"")</f>
        <v/>
      </c>
      <c r="F2676" s="117" t="s">
        <v>39</v>
      </c>
      <c r="G2676" s="116"/>
      <c r="H2676" s="117"/>
      <c r="I2676" s="117"/>
      <c r="J2676" s="117"/>
      <c r="K2676" s="117"/>
      <c r="L2676" s="116"/>
      <c r="M2676" s="117"/>
      <c r="N2676" s="118" t="str">
        <f>IFERROR(__xludf.DUMMYFUNCTION("""COMPUTED_VALUE"""),"")</f>
        <v/>
      </c>
      <c r="O2676" s="116"/>
      <c r="P2676" s="116"/>
      <c r="Q2676" s="116"/>
      <c r="R2676" s="116" t="s">
        <v>39</v>
      </c>
      <c r="S2676" s="116" t="s">
        <v>39</v>
      </c>
      <c r="T2676" s="104"/>
      <c r="U2676" s="116"/>
      <c r="V2676" s="104"/>
      <c r="W2676" s="116"/>
    </row>
    <row r="2677">
      <c r="A2677" s="114" t="s">
        <v>39</v>
      </c>
      <c r="B2677" s="115"/>
      <c r="C2677" s="116"/>
      <c r="D2677" s="116"/>
      <c r="E2677" s="116" t="str">
        <f>IFERROR(__xludf.DUMMYFUNCTION("""COMPUTED_VALUE"""),"")</f>
        <v/>
      </c>
      <c r="F2677" s="117" t="s">
        <v>39</v>
      </c>
      <c r="G2677" s="116"/>
      <c r="H2677" s="117"/>
      <c r="I2677" s="117"/>
      <c r="J2677" s="117"/>
      <c r="K2677" s="117"/>
      <c r="L2677" s="116"/>
      <c r="M2677" s="117"/>
      <c r="N2677" s="118" t="str">
        <f>IFERROR(__xludf.DUMMYFUNCTION("""COMPUTED_VALUE"""),"")</f>
        <v/>
      </c>
      <c r="O2677" s="116"/>
      <c r="P2677" s="116"/>
      <c r="Q2677" s="116"/>
      <c r="R2677" s="116" t="s">
        <v>39</v>
      </c>
      <c r="S2677" s="116" t="s">
        <v>39</v>
      </c>
      <c r="T2677" s="104"/>
      <c r="U2677" s="116"/>
      <c r="V2677" s="104"/>
      <c r="W2677" s="116"/>
    </row>
    <row r="2678">
      <c r="A2678" s="114" t="s">
        <v>39</v>
      </c>
      <c r="B2678" s="115"/>
      <c r="C2678" s="116"/>
      <c r="D2678" s="116"/>
      <c r="E2678" s="116" t="str">
        <f>IFERROR(__xludf.DUMMYFUNCTION("""COMPUTED_VALUE"""),"")</f>
        <v/>
      </c>
      <c r="F2678" s="117" t="s">
        <v>39</v>
      </c>
      <c r="G2678" s="116"/>
      <c r="H2678" s="117"/>
      <c r="I2678" s="117"/>
      <c r="J2678" s="117"/>
      <c r="K2678" s="117"/>
      <c r="L2678" s="116"/>
      <c r="M2678" s="117"/>
      <c r="N2678" s="118" t="str">
        <f>IFERROR(__xludf.DUMMYFUNCTION("""COMPUTED_VALUE"""),"")</f>
        <v/>
      </c>
      <c r="O2678" s="116"/>
      <c r="P2678" s="116"/>
      <c r="Q2678" s="116"/>
      <c r="R2678" s="116" t="s">
        <v>39</v>
      </c>
      <c r="S2678" s="116" t="s">
        <v>39</v>
      </c>
      <c r="T2678" s="104"/>
      <c r="U2678" s="116"/>
      <c r="V2678" s="104"/>
      <c r="W2678" s="116"/>
    </row>
    <row r="2679">
      <c r="A2679" s="114" t="s">
        <v>39</v>
      </c>
      <c r="B2679" s="115"/>
      <c r="C2679" s="116"/>
      <c r="D2679" s="116"/>
      <c r="E2679" s="116" t="str">
        <f>IFERROR(__xludf.DUMMYFUNCTION("""COMPUTED_VALUE"""),"")</f>
        <v/>
      </c>
      <c r="F2679" s="117" t="s">
        <v>39</v>
      </c>
      <c r="G2679" s="116"/>
      <c r="H2679" s="117"/>
      <c r="I2679" s="117"/>
      <c r="J2679" s="117"/>
      <c r="K2679" s="117"/>
      <c r="L2679" s="116"/>
      <c r="M2679" s="117"/>
      <c r="N2679" s="118" t="str">
        <f>IFERROR(__xludf.DUMMYFUNCTION("""COMPUTED_VALUE"""),"")</f>
        <v/>
      </c>
      <c r="O2679" s="116"/>
      <c r="P2679" s="116"/>
      <c r="Q2679" s="116"/>
      <c r="R2679" s="116" t="s">
        <v>39</v>
      </c>
      <c r="S2679" s="116" t="s">
        <v>39</v>
      </c>
      <c r="T2679" s="104"/>
      <c r="U2679" s="116"/>
      <c r="V2679" s="104"/>
      <c r="W2679" s="116"/>
    </row>
    <row r="2680">
      <c r="A2680" s="114" t="s">
        <v>39</v>
      </c>
      <c r="B2680" s="115"/>
      <c r="C2680" s="116"/>
      <c r="D2680" s="116"/>
      <c r="E2680" s="116" t="str">
        <f>IFERROR(__xludf.DUMMYFUNCTION("""COMPUTED_VALUE"""),"")</f>
        <v/>
      </c>
      <c r="F2680" s="117" t="s">
        <v>39</v>
      </c>
      <c r="G2680" s="116"/>
      <c r="H2680" s="117"/>
      <c r="I2680" s="117"/>
      <c r="J2680" s="117"/>
      <c r="K2680" s="117"/>
      <c r="L2680" s="116"/>
      <c r="M2680" s="117"/>
      <c r="N2680" s="118" t="str">
        <f>IFERROR(__xludf.DUMMYFUNCTION("""COMPUTED_VALUE"""),"")</f>
        <v/>
      </c>
      <c r="O2680" s="116"/>
      <c r="P2680" s="116"/>
      <c r="Q2680" s="116"/>
      <c r="R2680" s="116" t="s">
        <v>39</v>
      </c>
      <c r="S2680" s="116" t="s">
        <v>39</v>
      </c>
      <c r="T2680" s="104"/>
      <c r="U2680" s="116"/>
      <c r="V2680" s="104"/>
      <c r="W2680" s="116"/>
    </row>
    <row r="2681">
      <c r="A2681" s="114" t="s">
        <v>39</v>
      </c>
      <c r="B2681" s="115"/>
      <c r="C2681" s="116"/>
      <c r="D2681" s="116"/>
      <c r="E2681" s="116" t="str">
        <f>IFERROR(__xludf.DUMMYFUNCTION("""COMPUTED_VALUE"""),"")</f>
        <v/>
      </c>
      <c r="F2681" s="117" t="s">
        <v>39</v>
      </c>
      <c r="G2681" s="116"/>
      <c r="H2681" s="117"/>
      <c r="I2681" s="117"/>
      <c r="J2681" s="117"/>
      <c r="K2681" s="117"/>
      <c r="L2681" s="116"/>
      <c r="M2681" s="117"/>
      <c r="N2681" s="118" t="str">
        <f>IFERROR(__xludf.DUMMYFUNCTION("""COMPUTED_VALUE"""),"")</f>
        <v/>
      </c>
      <c r="O2681" s="116"/>
      <c r="P2681" s="116"/>
      <c r="Q2681" s="116"/>
      <c r="R2681" s="116" t="s">
        <v>39</v>
      </c>
      <c r="S2681" s="116" t="s">
        <v>39</v>
      </c>
      <c r="T2681" s="104"/>
      <c r="U2681" s="116"/>
      <c r="V2681" s="104"/>
      <c r="W2681" s="116"/>
    </row>
    <row r="2682">
      <c r="A2682" s="114" t="s">
        <v>39</v>
      </c>
      <c r="B2682" s="115"/>
      <c r="C2682" s="116"/>
      <c r="D2682" s="116"/>
      <c r="E2682" s="116" t="str">
        <f>IFERROR(__xludf.DUMMYFUNCTION("""COMPUTED_VALUE"""),"")</f>
        <v/>
      </c>
      <c r="F2682" s="117" t="s">
        <v>39</v>
      </c>
      <c r="G2682" s="116"/>
      <c r="H2682" s="117"/>
      <c r="I2682" s="117"/>
      <c r="J2682" s="117"/>
      <c r="K2682" s="117"/>
      <c r="L2682" s="116"/>
      <c r="M2682" s="117"/>
      <c r="N2682" s="118" t="str">
        <f>IFERROR(__xludf.DUMMYFUNCTION("""COMPUTED_VALUE"""),"")</f>
        <v/>
      </c>
      <c r="O2682" s="116"/>
      <c r="P2682" s="116"/>
      <c r="Q2682" s="116"/>
      <c r="R2682" s="116" t="s">
        <v>39</v>
      </c>
      <c r="S2682" s="116" t="s">
        <v>39</v>
      </c>
      <c r="T2682" s="104"/>
      <c r="U2682" s="116"/>
      <c r="V2682" s="104"/>
      <c r="W2682" s="116"/>
    </row>
    <row r="2683">
      <c r="A2683" s="114" t="s">
        <v>39</v>
      </c>
      <c r="B2683" s="115"/>
      <c r="C2683" s="116"/>
      <c r="D2683" s="116"/>
      <c r="E2683" s="116" t="str">
        <f>IFERROR(__xludf.DUMMYFUNCTION("""COMPUTED_VALUE"""),"")</f>
        <v/>
      </c>
      <c r="F2683" s="117" t="s">
        <v>39</v>
      </c>
      <c r="G2683" s="116"/>
      <c r="H2683" s="117"/>
      <c r="I2683" s="117"/>
      <c r="J2683" s="117"/>
      <c r="K2683" s="117"/>
      <c r="L2683" s="116"/>
      <c r="M2683" s="117"/>
      <c r="N2683" s="118" t="str">
        <f>IFERROR(__xludf.DUMMYFUNCTION("""COMPUTED_VALUE"""),"")</f>
        <v/>
      </c>
      <c r="O2683" s="116"/>
      <c r="P2683" s="116"/>
      <c r="Q2683" s="116"/>
      <c r="R2683" s="116" t="s">
        <v>39</v>
      </c>
      <c r="S2683" s="116" t="s">
        <v>39</v>
      </c>
      <c r="T2683" s="104"/>
      <c r="U2683" s="116"/>
      <c r="V2683" s="104"/>
      <c r="W2683" s="116"/>
    </row>
    <row r="2684">
      <c r="A2684" s="114" t="s">
        <v>39</v>
      </c>
      <c r="B2684" s="115"/>
      <c r="C2684" s="116"/>
      <c r="D2684" s="116"/>
      <c r="E2684" s="116" t="str">
        <f>IFERROR(__xludf.DUMMYFUNCTION("""COMPUTED_VALUE"""),"")</f>
        <v/>
      </c>
      <c r="F2684" s="117" t="s">
        <v>39</v>
      </c>
      <c r="G2684" s="116"/>
      <c r="H2684" s="117"/>
      <c r="I2684" s="117"/>
      <c r="J2684" s="117"/>
      <c r="K2684" s="117"/>
      <c r="L2684" s="116"/>
      <c r="M2684" s="117"/>
      <c r="N2684" s="118" t="str">
        <f>IFERROR(__xludf.DUMMYFUNCTION("""COMPUTED_VALUE"""),"")</f>
        <v/>
      </c>
      <c r="O2684" s="116"/>
      <c r="P2684" s="116"/>
      <c r="Q2684" s="116"/>
      <c r="R2684" s="116" t="s">
        <v>39</v>
      </c>
      <c r="S2684" s="116" t="s">
        <v>39</v>
      </c>
      <c r="T2684" s="104"/>
      <c r="U2684" s="116"/>
      <c r="V2684" s="104"/>
      <c r="W2684" s="116"/>
    </row>
    <row r="2685">
      <c r="A2685" s="114" t="s">
        <v>39</v>
      </c>
      <c r="B2685" s="115"/>
      <c r="C2685" s="116"/>
      <c r="D2685" s="116"/>
      <c r="E2685" s="116" t="str">
        <f>IFERROR(__xludf.DUMMYFUNCTION("""COMPUTED_VALUE"""),"")</f>
        <v/>
      </c>
      <c r="F2685" s="117" t="s">
        <v>39</v>
      </c>
      <c r="G2685" s="116"/>
      <c r="H2685" s="117"/>
      <c r="I2685" s="117"/>
      <c r="J2685" s="117"/>
      <c r="K2685" s="117"/>
      <c r="L2685" s="116"/>
      <c r="M2685" s="117"/>
      <c r="N2685" s="118" t="str">
        <f>IFERROR(__xludf.DUMMYFUNCTION("""COMPUTED_VALUE"""),"")</f>
        <v/>
      </c>
      <c r="O2685" s="116"/>
      <c r="P2685" s="116"/>
      <c r="Q2685" s="116"/>
      <c r="R2685" s="116" t="s">
        <v>39</v>
      </c>
      <c r="S2685" s="116" t="s">
        <v>39</v>
      </c>
      <c r="T2685" s="104"/>
      <c r="U2685" s="116"/>
      <c r="V2685" s="104"/>
      <c r="W2685" s="116"/>
    </row>
    <row r="2686">
      <c r="A2686" s="114" t="s">
        <v>39</v>
      </c>
      <c r="B2686" s="115"/>
      <c r="C2686" s="116"/>
      <c r="D2686" s="116"/>
      <c r="E2686" s="116" t="str">
        <f>IFERROR(__xludf.DUMMYFUNCTION("""COMPUTED_VALUE"""),"")</f>
        <v/>
      </c>
      <c r="F2686" s="117" t="s">
        <v>39</v>
      </c>
      <c r="G2686" s="116"/>
      <c r="H2686" s="117"/>
      <c r="I2686" s="117"/>
      <c r="J2686" s="117"/>
      <c r="K2686" s="117"/>
      <c r="L2686" s="116"/>
      <c r="M2686" s="117"/>
      <c r="N2686" s="118" t="str">
        <f>IFERROR(__xludf.DUMMYFUNCTION("""COMPUTED_VALUE"""),"")</f>
        <v/>
      </c>
      <c r="O2686" s="116"/>
      <c r="P2686" s="116"/>
      <c r="Q2686" s="116"/>
      <c r="R2686" s="116" t="s">
        <v>39</v>
      </c>
      <c r="S2686" s="116" t="s">
        <v>39</v>
      </c>
      <c r="T2686" s="104"/>
      <c r="U2686" s="116"/>
      <c r="V2686" s="104"/>
      <c r="W2686" s="116"/>
    </row>
    <row r="2687">
      <c r="A2687" s="114" t="s">
        <v>39</v>
      </c>
      <c r="B2687" s="115"/>
      <c r="C2687" s="116"/>
      <c r="D2687" s="116"/>
      <c r="E2687" s="116" t="str">
        <f>IFERROR(__xludf.DUMMYFUNCTION("""COMPUTED_VALUE"""),"")</f>
        <v/>
      </c>
      <c r="F2687" s="117" t="s">
        <v>39</v>
      </c>
      <c r="G2687" s="116"/>
      <c r="H2687" s="117"/>
      <c r="I2687" s="117"/>
      <c r="J2687" s="117"/>
      <c r="K2687" s="117"/>
      <c r="L2687" s="116"/>
      <c r="M2687" s="117"/>
      <c r="N2687" s="118" t="str">
        <f>IFERROR(__xludf.DUMMYFUNCTION("""COMPUTED_VALUE"""),"")</f>
        <v/>
      </c>
      <c r="O2687" s="116"/>
      <c r="P2687" s="116"/>
      <c r="Q2687" s="116"/>
      <c r="R2687" s="116" t="s">
        <v>39</v>
      </c>
      <c r="S2687" s="116" t="s">
        <v>39</v>
      </c>
      <c r="T2687" s="104"/>
      <c r="U2687" s="116"/>
      <c r="V2687" s="104"/>
      <c r="W2687" s="116"/>
    </row>
    <row r="2688">
      <c r="A2688" s="114" t="s">
        <v>39</v>
      </c>
      <c r="B2688" s="115"/>
      <c r="C2688" s="116"/>
      <c r="D2688" s="116"/>
      <c r="E2688" s="116" t="str">
        <f>IFERROR(__xludf.DUMMYFUNCTION("""COMPUTED_VALUE"""),"")</f>
        <v/>
      </c>
      <c r="F2688" s="117" t="s">
        <v>39</v>
      </c>
      <c r="G2688" s="116"/>
      <c r="H2688" s="117"/>
      <c r="I2688" s="117"/>
      <c r="J2688" s="117"/>
      <c r="K2688" s="117"/>
      <c r="L2688" s="116"/>
      <c r="M2688" s="117"/>
      <c r="N2688" s="118" t="str">
        <f>IFERROR(__xludf.DUMMYFUNCTION("""COMPUTED_VALUE"""),"")</f>
        <v/>
      </c>
      <c r="O2688" s="116"/>
      <c r="P2688" s="116"/>
      <c r="Q2688" s="116"/>
      <c r="R2688" s="116" t="s">
        <v>39</v>
      </c>
      <c r="S2688" s="116" t="s">
        <v>39</v>
      </c>
      <c r="T2688" s="104"/>
      <c r="U2688" s="116"/>
      <c r="V2688" s="104"/>
      <c r="W2688" s="116"/>
    </row>
    <row r="2689">
      <c r="A2689" s="114" t="s">
        <v>39</v>
      </c>
      <c r="B2689" s="115"/>
      <c r="C2689" s="116"/>
      <c r="D2689" s="116"/>
      <c r="E2689" s="116" t="str">
        <f>IFERROR(__xludf.DUMMYFUNCTION("""COMPUTED_VALUE"""),"")</f>
        <v/>
      </c>
      <c r="F2689" s="117" t="s">
        <v>39</v>
      </c>
      <c r="G2689" s="116"/>
      <c r="H2689" s="117"/>
      <c r="I2689" s="117"/>
      <c r="J2689" s="117"/>
      <c r="K2689" s="117"/>
      <c r="L2689" s="116"/>
      <c r="M2689" s="117"/>
      <c r="N2689" s="118" t="str">
        <f>IFERROR(__xludf.DUMMYFUNCTION("""COMPUTED_VALUE"""),"")</f>
        <v/>
      </c>
      <c r="O2689" s="116"/>
      <c r="P2689" s="116"/>
      <c r="Q2689" s="116"/>
      <c r="R2689" s="116" t="s">
        <v>39</v>
      </c>
      <c r="S2689" s="116" t="s">
        <v>39</v>
      </c>
      <c r="T2689" s="104"/>
      <c r="U2689" s="116"/>
      <c r="V2689" s="104"/>
      <c r="W2689" s="116"/>
    </row>
    <row r="2690">
      <c r="A2690" s="114" t="s">
        <v>39</v>
      </c>
      <c r="B2690" s="115"/>
      <c r="C2690" s="116"/>
      <c r="D2690" s="116"/>
      <c r="E2690" s="116" t="str">
        <f>IFERROR(__xludf.DUMMYFUNCTION("""COMPUTED_VALUE"""),"")</f>
        <v/>
      </c>
      <c r="F2690" s="117" t="s">
        <v>39</v>
      </c>
      <c r="G2690" s="116"/>
      <c r="H2690" s="117"/>
      <c r="I2690" s="117"/>
      <c r="J2690" s="117"/>
      <c r="K2690" s="117"/>
      <c r="L2690" s="116"/>
      <c r="M2690" s="117"/>
      <c r="N2690" s="118" t="str">
        <f>IFERROR(__xludf.DUMMYFUNCTION("""COMPUTED_VALUE"""),"")</f>
        <v/>
      </c>
      <c r="O2690" s="116"/>
      <c r="P2690" s="116"/>
      <c r="Q2690" s="116"/>
      <c r="R2690" s="116" t="s">
        <v>39</v>
      </c>
      <c r="S2690" s="116" t="s">
        <v>39</v>
      </c>
      <c r="T2690" s="104"/>
      <c r="U2690" s="116"/>
      <c r="V2690" s="104"/>
      <c r="W2690" s="116"/>
    </row>
    <row r="2691">
      <c r="A2691" s="114" t="s">
        <v>39</v>
      </c>
      <c r="B2691" s="115"/>
      <c r="C2691" s="116"/>
      <c r="D2691" s="116"/>
      <c r="E2691" s="116" t="str">
        <f>IFERROR(__xludf.DUMMYFUNCTION("""COMPUTED_VALUE"""),"")</f>
        <v/>
      </c>
      <c r="F2691" s="117" t="s">
        <v>39</v>
      </c>
      <c r="G2691" s="116"/>
      <c r="H2691" s="117"/>
      <c r="I2691" s="117"/>
      <c r="J2691" s="117"/>
      <c r="K2691" s="117"/>
      <c r="L2691" s="116"/>
      <c r="M2691" s="117"/>
      <c r="N2691" s="118" t="str">
        <f>IFERROR(__xludf.DUMMYFUNCTION("""COMPUTED_VALUE"""),"")</f>
        <v/>
      </c>
      <c r="O2691" s="116"/>
      <c r="P2691" s="116"/>
      <c r="Q2691" s="116"/>
      <c r="R2691" s="116" t="s">
        <v>39</v>
      </c>
      <c r="S2691" s="116" t="s">
        <v>39</v>
      </c>
      <c r="T2691" s="104"/>
      <c r="U2691" s="116"/>
      <c r="V2691" s="104"/>
      <c r="W2691" s="116"/>
    </row>
    <row r="2692">
      <c r="A2692" s="114" t="s">
        <v>39</v>
      </c>
      <c r="B2692" s="115"/>
      <c r="C2692" s="116"/>
      <c r="D2692" s="116"/>
      <c r="E2692" s="116" t="str">
        <f>IFERROR(__xludf.DUMMYFUNCTION("""COMPUTED_VALUE"""),"")</f>
        <v/>
      </c>
      <c r="F2692" s="117" t="s">
        <v>39</v>
      </c>
      <c r="G2692" s="116"/>
      <c r="H2692" s="117"/>
      <c r="I2692" s="117"/>
      <c r="J2692" s="117"/>
      <c r="K2692" s="117"/>
      <c r="L2692" s="116"/>
      <c r="M2692" s="117"/>
      <c r="N2692" s="118" t="str">
        <f>IFERROR(__xludf.DUMMYFUNCTION("""COMPUTED_VALUE"""),"")</f>
        <v/>
      </c>
      <c r="O2692" s="116"/>
      <c r="P2692" s="116"/>
      <c r="Q2692" s="116"/>
      <c r="R2692" s="116" t="s">
        <v>39</v>
      </c>
      <c r="S2692" s="116" t="s">
        <v>39</v>
      </c>
      <c r="T2692" s="104"/>
      <c r="U2692" s="116"/>
      <c r="V2692" s="104"/>
      <c r="W2692" s="116"/>
    </row>
    <row r="2693">
      <c r="A2693" s="114" t="s">
        <v>39</v>
      </c>
      <c r="B2693" s="115"/>
      <c r="C2693" s="116"/>
      <c r="D2693" s="116"/>
      <c r="E2693" s="116" t="str">
        <f>IFERROR(__xludf.DUMMYFUNCTION("""COMPUTED_VALUE"""),"")</f>
        <v/>
      </c>
      <c r="F2693" s="117" t="s">
        <v>39</v>
      </c>
      <c r="G2693" s="116"/>
      <c r="H2693" s="117"/>
      <c r="I2693" s="117"/>
      <c r="J2693" s="117"/>
      <c r="K2693" s="117"/>
      <c r="L2693" s="116"/>
      <c r="M2693" s="117"/>
      <c r="N2693" s="118" t="str">
        <f>IFERROR(__xludf.DUMMYFUNCTION("""COMPUTED_VALUE"""),"")</f>
        <v/>
      </c>
      <c r="O2693" s="116"/>
      <c r="P2693" s="116"/>
      <c r="Q2693" s="116"/>
      <c r="R2693" s="116" t="s">
        <v>39</v>
      </c>
      <c r="S2693" s="116" t="s">
        <v>39</v>
      </c>
      <c r="T2693" s="104"/>
      <c r="U2693" s="116"/>
      <c r="V2693" s="104"/>
      <c r="W2693" s="116"/>
    </row>
    <row r="2694">
      <c r="A2694" s="114" t="s">
        <v>39</v>
      </c>
      <c r="B2694" s="115"/>
      <c r="C2694" s="116"/>
      <c r="D2694" s="116"/>
      <c r="E2694" s="116" t="str">
        <f>IFERROR(__xludf.DUMMYFUNCTION("""COMPUTED_VALUE"""),"")</f>
        <v/>
      </c>
      <c r="F2694" s="117" t="s">
        <v>39</v>
      </c>
      <c r="G2694" s="116"/>
      <c r="H2694" s="117"/>
      <c r="I2694" s="117"/>
      <c r="J2694" s="117"/>
      <c r="K2694" s="117"/>
      <c r="L2694" s="116"/>
      <c r="M2694" s="117"/>
      <c r="N2694" s="118" t="str">
        <f>IFERROR(__xludf.DUMMYFUNCTION("""COMPUTED_VALUE"""),"")</f>
        <v/>
      </c>
      <c r="O2694" s="116"/>
      <c r="P2694" s="116"/>
      <c r="Q2694" s="116"/>
      <c r="R2694" s="116" t="s">
        <v>39</v>
      </c>
      <c r="S2694" s="116" t="s">
        <v>39</v>
      </c>
      <c r="T2694" s="104"/>
      <c r="U2694" s="116"/>
      <c r="V2694" s="104"/>
      <c r="W2694" s="116"/>
    </row>
    <row r="2695">
      <c r="A2695" s="114" t="s">
        <v>39</v>
      </c>
      <c r="B2695" s="115"/>
      <c r="C2695" s="116"/>
      <c r="D2695" s="116"/>
      <c r="E2695" s="116" t="str">
        <f>IFERROR(__xludf.DUMMYFUNCTION("""COMPUTED_VALUE"""),"")</f>
        <v/>
      </c>
      <c r="F2695" s="117" t="s">
        <v>39</v>
      </c>
      <c r="G2695" s="116"/>
      <c r="H2695" s="117"/>
      <c r="I2695" s="117"/>
      <c r="J2695" s="117"/>
      <c r="K2695" s="117"/>
      <c r="L2695" s="116"/>
      <c r="M2695" s="117"/>
      <c r="N2695" s="118" t="str">
        <f>IFERROR(__xludf.DUMMYFUNCTION("""COMPUTED_VALUE"""),"")</f>
        <v/>
      </c>
      <c r="O2695" s="116"/>
      <c r="P2695" s="116"/>
      <c r="Q2695" s="116"/>
      <c r="R2695" s="116" t="s">
        <v>39</v>
      </c>
      <c r="S2695" s="116" t="s">
        <v>39</v>
      </c>
      <c r="T2695" s="104"/>
      <c r="U2695" s="116"/>
      <c r="V2695" s="104"/>
      <c r="W2695" s="116"/>
    </row>
    <row r="2696">
      <c r="A2696" s="114" t="s">
        <v>39</v>
      </c>
      <c r="B2696" s="115"/>
      <c r="C2696" s="116"/>
      <c r="D2696" s="116"/>
      <c r="E2696" s="116" t="str">
        <f>IFERROR(__xludf.DUMMYFUNCTION("""COMPUTED_VALUE"""),"")</f>
        <v/>
      </c>
      <c r="F2696" s="117" t="s">
        <v>39</v>
      </c>
      <c r="G2696" s="116"/>
      <c r="H2696" s="117"/>
      <c r="I2696" s="117"/>
      <c r="J2696" s="117"/>
      <c r="K2696" s="117"/>
      <c r="L2696" s="116"/>
      <c r="M2696" s="117"/>
      <c r="N2696" s="118" t="str">
        <f>IFERROR(__xludf.DUMMYFUNCTION("""COMPUTED_VALUE"""),"")</f>
        <v/>
      </c>
      <c r="O2696" s="116"/>
      <c r="P2696" s="116"/>
      <c r="Q2696" s="116"/>
      <c r="R2696" s="116" t="s">
        <v>39</v>
      </c>
      <c r="S2696" s="116" t="s">
        <v>39</v>
      </c>
      <c r="T2696" s="104"/>
      <c r="U2696" s="116"/>
      <c r="V2696" s="104"/>
      <c r="W2696" s="116"/>
    </row>
    <row r="2697">
      <c r="A2697" s="114" t="s">
        <v>39</v>
      </c>
      <c r="B2697" s="115"/>
      <c r="C2697" s="116"/>
      <c r="D2697" s="116"/>
      <c r="E2697" s="116" t="str">
        <f>IFERROR(__xludf.DUMMYFUNCTION("""COMPUTED_VALUE"""),"")</f>
        <v/>
      </c>
      <c r="F2697" s="117" t="s">
        <v>39</v>
      </c>
      <c r="G2697" s="116"/>
      <c r="H2697" s="117"/>
      <c r="I2697" s="117"/>
      <c r="J2697" s="117"/>
      <c r="K2697" s="117"/>
      <c r="L2697" s="116"/>
      <c r="M2697" s="117"/>
      <c r="N2697" s="118" t="str">
        <f>IFERROR(__xludf.DUMMYFUNCTION("""COMPUTED_VALUE"""),"")</f>
        <v/>
      </c>
      <c r="O2697" s="116"/>
      <c r="P2697" s="116"/>
      <c r="Q2697" s="116"/>
      <c r="R2697" s="116" t="s">
        <v>39</v>
      </c>
      <c r="S2697" s="116" t="s">
        <v>39</v>
      </c>
      <c r="T2697" s="104"/>
      <c r="U2697" s="116"/>
      <c r="V2697" s="104"/>
      <c r="W2697" s="116"/>
    </row>
    <row r="2698">
      <c r="A2698" s="114" t="s">
        <v>39</v>
      </c>
      <c r="B2698" s="115"/>
      <c r="C2698" s="116"/>
      <c r="D2698" s="116"/>
      <c r="E2698" s="116" t="str">
        <f>IFERROR(__xludf.DUMMYFUNCTION("""COMPUTED_VALUE"""),"")</f>
        <v/>
      </c>
      <c r="F2698" s="117" t="s">
        <v>39</v>
      </c>
      <c r="G2698" s="116"/>
      <c r="H2698" s="117"/>
      <c r="I2698" s="117"/>
      <c r="J2698" s="117"/>
      <c r="K2698" s="117"/>
      <c r="L2698" s="116"/>
      <c r="M2698" s="117"/>
      <c r="N2698" s="118" t="str">
        <f>IFERROR(__xludf.DUMMYFUNCTION("""COMPUTED_VALUE"""),"")</f>
        <v/>
      </c>
      <c r="O2698" s="116"/>
      <c r="P2698" s="116"/>
      <c r="Q2698" s="116"/>
      <c r="R2698" s="116" t="s">
        <v>39</v>
      </c>
      <c r="S2698" s="116" t="s">
        <v>39</v>
      </c>
      <c r="T2698" s="104"/>
      <c r="U2698" s="116"/>
      <c r="V2698" s="104"/>
      <c r="W2698" s="116"/>
    </row>
    <row r="2699">
      <c r="A2699" s="114" t="s">
        <v>39</v>
      </c>
      <c r="B2699" s="115"/>
      <c r="C2699" s="116"/>
      <c r="D2699" s="116"/>
      <c r="E2699" s="116" t="str">
        <f>IFERROR(__xludf.DUMMYFUNCTION("""COMPUTED_VALUE"""),"")</f>
        <v/>
      </c>
      <c r="F2699" s="117" t="s">
        <v>39</v>
      </c>
      <c r="G2699" s="116"/>
      <c r="H2699" s="117"/>
      <c r="I2699" s="117"/>
      <c r="J2699" s="117"/>
      <c r="K2699" s="117"/>
      <c r="L2699" s="116"/>
      <c r="M2699" s="117"/>
      <c r="N2699" s="118" t="str">
        <f>IFERROR(__xludf.DUMMYFUNCTION("""COMPUTED_VALUE"""),"")</f>
        <v/>
      </c>
      <c r="O2699" s="116"/>
      <c r="P2699" s="116"/>
      <c r="Q2699" s="116"/>
      <c r="R2699" s="116" t="s">
        <v>39</v>
      </c>
      <c r="S2699" s="116" t="s">
        <v>39</v>
      </c>
      <c r="T2699" s="104"/>
      <c r="U2699" s="116"/>
      <c r="V2699" s="104"/>
      <c r="W2699" s="116"/>
    </row>
    <row r="2700">
      <c r="A2700" s="114" t="s">
        <v>39</v>
      </c>
      <c r="B2700" s="115"/>
      <c r="C2700" s="116"/>
      <c r="D2700" s="116"/>
      <c r="E2700" s="116" t="str">
        <f>IFERROR(__xludf.DUMMYFUNCTION("""COMPUTED_VALUE"""),"")</f>
        <v/>
      </c>
      <c r="F2700" s="117" t="s">
        <v>39</v>
      </c>
      <c r="G2700" s="116"/>
      <c r="H2700" s="117"/>
      <c r="I2700" s="117"/>
      <c r="J2700" s="117"/>
      <c r="K2700" s="117"/>
      <c r="L2700" s="116"/>
      <c r="M2700" s="117"/>
      <c r="N2700" s="118" t="str">
        <f>IFERROR(__xludf.DUMMYFUNCTION("""COMPUTED_VALUE"""),"")</f>
        <v/>
      </c>
      <c r="O2700" s="116"/>
      <c r="P2700" s="116"/>
      <c r="Q2700" s="116"/>
      <c r="R2700" s="116" t="s">
        <v>39</v>
      </c>
      <c r="S2700" s="116" t="s">
        <v>39</v>
      </c>
      <c r="T2700" s="104"/>
      <c r="U2700" s="116"/>
      <c r="V2700" s="104"/>
      <c r="W2700" s="116"/>
    </row>
    <row r="2701">
      <c r="A2701" s="114" t="s">
        <v>39</v>
      </c>
      <c r="B2701" s="115"/>
      <c r="C2701" s="116"/>
      <c r="D2701" s="116"/>
      <c r="E2701" s="116" t="str">
        <f>IFERROR(__xludf.DUMMYFUNCTION("""COMPUTED_VALUE"""),"")</f>
        <v/>
      </c>
      <c r="F2701" s="117" t="s">
        <v>39</v>
      </c>
      <c r="G2701" s="116"/>
      <c r="H2701" s="117"/>
      <c r="I2701" s="117"/>
      <c r="J2701" s="117"/>
      <c r="K2701" s="117"/>
      <c r="L2701" s="116"/>
      <c r="M2701" s="117"/>
      <c r="N2701" s="118" t="str">
        <f>IFERROR(__xludf.DUMMYFUNCTION("""COMPUTED_VALUE"""),"")</f>
        <v/>
      </c>
      <c r="O2701" s="116"/>
      <c r="P2701" s="116"/>
      <c r="Q2701" s="116"/>
      <c r="R2701" s="116" t="s">
        <v>39</v>
      </c>
      <c r="S2701" s="116" t="s">
        <v>39</v>
      </c>
      <c r="T2701" s="104"/>
      <c r="U2701" s="116"/>
      <c r="V2701" s="104"/>
      <c r="W2701" s="116"/>
    </row>
    <row r="2702">
      <c r="A2702" s="114" t="s">
        <v>39</v>
      </c>
      <c r="B2702" s="115"/>
      <c r="C2702" s="116"/>
      <c r="D2702" s="116"/>
      <c r="E2702" s="116" t="str">
        <f>IFERROR(__xludf.DUMMYFUNCTION("""COMPUTED_VALUE"""),"")</f>
        <v/>
      </c>
      <c r="F2702" s="117" t="s">
        <v>39</v>
      </c>
      <c r="G2702" s="116"/>
      <c r="H2702" s="117"/>
      <c r="I2702" s="117"/>
      <c r="J2702" s="117"/>
      <c r="K2702" s="117"/>
      <c r="L2702" s="116"/>
      <c r="M2702" s="117"/>
      <c r="N2702" s="118" t="str">
        <f>IFERROR(__xludf.DUMMYFUNCTION("""COMPUTED_VALUE"""),"")</f>
        <v/>
      </c>
      <c r="O2702" s="116"/>
      <c r="P2702" s="116"/>
      <c r="Q2702" s="116"/>
      <c r="R2702" s="116" t="s">
        <v>39</v>
      </c>
      <c r="S2702" s="116" t="s">
        <v>39</v>
      </c>
      <c r="T2702" s="104"/>
      <c r="U2702" s="116"/>
      <c r="V2702" s="104"/>
      <c r="W2702" s="116"/>
    </row>
    <row r="2703">
      <c r="A2703" s="114" t="s">
        <v>39</v>
      </c>
      <c r="B2703" s="115"/>
      <c r="C2703" s="116"/>
      <c r="D2703" s="116"/>
      <c r="E2703" s="116" t="str">
        <f>IFERROR(__xludf.DUMMYFUNCTION("""COMPUTED_VALUE"""),"")</f>
        <v/>
      </c>
      <c r="F2703" s="117" t="s">
        <v>39</v>
      </c>
      <c r="G2703" s="116"/>
      <c r="H2703" s="117"/>
      <c r="I2703" s="117"/>
      <c r="J2703" s="117"/>
      <c r="K2703" s="117"/>
      <c r="L2703" s="116"/>
      <c r="M2703" s="117"/>
      <c r="N2703" s="118" t="str">
        <f>IFERROR(__xludf.DUMMYFUNCTION("""COMPUTED_VALUE"""),"")</f>
        <v/>
      </c>
      <c r="O2703" s="116"/>
      <c r="P2703" s="116"/>
      <c r="Q2703" s="116"/>
      <c r="R2703" s="116" t="s">
        <v>39</v>
      </c>
      <c r="S2703" s="116" t="s">
        <v>39</v>
      </c>
      <c r="T2703" s="104"/>
      <c r="U2703" s="116"/>
      <c r="V2703" s="104"/>
      <c r="W2703" s="116"/>
    </row>
    <row r="2704">
      <c r="A2704" s="114" t="s">
        <v>39</v>
      </c>
      <c r="B2704" s="115"/>
      <c r="C2704" s="116"/>
      <c r="D2704" s="116"/>
      <c r="E2704" s="116" t="str">
        <f>IFERROR(__xludf.DUMMYFUNCTION("""COMPUTED_VALUE"""),"")</f>
        <v/>
      </c>
      <c r="F2704" s="117" t="s">
        <v>39</v>
      </c>
      <c r="G2704" s="116"/>
      <c r="H2704" s="117"/>
      <c r="I2704" s="117"/>
      <c r="J2704" s="117"/>
      <c r="K2704" s="117"/>
      <c r="L2704" s="116"/>
      <c r="M2704" s="117"/>
      <c r="N2704" s="118" t="str">
        <f>IFERROR(__xludf.DUMMYFUNCTION("""COMPUTED_VALUE"""),"")</f>
        <v/>
      </c>
      <c r="O2704" s="116"/>
      <c r="P2704" s="116"/>
      <c r="Q2704" s="116"/>
      <c r="R2704" s="116" t="s">
        <v>39</v>
      </c>
      <c r="S2704" s="116" t="s">
        <v>39</v>
      </c>
      <c r="T2704" s="104"/>
      <c r="U2704" s="116"/>
      <c r="V2704" s="104"/>
      <c r="W2704" s="116"/>
    </row>
    <row r="2705">
      <c r="A2705" s="114" t="s">
        <v>39</v>
      </c>
      <c r="B2705" s="115"/>
      <c r="C2705" s="116"/>
      <c r="D2705" s="116"/>
      <c r="E2705" s="116" t="str">
        <f>IFERROR(__xludf.DUMMYFUNCTION("""COMPUTED_VALUE"""),"")</f>
        <v/>
      </c>
      <c r="F2705" s="117" t="s">
        <v>39</v>
      </c>
      <c r="G2705" s="116"/>
      <c r="H2705" s="117"/>
      <c r="I2705" s="117"/>
      <c r="J2705" s="117"/>
      <c r="K2705" s="117"/>
      <c r="L2705" s="116"/>
      <c r="M2705" s="117"/>
      <c r="N2705" s="118" t="str">
        <f>IFERROR(__xludf.DUMMYFUNCTION("""COMPUTED_VALUE"""),"")</f>
        <v/>
      </c>
      <c r="O2705" s="116"/>
      <c r="P2705" s="116"/>
      <c r="Q2705" s="116"/>
      <c r="R2705" s="116" t="s">
        <v>39</v>
      </c>
      <c r="S2705" s="116" t="s">
        <v>39</v>
      </c>
      <c r="T2705" s="104"/>
      <c r="U2705" s="116"/>
      <c r="V2705" s="104"/>
      <c r="W2705" s="116"/>
    </row>
    <row r="2706">
      <c r="A2706" s="114" t="s">
        <v>39</v>
      </c>
      <c r="B2706" s="115"/>
      <c r="C2706" s="116"/>
      <c r="D2706" s="116"/>
      <c r="E2706" s="116" t="str">
        <f>IFERROR(__xludf.DUMMYFUNCTION("""COMPUTED_VALUE"""),"")</f>
        <v/>
      </c>
      <c r="F2706" s="117" t="s">
        <v>39</v>
      </c>
      <c r="G2706" s="116"/>
      <c r="H2706" s="117"/>
      <c r="I2706" s="117"/>
      <c r="J2706" s="117"/>
      <c r="K2706" s="117"/>
      <c r="L2706" s="116"/>
      <c r="M2706" s="117"/>
      <c r="N2706" s="118" t="str">
        <f>IFERROR(__xludf.DUMMYFUNCTION("""COMPUTED_VALUE"""),"")</f>
        <v/>
      </c>
      <c r="O2706" s="116"/>
      <c r="P2706" s="116"/>
      <c r="Q2706" s="116"/>
      <c r="R2706" s="116" t="s">
        <v>39</v>
      </c>
      <c r="S2706" s="116" t="s">
        <v>39</v>
      </c>
      <c r="T2706" s="104"/>
      <c r="U2706" s="116"/>
      <c r="V2706" s="104"/>
      <c r="W2706" s="116"/>
    </row>
    <row r="2707">
      <c r="A2707" s="114" t="s">
        <v>39</v>
      </c>
      <c r="B2707" s="115"/>
      <c r="C2707" s="116"/>
      <c r="D2707" s="116"/>
      <c r="E2707" s="116" t="str">
        <f>IFERROR(__xludf.DUMMYFUNCTION("""COMPUTED_VALUE"""),"")</f>
        <v/>
      </c>
      <c r="F2707" s="117" t="s">
        <v>39</v>
      </c>
      <c r="G2707" s="116"/>
      <c r="H2707" s="117"/>
      <c r="I2707" s="117"/>
      <c r="J2707" s="117"/>
      <c r="K2707" s="117"/>
      <c r="L2707" s="116"/>
      <c r="M2707" s="117"/>
      <c r="N2707" s="118" t="str">
        <f>IFERROR(__xludf.DUMMYFUNCTION("""COMPUTED_VALUE"""),"")</f>
        <v/>
      </c>
      <c r="O2707" s="116"/>
      <c r="P2707" s="116"/>
      <c r="Q2707" s="116"/>
      <c r="R2707" s="116" t="s">
        <v>39</v>
      </c>
      <c r="S2707" s="116" t="s">
        <v>39</v>
      </c>
      <c r="T2707" s="104"/>
      <c r="U2707" s="116"/>
      <c r="V2707" s="104"/>
      <c r="W2707" s="116"/>
    </row>
    <row r="2708">
      <c r="A2708" s="114" t="s">
        <v>39</v>
      </c>
      <c r="B2708" s="115"/>
      <c r="C2708" s="116"/>
      <c r="D2708" s="116"/>
      <c r="E2708" s="116" t="str">
        <f>IFERROR(__xludf.DUMMYFUNCTION("""COMPUTED_VALUE"""),"")</f>
        <v/>
      </c>
      <c r="F2708" s="117" t="s">
        <v>39</v>
      </c>
      <c r="G2708" s="116"/>
      <c r="H2708" s="117"/>
      <c r="I2708" s="117"/>
      <c r="J2708" s="117"/>
      <c r="K2708" s="117"/>
      <c r="L2708" s="116"/>
      <c r="M2708" s="117"/>
      <c r="N2708" s="118" t="str">
        <f>IFERROR(__xludf.DUMMYFUNCTION("""COMPUTED_VALUE"""),"")</f>
        <v/>
      </c>
      <c r="O2708" s="116"/>
      <c r="P2708" s="116"/>
      <c r="Q2708" s="116"/>
      <c r="R2708" s="116" t="s">
        <v>39</v>
      </c>
      <c r="S2708" s="116" t="s">
        <v>39</v>
      </c>
      <c r="T2708" s="104"/>
      <c r="U2708" s="116"/>
      <c r="V2708" s="104"/>
      <c r="W2708" s="116"/>
    </row>
    <row r="2709">
      <c r="A2709" s="114" t="s">
        <v>39</v>
      </c>
      <c r="B2709" s="115"/>
      <c r="C2709" s="116"/>
      <c r="D2709" s="116"/>
      <c r="E2709" s="116" t="str">
        <f>IFERROR(__xludf.DUMMYFUNCTION("""COMPUTED_VALUE"""),"")</f>
        <v/>
      </c>
      <c r="F2709" s="117" t="s">
        <v>39</v>
      </c>
      <c r="G2709" s="116"/>
      <c r="H2709" s="117"/>
      <c r="I2709" s="117"/>
      <c r="J2709" s="117"/>
      <c r="K2709" s="117"/>
      <c r="L2709" s="116"/>
      <c r="M2709" s="117"/>
      <c r="N2709" s="118" t="str">
        <f>IFERROR(__xludf.DUMMYFUNCTION("""COMPUTED_VALUE"""),"")</f>
        <v/>
      </c>
      <c r="O2709" s="116"/>
      <c r="P2709" s="116"/>
      <c r="Q2709" s="116"/>
      <c r="R2709" s="116" t="s">
        <v>39</v>
      </c>
      <c r="S2709" s="116" t="s">
        <v>39</v>
      </c>
      <c r="T2709" s="104"/>
      <c r="U2709" s="116"/>
      <c r="V2709" s="104"/>
      <c r="W2709" s="116"/>
    </row>
    <row r="2710">
      <c r="A2710" s="114" t="s">
        <v>39</v>
      </c>
      <c r="B2710" s="115"/>
      <c r="C2710" s="116"/>
      <c r="D2710" s="116"/>
      <c r="E2710" s="116" t="str">
        <f>IFERROR(__xludf.DUMMYFUNCTION("""COMPUTED_VALUE"""),"")</f>
        <v/>
      </c>
      <c r="F2710" s="117" t="s">
        <v>39</v>
      </c>
      <c r="G2710" s="116"/>
      <c r="H2710" s="117"/>
      <c r="I2710" s="117"/>
      <c r="J2710" s="117"/>
      <c r="K2710" s="117"/>
      <c r="L2710" s="116"/>
      <c r="M2710" s="117"/>
      <c r="N2710" s="118" t="str">
        <f>IFERROR(__xludf.DUMMYFUNCTION("""COMPUTED_VALUE"""),"")</f>
        <v/>
      </c>
      <c r="O2710" s="116"/>
      <c r="P2710" s="116"/>
      <c r="Q2710" s="116"/>
      <c r="R2710" s="116" t="s">
        <v>39</v>
      </c>
      <c r="S2710" s="116" t="s">
        <v>39</v>
      </c>
      <c r="T2710" s="104"/>
      <c r="U2710" s="116"/>
      <c r="V2710" s="104"/>
      <c r="W2710" s="116"/>
    </row>
    <row r="2711">
      <c r="A2711" s="114" t="s">
        <v>39</v>
      </c>
      <c r="B2711" s="115"/>
      <c r="C2711" s="116"/>
      <c r="D2711" s="116"/>
      <c r="E2711" s="116" t="str">
        <f>IFERROR(__xludf.DUMMYFUNCTION("""COMPUTED_VALUE"""),"")</f>
        <v/>
      </c>
      <c r="F2711" s="117" t="s">
        <v>39</v>
      </c>
      <c r="G2711" s="116"/>
      <c r="H2711" s="117"/>
      <c r="I2711" s="117"/>
      <c r="J2711" s="117"/>
      <c r="K2711" s="117"/>
      <c r="L2711" s="116"/>
      <c r="M2711" s="117"/>
      <c r="N2711" s="118" t="str">
        <f>IFERROR(__xludf.DUMMYFUNCTION("""COMPUTED_VALUE"""),"")</f>
        <v/>
      </c>
      <c r="O2711" s="116"/>
      <c r="P2711" s="116"/>
      <c r="Q2711" s="116"/>
      <c r="R2711" s="116" t="s">
        <v>39</v>
      </c>
      <c r="S2711" s="116" t="s">
        <v>39</v>
      </c>
      <c r="T2711" s="104"/>
      <c r="U2711" s="116"/>
      <c r="V2711" s="104"/>
      <c r="W2711" s="116"/>
    </row>
    <row r="2712">
      <c r="A2712" s="114" t="s">
        <v>39</v>
      </c>
      <c r="B2712" s="115"/>
      <c r="C2712" s="116"/>
      <c r="D2712" s="116"/>
      <c r="E2712" s="116" t="str">
        <f>IFERROR(__xludf.DUMMYFUNCTION("""COMPUTED_VALUE"""),"")</f>
        <v/>
      </c>
      <c r="F2712" s="117" t="s">
        <v>39</v>
      </c>
      <c r="G2712" s="116"/>
      <c r="H2712" s="117"/>
      <c r="I2712" s="117"/>
      <c r="J2712" s="117"/>
      <c r="K2712" s="117"/>
      <c r="L2712" s="116"/>
      <c r="M2712" s="117"/>
      <c r="N2712" s="118" t="str">
        <f>IFERROR(__xludf.DUMMYFUNCTION("""COMPUTED_VALUE"""),"")</f>
        <v/>
      </c>
      <c r="O2712" s="116"/>
      <c r="P2712" s="116"/>
      <c r="Q2712" s="116"/>
      <c r="R2712" s="116" t="s">
        <v>39</v>
      </c>
      <c r="S2712" s="116" t="s">
        <v>39</v>
      </c>
      <c r="T2712" s="104"/>
      <c r="U2712" s="116"/>
      <c r="V2712" s="104"/>
      <c r="W2712" s="116"/>
    </row>
    <row r="2713">
      <c r="A2713" s="114" t="s">
        <v>39</v>
      </c>
      <c r="B2713" s="115"/>
      <c r="C2713" s="116"/>
      <c r="D2713" s="116"/>
      <c r="E2713" s="116" t="str">
        <f>IFERROR(__xludf.DUMMYFUNCTION("""COMPUTED_VALUE"""),"")</f>
        <v/>
      </c>
      <c r="F2713" s="117" t="s">
        <v>39</v>
      </c>
      <c r="G2713" s="116"/>
      <c r="H2713" s="117"/>
      <c r="I2713" s="117"/>
      <c r="J2713" s="117"/>
      <c r="K2713" s="117"/>
      <c r="L2713" s="116"/>
      <c r="M2713" s="117"/>
      <c r="N2713" s="118" t="str">
        <f>IFERROR(__xludf.DUMMYFUNCTION("""COMPUTED_VALUE"""),"")</f>
        <v/>
      </c>
      <c r="O2713" s="116"/>
      <c r="P2713" s="116"/>
      <c r="Q2713" s="116"/>
      <c r="R2713" s="116" t="s">
        <v>39</v>
      </c>
      <c r="S2713" s="116" t="s">
        <v>39</v>
      </c>
      <c r="T2713" s="104"/>
      <c r="U2713" s="116"/>
      <c r="V2713" s="104"/>
      <c r="W2713" s="116"/>
    </row>
    <row r="2714">
      <c r="A2714" s="114" t="s">
        <v>39</v>
      </c>
      <c r="B2714" s="115"/>
      <c r="C2714" s="116"/>
      <c r="D2714" s="116"/>
      <c r="E2714" s="116" t="str">
        <f>IFERROR(__xludf.DUMMYFUNCTION("""COMPUTED_VALUE"""),"")</f>
        <v/>
      </c>
      <c r="F2714" s="117" t="s">
        <v>39</v>
      </c>
      <c r="G2714" s="116"/>
      <c r="H2714" s="117"/>
      <c r="I2714" s="117"/>
      <c r="J2714" s="117"/>
      <c r="K2714" s="117"/>
      <c r="L2714" s="116"/>
      <c r="M2714" s="117"/>
      <c r="N2714" s="118" t="str">
        <f>IFERROR(__xludf.DUMMYFUNCTION("""COMPUTED_VALUE"""),"")</f>
        <v/>
      </c>
      <c r="O2714" s="116"/>
      <c r="P2714" s="116"/>
      <c r="Q2714" s="116"/>
      <c r="R2714" s="116" t="s">
        <v>39</v>
      </c>
      <c r="S2714" s="116" t="s">
        <v>39</v>
      </c>
      <c r="T2714" s="104"/>
      <c r="U2714" s="116"/>
      <c r="V2714" s="104"/>
      <c r="W2714" s="116"/>
    </row>
    <row r="2715">
      <c r="A2715" s="114" t="s">
        <v>39</v>
      </c>
      <c r="B2715" s="115"/>
      <c r="C2715" s="116"/>
      <c r="D2715" s="116"/>
      <c r="E2715" s="116" t="str">
        <f>IFERROR(__xludf.DUMMYFUNCTION("""COMPUTED_VALUE"""),"")</f>
        <v/>
      </c>
      <c r="F2715" s="117" t="s">
        <v>39</v>
      </c>
      <c r="G2715" s="116"/>
      <c r="H2715" s="117"/>
      <c r="I2715" s="117"/>
      <c r="J2715" s="117"/>
      <c r="K2715" s="117"/>
      <c r="L2715" s="116"/>
      <c r="M2715" s="117"/>
      <c r="N2715" s="118" t="str">
        <f>IFERROR(__xludf.DUMMYFUNCTION("""COMPUTED_VALUE"""),"")</f>
        <v/>
      </c>
      <c r="O2715" s="116"/>
      <c r="P2715" s="116"/>
      <c r="Q2715" s="116"/>
      <c r="R2715" s="116" t="s">
        <v>39</v>
      </c>
      <c r="S2715" s="116" t="s">
        <v>39</v>
      </c>
      <c r="T2715" s="104"/>
      <c r="U2715" s="116"/>
      <c r="V2715" s="104"/>
      <c r="W2715" s="116"/>
    </row>
    <row r="2716">
      <c r="A2716" s="114" t="s">
        <v>39</v>
      </c>
      <c r="B2716" s="115"/>
      <c r="C2716" s="116"/>
      <c r="D2716" s="116"/>
      <c r="E2716" s="116" t="str">
        <f>IFERROR(__xludf.DUMMYFUNCTION("""COMPUTED_VALUE"""),"")</f>
        <v/>
      </c>
      <c r="F2716" s="117" t="s">
        <v>39</v>
      </c>
      <c r="G2716" s="116"/>
      <c r="H2716" s="117"/>
      <c r="I2716" s="117"/>
      <c r="J2716" s="117"/>
      <c r="K2716" s="117"/>
      <c r="L2716" s="116"/>
      <c r="M2716" s="117"/>
      <c r="N2716" s="118" t="str">
        <f>IFERROR(__xludf.DUMMYFUNCTION("""COMPUTED_VALUE"""),"")</f>
        <v/>
      </c>
      <c r="O2716" s="116"/>
      <c r="P2716" s="116"/>
      <c r="Q2716" s="116"/>
      <c r="R2716" s="116" t="s">
        <v>39</v>
      </c>
      <c r="S2716" s="116" t="s">
        <v>39</v>
      </c>
      <c r="T2716" s="104"/>
      <c r="U2716" s="116"/>
      <c r="V2716" s="104"/>
      <c r="W2716" s="116"/>
    </row>
    <row r="2717">
      <c r="A2717" s="114" t="s">
        <v>39</v>
      </c>
      <c r="B2717" s="115"/>
      <c r="C2717" s="116"/>
      <c r="D2717" s="116"/>
      <c r="E2717" s="116" t="str">
        <f>IFERROR(__xludf.DUMMYFUNCTION("""COMPUTED_VALUE"""),"")</f>
        <v/>
      </c>
      <c r="F2717" s="117" t="s">
        <v>39</v>
      </c>
      <c r="G2717" s="116"/>
      <c r="H2717" s="117"/>
      <c r="I2717" s="117"/>
      <c r="J2717" s="117"/>
      <c r="K2717" s="117"/>
      <c r="L2717" s="116"/>
      <c r="M2717" s="117"/>
      <c r="N2717" s="118" t="str">
        <f>IFERROR(__xludf.DUMMYFUNCTION("""COMPUTED_VALUE"""),"")</f>
        <v/>
      </c>
      <c r="O2717" s="116"/>
      <c r="P2717" s="116"/>
      <c r="Q2717" s="116"/>
      <c r="R2717" s="116" t="s">
        <v>39</v>
      </c>
      <c r="S2717" s="116" t="s">
        <v>39</v>
      </c>
      <c r="T2717" s="104"/>
      <c r="U2717" s="116"/>
      <c r="V2717" s="104"/>
      <c r="W2717" s="116"/>
    </row>
    <row r="2718">
      <c r="A2718" s="114" t="s">
        <v>39</v>
      </c>
      <c r="B2718" s="115"/>
      <c r="C2718" s="116"/>
      <c r="D2718" s="116"/>
      <c r="E2718" s="116" t="str">
        <f>IFERROR(__xludf.DUMMYFUNCTION("""COMPUTED_VALUE"""),"")</f>
        <v/>
      </c>
      <c r="F2718" s="117" t="s">
        <v>39</v>
      </c>
      <c r="G2718" s="116"/>
      <c r="H2718" s="117"/>
      <c r="I2718" s="117"/>
      <c r="J2718" s="117"/>
      <c r="K2718" s="117"/>
      <c r="L2718" s="116"/>
      <c r="M2718" s="117"/>
      <c r="N2718" s="118" t="str">
        <f>IFERROR(__xludf.DUMMYFUNCTION("""COMPUTED_VALUE"""),"")</f>
        <v/>
      </c>
      <c r="O2718" s="116"/>
      <c r="P2718" s="116"/>
      <c r="Q2718" s="116"/>
      <c r="R2718" s="116" t="s">
        <v>39</v>
      </c>
      <c r="S2718" s="116" t="s">
        <v>39</v>
      </c>
      <c r="T2718" s="104"/>
      <c r="U2718" s="116"/>
      <c r="V2718" s="104"/>
      <c r="W2718" s="116"/>
    </row>
    <row r="2719">
      <c r="A2719" s="114" t="s">
        <v>39</v>
      </c>
      <c r="B2719" s="115"/>
      <c r="C2719" s="116"/>
      <c r="D2719" s="116"/>
      <c r="E2719" s="116" t="str">
        <f>IFERROR(__xludf.DUMMYFUNCTION("""COMPUTED_VALUE"""),"")</f>
        <v/>
      </c>
      <c r="F2719" s="117" t="s">
        <v>39</v>
      </c>
      <c r="G2719" s="116"/>
      <c r="H2719" s="117"/>
      <c r="I2719" s="117"/>
      <c r="J2719" s="117"/>
      <c r="K2719" s="117"/>
      <c r="L2719" s="116"/>
      <c r="M2719" s="117"/>
      <c r="N2719" s="118" t="str">
        <f>IFERROR(__xludf.DUMMYFUNCTION("""COMPUTED_VALUE"""),"")</f>
        <v/>
      </c>
      <c r="O2719" s="116"/>
      <c r="P2719" s="116"/>
      <c r="Q2719" s="116"/>
      <c r="R2719" s="116" t="s">
        <v>39</v>
      </c>
      <c r="S2719" s="116" t="s">
        <v>39</v>
      </c>
      <c r="T2719" s="104"/>
      <c r="U2719" s="116"/>
      <c r="V2719" s="104"/>
      <c r="W2719" s="116"/>
    </row>
    <row r="2720">
      <c r="A2720" s="114" t="s">
        <v>39</v>
      </c>
      <c r="B2720" s="115"/>
      <c r="C2720" s="116"/>
      <c r="D2720" s="116"/>
      <c r="E2720" s="116" t="str">
        <f>IFERROR(__xludf.DUMMYFUNCTION("""COMPUTED_VALUE"""),"")</f>
        <v/>
      </c>
      <c r="F2720" s="117" t="s">
        <v>39</v>
      </c>
      <c r="G2720" s="116"/>
      <c r="H2720" s="117"/>
      <c r="I2720" s="117"/>
      <c r="J2720" s="117"/>
      <c r="K2720" s="117"/>
      <c r="L2720" s="116"/>
      <c r="M2720" s="117"/>
      <c r="N2720" s="118" t="str">
        <f>IFERROR(__xludf.DUMMYFUNCTION("""COMPUTED_VALUE"""),"")</f>
        <v/>
      </c>
      <c r="O2720" s="116"/>
      <c r="P2720" s="116"/>
      <c r="Q2720" s="116"/>
      <c r="R2720" s="116" t="s">
        <v>39</v>
      </c>
      <c r="S2720" s="116" t="s">
        <v>39</v>
      </c>
      <c r="T2720" s="104"/>
      <c r="U2720" s="116"/>
      <c r="V2720" s="104"/>
      <c r="W2720" s="116"/>
    </row>
    <row r="2721">
      <c r="A2721" s="114" t="s">
        <v>39</v>
      </c>
      <c r="B2721" s="115"/>
      <c r="C2721" s="116"/>
      <c r="D2721" s="116"/>
      <c r="E2721" s="116" t="str">
        <f>IFERROR(__xludf.DUMMYFUNCTION("""COMPUTED_VALUE"""),"")</f>
        <v/>
      </c>
      <c r="F2721" s="117" t="s">
        <v>39</v>
      </c>
      <c r="G2721" s="116"/>
      <c r="H2721" s="117"/>
      <c r="I2721" s="117"/>
      <c r="J2721" s="117"/>
      <c r="K2721" s="117"/>
      <c r="L2721" s="116"/>
      <c r="M2721" s="117"/>
      <c r="N2721" s="118" t="str">
        <f>IFERROR(__xludf.DUMMYFUNCTION("""COMPUTED_VALUE"""),"")</f>
        <v/>
      </c>
      <c r="O2721" s="116"/>
      <c r="P2721" s="116"/>
      <c r="Q2721" s="116"/>
      <c r="R2721" s="116" t="s">
        <v>39</v>
      </c>
      <c r="S2721" s="116" t="s">
        <v>39</v>
      </c>
      <c r="T2721" s="104"/>
      <c r="U2721" s="116"/>
      <c r="V2721" s="104"/>
      <c r="W2721" s="116"/>
    </row>
    <row r="2722">
      <c r="A2722" s="114" t="s">
        <v>39</v>
      </c>
      <c r="B2722" s="115"/>
      <c r="C2722" s="116"/>
      <c r="D2722" s="116"/>
      <c r="E2722" s="116" t="str">
        <f>IFERROR(__xludf.DUMMYFUNCTION("""COMPUTED_VALUE"""),"")</f>
        <v/>
      </c>
      <c r="F2722" s="117" t="s">
        <v>39</v>
      </c>
      <c r="G2722" s="116"/>
      <c r="H2722" s="117"/>
      <c r="I2722" s="117"/>
      <c r="J2722" s="117"/>
      <c r="K2722" s="117"/>
      <c r="L2722" s="116"/>
      <c r="M2722" s="117"/>
      <c r="N2722" s="118" t="str">
        <f>IFERROR(__xludf.DUMMYFUNCTION("""COMPUTED_VALUE"""),"")</f>
        <v/>
      </c>
      <c r="O2722" s="116"/>
      <c r="P2722" s="116"/>
      <c r="Q2722" s="116"/>
      <c r="R2722" s="116" t="s">
        <v>39</v>
      </c>
      <c r="S2722" s="116" t="s">
        <v>39</v>
      </c>
      <c r="T2722" s="104"/>
      <c r="U2722" s="116"/>
      <c r="V2722" s="104"/>
      <c r="W2722" s="116"/>
    </row>
    <row r="2723">
      <c r="A2723" s="114" t="s">
        <v>39</v>
      </c>
      <c r="B2723" s="115"/>
      <c r="C2723" s="116"/>
      <c r="D2723" s="116"/>
      <c r="E2723" s="116" t="str">
        <f>IFERROR(__xludf.DUMMYFUNCTION("""COMPUTED_VALUE"""),"")</f>
        <v/>
      </c>
      <c r="F2723" s="117" t="s">
        <v>39</v>
      </c>
      <c r="G2723" s="116"/>
      <c r="H2723" s="117"/>
      <c r="I2723" s="117"/>
      <c r="J2723" s="117"/>
      <c r="K2723" s="117"/>
      <c r="L2723" s="116"/>
      <c r="M2723" s="117"/>
      <c r="N2723" s="118" t="str">
        <f>IFERROR(__xludf.DUMMYFUNCTION("""COMPUTED_VALUE"""),"")</f>
        <v/>
      </c>
      <c r="O2723" s="116"/>
      <c r="P2723" s="116"/>
      <c r="Q2723" s="116"/>
      <c r="R2723" s="116" t="s">
        <v>39</v>
      </c>
      <c r="S2723" s="116" t="s">
        <v>39</v>
      </c>
      <c r="T2723" s="104"/>
      <c r="U2723" s="116"/>
      <c r="V2723" s="104"/>
      <c r="W2723" s="116"/>
    </row>
    <row r="2724">
      <c r="A2724" s="114" t="s">
        <v>39</v>
      </c>
      <c r="B2724" s="115"/>
      <c r="C2724" s="116"/>
      <c r="D2724" s="116"/>
      <c r="E2724" s="116" t="str">
        <f>IFERROR(__xludf.DUMMYFUNCTION("""COMPUTED_VALUE"""),"")</f>
        <v/>
      </c>
      <c r="F2724" s="117" t="s">
        <v>39</v>
      </c>
      <c r="G2724" s="116"/>
      <c r="H2724" s="117"/>
      <c r="I2724" s="117"/>
      <c r="J2724" s="117"/>
      <c r="K2724" s="117"/>
      <c r="L2724" s="116"/>
      <c r="M2724" s="117"/>
      <c r="N2724" s="118" t="str">
        <f>IFERROR(__xludf.DUMMYFUNCTION("""COMPUTED_VALUE"""),"")</f>
        <v/>
      </c>
      <c r="O2724" s="116"/>
      <c r="P2724" s="116"/>
      <c r="Q2724" s="116"/>
      <c r="R2724" s="116" t="s">
        <v>39</v>
      </c>
      <c r="S2724" s="116" t="s">
        <v>39</v>
      </c>
      <c r="T2724" s="104"/>
      <c r="U2724" s="116"/>
      <c r="V2724" s="104"/>
      <c r="W2724" s="116"/>
    </row>
    <row r="2725">
      <c r="A2725" s="114" t="s">
        <v>39</v>
      </c>
      <c r="B2725" s="115"/>
      <c r="C2725" s="116"/>
      <c r="D2725" s="116"/>
      <c r="E2725" s="116" t="str">
        <f>IFERROR(__xludf.DUMMYFUNCTION("""COMPUTED_VALUE"""),"")</f>
        <v/>
      </c>
      <c r="F2725" s="117" t="s">
        <v>39</v>
      </c>
      <c r="G2725" s="116"/>
      <c r="H2725" s="117"/>
      <c r="I2725" s="117"/>
      <c r="J2725" s="117"/>
      <c r="K2725" s="117"/>
      <c r="L2725" s="116"/>
      <c r="M2725" s="117"/>
      <c r="N2725" s="118" t="str">
        <f>IFERROR(__xludf.DUMMYFUNCTION("""COMPUTED_VALUE"""),"")</f>
        <v/>
      </c>
      <c r="O2725" s="116"/>
      <c r="P2725" s="116"/>
      <c r="Q2725" s="116"/>
      <c r="R2725" s="116" t="s">
        <v>39</v>
      </c>
      <c r="S2725" s="116" t="s">
        <v>39</v>
      </c>
      <c r="T2725" s="104"/>
      <c r="U2725" s="116"/>
      <c r="V2725" s="104"/>
      <c r="W2725" s="116"/>
    </row>
    <row r="2726">
      <c r="A2726" s="114" t="s">
        <v>39</v>
      </c>
      <c r="B2726" s="115"/>
      <c r="C2726" s="116"/>
      <c r="D2726" s="116"/>
      <c r="E2726" s="116" t="str">
        <f>IFERROR(__xludf.DUMMYFUNCTION("""COMPUTED_VALUE"""),"")</f>
        <v/>
      </c>
      <c r="F2726" s="117" t="s">
        <v>39</v>
      </c>
      <c r="G2726" s="116"/>
      <c r="H2726" s="117"/>
      <c r="I2726" s="117"/>
      <c r="J2726" s="117"/>
      <c r="K2726" s="117"/>
      <c r="L2726" s="116"/>
      <c r="M2726" s="117"/>
      <c r="N2726" s="118" t="str">
        <f>IFERROR(__xludf.DUMMYFUNCTION("""COMPUTED_VALUE"""),"")</f>
        <v/>
      </c>
      <c r="O2726" s="116"/>
      <c r="P2726" s="116"/>
      <c r="Q2726" s="116"/>
      <c r="R2726" s="116" t="s">
        <v>39</v>
      </c>
      <c r="S2726" s="116" t="s">
        <v>39</v>
      </c>
      <c r="T2726" s="104"/>
      <c r="U2726" s="116"/>
      <c r="V2726" s="104"/>
      <c r="W2726" s="116"/>
    </row>
    <row r="2727">
      <c r="A2727" s="114" t="s">
        <v>39</v>
      </c>
      <c r="B2727" s="115"/>
      <c r="C2727" s="116"/>
      <c r="D2727" s="116"/>
      <c r="E2727" s="116" t="str">
        <f>IFERROR(__xludf.DUMMYFUNCTION("""COMPUTED_VALUE"""),"")</f>
        <v/>
      </c>
      <c r="F2727" s="117" t="s">
        <v>39</v>
      </c>
      <c r="G2727" s="116"/>
      <c r="H2727" s="117"/>
      <c r="I2727" s="117"/>
      <c r="J2727" s="117"/>
      <c r="K2727" s="117"/>
      <c r="L2727" s="116"/>
      <c r="M2727" s="117"/>
      <c r="N2727" s="118" t="str">
        <f>IFERROR(__xludf.DUMMYFUNCTION("""COMPUTED_VALUE"""),"")</f>
        <v/>
      </c>
      <c r="O2727" s="116"/>
      <c r="P2727" s="116"/>
      <c r="Q2727" s="116"/>
      <c r="R2727" s="116" t="s">
        <v>39</v>
      </c>
      <c r="S2727" s="116" t="s">
        <v>39</v>
      </c>
      <c r="T2727" s="104"/>
      <c r="U2727" s="116"/>
      <c r="V2727" s="104"/>
      <c r="W2727" s="116"/>
    </row>
    <row r="2728">
      <c r="A2728" s="114" t="s">
        <v>39</v>
      </c>
      <c r="B2728" s="115"/>
      <c r="C2728" s="116"/>
      <c r="D2728" s="116"/>
      <c r="E2728" s="116" t="str">
        <f>IFERROR(__xludf.DUMMYFUNCTION("""COMPUTED_VALUE"""),"")</f>
        <v/>
      </c>
      <c r="F2728" s="117" t="s">
        <v>39</v>
      </c>
      <c r="G2728" s="116"/>
      <c r="H2728" s="117"/>
      <c r="I2728" s="117"/>
      <c r="J2728" s="117"/>
      <c r="K2728" s="117"/>
      <c r="L2728" s="116"/>
      <c r="M2728" s="117"/>
      <c r="N2728" s="118" t="str">
        <f>IFERROR(__xludf.DUMMYFUNCTION("""COMPUTED_VALUE"""),"")</f>
        <v/>
      </c>
      <c r="O2728" s="116"/>
      <c r="P2728" s="116"/>
      <c r="Q2728" s="116"/>
      <c r="R2728" s="116" t="s">
        <v>39</v>
      </c>
      <c r="S2728" s="116" t="s">
        <v>39</v>
      </c>
      <c r="T2728" s="104"/>
      <c r="U2728" s="116"/>
      <c r="V2728" s="104"/>
      <c r="W2728" s="116"/>
    </row>
    <row r="2729">
      <c r="A2729" s="114" t="s">
        <v>39</v>
      </c>
      <c r="B2729" s="115"/>
      <c r="C2729" s="116"/>
      <c r="D2729" s="116"/>
      <c r="E2729" s="116" t="str">
        <f>IFERROR(__xludf.DUMMYFUNCTION("""COMPUTED_VALUE"""),"")</f>
        <v/>
      </c>
      <c r="F2729" s="117" t="s">
        <v>39</v>
      </c>
      <c r="G2729" s="116"/>
      <c r="H2729" s="117"/>
      <c r="I2729" s="117"/>
      <c r="J2729" s="117"/>
      <c r="K2729" s="117"/>
      <c r="L2729" s="116"/>
      <c r="M2729" s="117"/>
      <c r="N2729" s="118" t="str">
        <f>IFERROR(__xludf.DUMMYFUNCTION("""COMPUTED_VALUE"""),"")</f>
        <v/>
      </c>
      <c r="O2729" s="116"/>
      <c r="P2729" s="116"/>
      <c r="Q2729" s="116"/>
      <c r="R2729" s="116" t="s">
        <v>39</v>
      </c>
      <c r="S2729" s="116" t="s">
        <v>39</v>
      </c>
      <c r="T2729" s="104"/>
      <c r="U2729" s="116"/>
      <c r="V2729" s="104"/>
      <c r="W2729" s="116"/>
    </row>
    <row r="2730">
      <c r="A2730" s="114" t="s">
        <v>39</v>
      </c>
      <c r="B2730" s="115"/>
      <c r="C2730" s="116"/>
      <c r="D2730" s="116"/>
      <c r="E2730" s="116" t="str">
        <f>IFERROR(__xludf.DUMMYFUNCTION("""COMPUTED_VALUE"""),"")</f>
        <v/>
      </c>
      <c r="F2730" s="117" t="s">
        <v>39</v>
      </c>
      <c r="G2730" s="116"/>
      <c r="H2730" s="117"/>
      <c r="I2730" s="117"/>
      <c r="J2730" s="117"/>
      <c r="K2730" s="117"/>
      <c r="L2730" s="116"/>
      <c r="M2730" s="117"/>
      <c r="N2730" s="118" t="str">
        <f>IFERROR(__xludf.DUMMYFUNCTION("""COMPUTED_VALUE"""),"")</f>
        <v/>
      </c>
      <c r="O2730" s="116"/>
      <c r="P2730" s="116"/>
      <c r="Q2730" s="116"/>
      <c r="R2730" s="116" t="s">
        <v>39</v>
      </c>
      <c r="S2730" s="116" t="s">
        <v>39</v>
      </c>
      <c r="T2730" s="104"/>
      <c r="U2730" s="116"/>
      <c r="V2730" s="104"/>
      <c r="W2730" s="116"/>
    </row>
    <row r="2731">
      <c r="A2731" s="114" t="s">
        <v>39</v>
      </c>
      <c r="B2731" s="115"/>
      <c r="C2731" s="116"/>
      <c r="D2731" s="116"/>
      <c r="E2731" s="116" t="str">
        <f>IFERROR(__xludf.DUMMYFUNCTION("""COMPUTED_VALUE"""),"")</f>
        <v/>
      </c>
      <c r="F2731" s="117" t="s">
        <v>39</v>
      </c>
      <c r="G2731" s="116"/>
      <c r="H2731" s="117"/>
      <c r="I2731" s="117"/>
      <c r="J2731" s="117"/>
      <c r="K2731" s="117"/>
      <c r="L2731" s="116"/>
      <c r="M2731" s="117"/>
      <c r="N2731" s="118" t="str">
        <f>IFERROR(__xludf.DUMMYFUNCTION("""COMPUTED_VALUE"""),"")</f>
        <v/>
      </c>
      <c r="O2731" s="116"/>
      <c r="P2731" s="116"/>
      <c r="Q2731" s="116"/>
      <c r="R2731" s="116" t="s">
        <v>39</v>
      </c>
      <c r="S2731" s="116" t="s">
        <v>39</v>
      </c>
      <c r="T2731" s="104"/>
      <c r="U2731" s="116"/>
      <c r="V2731" s="104"/>
      <c r="W2731" s="116"/>
    </row>
    <row r="2732">
      <c r="A2732" s="114" t="s">
        <v>39</v>
      </c>
      <c r="B2732" s="115"/>
      <c r="C2732" s="116"/>
      <c r="D2732" s="116"/>
      <c r="E2732" s="116" t="str">
        <f>IFERROR(__xludf.DUMMYFUNCTION("""COMPUTED_VALUE"""),"")</f>
        <v/>
      </c>
      <c r="F2732" s="117" t="s">
        <v>39</v>
      </c>
      <c r="G2732" s="116"/>
      <c r="H2732" s="117"/>
      <c r="I2732" s="117"/>
      <c r="J2732" s="117"/>
      <c r="K2732" s="117"/>
      <c r="L2732" s="116"/>
      <c r="M2732" s="117"/>
      <c r="N2732" s="118" t="str">
        <f>IFERROR(__xludf.DUMMYFUNCTION("""COMPUTED_VALUE"""),"")</f>
        <v/>
      </c>
      <c r="O2732" s="116"/>
      <c r="P2732" s="116"/>
      <c r="Q2732" s="116"/>
      <c r="R2732" s="116" t="s">
        <v>39</v>
      </c>
      <c r="S2732" s="116" t="s">
        <v>39</v>
      </c>
      <c r="T2732" s="104"/>
      <c r="U2732" s="116"/>
      <c r="V2732" s="104"/>
      <c r="W2732" s="116"/>
    </row>
    <row r="2733">
      <c r="A2733" s="114" t="s">
        <v>39</v>
      </c>
      <c r="B2733" s="115"/>
      <c r="C2733" s="116"/>
      <c r="D2733" s="116"/>
      <c r="E2733" s="116" t="str">
        <f>IFERROR(__xludf.DUMMYFUNCTION("""COMPUTED_VALUE"""),"")</f>
        <v/>
      </c>
      <c r="F2733" s="117" t="s">
        <v>39</v>
      </c>
      <c r="G2733" s="116"/>
      <c r="H2733" s="117"/>
      <c r="I2733" s="117"/>
      <c r="J2733" s="117"/>
      <c r="K2733" s="117"/>
      <c r="L2733" s="116"/>
      <c r="M2733" s="117"/>
      <c r="N2733" s="118" t="str">
        <f>IFERROR(__xludf.DUMMYFUNCTION("""COMPUTED_VALUE"""),"")</f>
        <v/>
      </c>
      <c r="O2733" s="116"/>
      <c r="P2733" s="116"/>
      <c r="Q2733" s="116"/>
      <c r="R2733" s="116" t="s">
        <v>39</v>
      </c>
      <c r="S2733" s="116" t="s">
        <v>39</v>
      </c>
      <c r="T2733" s="104"/>
      <c r="U2733" s="116"/>
      <c r="V2733" s="104"/>
      <c r="W2733" s="116"/>
    </row>
    <row r="2734">
      <c r="A2734" s="114" t="s">
        <v>39</v>
      </c>
      <c r="B2734" s="115"/>
      <c r="C2734" s="116"/>
      <c r="D2734" s="116"/>
      <c r="E2734" s="116" t="str">
        <f>IFERROR(__xludf.DUMMYFUNCTION("""COMPUTED_VALUE"""),"")</f>
        <v/>
      </c>
      <c r="F2734" s="117" t="s">
        <v>39</v>
      </c>
      <c r="G2734" s="116"/>
      <c r="H2734" s="117"/>
      <c r="I2734" s="117"/>
      <c r="J2734" s="117"/>
      <c r="K2734" s="117"/>
      <c r="L2734" s="116"/>
      <c r="M2734" s="117"/>
      <c r="N2734" s="118" t="str">
        <f>IFERROR(__xludf.DUMMYFUNCTION("""COMPUTED_VALUE"""),"")</f>
        <v/>
      </c>
      <c r="O2734" s="116"/>
      <c r="P2734" s="116"/>
      <c r="Q2734" s="116"/>
      <c r="R2734" s="116" t="s">
        <v>39</v>
      </c>
      <c r="S2734" s="116" t="s">
        <v>39</v>
      </c>
      <c r="T2734" s="104"/>
      <c r="U2734" s="116"/>
      <c r="V2734" s="104"/>
      <c r="W2734" s="116"/>
    </row>
    <row r="2735">
      <c r="A2735" s="114" t="s">
        <v>39</v>
      </c>
      <c r="B2735" s="115"/>
      <c r="C2735" s="116"/>
      <c r="D2735" s="116"/>
      <c r="E2735" s="116" t="str">
        <f>IFERROR(__xludf.DUMMYFUNCTION("""COMPUTED_VALUE"""),"")</f>
        <v/>
      </c>
      <c r="F2735" s="117" t="s">
        <v>39</v>
      </c>
      <c r="G2735" s="116"/>
      <c r="H2735" s="117"/>
      <c r="I2735" s="117"/>
      <c r="J2735" s="117"/>
      <c r="K2735" s="117"/>
      <c r="L2735" s="116"/>
      <c r="M2735" s="117"/>
      <c r="N2735" s="118" t="str">
        <f>IFERROR(__xludf.DUMMYFUNCTION("""COMPUTED_VALUE"""),"")</f>
        <v/>
      </c>
      <c r="O2735" s="116"/>
      <c r="P2735" s="116"/>
      <c r="Q2735" s="116"/>
      <c r="R2735" s="116" t="s">
        <v>39</v>
      </c>
      <c r="S2735" s="116" t="s">
        <v>39</v>
      </c>
      <c r="T2735" s="104"/>
      <c r="U2735" s="116"/>
      <c r="V2735" s="104"/>
      <c r="W2735" s="116"/>
    </row>
    <row r="2736">
      <c r="A2736" s="114" t="s">
        <v>39</v>
      </c>
      <c r="B2736" s="115"/>
      <c r="C2736" s="116"/>
      <c r="D2736" s="116"/>
      <c r="E2736" s="116" t="str">
        <f>IFERROR(__xludf.DUMMYFUNCTION("""COMPUTED_VALUE"""),"")</f>
        <v/>
      </c>
      <c r="F2736" s="117" t="s">
        <v>39</v>
      </c>
      <c r="G2736" s="116"/>
      <c r="H2736" s="117"/>
      <c r="I2736" s="117"/>
      <c r="J2736" s="117"/>
      <c r="K2736" s="117"/>
      <c r="L2736" s="116"/>
      <c r="M2736" s="117"/>
      <c r="N2736" s="118" t="str">
        <f>IFERROR(__xludf.DUMMYFUNCTION("""COMPUTED_VALUE"""),"")</f>
        <v/>
      </c>
      <c r="O2736" s="116"/>
      <c r="P2736" s="116"/>
      <c r="Q2736" s="116"/>
      <c r="R2736" s="116" t="s">
        <v>39</v>
      </c>
      <c r="S2736" s="116" t="s">
        <v>39</v>
      </c>
      <c r="T2736" s="104"/>
      <c r="U2736" s="116"/>
      <c r="V2736" s="104"/>
      <c r="W2736" s="116"/>
    </row>
    <row r="2737">
      <c r="A2737" s="114" t="s">
        <v>39</v>
      </c>
      <c r="B2737" s="115"/>
      <c r="C2737" s="116"/>
      <c r="D2737" s="116"/>
      <c r="E2737" s="116" t="str">
        <f>IFERROR(__xludf.DUMMYFUNCTION("""COMPUTED_VALUE"""),"")</f>
        <v/>
      </c>
      <c r="F2737" s="117" t="s">
        <v>39</v>
      </c>
      <c r="G2737" s="116"/>
      <c r="H2737" s="117"/>
      <c r="I2737" s="117"/>
      <c r="J2737" s="117"/>
      <c r="K2737" s="117"/>
      <c r="L2737" s="116"/>
      <c r="M2737" s="117"/>
      <c r="N2737" s="118" t="str">
        <f>IFERROR(__xludf.DUMMYFUNCTION("""COMPUTED_VALUE"""),"")</f>
        <v/>
      </c>
      <c r="O2737" s="116"/>
      <c r="P2737" s="116"/>
      <c r="Q2737" s="116"/>
      <c r="R2737" s="116" t="s">
        <v>39</v>
      </c>
      <c r="S2737" s="116" t="s">
        <v>39</v>
      </c>
      <c r="T2737" s="104"/>
      <c r="U2737" s="116"/>
      <c r="V2737" s="104"/>
      <c r="W2737" s="116"/>
    </row>
    <row r="2738">
      <c r="A2738" s="114" t="s">
        <v>39</v>
      </c>
      <c r="B2738" s="115"/>
      <c r="C2738" s="116"/>
      <c r="D2738" s="116"/>
      <c r="E2738" s="116" t="str">
        <f>IFERROR(__xludf.DUMMYFUNCTION("""COMPUTED_VALUE"""),"")</f>
        <v/>
      </c>
      <c r="F2738" s="117" t="s">
        <v>39</v>
      </c>
      <c r="G2738" s="116"/>
      <c r="H2738" s="117"/>
      <c r="I2738" s="117"/>
      <c r="J2738" s="117"/>
      <c r="K2738" s="117"/>
      <c r="L2738" s="116"/>
      <c r="M2738" s="117"/>
      <c r="N2738" s="118" t="str">
        <f>IFERROR(__xludf.DUMMYFUNCTION("""COMPUTED_VALUE"""),"")</f>
        <v/>
      </c>
      <c r="O2738" s="116"/>
      <c r="P2738" s="116"/>
      <c r="Q2738" s="116"/>
      <c r="R2738" s="116" t="s">
        <v>39</v>
      </c>
      <c r="S2738" s="116" t="s">
        <v>39</v>
      </c>
      <c r="T2738" s="104"/>
      <c r="U2738" s="116"/>
      <c r="V2738" s="104"/>
      <c r="W2738" s="116"/>
    </row>
    <row r="2739">
      <c r="A2739" s="114" t="s">
        <v>39</v>
      </c>
      <c r="B2739" s="115"/>
      <c r="C2739" s="116"/>
      <c r="D2739" s="116"/>
      <c r="E2739" s="116" t="str">
        <f>IFERROR(__xludf.DUMMYFUNCTION("""COMPUTED_VALUE"""),"")</f>
        <v/>
      </c>
      <c r="F2739" s="117" t="s">
        <v>39</v>
      </c>
      <c r="G2739" s="116"/>
      <c r="H2739" s="117"/>
      <c r="I2739" s="117"/>
      <c r="J2739" s="117"/>
      <c r="K2739" s="117"/>
      <c r="L2739" s="116"/>
      <c r="M2739" s="117"/>
      <c r="N2739" s="118" t="str">
        <f>IFERROR(__xludf.DUMMYFUNCTION("""COMPUTED_VALUE"""),"")</f>
        <v/>
      </c>
      <c r="O2739" s="116"/>
      <c r="P2739" s="116"/>
      <c r="Q2739" s="116"/>
      <c r="R2739" s="116" t="s">
        <v>39</v>
      </c>
      <c r="S2739" s="116" t="s">
        <v>39</v>
      </c>
      <c r="T2739" s="104"/>
      <c r="U2739" s="116"/>
      <c r="V2739" s="104"/>
      <c r="W2739" s="116"/>
    </row>
    <row r="2740">
      <c r="A2740" s="114" t="s">
        <v>39</v>
      </c>
      <c r="B2740" s="115"/>
      <c r="C2740" s="116"/>
      <c r="D2740" s="116"/>
      <c r="E2740" s="116" t="str">
        <f>IFERROR(__xludf.DUMMYFUNCTION("""COMPUTED_VALUE"""),"")</f>
        <v/>
      </c>
      <c r="F2740" s="117" t="s">
        <v>39</v>
      </c>
      <c r="G2740" s="116"/>
      <c r="H2740" s="117"/>
      <c r="I2740" s="117"/>
      <c r="J2740" s="117"/>
      <c r="K2740" s="117"/>
      <c r="L2740" s="116"/>
      <c r="M2740" s="117"/>
      <c r="N2740" s="118" t="str">
        <f>IFERROR(__xludf.DUMMYFUNCTION("""COMPUTED_VALUE"""),"")</f>
        <v/>
      </c>
      <c r="O2740" s="116"/>
      <c r="P2740" s="116"/>
      <c r="Q2740" s="116"/>
      <c r="R2740" s="116" t="s">
        <v>39</v>
      </c>
      <c r="S2740" s="116" t="s">
        <v>39</v>
      </c>
      <c r="T2740" s="104"/>
      <c r="U2740" s="116"/>
      <c r="V2740" s="104"/>
      <c r="W2740" s="116"/>
    </row>
    <row r="2741">
      <c r="A2741" s="114" t="s">
        <v>39</v>
      </c>
      <c r="B2741" s="115"/>
      <c r="C2741" s="116"/>
      <c r="D2741" s="116"/>
      <c r="E2741" s="116" t="str">
        <f>IFERROR(__xludf.DUMMYFUNCTION("""COMPUTED_VALUE"""),"")</f>
        <v/>
      </c>
      <c r="F2741" s="117" t="s">
        <v>39</v>
      </c>
      <c r="G2741" s="116"/>
      <c r="H2741" s="117"/>
      <c r="I2741" s="117"/>
      <c r="J2741" s="117"/>
      <c r="K2741" s="117"/>
      <c r="L2741" s="116"/>
      <c r="M2741" s="117"/>
      <c r="N2741" s="118" t="str">
        <f>IFERROR(__xludf.DUMMYFUNCTION("""COMPUTED_VALUE"""),"")</f>
        <v/>
      </c>
      <c r="O2741" s="116"/>
      <c r="P2741" s="116"/>
      <c r="Q2741" s="116"/>
      <c r="R2741" s="116" t="s">
        <v>39</v>
      </c>
      <c r="S2741" s="116" t="s">
        <v>39</v>
      </c>
      <c r="T2741" s="104"/>
      <c r="U2741" s="116"/>
      <c r="V2741" s="104"/>
      <c r="W2741" s="116"/>
    </row>
    <row r="2742">
      <c r="A2742" s="114" t="s">
        <v>39</v>
      </c>
      <c r="B2742" s="115"/>
      <c r="C2742" s="116"/>
      <c r="D2742" s="116"/>
      <c r="E2742" s="116" t="str">
        <f>IFERROR(__xludf.DUMMYFUNCTION("""COMPUTED_VALUE"""),"")</f>
        <v/>
      </c>
      <c r="F2742" s="117" t="s">
        <v>39</v>
      </c>
      <c r="G2742" s="116"/>
      <c r="H2742" s="117"/>
      <c r="I2742" s="117"/>
      <c r="J2742" s="117"/>
      <c r="K2742" s="117"/>
      <c r="L2742" s="116"/>
      <c r="M2742" s="117"/>
      <c r="N2742" s="118" t="str">
        <f>IFERROR(__xludf.DUMMYFUNCTION("""COMPUTED_VALUE"""),"")</f>
        <v/>
      </c>
      <c r="O2742" s="116"/>
      <c r="P2742" s="116"/>
      <c r="Q2742" s="116"/>
      <c r="R2742" s="116" t="s">
        <v>39</v>
      </c>
      <c r="S2742" s="116" t="s">
        <v>39</v>
      </c>
      <c r="T2742" s="104"/>
      <c r="U2742" s="116"/>
      <c r="V2742" s="104"/>
      <c r="W2742" s="116"/>
    </row>
    <row r="2743">
      <c r="A2743" s="114" t="s">
        <v>39</v>
      </c>
      <c r="B2743" s="115"/>
      <c r="C2743" s="116"/>
      <c r="D2743" s="116"/>
      <c r="E2743" s="116" t="str">
        <f>IFERROR(__xludf.DUMMYFUNCTION("""COMPUTED_VALUE"""),"")</f>
        <v/>
      </c>
      <c r="F2743" s="117" t="s">
        <v>39</v>
      </c>
      <c r="G2743" s="116"/>
      <c r="H2743" s="117"/>
      <c r="I2743" s="117"/>
      <c r="J2743" s="117"/>
      <c r="K2743" s="117"/>
      <c r="L2743" s="116"/>
      <c r="M2743" s="117"/>
      <c r="N2743" s="118" t="str">
        <f>IFERROR(__xludf.DUMMYFUNCTION("""COMPUTED_VALUE"""),"")</f>
        <v/>
      </c>
      <c r="O2743" s="116"/>
      <c r="P2743" s="116"/>
      <c r="Q2743" s="116"/>
      <c r="R2743" s="116" t="s">
        <v>39</v>
      </c>
      <c r="S2743" s="116" t="s">
        <v>39</v>
      </c>
      <c r="T2743" s="104"/>
      <c r="U2743" s="116"/>
      <c r="V2743" s="104"/>
      <c r="W2743" s="116"/>
    </row>
    <row r="2744">
      <c r="A2744" s="114" t="s">
        <v>39</v>
      </c>
      <c r="B2744" s="115"/>
      <c r="C2744" s="116"/>
      <c r="D2744" s="116"/>
      <c r="E2744" s="116" t="str">
        <f>IFERROR(__xludf.DUMMYFUNCTION("""COMPUTED_VALUE"""),"")</f>
        <v/>
      </c>
      <c r="F2744" s="117" t="s">
        <v>39</v>
      </c>
      <c r="G2744" s="116"/>
      <c r="H2744" s="117"/>
      <c r="I2744" s="117"/>
      <c r="J2744" s="117"/>
      <c r="K2744" s="117"/>
      <c r="L2744" s="116"/>
      <c r="M2744" s="117"/>
      <c r="N2744" s="118" t="str">
        <f>IFERROR(__xludf.DUMMYFUNCTION("""COMPUTED_VALUE"""),"")</f>
        <v/>
      </c>
      <c r="O2744" s="116"/>
      <c r="P2744" s="116"/>
      <c r="Q2744" s="116"/>
      <c r="R2744" s="116" t="s">
        <v>39</v>
      </c>
      <c r="S2744" s="116" t="s">
        <v>39</v>
      </c>
      <c r="T2744" s="104"/>
      <c r="U2744" s="116"/>
      <c r="V2744" s="104"/>
      <c r="W2744" s="116"/>
    </row>
    <row r="2745">
      <c r="A2745" s="114" t="s">
        <v>39</v>
      </c>
      <c r="B2745" s="115"/>
      <c r="C2745" s="116"/>
      <c r="D2745" s="116"/>
      <c r="E2745" s="116" t="str">
        <f>IFERROR(__xludf.DUMMYFUNCTION("""COMPUTED_VALUE"""),"")</f>
        <v/>
      </c>
      <c r="F2745" s="117" t="s">
        <v>39</v>
      </c>
      <c r="G2745" s="116"/>
      <c r="H2745" s="117"/>
      <c r="I2745" s="117"/>
      <c r="J2745" s="117"/>
      <c r="K2745" s="117"/>
      <c r="L2745" s="116"/>
      <c r="M2745" s="117"/>
      <c r="N2745" s="118" t="str">
        <f>IFERROR(__xludf.DUMMYFUNCTION("""COMPUTED_VALUE"""),"")</f>
        <v/>
      </c>
      <c r="O2745" s="116"/>
      <c r="P2745" s="116"/>
      <c r="Q2745" s="116"/>
      <c r="R2745" s="116" t="s">
        <v>39</v>
      </c>
      <c r="S2745" s="116" t="s">
        <v>39</v>
      </c>
      <c r="T2745" s="104"/>
      <c r="U2745" s="116"/>
      <c r="V2745" s="104"/>
      <c r="W2745" s="116"/>
    </row>
    <row r="2746">
      <c r="A2746" s="114" t="s">
        <v>39</v>
      </c>
      <c r="B2746" s="115"/>
      <c r="C2746" s="116"/>
      <c r="D2746" s="116"/>
      <c r="E2746" s="116" t="str">
        <f>IFERROR(__xludf.DUMMYFUNCTION("""COMPUTED_VALUE"""),"")</f>
        <v/>
      </c>
      <c r="F2746" s="117" t="s">
        <v>39</v>
      </c>
      <c r="G2746" s="116"/>
      <c r="H2746" s="117"/>
      <c r="I2746" s="117"/>
      <c r="J2746" s="117"/>
      <c r="K2746" s="117"/>
      <c r="L2746" s="116"/>
      <c r="M2746" s="117"/>
      <c r="N2746" s="118" t="str">
        <f>IFERROR(__xludf.DUMMYFUNCTION("""COMPUTED_VALUE"""),"")</f>
        <v/>
      </c>
      <c r="O2746" s="116"/>
      <c r="P2746" s="116"/>
      <c r="Q2746" s="116"/>
      <c r="R2746" s="116" t="s">
        <v>39</v>
      </c>
      <c r="S2746" s="116" t="s">
        <v>39</v>
      </c>
      <c r="T2746" s="104"/>
      <c r="U2746" s="116"/>
      <c r="V2746" s="104"/>
      <c r="W2746" s="116"/>
    </row>
    <row r="2747">
      <c r="A2747" s="114" t="s">
        <v>39</v>
      </c>
      <c r="B2747" s="115"/>
      <c r="C2747" s="116"/>
      <c r="D2747" s="116"/>
      <c r="E2747" s="116" t="str">
        <f>IFERROR(__xludf.DUMMYFUNCTION("""COMPUTED_VALUE"""),"")</f>
        <v/>
      </c>
      <c r="F2747" s="117" t="s">
        <v>39</v>
      </c>
      <c r="G2747" s="116"/>
      <c r="H2747" s="117"/>
      <c r="I2747" s="117"/>
      <c r="J2747" s="117"/>
      <c r="K2747" s="117"/>
      <c r="L2747" s="116"/>
      <c r="M2747" s="117"/>
      <c r="N2747" s="118" t="str">
        <f>IFERROR(__xludf.DUMMYFUNCTION("""COMPUTED_VALUE"""),"")</f>
        <v/>
      </c>
      <c r="O2747" s="116"/>
      <c r="P2747" s="116"/>
      <c r="Q2747" s="116"/>
      <c r="R2747" s="116" t="s">
        <v>39</v>
      </c>
      <c r="S2747" s="116" t="s">
        <v>39</v>
      </c>
      <c r="T2747" s="104"/>
      <c r="U2747" s="116"/>
      <c r="V2747" s="104"/>
      <c r="W2747" s="116"/>
    </row>
    <row r="2748">
      <c r="A2748" s="114" t="s">
        <v>39</v>
      </c>
      <c r="B2748" s="115"/>
      <c r="C2748" s="116"/>
      <c r="D2748" s="116"/>
      <c r="E2748" s="116" t="str">
        <f>IFERROR(__xludf.DUMMYFUNCTION("""COMPUTED_VALUE"""),"")</f>
        <v/>
      </c>
      <c r="F2748" s="117" t="s">
        <v>39</v>
      </c>
      <c r="G2748" s="116"/>
      <c r="H2748" s="117"/>
      <c r="I2748" s="117"/>
      <c r="J2748" s="117"/>
      <c r="K2748" s="117"/>
      <c r="L2748" s="116"/>
      <c r="M2748" s="117"/>
      <c r="N2748" s="118" t="str">
        <f>IFERROR(__xludf.DUMMYFUNCTION("""COMPUTED_VALUE"""),"")</f>
        <v/>
      </c>
      <c r="O2748" s="116"/>
      <c r="P2748" s="116"/>
      <c r="Q2748" s="116"/>
      <c r="R2748" s="116" t="s">
        <v>39</v>
      </c>
      <c r="S2748" s="116" t="s">
        <v>39</v>
      </c>
      <c r="T2748" s="104"/>
      <c r="U2748" s="116"/>
      <c r="V2748" s="104"/>
      <c r="W2748" s="116"/>
    </row>
    <row r="2749">
      <c r="A2749" s="114" t="s">
        <v>39</v>
      </c>
      <c r="B2749" s="115"/>
      <c r="C2749" s="116"/>
      <c r="D2749" s="116"/>
      <c r="E2749" s="116" t="str">
        <f>IFERROR(__xludf.DUMMYFUNCTION("""COMPUTED_VALUE"""),"")</f>
        <v/>
      </c>
      <c r="F2749" s="117" t="s">
        <v>39</v>
      </c>
      <c r="G2749" s="116"/>
      <c r="H2749" s="117"/>
      <c r="I2749" s="117"/>
      <c r="J2749" s="117"/>
      <c r="K2749" s="117"/>
      <c r="L2749" s="116"/>
      <c r="M2749" s="117"/>
      <c r="N2749" s="118" t="str">
        <f>IFERROR(__xludf.DUMMYFUNCTION("""COMPUTED_VALUE"""),"")</f>
        <v/>
      </c>
      <c r="O2749" s="116"/>
      <c r="P2749" s="116"/>
      <c r="Q2749" s="116"/>
      <c r="R2749" s="116" t="s">
        <v>39</v>
      </c>
      <c r="S2749" s="116" t="s">
        <v>39</v>
      </c>
      <c r="T2749" s="104"/>
      <c r="U2749" s="116"/>
      <c r="V2749" s="104"/>
      <c r="W2749" s="116"/>
    </row>
    <row r="2750">
      <c r="A2750" s="114" t="s">
        <v>39</v>
      </c>
      <c r="B2750" s="115"/>
      <c r="C2750" s="116"/>
      <c r="D2750" s="116"/>
      <c r="E2750" s="116" t="str">
        <f>IFERROR(__xludf.DUMMYFUNCTION("""COMPUTED_VALUE"""),"")</f>
        <v/>
      </c>
      <c r="F2750" s="117" t="s">
        <v>39</v>
      </c>
      <c r="G2750" s="116"/>
      <c r="H2750" s="117"/>
      <c r="I2750" s="117"/>
      <c r="J2750" s="117"/>
      <c r="K2750" s="117"/>
      <c r="L2750" s="116"/>
      <c r="M2750" s="117"/>
      <c r="N2750" s="118" t="str">
        <f>IFERROR(__xludf.DUMMYFUNCTION("""COMPUTED_VALUE"""),"")</f>
        <v/>
      </c>
      <c r="O2750" s="116"/>
      <c r="P2750" s="116"/>
      <c r="Q2750" s="116"/>
      <c r="R2750" s="116" t="s">
        <v>39</v>
      </c>
      <c r="S2750" s="116" t="s">
        <v>39</v>
      </c>
      <c r="T2750" s="104"/>
      <c r="U2750" s="116"/>
      <c r="V2750" s="104"/>
      <c r="W2750" s="116"/>
    </row>
    <row r="2751">
      <c r="A2751" s="114" t="s">
        <v>39</v>
      </c>
      <c r="B2751" s="115"/>
      <c r="C2751" s="116"/>
      <c r="D2751" s="116"/>
      <c r="E2751" s="116" t="str">
        <f>IFERROR(__xludf.DUMMYFUNCTION("""COMPUTED_VALUE"""),"")</f>
        <v/>
      </c>
      <c r="F2751" s="117" t="s">
        <v>39</v>
      </c>
      <c r="G2751" s="116"/>
      <c r="H2751" s="117"/>
      <c r="I2751" s="117"/>
      <c r="J2751" s="117"/>
      <c r="K2751" s="117"/>
      <c r="L2751" s="116"/>
      <c r="M2751" s="117"/>
      <c r="N2751" s="118" t="str">
        <f>IFERROR(__xludf.DUMMYFUNCTION("""COMPUTED_VALUE"""),"")</f>
        <v/>
      </c>
      <c r="O2751" s="116"/>
      <c r="P2751" s="116"/>
      <c r="Q2751" s="116"/>
      <c r="R2751" s="116" t="s">
        <v>39</v>
      </c>
      <c r="S2751" s="116" t="s">
        <v>39</v>
      </c>
      <c r="T2751" s="104"/>
      <c r="U2751" s="116"/>
      <c r="V2751" s="104"/>
      <c r="W2751" s="116"/>
    </row>
    <row r="2752">
      <c r="A2752" s="114" t="s">
        <v>39</v>
      </c>
      <c r="B2752" s="115"/>
      <c r="C2752" s="116"/>
      <c r="D2752" s="116"/>
      <c r="E2752" s="116" t="str">
        <f>IFERROR(__xludf.DUMMYFUNCTION("""COMPUTED_VALUE"""),"")</f>
        <v/>
      </c>
      <c r="F2752" s="117" t="s">
        <v>39</v>
      </c>
      <c r="G2752" s="116"/>
      <c r="H2752" s="117"/>
      <c r="I2752" s="117"/>
      <c r="J2752" s="117"/>
      <c r="K2752" s="117"/>
      <c r="L2752" s="116"/>
      <c r="M2752" s="117"/>
      <c r="N2752" s="118" t="str">
        <f>IFERROR(__xludf.DUMMYFUNCTION("""COMPUTED_VALUE"""),"")</f>
        <v/>
      </c>
      <c r="O2752" s="116"/>
      <c r="P2752" s="116"/>
      <c r="Q2752" s="116"/>
      <c r="R2752" s="116" t="s">
        <v>39</v>
      </c>
      <c r="S2752" s="116" t="s">
        <v>39</v>
      </c>
      <c r="T2752" s="104"/>
      <c r="U2752" s="116"/>
      <c r="V2752" s="104"/>
      <c r="W2752" s="116"/>
    </row>
    <row r="2753">
      <c r="A2753" s="114" t="s">
        <v>39</v>
      </c>
      <c r="B2753" s="115"/>
      <c r="C2753" s="116"/>
      <c r="D2753" s="116"/>
      <c r="E2753" s="116" t="str">
        <f>IFERROR(__xludf.DUMMYFUNCTION("""COMPUTED_VALUE"""),"")</f>
        <v/>
      </c>
      <c r="F2753" s="117" t="s">
        <v>39</v>
      </c>
      <c r="G2753" s="116"/>
      <c r="H2753" s="117"/>
      <c r="I2753" s="117"/>
      <c r="J2753" s="117"/>
      <c r="K2753" s="117"/>
      <c r="L2753" s="116"/>
      <c r="M2753" s="117"/>
      <c r="N2753" s="118" t="str">
        <f>IFERROR(__xludf.DUMMYFUNCTION("""COMPUTED_VALUE"""),"")</f>
        <v/>
      </c>
      <c r="O2753" s="116"/>
      <c r="P2753" s="116"/>
      <c r="Q2753" s="116"/>
      <c r="R2753" s="116" t="s">
        <v>39</v>
      </c>
      <c r="S2753" s="116" t="s">
        <v>39</v>
      </c>
      <c r="T2753" s="104"/>
      <c r="U2753" s="116"/>
      <c r="V2753" s="104"/>
      <c r="W2753" s="116"/>
    </row>
    <row r="2754">
      <c r="A2754" s="114" t="s">
        <v>39</v>
      </c>
      <c r="B2754" s="115"/>
      <c r="C2754" s="116"/>
      <c r="D2754" s="116"/>
      <c r="E2754" s="116" t="str">
        <f>IFERROR(__xludf.DUMMYFUNCTION("""COMPUTED_VALUE"""),"")</f>
        <v/>
      </c>
      <c r="F2754" s="117" t="s">
        <v>39</v>
      </c>
      <c r="G2754" s="116"/>
      <c r="H2754" s="117"/>
      <c r="I2754" s="117"/>
      <c r="J2754" s="117"/>
      <c r="K2754" s="117"/>
      <c r="L2754" s="116"/>
      <c r="M2754" s="117"/>
      <c r="N2754" s="118" t="str">
        <f>IFERROR(__xludf.DUMMYFUNCTION("""COMPUTED_VALUE"""),"")</f>
        <v/>
      </c>
      <c r="O2754" s="116"/>
      <c r="P2754" s="116"/>
      <c r="Q2754" s="116"/>
      <c r="R2754" s="116" t="s">
        <v>39</v>
      </c>
      <c r="S2754" s="116" t="s">
        <v>39</v>
      </c>
      <c r="T2754" s="104"/>
      <c r="U2754" s="116"/>
      <c r="V2754" s="104"/>
      <c r="W2754" s="116"/>
    </row>
    <row r="2755">
      <c r="A2755" s="114" t="s">
        <v>39</v>
      </c>
      <c r="B2755" s="115"/>
      <c r="C2755" s="116"/>
      <c r="D2755" s="116"/>
      <c r="E2755" s="116" t="str">
        <f>IFERROR(__xludf.DUMMYFUNCTION("""COMPUTED_VALUE"""),"")</f>
        <v/>
      </c>
      <c r="F2755" s="117" t="s">
        <v>39</v>
      </c>
      <c r="G2755" s="116"/>
      <c r="H2755" s="117"/>
      <c r="I2755" s="117"/>
      <c r="J2755" s="117"/>
      <c r="K2755" s="117"/>
      <c r="L2755" s="116"/>
      <c r="M2755" s="117"/>
      <c r="N2755" s="118" t="str">
        <f>IFERROR(__xludf.DUMMYFUNCTION("""COMPUTED_VALUE"""),"")</f>
        <v/>
      </c>
      <c r="O2755" s="116"/>
      <c r="P2755" s="116"/>
      <c r="Q2755" s="116"/>
      <c r="R2755" s="116" t="s">
        <v>39</v>
      </c>
      <c r="S2755" s="116" t="s">
        <v>39</v>
      </c>
      <c r="T2755" s="104"/>
      <c r="U2755" s="116"/>
      <c r="V2755" s="104"/>
      <c r="W2755" s="116"/>
    </row>
    <row r="2756">
      <c r="A2756" s="114" t="s">
        <v>39</v>
      </c>
      <c r="B2756" s="115"/>
      <c r="C2756" s="116"/>
      <c r="D2756" s="116"/>
      <c r="E2756" s="116" t="str">
        <f>IFERROR(__xludf.DUMMYFUNCTION("""COMPUTED_VALUE"""),"")</f>
        <v/>
      </c>
      <c r="F2756" s="117" t="s">
        <v>39</v>
      </c>
      <c r="G2756" s="116"/>
      <c r="H2756" s="117"/>
      <c r="I2756" s="117"/>
      <c r="J2756" s="117"/>
      <c r="K2756" s="117"/>
      <c r="L2756" s="116"/>
      <c r="M2756" s="117"/>
      <c r="N2756" s="118" t="str">
        <f>IFERROR(__xludf.DUMMYFUNCTION("""COMPUTED_VALUE"""),"")</f>
        <v/>
      </c>
      <c r="O2756" s="116"/>
      <c r="P2756" s="116"/>
      <c r="Q2756" s="116"/>
      <c r="R2756" s="116" t="s">
        <v>39</v>
      </c>
      <c r="S2756" s="116" t="s">
        <v>39</v>
      </c>
      <c r="T2756" s="104"/>
      <c r="U2756" s="116"/>
      <c r="V2756" s="104"/>
      <c r="W2756" s="116"/>
    </row>
    <row r="2757">
      <c r="A2757" s="114" t="s">
        <v>39</v>
      </c>
      <c r="B2757" s="115"/>
      <c r="C2757" s="116"/>
      <c r="D2757" s="116"/>
      <c r="E2757" s="116" t="str">
        <f>IFERROR(__xludf.DUMMYFUNCTION("""COMPUTED_VALUE"""),"")</f>
        <v/>
      </c>
      <c r="F2757" s="117" t="s">
        <v>39</v>
      </c>
      <c r="G2757" s="116"/>
      <c r="H2757" s="117"/>
      <c r="I2757" s="117"/>
      <c r="J2757" s="117"/>
      <c r="K2757" s="117"/>
      <c r="L2757" s="116"/>
      <c r="M2757" s="117"/>
      <c r="N2757" s="118" t="str">
        <f>IFERROR(__xludf.DUMMYFUNCTION("""COMPUTED_VALUE"""),"")</f>
        <v/>
      </c>
      <c r="O2757" s="116"/>
      <c r="P2757" s="116"/>
      <c r="Q2757" s="116"/>
      <c r="R2757" s="116" t="s">
        <v>39</v>
      </c>
      <c r="S2757" s="116" t="s">
        <v>39</v>
      </c>
      <c r="T2757" s="104"/>
      <c r="U2757" s="116"/>
      <c r="V2757" s="104"/>
      <c r="W2757" s="116"/>
    </row>
    <row r="2758">
      <c r="A2758" s="114" t="s">
        <v>39</v>
      </c>
      <c r="B2758" s="115"/>
      <c r="C2758" s="116"/>
      <c r="D2758" s="116"/>
      <c r="E2758" s="116" t="str">
        <f>IFERROR(__xludf.DUMMYFUNCTION("""COMPUTED_VALUE"""),"")</f>
        <v/>
      </c>
      <c r="F2758" s="117" t="s">
        <v>39</v>
      </c>
      <c r="G2758" s="116"/>
      <c r="H2758" s="117"/>
      <c r="I2758" s="117"/>
      <c r="J2758" s="117"/>
      <c r="K2758" s="117"/>
      <c r="L2758" s="116"/>
      <c r="M2758" s="117"/>
      <c r="N2758" s="118" t="str">
        <f>IFERROR(__xludf.DUMMYFUNCTION("""COMPUTED_VALUE"""),"")</f>
        <v/>
      </c>
      <c r="O2758" s="116"/>
      <c r="P2758" s="116"/>
      <c r="Q2758" s="116"/>
      <c r="R2758" s="116" t="s">
        <v>39</v>
      </c>
      <c r="S2758" s="116" t="s">
        <v>39</v>
      </c>
      <c r="T2758" s="104"/>
      <c r="U2758" s="116"/>
      <c r="V2758" s="104"/>
      <c r="W2758" s="116"/>
    </row>
    <row r="2759">
      <c r="A2759" s="114" t="s">
        <v>39</v>
      </c>
      <c r="B2759" s="115"/>
      <c r="C2759" s="116"/>
      <c r="D2759" s="116"/>
      <c r="E2759" s="116" t="str">
        <f>IFERROR(__xludf.DUMMYFUNCTION("""COMPUTED_VALUE"""),"")</f>
        <v/>
      </c>
      <c r="F2759" s="117" t="s">
        <v>39</v>
      </c>
      <c r="G2759" s="116"/>
      <c r="H2759" s="117"/>
      <c r="I2759" s="117"/>
      <c r="J2759" s="117"/>
      <c r="K2759" s="117"/>
      <c r="L2759" s="116"/>
      <c r="M2759" s="117"/>
      <c r="N2759" s="118" t="str">
        <f>IFERROR(__xludf.DUMMYFUNCTION("""COMPUTED_VALUE"""),"")</f>
        <v/>
      </c>
      <c r="O2759" s="116"/>
      <c r="P2759" s="116"/>
      <c r="Q2759" s="116"/>
      <c r="R2759" s="116" t="s">
        <v>39</v>
      </c>
      <c r="S2759" s="116" t="s">
        <v>39</v>
      </c>
      <c r="T2759" s="104"/>
      <c r="U2759" s="116"/>
      <c r="V2759" s="104"/>
      <c r="W2759" s="116"/>
    </row>
    <row r="2760">
      <c r="A2760" s="114" t="s">
        <v>39</v>
      </c>
      <c r="B2760" s="115"/>
      <c r="C2760" s="116"/>
      <c r="D2760" s="116"/>
      <c r="E2760" s="116" t="str">
        <f>IFERROR(__xludf.DUMMYFUNCTION("""COMPUTED_VALUE"""),"")</f>
        <v/>
      </c>
      <c r="F2760" s="117" t="s">
        <v>39</v>
      </c>
      <c r="G2760" s="116"/>
      <c r="H2760" s="117"/>
      <c r="I2760" s="117"/>
      <c r="J2760" s="117"/>
      <c r="K2760" s="117"/>
      <c r="L2760" s="116"/>
      <c r="M2760" s="117"/>
      <c r="N2760" s="118" t="str">
        <f>IFERROR(__xludf.DUMMYFUNCTION("""COMPUTED_VALUE"""),"")</f>
        <v/>
      </c>
      <c r="O2760" s="116"/>
      <c r="P2760" s="116"/>
      <c r="Q2760" s="116"/>
      <c r="R2760" s="116" t="s">
        <v>39</v>
      </c>
      <c r="S2760" s="116" t="s">
        <v>39</v>
      </c>
      <c r="T2760" s="104"/>
      <c r="U2760" s="116"/>
      <c r="V2760" s="104"/>
      <c r="W2760" s="116"/>
    </row>
    <row r="2761">
      <c r="A2761" s="114" t="s">
        <v>39</v>
      </c>
      <c r="B2761" s="115"/>
      <c r="C2761" s="116"/>
      <c r="D2761" s="116"/>
      <c r="E2761" s="116" t="str">
        <f>IFERROR(__xludf.DUMMYFUNCTION("""COMPUTED_VALUE"""),"")</f>
        <v/>
      </c>
      <c r="F2761" s="117" t="s">
        <v>39</v>
      </c>
      <c r="G2761" s="116"/>
      <c r="H2761" s="117"/>
      <c r="I2761" s="117"/>
      <c r="J2761" s="117"/>
      <c r="K2761" s="117"/>
      <c r="L2761" s="116"/>
      <c r="M2761" s="117"/>
      <c r="N2761" s="118" t="str">
        <f>IFERROR(__xludf.DUMMYFUNCTION("""COMPUTED_VALUE"""),"")</f>
        <v/>
      </c>
      <c r="O2761" s="116"/>
      <c r="P2761" s="116"/>
      <c r="Q2761" s="116"/>
      <c r="R2761" s="116" t="s">
        <v>39</v>
      </c>
      <c r="S2761" s="116" t="s">
        <v>39</v>
      </c>
      <c r="T2761" s="104"/>
      <c r="U2761" s="116"/>
      <c r="V2761" s="104"/>
      <c r="W2761" s="116"/>
    </row>
    <row r="2762">
      <c r="A2762" s="114" t="s">
        <v>39</v>
      </c>
      <c r="B2762" s="115"/>
      <c r="C2762" s="116"/>
      <c r="D2762" s="116"/>
      <c r="E2762" s="116" t="str">
        <f>IFERROR(__xludf.DUMMYFUNCTION("""COMPUTED_VALUE"""),"")</f>
        <v/>
      </c>
      <c r="F2762" s="117" t="s">
        <v>39</v>
      </c>
      <c r="G2762" s="116"/>
      <c r="H2762" s="117"/>
      <c r="I2762" s="117"/>
      <c r="J2762" s="117"/>
      <c r="K2762" s="117"/>
      <c r="L2762" s="116"/>
      <c r="M2762" s="117"/>
      <c r="N2762" s="118" t="str">
        <f>IFERROR(__xludf.DUMMYFUNCTION("""COMPUTED_VALUE"""),"")</f>
        <v/>
      </c>
      <c r="O2762" s="116"/>
      <c r="P2762" s="116"/>
      <c r="Q2762" s="116"/>
      <c r="R2762" s="116" t="s">
        <v>39</v>
      </c>
      <c r="S2762" s="116" t="s">
        <v>39</v>
      </c>
      <c r="T2762" s="104"/>
      <c r="U2762" s="116"/>
      <c r="V2762" s="104"/>
      <c r="W2762" s="116"/>
    </row>
    <row r="2763">
      <c r="A2763" s="114" t="s">
        <v>39</v>
      </c>
      <c r="B2763" s="115"/>
      <c r="C2763" s="116"/>
      <c r="D2763" s="116"/>
      <c r="E2763" s="116" t="str">
        <f>IFERROR(__xludf.DUMMYFUNCTION("""COMPUTED_VALUE"""),"")</f>
        <v/>
      </c>
      <c r="F2763" s="117" t="s">
        <v>39</v>
      </c>
      <c r="G2763" s="116"/>
      <c r="H2763" s="117"/>
      <c r="I2763" s="117"/>
      <c r="J2763" s="117"/>
      <c r="K2763" s="117"/>
      <c r="L2763" s="116"/>
      <c r="M2763" s="117"/>
      <c r="N2763" s="118" t="str">
        <f>IFERROR(__xludf.DUMMYFUNCTION("""COMPUTED_VALUE"""),"")</f>
        <v/>
      </c>
      <c r="O2763" s="116"/>
      <c r="P2763" s="116"/>
      <c r="Q2763" s="116"/>
      <c r="R2763" s="116" t="s">
        <v>39</v>
      </c>
      <c r="S2763" s="116" t="s">
        <v>39</v>
      </c>
      <c r="T2763" s="104"/>
      <c r="U2763" s="116"/>
      <c r="V2763" s="104"/>
      <c r="W2763" s="116"/>
    </row>
    <row r="2764">
      <c r="A2764" s="114" t="s">
        <v>39</v>
      </c>
      <c r="B2764" s="115"/>
      <c r="C2764" s="116"/>
      <c r="D2764" s="116"/>
      <c r="E2764" s="116" t="str">
        <f>IFERROR(__xludf.DUMMYFUNCTION("""COMPUTED_VALUE"""),"")</f>
        <v/>
      </c>
      <c r="F2764" s="117" t="s">
        <v>39</v>
      </c>
      <c r="G2764" s="116"/>
      <c r="H2764" s="117"/>
      <c r="I2764" s="117"/>
      <c r="J2764" s="117"/>
      <c r="K2764" s="117"/>
      <c r="L2764" s="116"/>
      <c r="M2764" s="117"/>
      <c r="N2764" s="118" t="str">
        <f>IFERROR(__xludf.DUMMYFUNCTION("""COMPUTED_VALUE"""),"")</f>
        <v/>
      </c>
      <c r="O2764" s="116"/>
      <c r="P2764" s="116"/>
      <c r="Q2764" s="116"/>
      <c r="R2764" s="116" t="s">
        <v>39</v>
      </c>
      <c r="S2764" s="116" t="s">
        <v>39</v>
      </c>
      <c r="T2764" s="104"/>
      <c r="U2764" s="116"/>
      <c r="V2764" s="104"/>
      <c r="W2764" s="116"/>
    </row>
    <row r="2765">
      <c r="A2765" s="114" t="s">
        <v>39</v>
      </c>
      <c r="B2765" s="115"/>
      <c r="C2765" s="116"/>
      <c r="D2765" s="116"/>
      <c r="E2765" s="116" t="str">
        <f>IFERROR(__xludf.DUMMYFUNCTION("""COMPUTED_VALUE"""),"")</f>
        <v/>
      </c>
      <c r="F2765" s="117" t="s">
        <v>39</v>
      </c>
      <c r="G2765" s="116"/>
      <c r="H2765" s="117"/>
      <c r="I2765" s="117"/>
      <c r="J2765" s="117"/>
      <c r="K2765" s="117"/>
      <c r="L2765" s="116"/>
      <c r="M2765" s="117"/>
      <c r="N2765" s="118" t="str">
        <f>IFERROR(__xludf.DUMMYFUNCTION("""COMPUTED_VALUE"""),"")</f>
        <v/>
      </c>
      <c r="O2765" s="116"/>
      <c r="P2765" s="116"/>
      <c r="Q2765" s="116"/>
      <c r="R2765" s="116" t="s">
        <v>39</v>
      </c>
      <c r="S2765" s="116" t="s">
        <v>39</v>
      </c>
      <c r="T2765" s="104"/>
      <c r="U2765" s="116"/>
      <c r="V2765" s="104"/>
      <c r="W2765" s="116"/>
    </row>
    <row r="2766">
      <c r="A2766" s="114" t="s">
        <v>39</v>
      </c>
      <c r="B2766" s="115"/>
      <c r="C2766" s="116"/>
      <c r="D2766" s="116"/>
      <c r="E2766" s="116" t="str">
        <f>IFERROR(__xludf.DUMMYFUNCTION("""COMPUTED_VALUE"""),"")</f>
        <v/>
      </c>
      <c r="F2766" s="117" t="s">
        <v>39</v>
      </c>
      <c r="G2766" s="116"/>
      <c r="H2766" s="117"/>
      <c r="I2766" s="117"/>
      <c r="J2766" s="117"/>
      <c r="K2766" s="117"/>
      <c r="L2766" s="116"/>
      <c r="M2766" s="117"/>
      <c r="N2766" s="118" t="str">
        <f>IFERROR(__xludf.DUMMYFUNCTION("""COMPUTED_VALUE"""),"")</f>
        <v/>
      </c>
      <c r="O2766" s="116"/>
      <c r="P2766" s="116"/>
      <c r="Q2766" s="116"/>
      <c r="R2766" s="116" t="s">
        <v>39</v>
      </c>
      <c r="S2766" s="116" t="s">
        <v>39</v>
      </c>
      <c r="T2766" s="104"/>
      <c r="U2766" s="116"/>
      <c r="V2766" s="104"/>
      <c r="W2766" s="116"/>
    </row>
    <row r="2767">
      <c r="A2767" s="114" t="s">
        <v>39</v>
      </c>
      <c r="B2767" s="115"/>
      <c r="C2767" s="116"/>
      <c r="D2767" s="116"/>
      <c r="E2767" s="116" t="str">
        <f>IFERROR(__xludf.DUMMYFUNCTION("""COMPUTED_VALUE"""),"")</f>
        <v/>
      </c>
      <c r="F2767" s="117" t="s">
        <v>39</v>
      </c>
      <c r="G2767" s="116"/>
      <c r="H2767" s="117"/>
      <c r="I2767" s="117"/>
      <c r="J2767" s="117"/>
      <c r="K2767" s="117"/>
      <c r="L2767" s="116"/>
      <c r="M2767" s="117"/>
      <c r="N2767" s="118" t="str">
        <f>IFERROR(__xludf.DUMMYFUNCTION("""COMPUTED_VALUE"""),"")</f>
        <v/>
      </c>
      <c r="O2767" s="116"/>
      <c r="P2767" s="116"/>
      <c r="Q2767" s="116"/>
      <c r="R2767" s="116" t="s">
        <v>39</v>
      </c>
      <c r="S2767" s="116" t="s">
        <v>39</v>
      </c>
      <c r="T2767" s="104"/>
      <c r="U2767" s="116"/>
      <c r="V2767" s="104"/>
      <c r="W2767" s="116"/>
    </row>
    <row r="2768">
      <c r="A2768" s="114" t="s">
        <v>39</v>
      </c>
      <c r="B2768" s="115"/>
      <c r="C2768" s="116"/>
      <c r="D2768" s="116"/>
      <c r="E2768" s="116" t="str">
        <f>IFERROR(__xludf.DUMMYFUNCTION("""COMPUTED_VALUE"""),"")</f>
        <v/>
      </c>
      <c r="F2768" s="117" t="s">
        <v>39</v>
      </c>
      <c r="G2768" s="116"/>
      <c r="H2768" s="117"/>
      <c r="I2768" s="117"/>
      <c r="J2768" s="117"/>
      <c r="K2768" s="117"/>
      <c r="L2768" s="116"/>
      <c r="M2768" s="117"/>
      <c r="N2768" s="118" t="str">
        <f>IFERROR(__xludf.DUMMYFUNCTION("""COMPUTED_VALUE"""),"")</f>
        <v/>
      </c>
      <c r="O2768" s="116"/>
      <c r="P2768" s="116"/>
      <c r="Q2768" s="116"/>
      <c r="R2768" s="116" t="s">
        <v>39</v>
      </c>
      <c r="S2768" s="116" t="s">
        <v>39</v>
      </c>
      <c r="T2768" s="104"/>
      <c r="U2768" s="116"/>
      <c r="V2768" s="104"/>
      <c r="W2768" s="116"/>
    </row>
    <row r="2769">
      <c r="A2769" s="114" t="s">
        <v>39</v>
      </c>
      <c r="B2769" s="115"/>
      <c r="C2769" s="116"/>
      <c r="D2769" s="116"/>
      <c r="E2769" s="116" t="str">
        <f>IFERROR(__xludf.DUMMYFUNCTION("""COMPUTED_VALUE"""),"")</f>
        <v/>
      </c>
      <c r="F2769" s="117" t="s">
        <v>39</v>
      </c>
      <c r="G2769" s="116"/>
      <c r="H2769" s="117"/>
      <c r="I2769" s="117"/>
      <c r="J2769" s="117"/>
      <c r="K2769" s="117"/>
      <c r="L2769" s="116"/>
      <c r="M2769" s="117"/>
      <c r="N2769" s="118" t="str">
        <f>IFERROR(__xludf.DUMMYFUNCTION("""COMPUTED_VALUE"""),"")</f>
        <v/>
      </c>
      <c r="O2769" s="116"/>
      <c r="P2769" s="116"/>
      <c r="Q2769" s="116"/>
      <c r="R2769" s="116" t="s">
        <v>39</v>
      </c>
      <c r="S2769" s="116" t="s">
        <v>39</v>
      </c>
      <c r="T2769" s="104"/>
      <c r="U2769" s="116"/>
      <c r="V2769" s="104"/>
      <c r="W2769" s="116"/>
    </row>
    <row r="2770">
      <c r="A2770" s="114" t="s">
        <v>39</v>
      </c>
      <c r="B2770" s="115"/>
      <c r="C2770" s="116"/>
      <c r="D2770" s="116"/>
      <c r="E2770" s="116" t="str">
        <f>IFERROR(__xludf.DUMMYFUNCTION("""COMPUTED_VALUE"""),"")</f>
        <v/>
      </c>
      <c r="F2770" s="117" t="s">
        <v>39</v>
      </c>
      <c r="G2770" s="116"/>
      <c r="H2770" s="117"/>
      <c r="I2770" s="117"/>
      <c r="J2770" s="117"/>
      <c r="K2770" s="117"/>
      <c r="L2770" s="116"/>
      <c r="M2770" s="117"/>
      <c r="N2770" s="118" t="str">
        <f>IFERROR(__xludf.DUMMYFUNCTION("""COMPUTED_VALUE"""),"")</f>
        <v/>
      </c>
      <c r="O2770" s="116"/>
      <c r="P2770" s="116"/>
      <c r="Q2770" s="116"/>
      <c r="R2770" s="116" t="s">
        <v>39</v>
      </c>
      <c r="S2770" s="116" t="s">
        <v>39</v>
      </c>
      <c r="T2770" s="104"/>
      <c r="U2770" s="116"/>
      <c r="V2770" s="104"/>
      <c r="W2770" s="116"/>
    </row>
    <row r="2771">
      <c r="A2771" s="114" t="s">
        <v>39</v>
      </c>
      <c r="B2771" s="115"/>
      <c r="C2771" s="116"/>
      <c r="D2771" s="116"/>
      <c r="E2771" s="116" t="str">
        <f>IFERROR(__xludf.DUMMYFUNCTION("""COMPUTED_VALUE"""),"")</f>
        <v/>
      </c>
      <c r="F2771" s="117" t="s">
        <v>39</v>
      </c>
      <c r="G2771" s="116"/>
      <c r="H2771" s="117"/>
      <c r="I2771" s="117"/>
      <c r="J2771" s="117"/>
      <c r="K2771" s="117"/>
      <c r="L2771" s="116"/>
      <c r="M2771" s="117"/>
      <c r="N2771" s="118" t="str">
        <f>IFERROR(__xludf.DUMMYFUNCTION("""COMPUTED_VALUE"""),"")</f>
        <v/>
      </c>
      <c r="O2771" s="116"/>
      <c r="P2771" s="116"/>
      <c r="Q2771" s="116"/>
      <c r="R2771" s="116" t="s">
        <v>39</v>
      </c>
      <c r="S2771" s="116" t="s">
        <v>39</v>
      </c>
      <c r="T2771" s="104"/>
      <c r="U2771" s="116"/>
      <c r="V2771" s="104"/>
      <c r="W2771" s="116"/>
    </row>
    <row r="2772">
      <c r="A2772" s="114" t="s">
        <v>39</v>
      </c>
      <c r="B2772" s="115"/>
      <c r="C2772" s="116"/>
      <c r="D2772" s="116"/>
      <c r="E2772" s="116" t="str">
        <f>IFERROR(__xludf.DUMMYFUNCTION("""COMPUTED_VALUE"""),"")</f>
        <v/>
      </c>
      <c r="F2772" s="117" t="s">
        <v>39</v>
      </c>
      <c r="G2772" s="116"/>
      <c r="H2772" s="117"/>
      <c r="I2772" s="117"/>
      <c r="J2772" s="117"/>
      <c r="K2772" s="117"/>
      <c r="L2772" s="116"/>
      <c r="M2772" s="117"/>
      <c r="N2772" s="118" t="str">
        <f>IFERROR(__xludf.DUMMYFUNCTION("""COMPUTED_VALUE"""),"")</f>
        <v/>
      </c>
      <c r="O2772" s="116"/>
      <c r="P2772" s="116"/>
      <c r="Q2772" s="116"/>
      <c r="R2772" s="116" t="s">
        <v>39</v>
      </c>
      <c r="S2772" s="116" t="s">
        <v>39</v>
      </c>
      <c r="T2772" s="104"/>
      <c r="U2772" s="116"/>
      <c r="V2772" s="104"/>
      <c r="W2772" s="116"/>
    </row>
    <row r="2773">
      <c r="A2773" s="114" t="s">
        <v>39</v>
      </c>
      <c r="B2773" s="115"/>
      <c r="C2773" s="116"/>
      <c r="D2773" s="116"/>
      <c r="E2773" s="116" t="str">
        <f>IFERROR(__xludf.DUMMYFUNCTION("""COMPUTED_VALUE"""),"")</f>
        <v/>
      </c>
      <c r="F2773" s="117" t="s">
        <v>39</v>
      </c>
      <c r="G2773" s="116"/>
      <c r="H2773" s="117"/>
      <c r="I2773" s="117"/>
      <c r="J2773" s="117"/>
      <c r="K2773" s="117"/>
      <c r="L2773" s="116"/>
      <c r="M2773" s="117"/>
      <c r="N2773" s="118" t="str">
        <f>IFERROR(__xludf.DUMMYFUNCTION("""COMPUTED_VALUE"""),"")</f>
        <v/>
      </c>
      <c r="O2773" s="116"/>
      <c r="P2773" s="116"/>
      <c r="Q2773" s="116"/>
      <c r="R2773" s="116" t="s">
        <v>39</v>
      </c>
      <c r="S2773" s="116" t="s">
        <v>39</v>
      </c>
      <c r="T2773" s="104"/>
      <c r="U2773" s="116"/>
      <c r="V2773" s="104"/>
      <c r="W2773" s="116"/>
    </row>
    <row r="2774">
      <c r="A2774" s="114" t="s">
        <v>39</v>
      </c>
      <c r="B2774" s="115"/>
      <c r="C2774" s="116"/>
      <c r="D2774" s="116"/>
      <c r="E2774" s="116" t="str">
        <f>IFERROR(__xludf.DUMMYFUNCTION("""COMPUTED_VALUE"""),"")</f>
        <v/>
      </c>
      <c r="F2774" s="117" t="s">
        <v>39</v>
      </c>
      <c r="G2774" s="116"/>
      <c r="H2774" s="117"/>
      <c r="I2774" s="117"/>
      <c r="J2774" s="117"/>
      <c r="K2774" s="117"/>
      <c r="L2774" s="116"/>
      <c r="M2774" s="117"/>
      <c r="N2774" s="118" t="str">
        <f>IFERROR(__xludf.DUMMYFUNCTION("""COMPUTED_VALUE"""),"")</f>
        <v/>
      </c>
      <c r="O2774" s="116"/>
      <c r="P2774" s="116"/>
      <c r="Q2774" s="116"/>
      <c r="R2774" s="116" t="s">
        <v>39</v>
      </c>
      <c r="S2774" s="116" t="s">
        <v>39</v>
      </c>
      <c r="T2774" s="104"/>
      <c r="U2774" s="116"/>
      <c r="V2774" s="104"/>
      <c r="W2774" s="116"/>
    </row>
    <row r="2775">
      <c r="A2775" s="114" t="s">
        <v>39</v>
      </c>
      <c r="B2775" s="115"/>
      <c r="C2775" s="116"/>
      <c r="D2775" s="116"/>
      <c r="E2775" s="116" t="str">
        <f>IFERROR(__xludf.DUMMYFUNCTION("""COMPUTED_VALUE"""),"")</f>
        <v/>
      </c>
      <c r="F2775" s="117" t="s">
        <v>39</v>
      </c>
      <c r="G2775" s="116"/>
      <c r="H2775" s="117"/>
      <c r="I2775" s="117"/>
      <c r="J2775" s="117"/>
      <c r="K2775" s="117"/>
      <c r="L2775" s="116"/>
      <c r="M2775" s="117"/>
      <c r="N2775" s="118" t="str">
        <f>IFERROR(__xludf.DUMMYFUNCTION("""COMPUTED_VALUE"""),"")</f>
        <v/>
      </c>
      <c r="O2775" s="116"/>
      <c r="P2775" s="116"/>
      <c r="Q2775" s="116"/>
      <c r="R2775" s="116" t="s">
        <v>39</v>
      </c>
      <c r="S2775" s="116" t="s">
        <v>39</v>
      </c>
      <c r="T2775" s="104"/>
      <c r="U2775" s="116"/>
      <c r="V2775" s="104"/>
      <c r="W2775" s="116"/>
    </row>
    <row r="2776">
      <c r="A2776" s="114" t="s">
        <v>39</v>
      </c>
      <c r="B2776" s="115"/>
      <c r="C2776" s="116"/>
      <c r="D2776" s="116"/>
      <c r="E2776" s="116" t="str">
        <f>IFERROR(__xludf.DUMMYFUNCTION("""COMPUTED_VALUE"""),"")</f>
        <v/>
      </c>
      <c r="F2776" s="117" t="s">
        <v>39</v>
      </c>
      <c r="G2776" s="116"/>
      <c r="H2776" s="117"/>
      <c r="I2776" s="117"/>
      <c r="J2776" s="117"/>
      <c r="K2776" s="117"/>
      <c r="L2776" s="116"/>
      <c r="M2776" s="117"/>
      <c r="N2776" s="118" t="str">
        <f>IFERROR(__xludf.DUMMYFUNCTION("""COMPUTED_VALUE"""),"")</f>
        <v/>
      </c>
      <c r="O2776" s="116"/>
      <c r="P2776" s="116"/>
      <c r="Q2776" s="116"/>
      <c r="R2776" s="116" t="s">
        <v>39</v>
      </c>
      <c r="S2776" s="116" t="s">
        <v>39</v>
      </c>
      <c r="T2776" s="104"/>
      <c r="U2776" s="116"/>
      <c r="V2776" s="104"/>
      <c r="W2776" s="116"/>
    </row>
    <row r="2777">
      <c r="A2777" s="114" t="s">
        <v>39</v>
      </c>
      <c r="B2777" s="115"/>
      <c r="C2777" s="116"/>
      <c r="D2777" s="116"/>
      <c r="E2777" s="116" t="str">
        <f>IFERROR(__xludf.DUMMYFUNCTION("""COMPUTED_VALUE"""),"")</f>
        <v/>
      </c>
      <c r="F2777" s="117" t="s">
        <v>39</v>
      </c>
      <c r="G2777" s="116"/>
      <c r="H2777" s="117"/>
      <c r="I2777" s="117"/>
      <c r="J2777" s="117"/>
      <c r="K2777" s="117"/>
      <c r="L2777" s="116"/>
      <c r="M2777" s="117"/>
      <c r="N2777" s="118" t="str">
        <f>IFERROR(__xludf.DUMMYFUNCTION("""COMPUTED_VALUE"""),"")</f>
        <v/>
      </c>
      <c r="O2777" s="116"/>
      <c r="P2777" s="116"/>
      <c r="Q2777" s="116"/>
      <c r="R2777" s="116" t="s">
        <v>39</v>
      </c>
      <c r="S2777" s="116" t="s">
        <v>39</v>
      </c>
      <c r="T2777" s="104"/>
      <c r="U2777" s="116"/>
      <c r="V2777" s="104"/>
      <c r="W2777" s="116"/>
    </row>
    <row r="2778">
      <c r="A2778" s="114" t="s">
        <v>39</v>
      </c>
      <c r="B2778" s="115"/>
      <c r="C2778" s="116"/>
      <c r="D2778" s="116"/>
      <c r="E2778" s="116" t="str">
        <f>IFERROR(__xludf.DUMMYFUNCTION("""COMPUTED_VALUE"""),"")</f>
        <v/>
      </c>
      <c r="F2778" s="117" t="s">
        <v>39</v>
      </c>
      <c r="G2778" s="116"/>
      <c r="H2778" s="117"/>
      <c r="I2778" s="117"/>
      <c r="J2778" s="117"/>
      <c r="K2778" s="117"/>
      <c r="L2778" s="116"/>
      <c r="M2778" s="117"/>
      <c r="N2778" s="118" t="str">
        <f>IFERROR(__xludf.DUMMYFUNCTION("""COMPUTED_VALUE"""),"")</f>
        <v/>
      </c>
      <c r="O2778" s="116"/>
      <c r="P2778" s="116"/>
      <c r="Q2778" s="116"/>
      <c r="R2778" s="116" t="s">
        <v>39</v>
      </c>
      <c r="S2778" s="116" t="s">
        <v>39</v>
      </c>
      <c r="T2778" s="104"/>
      <c r="U2778" s="116"/>
      <c r="V2778" s="104"/>
      <c r="W2778" s="116"/>
    </row>
    <row r="2779">
      <c r="A2779" s="114" t="s">
        <v>39</v>
      </c>
      <c r="B2779" s="115"/>
      <c r="C2779" s="116"/>
      <c r="D2779" s="116"/>
      <c r="E2779" s="116" t="str">
        <f>IFERROR(__xludf.DUMMYFUNCTION("""COMPUTED_VALUE"""),"")</f>
        <v/>
      </c>
      <c r="F2779" s="117" t="s">
        <v>39</v>
      </c>
      <c r="G2779" s="116"/>
      <c r="H2779" s="117"/>
      <c r="I2779" s="117"/>
      <c r="J2779" s="117"/>
      <c r="K2779" s="117"/>
      <c r="L2779" s="116"/>
      <c r="M2779" s="117"/>
      <c r="N2779" s="118" t="str">
        <f>IFERROR(__xludf.DUMMYFUNCTION("""COMPUTED_VALUE"""),"")</f>
        <v/>
      </c>
      <c r="O2779" s="116"/>
      <c r="P2779" s="116"/>
      <c r="Q2779" s="116"/>
      <c r="R2779" s="116" t="s">
        <v>39</v>
      </c>
      <c r="S2779" s="116" t="s">
        <v>39</v>
      </c>
      <c r="T2779" s="104"/>
      <c r="U2779" s="116"/>
      <c r="V2779" s="104"/>
      <c r="W2779" s="116"/>
    </row>
    <row r="2780">
      <c r="A2780" s="114" t="s">
        <v>39</v>
      </c>
      <c r="B2780" s="115"/>
      <c r="C2780" s="116"/>
      <c r="D2780" s="116"/>
      <c r="E2780" s="116" t="str">
        <f>IFERROR(__xludf.DUMMYFUNCTION("""COMPUTED_VALUE"""),"")</f>
        <v/>
      </c>
      <c r="F2780" s="117" t="s">
        <v>39</v>
      </c>
      <c r="G2780" s="116"/>
      <c r="H2780" s="117"/>
      <c r="I2780" s="117"/>
      <c r="J2780" s="117"/>
      <c r="K2780" s="117"/>
      <c r="L2780" s="116"/>
      <c r="M2780" s="117"/>
      <c r="N2780" s="118" t="str">
        <f>IFERROR(__xludf.DUMMYFUNCTION("""COMPUTED_VALUE"""),"")</f>
        <v/>
      </c>
      <c r="O2780" s="116"/>
      <c r="P2780" s="116"/>
      <c r="Q2780" s="116"/>
      <c r="R2780" s="116" t="s">
        <v>39</v>
      </c>
      <c r="S2780" s="116" t="s">
        <v>39</v>
      </c>
      <c r="T2780" s="104"/>
      <c r="U2780" s="116"/>
      <c r="V2780" s="104"/>
      <c r="W2780" s="116"/>
    </row>
    <row r="2781">
      <c r="A2781" s="114" t="s">
        <v>39</v>
      </c>
      <c r="B2781" s="115"/>
      <c r="C2781" s="116"/>
      <c r="D2781" s="116"/>
      <c r="E2781" s="116" t="str">
        <f>IFERROR(__xludf.DUMMYFUNCTION("""COMPUTED_VALUE"""),"")</f>
        <v/>
      </c>
      <c r="F2781" s="117" t="s">
        <v>39</v>
      </c>
      <c r="G2781" s="116"/>
      <c r="H2781" s="117"/>
      <c r="I2781" s="117"/>
      <c r="J2781" s="117"/>
      <c r="K2781" s="117"/>
      <c r="L2781" s="116"/>
      <c r="M2781" s="117"/>
      <c r="N2781" s="118" t="str">
        <f>IFERROR(__xludf.DUMMYFUNCTION("""COMPUTED_VALUE"""),"")</f>
        <v/>
      </c>
      <c r="O2781" s="116"/>
      <c r="P2781" s="116"/>
      <c r="Q2781" s="116"/>
      <c r="R2781" s="116" t="s">
        <v>39</v>
      </c>
      <c r="S2781" s="116" t="s">
        <v>39</v>
      </c>
      <c r="T2781" s="104"/>
      <c r="U2781" s="116"/>
      <c r="V2781" s="104"/>
      <c r="W2781" s="116"/>
    </row>
    <row r="2782">
      <c r="A2782" s="114" t="s">
        <v>39</v>
      </c>
      <c r="B2782" s="115"/>
      <c r="C2782" s="116"/>
      <c r="D2782" s="116"/>
      <c r="E2782" s="116" t="str">
        <f>IFERROR(__xludf.DUMMYFUNCTION("""COMPUTED_VALUE"""),"")</f>
        <v/>
      </c>
      <c r="F2782" s="117" t="s">
        <v>39</v>
      </c>
      <c r="G2782" s="116"/>
      <c r="H2782" s="117"/>
      <c r="I2782" s="117"/>
      <c r="J2782" s="117"/>
      <c r="K2782" s="117"/>
      <c r="L2782" s="116"/>
      <c r="M2782" s="117"/>
      <c r="N2782" s="118" t="str">
        <f>IFERROR(__xludf.DUMMYFUNCTION("""COMPUTED_VALUE"""),"")</f>
        <v/>
      </c>
      <c r="O2782" s="116"/>
      <c r="P2782" s="116"/>
      <c r="Q2782" s="116"/>
      <c r="R2782" s="116" t="s">
        <v>39</v>
      </c>
      <c r="S2782" s="116" t="s">
        <v>39</v>
      </c>
      <c r="T2782" s="104"/>
      <c r="U2782" s="116"/>
      <c r="V2782" s="104"/>
      <c r="W2782" s="116"/>
    </row>
    <row r="2783">
      <c r="A2783" s="114" t="s">
        <v>39</v>
      </c>
      <c r="B2783" s="115"/>
      <c r="C2783" s="116"/>
      <c r="D2783" s="116"/>
      <c r="E2783" s="116" t="str">
        <f>IFERROR(__xludf.DUMMYFUNCTION("""COMPUTED_VALUE"""),"")</f>
        <v/>
      </c>
      <c r="F2783" s="117" t="s">
        <v>39</v>
      </c>
      <c r="G2783" s="116"/>
      <c r="H2783" s="117"/>
      <c r="I2783" s="117"/>
      <c r="J2783" s="117"/>
      <c r="K2783" s="117"/>
      <c r="L2783" s="116"/>
      <c r="M2783" s="117"/>
      <c r="N2783" s="118" t="str">
        <f>IFERROR(__xludf.DUMMYFUNCTION("""COMPUTED_VALUE"""),"")</f>
        <v/>
      </c>
      <c r="O2783" s="116"/>
      <c r="P2783" s="116"/>
      <c r="Q2783" s="116"/>
      <c r="R2783" s="116" t="s">
        <v>39</v>
      </c>
      <c r="S2783" s="116" t="s">
        <v>39</v>
      </c>
      <c r="T2783" s="104"/>
      <c r="U2783" s="116"/>
      <c r="V2783" s="104"/>
      <c r="W2783" s="116"/>
    </row>
    <row r="2784">
      <c r="A2784" s="114" t="s">
        <v>39</v>
      </c>
      <c r="B2784" s="115"/>
      <c r="C2784" s="116"/>
      <c r="D2784" s="116"/>
      <c r="E2784" s="116" t="str">
        <f>IFERROR(__xludf.DUMMYFUNCTION("""COMPUTED_VALUE"""),"")</f>
        <v/>
      </c>
      <c r="F2784" s="117" t="s">
        <v>39</v>
      </c>
      <c r="G2784" s="116"/>
      <c r="H2784" s="117"/>
      <c r="I2784" s="117"/>
      <c r="J2784" s="117"/>
      <c r="K2784" s="117"/>
      <c r="L2784" s="116"/>
      <c r="M2784" s="117"/>
      <c r="N2784" s="118" t="str">
        <f>IFERROR(__xludf.DUMMYFUNCTION("""COMPUTED_VALUE"""),"")</f>
        <v/>
      </c>
      <c r="O2784" s="116"/>
      <c r="P2784" s="116"/>
      <c r="Q2784" s="116"/>
      <c r="R2784" s="116" t="s">
        <v>39</v>
      </c>
      <c r="S2784" s="116" t="s">
        <v>39</v>
      </c>
      <c r="T2784" s="104"/>
      <c r="U2784" s="116"/>
      <c r="V2784" s="104"/>
      <c r="W2784" s="116"/>
    </row>
    <row r="2785">
      <c r="A2785" s="114" t="s">
        <v>39</v>
      </c>
      <c r="B2785" s="115"/>
      <c r="C2785" s="116"/>
      <c r="D2785" s="116"/>
      <c r="E2785" s="116" t="str">
        <f>IFERROR(__xludf.DUMMYFUNCTION("""COMPUTED_VALUE"""),"")</f>
        <v/>
      </c>
      <c r="F2785" s="117" t="s">
        <v>39</v>
      </c>
      <c r="G2785" s="116"/>
      <c r="H2785" s="117"/>
      <c r="I2785" s="117"/>
      <c r="J2785" s="117"/>
      <c r="K2785" s="117"/>
      <c r="L2785" s="116"/>
      <c r="M2785" s="117"/>
      <c r="N2785" s="118" t="str">
        <f>IFERROR(__xludf.DUMMYFUNCTION("""COMPUTED_VALUE"""),"")</f>
        <v/>
      </c>
      <c r="O2785" s="116"/>
      <c r="P2785" s="116"/>
      <c r="Q2785" s="116"/>
      <c r="R2785" s="116" t="s">
        <v>39</v>
      </c>
      <c r="S2785" s="116" t="s">
        <v>39</v>
      </c>
      <c r="T2785" s="104"/>
      <c r="U2785" s="116"/>
      <c r="V2785" s="104"/>
      <c r="W2785" s="116"/>
    </row>
    <row r="2786">
      <c r="A2786" s="114" t="s">
        <v>39</v>
      </c>
      <c r="B2786" s="115"/>
      <c r="C2786" s="116"/>
      <c r="D2786" s="116"/>
      <c r="E2786" s="116" t="str">
        <f>IFERROR(__xludf.DUMMYFUNCTION("""COMPUTED_VALUE"""),"")</f>
        <v/>
      </c>
      <c r="F2786" s="117" t="s">
        <v>39</v>
      </c>
      <c r="G2786" s="116"/>
      <c r="H2786" s="117"/>
      <c r="I2786" s="117"/>
      <c r="J2786" s="117"/>
      <c r="K2786" s="117"/>
      <c r="L2786" s="116"/>
      <c r="M2786" s="117"/>
      <c r="N2786" s="118" t="str">
        <f>IFERROR(__xludf.DUMMYFUNCTION("""COMPUTED_VALUE"""),"")</f>
        <v/>
      </c>
      <c r="O2786" s="116"/>
      <c r="P2786" s="116"/>
      <c r="Q2786" s="116"/>
      <c r="R2786" s="116" t="s">
        <v>39</v>
      </c>
      <c r="S2786" s="116" t="s">
        <v>39</v>
      </c>
      <c r="T2786" s="104"/>
      <c r="U2786" s="116"/>
      <c r="V2786" s="104"/>
      <c r="W2786" s="116"/>
    </row>
    <row r="2787">
      <c r="A2787" s="114" t="s">
        <v>39</v>
      </c>
      <c r="B2787" s="115"/>
      <c r="C2787" s="116"/>
      <c r="D2787" s="116"/>
      <c r="E2787" s="116" t="str">
        <f>IFERROR(__xludf.DUMMYFUNCTION("""COMPUTED_VALUE"""),"")</f>
        <v/>
      </c>
      <c r="F2787" s="117" t="s">
        <v>39</v>
      </c>
      <c r="G2787" s="116"/>
      <c r="H2787" s="117"/>
      <c r="I2787" s="117"/>
      <c r="J2787" s="117"/>
      <c r="K2787" s="117"/>
      <c r="L2787" s="116"/>
      <c r="M2787" s="117"/>
      <c r="N2787" s="118" t="str">
        <f>IFERROR(__xludf.DUMMYFUNCTION("""COMPUTED_VALUE"""),"")</f>
        <v/>
      </c>
      <c r="O2787" s="116"/>
      <c r="P2787" s="116"/>
      <c r="Q2787" s="116"/>
      <c r="R2787" s="116" t="s">
        <v>39</v>
      </c>
      <c r="S2787" s="116" t="s">
        <v>39</v>
      </c>
      <c r="T2787" s="104"/>
      <c r="U2787" s="116"/>
      <c r="V2787" s="104"/>
      <c r="W2787" s="116"/>
    </row>
    <row r="2788">
      <c r="A2788" s="114" t="s">
        <v>39</v>
      </c>
      <c r="B2788" s="115"/>
      <c r="C2788" s="116"/>
      <c r="D2788" s="116"/>
      <c r="E2788" s="116" t="str">
        <f>IFERROR(__xludf.DUMMYFUNCTION("""COMPUTED_VALUE"""),"")</f>
        <v/>
      </c>
      <c r="F2788" s="117" t="s">
        <v>39</v>
      </c>
      <c r="G2788" s="116"/>
      <c r="H2788" s="117"/>
      <c r="I2788" s="117"/>
      <c r="J2788" s="117"/>
      <c r="K2788" s="117"/>
      <c r="L2788" s="116"/>
      <c r="M2788" s="117"/>
      <c r="N2788" s="118" t="str">
        <f>IFERROR(__xludf.DUMMYFUNCTION("""COMPUTED_VALUE"""),"")</f>
        <v/>
      </c>
      <c r="O2788" s="116"/>
      <c r="P2788" s="116"/>
      <c r="Q2788" s="116"/>
      <c r="R2788" s="116" t="s">
        <v>39</v>
      </c>
      <c r="S2788" s="116" t="s">
        <v>39</v>
      </c>
      <c r="T2788" s="104"/>
      <c r="U2788" s="116"/>
      <c r="V2788" s="104"/>
      <c r="W2788" s="116"/>
    </row>
    <row r="2789">
      <c r="A2789" s="114" t="s">
        <v>39</v>
      </c>
      <c r="B2789" s="115"/>
      <c r="C2789" s="116"/>
      <c r="D2789" s="116"/>
      <c r="E2789" s="116" t="str">
        <f>IFERROR(__xludf.DUMMYFUNCTION("""COMPUTED_VALUE"""),"")</f>
        <v/>
      </c>
      <c r="F2789" s="117" t="s">
        <v>39</v>
      </c>
      <c r="G2789" s="116"/>
      <c r="H2789" s="117"/>
      <c r="I2789" s="117"/>
      <c r="J2789" s="117"/>
      <c r="K2789" s="117"/>
      <c r="L2789" s="116"/>
      <c r="M2789" s="117"/>
      <c r="N2789" s="118" t="str">
        <f>IFERROR(__xludf.DUMMYFUNCTION("""COMPUTED_VALUE"""),"")</f>
        <v/>
      </c>
      <c r="O2789" s="116"/>
      <c r="P2789" s="116"/>
      <c r="Q2789" s="116"/>
      <c r="R2789" s="116" t="s">
        <v>39</v>
      </c>
      <c r="S2789" s="116" t="s">
        <v>39</v>
      </c>
      <c r="T2789" s="104"/>
      <c r="U2789" s="116"/>
      <c r="V2789" s="104"/>
      <c r="W2789" s="116"/>
    </row>
    <row r="2790">
      <c r="A2790" s="114" t="s">
        <v>39</v>
      </c>
      <c r="B2790" s="115"/>
      <c r="C2790" s="116"/>
      <c r="D2790" s="116"/>
      <c r="E2790" s="116" t="str">
        <f>IFERROR(__xludf.DUMMYFUNCTION("""COMPUTED_VALUE"""),"")</f>
        <v/>
      </c>
      <c r="F2790" s="117" t="s">
        <v>39</v>
      </c>
      <c r="G2790" s="116"/>
      <c r="H2790" s="117"/>
      <c r="I2790" s="117"/>
      <c r="J2790" s="117"/>
      <c r="K2790" s="117"/>
      <c r="L2790" s="116"/>
      <c r="M2790" s="117"/>
      <c r="N2790" s="118" t="str">
        <f>IFERROR(__xludf.DUMMYFUNCTION("""COMPUTED_VALUE"""),"")</f>
        <v/>
      </c>
      <c r="O2790" s="116"/>
      <c r="P2790" s="116"/>
      <c r="Q2790" s="116"/>
      <c r="R2790" s="116" t="s">
        <v>39</v>
      </c>
      <c r="S2790" s="116" t="s">
        <v>39</v>
      </c>
      <c r="T2790" s="104"/>
      <c r="U2790" s="116"/>
      <c r="V2790" s="104"/>
      <c r="W2790" s="116"/>
    </row>
    <row r="2791">
      <c r="A2791" s="114" t="s">
        <v>39</v>
      </c>
      <c r="B2791" s="115"/>
      <c r="C2791" s="116"/>
      <c r="D2791" s="116"/>
      <c r="E2791" s="116" t="str">
        <f>IFERROR(__xludf.DUMMYFUNCTION("""COMPUTED_VALUE"""),"")</f>
        <v/>
      </c>
      <c r="F2791" s="117" t="s">
        <v>39</v>
      </c>
      <c r="G2791" s="116"/>
      <c r="H2791" s="117"/>
      <c r="I2791" s="117"/>
      <c r="J2791" s="117"/>
      <c r="K2791" s="117"/>
      <c r="L2791" s="116"/>
      <c r="M2791" s="117"/>
      <c r="N2791" s="118" t="str">
        <f>IFERROR(__xludf.DUMMYFUNCTION("""COMPUTED_VALUE"""),"")</f>
        <v/>
      </c>
      <c r="O2791" s="116"/>
      <c r="P2791" s="116"/>
      <c r="Q2791" s="116"/>
      <c r="R2791" s="116" t="s">
        <v>39</v>
      </c>
      <c r="S2791" s="116" t="s">
        <v>39</v>
      </c>
      <c r="T2791" s="104"/>
      <c r="U2791" s="116"/>
      <c r="V2791" s="104"/>
      <c r="W2791" s="116"/>
    </row>
    <row r="2792">
      <c r="A2792" s="114" t="s">
        <v>39</v>
      </c>
      <c r="B2792" s="115"/>
      <c r="C2792" s="116"/>
      <c r="D2792" s="116"/>
      <c r="E2792" s="116" t="str">
        <f>IFERROR(__xludf.DUMMYFUNCTION("""COMPUTED_VALUE"""),"")</f>
        <v/>
      </c>
      <c r="F2792" s="117" t="s">
        <v>39</v>
      </c>
      <c r="G2792" s="116"/>
      <c r="H2792" s="117"/>
      <c r="I2792" s="117"/>
      <c r="J2792" s="117"/>
      <c r="K2792" s="117"/>
      <c r="L2792" s="116"/>
      <c r="M2792" s="117"/>
      <c r="N2792" s="118" t="str">
        <f>IFERROR(__xludf.DUMMYFUNCTION("""COMPUTED_VALUE"""),"")</f>
        <v/>
      </c>
      <c r="O2792" s="116"/>
      <c r="P2792" s="116"/>
      <c r="Q2792" s="116"/>
      <c r="R2792" s="116" t="s">
        <v>39</v>
      </c>
      <c r="S2792" s="116" t="s">
        <v>39</v>
      </c>
      <c r="T2792" s="104"/>
      <c r="U2792" s="116"/>
      <c r="V2792" s="104"/>
      <c r="W2792" s="116"/>
    </row>
    <row r="2793">
      <c r="A2793" s="114" t="s">
        <v>39</v>
      </c>
      <c r="B2793" s="115"/>
      <c r="C2793" s="116"/>
      <c r="D2793" s="116"/>
      <c r="E2793" s="116" t="str">
        <f>IFERROR(__xludf.DUMMYFUNCTION("""COMPUTED_VALUE"""),"")</f>
        <v/>
      </c>
      <c r="F2793" s="117" t="s">
        <v>39</v>
      </c>
      <c r="G2793" s="116"/>
      <c r="H2793" s="117"/>
      <c r="I2793" s="117"/>
      <c r="J2793" s="117"/>
      <c r="K2793" s="117"/>
      <c r="L2793" s="116"/>
      <c r="M2793" s="117"/>
      <c r="N2793" s="118" t="str">
        <f>IFERROR(__xludf.DUMMYFUNCTION("""COMPUTED_VALUE"""),"")</f>
        <v/>
      </c>
      <c r="O2793" s="116"/>
      <c r="P2793" s="116"/>
      <c r="Q2793" s="116"/>
      <c r="R2793" s="116" t="s">
        <v>39</v>
      </c>
      <c r="S2793" s="116" t="s">
        <v>39</v>
      </c>
      <c r="T2793" s="104"/>
      <c r="U2793" s="116"/>
      <c r="V2793" s="104"/>
      <c r="W2793" s="116"/>
    </row>
    <row r="2794">
      <c r="A2794" s="114" t="s">
        <v>39</v>
      </c>
      <c r="B2794" s="115"/>
      <c r="C2794" s="116"/>
      <c r="D2794" s="116"/>
      <c r="E2794" s="116" t="str">
        <f>IFERROR(__xludf.DUMMYFUNCTION("""COMPUTED_VALUE"""),"")</f>
        <v/>
      </c>
      <c r="F2794" s="117" t="s">
        <v>39</v>
      </c>
      <c r="G2794" s="116"/>
      <c r="H2794" s="117"/>
      <c r="I2794" s="117"/>
      <c r="J2794" s="117"/>
      <c r="K2794" s="117"/>
      <c r="L2794" s="116"/>
      <c r="M2794" s="117"/>
      <c r="N2794" s="118" t="str">
        <f>IFERROR(__xludf.DUMMYFUNCTION("""COMPUTED_VALUE"""),"")</f>
        <v/>
      </c>
      <c r="O2794" s="116"/>
      <c r="P2794" s="116"/>
      <c r="Q2794" s="116"/>
      <c r="R2794" s="116" t="s">
        <v>39</v>
      </c>
      <c r="S2794" s="116" t="s">
        <v>39</v>
      </c>
      <c r="T2794" s="104"/>
      <c r="U2794" s="116"/>
      <c r="V2794" s="104"/>
      <c r="W2794" s="116"/>
    </row>
    <row r="2795">
      <c r="A2795" s="114" t="s">
        <v>39</v>
      </c>
      <c r="B2795" s="115"/>
      <c r="C2795" s="116"/>
      <c r="D2795" s="116"/>
      <c r="E2795" s="116" t="str">
        <f>IFERROR(__xludf.DUMMYFUNCTION("""COMPUTED_VALUE"""),"")</f>
        <v/>
      </c>
      <c r="F2795" s="117" t="s">
        <v>39</v>
      </c>
      <c r="G2795" s="116"/>
      <c r="H2795" s="117"/>
      <c r="I2795" s="117"/>
      <c r="J2795" s="117"/>
      <c r="K2795" s="117"/>
      <c r="L2795" s="116"/>
      <c r="M2795" s="117"/>
      <c r="N2795" s="118" t="str">
        <f>IFERROR(__xludf.DUMMYFUNCTION("""COMPUTED_VALUE"""),"")</f>
        <v/>
      </c>
      <c r="O2795" s="116"/>
      <c r="P2795" s="116"/>
      <c r="Q2795" s="116"/>
      <c r="R2795" s="116" t="s">
        <v>39</v>
      </c>
      <c r="S2795" s="116" t="s">
        <v>39</v>
      </c>
      <c r="T2795" s="104"/>
      <c r="U2795" s="116"/>
      <c r="V2795" s="104"/>
      <c r="W2795" s="116"/>
    </row>
    <row r="2796">
      <c r="A2796" s="114" t="s">
        <v>39</v>
      </c>
      <c r="B2796" s="115"/>
      <c r="C2796" s="116"/>
      <c r="D2796" s="116"/>
      <c r="E2796" s="116" t="str">
        <f>IFERROR(__xludf.DUMMYFUNCTION("""COMPUTED_VALUE"""),"")</f>
        <v/>
      </c>
      <c r="F2796" s="117" t="s">
        <v>39</v>
      </c>
      <c r="G2796" s="116"/>
      <c r="H2796" s="117"/>
      <c r="I2796" s="117"/>
      <c r="J2796" s="117"/>
      <c r="K2796" s="117"/>
      <c r="L2796" s="116"/>
      <c r="M2796" s="117"/>
      <c r="N2796" s="118" t="str">
        <f>IFERROR(__xludf.DUMMYFUNCTION("""COMPUTED_VALUE"""),"")</f>
        <v/>
      </c>
      <c r="O2796" s="116"/>
      <c r="P2796" s="116"/>
      <c r="Q2796" s="116"/>
      <c r="R2796" s="116" t="s">
        <v>39</v>
      </c>
      <c r="S2796" s="116" t="s">
        <v>39</v>
      </c>
      <c r="T2796" s="104"/>
      <c r="U2796" s="116"/>
      <c r="V2796" s="104"/>
      <c r="W2796" s="116"/>
    </row>
    <row r="2797">
      <c r="A2797" s="114" t="s">
        <v>39</v>
      </c>
      <c r="B2797" s="115"/>
      <c r="C2797" s="116"/>
      <c r="D2797" s="116"/>
      <c r="E2797" s="116" t="str">
        <f>IFERROR(__xludf.DUMMYFUNCTION("""COMPUTED_VALUE"""),"")</f>
        <v/>
      </c>
      <c r="F2797" s="117" t="s">
        <v>39</v>
      </c>
      <c r="G2797" s="116"/>
      <c r="H2797" s="117"/>
      <c r="I2797" s="117"/>
      <c r="J2797" s="117"/>
      <c r="K2797" s="117"/>
      <c r="L2797" s="116"/>
      <c r="M2797" s="117"/>
      <c r="N2797" s="118" t="str">
        <f>IFERROR(__xludf.DUMMYFUNCTION("""COMPUTED_VALUE"""),"")</f>
        <v/>
      </c>
      <c r="O2797" s="116"/>
      <c r="P2797" s="116"/>
      <c r="Q2797" s="116"/>
      <c r="R2797" s="116" t="s">
        <v>39</v>
      </c>
      <c r="S2797" s="116" t="s">
        <v>39</v>
      </c>
      <c r="T2797" s="104"/>
      <c r="U2797" s="116"/>
      <c r="V2797" s="104"/>
      <c r="W2797" s="116"/>
    </row>
    <row r="2798">
      <c r="A2798" s="114" t="s">
        <v>39</v>
      </c>
      <c r="B2798" s="115"/>
      <c r="C2798" s="116"/>
      <c r="D2798" s="116"/>
      <c r="E2798" s="116" t="str">
        <f>IFERROR(__xludf.DUMMYFUNCTION("""COMPUTED_VALUE"""),"")</f>
        <v/>
      </c>
      <c r="F2798" s="117" t="s">
        <v>39</v>
      </c>
      <c r="G2798" s="116"/>
      <c r="H2798" s="117"/>
      <c r="I2798" s="117"/>
      <c r="J2798" s="117"/>
      <c r="K2798" s="117"/>
      <c r="L2798" s="116"/>
      <c r="M2798" s="117"/>
      <c r="N2798" s="118" t="str">
        <f>IFERROR(__xludf.DUMMYFUNCTION("""COMPUTED_VALUE"""),"")</f>
        <v/>
      </c>
      <c r="O2798" s="116"/>
      <c r="P2798" s="116"/>
      <c r="Q2798" s="116"/>
      <c r="R2798" s="116" t="s">
        <v>39</v>
      </c>
      <c r="S2798" s="116" t="s">
        <v>39</v>
      </c>
      <c r="T2798" s="104"/>
      <c r="U2798" s="116"/>
      <c r="V2798" s="104"/>
      <c r="W2798" s="116"/>
    </row>
    <row r="2799">
      <c r="A2799" s="114" t="s">
        <v>39</v>
      </c>
      <c r="B2799" s="115"/>
      <c r="C2799" s="116"/>
      <c r="D2799" s="116"/>
      <c r="E2799" s="116" t="str">
        <f>IFERROR(__xludf.DUMMYFUNCTION("""COMPUTED_VALUE"""),"")</f>
        <v/>
      </c>
      <c r="F2799" s="117" t="s">
        <v>39</v>
      </c>
      <c r="G2799" s="116"/>
      <c r="H2799" s="117"/>
      <c r="I2799" s="117"/>
      <c r="J2799" s="117"/>
      <c r="K2799" s="117"/>
      <c r="L2799" s="116"/>
      <c r="M2799" s="117"/>
      <c r="N2799" s="118" t="str">
        <f>IFERROR(__xludf.DUMMYFUNCTION("""COMPUTED_VALUE"""),"")</f>
        <v/>
      </c>
      <c r="O2799" s="116"/>
      <c r="P2799" s="116"/>
      <c r="Q2799" s="116"/>
      <c r="R2799" s="116" t="s">
        <v>39</v>
      </c>
      <c r="S2799" s="116" t="s">
        <v>39</v>
      </c>
      <c r="T2799" s="104"/>
      <c r="U2799" s="116"/>
      <c r="V2799" s="104"/>
      <c r="W2799" s="116"/>
    </row>
    <row r="2800">
      <c r="A2800" s="114" t="s">
        <v>39</v>
      </c>
      <c r="B2800" s="115"/>
      <c r="C2800" s="116"/>
      <c r="D2800" s="116"/>
      <c r="E2800" s="116" t="str">
        <f>IFERROR(__xludf.DUMMYFUNCTION("""COMPUTED_VALUE"""),"")</f>
        <v/>
      </c>
      <c r="F2800" s="117" t="s">
        <v>39</v>
      </c>
      <c r="G2800" s="116"/>
      <c r="H2800" s="117"/>
      <c r="I2800" s="117"/>
      <c r="J2800" s="117"/>
      <c r="K2800" s="117"/>
      <c r="L2800" s="116"/>
      <c r="M2800" s="117"/>
      <c r="N2800" s="118" t="str">
        <f>IFERROR(__xludf.DUMMYFUNCTION("""COMPUTED_VALUE"""),"")</f>
        <v/>
      </c>
      <c r="O2800" s="116"/>
      <c r="P2800" s="116"/>
      <c r="Q2800" s="116"/>
      <c r="R2800" s="116" t="s">
        <v>39</v>
      </c>
      <c r="S2800" s="116" t="s">
        <v>39</v>
      </c>
      <c r="T2800" s="104"/>
      <c r="U2800" s="116"/>
      <c r="V2800" s="104"/>
      <c r="W2800" s="116"/>
    </row>
    <row r="2801">
      <c r="A2801" s="114" t="s">
        <v>39</v>
      </c>
      <c r="B2801" s="115"/>
      <c r="C2801" s="116"/>
      <c r="D2801" s="116"/>
      <c r="E2801" s="116" t="str">
        <f>IFERROR(__xludf.DUMMYFUNCTION("""COMPUTED_VALUE"""),"")</f>
        <v/>
      </c>
      <c r="F2801" s="117" t="s">
        <v>39</v>
      </c>
      <c r="G2801" s="116"/>
      <c r="H2801" s="117"/>
      <c r="I2801" s="117"/>
      <c r="J2801" s="117"/>
      <c r="K2801" s="117"/>
      <c r="L2801" s="116"/>
      <c r="M2801" s="117"/>
      <c r="N2801" s="118" t="str">
        <f>IFERROR(__xludf.DUMMYFUNCTION("""COMPUTED_VALUE"""),"")</f>
        <v/>
      </c>
      <c r="O2801" s="116"/>
      <c r="P2801" s="116"/>
      <c r="Q2801" s="116"/>
      <c r="R2801" s="116" t="s">
        <v>39</v>
      </c>
      <c r="S2801" s="116" t="s">
        <v>39</v>
      </c>
      <c r="T2801" s="104"/>
      <c r="U2801" s="116"/>
      <c r="V2801" s="104"/>
      <c r="W2801" s="116"/>
    </row>
    <row r="2802">
      <c r="A2802" s="114" t="s">
        <v>39</v>
      </c>
      <c r="B2802" s="115"/>
      <c r="C2802" s="116"/>
      <c r="D2802" s="116"/>
      <c r="E2802" s="116" t="str">
        <f>IFERROR(__xludf.DUMMYFUNCTION("""COMPUTED_VALUE"""),"")</f>
        <v/>
      </c>
      <c r="F2802" s="117" t="s">
        <v>39</v>
      </c>
      <c r="G2802" s="116"/>
      <c r="H2802" s="117"/>
      <c r="I2802" s="117"/>
      <c r="J2802" s="117"/>
      <c r="K2802" s="117"/>
      <c r="L2802" s="116"/>
      <c r="M2802" s="117"/>
      <c r="N2802" s="118" t="str">
        <f>IFERROR(__xludf.DUMMYFUNCTION("""COMPUTED_VALUE"""),"")</f>
        <v/>
      </c>
      <c r="O2802" s="116"/>
      <c r="P2802" s="116"/>
      <c r="Q2802" s="116"/>
      <c r="R2802" s="116" t="s">
        <v>39</v>
      </c>
      <c r="S2802" s="116" t="s">
        <v>39</v>
      </c>
      <c r="T2802" s="104"/>
      <c r="U2802" s="116"/>
      <c r="V2802" s="104"/>
      <c r="W2802" s="116"/>
    </row>
    <row r="2803">
      <c r="A2803" s="114" t="s">
        <v>39</v>
      </c>
      <c r="B2803" s="115"/>
      <c r="C2803" s="116"/>
      <c r="D2803" s="116"/>
      <c r="E2803" s="116" t="str">
        <f>IFERROR(__xludf.DUMMYFUNCTION("""COMPUTED_VALUE"""),"")</f>
        <v/>
      </c>
      <c r="F2803" s="117" t="s">
        <v>39</v>
      </c>
      <c r="G2803" s="116"/>
      <c r="H2803" s="117"/>
      <c r="I2803" s="117"/>
      <c r="J2803" s="117"/>
      <c r="K2803" s="117"/>
      <c r="L2803" s="116"/>
      <c r="M2803" s="117"/>
      <c r="N2803" s="118" t="str">
        <f>IFERROR(__xludf.DUMMYFUNCTION("""COMPUTED_VALUE"""),"")</f>
        <v/>
      </c>
      <c r="O2803" s="116"/>
      <c r="P2803" s="116"/>
      <c r="Q2803" s="116"/>
      <c r="R2803" s="116" t="s">
        <v>39</v>
      </c>
      <c r="S2803" s="116" t="s">
        <v>39</v>
      </c>
      <c r="T2803" s="104"/>
      <c r="U2803" s="116"/>
      <c r="V2803" s="104"/>
      <c r="W2803" s="116"/>
    </row>
    <row r="2804">
      <c r="A2804" s="114" t="s">
        <v>39</v>
      </c>
      <c r="B2804" s="115"/>
      <c r="C2804" s="116"/>
      <c r="D2804" s="116"/>
      <c r="E2804" s="116" t="str">
        <f>IFERROR(__xludf.DUMMYFUNCTION("""COMPUTED_VALUE"""),"")</f>
        <v/>
      </c>
      <c r="F2804" s="117" t="s">
        <v>39</v>
      </c>
      <c r="G2804" s="116"/>
      <c r="H2804" s="117"/>
      <c r="I2804" s="117"/>
      <c r="J2804" s="117"/>
      <c r="K2804" s="117"/>
      <c r="L2804" s="116"/>
      <c r="M2804" s="117"/>
      <c r="N2804" s="118" t="str">
        <f>IFERROR(__xludf.DUMMYFUNCTION("""COMPUTED_VALUE"""),"")</f>
        <v/>
      </c>
      <c r="O2804" s="116"/>
      <c r="P2804" s="116"/>
      <c r="Q2804" s="116"/>
      <c r="R2804" s="116" t="s">
        <v>39</v>
      </c>
      <c r="S2804" s="116" t="s">
        <v>39</v>
      </c>
      <c r="T2804" s="104"/>
      <c r="U2804" s="116"/>
      <c r="V2804" s="104"/>
      <c r="W2804" s="116"/>
    </row>
    <row r="2805">
      <c r="A2805" s="114" t="s">
        <v>39</v>
      </c>
      <c r="B2805" s="115"/>
      <c r="C2805" s="116"/>
      <c r="D2805" s="116"/>
      <c r="E2805" s="116" t="str">
        <f>IFERROR(__xludf.DUMMYFUNCTION("""COMPUTED_VALUE"""),"")</f>
        <v/>
      </c>
      <c r="F2805" s="117" t="s">
        <v>39</v>
      </c>
      <c r="G2805" s="116"/>
      <c r="H2805" s="117"/>
      <c r="I2805" s="117"/>
      <c r="J2805" s="117"/>
      <c r="K2805" s="117"/>
      <c r="L2805" s="116"/>
      <c r="M2805" s="117"/>
      <c r="N2805" s="118" t="str">
        <f>IFERROR(__xludf.DUMMYFUNCTION("""COMPUTED_VALUE"""),"")</f>
        <v/>
      </c>
      <c r="O2805" s="116"/>
      <c r="P2805" s="116"/>
      <c r="Q2805" s="116"/>
      <c r="R2805" s="116" t="s">
        <v>39</v>
      </c>
      <c r="S2805" s="116" t="s">
        <v>39</v>
      </c>
      <c r="T2805" s="104"/>
      <c r="U2805" s="116"/>
      <c r="V2805" s="104"/>
      <c r="W2805" s="116"/>
    </row>
    <row r="2806">
      <c r="A2806" s="114" t="s">
        <v>39</v>
      </c>
      <c r="B2806" s="115"/>
      <c r="C2806" s="116"/>
      <c r="D2806" s="116"/>
      <c r="E2806" s="116" t="str">
        <f>IFERROR(__xludf.DUMMYFUNCTION("""COMPUTED_VALUE"""),"")</f>
        <v/>
      </c>
      <c r="F2806" s="117" t="s">
        <v>39</v>
      </c>
      <c r="G2806" s="116"/>
      <c r="H2806" s="117"/>
      <c r="I2806" s="117"/>
      <c r="J2806" s="117"/>
      <c r="K2806" s="117"/>
      <c r="L2806" s="116"/>
      <c r="M2806" s="117"/>
      <c r="N2806" s="118" t="str">
        <f>IFERROR(__xludf.DUMMYFUNCTION("""COMPUTED_VALUE"""),"")</f>
        <v/>
      </c>
      <c r="O2806" s="116"/>
      <c r="P2806" s="116"/>
      <c r="Q2806" s="116"/>
      <c r="R2806" s="116" t="s">
        <v>39</v>
      </c>
      <c r="S2806" s="116" t="s">
        <v>39</v>
      </c>
      <c r="T2806" s="104"/>
      <c r="U2806" s="116"/>
      <c r="V2806" s="104"/>
      <c r="W2806" s="116"/>
    </row>
    <row r="2807">
      <c r="A2807" s="114" t="s">
        <v>39</v>
      </c>
      <c r="B2807" s="115"/>
      <c r="C2807" s="116"/>
      <c r="D2807" s="116"/>
      <c r="E2807" s="116" t="str">
        <f>IFERROR(__xludf.DUMMYFUNCTION("""COMPUTED_VALUE"""),"")</f>
        <v/>
      </c>
      <c r="F2807" s="117" t="s">
        <v>39</v>
      </c>
      <c r="G2807" s="116"/>
      <c r="H2807" s="117"/>
      <c r="I2807" s="117"/>
      <c r="J2807" s="117"/>
      <c r="K2807" s="117"/>
      <c r="L2807" s="116"/>
      <c r="M2807" s="117"/>
      <c r="N2807" s="118" t="str">
        <f>IFERROR(__xludf.DUMMYFUNCTION("""COMPUTED_VALUE"""),"")</f>
        <v/>
      </c>
      <c r="O2807" s="116"/>
      <c r="P2807" s="116"/>
      <c r="Q2807" s="116"/>
      <c r="R2807" s="116" t="s">
        <v>39</v>
      </c>
      <c r="S2807" s="116" t="s">
        <v>39</v>
      </c>
      <c r="T2807" s="104"/>
      <c r="U2807" s="116"/>
      <c r="V2807" s="104"/>
      <c r="W2807" s="116"/>
    </row>
    <row r="2808">
      <c r="A2808" s="114" t="s">
        <v>39</v>
      </c>
      <c r="B2808" s="115"/>
      <c r="C2808" s="116"/>
      <c r="D2808" s="116"/>
      <c r="E2808" s="116" t="str">
        <f>IFERROR(__xludf.DUMMYFUNCTION("""COMPUTED_VALUE"""),"")</f>
        <v/>
      </c>
      <c r="F2808" s="117" t="s">
        <v>39</v>
      </c>
      <c r="G2808" s="116"/>
      <c r="H2808" s="117"/>
      <c r="I2808" s="117"/>
      <c r="J2808" s="117"/>
      <c r="K2808" s="117"/>
      <c r="L2808" s="116"/>
      <c r="M2808" s="117"/>
      <c r="N2808" s="118" t="str">
        <f>IFERROR(__xludf.DUMMYFUNCTION("""COMPUTED_VALUE"""),"")</f>
        <v/>
      </c>
      <c r="O2808" s="116"/>
      <c r="P2808" s="116"/>
      <c r="Q2808" s="116"/>
      <c r="R2808" s="116" t="s">
        <v>39</v>
      </c>
      <c r="S2808" s="116" t="s">
        <v>39</v>
      </c>
      <c r="T2808" s="104"/>
      <c r="U2808" s="116"/>
      <c r="V2808" s="104"/>
      <c r="W2808" s="116"/>
    </row>
    <row r="2809">
      <c r="A2809" s="114" t="s">
        <v>39</v>
      </c>
      <c r="B2809" s="115"/>
      <c r="C2809" s="116"/>
      <c r="D2809" s="116"/>
      <c r="E2809" s="116" t="str">
        <f>IFERROR(__xludf.DUMMYFUNCTION("""COMPUTED_VALUE"""),"")</f>
        <v/>
      </c>
      <c r="F2809" s="117" t="s">
        <v>39</v>
      </c>
      <c r="G2809" s="116"/>
      <c r="H2809" s="117"/>
      <c r="I2809" s="117"/>
      <c r="J2809" s="117"/>
      <c r="K2809" s="117"/>
      <c r="L2809" s="116"/>
      <c r="M2809" s="117"/>
      <c r="N2809" s="118" t="str">
        <f>IFERROR(__xludf.DUMMYFUNCTION("""COMPUTED_VALUE"""),"")</f>
        <v/>
      </c>
      <c r="O2809" s="116"/>
      <c r="P2809" s="116"/>
      <c r="Q2809" s="116"/>
      <c r="R2809" s="116" t="s">
        <v>39</v>
      </c>
      <c r="S2809" s="116" t="s">
        <v>39</v>
      </c>
      <c r="T2809" s="104"/>
      <c r="U2809" s="116"/>
      <c r="V2809" s="104"/>
      <c r="W2809" s="116"/>
    </row>
    <row r="2810">
      <c r="A2810" s="114" t="s">
        <v>39</v>
      </c>
      <c r="B2810" s="115"/>
      <c r="C2810" s="116"/>
      <c r="D2810" s="116"/>
      <c r="E2810" s="116" t="str">
        <f>IFERROR(__xludf.DUMMYFUNCTION("""COMPUTED_VALUE"""),"")</f>
        <v/>
      </c>
      <c r="F2810" s="117" t="s">
        <v>39</v>
      </c>
      <c r="G2810" s="116"/>
      <c r="H2810" s="117"/>
      <c r="I2810" s="117"/>
      <c r="J2810" s="117"/>
      <c r="K2810" s="117"/>
      <c r="L2810" s="116"/>
      <c r="M2810" s="117"/>
      <c r="N2810" s="118" t="str">
        <f>IFERROR(__xludf.DUMMYFUNCTION("""COMPUTED_VALUE"""),"")</f>
        <v/>
      </c>
      <c r="O2810" s="116"/>
      <c r="P2810" s="116"/>
      <c r="Q2810" s="116"/>
      <c r="R2810" s="116" t="s">
        <v>39</v>
      </c>
      <c r="S2810" s="116" t="s">
        <v>39</v>
      </c>
      <c r="T2810" s="104"/>
      <c r="U2810" s="116"/>
      <c r="V2810" s="104"/>
      <c r="W2810" s="116"/>
    </row>
    <row r="2811">
      <c r="A2811" s="114" t="s">
        <v>39</v>
      </c>
      <c r="B2811" s="115"/>
      <c r="C2811" s="116"/>
      <c r="D2811" s="116"/>
      <c r="E2811" s="116" t="str">
        <f>IFERROR(__xludf.DUMMYFUNCTION("""COMPUTED_VALUE"""),"")</f>
        <v/>
      </c>
      <c r="F2811" s="117" t="s">
        <v>39</v>
      </c>
      <c r="G2811" s="116"/>
      <c r="H2811" s="117"/>
      <c r="I2811" s="117"/>
      <c r="J2811" s="117"/>
      <c r="K2811" s="117"/>
      <c r="L2811" s="116"/>
      <c r="M2811" s="117"/>
      <c r="N2811" s="118" t="str">
        <f>IFERROR(__xludf.DUMMYFUNCTION("""COMPUTED_VALUE"""),"")</f>
        <v/>
      </c>
      <c r="O2811" s="116"/>
      <c r="P2811" s="116"/>
      <c r="Q2811" s="116"/>
      <c r="R2811" s="116" t="s">
        <v>39</v>
      </c>
      <c r="S2811" s="116" t="s">
        <v>39</v>
      </c>
      <c r="T2811" s="104"/>
      <c r="U2811" s="116"/>
      <c r="V2811" s="104"/>
      <c r="W2811" s="116"/>
    </row>
    <row r="2812">
      <c r="A2812" s="114" t="s">
        <v>39</v>
      </c>
      <c r="B2812" s="115"/>
      <c r="C2812" s="116"/>
      <c r="D2812" s="116"/>
      <c r="E2812" s="116" t="str">
        <f>IFERROR(__xludf.DUMMYFUNCTION("""COMPUTED_VALUE"""),"")</f>
        <v/>
      </c>
      <c r="F2812" s="117" t="s">
        <v>39</v>
      </c>
      <c r="G2812" s="116"/>
      <c r="H2812" s="117"/>
      <c r="I2812" s="117"/>
      <c r="J2812" s="117"/>
      <c r="K2812" s="117"/>
      <c r="L2812" s="116"/>
      <c r="M2812" s="117"/>
      <c r="N2812" s="118" t="str">
        <f>IFERROR(__xludf.DUMMYFUNCTION("""COMPUTED_VALUE"""),"")</f>
        <v/>
      </c>
      <c r="O2812" s="116"/>
      <c r="P2812" s="116"/>
      <c r="Q2812" s="116"/>
      <c r="R2812" s="116" t="s">
        <v>39</v>
      </c>
      <c r="S2812" s="116" t="s">
        <v>39</v>
      </c>
      <c r="T2812" s="104"/>
      <c r="U2812" s="116"/>
      <c r="V2812" s="104"/>
      <c r="W2812" s="116"/>
    </row>
    <row r="2813">
      <c r="A2813" s="114" t="s">
        <v>39</v>
      </c>
      <c r="B2813" s="115"/>
      <c r="C2813" s="116"/>
      <c r="D2813" s="116"/>
      <c r="E2813" s="116" t="str">
        <f>IFERROR(__xludf.DUMMYFUNCTION("""COMPUTED_VALUE"""),"")</f>
        <v/>
      </c>
      <c r="F2813" s="117" t="s">
        <v>39</v>
      </c>
      <c r="G2813" s="116"/>
      <c r="H2813" s="117"/>
      <c r="I2813" s="117"/>
      <c r="J2813" s="117"/>
      <c r="K2813" s="117"/>
      <c r="L2813" s="116"/>
      <c r="M2813" s="117"/>
      <c r="N2813" s="118" t="str">
        <f>IFERROR(__xludf.DUMMYFUNCTION("""COMPUTED_VALUE"""),"")</f>
        <v/>
      </c>
      <c r="O2813" s="116"/>
      <c r="P2813" s="116"/>
      <c r="Q2813" s="116"/>
      <c r="R2813" s="116" t="s">
        <v>39</v>
      </c>
      <c r="S2813" s="116" t="s">
        <v>39</v>
      </c>
      <c r="T2813" s="104"/>
      <c r="U2813" s="116"/>
      <c r="V2813" s="104"/>
      <c r="W2813" s="116"/>
    </row>
    <row r="2814">
      <c r="A2814" s="114" t="s">
        <v>39</v>
      </c>
      <c r="B2814" s="115"/>
      <c r="C2814" s="116"/>
      <c r="D2814" s="116"/>
      <c r="E2814" s="116" t="str">
        <f>IFERROR(__xludf.DUMMYFUNCTION("""COMPUTED_VALUE"""),"")</f>
        <v/>
      </c>
      <c r="F2814" s="117" t="s">
        <v>39</v>
      </c>
      <c r="G2814" s="116"/>
      <c r="H2814" s="117"/>
      <c r="I2814" s="117"/>
      <c r="J2814" s="117"/>
      <c r="K2814" s="117"/>
      <c r="L2814" s="116"/>
      <c r="M2814" s="117"/>
      <c r="N2814" s="118" t="str">
        <f>IFERROR(__xludf.DUMMYFUNCTION("""COMPUTED_VALUE"""),"")</f>
        <v/>
      </c>
      <c r="O2814" s="116"/>
      <c r="P2814" s="116"/>
      <c r="Q2814" s="116"/>
      <c r="R2814" s="116" t="s">
        <v>39</v>
      </c>
      <c r="S2814" s="116" t="s">
        <v>39</v>
      </c>
      <c r="T2814" s="104"/>
      <c r="U2814" s="116"/>
      <c r="V2814" s="104"/>
      <c r="W2814" s="116"/>
    </row>
    <row r="2815">
      <c r="A2815" s="114" t="s">
        <v>39</v>
      </c>
      <c r="B2815" s="115"/>
      <c r="C2815" s="116"/>
      <c r="D2815" s="116"/>
      <c r="E2815" s="116" t="str">
        <f>IFERROR(__xludf.DUMMYFUNCTION("""COMPUTED_VALUE"""),"")</f>
        <v/>
      </c>
      <c r="F2815" s="117" t="s">
        <v>39</v>
      </c>
      <c r="G2815" s="116"/>
      <c r="H2815" s="117"/>
      <c r="I2815" s="117"/>
      <c r="J2815" s="117"/>
      <c r="K2815" s="117"/>
      <c r="L2815" s="116"/>
      <c r="M2815" s="117"/>
      <c r="N2815" s="118" t="str">
        <f>IFERROR(__xludf.DUMMYFUNCTION("""COMPUTED_VALUE"""),"")</f>
        <v/>
      </c>
      <c r="O2815" s="116"/>
      <c r="P2815" s="116"/>
      <c r="Q2815" s="116"/>
      <c r="R2815" s="116" t="s">
        <v>39</v>
      </c>
      <c r="S2815" s="116" t="s">
        <v>39</v>
      </c>
      <c r="T2815" s="104"/>
      <c r="U2815" s="116"/>
      <c r="V2815" s="104"/>
      <c r="W2815" s="116"/>
    </row>
    <row r="2816">
      <c r="A2816" s="114" t="s">
        <v>39</v>
      </c>
      <c r="B2816" s="115"/>
      <c r="C2816" s="116"/>
      <c r="D2816" s="116"/>
      <c r="E2816" s="116" t="str">
        <f>IFERROR(__xludf.DUMMYFUNCTION("""COMPUTED_VALUE"""),"")</f>
        <v/>
      </c>
      <c r="F2816" s="117" t="s">
        <v>39</v>
      </c>
      <c r="G2816" s="116"/>
      <c r="H2816" s="117"/>
      <c r="I2816" s="117"/>
      <c r="J2816" s="117"/>
      <c r="K2816" s="117"/>
      <c r="L2816" s="116"/>
      <c r="M2816" s="117"/>
      <c r="N2816" s="118" t="str">
        <f>IFERROR(__xludf.DUMMYFUNCTION("""COMPUTED_VALUE"""),"")</f>
        <v/>
      </c>
      <c r="O2816" s="116"/>
      <c r="P2816" s="116"/>
      <c r="Q2816" s="116"/>
      <c r="R2816" s="116" t="s">
        <v>39</v>
      </c>
      <c r="S2816" s="116" t="s">
        <v>39</v>
      </c>
      <c r="T2816" s="104"/>
      <c r="U2816" s="116"/>
      <c r="V2816" s="104"/>
      <c r="W2816" s="116"/>
    </row>
    <row r="2817">
      <c r="A2817" s="114" t="s">
        <v>39</v>
      </c>
      <c r="B2817" s="115"/>
      <c r="C2817" s="116"/>
      <c r="D2817" s="116"/>
      <c r="E2817" s="116" t="str">
        <f>IFERROR(__xludf.DUMMYFUNCTION("""COMPUTED_VALUE"""),"")</f>
        <v/>
      </c>
      <c r="F2817" s="117" t="s">
        <v>39</v>
      </c>
      <c r="G2817" s="116"/>
      <c r="H2817" s="117"/>
      <c r="I2817" s="117"/>
      <c r="J2817" s="117"/>
      <c r="K2817" s="117"/>
      <c r="L2817" s="116"/>
      <c r="M2817" s="117"/>
      <c r="N2817" s="118" t="str">
        <f>IFERROR(__xludf.DUMMYFUNCTION("""COMPUTED_VALUE"""),"")</f>
        <v/>
      </c>
      <c r="O2817" s="116"/>
      <c r="P2817" s="116"/>
      <c r="Q2817" s="116"/>
      <c r="R2817" s="116" t="s">
        <v>39</v>
      </c>
      <c r="S2817" s="116" t="s">
        <v>39</v>
      </c>
      <c r="T2817" s="104"/>
      <c r="U2817" s="116"/>
      <c r="V2817" s="104"/>
      <c r="W2817" s="116"/>
    </row>
    <row r="2818">
      <c r="A2818" s="114" t="s">
        <v>39</v>
      </c>
      <c r="B2818" s="115"/>
      <c r="C2818" s="116"/>
      <c r="D2818" s="116"/>
      <c r="E2818" s="116" t="str">
        <f>IFERROR(__xludf.DUMMYFUNCTION("""COMPUTED_VALUE"""),"")</f>
        <v/>
      </c>
      <c r="F2818" s="117" t="s">
        <v>39</v>
      </c>
      <c r="G2818" s="116"/>
      <c r="H2818" s="117"/>
      <c r="I2818" s="117"/>
      <c r="J2818" s="117"/>
      <c r="K2818" s="117"/>
      <c r="L2818" s="116"/>
      <c r="M2818" s="117"/>
      <c r="N2818" s="118" t="str">
        <f>IFERROR(__xludf.DUMMYFUNCTION("""COMPUTED_VALUE"""),"")</f>
        <v/>
      </c>
      <c r="O2818" s="116"/>
      <c r="P2818" s="116"/>
      <c r="Q2818" s="116"/>
      <c r="R2818" s="116" t="s">
        <v>39</v>
      </c>
      <c r="S2818" s="116" t="s">
        <v>39</v>
      </c>
      <c r="T2818" s="104"/>
      <c r="U2818" s="116"/>
      <c r="V2818" s="104"/>
      <c r="W2818" s="116"/>
    </row>
    <row r="2819">
      <c r="A2819" s="114" t="s">
        <v>39</v>
      </c>
      <c r="B2819" s="115"/>
      <c r="C2819" s="116"/>
      <c r="D2819" s="116"/>
      <c r="E2819" s="116" t="str">
        <f>IFERROR(__xludf.DUMMYFUNCTION("""COMPUTED_VALUE"""),"")</f>
        <v/>
      </c>
      <c r="F2819" s="117" t="s">
        <v>39</v>
      </c>
      <c r="G2819" s="116"/>
      <c r="H2819" s="117"/>
      <c r="I2819" s="117"/>
      <c r="J2819" s="117"/>
      <c r="K2819" s="117"/>
      <c r="L2819" s="116"/>
      <c r="M2819" s="117"/>
      <c r="N2819" s="118" t="str">
        <f>IFERROR(__xludf.DUMMYFUNCTION("""COMPUTED_VALUE"""),"")</f>
        <v/>
      </c>
      <c r="O2819" s="116"/>
      <c r="P2819" s="116"/>
      <c r="Q2819" s="116"/>
      <c r="R2819" s="116" t="s">
        <v>39</v>
      </c>
      <c r="S2819" s="116" t="s">
        <v>39</v>
      </c>
      <c r="T2819" s="104"/>
      <c r="U2819" s="116"/>
      <c r="V2819" s="104"/>
      <c r="W2819" s="116"/>
    </row>
    <row r="2820">
      <c r="A2820" s="114" t="s">
        <v>39</v>
      </c>
      <c r="B2820" s="115"/>
      <c r="C2820" s="116"/>
      <c r="D2820" s="116"/>
      <c r="E2820" s="116" t="str">
        <f>IFERROR(__xludf.DUMMYFUNCTION("""COMPUTED_VALUE"""),"")</f>
        <v/>
      </c>
      <c r="F2820" s="117" t="s">
        <v>39</v>
      </c>
      <c r="G2820" s="116"/>
      <c r="H2820" s="117"/>
      <c r="I2820" s="117"/>
      <c r="J2820" s="117"/>
      <c r="K2820" s="117"/>
      <c r="L2820" s="116"/>
      <c r="M2820" s="117"/>
      <c r="N2820" s="118" t="str">
        <f>IFERROR(__xludf.DUMMYFUNCTION("""COMPUTED_VALUE"""),"")</f>
        <v/>
      </c>
      <c r="O2820" s="116"/>
      <c r="P2820" s="116"/>
      <c r="Q2820" s="116"/>
      <c r="R2820" s="116" t="s">
        <v>39</v>
      </c>
      <c r="S2820" s="116" t="s">
        <v>39</v>
      </c>
      <c r="T2820" s="104"/>
      <c r="U2820" s="116"/>
      <c r="V2820" s="104"/>
      <c r="W2820" s="116"/>
    </row>
    <row r="2821">
      <c r="A2821" s="114" t="s">
        <v>39</v>
      </c>
      <c r="B2821" s="115"/>
      <c r="C2821" s="116"/>
      <c r="D2821" s="116"/>
      <c r="E2821" s="116" t="str">
        <f>IFERROR(__xludf.DUMMYFUNCTION("""COMPUTED_VALUE"""),"")</f>
        <v/>
      </c>
      <c r="F2821" s="117" t="s">
        <v>39</v>
      </c>
      <c r="G2821" s="116"/>
      <c r="H2821" s="117"/>
      <c r="I2821" s="117"/>
      <c r="J2821" s="117"/>
      <c r="K2821" s="117"/>
      <c r="L2821" s="116"/>
      <c r="M2821" s="117"/>
      <c r="N2821" s="118" t="str">
        <f>IFERROR(__xludf.DUMMYFUNCTION("""COMPUTED_VALUE"""),"")</f>
        <v/>
      </c>
      <c r="O2821" s="116"/>
      <c r="P2821" s="116"/>
      <c r="Q2821" s="116"/>
      <c r="R2821" s="116" t="s">
        <v>39</v>
      </c>
      <c r="S2821" s="116" t="s">
        <v>39</v>
      </c>
      <c r="T2821" s="104"/>
      <c r="U2821" s="116"/>
      <c r="V2821" s="104"/>
      <c r="W2821" s="116"/>
    </row>
    <row r="2822">
      <c r="A2822" s="114" t="s">
        <v>39</v>
      </c>
      <c r="B2822" s="115"/>
      <c r="C2822" s="116"/>
      <c r="D2822" s="116"/>
      <c r="E2822" s="116" t="str">
        <f>IFERROR(__xludf.DUMMYFUNCTION("""COMPUTED_VALUE"""),"")</f>
        <v/>
      </c>
      <c r="F2822" s="117" t="s">
        <v>39</v>
      </c>
      <c r="G2822" s="116"/>
      <c r="H2822" s="117"/>
      <c r="I2822" s="117"/>
      <c r="J2822" s="117"/>
      <c r="K2822" s="117"/>
      <c r="L2822" s="116"/>
      <c r="M2822" s="117"/>
      <c r="N2822" s="118" t="str">
        <f>IFERROR(__xludf.DUMMYFUNCTION("""COMPUTED_VALUE"""),"")</f>
        <v/>
      </c>
      <c r="O2822" s="116"/>
      <c r="P2822" s="116"/>
      <c r="Q2822" s="116"/>
      <c r="R2822" s="116" t="s">
        <v>39</v>
      </c>
      <c r="S2822" s="116" t="s">
        <v>39</v>
      </c>
      <c r="T2822" s="104"/>
      <c r="U2822" s="116"/>
      <c r="V2822" s="104"/>
      <c r="W2822" s="116"/>
    </row>
    <row r="2823">
      <c r="A2823" s="114" t="s">
        <v>39</v>
      </c>
      <c r="B2823" s="115"/>
      <c r="C2823" s="116"/>
      <c r="D2823" s="116"/>
      <c r="E2823" s="116" t="str">
        <f>IFERROR(__xludf.DUMMYFUNCTION("""COMPUTED_VALUE"""),"")</f>
        <v/>
      </c>
      <c r="F2823" s="117" t="s">
        <v>39</v>
      </c>
      <c r="G2823" s="116"/>
      <c r="H2823" s="117"/>
      <c r="I2823" s="117"/>
      <c r="J2823" s="117"/>
      <c r="K2823" s="117"/>
      <c r="L2823" s="116"/>
      <c r="M2823" s="117"/>
      <c r="N2823" s="118" t="str">
        <f>IFERROR(__xludf.DUMMYFUNCTION("""COMPUTED_VALUE"""),"")</f>
        <v/>
      </c>
      <c r="O2823" s="116"/>
      <c r="P2823" s="116"/>
      <c r="Q2823" s="116"/>
      <c r="R2823" s="116" t="s">
        <v>39</v>
      </c>
      <c r="S2823" s="116" t="s">
        <v>39</v>
      </c>
      <c r="T2823" s="104"/>
      <c r="U2823" s="116"/>
      <c r="V2823" s="104"/>
      <c r="W2823" s="116"/>
    </row>
    <row r="2824">
      <c r="A2824" s="114" t="s">
        <v>39</v>
      </c>
      <c r="B2824" s="115"/>
      <c r="C2824" s="116"/>
      <c r="D2824" s="116"/>
      <c r="E2824" s="116" t="str">
        <f>IFERROR(__xludf.DUMMYFUNCTION("""COMPUTED_VALUE"""),"")</f>
        <v/>
      </c>
      <c r="F2824" s="117" t="s">
        <v>39</v>
      </c>
      <c r="G2824" s="116"/>
      <c r="H2824" s="117"/>
      <c r="I2824" s="117"/>
      <c r="J2824" s="117"/>
      <c r="K2824" s="117"/>
      <c r="L2824" s="116"/>
      <c r="M2824" s="117"/>
      <c r="N2824" s="118" t="str">
        <f>IFERROR(__xludf.DUMMYFUNCTION("""COMPUTED_VALUE"""),"")</f>
        <v/>
      </c>
      <c r="O2824" s="116"/>
      <c r="P2824" s="116"/>
      <c r="Q2824" s="116"/>
      <c r="R2824" s="116" t="s">
        <v>39</v>
      </c>
      <c r="S2824" s="116" t="s">
        <v>39</v>
      </c>
      <c r="T2824" s="104"/>
      <c r="U2824" s="116"/>
      <c r="V2824" s="104"/>
      <c r="W2824" s="116"/>
    </row>
    <row r="2825">
      <c r="A2825" s="114" t="s">
        <v>39</v>
      </c>
      <c r="B2825" s="115"/>
      <c r="C2825" s="116"/>
      <c r="D2825" s="116"/>
      <c r="E2825" s="116" t="str">
        <f>IFERROR(__xludf.DUMMYFUNCTION("""COMPUTED_VALUE"""),"")</f>
        <v/>
      </c>
      <c r="F2825" s="117" t="s">
        <v>39</v>
      </c>
      <c r="G2825" s="116"/>
      <c r="H2825" s="117"/>
      <c r="I2825" s="117"/>
      <c r="J2825" s="117"/>
      <c r="K2825" s="117"/>
      <c r="L2825" s="116"/>
      <c r="M2825" s="117"/>
      <c r="N2825" s="118" t="str">
        <f>IFERROR(__xludf.DUMMYFUNCTION("""COMPUTED_VALUE"""),"")</f>
        <v/>
      </c>
      <c r="O2825" s="116"/>
      <c r="P2825" s="116"/>
      <c r="Q2825" s="116"/>
      <c r="R2825" s="116" t="s">
        <v>39</v>
      </c>
      <c r="S2825" s="116" t="s">
        <v>39</v>
      </c>
      <c r="T2825" s="104"/>
      <c r="U2825" s="116"/>
      <c r="V2825" s="104"/>
      <c r="W2825" s="116"/>
    </row>
    <row r="2826">
      <c r="A2826" s="114" t="s">
        <v>39</v>
      </c>
      <c r="B2826" s="115"/>
      <c r="C2826" s="116"/>
      <c r="D2826" s="116"/>
      <c r="E2826" s="116" t="str">
        <f>IFERROR(__xludf.DUMMYFUNCTION("""COMPUTED_VALUE"""),"")</f>
        <v/>
      </c>
      <c r="F2826" s="117" t="s">
        <v>39</v>
      </c>
      <c r="G2826" s="116"/>
      <c r="H2826" s="117"/>
      <c r="I2826" s="117"/>
      <c r="J2826" s="117"/>
      <c r="K2826" s="117"/>
      <c r="L2826" s="116"/>
      <c r="M2826" s="117"/>
      <c r="N2826" s="118" t="str">
        <f>IFERROR(__xludf.DUMMYFUNCTION("""COMPUTED_VALUE"""),"")</f>
        <v/>
      </c>
      <c r="O2826" s="116"/>
      <c r="P2826" s="116"/>
      <c r="Q2826" s="116"/>
      <c r="R2826" s="116" t="s">
        <v>39</v>
      </c>
      <c r="S2826" s="116" t="s">
        <v>39</v>
      </c>
      <c r="T2826" s="104"/>
      <c r="U2826" s="116"/>
      <c r="V2826" s="104"/>
      <c r="W2826" s="116"/>
    </row>
    <row r="2827">
      <c r="A2827" s="114" t="s">
        <v>39</v>
      </c>
      <c r="B2827" s="115"/>
      <c r="C2827" s="116"/>
      <c r="D2827" s="116"/>
      <c r="E2827" s="116" t="str">
        <f>IFERROR(__xludf.DUMMYFUNCTION("""COMPUTED_VALUE"""),"")</f>
        <v/>
      </c>
      <c r="F2827" s="117" t="s">
        <v>39</v>
      </c>
      <c r="G2827" s="116"/>
      <c r="H2827" s="117"/>
      <c r="I2827" s="117"/>
      <c r="J2827" s="117"/>
      <c r="K2827" s="117"/>
      <c r="L2827" s="116"/>
      <c r="M2827" s="117"/>
      <c r="N2827" s="118" t="str">
        <f>IFERROR(__xludf.DUMMYFUNCTION("""COMPUTED_VALUE"""),"")</f>
        <v/>
      </c>
      <c r="O2827" s="116"/>
      <c r="P2827" s="116"/>
      <c r="Q2827" s="116"/>
      <c r="R2827" s="116" t="s">
        <v>39</v>
      </c>
      <c r="S2827" s="116" t="s">
        <v>39</v>
      </c>
      <c r="T2827" s="104"/>
      <c r="U2827" s="116"/>
      <c r="V2827" s="104"/>
      <c r="W2827" s="116"/>
    </row>
    <row r="2828">
      <c r="A2828" s="114" t="s">
        <v>39</v>
      </c>
      <c r="B2828" s="115"/>
      <c r="C2828" s="116"/>
      <c r="D2828" s="116"/>
      <c r="E2828" s="116" t="str">
        <f>IFERROR(__xludf.DUMMYFUNCTION("""COMPUTED_VALUE"""),"")</f>
        <v/>
      </c>
      <c r="F2828" s="117" t="s">
        <v>39</v>
      </c>
      <c r="G2828" s="116"/>
      <c r="H2828" s="117"/>
      <c r="I2828" s="117"/>
      <c r="J2828" s="117"/>
      <c r="K2828" s="117"/>
      <c r="L2828" s="116"/>
      <c r="M2828" s="117"/>
      <c r="N2828" s="118" t="str">
        <f>IFERROR(__xludf.DUMMYFUNCTION("""COMPUTED_VALUE"""),"")</f>
        <v/>
      </c>
      <c r="O2828" s="116"/>
      <c r="P2828" s="116"/>
      <c r="Q2828" s="116"/>
      <c r="R2828" s="116" t="s">
        <v>39</v>
      </c>
      <c r="S2828" s="116" t="s">
        <v>39</v>
      </c>
      <c r="T2828" s="104"/>
      <c r="U2828" s="116"/>
      <c r="V2828" s="104"/>
      <c r="W2828" s="116"/>
    </row>
    <row r="2829">
      <c r="A2829" s="114" t="s">
        <v>39</v>
      </c>
      <c r="B2829" s="115"/>
      <c r="C2829" s="116"/>
      <c r="D2829" s="116"/>
      <c r="E2829" s="116" t="str">
        <f>IFERROR(__xludf.DUMMYFUNCTION("""COMPUTED_VALUE"""),"")</f>
        <v/>
      </c>
      <c r="F2829" s="117" t="s">
        <v>39</v>
      </c>
      <c r="G2829" s="116"/>
      <c r="H2829" s="117"/>
      <c r="I2829" s="117"/>
      <c r="J2829" s="117"/>
      <c r="K2829" s="117"/>
      <c r="L2829" s="116"/>
      <c r="M2829" s="117"/>
      <c r="N2829" s="118" t="str">
        <f>IFERROR(__xludf.DUMMYFUNCTION("""COMPUTED_VALUE"""),"")</f>
        <v/>
      </c>
      <c r="O2829" s="116"/>
      <c r="P2829" s="116"/>
      <c r="Q2829" s="116"/>
      <c r="R2829" s="116" t="s">
        <v>39</v>
      </c>
      <c r="S2829" s="116" t="s">
        <v>39</v>
      </c>
      <c r="T2829" s="104"/>
      <c r="U2829" s="116"/>
      <c r="V2829" s="104"/>
      <c r="W2829" s="116"/>
    </row>
    <row r="2830">
      <c r="A2830" s="114" t="s">
        <v>39</v>
      </c>
      <c r="B2830" s="115"/>
      <c r="C2830" s="116"/>
      <c r="D2830" s="116"/>
      <c r="E2830" s="116" t="str">
        <f>IFERROR(__xludf.DUMMYFUNCTION("""COMPUTED_VALUE"""),"")</f>
        <v/>
      </c>
      <c r="F2830" s="117" t="s">
        <v>39</v>
      </c>
      <c r="G2830" s="116"/>
      <c r="H2830" s="117"/>
      <c r="I2830" s="117"/>
      <c r="J2830" s="117"/>
      <c r="K2830" s="117"/>
      <c r="L2830" s="116"/>
      <c r="M2830" s="117"/>
      <c r="N2830" s="118" t="str">
        <f>IFERROR(__xludf.DUMMYFUNCTION("""COMPUTED_VALUE"""),"")</f>
        <v/>
      </c>
      <c r="O2830" s="116"/>
      <c r="P2830" s="116"/>
      <c r="Q2830" s="116"/>
      <c r="R2830" s="116" t="s">
        <v>39</v>
      </c>
      <c r="S2830" s="116" t="s">
        <v>39</v>
      </c>
      <c r="T2830" s="104"/>
      <c r="U2830" s="116"/>
      <c r="V2830" s="104"/>
      <c r="W2830" s="116"/>
    </row>
    <row r="2831">
      <c r="A2831" s="114" t="s">
        <v>39</v>
      </c>
      <c r="B2831" s="115"/>
      <c r="C2831" s="116"/>
      <c r="D2831" s="116"/>
      <c r="E2831" s="116" t="str">
        <f>IFERROR(__xludf.DUMMYFUNCTION("""COMPUTED_VALUE"""),"")</f>
        <v/>
      </c>
      <c r="F2831" s="117" t="s">
        <v>39</v>
      </c>
      <c r="G2831" s="116"/>
      <c r="H2831" s="117"/>
      <c r="I2831" s="117"/>
      <c r="J2831" s="117"/>
      <c r="K2831" s="117"/>
      <c r="L2831" s="116"/>
      <c r="M2831" s="117"/>
      <c r="N2831" s="118" t="str">
        <f>IFERROR(__xludf.DUMMYFUNCTION("""COMPUTED_VALUE"""),"")</f>
        <v/>
      </c>
      <c r="O2831" s="116"/>
      <c r="P2831" s="116"/>
      <c r="Q2831" s="116"/>
      <c r="R2831" s="116" t="s">
        <v>39</v>
      </c>
      <c r="S2831" s="116" t="s">
        <v>39</v>
      </c>
      <c r="T2831" s="104"/>
      <c r="U2831" s="116"/>
      <c r="V2831" s="104"/>
      <c r="W2831" s="116"/>
    </row>
    <row r="2832">
      <c r="A2832" s="114" t="s">
        <v>39</v>
      </c>
      <c r="B2832" s="115"/>
      <c r="C2832" s="116"/>
      <c r="D2832" s="116"/>
      <c r="E2832" s="116" t="str">
        <f>IFERROR(__xludf.DUMMYFUNCTION("""COMPUTED_VALUE"""),"")</f>
        <v/>
      </c>
      <c r="F2832" s="117" t="s">
        <v>39</v>
      </c>
      <c r="G2832" s="116"/>
      <c r="H2832" s="117"/>
      <c r="I2832" s="117"/>
      <c r="J2832" s="117"/>
      <c r="K2832" s="117"/>
      <c r="L2832" s="116"/>
      <c r="M2832" s="117"/>
      <c r="N2832" s="118" t="str">
        <f>IFERROR(__xludf.DUMMYFUNCTION("""COMPUTED_VALUE"""),"")</f>
        <v/>
      </c>
      <c r="O2832" s="116"/>
      <c r="P2832" s="116"/>
      <c r="Q2832" s="116"/>
      <c r="R2832" s="116" t="s">
        <v>39</v>
      </c>
      <c r="S2832" s="116" t="s">
        <v>39</v>
      </c>
      <c r="T2832" s="104"/>
      <c r="U2832" s="116"/>
      <c r="V2832" s="104"/>
      <c r="W2832" s="116"/>
    </row>
    <row r="2833">
      <c r="A2833" s="114" t="s">
        <v>39</v>
      </c>
      <c r="B2833" s="115"/>
      <c r="C2833" s="116"/>
      <c r="D2833" s="116"/>
      <c r="E2833" s="116" t="str">
        <f>IFERROR(__xludf.DUMMYFUNCTION("""COMPUTED_VALUE"""),"")</f>
        <v/>
      </c>
      <c r="F2833" s="117" t="s">
        <v>39</v>
      </c>
      <c r="G2833" s="116"/>
      <c r="H2833" s="117"/>
      <c r="I2833" s="117"/>
      <c r="J2833" s="117"/>
      <c r="K2833" s="117"/>
      <c r="L2833" s="116"/>
      <c r="M2833" s="117"/>
      <c r="N2833" s="118" t="str">
        <f>IFERROR(__xludf.DUMMYFUNCTION("""COMPUTED_VALUE"""),"")</f>
        <v/>
      </c>
      <c r="O2833" s="116"/>
      <c r="P2833" s="116"/>
      <c r="Q2833" s="116"/>
      <c r="R2833" s="116" t="s">
        <v>39</v>
      </c>
      <c r="S2833" s="116" t="s">
        <v>39</v>
      </c>
      <c r="T2833" s="104"/>
      <c r="U2833" s="116"/>
      <c r="V2833" s="104"/>
      <c r="W2833" s="116"/>
    </row>
    <row r="2834">
      <c r="A2834" s="114" t="s">
        <v>39</v>
      </c>
      <c r="B2834" s="115"/>
      <c r="C2834" s="116"/>
      <c r="D2834" s="116"/>
      <c r="E2834" s="116" t="str">
        <f>IFERROR(__xludf.DUMMYFUNCTION("""COMPUTED_VALUE"""),"")</f>
        <v/>
      </c>
      <c r="F2834" s="117" t="s">
        <v>39</v>
      </c>
      <c r="G2834" s="116"/>
      <c r="H2834" s="117"/>
      <c r="I2834" s="117"/>
      <c r="J2834" s="117"/>
      <c r="K2834" s="117"/>
      <c r="L2834" s="116"/>
      <c r="M2834" s="117"/>
      <c r="N2834" s="118" t="str">
        <f>IFERROR(__xludf.DUMMYFUNCTION("""COMPUTED_VALUE"""),"")</f>
        <v/>
      </c>
      <c r="O2834" s="116"/>
      <c r="P2834" s="116"/>
      <c r="Q2834" s="116"/>
      <c r="R2834" s="116" t="s">
        <v>39</v>
      </c>
      <c r="S2834" s="116" t="s">
        <v>39</v>
      </c>
      <c r="T2834" s="104"/>
      <c r="U2834" s="116"/>
      <c r="V2834" s="104"/>
      <c r="W2834" s="116"/>
    </row>
    <row r="2835">
      <c r="A2835" s="114" t="s">
        <v>39</v>
      </c>
      <c r="B2835" s="115"/>
      <c r="C2835" s="116"/>
      <c r="D2835" s="116"/>
      <c r="E2835" s="116" t="str">
        <f>IFERROR(__xludf.DUMMYFUNCTION("""COMPUTED_VALUE"""),"")</f>
        <v/>
      </c>
      <c r="F2835" s="117" t="s">
        <v>39</v>
      </c>
      <c r="G2835" s="116"/>
      <c r="H2835" s="117"/>
      <c r="I2835" s="117"/>
      <c r="J2835" s="117"/>
      <c r="K2835" s="117"/>
      <c r="L2835" s="116"/>
      <c r="M2835" s="117"/>
      <c r="N2835" s="118" t="str">
        <f>IFERROR(__xludf.DUMMYFUNCTION("""COMPUTED_VALUE"""),"")</f>
        <v/>
      </c>
      <c r="O2835" s="116"/>
      <c r="P2835" s="116"/>
      <c r="Q2835" s="116"/>
      <c r="R2835" s="116" t="s">
        <v>39</v>
      </c>
      <c r="S2835" s="116" t="s">
        <v>39</v>
      </c>
      <c r="T2835" s="104"/>
      <c r="U2835" s="116"/>
      <c r="V2835" s="104"/>
      <c r="W2835" s="116"/>
    </row>
    <row r="2836">
      <c r="A2836" s="114" t="s">
        <v>39</v>
      </c>
      <c r="B2836" s="115"/>
      <c r="C2836" s="116"/>
      <c r="D2836" s="116"/>
      <c r="E2836" s="116" t="str">
        <f>IFERROR(__xludf.DUMMYFUNCTION("""COMPUTED_VALUE"""),"")</f>
        <v/>
      </c>
      <c r="F2836" s="117" t="s">
        <v>39</v>
      </c>
      <c r="G2836" s="116"/>
      <c r="H2836" s="117"/>
      <c r="I2836" s="117"/>
      <c r="J2836" s="117"/>
      <c r="K2836" s="117"/>
      <c r="L2836" s="116"/>
      <c r="M2836" s="117"/>
      <c r="N2836" s="118" t="str">
        <f>IFERROR(__xludf.DUMMYFUNCTION("""COMPUTED_VALUE"""),"")</f>
        <v/>
      </c>
      <c r="O2836" s="116"/>
      <c r="P2836" s="116"/>
      <c r="Q2836" s="116"/>
      <c r="R2836" s="116" t="s">
        <v>39</v>
      </c>
      <c r="S2836" s="116" t="s">
        <v>39</v>
      </c>
      <c r="T2836" s="104"/>
      <c r="U2836" s="116"/>
      <c r="V2836" s="104"/>
      <c r="W2836" s="116"/>
    </row>
    <row r="2837">
      <c r="A2837" s="114" t="s">
        <v>39</v>
      </c>
      <c r="B2837" s="115"/>
      <c r="C2837" s="116"/>
      <c r="D2837" s="116"/>
      <c r="E2837" s="116" t="str">
        <f>IFERROR(__xludf.DUMMYFUNCTION("""COMPUTED_VALUE"""),"")</f>
        <v/>
      </c>
      <c r="F2837" s="117" t="s">
        <v>39</v>
      </c>
      <c r="G2837" s="116"/>
      <c r="H2837" s="117"/>
      <c r="I2837" s="117"/>
      <c r="J2837" s="117"/>
      <c r="K2837" s="117"/>
      <c r="L2837" s="116"/>
      <c r="M2837" s="117"/>
      <c r="N2837" s="118" t="str">
        <f>IFERROR(__xludf.DUMMYFUNCTION("""COMPUTED_VALUE"""),"")</f>
        <v/>
      </c>
      <c r="O2837" s="116"/>
      <c r="P2837" s="116"/>
      <c r="Q2837" s="116"/>
      <c r="R2837" s="116" t="s">
        <v>39</v>
      </c>
      <c r="S2837" s="116" t="s">
        <v>39</v>
      </c>
      <c r="T2837" s="104"/>
      <c r="U2837" s="116"/>
      <c r="V2837" s="104"/>
      <c r="W2837" s="116"/>
    </row>
    <row r="2838">
      <c r="A2838" s="114" t="s">
        <v>39</v>
      </c>
      <c r="B2838" s="115"/>
      <c r="C2838" s="116"/>
      <c r="D2838" s="116"/>
      <c r="E2838" s="116" t="str">
        <f>IFERROR(__xludf.DUMMYFUNCTION("""COMPUTED_VALUE"""),"")</f>
        <v/>
      </c>
      <c r="F2838" s="117" t="s">
        <v>39</v>
      </c>
      <c r="G2838" s="116"/>
      <c r="H2838" s="117"/>
      <c r="I2838" s="117"/>
      <c r="J2838" s="117"/>
      <c r="K2838" s="117"/>
      <c r="L2838" s="116"/>
      <c r="M2838" s="117"/>
      <c r="N2838" s="118" t="str">
        <f>IFERROR(__xludf.DUMMYFUNCTION("""COMPUTED_VALUE"""),"")</f>
        <v/>
      </c>
      <c r="O2838" s="116"/>
      <c r="P2838" s="116"/>
      <c r="Q2838" s="116"/>
      <c r="R2838" s="116" t="s">
        <v>39</v>
      </c>
      <c r="S2838" s="116" t="s">
        <v>39</v>
      </c>
      <c r="T2838" s="104"/>
      <c r="U2838" s="116"/>
      <c r="V2838" s="104"/>
      <c r="W2838" s="116"/>
    </row>
    <row r="2839">
      <c r="A2839" s="114" t="s">
        <v>39</v>
      </c>
      <c r="B2839" s="115"/>
      <c r="C2839" s="116"/>
      <c r="D2839" s="116"/>
      <c r="E2839" s="116" t="str">
        <f>IFERROR(__xludf.DUMMYFUNCTION("""COMPUTED_VALUE"""),"")</f>
        <v/>
      </c>
      <c r="F2839" s="117" t="s">
        <v>39</v>
      </c>
      <c r="G2839" s="116"/>
      <c r="H2839" s="117"/>
      <c r="I2839" s="117"/>
      <c r="J2839" s="117"/>
      <c r="K2839" s="117"/>
      <c r="L2839" s="116"/>
      <c r="M2839" s="117"/>
      <c r="N2839" s="118" t="str">
        <f>IFERROR(__xludf.DUMMYFUNCTION("""COMPUTED_VALUE"""),"")</f>
        <v/>
      </c>
      <c r="O2839" s="116"/>
      <c r="P2839" s="116"/>
      <c r="Q2839" s="116"/>
      <c r="R2839" s="116" t="s">
        <v>39</v>
      </c>
      <c r="S2839" s="116" t="s">
        <v>39</v>
      </c>
      <c r="T2839" s="104"/>
      <c r="U2839" s="116"/>
      <c r="V2839" s="104"/>
      <c r="W2839" s="116"/>
    </row>
    <row r="2840">
      <c r="A2840" s="114" t="s">
        <v>39</v>
      </c>
      <c r="B2840" s="115"/>
      <c r="C2840" s="116"/>
      <c r="D2840" s="116"/>
      <c r="E2840" s="116" t="str">
        <f>IFERROR(__xludf.DUMMYFUNCTION("""COMPUTED_VALUE"""),"")</f>
        <v/>
      </c>
      <c r="F2840" s="117" t="s">
        <v>39</v>
      </c>
      <c r="G2840" s="116"/>
      <c r="H2840" s="117"/>
      <c r="I2840" s="117"/>
      <c r="J2840" s="117"/>
      <c r="K2840" s="117"/>
      <c r="L2840" s="116"/>
      <c r="M2840" s="117"/>
      <c r="N2840" s="118" t="str">
        <f>IFERROR(__xludf.DUMMYFUNCTION("""COMPUTED_VALUE"""),"")</f>
        <v/>
      </c>
      <c r="O2840" s="116"/>
      <c r="P2840" s="116"/>
      <c r="Q2840" s="116"/>
      <c r="R2840" s="116" t="s">
        <v>39</v>
      </c>
      <c r="S2840" s="116" t="s">
        <v>39</v>
      </c>
      <c r="T2840" s="104"/>
      <c r="U2840" s="116"/>
      <c r="V2840" s="104"/>
      <c r="W2840" s="116"/>
    </row>
    <row r="2841">
      <c r="A2841" s="114" t="s">
        <v>39</v>
      </c>
      <c r="B2841" s="115"/>
      <c r="C2841" s="116"/>
      <c r="D2841" s="116"/>
      <c r="E2841" s="116" t="str">
        <f>IFERROR(__xludf.DUMMYFUNCTION("""COMPUTED_VALUE"""),"")</f>
        <v/>
      </c>
      <c r="F2841" s="117" t="s">
        <v>39</v>
      </c>
      <c r="G2841" s="116"/>
      <c r="H2841" s="117"/>
      <c r="I2841" s="117"/>
      <c r="J2841" s="117"/>
      <c r="K2841" s="117"/>
      <c r="L2841" s="116"/>
      <c r="M2841" s="117"/>
      <c r="N2841" s="118" t="str">
        <f>IFERROR(__xludf.DUMMYFUNCTION("""COMPUTED_VALUE"""),"")</f>
        <v/>
      </c>
      <c r="O2841" s="116"/>
      <c r="P2841" s="116"/>
      <c r="Q2841" s="116"/>
      <c r="R2841" s="116" t="s">
        <v>39</v>
      </c>
      <c r="S2841" s="116" t="s">
        <v>39</v>
      </c>
      <c r="T2841" s="104"/>
      <c r="U2841" s="116"/>
      <c r="V2841" s="104"/>
      <c r="W2841" s="116"/>
    </row>
    <row r="2842">
      <c r="A2842" s="114" t="s">
        <v>39</v>
      </c>
      <c r="B2842" s="115"/>
      <c r="C2842" s="116"/>
      <c r="D2842" s="116"/>
      <c r="E2842" s="116" t="str">
        <f>IFERROR(__xludf.DUMMYFUNCTION("""COMPUTED_VALUE"""),"")</f>
        <v/>
      </c>
      <c r="F2842" s="117" t="s">
        <v>39</v>
      </c>
      <c r="G2842" s="116"/>
      <c r="H2842" s="117"/>
      <c r="I2842" s="117"/>
      <c r="J2842" s="117"/>
      <c r="K2842" s="117"/>
      <c r="L2842" s="116"/>
      <c r="M2842" s="117"/>
      <c r="N2842" s="118" t="str">
        <f>IFERROR(__xludf.DUMMYFUNCTION("""COMPUTED_VALUE"""),"")</f>
        <v/>
      </c>
      <c r="O2842" s="116"/>
      <c r="P2842" s="116"/>
      <c r="Q2842" s="116"/>
      <c r="R2842" s="116" t="s">
        <v>39</v>
      </c>
      <c r="S2842" s="116" t="s">
        <v>39</v>
      </c>
      <c r="T2842" s="104"/>
      <c r="U2842" s="116"/>
      <c r="V2842" s="104"/>
      <c r="W2842" s="116"/>
    </row>
    <row r="2843">
      <c r="A2843" s="114" t="s">
        <v>39</v>
      </c>
      <c r="B2843" s="115"/>
      <c r="C2843" s="116"/>
      <c r="D2843" s="116"/>
      <c r="E2843" s="116" t="str">
        <f>IFERROR(__xludf.DUMMYFUNCTION("""COMPUTED_VALUE"""),"")</f>
        <v/>
      </c>
      <c r="F2843" s="117" t="s">
        <v>39</v>
      </c>
      <c r="G2843" s="116"/>
      <c r="H2843" s="117"/>
      <c r="I2843" s="117"/>
      <c r="J2843" s="117"/>
      <c r="K2843" s="117"/>
      <c r="L2843" s="116"/>
      <c r="M2843" s="117"/>
      <c r="N2843" s="118" t="str">
        <f>IFERROR(__xludf.DUMMYFUNCTION("""COMPUTED_VALUE"""),"")</f>
        <v/>
      </c>
      <c r="O2843" s="116"/>
      <c r="P2843" s="116"/>
      <c r="Q2843" s="116"/>
      <c r="R2843" s="116" t="s">
        <v>39</v>
      </c>
      <c r="S2843" s="116" t="s">
        <v>39</v>
      </c>
      <c r="T2843" s="104"/>
      <c r="U2843" s="116"/>
      <c r="V2843" s="104"/>
      <c r="W2843" s="116"/>
    </row>
    <row r="2844">
      <c r="A2844" s="114" t="s">
        <v>39</v>
      </c>
      <c r="B2844" s="115"/>
      <c r="C2844" s="116"/>
      <c r="D2844" s="116"/>
      <c r="E2844" s="116" t="str">
        <f>IFERROR(__xludf.DUMMYFUNCTION("""COMPUTED_VALUE"""),"")</f>
        <v/>
      </c>
      <c r="F2844" s="117" t="s">
        <v>39</v>
      </c>
      <c r="G2844" s="116"/>
      <c r="H2844" s="117"/>
      <c r="I2844" s="117"/>
      <c r="J2844" s="117"/>
      <c r="K2844" s="117"/>
      <c r="L2844" s="116"/>
      <c r="M2844" s="117"/>
      <c r="N2844" s="118" t="str">
        <f>IFERROR(__xludf.DUMMYFUNCTION("""COMPUTED_VALUE"""),"")</f>
        <v/>
      </c>
      <c r="O2844" s="116"/>
      <c r="P2844" s="116"/>
      <c r="Q2844" s="116"/>
      <c r="R2844" s="116" t="s">
        <v>39</v>
      </c>
      <c r="S2844" s="116" t="s">
        <v>39</v>
      </c>
      <c r="T2844" s="104"/>
      <c r="U2844" s="116"/>
      <c r="V2844" s="104"/>
      <c r="W2844" s="116"/>
    </row>
    <row r="2845">
      <c r="A2845" s="114" t="s">
        <v>39</v>
      </c>
      <c r="B2845" s="115"/>
      <c r="C2845" s="116"/>
      <c r="D2845" s="116"/>
      <c r="E2845" s="116" t="str">
        <f>IFERROR(__xludf.DUMMYFUNCTION("""COMPUTED_VALUE"""),"")</f>
        <v/>
      </c>
      <c r="F2845" s="117" t="s">
        <v>39</v>
      </c>
      <c r="G2845" s="116"/>
      <c r="H2845" s="117"/>
      <c r="I2845" s="117"/>
      <c r="J2845" s="117"/>
      <c r="K2845" s="117"/>
      <c r="L2845" s="116"/>
      <c r="M2845" s="117"/>
      <c r="N2845" s="118" t="str">
        <f>IFERROR(__xludf.DUMMYFUNCTION("""COMPUTED_VALUE"""),"")</f>
        <v/>
      </c>
      <c r="O2845" s="116"/>
      <c r="P2845" s="116"/>
      <c r="Q2845" s="116"/>
      <c r="R2845" s="116" t="s">
        <v>39</v>
      </c>
      <c r="S2845" s="116" t="s">
        <v>39</v>
      </c>
      <c r="T2845" s="104"/>
      <c r="U2845" s="116"/>
      <c r="V2845" s="104"/>
      <c r="W2845" s="116"/>
    </row>
    <row r="2846">
      <c r="A2846" s="114" t="s">
        <v>39</v>
      </c>
      <c r="B2846" s="115"/>
      <c r="C2846" s="116"/>
      <c r="D2846" s="116"/>
      <c r="E2846" s="116" t="str">
        <f>IFERROR(__xludf.DUMMYFUNCTION("""COMPUTED_VALUE"""),"")</f>
        <v/>
      </c>
      <c r="F2846" s="117" t="s">
        <v>39</v>
      </c>
      <c r="G2846" s="116"/>
      <c r="H2846" s="117"/>
      <c r="I2846" s="117"/>
      <c r="J2846" s="117"/>
      <c r="K2846" s="117"/>
      <c r="L2846" s="116"/>
      <c r="M2846" s="117"/>
      <c r="N2846" s="118" t="str">
        <f>IFERROR(__xludf.DUMMYFUNCTION("""COMPUTED_VALUE"""),"")</f>
        <v/>
      </c>
      <c r="O2846" s="116"/>
      <c r="P2846" s="116"/>
      <c r="Q2846" s="116"/>
      <c r="R2846" s="116" t="s">
        <v>39</v>
      </c>
      <c r="S2846" s="116" t="s">
        <v>39</v>
      </c>
      <c r="T2846" s="104"/>
      <c r="U2846" s="116"/>
      <c r="V2846" s="104"/>
      <c r="W2846" s="116"/>
    </row>
    <row r="2847">
      <c r="A2847" s="114" t="s">
        <v>39</v>
      </c>
      <c r="B2847" s="115"/>
      <c r="C2847" s="116"/>
      <c r="D2847" s="116"/>
      <c r="E2847" s="116" t="str">
        <f>IFERROR(__xludf.DUMMYFUNCTION("""COMPUTED_VALUE"""),"")</f>
        <v/>
      </c>
      <c r="F2847" s="117" t="s">
        <v>39</v>
      </c>
      <c r="G2847" s="116"/>
      <c r="H2847" s="117"/>
      <c r="I2847" s="117"/>
      <c r="J2847" s="117"/>
      <c r="K2847" s="117"/>
      <c r="L2847" s="116"/>
      <c r="M2847" s="117"/>
      <c r="N2847" s="118" t="str">
        <f>IFERROR(__xludf.DUMMYFUNCTION("""COMPUTED_VALUE"""),"")</f>
        <v/>
      </c>
      <c r="O2847" s="116"/>
      <c r="P2847" s="116"/>
      <c r="Q2847" s="116"/>
      <c r="R2847" s="116" t="s">
        <v>39</v>
      </c>
      <c r="S2847" s="116" t="s">
        <v>39</v>
      </c>
      <c r="T2847" s="104"/>
      <c r="U2847" s="116"/>
      <c r="V2847" s="104"/>
      <c r="W2847" s="116"/>
    </row>
    <row r="2848">
      <c r="A2848" s="114" t="s">
        <v>39</v>
      </c>
      <c r="B2848" s="115"/>
      <c r="C2848" s="116"/>
      <c r="D2848" s="116"/>
      <c r="E2848" s="116" t="str">
        <f>IFERROR(__xludf.DUMMYFUNCTION("""COMPUTED_VALUE"""),"")</f>
        <v/>
      </c>
      <c r="F2848" s="117" t="s">
        <v>39</v>
      </c>
      <c r="G2848" s="116"/>
      <c r="H2848" s="117"/>
      <c r="I2848" s="117"/>
      <c r="J2848" s="117"/>
      <c r="K2848" s="117"/>
      <c r="L2848" s="116"/>
      <c r="M2848" s="117"/>
      <c r="N2848" s="118" t="str">
        <f>IFERROR(__xludf.DUMMYFUNCTION("""COMPUTED_VALUE"""),"")</f>
        <v/>
      </c>
      <c r="O2848" s="116"/>
      <c r="P2848" s="116"/>
      <c r="Q2848" s="116"/>
      <c r="R2848" s="116" t="s">
        <v>39</v>
      </c>
      <c r="S2848" s="116" t="s">
        <v>39</v>
      </c>
      <c r="T2848" s="104"/>
      <c r="U2848" s="116"/>
      <c r="V2848" s="104"/>
      <c r="W2848" s="116"/>
    </row>
    <row r="2849">
      <c r="A2849" s="114" t="s">
        <v>39</v>
      </c>
      <c r="B2849" s="115"/>
      <c r="C2849" s="116"/>
      <c r="D2849" s="116"/>
      <c r="E2849" s="116" t="str">
        <f>IFERROR(__xludf.DUMMYFUNCTION("""COMPUTED_VALUE"""),"")</f>
        <v/>
      </c>
      <c r="F2849" s="117" t="s">
        <v>39</v>
      </c>
      <c r="G2849" s="116"/>
      <c r="H2849" s="117"/>
      <c r="I2849" s="117"/>
      <c r="J2849" s="117"/>
      <c r="K2849" s="117"/>
      <c r="L2849" s="116"/>
      <c r="M2849" s="117"/>
      <c r="N2849" s="118" t="str">
        <f>IFERROR(__xludf.DUMMYFUNCTION("""COMPUTED_VALUE"""),"")</f>
        <v/>
      </c>
      <c r="O2849" s="116"/>
      <c r="P2849" s="116"/>
      <c r="Q2849" s="116"/>
      <c r="R2849" s="116" t="s">
        <v>39</v>
      </c>
      <c r="S2849" s="116" t="s">
        <v>39</v>
      </c>
      <c r="T2849" s="104"/>
      <c r="U2849" s="116"/>
      <c r="V2849" s="104"/>
      <c r="W2849" s="116"/>
    </row>
    <row r="2850">
      <c r="A2850" s="114" t="s">
        <v>39</v>
      </c>
      <c r="B2850" s="115"/>
      <c r="C2850" s="116"/>
      <c r="D2850" s="116"/>
      <c r="E2850" s="116" t="str">
        <f>IFERROR(__xludf.DUMMYFUNCTION("""COMPUTED_VALUE"""),"")</f>
        <v/>
      </c>
      <c r="F2850" s="117" t="s">
        <v>39</v>
      </c>
      <c r="G2850" s="116"/>
      <c r="H2850" s="117"/>
      <c r="I2850" s="117"/>
      <c r="J2850" s="117"/>
      <c r="K2850" s="117"/>
      <c r="L2850" s="116"/>
      <c r="M2850" s="117"/>
      <c r="N2850" s="118" t="str">
        <f>IFERROR(__xludf.DUMMYFUNCTION("""COMPUTED_VALUE"""),"")</f>
        <v/>
      </c>
      <c r="O2850" s="116"/>
      <c r="P2850" s="116"/>
      <c r="Q2850" s="116"/>
      <c r="R2850" s="116" t="s">
        <v>39</v>
      </c>
      <c r="S2850" s="116" t="s">
        <v>39</v>
      </c>
      <c r="T2850" s="104"/>
      <c r="U2850" s="116"/>
      <c r="V2850" s="104"/>
      <c r="W2850" s="116"/>
    </row>
    <row r="2851">
      <c r="A2851" s="114" t="s">
        <v>39</v>
      </c>
      <c r="B2851" s="115"/>
      <c r="C2851" s="116"/>
      <c r="D2851" s="116"/>
      <c r="E2851" s="116" t="str">
        <f>IFERROR(__xludf.DUMMYFUNCTION("""COMPUTED_VALUE"""),"")</f>
        <v/>
      </c>
      <c r="F2851" s="117" t="s">
        <v>39</v>
      </c>
      <c r="G2851" s="116"/>
      <c r="H2851" s="117"/>
      <c r="I2851" s="117"/>
      <c r="J2851" s="117"/>
      <c r="K2851" s="117"/>
      <c r="L2851" s="116"/>
      <c r="M2851" s="117"/>
      <c r="N2851" s="118" t="str">
        <f>IFERROR(__xludf.DUMMYFUNCTION("""COMPUTED_VALUE"""),"")</f>
        <v/>
      </c>
      <c r="O2851" s="116"/>
      <c r="P2851" s="116"/>
      <c r="Q2851" s="116"/>
      <c r="R2851" s="116" t="s">
        <v>39</v>
      </c>
      <c r="S2851" s="116" t="s">
        <v>39</v>
      </c>
      <c r="T2851" s="104"/>
      <c r="U2851" s="116"/>
      <c r="V2851" s="104"/>
      <c r="W2851" s="116"/>
    </row>
    <row r="2852">
      <c r="A2852" s="114" t="s">
        <v>39</v>
      </c>
      <c r="B2852" s="115"/>
      <c r="C2852" s="116"/>
      <c r="D2852" s="116"/>
      <c r="E2852" s="116" t="str">
        <f>IFERROR(__xludf.DUMMYFUNCTION("""COMPUTED_VALUE"""),"")</f>
        <v/>
      </c>
      <c r="F2852" s="117" t="s">
        <v>39</v>
      </c>
      <c r="G2852" s="116"/>
      <c r="H2852" s="117"/>
      <c r="I2852" s="117"/>
      <c r="J2852" s="117"/>
      <c r="K2852" s="117"/>
      <c r="L2852" s="116"/>
      <c r="M2852" s="117"/>
      <c r="N2852" s="118" t="str">
        <f>IFERROR(__xludf.DUMMYFUNCTION("""COMPUTED_VALUE"""),"")</f>
        <v/>
      </c>
      <c r="O2852" s="116"/>
      <c r="P2852" s="116"/>
      <c r="Q2852" s="116"/>
      <c r="R2852" s="116" t="s">
        <v>39</v>
      </c>
      <c r="S2852" s="116" t="s">
        <v>39</v>
      </c>
      <c r="T2852" s="104"/>
      <c r="U2852" s="116"/>
      <c r="V2852" s="104"/>
      <c r="W2852" s="116"/>
    </row>
    <row r="2853">
      <c r="A2853" s="114" t="s">
        <v>39</v>
      </c>
      <c r="B2853" s="115"/>
      <c r="C2853" s="116"/>
      <c r="D2853" s="116"/>
      <c r="E2853" s="116" t="str">
        <f>IFERROR(__xludf.DUMMYFUNCTION("""COMPUTED_VALUE"""),"")</f>
        <v/>
      </c>
      <c r="F2853" s="117" t="s">
        <v>39</v>
      </c>
      <c r="G2853" s="116"/>
      <c r="H2853" s="117"/>
      <c r="I2853" s="117"/>
      <c r="J2853" s="117"/>
      <c r="K2853" s="117"/>
      <c r="L2853" s="116"/>
      <c r="M2853" s="117"/>
      <c r="N2853" s="118" t="str">
        <f>IFERROR(__xludf.DUMMYFUNCTION("""COMPUTED_VALUE"""),"")</f>
        <v/>
      </c>
      <c r="O2853" s="116"/>
      <c r="P2853" s="116"/>
      <c r="Q2853" s="116"/>
      <c r="R2853" s="116" t="s">
        <v>39</v>
      </c>
      <c r="S2853" s="116" t="s">
        <v>39</v>
      </c>
      <c r="T2853" s="104"/>
      <c r="U2853" s="116"/>
      <c r="V2853" s="104"/>
      <c r="W2853" s="116"/>
    </row>
    <row r="2854">
      <c r="A2854" s="114" t="s">
        <v>39</v>
      </c>
      <c r="B2854" s="115"/>
      <c r="C2854" s="116"/>
      <c r="D2854" s="116"/>
      <c r="E2854" s="116" t="str">
        <f>IFERROR(__xludf.DUMMYFUNCTION("""COMPUTED_VALUE"""),"")</f>
        <v/>
      </c>
      <c r="F2854" s="117" t="s">
        <v>39</v>
      </c>
      <c r="G2854" s="116"/>
      <c r="H2854" s="117"/>
      <c r="I2854" s="117"/>
      <c r="J2854" s="117"/>
      <c r="K2854" s="117"/>
      <c r="L2854" s="116"/>
      <c r="M2854" s="117"/>
      <c r="N2854" s="118" t="str">
        <f>IFERROR(__xludf.DUMMYFUNCTION("""COMPUTED_VALUE"""),"")</f>
        <v/>
      </c>
      <c r="O2854" s="116"/>
      <c r="P2854" s="116"/>
      <c r="Q2854" s="116"/>
      <c r="R2854" s="116" t="s">
        <v>39</v>
      </c>
      <c r="S2854" s="116" t="s">
        <v>39</v>
      </c>
      <c r="T2854" s="104"/>
      <c r="U2854" s="116"/>
      <c r="V2854" s="104"/>
      <c r="W2854" s="116"/>
    </row>
    <row r="2855">
      <c r="A2855" s="114" t="s">
        <v>39</v>
      </c>
      <c r="B2855" s="115"/>
      <c r="C2855" s="116"/>
      <c r="D2855" s="116"/>
      <c r="E2855" s="116" t="str">
        <f>IFERROR(__xludf.DUMMYFUNCTION("""COMPUTED_VALUE"""),"")</f>
        <v/>
      </c>
      <c r="F2855" s="117" t="s">
        <v>39</v>
      </c>
      <c r="G2855" s="116"/>
      <c r="H2855" s="117"/>
      <c r="I2855" s="117"/>
      <c r="J2855" s="117"/>
      <c r="K2855" s="117"/>
      <c r="L2855" s="116"/>
      <c r="M2855" s="117"/>
      <c r="N2855" s="118" t="str">
        <f>IFERROR(__xludf.DUMMYFUNCTION("""COMPUTED_VALUE"""),"")</f>
        <v/>
      </c>
      <c r="O2855" s="116"/>
      <c r="P2855" s="116"/>
      <c r="Q2855" s="116"/>
      <c r="R2855" s="116" t="s">
        <v>39</v>
      </c>
      <c r="S2855" s="116" t="s">
        <v>39</v>
      </c>
      <c r="T2855" s="104"/>
      <c r="U2855" s="116"/>
      <c r="V2855" s="104"/>
      <c r="W2855" s="116"/>
    </row>
    <row r="2856">
      <c r="A2856" s="114" t="s">
        <v>39</v>
      </c>
      <c r="B2856" s="115"/>
      <c r="C2856" s="116"/>
      <c r="D2856" s="116"/>
      <c r="E2856" s="116" t="str">
        <f>IFERROR(__xludf.DUMMYFUNCTION("""COMPUTED_VALUE"""),"")</f>
        <v/>
      </c>
      <c r="F2856" s="117" t="s">
        <v>39</v>
      </c>
      <c r="G2856" s="116"/>
      <c r="H2856" s="117"/>
      <c r="I2856" s="117"/>
      <c r="J2856" s="117"/>
      <c r="K2856" s="117"/>
      <c r="L2856" s="116"/>
      <c r="M2856" s="117"/>
      <c r="N2856" s="118" t="str">
        <f>IFERROR(__xludf.DUMMYFUNCTION("""COMPUTED_VALUE"""),"")</f>
        <v/>
      </c>
      <c r="O2856" s="116"/>
      <c r="P2856" s="116"/>
      <c r="Q2856" s="116"/>
      <c r="R2856" s="116" t="s">
        <v>39</v>
      </c>
      <c r="S2856" s="116" t="s">
        <v>39</v>
      </c>
      <c r="T2856" s="104"/>
      <c r="U2856" s="116"/>
      <c r="V2856" s="104"/>
      <c r="W2856" s="116"/>
    </row>
    <row r="2857">
      <c r="A2857" s="114" t="s">
        <v>39</v>
      </c>
      <c r="B2857" s="115"/>
      <c r="C2857" s="116"/>
      <c r="D2857" s="116"/>
      <c r="E2857" s="116" t="str">
        <f>IFERROR(__xludf.DUMMYFUNCTION("""COMPUTED_VALUE"""),"")</f>
        <v/>
      </c>
      <c r="F2857" s="117" t="s">
        <v>39</v>
      </c>
      <c r="G2857" s="116"/>
      <c r="H2857" s="117"/>
      <c r="I2857" s="117"/>
      <c r="J2857" s="117"/>
      <c r="K2857" s="117"/>
      <c r="L2857" s="116"/>
      <c r="M2857" s="117"/>
      <c r="N2857" s="118" t="str">
        <f>IFERROR(__xludf.DUMMYFUNCTION("""COMPUTED_VALUE"""),"")</f>
        <v/>
      </c>
      <c r="O2857" s="116"/>
      <c r="P2857" s="116"/>
      <c r="Q2857" s="116"/>
      <c r="R2857" s="116" t="s">
        <v>39</v>
      </c>
      <c r="S2857" s="116" t="s">
        <v>39</v>
      </c>
      <c r="T2857" s="104"/>
      <c r="U2857" s="116"/>
      <c r="V2857" s="104"/>
      <c r="W2857" s="116"/>
    </row>
    <row r="2858">
      <c r="A2858" s="114" t="s">
        <v>39</v>
      </c>
      <c r="B2858" s="115"/>
      <c r="C2858" s="116"/>
      <c r="D2858" s="116"/>
      <c r="E2858" s="116" t="str">
        <f>IFERROR(__xludf.DUMMYFUNCTION("""COMPUTED_VALUE"""),"")</f>
        <v/>
      </c>
      <c r="F2858" s="117" t="s">
        <v>39</v>
      </c>
      <c r="G2858" s="116"/>
      <c r="H2858" s="117"/>
      <c r="I2858" s="117"/>
      <c r="J2858" s="117"/>
      <c r="K2858" s="117"/>
      <c r="L2858" s="116"/>
      <c r="M2858" s="117"/>
      <c r="N2858" s="118" t="str">
        <f>IFERROR(__xludf.DUMMYFUNCTION("""COMPUTED_VALUE"""),"")</f>
        <v/>
      </c>
      <c r="O2858" s="116"/>
      <c r="P2858" s="116"/>
      <c r="Q2858" s="116"/>
      <c r="R2858" s="116" t="s">
        <v>39</v>
      </c>
      <c r="S2858" s="116" t="s">
        <v>39</v>
      </c>
      <c r="T2858" s="104"/>
      <c r="U2858" s="116"/>
      <c r="V2858" s="104"/>
      <c r="W2858" s="116"/>
    </row>
    <row r="2859">
      <c r="A2859" s="114" t="s">
        <v>39</v>
      </c>
      <c r="B2859" s="115"/>
      <c r="C2859" s="116"/>
      <c r="D2859" s="116"/>
      <c r="E2859" s="116" t="str">
        <f>IFERROR(__xludf.DUMMYFUNCTION("""COMPUTED_VALUE"""),"")</f>
        <v/>
      </c>
      <c r="F2859" s="117" t="s">
        <v>39</v>
      </c>
      <c r="G2859" s="116"/>
      <c r="H2859" s="117"/>
      <c r="I2859" s="117"/>
      <c r="J2859" s="117"/>
      <c r="K2859" s="117"/>
      <c r="L2859" s="116"/>
      <c r="M2859" s="117"/>
      <c r="N2859" s="118" t="str">
        <f>IFERROR(__xludf.DUMMYFUNCTION("""COMPUTED_VALUE"""),"")</f>
        <v/>
      </c>
      <c r="O2859" s="116"/>
      <c r="P2859" s="116"/>
      <c r="Q2859" s="116"/>
      <c r="R2859" s="116" t="s">
        <v>39</v>
      </c>
      <c r="S2859" s="116" t="s">
        <v>39</v>
      </c>
      <c r="T2859" s="104"/>
      <c r="U2859" s="116"/>
      <c r="V2859" s="104"/>
      <c r="W2859" s="116"/>
    </row>
    <row r="2860">
      <c r="A2860" s="114" t="s">
        <v>39</v>
      </c>
      <c r="B2860" s="115"/>
      <c r="C2860" s="116"/>
      <c r="D2860" s="116"/>
      <c r="E2860" s="116" t="str">
        <f>IFERROR(__xludf.DUMMYFUNCTION("""COMPUTED_VALUE"""),"")</f>
        <v/>
      </c>
      <c r="F2860" s="117" t="s">
        <v>39</v>
      </c>
      <c r="G2860" s="116"/>
      <c r="H2860" s="117"/>
      <c r="I2860" s="117"/>
      <c r="J2860" s="117"/>
      <c r="K2860" s="117"/>
      <c r="L2860" s="116"/>
      <c r="M2860" s="117"/>
      <c r="N2860" s="118" t="str">
        <f>IFERROR(__xludf.DUMMYFUNCTION("""COMPUTED_VALUE"""),"")</f>
        <v/>
      </c>
      <c r="O2860" s="116"/>
      <c r="P2860" s="116"/>
      <c r="Q2860" s="116"/>
      <c r="R2860" s="116" t="s">
        <v>39</v>
      </c>
      <c r="S2860" s="116" t="s">
        <v>39</v>
      </c>
      <c r="T2860" s="104"/>
      <c r="U2860" s="116"/>
      <c r="V2860" s="104"/>
      <c r="W2860" s="116"/>
    </row>
    <row r="2861">
      <c r="A2861" s="114" t="s">
        <v>39</v>
      </c>
      <c r="B2861" s="115"/>
      <c r="C2861" s="116"/>
      <c r="D2861" s="116"/>
      <c r="E2861" s="116" t="str">
        <f>IFERROR(__xludf.DUMMYFUNCTION("""COMPUTED_VALUE"""),"")</f>
        <v/>
      </c>
      <c r="F2861" s="117" t="s">
        <v>39</v>
      </c>
      <c r="G2861" s="116"/>
      <c r="H2861" s="117"/>
      <c r="I2861" s="117"/>
      <c r="J2861" s="117"/>
      <c r="K2861" s="117"/>
      <c r="L2861" s="116"/>
      <c r="M2861" s="117"/>
      <c r="N2861" s="118" t="str">
        <f>IFERROR(__xludf.DUMMYFUNCTION("""COMPUTED_VALUE"""),"")</f>
        <v/>
      </c>
      <c r="O2861" s="116"/>
      <c r="P2861" s="116"/>
      <c r="Q2861" s="116"/>
      <c r="R2861" s="116" t="s">
        <v>39</v>
      </c>
      <c r="S2861" s="116" t="s">
        <v>39</v>
      </c>
      <c r="T2861" s="104"/>
      <c r="U2861" s="116"/>
      <c r="V2861" s="104"/>
      <c r="W2861" s="116"/>
    </row>
    <row r="2862">
      <c r="A2862" s="114" t="s">
        <v>39</v>
      </c>
      <c r="B2862" s="115"/>
      <c r="C2862" s="116"/>
      <c r="D2862" s="116"/>
      <c r="E2862" s="116" t="str">
        <f>IFERROR(__xludf.DUMMYFUNCTION("""COMPUTED_VALUE"""),"")</f>
        <v/>
      </c>
      <c r="F2862" s="117" t="s">
        <v>39</v>
      </c>
      <c r="G2862" s="116"/>
      <c r="H2862" s="117"/>
      <c r="I2862" s="117"/>
      <c r="J2862" s="117"/>
      <c r="K2862" s="117"/>
      <c r="L2862" s="116"/>
      <c r="M2862" s="117"/>
      <c r="N2862" s="118" t="str">
        <f>IFERROR(__xludf.DUMMYFUNCTION("""COMPUTED_VALUE"""),"")</f>
        <v/>
      </c>
      <c r="O2862" s="116"/>
      <c r="P2862" s="116"/>
      <c r="Q2862" s="116"/>
      <c r="R2862" s="116" t="s">
        <v>39</v>
      </c>
      <c r="S2862" s="116" t="s">
        <v>39</v>
      </c>
      <c r="T2862" s="104"/>
      <c r="U2862" s="116"/>
      <c r="V2862" s="104"/>
      <c r="W2862" s="116"/>
    </row>
    <row r="2863">
      <c r="A2863" s="114" t="s">
        <v>39</v>
      </c>
      <c r="B2863" s="115"/>
      <c r="C2863" s="116"/>
      <c r="D2863" s="116"/>
      <c r="E2863" s="116" t="str">
        <f>IFERROR(__xludf.DUMMYFUNCTION("""COMPUTED_VALUE"""),"")</f>
        <v/>
      </c>
      <c r="F2863" s="117" t="s">
        <v>39</v>
      </c>
      <c r="G2863" s="116"/>
      <c r="H2863" s="117"/>
      <c r="I2863" s="117"/>
      <c r="J2863" s="117"/>
      <c r="K2863" s="117"/>
      <c r="L2863" s="116"/>
      <c r="M2863" s="117"/>
      <c r="N2863" s="118" t="str">
        <f>IFERROR(__xludf.DUMMYFUNCTION("""COMPUTED_VALUE"""),"")</f>
        <v/>
      </c>
      <c r="O2863" s="116"/>
      <c r="P2863" s="116"/>
      <c r="Q2863" s="116"/>
      <c r="R2863" s="116" t="s">
        <v>39</v>
      </c>
      <c r="S2863" s="116" t="s">
        <v>39</v>
      </c>
      <c r="T2863" s="104"/>
      <c r="U2863" s="116"/>
      <c r="V2863" s="104"/>
      <c r="W2863" s="116"/>
    </row>
    <row r="2864">
      <c r="A2864" s="114" t="s">
        <v>39</v>
      </c>
      <c r="B2864" s="115"/>
      <c r="C2864" s="116"/>
      <c r="D2864" s="116"/>
      <c r="E2864" s="116" t="str">
        <f>IFERROR(__xludf.DUMMYFUNCTION("""COMPUTED_VALUE"""),"")</f>
        <v/>
      </c>
      <c r="F2864" s="117" t="s">
        <v>39</v>
      </c>
      <c r="G2864" s="116"/>
      <c r="H2864" s="117"/>
      <c r="I2864" s="117"/>
      <c r="J2864" s="117"/>
      <c r="K2864" s="117"/>
      <c r="L2864" s="116"/>
      <c r="M2864" s="117"/>
      <c r="N2864" s="118" t="str">
        <f>IFERROR(__xludf.DUMMYFUNCTION("""COMPUTED_VALUE"""),"")</f>
        <v/>
      </c>
      <c r="O2864" s="116"/>
      <c r="P2864" s="116"/>
      <c r="Q2864" s="116"/>
      <c r="R2864" s="116" t="s">
        <v>39</v>
      </c>
      <c r="S2864" s="116" t="s">
        <v>39</v>
      </c>
      <c r="T2864" s="104"/>
      <c r="U2864" s="116"/>
      <c r="V2864" s="104"/>
      <c r="W2864" s="116"/>
    </row>
    <row r="2865">
      <c r="A2865" s="114" t="s">
        <v>39</v>
      </c>
      <c r="B2865" s="115"/>
      <c r="C2865" s="116"/>
      <c r="D2865" s="116"/>
      <c r="E2865" s="116" t="str">
        <f>IFERROR(__xludf.DUMMYFUNCTION("""COMPUTED_VALUE"""),"")</f>
        <v/>
      </c>
      <c r="F2865" s="117" t="s">
        <v>39</v>
      </c>
      <c r="G2865" s="116"/>
      <c r="H2865" s="117"/>
      <c r="I2865" s="117"/>
      <c r="J2865" s="117"/>
      <c r="K2865" s="117"/>
      <c r="L2865" s="116"/>
      <c r="M2865" s="117"/>
      <c r="N2865" s="118" t="str">
        <f>IFERROR(__xludf.DUMMYFUNCTION("""COMPUTED_VALUE"""),"")</f>
        <v/>
      </c>
      <c r="O2865" s="116"/>
      <c r="P2865" s="116"/>
      <c r="Q2865" s="116"/>
      <c r="R2865" s="116" t="s">
        <v>39</v>
      </c>
      <c r="S2865" s="116" t="s">
        <v>39</v>
      </c>
      <c r="T2865" s="104"/>
      <c r="U2865" s="116"/>
      <c r="V2865" s="104"/>
      <c r="W2865" s="116"/>
    </row>
    <row r="2866">
      <c r="A2866" s="114" t="s">
        <v>39</v>
      </c>
      <c r="B2866" s="115"/>
      <c r="C2866" s="116"/>
      <c r="D2866" s="116"/>
      <c r="E2866" s="116" t="str">
        <f>IFERROR(__xludf.DUMMYFUNCTION("""COMPUTED_VALUE"""),"")</f>
        <v/>
      </c>
      <c r="F2866" s="117" t="s">
        <v>39</v>
      </c>
      <c r="G2866" s="116"/>
      <c r="H2866" s="117"/>
      <c r="I2866" s="117"/>
      <c r="J2866" s="117"/>
      <c r="K2866" s="117"/>
      <c r="L2866" s="116"/>
      <c r="M2866" s="117"/>
      <c r="N2866" s="118" t="str">
        <f>IFERROR(__xludf.DUMMYFUNCTION("""COMPUTED_VALUE"""),"")</f>
        <v/>
      </c>
      <c r="O2866" s="116"/>
      <c r="P2866" s="116"/>
      <c r="Q2866" s="116"/>
      <c r="R2866" s="116" t="s">
        <v>39</v>
      </c>
      <c r="S2866" s="116" t="s">
        <v>39</v>
      </c>
      <c r="T2866" s="104"/>
      <c r="U2866" s="116"/>
      <c r="V2866" s="104"/>
      <c r="W2866" s="116"/>
    </row>
    <row r="2867">
      <c r="A2867" s="114" t="s">
        <v>39</v>
      </c>
      <c r="B2867" s="115"/>
      <c r="C2867" s="116"/>
      <c r="D2867" s="116"/>
      <c r="E2867" s="116" t="str">
        <f>IFERROR(__xludf.DUMMYFUNCTION("""COMPUTED_VALUE"""),"")</f>
        <v/>
      </c>
      <c r="F2867" s="117" t="s">
        <v>39</v>
      </c>
      <c r="G2867" s="116"/>
      <c r="H2867" s="117"/>
      <c r="I2867" s="117"/>
      <c r="J2867" s="117"/>
      <c r="K2867" s="117"/>
      <c r="L2867" s="116"/>
      <c r="M2867" s="117"/>
      <c r="N2867" s="118" t="str">
        <f>IFERROR(__xludf.DUMMYFUNCTION("""COMPUTED_VALUE"""),"")</f>
        <v/>
      </c>
      <c r="O2867" s="116"/>
      <c r="P2867" s="116"/>
      <c r="Q2867" s="116"/>
      <c r="R2867" s="116" t="s">
        <v>39</v>
      </c>
      <c r="S2867" s="116" t="s">
        <v>39</v>
      </c>
      <c r="T2867" s="104"/>
      <c r="U2867" s="116"/>
      <c r="V2867" s="104"/>
      <c r="W2867" s="116"/>
    </row>
    <row r="2868">
      <c r="A2868" s="114" t="s">
        <v>39</v>
      </c>
      <c r="B2868" s="115"/>
      <c r="C2868" s="116"/>
      <c r="D2868" s="116"/>
      <c r="E2868" s="116" t="str">
        <f>IFERROR(__xludf.DUMMYFUNCTION("""COMPUTED_VALUE"""),"")</f>
        <v/>
      </c>
      <c r="F2868" s="117" t="s">
        <v>39</v>
      </c>
      <c r="G2868" s="116"/>
      <c r="H2868" s="117"/>
      <c r="I2868" s="117"/>
      <c r="J2868" s="117"/>
      <c r="K2868" s="117"/>
      <c r="L2868" s="116"/>
      <c r="M2868" s="117"/>
      <c r="N2868" s="118" t="str">
        <f>IFERROR(__xludf.DUMMYFUNCTION("""COMPUTED_VALUE"""),"")</f>
        <v/>
      </c>
      <c r="O2868" s="116"/>
      <c r="P2868" s="116"/>
      <c r="Q2868" s="116"/>
      <c r="R2868" s="116" t="s">
        <v>39</v>
      </c>
      <c r="S2868" s="116" t="s">
        <v>39</v>
      </c>
      <c r="T2868" s="104"/>
      <c r="U2868" s="116"/>
      <c r="V2868" s="104"/>
      <c r="W2868" s="116"/>
    </row>
    <row r="2869">
      <c r="A2869" s="114" t="s">
        <v>39</v>
      </c>
      <c r="B2869" s="115"/>
      <c r="C2869" s="116"/>
      <c r="D2869" s="116"/>
      <c r="E2869" s="116" t="str">
        <f>IFERROR(__xludf.DUMMYFUNCTION("""COMPUTED_VALUE"""),"")</f>
        <v/>
      </c>
      <c r="F2869" s="117" t="s">
        <v>39</v>
      </c>
      <c r="G2869" s="116"/>
      <c r="H2869" s="117"/>
      <c r="I2869" s="117"/>
      <c r="J2869" s="117"/>
      <c r="K2869" s="117"/>
      <c r="L2869" s="116"/>
      <c r="M2869" s="117"/>
      <c r="N2869" s="118" t="str">
        <f>IFERROR(__xludf.DUMMYFUNCTION("""COMPUTED_VALUE"""),"")</f>
        <v/>
      </c>
      <c r="O2869" s="116"/>
      <c r="P2869" s="116"/>
      <c r="Q2869" s="116"/>
      <c r="R2869" s="116" t="s">
        <v>39</v>
      </c>
      <c r="S2869" s="116" t="s">
        <v>39</v>
      </c>
      <c r="T2869" s="104"/>
      <c r="U2869" s="116"/>
      <c r="V2869" s="104"/>
      <c r="W2869" s="116"/>
    </row>
    <row r="2870">
      <c r="A2870" s="114" t="s">
        <v>39</v>
      </c>
      <c r="B2870" s="115"/>
      <c r="C2870" s="116"/>
      <c r="D2870" s="116"/>
      <c r="E2870" s="116" t="str">
        <f>IFERROR(__xludf.DUMMYFUNCTION("""COMPUTED_VALUE"""),"")</f>
        <v/>
      </c>
      <c r="F2870" s="117" t="s">
        <v>39</v>
      </c>
      <c r="G2870" s="116"/>
      <c r="H2870" s="117"/>
      <c r="I2870" s="117"/>
      <c r="J2870" s="117"/>
      <c r="K2870" s="117"/>
      <c r="L2870" s="116"/>
      <c r="M2870" s="117"/>
      <c r="N2870" s="118" t="str">
        <f>IFERROR(__xludf.DUMMYFUNCTION("""COMPUTED_VALUE"""),"")</f>
        <v/>
      </c>
      <c r="O2870" s="116"/>
      <c r="P2870" s="116"/>
      <c r="Q2870" s="116"/>
      <c r="R2870" s="116" t="s">
        <v>39</v>
      </c>
      <c r="S2870" s="116" t="s">
        <v>39</v>
      </c>
      <c r="T2870" s="104"/>
      <c r="U2870" s="116"/>
      <c r="V2870" s="104"/>
      <c r="W2870" s="116"/>
    </row>
    <row r="2871">
      <c r="A2871" s="114" t="s">
        <v>39</v>
      </c>
      <c r="B2871" s="115"/>
      <c r="C2871" s="116"/>
      <c r="D2871" s="116"/>
      <c r="E2871" s="116" t="str">
        <f>IFERROR(__xludf.DUMMYFUNCTION("""COMPUTED_VALUE"""),"")</f>
        <v/>
      </c>
      <c r="F2871" s="117" t="s">
        <v>39</v>
      </c>
      <c r="G2871" s="116"/>
      <c r="H2871" s="117"/>
      <c r="I2871" s="117"/>
      <c r="J2871" s="117"/>
      <c r="K2871" s="117"/>
      <c r="L2871" s="116"/>
      <c r="M2871" s="117"/>
      <c r="N2871" s="118" t="str">
        <f>IFERROR(__xludf.DUMMYFUNCTION("""COMPUTED_VALUE"""),"")</f>
        <v/>
      </c>
      <c r="O2871" s="116"/>
      <c r="P2871" s="116"/>
      <c r="Q2871" s="116"/>
      <c r="R2871" s="116" t="s">
        <v>39</v>
      </c>
      <c r="S2871" s="116" t="s">
        <v>39</v>
      </c>
      <c r="T2871" s="104"/>
      <c r="U2871" s="116"/>
      <c r="V2871" s="104"/>
      <c r="W2871" s="116"/>
    </row>
    <row r="2872">
      <c r="A2872" s="114" t="s">
        <v>39</v>
      </c>
      <c r="B2872" s="115"/>
      <c r="C2872" s="116"/>
      <c r="D2872" s="116"/>
      <c r="E2872" s="116" t="str">
        <f>IFERROR(__xludf.DUMMYFUNCTION("""COMPUTED_VALUE"""),"")</f>
        <v/>
      </c>
      <c r="F2872" s="117" t="s">
        <v>39</v>
      </c>
      <c r="G2872" s="116"/>
      <c r="H2872" s="117"/>
      <c r="I2872" s="117"/>
      <c r="J2872" s="117"/>
      <c r="K2872" s="117"/>
      <c r="L2872" s="116"/>
      <c r="M2872" s="117"/>
      <c r="N2872" s="118" t="str">
        <f>IFERROR(__xludf.DUMMYFUNCTION("""COMPUTED_VALUE"""),"")</f>
        <v/>
      </c>
      <c r="O2872" s="116"/>
      <c r="P2872" s="116"/>
      <c r="Q2872" s="116"/>
      <c r="R2872" s="116" t="s">
        <v>39</v>
      </c>
      <c r="S2872" s="116" t="s">
        <v>39</v>
      </c>
      <c r="T2872" s="104"/>
      <c r="U2872" s="116"/>
      <c r="V2872" s="104"/>
      <c r="W2872" s="116"/>
    </row>
    <row r="2873">
      <c r="A2873" s="114" t="s">
        <v>39</v>
      </c>
      <c r="B2873" s="115"/>
      <c r="C2873" s="116"/>
      <c r="D2873" s="116"/>
      <c r="E2873" s="116" t="str">
        <f>IFERROR(__xludf.DUMMYFUNCTION("""COMPUTED_VALUE"""),"")</f>
        <v/>
      </c>
      <c r="F2873" s="117" t="s">
        <v>39</v>
      </c>
      <c r="G2873" s="116"/>
      <c r="H2873" s="117"/>
      <c r="I2873" s="117"/>
      <c r="J2873" s="117"/>
      <c r="K2873" s="117"/>
      <c r="L2873" s="116"/>
      <c r="M2873" s="117"/>
      <c r="N2873" s="118" t="str">
        <f>IFERROR(__xludf.DUMMYFUNCTION("""COMPUTED_VALUE"""),"")</f>
        <v/>
      </c>
      <c r="O2873" s="116"/>
      <c r="P2873" s="116"/>
      <c r="Q2873" s="116"/>
      <c r="R2873" s="116" t="s">
        <v>39</v>
      </c>
      <c r="S2873" s="116" t="s">
        <v>39</v>
      </c>
      <c r="T2873" s="104"/>
      <c r="U2873" s="116"/>
      <c r="V2873" s="104"/>
      <c r="W2873" s="116"/>
    </row>
    <row r="2874">
      <c r="A2874" s="114" t="s">
        <v>39</v>
      </c>
      <c r="B2874" s="115"/>
      <c r="C2874" s="116"/>
      <c r="D2874" s="116"/>
      <c r="E2874" s="116" t="str">
        <f>IFERROR(__xludf.DUMMYFUNCTION("""COMPUTED_VALUE"""),"")</f>
        <v/>
      </c>
      <c r="F2874" s="117" t="s">
        <v>39</v>
      </c>
      <c r="G2874" s="116"/>
      <c r="H2874" s="117"/>
      <c r="I2874" s="117"/>
      <c r="J2874" s="117"/>
      <c r="K2874" s="117"/>
      <c r="L2874" s="116"/>
      <c r="M2874" s="117"/>
      <c r="N2874" s="118" t="str">
        <f>IFERROR(__xludf.DUMMYFUNCTION("""COMPUTED_VALUE"""),"")</f>
        <v/>
      </c>
      <c r="O2874" s="116"/>
      <c r="P2874" s="116"/>
      <c r="Q2874" s="116"/>
      <c r="R2874" s="116" t="s">
        <v>39</v>
      </c>
      <c r="S2874" s="116" t="s">
        <v>39</v>
      </c>
      <c r="T2874" s="104"/>
      <c r="U2874" s="116"/>
      <c r="V2874" s="104"/>
      <c r="W2874" s="116"/>
    </row>
    <row r="2875">
      <c r="A2875" s="114" t="s">
        <v>39</v>
      </c>
      <c r="B2875" s="115"/>
      <c r="C2875" s="116"/>
      <c r="D2875" s="116"/>
      <c r="E2875" s="116" t="str">
        <f>IFERROR(__xludf.DUMMYFUNCTION("""COMPUTED_VALUE"""),"")</f>
        <v/>
      </c>
      <c r="F2875" s="117" t="s">
        <v>39</v>
      </c>
      <c r="G2875" s="116"/>
      <c r="H2875" s="117"/>
      <c r="I2875" s="117"/>
      <c r="J2875" s="117"/>
      <c r="K2875" s="117"/>
      <c r="L2875" s="116"/>
      <c r="M2875" s="117"/>
      <c r="N2875" s="118" t="str">
        <f>IFERROR(__xludf.DUMMYFUNCTION("""COMPUTED_VALUE"""),"")</f>
        <v/>
      </c>
      <c r="O2875" s="116"/>
      <c r="P2875" s="116"/>
      <c r="Q2875" s="116"/>
      <c r="R2875" s="116" t="s">
        <v>39</v>
      </c>
      <c r="S2875" s="116" t="s">
        <v>39</v>
      </c>
      <c r="T2875" s="104"/>
      <c r="U2875" s="116"/>
      <c r="V2875" s="104"/>
      <c r="W2875" s="116"/>
    </row>
    <row r="2876">
      <c r="A2876" s="114" t="s">
        <v>39</v>
      </c>
      <c r="B2876" s="115"/>
      <c r="C2876" s="116"/>
      <c r="D2876" s="116"/>
      <c r="E2876" s="116" t="str">
        <f>IFERROR(__xludf.DUMMYFUNCTION("""COMPUTED_VALUE"""),"")</f>
        <v/>
      </c>
      <c r="F2876" s="117" t="s">
        <v>39</v>
      </c>
      <c r="G2876" s="116"/>
      <c r="H2876" s="117"/>
      <c r="I2876" s="117"/>
      <c r="J2876" s="117"/>
      <c r="K2876" s="117"/>
      <c r="L2876" s="116"/>
      <c r="M2876" s="117"/>
      <c r="N2876" s="118" t="str">
        <f>IFERROR(__xludf.DUMMYFUNCTION("""COMPUTED_VALUE"""),"")</f>
        <v/>
      </c>
      <c r="O2876" s="116"/>
      <c r="P2876" s="116"/>
      <c r="Q2876" s="116"/>
      <c r="R2876" s="116" t="s">
        <v>39</v>
      </c>
      <c r="S2876" s="116" t="s">
        <v>39</v>
      </c>
      <c r="T2876" s="104"/>
      <c r="U2876" s="116"/>
      <c r="V2876" s="104"/>
      <c r="W2876" s="116"/>
    </row>
    <row r="2877">
      <c r="A2877" s="114" t="s">
        <v>39</v>
      </c>
      <c r="B2877" s="115"/>
      <c r="C2877" s="116"/>
      <c r="D2877" s="116"/>
      <c r="E2877" s="116" t="str">
        <f>IFERROR(__xludf.DUMMYFUNCTION("""COMPUTED_VALUE"""),"")</f>
        <v/>
      </c>
      <c r="F2877" s="117" t="s">
        <v>39</v>
      </c>
      <c r="G2877" s="116"/>
      <c r="H2877" s="117"/>
      <c r="I2877" s="117"/>
      <c r="J2877" s="117"/>
      <c r="K2877" s="117"/>
      <c r="L2877" s="116"/>
      <c r="M2877" s="117"/>
      <c r="N2877" s="118" t="str">
        <f>IFERROR(__xludf.DUMMYFUNCTION("""COMPUTED_VALUE"""),"")</f>
        <v/>
      </c>
      <c r="O2877" s="116"/>
      <c r="P2877" s="116"/>
      <c r="Q2877" s="116"/>
      <c r="R2877" s="116" t="s">
        <v>39</v>
      </c>
      <c r="S2877" s="116" t="s">
        <v>39</v>
      </c>
      <c r="T2877" s="104"/>
      <c r="U2877" s="116"/>
      <c r="V2877" s="104"/>
      <c r="W2877" s="116"/>
    </row>
    <row r="2878">
      <c r="A2878" s="114" t="s">
        <v>39</v>
      </c>
      <c r="B2878" s="115"/>
      <c r="C2878" s="116"/>
      <c r="D2878" s="116"/>
      <c r="E2878" s="116" t="str">
        <f>IFERROR(__xludf.DUMMYFUNCTION("""COMPUTED_VALUE"""),"")</f>
        <v/>
      </c>
      <c r="F2878" s="117" t="s">
        <v>39</v>
      </c>
      <c r="G2878" s="116"/>
      <c r="H2878" s="117"/>
      <c r="I2878" s="117"/>
      <c r="J2878" s="117"/>
      <c r="K2878" s="117"/>
      <c r="L2878" s="116"/>
      <c r="M2878" s="117"/>
      <c r="N2878" s="118" t="str">
        <f>IFERROR(__xludf.DUMMYFUNCTION("""COMPUTED_VALUE"""),"")</f>
        <v/>
      </c>
      <c r="O2878" s="116"/>
      <c r="P2878" s="116"/>
      <c r="Q2878" s="116"/>
      <c r="R2878" s="116" t="s">
        <v>39</v>
      </c>
      <c r="S2878" s="116" t="s">
        <v>39</v>
      </c>
      <c r="T2878" s="104"/>
      <c r="U2878" s="116"/>
      <c r="V2878" s="104"/>
      <c r="W2878" s="116"/>
    </row>
    <row r="2879">
      <c r="A2879" s="114" t="s">
        <v>39</v>
      </c>
      <c r="B2879" s="115"/>
      <c r="C2879" s="116"/>
      <c r="D2879" s="116"/>
      <c r="E2879" s="116" t="str">
        <f>IFERROR(__xludf.DUMMYFUNCTION("""COMPUTED_VALUE"""),"")</f>
        <v/>
      </c>
      <c r="F2879" s="117" t="s">
        <v>39</v>
      </c>
      <c r="G2879" s="116"/>
      <c r="H2879" s="117"/>
      <c r="I2879" s="117"/>
      <c r="J2879" s="117"/>
      <c r="K2879" s="117"/>
      <c r="L2879" s="116"/>
      <c r="M2879" s="117"/>
      <c r="N2879" s="118" t="str">
        <f>IFERROR(__xludf.DUMMYFUNCTION("""COMPUTED_VALUE"""),"")</f>
        <v/>
      </c>
      <c r="O2879" s="116"/>
      <c r="P2879" s="116"/>
      <c r="Q2879" s="116"/>
      <c r="R2879" s="116" t="s">
        <v>39</v>
      </c>
      <c r="S2879" s="116" t="s">
        <v>39</v>
      </c>
      <c r="T2879" s="104"/>
      <c r="U2879" s="116"/>
      <c r="V2879" s="104"/>
      <c r="W2879" s="116"/>
    </row>
    <row r="2880">
      <c r="A2880" s="114" t="s">
        <v>39</v>
      </c>
      <c r="B2880" s="115"/>
      <c r="C2880" s="116"/>
      <c r="D2880" s="116"/>
      <c r="E2880" s="116" t="str">
        <f>IFERROR(__xludf.DUMMYFUNCTION("""COMPUTED_VALUE"""),"")</f>
        <v/>
      </c>
      <c r="F2880" s="117" t="s">
        <v>39</v>
      </c>
      <c r="G2880" s="116"/>
      <c r="H2880" s="117"/>
      <c r="I2880" s="117"/>
      <c r="J2880" s="117"/>
      <c r="K2880" s="117"/>
      <c r="L2880" s="116"/>
      <c r="M2880" s="117"/>
      <c r="N2880" s="118" t="str">
        <f>IFERROR(__xludf.DUMMYFUNCTION("""COMPUTED_VALUE"""),"")</f>
        <v/>
      </c>
      <c r="O2880" s="116"/>
      <c r="P2880" s="116"/>
      <c r="Q2880" s="116"/>
      <c r="R2880" s="116" t="s">
        <v>39</v>
      </c>
      <c r="S2880" s="116" t="s">
        <v>39</v>
      </c>
      <c r="T2880" s="104"/>
      <c r="U2880" s="116"/>
      <c r="V2880" s="104"/>
      <c r="W2880" s="116"/>
    </row>
    <row r="2881">
      <c r="A2881" s="114" t="s">
        <v>39</v>
      </c>
      <c r="B2881" s="115"/>
      <c r="C2881" s="116"/>
      <c r="D2881" s="116"/>
      <c r="E2881" s="116" t="str">
        <f>IFERROR(__xludf.DUMMYFUNCTION("""COMPUTED_VALUE"""),"")</f>
        <v/>
      </c>
      <c r="F2881" s="117" t="s">
        <v>39</v>
      </c>
      <c r="G2881" s="116"/>
      <c r="H2881" s="117"/>
      <c r="I2881" s="117"/>
      <c r="J2881" s="117"/>
      <c r="K2881" s="117"/>
      <c r="L2881" s="116"/>
      <c r="M2881" s="117"/>
      <c r="N2881" s="118" t="str">
        <f>IFERROR(__xludf.DUMMYFUNCTION("""COMPUTED_VALUE"""),"")</f>
        <v/>
      </c>
      <c r="O2881" s="116"/>
      <c r="P2881" s="116"/>
      <c r="Q2881" s="116"/>
      <c r="R2881" s="116" t="s">
        <v>39</v>
      </c>
      <c r="S2881" s="116" t="s">
        <v>39</v>
      </c>
      <c r="T2881" s="104"/>
      <c r="U2881" s="116"/>
      <c r="V2881" s="104"/>
      <c r="W2881" s="116"/>
    </row>
    <row r="2882">
      <c r="A2882" s="114" t="s">
        <v>39</v>
      </c>
      <c r="B2882" s="115"/>
      <c r="C2882" s="116"/>
      <c r="D2882" s="116"/>
      <c r="E2882" s="116" t="str">
        <f>IFERROR(__xludf.DUMMYFUNCTION("""COMPUTED_VALUE"""),"")</f>
        <v/>
      </c>
      <c r="F2882" s="117" t="s">
        <v>39</v>
      </c>
      <c r="G2882" s="116"/>
      <c r="H2882" s="117"/>
      <c r="I2882" s="117"/>
      <c r="J2882" s="117"/>
      <c r="K2882" s="117"/>
      <c r="L2882" s="116"/>
      <c r="M2882" s="117"/>
      <c r="N2882" s="118" t="str">
        <f>IFERROR(__xludf.DUMMYFUNCTION("""COMPUTED_VALUE"""),"")</f>
        <v/>
      </c>
      <c r="O2882" s="116"/>
      <c r="P2882" s="116"/>
      <c r="Q2882" s="116"/>
      <c r="R2882" s="116" t="s">
        <v>39</v>
      </c>
      <c r="S2882" s="116" t="s">
        <v>39</v>
      </c>
      <c r="T2882" s="104"/>
      <c r="U2882" s="116"/>
      <c r="V2882" s="104"/>
      <c r="W2882" s="116"/>
    </row>
    <row r="2883">
      <c r="A2883" s="114" t="s">
        <v>39</v>
      </c>
      <c r="B2883" s="115"/>
      <c r="C2883" s="116"/>
      <c r="D2883" s="116"/>
      <c r="E2883" s="116" t="str">
        <f>IFERROR(__xludf.DUMMYFUNCTION("""COMPUTED_VALUE"""),"")</f>
        <v/>
      </c>
      <c r="F2883" s="117" t="s">
        <v>39</v>
      </c>
      <c r="G2883" s="116"/>
      <c r="H2883" s="117"/>
      <c r="I2883" s="117"/>
      <c r="J2883" s="117"/>
      <c r="K2883" s="117"/>
      <c r="L2883" s="116"/>
      <c r="M2883" s="117"/>
      <c r="N2883" s="118" t="str">
        <f>IFERROR(__xludf.DUMMYFUNCTION("""COMPUTED_VALUE"""),"")</f>
        <v/>
      </c>
      <c r="O2883" s="116"/>
      <c r="P2883" s="116"/>
      <c r="Q2883" s="116"/>
      <c r="R2883" s="116" t="s">
        <v>39</v>
      </c>
      <c r="S2883" s="116" t="s">
        <v>39</v>
      </c>
      <c r="T2883" s="104"/>
      <c r="U2883" s="116"/>
      <c r="V2883" s="104"/>
      <c r="W2883" s="116"/>
    </row>
    <row r="2884">
      <c r="A2884" s="114" t="s">
        <v>39</v>
      </c>
      <c r="B2884" s="115"/>
      <c r="C2884" s="116"/>
      <c r="D2884" s="116"/>
      <c r="E2884" s="116" t="str">
        <f>IFERROR(__xludf.DUMMYFUNCTION("""COMPUTED_VALUE"""),"")</f>
        <v/>
      </c>
      <c r="F2884" s="117" t="s">
        <v>39</v>
      </c>
      <c r="G2884" s="116"/>
      <c r="H2884" s="117"/>
      <c r="I2884" s="117"/>
      <c r="J2884" s="117"/>
      <c r="K2884" s="117"/>
      <c r="L2884" s="116"/>
      <c r="M2884" s="117"/>
      <c r="N2884" s="118" t="str">
        <f>IFERROR(__xludf.DUMMYFUNCTION("""COMPUTED_VALUE"""),"")</f>
        <v/>
      </c>
      <c r="O2884" s="116"/>
      <c r="P2884" s="116"/>
      <c r="Q2884" s="116"/>
      <c r="R2884" s="116" t="s">
        <v>39</v>
      </c>
      <c r="S2884" s="116" t="s">
        <v>39</v>
      </c>
      <c r="T2884" s="104"/>
      <c r="U2884" s="116"/>
      <c r="V2884" s="104"/>
      <c r="W2884" s="116"/>
    </row>
    <row r="2885">
      <c r="A2885" s="114" t="s">
        <v>39</v>
      </c>
      <c r="B2885" s="115"/>
      <c r="C2885" s="116"/>
      <c r="D2885" s="116"/>
      <c r="E2885" s="116" t="str">
        <f>IFERROR(__xludf.DUMMYFUNCTION("""COMPUTED_VALUE"""),"")</f>
        <v/>
      </c>
      <c r="F2885" s="117" t="s">
        <v>39</v>
      </c>
      <c r="G2885" s="116"/>
      <c r="H2885" s="117"/>
      <c r="I2885" s="117"/>
      <c r="J2885" s="117"/>
      <c r="K2885" s="117"/>
      <c r="L2885" s="116"/>
      <c r="M2885" s="117"/>
      <c r="N2885" s="118" t="str">
        <f>IFERROR(__xludf.DUMMYFUNCTION("""COMPUTED_VALUE"""),"")</f>
        <v/>
      </c>
      <c r="O2885" s="116"/>
      <c r="P2885" s="116"/>
      <c r="Q2885" s="116"/>
      <c r="R2885" s="116" t="s">
        <v>39</v>
      </c>
      <c r="S2885" s="116" t="s">
        <v>39</v>
      </c>
      <c r="T2885" s="104"/>
      <c r="U2885" s="116"/>
      <c r="V2885" s="104"/>
      <c r="W2885" s="116"/>
    </row>
    <row r="2886">
      <c r="A2886" s="114" t="s">
        <v>39</v>
      </c>
      <c r="B2886" s="115"/>
      <c r="C2886" s="116"/>
      <c r="D2886" s="116"/>
      <c r="E2886" s="116" t="str">
        <f>IFERROR(__xludf.DUMMYFUNCTION("""COMPUTED_VALUE"""),"")</f>
        <v/>
      </c>
      <c r="F2886" s="117" t="s">
        <v>39</v>
      </c>
      <c r="G2886" s="116"/>
      <c r="H2886" s="117"/>
      <c r="I2886" s="117"/>
      <c r="J2886" s="117"/>
      <c r="K2886" s="117"/>
      <c r="L2886" s="116"/>
      <c r="M2886" s="117"/>
      <c r="N2886" s="118" t="str">
        <f>IFERROR(__xludf.DUMMYFUNCTION("""COMPUTED_VALUE"""),"")</f>
        <v/>
      </c>
      <c r="O2886" s="116"/>
      <c r="P2886" s="116"/>
      <c r="Q2886" s="116"/>
      <c r="R2886" s="116" t="s">
        <v>39</v>
      </c>
      <c r="S2886" s="116" t="s">
        <v>39</v>
      </c>
      <c r="T2886" s="104"/>
      <c r="U2886" s="116"/>
      <c r="V2886" s="104"/>
      <c r="W2886" s="116"/>
    </row>
    <row r="2887">
      <c r="A2887" s="114" t="s">
        <v>39</v>
      </c>
      <c r="B2887" s="115"/>
      <c r="C2887" s="116"/>
      <c r="D2887" s="116"/>
      <c r="E2887" s="116" t="str">
        <f>IFERROR(__xludf.DUMMYFUNCTION("""COMPUTED_VALUE"""),"")</f>
        <v/>
      </c>
      <c r="F2887" s="117" t="s">
        <v>39</v>
      </c>
      <c r="G2887" s="116"/>
      <c r="H2887" s="117"/>
      <c r="I2887" s="117"/>
      <c r="J2887" s="117"/>
      <c r="K2887" s="117"/>
      <c r="L2887" s="116"/>
      <c r="M2887" s="117"/>
      <c r="N2887" s="118" t="str">
        <f>IFERROR(__xludf.DUMMYFUNCTION("""COMPUTED_VALUE"""),"")</f>
        <v/>
      </c>
      <c r="O2887" s="116"/>
      <c r="P2887" s="116"/>
      <c r="Q2887" s="116"/>
      <c r="R2887" s="116" t="s">
        <v>39</v>
      </c>
      <c r="S2887" s="116" t="s">
        <v>39</v>
      </c>
      <c r="T2887" s="104"/>
      <c r="U2887" s="116"/>
      <c r="V2887" s="104"/>
      <c r="W2887" s="116"/>
    </row>
    <row r="2888">
      <c r="A2888" s="114" t="s">
        <v>39</v>
      </c>
      <c r="B2888" s="115"/>
      <c r="C2888" s="116"/>
      <c r="D2888" s="116"/>
      <c r="E2888" s="116" t="str">
        <f>IFERROR(__xludf.DUMMYFUNCTION("""COMPUTED_VALUE"""),"")</f>
        <v/>
      </c>
      <c r="F2888" s="117" t="s">
        <v>39</v>
      </c>
      <c r="G2888" s="116"/>
      <c r="H2888" s="117"/>
      <c r="I2888" s="117"/>
      <c r="J2888" s="117"/>
      <c r="K2888" s="117"/>
      <c r="L2888" s="116"/>
      <c r="M2888" s="117"/>
      <c r="N2888" s="118" t="str">
        <f>IFERROR(__xludf.DUMMYFUNCTION("""COMPUTED_VALUE"""),"")</f>
        <v/>
      </c>
      <c r="O2888" s="116"/>
      <c r="P2888" s="116"/>
      <c r="Q2888" s="116"/>
      <c r="R2888" s="116" t="s">
        <v>39</v>
      </c>
      <c r="S2888" s="116" t="s">
        <v>39</v>
      </c>
      <c r="T2888" s="104"/>
      <c r="U2888" s="116"/>
      <c r="V2888" s="104"/>
      <c r="W2888" s="116"/>
    </row>
    <row r="2889">
      <c r="A2889" s="114" t="s">
        <v>39</v>
      </c>
      <c r="B2889" s="115"/>
      <c r="C2889" s="116"/>
      <c r="D2889" s="116"/>
      <c r="E2889" s="116" t="str">
        <f>IFERROR(__xludf.DUMMYFUNCTION("""COMPUTED_VALUE"""),"")</f>
        <v/>
      </c>
      <c r="F2889" s="117" t="s">
        <v>39</v>
      </c>
      <c r="G2889" s="116"/>
      <c r="H2889" s="117"/>
      <c r="I2889" s="117"/>
      <c r="J2889" s="117"/>
      <c r="K2889" s="117"/>
      <c r="L2889" s="116"/>
      <c r="M2889" s="117"/>
      <c r="N2889" s="118" t="str">
        <f>IFERROR(__xludf.DUMMYFUNCTION("""COMPUTED_VALUE"""),"")</f>
        <v/>
      </c>
      <c r="O2889" s="116"/>
      <c r="P2889" s="116"/>
      <c r="Q2889" s="116"/>
      <c r="R2889" s="116" t="s">
        <v>39</v>
      </c>
      <c r="S2889" s="116" t="s">
        <v>39</v>
      </c>
      <c r="T2889" s="104"/>
      <c r="U2889" s="116"/>
      <c r="V2889" s="104"/>
      <c r="W2889" s="116"/>
    </row>
    <row r="2890">
      <c r="A2890" s="114" t="s">
        <v>39</v>
      </c>
      <c r="B2890" s="115"/>
      <c r="C2890" s="116"/>
      <c r="D2890" s="116"/>
      <c r="E2890" s="116" t="str">
        <f>IFERROR(__xludf.DUMMYFUNCTION("""COMPUTED_VALUE"""),"")</f>
        <v/>
      </c>
      <c r="F2890" s="117" t="s">
        <v>39</v>
      </c>
      <c r="G2890" s="116"/>
      <c r="H2890" s="117"/>
      <c r="I2890" s="117"/>
      <c r="J2890" s="117"/>
      <c r="K2890" s="117"/>
      <c r="L2890" s="116"/>
      <c r="M2890" s="117"/>
      <c r="N2890" s="118" t="str">
        <f>IFERROR(__xludf.DUMMYFUNCTION("""COMPUTED_VALUE"""),"")</f>
        <v/>
      </c>
      <c r="O2890" s="116"/>
      <c r="P2890" s="116"/>
      <c r="Q2890" s="116"/>
      <c r="R2890" s="116" t="s">
        <v>39</v>
      </c>
      <c r="S2890" s="116" t="s">
        <v>39</v>
      </c>
      <c r="T2890" s="104"/>
      <c r="U2890" s="116"/>
      <c r="V2890" s="104"/>
      <c r="W2890" s="116"/>
    </row>
    <row r="2891">
      <c r="A2891" s="114" t="s">
        <v>39</v>
      </c>
      <c r="B2891" s="115"/>
      <c r="C2891" s="116"/>
      <c r="D2891" s="116"/>
      <c r="E2891" s="116" t="str">
        <f>IFERROR(__xludf.DUMMYFUNCTION("""COMPUTED_VALUE"""),"")</f>
        <v/>
      </c>
      <c r="F2891" s="117" t="s">
        <v>39</v>
      </c>
      <c r="G2891" s="116"/>
      <c r="H2891" s="117"/>
      <c r="I2891" s="117"/>
      <c r="J2891" s="117"/>
      <c r="K2891" s="117"/>
      <c r="L2891" s="116"/>
      <c r="M2891" s="117"/>
      <c r="N2891" s="118" t="str">
        <f>IFERROR(__xludf.DUMMYFUNCTION("""COMPUTED_VALUE"""),"")</f>
        <v/>
      </c>
      <c r="O2891" s="116"/>
      <c r="P2891" s="116"/>
      <c r="Q2891" s="116"/>
      <c r="R2891" s="116" t="s">
        <v>39</v>
      </c>
      <c r="S2891" s="116" t="s">
        <v>39</v>
      </c>
      <c r="T2891" s="104"/>
      <c r="U2891" s="116"/>
      <c r="V2891" s="104"/>
      <c r="W2891" s="116"/>
    </row>
    <row r="2892">
      <c r="A2892" s="114" t="s">
        <v>39</v>
      </c>
      <c r="B2892" s="115"/>
      <c r="C2892" s="116"/>
      <c r="D2892" s="116"/>
      <c r="E2892" s="116" t="str">
        <f>IFERROR(__xludf.DUMMYFUNCTION("""COMPUTED_VALUE"""),"")</f>
        <v/>
      </c>
      <c r="F2892" s="117" t="s">
        <v>39</v>
      </c>
      <c r="G2892" s="116"/>
      <c r="H2892" s="117"/>
      <c r="I2892" s="117"/>
      <c r="J2892" s="117"/>
      <c r="K2892" s="117"/>
      <c r="L2892" s="116"/>
      <c r="M2892" s="117"/>
      <c r="N2892" s="118" t="str">
        <f>IFERROR(__xludf.DUMMYFUNCTION("""COMPUTED_VALUE"""),"")</f>
        <v/>
      </c>
      <c r="O2892" s="116"/>
      <c r="P2892" s="116"/>
      <c r="Q2892" s="116"/>
      <c r="R2892" s="116" t="s">
        <v>39</v>
      </c>
      <c r="S2892" s="116" t="s">
        <v>39</v>
      </c>
      <c r="T2892" s="104"/>
      <c r="U2892" s="116"/>
      <c r="V2892" s="104"/>
      <c r="W2892" s="116"/>
    </row>
    <row r="2893">
      <c r="A2893" s="114" t="s">
        <v>39</v>
      </c>
      <c r="B2893" s="115"/>
      <c r="C2893" s="116"/>
      <c r="D2893" s="116"/>
      <c r="E2893" s="116" t="str">
        <f>IFERROR(__xludf.DUMMYFUNCTION("""COMPUTED_VALUE"""),"")</f>
        <v/>
      </c>
      <c r="F2893" s="117" t="s">
        <v>39</v>
      </c>
      <c r="G2893" s="116"/>
      <c r="H2893" s="117"/>
      <c r="I2893" s="117"/>
      <c r="J2893" s="117"/>
      <c r="K2893" s="117"/>
      <c r="L2893" s="116"/>
      <c r="M2893" s="117"/>
      <c r="N2893" s="118" t="str">
        <f>IFERROR(__xludf.DUMMYFUNCTION("""COMPUTED_VALUE"""),"")</f>
        <v/>
      </c>
      <c r="O2893" s="116"/>
      <c r="P2893" s="116"/>
      <c r="Q2893" s="116"/>
      <c r="R2893" s="116" t="s">
        <v>39</v>
      </c>
      <c r="S2893" s="116" t="s">
        <v>39</v>
      </c>
      <c r="T2893" s="104"/>
      <c r="U2893" s="116"/>
      <c r="V2893" s="104"/>
      <c r="W2893" s="116"/>
    </row>
    <row r="2894">
      <c r="A2894" s="114" t="s">
        <v>39</v>
      </c>
      <c r="B2894" s="115"/>
      <c r="C2894" s="116"/>
      <c r="D2894" s="116"/>
      <c r="E2894" s="116" t="str">
        <f>IFERROR(__xludf.DUMMYFUNCTION("""COMPUTED_VALUE"""),"")</f>
        <v/>
      </c>
      <c r="F2894" s="117" t="s">
        <v>39</v>
      </c>
      <c r="G2894" s="116"/>
      <c r="H2894" s="117"/>
      <c r="I2894" s="117"/>
      <c r="J2894" s="117"/>
      <c r="K2894" s="117"/>
      <c r="L2894" s="116"/>
      <c r="M2894" s="117"/>
      <c r="N2894" s="118" t="str">
        <f>IFERROR(__xludf.DUMMYFUNCTION("""COMPUTED_VALUE"""),"")</f>
        <v/>
      </c>
      <c r="O2894" s="116"/>
      <c r="P2894" s="116"/>
      <c r="Q2894" s="116"/>
      <c r="R2894" s="116" t="s">
        <v>39</v>
      </c>
      <c r="S2894" s="116" t="s">
        <v>39</v>
      </c>
      <c r="T2894" s="104"/>
      <c r="U2894" s="116"/>
      <c r="V2894" s="104"/>
      <c r="W2894" s="116"/>
    </row>
    <row r="2895">
      <c r="A2895" s="114" t="s">
        <v>39</v>
      </c>
      <c r="B2895" s="115"/>
      <c r="C2895" s="116"/>
      <c r="D2895" s="116"/>
      <c r="E2895" s="116" t="str">
        <f>IFERROR(__xludf.DUMMYFUNCTION("""COMPUTED_VALUE"""),"")</f>
        <v/>
      </c>
      <c r="F2895" s="117" t="s">
        <v>39</v>
      </c>
      <c r="G2895" s="116"/>
      <c r="H2895" s="117"/>
      <c r="I2895" s="117"/>
      <c r="J2895" s="117"/>
      <c r="K2895" s="117"/>
      <c r="L2895" s="116"/>
      <c r="M2895" s="117"/>
      <c r="N2895" s="118" t="str">
        <f>IFERROR(__xludf.DUMMYFUNCTION("""COMPUTED_VALUE"""),"")</f>
        <v/>
      </c>
      <c r="O2895" s="116"/>
      <c r="P2895" s="116"/>
      <c r="Q2895" s="116"/>
      <c r="R2895" s="116" t="s">
        <v>39</v>
      </c>
      <c r="S2895" s="116" t="s">
        <v>39</v>
      </c>
      <c r="T2895" s="104"/>
      <c r="U2895" s="116"/>
      <c r="V2895" s="104"/>
      <c r="W2895" s="116"/>
    </row>
    <row r="2896">
      <c r="A2896" s="114" t="s">
        <v>39</v>
      </c>
      <c r="B2896" s="115"/>
      <c r="C2896" s="116"/>
      <c r="D2896" s="116"/>
      <c r="E2896" s="116" t="str">
        <f>IFERROR(__xludf.DUMMYFUNCTION("""COMPUTED_VALUE"""),"")</f>
        <v/>
      </c>
      <c r="F2896" s="117" t="s">
        <v>39</v>
      </c>
      <c r="G2896" s="116"/>
      <c r="H2896" s="117"/>
      <c r="I2896" s="117"/>
      <c r="J2896" s="117"/>
      <c r="K2896" s="117"/>
      <c r="L2896" s="116"/>
      <c r="M2896" s="117"/>
      <c r="N2896" s="118" t="str">
        <f>IFERROR(__xludf.DUMMYFUNCTION("""COMPUTED_VALUE"""),"")</f>
        <v/>
      </c>
      <c r="O2896" s="116"/>
      <c r="P2896" s="116"/>
      <c r="Q2896" s="116"/>
      <c r="R2896" s="116" t="s">
        <v>39</v>
      </c>
      <c r="S2896" s="116" t="s">
        <v>39</v>
      </c>
      <c r="T2896" s="104"/>
      <c r="U2896" s="116"/>
      <c r="V2896" s="104"/>
      <c r="W2896" s="116"/>
    </row>
    <row r="2897">
      <c r="A2897" s="114" t="s">
        <v>39</v>
      </c>
      <c r="B2897" s="115"/>
      <c r="C2897" s="116"/>
      <c r="D2897" s="116"/>
      <c r="E2897" s="116" t="str">
        <f>IFERROR(__xludf.DUMMYFUNCTION("""COMPUTED_VALUE"""),"")</f>
        <v/>
      </c>
      <c r="F2897" s="117" t="s">
        <v>39</v>
      </c>
      <c r="G2897" s="116"/>
      <c r="H2897" s="117"/>
      <c r="I2897" s="117"/>
      <c r="J2897" s="117"/>
      <c r="K2897" s="117"/>
      <c r="L2897" s="116"/>
      <c r="M2897" s="117"/>
      <c r="N2897" s="118" t="str">
        <f>IFERROR(__xludf.DUMMYFUNCTION("""COMPUTED_VALUE"""),"")</f>
        <v/>
      </c>
      <c r="O2897" s="116"/>
      <c r="P2897" s="116"/>
      <c r="Q2897" s="116"/>
      <c r="R2897" s="116" t="s">
        <v>39</v>
      </c>
      <c r="S2897" s="116" t="s">
        <v>39</v>
      </c>
      <c r="T2897" s="104"/>
      <c r="U2897" s="116"/>
      <c r="V2897" s="104"/>
      <c r="W2897" s="116"/>
    </row>
    <row r="2898">
      <c r="A2898" s="114" t="s">
        <v>39</v>
      </c>
      <c r="B2898" s="115"/>
      <c r="C2898" s="116"/>
      <c r="D2898" s="116"/>
      <c r="E2898" s="116" t="str">
        <f>IFERROR(__xludf.DUMMYFUNCTION("""COMPUTED_VALUE"""),"")</f>
        <v/>
      </c>
      <c r="F2898" s="117" t="s">
        <v>39</v>
      </c>
      <c r="G2898" s="116"/>
      <c r="H2898" s="117"/>
      <c r="I2898" s="117"/>
      <c r="J2898" s="117"/>
      <c r="K2898" s="117"/>
      <c r="L2898" s="116"/>
      <c r="M2898" s="117"/>
      <c r="N2898" s="118" t="str">
        <f>IFERROR(__xludf.DUMMYFUNCTION("""COMPUTED_VALUE"""),"")</f>
        <v/>
      </c>
      <c r="O2898" s="116"/>
      <c r="P2898" s="116"/>
      <c r="Q2898" s="116"/>
      <c r="R2898" s="116" t="s">
        <v>39</v>
      </c>
      <c r="S2898" s="116" t="s">
        <v>39</v>
      </c>
      <c r="T2898" s="104"/>
      <c r="U2898" s="116"/>
      <c r="V2898" s="104"/>
      <c r="W2898" s="116"/>
    </row>
    <row r="2899">
      <c r="A2899" s="114" t="s">
        <v>39</v>
      </c>
      <c r="B2899" s="115"/>
      <c r="C2899" s="116"/>
      <c r="D2899" s="116"/>
      <c r="E2899" s="116" t="str">
        <f>IFERROR(__xludf.DUMMYFUNCTION("""COMPUTED_VALUE"""),"")</f>
        <v/>
      </c>
      <c r="F2899" s="117" t="s">
        <v>39</v>
      </c>
      <c r="G2899" s="116"/>
      <c r="H2899" s="117"/>
      <c r="I2899" s="117"/>
      <c r="J2899" s="117"/>
      <c r="K2899" s="117"/>
      <c r="L2899" s="116"/>
      <c r="M2899" s="117"/>
      <c r="N2899" s="118" t="str">
        <f>IFERROR(__xludf.DUMMYFUNCTION("""COMPUTED_VALUE"""),"")</f>
        <v/>
      </c>
      <c r="O2899" s="116"/>
      <c r="P2899" s="116"/>
      <c r="Q2899" s="116"/>
      <c r="R2899" s="116" t="s">
        <v>39</v>
      </c>
      <c r="S2899" s="116" t="s">
        <v>39</v>
      </c>
      <c r="T2899" s="104"/>
      <c r="U2899" s="116"/>
      <c r="V2899" s="104"/>
      <c r="W2899" s="116"/>
    </row>
    <row r="2900">
      <c r="A2900" s="114" t="s">
        <v>39</v>
      </c>
      <c r="B2900" s="115"/>
      <c r="C2900" s="116"/>
      <c r="D2900" s="116"/>
      <c r="E2900" s="116" t="str">
        <f>IFERROR(__xludf.DUMMYFUNCTION("""COMPUTED_VALUE"""),"")</f>
        <v/>
      </c>
      <c r="F2900" s="117" t="s">
        <v>39</v>
      </c>
      <c r="G2900" s="116"/>
      <c r="H2900" s="117"/>
      <c r="I2900" s="117"/>
      <c r="J2900" s="117"/>
      <c r="K2900" s="117"/>
      <c r="L2900" s="116"/>
      <c r="M2900" s="117"/>
      <c r="N2900" s="118" t="str">
        <f>IFERROR(__xludf.DUMMYFUNCTION("""COMPUTED_VALUE"""),"")</f>
        <v/>
      </c>
      <c r="O2900" s="116"/>
      <c r="P2900" s="116"/>
      <c r="Q2900" s="116"/>
      <c r="R2900" s="116" t="s">
        <v>39</v>
      </c>
      <c r="S2900" s="116" t="s">
        <v>39</v>
      </c>
      <c r="T2900" s="104"/>
      <c r="U2900" s="116"/>
      <c r="V2900" s="104"/>
      <c r="W2900" s="116"/>
    </row>
    <row r="2901">
      <c r="A2901" s="114" t="s">
        <v>39</v>
      </c>
      <c r="B2901" s="115"/>
      <c r="C2901" s="116"/>
      <c r="D2901" s="116"/>
      <c r="E2901" s="116" t="str">
        <f>IFERROR(__xludf.DUMMYFUNCTION("""COMPUTED_VALUE"""),"")</f>
        <v/>
      </c>
      <c r="F2901" s="117" t="s">
        <v>39</v>
      </c>
      <c r="G2901" s="116"/>
      <c r="H2901" s="117"/>
      <c r="I2901" s="117"/>
      <c r="J2901" s="117"/>
      <c r="K2901" s="117"/>
      <c r="L2901" s="116"/>
      <c r="M2901" s="117"/>
      <c r="N2901" s="118" t="str">
        <f>IFERROR(__xludf.DUMMYFUNCTION("""COMPUTED_VALUE"""),"")</f>
        <v/>
      </c>
      <c r="O2901" s="116"/>
      <c r="P2901" s="116"/>
      <c r="Q2901" s="116"/>
      <c r="R2901" s="116" t="s">
        <v>39</v>
      </c>
      <c r="S2901" s="116" t="s">
        <v>39</v>
      </c>
      <c r="T2901" s="104"/>
      <c r="U2901" s="116"/>
      <c r="V2901" s="104"/>
      <c r="W2901" s="116"/>
    </row>
    <row r="2902">
      <c r="A2902" s="114" t="s">
        <v>39</v>
      </c>
      <c r="B2902" s="115"/>
      <c r="C2902" s="116"/>
      <c r="D2902" s="116"/>
      <c r="E2902" s="116" t="str">
        <f>IFERROR(__xludf.DUMMYFUNCTION("""COMPUTED_VALUE"""),"")</f>
        <v/>
      </c>
      <c r="F2902" s="117" t="s">
        <v>39</v>
      </c>
      <c r="G2902" s="116"/>
      <c r="H2902" s="117"/>
      <c r="I2902" s="117"/>
      <c r="J2902" s="117"/>
      <c r="K2902" s="117"/>
      <c r="L2902" s="116"/>
      <c r="M2902" s="117"/>
      <c r="N2902" s="118" t="str">
        <f>IFERROR(__xludf.DUMMYFUNCTION("""COMPUTED_VALUE"""),"")</f>
        <v/>
      </c>
      <c r="O2902" s="116"/>
      <c r="P2902" s="116"/>
      <c r="Q2902" s="116"/>
      <c r="R2902" s="116" t="s">
        <v>39</v>
      </c>
      <c r="S2902" s="116" t="s">
        <v>39</v>
      </c>
      <c r="T2902" s="104"/>
      <c r="U2902" s="116"/>
      <c r="V2902" s="104"/>
      <c r="W2902" s="116"/>
    </row>
    <row r="2903">
      <c r="A2903" s="114" t="s">
        <v>39</v>
      </c>
      <c r="B2903" s="115"/>
      <c r="C2903" s="116"/>
      <c r="D2903" s="116"/>
      <c r="E2903" s="116" t="str">
        <f>IFERROR(__xludf.DUMMYFUNCTION("""COMPUTED_VALUE"""),"")</f>
        <v/>
      </c>
      <c r="F2903" s="117" t="s">
        <v>39</v>
      </c>
      <c r="G2903" s="116"/>
      <c r="H2903" s="117"/>
      <c r="I2903" s="117"/>
      <c r="J2903" s="117"/>
      <c r="K2903" s="117"/>
      <c r="L2903" s="116"/>
      <c r="M2903" s="117"/>
      <c r="N2903" s="118" t="str">
        <f>IFERROR(__xludf.DUMMYFUNCTION("""COMPUTED_VALUE"""),"")</f>
        <v/>
      </c>
      <c r="O2903" s="116"/>
      <c r="P2903" s="116"/>
      <c r="Q2903" s="116"/>
      <c r="R2903" s="116" t="s">
        <v>39</v>
      </c>
      <c r="S2903" s="116" t="s">
        <v>39</v>
      </c>
      <c r="T2903" s="104"/>
      <c r="U2903" s="116"/>
      <c r="V2903" s="104"/>
      <c r="W2903" s="116"/>
    </row>
    <row r="2904">
      <c r="A2904" s="114" t="s">
        <v>39</v>
      </c>
      <c r="B2904" s="115"/>
      <c r="C2904" s="116"/>
      <c r="D2904" s="116"/>
      <c r="E2904" s="116" t="str">
        <f>IFERROR(__xludf.DUMMYFUNCTION("""COMPUTED_VALUE"""),"")</f>
        <v/>
      </c>
      <c r="F2904" s="117" t="s">
        <v>39</v>
      </c>
      <c r="G2904" s="116"/>
      <c r="H2904" s="117"/>
      <c r="I2904" s="117"/>
      <c r="J2904" s="117"/>
      <c r="K2904" s="117"/>
      <c r="L2904" s="116"/>
      <c r="M2904" s="117"/>
      <c r="N2904" s="118" t="str">
        <f>IFERROR(__xludf.DUMMYFUNCTION("""COMPUTED_VALUE"""),"")</f>
        <v/>
      </c>
      <c r="O2904" s="116"/>
      <c r="P2904" s="116"/>
      <c r="Q2904" s="116"/>
      <c r="R2904" s="116" t="s">
        <v>39</v>
      </c>
      <c r="S2904" s="116" t="s">
        <v>39</v>
      </c>
      <c r="T2904" s="104"/>
      <c r="U2904" s="116"/>
      <c r="V2904" s="104"/>
      <c r="W2904" s="116"/>
    </row>
    <row r="2905">
      <c r="A2905" s="114" t="s">
        <v>39</v>
      </c>
      <c r="B2905" s="115"/>
      <c r="C2905" s="116"/>
      <c r="D2905" s="116"/>
      <c r="E2905" s="116" t="str">
        <f>IFERROR(__xludf.DUMMYFUNCTION("""COMPUTED_VALUE"""),"")</f>
        <v/>
      </c>
      <c r="F2905" s="117" t="s">
        <v>39</v>
      </c>
      <c r="G2905" s="116"/>
      <c r="H2905" s="117"/>
      <c r="I2905" s="117"/>
      <c r="J2905" s="117"/>
      <c r="K2905" s="117"/>
      <c r="L2905" s="116"/>
      <c r="M2905" s="117"/>
      <c r="N2905" s="118" t="str">
        <f>IFERROR(__xludf.DUMMYFUNCTION("""COMPUTED_VALUE"""),"")</f>
        <v/>
      </c>
      <c r="O2905" s="116"/>
      <c r="P2905" s="116"/>
      <c r="Q2905" s="116"/>
      <c r="R2905" s="116" t="s">
        <v>39</v>
      </c>
      <c r="S2905" s="116" t="s">
        <v>39</v>
      </c>
      <c r="T2905" s="104"/>
      <c r="U2905" s="116"/>
      <c r="V2905" s="104"/>
      <c r="W2905" s="116"/>
    </row>
    <row r="2906">
      <c r="A2906" s="114" t="s">
        <v>39</v>
      </c>
      <c r="B2906" s="115"/>
      <c r="C2906" s="116"/>
      <c r="D2906" s="116"/>
      <c r="E2906" s="116" t="str">
        <f>IFERROR(__xludf.DUMMYFUNCTION("""COMPUTED_VALUE"""),"")</f>
        <v/>
      </c>
      <c r="F2906" s="117" t="s">
        <v>39</v>
      </c>
      <c r="G2906" s="116"/>
      <c r="H2906" s="117"/>
      <c r="I2906" s="117"/>
      <c r="J2906" s="117"/>
      <c r="K2906" s="117"/>
      <c r="L2906" s="116"/>
      <c r="M2906" s="117"/>
      <c r="N2906" s="118" t="str">
        <f>IFERROR(__xludf.DUMMYFUNCTION("""COMPUTED_VALUE"""),"")</f>
        <v/>
      </c>
      <c r="O2906" s="116"/>
      <c r="P2906" s="116"/>
      <c r="Q2906" s="116"/>
      <c r="R2906" s="116" t="s">
        <v>39</v>
      </c>
      <c r="S2906" s="116" t="s">
        <v>39</v>
      </c>
      <c r="T2906" s="104"/>
      <c r="U2906" s="116"/>
      <c r="V2906" s="104"/>
      <c r="W2906" s="116"/>
    </row>
    <row r="2907">
      <c r="A2907" s="114" t="s">
        <v>39</v>
      </c>
      <c r="B2907" s="115"/>
      <c r="C2907" s="116"/>
      <c r="D2907" s="116"/>
      <c r="E2907" s="116" t="str">
        <f>IFERROR(__xludf.DUMMYFUNCTION("""COMPUTED_VALUE"""),"")</f>
        <v/>
      </c>
      <c r="F2907" s="117" t="s">
        <v>39</v>
      </c>
      <c r="G2907" s="116"/>
      <c r="H2907" s="117"/>
      <c r="I2907" s="117"/>
      <c r="J2907" s="117"/>
      <c r="K2907" s="117"/>
      <c r="L2907" s="116"/>
      <c r="M2907" s="117"/>
      <c r="N2907" s="118" t="str">
        <f>IFERROR(__xludf.DUMMYFUNCTION("""COMPUTED_VALUE"""),"")</f>
        <v/>
      </c>
      <c r="O2907" s="116"/>
      <c r="P2907" s="116"/>
      <c r="Q2907" s="116"/>
      <c r="R2907" s="116" t="s">
        <v>39</v>
      </c>
      <c r="S2907" s="116" t="s">
        <v>39</v>
      </c>
      <c r="T2907" s="104"/>
      <c r="U2907" s="116"/>
      <c r="V2907" s="104"/>
      <c r="W2907" s="116"/>
    </row>
    <row r="2908">
      <c r="A2908" s="114" t="s">
        <v>39</v>
      </c>
      <c r="B2908" s="115"/>
      <c r="C2908" s="116"/>
      <c r="D2908" s="116"/>
      <c r="E2908" s="116" t="str">
        <f>IFERROR(__xludf.DUMMYFUNCTION("""COMPUTED_VALUE"""),"")</f>
        <v/>
      </c>
      <c r="F2908" s="117" t="s">
        <v>39</v>
      </c>
      <c r="G2908" s="116"/>
      <c r="H2908" s="117"/>
      <c r="I2908" s="117"/>
      <c r="J2908" s="117"/>
      <c r="K2908" s="117"/>
      <c r="L2908" s="116"/>
      <c r="M2908" s="117"/>
      <c r="N2908" s="118" t="str">
        <f>IFERROR(__xludf.DUMMYFUNCTION("""COMPUTED_VALUE"""),"")</f>
        <v/>
      </c>
      <c r="O2908" s="116"/>
      <c r="P2908" s="116"/>
      <c r="Q2908" s="116"/>
      <c r="R2908" s="116" t="s">
        <v>39</v>
      </c>
      <c r="S2908" s="116" t="s">
        <v>39</v>
      </c>
      <c r="T2908" s="104"/>
      <c r="U2908" s="116"/>
      <c r="V2908" s="104"/>
      <c r="W2908" s="116"/>
    </row>
    <row r="2909">
      <c r="A2909" s="114" t="s">
        <v>39</v>
      </c>
      <c r="B2909" s="115"/>
      <c r="C2909" s="116"/>
      <c r="D2909" s="116"/>
      <c r="E2909" s="116" t="str">
        <f>IFERROR(__xludf.DUMMYFUNCTION("""COMPUTED_VALUE"""),"")</f>
        <v/>
      </c>
      <c r="F2909" s="117" t="s">
        <v>39</v>
      </c>
      <c r="G2909" s="116"/>
      <c r="H2909" s="117"/>
      <c r="I2909" s="117"/>
      <c r="J2909" s="117"/>
      <c r="K2909" s="117"/>
      <c r="L2909" s="116"/>
      <c r="M2909" s="117"/>
      <c r="N2909" s="118" t="str">
        <f>IFERROR(__xludf.DUMMYFUNCTION("""COMPUTED_VALUE"""),"")</f>
        <v/>
      </c>
      <c r="O2909" s="116"/>
      <c r="P2909" s="116"/>
      <c r="Q2909" s="116"/>
      <c r="R2909" s="116" t="s">
        <v>39</v>
      </c>
      <c r="S2909" s="116" t="s">
        <v>39</v>
      </c>
      <c r="T2909" s="104"/>
      <c r="U2909" s="116"/>
      <c r="V2909" s="104"/>
      <c r="W2909" s="116"/>
    </row>
    <row r="2910">
      <c r="A2910" s="114" t="s">
        <v>39</v>
      </c>
      <c r="B2910" s="115"/>
      <c r="C2910" s="116"/>
      <c r="D2910" s="116"/>
      <c r="E2910" s="116" t="str">
        <f>IFERROR(__xludf.DUMMYFUNCTION("""COMPUTED_VALUE"""),"")</f>
        <v/>
      </c>
      <c r="F2910" s="117" t="s">
        <v>39</v>
      </c>
      <c r="G2910" s="116"/>
      <c r="H2910" s="117"/>
      <c r="I2910" s="117"/>
      <c r="J2910" s="117"/>
      <c r="K2910" s="117"/>
      <c r="L2910" s="116"/>
      <c r="M2910" s="117"/>
      <c r="N2910" s="118" t="str">
        <f>IFERROR(__xludf.DUMMYFUNCTION("""COMPUTED_VALUE"""),"")</f>
        <v/>
      </c>
      <c r="O2910" s="116"/>
      <c r="P2910" s="116"/>
      <c r="Q2910" s="116"/>
      <c r="R2910" s="116" t="s">
        <v>39</v>
      </c>
      <c r="S2910" s="116" t="s">
        <v>39</v>
      </c>
      <c r="T2910" s="104"/>
      <c r="U2910" s="116"/>
      <c r="V2910" s="104"/>
      <c r="W2910" s="116"/>
    </row>
    <row r="2911">
      <c r="A2911" s="114" t="s">
        <v>39</v>
      </c>
      <c r="B2911" s="115"/>
      <c r="C2911" s="116"/>
      <c r="D2911" s="116"/>
      <c r="E2911" s="116" t="str">
        <f>IFERROR(__xludf.DUMMYFUNCTION("""COMPUTED_VALUE"""),"")</f>
        <v/>
      </c>
      <c r="F2911" s="117" t="s">
        <v>39</v>
      </c>
      <c r="G2911" s="116"/>
      <c r="H2911" s="117"/>
      <c r="I2911" s="117"/>
      <c r="J2911" s="117"/>
      <c r="K2911" s="117"/>
      <c r="L2911" s="116"/>
      <c r="M2911" s="117"/>
      <c r="N2911" s="118" t="str">
        <f>IFERROR(__xludf.DUMMYFUNCTION("""COMPUTED_VALUE"""),"")</f>
        <v/>
      </c>
      <c r="O2911" s="116"/>
      <c r="P2911" s="116"/>
      <c r="Q2911" s="116"/>
      <c r="R2911" s="116" t="s">
        <v>39</v>
      </c>
      <c r="S2911" s="116" t="s">
        <v>39</v>
      </c>
      <c r="T2911" s="104"/>
      <c r="U2911" s="116"/>
      <c r="V2911" s="104"/>
      <c r="W2911" s="116"/>
    </row>
    <row r="2912">
      <c r="A2912" s="114" t="s">
        <v>39</v>
      </c>
      <c r="B2912" s="115"/>
      <c r="C2912" s="116"/>
      <c r="D2912" s="116"/>
      <c r="E2912" s="116" t="str">
        <f>IFERROR(__xludf.DUMMYFUNCTION("""COMPUTED_VALUE"""),"")</f>
        <v/>
      </c>
      <c r="F2912" s="117" t="s">
        <v>39</v>
      </c>
      <c r="G2912" s="116"/>
      <c r="H2912" s="117"/>
      <c r="I2912" s="117"/>
      <c r="J2912" s="117"/>
      <c r="K2912" s="117"/>
      <c r="L2912" s="116"/>
      <c r="M2912" s="117"/>
      <c r="N2912" s="118" t="str">
        <f>IFERROR(__xludf.DUMMYFUNCTION("""COMPUTED_VALUE"""),"")</f>
        <v/>
      </c>
      <c r="O2912" s="116"/>
      <c r="P2912" s="116"/>
      <c r="Q2912" s="116"/>
      <c r="R2912" s="116" t="s">
        <v>39</v>
      </c>
      <c r="S2912" s="116" t="s">
        <v>39</v>
      </c>
      <c r="T2912" s="104"/>
      <c r="U2912" s="116"/>
      <c r="V2912" s="104"/>
      <c r="W2912" s="116"/>
    </row>
    <row r="2913">
      <c r="A2913" s="114" t="s">
        <v>39</v>
      </c>
      <c r="B2913" s="115"/>
      <c r="C2913" s="116"/>
      <c r="D2913" s="116"/>
      <c r="E2913" s="116" t="str">
        <f>IFERROR(__xludf.DUMMYFUNCTION("""COMPUTED_VALUE"""),"")</f>
        <v/>
      </c>
      <c r="F2913" s="117" t="s">
        <v>39</v>
      </c>
      <c r="G2913" s="116"/>
      <c r="H2913" s="117"/>
      <c r="I2913" s="117"/>
      <c r="J2913" s="117"/>
      <c r="K2913" s="117"/>
      <c r="L2913" s="116"/>
      <c r="M2913" s="117"/>
      <c r="N2913" s="118" t="str">
        <f>IFERROR(__xludf.DUMMYFUNCTION("""COMPUTED_VALUE"""),"")</f>
        <v/>
      </c>
      <c r="O2913" s="116"/>
      <c r="P2913" s="116"/>
      <c r="Q2913" s="116"/>
      <c r="R2913" s="116" t="s">
        <v>39</v>
      </c>
      <c r="S2913" s="116" t="s">
        <v>39</v>
      </c>
      <c r="T2913" s="104"/>
      <c r="U2913" s="116"/>
      <c r="V2913" s="104"/>
      <c r="W2913" s="116"/>
    </row>
    <row r="2914">
      <c r="A2914" s="114" t="s">
        <v>39</v>
      </c>
      <c r="B2914" s="115"/>
      <c r="C2914" s="116"/>
      <c r="D2914" s="116"/>
      <c r="E2914" s="116" t="str">
        <f>IFERROR(__xludf.DUMMYFUNCTION("""COMPUTED_VALUE"""),"")</f>
        <v/>
      </c>
      <c r="F2914" s="117" t="s">
        <v>39</v>
      </c>
      <c r="G2914" s="116"/>
      <c r="H2914" s="117"/>
      <c r="I2914" s="117"/>
      <c r="J2914" s="117"/>
      <c r="K2914" s="117"/>
      <c r="L2914" s="116"/>
      <c r="M2914" s="117"/>
      <c r="N2914" s="118" t="str">
        <f>IFERROR(__xludf.DUMMYFUNCTION("""COMPUTED_VALUE"""),"")</f>
        <v/>
      </c>
      <c r="O2914" s="116"/>
      <c r="P2914" s="116"/>
      <c r="Q2914" s="116"/>
      <c r="R2914" s="116" t="s">
        <v>39</v>
      </c>
      <c r="S2914" s="116" t="s">
        <v>39</v>
      </c>
      <c r="T2914" s="104"/>
      <c r="U2914" s="116"/>
      <c r="V2914" s="104"/>
      <c r="W2914" s="116"/>
    </row>
    <row r="2915">
      <c r="A2915" s="114" t="s">
        <v>39</v>
      </c>
      <c r="B2915" s="115"/>
      <c r="C2915" s="116"/>
      <c r="D2915" s="116"/>
      <c r="E2915" s="116" t="str">
        <f>IFERROR(__xludf.DUMMYFUNCTION("""COMPUTED_VALUE"""),"")</f>
        <v/>
      </c>
      <c r="F2915" s="117" t="s">
        <v>39</v>
      </c>
      <c r="G2915" s="116"/>
      <c r="H2915" s="117"/>
      <c r="I2915" s="117"/>
      <c r="J2915" s="117"/>
      <c r="K2915" s="117"/>
      <c r="L2915" s="116"/>
      <c r="M2915" s="117"/>
      <c r="N2915" s="118" t="str">
        <f>IFERROR(__xludf.DUMMYFUNCTION("""COMPUTED_VALUE"""),"")</f>
        <v/>
      </c>
      <c r="O2915" s="116"/>
      <c r="P2915" s="116"/>
      <c r="Q2915" s="116"/>
      <c r="R2915" s="116" t="s">
        <v>39</v>
      </c>
      <c r="S2915" s="116" t="s">
        <v>39</v>
      </c>
      <c r="T2915" s="104"/>
      <c r="U2915" s="116"/>
      <c r="V2915" s="104"/>
      <c r="W2915" s="116"/>
    </row>
    <row r="2916">
      <c r="A2916" s="114" t="s">
        <v>39</v>
      </c>
      <c r="B2916" s="115"/>
      <c r="C2916" s="116"/>
      <c r="D2916" s="116"/>
      <c r="E2916" s="116" t="str">
        <f>IFERROR(__xludf.DUMMYFUNCTION("""COMPUTED_VALUE"""),"")</f>
        <v/>
      </c>
      <c r="F2916" s="117" t="s">
        <v>39</v>
      </c>
      <c r="G2916" s="116"/>
      <c r="H2916" s="117"/>
      <c r="I2916" s="117"/>
      <c r="J2916" s="117"/>
      <c r="K2916" s="117"/>
      <c r="L2916" s="116"/>
      <c r="M2916" s="117"/>
      <c r="N2916" s="118" t="str">
        <f>IFERROR(__xludf.DUMMYFUNCTION("""COMPUTED_VALUE"""),"")</f>
        <v/>
      </c>
      <c r="O2916" s="116"/>
      <c r="P2916" s="116"/>
      <c r="Q2916" s="116"/>
      <c r="R2916" s="116" t="s">
        <v>39</v>
      </c>
      <c r="S2916" s="116" t="s">
        <v>39</v>
      </c>
      <c r="T2916" s="104"/>
      <c r="U2916" s="116"/>
      <c r="V2916" s="104"/>
      <c r="W2916" s="116"/>
    </row>
    <row r="2917">
      <c r="A2917" s="114" t="s">
        <v>39</v>
      </c>
      <c r="B2917" s="115"/>
      <c r="C2917" s="116"/>
      <c r="D2917" s="116"/>
      <c r="E2917" s="116" t="str">
        <f>IFERROR(__xludf.DUMMYFUNCTION("""COMPUTED_VALUE"""),"")</f>
        <v/>
      </c>
      <c r="F2917" s="117" t="s">
        <v>39</v>
      </c>
      <c r="G2917" s="116"/>
      <c r="H2917" s="117"/>
      <c r="I2917" s="117"/>
      <c r="J2917" s="117"/>
      <c r="K2917" s="117"/>
      <c r="L2917" s="116"/>
      <c r="M2917" s="117"/>
      <c r="N2917" s="118" t="str">
        <f>IFERROR(__xludf.DUMMYFUNCTION("""COMPUTED_VALUE"""),"")</f>
        <v/>
      </c>
      <c r="O2917" s="116"/>
      <c r="P2917" s="116"/>
      <c r="Q2917" s="116"/>
      <c r="R2917" s="116" t="s">
        <v>39</v>
      </c>
      <c r="S2917" s="116" t="s">
        <v>39</v>
      </c>
      <c r="T2917" s="104"/>
      <c r="U2917" s="116"/>
      <c r="V2917" s="104"/>
      <c r="W2917" s="116"/>
    </row>
    <row r="2918">
      <c r="A2918" s="114" t="s">
        <v>39</v>
      </c>
      <c r="B2918" s="115"/>
      <c r="C2918" s="116"/>
      <c r="D2918" s="116"/>
      <c r="E2918" s="116" t="str">
        <f>IFERROR(__xludf.DUMMYFUNCTION("""COMPUTED_VALUE"""),"")</f>
        <v/>
      </c>
      <c r="F2918" s="117" t="s">
        <v>39</v>
      </c>
      <c r="G2918" s="116"/>
      <c r="H2918" s="117"/>
      <c r="I2918" s="117"/>
      <c r="J2918" s="117"/>
      <c r="K2918" s="117"/>
      <c r="L2918" s="116"/>
      <c r="M2918" s="117"/>
      <c r="N2918" s="118" t="str">
        <f>IFERROR(__xludf.DUMMYFUNCTION("""COMPUTED_VALUE"""),"")</f>
        <v/>
      </c>
      <c r="O2918" s="116"/>
      <c r="P2918" s="116"/>
      <c r="Q2918" s="116"/>
      <c r="R2918" s="116" t="s">
        <v>39</v>
      </c>
      <c r="S2918" s="116" t="s">
        <v>39</v>
      </c>
      <c r="T2918" s="104"/>
      <c r="U2918" s="116"/>
      <c r="V2918" s="104"/>
      <c r="W2918" s="116"/>
    </row>
    <row r="2919">
      <c r="A2919" s="114" t="s">
        <v>39</v>
      </c>
      <c r="B2919" s="115"/>
      <c r="C2919" s="116"/>
      <c r="D2919" s="116"/>
      <c r="E2919" s="116" t="str">
        <f>IFERROR(__xludf.DUMMYFUNCTION("""COMPUTED_VALUE"""),"")</f>
        <v/>
      </c>
      <c r="F2919" s="117" t="s">
        <v>39</v>
      </c>
      <c r="G2919" s="116"/>
      <c r="H2919" s="117"/>
      <c r="I2919" s="117"/>
      <c r="J2919" s="117"/>
      <c r="K2919" s="117"/>
      <c r="L2919" s="116"/>
      <c r="M2919" s="117"/>
      <c r="N2919" s="118" t="str">
        <f>IFERROR(__xludf.DUMMYFUNCTION("""COMPUTED_VALUE"""),"")</f>
        <v/>
      </c>
      <c r="O2919" s="116"/>
      <c r="P2919" s="116"/>
      <c r="Q2919" s="116"/>
      <c r="R2919" s="116" t="s">
        <v>39</v>
      </c>
      <c r="S2919" s="116" t="s">
        <v>39</v>
      </c>
      <c r="T2919" s="104"/>
      <c r="U2919" s="116"/>
      <c r="V2919" s="104"/>
      <c r="W2919" s="116"/>
    </row>
    <row r="2920">
      <c r="A2920" s="114" t="s">
        <v>39</v>
      </c>
      <c r="B2920" s="115"/>
      <c r="C2920" s="116"/>
      <c r="D2920" s="116"/>
      <c r="E2920" s="116" t="str">
        <f>IFERROR(__xludf.DUMMYFUNCTION("""COMPUTED_VALUE"""),"")</f>
        <v/>
      </c>
      <c r="F2920" s="117" t="s">
        <v>39</v>
      </c>
      <c r="G2920" s="116"/>
      <c r="H2920" s="117"/>
      <c r="I2920" s="117"/>
      <c r="J2920" s="117"/>
      <c r="K2920" s="117"/>
      <c r="L2920" s="116"/>
      <c r="M2920" s="117"/>
      <c r="N2920" s="118" t="str">
        <f>IFERROR(__xludf.DUMMYFUNCTION("""COMPUTED_VALUE"""),"")</f>
        <v/>
      </c>
      <c r="O2920" s="116"/>
      <c r="P2920" s="116"/>
      <c r="Q2920" s="116"/>
      <c r="R2920" s="116" t="s">
        <v>39</v>
      </c>
      <c r="S2920" s="116" t="s">
        <v>39</v>
      </c>
      <c r="T2920" s="104"/>
      <c r="U2920" s="116"/>
      <c r="V2920" s="104"/>
      <c r="W2920" s="116"/>
    </row>
    <row r="2921">
      <c r="A2921" s="114" t="s">
        <v>39</v>
      </c>
      <c r="B2921" s="115"/>
      <c r="C2921" s="116"/>
      <c r="D2921" s="116"/>
      <c r="E2921" s="116" t="str">
        <f>IFERROR(__xludf.DUMMYFUNCTION("""COMPUTED_VALUE"""),"")</f>
        <v/>
      </c>
      <c r="F2921" s="117" t="s">
        <v>39</v>
      </c>
      <c r="G2921" s="116"/>
      <c r="H2921" s="117"/>
      <c r="I2921" s="117"/>
      <c r="J2921" s="117"/>
      <c r="K2921" s="117"/>
      <c r="L2921" s="116"/>
      <c r="M2921" s="117"/>
      <c r="N2921" s="118" t="str">
        <f>IFERROR(__xludf.DUMMYFUNCTION("""COMPUTED_VALUE"""),"")</f>
        <v/>
      </c>
      <c r="O2921" s="116"/>
      <c r="P2921" s="116"/>
      <c r="Q2921" s="116"/>
      <c r="R2921" s="116" t="s">
        <v>39</v>
      </c>
      <c r="S2921" s="116" t="s">
        <v>39</v>
      </c>
      <c r="T2921" s="104"/>
      <c r="U2921" s="116"/>
      <c r="V2921" s="104"/>
      <c r="W2921" s="116"/>
    </row>
    <row r="2922">
      <c r="A2922" s="114" t="s">
        <v>39</v>
      </c>
      <c r="B2922" s="115"/>
      <c r="C2922" s="116"/>
      <c r="D2922" s="116"/>
      <c r="E2922" s="116" t="str">
        <f>IFERROR(__xludf.DUMMYFUNCTION("""COMPUTED_VALUE"""),"")</f>
        <v/>
      </c>
      <c r="F2922" s="117" t="s">
        <v>39</v>
      </c>
      <c r="G2922" s="116"/>
      <c r="H2922" s="117"/>
      <c r="I2922" s="117"/>
      <c r="J2922" s="117"/>
      <c r="K2922" s="117"/>
      <c r="L2922" s="116"/>
      <c r="M2922" s="117"/>
      <c r="N2922" s="118" t="str">
        <f>IFERROR(__xludf.DUMMYFUNCTION("""COMPUTED_VALUE"""),"")</f>
        <v/>
      </c>
      <c r="O2922" s="116"/>
      <c r="P2922" s="116"/>
      <c r="Q2922" s="116"/>
      <c r="R2922" s="116" t="s">
        <v>39</v>
      </c>
      <c r="S2922" s="116" t="s">
        <v>39</v>
      </c>
      <c r="T2922" s="104"/>
      <c r="U2922" s="116"/>
      <c r="V2922" s="104"/>
      <c r="W2922" s="116"/>
    </row>
    <row r="2923">
      <c r="A2923" s="114" t="s">
        <v>39</v>
      </c>
      <c r="B2923" s="115"/>
      <c r="C2923" s="116"/>
      <c r="D2923" s="116"/>
      <c r="E2923" s="116" t="str">
        <f>IFERROR(__xludf.DUMMYFUNCTION("""COMPUTED_VALUE"""),"")</f>
        <v/>
      </c>
      <c r="F2923" s="117" t="s">
        <v>39</v>
      </c>
      <c r="G2923" s="116"/>
      <c r="H2923" s="117"/>
      <c r="I2923" s="117"/>
      <c r="J2923" s="117"/>
      <c r="K2923" s="117"/>
      <c r="L2923" s="116"/>
      <c r="M2923" s="117"/>
      <c r="N2923" s="118" t="str">
        <f>IFERROR(__xludf.DUMMYFUNCTION("""COMPUTED_VALUE"""),"")</f>
        <v/>
      </c>
      <c r="O2923" s="116"/>
      <c r="P2923" s="116"/>
      <c r="Q2923" s="116"/>
      <c r="R2923" s="116" t="s">
        <v>39</v>
      </c>
      <c r="S2923" s="116" t="s">
        <v>39</v>
      </c>
      <c r="T2923" s="104"/>
      <c r="U2923" s="116"/>
      <c r="V2923" s="104"/>
      <c r="W2923" s="116"/>
    </row>
    <row r="2924">
      <c r="A2924" s="114" t="s">
        <v>39</v>
      </c>
      <c r="B2924" s="115"/>
      <c r="C2924" s="116"/>
      <c r="D2924" s="116"/>
      <c r="E2924" s="116" t="str">
        <f>IFERROR(__xludf.DUMMYFUNCTION("""COMPUTED_VALUE"""),"")</f>
        <v/>
      </c>
      <c r="F2924" s="117" t="s">
        <v>39</v>
      </c>
      <c r="G2924" s="116"/>
      <c r="H2924" s="117"/>
      <c r="I2924" s="117"/>
      <c r="J2924" s="117"/>
      <c r="K2924" s="117"/>
      <c r="L2924" s="116"/>
      <c r="M2924" s="117"/>
      <c r="N2924" s="118" t="str">
        <f>IFERROR(__xludf.DUMMYFUNCTION("""COMPUTED_VALUE"""),"")</f>
        <v/>
      </c>
      <c r="O2924" s="116"/>
      <c r="P2924" s="116"/>
      <c r="Q2924" s="116"/>
      <c r="R2924" s="116" t="s">
        <v>39</v>
      </c>
      <c r="S2924" s="116" t="s">
        <v>39</v>
      </c>
      <c r="T2924" s="104"/>
      <c r="U2924" s="116"/>
      <c r="V2924" s="104"/>
      <c r="W2924" s="116"/>
    </row>
    <row r="2925">
      <c r="A2925" s="114" t="s">
        <v>39</v>
      </c>
      <c r="B2925" s="115"/>
      <c r="C2925" s="116"/>
      <c r="D2925" s="116"/>
      <c r="E2925" s="116" t="str">
        <f>IFERROR(__xludf.DUMMYFUNCTION("""COMPUTED_VALUE"""),"")</f>
        <v/>
      </c>
      <c r="F2925" s="117" t="s">
        <v>39</v>
      </c>
      <c r="G2925" s="116"/>
      <c r="H2925" s="117"/>
      <c r="I2925" s="117"/>
      <c r="J2925" s="117"/>
      <c r="K2925" s="117"/>
      <c r="L2925" s="116"/>
      <c r="M2925" s="117"/>
      <c r="N2925" s="118" t="str">
        <f>IFERROR(__xludf.DUMMYFUNCTION("""COMPUTED_VALUE"""),"")</f>
        <v/>
      </c>
      <c r="O2925" s="116"/>
      <c r="P2925" s="116"/>
      <c r="Q2925" s="116"/>
      <c r="R2925" s="116" t="s">
        <v>39</v>
      </c>
      <c r="S2925" s="116" t="s">
        <v>39</v>
      </c>
      <c r="T2925" s="104"/>
      <c r="U2925" s="116"/>
      <c r="V2925" s="104"/>
      <c r="W2925" s="116"/>
    </row>
    <row r="2926">
      <c r="A2926" s="114" t="s">
        <v>39</v>
      </c>
      <c r="B2926" s="115"/>
      <c r="C2926" s="116"/>
      <c r="D2926" s="116"/>
      <c r="E2926" s="116" t="str">
        <f>IFERROR(__xludf.DUMMYFUNCTION("""COMPUTED_VALUE"""),"")</f>
        <v/>
      </c>
      <c r="F2926" s="117" t="s">
        <v>39</v>
      </c>
      <c r="G2926" s="116"/>
      <c r="H2926" s="117"/>
      <c r="I2926" s="117"/>
      <c r="J2926" s="117"/>
      <c r="K2926" s="117"/>
      <c r="L2926" s="116"/>
      <c r="M2926" s="117"/>
      <c r="N2926" s="118" t="str">
        <f>IFERROR(__xludf.DUMMYFUNCTION("""COMPUTED_VALUE"""),"")</f>
        <v/>
      </c>
      <c r="O2926" s="116"/>
      <c r="P2926" s="116"/>
      <c r="Q2926" s="116"/>
      <c r="R2926" s="116" t="s">
        <v>39</v>
      </c>
      <c r="S2926" s="116" t="s">
        <v>39</v>
      </c>
      <c r="T2926" s="104"/>
      <c r="U2926" s="116"/>
      <c r="V2926" s="104"/>
      <c r="W2926" s="116"/>
    </row>
    <row r="2927">
      <c r="A2927" s="114" t="s">
        <v>39</v>
      </c>
      <c r="B2927" s="115"/>
      <c r="C2927" s="116"/>
      <c r="D2927" s="116"/>
      <c r="E2927" s="116" t="str">
        <f>IFERROR(__xludf.DUMMYFUNCTION("""COMPUTED_VALUE"""),"")</f>
        <v/>
      </c>
      <c r="F2927" s="117" t="s">
        <v>39</v>
      </c>
      <c r="G2927" s="116"/>
      <c r="H2927" s="117"/>
      <c r="I2927" s="117"/>
      <c r="J2927" s="117"/>
      <c r="K2927" s="117"/>
      <c r="L2927" s="116"/>
      <c r="M2927" s="117"/>
      <c r="N2927" s="118" t="str">
        <f>IFERROR(__xludf.DUMMYFUNCTION("""COMPUTED_VALUE"""),"")</f>
        <v/>
      </c>
      <c r="O2927" s="116"/>
      <c r="P2927" s="116"/>
      <c r="Q2927" s="116"/>
      <c r="R2927" s="116" t="s">
        <v>39</v>
      </c>
      <c r="S2927" s="116" t="s">
        <v>39</v>
      </c>
      <c r="T2927" s="104"/>
      <c r="U2927" s="116"/>
      <c r="V2927" s="104"/>
      <c r="W2927" s="116"/>
    </row>
    <row r="2928">
      <c r="A2928" s="114" t="s">
        <v>39</v>
      </c>
      <c r="B2928" s="115"/>
      <c r="C2928" s="116"/>
      <c r="D2928" s="116"/>
      <c r="E2928" s="116" t="str">
        <f>IFERROR(__xludf.DUMMYFUNCTION("""COMPUTED_VALUE"""),"")</f>
        <v/>
      </c>
      <c r="F2928" s="117" t="s">
        <v>39</v>
      </c>
      <c r="G2928" s="116"/>
      <c r="H2928" s="117"/>
      <c r="I2928" s="117"/>
      <c r="J2928" s="117"/>
      <c r="K2928" s="117"/>
      <c r="L2928" s="116"/>
      <c r="M2928" s="117"/>
      <c r="N2928" s="118" t="str">
        <f>IFERROR(__xludf.DUMMYFUNCTION("""COMPUTED_VALUE"""),"")</f>
        <v/>
      </c>
      <c r="O2928" s="116"/>
      <c r="P2928" s="116"/>
      <c r="Q2928" s="116"/>
      <c r="R2928" s="116" t="s">
        <v>39</v>
      </c>
      <c r="S2928" s="116" t="s">
        <v>39</v>
      </c>
      <c r="T2928" s="104"/>
      <c r="U2928" s="116"/>
      <c r="V2928" s="104"/>
      <c r="W2928" s="116"/>
    </row>
    <row r="2929">
      <c r="A2929" s="114" t="s">
        <v>39</v>
      </c>
      <c r="B2929" s="115"/>
      <c r="C2929" s="116"/>
      <c r="D2929" s="116"/>
      <c r="E2929" s="116" t="str">
        <f>IFERROR(__xludf.DUMMYFUNCTION("""COMPUTED_VALUE"""),"")</f>
        <v/>
      </c>
      <c r="F2929" s="117" t="s">
        <v>39</v>
      </c>
      <c r="G2929" s="116"/>
      <c r="H2929" s="117"/>
      <c r="I2929" s="117"/>
      <c r="J2929" s="117"/>
      <c r="K2929" s="117"/>
      <c r="L2929" s="116"/>
      <c r="M2929" s="117"/>
      <c r="N2929" s="118" t="str">
        <f>IFERROR(__xludf.DUMMYFUNCTION("""COMPUTED_VALUE"""),"")</f>
        <v/>
      </c>
      <c r="O2929" s="116"/>
      <c r="P2929" s="116"/>
      <c r="Q2929" s="116"/>
      <c r="R2929" s="116" t="s">
        <v>39</v>
      </c>
      <c r="S2929" s="116" t="s">
        <v>39</v>
      </c>
      <c r="T2929" s="104"/>
      <c r="U2929" s="116"/>
      <c r="V2929" s="104"/>
      <c r="W2929" s="116"/>
    </row>
    <row r="2930">
      <c r="A2930" s="114" t="s">
        <v>39</v>
      </c>
      <c r="B2930" s="115"/>
      <c r="C2930" s="116"/>
      <c r="D2930" s="116"/>
      <c r="E2930" s="116" t="str">
        <f>IFERROR(__xludf.DUMMYFUNCTION("""COMPUTED_VALUE"""),"")</f>
        <v/>
      </c>
      <c r="F2930" s="117" t="s">
        <v>39</v>
      </c>
      <c r="G2930" s="116"/>
      <c r="H2930" s="117"/>
      <c r="I2930" s="117"/>
      <c r="J2930" s="117"/>
      <c r="K2930" s="117"/>
      <c r="L2930" s="116"/>
      <c r="M2930" s="117"/>
      <c r="N2930" s="118" t="str">
        <f>IFERROR(__xludf.DUMMYFUNCTION("""COMPUTED_VALUE"""),"")</f>
        <v/>
      </c>
      <c r="O2930" s="116"/>
      <c r="P2930" s="116"/>
      <c r="Q2930" s="116"/>
      <c r="R2930" s="116" t="s">
        <v>39</v>
      </c>
      <c r="S2930" s="116" t="s">
        <v>39</v>
      </c>
      <c r="T2930" s="104"/>
      <c r="U2930" s="116"/>
      <c r="V2930" s="104"/>
      <c r="W2930" s="116"/>
    </row>
    <row r="2931">
      <c r="A2931" s="114" t="s">
        <v>39</v>
      </c>
      <c r="B2931" s="115"/>
      <c r="C2931" s="116"/>
      <c r="D2931" s="116"/>
      <c r="E2931" s="116" t="str">
        <f>IFERROR(__xludf.DUMMYFUNCTION("""COMPUTED_VALUE"""),"")</f>
        <v/>
      </c>
      <c r="F2931" s="117" t="s">
        <v>39</v>
      </c>
      <c r="G2931" s="116"/>
      <c r="H2931" s="117"/>
      <c r="I2931" s="117"/>
      <c r="J2931" s="117"/>
      <c r="K2931" s="117"/>
      <c r="L2931" s="116"/>
      <c r="M2931" s="117"/>
      <c r="N2931" s="118" t="str">
        <f>IFERROR(__xludf.DUMMYFUNCTION("""COMPUTED_VALUE"""),"")</f>
        <v/>
      </c>
      <c r="O2931" s="116"/>
      <c r="P2931" s="116"/>
      <c r="Q2931" s="116"/>
      <c r="R2931" s="116" t="s">
        <v>39</v>
      </c>
      <c r="S2931" s="116" t="s">
        <v>39</v>
      </c>
      <c r="T2931" s="104"/>
      <c r="U2931" s="116"/>
      <c r="V2931" s="104"/>
      <c r="W2931" s="116"/>
    </row>
    <row r="2932">
      <c r="A2932" s="114" t="s">
        <v>39</v>
      </c>
      <c r="B2932" s="115"/>
      <c r="C2932" s="116"/>
      <c r="D2932" s="116"/>
      <c r="E2932" s="116" t="str">
        <f>IFERROR(__xludf.DUMMYFUNCTION("""COMPUTED_VALUE"""),"")</f>
        <v/>
      </c>
      <c r="F2932" s="117" t="s">
        <v>39</v>
      </c>
      <c r="G2932" s="116"/>
      <c r="H2932" s="117"/>
      <c r="I2932" s="117"/>
      <c r="J2932" s="117"/>
      <c r="K2932" s="117"/>
      <c r="L2932" s="116"/>
      <c r="M2932" s="117"/>
      <c r="N2932" s="118" t="str">
        <f>IFERROR(__xludf.DUMMYFUNCTION("""COMPUTED_VALUE"""),"")</f>
        <v/>
      </c>
      <c r="O2932" s="116"/>
      <c r="P2932" s="116"/>
      <c r="Q2932" s="116"/>
      <c r="R2932" s="116" t="s">
        <v>39</v>
      </c>
      <c r="S2932" s="116" t="s">
        <v>39</v>
      </c>
      <c r="T2932" s="104"/>
      <c r="U2932" s="116"/>
      <c r="V2932" s="104"/>
      <c r="W2932" s="116"/>
    </row>
    <row r="2933">
      <c r="A2933" s="114" t="s">
        <v>39</v>
      </c>
      <c r="B2933" s="115"/>
      <c r="C2933" s="116"/>
      <c r="D2933" s="116"/>
      <c r="E2933" s="116" t="str">
        <f>IFERROR(__xludf.DUMMYFUNCTION("""COMPUTED_VALUE"""),"")</f>
        <v/>
      </c>
      <c r="F2933" s="117" t="s">
        <v>39</v>
      </c>
      <c r="G2933" s="116"/>
      <c r="H2933" s="117"/>
      <c r="I2933" s="117"/>
      <c r="J2933" s="117"/>
      <c r="K2933" s="117"/>
      <c r="L2933" s="116"/>
      <c r="M2933" s="117"/>
      <c r="N2933" s="118" t="str">
        <f>IFERROR(__xludf.DUMMYFUNCTION("""COMPUTED_VALUE"""),"")</f>
        <v/>
      </c>
      <c r="O2933" s="116"/>
      <c r="P2933" s="116"/>
      <c r="Q2933" s="116"/>
      <c r="R2933" s="116" t="s">
        <v>39</v>
      </c>
      <c r="S2933" s="116" t="s">
        <v>39</v>
      </c>
      <c r="T2933" s="104"/>
      <c r="U2933" s="116"/>
      <c r="V2933" s="104"/>
      <c r="W2933" s="116"/>
    </row>
    <row r="2934">
      <c r="A2934" s="114" t="s">
        <v>39</v>
      </c>
      <c r="B2934" s="115"/>
      <c r="C2934" s="116"/>
      <c r="D2934" s="116"/>
      <c r="E2934" s="116" t="str">
        <f>IFERROR(__xludf.DUMMYFUNCTION("""COMPUTED_VALUE"""),"")</f>
        <v/>
      </c>
      <c r="F2934" s="117" t="s">
        <v>39</v>
      </c>
      <c r="G2934" s="116"/>
      <c r="H2934" s="117"/>
      <c r="I2934" s="117"/>
      <c r="J2934" s="117"/>
      <c r="K2934" s="117"/>
      <c r="L2934" s="116"/>
      <c r="M2934" s="117"/>
      <c r="N2934" s="118" t="str">
        <f>IFERROR(__xludf.DUMMYFUNCTION("""COMPUTED_VALUE"""),"")</f>
        <v/>
      </c>
      <c r="O2934" s="116"/>
      <c r="P2934" s="116"/>
      <c r="Q2934" s="116"/>
      <c r="R2934" s="116" t="s">
        <v>39</v>
      </c>
      <c r="S2934" s="116" t="s">
        <v>39</v>
      </c>
      <c r="T2934" s="104"/>
      <c r="U2934" s="116"/>
      <c r="V2934" s="104"/>
      <c r="W2934" s="116"/>
    </row>
    <row r="2935">
      <c r="A2935" s="114" t="s">
        <v>39</v>
      </c>
      <c r="B2935" s="115"/>
      <c r="C2935" s="116"/>
      <c r="D2935" s="116"/>
      <c r="E2935" s="116" t="str">
        <f>IFERROR(__xludf.DUMMYFUNCTION("""COMPUTED_VALUE"""),"")</f>
        <v/>
      </c>
      <c r="F2935" s="117" t="s">
        <v>39</v>
      </c>
      <c r="G2935" s="116"/>
      <c r="H2935" s="117"/>
      <c r="I2935" s="117"/>
      <c r="J2935" s="117"/>
      <c r="K2935" s="117"/>
      <c r="L2935" s="116"/>
      <c r="M2935" s="117"/>
      <c r="N2935" s="118" t="str">
        <f>IFERROR(__xludf.DUMMYFUNCTION("""COMPUTED_VALUE"""),"")</f>
        <v/>
      </c>
      <c r="O2935" s="116"/>
      <c r="P2935" s="116"/>
      <c r="Q2935" s="116"/>
      <c r="R2935" s="116" t="s">
        <v>39</v>
      </c>
      <c r="S2935" s="116" t="s">
        <v>39</v>
      </c>
      <c r="T2935" s="104"/>
      <c r="U2935" s="116"/>
      <c r="V2935" s="104"/>
      <c r="W2935" s="116"/>
    </row>
    <row r="2936">
      <c r="A2936" s="114" t="s">
        <v>39</v>
      </c>
      <c r="B2936" s="115"/>
      <c r="C2936" s="116"/>
      <c r="D2936" s="116"/>
      <c r="E2936" s="116" t="str">
        <f>IFERROR(__xludf.DUMMYFUNCTION("""COMPUTED_VALUE"""),"")</f>
        <v/>
      </c>
      <c r="F2936" s="117" t="s">
        <v>39</v>
      </c>
      <c r="G2936" s="116"/>
      <c r="H2936" s="117"/>
      <c r="I2936" s="117"/>
      <c r="J2936" s="117"/>
      <c r="K2936" s="117"/>
      <c r="L2936" s="116"/>
      <c r="M2936" s="117"/>
      <c r="N2936" s="118" t="str">
        <f>IFERROR(__xludf.DUMMYFUNCTION("""COMPUTED_VALUE"""),"")</f>
        <v/>
      </c>
      <c r="O2936" s="116"/>
      <c r="P2936" s="116"/>
      <c r="Q2936" s="116"/>
      <c r="R2936" s="116" t="s">
        <v>39</v>
      </c>
      <c r="S2936" s="116" t="s">
        <v>39</v>
      </c>
      <c r="T2936" s="104"/>
      <c r="U2936" s="116"/>
      <c r="V2936" s="104"/>
      <c r="W2936" s="116"/>
    </row>
    <row r="2937">
      <c r="A2937" s="114" t="s">
        <v>39</v>
      </c>
      <c r="B2937" s="115"/>
      <c r="C2937" s="116"/>
      <c r="D2937" s="116"/>
      <c r="E2937" s="116" t="str">
        <f>IFERROR(__xludf.DUMMYFUNCTION("""COMPUTED_VALUE"""),"")</f>
        <v/>
      </c>
      <c r="F2937" s="117" t="s">
        <v>39</v>
      </c>
      <c r="G2937" s="116"/>
      <c r="H2937" s="117"/>
      <c r="I2937" s="117"/>
      <c r="J2937" s="117"/>
      <c r="K2937" s="117"/>
      <c r="L2937" s="116"/>
      <c r="M2937" s="117"/>
      <c r="N2937" s="118" t="str">
        <f>IFERROR(__xludf.DUMMYFUNCTION("""COMPUTED_VALUE"""),"")</f>
        <v/>
      </c>
      <c r="O2937" s="116"/>
      <c r="P2937" s="116"/>
      <c r="Q2937" s="116"/>
      <c r="R2937" s="116" t="s">
        <v>39</v>
      </c>
      <c r="S2937" s="116" t="s">
        <v>39</v>
      </c>
      <c r="T2937" s="104"/>
      <c r="U2937" s="116"/>
      <c r="V2937" s="104"/>
      <c r="W2937" s="116"/>
    </row>
    <row r="2938">
      <c r="A2938" s="114" t="s">
        <v>39</v>
      </c>
      <c r="B2938" s="115"/>
      <c r="C2938" s="116"/>
      <c r="D2938" s="116"/>
      <c r="E2938" s="116" t="str">
        <f>IFERROR(__xludf.DUMMYFUNCTION("""COMPUTED_VALUE"""),"")</f>
        <v/>
      </c>
      <c r="F2938" s="117" t="s">
        <v>39</v>
      </c>
      <c r="G2938" s="116"/>
      <c r="H2938" s="117"/>
      <c r="I2938" s="117"/>
      <c r="J2938" s="117"/>
      <c r="K2938" s="117"/>
      <c r="L2938" s="116"/>
      <c r="M2938" s="117"/>
      <c r="N2938" s="118" t="str">
        <f>IFERROR(__xludf.DUMMYFUNCTION("""COMPUTED_VALUE"""),"")</f>
        <v/>
      </c>
      <c r="O2938" s="116"/>
      <c r="P2938" s="116"/>
      <c r="Q2938" s="116"/>
      <c r="R2938" s="116" t="s">
        <v>39</v>
      </c>
      <c r="S2938" s="116" t="s">
        <v>39</v>
      </c>
      <c r="T2938" s="104"/>
      <c r="U2938" s="116"/>
      <c r="V2938" s="104"/>
      <c r="W2938" s="116"/>
    </row>
    <row r="2939">
      <c r="A2939" s="114" t="s">
        <v>39</v>
      </c>
      <c r="B2939" s="115"/>
      <c r="C2939" s="116"/>
      <c r="D2939" s="116"/>
      <c r="E2939" s="116" t="str">
        <f>IFERROR(__xludf.DUMMYFUNCTION("""COMPUTED_VALUE"""),"")</f>
        <v/>
      </c>
      <c r="F2939" s="117" t="s">
        <v>39</v>
      </c>
      <c r="G2939" s="116"/>
      <c r="H2939" s="117"/>
      <c r="I2939" s="117"/>
      <c r="J2939" s="117"/>
      <c r="K2939" s="117"/>
      <c r="L2939" s="116"/>
      <c r="M2939" s="117"/>
      <c r="N2939" s="118" t="str">
        <f>IFERROR(__xludf.DUMMYFUNCTION("""COMPUTED_VALUE"""),"")</f>
        <v/>
      </c>
      <c r="O2939" s="116"/>
      <c r="P2939" s="116"/>
      <c r="Q2939" s="116"/>
      <c r="R2939" s="116" t="s">
        <v>39</v>
      </c>
      <c r="S2939" s="116" t="s">
        <v>39</v>
      </c>
      <c r="T2939" s="104"/>
      <c r="U2939" s="116"/>
      <c r="V2939" s="104"/>
      <c r="W2939" s="116"/>
    </row>
    <row r="2940">
      <c r="A2940" s="114" t="s">
        <v>39</v>
      </c>
      <c r="B2940" s="115"/>
      <c r="C2940" s="116"/>
      <c r="D2940" s="116"/>
      <c r="E2940" s="116" t="str">
        <f>IFERROR(__xludf.DUMMYFUNCTION("""COMPUTED_VALUE"""),"")</f>
        <v/>
      </c>
      <c r="F2940" s="117" t="s">
        <v>39</v>
      </c>
      <c r="G2940" s="116"/>
      <c r="H2940" s="117"/>
      <c r="I2940" s="117"/>
      <c r="J2940" s="117"/>
      <c r="K2940" s="117"/>
      <c r="L2940" s="116"/>
      <c r="M2940" s="117"/>
      <c r="N2940" s="118" t="str">
        <f>IFERROR(__xludf.DUMMYFUNCTION("""COMPUTED_VALUE"""),"")</f>
        <v/>
      </c>
      <c r="O2940" s="116"/>
      <c r="P2940" s="116"/>
      <c r="Q2940" s="116"/>
      <c r="R2940" s="116" t="s">
        <v>39</v>
      </c>
      <c r="S2940" s="116" t="s">
        <v>39</v>
      </c>
      <c r="T2940" s="104"/>
      <c r="U2940" s="116"/>
      <c r="V2940" s="104"/>
      <c r="W2940" s="116"/>
    </row>
    <row r="2941">
      <c r="A2941" s="114" t="s">
        <v>39</v>
      </c>
      <c r="B2941" s="115"/>
      <c r="C2941" s="116"/>
      <c r="D2941" s="116"/>
      <c r="E2941" s="116" t="str">
        <f>IFERROR(__xludf.DUMMYFUNCTION("""COMPUTED_VALUE"""),"")</f>
        <v/>
      </c>
      <c r="F2941" s="117" t="s">
        <v>39</v>
      </c>
      <c r="G2941" s="116"/>
      <c r="H2941" s="117"/>
      <c r="I2941" s="117"/>
      <c r="J2941" s="117"/>
      <c r="K2941" s="117"/>
      <c r="L2941" s="116"/>
      <c r="M2941" s="117"/>
      <c r="N2941" s="118" t="str">
        <f>IFERROR(__xludf.DUMMYFUNCTION("""COMPUTED_VALUE"""),"")</f>
        <v/>
      </c>
      <c r="O2941" s="116"/>
      <c r="P2941" s="116"/>
      <c r="Q2941" s="116"/>
      <c r="R2941" s="116" t="s">
        <v>39</v>
      </c>
      <c r="S2941" s="116" t="s">
        <v>39</v>
      </c>
      <c r="T2941" s="104"/>
      <c r="U2941" s="116"/>
      <c r="V2941" s="104"/>
      <c r="W2941" s="116"/>
    </row>
    <row r="2942">
      <c r="A2942" s="114" t="s">
        <v>39</v>
      </c>
      <c r="B2942" s="115"/>
      <c r="C2942" s="116"/>
      <c r="D2942" s="116"/>
      <c r="E2942" s="116" t="str">
        <f>IFERROR(__xludf.DUMMYFUNCTION("""COMPUTED_VALUE"""),"")</f>
        <v/>
      </c>
      <c r="F2942" s="117" t="s">
        <v>39</v>
      </c>
      <c r="G2942" s="116"/>
      <c r="H2942" s="117"/>
      <c r="I2942" s="117"/>
      <c r="J2942" s="117"/>
      <c r="K2942" s="117"/>
      <c r="L2942" s="116"/>
      <c r="M2942" s="117"/>
      <c r="N2942" s="118" t="str">
        <f>IFERROR(__xludf.DUMMYFUNCTION("""COMPUTED_VALUE"""),"")</f>
        <v/>
      </c>
      <c r="O2942" s="116"/>
      <c r="P2942" s="116"/>
      <c r="Q2942" s="116"/>
      <c r="R2942" s="116" t="s">
        <v>39</v>
      </c>
      <c r="S2942" s="116" t="s">
        <v>39</v>
      </c>
      <c r="T2942" s="104"/>
      <c r="U2942" s="116"/>
      <c r="V2942" s="104"/>
      <c r="W2942" s="116"/>
    </row>
    <row r="2943">
      <c r="A2943" s="114" t="s">
        <v>39</v>
      </c>
      <c r="B2943" s="115"/>
      <c r="C2943" s="116"/>
      <c r="D2943" s="116"/>
      <c r="E2943" s="116" t="str">
        <f>IFERROR(__xludf.DUMMYFUNCTION("""COMPUTED_VALUE"""),"")</f>
        <v/>
      </c>
      <c r="F2943" s="117" t="s">
        <v>39</v>
      </c>
      <c r="G2943" s="116"/>
      <c r="H2943" s="117"/>
      <c r="I2943" s="117"/>
      <c r="J2943" s="117"/>
      <c r="K2943" s="117"/>
      <c r="L2943" s="116"/>
      <c r="M2943" s="117"/>
      <c r="N2943" s="118" t="str">
        <f>IFERROR(__xludf.DUMMYFUNCTION("""COMPUTED_VALUE"""),"")</f>
        <v/>
      </c>
      <c r="O2943" s="116"/>
      <c r="P2943" s="116"/>
      <c r="Q2943" s="116"/>
      <c r="R2943" s="116" t="s">
        <v>39</v>
      </c>
      <c r="S2943" s="116" t="s">
        <v>39</v>
      </c>
      <c r="T2943" s="104"/>
      <c r="U2943" s="116"/>
      <c r="V2943" s="104"/>
      <c r="W2943" s="116"/>
    </row>
    <row r="2944">
      <c r="A2944" s="114" t="s">
        <v>39</v>
      </c>
      <c r="B2944" s="115"/>
      <c r="C2944" s="116"/>
      <c r="D2944" s="116"/>
      <c r="E2944" s="116" t="str">
        <f>IFERROR(__xludf.DUMMYFUNCTION("""COMPUTED_VALUE"""),"")</f>
        <v/>
      </c>
      <c r="F2944" s="117" t="s">
        <v>39</v>
      </c>
      <c r="G2944" s="116"/>
      <c r="H2944" s="117"/>
      <c r="I2944" s="117"/>
      <c r="J2944" s="117"/>
      <c r="K2944" s="117"/>
      <c r="L2944" s="116"/>
      <c r="M2944" s="117"/>
      <c r="N2944" s="118" t="str">
        <f>IFERROR(__xludf.DUMMYFUNCTION("""COMPUTED_VALUE"""),"")</f>
        <v/>
      </c>
      <c r="O2944" s="116"/>
      <c r="P2944" s="116"/>
      <c r="Q2944" s="116"/>
      <c r="R2944" s="116" t="s">
        <v>39</v>
      </c>
      <c r="S2944" s="116" t="s">
        <v>39</v>
      </c>
      <c r="T2944" s="104"/>
      <c r="U2944" s="116"/>
      <c r="V2944" s="104"/>
      <c r="W2944" s="116"/>
    </row>
    <row r="2945">
      <c r="A2945" s="114" t="s">
        <v>39</v>
      </c>
      <c r="B2945" s="115"/>
      <c r="C2945" s="116"/>
      <c r="D2945" s="116"/>
      <c r="E2945" s="116" t="str">
        <f>IFERROR(__xludf.DUMMYFUNCTION("""COMPUTED_VALUE"""),"")</f>
        <v/>
      </c>
      <c r="F2945" s="117" t="s">
        <v>39</v>
      </c>
      <c r="G2945" s="116"/>
      <c r="H2945" s="117"/>
      <c r="I2945" s="117"/>
      <c r="J2945" s="117"/>
      <c r="K2945" s="117"/>
      <c r="L2945" s="116"/>
      <c r="M2945" s="117"/>
      <c r="N2945" s="118" t="str">
        <f>IFERROR(__xludf.DUMMYFUNCTION("""COMPUTED_VALUE"""),"")</f>
        <v/>
      </c>
      <c r="O2945" s="116"/>
      <c r="P2945" s="116"/>
      <c r="Q2945" s="116"/>
      <c r="R2945" s="116" t="s">
        <v>39</v>
      </c>
      <c r="S2945" s="116" t="s">
        <v>39</v>
      </c>
      <c r="T2945" s="104"/>
      <c r="U2945" s="116"/>
      <c r="V2945" s="104"/>
      <c r="W2945" s="116"/>
    </row>
    <row r="2946">
      <c r="A2946" s="114" t="s">
        <v>39</v>
      </c>
      <c r="B2946" s="115"/>
      <c r="C2946" s="116"/>
      <c r="D2946" s="116"/>
      <c r="E2946" s="116" t="str">
        <f>IFERROR(__xludf.DUMMYFUNCTION("""COMPUTED_VALUE"""),"")</f>
        <v/>
      </c>
      <c r="F2946" s="117" t="s">
        <v>39</v>
      </c>
      <c r="G2946" s="116"/>
      <c r="H2946" s="117"/>
      <c r="I2946" s="117"/>
      <c r="J2946" s="117"/>
      <c r="K2946" s="117"/>
      <c r="L2946" s="116"/>
      <c r="M2946" s="117"/>
      <c r="N2946" s="118" t="str">
        <f>IFERROR(__xludf.DUMMYFUNCTION("""COMPUTED_VALUE"""),"")</f>
        <v/>
      </c>
      <c r="O2946" s="116"/>
      <c r="P2946" s="116"/>
      <c r="Q2946" s="116"/>
      <c r="R2946" s="116" t="s">
        <v>39</v>
      </c>
      <c r="S2946" s="116" t="s">
        <v>39</v>
      </c>
      <c r="T2946" s="104"/>
      <c r="U2946" s="116"/>
      <c r="V2946" s="104"/>
      <c r="W2946" s="116"/>
    </row>
    <row r="2947">
      <c r="A2947" s="114" t="s">
        <v>39</v>
      </c>
      <c r="B2947" s="115"/>
      <c r="C2947" s="116"/>
      <c r="D2947" s="116"/>
      <c r="E2947" s="116" t="str">
        <f>IFERROR(__xludf.DUMMYFUNCTION("""COMPUTED_VALUE"""),"")</f>
        <v/>
      </c>
      <c r="F2947" s="117" t="s">
        <v>39</v>
      </c>
      <c r="G2947" s="116"/>
      <c r="H2947" s="117"/>
      <c r="I2947" s="117"/>
      <c r="J2947" s="117"/>
      <c r="K2947" s="117"/>
      <c r="L2947" s="116"/>
      <c r="M2947" s="117"/>
      <c r="N2947" s="118" t="str">
        <f>IFERROR(__xludf.DUMMYFUNCTION("""COMPUTED_VALUE"""),"")</f>
        <v/>
      </c>
      <c r="O2947" s="116"/>
      <c r="P2947" s="116"/>
      <c r="Q2947" s="116"/>
      <c r="R2947" s="116" t="s">
        <v>39</v>
      </c>
      <c r="S2947" s="116" t="s">
        <v>39</v>
      </c>
      <c r="T2947" s="104"/>
      <c r="U2947" s="116"/>
      <c r="V2947" s="104"/>
      <c r="W2947" s="116"/>
    </row>
    <row r="2948">
      <c r="A2948" s="114" t="s">
        <v>39</v>
      </c>
      <c r="B2948" s="115"/>
      <c r="C2948" s="116"/>
      <c r="D2948" s="116"/>
      <c r="E2948" s="116" t="str">
        <f>IFERROR(__xludf.DUMMYFUNCTION("""COMPUTED_VALUE"""),"")</f>
        <v/>
      </c>
      <c r="F2948" s="117" t="s">
        <v>39</v>
      </c>
      <c r="G2948" s="116"/>
      <c r="H2948" s="117"/>
      <c r="I2948" s="117"/>
      <c r="J2948" s="117"/>
      <c r="K2948" s="117"/>
      <c r="L2948" s="116"/>
      <c r="M2948" s="117"/>
      <c r="N2948" s="118" t="str">
        <f>IFERROR(__xludf.DUMMYFUNCTION("""COMPUTED_VALUE"""),"")</f>
        <v/>
      </c>
      <c r="O2948" s="116"/>
      <c r="P2948" s="116"/>
      <c r="Q2948" s="116"/>
      <c r="R2948" s="116" t="s">
        <v>39</v>
      </c>
      <c r="S2948" s="116" t="s">
        <v>39</v>
      </c>
      <c r="T2948" s="104"/>
      <c r="U2948" s="116"/>
      <c r="V2948" s="104"/>
      <c r="W2948" s="116"/>
    </row>
    <row r="2949">
      <c r="A2949" s="114" t="s">
        <v>39</v>
      </c>
      <c r="B2949" s="115"/>
      <c r="C2949" s="116"/>
      <c r="D2949" s="116"/>
      <c r="E2949" s="116" t="str">
        <f>IFERROR(__xludf.DUMMYFUNCTION("""COMPUTED_VALUE"""),"")</f>
        <v/>
      </c>
      <c r="F2949" s="117" t="s">
        <v>39</v>
      </c>
      <c r="G2949" s="116"/>
      <c r="H2949" s="117"/>
      <c r="I2949" s="117"/>
      <c r="J2949" s="117"/>
      <c r="K2949" s="117"/>
      <c r="L2949" s="116"/>
      <c r="M2949" s="117"/>
      <c r="N2949" s="118" t="str">
        <f>IFERROR(__xludf.DUMMYFUNCTION("""COMPUTED_VALUE"""),"")</f>
        <v/>
      </c>
      <c r="O2949" s="116"/>
      <c r="P2949" s="116"/>
      <c r="Q2949" s="116"/>
      <c r="R2949" s="116" t="s">
        <v>39</v>
      </c>
      <c r="S2949" s="116" t="s">
        <v>39</v>
      </c>
      <c r="T2949" s="104"/>
      <c r="U2949" s="116"/>
      <c r="V2949" s="104"/>
      <c r="W2949" s="116"/>
    </row>
    <row r="2950">
      <c r="A2950" s="114" t="s">
        <v>39</v>
      </c>
      <c r="B2950" s="115"/>
      <c r="C2950" s="116"/>
      <c r="D2950" s="116"/>
      <c r="E2950" s="116" t="str">
        <f>IFERROR(__xludf.DUMMYFUNCTION("""COMPUTED_VALUE"""),"")</f>
        <v/>
      </c>
      <c r="F2950" s="117" t="s">
        <v>39</v>
      </c>
      <c r="G2950" s="116"/>
      <c r="H2950" s="117"/>
      <c r="I2950" s="117"/>
      <c r="J2950" s="117"/>
      <c r="K2950" s="117"/>
      <c r="L2950" s="116"/>
      <c r="M2950" s="117"/>
      <c r="N2950" s="118" t="str">
        <f>IFERROR(__xludf.DUMMYFUNCTION("""COMPUTED_VALUE"""),"")</f>
        <v/>
      </c>
      <c r="O2950" s="116"/>
      <c r="P2950" s="116"/>
      <c r="Q2950" s="116"/>
      <c r="R2950" s="116" t="s">
        <v>39</v>
      </c>
      <c r="S2950" s="116" t="s">
        <v>39</v>
      </c>
      <c r="T2950" s="104"/>
      <c r="U2950" s="116"/>
      <c r="V2950" s="104"/>
      <c r="W2950" s="116"/>
    </row>
    <row r="2951">
      <c r="A2951" s="114" t="s">
        <v>39</v>
      </c>
      <c r="B2951" s="115"/>
      <c r="C2951" s="116"/>
      <c r="D2951" s="116"/>
      <c r="E2951" s="116" t="str">
        <f>IFERROR(__xludf.DUMMYFUNCTION("""COMPUTED_VALUE"""),"")</f>
        <v/>
      </c>
      <c r="F2951" s="117" t="s">
        <v>39</v>
      </c>
      <c r="G2951" s="116"/>
      <c r="H2951" s="117"/>
      <c r="I2951" s="117"/>
      <c r="J2951" s="117"/>
      <c r="K2951" s="117"/>
      <c r="L2951" s="116"/>
      <c r="M2951" s="117"/>
      <c r="N2951" s="118" t="str">
        <f>IFERROR(__xludf.DUMMYFUNCTION("""COMPUTED_VALUE"""),"")</f>
        <v/>
      </c>
      <c r="O2951" s="116"/>
      <c r="P2951" s="116"/>
      <c r="Q2951" s="116"/>
      <c r="R2951" s="116" t="s">
        <v>39</v>
      </c>
      <c r="S2951" s="116" t="s">
        <v>39</v>
      </c>
      <c r="T2951" s="104"/>
      <c r="U2951" s="116"/>
      <c r="V2951" s="104"/>
      <c r="W2951" s="116"/>
    </row>
    <row r="2952">
      <c r="A2952" s="114" t="s">
        <v>39</v>
      </c>
      <c r="B2952" s="115"/>
      <c r="C2952" s="116"/>
      <c r="D2952" s="116"/>
      <c r="E2952" s="116" t="str">
        <f>IFERROR(__xludf.DUMMYFUNCTION("""COMPUTED_VALUE"""),"")</f>
        <v/>
      </c>
      <c r="F2952" s="117" t="s">
        <v>39</v>
      </c>
      <c r="G2952" s="116"/>
      <c r="H2952" s="117"/>
      <c r="I2952" s="117"/>
      <c r="J2952" s="117"/>
      <c r="K2952" s="117"/>
      <c r="L2952" s="116"/>
      <c r="M2952" s="117"/>
      <c r="N2952" s="118" t="str">
        <f>IFERROR(__xludf.DUMMYFUNCTION("""COMPUTED_VALUE"""),"")</f>
        <v/>
      </c>
      <c r="O2952" s="116"/>
      <c r="P2952" s="116"/>
      <c r="Q2952" s="116"/>
      <c r="R2952" s="116" t="s">
        <v>39</v>
      </c>
      <c r="S2952" s="116" t="s">
        <v>39</v>
      </c>
      <c r="T2952" s="104"/>
      <c r="U2952" s="116"/>
      <c r="V2952" s="104"/>
      <c r="W2952" s="116"/>
    </row>
    <row r="2953">
      <c r="A2953" s="114" t="s">
        <v>39</v>
      </c>
      <c r="B2953" s="115"/>
      <c r="C2953" s="116"/>
      <c r="D2953" s="116"/>
      <c r="E2953" s="116" t="str">
        <f>IFERROR(__xludf.DUMMYFUNCTION("""COMPUTED_VALUE"""),"")</f>
        <v/>
      </c>
      <c r="F2953" s="117" t="s">
        <v>39</v>
      </c>
      <c r="G2953" s="116"/>
      <c r="H2953" s="117"/>
      <c r="I2953" s="117"/>
      <c r="J2953" s="117"/>
      <c r="K2953" s="117"/>
      <c r="L2953" s="116"/>
      <c r="M2953" s="117"/>
      <c r="N2953" s="118" t="str">
        <f>IFERROR(__xludf.DUMMYFUNCTION("""COMPUTED_VALUE"""),"")</f>
        <v/>
      </c>
      <c r="O2953" s="116"/>
      <c r="P2953" s="116"/>
      <c r="Q2953" s="116"/>
      <c r="R2953" s="116" t="s">
        <v>39</v>
      </c>
      <c r="S2953" s="116" t="s">
        <v>39</v>
      </c>
      <c r="T2953" s="104"/>
      <c r="U2953" s="116"/>
      <c r="V2953" s="104"/>
      <c r="W2953" s="116"/>
    </row>
    <row r="2954">
      <c r="A2954" s="114" t="s">
        <v>39</v>
      </c>
      <c r="B2954" s="115"/>
      <c r="C2954" s="116"/>
      <c r="D2954" s="116"/>
      <c r="E2954" s="116" t="str">
        <f>IFERROR(__xludf.DUMMYFUNCTION("""COMPUTED_VALUE"""),"")</f>
        <v/>
      </c>
      <c r="F2954" s="117" t="s">
        <v>39</v>
      </c>
      <c r="G2954" s="116"/>
      <c r="H2954" s="117"/>
      <c r="I2954" s="117"/>
      <c r="J2954" s="117"/>
      <c r="K2954" s="117"/>
      <c r="L2954" s="116"/>
      <c r="M2954" s="117"/>
      <c r="N2954" s="118" t="str">
        <f>IFERROR(__xludf.DUMMYFUNCTION("""COMPUTED_VALUE"""),"")</f>
        <v/>
      </c>
      <c r="O2954" s="116"/>
      <c r="P2954" s="116"/>
      <c r="Q2954" s="116"/>
      <c r="R2954" s="116" t="s">
        <v>39</v>
      </c>
      <c r="S2954" s="116" t="s">
        <v>39</v>
      </c>
      <c r="T2954" s="104"/>
      <c r="U2954" s="116"/>
      <c r="V2954" s="104"/>
      <c r="W2954" s="116"/>
    </row>
    <row r="2955">
      <c r="A2955" s="114" t="s">
        <v>39</v>
      </c>
      <c r="B2955" s="115"/>
      <c r="C2955" s="116"/>
      <c r="D2955" s="116"/>
      <c r="E2955" s="116" t="str">
        <f>IFERROR(__xludf.DUMMYFUNCTION("""COMPUTED_VALUE"""),"")</f>
        <v/>
      </c>
      <c r="F2955" s="117" t="s">
        <v>39</v>
      </c>
      <c r="G2955" s="116"/>
      <c r="H2955" s="117"/>
      <c r="I2955" s="117"/>
      <c r="J2955" s="117"/>
      <c r="K2955" s="117"/>
      <c r="L2955" s="116"/>
      <c r="M2955" s="117"/>
      <c r="N2955" s="118" t="str">
        <f>IFERROR(__xludf.DUMMYFUNCTION("""COMPUTED_VALUE"""),"")</f>
        <v/>
      </c>
      <c r="O2955" s="116"/>
      <c r="P2955" s="116"/>
      <c r="Q2955" s="116"/>
      <c r="R2955" s="116" t="s">
        <v>39</v>
      </c>
      <c r="S2955" s="116" t="s">
        <v>39</v>
      </c>
      <c r="T2955" s="104"/>
      <c r="U2955" s="116"/>
      <c r="V2955" s="104"/>
      <c r="W2955" s="116"/>
    </row>
    <row r="2956">
      <c r="A2956" s="114" t="s">
        <v>39</v>
      </c>
      <c r="B2956" s="115"/>
      <c r="C2956" s="116"/>
      <c r="D2956" s="116"/>
      <c r="E2956" s="116" t="str">
        <f>IFERROR(__xludf.DUMMYFUNCTION("""COMPUTED_VALUE"""),"")</f>
        <v/>
      </c>
      <c r="F2956" s="117" t="s">
        <v>39</v>
      </c>
      <c r="G2956" s="116"/>
      <c r="H2956" s="117"/>
      <c r="I2956" s="117"/>
      <c r="J2956" s="117"/>
      <c r="K2956" s="117"/>
      <c r="L2956" s="116"/>
      <c r="M2956" s="117"/>
      <c r="N2956" s="118" t="str">
        <f>IFERROR(__xludf.DUMMYFUNCTION("""COMPUTED_VALUE"""),"")</f>
        <v/>
      </c>
      <c r="O2956" s="116"/>
      <c r="P2956" s="116"/>
      <c r="Q2956" s="116"/>
      <c r="R2956" s="116" t="s">
        <v>39</v>
      </c>
      <c r="S2956" s="116" t="s">
        <v>39</v>
      </c>
      <c r="T2956" s="104"/>
      <c r="U2956" s="116"/>
      <c r="V2956" s="104"/>
      <c r="W2956" s="116"/>
    </row>
    <row r="2957">
      <c r="A2957" s="114" t="s">
        <v>39</v>
      </c>
      <c r="B2957" s="115"/>
      <c r="C2957" s="116"/>
      <c r="D2957" s="116"/>
      <c r="E2957" s="116" t="str">
        <f>IFERROR(__xludf.DUMMYFUNCTION("""COMPUTED_VALUE"""),"")</f>
        <v/>
      </c>
      <c r="F2957" s="117" t="s">
        <v>39</v>
      </c>
      <c r="G2957" s="116"/>
      <c r="H2957" s="117"/>
      <c r="I2957" s="117"/>
      <c r="J2957" s="117"/>
      <c r="K2957" s="117"/>
      <c r="L2957" s="116"/>
      <c r="M2957" s="117"/>
      <c r="N2957" s="118" t="str">
        <f>IFERROR(__xludf.DUMMYFUNCTION("""COMPUTED_VALUE"""),"")</f>
        <v/>
      </c>
      <c r="O2957" s="116"/>
      <c r="P2957" s="116"/>
      <c r="Q2957" s="116"/>
      <c r="R2957" s="116" t="s">
        <v>39</v>
      </c>
      <c r="S2957" s="116" t="s">
        <v>39</v>
      </c>
      <c r="T2957" s="104"/>
      <c r="U2957" s="116"/>
      <c r="V2957" s="104"/>
      <c r="W2957" s="116"/>
    </row>
    <row r="2958">
      <c r="A2958" s="114" t="s">
        <v>39</v>
      </c>
      <c r="B2958" s="115"/>
      <c r="C2958" s="116"/>
      <c r="D2958" s="116"/>
      <c r="E2958" s="116" t="str">
        <f>IFERROR(__xludf.DUMMYFUNCTION("""COMPUTED_VALUE"""),"")</f>
        <v/>
      </c>
      <c r="F2958" s="117" t="s">
        <v>39</v>
      </c>
      <c r="G2958" s="116"/>
      <c r="H2958" s="117"/>
      <c r="I2958" s="117"/>
      <c r="J2958" s="117"/>
      <c r="K2958" s="117"/>
      <c r="L2958" s="116"/>
      <c r="M2958" s="117"/>
      <c r="N2958" s="118" t="str">
        <f>IFERROR(__xludf.DUMMYFUNCTION("""COMPUTED_VALUE"""),"")</f>
        <v/>
      </c>
      <c r="O2958" s="116"/>
      <c r="P2958" s="116"/>
      <c r="Q2958" s="116"/>
      <c r="R2958" s="116" t="s">
        <v>39</v>
      </c>
      <c r="S2958" s="116" t="s">
        <v>39</v>
      </c>
      <c r="T2958" s="104"/>
      <c r="U2958" s="116"/>
      <c r="V2958" s="104"/>
      <c r="W2958" s="116"/>
    </row>
    <row r="2959">
      <c r="A2959" s="114" t="s">
        <v>39</v>
      </c>
      <c r="B2959" s="115"/>
      <c r="C2959" s="116"/>
      <c r="D2959" s="116"/>
      <c r="E2959" s="116" t="str">
        <f>IFERROR(__xludf.DUMMYFUNCTION("""COMPUTED_VALUE"""),"")</f>
        <v/>
      </c>
      <c r="F2959" s="117" t="s">
        <v>39</v>
      </c>
      <c r="G2959" s="116"/>
      <c r="H2959" s="117"/>
      <c r="I2959" s="117"/>
      <c r="J2959" s="117"/>
      <c r="K2959" s="117"/>
      <c r="L2959" s="116"/>
      <c r="M2959" s="117"/>
      <c r="N2959" s="118" t="str">
        <f>IFERROR(__xludf.DUMMYFUNCTION("""COMPUTED_VALUE"""),"")</f>
        <v/>
      </c>
      <c r="O2959" s="116"/>
      <c r="P2959" s="116"/>
      <c r="Q2959" s="116"/>
      <c r="R2959" s="116" t="s">
        <v>39</v>
      </c>
      <c r="S2959" s="116" t="s">
        <v>39</v>
      </c>
      <c r="T2959" s="104"/>
      <c r="U2959" s="116"/>
      <c r="V2959" s="104"/>
      <c r="W2959" s="116"/>
    </row>
    <row r="2960">
      <c r="A2960" s="114" t="s">
        <v>39</v>
      </c>
      <c r="B2960" s="115"/>
      <c r="C2960" s="116"/>
      <c r="D2960" s="116"/>
      <c r="E2960" s="116" t="str">
        <f>IFERROR(__xludf.DUMMYFUNCTION("""COMPUTED_VALUE"""),"")</f>
        <v/>
      </c>
      <c r="F2960" s="117" t="s">
        <v>39</v>
      </c>
      <c r="G2960" s="116"/>
      <c r="H2960" s="117"/>
      <c r="I2960" s="117"/>
      <c r="J2960" s="117"/>
      <c r="K2960" s="117"/>
      <c r="L2960" s="116"/>
      <c r="M2960" s="117"/>
      <c r="N2960" s="118" t="str">
        <f>IFERROR(__xludf.DUMMYFUNCTION("""COMPUTED_VALUE"""),"")</f>
        <v/>
      </c>
      <c r="O2960" s="116"/>
      <c r="P2960" s="116"/>
      <c r="Q2960" s="116"/>
      <c r="R2960" s="116" t="s">
        <v>39</v>
      </c>
      <c r="S2960" s="116" t="s">
        <v>39</v>
      </c>
      <c r="T2960" s="104"/>
      <c r="U2960" s="116"/>
      <c r="V2960" s="104"/>
      <c r="W2960" s="116"/>
    </row>
    <row r="2961">
      <c r="A2961" s="114" t="s">
        <v>39</v>
      </c>
      <c r="B2961" s="115"/>
      <c r="C2961" s="116"/>
      <c r="D2961" s="116"/>
      <c r="E2961" s="116" t="str">
        <f>IFERROR(__xludf.DUMMYFUNCTION("""COMPUTED_VALUE"""),"")</f>
        <v/>
      </c>
      <c r="F2961" s="117" t="s">
        <v>39</v>
      </c>
      <c r="G2961" s="116"/>
      <c r="H2961" s="117"/>
      <c r="I2961" s="117"/>
      <c r="J2961" s="117"/>
      <c r="K2961" s="117"/>
      <c r="L2961" s="116"/>
      <c r="M2961" s="117"/>
      <c r="N2961" s="118" t="str">
        <f>IFERROR(__xludf.DUMMYFUNCTION("""COMPUTED_VALUE"""),"")</f>
        <v/>
      </c>
      <c r="O2961" s="116"/>
      <c r="P2961" s="116"/>
      <c r="Q2961" s="116"/>
      <c r="R2961" s="116" t="s">
        <v>39</v>
      </c>
      <c r="S2961" s="116" t="s">
        <v>39</v>
      </c>
      <c r="T2961" s="104"/>
      <c r="U2961" s="116"/>
      <c r="V2961" s="104"/>
      <c r="W2961" s="116"/>
    </row>
    <row r="2962">
      <c r="A2962" s="114" t="s">
        <v>39</v>
      </c>
      <c r="B2962" s="115"/>
      <c r="C2962" s="116"/>
      <c r="D2962" s="116"/>
      <c r="E2962" s="116" t="str">
        <f>IFERROR(__xludf.DUMMYFUNCTION("""COMPUTED_VALUE"""),"")</f>
        <v/>
      </c>
      <c r="F2962" s="117" t="s">
        <v>39</v>
      </c>
      <c r="G2962" s="116"/>
      <c r="H2962" s="117"/>
      <c r="I2962" s="117"/>
      <c r="J2962" s="117"/>
      <c r="K2962" s="117"/>
      <c r="L2962" s="116"/>
      <c r="M2962" s="117"/>
      <c r="N2962" s="118" t="str">
        <f>IFERROR(__xludf.DUMMYFUNCTION("""COMPUTED_VALUE"""),"")</f>
        <v/>
      </c>
      <c r="O2962" s="116"/>
      <c r="P2962" s="116"/>
      <c r="Q2962" s="116"/>
      <c r="R2962" s="116" t="s">
        <v>39</v>
      </c>
      <c r="S2962" s="116" t="s">
        <v>39</v>
      </c>
      <c r="T2962" s="104"/>
      <c r="U2962" s="116"/>
      <c r="V2962" s="104"/>
      <c r="W2962" s="116"/>
    </row>
    <row r="2963">
      <c r="A2963" s="114" t="s">
        <v>39</v>
      </c>
      <c r="B2963" s="115"/>
      <c r="C2963" s="116"/>
      <c r="D2963" s="116"/>
      <c r="E2963" s="116" t="str">
        <f>IFERROR(__xludf.DUMMYFUNCTION("""COMPUTED_VALUE"""),"")</f>
        <v/>
      </c>
      <c r="F2963" s="117" t="s">
        <v>39</v>
      </c>
      <c r="G2963" s="116"/>
      <c r="H2963" s="117"/>
      <c r="I2963" s="117"/>
      <c r="J2963" s="117"/>
      <c r="K2963" s="117"/>
      <c r="L2963" s="116"/>
      <c r="M2963" s="117"/>
      <c r="N2963" s="118" t="str">
        <f>IFERROR(__xludf.DUMMYFUNCTION("""COMPUTED_VALUE"""),"")</f>
        <v/>
      </c>
      <c r="O2963" s="116"/>
      <c r="P2963" s="116"/>
      <c r="Q2963" s="116"/>
      <c r="R2963" s="116" t="s">
        <v>39</v>
      </c>
      <c r="S2963" s="116" t="s">
        <v>39</v>
      </c>
      <c r="T2963" s="104"/>
      <c r="U2963" s="116"/>
      <c r="V2963" s="104"/>
      <c r="W2963" s="116"/>
    </row>
    <row r="2964">
      <c r="A2964" s="114" t="s">
        <v>39</v>
      </c>
      <c r="B2964" s="115"/>
      <c r="C2964" s="116"/>
      <c r="D2964" s="116"/>
      <c r="E2964" s="116" t="str">
        <f>IFERROR(__xludf.DUMMYFUNCTION("""COMPUTED_VALUE"""),"")</f>
        <v/>
      </c>
      <c r="F2964" s="117" t="s">
        <v>39</v>
      </c>
      <c r="G2964" s="116"/>
      <c r="H2964" s="117"/>
      <c r="I2964" s="117"/>
      <c r="J2964" s="117"/>
      <c r="K2964" s="117"/>
      <c r="L2964" s="116"/>
      <c r="M2964" s="117"/>
      <c r="N2964" s="118" t="str">
        <f>IFERROR(__xludf.DUMMYFUNCTION("""COMPUTED_VALUE"""),"")</f>
        <v/>
      </c>
      <c r="O2964" s="116"/>
      <c r="P2964" s="116"/>
      <c r="Q2964" s="116"/>
      <c r="R2964" s="116" t="s">
        <v>39</v>
      </c>
      <c r="S2964" s="116" t="s">
        <v>39</v>
      </c>
      <c r="T2964" s="104"/>
      <c r="U2964" s="116"/>
      <c r="V2964" s="104"/>
      <c r="W2964" s="116"/>
    </row>
    <row r="2965">
      <c r="A2965" s="114" t="s">
        <v>39</v>
      </c>
      <c r="B2965" s="115"/>
      <c r="C2965" s="116"/>
      <c r="D2965" s="116"/>
      <c r="E2965" s="116" t="str">
        <f>IFERROR(__xludf.DUMMYFUNCTION("""COMPUTED_VALUE"""),"")</f>
        <v/>
      </c>
      <c r="F2965" s="117" t="s">
        <v>39</v>
      </c>
      <c r="G2965" s="116"/>
      <c r="H2965" s="117"/>
      <c r="I2965" s="117"/>
      <c r="J2965" s="117"/>
      <c r="K2965" s="117"/>
      <c r="L2965" s="116"/>
      <c r="M2965" s="117"/>
      <c r="N2965" s="118" t="str">
        <f>IFERROR(__xludf.DUMMYFUNCTION("""COMPUTED_VALUE"""),"")</f>
        <v/>
      </c>
      <c r="O2965" s="116"/>
      <c r="P2965" s="116"/>
      <c r="Q2965" s="116"/>
      <c r="R2965" s="116" t="s">
        <v>39</v>
      </c>
      <c r="S2965" s="116" t="s">
        <v>39</v>
      </c>
      <c r="T2965" s="104"/>
      <c r="U2965" s="116"/>
      <c r="V2965" s="104"/>
      <c r="W2965" s="116"/>
    </row>
    <row r="2966">
      <c r="A2966" s="114" t="s">
        <v>39</v>
      </c>
      <c r="B2966" s="115"/>
      <c r="C2966" s="116"/>
      <c r="D2966" s="116"/>
      <c r="E2966" s="116" t="str">
        <f>IFERROR(__xludf.DUMMYFUNCTION("""COMPUTED_VALUE"""),"")</f>
        <v/>
      </c>
      <c r="F2966" s="117" t="s">
        <v>39</v>
      </c>
      <c r="G2966" s="116"/>
      <c r="H2966" s="117"/>
      <c r="I2966" s="117"/>
      <c r="J2966" s="117"/>
      <c r="K2966" s="117"/>
      <c r="L2966" s="116"/>
      <c r="M2966" s="117"/>
      <c r="N2966" s="118" t="str">
        <f>IFERROR(__xludf.DUMMYFUNCTION("""COMPUTED_VALUE"""),"")</f>
        <v/>
      </c>
      <c r="O2966" s="116"/>
      <c r="P2966" s="116"/>
      <c r="Q2966" s="116"/>
      <c r="R2966" s="116" t="s">
        <v>39</v>
      </c>
      <c r="S2966" s="116" t="s">
        <v>39</v>
      </c>
      <c r="T2966" s="104"/>
      <c r="U2966" s="116"/>
      <c r="V2966" s="104"/>
      <c r="W2966" s="116"/>
    </row>
    <row r="2967">
      <c r="A2967" s="114" t="s">
        <v>39</v>
      </c>
      <c r="B2967" s="115"/>
      <c r="C2967" s="116"/>
      <c r="D2967" s="116"/>
      <c r="E2967" s="116" t="str">
        <f>IFERROR(__xludf.DUMMYFUNCTION("""COMPUTED_VALUE"""),"")</f>
        <v/>
      </c>
      <c r="F2967" s="117" t="s">
        <v>39</v>
      </c>
      <c r="G2967" s="116"/>
      <c r="H2967" s="117"/>
      <c r="I2967" s="117"/>
      <c r="J2967" s="117"/>
      <c r="K2967" s="117"/>
      <c r="L2967" s="116"/>
      <c r="M2967" s="117"/>
      <c r="N2967" s="118" t="str">
        <f>IFERROR(__xludf.DUMMYFUNCTION("""COMPUTED_VALUE"""),"")</f>
        <v/>
      </c>
      <c r="O2967" s="116"/>
      <c r="P2967" s="116"/>
      <c r="Q2967" s="116"/>
      <c r="R2967" s="116" t="s">
        <v>39</v>
      </c>
      <c r="S2967" s="116" t="s">
        <v>39</v>
      </c>
      <c r="T2967" s="104"/>
      <c r="U2967" s="116"/>
      <c r="V2967" s="104"/>
      <c r="W2967" s="116"/>
    </row>
    <row r="2968">
      <c r="A2968" s="114" t="s">
        <v>39</v>
      </c>
      <c r="B2968" s="115"/>
      <c r="C2968" s="116"/>
      <c r="D2968" s="116"/>
      <c r="E2968" s="116" t="str">
        <f>IFERROR(__xludf.DUMMYFUNCTION("""COMPUTED_VALUE"""),"")</f>
        <v/>
      </c>
      <c r="F2968" s="117" t="s">
        <v>39</v>
      </c>
      <c r="G2968" s="116"/>
      <c r="H2968" s="117"/>
      <c r="I2968" s="117"/>
      <c r="J2968" s="117"/>
      <c r="K2968" s="117"/>
      <c r="L2968" s="116"/>
      <c r="M2968" s="117"/>
      <c r="N2968" s="118" t="str">
        <f>IFERROR(__xludf.DUMMYFUNCTION("""COMPUTED_VALUE"""),"")</f>
        <v/>
      </c>
      <c r="O2968" s="116"/>
      <c r="P2968" s="116"/>
      <c r="Q2968" s="116"/>
      <c r="R2968" s="116" t="s">
        <v>39</v>
      </c>
      <c r="S2968" s="116" t="s">
        <v>39</v>
      </c>
      <c r="T2968" s="104"/>
      <c r="U2968" s="116"/>
      <c r="V2968" s="104"/>
      <c r="W2968" s="116"/>
    </row>
    <row r="2969">
      <c r="A2969" s="114" t="s">
        <v>39</v>
      </c>
      <c r="B2969" s="115"/>
      <c r="C2969" s="116"/>
      <c r="D2969" s="116"/>
      <c r="E2969" s="116" t="str">
        <f>IFERROR(__xludf.DUMMYFUNCTION("""COMPUTED_VALUE"""),"")</f>
        <v/>
      </c>
      <c r="F2969" s="117" t="s">
        <v>39</v>
      </c>
      <c r="G2969" s="116"/>
      <c r="H2969" s="117"/>
      <c r="I2969" s="117"/>
      <c r="J2969" s="117"/>
      <c r="K2969" s="117"/>
      <c r="L2969" s="116"/>
      <c r="M2969" s="117"/>
      <c r="N2969" s="118" t="str">
        <f>IFERROR(__xludf.DUMMYFUNCTION("""COMPUTED_VALUE"""),"")</f>
        <v/>
      </c>
      <c r="O2969" s="116"/>
      <c r="P2969" s="116"/>
      <c r="Q2969" s="116"/>
      <c r="R2969" s="116" t="s">
        <v>39</v>
      </c>
      <c r="S2969" s="116" t="s">
        <v>39</v>
      </c>
      <c r="T2969" s="104"/>
      <c r="U2969" s="116"/>
      <c r="V2969" s="104"/>
      <c r="W2969" s="116"/>
    </row>
    <row r="2970">
      <c r="A2970" s="114" t="s">
        <v>39</v>
      </c>
      <c r="B2970" s="115"/>
      <c r="C2970" s="116"/>
      <c r="D2970" s="116"/>
      <c r="E2970" s="116" t="str">
        <f>IFERROR(__xludf.DUMMYFUNCTION("""COMPUTED_VALUE"""),"")</f>
        <v/>
      </c>
      <c r="F2970" s="117" t="s">
        <v>39</v>
      </c>
      <c r="G2970" s="116"/>
      <c r="H2970" s="117"/>
      <c r="I2970" s="117"/>
      <c r="J2970" s="117"/>
      <c r="K2970" s="117"/>
      <c r="L2970" s="116"/>
      <c r="M2970" s="117"/>
      <c r="N2970" s="118" t="str">
        <f>IFERROR(__xludf.DUMMYFUNCTION("""COMPUTED_VALUE"""),"")</f>
        <v/>
      </c>
      <c r="O2970" s="116"/>
      <c r="P2970" s="116"/>
      <c r="Q2970" s="116"/>
      <c r="R2970" s="116" t="s">
        <v>39</v>
      </c>
      <c r="S2970" s="116" t="s">
        <v>39</v>
      </c>
      <c r="T2970" s="104"/>
      <c r="U2970" s="116"/>
      <c r="V2970" s="104"/>
      <c r="W2970" s="116"/>
    </row>
    <row r="2971">
      <c r="A2971" s="114" t="s">
        <v>39</v>
      </c>
      <c r="B2971" s="115"/>
      <c r="C2971" s="116"/>
      <c r="D2971" s="116"/>
      <c r="E2971" s="116" t="str">
        <f>IFERROR(__xludf.DUMMYFUNCTION("""COMPUTED_VALUE"""),"")</f>
        <v/>
      </c>
      <c r="F2971" s="117" t="s">
        <v>39</v>
      </c>
      <c r="G2971" s="116"/>
      <c r="H2971" s="117"/>
      <c r="I2971" s="117"/>
      <c r="J2971" s="117"/>
      <c r="K2971" s="117"/>
      <c r="L2971" s="116"/>
      <c r="M2971" s="117"/>
      <c r="N2971" s="118" t="str">
        <f>IFERROR(__xludf.DUMMYFUNCTION("""COMPUTED_VALUE"""),"")</f>
        <v/>
      </c>
      <c r="O2971" s="116"/>
      <c r="P2971" s="116"/>
      <c r="Q2971" s="116"/>
      <c r="R2971" s="116" t="s">
        <v>39</v>
      </c>
      <c r="S2971" s="116" t="s">
        <v>39</v>
      </c>
      <c r="T2971" s="104"/>
      <c r="U2971" s="116"/>
      <c r="V2971" s="104"/>
      <c r="W2971" s="116"/>
    </row>
    <row r="2972">
      <c r="A2972" s="114" t="s">
        <v>39</v>
      </c>
      <c r="B2972" s="115"/>
      <c r="C2972" s="116"/>
      <c r="D2972" s="116"/>
      <c r="E2972" s="116" t="str">
        <f>IFERROR(__xludf.DUMMYFUNCTION("""COMPUTED_VALUE"""),"")</f>
        <v/>
      </c>
      <c r="F2972" s="117" t="s">
        <v>39</v>
      </c>
      <c r="G2972" s="116"/>
      <c r="H2972" s="117"/>
      <c r="I2972" s="117"/>
      <c r="J2972" s="117"/>
      <c r="K2972" s="117"/>
      <c r="L2972" s="116"/>
      <c r="M2972" s="117"/>
      <c r="N2972" s="118" t="str">
        <f>IFERROR(__xludf.DUMMYFUNCTION("""COMPUTED_VALUE"""),"")</f>
        <v/>
      </c>
      <c r="O2972" s="116"/>
      <c r="P2972" s="116"/>
      <c r="Q2972" s="116"/>
      <c r="R2972" s="116" t="s">
        <v>39</v>
      </c>
      <c r="S2972" s="116" t="s">
        <v>39</v>
      </c>
      <c r="T2972" s="104"/>
      <c r="U2972" s="116"/>
      <c r="V2972" s="104"/>
      <c r="W2972" s="116"/>
    </row>
    <row r="2973">
      <c r="A2973" s="114" t="s">
        <v>39</v>
      </c>
      <c r="B2973" s="115"/>
      <c r="C2973" s="116"/>
      <c r="D2973" s="116"/>
      <c r="E2973" s="116" t="str">
        <f>IFERROR(__xludf.DUMMYFUNCTION("""COMPUTED_VALUE"""),"")</f>
        <v/>
      </c>
      <c r="F2973" s="117" t="s">
        <v>39</v>
      </c>
      <c r="G2973" s="116"/>
      <c r="H2973" s="117"/>
      <c r="I2973" s="117"/>
      <c r="J2973" s="117"/>
      <c r="K2973" s="117"/>
      <c r="L2973" s="116"/>
      <c r="M2973" s="117"/>
      <c r="N2973" s="118" t="str">
        <f>IFERROR(__xludf.DUMMYFUNCTION("""COMPUTED_VALUE"""),"")</f>
        <v/>
      </c>
      <c r="O2973" s="116"/>
      <c r="P2973" s="116"/>
      <c r="Q2973" s="116"/>
      <c r="R2973" s="116" t="s">
        <v>39</v>
      </c>
      <c r="S2973" s="116" t="s">
        <v>39</v>
      </c>
      <c r="T2973" s="104"/>
      <c r="U2973" s="116"/>
      <c r="V2973" s="104"/>
      <c r="W2973" s="116"/>
    </row>
    <row r="2974">
      <c r="A2974" s="114" t="s">
        <v>39</v>
      </c>
      <c r="B2974" s="115"/>
      <c r="C2974" s="116"/>
      <c r="D2974" s="116"/>
      <c r="E2974" s="116" t="str">
        <f>IFERROR(__xludf.DUMMYFUNCTION("""COMPUTED_VALUE"""),"")</f>
        <v/>
      </c>
      <c r="F2974" s="117" t="s">
        <v>39</v>
      </c>
      <c r="G2974" s="116"/>
      <c r="H2974" s="117"/>
      <c r="I2974" s="117"/>
      <c r="J2974" s="117"/>
      <c r="K2974" s="117"/>
      <c r="L2974" s="116"/>
      <c r="M2974" s="117"/>
      <c r="N2974" s="118" t="str">
        <f>IFERROR(__xludf.DUMMYFUNCTION("""COMPUTED_VALUE"""),"")</f>
        <v/>
      </c>
      <c r="O2974" s="116"/>
      <c r="P2974" s="116"/>
      <c r="Q2974" s="116"/>
      <c r="R2974" s="116" t="s">
        <v>39</v>
      </c>
      <c r="S2974" s="116" t="s">
        <v>39</v>
      </c>
      <c r="T2974" s="104"/>
      <c r="U2974" s="116"/>
      <c r="V2974" s="104"/>
      <c r="W2974" s="116"/>
    </row>
    <row r="2975">
      <c r="A2975" s="114" t="s">
        <v>39</v>
      </c>
      <c r="B2975" s="115"/>
      <c r="C2975" s="116"/>
      <c r="D2975" s="116"/>
      <c r="E2975" s="116" t="str">
        <f>IFERROR(__xludf.DUMMYFUNCTION("""COMPUTED_VALUE"""),"")</f>
        <v/>
      </c>
      <c r="F2975" s="117" t="s">
        <v>39</v>
      </c>
      <c r="G2975" s="116"/>
      <c r="H2975" s="117"/>
      <c r="I2975" s="117"/>
      <c r="J2975" s="117"/>
      <c r="K2975" s="117"/>
      <c r="L2975" s="116"/>
      <c r="M2975" s="117"/>
      <c r="N2975" s="118" t="str">
        <f>IFERROR(__xludf.DUMMYFUNCTION("""COMPUTED_VALUE"""),"")</f>
        <v/>
      </c>
      <c r="O2975" s="116"/>
      <c r="P2975" s="116"/>
      <c r="Q2975" s="116"/>
      <c r="R2975" s="116" t="s">
        <v>39</v>
      </c>
      <c r="S2975" s="116" t="s">
        <v>39</v>
      </c>
      <c r="T2975" s="104"/>
      <c r="U2975" s="116"/>
      <c r="V2975" s="104"/>
      <c r="W2975" s="116"/>
    </row>
    <row r="2976">
      <c r="A2976" s="114" t="s">
        <v>39</v>
      </c>
      <c r="B2976" s="115"/>
      <c r="C2976" s="116"/>
      <c r="D2976" s="116"/>
      <c r="E2976" s="116" t="str">
        <f>IFERROR(__xludf.DUMMYFUNCTION("""COMPUTED_VALUE"""),"")</f>
        <v/>
      </c>
      <c r="F2976" s="117" t="s">
        <v>39</v>
      </c>
      <c r="G2976" s="116"/>
      <c r="H2976" s="117"/>
      <c r="I2976" s="117"/>
      <c r="J2976" s="117"/>
      <c r="K2976" s="117"/>
      <c r="L2976" s="116"/>
      <c r="M2976" s="117"/>
      <c r="N2976" s="118" t="str">
        <f>IFERROR(__xludf.DUMMYFUNCTION("""COMPUTED_VALUE"""),"")</f>
        <v/>
      </c>
      <c r="O2976" s="116"/>
      <c r="P2976" s="116"/>
      <c r="Q2976" s="116"/>
      <c r="R2976" s="116" t="s">
        <v>39</v>
      </c>
      <c r="S2976" s="116" t="s">
        <v>39</v>
      </c>
      <c r="T2976" s="104"/>
      <c r="U2976" s="116"/>
      <c r="V2976" s="104"/>
      <c r="W2976" s="116"/>
    </row>
    <row r="2977">
      <c r="A2977" s="114" t="s">
        <v>39</v>
      </c>
      <c r="B2977" s="115"/>
      <c r="C2977" s="116"/>
      <c r="D2977" s="116"/>
      <c r="E2977" s="116" t="str">
        <f>IFERROR(__xludf.DUMMYFUNCTION("""COMPUTED_VALUE"""),"")</f>
        <v/>
      </c>
      <c r="F2977" s="117" t="s">
        <v>39</v>
      </c>
      <c r="G2977" s="116"/>
      <c r="H2977" s="117"/>
      <c r="I2977" s="117"/>
      <c r="J2977" s="117"/>
      <c r="K2977" s="117"/>
      <c r="L2977" s="116"/>
      <c r="M2977" s="117"/>
      <c r="N2977" s="118" t="str">
        <f>IFERROR(__xludf.DUMMYFUNCTION("""COMPUTED_VALUE"""),"")</f>
        <v/>
      </c>
      <c r="O2977" s="116"/>
      <c r="P2977" s="116"/>
      <c r="Q2977" s="116"/>
      <c r="R2977" s="116" t="s">
        <v>39</v>
      </c>
      <c r="S2977" s="116" t="s">
        <v>39</v>
      </c>
      <c r="T2977" s="104"/>
      <c r="U2977" s="116"/>
      <c r="V2977" s="104"/>
      <c r="W2977" s="116"/>
    </row>
    <row r="2978">
      <c r="A2978" s="114" t="s">
        <v>39</v>
      </c>
      <c r="B2978" s="115"/>
      <c r="C2978" s="116"/>
      <c r="D2978" s="116"/>
      <c r="E2978" s="116" t="str">
        <f>IFERROR(__xludf.DUMMYFUNCTION("""COMPUTED_VALUE"""),"")</f>
        <v/>
      </c>
      <c r="F2978" s="117" t="s">
        <v>39</v>
      </c>
      <c r="G2978" s="116"/>
      <c r="H2978" s="117"/>
      <c r="I2978" s="117"/>
      <c r="J2978" s="117"/>
      <c r="K2978" s="117"/>
      <c r="L2978" s="116"/>
      <c r="M2978" s="117"/>
      <c r="N2978" s="118" t="str">
        <f>IFERROR(__xludf.DUMMYFUNCTION("""COMPUTED_VALUE"""),"")</f>
        <v/>
      </c>
      <c r="O2978" s="116"/>
      <c r="P2978" s="116"/>
      <c r="Q2978" s="116"/>
      <c r="R2978" s="116" t="s">
        <v>39</v>
      </c>
      <c r="S2978" s="116" t="s">
        <v>39</v>
      </c>
      <c r="T2978" s="104"/>
      <c r="U2978" s="116"/>
      <c r="V2978" s="104"/>
      <c r="W2978" s="116"/>
    </row>
    <row r="2979">
      <c r="A2979" s="114" t="s">
        <v>39</v>
      </c>
      <c r="B2979" s="115"/>
      <c r="C2979" s="116"/>
      <c r="D2979" s="116"/>
      <c r="E2979" s="116" t="str">
        <f>IFERROR(__xludf.DUMMYFUNCTION("""COMPUTED_VALUE"""),"")</f>
        <v/>
      </c>
      <c r="F2979" s="117" t="s">
        <v>39</v>
      </c>
      <c r="G2979" s="116"/>
      <c r="H2979" s="117"/>
      <c r="I2979" s="117"/>
      <c r="J2979" s="117"/>
      <c r="K2979" s="117"/>
      <c r="L2979" s="116"/>
      <c r="M2979" s="117"/>
      <c r="N2979" s="118" t="str">
        <f>IFERROR(__xludf.DUMMYFUNCTION("""COMPUTED_VALUE"""),"")</f>
        <v/>
      </c>
      <c r="O2979" s="116"/>
      <c r="P2979" s="116"/>
      <c r="Q2979" s="116"/>
      <c r="R2979" s="116" t="s">
        <v>39</v>
      </c>
      <c r="S2979" s="116" t="s">
        <v>39</v>
      </c>
      <c r="T2979" s="104"/>
      <c r="U2979" s="116"/>
      <c r="V2979" s="104"/>
      <c r="W2979" s="116"/>
    </row>
    <row r="2980">
      <c r="A2980" s="114" t="s">
        <v>39</v>
      </c>
      <c r="B2980" s="115"/>
      <c r="C2980" s="116"/>
      <c r="D2980" s="116"/>
      <c r="E2980" s="116" t="str">
        <f>IFERROR(__xludf.DUMMYFUNCTION("""COMPUTED_VALUE"""),"")</f>
        <v/>
      </c>
      <c r="F2980" s="117" t="s">
        <v>39</v>
      </c>
      <c r="G2980" s="116"/>
      <c r="H2980" s="117"/>
      <c r="I2980" s="117"/>
      <c r="J2980" s="117"/>
      <c r="K2980" s="117"/>
      <c r="L2980" s="116"/>
      <c r="M2980" s="117"/>
      <c r="N2980" s="118" t="str">
        <f>IFERROR(__xludf.DUMMYFUNCTION("""COMPUTED_VALUE"""),"")</f>
        <v/>
      </c>
      <c r="O2980" s="116"/>
      <c r="P2980" s="116"/>
      <c r="Q2980" s="116"/>
      <c r="R2980" s="116" t="s">
        <v>39</v>
      </c>
      <c r="S2980" s="116" t="s">
        <v>39</v>
      </c>
      <c r="T2980" s="104"/>
      <c r="U2980" s="116"/>
      <c r="V2980" s="104"/>
      <c r="W2980" s="116"/>
    </row>
    <row r="2981">
      <c r="A2981" s="114" t="s">
        <v>39</v>
      </c>
      <c r="B2981" s="115"/>
      <c r="C2981" s="116"/>
      <c r="D2981" s="116"/>
      <c r="E2981" s="116" t="str">
        <f>IFERROR(__xludf.DUMMYFUNCTION("""COMPUTED_VALUE"""),"")</f>
        <v/>
      </c>
      <c r="F2981" s="117" t="s">
        <v>39</v>
      </c>
      <c r="G2981" s="116"/>
      <c r="H2981" s="117"/>
      <c r="I2981" s="117"/>
      <c r="J2981" s="117"/>
      <c r="K2981" s="117"/>
      <c r="L2981" s="116"/>
      <c r="M2981" s="117"/>
      <c r="N2981" s="118" t="str">
        <f>IFERROR(__xludf.DUMMYFUNCTION("""COMPUTED_VALUE"""),"")</f>
        <v/>
      </c>
      <c r="O2981" s="116"/>
      <c r="P2981" s="116"/>
      <c r="Q2981" s="116"/>
      <c r="R2981" s="116" t="s">
        <v>39</v>
      </c>
      <c r="S2981" s="116" t="s">
        <v>39</v>
      </c>
      <c r="T2981" s="104"/>
      <c r="U2981" s="116"/>
      <c r="V2981" s="104"/>
      <c r="W2981" s="116"/>
    </row>
    <row r="2982">
      <c r="A2982" s="114" t="s">
        <v>39</v>
      </c>
      <c r="B2982" s="115"/>
      <c r="C2982" s="116"/>
      <c r="D2982" s="116"/>
      <c r="E2982" s="116" t="str">
        <f>IFERROR(__xludf.DUMMYFUNCTION("""COMPUTED_VALUE"""),"")</f>
        <v/>
      </c>
      <c r="F2982" s="117" t="s">
        <v>39</v>
      </c>
      <c r="G2982" s="116"/>
      <c r="H2982" s="117"/>
      <c r="I2982" s="117"/>
      <c r="J2982" s="117"/>
      <c r="K2982" s="117"/>
      <c r="L2982" s="116"/>
      <c r="M2982" s="117"/>
      <c r="N2982" s="118" t="str">
        <f>IFERROR(__xludf.DUMMYFUNCTION("""COMPUTED_VALUE"""),"")</f>
        <v/>
      </c>
      <c r="O2982" s="116"/>
      <c r="P2982" s="116"/>
      <c r="Q2982" s="116"/>
      <c r="R2982" s="116" t="s">
        <v>39</v>
      </c>
      <c r="S2982" s="116" t="s">
        <v>39</v>
      </c>
      <c r="T2982" s="104"/>
      <c r="U2982" s="116"/>
      <c r="V2982" s="104"/>
      <c r="W2982" s="116"/>
    </row>
    <row r="2983">
      <c r="A2983" s="114" t="s">
        <v>39</v>
      </c>
      <c r="B2983" s="115"/>
      <c r="C2983" s="116"/>
      <c r="D2983" s="116"/>
      <c r="E2983" s="116" t="str">
        <f>IFERROR(__xludf.DUMMYFUNCTION("""COMPUTED_VALUE"""),"")</f>
        <v/>
      </c>
      <c r="F2983" s="117" t="s">
        <v>39</v>
      </c>
      <c r="G2983" s="116"/>
      <c r="H2983" s="117"/>
      <c r="I2983" s="117"/>
      <c r="J2983" s="117"/>
      <c r="K2983" s="117"/>
      <c r="L2983" s="116"/>
      <c r="M2983" s="117"/>
      <c r="N2983" s="118" t="str">
        <f>IFERROR(__xludf.DUMMYFUNCTION("""COMPUTED_VALUE"""),"")</f>
        <v/>
      </c>
      <c r="O2983" s="116"/>
      <c r="P2983" s="116"/>
      <c r="Q2983" s="116"/>
      <c r="R2983" s="116" t="s">
        <v>39</v>
      </c>
      <c r="S2983" s="116" t="s">
        <v>39</v>
      </c>
      <c r="T2983" s="104"/>
      <c r="U2983" s="116"/>
      <c r="V2983" s="104"/>
      <c r="W2983" s="116"/>
    </row>
    <row r="2984">
      <c r="A2984" s="114" t="s">
        <v>39</v>
      </c>
      <c r="B2984" s="115"/>
      <c r="C2984" s="116"/>
      <c r="D2984" s="116"/>
      <c r="E2984" s="116" t="str">
        <f>IFERROR(__xludf.DUMMYFUNCTION("""COMPUTED_VALUE"""),"")</f>
        <v/>
      </c>
      <c r="F2984" s="117" t="s">
        <v>39</v>
      </c>
      <c r="G2984" s="116"/>
      <c r="H2984" s="117"/>
      <c r="I2984" s="117"/>
      <c r="J2984" s="117"/>
      <c r="K2984" s="117"/>
      <c r="L2984" s="116"/>
      <c r="M2984" s="117"/>
      <c r="N2984" s="118" t="str">
        <f>IFERROR(__xludf.DUMMYFUNCTION("""COMPUTED_VALUE"""),"")</f>
        <v/>
      </c>
      <c r="O2984" s="116"/>
      <c r="P2984" s="116"/>
      <c r="Q2984" s="116"/>
      <c r="R2984" s="116" t="s">
        <v>39</v>
      </c>
      <c r="S2984" s="116" t="s">
        <v>39</v>
      </c>
      <c r="T2984" s="104"/>
      <c r="U2984" s="116"/>
      <c r="V2984" s="104"/>
      <c r="W2984" s="116"/>
    </row>
    <row r="2985">
      <c r="A2985" s="114" t="s">
        <v>39</v>
      </c>
      <c r="B2985" s="115"/>
      <c r="C2985" s="116"/>
      <c r="D2985" s="116"/>
      <c r="E2985" s="116" t="str">
        <f>IFERROR(__xludf.DUMMYFUNCTION("""COMPUTED_VALUE"""),"")</f>
        <v/>
      </c>
      <c r="F2985" s="117" t="s">
        <v>39</v>
      </c>
      <c r="G2985" s="116"/>
      <c r="H2985" s="117"/>
      <c r="I2985" s="117"/>
      <c r="J2985" s="117"/>
      <c r="K2985" s="117"/>
      <c r="L2985" s="116"/>
      <c r="M2985" s="117"/>
      <c r="N2985" s="118" t="str">
        <f>IFERROR(__xludf.DUMMYFUNCTION("""COMPUTED_VALUE"""),"")</f>
        <v/>
      </c>
      <c r="O2985" s="116"/>
      <c r="P2985" s="116"/>
      <c r="Q2985" s="116"/>
      <c r="R2985" s="116" t="s">
        <v>39</v>
      </c>
      <c r="S2985" s="116" t="s">
        <v>39</v>
      </c>
      <c r="T2985" s="104"/>
      <c r="U2985" s="116"/>
      <c r="V2985" s="104"/>
      <c r="W2985" s="116"/>
    </row>
    <row r="2986">
      <c r="A2986" s="114" t="s">
        <v>39</v>
      </c>
      <c r="B2986" s="115"/>
      <c r="C2986" s="116"/>
      <c r="D2986" s="116"/>
      <c r="E2986" s="116" t="str">
        <f>IFERROR(__xludf.DUMMYFUNCTION("""COMPUTED_VALUE"""),"")</f>
        <v/>
      </c>
      <c r="F2986" s="117" t="s">
        <v>39</v>
      </c>
      <c r="G2986" s="116"/>
      <c r="H2986" s="117"/>
      <c r="I2986" s="117"/>
      <c r="J2986" s="117"/>
      <c r="K2986" s="117"/>
      <c r="L2986" s="116"/>
      <c r="M2986" s="117"/>
      <c r="N2986" s="118" t="str">
        <f>IFERROR(__xludf.DUMMYFUNCTION("""COMPUTED_VALUE"""),"")</f>
        <v/>
      </c>
      <c r="O2986" s="116"/>
      <c r="P2986" s="116"/>
      <c r="Q2986" s="116"/>
      <c r="R2986" s="116" t="s">
        <v>39</v>
      </c>
      <c r="S2986" s="116" t="s">
        <v>39</v>
      </c>
      <c r="T2986" s="104"/>
      <c r="U2986" s="116"/>
      <c r="V2986" s="104"/>
      <c r="W2986" s="116"/>
    </row>
    <row r="2987">
      <c r="A2987" s="114" t="s">
        <v>39</v>
      </c>
      <c r="B2987" s="115"/>
      <c r="C2987" s="116"/>
      <c r="D2987" s="116"/>
      <c r="E2987" s="116" t="str">
        <f>IFERROR(__xludf.DUMMYFUNCTION("""COMPUTED_VALUE"""),"")</f>
        <v/>
      </c>
      <c r="F2987" s="117" t="s">
        <v>39</v>
      </c>
      <c r="G2987" s="116"/>
      <c r="H2987" s="117"/>
      <c r="I2987" s="117"/>
      <c r="J2987" s="117"/>
      <c r="K2987" s="117"/>
      <c r="L2987" s="116"/>
      <c r="M2987" s="117"/>
      <c r="N2987" s="118" t="str">
        <f>IFERROR(__xludf.DUMMYFUNCTION("""COMPUTED_VALUE"""),"")</f>
        <v/>
      </c>
      <c r="O2987" s="116"/>
      <c r="P2987" s="116"/>
      <c r="Q2987" s="116"/>
      <c r="R2987" s="116" t="s">
        <v>39</v>
      </c>
      <c r="S2987" s="116" t="s">
        <v>39</v>
      </c>
      <c r="T2987" s="104"/>
      <c r="U2987" s="116"/>
      <c r="V2987" s="104"/>
      <c r="W2987" s="116"/>
    </row>
    <row r="2988">
      <c r="A2988" s="114" t="s">
        <v>39</v>
      </c>
      <c r="B2988" s="115"/>
      <c r="C2988" s="116"/>
      <c r="D2988" s="116"/>
      <c r="E2988" s="116" t="str">
        <f>IFERROR(__xludf.DUMMYFUNCTION("""COMPUTED_VALUE"""),"")</f>
        <v/>
      </c>
      <c r="F2988" s="117" t="s">
        <v>39</v>
      </c>
      <c r="G2988" s="116"/>
      <c r="H2988" s="117"/>
      <c r="I2988" s="117"/>
      <c r="J2988" s="117"/>
      <c r="K2988" s="117"/>
      <c r="L2988" s="116"/>
      <c r="M2988" s="117"/>
      <c r="N2988" s="118" t="str">
        <f>IFERROR(__xludf.DUMMYFUNCTION("""COMPUTED_VALUE"""),"")</f>
        <v/>
      </c>
      <c r="O2988" s="116"/>
      <c r="P2988" s="116"/>
      <c r="Q2988" s="116"/>
      <c r="R2988" s="116" t="s">
        <v>39</v>
      </c>
      <c r="S2988" s="116" t="s">
        <v>39</v>
      </c>
      <c r="T2988" s="104"/>
      <c r="U2988" s="116"/>
      <c r="V2988" s="104"/>
      <c r="W2988" s="116"/>
    </row>
    <row r="2989">
      <c r="A2989" s="114" t="s">
        <v>39</v>
      </c>
      <c r="B2989" s="115"/>
      <c r="C2989" s="116"/>
      <c r="D2989" s="116"/>
      <c r="E2989" s="116" t="str">
        <f>IFERROR(__xludf.DUMMYFUNCTION("""COMPUTED_VALUE"""),"")</f>
        <v/>
      </c>
      <c r="F2989" s="117" t="s">
        <v>39</v>
      </c>
      <c r="G2989" s="116"/>
      <c r="H2989" s="117"/>
      <c r="I2989" s="117"/>
      <c r="J2989" s="117"/>
      <c r="K2989" s="117"/>
      <c r="L2989" s="116"/>
      <c r="M2989" s="117"/>
      <c r="N2989" s="118" t="str">
        <f>IFERROR(__xludf.DUMMYFUNCTION("""COMPUTED_VALUE"""),"")</f>
        <v/>
      </c>
      <c r="O2989" s="116"/>
      <c r="P2989" s="116"/>
      <c r="Q2989" s="116"/>
      <c r="R2989" s="116" t="s">
        <v>39</v>
      </c>
      <c r="S2989" s="116" t="s">
        <v>39</v>
      </c>
      <c r="T2989" s="104"/>
      <c r="U2989" s="116"/>
      <c r="V2989" s="104"/>
      <c r="W2989" s="116"/>
    </row>
    <row r="2990">
      <c r="A2990" s="114" t="s">
        <v>39</v>
      </c>
      <c r="B2990" s="115"/>
      <c r="C2990" s="116"/>
      <c r="D2990" s="116"/>
      <c r="E2990" s="116" t="str">
        <f>IFERROR(__xludf.DUMMYFUNCTION("""COMPUTED_VALUE"""),"")</f>
        <v/>
      </c>
      <c r="F2990" s="117" t="s">
        <v>39</v>
      </c>
      <c r="G2990" s="116"/>
      <c r="H2990" s="117"/>
      <c r="I2990" s="117"/>
      <c r="J2990" s="117"/>
      <c r="K2990" s="117"/>
      <c r="L2990" s="116"/>
      <c r="M2990" s="117"/>
      <c r="N2990" s="118" t="str">
        <f>IFERROR(__xludf.DUMMYFUNCTION("""COMPUTED_VALUE"""),"")</f>
        <v/>
      </c>
      <c r="O2990" s="116"/>
      <c r="P2990" s="116"/>
      <c r="Q2990" s="116"/>
      <c r="R2990" s="116" t="s">
        <v>39</v>
      </c>
      <c r="S2990" s="116" t="s">
        <v>39</v>
      </c>
      <c r="T2990" s="104"/>
      <c r="U2990" s="116"/>
      <c r="V2990" s="104"/>
      <c r="W2990" s="116"/>
    </row>
    <row r="2991">
      <c r="A2991" s="114" t="s">
        <v>39</v>
      </c>
      <c r="B2991" s="115"/>
      <c r="C2991" s="116"/>
      <c r="D2991" s="116"/>
      <c r="E2991" s="116" t="str">
        <f>IFERROR(__xludf.DUMMYFUNCTION("""COMPUTED_VALUE"""),"")</f>
        <v/>
      </c>
      <c r="F2991" s="117" t="s">
        <v>39</v>
      </c>
      <c r="G2991" s="116"/>
      <c r="H2991" s="117"/>
      <c r="I2991" s="117"/>
      <c r="J2991" s="117"/>
      <c r="K2991" s="117"/>
      <c r="L2991" s="116"/>
      <c r="M2991" s="117"/>
      <c r="N2991" s="118" t="str">
        <f>IFERROR(__xludf.DUMMYFUNCTION("""COMPUTED_VALUE"""),"")</f>
        <v/>
      </c>
      <c r="O2991" s="116"/>
      <c r="P2991" s="116"/>
      <c r="Q2991" s="116"/>
      <c r="R2991" s="116" t="s">
        <v>39</v>
      </c>
      <c r="S2991" s="116" t="s">
        <v>39</v>
      </c>
      <c r="T2991" s="104"/>
      <c r="U2991" s="116"/>
      <c r="V2991" s="104"/>
      <c r="W2991" s="116"/>
    </row>
    <row r="2992">
      <c r="A2992" s="114" t="s">
        <v>39</v>
      </c>
      <c r="B2992" s="115"/>
      <c r="C2992" s="116"/>
      <c r="D2992" s="116"/>
      <c r="E2992" s="116" t="str">
        <f>IFERROR(__xludf.DUMMYFUNCTION("""COMPUTED_VALUE"""),"")</f>
        <v/>
      </c>
      <c r="F2992" s="117" t="s">
        <v>39</v>
      </c>
      <c r="G2992" s="116"/>
      <c r="H2992" s="117"/>
      <c r="I2992" s="117"/>
      <c r="J2992" s="117"/>
      <c r="K2992" s="117"/>
      <c r="L2992" s="116"/>
      <c r="M2992" s="117"/>
      <c r="N2992" s="118" t="str">
        <f>IFERROR(__xludf.DUMMYFUNCTION("""COMPUTED_VALUE"""),"")</f>
        <v/>
      </c>
      <c r="O2992" s="116"/>
      <c r="P2992" s="116"/>
      <c r="Q2992" s="116"/>
      <c r="R2992" s="116" t="s">
        <v>39</v>
      </c>
      <c r="S2992" s="116" t="s">
        <v>39</v>
      </c>
      <c r="T2992" s="104"/>
      <c r="U2992" s="116"/>
      <c r="V2992" s="104"/>
      <c r="W2992" s="116"/>
    </row>
    <row r="2993">
      <c r="A2993" s="114" t="s">
        <v>39</v>
      </c>
      <c r="B2993" s="115"/>
      <c r="C2993" s="116"/>
      <c r="D2993" s="116"/>
      <c r="E2993" s="116" t="str">
        <f>IFERROR(__xludf.DUMMYFUNCTION("""COMPUTED_VALUE"""),"")</f>
        <v/>
      </c>
      <c r="F2993" s="117" t="s">
        <v>39</v>
      </c>
      <c r="G2993" s="116"/>
      <c r="H2993" s="117"/>
      <c r="I2993" s="117"/>
      <c r="J2993" s="117"/>
      <c r="K2993" s="117"/>
      <c r="L2993" s="116"/>
      <c r="M2993" s="117"/>
      <c r="N2993" s="118" t="str">
        <f>IFERROR(__xludf.DUMMYFUNCTION("""COMPUTED_VALUE"""),"")</f>
        <v/>
      </c>
      <c r="O2993" s="116"/>
      <c r="P2993" s="116"/>
      <c r="Q2993" s="116"/>
      <c r="R2993" s="116" t="s">
        <v>39</v>
      </c>
      <c r="S2993" s="116" t="s">
        <v>39</v>
      </c>
      <c r="T2993" s="104"/>
      <c r="U2993" s="116"/>
      <c r="V2993" s="104"/>
      <c r="W2993" s="116"/>
    </row>
    <row r="2994">
      <c r="A2994" s="114" t="s">
        <v>39</v>
      </c>
      <c r="B2994" s="115"/>
      <c r="C2994" s="116"/>
      <c r="D2994" s="116"/>
      <c r="E2994" s="116" t="str">
        <f>IFERROR(__xludf.DUMMYFUNCTION("""COMPUTED_VALUE"""),"")</f>
        <v/>
      </c>
      <c r="F2994" s="117" t="s">
        <v>39</v>
      </c>
      <c r="G2994" s="116"/>
      <c r="H2994" s="117"/>
      <c r="I2994" s="117"/>
      <c r="J2994" s="117"/>
      <c r="K2994" s="117"/>
      <c r="L2994" s="116"/>
      <c r="M2994" s="117"/>
      <c r="N2994" s="118" t="str">
        <f>IFERROR(__xludf.DUMMYFUNCTION("""COMPUTED_VALUE"""),"")</f>
        <v/>
      </c>
      <c r="O2994" s="116"/>
      <c r="P2994" s="116"/>
      <c r="Q2994" s="116"/>
      <c r="R2994" s="116" t="s">
        <v>39</v>
      </c>
      <c r="S2994" s="116" t="s">
        <v>39</v>
      </c>
      <c r="T2994" s="104"/>
      <c r="U2994" s="116"/>
      <c r="V2994" s="104"/>
      <c r="W2994" s="116"/>
    </row>
    <row r="2995">
      <c r="A2995" s="114" t="s">
        <v>39</v>
      </c>
      <c r="B2995" s="115"/>
      <c r="C2995" s="116"/>
      <c r="D2995" s="116"/>
      <c r="E2995" s="116" t="str">
        <f>IFERROR(__xludf.DUMMYFUNCTION("""COMPUTED_VALUE"""),"")</f>
        <v/>
      </c>
      <c r="F2995" s="117" t="s">
        <v>39</v>
      </c>
      <c r="G2995" s="116"/>
      <c r="H2995" s="117"/>
      <c r="I2995" s="117"/>
      <c r="J2995" s="117"/>
      <c r="K2995" s="117"/>
      <c r="L2995" s="116"/>
      <c r="M2995" s="117"/>
      <c r="N2995" s="118" t="str">
        <f>IFERROR(__xludf.DUMMYFUNCTION("""COMPUTED_VALUE"""),"")</f>
        <v/>
      </c>
      <c r="O2995" s="116"/>
      <c r="P2995" s="116"/>
      <c r="Q2995" s="116"/>
      <c r="R2995" s="116" t="s">
        <v>39</v>
      </c>
      <c r="S2995" s="116" t="s">
        <v>39</v>
      </c>
      <c r="T2995" s="104"/>
      <c r="U2995" s="116"/>
      <c r="V2995" s="104"/>
      <c r="W2995" s="116"/>
    </row>
    <row r="2996">
      <c r="A2996" s="114" t="s">
        <v>39</v>
      </c>
      <c r="B2996" s="115"/>
      <c r="C2996" s="116"/>
      <c r="D2996" s="116"/>
      <c r="E2996" s="116" t="str">
        <f>IFERROR(__xludf.DUMMYFUNCTION("""COMPUTED_VALUE"""),"")</f>
        <v/>
      </c>
      <c r="F2996" s="117" t="s">
        <v>39</v>
      </c>
      <c r="G2996" s="116"/>
      <c r="H2996" s="117"/>
      <c r="I2996" s="117"/>
      <c r="J2996" s="117"/>
      <c r="K2996" s="117"/>
      <c r="L2996" s="116"/>
      <c r="M2996" s="117"/>
      <c r="N2996" s="118" t="str">
        <f>IFERROR(__xludf.DUMMYFUNCTION("""COMPUTED_VALUE"""),"")</f>
        <v/>
      </c>
      <c r="O2996" s="116"/>
      <c r="P2996" s="116"/>
      <c r="Q2996" s="116"/>
      <c r="R2996" s="116" t="s">
        <v>39</v>
      </c>
      <c r="S2996" s="116" t="s">
        <v>39</v>
      </c>
      <c r="T2996" s="104"/>
      <c r="U2996" s="116"/>
      <c r="V2996" s="104"/>
      <c r="W2996" s="116"/>
    </row>
    <row r="2997">
      <c r="A2997" s="114" t="s">
        <v>39</v>
      </c>
      <c r="B2997" s="115"/>
      <c r="C2997" s="116"/>
      <c r="D2997" s="116"/>
      <c r="E2997" s="116" t="str">
        <f>IFERROR(__xludf.DUMMYFUNCTION("""COMPUTED_VALUE"""),"")</f>
        <v/>
      </c>
      <c r="F2997" s="117" t="s">
        <v>39</v>
      </c>
      <c r="G2997" s="116"/>
      <c r="H2997" s="117"/>
      <c r="I2997" s="117"/>
      <c r="J2997" s="117"/>
      <c r="K2997" s="117"/>
      <c r="L2997" s="116"/>
      <c r="M2997" s="117"/>
      <c r="N2997" s="118" t="str">
        <f>IFERROR(__xludf.DUMMYFUNCTION("""COMPUTED_VALUE"""),"")</f>
        <v/>
      </c>
      <c r="O2997" s="116"/>
      <c r="P2997" s="116"/>
      <c r="Q2997" s="116"/>
      <c r="R2997" s="116" t="s">
        <v>39</v>
      </c>
      <c r="S2997" s="116" t="s">
        <v>39</v>
      </c>
      <c r="T2997" s="104"/>
      <c r="U2997" s="116"/>
      <c r="V2997" s="104"/>
      <c r="W2997" s="116"/>
    </row>
    <row r="2998">
      <c r="A2998" s="114" t="s">
        <v>39</v>
      </c>
      <c r="B2998" s="115"/>
      <c r="C2998" s="116"/>
      <c r="D2998" s="116"/>
      <c r="E2998" s="116" t="str">
        <f>IFERROR(__xludf.DUMMYFUNCTION("""COMPUTED_VALUE"""),"")</f>
        <v/>
      </c>
      <c r="F2998" s="117" t="s">
        <v>39</v>
      </c>
      <c r="G2998" s="116"/>
      <c r="H2998" s="117"/>
      <c r="I2998" s="117"/>
      <c r="J2998" s="117"/>
      <c r="K2998" s="117"/>
      <c r="L2998" s="116"/>
      <c r="M2998" s="117"/>
      <c r="N2998" s="118" t="str">
        <f>IFERROR(__xludf.DUMMYFUNCTION("""COMPUTED_VALUE"""),"")</f>
        <v/>
      </c>
      <c r="O2998" s="116"/>
      <c r="P2998" s="116"/>
      <c r="Q2998" s="116"/>
      <c r="R2998" s="116" t="s">
        <v>39</v>
      </c>
      <c r="S2998" s="116" t="s">
        <v>39</v>
      </c>
      <c r="T2998" s="104"/>
      <c r="U2998" s="116"/>
      <c r="V2998" s="104"/>
      <c r="W2998" s="116"/>
    </row>
    <row r="2999">
      <c r="A2999" s="114" t="s">
        <v>39</v>
      </c>
      <c r="B2999" s="115"/>
      <c r="C2999" s="116"/>
      <c r="D2999" s="116"/>
      <c r="E2999" s="116" t="str">
        <f>IFERROR(__xludf.DUMMYFUNCTION("""COMPUTED_VALUE"""),"")</f>
        <v/>
      </c>
      <c r="F2999" s="117" t="s">
        <v>39</v>
      </c>
      <c r="G2999" s="116"/>
      <c r="H2999" s="117"/>
      <c r="I2999" s="117"/>
      <c r="J2999" s="117"/>
      <c r="K2999" s="117"/>
      <c r="L2999" s="116"/>
      <c r="M2999" s="117"/>
      <c r="N2999" s="118" t="str">
        <f>IFERROR(__xludf.DUMMYFUNCTION("""COMPUTED_VALUE"""),"")</f>
        <v/>
      </c>
      <c r="O2999" s="116"/>
      <c r="P2999" s="116"/>
      <c r="Q2999" s="116"/>
      <c r="R2999" s="116" t="s">
        <v>39</v>
      </c>
      <c r="S2999" s="116" t="s">
        <v>39</v>
      </c>
      <c r="T2999" s="104"/>
      <c r="U2999" s="116"/>
      <c r="V2999" s="104"/>
      <c r="W2999" s="116"/>
    </row>
    <row r="3000">
      <c r="A3000" s="114" t="s">
        <v>39</v>
      </c>
      <c r="B3000" s="115"/>
      <c r="C3000" s="116"/>
      <c r="D3000" s="116"/>
      <c r="E3000" s="116" t="str">
        <f>IFERROR(__xludf.DUMMYFUNCTION("""COMPUTED_VALUE"""),"")</f>
        <v/>
      </c>
      <c r="F3000" s="117" t="s">
        <v>39</v>
      </c>
      <c r="G3000" s="116"/>
      <c r="H3000" s="117"/>
      <c r="I3000" s="117"/>
      <c r="J3000" s="117"/>
      <c r="K3000" s="117"/>
      <c r="L3000" s="116"/>
      <c r="M3000" s="117"/>
      <c r="N3000" s="118" t="str">
        <f>IFERROR(__xludf.DUMMYFUNCTION("""COMPUTED_VALUE"""),"")</f>
        <v/>
      </c>
      <c r="O3000" s="116"/>
      <c r="P3000" s="116"/>
      <c r="Q3000" s="116"/>
      <c r="R3000" s="116" t="s">
        <v>39</v>
      </c>
      <c r="S3000" s="116" t="s">
        <v>39</v>
      </c>
      <c r="T3000" s="104"/>
      <c r="U3000" s="116"/>
      <c r="V3000" s="104"/>
      <c r="W3000" s="116"/>
    </row>
  </sheetData>
  <autoFilter ref="$A$2:$W$467"/>
  <dataValidations>
    <dataValidation type="list" allowBlank="1" sqref="L3:L3000">
      <formula1>'Price KEY'!$D$2:$D3000</formula1>
    </dataValidation>
    <dataValidation type="list" allowBlank="1" sqref="P3:P3000">
      <formula1>'Price KEY'!$E$2:$E3000</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1.13"/>
    <col customWidth="1" min="2" max="2" width="19.25"/>
    <col customWidth="1" min="4" max="4" width="16.63"/>
    <col customWidth="1" min="5" max="5" width="15.75"/>
    <col customWidth="1" min="7" max="7" width="19.75"/>
  </cols>
  <sheetData>
    <row r="1">
      <c r="A1" s="119" t="s">
        <v>1436</v>
      </c>
      <c r="B1" s="119" t="s">
        <v>5953</v>
      </c>
      <c r="C1" s="119" t="s">
        <v>5954</v>
      </c>
      <c r="D1" s="119" t="s">
        <v>3569</v>
      </c>
      <c r="E1" s="120"/>
      <c r="F1" s="121" t="s">
        <v>8</v>
      </c>
      <c r="G1" s="21"/>
      <c r="H1" s="120"/>
      <c r="I1" s="120"/>
      <c r="J1" s="120"/>
      <c r="K1" s="120"/>
      <c r="L1" s="120"/>
      <c r="M1" s="120"/>
      <c r="N1" s="120"/>
      <c r="O1" s="120"/>
      <c r="P1" s="120"/>
      <c r="Q1" s="120"/>
      <c r="R1" s="120"/>
      <c r="S1" s="120"/>
      <c r="T1" s="120"/>
      <c r="U1" s="120"/>
      <c r="V1" s="120"/>
      <c r="W1" s="120"/>
      <c r="X1" s="120"/>
      <c r="Y1" s="120"/>
      <c r="Z1" s="120"/>
    </row>
    <row r="2">
      <c r="A2" s="122" t="s">
        <v>18</v>
      </c>
      <c r="B2" s="123" t="s">
        <v>5955</v>
      </c>
      <c r="C2" s="124" t="s">
        <v>5956</v>
      </c>
      <c r="D2" s="122" t="s">
        <v>483</v>
      </c>
      <c r="E2" s="125" t="s">
        <v>1626</v>
      </c>
      <c r="F2" s="122" t="s">
        <v>1462</v>
      </c>
      <c r="G2" s="21"/>
      <c r="H2" s="125"/>
      <c r="I2" s="125"/>
      <c r="J2" s="125"/>
      <c r="K2" s="125"/>
      <c r="L2" s="125"/>
      <c r="M2" s="125"/>
      <c r="N2" s="125"/>
      <c r="O2" s="125"/>
      <c r="P2" s="125"/>
      <c r="Q2" s="125"/>
      <c r="R2" s="125"/>
      <c r="S2" s="125"/>
      <c r="T2" s="125"/>
      <c r="U2" s="125"/>
      <c r="V2" s="125"/>
      <c r="W2" s="125"/>
      <c r="X2" s="125"/>
      <c r="Y2" s="125"/>
      <c r="Z2" s="125"/>
    </row>
    <row r="3">
      <c r="A3" s="122" t="s">
        <v>1665</v>
      </c>
      <c r="B3" s="123" t="s">
        <v>5957</v>
      </c>
      <c r="C3" s="124" t="s">
        <v>5958</v>
      </c>
      <c r="D3" s="122" t="s">
        <v>5959</v>
      </c>
      <c r="E3" s="125" t="s">
        <v>5960</v>
      </c>
      <c r="F3" s="122" t="s">
        <v>1626</v>
      </c>
      <c r="G3" s="21"/>
      <c r="H3" s="125"/>
      <c r="I3" s="125"/>
      <c r="J3" s="125"/>
      <c r="K3" s="125"/>
      <c r="L3" s="125"/>
      <c r="M3" s="125"/>
      <c r="N3" s="125"/>
      <c r="O3" s="125"/>
      <c r="P3" s="125"/>
      <c r="Q3" s="125"/>
      <c r="R3" s="125"/>
      <c r="S3" s="125"/>
      <c r="T3" s="125"/>
      <c r="U3" s="125"/>
      <c r="V3" s="125"/>
      <c r="W3" s="125"/>
      <c r="X3" s="125"/>
      <c r="Y3" s="125"/>
      <c r="Z3" s="125"/>
    </row>
    <row r="4">
      <c r="A4" s="122" t="s">
        <v>5961</v>
      </c>
      <c r="B4" s="123" t="s">
        <v>5962</v>
      </c>
      <c r="C4" s="124" t="s">
        <v>5963</v>
      </c>
      <c r="D4" s="122" t="s">
        <v>5964</v>
      </c>
      <c r="E4" s="125" t="s">
        <v>2512</v>
      </c>
      <c r="F4" s="122" t="s">
        <v>5965</v>
      </c>
      <c r="G4" s="21"/>
      <c r="H4" s="125"/>
      <c r="I4" s="125"/>
      <c r="J4" s="125"/>
      <c r="K4" s="125"/>
      <c r="L4" s="125"/>
      <c r="M4" s="125"/>
      <c r="N4" s="125"/>
      <c r="O4" s="125"/>
      <c r="P4" s="125"/>
      <c r="Q4" s="125"/>
      <c r="R4" s="125"/>
      <c r="S4" s="125"/>
      <c r="T4" s="125"/>
      <c r="U4" s="125"/>
      <c r="V4" s="125"/>
      <c r="W4" s="125"/>
      <c r="X4" s="125"/>
      <c r="Y4" s="125"/>
      <c r="Z4" s="125"/>
    </row>
    <row r="5">
      <c r="A5" s="126" t="s">
        <v>1474</v>
      </c>
      <c r="B5" s="123" t="s">
        <v>5966</v>
      </c>
      <c r="C5" s="124" t="s">
        <v>5967</v>
      </c>
      <c r="D5" s="122" t="s">
        <v>46</v>
      </c>
      <c r="E5" s="125" t="s">
        <v>1692</v>
      </c>
      <c r="F5" s="122" t="s">
        <v>5968</v>
      </c>
      <c r="G5" s="21"/>
      <c r="H5" s="125"/>
      <c r="I5" s="125"/>
      <c r="J5" s="125"/>
      <c r="K5" s="125"/>
      <c r="L5" s="125"/>
      <c r="M5" s="125"/>
      <c r="N5" s="125"/>
      <c r="O5" s="125"/>
      <c r="P5" s="125"/>
      <c r="Q5" s="125"/>
      <c r="R5" s="125"/>
      <c r="S5" s="125"/>
      <c r="T5" s="125"/>
      <c r="U5" s="125"/>
      <c r="V5" s="125"/>
      <c r="W5" s="125"/>
      <c r="X5" s="125"/>
      <c r="Y5" s="125"/>
      <c r="Z5" s="125"/>
    </row>
    <row r="6">
      <c r="A6" s="122" t="s">
        <v>174</v>
      </c>
      <c r="B6" s="123" t="s">
        <v>5969</v>
      </c>
      <c r="C6" s="124" t="s">
        <v>5970</v>
      </c>
      <c r="D6" s="122" t="s">
        <v>2259</v>
      </c>
      <c r="E6" s="122" t="s">
        <v>5971</v>
      </c>
      <c r="F6" s="122" t="s">
        <v>5972</v>
      </c>
      <c r="G6" s="21"/>
      <c r="H6" s="125"/>
      <c r="I6" s="125"/>
      <c r="J6" s="125"/>
      <c r="K6" s="125"/>
      <c r="L6" s="125"/>
      <c r="M6" s="125"/>
      <c r="N6" s="125"/>
      <c r="O6" s="125"/>
      <c r="P6" s="125"/>
      <c r="Q6" s="125"/>
      <c r="R6" s="125"/>
      <c r="S6" s="125"/>
      <c r="T6" s="125"/>
      <c r="U6" s="125"/>
      <c r="V6" s="125"/>
      <c r="W6" s="125"/>
      <c r="X6" s="125"/>
      <c r="Y6" s="125"/>
      <c r="Z6" s="125"/>
    </row>
    <row r="7">
      <c r="A7" s="122" t="s">
        <v>180</v>
      </c>
      <c r="B7" s="123" t="s">
        <v>5973</v>
      </c>
      <c r="C7" s="124" t="s">
        <v>5974</v>
      </c>
      <c r="D7" s="122" t="s">
        <v>3757</v>
      </c>
      <c r="E7" s="125" t="s">
        <v>1481</v>
      </c>
      <c r="F7" s="122" t="s">
        <v>2512</v>
      </c>
      <c r="G7" s="21"/>
      <c r="H7" s="125"/>
      <c r="I7" s="125"/>
      <c r="J7" s="125"/>
      <c r="K7" s="125"/>
      <c r="L7" s="125"/>
      <c r="M7" s="125"/>
      <c r="N7" s="125"/>
      <c r="O7" s="125"/>
      <c r="P7" s="125"/>
      <c r="Q7" s="125"/>
      <c r="R7" s="125"/>
      <c r="S7" s="125"/>
      <c r="T7" s="125"/>
      <c r="U7" s="125"/>
      <c r="V7" s="125"/>
      <c r="W7" s="125"/>
      <c r="X7" s="125"/>
      <c r="Y7" s="125"/>
      <c r="Z7" s="125"/>
    </row>
    <row r="8">
      <c r="A8" s="122" t="s">
        <v>5975</v>
      </c>
      <c r="B8" s="125"/>
      <c r="C8" s="124"/>
      <c r="E8" s="122" t="s">
        <v>483</v>
      </c>
      <c r="F8" s="122" t="s">
        <v>5976</v>
      </c>
      <c r="G8" s="21"/>
      <c r="H8" s="125"/>
      <c r="I8" s="125"/>
      <c r="J8" s="125"/>
      <c r="K8" s="125"/>
      <c r="L8" s="125"/>
      <c r="M8" s="125"/>
      <c r="N8" s="125"/>
      <c r="O8" s="125"/>
      <c r="P8" s="125"/>
      <c r="Q8" s="125"/>
      <c r="R8" s="125"/>
      <c r="S8" s="125"/>
      <c r="T8" s="125"/>
      <c r="U8" s="125"/>
      <c r="V8" s="125"/>
      <c r="W8" s="125"/>
      <c r="X8" s="125"/>
      <c r="Y8" s="125"/>
      <c r="Z8" s="125"/>
    </row>
    <row r="9">
      <c r="A9" s="122" t="s">
        <v>5977</v>
      </c>
      <c r="B9" s="125"/>
      <c r="C9" s="124" t="s">
        <v>5978</v>
      </c>
      <c r="E9" s="122" t="s">
        <v>3583</v>
      </c>
      <c r="F9" s="122" t="s">
        <v>5979</v>
      </c>
      <c r="G9" s="21"/>
      <c r="H9" s="125"/>
      <c r="I9" s="125"/>
      <c r="J9" s="125"/>
      <c r="K9" s="125"/>
      <c r="L9" s="125"/>
      <c r="M9" s="125"/>
      <c r="N9" s="125"/>
      <c r="O9" s="125"/>
      <c r="P9" s="125"/>
      <c r="Q9" s="125"/>
      <c r="R9" s="125"/>
      <c r="S9" s="125"/>
      <c r="T9" s="125"/>
      <c r="U9" s="125"/>
      <c r="V9" s="125"/>
      <c r="W9" s="125"/>
      <c r="X9" s="125"/>
      <c r="Y9" s="125"/>
      <c r="Z9" s="125"/>
    </row>
    <row r="10">
      <c r="A10" s="125"/>
      <c r="B10" s="125"/>
      <c r="C10" s="125"/>
      <c r="D10" s="125"/>
      <c r="F10" s="122" t="s">
        <v>1595</v>
      </c>
      <c r="G10" s="21"/>
      <c r="H10" s="125"/>
      <c r="I10" s="125"/>
      <c r="J10" s="125"/>
      <c r="K10" s="125"/>
      <c r="L10" s="125"/>
      <c r="M10" s="125"/>
      <c r="N10" s="125"/>
      <c r="O10" s="125"/>
      <c r="P10" s="125"/>
      <c r="Q10" s="125"/>
      <c r="R10" s="125"/>
      <c r="S10" s="125"/>
      <c r="T10" s="125"/>
      <c r="U10" s="125"/>
      <c r="V10" s="125"/>
      <c r="W10" s="125"/>
      <c r="X10" s="125"/>
      <c r="Y10" s="125"/>
      <c r="Z10" s="125"/>
    </row>
    <row r="11">
      <c r="A11" s="125"/>
      <c r="B11" s="125"/>
      <c r="C11" s="125"/>
      <c r="D11" s="125"/>
      <c r="E11" s="125"/>
      <c r="F11" s="122"/>
      <c r="G11" s="21"/>
      <c r="H11" s="125"/>
      <c r="I11" s="125"/>
      <c r="J11" s="125"/>
      <c r="K11" s="125"/>
      <c r="L11" s="125"/>
      <c r="M11" s="125"/>
      <c r="N11" s="125"/>
      <c r="O11" s="125"/>
      <c r="P11" s="125"/>
      <c r="Q11" s="125"/>
      <c r="R11" s="125"/>
      <c r="S11" s="125"/>
      <c r="T11" s="125"/>
      <c r="U11" s="125"/>
      <c r="V11" s="125"/>
      <c r="W11" s="125"/>
      <c r="X11" s="125"/>
      <c r="Y11" s="125"/>
      <c r="Z11" s="125"/>
    </row>
    <row r="12">
      <c r="A12" s="125"/>
      <c r="B12" s="125"/>
      <c r="C12" s="125"/>
      <c r="D12" s="125"/>
      <c r="E12" s="125"/>
      <c r="F12" s="122"/>
      <c r="G12" s="21"/>
      <c r="H12" s="125"/>
      <c r="I12" s="125"/>
      <c r="J12" s="125"/>
      <c r="K12" s="125"/>
      <c r="L12" s="125"/>
      <c r="M12" s="125"/>
      <c r="N12" s="125"/>
      <c r="O12" s="125"/>
      <c r="P12" s="125"/>
      <c r="Q12" s="125"/>
      <c r="R12" s="125"/>
      <c r="S12" s="125"/>
      <c r="T12" s="125"/>
      <c r="U12" s="125"/>
      <c r="V12" s="125"/>
      <c r="W12" s="125"/>
      <c r="X12" s="125"/>
      <c r="Y12" s="125"/>
      <c r="Z12" s="125"/>
    </row>
    <row r="13">
      <c r="A13" s="125"/>
      <c r="B13" s="125"/>
      <c r="C13" s="125"/>
      <c r="D13" s="125"/>
      <c r="E13" s="125"/>
      <c r="F13" s="122"/>
      <c r="G13" s="21"/>
      <c r="H13" s="125"/>
      <c r="I13" s="125"/>
      <c r="J13" s="125"/>
      <c r="K13" s="125"/>
      <c r="L13" s="125"/>
      <c r="M13" s="125"/>
      <c r="N13" s="125"/>
      <c r="O13" s="125"/>
      <c r="P13" s="125"/>
      <c r="Q13" s="125"/>
      <c r="R13" s="125"/>
      <c r="S13" s="125"/>
      <c r="T13" s="125"/>
      <c r="U13" s="125"/>
      <c r="V13" s="125"/>
      <c r="W13" s="125"/>
      <c r="X13" s="125"/>
      <c r="Y13" s="125"/>
      <c r="Z13" s="125"/>
    </row>
    <row r="14">
      <c r="A14" s="125"/>
      <c r="B14" s="125"/>
      <c r="C14" s="125"/>
      <c r="D14" s="125"/>
      <c r="E14" s="125"/>
      <c r="F14" s="122"/>
      <c r="G14" s="21"/>
      <c r="H14" s="125"/>
      <c r="I14" s="125"/>
      <c r="J14" s="125"/>
      <c r="K14" s="125"/>
      <c r="L14" s="125"/>
      <c r="M14" s="125"/>
      <c r="N14" s="125"/>
      <c r="O14" s="125"/>
      <c r="P14" s="125"/>
      <c r="Q14" s="125"/>
      <c r="R14" s="125"/>
      <c r="S14" s="125"/>
      <c r="T14" s="125"/>
      <c r="U14" s="125"/>
      <c r="V14" s="125"/>
      <c r="W14" s="125"/>
      <c r="X14" s="125"/>
      <c r="Y14" s="125"/>
      <c r="Z14" s="125"/>
    </row>
    <row r="15">
      <c r="A15" s="125"/>
      <c r="B15" s="125"/>
      <c r="C15" s="125"/>
      <c r="D15" s="125"/>
      <c r="E15" s="125"/>
      <c r="F15" s="125"/>
      <c r="G15" s="21"/>
      <c r="H15" s="125"/>
      <c r="I15" s="125"/>
      <c r="J15" s="125"/>
      <c r="K15" s="125"/>
      <c r="L15" s="125"/>
      <c r="M15" s="125"/>
      <c r="N15" s="125"/>
      <c r="O15" s="125"/>
      <c r="P15" s="125"/>
      <c r="Q15" s="125"/>
      <c r="R15" s="125"/>
      <c r="S15" s="125"/>
      <c r="T15" s="125"/>
      <c r="U15" s="125"/>
      <c r="V15" s="125"/>
      <c r="W15" s="125"/>
      <c r="X15" s="125"/>
      <c r="Y15" s="125"/>
      <c r="Z15" s="125"/>
    </row>
    <row r="16">
      <c r="A16" s="125"/>
      <c r="B16" s="125"/>
      <c r="C16" s="125"/>
      <c r="D16" s="125"/>
      <c r="E16" s="125"/>
      <c r="F16" s="123"/>
      <c r="G16" s="21"/>
      <c r="H16" s="125"/>
      <c r="I16" s="125"/>
      <c r="J16" s="125"/>
      <c r="K16" s="125"/>
      <c r="L16" s="125"/>
      <c r="M16" s="125"/>
      <c r="N16" s="125"/>
      <c r="O16" s="125"/>
      <c r="P16" s="125"/>
      <c r="Q16" s="125"/>
      <c r="R16" s="125"/>
      <c r="S16" s="125"/>
      <c r="T16" s="125"/>
      <c r="U16" s="125"/>
      <c r="V16" s="125"/>
      <c r="W16" s="125"/>
      <c r="X16" s="125"/>
      <c r="Y16" s="125"/>
      <c r="Z16" s="125"/>
    </row>
    <row r="17">
      <c r="A17" s="125"/>
      <c r="B17" s="125"/>
      <c r="C17" s="125"/>
      <c r="D17" s="125"/>
      <c r="E17" s="125"/>
      <c r="F17" s="125"/>
      <c r="G17" s="21"/>
      <c r="H17" s="125"/>
      <c r="I17" s="125"/>
      <c r="J17" s="125"/>
      <c r="K17" s="125"/>
      <c r="L17" s="125"/>
      <c r="M17" s="125"/>
      <c r="N17" s="125"/>
      <c r="O17" s="125"/>
      <c r="P17" s="125"/>
      <c r="Q17" s="125"/>
      <c r="R17" s="125"/>
      <c r="S17" s="125"/>
      <c r="T17" s="125"/>
      <c r="U17" s="125"/>
      <c r="V17" s="125"/>
      <c r="W17" s="125"/>
      <c r="X17" s="125"/>
      <c r="Y17" s="125"/>
      <c r="Z17" s="125"/>
    </row>
    <row r="18">
      <c r="A18" s="125"/>
      <c r="B18" s="125"/>
      <c r="C18" s="125"/>
      <c r="D18" s="125"/>
      <c r="E18" s="125"/>
      <c r="F18" s="125"/>
      <c r="G18" s="21"/>
      <c r="H18" s="125"/>
      <c r="I18" s="125"/>
      <c r="J18" s="125"/>
      <c r="K18" s="125"/>
      <c r="L18" s="125"/>
      <c r="M18" s="125"/>
      <c r="N18" s="125"/>
      <c r="O18" s="125"/>
      <c r="P18" s="125"/>
      <c r="Q18" s="125"/>
      <c r="R18" s="125"/>
      <c r="S18" s="125"/>
      <c r="T18" s="125"/>
      <c r="U18" s="125"/>
      <c r="V18" s="125"/>
      <c r="W18" s="125"/>
      <c r="X18" s="125"/>
      <c r="Y18" s="125"/>
      <c r="Z18" s="125"/>
    </row>
    <row r="19">
      <c r="A19" s="125"/>
      <c r="B19" s="125"/>
      <c r="C19" s="125"/>
      <c r="D19" s="125"/>
      <c r="E19" s="125"/>
      <c r="F19" s="125"/>
      <c r="G19" s="21"/>
      <c r="H19" s="125"/>
      <c r="I19" s="125"/>
      <c r="J19" s="125"/>
      <c r="K19" s="125"/>
      <c r="L19" s="125"/>
      <c r="M19" s="125"/>
      <c r="N19" s="125"/>
      <c r="O19" s="125"/>
      <c r="P19" s="125"/>
      <c r="Q19" s="125"/>
      <c r="R19" s="125"/>
      <c r="S19" s="125"/>
      <c r="T19" s="125"/>
      <c r="U19" s="125"/>
      <c r="V19" s="125"/>
      <c r="W19" s="125"/>
      <c r="X19" s="125"/>
      <c r="Y19" s="125"/>
      <c r="Z19" s="125"/>
    </row>
    <row r="20">
      <c r="A20" s="125"/>
      <c r="B20" s="125"/>
      <c r="C20" s="125"/>
      <c r="D20" s="125"/>
      <c r="E20" s="125"/>
      <c r="F20" s="125"/>
      <c r="G20" s="21"/>
      <c r="H20" s="125"/>
      <c r="I20" s="125"/>
      <c r="J20" s="125"/>
      <c r="K20" s="125"/>
      <c r="L20" s="125"/>
      <c r="M20" s="125"/>
      <c r="N20" s="125"/>
      <c r="O20" s="125"/>
      <c r="P20" s="125"/>
      <c r="Q20" s="125"/>
      <c r="R20" s="125"/>
      <c r="S20" s="125"/>
      <c r="T20" s="125"/>
      <c r="U20" s="125"/>
      <c r="V20" s="125"/>
      <c r="W20" s="125"/>
      <c r="X20" s="125"/>
      <c r="Y20" s="125"/>
      <c r="Z20" s="125"/>
    </row>
    <row r="21">
      <c r="A21" s="125"/>
      <c r="B21" s="125"/>
      <c r="C21" s="125"/>
      <c r="D21" s="125"/>
      <c r="E21" s="125"/>
      <c r="F21" s="125"/>
      <c r="G21" s="21"/>
      <c r="H21" s="125"/>
      <c r="I21" s="125"/>
      <c r="J21" s="125"/>
      <c r="K21" s="125"/>
      <c r="L21" s="125"/>
      <c r="M21" s="125"/>
      <c r="N21" s="125"/>
      <c r="O21" s="125"/>
      <c r="P21" s="125"/>
      <c r="Q21" s="125"/>
      <c r="R21" s="125"/>
      <c r="S21" s="125"/>
      <c r="T21" s="125"/>
      <c r="U21" s="125"/>
      <c r="V21" s="125"/>
      <c r="W21" s="125"/>
      <c r="X21" s="125"/>
      <c r="Y21" s="125"/>
      <c r="Z21" s="125"/>
    </row>
    <row r="22">
      <c r="A22" s="125"/>
      <c r="B22" s="125"/>
      <c r="C22" s="125"/>
      <c r="D22" s="125"/>
      <c r="E22" s="125"/>
      <c r="F22" s="125"/>
      <c r="G22" s="21"/>
      <c r="H22" s="125"/>
      <c r="I22" s="125"/>
      <c r="J22" s="125"/>
      <c r="K22" s="125"/>
      <c r="L22" s="125"/>
      <c r="M22" s="125"/>
      <c r="N22" s="125"/>
      <c r="O22" s="125"/>
      <c r="P22" s="125"/>
      <c r="Q22" s="125"/>
      <c r="R22" s="125"/>
      <c r="S22" s="125"/>
      <c r="T22" s="125"/>
      <c r="U22" s="125"/>
      <c r="V22" s="125"/>
      <c r="W22" s="125"/>
      <c r="X22" s="125"/>
      <c r="Y22" s="125"/>
      <c r="Z22" s="125"/>
    </row>
    <row r="23">
      <c r="A23" s="125"/>
      <c r="B23" s="125"/>
      <c r="C23" s="125"/>
      <c r="D23" s="125"/>
      <c r="E23" s="125"/>
      <c r="F23" s="125"/>
      <c r="G23" s="21"/>
      <c r="H23" s="125"/>
      <c r="I23" s="125"/>
      <c r="J23" s="125"/>
      <c r="K23" s="125"/>
      <c r="L23" s="125"/>
      <c r="M23" s="125"/>
      <c r="N23" s="125"/>
      <c r="O23" s="125"/>
      <c r="P23" s="125"/>
      <c r="Q23" s="125"/>
      <c r="R23" s="125"/>
      <c r="S23" s="125"/>
      <c r="T23" s="125"/>
      <c r="U23" s="125"/>
      <c r="V23" s="125"/>
      <c r="W23" s="125"/>
      <c r="X23" s="125"/>
      <c r="Y23" s="125"/>
      <c r="Z23" s="125"/>
    </row>
    <row r="24">
      <c r="A24" s="125"/>
      <c r="B24" s="125"/>
      <c r="C24" s="125"/>
      <c r="D24" s="125"/>
      <c r="E24" s="125"/>
      <c r="F24" s="125"/>
      <c r="G24" s="21"/>
      <c r="H24" s="125"/>
      <c r="I24" s="125"/>
      <c r="J24" s="125"/>
      <c r="K24" s="125"/>
      <c r="L24" s="125"/>
      <c r="M24" s="125"/>
      <c r="N24" s="125"/>
      <c r="O24" s="125"/>
      <c r="P24" s="125"/>
      <c r="Q24" s="125"/>
      <c r="R24" s="125"/>
      <c r="S24" s="125"/>
      <c r="T24" s="125"/>
      <c r="U24" s="125"/>
      <c r="V24" s="125"/>
      <c r="W24" s="125"/>
      <c r="X24" s="125"/>
      <c r="Y24" s="125"/>
      <c r="Z24" s="125"/>
    </row>
    <row r="25">
      <c r="A25" s="125"/>
      <c r="B25" s="125"/>
      <c r="C25" s="125"/>
      <c r="D25" s="125"/>
      <c r="E25" s="125"/>
      <c r="F25" s="125"/>
      <c r="G25" s="21"/>
      <c r="H25" s="125"/>
      <c r="I25" s="125"/>
      <c r="J25" s="125"/>
      <c r="K25" s="125"/>
      <c r="L25" s="125"/>
      <c r="M25" s="125"/>
      <c r="N25" s="125"/>
      <c r="O25" s="125"/>
      <c r="P25" s="125"/>
      <c r="Q25" s="125"/>
      <c r="R25" s="125"/>
      <c r="S25" s="125"/>
      <c r="T25" s="125"/>
      <c r="U25" s="125"/>
      <c r="V25" s="125"/>
      <c r="W25" s="125"/>
      <c r="X25" s="125"/>
      <c r="Y25" s="125"/>
      <c r="Z25" s="125"/>
    </row>
    <row r="26">
      <c r="A26" s="125"/>
      <c r="B26" s="125"/>
      <c r="C26" s="125"/>
      <c r="D26" s="125"/>
      <c r="E26" s="125"/>
      <c r="F26" s="125"/>
      <c r="G26" s="21"/>
      <c r="H26" s="125"/>
      <c r="I26" s="125"/>
      <c r="J26" s="125"/>
      <c r="K26" s="125"/>
      <c r="L26" s="125"/>
      <c r="M26" s="125"/>
      <c r="N26" s="125"/>
      <c r="O26" s="125"/>
      <c r="P26" s="125"/>
      <c r="Q26" s="125"/>
      <c r="R26" s="125"/>
      <c r="S26" s="125"/>
      <c r="T26" s="125"/>
      <c r="U26" s="125"/>
      <c r="V26" s="125"/>
      <c r="W26" s="125"/>
      <c r="X26" s="125"/>
      <c r="Y26" s="125"/>
      <c r="Z26" s="125"/>
    </row>
    <row r="27">
      <c r="A27" s="125"/>
      <c r="B27" s="125"/>
      <c r="C27" s="125"/>
      <c r="D27" s="125"/>
      <c r="E27" s="125"/>
      <c r="F27" s="125"/>
      <c r="G27" s="21"/>
      <c r="H27" s="125"/>
      <c r="I27" s="125"/>
      <c r="J27" s="125"/>
      <c r="K27" s="125"/>
      <c r="L27" s="125"/>
      <c r="M27" s="125"/>
      <c r="N27" s="125"/>
      <c r="O27" s="125"/>
      <c r="P27" s="125"/>
      <c r="Q27" s="125"/>
      <c r="R27" s="125"/>
      <c r="S27" s="125"/>
      <c r="T27" s="125"/>
      <c r="U27" s="125"/>
      <c r="V27" s="125"/>
      <c r="W27" s="125"/>
      <c r="X27" s="125"/>
      <c r="Y27" s="125"/>
      <c r="Z27" s="125"/>
    </row>
    <row r="28">
      <c r="A28" s="125"/>
      <c r="B28" s="125"/>
      <c r="C28" s="125"/>
      <c r="D28" s="125"/>
      <c r="E28" s="125"/>
      <c r="F28" s="125"/>
      <c r="G28" s="21"/>
      <c r="H28" s="125"/>
      <c r="I28" s="125"/>
      <c r="J28" s="125"/>
      <c r="K28" s="125"/>
      <c r="L28" s="125"/>
      <c r="M28" s="125"/>
      <c r="N28" s="125"/>
      <c r="O28" s="125"/>
      <c r="P28" s="125"/>
      <c r="Q28" s="125"/>
      <c r="R28" s="125"/>
      <c r="S28" s="125"/>
      <c r="T28" s="125"/>
      <c r="U28" s="125"/>
      <c r="V28" s="125"/>
      <c r="W28" s="125"/>
      <c r="X28" s="125"/>
      <c r="Y28" s="125"/>
      <c r="Z28" s="125"/>
    </row>
    <row r="29">
      <c r="A29" s="125"/>
      <c r="B29" s="125"/>
      <c r="C29" s="125"/>
      <c r="D29" s="125"/>
      <c r="E29" s="125"/>
      <c r="F29" s="125"/>
      <c r="G29" s="21"/>
      <c r="H29" s="125"/>
      <c r="I29" s="125"/>
      <c r="J29" s="125"/>
      <c r="K29" s="125"/>
      <c r="L29" s="125"/>
      <c r="M29" s="125"/>
      <c r="N29" s="125"/>
      <c r="O29" s="125"/>
      <c r="P29" s="125"/>
      <c r="Q29" s="125"/>
      <c r="R29" s="125"/>
      <c r="S29" s="125"/>
      <c r="T29" s="125"/>
      <c r="U29" s="125"/>
      <c r="V29" s="125"/>
      <c r="W29" s="125"/>
      <c r="X29" s="125"/>
      <c r="Y29" s="125"/>
      <c r="Z29" s="125"/>
    </row>
    <row r="30">
      <c r="A30" s="125"/>
      <c r="B30" s="125"/>
      <c r="C30" s="125"/>
      <c r="D30" s="125"/>
      <c r="E30" s="125"/>
      <c r="F30" s="125"/>
      <c r="G30" s="21"/>
      <c r="H30" s="125"/>
      <c r="I30" s="125"/>
      <c r="J30" s="125"/>
      <c r="K30" s="125"/>
      <c r="L30" s="125"/>
      <c r="M30" s="125"/>
      <c r="N30" s="125"/>
      <c r="O30" s="125"/>
      <c r="P30" s="125"/>
      <c r="Q30" s="125"/>
      <c r="R30" s="125"/>
      <c r="S30" s="125"/>
      <c r="T30" s="125"/>
      <c r="U30" s="125"/>
      <c r="V30" s="125"/>
      <c r="W30" s="125"/>
      <c r="X30" s="125"/>
      <c r="Y30" s="125"/>
      <c r="Z30" s="125"/>
    </row>
    <row r="31">
      <c r="A31" s="125"/>
      <c r="B31" s="125"/>
      <c r="C31" s="125"/>
      <c r="D31" s="125"/>
      <c r="E31" s="125"/>
      <c r="F31" s="125"/>
      <c r="G31" s="21"/>
      <c r="H31" s="125"/>
      <c r="I31" s="125"/>
      <c r="J31" s="125"/>
      <c r="K31" s="125"/>
      <c r="L31" s="125"/>
      <c r="M31" s="125"/>
      <c r="N31" s="125"/>
      <c r="O31" s="125"/>
      <c r="P31" s="125"/>
      <c r="Q31" s="125"/>
      <c r="R31" s="125"/>
      <c r="S31" s="125"/>
      <c r="T31" s="125"/>
      <c r="U31" s="125"/>
      <c r="V31" s="125"/>
      <c r="W31" s="125"/>
      <c r="X31" s="125"/>
      <c r="Y31" s="125"/>
      <c r="Z31" s="125"/>
    </row>
    <row r="32">
      <c r="A32" s="125"/>
      <c r="B32" s="125"/>
      <c r="C32" s="125"/>
      <c r="D32" s="125"/>
      <c r="E32" s="125"/>
      <c r="F32" s="125"/>
      <c r="G32" s="21"/>
      <c r="H32" s="125"/>
      <c r="I32" s="125"/>
      <c r="J32" s="125"/>
      <c r="K32" s="125"/>
      <c r="L32" s="125"/>
      <c r="M32" s="125"/>
      <c r="N32" s="125"/>
      <c r="O32" s="125"/>
      <c r="P32" s="125"/>
      <c r="Q32" s="125"/>
      <c r="R32" s="125"/>
      <c r="S32" s="125"/>
      <c r="T32" s="125"/>
      <c r="U32" s="125"/>
      <c r="V32" s="125"/>
      <c r="W32" s="125"/>
      <c r="X32" s="125"/>
      <c r="Y32" s="125"/>
      <c r="Z32" s="125"/>
    </row>
    <row r="33">
      <c r="A33" s="125"/>
      <c r="B33" s="125"/>
      <c r="C33" s="125"/>
      <c r="D33" s="125"/>
      <c r="E33" s="125"/>
      <c r="F33" s="125"/>
      <c r="G33" s="21"/>
      <c r="H33" s="125"/>
      <c r="I33" s="125"/>
      <c r="J33" s="125"/>
      <c r="K33" s="125"/>
      <c r="L33" s="125"/>
      <c r="M33" s="125"/>
      <c r="N33" s="125"/>
      <c r="O33" s="125"/>
      <c r="P33" s="125"/>
      <c r="Q33" s="125"/>
      <c r="R33" s="125"/>
      <c r="S33" s="125"/>
      <c r="T33" s="125"/>
      <c r="U33" s="125"/>
      <c r="V33" s="125"/>
      <c r="W33" s="125"/>
      <c r="X33" s="125"/>
      <c r="Y33" s="125"/>
      <c r="Z33" s="125"/>
    </row>
    <row r="34">
      <c r="A34" s="125"/>
      <c r="B34" s="125"/>
      <c r="C34" s="125"/>
      <c r="D34" s="125"/>
      <c r="E34" s="125"/>
      <c r="F34" s="125"/>
      <c r="G34" s="21"/>
      <c r="H34" s="125"/>
      <c r="I34" s="125"/>
      <c r="J34" s="125"/>
      <c r="K34" s="125"/>
      <c r="L34" s="125"/>
      <c r="M34" s="125"/>
      <c r="N34" s="125"/>
      <c r="O34" s="125"/>
      <c r="P34" s="125"/>
      <c r="Q34" s="125"/>
      <c r="R34" s="125"/>
      <c r="S34" s="125"/>
      <c r="T34" s="125"/>
      <c r="U34" s="125"/>
      <c r="V34" s="125"/>
      <c r="W34" s="125"/>
      <c r="X34" s="125"/>
      <c r="Y34" s="125"/>
      <c r="Z34" s="125"/>
    </row>
    <row r="35">
      <c r="A35" s="125"/>
      <c r="B35" s="125"/>
      <c r="C35" s="125"/>
      <c r="D35" s="125"/>
      <c r="E35" s="125"/>
      <c r="F35" s="125"/>
      <c r="G35" s="21"/>
      <c r="H35" s="125"/>
      <c r="I35" s="125"/>
      <c r="J35" s="125"/>
      <c r="K35" s="125"/>
      <c r="L35" s="125"/>
      <c r="M35" s="125"/>
      <c r="N35" s="125"/>
      <c r="O35" s="125"/>
      <c r="P35" s="125"/>
      <c r="Q35" s="125"/>
      <c r="R35" s="125"/>
      <c r="S35" s="125"/>
      <c r="T35" s="125"/>
      <c r="U35" s="125"/>
      <c r="V35" s="125"/>
      <c r="W35" s="125"/>
      <c r="X35" s="125"/>
      <c r="Y35" s="125"/>
      <c r="Z35" s="125"/>
    </row>
    <row r="36">
      <c r="A36" s="125"/>
      <c r="B36" s="125"/>
      <c r="C36" s="125"/>
      <c r="D36" s="125"/>
      <c r="E36" s="125"/>
      <c r="F36" s="125"/>
      <c r="G36" s="21"/>
      <c r="H36" s="125"/>
      <c r="I36" s="125"/>
      <c r="J36" s="125"/>
      <c r="K36" s="125"/>
      <c r="L36" s="125"/>
      <c r="M36" s="125"/>
      <c r="N36" s="125"/>
      <c r="O36" s="125"/>
      <c r="P36" s="125"/>
      <c r="Q36" s="125"/>
      <c r="R36" s="125"/>
      <c r="S36" s="125"/>
      <c r="T36" s="125"/>
      <c r="U36" s="125"/>
      <c r="V36" s="125"/>
      <c r="W36" s="125"/>
      <c r="X36" s="125"/>
      <c r="Y36" s="125"/>
      <c r="Z36" s="125"/>
    </row>
    <row r="37">
      <c r="A37" s="125"/>
      <c r="B37" s="125"/>
      <c r="C37" s="125"/>
      <c r="D37" s="125"/>
      <c r="E37" s="125"/>
      <c r="F37" s="125"/>
      <c r="G37" s="21"/>
      <c r="H37" s="125"/>
      <c r="I37" s="125"/>
      <c r="J37" s="125"/>
      <c r="K37" s="125"/>
      <c r="L37" s="125"/>
      <c r="M37" s="125"/>
      <c r="N37" s="125"/>
      <c r="O37" s="125"/>
      <c r="P37" s="125"/>
      <c r="Q37" s="125"/>
      <c r="R37" s="125"/>
      <c r="S37" s="125"/>
      <c r="T37" s="125"/>
      <c r="U37" s="125"/>
      <c r="V37" s="125"/>
      <c r="W37" s="125"/>
      <c r="X37" s="125"/>
      <c r="Y37" s="125"/>
      <c r="Z37" s="125"/>
    </row>
    <row r="38">
      <c r="A38" s="125"/>
      <c r="B38" s="125"/>
      <c r="C38" s="125"/>
      <c r="D38" s="125"/>
      <c r="E38" s="125"/>
      <c r="F38" s="125"/>
      <c r="G38" s="21"/>
      <c r="H38" s="125"/>
      <c r="I38" s="125"/>
      <c r="J38" s="125"/>
      <c r="K38" s="125"/>
      <c r="L38" s="125"/>
      <c r="M38" s="125"/>
      <c r="N38" s="125"/>
      <c r="O38" s="125"/>
      <c r="P38" s="125"/>
      <c r="Q38" s="125"/>
      <c r="R38" s="125"/>
      <c r="S38" s="125"/>
      <c r="T38" s="125"/>
      <c r="U38" s="125"/>
      <c r="V38" s="125"/>
      <c r="W38" s="125"/>
      <c r="X38" s="125"/>
      <c r="Y38" s="125"/>
      <c r="Z38" s="125"/>
    </row>
    <row r="39">
      <c r="A39" s="125"/>
      <c r="B39" s="125"/>
      <c r="C39" s="125"/>
      <c r="D39" s="125"/>
      <c r="E39" s="125"/>
      <c r="F39" s="125"/>
      <c r="G39" s="21"/>
      <c r="H39" s="125"/>
      <c r="I39" s="125"/>
      <c r="J39" s="125"/>
      <c r="K39" s="125"/>
      <c r="L39" s="125"/>
      <c r="M39" s="125"/>
      <c r="N39" s="125"/>
      <c r="O39" s="125"/>
      <c r="P39" s="125"/>
      <c r="Q39" s="125"/>
      <c r="R39" s="125"/>
      <c r="S39" s="125"/>
      <c r="T39" s="125"/>
      <c r="U39" s="125"/>
      <c r="V39" s="125"/>
      <c r="W39" s="125"/>
      <c r="X39" s="125"/>
      <c r="Y39" s="125"/>
      <c r="Z39" s="125"/>
    </row>
    <row r="40">
      <c r="A40" s="125"/>
      <c r="B40" s="125"/>
      <c r="C40" s="125"/>
      <c r="D40" s="125"/>
      <c r="E40" s="125"/>
      <c r="F40" s="125"/>
      <c r="G40" s="21"/>
      <c r="H40" s="125"/>
      <c r="I40" s="125"/>
      <c r="J40" s="125"/>
      <c r="K40" s="125"/>
      <c r="L40" s="125"/>
      <c r="M40" s="125"/>
      <c r="N40" s="125"/>
      <c r="O40" s="125"/>
      <c r="P40" s="125"/>
      <c r="Q40" s="125"/>
      <c r="R40" s="125"/>
      <c r="S40" s="125"/>
      <c r="T40" s="125"/>
      <c r="U40" s="125"/>
      <c r="V40" s="125"/>
      <c r="W40" s="125"/>
      <c r="X40" s="125"/>
      <c r="Y40" s="125"/>
      <c r="Z40" s="125"/>
    </row>
    <row r="41">
      <c r="A41" s="125"/>
      <c r="B41" s="125"/>
      <c r="C41" s="125"/>
      <c r="D41" s="125"/>
      <c r="E41" s="125"/>
      <c r="F41" s="125"/>
      <c r="G41" s="21"/>
      <c r="H41" s="125"/>
      <c r="I41" s="125"/>
      <c r="J41" s="125"/>
      <c r="K41" s="125"/>
      <c r="L41" s="125"/>
      <c r="M41" s="125"/>
      <c r="N41" s="125"/>
      <c r="O41" s="125"/>
      <c r="P41" s="125"/>
      <c r="Q41" s="125"/>
      <c r="R41" s="125"/>
      <c r="S41" s="125"/>
      <c r="T41" s="125"/>
      <c r="U41" s="125"/>
      <c r="V41" s="125"/>
      <c r="W41" s="125"/>
      <c r="X41" s="125"/>
      <c r="Y41" s="125"/>
      <c r="Z41" s="125"/>
    </row>
    <row r="42">
      <c r="A42" s="125"/>
      <c r="B42" s="125"/>
      <c r="C42" s="125"/>
      <c r="D42" s="125"/>
      <c r="E42" s="125"/>
      <c r="F42" s="125"/>
      <c r="G42" s="21"/>
      <c r="H42" s="125"/>
      <c r="I42" s="125"/>
      <c r="J42" s="125"/>
      <c r="K42" s="125"/>
      <c r="L42" s="125"/>
      <c r="M42" s="125"/>
      <c r="N42" s="125"/>
      <c r="O42" s="125"/>
      <c r="P42" s="125"/>
      <c r="Q42" s="125"/>
      <c r="R42" s="125"/>
      <c r="S42" s="125"/>
      <c r="T42" s="125"/>
      <c r="U42" s="125"/>
      <c r="V42" s="125"/>
      <c r="W42" s="125"/>
      <c r="X42" s="125"/>
      <c r="Y42" s="125"/>
      <c r="Z42" s="125"/>
    </row>
    <row r="43">
      <c r="A43" s="125"/>
      <c r="B43" s="125"/>
      <c r="C43" s="125"/>
      <c r="D43" s="125"/>
      <c r="E43" s="125"/>
      <c r="F43" s="125"/>
      <c r="G43" s="21"/>
      <c r="H43" s="125"/>
      <c r="I43" s="125"/>
      <c r="J43" s="125"/>
      <c r="K43" s="125"/>
      <c r="L43" s="125"/>
      <c r="M43" s="125"/>
      <c r="N43" s="125"/>
      <c r="O43" s="125"/>
      <c r="P43" s="125"/>
      <c r="Q43" s="125"/>
      <c r="R43" s="125"/>
      <c r="S43" s="125"/>
      <c r="T43" s="125"/>
      <c r="U43" s="125"/>
      <c r="V43" s="125"/>
      <c r="W43" s="125"/>
      <c r="X43" s="125"/>
      <c r="Y43" s="125"/>
      <c r="Z43" s="125"/>
    </row>
    <row r="44">
      <c r="A44" s="125"/>
      <c r="B44" s="125"/>
      <c r="C44" s="125"/>
      <c r="D44" s="125"/>
      <c r="E44" s="125"/>
      <c r="F44" s="125"/>
      <c r="G44" s="21"/>
      <c r="H44" s="125"/>
      <c r="I44" s="125"/>
      <c r="J44" s="125"/>
      <c r="K44" s="125"/>
      <c r="L44" s="125"/>
      <c r="M44" s="125"/>
      <c r="N44" s="125"/>
      <c r="O44" s="125"/>
      <c r="P44" s="125"/>
      <c r="Q44" s="125"/>
      <c r="R44" s="125"/>
      <c r="S44" s="125"/>
      <c r="T44" s="125"/>
      <c r="U44" s="125"/>
      <c r="V44" s="125"/>
      <c r="W44" s="125"/>
      <c r="X44" s="125"/>
      <c r="Y44" s="125"/>
      <c r="Z44" s="125"/>
    </row>
    <row r="45">
      <c r="A45" s="125"/>
      <c r="B45" s="125"/>
      <c r="C45" s="125"/>
      <c r="D45" s="125"/>
      <c r="E45" s="125"/>
      <c r="F45" s="125"/>
      <c r="G45" s="21"/>
      <c r="H45" s="125"/>
      <c r="I45" s="125"/>
      <c r="J45" s="125"/>
      <c r="K45" s="125"/>
      <c r="L45" s="125"/>
      <c r="M45" s="125"/>
      <c r="N45" s="125"/>
      <c r="O45" s="125"/>
      <c r="P45" s="125"/>
      <c r="Q45" s="125"/>
      <c r="R45" s="125"/>
      <c r="S45" s="125"/>
      <c r="T45" s="125"/>
      <c r="U45" s="125"/>
      <c r="V45" s="125"/>
      <c r="W45" s="125"/>
      <c r="X45" s="125"/>
      <c r="Y45" s="125"/>
      <c r="Z45" s="125"/>
    </row>
    <row r="46">
      <c r="A46" s="125"/>
      <c r="B46" s="125"/>
      <c r="C46" s="125"/>
      <c r="D46" s="125"/>
      <c r="E46" s="125"/>
      <c r="F46" s="125"/>
      <c r="G46" s="21"/>
      <c r="H46" s="125"/>
      <c r="I46" s="125"/>
      <c r="J46" s="125"/>
      <c r="K46" s="125"/>
      <c r="L46" s="125"/>
      <c r="M46" s="125"/>
      <c r="N46" s="125"/>
      <c r="O46" s="125"/>
      <c r="P46" s="125"/>
      <c r="Q46" s="125"/>
      <c r="R46" s="125"/>
      <c r="S46" s="125"/>
      <c r="T46" s="125"/>
      <c r="U46" s="125"/>
      <c r="V46" s="125"/>
      <c r="W46" s="125"/>
      <c r="X46" s="125"/>
      <c r="Y46" s="125"/>
      <c r="Z46" s="125"/>
    </row>
    <row r="47">
      <c r="A47" s="125"/>
      <c r="B47" s="125"/>
      <c r="C47" s="125"/>
      <c r="D47" s="125"/>
      <c r="E47" s="125"/>
      <c r="F47" s="125"/>
      <c r="G47" s="21"/>
      <c r="H47" s="125"/>
      <c r="I47" s="125"/>
      <c r="J47" s="125"/>
      <c r="K47" s="125"/>
      <c r="L47" s="125"/>
      <c r="M47" s="125"/>
      <c r="N47" s="125"/>
      <c r="O47" s="125"/>
      <c r="P47" s="125"/>
      <c r="Q47" s="125"/>
      <c r="R47" s="125"/>
      <c r="S47" s="125"/>
      <c r="T47" s="125"/>
      <c r="U47" s="125"/>
      <c r="V47" s="125"/>
      <c r="W47" s="125"/>
      <c r="X47" s="125"/>
      <c r="Y47" s="125"/>
      <c r="Z47" s="125"/>
    </row>
    <row r="48">
      <c r="A48" s="125"/>
      <c r="B48" s="125"/>
      <c r="C48" s="125"/>
      <c r="D48" s="125"/>
      <c r="E48" s="125"/>
      <c r="F48" s="125"/>
      <c r="G48" s="21"/>
      <c r="H48" s="125"/>
      <c r="I48" s="125"/>
      <c r="J48" s="125"/>
      <c r="K48" s="125"/>
      <c r="L48" s="125"/>
      <c r="M48" s="125"/>
      <c r="N48" s="125"/>
      <c r="O48" s="125"/>
      <c r="P48" s="125"/>
      <c r="Q48" s="125"/>
      <c r="R48" s="125"/>
      <c r="S48" s="125"/>
      <c r="T48" s="125"/>
      <c r="U48" s="125"/>
      <c r="V48" s="125"/>
      <c r="W48" s="125"/>
      <c r="X48" s="125"/>
      <c r="Y48" s="125"/>
      <c r="Z48" s="125"/>
    </row>
    <row r="49">
      <c r="A49" s="125"/>
      <c r="B49" s="125"/>
      <c r="C49" s="125"/>
      <c r="D49" s="125"/>
      <c r="E49" s="125"/>
      <c r="F49" s="125"/>
      <c r="G49" s="21"/>
      <c r="H49" s="125"/>
      <c r="I49" s="125"/>
      <c r="J49" s="125"/>
      <c r="K49" s="125"/>
      <c r="L49" s="125"/>
      <c r="M49" s="125"/>
      <c r="N49" s="125"/>
      <c r="O49" s="125"/>
      <c r="P49" s="125"/>
      <c r="Q49" s="125"/>
      <c r="R49" s="125"/>
      <c r="S49" s="125"/>
      <c r="T49" s="125"/>
      <c r="U49" s="125"/>
      <c r="V49" s="125"/>
      <c r="W49" s="125"/>
      <c r="X49" s="125"/>
      <c r="Y49" s="125"/>
      <c r="Z49" s="125"/>
    </row>
    <row r="50">
      <c r="A50" s="125"/>
      <c r="B50" s="125"/>
      <c r="C50" s="125"/>
      <c r="D50" s="125"/>
      <c r="E50" s="125"/>
      <c r="F50" s="125"/>
      <c r="G50" s="21"/>
      <c r="H50" s="125"/>
      <c r="I50" s="125"/>
      <c r="J50" s="125"/>
      <c r="K50" s="125"/>
      <c r="L50" s="125"/>
      <c r="M50" s="125"/>
      <c r="N50" s="125"/>
      <c r="O50" s="125"/>
      <c r="P50" s="125"/>
      <c r="Q50" s="125"/>
      <c r="R50" s="125"/>
      <c r="S50" s="125"/>
      <c r="T50" s="125"/>
      <c r="U50" s="125"/>
      <c r="V50" s="125"/>
      <c r="W50" s="125"/>
      <c r="X50" s="125"/>
      <c r="Y50" s="125"/>
      <c r="Z50" s="125"/>
    </row>
    <row r="51">
      <c r="A51" s="125"/>
      <c r="B51" s="125"/>
      <c r="C51" s="125"/>
      <c r="D51" s="125"/>
      <c r="E51" s="125"/>
      <c r="F51" s="125"/>
      <c r="G51" s="21"/>
      <c r="H51" s="125"/>
      <c r="I51" s="125"/>
      <c r="J51" s="125"/>
      <c r="K51" s="125"/>
      <c r="L51" s="125"/>
      <c r="M51" s="125"/>
      <c r="N51" s="125"/>
      <c r="O51" s="125"/>
      <c r="P51" s="125"/>
      <c r="Q51" s="125"/>
      <c r="R51" s="125"/>
      <c r="S51" s="125"/>
      <c r="T51" s="125"/>
      <c r="U51" s="125"/>
      <c r="V51" s="125"/>
      <c r="W51" s="125"/>
      <c r="X51" s="125"/>
      <c r="Y51" s="125"/>
      <c r="Z51" s="125"/>
    </row>
    <row r="52">
      <c r="A52" s="125"/>
      <c r="B52" s="125"/>
      <c r="C52" s="125"/>
      <c r="D52" s="125"/>
      <c r="E52" s="125"/>
      <c r="F52" s="125"/>
      <c r="G52" s="21"/>
      <c r="H52" s="125"/>
      <c r="I52" s="125"/>
      <c r="J52" s="125"/>
      <c r="K52" s="125"/>
      <c r="L52" s="125"/>
      <c r="M52" s="125"/>
      <c r="N52" s="125"/>
      <c r="O52" s="125"/>
      <c r="P52" s="125"/>
      <c r="Q52" s="125"/>
      <c r="R52" s="125"/>
      <c r="S52" s="125"/>
      <c r="T52" s="125"/>
      <c r="U52" s="125"/>
      <c r="V52" s="125"/>
      <c r="W52" s="125"/>
      <c r="X52" s="125"/>
      <c r="Y52" s="125"/>
      <c r="Z52" s="125"/>
    </row>
    <row r="53">
      <c r="A53" s="125"/>
      <c r="B53" s="125"/>
      <c r="C53" s="125"/>
      <c r="D53" s="125"/>
      <c r="E53" s="125"/>
      <c r="F53" s="125"/>
      <c r="G53" s="21"/>
      <c r="H53" s="125"/>
      <c r="I53" s="125"/>
      <c r="J53" s="125"/>
      <c r="K53" s="125"/>
      <c r="L53" s="125"/>
      <c r="M53" s="125"/>
      <c r="N53" s="125"/>
      <c r="O53" s="125"/>
      <c r="P53" s="125"/>
      <c r="Q53" s="125"/>
      <c r="R53" s="125"/>
      <c r="S53" s="125"/>
      <c r="T53" s="125"/>
      <c r="U53" s="125"/>
      <c r="V53" s="125"/>
      <c r="W53" s="125"/>
      <c r="X53" s="125"/>
      <c r="Y53" s="125"/>
      <c r="Z53" s="125"/>
    </row>
    <row r="54">
      <c r="A54" s="125"/>
      <c r="B54" s="125"/>
      <c r="C54" s="125"/>
      <c r="D54" s="125"/>
      <c r="E54" s="125"/>
      <c r="F54" s="125"/>
      <c r="G54" s="21"/>
      <c r="H54" s="125"/>
      <c r="I54" s="125"/>
      <c r="J54" s="125"/>
      <c r="K54" s="125"/>
      <c r="L54" s="125"/>
      <c r="M54" s="125"/>
      <c r="N54" s="125"/>
      <c r="O54" s="125"/>
      <c r="P54" s="125"/>
      <c r="Q54" s="125"/>
      <c r="R54" s="125"/>
      <c r="S54" s="125"/>
      <c r="T54" s="125"/>
      <c r="U54" s="125"/>
      <c r="V54" s="125"/>
      <c r="W54" s="125"/>
      <c r="X54" s="125"/>
      <c r="Y54" s="125"/>
      <c r="Z54" s="125"/>
    </row>
    <row r="55">
      <c r="A55" s="125"/>
      <c r="B55" s="125"/>
      <c r="C55" s="125"/>
      <c r="D55" s="125"/>
      <c r="E55" s="125"/>
      <c r="F55" s="125"/>
      <c r="G55" s="21"/>
      <c r="H55" s="125"/>
      <c r="I55" s="125"/>
      <c r="J55" s="125"/>
      <c r="K55" s="125"/>
      <c r="L55" s="125"/>
      <c r="M55" s="125"/>
      <c r="N55" s="125"/>
      <c r="O55" s="125"/>
      <c r="P55" s="125"/>
      <c r="Q55" s="125"/>
      <c r="R55" s="125"/>
      <c r="S55" s="125"/>
      <c r="T55" s="125"/>
      <c r="U55" s="125"/>
      <c r="V55" s="125"/>
      <c r="W55" s="125"/>
      <c r="X55" s="125"/>
      <c r="Y55" s="125"/>
      <c r="Z55" s="125"/>
    </row>
    <row r="56">
      <c r="A56" s="125"/>
      <c r="B56" s="125"/>
      <c r="C56" s="125"/>
      <c r="D56" s="125"/>
      <c r="E56" s="125"/>
      <c r="F56" s="125"/>
      <c r="G56" s="21"/>
      <c r="H56" s="125"/>
      <c r="I56" s="125"/>
      <c r="J56" s="125"/>
      <c r="K56" s="125"/>
      <c r="L56" s="125"/>
      <c r="M56" s="125"/>
      <c r="N56" s="125"/>
      <c r="O56" s="125"/>
      <c r="P56" s="125"/>
      <c r="Q56" s="125"/>
      <c r="R56" s="125"/>
      <c r="S56" s="125"/>
      <c r="T56" s="125"/>
      <c r="U56" s="125"/>
      <c r="V56" s="125"/>
      <c r="W56" s="125"/>
      <c r="X56" s="125"/>
      <c r="Y56" s="125"/>
      <c r="Z56" s="125"/>
    </row>
    <row r="57">
      <c r="A57" s="125"/>
      <c r="B57" s="125"/>
      <c r="C57" s="125"/>
      <c r="D57" s="125"/>
      <c r="E57" s="125"/>
      <c r="F57" s="125"/>
      <c r="G57" s="21"/>
      <c r="H57" s="125"/>
      <c r="I57" s="125"/>
      <c r="J57" s="125"/>
      <c r="K57" s="125"/>
      <c r="L57" s="125"/>
      <c r="M57" s="125"/>
      <c r="N57" s="125"/>
      <c r="O57" s="125"/>
      <c r="P57" s="125"/>
      <c r="Q57" s="125"/>
      <c r="R57" s="125"/>
      <c r="S57" s="125"/>
      <c r="T57" s="125"/>
      <c r="U57" s="125"/>
      <c r="V57" s="125"/>
      <c r="W57" s="125"/>
      <c r="X57" s="125"/>
      <c r="Y57" s="125"/>
      <c r="Z57" s="125"/>
    </row>
    <row r="58">
      <c r="A58" s="125"/>
      <c r="B58" s="125"/>
      <c r="C58" s="125"/>
      <c r="D58" s="125"/>
      <c r="E58" s="125"/>
      <c r="F58" s="125"/>
      <c r="G58" s="21"/>
      <c r="H58" s="125"/>
      <c r="I58" s="125"/>
      <c r="J58" s="125"/>
      <c r="K58" s="125"/>
      <c r="L58" s="125"/>
      <c r="M58" s="125"/>
      <c r="N58" s="125"/>
      <c r="O58" s="125"/>
      <c r="P58" s="125"/>
      <c r="Q58" s="125"/>
      <c r="R58" s="125"/>
      <c r="S58" s="125"/>
      <c r="T58" s="125"/>
      <c r="U58" s="125"/>
      <c r="V58" s="125"/>
      <c r="W58" s="125"/>
      <c r="X58" s="125"/>
      <c r="Y58" s="125"/>
      <c r="Z58" s="125"/>
    </row>
    <row r="59">
      <c r="A59" s="125"/>
      <c r="B59" s="125"/>
      <c r="C59" s="125"/>
      <c r="D59" s="125"/>
      <c r="E59" s="125"/>
      <c r="F59" s="125"/>
      <c r="G59" s="21"/>
      <c r="H59" s="125"/>
      <c r="I59" s="125"/>
      <c r="J59" s="125"/>
      <c r="K59" s="125"/>
      <c r="L59" s="125"/>
      <c r="M59" s="125"/>
      <c r="N59" s="125"/>
      <c r="O59" s="125"/>
      <c r="P59" s="125"/>
      <c r="Q59" s="125"/>
      <c r="R59" s="125"/>
      <c r="S59" s="125"/>
      <c r="T59" s="125"/>
      <c r="U59" s="125"/>
      <c r="V59" s="125"/>
      <c r="W59" s="125"/>
      <c r="X59" s="125"/>
      <c r="Y59" s="125"/>
      <c r="Z59" s="125"/>
    </row>
    <row r="60">
      <c r="A60" s="125"/>
      <c r="B60" s="125"/>
      <c r="C60" s="125"/>
      <c r="D60" s="125"/>
      <c r="E60" s="125"/>
      <c r="F60" s="125"/>
      <c r="G60" s="21"/>
      <c r="H60" s="125"/>
      <c r="I60" s="125"/>
      <c r="J60" s="125"/>
      <c r="K60" s="125"/>
      <c r="L60" s="125"/>
      <c r="M60" s="125"/>
      <c r="N60" s="125"/>
      <c r="O60" s="125"/>
      <c r="P60" s="125"/>
      <c r="Q60" s="125"/>
      <c r="R60" s="125"/>
      <c r="S60" s="125"/>
      <c r="T60" s="125"/>
      <c r="U60" s="125"/>
      <c r="V60" s="125"/>
      <c r="W60" s="125"/>
      <c r="X60" s="125"/>
      <c r="Y60" s="125"/>
      <c r="Z60" s="125"/>
    </row>
    <row r="61">
      <c r="A61" s="125"/>
      <c r="B61" s="125"/>
      <c r="C61" s="125"/>
      <c r="D61" s="125"/>
      <c r="E61" s="125"/>
      <c r="F61" s="125"/>
      <c r="G61" s="21"/>
      <c r="H61" s="125"/>
      <c r="I61" s="125"/>
      <c r="J61" s="125"/>
      <c r="K61" s="125"/>
      <c r="L61" s="125"/>
      <c r="M61" s="125"/>
      <c r="N61" s="125"/>
      <c r="O61" s="125"/>
      <c r="P61" s="125"/>
      <c r="Q61" s="125"/>
      <c r="R61" s="125"/>
      <c r="S61" s="125"/>
      <c r="T61" s="125"/>
      <c r="U61" s="125"/>
      <c r="V61" s="125"/>
      <c r="W61" s="125"/>
      <c r="X61" s="125"/>
      <c r="Y61" s="125"/>
      <c r="Z61" s="125"/>
    </row>
    <row r="62">
      <c r="A62" s="125"/>
      <c r="B62" s="125"/>
      <c r="C62" s="125"/>
      <c r="D62" s="125"/>
      <c r="E62" s="125"/>
      <c r="F62" s="125"/>
      <c r="G62" s="21"/>
      <c r="H62" s="125"/>
      <c r="I62" s="125"/>
      <c r="J62" s="125"/>
      <c r="K62" s="125"/>
      <c r="L62" s="125"/>
      <c r="M62" s="125"/>
      <c r="N62" s="125"/>
      <c r="O62" s="125"/>
      <c r="P62" s="125"/>
      <c r="Q62" s="125"/>
      <c r="R62" s="125"/>
      <c r="S62" s="125"/>
      <c r="T62" s="125"/>
      <c r="U62" s="125"/>
      <c r="V62" s="125"/>
      <c r="W62" s="125"/>
      <c r="X62" s="125"/>
      <c r="Y62" s="125"/>
      <c r="Z62" s="125"/>
    </row>
    <row r="63">
      <c r="A63" s="125"/>
      <c r="B63" s="125"/>
      <c r="C63" s="125"/>
      <c r="D63" s="125"/>
      <c r="E63" s="125"/>
      <c r="F63" s="125"/>
      <c r="G63" s="21"/>
      <c r="H63" s="125"/>
      <c r="I63" s="125"/>
      <c r="J63" s="125"/>
      <c r="K63" s="125"/>
      <c r="L63" s="125"/>
      <c r="M63" s="125"/>
      <c r="N63" s="125"/>
      <c r="O63" s="125"/>
      <c r="P63" s="125"/>
      <c r="Q63" s="125"/>
      <c r="R63" s="125"/>
      <c r="S63" s="125"/>
      <c r="T63" s="125"/>
      <c r="U63" s="125"/>
      <c r="V63" s="125"/>
      <c r="W63" s="125"/>
      <c r="X63" s="125"/>
      <c r="Y63" s="125"/>
      <c r="Z63" s="125"/>
    </row>
    <row r="64">
      <c r="A64" s="125"/>
      <c r="B64" s="125"/>
      <c r="C64" s="125"/>
      <c r="D64" s="125"/>
      <c r="E64" s="125"/>
      <c r="F64" s="125"/>
      <c r="G64" s="21"/>
      <c r="H64" s="125"/>
      <c r="I64" s="125"/>
      <c r="J64" s="125"/>
      <c r="K64" s="125"/>
      <c r="L64" s="125"/>
      <c r="M64" s="125"/>
      <c r="N64" s="125"/>
      <c r="O64" s="125"/>
      <c r="P64" s="125"/>
      <c r="Q64" s="125"/>
      <c r="R64" s="125"/>
      <c r="S64" s="125"/>
      <c r="T64" s="125"/>
      <c r="U64" s="125"/>
      <c r="V64" s="125"/>
      <c r="W64" s="125"/>
      <c r="X64" s="125"/>
      <c r="Y64" s="125"/>
      <c r="Z64" s="125"/>
    </row>
    <row r="65">
      <c r="A65" s="125"/>
      <c r="B65" s="125"/>
      <c r="C65" s="125"/>
      <c r="D65" s="125"/>
      <c r="E65" s="125"/>
      <c r="F65" s="125"/>
      <c r="G65" s="21"/>
      <c r="H65" s="125"/>
      <c r="I65" s="125"/>
      <c r="J65" s="125"/>
      <c r="K65" s="125"/>
      <c r="L65" s="125"/>
      <c r="M65" s="125"/>
      <c r="N65" s="125"/>
      <c r="O65" s="125"/>
      <c r="P65" s="125"/>
      <c r="Q65" s="125"/>
      <c r="R65" s="125"/>
      <c r="S65" s="125"/>
      <c r="T65" s="125"/>
      <c r="U65" s="125"/>
      <c r="V65" s="125"/>
      <c r="W65" s="125"/>
      <c r="X65" s="125"/>
      <c r="Y65" s="125"/>
      <c r="Z65" s="125"/>
    </row>
    <row r="66">
      <c r="A66" s="125"/>
      <c r="B66" s="125"/>
      <c r="C66" s="125"/>
      <c r="D66" s="125"/>
      <c r="E66" s="125"/>
      <c r="F66" s="125"/>
      <c r="G66" s="21"/>
      <c r="H66" s="125"/>
      <c r="I66" s="125"/>
      <c r="J66" s="125"/>
      <c r="K66" s="125"/>
      <c r="L66" s="125"/>
      <c r="M66" s="125"/>
      <c r="N66" s="125"/>
      <c r="O66" s="125"/>
      <c r="P66" s="125"/>
      <c r="Q66" s="125"/>
      <c r="R66" s="125"/>
      <c r="S66" s="125"/>
      <c r="T66" s="125"/>
      <c r="U66" s="125"/>
      <c r="V66" s="125"/>
      <c r="W66" s="125"/>
      <c r="X66" s="125"/>
      <c r="Y66" s="125"/>
      <c r="Z66" s="125"/>
    </row>
    <row r="67">
      <c r="A67" s="125"/>
      <c r="B67" s="125"/>
      <c r="C67" s="125"/>
      <c r="D67" s="125"/>
      <c r="E67" s="125"/>
      <c r="F67" s="125"/>
      <c r="G67" s="21"/>
      <c r="H67" s="125"/>
      <c r="I67" s="125"/>
      <c r="J67" s="125"/>
      <c r="K67" s="125"/>
      <c r="L67" s="125"/>
      <c r="M67" s="125"/>
      <c r="N67" s="125"/>
      <c r="O67" s="125"/>
      <c r="P67" s="125"/>
      <c r="Q67" s="125"/>
      <c r="R67" s="125"/>
      <c r="S67" s="125"/>
      <c r="T67" s="125"/>
      <c r="U67" s="125"/>
      <c r="V67" s="125"/>
      <c r="W67" s="125"/>
      <c r="X67" s="125"/>
      <c r="Y67" s="125"/>
      <c r="Z67" s="125"/>
    </row>
    <row r="68">
      <c r="A68" s="125"/>
      <c r="B68" s="125"/>
      <c r="C68" s="125"/>
      <c r="D68" s="125"/>
      <c r="E68" s="125"/>
      <c r="F68" s="125"/>
      <c r="G68" s="21"/>
      <c r="H68" s="125"/>
      <c r="I68" s="125"/>
      <c r="J68" s="125"/>
      <c r="K68" s="125"/>
      <c r="L68" s="125"/>
      <c r="M68" s="125"/>
      <c r="N68" s="125"/>
      <c r="O68" s="125"/>
      <c r="P68" s="125"/>
      <c r="Q68" s="125"/>
      <c r="R68" s="125"/>
      <c r="S68" s="125"/>
      <c r="T68" s="125"/>
      <c r="U68" s="125"/>
      <c r="V68" s="125"/>
      <c r="W68" s="125"/>
      <c r="X68" s="125"/>
      <c r="Y68" s="125"/>
      <c r="Z68" s="125"/>
    </row>
    <row r="69">
      <c r="A69" s="125"/>
      <c r="B69" s="125"/>
      <c r="C69" s="125"/>
      <c r="D69" s="125"/>
      <c r="E69" s="125"/>
      <c r="F69" s="125"/>
      <c r="G69" s="21"/>
      <c r="H69" s="125"/>
      <c r="I69" s="125"/>
      <c r="J69" s="125"/>
      <c r="K69" s="125"/>
      <c r="L69" s="125"/>
      <c r="M69" s="125"/>
      <c r="N69" s="125"/>
      <c r="O69" s="125"/>
      <c r="P69" s="125"/>
      <c r="Q69" s="125"/>
      <c r="R69" s="125"/>
      <c r="S69" s="125"/>
      <c r="T69" s="125"/>
      <c r="U69" s="125"/>
      <c r="V69" s="125"/>
      <c r="W69" s="125"/>
      <c r="X69" s="125"/>
      <c r="Y69" s="125"/>
      <c r="Z69" s="125"/>
    </row>
    <row r="70">
      <c r="A70" s="125"/>
      <c r="B70" s="125"/>
      <c r="C70" s="125"/>
      <c r="D70" s="125"/>
      <c r="E70" s="125"/>
      <c r="F70" s="125"/>
      <c r="G70" s="21"/>
      <c r="H70" s="125"/>
      <c r="I70" s="125"/>
      <c r="J70" s="125"/>
      <c r="K70" s="125"/>
      <c r="L70" s="125"/>
      <c r="M70" s="125"/>
      <c r="N70" s="125"/>
      <c r="O70" s="125"/>
      <c r="P70" s="125"/>
      <c r="Q70" s="125"/>
      <c r="R70" s="125"/>
      <c r="S70" s="125"/>
      <c r="T70" s="125"/>
      <c r="U70" s="125"/>
      <c r="V70" s="125"/>
      <c r="W70" s="125"/>
      <c r="X70" s="125"/>
      <c r="Y70" s="125"/>
      <c r="Z70" s="125"/>
    </row>
    <row r="71">
      <c r="A71" s="125"/>
      <c r="B71" s="125"/>
      <c r="C71" s="125"/>
      <c r="D71" s="125"/>
      <c r="E71" s="125"/>
      <c r="F71" s="125"/>
      <c r="G71" s="21"/>
      <c r="H71" s="125"/>
      <c r="I71" s="125"/>
      <c r="J71" s="125"/>
      <c r="K71" s="125"/>
      <c r="L71" s="125"/>
      <c r="M71" s="125"/>
      <c r="N71" s="125"/>
      <c r="O71" s="125"/>
      <c r="P71" s="125"/>
      <c r="Q71" s="125"/>
      <c r="R71" s="125"/>
      <c r="S71" s="125"/>
      <c r="T71" s="125"/>
      <c r="U71" s="125"/>
      <c r="V71" s="125"/>
      <c r="W71" s="125"/>
      <c r="X71" s="125"/>
      <c r="Y71" s="125"/>
      <c r="Z71" s="125"/>
    </row>
    <row r="72">
      <c r="A72" s="125"/>
      <c r="B72" s="125"/>
      <c r="C72" s="125"/>
      <c r="D72" s="125"/>
      <c r="E72" s="125"/>
      <c r="F72" s="125"/>
      <c r="G72" s="21"/>
      <c r="H72" s="125"/>
      <c r="I72" s="125"/>
      <c r="J72" s="125"/>
      <c r="K72" s="125"/>
      <c r="L72" s="125"/>
      <c r="M72" s="125"/>
      <c r="N72" s="125"/>
      <c r="O72" s="125"/>
      <c r="P72" s="125"/>
      <c r="Q72" s="125"/>
      <c r="R72" s="125"/>
      <c r="S72" s="125"/>
      <c r="T72" s="125"/>
      <c r="U72" s="125"/>
      <c r="V72" s="125"/>
      <c r="W72" s="125"/>
      <c r="X72" s="125"/>
      <c r="Y72" s="125"/>
      <c r="Z72" s="125"/>
    </row>
    <row r="73">
      <c r="A73" s="125"/>
      <c r="B73" s="125"/>
      <c r="C73" s="125"/>
      <c r="D73" s="125"/>
      <c r="E73" s="125"/>
      <c r="F73" s="125"/>
      <c r="G73" s="21"/>
      <c r="H73" s="125"/>
      <c r="I73" s="125"/>
      <c r="J73" s="125"/>
      <c r="K73" s="125"/>
      <c r="L73" s="125"/>
      <c r="M73" s="125"/>
      <c r="N73" s="125"/>
      <c r="O73" s="125"/>
      <c r="P73" s="125"/>
      <c r="Q73" s="125"/>
      <c r="R73" s="125"/>
      <c r="S73" s="125"/>
      <c r="T73" s="125"/>
      <c r="U73" s="125"/>
      <c r="V73" s="125"/>
      <c r="W73" s="125"/>
      <c r="X73" s="125"/>
      <c r="Y73" s="125"/>
      <c r="Z73" s="125"/>
    </row>
    <row r="74">
      <c r="A74" s="125"/>
      <c r="B74" s="125"/>
      <c r="C74" s="125"/>
      <c r="D74" s="125"/>
      <c r="E74" s="125"/>
      <c r="F74" s="125"/>
      <c r="G74" s="21"/>
      <c r="H74" s="125"/>
      <c r="I74" s="125"/>
      <c r="J74" s="125"/>
      <c r="K74" s="125"/>
      <c r="L74" s="125"/>
      <c r="M74" s="125"/>
      <c r="N74" s="125"/>
      <c r="O74" s="125"/>
      <c r="P74" s="125"/>
      <c r="Q74" s="125"/>
      <c r="R74" s="125"/>
      <c r="S74" s="125"/>
      <c r="T74" s="125"/>
      <c r="U74" s="125"/>
      <c r="V74" s="125"/>
      <c r="W74" s="125"/>
      <c r="X74" s="125"/>
      <c r="Y74" s="125"/>
      <c r="Z74" s="125"/>
    </row>
    <row r="75">
      <c r="A75" s="125"/>
      <c r="B75" s="125"/>
      <c r="C75" s="125"/>
      <c r="D75" s="125"/>
      <c r="E75" s="125"/>
      <c r="F75" s="125"/>
      <c r="G75" s="21"/>
      <c r="H75" s="125"/>
      <c r="I75" s="125"/>
      <c r="J75" s="125"/>
      <c r="K75" s="125"/>
      <c r="L75" s="125"/>
      <c r="M75" s="125"/>
      <c r="N75" s="125"/>
      <c r="O75" s="125"/>
      <c r="P75" s="125"/>
      <c r="Q75" s="125"/>
      <c r="R75" s="125"/>
      <c r="S75" s="125"/>
      <c r="T75" s="125"/>
      <c r="U75" s="125"/>
      <c r="V75" s="125"/>
      <c r="W75" s="125"/>
      <c r="X75" s="125"/>
      <c r="Y75" s="125"/>
      <c r="Z75" s="125"/>
    </row>
    <row r="76">
      <c r="A76" s="125"/>
      <c r="B76" s="125"/>
      <c r="C76" s="125"/>
      <c r="D76" s="125"/>
      <c r="E76" s="125"/>
      <c r="F76" s="125"/>
      <c r="G76" s="21"/>
      <c r="H76" s="125"/>
      <c r="I76" s="125"/>
      <c r="J76" s="125"/>
      <c r="K76" s="125"/>
      <c r="L76" s="125"/>
      <c r="M76" s="125"/>
      <c r="N76" s="125"/>
      <c r="O76" s="125"/>
      <c r="P76" s="125"/>
      <c r="Q76" s="125"/>
      <c r="R76" s="125"/>
      <c r="S76" s="125"/>
      <c r="T76" s="125"/>
      <c r="U76" s="125"/>
      <c r="V76" s="125"/>
      <c r="W76" s="125"/>
      <c r="X76" s="125"/>
      <c r="Y76" s="125"/>
      <c r="Z76" s="125"/>
    </row>
    <row r="77">
      <c r="A77" s="125"/>
      <c r="B77" s="125"/>
      <c r="C77" s="125"/>
      <c r="D77" s="125"/>
      <c r="E77" s="125"/>
      <c r="F77" s="125"/>
      <c r="G77" s="21"/>
      <c r="H77" s="125"/>
      <c r="I77" s="125"/>
      <c r="J77" s="125"/>
      <c r="K77" s="125"/>
      <c r="L77" s="125"/>
      <c r="M77" s="125"/>
      <c r="N77" s="125"/>
      <c r="O77" s="125"/>
      <c r="P77" s="125"/>
      <c r="Q77" s="125"/>
      <c r="R77" s="125"/>
      <c r="S77" s="125"/>
      <c r="T77" s="125"/>
      <c r="U77" s="125"/>
      <c r="V77" s="125"/>
      <c r="W77" s="125"/>
      <c r="X77" s="125"/>
      <c r="Y77" s="125"/>
      <c r="Z77" s="125"/>
    </row>
    <row r="78">
      <c r="A78" s="125"/>
      <c r="B78" s="125"/>
      <c r="C78" s="125"/>
      <c r="D78" s="125"/>
      <c r="E78" s="125"/>
      <c r="F78" s="125"/>
      <c r="G78" s="21"/>
      <c r="H78" s="125"/>
      <c r="I78" s="125"/>
      <c r="J78" s="125"/>
      <c r="K78" s="125"/>
      <c r="L78" s="125"/>
      <c r="M78" s="125"/>
      <c r="N78" s="125"/>
      <c r="O78" s="125"/>
      <c r="P78" s="125"/>
      <c r="Q78" s="125"/>
      <c r="R78" s="125"/>
      <c r="S78" s="125"/>
      <c r="T78" s="125"/>
      <c r="U78" s="125"/>
      <c r="V78" s="125"/>
      <c r="W78" s="125"/>
      <c r="X78" s="125"/>
      <c r="Y78" s="125"/>
      <c r="Z78" s="125"/>
    </row>
    <row r="79">
      <c r="A79" s="125"/>
      <c r="B79" s="125"/>
      <c r="C79" s="125"/>
      <c r="D79" s="125"/>
      <c r="E79" s="125"/>
      <c r="F79" s="125"/>
      <c r="G79" s="21"/>
      <c r="H79" s="125"/>
      <c r="I79" s="125"/>
      <c r="J79" s="125"/>
      <c r="K79" s="125"/>
      <c r="L79" s="125"/>
      <c r="M79" s="125"/>
      <c r="N79" s="125"/>
      <c r="O79" s="125"/>
      <c r="P79" s="125"/>
      <c r="Q79" s="125"/>
      <c r="R79" s="125"/>
      <c r="S79" s="125"/>
      <c r="T79" s="125"/>
      <c r="U79" s="125"/>
      <c r="V79" s="125"/>
      <c r="W79" s="125"/>
      <c r="X79" s="125"/>
      <c r="Y79" s="125"/>
      <c r="Z79" s="125"/>
    </row>
    <row r="80">
      <c r="A80" s="125"/>
      <c r="B80" s="125"/>
      <c r="C80" s="125"/>
      <c r="D80" s="125"/>
      <c r="E80" s="125"/>
      <c r="F80" s="125"/>
      <c r="G80" s="21"/>
      <c r="H80" s="125"/>
      <c r="I80" s="125"/>
      <c r="J80" s="125"/>
      <c r="K80" s="125"/>
      <c r="L80" s="125"/>
      <c r="M80" s="125"/>
      <c r="N80" s="125"/>
      <c r="O80" s="125"/>
      <c r="P80" s="125"/>
      <c r="Q80" s="125"/>
      <c r="R80" s="125"/>
      <c r="S80" s="125"/>
      <c r="T80" s="125"/>
      <c r="U80" s="125"/>
      <c r="V80" s="125"/>
      <c r="W80" s="125"/>
      <c r="X80" s="125"/>
      <c r="Y80" s="125"/>
      <c r="Z80" s="125"/>
    </row>
    <row r="81">
      <c r="A81" s="125"/>
      <c r="B81" s="125"/>
      <c r="C81" s="125"/>
      <c r="D81" s="125"/>
      <c r="E81" s="125"/>
      <c r="F81" s="125"/>
      <c r="G81" s="21"/>
      <c r="H81" s="125"/>
      <c r="I81" s="125"/>
      <c r="J81" s="125"/>
      <c r="K81" s="125"/>
      <c r="L81" s="125"/>
      <c r="M81" s="125"/>
      <c r="N81" s="125"/>
      <c r="O81" s="125"/>
      <c r="P81" s="125"/>
      <c r="Q81" s="125"/>
      <c r="R81" s="125"/>
      <c r="S81" s="125"/>
      <c r="T81" s="125"/>
      <c r="U81" s="125"/>
      <c r="V81" s="125"/>
      <c r="W81" s="125"/>
      <c r="X81" s="125"/>
      <c r="Y81" s="125"/>
      <c r="Z81" s="125"/>
    </row>
    <row r="82">
      <c r="A82" s="125"/>
      <c r="B82" s="125"/>
      <c r="C82" s="125"/>
      <c r="D82" s="125"/>
      <c r="E82" s="125"/>
      <c r="F82" s="125"/>
      <c r="G82" s="21"/>
      <c r="H82" s="125"/>
      <c r="I82" s="125"/>
      <c r="J82" s="125"/>
      <c r="K82" s="125"/>
      <c r="L82" s="125"/>
      <c r="M82" s="125"/>
      <c r="N82" s="125"/>
      <c r="O82" s="125"/>
      <c r="P82" s="125"/>
      <c r="Q82" s="125"/>
      <c r="R82" s="125"/>
      <c r="S82" s="125"/>
      <c r="T82" s="125"/>
      <c r="U82" s="125"/>
      <c r="V82" s="125"/>
      <c r="W82" s="125"/>
      <c r="X82" s="125"/>
      <c r="Y82" s="125"/>
      <c r="Z82" s="125"/>
    </row>
    <row r="83">
      <c r="A83" s="125"/>
      <c r="B83" s="125"/>
      <c r="C83" s="125"/>
      <c r="D83" s="125"/>
      <c r="E83" s="125"/>
      <c r="F83" s="125"/>
      <c r="G83" s="21"/>
      <c r="H83" s="125"/>
      <c r="I83" s="125"/>
      <c r="J83" s="125"/>
      <c r="K83" s="125"/>
      <c r="L83" s="125"/>
      <c r="M83" s="125"/>
      <c r="N83" s="125"/>
      <c r="O83" s="125"/>
      <c r="P83" s="125"/>
      <c r="Q83" s="125"/>
      <c r="R83" s="125"/>
      <c r="S83" s="125"/>
      <c r="T83" s="125"/>
      <c r="U83" s="125"/>
      <c r="V83" s="125"/>
      <c r="W83" s="125"/>
      <c r="X83" s="125"/>
      <c r="Y83" s="125"/>
      <c r="Z83" s="125"/>
    </row>
    <row r="84">
      <c r="A84" s="125"/>
      <c r="B84" s="125"/>
      <c r="C84" s="125"/>
      <c r="D84" s="125"/>
      <c r="E84" s="125"/>
      <c r="F84" s="125"/>
      <c r="G84" s="21"/>
      <c r="H84" s="125"/>
      <c r="I84" s="125"/>
      <c r="J84" s="125"/>
      <c r="K84" s="125"/>
      <c r="L84" s="125"/>
      <c r="M84" s="125"/>
      <c r="N84" s="125"/>
      <c r="O84" s="125"/>
      <c r="P84" s="125"/>
      <c r="Q84" s="125"/>
      <c r="R84" s="125"/>
      <c r="S84" s="125"/>
      <c r="T84" s="125"/>
      <c r="U84" s="125"/>
      <c r="V84" s="125"/>
      <c r="W84" s="125"/>
      <c r="X84" s="125"/>
      <c r="Y84" s="125"/>
      <c r="Z84" s="125"/>
    </row>
    <row r="85">
      <c r="A85" s="125"/>
      <c r="B85" s="125"/>
      <c r="C85" s="125"/>
      <c r="D85" s="125"/>
      <c r="E85" s="125"/>
      <c r="F85" s="125"/>
      <c r="G85" s="21"/>
      <c r="H85" s="125"/>
      <c r="I85" s="125"/>
      <c r="J85" s="125"/>
      <c r="K85" s="125"/>
      <c r="L85" s="125"/>
      <c r="M85" s="125"/>
      <c r="N85" s="125"/>
      <c r="O85" s="125"/>
      <c r="P85" s="125"/>
      <c r="Q85" s="125"/>
      <c r="R85" s="125"/>
      <c r="S85" s="125"/>
      <c r="T85" s="125"/>
      <c r="U85" s="125"/>
      <c r="V85" s="125"/>
      <c r="W85" s="125"/>
      <c r="X85" s="125"/>
      <c r="Y85" s="125"/>
      <c r="Z85" s="125"/>
    </row>
    <row r="86">
      <c r="A86" s="125"/>
      <c r="B86" s="125"/>
      <c r="C86" s="125"/>
      <c r="D86" s="125"/>
      <c r="E86" s="125"/>
      <c r="F86" s="125"/>
      <c r="G86" s="21"/>
      <c r="H86" s="125"/>
      <c r="I86" s="125"/>
      <c r="J86" s="125"/>
      <c r="K86" s="125"/>
      <c r="L86" s="125"/>
      <c r="M86" s="125"/>
      <c r="N86" s="125"/>
      <c r="O86" s="125"/>
      <c r="P86" s="125"/>
      <c r="Q86" s="125"/>
      <c r="R86" s="125"/>
      <c r="S86" s="125"/>
      <c r="T86" s="125"/>
      <c r="U86" s="125"/>
      <c r="V86" s="125"/>
      <c r="W86" s="125"/>
      <c r="X86" s="125"/>
      <c r="Y86" s="125"/>
      <c r="Z86" s="125"/>
    </row>
    <row r="87">
      <c r="A87" s="125"/>
      <c r="B87" s="125"/>
      <c r="C87" s="125"/>
      <c r="D87" s="125"/>
      <c r="E87" s="125"/>
      <c r="F87" s="125"/>
      <c r="G87" s="21"/>
      <c r="H87" s="125"/>
      <c r="I87" s="125"/>
      <c r="J87" s="125"/>
      <c r="K87" s="125"/>
      <c r="L87" s="125"/>
      <c r="M87" s="125"/>
      <c r="N87" s="125"/>
      <c r="O87" s="125"/>
      <c r="P87" s="125"/>
      <c r="Q87" s="125"/>
      <c r="R87" s="125"/>
      <c r="S87" s="125"/>
      <c r="T87" s="125"/>
      <c r="U87" s="125"/>
      <c r="V87" s="125"/>
      <c r="W87" s="125"/>
      <c r="X87" s="125"/>
      <c r="Y87" s="125"/>
      <c r="Z87" s="125"/>
    </row>
    <row r="88">
      <c r="A88" s="125"/>
      <c r="B88" s="125"/>
      <c r="C88" s="125"/>
      <c r="D88" s="125"/>
      <c r="E88" s="125"/>
      <c r="F88" s="125"/>
      <c r="G88" s="21"/>
      <c r="H88" s="125"/>
      <c r="I88" s="125"/>
      <c r="J88" s="125"/>
      <c r="K88" s="125"/>
      <c r="L88" s="125"/>
      <c r="M88" s="125"/>
      <c r="N88" s="125"/>
      <c r="O88" s="125"/>
      <c r="P88" s="125"/>
      <c r="Q88" s="125"/>
      <c r="R88" s="125"/>
      <c r="S88" s="125"/>
      <c r="T88" s="125"/>
      <c r="U88" s="125"/>
      <c r="V88" s="125"/>
      <c r="W88" s="125"/>
      <c r="X88" s="125"/>
      <c r="Y88" s="125"/>
      <c r="Z88" s="125"/>
    </row>
    <row r="89">
      <c r="A89" s="125"/>
      <c r="B89" s="125"/>
      <c r="C89" s="125"/>
      <c r="D89" s="125"/>
      <c r="E89" s="125"/>
      <c r="F89" s="125"/>
      <c r="G89" s="21"/>
      <c r="H89" s="125"/>
      <c r="I89" s="125"/>
      <c r="J89" s="125"/>
      <c r="K89" s="125"/>
      <c r="L89" s="125"/>
      <c r="M89" s="125"/>
      <c r="N89" s="125"/>
      <c r="O89" s="125"/>
      <c r="P89" s="125"/>
      <c r="Q89" s="125"/>
      <c r="R89" s="125"/>
      <c r="S89" s="125"/>
      <c r="T89" s="125"/>
      <c r="U89" s="125"/>
      <c r="V89" s="125"/>
      <c r="W89" s="125"/>
      <c r="X89" s="125"/>
      <c r="Y89" s="125"/>
      <c r="Z89" s="125"/>
    </row>
    <row r="90">
      <c r="A90" s="125"/>
      <c r="B90" s="125"/>
      <c r="C90" s="125"/>
      <c r="D90" s="125"/>
      <c r="E90" s="125"/>
      <c r="F90" s="125"/>
      <c r="G90" s="21"/>
      <c r="H90" s="125"/>
      <c r="I90" s="125"/>
      <c r="J90" s="125"/>
      <c r="K90" s="125"/>
      <c r="L90" s="125"/>
      <c r="M90" s="125"/>
      <c r="N90" s="125"/>
      <c r="O90" s="125"/>
      <c r="P90" s="125"/>
      <c r="Q90" s="125"/>
      <c r="R90" s="125"/>
      <c r="S90" s="125"/>
      <c r="T90" s="125"/>
      <c r="U90" s="125"/>
      <c r="V90" s="125"/>
      <c r="W90" s="125"/>
      <c r="X90" s="125"/>
      <c r="Y90" s="125"/>
      <c r="Z90" s="125"/>
    </row>
    <row r="91">
      <c r="A91" s="125"/>
      <c r="B91" s="125"/>
      <c r="C91" s="125"/>
      <c r="D91" s="125"/>
      <c r="E91" s="125"/>
      <c r="F91" s="125"/>
      <c r="G91" s="21"/>
      <c r="H91" s="125"/>
      <c r="I91" s="125"/>
      <c r="J91" s="125"/>
      <c r="K91" s="125"/>
      <c r="L91" s="125"/>
      <c r="M91" s="125"/>
      <c r="N91" s="125"/>
      <c r="O91" s="125"/>
      <c r="P91" s="125"/>
      <c r="Q91" s="125"/>
      <c r="R91" s="125"/>
      <c r="S91" s="125"/>
      <c r="T91" s="125"/>
      <c r="U91" s="125"/>
      <c r="V91" s="125"/>
      <c r="W91" s="125"/>
      <c r="X91" s="125"/>
      <c r="Y91" s="125"/>
      <c r="Z91" s="125"/>
    </row>
    <row r="92">
      <c r="A92" s="125"/>
      <c r="B92" s="125"/>
      <c r="C92" s="125"/>
      <c r="D92" s="125"/>
      <c r="E92" s="125"/>
      <c r="F92" s="125"/>
      <c r="G92" s="21"/>
      <c r="H92" s="125"/>
      <c r="I92" s="125"/>
      <c r="J92" s="125"/>
      <c r="K92" s="125"/>
      <c r="L92" s="125"/>
      <c r="M92" s="125"/>
      <c r="N92" s="125"/>
      <c r="O92" s="125"/>
      <c r="P92" s="125"/>
      <c r="Q92" s="125"/>
      <c r="R92" s="125"/>
      <c r="S92" s="125"/>
      <c r="T92" s="125"/>
      <c r="U92" s="125"/>
      <c r="V92" s="125"/>
      <c r="W92" s="125"/>
      <c r="X92" s="125"/>
      <c r="Y92" s="125"/>
      <c r="Z92" s="125"/>
    </row>
    <row r="93">
      <c r="A93" s="125"/>
      <c r="B93" s="125"/>
      <c r="C93" s="125"/>
      <c r="D93" s="125"/>
      <c r="E93" s="125"/>
      <c r="F93" s="125"/>
      <c r="G93" s="21"/>
      <c r="H93" s="125"/>
      <c r="I93" s="125"/>
      <c r="J93" s="125"/>
      <c r="K93" s="125"/>
      <c r="L93" s="125"/>
      <c r="M93" s="125"/>
      <c r="N93" s="125"/>
      <c r="O93" s="125"/>
      <c r="P93" s="125"/>
      <c r="Q93" s="125"/>
      <c r="R93" s="125"/>
      <c r="S93" s="125"/>
      <c r="T93" s="125"/>
      <c r="U93" s="125"/>
      <c r="V93" s="125"/>
      <c r="W93" s="125"/>
      <c r="X93" s="125"/>
      <c r="Y93" s="125"/>
      <c r="Z93" s="125"/>
    </row>
    <row r="94">
      <c r="A94" s="125"/>
      <c r="B94" s="125"/>
      <c r="C94" s="125"/>
      <c r="D94" s="125"/>
      <c r="E94" s="125"/>
      <c r="F94" s="125"/>
      <c r="G94" s="21"/>
      <c r="H94" s="125"/>
      <c r="I94" s="125"/>
      <c r="J94" s="125"/>
      <c r="K94" s="125"/>
      <c r="L94" s="125"/>
      <c r="M94" s="125"/>
      <c r="N94" s="125"/>
      <c r="O94" s="125"/>
      <c r="P94" s="125"/>
      <c r="Q94" s="125"/>
      <c r="R94" s="125"/>
      <c r="S94" s="125"/>
      <c r="T94" s="125"/>
      <c r="U94" s="125"/>
      <c r="V94" s="125"/>
      <c r="W94" s="125"/>
      <c r="X94" s="125"/>
      <c r="Y94" s="125"/>
      <c r="Z94" s="125"/>
    </row>
    <row r="95">
      <c r="A95" s="125"/>
      <c r="B95" s="125"/>
      <c r="C95" s="125"/>
      <c r="D95" s="125"/>
      <c r="E95" s="125"/>
      <c r="F95" s="125"/>
      <c r="G95" s="21"/>
      <c r="H95" s="125"/>
      <c r="I95" s="125"/>
      <c r="J95" s="125"/>
      <c r="K95" s="125"/>
      <c r="L95" s="125"/>
      <c r="M95" s="125"/>
      <c r="N95" s="125"/>
      <c r="O95" s="125"/>
      <c r="P95" s="125"/>
      <c r="Q95" s="125"/>
      <c r="R95" s="125"/>
      <c r="S95" s="125"/>
      <c r="T95" s="125"/>
      <c r="U95" s="125"/>
      <c r="V95" s="125"/>
      <c r="W95" s="125"/>
      <c r="X95" s="125"/>
      <c r="Y95" s="125"/>
      <c r="Z95" s="125"/>
    </row>
    <row r="96">
      <c r="A96" s="125"/>
      <c r="B96" s="125"/>
      <c r="C96" s="125"/>
      <c r="D96" s="125"/>
      <c r="E96" s="125"/>
      <c r="F96" s="125"/>
      <c r="G96" s="21"/>
      <c r="H96" s="125"/>
      <c r="I96" s="125"/>
      <c r="J96" s="125"/>
      <c r="K96" s="125"/>
      <c r="L96" s="125"/>
      <c r="M96" s="125"/>
      <c r="N96" s="125"/>
      <c r="O96" s="125"/>
      <c r="P96" s="125"/>
      <c r="Q96" s="125"/>
      <c r="R96" s="125"/>
      <c r="S96" s="125"/>
      <c r="T96" s="125"/>
      <c r="U96" s="125"/>
      <c r="V96" s="125"/>
      <c r="W96" s="125"/>
      <c r="X96" s="125"/>
      <c r="Y96" s="125"/>
      <c r="Z96" s="125"/>
    </row>
    <row r="97">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row r="1001">
      <c r="A1001" s="125"/>
      <c r="B1001" s="125"/>
      <c r="C1001" s="125"/>
      <c r="D1001" s="125"/>
      <c r="E1001" s="125"/>
      <c r="F1001" s="125"/>
      <c r="G1001" s="125"/>
      <c r="H1001" s="125"/>
      <c r="I1001" s="125"/>
      <c r="J1001" s="125"/>
      <c r="K1001" s="125"/>
      <c r="L1001" s="125"/>
      <c r="M1001" s="125"/>
      <c r="N1001" s="125"/>
      <c r="O1001" s="125"/>
      <c r="P1001" s="125"/>
      <c r="Q1001" s="125"/>
      <c r="R1001" s="125"/>
      <c r="S1001" s="125"/>
      <c r="T1001" s="125"/>
      <c r="U1001" s="125"/>
      <c r="V1001" s="125"/>
      <c r="W1001" s="125"/>
      <c r="X1001" s="125"/>
      <c r="Y1001" s="125"/>
      <c r="Z1001" s="125"/>
    </row>
    <row r="1002">
      <c r="A1002" s="125"/>
      <c r="B1002" s="125"/>
      <c r="C1002" s="125"/>
      <c r="D1002" s="125"/>
      <c r="E1002" s="125"/>
      <c r="F1002" s="125"/>
      <c r="G1002" s="125"/>
      <c r="H1002" s="125"/>
      <c r="I1002" s="125"/>
      <c r="J1002" s="125"/>
      <c r="K1002" s="125"/>
      <c r="L1002" s="125"/>
      <c r="M1002" s="125"/>
      <c r="N1002" s="125"/>
      <c r="O1002" s="125"/>
      <c r="P1002" s="125"/>
      <c r="Q1002" s="125"/>
      <c r="R1002" s="125"/>
      <c r="S1002" s="125"/>
      <c r="T1002" s="125"/>
      <c r="U1002" s="125"/>
      <c r="V1002" s="125"/>
      <c r="W1002" s="125"/>
      <c r="X1002" s="125"/>
      <c r="Y1002" s="125"/>
      <c r="Z1002" s="125"/>
    </row>
    <row r="1003">
      <c r="A1003" s="125"/>
      <c r="B1003" s="125"/>
      <c r="C1003" s="125"/>
      <c r="D1003" s="125"/>
      <c r="E1003" s="125"/>
      <c r="F1003" s="125"/>
      <c r="G1003" s="125"/>
      <c r="H1003" s="125"/>
      <c r="I1003" s="125"/>
      <c r="J1003" s="125"/>
      <c r="K1003" s="125"/>
      <c r="L1003" s="125"/>
      <c r="M1003" s="125"/>
      <c r="N1003" s="125"/>
      <c r="O1003" s="125"/>
      <c r="P1003" s="125"/>
      <c r="Q1003" s="125"/>
      <c r="R1003" s="125"/>
      <c r="S1003" s="125"/>
      <c r="T1003" s="125"/>
      <c r="U1003" s="125"/>
      <c r="V1003" s="125"/>
      <c r="W1003" s="125"/>
      <c r="X1003" s="125"/>
      <c r="Y1003" s="125"/>
      <c r="Z1003" s="125"/>
    </row>
    <row r="1004">
      <c r="A1004" s="125"/>
      <c r="B1004" s="125"/>
      <c r="C1004" s="125"/>
      <c r="D1004" s="125"/>
      <c r="E1004" s="125"/>
      <c r="F1004" s="125"/>
      <c r="G1004" s="125"/>
      <c r="H1004" s="125"/>
      <c r="I1004" s="125"/>
      <c r="J1004" s="125"/>
      <c r="K1004" s="125"/>
      <c r="L1004" s="125"/>
      <c r="M1004" s="125"/>
      <c r="N1004" s="125"/>
      <c r="O1004" s="125"/>
      <c r="P1004" s="125"/>
      <c r="Q1004" s="125"/>
      <c r="R1004" s="125"/>
      <c r="S1004" s="125"/>
      <c r="T1004" s="125"/>
      <c r="U1004" s="125"/>
      <c r="V1004" s="125"/>
      <c r="W1004" s="125"/>
      <c r="X1004" s="125"/>
      <c r="Y1004" s="125"/>
      <c r="Z1004" s="125"/>
    </row>
    <row r="1005">
      <c r="A1005" s="125"/>
      <c r="B1005" s="125"/>
      <c r="C1005" s="125"/>
      <c r="D1005" s="125"/>
      <c r="E1005" s="125"/>
      <c r="F1005" s="125"/>
      <c r="G1005" s="125"/>
      <c r="H1005" s="125"/>
      <c r="I1005" s="125"/>
      <c r="J1005" s="125"/>
      <c r="K1005" s="125"/>
      <c r="L1005" s="125"/>
      <c r="M1005" s="125"/>
      <c r="N1005" s="125"/>
      <c r="O1005" s="125"/>
      <c r="P1005" s="125"/>
      <c r="Q1005" s="125"/>
      <c r="R1005" s="125"/>
      <c r="S1005" s="125"/>
      <c r="T1005" s="125"/>
      <c r="U1005" s="125"/>
      <c r="V1005" s="125"/>
      <c r="W1005" s="125"/>
      <c r="X1005" s="125"/>
      <c r="Y1005" s="125"/>
      <c r="Z1005" s="125"/>
    </row>
    <row r="1006">
      <c r="A1006" s="125"/>
      <c r="B1006" s="125"/>
      <c r="C1006" s="125"/>
      <c r="D1006" s="125"/>
      <c r="E1006" s="125"/>
      <c r="F1006" s="125"/>
      <c r="G1006" s="125"/>
      <c r="H1006" s="125"/>
      <c r="I1006" s="125"/>
      <c r="J1006" s="125"/>
      <c r="K1006" s="125"/>
      <c r="L1006" s="125"/>
      <c r="M1006" s="125"/>
      <c r="N1006" s="125"/>
      <c r="O1006" s="125"/>
      <c r="P1006" s="125"/>
      <c r="Q1006" s="125"/>
      <c r="R1006" s="125"/>
      <c r="S1006" s="125"/>
      <c r="T1006" s="125"/>
      <c r="U1006" s="125"/>
      <c r="V1006" s="125"/>
      <c r="W1006" s="125"/>
      <c r="X1006" s="125"/>
      <c r="Y1006" s="125"/>
      <c r="Z1006" s="125"/>
    </row>
    <row r="1007">
      <c r="A1007" s="125"/>
      <c r="B1007" s="125"/>
      <c r="C1007" s="125"/>
      <c r="D1007" s="125"/>
      <c r="E1007" s="125"/>
      <c r="F1007" s="125"/>
      <c r="G1007" s="125"/>
      <c r="H1007" s="125"/>
      <c r="I1007" s="125"/>
      <c r="J1007" s="125"/>
      <c r="K1007" s="125"/>
      <c r="L1007" s="125"/>
      <c r="M1007" s="125"/>
      <c r="N1007" s="125"/>
      <c r="O1007" s="125"/>
      <c r="P1007" s="125"/>
      <c r="Q1007" s="125"/>
      <c r="R1007" s="125"/>
      <c r="S1007" s="125"/>
      <c r="T1007" s="125"/>
      <c r="U1007" s="125"/>
      <c r="V1007" s="125"/>
      <c r="W1007" s="125"/>
      <c r="X1007" s="125"/>
      <c r="Y1007" s="125"/>
      <c r="Z1007" s="125"/>
    </row>
    <row r="1008">
      <c r="A1008" s="125"/>
      <c r="B1008" s="125"/>
      <c r="C1008" s="125"/>
      <c r="D1008" s="125"/>
      <c r="E1008" s="125"/>
      <c r="F1008" s="125"/>
      <c r="G1008" s="125"/>
      <c r="H1008" s="125"/>
      <c r="I1008" s="125"/>
      <c r="J1008" s="125"/>
      <c r="K1008" s="125"/>
      <c r="L1008" s="125"/>
      <c r="M1008" s="125"/>
      <c r="N1008" s="125"/>
      <c r="O1008" s="125"/>
      <c r="P1008" s="125"/>
      <c r="Q1008" s="125"/>
      <c r="R1008" s="125"/>
      <c r="S1008" s="125"/>
      <c r="T1008" s="125"/>
      <c r="U1008" s="125"/>
      <c r="V1008" s="125"/>
      <c r="W1008" s="125"/>
      <c r="X1008" s="125"/>
      <c r="Y1008" s="125"/>
      <c r="Z1008" s="125"/>
    </row>
    <row r="1009">
      <c r="A1009" s="125"/>
      <c r="B1009" s="125"/>
      <c r="C1009" s="125"/>
      <c r="D1009" s="125"/>
      <c r="E1009" s="125"/>
      <c r="F1009" s="125"/>
      <c r="G1009" s="125"/>
      <c r="H1009" s="125"/>
      <c r="I1009" s="125"/>
      <c r="J1009" s="125"/>
      <c r="K1009" s="125"/>
      <c r="L1009" s="125"/>
      <c r="M1009" s="125"/>
      <c r="N1009" s="125"/>
      <c r="O1009" s="125"/>
      <c r="P1009" s="125"/>
      <c r="Q1009" s="125"/>
      <c r="R1009" s="125"/>
      <c r="S1009" s="125"/>
      <c r="T1009" s="125"/>
      <c r="U1009" s="125"/>
      <c r="V1009" s="125"/>
      <c r="W1009" s="125"/>
      <c r="X1009" s="125"/>
      <c r="Y1009" s="125"/>
      <c r="Z1009" s="125"/>
    </row>
    <row r="1010">
      <c r="A1010" s="125"/>
      <c r="B1010" s="125"/>
      <c r="C1010" s="125"/>
      <c r="D1010" s="125"/>
      <c r="E1010" s="125"/>
      <c r="F1010" s="125"/>
      <c r="G1010" s="125"/>
      <c r="H1010" s="125"/>
      <c r="I1010" s="125"/>
      <c r="J1010" s="125"/>
      <c r="K1010" s="125"/>
      <c r="L1010" s="125"/>
      <c r="M1010" s="125"/>
      <c r="N1010" s="125"/>
      <c r="O1010" s="125"/>
      <c r="P1010" s="125"/>
      <c r="Q1010" s="125"/>
      <c r="R1010" s="125"/>
      <c r="S1010" s="125"/>
      <c r="T1010" s="125"/>
      <c r="U1010" s="125"/>
      <c r="V1010" s="125"/>
      <c r="W1010" s="125"/>
      <c r="X1010" s="125"/>
      <c r="Y1010" s="125"/>
      <c r="Z1010" s="125"/>
    </row>
    <row r="1011">
      <c r="A1011" s="125"/>
      <c r="B1011" s="125"/>
      <c r="C1011" s="125"/>
      <c r="D1011" s="125"/>
      <c r="E1011" s="125"/>
      <c r="F1011" s="125"/>
      <c r="G1011" s="125"/>
      <c r="H1011" s="125"/>
      <c r="I1011" s="125"/>
      <c r="J1011" s="125"/>
      <c r="K1011" s="125"/>
      <c r="L1011" s="125"/>
      <c r="M1011" s="125"/>
      <c r="N1011" s="125"/>
      <c r="O1011" s="125"/>
      <c r="P1011" s="125"/>
      <c r="Q1011" s="125"/>
      <c r="R1011" s="125"/>
      <c r="S1011" s="125"/>
      <c r="T1011" s="125"/>
      <c r="U1011" s="125"/>
      <c r="V1011" s="125"/>
      <c r="W1011" s="125"/>
      <c r="X1011" s="125"/>
      <c r="Y1011" s="125"/>
      <c r="Z1011" s="125"/>
    </row>
    <row r="1012">
      <c r="A1012" s="125"/>
      <c r="B1012" s="125"/>
      <c r="C1012" s="125"/>
      <c r="D1012" s="125"/>
      <c r="E1012" s="125"/>
      <c r="F1012" s="125"/>
      <c r="G1012" s="125"/>
      <c r="H1012" s="125"/>
      <c r="I1012" s="125"/>
      <c r="J1012" s="125"/>
      <c r="K1012" s="125"/>
      <c r="L1012" s="125"/>
      <c r="M1012" s="125"/>
      <c r="N1012" s="125"/>
      <c r="O1012" s="125"/>
      <c r="P1012" s="125"/>
      <c r="Q1012" s="125"/>
      <c r="R1012" s="125"/>
      <c r="S1012" s="125"/>
      <c r="T1012" s="125"/>
      <c r="U1012" s="125"/>
      <c r="V1012" s="125"/>
      <c r="W1012" s="125"/>
      <c r="X1012" s="125"/>
      <c r="Y1012" s="125"/>
      <c r="Z1012" s="125"/>
    </row>
    <row r="1013">
      <c r="A1013" s="125"/>
      <c r="B1013" s="125"/>
      <c r="C1013" s="125"/>
      <c r="D1013" s="125"/>
      <c r="E1013" s="125"/>
      <c r="F1013" s="125"/>
      <c r="G1013" s="125"/>
      <c r="H1013" s="125"/>
      <c r="I1013" s="125"/>
      <c r="J1013" s="125"/>
      <c r="K1013" s="125"/>
      <c r="L1013" s="125"/>
      <c r="M1013" s="125"/>
      <c r="N1013" s="125"/>
      <c r="O1013" s="125"/>
      <c r="P1013" s="125"/>
      <c r="Q1013" s="125"/>
      <c r="R1013" s="125"/>
      <c r="S1013" s="125"/>
      <c r="T1013" s="125"/>
      <c r="U1013" s="125"/>
      <c r="V1013" s="125"/>
      <c r="W1013" s="125"/>
      <c r="X1013" s="125"/>
      <c r="Y1013" s="125"/>
      <c r="Z1013" s="125"/>
    </row>
    <row r="1014">
      <c r="A1014" s="125"/>
      <c r="B1014" s="125"/>
      <c r="C1014" s="125"/>
      <c r="D1014" s="125"/>
      <c r="E1014" s="125"/>
      <c r="F1014" s="125"/>
      <c r="G1014" s="125"/>
      <c r="H1014" s="125"/>
      <c r="I1014" s="125"/>
      <c r="J1014" s="125"/>
      <c r="K1014" s="125"/>
      <c r="L1014" s="125"/>
      <c r="M1014" s="125"/>
      <c r="N1014" s="125"/>
      <c r="O1014" s="125"/>
      <c r="P1014" s="125"/>
      <c r="Q1014" s="125"/>
      <c r="R1014" s="125"/>
      <c r="S1014" s="125"/>
      <c r="T1014" s="125"/>
      <c r="U1014" s="125"/>
      <c r="V1014" s="125"/>
      <c r="W1014" s="125"/>
      <c r="X1014" s="125"/>
      <c r="Y1014" s="125"/>
      <c r="Z1014" s="125"/>
    </row>
    <row r="1015">
      <c r="A1015" s="125"/>
      <c r="B1015" s="125"/>
      <c r="C1015" s="125"/>
      <c r="D1015" s="125"/>
      <c r="E1015" s="125"/>
      <c r="F1015" s="125"/>
      <c r="G1015" s="125"/>
      <c r="H1015" s="125"/>
      <c r="I1015" s="125"/>
      <c r="J1015" s="125"/>
      <c r="K1015" s="125"/>
      <c r="L1015" s="125"/>
      <c r="M1015" s="125"/>
      <c r="N1015" s="125"/>
      <c r="O1015" s="125"/>
      <c r="P1015" s="125"/>
      <c r="Q1015" s="125"/>
      <c r="R1015" s="125"/>
      <c r="S1015" s="125"/>
      <c r="T1015" s="125"/>
      <c r="U1015" s="125"/>
      <c r="V1015" s="125"/>
      <c r="W1015" s="125"/>
      <c r="X1015" s="125"/>
      <c r="Y1015" s="125"/>
      <c r="Z1015" s="125"/>
    </row>
    <row r="1016">
      <c r="A1016" s="125"/>
      <c r="B1016" s="125"/>
      <c r="C1016" s="125"/>
      <c r="D1016" s="125"/>
      <c r="E1016" s="125"/>
      <c r="F1016" s="125"/>
      <c r="G1016" s="125"/>
      <c r="H1016" s="125"/>
      <c r="I1016" s="125"/>
      <c r="J1016" s="125"/>
      <c r="K1016" s="125"/>
      <c r="L1016" s="125"/>
      <c r="M1016" s="125"/>
      <c r="N1016" s="125"/>
      <c r="O1016" s="125"/>
      <c r="P1016" s="125"/>
      <c r="Q1016" s="125"/>
      <c r="R1016" s="125"/>
      <c r="S1016" s="125"/>
      <c r="T1016" s="125"/>
      <c r="U1016" s="125"/>
      <c r="V1016" s="125"/>
      <c r="W1016" s="125"/>
      <c r="X1016" s="125"/>
      <c r="Y1016" s="125"/>
      <c r="Z1016" s="125"/>
    </row>
    <row r="1017">
      <c r="A1017" s="125"/>
      <c r="B1017" s="125"/>
      <c r="C1017" s="125"/>
      <c r="D1017" s="125"/>
      <c r="E1017" s="125"/>
      <c r="F1017" s="125"/>
      <c r="G1017" s="125"/>
      <c r="H1017" s="125"/>
      <c r="I1017" s="125"/>
      <c r="J1017" s="125"/>
      <c r="K1017" s="125"/>
      <c r="L1017" s="125"/>
      <c r="M1017" s="125"/>
      <c r="N1017" s="125"/>
      <c r="O1017" s="125"/>
      <c r="P1017" s="125"/>
      <c r="Q1017" s="125"/>
      <c r="R1017" s="125"/>
      <c r="S1017" s="125"/>
      <c r="T1017" s="125"/>
      <c r="U1017" s="125"/>
      <c r="V1017" s="125"/>
      <c r="W1017" s="125"/>
      <c r="X1017" s="125"/>
      <c r="Y1017" s="125"/>
      <c r="Z1017" s="125"/>
    </row>
    <row r="1018">
      <c r="A1018" s="125"/>
      <c r="B1018" s="125"/>
      <c r="C1018" s="125"/>
      <c r="D1018" s="125"/>
      <c r="E1018" s="125"/>
      <c r="F1018" s="125"/>
      <c r="G1018" s="125"/>
      <c r="H1018" s="125"/>
      <c r="I1018" s="125"/>
      <c r="J1018" s="125"/>
      <c r="K1018" s="125"/>
      <c r="L1018" s="125"/>
      <c r="M1018" s="125"/>
      <c r="N1018" s="125"/>
      <c r="O1018" s="125"/>
      <c r="P1018" s="125"/>
      <c r="Q1018" s="125"/>
      <c r="R1018" s="125"/>
      <c r="S1018" s="125"/>
      <c r="T1018" s="125"/>
      <c r="U1018" s="125"/>
      <c r="V1018" s="125"/>
      <c r="W1018" s="125"/>
      <c r="X1018" s="125"/>
      <c r="Y1018" s="125"/>
      <c r="Z1018" s="125"/>
    </row>
    <row r="1019">
      <c r="A1019" s="125"/>
      <c r="B1019" s="125"/>
      <c r="C1019" s="125"/>
      <c r="D1019" s="125"/>
      <c r="E1019" s="125"/>
      <c r="F1019" s="125"/>
      <c r="G1019" s="125"/>
      <c r="H1019" s="125"/>
      <c r="I1019" s="125"/>
      <c r="J1019" s="125"/>
      <c r="K1019" s="125"/>
      <c r="L1019" s="125"/>
      <c r="M1019" s="125"/>
      <c r="N1019" s="125"/>
      <c r="O1019" s="125"/>
      <c r="P1019" s="125"/>
      <c r="Q1019" s="125"/>
      <c r="R1019" s="125"/>
      <c r="S1019" s="125"/>
      <c r="T1019" s="125"/>
      <c r="U1019" s="125"/>
      <c r="V1019" s="125"/>
      <c r="W1019" s="125"/>
      <c r="X1019" s="125"/>
      <c r="Y1019" s="125"/>
      <c r="Z1019" s="125"/>
    </row>
    <row r="1020">
      <c r="A1020" s="125"/>
      <c r="B1020" s="125"/>
      <c r="C1020" s="125"/>
      <c r="D1020" s="125"/>
      <c r="E1020" s="125"/>
      <c r="F1020" s="125"/>
      <c r="G1020" s="125"/>
      <c r="H1020" s="125"/>
      <c r="I1020" s="125"/>
      <c r="J1020" s="125"/>
      <c r="K1020" s="125"/>
      <c r="L1020" s="125"/>
      <c r="M1020" s="125"/>
      <c r="N1020" s="125"/>
      <c r="O1020" s="125"/>
      <c r="P1020" s="125"/>
      <c r="Q1020" s="125"/>
      <c r="R1020" s="125"/>
      <c r="S1020" s="125"/>
      <c r="T1020" s="125"/>
      <c r="U1020" s="125"/>
      <c r="V1020" s="125"/>
      <c r="W1020" s="125"/>
      <c r="X1020" s="125"/>
      <c r="Y1020" s="125"/>
      <c r="Z1020" s="125"/>
    </row>
    <row r="1021">
      <c r="A1021" s="125"/>
      <c r="B1021" s="125"/>
      <c r="C1021" s="125"/>
      <c r="D1021" s="125"/>
      <c r="E1021" s="125"/>
      <c r="F1021" s="125"/>
      <c r="G1021" s="125"/>
      <c r="H1021" s="125"/>
      <c r="I1021" s="125"/>
      <c r="J1021" s="125"/>
      <c r="K1021" s="125"/>
      <c r="L1021" s="125"/>
      <c r="M1021" s="125"/>
      <c r="N1021" s="125"/>
      <c r="O1021" s="125"/>
      <c r="P1021" s="125"/>
      <c r="Q1021" s="125"/>
      <c r="R1021" s="125"/>
      <c r="S1021" s="125"/>
      <c r="T1021" s="125"/>
      <c r="U1021" s="125"/>
      <c r="V1021" s="125"/>
      <c r="W1021" s="125"/>
      <c r="X1021" s="125"/>
      <c r="Y1021" s="125"/>
      <c r="Z1021" s="125"/>
    </row>
    <row r="1022">
      <c r="A1022" s="125"/>
      <c r="B1022" s="125"/>
      <c r="C1022" s="125"/>
      <c r="D1022" s="125"/>
      <c r="E1022" s="125"/>
      <c r="F1022" s="125"/>
      <c r="G1022" s="125"/>
      <c r="H1022" s="125"/>
      <c r="I1022" s="125"/>
      <c r="J1022" s="125"/>
      <c r="K1022" s="125"/>
      <c r="L1022" s="125"/>
      <c r="M1022" s="125"/>
      <c r="N1022" s="125"/>
      <c r="O1022" s="125"/>
      <c r="P1022" s="125"/>
      <c r="Q1022" s="125"/>
      <c r="R1022" s="125"/>
      <c r="S1022" s="125"/>
      <c r="T1022" s="125"/>
      <c r="U1022" s="125"/>
      <c r="V1022" s="125"/>
      <c r="W1022" s="125"/>
      <c r="X1022" s="125"/>
      <c r="Y1022" s="125"/>
      <c r="Z1022" s="125"/>
    </row>
    <row r="1023">
      <c r="A1023" s="125"/>
      <c r="B1023" s="125"/>
      <c r="C1023" s="125"/>
      <c r="D1023" s="125"/>
      <c r="E1023" s="125"/>
      <c r="F1023" s="125"/>
      <c r="G1023" s="125"/>
      <c r="H1023" s="125"/>
      <c r="I1023" s="125"/>
      <c r="J1023" s="125"/>
      <c r="K1023" s="125"/>
      <c r="L1023" s="125"/>
      <c r="M1023" s="125"/>
      <c r="N1023" s="125"/>
      <c r="O1023" s="125"/>
      <c r="P1023" s="125"/>
      <c r="Q1023" s="125"/>
      <c r="R1023" s="125"/>
      <c r="S1023" s="125"/>
      <c r="T1023" s="125"/>
      <c r="U1023" s="125"/>
      <c r="V1023" s="125"/>
      <c r="W1023" s="125"/>
      <c r="X1023" s="125"/>
      <c r="Y1023" s="125"/>
      <c r="Z1023" s="125"/>
    </row>
    <row r="1024">
      <c r="A1024" s="125"/>
      <c r="B1024" s="125"/>
      <c r="C1024" s="125"/>
      <c r="D1024" s="125"/>
      <c r="E1024" s="125"/>
      <c r="F1024" s="125"/>
      <c r="G1024" s="125"/>
      <c r="H1024" s="125"/>
      <c r="I1024" s="125"/>
      <c r="J1024" s="125"/>
      <c r="K1024" s="125"/>
      <c r="L1024" s="125"/>
      <c r="M1024" s="125"/>
      <c r="N1024" s="125"/>
      <c r="O1024" s="125"/>
      <c r="P1024" s="125"/>
      <c r="Q1024" s="125"/>
      <c r="R1024" s="125"/>
      <c r="S1024" s="125"/>
      <c r="T1024" s="125"/>
      <c r="U1024" s="125"/>
      <c r="V1024" s="125"/>
      <c r="W1024" s="125"/>
      <c r="X1024" s="125"/>
      <c r="Y1024" s="125"/>
      <c r="Z1024" s="125"/>
    </row>
    <row r="1025">
      <c r="A1025" s="125"/>
      <c r="B1025" s="125"/>
      <c r="C1025" s="125"/>
      <c r="D1025" s="125"/>
      <c r="E1025" s="125"/>
      <c r="F1025" s="125"/>
      <c r="G1025" s="125"/>
      <c r="H1025" s="125"/>
      <c r="I1025" s="125"/>
      <c r="J1025" s="125"/>
      <c r="K1025" s="125"/>
      <c r="L1025" s="125"/>
      <c r="M1025" s="125"/>
      <c r="N1025" s="125"/>
      <c r="O1025" s="125"/>
      <c r="P1025" s="125"/>
      <c r="Q1025" s="125"/>
      <c r="R1025" s="125"/>
      <c r="S1025" s="125"/>
      <c r="T1025" s="125"/>
      <c r="U1025" s="125"/>
      <c r="V1025" s="125"/>
      <c r="W1025" s="125"/>
      <c r="X1025" s="125"/>
      <c r="Y1025" s="125"/>
      <c r="Z1025" s="125"/>
    </row>
    <row r="1026">
      <c r="A1026" s="125"/>
      <c r="B1026" s="125"/>
      <c r="C1026" s="125"/>
      <c r="D1026" s="125"/>
      <c r="E1026" s="125"/>
      <c r="F1026" s="125"/>
      <c r="G1026" s="125"/>
      <c r="H1026" s="125"/>
      <c r="I1026" s="125"/>
      <c r="J1026" s="125"/>
      <c r="K1026" s="125"/>
      <c r="L1026" s="125"/>
      <c r="M1026" s="125"/>
      <c r="N1026" s="125"/>
      <c r="O1026" s="125"/>
      <c r="P1026" s="125"/>
      <c r="Q1026" s="125"/>
      <c r="R1026" s="125"/>
      <c r="S1026" s="125"/>
      <c r="T1026" s="125"/>
      <c r="U1026" s="125"/>
      <c r="V1026" s="125"/>
      <c r="W1026" s="125"/>
      <c r="X1026" s="125"/>
      <c r="Y1026" s="125"/>
      <c r="Z1026" s="125"/>
    </row>
    <row r="1027">
      <c r="A1027" s="125"/>
      <c r="B1027" s="125"/>
      <c r="C1027" s="125"/>
      <c r="D1027" s="125"/>
      <c r="E1027" s="125"/>
      <c r="F1027" s="125"/>
      <c r="G1027" s="125"/>
      <c r="H1027" s="125"/>
      <c r="I1027" s="125"/>
      <c r="J1027" s="125"/>
      <c r="K1027" s="125"/>
      <c r="L1027" s="125"/>
      <c r="M1027" s="125"/>
      <c r="N1027" s="125"/>
      <c r="O1027" s="125"/>
      <c r="P1027" s="125"/>
      <c r="Q1027" s="125"/>
      <c r="R1027" s="125"/>
      <c r="S1027" s="125"/>
      <c r="T1027" s="125"/>
      <c r="U1027" s="125"/>
      <c r="V1027" s="125"/>
      <c r="W1027" s="125"/>
      <c r="X1027" s="125"/>
      <c r="Y1027" s="125"/>
      <c r="Z1027" s="125"/>
    </row>
    <row r="1028">
      <c r="A1028" s="125"/>
      <c r="B1028" s="125"/>
      <c r="C1028" s="125"/>
      <c r="D1028" s="125"/>
      <c r="E1028" s="125"/>
      <c r="F1028" s="125"/>
      <c r="G1028" s="125"/>
      <c r="H1028" s="125"/>
      <c r="I1028" s="125"/>
      <c r="J1028" s="125"/>
      <c r="K1028" s="125"/>
      <c r="L1028" s="125"/>
      <c r="M1028" s="125"/>
      <c r="N1028" s="125"/>
      <c r="O1028" s="125"/>
      <c r="P1028" s="125"/>
      <c r="Q1028" s="125"/>
      <c r="R1028" s="125"/>
      <c r="S1028" s="125"/>
      <c r="T1028" s="125"/>
      <c r="U1028" s="125"/>
      <c r="V1028" s="125"/>
      <c r="W1028" s="125"/>
      <c r="X1028" s="125"/>
      <c r="Y1028" s="125"/>
      <c r="Z1028" s="125"/>
    </row>
    <row r="1029">
      <c r="A1029" s="125"/>
      <c r="B1029" s="125"/>
      <c r="C1029" s="125"/>
      <c r="D1029" s="125"/>
      <c r="E1029" s="125"/>
      <c r="F1029" s="125"/>
      <c r="G1029" s="125"/>
      <c r="H1029" s="125"/>
      <c r="I1029" s="125"/>
      <c r="J1029" s="125"/>
      <c r="K1029" s="125"/>
      <c r="L1029" s="125"/>
      <c r="M1029" s="125"/>
      <c r="N1029" s="125"/>
      <c r="O1029" s="125"/>
      <c r="P1029" s="125"/>
      <c r="Q1029" s="125"/>
      <c r="R1029" s="125"/>
      <c r="S1029" s="125"/>
      <c r="T1029" s="125"/>
      <c r="U1029" s="125"/>
      <c r="V1029" s="125"/>
      <c r="W1029" s="125"/>
      <c r="X1029" s="125"/>
      <c r="Y1029" s="125"/>
      <c r="Z1029" s="125"/>
    </row>
    <row r="1030">
      <c r="A1030" s="125"/>
      <c r="B1030" s="125"/>
      <c r="C1030" s="125"/>
      <c r="D1030" s="125"/>
      <c r="E1030" s="125"/>
      <c r="F1030" s="125"/>
      <c r="G1030" s="125"/>
      <c r="H1030" s="125"/>
      <c r="I1030" s="125"/>
      <c r="J1030" s="125"/>
      <c r="K1030" s="125"/>
      <c r="L1030" s="125"/>
      <c r="M1030" s="125"/>
      <c r="N1030" s="125"/>
      <c r="O1030" s="125"/>
      <c r="P1030" s="125"/>
      <c r="Q1030" s="125"/>
      <c r="R1030" s="125"/>
      <c r="S1030" s="125"/>
      <c r="T1030" s="125"/>
      <c r="U1030" s="125"/>
      <c r="V1030" s="125"/>
      <c r="W1030" s="125"/>
      <c r="X1030" s="125"/>
      <c r="Y1030" s="125"/>
      <c r="Z1030" s="125"/>
    </row>
    <row r="1031">
      <c r="A1031" s="125"/>
      <c r="B1031" s="125"/>
      <c r="C1031" s="125"/>
      <c r="D1031" s="125"/>
      <c r="E1031" s="125"/>
      <c r="F1031" s="125"/>
      <c r="G1031" s="125"/>
      <c r="H1031" s="125"/>
      <c r="I1031" s="125"/>
      <c r="J1031" s="125"/>
      <c r="K1031" s="125"/>
      <c r="L1031" s="125"/>
      <c r="M1031" s="125"/>
      <c r="N1031" s="125"/>
      <c r="O1031" s="125"/>
      <c r="P1031" s="125"/>
      <c r="Q1031" s="125"/>
      <c r="R1031" s="125"/>
      <c r="S1031" s="125"/>
      <c r="T1031" s="125"/>
      <c r="U1031" s="125"/>
      <c r="V1031" s="125"/>
      <c r="W1031" s="125"/>
      <c r="X1031" s="125"/>
      <c r="Y1031" s="125"/>
      <c r="Z1031" s="125"/>
    </row>
    <row r="1032">
      <c r="A1032" s="125"/>
      <c r="B1032" s="125"/>
      <c r="C1032" s="125"/>
      <c r="D1032" s="125"/>
      <c r="E1032" s="125"/>
      <c r="F1032" s="125"/>
      <c r="G1032" s="125"/>
      <c r="H1032" s="125"/>
      <c r="I1032" s="125"/>
      <c r="J1032" s="125"/>
      <c r="K1032" s="125"/>
      <c r="L1032" s="125"/>
      <c r="M1032" s="125"/>
      <c r="N1032" s="125"/>
      <c r="O1032" s="125"/>
      <c r="P1032" s="125"/>
      <c r="Q1032" s="125"/>
      <c r="R1032" s="125"/>
      <c r="S1032" s="125"/>
      <c r="T1032" s="125"/>
      <c r="U1032" s="125"/>
      <c r="V1032" s="125"/>
      <c r="W1032" s="125"/>
      <c r="X1032" s="125"/>
      <c r="Y1032" s="125"/>
      <c r="Z1032" s="125"/>
    </row>
    <row r="1033">
      <c r="A1033" s="125"/>
      <c r="B1033" s="125"/>
      <c r="C1033" s="125"/>
      <c r="D1033" s="125"/>
      <c r="E1033" s="125"/>
      <c r="F1033" s="125"/>
      <c r="G1033" s="125"/>
      <c r="H1033" s="125"/>
      <c r="I1033" s="125"/>
      <c r="J1033" s="125"/>
      <c r="K1033" s="125"/>
      <c r="L1033" s="125"/>
      <c r="M1033" s="125"/>
      <c r="N1033" s="125"/>
      <c r="O1033" s="125"/>
      <c r="P1033" s="125"/>
      <c r="Q1033" s="125"/>
      <c r="R1033" s="125"/>
      <c r="S1033" s="125"/>
      <c r="T1033" s="125"/>
      <c r="U1033" s="125"/>
      <c r="V1033" s="125"/>
      <c r="W1033" s="125"/>
      <c r="X1033" s="125"/>
      <c r="Y1033" s="125"/>
      <c r="Z1033" s="12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5"/>
    <col customWidth="1" min="2" max="2" width="18.0"/>
    <col customWidth="1" min="3" max="3" width="17.0"/>
    <col customWidth="1" min="4" max="4" width="26.63"/>
    <col customWidth="1" min="5" max="5" width="37.75"/>
    <col customWidth="1" min="6" max="6" width="6.38"/>
    <col customWidth="1" min="7" max="7" width="9.63"/>
    <col customWidth="1" hidden="1" min="8" max="8" width="9.13"/>
    <col customWidth="1" min="9" max="9" width="9.13"/>
    <col customWidth="1" min="10" max="10" width="10.75"/>
    <col customWidth="1" min="11" max="11" width="11.25"/>
    <col customWidth="1" min="12" max="12" width="12.63"/>
    <col customWidth="1" min="13" max="13" width="12.38"/>
    <col customWidth="1" min="14" max="14" width="24.75"/>
    <col customWidth="1" min="15" max="15" width="28.38"/>
    <col customWidth="1" min="17" max="17" width="26.0"/>
    <col customWidth="1" min="18" max="18" width="19.5"/>
  </cols>
  <sheetData>
    <row r="1">
      <c r="A1" s="127"/>
      <c r="B1" s="128"/>
      <c r="C1" s="128"/>
      <c r="D1" s="128"/>
      <c r="E1" s="128"/>
      <c r="F1" s="129"/>
      <c r="G1" s="130">
        <f t="shared" ref="G1:H1" si="1">SUM(G3:G997)</f>
        <v>8671.21</v>
      </c>
      <c r="H1" s="130">
        <f t="shared" si="1"/>
        <v>0</v>
      </c>
      <c r="I1" s="130">
        <f>SUM(I3:I992)</f>
        <v>926.58</v>
      </c>
      <c r="J1" s="130">
        <f>G1 - I1
</f>
        <v>7744.63</v>
      </c>
      <c r="K1" s="130">
        <f>SUM(K3:K994)</f>
        <v>7744.63</v>
      </c>
      <c r="L1" s="131"/>
      <c r="M1" s="132"/>
      <c r="N1" s="129"/>
      <c r="O1" s="129"/>
      <c r="P1" s="129"/>
      <c r="Q1" s="129"/>
      <c r="R1" s="129"/>
      <c r="S1" s="129"/>
      <c r="T1" s="129"/>
      <c r="U1" s="129"/>
      <c r="V1" s="129"/>
      <c r="W1" s="129"/>
      <c r="X1" s="129"/>
      <c r="Y1" s="129"/>
      <c r="Z1" s="129"/>
      <c r="AA1" s="129"/>
      <c r="AB1" s="129"/>
    </row>
    <row r="2">
      <c r="A2" s="36" t="s">
        <v>0</v>
      </c>
      <c r="B2" s="37" t="s">
        <v>1074</v>
      </c>
      <c r="C2" s="37" t="s">
        <v>1075</v>
      </c>
      <c r="D2" s="37" t="s">
        <v>1076</v>
      </c>
      <c r="E2" s="37" t="s">
        <v>1077</v>
      </c>
      <c r="F2" s="38" t="s">
        <v>1078</v>
      </c>
      <c r="G2" s="39" t="s">
        <v>1079</v>
      </c>
      <c r="H2" s="39" t="s">
        <v>1080</v>
      </c>
      <c r="I2" s="39" t="s">
        <v>1081</v>
      </c>
      <c r="J2" s="39" t="s">
        <v>1082</v>
      </c>
      <c r="K2" s="39" t="s">
        <v>1083</v>
      </c>
      <c r="L2" s="40" t="s">
        <v>1084</v>
      </c>
      <c r="M2" s="41" t="s">
        <v>1085</v>
      </c>
      <c r="N2" s="38" t="s">
        <v>1086</v>
      </c>
      <c r="O2" s="38" t="s">
        <v>1087</v>
      </c>
      <c r="P2" s="42" t="s">
        <v>1036</v>
      </c>
      <c r="Q2" s="42" t="s">
        <v>14</v>
      </c>
      <c r="R2" s="42" t="s">
        <v>1088</v>
      </c>
      <c r="S2" s="38"/>
      <c r="T2" s="38"/>
      <c r="U2" s="38"/>
      <c r="V2" s="38"/>
      <c r="W2" s="38"/>
      <c r="X2" s="38"/>
      <c r="Y2" s="38"/>
      <c r="Z2" s="38"/>
      <c r="AA2" s="38"/>
      <c r="AB2" s="43"/>
    </row>
    <row r="3">
      <c r="A3" s="133">
        <v>45941.0</v>
      </c>
      <c r="B3" s="134" t="s">
        <v>1247</v>
      </c>
      <c r="C3" s="134" t="s">
        <v>5980</v>
      </c>
      <c r="D3" s="134" t="s">
        <v>5981</v>
      </c>
      <c r="E3" s="134" t="s">
        <v>5982</v>
      </c>
      <c r="F3" s="135">
        <v>1.0</v>
      </c>
      <c r="G3" s="136">
        <v>15.0</v>
      </c>
      <c r="H3" s="136">
        <v>0.0</v>
      </c>
      <c r="I3" s="136">
        <v>0.0</v>
      </c>
      <c r="J3" s="137">
        <f t="array" ref="J3:J997">IF(F3:F997="","", ROUND( (G3:G997 + H3:H997 - I3:I997) / F3:F997, 2 ) )</f>
        <v>15</v>
      </c>
      <c r="K3" s="137">
        <f t="array" ref="K3:K994">IF(G3:G994="","",
    G3:G994 - H3:H994 - I3:I994
  )
</f>
        <v>15</v>
      </c>
      <c r="L3" s="134" t="s">
        <v>80</v>
      </c>
      <c r="M3" s="138"/>
      <c r="N3" s="139"/>
      <c r="O3" s="140"/>
      <c r="P3" s="140" t="s">
        <v>5983</v>
      </c>
      <c r="Q3" s="76" t="s">
        <v>22</v>
      </c>
      <c r="R3" s="140"/>
      <c r="S3" s="140"/>
      <c r="T3" s="140"/>
      <c r="U3" s="140"/>
      <c r="V3" s="140"/>
      <c r="W3" s="140"/>
      <c r="X3" s="140"/>
      <c r="Y3" s="140"/>
      <c r="Z3" s="140"/>
      <c r="AA3" s="140"/>
      <c r="AB3" s="140"/>
    </row>
    <row r="4">
      <c r="A4" s="133">
        <v>45874.0</v>
      </c>
      <c r="B4" s="134" t="s">
        <v>117</v>
      </c>
      <c r="C4" s="134" t="s">
        <v>5984</v>
      </c>
      <c r="D4" s="134" t="s">
        <v>5985</v>
      </c>
      <c r="E4" s="134" t="s">
        <v>5986</v>
      </c>
      <c r="F4" s="135">
        <v>1.0</v>
      </c>
      <c r="G4" s="136">
        <v>39.99</v>
      </c>
      <c r="H4" s="136">
        <v>0.0</v>
      </c>
      <c r="I4" s="136">
        <v>39.99</v>
      </c>
      <c r="J4" s="137">
        <v>0.0</v>
      </c>
      <c r="K4" s="137">
        <v>0.0</v>
      </c>
      <c r="L4" s="134" t="s">
        <v>1184</v>
      </c>
      <c r="M4" s="141"/>
      <c r="N4" s="129"/>
      <c r="O4" s="140"/>
      <c r="P4" s="140" t="s">
        <v>5987</v>
      </c>
      <c r="Q4" s="76" t="s">
        <v>22</v>
      </c>
      <c r="R4" s="140"/>
      <c r="S4" s="140"/>
      <c r="T4" s="140"/>
      <c r="U4" s="140"/>
      <c r="V4" s="140"/>
      <c r="W4" s="140"/>
      <c r="X4" s="140"/>
      <c r="Y4" s="140"/>
      <c r="Z4" s="140"/>
      <c r="AA4" s="140"/>
      <c r="AB4" s="140"/>
    </row>
    <row r="5">
      <c r="A5" s="133">
        <v>45874.0</v>
      </c>
      <c r="B5" s="134" t="s">
        <v>117</v>
      </c>
      <c r="C5" s="134" t="s">
        <v>5988</v>
      </c>
      <c r="D5" s="134" t="s">
        <v>5989</v>
      </c>
      <c r="E5" s="134" t="s">
        <v>5990</v>
      </c>
      <c r="F5" s="135">
        <v>1.0</v>
      </c>
      <c r="G5" s="136">
        <v>29.98</v>
      </c>
      <c r="H5" s="142"/>
      <c r="I5" s="136">
        <v>29.98</v>
      </c>
      <c r="J5" s="137">
        <v>0.0</v>
      </c>
      <c r="K5" s="137">
        <v>0.0</v>
      </c>
      <c r="L5" s="134" t="s">
        <v>1184</v>
      </c>
      <c r="M5" s="141"/>
      <c r="N5" s="129"/>
      <c r="O5" s="140"/>
      <c r="P5" s="140" t="s">
        <v>5991</v>
      </c>
      <c r="Q5" s="76" t="s">
        <v>22</v>
      </c>
      <c r="R5" s="140"/>
      <c r="S5" s="140"/>
      <c r="T5" s="140"/>
      <c r="U5" s="140"/>
      <c r="V5" s="140"/>
      <c r="W5" s="140"/>
      <c r="X5" s="140"/>
      <c r="Y5" s="140"/>
      <c r="Z5" s="140"/>
      <c r="AA5" s="140"/>
      <c r="AB5" s="140"/>
    </row>
    <row r="6">
      <c r="A6" s="133">
        <v>45874.0</v>
      </c>
      <c r="B6" s="134" t="s">
        <v>117</v>
      </c>
      <c r="C6" s="134" t="s">
        <v>5992</v>
      </c>
      <c r="D6" s="134" t="s">
        <v>5993</v>
      </c>
      <c r="E6" s="134" t="s">
        <v>5994</v>
      </c>
      <c r="F6" s="135">
        <v>1.0</v>
      </c>
      <c r="G6" s="136">
        <v>14.99</v>
      </c>
      <c r="H6" s="142"/>
      <c r="I6" s="136">
        <v>14.99</v>
      </c>
      <c r="J6" s="137">
        <v>0.0</v>
      </c>
      <c r="K6" s="137">
        <v>0.0</v>
      </c>
      <c r="L6" s="134" t="s">
        <v>1184</v>
      </c>
      <c r="M6" s="141"/>
      <c r="N6" s="129"/>
      <c r="O6" s="140"/>
      <c r="P6" s="140" t="s">
        <v>5995</v>
      </c>
      <c r="Q6" s="76" t="s">
        <v>22</v>
      </c>
      <c r="R6" s="140"/>
      <c r="S6" s="140"/>
      <c r="T6" s="140"/>
      <c r="U6" s="140"/>
      <c r="V6" s="140"/>
      <c r="W6" s="140"/>
      <c r="X6" s="140"/>
      <c r="Y6" s="140"/>
      <c r="Z6" s="140"/>
      <c r="AA6" s="140"/>
      <c r="AB6" s="140"/>
    </row>
    <row r="7">
      <c r="A7" s="133">
        <v>45874.0</v>
      </c>
      <c r="B7" s="134" t="s">
        <v>117</v>
      </c>
      <c r="C7" s="134" t="s">
        <v>5996</v>
      </c>
      <c r="D7" s="134" t="s">
        <v>5997</v>
      </c>
      <c r="E7" s="134" t="s">
        <v>5998</v>
      </c>
      <c r="F7" s="135">
        <v>1.0</v>
      </c>
      <c r="G7" s="136">
        <v>24.99</v>
      </c>
      <c r="H7" s="142"/>
      <c r="I7" s="136">
        <v>24.99</v>
      </c>
      <c r="J7" s="137">
        <v>0.0</v>
      </c>
      <c r="K7" s="137">
        <v>0.0</v>
      </c>
      <c r="L7" s="134" t="s">
        <v>1184</v>
      </c>
      <c r="M7" s="141"/>
      <c r="N7" s="129"/>
      <c r="O7" s="140"/>
      <c r="P7" s="140" t="s">
        <v>5999</v>
      </c>
      <c r="Q7" s="76" t="s">
        <v>22</v>
      </c>
      <c r="R7" s="140"/>
      <c r="S7" s="140"/>
      <c r="T7" s="140"/>
      <c r="U7" s="140"/>
      <c r="V7" s="140"/>
      <c r="W7" s="140"/>
      <c r="X7" s="140"/>
      <c r="Y7" s="140"/>
      <c r="Z7" s="140"/>
      <c r="AA7" s="140"/>
      <c r="AB7" s="140"/>
    </row>
    <row r="8">
      <c r="A8" s="133">
        <v>45873.0</v>
      </c>
      <c r="B8" s="134" t="s">
        <v>117</v>
      </c>
      <c r="C8" s="134" t="s">
        <v>5992</v>
      </c>
      <c r="D8" s="134" t="s">
        <v>5993</v>
      </c>
      <c r="E8" s="134" t="s">
        <v>6000</v>
      </c>
      <c r="F8" s="135">
        <v>1.0</v>
      </c>
      <c r="G8" s="136">
        <v>11.39</v>
      </c>
      <c r="H8" s="142"/>
      <c r="I8" s="136">
        <v>11.39</v>
      </c>
      <c r="J8" s="137">
        <v>0.0</v>
      </c>
      <c r="K8" s="137">
        <v>0.0</v>
      </c>
      <c r="L8" s="134" t="s">
        <v>1184</v>
      </c>
      <c r="M8" s="141"/>
      <c r="N8" s="129"/>
      <c r="O8" s="140"/>
      <c r="P8" s="140" t="s">
        <v>6001</v>
      </c>
      <c r="Q8" s="76" t="s">
        <v>22</v>
      </c>
      <c r="R8" s="140"/>
      <c r="S8" s="140"/>
      <c r="T8" s="140"/>
      <c r="U8" s="140"/>
      <c r="V8" s="140"/>
      <c r="W8" s="140"/>
      <c r="X8" s="140"/>
      <c r="Y8" s="140"/>
      <c r="Z8" s="140"/>
      <c r="AA8" s="140"/>
      <c r="AB8" s="140"/>
    </row>
    <row r="9">
      <c r="A9" s="133">
        <v>45879.0</v>
      </c>
      <c r="B9" s="134" t="s">
        <v>117</v>
      </c>
      <c r="C9" s="134" t="s">
        <v>6002</v>
      </c>
      <c r="D9" s="134" t="s">
        <v>6003</v>
      </c>
      <c r="E9" s="134" t="s">
        <v>6004</v>
      </c>
      <c r="F9" s="135">
        <v>1.0</v>
      </c>
      <c r="G9" s="136">
        <v>5.63</v>
      </c>
      <c r="H9" s="142"/>
      <c r="I9" s="136">
        <v>0.0</v>
      </c>
      <c r="J9" s="137">
        <v>5.63</v>
      </c>
      <c r="K9" s="137">
        <v>5.63</v>
      </c>
      <c r="L9" s="134" t="s">
        <v>80</v>
      </c>
      <c r="M9" s="138" t="s">
        <v>93</v>
      </c>
      <c r="N9" s="129"/>
      <c r="O9" s="140"/>
      <c r="P9" s="140" t="s">
        <v>6005</v>
      </c>
      <c r="Q9" s="76" t="s">
        <v>22</v>
      </c>
      <c r="R9" s="140"/>
      <c r="S9" s="140"/>
      <c r="T9" s="140"/>
      <c r="U9" s="140"/>
      <c r="V9" s="140"/>
      <c r="W9" s="140"/>
      <c r="X9" s="140"/>
      <c r="Y9" s="140"/>
      <c r="Z9" s="140"/>
      <c r="AA9" s="140"/>
      <c r="AB9" s="140"/>
    </row>
    <row r="10">
      <c r="A10" s="133">
        <v>45879.0</v>
      </c>
      <c r="B10" s="134" t="s">
        <v>117</v>
      </c>
      <c r="C10" s="134" t="s">
        <v>6002</v>
      </c>
      <c r="D10" s="134" t="s">
        <v>6003</v>
      </c>
      <c r="E10" s="134" t="s">
        <v>6004</v>
      </c>
      <c r="F10" s="135">
        <v>1.0</v>
      </c>
      <c r="G10" s="136">
        <v>5.63</v>
      </c>
      <c r="H10" s="142"/>
      <c r="I10" s="136">
        <v>0.0</v>
      </c>
      <c r="J10" s="137">
        <v>5.63</v>
      </c>
      <c r="K10" s="137">
        <v>5.63</v>
      </c>
      <c r="L10" s="134" t="s">
        <v>80</v>
      </c>
      <c r="M10" s="138" t="s">
        <v>93</v>
      </c>
      <c r="N10" s="129"/>
      <c r="O10" s="140"/>
      <c r="P10" s="140" t="s">
        <v>6006</v>
      </c>
      <c r="Q10" s="76" t="s">
        <v>22</v>
      </c>
      <c r="R10" s="140"/>
      <c r="S10" s="140"/>
      <c r="T10" s="140"/>
      <c r="U10" s="140"/>
      <c r="V10" s="140"/>
      <c r="W10" s="140"/>
      <c r="X10" s="140"/>
      <c r="Y10" s="140"/>
      <c r="Z10" s="140"/>
      <c r="AA10" s="140"/>
      <c r="AB10" s="140"/>
    </row>
    <row r="11">
      <c r="A11" s="133">
        <v>45880.0</v>
      </c>
      <c r="B11" s="134" t="s">
        <v>117</v>
      </c>
      <c r="C11" s="134" t="s">
        <v>6007</v>
      </c>
      <c r="D11" s="134" t="s">
        <v>6003</v>
      </c>
      <c r="E11" s="134" t="s">
        <v>6008</v>
      </c>
      <c r="F11" s="135">
        <v>1.0</v>
      </c>
      <c r="G11" s="136">
        <v>11.99</v>
      </c>
      <c r="H11" s="142"/>
      <c r="I11" s="136">
        <v>0.0</v>
      </c>
      <c r="J11" s="137">
        <v>11.99</v>
      </c>
      <c r="K11" s="137">
        <v>11.99</v>
      </c>
      <c r="L11" s="134" t="s">
        <v>80</v>
      </c>
      <c r="M11" s="138" t="s">
        <v>93</v>
      </c>
      <c r="N11" s="129"/>
      <c r="O11" s="140"/>
      <c r="P11" s="140" t="s">
        <v>6009</v>
      </c>
      <c r="Q11" s="76" t="s">
        <v>22</v>
      </c>
      <c r="R11" s="140"/>
      <c r="S11" s="140"/>
      <c r="T11" s="140"/>
      <c r="U11" s="140"/>
      <c r="V11" s="140"/>
      <c r="W11" s="140"/>
      <c r="X11" s="140"/>
      <c r="Y11" s="140"/>
      <c r="Z11" s="140"/>
      <c r="AA11" s="140"/>
      <c r="AB11" s="140"/>
    </row>
    <row r="12">
      <c r="A12" s="133">
        <v>45877.0</v>
      </c>
      <c r="B12" s="134" t="s">
        <v>117</v>
      </c>
      <c r="C12" s="134" t="s">
        <v>6010</v>
      </c>
      <c r="D12" s="134" t="s">
        <v>5997</v>
      </c>
      <c r="E12" s="134" t="s">
        <v>6011</v>
      </c>
      <c r="F12" s="135">
        <v>1.0</v>
      </c>
      <c r="G12" s="136">
        <v>7.59</v>
      </c>
      <c r="H12" s="142"/>
      <c r="I12" s="136">
        <v>2.28</v>
      </c>
      <c r="J12" s="137">
        <v>5.31</v>
      </c>
      <c r="K12" s="137">
        <v>5.3100000000000005</v>
      </c>
      <c r="L12" s="134" t="s">
        <v>80</v>
      </c>
      <c r="M12" s="138" t="s">
        <v>93</v>
      </c>
      <c r="N12" s="129"/>
      <c r="O12" s="140"/>
      <c r="P12" s="140" t="s">
        <v>6012</v>
      </c>
      <c r="Q12" s="76" t="s">
        <v>22</v>
      </c>
      <c r="R12" s="140"/>
      <c r="S12" s="140"/>
      <c r="T12" s="140"/>
      <c r="U12" s="140"/>
      <c r="V12" s="140"/>
      <c r="W12" s="140"/>
      <c r="X12" s="140"/>
      <c r="Y12" s="140"/>
      <c r="Z12" s="140"/>
      <c r="AA12" s="140"/>
      <c r="AB12" s="140"/>
    </row>
    <row r="13">
      <c r="A13" s="133">
        <v>45877.0</v>
      </c>
      <c r="B13" s="134" t="s">
        <v>117</v>
      </c>
      <c r="C13" s="134" t="s">
        <v>6013</v>
      </c>
      <c r="D13" s="134" t="s">
        <v>5981</v>
      </c>
      <c r="E13" s="134" t="s">
        <v>6014</v>
      </c>
      <c r="F13" s="135">
        <v>1.0</v>
      </c>
      <c r="G13" s="136">
        <v>28.99</v>
      </c>
      <c r="H13" s="142"/>
      <c r="I13" s="136">
        <v>0.0</v>
      </c>
      <c r="J13" s="137">
        <v>28.99</v>
      </c>
      <c r="K13" s="137">
        <v>28.99</v>
      </c>
      <c r="L13" s="134" t="s">
        <v>80</v>
      </c>
      <c r="M13" s="138" t="s">
        <v>93</v>
      </c>
      <c r="N13" s="129"/>
      <c r="O13" s="140"/>
      <c r="P13" s="140" t="s">
        <v>6015</v>
      </c>
      <c r="Q13" s="76" t="s">
        <v>22</v>
      </c>
      <c r="R13" s="140"/>
      <c r="S13" s="140"/>
      <c r="T13" s="140"/>
      <c r="U13" s="140"/>
      <c r="V13" s="140"/>
      <c r="W13" s="140"/>
      <c r="X13" s="140"/>
      <c r="Y13" s="140"/>
      <c r="Z13" s="140"/>
      <c r="AA13" s="140"/>
      <c r="AB13" s="140"/>
    </row>
    <row r="14">
      <c r="A14" s="133">
        <v>45877.0</v>
      </c>
      <c r="B14" s="134" t="s">
        <v>117</v>
      </c>
      <c r="C14" s="134" t="s">
        <v>6016</v>
      </c>
      <c r="D14" s="134" t="s">
        <v>5993</v>
      </c>
      <c r="E14" s="134" t="s">
        <v>6017</v>
      </c>
      <c r="F14" s="135">
        <v>1.0</v>
      </c>
      <c r="G14" s="136">
        <v>36.99</v>
      </c>
      <c r="H14" s="142"/>
      <c r="I14" s="136">
        <v>0.0</v>
      </c>
      <c r="J14" s="137">
        <v>36.99</v>
      </c>
      <c r="K14" s="137">
        <v>36.99</v>
      </c>
      <c r="L14" s="134" t="s">
        <v>80</v>
      </c>
      <c r="M14" s="138" t="s">
        <v>93</v>
      </c>
      <c r="N14" s="129"/>
      <c r="O14" s="140"/>
      <c r="P14" s="140" t="s">
        <v>6018</v>
      </c>
      <c r="Q14" s="76" t="s">
        <v>22</v>
      </c>
      <c r="R14" s="140"/>
      <c r="S14" s="140"/>
      <c r="T14" s="140"/>
      <c r="U14" s="140"/>
      <c r="V14" s="140"/>
      <c r="W14" s="140"/>
      <c r="X14" s="140"/>
      <c r="Y14" s="140"/>
      <c r="Z14" s="140"/>
      <c r="AA14" s="140"/>
      <c r="AB14" s="140"/>
    </row>
    <row r="15">
      <c r="A15" s="133">
        <v>45877.0</v>
      </c>
      <c r="B15" s="134" t="s">
        <v>117</v>
      </c>
      <c r="C15" s="134" t="s">
        <v>6010</v>
      </c>
      <c r="D15" s="134" t="s">
        <v>5997</v>
      </c>
      <c r="E15" s="134" t="s">
        <v>6011</v>
      </c>
      <c r="F15" s="135">
        <v>1.0</v>
      </c>
      <c r="G15" s="136">
        <v>7.59</v>
      </c>
      <c r="H15" s="142"/>
      <c r="I15" s="136">
        <v>0.0</v>
      </c>
      <c r="J15" s="137">
        <v>7.59</v>
      </c>
      <c r="K15" s="137">
        <v>7.59</v>
      </c>
      <c r="L15" s="134" t="s">
        <v>80</v>
      </c>
      <c r="M15" s="138" t="s">
        <v>93</v>
      </c>
      <c r="N15" s="129"/>
      <c r="O15" s="140"/>
      <c r="P15" s="140" t="s">
        <v>6019</v>
      </c>
      <c r="Q15" s="76" t="s">
        <v>22</v>
      </c>
      <c r="R15" s="140"/>
      <c r="S15" s="140"/>
      <c r="T15" s="140"/>
      <c r="U15" s="140"/>
      <c r="V15" s="140"/>
      <c r="W15" s="140"/>
      <c r="X15" s="140"/>
      <c r="Y15" s="140"/>
      <c r="Z15" s="140"/>
      <c r="AA15" s="140"/>
      <c r="AB15" s="140"/>
    </row>
    <row r="16">
      <c r="A16" s="133">
        <v>45877.0</v>
      </c>
      <c r="B16" s="134" t="s">
        <v>117</v>
      </c>
      <c r="C16" s="134" t="s">
        <v>6020</v>
      </c>
      <c r="D16" s="134" t="s">
        <v>6021</v>
      </c>
      <c r="E16" s="134" t="s">
        <v>6022</v>
      </c>
      <c r="F16" s="135">
        <v>1.0</v>
      </c>
      <c r="G16" s="136">
        <v>9.99</v>
      </c>
      <c r="H16" s="142"/>
      <c r="I16" s="136">
        <v>0.0</v>
      </c>
      <c r="J16" s="137">
        <v>9.99</v>
      </c>
      <c r="K16" s="137">
        <v>9.99</v>
      </c>
      <c r="L16" s="134" t="s">
        <v>80</v>
      </c>
      <c r="M16" s="138" t="s">
        <v>93</v>
      </c>
      <c r="N16" s="129"/>
      <c r="O16" s="140"/>
      <c r="P16" s="140" t="s">
        <v>6023</v>
      </c>
      <c r="Q16" s="76" t="s">
        <v>22</v>
      </c>
      <c r="R16" s="140"/>
      <c r="S16" s="140"/>
      <c r="T16" s="140"/>
      <c r="U16" s="140"/>
      <c r="V16" s="140"/>
      <c r="W16" s="140"/>
      <c r="X16" s="140"/>
      <c r="Y16" s="140"/>
      <c r="Z16" s="140"/>
      <c r="AA16" s="140"/>
      <c r="AB16" s="140"/>
    </row>
    <row r="17">
      <c r="A17" s="133">
        <v>45877.0</v>
      </c>
      <c r="B17" s="134" t="s">
        <v>117</v>
      </c>
      <c r="C17" s="134" t="s">
        <v>5992</v>
      </c>
      <c r="D17" s="134" t="s">
        <v>5993</v>
      </c>
      <c r="E17" s="134" t="s">
        <v>6000</v>
      </c>
      <c r="F17" s="135">
        <v>1.0</v>
      </c>
      <c r="G17" s="136">
        <v>39.89</v>
      </c>
      <c r="H17" s="142"/>
      <c r="I17" s="136">
        <v>0.0</v>
      </c>
      <c r="J17" s="137">
        <v>39.89</v>
      </c>
      <c r="K17" s="137">
        <v>39.89</v>
      </c>
      <c r="L17" s="134" t="s">
        <v>80</v>
      </c>
      <c r="M17" s="138" t="s">
        <v>93</v>
      </c>
      <c r="N17" s="129"/>
      <c r="O17" s="140"/>
      <c r="P17" s="140" t="s">
        <v>6024</v>
      </c>
      <c r="Q17" s="76" t="s">
        <v>22</v>
      </c>
      <c r="R17" s="140"/>
      <c r="S17" s="140"/>
      <c r="T17" s="140"/>
      <c r="U17" s="140"/>
      <c r="V17" s="140"/>
      <c r="W17" s="140"/>
      <c r="X17" s="140"/>
      <c r="Y17" s="140"/>
      <c r="Z17" s="140"/>
      <c r="AA17" s="140"/>
      <c r="AB17" s="140"/>
    </row>
    <row r="18">
      <c r="A18" s="133">
        <v>45877.0</v>
      </c>
      <c r="B18" s="134" t="s">
        <v>117</v>
      </c>
      <c r="C18" s="134" t="s">
        <v>6025</v>
      </c>
      <c r="D18" s="134" t="s">
        <v>5997</v>
      </c>
      <c r="E18" s="134" t="s">
        <v>6026</v>
      </c>
      <c r="F18" s="135">
        <v>1.0</v>
      </c>
      <c r="G18" s="136">
        <v>6.63</v>
      </c>
      <c r="H18" s="142"/>
      <c r="I18" s="136">
        <v>0.0</v>
      </c>
      <c r="J18" s="137">
        <v>6.63</v>
      </c>
      <c r="K18" s="137">
        <v>6.63</v>
      </c>
      <c r="L18" s="134" t="s">
        <v>80</v>
      </c>
      <c r="M18" s="138" t="s">
        <v>93</v>
      </c>
      <c r="N18" s="129"/>
      <c r="O18" s="140"/>
      <c r="P18" s="140" t="s">
        <v>6027</v>
      </c>
      <c r="Q18" s="76" t="s">
        <v>22</v>
      </c>
      <c r="R18" s="140"/>
      <c r="S18" s="140"/>
      <c r="T18" s="140"/>
      <c r="U18" s="140"/>
      <c r="V18" s="140"/>
      <c r="W18" s="140"/>
      <c r="X18" s="140"/>
      <c r="Y18" s="140"/>
      <c r="Z18" s="140"/>
      <c r="AA18" s="140"/>
      <c r="AB18" s="140"/>
    </row>
    <row r="19">
      <c r="A19" s="133">
        <v>45877.0</v>
      </c>
      <c r="B19" s="134" t="s">
        <v>117</v>
      </c>
      <c r="C19" s="134" t="s">
        <v>6028</v>
      </c>
      <c r="D19" s="134" t="s">
        <v>6021</v>
      </c>
      <c r="E19" s="134" t="s">
        <v>6029</v>
      </c>
      <c r="F19" s="135">
        <v>1.0</v>
      </c>
      <c r="G19" s="136">
        <v>12.77</v>
      </c>
      <c r="H19" s="142"/>
      <c r="I19" s="142"/>
      <c r="J19" s="137">
        <v>12.77</v>
      </c>
      <c r="K19" s="137">
        <v>12.77</v>
      </c>
      <c r="L19" s="134" t="s">
        <v>80</v>
      </c>
      <c r="M19" s="138" t="s">
        <v>93</v>
      </c>
      <c r="N19" s="129"/>
      <c r="O19" s="140"/>
      <c r="P19" s="140" t="s">
        <v>6030</v>
      </c>
      <c r="Q19" s="76" t="s">
        <v>22</v>
      </c>
      <c r="R19" s="140"/>
      <c r="S19" s="140"/>
      <c r="T19" s="140"/>
      <c r="U19" s="140"/>
      <c r="V19" s="140"/>
      <c r="W19" s="140"/>
      <c r="X19" s="140"/>
      <c r="Y19" s="140"/>
      <c r="Z19" s="140"/>
      <c r="AA19" s="140"/>
      <c r="AB19" s="140"/>
    </row>
    <row r="20">
      <c r="A20" s="133">
        <v>45877.0</v>
      </c>
      <c r="B20" s="134" t="s">
        <v>117</v>
      </c>
      <c r="C20" s="134" t="s">
        <v>6031</v>
      </c>
      <c r="D20" s="134" t="s">
        <v>6032</v>
      </c>
      <c r="E20" s="134" t="s">
        <v>6033</v>
      </c>
      <c r="F20" s="135">
        <v>1.0</v>
      </c>
      <c r="G20" s="136">
        <v>22.79</v>
      </c>
      <c r="H20" s="142"/>
      <c r="I20" s="142"/>
      <c r="J20" s="137">
        <v>22.79</v>
      </c>
      <c r="K20" s="137">
        <v>22.79</v>
      </c>
      <c r="L20" s="134" t="s">
        <v>80</v>
      </c>
      <c r="M20" s="138" t="s">
        <v>93</v>
      </c>
      <c r="N20" s="129"/>
      <c r="O20" s="140"/>
      <c r="P20" s="140" t="s">
        <v>6034</v>
      </c>
      <c r="Q20" s="76" t="s">
        <v>22</v>
      </c>
      <c r="R20" s="140"/>
      <c r="S20" s="140"/>
      <c r="T20" s="140"/>
      <c r="U20" s="140"/>
      <c r="V20" s="140"/>
      <c r="W20" s="140"/>
      <c r="X20" s="140"/>
      <c r="Y20" s="140"/>
      <c r="Z20" s="140"/>
      <c r="AA20" s="140"/>
      <c r="AB20" s="140"/>
    </row>
    <row r="21">
      <c r="A21" s="133">
        <v>45877.0</v>
      </c>
      <c r="B21" s="134" t="s">
        <v>117</v>
      </c>
      <c r="C21" s="134" t="s">
        <v>6035</v>
      </c>
      <c r="D21" s="134" t="s">
        <v>5985</v>
      </c>
      <c r="E21" s="134" t="s">
        <v>6036</v>
      </c>
      <c r="F21" s="135">
        <v>1.0</v>
      </c>
      <c r="G21" s="136">
        <v>234.99</v>
      </c>
      <c r="H21" s="142"/>
      <c r="I21" s="142"/>
      <c r="J21" s="137">
        <v>234.99</v>
      </c>
      <c r="K21" s="137">
        <v>234.99</v>
      </c>
      <c r="L21" s="134" t="s">
        <v>80</v>
      </c>
      <c r="M21" s="138" t="s">
        <v>93</v>
      </c>
      <c r="N21" s="129"/>
      <c r="O21" s="140"/>
      <c r="P21" s="140" t="s">
        <v>6037</v>
      </c>
      <c r="Q21" s="76" t="s">
        <v>22</v>
      </c>
      <c r="R21" s="140"/>
      <c r="S21" s="140"/>
      <c r="T21" s="140"/>
      <c r="U21" s="140"/>
      <c r="V21" s="140"/>
      <c r="W21" s="140"/>
      <c r="X21" s="140"/>
      <c r="Y21" s="140"/>
      <c r="Z21" s="140"/>
      <c r="AA21" s="140"/>
      <c r="AB21" s="140"/>
    </row>
    <row r="22">
      <c r="A22" s="133">
        <v>45877.0</v>
      </c>
      <c r="B22" s="134" t="s">
        <v>117</v>
      </c>
      <c r="C22" s="134" t="s">
        <v>5992</v>
      </c>
      <c r="D22" s="134" t="s">
        <v>5993</v>
      </c>
      <c r="E22" s="134" t="s">
        <v>5994</v>
      </c>
      <c r="F22" s="135">
        <v>1.0</v>
      </c>
      <c r="G22" s="136">
        <v>28.99</v>
      </c>
      <c r="H22" s="142"/>
      <c r="I22" s="142"/>
      <c r="J22" s="137">
        <v>28.99</v>
      </c>
      <c r="K22" s="137">
        <v>28.99</v>
      </c>
      <c r="L22" s="134" t="s">
        <v>80</v>
      </c>
      <c r="M22" s="138" t="s">
        <v>93</v>
      </c>
      <c r="N22" s="129"/>
      <c r="O22" s="140"/>
      <c r="P22" s="140" t="s">
        <v>6038</v>
      </c>
      <c r="Q22" s="76" t="s">
        <v>22</v>
      </c>
      <c r="R22" s="140"/>
      <c r="S22" s="140"/>
      <c r="T22" s="140"/>
      <c r="U22" s="140"/>
      <c r="V22" s="140"/>
      <c r="W22" s="140"/>
      <c r="X22" s="140"/>
      <c r="Y22" s="140"/>
      <c r="Z22" s="140"/>
      <c r="AA22" s="140"/>
      <c r="AB22" s="140"/>
    </row>
    <row r="23">
      <c r="A23" s="133">
        <v>45879.0</v>
      </c>
      <c r="B23" s="134" t="s">
        <v>117</v>
      </c>
      <c r="C23" s="134" t="s">
        <v>6039</v>
      </c>
      <c r="D23" s="134" t="s">
        <v>5989</v>
      </c>
      <c r="E23" s="134" t="s">
        <v>6040</v>
      </c>
      <c r="F23" s="135">
        <v>1.0</v>
      </c>
      <c r="G23" s="136">
        <v>29.74</v>
      </c>
      <c r="H23" s="142"/>
      <c r="I23" s="142"/>
      <c r="J23" s="137">
        <v>29.74</v>
      </c>
      <c r="K23" s="137">
        <v>29.74</v>
      </c>
      <c r="L23" s="134" t="s">
        <v>80</v>
      </c>
      <c r="M23" s="138" t="s">
        <v>93</v>
      </c>
      <c r="N23" s="129"/>
      <c r="O23" s="140"/>
      <c r="P23" s="140" t="s">
        <v>6041</v>
      </c>
      <c r="Q23" s="76" t="s">
        <v>22</v>
      </c>
      <c r="R23" s="140"/>
      <c r="S23" s="140"/>
      <c r="T23" s="140"/>
      <c r="U23" s="140"/>
      <c r="V23" s="140"/>
      <c r="W23" s="140"/>
      <c r="X23" s="140"/>
      <c r="Y23" s="140"/>
      <c r="Z23" s="140"/>
      <c r="AA23" s="140"/>
      <c r="AB23" s="140"/>
    </row>
    <row r="24">
      <c r="A24" s="133">
        <v>45879.0</v>
      </c>
      <c r="B24" s="134" t="s">
        <v>117</v>
      </c>
      <c r="C24" s="134" t="s">
        <v>6042</v>
      </c>
      <c r="D24" s="134" t="s">
        <v>5989</v>
      </c>
      <c r="E24" s="134" t="s">
        <v>5990</v>
      </c>
      <c r="F24" s="135">
        <v>1.0</v>
      </c>
      <c r="G24" s="136">
        <v>79.99</v>
      </c>
      <c r="H24" s="142"/>
      <c r="I24" s="136">
        <v>30.0</v>
      </c>
      <c r="J24" s="137">
        <v>49.99</v>
      </c>
      <c r="K24" s="137">
        <v>49.989999999999995</v>
      </c>
      <c r="L24" s="134" t="s">
        <v>80</v>
      </c>
      <c r="M24" s="138" t="s">
        <v>93</v>
      </c>
      <c r="N24" s="129"/>
      <c r="O24" s="140"/>
      <c r="P24" s="140" t="s">
        <v>6043</v>
      </c>
      <c r="Q24" s="76" t="s">
        <v>22</v>
      </c>
      <c r="R24" s="140"/>
      <c r="S24" s="140"/>
      <c r="T24" s="140"/>
      <c r="U24" s="140"/>
      <c r="V24" s="140"/>
      <c r="W24" s="140"/>
      <c r="X24" s="140"/>
      <c r="Y24" s="140"/>
      <c r="Z24" s="140"/>
      <c r="AA24" s="140"/>
      <c r="AB24" s="140"/>
    </row>
    <row r="25">
      <c r="A25" s="133">
        <v>45881.0</v>
      </c>
      <c r="B25" s="134" t="s">
        <v>117</v>
      </c>
      <c r="C25" s="134" t="s">
        <v>6044</v>
      </c>
      <c r="D25" s="134" t="s">
        <v>5989</v>
      </c>
      <c r="E25" s="134" t="s">
        <v>6045</v>
      </c>
      <c r="F25" s="135">
        <v>1.0</v>
      </c>
      <c r="G25" s="136">
        <v>53.59</v>
      </c>
      <c r="H25" s="142"/>
      <c r="I25" s="142"/>
      <c r="J25" s="137">
        <v>53.59</v>
      </c>
      <c r="K25" s="137">
        <v>53.59</v>
      </c>
      <c r="L25" s="134" t="s">
        <v>80</v>
      </c>
      <c r="M25" s="138" t="s">
        <v>93</v>
      </c>
      <c r="N25" s="129"/>
      <c r="O25" s="140"/>
      <c r="P25" s="140" t="s">
        <v>6046</v>
      </c>
      <c r="Q25" s="76" t="s">
        <v>22</v>
      </c>
      <c r="R25" s="140"/>
      <c r="S25" s="140"/>
      <c r="T25" s="140"/>
      <c r="U25" s="140"/>
      <c r="V25" s="140"/>
      <c r="W25" s="140"/>
      <c r="X25" s="140"/>
      <c r="Y25" s="140"/>
      <c r="Z25" s="140"/>
      <c r="AA25" s="140"/>
      <c r="AB25" s="140"/>
    </row>
    <row r="26">
      <c r="A26" s="133">
        <v>45881.0</v>
      </c>
      <c r="B26" s="134" t="s">
        <v>117</v>
      </c>
      <c r="C26" s="134" t="s">
        <v>6031</v>
      </c>
      <c r="D26" s="134" t="s">
        <v>6032</v>
      </c>
      <c r="E26" s="134" t="s">
        <v>6033</v>
      </c>
      <c r="F26" s="135">
        <v>1.0</v>
      </c>
      <c r="G26" s="136">
        <v>22.79</v>
      </c>
      <c r="H26" s="142"/>
      <c r="I26" s="136">
        <v>2.28</v>
      </c>
      <c r="J26" s="137">
        <v>20.51</v>
      </c>
      <c r="K26" s="137">
        <v>20.509999999999998</v>
      </c>
      <c r="L26" s="134" t="s">
        <v>80</v>
      </c>
      <c r="M26" s="138" t="s">
        <v>93</v>
      </c>
      <c r="N26" s="129"/>
      <c r="O26" s="140"/>
      <c r="P26" s="140" t="s">
        <v>6047</v>
      </c>
      <c r="Q26" s="76" t="s">
        <v>22</v>
      </c>
      <c r="R26" s="140"/>
      <c r="S26" s="140"/>
      <c r="T26" s="140"/>
      <c r="U26" s="140"/>
      <c r="V26" s="140"/>
      <c r="W26" s="140"/>
      <c r="X26" s="140"/>
      <c r="Y26" s="140"/>
      <c r="Z26" s="140"/>
      <c r="AA26" s="140"/>
      <c r="AB26" s="140"/>
    </row>
    <row r="27">
      <c r="A27" s="133">
        <v>45884.0</v>
      </c>
      <c r="B27" s="134" t="s">
        <v>117</v>
      </c>
      <c r="C27" s="134" t="s">
        <v>6048</v>
      </c>
      <c r="D27" s="134" t="s">
        <v>6003</v>
      </c>
      <c r="E27" s="134" t="s">
        <v>6049</v>
      </c>
      <c r="F27" s="135">
        <v>1.0</v>
      </c>
      <c r="G27" s="136">
        <v>39.3</v>
      </c>
      <c r="H27" s="142"/>
      <c r="I27" s="136">
        <v>0.0</v>
      </c>
      <c r="J27" s="137">
        <v>39.3</v>
      </c>
      <c r="K27" s="137">
        <v>39.3</v>
      </c>
      <c r="L27" s="134" t="s">
        <v>80</v>
      </c>
      <c r="M27" s="138" t="s">
        <v>93</v>
      </c>
      <c r="N27" s="129"/>
      <c r="O27" s="140"/>
      <c r="P27" s="140" t="s">
        <v>6050</v>
      </c>
      <c r="Q27" s="76" t="s">
        <v>22</v>
      </c>
      <c r="R27" s="140"/>
      <c r="S27" s="140"/>
      <c r="T27" s="140"/>
      <c r="U27" s="140"/>
      <c r="V27" s="140"/>
      <c r="W27" s="140"/>
      <c r="X27" s="140"/>
      <c r="Y27" s="140"/>
      <c r="Z27" s="140"/>
      <c r="AA27" s="140"/>
      <c r="AB27" s="140"/>
    </row>
    <row r="28">
      <c r="A28" s="133">
        <v>45884.0</v>
      </c>
      <c r="B28" s="134" t="s">
        <v>117</v>
      </c>
      <c r="C28" s="134" t="s">
        <v>6051</v>
      </c>
      <c r="D28" s="134" t="s">
        <v>6003</v>
      </c>
      <c r="E28" s="134" t="s">
        <v>6052</v>
      </c>
      <c r="F28" s="135">
        <v>1.0</v>
      </c>
      <c r="G28" s="136">
        <v>7.99</v>
      </c>
      <c r="H28" s="142"/>
      <c r="I28" s="136">
        <v>0.0</v>
      </c>
      <c r="J28" s="137">
        <v>7.99</v>
      </c>
      <c r="K28" s="137">
        <v>7.99</v>
      </c>
      <c r="L28" s="134" t="s">
        <v>80</v>
      </c>
      <c r="M28" s="138" t="s">
        <v>93</v>
      </c>
      <c r="N28" s="129"/>
      <c r="O28" s="140"/>
      <c r="P28" s="140" t="s">
        <v>6053</v>
      </c>
      <c r="Q28" s="76" t="s">
        <v>22</v>
      </c>
      <c r="R28" s="140"/>
      <c r="S28" s="140"/>
      <c r="T28" s="140"/>
      <c r="U28" s="140"/>
      <c r="V28" s="140"/>
      <c r="W28" s="140"/>
      <c r="X28" s="140"/>
      <c r="Y28" s="140"/>
      <c r="Z28" s="140"/>
      <c r="AA28" s="140"/>
      <c r="AB28" s="140"/>
    </row>
    <row r="29">
      <c r="A29" s="133">
        <v>45884.0</v>
      </c>
      <c r="B29" s="134" t="s">
        <v>117</v>
      </c>
      <c r="C29" s="134" t="s">
        <v>6054</v>
      </c>
      <c r="D29" s="134" t="s">
        <v>5981</v>
      </c>
      <c r="E29" s="134" t="s">
        <v>6055</v>
      </c>
      <c r="F29" s="135">
        <v>1.0</v>
      </c>
      <c r="G29" s="136">
        <v>17.99</v>
      </c>
      <c r="H29" s="142"/>
      <c r="I29" s="136">
        <v>0.0</v>
      </c>
      <c r="J29" s="137">
        <v>17.99</v>
      </c>
      <c r="K29" s="137">
        <v>17.99</v>
      </c>
      <c r="L29" s="134" t="s">
        <v>80</v>
      </c>
      <c r="M29" s="138" t="s">
        <v>93</v>
      </c>
      <c r="N29" s="129"/>
      <c r="O29" s="140"/>
      <c r="P29" s="140" t="s">
        <v>6056</v>
      </c>
      <c r="Q29" s="76" t="s">
        <v>22</v>
      </c>
      <c r="R29" s="140"/>
      <c r="S29" s="140"/>
      <c r="T29" s="140"/>
      <c r="U29" s="140"/>
      <c r="V29" s="140"/>
      <c r="W29" s="140"/>
      <c r="X29" s="140"/>
      <c r="Y29" s="140"/>
      <c r="Z29" s="140"/>
      <c r="AA29" s="140"/>
      <c r="AB29" s="140"/>
    </row>
    <row r="30">
      <c r="A30" s="133">
        <v>45884.0</v>
      </c>
      <c r="B30" s="134" t="s">
        <v>117</v>
      </c>
      <c r="C30" s="134" t="s">
        <v>6057</v>
      </c>
      <c r="D30" s="134" t="s">
        <v>6058</v>
      </c>
      <c r="E30" s="134" t="s">
        <v>6059</v>
      </c>
      <c r="F30" s="135">
        <v>1.0</v>
      </c>
      <c r="G30" s="136">
        <v>11.89</v>
      </c>
      <c r="H30" s="142"/>
      <c r="I30" s="136">
        <v>0.0</v>
      </c>
      <c r="J30" s="137">
        <v>11.89</v>
      </c>
      <c r="K30" s="137">
        <v>11.89</v>
      </c>
      <c r="L30" s="134" t="s">
        <v>80</v>
      </c>
      <c r="M30" s="138" t="s">
        <v>93</v>
      </c>
      <c r="N30" s="129"/>
      <c r="O30" s="140"/>
      <c r="P30" s="140" t="s">
        <v>6060</v>
      </c>
      <c r="Q30" s="76" t="s">
        <v>22</v>
      </c>
      <c r="R30" s="140"/>
      <c r="S30" s="140"/>
      <c r="T30" s="140"/>
      <c r="U30" s="140"/>
      <c r="V30" s="140"/>
      <c r="W30" s="140"/>
      <c r="X30" s="140"/>
      <c r="Y30" s="140"/>
      <c r="Z30" s="140"/>
      <c r="AA30" s="140"/>
      <c r="AB30" s="140"/>
    </row>
    <row r="31">
      <c r="A31" s="133">
        <v>45886.0</v>
      </c>
      <c r="B31" s="134" t="s">
        <v>117</v>
      </c>
      <c r="C31" s="134" t="s">
        <v>6061</v>
      </c>
      <c r="D31" s="134" t="s">
        <v>6062</v>
      </c>
      <c r="E31" s="134" t="s">
        <v>6063</v>
      </c>
      <c r="F31" s="135">
        <v>1.0</v>
      </c>
      <c r="G31" s="136">
        <v>19.99</v>
      </c>
      <c r="H31" s="142"/>
      <c r="I31" s="136">
        <v>0.0</v>
      </c>
      <c r="J31" s="137">
        <v>19.99</v>
      </c>
      <c r="K31" s="137">
        <v>19.99</v>
      </c>
      <c r="L31" s="134" t="s">
        <v>80</v>
      </c>
      <c r="M31" s="138" t="s">
        <v>93</v>
      </c>
      <c r="N31" s="129"/>
      <c r="O31" s="140"/>
      <c r="P31" s="140" t="s">
        <v>6064</v>
      </c>
      <c r="Q31" s="76" t="s">
        <v>22</v>
      </c>
      <c r="R31" s="140"/>
      <c r="S31" s="140"/>
      <c r="T31" s="140"/>
      <c r="U31" s="140"/>
      <c r="V31" s="140"/>
      <c r="W31" s="140"/>
      <c r="X31" s="140"/>
      <c r="Y31" s="140"/>
      <c r="Z31" s="140"/>
      <c r="AA31" s="140"/>
      <c r="AB31" s="140"/>
    </row>
    <row r="32">
      <c r="A32" s="133">
        <v>45877.0</v>
      </c>
      <c r="B32" s="134" t="s">
        <v>117</v>
      </c>
      <c r="C32" s="134" t="s">
        <v>6065</v>
      </c>
      <c r="D32" s="134" t="s">
        <v>5981</v>
      </c>
      <c r="E32" s="134" t="s">
        <v>6066</v>
      </c>
      <c r="F32" s="135">
        <v>1.0</v>
      </c>
      <c r="G32" s="136">
        <v>26.79</v>
      </c>
      <c r="H32" s="142"/>
      <c r="I32" s="136">
        <v>0.0</v>
      </c>
      <c r="J32" s="137">
        <v>26.79</v>
      </c>
      <c r="K32" s="137">
        <v>26.79</v>
      </c>
      <c r="L32" s="134" t="s">
        <v>80</v>
      </c>
      <c r="M32" s="138" t="s">
        <v>93</v>
      </c>
      <c r="N32" s="129"/>
      <c r="O32" s="140"/>
      <c r="P32" s="140" t="s">
        <v>6067</v>
      </c>
      <c r="Q32" s="76" t="s">
        <v>22</v>
      </c>
      <c r="R32" s="140"/>
      <c r="S32" s="140"/>
      <c r="T32" s="140"/>
      <c r="U32" s="140"/>
      <c r="V32" s="140"/>
      <c r="W32" s="140"/>
      <c r="X32" s="140"/>
      <c r="Y32" s="140"/>
      <c r="Z32" s="140"/>
      <c r="AA32" s="140"/>
      <c r="AB32" s="140"/>
    </row>
    <row r="33">
      <c r="A33" s="133">
        <v>45881.0</v>
      </c>
      <c r="B33" s="134" t="s">
        <v>6068</v>
      </c>
      <c r="C33" s="134" t="s">
        <v>125</v>
      </c>
      <c r="D33" s="134" t="s">
        <v>6069</v>
      </c>
      <c r="E33" s="134" t="s">
        <v>6070</v>
      </c>
      <c r="F33" s="135">
        <v>9.0</v>
      </c>
      <c r="G33" s="136">
        <v>35.53</v>
      </c>
      <c r="H33" s="142"/>
      <c r="I33" s="136">
        <v>17.5</v>
      </c>
      <c r="J33" s="137">
        <v>2.0</v>
      </c>
      <c r="K33" s="137">
        <v>18.03</v>
      </c>
      <c r="L33" s="134" t="s">
        <v>508</v>
      </c>
      <c r="M33" s="138" t="s">
        <v>691</v>
      </c>
      <c r="N33" s="143" t="s">
        <v>6071</v>
      </c>
      <c r="O33" s="140"/>
      <c r="P33" s="140" t="s">
        <v>6072</v>
      </c>
      <c r="Q33" s="76" t="s">
        <v>22</v>
      </c>
      <c r="R33" s="140"/>
      <c r="S33" s="140"/>
      <c r="T33" s="140"/>
      <c r="U33" s="140"/>
      <c r="V33" s="140"/>
      <c r="W33" s="140"/>
      <c r="X33" s="140"/>
      <c r="Y33" s="140"/>
      <c r="Z33" s="140"/>
      <c r="AA33" s="140"/>
      <c r="AB33" s="140"/>
    </row>
    <row r="34">
      <c r="A34" s="133">
        <v>45884.0</v>
      </c>
      <c r="B34" s="134" t="s">
        <v>6068</v>
      </c>
      <c r="C34" s="134" t="s">
        <v>138</v>
      </c>
      <c r="D34" s="134" t="s">
        <v>6069</v>
      </c>
      <c r="E34" s="134" t="s">
        <v>6070</v>
      </c>
      <c r="F34" s="135">
        <v>20.0</v>
      </c>
      <c r="G34" s="136">
        <v>74.17</v>
      </c>
      <c r="H34" s="136"/>
      <c r="I34" s="136">
        <v>82.5</v>
      </c>
      <c r="J34" s="137">
        <v>-0.42</v>
      </c>
      <c r="K34" s="137">
        <v>-8.329999999999998</v>
      </c>
      <c r="L34" s="134" t="s">
        <v>80</v>
      </c>
      <c r="M34" s="138" t="s">
        <v>93</v>
      </c>
      <c r="N34" s="143" t="s">
        <v>6073</v>
      </c>
      <c r="O34" s="140"/>
      <c r="P34" s="140" t="s">
        <v>6074</v>
      </c>
      <c r="Q34" s="76" t="s">
        <v>22</v>
      </c>
      <c r="R34" s="140"/>
      <c r="S34" s="140"/>
      <c r="T34" s="140"/>
      <c r="U34" s="140"/>
      <c r="V34" s="140"/>
      <c r="W34" s="140"/>
      <c r="X34" s="140"/>
      <c r="Y34" s="140"/>
      <c r="Z34" s="140"/>
      <c r="AA34" s="140"/>
      <c r="AB34" s="140"/>
    </row>
    <row r="35">
      <c r="A35" s="133">
        <v>45902.0</v>
      </c>
      <c r="B35" s="134" t="s">
        <v>6068</v>
      </c>
      <c r="C35" s="134" t="s">
        <v>172</v>
      </c>
      <c r="D35" s="134" t="s">
        <v>6069</v>
      </c>
      <c r="E35" s="134" t="s">
        <v>6070</v>
      </c>
      <c r="F35" s="135">
        <v>12.0</v>
      </c>
      <c r="G35" s="136">
        <v>0.0</v>
      </c>
      <c r="H35" s="142"/>
      <c r="I35" s="136">
        <v>19.69</v>
      </c>
      <c r="J35" s="137">
        <v>-1.64</v>
      </c>
      <c r="K35" s="137">
        <v>-19.69</v>
      </c>
      <c r="L35" s="134" t="s">
        <v>80</v>
      </c>
      <c r="M35" s="138" t="s">
        <v>1152</v>
      </c>
      <c r="N35" s="143" t="s">
        <v>6075</v>
      </c>
      <c r="O35" s="140"/>
      <c r="P35" s="140" t="s">
        <v>6076</v>
      </c>
      <c r="Q35" s="76" t="s">
        <v>22</v>
      </c>
      <c r="R35" s="140"/>
      <c r="S35" s="140"/>
      <c r="T35" s="140"/>
      <c r="U35" s="140"/>
      <c r="V35" s="140"/>
      <c r="W35" s="140"/>
      <c r="X35" s="140"/>
      <c r="Y35" s="140"/>
      <c r="Z35" s="140"/>
      <c r="AA35" s="140"/>
      <c r="AB35" s="140"/>
    </row>
    <row r="36">
      <c r="A36" s="133">
        <v>45909.0</v>
      </c>
      <c r="B36" s="134" t="s">
        <v>6068</v>
      </c>
      <c r="C36" s="134" t="s">
        <v>252</v>
      </c>
      <c r="D36" s="134" t="s">
        <v>6069</v>
      </c>
      <c r="E36" s="134" t="s">
        <v>6070</v>
      </c>
      <c r="F36" s="135">
        <v>37.0</v>
      </c>
      <c r="G36" s="136">
        <v>35.0</v>
      </c>
      <c r="H36" s="142"/>
      <c r="I36" s="136">
        <v>0.0</v>
      </c>
      <c r="J36" s="137">
        <v>0.95</v>
      </c>
      <c r="K36" s="137">
        <v>35.0</v>
      </c>
      <c r="L36" s="134" t="s">
        <v>80</v>
      </c>
      <c r="M36" s="138" t="s">
        <v>1152</v>
      </c>
      <c r="N36" s="143" t="s">
        <v>6077</v>
      </c>
      <c r="O36" s="140"/>
      <c r="P36" s="140" t="s">
        <v>6078</v>
      </c>
      <c r="Q36" s="76" t="s">
        <v>22</v>
      </c>
      <c r="R36" s="140"/>
      <c r="S36" s="140"/>
      <c r="T36" s="140"/>
      <c r="U36" s="140"/>
      <c r="V36" s="140"/>
      <c r="W36" s="140"/>
      <c r="X36" s="140"/>
      <c r="Y36" s="140"/>
      <c r="Z36" s="140"/>
      <c r="AA36" s="140"/>
      <c r="AB36" s="140"/>
    </row>
    <row r="37">
      <c r="A37" s="133">
        <v>45909.0</v>
      </c>
      <c r="B37" s="134" t="s">
        <v>6068</v>
      </c>
      <c r="C37" s="134" t="s">
        <v>311</v>
      </c>
      <c r="D37" s="134" t="s">
        <v>6069</v>
      </c>
      <c r="E37" s="134" t="s">
        <v>6070</v>
      </c>
      <c r="F37" s="135">
        <v>15.0</v>
      </c>
      <c r="G37" s="136">
        <v>62.88</v>
      </c>
      <c r="H37" s="142"/>
      <c r="I37" s="136">
        <v>40.75</v>
      </c>
      <c r="J37" s="137">
        <v>1.48</v>
      </c>
      <c r="K37" s="137">
        <v>22.130000000000003</v>
      </c>
      <c r="L37" s="134" t="s">
        <v>80</v>
      </c>
      <c r="M37" s="138" t="s">
        <v>1152</v>
      </c>
      <c r="N37" s="143" t="s">
        <v>6079</v>
      </c>
      <c r="O37" s="140"/>
      <c r="P37" s="140" t="s">
        <v>6080</v>
      </c>
      <c r="Q37" s="76" t="s">
        <v>22</v>
      </c>
      <c r="R37" s="140"/>
      <c r="S37" s="140"/>
      <c r="T37" s="140"/>
      <c r="U37" s="140"/>
      <c r="V37" s="140"/>
      <c r="W37" s="140"/>
      <c r="X37" s="140"/>
      <c r="Y37" s="140"/>
      <c r="Z37" s="140"/>
      <c r="AA37" s="140"/>
      <c r="AB37" s="140"/>
    </row>
    <row r="38">
      <c r="A38" s="133">
        <v>45915.0</v>
      </c>
      <c r="B38" s="134" t="s">
        <v>6068</v>
      </c>
      <c r="C38" s="134" t="s">
        <v>138</v>
      </c>
      <c r="D38" s="134" t="s">
        <v>6069</v>
      </c>
      <c r="E38" s="134" t="s">
        <v>6070</v>
      </c>
      <c r="F38" s="135">
        <v>26.0</v>
      </c>
      <c r="G38" s="136">
        <v>74.8</v>
      </c>
      <c r="H38" s="142"/>
      <c r="I38" s="136">
        <v>0.0</v>
      </c>
      <c r="J38" s="137">
        <v>2.88</v>
      </c>
      <c r="K38" s="137">
        <v>74.8</v>
      </c>
      <c r="L38" s="134" t="s">
        <v>80</v>
      </c>
      <c r="M38" s="138" t="s">
        <v>93</v>
      </c>
      <c r="N38" s="143" t="s">
        <v>6081</v>
      </c>
      <c r="O38" s="140"/>
      <c r="P38" s="140" t="s">
        <v>6082</v>
      </c>
      <c r="Q38" s="76" t="s">
        <v>22</v>
      </c>
      <c r="R38" s="140"/>
      <c r="S38" s="140"/>
      <c r="T38" s="140"/>
      <c r="U38" s="140"/>
      <c r="V38" s="140"/>
      <c r="W38" s="140"/>
      <c r="X38" s="140"/>
      <c r="Y38" s="140"/>
      <c r="Z38" s="140"/>
      <c r="AA38" s="140"/>
      <c r="AB38" s="140"/>
    </row>
    <row r="39">
      <c r="A39" s="133">
        <v>45915.0</v>
      </c>
      <c r="B39" s="134" t="s">
        <v>6068</v>
      </c>
      <c r="C39" s="134" t="s">
        <v>369</v>
      </c>
      <c r="D39" s="134" t="s">
        <v>6069</v>
      </c>
      <c r="E39" s="134" t="s">
        <v>6070</v>
      </c>
      <c r="F39" s="135">
        <v>16.0</v>
      </c>
      <c r="G39" s="136">
        <v>0.0</v>
      </c>
      <c r="H39" s="142"/>
      <c r="I39" s="136">
        <v>0.0</v>
      </c>
      <c r="J39" s="137">
        <v>0.0</v>
      </c>
      <c r="K39" s="137">
        <v>0.0</v>
      </c>
      <c r="L39" s="134" t="s">
        <v>509</v>
      </c>
      <c r="M39" s="138" t="s">
        <v>1165</v>
      </c>
      <c r="N39" s="143" t="s">
        <v>6083</v>
      </c>
      <c r="O39" s="140"/>
      <c r="P39" s="140" t="s">
        <v>6084</v>
      </c>
      <c r="Q39" s="76" t="s">
        <v>22</v>
      </c>
      <c r="R39" s="140"/>
      <c r="S39" s="140"/>
      <c r="T39" s="140"/>
      <c r="U39" s="140"/>
      <c r="V39" s="140"/>
      <c r="W39" s="140"/>
      <c r="X39" s="140"/>
      <c r="Y39" s="140"/>
      <c r="Z39" s="140"/>
      <c r="AA39" s="140"/>
      <c r="AB39" s="140"/>
    </row>
    <row r="40">
      <c r="A40" s="133">
        <v>45920.0</v>
      </c>
      <c r="B40" s="134" t="s">
        <v>6068</v>
      </c>
      <c r="C40" s="134" t="s">
        <v>6085</v>
      </c>
      <c r="D40" s="134" t="s">
        <v>6069</v>
      </c>
      <c r="E40" s="134" t="s">
        <v>6086</v>
      </c>
      <c r="F40" s="135">
        <v>24.0</v>
      </c>
      <c r="G40" s="136">
        <v>0.0</v>
      </c>
      <c r="H40" s="142"/>
      <c r="I40" s="136">
        <v>0.0</v>
      </c>
      <c r="J40" s="137">
        <v>0.0</v>
      </c>
      <c r="K40" s="137">
        <v>0.0</v>
      </c>
      <c r="L40" s="134" t="s">
        <v>509</v>
      </c>
      <c r="M40" s="138" t="s">
        <v>1165</v>
      </c>
      <c r="N40" s="143" t="s">
        <v>6087</v>
      </c>
      <c r="O40" s="140"/>
      <c r="P40" s="140" t="s">
        <v>6088</v>
      </c>
      <c r="Q40" s="76" t="s">
        <v>22</v>
      </c>
      <c r="R40" s="140"/>
      <c r="S40" s="140"/>
      <c r="T40" s="140"/>
      <c r="U40" s="140"/>
      <c r="V40" s="140"/>
      <c r="W40" s="140"/>
      <c r="X40" s="140"/>
      <c r="Y40" s="140"/>
      <c r="Z40" s="140"/>
      <c r="AA40" s="140"/>
      <c r="AB40" s="140"/>
    </row>
    <row r="41">
      <c r="A41" s="133">
        <v>45922.0</v>
      </c>
      <c r="B41" s="134" t="s">
        <v>6068</v>
      </c>
      <c r="C41" s="134" t="s">
        <v>138</v>
      </c>
      <c r="D41" s="134" t="s">
        <v>6069</v>
      </c>
      <c r="E41" s="134" t="s">
        <v>6070</v>
      </c>
      <c r="F41" s="135">
        <v>38.0</v>
      </c>
      <c r="G41" s="136">
        <v>99.57</v>
      </c>
      <c r="H41" s="142"/>
      <c r="I41" s="136">
        <v>0.0</v>
      </c>
      <c r="J41" s="137">
        <v>2.62</v>
      </c>
      <c r="K41" s="137">
        <v>99.57</v>
      </c>
      <c r="L41" s="134" t="s">
        <v>509</v>
      </c>
      <c r="M41" s="138" t="s">
        <v>1165</v>
      </c>
      <c r="N41" s="143" t="s">
        <v>6089</v>
      </c>
      <c r="O41" s="140"/>
      <c r="P41" s="140" t="s">
        <v>6090</v>
      </c>
      <c r="Q41" s="76" t="s">
        <v>22</v>
      </c>
      <c r="R41" s="140"/>
      <c r="S41" s="140"/>
      <c r="T41" s="140"/>
      <c r="U41" s="140"/>
      <c r="V41" s="140"/>
      <c r="W41" s="140"/>
      <c r="X41" s="140"/>
      <c r="Y41" s="140"/>
      <c r="Z41" s="140"/>
      <c r="AA41" s="140"/>
      <c r="AB41" s="140"/>
    </row>
    <row r="42">
      <c r="A42" s="133">
        <v>45929.0</v>
      </c>
      <c r="B42" s="134" t="s">
        <v>6091</v>
      </c>
      <c r="C42" s="134" t="s">
        <v>46</v>
      </c>
      <c r="D42" s="134" t="s">
        <v>6092</v>
      </c>
      <c r="E42" s="134" t="s">
        <v>6093</v>
      </c>
      <c r="F42" s="135">
        <v>3.0</v>
      </c>
      <c r="G42" s="136">
        <v>54.0</v>
      </c>
      <c r="H42" s="136">
        <v>0.0</v>
      </c>
      <c r="I42" s="136">
        <v>0.0</v>
      </c>
      <c r="J42" s="137">
        <v>18.0</v>
      </c>
      <c r="K42" s="137">
        <v>54.0</v>
      </c>
      <c r="L42" s="134" t="s">
        <v>1171</v>
      </c>
      <c r="M42" s="138" t="s">
        <v>691</v>
      </c>
      <c r="N42" s="144" t="s">
        <v>6094</v>
      </c>
      <c r="O42" s="140"/>
      <c r="P42" s="140" t="s">
        <v>6095</v>
      </c>
      <c r="Q42" s="76" t="s">
        <v>22</v>
      </c>
      <c r="R42" s="140"/>
      <c r="S42" s="140"/>
      <c r="T42" s="140"/>
      <c r="U42" s="140"/>
      <c r="V42" s="140"/>
      <c r="W42" s="140"/>
      <c r="X42" s="140"/>
      <c r="Y42" s="140"/>
      <c r="Z42" s="140"/>
      <c r="AA42" s="140"/>
      <c r="AB42" s="140"/>
    </row>
    <row r="43">
      <c r="A43" s="133">
        <v>45929.0</v>
      </c>
      <c r="B43" s="134" t="s">
        <v>6068</v>
      </c>
      <c r="C43" s="134" t="s">
        <v>172</v>
      </c>
      <c r="D43" s="134" t="s">
        <v>6069</v>
      </c>
      <c r="E43" s="134" t="s">
        <v>6070</v>
      </c>
      <c r="F43" s="135">
        <v>15.0</v>
      </c>
      <c r="G43" s="136">
        <v>10.66</v>
      </c>
      <c r="H43" s="142"/>
      <c r="I43" s="136">
        <v>9.34</v>
      </c>
      <c r="J43" s="137">
        <v>0.09</v>
      </c>
      <c r="K43" s="137">
        <v>1.3200000000000003</v>
      </c>
      <c r="L43" s="134" t="s">
        <v>509</v>
      </c>
      <c r="M43" s="138" t="s">
        <v>1165</v>
      </c>
      <c r="N43" s="143" t="s">
        <v>6096</v>
      </c>
      <c r="O43" s="140"/>
      <c r="P43" s="140" t="s">
        <v>6097</v>
      </c>
      <c r="Q43" s="76" t="s">
        <v>22</v>
      </c>
      <c r="R43" s="140"/>
      <c r="S43" s="140"/>
      <c r="T43" s="140"/>
      <c r="U43" s="140"/>
      <c r="V43" s="140"/>
      <c r="W43" s="140"/>
      <c r="X43" s="140"/>
      <c r="Y43" s="140"/>
      <c r="Z43" s="140"/>
      <c r="AA43" s="140"/>
      <c r="AB43" s="140"/>
    </row>
    <row r="44">
      <c r="A44" s="133">
        <v>45929.0</v>
      </c>
      <c r="B44" s="134" t="s">
        <v>6068</v>
      </c>
      <c r="C44" s="134" t="s">
        <v>6098</v>
      </c>
      <c r="D44" s="134" t="s">
        <v>6069</v>
      </c>
      <c r="E44" s="134" t="s">
        <v>6099</v>
      </c>
      <c r="F44" s="135">
        <v>15.0</v>
      </c>
      <c r="G44" s="136">
        <v>0.0</v>
      </c>
      <c r="H44" s="142"/>
      <c r="I44" s="136">
        <v>0.0</v>
      </c>
      <c r="J44" s="137">
        <v>0.0</v>
      </c>
      <c r="K44" s="137">
        <v>0.0</v>
      </c>
      <c r="L44" s="134" t="s">
        <v>509</v>
      </c>
      <c r="M44" s="138" t="s">
        <v>1165</v>
      </c>
      <c r="N44" s="143" t="s">
        <v>6100</v>
      </c>
      <c r="O44" s="140"/>
      <c r="P44" s="140" t="s">
        <v>6101</v>
      </c>
      <c r="Q44" s="76" t="s">
        <v>22</v>
      </c>
      <c r="R44" s="140"/>
      <c r="S44" s="140"/>
      <c r="T44" s="140"/>
      <c r="U44" s="140"/>
      <c r="V44" s="140"/>
      <c r="W44" s="140"/>
      <c r="X44" s="140"/>
      <c r="Y44" s="140"/>
      <c r="Z44" s="140"/>
      <c r="AA44" s="140"/>
      <c r="AB44" s="140"/>
    </row>
    <row r="45">
      <c r="A45" s="133">
        <v>45930.0</v>
      </c>
      <c r="B45" s="134" t="s">
        <v>6091</v>
      </c>
      <c r="C45" s="134" t="s">
        <v>6102</v>
      </c>
      <c r="D45" s="134" t="s">
        <v>6092</v>
      </c>
      <c r="E45" s="134" t="s">
        <v>6093</v>
      </c>
      <c r="F45" s="135">
        <v>4.0</v>
      </c>
      <c r="G45" s="136">
        <v>72.0</v>
      </c>
      <c r="H45" s="136">
        <v>0.0</v>
      </c>
      <c r="I45" s="136">
        <v>0.0</v>
      </c>
      <c r="J45" s="137">
        <v>18.0</v>
      </c>
      <c r="K45" s="137">
        <v>72.0</v>
      </c>
      <c r="L45" s="134" t="s">
        <v>1171</v>
      </c>
      <c r="M45" s="138" t="s">
        <v>691</v>
      </c>
      <c r="N45" s="144" t="s">
        <v>6103</v>
      </c>
      <c r="O45" s="140"/>
      <c r="P45" s="140" t="s">
        <v>6104</v>
      </c>
      <c r="Q45" s="76" t="s">
        <v>22</v>
      </c>
      <c r="R45" s="140"/>
      <c r="S45" s="140"/>
      <c r="T45" s="140"/>
      <c r="U45" s="140"/>
      <c r="V45" s="140"/>
      <c r="W45" s="140"/>
      <c r="X45" s="140"/>
      <c r="Y45" s="140"/>
      <c r="Z45" s="140"/>
      <c r="AA45" s="140"/>
      <c r="AB45" s="140"/>
    </row>
    <row r="46">
      <c r="A46" s="133">
        <v>45931.0</v>
      </c>
      <c r="B46" s="134" t="s">
        <v>6068</v>
      </c>
      <c r="C46" s="134" t="s">
        <v>6105</v>
      </c>
      <c r="D46" s="134" t="s">
        <v>6069</v>
      </c>
      <c r="E46" s="134" t="s">
        <v>6106</v>
      </c>
      <c r="F46" s="135">
        <v>38.0</v>
      </c>
      <c r="G46" s="136">
        <v>11.5</v>
      </c>
      <c r="H46" s="142"/>
      <c r="I46" s="136">
        <v>0.0</v>
      </c>
      <c r="J46" s="137">
        <v>0.3</v>
      </c>
      <c r="K46" s="137">
        <v>11.5</v>
      </c>
      <c r="L46" s="134" t="s">
        <v>509</v>
      </c>
      <c r="M46" s="138" t="s">
        <v>1165</v>
      </c>
      <c r="N46" s="143" t="s">
        <v>6107</v>
      </c>
      <c r="O46" s="140"/>
      <c r="P46" s="140" t="s">
        <v>6108</v>
      </c>
      <c r="Q46" s="76" t="s">
        <v>22</v>
      </c>
      <c r="R46" s="140"/>
      <c r="S46" s="140"/>
      <c r="T46" s="140"/>
      <c r="U46" s="140"/>
      <c r="V46" s="140"/>
      <c r="W46" s="140"/>
      <c r="X46" s="140"/>
      <c r="Y46" s="140"/>
      <c r="Z46" s="140"/>
      <c r="AA46" s="140"/>
      <c r="AB46" s="140"/>
    </row>
    <row r="47">
      <c r="A47" s="133">
        <v>45932.0</v>
      </c>
      <c r="B47" s="134" t="s">
        <v>6091</v>
      </c>
      <c r="C47" s="134" t="s">
        <v>46</v>
      </c>
      <c r="D47" s="134" t="s">
        <v>6092</v>
      </c>
      <c r="E47" s="134" t="s">
        <v>6093</v>
      </c>
      <c r="F47" s="135">
        <v>4.0</v>
      </c>
      <c r="G47" s="136">
        <v>72.0</v>
      </c>
      <c r="H47" s="136">
        <v>0.0</v>
      </c>
      <c r="I47" s="136">
        <v>0.0</v>
      </c>
      <c r="J47" s="137">
        <v>18.0</v>
      </c>
      <c r="K47" s="137">
        <v>72.0</v>
      </c>
      <c r="L47" s="134" t="s">
        <v>1171</v>
      </c>
      <c r="M47" s="138" t="s">
        <v>691</v>
      </c>
      <c r="N47" s="144" t="s">
        <v>6109</v>
      </c>
      <c r="O47" s="140"/>
      <c r="P47" s="140" t="s">
        <v>6110</v>
      </c>
      <c r="Q47" s="76" t="s">
        <v>22</v>
      </c>
      <c r="R47" s="140"/>
      <c r="S47" s="140"/>
      <c r="T47" s="140"/>
      <c r="U47" s="140"/>
      <c r="V47" s="140"/>
      <c r="W47" s="140"/>
      <c r="X47" s="140"/>
      <c r="Y47" s="140"/>
      <c r="Z47" s="140"/>
      <c r="AA47" s="140"/>
      <c r="AB47" s="140"/>
    </row>
    <row r="48">
      <c r="A48" s="133">
        <v>45932.0</v>
      </c>
      <c r="B48" s="134" t="s">
        <v>6068</v>
      </c>
      <c r="C48" s="134" t="s">
        <v>6111</v>
      </c>
      <c r="D48" s="134" t="s">
        <v>6069</v>
      </c>
      <c r="E48" s="134" t="s">
        <v>6112</v>
      </c>
      <c r="F48" s="135">
        <v>10.0</v>
      </c>
      <c r="G48" s="136">
        <v>0.0</v>
      </c>
      <c r="H48" s="142"/>
      <c r="I48" s="136">
        <v>0.0</v>
      </c>
      <c r="J48" s="137">
        <v>0.0</v>
      </c>
      <c r="K48" s="137">
        <v>0.0</v>
      </c>
      <c r="L48" s="134" t="s">
        <v>509</v>
      </c>
      <c r="M48" s="138" t="s">
        <v>1165</v>
      </c>
      <c r="N48" s="143" t="s">
        <v>6113</v>
      </c>
      <c r="O48" s="140"/>
      <c r="P48" s="140" t="s">
        <v>6114</v>
      </c>
      <c r="Q48" s="76" t="s">
        <v>22</v>
      </c>
      <c r="R48" s="140"/>
      <c r="S48" s="140"/>
      <c r="T48" s="140"/>
      <c r="U48" s="140"/>
      <c r="V48" s="140"/>
      <c r="W48" s="140"/>
      <c r="X48" s="140"/>
      <c r="Y48" s="140"/>
      <c r="Z48" s="140"/>
      <c r="AA48" s="140"/>
      <c r="AB48" s="140"/>
    </row>
    <row r="49">
      <c r="A49" s="133">
        <v>45934.0</v>
      </c>
      <c r="B49" s="134" t="s">
        <v>6091</v>
      </c>
      <c r="C49" s="134" t="s">
        <v>6102</v>
      </c>
      <c r="D49" s="134" t="s">
        <v>6092</v>
      </c>
      <c r="E49" s="134" t="s">
        <v>6093</v>
      </c>
      <c r="F49" s="135">
        <v>4.62</v>
      </c>
      <c r="G49" s="136">
        <v>83.1</v>
      </c>
      <c r="H49" s="142"/>
      <c r="I49" s="136">
        <v>0.0</v>
      </c>
      <c r="J49" s="137">
        <v>17.99</v>
      </c>
      <c r="K49" s="137">
        <v>83.1</v>
      </c>
      <c r="L49" s="134" t="s">
        <v>1171</v>
      </c>
      <c r="M49" s="138" t="s">
        <v>691</v>
      </c>
      <c r="N49" s="144" t="s">
        <v>6115</v>
      </c>
      <c r="O49" s="140"/>
      <c r="P49" s="140" t="s">
        <v>6116</v>
      </c>
      <c r="Q49" s="76" t="s">
        <v>22</v>
      </c>
      <c r="R49" s="140"/>
      <c r="S49" s="140"/>
      <c r="T49" s="140"/>
      <c r="U49" s="140"/>
      <c r="V49" s="140"/>
      <c r="W49" s="140"/>
      <c r="X49" s="140"/>
      <c r="Y49" s="140"/>
      <c r="Z49" s="140"/>
      <c r="AA49" s="140"/>
      <c r="AB49" s="140"/>
    </row>
    <row r="50">
      <c r="A50" s="133">
        <v>45936.0</v>
      </c>
      <c r="B50" s="134" t="s">
        <v>6068</v>
      </c>
      <c r="C50" s="134" t="s">
        <v>172</v>
      </c>
      <c r="D50" s="134" t="s">
        <v>6069</v>
      </c>
      <c r="E50" s="134" t="s">
        <v>6070</v>
      </c>
      <c r="F50" s="135">
        <v>6.0</v>
      </c>
      <c r="G50" s="136">
        <v>5.52</v>
      </c>
      <c r="H50" s="142"/>
      <c r="I50" s="136">
        <v>9.34</v>
      </c>
      <c r="J50" s="137">
        <v>-0.64</v>
      </c>
      <c r="K50" s="137">
        <v>-3.8200000000000003</v>
      </c>
      <c r="L50" s="134" t="s">
        <v>509</v>
      </c>
      <c r="M50" s="138" t="s">
        <v>1165</v>
      </c>
      <c r="N50" s="143" t="s">
        <v>6117</v>
      </c>
      <c r="O50" s="140"/>
      <c r="P50" s="140" t="s">
        <v>6118</v>
      </c>
      <c r="Q50" s="76" t="s">
        <v>22</v>
      </c>
      <c r="R50" s="140"/>
      <c r="S50" s="140"/>
      <c r="T50" s="140"/>
      <c r="U50" s="140"/>
      <c r="V50" s="140"/>
      <c r="W50" s="140"/>
      <c r="X50" s="140"/>
      <c r="Y50" s="140"/>
      <c r="Z50" s="140"/>
      <c r="AA50" s="140"/>
      <c r="AB50" s="140"/>
    </row>
    <row r="51">
      <c r="A51" s="133">
        <v>45937.0</v>
      </c>
      <c r="B51" s="134" t="s">
        <v>6091</v>
      </c>
      <c r="C51" s="134" t="s">
        <v>6102</v>
      </c>
      <c r="D51" s="134" t="s">
        <v>6092</v>
      </c>
      <c r="E51" s="134" t="s">
        <v>6093</v>
      </c>
      <c r="F51" s="135">
        <v>3.82</v>
      </c>
      <c r="G51" s="136">
        <v>68.7</v>
      </c>
      <c r="H51" s="142"/>
      <c r="I51" s="136">
        <v>0.0</v>
      </c>
      <c r="J51" s="137">
        <v>17.98</v>
      </c>
      <c r="K51" s="137">
        <v>68.7</v>
      </c>
      <c r="L51" s="134" t="s">
        <v>1171</v>
      </c>
      <c r="M51" s="138" t="s">
        <v>691</v>
      </c>
      <c r="N51" s="144" t="s">
        <v>6119</v>
      </c>
      <c r="O51" s="140"/>
      <c r="P51" s="140" t="s">
        <v>6120</v>
      </c>
      <c r="Q51" s="76" t="s">
        <v>22</v>
      </c>
      <c r="R51" s="140"/>
      <c r="S51" s="140"/>
      <c r="T51" s="140"/>
      <c r="U51" s="140"/>
      <c r="V51" s="140"/>
      <c r="W51" s="140"/>
      <c r="X51" s="140"/>
      <c r="Y51" s="140"/>
      <c r="Z51" s="140"/>
      <c r="AA51" s="140"/>
      <c r="AB51" s="140"/>
    </row>
    <row r="52">
      <c r="A52" s="133">
        <v>45939.0</v>
      </c>
      <c r="B52" s="134" t="s">
        <v>6091</v>
      </c>
      <c r="C52" s="134" t="s">
        <v>6102</v>
      </c>
      <c r="D52" s="134" t="s">
        <v>6092</v>
      </c>
      <c r="E52" s="134" t="s">
        <v>6093</v>
      </c>
      <c r="F52" s="135">
        <v>4.13</v>
      </c>
      <c r="G52" s="136">
        <v>74.4</v>
      </c>
      <c r="H52" s="142"/>
      <c r="I52" s="136">
        <v>0.0</v>
      </c>
      <c r="J52" s="137">
        <v>18.01</v>
      </c>
      <c r="K52" s="137">
        <v>74.4</v>
      </c>
      <c r="L52" s="134" t="s">
        <v>1171</v>
      </c>
      <c r="M52" s="138" t="s">
        <v>691</v>
      </c>
      <c r="N52" s="144" t="s">
        <v>6121</v>
      </c>
      <c r="O52" s="140"/>
      <c r="P52" s="140" t="s">
        <v>6122</v>
      </c>
      <c r="Q52" s="76" t="s">
        <v>22</v>
      </c>
      <c r="R52" s="140"/>
      <c r="S52" s="140"/>
      <c r="T52" s="140"/>
      <c r="U52" s="140"/>
      <c r="V52" s="140"/>
      <c r="W52" s="140"/>
      <c r="X52" s="140"/>
      <c r="Y52" s="140"/>
      <c r="Z52" s="140"/>
      <c r="AA52" s="140"/>
      <c r="AB52" s="140"/>
    </row>
    <row r="53">
      <c r="A53" s="133">
        <v>45940.0</v>
      </c>
      <c r="B53" s="134" t="s">
        <v>6091</v>
      </c>
      <c r="C53" s="134" t="s">
        <v>46</v>
      </c>
      <c r="D53" s="134" t="s">
        <v>6092</v>
      </c>
      <c r="E53" s="134" t="s">
        <v>6093</v>
      </c>
      <c r="F53" s="135">
        <v>4.12</v>
      </c>
      <c r="G53" s="136">
        <v>74.1</v>
      </c>
      <c r="H53" s="142"/>
      <c r="I53" s="136">
        <v>0.0</v>
      </c>
      <c r="J53" s="137">
        <v>17.99</v>
      </c>
      <c r="K53" s="137">
        <v>74.1</v>
      </c>
      <c r="L53" s="134" t="s">
        <v>1171</v>
      </c>
      <c r="M53" s="138" t="s">
        <v>691</v>
      </c>
      <c r="N53" s="144" t="s">
        <v>6123</v>
      </c>
      <c r="O53" s="135" t="s">
        <v>6124</v>
      </c>
      <c r="P53" s="140" t="s">
        <v>6125</v>
      </c>
      <c r="Q53" s="76" t="s">
        <v>22</v>
      </c>
      <c r="R53" s="140"/>
      <c r="S53" s="140"/>
      <c r="T53" s="140"/>
      <c r="U53" s="140"/>
      <c r="V53" s="140"/>
      <c r="W53" s="140"/>
      <c r="X53" s="140"/>
      <c r="Y53" s="140"/>
      <c r="Z53" s="140"/>
      <c r="AA53" s="140"/>
      <c r="AB53" s="140"/>
    </row>
    <row r="54">
      <c r="A54" s="145"/>
      <c r="B54" s="134" t="s">
        <v>6068</v>
      </c>
      <c r="C54" s="134" t="s">
        <v>6126</v>
      </c>
      <c r="D54" s="134" t="s">
        <v>6069</v>
      </c>
      <c r="E54" s="134" t="s">
        <v>6070</v>
      </c>
      <c r="F54" s="135">
        <v>45.0</v>
      </c>
      <c r="G54" s="142"/>
      <c r="H54" s="142"/>
      <c r="I54" s="142"/>
      <c r="J54" s="137">
        <v>0.0</v>
      </c>
      <c r="K54" s="137" t="s">
        <v>39</v>
      </c>
      <c r="L54" s="134" t="s">
        <v>509</v>
      </c>
      <c r="M54" s="138" t="s">
        <v>1165</v>
      </c>
      <c r="N54" s="143" t="s">
        <v>6127</v>
      </c>
      <c r="O54" s="140"/>
      <c r="P54" s="140" t="s">
        <v>6128</v>
      </c>
      <c r="Q54" s="76" t="s">
        <v>22</v>
      </c>
      <c r="R54" s="140"/>
      <c r="S54" s="140"/>
      <c r="T54" s="140"/>
      <c r="U54" s="140"/>
      <c r="V54" s="140"/>
      <c r="W54" s="140"/>
      <c r="X54" s="140"/>
      <c r="Y54" s="140"/>
      <c r="Z54" s="140"/>
      <c r="AA54" s="140"/>
      <c r="AB54" s="140"/>
    </row>
    <row r="55">
      <c r="A55" s="133">
        <v>45886.0</v>
      </c>
      <c r="B55" s="134" t="s">
        <v>117</v>
      </c>
      <c r="C55" s="134" t="s">
        <v>6129</v>
      </c>
      <c r="D55" s="134" t="s">
        <v>6130</v>
      </c>
      <c r="E55" s="134" t="s">
        <v>6131</v>
      </c>
      <c r="F55" s="135">
        <v>1.0</v>
      </c>
      <c r="G55" s="136">
        <v>24.99</v>
      </c>
      <c r="H55" s="142"/>
      <c r="I55" s="136">
        <v>0.0</v>
      </c>
      <c r="J55" s="137">
        <v>24.99</v>
      </c>
      <c r="K55" s="137">
        <v>24.99</v>
      </c>
      <c r="L55" s="134" t="s">
        <v>80</v>
      </c>
      <c r="M55" s="138" t="s">
        <v>93</v>
      </c>
      <c r="N55" s="129"/>
      <c r="O55" s="140"/>
      <c r="P55" s="140" t="s">
        <v>6132</v>
      </c>
      <c r="Q55" s="76" t="s">
        <v>22</v>
      </c>
      <c r="R55" s="140"/>
      <c r="S55" s="140"/>
      <c r="T55" s="140"/>
      <c r="U55" s="140"/>
      <c r="V55" s="140"/>
      <c r="W55" s="140"/>
      <c r="X55" s="140"/>
      <c r="Y55" s="140"/>
      <c r="Z55" s="140"/>
      <c r="AA55" s="140"/>
      <c r="AB55" s="140"/>
    </row>
    <row r="56">
      <c r="A56" s="133">
        <v>45886.0</v>
      </c>
      <c r="B56" s="134" t="s">
        <v>117</v>
      </c>
      <c r="C56" s="134" t="s">
        <v>6133</v>
      </c>
      <c r="D56" s="134" t="s">
        <v>6032</v>
      </c>
      <c r="E56" s="134" t="s">
        <v>6134</v>
      </c>
      <c r="F56" s="135">
        <v>1.0</v>
      </c>
      <c r="G56" s="136">
        <v>44.99</v>
      </c>
      <c r="H56" s="142"/>
      <c r="I56" s="136">
        <v>0.0</v>
      </c>
      <c r="J56" s="137">
        <v>44.99</v>
      </c>
      <c r="K56" s="137">
        <v>44.99</v>
      </c>
      <c r="L56" s="134" t="s">
        <v>80</v>
      </c>
      <c r="M56" s="138" t="s">
        <v>93</v>
      </c>
      <c r="N56" s="129"/>
      <c r="O56" s="140"/>
      <c r="P56" s="140" t="s">
        <v>6135</v>
      </c>
      <c r="Q56" s="76" t="s">
        <v>22</v>
      </c>
      <c r="R56" s="140"/>
      <c r="S56" s="140"/>
      <c r="T56" s="140"/>
      <c r="U56" s="140"/>
      <c r="V56" s="140"/>
      <c r="W56" s="140"/>
      <c r="X56" s="140"/>
      <c r="Y56" s="140"/>
      <c r="Z56" s="140"/>
      <c r="AA56" s="140"/>
      <c r="AB56" s="140"/>
    </row>
    <row r="57">
      <c r="A57" s="133">
        <v>45888.0</v>
      </c>
      <c r="B57" s="134" t="s">
        <v>117</v>
      </c>
      <c r="C57" s="134" t="s">
        <v>6136</v>
      </c>
      <c r="D57" s="134" t="s">
        <v>6137</v>
      </c>
      <c r="E57" s="134" t="s">
        <v>6138</v>
      </c>
      <c r="F57" s="135">
        <v>1.0</v>
      </c>
      <c r="G57" s="136">
        <v>12.98</v>
      </c>
      <c r="H57" s="142"/>
      <c r="I57" s="136">
        <v>0.0</v>
      </c>
      <c r="J57" s="137">
        <v>12.98</v>
      </c>
      <c r="K57" s="137">
        <v>12.98</v>
      </c>
      <c r="L57" s="134" t="s">
        <v>80</v>
      </c>
      <c r="M57" s="138" t="s">
        <v>93</v>
      </c>
      <c r="N57" s="129"/>
      <c r="O57" s="140"/>
      <c r="P57" s="140" t="s">
        <v>6139</v>
      </c>
      <c r="Q57" s="76" t="s">
        <v>22</v>
      </c>
      <c r="R57" s="140"/>
      <c r="S57" s="140"/>
      <c r="T57" s="140"/>
      <c r="U57" s="140"/>
      <c r="V57" s="140"/>
      <c r="W57" s="140"/>
      <c r="X57" s="140"/>
      <c r="Y57" s="140"/>
      <c r="Z57" s="140"/>
      <c r="AA57" s="140"/>
      <c r="AB57" s="140"/>
    </row>
    <row r="58">
      <c r="A58" s="133">
        <v>45890.0</v>
      </c>
      <c r="B58" s="134" t="s">
        <v>117</v>
      </c>
      <c r="C58" s="134" t="s">
        <v>6140</v>
      </c>
      <c r="D58" s="134" t="s">
        <v>6062</v>
      </c>
      <c r="E58" s="134" t="s">
        <v>6141</v>
      </c>
      <c r="F58" s="135">
        <v>1.0</v>
      </c>
      <c r="G58" s="136">
        <v>27.33</v>
      </c>
      <c r="H58" s="142"/>
      <c r="I58" s="142"/>
      <c r="J58" s="137">
        <v>27.33</v>
      </c>
      <c r="K58" s="137">
        <v>27.33</v>
      </c>
      <c r="L58" s="134" t="s">
        <v>80</v>
      </c>
      <c r="M58" s="138" t="s">
        <v>93</v>
      </c>
      <c r="N58" s="129"/>
      <c r="O58" s="140"/>
      <c r="P58" s="140" t="s">
        <v>6142</v>
      </c>
      <c r="Q58" s="76" t="s">
        <v>22</v>
      </c>
      <c r="R58" s="140"/>
      <c r="S58" s="140"/>
      <c r="T58" s="140"/>
      <c r="U58" s="140"/>
      <c r="V58" s="140"/>
      <c r="W58" s="140"/>
      <c r="X58" s="140"/>
      <c r="Y58" s="140"/>
      <c r="Z58" s="140"/>
      <c r="AA58" s="140"/>
      <c r="AB58" s="140"/>
    </row>
    <row r="59">
      <c r="A59" s="133">
        <v>45891.0</v>
      </c>
      <c r="B59" s="134" t="s">
        <v>117</v>
      </c>
      <c r="C59" s="134" t="s">
        <v>5992</v>
      </c>
      <c r="D59" s="134" t="s">
        <v>5993</v>
      </c>
      <c r="E59" s="134" t="s">
        <v>5994</v>
      </c>
      <c r="F59" s="135">
        <v>1.0</v>
      </c>
      <c r="G59" s="136">
        <v>28.99</v>
      </c>
      <c r="H59" s="142"/>
      <c r="I59" s="136">
        <v>0.0</v>
      </c>
      <c r="J59" s="137">
        <v>28.99</v>
      </c>
      <c r="K59" s="137">
        <v>28.99</v>
      </c>
      <c r="L59" s="134" t="s">
        <v>80</v>
      </c>
      <c r="M59" s="138" t="s">
        <v>93</v>
      </c>
      <c r="N59" s="129"/>
      <c r="O59" s="140"/>
      <c r="P59" s="140" t="s">
        <v>6143</v>
      </c>
      <c r="Q59" s="76" t="s">
        <v>22</v>
      </c>
      <c r="R59" s="140"/>
      <c r="S59" s="140"/>
      <c r="T59" s="140"/>
      <c r="U59" s="140"/>
      <c r="V59" s="140"/>
      <c r="W59" s="140"/>
      <c r="X59" s="140"/>
      <c r="Y59" s="140"/>
      <c r="Z59" s="140"/>
      <c r="AA59" s="140"/>
      <c r="AB59" s="140"/>
    </row>
    <row r="60">
      <c r="A60" s="133">
        <v>45894.0</v>
      </c>
      <c r="B60" s="134" t="s">
        <v>117</v>
      </c>
      <c r="C60" s="134" t="s">
        <v>6144</v>
      </c>
      <c r="D60" s="134" t="s">
        <v>6137</v>
      </c>
      <c r="E60" s="134" t="s">
        <v>6138</v>
      </c>
      <c r="F60" s="135">
        <v>1.0</v>
      </c>
      <c r="G60" s="136">
        <v>9.99</v>
      </c>
      <c r="H60" s="142"/>
      <c r="I60" s="136">
        <v>0.0</v>
      </c>
      <c r="J60" s="137">
        <v>9.99</v>
      </c>
      <c r="K60" s="137">
        <v>9.99</v>
      </c>
      <c r="L60" s="134" t="s">
        <v>80</v>
      </c>
      <c r="M60" s="138" t="s">
        <v>93</v>
      </c>
      <c r="N60" s="129"/>
      <c r="O60" s="140"/>
      <c r="P60" s="140" t="s">
        <v>6145</v>
      </c>
      <c r="Q60" s="76" t="s">
        <v>22</v>
      </c>
      <c r="R60" s="140"/>
      <c r="S60" s="140"/>
      <c r="T60" s="140"/>
      <c r="U60" s="140"/>
      <c r="V60" s="140"/>
      <c r="W60" s="140"/>
      <c r="X60" s="140"/>
      <c r="Y60" s="140"/>
      <c r="Z60" s="140"/>
      <c r="AA60" s="140"/>
      <c r="AB60" s="140"/>
    </row>
    <row r="61">
      <c r="A61" s="133">
        <v>45894.0</v>
      </c>
      <c r="B61" s="146"/>
      <c r="C61" s="134" t="s">
        <v>6146</v>
      </c>
      <c r="D61" s="134" t="s">
        <v>6147</v>
      </c>
      <c r="E61" s="134" t="s">
        <v>6148</v>
      </c>
      <c r="F61" s="135">
        <v>1.0</v>
      </c>
      <c r="G61" s="136">
        <v>49.25</v>
      </c>
      <c r="H61" s="142"/>
      <c r="I61" s="136">
        <v>0.0</v>
      </c>
      <c r="J61" s="137">
        <v>49.25</v>
      </c>
      <c r="K61" s="137">
        <v>49.25</v>
      </c>
      <c r="L61" s="134" t="s">
        <v>80</v>
      </c>
      <c r="M61" s="138" t="s">
        <v>93</v>
      </c>
      <c r="N61" s="129"/>
      <c r="O61" s="140"/>
      <c r="P61" s="140" t="s">
        <v>39</v>
      </c>
      <c r="Q61" s="76" t="s">
        <v>22</v>
      </c>
      <c r="R61" s="140"/>
      <c r="S61" s="140"/>
      <c r="T61" s="140"/>
      <c r="U61" s="140"/>
      <c r="V61" s="140"/>
      <c r="W61" s="140"/>
      <c r="X61" s="140"/>
      <c r="Y61" s="140"/>
      <c r="Z61" s="140"/>
      <c r="AA61" s="140"/>
      <c r="AB61" s="140"/>
    </row>
    <row r="62">
      <c r="A62" s="133">
        <v>45894.0</v>
      </c>
      <c r="B62" s="134" t="s">
        <v>117</v>
      </c>
      <c r="C62" s="134" t="s">
        <v>6149</v>
      </c>
      <c r="D62" s="134" t="s">
        <v>6150</v>
      </c>
      <c r="E62" s="134" t="s">
        <v>6151</v>
      </c>
      <c r="F62" s="135">
        <v>1.0</v>
      </c>
      <c r="G62" s="136">
        <v>6.9</v>
      </c>
      <c r="H62" s="142"/>
      <c r="I62" s="136">
        <v>0.0</v>
      </c>
      <c r="J62" s="137">
        <v>6.9</v>
      </c>
      <c r="K62" s="137">
        <v>6.9</v>
      </c>
      <c r="L62" s="134" t="s">
        <v>80</v>
      </c>
      <c r="M62" s="138" t="s">
        <v>93</v>
      </c>
      <c r="N62" s="129"/>
      <c r="O62" s="140"/>
      <c r="P62" s="140" t="s">
        <v>6152</v>
      </c>
      <c r="Q62" s="76" t="s">
        <v>22</v>
      </c>
      <c r="R62" s="140"/>
      <c r="S62" s="140"/>
      <c r="T62" s="140"/>
      <c r="U62" s="140"/>
      <c r="V62" s="140"/>
      <c r="W62" s="140"/>
      <c r="X62" s="140"/>
      <c r="Y62" s="140"/>
      <c r="Z62" s="140"/>
      <c r="AA62" s="140"/>
      <c r="AB62" s="140"/>
    </row>
    <row r="63">
      <c r="A63" s="133">
        <v>45895.0</v>
      </c>
      <c r="B63" s="134" t="s">
        <v>117</v>
      </c>
      <c r="C63" s="134" t="s">
        <v>6153</v>
      </c>
      <c r="D63" s="134" t="s">
        <v>6137</v>
      </c>
      <c r="E63" s="134" t="s">
        <v>6154</v>
      </c>
      <c r="F63" s="135">
        <v>1.0</v>
      </c>
      <c r="G63" s="136">
        <v>20.99</v>
      </c>
      <c r="H63" s="142"/>
      <c r="I63" s="136">
        <v>2.52</v>
      </c>
      <c r="J63" s="137">
        <v>18.47</v>
      </c>
      <c r="K63" s="137">
        <v>18.47</v>
      </c>
      <c r="L63" s="134" t="s">
        <v>80</v>
      </c>
      <c r="M63" s="138" t="s">
        <v>93</v>
      </c>
      <c r="N63" s="129"/>
      <c r="O63" s="140"/>
      <c r="P63" s="140" t="s">
        <v>6155</v>
      </c>
      <c r="Q63" s="76" t="s">
        <v>22</v>
      </c>
      <c r="R63" s="140"/>
      <c r="S63" s="140"/>
      <c r="T63" s="140"/>
      <c r="U63" s="140"/>
      <c r="V63" s="140"/>
      <c r="W63" s="140"/>
      <c r="X63" s="140"/>
      <c r="Y63" s="140"/>
      <c r="Z63" s="140"/>
      <c r="AA63" s="140"/>
      <c r="AB63" s="140"/>
    </row>
    <row r="64">
      <c r="A64" s="133">
        <v>45896.0</v>
      </c>
      <c r="B64" s="134" t="s">
        <v>117</v>
      </c>
      <c r="C64" s="134" t="s">
        <v>6156</v>
      </c>
      <c r="D64" s="134" t="s">
        <v>6137</v>
      </c>
      <c r="E64" s="134" t="s">
        <v>6154</v>
      </c>
      <c r="F64" s="135">
        <v>1.0</v>
      </c>
      <c r="G64" s="136">
        <v>29.99</v>
      </c>
      <c r="H64" s="142"/>
      <c r="I64" s="142"/>
      <c r="J64" s="137">
        <v>29.99</v>
      </c>
      <c r="K64" s="137">
        <v>29.99</v>
      </c>
      <c r="L64" s="134" t="s">
        <v>80</v>
      </c>
      <c r="M64" s="138" t="s">
        <v>93</v>
      </c>
      <c r="N64" s="129"/>
      <c r="O64" s="140"/>
      <c r="P64" s="140" t="s">
        <v>6157</v>
      </c>
      <c r="Q64" s="76" t="s">
        <v>22</v>
      </c>
      <c r="R64" s="140"/>
      <c r="S64" s="140"/>
      <c r="T64" s="140"/>
      <c r="U64" s="140"/>
      <c r="V64" s="140"/>
      <c r="W64" s="140"/>
      <c r="X64" s="140"/>
      <c r="Y64" s="140"/>
      <c r="Z64" s="140"/>
      <c r="AA64" s="140"/>
      <c r="AB64" s="140"/>
    </row>
    <row r="65">
      <c r="A65" s="133">
        <v>45896.0</v>
      </c>
      <c r="B65" s="134" t="s">
        <v>117</v>
      </c>
      <c r="C65" s="134" t="s">
        <v>6158</v>
      </c>
      <c r="D65" s="134" t="s">
        <v>6137</v>
      </c>
      <c r="E65" s="134" t="s">
        <v>6159</v>
      </c>
      <c r="F65" s="135">
        <v>1.0</v>
      </c>
      <c r="G65" s="136">
        <v>5.97</v>
      </c>
      <c r="H65" s="142"/>
      <c r="I65" s="142"/>
      <c r="J65" s="137">
        <v>5.97</v>
      </c>
      <c r="K65" s="137">
        <v>5.97</v>
      </c>
      <c r="L65" s="134" t="s">
        <v>80</v>
      </c>
      <c r="M65" s="138" t="s">
        <v>93</v>
      </c>
      <c r="N65" s="129"/>
      <c r="O65" s="140"/>
      <c r="P65" s="140" t="s">
        <v>6160</v>
      </c>
      <c r="Q65" s="76" t="s">
        <v>22</v>
      </c>
      <c r="R65" s="140"/>
      <c r="S65" s="140"/>
      <c r="T65" s="140"/>
      <c r="U65" s="140"/>
      <c r="V65" s="140"/>
      <c r="W65" s="140"/>
      <c r="X65" s="140"/>
      <c r="Y65" s="140"/>
      <c r="Z65" s="140"/>
      <c r="AA65" s="140"/>
      <c r="AB65" s="140"/>
    </row>
    <row r="66">
      <c r="A66" s="133">
        <v>45896.0</v>
      </c>
      <c r="B66" s="134" t="s">
        <v>117</v>
      </c>
      <c r="C66" s="134" t="s">
        <v>6161</v>
      </c>
      <c r="D66" s="134" t="s">
        <v>6137</v>
      </c>
      <c r="E66" s="134" t="s">
        <v>6162</v>
      </c>
      <c r="F66" s="135">
        <v>1.0</v>
      </c>
      <c r="G66" s="136">
        <v>15.39</v>
      </c>
      <c r="H66" s="142"/>
      <c r="I66" s="142"/>
      <c r="J66" s="137">
        <v>15.39</v>
      </c>
      <c r="K66" s="137">
        <v>15.39</v>
      </c>
      <c r="L66" s="134" t="s">
        <v>80</v>
      </c>
      <c r="M66" s="138" t="s">
        <v>93</v>
      </c>
      <c r="N66" s="129"/>
      <c r="O66" s="140"/>
      <c r="P66" s="140" t="s">
        <v>6163</v>
      </c>
      <c r="Q66" s="76" t="s">
        <v>22</v>
      </c>
      <c r="R66" s="140"/>
      <c r="S66" s="140"/>
      <c r="T66" s="140"/>
      <c r="U66" s="140"/>
      <c r="V66" s="140"/>
      <c r="W66" s="140"/>
      <c r="X66" s="140"/>
      <c r="Y66" s="140"/>
      <c r="Z66" s="140"/>
      <c r="AA66" s="140"/>
      <c r="AB66" s="140"/>
    </row>
    <row r="67">
      <c r="A67" s="133">
        <v>45897.0</v>
      </c>
      <c r="B67" s="134" t="s">
        <v>117</v>
      </c>
      <c r="C67" s="134" t="s">
        <v>6164</v>
      </c>
      <c r="D67" s="134" t="s">
        <v>6150</v>
      </c>
      <c r="E67" s="134" t="s">
        <v>6165</v>
      </c>
      <c r="F67" s="135">
        <v>2.0</v>
      </c>
      <c r="G67" s="136">
        <v>13.98</v>
      </c>
      <c r="H67" s="142"/>
      <c r="I67" s="142"/>
      <c r="J67" s="137">
        <v>6.99</v>
      </c>
      <c r="K67" s="137">
        <v>13.98</v>
      </c>
      <c r="L67" s="134" t="s">
        <v>80</v>
      </c>
      <c r="M67" s="138" t="s">
        <v>93</v>
      </c>
      <c r="N67" s="129"/>
      <c r="O67" s="140"/>
      <c r="P67" s="140" t="s">
        <v>6166</v>
      </c>
      <c r="Q67" s="76" t="s">
        <v>22</v>
      </c>
      <c r="R67" s="140"/>
      <c r="S67" s="140"/>
      <c r="T67" s="140"/>
      <c r="U67" s="140"/>
      <c r="V67" s="140"/>
      <c r="W67" s="140"/>
      <c r="X67" s="140"/>
      <c r="Y67" s="140"/>
      <c r="Z67" s="140"/>
      <c r="AA67" s="140"/>
      <c r="AB67" s="140"/>
    </row>
    <row r="68">
      <c r="A68" s="133">
        <v>45900.0</v>
      </c>
      <c r="B68" s="134" t="s">
        <v>117</v>
      </c>
      <c r="C68" s="134" t="s">
        <v>6167</v>
      </c>
      <c r="D68" s="134" t="s">
        <v>6130</v>
      </c>
      <c r="E68" s="134" t="s">
        <v>6168</v>
      </c>
      <c r="F68" s="135">
        <v>3.0</v>
      </c>
      <c r="G68" s="136">
        <v>80.14</v>
      </c>
      <c r="H68" s="142"/>
      <c r="I68" s="136">
        <v>4.22</v>
      </c>
      <c r="J68" s="137">
        <v>25.31</v>
      </c>
      <c r="K68" s="137">
        <v>75.92</v>
      </c>
      <c r="L68" s="134" t="s">
        <v>80</v>
      </c>
      <c r="M68" s="138" t="s">
        <v>1139</v>
      </c>
      <c r="N68" s="129"/>
      <c r="O68" s="140"/>
      <c r="P68" s="140" t="s">
        <v>6169</v>
      </c>
      <c r="Q68" s="76" t="s">
        <v>22</v>
      </c>
      <c r="R68" s="140"/>
      <c r="S68" s="140"/>
      <c r="T68" s="140"/>
      <c r="U68" s="140"/>
      <c r="V68" s="140"/>
      <c r="W68" s="140"/>
      <c r="X68" s="140"/>
      <c r="Y68" s="140"/>
      <c r="Z68" s="140"/>
      <c r="AA68" s="140"/>
      <c r="AB68" s="140"/>
    </row>
    <row r="69">
      <c r="A69" s="133">
        <v>45900.0</v>
      </c>
      <c r="B69" s="134" t="s">
        <v>117</v>
      </c>
      <c r="C69" s="134" t="s">
        <v>6170</v>
      </c>
      <c r="D69" s="134" t="s">
        <v>5981</v>
      </c>
      <c r="E69" s="134" t="s">
        <v>6171</v>
      </c>
      <c r="F69" s="135">
        <v>1.0</v>
      </c>
      <c r="G69" s="136">
        <v>20.99</v>
      </c>
      <c r="H69" s="142"/>
      <c r="I69" s="142"/>
      <c r="J69" s="137">
        <v>20.99</v>
      </c>
      <c r="K69" s="137">
        <v>20.99</v>
      </c>
      <c r="L69" s="134" t="s">
        <v>80</v>
      </c>
      <c r="M69" s="138" t="s">
        <v>1139</v>
      </c>
      <c r="N69" s="129"/>
      <c r="O69" s="140"/>
      <c r="P69" s="140" t="s">
        <v>6172</v>
      </c>
      <c r="Q69" s="76" t="s">
        <v>22</v>
      </c>
      <c r="R69" s="140"/>
      <c r="S69" s="140"/>
      <c r="T69" s="140"/>
      <c r="U69" s="140"/>
      <c r="V69" s="140"/>
      <c r="W69" s="140"/>
      <c r="X69" s="140"/>
      <c r="Y69" s="140"/>
      <c r="Z69" s="140"/>
      <c r="AA69" s="140"/>
      <c r="AB69" s="140"/>
    </row>
    <row r="70">
      <c r="A70" s="133">
        <v>45900.0</v>
      </c>
      <c r="B70" s="134" t="s">
        <v>117</v>
      </c>
      <c r="C70" s="134" t="s">
        <v>6173</v>
      </c>
      <c r="D70" s="134" t="s">
        <v>6021</v>
      </c>
      <c r="E70" s="134" t="s">
        <v>6174</v>
      </c>
      <c r="F70" s="135">
        <v>1.0</v>
      </c>
      <c r="G70" s="136">
        <v>16.97</v>
      </c>
      <c r="H70" s="142"/>
      <c r="I70" s="142"/>
      <c r="J70" s="137">
        <v>16.97</v>
      </c>
      <c r="K70" s="137">
        <v>16.97</v>
      </c>
      <c r="L70" s="134" t="s">
        <v>80</v>
      </c>
      <c r="M70" s="138" t="s">
        <v>1139</v>
      </c>
      <c r="N70" s="129"/>
      <c r="O70" s="140"/>
      <c r="P70" s="140" t="s">
        <v>6175</v>
      </c>
      <c r="Q70" s="76" t="s">
        <v>22</v>
      </c>
      <c r="R70" s="140"/>
      <c r="S70" s="140"/>
      <c r="T70" s="140"/>
      <c r="U70" s="140"/>
      <c r="V70" s="140"/>
      <c r="W70" s="140"/>
      <c r="X70" s="140"/>
      <c r="Y70" s="140"/>
      <c r="Z70" s="140"/>
      <c r="AA70" s="140"/>
      <c r="AB70" s="140"/>
    </row>
    <row r="71">
      <c r="A71" s="133">
        <v>45900.0</v>
      </c>
      <c r="B71" s="134" t="s">
        <v>117</v>
      </c>
      <c r="C71" s="134" t="s">
        <v>6176</v>
      </c>
      <c r="D71" s="134" t="s">
        <v>6062</v>
      </c>
      <c r="E71" s="134" t="s">
        <v>6177</v>
      </c>
      <c r="F71" s="135">
        <v>1.0</v>
      </c>
      <c r="G71" s="136">
        <v>27.95</v>
      </c>
      <c r="H71" s="142"/>
      <c r="I71" s="136">
        <v>0.0</v>
      </c>
      <c r="J71" s="137">
        <v>27.95</v>
      </c>
      <c r="K71" s="137">
        <v>27.95</v>
      </c>
      <c r="L71" s="134" t="s">
        <v>80</v>
      </c>
      <c r="M71" s="138" t="s">
        <v>1139</v>
      </c>
      <c r="N71" s="129"/>
      <c r="O71" s="140"/>
      <c r="P71" s="140" t="s">
        <v>6178</v>
      </c>
      <c r="Q71" s="76" t="s">
        <v>22</v>
      </c>
      <c r="R71" s="140"/>
      <c r="S71" s="140"/>
      <c r="T71" s="140"/>
      <c r="U71" s="140"/>
      <c r="V71" s="140"/>
      <c r="W71" s="140"/>
      <c r="X71" s="140"/>
      <c r="Y71" s="140"/>
      <c r="Z71" s="140"/>
      <c r="AA71" s="140"/>
      <c r="AB71" s="140"/>
    </row>
    <row r="72">
      <c r="A72" s="133">
        <v>45900.0</v>
      </c>
      <c r="B72" s="134" t="s">
        <v>117</v>
      </c>
      <c r="C72" s="134" t="s">
        <v>117</v>
      </c>
      <c r="D72" s="134" t="s">
        <v>6130</v>
      </c>
      <c r="E72" s="134" t="s">
        <v>6179</v>
      </c>
      <c r="F72" s="135">
        <v>1.0</v>
      </c>
      <c r="G72" s="136">
        <v>59.99</v>
      </c>
      <c r="H72" s="142"/>
      <c r="I72" s="142"/>
      <c r="J72" s="137">
        <v>59.99</v>
      </c>
      <c r="K72" s="137">
        <v>59.99</v>
      </c>
      <c r="L72" s="134" t="s">
        <v>80</v>
      </c>
      <c r="M72" s="138" t="s">
        <v>1139</v>
      </c>
      <c r="N72" s="129"/>
      <c r="O72" s="140"/>
      <c r="P72" s="140" t="s">
        <v>6180</v>
      </c>
      <c r="Q72" s="76" t="s">
        <v>22</v>
      </c>
      <c r="R72" s="140"/>
      <c r="S72" s="140"/>
      <c r="T72" s="140"/>
      <c r="U72" s="140"/>
      <c r="V72" s="140"/>
      <c r="W72" s="140"/>
      <c r="X72" s="140"/>
      <c r="Y72" s="140"/>
      <c r="Z72" s="140"/>
      <c r="AA72" s="140"/>
      <c r="AB72" s="140"/>
    </row>
    <row r="73">
      <c r="A73" s="133">
        <v>45900.0</v>
      </c>
      <c r="B73" s="134" t="s">
        <v>117</v>
      </c>
      <c r="C73" s="134" t="s">
        <v>5992</v>
      </c>
      <c r="D73" s="134" t="s">
        <v>5993</v>
      </c>
      <c r="E73" s="134" t="s">
        <v>5994</v>
      </c>
      <c r="F73" s="135">
        <v>2.0</v>
      </c>
      <c r="G73" s="136">
        <v>57.98</v>
      </c>
      <c r="H73" s="142"/>
      <c r="I73" s="136">
        <v>0.37</v>
      </c>
      <c r="J73" s="137">
        <v>28.81</v>
      </c>
      <c r="K73" s="137">
        <v>57.61</v>
      </c>
      <c r="L73" s="134" t="s">
        <v>80</v>
      </c>
      <c r="M73" s="138" t="s">
        <v>1139</v>
      </c>
      <c r="N73" s="129"/>
      <c r="O73" s="140"/>
      <c r="P73" s="140" t="s">
        <v>6181</v>
      </c>
      <c r="Q73" s="76" t="s">
        <v>22</v>
      </c>
      <c r="R73" s="140"/>
      <c r="S73" s="140"/>
      <c r="T73" s="140"/>
      <c r="U73" s="140"/>
      <c r="V73" s="140"/>
      <c r="W73" s="140"/>
      <c r="X73" s="140"/>
      <c r="Y73" s="140"/>
      <c r="Z73" s="140"/>
      <c r="AA73" s="140"/>
      <c r="AB73" s="140"/>
    </row>
    <row r="74">
      <c r="A74" s="133">
        <v>45900.0</v>
      </c>
      <c r="B74" s="134" t="s">
        <v>117</v>
      </c>
      <c r="C74" s="134" t="s">
        <v>6182</v>
      </c>
      <c r="D74" s="134" t="s">
        <v>5993</v>
      </c>
      <c r="E74" s="134" t="s">
        <v>6183</v>
      </c>
      <c r="F74" s="135">
        <v>1.0</v>
      </c>
      <c r="G74" s="136">
        <v>25.73</v>
      </c>
      <c r="H74" s="142"/>
      <c r="I74" s="142"/>
      <c r="J74" s="137">
        <v>25.73</v>
      </c>
      <c r="K74" s="137">
        <v>25.73</v>
      </c>
      <c r="L74" s="134" t="s">
        <v>80</v>
      </c>
      <c r="M74" s="138" t="s">
        <v>1139</v>
      </c>
      <c r="N74" s="129"/>
      <c r="O74" s="140"/>
      <c r="P74" s="140" t="s">
        <v>6184</v>
      </c>
      <c r="Q74" s="76" t="s">
        <v>22</v>
      </c>
      <c r="R74" s="140"/>
      <c r="S74" s="140"/>
      <c r="T74" s="140"/>
      <c r="U74" s="140"/>
      <c r="V74" s="140"/>
      <c r="W74" s="140"/>
      <c r="X74" s="140"/>
      <c r="Y74" s="140"/>
      <c r="Z74" s="140"/>
      <c r="AA74" s="140"/>
      <c r="AB74" s="140"/>
    </row>
    <row r="75">
      <c r="A75" s="133">
        <v>45900.0</v>
      </c>
      <c r="B75" s="134" t="s">
        <v>117</v>
      </c>
      <c r="C75" s="134" t="s">
        <v>6182</v>
      </c>
      <c r="D75" s="134" t="s">
        <v>5993</v>
      </c>
      <c r="E75" s="134" t="s">
        <v>6183</v>
      </c>
      <c r="F75" s="135">
        <v>1.0</v>
      </c>
      <c r="G75" s="136">
        <v>26.99</v>
      </c>
      <c r="H75" s="142"/>
      <c r="I75" s="142"/>
      <c r="J75" s="137">
        <v>26.99</v>
      </c>
      <c r="K75" s="137">
        <v>26.99</v>
      </c>
      <c r="L75" s="134" t="s">
        <v>80</v>
      </c>
      <c r="M75" s="138" t="s">
        <v>1139</v>
      </c>
      <c r="N75" s="129"/>
      <c r="O75" s="140"/>
      <c r="P75" s="140" t="s">
        <v>6185</v>
      </c>
      <c r="Q75" s="76" t="s">
        <v>22</v>
      </c>
      <c r="R75" s="140"/>
      <c r="S75" s="140"/>
      <c r="T75" s="140"/>
      <c r="U75" s="140"/>
      <c r="V75" s="140"/>
      <c r="W75" s="140"/>
      <c r="X75" s="140"/>
      <c r="Y75" s="140"/>
      <c r="Z75" s="140"/>
      <c r="AA75" s="140"/>
      <c r="AB75" s="140"/>
    </row>
    <row r="76">
      <c r="A76" s="133">
        <v>45903.0</v>
      </c>
      <c r="B76" s="134" t="s">
        <v>117</v>
      </c>
      <c r="C76" s="134" t="s">
        <v>6186</v>
      </c>
      <c r="D76" s="134" t="s">
        <v>5997</v>
      </c>
      <c r="E76" s="134" t="s">
        <v>6187</v>
      </c>
      <c r="F76" s="135">
        <v>1.0</v>
      </c>
      <c r="G76" s="136">
        <v>17.79</v>
      </c>
      <c r="H76" s="142"/>
      <c r="I76" s="142"/>
      <c r="J76" s="137">
        <v>17.79</v>
      </c>
      <c r="K76" s="137">
        <v>17.79</v>
      </c>
      <c r="L76" s="134" t="s">
        <v>80</v>
      </c>
      <c r="M76" s="138" t="s">
        <v>1139</v>
      </c>
      <c r="N76" s="129"/>
      <c r="O76" s="140"/>
      <c r="P76" s="140" t="s">
        <v>6188</v>
      </c>
      <c r="Q76" s="76" t="s">
        <v>22</v>
      </c>
      <c r="R76" s="140"/>
      <c r="S76" s="140"/>
      <c r="T76" s="140"/>
      <c r="U76" s="140"/>
      <c r="V76" s="140"/>
      <c r="W76" s="140"/>
      <c r="X76" s="140"/>
      <c r="Y76" s="140"/>
      <c r="Z76" s="140"/>
      <c r="AA76" s="140"/>
      <c r="AB76" s="140"/>
    </row>
    <row r="77">
      <c r="A77" s="133">
        <v>45946.0</v>
      </c>
      <c r="B77" s="134" t="s">
        <v>6091</v>
      </c>
      <c r="C77" s="134" t="s">
        <v>46</v>
      </c>
      <c r="D77" s="134" t="s">
        <v>6092</v>
      </c>
      <c r="E77" s="134" t="s">
        <v>6189</v>
      </c>
      <c r="F77" s="135">
        <v>4.0</v>
      </c>
      <c r="G77" s="136">
        <v>72.0</v>
      </c>
      <c r="H77" s="136">
        <v>0.0</v>
      </c>
      <c r="I77" s="136">
        <v>0.0</v>
      </c>
      <c r="J77" s="137">
        <v>18.0</v>
      </c>
      <c r="K77" s="137">
        <v>72.0</v>
      </c>
      <c r="L77" s="134" t="s">
        <v>1171</v>
      </c>
      <c r="M77" s="147" t="s">
        <v>691</v>
      </c>
      <c r="N77" s="144" t="s">
        <v>6190</v>
      </c>
      <c r="O77" s="135" t="s">
        <v>6191</v>
      </c>
      <c r="P77" s="135" t="s">
        <v>6192</v>
      </c>
      <c r="Q77" s="76" t="s">
        <v>22</v>
      </c>
      <c r="R77" s="140"/>
      <c r="S77" s="140"/>
      <c r="T77" s="140"/>
      <c r="U77" s="140"/>
      <c r="V77" s="140"/>
      <c r="W77" s="140"/>
      <c r="X77" s="140"/>
      <c r="Y77" s="140"/>
      <c r="Z77" s="140"/>
      <c r="AA77" s="140"/>
      <c r="AB77" s="140"/>
    </row>
    <row r="78">
      <c r="A78" s="133">
        <v>45950.0</v>
      </c>
      <c r="B78" s="134" t="s">
        <v>6193</v>
      </c>
      <c r="C78" s="134" t="s">
        <v>46</v>
      </c>
      <c r="D78" s="134" t="s">
        <v>6092</v>
      </c>
      <c r="E78" s="134" t="s">
        <v>6194</v>
      </c>
      <c r="F78" s="135">
        <v>2.0</v>
      </c>
      <c r="G78" s="136">
        <v>30.0</v>
      </c>
      <c r="H78" s="142"/>
      <c r="I78" s="136">
        <v>0.0</v>
      </c>
      <c r="J78" s="137">
        <v>15.0</v>
      </c>
      <c r="K78" s="137">
        <v>30.0</v>
      </c>
      <c r="L78" s="134" t="s">
        <v>1153</v>
      </c>
      <c r="M78" s="147" t="s">
        <v>691</v>
      </c>
      <c r="N78" s="144" t="s">
        <v>6195</v>
      </c>
      <c r="O78" s="140"/>
      <c r="P78" s="135" t="s">
        <v>6196</v>
      </c>
      <c r="Q78" s="76" t="s">
        <v>22</v>
      </c>
      <c r="R78" s="140"/>
      <c r="S78" s="140"/>
      <c r="T78" s="140"/>
      <c r="U78" s="140"/>
      <c r="V78" s="140"/>
      <c r="W78" s="140"/>
      <c r="X78" s="140"/>
      <c r="Y78" s="140"/>
      <c r="Z78" s="140"/>
      <c r="AA78" s="140"/>
      <c r="AB78" s="140"/>
    </row>
    <row r="79">
      <c r="A79" s="133">
        <v>45908.0</v>
      </c>
      <c r="B79" s="134" t="s">
        <v>117</v>
      </c>
      <c r="C79" s="134" t="s">
        <v>6197</v>
      </c>
      <c r="D79" s="134" t="s">
        <v>6021</v>
      </c>
      <c r="E79" s="134" t="s">
        <v>6198</v>
      </c>
      <c r="F79" s="135">
        <v>1.0</v>
      </c>
      <c r="G79" s="136">
        <v>19.48</v>
      </c>
      <c r="H79" s="142"/>
      <c r="I79" s="136">
        <v>1.94</v>
      </c>
      <c r="J79" s="137">
        <v>17.54</v>
      </c>
      <c r="K79" s="137">
        <v>17.54</v>
      </c>
      <c r="L79" s="134" t="s">
        <v>80</v>
      </c>
      <c r="M79" s="138" t="s">
        <v>1139</v>
      </c>
      <c r="N79" s="129"/>
      <c r="O79" s="140"/>
      <c r="P79" s="140" t="s">
        <v>6199</v>
      </c>
      <c r="Q79" s="76" t="s">
        <v>22</v>
      </c>
      <c r="R79" s="140"/>
      <c r="S79" s="140"/>
      <c r="T79" s="140"/>
      <c r="U79" s="140"/>
      <c r="V79" s="140"/>
      <c r="W79" s="140"/>
      <c r="X79" s="140"/>
      <c r="Y79" s="140"/>
      <c r="Z79" s="140"/>
      <c r="AA79" s="140"/>
      <c r="AB79" s="140"/>
    </row>
    <row r="80">
      <c r="A80" s="133">
        <v>45914.0</v>
      </c>
      <c r="B80" s="134" t="s">
        <v>117</v>
      </c>
      <c r="C80" s="134" t="s">
        <v>6197</v>
      </c>
      <c r="D80" s="134" t="s">
        <v>6021</v>
      </c>
      <c r="E80" s="134" t="s">
        <v>6198</v>
      </c>
      <c r="F80" s="135">
        <v>1.0</v>
      </c>
      <c r="G80" s="136">
        <v>33.16</v>
      </c>
      <c r="H80" s="142"/>
      <c r="I80" s="136"/>
      <c r="J80" s="137">
        <v>33.16</v>
      </c>
      <c r="K80" s="137">
        <v>33.16</v>
      </c>
      <c r="L80" s="134" t="s">
        <v>1140</v>
      </c>
      <c r="M80" s="138" t="s">
        <v>6200</v>
      </c>
      <c r="N80" s="129"/>
      <c r="O80" s="140"/>
      <c r="P80" s="140" t="s">
        <v>6201</v>
      </c>
      <c r="Q80" s="76" t="s">
        <v>22</v>
      </c>
      <c r="R80" s="140"/>
      <c r="S80" s="140"/>
      <c r="T80" s="140"/>
      <c r="U80" s="140"/>
      <c r="V80" s="140"/>
      <c r="W80" s="140"/>
      <c r="X80" s="140"/>
      <c r="Y80" s="140"/>
      <c r="Z80" s="140"/>
      <c r="AA80" s="140"/>
      <c r="AB80" s="140"/>
    </row>
    <row r="81">
      <c r="A81" s="133">
        <v>45921.0</v>
      </c>
      <c r="B81" s="134" t="s">
        <v>117</v>
      </c>
      <c r="C81" s="134" t="s">
        <v>6202</v>
      </c>
      <c r="D81" s="134" t="s">
        <v>6203</v>
      </c>
      <c r="E81" s="134" t="s">
        <v>6204</v>
      </c>
      <c r="F81" s="135">
        <v>1.0</v>
      </c>
      <c r="G81" s="136">
        <v>20.99</v>
      </c>
      <c r="H81" s="142"/>
      <c r="I81" s="142"/>
      <c r="J81" s="137">
        <v>20.99</v>
      </c>
      <c r="K81" s="137">
        <v>20.99</v>
      </c>
      <c r="L81" s="134" t="s">
        <v>80</v>
      </c>
      <c r="M81" s="138" t="s">
        <v>1160</v>
      </c>
      <c r="N81" s="129"/>
      <c r="O81" s="140"/>
      <c r="P81" s="140" t="s">
        <v>6205</v>
      </c>
      <c r="Q81" s="76" t="s">
        <v>22</v>
      </c>
      <c r="R81" s="140"/>
      <c r="S81" s="140"/>
      <c r="T81" s="140"/>
      <c r="U81" s="140"/>
      <c r="V81" s="140"/>
      <c r="W81" s="140"/>
      <c r="X81" s="140"/>
      <c r="Y81" s="140"/>
      <c r="Z81" s="140"/>
      <c r="AA81" s="140"/>
      <c r="AB81" s="140"/>
    </row>
    <row r="82">
      <c r="A82" s="133">
        <v>45921.0</v>
      </c>
      <c r="B82" s="134" t="s">
        <v>117</v>
      </c>
      <c r="C82" s="134" t="s">
        <v>6206</v>
      </c>
      <c r="D82" s="134" t="s">
        <v>6203</v>
      </c>
      <c r="E82" s="134" t="s">
        <v>6204</v>
      </c>
      <c r="F82" s="135">
        <v>1.0</v>
      </c>
      <c r="G82" s="136">
        <v>31.99</v>
      </c>
      <c r="H82" s="142"/>
      <c r="I82" s="142"/>
      <c r="J82" s="137">
        <v>31.99</v>
      </c>
      <c r="K82" s="137">
        <v>31.99</v>
      </c>
      <c r="L82" s="134" t="s">
        <v>80</v>
      </c>
      <c r="M82" s="138" t="s">
        <v>1160</v>
      </c>
      <c r="N82" s="129"/>
      <c r="O82" s="140"/>
      <c r="P82" s="140" t="s">
        <v>6207</v>
      </c>
      <c r="Q82" s="76" t="s">
        <v>22</v>
      </c>
      <c r="R82" s="140"/>
      <c r="S82" s="140"/>
      <c r="T82" s="140"/>
      <c r="U82" s="140"/>
      <c r="V82" s="140"/>
      <c r="W82" s="140"/>
      <c r="X82" s="140"/>
      <c r="Y82" s="140"/>
      <c r="Z82" s="140"/>
      <c r="AA82" s="140"/>
      <c r="AB82" s="140"/>
    </row>
    <row r="83">
      <c r="A83" s="133">
        <v>45923.0</v>
      </c>
      <c r="B83" s="134" t="s">
        <v>117</v>
      </c>
      <c r="C83" s="134" t="s">
        <v>6182</v>
      </c>
      <c r="D83" s="134" t="s">
        <v>5993</v>
      </c>
      <c r="E83" s="134" t="s">
        <v>6208</v>
      </c>
      <c r="F83" s="135">
        <v>1.0</v>
      </c>
      <c r="G83" s="136">
        <v>49.99</v>
      </c>
      <c r="H83" s="142"/>
      <c r="I83" s="142"/>
      <c r="J83" s="137">
        <v>49.99</v>
      </c>
      <c r="K83" s="137">
        <v>49.99</v>
      </c>
      <c r="L83" s="134" t="s">
        <v>80</v>
      </c>
      <c r="M83" s="138" t="s">
        <v>1160</v>
      </c>
      <c r="N83" s="129"/>
      <c r="O83" s="140"/>
      <c r="P83" s="140" t="s">
        <v>6209</v>
      </c>
      <c r="Q83" s="76" t="s">
        <v>22</v>
      </c>
      <c r="R83" s="140"/>
      <c r="S83" s="140"/>
      <c r="T83" s="140"/>
      <c r="U83" s="140"/>
      <c r="V83" s="140"/>
      <c r="W83" s="140"/>
      <c r="X83" s="140"/>
      <c r="Y83" s="140"/>
      <c r="Z83" s="140"/>
      <c r="AA83" s="140"/>
      <c r="AB83" s="140"/>
    </row>
    <row r="84">
      <c r="A84" s="133">
        <v>45923.0</v>
      </c>
      <c r="B84" s="134" t="s">
        <v>117</v>
      </c>
      <c r="C84" s="134" t="s">
        <v>6182</v>
      </c>
      <c r="D84" s="134" t="s">
        <v>5993</v>
      </c>
      <c r="E84" s="134" t="s">
        <v>6208</v>
      </c>
      <c r="F84" s="135">
        <v>1.0</v>
      </c>
      <c r="G84" s="136">
        <v>49.99</v>
      </c>
      <c r="H84" s="142"/>
      <c r="I84" s="142"/>
      <c r="J84" s="137">
        <v>49.99</v>
      </c>
      <c r="K84" s="137">
        <v>49.99</v>
      </c>
      <c r="L84" s="134" t="s">
        <v>80</v>
      </c>
      <c r="M84" s="138" t="s">
        <v>1160</v>
      </c>
      <c r="N84" s="129"/>
      <c r="O84" s="140"/>
      <c r="P84" s="140" t="s">
        <v>6210</v>
      </c>
      <c r="Q84" s="76" t="s">
        <v>22</v>
      </c>
      <c r="R84" s="140"/>
      <c r="S84" s="140"/>
      <c r="T84" s="140"/>
      <c r="U84" s="140"/>
      <c r="V84" s="140"/>
      <c r="W84" s="140"/>
      <c r="X84" s="140"/>
      <c r="Y84" s="140"/>
      <c r="Z84" s="140"/>
      <c r="AA84" s="140"/>
      <c r="AB84" s="140"/>
    </row>
    <row r="85">
      <c r="A85" s="133">
        <v>45923.0</v>
      </c>
      <c r="B85" s="134" t="s">
        <v>117</v>
      </c>
      <c r="C85" s="134" t="s">
        <v>5992</v>
      </c>
      <c r="D85" s="134" t="s">
        <v>5993</v>
      </c>
      <c r="E85" s="134" t="s">
        <v>5994</v>
      </c>
      <c r="F85" s="135">
        <v>1.0</v>
      </c>
      <c r="G85" s="136">
        <v>28.99</v>
      </c>
      <c r="H85" s="142"/>
      <c r="I85" s="142"/>
      <c r="J85" s="137">
        <v>28.99</v>
      </c>
      <c r="K85" s="137">
        <v>28.99</v>
      </c>
      <c r="L85" s="134" t="s">
        <v>80</v>
      </c>
      <c r="M85" s="138" t="s">
        <v>1160</v>
      </c>
      <c r="N85" s="129"/>
      <c r="O85" s="140"/>
      <c r="P85" s="140" t="s">
        <v>6211</v>
      </c>
      <c r="Q85" s="76" t="s">
        <v>22</v>
      </c>
      <c r="R85" s="140"/>
      <c r="S85" s="140"/>
      <c r="T85" s="140"/>
      <c r="U85" s="140"/>
      <c r="V85" s="140"/>
      <c r="W85" s="140"/>
      <c r="X85" s="140"/>
      <c r="Y85" s="140"/>
      <c r="Z85" s="140"/>
      <c r="AA85" s="140"/>
      <c r="AB85" s="140"/>
    </row>
    <row r="86">
      <c r="A86" s="133">
        <v>45922.0</v>
      </c>
      <c r="B86" s="134" t="s">
        <v>117</v>
      </c>
      <c r="C86" s="134" t="s">
        <v>6197</v>
      </c>
      <c r="D86" s="134" t="s">
        <v>6021</v>
      </c>
      <c r="E86" s="134" t="s">
        <v>6198</v>
      </c>
      <c r="F86" s="135">
        <v>1.0</v>
      </c>
      <c r="G86" s="136">
        <v>33.47</v>
      </c>
      <c r="H86" s="142"/>
      <c r="I86" s="136">
        <v>1.2</v>
      </c>
      <c r="J86" s="137">
        <v>32.27</v>
      </c>
      <c r="K86" s="137">
        <v>32.269999999999996</v>
      </c>
      <c r="L86" s="134" t="s">
        <v>80</v>
      </c>
      <c r="M86" s="138" t="s">
        <v>1160</v>
      </c>
      <c r="N86" s="129"/>
      <c r="O86" s="140"/>
      <c r="P86" s="140" t="s">
        <v>6212</v>
      </c>
      <c r="Q86" s="76" t="s">
        <v>22</v>
      </c>
      <c r="R86" s="140"/>
      <c r="S86" s="140"/>
      <c r="T86" s="140"/>
      <c r="U86" s="140"/>
      <c r="V86" s="140"/>
      <c r="W86" s="140"/>
      <c r="X86" s="140"/>
      <c r="Y86" s="140"/>
      <c r="Z86" s="140"/>
      <c r="AA86" s="140"/>
      <c r="AB86" s="140"/>
    </row>
    <row r="87">
      <c r="A87" s="133">
        <v>45924.0</v>
      </c>
      <c r="B87" s="134" t="s">
        <v>117</v>
      </c>
      <c r="C87" s="134" t="s">
        <v>6042</v>
      </c>
      <c r="D87" s="134" t="s">
        <v>5981</v>
      </c>
      <c r="E87" s="134" t="s">
        <v>5990</v>
      </c>
      <c r="F87" s="135">
        <v>1.0</v>
      </c>
      <c r="G87" s="136">
        <v>59.98</v>
      </c>
      <c r="H87" s="142"/>
      <c r="I87" s="142"/>
      <c r="J87" s="137">
        <v>59.98</v>
      </c>
      <c r="K87" s="137">
        <v>59.98</v>
      </c>
      <c r="L87" s="134" t="s">
        <v>80</v>
      </c>
      <c r="M87" s="138" t="s">
        <v>1160</v>
      </c>
      <c r="N87" s="129"/>
      <c r="O87" s="140"/>
      <c r="P87" s="140" t="s">
        <v>6213</v>
      </c>
      <c r="Q87" s="76" t="s">
        <v>22</v>
      </c>
      <c r="R87" s="140"/>
      <c r="S87" s="140"/>
      <c r="T87" s="140"/>
      <c r="U87" s="140"/>
      <c r="V87" s="140"/>
      <c r="W87" s="140"/>
      <c r="X87" s="140"/>
      <c r="Y87" s="140"/>
      <c r="Z87" s="140"/>
      <c r="AA87" s="140"/>
      <c r="AB87" s="140"/>
    </row>
    <row r="88">
      <c r="A88" s="133">
        <v>45924.0</v>
      </c>
      <c r="B88" s="134" t="s">
        <v>117</v>
      </c>
      <c r="C88" s="134" t="s">
        <v>6214</v>
      </c>
      <c r="D88" s="134" t="s">
        <v>5981</v>
      </c>
      <c r="E88" s="134" t="s">
        <v>6215</v>
      </c>
      <c r="F88" s="135">
        <v>1.0</v>
      </c>
      <c r="G88" s="136">
        <v>17.98</v>
      </c>
      <c r="H88" s="142"/>
      <c r="I88" s="142"/>
      <c r="J88" s="137">
        <v>17.98</v>
      </c>
      <c r="K88" s="137">
        <v>17.98</v>
      </c>
      <c r="L88" s="134" t="s">
        <v>80</v>
      </c>
      <c r="M88" s="138" t="s">
        <v>1160</v>
      </c>
      <c r="N88" s="129"/>
      <c r="O88" s="140"/>
      <c r="P88" s="140" t="s">
        <v>6216</v>
      </c>
      <c r="Q88" s="76" t="s">
        <v>22</v>
      </c>
      <c r="R88" s="140"/>
      <c r="S88" s="140"/>
      <c r="T88" s="140"/>
      <c r="U88" s="140"/>
      <c r="V88" s="140"/>
      <c r="W88" s="140"/>
      <c r="X88" s="140"/>
      <c r="Y88" s="140"/>
      <c r="Z88" s="140"/>
      <c r="AA88" s="140"/>
      <c r="AB88" s="140"/>
    </row>
    <row r="89">
      <c r="A89" s="133">
        <v>45925.0</v>
      </c>
      <c r="B89" s="134" t="s">
        <v>117</v>
      </c>
      <c r="C89" s="134" t="s">
        <v>6217</v>
      </c>
      <c r="D89" s="134" t="s">
        <v>5981</v>
      </c>
      <c r="E89" s="134" t="s">
        <v>6218</v>
      </c>
      <c r="F89" s="135">
        <v>1.0</v>
      </c>
      <c r="G89" s="136">
        <v>39.99</v>
      </c>
      <c r="H89" s="142"/>
      <c r="I89" s="142"/>
      <c r="J89" s="137">
        <v>39.99</v>
      </c>
      <c r="K89" s="137">
        <v>39.99</v>
      </c>
      <c r="L89" s="134" t="s">
        <v>80</v>
      </c>
      <c r="M89" s="138" t="s">
        <v>93</v>
      </c>
      <c r="N89" s="129"/>
      <c r="O89" s="140"/>
      <c r="P89" s="140" t="s">
        <v>6219</v>
      </c>
      <c r="Q89" s="76" t="s">
        <v>22</v>
      </c>
      <c r="R89" s="140"/>
      <c r="S89" s="140"/>
      <c r="T89" s="140"/>
      <c r="U89" s="140"/>
      <c r="V89" s="140"/>
      <c r="W89" s="140"/>
      <c r="X89" s="140"/>
      <c r="Y89" s="140"/>
      <c r="Z89" s="140"/>
      <c r="AA89" s="140"/>
      <c r="AB89" s="140"/>
    </row>
    <row r="90">
      <c r="A90" s="133">
        <v>45926.0</v>
      </c>
      <c r="B90" s="134" t="s">
        <v>117</v>
      </c>
      <c r="C90" s="134" t="s">
        <v>6197</v>
      </c>
      <c r="D90" s="134" t="s">
        <v>6021</v>
      </c>
      <c r="E90" s="134" t="s">
        <v>6198</v>
      </c>
      <c r="F90" s="135">
        <v>16.0</v>
      </c>
      <c r="G90" s="136">
        <v>116.16</v>
      </c>
      <c r="H90" s="142"/>
      <c r="I90" s="142"/>
      <c r="J90" s="137">
        <v>7.26</v>
      </c>
      <c r="K90" s="137">
        <v>116.16</v>
      </c>
      <c r="L90" s="134" t="s">
        <v>80</v>
      </c>
      <c r="M90" s="138" t="s">
        <v>1152</v>
      </c>
      <c r="N90" s="129"/>
      <c r="O90" s="140"/>
      <c r="P90" s="140" t="s">
        <v>6220</v>
      </c>
      <c r="Q90" s="76" t="s">
        <v>22</v>
      </c>
      <c r="R90" s="140"/>
      <c r="S90" s="140"/>
      <c r="T90" s="140"/>
      <c r="U90" s="140"/>
      <c r="V90" s="140"/>
      <c r="W90" s="140"/>
      <c r="X90" s="140"/>
      <c r="Y90" s="140"/>
      <c r="Z90" s="140"/>
      <c r="AA90" s="140"/>
      <c r="AB90" s="140"/>
    </row>
    <row r="91">
      <c r="A91" s="133">
        <v>45927.0</v>
      </c>
      <c r="B91" s="134" t="s">
        <v>117</v>
      </c>
      <c r="C91" s="134" t="s">
        <v>6221</v>
      </c>
      <c r="D91" s="134" t="s">
        <v>6003</v>
      </c>
      <c r="E91" s="134" t="s">
        <v>6112</v>
      </c>
      <c r="F91" s="135">
        <v>1.0</v>
      </c>
      <c r="G91" s="136">
        <v>38.99</v>
      </c>
      <c r="H91" s="142"/>
      <c r="I91" s="136">
        <v>11.51</v>
      </c>
      <c r="J91" s="137">
        <v>27.48</v>
      </c>
      <c r="K91" s="137">
        <v>27.480000000000004</v>
      </c>
      <c r="L91" s="134" t="s">
        <v>80</v>
      </c>
      <c r="M91" s="138" t="s">
        <v>1139</v>
      </c>
      <c r="N91" s="129"/>
      <c r="O91" s="140"/>
      <c r="P91" s="140" t="s">
        <v>6222</v>
      </c>
      <c r="Q91" s="76" t="s">
        <v>22</v>
      </c>
      <c r="R91" s="140"/>
      <c r="S91" s="140"/>
      <c r="T91" s="140"/>
      <c r="U91" s="140"/>
      <c r="V91" s="140"/>
      <c r="W91" s="140"/>
      <c r="X91" s="140"/>
      <c r="Y91" s="140"/>
      <c r="Z91" s="140"/>
      <c r="AA91" s="140"/>
      <c r="AB91" s="140"/>
    </row>
    <row r="92">
      <c r="A92" s="133">
        <v>45929.0</v>
      </c>
      <c r="B92" s="134" t="s">
        <v>117</v>
      </c>
      <c r="C92" s="134" t="s">
        <v>6223</v>
      </c>
      <c r="D92" s="134" t="s">
        <v>6224</v>
      </c>
      <c r="E92" s="134" t="s">
        <v>6225</v>
      </c>
      <c r="F92" s="135">
        <v>1.0</v>
      </c>
      <c r="G92" s="136">
        <v>26.94</v>
      </c>
      <c r="H92" s="142"/>
      <c r="I92" s="142"/>
      <c r="J92" s="137">
        <v>26.94</v>
      </c>
      <c r="K92" s="137">
        <v>26.94</v>
      </c>
      <c r="L92" s="134" t="s">
        <v>80</v>
      </c>
      <c r="M92" s="138" t="s">
        <v>1139</v>
      </c>
      <c r="N92" s="129"/>
      <c r="O92" s="140"/>
      <c r="P92" s="140" t="s">
        <v>6226</v>
      </c>
      <c r="Q92" s="76" t="s">
        <v>22</v>
      </c>
      <c r="R92" s="140"/>
      <c r="S92" s="140"/>
      <c r="T92" s="140"/>
      <c r="U92" s="140"/>
      <c r="V92" s="140"/>
      <c r="W92" s="140"/>
      <c r="X92" s="140"/>
      <c r="Y92" s="140"/>
      <c r="Z92" s="140"/>
      <c r="AA92" s="140"/>
      <c r="AB92" s="140"/>
    </row>
    <row r="93">
      <c r="A93" s="133">
        <v>45929.0</v>
      </c>
      <c r="B93" s="134" t="s">
        <v>117</v>
      </c>
      <c r="C93" s="134" t="s">
        <v>6227</v>
      </c>
      <c r="D93" s="134" t="s">
        <v>6224</v>
      </c>
      <c r="E93" s="134" t="s">
        <v>6228</v>
      </c>
      <c r="F93" s="135">
        <v>1.0</v>
      </c>
      <c r="G93" s="136">
        <v>16.99</v>
      </c>
      <c r="H93" s="142"/>
      <c r="I93" s="142"/>
      <c r="J93" s="137">
        <v>16.99</v>
      </c>
      <c r="K93" s="137">
        <v>16.99</v>
      </c>
      <c r="L93" s="134" t="s">
        <v>80</v>
      </c>
      <c r="M93" s="138" t="s">
        <v>1139</v>
      </c>
      <c r="N93" s="129"/>
      <c r="O93" s="140"/>
      <c r="P93" s="140" t="s">
        <v>6229</v>
      </c>
      <c r="Q93" s="76" t="s">
        <v>22</v>
      </c>
      <c r="R93" s="140"/>
      <c r="S93" s="140"/>
      <c r="T93" s="140"/>
      <c r="U93" s="140"/>
      <c r="V93" s="140"/>
      <c r="W93" s="140"/>
      <c r="X93" s="140"/>
      <c r="Y93" s="140"/>
      <c r="Z93" s="140"/>
      <c r="AA93" s="140"/>
      <c r="AB93" s="140"/>
    </row>
    <row r="94">
      <c r="A94" s="133">
        <v>45929.0</v>
      </c>
      <c r="B94" s="134" t="s">
        <v>117</v>
      </c>
      <c r="C94" s="134" t="s">
        <v>6230</v>
      </c>
      <c r="D94" s="134" t="s">
        <v>6224</v>
      </c>
      <c r="E94" s="134" t="s">
        <v>6228</v>
      </c>
      <c r="F94" s="135">
        <v>1.0</v>
      </c>
      <c r="G94" s="136">
        <v>17.99</v>
      </c>
      <c r="H94" s="142"/>
      <c r="I94" s="142"/>
      <c r="J94" s="137">
        <v>17.99</v>
      </c>
      <c r="K94" s="137">
        <v>17.99</v>
      </c>
      <c r="L94" s="134" t="s">
        <v>80</v>
      </c>
      <c r="M94" s="138" t="s">
        <v>1139</v>
      </c>
      <c r="N94" s="129"/>
      <c r="O94" s="140"/>
      <c r="P94" s="140" t="s">
        <v>6231</v>
      </c>
      <c r="Q94" s="76" t="s">
        <v>22</v>
      </c>
      <c r="R94" s="140"/>
      <c r="S94" s="140"/>
      <c r="T94" s="140"/>
      <c r="U94" s="140"/>
      <c r="V94" s="140"/>
      <c r="W94" s="140"/>
      <c r="X94" s="140"/>
      <c r="Y94" s="140"/>
      <c r="Z94" s="140"/>
      <c r="AA94" s="140"/>
      <c r="AB94" s="140"/>
    </row>
    <row r="95">
      <c r="A95" s="133">
        <v>45929.0</v>
      </c>
      <c r="B95" s="134" t="s">
        <v>117</v>
      </c>
      <c r="C95" s="134" t="s">
        <v>6232</v>
      </c>
      <c r="D95" s="134" t="s">
        <v>6224</v>
      </c>
      <c r="E95" s="134" t="s">
        <v>6233</v>
      </c>
      <c r="F95" s="135">
        <v>1.0</v>
      </c>
      <c r="G95" s="136">
        <v>11.38</v>
      </c>
      <c r="H95" s="142"/>
      <c r="I95" s="142"/>
      <c r="J95" s="137">
        <v>11.38</v>
      </c>
      <c r="K95" s="137">
        <v>11.38</v>
      </c>
      <c r="L95" s="134" t="s">
        <v>80</v>
      </c>
      <c r="M95" s="138" t="s">
        <v>1139</v>
      </c>
      <c r="N95" s="129"/>
      <c r="O95" s="140"/>
      <c r="P95" s="140" t="s">
        <v>6234</v>
      </c>
      <c r="Q95" s="76" t="s">
        <v>22</v>
      </c>
      <c r="R95" s="140"/>
      <c r="S95" s="140"/>
      <c r="T95" s="140"/>
      <c r="U95" s="140"/>
      <c r="V95" s="140"/>
      <c r="W95" s="140"/>
      <c r="X95" s="140"/>
      <c r="Y95" s="140"/>
      <c r="Z95" s="140"/>
      <c r="AA95" s="140"/>
      <c r="AB95" s="140"/>
    </row>
    <row r="96">
      <c r="A96" s="133">
        <v>45929.0</v>
      </c>
      <c r="B96" s="134" t="s">
        <v>117</v>
      </c>
      <c r="C96" s="134" t="s">
        <v>117</v>
      </c>
      <c r="D96" s="134" t="s">
        <v>6224</v>
      </c>
      <c r="E96" s="134" t="s">
        <v>6235</v>
      </c>
      <c r="F96" s="135">
        <v>1.0</v>
      </c>
      <c r="G96" s="136">
        <v>12.6</v>
      </c>
      <c r="H96" s="142"/>
      <c r="I96" s="142"/>
      <c r="J96" s="137">
        <v>12.6</v>
      </c>
      <c r="K96" s="137">
        <v>12.6</v>
      </c>
      <c r="L96" s="134" t="s">
        <v>80</v>
      </c>
      <c r="M96" s="138" t="s">
        <v>1139</v>
      </c>
      <c r="N96" s="129"/>
      <c r="O96" s="140"/>
      <c r="P96" s="140" t="s">
        <v>6236</v>
      </c>
      <c r="Q96" s="76" t="s">
        <v>22</v>
      </c>
      <c r="R96" s="140"/>
      <c r="S96" s="140"/>
      <c r="T96" s="140"/>
      <c r="U96" s="140"/>
      <c r="V96" s="140"/>
      <c r="W96" s="140"/>
      <c r="X96" s="140"/>
      <c r="Y96" s="140"/>
      <c r="Z96" s="140"/>
      <c r="AA96" s="140"/>
      <c r="AB96" s="140"/>
    </row>
    <row r="97">
      <c r="A97" s="133">
        <v>45929.0</v>
      </c>
      <c r="B97" s="134" t="s">
        <v>117</v>
      </c>
      <c r="C97" s="134" t="s">
        <v>6237</v>
      </c>
      <c r="D97" s="134" t="s">
        <v>6003</v>
      </c>
      <c r="E97" s="134" t="s">
        <v>6112</v>
      </c>
      <c r="F97" s="135">
        <v>1.0</v>
      </c>
      <c r="G97" s="136">
        <v>8.29</v>
      </c>
      <c r="H97" s="142"/>
      <c r="I97" s="142"/>
      <c r="J97" s="137">
        <v>8.29</v>
      </c>
      <c r="K97" s="137">
        <v>8.29</v>
      </c>
      <c r="L97" s="134" t="s">
        <v>80</v>
      </c>
      <c r="M97" s="138" t="s">
        <v>1139</v>
      </c>
      <c r="N97" s="129"/>
      <c r="O97" s="140"/>
      <c r="P97" s="140" t="s">
        <v>6238</v>
      </c>
      <c r="Q97" s="76" t="s">
        <v>22</v>
      </c>
      <c r="R97" s="140"/>
      <c r="S97" s="140"/>
      <c r="T97" s="140"/>
      <c r="U97" s="140"/>
      <c r="V97" s="140"/>
      <c r="W97" s="140"/>
      <c r="X97" s="140"/>
      <c r="Y97" s="140"/>
      <c r="Z97" s="140"/>
      <c r="AA97" s="140"/>
      <c r="AB97" s="140"/>
    </row>
    <row r="98">
      <c r="A98" s="133">
        <v>45929.0</v>
      </c>
      <c r="B98" s="134" t="s">
        <v>117</v>
      </c>
      <c r="C98" s="134" t="s">
        <v>6239</v>
      </c>
      <c r="D98" s="134" t="s">
        <v>5981</v>
      </c>
      <c r="E98" s="134" t="s">
        <v>6240</v>
      </c>
      <c r="F98" s="135">
        <v>1.0</v>
      </c>
      <c r="G98" s="136">
        <v>4.99</v>
      </c>
      <c r="H98" s="142"/>
      <c r="I98" s="136">
        <v>1.37</v>
      </c>
      <c r="J98" s="137">
        <v>3.62</v>
      </c>
      <c r="K98" s="137">
        <v>3.62</v>
      </c>
      <c r="L98" s="134" t="s">
        <v>80</v>
      </c>
      <c r="M98" s="138" t="s">
        <v>1139</v>
      </c>
      <c r="N98" s="129"/>
      <c r="O98" s="140"/>
      <c r="P98" s="140" t="s">
        <v>6241</v>
      </c>
      <c r="Q98" s="76" t="s">
        <v>22</v>
      </c>
      <c r="R98" s="140"/>
      <c r="S98" s="140"/>
      <c r="T98" s="140"/>
      <c r="U98" s="140"/>
      <c r="V98" s="140"/>
      <c r="W98" s="140"/>
      <c r="X98" s="140"/>
      <c r="Y98" s="140"/>
      <c r="Z98" s="140"/>
      <c r="AA98" s="140"/>
      <c r="AB98" s="140"/>
    </row>
    <row r="99">
      <c r="A99" s="133">
        <v>45929.0</v>
      </c>
      <c r="B99" s="134" t="s">
        <v>117</v>
      </c>
      <c r="C99" s="134" t="s">
        <v>6242</v>
      </c>
      <c r="D99" s="134" t="s">
        <v>6021</v>
      </c>
      <c r="E99" s="134" t="s">
        <v>6059</v>
      </c>
      <c r="F99" s="135">
        <v>1.0</v>
      </c>
      <c r="G99" s="136">
        <v>9.99</v>
      </c>
      <c r="H99" s="142"/>
      <c r="I99" s="142"/>
      <c r="J99" s="137">
        <v>9.99</v>
      </c>
      <c r="K99" s="137">
        <v>9.99</v>
      </c>
      <c r="L99" s="134" t="s">
        <v>80</v>
      </c>
      <c r="M99" s="138" t="s">
        <v>1139</v>
      </c>
      <c r="N99" s="129"/>
      <c r="O99" s="140"/>
      <c r="P99" s="140" t="s">
        <v>6243</v>
      </c>
      <c r="Q99" s="76" t="s">
        <v>22</v>
      </c>
      <c r="R99" s="140"/>
      <c r="S99" s="140"/>
      <c r="T99" s="140"/>
      <c r="U99" s="140"/>
      <c r="V99" s="140"/>
      <c r="W99" s="140"/>
      <c r="X99" s="140"/>
      <c r="Y99" s="140"/>
      <c r="Z99" s="140"/>
      <c r="AA99" s="140"/>
      <c r="AB99" s="140"/>
    </row>
    <row r="100">
      <c r="A100" s="133">
        <v>45929.0</v>
      </c>
      <c r="B100" s="134" t="s">
        <v>117</v>
      </c>
      <c r="C100" s="134" t="s">
        <v>6244</v>
      </c>
      <c r="D100" s="134" t="s">
        <v>6021</v>
      </c>
      <c r="E100" s="134" t="s">
        <v>6245</v>
      </c>
      <c r="F100" s="135">
        <v>1.0</v>
      </c>
      <c r="G100" s="136">
        <v>15.95</v>
      </c>
      <c r="H100" s="142"/>
      <c r="I100" s="142"/>
      <c r="J100" s="137">
        <v>15.95</v>
      </c>
      <c r="K100" s="137">
        <v>15.95</v>
      </c>
      <c r="L100" s="134" t="s">
        <v>80</v>
      </c>
      <c r="M100" s="138" t="s">
        <v>1139</v>
      </c>
      <c r="N100" s="129"/>
      <c r="O100" s="140"/>
      <c r="P100" s="140" t="s">
        <v>6246</v>
      </c>
      <c r="Q100" s="76" t="s">
        <v>22</v>
      </c>
      <c r="R100" s="140"/>
      <c r="S100" s="140"/>
      <c r="T100" s="140"/>
      <c r="U100" s="140"/>
      <c r="V100" s="140"/>
      <c r="W100" s="140"/>
      <c r="X100" s="140"/>
      <c r="Y100" s="140"/>
      <c r="Z100" s="140"/>
      <c r="AA100" s="140"/>
      <c r="AB100" s="140"/>
    </row>
    <row r="101">
      <c r="A101" s="133">
        <v>45930.0</v>
      </c>
      <c r="B101" s="134" t="s">
        <v>117</v>
      </c>
      <c r="C101" s="134" t="s">
        <v>117</v>
      </c>
      <c r="D101" s="134" t="s">
        <v>6247</v>
      </c>
      <c r="E101" s="134" t="s">
        <v>6248</v>
      </c>
      <c r="F101" s="135">
        <v>1.0</v>
      </c>
      <c r="G101" s="136">
        <v>4.99</v>
      </c>
      <c r="H101" s="142"/>
      <c r="I101" s="142"/>
      <c r="J101" s="137">
        <v>4.99</v>
      </c>
      <c r="K101" s="137">
        <v>4.99</v>
      </c>
      <c r="L101" s="134" t="s">
        <v>80</v>
      </c>
      <c r="M101" s="138" t="s">
        <v>1160</v>
      </c>
      <c r="N101" s="129"/>
      <c r="O101" s="140"/>
      <c r="P101" s="140" t="s">
        <v>6249</v>
      </c>
      <c r="Q101" s="76" t="s">
        <v>22</v>
      </c>
      <c r="R101" s="140"/>
      <c r="S101" s="140"/>
      <c r="T101" s="140"/>
      <c r="U101" s="140"/>
      <c r="V101" s="140"/>
      <c r="W101" s="140"/>
      <c r="X101" s="140"/>
      <c r="Y101" s="140"/>
      <c r="Z101" s="140"/>
      <c r="AA101" s="140"/>
      <c r="AB101" s="140"/>
    </row>
    <row r="102">
      <c r="A102" s="133">
        <v>45930.0</v>
      </c>
      <c r="B102" s="134" t="s">
        <v>117</v>
      </c>
      <c r="C102" s="134" t="s">
        <v>6250</v>
      </c>
      <c r="D102" s="134" t="s">
        <v>6247</v>
      </c>
      <c r="E102" s="134" t="s">
        <v>6251</v>
      </c>
      <c r="F102" s="135">
        <v>1.0</v>
      </c>
      <c r="G102" s="136">
        <v>10.44</v>
      </c>
      <c r="H102" s="142"/>
      <c r="I102" s="142"/>
      <c r="J102" s="137">
        <v>10.44</v>
      </c>
      <c r="K102" s="137">
        <v>10.44</v>
      </c>
      <c r="L102" s="134" t="s">
        <v>80</v>
      </c>
      <c r="M102" s="138" t="s">
        <v>1160</v>
      </c>
      <c r="N102" s="129"/>
      <c r="O102" s="140"/>
      <c r="P102" s="140" t="s">
        <v>6252</v>
      </c>
      <c r="Q102" s="76" t="s">
        <v>22</v>
      </c>
      <c r="R102" s="140"/>
      <c r="S102" s="140"/>
      <c r="T102" s="140"/>
      <c r="U102" s="140"/>
      <c r="V102" s="140"/>
      <c r="W102" s="140"/>
      <c r="X102" s="140"/>
      <c r="Y102" s="140"/>
      <c r="Z102" s="140"/>
      <c r="AA102" s="140"/>
      <c r="AB102" s="140"/>
    </row>
    <row r="103">
      <c r="A103" s="133">
        <v>45939.0</v>
      </c>
      <c r="B103" s="134" t="s">
        <v>117</v>
      </c>
      <c r="C103" s="134" t="s">
        <v>6253</v>
      </c>
      <c r="D103" s="134" t="s">
        <v>6224</v>
      </c>
      <c r="E103" s="134" t="s">
        <v>6254</v>
      </c>
      <c r="F103" s="135">
        <v>1.0</v>
      </c>
      <c r="G103" s="136">
        <v>5.69</v>
      </c>
      <c r="H103" s="142"/>
      <c r="I103" s="142"/>
      <c r="J103" s="137">
        <v>5.69</v>
      </c>
      <c r="K103" s="137">
        <v>5.69</v>
      </c>
      <c r="L103" s="134" t="s">
        <v>80</v>
      </c>
      <c r="M103" s="138" t="s">
        <v>1148</v>
      </c>
      <c r="N103" s="129"/>
      <c r="O103" s="140"/>
      <c r="P103" s="140" t="s">
        <v>6255</v>
      </c>
      <c r="Q103" s="76" t="s">
        <v>22</v>
      </c>
      <c r="R103" s="140"/>
      <c r="S103" s="140"/>
      <c r="T103" s="140"/>
      <c r="U103" s="140"/>
      <c r="V103" s="140"/>
      <c r="W103" s="140"/>
      <c r="X103" s="140"/>
      <c r="Y103" s="140"/>
      <c r="Z103" s="140"/>
      <c r="AA103" s="140"/>
      <c r="AB103" s="140"/>
    </row>
    <row r="104">
      <c r="A104" s="133">
        <v>45939.0</v>
      </c>
      <c r="B104" s="134" t="s">
        <v>117</v>
      </c>
      <c r="C104" s="134" t="s">
        <v>6256</v>
      </c>
      <c r="D104" s="134" t="s">
        <v>6224</v>
      </c>
      <c r="E104" s="134" t="s">
        <v>6257</v>
      </c>
      <c r="F104" s="135">
        <v>1.0</v>
      </c>
      <c r="G104" s="136">
        <v>21.97</v>
      </c>
      <c r="H104" s="142"/>
      <c r="I104" s="142"/>
      <c r="J104" s="137">
        <v>21.97</v>
      </c>
      <c r="K104" s="137">
        <v>21.97</v>
      </c>
      <c r="L104" s="134" t="s">
        <v>80</v>
      </c>
      <c r="M104" s="138" t="s">
        <v>1148</v>
      </c>
      <c r="N104" s="129"/>
      <c r="O104" s="140"/>
      <c r="P104" s="140" t="s">
        <v>6258</v>
      </c>
      <c r="Q104" s="76" t="s">
        <v>22</v>
      </c>
      <c r="R104" s="140"/>
      <c r="S104" s="140"/>
      <c r="T104" s="140"/>
      <c r="U104" s="140"/>
      <c r="V104" s="140"/>
      <c r="W104" s="140"/>
      <c r="X104" s="140"/>
      <c r="Y104" s="140"/>
      <c r="Z104" s="140"/>
      <c r="AA104" s="140"/>
      <c r="AB104" s="140"/>
    </row>
    <row r="105">
      <c r="A105" s="133">
        <v>45939.0</v>
      </c>
      <c r="B105" s="134" t="s">
        <v>117</v>
      </c>
      <c r="C105" s="134" t="s">
        <v>6259</v>
      </c>
      <c r="D105" s="134" t="s">
        <v>6260</v>
      </c>
      <c r="E105" s="134" t="s">
        <v>6261</v>
      </c>
      <c r="F105" s="135">
        <v>1.0</v>
      </c>
      <c r="G105" s="136">
        <v>24.99</v>
      </c>
      <c r="H105" s="142"/>
      <c r="I105" s="142"/>
      <c r="J105" s="137">
        <v>24.99</v>
      </c>
      <c r="K105" s="137">
        <v>24.99</v>
      </c>
      <c r="L105" s="134" t="s">
        <v>80</v>
      </c>
      <c r="M105" s="138" t="s">
        <v>1148</v>
      </c>
      <c r="N105" s="129"/>
      <c r="O105" s="140"/>
      <c r="P105" s="140" t="s">
        <v>6262</v>
      </c>
      <c r="Q105" s="76" t="s">
        <v>22</v>
      </c>
      <c r="R105" s="140"/>
      <c r="S105" s="140"/>
      <c r="T105" s="140"/>
      <c r="U105" s="140"/>
      <c r="V105" s="140"/>
      <c r="W105" s="140"/>
      <c r="X105" s="140"/>
      <c r="Y105" s="140"/>
      <c r="Z105" s="140"/>
      <c r="AA105" s="140"/>
      <c r="AB105" s="140"/>
    </row>
    <row r="106">
      <c r="A106" s="133">
        <v>45939.0</v>
      </c>
      <c r="B106" s="134" t="s">
        <v>117</v>
      </c>
      <c r="C106" s="134" t="s">
        <v>6263</v>
      </c>
      <c r="D106" s="134" t="s">
        <v>6260</v>
      </c>
      <c r="E106" s="134" t="s">
        <v>6264</v>
      </c>
      <c r="F106" s="135">
        <v>1.0</v>
      </c>
      <c r="G106" s="136">
        <v>14.99</v>
      </c>
      <c r="H106" s="142"/>
      <c r="I106" s="136">
        <v>3.61</v>
      </c>
      <c r="J106" s="137">
        <v>11.38</v>
      </c>
      <c r="K106" s="137">
        <v>11.38</v>
      </c>
      <c r="L106" s="134" t="s">
        <v>80</v>
      </c>
      <c r="M106" s="138" t="s">
        <v>1148</v>
      </c>
      <c r="N106" s="129"/>
      <c r="O106" s="140"/>
      <c r="P106" s="140" t="s">
        <v>6265</v>
      </c>
      <c r="Q106" s="76" t="s">
        <v>22</v>
      </c>
      <c r="R106" s="140"/>
      <c r="S106" s="140"/>
      <c r="T106" s="140"/>
      <c r="U106" s="140"/>
      <c r="V106" s="140"/>
      <c r="W106" s="140"/>
      <c r="X106" s="140"/>
      <c r="Y106" s="140"/>
      <c r="Z106" s="140"/>
      <c r="AA106" s="140"/>
      <c r="AB106" s="140"/>
    </row>
    <row r="107">
      <c r="A107" s="133">
        <v>45924.0</v>
      </c>
      <c r="B107" s="134" t="s">
        <v>6266</v>
      </c>
      <c r="C107" s="134" t="s">
        <v>6267</v>
      </c>
      <c r="D107" s="134" t="s">
        <v>5985</v>
      </c>
      <c r="E107" s="134" t="s">
        <v>6268</v>
      </c>
      <c r="F107" s="135">
        <v>1.0</v>
      </c>
      <c r="G107" s="136">
        <v>29.91</v>
      </c>
      <c r="H107" s="142"/>
      <c r="I107" s="142"/>
      <c r="J107" s="137">
        <v>29.91</v>
      </c>
      <c r="K107" s="137">
        <v>29.91</v>
      </c>
      <c r="L107" s="134" t="s">
        <v>80</v>
      </c>
      <c r="M107" s="138" t="s">
        <v>1152</v>
      </c>
      <c r="N107" s="129"/>
      <c r="O107" s="140"/>
      <c r="P107" s="140" t="s">
        <v>6269</v>
      </c>
      <c r="Q107" s="76" t="s">
        <v>22</v>
      </c>
      <c r="R107" s="140"/>
      <c r="S107" s="140"/>
      <c r="T107" s="140"/>
      <c r="U107" s="140"/>
      <c r="V107" s="140"/>
      <c r="W107" s="140"/>
      <c r="X107" s="140"/>
      <c r="Y107" s="140"/>
      <c r="Z107" s="140"/>
      <c r="AA107" s="140"/>
      <c r="AB107" s="140"/>
    </row>
    <row r="108">
      <c r="A108" s="133">
        <v>45924.0</v>
      </c>
      <c r="B108" s="134" t="s">
        <v>6266</v>
      </c>
      <c r="C108" s="134" t="s">
        <v>6267</v>
      </c>
      <c r="D108" s="134" t="s">
        <v>6069</v>
      </c>
      <c r="E108" s="134" t="s">
        <v>6268</v>
      </c>
      <c r="F108" s="135">
        <v>1.0</v>
      </c>
      <c r="G108" s="136">
        <v>2.99</v>
      </c>
      <c r="H108" s="142"/>
      <c r="I108" s="142"/>
      <c r="J108" s="137">
        <v>2.99</v>
      </c>
      <c r="K108" s="137">
        <v>2.99</v>
      </c>
      <c r="L108" s="134" t="s">
        <v>80</v>
      </c>
      <c r="M108" s="138" t="s">
        <v>1152</v>
      </c>
      <c r="N108" s="129"/>
      <c r="O108" s="140"/>
      <c r="P108" s="140" t="s">
        <v>6270</v>
      </c>
      <c r="Q108" s="76" t="s">
        <v>22</v>
      </c>
      <c r="R108" s="140"/>
      <c r="S108" s="140"/>
      <c r="T108" s="140"/>
      <c r="U108" s="140"/>
      <c r="V108" s="140"/>
      <c r="W108" s="140"/>
      <c r="X108" s="140"/>
      <c r="Y108" s="140"/>
      <c r="Z108" s="140"/>
      <c r="AA108" s="140"/>
      <c r="AB108" s="140"/>
    </row>
    <row r="109">
      <c r="A109" s="133">
        <v>45924.0</v>
      </c>
      <c r="B109" s="134" t="s">
        <v>6266</v>
      </c>
      <c r="C109" s="134" t="s">
        <v>6271</v>
      </c>
      <c r="D109" s="134" t="s">
        <v>6147</v>
      </c>
      <c r="E109" s="134" t="s">
        <v>6272</v>
      </c>
      <c r="F109" s="135">
        <v>1.0</v>
      </c>
      <c r="G109" s="136">
        <v>35.26</v>
      </c>
      <c r="H109" s="142"/>
      <c r="I109" s="142"/>
      <c r="J109" s="137">
        <v>35.26</v>
      </c>
      <c r="K109" s="137">
        <v>35.26</v>
      </c>
      <c r="L109" s="134" t="s">
        <v>80</v>
      </c>
      <c r="M109" s="138" t="s">
        <v>1152</v>
      </c>
      <c r="N109" s="129"/>
      <c r="O109" s="140"/>
      <c r="P109" s="140" t="s">
        <v>6273</v>
      </c>
      <c r="Q109" s="76" t="s">
        <v>22</v>
      </c>
      <c r="R109" s="140"/>
      <c r="S109" s="140"/>
      <c r="T109" s="140"/>
      <c r="U109" s="140"/>
      <c r="V109" s="140"/>
      <c r="W109" s="140"/>
      <c r="X109" s="140"/>
      <c r="Y109" s="140"/>
      <c r="Z109" s="140"/>
      <c r="AA109" s="140"/>
      <c r="AB109" s="140"/>
    </row>
    <row r="110">
      <c r="A110" s="133">
        <v>45924.0</v>
      </c>
      <c r="B110" s="134" t="s">
        <v>6266</v>
      </c>
      <c r="C110" s="134" t="s">
        <v>6274</v>
      </c>
      <c r="D110" s="134" t="s">
        <v>6032</v>
      </c>
      <c r="E110" s="134" t="s">
        <v>6275</v>
      </c>
      <c r="F110" s="135">
        <v>1.0</v>
      </c>
      <c r="G110" s="136">
        <v>29.08</v>
      </c>
      <c r="H110" s="142"/>
      <c r="I110" s="142"/>
      <c r="J110" s="137">
        <v>29.08</v>
      </c>
      <c r="K110" s="137">
        <v>29.08</v>
      </c>
      <c r="L110" s="134" t="s">
        <v>80</v>
      </c>
      <c r="M110" s="138" t="s">
        <v>1152</v>
      </c>
      <c r="N110" s="129"/>
      <c r="O110" s="140"/>
      <c r="P110" s="140" t="s">
        <v>6276</v>
      </c>
      <c r="Q110" s="76" t="s">
        <v>22</v>
      </c>
      <c r="R110" s="140"/>
      <c r="S110" s="140"/>
      <c r="T110" s="140"/>
      <c r="U110" s="140"/>
      <c r="V110" s="140"/>
      <c r="W110" s="140"/>
      <c r="X110" s="140"/>
      <c r="Y110" s="140"/>
      <c r="Z110" s="140"/>
      <c r="AA110" s="140"/>
      <c r="AB110" s="140"/>
    </row>
    <row r="111">
      <c r="A111" s="133">
        <v>45924.0</v>
      </c>
      <c r="B111" s="134" t="s">
        <v>6266</v>
      </c>
      <c r="C111" s="134" t="s">
        <v>6274</v>
      </c>
      <c r="D111" s="134" t="s">
        <v>6069</v>
      </c>
      <c r="E111" s="134" t="s">
        <v>6275</v>
      </c>
      <c r="F111" s="135">
        <v>1.0</v>
      </c>
      <c r="G111" s="136">
        <v>2.99</v>
      </c>
      <c r="H111" s="142"/>
      <c r="I111" s="142"/>
      <c r="J111" s="137">
        <v>2.99</v>
      </c>
      <c r="K111" s="137">
        <v>2.99</v>
      </c>
      <c r="L111" s="134" t="s">
        <v>80</v>
      </c>
      <c r="M111" s="138" t="s">
        <v>1152</v>
      </c>
      <c r="N111" s="129"/>
      <c r="O111" s="140"/>
      <c r="P111" s="140" t="s">
        <v>6277</v>
      </c>
      <c r="Q111" s="76" t="s">
        <v>22</v>
      </c>
      <c r="R111" s="140"/>
      <c r="S111" s="140"/>
      <c r="T111" s="140"/>
      <c r="U111" s="140"/>
      <c r="V111" s="140"/>
      <c r="W111" s="140"/>
      <c r="X111" s="140"/>
      <c r="Y111" s="140"/>
      <c r="Z111" s="140"/>
      <c r="AA111" s="140"/>
      <c r="AB111" s="140"/>
    </row>
    <row r="112">
      <c r="A112" s="133">
        <v>45924.0</v>
      </c>
      <c r="B112" s="134" t="s">
        <v>6266</v>
      </c>
      <c r="C112" s="134" t="s">
        <v>6278</v>
      </c>
      <c r="D112" s="134" t="s">
        <v>6247</v>
      </c>
      <c r="E112" s="134" t="s">
        <v>6279</v>
      </c>
      <c r="F112" s="135">
        <v>1.0</v>
      </c>
      <c r="G112" s="136">
        <v>10.68</v>
      </c>
      <c r="H112" s="142"/>
      <c r="I112" s="142"/>
      <c r="J112" s="137">
        <v>10.68</v>
      </c>
      <c r="K112" s="137">
        <v>10.68</v>
      </c>
      <c r="L112" s="134" t="s">
        <v>80</v>
      </c>
      <c r="M112" s="138" t="s">
        <v>1152</v>
      </c>
      <c r="N112" s="129"/>
      <c r="O112" s="140"/>
      <c r="P112" s="140" t="s">
        <v>6280</v>
      </c>
      <c r="Q112" s="76" t="s">
        <v>22</v>
      </c>
      <c r="R112" s="140"/>
      <c r="S112" s="140"/>
      <c r="T112" s="140"/>
      <c r="U112" s="140"/>
      <c r="V112" s="140"/>
      <c r="W112" s="140"/>
      <c r="X112" s="140"/>
      <c r="Y112" s="140"/>
      <c r="Z112" s="140"/>
      <c r="AA112" s="140"/>
      <c r="AB112" s="140"/>
    </row>
    <row r="113">
      <c r="A113" s="133">
        <v>45924.0</v>
      </c>
      <c r="B113" s="134" t="s">
        <v>6266</v>
      </c>
      <c r="C113" s="134" t="s">
        <v>6278</v>
      </c>
      <c r="D113" s="134" t="s">
        <v>6069</v>
      </c>
      <c r="E113" s="134" t="s">
        <v>6279</v>
      </c>
      <c r="F113" s="135">
        <v>1.0</v>
      </c>
      <c r="G113" s="136">
        <v>2.99</v>
      </c>
      <c r="H113" s="142"/>
      <c r="I113" s="142"/>
      <c r="J113" s="137">
        <v>2.99</v>
      </c>
      <c r="K113" s="137">
        <v>2.99</v>
      </c>
      <c r="L113" s="134" t="s">
        <v>80</v>
      </c>
      <c r="M113" s="138" t="s">
        <v>1152</v>
      </c>
      <c r="N113" s="129"/>
      <c r="O113" s="140"/>
      <c r="P113" s="140" t="s">
        <v>6281</v>
      </c>
      <c r="Q113" s="76" t="s">
        <v>22</v>
      </c>
      <c r="R113" s="140"/>
      <c r="S113" s="140"/>
      <c r="T113" s="140"/>
      <c r="U113" s="140"/>
      <c r="V113" s="140"/>
      <c r="W113" s="140"/>
      <c r="X113" s="140"/>
      <c r="Y113" s="140"/>
      <c r="Z113" s="140"/>
      <c r="AA113" s="140"/>
      <c r="AB113" s="140"/>
    </row>
    <row r="114">
      <c r="A114" s="133">
        <v>45924.0</v>
      </c>
      <c r="B114" s="134" t="s">
        <v>6266</v>
      </c>
      <c r="C114" s="134" t="s">
        <v>6282</v>
      </c>
      <c r="D114" s="134" t="s">
        <v>5985</v>
      </c>
      <c r="E114" s="134" t="s">
        <v>6268</v>
      </c>
      <c r="F114" s="135">
        <v>1.0</v>
      </c>
      <c r="G114" s="136">
        <v>41.29</v>
      </c>
      <c r="H114" s="142"/>
      <c r="I114" s="142"/>
      <c r="J114" s="137">
        <v>41.29</v>
      </c>
      <c r="K114" s="137">
        <v>41.29</v>
      </c>
      <c r="L114" s="134" t="s">
        <v>80</v>
      </c>
      <c r="M114" s="138" t="s">
        <v>1152</v>
      </c>
      <c r="N114" s="129"/>
      <c r="O114" s="140"/>
      <c r="P114" s="140" t="s">
        <v>6283</v>
      </c>
      <c r="Q114" s="76" t="s">
        <v>22</v>
      </c>
      <c r="R114" s="140"/>
      <c r="S114" s="140"/>
      <c r="T114" s="140"/>
      <c r="U114" s="140"/>
      <c r="V114" s="140"/>
      <c r="W114" s="140"/>
      <c r="X114" s="140"/>
      <c r="Y114" s="140"/>
      <c r="Z114" s="140"/>
      <c r="AA114" s="140"/>
      <c r="AB114" s="140"/>
    </row>
    <row r="115">
      <c r="A115" s="133">
        <v>45924.0</v>
      </c>
      <c r="B115" s="134" t="s">
        <v>6266</v>
      </c>
      <c r="C115" s="134" t="s">
        <v>6284</v>
      </c>
      <c r="D115" s="134" t="s">
        <v>5981</v>
      </c>
      <c r="E115" s="134" t="s">
        <v>6285</v>
      </c>
      <c r="F115" s="135">
        <v>1.0</v>
      </c>
      <c r="G115" s="136">
        <v>19.08</v>
      </c>
      <c r="H115" s="142"/>
      <c r="I115" s="142"/>
      <c r="J115" s="137">
        <v>19.08</v>
      </c>
      <c r="K115" s="137">
        <v>19.08</v>
      </c>
      <c r="L115" s="134" t="s">
        <v>80</v>
      </c>
      <c r="M115" s="138" t="s">
        <v>1152</v>
      </c>
      <c r="N115" s="129"/>
      <c r="O115" s="140"/>
      <c r="P115" s="140" t="s">
        <v>6286</v>
      </c>
      <c r="Q115" s="76" t="s">
        <v>22</v>
      </c>
      <c r="R115" s="140"/>
      <c r="S115" s="140"/>
      <c r="T115" s="140"/>
      <c r="U115" s="140"/>
      <c r="V115" s="140"/>
      <c r="W115" s="140"/>
      <c r="X115" s="140"/>
      <c r="Y115" s="140"/>
      <c r="Z115" s="140"/>
      <c r="AA115" s="140"/>
      <c r="AB115" s="140"/>
    </row>
    <row r="116">
      <c r="A116" s="133">
        <v>45924.0</v>
      </c>
      <c r="B116" s="134" t="s">
        <v>6266</v>
      </c>
      <c r="C116" s="134" t="s">
        <v>6287</v>
      </c>
      <c r="D116" s="134" t="s">
        <v>5985</v>
      </c>
      <c r="E116" s="134" t="s">
        <v>5986</v>
      </c>
      <c r="F116" s="135">
        <v>1.0</v>
      </c>
      <c r="G116" s="136">
        <v>39.95</v>
      </c>
      <c r="H116" s="142"/>
      <c r="I116" s="142"/>
      <c r="J116" s="137">
        <v>39.95</v>
      </c>
      <c r="K116" s="137">
        <v>39.95</v>
      </c>
      <c r="L116" s="134" t="s">
        <v>80</v>
      </c>
      <c r="M116" s="138" t="s">
        <v>1152</v>
      </c>
      <c r="N116" s="129"/>
      <c r="O116" s="140"/>
      <c r="P116" s="140" t="s">
        <v>6288</v>
      </c>
      <c r="Q116" s="76" t="s">
        <v>22</v>
      </c>
      <c r="R116" s="140"/>
      <c r="S116" s="140"/>
      <c r="T116" s="140"/>
      <c r="U116" s="140"/>
      <c r="V116" s="140"/>
      <c r="W116" s="140"/>
      <c r="X116" s="140"/>
      <c r="Y116" s="140"/>
      <c r="Z116" s="140"/>
      <c r="AA116" s="140"/>
      <c r="AB116" s="140"/>
    </row>
    <row r="117">
      <c r="A117" s="133">
        <v>45924.0</v>
      </c>
      <c r="B117" s="134" t="s">
        <v>6266</v>
      </c>
      <c r="C117" s="134" t="s">
        <v>6289</v>
      </c>
      <c r="D117" s="134" t="s">
        <v>5981</v>
      </c>
      <c r="E117" s="134" t="s">
        <v>6290</v>
      </c>
      <c r="F117" s="135">
        <v>1.0</v>
      </c>
      <c r="G117" s="136">
        <v>32.26</v>
      </c>
      <c r="H117" s="142"/>
      <c r="I117" s="142"/>
      <c r="J117" s="137">
        <v>32.26</v>
      </c>
      <c r="K117" s="137">
        <v>32.26</v>
      </c>
      <c r="L117" s="134" t="s">
        <v>80</v>
      </c>
      <c r="M117" s="138" t="s">
        <v>1152</v>
      </c>
      <c r="N117" s="129"/>
      <c r="O117" s="140"/>
      <c r="P117" s="140" t="s">
        <v>6291</v>
      </c>
      <c r="Q117" s="76" t="s">
        <v>22</v>
      </c>
      <c r="R117" s="140"/>
      <c r="S117" s="140"/>
      <c r="T117" s="140"/>
      <c r="U117" s="140"/>
      <c r="V117" s="140"/>
      <c r="W117" s="140"/>
      <c r="X117" s="140"/>
      <c r="Y117" s="140"/>
      <c r="Z117" s="140"/>
      <c r="AA117" s="140"/>
      <c r="AB117" s="140"/>
    </row>
    <row r="118">
      <c r="A118" s="133">
        <v>45924.0</v>
      </c>
      <c r="B118" s="134" t="s">
        <v>6266</v>
      </c>
      <c r="C118" s="134" t="s">
        <v>6289</v>
      </c>
      <c r="D118" s="134" t="s">
        <v>6069</v>
      </c>
      <c r="E118" s="134" t="s">
        <v>6290</v>
      </c>
      <c r="F118" s="135">
        <v>1.0</v>
      </c>
      <c r="G118" s="136">
        <v>2.99</v>
      </c>
      <c r="H118" s="142"/>
      <c r="I118" s="142"/>
      <c r="J118" s="137">
        <v>2.99</v>
      </c>
      <c r="K118" s="137">
        <v>2.99</v>
      </c>
      <c r="L118" s="134" t="s">
        <v>80</v>
      </c>
      <c r="M118" s="138" t="s">
        <v>1152</v>
      </c>
      <c r="N118" s="129"/>
      <c r="O118" s="140"/>
      <c r="P118" s="140" t="s">
        <v>6292</v>
      </c>
      <c r="Q118" s="76" t="s">
        <v>22</v>
      </c>
      <c r="R118" s="140"/>
      <c r="S118" s="140"/>
      <c r="T118" s="140"/>
      <c r="U118" s="140"/>
      <c r="V118" s="140"/>
      <c r="W118" s="140"/>
      <c r="X118" s="140"/>
      <c r="Y118" s="140"/>
      <c r="Z118" s="140"/>
      <c r="AA118" s="140"/>
      <c r="AB118" s="140"/>
    </row>
    <row r="119">
      <c r="A119" s="133">
        <v>45924.0</v>
      </c>
      <c r="B119" s="134" t="s">
        <v>6266</v>
      </c>
      <c r="C119" s="134" t="s">
        <v>6293</v>
      </c>
      <c r="D119" s="134" t="s">
        <v>5981</v>
      </c>
      <c r="E119" s="134" t="s">
        <v>6294</v>
      </c>
      <c r="F119" s="135">
        <v>1.0</v>
      </c>
      <c r="G119" s="136">
        <v>55.62</v>
      </c>
      <c r="H119" s="142"/>
      <c r="I119" s="142"/>
      <c r="J119" s="137">
        <v>55.62</v>
      </c>
      <c r="K119" s="137">
        <v>55.62</v>
      </c>
      <c r="L119" s="134" t="s">
        <v>80</v>
      </c>
      <c r="M119" s="138" t="s">
        <v>1152</v>
      </c>
      <c r="N119" s="129"/>
      <c r="O119" s="140"/>
      <c r="P119" s="140" t="s">
        <v>6295</v>
      </c>
      <c r="Q119" s="76" t="s">
        <v>22</v>
      </c>
      <c r="R119" s="140"/>
      <c r="S119" s="140"/>
      <c r="T119" s="140"/>
      <c r="U119" s="140"/>
      <c r="V119" s="140"/>
      <c r="W119" s="140"/>
      <c r="X119" s="140"/>
      <c r="Y119" s="140"/>
      <c r="Z119" s="140"/>
      <c r="AA119" s="140"/>
      <c r="AB119" s="140"/>
    </row>
    <row r="120">
      <c r="A120" s="133">
        <v>45924.0</v>
      </c>
      <c r="B120" s="134" t="s">
        <v>6266</v>
      </c>
      <c r="C120" s="134" t="s">
        <v>6296</v>
      </c>
      <c r="D120" s="134" t="s">
        <v>6224</v>
      </c>
      <c r="E120" s="134" t="s">
        <v>6233</v>
      </c>
      <c r="F120" s="135">
        <v>1.0</v>
      </c>
      <c r="G120" s="136">
        <v>3.44</v>
      </c>
      <c r="H120" s="142"/>
      <c r="I120" s="136">
        <v>3.44</v>
      </c>
      <c r="J120" s="137">
        <v>0.0</v>
      </c>
      <c r="K120" s="137">
        <v>0.0</v>
      </c>
      <c r="L120" s="134" t="s">
        <v>80</v>
      </c>
      <c r="M120" s="138" t="s">
        <v>1152</v>
      </c>
      <c r="N120" s="129"/>
      <c r="O120" s="140"/>
      <c r="P120" s="140" t="s">
        <v>6297</v>
      </c>
      <c r="Q120" s="76" t="s">
        <v>22</v>
      </c>
      <c r="R120" s="140"/>
      <c r="S120" s="140"/>
      <c r="T120" s="140"/>
      <c r="U120" s="140"/>
      <c r="V120" s="140"/>
      <c r="W120" s="140"/>
      <c r="X120" s="140"/>
      <c r="Y120" s="140"/>
      <c r="Z120" s="140"/>
      <c r="AA120" s="140"/>
      <c r="AB120" s="140"/>
    </row>
    <row r="121">
      <c r="A121" s="133">
        <v>45924.0</v>
      </c>
      <c r="B121" s="134" t="s">
        <v>6266</v>
      </c>
      <c r="C121" s="134" t="s">
        <v>6296</v>
      </c>
      <c r="D121" s="134" t="s">
        <v>6069</v>
      </c>
      <c r="E121" s="134" t="s">
        <v>6233</v>
      </c>
      <c r="F121" s="135">
        <v>1.0</v>
      </c>
      <c r="G121" s="136">
        <v>2.99</v>
      </c>
      <c r="H121" s="142"/>
      <c r="I121" s="142"/>
      <c r="J121" s="137">
        <v>2.99</v>
      </c>
      <c r="K121" s="137">
        <v>2.99</v>
      </c>
      <c r="L121" s="134" t="s">
        <v>80</v>
      </c>
      <c r="M121" s="138" t="s">
        <v>1152</v>
      </c>
      <c r="N121" s="129"/>
      <c r="O121" s="140"/>
      <c r="P121" s="140" t="s">
        <v>6298</v>
      </c>
      <c r="Q121" s="76" t="s">
        <v>22</v>
      </c>
      <c r="R121" s="140"/>
      <c r="S121" s="140"/>
      <c r="T121" s="140"/>
      <c r="U121" s="140"/>
      <c r="V121" s="140"/>
      <c r="W121" s="140"/>
      <c r="X121" s="140"/>
      <c r="Y121" s="140"/>
      <c r="Z121" s="140"/>
      <c r="AA121" s="140"/>
      <c r="AB121" s="140"/>
    </row>
    <row r="122">
      <c r="A122" s="148">
        <v>45928.0</v>
      </c>
      <c r="B122" s="134" t="s">
        <v>6266</v>
      </c>
      <c r="C122" s="134" t="s">
        <v>6299</v>
      </c>
      <c r="D122" s="134" t="s">
        <v>6300</v>
      </c>
      <c r="E122" s="134" t="s">
        <v>6301</v>
      </c>
      <c r="F122" s="135">
        <v>1.0</v>
      </c>
      <c r="G122" s="136">
        <v>8.22</v>
      </c>
      <c r="H122" s="142"/>
      <c r="I122" s="136">
        <v>3.18</v>
      </c>
      <c r="J122" s="137">
        <v>5.04</v>
      </c>
      <c r="K122" s="137">
        <v>5.040000000000001</v>
      </c>
      <c r="L122" s="134" t="s">
        <v>80</v>
      </c>
      <c r="M122" s="138" t="s">
        <v>691</v>
      </c>
      <c r="N122" s="129"/>
      <c r="O122" s="140"/>
      <c r="P122" s="140" t="s">
        <v>6302</v>
      </c>
      <c r="Q122" s="76" t="s">
        <v>22</v>
      </c>
      <c r="R122" s="140"/>
      <c r="S122" s="140"/>
      <c r="T122" s="140"/>
      <c r="U122" s="140"/>
      <c r="V122" s="140"/>
      <c r="W122" s="140"/>
      <c r="X122" s="140"/>
      <c r="Y122" s="140"/>
      <c r="Z122" s="140"/>
      <c r="AA122" s="140"/>
      <c r="AB122" s="140"/>
    </row>
    <row r="123">
      <c r="A123" s="133">
        <v>45928.0</v>
      </c>
      <c r="B123" s="134" t="s">
        <v>6266</v>
      </c>
      <c r="C123" s="134" t="s">
        <v>6299</v>
      </c>
      <c r="D123" s="134" t="s">
        <v>6069</v>
      </c>
      <c r="E123" s="134" t="s">
        <v>6301</v>
      </c>
      <c r="F123" s="135">
        <v>1.0</v>
      </c>
      <c r="G123" s="136">
        <v>2.99</v>
      </c>
      <c r="H123" s="142"/>
      <c r="I123" s="142"/>
      <c r="J123" s="137">
        <v>2.99</v>
      </c>
      <c r="K123" s="137">
        <v>2.99</v>
      </c>
      <c r="L123" s="134" t="s">
        <v>80</v>
      </c>
      <c r="M123" s="138" t="s">
        <v>691</v>
      </c>
      <c r="N123" s="129"/>
      <c r="O123" s="140"/>
      <c r="P123" s="140" t="s">
        <v>6303</v>
      </c>
      <c r="Q123" s="76" t="s">
        <v>22</v>
      </c>
      <c r="R123" s="140"/>
      <c r="S123" s="140"/>
      <c r="T123" s="140"/>
      <c r="U123" s="140"/>
      <c r="V123" s="140"/>
      <c r="W123" s="140"/>
      <c r="X123" s="140"/>
      <c r="Y123" s="140"/>
      <c r="Z123" s="140"/>
      <c r="AA123" s="140"/>
      <c r="AB123" s="140"/>
    </row>
    <row r="124">
      <c r="A124" s="133">
        <v>45928.0</v>
      </c>
      <c r="B124" s="134" t="s">
        <v>6266</v>
      </c>
      <c r="C124" s="146"/>
      <c r="D124" s="134" t="s">
        <v>6247</v>
      </c>
      <c r="E124" s="134" t="s">
        <v>6304</v>
      </c>
      <c r="F124" s="135">
        <v>1.0</v>
      </c>
      <c r="G124" s="136">
        <v>47.89</v>
      </c>
      <c r="H124" s="142"/>
      <c r="I124" s="136">
        <v>3.23</v>
      </c>
      <c r="J124" s="137">
        <v>44.66</v>
      </c>
      <c r="K124" s="137">
        <v>44.660000000000004</v>
      </c>
      <c r="L124" s="134" t="s">
        <v>80</v>
      </c>
      <c r="M124" s="138" t="s">
        <v>691</v>
      </c>
      <c r="N124" s="129"/>
      <c r="O124" s="140"/>
      <c r="P124" s="140" t="s">
        <v>6305</v>
      </c>
      <c r="Q124" s="76" t="s">
        <v>22</v>
      </c>
      <c r="R124" s="140"/>
      <c r="S124" s="140"/>
      <c r="T124" s="140"/>
      <c r="U124" s="140"/>
      <c r="V124" s="140"/>
      <c r="W124" s="140"/>
      <c r="X124" s="140"/>
      <c r="Y124" s="140"/>
      <c r="Z124" s="140"/>
      <c r="AA124" s="140"/>
      <c r="AB124" s="140"/>
    </row>
    <row r="125">
      <c r="A125" s="133">
        <v>45928.0</v>
      </c>
      <c r="B125" s="134" t="s">
        <v>6266</v>
      </c>
      <c r="C125" s="134" t="s">
        <v>6306</v>
      </c>
      <c r="D125" s="134" t="s">
        <v>6147</v>
      </c>
      <c r="E125" s="134" t="s">
        <v>6307</v>
      </c>
      <c r="F125" s="135">
        <v>1.0</v>
      </c>
      <c r="G125" s="136">
        <v>26.12</v>
      </c>
      <c r="H125" s="142"/>
      <c r="I125" s="142"/>
      <c r="J125" s="137">
        <v>26.12</v>
      </c>
      <c r="K125" s="137">
        <v>26.12</v>
      </c>
      <c r="L125" s="134" t="s">
        <v>80</v>
      </c>
      <c r="M125" s="138" t="s">
        <v>691</v>
      </c>
      <c r="N125" s="129"/>
      <c r="O125" s="140"/>
      <c r="P125" s="140" t="s">
        <v>6308</v>
      </c>
      <c r="Q125" s="76" t="s">
        <v>22</v>
      </c>
      <c r="R125" s="140"/>
      <c r="S125" s="140"/>
      <c r="T125" s="140"/>
      <c r="U125" s="140"/>
      <c r="V125" s="140"/>
      <c r="W125" s="140"/>
      <c r="X125" s="140"/>
      <c r="Y125" s="140"/>
      <c r="Z125" s="140"/>
      <c r="AA125" s="140"/>
      <c r="AB125" s="140"/>
    </row>
    <row r="126">
      <c r="A126" s="133">
        <v>45928.0</v>
      </c>
      <c r="B126" s="134" t="s">
        <v>6266</v>
      </c>
      <c r="C126" s="134" t="s">
        <v>6306</v>
      </c>
      <c r="D126" s="134" t="s">
        <v>6069</v>
      </c>
      <c r="E126" s="134" t="s">
        <v>6307</v>
      </c>
      <c r="F126" s="135">
        <v>1.0</v>
      </c>
      <c r="G126" s="136">
        <v>2.99</v>
      </c>
      <c r="H126" s="142"/>
      <c r="I126" s="142"/>
      <c r="J126" s="137">
        <v>2.99</v>
      </c>
      <c r="K126" s="137">
        <v>2.99</v>
      </c>
      <c r="L126" s="134" t="s">
        <v>80</v>
      </c>
      <c r="M126" s="138" t="s">
        <v>691</v>
      </c>
      <c r="N126" s="129"/>
      <c r="O126" s="140"/>
      <c r="P126" s="140" t="s">
        <v>6309</v>
      </c>
      <c r="Q126" s="76" t="s">
        <v>22</v>
      </c>
      <c r="R126" s="140"/>
      <c r="S126" s="140"/>
      <c r="T126" s="140"/>
      <c r="U126" s="140"/>
      <c r="V126" s="140"/>
      <c r="W126" s="140"/>
      <c r="X126" s="140"/>
      <c r="Y126" s="140"/>
      <c r="Z126" s="140"/>
      <c r="AA126" s="140"/>
      <c r="AB126" s="140"/>
    </row>
    <row r="127">
      <c r="A127" s="133">
        <v>45928.0</v>
      </c>
      <c r="B127" s="134" t="s">
        <v>6266</v>
      </c>
      <c r="C127" s="134" t="s">
        <v>6310</v>
      </c>
      <c r="D127" s="134" t="s">
        <v>6147</v>
      </c>
      <c r="E127" s="134" t="s">
        <v>6311</v>
      </c>
      <c r="F127" s="135">
        <v>1.0</v>
      </c>
      <c r="G127" s="136">
        <v>27.66</v>
      </c>
      <c r="H127" s="142"/>
      <c r="I127" s="142"/>
      <c r="J127" s="137">
        <v>27.66</v>
      </c>
      <c r="K127" s="137">
        <v>27.66</v>
      </c>
      <c r="L127" s="134" t="s">
        <v>80</v>
      </c>
      <c r="M127" s="138" t="s">
        <v>691</v>
      </c>
      <c r="N127" s="129"/>
      <c r="O127" s="140"/>
      <c r="P127" s="140" t="s">
        <v>6312</v>
      </c>
      <c r="Q127" s="76" t="s">
        <v>22</v>
      </c>
      <c r="R127" s="140"/>
      <c r="S127" s="140"/>
      <c r="T127" s="140"/>
      <c r="U127" s="140"/>
      <c r="V127" s="140"/>
      <c r="W127" s="140"/>
      <c r="X127" s="140"/>
      <c r="Y127" s="140"/>
      <c r="Z127" s="140"/>
      <c r="AA127" s="140"/>
      <c r="AB127" s="140"/>
    </row>
    <row r="128">
      <c r="A128" s="133">
        <v>45928.0</v>
      </c>
      <c r="B128" s="134" t="s">
        <v>6266</v>
      </c>
      <c r="C128" s="134" t="s">
        <v>6310</v>
      </c>
      <c r="D128" s="134" t="s">
        <v>6069</v>
      </c>
      <c r="E128" s="134" t="s">
        <v>6311</v>
      </c>
      <c r="F128" s="135">
        <v>1.0</v>
      </c>
      <c r="G128" s="136">
        <v>2.99</v>
      </c>
      <c r="H128" s="142"/>
      <c r="I128" s="142"/>
      <c r="J128" s="137">
        <v>2.99</v>
      </c>
      <c r="K128" s="137">
        <v>2.99</v>
      </c>
      <c r="L128" s="134" t="s">
        <v>80</v>
      </c>
      <c r="M128" s="138" t="s">
        <v>691</v>
      </c>
      <c r="N128" s="129"/>
      <c r="O128" s="140"/>
      <c r="P128" s="140" t="s">
        <v>6313</v>
      </c>
      <c r="Q128" s="76" t="s">
        <v>22</v>
      </c>
      <c r="R128" s="140"/>
      <c r="S128" s="140"/>
      <c r="T128" s="140"/>
      <c r="U128" s="140"/>
      <c r="V128" s="140"/>
      <c r="W128" s="140"/>
      <c r="X128" s="140"/>
      <c r="Y128" s="140"/>
      <c r="Z128" s="140"/>
      <c r="AA128" s="140"/>
      <c r="AB128" s="140"/>
    </row>
    <row r="129">
      <c r="A129" s="133">
        <v>45928.0</v>
      </c>
      <c r="B129" s="134" t="s">
        <v>6266</v>
      </c>
      <c r="C129" s="134" t="s">
        <v>6314</v>
      </c>
      <c r="D129" s="134" t="s">
        <v>6315</v>
      </c>
      <c r="E129" s="134" t="s">
        <v>6316</v>
      </c>
      <c r="F129" s="135">
        <v>1.0</v>
      </c>
      <c r="G129" s="136">
        <v>28.29</v>
      </c>
      <c r="H129" s="142"/>
      <c r="I129" s="142"/>
      <c r="J129" s="137">
        <v>28.29</v>
      </c>
      <c r="K129" s="137">
        <v>28.29</v>
      </c>
      <c r="L129" s="134" t="s">
        <v>80</v>
      </c>
      <c r="M129" s="138" t="s">
        <v>691</v>
      </c>
      <c r="N129" s="129"/>
      <c r="O129" s="140"/>
      <c r="P129" s="140" t="s">
        <v>6317</v>
      </c>
      <c r="Q129" s="76" t="s">
        <v>22</v>
      </c>
      <c r="R129" s="140"/>
      <c r="S129" s="140"/>
      <c r="T129" s="140"/>
      <c r="U129" s="140"/>
      <c r="V129" s="140"/>
      <c r="W129" s="140"/>
      <c r="X129" s="140"/>
      <c r="Y129" s="140"/>
      <c r="Z129" s="140"/>
      <c r="AA129" s="140"/>
      <c r="AB129" s="140"/>
    </row>
    <row r="130">
      <c r="A130" s="133">
        <v>45928.0</v>
      </c>
      <c r="B130" s="134" t="s">
        <v>6266</v>
      </c>
      <c r="C130" s="134" t="s">
        <v>6314</v>
      </c>
      <c r="D130" s="134" t="s">
        <v>6069</v>
      </c>
      <c r="E130" s="134" t="s">
        <v>6316</v>
      </c>
      <c r="F130" s="135">
        <v>1.0</v>
      </c>
      <c r="G130" s="136">
        <v>2.99</v>
      </c>
      <c r="H130" s="142"/>
      <c r="I130" s="142"/>
      <c r="J130" s="137">
        <v>2.99</v>
      </c>
      <c r="K130" s="137">
        <v>2.99</v>
      </c>
      <c r="L130" s="134" t="s">
        <v>80</v>
      </c>
      <c r="M130" s="138" t="s">
        <v>691</v>
      </c>
      <c r="N130" s="129"/>
      <c r="O130" s="140"/>
      <c r="P130" s="140" t="s">
        <v>6318</v>
      </c>
      <c r="Q130" s="76" t="s">
        <v>22</v>
      </c>
      <c r="R130" s="140"/>
      <c r="S130" s="140"/>
      <c r="T130" s="140"/>
      <c r="U130" s="140"/>
      <c r="V130" s="140"/>
      <c r="W130" s="140"/>
      <c r="X130" s="140"/>
      <c r="Y130" s="140"/>
      <c r="Z130" s="140"/>
      <c r="AA130" s="140"/>
      <c r="AB130" s="140"/>
    </row>
    <row r="131">
      <c r="A131" s="133">
        <v>45928.0</v>
      </c>
      <c r="B131" s="134" t="s">
        <v>6266</v>
      </c>
      <c r="C131" s="134" t="s">
        <v>6319</v>
      </c>
      <c r="D131" s="134" t="s">
        <v>5985</v>
      </c>
      <c r="E131" s="134" t="s">
        <v>6320</v>
      </c>
      <c r="F131" s="135">
        <v>1.0</v>
      </c>
      <c r="G131" s="136">
        <v>14.98</v>
      </c>
      <c r="H131" s="142"/>
      <c r="I131" s="142"/>
      <c r="J131" s="137">
        <v>14.98</v>
      </c>
      <c r="K131" s="137">
        <v>14.98</v>
      </c>
      <c r="L131" s="134" t="s">
        <v>80</v>
      </c>
      <c r="M131" s="138" t="s">
        <v>691</v>
      </c>
      <c r="N131" s="129"/>
      <c r="O131" s="140"/>
      <c r="P131" s="140" t="s">
        <v>6321</v>
      </c>
      <c r="Q131" s="76" t="s">
        <v>22</v>
      </c>
      <c r="R131" s="140"/>
      <c r="S131" s="140"/>
      <c r="T131" s="140"/>
      <c r="U131" s="140"/>
      <c r="V131" s="140"/>
      <c r="W131" s="140"/>
      <c r="X131" s="140"/>
      <c r="Y131" s="140"/>
      <c r="Z131" s="140"/>
      <c r="AA131" s="140"/>
      <c r="AB131" s="140"/>
    </row>
    <row r="132">
      <c r="A132" s="133">
        <v>45928.0</v>
      </c>
      <c r="B132" s="134" t="s">
        <v>6266</v>
      </c>
      <c r="C132" s="134" t="s">
        <v>6322</v>
      </c>
      <c r="D132" s="134" t="s">
        <v>6069</v>
      </c>
      <c r="E132" s="134" t="s">
        <v>6320</v>
      </c>
      <c r="F132" s="135">
        <v>1.0</v>
      </c>
      <c r="G132" s="136">
        <v>2.99</v>
      </c>
      <c r="H132" s="142"/>
      <c r="I132" s="142"/>
      <c r="J132" s="137">
        <v>2.99</v>
      </c>
      <c r="K132" s="137">
        <v>2.99</v>
      </c>
      <c r="L132" s="134" t="s">
        <v>80</v>
      </c>
      <c r="M132" s="138" t="s">
        <v>691</v>
      </c>
      <c r="N132" s="129"/>
      <c r="O132" s="140"/>
      <c r="P132" s="140" t="s">
        <v>6323</v>
      </c>
      <c r="Q132" s="76" t="s">
        <v>22</v>
      </c>
      <c r="R132" s="140"/>
      <c r="S132" s="140"/>
      <c r="T132" s="140"/>
      <c r="U132" s="140"/>
      <c r="V132" s="140"/>
      <c r="W132" s="140"/>
      <c r="X132" s="140"/>
      <c r="Y132" s="140"/>
      <c r="Z132" s="140"/>
      <c r="AA132" s="140"/>
      <c r="AB132" s="140"/>
    </row>
    <row r="133">
      <c r="A133" s="133">
        <v>45928.0</v>
      </c>
      <c r="B133" s="134" t="s">
        <v>6266</v>
      </c>
      <c r="C133" s="134" t="s">
        <v>6324</v>
      </c>
      <c r="D133" s="134" t="s">
        <v>6325</v>
      </c>
      <c r="E133" s="134" t="s">
        <v>6326</v>
      </c>
      <c r="F133" s="135">
        <v>1.0</v>
      </c>
      <c r="G133" s="136">
        <v>7.25</v>
      </c>
      <c r="H133" s="142"/>
      <c r="I133" s="142"/>
      <c r="J133" s="137">
        <v>7.25</v>
      </c>
      <c r="K133" s="137">
        <v>7.25</v>
      </c>
      <c r="L133" s="134" t="s">
        <v>508</v>
      </c>
      <c r="M133" s="147" t="s">
        <v>691</v>
      </c>
      <c r="N133" s="129"/>
      <c r="O133" s="140"/>
      <c r="P133" s="135" t="s">
        <v>6327</v>
      </c>
      <c r="Q133" s="76" t="s">
        <v>22</v>
      </c>
      <c r="R133" s="140"/>
      <c r="S133" s="140"/>
      <c r="T133" s="140"/>
      <c r="U133" s="140"/>
      <c r="V133" s="140"/>
      <c r="W133" s="140"/>
      <c r="X133" s="140"/>
      <c r="Y133" s="140"/>
      <c r="Z133" s="140"/>
      <c r="AA133" s="140"/>
      <c r="AB133" s="140"/>
    </row>
    <row r="134">
      <c r="A134" s="133">
        <v>45928.0</v>
      </c>
      <c r="B134" s="134" t="s">
        <v>6266</v>
      </c>
      <c r="C134" s="134" t="s">
        <v>6328</v>
      </c>
      <c r="D134" s="134" t="s">
        <v>6325</v>
      </c>
      <c r="E134" s="134" t="s">
        <v>6329</v>
      </c>
      <c r="F134" s="135">
        <v>1.0</v>
      </c>
      <c r="G134" s="136">
        <v>2.94</v>
      </c>
      <c r="H134" s="142"/>
      <c r="I134" s="142"/>
      <c r="J134" s="137">
        <v>2.94</v>
      </c>
      <c r="K134" s="137">
        <v>2.94</v>
      </c>
      <c r="L134" s="134" t="s">
        <v>508</v>
      </c>
      <c r="M134" s="147" t="s">
        <v>691</v>
      </c>
      <c r="N134" s="129"/>
      <c r="O134" s="140"/>
      <c r="P134" s="135" t="s">
        <v>6330</v>
      </c>
      <c r="Q134" s="76" t="s">
        <v>22</v>
      </c>
      <c r="R134" s="140"/>
      <c r="S134" s="140"/>
      <c r="T134" s="140"/>
      <c r="U134" s="140"/>
      <c r="V134" s="140"/>
      <c r="W134" s="140"/>
      <c r="X134" s="140"/>
      <c r="Y134" s="140"/>
      <c r="Z134" s="140"/>
      <c r="AA134" s="140"/>
      <c r="AB134" s="140"/>
    </row>
    <row r="135">
      <c r="A135" s="133">
        <v>45951.0</v>
      </c>
      <c r="B135" s="134" t="s">
        <v>6331</v>
      </c>
      <c r="C135" s="134" t="s">
        <v>46</v>
      </c>
      <c r="D135" s="134" t="s">
        <v>6092</v>
      </c>
      <c r="E135" s="134" t="s">
        <v>6194</v>
      </c>
      <c r="F135" s="135">
        <v>2.0</v>
      </c>
      <c r="G135" s="136">
        <v>30.0</v>
      </c>
      <c r="H135" s="142"/>
      <c r="I135" s="142"/>
      <c r="J135" s="137">
        <v>15.0</v>
      </c>
      <c r="K135" s="137">
        <v>30.0</v>
      </c>
      <c r="L135" s="134" t="s">
        <v>1153</v>
      </c>
      <c r="M135" s="147" t="s">
        <v>691</v>
      </c>
      <c r="N135" s="144" t="s">
        <v>6094</v>
      </c>
      <c r="O135" s="140"/>
      <c r="P135" s="135" t="s">
        <v>6332</v>
      </c>
      <c r="Q135" s="76" t="s">
        <v>22</v>
      </c>
      <c r="R135" s="140"/>
      <c r="S135" s="140"/>
      <c r="T135" s="140"/>
      <c r="U135" s="140"/>
      <c r="V135" s="140"/>
      <c r="W135" s="140"/>
      <c r="X135" s="140"/>
      <c r="Y135" s="140"/>
      <c r="Z135" s="140"/>
      <c r="AA135" s="140"/>
      <c r="AB135" s="140"/>
    </row>
    <row r="136">
      <c r="A136" s="133">
        <v>45951.0</v>
      </c>
      <c r="B136" s="134" t="s">
        <v>6333</v>
      </c>
      <c r="C136" s="134" t="s">
        <v>46</v>
      </c>
      <c r="D136" s="134" t="s">
        <v>6092</v>
      </c>
      <c r="E136" s="134" t="s">
        <v>6194</v>
      </c>
      <c r="F136" s="135">
        <v>2.0</v>
      </c>
      <c r="G136" s="136">
        <v>30.0</v>
      </c>
      <c r="H136" s="142"/>
      <c r="I136" s="142"/>
      <c r="J136" s="137">
        <v>15.0</v>
      </c>
      <c r="K136" s="137">
        <v>30.0</v>
      </c>
      <c r="L136" s="134" t="s">
        <v>1153</v>
      </c>
      <c r="M136" s="147" t="s">
        <v>691</v>
      </c>
      <c r="N136" s="144" t="s">
        <v>6094</v>
      </c>
      <c r="O136" s="140"/>
      <c r="P136" s="135" t="s">
        <v>6334</v>
      </c>
      <c r="Q136" s="76" t="s">
        <v>22</v>
      </c>
      <c r="R136" s="140"/>
      <c r="S136" s="140"/>
      <c r="T136" s="140"/>
      <c r="U136" s="140"/>
      <c r="V136" s="140"/>
      <c r="W136" s="140"/>
      <c r="X136" s="140"/>
      <c r="Y136" s="140"/>
      <c r="Z136" s="140"/>
      <c r="AA136" s="140"/>
      <c r="AB136" s="140"/>
    </row>
    <row r="137">
      <c r="A137" s="133">
        <v>45966.0</v>
      </c>
      <c r="B137" s="134" t="s">
        <v>1221</v>
      </c>
      <c r="C137" s="134" t="s">
        <v>6335</v>
      </c>
      <c r="D137" s="134" t="s">
        <v>6336</v>
      </c>
      <c r="E137" s="134" t="s">
        <v>6070</v>
      </c>
      <c r="F137" s="135">
        <v>1.0</v>
      </c>
      <c r="G137" s="136">
        <v>16.0</v>
      </c>
      <c r="H137" s="142"/>
      <c r="I137" s="136">
        <v>34.48</v>
      </c>
      <c r="J137" s="137">
        <v>-18.48</v>
      </c>
      <c r="K137" s="137">
        <v>-18.479999999999997</v>
      </c>
      <c r="L137" s="134" t="s">
        <v>80</v>
      </c>
      <c r="M137" s="141"/>
      <c r="N137" s="129"/>
      <c r="O137" s="140"/>
      <c r="P137" s="135" t="s">
        <v>6337</v>
      </c>
      <c r="Q137" s="76" t="s">
        <v>22</v>
      </c>
      <c r="R137" s="140"/>
      <c r="S137" s="140"/>
      <c r="T137" s="140"/>
      <c r="U137" s="140"/>
      <c r="V137" s="140"/>
      <c r="W137" s="140"/>
      <c r="X137" s="140"/>
      <c r="Y137" s="140"/>
      <c r="Z137" s="140"/>
      <c r="AA137" s="140"/>
      <c r="AB137" s="140"/>
    </row>
    <row r="138">
      <c r="A138" s="133">
        <v>45957.0</v>
      </c>
      <c r="B138" s="134" t="s">
        <v>1221</v>
      </c>
      <c r="C138" s="134" t="s">
        <v>6338</v>
      </c>
      <c r="D138" s="134" t="s">
        <v>6336</v>
      </c>
      <c r="E138" s="134" t="s">
        <v>6070</v>
      </c>
      <c r="F138" s="135">
        <v>1.0</v>
      </c>
      <c r="G138" s="136">
        <v>14.0</v>
      </c>
      <c r="H138" s="142"/>
      <c r="I138" s="136">
        <v>10.0</v>
      </c>
      <c r="J138" s="137">
        <v>4.0</v>
      </c>
      <c r="K138" s="137">
        <v>4.0</v>
      </c>
      <c r="L138" s="134" t="s">
        <v>80</v>
      </c>
      <c r="M138" s="141"/>
      <c r="N138" s="129"/>
      <c r="O138" s="140"/>
      <c r="P138" s="135" t="s">
        <v>6339</v>
      </c>
      <c r="Q138" s="76" t="s">
        <v>22</v>
      </c>
      <c r="R138" s="140"/>
      <c r="S138" s="140"/>
      <c r="T138" s="140"/>
      <c r="U138" s="140"/>
      <c r="V138" s="140"/>
      <c r="W138" s="140"/>
      <c r="X138" s="140"/>
      <c r="Y138" s="140"/>
      <c r="Z138" s="140"/>
      <c r="AA138" s="140"/>
      <c r="AB138" s="140"/>
    </row>
    <row r="139">
      <c r="A139" s="133">
        <v>45959.0</v>
      </c>
      <c r="B139" s="134" t="s">
        <v>1221</v>
      </c>
      <c r="C139" s="134" t="s">
        <v>6340</v>
      </c>
      <c r="D139" s="134" t="s">
        <v>6336</v>
      </c>
      <c r="E139" s="134" t="s">
        <v>6070</v>
      </c>
      <c r="F139" s="135">
        <v>1.0</v>
      </c>
      <c r="G139" s="136">
        <v>28.0</v>
      </c>
      <c r="H139" s="142"/>
      <c r="I139" s="136">
        <v>30.79</v>
      </c>
      <c r="J139" s="137">
        <v>-2.79</v>
      </c>
      <c r="K139" s="137">
        <v>-2.789999999999999</v>
      </c>
      <c r="L139" s="134" t="s">
        <v>80</v>
      </c>
      <c r="M139" s="141"/>
      <c r="N139" s="129"/>
      <c r="O139" s="140"/>
      <c r="P139" s="135" t="s">
        <v>6341</v>
      </c>
      <c r="Q139" s="76" t="s">
        <v>22</v>
      </c>
      <c r="R139" s="140"/>
      <c r="S139" s="140"/>
      <c r="T139" s="140"/>
      <c r="U139" s="140"/>
      <c r="V139" s="140"/>
      <c r="W139" s="140"/>
      <c r="X139" s="140"/>
      <c r="Y139" s="140"/>
      <c r="Z139" s="140"/>
      <c r="AA139" s="140"/>
      <c r="AB139" s="140"/>
    </row>
    <row r="140">
      <c r="A140" s="133">
        <v>45960.0</v>
      </c>
      <c r="B140" s="134" t="s">
        <v>1221</v>
      </c>
      <c r="C140" s="134" t="s">
        <v>6342</v>
      </c>
      <c r="D140" s="134" t="s">
        <v>6336</v>
      </c>
      <c r="E140" s="134" t="s">
        <v>6070</v>
      </c>
      <c r="F140" s="135">
        <v>1.0</v>
      </c>
      <c r="G140" s="136">
        <v>16.0</v>
      </c>
      <c r="H140" s="142"/>
      <c r="I140" s="136">
        <v>27.3</v>
      </c>
      <c r="J140" s="137">
        <v>-11.3</v>
      </c>
      <c r="K140" s="137">
        <v>-11.3</v>
      </c>
      <c r="L140" s="134" t="s">
        <v>80</v>
      </c>
      <c r="M140" s="141"/>
      <c r="N140" s="129"/>
      <c r="O140" s="140"/>
      <c r="P140" s="135" t="s">
        <v>6343</v>
      </c>
      <c r="Q140" s="76" t="s">
        <v>22</v>
      </c>
      <c r="R140" s="140"/>
      <c r="S140" s="140"/>
      <c r="T140" s="140"/>
      <c r="U140" s="140"/>
      <c r="V140" s="140"/>
      <c r="W140" s="140"/>
      <c r="X140" s="140"/>
      <c r="Y140" s="140"/>
      <c r="Z140" s="140"/>
      <c r="AA140" s="140"/>
      <c r="AB140" s="140"/>
    </row>
    <row r="141">
      <c r="A141" s="133">
        <v>45958.0</v>
      </c>
      <c r="B141" s="134" t="s">
        <v>1221</v>
      </c>
      <c r="C141" s="134" t="s">
        <v>6344</v>
      </c>
      <c r="D141" s="134" t="s">
        <v>6336</v>
      </c>
      <c r="E141" s="134" t="s">
        <v>6070</v>
      </c>
      <c r="F141" s="135">
        <v>1.0</v>
      </c>
      <c r="G141" s="136">
        <v>18.0</v>
      </c>
      <c r="H141" s="142"/>
      <c r="I141" s="136">
        <v>27.3</v>
      </c>
      <c r="J141" s="137">
        <v>-9.3</v>
      </c>
      <c r="K141" s="137">
        <v>-9.3</v>
      </c>
      <c r="L141" s="134" t="s">
        <v>80</v>
      </c>
      <c r="M141" s="141"/>
      <c r="N141" s="129"/>
      <c r="O141" s="140"/>
      <c r="P141" s="135" t="s">
        <v>6345</v>
      </c>
      <c r="Q141" s="76" t="s">
        <v>22</v>
      </c>
      <c r="R141" s="140"/>
      <c r="S141" s="140"/>
      <c r="T141" s="140"/>
      <c r="U141" s="140"/>
      <c r="V141" s="140"/>
      <c r="W141" s="140"/>
      <c r="X141" s="140"/>
      <c r="Y141" s="140"/>
      <c r="Z141" s="140"/>
      <c r="AA141" s="140"/>
      <c r="AB141" s="140"/>
    </row>
    <row r="142">
      <c r="A142" s="133">
        <v>45959.0</v>
      </c>
      <c r="B142" s="134" t="s">
        <v>1221</v>
      </c>
      <c r="C142" s="134" t="s">
        <v>6346</v>
      </c>
      <c r="D142" s="134" t="s">
        <v>6336</v>
      </c>
      <c r="E142" s="134" t="s">
        <v>6070</v>
      </c>
      <c r="F142" s="135">
        <v>1.0</v>
      </c>
      <c r="G142" s="136">
        <v>18.0</v>
      </c>
      <c r="H142" s="142"/>
      <c r="I142" s="136">
        <v>19.93</v>
      </c>
      <c r="J142" s="137">
        <v>-1.93</v>
      </c>
      <c r="K142" s="137">
        <v>-1.9299999999999997</v>
      </c>
      <c r="L142" s="134" t="s">
        <v>80</v>
      </c>
      <c r="M142" s="141"/>
      <c r="N142" s="129"/>
      <c r="O142" s="140"/>
      <c r="P142" s="135" t="s">
        <v>6347</v>
      </c>
      <c r="Q142" s="76" t="s">
        <v>22</v>
      </c>
      <c r="R142" s="140"/>
      <c r="S142" s="140"/>
      <c r="T142" s="140"/>
      <c r="U142" s="140"/>
      <c r="V142" s="140"/>
      <c r="W142" s="140"/>
      <c r="X142" s="140"/>
      <c r="Y142" s="140"/>
      <c r="Z142" s="140"/>
      <c r="AA142" s="140"/>
      <c r="AB142" s="140"/>
    </row>
    <row r="143">
      <c r="A143" s="133">
        <v>45959.0</v>
      </c>
      <c r="B143" s="134" t="s">
        <v>1221</v>
      </c>
      <c r="C143" s="134" t="s">
        <v>6348</v>
      </c>
      <c r="D143" s="134" t="s">
        <v>6336</v>
      </c>
      <c r="E143" s="134" t="s">
        <v>6070</v>
      </c>
      <c r="F143" s="135">
        <v>1.0</v>
      </c>
      <c r="G143" s="136">
        <v>18.0</v>
      </c>
      <c r="H143" s="142"/>
      <c r="I143" s="136">
        <v>34.48</v>
      </c>
      <c r="J143" s="137">
        <v>-16.48</v>
      </c>
      <c r="K143" s="137">
        <v>-16.479999999999997</v>
      </c>
      <c r="L143" s="134" t="s">
        <v>80</v>
      </c>
      <c r="M143" s="141"/>
      <c r="N143" s="129"/>
      <c r="O143" s="140"/>
      <c r="P143" s="135" t="s">
        <v>6349</v>
      </c>
      <c r="Q143" s="76" t="s">
        <v>22</v>
      </c>
      <c r="R143" s="140"/>
      <c r="S143" s="140"/>
      <c r="T143" s="140"/>
      <c r="U143" s="140"/>
      <c r="V143" s="140"/>
      <c r="W143" s="140"/>
      <c r="X143" s="140"/>
      <c r="Y143" s="140"/>
      <c r="Z143" s="140"/>
      <c r="AA143" s="140"/>
      <c r="AB143" s="140"/>
    </row>
    <row r="144">
      <c r="A144" s="133">
        <v>45965.0</v>
      </c>
      <c r="B144" s="134" t="s">
        <v>1221</v>
      </c>
      <c r="C144" s="134" t="s">
        <v>105</v>
      </c>
      <c r="D144" s="134" t="s">
        <v>6069</v>
      </c>
      <c r="E144" s="134" t="s">
        <v>6070</v>
      </c>
      <c r="F144" s="135">
        <v>1.0</v>
      </c>
      <c r="G144" s="136">
        <v>2.0</v>
      </c>
      <c r="H144" s="142"/>
      <c r="I144" s="136">
        <v>0.0</v>
      </c>
      <c r="J144" s="137">
        <v>2.0</v>
      </c>
      <c r="K144" s="137">
        <v>2.0</v>
      </c>
      <c r="L144" s="134" t="s">
        <v>80</v>
      </c>
      <c r="M144" s="147" t="s">
        <v>93</v>
      </c>
      <c r="N144" s="129"/>
      <c r="O144" s="140"/>
      <c r="P144" s="135" t="s">
        <v>6350</v>
      </c>
      <c r="Q144" s="76" t="s">
        <v>22</v>
      </c>
      <c r="R144" s="140"/>
      <c r="S144" s="140"/>
      <c r="T144" s="140"/>
      <c r="U144" s="140"/>
      <c r="V144" s="140"/>
      <c r="W144" s="140"/>
      <c r="X144" s="140"/>
      <c r="Y144" s="140"/>
      <c r="Z144" s="140"/>
      <c r="AA144" s="140"/>
      <c r="AB144" s="140"/>
    </row>
    <row r="145">
      <c r="A145" s="133">
        <v>45965.0</v>
      </c>
      <c r="B145" s="134" t="s">
        <v>1221</v>
      </c>
      <c r="C145" s="134" t="s">
        <v>105</v>
      </c>
      <c r="D145" s="134" t="s">
        <v>6069</v>
      </c>
      <c r="E145" s="134" t="s">
        <v>6070</v>
      </c>
      <c r="F145" s="135">
        <v>1.0</v>
      </c>
      <c r="G145" s="136">
        <v>2.0</v>
      </c>
      <c r="H145" s="142"/>
      <c r="I145" s="136">
        <v>0.0</v>
      </c>
      <c r="J145" s="137">
        <v>2.0</v>
      </c>
      <c r="K145" s="137">
        <v>2.0</v>
      </c>
      <c r="L145" s="134" t="s">
        <v>80</v>
      </c>
      <c r="M145" s="147" t="s">
        <v>93</v>
      </c>
      <c r="N145" s="129"/>
      <c r="O145" s="140"/>
      <c r="P145" s="135" t="s">
        <v>6351</v>
      </c>
      <c r="Q145" s="76" t="s">
        <v>22</v>
      </c>
      <c r="R145" s="140"/>
      <c r="S145" s="140"/>
      <c r="T145" s="140"/>
      <c r="U145" s="140"/>
      <c r="V145" s="140"/>
      <c r="W145" s="140"/>
      <c r="X145" s="140"/>
      <c r="Y145" s="140"/>
      <c r="Z145" s="140"/>
      <c r="AA145" s="140"/>
      <c r="AB145" s="140"/>
    </row>
    <row r="146">
      <c r="A146" s="133">
        <v>45965.0</v>
      </c>
      <c r="B146" s="134" t="s">
        <v>1221</v>
      </c>
      <c r="C146" s="134" t="s">
        <v>105</v>
      </c>
      <c r="D146" s="134" t="s">
        <v>6069</v>
      </c>
      <c r="E146" s="134" t="s">
        <v>6070</v>
      </c>
      <c r="F146" s="135">
        <v>1.0</v>
      </c>
      <c r="G146" s="136">
        <v>2.0</v>
      </c>
      <c r="H146" s="142"/>
      <c r="I146" s="136">
        <v>0.0</v>
      </c>
      <c r="J146" s="137">
        <v>2.0</v>
      </c>
      <c r="K146" s="137">
        <v>2.0</v>
      </c>
      <c r="L146" s="134" t="s">
        <v>80</v>
      </c>
      <c r="M146" s="147" t="s">
        <v>93</v>
      </c>
      <c r="N146" s="129"/>
      <c r="O146" s="140"/>
      <c r="P146" s="135" t="s">
        <v>6352</v>
      </c>
      <c r="Q146" s="76" t="s">
        <v>22</v>
      </c>
      <c r="R146" s="140"/>
      <c r="S146" s="140"/>
      <c r="T146" s="140"/>
      <c r="U146" s="140"/>
      <c r="V146" s="140"/>
      <c r="W146" s="140"/>
      <c r="X146" s="140"/>
      <c r="Y146" s="140"/>
      <c r="Z146" s="140"/>
      <c r="AA146" s="140"/>
      <c r="AB146" s="140"/>
    </row>
    <row r="147">
      <c r="A147" s="133">
        <v>45966.0</v>
      </c>
      <c r="B147" s="134" t="s">
        <v>1221</v>
      </c>
      <c r="C147" s="134" t="s">
        <v>105</v>
      </c>
      <c r="D147" s="134" t="s">
        <v>6069</v>
      </c>
      <c r="E147" s="134" t="s">
        <v>6070</v>
      </c>
      <c r="F147" s="135">
        <v>1.0</v>
      </c>
      <c r="G147" s="136">
        <v>2.0</v>
      </c>
      <c r="H147" s="142"/>
      <c r="I147" s="136">
        <v>0.0</v>
      </c>
      <c r="J147" s="137">
        <v>2.0</v>
      </c>
      <c r="K147" s="137">
        <v>2.0</v>
      </c>
      <c r="L147" s="134" t="s">
        <v>80</v>
      </c>
      <c r="M147" s="147" t="s">
        <v>93</v>
      </c>
      <c r="N147" s="129"/>
      <c r="O147" s="140"/>
      <c r="P147" s="135" t="s">
        <v>6353</v>
      </c>
      <c r="Q147" s="76" t="s">
        <v>22</v>
      </c>
      <c r="R147" s="140"/>
      <c r="S147" s="140"/>
      <c r="T147" s="140"/>
      <c r="U147" s="140"/>
      <c r="V147" s="140"/>
      <c r="W147" s="140"/>
      <c r="X147" s="140"/>
      <c r="Y147" s="140"/>
      <c r="Z147" s="140"/>
      <c r="AA147" s="140"/>
      <c r="AB147" s="140"/>
    </row>
    <row r="148">
      <c r="A148" s="133">
        <v>45965.0</v>
      </c>
      <c r="B148" s="134" t="s">
        <v>1221</v>
      </c>
      <c r="C148" s="134" t="s">
        <v>105</v>
      </c>
      <c r="D148" s="134" t="s">
        <v>6069</v>
      </c>
      <c r="E148" s="134" t="s">
        <v>6070</v>
      </c>
      <c r="F148" s="135">
        <v>1.0</v>
      </c>
      <c r="G148" s="136">
        <v>16.0</v>
      </c>
      <c r="H148" s="142"/>
      <c r="I148" s="136">
        <v>0.0</v>
      </c>
      <c r="J148" s="137">
        <v>16.0</v>
      </c>
      <c r="K148" s="137">
        <v>16.0</v>
      </c>
      <c r="L148" s="134" t="s">
        <v>80</v>
      </c>
      <c r="M148" s="147" t="s">
        <v>93</v>
      </c>
      <c r="N148" s="129"/>
      <c r="O148" s="140"/>
      <c r="P148" s="135" t="s">
        <v>6354</v>
      </c>
      <c r="Q148" s="76" t="s">
        <v>22</v>
      </c>
      <c r="R148" s="140"/>
      <c r="S148" s="140"/>
      <c r="T148" s="140"/>
      <c r="U148" s="140"/>
      <c r="V148" s="140"/>
      <c r="W148" s="140"/>
      <c r="X148" s="140"/>
      <c r="Y148" s="140"/>
      <c r="Z148" s="140"/>
      <c r="AA148" s="140"/>
      <c r="AB148" s="140"/>
    </row>
    <row r="149">
      <c r="A149" s="133">
        <v>45966.0</v>
      </c>
      <c r="B149" s="134" t="s">
        <v>1221</v>
      </c>
      <c r="C149" s="134" t="s">
        <v>54</v>
      </c>
      <c r="D149" s="134" t="s">
        <v>6069</v>
      </c>
      <c r="E149" s="134" t="s">
        <v>6070</v>
      </c>
      <c r="F149" s="135">
        <v>1.0</v>
      </c>
      <c r="G149" s="136">
        <v>1.0</v>
      </c>
      <c r="H149" s="142"/>
      <c r="I149" s="136">
        <v>3.0</v>
      </c>
      <c r="J149" s="137">
        <v>-2.0</v>
      </c>
      <c r="K149" s="137">
        <v>-2.0</v>
      </c>
      <c r="L149" s="134" t="s">
        <v>80</v>
      </c>
      <c r="M149" s="147" t="s">
        <v>93</v>
      </c>
      <c r="N149" s="129"/>
      <c r="O149" s="140"/>
      <c r="P149" s="135" t="s">
        <v>6355</v>
      </c>
      <c r="Q149" s="76" t="s">
        <v>22</v>
      </c>
      <c r="R149" s="140"/>
      <c r="S149" s="140"/>
      <c r="T149" s="140"/>
      <c r="U149" s="140"/>
      <c r="V149" s="140"/>
      <c r="W149" s="140"/>
      <c r="X149" s="140"/>
      <c r="Y149" s="140"/>
      <c r="Z149" s="140"/>
      <c r="AA149" s="140"/>
      <c r="AB149" s="140"/>
    </row>
    <row r="150">
      <c r="A150" s="133">
        <v>45966.0</v>
      </c>
      <c r="B150" s="134" t="s">
        <v>1221</v>
      </c>
      <c r="C150" s="134" t="s">
        <v>54</v>
      </c>
      <c r="D150" s="134" t="s">
        <v>6069</v>
      </c>
      <c r="E150" s="134" t="s">
        <v>6070</v>
      </c>
      <c r="F150" s="135">
        <v>1.0</v>
      </c>
      <c r="G150" s="136">
        <v>1.0</v>
      </c>
      <c r="H150" s="142"/>
      <c r="I150" s="136">
        <v>0.0</v>
      </c>
      <c r="J150" s="137">
        <v>1.0</v>
      </c>
      <c r="K150" s="137">
        <v>1.0</v>
      </c>
      <c r="L150" s="134" t="s">
        <v>80</v>
      </c>
      <c r="M150" s="147" t="s">
        <v>93</v>
      </c>
      <c r="N150" s="129"/>
      <c r="O150" s="140"/>
      <c r="P150" s="135" t="s">
        <v>6356</v>
      </c>
      <c r="Q150" s="76" t="s">
        <v>22</v>
      </c>
      <c r="R150" s="140"/>
      <c r="S150" s="140"/>
      <c r="T150" s="140"/>
      <c r="U150" s="140"/>
      <c r="V150" s="140"/>
      <c r="W150" s="140"/>
      <c r="X150" s="140"/>
      <c r="Y150" s="140"/>
      <c r="Z150" s="140"/>
      <c r="AA150" s="140"/>
      <c r="AB150" s="140"/>
    </row>
    <row r="151">
      <c r="A151" s="133">
        <v>45966.0</v>
      </c>
      <c r="B151" s="134" t="s">
        <v>1221</v>
      </c>
      <c r="C151" s="134" t="s">
        <v>54</v>
      </c>
      <c r="D151" s="134" t="s">
        <v>6069</v>
      </c>
      <c r="E151" s="134" t="s">
        <v>6070</v>
      </c>
      <c r="F151" s="135">
        <v>1.0</v>
      </c>
      <c r="G151" s="136">
        <v>1.0</v>
      </c>
      <c r="H151" s="142"/>
      <c r="I151" s="136">
        <v>0.0</v>
      </c>
      <c r="J151" s="137">
        <v>1.0</v>
      </c>
      <c r="K151" s="137">
        <v>1.0</v>
      </c>
      <c r="L151" s="134" t="s">
        <v>80</v>
      </c>
      <c r="M151" s="147" t="s">
        <v>93</v>
      </c>
      <c r="N151" s="129"/>
      <c r="O151" s="140"/>
      <c r="P151" s="135" t="s">
        <v>6357</v>
      </c>
      <c r="Q151" s="76" t="s">
        <v>22</v>
      </c>
      <c r="R151" s="140"/>
      <c r="S151" s="140"/>
      <c r="T151" s="140"/>
      <c r="U151" s="140"/>
      <c r="V151" s="140"/>
      <c r="W151" s="140"/>
      <c r="X151" s="140"/>
      <c r="Y151" s="140"/>
      <c r="Z151" s="140"/>
      <c r="AA151" s="140"/>
      <c r="AB151" s="140"/>
    </row>
    <row r="152">
      <c r="A152" s="133">
        <v>45966.0</v>
      </c>
      <c r="B152" s="134" t="s">
        <v>1221</v>
      </c>
      <c r="C152" s="134" t="s">
        <v>54</v>
      </c>
      <c r="D152" s="134" t="s">
        <v>6069</v>
      </c>
      <c r="E152" s="134" t="s">
        <v>6070</v>
      </c>
      <c r="F152" s="135">
        <v>1.0</v>
      </c>
      <c r="G152" s="136">
        <v>1.0</v>
      </c>
      <c r="H152" s="142"/>
      <c r="I152" s="136">
        <v>0.0</v>
      </c>
      <c r="J152" s="137">
        <v>1.0</v>
      </c>
      <c r="K152" s="137">
        <v>1.0</v>
      </c>
      <c r="L152" s="134" t="s">
        <v>80</v>
      </c>
      <c r="M152" s="147" t="s">
        <v>93</v>
      </c>
      <c r="N152" s="129"/>
      <c r="O152" s="140"/>
      <c r="P152" s="135" t="s">
        <v>6358</v>
      </c>
      <c r="Q152" s="76" t="s">
        <v>22</v>
      </c>
      <c r="R152" s="140"/>
      <c r="S152" s="140"/>
      <c r="T152" s="140"/>
      <c r="U152" s="140"/>
      <c r="V152" s="140"/>
      <c r="W152" s="140"/>
      <c r="X152" s="140"/>
      <c r="Y152" s="140"/>
      <c r="Z152" s="140"/>
      <c r="AA152" s="140"/>
      <c r="AB152" s="140"/>
    </row>
    <row r="153">
      <c r="A153" s="133">
        <v>45959.0</v>
      </c>
      <c r="B153" s="134" t="s">
        <v>1221</v>
      </c>
      <c r="C153" s="134" t="s">
        <v>6359</v>
      </c>
      <c r="D153" s="134" t="s">
        <v>6336</v>
      </c>
      <c r="E153" s="134" t="s">
        <v>6070</v>
      </c>
      <c r="F153" s="135">
        <v>1.0</v>
      </c>
      <c r="G153" s="136">
        <v>20.0</v>
      </c>
      <c r="H153" s="142"/>
      <c r="I153" s="136">
        <v>24.15</v>
      </c>
      <c r="J153" s="137">
        <v>-4.15</v>
      </c>
      <c r="K153" s="137">
        <v>-4.149999999999999</v>
      </c>
      <c r="L153" s="134" t="s">
        <v>80</v>
      </c>
      <c r="M153" s="141"/>
      <c r="N153" s="129"/>
      <c r="O153" s="140"/>
      <c r="P153" s="135" t="s">
        <v>6360</v>
      </c>
      <c r="Q153" s="76" t="s">
        <v>22</v>
      </c>
      <c r="R153" s="140"/>
      <c r="S153" s="140"/>
      <c r="T153" s="140"/>
      <c r="U153" s="140"/>
      <c r="V153" s="140"/>
      <c r="W153" s="140"/>
      <c r="X153" s="140"/>
      <c r="Y153" s="140"/>
      <c r="Z153" s="140"/>
      <c r="AA153" s="140"/>
      <c r="AB153" s="140"/>
    </row>
    <row r="154">
      <c r="A154" s="133">
        <v>45960.0</v>
      </c>
      <c r="B154" s="134" t="s">
        <v>1221</v>
      </c>
      <c r="C154" s="134" t="s">
        <v>6361</v>
      </c>
      <c r="D154" s="134" t="s">
        <v>6336</v>
      </c>
      <c r="E154" s="134" t="s">
        <v>6070</v>
      </c>
      <c r="F154" s="135">
        <v>1.0</v>
      </c>
      <c r="G154" s="136">
        <v>14.0</v>
      </c>
      <c r="H154" s="142"/>
      <c r="I154" s="136">
        <v>13.82</v>
      </c>
      <c r="J154" s="137">
        <v>0.18</v>
      </c>
      <c r="K154" s="137">
        <v>0.17999999999999972</v>
      </c>
      <c r="L154" s="134" t="s">
        <v>80</v>
      </c>
      <c r="M154" s="141"/>
      <c r="N154" s="129"/>
      <c r="O154" s="140"/>
      <c r="P154" s="135" t="s">
        <v>6362</v>
      </c>
      <c r="Q154" s="76" t="s">
        <v>22</v>
      </c>
      <c r="R154" s="140"/>
      <c r="S154" s="140"/>
      <c r="T154" s="140"/>
      <c r="U154" s="140"/>
      <c r="V154" s="140"/>
      <c r="W154" s="140"/>
      <c r="X154" s="140"/>
      <c r="Y154" s="140"/>
      <c r="Z154" s="140"/>
      <c r="AA154" s="140"/>
      <c r="AB154" s="140"/>
    </row>
    <row r="155">
      <c r="A155" s="133">
        <v>45959.0</v>
      </c>
      <c r="B155" s="134" t="s">
        <v>1221</v>
      </c>
      <c r="C155" s="134" t="s">
        <v>6363</v>
      </c>
      <c r="D155" s="134" t="s">
        <v>6336</v>
      </c>
      <c r="E155" s="134" t="s">
        <v>6070</v>
      </c>
      <c r="F155" s="135">
        <v>1.0</v>
      </c>
      <c r="G155" s="136">
        <v>22.0</v>
      </c>
      <c r="H155" s="142"/>
      <c r="I155" s="136">
        <v>19.03</v>
      </c>
      <c r="J155" s="137">
        <v>2.97</v>
      </c>
      <c r="K155" s="137">
        <v>2.969999999999999</v>
      </c>
      <c r="L155" s="134" t="s">
        <v>80</v>
      </c>
      <c r="M155" s="141"/>
      <c r="N155" s="129"/>
      <c r="O155" s="140"/>
      <c r="P155" s="135" t="s">
        <v>6364</v>
      </c>
      <c r="Q155" s="76" t="s">
        <v>22</v>
      </c>
      <c r="R155" s="140"/>
      <c r="S155" s="140"/>
      <c r="T155" s="140"/>
      <c r="U155" s="140"/>
      <c r="V155" s="140"/>
      <c r="W155" s="140"/>
      <c r="X155" s="140"/>
      <c r="Y155" s="140"/>
      <c r="Z155" s="140"/>
      <c r="AA155" s="140"/>
      <c r="AB155" s="140"/>
    </row>
    <row r="156">
      <c r="A156" s="133">
        <v>45958.0</v>
      </c>
      <c r="B156" s="134" t="s">
        <v>1221</v>
      </c>
      <c r="C156" s="134" t="s">
        <v>6365</v>
      </c>
      <c r="D156" s="134" t="s">
        <v>6336</v>
      </c>
      <c r="E156" s="134" t="s">
        <v>6070</v>
      </c>
      <c r="F156" s="135">
        <v>1.0</v>
      </c>
      <c r="G156" s="136">
        <v>0.0</v>
      </c>
      <c r="H156" s="142"/>
      <c r="I156" s="136">
        <v>10.0</v>
      </c>
      <c r="J156" s="137">
        <v>-10.0</v>
      </c>
      <c r="K156" s="137">
        <v>-10.0</v>
      </c>
      <c r="L156" s="134" t="s">
        <v>80</v>
      </c>
      <c r="M156" s="141"/>
      <c r="N156" s="129"/>
      <c r="O156" s="140"/>
      <c r="P156" s="135" t="s">
        <v>6366</v>
      </c>
      <c r="Q156" s="76" t="s">
        <v>22</v>
      </c>
      <c r="R156" s="140"/>
      <c r="S156" s="140"/>
      <c r="T156" s="140"/>
      <c r="U156" s="140"/>
      <c r="V156" s="140"/>
      <c r="W156" s="140"/>
      <c r="X156" s="140"/>
      <c r="Y156" s="140"/>
      <c r="Z156" s="140"/>
      <c r="AA156" s="140"/>
      <c r="AB156" s="140"/>
    </row>
    <row r="157">
      <c r="A157" s="133">
        <v>45957.0</v>
      </c>
      <c r="B157" s="134" t="s">
        <v>1221</v>
      </c>
      <c r="C157" s="134" t="s">
        <v>6367</v>
      </c>
      <c r="D157" s="134" t="s">
        <v>6336</v>
      </c>
      <c r="E157" s="134" t="s">
        <v>6070</v>
      </c>
      <c r="F157" s="135">
        <v>1.0</v>
      </c>
      <c r="G157" s="136">
        <v>38.0</v>
      </c>
      <c r="H157" s="142"/>
      <c r="I157" s="136">
        <v>29.04</v>
      </c>
      <c r="J157" s="137">
        <v>8.96</v>
      </c>
      <c r="K157" s="137">
        <v>8.96</v>
      </c>
      <c r="L157" s="134" t="s">
        <v>80</v>
      </c>
      <c r="M157" s="141"/>
      <c r="N157" s="129"/>
      <c r="O157" s="140"/>
      <c r="P157" s="135" t="s">
        <v>6368</v>
      </c>
      <c r="Q157" s="76" t="s">
        <v>22</v>
      </c>
      <c r="R157" s="140"/>
      <c r="S157" s="140"/>
      <c r="T157" s="140"/>
      <c r="U157" s="140"/>
      <c r="V157" s="140"/>
      <c r="W157" s="140"/>
      <c r="X157" s="140"/>
      <c r="Y157" s="140"/>
      <c r="Z157" s="140"/>
      <c r="AA157" s="140"/>
      <c r="AB157" s="140"/>
    </row>
    <row r="158">
      <c r="A158" s="133">
        <v>45958.0</v>
      </c>
      <c r="B158" s="134" t="s">
        <v>6369</v>
      </c>
      <c r="C158" s="134" t="s">
        <v>6370</v>
      </c>
      <c r="D158" s="134" t="s">
        <v>5981</v>
      </c>
      <c r="E158" s="134" t="s">
        <v>6371</v>
      </c>
      <c r="F158" s="135">
        <v>2.0</v>
      </c>
      <c r="G158" s="136">
        <v>12.38</v>
      </c>
      <c r="H158" s="142"/>
      <c r="I158" s="142"/>
      <c r="J158" s="137">
        <v>6.19</v>
      </c>
      <c r="K158" s="137">
        <v>12.38</v>
      </c>
      <c r="L158" s="134" t="s">
        <v>80</v>
      </c>
      <c r="M158" s="147" t="s">
        <v>1152</v>
      </c>
      <c r="N158" s="129"/>
      <c r="O158" s="135" t="s">
        <v>6372</v>
      </c>
      <c r="P158" s="135" t="s">
        <v>6373</v>
      </c>
      <c r="Q158" s="76" t="s">
        <v>22</v>
      </c>
      <c r="R158" s="140"/>
      <c r="S158" s="140"/>
      <c r="T158" s="140"/>
      <c r="U158" s="140"/>
      <c r="V158" s="140"/>
      <c r="W158" s="140"/>
      <c r="X158" s="140"/>
      <c r="Y158" s="140"/>
      <c r="Z158" s="140"/>
      <c r="AA158" s="140"/>
      <c r="AB158" s="140"/>
    </row>
    <row r="159">
      <c r="A159" s="133">
        <v>45958.0</v>
      </c>
      <c r="B159" s="134" t="s">
        <v>6369</v>
      </c>
      <c r="C159" s="134" t="s">
        <v>6374</v>
      </c>
      <c r="D159" s="134" t="s">
        <v>6021</v>
      </c>
      <c r="E159" s="134" t="s">
        <v>6029</v>
      </c>
      <c r="F159" s="135">
        <v>1.0</v>
      </c>
      <c r="G159" s="136">
        <v>31.98</v>
      </c>
      <c r="H159" s="142"/>
      <c r="I159" s="142"/>
      <c r="J159" s="137">
        <v>31.98</v>
      </c>
      <c r="K159" s="137">
        <v>31.98</v>
      </c>
      <c r="L159" s="134" t="s">
        <v>80</v>
      </c>
      <c r="M159" s="147" t="s">
        <v>1152</v>
      </c>
      <c r="N159" s="129"/>
      <c r="O159" s="135" t="s">
        <v>6375</v>
      </c>
      <c r="P159" s="135" t="s">
        <v>6376</v>
      </c>
      <c r="Q159" s="76" t="s">
        <v>22</v>
      </c>
      <c r="R159" s="140"/>
      <c r="S159" s="140"/>
      <c r="T159" s="140"/>
      <c r="U159" s="140"/>
      <c r="V159" s="140"/>
      <c r="W159" s="140"/>
      <c r="X159" s="140"/>
      <c r="Y159" s="140"/>
      <c r="Z159" s="140"/>
      <c r="AA159" s="140"/>
      <c r="AB159" s="140"/>
    </row>
    <row r="160">
      <c r="A160" s="133">
        <v>45890.0</v>
      </c>
      <c r="B160" s="134" t="s">
        <v>6369</v>
      </c>
      <c r="C160" s="134" t="s">
        <v>6377</v>
      </c>
      <c r="D160" s="134" t="s">
        <v>5993</v>
      </c>
      <c r="E160" s="134" t="s">
        <v>6378</v>
      </c>
      <c r="F160" s="135">
        <v>1.0</v>
      </c>
      <c r="G160" s="136">
        <v>7.99</v>
      </c>
      <c r="H160" s="142"/>
      <c r="I160" s="142"/>
      <c r="J160" s="137">
        <v>7.99</v>
      </c>
      <c r="K160" s="137">
        <v>7.99</v>
      </c>
      <c r="L160" s="134" t="s">
        <v>80</v>
      </c>
      <c r="M160" s="147" t="s">
        <v>93</v>
      </c>
      <c r="N160" s="129"/>
      <c r="O160" s="140"/>
      <c r="P160" s="135" t="s">
        <v>6379</v>
      </c>
      <c r="Q160" s="76" t="s">
        <v>22</v>
      </c>
      <c r="R160" s="140"/>
      <c r="S160" s="140"/>
      <c r="T160" s="140"/>
      <c r="U160" s="140"/>
      <c r="V160" s="140"/>
      <c r="W160" s="140"/>
      <c r="X160" s="140"/>
      <c r="Y160" s="140"/>
      <c r="Z160" s="140"/>
      <c r="AA160" s="140"/>
      <c r="AB160" s="140"/>
    </row>
    <row r="161">
      <c r="A161" s="133">
        <v>45890.0</v>
      </c>
      <c r="B161" s="134" t="s">
        <v>6369</v>
      </c>
      <c r="C161" s="146"/>
      <c r="D161" s="134" t="s">
        <v>5981</v>
      </c>
      <c r="E161" s="134" t="s">
        <v>6378</v>
      </c>
      <c r="F161" s="135">
        <v>2.0</v>
      </c>
      <c r="G161" s="136">
        <v>13.58</v>
      </c>
      <c r="H161" s="142"/>
      <c r="I161" s="142"/>
      <c r="J161" s="137">
        <v>6.79</v>
      </c>
      <c r="K161" s="137">
        <v>13.58</v>
      </c>
      <c r="L161" s="134" t="s">
        <v>80</v>
      </c>
      <c r="M161" s="147" t="s">
        <v>93</v>
      </c>
      <c r="N161" s="129"/>
      <c r="O161" s="135" t="s">
        <v>6380</v>
      </c>
      <c r="P161" s="135" t="s">
        <v>6381</v>
      </c>
      <c r="Q161" s="76" t="s">
        <v>22</v>
      </c>
      <c r="R161" s="140"/>
      <c r="S161" s="140"/>
      <c r="T161" s="140"/>
      <c r="U161" s="140"/>
      <c r="V161" s="140"/>
      <c r="W161" s="140"/>
      <c r="X161" s="140"/>
      <c r="Y161" s="140"/>
      <c r="Z161" s="140"/>
      <c r="AA161" s="140"/>
      <c r="AB161" s="140"/>
    </row>
    <row r="162">
      <c r="A162" s="133">
        <v>45890.0</v>
      </c>
      <c r="B162" s="134" t="s">
        <v>6369</v>
      </c>
      <c r="C162" s="134" t="s">
        <v>6382</v>
      </c>
      <c r="D162" s="134" t="s">
        <v>5993</v>
      </c>
      <c r="E162" s="134" t="s">
        <v>6383</v>
      </c>
      <c r="F162" s="135">
        <v>2.0</v>
      </c>
      <c r="G162" s="136">
        <v>57.98</v>
      </c>
      <c r="H162" s="142"/>
      <c r="I162" s="142"/>
      <c r="J162" s="137">
        <v>28.99</v>
      </c>
      <c r="K162" s="137">
        <v>57.98</v>
      </c>
      <c r="L162" s="134" t="s">
        <v>80</v>
      </c>
      <c r="M162" s="147" t="s">
        <v>93</v>
      </c>
      <c r="N162" s="129"/>
      <c r="O162" s="135" t="s">
        <v>6384</v>
      </c>
      <c r="P162" s="135" t="s">
        <v>6385</v>
      </c>
      <c r="Q162" s="76" t="s">
        <v>22</v>
      </c>
      <c r="R162" s="140"/>
      <c r="S162" s="140"/>
      <c r="T162" s="140"/>
      <c r="U162" s="140"/>
      <c r="V162" s="140"/>
      <c r="W162" s="140"/>
      <c r="X162" s="140"/>
      <c r="Y162" s="140"/>
      <c r="Z162" s="140"/>
      <c r="AA162" s="140"/>
      <c r="AB162" s="140"/>
    </row>
    <row r="163">
      <c r="A163" s="133">
        <v>45925.0</v>
      </c>
      <c r="B163" s="134" t="s">
        <v>6369</v>
      </c>
      <c r="C163" s="134" t="s">
        <v>6382</v>
      </c>
      <c r="D163" s="134" t="s">
        <v>5993</v>
      </c>
      <c r="E163" s="134" t="s">
        <v>6383</v>
      </c>
      <c r="F163" s="135">
        <v>2.0</v>
      </c>
      <c r="G163" s="136">
        <v>57.98</v>
      </c>
      <c r="H163" s="142"/>
      <c r="I163" s="136">
        <v>20.0</v>
      </c>
      <c r="J163" s="137">
        <v>18.99</v>
      </c>
      <c r="K163" s="137">
        <v>37.98</v>
      </c>
      <c r="L163" s="134" t="s">
        <v>80</v>
      </c>
      <c r="M163" s="147" t="s">
        <v>93</v>
      </c>
      <c r="N163" s="129"/>
      <c r="O163" s="135" t="s">
        <v>6384</v>
      </c>
      <c r="P163" s="135" t="s">
        <v>6386</v>
      </c>
      <c r="Q163" s="76" t="s">
        <v>22</v>
      </c>
      <c r="R163" s="140"/>
      <c r="S163" s="140"/>
      <c r="T163" s="140"/>
      <c r="U163" s="140"/>
      <c r="V163" s="140"/>
      <c r="W163" s="140"/>
      <c r="X163" s="140"/>
      <c r="Y163" s="140"/>
      <c r="Z163" s="140"/>
      <c r="AA163" s="140"/>
      <c r="AB163" s="140"/>
    </row>
    <row r="164">
      <c r="A164" s="133">
        <v>45925.0</v>
      </c>
      <c r="B164" s="134" t="s">
        <v>6369</v>
      </c>
      <c r="C164" s="146"/>
      <c r="D164" s="134" t="s">
        <v>6387</v>
      </c>
      <c r="E164" s="134" t="s">
        <v>6371</v>
      </c>
      <c r="F164" s="135">
        <v>1.0</v>
      </c>
      <c r="G164" s="136">
        <v>50.96</v>
      </c>
      <c r="H164" s="142"/>
      <c r="I164" s="142"/>
      <c r="J164" s="137">
        <v>50.96</v>
      </c>
      <c r="K164" s="137">
        <v>50.96</v>
      </c>
      <c r="L164" s="134" t="s">
        <v>80</v>
      </c>
      <c r="M164" s="147" t="s">
        <v>93</v>
      </c>
      <c r="N164" s="129"/>
      <c r="O164" s="135" t="s">
        <v>6388</v>
      </c>
      <c r="P164" s="135" t="s">
        <v>6389</v>
      </c>
      <c r="Q164" s="76" t="s">
        <v>22</v>
      </c>
      <c r="R164" s="140"/>
      <c r="S164" s="140"/>
      <c r="T164" s="140"/>
      <c r="U164" s="140"/>
      <c r="V164" s="140"/>
      <c r="W164" s="140"/>
      <c r="X164" s="140"/>
      <c r="Y164" s="140"/>
      <c r="Z164" s="140"/>
      <c r="AA164" s="140"/>
      <c r="AB164" s="140"/>
    </row>
    <row r="165">
      <c r="A165" s="133">
        <v>45874.0</v>
      </c>
      <c r="B165" s="134" t="s">
        <v>6390</v>
      </c>
      <c r="C165" s="134" t="s">
        <v>6391</v>
      </c>
      <c r="D165" s="134" t="s">
        <v>1103</v>
      </c>
      <c r="E165" s="134" t="s">
        <v>6392</v>
      </c>
      <c r="F165" s="135">
        <v>1.0</v>
      </c>
      <c r="G165" s="136">
        <v>11.0</v>
      </c>
      <c r="H165" s="142"/>
      <c r="I165" s="136">
        <v>0.0</v>
      </c>
      <c r="J165" s="137">
        <v>11.0</v>
      </c>
      <c r="K165" s="137">
        <v>11.0</v>
      </c>
      <c r="L165" s="134" t="s">
        <v>80</v>
      </c>
      <c r="M165" s="147" t="s">
        <v>691</v>
      </c>
      <c r="N165" s="129"/>
      <c r="O165" s="140"/>
      <c r="P165" s="135" t="s">
        <v>6393</v>
      </c>
      <c r="Q165" s="76" t="s">
        <v>22</v>
      </c>
      <c r="R165" s="140"/>
      <c r="S165" s="140"/>
      <c r="T165" s="140"/>
      <c r="U165" s="140"/>
      <c r="V165" s="140"/>
      <c r="W165" s="140"/>
      <c r="X165" s="140"/>
      <c r="Y165" s="140"/>
      <c r="Z165" s="140"/>
      <c r="AA165" s="140"/>
      <c r="AB165" s="140"/>
    </row>
    <row r="166">
      <c r="A166" s="133">
        <v>45908.0</v>
      </c>
      <c r="B166" s="134" t="s">
        <v>6369</v>
      </c>
      <c r="C166" s="146"/>
      <c r="D166" s="134" t="s">
        <v>6021</v>
      </c>
      <c r="E166" s="134" t="s">
        <v>6378</v>
      </c>
      <c r="F166" s="135">
        <v>1.0</v>
      </c>
      <c r="G166" s="136">
        <v>19.99</v>
      </c>
      <c r="H166" s="142"/>
      <c r="I166" s="142"/>
      <c r="J166" s="137">
        <v>19.99</v>
      </c>
      <c r="K166" s="137">
        <v>19.99</v>
      </c>
      <c r="L166" s="134" t="s">
        <v>80</v>
      </c>
      <c r="M166" s="147" t="s">
        <v>93</v>
      </c>
      <c r="N166" s="129"/>
      <c r="O166" s="135" t="s">
        <v>6394</v>
      </c>
      <c r="P166" s="135" t="s">
        <v>6395</v>
      </c>
      <c r="Q166" s="76" t="s">
        <v>22</v>
      </c>
      <c r="R166" s="140"/>
      <c r="S166" s="140"/>
      <c r="T166" s="140"/>
      <c r="U166" s="140"/>
      <c r="V166" s="140"/>
      <c r="W166" s="140"/>
      <c r="X166" s="140"/>
      <c r="Y166" s="140"/>
      <c r="Z166" s="140"/>
      <c r="AA166" s="140"/>
      <c r="AB166" s="140"/>
    </row>
    <row r="167">
      <c r="A167" s="133">
        <v>45964.0</v>
      </c>
      <c r="B167" s="134" t="s">
        <v>49</v>
      </c>
      <c r="C167" s="146"/>
      <c r="D167" s="134" t="s">
        <v>6224</v>
      </c>
      <c r="E167" s="134" t="s">
        <v>6396</v>
      </c>
      <c r="F167" s="135">
        <v>2.0</v>
      </c>
      <c r="G167" s="136">
        <v>29.94</v>
      </c>
      <c r="H167" s="142"/>
      <c r="I167" s="136">
        <v>0.0</v>
      </c>
      <c r="J167" s="137">
        <v>14.97</v>
      </c>
      <c r="K167" s="137">
        <v>29.94</v>
      </c>
      <c r="L167" s="134" t="s">
        <v>80</v>
      </c>
      <c r="M167" s="147" t="s">
        <v>691</v>
      </c>
      <c r="N167" s="129"/>
      <c r="O167" s="140"/>
      <c r="P167" s="135" t="s">
        <v>6397</v>
      </c>
      <c r="Q167" s="76" t="s">
        <v>22</v>
      </c>
      <c r="R167" s="140"/>
      <c r="S167" s="140"/>
      <c r="T167" s="140"/>
      <c r="U167" s="140"/>
      <c r="V167" s="140"/>
      <c r="W167" s="140"/>
      <c r="X167" s="140"/>
      <c r="Y167" s="140"/>
      <c r="Z167" s="140"/>
      <c r="AA167" s="140"/>
      <c r="AB167" s="140"/>
    </row>
    <row r="168">
      <c r="A168" s="133">
        <v>45967.0</v>
      </c>
      <c r="B168" s="134" t="s">
        <v>6398</v>
      </c>
      <c r="C168" s="134" t="s">
        <v>6399</v>
      </c>
      <c r="D168" s="134" t="s">
        <v>6400</v>
      </c>
      <c r="E168" s="134" t="s">
        <v>6401</v>
      </c>
      <c r="F168" s="135">
        <v>5.0</v>
      </c>
      <c r="G168" s="136">
        <v>58.0</v>
      </c>
      <c r="H168" s="142"/>
      <c r="I168" s="136">
        <v>0.0</v>
      </c>
      <c r="J168" s="137">
        <v>11.6</v>
      </c>
      <c r="K168" s="137">
        <v>58.0</v>
      </c>
      <c r="L168" s="134" t="s">
        <v>80</v>
      </c>
      <c r="M168" s="147" t="s">
        <v>93</v>
      </c>
      <c r="N168" s="129"/>
      <c r="O168" s="140"/>
      <c r="P168" s="135" t="s">
        <v>6402</v>
      </c>
      <c r="Q168" s="76" t="s">
        <v>22</v>
      </c>
      <c r="R168" s="140"/>
      <c r="S168" s="140"/>
      <c r="T168" s="140"/>
      <c r="U168" s="140"/>
      <c r="V168" s="140"/>
      <c r="W168" s="140"/>
      <c r="X168" s="140"/>
      <c r="Y168" s="140"/>
      <c r="Z168" s="140"/>
      <c r="AA168" s="140"/>
      <c r="AB168" s="140"/>
    </row>
    <row r="169">
      <c r="A169" s="133">
        <v>45929.0</v>
      </c>
      <c r="B169" s="134" t="s">
        <v>6398</v>
      </c>
      <c r="C169" s="146"/>
      <c r="D169" s="134" t="s">
        <v>6247</v>
      </c>
      <c r="E169" s="134" t="s">
        <v>6371</v>
      </c>
      <c r="F169" s="135">
        <v>1.0</v>
      </c>
      <c r="G169" s="136">
        <v>54.6</v>
      </c>
      <c r="H169" s="142"/>
      <c r="I169" s="142"/>
      <c r="J169" s="137">
        <v>54.6</v>
      </c>
      <c r="K169" s="137">
        <v>54.6</v>
      </c>
      <c r="L169" s="134" t="s">
        <v>80</v>
      </c>
      <c r="M169" s="147" t="s">
        <v>1152</v>
      </c>
      <c r="N169" s="129"/>
      <c r="O169" s="135" t="s">
        <v>6403</v>
      </c>
      <c r="P169" s="135" t="s">
        <v>6404</v>
      </c>
      <c r="Q169" s="76" t="s">
        <v>22</v>
      </c>
      <c r="R169" s="140"/>
      <c r="S169" s="140"/>
      <c r="T169" s="140"/>
      <c r="U169" s="140"/>
      <c r="V169" s="140"/>
      <c r="W169" s="140"/>
      <c r="X169" s="140"/>
      <c r="Y169" s="140"/>
      <c r="Z169" s="140"/>
      <c r="AA169" s="140"/>
      <c r="AB169" s="140"/>
    </row>
    <row r="170">
      <c r="A170" s="133">
        <v>45933.0</v>
      </c>
      <c r="B170" s="134" t="s">
        <v>6398</v>
      </c>
      <c r="C170" s="146"/>
      <c r="D170" s="134" t="s">
        <v>6247</v>
      </c>
      <c r="E170" s="134" t="s">
        <v>6371</v>
      </c>
      <c r="F170" s="135">
        <v>3.0</v>
      </c>
      <c r="G170" s="136">
        <v>3.0</v>
      </c>
      <c r="H170" s="142"/>
      <c r="I170" s="142"/>
      <c r="J170" s="137">
        <v>1.0</v>
      </c>
      <c r="K170" s="137">
        <v>3.0</v>
      </c>
      <c r="L170" s="134" t="s">
        <v>80</v>
      </c>
      <c r="M170" s="147" t="s">
        <v>1152</v>
      </c>
      <c r="N170" s="129"/>
      <c r="O170" s="135" t="s">
        <v>6405</v>
      </c>
      <c r="P170" s="135" t="s">
        <v>6406</v>
      </c>
      <c r="Q170" s="76" t="s">
        <v>22</v>
      </c>
      <c r="R170" s="140"/>
      <c r="S170" s="140"/>
      <c r="T170" s="140"/>
      <c r="U170" s="140"/>
      <c r="V170" s="140"/>
      <c r="W170" s="140"/>
      <c r="X170" s="140"/>
      <c r="Y170" s="140"/>
      <c r="Z170" s="140"/>
      <c r="AA170" s="140"/>
      <c r="AB170" s="140"/>
    </row>
    <row r="171">
      <c r="A171" s="133">
        <v>45926.0</v>
      </c>
      <c r="B171" s="134" t="s">
        <v>6398</v>
      </c>
      <c r="C171" s="146"/>
      <c r="D171" s="134" t="s">
        <v>6400</v>
      </c>
      <c r="E171" s="134" t="s">
        <v>6371</v>
      </c>
      <c r="F171" s="135">
        <v>4.0</v>
      </c>
      <c r="G171" s="136">
        <v>83.5</v>
      </c>
      <c r="H171" s="142"/>
      <c r="I171" s="136">
        <v>1.4</v>
      </c>
      <c r="J171" s="137">
        <v>20.53</v>
      </c>
      <c r="K171" s="137">
        <v>82.1</v>
      </c>
      <c r="L171" s="134" t="s">
        <v>80</v>
      </c>
      <c r="M171" s="147" t="s">
        <v>1152</v>
      </c>
      <c r="N171" s="129"/>
      <c r="O171" s="140"/>
      <c r="P171" s="135" t="s">
        <v>6407</v>
      </c>
      <c r="Q171" s="76" t="s">
        <v>22</v>
      </c>
      <c r="R171" s="140"/>
      <c r="S171" s="140"/>
      <c r="T171" s="140"/>
      <c r="U171" s="140"/>
      <c r="V171" s="140"/>
      <c r="W171" s="140"/>
      <c r="X171" s="140"/>
      <c r="Y171" s="140"/>
      <c r="Z171" s="140"/>
      <c r="AA171" s="140"/>
      <c r="AB171" s="140"/>
    </row>
    <row r="172">
      <c r="A172" s="133">
        <v>45965.0</v>
      </c>
      <c r="B172" s="134" t="s">
        <v>6408</v>
      </c>
      <c r="C172" s="134" t="s">
        <v>46</v>
      </c>
      <c r="D172" s="134" t="s">
        <v>6247</v>
      </c>
      <c r="E172" s="134" t="s">
        <v>6371</v>
      </c>
      <c r="F172" s="135">
        <v>1.0</v>
      </c>
      <c r="G172" s="136">
        <v>175.88</v>
      </c>
      <c r="H172" s="142"/>
      <c r="I172" s="136">
        <v>0.0</v>
      </c>
      <c r="J172" s="137">
        <v>175.88</v>
      </c>
      <c r="K172" s="137">
        <v>175.88</v>
      </c>
      <c r="L172" s="134" t="s">
        <v>80</v>
      </c>
      <c r="M172" s="147" t="s">
        <v>1152</v>
      </c>
      <c r="N172" s="129"/>
      <c r="O172" s="140"/>
      <c r="P172" s="135" t="s">
        <v>6409</v>
      </c>
      <c r="Q172" s="76" t="s">
        <v>22</v>
      </c>
      <c r="R172" s="140"/>
      <c r="S172" s="140"/>
      <c r="T172" s="140"/>
      <c r="U172" s="140"/>
      <c r="V172" s="140"/>
      <c r="W172" s="140"/>
      <c r="X172" s="140"/>
      <c r="Y172" s="140"/>
      <c r="Z172" s="140"/>
      <c r="AA172" s="140"/>
      <c r="AB172" s="140"/>
    </row>
    <row r="173">
      <c r="A173" s="133">
        <v>45936.0</v>
      </c>
      <c r="B173" s="134" t="s">
        <v>6410</v>
      </c>
      <c r="C173" s="134" t="s">
        <v>6411</v>
      </c>
      <c r="D173" s="134" t="s">
        <v>6387</v>
      </c>
      <c r="E173" s="134" t="s">
        <v>6412</v>
      </c>
      <c r="F173" s="135">
        <v>1.0</v>
      </c>
      <c r="G173" s="136">
        <v>213.5</v>
      </c>
      <c r="H173" s="142"/>
      <c r="I173" s="142"/>
      <c r="J173" s="137">
        <v>213.5</v>
      </c>
      <c r="K173" s="137">
        <v>213.5</v>
      </c>
      <c r="L173" s="134" t="s">
        <v>80</v>
      </c>
      <c r="M173" s="147" t="s">
        <v>691</v>
      </c>
      <c r="N173" s="129"/>
      <c r="O173" s="140"/>
      <c r="P173" s="135" t="s">
        <v>6413</v>
      </c>
      <c r="Q173" s="76" t="s">
        <v>22</v>
      </c>
      <c r="R173" s="140"/>
      <c r="S173" s="140"/>
      <c r="T173" s="140"/>
      <c r="U173" s="140"/>
      <c r="V173" s="140"/>
      <c r="W173" s="140"/>
      <c r="X173" s="140"/>
      <c r="Y173" s="140"/>
      <c r="Z173" s="140"/>
      <c r="AA173" s="140"/>
      <c r="AB173" s="140"/>
    </row>
    <row r="174">
      <c r="A174" s="133">
        <v>45967.0</v>
      </c>
      <c r="B174" s="134" t="s">
        <v>1221</v>
      </c>
      <c r="C174" s="134" t="s">
        <v>6414</v>
      </c>
      <c r="D174" s="134" t="s">
        <v>6336</v>
      </c>
      <c r="E174" s="134" t="s">
        <v>6070</v>
      </c>
      <c r="F174" s="135">
        <v>1.0</v>
      </c>
      <c r="G174" s="136">
        <v>0.0</v>
      </c>
      <c r="H174" s="142"/>
      <c r="I174" s="136">
        <v>8.54</v>
      </c>
      <c r="J174" s="137">
        <v>-8.54</v>
      </c>
      <c r="K174" s="137">
        <v>-8.54</v>
      </c>
      <c r="L174" s="134" t="s">
        <v>483</v>
      </c>
      <c r="M174" s="141"/>
      <c r="N174" s="129"/>
      <c r="O174" s="140"/>
      <c r="P174" s="135" t="s">
        <v>6415</v>
      </c>
      <c r="Q174" s="76" t="s">
        <v>22</v>
      </c>
      <c r="R174" s="140"/>
      <c r="S174" s="140"/>
      <c r="T174" s="140"/>
      <c r="U174" s="140"/>
      <c r="V174" s="140"/>
      <c r="W174" s="140"/>
      <c r="X174" s="140"/>
      <c r="Y174" s="140"/>
      <c r="Z174" s="140"/>
      <c r="AA174" s="140"/>
      <c r="AB174" s="140"/>
    </row>
    <row r="175">
      <c r="A175" s="133">
        <v>45957.0</v>
      </c>
      <c r="B175" s="134" t="s">
        <v>1221</v>
      </c>
      <c r="C175" s="134" t="s">
        <v>6416</v>
      </c>
      <c r="D175" s="134" t="s">
        <v>6336</v>
      </c>
      <c r="E175" s="134" t="s">
        <v>6070</v>
      </c>
      <c r="F175" s="135">
        <v>1.0</v>
      </c>
      <c r="G175" s="136">
        <v>14.0</v>
      </c>
      <c r="H175" s="142"/>
      <c r="I175" s="136">
        <v>9.06</v>
      </c>
      <c r="J175" s="137">
        <v>4.94</v>
      </c>
      <c r="K175" s="137">
        <v>4.9399999999999995</v>
      </c>
      <c r="L175" s="134" t="s">
        <v>80</v>
      </c>
      <c r="M175" s="141"/>
      <c r="N175" s="129"/>
      <c r="O175" s="140"/>
      <c r="P175" s="135" t="s">
        <v>6417</v>
      </c>
      <c r="Q175" s="76" t="s">
        <v>22</v>
      </c>
      <c r="R175" s="140"/>
      <c r="S175" s="140"/>
      <c r="T175" s="140"/>
      <c r="U175" s="140"/>
      <c r="V175" s="140"/>
      <c r="W175" s="140"/>
      <c r="X175" s="140"/>
      <c r="Y175" s="140"/>
      <c r="Z175" s="140"/>
      <c r="AA175" s="140"/>
      <c r="AB175" s="140"/>
    </row>
    <row r="176">
      <c r="A176" s="133">
        <v>45960.0</v>
      </c>
      <c r="B176" s="134" t="s">
        <v>1221</v>
      </c>
      <c r="C176" s="134" t="s">
        <v>6418</v>
      </c>
      <c r="D176" s="134" t="s">
        <v>6336</v>
      </c>
      <c r="E176" s="134" t="s">
        <v>6070</v>
      </c>
      <c r="F176" s="135">
        <v>1.0</v>
      </c>
      <c r="G176" s="136">
        <v>0.0</v>
      </c>
      <c r="H176" s="142"/>
      <c r="I176" s="136">
        <v>5.37</v>
      </c>
      <c r="J176" s="137">
        <v>-5.37</v>
      </c>
      <c r="K176" s="137">
        <v>-5.37</v>
      </c>
      <c r="L176" s="134" t="s">
        <v>483</v>
      </c>
      <c r="M176" s="141"/>
      <c r="N176" s="129"/>
      <c r="O176" s="140"/>
      <c r="P176" s="135" t="s">
        <v>6419</v>
      </c>
      <c r="Q176" s="76" t="s">
        <v>22</v>
      </c>
      <c r="R176" s="140"/>
      <c r="S176" s="140"/>
      <c r="T176" s="140"/>
      <c r="U176" s="140"/>
      <c r="V176" s="140"/>
      <c r="W176" s="140"/>
      <c r="X176" s="140"/>
      <c r="Y176" s="140"/>
      <c r="Z176" s="140"/>
      <c r="AA176" s="140"/>
      <c r="AB176" s="140"/>
    </row>
    <row r="177">
      <c r="A177" s="133">
        <v>45957.0</v>
      </c>
      <c r="B177" s="134" t="s">
        <v>1221</v>
      </c>
      <c r="C177" s="134" t="s">
        <v>6420</v>
      </c>
      <c r="D177" s="134" t="s">
        <v>6336</v>
      </c>
      <c r="E177" s="134" t="s">
        <v>6070</v>
      </c>
      <c r="F177" s="135">
        <v>1.0</v>
      </c>
      <c r="G177" s="136">
        <v>0.0</v>
      </c>
      <c r="H177" s="142"/>
      <c r="I177" s="136">
        <v>4.99</v>
      </c>
      <c r="J177" s="137">
        <v>-4.99</v>
      </c>
      <c r="K177" s="137">
        <v>-4.99</v>
      </c>
      <c r="L177" s="134" t="s">
        <v>483</v>
      </c>
      <c r="M177" s="141"/>
      <c r="N177" s="129"/>
      <c r="O177" s="140"/>
      <c r="P177" s="135" t="s">
        <v>6421</v>
      </c>
      <c r="Q177" s="76" t="s">
        <v>22</v>
      </c>
      <c r="R177" s="140"/>
      <c r="S177" s="140"/>
      <c r="T177" s="140"/>
      <c r="U177" s="140"/>
      <c r="V177" s="140"/>
      <c r="W177" s="140"/>
      <c r="X177" s="140"/>
      <c r="Y177" s="140"/>
      <c r="Z177" s="140"/>
      <c r="AA177" s="140"/>
      <c r="AB177" s="140"/>
    </row>
    <row r="178">
      <c r="A178" s="133">
        <v>45957.0</v>
      </c>
      <c r="B178" s="134" t="s">
        <v>1221</v>
      </c>
      <c r="C178" s="134" t="s">
        <v>6422</v>
      </c>
      <c r="D178" s="134" t="s">
        <v>6336</v>
      </c>
      <c r="E178" s="134" t="s">
        <v>6070</v>
      </c>
      <c r="F178" s="135">
        <v>1.0</v>
      </c>
      <c r="G178" s="136">
        <v>0.0</v>
      </c>
      <c r="H178" s="142"/>
      <c r="I178" s="136">
        <v>5.71</v>
      </c>
      <c r="J178" s="137">
        <v>-5.71</v>
      </c>
      <c r="K178" s="137">
        <v>-5.71</v>
      </c>
      <c r="L178" s="134" t="s">
        <v>483</v>
      </c>
      <c r="M178" s="141"/>
      <c r="N178" s="129"/>
      <c r="O178" s="140"/>
      <c r="P178" s="135" t="s">
        <v>6423</v>
      </c>
      <c r="Q178" s="76" t="s">
        <v>22</v>
      </c>
      <c r="R178" s="140"/>
      <c r="S178" s="140"/>
      <c r="T178" s="140"/>
      <c r="U178" s="140"/>
      <c r="V178" s="140"/>
      <c r="W178" s="140"/>
      <c r="X178" s="140"/>
      <c r="Y178" s="140"/>
      <c r="Z178" s="140"/>
      <c r="AA178" s="140"/>
      <c r="AB178" s="140"/>
    </row>
    <row r="179">
      <c r="A179" s="133">
        <v>45958.0</v>
      </c>
      <c r="B179" s="134" t="s">
        <v>1221</v>
      </c>
      <c r="C179" s="134" t="s">
        <v>6424</v>
      </c>
      <c r="D179" s="134" t="s">
        <v>6336</v>
      </c>
      <c r="E179" s="134" t="s">
        <v>6070</v>
      </c>
      <c r="F179" s="135">
        <v>1.0</v>
      </c>
      <c r="G179" s="136">
        <v>0.0</v>
      </c>
      <c r="H179" s="142"/>
      <c r="I179" s="136">
        <v>5.24</v>
      </c>
      <c r="J179" s="137">
        <v>-5.24</v>
      </c>
      <c r="K179" s="137">
        <v>-5.24</v>
      </c>
      <c r="L179" s="134" t="s">
        <v>483</v>
      </c>
      <c r="M179" s="141"/>
      <c r="N179" s="129"/>
      <c r="O179" s="140"/>
      <c r="P179" s="135" t="s">
        <v>6425</v>
      </c>
      <c r="Q179" s="76" t="s">
        <v>22</v>
      </c>
      <c r="R179" s="140"/>
      <c r="S179" s="140"/>
      <c r="T179" s="140"/>
      <c r="U179" s="140"/>
      <c r="V179" s="140"/>
      <c r="W179" s="140"/>
      <c r="X179" s="140"/>
      <c r="Y179" s="140"/>
      <c r="Z179" s="140"/>
      <c r="AA179" s="140"/>
      <c r="AB179" s="140"/>
    </row>
    <row r="180">
      <c r="A180" s="133">
        <v>45959.0</v>
      </c>
      <c r="B180" s="134" t="s">
        <v>1221</v>
      </c>
      <c r="C180" s="134" t="s">
        <v>6426</v>
      </c>
      <c r="D180" s="134" t="s">
        <v>6336</v>
      </c>
      <c r="E180" s="134" t="s">
        <v>6070</v>
      </c>
      <c r="F180" s="135">
        <v>1.0</v>
      </c>
      <c r="G180" s="136">
        <v>0.0</v>
      </c>
      <c r="H180" s="142"/>
      <c r="I180" s="136">
        <v>6.37</v>
      </c>
      <c r="J180" s="137">
        <v>-6.37</v>
      </c>
      <c r="K180" s="137">
        <v>-6.37</v>
      </c>
      <c r="L180" s="134" t="s">
        <v>483</v>
      </c>
      <c r="M180" s="141"/>
      <c r="N180" s="129"/>
      <c r="O180" s="140"/>
      <c r="P180" s="149" t="s">
        <v>6427</v>
      </c>
      <c r="Q180" s="76" t="s">
        <v>22</v>
      </c>
      <c r="R180" s="140"/>
      <c r="S180" s="140"/>
      <c r="T180" s="140"/>
      <c r="U180" s="140"/>
      <c r="V180" s="140"/>
      <c r="W180" s="140"/>
      <c r="X180" s="140"/>
      <c r="Y180" s="140"/>
      <c r="Z180" s="140"/>
      <c r="AA180" s="140"/>
      <c r="AB180" s="140"/>
    </row>
    <row r="181">
      <c r="A181" s="133">
        <v>45959.0</v>
      </c>
      <c r="B181" s="134" t="s">
        <v>1221</v>
      </c>
      <c r="C181" s="134" t="s">
        <v>6428</v>
      </c>
      <c r="D181" s="134" t="s">
        <v>6336</v>
      </c>
      <c r="E181" s="134" t="s">
        <v>6070</v>
      </c>
      <c r="F181" s="135">
        <v>1.0</v>
      </c>
      <c r="G181" s="136">
        <v>0.0</v>
      </c>
      <c r="H181" s="142"/>
      <c r="I181" s="136">
        <v>5.09</v>
      </c>
      <c r="J181" s="137">
        <v>-5.09</v>
      </c>
      <c r="K181" s="137">
        <v>-5.09</v>
      </c>
      <c r="L181" s="134" t="s">
        <v>483</v>
      </c>
      <c r="M181" s="141"/>
      <c r="N181" s="129"/>
      <c r="O181" s="140"/>
      <c r="P181" s="135" t="s">
        <v>6429</v>
      </c>
      <c r="Q181" s="76" t="s">
        <v>22</v>
      </c>
      <c r="R181" s="140"/>
      <c r="S181" s="140"/>
      <c r="T181" s="140"/>
      <c r="U181" s="140"/>
      <c r="V181" s="140"/>
      <c r="W181" s="140"/>
      <c r="X181" s="140"/>
      <c r="Y181" s="140"/>
      <c r="Z181" s="140"/>
      <c r="AA181" s="140"/>
      <c r="AB181" s="140"/>
    </row>
    <row r="182">
      <c r="A182" s="133">
        <v>45959.0</v>
      </c>
      <c r="B182" s="134" t="s">
        <v>1221</v>
      </c>
      <c r="C182" s="134" t="s">
        <v>6430</v>
      </c>
      <c r="D182" s="134" t="s">
        <v>6336</v>
      </c>
      <c r="E182" s="134" t="s">
        <v>6070</v>
      </c>
      <c r="F182" s="135">
        <v>1.0</v>
      </c>
      <c r="G182" s="136">
        <v>0.0</v>
      </c>
      <c r="H182" s="142"/>
      <c r="I182" s="136">
        <v>5.15</v>
      </c>
      <c r="J182" s="137">
        <v>-5.15</v>
      </c>
      <c r="K182" s="137">
        <v>-5.15</v>
      </c>
      <c r="L182" s="134" t="s">
        <v>483</v>
      </c>
      <c r="M182" s="141"/>
      <c r="N182" s="129"/>
      <c r="O182" s="140"/>
      <c r="P182" s="135" t="s">
        <v>6431</v>
      </c>
      <c r="Q182" s="76" t="s">
        <v>22</v>
      </c>
      <c r="R182" s="140"/>
      <c r="S182" s="140"/>
      <c r="T182" s="140"/>
      <c r="U182" s="140"/>
      <c r="V182" s="140"/>
      <c r="W182" s="140"/>
      <c r="X182" s="140"/>
      <c r="Y182" s="140"/>
      <c r="Z182" s="140"/>
      <c r="AA182" s="140"/>
      <c r="AB182" s="140"/>
    </row>
    <row r="183">
      <c r="A183" s="133">
        <v>45968.0</v>
      </c>
      <c r="B183" s="134" t="s">
        <v>6432</v>
      </c>
      <c r="C183" s="134" t="s">
        <v>6433</v>
      </c>
      <c r="D183" s="134" t="s">
        <v>6130</v>
      </c>
      <c r="E183" s="134" t="s">
        <v>6434</v>
      </c>
      <c r="F183" s="135">
        <v>4.0</v>
      </c>
      <c r="G183" s="136">
        <v>260.0</v>
      </c>
      <c r="H183" s="142"/>
      <c r="I183" s="136">
        <v>0.0</v>
      </c>
      <c r="J183" s="137">
        <v>65.0</v>
      </c>
      <c r="K183" s="137">
        <v>260.0</v>
      </c>
      <c r="L183" s="134" t="s">
        <v>45</v>
      </c>
      <c r="M183" s="141"/>
      <c r="N183" s="143"/>
      <c r="O183" s="135" t="s">
        <v>6435</v>
      </c>
      <c r="P183" s="135" t="s">
        <v>6436</v>
      </c>
      <c r="Q183" s="76" t="s">
        <v>22</v>
      </c>
      <c r="R183" s="140"/>
      <c r="S183" s="140"/>
      <c r="T183" s="140"/>
      <c r="U183" s="140"/>
      <c r="V183" s="140"/>
      <c r="W183" s="140"/>
      <c r="X183" s="140"/>
      <c r="Y183" s="140"/>
      <c r="Z183" s="140"/>
      <c r="AA183" s="140"/>
      <c r="AB183" s="140"/>
    </row>
    <row r="184">
      <c r="A184" s="133">
        <v>45966.0</v>
      </c>
      <c r="B184" s="134" t="s">
        <v>117</v>
      </c>
      <c r="C184" s="134" t="s">
        <v>6437</v>
      </c>
      <c r="D184" s="134" t="s">
        <v>5981</v>
      </c>
      <c r="E184" s="134" t="s">
        <v>6371</v>
      </c>
      <c r="F184" s="135">
        <v>1.0</v>
      </c>
      <c r="G184" s="136">
        <v>80.79</v>
      </c>
      <c r="H184" s="142"/>
      <c r="I184" s="136">
        <v>0.0</v>
      </c>
      <c r="J184" s="137">
        <v>80.79</v>
      </c>
      <c r="K184" s="137">
        <v>80.79</v>
      </c>
      <c r="L184" s="134" t="s">
        <v>508</v>
      </c>
      <c r="M184" s="147" t="s">
        <v>1160</v>
      </c>
      <c r="N184" s="129"/>
      <c r="O184" s="140"/>
      <c r="P184" s="135" t="s">
        <v>6438</v>
      </c>
      <c r="Q184" s="76" t="s">
        <v>22</v>
      </c>
      <c r="R184" s="140"/>
      <c r="S184" s="140"/>
      <c r="T184" s="140"/>
      <c r="U184" s="140"/>
      <c r="V184" s="140"/>
      <c r="W184" s="140"/>
      <c r="X184" s="140"/>
      <c r="Y184" s="140"/>
      <c r="Z184" s="140"/>
      <c r="AA184" s="140"/>
      <c r="AB184" s="140"/>
    </row>
    <row r="185">
      <c r="A185" s="133">
        <v>45971.0</v>
      </c>
      <c r="B185" s="134" t="s">
        <v>117</v>
      </c>
      <c r="C185" s="134" t="s">
        <v>6439</v>
      </c>
      <c r="D185" s="134" t="s">
        <v>6224</v>
      </c>
      <c r="E185" s="134" t="s">
        <v>6371</v>
      </c>
      <c r="F185" s="135">
        <v>1.0</v>
      </c>
      <c r="G185" s="136">
        <v>103.9</v>
      </c>
      <c r="H185" s="142"/>
      <c r="I185" s="136">
        <v>0.0</v>
      </c>
      <c r="J185" s="137">
        <v>103.9</v>
      </c>
      <c r="K185" s="137">
        <v>103.9</v>
      </c>
      <c r="L185" s="134" t="s">
        <v>508</v>
      </c>
      <c r="M185" s="147" t="s">
        <v>1160</v>
      </c>
      <c r="N185" s="129"/>
      <c r="O185" s="140"/>
      <c r="P185" s="135" t="s">
        <v>6440</v>
      </c>
      <c r="Q185" s="76" t="s">
        <v>22</v>
      </c>
      <c r="R185" s="140"/>
      <c r="S185" s="140"/>
      <c r="T185" s="140"/>
      <c r="U185" s="140"/>
      <c r="V185" s="140"/>
      <c r="W185" s="140"/>
      <c r="X185" s="140"/>
      <c r="Y185" s="140"/>
      <c r="Z185" s="140"/>
      <c r="AA185" s="140"/>
      <c r="AB185" s="140"/>
    </row>
    <row r="186">
      <c r="A186" s="133">
        <v>45966.0</v>
      </c>
      <c r="B186" s="134" t="s">
        <v>117</v>
      </c>
      <c r="C186" s="134" t="s">
        <v>6048</v>
      </c>
      <c r="D186" s="134" t="s">
        <v>6003</v>
      </c>
      <c r="E186" s="134" t="s">
        <v>6371</v>
      </c>
      <c r="F186" s="135">
        <v>1.0</v>
      </c>
      <c r="G186" s="136">
        <v>113.56</v>
      </c>
      <c r="H186" s="142"/>
      <c r="I186" s="136">
        <v>0.0</v>
      </c>
      <c r="J186" s="137">
        <v>113.56</v>
      </c>
      <c r="K186" s="137">
        <v>113.56</v>
      </c>
      <c r="L186" s="134" t="s">
        <v>508</v>
      </c>
      <c r="M186" s="147" t="s">
        <v>1160</v>
      </c>
      <c r="N186" s="129"/>
      <c r="O186" s="140"/>
      <c r="P186" s="135" t="s">
        <v>6441</v>
      </c>
      <c r="Q186" s="76" t="s">
        <v>22</v>
      </c>
      <c r="R186" s="140"/>
      <c r="S186" s="140"/>
      <c r="T186" s="140"/>
      <c r="U186" s="140"/>
      <c r="V186" s="140"/>
      <c r="W186" s="140"/>
      <c r="X186" s="140"/>
      <c r="Y186" s="140"/>
      <c r="Z186" s="140"/>
      <c r="AA186" s="140"/>
      <c r="AB186" s="140"/>
    </row>
    <row r="187">
      <c r="A187" s="133">
        <v>45971.0</v>
      </c>
      <c r="B187" s="134" t="s">
        <v>1221</v>
      </c>
      <c r="C187" s="134" t="s">
        <v>105</v>
      </c>
      <c r="D187" s="134" t="s">
        <v>6069</v>
      </c>
      <c r="E187" s="134" t="s">
        <v>6070</v>
      </c>
      <c r="F187" s="135">
        <v>1.0</v>
      </c>
      <c r="G187" s="136">
        <v>16.0</v>
      </c>
      <c r="H187" s="142"/>
      <c r="I187" s="136">
        <v>18.0</v>
      </c>
      <c r="J187" s="137">
        <v>-2.0</v>
      </c>
      <c r="K187" s="137">
        <v>-2.0</v>
      </c>
      <c r="L187" s="134" t="s">
        <v>80</v>
      </c>
      <c r="M187" s="147" t="s">
        <v>93</v>
      </c>
      <c r="N187" s="129"/>
      <c r="O187" s="140"/>
      <c r="P187" s="135" t="s">
        <v>6442</v>
      </c>
      <c r="Q187" s="76" t="s">
        <v>22</v>
      </c>
      <c r="R187" s="140"/>
      <c r="S187" s="140"/>
      <c r="T187" s="140"/>
      <c r="U187" s="140"/>
      <c r="V187" s="140"/>
      <c r="W187" s="140"/>
      <c r="X187" s="140"/>
      <c r="Y187" s="140"/>
      <c r="Z187" s="140"/>
      <c r="AA187" s="140"/>
      <c r="AB187" s="140"/>
    </row>
    <row r="188">
      <c r="A188" s="133">
        <v>45971.0</v>
      </c>
      <c r="B188" s="134" t="s">
        <v>1221</v>
      </c>
      <c r="C188" s="134" t="s">
        <v>105</v>
      </c>
      <c r="D188" s="134" t="s">
        <v>6069</v>
      </c>
      <c r="E188" s="134" t="s">
        <v>6070</v>
      </c>
      <c r="F188" s="135">
        <v>1.0</v>
      </c>
      <c r="G188" s="136">
        <v>2.0</v>
      </c>
      <c r="H188" s="142"/>
      <c r="I188" s="136">
        <v>22.0</v>
      </c>
      <c r="J188" s="137">
        <v>-20.0</v>
      </c>
      <c r="K188" s="137">
        <v>-20.0</v>
      </c>
      <c r="L188" s="134" t="s">
        <v>80</v>
      </c>
      <c r="M188" s="147" t="s">
        <v>93</v>
      </c>
      <c r="N188" s="129"/>
      <c r="O188" s="140"/>
      <c r="P188" s="135" t="s">
        <v>6443</v>
      </c>
      <c r="Q188" s="76" t="s">
        <v>22</v>
      </c>
      <c r="R188" s="140"/>
      <c r="S188" s="140"/>
      <c r="T188" s="140"/>
      <c r="U188" s="140"/>
      <c r="V188" s="140"/>
      <c r="W188" s="140"/>
      <c r="X188" s="140"/>
      <c r="Y188" s="140"/>
      <c r="Z188" s="140"/>
      <c r="AA188" s="140"/>
      <c r="AB188" s="140"/>
    </row>
    <row r="189">
      <c r="A189" s="133">
        <v>45971.0</v>
      </c>
      <c r="B189" s="134" t="s">
        <v>1221</v>
      </c>
      <c r="C189" s="134" t="s">
        <v>105</v>
      </c>
      <c r="D189" s="134" t="s">
        <v>6069</v>
      </c>
      <c r="E189" s="134" t="s">
        <v>6070</v>
      </c>
      <c r="F189" s="135">
        <v>1.0</v>
      </c>
      <c r="G189" s="136">
        <v>2.0</v>
      </c>
      <c r="H189" s="142"/>
      <c r="I189" s="136">
        <v>14.0</v>
      </c>
      <c r="J189" s="137">
        <v>-12.0</v>
      </c>
      <c r="K189" s="137">
        <v>-12.0</v>
      </c>
      <c r="L189" s="134" t="s">
        <v>80</v>
      </c>
      <c r="M189" s="147" t="s">
        <v>93</v>
      </c>
      <c r="N189" s="129"/>
      <c r="O189" s="140"/>
      <c r="P189" s="135" t="s">
        <v>6444</v>
      </c>
      <c r="Q189" s="76" t="s">
        <v>22</v>
      </c>
      <c r="R189" s="140"/>
      <c r="S189" s="140"/>
      <c r="T189" s="140"/>
      <c r="U189" s="140"/>
      <c r="V189" s="140"/>
      <c r="W189" s="140"/>
      <c r="X189" s="140"/>
      <c r="Y189" s="140"/>
      <c r="Z189" s="140"/>
      <c r="AA189" s="140"/>
      <c r="AB189" s="140"/>
    </row>
    <row r="190">
      <c r="A190" s="133">
        <v>45971.0</v>
      </c>
      <c r="B190" s="134" t="s">
        <v>6068</v>
      </c>
      <c r="C190" s="134" t="s">
        <v>252</v>
      </c>
      <c r="D190" s="134" t="s">
        <v>6069</v>
      </c>
      <c r="E190" s="134" t="s">
        <v>6070</v>
      </c>
      <c r="F190" s="135">
        <v>25.0</v>
      </c>
      <c r="G190" s="136">
        <v>35.0</v>
      </c>
      <c r="H190" s="142"/>
      <c r="I190" s="136">
        <v>0.0</v>
      </c>
      <c r="J190" s="137">
        <v>1.4</v>
      </c>
      <c r="K190" s="137">
        <v>35.0</v>
      </c>
      <c r="L190" s="134" t="s">
        <v>509</v>
      </c>
      <c r="M190" s="138" t="s">
        <v>1165</v>
      </c>
      <c r="N190" s="143" t="s">
        <v>6445</v>
      </c>
      <c r="O190" s="140"/>
      <c r="P190" s="135" t="s">
        <v>6446</v>
      </c>
      <c r="Q190" s="76" t="s">
        <v>22</v>
      </c>
      <c r="R190" s="140"/>
      <c r="S190" s="140"/>
      <c r="T190" s="140"/>
      <c r="U190" s="140"/>
      <c r="V190" s="140"/>
      <c r="W190" s="140"/>
      <c r="X190" s="140"/>
      <c r="Y190" s="140"/>
      <c r="Z190" s="140"/>
      <c r="AA190" s="140"/>
      <c r="AB190" s="140"/>
    </row>
    <row r="191">
      <c r="A191" s="133">
        <v>45971.0</v>
      </c>
      <c r="B191" s="134" t="s">
        <v>1221</v>
      </c>
      <c r="C191" s="134" t="s">
        <v>6447</v>
      </c>
      <c r="D191" s="134" t="s">
        <v>6336</v>
      </c>
      <c r="E191" s="134" t="s">
        <v>6070</v>
      </c>
      <c r="F191" s="135">
        <v>1.0</v>
      </c>
      <c r="G191" s="136">
        <v>5.0</v>
      </c>
      <c r="H191" s="142"/>
      <c r="I191" s="136">
        <v>13.82</v>
      </c>
      <c r="J191" s="137">
        <v>-8.82</v>
      </c>
      <c r="K191" s="137">
        <v>-8.82</v>
      </c>
      <c r="L191" s="134" t="s">
        <v>80</v>
      </c>
      <c r="M191" s="141"/>
      <c r="N191" s="129"/>
      <c r="O191" s="140"/>
      <c r="P191" s="135" t="s">
        <v>6448</v>
      </c>
      <c r="Q191" s="76" t="s">
        <v>22</v>
      </c>
      <c r="R191" s="140"/>
      <c r="S191" s="140"/>
      <c r="T191" s="140"/>
      <c r="U191" s="140"/>
      <c r="V191" s="140"/>
      <c r="W191" s="140"/>
      <c r="X191" s="140"/>
      <c r="Y191" s="140"/>
      <c r="Z191" s="140"/>
      <c r="AA191" s="140"/>
      <c r="AB191" s="140"/>
    </row>
    <row r="192">
      <c r="A192" s="133">
        <v>45972.0</v>
      </c>
      <c r="B192" s="134" t="s">
        <v>1221</v>
      </c>
      <c r="C192" s="134" t="s">
        <v>6449</v>
      </c>
      <c r="D192" s="134" t="s">
        <v>6336</v>
      </c>
      <c r="E192" s="134" t="s">
        <v>6070</v>
      </c>
      <c r="F192" s="135">
        <v>1.0</v>
      </c>
      <c r="G192" s="136">
        <v>5.0</v>
      </c>
      <c r="H192" s="142"/>
      <c r="I192" s="136">
        <v>4.99</v>
      </c>
      <c r="J192" s="137">
        <v>0.01</v>
      </c>
      <c r="K192" s="137">
        <v>0.009999999999999787</v>
      </c>
      <c r="L192" s="134" t="s">
        <v>80</v>
      </c>
      <c r="M192" s="141"/>
      <c r="N192" s="129"/>
      <c r="O192" s="140"/>
      <c r="P192" s="135" t="s">
        <v>6450</v>
      </c>
      <c r="Q192" s="76" t="s">
        <v>22</v>
      </c>
      <c r="R192" s="140"/>
      <c r="S192" s="140"/>
      <c r="T192" s="140"/>
      <c r="U192" s="140"/>
      <c r="V192" s="140"/>
      <c r="W192" s="140"/>
      <c r="X192" s="140"/>
      <c r="Y192" s="140"/>
      <c r="Z192" s="140"/>
      <c r="AA192" s="140"/>
      <c r="AB192" s="140"/>
    </row>
    <row r="193">
      <c r="A193" s="133">
        <v>45974.0</v>
      </c>
      <c r="B193" s="134" t="s">
        <v>6398</v>
      </c>
      <c r="C193" s="134" t="s">
        <v>46</v>
      </c>
      <c r="D193" s="134" t="s">
        <v>6147</v>
      </c>
      <c r="E193" s="134" t="s">
        <v>6451</v>
      </c>
      <c r="F193" s="135">
        <v>1.0</v>
      </c>
      <c r="G193" s="136">
        <v>55.0</v>
      </c>
      <c r="H193" s="142"/>
      <c r="I193" s="136">
        <v>5.0</v>
      </c>
      <c r="J193" s="137">
        <v>50.0</v>
      </c>
      <c r="K193" s="137">
        <v>50.0</v>
      </c>
      <c r="L193" s="134" t="s">
        <v>80</v>
      </c>
      <c r="M193" s="147" t="s">
        <v>93</v>
      </c>
      <c r="N193" s="129"/>
      <c r="O193" s="140"/>
      <c r="P193" s="135" t="s">
        <v>6452</v>
      </c>
      <c r="Q193" s="76" t="s">
        <v>22</v>
      </c>
      <c r="R193" s="140"/>
      <c r="S193" s="140"/>
      <c r="T193" s="140"/>
      <c r="U193" s="140"/>
      <c r="V193" s="140"/>
      <c r="W193" s="140"/>
      <c r="X193" s="140"/>
      <c r="Y193" s="140"/>
      <c r="Z193" s="140"/>
      <c r="AA193" s="140"/>
      <c r="AB193" s="140"/>
    </row>
    <row r="194">
      <c r="A194" s="133">
        <v>45974.0</v>
      </c>
      <c r="B194" s="134" t="s">
        <v>1221</v>
      </c>
      <c r="C194" s="134" t="s">
        <v>54</v>
      </c>
      <c r="D194" s="134" t="s">
        <v>6069</v>
      </c>
      <c r="E194" s="134" t="s">
        <v>6070</v>
      </c>
      <c r="F194" s="135">
        <v>4.0</v>
      </c>
      <c r="G194" s="136">
        <v>33.0</v>
      </c>
      <c r="H194" s="142"/>
      <c r="I194" s="136">
        <v>0.0</v>
      </c>
      <c r="J194" s="137">
        <v>8.25</v>
      </c>
      <c r="K194" s="137">
        <v>33.0</v>
      </c>
      <c r="L194" s="134" t="s">
        <v>508</v>
      </c>
      <c r="M194" s="147" t="s">
        <v>691</v>
      </c>
      <c r="N194" s="129"/>
      <c r="O194" s="135" t="s">
        <v>6453</v>
      </c>
      <c r="P194" s="135" t="s">
        <v>6454</v>
      </c>
      <c r="Q194" s="76" t="s">
        <v>22</v>
      </c>
      <c r="R194" s="140"/>
      <c r="S194" s="140"/>
      <c r="T194" s="140"/>
      <c r="U194" s="140"/>
      <c r="V194" s="140"/>
      <c r="W194" s="140"/>
      <c r="X194" s="140"/>
      <c r="Y194" s="140"/>
      <c r="Z194" s="140"/>
      <c r="AA194" s="140"/>
      <c r="AB194" s="140"/>
    </row>
    <row r="195">
      <c r="A195" s="133"/>
      <c r="B195" s="134"/>
      <c r="C195" s="134"/>
      <c r="D195" s="134"/>
      <c r="E195" s="134"/>
      <c r="F195" s="135"/>
      <c r="G195" s="136"/>
      <c r="H195" s="142"/>
      <c r="I195" s="136"/>
      <c r="J195" s="137" t="s">
        <v>39</v>
      </c>
      <c r="K195" s="137" t="s">
        <v>39</v>
      </c>
      <c r="L195" s="134"/>
      <c r="M195" s="138"/>
      <c r="N195" s="129"/>
      <c r="O195" s="140"/>
      <c r="P195" s="135"/>
      <c r="Q195" s="76" t="s">
        <v>22</v>
      </c>
      <c r="R195" s="140"/>
      <c r="S195" s="140"/>
      <c r="T195" s="140"/>
      <c r="U195" s="140"/>
      <c r="V195" s="140"/>
      <c r="W195" s="140"/>
      <c r="X195" s="140"/>
      <c r="Y195" s="140"/>
      <c r="Z195" s="140"/>
      <c r="AA195" s="140"/>
      <c r="AB195" s="140"/>
    </row>
    <row r="196">
      <c r="A196" s="133">
        <v>45978.0</v>
      </c>
      <c r="B196" s="134" t="s">
        <v>1221</v>
      </c>
      <c r="C196" s="134" t="s">
        <v>6455</v>
      </c>
      <c r="D196" s="134" t="s">
        <v>6336</v>
      </c>
      <c r="E196" s="134" t="s">
        <v>6070</v>
      </c>
      <c r="F196" s="135">
        <v>1.0</v>
      </c>
      <c r="G196" s="136">
        <v>2.0</v>
      </c>
      <c r="H196" s="142"/>
      <c r="I196" s="136">
        <v>12.3</v>
      </c>
      <c r="J196" s="137">
        <v>-10.3</v>
      </c>
      <c r="K196" s="137">
        <v>-10.3</v>
      </c>
      <c r="L196" s="134" t="s">
        <v>1140</v>
      </c>
      <c r="M196" s="138" t="s">
        <v>46</v>
      </c>
      <c r="N196" s="129"/>
      <c r="O196" s="135" t="s">
        <v>6456</v>
      </c>
      <c r="P196" s="135" t="s">
        <v>6457</v>
      </c>
      <c r="Q196" s="76" t="s">
        <v>22</v>
      </c>
      <c r="R196" s="140"/>
      <c r="S196" s="140"/>
      <c r="T196" s="140"/>
      <c r="U196" s="140"/>
      <c r="V196" s="140"/>
      <c r="W196" s="140"/>
      <c r="X196" s="140"/>
      <c r="Y196" s="140"/>
      <c r="Z196" s="140"/>
      <c r="AA196" s="140"/>
      <c r="AB196" s="140"/>
    </row>
    <row r="197">
      <c r="A197" s="133">
        <v>45978.0</v>
      </c>
      <c r="B197" s="134" t="s">
        <v>6458</v>
      </c>
      <c r="C197" s="134" t="s">
        <v>6455</v>
      </c>
      <c r="D197" s="134" t="s">
        <v>6336</v>
      </c>
      <c r="E197" s="134" t="s">
        <v>6070</v>
      </c>
      <c r="F197" s="135">
        <v>1.0</v>
      </c>
      <c r="G197" s="136">
        <v>14.0</v>
      </c>
      <c r="H197" s="142"/>
      <c r="I197" s="136">
        <v>8.99</v>
      </c>
      <c r="J197" s="137">
        <v>5.01</v>
      </c>
      <c r="K197" s="137">
        <v>5.01</v>
      </c>
      <c r="L197" s="134" t="s">
        <v>508</v>
      </c>
      <c r="M197" s="147" t="s">
        <v>6459</v>
      </c>
      <c r="N197" s="143" t="s">
        <v>6460</v>
      </c>
      <c r="O197" s="135" t="s">
        <v>6461</v>
      </c>
      <c r="P197" s="135" t="s">
        <v>6462</v>
      </c>
      <c r="Q197" s="76" t="s">
        <v>22</v>
      </c>
      <c r="R197" s="140"/>
      <c r="S197" s="140"/>
      <c r="T197" s="140"/>
      <c r="U197" s="140"/>
      <c r="V197" s="140"/>
      <c r="W197" s="140"/>
      <c r="X197" s="140"/>
      <c r="Y197" s="140"/>
      <c r="Z197" s="140"/>
      <c r="AA197" s="140"/>
      <c r="AB197" s="140"/>
    </row>
    <row r="198">
      <c r="A198" s="133">
        <v>45969.0</v>
      </c>
      <c r="B198" s="134" t="s">
        <v>6369</v>
      </c>
      <c r="C198" s="134" t="s">
        <v>6463</v>
      </c>
      <c r="D198" s="134" t="s">
        <v>6464</v>
      </c>
      <c r="E198" s="134" t="s">
        <v>6412</v>
      </c>
      <c r="F198" s="135">
        <v>1.0</v>
      </c>
      <c r="G198" s="136">
        <v>64.94</v>
      </c>
      <c r="H198" s="142"/>
      <c r="I198" s="136">
        <v>0.0</v>
      </c>
      <c r="J198" s="137">
        <v>64.94</v>
      </c>
      <c r="K198" s="137">
        <v>64.94</v>
      </c>
      <c r="L198" s="134" t="s">
        <v>80</v>
      </c>
      <c r="M198" s="147" t="s">
        <v>1160</v>
      </c>
      <c r="N198" s="129"/>
      <c r="O198" s="140"/>
      <c r="P198" s="135" t="s">
        <v>6465</v>
      </c>
      <c r="Q198" s="76" t="s">
        <v>22</v>
      </c>
      <c r="R198" s="140"/>
      <c r="S198" s="140"/>
      <c r="T198" s="140"/>
      <c r="U198" s="140"/>
      <c r="V198" s="140"/>
      <c r="W198" s="140"/>
      <c r="X198" s="140"/>
      <c r="Y198" s="140"/>
      <c r="Z198" s="140"/>
      <c r="AA198" s="140"/>
      <c r="AB198" s="140"/>
    </row>
    <row r="199">
      <c r="A199" s="133">
        <v>45983.0</v>
      </c>
      <c r="B199" s="134" t="s">
        <v>6398</v>
      </c>
      <c r="C199" s="134" t="s">
        <v>6466</v>
      </c>
      <c r="D199" s="134" t="s">
        <v>6062</v>
      </c>
      <c r="E199" s="134" t="s">
        <v>6371</v>
      </c>
      <c r="F199" s="135">
        <v>1.0</v>
      </c>
      <c r="G199" s="136">
        <v>135.2</v>
      </c>
      <c r="H199" s="142"/>
      <c r="I199" s="136">
        <v>2.0</v>
      </c>
      <c r="J199" s="137">
        <v>133.2</v>
      </c>
      <c r="K199" s="137">
        <v>133.2</v>
      </c>
      <c r="L199" s="134" t="s">
        <v>80</v>
      </c>
      <c r="M199" s="147" t="s">
        <v>1152</v>
      </c>
      <c r="N199" s="129"/>
      <c r="O199" s="140"/>
      <c r="P199" s="135" t="s">
        <v>6467</v>
      </c>
      <c r="Q199" s="76" t="s">
        <v>22</v>
      </c>
      <c r="R199" s="140"/>
      <c r="S199" s="140"/>
      <c r="T199" s="140"/>
      <c r="U199" s="140"/>
      <c r="V199" s="140"/>
      <c r="W199" s="140"/>
      <c r="X199" s="140"/>
      <c r="Y199" s="140"/>
      <c r="Z199" s="140"/>
      <c r="AA199" s="140"/>
      <c r="AB199" s="140"/>
    </row>
    <row r="200">
      <c r="A200" s="133">
        <v>45970.0</v>
      </c>
      <c r="B200" s="134" t="s">
        <v>117</v>
      </c>
      <c r="C200" s="134" t="s">
        <v>6468</v>
      </c>
      <c r="D200" s="134" t="s">
        <v>6247</v>
      </c>
      <c r="E200" s="134" t="s">
        <v>6469</v>
      </c>
      <c r="F200" s="135">
        <v>1.0</v>
      </c>
      <c r="G200" s="136">
        <v>29.99</v>
      </c>
      <c r="H200" s="142"/>
      <c r="I200" s="136">
        <v>0.0</v>
      </c>
      <c r="J200" s="137">
        <v>29.99</v>
      </c>
      <c r="K200" s="137">
        <v>29.99</v>
      </c>
      <c r="L200" s="134" t="s">
        <v>80</v>
      </c>
      <c r="M200" s="147" t="s">
        <v>1160</v>
      </c>
      <c r="N200" s="144" t="s">
        <v>6470</v>
      </c>
      <c r="O200" s="140"/>
      <c r="P200" s="135" t="s">
        <v>6471</v>
      </c>
      <c r="Q200" s="76" t="s">
        <v>22</v>
      </c>
      <c r="R200" s="140"/>
      <c r="S200" s="140"/>
      <c r="T200" s="140"/>
      <c r="U200" s="140"/>
      <c r="V200" s="140"/>
      <c r="W200" s="140"/>
      <c r="X200" s="140"/>
      <c r="Y200" s="140"/>
      <c r="Z200" s="140"/>
      <c r="AA200" s="140"/>
      <c r="AB200" s="140"/>
    </row>
    <row r="201">
      <c r="A201" s="133">
        <v>45974.0</v>
      </c>
      <c r="B201" s="134" t="s">
        <v>117</v>
      </c>
      <c r="C201" s="134" t="s">
        <v>6468</v>
      </c>
      <c r="D201" s="134" t="s">
        <v>6150</v>
      </c>
      <c r="E201" s="134" t="s">
        <v>6371</v>
      </c>
      <c r="F201" s="135">
        <v>1.0</v>
      </c>
      <c r="G201" s="136">
        <v>78.47</v>
      </c>
      <c r="H201" s="142"/>
      <c r="I201" s="136">
        <v>1.95</v>
      </c>
      <c r="J201" s="137">
        <v>76.52</v>
      </c>
      <c r="K201" s="137">
        <v>76.52</v>
      </c>
      <c r="L201" s="134" t="s">
        <v>80</v>
      </c>
      <c r="M201" s="147" t="s">
        <v>1139</v>
      </c>
      <c r="N201" s="129"/>
      <c r="O201" s="140"/>
      <c r="P201" s="135" t="s">
        <v>6472</v>
      </c>
      <c r="Q201" s="76" t="s">
        <v>22</v>
      </c>
      <c r="R201" s="140"/>
      <c r="S201" s="140"/>
      <c r="T201" s="140"/>
      <c r="U201" s="140"/>
      <c r="V201" s="140"/>
      <c r="W201" s="140"/>
      <c r="X201" s="140"/>
      <c r="Y201" s="140"/>
      <c r="Z201" s="140"/>
      <c r="AA201" s="140"/>
      <c r="AB201" s="140"/>
    </row>
    <row r="202">
      <c r="A202" s="133">
        <v>45975.0</v>
      </c>
      <c r="B202" s="134" t="s">
        <v>117</v>
      </c>
      <c r="C202" s="134" t="s">
        <v>6468</v>
      </c>
      <c r="D202" s="134" t="s">
        <v>6150</v>
      </c>
      <c r="E202" s="134" t="s">
        <v>6371</v>
      </c>
      <c r="F202" s="135">
        <v>1.0</v>
      </c>
      <c r="G202" s="136">
        <v>35.03</v>
      </c>
      <c r="H202" s="142"/>
      <c r="I202" s="136">
        <v>0.0</v>
      </c>
      <c r="J202" s="137">
        <v>35.03</v>
      </c>
      <c r="K202" s="137">
        <v>35.03</v>
      </c>
      <c r="L202" s="134" t="s">
        <v>80</v>
      </c>
      <c r="M202" s="147" t="s">
        <v>1139</v>
      </c>
      <c r="N202" s="129"/>
      <c r="O202" s="140"/>
      <c r="P202" s="135" t="s">
        <v>6473</v>
      </c>
      <c r="Q202" s="76" t="s">
        <v>22</v>
      </c>
      <c r="R202" s="140"/>
      <c r="S202" s="140"/>
      <c r="T202" s="140"/>
      <c r="U202" s="140"/>
      <c r="V202" s="140"/>
      <c r="W202" s="140"/>
      <c r="X202" s="140"/>
      <c r="Y202" s="140"/>
      <c r="Z202" s="140"/>
      <c r="AA202" s="140"/>
      <c r="AB202" s="140"/>
    </row>
    <row r="203">
      <c r="A203" s="133">
        <v>45974.0</v>
      </c>
      <c r="B203" s="134" t="s">
        <v>117</v>
      </c>
      <c r="C203" s="134" t="s">
        <v>6474</v>
      </c>
      <c r="D203" s="134" t="s">
        <v>6003</v>
      </c>
      <c r="E203" s="134" t="s">
        <v>6371</v>
      </c>
      <c r="F203" s="135">
        <v>1.0</v>
      </c>
      <c r="G203" s="136">
        <v>42.54</v>
      </c>
      <c r="H203" s="142"/>
      <c r="I203" s="136">
        <v>0.55</v>
      </c>
      <c r="J203" s="137">
        <v>41.99</v>
      </c>
      <c r="K203" s="137">
        <v>41.99</v>
      </c>
      <c r="L203" s="134" t="s">
        <v>80</v>
      </c>
      <c r="M203" s="147" t="s">
        <v>1139</v>
      </c>
      <c r="N203" s="129"/>
      <c r="O203" s="140"/>
      <c r="P203" s="135" t="s">
        <v>6475</v>
      </c>
      <c r="Q203" s="76" t="s">
        <v>22</v>
      </c>
      <c r="R203" s="140"/>
      <c r="S203" s="140"/>
      <c r="T203" s="140"/>
      <c r="U203" s="140"/>
      <c r="V203" s="140"/>
      <c r="W203" s="140"/>
      <c r="X203" s="140"/>
      <c r="Y203" s="140"/>
      <c r="Z203" s="140"/>
      <c r="AA203" s="140"/>
      <c r="AB203" s="140"/>
    </row>
    <row r="204">
      <c r="A204" s="133">
        <v>45972.0</v>
      </c>
      <c r="B204" s="134" t="s">
        <v>117</v>
      </c>
      <c r="C204" s="134" t="s">
        <v>6476</v>
      </c>
      <c r="D204" s="134" t="s">
        <v>6224</v>
      </c>
      <c r="E204" s="134" t="s">
        <v>6477</v>
      </c>
      <c r="F204" s="135">
        <v>1.0</v>
      </c>
      <c r="G204" s="136">
        <v>30.67</v>
      </c>
      <c r="H204" s="142"/>
      <c r="I204" s="136">
        <v>7.0</v>
      </c>
      <c r="J204" s="137">
        <v>23.67</v>
      </c>
      <c r="K204" s="137">
        <v>23.67</v>
      </c>
      <c r="L204" s="134" t="s">
        <v>80</v>
      </c>
      <c r="M204" s="147" t="s">
        <v>1139</v>
      </c>
      <c r="N204" s="129"/>
      <c r="O204" s="140"/>
      <c r="P204" s="135" t="s">
        <v>6478</v>
      </c>
      <c r="Q204" s="76" t="s">
        <v>22</v>
      </c>
      <c r="R204" s="140"/>
      <c r="S204" s="140"/>
      <c r="T204" s="140"/>
      <c r="U204" s="140"/>
      <c r="V204" s="140"/>
      <c r="W204" s="140"/>
      <c r="X204" s="140"/>
      <c r="Y204" s="140"/>
      <c r="Z204" s="140"/>
      <c r="AA204" s="140"/>
      <c r="AB204" s="140"/>
    </row>
    <row r="205">
      <c r="A205" s="133">
        <v>45976.0</v>
      </c>
      <c r="B205" s="134" t="s">
        <v>208</v>
      </c>
      <c r="C205" s="134" t="s">
        <v>6479</v>
      </c>
      <c r="D205" s="134" t="s">
        <v>5981</v>
      </c>
      <c r="E205" s="134" t="s">
        <v>6480</v>
      </c>
      <c r="F205" s="135">
        <v>1.0</v>
      </c>
      <c r="G205" s="136">
        <v>29.97</v>
      </c>
      <c r="H205" s="142"/>
      <c r="I205" s="136">
        <v>0.0</v>
      </c>
      <c r="J205" s="137">
        <v>29.97</v>
      </c>
      <c r="K205" s="137">
        <v>29.97</v>
      </c>
      <c r="L205" s="134" t="s">
        <v>1175</v>
      </c>
      <c r="M205" s="147" t="s">
        <v>691</v>
      </c>
      <c r="N205" s="129"/>
      <c r="O205" s="140"/>
      <c r="P205" s="135" t="s">
        <v>6481</v>
      </c>
      <c r="Q205" s="76" t="s">
        <v>22</v>
      </c>
      <c r="R205" s="140"/>
      <c r="S205" s="140"/>
      <c r="T205" s="140"/>
      <c r="U205" s="140"/>
      <c r="V205" s="140"/>
      <c r="W205" s="140"/>
      <c r="X205" s="140"/>
      <c r="Y205" s="140"/>
      <c r="Z205" s="140"/>
      <c r="AA205" s="140"/>
      <c r="AB205" s="140"/>
    </row>
    <row r="206">
      <c r="A206" s="133">
        <v>45967.0</v>
      </c>
      <c r="B206" s="134" t="s">
        <v>6408</v>
      </c>
      <c r="C206" s="134" t="s">
        <v>6408</v>
      </c>
      <c r="D206" s="134" t="s">
        <v>6482</v>
      </c>
      <c r="E206" s="134" t="s">
        <v>6483</v>
      </c>
      <c r="F206" s="135">
        <v>24.0</v>
      </c>
      <c r="G206" s="136">
        <v>36.7</v>
      </c>
      <c r="H206" s="142"/>
      <c r="I206" s="136">
        <v>0.0</v>
      </c>
      <c r="J206" s="137">
        <v>1.53</v>
      </c>
      <c r="K206" s="137">
        <v>36.7</v>
      </c>
      <c r="L206" s="134" t="s">
        <v>80</v>
      </c>
      <c r="M206" s="147" t="s">
        <v>1160</v>
      </c>
      <c r="N206" s="129"/>
      <c r="O206" s="140"/>
      <c r="P206" s="135" t="s">
        <v>6484</v>
      </c>
      <c r="Q206" s="76" t="s">
        <v>22</v>
      </c>
      <c r="R206" s="140"/>
      <c r="S206" s="140"/>
      <c r="T206" s="140"/>
      <c r="U206" s="140"/>
      <c r="V206" s="140"/>
      <c r="W206" s="140"/>
      <c r="X206" s="140"/>
      <c r="Y206" s="140"/>
      <c r="Z206" s="140"/>
      <c r="AA206" s="140"/>
      <c r="AB206" s="140"/>
    </row>
    <row r="207">
      <c r="A207" s="133">
        <v>45972.0</v>
      </c>
      <c r="B207" s="134" t="s">
        <v>6398</v>
      </c>
      <c r="C207" s="134" t="s">
        <v>6398</v>
      </c>
      <c r="D207" s="134" t="s">
        <v>6400</v>
      </c>
      <c r="E207" s="134" t="s">
        <v>6401</v>
      </c>
      <c r="F207" s="135">
        <v>10.0</v>
      </c>
      <c r="G207" s="136">
        <v>60.0</v>
      </c>
      <c r="H207" s="142"/>
      <c r="I207" s="136">
        <v>0.0</v>
      </c>
      <c r="J207" s="137">
        <v>6.0</v>
      </c>
      <c r="K207" s="137">
        <v>60.0</v>
      </c>
      <c r="L207" s="134" t="s">
        <v>45</v>
      </c>
      <c r="M207" s="141"/>
      <c r="N207" s="129"/>
      <c r="O207" s="140"/>
      <c r="P207" s="135" t="s">
        <v>6485</v>
      </c>
      <c r="Q207" s="76" t="s">
        <v>22</v>
      </c>
      <c r="R207" s="140"/>
      <c r="S207" s="140"/>
      <c r="T207" s="140"/>
      <c r="U207" s="140"/>
      <c r="V207" s="140"/>
      <c r="W207" s="140"/>
      <c r="X207" s="140"/>
      <c r="Y207" s="140"/>
      <c r="Z207" s="140"/>
      <c r="AA207" s="140"/>
      <c r="AB207" s="140"/>
    </row>
    <row r="208">
      <c r="A208" s="133">
        <v>45972.0</v>
      </c>
      <c r="B208" s="134" t="s">
        <v>6398</v>
      </c>
      <c r="C208" s="134" t="s">
        <v>6399</v>
      </c>
      <c r="D208" s="134" t="s">
        <v>6400</v>
      </c>
      <c r="E208" s="134" t="s">
        <v>6401</v>
      </c>
      <c r="F208" s="135">
        <v>11.0</v>
      </c>
      <c r="G208" s="136">
        <v>107.4</v>
      </c>
      <c r="H208" s="142"/>
      <c r="I208" s="136">
        <v>0.0</v>
      </c>
      <c r="J208" s="137">
        <v>9.76</v>
      </c>
      <c r="K208" s="137">
        <v>107.4</v>
      </c>
      <c r="L208" s="134" t="s">
        <v>80</v>
      </c>
      <c r="M208" s="147" t="s">
        <v>93</v>
      </c>
      <c r="N208" s="129"/>
      <c r="O208" s="140"/>
      <c r="P208" s="135" t="s">
        <v>6486</v>
      </c>
      <c r="Q208" s="76" t="s">
        <v>22</v>
      </c>
      <c r="R208" s="140"/>
      <c r="S208" s="140"/>
      <c r="T208" s="140"/>
      <c r="U208" s="140"/>
      <c r="V208" s="140"/>
      <c r="W208" s="140"/>
      <c r="X208" s="140"/>
      <c r="Y208" s="140"/>
      <c r="Z208" s="140"/>
      <c r="AA208" s="140"/>
      <c r="AB208" s="140"/>
    </row>
    <row r="209">
      <c r="A209" s="133">
        <v>45985.0</v>
      </c>
      <c r="B209" s="134" t="s">
        <v>6487</v>
      </c>
      <c r="C209" s="134" t="s">
        <v>808</v>
      </c>
      <c r="D209" s="134" t="s">
        <v>6069</v>
      </c>
      <c r="E209" s="134" t="s">
        <v>6070</v>
      </c>
      <c r="F209" s="135">
        <v>1.0</v>
      </c>
      <c r="G209" s="136">
        <v>14.54</v>
      </c>
      <c r="H209" s="142"/>
      <c r="I209" s="136">
        <v>4.35</v>
      </c>
      <c r="J209" s="137">
        <v>10.19</v>
      </c>
      <c r="K209" s="137">
        <v>10.19</v>
      </c>
      <c r="L209" s="134" t="s">
        <v>508</v>
      </c>
      <c r="M209" s="147" t="s">
        <v>691</v>
      </c>
      <c r="N209" s="129"/>
      <c r="O209" s="140"/>
      <c r="P209" s="135" t="s">
        <v>6488</v>
      </c>
      <c r="Q209" s="76" t="s">
        <v>22</v>
      </c>
      <c r="R209" s="140"/>
      <c r="S209" s="140"/>
      <c r="T209" s="140"/>
      <c r="U209" s="140"/>
      <c r="V209" s="140"/>
      <c r="W209" s="140"/>
      <c r="X209" s="140"/>
      <c r="Y209" s="140"/>
      <c r="Z209" s="140"/>
      <c r="AA209" s="140"/>
      <c r="AB209" s="140"/>
    </row>
    <row r="210">
      <c r="A210" s="133">
        <v>45985.0</v>
      </c>
      <c r="B210" s="134" t="s">
        <v>6487</v>
      </c>
      <c r="C210" s="134" t="s">
        <v>808</v>
      </c>
      <c r="D210" s="134" t="s">
        <v>6069</v>
      </c>
      <c r="E210" s="134" t="s">
        <v>6489</v>
      </c>
      <c r="F210" s="135">
        <v>1.0</v>
      </c>
      <c r="G210" s="136">
        <v>5.0</v>
      </c>
      <c r="H210" s="142"/>
      <c r="I210" s="136">
        <v>0.0</v>
      </c>
      <c r="J210" s="137">
        <v>5.0</v>
      </c>
      <c r="K210" s="137">
        <v>5.0</v>
      </c>
      <c r="L210" s="134" t="s">
        <v>508</v>
      </c>
      <c r="M210" s="147" t="s">
        <v>691</v>
      </c>
      <c r="N210" s="129"/>
      <c r="O210" s="140"/>
      <c r="P210" s="135" t="s">
        <v>6490</v>
      </c>
      <c r="Q210" s="76" t="s">
        <v>22</v>
      </c>
      <c r="R210" s="140"/>
      <c r="S210" s="140"/>
      <c r="T210" s="140"/>
      <c r="U210" s="140"/>
      <c r="V210" s="140"/>
      <c r="W210" s="140"/>
      <c r="X210" s="140"/>
      <c r="Y210" s="140"/>
      <c r="Z210" s="140"/>
      <c r="AA210" s="140"/>
      <c r="AB210" s="140"/>
    </row>
    <row r="211">
      <c r="A211" s="133">
        <v>45985.0</v>
      </c>
      <c r="B211" s="134" t="s">
        <v>6068</v>
      </c>
      <c r="C211" s="134" t="s">
        <v>138</v>
      </c>
      <c r="D211" s="134" t="s">
        <v>6069</v>
      </c>
      <c r="E211" s="134" t="s">
        <v>6070</v>
      </c>
      <c r="F211" s="135">
        <v>35.0</v>
      </c>
      <c r="G211" s="136">
        <v>107.73</v>
      </c>
      <c r="H211" s="142"/>
      <c r="I211" s="136">
        <v>0.0</v>
      </c>
      <c r="J211" s="137">
        <v>3.08</v>
      </c>
      <c r="K211" s="137">
        <v>107.73</v>
      </c>
      <c r="L211" s="134" t="s">
        <v>509</v>
      </c>
      <c r="M211" s="138" t="s">
        <v>509</v>
      </c>
      <c r="N211" s="129"/>
      <c r="O211" s="140"/>
      <c r="P211" s="135" t="s">
        <v>6491</v>
      </c>
      <c r="Q211" s="76" t="s">
        <v>22</v>
      </c>
      <c r="R211" s="140"/>
      <c r="S211" s="140"/>
      <c r="T211" s="140"/>
      <c r="U211" s="140"/>
      <c r="V211" s="140"/>
      <c r="W211" s="140"/>
      <c r="X211" s="140"/>
      <c r="Y211" s="140"/>
      <c r="Z211" s="140"/>
      <c r="AA211" s="140"/>
      <c r="AB211" s="140"/>
    </row>
    <row r="212">
      <c r="A212" s="133">
        <v>45986.0</v>
      </c>
      <c r="B212" s="134" t="s">
        <v>1221</v>
      </c>
      <c r="C212" s="134" t="s">
        <v>1221</v>
      </c>
      <c r="D212" s="134" t="s">
        <v>6336</v>
      </c>
      <c r="E212" s="134" t="s">
        <v>6070</v>
      </c>
      <c r="F212" s="135">
        <v>2.0</v>
      </c>
      <c r="G212" s="136">
        <v>18.0</v>
      </c>
      <c r="H212" s="142"/>
      <c r="I212" s="136">
        <v>7.0</v>
      </c>
      <c r="J212" s="137">
        <v>5.5</v>
      </c>
      <c r="K212" s="137">
        <v>11.0</v>
      </c>
      <c r="L212" s="134" t="s">
        <v>508</v>
      </c>
      <c r="M212" s="138" t="s">
        <v>46</v>
      </c>
      <c r="N212" s="129"/>
      <c r="O212" s="140"/>
      <c r="P212" s="135" t="s">
        <v>6492</v>
      </c>
      <c r="Q212" s="76" t="s">
        <v>22</v>
      </c>
      <c r="R212" s="140"/>
      <c r="S212" s="140"/>
      <c r="T212" s="140"/>
      <c r="U212" s="140"/>
      <c r="V212" s="140"/>
      <c r="W212" s="140"/>
      <c r="X212" s="140"/>
      <c r="Y212" s="140"/>
      <c r="Z212" s="140"/>
      <c r="AA212" s="140"/>
      <c r="AB212" s="140"/>
    </row>
    <row r="213">
      <c r="A213" s="133">
        <v>45986.0</v>
      </c>
      <c r="B213" s="134" t="s">
        <v>1221</v>
      </c>
      <c r="C213" s="134" t="s">
        <v>6493</v>
      </c>
      <c r="D213" s="134" t="s">
        <v>6069</v>
      </c>
      <c r="E213" s="134" t="s">
        <v>6070</v>
      </c>
      <c r="F213" s="135">
        <v>1.0</v>
      </c>
      <c r="G213" s="136">
        <v>12.0</v>
      </c>
      <c r="H213" s="142"/>
      <c r="I213" s="136">
        <v>0.0</v>
      </c>
      <c r="J213" s="137">
        <v>12.0</v>
      </c>
      <c r="K213" s="137">
        <v>12.0</v>
      </c>
      <c r="L213" s="134" t="s">
        <v>508</v>
      </c>
      <c r="M213" s="147" t="s">
        <v>691</v>
      </c>
      <c r="N213" s="129"/>
      <c r="O213" s="140"/>
      <c r="P213" s="135" t="s">
        <v>6494</v>
      </c>
      <c r="Q213" s="76" t="s">
        <v>22</v>
      </c>
      <c r="R213" s="140"/>
      <c r="S213" s="140"/>
      <c r="T213" s="140"/>
      <c r="U213" s="140"/>
      <c r="V213" s="140"/>
      <c r="W213" s="140"/>
      <c r="X213" s="140"/>
      <c r="Y213" s="140"/>
      <c r="Z213" s="140"/>
      <c r="AA213" s="140"/>
      <c r="AB213" s="140"/>
    </row>
    <row r="214">
      <c r="A214" s="133">
        <v>45986.0</v>
      </c>
      <c r="B214" s="134" t="s">
        <v>117</v>
      </c>
      <c r="C214" s="134" t="s">
        <v>6468</v>
      </c>
      <c r="D214" s="134" t="s">
        <v>6003</v>
      </c>
      <c r="E214" s="134" t="s">
        <v>6371</v>
      </c>
      <c r="F214" s="135">
        <v>2.0</v>
      </c>
      <c r="G214" s="136">
        <v>19.96</v>
      </c>
      <c r="H214" s="142"/>
      <c r="I214" s="136">
        <v>0.0</v>
      </c>
      <c r="J214" s="137">
        <v>9.98</v>
      </c>
      <c r="K214" s="137">
        <v>19.96</v>
      </c>
      <c r="L214" s="134" t="s">
        <v>80</v>
      </c>
      <c r="M214" s="147" t="s">
        <v>1152</v>
      </c>
      <c r="N214" s="129"/>
      <c r="O214" s="140"/>
      <c r="P214" s="135" t="s">
        <v>6495</v>
      </c>
      <c r="Q214" s="76" t="s">
        <v>22</v>
      </c>
      <c r="R214" s="140"/>
      <c r="S214" s="140"/>
      <c r="T214" s="140"/>
      <c r="U214" s="140"/>
      <c r="V214" s="140"/>
      <c r="W214" s="140"/>
      <c r="X214" s="140"/>
      <c r="Y214" s="140"/>
      <c r="Z214" s="140"/>
      <c r="AA214" s="140"/>
      <c r="AB214" s="140"/>
    </row>
    <row r="215">
      <c r="A215" s="133">
        <v>46008.0</v>
      </c>
      <c r="B215" s="134" t="s">
        <v>1221</v>
      </c>
      <c r="C215" s="134" t="s">
        <v>6496</v>
      </c>
      <c r="D215" s="134" t="s">
        <v>6497</v>
      </c>
      <c r="E215" s="134" t="s">
        <v>6498</v>
      </c>
      <c r="F215" s="135">
        <v>1.0</v>
      </c>
      <c r="G215" s="136">
        <v>1.56</v>
      </c>
      <c r="H215" s="142"/>
      <c r="I215" s="136">
        <v>0.0</v>
      </c>
      <c r="J215" s="137">
        <v>1.56</v>
      </c>
      <c r="K215" s="137">
        <v>1.56</v>
      </c>
      <c r="L215" s="134" t="s">
        <v>6499</v>
      </c>
      <c r="M215" s="138" t="s">
        <v>46</v>
      </c>
      <c r="N215" s="129"/>
      <c r="O215" s="135" t="s">
        <v>2586</v>
      </c>
      <c r="P215" s="135" t="s">
        <v>6500</v>
      </c>
      <c r="Q215" s="76" t="s">
        <v>22</v>
      </c>
      <c r="R215" s="140"/>
      <c r="S215" s="140"/>
      <c r="T215" s="140"/>
      <c r="U215" s="140"/>
      <c r="V215" s="140"/>
      <c r="W215" s="140"/>
      <c r="X215" s="140"/>
      <c r="Y215" s="140"/>
      <c r="Z215" s="140"/>
      <c r="AA215" s="140"/>
      <c r="AB215" s="140"/>
    </row>
    <row r="216">
      <c r="A216" s="133">
        <v>46008.0</v>
      </c>
      <c r="B216" s="134" t="s">
        <v>1221</v>
      </c>
      <c r="C216" s="134" t="s">
        <v>1221</v>
      </c>
      <c r="D216" s="134" t="s">
        <v>6497</v>
      </c>
      <c r="E216" s="134" t="s">
        <v>6497</v>
      </c>
      <c r="F216" s="135">
        <v>1.0</v>
      </c>
      <c r="G216" s="136">
        <v>2.76</v>
      </c>
      <c r="H216" s="142"/>
      <c r="I216" s="136">
        <v>0.0</v>
      </c>
      <c r="J216" s="137">
        <v>2.76</v>
      </c>
      <c r="K216" s="137">
        <v>2.76</v>
      </c>
      <c r="L216" s="134" t="s">
        <v>6499</v>
      </c>
      <c r="M216" s="138" t="s">
        <v>46</v>
      </c>
      <c r="N216" s="129"/>
      <c r="O216" s="135" t="s">
        <v>2586</v>
      </c>
      <c r="P216" s="135" t="s">
        <v>6501</v>
      </c>
      <c r="Q216" s="76" t="s">
        <v>22</v>
      </c>
      <c r="R216" s="140"/>
      <c r="S216" s="140"/>
      <c r="T216" s="140"/>
      <c r="U216" s="140"/>
      <c r="V216" s="140"/>
      <c r="W216" s="140"/>
      <c r="X216" s="140"/>
      <c r="Y216" s="140"/>
      <c r="Z216" s="140"/>
      <c r="AA216" s="140"/>
      <c r="AB216" s="140"/>
    </row>
    <row r="217">
      <c r="A217" s="133">
        <v>46008.0</v>
      </c>
      <c r="B217" s="134" t="s">
        <v>1221</v>
      </c>
      <c r="C217" s="134" t="s">
        <v>6502</v>
      </c>
      <c r="D217" s="134" t="s">
        <v>6502</v>
      </c>
      <c r="E217" s="134" t="s">
        <v>6502</v>
      </c>
      <c r="F217" s="135">
        <v>1.0</v>
      </c>
      <c r="G217" s="136">
        <v>3.3</v>
      </c>
      <c r="H217" s="142"/>
      <c r="I217" s="136">
        <v>0.0</v>
      </c>
      <c r="J217" s="137">
        <v>3.3</v>
      </c>
      <c r="K217" s="137">
        <v>3.3</v>
      </c>
      <c r="L217" s="134" t="s">
        <v>6499</v>
      </c>
      <c r="M217" s="138" t="s">
        <v>46</v>
      </c>
      <c r="N217" s="129"/>
      <c r="O217" s="135" t="s">
        <v>2586</v>
      </c>
      <c r="P217" s="135" t="s">
        <v>6503</v>
      </c>
      <c r="Q217" s="76" t="s">
        <v>22</v>
      </c>
      <c r="R217" s="140"/>
      <c r="S217" s="140"/>
      <c r="T217" s="140"/>
      <c r="U217" s="140"/>
      <c r="V217" s="140"/>
      <c r="W217" s="140"/>
      <c r="X217" s="140"/>
      <c r="Y217" s="140"/>
      <c r="Z217" s="140"/>
      <c r="AA217" s="140"/>
      <c r="AB217" s="140"/>
    </row>
    <row r="218">
      <c r="A218" s="133">
        <v>46008.0</v>
      </c>
      <c r="B218" s="134" t="s">
        <v>1221</v>
      </c>
      <c r="C218" s="134" t="s">
        <v>6496</v>
      </c>
      <c r="D218" s="134" t="s">
        <v>6497</v>
      </c>
      <c r="E218" s="134" t="s">
        <v>6498</v>
      </c>
      <c r="F218" s="135">
        <v>1.0</v>
      </c>
      <c r="G218" s="136">
        <v>0.8</v>
      </c>
      <c r="H218" s="142"/>
      <c r="I218" s="136">
        <v>0.0</v>
      </c>
      <c r="J218" s="137">
        <v>0.8</v>
      </c>
      <c r="K218" s="137">
        <v>0.8</v>
      </c>
      <c r="L218" s="134" t="s">
        <v>6499</v>
      </c>
      <c r="M218" s="138" t="s">
        <v>46</v>
      </c>
      <c r="N218" s="129"/>
      <c r="O218" s="135" t="s">
        <v>6504</v>
      </c>
      <c r="P218" s="135" t="s">
        <v>6505</v>
      </c>
      <c r="Q218" s="76" t="s">
        <v>22</v>
      </c>
      <c r="R218" s="140"/>
      <c r="S218" s="140"/>
      <c r="T218" s="140"/>
      <c r="U218" s="140"/>
      <c r="V218" s="140"/>
      <c r="W218" s="140"/>
      <c r="X218" s="140"/>
      <c r="Y218" s="140"/>
      <c r="Z218" s="140"/>
      <c r="AA218" s="140"/>
      <c r="AB218" s="140"/>
    </row>
    <row r="219">
      <c r="A219" s="133">
        <v>46008.0</v>
      </c>
      <c r="B219" s="134" t="s">
        <v>1221</v>
      </c>
      <c r="C219" s="134" t="s">
        <v>1221</v>
      </c>
      <c r="D219" s="134" t="s">
        <v>6497</v>
      </c>
      <c r="E219" s="134" t="s">
        <v>6506</v>
      </c>
      <c r="F219" s="135">
        <v>1.0</v>
      </c>
      <c r="G219" s="136">
        <v>1.1</v>
      </c>
      <c r="H219" s="142"/>
      <c r="I219" s="136">
        <v>0.0</v>
      </c>
      <c r="J219" s="137">
        <v>1.1</v>
      </c>
      <c r="K219" s="137">
        <v>1.1</v>
      </c>
      <c r="L219" s="134" t="s">
        <v>6499</v>
      </c>
      <c r="M219" s="138" t="s">
        <v>46</v>
      </c>
      <c r="N219" s="129"/>
      <c r="O219" s="135" t="s">
        <v>6504</v>
      </c>
      <c r="P219" s="135" t="s">
        <v>6507</v>
      </c>
      <c r="Q219" s="76" t="s">
        <v>22</v>
      </c>
      <c r="R219" s="140"/>
      <c r="S219" s="140"/>
      <c r="T219" s="140"/>
      <c r="U219" s="140"/>
      <c r="V219" s="140"/>
      <c r="W219" s="140"/>
      <c r="X219" s="140"/>
      <c r="Y219" s="140"/>
      <c r="Z219" s="140"/>
      <c r="AA219" s="140"/>
      <c r="AB219" s="140"/>
    </row>
    <row r="220">
      <c r="A220" s="133">
        <v>46008.0</v>
      </c>
      <c r="B220" s="134" t="s">
        <v>1221</v>
      </c>
      <c r="C220" s="134" t="s">
        <v>6502</v>
      </c>
      <c r="D220" s="134" t="s">
        <v>6502</v>
      </c>
      <c r="E220" s="134" t="s">
        <v>6502</v>
      </c>
      <c r="F220" s="135">
        <v>1.0</v>
      </c>
      <c r="G220" s="136">
        <v>1.32</v>
      </c>
      <c r="H220" s="142"/>
      <c r="I220" s="136">
        <v>0.0</v>
      </c>
      <c r="J220" s="137">
        <v>1.32</v>
      </c>
      <c r="K220" s="137">
        <v>1.32</v>
      </c>
      <c r="L220" s="134" t="s">
        <v>6499</v>
      </c>
      <c r="M220" s="138" t="s">
        <v>46</v>
      </c>
      <c r="N220" s="129"/>
      <c r="O220" s="135" t="s">
        <v>6504</v>
      </c>
      <c r="P220" s="135" t="s">
        <v>6508</v>
      </c>
      <c r="Q220" s="76" t="s">
        <v>22</v>
      </c>
      <c r="R220" s="140"/>
      <c r="S220" s="140"/>
      <c r="T220" s="140"/>
      <c r="U220" s="140"/>
      <c r="V220" s="140"/>
      <c r="W220" s="140"/>
      <c r="X220" s="140"/>
      <c r="Y220" s="140"/>
      <c r="Z220" s="140"/>
      <c r="AA220" s="140"/>
      <c r="AB220" s="140"/>
    </row>
    <row r="221">
      <c r="A221" s="133">
        <v>46008.0</v>
      </c>
      <c r="B221" s="134" t="s">
        <v>1221</v>
      </c>
      <c r="C221" s="134" t="s">
        <v>1161</v>
      </c>
      <c r="D221" s="134" t="s">
        <v>6497</v>
      </c>
      <c r="E221" s="134" t="s">
        <v>6498</v>
      </c>
      <c r="F221" s="135">
        <v>2.0</v>
      </c>
      <c r="G221" s="136">
        <v>1.68</v>
      </c>
      <c r="H221" s="142"/>
      <c r="I221" s="136">
        <v>0.0</v>
      </c>
      <c r="J221" s="137">
        <v>0.84</v>
      </c>
      <c r="K221" s="137">
        <v>1.68</v>
      </c>
      <c r="L221" s="134" t="s">
        <v>6499</v>
      </c>
      <c r="M221" s="138" t="s">
        <v>46</v>
      </c>
      <c r="N221" s="129"/>
      <c r="O221" s="135" t="s">
        <v>2589</v>
      </c>
      <c r="P221" s="135" t="s">
        <v>6509</v>
      </c>
      <c r="Q221" s="76" t="s">
        <v>22</v>
      </c>
      <c r="R221" s="140"/>
      <c r="S221" s="140"/>
      <c r="T221" s="140"/>
      <c r="U221" s="140"/>
      <c r="V221" s="140"/>
      <c r="W221" s="140"/>
      <c r="X221" s="140"/>
      <c r="Y221" s="140"/>
      <c r="Z221" s="140"/>
      <c r="AA221" s="140"/>
      <c r="AB221" s="140"/>
    </row>
    <row r="222">
      <c r="A222" s="133">
        <v>46008.0</v>
      </c>
      <c r="B222" s="134" t="s">
        <v>1221</v>
      </c>
      <c r="C222" s="134" t="s">
        <v>1221</v>
      </c>
      <c r="D222" s="134" t="s">
        <v>6497</v>
      </c>
      <c r="E222" s="134" t="s">
        <v>6506</v>
      </c>
      <c r="F222" s="135">
        <v>2.0</v>
      </c>
      <c r="G222" s="136">
        <v>2.21</v>
      </c>
      <c r="H222" s="142"/>
      <c r="I222" s="136">
        <v>0.0</v>
      </c>
      <c r="J222" s="137">
        <v>1.11</v>
      </c>
      <c r="K222" s="137">
        <v>2.21</v>
      </c>
      <c r="L222" s="134" t="s">
        <v>6499</v>
      </c>
      <c r="M222" s="138" t="s">
        <v>46</v>
      </c>
      <c r="N222" s="129"/>
      <c r="O222" s="135" t="s">
        <v>2589</v>
      </c>
      <c r="P222" s="135" t="s">
        <v>6510</v>
      </c>
      <c r="Q222" s="76" t="s">
        <v>22</v>
      </c>
      <c r="R222" s="140"/>
      <c r="S222" s="140"/>
      <c r="T222" s="140"/>
      <c r="U222" s="140"/>
      <c r="V222" s="140"/>
      <c r="W222" s="140"/>
      <c r="X222" s="140"/>
      <c r="Y222" s="140"/>
      <c r="Z222" s="140"/>
      <c r="AA222" s="140"/>
      <c r="AB222" s="140"/>
    </row>
    <row r="223">
      <c r="A223" s="133">
        <v>46008.0</v>
      </c>
      <c r="B223" s="134" t="s">
        <v>1221</v>
      </c>
      <c r="C223" s="134" t="s">
        <v>6502</v>
      </c>
      <c r="D223" s="134" t="s">
        <v>6502</v>
      </c>
      <c r="E223" s="134" t="s">
        <v>6502</v>
      </c>
      <c r="F223" s="135">
        <v>2.0</v>
      </c>
      <c r="G223" s="136">
        <v>1.98</v>
      </c>
      <c r="H223" s="142"/>
      <c r="I223" s="136">
        <v>0.0</v>
      </c>
      <c r="J223" s="137">
        <v>0.99</v>
      </c>
      <c r="K223" s="137">
        <v>1.98</v>
      </c>
      <c r="L223" s="134" t="s">
        <v>6499</v>
      </c>
      <c r="M223" s="138" t="s">
        <v>46</v>
      </c>
      <c r="N223" s="129"/>
      <c r="O223" s="135" t="s">
        <v>2589</v>
      </c>
      <c r="P223" s="135" t="s">
        <v>6511</v>
      </c>
      <c r="Q223" s="76" t="s">
        <v>22</v>
      </c>
      <c r="R223" s="140"/>
      <c r="S223" s="140"/>
      <c r="T223" s="140"/>
      <c r="U223" s="140"/>
      <c r="V223" s="140"/>
      <c r="W223" s="140"/>
      <c r="X223" s="140"/>
      <c r="Y223" s="140"/>
      <c r="Z223" s="140"/>
      <c r="AA223" s="140"/>
      <c r="AB223" s="140"/>
    </row>
    <row r="224">
      <c r="A224" s="133">
        <v>46008.0</v>
      </c>
      <c r="B224" s="134" t="s">
        <v>1221</v>
      </c>
      <c r="C224" s="134" t="s">
        <v>1221</v>
      </c>
      <c r="D224" s="134" t="s">
        <v>6497</v>
      </c>
      <c r="E224" s="134" t="s">
        <v>6497</v>
      </c>
      <c r="F224" s="135">
        <v>1.0</v>
      </c>
      <c r="G224" s="136">
        <v>1.1</v>
      </c>
      <c r="H224" s="142"/>
      <c r="I224" s="136">
        <v>0.0</v>
      </c>
      <c r="J224" s="137">
        <v>1.1</v>
      </c>
      <c r="K224" s="137">
        <v>1.1</v>
      </c>
      <c r="L224" s="134" t="s">
        <v>6499</v>
      </c>
      <c r="M224" s="138" t="s">
        <v>46</v>
      </c>
      <c r="N224" s="129"/>
      <c r="O224" s="135" t="s">
        <v>2586</v>
      </c>
      <c r="P224" s="135" t="s">
        <v>6512</v>
      </c>
      <c r="Q224" s="76" t="s">
        <v>22</v>
      </c>
      <c r="R224" s="140"/>
      <c r="S224" s="140"/>
      <c r="T224" s="140"/>
      <c r="U224" s="140"/>
      <c r="V224" s="140"/>
      <c r="W224" s="140"/>
      <c r="X224" s="140"/>
      <c r="Y224" s="140"/>
      <c r="Z224" s="140"/>
      <c r="AA224" s="140"/>
      <c r="AB224" s="140"/>
    </row>
    <row r="225">
      <c r="A225" s="133">
        <v>45874.0</v>
      </c>
      <c r="B225" s="134" t="s">
        <v>6513</v>
      </c>
      <c r="C225" s="134" t="s">
        <v>6391</v>
      </c>
      <c r="D225" s="134" t="s">
        <v>1103</v>
      </c>
      <c r="E225" s="134" t="s">
        <v>6514</v>
      </c>
      <c r="F225" s="135">
        <v>1.0</v>
      </c>
      <c r="G225" s="136">
        <v>100.0</v>
      </c>
      <c r="H225" s="142"/>
      <c r="I225" s="136">
        <v>0.0</v>
      </c>
      <c r="J225" s="137">
        <v>100.0</v>
      </c>
      <c r="K225" s="137">
        <v>100.0</v>
      </c>
      <c r="L225" s="134" t="s">
        <v>508</v>
      </c>
      <c r="M225" s="147" t="s">
        <v>691</v>
      </c>
      <c r="N225" s="129"/>
      <c r="O225" s="140"/>
      <c r="P225" s="135" t="s">
        <v>6515</v>
      </c>
      <c r="Q225" s="76" t="s">
        <v>22</v>
      </c>
      <c r="R225" s="140"/>
      <c r="S225" s="140"/>
      <c r="T225" s="140"/>
      <c r="U225" s="140"/>
      <c r="V225" s="140"/>
      <c r="W225" s="140"/>
      <c r="X225" s="140"/>
      <c r="Y225" s="140"/>
      <c r="Z225" s="140"/>
      <c r="AA225" s="140"/>
      <c r="AB225" s="140"/>
    </row>
    <row r="226">
      <c r="A226" s="133">
        <v>45884.0</v>
      </c>
      <c r="B226" s="134" t="s">
        <v>6513</v>
      </c>
      <c r="C226" s="134" t="s">
        <v>6516</v>
      </c>
      <c r="D226" s="134" t="s">
        <v>1103</v>
      </c>
      <c r="E226" s="134" t="s">
        <v>6517</v>
      </c>
      <c r="F226" s="135">
        <v>1.0</v>
      </c>
      <c r="G226" s="136">
        <v>158.0</v>
      </c>
      <c r="H226" s="142"/>
      <c r="I226" s="136">
        <v>0.0</v>
      </c>
      <c r="J226" s="137">
        <v>158.0</v>
      </c>
      <c r="K226" s="137">
        <v>158.0</v>
      </c>
      <c r="L226" s="134" t="s">
        <v>508</v>
      </c>
      <c r="M226" s="147" t="s">
        <v>691</v>
      </c>
      <c r="N226" s="129"/>
      <c r="O226" s="140"/>
      <c r="P226" s="135" t="s">
        <v>6518</v>
      </c>
      <c r="Q226" s="76" t="s">
        <v>22</v>
      </c>
      <c r="R226" s="140"/>
      <c r="S226" s="140"/>
      <c r="T226" s="140"/>
      <c r="U226" s="140"/>
      <c r="V226" s="140"/>
      <c r="W226" s="140"/>
      <c r="X226" s="140"/>
      <c r="Y226" s="140"/>
      <c r="Z226" s="140"/>
      <c r="AA226" s="140"/>
      <c r="AB226" s="140"/>
    </row>
    <row r="227">
      <c r="A227" s="133"/>
      <c r="B227" s="134"/>
      <c r="C227" s="134"/>
      <c r="D227" s="134"/>
      <c r="E227" s="134"/>
      <c r="F227" s="135"/>
      <c r="G227" s="136"/>
      <c r="H227" s="142"/>
      <c r="I227" s="136"/>
      <c r="J227" s="137" t="s">
        <v>39</v>
      </c>
      <c r="K227" s="137" t="s">
        <v>39</v>
      </c>
      <c r="L227" s="146"/>
      <c r="M227" s="141"/>
      <c r="N227" s="129"/>
      <c r="O227" s="140"/>
      <c r="P227" s="135"/>
      <c r="Q227" s="76"/>
      <c r="R227" s="135"/>
      <c r="S227" s="140"/>
      <c r="T227" s="140"/>
      <c r="U227" s="140"/>
      <c r="V227" s="140"/>
      <c r="W227" s="140"/>
      <c r="X227" s="140"/>
      <c r="Y227" s="140"/>
      <c r="Z227" s="140"/>
      <c r="AA227" s="140"/>
      <c r="AB227" s="140"/>
    </row>
    <row r="228">
      <c r="A228" s="133"/>
      <c r="B228" s="134"/>
      <c r="C228" s="134"/>
      <c r="D228" s="134"/>
      <c r="E228" s="134"/>
      <c r="F228" s="135"/>
      <c r="G228" s="136"/>
      <c r="H228" s="142"/>
      <c r="I228" s="136"/>
      <c r="J228" s="137" t="s">
        <v>39</v>
      </c>
      <c r="K228" s="137" t="s">
        <v>39</v>
      </c>
      <c r="L228" s="134"/>
      <c r="M228" s="138"/>
      <c r="N228" s="129"/>
      <c r="O228" s="140"/>
      <c r="P228" s="135"/>
      <c r="Q228" s="76"/>
      <c r="R228" s="135"/>
      <c r="S228" s="140"/>
      <c r="T228" s="140"/>
      <c r="U228" s="140"/>
      <c r="V228" s="140"/>
      <c r="W228" s="140"/>
      <c r="X228" s="140"/>
      <c r="Y228" s="140"/>
      <c r="Z228" s="140"/>
      <c r="AA228" s="140"/>
      <c r="AB228" s="140"/>
    </row>
    <row r="229">
      <c r="A229" s="133">
        <v>46093.0</v>
      </c>
      <c r="B229" s="134" t="s">
        <v>117</v>
      </c>
      <c r="C229" s="134" t="s">
        <v>6519</v>
      </c>
      <c r="D229" s="134" t="s">
        <v>6247</v>
      </c>
      <c r="E229" s="134" t="s">
        <v>6520</v>
      </c>
      <c r="F229" s="135">
        <v>1.0</v>
      </c>
      <c r="G229" s="136">
        <v>779.99</v>
      </c>
      <c r="H229" s="142"/>
      <c r="I229" s="136">
        <v>0.0</v>
      </c>
      <c r="J229" s="137">
        <v>779.99</v>
      </c>
      <c r="K229" s="137">
        <v>779.99</v>
      </c>
      <c r="L229" s="134" t="s">
        <v>508</v>
      </c>
      <c r="M229" s="147" t="s">
        <v>691</v>
      </c>
      <c r="N229" s="143" t="s">
        <v>6521</v>
      </c>
      <c r="O229" s="140"/>
      <c r="P229" s="135" t="s">
        <v>6522</v>
      </c>
      <c r="Q229" s="76" t="s">
        <v>22</v>
      </c>
      <c r="R229" s="135" t="s">
        <v>6523</v>
      </c>
      <c r="S229" s="140"/>
      <c r="T229" s="140"/>
      <c r="U229" s="140"/>
      <c r="V229" s="140"/>
      <c r="W229" s="140"/>
      <c r="X229" s="140"/>
      <c r="Y229" s="140"/>
      <c r="Z229" s="140"/>
      <c r="AA229" s="140"/>
      <c r="AB229" s="140"/>
    </row>
    <row r="230">
      <c r="A230" s="133">
        <v>45996.0</v>
      </c>
      <c r="B230" s="134" t="s">
        <v>117</v>
      </c>
      <c r="C230" s="134" t="s">
        <v>6524</v>
      </c>
      <c r="D230" s="134" t="s">
        <v>5993</v>
      </c>
      <c r="E230" s="134" t="s">
        <v>6000</v>
      </c>
      <c r="F230" s="135">
        <v>2.0</v>
      </c>
      <c r="G230" s="136">
        <v>10.76</v>
      </c>
      <c r="H230" s="142"/>
      <c r="I230" s="136">
        <v>0.0</v>
      </c>
      <c r="J230" s="137">
        <v>5.38</v>
      </c>
      <c r="K230" s="137">
        <v>10.76</v>
      </c>
      <c r="L230" s="134" t="s">
        <v>80</v>
      </c>
      <c r="M230" s="147" t="s">
        <v>1139</v>
      </c>
      <c r="N230" s="143" t="s">
        <v>6525</v>
      </c>
      <c r="O230" s="140"/>
      <c r="P230" s="135" t="s">
        <v>6526</v>
      </c>
      <c r="Q230" s="76" t="s">
        <v>22</v>
      </c>
      <c r="R230" s="140"/>
      <c r="S230" s="140"/>
      <c r="T230" s="140"/>
      <c r="U230" s="140"/>
      <c r="V230" s="140"/>
      <c r="W230" s="140"/>
      <c r="X230" s="140"/>
      <c r="Y230" s="140"/>
      <c r="Z230" s="140"/>
      <c r="AA230" s="140"/>
      <c r="AB230" s="140"/>
    </row>
    <row r="231">
      <c r="A231" s="133">
        <v>45996.0</v>
      </c>
      <c r="B231" s="134" t="s">
        <v>117</v>
      </c>
      <c r="C231" s="134" t="s">
        <v>5992</v>
      </c>
      <c r="D231" s="134" t="s">
        <v>5993</v>
      </c>
      <c r="E231" s="134" t="s">
        <v>5994</v>
      </c>
      <c r="F231" s="135">
        <v>1.0</v>
      </c>
      <c r="G231" s="136">
        <v>29.99</v>
      </c>
      <c r="H231" s="142"/>
      <c r="I231" s="136">
        <v>0.0</v>
      </c>
      <c r="J231" s="137">
        <v>29.99</v>
      </c>
      <c r="K231" s="137">
        <v>29.99</v>
      </c>
      <c r="L231" s="134" t="s">
        <v>80</v>
      </c>
      <c r="M231" s="147" t="s">
        <v>1139</v>
      </c>
      <c r="N231" s="143" t="s">
        <v>6525</v>
      </c>
      <c r="O231" s="140"/>
      <c r="P231" s="135" t="s">
        <v>6527</v>
      </c>
      <c r="Q231" s="76" t="s">
        <v>22</v>
      </c>
      <c r="R231" s="140"/>
      <c r="S231" s="140"/>
      <c r="T231" s="140"/>
      <c r="U231" s="140"/>
      <c r="V231" s="140"/>
      <c r="W231" s="140"/>
      <c r="X231" s="140"/>
      <c r="Y231" s="140"/>
      <c r="Z231" s="140"/>
      <c r="AA231" s="140"/>
      <c r="AB231" s="140"/>
    </row>
    <row r="232">
      <c r="A232" s="133">
        <v>45996.0</v>
      </c>
      <c r="B232" s="134" t="s">
        <v>117</v>
      </c>
      <c r="C232" s="134" t="s">
        <v>6528</v>
      </c>
      <c r="D232" s="134" t="s">
        <v>6062</v>
      </c>
      <c r="E232" s="134" t="s">
        <v>6171</v>
      </c>
      <c r="F232" s="135">
        <v>1.0</v>
      </c>
      <c r="G232" s="136">
        <v>34.5</v>
      </c>
      <c r="H232" s="142"/>
      <c r="I232" s="136">
        <v>0.0</v>
      </c>
      <c r="J232" s="137">
        <v>34.5</v>
      </c>
      <c r="K232" s="137">
        <v>34.5</v>
      </c>
      <c r="L232" s="134" t="s">
        <v>80</v>
      </c>
      <c r="M232" s="147" t="s">
        <v>1139</v>
      </c>
      <c r="N232" s="143" t="s">
        <v>6525</v>
      </c>
      <c r="O232" s="140"/>
      <c r="P232" s="135" t="s">
        <v>6529</v>
      </c>
      <c r="Q232" s="76" t="s">
        <v>22</v>
      </c>
      <c r="R232" s="140"/>
      <c r="S232" s="140"/>
      <c r="T232" s="140"/>
      <c r="U232" s="140"/>
      <c r="V232" s="140"/>
      <c r="W232" s="140"/>
      <c r="X232" s="140"/>
      <c r="Y232" s="140"/>
      <c r="Z232" s="140"/>
      <c r="AA232" s="140"/>
      <c r="AB232" s="140"/>
    </row>
    <row r="233">
      <c r="A233" s="133">
        <v>45996.0</v>
      </c>
      <c r="B233" s="134" t="s">
        <v>117</v>
      </c>
      <c r="C233" s="134" t="s">
        <v>6468</v>
      </c>
      <c r="D233" s="134" t="s">
        <v>6003</v>
      </c>
      <c r="E233" s="134" t="s">
        <v>6371</v>
      </c>
      <c r="F233" s="135">
        <v>1.0</v>
      </c>
      <c r="G233" s="136">
        <v>18.97</v>
      </c>
      <c r="H233" s="142"/>
      <c r="I233" s="136">
        <v>0.0</v>
      </c>
      <c r="J233" s="137">
        <v>18.97</v>
      </c>
      <c r="K233" s="137">
        <v>18.97</v>
      </c>
      <c r="L233" s="134" t="s">
        <v>80</v>
      </c>
      <c r="M233" s="147" t="s">
        <v>1139</v>
      </c>
      <c r="N233" s="143" t="s">
        <v>6525</v>
      </c>
      <c r="O233" s="140"/>
      <c r="P233" s="135" t="s">
        <v>6530</v>
      </c>
      <c r="Q233" s="76" t="s">
        <v>22</v>
      </c>
      <c r="R233" s="140"/>
      <c r="S233" s="140"/>
      <c r="T233" s="140"/>
      <c r="U233" s="140"/>
      <c r="V233" s="140"/>
      <c r="W233" s="140"/>
      <c r="X233" s="140"/>
      <c r="Y233" s="140"/>
      <c r="Z233" s="140"/>
      <c r="AA233" s="140"/>
      <c r="AB233" s="140"/>
    </row>
    <row r="234">
      <c r="A234" s="133">
        <v>45996.0</v>
      </c>
      <c r="B234" s="134" t="s">
        <v>117</v>
      </c>
      <c r="C234" s="134" t="s">
        <v>6468</v>
      </c>
      <c r="D234" s="134" t="s">
        <v>6003</v>
      </c>
      <c r="E234" s="134" t="s">
        <v>6371</v>
      </c>
      <c r="F234" s="135">
        <v>1.0</v>
      </c>
      <c r="G234" s="136">
        <v>18.97</v>
      </c>
      <c r="H234" s="142"/>
      <c r="I234" s="136">
        <v>0.0</v>
      </c>
      <c r="J234" s="137">
        <v>18.97</v>
      </c>
      <c r="K234" s="137">
        <v>18.97</v>
      </c>
      <c r="L234" s="134" t="s">
        <v>80</v>
      </c>
      <c r="M234" s="147" t="s">
        <v>1139</v>
      </c>
      <c r="N234" s="143" t="s">
        <v>6525</v>
      </c>
      <c r="O234" s="140"/>
      <c r="P234" s="135" t="s">
        <v>6531</v>
      </c>
      <c r="Q234" s="76" t="s">
        <v>22</v>
      </c>
      <c r="R234" s="140"/>
      <c r="S234" s="140"/>
      <c r="T234" s="140"/>
      <c r="U234" s="140"/>
      <c r="V234" s="140"/>
      <c r="W234" s="140"/>
      <c r="X234" s="140"/>
      <c r="Y234" s="140"/>
      <c r="Z234" s="140"/>
      <c r="AA234" s="140"/>
      <c r="AB234" s="140"/>
    </row>
    <row r="235">
      <c r="A235" s="133">
        <v>45997.0</v>
      </c>
      <c r="B235" s="134" t="s">
        <v>117</v>
      </c>
      <c r="C235" s="134" t="s">
        <v>6532</v>
      </c>
      <c r="D235" s="134" t="s">
        <v>6062</v>
      </c>
      <c r="E235" s="134" t="s">
        <v>6177</v>
      </c>
      <c r="F235" s="135">
        <v>1.0</v>
      </c>
      <c r="G235" s="136">
        <v>22.39</v>
      </c>
      <c r="H235" s="142"/>
      <c r="I235" s="136">
        <v>10.55</v>
      </c>
      <c r="J235" s="137">
        <v>11.84</v>
      </c>
      <c r="K235" s="137">
        <v>11.84</v>
      </c>
      <c r="L235" s="134" t="s">
        <v>80</v>
      </c>
      <c r="M235" s="147" t="s">
        <v>1139</v>
      </c>
      <c r="N235" s="144" t="s">
        <v>6533</v>
      </c>
      <c r="O235" s="135" t="s">
        <v>6534</v>
      </c>
      <c r="P235" s="135" t="s">
        <v>6535</v>
      </c>
      <c r="Q235" s="76" t="s">
        <v>22</v>
      </c>
      <c r="R235" s="140"/>
      <c r="S235" s="140"/>
      <c r="T235" s="140"/>
      <c r="U235" s="140"/>
      <c r="V235" s="140"/>
      <c r="W235" s="140"/>
      <c r="X235" s="140"/>
      <c r="Y235" s="140"/>
      <c r="Z235" s="140"/>
      <c r="AA235" s="140"/>
      <c r="AB235" s="140"/>
    </row>
    <row r="236">
      <c r="A236" s="133">
        <v>46001.0</v>
      </c>
      <c r="B236" s="134" t="s">
        <v>117</v>
      </c>
      <c r="C236" s="134" t="s">
        <v>6197</v>
      </c>
      <c r="D236" s="134" t="s">
        <v>6021</v>
      </c>
      <c r="E236" s="134" t="s">
        <v>6198</v>
      </c>
      <c r="F236" s="135">
        <v>12.0</v>
      </c>
      <c r="G236" s="136">
        <v>100.44</v>
      </c>
      <c r="H236" s="142"/>
      <c r="I236" s="136">
        <v>0.0</v>
      </c>
      <c r="J236" s="137">
        <v>8.37</v>
      </c>
      <c r="K236" s="137">
        <v>100.44</v>
      </c>
      <c r="L236" s="134" t="s">
        <v>80</v>
      </c>
      <c r="M236" s="147" t="s">
        <v>93</v>
      </c>
      <c r="N236" s="144" t="s">
        <v>6536</v>
      </c>
      <c r="O236" s="140"/>
      <c r="P236" s="135" t="s">
        <v>6537</v>
      </c>
      <c r="Q236" s="76" t="s">
        <v>22</v>
      </c>
      <c r="R236" s="140"/>
      <c r="S236" s="140"/>
      <c r="T236" s="140"/>
      <c r="U236" s="140"/>
      <c r="V236" s="140"/>
      <c r="W236" s="140"/>
      <c r="X236" s="140"/>
      <c r="Y236" s="140"/>
      <c r="Z236" s="140"/>
      <c r="AA236" s="140"/>
      <c r="AB236" s="140"/>
    </row>
    <row r="237">
      <c r="A237" s="133">
        <v>46030.0</v>
      </c>
      <c r="B237" s="134" t="s">
        <v>117</v>
      </c>
      <c r="C237" s="134" t="s">
        <v>6538</v>
      </c>
      <c r="D237" s="134" t="s">
        <v>6021</v>
      </c>
      <c r="E237" s="134" t="s">
        <v>6539</v>
      </c>
      <c r="F237" s="135">
        <v>1.0</v>
      </c>
      <c r="G237" s="136">
        <v>24.0</v>
      </c>
      <c r="H237" s="142"/>
      <c r="I237" s="136">
        <v>0.0</v>
      </c>
      <c r="J237" s="137">
        <v>24.0</v>
      </c>
      <c r="K237" s="137">
        <v>24.0</v>
      </c>
      <c r="L237" s="134" t="s">
        <v>80</v>
      </c>
      <c r="M237" s="147" t="s">
        <v>6540</v>
      </c>
      <c r="N237" s="144" t="s">
        <v>6541</v>
      </c>
      <c r="O237" s="140"/>
      <c r="P237" s="135" t="s">
        <v>6542</v>
      </c>
      <c r="Q237" s="76" t="s">
        <v>22</v>
      </c>
      <c r="R237" s="140"/>
      <c r="S237" s="140"/>
      <c r="T237" s="140"/>
      <c r="U237" s="140"/>
      <c r="V237" s="140"/>
      <c r="W237" s="140"/>
      <c r="X237" s="140"/>
      <c r="Y237" s="140"/>
      <c r="Z237" s="140"/>
      <c r="AA237" s="140"/>
      <c r="AB237" s="140"/>
    </row>
    <row r="238">
      <c r="A238" s="133">
        <v>46037.0</v>
      </c>
      <c r="B238" s="134" t="s">
        <v>117</v>
      </c>
      <c r="C238" s="134" t="s">
        <v>6543</v>
      </c>
      <c r="D238" s="134" t="s">
        <v>6021</v>
      </c>
      <c r="E238" s="134" t="s">
        <v>6544</v>
      </c>
      <c r="F238" s="135">
        <v>1.0</v>
      </c>
      <c r="G238" s="136">
        <v>12.0</v>
      </c>
      <c r="H238" s="142"/>
      <c r="I238" s="136">
        <v>0.0</v>
      </c>
      <c r="J238" s="137">
        <v>12.0</v>
      </c>
      <c r="K238" s="137">
        <v>12.0</v>
      </c>
      <c r="L238" s="134" t="s">
        <v>80</v>
      </c>
      <c r="M238" s="147" t="s">
        <v>6540</v>
      </c>
      <c r="N238" s="144" t="s">
        <v>6545</v>
      </c>
      <c r="O238" s="140"/>
      <c r="P238" s="135" t="s">
        <v>6546</v>
      </c>
      <c r="Q238" s="76" t="s">
        <v>22</v>
      </c>
      <c r="R238" s="140"/>
      <c r="S238" s="140"/>
      <c r="T238" s="140"/>
      <c r="U238" s="140"/>
      <c r="V238" s="140"/>
      <c r="W238" s="140"/>
      <c r="X238" s="140"/>
      <c r="Y238" s="140"/>
      <c r="Z238" s="140"/>
      <c r="AA238" s="140"/>
      <c r="AB238" s="140"/>
    </row>
    <row r="239">
      <c r="A239" s="133">
        <v>46036.0</v>
      </c>
      <c r="B239" s="134" t="s">
        <v>117</v>
      </c>
      <c r="C239" s="134" t="s">
        <v>6547</v>
      </c>
      <c r="D239" s="134" t="s">
        <v>6021</v>
      </c>
      <c r="E239" s="134" t="s">
        <v>6548</v>
      </c>
      <c r="F239" s="135">
        <v>1.0</v>
      </c>
      <c r="G239" s="136">
        <v>31.99</v>
      </c>
      <c r="H239" s="142"/>
      <c r="I239" s="136">
        <v>0.0</v>
      </c>
      <c r="J239" s="137">
        <v>31.99</v>
      </c>
      <c r="K239" s="137">
        <v>31.99</v>
      </c>
      <c r="L239" s="134" t="s">
        <v>80</v>
      </c>
      <c r="M239" s="147" t="s">
        <v>6540</v>
      </c>
      <c r="N239" s="144" t="s">
        <v>6549</v>
      </c>
      <c r="O239" s="140"/>
      <c r="P239" s="135" t="s">
        <v>6550</v>
      </c>
      <c r="Q239" s="76" t="s">
        <v>22</v>
      </c>
      <c r="R239" s="140"/>
      <c r="S239" s="140"/>
      <c r="T239" s="140"/>
      <c r="U239" s="140"/>
      <c r="V239" s="140"/>
      <c r="W239" s="140"/>
      <c r="X239" s="140"/>
      <c r="Y239" s="140"/>
      <c r="Z239" s="140"/>
      <c r="AA239" s="140"/>
      <c r="AB239" s="140"/>
    </row>
    <row r="240">
      <c r="A240" s="133">
        <v>46089.0</v>
      </c>
      <c r="B240" s="134" t="s">
        <v>117</v>
      </c>
      <c r="C240" s="134" t="s">
        <v>6551</v>
      </c>
      <c r="D240" s="134" t="s">
        <v>5993</v>
      </c>
      <c r="E240" s="134" t="s">
        <v>6552</v>
      </c>
      <c r="F240" s="135">
        <v>1.0</v>
      </c>
      <c r="G240" s="136">
        <v>44.99</v>
      </c>
      <c r="H240" s="142"/>
      <c r="I240" s="136">
        <v>3.15</v>
      </c>
      <c r="J240" s="137">
        <v>41.84</v>
      </c>
      <c r="K240" s="137">
        <v>41.84</v>
      </c>
      <c r="L240" s="134" t="s">
        <v>1140</v>
      </c>
      <c r="M240" s="147" t="s">
        <v>6553</v>
      </c>
      <c r="N240" s="144" t="s">
        <v>6554</v>
      </c>
      <c r="O240" s="140"/>
      <c r="P240" s="135" t="s">
        <v>6555</v>
      </c>
      <c r="Q240" s="76" t="s">
        <v>22</v>
      </c>
      <c r="R240" s="140"/>
      <c r="S240" s="140"/>
      <c r="T240" s="140"/>
      <c r="U240" s="140"/>
      <c r="V240" s="140"/>
      <c r="W240" s="140"/>
      <c r="X240" s="140"/>
      <c r="Y240" s="140"/>
      <c r="Z240" s="140"/>
      <c r="AA240" s="140"/>
      <c r="AB240" s="140"/>
    </row>
    <row r="241">
      <c r="A241" s="133">
        <v>46088.0</v>
      </c>
      <c r="B241" s="134" t="s">
        <v>117</v>
      </c>
      <c r="C241" s="134" t="s">
        <v>6551</v>
      </c>
      <c r="D241" s="134" t="s">
        <v>5993</v>
      </c>
      <c r="E241" s="134" t="s">
        <v>6556</v>
      </c>
      <c r="F241" s="135">
        <v>1.0</v>
      </c>
      <c r="G241" s="136">
        <v>16.99</v>
      </c>
      <c r="H241" s="142"/>
      <c r="I241" s="136">
        <v>1.19</v>
      </c>
      <c r="J241" s="137">
        <v>15.8</v>
      </c>
      <c r="K241" s="137">
        <v>15.799999999999999</v>
      </c>
      <c r="L241" s="134" t="s">
        <v>1140</v>
      </c>
      <c r="M241" s="147" t="s">
        <v>6553</v>
      </c>
      <c r="N241" s="144" t="s">
        <v>6554</v>
      </c>
      <c r="O241" s="140"/>
      <c r="P241" s="135" t="s">
        <v>6557</v>
      </c>
      <c r="Q241" s="76" t="s">
        <v>22</v>
      </c>
      <c r="R241" s="140"/>
      <c r="S241" s="140"/>
      <c r="T241" s="140"/>
      <c r="U241" s="140"/>
      <c r="V241" s="140"/>
      <c r="W241" s="140"/>
      <c r="X241" s="140"/>
      <c r="Y241" s="140"/>
      <c r="Z241" s="140"/>
      <c r="AA241" s="140"/>
      <c r="AB241" s="140"/>
    </row>
    <row r="242">
      <c r="A242" s="133">
        <v>46037.0</v>
      </c>
      <c r="B242" s="134" t="s">
        <v>117</v>
      </c>
      <c r="C242" s="134" t="s">
        <v>6543</v>
      </c>
      <c r="D242" s="134" t="s">
        <v>6069</v>
      </c>
      <c r="E242" s="134" t="s">
        <v>6544</v>
      </c>
      <c r="F242" s="135">
        <v>1.0</v>
      </c>
      <c r="G242" s="136">
        <v>10.0</v>
      </c>
      <c r="H242" s="142"/>
      <c r="I242" s="136">
        <v>0.0</v>
      </c>
      <c r="J242" s="137">
        <v>10.0</v>
      </c>
      <c r="K242" s="137">
        <v>10.0</v>
      </c>
      <c r="L242" s="134" t="s">
        <v>80</v>
      </c>
      <c r="M242" s="147" t="s">
        <v>6540</v>
      </c>
      <c r="N242" s="144" t="s">
        <v>6545</v>
      </c>
      <c r="O242" s="140"/>
      <c r="P242" s="135" t="s">
        <v>6558</v>
      </c>
      <c r="Q242" s="76" t="s">
        <v>22</v>
      </c>
      <c r="R242" s="140"/>
      <c r="S242" s="140"/>
      <c r="T242" s="140"/>
      <c r="U242" s="140"/>
      <c r="V242" s="140"/>
      <c r="W242" s="140"/>
      <c r="X242" s="140"/>
      <c r="Y242" s="140"/>
      <c r="Z242" s="140"/>
      <c r="AA242" s="140"/>
      <c r="AB242" s="140"/>
    </row>
    <row r="243">
      <c r="A243" s="133">
        <v>45970.0</v>
      </c>
      <c r="B243" s="134" t="s">
        <v>117</v>
      </c>
      <c r="C243" s="134" t="s">
        <v>6559</v>
      </c>
      <c r="D243" s="134" t="s">
        <v>6003</v>
      </c>
      <c r="E243" s="134" t="s">
        <v>6560</v>
      </c>
      <c r="F243" s="135">
        <v>2.0</v>
      </c>
      <c r="G243" s="136">
        <v>5.2</v>
      </c>
      <c r="H243" s="142"/>
      <c r="I243" s="136">
        <v>0.0</v>
      </c>
      <c r="J243" s="137">
        <v>2.6</v>
      </c>
      <c r="K243" s="137">
        <v>5.2</v>
      </c>
      <c r="L243" s="134" t="s">
        <v>80</v>
      </c>
      <c r="M243" s="147" t="s">
        <v>1160</v>
      </c>
      <c r="N243" s="144" t="s">
        <v>6470</v>
      </c>
      <c r="O243" s="140"/>
      <c r="P243" s="135" t="s">
        <v>6561</v>
      </c>
      <c r="Q243" s="76" t="s">
        <v>22</v>
      </c>
      <c r="R243" s="140"/>
      <c r="S243" s="140"/>
      <c r="T243" s="140"/>
      <c r="U243" s="140"/>
      <c r="V243" s="140"/>
      <c r="W243" s="140"/>
      <c r="X243" s="140"/>
      <c r="Y243" s="140"/>
      <c r="Z243" s="140"/>
      <c r="AA243" s="140"/>
      <c r="AB243" s="140"/>
    </row>
    <row r="244">
      <c r="A244" s="133">
        <v>45970.0</v>
      </c>
      <c r="B244" s="134" t="s">
        <v>117</v>
      </c>
      <c r="C244" s="134" t="s">
        <v>6562</v>
      </c>
      <c r="D244" s="134" t="s">
        <v>6003</v>
      </c>
      <c r="E244" s="134" t="s">
        <v>6563</v>
      </c>
      <c r="F244" s="135">
        <v>2.0</v>
      </c>
      <c r="G244" s="136">
        <v>7.59</v>
      </c>
      <c r="H244" s="142"/>
      <c r="I244" s="136">
        <v>0.0</v>
      </c>
      <c r="J244" s="137">
        <v>3.8</v>
      </c>
      <c r="K244" s="137">
        <v>7.59</v>
      </c>
      <c r="L244" s="134" t="s">
        <v>80</v>
      </c>
      <c r="M244" s="147" t="s">
        <v>1160</v>
      </c>
      <c r="N244" s="144" t="s">
        <v>6470</v>
      </c>
      <c r="O244" s="140"/>
      <c r="P244" s="135" t="s">
        <v>6564</v>
      </c>
      <c r="Q244" s="76" t="s">
        <v>22</v>
      </c>
      <c r="R244" s="140"/>
      <c r="S244" s="140"/>
      <c r="T244" s="140"/>
      <c r="U244" s="140"/>
      <c r="V244" s="140"/>
      <c r="W244" s="140"/>
      <c r="X244" s="140"/>
      <c r="Y244" s="140"/>
      <c r="Z244" s="140"/>
      <c r="AA244" s="140"/>
      <c r="AB244" s="140"/>
    </row>
    <row r="245">
      <c r="A245" s="133">
        <v>46003.0</v>
      </c>
      <c r="B245" s="134" t="s">
        <v>6398</v>
      </c>
      <c r="C245" s="134" t="s">
        <v>6399</v>
      </c>
      <c r="D245" s="134" t="s">
        <v>6400</v>
      </c>
      <c r="E245" s="134" t="s">
        <v>6401</v>
      </c>
      <c r="F245" s="135">
        <v>16.0</v>
      </c>
      <c r="G245" s="136">
        <v>115.5</v>
      </c>
      <c r="H245" s="142"/>
      <c r="I245" s="136">
        <v>3.4</v>
      </c>
      <c r="J245" s="137">
        <v>7.01</v>
      </c>
      <c r="K245" s="137">
        <v>112.1</v>
      </c>
      <c r="L245" s="134" t="s">
        <v>508</v>
      </c>
      <c r="M245" s="147" t="s">
        <v>691</v>
      </c>
      <c r="N245" s="129"/>
      <c r="O245" s="140"/>
      <c r="P245" s="135" t="s">
        <v>6565</v>
      </c>
      <c r="Q245" s="76" t="s">
        <v>22</v>
      </c>
      <c r="R245" s="135" t="s">
        <v>6566</v>
      </c>
      <c r="S245" s="140"/>
      <c r="T245" s="140"/>
      <c r="U245" s="140"/>
      <c r="V245" s="140"/>
      <c r="W245" s="140"/>
      <c r="X245" s="140"/>
      <c r="Y245" s="140"/>
      <c r="Z245" s="140"/>
      <c r="AA245" s="140"/>
      <c r="AB245" s="140"/>
    </row>
    <row r="246">
      <c r="A246" s="133">
        <v>46108.0</v>
      </c>
      <c r="B246" s="134" t="s">
        <v>6567</v>
      </c>
      <c r="C246" s="134" t="s">
        <v>6568</v>
      </c>
      <c r="D246" s="134" t="s">
        <v>5993</v>
      </c>
      <c r="E246" s="134" t="s">
        <v>6569</v>
      </c>
      <c r="F246" s="135">
        <v>1.0</v>
      </c>
      <c r="G246" s="136">
        <v>24.99</v>
      </c>
      <c r="H246" s="142"/>
      <c r="I246" s="136">
        <v>0.0</v>
      </c>
      <c r="J246" s="137">
        <v>24.99</v>
      </c>
      <c r="K246" s="137">
        <v>24.99</v>
      </c>
      <c r="L246" s="134" t="s">
        <v>508</v>
      </c>
      <c r="M246" s="147" t="s">
        <v>691</v>
      </c>
      <c r="N246" s="129"/>
      <c r="O246" s="140"/>
      <c r="P246" s="135" t="s">
        <v>6570</v>
      </c>
      <c r="Q246" s="76" t="s">
        <v>22</v>
      </c>
      <c r="R246" s="135" t="s">
        <v>6571</v>
      </c>
      <c r="S246" s="140"/>
      <c r="T246" s="140"/>
      <c r="U246" s="140"/>
      <c r="V246" s="140"/>
      <c r="W246" s="140"/>
      <c r="X246" s="140"/>
      <c r="Y246" s="140"/>
      <c r="Z246" s="140"/>
      <c r="AA246" s="140"/>
      <c r="AB246" s="140"/>
    </row>
    <row r="247">
      <c r="A247" s="133">
        <v>46108.0</v>
      </c>
      <c r="B247" s="134" t="s">
        <v>6567</v>
      </c>
      <c r="C247" s="134" t="s">
        <v>6572</v>
      </c>
      <c r="D247" s="134" t="s">
        <v>5981</v>
      </c>
      <c r="E247" s="134" t="s">
        <v>6573</v>
      </c>
      <c r="F247" s="135">
        <v>1.0</v>
      </c>
      <c r="G247" s="136">
        <v>7.98</v>
      </c>
      <c r="H247" s="142"/>
      <c r="I247" s="136">
        <v>0.0</v>
      </c>
      <c r="J247" s="137">
        <v>7.98</v>
      </c>
      <c r="K247" s="137">
        <v>7.98</v>
      </c>
      <c r="L247" s="134" t="s">
        <v>508</v>
      </c>
      <c r="M247" s="147" t="s">
        <v>691</v>
      </c>
      <c r="N247" s="129"/>
      <c r="O247" s="140"/>
      <c r="P247" s="135" t="s">
        <v>6574</v>
      </c>
      <c r="Q247" s="76" t="s">
        <v>22</v>
      </c>
      <c r="R247" s="135" t="s">
        <v>6575</v>
      </c>
      <c r="S247" s="140"/>
      <c r="T247" s="140"/>
      <c r="U247" s="140"/>
      <c r="V247" s="140"/>
      <c r="W247" s="140"/>
      <c r="X247" s="140"/>
      <c r="Y247" s="140"/>
      <c r="Z247" s="140"/>
      <c r="AA247" s="140"/>
      <c r="AB247" s="140"/>
    </row>
    <row r="248">
      <c r="A248" s="133">
        <v>46108.0</v>
      </c>
      <c r="B248" s="134" t="s">
        <v>6576</v>
      </c>
      <c r="C248" s="134" t="s">
        <v>6568</v>
      </c>
      <c r="D248" s="134" t="s">
        <v>5993</v>
      </c>
      <c r="E248" s="134" t="s">
        <v>6577</v>
      </c>
      <c r="F248" s="135">
        <v>1.0</v>
      </c>
      <c r="G248" s="136">
        <v>18.39</v>
      </c>
      <c r="H248" s="142"/>
      <c r="I248" s="136">
        <v>1.39</v>
      </c>
      <c r="J248" s="137">
        <v>17.0</v>
      </c>
      <c r="K248" s="137">
        <v>17.0</v>
      </c>
      <c r="L248" s="134" t="s">
        <v>508</v>
      </c>
      <c r="M248" s="147" t="s">
        <v>1160</v>
      </c>
      <c r="N248" s="129"/>
      <c r="O248" s="140"/>
      <c r="P248" s="135" t="s">
        <v>6578</v>
      </c>
      <c r="Q248" s="76" t="s">
        <v>22</v>
      </c>
      <c r="R248" s="135" t="s">
        <v>6579</v>
      </c>
      <c r="S248" s="140"/>
      <c r="T248" s="140"/>
      <c r="U248" s="140"/>
      <c r="V248" s="140"/>
      <c r="W248" s="140"/>
      <c r="X248" s="140"/>
      <c r="Y248" s="140"/>
      <c r="Z248" s="140"/>
      <c r="AA248" s="140"/>
      <c r="AB248" s="140"/>
    </row>
    <row r="249">
      <c r="A249" s="133"/>
      <c r="B249" s="134"/>
      <c r="C249" s="134"/>
      <c r="D249" s="134"/>
      <c r="E249" s="134"/>
      <c r="F249" s="135"/>
      <c r="G249" s="136"/>
      <c r="H249" s="142"/>
      <c r="I249" s="136"/>
      <c r="J249" s="137" t="s">
        <v>39</v>
      </c>
      <c r="K249" s="137" t="s">
        <v>39</v>
      </c>
      <c r="L249" s="134"/>
      <c r="M249" s="138"/>
      <c r="N249" s="129"/>
      <c r="O249" s="140"/>
      <c r="P249" s="135"/>
      <c r="Q249" s="76"/>
      <c r="R249" s="135"/>
      <c r="S249" s="140"/>
      <c r="T249" s="140"/>
      <c r="U249" s="140"/>
      <c r="V249" s="140"/>
      <c r="W249" s="140"/>
      <c r="X249" s="140"/>
      <c r="Y249" s="140"/>
      <c r="Z249" s="140"/>
      <c r="AA249" s="140"/>
      <c r="AB249" s="140"/>
    </row>
    <row r="250">
      <c r="A250" s="133">
        <v>46108.0</v>
      </c>
      <c r="B250" s="134" t="s">
        <v>6576</v>
      </c>
      <c r="C250" s="134" t="s">
        <v>6580</v>
      </c>
      <c r="D250" s="134" t="s">
        <v>5993</v>
      </c>
      <c r="E250" s="134" t="s">
        <v>6581</v>
      </c>
      <c r="F250" s="135">
        <v>1.0</v>
      </c>
      <c r="G250" s="136">
        <v>12.0</v>
      </c>
      <c r="H250" s="142"/>
      <c r="I250" s="136">
        <v>1.0</v>
      </c>
      <c r="J250" s="137">
        <v>11.0</v>
      </c>
      <c r="K250" s="137">
        <v>11.0</v>
      </c>
      <c r="L250" s="134" t="s">
        <v>508</v>
      </c>
      <c r="M250" s="147" t="s">
        <v>1160</v>
      </c>
      <c r="N250" s="129"/>
      <c r="O250" s="140"/>
      <c r="P250" s="135" t="s">
        <v>6582</v>
      </c>
      <c r="Q250" s="76" t="s">
        <v>22</v>
      </c>
      <c r="R250" s="135" t="s">
        <v>6583</v>
      </c>
      <c r="S250" s="140"/>
      <c r="T250" s="140"/>
      <c r="U250" s="140"/>
      <c r="V250" s="140"/>
      <c r="W250" s="140"/>
      <c r="X250" s="140"/>
      <c r="Y250" s="140"/>
      <c r="Z250" s="140"/>
      <c r="AA250" s="140"/>
      <c r="AB250" s="140"/>
    </row>
    <row r="251">
      <c r="A251" s="133">
        <v>46108.0</v>
      </c>
      <c r="B251" s="134" t="s">
        <v>6576</v>
      </c>
      <c r="C251" s="134" t="s">
        <v>6382</v>
      </c>
      <c r="D251" s="134" t="s">
        <v>5993</v>
      </c>
      <c r="E251" s="134" t="s">
        <v>6584</v>
      </c>
      <c r="F251" s="135">
        <v>1.0</v>
      </c>
      <c r="G251" s="136">
        <v>38.84</v>
      </c>
      <c r="H251" s="142"/>
      <c r="I251" s="136">
        <v>5.84</v>
      </c>
      <c r="J251" s="137">
        <v>33.0</v>
      </c>
      <c r="K251" s="137">
        <v>33.0</v>
      </c>
      <c r="L251" s="134" t="s">
        <v>508</v>
      </c>
      <c r="M251" s="147" t="s">
        <v>1160</v>
      </c>
      <c r="N251" s="129"/>
      <c r="O251" s="140"/>
      <c r="P251" s="135" t="s">
        <v>6585</v>
      </c>
      <c r="Q251" s="76" t="s">
        <v>22</v>
      </c>
      <c r="R251" s="135" t="s">
        <v>6586</v>
      </c>
      <c r="S251" s="140"/>
      <c r="T251" s="140"/>
      <c r="U251" s="140"/>
      <c r="V251" s="140"/>
      <c r="W251" s="140"/>
      <c r="X251" s="140"/>
      <c r="Y251" s="140"/>
      <c r="Z251" s="140"/>
      <c r="AA251" s="140"/>
      <c r="AB251" s="140"/>
    </row>
    <row r="252">
      <c r="A252" s="133">
        <v>46108.0</v>
      </c>
      <c r="B252" s="134" t="s">
        <v>6576</v>
      </c>
      <c r="C252" s="134" t="s">
        <v>6587</v>
      </c>
      <c r="D252" s="134" t="s">
        <v>5993</v>
      </c>
      <c r="E252" s="134" t="s">
        <v>6588</v>
      </c>
      <c r="F252" s="135">
        <v>1.0</v>
      </c>
      <c r="G252" s="136">
        <v>65.0</v>
      </c>
      <c r="H252" s="142"/>
      <c r="I252" s="136">
        <v>12.0</v>
      </c>
      <c r="J252" s="137">
        <v>53.0</v>
      </c>
      <c r="K252" s="137">
        <v>53.0</v>
      </c>
      <c r="L252" s="134" t="s">
        <v>508</v>
      </c>
      <c r="M252" s="147" t="s">
        <v>1160</v>
      </c>
      <c r="N252" s="129"/>
      <c r="O252" s="140"/>
      <c r="P252" s="135" t="s">
        <v>6589</v>
      </c>
      <c r="Q252" s="76" t="s">
        <v>22</v>
      </c>
      <c r="R252" s="135" t="s">
        <v>6590</v>
      </c>
      <c r="S252" s="140"/>
      <c r="T252" s="140"/>
      <c r="U252" s="140"/>
      <c r="V252" s="140"/>
      <c r="W252" s="140"/>
      <c r="X252" s="140"/>
      <c r="Y252" s="140"/>
      <c r="Z252" s="140"/>
      <c r="AA252" s="140"/>
      <c r="AB252" s="140"/>
    </row>
    <row r="253">
      <c r="A253" s="133">
        <v>46109.0</v>
      </c>
      <c r="B253" s="134" t="s">
        <v>6576</v>
      </c>
      <c r="C253" s="134" t="s">
        <v>6576</v>
      </c>
      <c r="D253" s="134" t="s">
        <v>6591</v>
      </c>
      <c r="E253" s="134" t="s">
        <v>6592</v>
      </c>
      <c r="F253" s="135">
        <v>1.0</v>
      </c>
      <c r="G253" s="136">
        <v>3.48</v>
      </c>
      <c r="H253" s="142"/>
      <c r="I253" s="136">
        <v>0.0</v>
      </c>
      <c r="J253" s="137">
        <v>3.48</v>
      </c>
      <c r="K253" s="137">
        <v>3.48</v>
      </c>
      <c r="L253" s="134" t="s">
        <v>508</v>
      </c>
      <c r="M253" s="147" t="s">
        <v>1160</v>
      </c>
      <c r="N253" s="129"/>
      <c r="O253" s="140"/>
      <c r="P253" s="135" t="s">
        <v>6593</v>
      </c>
      <c r="Q253" s="76" t="s">
        <v>22</v>
      </c>
      <c r="R253" s="135" t="s">
        <v>6594</v>
      </c>
      <c r="S253" s="140"/>
      <c r="T253" s="140"/>
      <c r="U253" s="140"/>
      <c r="V253" s="140"/>
      <c r="W253" s="140"/>
      <c r="X253" s="140"/>
      <c r="Y253" s="140"/>
      <c r="Z253" s="140"/>
      <c r="AA253" s="140"/>
      <c r="AB253" s="140"/>
    </row>
    <row r="254">
      <c r="A254" s="133">
        <v>45952.0</v>
      </c>
      <c r="B254" s="134" t="s">
        <v>117</v>
      </c>
      <c r="C254" s="134" t="s">
        <v>6595</v>
      </c>
      <c r="D254" s="134" t="s">
        <v>5993</v>
      </c>
      <c r="E254" s="134" t="s">
        <v>6596</v>
      </c>
      <c r="F254" s="135">
        <v>1.0</v>
      </c>
      <c r="G254" s="136">
        <v>30.99</v>
      </c>
      <c r="H254" s="142"/>
      <c r="I254" s="136">
        <v>0.0</v>
      </c>
      <c r="J254" s="137">
        <v>30.99</v>
      </c>
      <c r="K254" s="137">
        <v>30.99</v>
      </c>
      <c r="L254" s="134" t="s">
        <v>80</v>
      </c>
      <c r="M254" s="147" t="s">
        <v>93</v>
      </c>
      <c r="N254" s="129"/>
      <c r="O254" s="140"/>
      <c r="P254" s="135" t="s">
        <v>6597</v>
      </c>
      <c r="Q254" s="76" t="s">
        <v>22</v>
      </c>
      <c r="R254" s="140"/>
      <c r="S254" s="140"/>
      <c r="T254" s="140"/>
      <c r="U254" s="140"/>
      <c r="V254" s="140"/>
      <c r="W254" s="140"/>
      <c r="X254" s="140"/>
      <c r="Y254" s="140"/>
      <c r="Z254" s="140"/>
      <c r="AA254" s="140"/>
      <c r="AB254" s="140"/>
    </row>
    <row r="255">
      <c r="A255" s="133">
        <v>45952.0</v>
      </c>
      <c r="B255" s="134" t="s">
        <v>117</v>
      </c>
      <c r="C255" s="134" t="s">
        <v>6598</v>
      </c>
      <c r="D255" s="134" t="s">
        <v>5993</v>
      </c>
      <c r="E255" s="134" t="s">
        <v>6599</v>
      </c>
      <c r="F255" s="135">
        <v>1.0</v>
      </c>
      <c r="G255" s="136">
        <v>27.05</v>
      </c>
      <c r="H255" s="142"/>
      <c r="I255" s="136">
        <v>0.0</v>
      </c>
      <c r="J255" s="137">
        <v>27.05</v>
      </c>
      <c r="K255" s="137">
        <v>27.05</v>
      </c>
      <c r="L255" s="134" t="s">
        <v>80</v>
      </c>
      <c r="M255" s="147" t="s">
        <v>93</v>
      </c>
      <c r="N255" s="129"/>
      <c r="O255" s="140"/>
      <c r="P255" s="135" t="s">
        <v>6600</v>
      </c>
      <c r="Q255" s="76" t="s">
        <v>22</v>
      </c>
      <c r="R255" s="140"/>
      <c r="S255" s="140"/>
      <c r="T255" s="140"/>
      <c r="U255" s="140"/>
      <c r="V255" s="140"/>
      <c r="W255" s="140"/>
      <c r="X255" s="140"/>
      <c r="Y255" s="140"/>
      <c r="Z255" s="140"/>
      <c r="AA255" s="140"/>
      <c r="AB255" s="140"/>
    </row>
    <row r="256">
      <c r="A256" s="133">
        <v>46111.0</v>
      </c>
      <c r="B256" s="134" t="s">
        <v>6455</v>
      </c>
      <c r="C256" s="134" t="s">
        <v>6390</v>
      </c>
      <c r="D256" s="134" t="s">
        <v>6336</v>
      </c>
      <c r="E256" s="134" t="s">
        <v>6601</v>
      </c>
      <c r="F256" s="135">
        <v>1.0</v>
      </c>
      <c r="G256" s="136">
        <v>13.0</v>
      </c>
      <c r="H256" s="142"/>
      <c r="I256" s="136">
        <v>6.91</v>
      </c>
      <c r="J256" s="137">
        <v>6.09</v>
      </c>
      <c r="K256" s="137">
        <v>6.09</v>
      </c>
      <c r="L256" s="134" t="s">
        <v>1140</v>
      </c>
      <c r="M256" s="147" t="s">
        <v>6602</v>
      </c>
      <c r="N256" s="129"/>
      <c r="O256" s="140"/>
      <c r="P256" s="135" t="s">
        <v>6603</v>
      </c>
      <c r="Q256" s="76" t="s">
        <v>22</v>
      </c>
      <c r="R256" s="140"/>
      <c r="S256" s="140"/>
      <c r="T256" s="140"/>
      <c r="U256" s="140"/>
      <c r="V256" s="140"/>
      <c r="W256" s="140"/>
      <c r="X256" s="140"/>
      <c r="Y256" s="140"/>
      <c r="Z256" s="140"/>
      <c r="AA256" s="140"/>
      <c r="AB256" s="140"/>
    </row>
    <row r="257">
      <c r="A257" s="133">
        <v>46106.0</v>
      </c>
      <c r="B257" s="134" t="s">
        <v>6455</v>
      </c>
      <c r="C257" s="134" t="s">
        <v>6604</v>
      </c>
      <c r="D257" s="134" t="s">
        <v>6336</v>
      </c>
      <c r="E257" s="134" t="s">
        <v>6601</v>
      </c>
      <c r="F257" s="135">
        <v>1.0</v>
      </c>
      <c r="G257" s="136">
        <v>30.0</v>
      </c>
      <c r="H257" s="142"/>
      <c r="I257" s="136">
        <v>21.2</v>
      </c>
      <c r="J257" s="137">
        <v>8.8</v>
      </c>
      <c r="K257" s="137">
        <v>8.8</v>
      </c>
      <c r="L257" s="134" t="s">
        <v>1153</v>
      </c>
      <c r="M257" s="138" t="s">
        <v>46</v>
      </c>
      <c r="N257" s="129"/>
      <c r="O257" s="140"/>
      <c r="P257" s="135" t="s">
        <v>6605</v>
      </c>
      <c r="Q257" s="76" t="s">
        <v>22</v>
      </c>
      <c r="R257" s="140"/>
      <c r="S257" s="140"/>
      <c r="T257" s="140"/>
      <c r="U257" s="140"/>
      <c r="V257" s="140"/>
      <c r="W257" s="140"/>
      <c r="X257" s="140"/>
      <c r="Y257" s="140"/>
      <c r="Z257" s="140"/>
      <c r="AA257" s="140"/>
      <c r="AB257" s="140"/>
    </row>
    <row r="258">
      <c r="A258" s="133">
        <v>45948.0</v>
      </c>
      <c r="B258" s="134" t="s">
        <v>1166</v>
      </c>
      <c r="C258" s="134" t="s">
        <v>6606</v>
      </c>
      <c r="D258" s="134" t="s">
        <v>6607</v>
      </c>
      <c r="E258" s="134" t="s">
        <v>6608</v>
      </c>
      <c r="F258" s="135">
        <v>1.0</v>
      </c>
      <c r="G258" s="136">
        <v>14.45</v>
      </c>
      <c r="H258" s="142"/>
      <c r="I258" s="136">
        <v>0.0</v>
      </c>
      <c r="J258" s="137">
        <v>14.45</v>
      </c>
      <c r="K258" s="137">
        <v>14.45</v>
      </c>
      <c r="L258" s="134" t="s">
        <v>46</v>
      </c>
      <c r="M258" s="138" t="s">
        <v>46</v>
      </c>
      <c r="N258" s="129"/>
      <c r="O258" s="140"/>
      <c r="P258" s="135" t="s">
        <v>6609</v>
      </c>
      <c r="Q258" s="76" t="s">
        <v>22</v>
      </c>
      <c r="R258" s="135" t="s">
        <v>6610</v>
      </c>
      <c r="S258" s="140"/>
      <c r="T258" s="140"/>
      <c r="U258" s="140"/>
      <c r="V258" s="140"/>
      <c r="W258" s="140"/>
      <c r="X258" s="140"/>
      <c r="Y258" s="140"/>
      <c r="Z258" s="140"/>
      <c r="AA258" s="140"/>
      <c r="AB258" s="140"/>
    </row>
    <row r="259">
      <c r="A259" s="133">
        <v>45962.0</v>
      </c>
      <c r="B259" s="134" t="s">
        <v>1166</v>
      </c>
      <c r="C259" s="134" t="s">
        <v>6606</v>
      </c>
      <c r="D259" s="134" t="s">
        <v>6607</v>
      </c>
      <c r="E259" s="134" t="s">
        <v>6608</v>
      </c>
      <c r="F259" s="135">
        <v>1.0</v>
      </c>
      <c r="G259" s="136">
        <v>32.0</v>
      </c>
      <c r="H259" s="142"/>
      <c r="I259" s="136">
        <v>0.0</v>
      </c>
      <c r="J259" s="137">
        <v>32.0</v>
      </c>
      <c r="K259" s="137">
        <v>32.0</v>
      </c>
      <c r="L259" s="134" t="s">
        <v>46</v>
      </c>
      <c r="M259" s="138" t="s">
        <v>46</v>
      </c>
      <c r="N259" s="129"/>
      <c r="O259" s="140"/>
      <c r="P259" s="135" t="s">
        <v>6611</v>
      </c>
      <c r="Q259" s="76" t="s">
        <v>22</v>
      </c>
      <c r="R259" s="135" t="s">
        <v>6612</v>
      </c>
      <c r="S259" s="140"/>
      <c r="T259" s="140"/>
      <c r="U259" s="140"/>
      <c r="V259" s="140"/>
      <c r="W259" s="140"/>
      <c r="X259" s="140"/>
      <c r="Y259" s="140"/>
      <c r="Z259" s="140"/>
      <c r="AA259" s="140"/>
      <c r="AB259" s="140"/>
    </row>
    <row r="260">
      <c r="A260" s="133">
        <v>45964.0</v>
      </c>
      <c r="B260" s="134" t="s">
        <v>1166</v>
      </c>
      <c r="C260" s="134" t="s">
        <v>6613</v>
      </c>
      <c r="D260" s="134" t="s">
        <v>6607</v>
      </c>
      <c r="E260" s="134" t="s">
        <v>6608</v>
      </c>
      <c r="F260" s="135">
        <v>1.0</v>
      </c>
      <c r="G260" s="136">
        <v>11.2</v>
      </c>
      <c r="H260" s="142"/>
      <c r="I260" s="136">
        <v>0.0</v>
      </c>
      <c r="J260" s="137">
        <v>11.2</v>
      </c>
      <c r="K260" s="137">
        <v>11.2</v>
      </c>
      <c r="L260" s="134" t="s">
        <v>46</v>
      </c>
      <c r="M260" s="141"/>
      <c r="N260" s="129"/>
      <c r="O260" s="140"/>
      <c r="P260" s="135" t="s">
        <v>6614</v>
      </c>
      <c r="Q260" s="76" t="s">
        <v>22</v>
      </c>
      <c r="R260" s="135" t="s">
        <v>6615</v>
      </c>
      <c r="S260" s="140"/>
      <c r="T260" s="140"/>
      <c r="U260" s="140"/>
      <c r="V260" s="140"/>
      <c r="W260" s="140"/>
      <c r="X260" s="140"/>
      <c r="Y260" s="140"/>
      <c r="Z260" s="140"/>
      <c r="AA260" s="140"/>
      <c r="AB260" s="140"/>
    </row>
    <row r="261">
      <c r="A261" s="133">
        <v>45966.0</v>
      </c>
      <c r="B261" s="134" t="s">
        <v>1166</v>
      </c>
      <c r="C261" s="134" t="s">
        <v>6616</v>
      </c>
      <c r="D261" s="134" t="s">
        <v>6607</v>
      </c>
      <c r="E261" s="134" t="s">
        <v>6608</v>
      </c>
      <c r="F261" s="135">
        <v>1.0</v>
      </c>
      <c r="G261" s="136">
        <v>6.51</v>
      </c>
      <c r="H261" s="142"/>
      <c r="I261" s="136">
        <v>0.0</v>
      </c>
      <c r="J261" s="137">
        <v>6.51</v>
      </c>
      <c r="K261" s="137">
        <v>6.51</v>
      </c>
      <c r="L261" s="146"/>
      <c r="M261" s="141"/>
      <c r="N261" s="129"/>
      <c r="O261" s="140"/>
      <c r="P261" s="135" t="s">
        <v>6617</v>
      </c>
      <c r="Q261" s="76" t="s">
        <v>22</v>
      </c>
      <c r="R261" s="135" t="s">
        <v>6618</v>
      </c>
      <c r="S261" s="140"/>
      <c r="T261" s="140"/>
      <c r="U261" s="140"/>
      <c r="V261" s="140"/>
      <c r="W261" s="140"/>
      <c r="X261" s="140"/>
      <c r="Y261" s="140"/>
      <c r="Z261" s="140"/>
      <c r="AA261" s="140"/>
      <c r="AB261" s="140"/>
    </row>
    <row r="262">
      <c r="A262" s="133">
        <v>45992.0</v>
      </c>
      <c r="B262" s="134" t="s">
        <v>1166</v>
      </c>
      <c r="C262" s="134" t="s">
        <v>6613</v>
      </c>
      <c r="D262" s="134" t="s">
        <v>6607</v>
      </c>
      <c r="E262" s="134" t="s">
        <v>6608</v>
      </c>
      <c r="F262" s="135">
        <v>1.0</v>
      </c>
      <c r="G262" s="136">
        <v>12.0</v>
      </c>
      <c r="H262" s="142"/>
      <c r="I262" s="136">
        <v>0.0</v>
      </c>
      <c r="J262" s="137">
        <v>12.0</v>
      </c>
      <c r="K262" s="137">
        <v>12.0</v>
      </c>
      <c r="L262" s="146"/>
      <c r="M262" s="141"/>
      <c r="N262" s="129"/>
      <c r="O262" s="140"/>
      <c r="P262" s="135" t="s">
        <v>6619</v>
      </c>
      <c r="Q262" s="76" t="s">
        <v>22</v>
      </c>
      <c r="R262" s="135" t="s">
        <v>6620</v>
      </c>
      <c r="S262" s="140"/>
      <c r="T262" s="140"/>
      <c r="U262" s="140"/>
      <c r="V262" s="140"/>
      <c r="W262" s="140"/>
      <c r="X262" s="140"/>
      <c r="Y262" s="140"/>
      <c r="Z262" s="140"/>
      <c r="AA262" s="140"/>
      <c r="AB262" s="140"/>
    </row>
    <row r="263">
      <c r="A263" s="133">
        <v>45992.0</v>
      </c>
      <c r="B263" s="134" t="s">
        <v>1166</v>
      </c>
      <c r="C263" s="134" t="s">
        <v>6606</v>
      </c>
      <c r="D263" s="134" t="s">
        <v>6607</v>
      </c>
      <c r="E263" s="134" t="s">
        <v>6608</v>
      </c>
      <c r="F263" s="135">
        <v>1.0</v>
      </c>
      <c r="G263" s="136">
        <v>32.0</v>
      </c>
      <c r="H263" s="142"/>
      <c r="I263" s="136">
        <v>0.0</v>
      </c>
      <c r="J263" s="137">
        <v>32.0</v>
      </c>
      <c r="K263" s="137">
        <v>32.0</v>
      </c>
      <c r="L263" s="146"/>
      <c r="M263" s="141"/>
      <c r="N263" s="129"/>
      <c r="O263" s="140"/>
      <c r="P263" s="135" t="s">
        <v>6621</v>
      </c>
      <c r="Q263" s="76" t="s">
        <v>22</v>
      </c>
      <c r="R263" s="135" t="s">
        <v>6622</v>
      </c>
      <c r="S263" s="140"/>
      <c r="T263" s="140"/>
      <c r="U263" s="140"/>
      <c r="V263" s="140"/>
      <c r="W263" s="140"/>
      <c r="X263" s="140"/>
      <c r="Y263" s="140"/>
      <c r="Z263" s="140"/>
      <c r="AA263" s="140"/>
      <c r="AB263" s="140"/>
    </row>
    <row r="264">
      <c r="A264" s="133">
        <v>46023.0</v>
      </c>
      <c r="B264" s="134" t="s">
        <v>1166</v>
      </c>
      <c r="C264" s="134" t="s">
        <v>6606</v>
      </c>
      <c r="D264" s="134" t="s">
        <v>6607</v>
      </c>
      <c r="E264" s="134" t="s">
        <v>6608</v>
      </c>
      <c r="F264" s="135">
        <v>1.0</v>
      </c>
      <c r="G264" s="136">
        <v>32.0</v>
      </c>
      <c r="H264" s="142"/>
      <c r="I264" s="136">
        <v>0.0</v>
      </c>
      <c r="J264" s="137">
        <v>32.0</v>
      </c>
      <c r="K264" s="137">
        <v>32.0</v>
      </c>
      <c r="L264" s="146"/>
      <c r="M264" s="141"/>
      <c r="N264" s="129"/>
      <c r="O264" s="140"/>
      <c r="P264" s="135" t="s">
        <v>6623</v>
      </c>
      <c r="Q264" s="76" t="s">
        <v>22</v>
      </c>
      <c r="R264" s="135" t="s">
        <v>6624</v>
      </c>
      <c r="S264" s="140"/>
      <c r="T264" s="140"/>
      <c r="U264" s="140"/>
      <c r="V264" s="140"/>
      <c r="W264" s="140"/>
      <c r="X264" s="140"/>
      <c r="Y264" s="140"/>
      <c r="Z264" s="140"/>
      <c r="AA264" s="140"/>
      <c r="AB264" s="140"/>
    </row>
    <row r="265">
      <c r="A265" s="133">
        <v>46023.0</v>
      </c>
      <c r="B265" s="134" t="s">
        <v>1166</v>
      </c>
      <c r="C265" s="134" t="s">
        <v>6613</v>
      </c>
      <c r="D265" s="134" t="s">
        <v>6607</v>
      </c>
      <c r="E265" s="134" t="s">
        <v>6608</v>
      </c>
      <c r="F265" s="135">
        <v>1.0</v>
      </c>
      <c r="G265" s="136">
        <v>12.0</v>
      </c>
      <c r="H265" s="142"/>
      <c r="I265" s="136">
        <v>0.0</v>
      </c>
      <c r="J265" s="137">
        <v>12.0</v>
      </c>
      <c r="K265" s="137">
        <v>12.0</v>
      </c>
      <c r="L265" s="146"/>
      <c r="M265" s="141"/>
      <c r="N265" s="129"/>
      <c r="O265" s="140"/>
      <c r="P265" s="135" t="s">
        <v>6625</v>
      </c>
      <c r="Q265" s="76" t="s">
        <v>22</v>
      </c>
      <c r="R265" s="135" t="s">
        <v>6626</v>
      </c>
      <c r="S265" s="140"/>
      <c r="T265" s="140"/>
      <c r="U265" s="140"/>
      <c r="V265" s="140"/>
      <c r="W265" s="140"/>
      <c r="X265" s="140"/>
      <c r="Y265" s="140"/>
      <c r="Z265" s="140"/>
      <c r="AA265" s="140"/>
      <c r="AB265" s="140"/>
    </row>
    <row r="266">
      <c r="A266" s="133">
        <v>46054.0</v>
      </c>
      <c r="B266" s="134" t="s">
        <v>1166</v>
      </c>
      <c r="C266" s="134" t="s">
        <v>6606</v>
      </c>
      <c r="D266" s="134" t="s">
        <v>6607</v>
      </c>
      <c r="E266" s="134" t="s">
        <v>6608</v>
      </c>
      <c r="F266" s="135">
        <v>1.0</v>
      </c>
      <c r="G266" s="136">
        <v>32.0</v>
      </c>
      <c r="H266" s="142"/>
      <c r="I266" s="136">
        <v>0.0</v>
      </c>
      <c r="J266" s="137">
        <v>32.0</v>
      </c>
      <c r="K266" s="137">
        <v>32.0</v>
      </c>
      <c r="L266" s="146"/>
      <c r="M266" s="141"/>
      <c r="N266" s="129"/>
      <c r="O266" s="140"/>
      <c r="P266" s="135" t="s">
        <v>6627</v>
      </c>
      <c r="Q266" s="76" t="s">
        <v>22</v>
      </c>
      <c r="R266" s="135" t="s">
        <v>6628</v>
      </c>
      <c r="S266" s="140"/>
      <c r="T266" s="140"/>
      <c r="U266" s="140"/>
      <c r="V266" s="140"/>
      <c r="W266" s="140"/>
      <c r="X266" s="140"/>
      <c r="Y266" s="140"/>
      <c r="Z266" s="140"/>
      <c r="AA266" s="140"/>
      <c r="AB266" s="140"/>
    </row>
    <row r="267">
      <c r="A267" s="133">
        <v>46082.0</v>
      </c>
      <c r="B267" s="134" t="s">
        <v>1166</v>
      </c>
      <c r="C267" s="134" t="s">
        <v>6606</v>
      </c>
      <c r="D267" s="134" t="s">
        <v>6607</v>
      </c>
      <c r="E267" s="134" t="s">
        <v>6608</v>
      </c>
      <c r="F267" s="135">
        <v>1.0</v>
      </c>
      <c r="G267" s="136">
        <v>32.0</v>
      </c>
      <c r="H267" s="142"/>
      <c r="I267" s="136">
        <v>0.0</v>
      </c>
      <c r="J267" s="137">
        <v>32.0</v>
      </c>
      <c r="K267" s="137">
        <v>32.0</v>
      </c>
      <c r="L267" s="146"/>
      <c r="M267" s="141"/>
      <c r="N267" s="129"/>
      <c r="O267" s="140"/>
      <c r="P267" s="135" t="s">
        <v>6629</v>
      </c>
      <c r="Q267" s="76" t="s">
        <v>22</v>
      </c>
      <c r="R267" s="135" t="s">
        <v>6630</v>
      </c>
      <c r="S267" s="140"/>
      <c r="T267" s="140"/>
      <c r="U267" s="140"/>
      <c r="V267" s="140"/>
      <c r="W267" s="140"/>
      <c r="X267" s="140"/>
      <c r="Y267" s="140"/>
      <c r="Z267" s="140"/>
      <c r="AA267" s="140"/>
      <c r="AB267" s="140"/>
    </row>
    <row r="268">
      <c r="A268" s="133">
        <v>46139.0</v>
      </c>
      <c r="B268" s="134" t="s">
        <v>6631</v>
      </c>
      <c r="C268" s="134" t="s">
        <v>6390</v>
      </c>
      <c r="D268" s="134" t="s">
        <v>6336</v>
      </c>
      <c r="E268" s="134" t="s">
        <v>6632</v>
      </c>
      <c r="F268" s="135">
        <v>1.0</v>
      </c>
      <c r="G268" s="136">
        <v>6.15</v>
      </c>
      <c r="H268" s="142"/>
      <c r="I268" s="136">
        <v>6.15</v>
      </c>
      <c r="J268" s="137">
        <v>0.0</v>
      </c>
      <c r="K268" s="137">
        <v>0.0</v>
      </c>
      <c r="L268" s="134" t="s">
        <v>1166</v>
      </c>
      <c r="M268" s="138" t="s">
        <v>46</v>
      </c>
      <c r="N268" s="129"/>
      <c r="O268" s="140"/>
      <c r="P268" s="135" t="s">
        <v>6633</v>
      </c>
      <c r="Q268" s="76" t="s">
        <v>22</v>
      </c>
      <c r="R268" s="140"/>
      <c r="S268" s="140"/>
      <c r="T268" s="140"/>
      <c r="U268" s="140"/>
      <c r="V268" s="140"/>
      <c r="W268" s="140"/>
      <c r="X268" s="140"/>
      <c r="Y268" s="140"/>
      <c r="Z268" s="140"/>
      <c r="AA268" s="140"/>
      <c r="AB268" s="140"/>
    </row>
    <row r="269">
      <c r="A269" s="133">
        <v>46139.0</v>
      </c>
      <c r="B269" s="134" t="s">
        <v>49</v>
      </c>
      <c r="C269" s="134" t="s">
        <v>6634</v>
      </c>
      <c r="D269" s="134" t="s">
        <v>5981</v>
      </c>
      <c r="E269" s="134" t="s">
        <v>6635</v>
      </c>
      <c r="F269" s="135">
        <v>1.0</v>
      </c>
      <c r="G269" s="136">
        <v>30.14</v>
      </c>
      <c r="H269" s="142"/>
      <c r="I269" s="136">
        <v>0.0</v>
      </c>
      <c r="J269" s="137">
        <v>30.14</v>
      </c>
      <c r="K269" s="137">
        <v>30.14</v>
      </c>
      <c r="L269" s="134" t="s">
        <v>45</v>
      </c>
      <c r="M269" s="138" t="s">
        <v>46</v>
      </c>
      <c r="N269" s="129"/>
      <c r="O269" s="140"/>
      <c r="P269" s="135" t="s">
        <v>6636</v>
      </c>
      <c r="Q269" s="76" t="s">
        <v>22</v>
      </c>
      <c r="R269" s="135" t="s">
        <v>6637</v>
      </c>
      <c r="S269" s="140"/>
      <c r="T269" s="140"/>
      <c r="U269" s="140"/>
      <c r="V269" s="140"/>
      <c r="W269" s="140"/>
      <c r="X269" s="140"/>
      <c r="Y269" s="140"/>
      <c r="Z269" s="140"/>
      <c r="AA269" s="140"/>
      <c r="AB269" s="140"/>
    </row>
    <row r="270">
      <c r="A270" s="133">
        <v>46075.0</v>
      </c>
      <c r="B270" s="134" t="s">
        <v>6369</v>
      </c>
      <c r="C270" s="134" t="s">
        <v>6369</v>
      </c>
      <c r="D270" s="134" t="s">
        <v>6638</v>
      </c>
      <c r="E270" s="134" t="s">
        <v>6639</v>
      </c>
      <c r="F270" s="135">
        <v>12.0</v>
      </c>
      <c r="G270" s="136">
        <v>43.08</v>
      </c>
      <c r="H270" s="142"/>
      <c r="I270" s="136">
        <v>0.0</v>
      </c>
      <c r="J270" s="137">
        <v>3.59</v>
      </c>
      <c r="K270" s="137">
        <v>43.08</v>
      </c>
      <c r="L270" s="146"/>
      <c r="M270" s="141"/>
      <c r="N270" s="129"/>
      <c r="O270" s="140"/>
      <c r="P270" s="135" t="s">
        <v>6640</v>
      </c>
      <c r="Q270" s="76" t="s">
        <v>22</v>
      </c>
      <c r="R270" s="135" t="s">
        <v>6641</v>
      </c>
      <c r="S270" s="140"/>
      <c r="T270" s="140"/>
      <c r="U270" s="140"/>
      <c r="V270" s="140"/>
      <c r="W270" s="140"/>
      <c r="X270" s="140"/>
      <c r="Y270" s="140"/>
      <c r="Z270" s="140"/>
      <c r="AA270" s="140"/>
      <c r="AB270" s="140"/>
    </row>
    <row r="271">
      <c r="A271" s="145"/>
      <c r="B271" s="146"/>
      <c r="C271" s="146"/>
      <c r="D271" s="146"/>
      <c r="E271" s="146"/>
      <c r="F271" s="140"/>
      <c r="G271" s="142"/>
      <c r="H271" s="142"/>
      <c r="I271" s="142"/>
      <c r="J271" s="137" t="s">
        <v>39</v>
      </c>
      <c r="K271" s="137" t="s">
        <v>39</v>
      </c>
      <c r="L271" s="146"/>
      <c r="M271" s="141"/>
      <c r="N271" s="129"/>
      <c r="O271" s="140"/>
      <c r="P271" s="140" t="s">
        <v>39</v>
      </c>
      <c r="Q271" s="76"/>
      <c r="R271" s="140"/>
      <c r="S271" s="140"/>
      <c r="T271" s="140"/>
      <c r="U271" s="140"/>
      <c r="V271" s="140"/>
      <c r="W271" s="140"/>
      <c r="X271" s="140"/>
      <c r="Y271" s="140"/>
      <c r="Z271" s="140"/>
      <c r="AA271" s="140"/>
      <c r="AB271" s="140"/>
    </row>
    <row r="272">
      <c r="A272" s="145"/>
      <c r="B272" s="146"/>
      <c r="C272" s="146"/>
      <c r="D272" s="146"/>
      <c r="E272" s="146"/>
      <c r="F272" s="140"/>
      <c r="G272" s="142"/>
      <c r="H272" s="142"/>
      <c r="I272" s="142"/>
      <c r="J272" s="137" t="s">
        <v>39</v>
      </c>
      <c r="K272" s="137" t="s">
        <v>39</v>
      </c>
      <c r="L272" s="146"/>
      <c r="M272" s="141"/>
      <c r="N272" s="129"/>
      <c r="O272" s="140"/>
      <c r="P272" s="140" t="s">
        <v>39</v>
      </c>
      <c r="Q272" s="76"/>
      <c r="R272" s="140"/>
      <c r="S272" s="140"/>
      <c r="T272" s="140"/>
      <c r="U272" s="140"/>
      <c r="V272" s="140"/>
      <c r="W272" s="140"/>
      <c r="X272" s="140"/>
      <c r="Y272" s="140"/>
      <c r="Z272" s="140"/>
      <c r="AA272" s="140"/>
      <c r="AB272" s="140"/>
    </row>
    <row r="273">
      <c r="A273" s="145"/>
      <c r="B273" s="146"/>
      <c r="C273" s="146"/>
      <c r="D273" s="146"/>
      <c r="E273" s="146"/>
      <c r="F273" s="140"/>
      <c r="G273" s="142"/>
      <c r="H273" s="142"/>
      <c r="I273" s="142"/>
      <c r="J273" s="137" t="s">
        <v>39</v>
      </c>
      <c r="K273" s="137" t="s">
        <v>39</v>
      </c>
      <c r="L273" s="146"/>
      <c r="M273" s="141"/>
      <c r="N273" s="129"/>
      <c r="O273" s="140"/>
      <c r="P273" s="140" t="s">
        <v>39</v>
      </c>
      <c r="Q273" s="76"/>
      <c r="R273" s="140"/>
      <c r="S273" s="140"/>
      <c r="T273" s="140"/>
      <c r="U273" s="140"/>
      <c r="V273" s="140"/>
      <c r="W273" s="140"/>
      <c r="X273" s="140"/>
      <c r="Y273" s="140"/>
      <c r="Z273" s="140"/>
      <c r="AA273" s="140"/>
      <c r="AB273" s="140"/>
    </row>
    <row r="274">
      <c r="A274" s="145"/>
      <c r="B274" s="146"/>
      <c r="C274" s="146"/>
      <c r="D274" s="146"/>
      <c r="E274" s="146"/>
      <c r="F274" s="140"/>
      <c r="G274" s="142"/>
      <c r="H274" s="142"/>
      <c r="I274" s="142"/>
      <c r="J274" s="137" t="s">
        <v>39</v>
      </c>
      <c r="K274" s="137" t="s">
        <v>39</v>
      </c>
      <c r="L274" s="146"/>
      <c r="M274" s="141"/>
      <c r="N274" s="129"/>
      <c r="O274" s="140"/>
      <c r="P274" s="140" t="s">
        <v>39</v>
      </c>
      <c r="Q274" s="76"/>
      <c r="R274" s="140"/>
      <c r="S274" s="140"/>
      <c r="T274" s="140"/>
      <c r="U274" s="140"/>
      <c r="V274" s="140"/>
      <c r="W274" s="140"/>
      <c r="X274" s="140"/>
      <c r="Y274" s="140"/>
      <c r="Z274" s="140"/>
      <c r="AA274" s="140"/>
      <c r="AB274" s="140"/>
    </row>
    <row r="275">
      <c r="A275" s="145"/>
      <c r="B275" s="146"/>
      <c r="C275" s="146"/>
      <c r="D275" s="146"/>
      <c r="E275" s="146"/>
      <c r="F275" s="140"/>
      <c r="G275" s="142"/>
      <c r="H275" s="142"/>
      <c r="I275" s="142"/>
      <c r="J275" s="137" t="s">
        <v>39</v>
      </c>
      <c r="K275" s="137" t="s">
        <v>39</v>
      </c>
      <c r="L275" s="146"/>
      <c r="M275" s="141"/>
      <c r="N275" s="129"/>
      <c r="O275" s="140"/>
      <c r="P275" s="140" t="s">
        <v>39</v>
      </c>
      <c r="Q275" s="76"/>
      <c r="R275" s="140"/>
      <c r="S275" s="140"/>
      <c r="T275" s="140"/>
      <c r="U275" s="140"/>
      <c r="V275" s="140"/>
      <c r="W275" s="140"/>
      <c r="X275" s="140"/>
      <c r="Y275" s="140"/>
      <c r="Z275" s="140"/>
      <c r="AA275" s="140"/>
      <c r="AB275" s="140"/>
    </row>
    <row r="276">
      <c r="A276" s="145"/>
      <c r="B276" s="146"/>
      <c r="C276" s="146"/>
      <c r="D276" s="146"/>
      <c r="E276" s="146"/>
      <c r="F276" s="140"/>
      <c r="G276" s="142"/>
      <c r="H276" s="142"/>
      <c r="I276" s="142"/>
      <c r="J276" s="137" t="s">
        <v>39</v>
      </c>
      <c r="K276" s="137" t="s">
        <v>39</v>
      </c>
      <c r="L276" s="146"/>
      <c r="M276" s="141"/>
      <c r="N276" s="129"/>
      <c r="O276" s="140"/>
      <c r="P276" s="140" t="s">
        <v>39</v>
      </c>
      <c r="Q276" s="76"/>
      <c r="R276" s="140"/>
      <c r="S276" s="140"/>
      <c r="T276" s="140"/>
      <c r="U276" s="140"/>
      <c r="V276" s="140"/>
      <c r="W276" s="140"/>
      <c r="X276" s="140"/>
      <c r="Y276" s="140"/>
      <c r="Z276" s="140"/>
      <c r="AA276" s="140"/>
      <c r="AB276" s="140"/>
    </row>
    <row r="277">
      <c r="A277" s="145"/>
      <c r="B277" s="146"/>
      <c r="C277" s="146"/>
      <c r="D277" s="146"/>
      <c r="E277" s="146"/>
      <c r="F277" s="140"/>
      <c r="G277" s="142"/>
      <c r="H277" s="142"/>
      <c r="I277" s="142"/>
      <c r="J277" s="137" t="s">
        <v>39</v>
      </c>
      <c r="K277" s="137" t="s">
        <v>39</v>
      </c>
      <c r="L277" s="146"/>
      <c r="M277" s="141"/>
      <c r="N277" s="129"/>
      <c r="O277" s="140"/>
      <c r="P277" s="140" t="s">
        <v>39</v>
      </c>
      <c r="Q277" s="76"/>
      <c r="R277" s="140"/>
      <c r="S277" s="140"/>
      <c r="T277" s="140"/>
      <c r="U277" s="140"/>
      <c r="V277" s="140"/>
      <c r="W277" s="140"/>
      <c r="X277" s="140"/>
      <c r="Y277" s="140"/>
      <c r="Z277" s="140"/>
      <c r="AA277" s="140"/>
      <c r="AB277" s="140"/>
    </row>
    <row r="278">
      <c r="A278" s="145"/>
      <c r="B278" s="146"/>
      <c r="C278" s="146"/>
      <c r="D278" s="146"/>
      <c r="E278" s="146"/>
      <c r="F278" s="140"/>
      <c r="G278" s="142"/>
      <c r="H278" s="142"/>
      <c r="I278" s="142"/>
      <c r="J278" s="137" t="s">
        <v>39</v>
      </c>
      <c r="K278" s="137" t="s">
        <v>39</v>
      </c>
      <c r="L278" s="146"/>
      <c r="M278" s="141"/>
      <c r="N278" s="129"/>
      <c r="O278" s="140"/>
      <c r="P278" s="140" t="s">
        <v>39</v>
      </c>
      <c r="Q278" s="76"/>
      <c r="R278" s="140"/>
      <c r="S278" s="140"/>
      <c r="T278" s="140"/>
      <c r="U278" s="140"/>
      <c r="V278" s="140"/>
      <c r="W278" s="140"/>
      <c r="X278" s="140"/>
      <c r="Y278" s="140"/>
      <c r="Z278" s="140"/>
      <c r="AA278" s="140"/>
      <c r="AB278" s="140"/>
    </row>
    <row r="279">
      <c r="A279" s="145"/>
      <c r="B279" s="146"/>
      <c r="C279" s="146"/>
      <c r="D279" s="146"/>
      <c r="E279" s="146"/>
      <c r="F279" s="140"/>
      <c r="G279" s="142"/>
      <c r="H279" s="142"/>
      <c r="I279" s="142"/>
      <c r="J279" s="137" t="s">
        <v>39</v>
      </c>
      <c r="K279" s="137" t="s">
        <v>39</v>
      </c>
      <c r="L279" s="146"/>
      <c r="M279" s="141"/>
      <c r="N279" s="129"/>
      <c r="O279" s="140"/>
      <c r="P279" s="140" t="s">
        <v>39</v>
      </c>
      <c r="Q279" s="76"/>
      <c r="R279" s="140"/>
      <c r="S279" s="140"/>
      <c r="T279" s="140"/>
      <c r="U279" s="140"/>
      <c r="V279" s="140"/>
      <c r="W279" s="140"/>
      <c r="X279" s="140"/>
      <c r="Y279" s="140"/>
      <c r="Z279" s="140"/>
      <c r="AA279" s="140"/>
      <c r="AB279" s="140"/>
    </row>
    <row r="280">
      <c r="A280" s="145"/>
      <c r="B280" s="146"/>
      <c r="C280" s="146"/>
      <c r="D280" s="146"/>
      <c r="E280" s="146"/>
      <c r="F280" s="140"/>
      <c r="G280" s="142"/>
      <c r="H280" s="142"/>
      <c r="I280" s="142"/>
      <c r="J280" s="137" t="s">
        <v>39</v>
      </c>
      <c r="K280" s="137" t="s">
        <v>39</v>
      </c>
      <c r="L280" s="146"/>
      <c r="M280" s="141"/>
      <c r="N280" s="129"/>
      <c r="O280" s="140"/>
      <c r="P280" s="140" t="s">
        <v>39</v>
      </c>
      <c r="Q280" s="76"/>
      <c r="R280" s="140"/>
      <c r="S280" s="140"/>
      <c r="T280" s="140"/>
      <c r="U280" s="140"/>
      <c r="V280" s="140"/>
      <c r="W280" s="140"/>
      <c r="X280" s="140"/>
      <c r="Y280" s="140"/>
      <c r="Z280" s="140"/>
      <c r="AA280" s="140"/>
      <c r="AB280" s="140"/>
    </row>
    <row r="281">
      <c r="A281" s="145"/>
      <c r="B281" s="146"/>
      <c r="C281" s="146"/>
      <c r="D281" s="146"/>
      <c r="E281" s="146"/>
      <c r="F281" s="140"/>
      <c r="G281" s="142"/>
      <c r="H281" s="142"/>
      <c r="I281" s="142"/>
      <c r="J281" s="137" t="s">
        <v>39</v>
      </c>
      <c r="K281" s="137" t="s">
        <v>39</v>
      </c>
      <c r="L281" s="146"/>
      <c r="M281" s="141"/>
      <c r="N281" s="129"/>
      <c r="O281" s="140"/>
      <c r="P281" s="140" t="s">
        <v>39</v>
      </c>
      <c r="Q281" s="76"/>
      <c r="R281" s="140"/>
      <c r="S281" s="140"/>
      <c r="T281" s="140"/>
      <c r="U281" s="140"/>
      <c r="V281" s="140"/>
      <c r="W281" s="140"/>
      <c r="X281" s="140"/>
      <c r="Y281" s="140"/>
      <c r="Z281" s="140"/>
      <c r="AA281" s="140"/>
      <c r="AB281" s="140"/>
    </row>
    <row r="282">
      <c r="A282" s="145"/>
      <c r="B282" s="146"/>
      <c r="C282" s="146"/>
      <c r="D282" s="146"/>
      <c r="E282" s="146"/>
      <c r="F282" s="140"/>
      <c r="G282" s="142"/>
      <c r="H282" s="142"/>
      <c r="I282" s="142"/>
      <c r="J282" s="137" t="s">
        <v>39</v>
      </c>
      <c r="K282" s="137" t="s">
        <v>39</v>
      </c>
      <c r="L282" s="146"/>
      <c r="M282" s="141"/>
      <c r="N282" s="129"/>
      <c r="O282" s="140"/>
      <c r="P282" s="140" t="s">
        <v>39</v>
      </c>
      <c r="Q282" s="76"/>
      <c r="R282" s="140"/>
      <c r="S282" s="140"/>
      <c r="T282" s="140"/>
      <c r="U282" s="140"/>
      <c r="V282" s="140"/>
      <c r="W282" s="140"/>
      <c r="X282" s="140"/>
      <c r="Y282" s="140"/>
      <c r="Z282" s="140"/>
      <c r="AA282" s="140"/>
      <c r="AB282" s="140"/>
    </row>
    <row r="283">
      <c r="A283" s="145"/>
      <c r="B283" s="146"/>
      <c r="C283" s="146"/>
      <c r="D283" s="146"/>
      <c r="E283" s="146"/>
      <c r="F283" s="140"/>
      <c r="G283" s="142"/>
      <c r="H283" s="142"/>
      <c r="I283" s="142"/>
      <c r="J283" s="137" t="s">
        <v>39</v>
      </c>
      <c r="K283" s="137" t="s">
        <v>39</v>
      </c>
      <c r="L283" s="146"/>
      <c r="M283" s="141"/>
      <c r="N283" s="129"/>
      <c r="O283" s="140"/>
      <c r="P283" s="140" t="s">
        <v>39</v>
      </c>
      <c r="Q283" s="76"/>
      <c r="R283" s="140"/>
      <c r="S283" s="140"/>
      <c r="T283" s="140"/>
      <c r="U283" s="140"/>
      <c r="V283" s="140"/>
      <c r="W283" s="140"/>
      <c r="X283" s="140"/>
      <c r="Y283" s="140"/>
      <c r="Z283" s="140"/>
      <c r="AA283" s="140"/>
      <c r="AB283" s="140"/>
    </row>
    <row r="284">
      <c r="A284" s="145"/>
      <c r="B284" s="146"/>
      <c r="C284" s="146"/>
      <c r="D284" s="146"/>
      <c r="E284" s="146"/>
      <c r="F284" s="140"/>
      <c r="G284" s="142"/>
      <c r="H284" s="142"/>
      <c r="I284" s="142"/>
      <c r="J284" s="137" t="s">
        <v>39</v>
      </c>
      <c r="K284" s="137" t="s">
        <v>39</v>
      </c>
      <c r="L284" s="146"/>
      <c r="M284" s="141"/>
      <c r="N284" s="129"/>
      <c r="O284" s="140"/>
      <c r="P284" s="140" t="s">
        <v>39</v>
      </c>
      <c r="Q284" s="76"/>
      <c r="R284" s="140"/>
      <c r="S284" s="140"/>
      <c r="T284" s="140"/>
      <c r="U284" s="140"/>
      <c r="V284" s="140"/>
      <c r="W284" s="140"/>
      <c r="X284" s="140"/>
      <c r="Y284" s="140"/>
      <c r="Z284" s="140"/>
      <c r="AA284" s="140"/>
      <c r="AB284" s="140"/>
    </row>
    <row r="285">
      <c r="A285" s="145"/>
      <c r="B285" s="146"/>
      <c r="C285" s="146"/>
      <c r="D285" s="146"/>
      <c r="E285" s="146"/>
      <c r="F285" s="140"/>
      <c r="G285" s="142"/>
      <c r="H285" s="142"/>
      <c r="I285" s="142"/>
      <c r="J285" s="137" t="s">
        <v>39</v>
      </c>
      <c r="K285" s="137" t="s">
        <v>39</v>
      </c>
      <c r="L285" s="146"/>
      <c r="M285" s="141"/>
      <c r="N285" s="129"/>
      <c r="O285" s="140"/>
      <c r="P285" s="140" t="s">
        <v>39</v>
      </c>
      <c r="Q285" s="76"/>
      <c r="R285" s="140"/>
      <c r="S285" s="140"/>
      <c r="T285" s="140"/>
      <c r="U285" s="140"/>
      <c r="V285" s="140"/>
      <c r="W285" s="140"/>
      <c r="X285" s="140"/>
      <c r="Y285" s="140"/>
      <c r="Z285" s="140"/>
      <c r="AA285" s="140"/>
      <c r="AB285" s="140"/>
    </row>
    <row r="286">
      <c r="A286" s="145"/>
      <c r="B286" s="146"/>
      <c r="C286" s="146"/>
      <c r="D286" s="146"/>
      <c r="E286" s="146"/>
      <c r="F286" s="140"/>
      <c r="G286" s="142"/>
      <c r="H286" s="142"/>
      <c r="I286" s="142"/>
      <c r="J286" s="137" t="s">
        <v>39</v>
      </c>
      <c r="K286" s="137" t="s">
        <v>39</v>
      </c>
      <c r="L286" s="146"/>
      <c r="M286" s="141"/>
      <c r="N286" s="129"/>
      <c r="O286" s="140"/>
      <c r="P286" s="140" t="s">
        <v>39</v>
      </c>
      <c r="Q286" s="76"/>
      <c r="R286" s="140"/>
      <c r="S286" s="140"/>
      <c r="T286" s="140"/>
      <c r="U286" s="140"/>
      <c r="V286" s="140"/>
      <c r="W286" s="140"/>
      <c r="X286" s="140"/>
      <c r="Y286" s="140"/>
      <c r="Z286" s="140"/>
      <c r="AA286" s="140"/>
      <c r="AB286" s="140"/>
    </row>
    <row r="287">
      <c r="A287" s="145"/>
      <c r="B287" s="146"/>
      <c r="C287" s="146"/>
      <c r="D287" s="146"/>
      <c r="E287" s="146"/>
      <c r="F287" s="140"/>
      <c r="G287" s="142"/>
      <c r="H287" s="142"/>
      <c r="I287" s="142"/>
      <c r="J287" s="137" t="s">
        <v>39</v>
      </c>
      <c r="K287" s="137" t="s">
        <v>39</v>
      </c>
      <c r="L287" s="146"/>
      <c r="M287" s="141"/>
      <c r="N287" s="129"/>
      <c r="O287" s="140"/>
      <c r="P287" s="140" t="s">
        <v>39</v>
      </c>
      <c r="Q287" s="76"/>
      <c r="R287" s="140"/>
      <c r="S287" s="140"/>
      <c r="T287" s="140"/>
      <c r="U287" s="140"/>
      <c r="V287" s="140"/>
      <c r="W287" s="140"/>
      <c r="X287" s="140"/>
      <c r="Y287" s="140"/>
      <c r="Z287" s="140"/>
      <c r="AA287" s="140"/>
      <c r="AB287" s="140"/>
    </row>
    <row r="288">
      <c r="A288" s="145"/>
      <c r="B288" s="146"/>
      <c r="C288" s="146"/>
      <c r="D288" s="146"/>
      <c r="E288" s="146"/>
      <c r="F288" s="140"/>
      <c r="G288" s="142"/>
      <c r="H288" s="142"/>
      <c r="I288" s="142"/>
      <c r="J288" s="137" t="s">
        <v>39</v>
      </c>
      <c r="K288" s="137" t="s">
        <v>39</v>
      </c>
      <c r="L288" s="146"/>
      <c r="M288" s="141"/>
      <c r="N288" s="129"/>
      <c r="O288" s="140"/>
      <c r="P288" s="140" t="s">
        <v>39</v>
      </c>
      <c r="Q288" s="76"/>
      <c r="R288" s="140"/>
      <c r="S288" s="140"/>
      <c r="T288" s="140"/>
      <c r="U288" s="140"/>
      <c r="V288" s="140"/>
      <c r="W288" s="140"/>
      <c r="X288" s="140"/>
      <c r="Y288" s="140"/>
      <c r="Z288" s="140"/>
      <c r="AA288" s="140"/>
      <c r="AB288" s="140"/>
    </row>
    <row r="289">
      <c r="A289" s="145"/>
      <c r="B289" s="146"/>
      <c r="C289" s="146"/>
      <c r="D289" s="146"/>
      <c r="E289" s="146"/>
      <c r="F289" s="140"/>
      <c r="G289" s="142"/>
      <c r="H289" s="142"/>
      <c r="I289" s="142"/>
      <c r="J289" s="137" t="s">
        <v>39</v>
      </c>
      <c r="K289" s="137" t="s">
        <v>39</v>
      </c>
      <c r="L289" s="146"/>
      <c r="M289" s="141"/>
      <c r="N289" s="129"/>
      <c r="O289" s="140"/>
      <c r="P289" s="140" t="s">
        <v>39</v>
      </c>
      <c r="Q289" s="76"/>
      <c r="R289" s="140"/>
      <c r="S289" s="140"/>
      <c r="T289" s="140"/>
      <c r="U289" s="140"/>
      <c r="V289" s="140"/>
      <c r="W289" s="140"/>
      <c r="X289" s="140"/>
      <c r="Y289" s="140"/>
      <c r="Z289" s="140"/>
      <c r="AA289" s="140"/>
      <c r="AB289" s="140"/>
    </row>
    <row r="290">
      <c r="A290" s="145"/>
      <c r="B290" s="146"/>
      <c r="C290" s="146"/>
      <c r="D290" s="146"/>
      <c r="E290" s="146"/>
      <c r="F290" s="140"/>
      <c r="G290" s="142"/>
      <c r="H290" s="142"/>
      <c r="I290" s="142"/>
      <c r="J290" s="137" t="s">
        <v>39</v>
      </c>
      <c r="K290" s="137" t="s">
        <v>39</v>
      </c>
      <c r="L290" s="146"/>
      <c r="M290" s="141"/>
      <c r="N290" s="129"/>
      <c r="O290" s="140"/>
      <c r="P290" s="140" t="s">
        <v>39</v>
      </c>
      <c r="Q290" s="76"/>
      <c r="R290" s="140"/>
      <c r="S290" s="140"/>
      <c r="T290" s="140"/>
      <c r="U290" s="140"/>
      <c r="V290" s="140"/>
      <c r="W290" s="140"/>
      <c r="X290" s="140"/>
      <c r="Y290" s="140"/>
      <c r="Z290" s="140"/>
      <c r="AA290" s="140"/>
      <c r="AB290" s="140"/>
    </row>
    <row r="291">
      <c r="A291" s="145"/>
      <c r="B291" s="146"/>
      <c r="C291" s="146"/>
      <c r="D291" s="146"/>
      <c r="E291" s="146"/>
      <c r="F291" s="140"/>
      <c r="G291" s="142"/>
      <c r="H291" s="142"/>
      <c r="I291" s="142"/>
      <c r="J291" s="137" t="s">
        <v>39</v>
      </c>
      <c r="K291" s="137" t="s">
        <v>39</v>
      </c>
      <c r="L291" s="146"/>
      <c r="M291" s="141"/>
      <c r="N291" s="129"/>
      <c r="O291" s="140"/>
      <c r="P291" s="140" t="s">
        <v>39</v>
      </c>
      <c r="Q291" s="76"/>
      <c r="R291" s="140"/>
      <c r="S291" s="140"/>
      <c r="T291" s="140"/>
      <c r="U291" s="140"/>
      <c r="V291" s="140"/>
      <c r="W291" s="140"/>
      <c r="X291" s="140"/>
      <c r="Y291" s="140"/>
      <c r="Z291" s="140"/>
      <c r="AA291" s="140"/>
      <c r="AB291" s="140"/>
    </row>
    <row r="292">
      <c r="A292" s="145"/>
      <c r="B292" s="146"/>
      <c r="C292" s="146"/>
      <c r="D292" s="146"/>
      <c r="E292" s="146"/>
      <c r="F292" s="140"/>
      <c r="G292" s="142"/>
      <c r="H292" s="142"/>
      <c r="I292" s="142"/>
      <c r="J292" s="137" t="s">
        <v>39</v>
      </c>
      <c r="K292" s="137" t="s">
        <v>39</v>
      </c>
      <c r="L292" s="146"/>
      <c r="M292" s="141"/>
      <c r="N292" s="129"/>
      <c r="O292" s="140"/>
      <c r="P292" s="140" t="s">
        <v>39</v>
      </c>
      <c r="Q292" s="76"/>
      <c r="R292" s="140"/>
      <c r="S292" s="140"/>
      <c r="T292" s="140"/>
      <c r="U292" s="140"/>
      <c r="V292" s="140"/>
      <c r="W292" s="140"/>
      <c r="X292" s="140"/>
      <c r="Y292" s="140"/>
      <c r="Z292" s="140"/>
      <c r="AA292" s="140"/>
      <c r="AB292" s="140"/>
    </row>
    <row r="293">
      <c r="A293" s="145"/>
      <c r="B293" s="146"/>
      <c r="C293" s="146"/>
      <c r="D293" s="146"/>
      <c r="E293" s="146"/>
      <c r="F293" s="140"/>
      <c r="G293" s="142"/>
      <c r="H293" s="142"/>
      <c r="I293" s="142"/>
      <c r="J293" s="137" t="s">
        <v>39</v>
      </c>
      <c r="K293" s="137" t="s">
        <v>39</v>
      </c>
      <c r="L293" s="146"/>
      <c r="M293" s="141"/>
      <c r="N293" s="129"/>
      <c r="O293" s="140"/>
      <c r="P293" s="140" t="s">
        <v>39</v>
      </c>
      <c r="Q293" s="76"/>
      <c r="R293" s="140"/>
      <c r="S293" s="140"/>
      <c r="T293" s="140"/>
      <c r="U293" s="140"/>
      <c r="V293" s="140"/>
      <c r="W293" s="140"/>
      <c r="X293" s="140"/>
      <c r="Y293" s="140"/>
      <c r="Z293" s="140"/>
      <c r="AA293" s="140"/>
      <c r="AB293" s="140"/>
    </row>
    <row r="294">
      <c r="A294" s="145"/>
      <c r="B294" s="146"/>
      <c r="C294" s="146"/>
      <c r="D294" s="146"/>
      <c r="E294" s="146"/>
      <c r="F294" s="140"/>
      <c r="G294" s="142"/>
      <c r="H294" s="142"/>
      <c r="I294" s="142"/>
      <c r="J294" s="137" t="s">
        <v>39</v>
      </c>
      <c r="K294" s="137" t="s">
        <v>39</v>
      </c>
      <c r="L294" s="146"/>
      <c r="M294" s="141"/>
      <c r="N294" s="129"/>
      <c r="O294" s="140"/>
      <c r="P294" s="140" t="s">
        <v>39</v>
      </c>
      <c r="Q294" s="76"/>
      <c r="R294" s="140"/>
      <c r="S294" s="140"/>
      <c r="T294" s="140"/>
      <c r="U294" s="140"/>
      <c r="V294" s="140"/>
      <c r="W294" s="140"/>
      <c r="X294" s="140"/>
      <c r="Y294" s="140"/>
      <c r="Z294" s="140"/>
      <c r="AA294" s="140"/>
      <c r="AB294" s="140"/>
    </row>
    <row r="295">
      <c r="A295" s="145"/>
      <c r="B295" s="146"/>
      <c r="C295" s="146"/>
      <c r="D295" s="146"/>
      <c r="E295" s="146"/>
      <c r="F295" s="140"/>
      <c r="G295" s="142"/>
      <c r="H295" s="142"/>
      <c r="I295" s="142"/>
      <c r="J295" s="137" t="s">
        <v>39</v>
      </c>
      <c r="K295" s="137" t="s">
        <v>39</v>
      </c>
      <c r="L295" s="146"/>
      <c r="M295" s="141"/>
      <c r="N295" s="129"/>
      <c r="O295" s="140"/>
      <c r="P295" s="140" t="s">
        <v>39</v>
      </c>
      <c r="Q295" s="76"/>
      <c r="R295" s="140"/>
      <c r="S295" s="140"/>
      <c r="T295" s="140"/>
      <c r="U295" s="140"/>
      <c r="V295" s="140"/>
      <c r="W295" s="140"/>
      <c r="X295" s="140"/>
      <c r="Y295" s="140"/>
      <c r="Z295" s="140"/>
      <c r="AA295" s="140"/>
      <c r="AB295" s="140"/>
    </row>
    <row r="296">
      <c r="A296" s="145"/>
      <c r="B296" s="146"/>
      <c r="C296" s="146"/>
      <c r="D296" s="146"/>
      <c r="E296" s="146"/>
      <c r="F296" s="140"/>
      <c r="G296" s="142"/>
      <c r="H296" s="142"/>
      <c r="I296" s="142"/>
      <c r="J296" s="137" t="s">
        <v>39</v>
      </c>
      <c r="K296" s="137" t="s">
        <v>39</v>
      </c>
      <c r="L296" s="146"/>
      <c r="M296" s="141"/>
      <c r="N296" s="129"/>
      <c r="O296" s="140"/>
      <c r="P296" s="140" t="s">
        <v>39</v>
      </c>
      <c r="Q296" s="76"/>
      <c r="R296" s="140"/>
      <c r="S296" s="140"/>
      <c r="T296" s="140"/>
      <c r="U296" s="140"/>
      <c r="V296" s="140"/>
      <c r="W296" s="140"/>
      <c r="X296" s="140"/>
      <c r="Y296" s="140"/>
      <c r="Z296" s="140"/>
      <c r="AA296" s="140"/>
      <c r="AB296" s="140"/>
    </row>
    <row r="297">
      <c r="A297" s="145"/>
      <c r="B297" s="146"/>
      <c r="C297" s="146"/>
      <c r="D297" s="146"/>
      <c r="E297" s="146"/>
      <c r="F297" s="140"/>
      <c r="G297" s="142"/>
      <c r="H297" s="142"/>
      <c r="I297" s="142"/>
      <c r="J297" s="137" t="s">
        <v>39</v>
      </c>
      <c r="K297" s="137" t="s">
        <v>39</v>
      </c>
      <c r="L297" s="146"/>
      <c r="M297" s="141"/>
      <c r="N297" s="129"/>
      <c r="O297" s="140"/>
      <c r="P297" s="140" t="s">
        <v>39</v>
      </c>
      <c r="Q297" s="76"/>
      <c r="R297" s="140"/>
      <c r="S297" s="140"/>
      <c r="T297" s="140"/>
      <c r="U297" s="140"/>
      <c r="V297" s="140"/>
      <c r="W297" s="140"/>
      <c r="X297" s="140"/>
      <c r="Y297" s="140"/>
      <c r="Z297" s="140"/>
      <c r="AA297" s="140"/>
      <c r="AB297" s="140"/>
    </row>
    <row r="298">
      <c r="A298" s="145"/>
      <c r="B298" s="146"/>
      <c r="C298" s="146"/>
      <c r="D298" s="146"/>
      <c r="E298" s="146"/>
      <c r="F298" s="140"/>
      <c r="G298" s="142"/>
      <c r="H298" s="142"/>
      <c r="I298" s="142"/>
      <c r="J298" s="137" t="s">
        <v>39</v>
      </c>
      <c r="K298" s="137" t="s">
        <v>39</v>
      </c>
      <c r="L298" s="146"/>
      <c r="M298" s="141"/>
      <c r="N298" s="129"/>
      <c r="O298" s="140"/>
      <c r="P298" s="140" t="s">
        <v>39</v>
      </c>
      <c r="Q298" s="76"/>
      <c r="R298" s="140"/>
      <c r="S298" s="140"/>
      <c r="T298" s="140"/>
      <c r="U298" s="140"/>
      <c r="V298" s="140"/>
      <c r="W298" s="140"/>
      <c r="X298" s="140"/>
      <c r="Y298" s="140"/>
      <c r="Z298" s="140"/>
      <c r="AA298" s="140"/>
      <c r="AB298" s="140"/>
    </row>
    <row r="299">
      <c r="A299" s="145"/>
      <c r="B299" s="146"/>
      <c r="C299" s="146"/>
      <c r="D299" s="146"/>
      <c r="E299" s="146"/>
      <c r="F299" s="140"/>
      <c r="G299" s="142"/>
      <c r="H299" s="142"/>
      <c r="I299" s="142"/>
      <c r="J299" s="137" t="s">
        <v>39</v>
      </c>
      <c r="K299" s="137" t="s">
        <v>39</v>
      </c>
      <c r="L299" s="146"/>
      <c r="M299" s="141"/>
      <c r="N299" s="129"/>
      <c r="O299" s="140"/>
      <c r="P299" s="140" t="s">
        <v>39</v>
      </c>
      <c r="Q299" s="76"/>
      <c r="R299" s="140"/>
      <c r="S299" s="140"/>
      <c r="T299" s="140"/>
      <c r="U299" s="140"/>
      <c r="V299" s="140"/>
      <c r="W299" s="140"/>
      <c r="X299" s="140"/>
      <c r="Y299" s="140"/>
      <c r="Z299" s="140"/>
      <c r="AA299" s="140"/>
      <c r="AB299" s="140"/>
    </row>
    <row r="300">
      <c r="A300" s="145"/>
      <c r="B300" s="146"/>
      <c r="C300" s="146"/>
      <c r="D300" s="146"/>
      <c r="E300" s="146"/>
      <c r="F300" s="140"/>
      <c r="G300" s="142"/>
      <c r="H300" s="142"/>
      <c r="I300" s="142"/>
      <c r="J300" s="137" t="s">
        <v>39</v>
      </c>
      <c r="K300" s="137" t="s">
        <v>39</v>
      </c>
      <c r="L300" s="146"/>
      <c r="M300" s="141"/>
      <c r="N300" s="129"/>
      <c r="O300" s="140"/>
      <c r="P300" s="140" t="s">
        <v>39</v>
      </c>
      <c r="Q300" s="76"/>
      <c r="R300" s="140"/>
      <c r="S300" s="140"/>
      <c r="T300" s="140"/>
      <c r="U300" s="140"/>
      <c r="V300" s="140"/>
      <c r="W300" s="140"/>
      <c r="X300" s="140"/>
      <c r="Y300" s="140"/>
      <c r="Z300" s="140"/>
      <c r="AA300" s="140"/>
      <c r="AB300" s="140"/>
    </row>
    <row r="301">
      <c r="A301" s="145"/>
      <c r="B301" s="146"/>
      <c r="C301" s="146"/>
      <c r="D301" s="146"/>
      <c r="E301" s="146"/>
      <c r="F301" s="140"/>
      <c r="G301" s="142"/>
      <c r="H301" s="142"/>
      <c r="I301" s="142"/>
      <c r="J301" s="137" t="s">
        <v>39</v>
      </c>
      <c r="K301" s="137" t="s">
        <v>39</v>
      </c>
      <c r="L301" s="146"/>
      <c r="M301" s="141"/>
      <c r="N301" s="129"/>
      <c r="O301" s="140"/>
      <c r="P301" s="140" t="s">
        <v>39</v>
      </c>
      <c r="Q301" s="76"/>
      <c r="R301" s="140"/>
      <c r="S301" s="140"/>
      <c r="T301" s="140"/>
      <c r="U301" s="140"/>
      <c r="V301" s="140"/>
      <c r="W301" s="140"/>
      <c r="X301" s="140"/>
      <c r="Y301" s="140"/>
      <c r="Z301" s="140"/>
      <c r="AA301" s="140"/>
      <c r="AB301" s="140"/>
    </row>
    <row r="302">
      <c r="A302" s="145"/>
      <c r="B302" s="146"/>
      <c r="C302" s="146"/>
      <c r="D302" s="146"/>
      <c r="E302" s="146"/>
      <c r="F302" s="140"/>
      <c r="G302" s="142"/>
      <c r="H302" s="142"/>
      <c r="I302" s="142"/>
      <c r="J302" s="137" t="s">
        <v>39</v>
      </c>
      <c r="K302" s="137" t="s">
        <v>39</v>
      </c>
      <c r="L302" s="146"/>
      <c r="M302" s="141"/>
      <c r="N302" s="129"/>
      <c r="O302" s="140"/>
      <c r="P302" s="140" t="s">
        <v>39</v>
      </c>
      <c r="Q302" s="76"/>
      <c r="R302" s="140"/>
      <c r="S302" s="140"/>
      <c r="T302" s="140"/>
      <c r="U302" s="140"/>
      <c r="V302" s="140"/>
      <c r="W302" s="140"/>
      <c r="X302" s="140"/>
      <c r="Y302" s="140"/>
      <c r="Z302" s="140"/>
      <c r="AA302" s="140"/>
      <c r="AB302" s="140"/>
    </row>
    <row r="303">
      <c r="A303" s="145"/>
      <c r="B303" s="146"/>
      <c r="C303" s="146"/>
      <c r="D303" s="146"/>
      <c r="E303" s="146"/>
      <c r="F303" s="140"/>
      <c r="G303" s="142"/>
      <c r="H303" s="142"/>
      <c r="I303" s="142"/>
      <c r="J303" s="137" t="s">
        <v>39</v>
      </c>
      <c r="K303" s="137" t="s">
        <v>39</v>
      </c>
      <c r="L303" s="146"/>
      <c r="M303" s="141"/>
      <c r="N303" s="129"/>
      <c r="O303" s="140"/>
      <c r="P303" s="140" t="s">
        <v>39</v>
      </c>
      <c r="Q303" s="76"/>
      <c r="R303" s="140"/>
      <c r="S303" s="140"/>
      <c r="T303" s="140"/>
      <c r="U303" s="140"/>
      <c r="V303" s="140"/>
      <c r="W303" s="140"/>
      <c r="X303" s="140"/>
      <c r="Y303" s="140"/>
      <c r="Z303" s="140"/>
      <c r="AA303" s="140"/>
      <c r="AB303" s="140"/>
    </row>
    <row r="304">
      <c r="A304" s="145"/>
      <c r="B304" s="146"/>
      <c r="C304" s="146"/>
      <c r="D304" s="146"/>
      <c r="E304" s="146"/>
      <c r="F304" s="140"/>
      <c r="G304" s="142"/>
      <c r="H304" s="142"/>
      <c r="I304" s="142"/>
      <c r="J304" s="137" t="s">
        <v>39</v>
      </c>
      <c r="K304" s="137" t="s">
        <v>39</v>
      </c>
      <c r="L304" s="146"/>
      <c r="M304" s="141"/>
      <c r="N304" s="129"/>
      <c r="O304" s="140"/>
      <c r="P304" s="140" t="s">
        <v>39</v>
      </c>
      <c r="Q304" s="76"/>
      <c r="R304" s="140"/>
      <c r="S304" s="140"/>
      <c r="T304" s="140"/>
      <c r="U304" s="140"/>
      <c r="V304" s="140"/>
      <c r="W304" s="140"/>
      <c r="X304" s="140"/>
      <c r="Y304" s="140"/>
      <c r="Z304" s="140"/>
      <c r="AA304" s="140"/>
      <c r="AB304" s="140"/>
    </row>
    <row r="305">
      <c r="A305" s="145"/>
      <c r="B305" s="146"/>
      <c r="C305" s="146"/>
      <c r="D305" s="146"/>
      <c r="E305" s="146"/>
      <c r="F305" s="140"/>
      <c r="G305" s="142"/>
      <c r="H305" s="142"/>
      <c r="I305" s="142"/>
      <c r="J305" s="137" t="s">
        <v>39</v>
      </c>
      <c r="K305" s="137" t="s">
        <v>39</v>
      </c>
      <c r="L305" s="146"/>
      <c r="M305" s="141"/>
      <c r="N305" s="129"/>
      <c r="O305" s="140"/>
      <c r="P305" s="140" t="s">
        <v>39</v>
      </c>
      <c r="Q305" s="76"/>
      <c r="R305" s="140"/>
      <c r="S305" s="140"/>
      <c r="T305" s="140"/>
      <c r="U305" s="140"/>
      <c r="V305" s="140"/>
      <c r="W305" s="140"/>
      <c r="X305" s="140"/>
      <c r="Y305" s="140"/>
      <c r="Z305" s="140"/>
      <c r="AA305" s="140"/>
      <c r="AB305" s="140"/>
    </row>
    <row r="306">
      <c r="A306" s="145"/>
      <c r="B306" s="146"/>
      <c r="C306" s="146"/>
      <c r="D306" s="146"/>
      <c r="E306" s="146"/>
      <c r="F306" s="140"/>
      <c r="G306" s="142"/>
      <c r="H306" s="142"/>
      <c r="I306" s="142"/>
      <c r="J306" s="137" t="s">
        <v>39</v>
      </c>
      <c r="K306" s="137" t="s">
        <v>39</v>
      </c>
      <c r="L306" s="146"/>
      <c r="M306" s="141"/>
      <c r="N306" s="129"/>
      <c r="O306" s="140"/>
      <c r="P306" s="140" t="s">
        <v>39</v>
      </c>
      <c r="Q306" s="76"/>
      <c r="R306" s="140"/>
      <c r="S306" s="140"/>
      <c r="T306" s="140"/>
      <c r="U306" s="140"/>
      <c r="V306" s="140"/>
      <c r="W306" s="140"/>
      <c r="X306" s="140"/>
      <c r="Y306" s="140"/>
      <c r="Z306" s="140"/>
      <c r="AA306" s="140"/>
      <c r="AB306" s="140"/>
    </row>
    <row r="307">
      <c r="A307" s="145"/>
      <c r="B307" s="146"/>
      <c r="C307" s="146"/>
      <c r="D307" s="146"/>
      <c r="E307" s="146"/>
      <c r="F307" s="140"/>
      <c r="G307" s="142"/>
      <c r="H307" s="142"/>
      <c r="I307" s="142"/>
      <c r="J307" s="137" t="s">
        <v>39</v>
      </c>
      <c r="K307" s="137" t="s">
        <v>39</v>
      </c>
      <c r="L307" s="146"/>
      <c r="M307" s="141"/>
      <c r="N307" s="129"/>
      <c r="O307" s="140"/>
      <c r="P307" s="140" t="s">
        <v>39</v>
      </c>
      <c r="Q307" s="76"/>
      <c r="R307" s="140"/>
      <c r="S307" s="140"/>
      <c r="T307" s="140"/>
      <c r="U307" s="140"/>
      <c r="V307" s="140"/>
      <c r="W307" s="140"/>
      <c r="X307" s="140"/>
      <c r="Y307" s="140"/>
      <c r="Z307" s="140"/>
      <c r="AA307" s="140"/>
      <c r="AB307" s="140"/>
    </row>
    <row r="308">
      <c r="A308" s="145"/>
      <c r="B308" s="146"/>
      <c r="C308" s="146"/>
      <c r="D308" s="146"/>
      <c r="E308" s="146"/>
      <c r="F308" s="140"/>
      <c r="G308" s="142"/>
      <c r="H308" s="142"/>
      <c r="I308" s="142"/>
      <c r="J308" s="137" t="s">
        <v>39</v>
      </c>
      <c r="K308" s="137" t="s">
        <v>39</v>
      </c>
      <c r="L308" s="146"/>
      <c r="M308" s="141"/>
      <c r="N308" s="129"/>
      <c r="O308" s="140"/>
      <c r="P308" s="140" t="s">
        <v>39</v>
      </c>
      <c r="Q308" s="76"/>
      <c r="R308" s="140"/>
      <c r="S308" s="140"/>
      <c r="T308" s="140"/>
      <c r="U308" s="140"/>
      <c r="V308" s="140"/>
      <c r="W308" s="140"/>
      <c r="X308" s="140"/>
      <c r="Y308" s="140"/>
      <c r="Z308" s="140"/>
      <c r="AA308" s="140"/>
      <c r="AB308" s="140"/>
    </row>
    <row r="309">
      <c r="A309" s="145"/>
      <c r="B309" s="146"/>
      <c r="C309" s="146"/>
      <c r="D309" s="146"/>
      <c r="E309" s="146"/>
      <c r="F309" s="140"/>
      <c r="G309" s="142"/>
      <c r="H309" s="142"/>
      <c r="I309" s="142"/>
      <c r="J309" s="137" t="s">
        <v>39</v>
      </c>
      <c r="K309" s="137" t="s">
        <v>39</v>
      </c>
      <c r="L309" s="146"/>
      <c r="M309" s="141"/>
      <c r="N309" s="129"/>
      <c r="O309" s="140"/>
      <c r="P309" s="140" t="s">
        <v>39</v>
      </c>
      <c r="Q309" s="76"/>
      <c r="R309" s="140"/>
      <c r="S309" s="140"/>
      <c r="T309" s="140"/>
      <c r="U309" s="140"/>
      <c r="V309" s="140"/>
      <c r="W309" s="140"/>
      <c r="X309" s="140"/>
      <c r="Y309" s="140"/>
      <c r="Z309" s="140"/>
      <c r="AA309" s="140"/>
      <c r="AB309" s="140"/>
    </row>
    <row r="310">
      <c r="A310" s="145"/>
      <c r="B310" s="146"/>
      <c r="C310" s="146"/>
      <c r="D310" s="146"/>
      <c r="E310" s="146"/>
      <c r="F310" s="140"/>
      <c r="G310" s="142"/>
      <c r="H310" s="142"/>
      <c r="I310" s="142"/>
      <c r="J310" s="137" t="s">
        <v>39</v>
      </c>
      <c r="K310" s="137" t="s">
        <v>39</v>
      </c>
      <c r="L310" s="146"/>
      <c r="M310" s="141"/>
      <c r="N310" s="129"/>
      <c r="O310" s="140"/>
      <c r="P310" s="140" t="s">
        <v>39</v>
      </c>
      <c r="Q310" s="76"/>
      <c r="R310" s="140"/>
      <c r="S310" s="140"/>
      <c r="T310" s="140"/>
      <c r="U310" s="140"/>
      <c r="V310" s="140"/>
      <c r="W310" s="140"/>
      <c r="X310" s="140"/>
      <c r="Y310" s="140"/>
      <c r="Z310" s="140"/>
      <c r="AA310" s="140"/>
      <c r="AB310" s="140"/>
    </row>
    <row r="311">
      <c r="A311" s="145"/>
      <c r="B311" s="146"/>
      <c r="C311" s="146"/>
      <c r="D311" s="146"/>
      <c r="E311" s="146"/>
      <c r="F311" s="140"/>
      <c r="G311" s="142"/>
      <c r="H311" s="142"/>
      <c r="I311" s="142"/>
      <c r="J311" s="137" t="s">
        <v>39</v>
      </c>
      <c r="K311" s="137" t="s">
        <v>39</v>
      </c>
      <c r="L311" s="146"/>
      <c r="M311" s="141"/>
      <c r="N311" s="129"/>
      <c r="O311" s="140"/>
      <c r="P311" s="140" t="s">
        <v>39</v>
      </c>
      <c r="Q311" s="76"/>
      <c r="R311" s="140"/>
      <c r="S311" s="140"/>
      <c r="T311" s="140"/>
      <c r="U311" s="140"/>
      <c r="V311" s="140"/>
      <c r="W311" s="140"/>
      <c r="X311" s="140"/>
      <c r="Y311" s="140"/>
      <c r="Z311" s="140"/>
      <c r="AA311" s="140"/>
      <c r="AB311" s="140"/>
    </row>
    <row r="312">
      <c r="A312" s="145"/>
      <c r="B312" s="146"/>
      <c r="C312" s="146"/>
      <c r="D312" s="146"/>
      <c r="E312" s="146"/>
      <c r="F312" s="140"/>
      <c r="G312" s="142"/>
      <c r="H312" s="142"/>
      <c r="I312" s="142"/>
      <c r="J312" s="137" t="s">
        <v>39</v>
      </c>
      <c r="K312" s="137" t="s">
        <v>39</v>
      </c>
      <c r="L312" s="146"/>
      <c r="M312" s="141"/>
      <c r="N312" s="129"/>
      <c r="O312" s="140"/>
      <c r="P312" s="140" t="s">
        <v>39</v>
      </c>
      <c r="Q312" s="76"/>
      <c r="R312" s="140"/>
      <c r="S312" s="140"/>
      <c r="T312" s="140"/>
      <c r="U312" s="140"/>
      <c r="V312" s="140"/>
      <c r="W312" s="140"/>
      <c r="X312" s="140"/>
      <c r="Y312" s="140"/>
      <c r="Z312" s="140"/>
      <c r="AA312" s="140"/>
      <c r="AB312" s="140"/>
    </row>
    <row r="313">
      <c r="A313" s="145"/>
      <c r="B313" s="146"/>
      <c r="C313" s="146"/>
      <c r="D313" s="146"/>
      <c r="E313" s="146"/>
      <c r="F313" s="140"/>
      <c r="G313" s="142"/>
      <c r="H313" s="142"/>
      <c r="I313" s="142"/>
      <c r="J313" s="137" t="s">
        <v>39</v>
      </c>
      <c r="K313" s="137" t="s">
        <v>39</v>
      </c>
      <c r="L313" s="146"/>
      <c r="M313" s="141"/>
      <c r="N313" s="129"/>
      <c r="O313" s="140"/>
      <c r="P313" s="140" t="s">
        <v>39</v>
      </c>
      <c r="Q313" s="76"/>
      <c r="R313" s="140"/>
      <c r="S313" s="140"/>
      <c r="T313" s="140"/>
      <c r="U313" s="140"/>
      <c r="V313" s="140"/>
      <c r="W313" s="140"/>
      <c r="X313" s="140"/>
      <c r="Y313" s="140"/>
      <c r="Z313" s="140"/>
      <c r="AA313" s="140"/>
      <c r="AB313" s="140"/>
    </row>
    <row r="314">
      <c r="A314" s="145"/>
      <c r="B314" s="146"/>
      <c r="C314" s="146"/>
      <c r="D314" s="146"/>
      <c r="E314" s="146"/>
      <c r="F314" s="140"/>
      <c r="G314" s="142"/>
      <c r="H314" s="142"/>
      <c r="I314" s="142"/>
      <c r="J314" s="137" t="s">
        <v>39</v>
      </c>
      <c r="K314" s="137" t="s">
        <v>39</v>
      </c>
      <c r="L314" s="146"/>
      <c r="M314" s="141"/>
      <c r="N314" s="129"/>
      <c r="O314" s="140"/>
      <c r="P314" s="140" t="s">
        <v>39</v>
      </c>
      <c r="Q314" s="76"/>
      <c r="R314" s="140"/>
      <c r="S314" s="140"/>
      <c r="T314" s="140"/>
      <c r="U314" s="140"/>
      <c r="V314" s="140"/>
      <c r="W314" s="140"/>
      <c r="X314" s="140"/>
      <c r="Y314" s="140"/>
      <c r="Z314" s="140"/>
      <c r="AA314" s="140"/>
      <c r="AB314" s="140"/>
    </row>
    <row r="315">
      <c r="A315" s="145"/>
      <c r="B315" s="146"/>
      <c r="C315" s="146"/>
      <c r="D315" s="146"/>
      <c r="E315" s="146"/>
      <c r="F315" s="140"/>
      <c r="G315" s="142"/>
      <c r="H315" s="142"/>
      <c r="I315" s="142"/>
      <c r="J315" s="137" t="s">
        <v>39</v>
      </c>
      <c r="K315" s="137" t="s">
        <v>39</v>
      </c>
      <c r="L315" s="146"/>
      <c r="M315" s="141"/>
      <c r="N315" s="129"/>
      <c r="O315" s="140"/>
      <c r="P315" s="140" t="s">
        <v>39</v>
      </c>
      <c r="Q315" s="76"/>
      <c r="R315" s="140"/>
      <c r="S315" s="140"/>
      <c r="T315" s="140"/>
      <c r="U315" s="140"/>
      <c r="V315" s="140"/>
      <c r="W315" s="140"/>
      <c r="X315" s="140"/>
      <c r="Y315" s="140"/>
      <c r="Z315" s="140"/>
      <c r="AA315" s="140"/>
      <c r="AB315" s="140"/>
    </row>
    <row r="316">
      <c r="A316" s="145"/>
      <c r="B316" s="146"/>
      <c r="C316" s="146"/>
      <c r="D316" s="146"/>
      <c r="E316" s="146"/>
      <c r="F316" s="140"/>
      <c r="G316" s="142"/>
      <c r="H316" s="142"/>
      <c r="I316" s="142"/>
      <c r="J316" s="137" t="s">
        <v>39</v>
      </c>
      <c r="K316" s="137" t="s">
        <v>39</v>
      </c>
      <c r="L316" s="146"/>
      <c r="M316" s="141"/>
      <c r="N316" s="129"/>
      <c r="O316" s="140"/>
      <c r="P316" s="140" t="s">
        <v>39</v>
      </c>
      <c r="Q316" s="76"/>
      <c r="R316" s="140"/>
      <c r="S316" s="140"/>
      <c r="T316" s="140"/>
      <c r="U316" s="140"/>
      <c r="V316" s="140"/>
      <c r="W316" s="140"/>
      <c r="X316" s="140"/>
      <c r="Y316" s="140"/>
      <c r="Z316" s="140"/>
      <c r="AA316" s="140"/>
      <c r="AB316" s="140"/>
    </row>
    <row r="317">
      <c r="A317" s="145"/>
      <c r="B317" s="146"/>
      <c r="C317" s="146"/>
      <c r="D317" s="146"/>
      <c r="E317" s="146"/>
      <c r="F317" s="140"/>
      <c r="G317" s="142"/>
      <c r="H317" s="142"/>
      <c r="I317" s="142"/>
      <c r="J317" s="137" t="s">
        <v>39</v>
      </c>
      <c r="K317" s="137" t="s">
        <v>39</v>
      </c>
      <c r="L317" s="146"/>
      <c r="M317" s="141"/>
      <c r="N317" s="129"/>
      <c r="O317" s="140"/>
      <c r="P317" s="140" t="s">
        <v>39</v>
      </c>
      <c r="Q317" s="76"/>
      <c r="R317" s="140"/>
      <c r="S317" s="140"/>
      <c r="T317" s="140"/>
      <c r="U317" s="140"/>
      <c r="V317" s="140"/>
      <c r="W317" s="140"/>
      <c r="X317" s="140"/>
      <c r="Y317" s="140"/>
      <c r="Z317" s="140"/>
      <c r="AA317" s="140"/>
      <c r="AB317" s="140"/>
    </row>
    <row r="318">
      <c r="A318" s="145"/>
      <c r="B318" s="146"/>
      <c r="C318" s="146"/>
      <c r="D318" s="146"/>
      <c r="E318" s="146"/>
      <c r="F318" s="140"/>
      <c r="G318" s="142"/>
      <c r="H318" s="142"/>
      <c r="I318" s="142"/>
      <c r="J318" s="137" t="s">
        <v>39</v>
      </c>
      <c r="K318" s="137" t="s">
        <v>39</v>
      </c>
      <c r="L318" s="146"/>
      <c r="M318" s="141"/>
      <c r="N318" s="129"/>
      <c r="O318" s="140"/>
      <c r="P318" s="140" t="s">
        <v>39</v>
      </c>
      <c r="Q318" s="76"/>
      <c r="R318" s="140"/>
      <c r="S318" s="140"/>
      <c r="T318" s="140"/>
      <c r="U318" s="140"/>
      <c r="V318" s="140"/>
      <c r="W318" s="140"/>
      <c r="X318" s="140"/>
      <c r="Y318" s="140"/>
      <c r="Z318" s="140"/>
      <c r="AA318" s="140"/>
      <c r="AB318" s="140"/>
    </row>
    <row r="319">
      <c r="A319" s="145"/>
      <c r="B319" s="146"/>
      <c r="C319" s="146"/>
      <c r="D319" s="146"/>
      <c r="E319" s="146"/>
      <c r="F319" s="140"/>
      <c r="G319" s="142"/>
      <c r="H319" s="142"/>
      <c r="I319" s="142"/>
      <c r="J319" s="137" t="s">
        <v>39</v>
      </c>
      <c r="K319" s="137" t="s">
        <v>39</v>
      </c>
      <c r="L319" s="146"/>
      <c r="M319" s="141"/>
      <c r="N319" s="129"/>
      <c r="O319" s="140"/>
      <c r="P319" s="140" t="s">
        <v>39</v>
      </c>
      <c r="Q319" s="76"/>
      <c r="R319" s="140"/>
      <c r="S319" s="140"/>
      <c r="T319" s="140"/>
      <c r="U319" s="140"/>
      <c r="V319" s="140"/>
      <c r="W319" s="140"/>
      <c r="X319" s="140"/>
      <c r="Y319" s="140"/>
      <c r="Z319" s="140"/>
      <c r="AA319" s="140"/>
      <c r="AB319" s="140"/>
    </row>
    <row r="320">
      <c r="A320" s="145"/>
      <c r="B320" s="146"/>
      <c r="C320" s="146"/>
      <c r="D320" s="146"/>
      <c r="E320" s="146"/>
      <c r="F320" s="140"/>
      <c r="G320" s="142"/>
      <c r="H320" s="142"/>
      <c r="I320" s="142"/>
      <c r="J320" s="137" t="s">
        <v>39</v>
      </c>
      <c r="K320" s="137" t="s">
        <v>39</v>
      </c>
      <c r="L320" s="146"/>
      <c r="M320" s="141"/>
      <c r="N320" s="129"/>
      <c r="O320" s="140"/>
      <c r="P320" s="140" t="s">
        <v>39</v>
      </c>
      <c r="Q320" s="76"/>
      <c r="R320" s="140"/>
      <c r="S320" s="140"/>
      <c r="T320" s="140"/>
      <c r="U320" s="140"/>
      <c r="V320" s="140"/>
      <c r="W320" s="140"/>
      <c r="X320" s="140"/>
      <c r="Y320" s="140"/>
      <c r="Z320" s="140"/>
      <c r="AA320" s="140"/>
      <c r="AB320" s="140"/>
    </row>
    <row r="321">
      <c r="A321" s="145"/>
      <c r="B321" s="146"/>
      <c r="C321" s="146"/>
      <c r="D321" s="146"/>
      <c r="E321" s="146"/>
      <c r="F321" s="140"/>
      <c r="G321" s="142"/>
      <c r="H321" s="142"/>
      <c r="I321" s="142"/>
      <c r="J321" s="137" t="s">
        <v>39</v>
      </c>
      <c r="K321" s="137" t="s">
        <v>39</v>
      </c>
      <c r="L321" s="146"/>
      <c r="M321" s="141"/>
      <c r="N321" s="129"/>
      <c r="O321" s="140"/>
      <c r="P321" s="140" t="s">
        <v>39</v>
      </c>
      <c r="Q321" s="76"/>
      <c r="R321" s="140"/>
      <c r="S321" s="140"/>
      <c r="T321" s="140"/>
      <c r="U321" s="140"/>
      <c r="V321" s="140"/>
      <c r="W321" s="140"/>
      <c r="X321" s="140"/>
      <c r="Y321" s="140"/>
      <c r="Z321" s="140"/>
      <c r="AA321" s="140"/>
      <c r="AB321" s="140"/>
    </row>
    <row r="322">
      <c r="A322" s="145"/>
      <c r="B322" s="146"/>
      <c r="C322" s="146"/>
      <c r="D322" s="146"/>
      <c r="E322" s="146"/>
      <c r="F322" s="140"/>
      <c r="G322" s="142"/>
      <c r="H322" s="142"/>
      <c r="I322" s="142"/>
      <c r="J322" s="137" t="s">
        <v>39</v>
      </c>
      <c r="K322" s="137" t="s">
        <v>39</v>
      </c>
      <c r="L322" s="146"/>
      <c r="M322" s="141"/>
      <c r="N322" s="129"/>
      <c r="O322" s="140"/>
      <c r="P322" s="140" t="s">
        <v>39</v>
      </c>
      <c r="Q322" s="76"/>
      <c r="R322" s="140"/>
      <c r="S322" s="140"/>
      <c r="T322" s="140"/>
      <c r="U322" s="140"/>
      <c r="V322" s="140"/>
      <c r="W322" s="140"/>
      <c r="X322" s="140"/>
      <c r="Y322" s="140"/>
      <c r="Z322" s="140"/>
      <c r="AA322" s="140"/>
      <c r="AB322" s="140"/>
    </row>
    <row r="323">
      <c r="A323" s="145"/>
      <c r="B323" s="146"/>
      <c r="C323" s="146"/>
      <c r="D323" s="146"/>
      <c r="E323" s="146"/>
      <c r="F323" s="140"/>
      <c r="G323" s="142"/>
      <c r="H323" s="142"/>
      <c r="I323" s="142"/>
      <c r="J323" s="137" t="s">
        <v>39</v>
      </c>
      <c r="K323" s="137" t="s">
        <v>39</v>
      </c>
      <c r="L323" s="146"/>
      <c r="M323" s="141"/>
      <c r="N323" s="129"/>
      <c r="O323" s="140"/>
      <c r="P323" s="140" t="s">
        <v>39</v>
      </c>
      <c r="Q323" s="76"/>
      <c r="R323" s="140"/>
      <c r="S323" s="140"/>
      <c r="T323" s="140"/>
      <c r="U323" s="140"/>
      <c r="V323" s="140"/>
      <c r="W323" s="140"/>
      <c r="X323" s="140"/>
      <c r="Y323" s="140"/>
      <c r="Z323" s="140"/>
      <c r="AA323" s="140"/>
      <c r="AB323" s="140"/>
    </row>
    <row r="324">
      <c r="A324" s="145"/>
      <c r="B324" s="146"/>
      <c r="C324" s="146"/>
      <c r="D324" s="146"/>
      <c r="E324" s="146"/>
      <c r="F324" s="140"/>
      <c r="G324" s="142"/>
      <c r="H324" s="142"/>
      <c r="I324" s="142"/>
      <c r="J324" s="137" t="s">
        <v>39</v>
      </c>
      <c r="K324" s="137" t="s">
        <v>39</v>
      </c>
      <c r="L324" s="146"/>
      <c r="M324" s="141"/>
      <c r="N324" s="129"/>
      <c r="O324" s="140"/>
      <c r="P324" s="140" t="s">
        <v>39</v>
      </c>
      <c r="Q324" s="76"/>
      <c r="R324" s="140"/>
      <c r="S324" s="140"/>
      <c r="T324" s="140"/>
      <c r="U324" s="140"/>
      <c r="V324" s="140"/>
      <c r="W324" s="140"/>
      <c r="X324" s="140"/>
      <c r="Y324" s="140"/>
      <c r="Z324" s="140"/>
      <c r="AA324" s="140"/>
      <c r="AB324" s="140"/>
    </row>
    <row r="325">
      <c r="A325" s="145"/>
      <c r="B325" s="146"/>
      <c r="C325" s="146"/>
      <c r="D325" s="146"/>
      <c r="E325" s="146"/>
      <c r="F325" s="140"/>
      <c r="G325" s="142"/>
      <c r="H325" s="142"/>
      <c r="I325" s="142"/>
      <c r="J325" s="137" t="s">
        <v>39</v>
      </c>
      <c r="K325" s="137" t="s">
        <v>39</v>
      </c>
      <c r="L325" s="146"/>
      <c r="M325" s="141"/>
      <c r="N325" s="129"/>
      <c r="O325" s="140"/>
      <c r="P325" s="140" t="s">
        <v>39</v>
      </c>
      <c r="Q325" s="76"/>
      <c r="R325" s="140"/>
      <c r="S325" s="140"/>
      <c r="T325" s="140"/>
      <c r="U325" s="140"/>
      <c r="V325" s="140"/>
      <c r="W325" s="140"/>
      <c r="X325" s="140"/>
      <c r="Y325" s="140"/>
      <c r="Z325" s="140"/>
      <c r="AA325" s="140"/>
      <c r="AB325" s="140"/>
    </row>
    <row r="326">
      <c r="A326" s="145"/>
      <c r="B326" s="146"/>
      <c r="C326" s="146"/>
      <c r="D326" s="146"/>
      <c r="E326" s="146"/>
      <c r="F326" s="140"/>
      <c r="G326" s="142"/>
      <c r="H326" s="142"/>
      <c r="I326" s="142"/>
      <c r="J326" s="137" t="s">
        <v>39</v>
      </c>
      <c r="K326" s="137" t="s">
        <v>39</v>
      </c>
      <c r="L326" s="146"/>
      <c r="M326" s="141"/>
      <c r="N326" s="129"/>
      <c r="O326" s="140"/>
      <c r="P326" s="140" t="s">
        <v>39</v>
      </c>
      <c r="Q326" s="76"/>
      <c r="R326" s="140"/>
      <c r="S326" s="140"/>
      <c r="T326" s="140"/>
      <c r="U326" s="140"/>
      <c r="V326" s="140"/>
      <c r="W326" s="140"/>
      <c r="X326" s="140"/>
      <c r="Y326" s="140"/>
      <c r="Z326" s="140"/>
      <c r="AA326" s="140"/>
      <c r="AB326" s="140"/>
    </row>
    <row r="327">
      <c r="A327" s="145"/>
      <c r="B327" s="146"/>
      <c r="C327" s="146"/>
      <c r="D327" s="146"/>
      <c r="E327" s="146"/>
      <c r="F327" s="140"/>
      <c r="G327" s="142"/>
      <c r="H327" s="142"/>
      <c r="I327" s="142"/>
      <c r="J327" s="137" t="s">
        <v>39</v>
      </c>
      <c r="K327" s="137" t="s">
        <v>39</v>
      </c>
      <c r="L327" s="146"/>
      <c r="M327" s="141"/>
      <c r="N327" s="129"/>
      <c r="O327" s="140"/>
      <c r="P327" s="140" t="s">
        <v>39</v>
      </c>
      <c r="Q327" s="76"/>
      <c r="R327" s="140"/>
      <c r="S327" s="140"/>
      <c r="T327" s="140"/>
      <c r="U327" s="140"/>
      <c r="V327" s="140"/>
      <c r="W327" s="140"/>
      <c r="X327" s="140"/>
      <c r="Y327" s="140"/>
      <c r="Z327" s="140"/>
      <c r="AA327" s="140"/>
      <c r="AB327" s="140"/>
    </row>
    <row r="328">
      <c r="A328" s="145"/>
      <c r="B328" s="146"/>
      <c r="C328" s="146"/>
      <c r="D328" s="146"/>
      <c r="E328" s="146"/>
      <c r="F328" s="140"/>
      <c r="G328" s="142"/>
      <c r="H328" s="142"/>
      <c r="I328" s="142"/>
      <c r="J328" s="137" t="s">
        <v>39</v>
      </c>
      <c r="K328" s="137" t="s">
        <v>39</v>
      </c>
      <c r="L328" s="146"/>
      <c r="M328" s="141"/>
      <c r="N328" s="129"/>
      <c r="O328" s="140"/>
      <c r="P328" s="140" t="s">
        <v>39</v>
      </c>
      <c r="Q328" s="76"/>
      <c r="R328" s="140"/>
      <c r="S328" s="140"/>
      <c r="T328" s="140"/>
      <c r="U328" s="140"/>
      <c r="V328" s="140"/>
      <c r="W328" s="140"/>
      <c r="X328" s="140"/>
      <c r="Y328" s="140"/>
      <c r="Z328" s="140"/>
      <c r="AA328" s="140"/>
      <c r="AB328" s="140"/>
    </row>
    <row r="329">
      <c r="A329" s="145"/>
      <c r="B329" s="146"/>
      <c r="C329" s="146"/>
      <c r="D329" s="146"/>
      <c r="E329" s="146"/>
      <c r="F329" s="140"/>
      <c r="G329" s="142"/>
      <c r="H329" s="142"/>
      <c r="I329" s="142"/>
      <c r="J329" s="137" t="s">
        <v>39</v>
      </c>
      <c r="K329" s="137" t="s">
        <v>39</v>
      </c>
      <c r="L329" s="146"/>
      <c r="M329" s="141"/>
      <c r="N329" s="129"/>
      <c r="O329" s="140"/>
      <c r="P329" s="140" t="s">
        <v>39</v>
      </c>
      <c r="Q329" s="76"/>
      <c r="R329" s="140"/>
      <c r="S329" s="140"/>
      <c r="T329" s="140"/>
      <c r="U329" s="140"/>
      <c r="V329" s="140"/>
      <c r="W329" s="140"/>
      <c r="X329" s="140"/>
      <c r="Y329" s="140"/>
      <c r="Z329" s="140"/>
      <c r="AA329" s="140"/>
      <c r="AB329" s="140"/>
    </row>
    <row r="330">
      <c r="A330" s="145"/>
      <c r="B330" s="146"/>
      <c r="C330" s="146"/>
      <c r="D330" s="146"/>
      <c r="E330" s="146"/>
      <c r="F330" s="140"/>
      <c r="G330" s="142"/>
      <c r="H330" s="142"/>
      <c r="I330" s="142"/>
      <c r="J330" s="137" t="s">
        <v>39</v>
      </c>
      <c r="K330" s="137" t="s">
        <v>39</v>
      </c>
      <c r="L330" s="146"/>
      <c r="M330" s="141"/>
      <c r="N330" s="129"/>
      <c r="O330" s="140"/>
      <c r="P330" s="140" t="s">
        <v>39</v>
      </c>
      <c r="Q330" s="76"/>
      <c r="R330" s="140"/>
      <c r="S330" s="140"/>
      <c r="T330" s="140"/>
      <c r="U330" s="140"/>
      <c r="V330" s="140"/>
      <c r="W330" s="140"/>
      <c r="X330" s="140"/>
      <c r="Y330" s="140"/>
      <c r="Z330" s="140"/>
      <c r="AA330" s="140"/>
      <c r="AB330" s="140"/>
    </row>
    <row r="331">
      <c r="A331" s="145"/>
      <c r="B331" s="146"/>
      <c r="C331" s="146"/>
      <c r="D331" s="146"/>
      <c r="E331" s="146"/>
      <c r="F331" s="140"/>
      <c r="G331" s="142"/>
      <c r="H331" s="142"/>
      <c r="I331" s="142"/>
      <c r="J331" s="137" t="s">
        <v>39</v>
      </c>
      <c r="K331" s="137" t="s">
        <v>39</v>
      </c>
      <c r="L331" s="146"/>
      <c r="M331" s="141"/>
      <c r="N331" s="129"/>
      <c r="O331" s="140"/>
      <c r="P331" s="140" t="s">
        <v>39</v>
      </c>
      <c r="Q331" s="76"/>
      <c r="R331" s="140"/>
      <c r="S331" s="140"/>
      <c r="T331" s="140"/>
      <c r="U331" s="140"/>
      <c r="V331" s="140"/>
      <c r="W331" s="140"/>
      <c r="X331" s="140"/>
      <c r="Y331" s="140"/>
      <c r="Z331" s="140"/>
      <c r="AA331" s="140"/>
      <c r="AB331" s="140"/>
    </row>
    <row r="332">
      <c r="A332" s="145"/>
      <c r="B332" s="146"/>
      <c r="C332" s="146"/>
      <c r="D332" s="146"/>
      <c r="E332" s="146"/>
      <c r="F332" s="140"/>
      <c r="G332" s="142"/>
      <c r="H332" s="142"/>
      <c r="I332" s="142"/>
      <c r="J332" s="137" t="s">
        <v>39</v>
      </c>
      <c r="K332" s="137" t="s">
        <v>39</v>
      </c>
      <c r="L332" s="146"/>
      <c r="M332" s="141"/>
      <c r="N332" s="129"/>
      <c r="O332" s="140"/>
      <c r="P332" s="140" t="s">
        <v>39</v>
      </c>
      <c r="Q332" s="76"/>
      <c r="R332" s="140"/>
      <c r="S332" s="140"/>
      <c r="T332" s="140"/>
      <c r="U332" s="140"/>
      <c r="V332" s="140"/>
      <c r="W332" s="140"/>
      <c r="X332" s="140"/>
      <c r="Y332" s="140"/>
      <c r="Z332" s="140"/>
      <c r="AA332" s="140"/>
      <c r="AB332" s="140"/>
    </row>
    <row r="333">
      <c r="A333" s="145"/>
      <c r="B333" s="146"/>
      <c r="C333" s="146"/>
      <c r="D333" s="146"/>
      <c r="E333" s="146"/>
      <c r="F333" s="140"/>
      <c r="G333" s="142"/>
      <c r="H333" s="142"/>
      <c r="I333" s="142"/>
      <c r="J333" s="137" t="s">
        <v>39</v>
      </c>
      <c r="K333" s="137" t="s">
        <v>39</v>
      </c>
      <c r="L333" s="146"/>
      <c r="M333" s="141"/>
      <c r="N333" s="129"/>
      <c r="O333" s="140"/>
      <c r="P333" s="140" t="s">
        <v>39</v>
      </c>
      <c r="Q333" s="76"/>
      <c r="R333" s="140"/>
      <c r="S333" s="140"/>
      <c r="T333" s="140"/>
      <c r="U333" s="140"/>
      <c r="V333" s="140"/>
      <c r="W333" s="140"/>
      <c r="X333" s="140"/>
      <c r="Y333" s="140"/>
      <c r="Z333" s="140"/>
      <c r="AA333" s="140"/>
      <c r="AB333" s="140"/>
    </row>
    <row r="334">
      <c r="A334" s="145"/>
      <c r="B334" s="146"/>
      <c r="C334" s="146"/>
      <c r="D334" s="146"/>
      <c r="E334" s="146"/>
      <c r="F334" s="140"/>
      <c r="G334" s="142"/>
      <c r="H334" s="142"/>
      <c r="I334" s="142"/>
      <c r="J334" s="137" t="s">
        <v>39</v>
      </c>
      <c r="K334" s="137" t="s">
        <v>39</v>
      </c>
      <c r="L334" s="146"/>
      <c r="M334" s="141"/>
      <c r="N334" s="129"/>
      <c r="O334" s="140"/>
      <c r="P334" s="140" t="s">
        <v>39</v>
      </c>
      <c r="Q334" s="76"/>
      <c r="R334" s="140"/>
      <c r="S334" s="140"/>
      <c r="T334" s="140"/>
      <c r="U334" s="140"/>
      <c r="V334" s="140"/>
      <c r="W334" s="140"/>
      <c r="X334" s="140"/>
      <c r="Y334" s="140"/>
      <c r="Z334" s="140"/>
      <c r="AA334" s="140"/>
      <c r="AB334" s="140"/>
    </row>
    <row r="335">
      <c r="A335" s="145"/>
      <c r="B335" s="146"/>
      <c r="C335" s="146"/>
      <c r="D335" s="146"/>
      <c r="E335" s="146"/>
      <c r="F335" s="140"/>
      <c r="G335" s="142"/>
      <c r="H335" s="142"/>
      <c r="I335" s="142"/>
      <c r="J335" s="137" t="s">
        <v>39</v>
      </c>
      <c r="K335" s="137" t="s">
        <v>39</v>
      </c>
      <c r="L335" s="146"/>
      <c r="M335" s="141"/>
      <c r="N335" s="129"/>
      <c r="O335" s="140"/>
      <c r="P335" s="140" t="s">
        <v>39</v>
      </c>
      <c r="Q335" s="76"/>
      <c r="R335" s="140"/>
      <c r="S335" s="140"/>
      <c r="T335" s="140"/>
      <c r="U335" s="140"/>
      <c r="V335" s="140"/>
      <c r="W335" s="140"/>
      <c r="X335" s="140"/>
      <c r="Y335" s="140"/>
      <c r="Z335" s="140"/>
      <c r="AA335" s="140"/>
      <c r="AB335" s="140"/>
    </row>
    <row r="336">
      <c r="A336" s="145"/>
      <c r="B336" s="146"/>
      <c r="C336" s="146"/>
      <c r="D336" s="146"/>
      <c r="E336" s="146"/>
      <c r="F336" s="140"/>
      <c r="G336" s="142"/>
      <c r="H336" s="142"/>
      <c r="I336" s="142"/>
      <c r="J336" s="137" t="s">
        <v>39</v>
      </c>
      <c r="K336" s="137" t="s">
        <v>39</v>
      </c>
      <c r="L336" s="146"/>
      <c r="M336" s="141"/>
      <c r="N336" s="129"/>
      <c r="O336" s="140"/>
      <c r="P336" s="140" t="s">
        <v>39</v>
      </c>
      <c r="Q336" s="76"/>
      <c r="R336" s="140"/>
      <c r="S336" s="140"/>
      <c r="T336" s="140"/>
      <c r="U336" s="140"/>
      <c r="V336" s="140"/>
      <c r="W336" s="140"/>
      <c r="X336" s="140"/>
      <c r="Y336" s="140"/>
      <c r="Z336" s="140"/>
      <c r="AA336" s="140"/>
      <c r="AB336" s="140"/>
    </row>
    <row r="337">
      <c r="A337" s="145"/>
      <c r="B337" s="146"/>
      <c r="C337" s="146"/>
      <c r="D337" s="146"/>
      <c r="E337" s="146"/>
      <c r="F337" s="140"/>
      <c r="G337" s="142"/>
      <c r="H337" s="142"/>
      <c r="I337" s="142"/>
      <c r="J337" s="137" t="s">
        <v>39</v>
      </c>
      <c r="K337" s="137" t="s">
        <v>39</v>
      </c>
      <c r="L337" s="146"/>
      <c r="M337" s="141"/>
      <c r="N337" s="129"/>
      <c r="O337" s="140"/>
      <c r="P337" s="140" t="s">
        <v>39</v>
      </c>
      <c r="Q337" s="76"/>
      <c r="R337" s="140"/>
      <c r="S337" s="140"/>
      <c r="T337" s="140"/>
      <c r="U337" s="140"/>
      <c r="V337" s="140"/>
      <c r="W337" s="140"/>
      <c r="X337" s="140"/>
      <c r="Y337" s="140"/>
      <c r="Z337" s="140"/>
      <c r="AA337" s="140"/>
      <c r="AB337" s="140"/>
    </row>
    <row r="338">
      <c r="A338" s="145"/>
      <c r="B338" s="146"/>
      <c r="C338" s="146"/>
      <c r="D338" s="146"/>
      <c r="E338" s="146"/>
      <c r="F338" s="140"/>
      <c r="G338" s="142"/>
      <c r="H338" s="142"/>
      <c r="I338" s="142"/>
      <c r="J338" s="137" t="s">
        <v>39</v>
      </c>
      <c r="K338" s="137" t="s">
        <v>39</v>
      </c>
      <c r="L338" s="146"/>
      <c r="M338" s="141"/>
      <c r="N338" s="129"/>
      <c r="O338" s="140"/>
      <c r="P338" s="140" t="s">
        <v>39</v>
      </c>
      <c r="Q338" s="76"/>
      <c r="R338" s="140"/>
      <c r="S338" s="140"/>
      <c r="T338" s="140"/>
      <c r="U338" s="140"/>
      <c r="V338" s="140"/>
      <c r="W338" s="140"/>
      <c r="X338" s="140"/>
      <c r="Y338" s="140"/>
      <c r="Z338" s="140"/>
      <c r="AA338" s="140"/>
      <c r="AB338" s="140"/>
    </row>
    <row r="339">
      <c r="A339" s="145"/>
      <c r="B339" s="146"/>
      <c r="C339" s="146"/>
      <c r="D339" s="146"/>
      <c r="E339" s="146"/>
      <c r="F339" s="140"/>
      <c r="G339" s="142"/>
      <c r="H339" s="142"/>
      <c r="I339" s="142"/>
      <c r="J339" s="137" t="s">
        <v>39</v>
      </c>
      <c r="K339" s="137" t="s">
        <v>39</v>
      </c>
      <c r="L339" s="146"/>
      <c r="M339" s="141"/>
      <c r="N339" s="129"/>
      <c r="O339" s="140"/>
      <c r="P339" s="140" t="s">
        <v>39</v>
      </c>
      <c r="Q339" s="76"/>
      <c r="R339" s="140"/>
      <c r="S339" s="140"/>
      <c r="T339" s="140"/>
      <c r="U339" s="140"/>
      <c r="V339" s="140"/>
      <c r="W339" s="140"/>
      <c r="X339" s="140"/>
      <c r="Y339" s="140"/>
      <c r="Z339" s="140"/>
      <c r="AA339" s="140"/>
      <c r="AB339" s="140"/>
    </row>
    <row r="340">
      <c r="A340" s="145"/>
      <c r="B340" s="146"/>
      <c r="C340" s="146"/>
      <c r="D340" s="146"/>
      <c r="E340" s="146"/>
      <c r="F340" s="140"/>
      <c r="G340" s="142"/>
      <c r="H340" s="142"/>
      <c r="I340" s="142"/>
      <c r="J340" s="137" t="s">
        <v>39</v>
      </c>
      <c r="K340" s="137" t="s">
        <v>39</v>
      </c>
      <c r="L340" s="146"/>
      <c r="M340" s="141"/>
      <c r="N340" s="129"/>
      <c r="O340" s="140"/>
      <c r="P340" s="140" t="s">
        <v>39</v>
      </c>
      <c r="Q340" s="76"/>
      <c r="R340" s="140"/>
      <c r="S340" s="140"/>
      <c r="T340" s="140"/>
      <c r="U340" s="140"/>
      <c r="V340" s="140"/>
      <c r="W340" s="140"/>
      <c r="X340" s="140"/>
      <c r="Y340" s="140"/>
      <c r="Z340" s="140"/>
      <c r="AA340" s="140"/>
      <c r="AB340" s="140"/>
    </row>
    <row r="341">
      <c r="A341" s="145"/>
      <c r="B341" s="146"/>
      <c r="C341" s="146"/>
      <c r="D341" s="146"/>
      <c r="E341" s="146"/>
      <c r="F341" s="140"/>
      <c r="G341" s="142"/>
      <c r="H341" s="142"/>
      <c r="I341" s="142"/>
      <c r="J341" s="137" t="s">
        <v>39</v>
      </c>
      <c r="K341" s="137" t="s">
        <v>39</v>
      </c>
      <c r="L341" s="146"/>
      <c r="M341" s="141"/>
      <c r="N341" s="129"/>
      <c r="O341" s="140"/>
      <c r="P341" s="140" t="s">
        <v>39</v>
      </c>
      <c r="Q341" s="76"/>
      <c r="R341" s="140"/>
      <c r="S341" s="140"/>
      <c r="T341" s="140"/>
      <c r="U341" s="140"/>
      <c r="V341" s="140"/>
      <c r="W341" s="140"/>
      <c r="X341" s="140"/>
      <c r="Y341" s="140"/>
      <c r="Z341" s="140"/>
      <c r="AA341" s="140"/>
      <c r="AB341" s="140"/>
    </row>
    <row r="342">
      <c r="A342" s="145"/>
      <c r="B342" s="146"/>
      <c r="C342" s="146"/>
      <c r="D342" s="146"/>
      <c r="E342" s="146"/>
      <c r="F342" s="140"/>
      <c r="G342" s="142"/>
      <c r="H342" s="142"/>
      <c r="I342" s="142"/>
      <c r="J342" s="137" t="s">
        <v>39</v>
      </c>
      <c r="K342" s="137" t="s">
        <v>39</v>
      </c>
      <c r="L342" s="146"/>
      <c r="M342" s="141"/>
      <c r="N342" s="129"/>
      <c r="O342" s="140"/>
      <c r="P342" s="140" t="s">
        <v>39</v>
      </c>
      <c r="Q342" s="76"/>
      <c r="R342" s="140"/>
      <c r="S342" s="140"/>
      <c r="T342" s="140"/>
      <c r="U342" s="140"/>
      <c r="V342" s="140"/>
      <c r="W342" s="140"/>
      <c r="X342" s="140"/>
      <c r="Y342" s="140"/>
      <c r="Z342" s="140"/>
      <c r="AA342" s="140"/>
      <c r="AB342" s="140"/>
    </row>
    <row r="343">
      <c r="A343" s="145"/>
      <c r="B343" s="146"/>
      <c r="C343" s="146"/>
      <c r="D343" s="146"/>
      <c r="E343" s="146"/>
      <c r="F343" s="140"/>
      <c r="G343" s="142"/>
      <c r="H343" s="142"/>
      <c r="I343" s="142"/>
      <c r="J343" s="137" t="s">
        <v>39</v>
      </c>
      <c r="K343" s="137" t="s">
        <v>39</v>
      </c>
      <c r="L343" s="146"/>
      <c r="M343" s="141"/>
      <c r="N343" s="129"/>
      <c r="O343" s="140"/>
      <c r="P343" s="140" t="s">
        <v>39</v>
      </c>
      <c r="Q343" s="76"/>
      <c r="R343" s="140"/>
      <c r="S343" s="140"/>
      <c r="T343" s="140"/>
      <c r="U343" s="140"/>
      <c r="V343" s="140"/>
      <c r="W343" s="140"/>
      <c r="X343" s="140"/>
      <c r="Y343" s="140"/>
      <c r="Z343" s="140"/>
      <c r="AA343" s="140"/>
      <c r="AB343" s="140"/>
    </row>
    <row r="344">
      <c r="A344" s="145"/>
      <c r="B344" s="146"/>
      <c r="C344" s="146"/>
      <c r="D344" s="146"/>
      <c r="E344" s="146"/>
      <c r="F344" s="140"/>
      <c r="G344" s="142"/>
      <c r="H344" s="142"/>
      <c r="I344" s="142"/>
      <c r="J344" s="137" t="s">
        <v>39</v>
      </c>
      <c r="K344" s="137" t="s">
        <v>39</v>
      </c>
      <c r="L344" s="146"/>
      <c r="M344" s="141"/>
      <c r="N344" s="129"/>
      <c r="O344" s="140"/>
      <c r="P344" s="140" t="s">
        <v>39</v>
      </c>
      <c r="Q344" s="76"/>
      <c r="R344" s="140"/>
      <c r="S344" s="140"/>
      <c r="T344" s="140"/>
      <c r="U344" s="140"/>
      <c r="V344" s="140"/>
      <c r="W344" s="140"/>
      <c r="X344" s="140"/>
      <c r="Y344" s="140"/>
      <c r="Z344" s="140"/>
      <c r="AA344" s="140"/>
      <c r="AB344" s="140"/>
    </row>
    <row r="345">
      <c r="A345" s="145"/>
      <c r="B345" s="146"/>
      <c r="C345" s="146"/>
      <c r="D345" s="146"/>
      <c r="E345" s="146"/>
      <c r="F345" s="140"/>
      <c r="G345" s="142"/>
      <c r="H345" s="142"/>
      <c r="I345" s="142"/>
      <c r="J345" s="137" t="s">
        <v>39</v>
      </c>
      <c r="K345" s="137" t="s">
        <v>39</v>
      </c>
      <c r="L345" s="146"/>
      <c r="M345" s="141"/>
      <c r="N345" s="129"/>
      <c r="O345" s="140"/>
      <c r="P345" s="140" t="s">
        <v>39</v>
      </c>
      <c r="Q345" s="76"/>
      <c r="R345" s="140"/>
      <c r="S345" s="140"/>
      <c r="T345" s="140"/>
      <c r="U345" s="140"/>
      <c r="V345" s="140"/>
      <c r="W345" s="140"/>
      <c r="X345" s="140"/>
      <c r="Y345" s="140"/>
      <c r="Z345" s="140"/>
      <c r="AA345" s="140"/>
      <c r="AB345" s="140"/>
    </row>
    <row r="346">
      <c r="A346" s="145"/>
      <c r="B346" s="146"/>
      <c r="C346" s="146"/>
      <c r="D346" s="146"/>
      <c r="E346" s="146"/>
      <c r="F346" s="140"/>
      <c r="G346" s="142"/>
      <c r="H346" s="142"/>
      <c r="I346" s="142"/>
      <c r="J346" s="137" t="s">
        <v>39</v>
      </c>
      <c r="K346" s="137" t="s">
        <v>39</v>
      </c>
      <c r="L346" s="146"/>
      <c r="M346" s="141"/>
      <c r="N346" s="129"/>
      <c r="O346" s="140"/>
      <c r="P346" s="140" t="s">
        <v>39</v>
      </c>
      <c r="Q346" s="76"/>
      <c r="R346" s="140"/>
      <c r="S346" s="140"/>
      <c r="T346" s="140"/>
      <c r="U346" s="140"/>
      <c r="V346" s="140"/>
      <c r="W346" s="140"/>
      <c r="X346" s="140"/>
      <c r="Y346" s="140"/>
      <c r="Z346" s="140"/>
      <c r="AA346" s="140"/>
      <c r="AB346" s="140"/>
    </row>
    <row r="347">
      <c r="A347" s="145"/>
      <c r="B347" s="146"/>
      <c r="C347" s="146"/>
      <c r="D347" s="146"/>
      <c r="E347" s="146"/>
      <c r="F347" s="140"/>
      <c r="G347" s="142"/>
      <c r="H347" s="142"/>
      <c r="I347" s="142"/>
      <c r="J347" s="137" t="s">
        <v>39</v>
      </c>
      <c r="K347" s="137" t="s">
        <v>39</v>
      </c>
      <c r="L347" s="146"/>
      <c r="M347" s="141"/>
      <c r="N347" s="129"/>
      <c r="O347" s="140"/>
      <c r="P347" s="140" t="s">
        <v>39</v>
      </c>
      <c r="Q347" s="76"/>
      <c r="R347" s="140"/>
      <c r="S347" s="140"/>
      <c r="T347" s="140"/>
      <c r="U347" s="140"/>
      <c r="V347" s="140"/>
      <c r="W347" s="140"/>
      <c r="X347" s="140"/>
      <c r="Y347" s="140"/>
      <c r="Z347" s="140"/>
      <c r="AA347" s="140"/>
      <c r="AB347" s="140"/>
    </row>
    <row r="348">
      <c r="A348" s="145"/>
      <c r="B348" s="146"/>
      <c r="C348" s="146"/>
      <c r="D348" s="146"/>
      <c r="E348" s="146"/>
      <c r="F348" s="140"/>
      <c r="G348" s="142"/>
      <c r="H348" s="142"/>
      <c r="I348" s="142"/>
      <c r="J348" s="137" t="s">
        <v>39</v>
      </c>
      <c r="K348" s="137" t="s">
        <v>39</v>
      </c>
      <c r="L348" s="146"/>
      <c r="M348" s="141"/>
      <c r="N348" s="129"/>
      <c r="O348" s="140"/>
      <c r="P348" s="140" t="s">
        <v>39</v>
      </c>
      <c r="Q348" s="76"/>
      <c r="R348" s="140"/>
      <c r="S348" s="140"/>
      <c r="T348" s="140"/>
      <c r="U348" s="140"/>
      <c r="V348" s="140"/>
      <c r="W348" s="140"/>
      <c r="X348" s="140"/>
      <c r="Y348" s="140"/>
      <c r="Z348" s="140"/>
      <c r="AA348" s="140"/>
      <c r="AB348" s="140"/>
    </row>
    <row r="349">
      <c r="A349" s="145"/>
      <c r="B349" s="146"/>
      <c r="C349" s="146"/>
      <c r="D349" s="146"/>
      <c r="E349" s="146"/>
      <c r="F349" s="140"/>
      <c r="G349" s="142"/>
      <c r="H349" s="142"/>
      <c r="I349" s="142"/>
      <c r="J349" s="137" t="s">
        <v>39</v>
      </c>
      <c r="K349" s="137" t="s">
        <v>39</v>
      </c>
      <c r="L349" s="146"/>
      <c r="M349" s="141"/>
      <c r="N349" s="129"/>
      <c r="O349" s="140"/>
      <c r="P349" s="140" t="s">
        <v>39</v>
      </c>
      <c r="Q349" s="76"/>
      <c r="R349" s="140"/>
      <c r="S349" s="140"/>
      <c r="T349" s="140"/>
      <c r="U349" s="140"/>
      <c r="V349" s="140"/>
      <c r="W349" s="140"/>
      <c r="X349" s="140"/>
      <c r="Y349" s="140"/>
      <c r="Z349" s="140"/>
      <c r="AA349" s="140"/>
      <c r="AB349" s="140"/>
    </row>
    <row r="350">
      <c r="A350" s="145"/>
      <c r="B350" s="146"/>
      <c r="C350" s="146"/>
      <c r="D350" s="146"/>
      <c r="E350" s="146"/>
      <c r="F350" s="140"/>
      <c r="G350" s="142"/>
      <c r="H350" s="142"/>
      <c r="I350" s="142"/>
      <c r="J350" s="137" t="s">
        <v>39</v>
      </c>
      <c r="K350" s="137" t="s">
        <v>39</v>
      </c>
      <c r="L350" s="146"/>
      <c r="M350" s="141"/>
      <c r="N350" s="129"/>
      <c r="O350" s="140"/>
      <c r="P350" s="140" t="s">
        <v>39</v>
      </c>
      <c r="Q350" s="76"/>
      <c r="R350" s="140"/>
      <c r="S350" s="140"/>
      <c r="T350" s="140"/>
      <c r="U350" s="140"/>
      <c r="V350" s="140"/>
      <c r="W350" s="140"/>
      <c r="X350" s="140"/>
      <c r="Y350" s="140"/>
      <c r="Z350" s="140"/>
      <c r="AA350" s="140"/>
      <c r="AB350" s="140"/>
    </row>
    <row r="351">
      <c r="A351" s="145"/>
      <c r="B351" s="146"/>
      <c r="C351" s="146"/>
      <c r="D351" s="146"/>
      <c r="E351" s="146"/>
      <c r="F351" s="140"/>
      <c r="G351" s="142"/>
      <c r="H351" s="142"/>
      <c r="I351" s="142"/>
      <c r="J351" s="137" t="s">
        <v>39</v>
      </c>
      <c r="K351" s="137" t="s">
        <v>39</v>
      </c>
      <c r="L351" s="146"/>
      <c r="M351" s="141"/>
      <c r="N351" s="129"/>
      <c r="O351" s="140"/>
      <c r="P351" s="140" t="s">
        <v>39</v>
      </c>
      <c r="Q351" s="76"/>
      <c r="R351" s="140"/>
      <c r="S351" s="140"/>
      <c r="T351" s="140"/>
      <c r="U351" s="140"/>
      <c r="V351" s="140"/>
      <c r="W351" s="140"/>
      <c r="X351" s="140"/>
      <c r="Y351" s="140"/>
      <c r="Z351" s="140"/>
      <c r="AA351" s="140"/>
      <c r="AB351" s="140"/>
    </row>
    <row r="352">
      <c r="A352" s="145"/>
      <c r="B352" s="146"/>
      <c r="C352" s="146"/>
      <c r="D352" s="146"/>
      <c r="E352" s="146"/>
      <c r="F352" s="140"/>
      <c r="G352" s="142"/>
      <c r="H352" s="142"/>
      <c r="I352" s="142"/>
      <c r="J352" s="137" t="s">
        <v>39</v>
      </c>
      <c r="K352" s="137" t="s">
        <v>39</v>
      </c>
      <c r="L352" s="146"/>
      <c r="M352" s="141"/>
      <c r="N352" s="129"/>
      <c r="O352" s="140"/>
      <c r="P352" s="140" t="s">
        <v>39</v>
      </c>
      <c r="Q352" s="76"/>
      <c r="R352" s="140"/>
      <c r="S352" s="140"/>
      <c r="T352" s="140"/>
      <c r="U352" s="140"/>
      <c r="V352" s="140"/>
      <c r="W352" s="140"/>
      <c r="X352" s="140"/>
      <c r="Y352" s="140"/>
      <c r="Z352" s="140"/>
      <c r="AA352" s="140"/>
      <c r="AB352" s="140"/>
    </row>
    <row r="353">
      <c r="A353" s="145"/>
      <c r="B353" s="146"/>
      <c r="C353" s="146"/>
      <c r="D353" s="146"/>
      <c r="E353" s="146"/>
      <c r="F353" s="140"/>
      <c r="G353" s="142"/>
      <c r="H353" s="142"/>
      <c r="I353" s="142"/>
      <c r="J353" s="137" t="s">
        <v>39</v>
      </c>
      <c r="K353" s="137" t="s">
        <v>39</v>
      </c>
      <c r="L353" s="146"/>
      <c r="M353" s="141"/>
      <c r="N353" s="129"/>
      <c r="O353" s="140"/>
      <c r="P353" s="140" t="s">
        <v>39</v>
      </c>
      <c r="Q353" s="76"/>
      <c r="R353" s="140"/>
      <c r="S353" s="140"/>
      <c r="T353" s="140"/>
      <c r="U353" s="140"/>
      <c r="V353" s="140"/>
      <c r="W353" s="140"/>
      <c r="X353" s="140"/>
      <c r="Y353" s="140"/>
      <c r="Z353" s="140"/>
      <c r="AA353" s="140"/>
      <c r="AB353" s="140"/>
    </row>
    <row r="354">
      <c r="A354" s="145"/>
      <c r="B354" s="146"/>
      <c r="C354" s="146"/>
      <c r="D354" s="146"/>
      <c r="E354" s="146"/>
      <c r="F354" s="140"/>
      <c r="G354" s="142"/>
      <c r="H354" s="142"/>
      <c r="I354" s="142"/>
      <c r="J354" s="137" t="s">
        <v>39</v>
      </c>
      <c r="K354" s="137" t="s">
        <v>39</v>
      </c>
      <c r="L354" s="146"/>
      <c r="M354" s="141"/>
      <c r="N354" s="129"/>
      <c r="O354" s="140"/>
      <c r="P354" s="140" t="s">
        <v>39</v>
      </c>
      <c r="Q354" s="76"/>
      <c r="R354" s="140"/>
      <c r="S354" s="140"/>
      <c r="T354" s="140"/>
      <c r="U354" s="140"/>
      <c r="V354" s="140"/>
      <c r="W354" s="140"/>
      <c r="X354" s="140"/>
      <c r="Y354" s="140"/>
      <c r="Z354" s="140"/>
      <c r="AA354" s="140"/>
      <c r="AB354" s="140"/>
    </row>
    <row r="355">
      <c r="A355" s="145"/>
      <c r="B355" s="146"/>
      <c r="C355" s="146"/>
      <c r="D355" s="146"/>
      <c r="E355" s="146"/>
      <c r="F355" s="140"/>
      <c r="G355" s="142"/>
      <c r="H355" s="142"/>
      <c r="I355" s="142"/>
      <c r="J355" s="137" t="s">
        <v>39</v>
      </c>
      <c r="K355" s="137" t="s">
        <v>39</v>
      </c>
      <c r="L355" s="146"/>
      <c r="M355" s="141"/>
      <c r="N355" s="129"/>
      <c r="O355" s="140"/>
      <c r="P355" s="140" t="s">
        <v>39</v>
      </c>
      <c r="Q355" s="76"/>
      <c r="R355" s="140"/>
      <c r="S355" s="140"/>
      <c r="T355" s="140"/>
      <c r="U355" s="140"/>
      <c r="V355" s="140"/>
      <c r="W355" s="140"/>
      <c r="X355" s="140"/>
      <c r="Y355" s="140"/>
      <c r="Z355" s="140"/>
      <c r="AA355" s="140"/>
      <c r="AB355" s="140"/>
    </row>
    <row r="356">
      <c r="A356" s="145"/>
      <c r="B356" s="146"/>
      <c r="C356" s="146"/>
      <c r="D356" s="146"/>
      <c r="E356" s="146"/>
      <c r="F356" s="140"/>
      <c r="G356" s="142"/>
      <c r="H356" s="142"/>
      <c r="I356" s="142"/>
      <c r="J356" s="137" t="s">
        <v>39</v>
      </c>
      <c r="K356" s="137" t="s">
        <v>39</v>
      </c>
      <c r="L356" s="146"/>
      <c r="M356" s="141"/>
      <c r="N356" s="129"/>
      <c r="O356" s="140"/>
      <c r="P356" s="140" t="s">
        <v>39</v>
      </c>
      <c r="Q356" s="76"/>
      <c r="R356" s="140"/>
      <c r="S356" s="140"/>
      <c r="T356" s="140"/>
      <c r="U356" s="140"/>
      <c r="V356" s="140"/>
      <c r="W356" s="140"/>
      <c r="X356" s="140"/>
      <c r="Y356" s="140"/>
      <c r="Z356" s="140"/>
      <c r="AA356" s="140"/>
      <c r="AB356" s="140"/>
    </row>
    <row r="357">
      <c r="A357" s="145"/>
      <c r="B357" s="146"/>
      <c r="C357" s="146"/>
      <c r="D357" s="146"/>
      <c r="E357" s="146"/>
      <c r="F357" s="140"/>
      <c r="G357" s="142"/>
      <c r="H357" s="142"/>
      <c r="I357" s="142"/>
      <c r="J357" s="137" t="s">
        <v>39</v>
      </c>
      <c r="K357" s="137" t="s">
        <v>39</v>
      </c>
      <c r="L357" s="146"/>
      <c r="M357" s="141"/>
      <c r="N357" s="129"/>
      <c r="O357" s="140"/>
      <c r="P357" s="140" t="s">
        <v>39</v>
      </c>
      <c r="Q357" s="76"/>
      <c r="R357" s="140"/>
      <c r="S357" s="140"/>
      <c r="T357" s="140"/>
      <c r="U357" s="140"/>
      <c r="V357" s="140"/>
      <c r="W357" s="140"/>
      <c r="X357" s="140"/>
      <c r="Y357" s="140"/>
      <c r="Z357" s="140"/>
      <c r="AA357" s="140"/>
      <c r="AB357" s="140"/>
    </row>
    <row r="358">
      <c r="A358" s="145"/>
      <c r="B358" s="146"/>
      <c r="C358" s="146"/>
      <c r="D358" s="146"/>
      <c r="E358" s="146"/>
      <c r="F358" s="140"/>
      <c r="G358" s="142"/>
      <c r="H358" s="142"/>
      <c r="I358" s="142"/>
      <c r="J358" s="137" t="s">
        <v>39</v>
      </c>
      <c r="K358" s="137" t="s">
        <v>39</v>
      </c>
      <c r="L358" s="146"/>
      <c r="M358" s="141"/>
      <c r="N358" s="129"/>
      <c r="O358" s="140"/>
      <c r="P358" s="140" t="s">
        <v>39</v>
      </c>
      <c r="Q358" s="76"/>
      <c r="R358" s="140"/>
      <c r="S358" s="140"/>
      <c r="T358" s="140"/>
      <c r="U358" s="140"/>
      <c r="V358" s="140"/>
      <c r="W358" s="140"/>
      <c r="X358" s="140"/>
      <c r="Y358" s="140"/>
      <c r="Z358" s="140"/>
      <c r="AA358" s="140"/>
      <c r="AB358" s="140"/>
    </row>
    <row r="359">
      <c r="A359" s="145"/>
      <c r="B359" s="146"/>
      <c r="C359" s="146"/>
      <c r="D359" s="146"/>
      <c r="E359" s="146"/>
      <c r="F359" s="140"/>
      <c r="G359" s="142"/>
      <c r="H359" s="142"/>
      <c r="I359" s="142"/>
      <c r="J359" s="137" t="s">
        <v>39</v>
      </c>
      <c r="K359" s="137" t="s">
        <v>39</v>
      </c>
      <c r="L359" s="146"/>
      <c r="M359" s="141"/>
      <c r="N359" s="129"/>
      <c r="O359" s="140"/>
      <c r="P359" s="140" t="s">
        <v>39</v>
      </c>
      <c r="Q359" s="76"/>
      <c r="R359" s="140"/>
      <c r="S359" s="140"/>
      <c r="T359" s="140"/>
      <c r="U359" s="140"/>
      <c r="V359" s="140"/>
      <c r="W359" s="140"/>
      <c r="X359" s="140"/>
      <c r="Y359" s="140"/>
      <c r="Z359" s="140"/>
      <c r="AA359" s="140"/>
      <c r="AB359" s="140"/>
    </row>
    <row r="360">
      <c r="A360" s="145"/>
      <c r="B360" s="146"/>
      <c r="C360" s="146"/>
      <c r="D360" s="146"/>
      <c r="E360" s="146"/>
      <c r="F360" s="140"/>
      <c r="G360" s="142"/>
      <c r="H360" s="142"/>
      <c r="I360" s="142"/>
      <c r="J360" s="137" t="s">
        <v>39</v>
      </c>
      <c r="K360" s="137" t="s">
        <v>39</v>
      </c>
      <c r="L360" s="146"/>
      <c r="M360" s="141"/>
      <c r="N360" s="129"/>
      <c r="O360" s="140"/>
      <c r="P360" s="140" t="s">
        <v>39</v>
      </c>
      <c r="Q360" s="76"/>
      <c r="R360" s="140"/>
      <c r="S360" s="140"/>
      <c r="T360" s="140"/>
      <c r="U360" s="140"/>
      <c r="V360" s="140"/>
      <c r="W360" s="140"/>
      <c r="X360" s="140"/>
      <c r="Y360" s="140"/>
      <c r="Z360" s="140"/>
      <c r="AA360" s="140"/>
      <c r="AB360" s="140"/>
    </row>
    <row r="361">
      <c r="A361" s="145"/>
      <c r="B361" s="146"/>
      <c r="C361" s="146"/>
      <c r="D361" s="146"/>
      <c r="E361" s="146"/>
      <c r="F361" s="140"/>
      <c r="G361" s="142"/>
      <c r="H361" s="142"/>
      <c r="I361" s="142"/>
      <c r="J361" s="137" t="s">
        <v>39</v>
      </c>
      <c r="K361" s="137" t="s">
        <v>39</v>
      </c>
      <c r="L361" s="146"/>
      <c r="M361" s="141"/>
      <c r="N361" s="129"/>
      <c r="O361" s="140"/>
      <c r="P361" s="140" t="s">
        <v>39</v>
      </c>
      <c r="Q361" s="76"/>
      <c r="R361" s="140"/>
      <c r="S361" s="140"/>
      <c r="T361" s="140"/>
      <c r="U361" s="140"/>
      <c r="V361" s="140"/>
      <c r="W361" s="140"/>
      <c r="X361" s="140"/>
      <c r="Y361" s="140"/>
      <c r="Z361" s="140"/>
      <c r="AA361" s="140"/>
      <c r="AB361" s="140"/>
    </row>
    <row r="362">
      <c r="A362" s="145"/>
      <c r="B362" s="146"/>
      <c r="C362" s="146"/>
      <c r="D362" s="146"/>
      <c r="E362" s="146"/>
      <c r="F362" s="140"/>
      <c r="G362" s="142"/>
      <c r="H362" s="142"/>
      <c r="I362" s="142"/>
      <c r="J362" s="137" t="s">
        <v>39</v>
      </c>
      <c r="K362" s="137" t="s">
        <v>39</v>
      </c>
      <c r="L362" s="146"/>
      <c r="M362" s="141"/>
      <c r="N362" s="129"/>
      <c r="O362" s="140"/>
      <c r="P362" s="140" t="s">
        <v>39</v>
      </c>
      <c r="Q362" s="76"/>
      <c r="R362" s="140"/>
      <c r="S362" s="140"/>
      <c r="T362" s="140"/>
      <c r="U362" s="140"/>
      <c r="V362" s="140"/>
      <c r="W362" s="140"/>
      <c r="X362" s="140"/>
      <c r="Y362" s="140"/>
      <c r="Z362" s="140"/>
      <c r="AA362" s="140"/>
      <c r="AB362" s="140"/>
    </row>
    <row r="363">
      <c r="A363" s="145"/>
      <c r="B363" s="146"/>
      <c r="C363" s="146"/>
      <c r="D363" s="146"/>
      <c r="E363" s="146"/>
      <c r="F363" s="140"/>
      <c r="G363" s="142"/>
      <c r="H363" s="142"/>
      <c r="I363" s="142"/>
      <c r="J363" s="137" t="s">
        <v>39</v>
      </c>
      <c r="K363" s="137" t="s">
        <v>39</v>
      </c>
      <c r="L363" s="146"/>
      <c r="M363" s="141"/>
      <c r="N363" s="129"/>
      <c r="O363" s="140"/>
      <c r="P363" s="140" t="s">
        <v>39</v>
      </c>
      <c r="Q363" s="76"/>
      <c r="R363" s="140"/>
      <c r="S363" s="140"/>
      <c r="T363" s="140"/>
      <c r="U363" s="140"/>
      <c r="V363" s="140"/>
      <c r="W363" s="140"/>
      <c r="X363" s="140"/>
      <c r="Y363" s="140"/>
      <c r="Z363" s="140"/>
      <c r="AA363" s="140"/>
      <c r="AB363" s="140"/>
    </row>
    <row r="364">
      <c r="A364" s="145"/>
      <c r="B364" s="146"/>
      <c r="C364" s="146"/>
      <c r="D364" s="146"/>
      <c r="E364" s="146"/>
      <c r="F364" s="140"/>
      <c r="G364" s="142"/>
      <c r="H364" s="142"/>
      <c r="I364" s="142"/>
      <c r="J364" s="137" t="s">
        <v>39</v>
      </c>
      <c r="K364" s="137" t="s">
        <v>39</v>
      </c>
      <c r="L364" s="146"/>
      <c r="M364" s="141"/>
      <c r="N364" s="129"/>
      <c r="O364" s="140"/>
      <c r="P364" s="140" t="s">
        <v>39</v>
      </c>
      <c r="Q364" s="76"/>
      <c r="R364" s="140"/>
      <c r="S364" s="140"/>
      <c r="T364" s="140"/>
      <c r="U364" s="140"/>
      <c r="V364" s="140"/>
      <c r="W364" s="140"/>
      <c r="X364" s="140"/>
      <c r="Y364" s="140"/>
      <c r="Z364" s="140"/>
      <c r="AA364" s="140"/>
      <c r="AB364" s="140"/>
    </row>
    <row r="365">
      <c r="A365" s="145"/>
      <c r="B365" s="146"/>
      <c r="C365" s="146"/>
      <c r="D365" s="146"/>
      <c r="E365" s="146"/>
      <c r="F365" s="140"/>
      <c r="G365" s="142"/>
      <c r="H365" s="142"/>
      <c r="I365" s="142"/>
      <c r="J365" s="137" t="s">
        <v>39</v>
      </c>
      <c r="K365" s="137" t="s">
        <v>39</v>
      </c>
      <c r="L365" s="146"/>
      <c r="M365" s="141"/>
      <c r="N365" s="129"/>
      <c r="O365" s="140"/>
      <c r="P365" s="140" t="s">
        <v>39</v>
      </c>
      <c r="Q365" s="76"/>
      <c r="R365" s="140"/>
      <c r="S365" s="140"/>
      <c r="T365" s="140"/>
      <c r="U365" s="140"/>
      <c r="V365" s="140"/>
      <c r="W365" s="140"/>
      <c r="X365" s="140"/>
      <c r="Y365" s="140"/>
      <c r="Z365" s="140"/>
      <c r="AA365" s="140"/>
      <c r="AB365" s="140"/>
    </row>
    <row r="366">
      <c r="A366" s="145"/>
      <c r="B366" s="146"/>
      <c r="C366" s="146"/>
      <c r="D366" s="146"/>
      <c r="E366" s="146"/>
      <c r="F366" s="140"/>
      <c r="G366" s="142"/>
      <c r="H366" s="142"/>
      <c r="I366" s="142"/>
      <c r="J366" s="137" t="s">
        <v>39</v>
      </c>
      <c r="K366" s="137" t="s">
        <v>39</v>
      </c>
      <c r="L366" s="146"/>
      <c r="M366" s="141"/>
      <c r="N366" s="129"/>
      <c r="O366" s="140"/>
      <c r="P366" s="140" t="s">
        <v>39</v>
      </c>
      <c r="Q366" s="76"/>
      <c r="R366" s="140"/>
      <c r="S366" s="140"/>
      <c r="T366" s="140"/>
      <c r="U366" s="140"/>
      <c r="V366" s="140"/>
      <c r="W366" s="140"/>
      <c r="X366" s="140"/>
      <c r="Y366" s="140"/>
      <c r="Z366" s="140"/>
      <c r="AA366" s="140"/>
      <c r="AB366" s="140"/>
    </row>
    <row r="367">
      <c r="A367" s="145"/>
      <c r="B367" s="146"/>
      <c r="C367" s="146"/>
      <c r="D367" s="146"/>
      <c r="E367" s="146"/>
      <c r="F367" s="140"/>
      <c r="G367" s="142"/>
      <c r="H367" s="142"/>
      <c r="I367" s="142"/>
      <c r="J367" s="137" t="s">
        <v>39</v>
      </c>
      <c r="K367" s="137" t="s">
        <v>39</v>
      </c>
      <c r="L367" s="146"/>
      <c r="M367" s="141"/>
      <c r="N367" s="129"/>
      <c r="O367" s="140"/>
      <c r="P367" s="140" t="s">
        <v>39</v>
      </c>
      <c r="Q367" s="76"/>
      <c r="R367" s="140"/>
      <c r="S367" s="140"/>
      <c r="T367" s="140"/>
      <c r="U367" s="140"/>
      <c r="V367" s="140"/>
      <c r="W367" s="140"/>
      <c r="X367" s="140"/>
      <c r="Y367" s="140"/>
      <c r="Z367" s="140"/>
      <c r="AA367" s="140"/>
      <c r="AB367" s="140"/>
    </row>
    <row r="368">
      <c r="A368" s="145"/>
      <c r="B368" s="146"/>
      <c r="C368" s="146"/>
      <c r="D368" s="146"/>
      <c r="E368" s="146"/>
      <c r="F368" s="140"/>
      <c r="G368" s="142"/>
      <c r="H368" s="142"/>
      <c r="I368" s="142"/>
      <c r="J368" s="137" t="s">
        <v>39</v>
      </c>
      <c r="K368" s="137" t="s">
        <v>39</v>
      </c>
      <c r="L368" s="146"/>
      <c r="M368" s="141"/>
      <c r="N368" s="129"/>
      <c r="O368" s="140"/>
      <c r="P368" s="140" t="s">
        <v>39</v>
      </c>
      <c r="Q368" s="76"/>
      <c r="R368" s="140"/>
      <c r="S368" s="140"/>
      <c r="T368" s="140"/>
      <c r="U368" s="140"/>
      <c r="V368" s="140"/>
      <c r="W368" s="140"/>
      <c r="X368" s="140"/>
      <c r="Y368" s="140"/>
      <c r="Z368" s="140"/>
      <c r="AA368" s="140"/>
      <c r="AB368" s="140"/>
    </row>
    <row r="369">
      <c r="A369" s="145"/>
      <c r="B369" s="146"/>
      <c r="C369" s="146"/>
      <c r="D369" s="146"/>
      <c r="E369" s="146"/>
      <c r="F369" s="140"/>
      <c r="G369" s="142"/>
      <c r="H369" s="142"/>
      <c r="I369" s="142"/>
      <c r="J369" s="137" t="s">
        <v>39</v>
      </c>
      <c r="K369" s="137" t="s">
        <v>39</v>
      </c>
      <c r="L369" s="146"/>
      <c r="M369" s="141"/>
      <c r="N369" s="129"/>
      <c r="O369" s="140"/>
      <c r="P369" s="140" t="s">
        <v>39</v>
      </c>
      <c r="Q369" s="76"/>
      <c r="R369" s="140"/>
      <c r="S369" s="140"/>
      <c r="T369" s="140"/>
      <c r="U369" s="140"/>
      <c r="V369" s="140"/>
      <c r="W369" s="140"/>
      <c r="X369" s="140"/>
      <c r="Y369" s="140"/>
      <c r="Z369" s="140"/>
      <c r="AA369" s="140"/>
      <c r="AB369" s="140"/>
    </row>
    <row r="370">
      <c r="A370" s="145"/>
      <c r="B370" s="146"/>
      <c r="C370" s="146"/>
      <c r="D370" s="146"/>
      <c r="E370" s="146"/>
      <c r="F370" s="140"/>
      <c r="G370" s="142"/>
      <c r="H370" s="142"/>
      <c r="I370" s="142"/>
      <c r="J370" s="137" t="s">
        <v>39</v>
      </c>
      <c r="K370" s="137" t="s">
        <v>39</v>
      </c>
      <c r="L370" s="146"/>
      <c r="M370" s="141"/>
      <c r="N370" s="129"/>
      <c r="O370" s="140"/>
      <c r="P370" s="140" t="s">
        <v>39</v>
      </c>
      <c r="Q370" s="76"/>
      <c r="R370" s="140"/>
      <c r="S370" s="140"/>
      <c r="T370" s="140"/>
      <c r="U370" s="140"/>
      <c r="V370" s="140"/>
      <c r="W370" s="140"/>
      <c r="X370" s="140"/>
      <c r="Y370" s="140"/>
      <c r="Z370" s="140"/>
      <c r="AA370" s="140"/>
      <c r="AB370" s="140"/>
    </row>
    <row r="371">
      <c r="A371" s="145"/>
      <c r="B371" s="146"/>
      <c r="C371" s="146"/>
      <c r="D371" s="146"/>
      <c r="E371" s="146"/>
      <c r="F371" s="140"/>
      <c r="G371" s="142"/>
      <c r="H371" s="142"/>
      <c r="I371" s="142"/>
      <c r="J371" s="137" t="s">
        <v>39</v>
      </c>
      <c r="K371" s="137" t="s">
        <v>39</v>
      </c>
      <c r="L371" s="146"/>
      <c r="M371" s="141"/>
      <c r="N371" s="129"/>
      <c r="O371" s="140"/>
      <c r="P371" s="140" t="s">
        <v>39</v>
      </c>
      <c r="Q371" s="76"/>
      <c r="R371" s="140"/>
      <c r="S371" s="140"/>
      <c r="T371" s="140"/>
      <c r="U371" s="140"/>
      <c r="V371" s="140"/>
      <c r="W371" s="140"/>
      <c r="X371" s="140"/>
      <c r="Y371" s="140"/>
      <c r="Z371" s="140"/>
      <c r="AA371" s="140"/>
      <c r="AB371" s="140"/>
    </row>
    <row r="372">
      <c r="A372" s="145"/>
      <c r="B372" s="146"/>
      <c r="C372" s="146"/>
      <c r="D372" s="146"/>
      <c r="E372" s="146"/>
      <c r="F372" s="140"/>
      <c r="G372" s="142"/>
      <c r="H372" s="142"/>
      <c r="I372" s="142"/>
      <c r="J372" s="137" t="s">
        <v>39</v>
      </c>
      <c r="K372" s="137" t="s">
        <v>39</v>
      </c>
      <c r="L372" s="146"/>
      <c r="M372" s="141"/>
      <c r="N372" s="129"/>
      <c r="O372" s="140"/>
      <c r="P372" s="140" t="s">
        <v>39</v>
      </c>
      <c r="Q372" s="76"/>
      <c r="R372" s="140"/>
      <c r="S372" s="140"/>
      <c r="T372" s="140"/>
      <c r="U372" s="140"/>
      <c r="V372" s="140"/>
      <c r="W372" s="140"/>
      <c r="X372" s="140"/>
      <c r="Y372" s="140"/>
      <c r="Z372" s="140"/>
      <c r="AA372" s="140"/>
      <c r="AB372" s="140"/>
    </row>
    <row r="373">
      <c r="A373" s="145"/>
      <c r="B373" s="146"/>
      <c r="C373" s="146"/>
      <c r="D373" s="146"/>
      <c r="E373" s="146"/>
      <c r="F373" s="140"/>
      <c r="G373" s="142"/>
      <c r="H373" s="142"/>
      <c r="I373" s="142"/>
      <c r="J373" s="137" t="s">
        <v>39</v>
      </c>
      <c r="K373" s="137" t="s">
        <v>39</v>
      </c>
      <c r="L373" s="146"/>
      <c r="M373" s="141"/>
      <c r="N373" s="129"/>
      <c r="O373" s="140"/>
      <c r="P373" s="140" t="s">
        <v>39</v>
      </c>
      <c r="Q373" s="76"/>
      <c r="R373" s="140"/>
      <c r="S373" s="140"/>
      <c r="T373" s="140"/>
      <c r="U373" s="140"/>
      <c r="V373" s="140"/>
      <c r="W373" s="140"/>
      <c r="X373" s="140"/>
      <c r="Y373" s="140"/>
      <c r="Z373" s="140"/>
      <c r="AA373" s="140"/>
      <c r="AB373" s="140"/>
    </row>
    <row r="374">
      <c r="A374" s="145"/>
      <c r="B374" s="146"/>
      <c r="C374" s="146"/>
      <c r="D374" s="146"/>
      <c r="E374" s="146"/>
      <c r="F374" s="140"/>
      <c r="G374" s="142"/>
      <c r="H374" s="142"/>
      <c r="I374" s="142"/>
      <c r="J374" s="137" t="s">
        <v>39</v>
      </c>
      <c r="K374" s="137" t="s">
        <v>39</v>
      </c>
      <c r="L374" s="146"/>
      <c r="M374" s="141"/>
      <c r="N374" s="129"/>
      <c r="O374" s="140"/>
      <c r="P374" s="140" t="s">
        <v>39</v>
      </c>
      <c r="Q374" s="76"/>
      <c r="R374" s="140"/>
      <c r="S374" s="140"/>
      <c r="T374" s="140"/>
      <c r="U374" s="140"/>
      <c r="V374" s="140"/>
      <c r="W374" s="140"/>
      <c r="X374" s="140"/>
      <c r="Y374" s="140"/>
      <c r="Z374" s="140"/>
      <c r="AA374" s="140"/>
      <c r="AB374" s="140"/>
    </row>
    <row r="375">
      <c r="A375" s="145"/>
      <c r="B375" s="146"/>
      <c r="C375" s="146"/>
      <c r="D375" s="146"/>
      <c r="E375" s="146"/>
      <c r="F375" s="140"/>
      <c r="G375" s="142"/>
      <c r="H375" s="142"/>
      <c r="I375" s="142"/>
      <c r="J375" s="137" t="s">
        <v>39</v>
      </c>
      <c r="K375" s="137" t="s">
        <v>39</v>
      </c>
      <c r="L375" s="146"/>
      <c r="M375" s="141"/>
      <c r="N375" s="129"/>
      <c r="O375" s="140"/>
      <c r="P375" s="140" t="s">
        <v>39</v>
      </c>
      <c r="Q375" s="76"/>
      <c r="R375" s="140"/>
      <c r="S375" s="140"/>
      <c r="T375" s="140"/>
      <c r="U375" s="140"/>
      <c r="V375" s="140"/>
      <c r="W375" s="140"/>
      <c r="X375" s="140"/>
      <c r="Y375" s="140"/>
      <c r="Z375" s="140"/>
      <c r="AA375" s="140"/>
      <c r="AB375" s="140"/>
    </row>
    <row r="376">
      <c r="A376" s="145"/>
      <c r="B376" s="146"/>
      <c r="C376" s="146"/>
      <c r="D376" s="146"/>
      <c r="E376" s="146"/>
      <c r="F376" s="140"/>
      <c r="G376" s="142"/>
      <c r="H376" s="142"/>
      <c r="I376" s="142"/>
      <c r="J376" s="137" t="s">
        <v>39</v>
      </c>
      <c r="K376" s="137" t="s">
        <v>39</v>
      </c>
      <c r="L376" s="146"/>
      <c r="M376" s="141"/>
      <c r="N376" s="129"/>
      <c r="O376" s="140"/>
      <c r="P376" s="140" t="s">
        <v>39</v>
      </c>
      <c r="Q376" s="76"/>
      <c r="R376" s="140"/>
      <c r="S376" s="140"/>
      <c r="T376" s="140"/>
      <c r="U376" s="140"/>
      <c r="V376" s="140"/>
      <c r="W376" s="140"/>
      <c r="X376" s="140"/>
      <c r="Y376" s="140"/>
      <c r="Z376" s="140"/>
      <c r="AA376" s="140"/>
      <c r="AB376" s="140"/>
    </row>
    <row r="377">
      <c r="A377" s="145"/>
      <c r="B377" s="146"/>
      <c r="C377" s="146"/>
      <c r="D377" s="146"/>
      <c r="E377" s="146"/>
      <c r="F377" s="140"/>
      <c r="G377" s="142"/>
      <c r="H377" s="142"/>
      <c r="I377" s="142"/>
      <c r="J377" s="137" t="s">
        <v>39</v>
      </c>
      <c r="K377" s="137" t="s">
        <v>39</v>
      </c>
      <c r="L377" s="146"/>
      <c r="M377" s="141"/>
      <c r="N377" s="129"/>
      <c r="O377" s="140"/>
      <c r="P377" s="140" t="s">
        <v>39</v>
      </c>
      <c r="Q377" s="76"/>
      <c r="R377" s="140"/>
      <c r="S377" s="140"/>
      <c r="T377" s="140"/>
      <c r="U377" s="140"/>
      <c r="V377" s="140"/>
      <c r="W377" s="140"/>
      <c r="X377" s="140"/>
      <c r="Y377" s="140"/>
      <c r="Z377" s="140"/>
      <c r="AA377" s="140"/>
      <c r="AB377" s="140"/>
    </row>
    <row r="378">
      <c r="A378" s="145"/>
      <c r="B378" s="146"/>
      <c r="C378" s="146"/>
      <c r="D378" s="146"/>
      <c r="E378" s="146"/>
      <c r="F378" s="140"/>
      <c r="G378" s="142"/>
      <c r="H378" s="142"/>
      <c r="I378" s="142"/>
      <c r="J378" s="137" t="s">
        <v>39</v>
      </c>
      <c r="K378" s="137" t="s">
        <v>39</v>
      </c>
      <c r="L378" s="146"/>
      <c r="M378" s="141"/>
      <c r="N378" s="129"/>
      <c r="O378" s="140"/>
      <c r="P378" s="140" t="s">
        <v>39</v>
      </c>
      <c r="Q378" s="76"/>
      <c r="R378" s="140"/>
      <c r="S378" s="140"/>
      <c r="T378" s="140"/>
      <c r="U378" s="140"/>
      <c r="V378" s="140"/>
      <c r="W378" s="140"/>
      <c r="X378" s="140"/>
      <c r="Y378" s="140"/>
      <c r="Z378" s="140"/>
      <c r="AA378" s="140"/>
      <c r="AB378" s="140"/>
    </row>
    <row r="379">
      <c r="A379" s="145"/>
      <c r="B379" s="146"/>
      <c r="C379" s="146"/>
      <c r="D379" s="146"/>
      <c r="E379" s="146"/>
      <c r="F379" s="140"/>
      <c r="G379" s="142"/>
      <c r="H379" s="142"/>
      <c r="I379" s="142"/>
      <c r="J379" s="137" t="s">
        <v>39</v>
      </c>
      <c r="K379" s="137" t="s">
        <v>39</v>
      </c>
      <c r="L379" s="146"/>
      <c r="M379" s="141"/>
      <c r="N379" s="129"/>
      <c r="O379" s="140"/>
      <c r="P379" s="140" t="s">
        <v>39</v>
      </c>
      <c r="Q379" s="76"/>
      <c r="R379" s="140"/>
      <c r="S379" s="140"/>
      <c r="T379" s="140"/>
      <c r="U379" s="140"/>
      <c r="V379" s="140"/>
      <c r="W379" s="140"/>
      <c r="X379" s="140"/>
      <c r="Y379" s="140"/>
      <c r="Z379" s="140"/>
      <c r="AA379" s="140"/>
      <c r="AB379" s="140"/>
    </row>
    <row r="380">
      <c r="A380" s="145"/>
      <c r="B380" s="146"/>
      <c r="C380" s="146"/>
      <c r="D380" s="146"/>
      <c r="E380" s="146"/>
      <c r="F380" s="140"/>
      <c r="G380" s="142"/>
      <c r="H380" s="142"/>
      <c r="I380" s="142"/>
      <c r="J380" s="137" t="s">
        <v>39</v>
      </c>
      <c r="K380" s="137" t="s">
        <v>39</v>
      </c>
      <c r="L380" s="146"/>
      <c r="M380" s="141"/>
      <c r="N380" s="129"/>
      <c r="O380" s="140"/>
      <c r="P380" s="140" t="s">
        <v>39</v>
      </c>
      <c r="Q380" s="76"/>
      <c r="R380" s="140"/>
      <c r="S380" s="140"/>
      <c r="T380" s="140"/>
      <c r="U380" s="140"/>
      <c r="V380" s="140"/>
      <c r="W380" s="140"/>
      <c r="X380" s="140"/>
      <c r="Y380" s="140"/>
      <c r="Z380" s="140"/>
      <c r="AA380" s="140"/>
      <c r="AB380" s="140"/>
    </row>
    <row r="381">
      <c r="A381" s="145"/>
      <c r="B381" s="146"/>
      <c r="C381" s="146"/>
      <c r="D381" s="146"/>
      <c r="E381" s="146"/>
      <c r="F381" s="140"/>
      <c r="G381" s="142"/>
      <c r="H381" s="142"/>
      <c r="I381" s="142"/>
      <c r="J381" s="137" t="s">
        <v>39</v>
      </c>
      <c r="K381" s="137" t="s">
        <v>39</v>
      </c>
      <c r="L381" s="146"/>
      <c r="M381" s="141"/>
      <c r="N381" s="129"/>
      <c r="O381" s="140"/>
      <c r="P381" s="140" t="s">
        <v>39</v>
      </c>
      <c r="Q381" s="76"/>
      <c r="R381" s="140"/>
      <c r="S381" s="140"/>
      <c r="T381" s="140"/>
      <c r="U381" s="140"/>
      <c r="V381" s="140"/>
      <c r="W381" s="140"/>
      <c r="X381" s="140"/>
      <c r="Y381" s="140"/>
      <c r="Z381" s="140"/>
      <c r="AA381" s="140"/>
      <c r="AB381" s="140"/>
    </row>
    <row r="382">
      <c r="A382" s="145"/>
      <c r="B382" s="146"/>
      <c r="C382" s="146"/>
      <c r="D382" s="146"/>
      <c r="E382" s="146"/>
      <c r="F382" s="140"/>
      <c r="G382" s="142"/>
      <c r="H382" s="142"/>
      <c r="I382" s="142"/>
      <c r="J382" s="137" t="s">
        <v>39</v>
      </c>
      <c r="K382" s="137" t="s">
        <v>39</v>
      </c>
      <c r="L382" s="146"/>
      <c r="M382" s="141"/>
      <c r="N382" s="129"/>
      <c r="O382" s="140"/>
      <c r="P382" s="140" t="s">
        <v>39</v>
      </c>
      <c r="Q382" s="76"/>
      <c r="R382" s="140"/>
      <c r="S382" s="140"/>
      <c r="T382" s="140"/>
      <c r="U382" s="140"/>
      <c r="V382" s="140"/>
      <c r="W382" s="140"/>
      <c r="X382" s="140"/>
      <c r="Y382" s="140"/>
      <c r="Z382" s="140"/>
      <c r="AA382" s="140"/>
      <c r="AB382" s="140"/>
    </row>
    <row r="383">
      <c r="A383" s="145"/>
      <c r="B383" s="146"/>
      <c r="C383" s="146"/>
      <c r="D383" s="146"/>
      <c r="E383" s="146"/>
      <c r="F383" s="140"/>
      <c r="G383" s="142"/>
      <c r="H383" s="142"/>
      <c r="I383" s="142"/>
      <c r="J383" s="137" t="s">
        <v>39</v>
      </c>
      <c r="K383" s="137" t="s">
        <v>39</v>
      </c>
      <c r="L383" s="146"/>
      <c r="M383" s="141"/>
      <c r="N383" s="129"/>
      <c r="O383" s="140"/>
      <c r="P383" s="140" t="s">
        <v>39</v>
      </c>
      <c r="Q383" s="76"/>
      <c r="R383" s="140"/>
      <c r="S383" s="140"/>
      <c r="T383" s="140"/>
      <c r="U383" s="140"/>
      <c r="V383" s="140"/>
      <c r="W383" s="140"/>
      <c r="X383" s="140"/>
      <c r="Y383" s="140"/>
      <c r="Z383" s="140"/>
      <c r="AA383" s="140"/>
      <c r="AB383" s="140"/>
    </row>
    <row r="384">
      <c r="A384" s="145"/>
      <c r="B384" s="146"/>
      <c r="C384" s="146"/>
      <c r="D384" s="146"/>
      <c r="E384" s="146"/>
      <c r="F384" s="140"/>
      <c r="G384" s="142"/>
      <c r="H384" s="142"/>
      <c r="I384" s="142"/>
      <c r="J384" s="137" t="s">
        <v>39</v>
      </c>
      <c r="K384" s="137" t="s">
        <v>39</v>
      </c>
      <c r="L384" s="146"/>
      <c r="M384" s="141"/>
      <c r="N384" s="129"/>
      <c r="O384" s="140"/>
      <c r="P384" s="140" t="s">
        <v>39</v>
      </c>
      <c r="Q384" s="76"/>
      <c r="R384" s="140"/>
      <c r="S384" s="140"/>
      <c r="T384" s="140"/>
      <c r="U384" s="140"/>
      <c r="V384" s="140"/>
      <c r="W384" s="140"/>
      <c r="X384" s="140"/>
      <c r="Y384" s="140"/>
      <c r="Z384" s="140"/>
      <c r="AA384" s="140"/>
      <c r="AB384" s="140"/>
    </row>
    <row r="385">
      <c r="A385" s="145"/>
      <c r="B385" s="146"/>
      <c r="C385" s="146"/>
      <c r="D385" s="146"/>
      <c r="E385" s="146"/>
      <c r="F385" s="140"/>
      <c r="G385" s="142"/>
      <c r="H385" s="142"/>
      <c r="I385" s="142"/>
      <c r="J385" s="137" t="s">
        <v>39</v>
      </c>
      <c r="K385" s="137" t="s">
        <v>39</v>
      </c>
      <c r="L385" s="146"/>
      <c r="M385" s="141"/>
      <c r="N385" s="129"/>
      <c r="O385" s="140"/>
      <c r="P385" s="140" t="s">
        <v>39</v>
      </c>
      <c r="Q385" s="76"/>
      <c r="R385" s="140"/>
      <c r="S385" s="140"/>
      <c r="T385" s="140"/>
      <c r="U385" s="140"/>
      <c r="V385" s="140"/>
      <c r="W385" s="140"/>
      <c r="X385" s="140"/>
      <c r="Y385" s="140"/>
      <c r="Z385" s="140"/>
      <c r="AA385" s="140"/>
      <c r="AB385" s="140"/>
    </row>
    <row r="386">
      <c r="A386" s="145"/>
      <c r="B386" s="146"/>
      <c r="C386" s="146"/>
      <c r="D386" s="146"/>
      <c r="E386" s="146"/>
      <c r="F386" s="140"/>
      <c r="G386" s="142"/>
      <c r="H386" s="142"/>
      <c r="I386" s="142"/>
      <c r="J386" s="137" t="s">
        <v>39</v>
      </c>
      <c r="K386" s="137" t="s">
        <v>39</v>
      </c>
      <c r="L386" s="146"/>
      <c r="M386" s="141"/>
      <c r="N386" s="129"/>
      <c r="O386" s="140"/>
      <c r="P386" s="140" t="s">
        <v>39</v>
      </c>
      <c r="Q386" s="76"/>
      <c r="R386" s="140"/>
      <c r="S386" s="140"/>
      <c r="T386" s="140"/>
      <c r="U386" s="140"/>
      <c r="V386" s="140"/>
      <c r="W386" s="140"/>
      <c r="X386" s="140"/>
      <c r="Y386" s="140"/>
      <c r="Z386" s="140"/>
      <c r="AA386" s="140"/>
      <c r="AB386" s="140"/>
    </row>
    <row r="387">
      <c r="A387" s="145"/>
      <c r="B387" s="146"/>
      <c r="C387" s="146"/>
      <c r="D387" s="146"/>
      <c r="E387" s="146"/>
      <c r="F387" s="140"/>
      <c r="G387" s="142"/>
      <c r="H387" s="142"/>
      <c r="I387" s="142"/>
      <c r="J387" s="137" t="s">
        <v>39</v>
      </c>
      <c r="K387" s="137" t="s">
        <v>39</v>
      </c>
      <c r="L387" s="146"/>
      <c r="M387" s="141"/>
      <c r="N387" s="129"/>
      <c r="O387" s="140"/>
      <c r="P387" s="140" t="s">
        <v>39</v>
      </c>
      <c r="Q387" s="76"/>
      <c r="R387" s="140"/>
      <c r="S387" s="140"/>
      <c r="T387" s="140"/>
      <c r="U387" s="140"/>
      <c r="V387" s="140"/>
      <c r="W387" s="140"/>
      <c r="X387" s="140"/>
      <c r="Y387" s="140"/>
      <c r="Z387" s="140"/>
      <c r="AA387" s="140"/>
      <c r="AB387" s="140"/>
    </row>
    <row r="388">
      <c r="A388" s="145"/>
      <c r="B388" s="146"/>
      <c r="C388" s="146"/>
      <c r="D388" s="146"/>
      <c r="E388" s="146"/>
      <c r="F388" s="140"/>
      <c r="G388" s="142"/>
      <c r="H388" s="142"/>
      <c r="I388" s="142"/>
      <c r="J388" s="137" t="s">
        <v>39</v>
      </c>
      <c r="K388" s="137" t="s">
        <v>39</v>
      </c>
      <c r="L388" s="146"/>
      <c r="M388" s="141"/>
      <c r="N388" s="129"/>
      <c r="O388" s="140"/>
      <c r="P388" s="140" t="s">
        <v>39</v>
      </c>
      <c r="Q388" s="76"/>
      <c r="R388" s="140"/>
      <c r="S388" s="140"/>
      <c r="T388" s="140"/>
      <c r="U388" s="140"/>
      <c r="V388" s="140"/>
      <c r="W388" s="140"/>
      <c r="X388" s="140"/>
      <c r="Y388" s="140"/>
      <c r="Z388" s="140"/>
      <c r="AA388" s="140"/>
      <c r="AB388" s="140"/>
    </row>
    <row r="389">
      <c r="A389" s="145"/>
      <c r="B389" s="146"/>
      <c r="C389" s="146"/>
      <c r="D389" s="146"/>
      <c r="E389" s="146"/>
      <c r="F389" s="140"/>
      <c r="G389" s="142"/>
      <c r="H389" s="142"/>
      <c r="I389" s="142"/>
      <c r="J389" s="137" t="s">
        <v>39</v>
      </c>
      <c r="K389" s="137" t="s">
        <v>39</v>
      </c>
      <c r="L389" s="146"/>
      <c r="M389" s="141"/>
      <c r="N389" s="129"/>
      <c r="O389" s="140"/>
      <c r="P389" s="140" t="s">
        <v>39</v>
      </c>
      <c r="Q389" s="76"/>
      <c r="R389" s="140"/>
      <c r="S389" s="140"/>
      <c r="T389" s="140"/>
      <c r="U389" s="140"/>
      <c r="V389" s="140"/>
      <c r="W389" s="140"/>
      <c r="X389" s="140"/>
      <c r="Y389" s="140"/>
      <c r="Z389" s="140"/>
      <c r="AA389" s="140"/>
      <c r="AB389" s="140"/>
    </row>
    <row r="390">
      <c r="A390" s="145"/>
      <c r="B390" s="146"/>
      <c r="C390" s="146"/>
      <c r="D390" s="146"/>
      <c r="E390" s="146"/>
      <c r="F390" s="140"/>
      <c r="G390" s="142"/>
      <c r="H390" s="142"/>
      <c r="I390" s="142"/>
      <c r="J390" s="137" t="s">
        <v>39</v>
      </c>
      <c r="K390" s="137" t="s">
        <v>39</v>
      </c>
      <c r="L390" s="146"/>
      <c r="M390" s="141"/>
      <c r="N390" s="129"/>
      <c r="O390" s="140"/>
      <c r="P390" s="140" t="s">
        <v>39</v>
      </c>
      <c r="Q390" s="76"/>
      <c r="R390" s="140"/>
      <c r="S390" s="140"/>
      <c r="T390" s="140"/>
      <c r="U390" s="140"/>
      <c r="V390" s="140"/>
      <c r="W390" s="140"/>
      <c r="X390" s="140"/>
      <c r="Y390" s="140"/>
      <c r="Z390" s="140"/>
      <c r="AA390" s="140"/>
      <c r="AB390" s="140"/>
    </row>
    <row r="391">
      <c r="A391" s="145"/>
      <c r="B391" s="146"/>
      <c r="C391" s="146"/>
      <c r="D391" s="146"/>
      <c r="E391" s="146"/>
      <c r="F391" s="140"/>
      <c r="G391" s="142"/>
      <c r="H391" s="142"/>
      <c r="I391" s="142"/>
      <c r="J391" s="137" t="s">
        <v>39</v>
      </c>
      <c r="K391" s="137" t="s">
        <v>39</v>
      </c>
      <c r="L391" s="146"/>
      <c r="M391" s="141"/>
      <c r="N391" s="129"/>
      <c r="O391" s="140"/>
      <c r="P391" s="140" t="s">
        <v>39</v>
      </c>
      <c r="Q391" s="76"/>
      <c r="R391" s="140"/>
      <c r="S391" s="140"/>
      <c r="T391" s="140"/>
      <c r="U391" s="140"/>
      <c r="V391" s="140"/>
      <c r="W391" s="140"/>
      <c r="X391" s="140"/>
      <c r="Y391" s="140"/>
      <c r="Z391" s="140"/>
      <c r="AA391" s="140"/>
      <c r="AB391" s="140"/>
    </row>
    <row r="392">
      <c r="A392" s="145"/>
      <c r="B392" s="146"/>
      <c r="C392" s="146"/>
      <c r="D392" s="146"/>
      <c r="E392" s="146"/>
      <c r="F392" s="140"/>
      <c r="G392" s="142"/>
      <c r="H392" s="142"/>
      <c r="I392" s="142"/>
      <c r="J392" s="137" t="s">
        <v>39</v>
      </c>
      <c r="K392" s="137" t="s">
        <v>39</v>
      </c>
      <c r="L392" s="146"/>
      <c r="M392" s="141"/>
      <c r="N392" s="129"/>
      <c r="O392" s="140"/>
      <c r="P392" s="140" t="s">
        <v>39</v>
      </c>
      <c r="Q392" s="76"/>
      <c r="R392" s="140"/>
      <c r="S392" s="140"/>
      <c r="T392" s="140"/>
      <c r="U392" s="140"/>
      <c r="V392" s="140"/>
      <c r="W392" s="140"/>
      <c r="X392" s="140"/>
      <c r="Y392" s="140"/>
      <c r="Z392" s="140"/>
      <c r="AA392" s="140"/>
      <c r="AB392" s="140"/>
    </row>
    <row r="393">
      <c r="A393" s="145"/>
      <c r="B393" s="146"/>
      <c r="C393" s="146"/>
      <c r="D393" s="146"/>
      <c r="E393" s="146"/>
      <c r="F393" s="140"/>
      <c r="G393" s="142"/>
      <c r="H393" s="142"/>
      <c r="I393" s="142"/>
      <c r="J393" s="137" t="s">
        <v>39</v>
      </c>
      <c r="K393" s="137" t="s">
        <v>39</v>
      </c>
      <c r="L393" s="146"/>
      <c r="M393" s="141"/>
      <c r="N393" s="129"/>
      <c r="O393" s="140"/>
      <c r="P393" s="140" t="s">
        <v>39</v>
      </c>
      <c r="Q393" s="76"/>
      <c r="R393" s="140"/>
      <c r="S393" s="140"/>
      <c r="T393" s="140"/>
      <c r="U393" s="140"/>
      <c r="V393" s="140"/>
      <c r="W393" s="140"/>
      <c r="X393" s="140"/>
      <c r="Y393" s="140"/>
      <c r="Z393" s="140"/>
      <c r="AA393" s="140"/>
      <c r="AB393" s="140"/>
    </row>
    <row r="394">
      <c r="A394" s="145"/>
      <c r="B394" s="146"/>
      <c r="C394" s="146"/>
      <c r="D394" s="146"/>
      <c r="E394" s="146"/>
      <c r="F394" s="140"/>
      <c r="G394" s="142"/>
      <c r="H394" s="142"/>
      <c r="I394" s="142"/>
      <c r="J394" s="137" t="s">
        <v>39</v>
      </c>
      <c r="K394" s="137" t="s">
        <v>39</v>
      </c>
      <c r="L394" s="146"/>
      <c r="M394" s="141"/>
      <c r="N394" s="129"/>
      <c r="O394" s="140"/>
      <c r="P394" s="140" t="s">
        <v>39</v>
      </c>
      <c r="Q394" s="76"/>
      <c r="R394" s="140"/>
      <c r="S394" s="140"/>
      <c r="T394" s="140"/>
      <c r="U394" s="140"/>
      <c r="V394" s="140"/>
      <c r="W394" s="140"/>
      <c r="X394" s="140"/>
      <c r="Y394" s="140"/>
      <c r="Z394" s="140"/>
      <c r="AA394" s="140"/>
      <c r="AB394" s="140"/>
    </row>
    <row r="395">
      <c r="A395" s="145"/>
      <c r="B395" s="146"/>
      <c r="C395" s="146"/>
      <c r="D395" s="146"/>
      <c r="E395" s="146"/>
      <c r="F395" s="140"/>
      <c r="G395" s="142"/>
      <c r="H395" s="142"/>
      <c r="I395" s="142"/>
      <c r="J395" s="137" t="s">
        <v>39</v>
      </c>
      <c r="K395" s="137" t="s">
        <v>39</v>
      </c>
      <c r="L395" s="146"/>
      <c r="M395" s="141"/>
      <c r="N395" s="129"/>
      <c r="O395" s="140"/>
      <c r="P395" s="140" t="s">
        <v>39</v>
      </c>
      <c r="Q395" s="76"/>
      <c r="R395" s="140"/>
      <c r="S395" s="140"/>
      <c r="T395" s="140"/>
      <c r="U395" s="140"/>
      <c r="V395" s="140"/>
      <c r="W395" s="140"/>
      <c r="X395" s="140"/>
      <c r="Y395" s="140"/>
      <c r="Z395" s="140"/>
      <c r="AA395" s="140"/>
      <c r="AB395" s="140"/>
    </row>
    <row r="396">
      <c r="A396" s="145"/>
      <c r="B396" s="146"/>
      <c r="C396" s="146"/>
      <c r="D396" s="146"/>
      <c r="E396" s="146"/>
      <c r="F396" s="140"/>
      <c r="G396" s="142"/>
      <c r="H396" s="142"/>
      <c r="I396" s="142"/>
      <c r="J396" s="137" t="s">
        <v>39</v>
      </c>
      <c r="K396" s="137" t="s">
        <v>39</v>
      </c>
      <c r="L396" s="146"/>
      <c r="M396" s="141"/>
      <c r="N396" s="129"/>
      <c r="O396" s="140"/>
      <c r="P396" s="140" t="s">
        <v>39</v>
      </c>
      <c r="Q396" s="76"/>
      <c r="R396" s="140"/>
      <c r="S396" s="140"/>
      <c r="T396" s="140"/>
      <c r="U396" s="140"/>
      <c r="V396" s="140"/>
      <c r="W396" s="140"/>
      <c r="X396" s="140"/>
      <c r="Y396" s="140"/>
      <c r="Z396" s="140"/>
      <c r="AA396" s="140"/>
      <c r="AB396" s="140"/>
    </row>
    <row r="397">
      <c r="A397" s="145"/>
      <c r="B397" s="146"/>
      <c r="C397" s="146"/>
      <c r="D397" s="146"/>
      <c r="E397" s="146"/>
      <c r="F397" s="140"/>
      <c r="G397" s="142"/>
      <c r="H397" s="142"/>
      <c r="I397" s="142"/>
      <c r="J397" s="137" t="s">
        <v>39</v>
      </c>
      <c r="K397" s="137" t="s">
        <v>39</v>
      </c>
      <c r="L397" s="146"/>
      <c r="M397" s="141"/>
      <c r="N397" s="129"/>
      <c r="O397" s="140"/>
      <c r="P397" s="140" t="s">
        <v>39</v>
      </c>
      <c r="Q397" s="76"/>
      <c r="R397" s="140"/>
      <c r="S397" s="140"/>
      <c r="T397" s="140"/>
      <c r="U397" s="140"/>
      <c r="V397" s="140"/>
      <c r="W397" s="140"/>
      <c r="X397" s="140"/>
      <c r="Y397" s="140"/>
      <c r="Z397" s="140"/>
      <c r="AA397" s="140"/>
      <c r="AB397" s="140"/>
    </row>
    <row r="398">
      <c r="A398" s="145"/>
      <c r="B398" s="146"/>
      <c r="C398" s="146"/>
      <c r="D398" s="146"/>
      <c r="E398" s="146"/>
      <c r="F398" s="140"/>
      <c r="G398" s="142"/>
      <c r="H398" s="142"/>
      <c r="I398" s="142"/>
      <c r="J398" s="137" t="s">
        <v>39</v>
      </c>
      <c r="K398" s="137" t="s">
        <v>39</v>
      </c>
      <c r="L398" s="146"/>
      <c r="M398" s="141"/>
      <c r="N398" s="129"/>
      <c r="O398" s="140"/>
      <c r="P398" s="140" t="s">
        <v>39</v>
      </c>
      <c r="Q398" s="76"/>
      <c r="R398" s="140"/>
      <c r="S398" s="140"/>
      <c r="T398" s="140"/>
      <c r="U398" s="140"/>
      <c r="V398" s="140"/>
      <c r="W398" s="140"/>
      <c r="X398" s="140"/>
      <c r="Y398" s="140"/>
      <c r="Z398" s="140"/>
      <c r="AA398" s="140"/>
      <c r="AB398" s="140"/>
    </row>
    <row r="399">
      <c r="A399" s="145"/>
      <c r="B399" s="146"/>
      <c r="C399" s="146"/>
      <c r="D399" s="146"/>
      <c r="E399" s="146"/>
      <c r="F399" s="140"/>
      <c r="G399" s="142"/>
      <c r="H399" s="142"/>
      <c r="I399" s="142"/>
      <c r="J399" s="137" t="s">
        <v>39</v>
      </c>
      <c r="K399" s="137" t="s">
        <v>39</v>
      </c>
      <c r="L399" s="146"/>
      <c r="M399" s="141"/>
      <c r="N399" s="129"/>
      <c r="O399" s="140"/>
      <c r="P399" s="140" t="s">
        <v>39</v>
      </c>
      <c r="Q399" s="76"/>
      <c r="R399" s="140"/>
      <c r="S399" s="140"/>
      <c r="T399" s="140"/>
      <c r="U399" s="140"/>
      <c r="V399" s="140"/>
      <c r="W399" s="140"/>
      <c r="X399" s="140"/>
      <c r="Y399" s="140"/>
      <c r="Z399" s="140"/>
      <c r="AA399" s="140"/>
      <c r="AB399" s="140"/>
    </row>
    <row r="400">
      <c r="A400" s="145"/>
      <c r="B400" s="146"/>
      <c r="C400" s="146"/>
      <c r="D400" s="146"/>
      <c r="E400" s="146"/>
      <c r="F400" s="140"/>
      <c r="G400" s="142"/>
      <c r="H400" s="142"/>
      <c r="I400" s="142"/>
      <c r="J400" s="137" t="s">
        <v>39</v>
      </c>
      <c r="K400" s="137" t="s">
        <v>39</v>
      </c>
      <c r="L400" s="146"/>
      <c r="M400" s="141"/>
      <c r="N400" s="129"/>
      <c r="O400" s="140"/>
      <c r="P400" s="140" t="s">
        <v>39</v>
      </c>
      <c r="Q400" s="76"/>
      <c r="R400" s="140"/>
      <c r="S400" s="140"/>
      <c r="T400" s="140"/>
      <c r="U400" s="140"/>
      <c r="V400" s="140"/>
      <c r="W400" s="140"/>
      <c r="X400" s="140"/>
      <c r="Y400" s="140"/>
      <c r="Z400" s="140"/>
      <c r="AA400" s="140"/>
      <c r="AB400" s="140"/>
    </row>
    <row r="401">
      <c r="A401" s="145"/>
      <c r="B401" s="146"/>
      <c r="C401" s="146"/>
      <c r="D401" s="146"/>
      <c r="E401" s="146"/>
      <c r="F401" s="140"/>
      <c r="G401" s="142"/>
      <c r="H401" s="142"/>
      <c r="I401" s="142"/>
      <c r="J401" s="137" t="s">
        <v>39</v>
      </c>
      <c r="K401" s="137" t="s">
        <v>39</v>
      </c>
      <c r="L401" s="146"/>
      <c r="M401" s="141"/>
      <c r="N401" s="129"/>
      <c r="O401" s="140"/>
      <c r="P401" s="140" t="s">
        <v>39</v>
      </c>
      <c r="Q401" s="76"/>
      <c r="R401" s="140"/>
      <c r="S401" s="140"/>
      <c r="T401" s="140"/>
      <c r="U401" s="140"/>
      <c r="V401" s="140"/>
      <c r="W401" s="140"/>
      <c r="X401" s="140"/>
      <c r="Y401" s="140"/>
      <c r="Z401" s="140"/>
      <c r="AA401" s="140"/>
      <c r="AB401" s="140"/>
    </row>
    <row r="402">
      <c r="A402" s="145"/>
      <c r="B402" s="146"/>
      <c r="C402" s="146"/>
      <c r="D402" s="146"/>
      <c r="E402" s="146"/>
      <c r="F402" s="140"/>
      <c r="G402" s="142"/>
      <c r="H402" s="142"/>
      <c r="I402" s="142"/>
      <c r="J402" s="137" t="s">
        <v>39</v>
      </c>
      <c r="K402" s="137" t="s">
        <v>39</v>
      </c>
      <c r="L402" s="146"/>
      <c r="M402" s="141"/>
      <c r="N402" s="129"/>
      <c r="O402" s="140"/>
      <c r="P402" s="140" t="s">
        <v>39</v>
      </c>
      <c r="Q402" s="76"/>
      <c r="R402" s="140"/>
      <c r="S402" s="140"/>
      <c r="T402" s="140"/>
      <c r="U402" s="140"/>
      <c r="V402" s="140"/>
      <c r="W402" s="140"/>
      <c r="X402" s="140"/>
      <c r="Y402" s="140"/>
      <c r="Z402" s="140"/>
      <c r="AA402" s="140"/>
      <c r="AB402" s="140"/>
    </row>
    <row r="403">
      <c r="A403" s="145"/>
      <c r="B403" s="146"/>
      <c r="C403" s="146"/>
      <c r="D403" s="146"/>
      <c r="E403" s="146"/>
      <c r="F403" s="140"/>
      <c r="G403" s="142"/>
      <c r="H403" s="142"/>
      <c r="I403" s="142"/>
      <c r="J403" s="137" t="s">
        <v>39</v>
      </c>
      <c r="K403" s="137" t="s">
        <v>39</v>
      </c>
      <c r="L403" s="146"/>
      <c r="M403" s="141"/>
      <c r="N403" s="129"/>
      <c r="O403" s="140"/>
      <c r="P403" s="140" t="s">
        <v>39</v>
      </c>
      <c r="Q403" s="76"/>
      <c r="R403" s="140"/>
      <c r="S403" s="140"/>
      <c r="T403" s="140"/>
      <c r="U403" s="140"/>
      <c r="V403" s="140"/>
      <c r="W403" s="140"/>
      <c r="X403" s="140"/>
      <c r="Y403" s="140"/>
      <c r="Z403" s="140"/>
      <c r="AA403" s="140"/>
      <c r="AB403" s="140"/>
    </row>
    <row r="404">
      <c r="A404" s="145"/>
      <c r="B404" s="146"/>
      <c r="C404" s="146"/>
      <c r="D404" s="146"/>
      <c r="E404" s="146"/>
      <c r="F404" s="140"/>
      <c r="G404" s="142"/>
      <c r="H404" s="142"/>
      <c r="I404" s="142"/>
      <c r="J404" s="137" t="s">
        <v>39</v>
      </c>
      <c r="K404" s="137" t="s">
        <v>39</v>
      </c>
      <c r="L404" s="146"/>
      <c r="M404" s="141"/>
      <c r="N404" s="129"/>
      <c r="O404" s="140"/>
      <c r="P404" s="140" t="s">
        <v>39</v>
      </c>
      <c r="Q404" s="76"/>
      <c r="R404" s="140"/>
      <c r="S404" s="140"/>
      <c r="T404" s="140"/>
      <c r="U404" s="140"/>
      <c r="V404" s="140"/>
      <c r="W404" s="140"/>
      <c r="X404" s="140"/>
      <c r="Y404" s="140"/>
      <c r="Z404" s="140"/>
      <c r="AA404" s="140"/>
      <c r="AB404" s="140"/>
    </row>
    <row r="405">
      <c r="A405" s="145"/>
      <c r="B405" s="146"/>
      <c r="C405" s="146"/>
      <c r="D405" s="146"/>
      <c r="E405" s="146"/>
      <c r="F405" s="140"/>
      <c r="G405" s="142"/>
      <c r="H405" s="142"/>
      <c r="I405" s="142"/>
      <c r="J405" s="137" t="s">
        <v>39</v>
      </c>
      <c r="K405" s="137" t="s">
        <v>39</v>
      </c>
      <c r="L405" s="146"/>
      <c r="M405" s="141"/>
      <c r="N405" s="129"/>
      <c r="O405" s="140"/>
      <c r="P405" s="140" t="s">
        <v>39</v>
      </c>
      <c r="Q405" s="76"/>
      <c r="R405" s="140"/>
      <c r="S405" s="140"/>
      <c r="T405" s="140"/>
      <c r="U405" s="140"/>
      <c r="V405" s="140"/>
      <c r="W405" s="140"/>
      <c r="X405" s="140"/>
      <c r="Y405" s="140"/>
      <c r="Z405" s="140"/>
      <c r="AA405" s="140"/>
      <c r="AB405" s="140"/>
    </row>
    <row r="406">
      <c r="A406" s="145"/>
      <c r="B406" s="146"/>
      <c r="C406" s="146"/>
      <c r="D406" s="146"/>
      <c r="E406" s="146"/>
      <c r="F406" s="140"/>
      <c r="G406" s="142"/>
      <c r="H406" s="142"/>
      <c r="I406" s="142"/>
      <c r="J406" s="137" t="s">
        <v>39</v>
      </c>
      <c r="K406" s="137" t="s">
        <v>39</v>
      </c>
      <c r="L406" s="146"/>
      <c r="M406" s="141"/>
      <c r="N406" s="129"/>
      <c r="O406" s="140"/>
      <c r="P406" s="140" t="s">
        <v>39</v>
      </c>
      <c r="Q406" s="76"/>
      <c r="R406" s="140"/>
      <c r="S406" s="140"/>
      <c r="T406" s="140"/>
      <c r="U406" s="140"/>
      <c r="V406" s="140"/>
      <c r="W406" s="140"/>
      <c r="X406" s="140"/>
      <c r="Y406" s="140"/>
      <c r="Z406" s="140"/>
      <c r="AA406" s="140"/>
      <c r="AB406" s="140"/>
    </row>
    <row r="407">
      <c r="A407" s="145"/>
      <c r="B407" s="146"/>
      <c r="C407" s="146"/>
      <c r="D407" s="146"/>
      <c r="E407" s="146"/>
      <c r="F407" s="140"/>
      <c r="G407" s="142"/>
      <c r="H407" s="142"/>
      <c r="I407" s="142"/>
      <c r="J407" s="137" t="s">
        <v>39</v>
      </c>
      <c r="K407" s="137" t="s">
        <v>39</v>
      </c>
      <c r="L407" s="146"/>
      <c r="M407" s="141"/>
      <c r="N407" s="129"/>
      <c r="O407" s="140"/>
      <c r="P407" s="140" t="s">
        <v>39</v>
      </c>
      <c r="Q407" s="76"/>
      <c r="R407" s="140"/>
      <c r="S407" s="140"/>
      <c r="T407" s="140"/>
      <c r="U407" s="140"/>
      <c r="V407" s="140"/>
      <c r="W407" s="140"/>
      <c r="X407" s="140"/>
      <c r="Y407" s="140"/>
      <c r="Z407" s="140"/>
      <c r="AA407" s="140"/>
      <c r="AB407" s="140"/>
    </row>
    <row r="408">
      <c r="A408" s="145"/>
      <c r="B408" s="146"/>
      <c r="C408" s="146"/>
      <c r="D408" s="146"/>
      <c r="E408" s="146"/>
      <c r="F408" s="140"/>
      <c r="G408" s="142"/>
      <c r="H408" s="142"/>
      <c r="I408" s="142"/>
      <c r="J408" s="137" t="s">
        <v>39</v>
      </c>
      <c r="K408" s="137" t="s">
        <v>39</v>
      </c>
      <c r="L408" s="146"/>
      <c r="M408" s="141"/>
      <c r="N408" s="129"/>
      <c r="O408" s="140"/>
      <c r="P408" s="140" t="s">
        <v>39</v>
      </c>
      <c r="Q408" s="76"/>
      <c r="R408" s="140"/>
      <c r="S408" s="140"/>
      <c r="T408" s="140"/>
      <c r="U408" s="140"/>
      <c r="V408" s="140"/>
      <c r="W408" s="140"/>
      <c r="X408" s="140"/>
      <c r="Y408" s="140"/>
      <c r="Z408" s="140"/>
      <c r="AA408" s="140"/>
      <c r="AB408" s="140"/>
    </row>
    <row r="409">
      <c r="A409" s="145"/>
      <c r="B409" s="146"/>
      <c r="C409" s="146"/>
      <c r="D409" s="146"/>
      <c r="E409" s="146"/>
      <c r="F409" s="140"/>
      <c r="G409" s="142"/>
      <c r="H409" s="142"/>
      <c r="I409" s="142"/>
      <c r="J409" s="137" t="s">
        <v>39</v>
      </c>
      <c r="K409" s="137" t="s">
        <v>39</v>
      </c>
      <c r="L409" s="146"/>
      <c r="M409" s="141"/>
      <c r="N409" s="129"/>
      <c r="O409" s="140"/>
      <c r="P409" s="140" t="s">
        <v>39</v>
      </c>
      <c r="Q409" s="76"/>
      <c r="R409" s="140"/>
      <c r="S409" s="140"/>
      <c r="T409" s="140"/>
      <c r="U409" s="140"/>
      <c r="V409" s="140"/>
      <c r="W409" s="140"/>
      <c r="X409" s="140"/>
      <c r="Y409" s="140"/>
      <c r="Z409" s="140"/>
      <c r="AA409" s="140"/>
      <c r="AB409" s="140"/>
    </row>
    <row r="410">
      <c r="A410" s="145"/>
      <c r="B410" s="146"/>
      <c r="C410" s="146"/>
      <c r="D410" s="146"/>
      <c r="E410" s="146"/>
      <c r="F410" s="140"/>
      <c r="G410" s="142"/>
      <c r="H410" s="142"/>
      <c r="I410" s="142"/>
      <c r="J410" s="137" t="s">
        <v>39</v>
      </c>
      <c r="K410" s="137" t="s">
        <v>39</v>
      </c>
      <c r="L410" s="146"/>
      <c r="M410" s="141"/>
      <c r="N410" s="129"/>
      <c r="O410" s="140"/>
      <c r="P410" s="140" t="s">
        <v>39</v>
      </c>
      <c r="Q410" s="76"/>
      <c r="R410" s="140"/>
      <c r="S410" s="140"/>
      <c r="T410" s="140"/>
      <c r="U410" s="140"/>
      <c r="V410" s="140"/>
      <c r="W410" s="140"/>
      <c r="X410" s="140"/>
      <c r="Y410" s="140"/>
      <c r="Z410" s="140"/>
      <c r="AA410" s="140"/>
      <c r="AB410" s="140"/>
    </row>
    <row r="411">
      <c r="A411" s="145"/>
      <c r="B411" s="146"/>
      <c r="C411" s="146"/>
      <c r="D411" s="146"/>
      <c r="E411" s="146"/>
      <c r="F411" s="140"/>
      <c r="G411" s="142"/>
      <c r="H411" s="142"/>
      <c r="I411" s="142"/>
      <c r="J411" s="137" t="s">
        <v>39</v>
      </c>
      <c r="K411" s="137" t="s">
        <v>39</v>
      </c>
      <c r="L411" s="146"/>
      <c r="M411" s="141"/>
      <c r="N411" s="129"/>
      <c r="O411" s="140"/>
      <c r="P411" s="140" t="s">
        <v>39</v>
      </c>
      <c r="Q411" s="76"/>
      <c r="R411" s="140"/>
      <c r="S411" s="140"/>
      <c r="T411" s="140"/>
      <c r="U411" s="140"/>
      <c r="V411" s="140"/>
      <c r="W411" s="140"/>
      <c r="X411" s="140"/>
      <c r="Y411" s="140"/>
      <c r="Z411" s="140"/>
      <c r="AA411" s="140"/>
      <c r="AB411" s="140"/>
    </row>
    <row r="412">
      <c r="A412" s="145"/>
      <c r="B412" s="146"/>
      <c r="C412" s="146"/>
      <c r="D412" s="146"/>
      <c r="E412" s="146"/>
      <c r="F412" s="140"/>
      <c r="G412" s="142"/>
      <c r="H412" s="142"/>
      <c r="I412" s="142"/>
      <c r="J412" s="137" t="s">
        <v>39</v>
      </c>
      <c r="K412" s="137" t="s">
        <v>39</v>
      </c>
      <c r="L412" s="146"/>
      <c r="M412" s="141"/>
      <c r="N412" s="129"/>
      <c r="O412" s="140"/>
      <c r="P412" s="140" t="s">
        <v>39</v>
      </c>
      <c r="Q412" s="76"/>
      <c r="R412" s="140"/>
      <c r="S412" s="140"/>
      <c r="T412" s="140"/>
      <c r="U412" s="140"/>
      <c r="V412" s="140"/>
      <c r="W412" s="140"/>
      <c r="X412" s="140"/>
      <c r="Y412" s="140"/>
      <c r="Z412" s="140"/>
      <c r="AA412" s="140"/>
      <c r="AB412" s="140"/>
    </row>
    <row r="413">
      <c r="A413" s="145"/>
      <c r="B413" s="146"/>
      <c r="C413" s="146"/>
      <c r="D413" s="146"/>
      <c r="E413" s="146"/>
      <c r="F413" s="140"/>
      <c r="G413" s="142"/>
      <c r="H413" s="142"/>
      <c r="I413" s="142"/>
      <c r="J413" s="137" t="s">
        <v>39</v>
      </c>
      <c r="K413" s="137" t="s">
        <v>39</v>
      </c>
      <c r="L413" s="146"/>
      <c r="M413" s="141"/>
      <c r="N413" s="129"/>
      <c r="O413" s="140"/>
      <c r="P413" s="140" t="s">
        <v>39</v>
      </c>
      <c r="Q413" s="76"/>
      <c r="R413" s="140"/>
      <c r="S413" s="140"/>
      <c r="T413" s="140"/>
      <c r="U413" s="140"/>
      <c r="V413" s="140"/>
      <c r="W413" s="140"/>
      <c r="X413" s="140"/>
      <c r="Y413" s="140"/>
      <c r="Z413" s="140"/>
      <c r="AA413" s="140"/>
      <c r="AB413" s="140"/>
    </row>
    <row r="414">
      <c r="A414" s="145"/>
      <c r="B414" s="146"/>
      <c r="C414" s="146"/>
      <c r="D414" s="146"/>
      <c r="E414" s="146"/>
      <c r="F414" s="140"/>
      <c r="G414" s="142"/>
      <c r="H414" s="142"/>
      <c r="I414" s="142"/>
      <c r="J414" s="137" t="s">
        <v>39</v>
      </c>
      <c r="K414" s="137" t="s">
        <v>39</v>
      </c>
      <c r="L414" s="146"/>
      <c r="M414" s="141"/>
      <c r="N414" s="129"/>
      <c r="O414" s="140"/>
      <c r="P414" s="140" t="s">
        <v>39</v>
      </c>
      <c r="Q414" s="76"/>
      <c r="R414" s="140"/>
      <c r="S414" s="140"/>
      <c r="T414" s="140"/>
      <c r="U414" s="140"/>
      <c r="V414" s="140"/>
      <c r="W414" s="140"/>
      <c r="X414" s="140"/>
      <c r="Y414" s="140"/>
      <c r="Z414" s="140"/>
      <c r="AA414" s="140"/>
      <c r="AB414" s="140"/>
    </row>
    <row r="415">
      <c r="A415" s="145"/>
      <c r="B415" s="146"/>
      <c r="C415" s="146"/>
      <c r="D415" s="146"/>
      <c r="E415" s="146"/>
      <c r="F415" s="140"/>
      <c r="G415" s="142"/>
      <c r="H415" s="142"/>
      <c r="I415" s="142"/>
      <c r="J415" s="137" t="s">
        <v>39</v>
      </c>
      <c r="K415" s="137" t="s">
        <v>39</v>
      </c>
      <c r="L415" s="146"/>
      <c r="M415" s="141"/>
      <c r="N415" s="129"/>
      <c r="O415" s="140"/>
      <c r="P415" s="140" t="s">
        <v>39</v>
      </c>
      <c r="Q415" s="76"/>
      <c r="R415" s="140"/>
      <c r="S415" s="140"/>
      <c r="T415" s="140"/>
      <c r="U415" s="140"/>
      <c r="V415" s="140"/>
      <c r="W415" s="140"/>
      <c r="X415" s="140"/>
      <c r="Y415" s="140"/>
      <c r="Z415" s="140"/>
      <c r="AA415" s="140"/>
      <c r="AB415" s="140"/>
    </row>
    <row r="416">
      <c r="A416" s="145"/>
      <c r="B416" s="146"/>
      <c r="C416" s="146"/>
      <c r="D416" s="146"/>
      <c r="E416" s="146"/>
      <c r="F416" s="140"/>
      <c r="G416" s="142"/>
      <c r="H416" s="142"/>
      <c r="I416" s="142"/>
      <c r="J416" s="137" t="s">
        <v>39</v>
      </c>
      <c r="K416" s="137" t="s">
        <v>39</v>
      </c>
      <c r="L416" s="146"/>
      <c r="M416" s="141"/>
      <c r="N416" s="129"/>
      <c r="O416" s="140"/>
      <c r="P416" s="140" t="s">
        <v>39</v>
      </c>
      <c r="Q416" s="76"/>
      <c r="R416" s="140"/>
      <c r="S416" s="140"/>
      <c r="T416" s="140"/>
      <c r="U416" s="140"/>
      <c r="V416" s="140"/>
      <c r="W416" s="140"/>
      <c r="X416" s="140"/>
      <c r="Y416" s="140"/>
      <c r="Z416" s="140"/>
      <c r="AA416" s="140"/>
      <c r="AB416" s="140"/>
    </row>
    <row r="417">
      <c r="A417" s="145"/>
      <c r="B417" s="146"/>
      <c r="C417" s="146"/>
      <c r="D417" s="146"/>
      <c r="E417" s="146"/>
      <c r="F417" s="140"/>
      <c r="G417" s="142"/>
      <c r="H417" s="142"/>
      <c r="I417" s="142"/>
      <c r="J417" s="137" t="s">
        <v>39</v>
      </c>
      <c r="K417" s="137" t="s">
        <v>39</v>
      </c>
      <c r="L417" s="146"/>
      <c r="M417" s="141"/>
      <c r="N417" s="129"/>
      <c r="O417" s="140"/>
      <c r="P417" s="140" t="s">
        <v>39</v>
      </c>
      <c r="Q417" s="76"/>
      <c r="R417" s="140"/>
      <c r="S417" s="140"/>
      <c r="T417" s="140"/>
      <c r="U417" s="140"/>
      <c r="V417" s="140"/>
      <c r="W417" s="140"/>
      <c r="X417" s="140"/>
      <c r="Y417" s="140"/>
      <c r="Z417" s="140"/>
      <c r="AA417" s="140"/>
      <c r="AB417" s="140"/>
    </row>
    <row r="418">
      <c r="A418" s="145"/>
      <c r="B418" s="146"/>
      <c r="C418" s="146"/>
      <c r="D418" s="146"/>
      <c r="E418" s="146"/>
      <c r="F418" s="140"/>
      <c r="G418" s="142"/>
      <c r="H418" s="142"/>
      <c r="I418" s="142"/>
      <c r="J418" s="137" t="s">
        <v>39</v>
      </c>
      <c r="K418" s="137" t="s">
        <v>39</v>
      </c>
      <c r="L418" s="146"/>
      <c r="M418" s="141"/>
      <c r="N418" s="129"/>
      <c r="O418" s="140"/>
      <c r="P418" s="140" t="s">
        <v>39</v>
      </c>
      <c r="Q418" s="76"/>
      <c r="R418" s="140"/>
      <c r="S418" s="140"/>
      <c r="T418" s="140"/>
      <c r="U418" s="140"/>
      <c r="V418" s="140"/>
      <c r="W418" s="140"/>
      <c r="X418" s="140"/>
      <c r="Y418" s="140"/>
      <c r="Z418" s="140"/>
      <c r="AA418" s="140"/>
      <c r="AB418" s="140"/>
    </row>
    <row r="419">
      <c r="A419" s="145"/>
      <c r="B419" s="146"/>
      <c r="C419" s="146"/>
      <c r="D419" s="146"/>
      <c r="E419" s="146"/>
      <c r="F419" s="140"/>
      <c r="G419" s="142"/>
      <c r="H419" s="142"/>
      <c r="I419" s="142"/>
      <c r="J419" s="137" t="s">
        <v>39</v>
      </c>
      <c r="K419" s="137" t="s">
        <v>39</v>
      </c>
      <c r="L419" s="146"/>
      <c r="M419" s="141"/>
      <c r="N419" s="129"/>
      <c r="O419" s="140"/>
      <c r="P419" s="140" t="s">
        <v>39</v>
      </c>
      <c r="Q419" s="76"/>
      <c r="R419" s="140"/>
      <c r="S419" s="140"/>
      <c r="T419" s="140"/>
      <c r="U419" s="140"/>
      <c r="V419" s="140"/>
      <c r="W419" s="140"/>
      <c r="X419" s="140"/>
      <c r="Y419" s="140"/>
      <c r="Z419" s="140"/>
      <c r="AA419" s="140"/>
      <c r="AB419" s="140"/>
    </row>
    <row r="420">
      <c r="A420" s="145"/>
      <c r="B420" s="146"/>
      <c r="C420" s="146"/>
      <c r="D420" s="146"/>
      <c r="E420" s="146"/>
      <c r="F420" s="140"/>
      <c r="G420" s="142"/>
      <c r="H420" s="142"/>
      <c r="I420" s="142"/>
      <c r="J420" s="137" t="s">
        <v>39</v>
      </c>
      <c r="K420" s="137" t="s">
        <v>39</v>
      </c>
      <c r="L420" s="146"/>
      <c r="M420" s="141"/>
      <c r="N420" s="129"/>
      <c r="O420" s="140"/>
      <c r="P420" s="140" t="s">
        <v>39</v>
      </c>
      <c r="Q420" s="76"/>
      <c r="R420" s="140"/>
      <c r="S420" s="140"/>
      <c r="T420" s="140"/>
      <c r="U420" s="140"/>
      <c r="V420" s="140"/>
      <c r="W420" s="140"/>
      <c r="X420" s="140"/>
      <c r="Y420" s="140"/>
      <c r="Z420" s="140"/>
      <c r="AA420" s="140"/>
      <c r="AB420" s="140"/>
    </row>
    <row r="421">
      <c r="A421" s="145"/>
      <c r="B421" s="146"/>
      <c r="C421" s="146"/>
      <c r="D421" s="146"/>
      <c r="E421" s="146"/>
      <c r="F421" s="140"/>
      <c r="G421" s="142"/>
      <c r="H421" s="142"/>
      <c r="I421" s="142"/>
      <c r="J421" s="137" t="s">
        <v>39</v>
      </c>
      <c r="K421" s="137" t="s">
        <v>39</v>
      </c>
      <c r="L421" s="146"/>
      <c r="M421" s="141"/>
      <c r="N421" s="129"/>
      <c r="O421" s="140"/>
      <c r="P421" s="140" t="s">
        <v>39</v>
      </c>
      <c r="Q421" s="76"/>
      <c r="R421" s="140"/>
      <c r="S421" s="140"/>
      <c r="T421" s="140"/>
      <c r="U421" s="140"/>
      <c r="V421" s="140"/>
      <c r="W421" s="140"/>
      <c r="X421" s="140"/>
      <c r="Y421" s="140"/>
      <c r="Z421" s="140"/>
      <c r="AA421" s="140"/>
      <c r="AB421" s="140"/>
    </row>
    <row r="422">
      <c r="A422" s="145"/>
      <c r="B422" s="146"/>
      <c r="C422" s="146"/>
      <c r="D422" s="146"/>
      <c r="E422" s="146"/>
      <c r="F422" s="140"/>
      <c r="G422" s="142"/>
      <c r="H422" s="142"/>
      <c r="I422" s="142"/>
      <c r="J422" s="137" t="s">
        <v>39</v>
      </c>
      <c r="K422" s="137" t="s">
        <v>39</v>
      </c>
      <c r="L422" s="146"/>
      <c r="M422" s="141"/>
      <c r="N422" s="129"/>
      <c r="O422" s="140"/>
      <c r="P422" s="140" t="s">
        <v>39</v>
      </c>
      <c r="Q422" s="76"/>
      <c r="R422" s="140"/>
      <c r="S422" s="140"/>
      <c r="T422" s="140"/>
      <c r="U422" s="140"/>
      <c r="V422" s="140"/>
      <c r="W422" s="140"/>
      <c r="X422" s="140"/>
      <c r="Y422" s="140"/>
      <c r="Z422" s="140"/>
      <c r="AA422" s="140"/>
      <c r="AB422" s="140"/>
    </row>
    <row r="423">
      <c r="A423" s="145"/>
      <c r="B423" s="146"/>
      <c r="C423" s="146"/>
      <c r="D423" s="146"/>
      <c r="E423" s="146"/>
      <c r="F423" s="140"/>
      <c r="G423" s="142"/>
      <c r="H423" s="142"/>
      <c r="I423" s="142"/>
      <c r="J423" s="137" t="s">
        <v>39</v>
      </c>
      <c r="K423" s="137" t="s">
        <v>39</v>
      </c>
      <c r="L423" s="146"/>
      <c r="M423" s="141"/>
      <c r="N423" s="129"/>
      <c r="O423" s="140"/>
      <c r="P423" s="140" t="s">
        <v>39</v>
      </c>
      <c r="Q423" s="76"/>
      <c r="R423" s="140"/>
      <c r="S423" s="140"/>
      <c r="T423" s="140"/>
      <c r="U423" s="140"/>
      <c r="V423" s="140"/>
      <c r="W423" s="140"/>
      <c r="X423" s="140"/>
      <c r="Y423" s="140"/>
      <c r="Z423" s="140"/>
      <c r="AA423" s="140"/>
      <c r="AB423" s="140"/>
    </row>
    <row r="424">
      <c r="A424" s="145"/>
      <c r="B424" s="146"/>
      <c r="C424" s="146"/>
      <c r="D424" s="146"/>
      <c r="E424" s="146"/>
      <c r="F424" s="140"/>
      <c r="G424" s="142"/>
      <c r="H424" s="142"/>
      <c r="I424" s="142"/>
      <c r="J424" s="137" t="s">
        <v>39</v>
      </c>
      <c r="K424" s="137" t="s">
        <v>39</v>
      </c>
      <c r="L424" s="146"/>
      <c r="M424" s="141"/>
      <c r="N424" s="129"/>
      <c r="O424" s="140"/>
      <c r="P424" s="140" t="s">
        <v>39</v>
      </c>
      <c r="Q424" s="76"/>
      <c r="R424" s="140"/>
      <c r="S424" s="140"/>
      <c r="T424" s="140"/>
      <c r="U424" s="140"/>
      <c r="V424" s="140"/>
      <c r="W424" s="140"/>
      <c r="X424" s="140"/>
      <c r="Y424" s="140"/>
      <c r="Z424" s="140"/>
      <c r="AA424" s="140"/>
      <c r="AB424" s="140"/>
    </row>
    <row r="425">
      <c r="A425" s="145"/>
      <c r="B425" s="146"/>
      <c r="C425" s="146"/>
      <c r="D425" s="146"/>
      <c r="E425" s="146"/>
      <c r="F425" s="140"/>
      <c r="G425" s="142"/>
      <c r="H425" s="142"/>
      <c r="I425" s="142"/>
      <c r="J425" s="137" t="s">
        <v>39</v>
      </c>
      <c r="K425" s="137" t="s">
        <v>39</v>
      </c>
      <c r="L425" s="146"/>
      <c r="M425" s="141"/>
      <c r="N425" s="129"/>
      <c r="O425" s="140"/>
      <c r="P425" s="140" t="s">
        <v>39</v>
      </c>
      <c r="Q425" s="76"/>
      <c r="R425" s="140"/>
      <c r="S425" s="140"/>
      <c r="T425" s="140"/>
      <c r="U425" s="140"/>
      <c r="V425" s="140"/>
      <c r="W425" s="140"/>
      <c r="X425" s="140"/>
      <c r="Y425" s="140"/>
      <c r="Z425" s="140"/>
      <c r="AA425" s="140"/>
      <c r="AB425" s="140"/>
    </row>
    <row r="426">
      <c r="A426" s="145"/>
      <c r="B426" s="146"/>
      <c r="C426" s="146"/>
      <c r="D426" s="146"/>
      <c r="E426" s="146"/>
      <c r="F426" s="140"/>
      <c r="G426" s="142"/>
      <c r="H426" s="142"/>
      <c r="I426" s="142"/>
      <c r="J426" s="137" t="s">
        <v>39</v>
      </c>
      <c r="K426" s="137" t="s">
        <v>39</v>
      </c>
      <c r="L426" s="146"/>
      <c r="M426" s="141"/>
      <c r="N426" s="129"/>
      <c r="O426" s="140"/>
      <c r="P426" s="140" t="s">
        <v>39</v>
      </c>
      <c r="Q426" s="76"/>
      <c r="R426" s="140"/>
      <c r="S426" s="140"/>
      <c r="T426" s="140"/>
      <c r="U426" s="140"/>
      <c r="V426" s="140"/>
      <c r="W426" s="140"/>
      <c r="X426" s="140"/>
      <c r="Y426" s="140"/>
      <c r="Z426" s="140"/>
      <c r="AA426" s="140"/>
      <c r="AB426" s="140"/>
    </row>
    <row r="427">
      <c r="A427" s="145"/>
      <c r="B427" s="146"/>
      <c r="C427" s="146"/>
      <c r="D427" s="146"/>
      <c r="E427" s="146"/>
      <c r="F427" s="140"/>
      <c r="G427" s="142"/>
      <c r="H427" s="142"/>
      <c r="I427" s="142"/>
      <c r="J427" s="137" t="s">
        <v>39</v>
      </c>
      <c r="K427" s="137" t="s">
        <v>39</v>
      </c>
      <c r="L427" s="146"/>
      <c r="M427" s="141"/>
      <c r="N427" s="129"/>
      <c r="O427" s="140"/>
      <c r="P427" s="140" t="s">
        <v>39</v>
      </c>
      <c r="Q427" s="76"/>
      <c r="R427" s="140"/>
      <c r="S427" s="140"/>
      <c r="T427" s="140"/>
      <c r="U427" s="140"/>
      <c r="V427" s="140"/>
      <c r="W427" s="140"/>
      <c r="X427" s="140"/>
      <c r="Y427" s="140"/>
      <c r="Z427" s="140"/>
      <c r="AA427" s="140"/>
      <c r="AB427" s="140"/>
    </row>
    <row r="428">
      <c r="A428" s="145"/>
      <c r="B428" s="146"/>
      <c r="C428" s="146"/>
      <c r="D428" s="146"/>
      <c r="E428" s="146"/>
      <c r="F428" s="140"/>
      <c r="G428" s="142"/>
      <c r="H428" s="142"/>
      <c r="I428" s="142"/>
      <c r="J428" s="137" t="s">
        <v>39</v>
      </c>
      <c r="K428" s="137" t="s">
        <v>39</v>
      </c>
      <c r="L428" s="146"/>
      <c r="M428" s="141"/>
      <c r="N428" s="129"/>
      <c r="O428" s="140"/>
      <c r="P428" s="140" t="s">
        <v>39</v>
      </c>
      <c r="Q428" s="76"/>
      <c r="R428" s="140"/>
      <c r="S428" s="140"/>
      <c r="T428" s="140"/>
      <c r="U428" s="140"/>
      <c r="V428" s="140"/>
      <c r="W428" s="140"/>
      <c r="X428" s="140"/>
      <c r="Y428" s="140"/>
      <c r="Z428" s="140"/>
      <c r="AA428" s="140"/>
      <c r="AB428" s="140"/>
    </row>
    <row r="429">
      <c r="A429" s="145"/>
      <c r="B429" s="146"/>
      <c r="C429" s="146"/>
      <c r="D429" s="146"/>
      <c r="E429" s="146"/>
      <c r="F429" s="140"/>
      <c r="G429" s="142"/>
      <c r="H429" s="142"/>
      <c r="I429" s="142"/>
      <c r="J429" s="137" t="s">
        <v>39</v>
      </c>
      <c r="K429" s="137" t="s">
        <v>39</v>
      </c>
      <c r="L429" s="146"/>
      <c r="M429" s="141"/>
      <c r="N429" s="129"/>
      <c r="O429" s="140"/>
      <c r="P429" s="140" t="s">
        <v>39</v>
      </c>
      <c r="Q429" s="76"/>
      <c r="R429" s="140"/>
      <c r="S429" s="140"/>
      <c r="T429" s="140"/>
      <c r="U429" s="140"/>
      <c r="V429" s="140"/>
      <c r="W429" s="140"/>
      <c r="X429" s="140"/>
      <c r="Y429" s="140"/>
      <c r="Z429" s="140"/>
      <c r="AA429" s="140"/>
      <c r="AB429" s="140"/>
    </row>
    <row r="430">
      <c r="A430" s="145"/>
      <c r="B430" s="146"/>
      <c r="C430" s="146"/>
      <c r="D430" s="146"/>
      <c r="E430" s="146"/>
      <c r="F430" s="140"/>
      <c r="G430" s="142"/>
      <c r="H430" s="142"/>
      <c r="I430" s="142"/>
      <c r="J430" s="137" t="s">
        <v>39</v>
      </c>
      <c r="K430" s="137" t="s">
        <v>39</v>
      </c>
      <c r="L430" s="146"/>
      <c r="M430" s="141"/>
      <c r="N430" s="129"/>
      <c r="O430" s="140"/>
      <c r="P430" s="140" t="s">
        <v>39</v>
      </c>
      <c r="Q430" s="76"/>
      <c r="R430" s="140"/>
      <c r="S430" s="140"/>
      <c r="T430" s="140"/>
      <c r="U430" s="140"/>
      <c r="V430" s="140"/>
      <c r="W430" s="140"/>
      <c r="X430" s="140"/>
      <c r="Y430" s="140"/>
      <c r="Z430" s="140"/>
      <c r="AA430" s="140"/>
      <c r="AB430" s="140"/>
    </row>
    <row r="431">
      <c r="A431" s="145"/>
      <c r="B431" s="146"/>
      <c r="C431" s="146"/>
      <c r="D431" s="146"/>
      <c r="E431" s="146"/>
      <c r="F431" s="140"/>
      <c r="G431" s="142"/>
      <c r="H431" s="142"/>
      <c r="I431" s="142"/>
      <c r="J431" s="137" t="s">
        <v>39</v>
      </c>
      <c r="K431" s="137" t="s">
        <v>39</v>
      </c>
      <c r="L431" s="146"/>
      <c r="M431" s="141"/>
      <c r="N431" s="129"/>
      <c r="O431" s="140"/>
      <c r="P431" s="140" t="s">
        <v>39</v>
      </c>
      <c r="Q431" s="76"/>
      <c r="R431" s="140"/>
      <c r="S431" s="140"/>
      <c r="T431" s="140"/>
      <c r="U431" s="140"/>
      <c r="V431" s="140"/>
      <c r="W431" s="140"/>
      <c r="X431" s="140"/>
      <c r="Y431" s="140"/>
      <c r="Z431" s="140"/>
      <c r="AA431" s="140"/>
      <c r="AB431" s="140"/>
    </row>
    <row r="432">
      <c r="A432" s="145"/>
      <c r="B432" s="146"/>
      <c r="C432" s="146"/>
      <c r="D432" s="146"/>
      <c r="E432" s="146"/>
      <c r="F432" s="140"/>
      <c r="G432" s="142"/>
      <c r="H432" s="142"/>
      <c r="I432" s="142"/>
      <c r="J432" s="137" t="s">
        <v>39</v>
      </c>
      <c r="K432" s="137" t="s">
        <v>39</v>
      </c>
      <c r="L432" s="146"/>
      <c r="M432" s="141"/>
      <c r="N432" s="129"/>
      <c r="O432" s="140"/>
      <c r="P432" s="140" t="s">
        <v>39</v>
      </c>
      <c r="Q432" s="76"/>
      <c r="R432" s="140"/>
      <c r="S432" s="140"/>
      <c r="T432" s="140"/>
      <c r="U432" s="140"/>
      <c r="V432" s="140"/>
      <c r="W432" s="140"/>
      <c r="X432" s="140"/>
      <c r="Y432" s="140"/>
      <c r="Z432" s="140"/>
      <c r="AA432" s="140"/>
      <c r="AB432" s="140"/>
    </row>
    <row r="433">
      <c r="A433" s="145"/>
      <c r="B433" s="146"/>
      <c r="C433" s="146"/>
      <c r="D433" s="146"/>
      <c r="E433" s="146"/>
      <c r="F433" s="140"/>
      <c r="G433" s="142"/>
      <c r="H433" s="142"/>
      <c r="I433" s="142"/>
      <c r="J433" s="137" t="s">
        <v>39</v>
      </c>
      <c r="K433" s="137" t="s">
        <v>39</v>
      </c>
      <c r="L433" s="146"/>
      <c r="M433" s="141"/>
      <c r="N433" s="129"/>
      <c r="O433" s="140"/>
      <c r="P433" s="140" t="s">
        <v>39</v>
      </c>
      <c r="Q433" s="76"/>
      <c r="R433" s="140"/>
      <c r="S433" s="140"/>
      <c r="T433" s="140"/>
      <c r="U433" s="140"/>
      <c r="V433" s="140"/>
      <c r="W433" s="140"/>
      <c r="X433" s="140"/>
      <c r="Y433" s="140"/>
      <c r="Z433" s="140"/>
      <c r="AA433" s="140"/>
      <c r="AB433" s="140"/>
    </row>
    <row r="434">
      <c r="A434" s="145"/>
      <c r="B434" s="146"/>
      <c r="C434" s="146"/>
      <c r="D434" s="146"/>
      <c r="E434" s="146"/>
      <c r="F434" s="140"/>
      <c r="G434" s="142"/>
      <c r="H434" s="142"/>
      <c r="I434" s="142"/>
      <c r="J434" s="137" t="s">
        <v>39</v>
      </c>
      <c r="K434" s="137" t="s">
        <v>39</v>
      </c>
      <c r="L434" s="146"/>
      <c r="M434" s="141"/>
      <c r="N434" s="129"/>
      <c r="O434" s="140"/>
      <c r="P434" s="140" t="s">
        <v>39</v>
      </c>
      <c r="Q434" s="76"/>
      <c r="R434" s="140"/>
      <c r="S434" s="140"/>
      <c r="T434" s="140"/>
      <c r="U434" s="140"/>
      <c r="V434" s="140"/>
      <c r="W434" s="140"/>
      <c r="X434" s="140"/>
      <c r="Y434" s="140"/>
      <c r="Z434" s="140"/>
      <c r="AA434" s="140"/>
      <c r="AB434" s="140"/>
    </row>
    <row r="435">
      <c r="A435" s="145"/>
      <c r="B435" s="146"/>
      <c r="C435" s="146"/>
      <c r="D435" s="146"/>
      <c r="E435" s="146"/>
      <c r="F435" s="140"/>
      <c r="G435" s="142"/>
      <c r="H435" s="142"/>
      <c r="I435" s="142"/>
      <c r="J435" s="137" t="s">
        <v>39</v>
      </c>
      <c r="K435" s="137" t="s">
        <v>39</v>
      </c>
      <c r="L435" s="146"/>
      <c r="M435" s="141"/>
      <c r="N435" s="129"/>
      <c r="O435" s="140"/>
      <c r="P435" s="140" t="s">
        <v>39</v>
      </c>
      <c r="Q435" s="76"/>
      <c r="R435" s="140"/>
      <c r="S435" s="140"/>
      <c r="T435" s="140"/>
      <c r="U435" s="140"/>
      <c r="V435" s="140"/>
      <c r="W435" s="140"/>
      <c r="X435" s="140"/>
      <c r="Y435" s="140"/>
      <c r="Z435" s="140"/>
      <c r="AA435" s="140"/>
      <c r="AB435" s="140"/>
    </row>
    <row r="436">
      <c r="A436" s="145"/>
      <c r="B436" s="146"/>
      <c r="C436" s="146"/>
      <c r="D436" s="146"/>
      <c r="E436" s="146"/>
      <c r="F436" s="140"/>
      <c r="G436" s="142"/>
      <c r="H436" s="142"/>
      <c r="I436" s="142"/>
      <c r="J436" s="137" t="s">
        <v>39</v>
      </c>
      <c r="K436" s="137" t="s">
        <v>39</v>
      </c>
      <c r="L436" s="146"/>
      <c r="M436" s="141"/>
      <c r="N436" s="129"/>
      <c r="O436" s="140"/>
      <c r="P436" s="140" t="s">
        <v>39</v>
      </c>
      <c r="Q436" s="76"/>
      <c r="R436" s="140"/>
      <c r="S436" s="140"/>
      <c r="T436" s="140"/>
      <c r="U436" s="140"/>
      <c r="V436" s="140"/>
      <c r="W436" s="140"/>
      <c r="X436" s="140"/>
      <c r="Y436" s="140"/>
      <c r="Z436" s="140"/>
      <c r="AA436" s="140"/>
      <c r="AB436" s="140"/>
    </row>
    <row r="437">
      <c r="A437" s="145"/>
      <c r="B437" s="146"/>
      <c r="C437" s="146"/>
      <c r="D437" s="146"/>
      <c r="E437" s="146"/>
      <c r="F437" s="140"/>
      <c r="G437" s="142"/>
      <c r="H437" s="142"/>
      <c r="I437" s="142"/>
      <c r="J437" s="137" t="s">
        <v>39</v>
      </c>
      <c r="K437" s="137" t="s">
        <v>39</v>
      </c>
      <c r="L437" s="146"/>
      <c r="M437" s="141"/>
      <c r="N437" s="129"/>
      <c r="O437" s="140"/>
      <c r="P437" s="140" t="s">
        <v>39</v>
      </c>
      <c r="Q437" s="76"/>
      <c r="R437" s="140"/>
      <c r="S437" s="140"/>
      <c r="T437" s="140"/>
      <c r="U437" s="140"/>
      <c r="V437" s="140"/>
      <c r="W437" s="140"/>
      <c r="X437" s="140"/>
      <c r="Y437" s="140"/>
      <c r="Z437" s="140"/>
      <c r="AA437" s="140"/>
      <c r="AB437" s="140"/>
    </row>
    <row r="438">
      <c r="A438" s="145"/>
      <c r="B438" s="146"/>
      <c r="C438" s="146"/>
      <c r="D438" s="146"/>
      <c r="E438" s="146"/>
      <c r="F438" s="140"/>
      <c r="G438" s="142"/>
      <c r="H438" s="142"/>
      <c r="I438" s="142"/>
      <c r="J438" s="137" t="s">
        <v>39</v>
      </c>
      <c r="K438" s="137" t="s">
        <v>39</v>
      </c>
      <c r="L438" s="146"/>
      <c r="M438" s="141"/>
      <c r="N438" s="129"/>
      <c r="O438" s="140"/>
      <c r="P438" s="140" t="s">
        <v>39</v>
      </c>
      <c r="Q438" s="76"/>
      <c r="R438" s="140"/>
      <c r="S438" s="140"/>
      <c r="T438" s="140"/>
      <c r="U438" s="140"/>
      <c r="V438" s="140"/>
      <c r="W438" s="140"/>
      <c r="X438" s="140"/>
      <c r="Y438" s="140"/>
      <c r="Z438" s="140"/>
      <c r="AA438" s="140"/>
      <c r="AB438" s="140"/>
    </row>
    <row r="439">
      <c r="A439" s="145"/>
      <c r="B439" s="146"/>
      <c r="C439" s="146"/>
      <c r="D439" s="146"/>
      <c r="E439" s="146"/>
      <c r="F439" s="140"/>
      <c r="G439" s="142"/>
      <c r="H439" s="142"/>
      <c r="I439" s="142"/>
      <c r="J439" s="137" t="s">
        <v>39</v>
      </c>
      <c r="K439" s="137" t="s">
        <v>39</v>
      </c>
      <c r="L439" s="146"/>
      <c r="M439" s="141"/>
      <c r="N439" s="129"/>
      <c r="O439" s="140"/>
      <c r="P439" s="140" t="s">
        <v>39</v>
      </c>
      <c r="Q439" s="76"/>
      <c r="R439" s="140"/>
      <c r="S439" s="140"/>
      <c r="T439" s="140"/>
      <c r="U439" s="140"/>
      <c r="V439" s="140"/>
      <c r="W439" s="140"/>
      <c r="X439" s="140"/>
      <c r="Y439" s="140"/>
      <c r="Z439" s="140"/>
      <c r="AA439" s="140"/>
      <c r="AB439" s="140"/>
    </row>
    <row r="440">
      <c r="A440" s="145"/>
      <c r="B440" s="146"/>
      <c r="C440" s="146"/>
      <c r="D440" s="146"/>
      <c r="E440" s="146"/>
      <c r="F440" s="140"/>
      <c r="G440" s="142"/>
      <c r="H440" s="142"/>
      <c r="I440" s="142"/>
      <c r="J440" s="137" t="s">
        <v>39</v>
      </c>
      <c r="K440" s="137" t="s">
        <v>39</v>
      </c>
      <c r="L440" s="146"/>
      <c r="M440" s="141"/>
      <c r="N440" s="129"/>
      <c r="O440" s="140"/>
      <c r="P440" s="140" t="s">
        <v>39</v>
      </c>
      <c r="Q440" s="76"/>
      <c r="R440" s="140"/>
      <c r="S440" s="140"/>
      <c r="T440" s="140"/>
      <c r="U440" s="140"/>
      <c r="V440" s="140"/>
      <c r="W440" s="140"/>
      <c r="X440" s="140"/>
      <c r="Y440" s="140"/>
      <c r="Z440" s="140"/>
      <c r="AA440" s="140"/>
      <c r="AB440" s="140"/>
    </row>
    <row r="441">
      <c r="A441" s="145"/>
      <c r="B441" s="146"/>
      <c r="C441" s="146"/>
      <c r="D441" s="146"/>
      <c r="E441" s="146"/>
      <c r="F441" s="140"/>
      <c r="G441" s="142"/>
      <c r="H441" s="142"/>
      <c r="I441" s="142"/>
      <c r="J441" s="137" t="s">
        <v>39</v>
      </c>
      <c r="K441" s="137" t="s">
        <v>39</v>
      </c>
      <c r="L441" s="146"/>
      <c r="M441" s="141"/>
      <c r="N441" s="129"/>
      <c r="O441" s="140"/>
      <c r="P441" s="140" t="s">
        <v>39</v>
      </c>
      <c r="Q441" s="76"/>
      <c r="R441" s="140"/>
      <c r="S441" s="140"/>
      <c r="T441" s="140"/>
      <c r="U441" s="140"/>
      <c r="V441" s="140"/>
      <c r="W441" s="140"/>
      <c r="X441" s="140"/>
      <c r="Y441" s="140"/>
      <c r="Z441" s="140"/>
      <c r="AA441" s="140"/>
      <c r="AB441" s="140"/>
    </row>
    <row r="442">
      <c r="A442" s="145"/>
      <c r="B442" s="146"/>
      <c r="C442" s="146"/>
      <c r="D442" s="146"/>
      <c r="E442" s="146"/>
      <c r="F442" s="140"/>
      <c r="G442" s="142"/>
      <c r="H442" s="142"/>
      <c r="I442" s="142"/>
      <c r="J442" s="137" t="s">
        <v>39</v>
      </c>
      <c r="K442" s="137" t="s">
        <v>39</v>
      </c>
      <c r="L442" s="146"/>
      <c r="M442" s="141"/>
      <c r="N442" s="129"/>
      <c r="O442" s="140"/>
      <c r="P442" s="140" t="s">
        <v>39</v>
      </c>
      <c r="Q442" s="76"/>
      <c r="R442" s="140"/>
      <c r="S442" s="140"/>
      <c r="T442" s="140"/>
      <c r="U442" s="140"/>
      <c r="V442" s="140"/>
      <c r="W442" s="140"/>
      <c r="X442" s="140"/>
      <c r="Y442" s="140"/>
      <c r="Z442" s="140"/>
      <c r="AA442" s="140"/>
      <c r="AB442" s="140"/>
    </row>
    <row r="443">
      <c r="A443" s="145"/>
      <c r="B443" s="146"/>
      <c r="C443" s="146"/>
      <c r="D443" s="146"/>
      <c r="E443" s="146"/>
      <c r="F443" s="140"/>
      <c r="G443" s="142"/>
      <c r="H443" s="142"/>
      <c r="I443" s="142"/>
      <c r="J443" s="137" t="s">
        <v>39</v>
      </c>
      <c r="K443" s="137" t="s">
        <v>39</v>
      </c>
      <c r="L443" s="146"/>
      <c r="M443" s="141"/>
      <c r="N443" s="129"/>
      <c r="O443" s="140"/>
      <c r="P443" s="140" t="s">
        <v>39</v>
      </c>
      <c r="Q443" s="76"/>
      <c r="R443" s="140"/>
      <c r="S443" s="140"/>
      <c r="T443" s="140"/>
      <c r="U443" s="140"/>
      <c r="V443" s="140"/>
      <c r="W443" s="140"/>
      <c r="X443" s="140"/>
      <c r="Y443" s="140"/>
      <c r="Z443" s="140"/>
      <c r="AA443" s="140"/>
      <c r="AB443" s="140"/>
    </row>
    <row r="444">
      <c r="A444" s="145"/>
      <c r="B444" s="146"/>
      <c r="C444" s="146"/>
      <c r="D444" s="146"/>
      <c r="E444" s="146"/>
      <c r="F444" s="140"/>
      <c r="G444" s="142"/>
      <c r="H444" s="142"/>
      <c r="I444" s="142"/>
      <c r="J444" s="137" t="s">
        <v>39</v>
      </c>
      <c r="K444" s="137" t="s">
        <v>39</v>
      </c>
      <c r="L444" s="146"/>
      <c r="M444" s="141"/>
      <c r="N444" s="129"/>
      <c r="O444" s="140"/>
      <c r="P444" s="140" t="s">
        <v>39</v>
      </c>
      <c r="Q444" s="76"/>
      <c r="R444" s="140"/>
      <c r="S444" s="140"/>
      <c r="T444" s="140"/>
      <c r="U444" s="140"/>
      <c r="V444" s="140"/>
      <c r="W444" s="140"/>
      <c r="X444" s="140"/>
      <c r="Y444" s="140"/>
      <c r="Z444" s="140"/>
      <c r="AA444" s="140"/>
      <c r="AB444" s="140"/>
    </row>
    <row r="445">
      <c r="A445" s="145"/>
      <c r="B445" s="146"/>
      <c r="C445" s="146"/>
      <c r="D445" s="146"/>
      <c r="E445" s="146"/>
      <c r="F445" s="140"/>
      <c r="G445" s="142"/>
      <c r="H445" s="142"/>
      <c r="I445" s="142"/>
      <c r="J445" s="137" t="s">
        <v>39</v>
      </c>
      <c r="K445" s="137" t="s">
        <v>39</v>
      </c>
      <c r="L445" s="146"/>
      <c r="M445" s="141"/>
      <c r="N445" s="129"/>
      <c r="O445" s="140"/>
      <c r="P445" s="140" t="s">
        <v>39</v>
      </c>
      <c r="Q445" s="76"/>
      <c r="R445" s="140"/>
      <c r="S445" s="140"/>
      <c r="T445" s="140"/>
      <c r="U445" s="140"/>
      <c r="V445" s="140"/>
      <c r="W445" s="140"/>
      <c r="X445" s="140"/>
      <c r="Y445" s="140"/>
      <c r="Z445" s="140"/>
      <c r="AA445" s="140"/>
      <c r="AB445" s="140"/>
    </row>
    <row r="446">
      <c r="A446" s="145"/>
      <c r="B446" s="146"/>
      <c r="C446" s="146"/>
      <c r="D446" s="146"/>
      <c r="E446" s="146"/>
      <c r="F446" s="140"/>
      <c r="G446" s="142"/>
      <c r="H446" s="142"/>
      <c r="I446" s="142"/>
      <c r="J446" s="137" t="s">
        <v>39</v>
      </c>
      <c r="K446" s="137" t="s">
        <v>39</v>
      </c>
      <c r="L446" s="146"/>
      <c r="M446" s="141"/>
      <c r="N446" s="129"/>
      <c r="O446" s="140"/>
      <c r="P446" s="140" t="s">
        <v>39</v>
      </c>
      <c r="Q446" s="76"/>
      <c r="R446" s="140"/>
      <c r="S446" s="140"/>
      <c r="T446" s="140"/>
      <c r="U446" s="140"/>
      <c r="V446" s="140"/>
      <c r="W446" s="140"/>
      <c r="X446" s="140"/>
      <c r="Y446" s="140"/>
      <c r="Z446" s="140"/>
      <c r="AA446" s="140"/>
      <c r="AB446" s="140"/>
    </row>
    <row r="447">
      <c r="A447" s="145"/>
      <c r="B447" s="146"/>
      <c r="C447" s="146"/>
      <c r="D447" s="146"/>
      <c r="E447" s="146"/>
      <c r="F447" s="140"/>
      <c r="G447" s="142"/>
      <c r="H447" s="142"/>
      <c r="I447" s="142"/>
      <c r="J447" s="137" t="s">
        <v>39</v>
      </c>
      <c r="K447" s="137" t="s">
        <v>39</v>
      </c>
      <c r="L447" s="146"/>
      <c r="M447" s="141"/>
      <c r="N447" s="129"/>
      <c r="O447" s="140"/>
      <c r="P447" s="140" t="s">
        <v>39</v>
      </c>
      <c r="Q447" s="76"/>
      <c r="R447" s="140"/>
      <c r="S447" s="140"/>
      <c r="T447" s="140"/>
      <c r="U447" s="140"/>
      <c r="V447" s="140"/>
      <c r="W447" s="140"/>
      <c r="X447" s="140"/>
      <c r="Y447" s="140"/>
      <c r="Z447" s="140"/>
      <c r="AA447" s="140"/>
      <c r="AB447" s="140"/>
    </row>
    <row r="448">
      <c r="A448" s="145"/>
      <c r="B448" s="146"/>
      <c r="C448" s="146"/>
      <c r="D448" s="146"/>
      <c r="E448" s="146"/>
      <c r="F448" s="140"/>
      <c r="G448" s="142"/>
      <c r="H448" s="142"/>
      <c r="I448" s="142"/>
      <c r="J448" s="137" t="s">
        <v>39</v>
      </c>
      <c r="K448" s="137" t="s">
        <v>39</v>
      </c>
      <c r="L448" s="146"/>
      <c r="M448" s="141"/>
      <c r="N448" s="129"/>
      <c r="O448" s="140"/>
      <c r="P448" s="140" t="s">
        <v>39</v>
      </c>
      <c r="Q448" s="76"/>
      <c r="R448" s="140"/>
      <c r="S448" s="140"/>
      <c r="T448" s="140"/>
      <c r="U448" s="140"/>
      <c r="V448" s="140"/>
      <c r="W448" s="140"/>
      <c r="X448" s="140"/>
      <c r="Y448" s="140"/>
      <c r="Z448" s="140"/>
      <c r="AA448" s="140"/>
      <c r="AB448" s="140"/>
    </row>
    <row r="449">
      <c r="A449" s="145"/>
      <c r="B449" s="146"/>
      <c r="C449" s="146"/>
      <c r="D449" s="146"/>
      <c r="E449" s="146"/>
      <c r="F449" s="140"/>
      <c r="G449" s="142"/>
      <c r="H449" s="142"/>
      <c r="I449" s="142"/>
      <c r="J449" s="137" t="s">
        <v>39</v>
      </c>
      <c r="K449" s="137" t="s">
        <v>39</v>
      </c>
      <c r="L449" s="146"/>
      <c r="M449" s="141"/>
      <c r="N449" s="129"/>
      <c r="O449" s="140"/>
      <c r="P449" s="140" t="s">
        <v>39</v>
      </c>
      <c r="Q449" s="76"/>
      <c r="R449" s="140"/>
      <c r="S449" s="140"/>
      <c r="T449" s="140"/>
      <c r="U449" s="140"/>
      <c r="V449" s="140"/>
      <c r="W449" s="140"/>
      <c r="X449" s="140"/>
      <c r="Y449" s="140"/>
      <c r="Z449" s="140"/>
      <c r="AA449" s="140"/>
      <c r="AB449" s="140"/>
    </row>
    <row r="450">
      <c r="A450" s="145"/>
      <c r="B450" s="146"/>
      <c r="C450" s="146"/>
      <c r="D450" s="146"/>
      <c r="E450" s="146"/>
      <c r="F450" s="140"/>
      <c r="G450" s="142"/>
      <c r="H450" s="142"/>
      <c r="I450" s="142"/>
      <c r="J450" s="137" t="s">
        <v>39</v>
      </c>
      <c r="K450" s="137" t="s">
        <v>39</v>
      </c>
      <c r="L450" s="146"/>
      <c r="M450" s="141"/>
      <c r="N450" s="129"/>
      <c r="O450" s="140"/>
      <c r="P450" s="140" t="s">
        <v>39</v>
      </c>
      <c r="Q450" s="76"/>
      <c r="R450" s="140"/>
      <c r="S450" s="140"/>
      <c r="T450" s="140"/>
      <c r="U450" s="140"/>
      <c r="V450" s="140"/>
      <c r="W450" s="140"/>
      <c r="X450" s="140"/>
      <c r="Y450" s="140"/>
      <c r="Z450" s="140"/>
      <c r="AA450" s="140"/>
      <c r="AB450" s="140"/>
    </row>
    <row r="451">
      <c r="A451" s="145"/>
      <c r="B451" s="146"/>
      <c r="C451" s="146"/>
      <c r="D451" s="146"/>
      <c r="E451" s="146"/>
      <c r="F451" s="140"/>
      <c r="G451" s="142"/>
      <c r="H451" s="142"/>
      <c r="I451" s="142"/>
      <c r="J451" s="137" t="s">
        <v>39</v>
      </c>
      <c r="K451" s="137" t="s">
        <v>39</v>
      </c>
      <c r="L451" s="146"/>
      <c r="M451" s="141"/>
      <c r="N451" s="129"/>
      <c r="O451" s="140"/>
      <c r="P451" s="140" t="s">
        <v>39</v>
      </c>
      <c r="Q451" s="76"/>
      <c r="R451" s="140"/>
      <c r="S451" s="140"/>
      <c r="T451" s="140"/>
      <c r="U451" s="140"/>
      <c r="V451" s="140"/>
      <c r="W451" s="140"/>
      <c r="X451" s="140"/>
      <c r="Y451" s="140"/>
      <c r="Z451" s="140"/>
      <c r="AA451" s="140"/>
      <c r="AB451" s="140"/>
    </row>
    <row r="452">
      <c r="A452" s="145"/>
      <c r="B452" s="146"/>
      <c r="C452" s="146"/>
      <c r="D452" s="146"/>
      <c r="E452" s="146"/>
      <c r="F452" s="140"/>
      <c r="G452" s="142"/>
      <c r="H452" s="142"/>
      <c r="I452" s="142"/>
      <c r="J452" s="137" t="s">
        <v>39</v>
      </c>
      <c r="K452" s="137" t="s">
        <v>39</v>
      </c>
      <c r="L452" s="146"/>
      <c r="M452" s="141"/>
      <c r="N452" s="129"/>
      <c r="O452" s="140"/>
      <c r="P452" s="140" t="s">
        <v>39</v>
      </c>
      <c r="Q452" s="76"/>
      <c r="R452" s="140"/>
      <c r="S452" s="140"/>
      <c r="T452" s="140"/>
      <c r="U452" s="140"/>
      <c r="V452" s="140"/>
      <c r="W452" s="140"/>
      <c r="X452" s="140"/>
      <c r="Y452" s="140"/>
      <c r="Z452" s="140"/>
      <c r="AA452" s="140"/>
      <c r="AB452" s="140"/>
    </row>
    <row r="453">
      <c r="A453" s="145"/>
      <c r="B453" s="146"/>
      <c r="C453" s="146"/>
      <c r="D453" s="146"/>
      <c r="E453" s="146"/>
      <c r="F453" s="140"/>
      <c r="G453" s="142"/>
      <c r="H453" s="142"/>
      <c r="I453" s="142"/>
      <c r="J453" s="137" t="s">
        <v>39</v>
      </c>
      <c r="K453" s="137" t="s">
        <v>39</v>
      </c>
      <c r="L453" s="146"/>
      <c r="M453" s="141"/>
      <c r="N453" s="129"/>
      <c r="O453" s="140"/>
      <c r="P453" s="140" t="s">
        <v>39</v>
      </c>
      <c r="Q453" s="76"/>
      <c r="R453" s="140"/>
      <c r="S453" s="140"/>
      <c r="T453" s="140"/>
      <c r="U453" s="140"/>
      <c r="V453" s="140"/>
      <c r="W453" s="140"/>
      <c r="X453" s="140"/>
      <c r="Y453" s="140"/>
      <c r="Z453" s="140"/>
      <c r="AA453" s="140"/>
      <c r="AB453" s="140"/>
    </row>
    <row r="454">
      <c r="A454" s="145"/>
      <c r="B454" s="146"/>
      <c r="C454" s="146"/>
      <c r="D454" s="146"/>
      <c r="E454" s="146"/>
      <c r="F454" s="140"/>
      <c r="G454" s="142"/>
      <c r="H454" s="142"/>
      <c r="I454" s="142"/>
      <c r="J454" s="137" t="s">
        <v>39</v>
      </c>
      <c r="K454" s="137" t="s">
        <v>39</v>
      </c>
      <c r="L454" s="146"/>
      <c r="M454" s="141"/>
      <c r="N454" s="129"/>
      <c r="O454" s="140"/>
      <c r="P454" s="140" t="s">
        <v>39</v>
      </c>
      <c r="Q454" s="76"/>
      <c r="R454" s="140"/>
      <c r="S454" s="140"/>
      <c r="T454" s="140"/>
      <c r="U454" s="140"/>
      <c r="V454" s="140"/>
      <c r="W454" s="140"/>
      <c r="X454" s="140"/>
      <c r="Y454" s="140"/>
      <c r="Z454" s="140"/>
      <c r="AA454" s="140"/>
      <c r="AB454" s="140"/>
    </row>
    <row r="455">
      <c r="A455" s="145"/>
      <c r="B455" s="146"/>
      <c r="C455" s="146"/>
      <c r="D455" s="146"/>
      <c r="E455" s="146"/>
      <c r="F455" s="140"/>
      <c r="G455" s="142"/>
      <c r="H455" s="142"/>
      <c r="I455" s="142"/>
      <c r="J455" s="137" t="s">
        <v>39</v>
      </c>
      <c r="K455" s="137" t="s">
        <v>39</v>
      </c>
      <c r="L455" s="146"/>
      <c r="M455" s="141"/>
      <c r="N455" s="129"/>
      <c r="O455" s="140"/>
      <c r="P455" s="140" t="s">
        <v>39</v>
      </c>
      <c r="Q455" s="76"/>
      <c r="R455" s="140"/>
      <c r="S455" s="140"/>
      <c r="T455" s="140"/>
      <c r="U455" s="140"/>
      <c r="V455" s="140"/>
      <c r="W455" s="140"/>
      <c r="X455" s="140"/>
      <c r="Y455" s="140"/>
      <c r="Z455" s="140"/>
      <c r="AA455" s="140"/>
      <c r="AB455" s="140"/>
    </row>
    <row r="456">
      <c r="A456" s="145"/>
      <c r="B456" s="146"/>
      <c r="C456" s="146"/>
      <c r="D456" s="146"/>
      <c r="E456" s="146"/>
      <c r="F456" s="140"/>
      <c r="G456" s="142"/>
      <c r="H456" s="142"/>
      <c r="I456" s="142"/>
      <c r="J456" s="137" t="s">
        <v>39</v>
      </c>
      <c r="K456" s="137" t="s">
        <v>39</v>
      </c>
      <c r="L456" s="146"/>
      <c r="M456" s="141"/>
      <c r="N456" s="129"/>
      <c r="O456" s="140"/>
      <c r="P456" s="140" t="s">
        <v>39</v>
      </c>
      <c r="Q456" s="76"/>
      <c r="R456" s="140"/>
      <c r="S456" s="140"/>
      <c r="T456" s="140"/>
      <c r="U456" s="140"/>
      <c r="V456" s="140"/>
      <c r="W456" s="140"/>
      <c r="X456" s="140"/>
      <c r="Y456" s="140"/>
      <c r="Z456" s="140"/>
      <c r="AA456" s="140"/>
      <c r="AB456" s="140"/>
    </row>
    <row r="457">
      <c r="A457" s="145"/>
      <c r="B457" s="146"/>
      <c r="C457" s="146"/>
      <c r="D457" s="146"/>
      <c r="E457" s="146"/>
      <c r="F457" s="140"/>
      <c r="G457" s="142"/>
      <c r="H457" s="142"/>
      <c r="I457" s="142"/>
      <c r="J457" s="137" t="s">
        <v>39</v>
      </c>
      <c r="K457" s="137" t="s">
        <v>39</v>
      </c>
      <c r="L457" s="146"/>
      <c r="M457" s="141"/>
      <c r="N457" s="129"/>
      <c r="O457" s="140"/>
      <c r="P457" s="140" t="s">
        <v>39</v>
      </c>
      <c r="Q457" s="76"/>
      <c r="R457" s="140"/>
      <c r="S457" s="140"/>
      <c r="T457" s="140"/>
      <c r="U457" s="140"/>
      <c r="V457" s="140"/>
      <c r="W457" s="140"/>
      <c r="X457" s="140"/>
      <c r="Y457" s="140"/>
      <c r="Z457" s="140"/>
      <c r="AA457" s="140"/>
      <c r="AB457" s="140"/>
    </row>
    <row r="458">
      <c r="A458" s="145"/>
      <c r="B458" s="146"/>
      <c r="C458" s="146"/>
      <c r="D458" s="146"/>
      <c r="E458" s="146"/>
      <c r="F458" s="140"/>
      <c r="G458" s="142"/>
      <c r="H458" s="142"/>
      <c r="I458" s="142"/>
      <c r="J458" s="137" t="s">
        <v>39</v>
      </c>
      <c r="K458" s="137" t="s">
        <v>39</v>
      </c>
      <c r="L458" s="146"/>
      <c r="M458" s="141"/>
      <c r="N458" s="129"/>
      <c r="O458" s="140"/>
      <c r="P458" s="140" t="s">
        <v>39</v>
      </c>
      <c r="Q458" s="76"/>
      <c r="R458" s="140"/>
      <c r="S458" s="140"/>
      <c r="T458" s="140"/>
      <c r="U458" s="140"/>
      <c r="V458" s="140"/>
      <c r="W458" s="140"/>
      <c r="X458" s="140"/>
      <c r="Y458" s="140"/>
      <c r="Z458" s="140"/>
      <c r="AA458" s="140"/>
      <c r="AB458" s="140"/>
    </row>
    <row r="459">
      <c r="A459" s="145"/>
      <c r="B459" s="146"/>
      <c r="C459" s="146"/>
      <c r="D459" s="146"/>
      <c r="E459" s="146"/>
      <c r="F459" s="140"/>
      <c r="G459" s="142"/>
      <c r="H459" s="142"/>
      <c r="I459" s="142"/>
      <c r="J459" s="137" t="s">
        <v>39</v>
      </c>
      <c r="K459" s="137" t="s">
        <v>39</v>
      </c>
      <c r="L459" s="146"/>
      <c r="M459" s="141"/>
      <c r="N459" s="129"/>
      <c r="O459" s="140"/>
      <c r="P459" s="140" t="s">
        <v>39</v>
      </c>
      <c r="Q459" s="76"/>
      <c r="R459" s="140"/>
      <c r="S459" s="140"/>
      <c r="T459" s="140"/>
      <c r="U459" s="140"/>
      <c r="V459" s="140"/>
      <c r="W459" s="140"/>
      <c r="X459" s="140"/>
      <c r="Y459" s="140"/>
      <c r="Z459" s="140"/>
      <c r="AA459" s="140"/>
      <c r="AB459" s="140"/>
    </row>
    <row r="460">
      <c r="A460" s="145"/>
      <c r="B460" s="146"/>
      <c r="C460" s="146"/>
      <c r="D460" s="146"/>
      <c r="E460" s="146"/>
      <c r="F460" s="140"/>
      <c r="G460" s="142"/>
      <c r="H460" s="142"/>
      <c r="I460" s="142"/>
      <c r="J460" s="137" t="s">
        <v>39</v>
      </c>
      <c r="K460" s="137" t="s">
        <v>39</v>
      </c>
      <c r="L460" s="146"/>
      <c r="M460" s="141"/>
      <c r="N460" s="129"/>
      <c r="O460" s="140"/>
      <c r="P460" s="140" t="s">
        <v>39</v>
      </c>
      <c r="Q460" s="76"/>
      <c r="R460" s="140"/>
      <c r="S460" s="140"/>
      <c r="T460" s="140"/>
      <c r="U460" s="140"/>
      <c r="V460" s="140"/>
      <c r="W460" s="140"/>
      <c r="X460" s="140"/>
      <c r="Y460" s="140"/>
      <c r="Z460" s="140"/>
      <c r="AA460" s="140"/>
      <c r="AB460" s="140"/>
    </row>
    <row r="461">
      <c r="A461" s="145"/>
      <c r="B461" s="146"/>
      <c r="C461" s="146"/>
      <c r="D461" s="146"/>
      <c r="E461" s="146"/>
      <c r="F461" s="140"/>
      <c r="G461" s="142"/>
      <c r="H461" s="142"/>
      <c r="I461" s="142"/>
      <c r="J461" s="137" t="s">
        <v>39</v>
      </c>
      <c r="K461" s="137" t="s">
        <v>39</v>
      </c>
      <c r="L461" s="146"/>
      <c r="M461" s="141"/>
      <c r="N461" s="129"/>
      <c r="O461" s="140"/>
      <c r="P461" s="140" t="s">
        <v>39</v>
      </c>
      <c r="Q461" s="76"/>
      <c r="R461" s="140"/>
      <c r="S461" s="140"/>
      <c r="T461" s="140"/>
      <c r="U461" s="140"/>
      <c r="V461" s="140"/>
      <c r="W461" s="140"/>
      <c r="X461" s="140"/>
      <c r="Y461" s="140"/>
      <c r="Z461" s="140"/>
      <c r="AA461" s="140"/>
      <c r="AB461" s="140"/>
    </row>
    <row r="462">
      <c r="A462" s="145"/>
      <c r="B462" s="146"/>
      <c r="C462" s="146"/>
      <c r="D462" s="146"/>
      <c r="E462" s="146"/>
      <c r="F462" s="140"/>
      <c r="G462" s="142"/>
      <c r="H462" s="142"/>
      <c r="I462" s="142"/>
      <c r="J462" s="137" t="s">
        <v>39</v>
      </c>
      <c r="K462" s="137" t="s">
        <v>39</v>
      </c>
      <c r="L462" s="146"/>
      <c r="M462" s="141"/>
      <c r="N462" s="129"/>
      <c r="O462" s="140"/>
      <c r="P462" s="140" t="s">
        <v>39</v>
      </c>
      <c r="Q462" s="76"/>
      <c r="R462" s="140"/>
      <c r="S462" s="140"/>
      <c r="T462" s="140"/>
      <c r="U462" s="140"/>
      <c r="V462" s="140"/>
      <c r="W462" s="140"/>
      <c r="X462" s="140"/>
      <c r="Y462" s="140"/>
      <c r="Z462" s="140"/>
      <c r="AA462" s="140"/>
      <c r="AB462" s="140"/>
    </row>
    <row r="463">
      <c r="A463" s="145"/>
      <c r="B463" s="146"/>
      <c r="C463" s="146"/>
      <c r="D463" s="146"/>
      <c r="E463" s="146"/>
      <c r="F463" s="140"/>
      <c r="G463" s="142"/>
      <c r="H463" s="142"/>
      <c r="I463" s="142"/>
      <c r="J463" s="137" t="s">
        <v>39</v>
      </c>
      <c r="K463" s="137" t="s">
        <v>39</v>
      </c>
      <c r="L463" s="146"/>
      <c r="M463" s="141"/>
      <c r="N463" s="129"/>
      <c r="O463" s="140"/>
      <c r="P463" s="140" t="s">
        <v>39</v>
      </c>
      <c r="Q463" s="76"/>
      <c r="R463" s="140"/>
      <c r="S463" s="140"/>
      <c r="T463" s="140"/>
      <c r="U463" s="140"/>
      <c r="V463" s="140"/>
      <c r="W463" s="140"/>
      <c r="X463" s="140"/>
      <c r="Y463" s="140"/>
      <c r="Z463" s="140"/>
      <c r="AA463" s="140"/>
      <c r="AB463" s="140"/>
    </row>
    <row r="464">
      <c r="A464" s="145"/>
      <c r="B464" s="146"/>
      <c r="C464" s="146"/>
      <c r="D464" s="146"/>
      <c r="E464" s="146"/>
      <c r="F464" s="140"/>
      <c r="G464" s="142"/>
      <c r="H464" s="142"/>
      <c r="I464" s="142"/>
      <c r="J464" s="137" t="s">
        <v>39</v>
      </c>
      <c r="K464" s="137" t="s">
        <v>39</v>
      </c>
      <c r="L464" s="146"/>
      <c r="M464" s="141"/>
      <c r="N464" s="129"/>
      <c r="O464" s="140"/>
      <c r="P464" s="140" t="s">
        <v>39</v>
      </c>
      <c r="Q464" s="76"/>
      <c r="R464" s="140"/>
      <c r="S464" s="140"/>
      <c r="T464" s="140"/>
      <c r="U464" s="140"/>
      <c r="V464" s="140"/>
      <c r="W464" s="140"/>
      <c r="X464" s="140"/>
      <c r="Y464" s="140"/>
      <c r="Z464" s="140"/>
      <c r="AA464" s="140"/>
      <c r="AB464" s="140"/>
    </row>
    <row r="465">
      <c r="A465" s="145"/>
      <c r="B465" s="146"/>
      <c r="C465" s="146"/>
      <c r="D465" s="146"/>
      <c r="E465" s="146"/>
      <c r="F465" s="140"/>
      <c r="G465" s="142"/>
      <c r="H465" s="142"/>
      <c r="I465" s="142"/>
      <c r="J465" s="137" t="s">
        <v>39</v>
      </c>
      <c r="K465" s="137" t="s">
        <v>39</v>
      </c>
      <c r="L465" s="146"/>
      <c r="M465" s="141"/>
      <c r="N465" s="129"/>
      <c r="O465" s="140"/>
      <c r="P465" s="140" t="s">
        <v>39</v>
      </c>
      <c r="Q465" s="76"/>
      <c r="R465" s="140"/>
      <c r="S465" s="140"/>
      <c r="T465" s="140"/>
      <c r="U465" s="140"/>
      <c r="V465" s="140"/>
      <c r="W465" s="140"/>
      <c r="X465" s="140"/>
      <c r="Y465" s="140"/>
      <c r="Z465" s="140"/>
      <c r="AA465" s="140"/>
      <c r="AB465" s="140"/>
    </row>
    <row r="466">
      <c r="A466" s="145"/>
      <c r="B466" s="146"/>
      <c r="C466" s="146"/>
      <c r="D466" s="146"/>
      <c r="E466" s="146"/>
      <c r="F466" s="140"/>
      <c r="G466" s="142"/>
      <c r="H466" s="142"/>
      <c r="I466" s="142"/>
      <c r="J466" s="137" t="s">
        <v>39</v>
      </c>
      <c r="K466" s="137" t="s">
        <v>39</v>
      </c>
      <c r="L466" s="146"/>
      <c r="M466" s="141"/>
      <c r="N466" s="129"/>
      <c r="O466" s="140"/>
      <c r="P466" s="140" t="s">
        <v>39</v>
      </c>
      <c r="Q466" s="76"/>
      <c r="R466" s="140"/>
      <c r="S466" s="140"/>
      <c r="T466" s="140"/>
      <c r="U466" s="140"/>
      <c r="V466" s="140"/>
      <c r="W466" s="140"/>
      <c r="X466" s="140"/>
      <c r="Y466" s="140"/>
      <c r="Z466" s="140"/>
      <c r="AA466" s="140"/>
      <c r="AB466" s="140"/>
    </row>
    <row r="467">
      <c r="A467" s="145"/>
      <c r="B467" s="146"/>
      <c r="C467" s="146"/>
      <c r="D467" s="146"/>
      <c r="E467" s="146"/>
      <c r="F467" s="140"/>
      <c r="G467" s="142"/>
      <c r="H467" s="142"/>
      <c r="I467" s="142"/>
      <c r="J467" s="137" t="s">
        <v>39</v>
      </c>
      <c r="K467" s="137" t="s">
        <v>39</v>
      </c>
      <c r="L467" s="146"/>
      <c r="M467" s="141"/>
      <c r="N467" s="129"/>
      <c r="O467" s="140"/>
      <c r="P467" s="140" t="s">
        <v>39</v>
      </c>
      <c r="Q467" s="76"/>
      <c r="R467" s="140"/>
      <c r="S467" s="140"/>
      <c r="T467" s="140"/>
      <c r="U467" s="140"/>
      <c r="V467" s="140"/>
      <c r="W467" s="140"/>
      <c r="X467" s="140"/>
      <c r="Y467" s="140"/>
      <c r="Z467" s="140"/>
      <c r="AA467" s="140"/>
      <c r="AB467" s="140"/>
    </row>
    <row r="468">
      <c r="A468" s="145"/>
      <c r="B468" s="146"/>
      <c r="C468" s="146"/>
      <c r="D468" s="146"/>
      <c r="E468" s="146"/>
      <c r="F468" s="140"/>
      <c r="G468" s="142"/>
      <c r="H468" s="142"/>
      <c r="I468" s="142"/>
      <c r="J468" s="137" t="s">
        <v>39</v>
      </c>
      <c r="K468" s="137" t="s">
        <v>39</v>
      </c>
      <c r="L468" s="146"/>
      <c r="M468" s="141"/>
      <c r="N468" s="129"/>
      <c r="O468" s="140"/>
      <c r="P468" s="140" t="s">
        <v>39</v>
      </c>
      <c r="Q468" s="76"/>
      <c r="R468" s="140"/>
      <c r="S468" s="140"/>
      <c r="T468" s="140"/>
      <c r="U468" s="140"/>
      <c r="V468" s="140"/>
      <c r="W468" s="140"/>
      <c r="X468" s="140"/>
      <c r="Y468" s="140"/>
      <c r="Z468" s="140"/>
      <c r="AA468" s="140"/>
      <c r="AB468" s="140"/>
    </row>
    <row r="469">
      <c r="A469" s="145"/>
      <c r="B469" s="146"/>
      <c r="C469" s="146"/>
      <c r="D469" s="146"/>
      <c r="E469" s="146"/>
      <c r="F469" s="140"/>
      <c r="G469" s="142"/>
      <c r="H469" s="142"/>
      <c r="I469" s="142"/>
      <c r="J469" s="137" t="s">
        <v>39</v>
      </c>
      <c r="K469" s="137" t="s">
        <v>39</v>
      </c>
      <c r="L469" s="146"/>
      <c r="M469" s="141"/>
      <c r="N469" s="129"/>
      <c r="O469" s="140"/>
      <c r="P469" s="140" t="s">
        <v>39</v>
      </c>
      <c r="Q469" s="76"/>
      <c r="R469" s="140"/>
      <c r="S469" s="140"/>
      <c r="T469" s="140"/>
      <c r="U469" s="140"/>
      <c r="V469" s="140"/>
      <c r="W469" s="140"/>
      <c r="X469" s="140"/>
      <c r="Y469" s="140"/>
      <c r="Z469" s="140"/>
      <c r="AA469" s="140"/>
      <c r="AB469" s="140"/>
    </row>
    <row r="470">
      <c r="A470" s="145"/>
      <c r="B470" s="146"/>
      <c r="C470" s="146"/>
      <c r="D470" s="146"/>
      <c r="E470" s="146"/>
      <c r="F470" s="140"/>
      <c r="G470" s="142"/>
      <c r="H470" s="142"/>
      <c r="I470" s="142"/>
      <c r="J470" s="137" t="s">
        <v>39</v>
      </c>
      <c r="K470" s="137" t="s">
        <v>39</v>
      </c>
      <c r="L470" s="146"/>
      <c r="M470" s="141"/>
      <c r="N470" s="129"/>
      <c r="O470" s="140"/>
      <c r="P470" s="140" t="s">
        <v>39</v>
      </c>
      <c r="Q470" s="76"/>
      <c r="R470" s="140"/>
      <c r="S470" s="140"/>
      <c r="T470" s="140"/>
      <c r="U470" s="140"/>
      <c r="V470" s="140"/>
      <c r="W470" s="140"/>
      <c r="X470" s="140"/>
      <c r="Y470" s="140"/>
      <c r="Z470" s="140"/>
      <c r="AA470" s="140"/>
      <c r="AB470" s="140"/>
    </row>
    <row r="471">
      <c r="A471" s="145"/>
      <c r="B471" s="146"/>
      <c r="C471" s="146"/>
      <c r="D471" s="146"/>
      <c r="E471" s="146"/>
      <c r="F471" s="140"/>
      <c r="G471" s="142"/>
      <c r="H471" s="142"/>
      <c r="I471" s="142"/>
      <c r="J471" s="137" t="s">
        <v>39</v>
      </c>
      <c r="K471" s="137" t="s">
        <v>39</v>
      </c>
      <c r="L471" s="146"/>
      <c r="M471" s="141"/>
      <c r="N471" s="129"/>
      <c r="O471" s="140"/>
      <c r="P471" s="140" t="s">
        <v>39</v>
      </c>
      <c r="Q471" s="76"/>
      <c r="R471" s="140"/>
      <c r="S471" s="140"/>
      <c r="T471" s="140"/>
      <c r="U471" s="140"/>
      <c r="V471" s="140"/>
      <c r="W471" s="140"/>
      <c r="X471" s="140"/>
      <c r="Y471" s="140"/>
      <c r="Z471" s="140"/>
      <c r="AA471" s="140"/>
      <c r="AB471" s="140"/>
    </row>
    <row r="472">
      <c r="A472" s="145"/>
      <c r="B472" s="146"/>
      <c r="C472" s="146"/>
      <c r="D472" s="146"/>
      <c r="E472" s="146"/>
      <c r="F472" s="140"/>
      <c r="G472" s="142"/>
      <c r="H472" s="142"/>
      <c r="I472" s="142"/>
      <c r="J472" s="137" t="s">
        <v>39</v>
      </c>
      <c r="K472" s="137" t="s">
        <v>39</v>
      </c>
      <c r="L472" s="146"/>
      <c r="M472" s="141"/>
      <c r="N472" s="129"/>
      <c r="O472" s="140"/>
      <c r="P472" s="140" t="s">
        <v>39</v>
      </c>
      <c r="Q472" s="76"/>
      <c r="R472" s="140"/>
      <c r="S472" s="140"/>
      <c r="T472" s="140"/>
      <c r="U472" s="140"/>
      <c r="V472" s="140"/>
      <c r="W472" s="140"/>
      <c r="X472" s="140"/>
      <c r="Y472" s="140"/>
      <c r="Z472" s="140"/>
      <c r="AA472" s="140"/>
      <c r="AB472" s="140"/>
    </row>
    <row r="473">
      <c r="A473" s="145"/>
      <c r="B473" s="146"/>
      <c r="C473" s="146"/>
      <c r="D473" s="146"/>
      <c r="E473" s="146"/>
      <c r="F473" s="140"/>
      <c r="G473" s="142"/>
      <c r="H473" s="142"/>
      <c r="I473" s="142"/>
      <c r="J473" s="137" t="s">
        <v>39</v>
      </c>
      <c r="K473" s="137" t="s">
        <v>39</v>
      </c>
      <c r="L473" s="146"/>
      <c r="M473" s="141"/>
      <c r="N473" s="129"/>
      <c r="O473" s="140"/>
      <c r="P473" s="140" t="s">
        <v>39</v>
      </c>
      <c r="Q473" s="76"/>
      <c r="R473" s="140"/>
      <c r="S473" s="140"/>
      <c r="T473" s="140"/>
      <c r="U473" s="140"/>
      <c r="V473" s="140"/>
      <c r="W473" s="140"/>
      <c r="X473" s="140"/>
      <c r="Y473" s="140"/>
      <c r="Z473" s="140"/>
      <c r="AA473" s="140"/>
      <c r="AB473" s="140"/>
    </row>
    <row r="474">
      <c r="A474" s="145"/>
      <c r="B474" s="146"/>
      <c r="C474" s="146"/>
      <c r="D474" s="146"/>
      <c r="E474" s="146"/>
      <c r="F474" s="140"/>
      <c r="G474" s="142"/>
      <c r="H474" s="142"/>
      <c r="I474" s="142"/>
      <c r="J474" s="137" t="s">
        <v>39</v>
      </c>
      <c r="K474" s="137" t="s">
        <v>39</v>
      </c>
      <c r="L474" s="146"/>
      <c r="M474" s="141"/>
      <c r="N474" s="129"/>
      <c r="O474" s="140"/>
      <c r="P474" s="140" t="s">
        <v>39</v>
      </c>
      <c r="Q474" s="76"/>
      <c r="R474" s="140"/>
      <c r="S474" s="140"/>
      <c r="T474" s="140"/>
      <c r="U474" s="140"/>
      <c r="V474" s="140"/>
      <c r="W474" s="140"/>
      <c r="X474" s="140"/>
      <c r="Y474" s="140"/>
      <c r="Z474" s="140"/>
      <c r="AA474" s="140"/>
      <c r="AB474" s="140"/>
    </row>
    <row r="475">
      <c r="A475" s="145"/>
      <c r="B475" s="146"/>
      <c r="C475" s="146"/>
      <c r="D475" s="146"/>
      <c r="E475" s="146"/>
      <c r="F475" s="140"/>
      <c r="G475" s="142"/>
      <c r="H475" s="142"/>
      <c r="I475" s="142"/>
      <c r="J475" s="137" t="s">
        <v>39</v>
      </c>
      <c r="K475" s="137" t="s">
        <v>39</v>
      </c>
      <c r="L475" s="146"/>
      <c r="M475" s="141"/>
      <c r="N475" s="129"/>
      <c r="O475" s="140"/>
      <c r="P475" s="140" t="s">
        <v>39</v>
      </c>
      <c r="Q475" s="76"/>
      <c r="R475" s="140"/>
      <c r="S475" s="140"/>
      <c r="T475" s="140"/>
      <c r="U475" s="140"/>
      <c r="V475" s="140"/>
      <c r="W475" s="140"/>
      <c r="X475" s="140"/>
      <c r="Y475" s="140"/>
      <c r="Z475" s="140"/>
      <c r="AA475" s="140"/>
      <c r="AB475" s="140"/>
    </row>
    <row r="476">
      <c r="A476" s="145"/>
      <c r="B476" s="146"/>
      <c r="C476" s="146"/>
      <c r="D476" s="146"/>
      <c r="E476" s="146"/>
      <c r="F476" s="140"/>
      <c r="G476" s="142"/>
      <c r="H476" s="142"/>
      <c r="I476" s="142"/>
      <c r="J476" s="137" t="s">
        <v>39</v>
      </c>
      <c r="K476" s="137" t="s">
        <v>39</v>
      </c>
      <c r="L476" s="146"/>
      <c r="M476" s="141"/>
      <c r="N476" s="129"/>
      <c r="O476" s="140"/>
      <c r="P476" s="140" t="s">
        <v>39</v>
      </c>
      <c r="Q476" s="76"/>
      <c r="R476" s="140"/>
      <c r="S476" s="140"/>
      <c r="T476" s="140"/>
      <c r="U476" s="140"/>
      <c r="V476" s="140"/>
      <c r="W476" s="140"/>
      <c r="X476" s="140"/>
      <c r="Y476" s="140"/>
      <c r="Z476" s="140"/>
      <c r="AA476" s="140"/>
      <c r="AB476" s="140"/>
    </row>
    <row r="477">
      <c r="A477" s="145"/>
      <c r="B477" s="146"/>
      <c r="C477" s="146"/>
      <c r="D477" s="146"/>
      <c r="E477" s="146"/>
      <c r="F477" s="140"/>
      <c r="G477" s="142"/>
      <c r="H477" s="142"/>
      <c r="I477" s="142"/>
      <c r="J477" s="137" t="s">
        <v>39</v>
      </c>
      <c r="K477" s="137" t="s">
        <v>39</v>
      </c>
      <c r="L477" s="146"/>
      <c r="M477" s="141"/>
      <c r="N477" s="129"/>
      <c r="O477" s="140"/>
      <c r="P477" s="140" t="s">
        <v>39</v>
      </c>
      <c r="Q477" s="76"/>
      <c r="R477" s="140"/>
      <c r="S477" s="140"/>
      <c r="T477" s="140"/>
      <c r="U477" s="140"/>
      <c r="V477" s="140"/>
      <c r="W477" s="140"/>
      <c r="X477" s="140"/>
      <c r="Y477" s="140"/>
      <c r="Z477" s="140"/>
      <c r="AA477" s="140"/>
      <c r="AB477" s="140"/>
    </row>
    <row r="478">
      <c r="A478" s="145"/>
      <c r="B478" s="146"/>
      <c r="C478" s="146"/>
      <c r="D478" s="146"/>
      <c r="E478" s="146"/>
      <c r="F478" s="140"/>
      <c r="G478" s="142"/>
      <c r="H478" s="142"/>
      <c r="I478" s="142"/>
      <c r="J478" s="137" t="s">
        <v>39</v>
      </c>
      <c r="K478" s="137" t="s">
        <v>39</v>
      </c>
      <c r="L478" s="146"/>
      <c r="M478" s="141"/>
      <c r="N478" s="129"/>
      <c r="O478" s="140"/>
      <c r="P478" s="140" t="s">
        <v>39</v>
      </c>
      <c r="Q478" s="76"/>
      <c r="R478" s="140"/>
      <c r="S478" s="140"/>
      <c r="T478" s="140"/>
      <c r="U478" s="140"/>
      <c r="V478" s="140"/>
      <c r="W478" s="140"/>
      <c r="X478" s="140"/>
      <c r="Y478" s="140"/>
      <c r="Z478" s="140"/>
      <c r="AA478" s="140"/>
      <c r="AB478" s="140"/>
    </row>
    <row r="479">
      <c r="A479" s="145"/>
      <c r="B479" s="146"/>
      <c r="C479" s="146"/>
      <c r="D479" s="146"/>
      <c r="E479" s="146"/>
      <c r="F479" s="140"/>
      <c r="G479" s="142"/>
      <c r="H479" s="142"/>
      <c r="I479" s="142"/>
      <c r="J479" s="137" t="s">
        <v>39</v>
      </c>
      <c r="K479" s="137" t="s">
        <v>39</v>
      </c>
      <c r="L479" s="146"/>
      <c r="M479" s="141"/>
      <c r="N479" s="129"/>
      <c r="O479" s="140"/>
      <c r="P479" s="140" t="s">
        <v>39</v>
      </c>
      <c r="Q479" s="76"/>
      <c r="R479" s="140"/>
      <c r="S479" s="140"/>
      <c r="T479" s="140"/>
      <c r="U479" s="140"/>
      <c r="V479" s="140"/>
      <c r="W479" s="140"/>
      <c r="X479" s="140"/>
      <c r="Y479" s="140"/>
      <c r="Z479" s="140"/>
      <c r="AA479" s="140"/>
      <c r="AB479" s="140"/>
    </row>
    <row r="480">
      <c r="A480" s="145"/>
      <c r="B480" s="146"/>
      <c r="C480" s="146"/>
      <c r="D480" s="146"/>
      <c r="E480" s="146"/>
      <c r="F480" s="140"/>
      <c r="G480" s="142"/>
      <c r="H480" s="142"/>
      <c r="I480" s="142"/>
      <c r="J480" s="137" t="s">
        <v>39</v>
      </c>
      <c r="K480" s="137" t="s">
        <v>39</v>
      </c>
      <c r="L480" s="146"/>
      <c r="M480" s="141"/>
      <c r="N480" s="129"/>
      <c r="O480" s="140"/>
      <c r="P480" s="140" t="s">
        <v>39</v>
      </c>
      <c r="Q480" s="76"/>
      <c r="R480" s="140"/>
      <c r="S480" s="140"/>
      <c r="T480" s="140"/>
      <c r="U480" s="140"/>
      <c r="V480" s="140"/>
      <c r="W480" s="140"/>
      <c r="X480" s="140"/>
      <c r="Y480" s="140"/>
      <c r="Z480" s="140"/>
      <c r="AA480" s="140"/>
      <c r="AB480" s="140"/>
    </row>
    <row r="481">
      <c r="A481" s="145"/>
      <c r="B481" s="146"/>
      <c r="C481" s="146"/>
      <c r="D481" s="146"/>
      <c r="E481" s="146"/>
      <c r="F481" s="140"/>
      <c r="G481" s="142"/>
      <c r="H481" s="142"/>
      <c r="I481" s="142"/>
      <c r="J481" s="137" t="s">
        <v>39</v>
      </c>
      <c r="K481" s="137" t="s">
        <v>39</v>
      </c>
      <c r="L481" s="146"/>
      <c r="M481" s="141"/>
      <c r="N481" s="129"/>
      <c r="O481" s="140"/>
      <c r="P481" s="140" t="s">
        <v>39</v>
      </c>
      <c r="Q481" s="76"/>
      <c r="R481" s="140"/>
      <c r="S481" s="140"/>
      <c r="T481" s="140"/>
      <c r="U481" s="140"/>
      <c r="V481" s="140"/>
      <c r="W481" s="140"/>
      <c r="X481" s="140"/>
      <c r="Y481" s="140"/>
      <c r="Z481" s="140"/>
      <c r="AA481" s="140"/>
      <c r="AB481" s="140"/>
    </row>
    <row r="482">
      <c r="A482" s="145"/>
      <c r="B482" s="146"/>
      <c r="C482" s="146"/>
      <c r="D482" s="146"/>
      <c r="E482" s="146"/>
      <c r="F482" s="140"/>
      <c r="G482" s="142"/>
      <c r="H482" s="142"/>
      <c r="I482" s="142"/>
      <c r="J482" s="137" t="s">
        <v>39</v>
      </c>
      <c r="K482" s="137" t="s">
        <v>39</v>
      </c>
      <c r="L482" s="146"/>
      <c r="M482" s="141"/>
      <c r="N482" s="129"/>
      <c r="O482" s="140"/>
      <c r="P482" s="140" t="s">
        <v>39</v>
      </c>
      <c r="Q482" s="76"/>
      <c r="R482" s="140"/>
      <c r="S482" s="140"/>
      <c r="T482" s="140"/>
      <c r="U482" s="140"/>
      <c r="V482" s="140"/>
      <c r="W482" s="140"/>
      <c r="X482" s="140"/>
      <c r="Y482" s="140"/>
      <c r="Z482" s="140"/>
      <c r="AA482" s="140"/>
      <c r="AB482" s="140"/>
    </row>
    <row r="483">
      <c r="A483" s="145"/>
      <c r="B483" s="146"/>
      <c r="C483" s="146"/>
      <c r="D483" s="146"/>
      <c r="E483" s="146"/>
      <c r="F483" s="140"/>
      <c r="G483" s="142"/>
      <c r="H483" s="142"/>
      <c r="I483" s="142"/>
      <c r="J483" s="137" t="s">
        <v>39</v>
      </c>
      <c r="K483" s="137" t="s">
        <v>39</v>
      </c>
      <c r="L483" s="146"/>
      <c r="M483" s="141"/>
      <c r="N483" s="129"/>
      <c r="O483" s="140"/>
      <c r="P483" s="140" t="s">
        <v>39</v>
      </c>
      <c r="Q483" s="76"/>
      <c r="R483" s="140"/>
      <c r="S483" s="140"/>
      <c r="T483" s="140"/>
      <c r="U483" s="140"/>
      <c r="V483" s="140"/>
      <c r="W483" s="140"/>
      <c r="X483" s="140"/>
      <c r="Y483" s="140"/>
      <c r="Z483" s="140"/>
      <c r="AA483" s="140"/>
      <c r="AB483" s="140"/>
    </row>
    <row r="484">
      <c r="A484" s="145"/>
      <c r="B484" s="146"/>
      <c r="C484" s="146"/>
      <c r="D484" s="146"/>
      <c r="E484" s="146"/>
      <c r="F484" s="140"/>
      <c r="G484" s="142"/>
      <c r="H484" s="142"/>
      <c r="I484" s="142"/>
      <c r="J484" s="137" t="s">
        <v>39</v>
      </c>
      <c r="K484" s="137" t="s">
        <v>39</v>
      </c>
      <c r="L484" s="146"/>
      <c r="M484" s="141"/>
      <c r="N484" s="129"/>
      <c r="O484" s="140"/>
      <c r="P484" s="140" t="s">
        <v>39</v>
      </c>
      <c r="Q484" s="76"/>
      <c r="R484" s="140"/>
      <c r="S484" s="140"/>
      <c r="T484" s="140"/>
      <c r="U484" s="140"/>
      <c r="V484" s="140"/>
      <c r="W484" s="140"/>
      <c r="X484" s="140"/>
      <c r="Y484" s="140"/>
      <c r="Z484" s="140"/>
      <c r="AA484" s="140"/>
      <c r="AB484" s="140"/>
    </row>
    <row r="485">
      <c r="A485" s="145"/>
      <c r="B485" s="146"/>
      <c r="C485" s="146"/>
      <c r="D485" s="146"/>
      <c r="E485" s="146"/>
      <c r="F485" s="140"/>
      <c r="G485" s="142"/>
      <c r="H485" s="142"/>
      <c r="I485" s="142"/>
      <c r="J485" s="137" t="s">
        <v>39</v>
      </c>
      <c r="K485" s="137" t="s">
        <v>39</v>
      </c>
      <c r="L485" s="146"/>
      <c r="M485" s="141"/>
      <c r="N485" s="129"/>
      <c r="O485" s="140"/>
      <c r="P485" s="140" t="s">
        <v>39</v>
      </c>
      <c r="Q485" s="76"/>
      <c r="R485" s="140"/>
      <c r="S485" s="140"/>
      <c r="T485" s="140"/>
      <c r="U485" s="140"/>
      <c r="V485" s="140"/>
      <c r="W485" s="140"/>
      <c r="X485" s="140"/>
      <c r="Y485" s="140"/>
      <c r="Z485" s="140"/>
      <c r="AA485" s="140"/>
      <c r="AB485" s="140"/>
    </row>
    <row r="486">
      <c r="A486" s="145"/>
      <c r="B486" s="146"/>
      <c r="C486" s="146"/>
      <c r="D486" s="146"/>
      <c r="E486" s="146"/>
      <c r="F486" s="140"/>
      <c r="G486" s="142"/>
      <c r="H486" s="142"/>
      <c r="I486" s="142"/>
      <c r="J486" s="137" t="s">
        <v>39</v>
      </c>
      <c r="K486" s="137" t="s">
        <v>39</v>
      </c>
      <c r="L486" s="146"/>
      <c r="M486" s="141"/>
      <c r="N486" s="129"/>
      <c r="O486" s="140"/>
      <c r="P486" s="140" t="s">
        <v>39</v>
      </c>
      <c r="Q486" s="76"/>
      <c r="R486" s="140"/>
      <c r="S486" s="140"/>
      <c r="T486" s="140"/>
      <c r="U486" s="140"/>
      <c r="V486" s="140"/>
      <c r="W486" s="140"/>
      <c r="X486" s="140"/>
      <c r="Y486" s="140"/>
      <c r="Z486" s="140"/>
      <c r="AA486" s="140"/>
      <c r="AB486" s="140"/>
    </row>
    <row r="487">
      <c r="A487" s="145"/>
      <c r="B487" s="146"/>
      <c r="C487" s="146"/>
      <c r="D487" s="146"/>
      <c r="E487" s="146"/>
      <c r="F487" s="140"/>
      <c r="G487" s="142"/>
      <c r="H487" s="142"/>
      <c r="I487" s="142"/>
      <c r="J487" s="137" t="s">
        <v>39</v>
      </c>
      <c r="K487" s="137" t="s">
        <v>39</v>
      </c>
      <c r="L487" s="146"/>
      <c r="M487" s="141"/>
      <c r="N487" s="129"/>
      <c r="O487" s="140"/>
      <c r="P487" s="140" t="s">
        <v>39</v>
      </c>
      <c r="Q487" s="76"/>
      <c r="R487" s="140"/>
      <c r="S487" s="140"/>
      <c r="T487" s="140"/>
      <c r="U487" s="140"/>
      <c r="V487" s="140"/>
      <c r="W487" s="140"/>
      <c r="X487" s="140"/>
      <c r="Y487" s="140"/>
      <c r="Z487" s="140"/>
      <c r="AA487" s="140"/>
      <c r="AB487" s="140"/>
    </row>
    <row r="488">
      <c r="A488" s="145"/>
      <c r="B488" s="146"/>
      <c r="C488" s="146"/>
      <c r="D488" s="146"/>
      <c r="E488" s="146"/>
      <c r="F488" s="140"/>
      <c r="G488" s="142"/>
      <c r="H488" s="142"/>
      <c r="I488" s="142"/>
      <c r="J488" s="137" t="s">
        <v>39</v>
      </c>
      <c r="K488" s="137" t="s">
        <v>39</v>
      </c>
      <c r="L488" s="146"/>
      <c r="M488" s="141"/>
      <c r="N488" s="129"/>
      <c r="O488" s="140"/>
      <c r="P488" s="140" t="s">
        <v>39</v>
      </c>
      <c r="Q488" s="76"/>
      <c r="R488" s="140"/>
      <c r="S488" s="140"/>
      <c r="T488" s="140"/>
      <c r="U488" s="140"/>
      <c r="V488" s="140"/>
      <c r="W488" s="140"/>
      <c r="X488" s="140"/>
      <c r="Y488" s="140"/>
      <c r="Z488" s="140"/>
      <c r="AA488" s="140"/>
      <c r="AB488" s="140"/>
    </row>
    <row r="489">
      <c r="A489" s="145"/>
      <c r="B489" s="146"/>
      <c r="C489" s="146"/>
      <c r="D489" s="146"/>
      <c r="E489" s="146"/>
      <c r="F489" s="140"/>
      <c r="G489" s="142"/>
      <c r="H489" s="142"/>
      <c r="I489" s="142"/>
      <c r="J489" s="137" t="s">
        <v>39</v>
      </c>
      <c r="K489" s="137" t="s">
        <v>39</v>
      </c>
      <c r="L489" s="146"/>
      <c r="M489" s="141"/>
      <c r="N489" s="129"/>
      <c r="O489" s="140"/>
      <c r="P489" s="140" t="s">
        <v>39</v>
      </c>
      <c r="Q489" s="76"/>
      <c r="R489" s="140"/>
      <c r="S489" s="140"/>
      <c r="T489" s="140"/>
      <c r="U489" s="140"/>
      <c r="V489" s="140"/>
      <c r="W489" s="140"/>
      <c r="X489" s="140"/>
      <c r="Y489" s="140"/>
      <c r="Z489" s="140"/>
      <c r="AA489" s="140"/>
      <c r="AB489" s="140"/>
    </row>
    <row r="490">
      <c r="A490" s="145"/>
      <c r="B490" s="146"/>
      <c r="C490" s="146"/>
      <c r="D490" s="146"/>
      <c r="E490" s="146"/>
      <c r="F490" s="140"/>
      <c r="G490" s="142"/>
      <c r="H490" s="142"/>
      <c r="I490" s="142"/>
      <c r="J490" s="137" t="s">
        <v>39</v>
      </c>
      <c r="K490" s="137" t="s">
        <v>39</v>
      </c>
      <c r="L490" s="146"/>
      <c r="M490" s="141"/>
      <c r="N490" s="129"/>
      <c r="O490" s="140"/>
      <c r="P490" s="140" t="s">
        <v>39</v>
      </c>
      <c r="Q490" s="76"/>
      <c r="R490" s="140"/>
      <c r="S490" s="140"/>
      <c r="T490" s="140"/>
      <c r="U490" s="140"/>
      <c r="V490" s="140"/>
      <c r="W490" s="140"/>
      <c r="X490" s="140"/>
      <c r="Y490" s="140"/>
      <c r="Z490" s="140"/>
      <c r="AA490" s="140"/>
      <c r="AB490" s="140"/>
    </row>
    <row r="491">
      <c r="A491" s="145"/>
      <c r="B491" s="146"/>
      <c r="C491" s="146"/>
      <c r="D491" s="146"/>
      <c r="E491" s="146"/>
      <c r="F491" s="140"/>
      <c r="G491" s="142"/>
      <c r="H491" s="142"/>
      <c r="I491" s="142"/>
      <c r="J491" s="137" t="s">
        <v>39</v>
      </c>
      <c r="K491" s="137" t="s">
        <v>39</v>
      </c>
      <c r="L491" s="146"/>
      <c r="M491" s="141"/>
      <c r="N491" s="129"/>
      <c r="O491" s="140"/>
      <c r="P491" s="140" t="s">
        <v>39</v>
      </c>
      <c r="Q491" s="76"/>
      <c r="R491" s="140"/>
      <c r="S491" s="140"/>
      <c r="T491" s="140"/>
      <c r="U491" s="140"/>
      <c r="V491" s="140"/>
      <c r="W491" s="140"/>
      <c r="X491" s="140"/>
      <c r="Y491" s="140"/>
      <c r="Z491" s="140"/>
      <c r="AA491" s="140"/>
      <c r="AB491" s="140"/>
    </row>
    <row r="492">
      <c r="A492" s="145"/>
      <c r="B492" s="146"/>
      <c r="C492" s="146"/>
      <c r="D492" s="146"/>
      <c r="E492" s="146"/>
      <c r="F492" s="140"/>
      <c r="G492" s="142"/>
      <c r="H492" s="142"/>
      <c r="I492" s="142"/>
      <c r="J492" s="137" t="s">
        <v>39</v>
      </c>
      <c r="K492" s="137" t="s">
        <v>39</v>
      </c>
      <c r="L492" s="146"/>
      <c r="M492" s="141"/>
      <c r="N492" s="129"/>
      <c r="O492" s="140"/>
      <c r="P492" s="140" t="s">
        <v>39</v>
      </c>
      <c r="Q492" s="76"/>
      <c r="R492" s="140"/>
      <c r="S492" s="140"/>
      <c r="T492" s="140"/>
      <c r="U492" s="140"/>
      <c r="V492" s="140"/>
      <c r="W492" s="140"/>
      <c r="X492" s="140"/>
      <c r="Y492" s="140"/>
      <c r="Z492" s="140"/>
      <c r="AA492" s="140"/>
      <c r="AB492" s="140"/>
    </row>
    <row r="493">
      <c r="A493" s="145"/>
      <c r="B493" s="146"/>
      <c r="C493" s="146"/>
      <c r="D493" s="146"/>
      <c r="E493" s="146"/>
      <c r="F493" s="140"/>
      <c r="G493" s="142"/>
      <c r="H493" s="142"/>
      <c r="I493" s="142"/>
      <c r="J493" s="137" t="s">
        <v>39</v>
      </c>
      <c r="K493" s="137" t="s">
        <v>39</v>
      </c>
      <c r="L493" s="146"/>
      <c r="M493" s="141"/>
      <c r="N493" s="129"/>
      <c r="O493" s="140"/>
      <c r="P493" s="140" t="s">
        <v>39</v>
      </c>
      <c r="Q493" s="76"/>
      <c r="R493" s="140"/>
      <c r="S493" s="140"/>
      <c r="T493" s="140"/>
      <c r="U493" s="140"/>
      <c r="V493" s="140"/>
      <c r="W493" s="140"/>
      <c r="X493" s="140"/>
      <c r="Y493" s="140"/>
      <c r="Z493" s="140"/>
      <c r="AA493" s="140"/>
      <c r="AB493" s="140"/>
    </row>
    <row r="494">
      <c r="A494" s="145"/>
      <c r="B494" s="146"/>
      <c r="C494" s="146"/>
      <c r="D494" s="146"/>
      <c r="E494" s="146"/>
      <c r="F494" s="140"/>
      <c r="G494" s="142"/>
      <c r="H494" s="142"/>
      <c r="I494" s="142"/>
      <c r="J494" s="137" t="s">
        <v>39</v>
      </c>
      <c r="K494" s="137" t="s">
        <v>39</v>
      </c>
      <c r="L494" s="146"/>
      <c r="M494" s="141"/>
      <c r="N494" s="129"/>
      <c r="O494" s="140"/>
      <c r="P494" s="140" t="s">
        <v>39</v>
      </c>
      <c r="Q494" s="76"/>
      <c r="R494" s="140"/>
      <c r="S494" s="140"/>
      <c r="T494" s="140"/>
      <c r="U494" s="140"/>
      <c r="V494" s="140"/>
      <c r="W494" s="140"/>
      <c r="X494" s="140"/>
      <c r="Y494" s="140"/>
      <c r="Z494" s="140"/>
      <c r="AA494" s="140"/>
      <c r="AB494" s="140"/>
    </row>
    <row r="495">
      <c r="A495" s="145"/>
      <c r="B495" s="146"/>
      <c r="C495" s="146"/>
      <c r="D495" s="146"/>
      <c r="E495" s="146"/>
      <c r="F495" s="140"/>
      <c r="G495" s="142"/>
      <c r="H495" s="142"/>
      <c r="I495" s="142"/>
      <c r="J495" s="137" t="s">
        <v>39</v>
      </c>
      <c r="K495" s="137" t="s">
        <v>39</v>
      </c>
      <c r="L495" s="146"/>
      <c r="M495" s="141"/>
      <c r="N495" s="129"/>
      <c r="O495" s="140"/>
      <c r="P495" s="140" t="s">
        <v>39</v>
      </c>
      <c r="Q495" s="76"/>
      <c r="R495" s="140"/>
      <c r="S495" s="140"/>
      <c r="T495" s="140"/>
      <c r="U495" s="140"/>
      <c r="V495" s="140"/>
      <c r="W495" s="140"/>
      <c r="X495" s="140"/>
      <c r="Y495" s="140"/>
      <c r="Z495" s="140"/>
      <c r="AA495" s="140"/>
      <c r="AB495" s="140"/>
    </row>
    <row r="496">
      <c r="A496" s="145"/>
      <c r="B496" s="146"/>
      <c r="C496" s="146"/>
      <c r="D496" s="146"/>
      <c r="E496" s="146"/>
      <c r="F496" s="140"/>
      <c r="G496" s="142"/>
      <c r="H496" s="142"/>
      <c r="I496" s="142"/>
      <c r="J496" s="137" t="s">
        <v>39</v>
      </c>
      <c r="K496" s="137" t="s">
        <v>39</v>
      </c>
      <c r="L496" s="146"/>
      <c r="M496" s="141"/>
      <c r="N496" s="129"/>
      <c r="O496" s="140"/>
      <c r="P496" s="140" t="s">
        <v>39</v>
      </c>
      <c r="Q496" s="76"/>
      <c r="R496" s="140"/>
      <c r="S496" s="140"/>
      <c r="T496" s="140"/>
      <c r="U496" s="140"/>
      <c r="V496" s="140"/>
      <c r="W496" s="140"/>
      <c r="X496" s="140"/>
      <c r="Y496" s="140"/>
      <c r="Z496" s="140"/>
      <c r="AA496" s="140"/>
      <c r="AB496" s="140"/>
    </row>
    <row r="497">
      <c r="A497" s="145"/>
      <c r="B497" s="146"/>
      <c r="C497" s="146"/>
      <c r="D497" s="146"/>
      <c r="E497" s="146"/>
      <c r="F497" s="140"/>
      <c r="G497" s="142"/>
      <c r="H497" s="142"/>
      <c r="I497" s="142"/>
      <c r="J497" s="137" t="s">
        <v>39</v>
      </c>
      <c r="K497" s="137" t="s">
        <v>39</v>
      </c>
      <c r="L497" s="146"/>
      <c r="M497" s="141"/>
      <c r="N497" s="129"/>
      <c r="O497" s="140"/>
      <c r="P497" s="140" t="s">
        <v>39</v>
      </c>
      <c r="Q497" s="76"/>
      <c r="R497" s="140"/>
      <c r="S497" s="140"/>
      <c r="T497" s="140"/>
      <c r="U497" s="140"/>
      <c r="V497" s="140"/>
      <c r="W497" s="140"/>
      <c r="X497" s="140"/>
      <c r="Y497" s="140"/>
      <c r="Z497" s="140"/>
      <c r="AA497" s="140"/>
      <c r="AB497" s="140"/>
    </row>
    <row r="498">
      <c r="A498" s="145"/>
      <c r="B498" s="146"/>
      <c r="C498" s="146"/>
      <c r="D498" s="146"/>
      <c r="E498" s="146"/>
      <c r="F498" s="140"/>
      <c r="G498" s="142"/>
      <c r="H498" s="142"/>
      <c r="I498" s="142"/>
      <c r="J498" s="137" t="s">
        <v>39</v>
      </c>
      <c r="K498" s="137" t="s">
        <v>39</v>
      </c>
      <c r="L498" s="146"/>
      <c r="M498" s="141"/>
      <c r="N498" s="129"/>
      <c r="O498" s="140"/>
      <c r="P498" s="140" t="s">
        <v>39</v>
      </c>
      <c r="Q498" s="76"/>
      <c r="R498" s="140"/>
      <c r="S498" s="140"/>
      <c r="T498" s="140"/>
      <c r="U498" s="140"/>
      <c r="V498" s="140"/>
      <c r="W498" s="140"/>
      <c r="X498" s="140"/>
      <c r="Y498" s="140"/>
      <c r="Z498" s="140"/>
      <c r="AA498" s="140"/>
      <c r="AB498" s="140"/>
    </row>
    <row r="499">
      <c r="A499" s="145"/>
      <c r="B499" s="146"/>
      <c r="C499" s="146"/>
      <c r="D499" s="146"/>
      <c r="E499" s="146"/>
      <c r="F499" s="140"/>
      <c r="G499" s="142"/>
      <c r="H499" s="142"/>
      <c r="I499" s="142"/>
      <c r="J499" s="137" t="s">
        <v>39</v>
      </c>
      <c r="K499" s="137" t="s">
        <v>39</v>
      </c>
      <c r="L499" s="146"/>
      <c r="M499" s="141"/>
      <c r="N499" s="129"/>
      <c r="O499" s="140"/>
      <c r="P499" s="140" t="s">
        <v>39</v>
      </c>
      <c r="Q499" s="76"/>
      <c r="R499" s="140"/>
      <c r="S499" s="140"/>
      <c r="T499" s="140"/>
      <c r="U499" s="140"/>
      <c r="V499" s="140"/>
      <c r="W499" s="140"/>
      <c r="X499" s="140"/>
      <c r="Y499" s="140"/>
      <c r="Z499" s="140"/>
      <c r="AA499" s="140"/>
      <c r="AB499" s="140"/>
    </row>
    <row r="500">
      <c r="A500" s="145"/>
      <c r="B500" s="146"/>
      <c r="C500" s="146"/>
      <c r="D500" s="146"/>
      <c r="E500" s="146"/>
      <c r="F500" s="140"/>
      <c r="G500" s="142"/>
      <c r="H500" s="142"/>
      <c r="I500" s="142"/>
      <c r="J500" s="137" t="s">
        <v>39</v>
      </c>
      <c r="K500" s="137" t="s">
        <v>39</v>
      </c>
      <c r="L500" s="146"/>
      <c r="M500" s="141"/>
      <c r="N500" s="129"/>
      <c r="O500" s="140"/>
      <c r="P500" s="140" t="s">
        <v>39</v>
      </c>
      <c r="Q500" s="76"/>
      <c r="R500" s="140"/>
      <c r="S500" s="140"/>
      <c r="T500" s="140"/>
      <c r="U500" s="140"/>
      <c r="V500" s="140"/>
      <c r="W500" s="140"/>
      <c r="X500" s="140"/>
      <c r="Y500" s="140"/>
      <c r="Z500" s="140"/>
      <c r="AA500" s="140"/>
      <c r="AB500" s="140"/>
    </row>
    <row r="501">
      <c r="A501" s="145"/>
      <c r="B501" s="146"/>
      <c r="C501" s="146"/>
      <c r="D501" s="146"/>
      <c r="E501" s="146"/>
      <c r="F501" s="140"/>
      <c r="G501" s="142"/>
      <c r="H501" s="142"/>
      <c r="I501" s="142"/>
      <c r="J501" s="137" t="s">
        <v>39</v>
      </c>
      <c r="K501" s="137" t="s">
        <v>39</v>
      </c>
      <c r="L501" s="146"/>
      <c r="M501" s="141"/>
      <c r="N501" s="129"/>
      <c r="O501" s="140"/>
      <c r="P501" s="140" t="s">
        <v>39</v>
      </c>
      <c r="Q501" s="76"/>
      <c r="R501" s="140"/>
      <c r="S501" s="140"/>
      <c r="T501" s="140"/>
      <c r="U501" s="140"/>
      <c r="V501" s="140"/>
      <c r="W501" s="140"/>
      <c r="X501" s="140"/>
      <c r="Y501" s="140"/>
      <c r="Z501" s="140"/>
      <c r="AA501" s="140"/>
      <c r="AB501" s="140"/>
    </row>
    <row r="502">
      <c r="A502" s="145"/>
      <c r="B502" s="146"/>
      <c r="C502" s="146"/>
      <c r="D502" s="146"/>
      <c r="E502" s="146"/>
      <c r="F502" s="140"/>
      <c r="G502" s="142"/>
      <c r="H502" s="142"/>
      <c r="I502" s="142"/>
      <c r="J502" s="137" t="s">
        <v>39</v>
      </c>
      <c r="K502" s="137" t="s">
        <v>39</v>
      </c>
      <c r="L502" s="146"/>
      <c r="M502" s="141"/>
      <c r="N502" s="129"/>
      <c r="O502" s="140"/>
      <c r="P502" s="140" t="s">
        <v>39</v>
      </c>
      <c r="Q502" s="76"/>
      <c r="R502" s="140"/>
      <c r="S502" s="140"/>
      <c r="T502" s="140"/>
      <c r="U502" s="140"/>
      <c r="V502" s="140"/>
      <c r="W502" s="140"/>
      <c r="X502" s="140"/>
      <c r="Y502" s="140"/>
      <c r="Z502" s="140"/>
      <c r="AA502" s="140"/>
      <c r="AB502" s="140"/>
    </row>
    <row r="503">
      <c r="A503" s="145"/>
      <c r="B503" s="146"/>
      <c r="C503" s="146"/>
      <c r="D503" s="146"/>
      <c r="E503" s="146"/>
      <c r="F503" s="140"/>
      <c r="G503" s="142"/>
      <c r="H503" s="142"/>
      <c r="I503" s="142"/>
      <c r="J503" s="137" t="s">
        <v>39</v>
      </c>
      <c r="K503" s="137" t="s">
        <v>39</v>
      </c>
      <c r="L503" s="146"/>
      <c r="M503" s="141"/>
      <c r="N503" s="129"/>
      <c r="O503" s="140"/>
      <c r="P503" s="140" t="s">
        <v>39</v>
      </c>
      <c r="Q503" s="76"/>
      <c r="R503" s="140"/>
      <c r="S503" s="140"/>
      <c r="T503" s="140"/>
      <c r="U503" s="140"/>
      <c r="V503" s="140"/>
      <c r="W503" s="140"/>
      <c r="X503" s="140"/>
      <c r="Y503" s="140"/>
      <c r="Z503" s="140"/>
      <c r="AA503" s="140"/>
      <c r="AB503" s="140"/>
    </row>
    <row r="504">
      <c r="A504" s="145"/>
      <c r="B504" s="146"/>
      <c r="C504" s="146"/>
      <c r="D504" s="146"/>
      <c r="E504" s="146"/>
      <c r="F504" s="140"/>
      <c r="G504" s="142"/>
      <c r="H504" s="142"/>
      <c r="I504" s="142"/>
      <c r="J504" s="137" t="s">
        <v>39</v>
      </c>
      <c r="K504" s="137" t="s">
        <v>39</v>
      </c>
      <c r="L504" s="146"/>
      <c r="M504" s="141"/>
      <c r="N504" s="129"/>
      <c r="O504" s="140"/>
      <c r="P504" s="140" t="s">
        <v>39</v>
      </c>
      <c r="Q504" s="76"/>
      <c r="R504" s="140"/>
      <c r="S504" s="140"/>
      <c r="T504" s="140"/>
      <c r="U504" s="140"/>
      <c r="V504" s="140"/>
      <c r="W504" s="140"/>
      <c r="X504" s="140"/>
      <c r="Y504" s="140"/>
      <c r="Z504" s="140"/>
      <c r="AA504" s="140"/>
      <c r="AB504" s="140"/>
    </row>
    <row r="505">
      <c r="A505" s="145"/>
      <c r="B505" s="146"/>
      <c r="C505" s="146"/>
      <c r="D505" s="146"/>
      <c r="E505" s="146"/>
      <c r="F505" s="140"/>
      <c r="G505" s="142"/>
      <c r="H505" s="142"/>
      <c r="I505" s="142"/>
      <c r="J505" s="137" t="s">
        <v>39</v>
      </c>
      <c r="K505" s="137" t="s">
        <v>39</v>
      </c>
      <c r="L505" s="146"/>
      <c r="M505" s="141"/>
      <c r="N505" s="129"/>
      <c r="O505" s="140"/>
      <c r="P505" s="140" t="s">
        <v>39</v>
      </c>
      <c r="Q505" s="76"/>
      <c r="R505" s="140"/>
      <c r="S505" s="140"/>
      <c r="T505" s="140"/>
      <c r="U505" s="140"/>
      <c r="V505" s="140"/>
      <c r="W505" s="140"/>
      <c r="X505" s="140"/>
      <c r="Y505" s="140"/>
      <c r="Z505" s="140"/>
      <c r="AA505" s="140"/>
      <c r="AB505" s="140"/>
    </row>
    <row r="506">
      <c r="A506" s="145"/>
      <c r="B506" s="146"/>
      <c r="C506" s="146"/>
      <c r="D506" s="146"/>
      <c r="E506" s="146"/>
      <c r="F506" s="140"/>
      <c r="G506" s="142"/>
      <c r="H506" s="142"/>
      <c r="I506" s="142"/>
      <c r="J506" s="137" t="s">
        <v>39</v>
      </c>
      <c r="K506" s="137" t="s">
        <v>39</v>
      </c>
      <c r="L506" s="146"/>
      <c r="M506" s="141"/>
      <c r="N506" s="129"/>
      <c r="O506" s="140"/>
      <c r="P506" s="140" t="s">
        <v>39</v>
      </c>
      <c r="Q506" s="76"/>
      <c r="R506" s="140"/>
      <c r="S506" s="140"/>
      <c r="T506" s="140"/>
      <c r="U506" s="140"/>
      <c r="V506" s="140"/>
      <c r="W506" s="140"/>
      <c r="X506" s="140"/>
      <c r="Y506" s="140"/>
      <c r="Z506" s="140"/>
      <c r="AA506" s="140"/>
      <c r="AB506" s="140"/>
    </row>
    <row r="507">
      <c r="A507" s="145"/>
      <c r="B507" s="146"/>
      <c r="C507" s="146"/>
      <c r="D507" s="146"/>
      <c r="E507" s="146"/>
      <c r="F507" s="140"/>
      <c r="G507" s="142"/>
      <c r="H507" s="142"/>
      <c r="I507" s="142"/>
      <c r="J507" s="137" t="s">
        <v>39</v>
      </c>
      <c r="K507" s="137" t="s">
        <v>39</v>
      </c>
      <c r="L507" s="146"/>
      <c r="M507" s="141"/>
      <c r="N507" s="129"/>
      <c r="O507" s="140"/>
      <c r="P507" s="140" t="s">
        <v>39</v>
      </c>
      <c r="Q507" s="76"/>
      <c r="R507" s="140"/>
      <c r="S507" s="140"/>
      <c r="T507" s="140"/>
      <c r="U507" s="140"/>
      <c r="V507" s="140"/>
      <c r="W507" s="140"/>
      <c r="X507" s="140"/>
      <c r="Y507" s="140"/>
      <c r="Z507" s="140"/>
      <c r="AA507" s="140"/>
      <c r="AB507" s="140"/>
    </row>
    <row r="508">
      <c r="A508" s="145"/>
      <c r="B508" s="146"/>
      <c r="C508" s="146"/>
      <c r="D508" s="146"/>
      <c r="E508" s="146"/>
      <c r="F508" s="140"/>
      <c r="G508" s="142"/>
      <c r="H508" s="142"/>
      <c r="I508" s="142"/>
      <c r="J508" s="137" t="s">
        <v>39</v>
      </c>
      <c r="K508" s="137" t="s">
        <v>39</v>
      </c>
      <c r="L508" s="146"/>
      <c r="M508" s="141"/>
      <c r="N508" s="129"/>
      <c r="O508" s="140"/>
      <c r="P508" s="140" t="s">
        <v>39</v>
      </c>
      <c r="Q508" s="76"/>
      <c r="R508" s="140"/>
      <c r="S508" s="140"/>
      <c r="T508" s="140"/>
      <c r="U508" s="140"/>
      <c r="V508" s="140"/>
      <c r="W508" s="140"/>
      <c r="X508" s="140"/>
      <c r="Y508" s="140"/>
      <c r="Z508" s="140"/>
      <c r="AA508" s="140"/>
      <c r="AB508" s="140"/>
    </row>
    <row r="509">
      <c r="A509" s="145"/>
      <c r="B509" s="146"/>
      <c r="C509" s="146"/>
      <c r="D509" s="146"/>
      <c r="E509" s="146"/>
      <c r="F509" s="140"/>
      <c r="G509" s="142"/>
      <c r="H509" s="142"/>
      <c r="I509" s="142"/>
      <c r="J509" s="137" t="s">
        <v>39</v>
      </c>
      <c r="K509" s="137" t="s">
        <v>39</v>
      </c>
      <c r="L509" s="146"/>
      <c r="M509" s="141"/>
      <c r="N509" s="129"/>
      <c r="O509" s="140"/>
      <c r="P509" s="140" t="s">
        <v>39</v>
      </c>
      <c r="Q509" s="76"/>
      <c r="R509" s="140"/>
      <c r="S509" s="140"/>
      <c r="T509" s="140"/>
      <c r="U509" s="140"/>
      <c r="V509" s="140"/>
      <c r="W509" s="140"/>
      <c r="X509" s="140"/>
      <c r="Y509" s="140"/>
      <c r="Z509" s="140"/>
      <c r="AA509" s="140"/>
      <c r="AB509" s="140"/>
    </row>
    <row r="510">
      <c r="A510" s="145"/>
      <c r="B510" s="146"/>
      <c r="C510" s="146"/>
      <c r="D510" s="146"/>
      <c r="E510" s="146"/>
      <c r="F510" s="140"/>
      <c r="G510" s="142"/>
      <c r="H510" s="142"/>
      <c r="I510" s="142"/>
      <c r="J510" s="137" t="s">
        <v>39</v>
      </c>
      <c r="K510" s="137" t="s">
        <v>39</v>
      </c>
      <c r="L510" s="146"/>
      <c r="M510" s="141"/>
      <c r="N510" s="129"/>
      <c r="O510" s="140"/>
      <c r="P510" s="140" t="s">
        <v>39</v>
      </c>
      <c r="Q510" s="76"/>
      <c r="R510" s="140"/>
      <c r="S510" s="140"/>
      <c r="T510" s="140"/>
      <c r="U510" s="140"/>
      <c r="V510" s="140"/>
      <c r="W510" s="140"/>
      <c r="X510" s="140"/>
      <c r="Y510" s="140"/>
      <c r="Z510" s="140"/>
      <c r="AA510" s="140"/>
      <c r="AB510" s="140"/>
    </row>
    <row r="511">
      <c r="A511" s="145"/>
      <c r="B511" s="146"/>
      <c r="C511" s="146"/>
      <c r="D511" s="146"/>
      <c r="E511" s="146"/>
      <c r="F511" s="140"/>
      <c r="G511" s="142"/>
      <c r="H511" s="142"/>
      <c r="I511" s="142"/>
      <c r="J511" s="137" t="s">
        <v>39</v>
      </c>
      <c r="K511" s="137" t="s">
        <v>39</v>
      </c>
      <c r="L511" s="146"/>
      <c r="M511" s="141"/>
      <c r="N511" s="129"/>
      <c r="O511" s="140"/>
      <c r="P511" s="140" t="s">
        <v>39</v>
      </c>
      <c r="Q511" s="76"/>
      <c r="R511" s="140"/>
      <c r="S511" s="140"/>
      <c r="T511" s="140"/>
      <c r="U511" s="140"/>
      <c r="V511" s="140"/>
      <c r="W511" s="140"/>
      <c r="X511" s="140"/>
      <c r="Y511" s="140"/>
      <c r="Z511" s="140"/>
      <c r="AA511" s="140"/>
      <c r="AB511" s="140"/>
    </row>
    <row r="512">
      <c r="A512" s="145"/>
      <c r="B512" s="146"/>
      <c r="C512" s="146"/>
      <c r="D512" s="146"/>
      <c r="E512" s="146"/>
      <c r="F512" s="140"/>
      <c r="G512" s="142"/>
      <c r="H512" s="142"/>
      <c r="I512" s="142"/>
      <c r="J512" s="137" t="s">
        <v>39</v>
      </c>
      <c r="K512" s="137" t="s">
        <v>39</v>
      </c>
      <c r="L512" s="146"/>
      <c r="M512" s="141"/>
      <c r="N512" s="129"/>
      <c r="O512" s="140"/>
      <c r="P512" s="140" t="s">
        <v>39</v>
      </c>
      <c r="Q512" s="76"/>
      <c r="R512" s="140"/>
      <c r="S512" s="140"/>
      <c r="T512" s="140"/>
      <c r="U512" s="140"/>
      <c r="V512" s="140"/>
      <c r="W512" s="140"/>
      <c r="X512" s="140"/>
      <c r="Y512" s="140"/>
      <c r="Z512" s="140"/>
      <c r="AA512" s="140"/>
      <c r="AB512" s="140"/>
    </row>
    <row r="513">
      <c r="A513" s="145"/>
      <c r="B513" s="146"/>
      <c r="C513" s="146"/>
      <c r="D513" s="146"/>
      <c r="E513" s="146"/>
      <c r="F513" s="140"/>
      <c r="G513" s="142"/>
      <c r="H513" s="142"/>
      <c r="I513" s="142"/>
      <c r="J513" s="137" t="s">
        <v>39</v>
      </c>
      <c r="K513" s="137" t="s">
        <v>39</v>
      </c>
      <c r="L513" s="146"/>
      <c r="M513" s="141"/>
      <c r="N513" s="129"/>
      <c r="O513" s="140"/>
      <c r="P513" s="140" t="s">
        <v>39</v>
      </c>
      <c r="Q513" s="76"/>
      <c r="R513" s="140"/>
      <c r="S513" s="140"/>
      <c r="T513" s="140"/>
      <c r="U513" s="140"/>
      <c r="V513" s="140"/>
      <c r="W513" s="140"/>
      <c r="X513" s="140"/>
      <c r="Y513" s="140"/>
      <c r="Z513" s="140"/>
      <c r="AA513" s="140"/>
      <c r="AB513" s="140"/>
    </row>
    <row r="514">
      <c r="A514" s="145"/>
      <c r="B514" s="146"/>
      <c r="C514" s="146"/>
      <c r="D514" s="146"/>
      <c r="E514" s="146"/>
      <c r="F514" s="140"/>
      <c r="G514" s="142"/>
      <c r="H514" s="142"/>
      <c r="I514" s="142"/>
      <c r="J514" s="137" t="s">
        <v>39</v>
      </c>
      <c r="K514" s="137" t="s">
        <v>39</v>
      </c>
      <c r="L514" s="146"/>
      <c r="M514" s="141"/>
      <c r="N514" s="129"/>
      <c r="O514" s="140"/>
      <c r="P514" s="140" t="s">
        <v>39</v>
      </c>
      <c r="Q514" s="76"/>
      <c r="R514" s="140"/>
      <c r="S514" s="140"/>
      <c r="T514" s="140"/>
      <c r="U514" s="140"/>
      <c r="V514" s="140"/>
      <c r="W514" s="140"/>
      <c r="X514" s="140"/>
      <c r="Y514" s="140"/>
      <c r="Z514" s="140"/>
      <c r="AA514" s="140"/>
      <c r="AB514" s="140"/>
    </row>
    <row r="515">
      <c r="A515" s="145"/>
      <c r="B515" s="146"/>
      <c r="C515" s="146"/>
      <c r="D515" s="146"/>
      <c r="E515" s="146"/>
      <c r="F515" s="140"/>
      <c r="G515" s="142"/>
      <c r="H515" s="142"/>
      <c r="I515" s="142"/>
      <c r="J515" s="137" t="s">
        <v>39</v>
      </c>
      <c r="K515" s="137" t="s">
        <v>39</v>
      </c>
      <c r="L515" s="146"/>
      <c r="M515" s="141"/>
      <c r="N515" s="129"/>
      <c r="O515" s="140"/>
      <c r="P515" s="140" t="s">
        <v>39</v>
      </c>
      <c r="Q515" s="76"/>
      <c r="R515" s="140"/>
      <c r="S515" s="140"/>
      <c r="T515" s="140"/>
      <c r="U515" s="140"/>
      <c r="V515" s="140"/>
      <c r="W515" s="140"/>
      <c r="X515" s="140"/>
      <c r="Y515" s="140"/>
      <c r="Z515" s="140"/>
      <c r="AA515" s="140"/>
      <c r="AB515" s="140"/>
    </row>
    <row r="516">
      <c r="A516" s="145"/>
      <c r="B516" s="146"/>
      <c r="C516" s="146"/>
      <c r="D516" s="146"/>
      <c r="E516" s="146"/>
      <c r="F516" s="140"/>
      <c r="G516" s="142"/>
      <c r="H516" s="142"/>
      <c r="I516" s="142"/>
      <c r="J516" s="137" t="s">
        <v>39</v>
      </c>
      <c r="K516" s="137" t="s">
        <v>39</v>
      </c>
      <c r="L516" s="146"/>
      <c r="M516" s="141"/>
      <c r="N516" s="129"/>
      <c r="O516" s="140"/>
      <c r="P516" s="140" t="s">
        <v>39</v>
      </c>
      <c r="Q516" s="76"/>
      <c r="R516" s="140"/>
      <c r="S516" s="140"/>
      <c r="T516" s="140"/>
      <c r="U516" s="140"/>
      <c r="V516" s="140"/>
      <c r="W516" s="140"/>
      <c r="X516" s="140"/>
      <c r="Y516" s="140"/>
      <c r="Z516" s="140"/>
      <c r="AA516" s="140"/>
      <c r="AB516" s="140"/>
    </row>
    <row r="517">
      <c r="A517" s="145"/>
      <c r="B517" s="146"/>
      <c r="C517" s="146"/>
      <c r="D517" s="146"/>
      <c r="E517" s="146"/>
      <c r="F517" s="140"/>
      <c r="G517" s="142"/>
      <c r="H517" s="142"/>
      <c r="I517" s="142"/>
      <c r="J517" s="137" t="s">
        <v>39</v>
      </c>
      <c r="K517" s="137" t="s">
        <v>39</v>
      </c>
      <c r="L517" s="146"/>
      <c r="M517" s="141"/>
      <c r="N517" s="129"/>
      <c r="O517" s="140"/>
      <c r="P517" s="140" t="s">
        <v>39</v>
      </c>
      <c r="Q517" s="76"/>
      <c r="R517" s="140"/>
      <c r="S517" s="140"/>
      <c r="T517" s="140"/>
      <c r="U517" s="140"/>
      <c r="V517" s="140"/>
      <c r="W517" s="140"/>
      <c r="X517" s="140"/>
      <c r="Y517" s="140"/>
      <c r="Z517" s="140"/>
      <c r="AA517" s="140"/>
      <c r="AB517" s="140"/>
    </row>
    <row r="518">
      <c r="A518" s="145"/>
      <c r="B518" s="146"/>
      <c r="C518" s="146"/>
      <c r="D518" s="146"/>
      <c r="E518" s="146"/>
      <c r="F518" s="140"/>
      <c r="G518" s="142"/>
      <c r="H518" s="142"/>
      <c r="I518" s="142"/>
      <c r="J518" s="137" t="s">
        <v>39</v>
      </c>
      <c r="K518" s="137" t="s">
        <v>39</v>
      </c>
      <c r="L518" s="146"/>
      <c r="M518" s="141"/>
      <c r="N518" s="129"/>
      <c r="O518" s="140"/>
      <c r="P518" s="140" t="s">
        <v>39</v>
      </c>
      <c r="Q518" s="76"/>
      <c r="R518" s="140"/>
      <c r="S518" s="140"/>
      <c r="T518" s="140"/>
      <c r="U518" s="140"/>
      <c r="V518" s="140"/>
      <c r="W518" s="140"/>
      <c r="X518" s="140"/>
      <c r="Y518" s="140"/>
      <c r="Z518" s="140"/>
      <c r="AA518" s="140"/>
      <c r="AB518" s="140"/>
    </row>
    <row r="519">
      <c r="A519" s="145"/>
      <c r="B519" s="146"/>
      <c r="C519" s="146"/>
      <c r="D519" s="146"/>
      <c r="E519" s="146"/>
      <c r="F519" s="140"/>
      <c r="G519" s="142"/>
      <c r="H519" s="142"/>
      <c r="I519" s="142"/>
      <c r="J519" s="137" t="s">
        <v>39</v>
      </c>
      <c r="K519" s="137" t="s">
        <v>39</v>
      </c>
      <c r="L519" s="146"/>
      <c r="M519" s="141"/>
      <c r="N519" s="129"/>
      <c r="O519" s="140"/>
      <c r="P519" s="140" t="s">
        <v>39</v>
      </c>
      <c r="Q519" s="76"/>
      <c r="R519" s="140"/>
      <c r="S519" s="140"/>
      <c r="T519" s="140"/>
      <c r="U519" s="140"/>
      <c r="V519" s="140"/>
      <c r="W519" s="140"/>
      <c r="X519" s="140"/>
      <c r="Y519" s="140"/>
      <c r="Z519" s="140"/>
      <c r="AA519" s="140"/>
      <c r="AB519" s="140"/>
    </row>
    <row r="520">
      <c r="A520" s="145"/>
      <c r="B520" s="146"/>
      <c r="C520" s="146"/>
      <c r="D520" s="146"/>
      <c r="E520" s="146"/>
      <c r="F520" s="140"/>
      <c r="G520" s="142"/>
      <c r="H520" s="142"/>
      <c r="I520" s="142"/>
      <c r="J520" s="137" t="s">
        <v>39</v>
      </c>
      <c r="K520" s="137" t="s">
        <v>39</v>
      </c>
      <c r="L520" s="146"/>
      <c r="M520" s="141"/>
      <c r="N520" s="129"/>
      <c r="O520" s="140"/>
      <c r="P520" s="140" t="s">
        <v>39</v>
      </c>
      <c r="Q520" s="76"/>
      <c r="R520" s="140"/>
      <c r="S520" s="140"/>
      <c r="T520" s="140"/>
      <c r="U520" s="140"/>
      <c r="V520" s="140"/>
      <c r="W520" s="140"/>
      <c r="X520" s="140"/>
      <c r="Y520" s="140"/>
      <c r="Z520" s="140"/>
      <c r="AA520" s="140"/>
      <c r="AB520" s="140"/>
    </row>
    <row r="521">
      <c r="A521" s="145"/>
      <c r="B521" s="146"/>
      <c r="C521" s="146"/>
      <c r="D521" s="146"/>
      <c r="E521" s="146"/>
      <c r="F521" s="140"/>
      <c r="G521" s="142"/>
      <c r="H521" s="142"/>
      <c r="I521" s="142"/>
      <c r="J521" s="137" t="s">
        <v>39</v>
      </c>
      <c r="K521" s="137" t="s">
        <v>39</v>
      </c>
      <c r="L521" s="146"/>
      <c r="M521" s="141"/>
      <c r="N521" s="129"/>
      <c r="O521" s="140"/>
      <c r="P521" s="140" t="s">
        <v>39</v>
      </c>
      <c r="Q521" s="76"/>
      <c r="R521" s="140"/>
      <c r="S521" s="140"/>
      <c r="T521" s="140"/>
      <c r="U521" s="140"/>
      <c r="V521" s="140"/>
      <c r="W521" s="140"/>
      <c r="X521" s="140"/>
      <c r="Y521" s="140"/>
      <c r="Z521" s="140"/>
      <c r="AA521" s="140"/>
      <c r="AB521" s="140"/>
    </row>
    <row r="522">
      <c r="A522" s="145"/>
      <c r="B522" s="146"/>
      <c r="C522" s="146"/>
      <c r="D522" s="146"/>
      <c r="E522" s="146"/>
      <c r="F522" s="140"/>
      <c r="G522" s="142"/>
      <c r="H522" s="142"/>
      <c r="I522" s="142"/>
      <c r="J522" s="137" t="s">
        <v>39</v>
      </c>
      <c r="K522" s="137" t="s">
        <v>39</v>
      </c>
      <c r="L522" s="146"/>
      <c r="M522" s="141"/>
      <c r="N522" s="129"/>
      <c r="O522" s="140"/>
      <c r="P522" s="140" t="s">
        <v>39</v>
      </c>
      <c r="Q522" s="76"/>
      <c r="R522" s="140"/>
      <c r="S522" s="140"/>
      <c r="T522" s="140"/>
      <c r="U522" s="140"/>
      <c r="V522" s="140"/>
      <c r="W522" s="140"/>
      <c r="X522" s="140"/>
      <c r="Y522" s="140"/>
      <c r="Z522" s="140"/>
      <c r="AA522" s="140"/>
      <c r="AB522" s="140"/>
    </row>
    <row r="523">
      <c r="A523" s="145"/>
      <c r="B523" s="146"/>
      <c r="C523" s="146"/>
      <c r="D523" s="146"/>
      <c r="E523" s="146"/>
      <c r="F523" s="140"/>
      <c r="G523" s="142"/>
      <c r="H523" s="142"/>
      <c r="I523" s="142"/>
      <c r="J523" s="137" t="s">
        <v>39</v>
      </c>
      <c r="K523" s="137" t="s">
        <v>39</v>
      </c>
      <c r="L523" s="146"/>
      <c r="M523" s="141"/>
      <c r="N523" s="129"/>
      <c r="O523" s="140"/>
      <c r="P523" s="140" t="s">
        <v>39</v>
      </c>
      <c r="Q523" s="76"/>
      <c r="R523" s="140"/>
      <c r="S523" s="140"/>
      <c r="T523" s="140"/>
      <c r="U523" s="140"/>
      <c r="V523" s="140"/>
      <c r="W523" s="140"/>
      <c r="X523" s="140"/>
      <c r="Y523" s="140"/>
      <c r="Z523" s="140"/>
      <c r="AA523" s="140"/>
      <c r="AB523" s="140"/>
    </row>
    <row r="524">
      <c r="A524" s="145"/>
      <c r="B524" s="146"/>
      <c r="C524" s="146"/>
      <c r="D524" s="146"/>
      <c r="E524" s="146"/>
      <c r="F524" s="140"/>
      <c r="G524" s="142"/>
      <c r="H524" s="142"/>
      <c r="I524" s="142"/>
      <c r="J524" s="137" t="s">
        <v>39</v>
      </c>
      <c r="K524" s="137" t="s">
        <v>39</v>
      </c>
      <c r="L524" s="146"/>
      <c r="M524" s="141"/>
      <c r="N524" s="129"/>
      <c r="O524" s="140"/>
      <c r="P524" s="140" t="s">
        <v>39</v>
      </c>
      <c r="Q524" s="76"/>
      <c r="R524" s="140"/>
      <c r="S524" s="140"/>
      <c r="T524" s="140"/>
      <c r="U524" s="140"/>
      <c r="V524" s="140"/>
      <c r="W524" s="140"/>
      <c r="X524" s="140"/>
      <c r="Y524" s="140"/>
      <c r="Z524" s="140"/>
      <c r="AA524" s="140"/>
      <c r="AB524" s="140"/>
    </row>
    <row r="525">
      <c r="A525" s="145"/>
      <c r="B525" s="146"/>
      <c r="C525" s="146"/>
      <c r="D525" s="146"/>
      <c r="E525" s="146"/>
      <c r="F525" s="140"/>
      <c r="G525" s="142"/>
      <c r="H525" s="142"/>
      <c r="I525" s="142"/>
      <c r="J525" s="137" t="s">
        <v>39</v>
      </c>
      <c r="K525" s="137" t="s">
        <v>39</v>
      </c>
      <c r="L525" s="146"/>
      <c r="M525" s="141"/>
      <c r="N525" s="129"/>
      <c r="O525" s="140"/>
      <c r="P525" s="140" t="s">
        <v>39</v>
      </c>
      <c r="Q525" s="76"/>
      <c r="R525" s="140"/>
      <c r="S525" s="140"/>
      <c r="T525" s="140"/>
      <c r="U525" s="140"/>
      <c r="V525" s="140"/>
      <c r="W525" s="140"/>
      <c r="X525" s="140"/>
      <c r="Y525" s="140"/>
      <c r="Z525" s="140"/>
      <c r="AA525" s="140"/>
      <c r="AB525" s="140"/>
    </row>
    <row r="526">
      <c r="A526" s="145"/>
      <c r="B526" s="146"/>
      <c r="C526" s="146"/>
      <c r="D526" s="146"/>
      <c r="E526" s="146"/>
      <c r="F526" s="140"/>
      <c r="G526" s="142"/>
      <c r="H526" s="142"/>
      <c r="I526" s="142"/>
      <c r="J526" s="137" t="s">
        <v>39</v>
      </c>
      <c r="K526" s="137" t="s">
        <v>39</v>
      </c>
      <c r="L526" s="146"/>
      <c r="M526" s="141"/>
      <c r="N526" s="129"/>
      <c r="O526" s="140"/>
      <c r="P526" s="140" t="s">
        <v>39</v>
      </c>
      <c r="Q526" s="76"/>
      <c r="R526" s="140"/>
      <c r="S526" s="140"/>
      <c r="T526" s="140"/>
      <c r="U526" s="140"/>
      <c r="V526" s="140"/>
      <c r="W526" s="140"/>
      <c r="X526" s="140"/>
      <c r="Y526" s="140"/>
      <c r="Z526" s="140"/>
      <c r="AA526" s="140"/>
      <c r="AB526" s="140"/>
    </row>
    <row r="527">
      <c r="A527" s="145"/>
      <c r="B527" s="146"/>
      <c r="C527" s="146"/>
      <c r="D527" s="146"/>
      <c r="E527" s="146"/>
      <c r="F527" s="140"/>
      <c r="G527" s="142"/>
      <c r="H527" s="142"/>
      <c r="I527" s="142"/>
      <c r="J527" s="137" t="s">
        <v>39</v>
      </c>
      <c r="K527" s="137" t="s">
        <v>39</v>
      </c>
      <c r="L527" s="146"/>
      <c r="M527" s="141"/>
      <c r="N527" s="129"/>
      <c r="O527" s="140"/>
      <c r="P527" s="140" t="s">
        <v>39</v>
      </c>
      <c r="Q527" s="76"/>
      <c r="R527" s="140"/>
      <c r="S527" s="140"/>
      <c r="T527" s="140"/>
      <c r="U527" s="140"/>
      <c r="V527" s="140"/>
      <c r="W527" s="140"/>
      <c r="X527" s="140"/>
      <c r="Y527" s="140"/>
      <c r="Z527" s="140"/>
      <c r="AA527" s="140"/>
      <c r="AB527" s="140"/>
    </row>
    <row r="528">
      <c r="A528" s="145"/>
      <c r="B528" s="146"/>
      <c r="C528" s="146"/>
      <c r="D528" s="146"/>
      <c r="E528" s="146"/>
      <c r="F528" s="140"/>
      <c r="G528" s="142"/>
      <c r="H528" s="142"/>
      <c r="I528" s="142"/>
      <c r="J528" s="137" t="s">
        <v>39</v>
      </c>
      <c r="K528" s="137" t="s">
        <v>39</v>
      </c>
      <c r="L528" s="146"/>
      <c r="M528" s="141"/>
      <c r="N528" s="129"/>
      <c r="O528" s="140"/>
      <c r="P528" s="140" t="s">
        <v>39</v>
      </c>
      <c r="Q528" s="76"/>
      <c r="R528" s="140"/>
      <c r="S528" s="140"/>
      <c r="T528" s="140"/>
      <c r="U528" s="140"/>
      <c r="V528" s="140"/>
      <c r="W528" s="140"/>
      <c r="X528" s="140"/>
      <c r="Y528" s="140"/>
      <c r="Z528" s="140"/>
      <c r="AA528" s="140"/>
      <c r="AB528" s="140"/>
    </row>
    <row r="529">
      <c r="A529" s="145"/>
      <c r="B529" s="146"/>
      <c r="C529" s="146"/>
      <c r="D529" s="146"/>
      <c r="E529" s="146"/>
      <c r="F529" s="140"/>
      <c r="G529" s="142"/>
      <c r="H529" s="142"/>
      <c r="I529" s="142"/>
      <c r="J529" s="137" t="s">
        <v>39</v>
      </c>
      <c r="K529" s="137" t="s">
        <v>39</v>
      </c>
      <c r="L529" s="146"/>
      <c r="M529" s="141"/>
      <c r="N529" s="129"/>
      <c r="O529" s="140"/>
      <c r="P529" s="140" t="s">
        <v>39</v>
      </c>
      <c r="Q529" s="76"/>
      <c r="R529" s="140"/>
      <c r="S529" s="140"/>
      <c r="T529" s="140"/>
      <c r="U529" s="140"/>
      <c r="V529" s="140"/>
      <c r="W529" s="140"/>
      <c r="X529" s="140"/>
      <c r="Y529" s="140"/>
      <c r="Z529" s="140"/>
      <c r="AA529" s="140"/>
      <c r="AB529" s="140"/>
    </row>
    <row r="530">
      <c r="A530" s="145"/>
      <c r="B530" s="146"/>
      <c r="C530" s="146"/>
      <c r="D530" s="146"/>
      <c r="E530" s="146"/>
      <c r="F530" s="140"/>
      <c r="G530" s="142"/>
      <c r="H530" s="142"/>
      <c r="I530" s="142"/>
      <c r="J530" s="137" t="s">
        <v>39</v>
      </c>
      <c r="K530" s="137" t="s">
        <v>39</v>
      </c>
      <c r="L530" s="146"/>
      <c r="M530" s="141"/>
      <c r="N530" s="129"/>
      <c r="O530" s="140"/>
      <c r="P530" s="140" t="s">
        <v>39</v>
      </c>
      <c r="Q530" s="76"/>
      <c r="R530" s="140"/>
      <c r="S530" s="140"/>
      <c r="T530" s="140"/>
      <c r="U530" s="140"/>
      <c r="V530" s="140"/>
      <c r="W530" s="140"/>
      <c r="X530" s="140"/>
      <c r="Y530" s="140"/>
      <c r="Z530" s="140"/>
      <c r="AA530" s="140"/>
      <c r="AB530" s="140"/>
    </row>
    <row r="531">
      <c r="A531" s="145"/>
      <c r="B531" s="146"/>
      <c r="C531" s="146"/>
      <c r="D531" s="146"/>
      <c r="E531" s="146"/>
      <c r="F531" s="140"/>
      <c r="G531" s="142"/>
      <c r="H531" s="142"/>
      <c r="I531" s="142"/>
      <c r="J531" s="137" t="s">
        <v>39</v>
      </c>
      <c r="K531" s="137" t="s">
        <v>39</v>
      </c>
      <c r="L531" s="146"/>
      <c r="M531" s="141"/>
      <c r="N531" s="129"/>
      <c r="O531" s="140"/>
      <c r="P531" s="140" t="s">
        <v>39</v>
      </c>
      <c r="Q531" s="76"/>
      <c r="R531" s="140"/>
      <c r="S531" s="140"/>
      <c r="T531" s="140"/>
      <c r="U531" s="140"/>
      <c r="V531" s="140"/>
      <c r="W531" s="140"/>
      <c r="X531" s="140"/>
      <c r="Y531" s="140"/>
      <c r="Z531" s="140"/>
      <c r="AA531" s="140"/>
      <c r="AB531" s="140"/>
    </row>
    <row r="532">
      <c r="A532" s="145"/>
      <c r="B532" s="146"/>
      <c r="C532" s="146"/>
      <c r="D532" s="146"/>
      <c r="E532" s="146"/>
      <c r="F532" s="140"/>
      <c r="G532" s="142"/>
      <c r="H532" s="142"/>
      <c r="I532" s="142"/>
      <c r="J532" s="137" t="s">
        <v>39</v>
      </c>
      <c r="K532" s="137" t="s">
        <v>39</v>
      </c>
      <c r="L532" s="146"/>
      <c r="M532" s="141"/>
      <c r="N532" s="129"/>
      <c r="O532" s="140"/>
      <c r="P532" s="140" t="s">
        <v>39</v>
      </c>
      <c r="Q532" s="76"/>
      <c r="R532" s="140"/>
      <c r="S532" s="140"/>
      <c r="T532" s="140"/>
      <c r="U532" s="140"/>
      <c r="V532" s="140"/>
      <c r="W532" s="140"/>
      <c r="X532" s="140"/>
      <c r="Y532" s="140"/>
      <c r="Z532" s="140"/>
      <c r="AA532" s="140"/>
      <c r="AB532" s="140"/>
    </row>
    <row r="533">
      <c r="A533" s="145"/>
      <c r="B533" s="146"/>
      <c r="C533" s="146"/>
      <c r="D533" s="146"/>
      <c r="E533" s="146"/>
      <c r="F533" s="140"/>
      <c r="G533" s="142"/>
      <c r="H533" s="142"/>
      <c r="I533" s="142"/>
      <c r="J533" s="137" t="s">
        <v>39</v>
      </c>
      <c r="K533" s="137" t="s">
        <v>39</v>
      </c>
      <c r="L533" s="146"/>
      <c r="M533" s="141"/>
      <c r="N533" s="129"/>
      <c r="O533" s="140"/>
      <c r="P533" s="140" t="s">
        <v>39</v>
      </c>
      <c r="Q533" s="76"/>
      <c r="R533" s="140"/>
      <c r="S533" s="140"/>
      <c r="T533" s="140"/>
      <c r="U533" s="140"/>
      <c r="V533" s="140"/>
      <c r="W533" s="140"/>
      <c r="X533" s="140"/>
      <c r="Y533" s="140"/>
      <c r="Z533" s="140"/>
      <c r="AA533" s="140"/>
      <c r="AB533" s="140"/>
    </row>
    <row r="534">
      <c r="A534" s="145"/>
      <c r="B534" s="146"/>
      <c r="C534" s="146"/>
      <c r="D534" s="146"/>
      <c r="E534" s="146"/>
      <c r="F534" s="140"/>
      <c r="G534" s="142"/>
      <c r="H534" s="142"/>
      <c r="I534" s="142"/>
      <c r="J534" s="137" t="s">
        <v>39</v>
      </c>
      <c r="K534" s="137" t="s">
        <v>39</v>
      </c>
      <c r="L534" s="146"/>
      <c r="M534" s="141"/>
      <c r="N534" s="129"/>
      <c r="O534" s="140"/>
      <c r="P534" s="140" t="s">
        <v>39</v>
      </c>
      <c r="Q534" s="76"/>
      <c r="R534" s="140"/>
      <c r="S534" s="140"/>
      <c r="T534" s="140"/>
      <c r="U534" s="140"/>
      <c r="V534" s="140"/>
      <c r="W534" s="140"/>
      <c r="X534" s="140"/>
      <c r="Y534" s="140"/>
      <c r="Z534" s="140"/>
      <c r="AA534" s="140"/>
      <c r="AB534" s="140"/>
    </row>
    <row r="535">
      <c r="A535" s="145"/>
      <c r="B535" s="146"/>
      <c r="C535" s="146"/>
      <c r="D535" s="146"/>
      <c r="E535" s="146"/>
      <c r="F535" s="140"/>
      <c r="G535" s="142"/>
      <c r="H535" s="142"/>
      <c r="I535" s="142"/>
      <c r="J535" s="137" t="s">
        <v>39</v>
      </c>
      <c r="K535" s="137" t="s">
        <v>39</v>
      </c>
      <c r="L535" s="146"/>
      <c r="M535" s="141"/>
      <c r="N535" s="129"/>
      <c r="O535" s="140"/>
      <c r="P535" s="140" t="s">
        <v>39</v>
      </c>
      <c r="Q535" s="76"/>
      <c r="R535" s="140"/>
      <c r="S535" s="140"/>
      <c r="T535" s="140"/>
      <c r="U535" s="140"/>
      <c r="V535" s="140"/>
      <c r="W535" s="140"/>
      <c r="X535" s="140"/>
      <c r="Y535" s="140"/>
      <c r="Z535" s="140"/>
      <c r="AA535" s="140"/>
      <c r="AB535" s="140"/>
    </row>
    <row r="536">
      <c r="A536" s="145"/>
      <c r="B536" s="146"/>
      <c r="C536" s="146"/>
      <c r="D536" s="146"/>
      <c r="E536" s="146"/>
      <c r="F536" s="140"/>
      <c r="G536" s="142"/>
      <c r="H536" s="142"/>
      <c r="I536" s="142"/>
      <c r="J536" s="137" t="s">
        <v>39</v>
      </c>
      <c r="K536" s="137" t="s">
        <v>39</v>
      </c>
      <c r="L536" s="146"/>
      <c r="M536" s="141"/>
      <c r="N536" s="129"/>
      <c r="O536" s="140"/>
      <c r="P536" s="140" t="s">
        <v>39</v>
      </c>
      <c r="Q536" s="76"/>
      <c r="R536" s="140"/>
      <c r="S536" s="140"/>
      <c r="T536" s="140"/>
      <c r="U536" s="140"/>
      <c r="V536" s="140"/>
      <c r="W536" s="140"/>
      <c r="X536" s="140"/>
      <c r="Y536" s="140"/>
      <c r="Z536" s="140"/>
      <c r="AA536" s="140"/>
      <c r="AB536" s="140"/>
    </row>
    <row r="537">
      <c r="A537" s="145"/>
      <c r="B537" s="146"/>
      <c r="C537" s="146"/>
      <c r="D537" s="146"/>
      <c r="E537" s="146"/>
      <c r="F537" s="140"/>
      <c r="G537" s="142"/>
      <c r="H537" s="142"/>
      <c r="I537" s="142"/>
      <c r="J537" s="137" t="s">
        <v>39</v>
      </c>
      <c r="K537" s="137" t="s">
        <v>39</v>
      </c>
      <c r="L537" s="146"/>
      <c r="M537" s="141"/>
      <c r="N537" s="129"/>
      <c r="O537" s="140"/>
      <c r="P537" s="140" t="s">
        <v>39</v>
      </c>
      <c r="Q537" s="76"/>
      <c r="R537" s="140"/>
      <c r="S537" s="140"/>
      <c r="T537" s="140"/>
      <c r="U537" s="140"/>
      <c r="V537" s="140"/>
      <c r="W537" s="140"/>
      <c r="X537" s="140"/>
      <c r="Y537" s="140"/>
      <c r="Z537" s="140"/>
      <c r="AA537" s="140"/>
      <c r="AB537" s="140"/>
    </row>
    <row r="538">
      <c r="A538" s="145"/>
      <c r="B538" s="146"/>
      <c r="C538" s="146"/>
      <c r="D538" s="146"/>
      <c r="E538" s="146"/>
      <c r="F538" s="140"/>
      <c r="G538" s="142"/>
      <c r="H538" s="142"/>
      <c r="I538" s="142"/>
      <c r="J538" s="137" t="s">
        <v>39</v>
      </c>
      <c r="K538" s="137" t="s">
        <v>39</v>
      </c>
      <c r="L538" s="146"/>
      <c r="M538" s="141"/>
      <c r="N538" s="129"/>
      <c r="O538" s="140"/>
      <c r="P538" s="140" t="s">
        <v>39</v>
      </c>
      <c r="Q538" s="76"/>
      <c r="R538" s="140"/>
      <c r="S538" s="140"/>
      <c r="T538" s="140"/>
      <c r="U538" s="140"/>
      <c r="V538" s="140"/>
      <c r="W538" s="140"/>
      <c r="X538" s="140"/>
      <c r="Y538" s="140"/>
      <c r="Z538" s="140"/>
      <c r="AA538" s="140"/>
      <c r="AB538" s="140"/>
    </row>
    <row r="539">
      <c r="A539" s="145"/>
      <c r="B539" s="146"/>
      <c r="C539" s="146"/>
      <c r="D539" s="146"/>
      <c r="E539" s="146"/>
      <c r="F539" s="140"/>
      <c r="G539" s="142"/>
      <c r="H539" s="142"/>
      <c r="I539" s="142"/>
      <c r="J539" s="137" t="s">
        <v>39</v>
      </c>
      <c r="K539" s="137" t="s">
        <v>39</v>
      </c>
      <c r="L539" s="146"/>
      <c r="M539" s="141"/>
      <c r="N539" s="129"/>
      <c r="O539" s="140"/>
      <c r="P539" s="140" t="s">
        <v>39</v>
      </c>
      <c r="Q539" s="76"/>
      <c r="R539" s="140"/>
      <c r="S539" s="140"/>
      <c r="T539" s="140"/>
      <c r="U539" s="140"/>
      <c r="V539" s="140"/>
      <c r="W539" s="140"/>
      <c r="X539" s="140"/>
      <c r="Y539" s="140"/>
      <c r="Z539" s="140"/>
      <c r="AA539" s="140"/>
      <c r="AB539" s="140"/>
    </row>
    <row r="540">
      <c r="A540" s="145"/>
      <c r="B540" s="146"/>
      <c r="C540" s="146"/>
      <c r="D540" s="146"/>
      <c r="E540" s="146"/>
      <c r="F540" s="140"/>
      <c r="G540" s="142"/>
      <c r="H540" s="142"/>
      <c r="I540" s="142"/>
      <c r="J540" s="137" t="s">
        <v>39</v>
      </c>
      <c r="K540" s="137" t="s">
        <v>39</v>
      </c>
      <c r="L540" s="146"/>
      <c r="M540" s="141"/>
      <c r="N540" s="129"/>
      <c r="O540" s="140"/>
      <c r="P540" s="140" t="s">
        <v>39</v>
      </c>
      <c r="Q540" s="76"/>
      <c r="R540" s="140"/>
      <c r="S540" s="140"/>
      <c r="T540" s="140"/>
      <c r="U540" s="140"/>
      <c r="V540" s="140"/>
      <c r="W540" s="140"/>
      <c r="X540" s="140"/>
      <c r="Y540" s="140"/>
      <c r="Z540" s="140"/>
      <c r="AA540" s="140"/>
      <c r="AB540" s="140"/>
    </row>
    <row r="541">
      <c r="A541" s="145"/>
      <c r="B541" s="146"/>
      <c r="C541" s="146"/>
      <c r="D541" s="146"/>
      <c r="E541" s="146"/>
      <c r="F541" s="140"/>
      <c r="G541" s="142"/>
      <c r="H541" s="142"/>
      <c r="I541" s="142"/>
      <c r="J541" s="137" t="s">
        <v>39</v>
      </c>
      <c r="K541" s="137" t="s">
        <v>39</v>
      </c>
      <c r="L541" s="146"/>
      <c r="M541" s="141"/>
      <c r="N541" s="129"/>
      <c r="O541" s="140"/>
      <c r="P541" s="140" t="s">
        <v>39</v>
      </c>
      <c r="Q541" s="76"/>
      <c r="R541" s="140"/>
      <c r="S541" s="140"/>
      <c r="T541" s="140"/>
      <c r="U541" s="140"/>
      <c r="V541" s="140"/>
      <c r="W541" s="140"/>
      <c r="X541" s="140"/>
      <c r="Y541" s="140"/>
      <c r="Z541" s="140"/>
      <c r="AA541" s="140"/>
      <c r="AB541" s="140"/>
    </row>
    <row r="542">
      <c r="A542" s="145"/>
      <c r="B542" s="146"/>
      <c r="C542" s="146"/>
      <c r="D542" s="146"/>
      <c r="E542" s="146"/>
      <c r="F542" s="140"/>
      <c r="G542" s="142"/>
      <c r="H542" s="142"/>
      <c r="I542" s="142"/>
      <c r="J542" s="137" t="s">
        <v>39</v>
      </c>
      <c r="K542" s="137" t="s">
        <v>39</v>
      </c>
      <c r="L542" s="146"/>
      <c r="M542" s="141"/>
      <c r="N542" s="129"/>
      <c r="O542" s="140"/>
      <c r="P542" s="140" t="s">
        <v>39</v>
      </c>
      <c r="Q542" s="76"/>
      <c r="R542" s="140"/>
      <c r="S542" s="140"/>
      <c r="T542" s="140"/>
      <c r="U542" s="140"/>
      <c r="V542" s="140"/>
      <c r="W542" s="140"/>
      <c r="X542" s="140"/>
      <c r="Y542" s="140"/>
      <c r="Z542" s="140"/>
      <c r="AA542" s="140"/>
      <c r="AB542" s="140"/>
    </row>
    <row r="543">
      <c r="A543" s="145"/>
      <c r="B543" s="146"/>
      <c r="C543" s="146"/>
      <c r="D543" s="146"/>
      <c r="E543" s="146"/>
      <c r="F543" s="140"/>
      <c r="G543" s="142"/>
      <c r="H543" s="142"/>
      <c r="I543" s="142"/>
      <c r="J543" s="137" t="s">
        <v>39</v>
      </c>
      <c r="K543" s="137" t="s">
        <v>39</v>
      </c>
      <c r="L543" s="146"/>
      <c r="M543" s="141"/>
      <c r="N543" s="129"/>
      <c r="O543" s="140"/>
      <c r="P543" s="140" t="s">
        <v>39</v>
      </c>
      <c r="Q543" s="76"/>
      <c r="R543" s="140"/>
      <c r="S543" s="140"/>
      <c r="T543" s="140"/>
      <c r="U543" s="140"/>
      <c r="V543" s="140"/>
      <c r="W543" s="140"/>
      <c r="X543" s="140"/>
      <c r="Y543" s="140"/>
      <c r="Z543" s="140"/>
      <c r="AA543" s="140"/>
      <c r="AB543" s="140"/>
    </row>
    <row r="544">
      <c r="A544" s="145"/>
      <c r="B544" s="146"/>
      <c r="C544" s="146"/>
      <c r="D544" s="146"/>
      <c r="E544" s="146"/>
      <c r="F544" s="140"/>
      <c r="G544" s="142"/>
      <c r="H544" s="142"/>
      <c r="I544" s="142"/>
      <c r="J544" s="137" t="s">
        <v>39</v>
      </c>
      <c r="K544" s="137" t="s">
        <v>39</v>
      </c>
      <c r="L544" s="146"/>
      <c r="M544" s="141"/>
      <c r="N544" s="129"/>
      <c r="O544" s="140"/>
      <c r="P544" s="140" t="s">
        <v>39</v>
      </c>
      <c r="Q544" s="76"/>
      <c r="R544" s="140"/>
      <c r="S544" s="140"/>
      <c r="T544" s="140"/>
      <c r="U544" s="140"/>
      <c r="V544" s="140"/>
      <c r="W544" s="140"/>
      <c r="X544" s="140"/>
      <c r="Y544" s="140"/>
      <c r="Z544" s="140"/>
      <c r="AA544" s="140"/>
      <c r="AB544" s="140"/>
    </row>
    <row r="545">
      <c r="A545" s="145"/>
      <c r="B545" s="146"/>
      <c r="C545" s="146"/>
      <c r="D545" s="146"/>
      <c r="E545" s="146"/>
      <c r="F545" s="140"/>
      <c r="G545" s="142"/>
      <c r="H545" s="142"/>
      <c r="I545" s="142"/>
      <c r="J545" s="137" t="s">
        <v>39</v>
      </c>
      <c r="K545" s="137" t="s">
        <v>39</v>
      </c>
      <c r="L545" s="146"/>
      <c r="M545" s="141"/>
      <c r="N545" s="129"/>
      <c r="O545" s="140"/>
      <c r="P545" s="140" t="s">
        <v>39</v>
      </c>
      <c r="Q545" s="76"/>
      <c r="R545" s="140"/>
      <c r="S545" s="140"/>
      <c r="T545" s="140"/>
      <c r="U545" s="140"/>
      <c r="V545" s="140"/>
      <c r="W545" s="140"/>
      <c r="X545" s="140"/>
      <c r="Y545" s="140"/>
      <c r="Z545" s="140"/>
      <c r="AA545" s="140"/>
      <c r="AB545" s="140"/>
    </row>
    <row r="546">
      <c r="A546" s="145"/>
      <c r="B546" s="146"/>
      <c r="C546" s="146"/>
      <c r="D546" s="146"/>
      <c r="E546" s="146"/>
      <c r="F546" s="140"/>
      <c r="G546" s="142"/>
      <c r="H546" s="142"/>
      <c r="I546" s="142"/>
      <c r="J546" s="137" t="s">
        <v>39</v>
      </c>
      <c r="K546" s="137" t="s">
        <v>39</v>
      </c>
      <c r="L546" s="146"/>
      <c r="M546" s="141"/>
      <c r="N546" s="129"/>
      <c r="O546" s="140"/>
      <c r="P546" s="140" t="s">
        <v>39</v>
      </c>
      <c r="Q546" s="76"/>
      <c r="R546" s="140"/>
      <c r="S546" s="140"/>
      <c r="T546" s="140"/>
      <c r="U546" s="140"/>
      <c r="V546" s="140"/>
      <c r="W546" s="140"/>
      <c r="X546" s="140"/>
      <c r="Y546" s="140"/>
      <c r="Z546" s="140"/>
      <c r="AA546" s="140"/>
      <c r="AB546" s="140"/>
    </row>
    <row r="547">
      <c r="A547" s="145"/>
      <c r="B547" s="146"/>
      <c r="C547" s="146"/>
      <c r="D547" s="146"/>
      <c r="E547" s="146"/>
      <c r="F547" s="140"/>
      <c r="G547" s="142"/>
      <c r="H547" s="142"/>
      <c r="I547" s="142"/>
      <c r="J547" s="137" t="s">
        <v>39</v>
      </c>
      <c r="K547" s="137" t="s">
        <v>39</v>
      </c>
      <c r="L547" s="146"/>
      <c r="M547" s="141"/>
      <c r="N547" s="129"/>
      <c r="O547" s="140"/>
      <c r="P547" s="140" t="s">
        <v>39</v>
      </c>
      <c r="Q547" s="76"/>
      <c r="R547" s="140"/>
      <c r="S547" s="140"/>
      <c r="T547" s="140"/>
      <c r="U547" s="140"/>
      <c r="V547" s="140"/>
      <c r="W547" s="140"/>
      <c r="X547" s="140"/>
      <c r="Y547" s="140"/>
      <c r="Z547" s="140"/>
      <c r="AA547" s="140"/>
      <c r="AB547" s="140"/>
    </row>
    <row r="548">
      <c r="A548" s="145"/>
      <c r="B548" s="146"/>
      <c r="C548" s="146"/>
      <c r="D548" s="146"/>
      <c r="E548" s="146"/>
      <c r="F548" s="140"/>
      <c r="G548" s="142"/>
      <c r="H548" s="142"/>
      <c r="I548" s="142"/>
      <c r="J548" s="137" t="s">
        <v>39</v>
      </c>
      <c r="K548" s="137" t="s">
        <v>39</v>
      </c>
      <c r="L548" s="146"/>
      <c r="M548" s="141"/>
      <c r="N548" s="129"/>
      <c r="O548" s="140"/>
      <c r="P548" s="140" t="s">
        <v>39</v>
      </c>
      <c r="Q548" s="76"/>
      <c r="R548" s="140"/>
      <c r="S548" s="140"/>
      <c r="T548" s="140"/>
      <c r="U548" s="140"/>
      <c r="V548" s="140"/>
      <c r="W548" s="140"/>
      <c r="X548" s="140"/>
      <c r="Y548" s="140"/>
      <c r="Z548" s="140"/>
      <c r="AA548" s="140"/>
      <c r="AB548" s="140"/>
    </row>
    <row r="549">
      <c r="A549" s="145"/>
      <c r="B549" s="146"/>
      <c r="C549" s="146"/>
      <c r="D549" s="146"/>
      <c r="E549" s="146"/>
      <c r="F549" s="140"/>
      <c r="G549" s="142"/>
      <c r="H549" s="142"/>
      <c r="I549" s="142"/>
      <c r="J549" s="137" t="s">
        <v>39</v>
      </c>
      <c r="K549" s="137" t="s">
        <v>39</v>
      </c>
      <c r="L549" s="146"/>
      <c r="M549" s="141"/>
      <c r="N549" s="129"/>
      <c r="O549" s="140"/>
      <c r="P549" s="140" t="s">
        <v>39</v>
      </c>
      <c r="Q549" s="76"/>
      <c r="R549" s="140"/>
      <c r="S549" s="140"/>
      <c r="T549" s="140"/>
      <c r="U549" s="140"/>
      <c r="V549" s="140"/>
      <c r="W549" s="140"/>
      <c r="X549" s="140"/>
      <c r="Y549" s="140"/>
      <c r="Z549" s="140"/>
      <c r="AA549" s="140"/>
      <c r="AB549" s="140"/>
    </row>
    <row r="550">
      <c r="A550" s="145"/>
      <c r="B550" s="146"/>
      <c r="C550" s="146"/>
      <c r="D550" s="146"/>
      <c r="E550" s="146"/>
      <c r="F550" s="140"/>
      <c r="G550" s="142"/>
      <c r="H550" s="142"/>
      <c r="I550" s="142"/>
      <c r="J550" s="137" t="s">
        <v>39</v>
      </c>
      <c r="K550" s="137" t="s">
        <v>39</v>
      </c>
      <c r="L550" s="146"/>
      <c r="M550" s="141"/>
      <c r="N550" s="129"/>
      <c r="O550" s="140"/>
      <c r="P550" s="140" t="s">
        <v>39</v>
      </c>
      <c r="Q550" s="76"/>
      <c r="R550" s="140"/>
      <c r="S550" s="140"/>
      <c r="T550" s="140"/>
      <c r="U550" s="140"/>
      <c r="V550" s="140"/>
      <c r="W550" s="140"/>
      <c r="X550" s="140"/>
      <c r="Y550" s="140"/>
      <c r="Z550" s="140"/>
      <c r="AA550" s="140"/>
      <c r="AB550" s="140"/>
    </row>
    <row r="551">
      <c r="A551" s="145"/>
      <c r="B551" s="146"/>
      <c r="C551" s="146"/>
      <c r="D551" s="146"/>
      <c r="E551" s="146"/>
      <c r="F551" s="140"/>
      <c r="G551" s="142"/>
      <c r="H551" s="142"/>
      <c r="I551" s="142"/>
      <c r="J551" s="137" t="s">
        <v>39</v>
      </c>
      <c r="K551" s="137" t="s">
        <v>39</v>
      </c>
      <c r="L551" s="146"/>
      <c r="M551" s="141"/>
      <c r="N551" s="129"/>
      <c r="O551" s="140"/>
      <c r="P551" s="140" t="s">
        <v>39</v>
      </c>
      <c r="Q551" s="76"/>
      <c r="R551" s="140"/>
      <c r="S551" s="140"/>
      <c r="T551" s="140"/>
      <c r="U551" s="140"/>
      <c r="V551" s="140"/>
      <c r="W551" s="140"/>
      <c r="X551" s="140"/>
      <c r="Y551" s="140"/>
      <c r="Z551" s="140"/>
      <c r="AA551" s="140"/>
      <c r="AB551" s="140"/>
    </row>
    <row r="552">
      <c r="A552" s="145"/>
      <c r="B552" s="146"/>
      <c r="C552" s="146"/>
      <c r="D552" s="146"/>
      <c r="E552" s="146"/>
      <c r="F552" s="140"/>
      <c r="G552" s="142"/>
      <c r="H552" s="142"/>
      <c r="I552" s="142"/>
      <c r="J552" s="137" t="s">
        <v>39</v>
      </c>
      <c r="K552" s="137" t="s">
        <v>39</v>
      </c>
      <c r="L552" s="146"/>
      <c r="M552" s="141"/>
      <c r="N552" s="129"/>
      <c r="O552" s="140"/>
      <c r="P552" s="140" t="s">
        <v>39</v>
      </c>
      <c r="Q552" s="76"/>
      <c r="R552" s="140"/>
      <c r="S552" s="140"/>
      <c r="T552" s="140"/>
      <c r="U552" s="140"/>
      <c r="V552" s="140"/>
      <c r="W552" s="140"/>
      <c r="X552" s="140"/>
      <c r="Y552" s="140"/>
      <c r="Z552" s="140"/>
      <c r="AA552" s="140"/>
      <c r="AB552" s="140"/>
    </row>
    <row r="553">
      <c r="A553" s="145"/>
      <c r="B553" s="146"/>
      <c r="C553" s="146"/>
      <c r="D553" s="146"/>
      <c r="E553" s="146"/>
      <c r="F553" s="140"/>
      <c r="G553" s="142"/>
      <c r="H553" s="142"/>
      <c r="I553" s="142"/>
      <c r="J553" s="137" t="s">
        <v>39</v>
      </c>
      <c r="K553" s="137" t="s">
        <v>39</v>
      </c>
      <c r="L553" s="146"/>
      <c r="M553" s="141"/>
      <c r="N553" s="129"/>
      <c r="O553" s="140"/>
      <c r="P553" s="140" t="s">
        <v>39</v>
      </c>
      <c r="Q553" s="76"/>
      <c r="R553" s="140"/>
      <c r="S553" s="140"/>
      <c r="T553" s="140"/>
      <c r="U553" s="140"/>
      <c r="V553" s="140"/>
      <c r="W553" s="140"/>
      <c r="X553" s="140"/>
      <c r="Y553" s="140"/>
      <c r="Z553" s="140"/>
      <c r="AA553" s="140"/>
      <c r="AB553" s="140"/>
    </row>
    <row r="554">
      <c r="A554" s="145"/>
      <c r="B554" s="146"/>
      <c r="C554" s="146"/>
      <c r="D554" s="146"/>
      <c r="E554" s="146"/>
      <c r="F554" s="140"/>
      <c r="G554" s="142"/>
      <c r="H554" s="142"/>
      <c r="I554" s="142"/>
      <c r="J554" s="137" t="s">
        <v>39</v>
      </c>
      <c r="K554" s="137" t="s">
        <v>39</v>
      </c>
      <c r="L554" s="146"/>
      <c r="M554" s="141"/>
      <c r="N554" s="129"/>
      <c r="O554" s="140"/>
      <c r="P554" s="140" t="s">
        <v>39</v>
      </c>
      <c r="Q554" s="76"/>
      <c r="R554" s="140"/>
      <c r="S554" s="140"/>
      <c r="T554" s="140"/>
      <c r="U554" s="140"/>
      <c r="V554" s="140"/>
      <c r="W554" s="140"/>
      <c r="X554" s="140"/>
      <c r="Y554" s="140"/>
      <c r="Z554" s="140"/>
      <c r="AA554" s="140"/>
      <c r="AB554" s="140"/>
    </row>
    <row r="555">
      <c r="A555" s="145"/>
      <c r="B555" s="146"/>
      <c r="C555" s="146"/>
      <c r="D555" s="146"/>
      <c r="E555" s="146"/>
      <c r="F555" s="140"/>
      <c r="G555" s="142"/>
      <c r="H555" s="142"/>
      <c r="I555" s="142"/>
      <c r="J555" s="137" t="s">
        <v>39</v>
      </c>
      <c r="K555" s="137" t="s">
        <v>39</v>
      </c>
      <c r="L555" s="146"/>
      <c r="M555" s="141"/>
      <c r="N555" s="129"/>
      <c r="O555" s="140"/>
      <c r="P555" s="140" t="s">
        <v>39</v>
      </c>
      <c r="Q555" s="76"/>
      <c r="R555" s="140"/>
      <c r="S555" s="140"/>
      <c r="T555" s="140"/>
      <c r="U555" s="140"/>
      <c r="V555" s="140"/>
      <c r="W555" s="140"/>
      <c r="X555" s="140"/>
      <c r="Y555" s="140"/>
      <c r="Z555" s="140"/>
      <c r="AA555" s="140"/>
      <c r="AB555" s="140"/>
    </row>
    <row r="556">
      <c r="A556" s="145"/>
      <c r="B556" s="146"/>
      <c r="C556" s="146"/>
      <c r="D556" s="146"/>
      <c r="E556" s="146"/>
      <c r="F556" s="140"/>
      <c r="G556" s="142"/>
      <c r="H556" s="142"/>
      <c r="I556" s="142"/>
      <c r="J556" s="137" t="s">
        <v>39</v>
      </c>
      <c r="K556" s="137" t="s">
        <v>39</v>
      </c>
      <c r="L556" s="146"/>
      <c r="M556" s="141"/>
      <c r="N556" s="129"/>
      <c r="O556" s="140"/>
      <c r="P556" s="140" t="s">
        <v>39</v>
      </c>
      <c r="Q556" s="76"/>
      <c r="R556" s="140"/>
      <c r="S556" s="140"/>
      <c r="T556" s="140"/>
      <c r="U556" s="140"/>
      <c r="V556" s="140"/>
      <c r="W556" s="140"/>
      <c r="X556" s="140"/>
      <c r="Y556" s="140"/>
      <c r="Z556" s="140"/>
      <c r="AA556" s="140"/>
      <c r="AB556" s="140"/>
    </row>
    <row r="557">
      <c r="A557" s="145"/>
      <c r="B557" s="146"/>
      <c r="C557" s="146"/>
      <c r="D557" s="146"/>
      <c r="E557" s="146"/>
      <c r="F557" s="140"/>
      <c r="G557" s="142"/>
      <c r="H557" s="142"/>
      <c r="I557" s="142"/>
      <c r="J557" s="137" t="s">
        <v>39</v>
      </c>
      <c r="K557" s="137" t="s">
        <v>39</v>
      </c>
      <c r="L557" s="146"/>
      <c r="M557" s="141"/>
      <c r="N557" s="129"/>
      <c r="O557" s="140"/>
      <c r="P557" s="140" t="s">
        <v>39</v>
      </c>
      <c r="Q557" s="76"/>
      <c r="R557" s="140"/>
      <c r="S557" s="140"/>
      <c r="T557" s="140"/>
      <c r="U557" s="140"/>
      <c r="V557" s="140"/>
      <c r="W557" s="140"/>
      <c r="X557" s="140"/>
      <c r="Y557" s="140"/>
      <c r="Z557" s="140"/>
      <c r="AA557" s="140"/>
      <c r="AB557" s="140"/>
    </row>
    <row r="558">
      <c r="A558" s="145"/>
      <c r="B558" s="146"/>
      <c r="C558" s="146"/>
      <c r="D558" s="146"/>
      <c r="E558" s="146"/>
      <c r="F558" s="140"/>
      <c r="G558" s="142"/>
      <c r="H558" s="142"/>
      <c r="I558" s="142"/>
      <c r="J558" s="137" t="s">
        <v>39</v>
      </c>
      <c r="K558" s="137" t="s">
        <v>39</v>
      </c>
      <c r="L558" s="146"/>
      <c r="M558" s="141"/>
      <c r="N558" s="129"/>
      <c r="O558" s="140"/>
      <c r="P558" s="140" t="s">
        <v>39</v>
      </c>
      <c r="Q558" s="76"/>
      <c r="R558" s="140"/>
      <c r="S558" s="140"/>
      <c r="T558" s="140"/>
      <c r="U558" s="140"/>
      <c r="V558" s="140"/>
      <c r="W558" s="140"/>
      <c r="X558" s="140"/>
      <c r="Y558" s="140"/>
      <c r="Z558" s="140"/>
      <c r="AA558" s="140"/>
      <c r="AB558" s="140"/>
    </row>
    <row r="559">
      <c r="A559" s="145"/>
      <c r="B559" s="146"/>
      <c r="C559" s="146"/>
      <c r="D559" s="146"/>
      <c r="E559" s="146"/>
      <c r="F559" s="140"/>
      <c r="G559" s="142"/>
      <c r="H559" s="142"/>
      <c r="I559" s="142"/>
      <c r="J559" s="137" t="s">
        <v>39</v>
      </c>
      <c r="K559" s="137" t="s">
        <v>39</v>
      </c>
      <c r="L559" s="146"/>
      <c r="M559" s="141"/>
      <c r="N559" s="129"/>
      <c r="O559" s="140"/>
      <c r="P559" s="140" t="s">
        <v>39</v>
      </c>
      <c r="Q559" s="76"/>
      <c r="R559" s="140"/>
      <c r="S559" s="140"/>
      <c r="T559" s="140"/>
      <c r="U559" s="140"/>
      <c r="V559" s="140"/>
      <c r="W559" s="140"/>
      <c r="X559" s="140"/>
      <c r="Y559" s="140"/>
      <c r="Z559" s="140"/>
      <c r="AA559" s="140"/>
      <c r="AB559" s="140"/>
    </row>
    <row r="560">
      <c r="A560" s="145"/>
      <c r="B560" s="146"/>
      <c r="C560" s="146"/>
      <c r="D560" s="146"/>
      <c r="E560" s="146"/>
      <c r="F560" s="140"/>
      <c r="G560" s="142"/>
      <c r="H560" s="142"/>
      <c r="I560" s="142"/>
      <c r="J560" s="137" t="s">
        <v>39</v>
      </c>
      <c r="K560" s="137" t="s">
        <v>39</v>
      </c>
      <c r="L560" s="146"/>
      <c r="M560" s="141"/>
      <c r="N560" s="129"/>
      <c r="O560" s="140"/>
      <c r="P560" s="140" t="s">
        <v>39</v>
      </c>
      <c r="Q560" s="76"/>
      <c r="R560" s="140"/>
      <c r="S560" s="140"/>
      <c r="T560" s="140"/>
      <c r="U560" s="140"/>
      <c r="V560" s="140"/>
      <c r="W560" s="140"/>
      <c r="X560" s="140"/>
      <c r="Y560" s="140"/>
      <c r="Z560" s="140"/>
      <c r="AA560" s="140"/>
      <c r="AB560" s="140"/>
    </row>
    <row r="561">
      <c r="A561" s="145"/>
      <c r="B561" s="146"/>
      <c r="C561" s="146"/>
      <c r="D561" s="146"/>
      <c r="E561" s="146"/>
      <c r="F561" s="140"/>
      <c r="G561" s="142"/>
      <c r="H561" s="142"/>
      <c r="I561" s="142"/>
      <c r="J561" s="137" t="s">
        <v>39</v>
      </c>
      <c r="K561" s="137" t="s">
        <v>39</v>
      </c>
      <c r="L561" s="146"/>
      <c r="M561" s="141"/>
      <c r="N561" s="129"/>
      <c r="O561" s="140"/>
      <c r="P561" s="140" t="s">
        <v>39</v>
      </c>
      <c r="Q561" s="76"/>
      <c r="R561" s="140"/>
      <c r="S561" s="140"/>
      <c r="T561" s="140"/>
      <c r="U561" s="140"/>
      <c r="V561" s="140"/>
      <c r="W561" s="140"/>
      <c r="X561" s="140"/>
      <c r="Y561" s="140"/>
      <c r="Z561" s="140"/>
      <c r="AA561" s="140"/>
      <c r="AB561" s="140"/>
    </row>
    <row r="562">
      <c r="A562" s="145"/>
      <c r="B562" s="146"/>
      <c r="C562" s="146"/>
      <c r="D562" s="146"/>
      <c r="E562" s="146"/>
      <c r="F562" s="140"/>
      <c r="G562" s="142"/>
      <c r="H562" s="142"/>
      <c r="I562" s="142"/>
      <c r="J562" s="137" t="s">
        <v>39</v>
      </c>
      <c r="K562" s="137" t="s">
        <v>39</v>
      </c>
      <c r="L562" s="146"/>
      <c r="M562" s="141"/>
      <c r="N562" s="129"/>
      <c r="O562" s="140"/>
      <c r="P562" s="140" t="s">
        <v>39</v>
      </c>
      <c r="Q562" s="76"/>
      <c r="R562" s="140"/>
      <c r="S562" s="140"/>
      <c r="T562" s="140"/>
      <c r="U562" s="140"/>
      <c r="V562" s="140"/>
      <c r="W562" s="140"/>
      <c r="X562" s="140"/>
      <c r="Y562" s="140"/>
      <c r="Z562" s="140"/>
      <c r="AA562" s="140"/>
      <c r="AB562" s="140"/>
    </row>
    <row r="563">
      <c r="A563" s="145"/>
      <c r="B563" s="146"/>
      <c r="C563" s="146"/>
      <c r="D563" s="146"/>
      <c r="E563" s="146"/>
      <c r="F563" s="140"/>
      <c r="G563" s="142"/>
      <c r="H563" s="142"/>
      <c r="I563" s="142"/>
      <c r="J563" s="137" t="s">
        <v>39</v>
      </c>
      <c r="K563" s="137" t="s">
        <v>39</v>
      </c>
      <c r="L563" s="146"/>
      <c r="M563" s="141"/>
      <c r="N563" s="129"/>
      <c r="O563" s="140"/>
      <c r="P563" s="140" t="s">
        <v>39</v>
      </c>
      <c r="Q563" s="76"/>
      <c r="R563" s="140"/>
      <c r="S563" s="140"/>
      <c r="T563" s="140"/>
      <c r="U563" s="140"/>
      <c r="V563" s="140"/>
      <c r="W563" s="140"/>
      <c r="X563" s="140"/>
      <c r="Y563" s="140"/>
      <c r="Z563" s="140"/>
      <c r="AA563" s="140"/>
      <c r="AB563" s="140"/>
    </row>
    <row r="564">
      <c r="A564" s="145"/>
      <c r="B564" s="146"/>
      <c r="C564" s="146"/>
      <c r="D564" s="146"/>
      <c r="E564" s="146"/>
      <c r="F564" s="140"/>
      <c r="G564" s="142"/>
      <c r="H564" s="142"/>
      <c r="I564" s="142"/>
      <c r="J564" s="137" t="s">
        <v>39</v>
      </c>
      <c r="K564" s="137" t="s">
        <v>39</v>
      </c>
      <c r="L564" s="146"/>
      <c r="M564" s="141"/>
      <c r="N564" s="129"/>
      <c r="O564" s="140"/>
      <c r="P564" s="140" t="s">
        <v>39</v>
      </c>
      <c r="Q564" s="76"/>
      <c r="R564" s="140"/>
      <c r="S564" s="140"/>
      <c r="T564" s="140"/>
      <c r="U564" s="140"/>
      <c r="V564" s="140"/>
      <c r="W564" s="140"/>
      <c r="X564" s="140"/>
      <c r="Y564" s="140"/>
      <c r="Z564" s="140"/>
      <c r="AA564" s="140"/>
      <c r="AB564" s="140"/>
    </row>
    <row r="565">
      <c r="A565" s="145"/>
      <c r="B565" s="146"/>
      <c r="C565" s="146"/>
      <c r="D565" s="146"/>
      <c r="E565" s="146"/>
      <c r="F565" s="140"/>
      <c r="G565" s="142"/>
      <c r="H565" s="142"/>
      <c r="I565" s="142"/>
      <c r="J565" s="137" t="s">
        <v>39</v>
      </c>
      <c r="K565" s="137" t="s">
        <v>39</v>
      </c>
      <c r="L565" s="146"/>
      <c r="M565" s="141"/>
      <c r="N565" s="129"/>
      <c r="O565" s="140"/>
      <c r="P565" s="140" t="s">
        <v>39</v>
      </c>
      <c r="Q565" s="76"/>
      <c r="R565" s="140"/>
      <c r="S565" s="140"/>
      <c r="T565" s="140"/>
      <c r="U565" s="140"/>
      <c r="V565" s="140"/>
      <c r="W565" s="140"/>
      <c r="X565" s="140"/>
      <c r="Y565" s="140"/>
      <c r="Z565" s="140"/>
      <c r="AA565" s="140"/>
      <c r="AB565" s="140"/>
    </row>
    <row r="566">
      <c r="A566" s="145"/>
      <c r="B566" s="146"/>
      <c r="C566" s="146"/>
      <c r="D566" s="146"/>
      <c r="E566" s="146"/>
      <c r="F566" s="140"/>
      <c r="G566" s="142"/>
      <c r="H566" s="142"/>
      <c r="I566" s="142"/>
      <c r="J566" s="137" t="s">
        <v>39</v>
      </c>
      <c r="K566" s="137" t="s">
        <v>39</v>
      </c>
      <c r="L566" s="146"/>
      <c r="M566" s="141"/>
      <c r="N566" s="129"/>
      <c r="O566" s="140"/>
      <c r="P566" s="140" t="s">
        <v>39</v>
      </c>
      <c r="Q566" s="76"/>
      <c r="R566" s="140"/>
      <c r="S566" s="140"/>
      <c r="T566" s="140"/>
      <c r="U566" s="140"/>
      <c r="V566" s="140"/>
      <c r="W566" s="140"/>
      <c r="X566" s="140"/>
      <c r="Y566" s="140"/>
      <c r="Z566" s="140"/>
      <c r="AA566" s="140"/>
      <c r="AB566" s="140"/>
    </row>
    <row r="567">
      <c r="A567" s="145"/>
      <c r="B567" s="146"/>
      <c r="C567" s="146"/>
      <c r="D567" s="146"/>
      <c r="E567" s="146"/>
      <c r="F567" s="140"/>
      <c r="G567" s="142"/>
      <c r="H567" s="142"/>
      <c r="I567" s="142"/>
      <c r="J567" s="137" t="s">
        <v>39</v>
      </c>
      <c r="K567" s="137" t="s">
        <v>39</v>
      </c>
      <c r="L567" s="146"/>
      <c r="M567" s="141"/>
      <c r="N567" s="129"/>
      <c r="O567" s="140"/>
      <c r="P567" s="140" t="s">
        <v>39</v>
      </c>
      <c r="Q567" s="76"/>
      <c r="R567" s="140"/>
      <c r="S567" s="140"/>
      <c r="T567" s="140"/>
      <c r="U567" s="140"/>
      <c r="V567" s="140"/>
      <c r="W567" s="140"/>
      <c r="X567" s="140"/>
      <c r="Y567" s="140"/>
      <c r="Z567" s="140"/>
      <c r="AA567" s="140"/>
      <c r="AB567" s="140"/>
    </row>
    <row r="568">
      <c r="A568" s="145"/>
      <c r="B568" s="146"/>
      <c r="C568" s="146"/>
      <c r="D568" s="146"/>
      <c r="E568" s="146"/>
      <c r="F568" s="140"/>
      <c r="G568" s="142"/>
      <c r="H568" s="142"/>
      <c r="I568" s="142"/>
      <c r="J568" s="137" t="s">
        <v>39</v>
      </c>
      <c r="K568" s="137" t="s">
        <v>39</v>
      </c>
      <c r="L568" s="146"/>
      <c r="M568" s="141"/>
      <c r="N568" s="129"/>
      <c r="O568" s="140"/>
      <c r="P568" s="140" t="s">
        <v>39</v>
      </c>
      <c r="Q568" s="76"/>
      <c r="R568" s="140"/>
      <c r="S568" s="140"/>
      <c r="T568" s="140"/>
      <c r="U568" s="140"/>
      <c r="V568" s="140"/>
      <c r="W568" s="140"/>
      <c r="X568" s="140"/>
      <c r="Y568" s="140"/>
      <c r="Z568" s="140"/>
      <c r="AA568" s="140"/>
      <c r="AB568" s="140"/>
    </row>
    <row r="569">
      <c r="A569" s="145"/>
      <c r="B569" s="146"/>
      <c r="C569" s="146"/>
      <c r="D569" s="146"/>
      <c r="E569" s="146"/>
      <c r="F569" s="140"/>
      <c r="G569" s="142"/>
      <c r="H569" s="142"/>
      <c r="I569" s="142"/>
      <c r="J569" s="137" t="s">
        <v>39</v>
      </c>
      <c r="K569" s="137" t="s">
        <v>39</v>
      </c>
      <c r="L569" s="146"/>
      <c r="M569" s="141"/>
      <c r="N569" s="129"/>
      <c r="O569" s="140"/>
      <c r="P569" s="140" t="s">
        <v>39</v>
      </c>
      <c r="Q569" s="76"/>
      <c r="R569" s="140"/>
      <c r="S569" s="140"/>
      <c r="T569" s="140"/>
      <c r="U569" s="140"/>
      <c r="V569" s="140"/>
      <c r="W569" s="140"/>
      <c r="X569" s="140"/>
      <c r="Y569" s="140"/>
      <c r="Z569" s="140"/>
      <c r="AA569" s="140"/>
      <c r="AB569" s="140"/>
    </row>
    <row r="570">
      <c r="A570" s="145"/>
      <c r="B570" s="146"/>
      <c r="C570" s="146"/>
      <c r="D570" s="146"/>
      <c r="E570" s="146"/>
      <c r="F570" s="140"/>
      <c r="G570" s="142"/>
      <c r="H570" s="142"/>
      <c r="I570" s="142"/>
      <c r="J570" s="137" t="s">
        <v>39</v>
      </c>
      <c r="K570" s="137" t="s">
        <v>39</v>
      </c>
      <c r="L570" s="146"/>
      <c r="M570" s="141"/>
      <c r="N570" s="129"/>
      <c r="O570" s="140"/>
      <c r="P570" s="140" t="s">
        <v>39</v>
      </c>
      <c r="Q570" s="140"/>
      <c r="R570" s="140"/>
      <c r="S570" s="140"/>
      <c r="T570" s="140"/>
      <c r="U570" s="140"/>
      <c r="V570" s="140"/>
      <c r="W570" s="140"/>
      <c r="X570" s="140"/>
      <c r="Y570" s="140"/>
      <c r="Z570" s="140"/>
      <c r="AA570" s="140"/>
      <c r="AB570" s="140"/>
    </row>
    <row r="571">
      <c r="A571" s="145"/>
      <c r="B571" s="146"/>
      <c r="C571" s="146"/>
      <c r="D571" s="146"/>
      <c r="E571" s="146"/>
      <c r="F571" s="140"/>
      <c r="G571" s="142"/>
      <c r="H571" s="142"/>
      <c r="I571" s="142"/>
      <c r="J571" s="137" t="s">
        <v>39</v>
      </c>
      <c r="K571" s="137" t="s">
        <v>39</v>
      </c>
      <c r="L571" s="146"/>
      <c r="M571" s="141"/>
      <c r="N571" s="129"/>
      <c r="O571" s="140"/>
      <c r="P571" s="140" t="s">
        <v>39</v>
      </c>
      <c r="Q571" s="140"/>
      <c r="R571" s="140"/>
      <c r="S571" s="140"/>
      <c r="T571" s="140"/>
      <c r="U571" s="140"/>
      <c r="V571" s="140"/>
      <c r="W571" s="140"/>
      <c r="X571" s="140"/>
      <c r="Y571" s="140"/>
      <c r="Z571" s="140"/>
      <c r="AA571" s="140"/>
      <c r="AB571" s="140"/>
    </row>
    <row r="572">
      <c r="A572" s="145"/>
      <c r="B572" s="146"/>
      <c r="C572" s="146"/>
      <c r="D572" s="146"/>
      <c r="E572" s="146"/>
      <c r="F572" s="140"/>
      <c r="G572" s="142"/>
      <c r="H572" s="142"/>
      <c r="I572" s="142"/>
      <c r="J572" s="137" t="s">
        <v>39</v>
      </c>
      <c r="K572" s="137" t="s">
        <v>39</v>
      </c>
      <c r="L572" s="146"/>
      <c r="M572" s="141"/>
      <c r="N572" s="129"/>
      <c r="O572" s="140"/>
      <c r="P572" s="140" t="s">
        <v>39</v>
      </c>
      <c r="Q572" s="140"/>
      <c r="R572" s="140"/>
      <c r="S572" s="140"/>
      <c r="T572" s="140"/>
      <c r="U572" s="140"/>
      <c r="V572" s="140"/>
      <c r="W572" s="140"/>
      <c r="X572" s="140"/>
      <c r="Y572" s="140"/>
      <c r="Z572" s="140"/>
      <c r="AA572" s="140"/>
      <c r="AB572" s="140"/>
    </row>
    <row r="573">
      <c r="A573" s="145"/>
      <c r="B573" s="146"/>
      <c r="C573" s="146"/>
      <c r="D573" s="146"/>
      <c r="E573" s="146"/>
      <c r="F573" s="140"/>
      <c r="G573" s="142"/>
      <c r="H573" s="142"/>
      <c r="I573" s="142"/>
      <c r="J573" s="137" t="s">
        <v>39</v>
      </c>
      <c r="K573" s="137" t="s">
        <v>39</v>
      </c>
      <c r="L573" s="146"/>
      <c r="M573" s="141"/>
      <c r="N573" s="129"/>
      <c r="O573" s="140"/>
      <c r="P573" s="140" t="s">
        <v>39</v>
      </c>
      <c r="Q573" s="140"/>
      <c r="R573" s="140"/>
      <c r="S573" s="140"/>
      <c r="T573" s="140"/>
      <c r="U573" s="140"/>
      <c r="V573" s="140"/>
      <c r="W573" s="140"/>
      <c r="X573" s="140"/>
      <c r="Y573" s="140"/>
      <c r="Z573" s="140"/>
      <c r="AA573" s="140"/>
      <c r="AB573" s="140"/>
    </row>
    <row r="574">
      <c r="A574" s="145"/>
      <c r="B574" s="146"/>
      <c r="C574" s="146"/>
      <c r="D574" s="146"/>
      <c r="E574" s="146"/>
      <c r="F574" s="140"/>
      <c r="G574" s="142"/>
      <c r="H574" s="142"/>
      <c r="I574" s="142"/>
      <c r="J574" s="137" t="s">
        <v>39</v>
      </c>
      <c r="K574" s="137" t="s">
        <v>39</v>
      </c>
      <c r="L574" s="146"/>
      <c r="M574" s="141"/>
      <c r="N574" s="129"/>
      <c r="O574" s="140"/>
      <c r="P574" s="140" t="s">
        <v>39</v>
      </c>
      <c r="Q574" s="140"/>
      <c r="R574" s="140"/>
      <c r="S574" s="140"/>
      <c r="T574" s="140"/>
      <c r="U574" s="140"/>
      <c r="V574" s="140"/>
      <c r="W574" s="140"/>
      <c r="X574" s="140"/>
      <c r="Y574" s="140"/>
      <c r="Z574" s="140"/>
      <c r="AA574" s="140"/>
      <c r="AB574" s="140"/>
    </row>
    <row r="575">
      <c r="A575" s="145"/>
      <c r="B575" s="146"/>
      <c r="C575" s="146"/>
      <c r="D575" s="146"/>
      <c r="E575" s="146"/>
      <c r="F575" s="140"/>
      <c r="G575" s="142"/>
      <c r="H575" s="142"/>
      <c r="I575" s="142"/>
      <c r="J575" s="137" t="s">
        <v>39</v>
      </c>
      <c r="K575" s="137" t="s">
        <v>39</v>
      </c>
      <c r="L575" s="146"/>
      <c r="M575" s="141"/>
      <c r="N575" s="129"/>
      <c r="O575" s="140"/>
      <c r="P575" s="140" t="s">
        <v>39</v>
      </c>
      <c r="Q575" s="140"/>
      <c r="R575" s="140"/>
      <c r="S575" s="140"/>
      <c r="T575" s="140"/>
      <c r="U575" s="140"/>
      <c r="V575" s="140"/>
      <c r="W575" s="140"/>
      <c r="X575" s="140"/>
      <c r="Y575" s="140"/>
      <c r="Z575" s="140"/>
      <c r="AA575" s="140"/>
      <c r="AB575" s="140"/>
    </row>
    <row r="576">
      <c r="A576" s="145"/>
      <c r="B576" s="146"/>
      <c r="C576" s="146"/>
      <c r="D576" s="146"/>
      <c r="E576" s="146"/>
      <c r="F576" s="140"/>
      <c r="G576" s="142"/>
      <c r="H576" s="142"/>
      <c r="I576" s="142"/>
      <c r="J576" s="137" t="s">
        <v>39</v>
      </c>
      <c r="K576" s="137" t="s">
        <v>39</v>
      </c>
      <c r="L576" s="146"/>
      <c r="M576" s="141"/>
      <c r="N576" s="129"/>
      <c r="O576" s="140"/>
      <c r="P576" s="140" t="s">
        <v>39</v>
      </c>
      <c r="Q576" s="140"/>
      <c r="R576" s="140"/>
      <c r="S576" s="140"/>
      <c r="T576" s="140"/>
      <c r="U576" s="140"/>
      <c r="V576" s="140"/>
      <c r="W576" s="140"/>
      <c r="X576" s="140"/>
      <c r="Y576" s="140"/>
      <c r="Z576" s="140"/>
      <c r="AA576" s="140"/>
      <c r="AB576" s="140"/>
    </row>
    <row r="577">
      <c r="A577" s="145"/>
      <c r="B577" s="146"/>
      <c r="C577" s="146"/>
      <c r="D577" s="146"/>
      <c r="E577" s="146"/>
      <c r="F577" s="140"/>
      <c r="G577" s="142"/>
      <c r="H577" s="142"/>
      <c r="I577" s="142"/>
      <c r="J577" s="137" t="s">
        <v>39</v>
      </c>
      <c r="K577" s="137" t="s">
        <v>39</v>
      </c>
      <c r="L577" s="146"/>
      <c r="M577" s="141"/>
      <c r="N577" s="129"/>
      <c r="O577" s="140"/>
      <c r="P577" s="140" t="s">
        <v>39</v>
      </c>
      <c r="Q577" s="140"/>
      <c r="R577" s="140"/>
      <c r="S577" s="140"/>
      <c r="T577" s="140"/>
      <c r="U577" s="140"/>
      <c r="V577" s="140"/>
      <c r="W577" s="140"/>
      <c r="X577" s="140"/>
      <c r="Y577" s="140"/>
      <c r="Z577" s="140"/>
      <c r="AA577" s="140"/>
      <c r="AB577" s="140"/>
    </row>
    <row r="578">
      <c r="A578" s="145"/>
      <c r="B578" s="146"/>
      <c r="C578" s="146"/>
      <c r="D578" s="146"/>
      <c r="E578" s="146"/>
      <c r="F578" s="140"/>
      <c r="G578" s="142"/>
      <c r="H578" s="142"/>
      <c r="I578" s="142"/>
      <c r="J578" s="137" t="s">
        <v>39</v>
      </c>
      <c r="K578" s="137" t="s">
        <v>39</v>
      </c>
      <c r="L578" s="146"/>
      <c r="M578" s="141"/>
      <c r="N578" s="129"/>
      <c r="O578" s="140"/>
      <c r="P578" s="140" t="s">
        <v>39</v>
      </c>
      <c r="Q578" s="140"/>
      <c r="R578" s="140"/>
      <c r="S578" s="140"/>
      <c r="T578" s="140"/>
      <c r="U578" s="140"/>
      <c r="V578" s="140"/>
      <c r="W578" s="140"/>
      <c r="X578" s="140"/>
      <c r="Y578" s="140"/>
      <c r="Z578" s="140"/>
      <c r="AA578" s="140"/>
      <c r="AB578" s="140"/>
    </row>
    <row r="579">
      <c r="A579" s="145"/>
      <c r="B579" s="146"/>
      <c r="C579" s="146"/>
      <c r="D579" s="146"/>
      <c r="E579" s="146"/>
      <c r="F579" s="140"/>
      <c r="G579" s="142"/>
      <c r="H579" s="142"/>
      <c r="I579" s="142"/>
      <c r="J579" s="137" t="s">
        <v>39</v>
      </c>
      <c r="K579" s="137" t="s">
        <v>39</v>
      </c>
      <c r="L579" s="146"/>
      <c r="M579" s="141"/>
      <c r="N579" s="129"/>
      <c r="O579" s="140"/>
      <c r="P579" s="140" t="s">
        <v>39</v>
      </c>
      <c r="Q579" s="140"/>
      <c r="R579" s="140"/>
      <c r="S579" s="140"/>
      <c r="T579" s="140"/>
      <c r="U579" s="140"/>
      <c r="V579" s="140"/>
      <c r="W579" s="140"/>
      <c r="X579" s="140"/>
      <c r="Y579" s="140"/>
      <c r="Z579" s="140"/>
      <c r="AA579" s="140"/>
      <c r="AB579" s="140"/>
    </row>
    <row r="580">
      <c r="A580" s="145"/>
      <c r="B580" s="146"/>
      <c r="C580" s="146"/>
      <c r="D580" s="146"/>
      <c r="E580" s="146"/>
      <c r="F580" s="140"/>
      <c r="G580" s="142"/>
      <c r="H580" s="142"/>
      <c r="I580" s="142"/>
      <c r="J580" s="137" t="s">
        <v>39</v>
      </c>
      <c r="K580" s="137" t="s">
        <v>39</v>
      </c>
      <c r="L580" s="146"/>
      <c r="M580" s="141"/>
      <c r="N580" s="129"/>
      <c r="O580" s="140"/>
      <c r="P580" s="140" t="s">
        <v>39</v>
      </c>
      <c r="Q580" s="140"/>
      <c r="R580" s="140"/>
      <c r="S580" s="140"/>
      <c r="T580" s="140"/>
      <c r="U580" s="140"/>
      <c r="V580" s="140"/>
      <c r="W580" s="140"/>
      <c r="X580" s="140"/>
      <c r="Y580" s="140"/>
      <c r="Z580" s="140"/>
      <c r="AA580" s="140"/>
      <c r="AB580" s="140"/>
    </row>
    <row r="581">
      <c r="A581" s="145"/>
      <c r="B581" s="146"/>
      <c r="C581" s="146"/>
      <c r="D581" s="146"/>
      <c r="E581" s="146"/>
      <c r="F581" s="140"/>
      <c r="G581" s="142"/>
      <c r="H581" s="142"/>
      <c r="I581" s="142"/>
      <c r="J581" s="137" t="s">
        <v>39</v>
      </c>
      <c r="K581" s="137" t="s">
        <v>39</v>
      </c>
      <c r="L581" s="146"/>
      <c r="M581" s="141"/>
      <c r="N581" s="129"/>
      <c r="O581" s="140"/>
      <c r="P581" s="140" t="s">
        <v>39</v>
      </c>
      <c r="Q581" s="140"/>
      <c r="R581" s="140"/>
      <c r="S581" s="140"/>
      <c r="T581" s="140"/>
      <c r="U581" s="140"/>
      <c r="V581" s="140"/>
      <c r="W581" s="140"/>
      <c r="X581" s="140"/>
      <c r="Y581" s="140"/>
      <c r="Z581" s="140"/>
      <c r="AA581" s="140"/>
      <c r="AB581" s="140"/>
    </row>
    <row r="582">
      <c r="A582" s="145"/>
      <c r="B582" s="146"/>
      <c r="C582" s="146"/>
      <c r="D582" s="146"/>
      <c r="E582" s="146"/>
      <c r="F582" s="140"/>
      <c r="G582" s="142"/>
      <c r="H582" s="142"/>
      <c r="I582" s="142"/>
      <c r="J582" s="137" t="s">
        <v>39</v>
      </c>
      <c r="K582" s="137" t="s">
        <v>39</v>
      </c>
      <c r="L582" s="146"/>
      <c r="M582" s="141"/>
      <c r="N582" s="129"/>
      <c r="O582" s="140"/>
      <c r="P582" s="140" t="s">
        <v>39</v>
      </c>
      <c r="Q582" s="140"/>
      <c r="R582" s="140"/>
      <c r="S582" s="140"/>
      <c r="T582" s="140"/>
      <c r="U582" s="140"/>
      <c r="V582" s="140"/>
      <c r="W582" s="140"/>
      <c r="X582" s="140"/>
      <c r="Y582" s="140"/>
      <c r="Z582" s="140"/>
      <c r="AA582" s="140"/>
      <c r="AB582" s="140"/>
    </row>
    <row r="583">
      <c r="A583" s="145"/>
      <c r="B583" s="146"/>
      <c r="C583" s="146"/>
      <c r="D583" s="146"/>
      <c r="E583" s="146"/>
      <c r="F583" s="140"/>
      <c r="G583" s="142"/>
      <c r="H583" s="142"/>
      <c r="I583" s="142"/>
      <c r="J583" s="137" t="s">
        <v>39</v>
      </c>
      <c r="K583" s="137" t="s">
        <v>39</v>
      </c>
      <c r="L583" s="146"/>
      <c r="M583" s="141"/>
      <c r="N583" s="129"/>
      <c r="O583" s="140"/>
      <c r="P583" s="140" t="s">
        <v>39</v>
      </c>
      <c r="Q583" s="140"/>
      <c r="R583" s="140"/>
      <c r="S583" s="140"/>
      <c r="T583" s="140"/>
      <c r="U583" s="140"/>
      <c r="V583" s="140"/>
      <c r="W583" s="140"/>
      <c r="X583" s="140"/>
      <c r="Y583" s="140"/>
      <c r="Z583" s="140"/>
      <c r="AA583" s="140"/>
      <c r="AB583" s="140"/>
    </row>
    <row r="584">
      <c r="A584" s="145"/>
      <c r="B584" s="146"/>
      <c r="C584" s="146"/>
      <c r="D584" s="146"/>
      <c r="E584" s="146"/>
      <c r="F584" s="140"/>
      <c r="G584" s="142"/>
      <c r="H584" s="142"/>
      <c r="I584" s="142"/>
      <c r="J584" s="137" t="s">
        <v>39</v>
      </c>
      <c r="K584" s="137" t="s">
        <v>39</v>
      </c>
      <c r="L584" s="146"/>
      <c r="M584" s="141"/>
      <c r="N584" s="129"/>
      <c r="O584" s="140"/>
      <c r="P584" s="140" t="s">
        <v>39</v>
      </c>
      <c r="Q584" s="140"/>
      <c r="R584" s="140"/>
      <c r="S584" s="140"/>
      <c r="T584" s="140"/>
      <c r="U584" s="140"/>
      <c r="V584" s="140"/>
      <c r="W584" s="140"/>
      <c r="X584" s="140"/>
      <c r="Y584" s="140"/>
      <c r="Z584" s="140"/>
      <c r="AA584" s="140"/>
      <c r="AB584" s="140"/>
    </row>
    <row r="585">
      <c r="A585" s="145"/>
      <c r="B585" s="146"/>
      <c r="C585" s="146"/>
      <c r="D585" s="146"/>
      <c r="E585" s="146"/>
      <c r="F585" s="140"/>
      <c r="G585" s="142"/>
      <c r="H585" s="142"/>
      <c r="I585" s="142"/>
      <c r="J585" s="137" t="s">
        <v>39</v>
      </c>
      <c r="K585" s="137" t="s">
        <v>39</v>
      </c>
      <c r="L585" s="146"/>
      <c r="M585" s="141"/>
      <c r="N585" s="129"/>
      <c r="O585" s="140"/>
      <c r="P585" s="140" t="s">
        <v>39</v>
      </c>
      <c r="Q585" s="140"/>
      <c r="R585" s="140"/>
      <c r="S585" s="140"/>
      <c r="T585" s="140"/>
      <c r="U585" s="140"/>
      <c r="V585" s="140"/>
      <c r="W585" s="140"/>
      <c r="X585" s="140"/>
      <c r="Y585" s="140"/>
      <c r="Z585" s="140"/>
      <c r="AA585" s="140"/>
      <c r="AB585" s="140"/>
    </row>
    <row r="586">
      <c r="A586" s="145"/>
      <c r="B586" s="146"/>
      <c r="C586" s="146"/>
      <c r="D586" s="146"/>
      <c r="E586" s="146"/>
      <c r="F586" s="140"/>
      <c r="G586" s="142"/>
      <c r="H586" s="142"/>
      <c r="I586" s="142"/>
      <c r="J586" s="137" t="s">
        <v>39</v>
      </c>
      <c r="K586" s="137" t="s">
        <v>39</v>
      </c>
      <c r="L586" s="146"/>
      <c r="M586" s="141"/>
      <c r="N586" s="129"/>
      <c r="O586" s="140"/>
      <c r="P586" s="140" t="s">
        <v>39</v>
      </c>
      <c r="Q586" s="140"/>
      <c r="R586" s="140"/>
      <c r="S586" s="140"/>
      <c r="T586" s="140"/>
      <c r="U586" s="140"/>
      <c r="V586" s="140"/>
      <c r="W586" s="140"/>
      <c r="X586" s="140"/>
      <c r="Y586" s="140"/>
      <c r="Z586" s="140"/>
      <c r="AA586" s="140"/>
      <c r="AB586" s="140"/>
    </row>
    <row r="587">
      <c r="A587" s="145"/>
      <c r="B587" s="146"/>
      <c r="C587" s="146"/>
      <c r="D587" s="146"/>
      <c r="E587" s="146"/>
      <c r="F587" s="140"/>
      <c r="G587" s="142"/>
      <c r="H587" s="142"/>
      <c r="I587" s="142"/>
      <c r="J587" s="137" t="s">
        <v>39</v>
      </c>
      <c r="K587" s="137" t="s">
        <v>39</v>
      </c>
      <c r="L587" s="146"/>
      <c r="M587" s="141"/>
      <c r="N587" s="129"/>
      <c r="O587" s="140"/>
      <c r="P587" s="140" t="s">
        <v>39</v>
      </c>
      <c r="Q587" s="140"/>
      <c r="R587" s="140"/>
      <c r="S587" s="140"/>
      <c r="T587" s="140"/>
      <c r="U587" s="140"/>
      <c r="V587" s="140"/>
      <c r="W587" s="140"/>
      <c r="X587" s="140"/>
      <c r="Y587" s="140"/>
      <c r="Z587" s="140"/>
      <c r="AA587" s="140"/>
      <c r="AB587" s="140"/>
    </row>
    <row r="588">
      <c r="A588" s="145"/>
      <c r="B588" s="146"/>
      <c r="C588" s="146"/>
      <c r="D588" s="146"/>
      <c r="E588" s="146"/>
      <c r="F588" s="140"/>
      <c r="G588" s="142"/>
      <c r="H588" s="142"/>
      <c r="I588" s="142"/>
      <c r="J588" s="137" t="s">
        <v>39</v>
      </c>
      <c r="K588" s="137" t="s">
        <v>39</v>
      </c>
      <c r="L588" s="146"/>
      <c r="M588" s="141"/>
      <c r="N588" s="129"/>
      <c r="O588" s="140"/>
      <c r="P588" s="140" t="s">
        <v>39</v>
      </c>
      <c r="Q588" s="140"/>
      <c r="R588" s="140"/>
      <c r="S588" s="140"/>
      <c r="T588" s="140"/>
      <c r="U588" s="140"/>
      <c r="V588" s="140"/>
      <c r="W588" s="140"/>
      <c r="X588" s="140"/>
      <c r="Y588" s="140"/>
      <c r="Z588" s="140"/>
      <c r="AA588" s="140"/>
      <c r="AB588" s="140"/>
    </row>
    <row r="589">
      <c r="A589" s="145"/>
      <c r="B589" s="146"/>
      <c r="C589" s="146"/>
      <c r="D589" s="146"/>
      <c r="E589" s="146"/>
      <c r="F589" s="140"/>
      <c r="G589" s="142"/>
      <c r="H589" s="142"/>
      <c r="I589" s="142"/>
      <c r="J589" s="137" t="s">
        <v>39</v>
      </c>
      <c r="K589" s="137" t="s">
        <v>39</v>
      </c>
      <c r="L589" s="146"/>
      <c r="M589" s="141"/>
      <c r="N589" s="129"/>
      <c r="O589" s="140"/>
      <c r="P589" s="140" t="s">
        <v>39</v>
      </c>
      <c r="Q589" s="140"/>
      <c r="R589" s="140"/>
      <c r="S589" s="140"/>
      <c r="T589" s="140"/>
      <c r="U589" s="140"/>
      <c r="V589" s="140"/>
      <c r="W589" s="140"/>
      <c r="X589" s="140"/>
      <c r="Y589" s="140"/>
      <c r="Z589" s="140"/>
      <c r="AA589" s="140"/>
      <c r="AB589" s="140"/>
    </row>
    <row r="590">
      <c r="A590" s="145"/>
      <c r="B590" s="146"/>
      <c r="C590" s="146"/>
      <c r="D590" s="146"/>
      <c r="E590" s="146"/>
      <c r="F590" s="140"/>
      <c r="G590" s="142"/>
      <c r="H590" s="142"/>
      <c r="I590" s="142"/>
      <c r="J590" s="137" t="s">
        <v>39</v>
      </c>
      <c r="K590" s="137" t="s">
        <v>39</v>
      </c>
      <c r="L590" s="146"/>
      <c r="M590" s="141"/>
      <c r="N590" s="129"/>
      <c r="O590" s="140"/>
      <c r="P590" s="140" t="s">
        <v>39</v>
      </c>
      <c r="Q590" s="140"/>
      <c r="R590" s="140"/>
      <c r="S590" s="140"/>
      <c r="T590" s="140"/>
      <c r="U590" s="140"/>
      <c r="V590" s="140"/>
      <c r="W590" s="140"/>
      <c r="X590" s="140"/>
      <c r="Y590" s="140"/>
      <c r="Z590" s="140"/>
      <c r="AA590" s="140"/>
      <c r="AB590" s="140"/>
    </row>
    <row r="591">
      <c r="A591" s="145"/>
      <c r="B591" s="146"/>
      <c r="C591" s="146"/>
      <c r="D591" s="146"/>
      <c r="E591" s="146"/>
      <c r="F591" s="140"/>
      <c r="G591" s="142"/>
      <c r="H591" s="142"/>
      <c r="I591" s="142"/>
      <c r="J591" s="137" t="s">
        <v>39</v>
      </c>
      <c r="K591" s="137" t="s">
        <v>39</v>
      </c>
      <c r="L591" s="146"/>
      <c r="M591" s="141"/>
      <c r="N591" s="129"/>
      <c r="O591" s="140"/>
      <c r="P591" s="140" t="s">
        <v>39</v>
      </c>
      <c r="Q591" s="140"/>
      <c r="R591" s="140"/>
      <c r="S591" s="140"/>
      <c r="T591" s="140"/>
      <c r="U591" s="140"/>
      <c r="V591" s="140"/>
      <c r="W591" s="140"/>
      <c r="X591" s="140"/>
      <c r="Y591" s="140"/>
      <c r="Z591" s="140"/>
      <c r="AA591" s="140"/>
      <c r="AB591" s="140"/>
    </row>
    <row r="592">
      <c r="A592" s="145"/>
      <c r="B592" s="146"/>
      <c r="C592" s="146"/>
      <c r="D592" s="146"/>
      <c r="E592" s="146"/>
      <c r="F592" s="140"/>
      <c r="G592" s="142"/>
      <c r="H592" s="142"/>
      <c r="I592" s="142"/>
      <c r="J592" s="137" t="s">
        <v>39</v>
      </c>
      <c r="K592" s="137" t="s">
        <v>39</v>
      </c>
      <c r="L592" s="146"/>
      <c r="M592" s="141"/>
      <c r="N592" s="129"/>
      <c r="O592" s="140"/>
      <c r="P592" s="140" t="s">
        <v>39</v>
      </c>
      <c r="Q592" s="140"/>
      <c r="R592" s="140"/>
      <c r="S592" s="140"/>
      <c r="T592" s="140"/>
      <c r="U592" s="140"/>
      <c r="V592" s="140"/>
      <c r="W592" s="140"/>
      <c r="X592" s="140"/>
      <c r="Y592" s="140"/>
      <c r="Z592" s="140"/>
      <c r="AA592" s="140"/>
      <c r="AB592" s="140"/>
    </row>
    <row r="593">
      <c r="A593" s="145"/>
      <c r="B593" s="146"/>
      <c r="C593" s="146"/>
      <c r="D593" s="146"/>
      <c r="E593" s="146"/>
      <c r="F593" s="140"/>
      <c r="G593" s="142"/>
      <c r="H593" s="142"/>
      <c r="I593" s="142"/>
      <c r="J593" s="137" t="s">
        <v>39</v>
      </c>
      <c r="K593" s="137" t="s">
        <v>39</v>
      </c>
      <c r="L593" s="146"/>
      <c r="M593" s="141"/>
      <c r="N593" s="129"/>
      <c r="O593" s="140"/>
      <c r="P593" s="140" t="s">
        <v>39</v>
      </c>
      <c r="Q593" s="140"/>
      <c r="R593" s="140"/>
      <c r="S593" s="140"/>
      <c r="T593" s="140"/>
      <c r="U593" s="140"/>
      <c r="V593" s="140"/>
      <c r="W593" s="140"/>
      <c r="X593" s="140"/>
      <c r="Y593" s="140"/>
      <c r="Z593" s="140"/>
      <c r="AA593" s="140"/>
      <c r="AB593" s="140"/>
    </row>
    <row r="594">
      <c r="A594" s="145"/>
      <c r="B594" s="146"/>
      <c r="C594" s="146"/>
      <c r="D594" s="146"/>
      <c r="E594" s="146"/>
      <c r="F594" s="140"/>
      <c r="G594" s="142"/>
      <c r="H594" s="142"/>
      <c r="I594" s="142"/>
      <c r="J594" s="137" t="s">
        <v>39</v>
      </c>
      <c r="K594" s="137" t="s">
        <v>39</v>
      </c>
      <c r="L594" s="146"/>
      <c r="M594" s="141"/>
      <c r="N594" s="129"/>
      <c r="O594" s="140"/>
      <c r="P594" s="140" t="s">
        <v>39</v>
      </c>
      <c r="Q594" s="140"/>
      <c r="R594" s="140"/>
      <c r="S594" s="140"/>
      <c r="T594" s="140"/>
      <c r="U594" s="140"/>
      <c r="V594" s="140"/>
      <c r="W594" s="140"/>
      <c r="X594" s="140"/>
      <c r="Y594" s="140"/>
      <c r="Z594" s="140"/>
      <c r="AA594" s="140"/>
      <c r="AB594" s="140"/>
    </row>
    <row r="595">
      <c r="A595" s="145"/>
      <c r="B595" s="146"/>
      <c r="C595" s="146"/>
      <c r="D595" s="146"/>
      <c r="E595" s="146"/>
      <c r="F595" s="140"/>
      <c r="G595" s="142"/>
      <c r="H595" s="142"/>
      <c r="I595" s="142"/>
      <c r="J595" s="137" t="s">
        <v>39</v>
      </c>
      <c r="K595" s="137" t="s">
        <v>39</v>
      </c>
      <c r="L595" s="146"/>
      <c r="M595" s="141"/>
      <c r="N595" s="129"/>
      <c r="O595" s="140"/>
      <c r="P595" s="140" t="s">
        <v>39</v>
      </c>
      <c r="Q595" s="140"/>
      <c r="R595" s="140"/>
      <c r="S595" s="140"/>
      <c r="T595" s="140"/>
      <c r="U595" s="140"/>
      <c r="V595" s="140"/>
      <c r="W595" s="140"/>
      <c r="X595" s="140"/>
      <c r="Y595" s="140"/>
      <c r="Z595" s="140"/>
      <c r="AA595" s="140"/>
      <c r="AB595" s="140"/>
    </row>
    <row r="596">
      <c r="A596" s="145"/>
      <c r="B596" s="146"/>
      <c r="C596" s="146"/>
      <c r="D596" s="146"/>
      <c r="E596" s="146"/>
      <c r="F596" s="140"/>
      <c r="G596" s="142"/>
      <c r="H596" s="142"/>
      <c r="I596" s="142"/>
      <c r="J596" s="137" t="s">
        <v>39</v>
      </c>
      <c r="K596" s="137" t="s">
        <v>39</v>
      </c>
      <c r="L596" s="146"/>
      <c r="M596" s="141"/>
      <c r="N596" s="129"/>
      <c r="O596" s="140"/>
      <c r="P596" s="140" t="s">
        <v>39</v>
      </c>
      <c r="Q596" s="140"/>
      <c r="R596" s="140"/>
      <c r="S596" s="140"/>
      <c r="T596" s="140"/>
      <c r="U596" s="140"/>
      <c r="V596" s="140"/>
      <c r="W596" s="140"/>
      <c r="X596" s="140"/>
      <c r="Y596" s="140"/>
      <c r="Z596" s="140"/>
      <c r="AA596" s="140"/>
      <c r="AB596" s="140"/>
    </row>
    <row r="597">
      <c r="A597" s="145"/>
      <c r="B597" s="146"/>
      <c r="C597" s="146"/>
      <c r="D597" s="146"/>
      <c r="E597" s="146"/>
      <c r="F597" s="140"/>
      <c r="G597" s="142"/>
      <c r="H597" s="142"/>
      <c r="I597" s="142"/>
      <c r="J597" s="137" t="s">
        <v>39</v>
      </c>
      <c r="K597" s="137" t="s">
        <v>39</v>
      </c>
      <c r="L597" s="146"/>
      <c r="M597" s="141"/>
      <c r="N597" s="129"/>
      <c r="O597" s="140"/>
      <c r="P597" s="140" t="s">
        <v>39</v>
      </c>
      <c r="Q597" s="140"/>
      <c r="R597" s="140"/>
      <c r="S597" s="140"/>
      <c r="T597" s="140"/>
      <c r="U597" s="140"/>
      <c r="V597" s="140"/>
      <c r="W597" s="140"/>
      <c r="X597" s="140"/>
      <c r="Y597" s="140"/>
      <c r="Z597" s="140"/>
      <c r="AA597" s="140"/>
      <c r="AB597" s="140"/>
    </row>
    <row r="598">
      <c r="A598" s="145"/>
      <c r="B598" s="146"/>
      <c r="C598" s="146"/>
      <c r="D598" s="146"/>
      <c r="E598" s="146"/>
      <c r="F598" s="140"/>
      <c r="G598" s="142"/>
      <c r="H598" s="142"/>
      <c r="I598" s="142"/>
      <c r="J598" s="137" t="s">
        <v>39</v>
      </c>
      <c r="K598" s="137" t="s">
        <v>39</v>
      </c>
      <c r="L598" s="146"/>
      <c r="M598" s="141"/>
      <c r="N598" s="129"/>
      <c r="O598" s="140"/>
      <c r="P598" s="140" t="s">
        <v>39</v>
      </c>
      <c r="Q598" s="140"/>
      <c r="R598" s="140"/>
      <c r="S598" s="140"/>
      <c r="T598" s="140"/>
      <c r="U598" s="140"/>
      <c r="V598" s="140"/>
      <c r="W598" s="140"/>
      <c r="X598" s="140"/>
      <c r="Y598" s="140"/>
      <c r="Z598" s="140"/>
      <c r="AA598" s="140"/>
      <c r="AB598" s="140"/>
    </row>
    <row r="599">
      <c r="A599" s="145"/>
      <c r="B599" s="146"/>
      <c r="C599" s="146"/>
      <c r="D599" s="146"/>
      <c r="E599" s="146"/>
      <c r="F599" s="140"/>
      <c r="G599" s="142"/>
      <c r="H599" s="142"/>
      <c r="I599" s="142"/>
      <c r="J599" s="137" t="s">
        <v>39</v>
      </c>
      <c r="K599" s="137" t="s">
        <v>39</v>
      </c>
      <c r="L599" s="146"/>
      <c r="M599" s="141"/>
      <c r="N599" s="129"/>
      <c r="O599" s="140"/>
      <c r="P599" s="140" t="s">
        <v>39</v>
      </c>
      <c r="Q599" s="140"/>
      <c r="R599" s="140"/>
      <c r="S599" s="140"/>
      <c r="T599" s="140"/>
      <c r="U599" s="140"/>
      <c r="V599" s="140"/>
      <c r="W599" s="140"/>
      <c r="X599" s="140"/>
      <c r="Y599" s="140"/>
      <c r="Z599" s="140"/>
      <c r="AA599" s="140"/>
      <c r="AB599" s="140"/>
    </row>
    <row r="600">
      <c r="A600" s="145"/>
      <c r="B600" s="146"/>
      <c r="C600" s="146"/>
      <c r="D600" s="146"/>
      <c r="E600" s="146"/>
      <c r="F600" s="140"/>
      <c r="G600" s="142"/>
      <c r="H600" s="142"/>
      <c r="I600" s="142"/>
      <c r="J600" s="137" t="s">
        <v>39</v>
      </c>
      <c r="K600" s="137" t="s">
        <v>39</v>
      </c>
      <c r="L600" s="146"/>
      <c r="M600" s="141"/>
      <c r="N600" s="129"/>
      <c r="O600" s="140"/>
      <c r="P600" s="140" t="s">
        <v>39</v>
      </c>
      <c r="Q600" s="140"/>
      <c r="R600" s="140"/>
      <c r="S600" s="140"/>
      <c r="T600" s="140"/>
      <c r="U600" s="140"/>
      <c r="V600" s="140"/>
      <c r="W600" s="140"/>
      <c r="X600" s="140"/>
      <c r="Y600" s="140"/>
      <c r="Z600" s="140"/>
      <c r="AA600" s="140"/>
      <c r="AB600" s="140"/>
    </row>
    <row r="601">
      <c r="A601" s="145"/>
      <c r="B601" s="146"/>
      <c r="C601" s="146"/>
      <c r="D601" s="146"/>
      <c r="E601" s="146"/>
      <c r="F601" s="140"/>
      <c r="G601" s="142"/>
      <c r="H601" s="142"/>
      <c r="I601" s="142"/>
      <c r="J601" s="137" t="s">
        <v>39</v>
      </c>
      <c r="K601" s="137" t="s">
        <v>39</v>
      </c>
      <c r="L601" s="146"/>
      <c r="M601" s="141"/>
      <c r="N601" s="129"/>
      <c r="O601" s="140"/>
      <c r="P601" s="140" t="s">
        <v>39</v>
      </c>
      <c r="Q601" s="140"/>
      <c r="R601" s="140"/>
      <c r="S601" s="140"/>
      <c r="T601" s="140"/>
      <c r="U601" s="140"/>
      <c r="V601" s="140"/>
      <c r="W601" s="140"/>
      <c r="X601" s="140"/>
      <c r="Y601" s="140"/>
      <c r="Z601" s="140"/>
      <c r="AA601" s="140"/>
      <c r="AB601" s="140"/>
    </row>
    <row r="602">
      <c r="A602" s="145"/>
      <c r="B602" s="146"/>
      <c r="C602" s="146"/>
      <c r="D602" s="146"/>
      <c r="E602" s="146"/>
      <c r="F602" s="140"/>
      <c r="G602" s="142"/>
      <c r="H602" s="142"/>
      <c r="I602" s="142"/>
      <c r="J602" s="137" t="s">
        <v>39</v>
      </c>
      <c r="K602" s="137" t="s">
        <v>39</v>
      </c>
      <c r="L602" s="146"/>
      <c r="M602" s="141"/>
      <c r="N602" s="129"/>
      <c r="O602" s="140"/>
      <c r="P602" s="140" t="s">
        <v>39</v>
      </c>
      <c r="Q602" s="140"/>
      <c r="R602" s="140"/>
      <c r="S602" s="140"/>
      <c r="T602" s="140"/>
      <c r="U602" s="140"/>
      <c r="V602" s="140"/>
      <c r="W602" s="140"/>
      <c r="X602" s="140"/>
      <c r="Y602" s="140"/>
      <c r="Z602" s="140"/>
      <c r="AA602" s="140"/>
      <c r="AB602" s="140"/>
    </row>
    <row r="603">
      <c r="A603" s="145"/>
      <c r="B603" s="146"/>
      <c r="C603" s="146"/>
      <c r="D603" s="146"/>
      <c r="E603" s="146"/>
      <c r="F603" s="140"/>
      <c r="G603" s="142"/>
      <c r="H603" s="142"/>
      <c r="I603" s="142"/>
      <c r="J603" s="137" t="s">
        <v>39</v>
      </c>
      <c r="K603" s="137" t="s">
        <v>39</v>
      </c>
      <c r="L603" s="146"/>
      <c r="M603" s="141"/>
      <c r="N603" s="129"/>
      <c r="O603" s="140"/>
      <c r="P603" s="140" t="s">
        <v>39</v>
      </c>
      <c r="Q603" s="140"/>
      <c r="R603" s="140"/>
      <c r="S603" s="140"/>
      <c r="T603" s="140"/>
      <c r="U603" s="140"/>
      <c r="V603" s="140"/>
      <c r="W603" s="140"/>
      <c r="X603" s="140"/>
      <c r="Y603" s="140"/>
      <c r="Z603" s="140"/>
      <c r="AA603" s="140"/>
      <c r="AB603" s="140"/>
    </row>
    <row r="604">
      <c r="A604" s="145"/>
      <c r="B604" s="146"/>
      <c r="C604" s="146"/>
      <c r="D604" s="146"/>
      <c r="E604" s="146"/>
      <c r="F604" s="140"/>
      <c r="G604" s="142"/>
      <c r="H604" s="142"/>
      <c r="I604" s="142"/>
      <c r="J604" s="137" t="s">
        <v>39</v>
      </c>
      <c r="K604" s="137" t="s">
        <v>39</v>
      </c>
      <c r="L604" s="146"/>
      <c r="M604" s="141"/>
      <c r="N604" s="129"/>
      <c r="O604" s="140"/>
      <c r="P604" s="140" t="s">
        <v>39</v>
      </c>
      <c r="Q604" s="140"/>
      <c r="R604" s="140"/>
      <c r="S604" s="140"/>
      <c r="T604" s="140"/>
      <c r="U604" s="140"/>
      <c r="V604" s="140"/>
      <c r="W604" s="140"/>
      <c r="X604" s="140"/>
      <c r="Y604" s="140"/>
      <c r="Z604" s="140"/>
      <c r="AA604" s="140"/>
      <c r="AB604" s="140"/>
    </row>
    <row r="605">
      <c r="A605" s="145"/>
      <c r="B605" s="146"/>
      <c r="C605" s="146"/>
      <c r="D605" s="146"/>
      <c r="E605" s="146"/>
      <c r="F605" s="140"/>
      <c r="G605" s="142"/>
      <c r="H605" s="142"/>
      <c r="I605" s="142"/>
      <c r="J605" s="137" t="s">
        <v>39</v>
      </c>
      <c r="K605" s="137" t="s">
        <v>39</v>
      </c>
      <c r="L605" s="146"/>
      <c r="M605" s="141"/>
      <c r="N605" s="129"/>
      <c r="O605" s="140"/>
      <c r="P605" s="140" t="s">
        <v>39</v>
      </c>
      <c r="Q605" s="140"/>
      <c r="R605" s="140"/>
      <c r="S605" s="140"/>
      <c r="T605" s="140"/>
      <c r="U605" s="140"/>
      <c r="V605" s="140"/>
      <c r="W605" s="140"/>
      <c r="X605" s="140"/>
      <c r="Y605" s="140"/>
      <c r="Z605" s="140"/>
      <c r="AA605" s="140"/>
      <c r="AB605" s="140"/>
    </row>
    <row r="606">
      <c r="A606" s="145"/>
      <c r="B606" s="146"/>
      <c r="C606" s="146"/>
      <c r="D606" s="146"/>
      <c r="E606" s="146"/>
      <c r="F606" s="140"/>
      <c r="G606" s="142"/>
      <c r="H606" s="142"/>
      <c r="I606" s="142"/>
      <c r="J606" s="137" t="s">
        <v>39</v>
      </c>
      <c r="K606" s="137" t="s">
        <v>39</v>
      </c>
      <c r="L606" s="146"/>
      <c r="M606" s="141"/>
      <c r="N606" s="129"/>
      <c r="O606" s="140"/>
      <c r="P606" s="140" t="s">
        <v>39</v>
      </c>
      <c r="Q606" s="140"/>
      <c r="R606" s="140"/>
      <c r="S606" s="140"/>
      <c r="T606" s="140"/>
      <c r="U606" s="140"/>
      <c r="V606" s="140"/>
      <c r="W606" s="140"/>
      <c r="X606" s="140"/>
      <c r="Y606" s="140"/>
      <c r="Z606" s="140"/>
      <c r="AA606" s="140"/>
      <c r="AB606" s="140"/>
    </row>
    <row r="607">
      <c r="A607" s="145"/>
      <c r="B607" s="146"/>
      <c r="C607" s="146"/>
      <c r="D607" s="146"/>
      <c r="E607" s="146"/>
      <c r="F607" s="140"/>
      <c r="G607" s="142"/>
      <c r="H607" s="142"/>
      <c r="I607" s="142"/>
      <c r="J607" s="137" t="s">
        <v>39</v>
      </c>
      <c r="K607" s="137" t="s">
        <v>39</v>
      </c>
      <c r="L607" s="146"/>
      <c r="M607" s="141"/>
      <c r="N607" s="129"/>
      <c r="O607" s="140"/>
      <c r="P607" s="140" t="s">
        <v>39</v>
      </c>
      <c r="Q607" s="140"/>
      <c r="R607" s="140"/>
      <c r="S607" s="140"/>
      <c r="T607" s="140"/>
      <c r="U607" s="140"/>
      <c r="V607" s="140"/>
      <c r="W607" s="140"/>
      <c r="X607" s="140"/>
      <c r="Y607" s="140"/>
      <c r="Z607" s="140"/>
      <c r="AA607" s="140"/>
      <c r="AB607" s="140"/>
    </row>
    <row r="608">
      <c r="A608" s="145"/>
      <c r="B608" s="146"/>
      <c r="C608" s="146"/>
      <c r="D608" s="146"/>
      <c r="E608" s="146"/>
      <c r="F608" s="140"/>
      <c r="G608" s="142"/>
      <c r="H608" s="142"/>
      <c r="I608" s="142"/>
      <c r="J608" s="137" t="s">
        <v>39</v>
      </c>
      <c r="K608" s="137" t="s">
        <v>39</v>
      </c>
      <c r="L608" s="146"/>
      <c r="M608" s="141"/>
      <c r="N608" s="129"/>
      <c r="O608" s="140"/>
      <c r="P608" s="140" t="s">
        <v>39</v>
      </c>
      <c r="Q608" s="140"/>
      <c r="R608" s="140"/>
      <c r="S608" s="140"/>
      <c r="T608" s="140"/>
      <c r="U608" s="140"/>
      <c r="V608" s="140"/>
      <c r="W608" s="140"/>
      <c r="X608" s="140"/>
      <c r="Y608" s="140"/>
      <c r="Z608" s="140"/>
      <c r="AA608" s="140"/>
      <c r="AB608" s="140"/>
    </row>
    <row r="609">
      <c r="A609" s="145"/>
      <c r="B609" s="146"/>
      <c r="C609" s="146"/>
      <c r="D609" s="146"/>
      <c r="E609" s="146"/>
      <c r="F609" s="140"/>
      <c r="G609" s="142"/>
      <c r="H609" s="142"/>
      <c r="I609" s="142"/>
      <c r="J609" s="137" t="s">
        <v>39</v>
      </c>
      <c r="K609" s="137" t="s">
        <v>39</v>
      </c>
      <c r="L609" s="146"/>
      <c r="M609" s="141"/>
      <c r="N609" s="129"/>
      <c r="O609" s="140"/>
      <c r="P609" s="140" t="s">
        <v>39</v>
      </c>
      <c r="Q609" s="140"/>
      <c r="R609" s="140"/>
      <c r="S609" s="140"/>
      <c r="T609" s="140"/>
      <c r="U609" s="140"/>
      <c r="V609" s="140"/>
      <c r="W609" s="140"/>
      <c r="X609" s="140"/>
      <c r="Y609" s="140"/>
      <c r="Z609" s="140"/>
      <c r="AA609" s="140"/>
      <c r="AB609" s="140"/>
    </row>
    <row r="610">
      <c r="A610" s="145"/>
      <c r="B610" s="146"/>
      <c r="C610" s="146"/>
      <c r="D610" s="146"/>
      <c r="E610" s="146"/>
      <c r="F610" s="140"/>
      <c r="G610" s="142"/>
      <c r="H610" s="142"/>
      <c r="I610" s="142"/>
      <c r="J610" s="137" t="s">
        <v>39</v>
      </c>
      <c r="K610" s="137" t="s">
        <v>39</v>
      </c>
      <c r="L610" s="146"/>
      <c r="M610" s="141"/>
      <c r="N610" s="129"/>
      <c r="O610" s="140"/>
      <c r="P610" s="140" t="s">
        <v>39</v>
      </c>
      <c r="Q610" s="140"/>
      <c r="R610" s="140"/>
      <c r="S610" s="140"/>
      <c r="T610" s="140"/>
      <c r="U610" s="140"/>
      <c r="V610" s="140"/>
      <c r="W610" s="140"/>
      <c r="X610" s="140"/>
      <c r="Y610" s="140"/>
      <c r="Z610" s="140"/>
      <c r="AA610" s="140"/>
      <c r="AB610" s="140"/>
    </row>
    <row r="611">
      <c r="A611" s="145"/>
      <c r="B611" s="146"/>
      <c r="C611" s="146"/>
      <c r="D611" s="146"/>
      <c r="E611" s="146"/>
      <c r="F611" s="140"/>
      <c r="G611" s="142"/>
      <c r="H611" s="142"/>
      <c r="I611" s="142"/>
      <c r="J611" s="137" t="s">
        <v>39</v>
      </c>
      <c r="K611" s="137" t="s">
        <v>39</v>
      </c>
      <c r="L611" s="146"/>
      <c r="M611" s="141"/>
      <c r="N611" s="129"/>
      <c r="O611" s="140"/>
      <c r="P611" s="140" t="s">
        <v>39</v>
      </c>
      <c r="Q611" s="140"/>
      <c r="R611" s="140"/>
      <c r="S611" s="140"/>
      <c r="T611" s="140"/>
      <c r="U611" s="140"/>
      <c r="V611" s="140"/>
      <c r="W611" s="140"/>
      <c r="X611" s="140"/>
      <c r="Y611" s="140"/>
      <c r="Z611" s="140"/>
      <c r="AA611" s="140"/>
      <c r="AB611" s="140"/>
    </row>
    <row r="612">
      <c r="A612" s="145"/>
      <c r="B612" s="146"/>
      <c r="C612" s="146"/>
      <c r="D612" s="146"/>
      <c r="E612" s="146"/>
      <c r="F612" s="140"/>
      <c r="G612" s="142"/>
      <c r="H612" s="142"/>
      <c r="I612" s="142"/>
      <c r="J612" s="137" t="s">
        <v>39</v>
      </c>
      <c r="K612" s="137" t="s">
        <v>39</v>
      </c>
      <c r="L612" s="146"/>
      <c r="M612" s="141"/>
      <c r="N612" s="129"/>
      <c r="O612" s="140"/>
      <c r="P612" s="140" t="s">
        <v>39</v>
      </c>
      <c r="Q612" s="140"/>
      <c r="R612" s="140"/>
      <c r="S612" s="140"/>
      <c r="T612" s="140"/>
      <c r="U612" s="140"/>
      <c r="V612" s="140"/>
      <c r="W612" s="140"/>
      <c r="X612" s="140"/>
      <c r="Y612" s="140"/>
      <c r="Z612" s="140"/>
      <c r="AA612" s="140"/>
      <c r="AB612" s="140"/>
    </row>
    <row r="613">
      <c r="A613" s="145"/>
      <c r="B613" s="146"/>
      <c r="C613" s="146"/>
      <c r="D613" s="146"/>
      <c r="E613" s="146"/>
      <c r="F613" s="140"/>
      <c r="G613" s="142"/>
      <c r="H613" s="142"/>
      <c r="I613" s="142"/>
      <c r="J613" s="137" t="s">
        <v>39</v>
      </c>
      <c r="K613" s="137" t="s">
        <v>39</v>
      </c>
      <c r="L613" s="146"/>
      <c r="M613" s="141"/>
      <c r="N613" s="129"/>
      <c r="O613" s="140"/>
      <c r="P613" s="140" t="s">
        <v>39</v>
      </c>
      <c r="Q613" s="140"/>
      <c r="R613" s="140"/>
      <c r="S613" s="140"/>
      <c r="T613" s="140"/>
      <c r="U613" s="140"/>
      <c r="V613" s="140"/>
      <c r="W613" s="140"/>
      <c r="X613" s="140"/>
      <c r="Y613" s="140"/>
      <c r="Z613" s="140"/>
      <c r="AA613" s="140"/>
      <c r="AB613" s="140"/>
    </row>
    <row r="614">
      <c r="A614" s="145"/>
      <c r="B614" s="146"/>
      <c r="C614" s="146"/>
      <c r="D614" s="146"/>
      <c r="E614" s="146"/>
      <c r="F614" s="140"/>
      <c r="G614" s="142"/>
      <c r="H614" s="142"/>
      <c r="I614" s="142"/>
      <c r="J614" s="137" t="s">
        <v>39</v>
      </c>
      <c r="K614" s="137" t="s">
        <v>39</v>
      </c>
      <c r="L614" s="146"/>
      <c r="M614" s="141"/>
      <c r="N614" s="129"/>
      <c r="O614" s="140"/>
      <c r="P614" s="140" t="s">
        <v>39</v>
      </c>
      <c r="Q614" s="140"/>
      <c r="R614" s="140"/>
      <c r="S614" s="140"/>
      <c r="T614" s="140"/>
      <c r="U614" s="140"/>
      <c r="V614" s="140"/>
      <c r="W614" s="140"/>
      <c r="X614" s="140"/>
      <c r="Y614" s="140"/>
      <c r="Z614" s="140"/>
      <c r="AA614" s="140"/>
      <c r="AB614" s="140"/>
    </row>
    <row r="615">
      <c r="A615" s="145"/>
      <c r="B615" s="146"/>
      <c r="C615" s="146"/>
      <c r="D615" s="146"/>
      <c r="E615" s="146"/>
      <c r="F615" s="140"/>
      <c r="G615" s="142"/>
      <c r="H615" s="142"/>
      <c r="I615" s="142"/>
      <c r="J615" s="137" t="s">
        <v>39</v>
      </c>
      <c r="K615" s="137" t="s">
        <v>39</v>
      </c>
      <c r="L615" s="146"/>
      <c r="M615" s="141"/>
      <c r="N615" s="129"/>
      <c r="O615" s="140"/>
      <c r="P615" s="140" t="s">
        <v>39</v>
      </c>
      <c r="Q615" s="140"/>
      <c r="R615" s="140"/>
      <c r="S615" s="140"/>
      <c r="T615" s="140"/>
      <c r="U615" s="140"/>
      <c r="V615" s="140"/>
      <c r="W615" s="140"/>
      <c r="X615" s="140"/>
      <c r="Y615" s="140"/>
      <c r="Z615" s="140"/>
      <c r="AA615" s="140"/>
      <c r="AB615" s="140"/>
    </row>
    <row r="616">
      <c r="A616" s="145"/>
      <c r="B616" s="146"/>
      <c r="C616" s="146"/>
      <c r="D616" s="146"/>
      <c r="E616" s="146"/>
      <c r="F616" s="140"/>
      <c r="G616" s="142"/>
      <c r="H616" s="142"/>
      <c r="I616" s="142"/>
      <c r="J616" s="137" t="s">
        <v>39</v>
      </c>
      <c r="K616" s="137" t="s">
        <v>39</v>
      </c>
      <c r="L616" s="146"/>
      <c r="M616" s="141"/>
      <c r="N616" s="129"/>
      <c r="O616" s="140"/>
      <c r="P616" s="140" t="s">
        <v>39</v>
      </c>
      <c r="Q616" s="140"/>
      <c r="R616" s="140"/>
      <c r="S616" s="140"/>
      <c r="T616" s="140"/>
      <c r="U616" s="140"/>
      <c r="V616" s="140"/>
      <c r="W616" s="140"/>
      <c r="X616" s="140"/>
      <c r="Y616" s="140"/>
      <c r="Z616" s="140"/>
      <c r="AA616" s="140"/>
      <c r="AB616" s="140"/>
    </row>
    <row r="617">
      <c r="A617" s="145"/>
      <c r="B617" s="146"/>
      <c r="C617" s="146"/>
      <c r="D617" s="146"/>
      <c r="E617" s="146"/>
      <c r="F617" s="140"/>
      <c r="G617" s="142"/>
      <c r="H617" s="142"/>
      <c r="I617" s="142"/>
      <c r="J617" s="137" t="s">
        <v>39</v>
      </c>
      <c r="K617" s="137" t="s">
        <v>39</v>
      </c>
      <c r="L617" s="146"/>
      <c r="M617" s="141"/>
      <c r="N617" s="129"/>
      <c r="O617" s="140"/>
      <c r="P617" s="140" t="s">
        <v>39</v>
      </c>
      <c r="Q617" s="140"/>
      <c r="R617" s="140"/>
      <c r="S617" s="140"/>
      <c r="T617" s="140"/>
      <c r="U617" s="140"/>
      <c r="V617" s="140"/>
      <c r="W617" s="140"/>
      <c r="X617" s="140"/>
      <c r="Y617" s="140"/>
      <c r="Z617" s="140"/>
      <c r="AA617" s="140"/>
      <c r="AB617" s="140"/>
    </row>
    <row r="618">
      <c r="A618" s="145"/>
      <c r="B618" s="146"/>
      <c r="C618" s="146"/>
      <c r="D618" s="146"/>
      <c r="E618" s="146"/>
      <c r="F618" s="140"/>
      <c r="G618" s="142"/>
      <c r="H618" s="142"/>
      <c r="I618" s="142"/>
      <c r="J618" s="137" t="s">
        <v>39</v>
      </c>
      <c r="K618" s="137" t="s">
        <v>39</v>
      </c>
      <c r="L618" s="146"/>
      <c r="M618" s="141"/>
      <c r="N618" s="129"/>
      <c r="O618" s="140"/>
      <c r="P618" s="140" t="s">
        <v>39</v>
      </c>
      <c r="Q618" s="140"/>
      <c r="R618" s="140"/>
      <c r="S618" s="140"/>
      <c r="T618" s="140"/>
      <c r="U618" s="140"/>
      <c r="V618" s="140"/>
      <c r="W618" s="140"/>
      <c r="X618" s="140"/>
      <c r="Y618" s="140"/>
      <c r="Z618" s="140"/>
      <c r="AA618" s="140"/>
      <c r="AB618" s="140"/>
    </row>
    <row r="619">
      <c r="A619" s="145"/>
      <c r="B619" s="146"/>
      <c r="C619" s="146"/>
      <c r="D619" s="146"/>
      <c r="E619" s="146"/>
      <c r="F619" s="140"/>
      <c r="G619" s="142"/>
      <c r="H619" s="142"/>
      <c r="I619" s="142"/>
      <c r="J619" s="137" t="s">
        <v>39</v>
      </c>
      <c r="K619" s="137" t="s">
        <v>39</v>
      </c>
      <c r="L619" s="146"/>
      <c r="M619" s="141"/>
      <c r="N619" s="129"/>
      <c r="O619" s="140"/>
      <c r="P619" s="140" t="s">
        <v>39</v>
      </c>
      <c r="Q619" s="140"/>
      <c r="R619" s="140"/>
      <c r="S619" s="140"/>
      <c r="T619" s="140"/>
      <c r="U619" s="140"/>
      <c r="V619" s="140"/>
      <c r="W619" s="140"/>
      <c r="X619" s="140"/>
      <c r="Y619" s="140"/>
      <c r="Z619" s="140"/>
      <c r="AA619" s="140"/>
      <c r="AB619" s="140"/>
    </row>
    <row r="620">
      <c r="A620" s="145"/>
      <c r="B620" s="146"/>
      <c r="C620" s="146"/>
      <c r="D620" s="146"/>
      <c r="E620" s="146"/>
      <c r="F620" s="140"/>
      <c r="G620" s="142"/>
      <c r="H620" s="142"/>
      <c r="I620" s="142"/>
      <c r="J620" s="137" t="s">
        <v>39</v>
      </c>
      <c r="K620" s="137" t="s">
        <v>39</v>
      </c>
      <c r="L620" s="146"/>
      <c r="M620" s="141"/>
      <c r="N620" s="129"/>
      <c r="O620" s="140"/>
      <c r="P620" s="140" t="s">
        <v>39</v>
      </c>
      <c r="Q620" s="140"/>
      <c r="R620" s="140"/>
      <c r="S620" s="140"/>
      <c r="T620" s="140"/>
      <c r="U620" s="140"/>
      <c r="V620" s="140"/>
      <c r="W620" s="140"/>
      <c r="X620" s="140"/>
      <c r="Y620" s="140"/>
      <c r="Z620" s="140"/>
      <c r="AA620" s="140"/>
      <c r="AB620" s="140"/>
    </row>
    <row r="621">
      <c r="A621" s="145"/>
      <c r="B621" s="146"/>
      <c r="C621" s="146"/>
      <c r="D621" s="146"/>
      <c r="E621" s="146"/>
      <c r="F621" s="140"/>
      <c r="G621" s="142"/>
      <c r="H621" s="142"/>
      <c r="I621" s="142"/>
      <c r="J621" s="137" t="s">
        <v>39</v>
      </c>
      <c r="K621" s="137" t="s">
        <v>39</v>
      </c>
      <c r="L621" s="146"/>
      <c r="M621" s="141"/>
      <c r="N621" s="129"/>
      <c r="O621" s="140"/>
      <c r="P621" s="140" t="s">
        <v>39</v>
      </c>
      <c r="Q621" s="140"/>
      <c r="R621" s="140"/>
      <c r="S621" s="140"/>
      <c r="T621" s="140"/>
      <c r="U621" s="140"/>
      <c r="V621" s="140"/>
      <c r="W621" s="140"/>
      <c r="X621" s="140"/>
      <c r="Y621" s="140"/>
      <c r="Z621" s="140"/>
      <c r="AA621" s="140"/>
      <c r="AB621" s="140"/>
    </row>
    <row r="622">
      <c r="A622" s="145"/>
      <c r="B622" s="146"/>
      <c r="C622" s="146"/>
      <c r="D622" s="146"/>
      <c r="E622" s="146"/>
      <c r="F622" s="140"/>
      <c r="G622" s="142"/>
      <c r="H622" s="142"/>
      <c r="I622" s="142"/>
      <c r="J622" s="137" t="s">
        <v>39</v>
      </c>
      <c r="K622" s="137" t="s">
        <v>39</v>
      </c>
      <c r="L622" s="146"/>
      <c r="M622" s="141"/>
      <c r="N622" s="129"/>
      <c r="O622" s="140"/>
      <c r="P622" s="140" t="s">
        <v>39</v>
      </c>
      <c r="Q622" s="140"/>
      <c r="R622" s="140"/>
      <c r="S622" s="140"/>
      <c r="T622" s="140"/>
      <c r="U622" s="140"/>
      <c r="V622" s="140"/>
      <c r="W622" s="140"/>
      <c r="X622" s="140"/>
      <c r="Y622" s="140"/>
      <c r="Z622" s="140"/>
      <c r="AA622" s="140"/>
      <c r="AB622" s="140"/>
    </row>
    <row r="623">
      <c r="A623" s="145"/>
      <c r="B623" s="146"/>
      <c r="C623" s="146"/>
      <c r="D623" s="146"/>
      <c r="E623" s="146"/>
      <c r="F623" s="140"/>
      <c r="G623" s="142"/>
      <c r="H623" s="142"/>
      <c r="I623" s="142"/>
      <c r="J623" s="137" t="s">
        <v>39</v>
      </c>
      <c r="K623" s="137" t="s">
        <v>39</v>
      </c>
      <c r="L623" s="146"/>
      <c r="M623" s="141"/>
      <c r="N623" s="129"/>
      <c r="O623" s="140"/>
      <c r="P623" s="140" t="s">
        <v>39</v>
      </c>
      <c r="Q623" s="140"/>
      <c r="R623" s="140"/>
      <c r="S623" s="140"/>
      <c r="T623" s="140"/>
      <c r="U623" s="140"/>
      <c r="V623" s="140"/>
      <c r="W623" s="140"/>
      <c r="X623" s="140"/>
      <c r="Y623" s="140"/>
      <c r="Z623" s="140"/>
      <c r="AA623" s="140"/>
      <c r="AB623" s="140"/>
    </row>
    <row r="624">
      <c r="A624" s="145"/>
      <c r="B624" s="146"/>
      <c r="C624" s="146"/>
      <c r="D624" s="146"/>
      <c r="E624" s="146"/>
      <c r="F624" s="140"/>
      <c r="G624" s="142"/>
      <c r="H624" s="142"/>
      <c r="I624" s="142"/>
      <c r="J624" s="137" t="s">
        <v>39</v>
      </c>
      <c r="K624" s="137" t="s">
        <v>39</v>
      </c>
      <c r="L624" s="146"/>
      <c r="M624" s="141"/>
      <c r="N624" s="129"/>
      <c r="O624" s="140"/>
      <c r="P624" s="140" t="s">
        <v>39</v>
      </c>
      <c r="Q624" s="140"/>
      <c r="R624" s="140"/>
      <c r="S624" s="140"/>
      <c r="T624" s="140"/>
      <c r="U624" s="140"/>
      <c r="V624" s="140"/>
      <c r="W624" s="140"/>
      <c r="X624" s="140"/>
      <c r="Y624" s="140"/>
      <c r="Z624" s="140"/>
      <c r="AA624" s="140"/>
      <c r="AB624" s="140"/>
    </row>
    <row r="625">
      <c r="A625" s="145"/>
      <c r="B625" s="146"/>
      <c r="C625" s="146"/>
      <c r="D625" s="146"/>
      <c r="E625" s="146"/>
      <c r="F625" s="140"/>
      <c r="G625" s="142"/>
      <c r="H625" s="142"/>
      <c r="I625" s="142"/>
      <c r="J625" s="137" t="s">
        <v>39</v>
      </c>
      <c r="K625" s="137" t="s">
        <v>39</v>
      </c>
      <c r="L625" s="146"/>
      <c r="M625" s="141"/>
      <c r="N625" s="129"/>
      <c r="O625" s="140"/>
      <c r="P625" s="140" t="s">
        <v>39</v>
      </c>
      <c r="Q625" s="140"/>
      <c r="R625" s="140"/>
      <c r="S625" s="140"/>
      <c r="T625" s="140"/>
      <c r="U625" s="140"/>
      <c r="V625" s="140"/>
      <c r="W625" s="140"/>
      <c r="X625" s="140"/>
      <c r="Y625" s="140"/>
      <c r="Z625" s="140"/>
      <c r="AA625" s="140"/>
      <c r="AB625" s="140"/>
    </row>
    <row r="626">
      <c r="A626" s="145"/>
      <c r="B626" s="146"/>
      <c r="C626" s="146"/>
      <c r="D626" s="146"/>
      <c r="E626" s="146"/>
      <c r="F626" s="140"/>
      <c r="G626" s="142"/>
      <c r="H626" s="142"/>
      <c r="I626" s="142"/>
      <c r="J626" s="137" t="s">
        <v>39</v>
      </c>
      <c r="K626" s="137" t="s">
        <v>39</v>
      </c>
      <c r="L626" s="146"/>
      <c r="M626" s="141"/>
      <c r="N626" s="129"/>
      <c r="O626" s="140"/>
      <c r="P626" s="140" t="s">
        <v>39</v>
      </c>
      <c r="Q626" s="140"/>
      <c r="R626" s="140"/>
      <c r="S626" s="140"/>
      <c r="T626" s="140"/>
      <c r="U626" s="140"/>
      <c r="V626" s="140"/>
      <c r="W626" s="140"/>
      <c r="X626" s="140"/>
      <c r="Y626" s="140"/>
      <c r="Z626" s="140"/>
      <c r="AA626" s="140"/>
      <c r="AB626" s="140"/>
    </row>
    <row r="627">
      <c r="A627" s="145"/>
      <c r="B627" s="146"/>
      <c r="C627" s="146"/>
      <c r="D627" s="146"/>
      <c r="E627" s="146"/>
      <c r="F627" s="140"/>
      <c r="G627" s="142"/>
      <c r="H627" s="142"/>
      <c r="I627" s="142"/>
      <c r="J627" s="137" t="s">
        <v>39</v>
      </c>
      <c r="K627" s="137" t="s">
        <v>39</v>
      </c>
      <c r="L627" s="146"/>
      <c r="M627" s="141"/>
      <c r="N627" s="129"/>
      <c r="O627" s="140"/>
      <c r="P627" s="140" t="s">
        <v>39</v>
      </c>
      <c r="Q627" s="140"/>
      <c r="R627" s="140"/>
      <c r="S627" s="140"/>
      <c r="T627" s="140"/>
      <c r="U627" s="140"/>
      <c r="V627" s="140"/>
      <c r="W627" s="140"/>
      <c r="X627" s="140"/>
      <c r="Y627" s="140"/>
      <c r="Z627" s="140"/>
      <c r="AA627" s="140"/>
      <c r="AB627" s="140"/>
    </row>
    <row r="628">
      <c r="A628" s="145"/>
      <c r="B628" s="146"/>
      <c r="C628" s="146"/>
      <c r="D628" s="146"/>
      <c r="E628" s="146"/>
      <c r="F628" s="140"/>
      <c r="G628" s="142"/>
      <c r="H628" s="142"/>
      <c r="I628" s="142"/>
      <c r="J628" s="137" t="s">
        <v>39</v>
      </c>
      <c r="K628" s="137" t="s">
        <v>39</v>
      </c>
      <c r="L628" s="146"/>
      <c r="M628" s="141"/>
      <c r="N628" s="129"/>
      <c r="O628" s="140"/>
      <c r="P628" s="140" t="s">
        <v>39</v>
      </c>
      <c r="Q628" s="140"/>
      <c r="R628" s="140"/>
      <c r="S628" s="140"/>
      <c r="T628" s="140"/>
      <c r="U628" s="140"/>
      <c r="V628" s="140"/>
      <c r="W628" s="140"/>
      <c r="X628" s="140"/>
      <c r="Y628" s="140"/>
      <c r="Z628" s="140"/>
      <c r="AA628" s="140"/>
      <c r="AB628" s="140"/>
    </row>
    <row r="629">
      <c r="A629" s="145"/>
      <c r="B629" s="146"/>
      <c r="C629" s="146"/>
      <c r="D629" s="146"/>
      <c r="E629" s="146"/>
      <c r="F629" s="140"/>
      <c r="G629" s="142"/>
      <c r="H629" s="142"/>
      <c r="I629" s="142"/>
      <c r="J629" s="137" t="s">
        <v>39</v>
      </c>
      <c r="K629" s="137" t="s">
        <v>39</v>
      </c>
      <c r="L629" s="146"/>
      <c r="M629" s="141"/>
      <c r="N629" s="129"/>
      <c r="O629" s="140"/>
      <c r="P629" s="140" t="s">
        <v>39</v>
      </c>
      <c r="Q629" s="140"/>
      <c r="R629" s="140"/>
      <c r="S629" s="140"/>
      <c r="T629" s="140"/>
      <c r="U629" s="140"/>
      <c r="V629" s="140"/>
      <c r="W629" s="140"/>
      <c r="X629" s="140"/>
      <c r="Y629" s="140"/>
      <c r="Z629" s="140"/>
      <c r="AA629" s="140"/>
      <c r="AB629" s="140"/>
    </row>
    <row r="630">
      <c r="A630" s="145"/>
      <c r="B630" s="146"/>
      <c r="C630" s="146"/>
      <c r="D630" s="146"/>
      <c r="E630" s="146"/>
      <c r="F630" s="140"/>
      <c r="G630" s="142"/>
      <c r="H630" s="142"/>
      <c r="I630" s="142"/>
      <c r="J630" s="137" t="s">
        <v>39</v>
      </c>
      <c r="K630" s="137" t="s">
        <v>39</v>
      </c>
      <c r="L630" s="146"/>
      <c r="M630" s="141"/>
      <c r="N630" s="129"/>
      <c r="O630" s="140"/>
      <c r="P630" s="140" t="s">
        <v>39</v>
      </c>
      <c r="Q630" s="140"/>
      <c r="R630" s="140"/>
      <c r="S630" s="140"/>
      <c r="T630" s="140"/>
      <c r="U630" s="140"/>
      <c r="V630" s="140"/>
      <c r="W630" s="140"/>
      <c r="X630" s="140"/>
      <c r="Y630" s="140"/>
      <c r="Z630" s="140"/>
      <c r="AA630" s="140"/>
      <c r="AB630" s="140"/>
    </row>
    <row r="631">
      <c r="A631" s="145"/>
      <c r="B631" s="146"/>
      <c r="C631" s="146"/>
      <c r="D631" s="146"/>
      <c r="E631" s="146"/>
      <c r="F631" s="140"/>
      <c r="G631" s="142"/>
      <c r="H631" s="142"/>
      <c r="I631" s="142"/>
      <c r="J631" s="137" t="s">
        <v>39</v>
      </c>
      <c r="K631" s="137" t="s">
        <v>39</v>
      </c>
      <c r="L631" s="146"/>
      <c r="M631" s="141"/>
      <c r="N631" s="129"/>
      <c r="O631" s="140"/>
      <c r="P631" s="140" t="s">
        <v>39</v>
      </c>
      <c r="Q631" s="140"/>
      <c r="R631" s="140"/>
      <c r="S631" s="140"/>
      <c r="T631" s="140"/>
      <c r="U631" s="140"/>
      <c r="V631" s="140"/>
      <c r="W631" s="140"/>
      <c r="X631" s="140"/>
      <c r="Y631" s="140"/>
      <c r="Z631" s="140"/>
      <c r="AA631" s="140"/>
      <c r="AB631" s="140"/>
    </row>
    <row r="632">
      <c r="A632" s="145"/>
      <c r="B632" s="146"/>
      <c r="C632" s="146"/>
      <c r="D632" s="146"/>
      <c r="E632" s="146"/>
      <c r="F632" s="140"/>
      <c r="G632" s="142"/>
      <c r="H632" s="142"/>
      <c r="I632" s="142"/>
      <c r="J632" s="137" t="s">
        <v>39</v>
      </c>
      <c r="K632" s="137" t="s">
        <v>39</v>
      </c>
      <c r="L632" s="146"/>
      <c r="M632" s="141"/>
      <c r="N632" s="129"/>
      <c r="O632" s="140"/>
      <c r="P632" s="140" t="s">
        <v>39</v>
      </c>
      <c r="Q632" s="140"/>
      <c r="R632" s="140"/>
      <c r="S632" s="140"/>
      <c r="T632" s="140"/>
      <c r="U632" s="140"/>
      <c r="V632" s="140"/>
      <c r="W632" s="140"/>
      <c r="X632" s="140"/>
      <c r="Y632" s="140"/>
      <c r="Z632" s="140"/>
      <c r="AA632" s="140"/>
      <c r="AB632" s="140"/>
    </row>
    <row r="633">
      <c r="A633" s="145"/>
      <c r="B633" s="146"/>
      <c r="C633" s="146"/>
      <c r="D633" s="146"/>
      <c r="E633" s="146"/>
      <c r="F633" s="140"/>
      <c r="G633" s="142"/>
      <c r="H633" s="142"/>
      <c r="I633" s="142"/>
      <c r="J633" s="137" t="s">
        <v>39</v>
      </c>
      <c r="K633" s="137" t="s">
        <v>39</v>
      </c>
      <c r="L633" s="146"/>
      <c r="M633" s="141"/>
      <c r="N633" s="129"/>
      <c r="O633" s="140"/>
      <c r="P633" s="140" t="s">
        <v>39</v>
      </c>
      <c r="Q633" s="140"/>
      <c r="R633" s="140"/>
      <c r="S633" s="140"/>
      <c r="T633" s="140"/>
      <c r="U633" s="140"/>
      <c r="V633" s="140"/>
      <c r="W633" s="140"/>
      <c r="X633" s="140"/>
      <c r="Y633" s="140"/>
      <c r="Z633" s="140"/>
      <c r="AA633" s="140"/>
      <c r="AB633" s="140"/>
    </row>
    <row r="634">
      <c r="A634" s="145"/>
      <c r="B634" s="146"/>
      <c r="C634" s="146"/>
      <c r="D634" s="146"/>
      <c r="E634" s="146"/>
      <c r="F634" s="140"/>
      <c r="G634" s="142"/>
      <c r="H634" s="142"/>
      <c r="I634" s="142"/>
      <c r="J634" s="137" t="s">
        <v>39</v>
      </c>
      <c r="K634" s="137" t="s">
        <v>39</v>
      </c>
      <c r="L634" s="146"/>
      <c r="M634" s="141"/>
      <c r="N634" s="129"/>
      <c r="O634" s="140"/>
      <c r="P634" s="140" t="s">
        <v>39</v>
      </c>
      <c r="Q634" s="140"/>
      <c r="R634" s="140"/>
      <c r="S634" s="140"/>
      <c r="T634" s="140"/>
      <c r="U634" s="140"/>
      <c r="V634" s="140"/>
      <c r="W634" s="140"/>
      <c r="X634" s="140"/>
      <c r="Y634" s="140"/>
      <c r="Z634" s="140"/>
      <c r="AA634" s="140"/>
      <c r="AB634" s="140"/>
    </row>
    <row r="635">
      <c r="A635" s="145"/>
      <c r="B635" s="146"/>
      <c r="C635" s="146"/>
      <c r="D635" s="146"/>
      <c r="E635" s="146"/>
      <c r="F635" s="140"/>
      <c r="G635" s="142"/>
      <c r="H635" s="142"/>
      <c r="I635" s="142"/>
      <c r="J635" s="137" t="s">
        <v>39</v>
      </c>
      <c r="K635" s="137" t="s">
        <v>39</v>
      </c>
      <c r="L635" s="146"/>
      <c r="M635" s="141"/>
      <c r="N635" s="129"/>
      <c r="O635" s="140"/>
      <c r="P635" s="140" t="s">
        <v>39</v>
      </c>
      <c r="Q635" s="140"/>
      <c r="R635" s="140"/>
      <c r="S635" s="140"/>
      <c r="T635" s="140"/>
      <c r="U635" s="140"/>
      <c r="V635" s="140"/>
      <c r="W635" s="140"/>
      <c r="X635" s="140"/>
      <c r="Y635" s="140"/>
      <c r="Z635" s="140"/>
      <c r="AA635" s="140"/>
      <c r="AB635" s="140"/>
    </row>
    <row r="636">
      <c r="A636" s="145"/>
      <c r="B636" s="146"/>
      <c r="C636" s="146"/>
      <c r="D636" s="146"/>
      <c r="E636" s="146"/>
      <c r="F636" s="140"/>
      <c r="G636" s="142"/>
      <c r="H636" s="142"/>
      <c r="I636" s="142"/>
      <c r="J636" s="137" t="s">
        <v>39</v>
      </c>
      <c r="K636" s="137" t="s">
        <v>39</v>
      </c>
      <c r="L636" s="146"/>
      <c r="M636" s="141"/>
      <c r="N636" s="129"/>
      <c r="O636" s="140"/>
      <c r="P636" s="140" t="s">
        <v>39</v>
      </c>
      <c r="Q636" s="140"/>
      <c r="R636" s="140"/>
      <c r="S636" s="140"/>
      <c r="T636" s="140"/>
      <c r="U636" s="140"/>
      <c r="V636" s="140"/>
      <c r="W636" s="140"/>
      <c r="X636" s="140"/>
      <c r="Y636" s="140"/>
      <c r="Z636" s="140"/>
      <c r="AA636" s="140"/>
      <c r="AB636" s="140"/>
    </row>
    <row r="637">
      <c r="A637" s="145"/>
      <c r="B637" s="146"/>
      <c r="C637" s="146"/>
      <c r="D637" s="146"/>
      <c r="E637" s="146"/>
      <c r="F637" s="140"/>
      <c r="G637" s="142"/>
      <c r="H637" s="142"/>
      <c r="I637" s="142"/>
      <c r="J637" s="137" t="s">
        <v>39</v>
      </c>
      <c r="K637" s="137" t="s">
        <v>39</v>
      </c>
      <c r="L637" s="146"/>
      <c r="M637" s="141"/>
      <c r="N637" s="129"/>
      <c r="O637" s="140"/>
      <c r="P637" s="140" t="s">
        <v>39</v>
      </c>
      <c r="Q637" s="140"/>
      <c r="R637" s="140"/>
      <c r="S637" s="140"/>
      <c r="T637" s="140"/>
      <c r="U637" s="140"/>
      <c r="V637" s="140"/>
      <c r="W637" s="140"/>
      <c r="X637" s="140"/>
      <c r="Y637" s="140"/>
      <c r="Z637" s="140"/>
      <c r="AA637" s="140"/>
      <c r="AB637" s="140"/>
    </row>
    <row r="638">
      <c r="A638" s="145"/>
      <c r="B638" s="146"/>
      <c r="C638" s="146"/>
      <c r="D638" s="146"/>
      <c r="E638" s="146"/>
      <c r="F638" s="140"/>
      <c r="G638" s="142"/>
      <c r="H638" s="142"/>
      <c r="I638" s="142"/>
      <c r="J638" s="137" t="s">
        <v>39</v>
      </c>
      <c r="K638" s="137" t="s">
        <v>39</v>
      </c>
      <c r="L638" s="146"/>
      <c r="M638" s="141"/>
      <c r="N638" s="129"/>
      <c r="O638" s="140"/>
      <c r="P638" s="140" t="s">
        <v>39</v>
      </c>
      <c r="Q638" s="140"/>
      <c r="R638" s="140"/>
      <c r="S638" s="140"/>
      <c r="T638" s="140"/>
      <c r="U638" s="140"/>
      <c r="V638" s="140"/>
      <c r="W638" s="140"/>
      <c r="X638" s="140"/>
      <c r="Y638" s="140"/>
      <c r="Z638" s="140"/>
      <c r="AA638" s="140"/>
      <c r="AB638" s="140"/>
    </row>
    <row r="639">
      <c r="A639" s="145"/>
      <c r="B639" s="146"/>
      <c r="C639" s="146"/>
      <c r="D639" s="146"/>
      <c r="E639" s="146"/>
      <c r="F639" s="140"/>
      <c r="G639" s="142"/>
      <c r="H639" s="142"/>
      <c r="I639" s="142"/>
      <c r="J639" s="137" t="s">
        <v>39</v>
      </c>
      <c r="K639" s="137" t="s">
        <v>39</v>
      </c>
      <c r="L639" s="146"/>
      <c r="M639" s="141"/>
      <c r="N639" s="129"/>
      <c r="O639" s="140"/>
      <c r="P639" s="140" t="s">
        <v>39</v>
      </c>
      <c r="Q639" s="140"/>
      <c r="R639" s="140"/>
      <c r="S639" s="140"/>
      <c r="T639" s="140"/>
      <c r="U639" s="140"/>
      <c r="V639" s="140"/>
      <c r="W639" s="140"/>
      <c r="X639" s="140"/>
      <c r="Y639" s="140"/>
      <c r="Z639" s="140"/>
      <c r="AA639" s="140"/>
      <c r="AB639" s="140"/>
    </row>
    <row r="640">
      <c r="A640" s="145"/>
      <c r="B640" s="146"/>
      <c r="C640" s="146"/>
      <c r="D640" s="146"/>
      <c r="E640" s="146"/>
      <c r="F640" s="140"/>
      <c r="G640" s="142"/>
      <c r="H640" s="142"/>
      <c r="I640" s="142"/>
      <c r="J640" s="137" t="s">
        <v>39</v>
      </c>
      <c r="K640" s="137" t="s">
        <v>39</v>
      </c>
      <c r="L640" s="146"/>
      <c r="M640" s="141"/>
      <c r="N640" s="129"/>
      <c r="O640" s="140"/>
      <c r="P640" s="140" t="s">
        <v>39</v>
      </c>
      <c r="Q640" s="140"/>
      <c r="R640" s="140"/>
      <c r="S640" s="140"/>
      <c r="T640" s="140"/>
      <c r="U640" s="140"/>
      <c r="V640" s="140"/>
      <c r="W640" s="140"/>
      <c r="X640" s="140"/>
      <c r="Y640" s="140"/>
      <c r="Z640" s="140"/>
      <c r="AA640" s="140"/>
      <c r="AB640" s="140"/>
    </row>
    <row r="641">
      <c r="A641" s="145"/>
      <c r="B641" s="146"/>
      <c r="C641" s="146"/>
      <c r="D641" s="146"/>
      <c r="E641" s="146"/>
      <c r="F641" s="140"/>
      <c r="G641" s="142"/>
      <c r="H641" s="142"/>
      <c r="I641" s="142"/>
      <c r="J641" s="137" t="s">
        <v>39</v>
      </c>
      <c r="K641" s="137" t="s">
        <v>39</v>
      </c>
      <c r="L641" s="146"/>
      <c r="M641" s="141"/>
      <c r="N641" s="129"/>
      <c r="O641" s="140"/>
      <c r="P641" s="140" t="s">
        <v>39</v>
      </c>
      <c r="Q641" s="140"/>
      <c r="R641" s="140"/>
      <c r="S641" s="140"/>
      <c r="T641" s="140"/>
      <c r="U641" s="140"/>
      <c r="V641" s="140"/>
      <c r="W641" s="140"/>
      <c r="X641" s="140"/>
      <c r="Y641" s="140"/>
      <c r="Z641" s="140"/>
      <c r="AA641" s="140"/>
      <c r="AB641" s="140"/>
    </row>
    <row r="642">
      <c r="A642" s="145"/>
      <c r="B642" s="146"/>
      <c r="C642" s="146"/>
      <c r="D642" s="146"/>
      <c r="E642" s="146"/>
      <c r="F642" s="140"/>
      <c r="G642" s="142"/>
      <c r="H642" s="142"/>
      <c r="I642" s="142"/>
      <c r="J642" s="137" t="s">
        <v>39</v>
      </c>
      <c r="K642" s="137" t="s">
        <v>39</v>
      </c>
      <c r="L642" s="146"/>
      <c r="M642" s="141"/>
      <c r="N642" s="129"/>
      <c r="O642" s="140"/>
      <c r="P642" s="140" t="s">
        <v>39</v>
      </c>
      <c r="Q642" s="140"/>
      <c r="R642" s="140"/>
      <c r="S642" s="140"/>
      <c r="T642" s="140"/>
      <c r="U642" s="140"/>
      <c r="V642" s="140"/>
      <c r="W642" s="140"/>
      <c r="X642" s="140"/>
      <c r="Y642" s="140"/>
      <c r="Z642" s="140"/>
      <c r="AA642" s="140"/>
      <c r="AB642" s="140"/>
    </row>
    <row r="643">
      <c r="A643" s="145"/>
      <c r="B643" s="146"/>
      <c r="C643" s="146"/>
      <c r="D643" s="146"/>
      <c r="E643" s="146"/>
      <c r="F643" s="140"/>
      <c r="G643" s="142"/>
      <c r="H643" s="142"/>
      <c r="I643" s="142"/>
      <c r="J643" s="137" t="s">
        <v>39</v>
      </c>
      <c r="K643" s="137" t="s">
        <v>39</v>
      </c>
      <c r="L643" s="146"/>
      <c r="M643" s="141"/>
      <c r="N643" s="129"/>
      <c r="O643" s="140"/>
      <c r="P643" s="140" t="s">
        <v>39</v>
      </c>
      <c r="Q643" s="140"/>
      <c r="R643" s="140"/>
      <c r="S643" s="140"/>
      <c r="T643" s="140"/>
      <c r="U643" s="140"/>
      <c r="V643" s="140"/>
      <c r="W643" s="140"/>
      <c r="X643" s="140"/>
      <c r="Y643" s="140"/>
      <c r="Z643" s="140"/>
      <c r="AA643" s="140"/>
      <c r="AB643" s="140"/>
    </row>
    <row r="644">
      <c r="A644" s="145"/>
      <c r="B644" s="146"/>
      <c r="C644" s="146"/>
      <c r="D644" s="146"/>
      <c r="E644" s="146"/>
      <c r="F644" s="140"/>
      <c r="G644" s="142"/>
      <c r="H644" s="142"/>
      <c r="I644" s="142"/>
      <c r="J644" s="137" t="s">
        <v>39</v>
      </c>
      <c r="K644" s="137" t="s">
        <v>39</v>
      </c>
      <c r="L644" s="146"/>
      <c r="M644" s="141"/>
      <c r="N644" s="129"/>
      <c r="O644" s="140"/>
      <c r="P644" s="140" t="s">
        <v>39</v>
      </c>
      <c r="Q644" s="140"/>
      <c r="R644" s="140"/>
      <c r="S644" s="140"/>
      <c r="T644" s="140"/>
      <c r="U644" s="140"/>
      <c r="V644" s="140"/>
      <c r="W644" s="140"/>
      <c r="X644" s="140"/>
      <c r="Y644" s="140"/>
      <c r="Z644" s="140"/>
      <c r="AA644" s="140"/>
      <c r="AB644" s="140"/>
    </row>
    <row r="645">
      <c r="A645" s="145"/>
      <c r="B645" s="146"/>
      <c r="C645" s="146"/>
      <c r="D645" s="146"/>
      <c r="E645" s="146"/>
      <c r="F645" s="140"/>
      <c r="G645" s="142"/>
      <c r="H645" s="142"/>
      <c r="I645" s="142"/>
      <c r="J645" s="137" t="s">
        <v>39</v>
      </c>
      <c r="K645" s="137" t="s">
        <v>39</v>
      </c>
      <c r="L645" s="146"/>
      <c r="M645" s="141"/>
      <c r="N645" s="129"/>
      <c r="O645" s="140"/>
      <c r="P645" s="140" t="s">
        <v>39</v>
      </c>
      <c r="Q645" s="140"/>
      <c r="R645" s="140"/>
      <c r="S645" s="140"/>
      <c r="T645" s="140"/>
      <c r="U645" s="140"/>
      <c r="V645" s="140"/>
      <c r="W645" s="140"/>
      <c r="X645" s="140"/>
      <c r="Y645" s="140"/>
      <c r="Z645" s="140"/>
      <c r="AA645" s="140"/>
      <c r="AB645" s="140"/>
    </row>
    <row r="646">
      <c r="A646" s="145"/>
      <c r="B646" s="146"/>
      <c r="C646" s="146"/>
      <c r="D646" s="146"/>
      <c r="E646" s="146"/>
      <c r="F646" s="140"/>
      <c r="G646" s="142"/>
      <c r="H646" s="142"/>
      <c r="I646" s="142"/>
      <c r="J646" s="137" t="s">
        <v>39</v>
      </c>
      <c r="K646" s="137" t="s">
        <v>39</v>
      </c>
      <c r="L646" s="146"/>
      <c r="M646" s="141"/>
      <c r="N646" s="129"/>
      <c r="O646" s="140"/>
      <c r="P646" s="140" t="s">
        <v>39</v>
      </c>
      <c r="Q646" s="140"/>
      <c r="R646" s="140"/>
      <c r="S646" s="140"/>
      <c r="T646" s="140"/>
      <c r="U646" s="140"/>
      <c r="V646" s="140"/>
      <c r="W646" s="140"/>
      <c r="X646" s="140"/>
      <c r="Y646" s="140"/>
      <c r="Z646" s="140"/>
      <c r="AA646" s="140"/>
      <c r="AB646" s="140"/>
    </row>
    <row r="647">
      <c r="A647" s="145"/>
      <c r="B647" s="146"/>
      <c r="C647" s="146"/>
      <c r="D647" s="146"/>
      <c r="E647" s="146"/>
      <c r="F647" s="140"/>
      <c r="G647" s="142"/>
      <c r="H647" s="142"/>
      <c r="I647" s="142"/>
      <c r="J647" s="137" t="s">
        <v>39</v>
      </c>
      <c r="K647" s="137" t="s">
        <v>39</v>
      </c>
      <c r="L647" s="146"/>
      <c r="M647" s="141"/>
      <c r="N647" s="129"/>
      <c r="O647" s="140"/>
      <c r="P647" s="140" t="s">
        <v>39</v>
      </c>
      <c r="Q647" s="140"/>
      <c r="R647" s="140"/>
      <c r="S647" s="140"/>
      <c r="T647" s="140"/>
      <c r="U647" s="140"/>
      <c r="V647" s="140"/>
      <c r="W647" s="140"/>
      <c r="X647" s="140"/>
      <c r="Y647" s="140"/>
      <c r="Z647" s="140"/>
      <c r="AA647" s="140"/>
      <c r="AB647" s="140"/>
    </row>
    <row r="648">
      <c r="A648" s="145"/>
      <c r="B648" s="146"/>
      <c r="C648" s="146"/>
      <c r="D648" s="146"/>
      <c r="E648" s="146"/>
      <c r="F648" s="140"/>
      <c r="G648" s="142"/>
      <c r="H648" s="142"/>
      <c r="I648" s="142"/>
      <c r="J648" s="137" t="s">
        <v>39</v>
      </c>
      <c r="K648" s="137" t="s">
        <v>39</v>
      </c>
      <c r="L648" s="146"/>
      <c r="M648" s="141"/>
      <c r="N648" s="129"/>
      <c r="O648" s="140"/>
      <c r="P648" s="140" t="s">
        <v>39</v>
      </c>
      <c r="Q648" s="140"/>
      <c r="R648" s="140"/>
      <c r="S648" s="140"/>
      <c r="T648" s="140"/>
      <c r="U648" s="140"/>
      <c r="V648" s="140"/>
      <c r="W648" s="140"/>
      <c r="X648" s="140"/>
      <c r="Y648" s="140"/>
      <c r="Z648" s="140"/>
      <c r="AA648" s="140"/>
      <c r="AB648" s="140"/>
    </row>
    <row r="649">
      <c r="A649" s="145"/>
      <c r="B649" s="146"/>
      <c r="C649" s="146"/>
      <c r="D649" s="146"/>
      <c r="E649" s="146"/>
      <c r="F649" s="140"/>
      <c r="G649" s="142"/>
      <c r="H649" s="142"/>
      <c r="I649" s="142"/>
      <c r="J649" s="137" t="s">
        <v>39</v>
      </c>
      <c r="K649" s="137" t="s">
        <v>39</v>
      </c>
      <c r="L649" s="146"/>
      <c r="M649" s="141"/>
      <c r="N649" s="129"/>
      <c r="O649" s="140"/>
      <c r="P649" s="140" t="s">
        <v>39</v>
      </c>
      <c r="Q649" s="140"/>
      <c r="R649" s="140"/>
      <c r="S649" s="140"/>
      <c r="T649" s="140"/>
      <c r="U649" s="140"/>
      <c r="V649" s="140"/>
      <c r="W649" s="140"/>
      <c r="X649" s="140"/>
      <c r="Y649" s="140"/>
      <c r="Z649" s="140"/>
      <c r="AA649" s="140"/>
      <c r="AB649" s="140"/>
    </row>
    <row r="650">
      <c r="A650" s="145"/>
      <c r="B650" s="146"/>
      <c r="C650" s="146"/>
      <c r="D650" s="146"/>
      <c r="E650" s="146"/>
      <c r="F650" s="140"/>
      <c r="G650" s="142"/>
      <c r="H650" s="142"/>
      <c r="I650" s="142"/>
      <c r="J650" s="137" t="s">
        <v>39</v>
      </c>
      <c r="K650" s="137" t="s">
        <v>39</v>
      </c>
      <c r="L650" s="146"/>
      <c r="M650" s="141"/>
      <c r="N650" s="129"/>
      <c r="O650" s="140"/>
      <c r="P650" s="140" t="s">
        <v>39</v>
      </c>
      <c r="Q650" s="140"/>
      <c r="R650" s="140"/>
      <c r="S650" s="140"/>
      <c r="T650" s="140"/>
      <c r="U650" s="140"/>
      <c r="V650" s="140"/>
      <c r="W650" s="140"/>
      <c r="X650" s="140"/>
      <c r="Y650" s="140"/>
      <c r="Z650" s="140"/>
      <c r="AA650" s="140"/>
      <c r="AB650" s="140"/>
    </row>
    <row r="651">
      <c r="A651" s="145"/>
      <c r="B651" s="146"/>
      <c r="C651" s="146"/>
      <c r="D651" s="146"/>
      <c r="E651" s="146"/>
      <c r="F651" s="140"/>
      <c r="G651" s="142"/>
      <c r="H651" s="142"/>
      <c r="I651" s="142"/>
      <c r="J651" s="137" t="s">
        <v>39</v>
      </c>
      <c r="K651" s="137" t="s">
        <v>39</v>
      </c>
      <c r="L651" s="146"/>
      <c r="M651" s="141"/>
      <c r="N651" s="129"/>
      <c r="O651" s="140"/>
      <c r="P651" s="140" t="s">
        <v>39</v>
      </c>
      <c r="Q651" s="140"/>
      <c r="R651" s="140"/>
      <c r="S651" s="140"/>
      <c r="T651" s="140"/>
      <c r="U651" s="140"/>
      <c r="V651" s="140"/>
      <c r="W651" s="140"/>
      <c r="X651" s="140"/>
      <c r="Y651" s="140"/>
      <c r="Z651" s="140"/>
      <c r="AA651" s="140"/>
      <c r="AB651" s="140"/>
    </row>
    <row r="652">
      <c r="A652" s="145"/>
      <c r="B652" s="146"/>
      <c r="C652" s="146"/>
      <c r="D652" s="146"/>
      <c r="E652" s="146"/>
      <c r="F652" s="140"/>
      <c r="G652" s="142"/>
      <c r="H652" s="142"/>
      <c r="I652" s="142"/>
      <c r="J652" s="137" t="s">
        <v>39</v>
      </c>
      <c r="K652" s="137" t="s">
        <v>39</v>
      </c>
      <c r="L652" s="146"/>
      <c r="M652" s="141"/>
      <c r="N652" s="129"/>
      <c r="O652" s="140"/>
      <c r="P652" s="140" t="s">
        <v>39</v>
      </c>
      <c r="Q652" s="140"/>
      <c r="R652" s="140"/>
      <c r="S652" s="140"/>
      <c r="T652" s="140"/>
      <c r="U652" s="140"/>
      <c r="V652" s="140"/>
      <c r="W652" s="140"/>
      <c r="X652" s="140"/>
      <c r="Y652" s="140"/>
      <c r="Z652" s="140"/>
      <c r="AA652" s="140"/>
      <c r="AB652" s="140"/>
    </row>
    <row r="653">
      <c r="A653" s="145"/>
      <c r="B653" s="146"/>
      <c r="C653" s="146"/>
      <c r="D653" s="146"/>
      <c r="E653" s="146"/>
      <c r="F653" s="140"/>
      <c r="G653" s="142"/>
      <c r="H653" s="142"/>
      <c r="I653" s="142"/>
      <c r="J653" s="137" t="s">
        <v>39</v>
      </c>
      <c r="K653" s="137" t="s">
        <v>39</v>
      </c>
      <c r="L653" s="146"/>
      <c r="M653" s="141"/>
      <c r="N653" s="129"/>
      <c r="O653" s="140"/>
      <c r="P653" s="140" t="s">
        <v>39</v>
      </c>
      <c r="Q653" s="140"/>
      <c r="R653" s="140"/>
      <c r="S653" s="140"/>
      <c r="T653" s="140"/>
      <c r="U653" s="140"/>
      <c r="V653" s="140"/>
      <c r="W653" s="140"/>
      <c r="X653" s="140"/>
      <c r="Y653" s="140"/>
      <c r="Z653" s="140"/>
      <c r="AA653" s="140"/>
      <c r="AB653" s="140"/>
    </row>
    <row r="654">
      <c r="A654" s="145"/>
      <c r="B654" s="146"/>
      <c r="C654" s="146"/>
      <c r="D654" s="146"/>
      <c r="E654" s="146"/>
      <c r="F654" s="140"/>
      <c r="G654" s="142"/>
      <c r="H654" s="142"/>
      <c r="I654" s="142"/>
      <c r="J654" s="137" t="s">
        <v>39</v>
      </c>
      <c r="K654" s="137" t="s">
        <v>39</v>
      </c>
      <c r="L654" s="146"/>
      <c r="M654" s="141"/>
      <c r="N654" s="129"/>
      <c r="O654" s="140"/>
      <c r="P654" s="140" t="s">
        <v>39</v>
      </c>
      <c r="Q654" s="140"/>
      <c r="R654" s="140"/>
      <c r="S654" s="140"/>
      <c r="T654" s="140"/>
      <c r="U654" s="140"/>
      <c r="V654" s="140"/>
      <c r="W654" s="140"/>
      <c r="X654" s="140"/>
      <c r="Y654" s="140"/>
      <c r="Z654" s="140"/>
      <c r="AA654" s="140"/>
      <c r="AB654" s="140"/>
    </row>
    <row r="655">
      <c r="A655" s="145"/>
      <c r="B655" s="146"/>
      <c r="C655" s="146"/>
      <c r="D655" s="146"/>
      <c r="E655" s="146"/>
      <c r="F655" s="140"/>
      <c r="G655" s="142"/>
      <c r="H655" s="142"/>
      <c r="I655" s="142"/>
      <c r="J655" s="137" t="s">
        <v>39</v>
      </c>
      <c r="K655" s="137" t="s">
        <v>39</v>
      </c>
      <c r="L655" s="146"/>
      <c r="M655" s="141"/>
      <c r="N655" s="129"/>
      <c r="O655" s="140"/>
      <c r="P655" s="140" t="s">
        <v>39</v>
      </c>
      <c r="Q655" s="140"/>
      <c r="R655" s="140"/>
      <c r="S655" s="140"/>
      <c r="T655" s="140"/>
      <c r="U655" s="140"/>
      <c r="V655" s="140"/>
      <c r="W655" s="140"/>
      <c r="X655" s="140"/>
      <c r="Y655" s="140"/>
      <c r="Z655" s="140"/>
      <c r="AA655" s="140"/>
      <c r="AB655" s="140"/>
    </row>
    <row r="656">
      <c r="A656" s="145"/>
      <c r="B656" s="146"/>
      <c r="C656" s="146"/>
      <c r="D656" s="146"/>
      <c r="E656" s="146"/>
      <c r="F656" s="140"/>
      <c r="G656" s="142"/>
      <c r="H656" s="142"/>
      <c r="I656" s="142"/>
      <c r="J656" s="137" t="s">
        <v>39</v>
      </c>
      <c r="K656" s="137" t="s">
        <v>39</v>
      </c>
      <c r="L656" s="146"/>
      <c r="M656" s="141"/>
      <c r="N656" s="129"/>
      <c r="O656" s="140"/>
      <c r="P656" s="140" t="s">
        <v>39</v>
      </c>
      <c r="Q656" s="140"/>
      <c r="R656" s="140"/>
      <c r="S656" s="140"/>
      <c r="T656" s="140"/>
      <c r="U656" s="140"/>
      <c r="V656" s="140"/>
      <c r="W656" s="140"/>
      <c r="X656" s="140"/>
      <c r="Y656" s="140"/>
      <c r="Z656" s="140"/>
      <c r="AA656" s="140"/>
      <c r="AB656" s="140"/>
    </row>
    <row r="657">
      <c r="A657" s="145"/>
      <c r="B657" s="146"/>
      <c r="C657" s="146"/>
      <c r="D657" s="146"/>
      <c r="E657" s="146"/>
      <c r="F657" s="140"/>
      <c r="G657" s="142"/>
      <c r="H657" s="142"/>
      <c r="I657" s="142"/>
      <c r="J657" s="137" t="s">
        <v>39</v>
      </c>
      <c r="K657" s="137" t="s">
        <v>39</v>
      </c>
      <c r="L657" s="146"/>
      <c r="M657" s="141"/>
      <c r="N657" s="129"/>
      <c r="O657" s="140"/>
      <c r="P657" s="140" t="s">
        <v>39</v>
      </c>
      <c r="Q657" s="140"/>
      <c r="R657" s="140"/>
      <c r="S657" s="140"/>
      <c r="T657" s="140"/>
      <c r="U657" s="140"/>
      <c r="V657" s="140"/>
      <c r="W657" s="140"/>
      <c r="X657" s="140"/>
      <c r="Y657" s="140"/>
      <c r="Z657" s="140"/>
      <c r="AA657" s="140"/>
      <c r="AB657" s="140"/>
    </row>
    <row r="658">
      <c r="A658" s="145"/>
      <c r="B658" s="146"/>
      <c r="C658" s="146"/>
      <c r="D658" s="146"/>
      <c r="E658" s="146"/>
      <c r="F658" s="140"/>
      <c r="G658" s="142"/>
      <c r="H658" s="142"/>
      <c r="I658" s="142"/>
      <c r="J658" s="137" t="s">
        <v>39</v>
      </c>
      <c r="K658" s="137" t="s">
        <v>39</v>
      </c>
      <c r="L658" s="146"/>
      <c r="M658" s="141"/>
      <c r="N658" s="129"/>
      <c r="O658" s="140"/>
      <c r="P658" s="140" t="s">
        <v>39</v>
      </c>
      <c r="Q658" s="140"/>
      <c r="R658" s="140"/>
      <c r="S658" s="140"/>
      <c r="T658" s="140"/>
      <c r="U658" s="140"/>
      <c r="V658" s="140"/>
      <c r="W658" s="140"/>
      <c r="X658" s="140"/>
      <c r="Y658" s="140"/>
      <c r="Z658" s="140"/>
      <c r="AA658" s="140"/>
      <c r="AB658" s="140"/>
    </row>
    <row r="659">
      <c r="A659" s="145"/>
      <c r="B659" s="146"/>
      <c r="C659" s="146"/>
      <c r="D659" s="146"/>
      <c r="E659" s="146"/>
      <c r="F659" s="140"/>
      <c r="G659" s="142"/>
      <c r="H659" s="142"/>
      <c r="I659" s="142"/>
      <c r="J659" s="137" t="s">
        <v>39</v>
      </c>
      <c r="K659" s="137" t="s">
        <v>39</v>
      </c>
      <c r="L659" s="146"/>
      <c r="M659" s="141"/>
      <c r="N659" s="129"/>
      <c r="O659" s="140"/>
      <c r="P659" s="140" t="s">
        <v>39</v>
      </c>
      <c r="Q659" s="140"/>
      <c r="R659" s="140"/>
      <c r="S659" s="140"/>
      <c r="T659" s="140"/>
      <c r="U659" s="140"/>
      <c r="V659" s="140"/>
      <c r="W659" s="140"/>
      <c r="X659" s="140"/>
      <c r="Y659" s="140"/>
      <c r="Z659" s="140"/>
      <c r="AA659" s="140"/>
      <c r="AB659" s="140"/>
    </row>
    <row r="660">
      <c r="A660" s="145"/>
      <c r="B660" s="146"/>
      <c r="C660" s="146"/>
      <c r="D660" s="146"/>
      <c r="E660" s="146"/>
      <c r="F660" s="140"/>
      <c r="G660" s="142"/>
      <c r="H660" s="142"/>
      <c r="I660" s="142"/>
      <c r="J660" s="137" t="s">
        <v>39</v>
      </c>
      <c r="K660" s="137" t="s">
        <v>39</v>
      </c>
      <c r="L660" s="146"/>
      <c r="M660" s="141"/>
      <c r="N660" s="129"/>
      <c r="O660" s="140"/>
      <c r="P660" s="140" t="s">
        <v>39</v>
      </c>
      <c r="Q660" s="140"/>
      <c r="R660" s="140"/>
      <c r="S660" s="140"/>
      <c r="T660" s="140"/>
      <c r="U660" s="140"/>
      <c r="V660" s="140"/>
      <c r="W660" s="140"/>
      <c r="X660" s="140"/>
      <c r="Y660" s="140"/>
      <c r="Z660" s="140"/>
      <c r="AA660" s="140"/>
      <c r="AB660" s="140"/>
    </row>
    <row r="661">
      <c r="A661" s="145"/>
      <c r="B661" s="146"/>
      <c r="C661" s="146"/>
      <c r="D661" s="146"/>
      <c r="E661" s="146"/>
      <c r="F661" s="140"/>
      <c r="G661" s="142"/>
      <c r="H661" s="142"/>
      <c r="I661" s="142"/>
      <c r="J661" s="137" t="s">
        <v>39</v>
      </c>
      <c r="K661" s="137" t="s">
        <v>39</v>
      </c>
      <c r="L661" s="146"/>
      <c r="M661" s="141"/>
      <c r="N661" s="129"/>
      <c r="O661" s="140"/>
      <c r="P661" s="140" t="s">
        <v>39</v>
      </c>
      <c r="Q661" s="140"/>
      <c r="R661" s="140"/>
      <c r="S661" s="140"/>
      <c r="T661" s="140"/>
      <c r="U661" s="140"/>
      <c r="V661" s="140"/>
      <c r="W661" s="140"/>
      <c r="X661" s="140"/>
      <c r="Y661" s="140"/>
      <c r="Z661" s="140"/>
      <c r="AA661" s="140"/>
      <c r="AB661" s="140"/>
    </row>
    <row r="662">
      <c r="A662" s="145"/>
      <c r="B662" s="146"/>
      <c r="C662" s="146"/>
      <c r="D662" s="146"/>
      <c r="E662" s="146"/>
      <c r="F662" s="140"/>
      <c r="G662" s="142"/>
      <c r="H662" s="142"/>
      <c r="I662" s="142"/>
      <c r="J662" s="137" t="s">
        <v>39</v>
      </c>
      <c r="K662" s="137" t="s">
        <v>39</v>
      </c>
      <c r="L662" s="146"/>
      <c r="M662" s="141"/>
      <c r="N662" s="129"/>
      <c r="O662" s="140"/>
      <c r="P662" s="140" t="s">
        <v>39</v>
      </c>
      <c r="Q662" s="140"/>
      <c r="R662" s="140"/>
      <c r="S662" s="140"/>
      <c r="T662" s="140"/>
      <c r="U662" s="140"/>
      <c r="V662" s="140"/>
      <c r="W662" s="140"/>
      <c r="X662" s="140"/>
      <c r="Y662" s="140"/>
      <c r="Z662" s="140"/>
      <c r="AA662" s="140"/>
      <c r="AB662" s="140"/>
    </row>
    <row r="663">
      <c r="A663" s="145"/>
      <c r="B663" s="146"/>
      <c r="C663" s="146"/>
      <c r="D663" s="146"/>
      <c r="E663" s="146"/>
      <c r="F663" s="140"/>
      <c r="G663" s="142"/>
      <c r="H663" s="142"/>
      <c r="I663" s="142"/>
      <c r="J663" s="137" t="s">
        <v>39</v>
      </c>
      <c r="K663" s="137" t="s">
        <v>39</v>
      </c>
      <c r="L663" s="146"/>
      <c r="M663" s="141"/>
      <c r="N663" s="129"/>
      <c r="O663" s="140"/>
      <c r="P663" s="140" t="s">
        <v>39</v>
      </c>
      <c r="Q663" s="140"/>
      <c r="R663" s="140"/>
      <c r="S663" s="140"/>
      <c r="T663" s="140"/>
      <c r="U663" s="140"/>
      <c r="V663" s="140"/>
      <c r="W663" s="140"/>
      <c r="X663" s="140"/>
      <c r="Y663" s="140"/>
      <c r="Z663" s="140"/>
      <c r="AA663" s="140"/>
      <c r="AB663" s="140"/>
    </row>
    <row r="664">
      <c r="A664" s="145"/>
      <c r="B664" s="146"/>
      <c r="C664" s="146"/>
      <c r="D664" s="146"/>
      <c r="E664" s="146"/>
      <c r="F664" s="140"/>
      <c r="G664" s="142"/>
      <c r="H664" s="142"/>
      <c r="I664" s="142"/>
      <c r="J664" s="137" t="s">
        <v>39</v>
      </c>
      <c r="K664" s="137" t="s">
        <v>39</v>
      </c>
      <c r="L664" s="146"/>
      <c r="M664" s="141"/>
      <c r="N664" s="129"/>
      <c r="O664" s="140"/>
      <c r="P664" s="140" t="s">
        <v>39</v>
      </c>
      <c r="Q664" s="140"/>
      <c r="R664" s="140"/>
      <c r="S664" s="140"/>
      <c r="T664" s="140"/>
      <c r="U664" s="140"/>
      <c r="V664" s="140"/>
      <c r="W664" s="140"/>
      <c r="X664" s="140"/>
      <c r="Y664" s="140"/>
      <c r="Z664" s="140"/>
      <c r="AA664" s="140"/>
      <c r="AB664" s="140"/>
    </row>
    <row r="665">
      <c r="A665" s="145"/>
      <c r="B665" s="146"/>
      <c r="C665" s="146"/>
      <c r="D665" s="146"/>
      <c r="E665" s="146"/>
      <c r="F665" s="140"/>
      <c r="G665" s="142"/>
      <c r="H665" s="142"/>
      <c r="I665" s="142"/>
      <c r="J665" s="137" t="s">
        <v>39</v>
      </c>
      <c r="K665" s="137" t="s">
        <v>39</v>
      </c>
      <c r="L665" s="146"/>
      <c r="M665" s="141"/>
      <c r="N665" s="129"/>
      <c r="O665" s="140"/>
      <c r="P665" s="140" t="s">
        <v>39</v>
      </c>
      <c r="Q665" s="140"/>
      <c r="R665" s="140"/>
      <c r="S665" s="140"/>
      <c r="T665" s="140"/>
      <c r="U665" s="140"/>
      <c r="V665" s="140"/>
      <c r="W665" s="140"/>
      <c r="X665" s="140"/>
      <c r="Y665" s="140"/>
      <c r="Z665" s="140"/>
      <c r="AA665" s="140"/>
      <c r="AB665" s="140"/>
    </row>
    <row r="666">
      <c r="A666" s="145"/>
      <c r="B666" s="146"/>
      <c r="C666" s="146"/>
      <c r="D666" s="146"/>
      <c r="E666" s="146"/>
      <c r="F666" s="140"/>
      <c r="G666" s="142"/>
      <c r="H666" s="142"/>
      <c r="I666" s="142"/>
      <c r="J666" s="137" t="s">
        <v>39</v>
      </c>
      <c r="K666" s="137" t="s">
        <v>39</v>
      </c>
      <c r="L666" s="146"/>
      <c r="M666" s="141"/>
      <c r="N666" s="129"/>
      <c r="O666" s="140"/>
      <c r="P666" s="140" t="s">
        <v>39</v>
      </c>
      <c r="Q666" s="140"/>
      <c r="R666" s="140"/>
      <c r="S666" s="140"/>
      <c r="T666" s="140"/>
      <c r="U666" s="140"/>
      <c r="V666" s="140"/>
      <c r="W666" s="140"/>
      <c r="X666" s="140"/>
      <c r="Y666" s="140"/>
      <c r="Z666" s="140"/>
      <c r="AA666" s="140"/>
      <c r="AB666" s="140"/>
    </row>
    <row r="667">
      <c r="A667" s="145"/>
      <c r="B667" s="146"/>
      <c r="C667" s="146"/>
      <c r="D667" s="146"/>
      <c r="E667" s="146"/>
      <c r="F667" s="140"/>
      <c r="G667" s="142"/>
      <c r="H667" s="142"/>
      <c r="I667" s="142"/>
      <c r="J667" s="137" t="s">
        <v>39</v>
      </c>
      <c r="K667" s="137" t="s">
        <v>39</v>
      </c>
      <c r="L667" s="146"/>
      <c r="M667" s="141"/>
      <c r="N667" s="129"/>
      <c r="O667" s="140"/>
      <c r="P667" s="140" t="s">
        <v>39</v>
      </c>
      <c r="Q667" s="140"/>
      <c r="R667" s="140"/>
      <c r="S667" s="140"/>
      <c r="T667" s="140"/>
      <c r="U667" s="140"/>
      <c r="V667" s="140"/>
      <c r="W667" s="140"/>
      <c r="X667" s="140"/>
      <c r="Y667" s="140"/>
      <c r="Z667" s="140"/>
      <c r="AA667" s="140"/>
      <c r="AB667" s="140"/>
    </row>
    <row r="668">
      <c r="A668" s="145"/>
      <c r="B668" s="146"/>
      <c r="C668" s="146"/>
      <c r="D668" s="146"/>
      <c r="E668" s="146"/>
      <c r="F668" s="140"/>
      <c r="G668" s="142"/>
      <c r="H668" s="142"/>
      <c r="I668" s="142"/>
      <c r="J668" s="137" t="s">
        <v>39</v>
      </c>
      <c r="K668" s="137" t="s">
        <v>39</v>
      </c>
      <c r="L668" s="146"/>
      <c r="M668" s="141"/>
      <c r="N668" s="129"/>
      <c r="O668" s="140"/>
      <c r="P668" s="140" t="s">
        <v>39</v>
      </c>
      <c r="Q668" s="140"/>
      <c r="R668" s="140"/>
      <c r="S668" s="140"/>
      <c r="T668" s="140"/>
      <c r="U668" s="140"/>
      <c r="V668" s="140"/>
      <c r="W668" s="140"/>
      <c r="X668" s="140"/>
      <c r="Y668" s="140"/>
      <c r="Z668" s="140"/>
      <c r="AA668" s="140"/>
      <c r="AB668" s="140"/>
    </row>
    <row r="669">
      <c r="A669" s="145"/>
      <c r="B669" s="146"/>
      <c r="C669" s="146"/>
      <c r="D669" s="146"/>
      <c r="E669" s="146"/>
      <c r="F669" s="140"/>
      <c r="G669" s="142"/>
      <c r="H669" s="142"/>
      <c r="I669" s="142"/>
      <c r="J669" s="137" t="s">
        <v>39</v>
      </c>
      <c r="K669" s="137" t="s">
        <v>39</v>
      </c>
      <c r="L669" s="146"/>
      <c r="M669" s="141"/>
      <c r="N669" s="129"/>
      <c r="O669" s="140"/>
      <c r="P669" s="140" t="s">
        <v>39</v>
      </c>
      <c r="Q669" s="140"/>
      <c r="R669" s="140"/>
      <c r="S669" s="140"/>
      <c r="T669" s="140"/>
      <c r="U669" s="140"/>
      <c r="V669" s="140"/>
      <c r="W669" s="140"/>
      <c r="X669" s="140"/>
      <c r="Y669" s="140"/>
      <c r="Z669" s="140"/>
      <c r="AA669" s="140"/>
      <c r="AB669" s="140"/>
    </row>
    <row r="670">
      <c r="A670" s="145"/>
      <c r="B670" s="146"/>
      <c r="C670" s="146"/>
      <c r="D670" s="146"/>
      <c r="E670" s="146"/>
      <c r="F670" s="140"/>
      <c r="G670" s="142"/>
      <c r="H670" s="142"/>
      <c r="I670" s="142"/>
      <c r="J670" s="137" t="s">
        <v>39</v>
      </c>
      <c r="K670" s="137" t="s">
        <v>39</v>
      </c>
      <c r="L670" s="146"/>
      <c r="M670" s="141"/>
      <c r="N670" s="129"/>
      <c r="O670" s="140"/>
      <c r="P670" s="140" t="s">
        <v>39</v>
      </c>
      <c r="Q670" s="140"/>
      <c r="R670" s="140"/>
      <c r="S670" s="140"/>
      <c r="T670" s="140"/>
      <c r="U670" s="140"/>
      <c r="V670" s="140"/>
      <c r="W670" s="140"/>
      <c r="X670" s="140"/>
      <c r="Y670" s="140"/>
      <c r="Z670" s="140"/>
      <c r="AA670" s="140"/>
      <c r="AB670" s="140"/>
    </row>
    <row r="671">
      <c r="A671" s="145"/>
      <c r="B671" s="146"/>
      <c r="C671" s="146"/>
      <c r="D671" s="146"/>
      <c r="E671" s="146"/>
      <c r="F671" s="140"/>
      <c r="G671" s="142"/>
      <c r="H671" s="142"/>
      <c r="I671" s="142"/>
      <c r="J671" s="137" t="s">
        <v>39</v>
      </c>
      <c r="K671" s="137" t="s">
        <v>39</v>
      </c>
      <c r="L671" s="146"/>
      <c r="M671" s="141"/>
      <c r="N671" s="129"/>
      <c r="O671" s="140"/>
      <c r="P671" s="140" t="s">
        <v>39</v>
      </c>
      <c r="Q671" s="140"/>
      <c r="R671" s="140"/>
      <c r="S671" s="140"/>
      <c r="T671" s="140"/>
      <c r="U671" s="140"/>
      <c r="V671" s="140"/>
      <c r="W671" s="140"/>
      <c r="X671" s="140"/>
      <c r="Y671" s="140"/>
      <c r="Z671" s="140"/>
      <c r="AA671" s="140"/>
      <c r="AB671" s="140"/>
    </row>
    <row r="672">
      <c r="A672" s="145"/>
      <c r="B672" s="146"/>
      <c r="C672" s="146"/>
      <c r="D672" s="146"/>
      <c r="E672" s="146"/>
      <c r="F672" s="140"/>
      <c r="G672" s="142"/>
      <c r="H672" s="142"/>
      <c r="I672" s="142"/>
      <c r="J672" s="137" t="s">
        <v>39</v>
      </c>
      <c r="K672" s="137" t="s">
        <v>39</v>
      </c>
      <c r="L672" s="146"/>
      <c r="M672" s="141"/>
      <c r="N672" s="129"/>
      <c r="O672" s="140"/>
      <c r="P672" s="140" t="s">
        <v>39</v>
      </c>
      <c r="Q672" s="140"/>
      <c r="R672" s="140"/>
      <c r="S672" s="140"/>
      <c r="T672" s="140"/>
      <c r="U672" s="140"/>
      <c r="V672" s="140"/>
      <c r="W672" s="140"/>
      <c r="X672" s="140"/>
      <c r="Y672" s="140"/>
      <c r="Z672" s="140"/>
      <c r="AA672" s="140"/>
      <c r="AB672" s="140"/>
    </row>
    <row r="673">
      <c r="A673" s="145"/>
      <c r="B673" s="146"/>
      <c r="C673" s="146"/>
      <c r="D673" s="146"/>
      <c r="E673" s="146"/>
      <c r="F673" s="140"/>
      <c r="G673" s="142"/>
      <c r="H673" s="142"/>
      <c r="I673" s="142"/>
      <c r="J673" s="137" t="s">
        <v>39</v>
      </c>
      <c r="K673" s="137" t="s">
        <v>39</v>
      </c>
      <c r="L673" s="146"/>
      <c r="M673" s="141"/>
      <c r="N673" s="129"/>
      <c r="O673" s="140"/>
      <c r="P673" s="140" t="s">
        <v>39</v>
      </c>
      <c r="Q673" s="140"/>
      <c r="R673" s="140"/>
      <c r="S673" s="140"/>
      <c r="T673" s="140"/>
      <c r="U673" s="140"/>
      <c r="V673" s="140"/>
      <c r="W673" s="140"/>
      <c r="X673" s="140"/>
      <c r="Y673" s="140"/>
      <c r="Z673" s="140"/>
      <c r="AA673" s="140"/>
      <c r="AB673" s="140"/>
    </row>
    <row r="674">
      <c r="A674" s="145"/>
      <c r="B674" s="146"/>
      <c r="C674" s="146"/>
      <c r="D674" s="146"/>
      <c r="E674" s="146"/>
      <c r="F674" s="140"/>
      <c r="G674" s="142"/>
      <c r="H674" s="142"/>
      <c r="I674" s="142"/>
      <c r="J674" s="137" t="s">
        <v>39</v>
      </c>
      <c r="K674" s="137" t="s">
        <v>39</v>
      </c>
      <c r="L674" s="146"/>
      <c r="M674" s="141"/>
      <c r="N674" s="129"/>
      <c r="O674" s="140"/>
      <c r="P674" s="140" t="s">
        <v>39</v>
      </c>
      <c r="Q674" s="140"/>
      <c r="R674" s="140"/>
      <c r="S674" s="140"/>
      <c r="T674" s="140"/>
      <c r="U674" s="140"/>
      <c r="V674" s="140"/>
      <c r="W674" s="140"/>
      <c r="X674" s="140"/>
      <c r="Y674" s="140"/>
      <c r="Z674" s="140"/>
      <c r="AA674" s="140"/>
      <c r="AB674" s="140"/>
    </row>
    <row r="675">
      <c r="A675" s="145"/>
      <c r="B675" s="146"/>
      <c r="C675" s="146"/>
      <c r="D675" s="146"/>
      <c r="E675" s="146"/>
      <c r="F675" s="140"/>
      <c r="G675" s="142"/>
      <c r="H675" s="142"/>
      <c r="I675" s="142"/>
      <c r="J675" s="137" t="s">
        <v>39</v>
      </c>
      <c r="K675" s="137" t="s">
        <v>39</v>
      </c>
      <c r="L675" s="146"/>
      <c r="M675" s="141"/>
      <c r="N675" s="129"/>
      <c r="O675" s="140"/>
      <c r="P675" s="140" t="s">
        <v>39</v>
      </c>
      <c r="Q675" s="140"/>
      <c r="R675" s="140"/>
      <c r="S675" s="140"/>
      <c r="T675" s="140"/>
      <c r="U675" s="140"/>
      <c r="V675" s="140"/>
      <c r="W675" s="140"/>
      <c r="X675" s="140"/>
      <c r="Y675" s="140"/>
      <c r="Z675" s="140"/>
      <c r="AA675" s="140"/>
      <c r="AB675" s="140"/>
    </row>
    <row r="676">
      <c r="A676" s="145"/>
      <c r="B676" s="146"/>
      <c r="C676" s="146"/>
      <c r="D676" s="146"/>
      <c r="E676" s="146"/>
      <c r="F676" s="140"/>
      <c r="G676" s="142"/>
      <c r="H676" s="142"/>
      <c r="I676" s="142"/>
      <c r="J676" s="137" t="s">
        <v>39</v>
      </c>
      <c r="K676" s="137" t="s">
        <v>39</v>
      </c>
      <c r="L676" s="146"/>
      <c r="M676" s="141"/>
      <c r="N676" s="129"/>
      <c r="O676" s="140"/>
      <c r="P676" s="140" t="s">
        <v>39</v>
      </c>
      <c r="Q676" s="140"/>
      <c r="R676" s="140"/>
      <c r="S676" s="140"/>
      <c r="T676" s="140"/>
      <c r="U676" s="140"/>
      <c r="V676" s="140"/>
      <c r="W676" s="140"/>
      <c r="X676" s="140"/>
      <c r="Y676" s="140"/>
      <c r="Z676" s="140"/>
      <c r="AA676" s="140"/>
      <c r="AB676" s="140"/>
    </row>
    <row r="677">
      <c r="A677" s="145"/>
      <c r="B677" s="146"/>
      <c r="C677" s="146"/>
      <c r="D677" s="146"/>
      <c r="E677" s="146"/>
      <c r="F677" s="140"/>
      <c r="G677" s="142"/>
      <c r="H677" s="142"/>
      <c r="I677" s="142"/>
      <c r="J677" s="137" t="s">
        <v>39</v>
      </c>
      <c r="K677" s="137" t="s">
        <v>39</v>
      </c>
      <c r="L677" s="146"/>
      <c r="M677" s="141"/>
      <c r="N677" s="129"/>
      <c r="O677" s="140"/>
      <c r="P677" s="140" t="s">
        <v>39</v>
      </c>
      <c r="Q677" s="140"/>
      <c r="R677" s="140"/>
      <c r="S677" s="140"/>
      <c r="T677" s="140"/>
      <c r="U677" s="140"/>
      <c r="V677" s="140"/>
      <c r="W677" s="140"/>
      <c r="X677" s="140"/>
      <c r="Y677" s="140"/>
      <c r="Z677" s="140"/>
      <c r="AA677" s="140"/>
      <c r="AB677" s="140"/>
    </row>
    <row r="678">
      <c r="A678" s="145"/>
      <c r="B678" s="146"/>
      <c r="C678" s="146"/>
      <c r="D678" s="146"/>
      <c r="E678" s="146"/>
      <c r="F678" s="140"/>
      <c r="G678" s="142"/>
      <c r="H678" s="142"/>
      <c r="I678" s="142"/>
      <c r="J678" s="137" t="s">
        <v>39</v>
      </c>
      <c r="K678" s="137" t="s">
        <v>39</v>
      </c>
      <c r="L678" s="146"/>
      <c r="M678" s="141"/>
      <c r="N678" s="129"/>
      <c r="O678" s="140"/>
      <c r="P678" s="140" t="s">
        <v>39</v>
      </c>
      <c r="Q678" s="140"/>
      <c r="R678" s="140"/>
      <c r="S678" s="140"/>
      <c r="T678" s="140"/>
      <c r="U678" s="140"/>
      <c r="V678" s="140"/>
      <c r="W678" s="140"/>
      <c r="X678" s="140"/>
      <c r="Y678" s="140"/>
      <c r="Z678" s="140"/>
      <c r="AA678" s="140"/>
      <c r="AB678" s="140"/>
    </row>
    <row r="679">
      <c r="A679" s="145"/>
      <c r="B679" s="146"/>
      <c r="C679" s="146"/>
      <c r="D679" s="146"/>
      <c r="E679" s="146"/>
      <c r="F679" s="140"/>
      <c r="G679" s="142"/>
      <c r="H679" s="142"/>
      <c r="I679" s="142"/>
      <c r="J679" s="137" t="s">
        <v>39</v>
      </c>
      <c r="K679" s="137" t="s">
        <v>39</v>
      </c>
      <c r="L679" s="146"/>
      <c r="M679" s="141"/>
      <c r="N679" s="129"/>
      <c r="O679" s="140"/>
      <c r="P679" s="140" t="s">
        <v>39</v>
      </c>
      <c r="Q679" s="140"/>
      <c r="R679" s="140"/>
      <c r="S679" s="140"/>
      <c r="T679" s="140"/>
      <c r="U679" s="140"/>
      <c r="V679" s="140"/>
      <c r="W679" s="140"/>
      <c r="X679" s="140"/>
      <c r="Y679" s="140"/>
      <c r="Z679" s="140"/>
      <c r="AA679" s="140"/>
      <c r="AB679" s="140"/>
    </row>
    <row r="680">
      <c r="A680" s="145"/>
      <c r="B680" s="146"/>
      <c r="C680" s="146"/>
      <c r="D680" s="146"/>
      <c r="E680" s="146"/>
      <c r="F680" s="140"/>
      <c r="G680" s="142"/>
      <c r="H680" s="142"/>
      <c r="I680" s="142"/>
      <c r="J680" s="137" t="s">
        <v>39</v>
      </c>
      <c r="K680" s="137" t="s">
        <v>39</v>
      </c>
      <c r="L680" s="146"/>
      <c r="M680" s="141"/>
      <c r="N680" s="129"/>
      <c r="O680" s="140"/>
      <c r="P680" s="140" t="s">
        <v>39</v>
      </c>
      <c r="Q680" s="140"/>
      <c r="R680" s="140"/>
      <c r="S680" s="140"/>
      <c r="T680" s="140"/>
      <c r="U680" s="140"/>
      <c r="V680" s="140"/>
      <c r="W680" s="140"/>
      <c r="X680" s="140"/>
      <c r="Y680" s="140"/>
      <c r="Z680" s="140"/>
      <c r="AA680" s="140"/>
      <c r="AB680" s="140"/>
    </row>
    <row r="681">
      <c r="A681" s="145"/>
      <c r="B681" s="146"/>
      <c r="C681" s="146"/>
      <c r="D681" s="146"/>
      <c r="E681" s="146"/>
      <c r="F681" s="140"/>
      <c r="G681" s="142"/>
      <c r="H681" s="142"/>
      <c r="I681" s="142"/>
      <c r="J681" s="137" t="s">
        <v>39</v>
      </c>
      <c r="K681" s="137" t="s">
        <v>39</v>
      </c>
      <c r="L681" s="146"/>
      <c r="M681" s="141"/>
      <c r="N681" s="129"/>
      <c r="O681" s="140"/>
      <c r="P681" s="140" t="s">
        <v>39</v>
      </c>
      <c r="Q681" s="140"/>
      <c r="R681" s="140"/>
      <c r="S681" s="140"/>
      <c r="T681" s="140"/>
      <c r="U681" s="140"/>
      <c r="V681" s="140"/>
      <c r="W681" s="140"/>
      <c r="X681" s="140"/>
      <c r="Y681" s="140"/>
      <c r="Z681" s="140"/>
      <c r="AA681" s="140"/>
      <c r="AB681" s="140"/>
    </row>
    <row r="682">
      <c r="A682" s="145"/>
      <c r="B682" s="146"/>
      <c r="C682" s="146"/>
      <c r="D682" s="146"/>
      <c r="E682" s="146"/>
      <c r="F682" s="140"/>
      <c r="G682" s="142"/>
      <c r="H682" s="142"/>
      <c r="I682" s="142"/>
      <c r="J682" s="137" t="s">
        <v>39</v>
      </c>
      <c r="K682" s="137" t="s">
        <v>39</v>
      </c>
      <c r="L682" s="146"/>
      <c r="M682" s="141"/>
      <c r="N682" s="129"/>
      <c r="O682" s="140"/>
      <c r="P682" s="140" t="s">
        <v>39</v>
      </c>
      <c r="Q682" s="140"/>
      <c r="R682" s="140"/>
      <c r="S682" s="140"/>
      <c r="T682" s="140"/>
      <c r="U682" s="140"/>
      <c r="V682" s="140"/>
      <c r="W682" s="140"/>
      <c r="X682" s="140"/>
      <c r="Y682" s="140"/>
      <c r="Z682" s="140"/>
      <c r="AA682" s="140"/>
      <c r="AB682" s="140"/>
    </row>
    <row r="683">
      <c r="A683" s="145"/>
      <c r="B683" s="146"/>
      <c r="C683" s="146"/>
      <c r="D683" s="146"/>
      <c r="E683" s="146"/>
      <c r="F683" s="140"/>
      <c r="G683" s="142"/>
      <c r="H683" s="142"/>
      <c r="I683" s="142"/>
      <c r="J683" s="137" t="s">
        <v>39</v>
      </c>
      <c r="K683" s="137" t="s">
        <v>39</v>
      </c>
      <c r="L683" s="146"/>
      <c r="M683" s="141"/>
      <c r="N683" s="129"/>
      <c r="O683" s="140"/>
      <c r="P683" s="140" t="s">
        <v>39</v>
      </c>
      <c r="Q683" s="140"/>
      <c r="R683" s="140"/>
      <c r="S683" s="140"/>
      <c r="T683" s="140"/>
      <c r="U683" s="140"/>
      <c r="V683" s="140"/>
      <c r="W683" s="140"/>
      <c r="X683" s="140"/>
      <c r="Y683" s="140"/>
      <c r="Z683" s="140"/>
      <c r="AA683" s="140"/>
      <c r="AB683" s="140"/>
    </row>
    <row r="684">
      <c r="A684" s="145"/>
      <c r="B684" s="146"/>
      <c r="C684" s="146"/>
      <c r="D684" s="146"/>
      <c r="E684" s="146"/>
      <c r="F684" s="140"/>
      <c r="G684" s="142"/>
      <c r="H684" s="142"/>
      <c r="I684" s="142"/>
      <c r="J684" s="137" t="s">
        <v>39</v>
      </c>
      <c r="K684" s="137" t="s">
        <v>39</v>
      </c>
      <c r="L684" s="146"/>
      <c r="M684" s="141"/>
      <c r="N684" s="129"/>
      <c r="O684" s="140"/>
      <c r="P684" s="140" t="s">
        <v>39</v>
      </c>
      <c r="Q684" s="140"/>
      <c r="R684" s="140"/>
      <c r="S684" s="140"/>
      <c r="T684" s="140"/>
      <c r="U684" s="140"/>
      <c r="V684" s="140"/>
      <c r="W684" s="140"/>
      <c r="X684" s="140"/>
      <c r="Y684" s="140"/>
      <c r="Z684" s="140"/>
      <c r="AA684" s="140"/>
      <c r="AB684" s="140"/>
    </row>
    <row r="685">
      <c r="A685" s="145"/>
      <c r="B685" s="146"/>
      <c r="C685" s="146"/>
      <c r="D685" s="146"/>
      <c r="E685" s="146"/>
      <c r="F685" s="140"/>
      <c r="G685" s="142"/>
      <c r="H685" s="142"/>
      <c r="I685" s="142"/>
      <c r="J685" s="137" t="s">
        <v>39</v>
      </c>
      <c r="K685" s="137" t="s">
        <v>39</v>
      </c>
      <c r="L685" s="146"/>
      <c r="M685" s="141"/>
      <c r="N685" s="129"/>
      <c r="O685" s="140"/>
      <c r="P685" s="140" t="s">
        <v>39</v>
      </c>
      <c r="Q685" s="140"/>
      <c r="R685" s="140"/>
      <c r="S685" s="140"/>
      <c r="T685" s="140"/>
      <c r="U685" s="140"/>
      <c r="V685" s="140"/>
      <c r="W685" s="140"/>
      <c r="X685" s="140"/>
      <c r="Y685" s="140"/>
      <c r="Z685" s="140"/>
      <c r="AA685" s="140"/>
      <c r="AB685" s="140"/>
    </row>
    <row r="686">
      <c r="A686" s="145"/>
      <c r="B686" s="146"/>
      <c r="C686" s="146"/>
      <c r="D686" s="146"/>
      <c r="E686" s="146"/>
      <c r="F686" s="140"/>
      <c r="G686" s="142"/>
      <c r="H686" s="142"/>
      <c r="I686" s="142"/>
      <c r="J686" s="137" t="s">
        <v>39</v>
      </c>
      <c r="K686" s="137" t="s">
        <v>39</v>
      </c>
      <c r="L686" s="146"/>
      <c r="M686" s="141"/>
      <c r="N686" s="129"/>
      <c r="O686" s="140"/>
      <c r="P686" s="140" t="s">
        <v>39</v>
      </c>
      <c r="Q686" s="140"/>
      <c r="R686" s="140"/>
      <c r="S686" s="140"/>
      <c r="T686" s="140"/>
      <c r="U686" s="140"/>
      <c r="V686" s="140"/>
      <c r="W686" s="140"/>
      <c r="X686" s="140"/>
      <c r="Y686" s="140"/>
      <c r="Z686" s="140"/>
      <c r="AA686" s="140"/>
      <c r="AB686" s="140"/>
    </row>
    <row r="687">
      <c r="A687" s="145"/>
      <c r="B687" s="146"/>
      <c r="C687" s="146"/>
      <c r="D687" s="146"/>
      <c r="E687" s="146"/>
      <c r="F687" s="140"/>
      <c r="G687" s="142"/>
      <c r="H687" s="142"/>
      <c r="I687" s="142"/>
      <c r="J687" s="137" t="s">
        <v>39</v>
      </c>
      <c r="K687" s="137" t="s">
        <v>39</v>
      </c>
      <c r="L687" s="146"/>
      <c r="M687" s="141"/>
      <c r="N687" s="129"/>
      <c r="O687" s="140"/>
      <c r="P687" s="140" t="s">
        <v>39</v>
      </c>
      <c r="Q687" s="140"/>
      <c r="R687" s="140"/>
      <c r="S687" s="140"/>
      <c r="T687" s="140"/>
      <c r="U687" s="140"/>
      <c r="V687" s="140"/>
      <c r="W687" s="140"/>
      <c r="X687" s="140"/>
      <c r="Y687" s="140"/>
      <c r="Z687" s="140"/>
      <c r="AA687" s="140"/>
      <c r="AB687" s="140"/>
    </row>
    <row r="688">
      <c r="A688" s="145"/>
      <c r="B688" s="146"/>
      <c r="C688" s="146"/>
      <c r="D688" s="146"/>
      <c r="E688" s="146"/>
      <c r="F688" s="140"/>
      <c r="G688" s="142"/>
      <c r="H688" s="142"/>
      <c r="I688" s="142"/>
      <c r="J688" s="137" t="s">
        <v>39</v>
      </c>
      <c r="K688" s="137" t="s">
        <v>39</v>
      </c>
      <c r="L688" s="146"/>
      <c r="M688" s="141"/>
      <c r="N688" s="129"/>
      <c r="O688" s="140"/>
      <c r="P688" s="140" t="s">
        <v>39</v>
      </c>
      <c r="Q688" s="140"/>
      <c r="R688" s="140"/>
      <c r="S688" s="140"/>
      <c r="T688" s="140"/>
      <c r="U688" s="140"/>
      <c r="V688" s="140"/>
      <c r="W688" s="140"/>
      <c r="X688" s="140"/>
      <c r="Y688" s="140"/>
      <c r="Z688" s="140"/>
      <c r="AA688" s="140"/>
      <c r="AB688" s="140"/>
    </row>
    <row r="689">
      <c r="A689" s="145"/>
      <c r="B689" s="146"/>
      <c r="C689" s="146"/>
      <c r="D689" s="146"/>
      <c r="E689" s="146"/>
      <c r="F689" s="140"/>
      <c r="G689" s="142"/>
      <c r="H689" s="142"/>
      <c r="I689" s="142"/>
      <c r="J689" s="137" t="s">
        <v>39</v>
      </c>
      <c r="K689" s="137" t="s">
        <v>39</v>
      </c>
      <c r="L689" s="146"/>
      <c r="M689" s="141"/>
      <c r="N689" s="129"/>
      <c r="O689" s="140"/>
      <c r="P689" s="140" t="s">
        <v>39</v>
      </c>
      <c r="Q689" s="140"/>
      <c r="R689" s="140"/>
      <c r="S689" s="140"/>
      <c r="T689" s="140"/>
      <c r="U689" s="140"/>
      <c r="V689" s="140"/>
      <c r="W689" s="140"/>
      <c r="X689" s="140"/>
      <c r="Y689" s="140"/>
      <c r="Z689" s="140"/>
      <c r="AA689" s="140"/>
      <c r="AB689" s="140"/>
    </row>
    <row r="690">
      <c r="A690" s="145"/>
      <c r="B690" s="146"/>
      <c r="C690" s="146"/>
      <c r="D690" s="146"/>
      <c r="E690" s="146"/>
      <c r="F690" s="140"/>
      <c r="G690" s="142"/>
      <c r="H690" s="142"/>
      <c r="I690" s="142"/>
      <c r="J690" s="137" t="s">
        <v>39</v>
      </c>
      <c r="K690" s="137" t="s">
        <v>39</v>
      </c>
      <c r="L690" s="146"/>
      <c r="M690" s="141"/>
      <c r="N690" s="129"/>
      <c r="O690" s="140"/>
      <c r="P690" s="140" t="s">
        <v>39</v>
      </c>
      <c r="Q690" s="140"/>
      <c r="R690" s="140"/>
      <c r="S690" s="140"/>
      <c r="T690" s="140"/>
      <c r="U690" s="140"/>
      <c r="V690" s="140"/>
      <c r="W690" s="140"/>
      <c r="X690" s="140"/>
      <c r="Y690" s="140"/>
      <c r="Z690" s="140"/>
      <c r="AA690" s="140"/>
      <c r="AB690" s="140"/>
    </row>
    <row r="691">
      <c r="A691" s="145"/>
      <c r="B691" s="146"/>
      <c r="C691" s="146"/>
      <c r="D691" s="146"/>
      <c r="E691" s="146"/>
      <c r="F691" s="140"/>
      <c r="G691" s="142"/>
      <c r="H691" s="142"/>
      <c r="I691" s="142"/>
      <c r="J691" s="137" t="s">
        <v>39</v>
      </c>
      <c r="K691" s="137" t="s">
        <v>39</v>
      </c>
      <c r="L691" s="146"/>
      <c r="M691" s="141"/>
      <c r="N691" s="129"/>
      <c r="O691" s="140"/>
      <c r="P691" s="140" t="s">
        <v>39</v>
      </c>
      <c r="Q691" s="140"/>
      <c r="R691" s="140"/>
      <c r="S691" s="140"/>
      <c r="T691" s="140"/>
      <c r="U691" s="140"/>
      <c r="V691" s="140"/>
      <c r="W691" s="140"/>
      <c r="X691" s="140"/>
      <c r="Y691" s="140"/>
      <c r="Z691" s="140"/>
      <c r="AA691" s="140"/>
      <c r="AB691" s="140"/>
    </row>
    <row r="692">
      <c r="A692" s="145"/>
      <c r="B692" s="146"/>
      <c r="C692" s="146"/>
      <c r="D692" s="146"/>
      <c r="E692" s="146"/>
      <c r="F692" s="140"/>
      <c r="G692" s="142"/>
      <c r="H692" s="142"/>
      <c r="I692" s="142"/>
      <c r="J692" s="137" t="s">
        <v>39</v>
      </c>
      <c r="K692" s="137" t="s">
        <v>39</v>
      </c>
      <c r="L692" s="146"/>
      <c r="M692" s="141"/>
      <c r="N692" s="129"/>
      <c r="O692" s="140"/>
      <c r="P692" s="140" t="s">
        <v>39</v>
      </c>
      <c r="Q692" s="140"/>
      <c r="R692" s="140"/>
      <c r="S692" s="140"/>
      <c r="T692" s="140"/>
      <c r="U692" s="140"/>
      <c r="V692" s="140"/>
      <c r="W692" s="140"/>
      <c r="X692" s="140"/>
      <c r="Y692" s="140"/>
      <c r="Z692" s="140"/>
      <c r="AA692" s="140"/>
      <c r="AB692" s="140"/>
    </row>
    <row r="693">
      <c r="A693" s="145"/>
      <c r="B693" s="146"/>
      <c r="C693" s="146"/>
      <c r="D693" s="146"/>
      <c r="E693" s="146"/>
      <c r="F693" s="140"/>
      <c r="G693" s="142"/>
      <c r="H693" s="142"/>
      <c r="I693" s="142"/>
      <c r="J693" s="137" t="s">
        <v>39</v>
      </c>
      <c r="K693" s="137" t="s">
        <v>39</v>
      </c>
      <c r="L693" s="146"/>
      <c r="M693" s="141"/>
      <c r="N693" s="129"/>
      <c r="O693" s="140"/>
      <c r="P693" s="140" t="s">
        <v>39</v>
      </c>
      <c r="Q693" s="140"/>
      <c r="R693" s="140"/>
      <c r="S693" s="140"/>
      <c r="T693" s="140"/>
      <c r="U693" s="140"/>
      <c r="V693" s="140"/>
      <c r="W693" s="140"/>
      <c r="X693" s="140"/>
      <c r="Y693" s="140"/>
      <c r="Z693" s="140"/>
      <c r="AA693" s="140"/>
      <c r="AB693" s="140"/>
    </row>
    <row r="694">
      <c r="A694" s="145"/>
      <c r="B694" s="146"/>
      <c r="C694" s="146"/>
      <c r="D694" s="146"/>
      <c r="E694" s="146"/>
      <c r="F694" s="140"/>
      <c r="G694" s="142"/>
      <c r="H694" s="142"/>
      <c r="I694" s="142"/>
      <c r="J694" s="137" t="s">
        <v>39</v>
      </c>
      <c r="K694" s="137" t="s">
        <v>39</v>
      </c>
      <c r="L694" s="146"/>
      <c r="M694" s="141"/>
      <c r="N694" s="129"/>
      <c r="O694" s="140"/>
      <c r="P694" s="140" t="s">
        <v>39</v>
      </c>
      <c r="Q694" s="140"/>
      <c r="R694" s="140"/>
      <c r="S694" s="140"/>
      <c r="T694" s="140"/>
      <c r="U694" s="140"/>
      <c r="V694" s="140"/>
      <c r="W694" s="140"/>
      <c r="X694" s="140"/>
      <c r="Y694" s="140"/>
      <c r="Z694" s="140"/>
      <c r="AA694" s="140"/>
      <c r="AB694" s="140"/>
    </row>
    <row r="695">
      <c r="A695" s="145"/>
      <c r="B695" s="146"/>
      <c r="C695" s="146"/>
      <c r="D695" s="146"/>
      <c r="E695" s="146"/>
      <c r="F695" s="140"/>
      <c r="G695" s="142"/>
      <c r="H695" s="142"/>
      <c r="I695" s="142"/>
      <c r="J695" s="137" t="s">
        <v>39</v>
      </c>
      <c r="K695" s="137" t="s">
        <v>39</v>
      </c>
      <c r="L695" s="146"/>
      <c r="M695" s="141"/>
      <c r="N695" s="129"/>
      <c r="O695" s="140"/>
      <c r="P695" s="140" t="s">
        <v>39</v>
      </c>
      <c r="Q695" s="140"/>
      <c r="R695" s="140"/>
      <c r="S695" s="140"/>
      <c r="T695" s="140"/>
      <c r="U695" s="140"/>
      <c r="V695" s="140"/>
      <c r="W695" s="140"/>
      <c r="X695" s="140"/>
      <c r="Y695" s="140"/>
      <c r="Z695" s="140"/>
      <c r="AA695" s="140"/>
      <c r="AB695" s="140"/>
    </row>
    <row r="696">
      <c r="A696" s="145"/>
      <c r="B696" s="146"/>
      <c r="C696" s="146"/>
      <c r="D696" s="146"/>
      <c r="E696" s="146"/>
      <c r="F696" s="140"/>
      <c r="G696" s="142"/>
      <c r="H696" s="142"/>
      <c r="I696" s="142"/>
      <c r="J696" s="137" t="s">
        <v>39</v>
      </c>
      <c r="K696" s="137" t="s">
        <v>39</v>
      </c>
      <c r="L696" s="146"/>
      <c r="M696" s="141"/>
      <c r="N696" s="129"/>
      <c r="O696" s="140"/>
      <c r="P696" s="140" t="s">
        <v>39</v>
      </c>
      <c r="Q696" s="140"/>
      <c r="R696" s="140"/>
      <c r="S696" s="140"/>
      <c r="T696" s="140"/>
      <c r="U696" s="140"/>
      <c r="V696" s="140"/>
      <c r="W696" s="140"/>
      <c r="X696" s="140"/>
      <c r="Y696" s="140"/>
      <c r="Z696" s="140"/>
      <c r="AA696" s="140"/>
      <c r="AB696" s="140"/>
    </row>
    <row r="697">
      <c r="A697" s="145"/>
      <c r="B697" s="146"/>
      <c r="C697" s="146"/>
      <c r="D697" s="146"/>
      <c r="E697" s="146"/>
      <c r="F697" s="140"/>
      <c r="G697" s="142"/>
      <c r="H697" s="142"/>
      <c r="I697" s="142"/>
      <c r="J697" s="137" t="s">
        <v>39</v>
      </c>
      <c r="K697" s="137" t="s">
        <v>39</v>
      </c>
      <c r="L697" s="146"/>
      <c r="M697" s="141"/>
      <c r="N697" s="129"/>
      <c r="O697" s="140"/>
      <c r="P697" s="140" t="s">
        <v>39</v>
      </c>
      <c r="Q697" s="140"/>
      <c r="R697" s="140"/>
      <c r="S697" s="140"/>
      <c r="T697" s="140"/>
      <c r="U697" s="140"/>
      <c r="V697" s="140"/>
      <c r="W697" s="140"/>
      <c r="X697" s="140"/>
      <c r="Y697" s="140"/>
      <c r="Z697" s="140"/>
      <c r="AA697" s="140"/>
      <c r="AB697" s="140"/>
    </row>
    <row r="698">
      <c r="A698" s="145"/>
      <c r="B698" s="146"/>
      <c r="C698" s="146"/>
      <c r="D698" s="146"/>
      <c r="E698" s="146"/>
      <c r="F698" s="140"/>
      <c r="G698" s="142"/>
      <c r="H698" s="142"/>
      <c r="I698" s="142"/>
      <c r="J698" s="137" t="s">
        <v>39</v>
      </c>
      <c r="K698" s="137" t="s">
        <v>39</v>
      </c>
      <c r="L698" s="146"/>
      <c r="M698" s="141"/>
      <c r="N698" s="129"/>
      <c r="O698" s="140"/>
      <c r="P698" s="140" t="s">
        <v>39</v>
      </c>
      <c r="Q698" s="140"/>
      <c r="R698" s="140"/>
      <c r="S698" s="140"/>
      <c r="T698" s="140"/>
      <c r="U698" s="140"/>
      <c r="V698" s="140"/>
      <c r="W698" s="140"/>
      <c r="X698" s="140"/>
      <c r="Y698" s="140"/>
      <c r="Z698" s="140"/>
      <c r="AA698" s="140"/>
      <c r="AB698" s="140"/>
    </row>
    <row r="699">
      <c r="A699" s="145"/>
      <c r="B699" s="146"/>
      <c r="C699" s="146"/>
      <c r="D699" s="146"/>
      <c r="E699" s="146"/>
      <c r="F699" s="140"/>
      <c r="G699" s="142"/>
      <c r="H699" s="142"/>
      <c r="I699" s="142"/>
      <c r="J699" s="137" t="s">
        <v>39</v>
      </c>
      <c r="K699" s="137" t="s">
        <v>39</v>
      </c>
      <c r="L699" s="146"/>
      <c r="M699" s="141"/>
      <c r="N699" s="129"/>
      <c r="O699" s="140"/>
      <c r="P699" s="140" t="s">
        <v>39</v>
      </c>
      <c r="Q699" s="140"/>
      <c r="R699" s="140"/>
      <c r="S699" s="140"/>
      <c r="T699" s="140"/>
      <c r="U699" s="140"/>
      <c r="V699" s="140"/>
      <c r="W699" s="140"/>
      <c r="X699" s="140"/>
      <c r="Y699" s="140"/>
      <c r="Z699" s="140"/>
      <c r="AA699" s="140"/>
      <c r="AB699" s="140"/>
    </row>
    <row r="700">
      <c r="A700" s="145"/>
      <c r="B700" s="146"/>
      <c r="C700" s="146"/>
      <c r="D700" s="146"/>
      <c r="E700" s="146"/>
      <c r="F700" s="140"/>
      <c r="G700" s="142"/>
      <c r="H700" s="142"/>
      <c r="I700" s="142"/>
      <c r="J700" s="137" t="s">
        <v>39</v>
      </c>
      <c r="K700" s="137" t="s">
        <v>39</v>
      </c>
      <c r="L700" s="146"/>
      <c r="M700" s="141"/>
      <c r="N700" s="129"/>
      <c r="O700" s="140"/>
      <c r="P700" s="140" t="s">
        <v>39</v>
      </c>
      <c r="Q700" s="140"/>
      <c r="R700" s="140"/>
      <c r="S700" s="140"/>
      <c r="T700" s="140"/>
      <c r="U700" s="140"/>
      <c r="V700" s="140"/>
      <c r="W700" s="140"/>
      <c r="X700" s="140"/>
      <c r="Y700" s="140"/>
      <c r="Z700" s="140"/>
      <c r="AA700" s="140"/>
      <c r="AB700" s="140"/>
    </row>
    <row r="701">
      <c r="A701" s="145"/>
      <c r="B701" s="146"/>
      <c r="C701" s="146"/>
      <c r="D701" s="146"/>
      <c r="E701" s="146"/>
      <c r="F701" s="140"/>
      <c r="G701" s="142"/>
      <c r="H701" s="142"/>
      <c r="I701" s="142"/>
      <c r="J701" s="137" t="s">
        <v>39</v>
      </c>
      <c r="K701" s="137" t="s">
        <v>39</v>
      </c>
      <c r="L701" s="146"/>
      <c r="M701" s="141"/>
      <c r="N701" s="129"/>
      <c r="O701" s="140"/>
      <c r="P701" s="140" t="s">
        <v>39</v>
      </c>
      <c r="Q701" s="140"/>
      <c r="R701" s="140"/>
      <c r="S701" s="140"/>
      <c r="T701" s="140"/>
      <c r="U701" s="140"/>
      <c r="V701" s="140"/>
      <c r="W701" s="140"/>
      <c r="X701" s="140"/>
      <c r="Y701" s="140"/>
      <c r="Z701" s="140"/>
      <c r="AA701" s="140"/>
      <c r="AB701" s="140"/>
    </row>
    <row r="702">
      <c r="A702" s="145"/>
      <c r="B702" s="146"/>
      <c r="C702" s="146"/>
      <c r="D702" s="146"/>
      <c r="E702" s="146"/>
      <c r="F702" s="140"/>
      <c r="G702" s="142"/>
      <c r="H702" s="142"/>
      <c r="I702" s="142"/>
      <c r="J702" s="137" t="s">
        <v>39</v>
      </c>
      <c r="K702" s="137" t="s">
        <v>39</v>
      </c>
      <c r="L702" s="146"/>
      <c r="M702" s="141"/>
      <c r="N702" s="129"/>
      <c r="O702" s="140"/>
      <c r="P702" s="140" t="s">
        <v>39</v>
      </c>
      <c r="Q702" s="140"/>
      <c r="R702" s="140"/>
      <c r="S702" s="140"/>
      <c r="T702" s="140"/>
      <c r="U702" s="140"/>
      <c r="V702" s="140"/>
      <c r="W702" s="140"/>
      <c r="X702" s="140"/>
      <c r="Y702" s="140"/>
      <c r="Z702" s="140"/>
      <c r="AA702" s="140"/>
      <c r="AB702" s="140"/>
    </row>
    <row r="703">
      <c r="A703" s="145"/>
      <c r="B703" s="146"/>
      <c r="C703" s="146"/>
      <c r="D703" s="146"/>
      <c r="E703" s="146"/>
      <c r="F703" s="140"/>
      <c r="G703" s="142"/>
      <c r="H703" s="142"/>
      <c r="I703" s="142"/>
      <c r="J703" s="137" t="s">
        <v>39</v>
      </c>
      <c r="K703" s="137" t="s">
        <v>39</v>
      </c>
      <c r="L703" s="146"/>
      <c r="M703" s="141"/>
      <c r="N703" s="129"/>
      <c r="O703" s="140"/>
      <c r="P703" s="140" t="s">
        <v>39</v>
      </c>
      <c r="Q703" s="140"/>
      <c r="R703" s="140"/>
      <c r="S703" s="140"/>
      <c r="T703" s="140"/>
      <c r="U703" s="140"/>
      <c r="V703" s="140"/>
      <c r="W703" s="140"/>
      <c r="X703" s="140"/>
      <c r="Y703" s="140"/>
      <c r="Z703" s="140"/>
      <c r="AA703" s="140"/>
      <c r="AB703" s="140"/>
    </row>
    <row r="704">
      <c r="A704" s="145"/>
      <c r="B704" s="146"/>
      <c r="C704" s="146"/>
      <c r="D704" s="146"/>
      <c r="E704" s="146"/>
      <c r="F704" s="140"/>
      <c r="G704" s="142"/>
      <c r="H704" s="142"/>
      <c r="I704" s="142"/>
      <c r="J704" s="137" t="s">
        <v>39</v>
      </c>
      <c r="K704" s="137" t="s">
        <v>39</v>
      </c>
      <c r="L704" s="146"/>
      <c r="M704" s="141"/>
      <c r="N704" s="129"/>
      <c r="O704" s="140"/>
      <c r="P704" s="140" t="s">
        <v>39</v>
      </c>
      <c r="Q704" s="140"/>
      <c r="R704" s="140"/>
      <c r="S704" s="140"/>
      <c r="T704" s="140"/>
      <c r="U704" s="140"/>
      <c r="V704" s="140"/>
      <c r="W704" s="140"/>
      <c r="X704" s="140"/>
      <c r="Y704" s="140"/>
      <c r="Z704" s="140"/>
      <c r="AA704" s="140"/>
      <c r="AB704" s="140"/>
    </row>
    <row r="705">
      <c r="A705" s="145"/>
      <c r="B705" s="146"/>
      <c r="C705" s="146"/>
      <c r="D705" s="146"/>
      <c r="E705" s="146"/>
      <c r="F705" s="140"/>
      <c r="G705" s="142"/>
      <c r="H705" s="142"/>
      <c r="I705" s="142"/>
      <c r="J705" s="137" t="s">
        <v>39</v>
      </c>
      <c r="K705" s="137" t="s">
        <v>39</v>
      </c>
      <c r="L705" s="146"/>
      <c r="M705" s="141"/>
      <c r="N705" s="129"/>
      <c r="O705" s="140"/>
      <c r="P705" s="140" t="s">
        <v>39</v>
      </c>
      <c r="Q705" s="140"/>
      <c r="R705" s="140"/>
      <c r="S705" s="140"/>
      <c r="T705" s="140"/>
      <c r="U705" s="140"/>
      <c r="V705" s="140"/>
      <c r="W705" s="140"/>
      <c r="X705" s="140"/>
      <c r="Y705" s="140"/>
      <c r="Z705" s="140"/>
      <c r="AA705" s="140"/>
      <c r="AB705" s="140"/>
    </row>
    <row r="706">
      <c r="A706" s="145"/>
      <c r="B706" s="146"/>
      <c r="C706" s="146"/>
      <c r="D706" s="146"/>
      <c r="E706" s="146"/>
      <c r="F706" s="140"/>
      <c r="G706" s="142"/>
      <c r="H706" s="142"/>
      <c r="I706" s="142"/>
      <c r="J706" s="137" t="s">
        <v>39</v>
      </c>
      <c r="K706" s="137" t="s">
        <v>39</v>
      </c>
      <c r="L706" s="146"/>
      <c r="M706" s="141"/>
      <c r="N706" s="129"/>
      <c r="O706" s="140"/>
      <c r="P706" s="140" t="s">
        <v>39</v>
      </c>
      <c r="Q706" s="140"/>
      <c r="R706" s="140"/>
      <c r="S706" s="140"/>
      <c r="T706" s="140"/>
      <c r="U706" s="140"/>
      <c r="V706" s="140"/>
      <c r="W706" s="140"/>
      <c r="X706" s="140"/>
      <c r="Y706" s="140"/>
      <c r="Z706" s="140"/>
      <c r="AA706" s="140"/>
      <c r="AB706" s="140"/>
    </row>
    <row r="707">
      <c r="A707" s="145"/>
      <c r="B707" s="146"/>
      <c r="C707" s="146"/>
      <c r="D707" s="146"/>
      <c r="E707" s="146"/>
      <c r="F707" s="140"/>
      <c r="G707" s="142"/>
      <c r="H707" s="142"/>
      <c r="I707" s="142"/>
      <c r="J707" s="137" t="s">
        <v>39</v>
      </c>
      <c r="K707" s="137" t="s">
        <v>39</v>
      </c>
      <c r="L707" s="146"/>
      <c r="M707" s="141"/>
      <c r="N707" s="129"/>
      <c r="O707" s="140"/>
      <c r="P707" s="140" t="s">
        <v>39</v>
      </c>
      <c r="Q707" s="140"/>
      <c r="R707" s="140"/>
      <c r="S707" s="140"/>
      <c r="T707" s="140"/>
      <c r="U707" s="140"/>
      <c r="V707" s="140"/>
      <c r="W707" s="140"/>
      <c r="X707" s="140"/>
      <c r="Y707" s="140"/>
      <c r="Z707" s="140"/>
      <c r="AA707" s="140"/>
      <c r="AB707" s="140"/>
    </row>
    <row r="708">
      <c r="A708" s="145"/>
      <c r="B708" s="146"/>
      <c r="C708" s="146"/>
      <c r="D708" s="146"/>
      <c r="E708" s="146"/>
      <c r="F708" s="140"/>
      <c r="G708" s="142"/>
      <c r="H708" s="142"/>
      <c r="I708" s="142"/>
      <c r="J708" s="137" t="s">
        <v>39</v>
      </c>
      <c r="K708" s="137" t="s">
        <v>39</v>
      </c>
      <c r="L708" s="146"/>
      <c r="M708" s="141"/>
      <c r="N708" s="129"/>
      <c r="O708" s="140"/>
      <c r="P708" s="140" t="s">
        <v>39</v>
      </c>
      <c r="Q708" s="140"/>
      <c r="R708" s="140"/>
      <c r="S708" s="140"/>
      <c r="T708" s="140"/>
      <c r="U708" s="140"/>
      <c r="V708" s="140"/>
      <c r="W708" s="140"/>
      <c r="X708" s="140"/>
      <c r="Y708" s="140"/>
      <c r="Z708" s="140"/>
      <c r="AA708" s="140"/>
      <c r="AB708" s="140"/>
    </row>
    <row r="709">
      <c r="A709" s="145"/>
      <c r="B709" s="146"/>
      <c r="C709" s="146"/>
      <c r="D709" s="146"/>
      <c r="E709" s="146"/>
      <c r="F709" s="140"/>
      <c r="G709" s="142"/>
      <c r="H709" s="142"/>
      <c r="I709" s="142"/>
      <c r="J709" s="137" t="s">
        <v>39</v>
      </c>
      <c r="K709" s="137" t="s">
        <v>39</v>
      </c>
      <c r="L709" s="146"/>
      <c r="M709" s="141"/>
      <c r="N709" s="129"/>
      <c r="O709" s="140"/>
      <c r="P709" s="140" t="s">
        <v>39</v>
      </c>
      <c r="Q709" s="140"/>
      <c r="R709" s="140"/>
      <c r="S709" s="140"/>
      <c r="T709" s="140"/>
      <c r="U709" s="140"/>
      <c r="V709" s="140"/>
      <c r="W709" s="140"/>
      <c r="X709" s="140"/>
      <c r="Y709" s="140"/>
      <c r="Z709" s="140"/>
      <c r="AA709" s="140"/>
      <c r="AB709" s="140"/>
    </row>
    <row r="710">
      <c r="A710" s="145"/>
      <c r="B710" s="146"/>
      <c r="C710" s="146"/>
      <c r="D710" s="146"/>
      <c r="E710" s="146"/>
      <c r="F710" s="140"/>
      <c r="G710" s="142"/>
      <c r="H710" s="142"/>
      <c r="I710" s="142"/>
      <c r="J710" s="137" t="s">
        <v>39</v>
      </c>
      <c r="K710" s="137" t="s">
        <v>39</v>
      </c>
      <c r="L710" s="146"/>
      <c r="M710" s="141"/>
      <c r="N710" s="129"/>
      <c r="O710" s="140"/>
      <c r="P710" s="140" t="s">
        <v>39</v>
      </c>
      <c r="Q710" s="140"/>
      <c r="R710" s="140"/>
      <c r="S710" s="140"/>
      <c r="T710" s="140"/>
      <c r="U710" s="140"/>
      <c r="V710" s="140"/>
      <c r="W710" s="140"/>
      <c r="X710" s="140"/>
      <c r="Y710" s="140"/>
      <c r="Z710" s="140"/>
      <c r="AA710" s="140"/>
      <c r="AB710" s="140"/>
    </row>
    <row r="711">
      <c r="A711" s="145"/>
      <c r="B711" s="146"/>
      <c r="C711" s="146"/>
      <c r="D711" s="146"/>
      <c r="E711" s="146"/>
      <c r="F711" s="140"/>
      <c r="G711" s="142"/>
      <c r="H711" s="142"/>
      <c r="I711" s="142"/>
      <c r="J711" s="137" t="s">
        <v>39</v>
      </c>
      <c r="K711" s="137" t="s">
        <v>39</v>
      </c>
      <c r="L711" s="146"/>
      <c r="M711" s="141"/>
      <c r="N711" s="129"/>
      <c r="O711" s="140"/>
      <c r="P711" s="140" t="s">
        <v>39</v>
      </c>
      <c r="Q711" s="140"/>
      <c r="R711" s="140"/>
      <c r="S711" s="140"/>
      <c r="T711" s="140"/>
      <c r="U711" s="140"/>
      <c r="V711" s="140"/>
      <c r="W711" s="140"/>
      <c r="X711" s="140"/>
      <c r="Y711" s="140"/>
      <c r="Z711" s="140"/>
      <c r="AA711" s="140"/>
      <c r="AB711" s="140"/>
    </row>
    <row r="712">
      <c r="A712" s="145"/>
      <c r="B712" s="146"/>
      <c r="C712" s="146"/>
      <c r="D712" s="146"/>
      <c r="E712" s="146"/>
      <c r="F712" s="140"/>
      <c r="G712" s="142"/>
      <c r="H712" s="142"/>
      <c r="I712" s="142"/>
      <c r="J712" s="137" t="s">
        <v>39</v>
      </c>
      <c r="K712" s="137" t="s">
        <v>39</v>
      </c>
      <c r="L712" s="146"/>
      <c r="M712" s="141"/>
      <c r="N712" s="129"/>
      <c r="O712" s="140"/>
      <c r="P712" s="140" t="s">
        <v>39</v>
      </c>
      <c r="Q712" s="140"/>
      <c r="R712" s="140"/>
      <c r="S712" s="140"/>
      <c r="T712" s="140"/>
      <c r="U712" s="140"/>
      <c r="V712" s="140"/>
      <c r="W712" s="140"/>
      <c r="X712" s="140"/>
      <c r="Y712" s="140"/>
      <c r="Z712" s="140"/>
      <c r="AA712" s="140"/>
      <c r="AB712" s="140"/>
    </row>
    <row r="713">
      <c r="A713" s="145"/>
      <c r="B713" s="146"/>
      <c r="C713" s="146"/>
      <c r="D713" s="146"/>
      <c r="E713" s="146"/>
      <c r="F713" s="140"/>
      <c r="G713" s="142"/>
      <c r="H713" s="142"/>
      <c r="I713" s="142"/>
      <c r="J713" s="137" t="s">
        <v>39</v>
      </c>
      <c r="K713" s="137" t="s">
        <v>39</v>
      </c>
      <c r="L713" s="146"/>
      <c r="M713" s="141"/>
      <c r="N713" s="129"/>
      <c r="O713" s="140"/>
      <c r="P713" s="140" t="s">
        <v>39</v>
      </c>
      <c r="Q713" s="140"/>
      <c r="R713" s="140"/>
      <c r="S713" s="140"/>
      <c r="T713" s="140"/>
      <c r="U713" s="140"/>
      <c r="V713" s="140"/>
      <c r="W713" s="140"/>
      <c r="X713" s="140"/>
      <c r="Y713" s="140"/>
      <c r="Z713" s="140"/>
      <c r="AA713" s="140"/>
      <c r="AB713" s="140"/>
    </row>
    <row r="714">
      <c r="A714" s="145"/>
      <c r="B714" s="146"/>
      <c r="C714" s="146"/>
      <c r="D714" s="146"/>
      <c r="E714" s="146"/>
      <c r="F714" s="140"/>
      <c r="G714" s="142"/>
      <c r="H714" s="142"/>
      <c r="I714" s="142"/>
      <c r="J714" s="137" t="s">
        <v>39</v>
      </c>
      <c r="K714" s="137" t="s">
        <v>39</v>
      </c>
      <c r="L714" s="146"/>
      <c r="M714" s="141"/>
      <c r="N714" s="129"/>
      <c r="O714" s="140"/>
      <c r="P714" s="140" t="s">
        <v>39</v>
      </c>
      <c r="Q714" s="140"/>
      <c r="R714" s="140"/>
      <c r="S714" s="140"/>
      <c r="T714" s="140"/>
      <c r="U714" s="140"/>
      <c r="V714" s="140"/>
      <c r="W714" s="140"/>
      <c r="X714" s="140"/>
      <c r="Y714" s="140"/>
      <c r="Z714" s="140"/>
      <c r="AA714" s="140"/>
      <c r="AB714" s="140"/>
    </row>
    <row r="715">
      <c r="A715" s="145"/>
      <c r="B715" s="146"/>
      <c r="C715" s="146"/>
      <c r="D715" s="146"/>
      <c r="E715" s="146"/>
      <c r="F715" s="140"/>
      <c r="G715" s="142"/>
      <c r="H715" s="142"/>
      <c r="I715" s="142"/>
      <c r="J715" s="137" t="s">
        <v>39</v>
      </c>
      <c r="K715" s="137" t="s">
        <v>39</v>
      </c>
      <c r="L715" s="146"/>
      <c r="M715" s="141"/>
      <c r="N715" s="129"/>
      <c r="O715" s="140"/>
      <c r="P715" s="140" t="s">
        <v>39</v>
      </c>
      <c r="Q715" s="140"/>
      <c r="R715" s="140"/>
      <c r="S715" s="140"/>
      <c r="T715" s="140"/>
      <c r="U715" s="140"/>
      <c r="V715" s="140"/>
      <c r="W715" s="140"/>
      <c r="X715" s="140"/>
      <c r="Y715" s="140"/>
      <c r="Z715" s="140"/>
      <c r="AA715" s="140"/>
      <c r="AB715" s="140"/>
    </row>
    <row r="716">
      <c r="A716" s="145"/>
      <c r="B716" s="146"/>
      <c r="C716" s="146"/>
      <c r="D716" s="146"/>
      <c r="E716" s="146"/>
      <c r="F716" s="140"/>
      <c r="G716" s="142"/>
      <c r="H716" s="142"/>
      <c r="I716" s="142"/>
      <c r="J716" s="137" t="s">
        <v>39</v>
      </c>
      <c r="K716" s="137" t="s">
        <v>39</v>
      </c>
      <c r="L716" s="146"/>
      <c r="M716" s="141"/>
      <c r="N716" s="129"/>
      <c r="O716" s="140"/>
      <c r="P716" s="140" t="s">
        <v>39</v>
      </c>
      <c r="Q716" s="140"/>
      <c r="R716" s="140"/>
      <c r="S716" s="140"/>
      <c r="T716" s="140"/>
      <c r="U716" s="140"/>
      <c r="V716" s="140"/>
      <c r="W716" s="140"/>
      <c r="X716" s="140"/>
      <c r="Y716" s="140"/>
      <c r="Z716" s="140"/>
      <c r="AA716" s="140"/>
      <c r="AB716" s="140"/>
    </row>
    <row r="717">
      <c r="A717" s="145"/>
      <c r="B717" s="146"/>
      <c r="C717" s="146"/>
      <c r="D717" s="146"/>
      <c r="E717" s="146"/>
      <c r="F717" s="140"/>
      <c r="G717" s="142"/>
      <c r="H717" s="142"/>
      <c r="I717" s="142"/>
      <c r="J717" s="137" t="s">
        <v>39</v>
      </c>
      <c r="K717" s="137" t="s">
        <v>39</v>
      </c>
      <c r="L717" s="146"/>
      <c r="M717" s="141"/>
      <c r="N717" s="129"/>
      <c r="O717" s="140"/>
      <c r="P717" s="140" t="s">
        <v>39</v>
      </c>
      <c r="Q717" s="140"/>
      <c r="R717" s="140"/>
      <c r="S717" s="140"/>
      <c r="T717" s="140"/>
      <c r="U717" s="140"/>
      <c r="V717" s="140"/>
      <c r="W717" s="140"/>
      <c r="X717" s="140"/>
      <c r="Y717" s="140"/>
      <c r="Z717" s="140"/>
      <c r="AA717" s="140"/>
      <c r="AB717" s="140"/>
    </row>
    <row r="718">
      <c r="A718" s="145"/>
      <c r="B718" s="146"/>
      <c r="C718" s="146"/>
      <c r="D718" s="146"/>
      <c r="E718" s="146"/>
      <c r="F718" s="140"/>
      <c r="G718" s="142"/>
      <c r="H718" s="142"/>
      <c r="I718" s="142"/>
      <c r="J718" s="137" t="s">
        <v>39</v>
      </c>
      <c r="K718" s="137" t="s">
        <v>39</v>
      </c>
      <c r="L718" s="146"/>
      <c r="M718" s="141"/>
      <c r="N718" s="129"/>
      <c r="O718" s="140"/>
      <c r="P718" s="140" t="s">
        <v>39</v>
      </c>
      <c r="Q718" s="140"/>
      <c r="R718" s="140"/>
      <c r="S718" s="140"/>
      <c r="T718" s="140"/>
      <c r="U718" s="140"/>
      <c r="V718" s="140"/>
      <c r="W718" s="140"/>
      <c r="X718" s="140"/>
      <c r="Y718" s="140"/>
      <c r="Z718" s="140"/>
      <c r="AA718" s="140"/>
      <c r="AB718" s="140"/>
    </row>
    <row r="719">
      <c r="A719" s="145"/>
      <c r="B719" s="146"/>
      <c r="C719" s="146"/>
      <c r="D719" s="146"/>
      <c r="E719" s="146"/>
      <c r="F719" s="140"/>
      <c r="G719" s="142"/>
      <c r="H719" s="142"/>
      <c r="I719" s="142"/>
      <c r="J719" s="137" t="s">
        <v>39</v>
      </c>
      <c r="K719" s="137" t="s">
        <v>39</v>
      </c>
      <c r="L719" s="146"/>
      <c r="M719" s="141"/>
      <c r="N719" s="129"/>
      <c r="O719" s="140"/>
      <c r="P719" s="140" t="s">
        <v>39</v>
      </c>
      <c r="Q719" s="140"/>
      <c r="R719" s="140"/>
      <c r="S719" s="140"/>
      <c r="T719" s="140"/>
      <c r="U719" s="140"/>
      <c r="V719" s="140"/>
      <c r="W719" s="140"/>
      <c r="X719" s="140"/>
      <c r="Y719" s="140"/>
      <c r="Z719" s="140"/>
      <c r="AA719" s="140"/>
      <c r="AB719" s="140"/>
    </row>
    <row r="720">
      <c r="A720" s="145"/>
      <c r="B720" s="146"/>
      <c r="C720" s="146"/>
      <c r="D720" s="146"/>
      <c r="E720" s="146"/>
      <c r="F720" s="140"/>
      <c r="G720" s="142"/>
      <c r="H720" s="142"/>
      <c r="I720" s="142"/>
      <c r="J720" s="137" t="s">
        <v>39</v>
      </c>
      <c r="K720" s="137" t="s">
        <v>39</v>
      </c>
      <c r="L720" s="146"/>
      <c r="M720" s="141"/>
      <c r="N720" s="129"/>
      <c r="O720" s="140"/>
      <c r="P720" s="140" t="s">
        <v>39</v>
      </c>
      <c r="Q720" s="140"/>
      <c r="R720" s="140"/>
      <c r="S720" s="140"/>
      <c r="T720" s="140"/>
      <c r="U720" s="140"/>
      <c r="V720" s="140"/>
      <c r="W720" s="140"/>
      <c r="X720" s="140"/>
      <c r="Y720" s="140"/>
      <c r="Z720" s="140"/>
      <c r="AA720" s="140"/>
      <c r="AB720" s="140"/>
    </row>
    <row r="721">
      <c r="A721" s="145"/>
      <c r="B721" s="146"/>
      <c r="C721" s="146"/>
      <c r="D721" s="146"/>
      <c r="E721" s="146"/>
      <c r="F721" s="140"/>
      <c r="G721" s="142"/>
      <c r="H721" s="142"/>
      <c r="I721" s="142"/>
      <c r="J721" s="137" t="s">
        <v>39</v>
      </c>
      <c r="K721" s="137" t="s">
        <v>39</v>
      </c>
      <c r="L721" s="146"/>
      <c r="M721" s="141"/>
      <c r="N721" s="129"/>
      <c r="O721" s="140"/>
      <c r="P721" s="140" t="s">
        <v>39</v>
      </c>
      <c r="Q721" s="140"/>
      <c r="R721" s="140"/>
      <c r="S721" s="140"/>
      <c r="T721" s="140"/>
      <c r="U721" s="140"/>
      <c r="V721" s="140"/>
      <c r="W721" s="140"/>
      <c r="X721" s="140"/>
      <c r="Y721" s="140"/>
      <c r="Z721" s="140"/>
      <c r="AA721" s="140"/>
      <c r="AB721" s="140"/>
    </row>
    <row r="722">
      <c r="A722" s="145"/>
      <c r="B722" s="146"/>
      <c r="C722" s="146"/>
      <c r="D722" s="146"/>
      <c r="E722" s="146"/>
      <c r="F722" s="140"/>
      <c r="G722" s="142"/>
      <c r="H722" s="142"/>
      <c r="I722" s="142"/>
      <c r="J722" s="137" t="s">
        <v>39</v>
      </c>
      <c r="K722" s="137" t="s">
        <v>39</v>
      </c>
      <c r="L722" s="146"/>
      <c r="M722" s="141"/>
      <c r="N722" s="129"/>
      <c r="O722" s="140"/>
      <c r="P722" s="140" t="s">
        <v>39</v>
      </c>
      <c r="Q722" s="140"/>
      <c r="R722" s="140"/>
      <c r="S722" s="140"/>
      <c r="T722" s="140"/>
      <c r="U722" s="140"/>
      <c r="V722" s="140"/>
      <c r="W722" s="140"/>
      <c r="X722" s="140"/>
      <c r="Y722" s="140"/>
      <c r="Z722" s="140"/>
      <c r="AA722" s="140"/>
      <c r="AB722" s="140"/>
    </row>
    <row r="723">
      <c r="A723" s="145"/>
      <c r="B723" s="146"/>
      <c r="C723" s="146"/>
      <c r="D723" s="146"/>
      <c r="E723" s="146"/>
      <c r="F723" s="140"/>
      <c r="G723" s="142"/>
      <c r="H723" s="142"/>
      <c r="I723" s="142"/>
      <c r="J723" s="137" t="s">
        <v>39</v>
      </c>
      <c r="K723" s="137" t="s">
        <v>39</v>
      </c>
      <c r="L723" s="146"/>
      <c r="M723" s="141"/>
      <c r="N723" s="129"/>
      <c r="O723" s="140"/>
      <c r="P723" s="140" t="s">
        <v>39</v>
      </c>
      <c r="Q723" s="140"/>
      <c r="R723" s="140"/>
      <c r="S723" s="140"/>
      <c r="T723" s="140"/>
      <c r="U723" s="140"/>
      <c r="V723" s="140"/>
      <c r="W723" s="140"/>
      <c r="X723" s="140"/>
      <c r="Y723" s="140"/>
      <c r="Z723" s="140"/>
      <c r="AA723" s="140"/>
      <c r="AB723" s="140"/>
    </row>
    <row r="724">
      <c r="A724" s="145"/>
      <c r="B724" s="146"/>
      <c r="C724" s="146"/>
      <c r="D724" s="146"/>
      <c r="E724" s="146"/>
      <c r="F724" s="140"/>
      <c r="G724" s="142"/>
      <c r="H724" s="142"/>
      <c r="I724" s="142"/>
      <c r="J724" s="137" t="s">
        <v>39</v>
      </c>
      <c r="K724" s="137" t="s">
        <v>39</v>
      </c>
      <c r="L724" s="146"/>
      <c r="M724" s="141"/>
      <c r="N724" s="129"/>
      <c r="O724" s="140"/>
      <c r="P724" s="140" t="s">
        <v>39</v>
      </c>
      <c r="Q724" s="140"/>
      <c r="R724" s="140"/>
      <c r="S724" s="140"/>
      <c r="T724" s="140"/>
      <c r="U724" s="140"/>
      <c r="V724" s="140"/>
      <c r="W724" s="140"/>
      <c r="X724" s="140"/>
      <c r="Y724" s="140"/>
      <c r="Z724" s="140"/>
      <c r="AA724" s="140"/>
      <c r="AB724" s="140"/>
    </row>
    <row r="725">
      <c r="A725" s="145"/>
      <c r="B725" s="146"/>
      <c r="C725" s="146"/>
      <c r="D725" s="146"/>
      <c r="E725" s="146"/>
      <c r="F725" s="140"/>
      <c r="G725" s="142"/>
      <c r="H725" s="142"/>
      <c r="I725" s="142"/>
      <c r="J725" s="137" t="s">
        <v>39</v>
      </c>
      <c r="K725" s="137" t="s">
        <v>39</v>
      </c>
      <c r="L725" s="146"/>
      <c r="M725" s="141"/>
      <c r="N725" s="129"/>
      <c r="O725" s="140"/>
      <c r="P725" s="140" t="s">
        <v>39</v>
      </c>
      <c r="Q725" s="140"/>
      <c r="R725" s="140"/>
      <c r="S725" s="140"/>
      <c r="T725" s="140"/>
      <c r="U725" s="140"/>
      <c r="V725" s="140"/>
      <c r="W725" s="140"/>
      <c r="X725" s="140"/>
      <c r="Y725" s="140"/>
      <c r="Z725" s="140"/>
      <c r="AA725" s="140"/>
      <c r="AB725" s="140"/>
    </row>
    <row r="726">
      <c r="A726" s="145"/>
      <c r="B726" s="146"/>
      <c r="C726" s="146"/>
      <c r="D726" s="146"/>
      <c r="E726" s="146"/>
      <c r="F726" s="140"/>
      <c r="G726" s="142"/>
      <c r="H726" s="142"/>
      <c r="I726" s="142"/>
      <c r="J726" s="137" t="s">
        <v>39</v>
      </c>
      <c r="K726" s="137" t="s">
        <v>39</v>
      </c>
      <c r="L726" s="146"/>
      <c r="M726" s="141"/>
      <c r="N726" s="129"/>
      <c r="O726" s="140"/>
      <c r="P726" s="140" t="s">
        <v>39</v>
      </c>
      <c r="Q726" s="140"/>
      <c r="R726" s="140"/>
      <c r="S726" s="140"/>
      <c r="T726" s="140"/>
      <c r="U726" s="140"/>
      <c r="V726" s="140"/>
      <c r="W726" s="140"/>
      <c r="X726" s="140"/>
      <c r="Y726" s="140"/>
      <c r="Z726" s="140"/>
      <c r="AA726" s="140"/>
      <c r="AB726" s="140"/>
    </row>
    <row r="727">
      <c r="A727" s="145"/>
      <c r="B727" s="146"/>
      <c r="C727" s="146"/>
      <c r="D727" s="146"/>
      <c r="E727" s="146"/>
      <c r="F727" s="140"/>
      <c r="G727" s="142"/>
      <c r="H727" s="142"/>
      <c r="I727" s="142"/>
      <c r="J727" s="137" t="s">
        <v>39</v>
      </c>
      <c r="K727" s="137" t="s">
        <v>39</v>
      </c>
      <c r="L727" s="146"/>
      <c r="M727" s="141"/>
      <c r="N727" s="129"/>
      <c r="O727" s="140"/>
      <c r="P727" s="140" t="s">
        <v>39</v>
      </c>
      <c r="Q727" s="140"/>
      <c r="R727" s="140"/>
      <c r="S727" s="140"/>
      <c r="T727" s="140"/>
      <c r="U727" s="140"/>
      <c r="V727" s="140"/>
      <c r="W727" s="140"/>
      <c r="X727" s="140"/>
      <c r="Y727" s="140"/>
      <c r="Z727" s="140"/>
      <c r="AA727" s="140"/>
      <c r="AB727" s="140"/>
    </row>
    <row r="728">
      <c r="A728" s="145"/>
      <c r="B728" s="146"/>
      <c r="C728" s="146"/>
      <c r="D728" s="146"/>
      <c r="E728" s="146"/>
      <c r="F728" s="140"/>
      <c r="G728" s="142"/>
      <c r="H728" s="142"/>
      <c r="I728" s="142"/>
      <c r="J728" s="137" t="s">
        <v>39</v>
      </c>
      <c r="K728" s="137" t="s">
        <v>39</v>
      </c>
      <c r="L728" s="146"/>
      <c r="M728" s="141"/>
      <c r="N728" s="129"/>
      <c r="O728" s="140"/>
      <c r="P728" s="140" t="s">
        <v>39</v>
      </c>
      <c r="Q728" s="140"/>
      <c r="R728" s="140"/>
      <c r="S728" s="140"/>
      <c r="T728" s="140"/>
      <c r="U728" s="140"/>
      <c r="V728" s="140"/>
      <c r="W728" s="140"/>
      <c r="X728" s="140"/>
      <c r="Y728" s="140"/>
      <c r="Z728" s="140"/>
      <c r="AA728" s="140"/>
      <c r="AB728" s="140"/>
    </row>
    <row r="729">
      <c r="A729" s="145"/>
      <c r="B729" s="146"/>
      <c r="C729" s="146"/>
      <c r="D729" s="146"/>
      <c r="E729" s="146"/>
      <c r="F729" s="140"/>
      <c r="G729" s="142"/>
      <c r="H729" s="142"/>
      <c r="I729" s="142"/>
      <c r="J729" s="137" t="s">
        <v>39</v>
      </c>
      <c r="K729" s="137" t="s">
        <v>39</v>
      </c>
      <c r="L729" s="146"/>
      <c r="M729" s="141"/>
      <c r="N729" s="129"/>
      <c r="O729" s="140"/>
      <c r="P729" s="140" t="s">
        <v>39</v>
      </c>
      <c r="Q729" s="140"/>
      <c r="R729" s="140"/>
      <c r="S729" s="140"/>
      <c r="T729" s="140"/>
      <c r="U729" s="140"/>
      <c r="V729" s="140"/>
      <c r="W729" s="140"/>
      <c r="X729" s="140"/>
      <c r="Y729" s="140"/>
      <c r="Z729" s="140"/>
      <c r="AA729" s="140"/>
      <c r="AB729" s="140"/>
    </row>
    <row r="730">
      <c r="A730" s="145"/>
      <c r="B730" s="146"/>
      <c r="C730" s="146"/>
      <c r="D730" s="146"/>
      <c r="E730" s="146"/>
      <c r="F730" s="140"/>
      <c r="G730" s="142"/>
      <c r="H730" s="142"/>
      <c r="I730" s="142"/>
      <c r="J730" s="137" t="s">
        <v>39</v>
      </c>
      <c r="K730" s="137" t="s">
        <v>39</v>
      </c>
      <c r="L730" s="146"/>
      <c r="M730" s="141"/>
      <c r="N730" s="129"/>
      <c r="O730" s="140"/>
      <c r="P730" s="140" t="s">
        <v>39</v>
      </c>
      <c r="Q730" s="140"/>
      <c r="R730" s="140"/>
      <c r="S730" s="140"/>
      <c r="T730" s="140"/>
      <c r="U730" s="140"/>
      <c r="V730" s="140"/>
      <c r="W730" s="140"/>
      <c r="X730" s="140"/>
      <c r="Y730" s="140"/>
      <c r="Z730" s="140"/>
      <c r="AA730" s="140"/>
      <c r="AB730" s="140"/>
    </row>
    <row r="731">
      <c r="A731" s="145"/>
      <c r="B731" s="146"/>
      <c r="C731" s="146"/>
      <c r="D731" s="146"/>
      <c r="E731" s="146"/>
      <c r="F731" s="140"/>
      <c r="G731" s="142"/>
      <c r="H731" s="142"/>
      <c r="I731" s="142"/>
      <c r="J731" s="137" t="s">
        <v>39</v>
      </c>
      <c r="K731" s="137" t="s">
        <v>39</v>
      </c>
      <c r="L731" s="146"/>
      <c r="M731" s="141"/>
      <c r="N731" s="129"/>
      <c r="O731" s="140"/>
      <c r="P731" s="140" t="s">
        <v>39</v>
      </c>
      <c r="Q731" s="140"/>
      <c r="R731" s="140"/>
      <c r="S731" s="140"/>
      <c r="T731" s="140"/>
      <c r="U731" s="140"/>
      <c r="V731" s="140"/>
      <c r="W731" s="140"/>
      <c r="X731" s="140"/>
      <c r="Y731" s="140"/>
      <c r="Z731" s="140"/>
      <c r="AA731" s="140"/>
      <c r="AB731" s="140"/>
    </row>
    <row r="732">
      <c r="A732" s="145"/>
      <c r="B732" s="146"/>
      <c r="C732" s="146"/>
      <c r="D732" s="146"/>
      <c r="E732" s="146"/>
      <c r="F732" s="140"/>
      <c r="G732" s="142"/>
      <c r="H732" s="142"/>
      <c r="I732" s="142"/>
      <c r="J732" s="137" t="s">
        <v>39</v>
      </c>
      <c r="K732" s="137" t="s">
        <v>39</v>
      </c>
      <c r="L732" s="146"/>
      <c r="M732" s="141"/>
      <c r="N732" s="129"/>
      <c r="O732" s="140"/>
      <c r="P732" s="140" t="s">
        <v>39</v>
      </c>
      <c r="Q732" s="140"/>
      <c r="R732" s="140"/>
      <c r="S732" s="140"/>
      <c r="T732" s="140"/>
      <c r="U732" s="140"/>
      <c r="V732" s="140"/>
      <c r="W732" s="140"/>
      <c r="X732" s="140"/>
      <c r="Y732" s="140"/>
      <c r="Z732" s="140"/>
      <c r="AA732" s="140"/>
      <c r="AB732" s="140"/>
    </row>
    <row r="733">
      <c r="A733" s="145"/>
      <c r="B733" s="146"/>
      <c r="C733" s="146"/>
      <c r="D733" s="146"/>
      <c r="E733" s="146"/>
      <c r="F733" s="140"/>
      <c r="G733" s="142"/>
      <c r="H733" s="142"/>
      <c r="I733" s="142"/>
      <c r="J733" s="137" t="s">
        <v>39</v>
      </c>
      <c r="K733" s="137" t="s">
        <v>39</v>
      </c>
      <c r="L733" s="146"/>
      <c r="M733" s="141"/>
      <c r="N733" s="129"/>
      <c r="O733" s="140"/>
      <c r="P733" s="140" t="s">
        <v>39</v>
      </c>
      <c r="Q733" s="140"/>
      <c r="R733" s="140"/>
      <c r="S733" s="140"/>
      <c r="T733" s="140"/>
      <c r="U733" s="140"/>
      <c r="V733" s="140"/>
      <c r="W733" s="140"/>
      <c r="X733" s="140"/>
      <c r="Y733" s="140"/>
      <c r="Z733" s="140"/>
      <c r="AA733" s="140"/>
      <c r="AB733" s="140"/>
    </row>
    <row r="734">
      <c r="A734" s="145"/>
      <c r="B734" s="146"/>
      <c r="C734" s="146"/>
      <c r="D734" s="146"/>
      <c r="E734" s="146"/>
      <c r="F734" s="140"/>
      <c r="G734" s="142"/>
      <c r="H734" s="142"/>
      <c r="I734" s="142"/>
      <c r="J734" s="137" t="s">
        <v>39</v>
      </c>
      <c r="K734" s="137" t="s">
        <v>39</v>
      </c>
      <c r="L734" s="146"/>
      <c r="M734" s="141"/>
      <c r="N734" s="129"/>
      <c r="O734" s="140"/>
      <c r="P734" s="140" t="s">
        <v>39</v>
      </c>
      <c r="Q734" s="140"/>
      <c r="R734" s="140"/>
      <c r="S734" s="140"/>
      <c r="T734" s="140"/>
      <c r="U734" s="140"/>
      <c r="V734" s="140"/>
      <c r="W734" s="140"/>
      <c r="X734" s="140"/>
      <c r="Y734" s="140"/>
      <c r="Z734" s="140"/>
      <c r="AA734" s="140"/>
      <c r="AB734" s="140"/>
    </row>
    <row r="735">
      <c r="A735" s="145"/>
      <c r="B735" s="146"/>
      <c r="C735" s="146"/>
      <c r="D735" s="146"/>
      <c r="E735" s="146"/>
      <c r="F735" s="140"/>
      <c r="G735" s="142"/>
      <c r="H735" s="142"/>
      <c r="I735" s="142"/>
      <c r="J735" s="137" t="s">
        <v>39</v>
      </c>
      <c r="K735" s="137" t="s">
        <v>39</v>
      </c>
      <c r="L735" s="146"/>
      <c r="M735" s="141"/>
      <c r="N735" s="129"/>
      <c r="O735" s="140"/>
      <c r="P735" s="140" t="s">
        <v>39</v>
      </c>
      <c r="Q735" s="140"/>
      <c r="R735" s="140"/>
      <c r="S735" s="140"/>
      <c r="T735" s="140"/>
      <c r="U735" s="140"/>
      <c r="V735" s="140"/>
      <c r="W735" s="140"/>
      <c r="X735" s="140"/>
      <c r="Y735" s="140"/>
      <c r="Z735" s="140"/>
      <c r="AA735" s="140"/>
      <c r="AB735" s="140"/>
    </row>
    <row r="736">
      <c r="A736" s="145"/>
      <c r="B736" s="146"/>
      <c r="C736" s="146"/>
      <c r="D736" s="146"/>
      <c r="E736" s="146"/>
      <c r="F736" s="140"/>
      <c r="G736" s="142"/>
      <c r="H736" s="142"/>
      <c r="I736" s="142"/>
      <c r="J736" s="137" t="s">
        <v>39</v>
      </c>
      <c r="K736" s="137" t="s">
        <v>39</v>
      </c>
      <c r="L736" s="146"/>
      <c r="M736" s="141"/>
      <c r="N736" s="129"/>
      <c r="O736" s="140"/>
      <c r="P736" s="140" t="s">
        <v>39</v>
      </c>
      <c r="Q736" s="140"/>
      <c r="R736" s="140"/>
      <c r="S736" s="140"/>
      <c r="T736" s="140"/>
      <c r="U736" s="140"/>
      <c r="V736" s="140"/>
      <c r="W736" s="140"/>
      <c r="X736" s="140"/>
      <c r="Y736" s="140"/>
      <c r="Z736" s="140"/>
      <c r="AA736" s="140"/>
      <c r="AB736" s="140"/>
    </row>
    <row r="737">
      <c r="A737" s="145"/>
      <c r="B737" s="146"/>
      <c r="C737" s="146"/>
      <c r="D737" s="146"/>
      <c r="E737" s="146"/>
      <c r="F737" s="140"/>
      <c r="G737" s="142"/>
      <c r="H737" s="142"/>
      <c r="I737" s="142"/>
      <c r="J737" s="137" t="s">
        <v>39</v>
      </c>
      <c r="K737" s="137" t="s">
        <v>39</v>
      </c>
      <c r="L737" s="146"/>
      <c r="M737" s="141"/>
      <c r="N737" s="129"/>
      <c r="O737" s="140"/>
      <c r="P737" s="140" t="s">
        <v>39</v>
      </c>
      <c r="Q737" s="140"/>
      <c r="R737" s="140"/>
      <c r="S737" s="140"/>
      <c r="T737" s="140"/>
      <c r="U737" s="140"/>
      <c r="V737" s="140"/>
      <c r="W737" s="140"/>
      <c r="X737" s="140"/>
      <c r="Y737" s="140"/>
      <c r="Z737" s="140"/>
      <c r="AA737" s="140"/>
      <c r="AB737" s="140"/>
    </row>
    <row r="738">
      <c r="A738" s="145"/>
      <c r="B738" s="146"/>
      <c r="C738" s="146"/>
      <c r="D738" s="146"/>
      <c r="E738" s="146"/>
      <c r="F738" s="140"/>
      <c r="G738" s="142"/>
      <c r="H738" s="142"/>
      <c r="I738" s="142"/>
      <c r="J738" s="137" t="s">
        <v>39</v>
      </c>
      <c r="K738" s="137" t="s">
        <v>39</v>
      </c>
      <c r="L738" s="146"/>
      <c r="M738" s="141"/>
      <c r="N738" s="129"/>
      <c r="O738" s="140"/>
      <c r="P738" s="140" t="s">
        <v>39</v>
      </c>
      <c r="Q738" s="140"/>
      <c r="R738" s="140"/>
      <c r="S738" s="140"/>
      <c r="T738" s="140"/>
      <c r="U738" s="140"/>
      <c r="V738" s="140"/>
      <c r="W738" s="140"/>
      <c r="X738" s="140"/>
      <c r="Y738" s="140"/>
      <c r="Z738" s="140"/>
      <c r="AA738" s="140"/>
      <c r="AB738" s="140"/>
    </row>
    <row r="739">
      <c r="A739" s="145"/>
      <c r="B739" s="146"/>
      <c r="C739" s="146"/>
      <c r="D739" s="146"/>
      <c r="E739" s="146"/>
      <c r="F739" s="140"/>
      <c r="G739" s="142"/>
      <c r="H739" s="142"/>
      <c r="I739" s="142"/>
      <c r="J739" s="137" t="s">
        <v>39</v>
      </c>
      <c r="K739" s="137" t="s">
        <v>39</v>
      </c>
      <c r="L739" s="146"/>
      <c r="M739" s="141"/>
      <c r="N739" s="129"/>
      <c r="O739" s="140"/>
      <c r="P739" s="140" t="s">
        <v>39</v>
      </c>
      <c r="Q739" s="140"/>
      <c r="R739" s="140"/>
      <c r="S739" s="140"/>
      <c r="T739" s="140"/>
      <c r="U739" s="140"/>
      <c r="V739" s="140"/>
      <c r="W739" s="140"/>
      <c r="X739" s="140"/>
      <c r="Y739" s="140"/>
      <c r="Z739" s="140"/>
      <c r="AA739" s="140"/>
      <c r="AB739" s="140"/>
    </row>
    <row r="740">
      <c r="A740" s="145"/>
      <c r="B740" s="146"/>
      <c r="C740" s="146"/>
      <c r="D740" s="146"/>
      <c r="E740" s="146"/>
      <c r="F740" s="140"/>
      <c r="G740" s="142"/>
      <c r="H740" s="142"/>
      <c r="I740" s="142"/>
      <c r="J740" s="137" t="s">
        <v>39</v>
      </c>
      <c r="K740" s="137" t="s">
        <v>39</v>
      </c>
      <c r="L740" s="146"/>
      <c r="M740" s="141"/>
      <c r="N740" s="129"/>
      <c r="O740" s="140"/>
      <c r="P740" s="140" t="s">
        <v>39</v>
      </c>
      <c r="Q740" s="140"/>
      <c r="R740" s="140"/>
      <c r="S740" s="140"/>
      <c r="T740" s="140"/>
      <c r="U740" s="140"/>
      <c r="V740" s="140"/>
      <c r="W740" s="140"/>
      <c r="X740" s="140"/>
      <c r="Y740" s="140"/>
      <c r="Z740" s="140"/>
      <c r="AA740" s="140"/>
      <c r="AB740" s="140"/>
    </row>
    <row r="741">
      <c r="A741" s="145"/>
      <c r="B741" s="146"/>
      <c r="C741" s="146"/>
      <c r="D741" s="146"/>
      <c r="E741" s="146"/>
      <c r="F741" s="140"/>
      <c r="G741" s="142"/>
      <c r="H741" s="142"/>
      <c r="I741" s="142"/>
      <c r="J741" s="137" t="s">
        <v>39</v>
      </c>
      <c r="K741" s="137" t="s">
        <v>39</v>
      </c>
      <c r="L741" s="146"/>
      <c r="M741" s="141"/>
      <c r="N741" s="129"/>
      <c r="O741" s="140"/>
      <c r="P741" s="140" t="s">
        <v>39</v>
      </c>
      <c r="Q741" s="140"/>
      <c r="R741" s="140"/>
      <c r="S741" s="140"/>
      <c r="T741" s="140"/>
      <c r="U741" s="140"/>
      <c r="V741" s="140"/>
      <c r="W741" s="140"/>
      <c r="X741" s="140"/>
      <c r="Y741" s="140"/>
      <c r="Z741" s="140"/>
      <c r="AA741" s="140"/>
      <c r="AB741" s="140"/>
    </row>
    <row r="742">
      <c r="A742" s="145"/>
      <c r="B742" s="146"/>
      <c r="C742" s="146"/>
      <c r="D742" s="146"/>
      <c r="E742" s="146"/>
      <c r="F742" s="140"/>
      <c r="G742" s="142"/>
      <c r="H742" s="142"/>
      <c r="I742" s="142"/>
      <c r="J742" s="137" t="s">
        <v>39</v>
      </c>
      <c r="K742" s="137" t="s">
        <v>39</v>
      </c>
      <c r="L742" s="146"/>
      <c r="M742" s="141"/>
      <c r="N742" s="129"/>
      <c r="O742" s="140"/>
      <c r="P742" s="140" t="s">
        <v>39</v>
      </c>
      <c r="Q742" s="140"/>
      <c r="R742" s="140"/>
      <c r="S742" s="140"/>
      <c r="T742" s="140"/>
      <c r="U742" s="140"/>
      <c r="V742" s="140"/>
      <c r="W742" s="140"/>
      <c r="X742" s="140"/>
      <c r="Y742" s="140"/>
      <c r="Z742" s="140"/>
      <c r="AA742" s="140"/>
      <c r="AB742" s="140"/>
    </row>
    <row r="743">
      <c r="A743" s="145"/>
      <c r="B743" s="146"/>
      <c r="C743" s="146"/>
      <c r="D743" s="146"/>
      <c r="E743" s="146"/>
      <c r="F743" s="140"/>
      <c r="G743" s="142"/>
      <c r="H743" s="142"/>
      <c r="I743" s="142"/>
      <c r="J743" s="137" t="s">
        <v>39</v>
      </c>
      <c r="K743" s="137" t="s">
        <v>39</v>
      </c>
      <c r="L743" s="146"/>
      <c r="M743" s="141"/>
      <c r="N743" s="129"/>
      <c r="O743" s="140"/>
      <c r="P743" s="140" t="s">
        <v>39</v>
      </c>
      <c r="Q743" s="140"/>
      <c r="R743" s="140"/>
      <c r="S743" s="140"/>
      <c r="T743" s="140"/>
      <c r="U743" s="140"/>
      <c r="V743" s="140"/>
      <c r="W743" s="140"/>
      <c r="X743" s="140"/>
      <c r="Y743" s="140"/>
      <c r="Z743" s="140"/>
      <c r="AA743" s="140"/>
      <c r="AB743" s="140"/>
    </row>
    <row r="744">
      <c r="A744" s="145"/>
      <c r="B744" s="146"/>
      <c r="C744" s="146"/>
      <c r="D744" s="146"/>
      <c r="E744" s="146"/>
      <c r="F744" s="140"/>
      <c r="G744" s="142"/>
      <c r="H744" s="142"/>
      <c r="I744" s="142"/>
      <c r="J744" s="137" t="s">
        <v>39</v>
      </c>
      <c r="K744" s="137" t="s">
        <v>39</v>
      </c>
      <c r="L744" s="146"/>
      <c r="M744" s="141"/>
      <c r="N744" s="129"/>
      <c r="O744" s="140"/>
      <c r="P744" s="140" t="s">
        <v>39</v>
      </c>
      <c r="Q744" s="140"/>
      <c r="R744" s="140"/>
      <c r="S744" s="140"/>
      <c r="T744" s="140"/>
      <c r="U744" s="140"/>
      <c r="V744" s="140"/>
      <c r="W744" s="140"/>
      <c r="X744" s="140"/>
      <c r="Y744" s="140"/>
      <c r="Z744" s="140"/>
      <c r="AA744" s="140"/>
      <c r="AB744" s="140"/>
    </row>
    <row r="745">
      <c r="A745" s="145"/>
      <c r="B745" s="146"/>
      <c r="C745" s="146"/>
      <c r="D745" s="146"/>
      <c r="E745" s="146"/>
      <c r="F745" s="140"/>
      <c r="G745" s="142"/>
      <c r="H745" s="142"/>
      <c r="I745" s="142"/>
      <c r="J745" s="137" t="s">
        <v>39</v>
      </c>
      <c r="K745" s="137" t="s">
        <v>39</v>
      </c>
      <c r="L745" s="146"/>
      <c r="M745" s="141"/>
      <c r="N745" s="129"/>
      <c r="O745" s="140"/>
      <c r="P745" s="140" t="s">
        <v>39</v>
      </c>
      <c r="Q745" s="140"/>
      <c r="R745" s="140"/>
      <c r="S745" s="140"/>
      <c r="T745" s="140"/>
      <c r="U745" s="140"/>
      <c r="V745" s="140"/>
      <c r="W745" s="140"/>
      <c r="X745" s="140"/>
      <c r="Y745" s="140"/>
      <c r="Z745" s="140"/>
      <c r="AA745" s="140"/>
      <c r="AB745" s="140"/>
    </row>
    <row r="746">
      <c r="A746" s="145"/>
      <c r="B746" s="146"/>
      <c r="C746" s="146"/>
      <c r="D746" s="146"/>
      <c r="E746" s="146"/>
      <c r="F746" s="140"/>
      <c r="G746" s="142"/>
      <c r="H746" s="142"/>
      <c r="I746" s="142"/>
      <c r="J746" s="137" t="s">
        <v>39</v>
      </c>
      <c r="K746" s="137" t="s">
        <v>39</v>
      </c>
      <c r="L746" s="146"/>
      <c r="M746" s="141"/>
      <c r="N746" s="129"/>
      <c r="O746" s="140"/>
      <c r="P746" s="140" t="s">
        <v>39</v>
      </c>
      <c r="Q746" s="140"/>
      <c r="R746" s="140"/>
      <c r="S746" s="140"/>
      <c r="T746" s="140"/>
      <c r="U746" s="140"/>
      <c r="V746" s="140"/>
      <c r="W746" s="140"/>
      <c r="X746" s="140"/>
      <c r="Y746" s="140"/>
      <c r="Z746" s="140"/>
      <c r="AA746" s="140"/>
      <c r="AB746" s="140"/>
    </row>
    <row r="747">
      <c r="A747" s="145"/>
      <c r="B747" s="146"/>
      <c r="C747" s="146"/>
      <c r="D747" s="146"/>
      <c r="E747" s="146"/>
      <c r="F747" s="140"/>
      <c r="G747" s="142"/>
      <c r="H747" s="142"/>
      <c r="I747" s="142"/>
      <c r="J747" s="137" t="s">
        <v>39</v>
      </c>
      <c r="K747" s="137" t="s">
        <v>39</v>
      </c>
      <c r="L747" s="146"/>
      <c r="M747" s="141"/>
      <c r="N747" s="129"/>
      <c r="O747" s="140"/>
      <c r="P747" s="140" t="s">
        <v>39</v>
      </c>
      <c r="Q747" s="140"/>
      <c r="R747" s="140"/>
      <c r="S747" s="140"/>
      <c r="T747" s="140"/>
      <c r="U747" s="140"/>
      <c r="V747" s="140"/>
      <c r="W747" s="140"/>
      <c r="X747" s="140"/>
      <c r="Y747" s="140"/>
      <c r="Z747" s="140"/>
      <c r="AA747" s="140"/>
      <c r="AB747" s="140"/>
    </row>
    <row r="748">
      <c r="A748" s="145"/>
      <c r="B748" s="146"/>
      <c r="C748" s="146"/>
      <c r="D748" s="146"/>
      <c r="E748" s="146"/>
      <c r="F748" s="140"/>
      <c r="G748" s="142"/>
      <c r="H748" s="142"/>
      <c r="I748" s="142"/>
      <c r="J748" s="137" t="s">
        <v>39</v>
      </c>
      <c r="K748" s="137" t="s">
        <v>39</v>
      </c>
      <c r="L748" s="146"/>
      <c r="M748" s="141"/>
      <c r="N748" s="129"/>
      <c r="O748" s="140"/>
      <c r="P748" s="140" t="s">
        <v>39</v>
      </c>
      <c r="Q748" s="140"/>
      <c r="R748" s="140"/>
      <c r="S748" s="140"/>
      <c r="T748" s="140"/>
      <c r="U748" s="140"/>
      <c r="V748" s="140"/>
      <c r="W748" s="140"/>
      <c r="X748" s="140"/>
      <c r="Y748" s="140"/>
      <c r="Z748" s="140"/>
      <c r="AA748" s="140"/>
      <c r="AB748" s="140"/>
    </row>
    <row r="749">
      <c r="A749" s="145"/>
      <c r="B749" s="146"/>
      <c r="C749" s="146"/>
      <c r="D749" s="146"/>
      <c r="E749" s="146"/>
      <c r="F749" s="140"/>
      <c r="G749" s="142"/>
      <c r="H749" s="142"/>
      <c r="I749" s="142"/>
      <c r="J749" s="137" t="s">
        <v>39</v>
      </c>
      <c r="K749" s="137" t="s">
        <v>39</v>
      </c>
      <c r="L749" s="146"/>
      <c r="M749" s="141"/>
      <c r="N749" s="129"/>
      <c r="O749" s="140"/>
      <c r="P749" s="140" t="s">
        <v>39</v>
      </c>
      <c r="Q749" s="140"/>
      <c r="R749" s="140"/>
      <c r="S749" s="140"/>
      <c r="T749" s="140"/>
      <c r="U749" s="140"/>
      <c r="V749" s="140"/>
      <c r="W749" s="140"/>
      <c r="X749" s="140"/>
      <c r="Y749" s="140"/>
      <c r="Z749" s="140"/>
      <c r="AA749" s="140"/>
      <c r="AB749" s="140"/>
    </row>
    <row r="750">
      <c r="A750" s="145"/>
      <c r="B750" s="146"/>
      <c r="C750" s="146"/>
      <c r="D750" s="146"/>
      <c r="E750" s="146"/>
      <c r="F750" s="140"/>
      <c r="G750" s="142"/>
      <c r="H750" s="142"/>
      <c r="I750" s="142"/>
      <c r="J750" s="137" t="s">
        <v>39</v>
      </c>
      <c r="K750" s="137" t="s">
        <v>39</v>
      </c>
      <c r="L750" s="146"/>
      <c r="M750" s="141"/>
      <c r="N750" s="129"/>
      <c r="O750" s="140"/>
      <c r="P750" s="140" t="s">
        <v>39</v>
      </c>
      <c r="Q750" s="140"/>
      <c r="R750" s="140"/>
      <c r="S750" s="140"/>
      <c r="T750" s="140"/>
      <c r="U750" s="140"/>
      <c r="V750" s="140"/>
      <c r="W750" s="140"/>
      <c r="X750" s="140"/>
      <c r="Y750" s="140"/>
      <c r="Z750" s="140"/>
      <c r="AA750" s="140"/>
      <c r="AB750" s="140"/>
    </row>
    <row r="751">
      <c r="A751" s="145"/>
      <c r="B751" s="146"/>
      <c r="C751" s="146"/>
      <c r="D751" s="146"/>
      <c r="E751" s="146"/>
      <c r="F751" s="140"/>
      <c r="G751" s="142"/>
      <c r="H751" s="142"/>
      <c r="I751" s="142"/>
      <c r="J751" s="137" t="s">
        <v>39</v>
      </c>
      <c r="K751" s="137" t="s">
        <v>39</v>
      </c>
      <c r="L751" s="146"/>
      <c r="M751" s="141"/>
      <c r="N751" s="129"/>
      <c r="O751" s="140"/>
      <c r="P751" s="140" t="s">
        <v>39</v>
      </c>
      <c r="Q751" s="140"/>
      <c r="R751" s="140"/>
      <c r="S751" s="140"/>
      <c r="T751" s="140"/>
      <c r="U751" s="140"/>
      <c r="V751" s="140"/>
      <c r="W751" s="140"/>
      <c r="X751" s="140"/>
      <c r="Y751" s="140"/>
      <c r="Z751" s="140"/>
      <c r="AA751" s="140"/>
      <c r="AB751" s="140"/>
    </row>
    <row r="752">
      <c r="A752" s="145"/>
      <c r="B752" s="146"/>
      <c r="C752" s="146"/>
      <c r="D752" s="146"/>
      <c r="E752" s="146"/>
      <c r="F752" s="140"/>
      <c r="G752" s="142"/>
      <c r="H752" s="142"/>
      <c r="I752" s="142"/>
      <c r="J752" s="137" t="s">
        <v>39</v>
      </c>
      <c r="K752" s="137" t="s">
        <v>39</v>
      </c>
      <c r="L752" s="146"/>
      <c r="M752" s="141"/>
      <c r="N752" s="129"/>
      <c r="O752" s="140"/>
      <c r="P752" s="140" t="s">
        <v>39</v>
      </c>
      <c r="Q752" s="140"/>
      <c r="R752" s="140"/>
      <c r="S752" s="140"/>
      <c r="T752" s="140"/>
      <c r="U752" s="140"/>
      <c r="V752" s="140"/>
      <c r="W752" s="140"/>
      <c r="X752" s="140"/>
      <c r="Y752" s="140"/>
      <c r="Z752" s="140"/>
      <c r="AA752" s="140"/>
      <c r="AB752" s="140"/>
    </row>
    <row r="753">
      <c r="A753" s="145"/>
      <c r="B753" s="146"/>
      <c r="C753" s="146"/>
      <c r="D753" s="146"/>
      <c r="E753" s="146"/>
      <c r="F753" s="140"/>
      <c r="G753" s="142"/>
      <c r="H753" s="142"/>
      <c r="I753" s="142"/>
      <c r="J753" s="137" t="s">
        <v>39</v>
      </c>
      <c r="K753" s="137" t="s">
        <v>39</v>
      </c>
      <c r="L753" s="146"/>
      <c r="M753" s="141"/>
      <c r="N753" s="129"/>
      <c r="O753" s="140"/>
      <c r="P753" s="140" t="s">
        <v>39</v>
      </c>
      <c r="Q753" s="140"/>
      <c r="R753" s="140"/>
      <c r="S753" s="140"/>
      <c r="T753" s="140"/>
      <c r="U753" s="140"/>
      <c r="V753" s="140"/>
      <c r="W753" s="140"/>
      <c r="X753" s="140"/>
      <c r="Y753" s="140"/>
      <c r="Z753" s="140"/>
      <c r="AA753" s="140"/>
      <c r="AB753" s="140"/>
    </row>
    <row r="754">
      <c r="A754" s="145"/>
      <c r="B754" s="146"/>
      <c r="C754" s="146"/>
      <c r="D754" s="146"/>
      <c r="E754" s="146"/>
      <c r="F754" s="140"/>
      <c r="G754" s="142"/>
      <c r="H754" s="142"/>
      <c r="I754" s="142"/>
      <c r="J754" s="137" t="s">
        <v>39</v>
      </c>
      <c r="K754" s="137" t="s">
        <v>39</v>
      </c>
      <c r="L754" s="146"/>
      <c r="M754" s="141"/>
      <c r="N754" s="129"/>
      <c r="O754" s="140"/>
      <c r="P754" s="140" t="s">
        <v>39</v>
      </c>
      <c r="Q754" s="140"/>
      <c r="R754" s="140"/>
      <c r="S754" s="140"/>
      <c r="T754" s="140"/>
      <c r="U754" s="140"/>
      <c r="V754" s="140"/>
      <c r="W754" s="140"/>
      <c r="X754" s="140"/>
      <c r="Y754" s="140"/>
      <c r="Z754" s="140"/>
      <c r="AA754" s="140"/>
      <c r="AB754" s="140"/>
    </row>
    <row r="755">
      <c r="A755" s="145"/>
      <c r="B755" s="146"/>
      <c r="C755" s="146"/>
      <c r="D755" s="146"/>
      <c r="E755" s="146"/>
      <c r="F755" s="140"/>
      <c r="G755" s="142"/>
      <c r="H755" s="142"/>
      <c r="I755" s="142"/>
      <c r="J755" s="137" t="s">
        <v>39</v>
      </c>
      <c r="K755" s="137" t="s">
        <v>39</v>
      </c>
      <c r="L755" s="146"/>
      <c r="M755" s="141"/>
      <c r="N755" s="129"/>
      <c r="O755" s="140"/>
      <c r="P755" s="140" t="s">
        <v>39</v>
      </c>
      <c r="Q755" s="140"/>
      <c r="R755" s="140"/>
      <c r="S755" s="140"/>
      <c r="T755" s="140"/>
      <c r="U755" s="140"/>
      <c r="V755" s="140"/>
      <c r="W755" s="140"/>
      <c r="X755" s="140"/>
      <c r="Y755" s="140"/>
      <c r="Z755" s="140"/>
      <c r="AA755" s="140"/>
      <c r="AB755" s="140"/>
    </row>
    <row r="756">
      <c r="A756" s="145"/>
      <c r="B756" s="146"/>
      <c r="C756" s="146"/>
      <c r="D756" s="146"/>
      <c r="E756" s="146"/>
      <c r="F756" s="140"/>
      <c r="G756" s="142"/>
      <c r="H756" s="142"/>
      <c r="I756" s="142"/>
      <c r="J756" s="137" t="s">
        <v>39</v>
      </c>
      <c r="K756" s="137" t="s">
        <v>39</v>
      </c>
      <c r="L756" s="146"/>
      <c r="M756" s="141"/>
      <c r="N756" s="129"/>
      <c r="O756" s="140"/>
      <c r="P756" s="140" t="s">
        <v>39</v>
      </c>
      <c r="Q756" s="140"/>
      <c r="R756" s="140"/>
      <c r="S756" s="140"/>
      <c r="T756" s="140"/>
      <c r="U756" s="140"/>
      <c r="V756" s="140"/>
      <c r="W756" s="140"/>
      <c r="X756" s="140"/>
      <c r="Y756" s="140"/>
      <c r="Z756" s="140"/>
      <c r="AA756" s="140"/>
      <c r="AB756" s="140"/>
    </row>
    <row r="757">
      <c r="A757" s="145"/>
      <c r="B757" s="146"/>
      <c r="C757" s="146"/>
      <c r="D757" s="146"/>
      <c r="E757" s="146"/>
      <c r="F757" s="140"/>
      <c r="G757" s="142"/>
      <c r="H757" s="142"/>
      <c r="I757" s="142"/>
      <c r="J757" s="137" t="s">
        <v>39</v>
      </c>
      <c r="K757" s="137" t="s">
        <v>39</v>
      </c>
      <c r="L757" s="146"/>
      <c r="M757" s="141"/>
      <c r="N757" s="129"/>
      <c r="O757" s="140"/>
      <c r="P757" s="140" t="s">
        <v>39</v>
      </c>
      <c r="Q757" s="140"/>
      <c r="R757" s="140"/>
      <c r="S757" s="140"/>
      <c r="T757" s="140"/>
      <c r="U757" s="140"/>
      <c r="V757" s="140"/>
      <c r="W757" s="140"/>
      <c r="X757" s="140"/>
      <c r="Y757" s="140"/>
      <c r="Z757" s="140"/>
      <c r="AA757" s="140"/>
      <c r="AB757" s="140"/>
    </row>
    <row r="758">
      <c r="A758" s="145"/>
      <c r="B758" s="146"/>
      <c r="C758" s="146"/>
      <c r="D758" s="146"/>
      <c r="E758" s="146"/>
      <c r="F758" s="140"/>
      <c r="G758" s="142"/>
      <c r="H758" s="142"/>
      <c r="I758" s="142"/>
      <c r="J758" s="137" t="s">
        <v>39</v>
      </c>
      <c r="K758" s="137" t="s">
        <v>39</v>
      </c>
      <c r="L758" s="146"/>
      <c r="M758" s="141"/>
      <c r="N758" s="129"/>
      <c r="O758" s="140"/>
      <c r="P758" s="140" t="s">
        <v>39</v>
      </c>
      <c r="Q758" s="140"/>
      <c r="R758" s="140"/>
      <c r="S758" s="140"/>
      <c r="T758" s="140"/>
      <c r="U758" s="140"/>
      <c r="V758" s="140"/>
      <c r="W758" s="140"/>
      <c r="X758" s="140"/>
      <c r="Y758" s="140"/>
      <c r="Z758" s="140"/>
      <c r="AA758" s="140"/>
      <c r="AB758" s="140"/>
    </row>
    <row r="759">
      <c r="A759" s="145"/>
      <c r="B759" s="146"/>
      <c r="C759" s="146"/>
      <c r="D759" s="146"/>
      <c r="E759" s="146"/>
      <c r="F759" s="140"/>
      <c r="G759" s="142"/>
      <c r="H759" s="142"/>
      <c r="I759" s="142"/>
      <c r="J759" s="137" t="s">
        <v>39</v>
      </c>
      <c r="K759" s="137" t="s">
        <v>39</v>
      </c>
      <c r="L759" s="146"/>
      <c r="M759" s="141"/>
      <c r="N759" s="129"/>
      <c r="O759" s="140"/>
      <c r="P759" s="140" t="s">
        <v>39</v>
      </c>
      <c r="Q759" s="140"/>
      <c r="R759" s="140"/>
      <c r="S759" s="140"/>
      <c r="T759" s="140"/>
      <c r="U759" s="140"/>
      <c r="V759" s="140"/>
      <c r="W759" s="140"/>
      <c r="X759" s="140"/>
      <c r="Y759" s="140"/>
      <c r="Z759" s="140"/>
      <c r="AA759" s="140"/>
      <c r="AB759" s="140"/>
    </row>
    <row r="760">
      <c r="A760" s="145"/>
      <c r="B760" s="146"/>
      <c r="C760" s="146"/>
      <c r="D760" s="146"/>
      <c r="E760" s="146"/>
      <c r="F760" s="140"/>
      <c r="G760" s="142"/>
      <c r="H760" s="142"/>
      <c r="I760" s="142"/>
      <c r="J760" s="137" t="s">
        <v>39</v>
      </c>
      <c r="K760" s="137" t="s">
        <v>39</v>
      </c>
      <c r="L760" s="146"/>
      <c r="M760" s="141"/>
      <c r="N760" s="129"/>
      <c r="O760" s="140"/>
      <c r="P760" s="140" t="s">
        <v>39</v>
      </c>
      <c r="Q760" s="140"/>
      <c r="R760" s="140"/>
      <c r="S760" s="140"/>
      <c r="T760" s="140"/>
      <c r="U760" s="140"/>
      <c r="V760" s="140"/>
      <c r="W760" s="140"/>
      <c r="X760" s="140"/>
      <c r="Y760" s="140"/>
      <c r="Z760" s="140"/>
      <c r="AA760" s="140"/>
      <c r="AB760" s="140"/>
    </row>
    <row r="761">
      <c r="A761" s="145"/>
      <c r="B761" s="146"/>
      <c r="C761" s="146"/>
      <c r="D761" s="146"/>
      <c r="E761" s="146"/>
      <c r="F761" s="140"/>
      <c r="G761" s="142"/>
      <c r="H761" s="142"/>
      <c r="I761" s="142"/>
      <c r="J761" s="137" t="s">
        <v>39</v>
      </c>
      <c r="K761" s="137" t="s">
        <v>39</v>
      </c>
      <c r="L761" s="146"/>
      <c r="M761" s="141"/>
      <c r="N761" s="129"/>
      <c r="O761" s="140"/>
      <c r="P761" s="140" t="s">
        <v>39</v>
      </c>
      <c r="Q761" s="140"/>
      <c r="R761" s="140"/>
      <c r="S761" s="140"/>
      <c r="T761" s="140"/>
      <c r="U761" s="140"/>
      <c r="V761" s="140"/>
      <c r="W761" s="140"/>
      <c r="X761" s="140"/>
      <c r="Y761" s="140"/>
      <c r="Z761" s="140"/>
      <c r="AA761" s="140"/>
      <c r="AB761" s="140"/>
    </row>
    <row r="762">
      <c r="A762" s="145"/>
      <c r="B762" s="146"/>
      <c r="C762" s="146"/>
      <c r="D762" s="146"/>
      <c r="E762" s="146"/>
      <c r="F762" s="140"/>
      <c r="G762" s="142"/>
      <c r="H762" s="142"/>
      <c r="I762" s="142"/>
      <c r="J762" s="137" t="s">
        <v>39</v>
      </c>
      <c r="K762" s="137" t="s">
        <v>39</v>
      </c>
      <c r="L762" s="146"/>
      <c r="M762" s="141"/>
      <c r="N762" s="129"/>
      <c r="O762" s="140"/>
      <c r="P762" s="140" t="s">
        <v>39</v>
      </c>
      <c r="Q762" s="140"/>
      <c r="R762" s="140"/>
      <c r="S762" s="140"/>
      <c r="T762" s="140"/>
      <c r="U762" s="140"/>
      <c r="V762" s="140"/>
      <c r="W762" s="140"/>
      <c r="X762" s="140"/>
      <c r="Y762" s="140"/>
      <c r="Z762" s="140"/>
      <c r="AA762" s="140"/>
      <c r="AB762" s="140"/>
    </row>
    <row r="763">
      <c r="A763" s="145"/>
      <c r="B763" s="146"/>
      <c r="C763" s="146"/>
      <c r="D763" s="146"/>
      <c r="E763" s="146"/>
      <c r="F763" s="140"/>
      <c r="G763" s="142"/>
      <c r="H763" s="142"/>
      <c r="I763" s="142"/>
      <c r="J763" s="137" t="s">
        <v>39</v>
      </c>
      <c r="K763" s="137" t="s">
        <v>39</v>
      </c>
      <c r="L763" s="146"/>
      <c r="M763" s="141"/>
      <c r="N763" s="129"/>
      <c r="O763" s="140"/>
      <c r="P763" s="140" t="s">
        <v>39</v>
      </c>
      <c r="Q763" s="140"/>
      <c r="R763" s="140"/>
      <c r="S763" s="140"/>
      <c r="T763" s="140"/>
      <c r="U763" s="140"/>
      <c r="V763" s="140"/>
      <c r="W763" s="140"/>
      <c r="X763" s="140"/>
      <c r="Y763" s="140"/>
      <c r="Z763" s="140"/>
      <c r="AA763" s="140"/>
      <c r="AB763" s="140"/>
    </row>
    <row r="764">
      <c r="A764" s="145"/>
      <c r="B764" s="146"/>
      <c r="C764" s="146"/>
      <c r="D764" s="146"/>
      <c r="E764" s="146"/>
      <c r="F764" s="140"/>
      <c r="G764" s="142"/>
      <c r="H764" s="142"/>
      <c r="I764" s="142"/>
      <c r="J764" s="137" t="s">
        <v>39</v>
      </c>
      <c r="K764" s="137" t="s">
        <v>39</v>
      </c>
      <c r="L764" s="146"/>
      <c r="M764" s="141"/>
      <c r="N764" s="129"/>
      <c r="O764" s="140"/>
      <c r="P764" s="140" t="s">
        <v>39</v>
      </c>
      <c r="Q764" s="140"/>
      <c r="R764" s="140"/>
      <c r="S764" s="140"/>
      <c r="T764" s="140"/>
      <c r="U764" s="140"/>
      <c r="V764" s="140"/>
      <c r="W764" s="140"/>
      <c r="X764" s="140"/>
      <c r="Y764" s="140"/>
      <c r="Z764" s="140"/>
      <c r="AA764" s="140"/>
      <c r="AB764" s="140"/>
    </row>
    <row r="765">
      <c r="A765" s="145"/>
      <c r="B765" s="146"/>
      <c r="C765" s="146"/>
      <c r="D765" s="146"/>
      <c r="E765" s="146"/>
      <c r="F765" s="140"/>
      <c r="G765" s="142"/>
      <c r="H765" s="142"/>
      <c r="I765" s="142"/>
      <c r="J765" s="137" t="s">
        <v>39</v>
      </c>
      <c r="K765" s="137" t="s">
        <v>39</v>
      </c>
      <c r="L765" s="146"/>
      <c r="M765" s="141"/>
      <c r="N765" s="129"/>
      <c r="O765" s="140"/>
      <c r="P765" s="140" t="s">
        <v>39</v>
      </c>
      <c r="Q765" s="140"/>
      <c r="R765" s="140"/>
      <c r="S765" s="140"/>
      <c r="T765" s="140"/>
      <c r="U765" s="140"/>
      <c r="V765" s="140"/>
      <c r="W765" s="140"/>
      <c r="X765" s="140"/>
      <c r="Y765" s="140"/>
      <c r="Z765" s="140"/>
      <c r="AA765" s="140"/>
      <c r="AB765" s="140"/>
    </row>
    <row r="766">
      <c r="A766" s="145"/>
      <c r="B766" s="146"/>
      <c r="C766" s="146"/>
      <c r="D766" s="146"/>
      <c r="E766" s="146"/>
      <c r="F766" s="140"/>
      <c r="G766" s="142"/>
      <c r="H766" s="142"/>
      <c r="I766" s="142"/>
      <c r="J766" s="137" t="s">
        <v>39</v>
      </c>
      <c r="K766" s="137" t="s">
        <v>39</v>
      </c>
      <c r="L766" s="146"/>
      <c r="M766" s="141"/>
      <c r="N766" s="129"/>
      <c r="O766" s="140"/>
      <c r="P766" s="140" t="s">
        <v>39</v>
      </c>
      <c r="Q766" s="140"/>
      <c r="R766" s="140"/>
      <c r="S766" s="140"/>
      <c r="T766" s="140"/>
      <c r="U766" s="140"/>
      <c r="V766" s="140"/>
      <c r="W766" s="140"/>
      <c r="X766" s="140"/>
      <c r="Y766" s="140"/>
      <c r="Z766" s="140"/>
      <c r="AA766" s="140"/>
      <c r="AB766" s="140"/>
    </row>
    <row r="767">
      <c r="A767" s="145"/>
      <c r="B767" s="146"/>
      <c r="C767" s="146"/>
      <c r="D767" s="146"/>
      <c r="E767" s="146"/>
      <c r="F767" s="140"/>
      <c r="G767" s="142"/>
      <c r="H767" s="142"/>
      <c r="I767" s="142"/>
      <c r="J767" s="137" t="s">
        <v>39</v>
      </c>
      <c r="K767" s="137" t="s">
        <v>39</v>
      </c>
      <c r="L767" s="146"/>
      <c r="M767" s="141"/>
      <c r="N767" s="129"/>
      <c r="O767" s="140"/>
      <c r="P767" s="140" t="s">
        <v>39</v>
      </c>
      <c r="Q767" s="140"/>
      <c r="R767" s="140"/>
      <c r="S767" s="140"/>
      <c r="T767" s="140"/>
      <c r="U767" s="140"/>
      <c r="V767" s="140"/>
      <c r="W767" s="140"/>
      <c r="X767" s="140"/>
      <c r="Y767" s="140"/>
      <c r="Z767" s="140"/>
      <c r="AA767" s="140"/>
      <c r="AB767" s="140"/>
    </row>
    <row r="768">
      <c r="A768" s="145"/>
      <c r="B768" s="146"/>
      <c r="C768" s="146"/>
      <c r="D768" s="146"/>
      <c r="E768" s="146"/>
      <c r="F768" s="140"/>
      <c r="G768" s="142"/>
      <c r="H768" s="142"/>
      <c r="I768" s="142"/>
      <c r="J768" s="137" t="s">
        <v>39</v>
      </c>
      <c r="K768" s="137" t="s">
        <v>39</v>
      </c>
      <c r="L768" s="146"/>
      <c r="M768" s="141"/>
      <c r="N768" s="129"/>
      <c r="O768" s="140"/>
      <c r="P768" s="140" t="s">
        <v>39</v>
      </c>
      <c r="Q768" s="140"/>
      <c r="R768" s="140"/>
      <c r="S768" s="140"/>
      <c r="T768" s="140"/>
      <c r="U768" s="140"/>
      <c r="V768" s="140"/>
      <c r="W768" s="140"/>
      <c r="X768" s="140"/>
      <c r="Y768" s="140"/>
      <c r="Z768" s="140"/>
      <c r="AA768" s="140"/>
      <c r="AB768" s="140"/>
    </row>
    <row r="769">
      <c r="A769" s="145"/>
      <c r="B769" s="146"/>
      <c r="C769" s="146"/>
      <c r="D769" s="146"/>
      <c r="E769" s="146"/>
      <c r="F769" s="140"/>
      <c r="G769" s="142"/>
      <c r="H769" s="142"/>
      <c r="I769" s="142"/>
      <c r="J769" s="137" t="s">
        <v>39</v>
      </c>
      <c r="K769" s="137" t="s">
        <v>39</v>
      </c>
      <c r="L769" s="146"/>
      <c r="M769" s="141"/>
      <c r="N769" s="129"/>
      <c r="O769" s="140"/>
      <c r="P769" s="140" t="s">
        <v>39</v>
      </c>
      <c r="Q769" s="140"/>
      <c r="R769" s="140"/>
      <c r="S769" s="140"/>
      <c r="T769" s="140"/>
      <c r="U769" s="140"/>
      <c r="V769" s="140"/>
      <c r="W769" s="140"/>
      <c r="X769" s="140"/>
      <c r="Y769" s="140"/>
      <c r="Z769" s="140"/>
      <c r="AA769" s="140"/>
      <c r="AB769" s="140"/>
    </row>
    <row r="770">
      <c r="A770" s="145"/>
      <c r="B770" s="146"/>
      <c r="C770" s="146"/>
      <c r="D770" s="146"/>
      <c r="E770" s="146"/>
      <c r="F770" s="140"/>
      <c r="G770" s="142"/>
      <c r="H770" s="142"/>
      <c r="I770" s="142"/>
      <c r="J770" s="137" t="s">
        <v>39</v>
      </c>
      <c r="K770" s="137" t="s">
        <v>39</v>
      </c>
      <c r="L770" s="146"/>
      <c r="M770" s="141"/>
      <c r="N770" s="129"/>
      <c r="O770" s="140"/>
      <c r="P770" s="140" t="s">
        <v>39</v>
      </c>
      <c r="Q770" s="140"/>
      <c r="R770" s="140"/>
      <c r="S770" s="140"/>
      <c r="T770" s="140"/>
      <c r="U770" s="140"/>
      <c r="V770" s="140"/>
      <c r="W770" s="140"/>
      <c r="X770" s="140"/>
      <c r="Y770" s="140"/>
      <c r="Z770" s="140"/>
      <c r="AA770" s="140"/>
      <c r="AB770" s="140"/>
    </row>
    <row r="771">
      <c r="A771" s="145"/>
      <c r="B771" s="146"/>
      <c r="C771" s="146"/>
      <c r="D771" s="146"/>
      <c r="E771" s="146"/>
      <c r="F771" s="140"/>
      <c r="G771" s="142"/>
      <c r="H771" s="142"/>
      <c r="I771" s="142"/>
      <c r="J771" s="137" t="s">
        <v>39</v>
      </c>
      <c r="K771" s="137" t="s">
        <v>39</v>
      </c>
      <c r="L771" s="146"/>
      <c r="M771" s="141"/>
      <c r="N771" s="129"/>
      <c r="O771" s="140"/>
      <c r="P771" s="140" t="s">
        <v>39</v>
      </c>
      <c r="Q771" s="140"/>
      <c r="R771" s="140"/>
      <c r="S771" s="140"/>
      <c r="T771" s="140"/>
      <c r="U771" s="140"/>
      <c r="V771" s="140"/>
      <c r="W771" s="140"/>
      <c r="X771" s="140"/>
      <c r="Y771" s="140"/>
      <c r="Z771" s="140"/>
      <c r="AA771" s="140"/>
      <c r="AB771" s="140"/>
    </row>
    <row r="772">
      <c r="A772" s="145"/>
      <c r="B772" s="146"/>
      <c r="C772" s="146"/>
      <c r="D772" s="146"/>
      <c r="E772" s="146"/>
      <c r="F772" s="140"/>
      <c r="G772" s="142"/>
      <c r="H772" s="142"/>
      <c r="I772" s="142"/>
      <c r="J772" s="137" t="s">
        <v>39</v>
      </c>
      <c r="K772" s="137" t="s">
        <v>39</v>
      </c>
      <c r="L772" s="146"/>
      <c r="M772" s="141"/>
      <c r="N772" s="129"/>
      <c r="O772" s="140"/>
      <c r="P772" s="140" t="s">
        <v>39</v>
      </c>
      <c r="Q772" s="140"/>
      <c r="R772" s="140"/>
      <c r="S772" s="140"/>
      <c r="T772" s="140"/>
      <c r="U772" s="140"/>
      <c r="V772" s="140"/>
      <c r="W772" s="140"/>
      <c r="X772" s="140"/>
      <c r="Y772" s="140"/>
      <c r="Z772" s="140"/>
      <c r="AA772" s="140"/>
      <c r="AB772" s="140"/>
    </row>
    <row r="773">
      <c r="A773" s="145"/>
      <c r="B773" s="146"/>
      <c r="C773" s="146"/>
      <c r="D773" s="146"/>
      <c r="E773" s="146"/>
      <c r="F773" s="140"/>
      <c r="G773" s="142"/>
      <c r="H773" s="142"/>
      <c r="I773" s="142"/>
      <c r="J773" s="137" t="s">
        <v>39</v>
      </c>
      <c r="K773" s="137" t="s">
        <v>39</v>
      </c>
      <c r="L773" s="146"/>
      <c r="M773" s="141"/>
      <c r="N773" s="129"/>
      <c r="O773" s="140"/>
      <c r="P773" s="140" t="s">
        <v>39</v>
      </c>
      <c r="Q773" s="140"/>
      <c r="R773" s="140"/>
      <c r="S773" s="140"/>
      <c r="T773" s="140"/>
      <c r="U773" s="140"/>
      <c r="V773" s="140"/>
      <c r="W773" s="140"/>
      <c r="X773" s="140"/>
      <c r="Y773" s="140"/>
      <c r="Z773" s="140"/>
      <c r="AA773" s="140"/>
      <c r="AB773" s="140"/>
    </row>
    <row r="774">
      <c r="A774" s="145"/>
      <c r="B774" s="146"/>
      <c r="C774" s="146"/>
      <c r="D774" s="146"/>
      <c r="E774" s="146"/>
      <c r="F774" s="140"/>
      <c r="G774" s="142"/>
      <c r="H774" s="142"/>
      <c r="I774" s="142"/>
      <c r="J774" s="137" t="s">
        <v>39</v>
      </c>
      <c r="K774" s="137" t="s">
        <v>39</v>
      </c>
      <c r="L774" s="146"/>
      <c r="M774" s="141"/>
      <c r="N774" s="129"/>
      <c r="O774" s="140"/>
      <c r="P774" s="140" t="s">
        <v>39</v>
      </c>
      <c r="Q774" s="140"/>
      <c r="R774" s="140"/>
      <c r="S774" s="140"/>
      <c r="T774" s="140"/>
      <c r="U774" s="140"/>
      <c r="V774" s="140"/>
      <c r="W774" s="140"/>
      <c r="X774" s="140"/>
      <c r="Y774" s="140"/>
      <c r="Z774" s="140"/>
      <c r="AA774" s="140"/>
      <c r="AB774" s="140"/>
    </row>
    <row r="775">
      <c r="A775" s="145"/>
      <c r="B775" s="146"/>
      <c r="C775" s="146"/>
      <c r="D775" s="146"/>
      <c r="E775" s="146"/>
      <c r="F775" s="140"/>
      <c r="G775" s="142"/>
      <c r="H775" s="142"/>
      <c r="I775" s="142"/>
      <c r="J775" s="137" t="s">
        <v>39</v>
      </c>
      <c r="K775" s="137" t="s">
        <v>39</v>
      </c>
      <c r="L775" s="146"/>
      <c r="M775" s="141"/>
      <c r="N775" s="129"/>
      <c r="O775" s="140"/>
      <c r="P775" s="140" t="s">
        <v>39</v>
      </c>
      <c r="Q775" s="140"/>
      <c r="R775" s="140"/>
      <c r="S775" s="140"/>
      <c r="T775" s="140"/>
      <c r="U775" s="140"/>
      <c r="V775" s="140"/>
      <c r="W775" s="140"/>
      <c r="X775" s="140"/>
      <c r="Y775" s="140"/>
      <c r="Z775" s="140"/>
      <c r="AA775" s="140"/>
      <c r="AB775" s="140"/>
    </row>
    <row r="776">
      <c r="A776" s="145"/>
      <c r="B776" s="146"/>
      <c r="C776" s="146"/>
      <c r="D776" s="146"/>
      <c r="E776" s="146"/>
      <c r="F776" s="140"/>
      <c r="G776" s="142"/>
      <c r="H776" s="142"/>
      <c r="I776" s="142"/>
      <c r="J776" s="137" t="s">
        <v>39</v>
      </c>
      <c r="K776" s="137" t="s">
        <v>39</v>
      </c>
      <c r="L776" s="146"/>
      <c r="M776" s="141"/>
      <c r="N776" s="129"/>
      <c r="O776" s="140"/>
      <c r="P776" s="140" t="s">
        <v>39</v>
      </c>
      <c r="Q776" s="140"/>
      <c r="R776" s="140"/>
      <c r="S776" s="140"/>
      <c r="T776" s="140"/>
      <c r="U776" s="140"/>
      <c r="V776" s="140"/>
      <c r="W776" s="140"/>
      <c r="X776" s="140"/>
      <c r="Y776" s="140"/>
      <c r="Z776" s="140"/>
      <c r="AA776" s="140"/>
      <c r="AB776" s="140"/>
    </row>
    <row r="777">
      <c r="A777" s="145"/>
      <c r="B777" s="146"/>
      <c r="C777" s="146"/>
      <c r="D777" s="146"/>
      <c r="E777" s="146"/>
      <c r="F777" s="140"/>
      <c r="G777" s="142"/>
      <c r="H777" s="142"/>
      <c r="I777" s="142"/>
      <c r="J777" s="137" t="s">
        <v>39</v>
      </c>
      <c r="K777" s="137" t="s">
        <v>39</v>
      </c>
      <c r="L777" s="146"/>
      <c r="M777" s="141"/>
      <c r="N777" s="129"/>
      <c r="O777" s="140"/>
      <c r="P777" s="140" t="s">
        <v>39</v>
      </c>
      <c r="Q777" s="140"/>
      <c r="R777" s="140"/>
      <c r="S777" s="140"/>
      <c r="T777" s="140"/>
      <c r="U777" s="140"/>
      <c r="V777" s="140"/>
      <c r="W777" s="140"/>
      <c r="X777" s="140"/>
      <c r="Y777" s="140"/>
      <c r="Z777" s="140"/>
      <c r="AA777" s="140"/>
      <c r="AB777" s="140"/>
    </row>
    <row r="778">
      <c r="A778" s="145"/>
      <c r="B778" s="146"/>
      <c r="C778" s="146"/>
      <c r="D778" s="146"/>
      <c r="E778" s="146"/>
      <c r="F778" s="140"/>
      <c r="G778" s="142"/>
      <c r="H778" s="142"/>
      <c r="I778" s="142"/>
      <c r="J778" s="137" t="s">
        <v>39</v>
      </c>
      <c r="K778" s="137" t="s">
        <v>39</v>
      </c>
      <c r="L778" s="146"/>
      <c r="M778" s="141"/>
      <c r="N778" s="129"/>
      <c r="O778" s="140"/>
      <c r="P778" s="140" t="s">
        <v>39</v>
      </c>
      <c r="Q778" s="140"/>
      <c r="R778" s="140"/>
      <c r="S778" s="140"/>
      <c r="T778" s="140"/>
      <c r="U778" s="140"/>
      <c r="V778" s="140"/>
      <c r="W778" s="140"/>
      <c r="X778" s="140"/>
      <c r="Y778" s="140"/>
      <c r="Z778" s="140"/>
      <c r="AA778" s="140"/>
      <c r="AB778" s="140"/>
    </row>
    <row r="779">
      <c r="A779" s="145"/>
      <c r="B779" s="146"/>
      <c r="C779" s="146"/>
      <c r="D779" s="146"/>
      <c r="E779" s="146"/>
      <c r="F779" s="140"/>
      <c r="G779" s="142"/>
      <c r="H779" s="142"/>
      <c r="I779" s="142"/>
      <c r="J779" s="137" t="s">
        <v>39</v>
      </c>
      <c r="K779" s="137" t="s">
        <v>39</v>
      </c>
      <c r="L779" s="146"/>
      <c r="M779" s="141"/>
      <c r="N779" s="129"/>
      <c r="O779" s="140"/>
      <c r="P779" s="140" t="s">
        <v>39</v>
      </c>
      <c r="Q779" s="140"/>
      <c r="R779" s="140"/>
      <c r="S779" s="140"/>
      <c r="T779" s="140"/>
      <c r="U779" s="140"/>
      <c r="V779" s="140"/>
      <c r="W779" s="140"/>
      <c r="X779" s="140"/>
      <c r="Y779" s="140"/>
      <c r="Z779" s="140"/>
      <c r="AA779" s="140"/>
      <c r="AB779" s="140"/>
    </row>
    <row r="780">
      <c r="A780" s="145"/>
      <c r="B780" s="146"/>
      <c r="C780" s="146"/>
      <c r="D780" s="146"/>
      <c r="E780" s="146"/>
      <c r="F780" s="140"/>
      <c r="G780" s="142"/>
      <c r="H780" s="142"/>
      <c r="I780" s="142"/>
      <c r="J780" s="137" t="s">
        <v>39</v>
      </c>
      <c r="K780" s="137" t="s">
        <v>39</v>
      </c>
      <c r="L780" s="146"/>
      <c r="M780" s="141"/>
      <c r="N780" s="129"/>
      <c r="O780" s="140"/>
      <c r="P780" s="140" t="s">
        <v>39</v>
      </c>
      <c r="Q780" s="140"/>
      <c r="R780" s="140"/>
      <c r="S780" s="140"/>
      <c r="T780" s="140"/>
      <c r="U780" s="140"/>
      <c r="V780" s="140"/>
      <c r="W780" s="140"/>
      <c r="X780" s="140"/>
      <c r="Y780" s="140"/>
      <c r="Z780" s="140"/>
      <c r="AA780" s="140"/>
      <c r="AB780" s="140"/>
    </row>
    <row r="781">
      <c r="A781" s="145"/>
      <c r="B781" s="146"/>
      <c r="C781" s="146"/>
      <c r="D781" s="146"/>
      <c r="E781" s="146"/>
      <c r="F781" s="140"/>
      <c r="G781" s="142"/>
      <c r="H781" s="142"/>
      <c r="I781" s="142"/>
      <c r="J781" s="137" t="s">
        <v>39</v>
      </c>
      <c r="K781" s="137" t="s">
        <v>39</v>
      </c>
      <c r="L781" s="146"/>
      <c r="M781" s="141"/>
      <c r="N781" s="129"/>
      <c r="O781" s="140"/>
      <c r="P781" s="140" t="s">
        <v>39</v>
      </c>
      <c r="Q781" s="140"/>
      <c r="R781" s="140"/>
      <c r="S781" s="140"/>
      <c r="T781" s="140"/>
      <c r="U781" s="140"/>
      <c r="V781" s="140"/>
      <c r="W781" s="140"/>
      <c r="X781" s="140"/>
      <c r="Y781" s="140"/>
      <c r="Z781" s="140"/>
      <c r="AA781" s="140"/>
      <c r="AB781" s="140"/>
    </row>
    <row r="782">
      <c r="A782" s="145"/>
      <c r="B782" s="146"/>
      <c r="C782" s="146"/>
      <c r="D782" s="146"/>
      <c r="E782" s="146"/>
      <c r="F782" s="140"/>
      <c r="G782" s="142"/>
      <c r="H782" s="142"/>
      <c r="I782" s="142"/>
      <c r="J782" s="137" t="s">
        <v>39</v>
      </c>
      <c r="K782" s="137" t="s">
        <v>39</v>
      </c>
      <c r="L782" s="146"/>
      <c r="M782" s="141"/>
      <c r="N782" s="129"/>
      <c r="O782" s="140"/>
      <c r="P782" s="140" t="s">
        <v>39</v>
      </c>
      <c r="Q782" s="140"/>
      <c r="R782" s="140"/>
      <c r="S782" s="140"/>
      <c r="T782" s="140"/>
      <c r="U782" s="140"/>
      <c r="V782" s="140"/>
      <c r="W782" s="140"/>
      <c r="X782" s="140"/>
      <c r="Y782" s="140"/>
      <c r="Z782" s="140"/>
      <c r="AA782" s="140"/>
      <c r="AB782" s="140"/>
    </row>
    <row r="783">
      <c r="A783" s="145"/>
      <c r="B783" s="146"/>
      <c r="C783" s="146"/>
      <c r="D783" s="146"/>
      <c r="E783" s="146"/>
      <c r="F783" s="140"/>
      <c r="G783" s="142"/>
      <c r="H783" s="142"/>
      <c r="I783" s="142"/>
      <c r="J783" s="137" t="s">
        <v>39</v>
      </c>
      <c r="K783" s="137" t="s">
        <v>39</v>
      </c>
      <c r="L783" s="146"/>
      <c r="M783" s="141"/>
      <c r="N783" s="129"/>
      <c r="O783" s="140"/>
      <c r="P783" s="140" t="s">
        <v>39</v>
      </c>
      <c r="Q783" s="140"/>
      <c r="R783" s="140"/>
      <c r="S783" s="140"/>
      <c r="T783" s="140"/>
      <c r="U783" s="140"/>
      <c r="V783" s="140"/>
      <c r="W783" s="140"/>
      <c r="X783" s="140"/>
      <c r="Y783" s="140"/>
      <c r="Z783" s="140"/>
      <c r="AA783" s="140"/>
      <c r="AB783" s="140"/>
    </row>
    <row r="784">
      <c r="A784" s="145"/>
      <c r="B784" s="146"/>
      <c r="C784" s="146"/>
      <c r="D784" s="146"/>
      <c r="E784" s="146"/>
      <c r="F784" s="140"/>
      <c r="G784" s="142"/>
      <c r="H784" s="142"/>
      <c r="I784" s="142"/>
      <c r="J784" s="137" t="s">
        <v>39</v>
      </c>
      <c r="K784" s="137" t="s">
        <v>39</v>
      </c>
      <c r="L784" s="146"/>
      <c r="M784" s="141"/>
      <c r="N784" s="129"/>
      <c r="O784" s="140"/>
      <c r="P784" s="140" t="s">
        <v>39</v>
      </c>
      <c r="Q784" s="140"/>
      <c r="R784" s="140"/>
      <c r="S784" s="140"/>
      <c r="T784" s="140"/>
      <c r="U784" s="140"/>
      <c r="V784" s="140"/>
      <c r="W784" s="140"/>
      <c r="X784" s="140"/>
      <c r="Y784" s="140"/>
      <c r="Z784" s="140"/>
      <c r="AA784" s="140"/>
      <c r="AB784" s="140"/>
    </row>
    <row r="785">
      <c r="A785" s="145"/>
      <c r="B785" s="146"/>
      <c r="C785" s="146"/>
      <c r="D785" s="146"/>
      <c r="E785" s="146"/>
      <c r="F785" s="140"/>
      <c r="G785" s="142"/>
      <c r="H785" s="142"/>
      <c r="I785" s="142"/>
      <c r="J785" s="137" t="s">
        <v>39</v>
      </c>
      <c r="K785" s="137" t="s">
        <v>39</v>
      </c>
      <c r="L785" s="146"/>
      <c r="M785" s="141"/>
      <c r="N785" s="129"/>
      <c r="O785" s="140"/>
      <c r="P785" s="140" t="s">
        <v>39</v>
      </c>
      <c r="Q785" s="140"/>
      <c r="R785" s="140"/>
      <c r="S785" s="140"/>
      <c r="T785" s="140"/>
      <c r="U785" s="140"/>
      <c r="V785" s="140"/>
      <c r="W785" s="140"/>
      <c r="X785" s="140"/>
      <c r="Y785" s="140"/>
      <c r="Z785" s="140"/>
      <c r="AA785" s="140"/>
      <c r="AB785" s="140"/>
    </row>
    <row r="786">
      <c r="A786" s="145"/>
      <c r="B786" s="146"/>
      <c r="C786" s="146"/>
      <c r="D786" s="146"/>
      <c r="E786" s="146"/>
      <c r="F786" s="140"/>
      <c r="G786" s="142"/>
      <c r="H786" s="142"/>
      <c r="I786" s="142"/>
      <c r="J786" s="137" t="s">
        <v>39</v>
      </c>
      <c r="K786" s="137" t="s">
        <v>39</v>
      </c>
      <c r="L786" s="146"/>
      <c r="M786" s="141"/>
      <c r="N786" s="129"/>
      <c r="O786" s="140"/>
      <c r="P786" s="140" t="s">
        <v>39</v>
      </c>
      <c r="Q786" s="140"/>
      <c r="R786" s="140"/>
      <c r="S786" s="140"/>
      <c r="T786" s="140"/>
      <c r="U786" s="140"/>
      <c r="V786" s="140"/>
      <c r="W786" s="140"/>
      <c r="X786" s="140"/>
      <c r="Y786" s="140"/>
      <c r="Z786" s="140"/>
      <c r="AA786" s="140"/>
      <c r="AB786" s="140"/>
    </row>
    <row r="787">
      <c r="A787" s="145"/>
      <c r="B787" s="146"/>
      <c r="C787" s="146"/>
      <c r="D787" s="146"/>
      <c r="E787" s="146"/>
      <c r="F787" s="140"/>
      <c r="G787" s="142"/>
      <c r="H787" s="142"/>
      <c r="I787" s="142"/>
      <c r="J787" s="137" t="s">
        <v>39</v>
      </c>
      <c r="K787" s="137" t="s">
        <v>39</v>
      </c>
      <c r="L787" s="146"/>
      <c r="M787" s="141"/>
      <c r="N787" s="129"/>
      <c r="O787" s="140"/>
      <c r="P787" s="140" t="s">
        <v>39</v>
      </c>
      <c r="Q787" s="140"/>
      <c r="R787" s="140"/>
      <c r="S787" s="140"/>
      <c r="T787" s="140"/>
      <c r="U787" s="140"/>
      <c r="V787" s="140"/>
      <c r="W787" s="140"/>
      <c r="X787" s="140"/>
      <c r="Y787" s="140"/>
      <c r="Z787" s="140"/>
      <c r="AA787" s="140"/>
      <c r="AB787" s="140"/>
    </row>
    <row r="788">
      <c r="A788" s="145"/>
      <c r="B788" s="146"/>
      <c r="C788" s="146"/>
      <c r="D788" s="146"/>
      <c r="E788" s="146"/>
      <c r="F788" s="140"/>
      <c r="G788" s="142"/>
      <c r="H788" s="142"/>
      <c r="I788" s="142"/>
      <c r="J788" s="137" t="s">
        <v>39</v>
      </c>
      <c r="K788" s="137" t="s">
        <v>39</v>
      </c>
      <c r="L788" s="146"/>
      <c r="M788" s="141"/>
      <c r="N788" s="129"/>
      <c r="O788" s="140"/>
      <c r="P788" s="140" t="s">
        <v>39</v>
      </c>
      <c r="Q788" s="140"/>
      <c r="R788" s="140"/>
      <c r="S788" s="140"/>
      <c r="T788" s="140"/>
      <c r="U788" s="140"/>
      <c r="V788" s="140"/>
      <c r="W788" s="140"/>
      <c r="X788" s="140"/>
      <c r="Y788" s="140"/>
      <c r="Z788" s="140"/>
      <c r="AA788" s="140"/>
      <c r="AB788" s="140"/>
    </row>
    <row r="789">
      <c r="A789" s="145"/>
      <c r="B789" s="146"/>
      <c r="C789" s="146"/>
      <c r="D789" s="146"/>
      <c r="E789" s="146"/>
      <c r="F789" s="140"/>
      <c r="G789" s="142"/>
      <c r="H789" s="142"/>
      <c r="I789" s="142"/>
      <c r="J789" s="137" t="s">
        <v>39</v>
      </c>
      <c r="K789" s="137" t="s">
        <v>39</v>
      </c>
      <c r="L789" s="146"/>
      <c r="M789" s="141"/>
      <c r="N789" s="129"/>
      <c r="O789" s="140"/>
      <c r="P789" s="140" t="s">
        <v>39</v>
      </c>
      <c r="Q789" s="140"/>
      <c r="R789" s="140"/>
      <c r="S789" s="140"/>
      <c r="T789" s="140"/>
      <c r="U789" s="140"/>
      <c r="V789" s="140"/>
      <c r="W789" s="140"/>
      <c r="X789" s="140"/>
      <c r="Y789" s="140"/>
      <c r="Z789" s="140"/>
      <c r="AA789" s="140"/>
      <c r="AB789" s="140"/>
    </row>
    <row r="790">
      <c r="A790" s="145"/>
      <c r="B790" s="146"/>
      <c r="C790" s="146"/>
      <c r="D790" s="146"/>
      <c r="E790" s="146"/>
      <c r="F790" s="140"/>
      <c r="G790" s="142"/>
      <c r="H790" s="142"/>
      <c r="I790" s="142"/>
      <c r="J790" s="137" t="s">
        <v>39</v>
      </c>
      <c r="K790" s="137" t="s">
        <v>39</v>
      </c>
      <c r="L790" s="146"/>
      <c r="M790" s="141"/>
      <c r="N790" s="129"/>
      <c r="O790" s="140"/>
      <c r="P790" s="140" t="s">
        <v>39</v>
      </c>
      <c r="Q790" s="140"/>
      <c r="R790" s="140"/>
      <c r="S790" s="140"/>
      <c r="T790" s="140"/>
      <c r="U790" s="140"/>
      <c r="V790" s="140"/>
      <c r="W790" s="140"/>
      <c r="X790" s="140"/>
      <c r="Y790" s="140"/>
      <c r="Z790" s="140"/>
      <c r="AA790" s="140"/>
      <c r="AB790" s="140"/>
    </row>
    <row r="791">
      <c r="A791" s="145"/>
      <c r="B791" s="146"/>
      <c r="C791" s="146"/>
      <c r="D791" s="146"/>
      <c r="E791" s="146"/>
      <c r="F791" s="140"/>
      <c r="G791" s="142"/>
      <c r="H791" s="142"/>
      <c r="I791" s="142"/>
      <c r="J791" s="137" t="s">
        <v>39</v>
      </c>
      <c r="K791" s="137" t="s">
        <v>39</v>
      </c>
      <c r="L791" s="146"/>
      <c r="M791" s="141"/>
      <c r="N791" s="129"/>
      <c r="O791" s="140"/>
      <c r="P791" s="140" t="s">
        <v>39</v>
      </c>
      <c r="Q791" s="140"/>
      <c r="R791" s="140"/>
      <c r="S791" s="140"/>
      <c r="T791" s="140"/>
      <c r="U791" s="140"/>
      <c r="V791" s="140"/>
      <c r="W791" s="140"/>
      <c r="X791" s="140"/>
      <c r="Y791" s="140"/>
      <c r="Z791" s="140"/>
      <c r="AA791" s="140"/>
      <c r="AB791" s="140"/>
    </row>
    <row r="792">
      <c r="A792" s="145"/>
      <c r="B792" s="146"/>
      <c r="C792" s="146"/>
      <c r="D792" s="146"/>
      <c r="E792" s="146"/>
      <c r="F792" s="140"/>
      <c r="G792" s="142"/>
      <c r="H792" s="142"/>
      <c r="I792" s="142"/>
      <c r="J792" s="137" t="s">
        <v>39</v>
      </c>
      <c r="K792" s="137" t="s">
        <v>39</v>
      </c>
      <c r="L792" s="146"/>
      <c r="M792" s="141"/>
      <c r="N792" s="129"/>
      <c r="O792" s="140"/>
      <c r="P792" s="140" t="s">
        <v>39</v>
      </c>
      <c r="Q792" s="140"/>
      <c r="R792" s="140"/>
      <c r="S792" s="140"/>
      <c r="T792" s="140"/>
      <c r="U792" s="140"/>
      <c r="V792" s="140"/>
      <c r="W792" s="140"/>
      <c r="X792" s="140"/>
      <c r="Y792" s="140"/>
      <c r="Z792" s="140"/>
      <c r="AA792" s="140"/>
      <c r="AB792" s="140"/>
    </row>
    <row r="793">
      <c r="A793" s="145"/>
      <c r="B793" s="146"/>
      <c r="C793" s="146"/>
      <c r="D793" s="146"/>
      <c r="E793" s="146"/>
      <c r="F793" s="140"/>
      <c r="G793" s="142"/>
      <c r="H793" s="142"/>
      <c r="I793" s="142"/>
      <c r="J793" s="137" t="s">
        <v>39</v>
      </c>
      <c r="K793" s="137" t="s">
        <v>39</v>
      </c>
      <c r="L793" s="146"/>
      <c r="M793" s="141"/>
      <c r="N793" s="129"/>
      <c r="O793" s="140"/>
      <c r="P793" s="140" t="s">
        <v>39</v>
      </c>
      <c r="Q793" s="140"/>
      <c r="R793" s="140"/>
      <c r="S793" s="140"/>
      <c r="T793" s="140"/>
      <c r="U793" s="140"/>
      <c r="V793" s="140"/>
      <c r="W793" s="140"/>
      <c r="X793" s="140"/>
      <c r="Y793" s="140"/>
      <c r="Z793" s="140"/>
      <c r="AA793" s="140"/>
      <c r="AB793" s="140"/>
    </row>
    <row r="794">
      <c r="A794" s="145"/>
      <c r="B794" s="146"/>
      <c r="C794" s="146"/>
      <c r="D794" s="146"/>
      <c r="E794" s="146"/>
      <c r="F794" s="140"/>
      <c r="G794" s="142"/>
      <c r="H794" s="142"/>
      <c r="I794" s="142"/>
      <c r="J794" s="137" t="s">
        <v>39</v>
      </c>
      <c r="K794" s="137" t="s">
        <v>39</v>
      </c>
      <c r="L794" s="146"/>
      <c r="M794" s="141"/>
      <c r="N794" s="129"/>
      <c r="O794" s="140"/>
      <c r="P794" s="140" t="s">
        <v>39</v>
      </c>
      <c r="Q794" s="140"/>
      <c r="R794" s="140"/>
      <c r="S794" s="140"/>
      <c r="T794" s="140"/>
      <c r="U794" s="140"/>
      <c r="V794" s="140"/>
      <c r="W794" s="140"/>
      <c r="X794" s="140"/>
      <c r="Y794" s="140"/>
      <c r="Z794" s="140"/>
      <c r="AA794" s="140"/>
      <c r="AB794" s="140"/>
    </row>
    <row r="795">
      <c r="A795" s="145"/>
      <c r="B795" s="146"/>
      <c r="C795" s="146"/>
      <c r="D795" s="146"/>
      <c r="E795" s="146"/>
      <c r="F795" s="140"/>
      <c r="G795" s="142"/>
      <c r="H795" s="142"/>
      <c r="I795" s="142"/>
      <c r="J795" s="137" t="s">
        <v>39</v>
      </c>
      <c r="K795" s="137" t="s">
        <v>39</v>
      </c>
      <c r="L795" s="146"/>
      <c r="M795" s="141"/>
      <c r="N795" s="129"/>
      <c r="O795" s="140"/>
      <c r="P795" s="140" t="s">
        <v>39</v>
      </c>
      <c r="Q795" s="140"/>
      <c r="R795" s="140"/>
      <c r="S795" s="140"/>
      <c r="T795" s="140"/>
      <c r="U795" s="140"/>
      <c r="V795" s="140"/>
      <c r="W795" s="140"/>
      <c r="X795" s="140"/>
      <c r="Y795" s="140"/>
      <c r="Z795" s="140"/>
      <c r="AA795" s="140"/>
      <c r="AB795" s="140"/>
    </row>
    <row r="796">
      <c r="A796" s="145"/>
      <c r="B796" s="146"/>
      <c r="C796" s="146"/>
      <c r="D796" s="146"/>
      <c r="E796" s="146"/>
      <c r="F796" s="140"/>
      <c r="G796" s="142"/>
      <c r="H796" s="142"/>
      <c r="I796" s="142"/>
      <c r="J796" s="137" t="s">
        <v>39</v>
      </c>
      <c r="K796" s="137" t="s">
        <v>39</v>
      </c>
      <c r="L796" s="146"/>
      <c r="M796" s="141"/>
      <c r="N796" s="129"/>
      <c r="O796" s="140"/>
      <c r="P796" s="140" t="s">
        <v>39</v>
      </c>
      <c r="Q796" s="140"/>
      <c r="R796" s="140"/>
      <c r="S796" s="140"/>
      <c r="T796" s="140"/>
      <c r="U796" s="140"/>
      <c r="V796" s="140"/>
      <c r="W796" s="140"/>
      <c r="X796" s="140"/>
      <c r="Y796" s="140"/>
      <c r="Z796" s="140"/>
      <c r="AA796" s="140"/>
      <c r="AB796" s="140"/>
    </row>
    <row r="797">
      <c r="A797" s="145"/>
      <c r="B797" s="146"/>
      <c r="C797" s="146"/>
      <c r="D797" s="146"/>
      <c r="E797" s="146"/>
      <c r="F797" s="140"/>
      <c r="G797" s="142"/>
      <c r="H797" s="142"/>
      <c r="I797" s="142"/>
      <c r="J797" s="137" t="s">
        <v>39</v>
      </c>
      <c r="K797" s="137" t="s">
        <v>39</v>
      </c>
      <c r="L797" s="146"/>
      <c r="M797" s="141"/>
      <c r="N797" s="129"/>
      <c r="O797" s="140"/>
      <c r="P797" s="140" t="s">
        <v>39</v>
      </c>
      <c r="Q797" s="140"/>
      <c r="R797" s="140"/>
      <c r="S797" s="140"/>
      <c r="T797" s="140"/>
      <c r="U797" s="140"/>
      <c r="V797" s="140"/>
      <c r="W797" s="140"/>
      <c r="X797" s="140"/>
      <c r="Y797" s="140"/>
      <c r="Z797" s="140"/>
      <c r="AA797" s="140"/>
      <c r="AB797" s="140"/>
    </row>
    <row r="798">
      <c r="A798" s="145"/>
      <c r="B798" s="146"/>
      <c r="C798" s="146"/>
      <c r="D798" s="146"/>
      <c r="E798" s="146"/>
      <c r="F798" s="140"/>
      <c r="G798" s="142"/>
      <c r="H798" s="142"/>
      <c r="I798" s="142"/>
      <c r="J798" s="137" t="s">
        <v>39</v>
      </c>
      <c r="K798" s="137" t="s">
        <v>39</v>
      </c>
      <c r="L798" s="146"/>
      <c r="M798" s="141"/>
      <c r="N798" s="129"/>
      <c r="O798" s="140"/>
      <c r="P798" s="140" t="s">
        <v>39</v>
      </c>
      <c r="Q798" s="140"/>
      <c r="R798" s="140"/>
      <c r="S798" s="140"/>
      <c r="T798" s="140"/>
      <c r="U798" s="140"/>
      <c r="V798" s="140"/>
      <c r="W798" s="140"/>
      <c r="X798" s="140"/>
      <c r="Y798" s="140"/>
      <c r="Z798" s="140"/>
      <c r="AA798" s="140"/>
      <c r="AB798" s="140"/>
    </row>
    <row r="799">
      <c r="A799" s="145"/>
      <c r="B799" s="146"/>
      <c r="C799" s="146"/>
      <c r="D799" s="146"/>
      <c r="E799" s="146"/>
      <c r="F799" s="140"/>
      <c r="G799" s="142"/>
      <c r="H799" s="142"/>
      <c r="I799" s="142"/>
      <c r="J799" s="137" t="s">
        <v>39</v>
      </c>
      <c r="K799" s="137" t="s">
        <v>39</v>
      </c>
      <c r="L799" s="146"/>
      <c r="M799" s="141"/>
      <c r="N799" s="129"/>
      <c r="O799" s="140"/>
      <c r="P799" s="140" t="s">
        <v>39</v>
      </c>
      <c r="Q799" s="140"/>
      <c r="R799" s="140"/>
      <c r="S799" s="140"/>
      <c r="T799" s="140"/>
      <c r="U799" s="140"/>
      <c r="V799" s="140"/>
      <c r="W799" s="140"/>
      <c r="X799" s="140"/>
      <c r="Y799" s="140"/>
      <c r="Z799" s="140"/>
      <c r="AA799" s="140"/>
      <c r="AB799" s="140"/>
    </row>
    <row r="800">
      <c r="A800" s="145"/>
      <c r="B800" s="146"/>
      <c r="C800" s="146"/>
      <c r="D800" s="146"/>
      <c r="E800" s="146"/>
      <c r="F800" s="140"/>
      <c r="G800" s="142"/>
      <c r="H800" s="142"/>
      <c r="I800" s="142"/>
      <c r="J800" s="137" t="s">
        <v>39</v>
      </c>
      <c r="K800" s="137" t="s">
        <v>39</v>
      </c>
      <c r="L800" s="146"/>
      <c r="M800" s="141"/>
      <c r="N800" s="129"/>
      <c r="O800" s="140"/>
      <c r="P800" s="140" t="s">
        <v>39</v>
      </c>
      <c r="Q800" s="140"/>
      <c r="R800" s="140"/>
      <c r="S800" s="140"/>
      <c r="T800" s="140"/>
      <c r="U800" s="140"/>
      <c r="V800" s="140"/>
      <c r="W800" s="140"/>
      <c r="X800" s="140"/>
      <c r="Y800" s="140"/>
      <c r="Z800" s="140"/>
      <c r="AA800" s="140"/>
      <c r="AB800" s="140"/>
    </row>
    <row r="801">
      <c r="A801" s="145"/>
      <c r="B801" s="146"/>
      <c r="C801" s="146"/>
      <c r="D801" s="146"/>
      <c r="E801" s="146"/>
      <c r="F801" s="140"/>
      <c r="G801" s="142"/>
      <c r="H801" s="142"/>
      <c r="I801" s="142"/>
      <c r="J801" s="137" t="s">
        <v>39</v>
      </c>
      <c r="K801" s="137" t="s">
        <v>39</v>
      </c>
      <c r="L801" s="146"/>
      <c r="M801" s="141"/>
      <c r="N801" s="129"/>
      <c r="O801" s="140"/>
      <c r="P801" s="140" t="s">
        <v>39</v>
      </c>
      <c r="Q801" s="140"/>
      <c r="R801" s="140"/>
      <c r="S801" s="140"/>
      <c r="T801" s="140"/>
      <c r="U801" s="140"/>
      <c r="V801" s="140"/>
      <c r="W801" s="140"/>
      <c r="X801" s="140"/>
      <c r="Y801" s="140"/>
      <c r="Z801" s="140"/>
      <c r="AA801" s="140"/>
      <c r="AB801" s="140"/>
    </row>
    <row r="802">
      <c r="A802" s="145"/>
      <c r="B802" s="146"/>
      <c r="C802" s="146"/>
      <c r="D802" s="146"/>
      <c r="E802" s="146"/>
      <c r="F802" s="140"/>
      <c r="G802" s="142"/>
      <c r="H802" s="142"/>
      <c r="I802" s="142"/>
      <c r="J802" s="137" t="s">
        <v>39</v>
      </c>
      <c r="K802" s="137" t="s">
        <v>39</v>
      </c>
      <c r="L802" s="146"/>
      <c r="M802" s="141"/>
      <c r="N802" s="129"/>
      <c r="O802" s="140"/>
      <c r="P802" s="140" t="s">
        <v>39</v>
      </c>
      <c r="Q802" s="140"/>
      <c r="R802" s="140"/>
      <c r="S802" s="140"/>
      <c r="T802" s="140"/>
      <c r="U802" s="140"/>
      <c r="V802" s="140"/>
      <c r="W802" s="140"/>
      <c r="X802" s="140"/>
      <c r="Y802" s="140"/>
      <c r="Z802" s="140"/>
      <c r="AA802" s="140"/>
      <c r="AB802" s="140"/>
    </row>
    <row r="803">
      <c r="A803" s="145"/>
      <c r="B803" s="146"/>
      <c r="C803" s="146"/>
      <c r="D803" s="146"/>
      <c r="E803" s="146"/>
      <c r="F803" s="140"/>
      <c r="G803" s="142"/>
      <c r="H803" s="142"/>
      <c r="I803" s="142"/>
      <c r="J803" s="137" t="s">
        <v>39</v>
      </c>
      <c r="K803" s="137" t="s">
        <v>39</v>
      </c>
      <c r="L803" s="146"/>
      <c r="M803" s="141"/>
      <c r="N803" s="129"/>
      <c r="O803" s="140"/>
      <c r="P803" s="140" t="s">
        <v>39</v>
      </c>
      <c r="Q803" s="140"/>
      <c r="R803" s="140"/>
      <c r="S803" s="140"/>
      <c r="T803" s="140"/>
      <c r="U803" s="140"/>
      <c r="V803" s="140"/>
      <c r="W803" s="140"/>
      <c r="X803" s="140"/>
      <c r="Y803" s="140"/>
      <c r="Z803" s="140"/>
      <c r="AA803" s="140"/>
      <c r="AB803" s="140"/>
    </row>
    <row r="804">
      <c r="A804" s="145"/>
      <c r="B804" s="146"/>
      <c r="C804" s="146"/>
      <c r="D804" s="146"/>
      <c r="E804" s="146"/>
      <c r="F804" s="140"/>
      <c r="G804" s="142"/>
      <c r="H804" s="142"/>
      <c r="I804" s="142"/>
      <c r="J804" s="137" t="s">
        <v>39</v>
      </c>
      <c r="K804" s="137" t="s">
        <v>39</v>
      </c>
      <c r="L804" s="146"/>
      <c r="M804" s="141"/>
      <c r="N804" s="129"/>
      <c r="O804" s="140"/>
      <c r="P804" s="140" t="s">
        <v>39</v>
      </c>
      <c r="Q804" s="140"/>
      <c r="R804" s="140"/>
      <c r="S804" s="140"/>
      <c r="T804" s="140"/>
      <c r="U804" s="140"/>
      <c r="V804" s="140"/>
      <c r="W804" s="140"/>
      <c r="X804" s="140"/>
      <c r="Y804" s="140"/>
      <c r="Z804" s="140"/>
      <c r="AA804" s="140"/>
      <c r="AB804" s="140"/>
    </row>
    <row r="805">
      <c r="A805" s="145"/>
      <c r="B805" s="146"/>
      <c r="C805" s="146"/>
      <c r="D805" s="146"/>
      <c r="E805" s="146"/>
      <c r="F805" s="140"/>
      <c r="G805" s="142"/>
      <c r="H805" s="142"/>
      <c r="I805" s="142"/>
      <c r="J805" s="137" t="s">
        <v>39</v>
      </c>
      <c r="K805" s="137" t="s">
        <v>39</v>
      </c>
      <c r="L805" s="146"/>
      <c r="M805" s="141"/>
      <c r="N805" s="129"/>
      <c r="O805" s="140"/>
      <c r="P805" s="140" t="s">
        <v>39</v>
      </c>
      <c r="Q805" s="140"/>
      <c r="R805" s="140"/>
      <c r="S805" s="140"/>
      <c r="T805" s="140"/>
      <c r="U805" s="140"/>
      <c r="V805" s="140"/>
      <c r="W805" s="140"/>
      <c r="X805" s="140"/>
      <c r="Y805" s="140"/>
      <c r="Z805" s="140"/>
      <c r="AA805" s="140"/>
      <c r="AB805" s="140"/>
    </row>
    <row r="806">
      <c r="A806" s="145"/>
      <c r="B806" s="146"/>
      <c r="C806" s="146"/>
      <c r="D806" s="146"/>
      <c r="E806" s="146"/>
      <c r="F806" s="140"/>
      <c r="G806" s="142"/>
      <c r="H806" s="142"/>
      <c r="I806" s="142"/>
      <c r="J806" s="137" t="s">
        <v>39</v>
      </c>
      <c r="K806" s="137" t="s">
        <v>39</v>
      </c>
      <c r="L806" s="146"/>
      <c r="M806" s="141"/>
      <c r="N806" s="129"/>
      <c r="O806" s="140"/>
      <c r="P806" s="140" t="s">
        <v>39</v>
      </c>
      <c r="Q806" s="140"/>
      <c r="R806" s="140"/>
      <c r="S806" s="140"/>
      <c r="T806" s="140"/>
      <c r="U806" s="140"/>
      <c r="V806" s="140"/>
      <c r="W806" s="140"/>
      <c r="X806" s="140"/>
      <c r="Y806" s="140"/>
      <c r="Z806" s="140"/>
      <c r="AA806" s="140"/>
      <c r="AB806" s="140"/>
    </row>
    <row r="807">
      <c r="A807" s="145"/>
      <c r="B807" s="146"/>
      <c r="C807" s="146"/>
      <c r="D807" s="146"/>
      <c r="E807" s="146"/>
      <c r="F807" s="140"/>
      <c r="G807" s="142"/>
      <c r="H807" s="142"/>
      <c r="I807" s="142"/>
      <c r="J807" s="137" t="s">
        <v>39</v>
      </c>
      <c r="K807" s="137" t="s">
        <v>39</v>
      </c>
      <c r="L807" s="146"/>
      <c r="M807" s="141"/>
      <c r="N807" s="129"/>
      <c r="O807" s="140"/>
      <c r="P807" s="140" t="s">
        <v>39</v>
      </c>
      <c r="Q807" s="140"/>
      <c r="R807" s="140"/>
      <c r="S807" s="140"/>
      <c r="T807" s="140"/>
      <c r="U807" s="140"/>
      <c r="V807" s="140"/>
      <c r="W807" s="140"/>
      <c r="X807" s="140"/>
      <c r="Y807" s="140"/>
      <c r="Z807" s="140"/>
      <c r="AA807" s="140"/>
      <c r="AB807" s="140"/>
    </row>
    <row r="808">
      <c r="A808" s="145"/>
      <c r="B808" s="146"/>
      <c r="C808" s="146"/>
      <c r="D808" s="146"/>
      <c r="E808" s="146"/>
      <c r="F808" s="140"/>
      <c r="G808" s="142"/>
      <c r="H808" s="142"/>
      <c r="I808" s="142"/>
      <c r="J808" s="137" t="s">
        <v>39</v>
      </c>
      <c r="K808" s="137" t="s">
        <v>39</v>
      </c>
      <c r="L808" s="146"/>
      <c r="M808" s="141"/>
      <c r="N808" s="129"/>
      <c r="O808" s="140"/>
      <c r="P808" s="140" t="s">
        <v>39</v>
      </c>
      <c r="Q808" s="140"/>
      <c r="R808" s="140"/>
      <c r="S808" s="140"/>
      <c r="T808" s="140"/>
      <c r="U808" s="140"/>
      <c r="V808" s="140"/>
      <c r="W808" s="140"/>
      <c r="X808" s="140"/>
      <c r="Y808" s="140"/>
      <c r="Z808" s="140"/>
      <c r="AA808" s="140"/>
      <c r="AB808" s="140"/>
    </row>
    <row r="809">
      <c r="A809" s="145"/>
      <c r="B809" s="146"/>
      <c r="C809" s="146"/>
      <c r="D809" s="146"/>
      <c r="E809" s="146"/>
      <c r="F809" s="140"/>
      <c r="G809" s="142"/>
      <c r="H809" s="142"/>
      <c r="I809" s="142"/>
      <c r="J809" s="137" t="s">
        <v>39</v>
      </c>
      <c r="K809" s="137" t="s">
        <v>39</v>
      </c>
      <c r="L809" s="146"/>
      <c r="M809" s="141"/>
      <c r="N809" s="129"/>
      <c r="O809" s="140"/>
      <c r="P809" s="140" t="s">
        <v>39</v>
      </c>
      <c r="Q809" s="140"/>
      <c r="R809" s="140"/>
      <c r="S809" s="140"/>
      <c r="T809" s="140"/>
      <c r="U809" s="140"/>
      <c r="V809" s="140"/>
      <c r="W809" s="140"/>
      <c r="X809" s="140"/>
      <c r="Y809" s="140"/>
      <c r="Z809" s="140"/>
      <c r="AA809" s="140"/>
      <c r="AB809" s="140"/>
    </row>
    <row r="810">
      <c r="A810" s="145"/>
      <c r="B810" s="146"/>
      <c r="C810" s="146"/>
      <c r="D810" s="146"/>
      <c r="E810" s="146"/>
      <c r="F810" s="140"/>
      <c r="G810" s="142"/>
      <c r="H810" s="142"/>
      <c r="I810" s="142"/>
      <c r="J810" s="137" t="s">
        <v>39</v>
      </c>
      <c r="K810" s="137" t="s">
        <v>39</v>
      </c>
      <c r="L810" s="146"/>
      <c r="M810" s="141"/>
      <c r="N810" s="129"/>
      <c r="O810" s="140"/>
      <c r="P810" s="140" t="s">
        <v>39</v>
      </c>
      <c r="Q810" s="140"/>
      <c r="R810" s="140"/>
      <c r="S810" s="140"/>
      <c r="T810" s="140"/>
      <c r="U810" s="140"/>
      <c r="V810" s="140"/>
      <c r="W810" s="140"/>
      <c r="X810" s="140"/>
      <c r="Y810" s="140"/>
      <c r="Z810" s="140"/>
      <c r="AA810" s="140"/>
      <c r="AB810" s="140"/>
    </row>
    <row r="811">
      <c r="A811" s="145"/>
      <c r="B811" s="146"/>
      <c r="C811" s="146"/>
      <c r="D811" s="146"/>
      <c r="E811" s="146"/>
      <c r="F811" s="140"/>
      <c r="G811" s="142"/>
      <c r="H811" s="142"/>
      <c r="I811" s="142"/>
      <c r="J811" s="137" t="s">
        <v>39</v>
      </c>
      <c r="K811" s="137" t="s">
        <v>39</v>
      </c>
      <c r="L811" s="146"/>
      <c r="M811" s="141"/>
      <c r="N811" s="129"/>
      <c r="O811" s="140"/>
      <c r="P811" s="140" t="s">
        <v>39</v>
      </c>
      <c r="Q811" s="140"/>
      <c r="R811" s="140"/>
      <c r="S811" s="140"/>
      <c r="T811" s="140"/>
      <c r="U811" s="140"/>
      <c r="V811" s="140"/>
      <c r="W811" s="140"/>
      <c r="X811" s="140"/>
      <c r="Y811" s="140"/>
      <c r="Z811" s="140"/>
      <c r="AA811" s="140"/>
      <c r="AB811" s="140"/>
    </row>
    <row r="812">
      <c r="A812" s="145"/>
      <c r="B812" s="146"/>
      <c r="C812" s="146"/>
      <c r="D812" s="146"/>
      <c r="E812" s="146"/>
      <c r="F812" s="140"/>
      <c r="G812" s="142"/>
      <c r="H812" s="142"/>
      <c r="I812" s="142"/>
      <c r="J812" s="137" t="s">
        <v>39</v>
      </c>
      <c r="K812" s="137" t="s">
        <v>39</v>
      </c>
      <c r="L812" s="146"/>
      <c r="M812" s="141"/>
      <c r="N812" s="129"/>
      <c r="O812" s="140"/>
      <c r="P812" s="140" t="s">
        <v>39</v>
      </c>
      <c r="Q812" s="140"/>
      <c r="R812" s="140"/>
      <c r="S812" s="140"/>
      <c r="T812" s="140"/>
      <c r="U812" s="140"/>
      <c r="V812" s="140"/>
      <c r="W812" s="140"/>
      <c r="X812" s="140"/>
      <c r="Y812" s="140"/>
      <c r="Z812" s="140"/>
      <c r="AA812" s="140"/>
      <c r="AB812" s="140"/>
    </row>
    <row r="813">
      <c r="A813" s="145"/>
      <c r="B813" s="146"/>
      <c r="C813" s="146"/>
      <c r="D813" s="146"/>
      <c r="E813" s="146"/>
      <c r="F813" s="140"/>
      <c r="G813" s="142"/>
      <c r="H813" s="142"/>
      <c r="I813" s="142"/>
      <c r="J813" s="137" t="s">
        <v>39</v>
      </c>
      <c r="K813" s="137" t="s">
        <v>39</v>
      </c>
      <c r="L813" s="146"/>
      <c r="M813" s="141"/>
      <c r="N813" s="129"/>
      <c r="O813" s="140"/>
      <c r="P813" s="140" t="s">
        <v>39</v>
      </c>
      <c r="Q813" s="140"/>
      <c r="R813" s="140"/>
      <c r="S813" s="140"/>
      <c r="T813" s="140"/>
      <c r="U813" s="140"/>
      <c r="V813" s="140"/>
      <c r="W813" s="140"/>
      <c r="X813" s="140"/>
      <c r="Y813" s="140"/>
      <c r="Z813" s="140"/>
      <c r="AA813" s="140"/>
      <c r="AB813" s="140"/>
    </row>
    <row r="814">
      <c r="A814" s="145"/>
      <c r="B814" s="146"/>
      <c r="C814" s="146"/>
      <c r="D814" s="146"/>
      <c r="E814" s="146"/>
      <c r="F814" s="140"/>
      <c r="G814" s="142"/>
      <c r="H814" s="142"/>
      <c r="I814" s="142"/>
      <c r="J814" s="137" t="s">
        <v>39</v>
      </c>
      <c r="K814" s="137" t="s">
        <v>39</v>
      </c>
      <c r="L814" s="146"/>
      <c r="M814" s="141"/>
      <c r="N814" s="129"/>
      <c r="O814" s="140"/>
      <c r="P814" s="140" t="s">
        <v>39</v>
      </c>
      <c r="Q814" s="140"/>
      <c r="R814" s="140"/>
      <c r="S814" s="140"/>
      <c r="T814" s="140"/>
      <c r="U814" s="140"/>
      <c r="V814" s="140"/>
      <c r="W814" s="140"/>
      <c r="X814" s="140"/>
      <c r="Y814" s="140"/>
      <c r="Z814" s="140"/>
      <c r="AA814" s="140"/>
      <c r="AB814" s="140"/>
    </row>
    <row r="815">
      <c r="A815" s="145"/>
      <c r="B815" s="146"/>
      <c r="C815" s="146"/>
      <c r="D815" s="146"/>
      <c r="E815" s="146"/>
      <c r="F815" s="140"/>
      <c r="G815" s="142"/>
      <c r="H815" s="142"/>
      <c r="I815" s="142"/>
      <c r="J815" s="137" t="s">
        <v>39</v>
      </c>
      <c r="K815" s="137" t="s">
        <v>39</v>
      </c>
      <c r="L815" s="146"/>
      <c r="M815" s="141"/>
      <c r="N815" s="129"/>
      <c r="O815" s="140"/>
      <c r="P815" s="140" t="s">
        <v>39</v>
      </c>
      <c r="Q815" s="140"/>
      <c r="R815" s="140"/>
      <c r="S815" s="140"/>
      <c r="T815" s="140"/>
      <c r="U815" s="140"/>
      <c r="V815" s="140"/>
      <c r="W815" s="140"/>
      <c r="X815" s="140"/>
      <c r="Y815" s="140"/>
      <c r="Z815" s="140"/>
      <c r="AA815" s="140"/>
      <c r="AB815" s="140"/>
    </row>
    <row r="816">
      <c r="A816" s="145"/>
      <c r="B816" s="146"/>
      <c r="C816" s="146"/>
      <c r="D816" s="146"/>
      <c r="E816" s="146"/>
      <c r="F816" s="140"/>
      <c r="G816" s="142"/>
      <c r="H816" s="142"/>
      <c r="I816" s="142"/>
      <c r="J816" s="137" t="s">
        <v>39</v>
      </c>
      <c r="K816" s="137" t="s">
        <v>39</v>
      </c>
      <c r="L816" s="146"/>
      <c r="M816" s="141"/>
      <c r="N816" s="129"/>
      <c r="O816" s="140"/>
      <c r="P816" s="140" t="s">
        <v>39</v>
      </c>
      <c r="Q816" s="140"/>
      <c r="R816" s="140"/>
      <c r="S816" s="140"/>
      <c r="T816" s="140"/>
      <c r="U816" s="140"/>
      <c r="V816" s="140"/>
      <c r="W816" s="140"/>
      <c r="X816" s="140"/>
      <c r="Y816" s="140"/>
      <c r="Z816" s="140"/>
      <c r="AA816" s="140"/>
      <c r="AB816" s="140"/>
    </row>
    <row r="817">
      <c r="A817" s="145"/>
      <c r="B817" s="146"/>
      <c r="C817" s="146"/>
      <c r="D817" s="146"/>
      <c r="E817" s="146"/>
      <c r="F817" s="140"/>
      <c r="G817" s="142"/>
      <c r="H817" s="142"/>
      <c r="I817" s="142"/>
      <c r="J817" s="137" t="s">
        <v>39</v>
      </c>
      <c r="K817" s="137" t="s">
        <v>39</v>
      </c>
      <c r="L817" s="146"/>
      <c r="M817" s="141"/>
      <c r="N817" s="129"/>
      <c r="O817" s="140"/>
      <c r="P817" s="140" t="s">
        <v>39</v>
      </c>
      <c r="Q817" s="140"/>
      <c r="R817" s="140"/>
      <c r="S817" s="140"/>
      <c r="T817" s="140"/>
      <c r="U817" s="140"/>
      <c r="V817" s="140"/>
      <c r="W817" s="140"/>
      <c r="X817" s="140"/>
      <c r="Y817" s="140"/>
      <c r="Z817" s="140"/>
      <c r="AA817" s="140"/>
      <c r="AB817" s="140"/>
    </row>
    <row r="818">
      <c r="A818" s="145"/>
      <c r="B818" s="146"/>
      <c r="C818" s="146"/>
      <c r="D818" s="146"/>
      <c r="E818" s="146"/>
      <c r="F818" s="140"/>
      <c r="G818" s="142"/>
      <c r="H818" s="142"/>
      <c r="I818" s="142"/>
      <c r="J818" s="137" t="s">
        <v>39</v>
      </c>
      <c r="K818" s="137" t="s">
        <v>39</v>
      </c>
      <c r="L818" s="146"/>
      <c r="M818" s="141"/>
      <c r="N818" s="129"/>
      <c r="O818" s="140"/>
      <c r="P818" s="140" t="s">
        <v>39</v>
      </c>
      <c r="Q818" s="140"/>
      <c r="R818" s="140"/>
      <c r="S818" s="140"/>
      <c r="T818" s="140"/>
      <c r="U818" s="140"/>
      <c r="V818" s="140"/>
      <c r="W818" s="140"/>
      <c r="X818" s="140"/>
      <c r="Y818" s="140"/>
      <c r="Z818" s="140"/>
      <c r="AA818" s="140"/>
      <c r="AB818" s="140"/>
    </row>
    <row r="819">
      <c r="A819" s="145"/>
      <c r="B819" s="146"/>
      <c r="C819" s="146"/>
      <c r="D819" s="146"/>
      <c r="E819" s="146"/>
      <c r="F819" s="140"/>
      <c r="G819" s="142"/>
      <c r="H819" s="142"/>
      <c r="I819" s="142"/>
      <c r="J819" s="137" t="s">
        <v>39</v>
      </c>
      <c r="K819" s="137" t="s">
        <v>39</v>
      </c>
      <c r="L819" s="146"/>
      <c r="M819" s="141"/>
      <c r="N819" s="129"/>
      <c r="O819" s="140"/>
      <c r="P819" s="140" t="s">
        <v>39</v>
      </c>
      <c r="Q819" s="140"/>
      <c r="R819" s="140"/>
      <c r="S819" s="140"/>
      <c r="T819" s="140"/>
      <c r="U819" s="140"/>
      <c r="V819" s="140"/>
      <c r="W819" s="140"/>
      <c r="X819" s="140"/>
      <c r="Y819" s="140"/>
      <c r="Z819" s="140"/>
      <c r="AA819" s="140"/>
      <c r="AB819" s="140"/>
    </row>
    <row r="820">
      <c r="A820" s="145"/>
      <c r="B820" s="146"/>
      <c r="C820" s="146"/>
      <c r="D820" s="146"/>
      <c r="E820" s="146"/>
      <c r="F820" s="140"/>
      <c r="G820" s="142"/>
      <c r="H820" s="142"/>
      <c r="I820" s="142"/>
      <c r="J820" s="137" t="s">
        <v>39</v>
      </c>
      <c r="K820" s="137" t="s">
        <v>39</v>
      </c>
      <c r="L820" s="146"/>
      <c r="M820" s="141"/>
      <c r="N820" s="129"/>
      <c r="O820" s="140"/>
      <c r="P820" s="140" t="s">
        <v>39</v>
      </c>
      <c r="Q820" s="140"/>
      <c r="R820" s="140"/>
      <c r="S820" s="140"/>
      <c r="T820" s="140"/>
      <c r="U820" s="140"/>
      <c r="V820" s="140"/>
      <c r="W820" s="140"/>
      <c r="X820" s="140"/>
      <c r="Y820" s="140"/>
      <c r="Z820" s="140"/>
      <c r="AA820" s="140"/>
      <c r="AB820" s="140"/>
    </row>
    <row r="821">
      <c r="A821" s="145"/>
      <c r="B821" s="146"/>
      <c r="C821" s="146"/>
      <c r="D821" s="146"/>
      <c r="E821" s="146"/>
      <c r="F821" s="140"/>
      <c r="G821" s="142"/>
      <c r="H821" s="142"/>
      <c r="I821" s="142"/>
      <c r="J821" s="137" t="s">
        <v>39</v>
      </c>
      <c r="K821" s="137" t="s">
        <v>39</v>
      </c>
      <c r="L821" s="146"/>
      <c r="M821" s="141"/>
      <c r="N821" s="129"/>
      <c r="O821" s="140"/>
      <c r="P821" s="140" t="s">
        <v>39</v>
      </c>
      <c r="Q821" s="140"/>
      <c r="R821" s="140"/>
      <c r="S821" s="140"/>
      <c r="T821" s="140"/>
      <c r="U821" s="140"/>
      <c r="V821" s="140"/>
      <c r="W821" s="140"/>
      <c r="X821" s="140"/>
      <c r="Y821" s="140"/>
      <c r="Z821" s="140"/>
      <c r="AA821" s="140"/>
      <c r="AB821" s="140"/>
    </row>
    <row r="822">
      <c r="A822" s="145"/>
      <c r="B822" s="146"/>
      <c r="C822" s="146"/>
      <c r="D822" s="146"/>
      <c r="E822" s="146"/>
      <c r="F822" s="140"/>
      <c r="G822" s="142"/>
      <c r="H822" s="142"/>
      <c r="I822" s="142"/>
      <c r="J822" s="137" t="s">
        <v>39</v>
      </c>
      <c r="K822" s="137" t="s">
        <v>39</v>
      </c>
      <c r="L822" s="146"/>
      <c r="M822" s="141"/>
      <c r="N822" s="129"/>
      <c r="O822" s="140"/>
      <c r="P822" s="140" t="s">
        <v>39</v>
      </c>
      <c r="Q822" s="140"/>
      <c r="R822" s="140"/>
      <c r="S822" s="140"/>
      <c r="T822" s="140"/>
      <c r="U822" s="140"/>
      <c r="V822" s="140"/>
      <c r="W822" s="140"/>
      <c r="X822" s="140"/>
      <c r="Y822" s="140"/>
      <c r="Z822" s="140"/>
      <c r="AA822" s="140"/>
      <c r="AB822" s="140"/>
    </row>
    <row r="823">
      <c r="A823" s="145"/>
      <c r="B823" s="146"/>
      <c r="C823" s="146"/>
      <c r="D823" s="146"/>
      <c r="E823" s="146"/>
      <c r="F823" s="140"/>
      <c r="G823" s="142"/>
      <c r="H823" s="142"/>
      <c r="I823" s="142"/>
      <c r="J823" s="137" t="s">
        <v>39</v>
      </c>
      <c r="K823" s="137" t="s">
        <v>39</v>
      </c>
      <c r="L823" s="146"/>
      <c r="M823" s="141"/>
      <c r="N823" s="129"/>
      <c r="O823" s="140"/>
      <c r="P823" s="140" t="s">
        <v>39</v>
      </c>
      <c r="Q823" s="140"/>
      <c r="R823" s="140"/>
      <c r="S823" s="140"/>
      <c r="T823" s="140"/>
      <c r="U823" s="140"/>
      <c r="V823" s="140"/>
      <c r="W823" s="140"/>
      <c r="X823" s="140"/>
      <c r="Y823" s="140"/>
      <c r="Z823" s="140"/>
      <c r="AA823" s="140"/>
      <c r="AB823" s="140"/>
    </row>
    <row r="824">
      <c r="A824" s="145"/>
      <c r="B824" s="146"/>
      <c r="C824" s="146"/>
      <c r="D824" s="146"/>
      <c r="E824" s="146"/>
      <c r="F824" s="140"/>
      <c r="G824" s="142"/>
      <c r="H824" s="142"/>
      <c r="I824" s="142"/>
      <c r="J824" s="137" t="s">
        <v>39</v>
      </c>
      <c r="K824" s="137" t="s">
        <v>39</v>
      </c>
      <c r="L824" s="146"/>
      <c r="M824" s="141"/>
      <c r="N824" s="129"/>
      <c r="O824" s="140"/>
      <c r="P824" s="140" t="s">
        <v>39</v>
      </c>
      <c r="Q824" s="140"/>
      <c r="R824" s="140"/>
      <c r="S824" s="140"/>
      <c r="T824" s="140"/>
      <c r="U824" s="140"/>
      <c r="V824" s="140"/>
      <c r="W824" s="140"/>
      <c r="X824" s="140"/>
      <c r="Y824" s="140"/>
      <c r="Z824" s="140"/>
      <c r="AA824" s="140"/>
      <c r="AB824" s="140"/>
    </row>
    <row r="825">
      <c r="A825" s="145"/>
      <c r="B825" s="146"/>
      <c r="C825" s="146"/>
      <c r="D825" s="146"/>
      <c r="E825" s="146"/>
      <c r="F825" s="140"/>
      <c r="G825" s="142"/>
      <c r="H825" s="142"/>
      <c r="I825" s="142"/>
      <c r="J825" s="137" t="s">
        <v>39</v>
      </c>
      <c r="K825" s="137" t="s">
        <v>39</v>
      </c>
      <c r="L825" s="146"/>
      <c r="M825" s="141"/>
      <c r="N825" s="129"/>
      <c r="O825" s="140"/>
      <c r="P825" s="140" t="s">
        <v>39</v>
      </c>
      <c r="Q825" s="140"/>
      <c r="R825" s="140"/>
      <c r="S825" s="140"/>
      <c r="T825" s="140"/>
      <c r="U825" s="140"/>
      <c r="V825" s="140"/>
      <c r="W825" s="140"/>
      <c r="X825" s="140"/>
      <c r="Y825" s="140"/>
      <c r="Z825" s="140"/>
      <c r="AA825" s="140"/>
      <c r="AB825" s="140"/>
    </row>
    <row r="826">
      <c r="A826" s="145"/>
      <c r="B826" s="146"/>
      <c r="C826" s="146"/>
      <c r="D826" s="146"/>
      <c r="E826" s="146"/>
      <c r="F826" s="140"/>
      <c r="G826" s="142"/>
      <c r="H826" s="142"/>
      <c r="I826" s="142"/>
      <c r="J826" s="137" t="s">
        <v>39</v>
      </c>
      <c r="K826" s="137" t="s">
        <v>39</v>
      </c>
      <c r="L826" s="146"/>
      <c r="M826" s="141"/>
      <c r="N826" s="129"/>
      <c r="O826" s="140"/>
      <c r="P826" s="140" t="s">
        <v>39</v>
      </c>
      <c r="Q826" s="140"/>
      <c r="R826" s="140"/>
      <c r="S826" s="140"/>
      <c r="T826" s="140"/>
      <c r="U826" s="140"/>
      <c r="V826" s="140"/>
      <c r="W826" s="140"/>
      <c r="X826" s="140"/>
      <c r="Y826" s="140"/>
      <c r="Z826" s="140"/>
      <c r="AA826" s="140"/>
      <c r="AB826" s="140"/>
    </row>
    <row r="827">
      <c r="A827" s="145"/>
      <c r="B827" s="146"/>
      <c r="C827" s="146"/>
      <c r="D827" s="146"/>
      <c r="E827" s="146"/>
      <c r="F827" s="140"/>
      <c r="G827" s="142"/>
      <c r="H827" s="142"/>
      <c r="I827" s="142"/>
      <c r="J827" s="137" t="s">
        <v>39</v>
      </c>
      <c r="K827" s="137" t="s">
        <v>39</v>
      </c>
      <c r="L827" s="146"/>
      <c r="M827" s="141"/>
      <c r="N827" s="129"/>
      <c r="O827" s="140"/>
      <c r="P827" s="140" t="s">
        <v>39</v>
      </c>
      <c r="Q827" s="140"/>
      <c r="R827" s="140"/>
      <c r="S827" s="140"/>
      <c r="T827" s="140"/>
      <c r="U827" s="140"/>
      <c r="V827" s="140"/>
      <c r="W827" s="140"/>
      <c r="X827" s="140"/>
      <c r="Y827" s="140"/>
      <c r="Z827" s="140"/>
      <c r="AA827" s="140"/>
      <c r="AB827" s="140"/>
    </row>
    <row r="828">
      <c r="A828" s="145"/>
      <c r="B828" s="146"/>
      <c r="C828" s="146"/>
      <c r="D828" s="146"/>
      <c r="E828" s="146"/>
      <c r="F828" s="140"/>
      <c r="G828" s="142"/>
      <c r="H828" s="142"/>
      <c r="I828" s="142"/>
      <c r="J828" s="137" t="s">
        <v>39</v>
      </c>
      <c r="K828" s="137" t="s">
        <v>39</v>
      </c>
      <c r="L828" s="146"/>
      <c r="M828" s="141"/>
      <c r="N828" s="129"/>
      <c r="O828" s="140"/>
      <c r="P828" s="140" t="s">
        <v>39</v>
      </c>
      <c r="Q828" s="140"/>
      <c r="R828" s="140"/>
      <c r="S828" s="140"/>
      <c r="T828" s="140"/>
      <c r="U828" s="140"/>
      <c r="V828" s="140"/>
      <c r="W828" s="140"/>
      <c r="X828" s="140"/>
      <c r="Y828" s="140"/>
      <c r="Z828" s="140"/>
      <c r="AA828" s="140"/>
      <c r="AB828" s="140"/>
    </row>
    <row r="829">
      <c r="A829" s="145"/>
      <c r="B829" s="146"/>
      <c r="C829" s="146"/>
      <c r="D829" s="146"/>
      <c r="E829" s="146"/>
      <c r="F829" s="140"/>
      <c r="G829" s="142"/>
      <c r="H829" s="142"/>
      <c r="I829" s="142"/>
      <c r="J829" s="137" t="s">
        <v>39</v>
      </c>
      <c r="K829" s="137" t="s">
        <v>39</v>
      </c>
      <c r="L829" s="146"/>
      <c r="M829" s="141"/>
      <c r="N829" s="129"/>
      <c r="O829" s="140"/>
      <c r="P829" s="140" t="s">
        <v>39</v>
      </c>
      <c r="Q829" s="140"/>
      <c r="R829" s="140"/>
      <c r="S829" s="140"/>
      <c r="T829" s="140"/>
      <c r="U829" s="140"/>
      <c r="V829" s="140"/>
      <c r="W829" s="140"/>
      <c r="X829" s="140"/>
      <c r="Y829" s="140"/>
      <c r="Z829" s="140"/>
      <c r="AA829" s="140"/>
      <c r="AB829" s="140"/>
    </row>
    <row r="830">
      <c r="A830" s="145"/>
      <c r="B830" s="146"/>
      <c r="C830" s="146"/>
      <c r="D830" s="146"/>
      <c r="E830" s="146"/>
      <c r="F830" s="140"/>
      <c r="G830" s="142"/>
      <c r="H830" s="142"/>
      <c r="I830" s="142"/>
      <c r="J830" s="137" t="s">
        <v>39</v>
      </c>
      <c r="K830" s="137" t="s">
        <v>39</v>
      </c>
      <c r="L830" s="146"/>
      <c r="M830" s="141"/>
      <c r="N830" s="129"/>
      <c r="O830" s="140"/>
      <c r="P830" s="140" t="s">
        <v>39</v>
      </c>
      <c r="Q830" s="140"/>
      <c r="R830" s="140"/>
      <c r="S830" s="140"/>
      <c r="T830" s="140"/>
      <c r="U830" s="140"/>
      <c r="V830" s="140"/>
      <c r="W830" s="140"/>
      <c r="X830" s="140"/>
      <c r="Y830" s="140"/>
      <c r="Z830" s="140"/>
      <c r="AA830" s="140"/>
      <c r="AB830" s="140"/>
    </row>
    <row r="831">
      <c r="A831" s="145"/>
      <c r="B831" s="146"/>
      <c r="C831" s="146"/>
      <c r="D831" s="146"/>
      <c r="E831" s="146"/>
      <c r="F831" s="140"/>
      <c r="G831" s="142"/>
      <c r="H831" s="142"/>
      <c r="I831" s="142"/>
      <c r="J831" s="137" t="s">
        <v>39</v>
      </c>
      <c r="K831" s="137" t="s">
        <v>39</v>
      </c>
      <c r="L831" s="146"/>
      <c r="M831" s="141"/>
      <c r="N831" s="129"/>
      <c r="O831" s="140"/>
      <c r="P831" s="140" t="s">
        <v>39</v>
      </c>
      <c r="Q831" s="140"/>
      <c r="R831" s="140"/>
      <c r="S831" s="140"/>
      <c r="T831" s="140"/>
      <c r="U831" s="140"/>
      <c r="V831" s="140"/>
      <c r="W831" s="140"/>
      <c r="X831" s="140"/>
      <c r="Y831" s="140"/>
      <c r="Z831" s="140"/>
      <c r="AA831" s="140"/>
      <c r="AB831" s="140"/>
    </row>
    <row r="832">
      <c r="A832" s="145"/>
      <c r="B832" s="146"/>
      <c r="C832" s="146"/>
      <c r="D832" s="146"/>
      <c r="E832" s="146"/>
      <c r="F832" s="140"/>
      <c r="G832" s="142"/>
      <c r="H832" s="142"/>
      <c r="I832" s="142"/>
      <c r="J832" s="137" t="s">
        <v>39</v>
      </c>
      <c r="K832" s="137" t="s">
        <v>39</v>
      </c>
      <c r="L832" s="146"/>
      <c r="M832" s="141"/>
      <c r="N832" s="129"/>
      <c r="O832" s="140"/>
      <c r="P832" s="140" t="s">
        <v>39</v>
      </c>
      <c r="Q832" s="140"/>
      <c r="R832" s="140"/>
      <c r="S832" s="140"/>
      <c r="T832" s="140"/>
      <c r="U832" s="140"/>
      <c r="V832" s="140"/>
      <c r="W832" s="140"/>
      <c r="X832" s="140"/>
      <c r="Y832" s="140"/>
      <c r="Z832" s="140"/>
      <c r="AA832" s="140"/>
      <c r="AB832" s="140"/>
    </row>
    <row r="833">
      <c r="A833" s="145"/>
      <c r="B833" s="146"/>
      <c r="C833" s="146"/>
      <c r="D833" s="146"/>
      <c r="E833" s="146"/>
      <c r="F833" s="140"/>
      <c r="G833" s="142"/>
      <c r="H833" s="142"/>
      <c r="I833" s="142"/>
      <c r="J833" s="137" t="s">
        <v>39</v>
      </c>
      <c r="K833" s="137" t="s">
        <v>39</v>
      </c>
      <c r="L833" s="146"/>
      <c r="M833" s="141"/>
      <c r="N833" s="129"/>
      <c r="O833" s="140"/>
      <c r="P833" s="140" t="s">
        <v>39</v>
      </c>
      <c r="Q833" s="140"/>
      <c r="R833" s="140"/>
      <c r="S833" s="140"/>
      <c r="T833" s="140"/>
      <c r="U833" s="140"/>
      <c r="V833" s="140"/>
      <c r="W833" s="140"/>
      <c r="X833" s="140"/>
      <c r="Y833" s="140"/>
      <c r="Z833" s="140"/>
      <c r="AA833" s="140"/>
      <c r="AB833" s="140"/>
    </row>
    <row r="834">
      <c r="A834" s="145"/>
      <c r="B834" s="146"/>
      <c r="C834" s="146"/>
      <c r="D834" s="146"/>
      <c r="E834" s="146"/>
      <c r="F834" s="140"/>
      <c r="G834" s="142"/>
      <c r="H834" s="142"/>
      <c r="I834" s="142"/>
      <c r="J834" s="137" t="s">
        <v>39</v>
      </c>
      <c r="K834" s="137" t="s">
        <v>39</v>
      </c>
      <c r="L834" s="146"/>
      <c r="M834" s="141"/>
      <c r="N834" s="129"/>
      <c r="O834" s="140"/>
      <c r="P834" s="140" t="s">
        <v>39</v>
      </c>
      <c r="Q834" s="140"/>
      <c r="R834" s="140"/>
      <c r="S834" s="140"/>
      <c r="T834" s="140"/>
      <c r="U834" s="140"/>
      <c r="V834" s="140"/>
      <c r="W834" s="140"/>
      <c r="X834" s="140"/>
      <c r="Y834" s="140"/>
      <c r="Z834" s="140"/>
      <c r="AA834" s="140"/>
      <c r="AB834" s="140"/>
    </row>
    <row r="835">
      <c r="A835" s="145"/>
      <c r="B835" s="146"/>
      <c r="C835" s="146"/>
      <c r="D835" s="146"/>
      <c r="E835" s="146"/>
      <c r="F835" s="140"/>
      <c r="G835" s="142"/>
      <c r="H835" s="142"/>
      <c r="I835" s="142"/>
      <c r="J835" s="137" t="s">
        <v>39</v>
      </c>
      <c r="K835" s="137" t="s">
        <v>39</v>
      </c>
      <c r="L835" s="146"/>
      <c r="M835" s="141"/>
      <c r="N835" s="129"/>
      <c r="O835" s="140"/>
      <c r="P835" s="140" t="s">
        <v>39</v>
      </c>
      <c r="Q835" s="140"/>
      <c r="R835" s="140"/>
      <c r="S835" s="140"/>
      <c r="T835" s="140"/>
      <c r="U835" s="140"/>
      <c r="V835" s="140"/>
      <c r="W835" s="140"/>
      <c r="X835" s="140"/>
      <c r="Y835" s="140"/>
      <c r="Z835" s="140"/>
      <c r="AA835" s="140"/>
      <c r="AB835" s="140"/>
    </row>
    <row r="836">
      <c r="A836" s="145"/>
      <c r="B836" s="146"/>
      <c r="C836" s="146"/>
      <c r="D836" s="146"/>
      <c r="E836" s="146"/>
      <c r="F836" s="140"/>
      <c r="G836" s="142"/>
      <c r="H836" s="142"/>
      <c r="I836" s="142"/>
      <c r="J836" s="137" t="s">
        <v>39</v>
      </c>
      <c r="K836" s="137" t="s">
        <v>39</v>
      </c>
      <c r="L836" s="146"/>
      <c r="M836" s="141"/>
      <c r="N836" s="129"/>
      <c r="O836" s="140"/>
      <c r="P836" s="140" t="s">
        <v>39</v>
      </c>
      <c r="Q836" s="140"/>
      <c r="R836" s="140"/>
      <c r="S836" s="140"/>
      <c r="T836" s="140"/>
      <c r="U836" s="140"/>
      <c r="V836" s="140"/>
      <c r="W836" s="140"/>
      <c r="X836" s="140"/>
      <c r="Y836" s="140"/>
      <c r="Z836" s="140"/>
      <c r="AA836" s="140"/>
      <c r="AB836" s="140"/>
    </row>
    <row r="837">
      <c r="A837" s="145"/>
      <c r="B837" s="146"/>
      <c r="C837" s="146"/>
      <c r="D837" s="146"/>
      <c r="E837" s="146"/>
      <c r="F837" s="140"/>
      <c r="G837" s="142"/>
      <c r="H837" s="142"/>
      <c r="I837" s="142"/>
      <c r="J837" s="137" t="s">
        <v>39</v>
      </c>
      <c r="K837" s="137" t="s">
        <v>39</v>
      </c>
      <c r="L837" s="146"/>
      <c r="M837" s="141"/>
      <c r="N837" s="129"/>
      <c r="O837" s="140"/>
      <c r="P837" s="140" t="s">
        <v>39</v>
      </c>
      <c r="Q837" s="140"/>
      <c r="R837" s="140"/>
      <c r="S837" s="140"/>
      <c r="T837" s="140"/>
      <c r="U837" s="140"/>
      <c r="V837" s="140"/>
      <c r="W837" s="140"/>
      <c r="X837" s="140"/>
      <c r="Y837" s="140"/>
      <c r="Z837" s="140"/>
      <c r="AA837" s="140"/>
      <c r="AB837" s="140"/>
    </row>
    <row r="838">
      <c r="A838" s="145"/>
      <c r="B838" s="146"/>
      <c r="C838" s="146"/>
      <c r="D838" s="146"/>
      <c r="E838" s="146"/>
      <c r="F838" s="140"/>
      <c r="G838" s="142"/>
      <c r="H838" s="142"/>
      <c r="I838" s="142"/>
      <c r="J838" s="137" t="s">
        <v>39</v>
      </c>
      <c r="K838" s="137" t="s">
        <v>39</v>
      </c>
      <c r="L838" s="146"/>
      <c r="M838" s="141"/>
      <c r="N838" s="129"/>
      <c r="O838" s="140"/>
      <c r="P838" s="140" t="s">
        <v>39</v>
      </c>
      <c r="Q838" s="140"/>
      <c r="R838" s="140"/>
      <c r="S838" s="140"/>
      <c r="T838" s="140"/>
      <c r="U838" s="140"/>
      <c r="V838" s="140"/>
      <c r="W838" s="140"/>
      <c r="X838" s="140"/>
      <c r="Y838" s="140"/>
      <c r="Z838" s="140"/>
      <c r="AA838" s="140"/>
      <c r="AB838" s="140"/>
    </row>
    <row r="839">
      <c r="A839" s="145"/>
      <c r="B839" s="146"/>
      <c r="C839" s="146"/>
      <c r="D839" s="146"/>
      <c r="E839" s="146"/>
      <c r="F839" s="140"/>
      <c r="G839" s="142"/>
      <c r="H839" s="142"/>
      <c r="I839" s="142"/>
      <c r="J839" s="137" t="s">
        <v>39</v>
      </c>
      <c r="K839" s="137" t="s">
        <v>39</v>
      </c>
      <c r="L839" s="146"/>
      <c r="M839" s="141"/>
      <c r="N839" s="129"/>
      <c r="O839" s="140"/>
      <c r="P839" s="140" t="s">
        <v>39</v>
      </c>
      <c r="Q839" s="140"/>
      <c r="R839" s="140"/>
      <c r="S839" s="140"/>
      <c r="T839" s="140"/>
      <c r="U839" s="140"/>
      <c r="V839" s="140"/>
      <c r="W839" s="140"/>
      <c r="X839" s="140"/>
      <c r="Y839" s="140"/>
      <c r="Z839" s="140"/>
      <c r="AA839" s="140"/>
      <c r="AB839" s="140"/>
    </row>
    <row r="840">
      <c r="A840" s="145"/>
      <c r="B840" s="146"/>
      <c r="C840" s="146"/>
      <c r="D840" s="146"/>
      <c r="E840" s="146"/>
      <c r="F840" s="140"/>
      <c r="G840" s="142"/>
      <c r="H840" s="142"/>
      <c r="I840" s="142"/>
      <c r="J840" s="137" t="s">
        <v>39</v>
      </c>
      <c r="K840" s="137" t="s">
        <v>39</v>
      </c>
      <c r="L840" s="146"/>
      <c r="M840" s="141"/>
      <c r="N840" s="129"/>
      <c r="O840" s="140"/>
      <c r="P840" s="140" t="s">
        <v>39</v>
      </c>
      <c r="Q840" s="140"/>
      <c r="R840" s="140"/>
      <c r="S840" s="140"/>
      <c r="T840" s="140"/>
      <c r="U840" s="140"/>
      <c r="V840" s="140"/>
      <c r="W840" s="140"/>
      <c r="X840" s="140"/>
      <c r="Y840" s="140"/>
      <c r="Z840" s="140"/>
      <c r="AA840" s="140"/>
      <c r="AB840" s="140"/>
    </row>
    <row r="841">
      <c r="A841" s="145"/>
      <c r="B841" s="146"/>
      <c r="C841" s="146"/>
      <c r="D841" s="146"/>
      <c r="E841" s="146"/>
      <c r="F841" s="140"/>
      <c r="G841" s="142"/>
      <c r="H841" s="142"/>
      <c r="I841" s="142"/>
      <c r="J841" s="137" t="s">
        <v>39</v>
      </c>
      <c r="K841" s="137" t="s">
        <v>39</v>
      </c>
      <c r="L841" s="146"/>
      <c r="M841" s="141"/>
      <c r="N841" s="129"/>
      <c r="O841" s="140"/>
      <c r="P841" s="140" t="s">
        <v>39</v>
      </c>
      <c r="Q841" s="140"/>
      <c r="R841" s="140"/>
      <c r="S841" s="140"/>
      <c r="T841" s="140"/>
      <c r="U841" s="140"/>
      <c r="V841" s="140"/>
      <c r="W841" s="140"/>
      <c r="X841" s="140"/>
      <c r="Y841" s="140"/>
      <c r="Z841" s="140"/>
      <c r="AA841" s="140"/>
      <c r="AB841" s="140"/>
    </row>
    <row r="842">
      <c r="A842" s="145"/>
      <c r="B842" s="146"/>
      <c r="C842" s="146"/>
      <c r="D842" s="146"/>
      <c r="E842" s="146"/>
      <c r="F842" s="140"/>
      <c r="G842" s="142"/>
      <c r="H842" s="142"/>
      <c r="I842" s="142"/>
      <c r="J842" s="137" t="s">
        <v>39</v>
      </c>
      <c r="K842" s="137" t="s">
        <v>39</v>
      </c>
      <c r="L842" s="146"/>
      <c r="M842" s="141"/>
      <c r="N842" s="129"/>
      <c r="O842" s="140"/>
      <c r="P842" s="140" t="s">
        <v>39</v>
      </c>
      <c r="Q842" s="140"/>
      <c r="R842" s="140"/>
      <c r="S842" s="140"/>
      <c r="T842" s="140"/>
      <c r="U842" s="140"/>
      <c r="V842" s="140"/>
      <c r="W842" s="140"/>
      <c r="X842" s="140"/>
      <c r="Y842" s="140"/>
      <c r="Z842" s="140"/>
      <c r="AA842" s="140"/>
      <c r="AB842" s="140"/>
    </row>
    <row r="843">
      <c r="A843" s="145"/>
      <c r="B843" s="146"/>
      <c r="C843" s="146"/>
      <c r="D843" s="146"/>
      <c r="E843" s="146"/>
      <c r="F843" s="140"/>
      <c r="G843" s="142"/>
      <c r="H843" s="142"/>
      <c r="I843" s="142"/>
      <c r="J843" s="137" t="s">
        <v>39</v>
      </c>
      <c r="K843" s="137" t="s">
        <v>39</v>
      </c>
      <c r="L843" s="146"/>
      <c r="M843" s="141"/>
      <c r="N843" s="129"/>
      <c r="O843" s="140"/>
      <c r="P843" s="140" t="s">
        <v>39</v>
      </c>
      <c r="Q843" s="140"/>
      <c r="R843" s="140"/>
      <c r="S843" s="140"/>
      <c r="T843" s="140"/>
      <c r="U843" s="140"/>
      <c r="V843" s="140"/>
      <c r="W843" s="140"/>
      <c r="X843" s="140"/>
      <c r="Y843" s="140"/>
      <c r="Z843" s="140"/>
      <c r="AA843" s="140"/>
      <c r="AB843" s="140"/>
    </row>
    <row r="844">
      <c r="A844" s="145"/>
      <c r="B844" s="146"/>
      <c r="C844" s="146"/>
      <c r="D844" s="146"/>
      <c r="E844" s="146"/>
      <c r="F844" s="140"/>
      <c r="G844" s="142"/>
      <c r="H844" s="142"/>
      <c r="I844" s="142"/>
      <c r="J844" s="137" t="s">
        <v>39</v>
      </c>
      <c r="K844" s="137" t="s">
        <v>39</v>
      </c>
      <c r="L844" s="146"/>
      <c r="M844" s="141"/>
      <c r="N844" s="129"/>
      <c r="O844" s="140"/>
      <c r="P844" s="140" t="s">
        <v>39</v>
      </c>
      <c r="Q844" s="140"/>
      <c r="R844" s="140"/>
      <c r="S844" s="140"/>
      <c r="T844" s="140"/>
      <c r="U844" s="140"/>
      <c r="V844" s="140"/>
      <c r="W844" s="140"/>
      <c r="X844" s="140"/>
      <c r="Y844" s="140"/>
      <c r="Z844" s="140"/>
      <c r="AA844" s="140"/>
      <c r="AB844" s="140"/>
    </row>
    <row r="845">
      <c r="A845" s="145"/>
      <c r="B845" s="146"/>
      <c r="C845" s="146"/>
      <c r="D845" s="146"/>
      <c r="E845" s="146"/>
      <c r="F845" s="140"/>
      <c r="G845" s="142"/>
      <c r="H845" s="142"/>
      <c r="I845" s="142"/>
      <c r="J845" s="137" t="s">
        <v>39</v>
      </c>
      <c r="K845" s="137" t="s">
        <v>39</v>
      </c>
      <c r="L845" s="146"/>
      <c r="M845" s="141"/>
      <c r="N845" s="129"/>
      <c r="O845" s="140"/>
      <c r="P845" s="140" t="s">
        <v>39</v>
      </c>
      <c r="Q845" s="140"/>
      <c r="R845" s="140"/>
      <c r="S845" s="140"/>
      <c r="T845" s="140"/>
      <c r="U845" s="140"/>
      <c r="V845" s="140"/>
      <c r="W845" s="140"/>
      <c r="X845" s="140"/>
      <c r="Y845" s="140"/>
      <c r="Z845" s="140"/>
      <c r="AA845" s="140"/>
      <c r="AB845" s="140"/>
    </row>
    <row r="846">
      <c r="A846" s="145"/>
      <c r="B846" s="146"/>
      <c r="C846" s="146"/>
      <c r="D846" s="146"/>
      <c r="E846" s="146"/>
      <c r="F846" s="140"/>
      <c r="G846" s="142"/>
      <c r="H846" s="142"/>
      <c r="I846" s="142"/>
      <c r="J846" s="137" t="s">
        <v>39</v>
      </c>
      <c r="K846" s="137" t="s">
        <v>39</v>
      </c>
      <c r="L846" s="146"/>
      <c r="M846" s="141"/>
      <c r="N846" s="129"/>
      <c r="O846" s="140"/>
      <c r="P846" s="140" t="s">
        <v>39</v>
      </c>
      <c r="Q846" s="140"/>
      <c r="R846" s="140"/>
      <c r="S846" s="140"/>
      <c r="T846" s="140"/>
      <c r="U846" s="140"/>
      <c r="V846" s="140"/>
      <c r="W846" s="140"/>
      <c r="X846" s="140"/>
      <c r="Y846" s="140"/>
      <c r="Z846" s="140"/>
      <c r="AA846" s="140"/>
      <c r="AB846" s="140"/>
    </row>
    <row r="847">
      <c r="A847" s="145"/>
      <c r="B847" s="146"/>
      <c r="C847" s="146"/>
      <c r="D847" s="146"/>
      <c r="E847" s="146"/>
      <c r="F847" s="140"/>
      <c r="G847" s="142"/>
      <c r="H847" s="142"/>
      <c r="I847" s="142"/>
      <c r="J847" s="137" t="s">
        <v>39</v>
      </c>
      <c r="K847" s="137" t="s">
        <v>39</v>
      </c>
      <c r="L847" s="146"/>
      <c r="M847" s="141"/>
      <c r="N847" s="129"/>
      <c r="O847" s="140"/>
      <c r="P847" s="140" t="s">
        <v>39</v>
      </c>
      <c r="Q847" s="140"/>
      <c r="R847" s="140"/>
      <c r="S847" s="140"/>
      <c r="T847" s="140"/>
      <c r="U847" s="140"/>
      <c r="V847" s="140"/>
      <c r="W847" s="140"/>
      <c r="X847" s="140"/>
      <c r="Y847" s="140"/>
      <c r="Z847" s="140"/>
      <c r="AA847" s="140"/>
      <c r="AB847" s="140"/>
    </row>
    <row r="848">
      <c r="A848" s="145"/>
      <c r="B848" s="146"/>
      <c r="C848" s="146"/>
      <c r="D848" s="146"/>
      <c r="E848" s="146"/>
      <c r="F848" s="140"/>
      <c r="G848" s="142"/>
      <c r="H848" s="142"/>
      <c r="I848" s="142"/>
      <c r="J848" s="137" t="s">
        <v>39</v>
      </c>
      <c r="K848" s="137" t="s">
        <v>39</v>
      </c>
      <c r="L848" s="146"/>
      <c r="M848" s="141"/>
      <c r="N848" s="129"/>
      <c r="O848" s="140"/>
      <c r="P848" s="140" t="s">
        <v>39</v>
      </c>
      <c r="Q848" s="140"/>
      <c r="R848" s="140"/>
      <c r="S848" s="140"/>
      <c r="T848" s="140"/>
      <c r="U848" s="140"/>
      <c r="V848" s="140"/>
      <c r="W848" s="140"/>
      <c r="X848" s="140"/>
      <c r="Y848" s="140"/>
      <c r="Z848" s="140"/>
      <c r="AA848" s="140"/>
      <c r="AB848" s="140"/>
    </row>
    <row r="849">
      <c r="A849" s="145"/>
      <c r="B849" s="146"/>
      <c r="C849" s="146"/>
      <c r="D849" s="146"/>
      <c r="E849" s="146"/>
      <c r="F849" s="140"/>
      <c r="G849" s="142"/>
      <c r="H849" s="142"/>
      <c r="I849" s="142"/>
      <c r="J849" s="137" t="s">
        <v>39</v>
      </c>
      <c r="K849" s="137" t="s">
        <v>39</v>
      </c>
      <c r="L849" s="146"/>
      <c r="M849" s="141"/>
      <c r="N849" s="129"/>
      <c r="O849" s="140"/>
      <c r="P849" s="140" t="s">
        <v>39</v>
      </c>
      <c r="Q849" s="140"/>
      <c r="R849" s="140"/>
      <c r="S849" s="140"/>
      <c r="T849" s="140"/>
      <c r="U849" s="140"/>
      <c r="V849" s="140"/>
      <c r="W849" s="140"/>
      <c r="X849" s="140"/>
      <c r="Y849" s="140"/>
      <c r="Z849" s="140"/>
      <c r="AA849" s="140"/>
      <c r="AB849" s="140"/>
    </row>
    <row r="850">
      <c r="A850" s="145"/>
      <c r="B850" s="146"/>
      <c r="C850" s="146"/>
      <c r="D850" s="146"/>
      <c r="E850" s="146"/>
      <c r="F850" s="140"/>
      <c r="G850" s="142"/>
      <c r="H850" s="142"/>
      <c r="I850" s="142"/>
      <c r="J850" s="137" t="s">
        <v>39</v>
      </c>
      <c r="K850" s="137" t="s">
        <v>39</v>
      </c>
      <c r="L850" s="146"/>
      <c r="M850" s="141"/>
      <c r="N850" s="129"/>
      <c r="O850" s="140"/>
      <c r="P850" s="140" t="s">
        <v>39</v>
      </c>
      <c r="Q850" s="140"/>
      <c r="R850" s="140"/>
      <c r="S850" s="140"/>
      <c r="T850" s="140"/>
      <c r="U850" s="140"/>
      <c r="V850" s="140"/>
      <c r="W850" s="140"/>
      <c r="X850" s="140"/>
      <c r="Y850" s="140"/>
      <c r="Z850" s="140"/>
      <c r="AA850" s="140"/>
      <c r="AB850" s="140"/>
    </row>
    <row r="851">
      <c r="A851" s="145"/>
      <c r="B851" s="146"/>
      <c r="C851" s="146"/>
      <c r="D851" s="146"/>
      <c r="E851" s="146"/>
      <c r="F851" s="140"/>
      <c r="G851" s="142"/>
      <c r="H851" s="142"/>
      <c r="I851" s="142"/>
      <c r="J851" s="137" t="s">
        <v>39</v>
      </c>
      <c r="K851" s="137" t="s">
        <v>39</v>
      </c>
      <c r="L851" s="146"/>
      <c r="M851" s="141"/>
      <c r="N851" s="129"/>
      <c r="O851" s="140"/>
      <c r="P851" s="140" t="s">
        <v>39</v>
      </c>
      <c r="Q851" s="140"/>
      <c r="R851" s="140"/>
      <c r="S851" s="140"/>
      <c r="T851" s="140"/>
      <c r="U851" s="140"/>
      <c r="V851" s="140"/>
      <c r="W851" s="140"/>
      <c r="X851" s="140"/>
      <c r="Y851" s="140"/>
      <c r="Z851" s="140"/>
      <c r="AA851" s="140"/>
      <c r="AB851" s="140"/>
    </row>
    <row r="852">
      <c r="A852" s="145"/>
      <c r="B852" s="146"/>
      <c r="C852" s="146"/>
      <c r="D852" s="146"/>
      <c r="E852" s="146"/>
      <c r="F852" s="140"/>
      <c r="G852" s="142"/>
      <c r="H852" s="142"/>
      <c r="I852" s="142"/>
      <c r="J852" s="137" t="s">
        <v>39</v>
      </c>
      <c r="K852" s="137" t="s">
        <v>39</v>
      </c>
      <c r="L852" s="146"/>
      <c r="M852" s="141"/>
      <c r="N852" s="129"/>
      <c r="O852" s="140"/>
      <c r="P852" s="140" t="s">
        <v>39</v>
      </c>
      <c r="Q852" s="140"/>
      <c r="R852" s="140"/>
      <c r="S852" s="140"/>
      <c r="T852" s="140"/>
      <c r="U852" s="140"/>
      <c r="V852" s="140"/>
      <c r="W852" s="140"/>
      <c r="X852" s="140"/>
      <c r="Y852" s="140"/>
      <c r="Z852" s="140"/>
      <c r="AA852" s="140"/>
      <c r="AB852" s="140"/>
    </row>
    <row r="853">
      <c r="A853" s="145"/>
      <c r="B853" s="146"/>
      <c r="C853" s="146"/>
      <c r="D853" s="146"/>
      <c r="E853" s="146"/>
      <c r="F853" s="140"/>
      <c r="G853" s="142"/>
      <c r="H853" s="142"/>
      <c r="I853" s="142"/>
      <c r="J853" s="137" t="s">
        <v>39</v>
      </c>
      <c r="K853" s="137" t="s">
        <v>39</v>
      </c>
      <c r="L853" s="146"/>
      <c r="M853" s="141"/>
      <c r="N853" s="129"/>
      <c r="O853" s="140"/>
      <c r="P853" s="140" t="s">
        <v>39</v>
      </c>
      <c r="Q853" s="140"/>
      <c r="R853" s="140"/>
      <c r="S853" s="140"/>
      <c r="T853" s="140"/>
      <c r="U853" s="140"/>
      <c r="V853" s="140"/>
      <c r="W853" s="140"/>
      <c r="X853" s="140"/>
      <c r="Y853" s="140"/>
      <c r="Z853" s="140"/>
      <c r="AA853" s="140"/>
      <c r="AB853" s="140"/>
    </row>
    <row r="854">
      <c r="A854" s="145"/>
      <c r="B854" s="146"/>
      <c r="C854" s="146"/>
      <c r="D854" s="146"/>
      <c r="E854" s="146"/>
      <c r="F854" s="140"/>
      <c r="G854" s="142"/>
      <c r="H854" s="142"/>
      <c r="I854" s="142"/>
      <c r="J854" s="137" t="s">
        <v>39</v>
      </c>
      <c r="K854" s="137" t="s">
        <v>39</v>
      </c>
      <c r="L854" s="146"/>
      <c r="M854" s="141"/>
      <c r="N854" s="129"/>
      <c r="O854" s="140"/>
      <c r="P854" s="140" t="s">
        <v>39</v>
      </c>
      <c r="Q854" s="140"/>
      <c r="R854" s="140"/>
      <c r="S854" s="140"/>
      <c r="T854" s="140"/>
      <c r="U854" s="140"/>
      <c r="V854" s="140"/>
      <c r="W854" s="140"/>
      <c r="X854" s="140"/>
      <c r="Y854" s="140"/>
      <c r="Z854" s="140"/>
      <c r="AA854" s="140"/>
      <c r="AB854" s="140"/>
    </row>
    <row r="855">
      <c r="A855" s="145"/>
      <c r="B855" s="146"/>
      <c r="C855" s="146"/>
      <c r="D855" s="146"/>
      <c r="E855" s="146"/>
      <c r="F855" s="140"/>
      <c r="G855" s="142"/>
      <c r="H855" s="142"/>
      <c r="I855" s="142"/>
      <c r="J855" s="137" t="s">
        <v>39</v>
      </c>
      <c r="K855" s="137" t="s">
        <v>39</v>
      </c>
      <c r="L855" s="146"/>
      <c r="M855" s="141"/>
      <c r="N855" s="129"/>
      <c r="O855" s="140"/>
      <c r="P855" s="140" t="s">
        <v>39</v>
      </c>
      <c r="Q855" s="140"/>
      <c r="R855" s="140"/>
      <c r="S855" s="140"/>
      <c r="T855" s="140"/>
      <c r="U855" s="140"/>
      <c r="V855" s="140"/>
      <c r="W855" s="140"/>
      <c r="X855" s="140"/>
      <c r="Y855" s="140"/>
      <c r="Z855" s="140"/>
      <c r="AA855" s="140"/>
      <c r="AB855" s="140"/>
    </row>
    <row r="856">
      <c r="A856" s="145"/>
      <c r="B856" s="146"/>
      <c r="C856" s="146"/>
      <c r="D856" s="146"/>
      <c r="E856" s="146"/>
      <c r="F856" s="140"/>
      <c r="G856" s="142"/>
      <c r="H856" s="142"/>
      <c r="I856" s="142"/>
      <c r="J856" s="137" t="s">
        <v>39</v>
      </c>
      <c r="K856" s="137" t="s">
        <v>39</v>
      </c>
      <c r="L856" s="146"/>
      <c r="M856" s="141"/>
      <c r="N856" s="129"/>
      <c r="O856" s="140"/>
      <c r="P856" s="140" t="s">
        <v>39</v>
      </c>
      <c r="Q856" s="140"/>
      <c r="R856" s="140"/>
      <c r="S856" s="140"/>
      <c r="T856" s="140"/>
      <c r="U856" s="140"/>
      <c r="V856" s="140"/>
      <c r="W856" s="140"/>
      <c r="X856" s="140"/>
      <c r="Y856" s="140"/>
      <c r="Z856" s="140"/>
      <c r="AA856" s="140"/>
      <c r="AB856" s="140"/>
    </row>
    <row r="857">
      <c r="A857" s="145"/>
      <c r="B857" s="146"/>
      <c r="C857" s="146"/>
      <c r="D857" s="146"/>
      <c r="E857" s="146"/>
      <c r="F857" s="140"/>
      <c r="G857" s="142"/>
      <c r="H857" s="142"/>
      <c r="I857" s="142"/>
      <c r="J857" s="137" t="s">
        <v>39</v>
      </c>
      <c r="K857" s="137" t="s">
        <v>39</v>
      </c>
      <c r="L857" s="146"/>
      <c r="M857" s="141"/>
      <c r="N857" s="129"/>
      <c r="O857" s="140"/>
      <c r="P857" s="140" t="s">
        <v>39</v>
      </c>
      <c r="Q857" s="140"/>
      <c r="R857" s="140"/>
      <c r="S857" s="140"/>
      <c r="T857" s="140"/>
      <c r="U857" s="140"/>
      <c r="V857" s="140"/>
      <c r="W857" s="140"/>
      <c r="X857" s="140"/>
      <c r="Y857" s="140"/>
      <c r="Z857" s="140"/>
      <c r="AA857" s="140"/>
      <c r="AB857" s="140"/>
    </row>
    <row r="858">
      <c r="A858" s="145"/>
      <c r="B858" s="146"/>
      <c r="C858" s="146"/>
      <c r="D858" s="146"/>
      <c r="E858" s="146"/>
      <c r="F858" s="140"/>
      <c r="G858" s="142"/>
      <c r="H858" s="142"/>
      <c r="I858" s="142"/>
      <c r="J858" s="137" t="s">
        <v>39</v>
      </c>
      <c r="K858" s="137" t="s">
        <v>39</v>
      </c>
      <c r="L858" s="146"/>
      <c r="M858" s="141"/>
      <c r="N858" s="129"/>
      <c r="O858" s="140"/>
      <c r="P858" s="140" t="s">
        <v>39</v>
      </c>
      <c r="Q858" s="140"/>
      <c r="R858" s="140"/>
      <c r="S858" s="140"/>
      <c r="T858" s="140"/>
      <c r="U858" s="140"/>
      <c r="V858" s="140"/>
      <c r="W858" s="140"/>
      <c r="X858" s="140"/>
      <c r="Y858" s="140"/>
      <c r="Z858" s="140"/>
      <c r="AA858" s="140"/>
      <c r="AB858" s="140"/>
    </row>
    <row r="859">
      <c r="A859" s="145"/>
      <c r="B859" s="146"/>
      <c r="C859" s="146"/>
      <c r="D859" s="146"/>
      <c r="E859" s="146"/>
      <c r="F859" s="140"/>
      <c r="G859" s="142"/>
      <c r="H859" s="142"/>
      <c r="I859" s="142"/>
      <c r="J859" s="137" t="s">
        <v>39</v>
      </c>
      <c r="K859" s="137" t="s">
        <v>39</v>
      </c>
      <c r="L859" s="146"/>
      <c r="M859" s="141"/>
      <c r="N859" s="129"/>
      <c r="O859" s="140"/>
      <c r="P859" s="140" t="s">
        <v>39</v>
      </c>
      <c r="Q859" s="140"/>
      <c r="R859" s="140"/>
      <c r="S859" s="140"/>
      <c r="T859" s="140"/>
      <c r="U859" s="140"/>
      <c r="V859" s="140"/>
      <c r="W859" s="140"/>
      <c r="X859" s="140"/>
      <c r="Y859" s="140"/>
      <c r="Z859" s="140"/>
      <c r="AA859" s="140"/>
      <c r="AB859" s="140"/>
    </row>
    <row r="860">
      <c r="A860" s="145"/>
      <c r="B860" s="146"/>
      <c r="C860" s="146"/>
      <c r="D860" s="146"/>
      <c r="E860" s="146"/>
      <c r="F860" s="140"/>
      <c r="G860" s="142"/>
      <c r="H860" s="142"/>
      <c r="I860" s="142"/>
      <c r="J860" s="137" t="s">
        <v>39</v>
      </c>
      <c r="K860" s="137" t="s">
        <v>39</v>
      </c>
      <c r="L860" s="146"/>
      <c r="M860" s="141"/>
      <c r="N860" s="129"/>
      <c r="O860" s="140"/>
      <c r="P860" s="140" t="s">
        <v>39</v>
      </c>
      <c r="Q860" s="140"/>
      <c r="R860" s="140"/>
      <c r="S860" s="140"/>
      <c r="T860" s="140"/>
      <c r="U860" s="140"/>
      <c r="V860" s="140"/>
      <c r="W860" s="140"/>
      <c r="X860" s="140"/>
      <c r="Y860" s="140"/>
      <c r="Z860" s="140"/>
      <c r="AA860" s="140"/>
      <c r="AB860" s="140"/>
    </row>
    <row r="861">
      <c r="A861" s="145"/>
      <c r="B861" s="146"/>
      <c r="C861" s="146"/>
      <c r="D861" s="146"/>
      <c r="E861" s="146"/>
      <c r="F861" s="140"/>
      <c r="G861" s="142"/>
      <c r="H861" s="142"/>
      <c r="I861" s="142"/>
      <c r="J861" s="137" t="s">
        <v>39</v>
      </c>
      <c r="K861" s="137" t="s">
        <v>39</v>
      </c>
      <c r="L861" s="146"/>
      <c r="M861" s="141"/>
      <c r="N861" s="129"/>
      <c r="O861" s="140"/>
      <c r="P861" s="140" t="s">
        <v>39</v>
      </c>
      <c r="Q861" s="140"/>
      <c r="R861" s="140"/>
      <c r="S861" s="140"/>
      <c r="T861" s="140"/>
      <c r="U861" s="140"/>
      <c r="V861" s="140"/>
      <c r="W861" s="140"/>
      <c r="X861" s="140"/>
      <c r="Y861" s="140"/>
      <c r="Z861" s="140"/>
      <c r="AA861" s="140"/>
      <c r="AB861" s="140"/>
    </row>
    <row r="862">
      <c r="A862" s="145"/>
      <c r="B862" s="146"/>
      <c r="C862" s="146"/>
      <c r="D862" s="146"/>
      <c r="E862" s="146"/>
      <c r="F862" s="140"/>
      <c r="G862" s="142"/>
      <c r="H862" s="142"/>
      <c r="I862" s="142"/>
      <c r="J862" s="137" t="s">
        <v>39</v>
      </c>
      <c r="K862" s="137" t="s">
        <v>39</v>
      </c>
      <c r="L862" s="146"/>
      <c r="M862" s="141"/>
      <c r="N862" s="129"/>
      <c r="O862" s="140"/>
      <c r="P862" s="140" t="s">
        <v>39</v>
      </c>
      <c r="Q862" s="140"/>
      <c r="R862" s="140"/>
      <c r="S862" s="140"/>
      <c r="T862" s="140"/>
      <c r="U862" s="140"/>
      <c r="V862" s="140"/>
      <c r="W862" s="140"/>
      <c r="X862" s="140"/>
      <c r="Y862" s="140"/>
      <c r="Z862" s="140"/>
      <c r="AA862" s="140"/>
      <c r="AB862" s="140"/>
    </row>
    <row r="863">
      <c r="A863" s="145"/>
      <c r="B863" s="146"/>
      <c r="C863" s="146"/>
      <c r="D863" s="146"/>
      <c r="E863" s="146"/>
      <c r="F863" s="140"/>
      <c r="G863" s="142"/>
      <c r="H863" s="142"/>
      <c r="I863" s="142"/>
      <c r="J863" s="137" t="s">
        <v>39</v>
      </c>
      <c r="K863" s="137" t="s">
        <v>39</v>
      </c>
      <c r="L863" s="146"/>
      <c r="M863" s="141"/>
      <c r="N863" s="129"/>
      <c r="O863" s="140"/>
      <c r="P863" s="140" t="s">
        <v>39</v>
      </c>
      <c r="Q863" s="140"/>
      <c r="R863" s="140"/>
      <c r="S863" s="140"/>
      <c r="T863" s="140"/>
      <c r="U863" s="140"/>
      <c r="V863" s="140"/>
      <c r="W863" s="140"/>
      <c r="X863" s="140"/>
      <c r="Y863" s="140"/>
      <c r="Z863" s="140"/>
      <c r="AA863" s="140"/>
      <c r="AB863" s="140"/>
    </row>
    <row r="864">
      <c r="A864" s="145"/>
      <c r="B864" s="146"/>
      <c r="C864" s="146"/>
      <c r="D864" s="146"/>
      <c r="E864" s="146"/>
      <c r="F864" s="140"/>
      <c r="G864" s="142"/>
      <c r="H864" s="142"/>
      <c r="I864" s="142"/>
      <c r="J864" s="137" t="s">
        <v>39</v>
      </c>
      <c r="K864" s="137" t="s">
        <v>39</v>
      </c>
      <c r="L864" s="146"/>
      <c r="M864" s="141"/>
      <c r="N864" s="129"/>
      <c r="O864" s="140"/>
      <c r="P864" s="140" t="s">
        <v>39</v>
      </c>
      <c r="Q864" s="140"/>
      <c r="R864" s="140"/>
      <c r="S864" s="140"/>
      <c r="T864" s="140"/>
      <c r="U864" s="140"/>
      <c r="V864" s="140"/>
      <c r="W864" s="140"/>
      <c r="X864" s="140"/>
      <c r="Y864" s="140"/>
      <c r="Z864" s="140"/>
      <c r="AA864" s="140"/>
      <c r="AB864" s="140"/>
    </row>
    <row r="865">
      <c r="A865" s="145"/>
      <c r="B865" s="146"/>
      <c r="C865" s="146"/>
      <c r="D865" s="146"/>
      <c r="E865" s="146"/>
      <c r="F865" s="140"/>
      <c r="G865" s="142"/>
      <c r="H865" s="142"/>
      <c r="I865" s="142"/>
      <c r="J865" s="137" t="s">
        <v>39</v>
      </c>
      <c r="K865" s="137" t="s">
        <v>39</v>
      </c>
      <c r="L865" s="146"/>
      <c r="M865" s="141"/>
      <c r="N865" s="129"/>
      <c r="O865" s="140"/>
      <c r="P865" s="140" t="s">
        <v>39</v>
      </c>
      <c r="Q865" s="140"/>
      <c r="R865" s="140"/>
      <c r="S865" s="140"/>
      <c r="T865" s="140"/>
      <c r="U865" s="140"/>
      <c r="V865" s="140"/>
      <c r="W865" s="140"/>
      <c r="X865" s="140"/>
      <c r="Y865" s="140"/>
      <c r="Z865" s="140"/>
      <c r="AA865" s="140"/>
      <c r="AB865" s="140"/>
    </row>
    <row r="866">
      <c r="A866" s="145"/>
      <c r="B866" s="146"/>
      <c r="C866" s="146"/>
      <c r="D866" s="146"/>
      <c r="E866" s="146"/>
      <c r="F866" s="140"/>
      <c r="G866" s="142"/>
      <c r="H866" s="142"/>
      <c r="I866" s="142"/>
      <c r="J866" s="137" t="s">
        <v>39</v>
      </c>
      <c r="K866" s="137" t="s">
        <v>39</v>
      </c>
      <c r="L866" s="146"/>
      <c r="M866" s="141"/>
      <c r="N866" s="129"/>
      <c r="O866" s="140"/>
      <c r="P866" s="140" t="s">
        <v>39</v>
      </c>
      <c r="Q866" s="140"/>
      <c r="R866" s="140"/>
      <c r="S866" s="140"/>
      <c r="T866" s="140"/>
      <c r="U866" s="140"/>
      <c r="V866" s="140"/>
      <c r="W866" s="140"/>
      <c r="X866" s="140"/>
      <c r="Y866" s="140"/>
      <c r="Z866" s="140"/>
      <c r="AA866" s="140"/>
      <c r="AB866" s="140"/>
    </row>
    <row r="867">
      <c r="A867" s="145"/>
      <c r="B867" s="146"/>
      <c r="C867" s="146"/>
      <c r="D867" s="146"/>
      <c r="E867" s="146"/>
      <c r="F867" s="140"/>
      <c r="G867" s="142"/>
      <c r="H867" s="142"/>
      <c r="I867" s="142"/>
      <c r="J867" s="137" t="s">
        <v>39</v>
      </c>
      <c r="K867" s="137" t="s">
        <v>39</v>
      </c>
      <c r="L867" s="146"/>
      <c r="M867" s="141"/>
      <c r="N867" s="129"/>
      <c r="O867" s="140"/>
      <c r="P867" s="140" t="s">
        <v>39</v>
      </c>
      <c r="Q867" s="140"/>
      <c r="R867" s="140"/>
      <c r="S867" s="140"/>
      <c r="T867" s="140"/>
      <c r="U867" s="140"/>
      <c r="V867" s="140"/>
      <c r="W867" s="140"/>
      <c r="X867" s="140"/>
      <c r="Y867" s="140"/>
      <c r="Z867" s="140"/>
      <c r="AA867" s="140"/>
      <c r="AB867" s="140"/>
    </row>
    <row r="868">
      <c r="A868" s="145"/>
      <c r="B868" s="146"/>
      <c r="C868" s="146"/>
      <c r="D868" s="146"/>
      <c r="E868" s="146"/>
      <c r="F868" s="140"/>
      <c r="G868" s="142"/>
      <c r="H868" s="142"/>
      <c r="I868" s="142"/>
      <c r="J868" s="137" t="s">
        <v>39</v>
      </c>
      <c r="K868" s="137" t="s">
        <v>39</v>
      </c>
      <c r="L868" s="146"/>
      <c r="M868" s="141"/>
      <c r="N868" s="129"/>
      <c r="O868" s="140"/>
      <c r="P868" s="140" t="s">
        <v>39</v>
      </c>
      <c r="Q868" s="140"/>
      <c r="R868" s="140"/>
      <c r="S868" s="140"/>
      <c r="T868" s="140"/>
      <c r="U868" s="140"/>
      <c r="V868" s="140"/>
      <c r="W868" s="140"/>
      <c r="X868" s="140"/>
      <c r="Y868" s="140"/>
      <c r="Z868" s="140"/>
      <c r="AA868" s="140"/>
      <c r="AB868" s="140"/>
    </row>
    <row r="869">
      <c r="A869" s="145"/>
      <c r="B869" s="146"/>
      <c r="C869" s="146"/>
      <c r="D869" s="146"/>
      <c r="E869" s="146"/>
      <c r="F869" s="140"/>
      <c r="G869" s="142"/>
      <c r="H869" s="142"/>
      <c r="I869" s="142"/>
      <c r="J869" s="137" t="s">
        <v>39</v>
      </c>
      <c r="K869" s="137" t="s">
        <v>39</v>
      </c>
      <c r="L869" s="146"/>
      <c r="M869" s="141"/>
      <c r="N869" s="129"/>
      <c r="O869" s="140"/>
      <c r="P869" s="140" t="s">
        <v>39</v>
      </c>
      <c r="Q869" s="140"/>
      <c r="R869" s="140"/>
      <c r="S869" s="140"/>
      <c r="T869" s="140"/>
      <c r="U869" s="140"/>
      <c r="V869" s="140"/>
      <c r="W869" s="140"/>
      <c r="X869" s="140"/>
      <c r="Y869" s="140"/>
      <c r="Z869" s="140"/>
      <c r="AA869" s="140"/>
      <c r="AB869" s="140"/>
    </row>
    <row r="870">
      <c r="A870" s="145"/>
      <c r="B870" s="146"/>
      <c r="C870" s="146"/>
      <c r="D870" s="146"/>
      <c r="E870" s="146"/>
      <c r="F870" s="140"/>
      <c r="G870" s="142"/>
      <c r="H870" s="142"/>
      <c r="I870" s="142"/>
      <c r="J870" s="137" t="s">
        <v>39</v>
      </c>
      <c r="K870" s="137" t="s">
        <v>39</v>
      </c>
      <c r="L870" s="146"/>
      <c r="M870" s="141"/>
      <c r="N870" s="129"/>
      <c r="O870" s="140"/>
      <c r="P870" s="140" t="s">
        <v>39</v>
      </c>
      <c r="Q870" s="140"/>
      <c r="R870" s="140"/>
      <c r="S870" s="140"/>
      <c r="T870" s="140"/>
      <c r="U870" s="140"/>
      <c r="V870" s="140"/>
      <c r="W870" s="140"/>
      <c r="X870" s="140"/>
      <c r="Y870" s="140"/>
      <c r="Z870" s="140"/>
      <c r="AA870" s="140"/>
      <c r="AB870" s="140"/>
    </row>
    <row r="871">
      <c r="A871" s="145"/>
      <c r="B871" s="146"/>
      <c r="C871" s="146"/>
      <c r="D871" s="146"/>
      <c r="E871" s="146"/>
      <c r="F871" s="140"/>
      <c r="G871" s="142"/>
      <c r="H871" s="142"/>
      <c r="I871" s="142"/>
      <c r="J871" s="137" t="s">
        <v>39</v>
      </c>
      <c r="K871" s="137" t="s">
        <v>39</v>
      </c>
      <c r="L871" s="146"/>
      <c r="M871" s="141"/>
      <c r="N871" s="129"/>
      <c r="O871" s="140"/>
      <c r="P871" s="140" t="s">
        <v>39</v>
      </c>
      <c r="Q871" s="140"/>
      <c r="R871" s="140"/>
      <c r="S871" s="140"/>
      <c r="T871" s="140"/>
      <c r="U871" s="140"/>
      <c r="V871" s="140"/>
      <c r="W871" s="140"/>
      <c r="X871" s="140"/>
      <c r="Y871" s="140"/>
      <c r="Z871" s="140"/>
      <c r="AA871" s="140"/>
      <c r="AB871" s="140"/>
    </row>
    <row r="872">
      <c r="A872" s="145"/>
      <c r="B872" s="146"/>
      <c r="C872" s="146"/>
      <c r="D872" s="146"/>
      <c r="E872" s="146"/>
      <c r="F872" s="140"/>
      <c r="G872" s="142"/>
      <c r="H872" s="142"/>
      <c r="I872" s="142"/>
      <c r="J872" s="137" t="s">
        <v>39</v>
      </c>
      <c r="K872" s="137" t="s">
        <v>39</v>
      </c>
      <c r="L872" s="146"/>
      <c r="M872" s="141"/>
      <c r="N872" s="129"/>
      <c r="O872" s="140"/>
      <c r="P872" s="140" t="s">
        <v>39</v>
      </c>
      <c r="Q872" s="140"/>
      <c r="R872" s="140"/>
      <c r="S872" s="140"/>
      <c r="T872" s="140"/>
      <c r="U872" s="140"/>
      <c r="V872" s="140"/>
      <c r="W872" s="140"/>
      <c r="X872" s="140"/>
      <c r="Y872" s="140"/>
      <c r="Z872" s="140"/>
      <c r="AA872" s="140"/>
      <c r="AB872" s="140"/>
    </row>
    <row r="873">
      <c r="A873" s="145"/>
      <c r="B873" s="146"/>
      <c r="C873" s="146"/>
      <c r="D873" s="146"/>
      <c r="E873" s="146"/>
      <c r="F873" s="140"/>
      <c r="G873" s="142"/>
      <c r="H873" s="142"/>
      <c r="I873" s="142"/>
      <c r="J873" s="137" t="s">
        <v>39</v>
      </c>
      <c r="K873" s="137" t="s">
        <v>39</v>
      </c>
      <c r="L873" s="146"/>
      <c r="M873" s="141"/>
      <c r="N873" s="129"/>
      <c r="O873" s="140"/>
      <c r="P873" s="140" t="s">
        <v>39</v>
      </c>
      <c r="Q873" s="140"/>
      <c r="R873" s="140"/>
      <c r="S873" s="140"/>
      <c r="T873" s="140"/>
      <c r="U873" s="140"/>
      <c r="V873" s="140"/>
      <c r="W873" s="140"/>
      <c r="X873" s="140"/>
      <c r="Y873" s="140"/>
      <c r="Z873" s="140"/>
      <c r="AA873" s="140"/>
      <c r="AB873" s="140"/>
    </row>
    <row r="874">
      <c r="A874" s="145"/>
      <c r="B874" s="146"/>
      <c r="C874" s="146"/>
      <c r="D874" s="146"/>
      <c r="E874" s="146"/>
      <c r="F874" s="140"/>
      <c r="G874" s="142"/>
      <c r="H874" s="142"/>
      <c r="I874" s="142"/>
      <c r="J874" s="137" t="s">
        <v>39</v>
      </c>
      <c r="K874" s="137" t="s">
        <v>39</v>
      </c>
      <c r="L874" s="146"/>
      <c r="M874" s="141"/>
      <c r="N874" s="129"/>
      <c r="O874" s="140"/>
      <c r="P874" s="140" t="s">
        <v>39</v>
      </c>
      <c r="Q874" s="140"/>
      <c r="R874" s="140"/>
      <c r="S874" s="140"/>
      <c r="T874" s="140"/>
      <c r="U874" s="140"/>
      <c r="V874" s="140"/>
      <c r="W874" s="140"/>
      <c r="X874" s="140"/>
      <c r="Y874" s="140"/>
      <c r="Z874" s="140"/>
      <c r="AA874" s="140"/>
      <c r="AB874" s="140"/>
    </row>
    <row r="875">
      <c r="A875" s="145"/>
      <c r="B875" s="146"/>
      <c r="C875" s="146"/>
      <c r="D875" s="146"/>
      <c r="E875" s="146"/>
      <c r="F875" s="140"/>
      <c r="G875" s="142"/>
      <c r="H875" s="142"/>
      <c r="I875" s="142"/>
      <c r="J875" s="137" t="s">
        <v>39</v>
      </c>
      <c r="K875" s="137" t="s">
        <v>39</v>
      </c>
      <c r="L875" s="146"/>
      <c r="M875" s="141"/>
      <c r="N875" s="129"/>
      <c r="O875" s="140"/>
      <c r="P875" s="140" t="s">
        <v>39</v>
      </c>
      <c r="Q875" s="140"/>
      <c r="R875" s="140"/>
      <c r="S875" s="140"/>
      <c r="T875" s="140"/>
      <c r="U875" s="140"/>
      <c r="V875" s="140"/>
      <c r="W875" s="140"/>
      <c r="X875" s="140"/>
      <c r="Y875" s="140"/>
      <c r="Z875" s="140"/>
      <c r="AA875" s="140"/>
      <c r="AB875" s="140"/>
    </row>
    <row r="876">
      <c r="A876" s="145"/>
      <c r="B876" s="146"/>
      <c r="C876" s="146"/>
      <c r="D876" s="146"/>
      <c r="E876" s="146"/>
      <c r="F876" s="140"/>
      <c r="G876" s="142"/>
      <c r="H876" s="142"/>
      <c r="I876" s="142"/>
      <c r="J876" s="137" t="s">
        <v>39</v>
      </c>
      <c r="K876" s="137" t="s">
        <v>39</v>
      </c>
      <c r="L876" s="146"/>
      <c r="M876" s="141"/>
      <c r="N876" s="129"/>
      <c r="O876" s="140"/>
      <c r="P876" s="140" t="s">
        <v>39</v>
      </c>
      <c r="Q876" s="140"/>
      <c r="R876" s="140"/>
      <c r="S876" s="140"/>
      <c r="T876" s="140"/>
      <c r="U876" s="140"/>
      <c r="V876" s="140"/>
      <c r="W876" s="140"/>
      <c r="X876" s="140"/>
      <c r="Y876" s="140"/>
      <c r="Z876" s="140"/>
      <c r="AA876" s="140"/>
      <c r="AB876" s="140"/>
    </row>
    <row r="877">
      <c r="A877" s="145"/>
      <c r="B877" s="146"/>
      <c r="C877" s="146"/>
      <c r="D877" s="146"/>
      <c r="E877" s="146"/>
      <c r="F877" s="140"/>
      <c r="G877" s="142"/>
      <c r="H877" s="142"/>
      <c r="I877" s="142"/>
      <c r="J877" s="137" t="s">
        <v>39</v>
      </c>
      <c r="K877" s="137" t="s">
        <v>39</v>
      </c>
      <c r="L877" s="146"/>
      <c r="M877" s="141"/>
      <c r="N877" s="129"/>
      <c r="O877" s="140"/>
      <c r="P877" s="140" t="s">
        <v>39</v>
      </c>
      <c r="Q877" s="140"/>
      <c r="R877" s="140"/>
      <c r="S877" s="140"/>
      <c r="T877" s="140"/>
      <c r="U877" s="140"/>
      <c r="V877" s="140"/>
      <c r="W877" s="140"/>
      <c r="X877" s="140"/>
      <c r="Y877" s="140"/>
      <c r="Z877" s="140"/>
      <c r="AA877" s="140"/>
      <c r="AB877" s="140"/>
    </row>
    <row r="878">
      <c r="A878" s="145"/>
      <c r="B878" s="146"/>
      <c r="C878" s="146"/>
      <c r="D878" s="146"/>
      <c r="E878" s="146"/>
      <c r="F878" s="140"/>
      <c r="G878" s="142"/>
      <c r="H878" s="142"/>
      <c r="I878" s="142"/>
      <c r="J878" s="137" t="s">
        <v>39</v>
      </c>
      <c r="K878" s="137" t="s">
        <v>39</v>
      </c>
      <c r="L878" s="146"/>
      <c r="M878" s="141"/>
      <c r="N878" s="129"/>
      <c r="O878" s="140"/>
      <c r="P878" s="140" t="s">
        <v>39</v>
      </c>
      <c r="Q878" s="140"/>
      <c r="R878" s="140"/>
      <c r="S878" s="140"/>
      <c r="T878" s="140"/>
      <c r="U878" s="140"/>
      <c r="V878" s="140"/>
      <c r="W878" s="140"/>
      <c r="X878" s="140"/>
      <c r="Y878" s="140"/>
      <c r="Z878" s="140"/>
      <c r="AA878" s="140"/>
      <c r="AB878" s="140"/>
    </row>
    <row r="879">
      <c r="A879" s="145"/>
      <c r="B879" s="146"/>
      <c r="C879" s="146"/>
      <c r="D879" s="146"/>
      <c r="E879" s="146"/>
      <c r="F879" s="140"/>
      <c r="G879" s="142"/>
      <c r="H879" s="142"/>
      <c r="I879" s="142"/>
      <c r="J879" s="137" t="s">
        <v>39</v>
      </c>
      <c r="K879" s="137" t="s">
        <v>39</v>
      </c>
      <c r="L879" s="146"/>
      <c r="M879" s="141"/>
      <c r="N879" s="129"/>
      <c r="O879" s="140"/>
      <c r="P879" s="140" t="s">
        <v>39</v>
      </c>
      <c r="Q879" s="140"/>
      <c r="R879" s="140"/>
      <c r="S879" s="140"/>
      <c r="T879" s="140"/>
      <c r="U879" s="140"/>
      <c r="V879" s="140"/>
      <c r="W879" s="140"/>
      <c r="X879" s="140"/>
      <c r="Y879" s="140"/>
      <c r="Z879" s="140"/>
      <c r="AA879" s="140"/>
      <c r="AB879" s="140"/>
    </row>
    <row r="880">
      <c r="A880" s="145"/>
      <c r="B880" s="146"/>
      <c r="C880" s="146"/>
      <c r="D880" s="146"/>
      <c r="E880" s="146"/>
      <c r="F880" s="140"/>
      <c r="G880" s="142"/>
      <c r="H880" s="142"/>
      <c r="I880" s="142"/>
      <c r="J880" s="137" t="s">
        <v>39</v>
      </c>
      <c r="K880" s="137" t="s">
        <v>39</v>
      </c>
      <c r="L880" s="146"/>
      <c r="M880" s="141"/>
      <c r="N880" s="129"/>
      <c r="O880" s="140"/>
      <c r="P880" s="140" t="s">
        <v>39</v>
      </c>
      <c r="Q880" s="140"/>
      <c r="R880" s="140"/>
      <c r="S880" s="140"/>
      <c r="T880" s="140"/>
      <c r="U880" s="140"/>
      <c r="V880" s="140"/>
      <c r="W880" s="140"/>
      <c r="X880" s="140"/>
      <c r="Y880" s="140"/>
      <c r="Z880" s="140"/>
      <c r="AA880" s="140"/>
      <c r="AB880" s="140"/>
    </row>
    <row r="881">
      <c r="A881" s="145"/>
      <c r="B881" s="146"/>
      <c r="C881" s="146"/>
      <c r="D881" s="146"/>
      <c r="E881" s="146"/>
      <c r="F881" s="140"/>
      <c r="G881" s="142"/>
      <c r="H881" s="142"/>
      <c r="I881" s="142"/>
      <c r="J881" s="137" t="s">
        <v>39</v>
      </c>
      <c r="K881" s="137" t="s">
        <v>39</v>
      </c>
      <c r="L881" s="146"/>
      <c r="M881" s="141"/>
      <c r="N881" s="129"/>
      <c r="O881" s="140"/>
      <c r="P881" s="140" t="s">
        <v>39</v>
      </c>
      <c r="Q881" s="140"/>
      <c r="R881" s="140"/>
      <c r="S881" s="140"/>
      <c r="T881" s="140"/>
      <c r="U881" s="140"/>
      <c r="V881" s="140"/>
      <c r="W881" s="140"/>
      <c r="X881" s="140"/>
      <c r="Y881" s="140"/>
      <c r="Z881" s="140"/>
      <c r="AA881" s="140"/>
      <c r="AB881" s="140"/>
    </row>
    <row r="882">
      <c r="A882" s="145"/>
      <c r="B882" s="146"/>
      <c r="C882" s="146"/>
      <c r="D882" s="146"/>
      <c r="E882" s="146"/>
      <c r="F882" s="140"/>
      <c r="G882" s="142"/>
      <c r="H882" s="142"/>
      <c r="I882" s="142"/>
      <c r="J882" s="137" t="s">
        <v>39</v>
      </c>
      <c r="K882" s="137" t="s">
        <v>39</v>
      </c>
      <c r="L882" s="146"/>
      <c r="M882" s="141"/>
      <c r="N882" s="129"/>
      <c r="O882" s="140"/>
      <c r="P882" s="140" t="s">
        <v>39</v>
      </c>
      <c r="Q882" s="140"/>
      <c r="R882" s="140"/>
      <c r="S882" s="140"/>
      <c r="T882" s="140"/>
      <c r="U882" s="140"/>
      <c r="V882" s="140"/>
      <c r="W882" s="140"/>
      <c r="X882" s="140"/>
      <c r="Y882" s="140"/>
      <c r="Z882" s="140"/>
      <c r="AA882" s="140"/>
      <c r="AB882" s="140"/>
    </row>
    <row r="883">
      <c r="A883" s="145"/>
      <c r="B883" s="146"/>
      <c r="C883" s="146"/>
      <c r="D883" s="146"/>
      <c r="E883" s="146"/>
      <c r="F883" s="140"/>
      <c r="G883" s="142"/>
      <c r="H883" s="142"/>
      <c r="I883" s="142"/>
      <c r="J883" s="137" t="s">
        <v>39</v>
      </c>
      <c r="K883" s="137" t="s">
        <v>39</v>
      </c>
      <c r="L883" s="146"/>
      <c r="M883" s="141"/>
      <c r="N883" s="129"/>
      <c r="O883" s="140"/>
      <c r="P883" s="140" t="s">
        <v>39</v>
      </c>
      <c r="Q883" s="140"/>
      <c r="R883" s="140"/>
      <c r="S883" s="140"/>
      <c r="T883" s="140"/>
      <c r="U883" s="140"/>
      <c r="V883" s="140"/>
      <c r="W883" s="140"/>
      <c r="X883" s="140"/>
      <c r="Y883" s="140"/>
      <c r="Z883" s="140"/>
      <c r="AA883" s="140"/>
      <c r="AB883" s="140"/>
    </row>
    <row r="884">
      <c r="A884" s="145"/>
      <c r="B884" s="146"/>
      <c r="C884" s="146"/>
      <c r="D884" s="146"/>
      <c r="E884" s="146"/>
      <c r="F884" s="140"/>
      <c r="G884" s="142"/>
      <c r="H884" s="142"/>
      <c r="I884" s="142"/>
      <c r="J884" s="137" t="s">
        <v>39</v>
      </c>
      <c r="K884" s="137" t="s">
        <v>39</v>
      </c>
      <c r="L884" s="146"/>
      <c r="M884" s="141"/>
      <c r="N884" s="129"/>
      <c r="O884" s="140"/>
      <c r="P884" s="140" t="s">
        <v>39</v>
      </c>
      <c r="Q884" s="140"/>
      <c r="R884" s="140"/>
      <c r="S884" s="140"/>
      <c r="T884" s="140"/>
      <c r="U884" s="140"/>
      <c r="V884" s="140"/>
      <c r="W884" s="140"/>
      <c r="X884" s="140"/>
      <c r="Y884" s="140"/>
      <c r="Z884" s="140"/>
      <c r="AA884" s="140"/>
      <c r="AB884" s="140"/>
    </row>
    <row r="885">
      <c r="A885" s="145"/>
      <c r="B885" s="146"/>
      <c r="C885" s="146"/>
      <c r="D885" s="146"/>
      <c r="E885" s="146"/>
      <c r="F885" s="140"/>
      <c r="G885" s="142"/>
      <c r="H885" s="142"/>
      <c r="I885" s="142"/>
      <c r="J885" s="137" t="s">
        <v>39</v>
      </c>
      <c r="K885" s="137" t="s">
        <v>39</v>
      </c>
      <c r="L885" s="146"/>
      <c r="M885" s="141"/>
      <c r="N885" s="129"/>
      <c r="O885" s="140"/>
      <c r="P885" s="140" t="s">
        <v>39</v>
      </c>
      <c r="Q885" s="140"/>
      <c r="R885" s="140"/>
      <c r="S885" s="140"/>
      <c r="T885" s="140"/>
      <c r="U885" s="140"/>
      <c r="V885" s="140"/>
      <c r="W885" s="140"/>
      <c r="X885" s="140"/>
      <c r="Y885" s="140"/>
      <c r="Z885" s="140"/>
      <c r="AA885" s="140"/>
      <c r="AB885" s="140"/>
    </row>
    <row r="886">
      <c r="A886" s="145"/>
      <c r="B886" s="146"/>
      <c r="C886" s="146"/>
      <c r="D886" s="146"/>
      <c r="E886" s="146"/>
      <c r="F886" s="140"/>
      <c r="G886" s="142"/>
      <c r="H886" s="142"/>
      <c r="I886" s="142"/>
      <c r="J886" s="137" t="s">
        <v>39</v>
      </c>
      <c r="K886" s="137" t="s">
        <v>39</v>
      </c>
      <c r="L886" s="146"/>
      <c r="M886" s="141"/>
      <c r="N886" s="129"/>
      <c r="O886" s="140"/>
      <c r="P886" s="140" t="s">
        <v>39</v>
      </c>
      <c r="Q886" s="140"/>
      <c r="R886" s="140"/>
      <c r="S886" s="140"/>
      <c r="T886" s="140"/>
      <c r="U886" s="140"/>
      <c r="V886" s="140"/>
      <c r="W886" s="140"/>
      <c r="X886" s="140"/>
      <c r="Y886" s="140"/>
      <c r="Z886" s="140"/>
      <c r="AA886" s="140"/>
      <c r="AB886" s="140"/>
    </row>
    <row r="887">
      <c r="A887" s="145"/>
      <c r="B887" s="146"/>
      <c r="C887" s="146"/>
      <c r="D887" s="146"/>
      <c r="E887" s="146"/>
      <c r="F887" s="140"/>
      <c r="G887" s="142"/>
      <c r="H887" s="142"/>
      <c r="I887" s="142"/>
      <c r="J887" s="137" t="s">
        <v>39</v>
      </c>
      <c r="K887" s="137" t="s">
        <v>39</v>
      </c>
      <c r="L887" s="146"/>
      <c r="M887" s="141"/>
      <c r="N887" s="129"/>
      <c r="O887" s="140"/>
      <c r="P887" s="140" t="s">
        <v>39</v>
      </c>
      <c r="Q887" s="140"/>
      <c r="R887" s="140"/>
      <c r="S887" s="140"/>
      <c r="T887" s="140"/>
      <c r="U887" s="140"/>
      <c r="V887" s="140"/>
      <c r="W887" s="140"/>
      <c r="X887" s="140"/>
      <c r="Y887" s="140"/>
      <c r="Z887" s="140"/>
      <c r="AA887" s="140"/>
      <c r="AB887" s="140"/>
    </row>
    <row r="888">
      <c r="A888" s="145"/>
      <c r="B888" s="146"/>
      <c r="C888" s="146"/>
      <c r="D888" s="146"/>
      <c r="E888" s="146"/>
      <c r="F888" s="140"/>
      <c r="G888" s="142"/>
      <c r="H888" s="142"/>
      <c r="I888" s="142"/>
      <c r="J888" s="137" t="s">
        <v>39</v>
      </c>
      <c r="K888" s="137" t="s">
        <v>39</v>
      </c>
      <c r="L888" s="146"/>
      <c r="M888" s="141"/>
      <c r="N888" s="129"/>
      <c r="O888" s="140"/>
      <c r="P888" s="140" t="s">
        <v>39</v>
      </c>
      <c r="Q888" s="140"/>
      <c r="R888" s="140"/>
      <c r="S888" s="140"/>
      <c r="T888" s="140"/>
      <c r="U888" s="140"/>
      <c r="V888" s="140"/>
      <c r="W888" s="140"/>
      <c r="X888" s="140"/>
      <c r="Y888" s="140"/>
      <c r="Z888" s="140"/>
      <c r="AA888" s="140"/>
      <c r="AB888" s="140"/>
    </row>
    <row r="889">
      <c r="A889" s="145"/>
      <c r="B889" s="146"/>
      <c r="C889" s="146"/>
      <c r="D889" s="146"/>
      <c r="E889" s="146"/>
      <c r="F889" s="140"/>
      <c r="G889" s="142"/>
      <c r="H889" s="142"/>
      <c r="I889" s="142"/>
      <c r="J889" s="137" t="s">
        <v>39</v>
      </c>
      <c r="K889" s="137" t="s">
        <v>39</v>
      </c>
      <c r="L889" s="146"/>
      <c r="M889" s="141"/>
      <c r="N889" s="129"/>
      <c r="O889" s="140"/>
      <c r="P889" s="140" t="s">
        <v>39</v>
      </c>
      <c r="Q889" s="140"/>
      <c r="R889" s="140"/>
      <c r="S889" s="140"/>
      <c r="T889" s="140"/>
      <c r="U889" s="140"/>
      <c r="V889" s="140"/>
      <c r="W889" s="140"/>
      <c r="X889" s="140"/>
      <c r="Y889" s="140"/>
      <c r="Z889" s="140"/>
      <c r="AA889" s="140"/>
      <c r="AB889" s="140"/>
    </row>
    <row r="890">
      <c r="A890" s="145"/>
      <c r="B890" s="146"/>
      <c r="C890" s="146"/>
      <c r="D890" s="146"/>
      <c r="E890" s="146"/>
      <c r="F890" s="140"/>
      <c r="G890" s="142"/>
      <c r="H890" s="142"/>
      <c r="I890" s="142"/>
      <c r="J890" s="137" t="s">
        <v>39</v>
      </c>
      <c r="K890" s="137" t="s">
        <v>39</v>
      </c>
      <c r="L890" s="146"/>
      <c r="M890" s="141"/>
      <c r="N890" s="129"/>
      <c r="O890" s="140"/>
      <c r="P890" s="140" t="s">
        <v>39</v>
      </c>
      <c r="Q890" s="140"/>
      <c r="R890" s="140"/>
      <c r="S890" s="140"/>
      <c r="T890" s="140"/>
      <c r="U890" s="140"/>
      <c r="V890" s="140"/>
      <c r="W890" s="140"/>
      <c r="X890" s="140"/>
      <c r="Y890" s="140"/>
      <c r="Z890" s="140"/>
      <c r="AA890" s="140"/>
      <c r="AB890" s="140"/>
    </row>
    <row r="891">
      <c r="A891" s="145"/>
      <c r="B891" s="146"/>
      <c r="C891" s="146"/>
      <c r="D891" s="146"/>
      <c r="E891" s="146"/>
      <c r="F891" s="140"/>
      <c r="G891" s="142"/>
      <c r="H891" s="142"/>
      <c r="I891" s="142"/>
      <c r="J891" s="137" t="s">
        <v>39</v>
      </c>
      <c r="K891" s="137" t="s">
        <v>39</v>
      </c>
      <c r="L891" s="146"/>
      <c r="M891" s="141"/>
      <c r="N891" s="129"/>
      <c r="O891" s="140"/>
      <c r="P891" s="140" t="s">
        <v>39</v>
      </c>
      <c r="Q891" s="140"/>
      <c r="R891" s="140"/>
      <c r="S891" s="140"/>
      <c r="T891" s="140"/>
      <c r="U891" s="140"/>
      <c r="V891" s="140"/>
      <c r="W891" s="140"/>
      <c r="X891" s="140"/>
      <c r="Y891" s="140"/>
      <c r="Z891" s="140"/>
      <c r="AA891" s="140"/>
      <c r="AB891" s="140"/>
    </row>
    <row r="892">
      <c r="A892" s="145"/>
      <c r="B892" s="146"/>
      <c r="C892" s="146"/>
      <c r="D892" s="146"/>
      <c r="E892" s="146"/>
      <c r="F892" s="140"/>
      <c r="G892" s="142"/>
      <c r="H892" s="142"/>
      <c r="I892" s="142"/>
      <c r="J892" s="137" t="s">
        <v>39</v>
      </c>
      <c r="K892" s="137" t="s">
        <v>39</v>
      </c>
      <c r="L892" s="146"/>
      <c r="M892" s="141"/>
      <c r="N892" s="129"/>
      <c r="O892" s="140"/>
      <c r="P892" s="140" t="s">
        <v>39</v>
      </c>
      <c r="Q892" s="140"/>
      <c r="R892" s="140"/>
      <c r="S892" s="140"/>
      <c r="T892" s="140"/>
      <c r="U892" s="140"/>
      <c r="V892" s="140"/>
      <c r="W892" s="140"/>
      <c r="X892" s="140"/>
      <c r="Y892" s="140"/>
      <c r="Z892" s="140"/>
      <c r="AA892" s="140"/>
      <c r="AB892" s="140"/>
    </row>
    <row r="893">
      <c r="A893" s="145"/>
      <c r="B893" s="146"/>
      <c r="C893" s="146"/>
      <c r="D893" s="146"/>
      <c r="E893" s="146"/>
      <c r="F893" s="140"/>
      <c r="G893" s="142"/>
      <c r="H893" s="142"/>
      <c r="I893" s="142"/>
      <c r="J893" s="137" t="s">
        <v>39</v>
      </c>
      <c r="K893" s="137" t="s">
        <v>39</v>
      </c>
      <c r="L893" s="146"/>
      <c r="M893" s="141"/>
      <c r="N893" s="129"/>
      <c r="O893" s="140"/>
      <c r="P893" s="140" t="s">
        <v>39</v>
      </c>
      <c r="Q893" s="140"/>
      <c r="R893" s="140"/>
      <c r="S893" s="140"/>
      <c r="T893" s="140"/>
      <c r="U893" s="140"/>
      <c r="V893" s="140"/>
      <c r="W893" s="140"/>
      <c r="X893" s="140"/>
      <c r="Y893" s="140"/>
      <c r="Z893" s="140"/>
      <c r="AA893" s="140"/>
      <c r="AB893" s="140"/>
    </row>
    <row r="894">
      <c r="A894" s="145"/>
      <c r="B894" s="146"/>
      <c r="C894" s="146"/>
      <c r="D894" s="146"/>
      <c r="E894" s="146"/>
      <c r="F894" s="140"/>
      <c r="G894" s="142"/>
      <c r="H894" s="142"/>
      <c r="I894" s="142"/>
      <c r="J894" s="137" t="s">
        <v>39</v>
      </c>
      <c r="K894" s="137" t="s">
        <v>39</v>
      </c>
      <c r="L894" s="146"/>
      <c r="M894" s="141"/>
      <c r="N894" s="129"/>
      <c r="O894" s="140"/>
      <c r="P894" s="140" t="s">
        <v>39</v>
      </c>
      <c r="Q894" s="140"/>
      <c r="R894" s="140"/>
      <c r="S894" s="140"/>
      <c r="T894" s="140"/>
      <c r="U894" s="140"/>
      <c r="V894" s="140"/>
      <c r="W894" s="140"/>
      <c r="X894" s="140"/>
      <c r="Y894" s="140"/>
      <c r="Z894" s="140"/>
      <c r="AA894" s="140"/>
      <c r="AB894" s="140"/>
    </row>
    <row r="895">
      <c r="A895" s="145"/>
      <c r="B895" s="146"/>
      <c r="C895" s="146"/>
      <c r="D895" s="146"/>
      <c r="E895" s="146"/>
      <c r="F895" s="140"/>
      <c r="G895" s="142"/>
      <c r="H895" s="142"/>
      <c r="I895" s="142"/>
      <c r="J895" s="137" t="s">
        <v>39</v>
      </c>
      <c r="K895" s="137" t="s">
        <v>39</v>
      </c>
      <c r="L895" s="146"/>
      <c r="M895" s="141"/>
      <c r="N895" s="129"/>
      <c r="O895" s="140"/>
      <c r="P895" s="140" t="s">
        <v>39</v>
      </c>
      <c r="Q895" s="140"/>
      <c r="R895" s="140"/>
      <c r="S895" s="140"/>
      <c r="T895" s="140"/>
      <c r="U895" s="140"/>
      <c r="V895" s="140"/>
      <c r="W895" s="140"/>
      <c r="X895" s="140"/>
      <c r="Y895" s="140"/>
      <c r="Z895" s="140"/>
      <c r="AA895" s="140"/>
      <c r="AB895" s="140"/>
    </row>
    <row r="896">
      <c r="A896" s="145"/>
      <c r="B896" s="146"/>
      <c r="C896" s="146"/>
      <c r="D896" s="146"/>
      <c r="E896" s="146"/>
      <c r="F896" s="140"/>
      <c r="G896" s="142"/>
      <c r="H896" s="142"/>
      <c r="I896" s="142"/>
      <c r="J896" s="137" t="s">
        <v>39</v>
      </c>
      <c r="K896" s="137" t="s">
        <v>39</v>
      </c>
      <c r="L896" s="146"/>
      <c r="M896" s="141"/>
      <c r="N896" s="129"/>
      <c r="O896" s="140"/>
      <c r="P896" s="140" t="s">
        <v>39</v>
      </c>
      <c r="Q896" s="140"/>
      <c r="R896" s="140"/>
      <c r="S896" s="140"/>
      <c r="T896" s="140"/>
      <c r="U896" s="140"/>
      <c r="V896" s="140"/>
      <c r="W896" s="140"/>
      <c r="X896" s="140"/>
      <c r="Y896" s="140"/>
      <c r="Z896" s="140"/>
      <c r="AA896" s="140"/>
      <c r="AB896" s="140"/>
    </row>
    <row r="897">
      <c r="A897" s="145"/>
      <c r="B897" s="146"/>
      <c r="C897" s="146"/>
      <c r="D897" s="146"/>
      <c r="E897" s="146"/>
      <c r="F897" s="140"/>
      <c r="G897" s="142"/>
      <c r="H897" s="142"/>
      <c r="I897" s="142"/>
      <c r="J897" s="137" t="s">
        <v>39</v>
      </c>
      <c r="K897" s="137" t="s">
        <v>39</v>
      </c>
      <c r="L897" s="146"/>
      <c r="M897" s="141"/>
      <c r="N897" s="129"/>
      <c r="O897" s="140"/>
      <c r="P897" s="140" t="s">
        <v>39</v>
      </c>
      <c r="Q897" s="140"/>
      <c r="R897" s="140"/>
      <c r="S897" s="140"/>
      <c r="T897" s="140"/>
      <c r="U897" s="140"/>
      <c r="V897" s="140"/>
      <c r="W897" s="140"/>
      <c r="X897" s="140"/>
      <c r="Y897" s="140"/>
      <c r="Z897" s="140"/>
      <c r="AA897" s="140"/>
      <c r="AB897" s="140"/>
    </row>
    <row r="898">
      <c r="A898" s="145"/>
      <c r="B898" s="146"/>
      <c r="C898" s="146"/>
      <c r="D898" s="146"/>
      <c r="E898" s="146"/>
      <c r="F898" s="140"/>
      <c r="G898" s="142"/>
      <c r="H898" s="142"/>
      <c r="I898" s="142"/>
      <c r="J898" s="137" t="s">
        <v>39</v>
      </c>
      <c r="K898" s="137" t="s">
        <v>39</v>
      </c>
      <c r="L898" s="146"/>
      <c r="M898" s="141"/>
      <c r="N898" s="129"/>
      <c r="O898" s="140"/>
      <c r="P898" s="140" t="s">
        <v>39</v>
      </c>
      <c r="Q898" s="140"/>
      <c r="R898" s="140"/>
      <c r="S898" s="140"/>
      <c r="T898" s="140"/>
      <c r="U898" s="140"/>
      <c r="V898" s="140"/>
      <c r="W898" s="140"/>
      <c r="X898" s="140"/>
      <c r="Y898" s="140"/>
      <c r="Z898" s="140"/>
      <c r="AA898" s="140"/>
      <c r="AB898" s="140"/>
    </row>
    <row r="899">
      <c r="A899" s="145"/>
      <c r="B899" s="146"/>
      <c r="C899" s="146"/>
      <c r="D899" s="146"/>
      <c r="E899" s="146"/>
      <c r="F899" s="140"/>
      <c r="G899" s="142"/>
      <c r="H899" s="142"/>
      <c r="I899" s="142"/>
      <c r="J899" s="137" t="s">
        <v>39</v>
      </c>
      <c r="K899" s="137" t="s">
        <v>39</v>
      </c>
      <c r="L899" s="146"/>
      <c r="M899" s="141"/>
      <c r="N899" s="129"/>
      <c r="O899" s="140"/>
      <c r="P899" s="140" t="s">
        <v>39</v>
      </c>
      <c r="Q899" s="140"/>
      <c r="R899" s="140"/>
      <c r="S899" s="140"/>
      <c r="T899" s="140"/>
      <c r="U899" s="140"/>
      <c r="V899" s="140"/>
      <c r="W899" s="140"/>
      <c r="X899" s="140"/>
      <c r="Y899" s="140"/>
      <c r="Z899" s="140"/>
      <c r="AA899" s="140"/>
      <c r="AB899" s="140"/>
    </row>
    <row r="900">
      <c r="A900" s="145"/>
      <c r="B900" s="146"/>
      <c r="C900" s="146"/>
      <c r="D900" s="146"/>
      <c r="E900" s="146"/>
      <c r="F900" s="140"/>
      <c r="G900" s="142"/>
      <c r="H900" s="142"/>
      <c r="I900" s="142"/>
      <c r="J900" s="137" t="s">
        <v>39</v>
      </c>
      <c r="K900" s="137" t="s">
        <v>39</v>
      </c>
      <c r="L900" s="146"/>
      <c r="M900" s="141"/>
      <c r="N900" s="129"/>
      <c r="O900" s="140"/>
      <c r="P900" s="140" t="s">
        <v>39</v>
      </c>
      <c r="Q900" s="140"/>
      <c r="R900" s="140"/>
      <c r="S900" s="140"/>
      <c r="T900" s="140"/>
      <c r="U900" s="140"/>
      <c r="V900" s="140"/>
      <c r="W900" s="140"/>
      <c r="X900" s="140"/>
      <c r="Y900" s="140"/>
      <c r="Z900" s="140"/>
      <c r="AA900" s="140"/>
      <c r="AB900" s="140"/>
    </row>
    <row r="901">
      <c r="A901" s="145"/>
      <c r="B901" s="146"/>
      <c r="C901" s="146"/>
      <c r="D901" s="146"/>
      <c r="E901" s="146"/>
      <c r="F901" s="140"/>
      <c r="G901" s="142"/>
      <c r="H901" s="142"/>
      <c r="I901" s="142"/>
      <c r="J901" s="137" t="s">
        <v>39</v>
      </c>
      <c r="K901" s="137" t="s">
        <v>39</v>
      </c>
      <c r="L901" s="146"/>
      <c r="M901" s="141"/>
      <c r="N901" s="129"/>
      <c r="O901" s="140"/>
      <c r="P901" s="140" t="s">
        <v>39</v>
      </c>
      <c r="Q901" s="140"/>
      <c r="R901" s="140"/>
      <c r="S901" s="140"/>
      <c r="T901" s="140"/>
      <c r="U901" s="140"/>
      <c r="V901" s="140"/>
      <c r="W901" s="140"/>
      <c r="X901" s="140"/>
      <c r="Y901" s="140"/>
      <c r="Z901" s="140"/>
      <c r="AA901" s="140"/>
      <c r="AB901" s="140"/>
    </row>
    <row r="902">
      <c r="A902" s="145"/>
      <c r="B902" s="146"/>
      <c r="C902" s="146"/>
      <c r="D902" s="146"/>
      <c r="E902" s="146"/>
      <c r="F902" s="140"/>
      <c r="G902" s="142"/>
      <c r="H902" s="142"/>
      <c r="I902" s="142"/>
      <c r="J902" s="137" t="s">
        <v>39</v>
      </c>
      <c r="K902" s="137" t="s">
        <v>39</v>
      </c>
      <c r="L902" s="146"/>
      <c r="M902" s="141"/>
      <c r="N902" s="129"/>
      <c r="O902" s="140"/>
      <c r="P902" s="140" t="s">
        <v>39</v>
      </c>
      <c r="Q902" s="140"/>
      <c r="R902" s="140"/>
      <c r="S902" s="140"/>
      <c r="T902" s="140"/>
      <c r="U902" s="140"/>
      <c r="V902" s="140"/>
      <c r="W902" s="140"/>
      <c r="X902" s="140"/>
      <c r="Y902" s="140"/>
      <c r="Z902" s="140"/>
      <c r="AA902" s="140"/>
      <c r="AB902" s="140"/>
    </row>
    <row r="903">
      <c r="A903" s="145"/>
      <c r="B903" s="146"/>
      <c r="C903" s="146"/>
      <c r="D903" s="146"/>
      <c r="E903" s="146"/>
      <c r="F903" s="140"/>
      <c r="G903" s="142"/>
      <c r="H903" s="142"/>
      <c r="I903" s="142"/>
      <c r="J903" s="137" t="s">
        <v>39</v>
      </c>
      <c r="K903" s="137" t="s">
        <v>39</v>
      </c>
      <c r="L903" s="146"/>
      <c r="M903" s="141"/>
      <c r="N903" s="129"/>
      <c r="O903" s="140"/>
      <c r="P903" s="140" t="s">
        <v>39</v>
      </c>
      <c r="Q903" s="140"/>
      <c r="R903" s="140"/>
      <c r="S903" s="140"/>
      <c r="T903" s="140"/>
      <c r="U903" s="140"/>
      <c r="V903" s="140"/>
      <c r="W903" s="140"/>
      <c r="X903" s="140"/>
      <c r="Y903" s="140"/>
      <c r="Z903" s="140"/>
      <c r="AA903" s="140"/>
      <c r="AB903" s="140"/>
    </row>
    <row r="904">
      <c r="A904" s="145"/>
      <c r="B904" s="146"/>
      <c r="C904" s="146"/>
      <c r="D904" s="146"/>
      <c r="E904" s="146"/>
      <c r="F904" s="140"/>
      <c r="G904" s="142"/>
      <c r="H904" s="142"/>
      <c r="I904" s="142"/>
      <c r="J904" s="137" t="s">
        <v>39</v>
      </c>
      <c r="K904" s="137" t="s">
        <v>39</v>
      </c>
      <c r="L904" s="146"/>
      <c r="M904" s="141"/>
      <c r="N904" s="129"/>
      <c r="O904" s="140"/>
      <c r="P904" s="140" t="s">
        <v>39</v>
      </c>
      <c r="Q904" s="140"/>
      <c r="R904" s="140"/>
      <c r="S904" s="140"/>
      <c r="T904" s="140"/>
      <c r="U904" s="140"/>
      <c r="V904" s="140"/>
      <c r="W904" s="140"/>
      <c r="X904" s="140"/>
      <c r="Y904" s="140"/>
      <c r="Z904" s="140"/>
      <c r="AA904" s="140"/>
      <c r="AB904" s="140"/>
    </row>
    <row r="905">
      <c r="A905" s="145"/>
      <c r="B905" s="146"/>
      <c r="C905" s="146"/>
      <c r="D905" s="146"/>
      <c r="E905" s="146"/>
      <c r="F905" s="140"/>
      <c r="G905" s="142"/>
      <c r="H905" s="142"/>
      <c r="I905" s="142"/>
      <c r="J905" s="137" t="s">
        <v>39</v>
      </c>
      <c r="K905" s="137" t="s">
        <v>39</v>
      </c>
      <c r="L905" s="146"/>
      <c r="M905" s="141"/>
      <c r="N905" s="129"/>
      <c r="O905" s="140"/>
      <c r="P905" s="140" t="s">
        <v>39</v>
      </c>
      <c r="Q905" s="140"/>
      <c r="R905" s="140"/>
      <c r="S905" s="140"/>
      <c r="T905" s="140"/>
      <c r="U905" s="140"/>
      <c r="V905" s="140"/>
      <c r="W905" s="140"/>
      <c r="X905" s="140"/>
      <c r="Y905" s="140"/>
      <c r="Z905" s="140"/>
      <c r="AA905" s="140"/>
      <c r="AB905" s="140"/>
    </row>
    <row r="906">
      <c r="A906" s="145"/>
      <c r="B906" s="146"/>
      <c r="C906" s="146"/>
      <c r="D906" s="146"/>
      <c r="E906" s="146"/>
      <c r="F906" s="140"/>
      <c r="G906" s="142"/>
      <c r="H906" s="142"/>
      <c r="I906" s="142"/>
      <c r="J906" s="137" t="s">
        <v>39</v>
      </c>
      <c r="K906" s="137" t="s">
        <v>39</v>
      </c>
      <c r="L906" s="146"/>
      <c r="M906" s="141"/>
      <c r="N906" s="129"/>
      <c r="O906" s="140"/>
      <c r="P906" s="140" t="s">
        <v>39</v>
      </c>
      <c r="Q906" s="140"/>
      <c r="R906" s="140"/>
      <c r="S906" s="140"/>
      <c r="T906" s="140"/>
      <c r="U906" s="140"/>
      <c r="V906" s="140"/>
      <c r="W906" s="140"/>
      <c r="X906" s="140"/>
      <c r="Y906" s="140"/>
      <c r="Z906" s="140"/>
      <c r="AA906" s="140"/>
      <c r="AB906" s="140"/>
    </row>
    <row r="907">
      <c r="A907" s="145"/>
      <c r="B907" s="146"/>
      <c r="C907" s="146"/>
      <c r="D907" s="146"/>
      <c r="E907" s="146"/>
      <c r="F907" s="140"/>
      <c r="G907" s="142"/>
      <c r="H907" s="142"/>
      <c r="I907" s="142"/>
      <c r="J907" s="137" t="s">
        <v>39</v>
      </c>
      <c r="K907" s="137" t="s">
        <v>39</v>
      </c>
      <c r="L907" s="146"/>
      <c r="M907" s="141"/>
      <c r="N907" s="129"/>
      <c r="O907" s="140"/>
      <c r="P907" s="140" t="s">
        <v>39</v>
      </c>
      <c r="Q907" s="140"/>
      <c r="R907" s="140"/>
      <c r="S907" s="140"/>
      <c r="T907" s="140"/>
      <c r="U907" s="140"/>
      <c r="V907" s="140"/>
      <c r="W907" s="140"/>
      <c r="X907" s="140"/>
      <c r="Y907" s="140"/>
      <c r="Z907" s="140"/>
      <c r="AA907" s="140"/>
      <c r="AB907" s="140"/>
    </row>
    <row r="908">
      <c r="A908" s="145"/>
      <c r="B908" s="146"/>
      <c r="C908" s="146"/>
      <c r="D908" s="146"/>
      <c r="E908" s="146"/>
      <c r="F908" s="140"/>
      <c r="G908" s="142"/>
      <c r="H908" s="142"/>
      <c r="I908" s="142"/>
      <c r="J908" s="137" t="s">
        <v>39</v>
      </c>
      <c r="K908" s="137" t="s">
        <v>39</v>
      </c>
      <c r="L908" s="146"/>
      <c r="M908" s="141"/>
      <c r="N908" s="129"/>
      <c r="O908" s="140"/>
      <c r="P908" s="140" t="s">
        <v>39</v>
      </c>
      <c r="Q908" s="140"/>
      <c r="R908" s="140"/>
      <c r="S908" s="140"/>
      <c r="T908" s="140"/>
      <c r="U908" s="140"/>
      <c r="V908" s="140"/>
      <c r="W908" s="140"/>
      <c r="X908" s="140"/>
      <c r="Y908" s="140"/>
      <c r="Z908" s="140"/>
      <c r="AA908" s="140"/>
      <c r="AB908" s="140"/>
    </row>
    <row r="909">
      <c r="A909" s="145"/>
      <c r="B909" s="146"/>
      <c r="C909" s="146"/>
      <c r="D909" s="146"/>
      <c r="E909" s="146"/>
      <c r="F909" s="140"/>
      <c r="G909" s="142"/>
      <c r="H909" s="142"/>
      <c r="I909" s="142"/>
      <c r="J909" s="137" t="s">
        <v>39</v>
      </c>
      <c r="K909" s="137" t="s">
        <v>39</v>
      </c>
      <c r="L909" s="146"/>
      <c r="M909" s="141"/>
      <c r="N909" s="129"/>
      <c r="O909" s="140"/>
      <c r="P909" s="140" t="s">
        <v>39</v>
      </c>
      <c r="Q909" s="140"/>
      <c r="R909" s="140"/>
      <c r="S909" s="140"/>
      <c r="T909" s="140"/>
      <c r="U909" s="140"/>
      <c r="V909" s="140"/>
      <c r="W909" s="140"/>
      <c r="X909" s="140"/>
      <c r="Y909" s="140"/>
      <c r="Z909" s="140"/>
      <c r="AA909" s="140"/>
      <c r="AB909" s="140"/>
    </row>
    <row r="910">
      <c r="A910" s="145"/>
      <c r="B910" s="146"/>
      <c r="C910" s="146"/>
      <c r="D910" s="146"/>
      <c r="E910" s="146"/>
      <c r="F910" s="140"/>
      <c r="G910" s="142"/>
      <c r="H910" s="142"/>
      <c r="I910" s="142"/>
      <c r="J910" s="137" t="s">
        <v>39</v>
      </c>
      <c r="K910" s="137" t="s">
        <v>39</v>
      </c>
      <c r="L910" s="146"/>
      <c r="M910" s="141"/>
      <c r="N910" s="129"/>
      <c r="O910" s="140"/>
      <c r="P910" s="140" t="s">
        <v>39</v>
      </c>
      <c r="Q910" s="140"/>
      <c r="R910" s="140"/>
      <c r="S910" s="140"/>
      <c r="T910" s="140"/>
      <c r="U910" s="140"/>
      <c r="V910" s="140"/>
      <c r="W910" s="140"/>
      <c r="X910" s="140"/>
      <c r="Y910" s="140"/>
      <c r="Z910" s="140"/>
      <c r="AA910" s="140"/>
      <c r="AB910" s="140"/>
    </row>
    <row r="911">
      <c r="A911" s="145"/>
      <c r="B911" s="146"/>
      <c r="C911" s="146"/>
      <c r="D911" s="146"/>
      <c r="E911" s="146"/>
      <c r="F911" s="140"/>
      <c r="G911" s="142"/>
      <c r="H911" s="142"/>
      <c r="I911" s="142"/>
      <c r="J911" s="137" t="s">
        <v>39</v>
      </c>
      <c r="K911" s="137" t="s">
        <v>39</v>
      </c>
      <c r="L911" s="146"/>
      <c r="M911" s="141"/>
      <c r="N911" s="129"/>
      <c r="O911" s="140"/>
      <c r="P911" s="140" t="s">
        <v>39</v>
      </c>
      <c r="Q911" s="140"/>
      <c r="R911" s="140"/>
      <c r="S911" s="140"/>
      <c r="T911" s="140"/>
      <c r="U911" s="140"/>
      <c r="V911" s="140"/>
      <c r="W911" s="140"/>
      <c r="X911" s="140"/>
      <c r="Y911" s="140"/>
      <c r="Z911" s="140"/>
      <c r="AA911" s="140"/>
      <c r="AB911" s="140"/>
    </row>
    <row r="912">
      <c r="A912" s="145"/>
      <c r="B912" s="146"/>
      <c r="C912" s="146"/>
      <c r="D912" s="146"/>
      <c r="E912" s="146"/>
      <c r="F912" s="140"/>
      <c r="G912" s="142"/>
      <c r="H912" s="142"/>
      <c r="I912" s="142"/>
      <c r="J912" s="137" t="s">
        <v>39</v>
      </c>
      <c r="K912" s="137" t="s">
        <v>39</v>
      </c>
      <c r="L912" s="146"/>
      <c r="M912" s="141"/>
      <c r="N912" s="129"/>
      <c r="O912" s="140"/>
      <c r="P912" s="140" t="s">
        <v>39</v>
      </c>
      <c r="Q912" s="140"/>
      <c r="R912" s="140"/>
      <c r="S912" s="140"/>
      <c r="T912" s="140"/>
      <c r="U912" s="140"/>
      <c r="V912" s="140"/>
      <c r="W912" s="140"/>
      <c r="X912" s="140"/>
      <c r="Y912" s="140"/>
      <c r="Z912" s="140"/>
      <c r="AA912" s="140"/>
      <c r="AB912" s="140"/>
    </row>
    <row r="913">
      <c r="A913" s="145"/>
      <c r="B913" s="146"/>
      <c r="C913" s="146"/>
      <c r="D913" s="146"/>
      <c r="E913" s="146"/>
      <c r="F913" s="140"/>
      <c r="G913" s="142"/>
      <c r="H913" s="142"/>
      <c r="I913" s="142"/>
      <c r="J913" s="137" t="s">
        <v>39</v>
      </c>
      <c r="K913" s="137" t="s">
        <v>39</v>
      </c>
      <c r="L913" s="146"/>
      <c r="M913" s="141"/>
      <c r="N913" s="129"/>
      <c r="O913" s="140"/>
      <c r="P913" s="140" t="s">
        <v>39</v>
      </c>
      <c r="Q913" s="140"/>
      <c r="R913" s="140"/>
      <c r="S913" s="140"/>
      <c r="T913" s="140"/>
      <c r="U913" s="140"/>
      <c r="V913" s="140"/>
      <c r="W913" s="140"/>
      <c r="X913" s="140"/>
      <c r="Y913" s="140"/>
      <c r="Z913" s="140"/>
      <c r="AA913" s="140"/>
      <c r="AB913" s="140"/>
    </row>
    <row r="914">
      <c r="A914" s="145"/>
      <c r="B914" s="146"/>
      <c r="C914" s="146"/>
      <c r="D914" s="146"/>
      <c r="E914" s="146"/>
      <c r="F914" s="140"/>
      <c r="G914" s="142"/>
      <c r="H914" s="142"/>
      <c r="I914" s="142"/>
      <c r="J914" s="137" t="s">
        <v>39</v>
      </c>
      <c r="K914" s="137" t="s">
        <v>39</v>
      </c>
      <c r="L914" s="146"/>
      <c r="M914" s="141"/>
      <c r="N914" s="129"/>
      <c r="O914" s="140"/>
      <c r="P914" s="140" t="s">
        <v>39</v>
      </c>
      <c r="Q914" s="140"/>
      <c r="R914" s="140"/>
      <c r="S914" s="140"/>
      <c r="T914" s="140"/>
      <c r="U914" s="140"/>
      <c r="V914" s="140"/>
      <c r="W914" s="140"/>
      <c r="X914" s="140"/>
      <c r="Y914" s="140"/>
      <c r="Z914" s="140"/>
      <c r="AA914" s="140"/>
      <c r="AB914" s="140"/>
    </row>
    <row r="915">
      <c r="A915" s="145"/>
      <c r="B915" s="146"/>
      <c r="C915" s="146"/>
      <c r="D915" s="146"/>
      <c r="E915" s="146"/>
      <c r="F915" s="140"/>
      <c r="G915" s="142"/>
      <c r="H915" s="142"/>
      <c r="I915" s="142"/>
      <c r="J915" s="137" t="s">
        <v>39</v>
      </c>
      <c r="K915" s="137" t="s">
        <v>39</v>
      </c>
      <c r="L915" s="146"/>
      <c r="M915" s="141"/>
      <c r="N915" s="129"/>
      <c r="O915" s="140"/>
      <c r="P915" s="140" t="s">
        <v>39</v>
      </c>
      <c r="Q915" s="140"/>
      <c r="R915" s="140"/>
      <c r="S915" s="140"/>
      <c r="T915" s="140"/>
      <c r="U915" s="140"/>
      <c r="V915" s="140"/>
      <c r="W915" s="140"/>
      <c r="X915" s="140"/>
      <c r="Y915" s="140"/>
      <c r="Z915" s="140"/>
      <c r="AA915" s="140"/>
      <c r="AB915" s="140"/>
    </row>
    <row r="916">
      <c r="A916" s="145"/>
      <c r="B916" s="146"/>
      <c r="C916" s="146"/>
      <c r="D916" s="146"/>
      <c r="E916" s="146"/>
      <c r="F916" s="140"/>
      <c r="G916" s="142"/>
      <c r="H916" s="142"/>
      <c r="I916" s="142"/>
      <c r="J916" s="137" t="s">
        <v>39</v>
      </c>
      <c r="K916" s="137" t="s">
        <v>39</v>
      </c>
      <c r="L916" s="146"/>
      <c r="M916" s="141"/>
      <c r="N916" s="129"/>
      <c r="O916" s="140"/>
      <c r="P916" s="140" t="s">
        <v>39</v>
      </c>
      <c r="Q916" s="140"/>
      <c r="R916" s="140"/>
      <c r="S916" s="140"/>
      <c r="T916" s="140"/>
      <c r="U916" s="140"/>
      <c r="V916" s="140"/>
      <c r="W916" s="140"/>
      <c r="X916" s="140"/>
      <c r="Y916" s="140"/>
      <c r="Z916" s="140"/>
      <c r="AA916" s="140"/>
      <c r="AB916" s="140"/>
    </row>
    <row r="917">
      <c r="A917" s="145"/>
      <c r="B917" s="146"/>
      <c r="C917" s="146"/>
      <c r="D917" s="146"/>
      <c r="E917" s="146"/>
      <c r="F917" s="140"/>
      <c r="G917" s="142"/>
      <c r="H917" s="142"/>
      <c r="I917" s="142"/>
      <c r="J917" s="137" t="s">
        <v>39</v>
      </c>
      <c r="K917" s="137" t="s">
        <v>39</v>
      </c>
      <c r="L917" s="146"/>
      <c r="M917" s="141"/>
      <c r="N917" s="129"/>
      <c r="O917" s="140"/>
      <c r="P917" s="140" t="s">
        <v>39</v>
      </c>
      <c r="Q917" s="140"/>
      <c r="R917" s="140"/>
      <c r="S917" s="140"/>
      <c r="T917" s="140"/>
      <c r="U917" s="140"/>
      <c r="V917" s="140"/>
      <c r="W917" s="140"/>
      <c r="X917" s="140"/>
      <c r="Y917" s="140"/>
      <c r="Z917" s="140"/>
      <c r="AA917" s="140"/>
      <c r="AB917" s="140"/>
    </row>
    <row r="918">
      <c r="A918" s="145"/>
      <c r="B918" s="146"/>
      <c r="C918" s="146"/>
      <c r="D918" s="146"/>
      <c r="E918" s="146"/>
      <c r="F918" s="140"/>
      <c r="G918" s="142"/>
      <c r="H918" s="142"/>
      <c r="I918" s="142"/>
      <c r="J918" s="137" t="s">
        <v>39</v>
      </c>
      <c r="K918" s="137" t="s">
        <v>39</v>
      </c>
      <c r="L918" s="146"/>
      <c r="M918" s="141"/>
      <c r="N918" s="129"/>
      <c r="O918" s="140"/>
      <c r="P918" s="140" t="s">
        <v>39</v>
      </c>
      <c r="Q918" s="140"/>
      <c r="R918" s="140"/>
      <c r="S918" s="140"/>
      <c r="T918" s="140"/>
      <c r="U918" s="140"/>
      <c r="V918" s="140"/>
      <c r="W918" s="140"/>
      <c r="X918" s="140"/>
      <c r="Y918" s="140"/>
      <c r="Z918" s="140"/>
      <c r="AA918" s="140"/>
      <c r="AB918" s="140"/>
    </row>
    <row r="919">
      <c r="A919" s="145"/>
      <c r="B919" s="146"/>
      <c r="C919" s="146"/>
      <c r="D919" s="146"/>
      <c r="E919" s="146"/>
      <c r="F919" s="140"/>
      <c r="G919" s="142"/>
      <c r="H919" s="142"/>
      <c r="I919" s="142"/>
      <c r="J919" s="137" t="s">
        <v>39</v>
      </c>
      <c r="K919" s="137" t="s">
        <v>39</v>
      </c>
      <c r="L919" s="146"/>
      <c r="M919" s="141"/>
      <c r="N919" s="129"/>
      <c r="O919" s="140"/>
      <c r="P919" s="140" t="s">
        <v>39</v>
      </c>
      <c r="Q919" s="140"/>
      <c r="R919" s="140"/>
      <c r="S919" s="140"/>
      <c r="T919" s="140"/>
      <c r="U919" s="140"/>
      <c r="V919" s="140"/>
      <c r="W919" s="140"/>
      <c r="X919" s="140"/>
      <c r="Y919" s="140"/>
      <c r="Z919" s="140"/>
      <c r="AA919" s="140"/>
      <c r="AB919" s="140"/>
    </row>
    <row r="920">
      <c r="A920" s="145"/>
      <c r="B920" s="146"/>
      <c r="C920" s="146"/>
      <c r="D920" s="146"/>
      <c r="E920" s="146"/>
      <c r="F920" s="140"/>
      <c r="G920" s="142"/>
      <c r="H920" s="142"/>
      <c r="I920" s="142"/>
      <c r="J920" s="137" t="s">
        <v>39</v>
      </c>
      <c r="K920" s="137" t="s">
        <v>39</v>
      </c>
      <c r="L920" s="146"/>
      <c r="M920" s="141"/>
      <c r="N920" s="129"/>
      <c r="O920" s="140"/>
      <c r="P920" s="140" t="s">
        <v>39</v>
      </c>
      <c r="Q920" s="140"/>
      <c r="R920" s="140"/>
      <c r="S920" s="140"/>
      <c r="T920" s="140"/>
      <c r="U920" s="140"/>
      <c r="V920" s="140"/>
      <c r="W920" s="140"/>
      <c r="X920" s="140"/>
      <c r="Y920" s="140"/>
      <c r="Z920" s="140"/>
      <c r="AA920" s="140"/>
      <c r="AB920" s="140"/>
    </row>
    <row r="921">
      <c r="A921" s="145"/>
      <c r="B921" s="146"/>
      <c r="C921" s="146"/>
      <c r="D921" s="146"/>
      <c r="E921" s="146"/>
      <c r="F921" s="140"/>
      <c r="G921" s="142"/>
      <c r="H921" s="142"/>
      <c r="I921" s="142"/>
      <c r="J921" s="137" t="s">
        <v>39</v>
      </c>
      <c r="K921" s="137" t="s">
        <v>39</v>
      </c>
      <c r="L921" s="146"/>
      <c r="M921" s="141"/>
      <c r="N921" s="129"/>
      <c r="O921" s="140"/>
      <c r="P921" s="140" t="s">
        <v>39</v>
      </c>
      <c r="Q921" s="140"/>
      <c r="R921" s="140"/>
      <c r="S921" s="140"/>
      <c r="T921" s="140"/>
      <c r="U921" s="140"/>
      <c r="V921" s="140"/>
      <c r="W921" s="140"/>
      <c r="X921" s="140"/>
      <c r="Y921" s="140"/>
      <c r="Z921" s="140"/>
      <c r="AA921" s="140"/>
      <c r="AB921" s="140"/>
    </row>
    <row r="922">
      <c r="A922" s="145"/>
      <c r="B922" s="146"/>
      <c r="C922" s="146"/>
      <c r="D922" s="146"/>
      <c r="E922" s="146"/>
      <c r="F922" s="140"/>
      <c r="G922" s="142"/>
      <c r="H922" s="142"/>
      <c r="I922" s="142"/>
      <c r="J922" s="137" t="s">
        <v>39</v>
      </c>
      <c r="K922" s="137" t="s">
        <v>39</v>
      </c>
      <c r="L922" s="146"/>
      <c r="M922" s="141"/>
      <c r="N922" s="129"/>
      <c r="O922" s="140"/>
      <c r="P922" s="140" t="s">
        <v>39</v>
      </c>
      <c r="Q922" s="140"/>
      <c r="R922" s="140"/>
      <c r="S922" s="140"/>
      <c r="T922" s="140"/>
      <c r="U922" s="140"/>
      <c r="V922" s="140"/>
      <c r="W922" s="140"/>
      <c r="X922" s="140"/>
      <c r="Y922" s="140"/>
      <c r="Z922" s="140"/>
      <c r="AA922" s="140"/>
      <c r="AB922" s="140"/>
    </row>
    <row r="923">
      <c r="A923" s="145"/>
      <c r="B923" s="146"/>
      <c r="C923" s="146"/>
      <c r="D923" s="146"/>
      <c r="E923" s="146"/>
      <c r="F923" s="140"/>
      <c r="G923" s="142"/>
      <c r="H923" s="142"/>
      <c r="I923" s="142"/>
      <c r="J923" s="137" t="s">
        <v>39</v>
      </c>
      <c r="K923" s="137" t="s">
        <v>39</v>
      </c>
      <c r="L923" s="146"/>
      <c r="M923" s="141"/>
      <c r="N923" s="129"/>
      <c r="O923" s="140"/>
      <c r="P923" s="140" t="s">
        <v>39</v>
      </c>
      <c r="Q923" s="140"/>
      <c r="R923" s="140"/>
      <c r="S923" s="140"/>
      <c r="T923" s="140"/>
      <c r="U923" s="140"/>
      <c r="V923" s="140"/>
      <c r="W923" s="140"/>
      <c r="X923" s="140"/>
      <c r="Y923" s="140"/>
      <c r="Z923" s="140"/>
      <c r="AA923" s="140"/>
      <c r="AB923" s="140"/>
    </row>
    <row r="924">
      <c r="A924" s="145"/>
      <c r="B924" s="146"/>
      <c r="C924" s="146"/>
      <c r="D924" s="146"/>
      <c r="E924" s="146"/>
      <c r="F924" s="140"/>
      <c r="G924" s="142"/>
      <c r="H924" s="142"/>
      <c r="I924" s="142"/>
      <c r="J924" s="137" t="s">
        <v>39</v>
      </c>
      <c r="K924" s="137" t="s">
        <v>39</v>
      </c>
      <c r="L924" s="146"/>
      <c r="M924" s="141"/>
      <c r="N924" s="129"/>
      <c r="O924" s="140"/>
      <c r="P924" s="140" t="s">
        <v>39</v>
      </c>
      <c r="Q924" s="140"/>
      <c r="R924" s="140"/>
      <c r="S924" s="140"/>
      <c r="T924" s="140"/>
      <c r="U924" s="140"/>
      <c r="V924" s="140"/>
      <c r="W924" s="140"/>
      <c r="X924" s="140"/>
      <c r="Y924" s="140"/>
      <c r="Z924" s="140"/>
      <c r="AA924" s="140"/>
      <c r="AB924" s="140"/>
    </row>
    <row r="925">
      <c r="A925" s="145"/>
      <c r="B925" s="146"/>
      <c r="C925" s="146"/>
      <c r="D925" s="146"/>
      <c r="E925" s="146"/>
      <c r="F925" s="140"/>
      <c r="G925" s="142"/>
      <c r="H925" s="142"/>
      <c r="I925" s="142"/>
      <c r="J925" s="137" t="s">
        <v>39</v>
      </c>
      <c r="K925" s="137" t="s">
        <v>39</v>
      </c>
      <c r="L925" s="146"/>
      <c r="M925" s="141"/>
      <c r="N925" s="129"/>
      <c r="O925" s="140"/>
      <c r="P925" s="140" t="s">
        <v>39</v>
      </c>
      <c r="Q925" s="140"/>
      <c r="R925" s="140"/>
      <c r="S925" s="140"/>
      <c r="T925" s="140"/>
      <c r="U925" s="140"/>
      <c r="V925" s="140"/>
      <c r="W925" s="140"/>
      <c r="X925" s="140"/>
      <c r="Y925" s="140"/>
      <c r="Z925" s="140"/>
      <c r="AA925" s="140"/>
      <c r="AB925" s="140"/>
    </row>
    <row r="926">
      <c r="A926" s="145"/>
      <c r="B926" s="146"/>
      <c r="C926" s="146"/>
      <c r="D926" s="146"/>
      <c r="E926" s="146"/>
      <c r="F926" s="140"/>
      <c r="G926" s="142"/>
      <c r="H926" s="142"/>
      <c r="I926" s="142"/>
      <c r="J926" s="137" t="s">
        <v>39</v>
      </c>
      <c r="K926" s="137" t="s">
        <v>39</v>
      </c>
      <c r="L926" s="146"/>
      <c r="M926" s="141"/>
      <c r="N926" s="129"/>
      <c r="O926" s="140"/>
      <c r="P926" s="140" t="s">
        <v>39</v>
      </c>
      <c r="Q926" s="140"/>
      <c r="R926" s="140"/>
      <c r="S926" s="140"/>
      <c r="T926" s="140"/>
      <c r="U926" s="140"/>
      <c r="V926" s="140"/>
      <c r="W926" s="140"/>
      <c r="X926" s="140"/>
      <c r="Y926" s="140"/>
      <c r="Z926" s="140"/>
      <c r="AA926" s="140"/>
      <c r="AB926" s="140"/>
    </row>
    <row r="927">
      <c r="A927" s="145"/>
      <c r="B927" s="146"/>
      <c r="C927" s="146"/>
      <c r="D927" s="146"/>
      <c r="E927" s="146"/>
      <c r="F927" s="140"/>
      <c r="G927" s="142"/>
      <c r="H927" s="142"/>
      <c r="I927" s="142"/>
      <c r="J927" s="137" t="s">
        <v>39</v>
      </c>
      <c r="K927" s="137" t="s">
        <v>39</v>
      </c>
      <c r="L927" s="146"/>
      <c r="M927" s="141"/>
      <c r="N927" s="129"/>
      <c r="O927" s="140"/>
      <c r="P927" s="140" t="s">
        <v>39</v>
      </c>
      <c r="Q927" s="140"/>
      <c r="R927" s="140"/>
      <c r="S927" s="140"/>
      <c r="T927" s="140"/>
      <c r="U927" s="140"/>
      <c r="V927" s="140"/>
      <c r="W927" s="140"/>
      <c r="X927" s="140"/>
      <c r="Y927" s="140"/>
      <c r="Z927" s="140"/>
      <c r="AA927" s="140"/>
      <c r="AB927" s="140"/>
    </row>
    <row r="928">
      <c r="A928" s="145"/>
      <c r="B928" s="146"/>
      <c r="C928" s="146"/>
      <c r="D928" s="146"/>
      <c r="E928" s="146"/>
      <c r="F928" s="140"/>
      <c r="G928" s="142"/>
      <c r="H928" s="142"/>
      <c r="I928" s="142"/>
      <c r="J928" s="137" t="s">
        <v>39</v>
      </c>
      <c r="K928" s="137" t="s">
        <v>39</v>
      </c>
      <c r="L928" s="146"/>
      <c r="M928" s="141"/>
      <c r="N928" s="129"/>
      <c r="O928" s="140"/>
      <c r="P928" s="140" t="s">
        <v>39</v>
      </c>
      <c r="Q928" s="140"/>
      <c r="R928" s="140"/>
      <c r="S928" s="140"/>
      <c r="T928" s="140"/>
      <c r="U928" s="140"/>
      <c r="V928" s="140"/>
      <c r="W928" s="140"/>
      <c r="X928" s="140"/>
      <c r="Y928" s="140"/>
      <c r="Z928" s="140"/>
      <c r="AA928" s="140"/>
      <c r="AB928" s="140"/>
    </row>
    <row r="929">
      <c r="A929" s="145"/>
      <c r="B929" s="146"/>
      <c r="C929" s="146"/>
      <c r="D929" s="146"/>
      <c r="E929" s="146"/>
      <c r="F929" s="140"/>
      <c r="G929" s="142"/>
      <c r="H929" s="142"/>
      <c r="I929" s="142"/>
      <c r="J929" s="137" t="s">
        <v>39</v>
      </c>
      <c r="K929" s="137" t="s">
        <v>39</v>
      </c>
      <c r="L929" s="146"/>
      <c r="M929" s="141"/>
      <c r="N929" s="129"/>
      <c r="O929" s="140"/>
      <c r="P929" s="140" t="s">
        <v>39</v>
      </c>
      <c r="Q929" s="140"/>
      <c r="R929" s="140"/>
      <c r="S929" s="140"/>
      <c r="T929" s="140"/>
      <c r="U929" s="140"/>
      <c r="V929" s="140"/>
      <c r="W929" s="140"/>
      <c r="X929" s="140"/>
      <c r="Y929" s="140"/>
      <c r="Z929" s="140"/>
      <c r="AA929" s="140"/>
      <c r="AB929" s="140"/>
    </row>
    <row r="930">
      <c r="A930" s="145"/>
      <c r="B930" s="146"/>
      <c r="C930" s="146"/>
      <c r="D930" s="146"/>
      <c r="E930" s="146"/>
      <c r="F930" s="140"/>
      <c r="G930" s="142"/>
      <c r="H930" s="142"/>
      <c r="I930" s="142"/>
      <c r="J930" s="137" t="s">
        <v>39</v>
      </c>
      <c r="K930" s="137" t="s">
        <v>39</v>
      </c>
      <c r="L930" s="146"/>
      <c r="M930" s="141"/>
      <c r="N930" s="129"/>
      <c r="O930" s="140"/>
      <c r="P930" s="140" t="s">
        <v>39</v>
      </c>
      <c r="Q930" s="140"/>
      <c r="R930" s="140"/>
      <c r="S930" s="140"/>
      <c r="T930" s="140"/>
      <c r="U930" s="140"/>
      <c r="V930" s="140"/>
      <c r="W930" s="140"/>
      <c r="X930" s="140"/>
      <c r="Y930" s="140"/>
      <c r="Z930" s="140"/>
      <c r="AA930" s="140"/>
      <c r="AB930" s="140"/>
    </row>
    <row r="931">
      <c r="A931" s="145"/>
      <c r="B931" s="146"/>
      <c r="C931" s="146"/>
      <c r="D931" s="146"/>
      <c r="E931" s="146"/>
      <c r="F931" s="140"/>
      <c r="G931" s="142"/>
      <c r="H931" s="142"/>
      <c r="I931" s="142"/>
      <c r="J931" s="137" t="s">
        <v>39</v>
      </c>
      <c r="K931" s="137" t="s">
        <v>39</v>
      </c>
      <c r="L931" s="146"/>
      <c r="M931" s="141"/>
      <c r="N931" s="129"/>
      <c r="O931" s="140"/>
      <c r="P931" s="140" t="s">
        <v>39</v>
      </c>
      <c r="Q931" s="140"/>
      <c r="R931" s="140"/>
      <c r="S931" s="140"/>
      <c r="T931" s="140"/>
      <c r="U931" s="140"/>
      <c r="V931" s="140"/>
      <c r="W931" s="140"/>
      <c r="X931" s="140"/>
      <c r="Y931" s="140"/>
      <c r="Z931" s="140"/>
      <c r="AA931" s="140"/>
      <c r="AB931" s="140"/>
    </row>
    <row r="932">
      <c r="A932" s="145"/>
      <c r="B932" s="146"/>
      <c r="C932" s="146"/>
      <c r="D932" s="146"/>
      <c r="E932" s="146"/>
      <c r="F932" s="140"/>
      <c r="G932" s="142"/>
      <c r="H932" s="142"/>
      <c r="I932" s="142"/>
      <c r="J932" s="137" t="s">
        <v>39</v>
      </c>
      <c r="K932" s="137" t="s">
        <v>39</v>
      </c>
      <c r="L932" s="146"/>
      <c r="M932" s="141"/>
      <c r="N932" s="129"/>
      <c r="O932" s="140"/>
      <c r="P932" s="140" t="s">
        <v>39</v>
      </c>
      <c r="Q932" s="140"/>
      <c r="R932" s="140"/>
      <c r="S932" s="140"/>
      <c r="T932" s="140"/>
      <c r="U932" s="140"/>
      <c r="V932" s="140"/>
      <c r="W932" s="140"/>
      <c r="X932" s="140"/>
      <c r="Y932" s="140"/>
      <c r="Z932" s="140"/>
      <c r="AA932" s="140"/>
      <c r="AB932" s="140"/>
    </row>
    <row r="933">
      <c r="A933" s="145"/>
      <c r="B933" s="146"/>
      <c r="C933" s="146"/>
      <c r="D933" s="146"/>
      <c r="E933" s="146"/>
      <c r="F933" s="140"/>
      <c r="G933" s="142"/>
      <c r="H933" s="142"/>
      <c r="I933" s="142"/>
      <c r="J933" s="137" t="s">
        <v>39</v>
      </c>
      <c r="K933" s="137" t="s">
        <v>39</v>
      </c>
      <c r="L933" s="146"/>
      <c r="M933" s="141"/>
      <c r="N933" s="129"/>
      <c r="O933" s="140"/>
      <c r="P933" s="140" t="s">
        <v>39</v>
      </c>
      <c r="Q933" s="140"/>
      <c r="R933" s="140"/>
      <c r="S933" s="140"/>
      <c r="T933" s="140"/>
      <c r="U933" s="140"/>
      <c r="V933" s="140"/>
      <c r="W933" s="140"/>
      <c r="X933" s="140"/>
      <c r="Y933" s="140"/>
      <c r="Z933" s="140"/>
      <c r="AA933" s="140"/>
      <c r="AB933" s="140"/>
    </row>
    <row r="934">
      <c r="A934" s="145"/>
      <c r="B934" s="146"/>
      <c r="C934" s="146"/>
      <c r="D934" s="146"/>
      <c r="E934" s="146"/>
      <c r="F934" s="140"/>
      <c r="G934" s="142"/>
      <c r="H934" s="142"/>
      <c r="I934" s="142"/>
      <c r="J934" s="137" t="s">
        <v>39</v>
      </c>
      <c r="K934" s="137" t="s">
        <v>39</v>
      </c>
      <c r="L934" s="146"/>
      <c r="M934" s="141"/>
      <c r="N934" s="129"/>
      <c r="O934" s="140"/>
      <c r="P934" s="140" t="s">
        <v>39</v>
      </c>
      <c r="Q934" s="140"/>
      <c r="R934" s="140"/>
      <c r="S934" s="140"/>
      <c r="T934" s="140"/>
      <c r="U934" s="140"/>
      <c r="V934" s="140"/>
      <c r="W934" s="140"/>
      <c r="X934" s="140"/>
      <c r="Y934" s="140"/>
      <c r="Z934" s="140"/>
      <c r="AA934" s="140"/>
      <c r="AB934" s="140"/>
    </row>
    <row r="935">
      <c r="A935" s="145"/>
      <c r="B935" s="146"/>
      <c r="C935" s="146"/>
      <c r="D935" s="146"/>
      <c r="E935" s="146"/>
      <c r="F935" s="140"/>
      <c r="G935" s="142"/>
      <c r="H935" s="142"/>
      <c r="I935" s="142"/>
      <c r="J935" s="137" t="s">
        <v>39</v>
      </c>
      <c r="K935" s="137" t="s">
        <v>39</v>
      </c>
      <c r="L935" s="146"/>
      <c r="M935" s="141"/>
      <c r="N935" s="129"/>
      <c r="O935" s="140"/>
      <c r="P935" s="140" t="s">
        <v>39</v>
      </c>
      <c r="Q935" s="140"/>
      <c r="R935" s="140"/>
      <c r="S935" s="140"/>
      <c r="T935" s="140"/>
      <c r="U935" s="140"/>
      <c r="V935" s="140"/>
      <c r="W935" s="140"/>
      <c r="X935" s="140"/>
      <c r="Y935" s="140"/>
      <c r="Z935" s="140"/>
      <c r="AA935" s="140"/>
      <c r="AB935" s="140"/>
    </row>
    <row r="936">
      <c r="A936" s="145"/>
      <c r="B936" s="146"/>
      <c r="C936" s="146"/>
      <c r="D936" s="146"/>
      <c r="E936" s="146"/>
      <c r="F936" s="140"/>
      <c r="G936" s="142"/>
      <c r="H936" s="142"/>
      <c r="I936" s="142"/>
      <c r="J936" s="137" t="s">
        <v>39</v>
      </c>
      <c r="K936" s="137" t="s">
        <v>39</v>
      </c>
      <c r="L936" s="146"/>
      <c r="M936" s="141"/>
      <c r="N936" s="129"/>
      <c r="O936" s="140"/>
      <c r="P936" s="140" t="s">
        <v>39</v>
      </c>
      <c r="Q936" s="140"/>
      <c r="R936" s="140"/>
      <c r="S936" s="140"/>
      <c r="T936" s="140"/>
      <c r="U936" s="140"/>
      <c r="V936" s="140"/>
      <c r="W936" s="140"/>
      <c r="X936" s="140"/>
      <c r="Y936" s="140"/>
      <c r="Z936" s="140"/>
      <c r="AA936" s="140"/>
      <c r="AB936" s="140"/>
    </row>
    <row r="937">
      <c r="A937" s="145"/>
      <c r="B937" s="146"/>
      <c r="C937" s="146"/>
      <c r="D937" s="146"/>
      <c r="E937" s="146"/>
      <c r="F937" s="140"/>
      <c r="G937" s="142"/>
      <c r="H937" s="142"/>
      <c r="I937" s="142"/>
      <c r="J937" s="137" t="s">
        <v>39</v>
      </c>
      <c r="K937" s="137" t="s">
        <v>39</v>
      </c>
      <c r="L937" s="146"/>
      <c r="M937" s="141"/>
      <c r="N937" s="129"/>
      <c r="O937" s="140"/>
      <c r="P937" s="140" t="s">
        <v>39</v>
      </c>
      <c r="Q937" s="140"/>
      <c r="R937" s="140"/>
      <c r="S937" s="140"/>
      <c r="T937" s="140"/>
      <c r="U937" s="140"/>
      <c r="V937" s="140"/>
      <c r="W937" s="140"/>
      <c r="X937" s="140"/>
      <c r="Y937" s="140"/>
      <c r="Z937" s="140"/>
      <c r="AA937" s="140"/>
      <c r="AB937" s="140"/>
    </row>
    <row r="938">
      <c r="A938" s="145"/>
      <c r="B938" s="146"/>
      <c r="C938" s="146"/>
      <c r="D938" s="146"/>
      <c r="E938" s="146"/>
      <c r="F938" s="140"/>
      <c r="G938" s="142"/>
      <c r="H938" s="142"/>
      <c r="I938" s="142"/>
      <c r="J938" s="137" t="s">
        <v>39</v>
      </c>
      <c r="K938" s="137" t="s">
        <v>39</v>
      </c>
      <c r="L938" s="146"/>
      <c r="M938" s="141"/>
      <c r="N938" s="129"/>
      <c r="O938" s="140"/>
      <c r="P938" s="140" t="s">
        <v>39</v>
      </c>
      <c r="Q938" s="140"/>
      <c r="R938" s="140"/>
      <c r="S938" s="140"/>
      <c r="T938" s="140"/>
      <c r="U938" s="140"/>
      <c r="V938" s="140"/>
      <c r="W938" s="140"/>
      <c r="X938" s="140"/>
      <c r="Y938" s="140"/>
      <c r="Z938" s="140"/>
      <c r="AA938" s="140"/>
      <c r="AB938" s="140"/>
    </row>
    <row r="939">
      <c r="A939" s="145"/>
      <c r="B939" s="146"/>
      <c r="C939" s="146"/>
      <c r="D939" s="146"/>
      <c r="E939" s="146"/>
      <c r="F939" s="140"/>
      <c r="G939" s="142"/>
      <c r="H939" s="142"/>
      <c r="I939" s="142"/>
      <c r="J939" s="137" t="s">
        <v>39</v>
      </c>
      <c r="K939" s="137" t="s">
        <v>39</v>
      </c>
      <c r="L939" s="146"/>
      <c r="M939" s="141"/>
      <c r="N939" s="129"/>
      <c r="O939" s="140"/>
      <c r="P939" s="140" t="s">
        <v>39</v>
      </c>
      <c r="Q939" s="140"/>
      <c r="R939" s="140"/>
      <c r="S939" s="140"/>
      <c r="T939" s="140"/>
      <c r="U939" s="140"/>
      <c r="V939" s="140"/>
      <c r="W939" s="140"/>
      <c r="X939" s="140"/>
      <c r="Y939" s="140"/>
      <c r="Z939" s="140"/>
      <c r="AA939" s="140"/>
      <c r="AB939" s="140"/>
    </row>
    <row r="940">
      <c r="A940" s="145"/>
      <c r="B940" s="146"/>
      <c r="C940" s="146"/>
      <c r="D940" s="146"/>
      <c r="E940" s="146"/>
      <c r="F940" s="140"/>
      <c r="G940" s="142"/>
      <c r="H940" s="142"/>
      <c r="I940" s="142"/>
      <c r="J940" s="137" t="s">
        <v>39</v>
      </c>
      <c r="K940" s="137" t="s">
        <v>39</v>
      </c>
      <c r="L940" s="146"/>
      <c r="M940" s="141"/>
      <c r="N940" s="129"/>
      <c r="O940" s="140"/>
      <c r="P940" s="140" t="s">
        <v>39</v>
      </c>
      <c r="Q940" s="140"/>
      <c r="R940" s="140"/>
      <c r="S940" s="140"/>
      <c r="T940" s="140"/>
      <c r="U940" s="140"/>
      <c r="V940" s="140"/>
      <c r="W940" s="140"/>
      <c r="X940" s="140"/>
      <c r="Y940" s="140"/>
      <c r="Z940" s="140"/>
      <c r="AA940" s="140"/>
      <c r="AB940" s="140"/>
    </row>
    <row r="941">
      <c r="A941" s="145"/>
      <c r="B941" s="146"/>
      <c r="C941" s="146"/>
      <c r="D941" s="146"/>
      <c r="E941" s="146"/>
      <c r="F941" s="140"/>
      <c r="G941" s="142"/>
      <c r="H941" s="142"/>
      <c r="I941" s="142"/>
      <c r="J941" s="137" t="s">
        <v>39</v>
      </c>
      <c r="K941" s="137" t="s">
        <v>39</v>
      </c>
      <c r="L941" s="146"/>
      <c r="M941" s="141"/>
      <c r="N941" s="129"/>
      <c r="O941" s="140"/>
      <c r="P941" s="140" t="s">
        <v>39</v>
      </c>
      <c r="Q941" s="140"/>
      <c r="R941" s="140"/>
      <c r="S941" s="140"/>
      <c r="T941" s="140"/>
      <c r="U941" s="140"/>
      <c r="V941" s="140"/>
      <c r="W941" s="140"/>
      <c r="X941" s="140"/>
      <c r="Y941" s="140"/>
      <c r="Z941" s="140"/>
      <c r="AA941" s="140"/>
      <c r="AB941" s="140"/>
    </row>
    <row r="942">
      <c r="A942" s="145"/>
      <c r="B942" s="146"/>
      <c r="C942" s="146"/>
      <c r="D942" s="146"/>
      <c r="E942" s="146"/>
      <c r="F942" s="140"/>
      <c r="G942" s="142"/>
      <c r="H942" s="142"/>
      <c r="I942" s="142"/>
      <c r="J942" s="137" t="s">
        <v>39</v>
      </c>
      <c r="K942" s="137" t="s">
        <v>39</v>
      </c>
      <c r="L942" s="146"/>
      <c r="M942" s="141"/>
      <c r="N942" s="129"/>
      <c r="O942" s="140"/>
      <c r="P942" s="140" t="s">
        <v>39</v>
      </c>
      <c r="Q942" s="140"/>
      <c r="R942" s="140"/>
      <c r="S942" s="140"/>
      <c r="T942" s="140"/>
      <c r="U942" s="140"/>
      <c r="V942" s="140"/>
      <c r="W942" s="140"/>
      <c r="X942" s="140"/>
      <c r="Y942" s="140"/>
      <c r="Z942" s="140"/>
      <c r="AA942" s="140"/>
      <c r="AB942" s="140"/>
    </row>
    <row r="943">
      <c r="A943" s="145"/>
      <c r="B943" s="146"/>
      <c r="C943" s="146"/>
      <c r="D943" s="146"/>
      <c r="E943" s="146"/>
      <c r="F943" s="140"/>
      <c r="G943" s="142"/>
      <c r="H943" s="142"/>
      <c r="I943" s="142"/>
      <c r="J943" s="137" t="s">
        <v>39</v>
      </c>
      <c r="K943" s="137" t="s">
        <v>39</v>
      </c>
      <c r="L943" s="146"/>
      <c r="M943" s="141"/>
      <c r="N943" s="129"/>
      <c r="O943" s="140"/>
      <c r="P943" s="140" t="s">
        <v>39</v>
      </c>
      <c r="Q943" s="140"/>
      <c r="R943" s="140"/>
      <c r="S943" s="140"/>
      <c r="T943" s="140"/>
      <c r="U943" s="140"/>
      <c r="V943" s="140"/>
      <c r="W943" s="140"/>
      <c r="X943" s="140"/>
      <c r="Y943" s="140"/>
      <c r="Z943" s="140"/>
      <c r="AA943" s="140"/>
      <c r="AB943" s="140"/>
    </row>
    <row r="944">
      <c r="A944" s="145"/>
      <c r="B944" s="146"/>
      <c r="C944" s="146"/>
      <c r="D944" s="146"/>
      <c r="E944" s="146"/>
      <c r="F944" s="140"/>
      <c r="G944" s="142"/>
      <c r="H944" s="142"/>
      <c r="I944" s="142"/>
      <c r="J944" s="137" t="s">
        <v>39</v>
      </c>
      <c r="K944" s="137" t="s">
        <v>39</v>
      </c>
      <c r="L944" s="146"/>
      <c r="M944" s="141"/>
      <c r="N944" s="129"/>
      <c r="O944" s="140"/>
      <c r="P944" s="140" t="s">
        <v>39</v>
      </c>
      <c r="Q944" s="140"/>
      <c r="R944" s="140"/>
      <c r="S944" s="140"/>
      <c r="T944" s="140"/>
      <c r="U944" s="140"/>
      <c r="V944" s="140"/>
      <c r="W944" s="140"/>
      <c r="X944" s="140"/>
      <c r="Y944" s="140"/>
      <c r="Z944" s="140"/>
      <c r="AA944" s="140"/>
      <c r="AB944" s="140"/>
    </row>
    <row r="945">
      <c r="A945" s="145"/>
      <c r="B945" s="146"/>
      <c r="C945" s="146"/>
      <c r="D945" s="146"/>
      <c r="E945" s="146"/>
      <c r="F945" s="140"/>
      <c r="G945" s="142"/>
      <c r="H945" s="142"/>
      <c r="I945" s="142"/>
      <c r="J945" s="137" t="s">
        <v>39</v>
      </c>
      <c r="K945" s="137" t="s">
        <v>39</v>
      </c>
      <c r="L945" s="146"/>
      <c r="M945" s="141"/>
      <c r="N945" s="129"/>
      <c r="O945" s="140"/>
      <c r="P945" s="140" t="s">
        <v>39</v>
      </c>
      <c r="Q945" s="140"/>
      <c r="R945" s="140"/>
      <c r="S945" s="140"/>
      <c r="T945" s="140"/>
      <c r="U945" s="140"/>
      <c r="V945" s="140"/>
      <c r="W945" s="140"/>
      <c r="X945" s="140"/>
      <c r="Y945" s="140"/>
      <c r="Z945" s="140"/>
      <c r="AA945" s="140"/>
      <c r="AB945" s="140"/>
    </row>
    <row r="946">
      <c r="A946" s="145"/>
      <c r="B946" s="146"/>
      <c r="C946" s="146"/>
      <c r="D946" s="146"/>
      <c r="E946" s="146"/>
      <c r="F946" s="140"/>
      <c r="G946" s="142"/>
      <c r="H946" s="142"/>
      <c r="I946" s="142"/>
      <c r="J946" s="137" t="s">
        <v>39</v>
      </c>
      <c r="K946" s="137" t="s">
        <v>39</v>
      </c>
      <c r="L946" s="146"/>
      <c r="M946" s="141"/>
      <c r="N946" s="129"/>
      <c r="O946" s="140"/>
      <c r="P946" s="140" t="s">
        <v>39</v>
      </c>
      <c r="Q946" s="140"/>
      <c r="R946" s="140"/>
      <c r="S946" s="140"/>
      <c r="T946" s="140"/>
      <c r="U946" s="140"/>
      <c r="V946" s="140"/>
      <c r="W946" s="140"/>
      <c r="X946" s="140"/>
      <c r="Y946" s="140"/>
      <c r="Z946" s="140"/>
      <c r="AA946" s="140"/>
      <c r="AB946" s="140"/>
    </row>
    <row r="947">
      <c r="A947" s="145"/>
      <c r="B947" s="146"/>
      <c r="C947" s="146"/>
      <c r="D947" s="146"/>
      <c r="E947" s="146"/>
      <c r="F947" s="140"/>
      <c r="G947" s="142"/>
      <c r="H947" s="142"/>
      <c r="I947" s="142"/>
      <c r="J947" s="137" t="s">
        <v>39</v>
      </c>
      <c r="K947" s="137" t="s">
        <v>39</v>
      </c>
      <c r="L947" s="146"/>
      <c r="M947" s="141"/>
      <c r="N947" s="129"/>
      <c r="O947" s="140"/>
      <c r="P947" s="140" t="s">
        <v>39</v>
      </c>
      <c r="Q947" s="140"/>
      <c r="R947" s="140"/>
      <c r="S947" s="140"/>
      <c r="T947" s="140"/>
      <c r="U947" s="140"/>
      <c r="V947" s="140"/>
      <c r="W947" s="140"/>
      <c r="X947" s="140"/>
      <c r="Y947" s="140"/>
      <c r="Z947" s="140"/>
      <c r="AA947" s="140"/>
      <c r="AB947" s="140"/>
    </row>
    <row r="948">
      <c r="A948" s="145"/>
      <c r="B948" s="146"/>
      <c r="C948" s="146"/>
      <c r="D948" s="146"/>
      <c r="E948" s="146"/>
      <c r="F948" s="140"/>
      <c r="G948" s="142"/>
      <c r="H948" s="142"/>
      <c r="I948" s="142"/>
      <c r="J948" s="137" t="s">
        <v>39</v>
      </c>
      <c r="K948" s="137" t="s">
        <v>39</v>
      </c>
      <c r="L948" s="146"/>
      <c r="M948" s="141"/>
      <c r="N948" s="129"/>
      <c r="O948" s="140"/>
      <c r="P948" s="140" t="s">
        <v>39</v>
      </c>
      <c r="Q948" s="140"/>
      <c r="R948" s="140"/>
      <c r="S948" s="140"/>
      <c r="T948" s="140"/>
      <c r="U948" s="140"/>
      <c r="V948" s="140"/>
      <c r="W948" s="140"/>
      <c r="X948" s="140"/>
      <c r="Y948" s="140"/>
      <c r="Z948" s="140"/>
      <c r="AA948" s="140"/>
      <c r="AB948" s="140"/>
    </row>
    <row r="949">
      <c r="A949" s="145"/>
      <c r="B949" s="146"/>
      <c r="C949" s="146"/>
      <c r="D949" s="146"/>
      <c r="E949" s="146"/>
      <c r="F949" s="140"/>
      <c r="G949" s="142"/>
      <c r="H949" s="142"/>
      <c r="I949" s="142"/>
      <c r="J949" s="137" t="s">
        <v>39</v>
      </c>
      <c r="K949" s="137" t="s">
        <v>39</v>
      </c>
      <c r="L949" s="146"/>
      <c r="M949" s="141"/>
      <c r="N949" s="129"/>
      <c r="O949" s="140"/>
      <c r="P949" s="140" t="s">
        <v>39</v>
      </c>
      <c r="Q949" s="140"/>
      <c r="R949" s="140"/>
      <c r="S949" s="140"/>
      <c r="T949" s="140"/>
      <c r="U949" s="140"/>
      <c r="V949" s="140"/>
      <c r="W949" s="140"/>
      <c r="X949" s="140"/>
      <c r="Y949" s="140"/>
      <c r="Z949" s="140"/>
      <c r="AA949" s="140"/>
      <c r="AB949" s="140"/>
    </row>
    <row r="950">
      <c r="A950" s="145"/>
      <c r="B950" s="146"/>
      <c r="C950" s="146"/>
      <c r="D950" s="146"/>
      <c r="E950" s="146"/>
      <c r="F950" s="140"/>
      <c r="G950" s="142"/>
      <c r="H950" s="142"/>
      <c r="I950" s="142"/>
      <c r="J950" s="137" t="s">
        <v>39</v>
      </c>
      <c r="K950" s="137" t="s">
        <v>39</v>
      </c>
      <c r="L950" s="146"/>
      <c r="M950" s="141"/>
      <c r="N950" s="129"/>
      <c r="O950" s="140"/>
      <c r="P950" s="140" t="s">
        <v>39</v>
      </c>
      <c r="Q950" s="140"/>
      <c r="R950" s="140"/>
      <c r="S950" s="140"/>
      <c r="T950" s="140"/>
      <c r="U950" s="140"/>
      <c r="V950" s="140"/>
      <c r="W950" s="140"/>
      <c r="X950" s="140"/>
      <c r="Y950" s="140"/>
      <c r="Z950" s="140"/>
      <c r="AA950" s="140"/>
      <c r="AB950" s="140"/>
    </row>
    <row r="951">
      <c r="A951" s="145"/>
      <c r="B951" s="146"/>
      <c r="C951" s="146"/>
      <c r="D951" s="146"/>
      <c r="E951" s="146"/>
      <c r="F951" s="140"/>
      <c r="G951" s="142"/>
      <c r="H951" s="142"/>
      <c r="I951" s="142"/>
      <c r="J951" s="137" t="s">
        <v>39</v>
      </c>
      <c r="K951" s="137" t="s">
        <v>39</v>
      </c>
      <c r="L951" s="146"/>
      <c r="M951" s="141"/>
      <c r="N951" s="129"/>
      <c r="O951" s="140"/>
      <c r="P951" s="140" t="s">
        <v>39</v>
      </c>
      <c r="Q951" s="140"/>
      <c r="R951" s="140"/>
      <c r="S951" s="140"/>
      <c r="T951" s="140"/>
      <c r="U951" s="140"/>
      <c r="V951" s="140"/>
      <c r="W951" s="140"/>
      <c r="X951" s="140"/>
      <c r="Y951" s="140"/>
      <c r="Z951" s="140"/>
      <c r="AA951" s="140"/>
      <c r="AB951" s="140"/>
    </row>
    <row r="952">
      <c r="A952" s="145"/>
      <c r="B952" s="146"/>
      <c r="C952" s="146"/>
      <c r="D952" s="146"/>
      <c r="E952" s="146"/>
      <c r="F952" s="140"/>
      <c r="G952" s="142"/>
      <c r="H952" s="142"/>
      <c r="I952" s="142"/>
      <c r="J952" s="137" t="s">
        <v>39</v>
      </c>
      <c r="K952" s="137" t="s">
        <v>39</v>
      </c>
      <c r="L952" s="146"/>
      <c r="M952" s="141"/>
      <c r="N952" s="129"/>
      <c r="O952" s="140"/>
      <c r="P952" s="140" t="s">
        <v>39</v>
      </c>
      <c r="Q952" s="140"/>
      <c r="R952" s="140"/>
      <c r="S952" s="140"/>
      <c r="T952" s="140"/>
      <c r="U952" s="140"/>
      <c r="V952" s="140"/>
      <c r="W952" s="140"/>
      <c r="X952" s="140"/>
      <c r="Y952" s="140"/>
      <c r="Z952" s="140"/>
      <c r="AA952" s="140"/>
      <c r="AB952" s="140"/>
    </row>
    <row r="953">
      <c r="A953" s="145"/>
      <c r="B953" s="146"/>
      <c r="C953" s="146"/>
      <c r="D953" s="146"/>
      <c r="E953" s="146"/>
      <c r="F953" s="140"/>
      <c r="G953" s="142"/>
      <c r="H953" s="142"/>
      <c r="I953" s="142"/>
      <c r="J953" s="137" t="s">
        <v>39</v>
      </c>
      <c r="K953" s="137" t="s">
        <v>39</v>
      </c>
      <c r="L953" s="146"/>
      <c r="M953" s="141"/>
      <c r="N953" s="129"/>
      <c r="O953" s="140"/>
      <c r="P953" s="140" t="s">
        <v>39</v>
      </c>
      <c r="Q953" s="140"/>
      <c r="R953" s="140"/>
      <c r="S953" s="140"/>
      <c r="T953" s="140"/>
      <c r="U953" s="140"/>
      <c r="V953" s="140"/>
      <c r="W953" s="140"/>
      <c r="X953" s="140"/>
      <c r="Y953" s="140"/>
      <c r="Z953" s="140"/>
      <c r="AA953" s="140"/>
      <c r="AB953" s="140"/>
    </row>
    <row r="954">
      <c r="A954" s="145"/>
      <c r="B954" s="146"/>
      <c r="C954" s="146"/>
      <c r="D954" s="146"/>
      <c r="E954" s="146"/>
      <c r="F954" s="140"/>
      <c r="G954" s="142"/>
      <c r="H954" s="142"/>
      <c r="I954" s="142"/>
      <c r="J954" s="137" t="s">
        <v>39</v>
      </c>
      <c r="K954" s="137" t="s">
        <v>39</v>
      </c>
      <c r="L954" s="146"/>
      <c r="M954" s="141"/>
      <c r="N954" s="129"/>
      <c r="O954" s="140"/>
      <c r="P954" s="140" t="s">
        <v>39</v>
      </c>
      <c r="Q954" s="140"/>
      <c r="R954" s="140"/>
      <c r="S954" s="140"/>
      <c r="T954" s="140"/>
      <c r="U954" s="140"/>
      <c r="V954" s="140"/>
      <c r="W954" s="140"/>
      <c r="X954" s="140"/>
      <c r="Y954" s="140"/>
      <c r="Z954" s="140"/>
      <c r="AA954" s="140"/>
      <c r="AB954" s="140"/>
    </row>
    <row r="955">
      <c r="A955" s="145"/>
      <c r="B955" s="146"/>
      <c r="C955" s="146"/>
      <c r="D955" s="146"/>
      <c r="E955" s="146"/>
      <c r="F955" s="140"/>
      <c r="G955" s="142"/>
      <c r="H955" s="142"/>
      <c r="I955" s="142"/>
      <c r="J955" s="137" t="s">
        <v>39</v>
      </c>
      <c r="K955" s="137" t="s">
        <v>39</v>
      </c>
      <c r="L955" s="146"/>
      <c r="M955" s="141"/>
      <c r="N955" s="129"/>
      <c r="O955" s="140"/>
      <c r="P955" s="140" t="s">
        <v>39</v>
      </c>
      <c r="Q955" s="140"/>
      <c r="R955" s="140"/>
      <c r="S955" s="140"/>
      <c r="T955" s="140"/>
      <c r="U955" s="140"/>
      <c r="V955" s="140"/>
      <c r="W955" s="140"/>
      <c r="X955" s="140"/>
      <c r="Y955" s="140"/>
      <c r="Z955" s="140"/>
      <c r="AA955" s="140"/>
      <c r="AB955" s="140"/>
    </row>
    <row r="956">
      <c r="A956" s="145"/>
      <c r="B956" s="146"/>
      <c r="C956" s="146"/>
      <c r="D956" s="146"/>
      <c r="E956" s="146"/>
      <c r="F956" s="140"/>
      <c r="G956" s="142"/>
      <c r="H956" s="142"/>
      <c r="I956" s="142"/>
      <c r="J956" s="137" t="s">
        <v>39</v>
      </c>
      <c r="K956" s="137" t="s">
        <v>39</v>
      </c>
      <c r="L956" s="146"/>
      <c r="M956" s="141"/>
      <c r="N956" s="129"/>
      <c r="O956" s="140"/>
      <c r="P956" s="140" t="s">
        <v>39</v>
      </c>
      <c r="Q956" s="140"/>
      <c r="R956" s="140"/>
      <c r="S956" s="140"/>
      <c r="T956" s="140"/>
      <c r="U956" s="140"/>
      <c r="V956" s="140"/>
      <c r="W956" s="140"/>
      <c r="X956" s="140"/>
      <c r="Y956" s="140"/>
      <c r="Z956" s="140"/>
      <c r="AA956" s="140"/>
      <c r="AB956" s="140"/>
    </row>
    <row r="957">
      <c r="A957" s="145"/>
      <c r="B957" s="146"/>
      <c r="C957" s="146"/>
      <c r="D957" s="146"/>
      <c r="E957" s="146"/>
      <c r="F957" s="140"/>
      <c r="G957" s="142"/>
      <c r="H957" s="142"/>
      <c r="I957" s="142"/>
      <c r="J957" s="137" t="s">
        <v>39</v>
      </c>
      <c r="K957" s="137" t="s">
        <v>39</v>
      </c>
      <c r="L957" s="146"/>
      <c r="M957" s="141"/>
      <c r="N957" s="129"/>
      <c r="O957" s="140"/>
      <c r="P957" s="140" t="s">
        <v>39</v>
      </c>
      <c r="Q957" s="140"/>
      <c r="R957" s="140"/>
      <c r="S957" s="140"/>
      <c r="T957" s="140"/>
      <c r="U957" s="140"/>
      <c r="V957" s="140"/>
      <c r="W957" s="140"/>
      <c r="X957" s="140"/>
      <c r="Y957" s="140"/>
      <c r="Z957" s="140"/>
      <c r="AA957" s="140"/>
      <c r="AB957" s="140"/>
    </row>
    <row r="958">
      <c r="A958" s="145"/>
      <c r="B958" s="146"/>
      <c r="C958" s="146"/>
      <c r="D958" s="146"/>
      <c r="E958" s="146"/>
      <c r="F958" s="140"/>
      <c r="G958" s="142"/>
      <c r="H958" s="142"/>
      <c r="I958" s="142"/>
      <c r="J958" s="137" t="s">
        <v>39</v>
      </c>
      <c r="K958" s="137" t="s">
        <v>39</v>
      </c>
      <c r="L958" s="146"/>
      <c r="M958" s="141"/>
      <c r="N958" s="129"/>
      <c r="O958" s="140"/>
      <c r="P958" s="140" t="s">
        <v>39</v>
      </c>
      <c r="Q958" s="140"/>
      <c r="R958" s="140"/>
      <c r="S958" s="140"/>
      <c r="T958" s="140"/>
      <c r="U958" s="140"/>
      <c r="V958" s="140"/>
      <c r="W958" s="140"/>
      <c r="X958" s="140"/>
      <c r="Y958" s="140"/>
      <c r="Z958" s="140"/>
      <c r="AA958" s="140"/>
      <c r="AB958" s="140"/>
    </row>
    <row r="959">
      <c r="A959" s="145"/>
      <c r="B959" s="146"/>
      <c r="C959" s="146"/>
      <c r="D959" s="146"/>
      <c r="E959" s="146"/>
      <c r="F959" s="140"/>
      <c r="G959" s="142"/>
      <c r="H959" s="142"/>
      <c r="I959" s="142"/>
      <c r="J959" s="137" t="s">
        <v>39</v>
      </c>
      <c r="K959" s="137" t="s">
        <v>39</v>
      </c>
      <c r="L959" s="146"/>
      <c r="M959" s="141"/>
      <c r="N959" s="129"/>
      <c r="O959" s="140"/>
      <c r="P959" s="140" t="s">
        <v>39</v>
      </c>
      <c r="Q959" s="140"/>
      <c r="R959" s="140"/>
      <c r="S959" s="140"/>
      <c r="T959" s="140"/>
      <c r="U959" s="140"/>
      <c r="V959" s="140"/>
      <c r="W959" s="140"/>
      <c r="X959" s="140"/>
      <c r="Y959" s="140"/>
      <c r="Z959" s="140"/>
      <c r="AA959" s="140"/>
      <c r="AB959" s="140"/>
    </row>
    <row r="960">
      <c r="A960" s="145"/>
      <c r="B960" s="146"/>
      <c r="C960" s="146"/>
      <c r="D960" s="146"/>
      <c r="E960" s="146"/>
      <c r="F960" s="140"/>
      <c r="G960" s="142"/>
      <c r="H960" s="142"/>
      <c r="I960" s="142"/>
      <c r="J960" s="137" t="s">
        <v>39</v>
      </c>
      <c r="K960" s="137" t="s">
        <v>39</v>
      </c>
      <c r="L960" s="146"/>
      <c r="M960" s="141"/>
      <c r="N960" s="129"/>
      <c r="O960" s="140"/>
      <c r="P960" s="140" t="s">
        <v>39</v>
      </c>
      <c r="Q960" s="140"/>
      <c r="R960" s="140"/>
      <c r="S960" s="140"/>
      <c r="T960" s="140"/>
      <c r="U960" s="140"/>
      <c r="V960" s="140"/>
      <c r="W960" s="140"/>
      <c r="X960" s="140"/>
      <c r="Y960" s="140"/>
      <c r="Z960" s="140"/>
      <c r="AA960" s="140"/>
      <c r="AB960" s="140"/>
    </row>
    <row r="961">
      <c r="A961" s="145"/>
      <c r="B961" s="146"/>
      <c r="C961" s="146"/>
      <c r="D961" s="146"/>
      <c r="E961" s="146"/>
      <c r="F961" s="140"/>
      <c r="G961" s="142"/>
      <c r="H961" s="142"/>
      <c r="I961" s="142"/>
      <c r="J961" s="137" t="s">
        <v>39</v>
      </c>
      <c r="K961" s="137" t="s">
        <v>39</v>
      </c>
      <c r="L961" s="146"/>
      <c r="M961" s="141"/>
      <c r="N961" s="129"/>
      <c r="O961" s="140"/>
      <c r="P961" s="140" t="s">
        <v>39</v>
      </c>
      <c r="Q961" s="140"/>
      <c r="R961" s="140"/>
      <c r="S961" s="140"/>
      <c r="T961" s="140"/>
      <c r="U961" s="140"/>
      <c r="V961" s="140"/>
      <c r="W961" s="140"/>
      <c r="X961" s="140"/>
      <c r="Y961" s="140"/>
      <c r="Z961" s="140"/>
      <c r="AA961" s="140"/>
      <c r="AB961" s="140"/>
    </row>
    <row r="962">
      <c r="A962" s="145"/>
      <c r="B962" s="146"/>
      <c r="C962" s="146"/>
      <c r="D962" s="146"/>
      <c r="E962" s="146"/>
      <c r="F962" s="140"/>
      <c r="G962" s="142"/>
      <c r="H962" s="142"/>
      <c r="I962" s="142"/>
      <c r="J962" s="137" t="s">
        <v>39</v>
      </c>
      <c r="K962" s="137" t="s">
        <v>39</v>
      </c>
      <c r="L962" s="146"/>
      <c r="M962" s="141"/>
      <c r="N962" s="129"/>
      <c r="O962" s="140"/>
      <c r="P962" s="140" t="s">
        <v>39</v>
      </c>
      <c r="Q962" s="140"/>
      <c r="R962" s="140"/>
      <c r="S962" s="140"/>
      <c r="T962" s="140"/>
      <c r="U962" s="140"/>
      <c r="V962" s="140"/>
      <c r="W962" s="140"/>
      <c r="X962" s="140"/>
      <c r="Y962" s="140"/>
      <c r="Z962" s="140"/>
      <c r="AA962" s="140"/>
      <c r="AB962" s="140"/>
    </row>
    <row r="963">
      <c r="A963" s="145"/>
      <c r="B963" s="146"/>
      <c r="C963" s="146"/>
      <c r="D963" s="146"/>
      <c r="E963" s="146"/>
      <c r="F963" s="140"/>
      <c r="G963" s="142"/>
      <c r="H963" s="142"/>
      <c r="I963" s="142"/>
      <c r="J963" s="137" t="s">
        <v>39</v>
      </c>
      <c r="K963" s="137" t="s">
        <v>39</v>
      </c>
      <c r="L963" s="146"/>
      <c r="M963" s="141"/>
      <c r="N963" s="129"/>
      <c r="O963" s="140"/>
      <c r="P963" s="140" t="s">
        <v>39</v>
      </c>
      <c r="Q963" s="140"/>
      <c r="R963" s="140"/>
      <c r="S963" s="140"/>
      <c r="T963" s="140"/>
      <c r="U963" s="140"/>
      <c r="V963" s="140"/>
      <c r="W963" s="140"/>
      <c r="X963" s="140"/>
      <c r="Y963" s="140"/>
      <c r="Z963" s="140"/>
      <c r="AA963" s="140"/>
      <c r="AB963" s="140"/>
    </row>
    <row r="964">
      <c r="A964" s="145"/>
      <c r="B964" s="146"/>
      <c r="C964" s="146"/>
      <c r="D964" s="146"/>
      <c r="E964" s="146"/>
      <c r="F964" s="140"/>
      <c r="G964" s="142"/>
      <c r="H964" s="142"/>
      <c r="I964" s="142"/>
      <c r="J964" s="137" t="s">
        <v>39</v>
      </c>
      <c r="K964" s="137" t="s">
        <v>39</v>
      </c>
      <c r="L964" s="146"/>
      <c r="M964" s="141"/>
      <c r="N964" s="129"/>
      <c r="O964" s="140"/>
      <c r="P964" s="140" t="s">
        <v>39</v>
      </c>
      <c r="Q964" s="140"/>
      <c r="R964" s="140"/>
      <c r="S964" s="140"/>
      <c r="T964" s="140"/>
      <c r="U964" s="140"/>
      <c r="V964" s="140"/>
      <c r="W964" s="140"/>
      <c r="X964" s="140"/>
      <c r="Y964" s="140"/>
      <c r="Z964" s="140"/>
      <c r="AA964" s="140"/>
      <c r="AB964" s="140"/>
    </row>
    <row r="965">
      <c r="A965" s="145"/>
      <c r="B965" s="146"/>
      <c r="C965" s="146"/>
      <c r="D965" s="146"/>
      <c r="E965" s="146"/>
      <c r="F965" s="140"/>
      <c r="G965" s="142"/>
      <c r="H965" s="142"/>
      <c r="I965" s="142"/>
      <c r="J965" s="137" t="s">
        <v>39</v>
      </c>
      <c r="K965" s="137" t="s">
        <v>39</v>
      </c>
      <c r="L965" s="146"/>
      <c r="M965" s="141"/>
      <c r="N965" s="129"/>
      <c r="O965" s="140"/>
      <c r="P965" s="140" t="s">
        <v>39</v>
      </c>
      <c r="Q965" s="140"/>
      <c r="R965" s="140"/>
      <c r="S965" s="140"/>
      <c r="T965" s="140"/>
      <c r="U965" s="140"/>
      <c r="V965" s="140"/>
      <c r="W965" s="140"/>
      <c r="X965" s="140"/>
      <c r="Y965" s="140"/>
      <c r="Z965" s="140"/>
      <c r="AA965" s="140"/>
      <c r="AB965" s="140"/>
    </row>
    <row r="966">
      <c r="A966" s="145"/>
      <c r="B966" s="146"/>
      <c r="C966" s="146"/>
      <c r="D966" s="146"/>
      <c r="E966" s="146"/>
      <c r="F966" s="140"/>
      <c r="G966" s="142"/>
      <c r="H966" s="142"/>
      <c r="I966" s="142"/>
      <c r="J966" s="137" t="s">
        <v>39</v>
      </c>
      <c r="K966" s="137" t="s">
        <v>39</v>
      </c>
      <c r="L966" s="146"/>
      <c r="M966" s="141"/>
      <c r="N966" s="129"/>
      <c r="O966" s="140"/>
      <c r="P966" s="140" t="s">
        <v>39</v>
      </c>
      <c r="Q966" s="140"/>
      <c r="R966" s="140"/>
      <c r="S966" s="140"/>
      <c r="T966" s="140"/>
      <c r="U966" s="140"/>
      <c r="V966" s="140"/>
      <c r="W966" s="140"/>
      <c r="X966" s="140"/>
      <c r="Y966" s="140"/>
      <c r="Z966" s="140"/>
      <c r="AA966" s="140"/>
      <c r="AB966" s="140"/>
    </row>
    <row r="967">
      <c r="A967" s="145"/>
      <c r="B967" s="146"/>
      <c r="C967" s="146"/>
      <c r="D967" s="146"/>
      <c r="E967" s="146"/>
      <c r="F967" s="140"/>
      <c r="G967" s="142"/>
      <c r="H967" s="142"/>
      <c r="I967" s="142"/>
      <c r="J967" s="137" t="s">
        <v>39</v>
      </c>
      <c r="K967" s="137" t="s">
        <v>39</v>
      </c>
      <c r="L967" s="146"/>
      <c r="M967" s="141"/>
      <c r="N967" s="129"/>
      <c r="O967" s="140"/>
      <c r="P967" s="140" t="s">
        <v>39</v>
      </c>
      <c r="Q967" s="140"/>
      <c r="R967" s="140"/>
      <c r="S967" s="140"/>
      <c r="T967" s="140"/>
      <c r="U967" s="140"/>
      <c r="V967" s="140"/>
      <c r="W967" s="140"/>
      <c r="X967" s="140"/>
      <c r="Y967" s="140"/>
      <c r="Z967" s="140"/>
      <c r="AA967" s="140"/>
      <c r="AB967" s="140"/>
    </row>
    <row r="968">
      <c r="A968" s="145"/>
      <c r="B968" s="146"/>
      <c r="C968" s="146"/>
      <c r="D968" s="146"/>
      <c r="E968" s="146"/>
      <c r="F968" s="140"/>
      <c r="G968" s="142"/>
      <c r="H968" s="142"/>
      <c r="I968" s="142"/>
      <c r="J968" s="137" t="s">
        <v>39</v>
      </c>
      <c r="K968" s="137" t="s">
        <v>39</v>
      </c>
      <c r="L968" s="146"/>
      <c r="M968" s="141"/>
      <c r="N968" s="129"/>
      <c r="O968" s="140"/>
      <c r="P968" s="140" t="s">
        <v>39</v>
      </c>
      <c r="Q968" s="140"/>
      <c r="R968" s="140"/>
      <c r="S968" s="140"/>
      <c r="T968" s="140"/>
      <c r="U968" s="140"/>
      <c r="V968" s="140"/>
      <c r="W968" s="140"/>
      <c r="X968" s="140"/>
      <c r="Y968" s="140"/>
      <c r="Z968" s="140"/>
      <c r="AA968" s="140"/>
      <c r="AB968" s="140"/>
    </row>
    <row r="969">
      <c r="A969" s="145"/>
      <c r="B969" s="146"/>
      <c r="C969" s="146"/>
      <c r="D969" s="146"/>
      <c r="E969" s="146"/>
      <c r="F969" s="140"/>
      <c r="G969" s="142"/>
      <c r="H969" s="142"/>
      <c r="I969" s="142"/>
      <c r="J969" s="137" t="s">
        <v>39</v>
      </c>
      <c r="K969" s="137" t="s">
        <v>39</v>
      </c>
      <c r="L969" s="146"/>
      <c r="M969" s="141"/>
      <c r="N969" s="129"/>
      <c r="O969" s="140"/>
      <c r="P969" s="140" t="s">
        <v>39</v>
      </c>
      <c r="Q969" s="140"/>
      <c r="R969" s="140"/>
      <c r="S969" s="140"/>
      <c r="T969" s="140"/>
      <c r="U969" s="140"/>
      <c r="V969" s="140"/>
      <c r="W969" s="140"/>
      <c r="X969" s="140"/>
      <c r="Y969" s="140"/>
      <c r="Z969" s="140"/>
      <c r="AA969" s="140"/>
      <c r="AB969" s="140"/>
    </row>
    <row r="970">
      <c r="A970" s="145"/>
      <c r="B970" s="146"/>
      <c r="C970" s="146"/>
      <c r="D970" s="146"/>
      <c r="E970" s="146"/>
      <c r="F970" s="140"/>
      <c r="G970" s="142"/>
      <c r="H970" s="142"/>
      <c r="I970" s="142"/>
      <c r="J970" s="137" t="s">
        <v>39</v>
      </c>
      <c r="K970" s="137" t="s">
        <v>39</v>
      </c>
      <c r="L970" s="146"/>
      <c r="M970" s="141"/>
      <c r="N970" s="129"/>
      <c r="O970" s="140"/>
      <c r="P970" s="140" t="s">
        <v>39</v>
      </c>
      <c r="Q970" s="140"/>
      <c r="R970" s="140"/>
      <c r="S970" s="140"/>
      <c r="T970" s="140"/>
      <c r="U970" s="140"/>
      <c r="V970" s="140"/>
      <c r="W970" s="140"/>
      <c r="X970" s="140"/>
      <c r="Y970" s="140"/>
      <c r="Z970" s="140"/>
      <c r="AA970" s="140"/>
      <c r="AB970" s="140"/>
    </row>
    <row r="971">
      <c r="A971" s="145"/>
      <c r="B971" s="146"/>
      <c r="C971" s="146"/>
      <c r="D971" s="146"/>
      <c r="E971" s="146"/>
      <c r="F971" s="140"/>
      <c r="G971" s="142"/>
      <c r="H971" s="142"/>
      <c r="I971" s="142"/>
      <c r="J971" s="137" t="s">
        <v>39</v>
      </c>
      <c r="K971" s="137" t="s">
        <v>39</v>
      </c>
      <c r="L971" s="146"/>
      <c r="M971" s="141"/>
      <c r="N971" s="129"/>
      <c r="O971" s="140"/>
      <c r="P971" s="140" t="s">
        <v>39</v>
      </c>
      <c r="Q971" s="140"/>
      <c r="R971" s="140"/>
      <c r="S971" s="140"/>
      <c r="T971" s="140"/>
      <c r="U971" s="140"/>
      <c r="V971" s="140"/>
      <c r="W971" s="140"/>
      <c r="X971" s="140"/>
      <c r="Y971" s="140"/>
      <c r="Z971" s="140"/>
      <c r="AA971" s="140"/>
      <c r="AB971" s="140"/>
    </row>
    <row r="972">
      <c r="A972" s="145"/>
      <c r="B972" s="146"/>
      <c r="C972" s="146"/>
      <c r="D972" s="146"/>
      <c r="E972" s="146"/>
      <c r="F972" s="140"/>
      <c r="G972" s="142"/>
      <c r="H972" s="142"/>
      <c r="I972" s="142"/>
      <c r="J972" s="137" t="s">
        <v>39</v>
      </c>
      <c r="K972" s="137" t="s">
        <v>39</v>
      </c>
      <c r="L972" s="146"/>
      <c r="M972" s="141"/>
      <c r="N972" s="129"/>
      <c r="O972" s="140"/>
      <c r="P972" s="140" t="s">
        <v>39</v>
      </c>
      <c r="Q972" s="140"/>
      <c r="R972" s="140"/>
      <c r="S972" s="140"/>
      <c r="T972" s="140"/>
      <c r="U972" s="140"/>
      <c r="V972" s="140"/>
      <c r="W972" s="140"/>
      <c r="X972" s="140"/>
      <c r="Y972" s="140"/>
      <c r="Z972" s="140"/>
      <c r="AA972" s="140"/>
      <c r="AB972" s="140"/>
    </row>
    <row r="973">
      <c r="A973" s="145"/>
      <c r="B973" s="146"/>
      <c r="C973" s="146"/>
      <c r="D973" s="146"/>
      <c r="E973" s="146"/>
      <c r="F973" s="140"/>
      <c r="G973" s="142"/>
      <c r="H973" s="142"/>
      <c r="I973" s="142"/>
      <c r="J973" s="137" t="s">
        <v>39</v>
      </c>
      <c r="K973" s="137" t="s">
        <v>39</v>
      </c>
      <c r="L973" s="146"/>
      <c r="M973" s="141"/>
      <c r="N973" s="129"/>
      <c r="O973" s="140"/>
      <c r="P973" s="140" t="s">
        <v>39</v>
      </c>
      <c r="Q973" s="140"/>
      <c r="R973" s="140"/>
      <c r="S973" s="140"/>
      <c r="T973" s="140"/>
      <c r="U973" s="140"/>
      <c r="V973" s="140"/>
      <c r="W973" s="140"/>
      <c r="X973" s="140"/>
      <c r="Y973" s="140"/>
      <c r="Z973" s="140"/>
      <c r="AA973" s="140"/>
      <c r="AB973" s="140"/>
    </row>
    <row r="974">
      <c r="A974" s="145"/>
      <c r="B974" s="146"/>
      <c r="C974" s="146"/>
      <c r="D974" s="146"/>
      <c r="E974" s="146"/>
      <c r="F974" s="140"/>
      <c r="G974" s="142"/>
      <c r="H974" s="142"/>
      <c r="I974" s="142"/>
      <c r="J974" s="137" t="s">
        <v>39</v>
      </c>
      <c r="K974" s="137" t="s">
        <v>39</v>
      </c>
      <c r="L974" s="146"/>
      <c r="M974" s="141"/>
      <c r="N974" s="129"/>
      <c r="O974" s="140"/>
      <c r="P974" s="140" t="s">
        <v>39</v>
      </c>
      <c r="Q974" s="140"/>
      <c r="R974" s="140"/>
      <c r="S974" s="140"/>
      <c r="T974" s="140"/>
      <c r="U974" s="140"/>
      <c r="V974" s="140"/>
      <c r="W974" s="140"/>
      <c r="X974" s="140"/>
      <c r="Y974" s="140"/>
      <c r="Z974" s="140"/>
      <c r="AA974" s="140"/>
      <c r="AB974" s="140"/>
    </row>
    <row r="975">
      <c r="A975" s="145"/>
      <c r="B975" s="146"/>
      <c r="C975" s="146"/>
      <c r="D975" s="146"/>
      <c r="E975" s="146"/>
      <c r="F975" s="140"/>
      <c r="G975" s="142"/>
      <c r="H975" s="142"/>
      <c r="I975" s="142"/>
      <c r="J975" s="137" t="s">
        <v>39</v>
      </c>
      <c r="K975" s="137" t="s">
        <v>39</v>
      </c>
      <c r="L975" s="146"/>
      <c r="M975" s="141"/>
      <c r="N975" s="129"/>
      <c r="O975" s="140"/>
      <c r="P975" s="140" t="s">
        <v>39</v>
      </c>
      <c r="Q975" s="140"/>
      <c r="R975" s="140"/>
      <c r="S975" s="140"/>
      <c r="T975" s="140"/>
      <c r="U975" s="140"/>
      <c r="V975" s="140"/>
      <c r="W975" s="140"/>
      <c r="X975" s="140"/>
      <c r="Y975" s="140"/>
      <c r="Z975" s="140"/>
      <c r="AA975" s="140"/>
      <c r="AB975" s="140"/>
    </row>
    <row r="976">
      <c r="A976" s="145"/>
      <c r="B976" s="146"/>
      <c r="C976" s="146"/>
      <c r="D976" s="146"/>
      <c r="E976" s="146"/>
      <c r="F976" s="140"/>
      <c r="G976" s="142"/>
      <c r="H976" s="142"/>
      <c r="I976" s="142"/>
      <c r="J976" s="137" t="s">
        <v>39</v>
      </c>
      <c r="K976" s="137" t="s">
        <v>39</v>
      </c>
      <c r="L976" s="146"/>
      <c r="M976" s="141"/>
      <c r="N976" s="129"/>
      <c r="O976" s="140"/>
      <c r="P976" s="140" t="s">
        <v>39</v>
      </c>
      <c r="Q976" s="140"/>
      <c r="R976" s="140"/>
      <c r="S976" s="140"/>
      <c r="T976" s="140"/>
      <c r="U976" s="140"/>
      <c r="V976" s="140"/>
      <c r="W976" s="140"/>
      <c r="X976" s="140"/>
      <c r="Y976" s="140"/>
      <c r="Z976" s="140"/>
      <c r="AA976" s="140"/>
      <c r="AB976" s="140"/>
    </row>
    <row r="977">
      <c r="A977" s="145"/>
      <c r="B977" s="146"/>
      <c r="C977" s="146"/>
      <c r="D977" s="146"/>
      <c r="E977" s="146"/>
      <c r="F977" s="140"/>
      <c r="G977" s="142"/>
      <c r="H977" s="142"/>
      <c r="I977" s="142"/>
      <c r="J977" s="137" t="s">
        <v>39</v>
      </c>
      <c r="K977" s="137" t="s">
        <v>39</v>
      </c>
      <c r="L977" s="146"/>
      <c r="M977" s="141"/>
      <c r="N977" s="129"/>
      <c r="O977" s="140"/>
      <c r="P977" s="140" t="s">
        <v>39</v>
      </c>
      <c r="Q977" s="140"/>
      <c r="R977" s="140"/>
      <c r="S977" s="140"/>
      <c r="T977" s="140"/>
      <c r="U977" s="140"/>
      <c r="V977" s="140"/>
      <c r="W977" s="140"/>
      <c r="X977" s="140"/>
      <c r="Y977" s="140"/>
      <c r="Z977" s="140"/>
      <c r="AA977" s="140"/>
      <c r="AB977" s="140"/>
    </row>
    <row r="978">
      <c r="A978" s="145"/>
      <c r="B978" s="146"/>
      <c r="C978" s="146"/>
      <c r="D978" s="146"/>
      <c r="E978" s="146"/>
      <c r="F978" s="140"/>
      <c r="G978" s="142"/>
      <c r="H978" s="142"/>
      <c r="I978" s="142"/>
      <c r="J978" s="137" t="s">
        <v>39</v>
      </c>
      <c r="K978" s="137" t="s">
        <v>39</v>
      </c>
      <c r="L978" s="146"/>
      <c r="M978" s="141"/>
      <c r="N978" s="129"/>
      <c r="O978" s="140"/>
      <c r="P978" s="140" t="s">
        <v>39</v>
      </c>
      <c r="Q978" s="140"/>
      <c r="R978" s="140"/>
      <c r="S978" s="140"/>
      <c r="T978" s="140"/>
      <c r="U978" s="140"/>
      <c r="V978" s="140"/>
      <c r="W978" s="140"/>
      <c r="X978" s="140"/>
      <c r="Y978" s="140"/>
      <c r="Z978" s="140"/>
      <c r="AA978" s="140"/>
      <c r="AB978" s="140"/>
    </row>
    <row r="979">
      <c r="A979" s="145"/>
      <c r="B979" s="146"/>
      <c r="C979" s="146"/>
      <c r="D979" s="146"/>
      <c r="E979" s="146"/>
      <c r="F979" s="140"/>
      <c r="G979" s="142"/>
      <c r="H979" s="142"/>
      <c r="I979" s="142"/>
      <c r="J979" s="137" t="s">
        <v>39</v>
      </c>
      <c r="K979" s="137" t="s">
        <v>39</v>
      </c>
      <c r="L979" s="146"/>
      <c r="M979" s="141"/>
      <c r="N979" s="129"/>
      <c r="O979" s="140"/>
      <c r="P979" s="140" t="s">
        <v>39</v>
      </c>
      <c r="Q979" s="140"/>
      <c r="R979" s="140"/>
      <c r="S979" s="140"/>
      <c r="T979" s="140"/>
      <c r="U979" s="140"/>
      <c r="V979" s="140"/>
      <c r="W979" s="140"/>
      <c r="X979" s="140"/>
      <c r="Y979" s="140"/>
      <c r="Z979" s="140"/>
      <c r="AA979" s="140"/>
      <c r="AB979" s="140"/>
    </row>
    <row r="980">
      <c r="A980" s="145"/>
      <c r="B980" s="146"/>
      <c r="C980" s="146"/>
      <c r="D980" s="146"/>
      <c r="E980" s="146"/>
      <c r="F980" s="140"/>
      <c r="G980" s="142"/>
      <c r="H980" s="142"/>
      <c r="I980" s="142"/>
      <c r="J980" s="137" t="s">
        <v>39</v>
      </c>
      <c r="K980" s="137" t="s">
        <v>39</v>
      </c>
      <c r="L980" s="146"/>
      <c r="M980" s="141"/>
      <c r="N980" s="129"/>
      <c r="O980" s="140"/>
      <c r="P980" s="140" t="s">
        <v>39</v>
      </c>
      <c r="Q980" s="140"/>
      <c r="R980" s="140"/>
      <c r="S980" s="140"/>
      <c r="T980" s="140"/>
      <c r="U980" s="140"/>
      <c r="V980" s="140"/>
      <c r="W980" s="140"/>
      <c r="X980" s="140"/>
      <c r="Y980" s="140"/>
      <c r="Z980" s="140"/>
      <c r="AA980" s="140"/>
      <c r="AB980" s="140"/>
    </row>
    <row r="981">
      <c r="A981" s="145"/>
      <c r="B981" s="146"/>
      <c r="C981" s="146"/>
      <c r="D981" s="146"/>
      <c r="E981" s="146"/>
      <c r="F981" s="140"/>
      <c r="G981" s="142"/>
      <c r="H981" s="142"/>
      <c r="I981" s="142"/>
      <c r="J981" s="137" t="s">
        <v>39</v>
      </c>
      <c r="K981" s="137" t="s">
        <v>39</v>
      </c>
      <c r="L981" s="146"/>
      <c r="M981" s="141"/>
      <c r="N981" s="129"/>
      <c r="O981" s="140"/>
      <c r="P981" s="140" t="s">
        <v>39</v>
      </c>
      <c r="Q981" s="140"/>
      <c r="R981" s="140"/>
      <c r="S981" s="140"/>
      <c r="T981" s="140"/>
      <c r="U981" s="140"/>
      <c r="V981" s="140"/>
      <c r="W981" s="140"/>
      <c r="X981" s="140"/>
      <c r="Y981" s="140"/>
      <c r="Z981" s="140"/>
      <c r="AA981" s="140"/>
      <c r="AB981" s="140"/>
    </row>
    <row r="982">
      <c r="A982" s="145"/>
      <c r="B982" s="146"/>
      <c r="C982" s="146"/>
      <c r="D982" s="146"/>
      <c r="E982" s="146"/>
      <c r="F982" s="140"/>
      <c r="G982" s="142"/>
      <c r="H982" s="142"/>
      <c r="I982" s="142"/>
      <c r="J982" s="137" t="s">
        <v>39</v>
      </c>
      <c r="K982" s="137" t="s">
        <v>39</v>
      </c>
      <c r="L982" s="146"/>
      <c r="M982" s="141"/>
      <c r="N982" s="129"/>
      <c r="O982" s="140"/>
      <c r="P982" s="140" t="s">
        <v>39</v>
      </c>
      <c r="Q982" s="140"/>
      <c r="R982" s="140"/>
      <c r="S982" s="140"/>
      <c r="T982" s="140"/>
      <c r="U982" s="140"/>
      <c r="V982" s="140"/>
      <c r="W982" s="140"/>
      <c r="X982" s="140"/>
      <c r="Y982" s="140"/>
      <c r="Z982" s="140"/>
      <c r="AA982" s="140"/>
      <c r="AB982" s="140"/>
    </row>
    <row r="983">
      <c r="A983" s="145"/>
      <c r="B983" s="146"/>
      <c r="C983" s="146"/>
      <c r="D983" s="146"/>
      <c r="E983" s="146"/>
      <c r="F983" s="140"/>
      <c r="G983" s="142"/>
      <c r="H983" s="142"/>
      <c r="I983" s="142"/>
      <c r="J983" s="137" t="s">
        <v>39</v>
      </c>
      <c r="K983" s="137" t="s">
        <v>39</v>
      </c>
      <c r="L983" s="146"/>
      <c r="M983" s="141"/>
      <c r="N983" s="129"/>
      <c r="O983" s="140"/>
      <c r="P983" s="140" t="s">
        <v>39</v>
      </c>
      <c r="Q983" s="140"/>
      <c r="R983" s="140"/>
      <c r="S983" s="140"/>
      <c r="T983" s="140"/>
      <c r="U983" s="140"/>
      <c r="V983" s="140"/>
      <c r="W983" s="140"/>
      <c r="X983" s="140"/>
      <c r="Y983" s="140"/>
      <c r="Z983" s="140"/>
      <c r="AA983" s="140"/>
      <c r="AB983" s="140"/>
    </row>
    <row r="984">
      <c r="A984" s="145"/>
      <c r="B984" s="146"/>
      <c r="C984" s="146"/>
      <c r="D984" s="146"/>
      <c r="E984" s="146"/>
      <c r="F984" s="140"/>
      <c r="G984" s="142"/>
      <c r="H984" s="142"/>
      <c r="I984" s="142"/>
      <c r="J984" s="137" t="s">
        <v>39</v>
      </c>
      <c r="K984" s="137" t="s">
        <v>39</v>
      </c>
      <c r="L984" s="146"/>
      <c r="M984" s="141"/>
      <c r="N984" s="129"/>
      <c r="O984" s="140"/>
      <c r="P984" s="140" t="s">
        <v>39</v>
      </c>
      <c r="Q984" s="140"/>
      <c r="R984" s="140"/>
      <c r="S984" s="140"/>
      <c r="T984" s="140"/>
      <c r="U984" s="140"/>
      <c r="V984" s="140"/>
      <c r="W984" s="140"/>
      <c r="X984" s="140"/>
      <c r="Y984" s="140"/>
      <c r="Z984" s="140"/>
      <c r="AA984" s="140"/>
      <c r="AB984" s="140"/>
    </row>
    <row r="985">
      <c r="A985" s="145"/>
      <c r="B985" s="146"/>
      <c r="C985" s="146"/>
      <c r="D985" s="146"/>
      <c r="E985" s="146"/>
      <c r="F985" s="140"/>
      <c r="G985" s="142"/>
      <c r="H985" s="142"/>
      <c r="I985" s="142"/>
      <c r="J985" s="137" t="s">
        <v>39</v>
      </c>
      <c r="K985" s="137" t="s">
        <v>39</v>
      </c>
      <c r="L985" s="146"/>
      <c r="M985" s="141"/>
      <c r="N985" s="129"/>
      <c r="O985" s="140"/>
      <c r="P985" s="140" t="s">
        <v>39</v>
      </c>
      <c r="Q985" s="140"/>
      <c r="R985" s="140"/>
      <c r="S985" s="140"/>
      <c r="T985" s="140"/>
      <c r="U985" s="140"/>
      <c r="V985" s="140"/>
      <c r="W985" s="140"/>
      <c r="X985" s="140"/>
      <c r="Y985" s="140"/>
      <c r="Z985" s="140"/>
      <c r="AA985" s="140"/>
      <c r="AB985" s="140"/>
    </row>
    <row r="986">
      <c r="A986" s="145"/>
      <c r="B986" s="146"/>
      <c r="C986" s="146"/>
      <c r="D986" s="146"/>
      <c r="E986" s="146"/>
      <c r="F986" s="140"/>
      <c r="G986" s="142"/>
      <c r="H986" s="142"/>
      <c r="I986" s="142"/>
      <c r="J986" s="137" t="s">
        <v>39</v>
      </c>
      <c r="K986" s="137" t="s">
        <v>39</v>
      </c>
      <c r="L986" s="146"/>
      <c r="M986" s="141"/>
      <c r="N986" s="129"/>
      <c r="O986" s="140"/>
      <c r="P986" s="140" t="s">
        <v>39</v>
      </c>
      <c r="Q986" s="140"/>
      <c r="R986" s="140"/>
      <c r="S986" s="140"/>
      <c r="T986" s="140"/>
      <c r="U986" s="140"/>
      <c r="V986" s="140"/>
      <c r="W986" s="140"/>
      <c r="X986" s="140"/>
      <c r="Y986" s="140"/>
      <c r="Z986" s="140"/>
      <c r="AA986" s="140"/>
      <c r="AB986" s="140"/>
    </row>
    <row r="987">
      <c r="A987" s="145"/>
      <c r="B987" s="146"/>
      <c r="C987" s="146"/>
      <c r="D987" s="146"/>
      <c r="E987" s="146"/>
      <c r="F987" s="140"/>
      <c r="G987" s="142"/>
      <c r="H987" s="142"/>
      <c r="I987" s="142"/>
      <c r="J987" s="137" t="s">
        <v>39</v>
      </c>
      <c r="K987" s="137" t="s">
        <v>39</v>
      </c>
      <c r="L987" s="146"/>
      <c r="M987" s="141"/>
      <c r="N987" s="129"/>
      <c r="O987" s="140"/>
      <c r="P987" s="140" t="s">
        <v>39</v>
      </c>
      <c r="Q987" s="140"/>
      <c r="R987" s="140"/>
      <c r="S987" s="140"/>
      <c r="T987" s="140"/>
      <c r="U987" s="140"/>
      <c r="V987" s="140"/>
      <c r="W987" s="140"/>
      <c r="X987" s="140"/>
      <c r="Y987" s="140"/>
      <c r="Z987" s="140"/>
      <c r="AA987" s="140"/>
      <c r="AB987" s="140"/>
    </row>
    <row r="988">
      <c r="A988" s="145"/>
      <c r="B988" s="146"/>
      <c r="C988" s="146"/>
      <c r="D988" s="146"/>
      <c r="E988" s="146"/>
      <c r="F988" s="140"/>
      <c r="G988" s="142"/>
      <c r="H988" s="142"/>
      <c r="I988" s="142"/>
      <c r="J988" s="137" t="s">
        <v>39</v>
      </c>
      <c r="K988" s="137" t="s">
        <v>39</v>
      </c>
      <c r="L988" s="146"/>
      <c r="M988" s="141"/>
      <c r="N988" s="129"/>
      <c r="O988" s="140"/>
      <c r="P988" s="140" t="s">
        <v>39</v>
      </c>
      <c r="Q988" s="140"/>
      <c r="R988" s="140"/>
      <c r="S988" s="140"/>
      <c r="T988" s="140"/>
      <c r="U988" s="140"/>
      <c r="V988" s="140"/>
      <c r="W988" s="140"/>
      <c r="X988" s="140"/>
      <c r="Y988" s="140"/>
      <c r="Z988" s="140"/>
      <c r="AA988" s="140"/>
      <c r="AB988" s="140"/>
    </row>
    <row r="989">
      <c r="A989" s="145"/>
      <c r="B989" s="146"/>
      <c r="C989" s="146"/>
      <c r="D989" s="146"/>
      <c r="E989" s="146"/>
      <c r="F989" s="140"/>
      <c r="G989" s="142"/>
      <c r="H989" s="142"/>
      <c r="I989" s="142"/>
      <c r="J989" s="137" t="s">
        <v>39</v>
      </c>
      <c r="K989" s="137" t="s">
        <v>39</v>
      </c>
      <c r="L989" s="146"/>
      <c r="M989" s="141"/>
      <c r="N989" s="129"/>
      <c r="O989" s="140"/>
      <c r="P989" s="140" t="s">
        <v>39</v>
      </c>
      <c r="Q989" s="140"/>
      <c r="R989" s="140"/>
      <c r="S989" s="140"/>
      <c r="T989" s="140"/>
      <c r="U989" s="140"/>
      <c r="V989" s="140"/>
      <c r="W989" s="140"/>
      <c r="X989" s="140"/>
      <c r="Y989" s="140"/>
      <c r="Z989" s="140"/>
      <c r="AA989" s="140"/>
      <c r="AB989" s="140"/>
    </row>
    <row r="990">
      <c r="A990" s="145"/>
      <c r="B990" s="146"/>
      <c r="C990" s="146"/>
      <c r="D990" s="146"/>
      <c r="E990" s="146"/>
      <c r="F990" s="140"/>
      <c r="G990" s="142"/>
      <c r="H990" s="142"/>
      <c r="I990" s="142"/>
      <c r="J990" s="137" t="s">
        <v>39</v>
      </c>
      <c r="K990" s="137" t="s">
        <v>39</v>
      </c>
      <c r="L990" s="146"/>
      <c r="M990" s="141"/>
      <c r="N990" s="129"/>
      <c r="O990" s="140"/>
      <c r="P990" s="140" t="s">
        <v>39</v>
      </c>
      <c r="Q990" s="140"/>
      <c r="R990" s="140"/>
      <c r="S990" s="140"/>
      <c r="T990" s="140"/>
      <c r="U990" s="140"/>
      <c r="V990" s="140"/>
      <c r="W990" s="140"/>
      <c r="X990" s="140"/>
      <c r="Y990" s="140"/>
      <c r="Z990" s="140"/>
      <c r="AA990" s="140"/>
      <c r="AB990" s="140"/>
    </row>
    <row r="991">
      <c r="A991" s="145"/>
      <c r="B991" s="146"/>
      <c r="C991" s="146"/>
      <c r="D991" s="146"/>
      <c r="E991" s="146"/>
      <c r="F991" s="140"/>
      <c r="G991" s="142"/>
      <c r="H991" s="142"/>
      <c r="I991" s="142"/>
      <c r="J991" s="137" t="s">
        <v>39</v>
      </c>
      <c r="K991" s="137" t="s">
        <v>39</v>
      </c>
      <c r="L991" s="146"/>
      <c r="M991" s="141"/>
      <c r="N991" s="129"/>
      <c r="O991" s="140"/>
      <c r="P991" s="140" t="s">
        <v>39</v>
      </c>
      <c r="Q991" s="140"/>
      <c r="R991" s="140"/>
      <c r="S991" s="140"/>
      <c r="T991" s="140"/>
      <c r="U991" s="140"/>
      <c r="V991" s="140"/>
      <c r="W991" s="140"/>
      <c r="X991" s="140"/>
      <c r="Y991" s="140"/>
      <c r="Z991" s="140"/>
      <c r="AA991" s="140"/>
      <c r="AB991" s="140"/>
    </row>
    <row r="992">
      <c r="A992" s="145"/>
      <c r="B992" s="146"/>
      <c r="C992" s="146"/>
      <c r="D992" s="146"/>
      <c r="E992" s="146"/>
      <c r="F992" s="140"/>
      <c r="G992" s="142"/>
      <c r="H992" s="142"/>
      <c r="I992" s="142"/>
      <c r="J992" s="137" t="s">
        <v>39</v>
      </c>
      <c r="K992" s="137" t="s">
        <v>39</v>
      </c>
      <c r="L992" s="146"/>
      <c r="M992" s="141"/>
      <c r="N992" s="129"/>
      <c r="O992" s="140"/>
      <c r="P992" s="140" t="s">
        <v>39</v>
      </c>
      <c r="Q992" s="140"/>
      <c r="R992" s="140"/>
      <c r="S992" s="140"/>
      <c r="T992" s="140"/>
      <c r="U992" s="140"/>
      <c r="V992" s="140"/>
      <c r="W992" s="140"/>
      <c r="X992" s="140"/>
      <c r="Y992" s="140"/>
      <c r="Z992" s="140"/>
      <c r="AA992" s="140"/>
      <c r="AB992" s="140"/>
    </row>
    <row r="993">
      <c r="A993" s="145"/>
      <c r="B993" s="146"/>
      <c r="C993" s="146"/>
      <c r="D993" s="146"/>
      <c r="E993" s="146"/>
      <c r="F993" s="140"/>
      <c r="G993" s="142"/>
      <c r="H993" s="142"/>
      <c r="I993" s="142"/>
      <c r="J993" s="137" t="s">
        <v>39</v>
      </c>
      <c r="K993" s="137" t="s">
        <v>39</v>
      </c>
      <c r="L993" s="146"/>
      <c r="M993" s="141"/>
      <c r="N993" s="129"/>
      <c r="O993" s="140"/>
      <c r="P993" s="140" t="s">
        <v>39</v>
      </c>
      <c r="Q993" s="140"/>
      <c r="R993" s="140"/>
      <c r="S993" s="140"/>
      <c r="T993" s="140"/>
      <c r="U993" s="140"/>
      <c r="V993" s="140"/>
      <c r="W993" s="140"/>
      <c r="X993" s="140"/>
      <c r="Y993" s="140"/>
      <c r="Z993" s="140"/>
      <c r="AA993" s="140"/>
      <c r="AB993" s="140"/>
    </row>
    <row r="994">
      <c r="A994" s="145"/>
      <c r="B994" s="146"/>
      <c r="C994" s="146"/>
      <c r="D994" s="146"/>
      <c r="E994" s="146"/>
      <c r="F994" s="140"/>
      <c r="G994" s="142"/>
      <c r="H994" s="142"/>
      <c r="I994" s="142"/>
      <c r="J994" s="137" t="s">
        <v>39</v>
      </c>
      <c r="K994" s="137" t="s">
        <v>39</v>
      </c>
      <c r="L994" s="146"/>
      <c r="M994" s="141"/>
      <c r="N994" s="129"/>
      <c r="O994" s="140"/>
      <c r="P994" s="140" t="s">
        <v>39</v>
      </c>
      <c r="Q994" s="140"/>
      <c r="R994" s="140"/>
      <c r="S994" s="140"/>
      <c r="T994" s="140"/>
      <c r="U994" s="140"/>
      <c r="V994" s="140"/>
      <c r="W994" s="140"/>
      <c r="X994" s="140"/>
      <c r="Y994" s="140"/>
      <c r="Z994" s="140"/>
      <c r="AA994" s="140"/>
      <c r="AB994" s="140"/>
    </row>
    <row r="995">
      <c r="A995" s="145"/>
      <c r="B995" s="146"/>
      <c r="C995" s="146"/>
      <c r="D995" s="146"/>
      <c r="E995" s="146"/>
      <c r="F995" s="140"/>
      <c r="G995" s="142"/>
      <c r="H995" s="142"/>
      <c r="I995" s="142"/>
      <c r="J995" s="137" t="s">
        <v>39</v>
      </c>
      <c r="K995" s="137"/>
      <c r="L995" s="146"/>
      <c r="M995" s="141"/>
      <c r="N995" s="129"/>
      <c r="O995" s="140"/>
      <c r="P995" s="140" t="s">
        <v>39</v>
      </c>
      <c r="Q995" s="140"/>
      <c r="R995" s="140"/>
      <c r="S995" s="140"/>
      <c r="T995" s="140"/>
      <c r="U995" s="140"/>
      <c r="V995" s="140"/>
      <c r="W995" s="140"/>
      <c r="X995" s="140"/>
      <c r="Y995" s="140"/>
      <c r="Z995" s="140"/>
      <c r="AA995" s="140"/>
      <c r="AB995" s="140"/>
    </row>
    <row r="996">
      <c r="A996" s="145"/>
      <c r="B996" s="146"/>
      <c r="C996" s="146"/>
      <c r="D996" s="146"/>
      <c r="E996" s="146"/>
      <c r="F996" s="140"/>
      <c r="G996" s="142"/>
      <c r="H996" s="142"/>
      <c r="I996" s="142"/>
      <c r="J996" s="137" t="s">
        <v>39</v>
      </c>
      <c r="K996" s="137"/>
      <c r="L996" s="146"/>
      <c r="M996" s="141"/>
      <c r="N996" s="129"/>
      <c r="O996" s="140"/>
      <c r="P996" s="140" t="s">
        <v>39</v>
      </c>
      <c r="Q996" s="140"/>
      <c r="R996" s="140"/>
      <c r="S996" s="140"/>
      <c r="T996" s="140"/>
      <c r="U996" s="140"/>
      <c r="V996" s="140"/>
      <c r="W996" s="140"/>
      <c r="X996" s="140"/>
      <c r="Y996" s="140"/>
      <c r="Z996" s="140"/>
      <c r="AA996" s="140"/>
      <c r="AB996" s="140"/>
    </row>
    <row r="997">
      <c r="A997" s="145"/>
      <c r="B997" s="146"/>
      <c r="C997" s="146"/>
      <c r="D997" s="146"/>
      <c r="E997" s="146"/>
      <c r="F997" s="140"/>
      <c r="G997" s="142"/>
      <c r="H997" s="142"/>
      <c r="I997" s="142"/>
      <c r="J997" s="137" t="s">
        <v>39</v>
      </c>
      <c r="K997" s="137"/>
      <c r="L997" s="146"/>
      <c r="M997" s="141"/>
      <c r="N997" s="129"/>
      <c r="O997" s="140"/>
      <c r="P997" s="140" t="s">
        <v>39</v>
      </c>
      <c r="Q997" s="140"/>
      <c r="R997" s="140"/>
      <c r="S997" s="140"/>
      <c r="T997" s="140"/>
      <c r="U997" s="140"/>
      <c r="V997" s="140"/>
      <c r="W997" s="140"/>
      <c r="X997" s="140"/>
      <c r="Y997" s="140"/>
      <c r="Z997" s="140"/>
      <c r="AA997" s="140"/>
      <c r="AB997" s="140"/>
    </row>
  </sheetData>
  <autoFilter ref="$A$2:$AB$57"/>
  <dataValidations>
    <dataValidation type="list" allowBlank="1" sqref="E3:E997">
      <formula1>'Overhead KEY'!$E$2:$E997</formula1>
    </dataValidation>
    <dataValidation type="list" allowBlank="1" sqref="L3:L997">
      <formula1>'Overhead KEY'!$F$2:$F997</formula1>
    </dataValidation>
    <dataValidation type="list" allowBlank="1" sqref="M3:M997">
      <formula1>'Overhead KEY'!$G$2:$G997</formula1>
    </dataValidation>
    <dataValidation type="list" allowBlank="1" sqref="B3:B997">
      <formula1>'Overhead KEY'!$B$2:$B997</formula1>
    </dataValidation>
    <dataValidation type="list" allowBlank="1" sqref="C3:C997">
      <formula1>'Overhead KEY'!$C$2:$C997</formula1>
    </dataValidation>
    <dataValidation type="list" allowBlank="1" sqref="D3:D997">
      <formula1>'Overhead KEY'!$D$2:$D997</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15.38"/>
    <col customWidth="1" min="3" max="3" width="28.5"/>
    <col customWidth="1" min="4" max="4" width="25.13"/>
    <col customWidth="1" min="5" max="5" width="35.13"/>
    <col customWidth="1" min="8" max="8" width="20.75"/>
  </cols>
  <sheetData>
    <row r="1">
      <c r="A1" s="150"/>
      <c r="B1" s="150" t="s">
        <v>6642</v>
      </c>
      <c r="C1" s="150" t="s">
        <v>6643</v>
      </c>
      <c r="D1" s="150" t="s">
        <v>6644</v>
      </c>
      <c r="E1" s="150" t="s">
        <v>6645</v>
      </c>
      <c r="F1" s="150" t="s">
        <v>6646</v>
      </c>
      <c r="G1" s="28" t="s">
        <v>1085</v>
      </c>
      <c r="H1" s="150"/>
      <c r="I1" s="151"/>
      <c r="J1" s="151"/>
      <c r="K1" s="151"/>
      <c r="L1" s="151"/>
      <c r="M1" s="151"/>
      <c r="N1" s="151"/>
      <c r="O1" s="151"/>
      <c r="P1" s="151"/>
      <c r="Q1" s="151"/>
      <c r="R1" s="151"/>
      <c r="S1" s="151"/>
      <c r="T1" s="151"/>
      <c r="U1" s="151"/>
      <c r="V1" s="151"/>
      <c r="W1" s="151"/>
      <c r="X1" s="151"/>
      <c r="Y1" s="151"/>
      <c r="Z1" s="151"/>
      <c r="AA1" s="151"/>
    </row>
    <row r="2">
      <c r="A2" s="54"/>
      <c r="B2" s="54" t="s">
        <v>117</v>
      </c>
      <c r="C2" s="152" t="s">
        <v>6647</v>
      </c>
      <c r="D2" s="153" t="s">
        <v>6203</v>
      </c>
      <c r="E2" s="54" t="s">
        <v>6162</v>
      </c>
      <c r="F2" s="54" t="s">
        <v>1140</v>
      </c>
      <c r="G2" s="52" t="s">
        <v>1139</v>
      </c>
      <c r="H2" s="21"/>
      <c r="I2" s="154"/>
      <c r="J2" s="154"/>
      <c r="K2" s="154"/>
      <c r="L2" s="154"/>
      <c r="M2" s="154"/>
      <c r="N2" s="154"/>
      <c r="O2" s="154"/>
      <c r="P2" s="154"/>
      <c r="Q2" s="154"/>
      <c r="R2" s="154"/>
      <c r="S2" s="154"/>
      <c r="T2" s="154"/>
      <c r="U2" s="154"/>
      <c r="V2" s="154"/>
      <c r="W2" s="154"/>
      <c r="X2" s="154"/>
      <c r="Y2" s="154"/>
      <c r="Z2" s="154"/>
      <c r="AA2" s="154"/>
    </row>
    <row r="3">
      <c r="A3" s="54"/>
      <c r="B3" s="54" t="s">
        <v>6091</v>
      </c>
      <c r="C3" s="54" t="s">
        <v>6098</v>
      </c>
      <c r="D3" s="153" t="s">
        <v>6648</v>
      </c>
      <c r="E3" s="54" t="s">
        <v>6649</v>
      </c>
      <c r="F3" s="54" t="s">
        <v>80</v>
      </c>
      <c r="G3" s="55" t="s">
        <v>93</v>
      </c>
      <c r="H3" s="21"/>
      <c r="I3" s="154"/>
      <c r="J3" s="154"/>
      <c r="K3" s="154"/>
      <c r="L3" s="154"/>
      <c r="M3" s="154"/>
      <c r="N3" s="154"/>
      <c r="O3" s="154"/>
      <c r="P3" s="154"/>
      <c r="Q3" s="154"/>
      <c r="R3" s="154"/>
      <c r="S3" s="154"/>
      <c r="T3" s="154"/>
      <c r="U3" s="154"/>
      <c r="V3" s="154"/>
      <c r="W3" s="154"/>
      <c r="X3" s="154"/>
      <c r="Y3" s="154"/>
      <c r="Z3" s="154"/>
      <c r="AA3" s="154"/>
    </row>
    <row r="4">
      <c r="A4" s="54"/>
      <c r="B4" s="54" t="s">
        <v>6068</v>
      </c>
      <c r="C4" s="152" t="s">
        <v>6650</v>
      </c>
      <c r="D4" s="153" t="s">
        <v>6062</v>
      </c>
      <c r="E4" s="54" t="s">
        <v>6134</v>
      </c>
      <c r="F4" s="54" t="s">
        <v>45</v>
      </c>
      <c r="G4" s="52" t="s">
        <v>1148</v>
      </c>
      <c r="H4" s="21"/>
      <c r="I4" s="154"/>
      <c r="J4" s="154"/>
      <c r="K4" s="154"/>
      <c r="L4" s="154"/>
      <c r="M4" s="154"/>
      <c r="N4" s="154"/>
      <c r="O4" s="154"/>
      <c r="P4" s="154"/>
      <c r="Q4" s="154"/>
      <c r="R4" s="154"/>
      <c r="S4" s="154"/>
      <c r="T4" s="154"/>
      <c r="U4" s="154"/>
      <c r="V4" s="154"/>
      <c r="W4" s="154"/>
      <c r="X4" s="154"/>
      <c r="Y4" s="154"/>
      <c r="Z4" s="154"/>
      <c r="AA4" s="154"/>
    </row>
    <row r="5">
      <c r="A5" s="54"/>
      <c r="B5" s="54" t="s">
        <v>6369</v>
      </c>
      <c r="C5" s="152" t="s">
        <v>6133</v>
      </c>
      <c r="D5" s="153" t="s">
        <v>5989</v>
      </c>
      <c r="E5" s="54" t="s">
        <v>6011</v>
      </c>
      <c r="F5" s="54" t="s">
        <v>1153</v>
      </c>
      <c r="G5" s="52" t="s">
        <v>1152</v>
      </c>
      <c r="H5" s="21"/>
      <c r="I5" s="154"/>
      <c r="J5" s="154"/>
      <c r="K5" s="154"/>
      <c r="L5" s="154"/>
      <c r="M5" s="154"/>
      <c r="N5" s="154"/>
      <c r="O5" s="154"/>
      <c r="P5" s="154"/>
      <c r="Q5" s="154"/>
      <c r="R5" s="154"/>
      <c r="S5" s="154"/>
      <c r="T5" s="154"/>
      <c r="U5" s="154"/>
      <c r="V5" s="154"/>
      <c r="W5" s="154"/>
      <c r="X5" s="154"/>
      <c r="Y5" s="154"/>
      <c r="Z5" s="154"/>
      <c r="AA5" s="154"/>
    </row>
    <row r="6">
      <c r="A6" s="54"/>
      <c r="B6" s="54" t="s">
        <v>61</v>
      </c>
      <c r="C6" s="54" t="s">
        <v>311</v>
      </c>
      <c r="D6" s="153" t="s">
        <v>6651</v>
      </c>
      <c r="E6" s="54" t="s">
        <v>6093</v>
      </c>
      <c r="F6" s="54" t="s">
        <v>779</v>
      </c>
      <c r="G6" s="52" t="s">
        <v>691</v>
      </c>
      <c r="H6" s="21"/>
      <c r="I6" s="154"/>
      <c r="J6" s="154"/>
      <c r="K6" s="154"/>
      <c r="L6" s="154"/>
      <c r="M6" s="154"/>
      <c r="N6" s="154"/>
      <c r="O6" s="154"/>
      <c r="P6" s="154"/>
      <c r="Q6" s="154"/>
      <c r="R6" s="154"/>
      <c r="S6" s="154"/>
      <c r="T6" s="154"/>
      <c r="U6" s="154"/>
      <c r="V6" s="154"/>
      <c r="W6" s="154"/>
      <c r="X6" s="154"/>
      <c r="Y6" s="154"/>
      <c r="Z6" s="154"/>
      <c r="AA6" s="154"/>
    </row>
    <row r="7">
      <c r="A7" s="54"/>
      <c r="B7" s="54" t="s">
        <v>208</v>
      </c>
      <c r="C7" s="152" t="s">
        <v>6227</v>
      </c>
      <c r="D7" s="54" t="s">
        <v>6069</v>
      </c>
      <c r="E7" s="54" t="s">
        <v>6168</v>
      </c>
      <c r="F7" s="54" t="s">
        <v>1161</v>
      </c>
      <c r="G7" s="52" t="s">
        <v>1160</v>
      </c>
      <c r="H7" s="21"/>
      <c r="I7" s="154"/>
      <c r="J7" s="154"/>
      <c r="K7" s="154"/>
      <c r="L7" s="154"/>
      <c r="M7" s="154"/>
      <c r="N7" s="154"/>
      <c r="O7" s="154"/>
      <c r="P7" s="154"/>
      <c r="Q7" s="154"/>
      <c r="R7" s="154"/>
      <c r="S7" s="154"/>
      <c r="T7" s="154"/>
      <c r="U7" s="154"/>
      <c r="V7" s="154"/>
      <c r="W7" s="154"/>
      <c r="X7" s="154"/>
      <c r="Y7" s="154"/>
      <c r="Z7" s="154"/>
      <c r="AA7" s="154"/>
    </row>
    <row r="8">
      <c r="A8" s="54"/>
      <c r="B8" s="54" t="s">
        <v>1221</v>
      </c>
      <c r="C8" s="54" t="s">
        <v>97</v>
      </c>
      <c r="D8" s="153" t="s">
        <v>6003</v>
      </c>
      <c r="E8" s="54" t="s">
        <v>6040</v>
      </c>
      <c r="F8" s="54" t="s">
        <v>1166</v>
      </c>
      <c r="G8" s="52" t="s">
        <v>1165</v>
      </c>
      <c r="H8" s="21"/>
      <c r="I8" s="154"/>
      <c r="J8" s="154"/>
      <c r="K8" s="154"/>
      <c r="L8" s="154"/>
      <c r="M8" s="154"/>
      <c r="N8" s="154"/>
      <c r="O8" s="154"/>
      <c r="P8" s="154"/>
      <c r="Q8" s="154"/>
      <c r="R8" s="154"/>
      <c r="S8" s="154"/>
      <c r="T8" s="154"/>
      <c r="U8" s="154"/>
      <c r="V8" s="154"/>
      <c r="W8" s="154"/>
      <c r="X8" s="154"/>
      <c r="Y8" s="154"/>
      <c r="Z8" s="154"/>
      <c r="AA8" s="154"/>
    </row>
    <row r="9">
      <c r="A9" s="54"/>
      <c r="B9" s="54" t="s">
        <v>6266</v>
      </c>
      <c r="C9" s="152" t="s">
        <v>6048</v>
      </c>
      <c r="D9" s="153" t="s">
        <v>6092</v>
      </c>
      <c r="E9" s="54" t="s">
        <v>6240</v>
      </c>
      <c r="F9" s="54" t="s">
        <v>1171</v>
      </c>
      <c r="G9" s="155" t="s">
        <v>1170</v>
      </c>
      <c r="H9" s="21"/>
      <c r="I9" s="154"/>
      <c r="J9" s="154"/>
      <c r="K9" s="154"/>
      <c r="L9" s="154"/>
      <c r="M9" s="154"/>
      <c r="N9" s="154"/>
      <c r="O9" s="154"/>
      <c r="P9" s="154"/>
      <c r="Q9" s="154"/>
      <c r="R9" s="154"/>
      <c r="S9" s="154"/>
      <c r="T9" s="154"/>
      <c r="U9" s="154"/>
      <c r="V9" s="154"/>
      <c r="W9" s="154"/>
      <c r="X9" s="154"/>
      <c r="Y9" s="154"/>
      <c r="Z9" s="154"/>
      <c r="AA9" s="154"/>
    </row>
    <row r="10">
      <c r="A10" s="54"/>
      <c r="B10" s="54" t="s">
        <v>1247</v>
      </c>
      <c r="C10" s="54" t="s">
        <v>6105</v>
      </c>
      <c r="D10" s="153" t="s">
        <v>6032</v>
      </c>
      <c r="E10" s="54" t="s">
        <v>6174</v>
      </c>
      <c r="F10" s="54" t="s">
        <v>1175</v>
      </c>
      <c r="G10" s="55"/>
      <c r="H10" s="21"/>
      <c r="I10" s="154"/>
      <c r="J10" s="154"/>
      <c r="K10" s="154"/>
      <c r="L10" s="154"/>
      <c r="M10" s="154"/>
      <c r="N10" s="154"/>
      <c r="O10" s="154"/>
      <c r="P10" s="154"/>
      <c r="Q10" s="154"/>
      <c r="R10" s="154"/>
      <c r="S10" s="154"/>
      <c r="T10" s="154"/>
      <c r="U10" s="154"/>
      <c r="V10" s="154"/>
      <c r="W10" s="154"/>
      <c r="X10" s="154"/>
      <c r="Y10" s="154"/>
      <c r="Z10" s="154"/>
      <c r="AA10" s="154"/>
    </row>
    <row r="11">
      <c r="A11" s="54"/>
      <c r="B11" s="54" t="s">
        <v>49</v>
      </c>
      <c r="C11" s="152" t="s">
        <v>6035</v>
      </c>
      <c r="D11" s="153" t="s">
        <v>6130</v>
      </c>
      <c r="E11" s="54" t="s">
        <v>6159</v>
      </c>
      <c r="F11" s="54" t="s">
        <v>1179</v>
      </c>
      <c r="G11" s="55"/>
      <c r="H11" s="21"/>
      <c r="I11" s="154"/>
      <c r="J11" s="154"/>
      <c r="K11" s="154"/>
      <c r="L11" s="154"/>
      <c r="M11" s="154"/>
      <c r="N11" s="154"/>
      <c r="O11" s="154"/>
      <c r="P11" s="154"/>
      <c r="Q11" s="154"/>
      <c r="R11" s="154"/>
      <c r="S11" s="154"/>
      <c r="T11" s="154"/>
      <c r="U11" s="154"/>
      <c r="V11" s="154"/>
      <c r="W11" s="154"/>
      <c r="X11" s="154"/>
      <c r="Y11" s="154"/>
      <c r="Z11" s="154"/>
      <c r="AA11" s="154"/>
    </row>
    <row r="12">
      <c r="A12" s="154"/>
      <c r="B12" s="154"/>
      <c r="C12" s="152" t="s">
        <v>6652</v>
      </c>
      <c r="D12" s="153" t="s">
        <v>6247</v>
      </c>
      <c r="E12" s="54" t="s">
        <v>6055</v>
      </c>
      <c r="F12" s="54" t="s">
        <v>1184</v>
      </c>
      <c r="G12" s="55"/>
      <c r="H12" s="21"/>
      <c r="I12" s="154"/>
      <c r="J12" s="154"/>
      <c r="K12" s="154"/>
      <c r="L12" s="154"/>
      <c r="M12" s="154"/>
      <c r="N12" s="154"/>
      <c r="O12" s="154"/>
      <c r="P12" s="154"/>
      <c r="Q12" s="154"/>
      <c r="R12" s="154"/>
      <c r="S12" s="154"/>
      <c r="T12" s="154"/>
      <c r="U12" s="154"/>
      <c r="V12" s="154"/>
      <c r="W12" s="154"/>
      <c r="X12" s="154"/>
      <c r="Y12" s="154"/>
      <c r="Z12" s="154"/>
      <c r="AA12" s="154"/>
    </row>
    <row r="13">
      <c r="A13" s="154"/>
      <c r="B13" s="154"/>
      <c r="C13" s="152" t="s">
        <v>6186</v>
      </c>
      <c r="D13" s="153" t="s">
        <v>6336</v>
      </c>
      <c r="E13" s="54" t="s">
        <v>6245</v>
      </c>
      <c r="F13" s="54" t="s">
        <v>508</v>
      </c>
      <c r="G13" s="55"/>
      <c r="H13" s="21"/>
      <c r="I13" s="154"/>
      <c r="J13" s="154"/>
      <c r="K13" s="154"/>
      <c r="L13" s="154"/>
      <c r="M13" s="154"/>
      <c r="N13" s="154"/>
      <c r="O13" s="154"/>
      <c r="P13" s="154"/>
      <c r="Q13" s="154"/>
      <c r="R13" s="154"/>
      <c r="S13" s="154"/>
      <c r="T13" s="154"/>
      <c r="U13" s="154"/>
      <c r="V13" s="154"/>
      <c r="W13" s="154"/>
      <c r="X13" s="154"/>
      <c r="Y13" s="154"/>
      <c r="Z13" s="154"/>
      <c r="AA13" s="154"/>
    </row>
    <row r="14">
      <c r="A14" s="154"/>
      <c r="B14" s="154"/>
      <c r="C14" s="54" t="s">
        <v>172</v>
      </c>
      <c r="D14" s="153" t="s">
        <v>6224</v>
      </c>
      <c r="E14" s="54" t="s">
        <v>6052</v>
      </c>
      <c r="F14" s="54" t="s">
        <v>509</v>
      </c>
      <c r="G14" s="55"/>
      <c r="H14" s="21"/>
      <c r="I14" s="154"/>
      <c r="J14" s="154"/>
      <c r="K14" s="154"/>
      <c r="L14" s="154"/>
      <c r="M14" s="154"/>
      <c r="N14" s="154"/>
      <c r="O14" s="154"/>
      <c r="P14" s="154"/>
      <c r="Q14" s="154"/>
      <c r="R14" s="154"/>
      <c r="S14" s="154"/>
      <c r="T14" s="154"/>
      <c r="U14" s="154"/>
      <c r="V14" s="154"/>
      <c r="W14" s="154"/>
      <c r="X14" s="154"/>
      <c r="Y14" s="154"/>
      <c r="Z14" s="154"/>
      <c r="AA14" s="154"/>
    </row>
    <row r="15">
      <c r="A15" s="154"/>
      <c r="B15" s="154"/>
      <c r="C15" s="152" t="s">
        <v>6653</v>
      </c>
      <c r="D15" s="153" t="s">
        <v>6654</v>
      </c>
      <c r="E15" s="54" t="s">
        <v>6148</v>
      </c>
      <c r="F15" s="154"/>
      <c r="G15" s="55"/>
      <c r="H15" s="21"/>
      <c r="I15" s="154"/>
      <c r="J15" s="154"/>
      <c r="K15" s="154"/>
      <c r="L15" s="154"/>
      <c r="M15" s="154"/>
      <c r="N15" s="154"/>
      <c r="O15" s="154"/>
      <c r="P15" s="154"/>
      <c r="Q15" s="154"/>
      <c r="R15" s="154"/>
      <c r="S15" s="154"/>
      <c r="T15" s="154"/>
      <c r="U15" s="154"/>
      <c r="V15" s="154"/>
      <c r="W15" s="154"/>
      <c r="X15" s="154"/>
      <c r="Y15" s="154"/>
      <c r="Z15" s="154"/>
      <c r="AA15" s="154"/>
    </row>
    <row r="16">
      <c r="A16" s="154"/>
      <c r="B16" s="154"/>
      <c r="C16" s="54" t="s">
        <v>6197</v>
      </c>
      <c r="D16" s="153" t="s">
        <v>6260</v>
      </c>
      <c r="E16" s="54" t="s">
        <v>6655</v>
      </c>
      <c r="F16" s="154"/>
      <c r="G16" s="55"/>
      <c r="H16" s="21"/>
      <c r="I16" s="154"/>
      <c r="J16" s="154"/>
      <c r="K16" s="154"/>
      <c r="L16" s="154"/>
      <c r="M16" s="154"/>
      <c r="N16" s="154"/>
      <c r="O16" s="154"/>
      <c r="P16" s="154"/>
      <c r="Q16" s="154"/>
      <c r="R16" s="154"/>
      <c r="S16" s="154"/>
      <c r="T16" s="154"/>
      <c r="U16" s="154"/>
      <c r="V16" s="154"/>
      <c r="W16" s="154"/>
      <c r="X16" s="154"/>
      <c r="Y16" s="154"/>
      <c r="Z16" s="154"/>
      <c r="AA16" s="154"/>
    </row>
    <row r="17">
      <c r="A17" s="154"/>
      <c r="B17" s="154"/>
      <c r="C17" s="54" t="s">
        <v>168</v>
      </c>
      <c r="D17" s="153" t="s">
        <v>6656</v>
      </c>
      <c r="E17" s="54" t="s">
        <v>6151</v>
      </c>
      <c r="F17" s="154"/>
      <c r="G17" s="55"/>
      <c r="H17" s="21"/>
      <c r="I17" s="154"/>
      <c r="J17" s="154"/>
      <c r="K17" s="154"/>
      <c r="L17" s="154"/>
      <c r="M17" s="154"/>
      <c r="N17" s="154"/>
      <c r="O17" s="154"/>
      <c r="P17" s="154"/>
      <c r="Q17" s="154"/>
      <c r="R17" s="154"/>
      <c r="S17" s="154"/>
      <c r="T17" s="154"/>
      <c r="U17" s="154"/>
      <c r="V17" s="154"/>
      <c r="W17" s="154"/>
      <c r="X17" s="154"/>
      <c r="Y17" s="154"/>
      <c r="Z17" s="154"/>
      <c r="AA17" s="154"/>
    </row>
    <row r="18">
      <c r="A18" s="154"/>
      <c r="B18" s="154"/>
      <c r="C18" s="54" t="s">
        <v>138</v>
      </c>
      <c r="D18" s="153" t="s">
        <v>5997</v>
      </c>
      <c r="E18" s="54" t="s">
        <v>6257</v>
      </c>
      <c r="F18" s="154"/>
      <c r="G18" s="55"/>
      <c r="H18" s="21"/>
      <c r="I18" s="154"/>
      <c r="J18" s="154"/>
      <c r="K18" s="154"/>
      <c r="L18" s="154"/>
      <c r="M18" s="154"/>
      <c r="N18" s="154"/>
      <c r="O18" s="154"/>
      <c r="P18" s="154"/>
      <c r="Q18" s="154"/>
      <c r="R18" s="154"/>
      <c r="S18" s="154"/>
      <c r="T18" s="154"/>
      <c r="U18" s="154"/>
      <c r="V18" s="154"/>
      <c r="W18" s="154"/>
      <c r="X18" s="154"/>
      <c r="Y18" s="154"/>
      <c r="Z18" s="154"/>
      <c r="AA18" s="154"/>
    </row>
    <row r="19">
      <c r="A19" s="154"/>
      <c r="B19" s="154"/>
      <c r="C19" s="54" t="s">
        <v>252</v>
      </c>
      <c r="D19" s="153" t="s">
        <v>6657</v>
      </c>
      <c r="E19" s="54" t="s">
        <v>6254</v>
      </c>
      <c r="F19" s="154"/>
      <c r="G19" s="55"/>
      <c r="H19" s="21"/>
      <c r="I19" s="154"/>
      <c r="J19" s="154"/>
      <c r="K19" s="154"/>
      <c r="L19" s="154"/>
      <c r="M19" s="154"/>
      <c r="N19" s="154"/>
      <c r="O19" s="154"/>
      <c r="P19" s="154"/>
      <c r="Q19" s="154"/>
      <c r="R19" s="154"/>
      <c r="S19" s="154"/>
      <c r="T19" s="154"/>
      <c r="U19" s="154"/>
      <c r="V19" s="154"/>
      <c r="W19" s="154"/>
      <c r="X19" s="154"/>
      <c r="Y19" s="154"/>
      <c r="Z19" s="154"/>
      <c r="AA19" s="154"/>
    </row>
    <row r="20">
      <c r="A20" s="154"/>
      <c r="B20" s="154"/>
      <c r="C20" s="152" t="s">
        <v>6173</v>
      </c>
      <c r="D20" s="153" t="s">
        <v>6387</v>
      </c>
      <c r="E20" s="54" t="s">
        <v>6233</v>
      </c>
      <c r="F20" s="154"/>
      <c r="G20" s="55"/>
      <c r="H20" s="21"/>
      <c r="I20" s="154"/>
      <c r="J20" s="154"/>
      <c r="K20" s="154"/>
      <c r="L20" s="154"/>
      <c r="M20" s="154"/>
      <c r="N20" s="154"/>
      <c r="O20" s="154"/>
      <c r="P20" s="154"/>
      <c r="Q20" s="154"/>
      <c r="R20" s="154"/>
      <c r="S20" s="154"/>
      <c r="T20" s="154"/>
      <c r="U20" s="154"/>
      <c r="V20" s="154"/>
      <c r="W20" s="154"/>
      <c r="X20" s="154"/>
      <c r="Y20" s="154"/>
      <c r="Z20" s="154"/>
      <c r="AA20" s="154"/>
    </row>
    <row r="21">
      <c r="A21" s="154"/>
      <c r="B21" s="154"/>
      <c r="C21" s="152" t="s">
        <v>6658</v>
      </c>
      <c r="D21" s="153" t="s">
        <v>6464</v>
      </c>
      <c r="E21" s="54" t="s">
        <v>6268</v>
      </c>
      <c r="F21" s="154"/>
      <c r="G21" s="55"/>
      <c r="H21" s="21"/>
      <c r="I21" s="154"/>
      <c r="J21" s="154"/>
      <c r="K21" s="154"/>
      <c r="L21" s="154"/>
      <c r="M21" s="154"/>
      <c r="N21" s="154"/>
      <c r="O21" s="154"/>
      <c r="P21" s="154"/>
      <c r="Q21" s="154"/>
      <c r="R21" s="154"/>
      <c r="S21" s="154"/>
      <c r="T21" s="154"/>
      <c r="U21" s="154"/>
      <c r="V21" s="154"/>
      <c r="W21" s="154"/>
      <c r="X21" s="154"/>
      <c r="Y21" s="154"/>
      <c r="Z21" s="154"/>
      <c r="AA21" s="154"/>
    </row>
    <row r="22">
      <c r="A22" s="154"/>
      <c r="B22" s="154"/>
      <c r="C22" s="152" t="s">
        <v>5984</v>
      </c>
      <c r="D22" s="153" t="s">
        <v>5985</v>
      </c>
      <c r="E22" s="54" t="s">
        <v>6659</v>
      </c>
      <c r="F22" s="154"/>
      <c r="G22" s="55"/>
      <c r="H22" s="21"/>
      <c r="I22" s="154"/>
      <c r="J22" s="154"/>
      <c r="K22" s="154"/>
      <c r="L22" s="154"/>
      <c r="M22" s="154"/>
      <c r="N22" s="154"/>
      <c r="O22" s="154"/>
      <c r="P22" s="154"/>
      <c r="Q22" s="154"/>
      <c r="R22" s="154"/>
      <c r="S22" s="154"/>
      <c r="T22" s="154"/>
      <c r="U22" s="154"/>
      <c r="V22" s="154"/>
      <c r="W22" s="154"/>
      <c r="X22" s="154"/>
      <c r="Y22" s="154"/>
      <c r="Z22" s="154"/>
      <c r="AA22" s="154"/>
    </row>
    <row r="23">
      <c r="A23" s="154"/>
      <c r="B23" s="154"/>
      <c r="C23" s="152" t="s">
        <v>6170</v>
      </c>
      <c r="D23" s="153" t="s">
        <v>5993</v>
      </c>
      <c r="E23" s="54" t="s">
        <v>6660</v>
      </c>
      <c r="F23" s="154"/>
      <c r="G23" s="55"/>
      <c r="H23" s="21"/>
      <c r="I23" s="154"/>
      <c r="J23" s="154"/>
      <c r="K23" s="154"/>
      <c r="L23" s="154"/>
      <c r="M23" s="154"/>
      <c r="N23" s="154"/>
      <c r="O23" s="154"/>
      <c r="P23" s="154"/>
      <c r="Q23" s="154"/>
      <c r="R23" s="154"/>
      <c r="S23" s="154"/>
      <c r="T23" s="154"/>
      <c r="U23" s="154"/>
      <c r="V23" s="154"/>
      <c r="W23" s="154"/>
      <c r="X23" s="154"/>
      <c r="Y23" s="154"/>
      <c r="Z23" s="154"/>
      <c r="AA23" s="154"/>
    </row>
    <row r="24">
      <c r="A24" s="154"/>
      <c r="B24" s="154"/>
      <c r="C24" s="152" t="s">
        <v>6661</v>
      </c>
      <c r="D24" s="153" t="s">
        <v>6150</v>
      </c>
      <c r="E24" s="54" t="s">
        <v>6029</v>
      </c>
      <c r="F24" s="154"/>
      <c r="G24" s="55"/>
      <c r="H24" s="21"/>
      <c r="I24" s="154"/>
      <c r="J24" s="154"/>
      <c r="K24" s="154"/>
      <c r="L24" s="154"/>
      <c r="M24" s="154"/>
      <c r="N24" s="154"/>
      <c r="O24" s="154"/>
      <c r="P24" s="154"/>
      <c r="Q24" s="154"/>
      <c r="R24" s="154"/>
      <c r="S24" s="154"/>
      <c r="T24" s="154"/>
      <c r="U24" s="154"/>
      <c r="V24" s="154"/>
      <c r="W24" s="154"/>
      <c r="X24" s="154"/>
      <c r="Y24" s="154"/>
      <c r="Z24" s="154"/>
      <c r="AA24" s="154"/>
    </row>
    <row r="25">
      <c r="A25" s="154"/>
      <c r="B25" s="154"/>
      <c r="C25" s="54" t="s">
        <v>43</v>
      </c>
      <c r="D25" s="153" t="s">
        <v>6137</v>
      </c>
      <c r="E25" s="54" t="s">
        <v>6171</v>
      </c>
      <c r="F25" s="154"/>
      <c r="G25" s="55"/>
      <c r="H25" s="21"/>
      <c r="I25" s="154"/>
      <c r="J25" s="154"/>
      <c r="K25" s="154"/>
      <c r="L25" s="154"/>
      <c r="M25" s="154"/>
      <c r="N25" s="154"/>
      <c r="O25" s="154"/>
      <c r="P25" s="154"/>
      <c r="Q25" s="154"/>
      <c r="R25" s="154"/>
      <c r="S25" s="154"/>
      <c r="T25" s="154"/>
      <c r="U25" s="154"/>
      <c r="V25" s="154"/>
      <c r="W25" s="154"/>
      <c r="X25" s="154"/>
      <c r="Y25" s="154"/>
      <c r="Z25" s="154"/>
      <c r="AA25" s="154"/>
    </row>
    <row r="26">
      <c r="A26" s="154"/>
      <c r="B26" s="154"/>
      <c r="C26" s="152" t="s">
        <v>6662</v>
      </c>
      <c r="D26" s="153" t="s">
        <v>6147</v>
      </c>
      <c r="E26" s="54" t="s">
        <v>6663</v>
      </c>
      <c r="F26" s="154"/>
      <c r="G26" s="55"/>
      <c r="H26" s="21"/>
      <c r="I26" s="154"/>
      <c r="J26" s="154"/>
      <c r="K26" s="154"/>
      <c r="L26" s="154"/>
      <c r="M26" s="154"/>
      <c r="N26" s="154"/>
      <c r="O26" s="154"/>
      <c r="P26" s="154"/>
      <c r="Q26" s="154"/>
      <c r="R26" s="154"/>
      <c r="S26" s="154"/>
      <c r="T26" s="154"/>
      <c r="U26" s="154"/>
      <c r="V26" s="154"/>
      <c r="W26" s="154"/>
      <c r="X26" s="154"/>
      <c r="Y26" s="154"/>
      <c r="Z26" s="154"/>
      <c r="AA26" s="154"/>
    </row>
    <row r="27">
      <c r="A27" s="154"/>
      <c r="B27" s="154"/>
      <c r="C27" s="152" t="s">
        <v>6028</v>
      </c>
      <c r="D27" s="153" t="s">
        <v>5981</v>
      </c>
      <c r="E27" s="54" t="s">
        <v>6141</v>
      </c>
      <c r="F27" s="154"/>
      <c r="G27" s="55"/>
      <c r="H27" s="21"/>
      <c r="I27" s="154"/>
      <c r="J27" s="154"/>
      <c r="K27" s="154"/>
      <c r="L27" s="154"/>
      <c r="M27" s="154"/>
      <c r="N27" s="154"/>
      <c r="O27" s="154"/>
      <c r="P27" s="154"/>
      <c r="Q27" s="154"/>
      <c r="R27" s="154"/>
      <c r="S27" s="154"/>
      <c r="T27" s="154"/>
      <c r="U27" s="154"/>
      <c r="V27" s="154"/>
      <c r="W27" s="154"/>
      <c r="X27" s="154"/>
      <c r="Y27" s="154"/>
      <c r="Z27" s="154"/>
      <c r="AA27" s="154"/>
    </row>
    <row r="28">
      <c r="A28" s="154"/>
      <c r="B28" s="154"/>
      <c r="C28" s="54" t="s">
        <v>166</v>
      </c>
      <c r="D28" s="153" t="s">
        <v>6021</v>
      </c>
      <c r="E28" s="54" t="s">
        <v>6099</v>
      </c>
      <c r="F28" s="154"/>
      <c r="G28" s="55"/>
      <c r="H28" s="21"/>
      <c r="I28" s="154"/>
      <c r="J28" s="154"/>
      <c r="K28" s="154"/>
      <c r="L28" s="154"/>
      <c r="M28" s="154"/>
      <c r="N28" s="154"/>
      <c r="O28" s="154"/>
      <c r="P28" s="154"/>
      <c r="Q28" s="154"/>
      <c r="R28" s="154"/>
      <c r="S28" s="154"/>
      <c r="T28" s="154"/>
      <c r="U28" s="154"/>
      <c r="V28" s="154"/>
      <c r="W28" s="154"/>
      <c r="X28" s="154"/>
      <c r="Y28" s="154"/>
      <c r="Z28" s="154"/>
      <c r="AA28" s="154"/>
    </row>
    <row r="29">
      <c r="A29" s="154"/>
      <c r="B29" s="154"/>
      <c r="C29" s="152" t="s">
        <v>6664</v>
      </c>
      <c r="D29" s="153" t="s">
        <v>6665</v>
      </c>
      <c r="E29" s="54" t="s">
        <v>6187</v>
      </c>
      <c r="F29" s="154"/>
      <c r="G29" s="55"/>
      <c r="H29" s="21"/>
      <c r="I29" s="154"/>
      <c r="J29" s="154"/>
      <c r="K29" s="154"/>
      <c r="L29" s="154"/>
      <c r="M29" s="154"/>
      <c r="N29" s="154"/>
      <c r="O29" s="154"/>
      <c r="P29" s="154"/>
      <c r="Q29" s="154"/>
      <c r="R29" s="154"/>
      <c r="S29" s="154"/>
      <c r="T29" s="154"/>
      <c r="U29" s="154"/>
      <c r="V29" s="154"/>
      <c r="W29" s="154"/>
      <c r="X29" s="154"/>
      <c r="Y29" s="154"/>
      <c r="Z29" s="154"/>
      <c r="AA29" s="154"/>
    </row>
    <row r="30">
      <c r="A30" s="154"/>
      <c r="B30" s="154"/>
      <c r="C30" s="152" t="s">
        <v>6214</v>
      </c>
      <c r="D30" s="54" t="s">
        <v>6300</v>
      </c>
      <c r="E30" s="54" t="s">
        <v>6666</v>
      </c>
      <c r="F30" s="154"/>
      <c r="G30" s="55"/>
      <c r="H30" s="21"/>
      <c r="I30" s="154"/>
      <c r="J30" s="154"/>
      <c r="K30" s="154"/>
      <c r="L30" s="154"/>
      <c r="M30" s="154"/>
      <c r="N30" s="154"/>
      <c r="O30" s="154"/>
      <c r="P30" s="154"/>
      <c r="Q30" s="154"/>
      <c r="R30" s="154"/>
      <c r="S30" s="154"/>
      <c r="T30" s="154"/>
      <c r="U30" s="154"/>
      <c r="V30" s="154"/>
      <c r="W30" s="154"/>
      <c r="X30" s="154"/>
      <c r="Y30" s="154"/>
      <c r="Z30" s="154"/>
      <c r="AA30" s="154"/>
    </row>
    <row r="31">
      <c r="A31" s="154"/>
      <c r="B31" s="154"/>
      <c r="C31" s="152" t="s">
        <v>6667</v>
      </c>
      <c r="D31" s="154"/>
      <c r="E31" s="54" t="s">
        <v>6668</v>
      </c>
      <c r="F31" s="154"/>
      <c r="G31" s="55"/>
      <c r="H31" s="21"/>
      <c r="I31" s="154"/>
      <c r="J31" s="154"/>
      <c r="K31" s="154"/>
      <c r="L31" s="154"/>
      <c r="M31" s="154"/>
      <c r="N31" s="154"/>
      <c r="O31" s="154"/>
      <c r="P31" s="154"/>
      <c r="Q31" s="154"/>
      <c r="R31" s="154"/>
      <c r="S31" s="154"/>
      <c r="T31" s="154"/>
      <c r="U31" s="154"/>
      <c r="V31" s="154"/>
      <c r="W31" s="154"/>
      <c r="X31" s="154"/>
      <c r="Y31" s="154"/>
      <c r="Z31" s="154"/>
      <c r="AA31" s="154"/>
    </row>
    <row r="32">
      <c r="A32" s="154"/>
      <c r="B32" s="154"/>
      <c r="C32" s="152" t="s">
        <v>6061</v>
      </c>
      <c r="D32" s="154"/>
      <c r="E32" s="54" t="s">
        <v>6669</v>
      </c>
      <c r="F32" s="154"/>
      <c r="G32" s="55"/>
      <c r="H32" s="21"/>
      <c r="I32" s="154"/>
      <c r="J32" s="154"/>
      <c r="K32" s="154"/>
      <c r="L32" s="154"/>
      <c r="M32" s="154"/>
      <c r="N32" s="154"/>
      <c r="O32" s="154"/>
      <c r="P32" s="154"/>
      <c r="Q32" s="154"/>
      <c r="R32" s="154"/>
      <c r="S32" s="154"/>
      <c r="T32" s="154"/>
      <c r="U32" s="154"/>
      <c r="V32" s="154"/>
      <c r="W32" s="154"/>
      <c r="X32" s="154"/>
      <c r="Y32" s="154"/>
      <c r="Z32" s="154"/>
      <c r="AA32" s="154"/>
    </row>
    <row r="33">
      <c r="A33" s="154"/>
      <c r="B33" s="154"/>
      <c r="C33" s="152" t="s">
        <v>6039</v>
      </c>
      <c r="D33" s="154"/>
      <c r="E33" s="54" t="s">
        <v>6033</v>
      </c>
      <c r="F33" s="154"/>
      <c r="G33" s="55"/>
      <c r="H33" s="21"/>
      <c r="I33" s="154"/>
      <c r="J33" s="154"/>
      <c r="K33" s="154"/>
      <c r="L33" s="154"/>
      <c r="M33" s="154"/>
      <c r="N33" s="154"/>
      <c r="O33" s="154"/>
      <c r="P33" s="154"/>
      <c r="Q33" s="154"/>
      <c r="R33" s="154"/>
      <c r="S33" s="154"/>
      <c r="T33" s="154"/>
      <c r="U33" s="154"/>
      <c r="V33" s="154"/>
      <c r="W33" s="154"/>
      <c r="X33" s="154"/>
      <c r="Y33" s="154"/>
      <c r="Z33" s="154"/>
      <c r="AA33" s="154"/>
    </row>
    <row r="34">
      <c r="A34" s="154"/>
      <c r="B34" s="154"/>
      <c r="C34" s="152" t="s">
        <v>6161</v>
      </c>
      <c r="D34" s="154"/>
      <c r="E34" s="54" t="s">
        <v>6670</v>
      </c>
      <c r="F34" s="154"/>
      <c r="G34" s="55"/>
      <c r="H34" s="21"/>
      <c r="I34" s="154"/>
      <c r="J34" s="154"/>
      <c r="K34" s="154"/>
      <c r="L34" s="154"/>
      <c r="M34" s="154"/>
      <c r="N34" s="154"/>
      <c r="O34" s="154"/>
      <c r="P34" s="154"/>
      <c r="Q34" s="154"/>
      <c r="R34" s="154"/>
      <c r="S34" s="154"/>
      <c r="T34" s="154"/>
      <c r="U34" s="154"/>
      <c r="V34" s="154"/>
      <c r="W34" s="154"/>
      <c r="X34" s="154"/>
      <c r="Y34" s="154"/>
      <c r="Z34" s="154"/>
      <c r="AA34" s="154"/>
    </row>
    <row r="35">
      <c r="A35" s="154"/>
      <c r="B35" s="154"/>
      <c r="C35" s="152" t="s">
        <v>6013</v>
      </c>
      <c r="D35" s="154"/>
      <c r="E35" s="54" t="s">
        <v>6070</v>
      </c>
      <c r="F35" s="154"/>
      <c r="G35" s="55"/>
      <c r="H35" s="21"/>
      <c r="I35" s="154"/>
      <c r="J35" s="154"/>
      <c r="K35" s="154"/>
      <c r="L35" s="154"/>
      <c r="M35" s="154"/>
      <c r="N35" s="154"/>
      <c r="O35" s="154"/>
      <c r="P35" s="154"/>
      <c r="Q35" s="154"/>
      <c r="R35" s="154"/>
      <c r="S35" s="154"/>
      <c r="T35" s="154"/>
      <c r="U35" s="154"/>
      <c r="V35" s="154"/>
      <c r="W35" s="154"/>
      <c r="X35" s="154"/>
      <c r="Y35" s="154"/>
      <c r="Z35" s="154"/>
      <c r="AA35" s="154"/>
    </row>
    <row r="36">
      <c r="A36" s="154"/>
      <c r="B36" s="154"/>
      <c r="C36" s="54" t="s">
        <v>16</v>
      </c>
      <c r="D36" s="154"/>
      <c r="E36" s="54" t="s">
        <v>6671</v>
      </c>
      <c r="F36" s="154"/>
      <c r="G36" s="55"/>
      <c r="H36" s="21"/>
      <c r="I36" s="154"/>
      <c r="J36" s="154"/>
      <c r="K36" s="154"/>
      <c r="L36" s="154"/>
      <c r="M36" s="154"/>
      <c r="N36" s="154"/>
      <c r="O36" s="154"/>
      <c r="P36" s="154"/>
      <c r="Q36" s="154"/>
      <c r="R36" s="154"/>
      <c r="S36" s="154"/>
      <c r="T36" s="154"/>
      <c r="U36" s="154"/>
      <c r="V36" s="154"/>
      <c r="W36" s="154"/>
      <c r="X36" s="154"/>
      <c r="Y36" s="154"/>
      <c r="Z36" s="154"/>
      <c r="AA36" s="154"/>
    </row>
    <row r="37">
      <c r="A37" s="154"/>
      <c r="B37" s="154"/>
      <c r="C37" s="152" t="s">
        <v>6672</v>
      </c>
      <c r="D37" s="154"/>
      <c r="E37" s="54" t="s">
        <v>6251</v>
      </c>
      <c r="F37" s="154"/>
      <c r="G37" s="55"/>
      <c r="H37" s="21"/>
      <c r="I37" s="154"/>
      <c r="J37" s="154"/>
      <c r="K37" s="154"/>
      <c r="L37" s="154"/>
      <c r="M37" s="154"/>
      <c r="N37" s="154"/>
      <c r="O37" s="154"/>
      <c r="P37" s="154"/>
      <c r="Q37" s="154"/>
      <c r="R37" s="154"/>
      <c r="S37" s="154"/>
      <c r="T37" s="154"/>
      <c r="U37" s="154"/>
      <c r="V37" s="154"/>
      <c r="W37" s="154"/>
      <c r="X37" s="154"/>
      <c r="Y37" s="154"/>
      <c r="Z37" s="154"/>
      <c r="AA37" s="154"/>
    </row>
    <row r="38">
      <c r="A38" s="154"/>
      <c r="B38" s="154"/>
      <c r="C38" s="152" t="s">
        <v>5988</v>
      </c>
      <c r="D38" s="154"/>
      <c r="E38" s="54" t="s">
        <v>6261</v>
      </c>
      <c r="F38" s="154"/>
      <c r="G38" s="55"/>
      <c r="H38" s="21"/>
      <c r="I38" s="154"/>
      <c r="J38" s="154"/>
      <c r="K38" s="154"/>
      <c r="L38" s="154"/>
      <c r="M38" s="154"/>
      <c r="N38" s="154"/>
      <c r="O38" s="154"/>
      <c r="P38" s="154"/>
      <c r="Q38" s="154"/>
      <c r="R38" s="154"/>
      <c r="S38" s="154"/>
      <c r="T38" s="154"/>
      <c r="U38" s="154"/>
      <c r="V38" s="154"/>
      <c r="W38" s="154"/>
      <c r="X38" s="154"/>
      <c r="Y38" s="154"/>
      <c r="Z38" s="154"/>
      <c r="AA38" s="154"/>
    </row>
    <row r="39">
      <c r="A39" s="154"/>
      <c r="B39" s="154"/>
      <c r="C39" s="54" t="s">
        <v>105</v>
      </c>
      <c r="D39" s="154"/>
      <c r="E39" s="54" t="s">
        <v>6063</v>
      </c>
      <c r="F39" s="154"/>
      <c r="G39" s="55"/>
      <c r="H39" s="21"/>
      <c r="I39" s="154"/>
      <c r="J39" s="154"/>
      <c r="K39" s="154"/>
      <c r="L39" s="154"/>
      <c r="M39" s="154"/>
      <c r="N39" s="154"/>
      <c r="O39" s="154"/>
      <c r="P39" s="154"/>
      <c r="Q39" s="154"/>
      <c r="R39" s="154"/>
      <c r="S39" s="154"/>
      <c r="T39" s="154"/>
      <c r="U39" s="154"/>
      <c r="V39" s="154"/>
      <c r="W39" s="154"/>
      <c r="X39" s="154"/>
      <c r="Y39" s="154"/>
      <c r="Z39" s="154"/>
      <c r="AA39" s="154"/>
    </row>
    <row r="40">
      <c r="A40" s="154"/>
      <c r="B40" s="154"/>
      <c r="C40" s="152" t="s">
        <v>6042</v>
      </c>
      <c r="D40" s="154"/>
      <c r="E40" s="54" t="s">
        <v>6154</v>
      </c>
      <c r="F40" s="154"/>
      <c r="G40" s="55"/>
      <c r="H40" s="21"/>
      <c r="I40" s="154"/>
      <c r="J40" s="154"/>
      <c r="K40" s="154"/>
      <c r="L40" s="154"/>
      <c r="M40" s="154"/>
      <c r="N40" s="154"/>
      <c r="O40" s="154"/>
      <c r="P40" s="154"/>
      <c r="Q40" s="154"/>
      <c r="R40" s="154"/>
      <c r="S40" s="154"/>
      <c r="T40" s="154"/>
      <c r="U40" s="154"/>
      <c r="V40" s="154"/>
      <c r="W40" s="154"/>
      <c r="X40" s="154"/>
      <c r="Y40" s="154"/>
      <c r="Z40" s="154"/>
      <c r="AA40" s="154"/>
    </row>
    <row r="41">
      <c r="A41" s="154"/>
      <c r="B41" s="154"/>
      <c r="C41" s="54" t="s">
        <v>332</v>
      </c>
      <c r="D41" s="154"/>
      <c r="E41" s="54" t="s">
        <v>6673</v>
      </c>
      <c r="F41" s="154"/>
      <c r="G41" s="55"/>
      <c r="H41" s="21"/>
      <c r="I41" s="154"/>
      <c r="J41" s="154"/>
      <c r="K41" s="154"/>
      <c r="L41" s="154"/>
      <c r="M41" s="154"/>
      <c r="N41" s="154"/>
      <c r="O41" s="154"/>
      <c r="P41" s="154"/>
      <c r="Q41" s="154"/>
      <c r="R41" s="154"/>
      <c r="S41" s="154"/>
      <c r="T41" s="154"/>
      <c r="U41" s="154"/>
      <c r="V41" s="154"/>
      <c r="W41" s="154"/>
      <c r="X41" s="154"/>
      <c r="Y41" s="154"/>
      <c r="Z41" s="154"/>
      <c r="AA41" s="154"/>
    </row>
    <row r="42">
      <c r="A42" s="154"/>
      <c r="B42" s="154"/>
      <c r="C42" s="54" t="s">
        <v>6085</v>
      </c>
      <c r="D42" s="154"/>
      <c r="E42" s="54" t="s">
        <v>5994</v>
      </c>
      <c r="F42" s="154"/>
      <c r="G42" s="55"/>
      <c r="H42" s="21"/>
      <c r="I42" s="154"/>
      <c r="J42" s="154"/>
      <c r="K42" s="154"/>
      <c r="L42" s="154"/>
      <c r="M42" s="154"/>
      <c r="N42" s="154"/>
      <c r="O42" s="154"/>
      <c r="P42" s="154"/>
      <c r="Q42" s="154"/>
      <c r="R42" s="154"/>
      <c r="S42" s="154"/>
      <c r="T42" s="154"/>
      <c r="U42" s="154"/>
      <c r="V42" s="154"/>
      <c r="W42" s="154"/>
      <c r="X42" s="154"/>
      <c r="Y42" s="154"/>
      <c r="Z42" s="154"/>
      <c r="AA42" s="154"/>
    </row>
    <row r="43">
      <c r="A43" s="154"/>
      <c r="B43" s="154"/>
      <c r="C43" s="152" t="s">
        <v>6149</v>
      </c>
      <c r="D43" s="154"/>
      <c r="E43" s="54" t="s">
        <v>6228</v>
      </c>
      <c r="F43" s="154"/>
      <c r="G43" s="55"/>
      <c r="H43" s="21"/>
      <c r="I43" s="154"/>
      <c r="J43" s="154"/>
      <c r="K43" s="154"/>
      <c r="L43" s="154"/>
      <c r="M43" s="154"/>
      <c r="N43" s="154"/>
      <c r="O43" s="154"/>
      <c r="P43" s="154"/>
      <c r="Q43" s="154"/>
      <c r="R43" s="154"/>
      <c r="S43" s="154"/>
      <c r="T43" s="154"/>
      <c r="U43" s="154"/>
      <c r="V43" s="154"/>
      <c r="W43" s="154"/>
      <c r="X43" s="154"/>
      <c r="Y43" s="154"/>
      <c r="Z43" s="154"/>
      <c r="AA43" s="154"/>
    </row>
    <row r="44">
      <c r="A44" s="154"/>
      <c r="B44" s="154"/>
      <c r="C44" s="54" t="s">
        <v>246</v>
      </c>
      <c r="D44" s="154"/>
      <c r="E44" s="54" t="s">
        <v>5998</v>
      </c>
      <c r="F44" s="154"/>
      <c r="G44" s="55"/>
      <c r="H44" s="21"/>
      <c r="I44" s="154"/>
      <c r="J44" s="154"/>
      <c r="K44" s="154"/>
      <c r="L44" s="154"/>
      <c r="M44" s="154"/>
      <c r="N44" s="154"/>
      <c r="O44" s="154"/>
      <c r="P44" s="154"/>
      <c r="Q44" s="154"/>
      <c r="R44" s="154"/>
      <c r="S44" s="154"/>
      <c r="T44" s="154"/>
      <c r="U44" s="154"/>
      <c r="V44" s="154"/>
      <c r="W44" s="154"/>
      <c r="X44" s="154"/>
      <c r="Y44" s="154"/>
      <c r="Z44" s="154"/>
      <c r="AA44" s="154"/>
    </row>
    <row r="45">
      <c r="A45" s="154"/>
      <c r="B45" s="154"/>
      <c r="C45" s="152" t="s">
        <v>5992</v>
      </c>
      <c r="D45" s="154"/>
      <c r="E45" s="54" t="s">
        <v>6086</v>
      </c>
      <c r="F45" s="154"/>
      <c r="G45" s="55"/>
      <c r="H45" s="21"/>
      <c r="I45" s="154"/>
      <c r="J45" s="154"/>
      <c r="K45" s="154"/>
      <c r="L45" s="154"/>
      <c r="M45" s="154"/>
      <c r="N45" s="154"/>
      <c r="O45" s="154"/>
      <c r="P45" s="154"/>
      <c r="Q45" s="154"/>
      <c r="R45" s="154"/>
      <c r="S45" s="154"/>
      <c r="T45" s="154"/>
      <c r="U45" s="154"/>
      <c r="V45" s="154"/>
      <c r="W45" s="154"/>
      <c r="X45" s="154"/>
      <c r="Y45" s="154"/>
      <c r="Z45" s="154"/>
      <c r="AA45" s="154"/>
    </row>
    <row r="46">
      <c r="A46" s="154"/>
      <c r="B46" s="154"/>
      <c r="C46" s="152" t="s">
        <v>6674</v>
      </c>
      <c r="D46" s="154"/>
      <c r="E46" s="54" t="s">
        <v>6004</v>
      </c>
      <c r="F46" s="154"/>
      <c r="G46" s="55"/>
      <c r="H46" s="21"/>
      <c r="I46" s="154"/>
      <c r="J46" s="154"/>
      <c r="K46" s="154"/>
      <c r="L46" s="154"/>
      <c r="M46" s="154"/>
      <c r="N46" s="154"/>
      <c r="O46" s="154"/>
      <c r="P46" s="154"/>
      <c r="Q46" s="154"/>
      <c r="R46" s="154"/>
      <c r="S46" s="154"/>
      <c r="T46" s="154"/>
      <c r="U46" s="154"/>
      <c r="V46" s="154"/>
      <c r="W46" s="154"/>
      <c r="X46" s="154"/>
      <c r="Y46" s="154"/>
      <c r="Z46" s="154"/>
      <c r="AA46" s="154"/>
    </row>
    <row r="47">
      <c r="A47" s="154"/>
      <c r="B47" s="154"/>
      <c r="C47" s="152" t="s">
        <v>6044</v>
      </c>
      <c r="D47" s="154"/>
      <c r="E47" s="54" t="s">
        <v>6008</v>
      </c>
      <c r="F47" s="154"/>
      <c r="G47" s="55"/>
      <c r="H47" s="21"/>
      <c r="I47" s="154"/>
      <c r="J47" s="154"/>
      <c r="K47" s="154"/>
      <c r="L47" s="154"/>
      <c r="M47" s="154"/>
      <c r="N47" s="154"/>
      <c r="O47" s="154"/>
      <c r="P47" s="154"/>
      <c r="Q47" s="154"/>
      <c r="R47" s="154"/>
      <c r="S47" s="154"/>
      <c r="T47" s="154"/>
      <c r="U47" s="154"/>
      <c r="V47" s="154"/>
      <c r="W47" s="154"/>
      <c r="X47" s="154"/>
      <c r="Y47" s="154"/>
      <c r="Z47" s="154"/>
      <c r="AA47" s="154"/>
    </row>
    <row r="48">
      <c r="A48" s="154"/>
      <c r="B48" s="154"/>
      <c r="C48" s="152" t="s">
        <v>6675</v>
      </c>
      <c r="D48" s="154"/>
      <c r="E48" s="54" t="s">
        <v>6215</v>
      </c>
      <c r="F48" s="154"/>
      <c r="G48" s="55"/>
      <c r="H48" s="21"/>
      <c r="I48" s="154"/>
      <c r="J48" s="154"/>
      <c r="K48" s="154"/>
      <c r="L48" s="154"/>
      <c r="M48" s="154"/>
      <c r="N48" s="154"/>
      <c r="O48" s="154"/>
      <c r="P48" s="154"/>
      <c r="Q48" s="154"/>
      <c r="R48" s="154"/>
      <c r="S48" s="154"/>
      <c r="T48" s="154"/>
      <c r="U48" s="154"/>
      <c r="V48" s="154"/>
      <c r="W48" s="154"/>
      <c r="X48" s="154"/>
      <c r="Y48" s="154"/>
      <c r="Z48" s="154"/>
      <c r="AA48" s="154"/>
    </row>
    <row r="49">
      <c r="A49" s="154"/>
      <c r="B49" s="154"/>
      <c r="C49" s="54" t="s">
        <v>76</v>
      </c>
      <c r="D49" s="154"/>
      <c r="E49" s="54" t="s">
        <v>6225</v>
      </c>
      <c r="F49" s="154"/>
      <c r="G49" s="55"/>
      <c r="H49" s="21"/>
      <c r="I49" s="154"/>
      <c r="J49" s="154"/>
      <c r="K49" s="154"/>
      <c r="L49" s="154"/>
      <c r="M49" s="154"/>
      <c r="N49" s="154"/>
      <c r="O49" s="154"/>
      <c r="P49" s="154"/>
      <c r="Q49" s="154"/>
      <c r="R49" s="154"/>
      <c r="S49" s="154"/>
      <c r="T49" s="154"/>
      <c r="U49" s="154"/>
      <c r="V49" s="154"/>
      <c r="W49" s="154"/>
      <c r="X49" s="154"/>
      <c r="Y49" s="154"/>
      <c r="Z49" s="154"/>
      <c r="AA49" s="154"/>
    </row>
    <row r="50">
      <c r="A50" s="154"/>
      <c r="B50" s="154"/>
      <c r="C50" s="152" t="s">
        <v>6244</v>
      </c>
      <c r="D50" s="154"/>
      <c r="E50" s="54" t="s">
        <v>6179</v>
      </c>
      <c r="F50" s="154"/>
      <c r="G50" s="55"/>
      <c r="H50" s="21"/>
      <c r="I50" s="154"/>
      <c r="J50" s="154"/>
      <c r="K50" s="154"/>
      <c r="L50" s="154"/>
      <c r="M50" s="154"/>
      <c r="N50" s="154"/>
      <c r="O50" s="154"/>
      <c r="P50" s="154"/>
      <c r="Q50" s="154"/>
      <c r="R50" s="154"/>
      <c r="S50" s="154"/>
      <c r="T50" s="154"/>
      <c r="U50" s="154"/>
      <c r="V50" s="154"/>
      <c r="W50" s="154"/>
      <c r="X50" s="154"/>
      <c r="Y50" s="154"/>
      <c r="Z50" s="154"/>
      <c r="AA50" s="154"/>
    </row>
    <row r="51">
      <c r="A51" s="154"/>
      <c r="B51" s="154"/>
      <c r="C51" s="152" t="s">
        <v>6676</v>
      </c>
      <c r="D51" s="154"/>
      <c r="E51" s="54" t="s">
        <v>6165</v>
      </c>
      <c r="F51" s="154"/>
      <c r="G51" s="55"/>
      <c r="H51" s="21"/>
      <c r="I51" s="154"/>
      <c r="J51" s="154"/>
      <c r="K51" s="154"/>
      <c r="L51" s="154"/>
      <c r="M51" s="154"/>
      <c r="N51" s="154"/>
      <c r="O51" s="154"/>
      <c r="P51" s="154"/>
      <c r="Q51" s="154"/>
      <c r="R51" s="154"/>
      <c r="S51" s="154"/>
      <c r="T51" s="154"/>
      <c r="U51" s="154"/>
      <c r="V51" s="154"/>
      <c r="W51" s="154"/>
      <c r="X51" s="154"/>
      <c r="Y51" s="154"/>
      <c r="Z51" s="154"/>
      <c r="AA51" s="154"/>
    </row>
    <row r="52">
      <c r="A52" s="154"/>
      <c r="B52" s="154"/>
      <c r="C52" s="152" t="s">
        <v>6182</v>
      </c>
      <c r="D52" s="154"/>
      <c r="E52" s="54" t="s">
        <v>6014</v>
      </c>
      <c r="F52" s="154"/>
      <c r="G52" s="55"/>
      <c r="H52" s="21"/>
      <c r="I52" s="154"/>
      <c r="J52" s="154"/>
      <c r="K52" s="154"/>
      <c r="L52" s="154"/>
      <c r="M52" s="154"/>
      <c r="N52" s="154"/>
      <c r="O52" s="154"/>
      <c r="P52" s="154"/>
      <c r="Q52" s="154"/>
      <c r="R52" s="154"/>
      <c r="S52" s="154"/>
      <c r="T52" s="154"/>
      <c r="U52" s="154"/>
      <c r="V52" s="154"/>
      <c r="W52" s="154"/>
      <c r="X52" s="154"/>
      <c r="Y52" s="154"/>
      <c r="Z52" s="154"/>
      <c r="AA52" s="154"/>
    </row>
    <row r="53">
      <c r="A53" s="154"/>
      <c r="B53" s="154"/>
      <c r="C53" s="54" t="s">
        <v>1206</v>
      </c>
      <c r="D53" s="154"/>
      <c r="E53" s="54" t="s">
        <v>6026</v>
      </c>
      <c r="F53" s="154"/>
      <c r="G53" s="55"/>
      <c r="H53" s="21"/>
      <c r="I53" s="154"/>
      <c r="J53" s="154"/>
      <c r="K53" s="154"/>
      <c r="L53" s="154"/>
      <c r="M53" s="154"/>
      <c r="N53" s="154"/>
      <c r="O53" s="154"/>
      <c r="P53" s="154"/>
      <c r="Q53" s="154"/>
      <c r="R53" s="154"/>
      <c r="S53" s="154"/>
      <c r="T53" s="154"/>
      <c r="U53" s="154"/>
      <c r="V53" s="154"/>
      <c r="W53" s="154"/>
      <c r="X53" s="154"/>
      <c r="Y53" s="154"/>
      <c r="Z53" s="154"/>
      <c r="AA53" s="154"/>
    </row>
    <row r="54">
      <c r="A54" s="154"/>
      <c r="B54" s="154"/>
      <c r="C54" s="152" t="s">
        <v>6065</v>
      </c>
      <c r="D54" s="154"/>
      <c r="E54" s="54" t="s">
        <v>6264</v>
      </c>
      <c r="F54" s="154"/>
      <c r="G54" s="55"/>
      <c r="H54" s="21"/>
      <c r="I54" s="154"/>
      <c r="J54" s="154"/>
      <c r="K54" s="154"/>
      <c r="L54" s="154"/>
      <c r="M54" s="154"/>
      <c r="N54" s="154"/>
      <c r="O54" s="154"/>
      <c r="P54" s="154"/>
      <c r="Q54" s="154"/>
      <c r="R54" s="154"/>
      <c r="S54" s="154"/>
      <c r="T54" s="154"/>
      <c r="U54" s="154"/>
      <c r="V54" s="154"/>
      <c r="W54" s="154"/>
      <c r="X54" s="154"/>
      <c r="Y54" s="154"/>
      <c r="Z54" s="154"/>
      <c r="AA54" s="154"/>
    </row>
    <row r="55">
      <c r="A55" s="154"/>
      <c r="B55" s="154"/>
      <c r="C55" s="152" t="s">
        <v>5996</v>
      </c>
      <c r="D55" s="154"/>
      <c r="E55" s="54" t="s">
        <v>6045</v>
      </c>
      <c r="F55" s="154"/>
      <c r="G55" s="55"/>
      <c r="H55" s="21"/>
      <c r="I55" s="154"/>
      <c r="J55" s="154"/>
      <c r="K55" s="154"/>
      <c r="L55" s="154"/>
      <c r="M55" s="154"/>
      <c r="N55" s="154"/>
      <c r="O55" s="154"/>
      <c r="P55" s="154"/>
      <c r="Q55" s="154"/>
      <c r="R55" s="154"/>
      <c r="S55" s="154"/>
      <c r="T55" s="154"/>
      <c r="U55" s="154"/>
      <c r="V55" s="154"/>
      <c r="W55" s="154"/>
      <c r="X55" s="154"/>
      <c r="Y55" s="154"/>
      <c r="Z55" s="154"/>
      <c r="AA55" s="154"/>
    </row>
    <row r="56">
      <c r="A56" s="154"/>
      <c r="B56" s="154"/>
      <c r="C56" s="152" t="s">
        <v>6239</v>
      </c>
      <c r="D56" s="154"/>
      <c r="E56" s="54" t="s">
        <v>6066</v>
      </c>
      <c r="F56" s="154"/>
      <c r="G56" s="55"/>
      <c r="H56" s="21"/>
      <c r="I56" s="154"/>
      <c r="J56" s="154"/>
      <c r="K56" s="154"/>
      <c r="L56" s="154"/>
      <c r="M56" s="154"/>
      <c r="N56" s="154"/>
      <c r="O56" s="154"/>
      <c r="P56" s="154"/>
      <c r="Q56" s="154"/>
      <c r="R56" s="154"/>
      <c r="S56" s="154"/>
      <c r="T56" s="154"/>
      <c r="U56" s="154"/>
      <c r="V56" s="154"/>
      <c r="W56" s="154"/>
      <c r="X56" s="154"/>
      <c r="Y56" s="154"/>
      <c r="Z56" s="154"/>
      <c r="AA56" s="154"/>
    </row>
    <row r="57">
      <c r="A57" s="154"/>
      <c r="B57" s="154"/>
      <c r="C57" s="54" t="s">
        <v>79</v>
      </c>
      <c r="D57" s="154"/>
      <c r="E57" s="54" t="s">
        <v>6677</v>
      </c>
      <c r="F57" s="154"/>
      <c r="G57" s="55"/>
      <c r="H57" s="21"/>
      <c r="I57" s="154"/>
      <c r="J57" s="154"/>
      <c r="K57" s="154"/>
      <c r="L57" s="154"/>
      <c r="M57" s="154"/>
      <c r="N57" s="154"/>
      <c r="O57" s="154"/>
      <c r="P57" s="154"/>
      <c r="Q57" s="154"/>
      <c r="R57" s="154"/>
      <c r="S57" s="154"/>
      <c r="T57" s="154"/>
      <c r="U57" s="154"/>
      <c r="V57" s="154"/>
      <c r="W57" s="154"/>
      <c r="X57" s="154"/>
      <c r="Y57" s="154"/>
      <c r="Z57" s="154"/>
      <c r="AA57" s="154"/>
    </row>
    <row r="58">
      <c r="A58" s="154"/>
      <c r="B58" s="154"/>
      <c r="C58" s="152" t="s">
        <v>6146</v>
      </c>
      <c r="D58" s="154"/>
      <c r="E58" s="54" t="s">
        <v>6678</v>
      </c>
      <c r="F58" s="154"/>
      <c r="G58" s="55"/>
      <c r="H58" s="21"/>
      <c r="I58" s="154"/>
      <c r="J58" s="154"/>
      <c r="K58" s="154"/>
      <c r="L58" s="154"/>
      <c r="M58" s="154"/>
      <c r="N58" s="154"/>
      <c r="O58" s="154"/>
      <c r="P58" s="154"/>
      <c r="Q58" s="154"/>
      <c r="R58" s="154"/>
      <c r="S58" s="154"/>
      <c r="T58" s="154"/>
      <c r="U58" s="154"/>
      <c r="V58" s="154"/>
      <c r="W58" s="154"/>
      <c r="X58" s="154"/>
      <c r="Y58" s="154"/>
      <c r="Z58" s="154"/>
      <c r="AA58" s="154"/>
    </row>
    <row r="59">
      <c r="A59" s="154"/>
      <c r="B59" s="154"/>
      <c r="C59" s="54" t="s">
        <v>1221</v>
      </c>
      <c r="D59" s="154"/>
      <c r="E59" s="54" t="s">
        <v>6022</v>
      </c>
      <c r="F59" s="154"/>
      <c r="G59" s="55"/>
      <c r="H59" s="21"/>
      <c r="I59" s="154"/>
      <c r="J59" s="154"/>
      <c r="K59" s="154"/>
      <c r="L59" s="154"/>
      <c r="M59" s="154"/>
      <c r="N59" s="154"/>
      <c r="O59" s="154"/>
      <c r="P59" s="154"/>
      <c r="Q59" s="154"/>
      <c r="R59" s="154"/>
      <c r="S59" s="154"/>
      <c r="T59" s="154"/>
      <c r="U59" s="154"/>
      <c r="V59" s="154"/>
      <c r="W59" s="154"/>
      <c r="X59" s="154"/>
      <c r="Y59" s="154"/>
      <c r="Z59" s="154"/>
      <c r="AA59" s="154"/>
    </row>
    <row r="60">
      <c r="A60" s="154"/>
      <c r="B60" s="154"/>
      <c r="C60" s="152" t="s">
        <v>6253</v>
      </c>
      <c r="D60" s="154"/>
      <c r="E60" s="54" t="s">
        <v>6138</v>
      </c>
      <c r="F60" s="154"/>
      <c r="G60" s="55"/>
      <c r="H60" s="21"/>
      <c r="I60" s="154"/>
      <c r="J60" s="154"/>
      <c r="K60" s="154"/>
      <c r="L60" s="154"/>
      <c r="M60" s="154"/>
      <c r="N60" s="154"/>
      <c r="O60" s="154"/>
      <c r="P60" s="154"/>
      <c r="Q60" s="154"/>
      <c r="R60" s="154"/>
      <c r="S60" s="154"/>
      <c r="T60" s="154"/>
      <c r="U60" s="154"/>
      <c r="V60" s="154"/>
      <c r="W60" s="154"/>
      <c r="X60" s="154"/>
      <c r="Y60" s="154"/>
      <c r="Z60" s="154"/>
      <c r="AA60" s="154"/>
    </row>
    <row r="61">
      <c r="A61" s="154"/>
      <c r="B61" s="154"/>
      <c r="C61" s="152" t="s">
        <v>6679</v>
      </c>
      <c r="D61" s="154"/>
      <c r="E61" s="54" t="s">
        <v>6000</v>
      </c>
      <c r="F61" s="154"/>
      <c r="G61" s="55"/>
      <c r="H61" s="21"/>
      <c r="I61" s="154"/>
      <c r="J61" s="154"/>
      <c r="K61" s="154"/>
      <c r="L61" s="154"/>
      <c r="M61" s="154"/>
      <c r="N61" s="154"/>
      <c r="O61" s="154"/>
      <c r="P61" s="154"/>
      <c r="Q61" s="154"/>
      <c r="R61" s="154"/>
      <c r="S61" s="154"/>
      <c r="T61" s="154"/>
      <c r="U61" s="154"/>
      <c r="V61" s="154"/>
      <c r="W61" s="154"/>
      <c r="X61" s="154"/>
      <c r="Y61" s="154"/>
      <c r="Z61" s="154"/>
      <c r="AA61" s="154"/>
    </row>
    <row r="62">
      <c r="A62" s="154"/>
      <c r="B62" s="154"/>
      <c r="C62" s="152" t="s">
        <v>6256</v>
      </c>
      <c r="D62" s="154"/>
      <c r="E62" s="54" t="s">
        <v>6112</v>
      </c>
      <c r="F62" s="154"/>
      <c r="G62" s="55"/>
      <c r="H62" s="21"/>
      <c r="I62" s="154"/>
      <c r="J62" s="154"/>
      <c r="K62" s="154"/>
      <c r="L62" s="154"/>
      <c r="M62" s="154"/>
      <c r="N62" s="154"/>
      <c r="O62" s="154"/>
      <c r="P62" s="154"/>
      <c r="Q62" s="154"/>
      <c r="R62" s="154"/>
      <c r="S62" s="154"/>
      <c r="T62" s="154"/>
      <c r="U62" s="154"/>
      <c r="V62" s="154"/>
      <c r="W62" s="154"/>
      <c r="X62" s="154"/>
      <c r="Y62" s="154"/>
      <c r="Z62" s="154"/>
      <c r="AA62" s="154"/>
    </row>
    <row r="63">
      <c r="A63" s="154"/>
      <c r="B63" s="154"/>
      <c r="C63" s="152" t="s">
        <v>6136</v>
      </c>
      <c r="D63" s="154"/>
      <c r="E63" s="54" t="s">
        <v>6235</v>
      </c>
      <c r="F63" s="154"/>
      <c r="G63" s="55"/>
      <c r="H63" s="21"/>
      <c r="I63" s="154"/>
      <c r="J63" s="154"/>
      <c r="K63" s="154"/>
      <c r="L63" s="154"/>
      <c r="M63" s="154"/>
      <c r="N63" s="154"/>
      <c r="O63" s="154"/>
      <c r="P63" s="154"/>
      <c r="Q63" s="154"/>
      <c r="R63" s="154"/>
      <c r="S63" s="154"/>
      <c r="T63" s="154"/>
      <c r="U63" s="154"/>
      <c r="V63" s="154"/>
      <c r="W63" s="154"/>
      <c r="X63" s="154"/>
      <c r="Y63" s="154"/>
      <c r="Z63" s="154"/>
      <c r="AA63" s="154"/>
    </row>
    <row r="64">
      <c r="A64" s="154"/>
      <c r="B64" s="154"/>
      <c r="C64" s="152" t="s">
        <v>6680</v>
      </c>
      <c r="D64" s="154"/>
      <c r="E64" s="54" t="s">
        <v>6198</v>
      </c>
      <c r="F64" s="154"/>
      <c r="G64" s="55"/>
      <c r="H64" s="21"/>
      <c r="I64" s="154"/>
      <c r="J64" s="154"/>
      <c r="K64" s="154"/>
      <c r="L64" s="154"/>
      <c r="M64" s="154"/>
      <c r="N64" s="154"/>
      <c r="O64" s="154"/>
      <c r="P64" s="154"/>
      <c r="Q64" s="154"/>
      <c r="R64" s="154"/>
      <c r="S64" s="154"/>
      <c r="T64" s="154"/>
      <c r="U64" s="154"/>
      <c r="V64" s="154"/>
      <c r="W64" s="154"/>
      <c r="X64" s="154"/>
      <c r="Y64" s="154"/>
      <c r="Z64" s="154"/>
      <c r="AA64" s="154"/>
    </row>
    <row r="65">
      <c r="A65" s="154"/>
      <c r="B65" s="154"/>
      <c r="C65" s="152" t="s">
        <v>6250</v>
      </c>
      <c r="D65" s="154"/>
      <c r="E65" s="54" t="s">
        <v>6106</v>
      </c>
      <c r="F65" s="154"/>
      <c r="G65" s="55"/>
      <c r="H65" s="21"/>
      <c r="I65" s="154"/>
      <c r="J65" s="154"/>
      <c r="K65" s="154"/>
      <c r="L65" s="154"/>
      <c r="M65" s="154"/>
      <c r="N65" s="154"/>
      <c r="O65" s="154"/>
      <c r="P65" s="154"/>
      <c r="Q65" s="154"/>
      <c r="R65" s="154"/>
      <c r="S65" s="154"/>
      <c r="T65" s="154"/>
      <c r="U65" s="154"/>
      <c r="V65" s="154"/>
      <c r="W65" s="154"/>
      <c r="X65" s="154"/>
      <c r="Y65" s="154"/>
      <c r="Z65" s="154"/>
      <c r="AA65" s="154"/>
    </row>
    <row r="66">
      <c r="A66" s="154"/>
      <c r="B66" s="154"/>
      <c r="C66" s="54" t="s">
        <v>230</v>
      </c>
      <c r="D66" s="154"/>
      <c r="E66" s="54" t="s">
        <v>6248</v>
      </c>
      <c r="F66" s="154"/>
      <c r="G66" s="55"/>
      <c r="H66" s="21"/>
      <c r="I66" s="154"/>
      <c r="J66" s="154"/>
      <c r="K66" s="154"/>
      <c r="L66" s="154"/>
      <c r="M66" s="154"/>
      <c r="N66" s="154"/>
      <c r="O66" s="154"/>
      <c r="P66" s="154"/>
      <c r="Q66" s="154"/>
      <c r="R66" s="154"/>
      <c r="S66" s="154"/>
      <c r="T66" s="154"/>
      <c r="U66" s="154"/>
      <c r="V66" s="154"/>
      <c r="W66" s="154"/>
      <c r="X66" s="154"/>
      <c r="Y66" s="154"/>
      <c r="Z66" s="154"/>
      <c r="AA66" s="154"/>
    </row>
    <row r="67">
      <c r="A67" s="154"/>
      <c r="B67" s="154"/>
      <c r="C67" s="152" t="s">
        <v>6031</v>
      </c>
      <c r="D67" s="154"/>
      <c r="E67" s="54" t="s">
        <v>5990</v>
      </c>
      <c r="F67" s="154"/>
      <c r="G67" s="55"/>
      <c r="H67" s="21"/>
      <c r="I67" s="154"/>
      <c r="J67" s="154"/>
      <c r="K67" s="154"/>
      <c r="L67" s="154"/>
      <c r="M67" s="154"/>
      <c r="N67" s="154"/>
      <c r="O67" s="154"/>
      <c r="P67" s="154"/>
      <c r="Q67" s="154"/>
      <c r="R67" s="154"/>
      <c r="S67" s="154"/>
      <c r="T67" s="154"/>
      <c r="U67" s="154"/>
      <c r="V67" s="154"/>
      <c r="W67" s="154"/>
      <c r="X67" s="154"/>
      <c r="Y67" s="154"/>
      <c r="Z67" s="154"/>
      <c r="AA67" s="154"/>
    </row>
    <row r="68">
      <c r="A68" s="154"/>
      <c r="B68" s="154"/>
      <c r="C68" s="152" t="s">
        <v>6681</v>
      </c>
      <c r="D68" s="154"/>
      <c r="E68" s="54" t="s">
        <v>6049</v>
      </c>
      <c r="F68" s="154"/>
      <c r="G68" s="55"/>
      <c r="H68" s="21"/>
      <c r="I68" s="154"/>
      <c r="J68" s="154"/>
      <c r="K68" s="154"/>
      <c r="L68" s="154"/>
      <c r="M68" s="154"/>
      <c r="N68" s="154"/>
      <c r="O68" s="154"/>
      <c r="P68" s="154"/>
      <c r="Q68" s="154"/>
      <c r="R68" s="154"/>
      <c r="S68" s="154"/>
      <c r="T68" s="154"/>
      <c r="U68" s="154"/>
      <c r="V68" s="154"/>
      <c r="W68" s="154"/>
      <c r="X68" s="154"/>
      <c r="Y68" s="154"/>
      <c r="Z68" s="154"/>
      <c r="AA68" s="154"/>
    </row>
    <row r="69">
      <c r="A69" s="154"/>
      <c r="B69" s="154"/>
      <c r="C69" s="54" t="s">
        <v>6126</v>
      </c>
      <c r="D69" s="154"/>
      <c r="E69" s="54" t="s">
        <v>6204</v>
      </c>
      <c r="F69" s="154"/>
      <c r="G69" s="55"/>
      <c r="H69" s="21"/>
      <c r="I69" s="154"/>
      <c r="J69" s="154"/>
      <c r="K69" s="154"/>
      <c r="L69" s="154"/>
      <c r="M69" s="154"/>
      <c r="N69" s="154"/>
      <c r="O69" s="154"/>
      <c r="P69" s="154"/>
      <c r="Q69" s="154"/>
      <c r="R69" s="154"/>
      <c r="S69" s="154"/>
      <c r="T69" s="154"/>
      <c r="U69" s="154"/>
      <c r="V69" s="154"/>
      <c r="W69" s="154"/>
      <c r="X69" s="154"/>
      <c r="Y69" s="154"/>
      <c r="Z69" s="154"/>
      <c r="AA69" s="154"/>
    </row>
    <row r="70">
      <c r="A70" s="154"/>
      <c r="B70" s="154"/>
      <c r="C70" s="152" t="s">
        <v>6010</v>
      </c>
      <c r="D70" s="154"/>
      <c r="E70" s="54" t="s">
        <v>6131</v>
      </c>
      <c r="F70" s="154"/>
      <c r="G70" s="55"/>
      <c r="H70" s="21"/>
      <c r="I70" s="154"/>
      <c r="J70" s="154"/>
      <c r="K70" s="154"/>
      <c r="L70" s="154"/>
      <c r="M70" s="154"/>
      <c r="N70" s="154"/>
      <c r="O70" s="154"/>
      <c r="P70" s="154"/>
      <c r="Q70" s="154"/>
      <c r="R70" s="154"/>
      <c r="S70" s="154"/>
      <c r="T70" s="154"/>
      <c r="U70" s="154"/>
      <c r="V70" s="154"/>
      <c r="W70" s="154"/>
      <c r="X70" s="154"/>
      <c r="Y70" s="154"/>
      <c r="Z70" s="154"/>
      <c r="AA70" s="154"/>
    </row>
    <row r="71">
      <c r="A71" s="154"/>
      <c r="B71" s="154"/>
      <c r="C71" s="152" t="s">
        <v>6682</v>
      </c>
      <c r="D71" s="154"/>
      <c r="E71" s="54" t="s">
        <v>5986</v>
      </c>
      <c r="F71" s="154"/>
      <c r="G71" s="55"/>
      <c r="H71" s="21"/>
      <c r="I71" s="154"/>
      <c r="J71" s="154"/>
      <c r="K71" s="154"/>
      <c r="L71" s="154"/>
      <c r="M71" s="154"/>
      <c r="N71" s="154"/>
      <c r="O71" s="154"/>
      <c r="P71" s="154"/>
      <c r="Q71" s="154"/>
      <c r="R71" s="154"/>
      <c r="S71" s="154"/>
      <c r="T71" s="154"/>
      <c r="U71" s="154"/>
      <c r="V71" s="154"/>
      <c r="W71" s="154"/>
      <c r="X71" s="154"/>
      <c r="Y71" s="154"/>
      <c r="Z71" s="154"/>
      <c r="AA71" s="154"/>
    </row>
    <row r="72">
      <c r="A72" s="154"/>
      <c r="B72" s="154"/>
      <c r="C72" s="152" t="s">
        <v>6007</v>
      </c>
      <c r="D72" s="154"/>
      <c r="E72" s="54" t="s">
        <v>6059</v>
      </c>
      <c r="F72" s="154"/>
      <c r="G72" s="55"/>
      <c r="H72" s="21"/>
      <c r="I72" s="154"/>
      <c r="J72" s="154"/>
      <c r="K72" s="154"/>
      <c r="L72" s="154"/>
      <c r="M72" s="154"/>
      <c r="N72" s="154"/>
      <c r="O72" s="154"/>
      <c r="P72" s="154"/>
      <c r="Q72" s="154"/>
      <c r="R72" s="154"/>
      <c r="S72" s="154"/>
      <c r="T72" s="154"/>
      <c r="U72" s="154"/>
      <c r="V72" s="154"/>
      <c r="W72" s="154"/>
      <c r="X72" s="154"/>
      <c r="Y72" s="154"/>
      <c r="Z72" s="154"/>
      <c r="AA72" s="154"/>
    </row>
    <row r="73">
      <c r="A73" s="154"/>
      <c r="B73" s="154"/>
      <c r="C73" s="152" t="s">
        <v>6025</v>
      </c>
      <c r="D73" s="154"/>
      <c r="E73" s="54" t="s">
        <v>6036</v>
      </c>
      <c r="F73" s="154"/>
      <c r="G73" s="55"/>
      <c r="H73" s="21"/>
      <c r="I73" s="154"/>
      <c r="J73" s="154"/>
      <c r="K73" s="154"/>
      <c r="L73" s="154"/>
      <c r="M73" s="154"/>
      <c r="N73" s="154"/>
      <c r="O73" s="154"/>
      <c r="P73" s="154"/>
      <c r="Q73" s="154"/>
      <c r="R73" s="154"/>
      <c r="S73" s="154"/>
      <c r="T73" s="154"/>
      <c r="U73" s="154"/>
      <c r="V73" s="154"/>
      <c r="W73" s="154"/>
      <c r="X73" s="154"/>
      <c r="Y73" s="154"/>
      <c r="Z73" s="154"/>
      <c r="AA73" s="154"/>
    </row>
    <row r="74">
      <c r="A74" s="154"/>
      <c r="B74" s="154"/>
      <c r="C74" s="54" t="s">
        <v>57</v>
      </c>
      <c r="D74" s="154"/>
      <c r="E74" s="154"/>
      <c r="F74" s="154"/>
      <c r="G74" s="55"/>
      <c r="H74" s="21"/>
      <c r="I74" s="154"/>
      <c r="J74" s="154"/>
      <c r="K74" s="154"/>
      <c r="L74" s="154"/>
      <c r="M74" s="154"/>
      <c r="N74" s="154"/>
      <c r="O74" s="154"/>
      <c r="P74" s="154"/>
      <c r="Q74" s="154"/>
      <c r="R74" s="154"/>
      <c r="S74" s="154"/>
      <c r="T74" s="154"/>
      <c r="U74" s="154"/>
      <c r="V74" s="154"/>
      <c r="W74" s="154"/>
      <c r="X74" s="154"/>
      <c r="Y74" s="154"/>
      <c r="Z74" s="154"/>
      <c r="AA74" s="154"/>
    </row>
    <row r="75">
      <c r="A75" s="154"/>
      <c r="B75" s="154"/>
      <c r="C75" s="54" t="s">
        <v>125</v>
      </c>
      <c r="D75" s="154"/>
      <c r="E75" s="154"/>
      <c r="F75" s="154"/>
      <c r="G75" s="55"/>
      <c r="H75" s="21"/>
      <c r="I75" s="154"/>
      <c r="J75" s="154"/>
      <c r="K75" s="154"/>
      <c r="L75" s="154"/>
      <c r="M75" s="154"/>
      <c r="N75" s="154"/>
      <c r="O75" s="154"/>
      <c r="P75" s="154"/>
      <c r="Q75" s="154"/>
      <c r="R75" s="154"/>
      <c r="S75" s="154"/>
      <c r="T75" s="154"/>
      <c r="U75" s="154"/>
      <c r="V75" s="154"/>
      <c r="W75" s="154"/>
      <c r="X75" s="154"/>
      <c r="Y75" s="154"/>
      <c r="Z75" s="154"/>
      <c r="AA75" s="154"/>
    </row>
    <row r="76">
      <c r="A76" s="154"/>
      <c r="B76" s="154"/>
      <c r="C76" s="54" t="s">
        <v>236</v>
      </c>
      <c r="D76" s="154"/>
      <c r="E76" s="154"/>
      <c r="F76" s="154"/>
      <c r="G76" s="55"/>
      <c r="H76" s="21"/>
      <c r="I76" s="154"/>
      <c r="J76" s="154"/>
      <c r="K76" s="154"/>
      <c r="L76" s="154"/>
      <c r="M76" s="154"/>
      <c r="N76" s="154"/>
      <c r="O76" s="154"/>
      <c r="P76" s="154"/>
      <c r="Q76" s="154"/>
      <c r="R76" s="154"/>
      <c r="S76" s="154"/>
      <c r="T76" s="154"/>
      <c r="U76" s="154"/>
      <c r="V76" s="154"/>
      <c r="W76" s="154"/>
      <c r="X76" s="154"/>
      <c r="Y76" s="154"/>
      <c r="Z76" s="154"/>
      <c r="AA76" s="154"/>
    </row>
    <row r="77">
      <c r="A77" s="154"/>
      <c r="B77" s="154"/>
      <c r="C77" s="54" t="s">
        <v>54</v>
      </c>
      <c r="D77" s="154"/>
      <c r="E77" s="154"/>
      <c r="F77" s="154"/>
      <c r="G77" s="55"/>
      <c r="H77" s="21"/>
      <c r="I77" s="154"/>
      <c r="J77" s="154"/>
      <c r="K77" s="154"/>
      <c r="L77" s="154"/>
      <c r="M77" s="154"/>
      <c r="N77" s="154"/>
      <c r="O77" s="154"/>
      <c r="P77" s="154"/>
      <c r="Q77" s="154"/>
      <c r="R77" s="154"/>
      <c r="S77" s="154"/>
      <c r="T77" s="154"/>
      <c r="U77" s="154"/>
      <c r="V77" s="154"/>
      <c r="W77" s="154"/>
      <c r="X77" s="154"/>
      <c r="Y77" s="154"/>
      <c r="Z77" s="154"/>
      <c r="AA77" s="154"/>
    </row>
    <row r="78">
      <c r="A78" s="154"/>
      <c r="B78" s="154"/>
      <c r="C78" s="54" t="s">
        <v>369</v>
      </c>
      <c r="D78" s="154"/>
      <c r="E78" s="154"/>
      <c r="F78" s="154"/>
      <c r="G78" s="55"/>
      <c r="H78" s="21"/>
      <c r="I78" s="154"/>
      <c r="J78" s="154"/>
      <c r="K78" s="154"/>
      <c r="L78" s="154"/>
      <c r="M78" s="154"/>
      <c r="N78" s="154"/>
      <c r="O78" s="154"/>
      <c r="P78" s="154"/>
      <c r="Q78" s="154"/>
      <c r="R78" s="154"/>
      <c r="S78" s="154"/>
      <c r="T78" s="154"/>
      <c r="U78" s="154"/>
      <c r="V78" s="154"/>
      <c r="W78" s="154"/>
      <c r="X78" s="154"/>
      <c r="Y78" s="154"/>
      <c r="Z78" s="154"/>
      <c r="AA78" s="154"/>
    </row>
    <row r="79">
      <c r="A79" s="154"/>
      <c r="B79" s="154"/>
      <c r="C79" s="54" t="s">
        <v>6111</v>
      </c>
      <c r="D79" s="154"/>
      <c r="E79" s="154"/>
      <c r="F79" s="154"/>
      <c r="G79" s="55"/>
      <c r="H79" s="21"/>
      <c r="I79" s="154"/>
      <c r="J79" s="154"/>
      <c r="K79" s="154"/>
      <c r="L79" s="154"/>
      <c r="M79" s="154"/>
      <c r="N79" s="154"/>
      <c r="O79" s="154"/>
      <c r="P79" s="154"/>
      <c r="Q79" s="154"/>
      <c r="R79" s="154"/>
      <c r="S79" s="154"/>
      <c r="T79" s="154"/>
      <c r="U79" s="154"/>
      <c r="V79" s="154"/>
      <c r="W79" s="154"/>
      <c r="X79" s="154"/>
      <c r="Y79" s="154"/>
      <c r="Z79" s="154"/>
      <c r="AA79" s="154"/>
    </row>
    <row r="80">
      <c r="A80" s="154"/>
      <c r="B80" s="154"/>
      <c r="C80" s="54" t="s">
        <v>222</v>
      </c>
      <c r="D80" s="154"/>
      <c r="E80" s="154"/>
      <c r="F80" s="154"/>
      <c r="G80" s="55"/>
      <c r="H80" s="21"/>
      <c r="I80" s="154"/>
      <c r="J80" s="154"/>
      <c r="K80" s="154"/>
      <c r="L80" s="154"/>
      <c r="M80" s="154"/>
      <c r="N80" s="154"/>
      <c r="O80" s="154"/>
      <c r="P80" s="154"/>
      <c r="Q80" s="154"/>
      <c r="R80" s="154"/>
      <c r="S80" s="154"/>
      <c r="T80" s="154"/>
      <c r="U80" s="154"/>
      <c r="V80" s="154"/>
      <c r="W80" s="154"/>
      <c r="X80" s="154"/>
      <c r="Y80" s="154"/>
      <c r="Z80" s="154"/>
      <c r="AA80" s="154"/>
    </row>
    <row r="81">
      <c r="A81" s="154"/>
      <c r="B81" s="154"/>
      <c r="C81" s="152" t="s">
        <v>6683</v>
      </c>
      <c r="D81" s="154"/>
      <c r="E81" s="154"/>
      <c r="F81" s="154"/>
      <c r="G81" s="55"/>
      <c r="H81" s="21"/>
      <c r="I81" s="154"/>
      <c r="J81" s="154"/>
      <c r="K81" s="154"/>
      <c r="L81" s="154"/>
      <c r="M81" s="154"/>
      <c r="N81" s="154"/>
      <c r="O81" s="154"/>
      <c r="P81" s="154"/>
      <c r="Q81" s="154"/>
      <c r="R81" s="154"/>
      <c r="S81" s="154"/>
      <c r="T81" s="154"/>
      <c r="U81" s="154"/>
      <c r="V81" s="154"/>
      <c r="W81" s="154"/>
      <c r="X81" s="154"/>
      <c r="Y81" s="154"/>
      <c r="Z81" s="154"/>
      <c r="AA81" s="154"/>
    </row>
    <row r="82">
      <c r="A82" s="154"/>
      <c r="B82" s="154"/>
      <c r="C82" s="152" t="s">
        <v>6020</v>
      </c>
      <c r="D82" s="154"/>
      <c r="E82" s="154"/>
      <c r="F82" s="154"/>
      <c r="G82" s="55"/>
      <c r="H82" s="21"/>
      <c r="I82" s="154"/>
      <c r="J82" s="154"/>
      <c r="K82" s="154"/>
      <c r="L82" s="154"/>
      <c r="M82" s="154"/>
      <c r="N82" s="154"/>
      <c r="O82" s="154"/>
      <c r="P82" s="154"/>
      <c r="Q82" s="154"/>
      <c r="R82" s="154"/>
      <c r="S82" s="154"/>
      <c r="T82" s="154"/>
      <c r="U82" s="154"/>
      <c r="V82" s="154"/>
      <c r="W82" s="154"/>
      <c r="X82" s="154"/>
      <c r="Y82" s="154"/>
      <c r="Z82" s="154"/>
      <c r="AA82" s="154"/>
    </row>
    <row r="83">
      <c r="A83" s="154"/>
      <c r="B83" s="154"/>
      <c r="C83" s="54" t="s">
        <v>110</v>
      </c>
      <c r="D83" s="154"/>
      <c r="E83" s="154"/>
      <c r="F83" s="154"/>
      <c r="G83" s="55"/>
      <c r="H83" s="21"/>
      <c r="I83" s="154"/>
      <c r="J83" s="154"/>
      <c r="K83" s="154"/>
      <c r="L83" s="154"/>
      <c r="M83" s="154"/>
      <c r="N83" s="154"/>
      <c r="O83" s="154"/>
      <c r="P83" s="154"/>
      <c r="Q83" s="154"/>
      <c r="R83" s="154"/>
      <c r="S83" s="154"/>
      <c r="T83" s="154"/>
      <c r="U83" s="154"/>
      <c r="V83" s="154"/>
      <c r="W83" s="154"/>
      <c r="X83" s="154"/>
      <c r="Y83" s="154"/>
      <c r="Z83" s="154"/>
      <c r="AA83" s="154"/>
    </row>
    <row r="84">
      <c r="A84" s="154"/>
      <c r="B84" s="154"/>
      <c r="C84" s="152" t="s">
        <v>6684</v>
      </c>
      <c r="D84" s="154"/>
      <c r="E84" s="154"/>
      <c r="F84" s="154"/>
      <c r="G84" s="55"/>
      <c r="H84" s="21"/>
      <c r="I84" s="154"/>
      <c r="J84" s="154"/>
      <c r="K84" s="154"/>
      <c r="L84" s="154"/>
      <c r="M84" s="154"/>
      <c r="N84" s="154"/>
      <c r="O84" s="154"/>
      <c r="P84" s="154"/>
      <c r="Q84" s="154"/>
      <c r="R84" s="154"/>
      <c r="S84" s="154"/>
      <c r="T84" s="154"/>
      <c r="U84" s="154"/>
      <c r="V84" s="154"/>
      <c r="W84" s="154"/>
      <c r="X84" s="154"/>
      <c r="Y84" s="154"/>
      <c r="Z84" s="154"/>
      <c r="AA84" s="154"/>
    </row>
    <row r="85">
      <c r="A85" s="154"/>
      <c r="B85" s="154"/>
      <c r="C85" s="152" t="s">
        <v>6016</v>
      </c>
      <c r="D85" s="154"/>
      <c r="E85" s="154"/>
      <c r="F85" s="154"/>
      <c r="G85" s="55"/>
      <c r="H85" s="21"/>
      <c r="I85" s="154"/>
      <c r="J85" s="154"/>
      <c r="K85" s="154"/>
      <c r="L85" s="154"/>
      <c r="M85" s="154"/>
      <c r="N85" s="154"/>
      <c r="O85" s="154"/>
      <c r="P85" s="154"/>
      <c r="Q85" s="154"/>
      <c r="R85" s="154"/>
      <c r="S85" s="154"/>
      <c r="T85" s="154"/>
      <c r="U85" s="154"/>
      <c r="V85" s="154"/>
      <c r="W85" s="154"/>
      <c r="X85" s="154"/>
      <c r="Y85" s="154"/>
      <c r="Z85" s="154"/>
      <c r="AA85" s="154"/>
    </row>
    <row r="86">
      <c r="A86" s="154"/>
      <c r="B86" s="154"/>
      <c r="C86" s="152" t="s">
        <v>6685</v>
      </c>
      <c r="D86" s="154"/>
      <c r="E86" s="154"/>
      <c r="F86" s="154"/>
      <c r="G86" s="55"/>
      <c r="H86" s="21"/>
      <c r="I86" s="154"/>
      <c r="J86" s="154"/>
      <c r="K86" s="154"/>
      <c r="L86" s="154"/>
      <c r="M86" s="154"/>
      <c r="N86" s="154"/>
      <c r="O86" s="154"/>
      <c r="P86" s="154"/>
      <c r="Q86" s="154"/>
      <c r="R86" s="154"/>
      <c r="S86" s="154"/>
      <c r="T86" s="154"/>
      <c r="U86" s="154"/>
      <c r="V86" s="154"/>
      <c r="W86" s="154"/>
      <c r="X86" s="154"/>
      <c r="Y86" s="154"/>
      <c r="Z86" s="154"/>
      <c r="AA86" s="154"/>
    </row>
    <row r="87">
      <c r="A87" s="154"/>
      <c r="B87" s="154"/>
      <c r="C87" s="152" t="s">
        <v>6237</v>
      </c>
      <c r="D87" s="154"/>
      <c r="E87" s="154"/>
      <c r="F87" s="154"/>
      <c r="G87" s="55"/>
      <c r="H87" s="21"/>
      <c r="I87" s="154"/>
      <c r="J87" s="154"/>
      <c r="K87" s="154"/>
      <c r="L87" s="154"/>
      <c r="M87" s="154"/>
      <c r="N87" s="154"/>
      <c r="O87" s="154"/>
      <c r="P87" s="154"/>
      <c r="Q87" s="154"/>
      <c r="R87" s="154"/>
      <c r="S87" s="154"/>
      <c r="T87" s="154"/>
      <c r="U87" s="154"/>
      <c r="V87" s="154"/>
      <c r="W87" s="154"/>
      <c r="X87" s="154"/>
      <c r="Y87" s="154"/>
      <c r="Z87" s="154"/>
      <c r="AA87" s="154"/>
    </row>
    <row r="88">
      <c r="A88" s="154"/>
      <c r="B88" s="154"/>
      <c r="C88" s="152" t="s">
        <v>6054</v>
      </c>
      <c r="D88" s="154"/>
      <c r="E88" s="154"/>
      <c r="F88" s="154"/>
      <c r="G88" s="55"/>
      <c r="H88" s="21"/>
      <c r="I88" s="154"/>
      <c r="J88" s="154"/>
      <c r="K88" s="154"/>
      <c r="L88" s="154"/>
      <c r="M88" s="154"/>
      <c r="N88" s="154"/>
      <c r="O88" s="154"/>
      <c r="P88" s="154"/>
      <c r="Q88" s="154"/>
      <c r="R88" s="154"/>
      <c r="S88" s="154"/>
      <c r="T88" s="154"/>
      <c r="U88" s="154"/>
      <c r="V88" s="154"/>
      <c r="W88" s="154"/>
      <c r="X88" s="154"/>
      <c r="Y88" s="154"/>
      <c r="Z88" s="154"/>
      <c r="AA88" s="154"/>
    </row>
    <row r="89">
      <c r="A89" s="154"/>
      <c r="B89" s="154"/>
      <c r="C89" s="152" t="s">
        <v>6686</v>
      </c>
      <c r="D89" s="154"/>
      <c r="E89" s="154"/>
      <c r="F89" s="154"/>
      <c r="G89" s="55"/>
      <c r="H89" s="21"/>
      <c r="I89" s="154"/>
      <c r="J89" s="154"/>
      <c r="K89" s="154"/>
      <c r="L89" s="154"/>
      <c r="M89" s="154"/>
      <c r="N89" s="154"/>
      <c r="O89" s="154"/>
      <c r="P89" s="154"/>
      <c r="Q89" s="154"/>
      <c r="R89" s="154"/>
      <c r="S89" s="154"/>
      <c r="T89" s="154"/>
      <c r="U89" s="154"/>
      <c r="V89" s="154"/>
      <c r="W89" s="154"/>
      <c r="X89" s="154"/>
      <c r="Y89" s="154"/>
      <c r="Z89" s="154"/>
      <c r="AA89" s="154"/>
    </row>
    <row r="90">
      <c r="A90" s="154"/>
      <c r="B90" s="154"/>
      <c r="C90" s="152" t="s">
        <v>6687</v>
      </c>
      <c r="D90" s="154"/>
      <c r="E90" s="154"/>
      <c r="F90" s="154"/>
      <c r="G90" s="55"/>
      <c r="H90" s="21"/>
      <c r="I90" s="154"/>
      <c r="J90" s="154"/>
      <c r="K90" s="154"/>
      <c r="L90" s="154"/>
      <c r="M90" s="154"/>
      <c r="N90" s="154"/>
      <c r="O90" s="154"/>
      <c r="P90" s="154"/>
      <c r="Q90" s="154"/>
      <c r="R90" s="154"/>
      <c r="S90" s="154"/>
      <c r="T90" s="154"/>
      <c r="U90" s="154"/>
      <c r="V90" s="154"/>
      <c r="W90" s="154"/>
      <c r="X90" s="154"/>
      <c r="Y90" s="154"/>
      <c r="Z90" s="154"/>
      <c r="AA90" s="154"/>
    </row>
    <row r="91">
      <c r="A91" s="154"/>
      <c r="B91" s="154"/>
      <c r="C91" s="152" t="s">
        <v>6688</v>
      </c>
      <c r="D91" s="154"/>
      <c r="E91" s="154"/>
      <c r="F91" s="154"/>
      <c r="G91" s="55"/>
      <c r="H91" s="21"/>
      <c r="I91" s="154"/>
      <c r="J91" s="154"/>
      <c r="K91" s="154"/>
      <c r="L91" s="154"/>
      <c r="M91" s="154"/>
      <c r="N91" s="154"/>
      <c r="O91" s="154"/>
      <c r="P91" s="154"/>
      <c r="Q91" s="154"/>
      <c r="R91" s="154"/>
      <c r="S91" s="154"/>
      <c r="T91" s="154"/>
      <c r="U91" s="154"/>
      <c r="V91" s="154"/>
      <c r="W91" s="154"/>
      <c r="X91" s="154"/>
      <c r="Y91" s="154"/>
      <c r="Z91" s="154"/>
      <c r="AA91" s="154"/>
    </row>
    <row r="92">
      <c r="A92" s="154"/>
      <c r="B92" s="154"/>
      <c r="C92" s="152" t="s">
        <v>6689</v>
      </c>
      <c r="D92" s="154"/>
      <c r="E92" s="154"/>
      <c r="F92" s="154"/>
      <c r="G92" s="55"/>
      <c r="H92" s="21"/>
      <c r="I92" s="154"/>
      <c r="J92" s="154"/>
      <c r="K92" s="154"/>
      <c r="L92" s="154"/>
      <c r="M92" s="154"/>
      <c r="N92" s="154"/>
      <c r="O92" s="154"/>
      <c r="P92" s="154"/>
      <c r="Q92" s="154"/>
      <c r="R92" s="154"/>
      <c r="S92" s="154"/>
      <c r="T92" s="154"/>
      <c r="U92" s="154"/>
      <c r="V92" s="154"/>
      <c r="W92" s="154"/>
      <c r="X92" s="154"/>
      <c r="Y92" s="154"/>
      <c r="Z92" s="154"/>
      <c r="AA92" s="154"/>
    </row>
    <row r="93">
      <c r="A93" s="154"/>
      <c r="B93" s="154"/>
      <c r="C93" s="152" t="s">
        <v>6690</v>
      </c>
      <c r="D93" s="154"/>
      <c r="E93" s="154"/>
      <c r="F93" s="154"/>
      <c r="G93" s="55"/>
      <c r="H93" s="21"/>
      <c r="I93" s="154"/>
      <c r="J93" s="154"/>
      <c r="K93" s="154"/>
      <c r="L93" s="154"/>
      <c r="M93" s="154"/>
      <c r="N93" s="154"/>
      <c r="O93" s="154"/>
      <c r="P93" s="154"/>
      <c r="Q93" s="154"/>
      <c r="R93" s="154"/>
      <c r="S93" s="154"/>
      <c r="T93" s="154"/>
      <c r="U93" s="154"/>
      <c r="V93" s="154"/>
      <c r="W93" s="154"/>
      <c r="X93" s="154"/>
      <c r="Y93" s="154"/>
      <c r="Z93" s="154"/>
      <c r="AA93" s="154"/>
    </row>
    <row r="94">
      <c r="A94" s="154"/>
      <c r="B94" s="154"/>
      <c r="C94" s="152" t="s">
        <v>6129</v>
      </c>
      <c r="D94" s="154"/>
      <c r="E94" s="154"/>
      <c r="F94" s="154"/>
      <c r="G94" s="55"/>
      <c r="H94" s="21"/>
      <c r="I94" s="154"/>
      <c r="J94" s="154"/>
      <c r="K94" s="154"/>
      <c r="L94" s="154"/>
      <c r="M94" s="154"/>
      <c r="N94" s="154"/>
      <c r="O94" s="154"/>
      <c r="P94" s="154"/>
      <c r="Q94" s="154"/>
      <c r="R94" s="154"/>
      <c r="S94" s="154"/>
      <c r="T94" s="154"/>
      <c r="U94" s="154"/>
      <c r="V94" s="154"/>
      <c r="W94" s="154"/>
      <c r="X94" s="154"/>
      <c r="Y94" s="154"/>
      <c r="Z94" s="154"/>
      <c r="AA94" s="154"/>
    </row>
    <row r="95">
      <c r="A95" s="154"/>
      <c r="B95" s="154"/>
      <c r="C95" s="152" t="s">
        <v>6002</v>
      </c>
      <c r="D95" s="154"/>
      <c r="E95" s="154"/>
      <c r="F95" s="154"/>
      <c r="G95" s="55"/>
      <c r="H95" s="21"/>
      <c r="I95" s="154"/>
      <c r="J95" s="154"/>
      <c r="K95" s="154"/>
      <c r="L95" s="154"/>
      <c r="M95" s="154"/>
      <c r="N95" s="154"/>
      <c r="O95" s="154"/>
      <c r="P95" s="154"/>
      <c r="Q95" s="154"/>
      <c r="R95" s="154"/>
      <c r="S95" s="154"/>
      <c r="T95" s="154"/>
      <c r="U95" s="154"/>
      <c r="V95" s="154"/>
      <c r="W95" s="154"/>
      <c r="X95" s="154"/>
      <c r="Y95" s="154"/>
      <c r="Z95" s="154"/>
      <c r="AA95" s="154"/>
    </row>
    <row r="96">
      <c r="A96" s="154"/>
      <c r="B96" s="154"/>
      <c r="C96" s="54" t="s">
        <v>101</v>
      </c>
      <c r="D96" s="154"/>
      <c r="E96" s="154"/>
      <c r="F96" s="154"/>
      <c r="G96" s="55"/>
      <c r="H96" s="21"/>
      <c r="I96" s="154"/>
      <c r="J96" s="154"/>
      <c r="K96" s="154"/>
      <c r="L96" s="154"/>
      <c r="M96" s="154"/>
      <c r="N96" s="154"/>
      <c r="O96" s="154"/>
      <c r="P96" s="154"/>
      <c r="Q96" s="154"/>
      <c r="R96" s="154"/>
      <c r="S96" s="154"/>
      <c r="T96" s="154"/>
      <c r="U96" s="154"/>
      <c r="V96" s="154"/>
      <c r="W96" s="154"/>
      <c r="X96" s="154"/>
      <c r="Y96" s="154"/>
      <c r="Z96" s="154"/>
      <c r="AA96" s="154"/>
    </row>
    <row r="97">
      <c r="A97" s="154"/>
      <c r="B97" s="154"/>
      <c r="C97" s="154"/>
      <c r="D97" s="154"/>
      <c r="E97" s="154"/>
      <c r="F97" s="154"/>
      <c r="G97" s="55"/>
      <c r="H97" s="21"/>
      <c r="I97" s="154"/>
      <c r="J97" s="154"/>
      <c r="K97" s="154"/>
      <c r="L97" s="154"/>
      <c r="M97" s="154"/>
      <c r="N97" s="154"/>
      <c r="O97" s="154"/>
      <c r="P97" s="154"/>
      <c r="Q97" s="154"/>
      <c r="R97" s="154"/>
      <c r="S97" s="154"/>
      <c r="T97" s="154"/>
      <c r="U97" s="154"/>
      <c r="V97" s="154"/>
      <c r="W97" s="154"/>
      <c r="X97" s="154"/>
      <c r="Y97" s="154"/>
      <c r="Z97" s="154"/>
      <c r="AA97" s="154"/>
    </row>
    <row r="98">
      <c r="A98" s="154"/>
      <c r="B98" s="154"/>
      <c r="C98" s="154"/>
      <c r="D98" s="154"/>
      <c r="E98" s="154"/>
      <c r="F98" s="154"/>
      <c r="G98" s="55"/>
      <c r="H98" s="154"/>
      <c r="I98" s="154"/>
      <c r="J98" s="154"/>
      <c r="K98" s="154"/>
      <c r="L98" s="154"/>
      <c r="M98" s="154"/>
      <c r="N98" s="154"/>
      <c r="O98" s="154"/>
      <c r="P98" s="154"/>
      <c r="Q98" s="154"/>
      <c r="R98" s="154"/>
      <c r="S98" s="154"/>
      <c r="T98" s="154"/>
      <c r="U98" s="154"/>
      <c r="V98" s="154"/>
      <c r="W98" s="154"/>
      <c r="X98" s="154"/>
      <c r="Y98" s="154"/>
      <c r="Z98" s="154"/>
      <c r="AA98" s="154"/>
    </row>
    <row r="99">
      <c r="A99" s="154"/>
      <c r="B99" s="154"/>
      <c r="C99" s="154"/>
      <c r="D99" s="154"/>
      <c r="E99" s="154"/>
      <c r="F99" s="154"/>
      <c r="G99" s="55"/>
      <c r="H99" s="154"/>
      <c r="I99" s="154"/>
      <c r="J99" s="154"/>
      <c r="K99" s="154"/>
      <c r="L99" s="154"/>
      <c r="M99" s="154"/>
      <c r="N99" s="154"/>
      <c r="O99" s="154"/>
      <c r="P99" s="154"/>
      <c r="Q99" s="154"/>
      <c r="R99" s="154"/>
      <c r="S99" s="154"/>
      <c r="T99" s="154"/>
      <c r="U99" s="154"/>
      <c r="V99" s="154"/>
      <c r="W99" s="154"/>
      <c r="X99" s="154"/>
      <c r="Y99" s="154"/>
      <c r="Z99" s="154"/>
      <c r="AA99" s="154"/>
    </row>
    <row r="100">
      <c r="A100" s="154"/>
      <c r="B100" s="154"/>
      <c r="C100" s="154"/>
      <c r="D100" s="154"/>
      <c r="E100" s="154"/>
      <c r="F100" s="154"/>
      <c r="G100" s="55"/>
      <c r="H100" s="154"/>
      <c r="I100" s="154"/>
      <c r="J100" s="154"/>
      <c r="K100" s="154"/>
      <c r="L100" s="154"/>
      <c r="M100" s="154"/>
      <c r="N100" s="154"/>
      <c r="O100" s="154"/>
      <c r="P100" s="154"/>
      <c r="Q100" s="154"/>
      <c r="R100" s="154"/>
      <c r="S100" s="154"/>
      <c r="T100" s="154"/>
      <c r="U100" s="154"/>
      <c r="V100" s="154"/>
      <c r="W100" s="154"/>
      <c r="X100" s="154"/>
      <c r="Y100" s="154"/>
      <c r="Z100" s="154"/>
      <c r="AA100" s="154"/>
    </row>
    <row r="101">
      <c r="A101" s="154"/>
      <c r="B101" s="154"/>
      <c r="C101" s="154"/>
      <c r="D101" s="154"/>
      <c r="E101" s="154"/>
      <c r="F101" s="154"/>
      <c r="G101" s="55"/>
      <c r="H101" s="154"/>
      <c r="I101" s="154"/>
      <c r="J101" s="154"/>
      <c r="K101" s="154"/>
      <c r="L101" s="154"/>
      <c r="M101" s="154"/>
      <c r="N101" s="154"/>
      <c r="O101" s="154"/>
      <c r="P101" s="154"/>
      <c r="Q101" s="154"/>
      <c r="R101" s="154"/>
      <c r="S101" s="154"/>
      <c r="T101" s="154"/>
      <c r="U101" s="154"/>
      <c r="V101" s="154"/>
      <c r="W101" s="154"/>
      <c r="X101" s="154"/>
      <c r="Y101" s="154"/>
      <c r="Z101" s="154"/>
      <c r="AA101" s="154"/>
    </row>
    <row r="102">
      <c r="A102" s="154"/>
      <c r="B102" s="154"/>
      <c r="C102" s="154"/>
      <c r="D102" s="154"/>
      <c r="E102" s="154"/>
      <c r="F102" s="154"/>
      <c r="G102" s="55"/>
      <c r="H102" s="154"/>
      <c r="I102" s="154"/>
      <c r="J102" s="154"/>
      <c r="K102" s="154"/>
      <c r="L102" s="154"/>
      <c r="M102" s="154"/>
      <c r="N102" s="154"/>
      <c r="O102" s="154"/>
      <c r="P102" s="154"/>
      <c r="Q102" s="154"/>
      <c r="R102" s="154"/>
      <c r="S102" s="154"/>
      <c r="T102" s="154"/>
      <c r="U102" s="154"/>
      <c r="V102" s="154"/>
      <c r="W102" s="154"/>
      <c r="X102" s="154"/>
      <c r="Y102" s="154"/>
      <c r="Z102" s="154"/>
      <c r="AA102" s="154"/>
    </row>
    <row r="103">
      <c r="A103" s="154"/>
      <c r="B103" s="154"/>
      <c r="C103" s="154"/>
      <c r="D103" s="154"/>
      <c r="E103" s="154"/>
      <c r="F103" s="154"/>
      <c r="G103" s="55"/>
      <c r="H103" s="154"/>
      <c r="I103" s="154"/>
      <c r="J103" s="154"/>
      <c r="K103" s="154"/>
      <c r="L103" s="154"/>
      <c r="M103" s="154"/>
      <c r="N103" s="154"/>
      <c r="O103" s="154"/>
      <c r="P103" s="154"/>
      <c r="Q103" s="154"/>
      <c r="R103" s="154"/>
      <c r="S103" s="154"/>
      <c r="T103" s="154"/>
      <c r="U103" s="154"/>
      <c r="V103" s="154"/>
      <c r="W103" s="154"/>
      <c r="X103" s="154"/>
      <c r="Y103" s="154"/>
      <c r="Z103" s="154"/>
      <c r="AA103" s="154"/>
    </row>
    <row r="104">
      <c r="A104" s="154"/>
      <c r="B104" s="154"/>
      <c r="C104" s="154"/>
      <c r="D104" s="154"/>
      <c r="E104" s="154"/>
      <c r="F104" s="154"/>
      <c r="G104" s="55"/>
      <c r="H104" s="154"/>
      <c r="I104" s="154"/>
      <c r="J104" s="154"/>
      <c r="K104" s="154"/>
      <c r="L104" s="154"/>
      <c r="M104" s="154"/>
      <c r="N104" s="154"/>
      <c r="O104" s="154"/>
      <c r="P104" s="154"/>
      <c r="Q104" s="154"/>
      <c r="R104" s="154"/>
      <c r="S104" s="154"/>
      <c r="T104" s="154"/>
      <c r="U104" s="154"/>
      <c r="V104" s="154"/>
      <c r="W104" s="154"/>
      <c r="X104" s="154"/>
      <c r="Y104" s="154"/>
      <c r="Z104" s="154"/>
      <c r="AA104" s="154"/>
    </row>
    <row r="105">
      <c r="A105" s="154"/>
      <c r="B105" s="154"/>
      <c r="C105" s="154"/>
      <c r="D105" s="154"/>
      <c r="E105" s="154"/>
      <c r="F105" s="154"/>
      <c r="G105" s="55"/>
      <c r="H105" s="154"/>
      <c r="I105" s="154"/>
      <c r="J105" s="154"/>
      <c r="K105" s="154"/>
      <c r="L105" s="154"/>
      <c r="M105" s="154"/>
      <c r="N105" s="154"/>
      <c r="O105" s="154"/>
      <c r="P105" s="154"/>
      <c r="Q105" s="154"/>
      <c r="R105" s="154"/>
      <c r="S105" s="154"/>
      <c r="T105" s="154"/>
      <c r="U105" s="154"/>
      <c r="V105" s="154"/>
      <c r="W105" s="154"/>
      <c r="X105" s="154"/>
      <c r="Y105" s="154"/>
      <c r="Z105" s="154"/>
      <c r="AA105" s="154"/>
    </row>
    <row r="106">
      <c r="A106" s="154"/>
      <c r="B106" s="154"/>
      <c r="C106" s="154"/>
      <c r="D106" s="154"/>
      <c r="E106" s="154"/>
      <c r="F106" s="154"/>
      <c r="G106" s="55"/>
      <c r="H106" s="154"/>
      <c r="I106" s="154"/>
      <c r="J106" s="154"/>
      <c r="K106" s="154"/>
      <c r="L106" s="154"/>
      <c r="M106" s="154"/>
      <c r="N106" s="154"/>
      <c r="O106" s="154"/>
      <c r="P106" s="154"/>
      <c r="Q106" s="154"/>
      <c r="R106" s="154"/>
      <c r="S106" s="154"/>
      <c r="T106" s="154"/>
      <c r="U106" s="154"/>
      <c r="V106" s="154"/>
      <c r="W106" s="154"/>
      <c r="X106" s="154"/>
      <c r="Y106" s="154"/>
      <c r="Z106" s="154"/>
      <c r="AA106" s="154"/>
    </row>
    <row r="107">
      <c r="A107" s="154"/>
      <c r="B107" s="154"/>
      <c r="C107" s="154"/>
      <c r="D107" s="154"/>
      <c r="E107" s="154"/>
      <c r="F107" s="154"/>
      <c r="G107" s="55"/>
      <c r="H107" s="154"/>
      <c r="I107" s="154"/>
      <c r="J107" s="154"/>
      <c r="K107" s="154"/>
      <c r="L107" s="154"/>
      <c r="M107" s="154"/>
      <c r="N107" s="154"/>
      <c r="O107" s="154"/>
      <c r="P107" s="154"/>
      <c r="Q107" s="154"/>
      <c r="R107" s="154"/>
      <c r="S107" s="154"/>
      <c r="T107" s="154"/>
      <c r="U107" s="154"/>
      <c r="V107" s="154"/>
      <c r="W107" s="154"/>
      <c r="X107" s="154"/>
      <c r="Y107" s="154"/>
      <c r="Z107" s="154"/>
      <c r="AA107" s="154"/>
    </row>
    <row r="108">
      <c r="A108" s="154"/>
      <c r="B108" s="154"/>
      <c r="C108" s="154"/>
      <c r="D108" s="154"/>
      <c r="E108" s="154"/>
      <c r="F108" s="154"/>
      <c r="G108" s="55"/>
      <c r="H108" s="154"/>
      <c r="I108" s="154"/>
      <c r="J108" s="154"/>
      <c r="K108" s="154"/>
      <c r="L108" s="154"/>
      <c r="M108" s="154"/>
      <c r="N108" s="154"/>
      <c r="O108" s="154"/>
      <c r="P108" s="154"/>
      <c r="Q108" s="154"/>
      <c r="R108" s="154"/>
      <c r="S108" s="154"/>
      <c r="T108" s="154"/>
      <c r="U108" s="154"/>
      <c r="V108" s="154"/>
      <c r="W108" s="154"/>
      <c r="X108" s="154"/>
      <c r="Y108" s="154"/>
      <c r="Z108" s="154"/>
      <c r="AA108" s="154"/>
    </row>
    <row r="109">
      <c r="A109" s="154"/>
      <c r="B109" s="154"/>
      <c r="C109" s="154"/>
      <c r="D109" s="154"/>
      <c r="E109" s="154"/>
      <c r="F109" s="154"/>
      <c r="G109" s="55"/>
      <c r="H109" s="154"/>
      <c r="I109" s="154"/>
      <c r="J109" s="154"/>
      <c r="K109" s="154"/>
      <c r="L109" s="154"/>
      <c r="M109" s="154"/>
      <c r="N109" s="154"/>
      <c r="O109" s="154"/>
      <c r="P109" s="154"/>
      <c r="Q109" s="154"/>
      <c r="R109" s="154"/>
      <c r="S109" s="154"/>
      <c r="T109" s="154"/>
      <c r="U109" s="154"/>
      <c r="V109" s="154"/>
      <c r="W109" s="154"/>
      <c r="X109" s="154"/>
      <c r="Y109" s="154"/>
      <c r="Z109" s="154"/>
      <c r="AA109" s="154"/>
    </row>
    <row r="110">
      <c r="A110" s="154"/>
      <c r="B110" s="154"/>
      <c r="C110" s="154"/>
      <c r="D110" s="154"/>
      <c r="E110" s="154"/>
      <c r="F110" s="154"/>
      <c r="G110" s="55"/>
      <c r="H110" s="154"/>
      <c r="I110" s="154"/>
      <c r="J110" s="154"/>
      <c r="K110" s="154"/>
      <c r="L110" s="154"/>
      <c r="M110" s="154"/>
      <c r="N110" s="154"/>
      <c r="O110" s="154"/>
      <c r="P110" s="154"/>
      <c r="Q110" s="154"/>
      <c r="R110" s="154"/>
      <c r="S110" s="154"/>
      <c r="T110" s="154"/>
      <c r="U110" s="154"/>
      <c r="V110" s="154"/>
      <c r="W110" s="154"/>
      <c r="X110" s="154"/>
      <c r="Y110" s="154"/>
      <c r="Z110" s="154"/>
      <c r="AA110" s="154"/>
    </row>
    <row r="111">
      <c r="A111" s="154"/>
      <c r="B111" s="154"/>
      <c r="C111" s="154"/>
      <c r="D111" s="154"/>
      <c r="E111" s="154"/>
      <c r="F111" s="154"/>
      <c r="G111" s="55"/>
      <c r="H111" s="154"/>
      <c r="I111" s="154"/>
      <c r="J111" s="154"/>
      <c r="K111" s="154"/>
      <c r="L111" s="154"/>
      <c r="M111" s="154"/>
      <c r="N111" s="154"/>
      <c r="O111" s="154"/>
      <c r="P111" s="154"/>
      <c r="Q111" s="154"/>
      <c r="R111" s="154"/>
      <c r="S111" s="154"/>
      <c r="T111" s="154"/>
      <c r="U111" s="154"/>
      <c r="V111" s="154"/>
      <c r="W111" s="154"/>
      <c r="X111" s="154"/>
      <c r="Y111" s="154"/>
      <c r="Z111" s="154"/>
      <c r="AA111" s="154"/>
    </row>
    <row r="112">
      <c r="A112" s="154"/>
      <c r="B112" s="154"/>
      <c r="C112" s="154"/>
      <c r="D112" s="154"/>
      <c r="E112" s="154"/>
      <c r="F112" s="154"/>
      <c r="G112" s="55"/>
      <c r="H112" s="154"/>
      <c r="I112" s="154"/>
      <c r="J112" s="154"/>
      <c r="K112" s="154"/>
      <c r="L112" s="154"/>
      <c r="M112" s="154"/>
      <c r="N112" s="154"/>
      <c r="O112" s="154"/>
      <c r="P112" s="154"/>
      <c r="Q112" s="154"/>
      <c r="R112" s="154"/>
      <c r="S112" s="154"/>
      <c r="T112" s="154"/>
      <c r="U112" s="154"/>
      <c r="V112" s="154"/>
      <c r="W112" s="154"/>
      <c r="X112" s="154"/>
      <c r="Y112" s="154"/>
      <c r="Z112" s="154"/>
      <c r="AA112" s="154"/>
    </row>
    <row r="113">
      <c r="A113" s="154"/>
      <c r="B113" s="154"/>
      <c r="C113" s="154"/>
      <c r="D113" s="154"/>
      <c r="E113" s="154"/>
      <c r="F113" s="154"/>
      <c r="G113" s="55"/>
      <c r="H113" s="154"/>
      <c r="I113" s="154"/>
      <c r="J113" s="154"/>
      <c r="K113" s="154"/>
      <c r="L113" s="154"/>
      <c r="M113" s="154"/>
      <c r="N113" s="154"/>
      <c r="O113" s="154"/>
      <c r="P113" s="154"/>
      <c r="Q113" s="154"/>
      <c r="R113" s="154"/>
      <c r="S113" s="154"/>
      <c r="T113" s="154"/>
      <c r="U113" s="154"/>
      <c r="V113" s="154"/>
      <c r="W113" s="154"/>
      <c r="X113" s="154"/>
      <c r="Y113" s="154"/>
      <c r="Z113" s="154"/>
      <c r="AA113" s="154"/>
    </row>
    <row r="114">
      <c r="A114" s="154"/>
      <c r="B114" s="154"/>
      <c r="C114" s="154"/>
      <c r="D114" s="154"/>
      <c r="E114" s="154"/>
      <c r="F114" s="154"/>
      <c r="G114" s="55"/>
      <c r="H114" s="154"/>
      <c r="I114" s="154"/>
      <c r="J114" s="154"/>
      <c r="K114" s="154"/>
      <c r="L114" s="154"/>
      <c r="M114" s="154"/>
      <c r="N114" s="154"/>
      <c r="O114" s="154"/>
      <c r="P114" s="154"/>
      <c r="Q114" s="154"/>
      <c r="R114" s="154"/>
      <c r="S114" s="154"/>
      <c r="T114" s="154"/>
      <c r="U114" s="154"/>
      <c r="V114" s="154"/>
      <c r="W114" s="154"/>
      <c r="X114" s="154"/>
      <c r="Y114" s="154"/>
      <c r="Z114" s="154"/>
      <c r="AA114" s="154"/>
    </row>
    <row r="115">
      <c r="A115" s="154"/>
      <c r="B115" s="154"/>
      <c r="C115" s="154"/>
      <c r="D115" s="154"/>
      <c r="E115" s="154"/>
      <c r="F115" s="154"/>
      <c r="G115" s="55"/>
      <c r="H115" s="154"/>
      <c r="I115" s="154"/>
      <c r="J115" s="154"/>
      <c r="K115" s="154"/>
      <c r="L115" s="154"/>
      <c r="M115" s="154"/>
      <c r="N115" s="154"/>
      <c r="O115" s="154"/>
      <c r="P115" s="154"/>
      <c r="Q115" s="154"/>
      <c r="R115" s="154"/>
      <c r="S115" s="154"/>
      <c r="T115" s="154"/>
      <c r="U115" s="154"/>
      <c r="V115" s="154"/>
      <c r="W115" s="154"/>
      <c r="X115" s="154"/>
      <c r="Y115" s="154"/>
      <c r="Z115" s="154"/>
      <c r="AA115" s="154"/>
    </row>
    <row r="116">
      <c r="A116" s="154"/>
      <c r="B116" s="154"/>
      <c r="C116" s="154"/>
      <c r="D116" s="154"/>
      <c r="E116" s="154"/>
      <c r="F116" s="154"/>
      <c r="G116" s="55"/>
      <c r="H116" s="154"/>
      <c r="I116" s="154"/>
      <c r="J116" s="154"/>
      <c r="K116" s="154"/>
      <c r="L116" s="154"/>
      <c r="M116" s="154"/>
      <c r="N116" s="154"/>
      <c r="O116" s="154"/>
      <c r="P116" s="154"/>
      <c r="Q116" s="154"/>
      <c r="R116" s="154"/>
      <c r="S116" s="154"/>
      <c r="T116" s="154"/>
      <c r="U116" s="154"/>
      <c r="V116" s="154"/>
      <c r="W116" s="154"/>
      <c r="X116" s="154"/>
      <c r="Y116" s="154"/>
      <c r="Z116" s="154"/>
      <c r="AA116" s="154"/>
    </row>
    <row r="117">
      <c r="A117" s="154"/>
      <c r="B117" s="154"/>
      <c r="C117" s="154"/>
      <c r="D117" s="154"/>
      <c r="E117" s="154"/>
      <c r="F117" s="154"/>
      <c r="G117" s="55"/>
      <c r="H117" s="154"/>
      <c r="I117" s="154"/>
      <c r="J117" s="154"/>
      <c r="K117" s="154"/>
      <c r="L117" s="154"/>
      <c r="M117" s="154"/>
      <c r="N117" s="154"/>
      <c r="O117" s="154"/>
      <c r="P117" s="154"/>
      <c r="Q117" s="154"/>
      <c r="R117" s="154"/>
      <c r="S117" s="154"/>
      <c r="T117" s="154"/>
      <c r="U117" s="154"/>
      <c r="V117" s="154"/>
      <c r="W117" s="154"/>
      <c r="X117" s="154"/>
      <c r="Y117" s="154"/>
      <c r="Z117" s="154"/>
      <c r="AA117" s="154"/>
    </row>
    <row r="118">
      <c r="A118" s="154"/>
      <c r="B118" s="154"/>
      <c r="C118" s="154"/>
      <c r="D118" s="154"/>
      <c r="E118" s="154"/>
      <c r="F118" s="154"/>
      <c r="G118" s="55"/>
      <c r="H118" s="154"/>
      <c r="I118" s="154"/>
      <c r="J118" s="154"/>
      <c r="K118" s="154"/>
      <c r="L118" s="154"/>
      <c r="M118" s="154"/>
      <c r="N118" s="154"/>
      <c r="O118" s="154"/>
      <c r="P118" s="154"/>
      <c r="Q118" s="154"/>
      <c r="R118" s="154"/>
      <c r="S118" s="154"/>
      <c r="T118" s="154"/>
      <c r="U118" s="154"/>
      <c r="V118" s="154"/>
      <c r="W118" s="154"/>
      <c r="X118" s="154"/>
      <c r="Y118" s="154"/>
      <c r="Z118" s="154"/>
      <c r="AA118" s="154"/>
    </row>
    <row r="119">
      <c r="A119" s="154"/>
      <c r="B119" s="154"/>
      <c r="C119" s="154"/>
      <c r="D119" s="154"/>
      <c r="E119" s="154"/>
      <c r="F119" s="154"/>
      <c r="G119" s="55"/>
      <c r="H119" s="154"/>
      <c r="I119" s="154"/>
      <c r="J119" s="154"/>
      <c r="K119" s="154"/>
      <c r="L119" s="154"/>
      <c r="M119" s="154"/>
      <c r="N119" s="154"/>
      <c r="O119" s="154"/>
      <c r="P119" s="154"/>
      <c r="Q119" s="154"/>
      <c r="R119" s="154"/>
      <c r="S119" s="154"/>
      <c r="T119" s="154"/>
      <c r="U119" s="154"/>
      <c r="V119" s="154"/>
      <c r="W119" s="154"/>
      <c r="X119" s="154"/>
      <c r="Y119" s="154"/>
      <c r="Z119" s="154"/>
      <c r="AA119" s="154"/>
    </row>
    <row r="120">
      <c r="A120" s="154"/>
      <c r="B120" s="154"/>
      <c r="C120" s="154"/>
      <c r="D120" s="154"/>
      <c r="E120" s="154"/>
      <c r="F120" s="154"/>
      <c r="G120" s="55"/>
      <c r="H120" s="154"/>
      <c r="I120" s="154"/>
      <c r="J120" s="154"/>
      <c r="K120" s="154"/>
      <c r="L120" s="154"/>
      <c r="M120" s="154"/>
      <c r="N120" s="154"/>
      <c r="O120" s="154"/>
      <c r="P120" s="154"/>
      <c r="Q120" s="154"/>
      <c r="R120" s="154"/>
      <c r="S120" s="154"/>
      <c r="T120" s="154"/>
      <c r="U120" s="154"/>
      <c r="V120" s="154"/>
      <c r="W120" s="154"/>
      <c r="X120" s="154"/>
      <c r="Y120" s="154"/>
      <c r="Z120" s="154"/>
      <c r="AA120" s="154"/>
    </row>
    <row r="121">
      <c r="A121" s="154"/>
      <c r="B121" s="154"/>
      <c r="C121" s="154"/>
      <c r="D121" s="154"/>
      <c r="E121" s="154"/>
      <c r="F121" s="154"/>
      <c r="G121" s="55"/>
      <c r="H121" s="154"/>
      <c r="I121" s="154"/>
      <c r="J121" s="154"/>
      <c r="K121" s="154"/>
      <c r="L121" s="154"/>
      <c r="M121" s="154"/>
      <c r="N121" s="154"/>
      <c r="O121" s="154"/>
      <c r="P121" s="154"/>
      <c r="Q121" s="154"/>
      <c r="R121" s="154"/>
      <c r="S121" s="154"/>
      <c r="T121" s="154"/>
      <c r="U121" s="154"/>
      <c r="V121" s="154"/>
      <c r="W121" s="154"/>
      <c r="X121" s="154"/>
      <c r="Y121" s="154"/>
      <c r="Z121" s="154"/>
      <c r="AA121" s="154"/>
    </row>
    <row r="122">
      <c r="A122" s="154"/>
      <c r="B122" s="154"/>
      <c r="C122" s="154"/>
      <c r="D122" s="154"/>
      <c r="E122" s="154"/>
      <c r="F122" s="154"/>
      <c r="G122" s="55"/>
      <c r="H122" s="154"/>
      <c r="I122" s="154"/>
      <c r="J122" s="154"/>
      <c r="K122" s="154"/>
      <c r="L122" s="154"/>
      <c r="M122" s="154"/>
      <c r="N122" s="154"/>
      <c r="O122" s="154"/>
      <c r="P122" s="154"/>
      <c r="Q122" s="154"/>
      <c r="R122" s="154"/>
      <c r="S122" s="154"/>
      <c r="T122" s="154"/>
      <c r="U122" s="154"/>
      <c r="V122" s="154"/>
      <c r="W122" s="154"/>
      <c r="X122" s="154"/>
      <c r="Y122" s="154"/>
      <c r="Z122" s="154"/>
      <c r="AA122" s="154"/>
    </row>
    <row r="123">
      <c r="A123" s="154"/>
      <c r="B123" s="154"/>
      <c r="C123" s="154"/>
      <c r="D123" s="154"/>
      <c r="E123" s="154"/>
      <c r="F123" s="154"/>
      <c r="G123" s="55"/>
      <c r="H123" s="154"/>
      <c r="I123" s="154"/>
      <c r="J123" s="154"/>
      <c r="K123" s="154"/>
      <c r="L123" s="154"/>
      <c r="M123" s="154"/>
      <c r="N123" s="154"/>
      <c r="O123" s="154"/>
      <c r="P123" s="154"/>
      <c r="Q123" s="154"/>
      <c r="R123" s="154"/>
      <c r="S123" s="154"/>
      <c r="T123" s="154"/>
      <c r="U123" s="154"/>
      <c r="V123" s="154"/>
      <c r="W123" s="154"/>
      <c r="X123" s="154"/>
      <c r="Y123" s="154"/>
      <c r="Z123" s="154"/>
      <c r="AA123" s="154"/>
    </row>
    <row r="124">
      <c r="A124" s="154"/>
      <c r="B124" s="154"/>
      <c r="C124" s="154"/>
      <c r="D124" s="154"/>
      <c r="E124" s="154"/>
      <c r="F124" s="154"/>
      <c r="G124" s="55"/>
      <c r="H124" s="154"/>
      <c r="I124" s="154"/>
      <c r="J124" s="154"/>
      <c r="K124" s="154"/>
      <c r="L124" s="154"/>
      <c r="M124" s="154"/>
      <c r="N124" s="154"/>
      <c r="O124" s="154"/>
      <c r="P124" s="154"/>
      <c r="Q124" s="154"/>
      <c r="R124" s="154"/>
      <c r="S124" s="154"/>
      <c r="T124" s="154"/>
      <c r="U124" s="154"/>
      <c r="V124" s="154"/>
      <c r="W124" s="154"/>
      <c r="X124" s="154"/>
      <c r="Y124" s="154"/>
      <c r="Z124" s="154"/>
      <c r="AA124" s="154"/>
    </row>
    <row r="125">
      <c r="A125" s="154"/>
      <c r="B125" s="154"/>
      <c r="C125" s="154"/>
      <c r="D125" s="154"/>
      <c r="E125" s="154"/>
      <c r="F125" s="154"/>
      <c r="G125" s="55"/>
      <c r="H125" s="154"/>
      <c r="I125" s="154"/>
      <c r="J125" s="154"/>
      <c r="K125" s="154"/>
      <c r="L125" s="154"/>
      <c r="M125" s="154"/>
      <c r="N125" s="154"/>
      <c r="O125" s="154"/>
      <c r="P125" s="154"/>
      <c r="Q125" s="154"/>
      <c r="R125" s="154"/>
      <c r="S125" s="154"/>
      <c r="T125" s="154"/>
      <c r="U125" s="154"/>
      <c r="V125" s="154"/>
      <c r="W125" s="154"/>
      <c r="X125" s="154"/>
      <c r="Y125" s="154"/>
      <c r="Z125" s="154"/>
      <c r="AA125" s="154"/>
    </row>
    <row r="126">
      <c r="A126" s="154"/>
      <c r="B126" s="154"/>
      <c r="C126" s="154"/>
      <c r="D126" s="154"/>
      <c r="E126" s="154"/>
      <c r="F126" s="154"/>
      <c r="G126" s="55"/>
      <c r="H126" s="154"/>
      <c r="I126" s="154"/>
      <c r="J126" s="154"/>
      <c r="K126" s="154"/>
      <c r="L126" s="154"/>
      <c r="M126" s="154"/>
      <c r="N126" s="154"/>
      <c r="O126" s="154"/>
      <c r="P126" s="154"/>
      <c r="Q126" s="154"/>
      <c r="R126" s="154"/>
      <c r="S126" s="154"/>
      <c r="T126" s="154"/>
      <c r="U126" s="154"/>
      <c r="V126" s="154"/>
      <c r="W126" s="154"/>
      <c r="X126" s="154"/>
      <c r="Y126" s="154"/>
      <c r="Z126" s="154"/>
      <c r="AA126" s="154"/>
    </row>
    <row r="127">
      <c r="A127" s="154"/>
      <c r="B127" s="154"/>
      <c r="C127" s="154"/>
      <c r="D127" s="154"/>
      <c r="E127" s="154"/>
      <c r="F127" s="154"/>
      <c r="G127" s="55"/>
      <c r="H127" s="154"/>
      <c r="I127" s="154"/>
      <c r="J127" s="154"/>
      <c r="K127" s="154"/>
      <c r="L127" s="154"/>
      <c r="M127" s="154"/>
      <c r="N127" s="154"/>
      <c r="O127" s="154"/>
      <c r="P127" s="154"/>
      <c r="Q127" s="154"/>
      <c r="R127" s="154"/>
      <c r="S127" s="154"/>
      <c r="T127" s="154"/>
      <c r="U127" s="154"/>
      <c r="V127" s="154"/>
      <c r="W127" s="154"/>
      <c r="X127" s="154"/>
      <c r="Y127" s="154"/>
      <c r="Z127" s="154"/>
      <c r="AA127" s="154"/>
    </row>
    <row r="128">
      <c r="A128" s="154"/>
      <c r="B128" s="154"/>
      <c r="C128" s="154"/>
      <c r="D128" s="154"/>
      <c r="E128" s="154"/>
      <c r="F128" s="154"/>
      <c r="G128" s="55"/>
      <c r="H128" s="154"/>
      <c r="I128" s="154"/>
      <c r="J128" s="154"/>
      <c r="K128" s="154"/>
      <c r="L128" s="154"/>
      <c r="M128" s="154"/>
      <c r="N128" s="154"/>
      <c r="O128" s="154"/>
      <c r="P128" s="154"/>
      <c r="Q128" s="154"/>
      <c r="R128" s="154"/>
      <c r="S128" s="154"/>
      <c r="T128" s="154"/>
      <c r="U128" s="154"/>
      <c r="V128" s="154"/>
      <c r="W128" s="154"/>
      <c r="X128" s="154"/>
      <c r="Y128" s="154"/>
      <c r="Z128" s="154"/>
      <c r="AA128" s="154"/>
    </row>
    <row r="129">
      <c r="A129" s="154"/>
      <c r="B129" s="154"/>
      <c r="C129" s="154"/>
      <c r="D129" s="154"/>
      <c r="E129" s="154"/>
      <c r="F129" s="154"/>
      <c r="G129" s="55"/>
      <c r="H129" s="154"/>
      <c r="I129" s="154"/>
      <c r="J129" s="154"/>
      <c r="K129" s="154"/>
      <c r="L129" s="154"/>
      <c r="M129" s="154"/>
      <c r="N129" s="154"/>
      <c r="O129" s="154"/>
      <c r="P129" s="154"/>
      <c r="Q129" s="154"/>
      <c r="R129" s="154"/>
      <c r="S129" s="154"/>
      <c r="T129" s="154"/>
      <c r="U129" s="154"/>
      <c r="V129" s="154"/>
      <c r="W129" s="154"/>
      <c r="X129" s="154"/>
      <c r="Y129" s="154"/>
      <c r="Z129" s="154"/>
      <c r="AA129" s="154"/>
    </row>
    <row r="130">
      <c r="A130" s="154"/>
      <c r="B130" s="154"/>
      <c r="C130" s="154"/>
      <c r="D130" s="154"/>
      <c r="E130" s="154"/>
      <c r="F130" s="154"/>
      <c r="G130" s="55"/>
      <c r="H130" s="154"/>
      <c r="I130" s="154"/>
      <c r="J130" s="154"/>
      <c r="K130" s="154"/>
      <c r="L130" s="154"/>
      <c r="M130" s="154"/>
      <c r="N130" s="154"/>
      <c r="O130" s="154"/>
      <c r="P130" s="154"/>
      <c r="Q130" s="154"/>
      <c r="R130" s="154"/>
      <c r="S130" s="154"/>
      <c r="T130" s="154"/>
      <c r="U130" s="154"/>
      <c r="V130" s="154"/>
      <c r="W130" s="154"/>
      <c r="X130" s="154"/>
      <c r="Y130" s="154"/>
      <c r="Z130" s="154"/>
      <c r="AA130" s="154"/>
    </row>
    <row r="131">
      <c r="A131" s="154"/>
      <c r="B131" s="154"/>
      <c r="C131" s="154"/>
      <c r="D131" s="154"/>
      <c r="E131" s="154"/>
      <c r="F131" s="154"/>
      <c r="G131" s="55"/>
      <c r="H131" s="154"/>
      <c r="I131" s="154"/>
      <c r="J131" s="154"/>
      <c r="K131" s="154"/>
      <c r="L131" s="154"/>
      <c r="M131" s="154"/>
      <c r="N131" s="154"/>
      <c r="O131" s="154"/>
      <c r="P131" s="154"/>
      <c r="Q131" s="154"/>
      <c r="R131" s="154"/>
      <c r="S131" s="154"/>
      <c r="T131" s="154"/>
      <c r="U131" s="154"/>
      <c r="V131" s="154"/>
      <c r="W131" s="154"/>
      <c r="X131" s="154"/>
      <c r="Y131" s="154"/>
      <c r="Z131" s="154"/>
      <c r="AA131" s="154"/>
    </row>
    <row r="132">
      <c r="A132" s="154"/>
      <c r="B132" s="154"/>
      <c r="C132" s="154"/>
      <c r="D132" s="154"/>
      <c r="E132" s="154"/>
      <c r="F132" s="154"/>
      <c r="G132" s="55"/>
      <c r="H132" s="154"/>
      <c r="I132" s="154"/>
      <c r="J132" s="154"/>
      <c r="K132" s="154"/>
      <c r="L132" s="154"/>
      <c r="M132" s="154"/>
      <c r="N132" s="154"/>
      <c r="O132" s="154"/>
      <c r="P132" s="154"/>
      <c r="Q132" s="154"/>
      <c r="R132" s="154"/>
      <c r="S132" s="154"/>
      <c r="T132" s="154"/>
      <c r="U132" s="154"/>
      <c r="V132" s="154"/>
      <c r="W132" s="154"/>
      <c r="X132" s="154"/>
      <c r="Y132" s="154"/>
      <c r="Z132" s="154"/>
      <c r="AA132" s="154"/>
    </row>
    <row r="133">
      <c r="A133" s="154"/>
      <c r="B133" s="154"/>
      <c r="C133" s="154"/>
      <c r="D133" s="154"/>
      <c r="E133" s="154"/>
      <c r="F133" s="154"/>
      <c r="G133" s="55"/>
      <c r="H133" s="154"/>
      <c r="I133" s="154"/>
      <c r="J133" s="154"/>
      <c r="K133" s="154"/>
      <c r="L133" s="154"/>
      <c r="M133" s="154"/>
      <c r="N133" s="154"/>
      <c r="O133" s="154"/>
      <c r="P133" s="154"/>
      <c r="Q133" s="154"/>
      <c r="R133" s="154"/>
      <c r="S133" s="154"/>
      <c r="T133" s="154"/>
      <c r="U133" s="154"/>
      <c r="V133" s="154"/>
      <c r="W133" s="154"/>
      <c r="X133" s="154"/>
      <c r="Y133" s="154"/>
      <c r="Z133" s="154"/>
      <c r="AA133" s="154"/>
    </row>
    <row r="134">
      <c r="A134" s="154"/>
      <c r="B134" s="154"/>
      <c r="C134" s="154"/>
      <c r="D134" s="154"/>
      <c r="E134" s="154"/>
      <c r="F134" s="154"/>
      <c r="G134" s="55"/>
      <c r="H134" s="154"/>
      <c r="I134" s="154"/>
      <c r="J134" s="154"/>
      <c r="K134" s="154"/>
      <c r="L134" s="154"/>
      <c r="M134" s="154"/>
      <c r="N134" s="154"/>
      <c r="O134" s="154"/>
      <c r="P134" s="154"/>
      <c r="Q134" s="154"/>
      <c r="R134" s="154"/>
      <c r="S134" s="154"/>
      <c r="T134" s="154"/>
      <c r="U134" s="154"/>
      <c r="V134" s="154"/>
      <c r="W134" s="154"/>
      <c r="X134" s="154"/>
      <c r="Y134" s="154"/>
      <c r="Z134" s="154"/>
      <c r="AA134" s="154"/>
    </row>
    <row r="135">
      <c r="A135" s="154"/>
      <c r="B135" s="154"/>
      <c r="C135" s="154"/>
      <c r="D135" s="154"/>
      <c r="E135" s="154"/>
      <c r="F135" s="154"/>
      <c r="G135" s="55"/>
      <c r="H135" s="154"/>
      <c r="I135" s="154"/>
      <c r="J135" s="154"/>
      <c r="K135" s="154"/>
      <c r="L135" s="154"/>
      <c r="M135" s="154"/>
      <c r="N135" s="154"/>
      <c r="O135" s="154"/>
      <c r="P135" s="154"/>
      <c r="Q135" s="154"/>
      <c r="R135" s="154"/>
      <c r="S135" s="154"/>
      <c r="T135" s="154"/>
      <c r="U135" s="154"/>
      <c r="V135" s="154"/>
      <c r="W135" s="154"/>
      <c r="X135" s="154"/>
      <c r="Y135" s="154"/>
      <c r="Z135" s="154"/>
      <c r="AA135" s="154"/>
    </row>
    <row r="136">
      <c r="A136" s="154"/>
      <c r="B136" s="154"/>
      <c r="C136" s="154"/>
      <c r="D136" s="154"/>
      <c r="E136" s="154"/>
      <c r="F136" s="154"/>
      <c r="G136" s="55"/>
      <c r="H136" s="154"/>
      <c r="I136" s="154"/>
      <c r="J136" s="154"/>
      <c r="K136" s="154"/>
      <c r="L136" s="154"/>
      <c r="M136" s="154"/>
      <c r="N136" s="154"/>
      <c r="O136" s="154"/>
      <c r="P136" s="154"/>
      <c r="Q136" s="154"/>
      <c r="R136" s="154"/>
      <c r="S136" s="154"/>
      <c r="T136" s="154"/>
      <c r="U136" s="154"/>
      <c r="V136" s="154"/>
      <c r="W136" s="154"/>
      <c r="X136" s="154"/>
      <c r="Y136" s="154"/>
      <c r="Z136" s="154"/>
      <c r="AA136" s="154"/>
    </row>
    <row r="137">
      <c r="A137" s="154"/>
      <c r="B137" s="154"/>
      <c r="C137" s="154"/>
      <c r="D137" s="154"/>
      <c r="E137" s="154"/>
      <c r="F137" s="154"/>
      <c r="G137" s="55"/>
      <c r="H137" s="154"/>
      <c r="I137" s="154"/>
      <c r="J137" s="154"/>
      <c r="K137" s="154"/>
      <c r="L137" s="154"/>
      <c r="M137" s="154"/>
      <c r="N137" s="154"/>
      <c r="O137" s="154"/>
      <c r="P137" s="154"/>
      <c r="Q137" s="154"/>
      <c r="R137" s="154"/>
      <c r="S137" s="154"/>
      <c r="T137" s="154"/>
      <c r="U137" s="154"/>
      <c r="V137" s="154"/>
      <c r="W137" s="154"/>
      <c r="X137" s="154"/>
      <c r="Y137" s="154"/>
      <c r="Z137" s="154"/>
      <c r="AA137" s="154"/>
    </row>
    <row r="138">
      <c r="A138" s="154"/>
      <c r="B138" s="154"/>
      <c r="C138" s="154"/>
      <c r="D138" s="154"/>
      <c r="E138" s="154"/>
      <c r="F138" s="154"/>
      <c r="G138" s="55"/>
      <c r="H138" s="154"/>
      <c r="I138" s="154"/>
      <c r="J138" s="154"/>
      <c r="K138" s="154"/>
      <c r="L138" s="154"/>
      <c r="M138" s="154"/>
      <c r="N138" s="154"/>
      <c r="O138" s="154"/>
      <c r="P138" s="154"/>
      <c r="Q138" s="154"/>
      <c r="R138" s="154"/>
      <c r="S138" s="154"/>
      <c r="T138" s="154"/>
      <c r="U138" s="154"/>
      <c r="V138" s="154"/>
      <c r="W138" s="154"/>
      <c r="X138" s="154"/>
      <c r="Y138" s="154"/>
      <c r="Z138" s="154"/>
      <c r="AA138" s="154"/>
    </row>
    <row r="139">
      <c r="A139" s="154"/>
      <c r="B139" s="154"/>
      <c r="C139" s="154"/>
      <c r="D139" s="154"/>
      <c r="E139" s="154"/>
      <c r="F139" s="154"/>
      <c r="G139" s="55"/>
      <c r="H139" s="154"/>
      <c r="I139" s="154"/>
      <c r="J139" s="154"/>
      <c r="K139" s="154"/>
      <c r="L139" s="154"/>
      <c r="M139" s="154"/>
      <c r="N139" s="154"/>
      <c r="O139" s="154"/>
      <c r="P139" s="154"/>
      <c r="Q139" s="154"/>
      <c r="R139" s="154"/>
      <c r="S139" s="154"/>
      <c r="T139" s="154"/>
      <c r="U139" s="154"/>
      <c r="V139" s="154"/>
      <c r="W139" s="154"/>
      <c r="X139" s="154"/>
      <c r="Y139" s="154"/>
      <c r="Z139" s="154"/>
      <c r="AA139" s="154"/>
    </row>
    <row r="140">
      <c r="A140" s="154"/>
      <c r="B140" s="154"/>
      <c r="C140" s="154"/>
      <c r="D140" s="154"/>
      <c r="E140" s="154"/>
      <c r="F140" s="154"/>
      <c r="G140" s="55"/>
      <c r="H140" s="154"/>
      <c r="I140" s="154"/>
      <c r="J140" s="154"/>
      <c r="K140" s="154"/>
      <c r="L140" s="154"/>
      <c r="M140" s="154"/>
      <c r="N140" s="154"/>
      <c r="O140" s="154"/>
      <c r="P140" s="154"/>
      <c r="Q140" s="154"/>
      <c r="R140" s="154"/>
      <c r="S140" s="154"/>
      <c r="T140" s="154"/>
      <c r="U140" s="154"/>
      <c r="V140" s="154"/>
      <c r="W140" s="154"/>
      <c r="X140" s="154"/>
      <c r="Y140" s="154"/>
      <c r="Z140" s="154"/>
      <c r="AA140" s="154"/>
    </row>
    <row r="141">
      <c r="A141" s="154"/>
      <c r="B141" s="154"/>
      <c r="C141" s="154"/>
      <c r="D141" s="154"/>
      <c r="E141" s="154"/>
      <c r="F141" s="154"/>
      <c r="G141" s="55"/>
      <c r="H141" s="154"/>
      <c r="I141" s="154"/>
      <c r="J141" s="154"/>
      <c r="K141" s="154"/>
      <c r="L141" s="154"/>
      <c r="M141" s="154"/>
      <c r="N141" s="154"/>
      <c r="O141" s="154"/>
      <c r="P141" s="154"/>
      <c r="Q141" s="154"/>
      <c r="R141" s="154"/>
      <c r="S141" s="154"/>
      <c r="T141" s="154"/>
      <c r="U141" s="154"/>
      <c r="V141" s="154"/>
      <c r="W141" s="154"/>
      <c r="X141" s="154"/>
      <c r="Y141" s="154"/>
      <c r="Z141" s="154"/>
      <c r="AA141" s="154"/>
    </row>
    <row r="142">
      <c r="A142" s="154"/>
      <c r="B142" s="154"/>
      <c r="C142" s="154"/>
      <c r="D142" s="154"/>
      <c r="E142" s="154"/>
      <c r="F142" s="154"/>
      <c r="G142" s="55"/>
      <c r="H142" s="154"/>
      <c r="I142" s="154"/>
      <c r="J142" s="154"/>
      <c r="K142" s="154"/>
      <c r="L142" s="154"/>
      <c r="M142" s="154"/>
      <c r="N142" s="154"/>
      <c r="O142" s="154"/>
      <c r="P142" s="154"/>
      <c r="Q142" s="154"/>
      <c r="R142" s="154"/>
      <c r="S142" s="154"/>
      <c r="T142" s="154"/>
      <c r="U142" s="154"/>
      <c r="V142" s="154"/>
      <c r="W142" s="154"/>
      <c r="X142" s="154"/>
      <c r="Y142" s="154"/>
      <c r="Z142" s="154"/>
      <c r="AA142" s="154"/>
    </row>
    <row r="143">
      <c r="A143" s="154"/>
      <c r="B143" s="154"/>
      <c r="C143" s="154"/>
      <c r="D143" s="154"/>
      <c r="E143" s="154"/>
      <c r="F143" s="154"/>
      <c r="G143" s="55"/>
      <c r="H143" s="154"/>
      <c r="I143" s="154"/>
      <c r="J143" s="154"/>
      <c r="K143" s="154"/>
      <c r="L143" s="154"/>
      <c r="M143" s="154"/>
      <c r="N143" s="154"/>
      <c r="O143" s="154"/>
      <c r="P143" s="154"/>
      <c r="Q143" s="154"/>
      <c r="R143" s="154"/>
      <c r="S143" s="154"/>
      <c r="T143" s="154"/>
      <c r="U143" s="154"/>
      <c r="V143" s="154"/>
      <c r="W143" s="154"/>
      <c r="X143" s="154"/>
      <c r="Y143" s="154"/>
      <c r="Z143" s="154"/>
      <c r="AA143" s="154"/>
    </row>
    <row r="144">
      <c r="A144" s="154"/>
      <c r="B144" s="154"/>
      <c r="C144" s="154"/>
      <c r="D144" s="154"/>
      <c r="E144" s="154"/>
      <c r="F144" s="154"/>
      <c r="G144" s="55"/>
      <c r="H144" s="154"/>
      <c r="I144" s="154"/>
      <c r="J144" s="154"/>
      <c r="K144" s="154"/>
      <c r="L144" s="154"/>
      <c r="M144" s="154"/>
      <c r="N144" s="154"/>
      <c r="O144" s="154"/>
      <c r="P144" s="154"/>
      <c r="Q144" s="154"/>
      <c r="R144" s="154"/>
      <c r="S144" s="154"/>
      <c r="T144" s="154"/>
      <c r="U144" s="154"/>
      <c r="V144" s="154"/>
      <c r="W144" s="154"/>
      <c r="X144" s="154"/>
      <c r="Y144" s="154"/>
      <c r="Z144" s="154"/>
      <c r="AA144" s="154"/>
    </row>
    <row r="145">
      <c r="A145" s="154"/>
      <c r="B145" s="154"/>
      <c r="C145" s="154"/>
      <c r="D145" s="154"/>
      <c r="E145" s="154"/>
      <c r="F145" s="154"/>
      <c r="G145" s="55"/>
      <c r="H145" s="154"/>
      <c r="I145" s="154"/>
      <c r="J145" s="154"/>
      <c r="K145" s="154"/>
      <c r="L145" s="154"/>
      <c r="M145" s="154"/>
      <c r="N145" s="154"/>
      <c r="O145" s="154"/>
      <c r="P145" s="154"/>
      <c r="Q145" s="154"/>
      <c r="R145" s="154"/>
      <c r="S145" s="154"/>
      <c r="T145" s="154"/>
      <c r="U145" s="154"/>
      <c r="V145" s="154"/>
      <c r="W145" s="154"/>
      <c r="X145" s="154"/>
      <c r="Y145" s="154"/>
      <c r="Z145" s="154"/>
      <c r="AA145" s="154"/>
    </row>
    <row r="146">
      <c r="A146" s="154"/>
      <c r="B146" s="154"/>
      <c r="C146" s="154"/>
      <c r="D146" s="154"/>
      <c r="E146" s="154"/>
      <c r="F146" s="154"/>
      <c r="G146" s="55"/>
      <c r="H146" s="154"/>
      <c r="I146" s="154"/>
      <c r="J146" s="154"/>
      <c r="K146" s="154"/>
      <c r="L146" s="154"/>
      <c r="M146" s="154"/>
      <c r="N146" s="154"/>
      <c r="O146" s="154"/>
      <c r="P146" s="154"/>
      <c r="Q146" s="154"/>
      <c r="R146" s="154"/>
      <c r="S146" s="154"/>
      <c r="T146" s="154"/>
      <c r="U146" s="154"/>
      <c r="V146" s="154"/>
      <c r="W146" s="154"/>
      <c r="X146" s="154"/>
      <c r="Y146" s="154"/>
      <c r="Z146" s="154"/>
      <c r="AA146" s="154"/>
    </row>
    <row r="147">
      <c r="A147" s="154"/>
      <c r="B147" s="154"/>
      <c r="C147" s="154"/>
      <c r="D147" s="154"/>
      <c r="E147" s="154"/>
      <c r="F147" s="154"/>
      <c r="G147" s="55"/>
      <c r="H147" s="154"/>
      <c r="I147" s="154"/>
      <c r="J147" s="154"/>
      <c r="K147" s="154"/>
      <c r="L147" s="154"/>
      <c r="M147" s="154"/>
      <c r="N147" s="154"/>
      <c r="O147" s="154"/>
      <c r="P147" s="154"/>
      <c r="Q147" s="154"/>
      <c r="R147" s="154"/>
      <c r="S147" s="154"/>
      <c r="T147" s="154"/>
      <c r="U147" s="154"/>
      <c r="V147" s="154"/>
      <c r="W147" s="154"/>
      <c r="X147" s="154"/>
      <c r="Y147" s="154"/>
      <c r="Z147" s="154"/>
      <c r="AA147" s="154"/>
    </row>
    <row r="148">
      <c r="A148" s="154"/>
      <c r="B148" s="154"/>
      <c r="C148" s="154"/>
      <c r="D148" s="154"/>
      <c r="E148" s="154"/>
      <c r="F148" s="154"/>
      <c r="G148" s="55"/>
      <c r="H148" s="154"/>
      <c r="I148" s="154"/>
      <c r="J148" s="154"/>
      <c r="K148" s="154"/>
      <c r="L148" s="154"/>
      <c r="M148" s="154"/>
      <c r="N148" s="154"/>
      <c r="O148" s="154"/>
      <c r="P148" s="154"/>
      <c r="Q148" s="154"/>
      <c r="R148" s="154"/>
      <c r="S148" s="154"/>
      <c r="T148" s="154"/>
      <c r="U148" s="154"/>
      <c r="V148" s="154"/>
      <c r="W148" s="154"/>
      <c r="X148" s="154"/>
      <c r="Y148" s="154"/>
      <c r="Z148" s="154"/>
      <c r="AA148" s="154"/>
    </row>
    <row r="149">
      <c r="A149" s="154"/>
      <c r="B149" s="154"/>
      <c r="C149" s="154"/>
      <c r="D149" s="154"/>
      <c r="E149" s="154"/>
      <c r="F149" s="154"/>
      <c r="G149" s="55"/>
      <c r="H149" s="154"/>
      <c r="I149" s="154"/>
      <c r="J149" s="154"/>
      <c r="K149" s="154"/>
      <c r="L149" s="154"/>
      <c r="M149" s="154"/>
      <c r="N149" s="154"/>
      <c r="O149" s="154"/>
      <c r="P149" s="154"/>
      <c r="Q149" s="154"/>
      <c r="R149" s="154"/>
      <c r="S149" s="154"/>
      <c r="T149" s="154"/>
      <c r="U149" s="154"/>
      <c r="V149" s="154"/>
      <c r="W149" s="154"/>
      <c r="X149" s="154"/>
      <c r="Y149" s="154"/>
      <c r="Z149" s="154"/>
      <c r="AA149" s="154"/>
    </row>
    <row r="150">
      <c r="A150" s="154"/>
      <c r="B150" s="154"/>
      <c r="C150" s="154"/>
      <c r="D150" s="154"/>
      <c r="E150" s="154"/>
      <c r="F150" s="154"/>
      <c r="G150" s="55"/>
      <c r="H150" s="154"/>
      <c r="I150" s="154"/>
      <c r="J150" s="154"/>
      <c r="K150" s="154"/>
      <c r="L150" s="154"/>
      <c r="M150" s="154"/>
      <c r="N150" s="154"/>
      <c r="O150" s="154"/>
      <c r="P150" s="154"/>
      <c r="Q150" s="154"/>
      <c r="R150" s="154"/>
      <c r="S150" s="154"/>
      <c r="T150" s="154"/>
      <c r="U150" s="154"/>
      <c r="V150" s="154"/>
      <c r="W150" s="154"/>
      <c r="X150" s="154"/>
      <c r="Y150" s="154"/>
      <c r="Z150" s="154"/>
      <c r="AA150" s="154"/>
    </row>
    <row r="151">
      <c r="A151" s="154"/>
      <c r="B151" s="154"/>
      <c r="C151" s="154"/>
      <c r="D151" s="154"/>
      <c r="E151" s="154"/>
      <c r="F151" s="154"/>
      <c r="G151" s="55"/>
      <c r="H151" s="154"/>
      <c r="I151" s="154"/>
      <c r="J151" s="154"/>
      <c r="K151" s="154"/>
      <c r="L151" s="154"/>
      <c r="M151" s="154"/>
      <c r="N151" s="154"/>
      <c r="O151" s="154"/>
      <c r="P151" s="154"/>
      <c r="Q151" s="154"/>
      <c r="R151" s="154"/>
      <c r="S151" s="154"/>
      <c r="T151" s="154"/>
      <c r="U151" s="154"/>
      <c r="V151" s="154"/>
      <c r="W151" s="154"/>
      <c r="X151" s="154"/>
      <c r="Y151" s="154"/>
      <c r="Z151" s="154"/>
      <c r="AA151" s="154"/>
    </row>
    <row r="152">
      <c r="A152" s="154"/>
      <c r="B152" s="154"/>
      <c r="C152" s="154"/>
      <c r="D152" s="154"/>
      <c r="E152" s="154"/>
      <c r="F152" s="154"/>
      <c r="G152" s="55"/>
      <c r="H152" s="154"/>
      <c r="I152" s="154"/>
      <c r="J152" s="154"/>
      <c r="K152" s="154"/>
      <c r="L152" s="154"/>
      <c r="M152" s="154"/>
      <c r="N152" s="154"/>
      <c r="O152" s="154"/>
      <c r="P152" s="154"/>
      <c r="Q152" s="154"/>
      <c r="R152" s="154"/>
      <c r="S152" s="154"/>
      <c r="T152" s="154"/>
      <c r="U152" s="154"/>
      <c r="V152" s="154"/>
      <c r="W152" s="154"/>
      <c r="X152" s="154"/>
      <c r="Y152" s="154"/>
      <c r="Z152" s="154"/>
      <c r="AA152" s="154"/>
    </row>
    <row r="153">
      <c r="A153" s="154"/>
      <c r="B153" s="154"/>
      <c r="C153" s="154"/>
      <c r="D153" s="154"/>
      <c r="E153" s="154"/>
      <c r="F153" s="154"/>
      <c r="G153" s="55"/>
      <c r="H153" s="154"/>
      <c r="I153" s="154"/>
      <c r="J153" s="154"/>
      <c r="K153" s="154"/>
      <c r="L153" s="154"/>
      <c r="M153" s="154"/>
      <c r="N153" s="154"/>
      <c r="O153" s="154"/>
      <c r="P153" s="154"/>
      <c r="Q153" s="154"/>
      <c r="R153" s="154"/>
      <c r="S153" s="154"/>
      <c r="T153" s="154"/>
      <c r="U153" s="154"/>
      <c r="V153" s="154"/>
      <c r="W153" s="154"/>
      <c r="X153" s="154"/>
      <c r="Y153" s="154"/>
      <c r="Z153" s="154"/>
      <c r="AA153" s="154"/>
    </row>
    <row r="154">
      <c r="A154" s="154"/>
      <c r="B154" s="154"/>
      <c r="C154" s="154"/>
      <c r="D154" s="154"/>
      <c r="E154" s="154"/>
      <c r="F154" s="154"/>
      <c r="G154" s="55"/>
      <c r="H154" s="154"/>
      <c r="I154" s="154"/>
      <c r="J154" s="154"/>
      <c r="K154" s="154"/>
      <c r="L154" s="154"/>
      <c r="M154" s="154"/>
      <c r="N154" s="154"/>
      <c r="O154" s="154"/>
      <c r="P154" s="154"/>
      <c r="Q154" s="154"/>
      <c r="R154" s="154"/>
      <c r="S154" s="154"/>
      <c r="T154" s="154"/>
      <c r="U154" s="154"/>
      <c r="V154" s="154"/>
      <c r="W154" s="154"/>
      <c r="X154" s="154"/>
      <c r="Y154" s="154"/>
      <c r="Z154" s="154"/>
      <c r="AA154" s="154"/>
    </row>
    <row r="155">
      <c r="A155" s="154"/>
      <c r="B155" s="154"/>
      <c r="C155" s="154"/>
      <c r="D155" s="154"/>
      <c r="E155" s="154"/>
      <c r="F155" s="154"/>
      <c r="G155" s="55"/>
      <c r="H155" s="154"/>
      <c r="I155" s="154"/>
      <c r="J155" s="154"/>
      <c r="K155" s="154"/>
      <c r="L155" s="154"/>
      <c r="M155" s="154"/>
      <c r="N155" s="154"/>
      <c r="O155" s="154"/>
      <c r="P155" s="154"/>
      <c r="Q155" s="154"/>
      <c r="R155" s="154"/>
      <c r="S155" s="154"/>
      <c r="T155" s="154"/>
      <c r="U155" s="154"/>
      <c r="V155" s="154"/>
      <c r="W155" s="154"/>
      <c r="X155" s="154"/>
      <c r="Y155" s="154"/>
      <c r="Z155" s="154"/>
      <c r="AA155" s="154"/>
    </row>
    <row r="156">
      <c r="A156" s="154"/>
      <c r="B156" s="154"/>
      <c r="C156" s="154"/>
      <c r="D156" s="154"/>
      <c r="E156" s="154"/>
      <c r="F156" s="154"/>
      <c r="G156" s="55"/>
      <c r="H156" s="154"/>
      <c r="I156" s="154"/>
      <c r="J156" s="154"/>
      <c r="K156" s="154"/>
      <c r="L156" s="154"/>
      <c r="M156" s="154"/>
      <c r="N156" s="154"/>
      <c r="O156" s="154"/>
      <c r="P156" s="154"/>
      <c r="Q156" s="154"/>
      <c r="R156" s="154"/>
      <c r="S156" s="154"/>
      <c r="T156" s="154"/>
      <c r="U156" s="154"/>
      <c r="V156" s="154"/>
      <c r="W156" s="154"/>
      <c r="X156" s="154"/>
      <c r="Y156" s="154"/>
      <c r="Z156" s="154"/>
      <c r="AA156" s="154"/>
    </row>
    <row r="157">
      <c r="A157" s="154"/>
      <c r="B157" s="154"/>
      <c r="C157" s="154"/>
      <c r="D157" s="154"/>
      <c r="E157" s="154"/>
      <c r="F157" s="154"/>
      <c r="G157" s="55"/>
      <c r="H157" s="154"/>
      <c r="I157" s="154"/>
      <c r="J157" s="154"/>
      <c r="K157" s="154"/>
      <c r="L157" s="154"/>
      <c r="M157" s="154"/>
      <c r="N157" s="154"/>
      <c r="O157" s="154"/>
      <c r="P157" s="154"/>
      <c r="Q157" s="154"/>
      <c r="R157" s="154"/>
      <c r="S157" s="154"/>
      <c r="T157" s="154"/>
      <c r="U157" s="154"/>
      <c r="V157" s="154"/>
      <c r="W157" s="154"/>
      <c r="X157" s="154"/>
      <c r="Y157" s="154"/>
      <c r="Z157" s="154"/>
      <c r="AA157" s="154"/>
    </row>
    <row r="158">
      <c r="A158" s="154"/>
      <c r="B158" s="154"/>
      <c r="C158" s="154"/>
      <c r="D158" s="154"/>
      <c r="E158" s="154"/>
      <c r="F158" s="154"/>
      <c r="G158" s="55"/>
      <c r="H158" s="154"/>
      <c r="I158" s="154"/>
      <c r="J158" s="154"/>
      <c r="K158" s="154"/>
      <c r="L158" s="154"/>
      <c r="M158" s="154"/>
      <c r="N158" s="154"/>
      <c r="O158" s="154"/>
      <c r="P158" s="154"/>
      <c r="Q158" s="154"/>
      <c r="R158" s="154"/>
      <c r="S158" s="154"/>
      <c r="T158" s="154"/>
      <c r="U158" s="154"/>
      <c r="V158" s="154"/>
      <c r="W158" s="154"/>
      <c r="X158" s="154"/>
      <c r="Y158" s="154"/>
      <c r="Z158" s="154"/>
      <c r="AA158" s="154"/>
    </row>
    <row r="159">
      <c r="A159" s="154"/>
      <c r="B159" s="154"/>
      <c r="C159" s="154"/>
      <c r="D159" s="154"/>
      <c r="E159" s="154"/>
      <c r="F159" s="154"/>
      <c r="G159" s="55"/>
      <c r="H159" s="154"/>
      <c r="I159" s="154"/>
      <c r="J159" s="154"/>
      <c r="K159" s="154"/>
      <c r="L159" s="154"/>
      <c r="M159" s="154"/>
      <c r="N159" s="154"/>
      <c r="O159" s="154"/>
      <c r="P159" s="154"/>
      <c r="Q159" s="154"/>
      <c r="R159" s="154"/>
      <c r="S159" s="154"/>
      <c r="T159" s="154"/>
      <c r="U159" s="154"/>
      <c r="V159" s="154"/>
      <c r="W159" s="154"/>
      <c r="X159" s="154"/>
      <c r="Y159" s="154"/>
      <c r="Z159" s="154"/>
      <c r="AA159" s="154"/>
    </row>
    <row r="160">
      <c r="A160" s="154"/>
      <c r="B160" s="154"/>
      <c r="C160" s="154"/>
      <c r="D160" s="154"/>
      <c r="E160" s="154"/>
      <c r="F160" s="154"/>
      <c r="G160" s="55"/>
      <c r="H160" s="154"/>
      <c r="I160" s="154"/>
      <c r="J160" s="154"/>
      <c r="K160" s="154"/>
      <c r="L160" s="154"/>
      <c r="M160" s="154"/>
      <c r="N160" s="154"/>
      <c r="O160" s="154"/>
      <c r="P160" s="154"/>
      <c r="Q160" s="154"/>
      <c r="R160" s="154"/>
      <c r="S160" s="154"/>
      <c r="T160" s="154"/>
      <c r="U160" s="154"/>
      <c r="V160" s="154"/>
      <c r="W160" s="154"/>
      <c r="X160" s="154"/>
      <c r="Y160" s="154"/>
      <c r="Z160" s="154"/>
      <c r="AA160" s="154"/>
    </row>
    <row r="161">
      <c r="A161" s="154"/>
      <c r="B161" s="154"/>
      <c r="C161" s="154"/>
      <c r="D161" s="154"/>
      <c r="E161" s="154"/>
      <c r="F161" s="154"/>
      <c r="G161" s="55"/>
      <c r="H161" s="154"/>
      <c r="I161" s="154"/>
      <c r="J161" s="154"/>
      <c r="K161" s="154"/>
      <c r="L161" s="154"/>
      <c r="M161" s="154"/>
      <c r="N161" s="154"/>
      <c r="O161" s="154"/>
      <c r="P161" s="154"/>
      <c r="Q161" s="154"/>
      <c r="R161" s="154"/>
      <c r="S161" s="154"/>
      <c r="T161" s="154"/>
      <c r="U161" s="154"/>
      <c r="V161" s="154"/>
      <c r="W161" s="154"/>
      <c r="X161" s="154"/>
      <c r="Y161" s="154"/>
      <c r="Z161" s="154"/>
      <c r="AA161" s="154"/>
    </row>
    <row r="162">
      <c r="A162" s="154"/>
      <c r="B162" s="154"/>
      <c r="C162" s="154"/>
      <c r="D162" s="154"/>
      <c r="E162" s="154"/>
      <c r="F162" s="154"/>
      <c r="G162" s="55"/>
      <c r="H162" s="154"/>
      <c r="I162" s="154"/>
      <c r="J162" s="154"/>
      <c r="K162" s="154"/>
      <c r="L162" s="154"/>
      <c r="M162" s="154"/>
      <c r="N162" s="154"/>
      <c r="O162" s="154"/>
      <c r="P162" s="154"/>
      <c r="Q162" s="154"/>
      <c r="R162" s="154"/>
      <c r="S162" s="154"/>
      <c r="T162" s="154"/>
      <c r="U162" s="154"/>
      <c r="V162" s="154"/>
      <c r="W162" s="154"/>
      <c r="X162" s="154"/>
      <c r="Y162" s="154"/>
      <c r="Z162" s="154"/>
      <c r="AA162" s="154"/>
    </row>
    <row r="163">
      <c r="A163" s="154"/>
      <c r="B163" s="154"/>
      <c r="C163" s="154"/>
      <c r="D163" s="154"/>
      <c r="E163" s="154"/>
      <c r="F163" s="154"/>
      <c r="G163" s="55"/>
      <c r="H163" s="154"/>
      <c r="I163" s="154"/>
      <c r="J163" s="154"/>
      <c r="K163" s="154"/>
      <c r="L163" s="154"/>
      <c r="M163" s="154"/>
      <c r="N163" s="154"/>
      <c r="O163" s="154"/>
      <c r="P163" s="154"/>
      <c r="Q163" s="154"/>
      <c r="R163" s="154"/>
      <c r="S163" s="154"/>
      <c r="T163" s="154"/>
      <c r="U163" s="154"/>
      <c r="V163" s="154"/>
      <c r="W163" s="154"/>
      <c r="X163" s="154"/>
      <c r="Y163" s="154"/>
      <c r="Z163" s="154"/>
      <c r="AA163" s="154"/>
    </row>
    <row r="164">
      <c r="A164" s="154"/>
      <c r="B164" s="154"/>
      <c r="C164" s="154"/>
      <c r="D164" s="154"/>
      <c r="E164" s="154"/>
      <c r="F164" s="154"/>
      <c r="G164" s="55"/>
      <c r="H164" s="154"/>
      <c r="I164" s="154"/>
      <c r="J164" s="154"/>
      <c r="K164" s="154"/>
      <c r="L164" s="154"/>
      <c r="M164" s="154"/>
      <c r="N164" s="154"/>
      <c r="O164" s="154"/>
      <c r="P164" s="154"/>
      <c r="Q164" s="154"/>
      <c r="R164" s="154"/>
      <c r="S164" s="154"/>
      <c r="T164" s="154"/>
      <c r="U164" s="154"/>
      <c r="V164" s="154"/>
      <c r="W164" s="154"/>
      <c r="X164" s="154"/>
      <c r="Y164" s="154"/>
      <c r="Z164" s="154"/>
      <c r="AA164" s="154"/>
    </row>
    <row r="165">
      <c r="A165" s="154"/>
      <c r="B165" s="154"/>
      <c r="C165" s="154"/>
      <c r="D165" s="154"/>
      <c r="E165" s="154"/>
      <c r="F165" s="154"/>
      <c r="G165" s="55"/>
      <c r="H165" s="154"/>
      <c r="I165" s="154"/>
      <c r="J165" s="154"/>
      <c r="K165" s="154"/>
      <c r="L165" s="154"/>
      <c r="M165" s="154"/>
      <c r="N165" s="154"/>
      <c r="O165" s="154"/>
      <c r="P165" s="154"/>
      <c r="Q165" s="154"/>
      <c r="R165" s="154"/>
      <c r="S165" s="154"/>
      <c r="T165" s="154"/>
      <c r="U165" s="154"/>
      <c r="V165" s="154"/>
      <c r="W165" s="154"/>
      <c r="X165" s="154"/>
      <c r="Y165" s="154"/>
      <c r="Z165" s="154"/>
      <c r="AA165" s="154"/>
    </row>
    <row r="166">
      <c r="A166" s="154"/>
      <c r="B166" s="154"/>
      <c r="C166" s="154"/>
      <c r="D166" s="154"/>
      <c r="E166" s="154"/>
      <c r="F166" s="154"/>
      <c r="G166" s="55"/>
      <c r="H166" s="154"/>
      <c r="I166" s="154"/>
      <c r="J166" s="154"/>
      <c r="K166" s="154"/>
      <c r="L166" s="154"/>
      <c r="M166" s="154"/>
      <c r="N166" s="154"/>
      <c r="O166" s="154"/>
      <c r="P166" s="154"/>
      <c r="Q166" s="154"/>
      <c r="R166" s="154"/>
      <c r="S166" s="154"/>
      <c r="T166" s="154"/>
      <c r="U166" s="154"/>
      <c r="V166" s="154"/>
      <c r="W166" s="154"/>
      <c r="X166" s="154"/>
      <c r="Y166" s="154"/>
      <c r="Z166" s="154"/>
      <c r="AA166" s="154"/>
    </row>
    <row r="167">
      <c r="A167" s="154"/>
      <c r="B167" s="154"/>
      <c r="C167" s="154"/>
      <c r="D167" s="154"/>
      <c r="E167" s="154"/>
      <c r="F167" s="154"/>
      <c r="G167" s="55"/>
      <c r="H167" s="154"/>
      <c r="I167" s="154"/>
      <c r="J167" s="154"/>
      <c r="K167" s="154"/>
      <c r="L167" s="154"/>
      <c r="M167" s="154"/>
      <c r="N167" s="154"/>
      <c r="O167" s="154"/>
      <c r="P167" s="154"/>
      <c r="Q167" s="154"/>
      <c r="R167" s="154"/>
      <c r="S167" s="154"/>
      <c r="T167" s="154"/>
      <c r="U167" s="154"/>
      <c r="V167" s="154"/>
      <c r="W167" s="154"/>
      <c r="X167" s="154"/>
      <c r="Y167" s="154"/>
      <c r="Z167" s="154"/>
      <c r="AA167" s="154"/>
    </row>
    <row r="168">
      <c r="A168" s="154"/>
      <c r="B168" s="154"/>
      <c r="C168" s="154"/>
      <c r="D168" s="154"/>
      <c r="E168" s="154"/>
      <c r="F168" s="154"/>
      <c r="G168" s="55"/>
      <c r="H168" s="154"/>
      <c r="I168" s="154"/>
      <c r="J168" s="154"/>
      <c r="K168" s="154"/>
      <c r="L168" s="154"/>
      <c r="M168" s="154"/>
      <c r="N168" s="154"/>
      <c r="O168" s="154"/>
      <c r="P168" s="154"/>
      <c r="Q168" s="154"/>
      <c r="R168" s="154"/>
      <c r="S168" s="154"/>
      <c r="T168" s="154"/>
      <c r="U168" s="154"/>
      <c r="V168" s="154"/>
      <c r="W168" s="154"/>
      <c r="X168" s="154"/>
      <c r="Y168" s="154"/>
      <c r="Z168" s="154"/>
      <c r="AA168" s="154"/>
    </row>
    <row r="169">
      <c r="A169" s="154"/>
      <c r="B169" s="154"/>
      <c r="C169" s="154"/>
      <c r="D169" s="154"/>
      <c r="E169" s="154"/>
      <c r="F169" s="154"/>
      <c r="G169" s="55"/>
      <c r="H169" s="154"/>
      <c r="I169" s="154"/>
      <c r="J169" s="154"/>
      <c r="K169" s="154"/>
      <c r="L169" s="154"/>
      <c r="M169" s="154"/>
      <c r="N169" s="154"/>
      <c r="O169" s="154"/>
      <c r="P169" s="154"/>
      <c r="Q169" s="154"/>
      <c r="R169" s="154"/>
      <c r="S169" s="154"/>
      <c r="T169" s="154"/>
      <c r="U169" s="154"/>
      <c r="V169" s="154"/>
      <c r="W169" s="154"/>
      <c r="X169" s="154"/>
      <c r="Y169" s="154"/>
      <c r="Z169" s="154"/>
      <c r="AA169" s="154"/>
    </row>
    <row r="170">
      <c r="A170" s="154"/>
      <c r="B170" s="154"/>
      <c r="C170" s="154"/>
      <c r="D170" s="154"/>
      <c r="E170" s="154"/>
      <c r="F170" s="154"/>
      <c r="G170" s="55"/>
      <c r="H170" s="154"/>
      <c r="I170" s="154"/>
      <c r="J170" s="154"/>
      <c r="K170" s="154"/>
      <c r="L170" s="154"/>
      <c r="M170" s="154"/>
      <c r="N170" s="154"/>
      <c r="O170" s="154"/>
      <c r="P170" s="154"/>
      <c r="Q170" s="154"/>
      <c r="R170" s="154"/>
      <c r="S170" s="154"/>
      <c r="T170" s="154"/>
      <c r="U170" s="154"/>
      <c r="V170" s="154"/>
      <c r="W170" s="154"/>
      <c r="X170" s="154"/>
      <c r="Y170" s="154"/>
      <c r="Z170" s="154"/>
      <c r="AA170" s="154"/>
    </row>
    <row r="171">
      <c r="A171" s="154"/>
      <c r="B171" s="154"/>
      <c r="C171" s="154"/>
      <c r="D171" s="154"/>
      <c r="E171" s="154"/>
      <c r="F171" s="154"/>
      <c r="G171" s="55"/>
      <c r="H171" s="154"/>
      <c r="I171" s="154"/>
      <c r="J171" s="154"/>
      <c r="K171" s="154"/>
      <c r="L171" s="154"/>
      <c r="M171" s="154"/>
      <c r="N171" s="154"/>
      <c r="O171" s="154"/>
      <c r="P171" s="154"/>
      <c r="Q171" s="154"/>
      <c r="R171" s="154"/>
      <c r="S171" s="154"/>
      <c r="T171" s="154"/>
      <c r="U171" s="154"/>
      <c r="V171" s="154"/>
      <c r="W171" s="154"/>
      <c r="X171" s="154"/>
      <c r="Y171" s="154"/>
      <c r="Z171" s="154"/>
      <c r="AA171" s="154"/>
    </row>
    <row r="172">
      <c r="A172" s="154"/>
      <c r="B172" s="154"/>
      <c r="C172" s="154"/>
      <c r="D172" s="154"/>
      <c r="E172" s="154"/>
      <c r="F172" s="154"/>
      <c r="G172" s="55"/>
      <c r="H172" s="154"/>
      <c r="I172" s="154"/>
      <c r="J172" s="154"/>
      <c r="K172" s="154"/>
      <c r="L172" s="154"/>
      <c r="M172" s="154"/>
      <c r="N172" s="154"/>
      <c r="O172" s="154"/>
      <c r="P172" s="154"/>
      <c r="Q172" s="154"/>
      <c r="R172" s="154"/>
      <c r="S172" s="154"/>
      <c r="T172" s="154"/>
      <c r="U172" s="154"/>
      <c r="V172" s="154"/>
      <c r="W172" s="154"/>
      <c r="X172" s="154"/>
      <c r="Y172" s="154"/>
      <c r="Z172" s="154"/>
      <c r="AA172" s="154"/>
    </row>
    <row r="173">
      <c r="A173" s="154"/>
      <c r="B173" s="154"/>
      <c r="C173" s="154"/>
      <c r="D173" s="154"/>
      <c r="E173" s="154"/>
      <c r="F173" s="154"/>
      <c r="G173" s="55"/>
      <c r="H173" s="154"/>
      <c r="I173" s="154"/>
      <c r="J173" s="154"/>
      <c r="K173" s="154"/>
      <c r="L173" s="154"/>
      <c r="M173" s="154"/>
      <c r="N173" s="154"/>
      <c r="O173" s="154"/>
      <c r="P173" s="154"/>
      <c r="Q173" s="154"/>
      <c r="R173" s="154"/>
      <c r="S173" s="154"/>
      <c r="T173" s="154"/>
      <c r="U173" s="154"/>
      <c r="V173" s="154"/>
      <c r="W173" s="154"/>
      <c r="X173" s="154"/>
      <c r="Y173" s="154"/>
      <c r="Z173" s="154"/>
      <c r="AA173" s="154"/>
    </row>
    <row r="174">
      <c r="A174" s="154"/>
      <c r="B174" s="154"/>
      <c r="C174" s="154"/>
      <c r="D174" s="154"/>
      <c r="E174" s="154"/>
      <c r="F174" s="154"/>
      <c r="G174" s="55"/>
      <c r="H174" s="154"/>
      <c r="I174" s="154"/>
      <c r="J174" s="154"/>
      <c r="K174" s="154"/>
      <c r="L174" s="154"/>
      <c r="M174" s="154"/>
      <c r="N174" s="154"/>
      <c r="O174" s="154"/>
      <c r="P174" s="154"/>
      <c r="Q174" s="154"/>
      <c r="R174" s="154"/>
      <c r="S174" s="154"/>
      <c r="T174" s="154"/>
      <c r="U174" s="154"/>
      <c r="V174" s="154"/>
      <c r="W174" s="154"/>
      <c r="X174" s="154"/>
      <c r="Y174" s="154"/>
      <c r="Z174" s="154"/>
      <c r="AA174" s="154"/>
    </row>
    <row r="175">
      <c r="A175" s="154"/>
      <c r="B175" s="154"/>
      <c r="C175" s="154"/>
      <c r="D175" s="154"/>
      <c r="E175" s="154"/>
      <c r="F175" s="154"/>
      <c r="G175" s="55"/>
      <c r="H175" s="154"/>
      <c r="I175" s="154"/>
      <c r="J175" s="154"/>
      <c r="K175" s="154"/>
      <c r="L175" s="154"/>
      <c r="M175" s="154"/>
      <c r="N175" s="154"/>
      <c r="O175" s="154"/>
      <c r="P175" s="154"/>
      <c r="Q175" s="154"/>
      <c r="R175" s="154"/>
      <c r="S175" s="154"/>
      <c r="T175" s="154"/>
      <c r="U175" s="154"/>
      <c r="V175" s="154"/>
      <c r="W175" s="154"/>
      <c r="X175" s="154"/>
      <c r="Y175" s="154"/>
      <c r="Z175" s="154"/>
      <c r="AA175" s="154"/>
    </row>
    <row r="176">
      <c r="A176" s="154"/>
      <c r="B176" s="154"/>
      <c r="C176" s="154"/>
      <c r="D176" s="154"/>
      <c r="E176" s="154"/>
      <c r="F176" s="154"/>
      <c r="G176" s="55"/>
      <c r="H176" s="154"/>
      <c r="I176" s="154"/>
      <c r="J176" s="154"/>
      <c r="K176" s="154"/>
      <c r="L176" s="154"/>
      <c r="M176" s="154"/>
      <c r="N176" s="154"/>
      <c r="O176" s="154"/>
      <c r="P176" s="154"/>
      <c r="Q176" s="154"/>
      <c r="R176" s="154"/>
      <c r="S176" s="154"/>
      <c r="T176" s="154"/>
      <c r="U176" s="154"/>
      <c r="V176" s="154"/>
      <c r="W176" s="154"/>
      <c r="X176" s="154"/>
      <c r="Y176" s="154"/>
      <c r="Z176" s="154"/>
      <c r="AA176" s="154"/>
    </row>
    <row r="177">
      <c r="A177" s="154"/>
      <c r="B177" s="154"/>
      <c r="C177" s="154"/>
      <c r="D177" s="154"/>
      <c r="E177" s="154"/>
      <c r="F177" s="154"/>
      <c r="G177" s="55"/>
      <c r="H177" s="154"/>
      <c r="I177" s="154"/>
      <c r="J177" s="154"/>
      <c r="K177" s="154"/>
      <c r="L177" s="154"/>
      <c r="M177" s="154"/>
      <c r="N177" s="154"/>
      <c r="O177" s="154"/>
      <c r="P177" s="154"/>
      <c r="Q177" s="154"/>
      <c r="R177" s="154"/>
      <c r="S177" s="154"/>
      <c r="T177" s="154"/>
      <c r="U177" s="154"/>
      <c r="V177" s="154"/>
      <c r="W177" s="154"/>
      <c r="X177" s="154"/>
      <c r="Y177" s="154"/>
      <c r="Z177" s="154"/>
      <c r="AA177" s="154"/>
    </row>
    <row r="178">
      <c r="A178" s="154"/>
      <c r="B178" s="154"/>
      <c r="C178" s="154"/>
      <c r="D178" s="154"/>
      <c r="E178" s="154"/>
      <c r="F178" s="154"/>
      <c r="G178" s="55"/>
      <c r="H178" s="154"/>
      <c r="I178" s="154"/>
      <c r="J178" s="154"/>
      <c r="K178" s="154"/>
      <c r="L178" s="154"/>
      <c r="M178" s="154"/>
      <c r="N178" s="154"/>
      <c r="O178" s="154"/>
      <c r="P178" s="154"/>
      <c r="Q178" s="154"/>
      <c r="R178" s="154"/>
      <c r="S178" s="154"/>
      <c r="T178" s="154"/>
      <c r="U178" s="154"/>
      <c r="V178" s="154"/>
      <c r="W178" s="154"/>
      <c r="X178" s="154"/>
      <c r="Y178" s="154"/>
      <c r="Z178" s="154"/>
      <c r="AA178" s="154"/>
    </row>
    <row r="179">
      <c r="A179" s="154"/>
      <c r="B179" s="154"/>
      <c r="C179" s="154"/>
      <c r="D179" s="154"/>
      <c r="E179" s="154"/>
      <c r="F179" s="154"/>
      <c r="G179" s="55"/>
      <c r="H179" s="154"/>
      <c r="I179" s="154"/>
      <c r="J179" s="154"/>
      <c r="K179" s="154"/>
      <c r="L179" s="154"/>
      <c r="M179" s="154"/>
      <c r="N179" s="154"/>
      <c r="O179" s="154"/>
      <c r="P179" s="154"/>
      <c r="Q179" s="154"/>
      <c r="R179" s="154"/>
      <c r="S179" s="154"/>
      <c r="T179" s="154"/>
      <c r="U179" s="154"/>
      <c r="V179" s="154"/>
      <c r="W179" s="154"/>
      <c r="X179" s="154"/>
      <c r="Y179" s="154"/>
      <c r="Z179" s="154"/>
      <c r="AA179" s="154"/>
    </row>
    <row r="180">
      <c r="A180" s="154"/>
      <c r="B180" s="154"/>
      <c r="C180" s="154"/>
      <c r="D180" s="154"/>
      <c r="E180" s="154"/>
      <c r="F180" s="154"/>
      <c r="G180" s="55"/>
      <c r="H180" s="154"/>
      <c r="I180" s="154"/>
      <c r="J180" s="154"/>
      <c r="K180" s="154"/>
      <c r="L180" s="154"/>
      <c r="M180" s="154"/>
      <c r="N180" s="154"/>
      <c r="O180" s="154"/>
      <c r="P180" s="154"/>
      <c r="Q180" s="154"/>
      <c r="R180" s="154"/>
      <c r="S180" s="154"/>
      <c r="T180" s="154"/>
      <c r="U180" s="154"/>
      <c r="V180" s="154"/>
      <c r="W180" s="154"/>
      <c r="X180" s="154"/>
      <c r="Y180" s="154"/>
      <c r="Z180" s="154"/>
      <c r="AA180" s="154"/>
    </row>
    <row r="181">
      <c r="A181" s="154"/>
      <c r="B181" s="154"/>
      <c r="C181" s="154"/>
      <c r="D181" s="154"/>
      <c r="E181" s="154"/>
      <c r="F181" s="154"/>
      <c r="G181" s="55"/>
      <c r="H181" s="154"/>
      <c r="I181" s="154"/>
      <c r="J181" s="154"/>
      <c r="K181" s="154"/>
      <c r="L181" s="154"/>
      <c r="M181" s="154"/>
      <c r="N181" s="154"/>
      <c r="O181" s="154"/>
      <c r="P181" s="154"/>
      <c r="Q181" s="154"/>
      <c r="R181" s="154"/>
      <c r="S181" s="154"/>
      <c r="T181" s="154"/>
      <c r="U181" s="154"/>
      <c r="V181" s="154"/>
      <c r="W181" s="154"/>
      <c r="X181" s="154"/>
      <c r="Y181" s="154"/>
      <c r="Z181" s="154"/>
      <c r="AA181" s="154"/>
    </row>
    <row r="182">
      <c r="A182" s="154"/>
      <c r="B182" s="154"/>
      <c r="C182" s="154"/>
      <c r="D182" s="154"/>
      <c r="E182" s="154"/>
      <c r="F182" s="154"/>
      <c r="G182" s="55"/>
      <c r="H182" s="154"/>
      <c r="I182" s="154"/>
      <c r="J182" s="154"/>
      <c r="K182" s="154"/>
      <c r="L182" s="154"/>
      <c r="M182" s="154"/>
      <c r="N182" s="154"/>
      <c r="O182" s="154"/>
      <c r="P182" s="154"/>
      <c r="Q182" s="154"/>
      <c r="R182" s="154"/>
      <c r="S182" s="154"/>
      <c r="T182" s="154"/>
      <c r="U182" s="154"/>
      <c r="V182" s="154"/>
      <c r="W182" s="154"/>
      <c r="X182" s="154"/>
      <c r="Y182" s="154"/>
      <c r="Z182" s="154"/>
      <c r="AA182" s="154"/>
    </row>
    <row r="183">
      <c r="A183" s="154"/>
      <c r="B183" s="154"/>
      <c r="C183" s="154"/>
      <c r="D183" s="154"/>
      <c r="E183" s="154"/>
      <c r="F183" s="154"/>
      <c r="G183" s="55"/>
      <c r="H183" s="154"/>
      <c r="I183" s="154"/>
      <c r="J183" s="154"/>
      <c r="K183" s="154"/>
      <c r="L183" s="154"/>
      <c r="M183" s="154"/>
      <c r="N183" s="154"/>
      <c r="O183" s="154"/>
      <c r="P183" s="154"/>
      <c r="Q183" s="154"/>
      <c r="R183" s="154"/>
      <c r="S183" s="154"/>
      <c r="T183" s="154"/>
      <c r="U183" s="154"/>
      <c r="V183" s="154"/>
      <c r="W183" s="154"/>
      <c r="X183" s="154"/>
      <c r="Y183" s="154"/>
      <c r="Z183" s="154"/>
      <c r="AA183" s="154"/>
    </row>
    <row r="184">
      <c r="A184" s="154"/>
      <c r="B184" s="154"/>
      <c r="C184" s="154"/>
      <c r="D184" s="154"/>
      <c r="E184" s="154"/>
      <c r="F184" s="154"/>
      <c r="G184" s="55"/>
      <c r="H184" s="154"/>
      <c r="I184" s="154"/>
      <c r="J184" s="154"/>
      <c r="K184" s="154"/>
      <c r="L184" s="154"/>
      <c r="M184" s="154"/>
      <c r="N184" s="154"/>
      <c r="O184" s="154"/>
      <c r="P184" s="154"/>
      <c r="Q184" s="154"/>
      <c r="R184" s="154"/>
      <c r="S184" s="154"/>
      <c r="T184" s="154"/>
      <c r="U184" s="154"/>
      <c r="V184" s="154"/>
      <c r="W184" s="154"/>
      <c r="X184" s="154"/>
      <c r="Y184" s="154"/>
      <c r="Z184" s="154"/>
      <c r="AA184" s="154"/>
    </row>
    <row r="185">
      <c r="A185" s="154"/>
      <c r="B185" s="154"/>
      <c r="C185" s="154"/>
      <c r="D185" s="154"/>
      <c r="E185" s="154"/>
      <c r="F185" s="154"/>
      <c r="G185" s="55"/>
      <c r="H185" s="154"/>
      <c r="I185" s="154"/>
      <c r="J185" s="154"/>
      <c r="K185" s="154"/>
      <c r="L185" s="154"/>
      <c r="M185" s="154"/>
      <c r="N185" s="154"/>
      <c r="O185" s="154"/>
      <c r="P185" s="154"/>
      <c r="Q185" s="154"/>
      <c r="R185" s="154"/>
      <c r="S185" s="154"/>
      <c r="T185" s="154"/>
      <c r="U185" s="154"/>
      <c r="V185" s="154"/>
      <c r="W185" s="154"/>
      <c r="X185" s="154"/>
      <c r="Y185" s="154"/>
      <c r="Z185" s="154"/>
      <c r="AA185" s="154"/>
    </row>
    <row r="186">
      <c r="A186" s="154"/>
      <c r="B186" s="154"/>
      <c r="C186" s="154"/>
      <c r="D186" s="154"/>
      <c r="E186" s="154"/>
      <c r="F186" s="154"/>
      <c r="G186" s="55"/>
      <c r="H186" s="154"/>
      <c r="I186" s="154"/>
      <c r="J186" s="154"/>
      <c r="K186" s="154"/>
      <c r="L186" s="154"/>
      <c r="M186" s="154"/>
      <c r="N186" s="154"/>
      <c r="O186" s="154"/>
      <c r="P186" s="154"/>
      <c r="Q186" s="154"/>
      <c r="R186" s="154"/>
      <c r="S186" s="154"/>
      <c r="T186" s="154"/>
      <c r="U186" s="154"/>
      <c r="V186" s="154"/>
      <c r="W186" s="154"/>
      <c r="X186" s="154"/>
      <c r="Y186" s="154"/>
      <c r="Z186" s="154"/>
      <c r="AA186" s="154"/>
    </row>
    <row r="187">
      <c r="A187" s="154"/>
      <c r="B187" s="154"/>
      <c r="C187" s="154"/>
      <c r="D187" s="154"/>
      <c r="E187" s="154"/>
      <c r="F187" s="154"/>
      <c r="G187" s="55"/>
      <c r="H187" s="154"/>
      <c r="I187" s="154"/>
      <c r="J187" s="154"/>
      <c r="K187" s="154"/>
      <c r="L187" s="154"/>
      <c r="M187" s="154"/>
      <c r="N187" s="154"/>
      <c r="O187" s="154"/>
      <c r="P187" s="154"/>
      <c r="Q187" s="154"/>
      <c r="R187" s="154"/>
      <c r="S187" s="154"/>
      <c r="T187" s="154"/>
      <c r="U187" s="154"/>
      <c r="V187" s="154"/>
      <c r="W187" s="154"/>
      <c r="X187" s="154"/>
      <c r="Y187" s="154"/>
      <c r="Z187" s="154"/>
      <c r="AA187" s="154"/>
    </row>
    <row r="188">
      <c r="A188" s="154"/>
      <c r="B188" s="154"/>
      <c r="C188" s="154"/>
      <c r="D188" s="154"/>
      <c r="E188" s="154"/>
      <c r="F188" s="154"/>
      <c r="G188" s="55"/>
      <c r="H188" s="154"/>
      <c r="I188" s="154"/>
      <c r="J188" s="154"/>
      <c r="K188" s="154"/>
      <c r="L188" s="154"/>
      <c r="M188" s="154"/>
      <c r="N188" s="154"/>
      <c r="O188" s="154"/>
      <c r="P188" s="154"/>
      <c r="Q188" s="154"/>
      <c r="R188" s="154"/>
      <c r="S188" s="154"/>
      <c r="T188" s="154"/>
      <c r="U188" s="154"/>
      <c r="V188" s="154"/>
      <c r="W188" s="154"/>
      <c r="X188" s="154"/>
      <c r="Y188" s="154"/>
      <c r="Z188" s="154"/>
      <c r="AA188" s="154"/>
    </row>
    <row r="189">
      <c r="A189" s="154"/>
      <c r="B189" s="154"/>
      <c r="C189" s="154"/>
      <c r="D189" s="154"/>
      <c r="E189" s="154"/>
      <c r="F189" s="154"/>
      <c r="G189" s="55"/>
      <c r="H189" s="154"/>
      <c r="I189" s="154"/>
      <c r="J189" s="154"/>
      <c r="K189" s="154"/>
      <c r="L189" s="154"/>
      <c r="M189" s="154"/>
      <c r="N189" s="154"/>
      <c r="O189" s="154"/>
      <c r="P189" s="154"/>
      <c r="Q189" s="154"/>
      <c r="R189" s="154"/>
      <c r="S189" s="154"/>
      <c r="T189" s="154"/>
      <c r="U189" s="154"/>
      <c r="V189" s="154"/>
      <c r="W189" s="154"/>
      <c r="X189" s="154"/>
      <c r="Y189" s="154"/>
      <c r="Z189" s="154"/>
      <c r="AA189" s="154"/>
    </row>
    <row r="190">
      <c r="A190" s="154"/>
      <c r="B190" s="154"/>
      <c r="C190" s="154"/>
      <c r="D190" s="154"/>
      <c r="E190" s="154"/>
      <c r="F190" s="154"/>
      <c r="G190" s="55"/>
      <c r="H190" s="154"/>
      <c r="I190" s="154"/>
      <c r="J190" s="154"/>
      <c r="K190" s="154"/>
      <c r="L190" s="154"/>
      <c r="M190" s="154"/>
      <c r="N190" s="154"/>
      <c r="O190" s="154"/>
      <c r="P190" s="154"/>
      <c r="Q190" s="154"/>
      <c r="R190" s="154"/>
      <c r="S190" s="154"/>
      <c r="T190" s="154"/>
      <c r="U190" s="154"/>
      <c r="V190" s="154"/>
      <c r="W190" s="154"/>
      <c r="X190" s="154"/>
      <c r="Y190" s="154"/>
      <c r="Z190" s="154"/>
      <c r="AA190" s="154"/>
    </row>
    <row r="191">
      <c r="A191" s="154"/>
      <c r="B191" s="154"/>
      <c r="C191" s="154"/>
      <c r="D191" s="154"/>
      <c r="E191" s="154"/>
      <c r="F191" s="154"/>
      <c r="G191" s="55"/>
      <c r="H191" s="154"/>
      <c r="I191" s="154"/>
      <c r="J191" s="154"/>
      <c r="K191" s="154"/>
      <c r="L191" s="154"/>
      <c r="M191" s="154"/>
      <c r="N191" s="154"/>
      <c r="O191" s="154"/>
      <c r="P191" s="154"/>
      <c r="Q191" s="154"/>
      <c r="R191" s="154"/>
      <c r="S191" s="154"/>
      <c r="T191" s="154"/>
      <c r="U191" s="154"/>
      <c r="V191" s="154"/>
      <c r="W191" s="154"/>
      <c r="X191" s="154"/>
      <c r="Y191" s="154"/>
      <c r="Z191" s="154"/>
      <c r="AA191" s="154"/>
    </row>
    <row r="192">
      <c r="A192" s="154"/>
      <c r="B192" s="154"/>
      <c r="C192" s="154"/>
      <c r="D192" s="154"/>
      <c r="E192" s="154"/>
      <c r="F192" s="154"/>
      <c r="G192" s="55"/>
      <c r="H192" s="154"/>
      <c r="I192" s="154"/>
      <c r="J192" s="154"/>
      <c r="K192" s="154"/>
      <c r="L192" s="154"/>
      <c r="M192" s="154"/>
      <c r="N192" s="154"/>
      <c r="O192" s="154"/>
      <c r="P192" s="154"/>
      <c r="Q192" s="154"/>
      <c r="R192" s="154"/>
      <c r="S192" s="154"/>
      <c r="T192" s="154"/>
      <c r="U192" s="154"/>
      <c r="V192" s="154"/>
      <c r="W192" s="154"/>
      <c r="X192" s="154"/>
      <c r="Y192" s="154"/>
      <c r="Z192" s="154"/>
      <c r="AA192" s="154"/>
    </row>
    <row r="193">
      <c r="A193" s="154"/>
      <c r="B193" s="154"/>
      <c r="C193" s="154"/>
      <c r="D193" s="154"/>
      <c r="E193" s="154"/>
      <c r="F193" s="154"/>
      <c r="G193" s="55"/>
      <c r="H193" s="154"/>
      <c r="I193" s="154"/>
      <c r="J193" s="154"/>
      <c r="K193" s="154"/>
      <c r="L193" s="154"/>
      <c r="M193" s="154"/>
      <c r="N193" s="154"/>
      <c r="O193" s="154"/>
      <c r="P193" s="154"/>
      <c r="Q193" s="154"/>
      <c r="R193" s="154"/>
      <c r="S193" s="154"/>
      <c r="T193" s="154"/>
      <c r="U193" s="154"/>
      <c r="V193" s="154"/>
      <c r="W193" s="154"/>
      <c r="X193" s="154"/>
      <c r="Y193" s="154"/>
      <c r="Z193" s="154"/>
      <c r="AA193" s="154"/>
    </row>
    <row r="194">
      <c r="A194" s="154"/>
      <c r="B194" s="154"/>
      <c r="C194" s="154"/>
      <c r="D194" s="154"/>
      <c r="E194" s="154"/>
      <c r="F194" s="154"/>
      <c r="G194" s="55"/>
      <c r="H194" s="154"/>
      <c r="I194" s="154"/>
      <c r="J194" s="154"/>
      <c r="K194" s="154"/>
      <c r="L194" s="154"/>
      <c r="M194" s="154"/>
      <c r="N194" s="154"/>
      <c r="O194" s="154"/>
      <c r="P194" s="154"/>
      <c r="Q194" s="154"/>
      <c r="R194" s="154"/>
      <c r="S194" s="154"/>
      <c r="T194" s="154"/>
      <c r="U194" s="154"/>
      <c r="V194" s="154"/>
      <c r="W194" s="154"/>
      <c r="X194" s="154"/>
      <c r="Y194" s="154"/>
      <c r="Z194" s="154"/>
      <c r="AA194" s="154"/>
    </row>
    <row r="195">
      <c r="A195" s="154"/>
      <c r="B195" s="154"/>
      <c r="C195" s="154"/>
      <c r="D195" s="154"/>
      <c r="E195" s="154"/>
      <c r="F195" s="154"/>
      <c r="G195" s="55"/>
      <c r="H195" s="154"/>
      <c r="I195" s="154"/>
      <c r="J195" s="154"/>
      <c r="K195" s="154"/>
      <c r="L195" s="154"/>
      <c r="M195" s="154"/>
      <c r="N195" s="154"/>
      <c r="O195" s="154"/>
      <c r="P195" s="154"/>
      <c r="Q195" s="154"/>
      <c r="R195" s="154"/>
      <c r="S195" s="154"/>
      <c r="T195" s="154"/>
      <c r="U195" s="154"/>
      <c r="V195" s="154"/>
      <c r="W195" s="154"/>
      <c r="X195" s="154"/>
      <c r="Y195" s="154"/>
      <c r="Z195" s="154"/>
      <c r="AA195" s="154"/>
    </row>
    <row r="196">
      <c r="A196" s="154"/>
      <c r="B196" s="154"/>
      <c r="C196" s="154"/>
      <c r="D196" s="154"/>
      <c r="E196" s="154"/>
      <c r="F196" s="154"/>
      <c r="G196" s="55"/>
      <c r="H196" s="154"/>
      <c r="I196" s="154"/>
      <c r="J196" s="154"/>
      <c r="K196" s="154"/>
      <c r="L196" s="154"/>
      <c r="M196" s="154"/>
      <c r="N196" s="154"/>
      <c r="O196" s="154"/>
      <c r="P196" s="154"/>
      <c r="Q196" s="154"/>
      <c r="R196" s="154"/>
      <c r="S196" s="154"/>
      <c r="T196" s="154"/>
      <c r="U196" s="154"/>
      <c r="V196" s="154"/>
      <c r="W196" s="154"/>
      <c r="X196" s="154"/>
      <c r="Y196" s="154"/>
      <c r="Z196" s="154"/>
      <c r="AA196" s="154"/>
    </row>
    <row r="197">
      <c r="A197" s="154"/>
      <c r="B197" s="154"/>
      <c r="C197" s="154"/>
      <c r="D197" s="154"/>
      <c r="E197" s="154"/>
      <c r="F197" s="154"/>
      <c r="G197" s="55"/>
      <c r="H197" s="154"/>
      <c r="I197" s="154"/>
      <c r="J197" s="154"/>
      <c r="K197" s="154"/>
      <c r="L197" s="154"/>
      <c r="M197" s="154"/>
      <c r="N197" s="154"/>
      <c r="O197" s="154"/>
      <c r="P197" s="154"/>
      <c r="Q197" s="154"/>
      <c r="R197" s="154"/>
      <c r="S197" s="154"/>
      <c r="T197" s="154"/>
      <c r="U197" s="154"/>
      <c r="V197" s="154"/>
      <c r="W197" s="154"/>
      <c r="X197" s="154"/>
      <c r="Y197" s="154"/>
      <c r="Z197" s="154"/>
      <c r="AA197" s="154"/>
    </row>
    <row r="198">
      <c r="A198" s="154"/>
      <c r="B198" s="154"/>
      <c r="C198" s="154"/>
      <c r="D198" s="154"/>
      <c r="E198" s="154"/>
      <c r="F198" s="154"/>
      <c r="G198" s="55"/>
      <c r="H198" s="154"/>
      <c r="I198" s="154"/>
      <c r="J198" s="154"/>
      <c r="K198" s="154"/>
      <c r="L198" s="154"/>
      <c r="M198" s="154"/>
      <c r="N198" s="154"/>
      <c r="O198" s="154"/>
      <c r="P198" s="154"/>
      <c r="Q198" s="154"/>
      <c r="R198" s="154"/>
      <c r="S198" s="154"/>
      <c r="T198" s="154"/>
      <c r="U198" s="154"/>
      <c r="V198" s="154"/>
      <c r="W198" s="154"/>
      <c r="X198" s="154"/>
      <c r="Y198" s="154"/>
      <c r="Z198" s="154"/>
      <c r="AA198" s="154"/>
    </row>
    <row r="199">
      <c r="A199" s="154"/>
      <c r="B199" s="154"/>
      <c r="C199" s="154"/>
      <c r="D199" s="154"/>
      <c r="E199" s="154"/>
      <c r="F199" s="154"/>
      <c r="G199" s="55"/>
      <c r="H199" s="154"/>
      <c r="I199" s="154"/>
      <c r="J199" s="154"/>
      <c r="K199" s="154"/>
      <c r="L199" s="154"/>
      <c r="M199" s="154"/>
      <c r="N199" s="154"/>
      <c r="O199" s="154"/>
      <c r="P199" s="154"/>
      <c r="Q199" s="154"/>
      <c r="R199" s="154"/>
      <c r="S199" s="154"/>
      <c r="T199" s="154"/>
      <c r="U199" s="154"/>
      <c r="V199" s="154"/>
      <c r="W199" s="154"/>
      <c r="X199" s="154"/>
      <c r="Y199" s="154"/>
      <c r="Z199" s="154"/>
      <c r="AA199" s="154"/>
    </row>
    <row r="200">
      <c r="A200" s="154"/>
      <c r="B200" s="154"/>
      <c r="C200" s="154"/>
      <c r="D200" s="154"/>
      <c r="E200" s="154"/>
      <c r="F200" s="154"/>
      <c r="G200" s="55"/>
      <c r="H200" s="154"/>
      <c r="I200" s="154"/>
      <c r="J200" s="154"/>
      <c r="K200" s="154"/>
      <c r="L200" s="154"/>
      <c r="M200" s="154"/>
      <c r="N200" s="154"/>
      <c r="O200" s="154"/>
      <c r="P200" s="154"/>
      <c r="Q200" s="154"/>
      <c r="R200" s="154"/>
      <c r="S200" s="154"/>
      <c r="T200" s="154"/>
      <c r="U200" s="154"/>
      <c r="V200" s="154"/>
      <c r="W200" s="154"/>
      <c r="X200" s="154"/>
      <c r="Y200" s="154"/>
      <c r="Z200" s="154"/>
      <c r="AA200" s="154"/>
    </row>
    <row r="201">
      <c r="A201" s="154"/>
      <c r="B201" s="154"/>
      <c r="C201" s="154"/>
      <c r="D201" s="154"/>
      <c r="E201" s="154"/>
      <c r="F201" s="154"/>
      <c r="G201" s="55"/>
      <c r="H201" s="154"/>
      <c r="I201" s="154"/>
      <c r="J201" s="154"/>
      <c r="K201" s="154"/>
      <c r="L201" s="154"/>
      <c r="M201" s="154"/>
      <c r="N201" s="154"/>
      <c r="O201" s="154"/>
      <c r="P201" s="154"/>
      <c r="Q201" s="154"/>
      <c r="R201" s="154"/>
      <c r="S201" s="154"/>
      <c r="T201" s="154"/>
      <c r="U201" s="154"/>
      <c r="V201" s="154"/>
      <c r="W201" s="154"/>
      <c r="X201" s="154"/>
      <c r="Y201" s="154"/>
      <c r="Z201" s="154"/>
      <c r="AA201" s="154"/>
    </row>
    <row r="202">
      <c r="A202" s="154"/>
      <c r="B202" s="154"/>
      <c r="C202" s="154"/>
      <c r="D202" s="154"/>
      <c r="E202" s="154"/>
      <c r="F202" s="154"/>
      <c r="G202" s="55"/>
      <c r="H202" s="154"/>
      <c r="I202" s="154"/>
      <c r="J202" s="154"/>
      <c r="K202" s="154"/>
      <c r="L202" s="154"/>
      <c r="M202" s="154"/>
      <c r="N202" s="154"/>
      <c r="O202" s="154"/>
      <c r="P202" s="154"/>
      <c r="Q202" s="154"/>
      <c r="R202" s="154"/>
      <c r="S202" s="154"/>
      <c r="T202" s="154"/>
      <c r="U202" s="154"/>
      <c r="V202" s="154"/>
      <c r="W202" s="154"/>
      <c r="X202" s="154"/>
      <c r="Y202" s="154"/>
      <c r="Z202" s="154"/>
      <c r="AA202" s="154"/>
    </row>
    <row r="203">
      <c r="A203" s="154"/>
      <c r="B203" s="154"/>
      <c r="C203" s="154"/>
      <c r="D203" s="154"/>
      <c r="E203" s="154"/>
      <c r="F203" s="154"/>
      <c r="G203" s="55"/>
      <c r="H203" s="154"/>
      <c r="I203" s="154"/>
      <c r="J203" s="154"/>
      <c r="K203" s="154"/>
      <c r="L203" s="154"/>
      <c r="M203" s="154"/>
      <c r="N203" s="154"/>
      <c r="O203" s="154"/>
      <c r="P203" s="154"/>
      <c r="Q203" s="154"/>
      <c r="R203" s="154"/>
      <c r="S203" s="154"/>
      <c r="T203" s="154"/>
      <c r="U203" s="154"/>
      <c r="V203" s="154"/>
      <c r="W203" s="154"/>
      <c r="X203" s="154"/>
      <c r="Y203" s="154"/>
      <c r="Z203" s="154"/>
      <c r="AA203" s="154"/>
    </row>
    <row r="204">
      <c r="A204" s="154"/>
      <c r="B204" s="154"/>
      <c r="C204" s="154"/>
      <c r="D204" s="154"/>
      <c r="E204" s="154"/>
      <c r="F204" s="154"/>
      <c r="G204" s="55"/>
      <c r="H204" s="154"/>
      <c r="I204" s="154"/>
      <c r="J204" s="154"/>
      <c r="K204" s="154"/>
      <c r="L204" s="154"/>
      <c r="M204" s="154"/>
      <c r="N204" s="154"/>
      <c r="O204" s="154"/>
      <c r="P204" s="154"/>
      <c r="Q204" s="154"/>
      <c r="R204" s="154"/>
      <c r="S204" s="154"/>
      <c r="T204" s="154"/>
      <c r="U204" s="154"/>
      <c r="V204" s="154"/>
      <c r="W204" s="154"/>
      <c r="X204" s="154"/>
      <c r="Y204" s="154"/>
      <c r="Z204" s="154"/>
      <c r="AA204" s="154"/>
    </row>
    <row r="205">
      <c r="A205" s="154"/>
      <c r="B205" s="154"/>
      <c r="C205" s="154"/>
      <c r="D205" s="154"/>
      <c r="E205" s="154"/>
      <c r="F205" s="154"/>
      <c r="G205" s="55"/>
      <c r="H205" s="154"/>
      <c r="I205" s="154"/>
      <c r="J205" s="154"/>
      <c r="K205" s="154"/>
      <c r="L205" s="154"/>
      <c r="M205" s="154"/>
      <c r="N205" s="154"/>
      <c r="O205" s="154"/>
      <c r="P205" s="154"/>
      <c r="Q205" s="154"/>
      <c r="R205" s="154"/>
      <c r="S205" s="154"/>
      <c r="T205" s="154"/>
      <c r="U205" s="154"/>
      <c r="V205" s="154"/>
      <c r="W205" s="154"/>
      <c r="X205" s="154"/>
      <c r="Y205" s="154"/>
      <c r="Z205" s="154"/>
      <c r="AA205" s="154"/>
    </row>
    <row r="206">
      <c r="A206" s="154"/>
      <c r="B206" s="154"/>
      <c r="C206" s="154"/>
      <c r="D206" s="154"/>
      <c r="E206" s="154"/>
      <c r="F206" s="154"/>
      <c r="G206" s="55"/>
      <c r="H206" s="154"/>
      <c r="I206" s="154"/>
      <c r="J206" s="154"/>
      <c r="K206" s="154"/>
      <c r="L206" s="154"/>
      <c r="M206" s="154"/>
      <c r="N206" s="154"/>
      <c r="O206" s="154"/>
      <c r="P206" s="154"/>
      <c r="Q206" s="154"/>
      <c r="R206" s="154"/>
      <c r="S206" s="154"/>
      <c r="T206" s="154"/>
      <c r="U206" s="154"/>
      <c r="V206" s="154"/>
      <c r="W206" s="154"/>
      <c r="X206" s="154"/>
      <c r="Y206" s="154"/>
      <c r="Z206" s="154"/>
      <c r="AA206" s="154"/>
    </row>
    <row r="207">
      <c r="A207" s="154"/>
      <c r="B207" s="154"/>
      <c r="C207" s="154"/>
      <c r="D207" s="154"/>
      <c r="E207" s="154"/>
      <c r="F207" s="154"/>
      <c r="G207" s="55"/>
      <c r="H207" s="154"/>
      <c r="I207" s="154"/>
      <c r="J207" s="154"/>
      <c r="K207" s="154"/>
      <c r="L207" s="154"/>
      <c r="M207" s="154"/>
      <c r="N207" s="154"/>
      <c r="O207" s="154"/>
      <c r="P207" s="154"/>
      <c r="Q207" s="154"/>
      <c r="R207" s="154"/>
      <c r="S207" s="154"/>
      <c r="T207" s="154"/>
      <c r="U207" s="154"/>
      <c r="V207" s="154"/>
      <c r="W207" s="154"/>
      <c r="X207" s="154"/>
      <c r="Y207" s="154"/>
      <c r="Z207" s="154"/>
      <c r="AA207" s="154"/>
    </row>
    <row r="208">
      <c r="A208" s="154"/>
      <c r="B208" s="154"/>
      <c r="C208" s="154"/>
      <c r="D208" s="154"/>
      <c r="E208" s="154"/>
      <c r="F208" s="154"/>
      <c r="G208" s="55"/>
      <c r="H208" s="154"/>
      <c r="I208" s="154"/>
      <c r="J208" s="154"/>
      <c r="K208" s="154"/>
      <c r="L208" s="154"/>
      <c r="M208" s="154"/>
      <c r="N208" s="154"/>
      <c r="O208" s="154"/>
      <c r="P208" s="154"/>
      <c r="Q208" s="154"/>
      <c r="R208" s="154"/>
      <c r="S208" s="154"/>
      <c r="T208" s="154"/>
      <c r="U208" s="154"/>
      <c r="V208" s="154"/>
      <c r="W208" s="154"/>
      <c r="X208" s="154"/>
      <c r="Y208" s="154"/>
      <c r="Z208" s="154"/>
      <c r="AA208" s="154"/>
    </row>
    <row r="209">
      <c r="A209" s="154"/>
      <c r="B209" s="154"/>
      <c r="C209" s="154"/>
      <c r="D209" s="154"/>
      <c r="E209" s="154"/>
      <c r="F209" s="154"/>
      <c r="G209" s="55"/>
      <c r="H209" s="154"/>
      <c r="I209" s="154"/>
      <c r="J209" s="154"/>
      <c r="K209" s="154"/>
      <c r="L209" s="154"/>
      <c r="M209" s="154"/>
      <c r="N209" s="154"/>
      <c r="O209" s="154"/>
      <c r="P209" s="154"/>
      <c r="Q209" s="154"/>
      <c r="R209" s="154"/>
      <c r="S209" s="154"/>
      <c r="T209" s="154"/>
      <c r="U209" s="154"/>
      <c r="V209" s="154"/>
      <c r="W209" s="154"/>
      <c r="X209" s="154"/>
      <c r="Y209" s="154"/>
      <c r="Z209" s="154"/>
      <c r="AA209" s="154"/>
    </row>
    <row r="210">
      <c r="A210" s="154"/>
      <c r="B210" s="154"/>
      <c r="C210" s="154"/>
      <c r="D210" s="154"/>
      <c r="E210" s="154"/>
      <c r="F210" s="154"/>
      <c r="G210" s="55"/>
      <c r="H210" s="154"/>
      <c r="I210" s="154"/>
      <c r="J210" s="154"/>
      <c r="K210" s="154"/>
      <c r="L210" s="154"/>
      <c r="M210" s="154"/>
      <c r="N210" s="154"/>
      <c r="O210" s="154"/>
      <c r="P210" s="154"/>
      <c r="Q210" s="154"/>
      <c r="R210" s="154"/>
      <c r="S210" s="154"/>
      <c r="T210" s="154"/>
      <c r="U210" s="154"/>
      <c r="V210" s="154"/>
      <c r="W210" s="154"/>
      <c r="X210" s="154"/>
      <c r="Y210" s="154"/>
      <c r="Z210" s="154"/>
      <c r="AA210" s="154"/>
    </row>
    <row r="211">
      <c r="A211" s="154"/>
      <c r="B211" s="154"/>
      <c r="C211" s="154"/>
      <c r="D211" s="154"/>
      <c r="E211" s="154"/>
      <c r="F211" s="154"/>
      <c r="G211" s="55"/>
      <c r="H211" s="154"/>
      <c r="I211" s="154"/>
      <c r="J211" s="154"/>
      <c r="K211" s="154"/>
      <c r="L211" s="154"/>
      <c r="M211" s="154"/>
      <c r="N211" s="154"/>
      <c r="O211" s="154"/>
      <c r="P211" s="154"/>
      <c r="Q211" s="154"/>
      <c r="R211" s="154"/>
      <c r="S211" s="154"/>
      <c r="T211" s="154"/>
      <c r="U211" s="154"/>
      <c r="V211" s="154"/>
      <c r="W211" s="154"/>
      <c r="X211" s="154"/>
      <c r="Y211" s="154"/>
      <c r="Z211" s="154"/>
      <c r="AA211" s="154"/>
    </row>
    <row r="212">
      <c r="A212" s="154"/>
      <c r="B212" s="154"/>
      <c r="C212" s="154"/>
      <c r="D212" s="154"/>
      <c r="E212" s="154"/>
      <c r="F212" s="154"/>
      <c r="G212" s="55"/>
      <c r="H212" s="154"/>
      <c r="I212" s="154"/>
      <c r="J212" s="154"/>
      <c r="K212" s="154"/>
      <c r="L212" s="154"/>
      <c r="M212" s="154"/>
      <c r="N212" s="154"/>
      <c r="O212" s="154"/>
      <c r="P212" s="154"/>
      <c r="Q212" s="154"/>
      <c r="R212" s="154"/>
      <c r="S212" s="154"/>
      <c r="T212" s="154"/>
      <c r="U212" s="154"/>
      <c r="V212" s="154"/>
      <c r="W212" s="154"/>
      <c r="X212" s="154"/>
      <c r="Y212" s="154"/>
      <c r="Z212" s="154"/>
      <c r="AA212" s="154"/>
    </row>
    <row r="213">
      <c r="A213" s="154"/>
      <c r="B213" s="154"/>
      <c r="C213" s="154"/>
      <c r="D213" s="154"/>
      <c r="E213" s="154"/>
      <c r="F213" s="154"/>
      <c r="G213" s="55"/>
      <c r="H213" s="154"/>
      <c r="I213" s="154"/>
      <c r="J213" s="154"/>
      <c r="K213" s="154"/>
      <c r="L213" s="154"/>
      <c r="M213" s="154"/>
      <c r="N213" s="154"/>
      <c r="O213" s="154"/>
      <c r="P213" s="154"/>
      <c r="Q213" s="154"/>
      <c r="R213" s="154"/>
      <c r="S213" s="154"/>
      <c r="T213" s="154"/>
      <c r="U213" s="154"/>
      <c r="V213" s="154"/>
      <c r="W213" s="154"/>
      <c r="X213" s="154"/>
      <c r="Y213" s="154"/>
      <c r="Z213" s="154"/>
      <c r="AA213" s="154"/>
    </row>
    <row r="214">
      <c r="A214" s="154"/>
      <c r="B214" s="154"/>
      <c r="C214" s="154"/>
      <c r="D214" s="154"/>
      <c r="E214" s="154"/>
      <c r="F214" s="154"/>
      <c r="G214" s="55"/>
      <c r="H214" s="154"/>
      <c r="I214" s="154"/>
      <c r="J214" s="154"/>
      <c r="K214" s="154"/>
      <c r="L214" s="154"/>
      <c r="M214" s="154"/>
      <c r="N214" s="154"/>
      <c r="O214" s="154"/>
      <c r="P214" s="154"/>
      <c r="Q214" s="154"/>
      <c r="R214" s="154"/>
      <c r="S214" s="154"/>
      <c r="T214" s="154"/>
      <c r="U214" s="154"/>
      <c r="V214" s="154"/>
      <c r="W214" s="154"/>
      <c r="X214" s="154"/>
      <c r="Y214" s="154"/>
      <c r="Z214" s="154"/>
      <c r="AA214" s="154"/>
    </row>
    <row r="215">
      <c r="A215" s="154"/>
      <c r="B215" s="154"/>
      <c r="C215" s="154"/>
      <c r="D215" s="154"/>
      <c r="E215" s="154"/>
      <c r="F215" s="154"/>
      <c r="G215" s="55"/>
      <c r="H215" s="154"/>
      <c r="I215" s="154"/>
      <c r="J215" s="154"/>
      <c r="K215" s="154"/>
      <c r="L215" s="154"/>
      <c r="M215" s="154"/>
      <c r="N215" s="154"/>
      <c r="O215" s="154"/>
      <c r="P215" s="154"/>
      <c r="Q215" s="154"/>
      <c r="R215" s="154"/>
      <c r="S215" s="154"/>
      <c r="T215" s="154"/>
      <c r="U215" s="154"/>
      <c r="V215" s="154"/>
      <c r="W215" s="154"/>
      <c r="X215" s="154"/>
      <c r="Y215" s="154"/>
      <c r="Z215" s="154"/>
      <c r="AA215" s="154"/>
    </row>
    <row r="216">
      <c r="A216" s="154"/>
      <c r="B216" s="154"/>
      <c r="C216" s="154"/>
      <c r="D216" s="154"/>
      <c r="E216" s="154"/>
      <c r="F216" s="154"/>
      <c r="G216" s="55"/>
      <c r="H216" s="154"/>
      <c r="I216" s="154"/>
      <c r="J216" s="154"/>
      <c r="K216" s="154"/>
      <c r="L216" s="154"/>
      <c r="M216" s="154"/>
      <c r="N216" s="154"/>
      <c r="O216" s="154"/>
      <c r="P216" s="154"/>
      <c r="Q216" s="154"/>
      <c r="R216" s="154"/>
      <c r="S216" s="154"/>
      <c r="T216" s="154"/>
      <c r="U216" s="154"/>
      <c r="V216" s="154"/>
      <c r="W216" s="154"/>
      <c r="X216" s="154"/>
      <c r="Y216" s="154"/>
      <c r="Z216" s="154"/>
      <c r="AA216" s="154"/>
    </row>
    <row r="217">
      <c r="A217" s="154"/>
      <c r="B217" s="154"/>
      <c r="C217" s="154"/>
      <c r="D217" s="154"/>
      <c r="E217" s="154"/>
      <c r="F217" s="154"/>
      <c r="G217" s="55"/>
      <c r="H217" s="154"/>
      <c r="I217" s="154"/>
      <c r="J217" s="154"/>
      <c r="K217" s="154"/>
      <c r="L217" s="154"/>
      <c r="M217" s="154"/>
      <c r="N217" s="154"/>
      <c r="O217" s="154"/>
      <c r="P217" s="154"/>
      <c r="Q217" s="154"/>
      <c r="R217" s="154"/>
      <c r="S217" s="154"/>
      <c r="T217" s="154"/>
      <c r="U217" s="154"/>
      <c r="V217" s="154"/>
      <c r="W217" s="154"/>
      <c r="X217" s="154"/>
      <c r="Y217" s="154"/>
      <c r="Z217" s="154"/>
      <c r="AA217" s="154"/>
    </row>
    <row r="218">
      <c r="A218" s="154"/>
      <c r="B218" s="154"/>
      <c r="C218" s="154"/>
      <c r="D218" s="154"/>
      <c r="E218" s="154"/>
      <c r="F218" s="154"/>
      <c r="G218" s="55"/>
      <c r="H218" s="154"/>
      <c r="I218" s="154"/>
      <c r="J218" s="154"/>
      <c r="K218" s="154"/>
      <c r="L218" s="154"/>
      <c r="M218" s="154"/>
      <c r="N218" s="154"/>
      <c r="O218" s="154"/>
      <c r="P218" s="154"/>
      <c r="Q218" s="154"/>
      <c r="R218" s="154"/>
      <c r="S218" s="154"/>
      <c r="T218" s="154"/>
      <c r="U218" s="154"/>
      <c r="V218" s="154"/>
      <c r="W218" s="154"/>
      <c r="X218" s="154"/>
      <c r="Y218" s="154"/>
      <c r="Z218" s="154"/>
      <c r="AA218" s="154"/>
    </row>
    <row r="219">
      <c r="A219" s="154"/>
      <c r="B219" s="154"/>
      <c r="C219" s="154"/>
      <c r="D219" s="154"/>
      <c r="E219" s="154"/>
      <c r="F219" s="154"/>
      <c r="G219" s="55"/>
      <c r="H219" s="154"/>
      <c r="I219" s="154"/>
      <c r="J219" s="154"/>
      <c r="K219" s="154"/>
      <c r="L219" s="154"/>
      <c r="M219" s="154"/>
      <c r="N219" s="154"/>
      <c r="O219" s="154"/>
      <c r="P219" s="154"/>
      <c r="Q219" s="154"/>
      <c r="R219" s="154"/>
      <c r="S219" s="154"/>
      <c r="T219" s="154"/>
      <c r="U219" s="154"/>
      <c r="V219" s="154"/>
      <c r="W219" s="154"/>
      <c r="X219" s="154"/>
      <c r="Y219" s="154"/>
      <c r="Z219" s="154"/>
      <c r="AA219" s="154"/>
    </row>
    <row r="220">
      <c r="A220" s="154"/>
      <c r="B220" s="154"/>
      <c r="C220" s="154"/>
      <c r="D220" s="154"/>
      <c r="E220" s="154"/>
      <c r="F220" s="154"/>
      <c r="G220" s="55"/>
      <c r="H220" s="154"/>
      <c r="I220" s="154"/>
      <c r="J220" s="154"/>
      <c r="K220" s="154"/>
      <c r="L220" s="154"/>
      <c r="M220" s="154"/>
      <c r="N220" s="154"/>
      <c r="O220" s="154"/>
      <c r="P220" s="154"/>
      <c r="Q220" s="154"/>
      <c r="R220" s="154"/>
      <c r="S220" s="154"/>
      <c r="T220" s="154"/>
      <c r="U220" s="154"/>
      <c r="V220" s="154"/>
      <c r="W220" s="154"/>
      <c r="X220" s="154"/>
      <c r="Y220" s="154"/>
      <c r="Z220" s="154"/>
      <c r="AA220" s="154"/>
    </row>
    <row r="221">
      <c r="A221" s="154"/>
      <c r="B221" s="154"/>
      <c r="C221" s="154"/>
      <c r="D221" s="154"/>
      <c r="E221" s="154"/>
      <c r="F221" s="154"/>
      <c r="G221" s="55"/>
      <c r="H221" s="154"/>
      <c r="I221" s="154"/>
      <c r="J221" s="154"/>
      <c r="K221" s="154"/>
      <c r="L221" s="154"/>
      <c r="M221" s="154"/>
      <c r="N221" s="154"/>
      <c r="O221" s="154"/>
      <c r="P221" s="154"/>
      <c r="Q221" s="154"/>
      <c r="R221" s="154"/>
      <c r="S221" s="154"/>
      <c r="T221" s="154"/>
      <c r="U221" s="154"/>
      <c r="V221" s="154"/>
      <c r="W221" s="154"/>
      <c r="X221" s="154"/>
      <c r="Y221" s="154"/>
      <c r="Z221" s="154"/>
      <c r="AA221" s="154"/>
    </row>
    <row r="222">
      <c r="A222" s="154"/>
      <c r="B222" s="154"/>
      <c r="C222" s="154"/>
      <c r="D222" s="154"/>
      <c r="E222" s="154"/>
      <c r="F222" s="154"/>
      <c r="G222" s="55"/>
      <c r="H222" s="154"/>
      <c r="I222" s="154"/>
      <c r="J222" s="154"/>
      <c r="K222" s="154"/>
      <c r="L222" s="154"/>
      <c r="M222" s="154"/>
      <c r="N222" s="154"/>
      <c r="O222" s="154"/>
      <c r="P222" s="154"/>
      <c r="Q222" s="154"/>
      <c r="R222" s="154"/>
      <c r="S222" s="154"/>
      <c r="T222" s="154"/>
      <c r="U222" s="154"/>
      <c r="V222" s="154"/>
      <c r="W222" s="154"/>
      <c r="X222" s="154"/>
      <c r="Y222" s="154"/>
      <c r="Z222" s="154"/>
      <c r="AA222" s="154"/>
    </row>
    <row r="223">
      <c r="A223" s="154"/>
      <c r="B223" s="154"/>
      <c r="C223" s="154"/>
      <c r="D223" s="154"/>
      <c r="E223" s="154"/>
      <c r="F223" s="154"/>
      <c r="G223" s="55"/>
      <c r="H223" s="154"/>
      <c r="I223" s="154"/>
      <c r="J223" s="154"/>
      <c r="K223" s="154"/>
      <c r="L223" s="154"/>
      <c r="M223" s="154"/>
      <c r="N223" s="154"/>
      <c r="O223" s="154"/>
      <c r="P223" s="154"/>
      <c r="Q223" s="154"/>
      <c r="R223" s="154"/>
      <c r="S223" s="154"/>
      <c r="T223" s="154"/>
      <c r="U223" s="154"/>
      <c r="V223" s="154"/>
      <c r="W223" s="154"/>
      <c r="X223" s="154"/>
      <c r="Y223" s="154"/>
      <c r="Z223" s="154"/>
      <c r="AA223" s="154"/>
    </row>
    <row r="224">
      <c r="A224" s="154"/>
      <c r="B224" s="154"/>
      <c r="C224" s="154"/>
      <c r="D224" s="154"/>
      <c r="E224" s="154"/>
      <c r="F224" s="154"/>
      <c r="G224" s="55"/>
      <c r="H224" s="154"/>
      <c r="I224" s="154"/>
      <c r="J224" s="154"/>
      <c r="K224" s="154"/>
      <c r="L224" s="154"/>
      <c r="M224" s="154"/>
      <c r="N224" s="154"/>
      <c r="O224" s="154"/>
      <c r="P224" s="154"/>
      <c r="Q224" s="154"/>
      <c r="R224" s="154"/>
      <c r="S224" s="154"/>
      <c r="T224" s="154"/>
      <c r="U224" s="154"/>
      <c r="V224" s="154"/>
      <c r="W224" s="154"/>
      <c r="X224" s="154"/>
      <c r="Y224" s="154"/>
      <c r="Z224" s="154"/>
      <c r="AA224" s="154"/>
    </row>
    <row r="225">
      <c r="A225" s="154"/>
      <c r="B225" s="154"/>
      <c r="C225" s="154"/>
      <c r="D225" s="154"/>
      <c r="E225" s="154"/>
      <c r="F225" s="154"/>
      <c r="G225" s="55"/>
      <c r="H225" s="154"/>
      <c r="I225" s="154"/>
      <c r="J225" s="154"/>
      <c r="K225" s="154"/>
      <c r="L225" s="154"/>
      <c r="M225" s="154"/>
      <c r="N225" s="154"/>
      <c r="O225" s="154"/>
      <c r="P225" s="154"/>
      <c r="Q225" s="154"/>
      <c r="R225" s="154"/>
      <c r="S225" s="154"/>
      <c r="T225" s="154"/>
      <c r="U225" s="154"/>
      <c r="V225" s="154"/>
      <c r="W225" s="154"/>
      <c r="X225" s="154"/>
      <c r="Y225" s="154"/>
      <c r="Z225" s="154"/>
      <c r="AA225" s="154"/>
    </row>
    <row r="226">
      <c r="A226" s="154"/>
      <c r="B226" s="154"/>
      <c r="C226" s="154"/>
      <c r="D226" s="154"/>
      <c r="E226" s="154"/>
      <c r="F226" s="154"/>
      <c r="G226" s="55"/>
      <c r="H226" s="154"/>
      <c r="I226" s="154"/>
      <c r="J226" s="154"/>
      <c r="K226" s="154"/>
      <c r="L226" s="154"/>
      <c r="M226" s="154"/>
      <c r="N226" s="154"/>
      <c r="O226" s="154"/>
      <c r="P226" s="154"/>
      <c r="Q226" s="154"/>
      <c r="R226" s="154"/>
      <c r="S226" s="154"/>
      <c r="T226" s="154"/>
      <c r="U226" s="154"/>
      <c r="V226" s="154"/>
      <c r="W226" s="154"/>
      <c r="X226" s="154"/>
      <c r="Y226" s="154"/>
      <c r="Z226" s="154"/>
      <c r="AA226" s="154"/>
    </row>
    <row r="227">
      <c r="A227" s="154"/>
      <c r="B227" s="154"/>
      <c r="C227" s="154"/>
      <c r="D227" s="154"/>
      <c r="E227" s="154"/>
      <c r="F227" s="154"/>
      <c r="G227" s="55"/>
      <c r="H227" s="154"/>
      <c r="I227" s="154"/>
      <c r="J227" s="154"/>
      <c r="K227" s="154"/>
      <c r="L227" s="154"/>
      <c r="M227" s="154"/>
      <c r="N227" s="154"/>
      <c r="O227" s="154"/>
      <c r="P227" s="154"/>
      <c r="Q227" s="154"/>
      <c r="R227" s="154"/>
      <c r="S227" s="154"/>
      <c r="T227" s="154"/>
      <c r="U227" s="154"/>
      <c r="V227" s="154"/>
      <c r="W227" s="154"/>
      <c r="X227" s="154"/>
      <c r="Y227" s="154"/>
      <c r="Z227" s="154"/>
      <c r="AA227" s="154"/>
    </row>
    <row r="228">
      <c r="A228" s="154"/>
      <c r="B228" s="154"/>
      <c r="C228" s="154"/>
      <c r="D228" s="154"/>
      <c r="E228" s="154"/>
      <c r="F228" s="154"/>
      <c r="G228" s="55"/>
      <c r="H228" s="154"/>
      <c r="I228" s="154"/>
      <c r="J228" s="154"/>
      <c r="K228" s="154"/>
      <c r="L228" s="154"/>
      <c r="M228" s="154"/>
      <c r="N228" s="154"/>
      <c r="O228" s="154"/>
      <c r="P228" s="154"/>
      <c r="Q228" s="154"/>
      <c r="R228" s="154"/>
      <c r="S228" s="154"/>
      <c r="T228" s="154"/>
      <c r="U228" s="154"/>
      <c r="V228" s="154"/>
      <c r="W228" s="154"/>
      <c r="X228" s="154"/>
      <c r="Y228" s="154"/>
      <c r="Z228" s="154"/>
      <c r="AA228" s="154"/>
    </row>
    <row r="229">
      <c r="A229" s="154"/>
      <c r="B229" s="154"/>
      <c r="C229" s="154"/>
      <c r="D229" s="154"/>
      <c r="E229" s="154"/>
      <c r="F229" s="154"/>
      <c r="G229" s="55"/>
      <c r="H229" s="154"/>
      <c r="I229" s="154"/>
      <c r="J229" s="154"/>
      <c r="K229" s="154"/>
      <c r="L229" s="154"/>
      <c r="M229" s="154"/>
      <c r="N229" s="154"/>
      <c r="O229" s="154"/>
      <c r="P229" s="154"/>
      <c r="Q229" s="154"/>
      <c r="R229" s="154"/>
      <c r="S229" s="154"/>
      <c r="T229" s="154"/>
      <c r="U229" s="154"/>
      <c r="V229" s="154"/>
      <c r="W229" s="154"/>
      <c r="X229" s="154"/>
      <c r="Y229" s="154"/>
      <c r="Z229" s="154"/>
      <c r="AA229" s="154"/>
    </row>
    <row r="230">
      <c r="A230" s="154"/>
      <c r="B230" s="154"/>
      <c r="C230" s="154"/>
      <c r="D230" s="154"/>
      <c r="E230" s="154"/>
      <c r="F230" s="154"/>
      <c r="G230" s="55"/>
      <c r="H230" s="154"/>
      <c r="I230" s="154"/>
      <c r="J230" s="154"/>
      <c r="K230" s="154"/>
      <c r="L230" s="154"/>
      <c r="M230" s="154"/>
      <c r="N230" s="154"/>
      <c r="O230" s="154"/>
      <c r="P230" s="154"/>
      <c r="Q230" s="154"/>
      <c r="R230" s="154"/>
      <c r="S230" s="154"/>
      <c r="T230" s="154"/>
      <c r="U230" s="154"/>
      <c r="V230" s="154"/>
      <c r="W230" s="154"/>
      <c r="X230" s="154"/>
      <c r="Y230" s="154"/>
      <c r="Z230" s="154"/>
      <c r="AA230" s="154"/>
    </row>
    <row r="231">
      <c r="A231" s="154"/>
      <c r="B231" s="154"/>
      <c r="C231" s="154"/>
      <c r="D231" s="154"/>
      <c r="E231" s="154"/>
      <c r="F231" s="154"/>
      <c r="G231" s="55"/>
      <c r="H231" s="154"/>
      <c r="I231" s="154"/>
      <c r="J231" s="154"/>
      <c r="K231" s="154"/>
      <c r="L231" s="154"/>
      <c r="M231" s="154"/>
      <c r="N231" s="154"/>
      <c r="O231" s="154"/>
      <c r="P231" s="154"/>
      <c r="Q231" s="154"/>
      <c r="R231" s="154"/>
      <c r="S231" s="154"/>
      <c r="T231" s="154"/>
      <c r="U231" s="154"/>
      <c r="V231" s="154"/>
      <c r="W231" s="154"/>
      <c r="X231" s="154"/>
      <c r="Y231" s="154"/>
      <c r="Z231" s="154"/>
      <c r="AA231" s="154"/>
    </row>
    <row r="232">
      <c r="A232" s="154"/>
      <c r="B232" s="154"/>
      <c r="C232" s="154"/>
      <c r="D232" s="154"/>
      <c r="E232" s="154"/>
      <c r="F232" s="154"/>
      <c r="G232" s="55"/>
      <c r="H232" s="154"/>
      <c r="I232" s="154"/>
      <c r="J232" s="154"/>
      <c r="K232" s="154"/>
      <c r="L232" s="154"/>
      <c r="M232" s="154"/>
      <c r="N232" s="154"/>
      <c r="O232" s="154"/>
      <c r="P232" s="154"/>
      <c r="Q232" s="154"/>
      <c r="R232" s="154"/>
      <c r="S232" s="154"/>
      <c r="T232" s="154"/>
      <c r="U232" s="154"/>
      <c r="V232" s="154"/>
      <c r="W232" s="154"/>
      <c r="X232" s="154"/>
      <c r="Y232" s="154"/>
      <c r="Z232" s="154"/>
      <c r="AA232" s="154"/>
    </row>
    <row r="233">
      <c r="A233" s="154"/>
      <c r="B233" s="154"/>
      <c r="C233" s="154"/>
      <c r="D233" s="154"/>
      <c r="E233" s="154"/>
      <c r="F233" s="154"/>
      <c r="G233" s="55"/>
      <c r="H233" s="154"/>
      <c r="I233" s="154"/>
      <c r="J233" s="154"/>
      <c r="K233" s="154"/>
      <c r="L233" s="154"/>
      <c r="M233" s="154"/>
      <c r="N233" s="154"/>
      <c r="O233" s="154"/>
      <c r="P233" s="154"/>
      <c r="Q233" s="154"/>
      <c r="R233" s="154"/>
      <c r="S233" s="154"/>
      <c r="T233" s="154"/>
      <c r="U233" s="154"/>
      <c r="V233" s="154"/>
      <c r="W233" s="154"/>
      <c r="X233" s="154"/>
      <c r="Y233" s="154"/>
      <c r="Z233" s="154"/>
      <c r="AA233" s="154"/>
    </row>
    <row r="234">
      <c r="A234" s="154"/>
      <c r="B234" s="154"/>
      <c r="C234" s="154"/>
      <c r="D234" s="154"/>
      <c r="E234" s="154"/>
      <c r="F234" s="154"/>
      <c r="G234" s="55"/>
      <c r="H234" s="154"/>
      <c r="I234" s="154"/>
      <c r="J234" s="154"/>
      <c r="K234" s="154"/>
      <c r="L234" s="154"/>
      <c r="M234" s="154"/>
      <c r="N234" s="154"/>
      <c r="O234" s="154"/>
      <c r="P234" s="154"/>
      <c r="Q234" s="154"/>
      <c r="R234" s="154"/>
      <c r="S234" s="154"/>
      <c r="T234" s="154"/>
      <c r="U234" s="154"/>
      <c r="V234" s="154"/>
      <c r="W234" s="154"/>
      <c r="X234" s="154"/>
      <c r="Y234" s="154"/>
      <c r="Z234" s="154"/>
      <c r="AA234" s="154"/>
    </row>
    <row r="235">
      <c r="A235" s="154"/>
      <c r="B235" s="154"/>
      <c r="C235" s="154"/>
      <c r="D235" s="154"/>
      <c r="E235" s="154"/>
      <c r="F235" s="154"/>
      <c r="G235" s="55"/>
      <c r="H235" s="154"/>
      <c r="I235" s="154"/>
      <c r="J235" s="154"/>
      <c r="K235" s="154"/>
      <c r="L235" s="154"/>
      <c r="M235" s="154"/>
      <c r="N235" s="154"/>
      <c r="O235" s="154"/>
      <c r="P235" s="154"/>
      <c r="Q235" s="154"/>
      <c r="R235" s="154"/>
      <c r="S235" s="154"/>
      <c r="T235" s="154"/>
      <c r="U235" s="154"/>
      <c r="V235" s="154"/>
      <c r="W235" s="154"/>
      <c r="X235" s="154"/>
      <c r="Y235" s="154"/>
      <c r="Z235" s="154"/>
      <c r="AA235" s="154"/>
    </row>
    <row r="236">
      <c r="A236" s="154"/>
      <c r="B236" s="154"/>
      <c r="C236" s="154"/>
      <c r="D236" s="154"/>
      <c r="E236" s="154"/>
      <c r="F236" s="154"/>
      <c r="G236" s="55"/>
      <c r="H236" s="154"/>
      <c r="I236" s="154"/>
      <c r="J236" s="154"/>
      <c r="K236" s="154"/>
      <c r="L236" s="154"/>
      <c r="M236" s="154"/>
      <c r="N236" s="154"/>
      <c r="O236" s="154"/>
      <c r="P236" s="154"/>
      <c r="Q236" s="154"/>
      <c r="R236" s="154"/>
      <c r="S236" s="154"/>
      <c r="T236" s="154"/>
      <c r="U236" s="154"/>
      <c r="V236" s="154"/>
      <c r="W236" s="154"/>
      <c r="X236" s="154"/>
      <c r="Y236" s="154"/>
      <c r="Z236" s="154"/>
      <c r="AA236" s="154"/>
    </row>
    <row r="237">
      <c r="A237" s="154"/>
      <c r="B237" s="154"/>
      <c r="C237" s="154"/>
      <c r="D237" s="154"/>
      <c r="E237" s="154"/>
      <c r="F237" s="154"/>
      <c r="G237" s="55"/>
      <c r="H237" s="154"/>
      <c r="I237" s="154"/>
      <c r="J237" s="154"/>
      <c r="K237" s="154"/>
      <c r="L237" s="154"/>
      <c r="M237" s="154"/>
      <c r="N237" s="154"/>
      <c r="O237" s="154"/>
      <c r="P237" s="154"/>
      <c r="Q237" s="154"/>
      <c r="R237" s="154"/>
      <c r="S237" s="154"/>
      <c r="T237" s="154"/>
      <c r="U237" s="154"/>
      <c r="V237" s="154"/>
      <c r="W237" s="154"/>
      <c r="X237" s="154"/>
      <c r="Y237" s="154"/>
      <c r="Z237" s="154"/>
      <c r="AA237" s="154"/>
    </row>
    <row r="238">
      <c r="A238" s="154"/>
      <c r="B238" s="154"/>
      <c r="C238" s="154"/>
      <c r="D238" s="154"/>
      <c r="E238" s="154"/>
      <c r="F238" s="154"/>
      <c r="G238" s="55"/>
      <c r="H238" s="154"/>
      <c r="I238" s="154"/>
      <c r="J238" s="154"/>
      <c r="K238" s="154"/>
      <c r="L238" s="154"/>
      <c r="M238" s="154"/>
      <c r="N238" s="154"/>
      <c r="O238" s="154"/>
      <c r="P238" s="154"/>
      <c r="Q238" s="154"/>
      <c r="R238" s="154"/>
      <c r="S238" s="154"/>
      <c r="T238" s="154"/>
      <c r="U238" s="154"/>
      <c r="V238" s="154"/>
      <c r="W238" s="154"/>
      <c r="X238" s="154"/>
      <c r="Y238" s="154"/>
      <c r="Z238" s="154"/>
      <c r="AA238" s="154"/>
    </row>
    <row r="239">
      <c r="A239" s="154"/>
      <c r="B239" s="154"/>
      <c r="C239" s="154"/>
      <c r="D239" s="154"/>
      <c r="E239" s="154"/>
      <c r="F239" s="154"/>
      <c r="G239" s="55"/>
      <c r="H239" s="154"/>
      <c r="I239" s="154"/>
      <c r="J239" s="154"/>
      <c r="K239" s="154"/>
      <c r="L239" s="154"/>
      <c r="M239" s="154"/>
      <c r="N239" s="154"/>
      <c r="O239" s="154"/>
      <c r="P239" s="154"/>
      <c r="Q239" s="154"/>
      <c r="R239" s="154"/>
      <c r="S239" s="154"/>
      <c r="T239" s="154"/>
      <c r="U239" s="154"/>
      <c r="V239" s="154"/>
      <c r="W239" s="154"/>
      <c r="X239" s="154"/>
      <c r="Y239" s="154"/>
      <c r="Z239" s="154"/>
      <c r="AA239" s="154"/>
    </row>
    <row r="240">
      <c r="A240" s="154"/>
      <c r="B240" s="154"/>
      <c r="C240" s="154"/>
      <c r="D240" s="154"/>
      <c r="E240" s="154"/>
      <c r="F240" s="154"/>
      <c r="G240" s="55"/>
      <c r="H240" s="154"/>
      <c r="I240" s="154"/>
      <c r="J240" s="154"/>
      <c r="K240" s="154"/>
      <c r="L240" s="154"/>
      <c r="M240" s="154"/>
      <c r="N240" s="154"/>
      <c r="O240" s="154"/>
      <c r="P240" s="154"/>
      <c r="Q240" s="154"/>
      <c r="R240" s="154"/>
      <c r="S240" s="154"/>
      <c r="T240" s="154"/>
      <c r="U240" s="154"/>
      <c r="V240" s="154"/>
      <c r="W240" s="154"/>
      <c r="X240" s="154"/>
      <c r="Y240" s="154"/>
      <c r="Z240" s="154"/>
      <c r="AA240" s="154"/>
    </row>
    <row r="241">
      <c r="A241" s="154"/>
      <c r="B241" s="154"/>
      <c r="C241" s="154"/>
      <c r="D241" s="154"/>
      <c r="E241" s="154"/>
      <c r="F241" s="154"/>
      <c r="G241" s="55"/>
      <c r="H241" s="154"/>
      <c r="I241" s="154"/>
      <c r="J241" s="154"/>
      <c r="K241" s="154"/>
      <c r="L241" s="154"/>
      <c r="M241" s="154"/>
      <c r="N241" s="154"/>
      <c r="O241" s="154"/>
      <c r="P241" s="154"/>
      <c r="Q241" s="154"/>
      <c r="R241" s="154"/>
      <c r="S241" s="154"/>
      <c r="T241" s="154"/>
      <c r="U241" s="154"/>
      <c r="V241" s="154"/>
      <c r="W241" s="154"/>
      <c r="X241" s="154"/>
      <c r="Y241" s="154"/>
      <c r="Z241" s="154"/>
      <c r="AA241" s="154"/>
    </row>
    <row r="242">
      <c r="A242" s="154"/>
      <c r="B242" s="154"/>
      <c r="C242" s="154"/>
      <c r="D242" s="154"/>
      <c r="E242" s="154"/>
      <c r="F242" s="154"/>
      <c r="G242" s="55"/>
      <c r="H242" s="154"/>
      <c r="I242" s="154"/>
      <c r="J242" s="154"/>
      <c r="K242" s="154"/>
      <c r="L242" s="154"/>
      <c r="M242" s="154"/>
      <c r="N242" s="154"/>
      <c r="O242" s="154"/>
      <c r="P242" s="154"/>
      <c r="Q242" s="154"/>
      <c r="R242" s="154"/>
      <c r="S242" s="154"/>
      <c r="T242" s="154"/>
      <c r="U242" s="154"/>
      <c r="V242" s="154"/>
      <c r="W242" s="154"/>
      <c r="X242" s="154"/>
      <c r="Y242" s="154"/>
      <c r="Z242" s="154"/>
      <c r="AA242" s="154"/>
    </row>
    <row r="243">
      <c r="A243" s="154"/>
      <c r="B243" s="154"/>
      <c r="C243" s="154"/>
      <c r="D243" s="154"/>
      <c r="E243" s="154"/>
      <c r="F243" s="154"/>
      <c r="G243" s="55"/>
      <c r="H243" s="154"/>
      <c r="I243" s="154"/>
      <c r="J243" s="154"/>
      <c r="K243" s="154"/>
      <c r="L243" s="154"/>
      <c r="M243" s="154"/>
      <c r="N243" s="154"/>
      <c r="O243" s="154"/>
      <c r="P243" s="154"/>
      <c r="Q243" s="154"/>
      <c r="R243" s="154"/>
      <c r="S243" s="154"/>
      <c r="T243" s="154"/>
      <c r="U243" s="154"/>
      <c r="V243" s="154"/>
      <c r="W243" s="154"/>
      <c r="X243" s="154"/>
      <c r="Y243" s="154"/>
      <c r="Z243" s="154"/>
      <c r="AA243" s="154"/>
    </row>
    <row r="244">
      <c r="A244" s="154"/>
      <c r="B244" s="154"/>
      <c r="C244" s="154"/>
      <c r="D244" s="154"/>
      <c r="E244" s="154"/>
      <c r="F244" s="154"/>
      <c r="G244" s="55"/>
      <c r="H244" s="154"/>
      <c r="I244" s="154"/>
      <c r="J244" s="154"/>
      <c r="K244" s="154"/>
      <c r="L244" s="154"/>
      <c r="M244" s="154"/>
      <c r="N244" s="154"/>
      <c r="O244" s="154"/>
      <c r="P244" s="154"/>
      <c r="Q244" s="154"/>
      <c r="R244" s="154"/>
      <c r="S244" s="154"/>
      <c r="T244" s="154"/>
      <c r="U244" s="154"/>
      <c r="V244" s="154"/>
      <c r="W244" s="154"/>
      <c r="X244" s="154"/>
      <c r="Y244" s="154"/>
      <c r="Z244" s="154"/>
      <c r="AA244" s="154"/>
    </row>
    <row r="245">
      <c r="A245" s="154"/>
      <c r="B245" s="154"/>
      <c r="C245" s="154"/>
      <c r="D245" s="154"/>
      <c r="E245" s="154"/>
      <c r="F245" s="154"/>
      <c r="G245" s="55"/>
      <c r="H245" s="154"/>
      <c r="I245" s="154"/>
      <c r="J245" s="154"/>
      <c r="K245" s="154"/>
      <c r="L245" s="154"/>
      <c r="M245" s="154"/>
      <c r="N245" s="154"/>
      <c r="O245" s="154"/>
      <c r="P245" s="154"/>
      <c r="Q245" s="154"/>
      <c r="R245" s="154"/>
      <c r="S245" s="154"/>
      <c r="T245" s="154"/>
      <c r="U245" s="154"/>
      <c r="V245" s="154"/>
      <c r="W245" s="154"/>
      <c r="X245" s="154"/>
      <c r="Y245" s="154"/>
      <c r="Z245" s="154"/>
      <c r="AA245" s="154"/>
    </row>
    <row r="246">
      <c r="A246" s="154"/>
      <c r="B246" s="154"/>
      <c r="C246" s="154"/>
      <c r="D246" s="154"/>
      <c r="E246" s="154"/>
      <c r="F246" s="154"/>
      <c r="G246" s="55"/>
      <c r="H246" s="154"/>
      <c r="I246" s="154"/>
      <c r="J246" s="154"/>
      <c r="K246" s="154"/>
      <c r="L246" s="154"/>
      <c r="M246" s="154"/>
      <c r="N246" s="154"/>
      <c r="O246" s="154"/>
      <c r="P246" s="154"/>
      <c r="Q246" s="154"/>
      <c r="R246" s="154"/>
      <c r="S246" s="154"/>
      <c r="T246" s="154"/>
      <c r="U246" s="154"/>
      <c r="V246" s="154"/>
      <c r="W246" s="154"/>
      <c r="X246" s="154"/>
      <c r="Y246" s="154"/>
      <c r="Z246" s="154"/>
      <c r="AA246" s="154"/>
    </row>
    <row r="247">
      <c r="A247" s="154"/>
      <c r="B247" s="154"/>
      <c r="C247" s="154"/>
      <c r="D247" s="154"/>
      <c r="E247" s="154"/>
      <c r="F247" s="154"/>
      <c r="G247" s="55"/>
      <c r="H247" s="154"/>
      <c r="I247" s="154"/>
      <c r="J247" s="154"/>
      <c r="K247" s="154"/>
      <c r="L247" s="154"/>
      <c r="M247" s="154"/>
      <c r="N247" s="154"/>
      <c r="O247" s="154"/>
      <c r="P247" s="154"/>
      <c r="Q247" s="154"/>
      <c r="R247" s="154"/>
      <c r="S247" s="154"/>
      <c r="T247" s="154"/>
      <c r="U247" s="154"/>
      <c r="V247" s="154"/>
      <c r="W247" s="154"/>
      <c r="X247" s="154"/>
      <c r="Y247" s="154"/>
      <c r="Z247" s="154"/>
      <c r="AA247" s="154"/>
    </row>
    <row r="248">
      <c r="A248" s="154"/>
      <c r="B248" s="154"/>
      <c r="C248" s="154"/>
      <c r="D248" s="154"/>
      <c r="E248" s="154"/>
      <c r="F248" s="154"/>
      <c r="G248" s="55"/>
      <c r="H248" s="154"/>
      <c r="I248" s="154"/>
      <c r="J248" s="154"/>
      <c r="K248" s="154"/>
      <c r="L248" s="154"/>
      <c r="M248" s="154"/>
      <c r="N248" s="154"/>
      <c r="O248" s="154"/>
      <c r="P248" s="154"/>
      <c r="Q248" s="154"/>
      <c r="R248" s="154"/>
      <c r="S248" s="154"/>
      <c r="T248" s="154"/>
      <c r="U248" s="154"/>
      <c r="V248" s="154"/>
      <c r="W248" s="154"/>
      <c r="X248" s="154"/>
      <c r="Y248" s="154"/>
      <c r="Z248" s="154"/>
      <c r="AA248" s="154"/>
    </row>
    <row r="249">
      <c r="A249" s="154"/>
      <c r="B249" s="154"/>
      <c r="C249" s="154"/>
      <c r="D249" s="154"/>
      <c r="E249" s="154"/>
      <c r="F249" s="154"/>
      <c r="G249" s="55"/>
      <c r="H249" s="154"/>
      <c r="I249" s="154"/>
      <c r="J249" s="154"/>
      <c r="K249" s="154"/>
      <c r="L249" s="154"/>
      <c r="M249" s="154"/>
      <c r="N249" s="154"/>
      <c r="O249" s="154"/>
      <c r="P249" s="154"/>
      <c r="Q249" s="154"/>
      <c r="R249" s="154"/>
      <c r="S249" s="154"/>
      <c r="T249" s="154"/>
      <c r="U249" s="154"/>
      <c r="V249" s="154"/>
      <c r="W249" s="154"/>
      <c r="X249" s="154"/>
      <c r="Y249" s="154"/>
      <c r="Z249" s="154"/>
      <c r="AA249" s="154"/>
    </row>
    <row r="250">
      <c r="A250" s="154"/>
      <c r="B250" s="154"/>
      <c r="C250" s="154"/>
      <c r="D250" s="154"/>
      <c r="E250" s="154"/>
      <c r="F250" s="154"/>
      <c r="G250" s="55"/>
      <c r="H250" s="154"/>
      <c r="I250" s="154"/>
      <c r="J250" s="154"/>
      <c r="K250" s="154"/>
      <c r="L250" s="154"/>
      <c r="M250" s="154"/>
      <c r="N250" s="154"/>
      <c r="O250" s="154"/>
      <c r="P250" s="154"/>
      <c r="Q250" s="154"/>
      <c r="R250" s="154"/>
      <c r="S250" s="154"/>
      <c r="T250" s="154"/>
      <c r="U250" s="154"/>
      <c r="V250" s="154"/>
      <c r="W250" s="154"/>
      <c r="X250" s="154"/>
      <c r="Y250" s="154"/>
      <c r="Z250" s="154"/>
      <c r="AA250" s="154"/>
    </row>
    <row r="251">
      <c r="A251" s="154"/>
      <c r="B251" s="154"/>
      <c r="C251" s="154"/>
      <c r="D251" s="154"/>
      <c r="E251" s="154"/>
      <c r="F251" s="154"/>
      <c r="G251" s="55"/>
      <c r="H251" s="154"/>
      <c r="I251" s="154"/>
      <c r="J251" s="154"/>
      <c r="K251" s="154"/>
      <c r="L251" s="154"/>
      <c r="M251" s="154"/>
      <c r="N251" s="154"/>
      <c r="O251" s="154"/>
      <c r="P251" s="154"/>
      <c r="Q251" s="154"/>
      <c r="R251" s="154"/>
      <c r="S251" s="154"/>
      <c r="T251" s="154"/>
      <c r="U251" s="154"/>
      <c r="V251" s="154"/>
      <c r="W251" s="154"/>
      <c r="X251" s="154"/>
      <c r="Y251" s="154"/>
      <c r="Z251" s="154"/>
      <c r="AA251" s="154"/>
    </row>
    <row r="252">
      <c r="A252" s="154"/>
      <c r="B252" s="154"/>
      <c r="C252" s="154"/>
      <c r="D252" s="154"/>
      <c r="E252" s="154"/>
      <c r="F252" s="154"/>
      <c r="G252" s="55"/>
      <c r="H252" s="154"/>
      <c r="I252" s="154"/>
      <c r="J252" s="154"/>
      <c r="K252" s="154"/>
      <c r="L252" s="154"/>
      <c r="M252" s="154"/>
      <c r="N252" s="154"/>
      <c r="O252" s="154"/>
      <c r="P252" s="154"/>
      <c r="Q252" s="154"/>
      <c r="R252" s="154"/>
      <c r="S252" s="154"/>
      <c r="T252" s="154"/>
      <c r="U252" s="154"/>
      <c r="V252" s="154"/>
      <c r="W252" s="154"/>
      <c r="X252" s="154"/>
      <c r="Y252" s="154"/>
      <c r="Z252" s="154"/>
      <c r="AA252" s="154"/>
    </row>
    <row r="253">
      <c r="A253" s="154"/>
      <c r="B253" s="154"/>
      <c r="C253" s="154"/>
      <c r="D253" s="154"/>
      <c r="E253" s="154"/>
      <c r="F253" s="154"/>
      <c r="G253" s="55"/>
      <c r="H253" s="154"/>
      <c r="I253" s="154"/>
      <c r="J253" s="154"/>
      <c r="K253" s="154"/>
      <c r="L253" s="154"/>
      <c r="M253" s="154"/>
      <c r="N253" s="154"/>
      <c r="O253" s="154"/>
      <c r="P253" s="154"/>
      <c r="Q253" s="154"/>
      <c r="R253" s="154"/>
      <c r="S253" s="154"/>
      <c r="T253" s="154"/>
      <c r="U253" s="154"/>
      <c r="V253" s="154"/>
      <c r="W253" s="154"/>
      <c r="X253" s="154"/>
      <c r="Y253" s="154"/>
      <c r="Z253" s="154"/>
      <c r="AA253" s="154"/>
    </row>
    <row r="254">
      <c r="A254" s="154"/>
      <c r="B254" s="154"/>
      <c r="C254" s="154"/>
      <c r="D254" s="154"/>
      <c r="E254" s="154"/>
      <c r="F254" s="154"/>
      <c r="G254" s="55"/>
      <c r="H254" s="154"/>
      <c r="I254" s="154"/>
      <c r="J254" s="154"/>
      <c r="K254" s="154"/>
      <c r="L254" s="154"/>
      <c r="M254" s="154"/>
      <c r="N254" s="154"/>
      <c r="O254" s="154"/>
      <c r="P254" s="154"/>
      <c r="Q254" s="154"/>
      <c r="R254" s="154"/>
      <c r="S254" s="154"/>
      <c r="T254" s="154"/>
      <c r="U254" s="154"/>
      <c r="V254" s="154"/>
      <c r="W254" s="154"/>
      <c r="X254" s="154"/>
      <c r="Y254" s="154"/>
      <c r="Z254" s="154"/>
      <c r="AA254" s="154"/>
    </row>
    <row r="255">
      <c r="A255" s="154"/>
      <c r="B255" s="154"/>
      <c r="C255" s="154"/>
      <c r="D255" s="154"/>
      <c r="E255" s="154"/>
      <c r="F255" s="154"/>
      <c r="G255" s="55"/>
      <c r="H255" s="154"/>
      <c r="I255" s="154"/>
      <c r="J255" s="154"/>
      <c r="K255" s="154"/>
      <c r="L255" s="154"/>
      <c r="M255" s="154"/>
      <c r="N255" s="154"/>
      <c r="O255" s="154"/>
      <c r="P255" s="154"/>
      <c r="Q255" s="154"/>
      <c r="R255" s="154"/>
      <c r="S255" s="154"/>
      <c r="T255" s="154"/>
      <c r="U255" s="154"/>
      <c r="V255" s="154"/>
      <c r="W255" s="154"/>
      <c r="X255" s="154"/>
      <c r="Y255" s="154"/>
      <c r="Z255" s="154"/>
      <c r="AA255" s="154"/>
    </row>
    <row r="256">
      <c r="A256" s="154"/>
      <c r="B256" s="154"/>
      <c r="C256" s="154"/>
      <c r="D256" s="154"/>
      <c r="E256" s="154"/>
      <c r="F256" s="154"/>
      <c r="G256" s="55"/>
      <c r="H256" s="154"/>
      <c r="I256" s="154"/>
      <c r="J256" s="154"/>
      <c r="K256" s="154"/>
      <c r="L256" s="154"/>
      <c r="M256" s="154"/>
      <c r="N256" s="154"/>
      <c r="O256" s="154"/>
      <c r="P256" s="154"/>
      <c r="Q256" s="154"/>
      <c r="R256" s="154"/>
      <c r="S256" s="154"/>
      <c r="T256" s="154"/>
      <c r="U256" s="154"/>
      <c r="V256" s="154"/>
      <c r="W256" s="154"/>
      <c r="X256" s="154"/>
      <c r="Y256" s="154"/>
      <c r="Z256" s="154"/>
      <c r="AA256" s="154"/>
    </row>
    <row r="257">
      <c r="A257" s="154"/>
      <c r="B257" s="154"/>
      <c r="C257" s="154"/>
      <c r="D257" s="154"/>
      <c r="E257" s="154"/>
      <c r="F257" s="154"/>
      <c r="G257" s="55"/>
      <c r="H257" s="154"/>
      <c r="I257" s="154"/>
      <c r="J257" s="154"/>
      <c r="K257" s="154"/>
      <c r="L257" s="154"/>
      <c r="M257" s="154"/>
      <c r="N257" s="154"/>
      <c r="O257" s="154"/>
      <c r="P257" s="154"/>
      <c r="Q257" s="154"/>
      <c r="R257" s="154"/>
      <c r="S257" s="154"/>
      <c r="T257" s="154"/>
      <c r="U257" s="154"/>
      <c r="V257" s="154"/>
      <c r="W257" s="154"/>
      <c r="X257" s="154"/>
      <c r="Y257" s="154"/>
      <c r="Z257" s="154"/>
      <c r="AA257" s="154"/>
    </row>
    <row r="258">
      <c r="A258" s="154"/>
      <c r="B258" s="154"/>
      <c r="C258" s="154"/>
      <c r="D258" s="154"/>
      <c r="E258" s="154"/>
      <c r="F258" s="154"/>
      <c r="G258" s="55"/>
      <c r="H258" s="154"/>
      <c r="I258" s="154"/>
      <c r="J258" s="154"/>
      <c r="K258" s="154"/>
      <c r="L258" s="154"/>
      <c r="M258" s="154"/>
      <c r="N258" s="154"/>
      <c r="O258" s="154"/>
      <c r="P258" s="154"/>
      <c r="Q258" s="154"/>
      <c r="R258" s="154"/>
      <c r="S258" s="154"/>
      <c r="T258" s="154"/>
      <c r="U258" s="154"/>
      <c r="V258" s="154"/>
      <c r="W258" s="154"/>
      <c r="X258" s="154"/>
      <c r="Y258" s="154"/>
      <c r="Z258" s="154"/>
      <c r="AA258" s="154"/>
    </row>
    <row r="259">
      <c r="A259" s="154"/>
      <c r="B259" s="154"/>
      <c r="C259" s="154"/>
      <c r="D259" s="154"/>
      <c r="E259" s="154"/>
      <c r="F259" s="154"/>
      <c r="G259" s="55"/>
      <c r="H259" s="154"/>
      <c r="I259" s="154"/>
      <c r="J259" s="154"/>
      <c r="K259" s="154"/>
      <c r="L259" s="154"/>
      <c r="M259" s="154"/>
      <c r="N259" s="154"/>
      <c r="O259" s="154"/>
      <c r="P259" s="154"/>
      <c r="Q259" s="154"/>
      <c r="R259" s="154"/>
      <c r="S259" s="154"/>
      <c r="T259" s="154"/>
      <c r="U259" s="154"/>
      <c r="V259" s="154"/>
      <c r="W259" s="154"/>
      <c r="X259" s="154"/>
      <c r="Y259" s="154"/>
      <c r="Z259" s="154"/>
      <c r="AA259" s="154"/>
    </row>
    <row r="260">
      <c r="A260" s="154"/>
      <c r="B260" s="154"/>
      <c r="C260" s="154"/>
      <c r="D260" s="154"/>
      <c r="E260" s="154"/>
      <c r="F260" s="154"/>
      <c r="G260" s="55"/>
      <c r="H260" s="154"/>
      <c r="I260" s="154"/>
      <c r="J260" s="154"/>
      <c r="K260" s="154"/>
      <c r="L260" s="154"/>
      <c r="M260" s="154"/>
      <c r="N260" s="154"/>
      <c r="O260" s="154"/>
      <c r="P260" s="154"/>
      <c r="Q260" s="154"/>
      <c r="R260" s="154"/>
      <c r="S260" s="154"/>
      <c r="T260" s="154"/>
      <c r="U260" s="154"/>
      <c r="V260" s="154"/>
      <c r="W260" s="154"/>
      <c r="X260" s="154"/>
      <c r="Y260" s="154"/>
      <c r="Z260" s="154"/>
      <c r="AA260" s="154"/>
    </row>
    <row r="261">
      <c r="A261" s="154"/>
      <c r="B261" s="154"/>
      <c r="C261" s="154"/>
      <c r="D261" s="154"/>
      <c r="E261" s="154"/>
      <c r="F261" s="154"/>
      <c r="G261" s="55"/>
      <c r="H261" s="154"/>
      <c r="I261" s="154"/>
      <c r="J261" s="154"/>
      <c r="K261" s="154"/>
      <c r="L261" s="154"/>
      <c r="M261" s="154"/>
      <c r="N261" s="154"/>
      <c r="O261" s="154"/>
      <c r="P261" s="154"/>
      <c r="Q261" s="154"/>
      <c r="R261" s="154"/>
      <c r="S261" s="154"/>
      <c r="T261" s="154"/>
      <c r="U261" s="154"/>
      <c r="V261" s="154"/>
      <c r="W261" s="154"/>
      <c r="X261" s="154"/>
      <c r="Y261" s="154"/>
      <c r="Z261" s="154"/>
      <c r="AA261" s="154"/>
    </row>
    <row r="262">
      <c r="A262" s="154"/>
      <c r="B262" s="154"/>
      <c r="C262" s="154"/>
      <c r="D262" s="154"/>
      <c r="E262" s="154"/>
      <c r="F262" s="154"/>
      <c r="G262" s="55"/>
      <c r="H262" s="154"/>
      <c r="I262" s="154"/>
      <c r="J262" s="154"/>
      <c r="K262" s="154"/>
      <c r="L262" s="154"/>
      <c r="M262" s="154"/>
      <c r="N262" s="154"/>
      <c r="O262" s="154"/>
      <c r="P262" s="154"/>
      <c r="Q262" s="154"/>
      <c r="R262" s="154"/>
      <c r="S262" s="154"/>
      <c r="T262" s="154"/>
      <c r="U262" s="154"/>
      <c r="V262" s="154"/>
      <c r="W262" s="154"/>
      <c r="X262" s="154"/>
      <c r="Y262" s="154"/>
      <c r="Z262" s="154"/>
      <c r="AA262" s="154"/>
    </row>
    <row r="263">
      <c r="A263" s="154"/>
      <c r="B263" s="154"/>
      <c r="C263" s="154"/>
      <c r="D263" s="154"/>
      <c r="E263" s="154"/>
      <c r="F263" s="154"/>
      <c r="G263" s="55"/>
      <c r="H263" s="154"/>
      <c r="I263" s="154"/>
      <c r="J263" s="154"/>
      <c r="K263" s="154"/>
      <c r="L263" s="154"/>
      <c r="M263" s="154"/>
      <c r="N263" s="154"/>
      <c r="O263" s="154"/>
      <c r="P263" s="154"/>
      <c r="Q263" s="154"/>
      <c r="R263" s="154"/>
      <c r="S263" s="154"/>
      <c r="T263" s="154"/>
      <c r="U263" s="154"/>
      <c r="V263" s="154"/>
      <c r="W263" s="154"/>
      <c r="X263" s="154"/>
      <c r="Y263" s="154"/>
      <c r="Z263" s="154"/>
      <c r="AA263" s="154"/>
    </row>
    <row r="264">
      <c r="A264" s="154"/>
      <c r="B264" s="154"/>
      <c r="C264" s="154"/>
      <c r="D264" s="154"/>
      <c r="E264" s="154"/>
      <c r="F264" s="154"/>
      <c r="G264" s="55"/>
      <c r="H264" s="154"/>
      <c r="I264" s="154"/>
      <c r="J264" s="154"/>
      <c r="K264" s="154"/>
      <c r="L264" s="154"/>
      <c r="M264" s="154"/>
      <c r="N264" s="154"/>
      <c r="O264" s="154"/>
      <c r="P264" s="154"/>
      <c r="Q264" s="154"/>
      <c r="R264" s="154"/>
      <c r="S264" s="154"/>
      <c r="T264" s="154"/>
      <c r="U264" s="154"/>
      <c r="V264" s="154"/>
      <c r="W264" s="154"/>
      <c r="X264" s="154"/>
      <c r="Y264" s="154"/>
      <c r="Z264" s="154"/>
      <c r="AA264" s="154"/>
    </row>
    <row r="265">
      <c r="A265" s="154"/>
      <c r="B265" s="154"/>
      <c r="C265" s="154"/>
      <c r="D265" s="154"/>
      <c r="E265" s="154"/>
      <c r="F265" s="154"/>
      <c r="G265" s="55"/>
      <c r="H265" s="154"/>
      <c r="I265" s="154"/>
      <c r="J265" s="154"/>
      <c r="K265" s="154"/>
      <c r="L265" s="154"/>
      <c r="M265" s="154"/>
      <c r="N265" s="154"/>
      <c r="O265" s="154"/>
      <c r="P265" s="154"/>
      <c r="Q265" s="154"/>
      <c r="R265" s="154"/>
      <c r="S265" s="154"/>
      <c r="T265" s="154"/>
      <c r="U265" s="154"/>
      <c r="V265" s="154"/>
      <c r="W265" s="154"/>
      <c r="X265" s="154"/>
      <c r="Y265" s="154"/>
      <c r="Z265" s="154"/>
      <c r="AA265" s="154"/>
    </row>
    <row r="266">
      <c r="A266" s="154"/>
      <c r="B266" s="154"/>
      <c r="C266" s="154"/>
      <c r="D266" s="154"/>
      <c r="E266" s="154"/>
      <c r="F266" s="154"/>
      <c r="G266" s="55"/>
      <c r="H266" s="154"/>
      <c r="I266" s="154"/>
      <c r="J266" s="154"/>
      <c r="K266" s="154"/>
      <c r="L266" s="154"/>
      <c r="M266" s="154"/>
      <c r="N266" s="154"/>
      <c r="O266" s="154"/>
      <c r="P266" s="154"/>
      <c r="Q266" s="154"/>
      <c r="R266" s="154"/>
      <c r="S266" s="154"/>
      <c r="T266" s="154"/>
      <c r="U266" s="154"/>
      <c r="V266" s="154"/>
      <c r="W266" s="154"/>
      <c r="X266" s="154"/>
      <c r="Y266" s="154"/>
      <c r="Z266" s="154"/>
      <c r="AA266" s="154"/>
    </row>
    <row r="267">
      <c r="A267" s="154"/>
      <c r="B267" s="154"/>
      <c r="C267" s="154"/>
      <c r="D267" s="154"/>
      <c r="E267" s="154"/>
      <c r="F267" s="154"/>
      <c r="G267" s="55"/>
      <c r="H267" s="154"/>
      <c r="I267" s="154"/>
      <c r="J267" s="154"/>
      <c r="K267" s="154"/>
      <c r="L267" s="154"/>
      <c r="M267" s="154"/>
      <c r="N267" s="154"/>
      <c r="O267" s="154"/>
      <c r="P267" s="154"/>
      <c r="Q267" s="154"/>
      <c r="R267" s="154"/>
      <c r="S267" s="154"/>
      <c r="T267" s="154"/>
      <c r="U267" s="154"/>
      <c r="V267" s="154"/>
      <c r="W267" s="154"/>
      <c r="X267" s="154"/>
      <c r="Y267" s="154"/>
      <c r="Z267" s="154"/>
      <c r="AA267" s="154"/>
    </row>
    <row r="268">
      <c r="A268" s="154"/>
      <c r="B268" s="154"/>
      <c r="C268" s="154"/>
      <c r="D268" s="154"/>
      <c r="E268" s="154"/>
      <c r="F268" s="154"/>
      <c r="G268" s="55"/>
      <c r="H268" s="154"/>
      <c r="I268" s="154"/>
      <c r="J268" s="154"/>
      <c r="K268" s="154"/>
      <c r="L268" s="154"/>
      <c r="M268" s="154"/>
      <c r="N268" s="154"/>
      <c r="O268" s="154"/>
      <c r="P268" s="154"/>
      <c r="Q268" s="154"/>
      <c r="R268" s="154"/>
      <c r="S268" s="154"/>
      <c r="T268" s="154"/>
      <c r="U268" s="154"/>
      <c r="V268" s="154"/>
      <c r="W268" s="154"/>
      <c r="X268" s="154"/>
      <c r="Y268" s="154"/>
      <c r="Z268" s="154"/>
      <c r="AA268" s="154"/>
    </row>
    <row r="269">
      <c r="A269" s="154"/>
      <c r="B269" s="154"/>
      <c r="C269" s="154"/>
      <c r="D269" s="154"/>
      <c r="E269" s="154"/>
      <c r="F269" s="154"/>
      <c r="G269" s="55"/>
      <c r="H269" s="154"/>
      <c r="I269" s="154"/>
      <c r="J269" s="154"/>
      <c r="K269" s="154"/>
      <c r="L269" s="154"/>
      <c r="M269" s="154"/>
      <c r="N269" s="154"/>
      <c r="O269" s="154"/>
      <c r="P269" s="154"/>
      <c r="Q269" s="154"/>
      <c r="R269" s="154"/>
      <c r="S269" s="154"/>
      <c r="T269" s="154"/>
      <c r="U269" s="154"/>
      <c r="V269" s="154"/>
      <c r="W269" s="154"/>
      <c r="X269" s="154"/>
      <c r="Y269" s="154"/>
      <c r="Z269" s="154"/>
      <c r="AA269" s="154"/>
    </row>
    <row r="270">
      <c r="A270" s="154"/>
      <c r="B270" s="154"/>
      <c r="C270" s="154"/>
      <c r="D270" s="154"/>
      <c r="E270" s="154"/>
      <c r="F270" s="154"/>
      <c r="G270" s="55"/>
      <c r="H270" s="154"/>
      <c r="I270" s="154"/>
      <c r="J270" s="154"/>
      <c r="K270" s="154"/>
      <c r="L270" s="154"/>
      <c r="M270" s="154"/>
      <c r="N270" s="154"/>
      <c r="O270" s="154"/>
      <c r="P270" s="154"/>
      <c r="Q270" s="154"/>
      <c r="R270" s="154"/>
      <c r="S270" s="154"/>
      <c r="T270" s="154"/>
      <c r="U270" s="154"/>
      <c r="V270" s="154"/>
      <c r="W270" s="154"/>
      <c r="X270" s="154"/>
      <c r="Y270" s="154"/>
      <c r="Z270" s="154"/>
      <c r="AA270" s="154"/>
    </row>
    <row r="271">
      <c r="A271" s="154"/>
      <c r="B271" s="154"/>
      <c r="C271" s="154"/>
      <c r="D271" s="154"/>
      <c r="E271" s="154"/>
      <c r="F271" s="154"/>
      <c r="G271" s="55"/>
      <c r="H271" s="154"/>
      <c r="I271" s="154"/>
      <c r="J271" s="154"/>
      <c r="K271" s="154"/>
      <c r="L271" s="154"/>
      <c r="M271" s="154"/>
      <c r="N271" s="154"/>
      <c r="O271" s="154"/>
      <c r="P271" s="154"/>
      <c r="Q271" s="154"/>
      <c r="R271" s="154"/>
      <c r="S271" s="154"/>
      <c r="T271" s="154"/>
      <c r="U271" s="154"/>
      <c r="V271" s="154"/>
      <c r="W271" s="154"/>
      <c r="X271" s="154"/>
      <c r="Y271" s="154"/>
      <c r="Z271" s="154"/>
      <c r="AA271" s="154"/>
    </row>
    <row r="272">
      <c r="A272" s="154"/>
      <c r="B272" s="154"/>
      <c r="C272" s="154"/>
      <c r="D272" s="154"/>
      <c r="E272" s="154"/>
      <c r="F272" s="154"/>
      <c r="G272" s="55"/>
      <c r="H272" s="154"/>
      <c r="I272" s="154"/>
      <c r="J272" s="154"/>
      <c r="K272" s="154"/>
      <c r="L272" s="154"/>
      <c r="M272" s="154"/>
      <c r="N272" s="154"/>
      <c r="O272" s="154"/>
      <c r="P272" s="154"/>
      <c r="Q272" s="154"/>
      <c r="R272" s="154"/>
      <c r="S272" s="154"/>
      <c r="T272" s="154"/>
      <c r="U272" s="154"/>
      <c r="V272" s="154"/>
      <c r="W272" s="154"/>
      <c r="X272" s="154"/>
      <c r="Y272" s="154"/>
      <c r="Z272" s="154"/>
      <c r="AA272" s="154"/>
    </row>
    <row r="273">
      <c r="A273" s="154"/>
      <c r="B273" s="154"/>
      <c r="C273" s="154"/>
      <c r="D273" s="154"/>
      <c r="E273" s="154"/>
      <c r="F273" s="154"/>
      <c r="G273" s="55"/>
      <c r="H273" s="154"/>
      <c r="I273" s="154"/>
      <c r="J273" s="154"/>
      <c r="K273" s="154"/>
      <c r="L273" s="154"/>
      <c r="M273" s="154"/>
      <c r="N273" s="154"/>
      <c r="O273" s="154"/>
      <c r="P273" s="154"/>
      <c r="Q273" s="154"/>
      <c r="R273" s="154"/>
      <c r="S273" s="154"/>
      <c r="T273" s="154"/>
      <c r="U273" s="154"/>
      <c r="V273" s="154"/>
      <c r="W273" s="154"/>
      <c r="X273" s="154"/>
      <c r="Y273" s="154"/>
      <c r="Z273" s="154"/>
      <c r="AA273" s="154"/>
    </row>
    <row r="274">
      <c r="A274" s="154"/>
      <c r="B274" s="154"/>
      <c r="C274" s="154"/>
      <c r="D274" s="154"/>
      <c r="E274" s="154"/>
      <c r="F274" s="154"/>
      <c r="G274" s="55"/>
      <c r="H274" s="154"/>
      <c r="I274" s="154"/>
      <c r="J274" s="154"/>
      <c r="K274" s="154"/>
      <c r="L274" s="154"/>
      <c r="M274" s="154"/>
      <c r="N274" s="154"/>
      <c r="O274" s="154"/>
      <c r="P274" s="154"/>
      <c r="Q274" s="154"/>
      <c r="R274" s="154"/>
      <c r="S274" s="154"/>
      <c r="T274" s="154"/>
      <c r="U274" s="154"/>
      <c r="V274" s="154"/>
      <c r="W274" s="154"/>
      <c r="X274" s="154"/>
      <c r="Y274" s="154"/>
      <c r="Z274" s="154"/>
      <c r="AA274" s="154"/>
    </row>
    <row r="275">
      <c r="A275" s="154"/>
      <c r="B275" s="154"/>
      <c r="C275" s="154"/>
      <c r="D275" s="154"/>
      <c r="E275" s="154"/>
      <c r="F275" s="154"/>
      <c r="G275" s="55"/>
      <c r="H275" s="154"/>
      <c r="I275" s="154"/>
      <c r="J275" s="154"/>
      <c r="K275" s="154"/>
      <c r="L275" s="154"/>
      <c r="M275" s="154"/>
      <c r="N275" s="154"/>
      <c r="O275" s="154"/>
      <c r="P275" s="154"/>
      <c r="Q275" s="154"/>
      <c r="R275" s="154"/>
      <c r="S275" s="154"/>
      <c r="T275" s="154"/>
      <c r="U275" s="154"/>
      <c r="V275" s="154"/>
      <c r="W275" s="154"/>
      <c r="X275" s="154"/>
      <c r="Y275" s="154"/>
      <c r="Z275" s="154"/>
      <c r="AA275" s="154"/>
    </row>
    <row r="276">
      <c r="A276" s="154"/>
      <c r="B276" s="154"/>
      <c r="C276" s="154"/>
      <c r="D276" s="154"/>
      <c r="E276" s="154"/>
      <c r="F276" s="154"/>
      <c r="G276" s="55"/>
      <c r="H276" s="154"/>
      <c r="I276" s="154"/>
      <c r="J276" s="154"/>
      <c r="K276" s="154"/>
      <c r="L276" s="154"/>
      <c r="M276" s="154"/>
      <c r="N276" s="154"/>
      <c r="O276" s="154"/>
      <c r="P276" s="154"/>
      <c r="Q276" s="154"/>
      <c r="R276" s="154"/>
      <c r="S276" s="154"/>
      <c r="T276" s="154"/>
      <c r="U276" s="154"/>
      <c r="V276" s="154"/>
      <c r="W276" s="154"/>
      <c r="X276" s="154"/>
      <c r="Y276" s="154"/>
      <c r="Z276" s="154"/>
      <c r="AA276" s="154"/>
    </row>
    <row r="277">
      <c r="A277" s="154"/>
      <c r="B277" s="154"/>
      <c r="C277" s="154"/>
      <c r="D277" s="154"/>
      <c r="E277" s="154"/>
      <c r="F277" s="154"/>
      <c r="G277" s="55"/>
      <c r="H277" s="154"/>
      <c r="I277" s="154"/>
      <c r="J277" s="154"/>
      <c r="K277" s="154"/>
      <c r="L277" s="154"/>
      <c r="M277" s="154"/>
      <c r="N277" s="154"/>
      <c r="O277" s="154"/>
      <c r="P277" s="154"/>
      <c r="Q277" s="154"/>
      <c r="R277" s="154"/>
      <c r="S277" s="154"/>
      <c r="T277" s="154"/>
      <c r="U277" s="154"/>
      <c r="V277" s="154"/>
      <c r="W277" s="154"/>
      <c r="X277" s="154"/>
      <c r="Y277" s="154"/>
      <c r="Z277" s="154"/>
      <c r="AA277" s="154"/>
    </row>
    <row r="278">
      <c r="A278" s="154"/>
      <c r="B278" s="154"/>
      <c r="C278" s="154"/>
      <c r="D278" s="154"/>
      <c r="E278" s="154"/>
      <c r="F278" s="154"/>
      <c r="G278" s="55"/>
      <c r="H278" s="154"/>
      <c r="I278" s="154"/>
      <c r="J278" s="154"/>
      <c r="K278" s="154"/>
      <c r="L278" s="154"/>
      <c r="M278" s="154"/>
      <c r="N278" s="154"/>
      <c r="O278" s="154"/>
      <c r="P278" s="154"/>
      <c r="Q278" s="154"/>
      <c r="R278" s="154"/>
      <c r="S278" s="154"/>
      <c r="T278" s="154"/>
      <c r="U278" s="154"/>
      <c r="V278" s="154"/>
      <c r="W278" s="154"/>
      <c r="X278" s="154"/>
      <c r="Y278" s="154"/>
      <c r="Z278" s="154"/>
      <c r="AA278" s="154"/>
    </row>
    <row r="279">
      <c r="A279" s="154"/>
      <c r="B279" s="154"/>
      <c r="C279" s="154"/>
      <c r="D279" s="154"/>
      <c r="E279" s="154"/>
      <c r="F279" s="154"/>
      <c r="G279" s="55"/>
      <c r="H279" s="154"/>
      <c r="I279" s="154"/>
      <c r="J279" s="154"/>
      <c r="K279" s="154"/>
      <c r="L279" s="154"/>
      <c r="M279" s="154"/>
      <c r="N279" s="154"/>
      <c r="O279" s="154"/>
      <c r="P279" s="154"/>
      <c r="Q279" s="154"/>
      <c r="R279" s="154"/>
      <c r="S279" s="154"/>
      <c r="T279" s="154"/>
      <c r="U279" s="154"/>
      <c r="V279" s="154"/>
      <c r="W279" s="154"/>
      <c r="X279" s="154"/>
      <c r="Y279" s="154"/>
      <c r="Z279" s="154"/>
      <c r="AA279" s="154"/>
    </row>
    <row r="280">
      <c r="A280" s="154"/>
      <c r="B280" s="154"/>
      <c r="C280" s="154"/>
      <c r="D280" s="154"/>
      <c r="E280" s="154"/>
      <c r="F280" s="154"/>
      <c r="G280" s="55"/>
      <c r="H280" s="154"/>
      <c r="I280" s="154"/>
      <c r="J280" s="154"/>
      <c r="K280" s="154"/>
      <c r="L280" s="154"/>
      <c r="M280" s="154"/>
      <c r="N280" s="154"/>
      <c r="O280" s="154"/>
      <c r="P280" s="154"/>
      <c r="Q280" s="154"/>
      <c r="R280" s="154"/>
      <c r="S280" s="154"/>
      <c r="T280" s="154"/>
      <c r="U280" s="154"/>
      <c r="V280" s="154"/>
      <c r="W280" s="154"/>
      <c r="X280" s="154"/>
      <c r="Y280" s="154"/>
      <c r="Z280" s="154"/>
      <c r="AA280" s="154"/>
    </row>
    <row r="281">
      <c r="A281" s="154"/>
      <c r="B281" s="154"/>
      <c r="C281" s="154"/>
      <c r="D281" s="154"/>
      <c r="E281" s="154"/>
      <c r="F281" s="154"/>
      <c r="G281" s="55"/>
      <c r="H281" s="154"/>
      <c r="I281" s="154"/>
      <c r="J281" s="154"/>
      <c r="K281" s="154"/>
      <c r="L281" s="154"/>
      <c r="M281" s="154"/>
      <c r="N281" s="154"/>
      <c r="O281" s="154"/>
      <c r="P281" s="154"/>
      <c r="Q281" s="154"/>
      <c r="R281" s="154"/>
      <c r="S281" s="154"/>
      <c r="T281" s="154"/>
      <c r="U281" s="154"/>
      <c r="V281" s="154"/>
      <c r="W281" s="154"/>
      <c r="X281" s="154"/>
      <c r="Y281" s="154"/>
      <c r="Z281" s="154"/>
      <c r="AA281" s="154"/>
    </row>
    <row r="282">
      <c r="A282" s="154"/>
      <c r="B282" s="154"/>
      <c r="C282" s="154"/>
      <c r="D282" s="154"/>
      <c r="E282" s="154"/>
      <c r="F282" s="154"/>
      <c r="G282" s="55"/>
      <c r="H282" s="154"/>
      <c r="I282" s="154"/>
      <c r="J282" s="154"/>
      <c r="K282" s="154"/>
      <c r="L282" s="154"/>
      <c r="M282" s="154"/>
      <c r="N282" s="154"/>
      <c r="O282" s="154"/>
      <c r="P282" s="154"/>
      <c r="Q282" s="154"/>
      <c r="R282" s="154"/>
      <c r="S282" s="154"/>
      <c r="T282" s="154"/>
      <c r="U282" s="154"/>
      <c r="V282" s="154"/>
      <c r="W282" s="154"/>
      <c r="X282" s="154"/>
      <c r="Y282" s="154"/>
      <c r="Z282" s="154"/>
      <c r="AA282" s="154"/>
    </row>
    <row r="283">
      <c r="A283" s="154"/>
      <c r="B283" s="154"/>
      <c r="C283" s="154"/>
      <c r="D283" s="154"/>
      <c r="E283" s="154"/>
      <c r="F283" s="154"/>
      <c r="G283" s="55"/>
      <c r="H283" s="154"/>
      <c r="I283" s="154"/>
      <c r="J283" s="154"/>
      <c r="K283" s="154"/>
      <c r="L283" s="154"/>
      <c r="M283" s="154"/>
      <c r="N283" s="154"/>
      <c r="O283" s="154"/>
      <c r="P283" s="154"/>
      <c r="Q283" s="154"/>
      <c r="R283" s="154"/>
      <c r="S283" s="154"/>
      <c r="T283" s="154"/>
      <c r="U283" s="154"/>
      <c r="V283" s="154"/>
      <c r="W283" s="154"/>
      <c r="X283" s="154"/>
      <c r="Y283" s="154"/>
      <c r="Z283" s="154"/>
      <c r="AA283" s="154"/>
    </row>
    <row r="284">
      <c r="A284" s="154"/>
      <c r="B284" s="154"/>
      <c r="C284" s="154"/>
      <c r="D284" s="154"/>
      <c r="E284" s="154"/>
      <c r="F284" s="154"/>
      <c r="G284" s="55"/>
      <c r="H284" s="154"/>
      <c r="I284" s="154"/>
      <c r="J284" s="154"/>
      <c r="K284" s="154"/>
      <c r="L284" s="154"/>
      <c r="M284" s="154"/>
      <c r="N284" s="154"/>
      <c r="O284" s="154"/>
      <c r="P284" s="154"/>
      <c r="Q284" s="154"/>
      <c r="R284" s="154"/>
      <c r="S284" s="154"/>
      <c r="T284" s="154"/>
      <c r="U284" s="154"/>
      <c r="V284" s="154"/>
      <c r="W284" s="154"/>
      <c r="X284" s="154"/>
      <c r="Y284" s="154"/>
      <c r="Z284" s="154"/>
      <c r="AA284" s="154"/>
    </row>
    <row r="285">
      <c r="A285" s="154"/>
      <c r="B285" s="154"/>
      <c r="C285" s="154"/>
      <c r="D285" s="154"/>
      <c r="E285" s="154"/>
      <c r="F285" s="154"/>
      <c r="G285" s="55"/>
      <c r="H285" s="154"/>
      <c r="I285" s="154"/>
      <c r="J285" s="154"/>
      <c r="K285" s="154"/>
      <c r="L285" s="154"/>
      <c r="M285" s="154"/>
      <c r="N285" s="154"/>
      <c r="O285" s="154"/>
      <c r="P285" s="154"/>
      <c r="Q285" s="154"/>
      <c r="R285" s="154"/>
      <c r="S285" s="154"/>
      <c r="T285" s="154"/>
      <c r="U285" s="154"/>
      <c r="V285" s="154"/>
      <c r="W285" s="154"/>
      <c r="X285" s="154"/>
      <c r="Y285" s="154"/>
      <c r="Z285" s="154"/>
      <c r="AA285" s="154"/>
    </row>
    <row r="286">
      <c r="A286" s="154"/>
      <c r="B286" s="154"/>
      <c r="C286" s="154"/>
      <c r="D286" s="154"/>
      <c r="E286" s="154"/>
      <c r="F286" s="154"/>
      <c r="G286" s="55"/>
      <c r="H286" s="154"/>
      <c r="I286" s="154"/>
      <c r="J286" s="154"/>
      <c r="K286" s="154"/>
      <c r="L286" s="154"/>
      <c r="M286" s="154"/>
      <c r="N286" s="154"/>
      <c r="O286" s="154"/>
      <c r="P286" s="154"/>
      <c r="Q286" s="154"/>
      <c r="R286" s="154"/>
      <c r="S286" s="154"/>
      <c r="T286" s="154"/>
      <c r="U286" s="154"/>
      <c r="V286" s="154"/>
      <c r="W286" s="154"/>
      <c r="X286" s="154"/>
      <c r="Y286" s="154"/>
      <c r="Z286" s="154"/>
      <c r="AA286" s="154"/>
    </row>
    <row r="287">
      <c r="A287" s="154"/>
      <c r="B287" s="154"/>
      <c r="C287" s="154"/>
      <c r="D287" s="154"/>
      <c r="E287" s="154"/>
      <c r="F287" s="154"/>
      <c r="G287" s="55"/>
      <c r="H287" s="154"/>
      <c r="I287" s="154"/>
      <c r="J287" s="154"/>
      <c r="K287" s="154"/>
      <c r="L287" s="154"/>
      <c r="M287" s="154"/>
      <c r="N287" s="154"/>
      <c r="O287" s="154"/>
      <c r="P287" s="154"/>
      <c r="Q287" s="154"/>
      <c r="R287" s="154"/>
      <c r="S287" s="154"/>
      <c r="T287" s="154"/>
      <c r="U287" s="154"/>
      <c r="V287" s="154"/>
      <c r="W287" s="154"/>
      <c r="X287" s="154"/>
      <c r="Y287" s="154"/>
      <c r="Z287" s="154"/>
      <c r="AA287" s="154"/>
    </row>
    <row r="288">
      <c r="A288" s="154"/>
      <c r="B288" s="154"/>
      <c r="C288" s="154"/>
      <c r="D288" s="154"/>
      <c r="E288" s="154"/>
      <c r="F288" s="154"/>
      <c r="G288" s="55"/>
      <c r="H288" s="154"/>
      <c r="I288" s="154"/>
      <c r="J288" s="154"/>
      <c r="K288" s="154"/>
      <c r="L288" s="154"/>
      <c r="M288" s="154"/>
      <c r="N288" s="154"/>
      <c r="O288" s="154"/>
      <c r="P288" s="154"/>
      <c r="Q288" s="154"/>
      <c r="R288" s="154"/>
      <c r="S288" s="154"/>
      <c r="T288" s="154"/>
      <c r="U288" s="154"/>
      <c r="V288" s="154"/>
      <c r="W288" s="154"/>
      <c r="X288" s="154"/>
      <c r="Y288" s="154"/>
      <c r="Z288" s="154"/>
      <c r="AA288" s="154"/>
    </row>
    <row r="289">
      <c r="A289" s="154"/>
      <c r="B289" s="154"/>
      <c r="C289" s="154"/>
      <c r="D289" s="154"/>
      <c r="E289" s="154"/>
      <c r="F289" s="154"/>
      <c r="G289" s="55"/>
      <c r="H289" s="154"/>
      <c r="I289" s="154"/>
      <c r="J289" s="154"/>
      <c r="K289" s="154"/>
      <c r="L289" s="154"/>
      <c r="M289" s="154"/>
      <c r="N289" s="154"/>
      <c r="O289" s="154"/>
      <c r="P289" s="154"/>
      <c r="Q289" s="154"/>
      <c r="R289" s="154"/>
      <c r="S289" s="154"/>
      <c r="T289" s="154"/>
      <c r="U289" s="154"/>
      <c r="V289" s="154"/>
      <c r="W289" s="154"/>
      <c r="X289" s="154"/>
      <c r="Y289" s="154"/>
      <c r="Z289" s="154"/>
      <c r="AA289" s="154"/>
    </row>
    <row r="290">
      <c r="A290" s="154"/>
      <c r="B290" s="154"/>
      <c r="C290" s="154"/>
      <c r="D290" s="154"/>
      <c r="E290" s="154"/>
      <c r="F290" s="154"/>
      <c r="G290" s="55"/>
      <c r="H290" s="154"/>
      <c r="I290" s="154"/>
      <c r="J290" s="154"/>
      <c r="K290" s="154"/>
      <c r="L290" s="154"/>
      <c r="M290" s="154"/>
      <c r="N290" s="154"/>
      <c r="O290" s="154"/>
      <c r="P290" s="154"/>
      <c r="Q290" s="154"/>
      <c r="R290" s="154"/>
      <c r="S290" s="154"/>
      <c r="T290" s="154"/>
      <c r="U290" s="154"/>
      <c r="V290" s="154"/>
      <c r="W290" s="154"/>
      <c r="X290" s="154"/>
      <c r="Y290" s="154"/>
      <c r="Z290" s="154"/>
      <c r="AA290" s="154"/>
    </row>
    <row r="291">
      <c r="A291" s="154"/>
      <c r="B291" s="154"/>
      <c r="C291" s="154"/>
      <c r="D291" s="154"/>
      <c r="E291" s="154"/>
      <c r="F291" s="154"/>
      <c r="G291" s="55"/>
      <c r="H291" s="154"/>
      <c r="I291" s="154"/>
      <c r="J291" s="154"/>
      <c r="K291" s="154"/>
      <c r="L291" s="154"/>
      <c r="M291" s="154"/>
      <c r="N291" s="154"/>
      <c r="O291" s="154"/>
      <c r="P291" s="154"/>
      <c r="Q291" s="154"/>
      <c r="R291" s="154"/>
      <c r="S291" s="154"/>
      <c r="T291" s="154"/>
      <c r="U291" s="154"/>
      <c r="V291" s="154"/>
      <c r="W291" s="154"/>
      <c r="X291" s="154"/>
      <c r="Y291" s="154"/>
      <c r="Z291" s="154"/>
      <c r="AA291" s="154"/>
    </row>
    <row r="292">
      <c r="A292" s="154"/>
      <c r="B292" s="154"/>
      <c r="C292" s="154"/>
      <c r="D292" s="154"/>
      <c r="E292" s="154"/>
      <c r="F292" s="154"/>
      <c r="G292" s="55"/>
      <c r="H292" s="154"/>
      <c r="I292" s="154"/>
      <c r="J292" s="154"/>
      <c r="K292" s="154"/>
      <c r="L292" s="154"/>
      <c r="M292" s="154"/>
      <c r="N292" s="154"/>
      <c r="O292" s="154"/>
      <c r="P292" s="154"/>
      <c r="Q292" s="154"/>
      <c r="R292" s="154"/>
      <c r="S292" s="154"/>
      <c r="T292" s="154"/>
      <c r="U292" s="154"/>
      <c r="V292" s="154"/>
      <c r="W292" s="154"/>
      <c r="X292" s="154"/>
      <c r="Y292" s="154"/>
      <c r="Z292" s="154"/>
      <c r="AA292" s="154"/>
    </row>
    <row r="293">
      <c r="A293" s="154"/>
      <c r="B293" s="154"/>
      <c r="C293" s="154"/>
      <c r="D293" s="154"/>
      <c r="E293" s="154"/>
      <c r="F293" s="154"/>
      <c r="G293" s="55"/>
      <c r="H293" s="154"/>
      <c r="I293" s="154"/>
      <c r="J293" s="154"/>
      <c r="K293" s="154"/>
      <c r="L293" s="154"/>
      <c r="M293" s="154"/>
      <c r="N293" s="154"/>
      <c r="O293" s="154"/>
      <c r="P293" s="154"/>
      <c r="Q293" s="154"/>
      <c r="R293" s="154"/>
      <c r="S293" s="154"/>
      <c r="T293" s="154"/>
      <c r="U293" s="154"/>
      <c r="V293" s="154"/>
      <c r="W293" s="154"/>
      <c r="X293" s="154"/>
      <c r="Y293" s="154"/>
      <c r="Z293" s="154"/>
      <c r="AA293" s="154"/>
    </row>
    <row r="294">
      <c r="A294" s="154"/>
      <c r="B294" s="154"/>
      <c r="C294" s="154"/>
      <c r="D294" s="154"/>
      <c r="E294" s="154"/>
      <c r="F294" s="154"/>
      <c r="G294" s="55"/>
      <c r="H294" s="154"/>
      <c r="I294" s="154"/>
      <c r="J294" s="154"/>
      <c r="K294" s="154"/>
      <c r="L294" s="154"/>
      <c r="M294" s="154"/>
      <c r="N294" s="154"/>
      <c r="O294" s="154"/>
      <c r="P294" s="154"/>
      <c r="Q294" s="154"/>
      <c r="R294" s="154"/>
      <c r="S294" s="154"/>
      <c r="T294" s="154"/>
      <c r="U294" s="154"/>
      <c r="V294" s="154"/>
      <c r="W294" s="154"/>
      <c r="X294" s="154"/>
      <c r="Y294" s="154"/>
      <c r="Z294" s="154"/>
      <c r="AA294" s="154"/>
    </row>
    <row r="295">
      <c r="A295" s="154"/>
      <c r="B295" s="154"/>
      <c r="C295" s="154"/>
      <c r="D295" s="154"/>
      <c r="E295" s="154"/>
      <c r="F295" s="154"/>
      <c r="G295" s="55"/>
      <c r="H295" s="154"/>
      <c r="I295" s="154"/>
      <c r="J295" s="154"/>
      <c r="K295" s="154"/>
      <c r="L295" s="154"/>
      <c r="M295" s="154"/>
      <c r="N295" s="154"/>
      <c r="O295" s="154"/>
      <c r="P295" s="154"/>
      <c r="Q295" s="154"/>
      <c r="R295" s="154"/>
      <c r="S295" s="154"/>
      <c r="T295" s="154"/>
      <c r="U295" s="154"/>
      <c r="V295" s="154"/>
      <c r="W295" s="154"/>
      <c r="X295" s="154"/>
      <c r="Y295" s="154"/>
      <c r="Z295" s="154"/>
      <c r="AA295" s="154"/>
    </row>
    <row r="296">
      <c r="A296" s="154"/>
      <c r="B296" s="154"/>
      <c r="C296" s="154"/>
      <c r="D296" s="154"/>
      <c r="E296" s="154"/>
      <c r="F296" s="154"/>
      <c r="G296" s="55"/>
      <c r="H296" s="154"/>
      <c r="I296" s="154"/>
      <c r="J296" s="154"/>
      <c r="K296" s="154"/>
      <c r="L296" s="154"/>
      <c r="M296" s="154"/>
      <c r="N296" s="154"/>
      <c r="O296" s="154"/>
      <c r="P296" s="154"/>
      <c r="Q296" s="154"/>
      <c r="R296" s="154"/>
      <c r="S296" s="154"/>
      <c r="T296" s="154"/>
      <c r="U296" s="154"/>
      <c r="V296" s="154"/>
      <c r="W296" s="154"/>
      <c r="X296" s="154"/>
      <c r="Y296" s="154"/>
      <c r="Z296" s="154"/>
      <c r="AA296" s="154"/>
    </row>
    <row r="297">
      <c r="A297" s="154"/>
      <c r="B297" s="154"/>
      <c r="C297" s="154"/>
      <c r="D297" s="154"/>
      <c r="E297" s="154"/>
      <c r="F297" s="154"/>
      <c r="G297" s="55"/>
      <c r="H297" s="154"/>
      <c r="I297" s="154"/>
      <c r="J297" s="154"/>
      <c r="K297" s="154"/>
      <c r="L297" s="154"/>
      <c r="M297" s="154"/>
      <c r="N297" s="154"/>
      <c r="O297" s="154"/>
      <c r="P297" s="154"/>
      <c r="Q297" s="154"/>
      <c r="R297" s="154"/>
      <c r="S297" s="154"/>
      <c r="T297" s="154"/>
      <c r="U297" s="154"/>
      <c r="V297" s="154"/>
      <c r="W297" s="154"/>
      <c r="X297" s="154"/>
      <c r="Y297" s="154"/>
      <c r="Z297" s="154"/>
      <c r="AA297" s="154"/>
    </row>
    <row r="298">
      <c r="A298" s="154"/>
      <c r="B298" s="154"/>
      <c r="C298" s="154"/>
      <c r="D298" s="154"/>
      <c r="E298" s="154"/>
      <c r="F298" s="154"/>
      <c r="G298" s="55"/>
      <c r="H298" s="154"/>
      <c r="I298" s="154"/>
      <c r="J298" s="154"/>
      <c r="K298" s="154"/>
      <c r="L298" s="154"/>
      <c r="M298" s="154"/>
      <c r="N298" s="154"/>
      <c r="O298" s="154"/>
      <c r="P298" s="154"/>
      <c r="Q298" s="154"/>
      <c r="R298" s="154"/>
      <c r="S298" s="154"/>
      <c r="T298" s="154"/>
      <c r="U298" s="154"/>
      <c r="V298" s="154"/>
      <c r="W298" s="154"/>
      <c r="X298" s="154"/>
      <c r="Y298" s="154"/>
      <c r="Z298" s="154"/>
      <c r="AA298" s="154"/>
    </row>
    <row r="299">
      <c r="A299" s="154"/>
      <c r="B299" s="154"/>
      <c r="C299" s="154"/>
      <c r="D299" s="154"/>
      <c r="E299" s="154"/>
      <c r="F299" s="154"/>
      <c r="G299" s="55"/>
      <c r="H299" s="154"/>
      <c r="I299" s="154"/>
      <c r="J299" s="154"/>
      <c r="K299" s="154"/>
      <c r="L299" s="154"/>
      <c r="M299" s="154"/>
      <c r="N299" s="154"/>
      <c r="O299" s="154"/>
      <c r="P299" s="154"/>
      <c r="Q299" s="154"/>
      <c r="R299" s="154"/>
      <c r="S299" s="154"/>
      <c r="T299" s="154"/>
      <c r="U299" s="154"/>
      <c r="V299" s="154"/>
      <c r="W299" s="154"/>
      <c r="X299" s="154"/>
      <c r="Y299" s="154"/>
      <c r="Z299" s="154"/>
      <c r="AA299" s="154"/>
    </row>
    <row r="300">
      <c r="A300" s="154"/>
      <c r="B300" s="154"/>
      <c r="C300" s="154"/>
      <c r="D300" s="154"/>
      <c r="E300" s="154"/>
      <c r="F300" s="154"/>
      <c r="G300" s="55"/>
      <c r="H300" s="154"/>
      <c r="I300" s="154"/>
      <c r="J300" s="154"/>
      <c r="K300" s="154"/>
      <c r="L300" s="154"/>
      <c r="M300" s="154"/>
      <c r="N300" s="154"/>
      <c r="O300" s="154"/>
      <c r="P300" s="154"/>
      <c r="Q300" s="154"/>
      <c r="R300" s="154"/>
      <c r="S300" s="154"/>
      <c r="T300" s="154"/>
      <c r="U300" s="154"/>
      <c r="V300" s="154"/>
      <c r="W300" s="154"/>
      <c r="X300" s="154"/>
      <c r="Y300" s="154"/>
      <c r="Z300" s="154"/>
      <c r="AA300" s="154"/>
    </row>
    <row r="301">
      <c r="A301" s="154"/>
      <c r="B301" s="154"/>
      <c r="C301" s="154"/>
      <c r="D301" s="154"/>
      <c r="E301" s="154"/>
      <c r="F301" s="154"/>
      <c r="G301" s="55"/>
      <c r="H301" s="154"/>
      <c r="I301" s="154"/>
      <c r="J301" s="154"/>
      <c r="K301" s="154"/>
      <c r="L301" s="154"/>
      <c r="M301" s="154"/>
      <c r="N301" s="154"/>
      <c r="O301" s="154"/>
      <c r="P301" s="154"/>
      <c r="Q301" s="154"/>
      <c r="R301" s="154"/>
      <c r="S301" s="154"/>
      <c r="T301" s="154"/>
      <c r="U301" s="154"/>
      <c r="V301" s="154"/>
      <c r="W301" s="154"/>
      <c r="X301" s="154"/>
      <c r="Y301" s="154"/>
      <c r="Z301" s="154"/>
      <c r="AA301" s="154"/>
    </row>
    <row r="302">
      <c r="A302" s="154"/>
      <c r="B302" s="154"/>
      <c r="C302" s="154"/>
      <c r="D302" s="154"/>
      <c r="E302" s="154"/>
      <c r="F302" s="154"/>
      <c r="G302" s="55"/>
      <c r="H302" s="154"/>
      <c r="I302" s="154"/>
      <c r="J302" s="154"/>
      <c r="K302" s="154"/>
      <c r="L302" s="154"/>
      <c r="M302" s="154"/>
      <c r="N302" s="154"/>
      <c r="O302" s="154"/>
      <c r="P302" s="154"/>
      <c r="Q302" s="154"/>
      <c r="R302" s="154"/>
      <c r="S302" s="154"/>
      <c r="T302" s="154"/>
      <c r="U302" s="154"/>
      <c r="V302" s="154"/>
      <c r="W302" s="154"/>
      <c r="X302" s="154"/>
      <c r="Y302" s="154"/>
      <c r="Z302" s="154"/>
      <c r="AA302" s="154"/>
    </row>
    <row r="303">
      <c r="A303" s="154"/>
      <c r="B303" s="154"/>
      <c r="C303" s="154"/>
      <c r="D303" s="154"/>
      <c r="E303" s="154"/>
      <c r="F303" s="154"/>
      <c r="G303" s="55"/>
      <c r="H303" s="154"/>
      <c r="I303" s="154"/>
      <c r="J303" s="154"/>
      <c r="K303" s="154"/>
      <c r="L303" s="154"/>
      <c r="M303" s="154"/>
      <c r="N303" s="154"/>
      <c r="O303" s="154"/>
      <c r="P303" s="154"/>
      <c r="Q303" s="154"/>
      <c r="R303" s="154"/>
      <c r="S303" s="154"/>
      <c r="T303" s="154"/>
      <c r="U303" s="154"/>
      <c r="V303" s="154"/>
      <c r="W303" s="154"/>
      <c r="X303" s="154"/>
      <c r="Y303" s="154"/>
      <c r="Z303" s="154"/>
      <c r="AA303" s="154"/>
    </row>
    <row r="304">
      <c r="A304" s="154"/>
      <c r="B304" s="154"/>
      <c r="C304" s="154"/>
      <c r="D304" s="154"/>
      <c r="E304" s="154"/>
      <c r="F304" s="154"/>
      <c r="G304" s="55"/>
      <c r="H304" s="154"/>
      <c r="I304" s="154"/>
      <c r="J304" s="154"/>
      <c r="K304" s="154"/>
      <c r="L304" s="154"/>
      <c r="M304" s="154"/>
      <c r="N304" s="154"/>
      <c r="O304" s="154"/>
      <c r="P304" s="154"/>
      <c r="Q304" s="154"/>
      <c r="R304" s="154"/>
      <c r="S304" s="154"/>
      <c r="T304" s="154"/>
      <c r="U304" s="154"/>
      <c r="V304" s="154"/>
      <c r="W304" s="154"/>
      <c r="X304" s="154"/>
      <c r="Y304" s="154"/>
      <c r="Z304" s="154"/>
      <c r="AA304" s="154"/>
    </row>
    <row r="305">
      <c r="A305" s="154"/>
      <c r="B305" s="154"/>
      <c r="C305" s="154"/>
      <c r="D305" s="154"/>
      <c r="E305" s="154"/>
      <c r="F305" s="154"/>
      <c r="G305" s="55"/>
      <c r="H305" s="154"/>
      <c r="I305" s="154"/>
      <c r="J305" s="154"/>
      <c r="K305" s="154"/>
      <c r="L305" s="154"/>
      <c r="M305" s="154"/>
      <c r="N305" s="154"/>
      <c r="O305" s="154"/>
      <c r="P305" s="154"/>
      <c r="Q305" s="154"/>
      <c r="R305" s="154"/>
      <c r="S305" s="154"/>
      <c r="T305" s="154"/>
      <c r="U305" s="154"/>
      <c r="V305" s="154"/>
      <c r="W305" s="154"/>
      <c r="X305" s="154"/>
      <c r="Y305" s="154"/>
      <c r="Z305" s="154"/>
      <c r="AA305" s="154"/>
    </row>
    <row r="306">
      <c r="A306" s="154"/>
      <c r="B306" s="154"/>
      <c r="C306" s="154"/>
      <c r="D306" s="154"/>
      <c r="E306" s="154"/>
      <c r="F306" s="154"/>
      <c r="G306" s="55"/>
      <c r="H306" s="154"/>
      <c r="I306" s="154"/>
      <c r="J306" s="154"/>
      <c r="K306" s="154"/>
      <c r="L306" s="154"/>
      <c r="M306" s="154"/>
      <c r="N306" s="154"/>
      <c r="O306" s="154"/>
      <c r="P306" s="154"/>
      <c r="Q306" s="154"/>
      <c r="R306" s="154"/>
      <c r="S306" s="154"/>
      <c r="T306" s="154"/>
      <c r="U306" s="154"/>
      <c r="V306" s="154"/>
      <c r="W306" s="154"/>
      <c r="X306" s="154"/>
      <c r="Y306" s="154"/>
      <c r="Z306" s="154"/>
      <c r="AA306" s="154"/>
    </row>
    <row r="307">
      <c r="A307" s="154"/>
      <c r="B307" s="154"/>
      <c r="C307" s="154"/>
      <c r="D307" s="154"/>
      <c r="E307" s="154"/>
      <c r="F307" s="154"/>
      <c r="G307" s="55"/>
      <c r="H307" s="154"/>
      <c r="I307" s="154"/>
      <c r="J307" s="154"/>
      <c r="K307" s="154"/>
      <c r="L307" s="154"/>
      <c r="M307" s="154"/>
      <c r="N307" s="154"/>
      <c r="O307" s="154"/>
      <c r="P307" s="154"/>
      <c r="Q307" s="154"/>
      <c r="R307" s="154"/>
      <c r="S307" s="154"/>
      <c r="T307" s="154"/>
      <c r="U307" s="154"/>
      <c r="V307" s="154"/>
      <c r="W307" s="154"/>
      <c r="X307" s="154"/>
      <c r="Y307" s="154"/>
      <c r="Z307" s="154"/>
      <c r="AA307" s="154"/>
    </row>
    <row r="308">
      <c r="A308" s="154"/>
      <c r="B308" s="154"/>
      <c r="C308" s="154"/>
      <c r="D308" s="154"/>
      <c r="E308" s="154"/>
      <c r="F308" s="154"/>
      <c r="G308" s="55"/>
      <c r="H308" s="154"/>
      <c r="I308" s="154"/>
      <c r="J308" s="154"/>
      <c r="K308" s="154"/>
      <c r="L308" s="154"/>
      <c r="M308" s="154"/>
      <c r="N308" s="154"/>
      <c r="O308" s="154"/>
      <c r="P308" s="154"/>
      <c r="Q308" s="154"/>
      <c r="R308" s="154"/>
      <c r="S308" s="154"/>
      <c r="T308" s="154"/>
      <c r="U308" s="154"/>
      <c r="V308" s="154"/>
      <c r="W308" s="154"/>
      <c r="X308" s="154"/>
      <c r="Y308" s="154"/>
      <c r="Z308" s="154"/>
      <c r="AA308" s="154"/>
    </row>
    <row r="309">
      <c r="A309" s="154"/>
      <c r="B309" s="154"/>
      <c r="C309" s="154"/>
      <c r="D309" s="154"/>
      <c r="E309" s="154"/>
      <c r="F309" s="154"/>
      <c r="G309" s="55"/>
      <c r="H309" s="154"/>
      <c r="I309" s="154"/>
      <c r="J309" s="154"/>
      <c r="K309" s="154"/>
      <c r="L309" s="154"/>
      <c r="M309" s="154"/>
      <c r="N309" s="154"/>
      <c r="O309" s="154"/>
      <c r="P309" s="154"/>
      <c r="Q309" s="154"/>
      <c r="R309" s="154"/>
      <c r="S309" s="154"/>
      <c r="T309" s="154"/>
      <c r="U309" s="154"/>
      <c r="V309" s="154"/>
      <c r="W309" s="154"/>
      <c r="X309" s="154"/>
      <c r="Y309" s="154"/>
      <c r="Z309" s="154"/>
      <c r="AA309" s="154"/>
    </row>
    <row r="310">
      <c r="A310" s="154"/>
      <c r="B310" s="154"/>
      <c r="C310" s="154"/>
      <c r="D310" s="154"/>
      <c r="E310" s="154"/>
      <c r="F310" s="154"/>
      <c r="G310" s="55"/>
      <c r="H310" s="154"/>
      <c r="I310" s="154"/>
      <c r="J310" s="154"/>
      <c r="K310" s="154"/>
      <c r="L310" s="154"/>
      <c r="M310" s="154"/>
      <c r="N310" s="154"/>
      <c r="O310" s="154"/>
      <c r="P310" s="154"/>
      <c r="Q310" s="154"/>
      <c r="R310" s="154"/>
      <c r="S310" s="154"/>
      <c r="T310" s="154"/>
      <c r="U310" s="154"/>
      <c r="V310" s="154"/>
      <c r="W310" s="154"/>
      <c r="X310" s="154"/>
      <c r="Y310" s="154"/>
      <c r="Z310" s="154"/>
      <c r="AA310" s="154"/>
    </row>
    <row r="311">
      <c r="A311" s="154"/>
      <c r="B311" s="154"/>
      <c r="C311" s="154"/>
      <c r="D311" s="154"/>
      <c r="E311" s="154"/>
      <c r="F311" s="154"/>
      <c r="G311" s="55"/>
      <c r="H311" s="154"/>
      <c r="I311" s="154"/>
      <c r="J311" s="154"/>
      <c r="K311" s="154"/>
      <c r="L311" s="154"/>
      <c r="M311" s="154"/>
      <c r="N311" s="154"/>
      <c r="O311" s="154"/>
      <c r="P311" s="154"/>
      <c r="Q311" s="154"/>
      <c r="R311" s="154"/>
      <c r="S311" s="154"/>
      <c r="T311" s="154"/>
      <c r="U311" s="154"/>
      <c r="V311" s="154"/>
      <c r="W311" s="154"/>
      <c r="X311" s="154"/>
      <c r="Y311" s="154"/>
      <c r="Z311" s="154"/>
      <c r="AA311" s="154"/>
    </row>
    <row r="312">
      <c r="A312" s="154"/>
      <c r="B312" s="154"/>
      <c r="C312" s="154"/>
      <c r="D312" s="154"/>
      <c r="E312" s="154"/>
      <c r="F312" s="154"/>
      <c r="G312" s="55"/>
      <c r="H312" s="154"/>
      <c r="I312" s="154"/>
      <c r="J312" s="154"/>
      <c r="K312" s="154"/>
      <c r="L312" s="154"/>
      <c r="M312" s="154"/>
      <c r="N312" s="154"/>
      <c r="O312" s="154"/>
      <c r="P312" s="154"/>
      <c r="Q312" s="154"/>
      <c r="R312" s="154"/>
      <c r="S312" s="154"/>
      <c r="T312" s="154"/>
      <c r="U312" s="154"/>
      <c r="V312" s="154"/>
      <c r="W312" s="154"/>
      <c r="X312" s="154"/>
      <c r="Y312" s="154"/>
      <c r="Z312" s="154"/>
      <c r="AA312" s="154"/>
    </row>
    <row r="313">
      <c r="A313" s="154"/>
      <c r="B313" s="154"/>
      <c r="C313" s="154"/>
      <c r="D313" s="154"/>
      <c r="E313" s="154"/>
      <c r="F313" s="154"/>
      <c r="G313" s="55"/>
      <c r="H313" s="154"/>
      <c r="I313" s="154"/>
      <c r="J313" s="154"/>
      <c r="K313" s="154"/>
      <c r="L313" s="154"/>
      <c r="M313" s="154"/>
      <c r="N313" s="154"/>
      <c r="O313" s="154"/>
      <c r="P313" s="154"/>
      <c r="Q313" s="154"/>
      <c r="R313" s="154"/>
      <c r="S313" s="154"/>
      <c r="T313" s="154"/>
      <c r="U313" s="154"/>
      <c r="V313" s="154"/>
      <c r="W313" s="154"/>
      <c r="X313" s="154"/>
      <c r="Y313" s="154"/>
      <c r="Z313" s="154"/>
      <c r="AA313" s="154"/>
    </row>
    <row r="314">
      <c r="A314" s="154"/>
      <c r="B314" s="154"/>
      <c r="C314" s="154"/>
      <c r="D314" s="154"/>
      <c r="E314" s="154"/>
      <c r="F314" s="154"/>
      <c r="G314" s="55"/>
      <c r="H314" s="154"/>
      <c r="I314" s="154"/>
      <c r="J314" s="154"/>
      <c r="K314" s="154"/>
      <c r="L314" s="154"/>
      <c r="M314" s="154"/>
      <c r="N314" s="154"/>
      <c r="O314" s="154"/>
      <c r="P314" s="154"/>
      <c r="Q314" s="154"/>
      <c r="R314" s="154"/>
      <c r="S314" s="154"/>
      <c r="T314" s="154"/>
      <c r="U314" s="154"/>
      <c r="V314" s="154"/>
      <c r="W314" s="154"/>
      <c r="X314" s="154"/>
      <c r="Y314" s="154"/>
      <c r="Z314" s="154"/>
      <c r="AA314" s="154"/>
    </row>
    <row r="315">
      <c r="A315" s="154"/>
      <c r="B315" s="154"/>
      <c r="C315" s="154"/>
      <c r="D315" s="154"/>
      <c r="E315" s="154"/>
      <c r="F315" s="154"/>
      <c r="G315" s="55"/>
      <c r="H315" s="154"/>
      <c r="I315" s="154"/>
      <c r="J315" s="154"/>
      <c r="K315" s="154"/>
      <c r="L315" s="154"/>
      <c r="M315" s="154"/>
      <c r="N315" s="154"/>
      <c r="O315" s="154"/>
      <c r="P315" s="154"/>
      <c r="Q315" s="154"/>
      <c r="R315" s="154"/>
      <c r="S315" s="154"/>
      <c r="T315" s="154"/>
      <c r="U315" s="154"/>
      <c r="V315" s="154"/>
      <c r="W315" s="154"/>
      <c r="X315" s="154"/>
      <c r="Y315" s="154"/>
      <c r="Z315" s="154"/>
      <c r="AA315" s="154"/>
    </row>
    <row r="316">
      <c r="A316" s="154"/>
      <c r="B316" s="154"/>
      <c r="C316" s="154"/>
      <c r="D316" s="154"/>
      <c r="E316" s="154"/>
      <c r="F316" s="154"/>
      <c r="G316" s="55"/>
      <c r="H316" s="154"/>
      <c r="I316" s="154"/>
      <c r="J316" s="154"/>
      <c r="K316" s="154"/>
      <c r="L316" s="154"/>
      <c r="M316" s="154"/>
      <c r="N316" s="154"/>
      <c r="O316" s="154"/>
      <c r="P316" s="154"/>
      <c r="Q316" s="154"/>
      <c r="R316" s="154"/>
      <c r="S316" s="154"/>
      <c r="T316" s="154"/>
      <c r="U316" s="154"/>
      <c r="V316" s="154"/>
      <c r="W316" s="154"/>
      <c r="X316" s="154"/>
      <c r="Y316" s="154"/>
      <c r="Z316" s="154"/>
      <c r="AA316" s="154"/>
    </row>
    <row r="317">
      <c r="A317" s="154"/>
      <c r="B317" s="154"/>
      <c r="C317" s="154"/>
      <c r="D317" s="154"/>
      <c r="E317" s="154"/>
      <c r="F317" s="154"/>
      <c r="G317" s="55"/>
      <c r="H317" s="154"/>
      <c r="I317" s="154"/>
      <c r="J317" s="154"/>
      <c r="K317" s="154"/>
      <c r="L317" s="154"/>
      <c r="M317" s="154"/>
      <c r="N317" s="154"/>
      <c r="O317" s="154"/>
      <c r="P317" s="154"/>
      <c r="Q317" s="154"/>
      <c r="R317" s="154"/>
      <c r="S317" s="154"/>
      <c r="T317" s="154"/>
      <c r="U317" s="154"/>
      <c r="V317" s="154"/>
      <c r="W317" s="154"/>
      <c r="X317" s="154"/>
      <c r="Y317" s="154"/>
      <c r="Z317" s="154"/>
      <c r="AA317" s="154"/>
    </row>
    <row r="318">
      <c r="A318" s="154"/>
      <c r="B318" s="154"/>
      <c r="C318" s="154"/>
      <c r="D318" s="154"/>
      <c r="E318" s="154"/>
      <c r="F318" s="154"/>
      <c r="G318" s="55"/>
      <c r="H318" s="154"/>
      <c r="I318" s="154"/>
      <c r="J318" s="154"/>
      <c r="K318" s="154"/>
      <c r="L318" s="154"/>
      <c r="M318" s="154"/>
      <c r="N318" s="154"/>
      <c r="O318" s="154"/>
      <c r="P318" s="154"/>
      <c r="Q318" s="154"/>
      <c r="R318" s="154"/>
      <c r="S318" s="154"/>
      <c r="T318" s="154"/>
      <c r="U318" s="154"/>
      <c r="V318" s="154"/>
      <c r="W318" s="154"/>
      <c r="X318" s="154"/>
      <c r="Y318" s="154"/>
      <c r="Z318" s="154"/>
      <c r="AA318" s="154"/>
    </row>
    <row r="319">
      <c r="A319" s="154"/>
      <c r="B319" s="154"/>
      <c r="C319" s="154"/>
      <c r="D319" s="154"/>
      <c r="E319" s="154"/>
      <c r="F319" s="154"/>
      <c r="G319" s="55"/>
      <c r="H319" s="154"/>
      <c r="I319" s="154"/>
      <c r="J319" s="154"/>
      <c r="K319" s="154"/>
      <c r="L319" s="154"/>
      <c r="M319" s="154"/>
      <c r="N319" s="154"/>
      <c r="O319" s="154"/>
      <c r="P319" s="154"/>
      <c r="Q319" s="154"/>
      <c r="R319" s="154"/>
      <c r="S319" s="154"/>
      <c r="T319" s="154"/>
      <c r="U319" s="154"/>
      <c r="V319" s="154"/>
      <c r="W319" s="154"/>
      <c r="X319" s="154"/>
      <c r="Y319" s="154"/>
      <c r="Z319" s="154"/>
      <c r="AA319" s="154"/>
    </row>
    <row r="320">
      <c r="A320" s="154"/>
      <c r="B320" s="154"/>
      <c r="C320" s="154"/>
      <c r="D320" s="154"/>
      <c r="E320" s="154"/>
      <c r="F320" s="154"/>
      <c r="G320" s="55"/>
      <c r="H320" s="154"/>
      <c r="I320" s="154"/>
      <c r="J320" s="154"/>
      <c r="K320" s="154"/>
      <c r="L320" s="154"/>
      <c r="M320" s="154"/>
      <c r="N320" s="154"/>
      <c r="O320" s="154"/>
      <c r="P320" s="154"/>
      <c r="Q320" s="154"/>
      <c r="R320" s="154"/>
      <c r="S320" s="154"/>
      <c r="T320" s="154"/>
      <c r="U320" s="154"/>
      <c r="V320" s="154"/>
      <c r="W320" s="154"/>
      <c r="X320" s="154"/>
      <c r="Y320" s="154"/>
      <c r="Z320" s="154"/>
      <c r="AA320" s="154"/>
    </row>
    <row r="321">
      <c r="A321" s="154"/>
      <c r="B321" s="154"/>
      <c r="C321" s="154"/>
      <c r="D321" s="154"/>
      <c r="E321" s="154"/>
      <c r="F321" s="154"/>
      <c r="G321" s="55"/>
      <c r="H321" s="154"/>
      <c r="I321" s="154"/>
      <c r="J321" s="154"/>
      <c r="K321" s="154"/>
      <c r="L321" s="154"/>
      <c r="M321" s="154"/>
      <c r="N321" s="154"/>
      <c r="O321" s="154"/>
      <c r="P321" s="154"/>
      <c r="Q321" s="154"/>
      <c r="R321" s="154"/>
      <c r="S321" s="154"/>
      <c r="T321" s="154"/>
      <c r="U321" s="154"/>
      <c r="V321" s="154"/>
      <c r="W321" s="154"/>
      <c r="X321" s="154"/>
      <c r="Y321" s="154"/>
      <c r="Z321" s="154"/>
      <c r="AA321" s="154"/>
    </row>
    <row r="322">
      <c r="A322" s="154"/>
      <c r="B322" s="154"/>
      <c r="C322" s="154"/>
      <c r="D322" s="154"/>
      <c r="E322" s="154"/>
      <c r="F322" s="154"/>
      <c r="G322" s="55"/>
      <c r="H322" s="154"/>
      <c r="I322" s="154"/>
      <c r="J322" s="154"/>
      <c r="K322" s="154"/>
      <c r="L322" s="154"/>
      <c r="M322" s="154"/>
      <c r="N322" s="154"/>
      <c r="O322" s="154"/>
      <c r="P322" s="154"/>
      <c r="Q322" s="154"/>
      <c r="R322" s="154"/>
      <c r="S322" s="154"/>
      <c r="T322" s="154"/>
      <c r="U322" s="154"/>
      <c r="V322" s="154"/>
      <c r="W322" s="154"/>
      <c r="X322" s="154"/>
      <c r="Y322" s="154"/>
      <c r="Z322" s="154"/>
      <c r="AA322" s="154"/>
    </row>
    <row r="323">
      <c r="A323" s="154"/>
      <c r="B323" s="154"/>
      <c r="C323" s="154"/>
      <c r="D323" s="154"/>
      <c r="E323" s="154"/>
      <c r="F323" s="154"/>
      <c r="G323" s="55"/>
      <c r="H323" s="154"/>
      <c r="I323" s="154"/>
      <c r="J323" s="154"/>
      <c r="K323" s="154"/>
      <c r="L323" s="154"/>
      <c r="M323" s="154"/>
      <c r="N323" s="154"/>
      <c r="O323" s="154"/>
      <c r="P323" s="154"/>
      <c r="Q323" s="154"/>
      <c r="R323" s="154"/>
      <c r="S323" s="154"/>
      <c r="T323" s="154"/>
      <c r="U323" s="154"/>
      <c r="V323" s="154"/>
      <c r="W323" s="154"/>
      <c r="X323" s="154"/>
      <c r="Y323" s="154"/>
      <c r="Z323" s="154"/>
      <c r="AA323" s="154"/>
    </row>
    <row r="324">
      <c r="A324" s="154"/>
      <c r="B324" s="154"/>
      <c r="C324" s="154"/>
      <c r="D324" s="154"/>
      <c r="E324" s="154"/>
      <c r="F324" s="154"/>
      <c r="G324" s="55"/>
      <c r="H324" s="154"/>
      <c r="I324" s="154"/>
      <c r="J324" s="154"/>
      <c r="K324" s="154"/>
      <c r="L324" s="154"/>
      <c r="M324" s="154"/>
      <c r="N324" s="154"/>
      <c r="O324" s="154"/>
      <c r="P324" s="154"/>
      <c r="Q324" s="154"/>
      <c r="R324" s="154"/>
      <c r="S324" s="154"/>
      <c r="T324" s="154"/>
      <c r="U324" s="154"/>
      <c r="V324" s="154"/>
      <c r="W324" s="154"/>
      <c r="X324" s="154"/>
      <c r="Y324" s="154"/>
      <c r="Z324" s="154"/>
      <c r="AA324" s="154"/>
    </row>
    <row r="325">
      <c r="A325" s="154"/>
      <c r="B325" s="154"/>
      <c r="C325" s="154"/>
      <c r="D325" s="154"/>
      <c r="E325" s="154"/>
      <c r="F325" s="154"/>
      <c r="G325" s="55"/>
      <c r="H325" s="154"/>
      <c r="I325" s="154"/>
      <c r="J325" s="154"/>
      <c r="K325" s="154"/>
      <c r="L325" s="154"/>
      <c r="M325" s="154"/>
      <c r="N325" s="154"/>
      <c r="O325" s="154"/>
      <c r="P325" s="154"/>
      <c r="Q325" s="154"/>
      <c r="R325" s="154"/>
      <c r="S325" s="154"/>
      <c r="T325" s="154"/>
      <c r="U325" s="154"/>
      <c r="V325" s="154"/>
      <c r="W325" s="154"/>
      <c r="X325" s="154"/>
      <c r="Y325" s="154"/>
      <c r="Z325" s="154"/>
      <c r="AA325" s="154"/>
    </row>
    <row r="326">
      <c r="A326" s="154"/>
      <c r="B326" s="154"/>
      <c r="C326" s="154"/>
      <c r="D326" s="154"/>
      <c r="E326" s="154"/>
      <c r="F326" s="154"/>
      <c r="G326" s="55"/>
      <c r="H326" s="154"/>
      <c r="I326" s="154"/>
      <c r="J326" s="154"/>
      <c r="K326" s="154"/>
      <c r="L326" s="154"/>
      <c r="M326" s="154"/>
      <c r="N326" s="154"/>
      <c r="O326" s="154"/>
      <c r="P326" s="154"/>
      <c r="Q326" s="154"/>
      <c r="R326" s="154"/>
      <c r="S326" s="154"/>
      <c r="T326" s="154"/>
      <c r="U326" s="154"/>
      <c r="V326" s="154"/>
      <c r="W326" s="154"/>
      <c r="X326" s="154"/>
      <c r="Y326" s="154"/>
      <c r="Z326" s="154"/>
      <c r="AA326" s="154"/>
    </row>
    <row r="327">
      <c r="A327" s="154"/>
      <c r="B327" s="154"/>
      <c r="C327" s="154"/>
      <c r="D327" s="154"/>
      <c r="E327" s="154"/>
      <c r="F327" s="154"/>
      <c r="G327" s="55"/>
      <c r="H327" s="154"/>
      <c r="I327" s="154"/>
      <c r="J327" s="154"/>
      <c r="K327" s="154"/>
      <c r="L327" s="154"/>
      <c r="M327" s="154"/>
      <c r="N327" s="154"/>
      <c r="O327" s="154"/>
      <c r="P327" s="154"/>
      <c r="Q327" s="154"/>
      <c r="R327" s="154"/>
      <c r="S327" s="154"/>
      <c r="T327" s="154"/>
      <c r="U327" s="154"/>
      <c r="V327" s="154"/>
      <c r="W327" s="154"/>
      <c r="X327" s="154"/>
      <c r="Y327" s="154"/>
      <c r="Z327" s="154"/>
      <c r="AA327" s="154"/>
    </row>
    <row r="328">
      <c r="A328" s="154"/>
      <c r="B328" s="154"/>
      <c r="C328" s="154"/>
      <c r="D328" s="154"/>
      <c r="E328" s="154"/>
      <c r="F328" s="154"/>
      <c r="G328" s="55"/>
      <c r="H328" s="154"/>
      <c r="I328" s="154"/>
      <c r="J328" s="154"/>
      <c r="K328" s="154"/>
      <c r="L328" s="154"/>
      <c r="M328" s="154"/>
      <c r="N328" s="154"/>
      <c r="O328" s="154"/>
      <c r="P328" s="154"/>
      <c r="Q328" s="154"/>
      <c r="R328" s="154"/>
      <c r="S328" s="154"/>
      <c r="T328" s="154"/>
      <c r="U328" s="154"/>
      <c r="V328" s="154"/>
      <c r="W328" s="154"/>
      <c r="X328" s="154"/>
      <c r="Y328" s="154"/>
      <c r="Z328" s="154"/>
      <c r="AA328" s="154"/>
    </row>
    <row r="329">
      <c r="A329" s="154"/>
      <c r="B329" s="154"/>
      <c r="C329" s="154"/>
      <c r="D329" s="154"/>
      <c r="E329" s="154"/>
      <c r="F329" s="154"/>
      <c r="G329" s="55"/>
      <c r="H329" s="154"/>
      <c r="I329" s="154"/>
      <c r="J329" s="154"/>
      <c r="K329" s="154"/>
      <c r="L329" s="154"/>
      <c r="M329" s="154"/>
      <c r="N329" s="154"/>
      <c r="O329" s="154"/>
      <c r="P329" s="154"/>
      <c r="Q329" s="154"/>
      <c r="R329" s="154"/>
      <c r="S329" s="154"/>
      <c r="T329" s="154"/>
      <c r="U329" s="154"/>
      <c r="V329" s="154"/>
      <c r="W329" s="154"/>
      <c r="X329" s="154"/>
      <c r="Y329" s="154"/>
      <c r="Z329" s="154"/>
      <c r="AA329" s="154"/>
    </row>
    <row r="330">
      <c r="A330" s="154"/>
      <c r="B330" s="154"/>
      <c r="C330" s="154"/>
      <c r="D330" s="154"/>
      <c r="E330" s="154"/>
      <c r="F330" s="154"/>
      <c r="G330" s="55"/>
      <c r="H330" s="154"/>
      <c r="I330" s="154"/>
      <c r="J330" s="154"/>
      <c r="K330" s="154"/>
      <c r="L330" s="154"/>
      <c r="M330" s="154"/>
      <c r="N330" s="154"/>
      <c r="O330" s="154"/>
      <c r="P330" s="154"/>
      <c r="Q330" s="154"/>
      <c r="R330" s="154"/>
      <c r="S330" s="154"/>
      <c r="T330" s="154"/>
      <c r="U330" s="154"/>
      <c r="V330" s="154"/>
      <c r="W330" s="154"/>
      <c r="X330" s="154"/>
      <c r="Y330" s="154"/>
      <c r="Z330" s="154"/>
      <c r="AA330" s="154"/>
    </row>
    <row r="331">
      <c r="A331" s="154"/>
      <c r="B331" s="154"/>
      <c r="C331" s="154"/>
      <c r="D331" s="154"/>
      <c r="E331" s="154"/>
      <c r="F331" s="154"/>
      <c r="G331" s="55"/>
      <c r="H331" s="154"/>
      <c r="I331" s="154"/>
      <c r="J331" s="154"/>
      <c r="K331" s="154"/>
      <c r="L331" s="154"/>
      <c r="M331" s="154"/>
      <c r="N331" s="154"/>
      <c r="O331" s="154"/>
      <c r="P331" s="154"/>
      <c r="Q331" s="154"/>
      <c r="R331" s="154"/>
      <c r="S331" s="154"/>
      <c r="T331" s="154"/>
      <c r="U331" s="154"/>
      <c r="V331" s="154"/>
      <c r="W331" s="154"/>
      <c r="X331" s="154"/>
      <c r="Y331" s="154"/>
      <c r="Z331" s="154"/>
      <c r="AA331" s="154"/>
    </row>
    <row r="332">
      <c r="A332" s="154"/>
      <c r="B332" s="154"/>
      <c r="C332" s="154"/>
      <c r="D332" s="154"/>
      <c r="E332" s="154"/>
      <c r="F332" s="154"/>
      <c r="G332" s="55"/>
      <c r="H332" s="154"/>
      <c r="I332" s="154"/>
      <c r="J332" s="154"/>
      <c r="K332" s="154"/>
      <c r="L332" s="154"/>
      <c r="M332" s="154"/>
      <c r="N332" s="154"/>
      <c r="O332" s="154"/>
      <c r="P332" s="154"/>
      <c r="Q332" s="154"/>
      <c r="R332" s="154"/>
      <c r="S332" s="154"/>
      <c r="T332" s="154"/>
      <c r="U332" s="154"/>
      <c r="V332" s="154"/>
      <c r="W332" s="154"/>
      <c r="X332" s="154"/>
      <c r="Y332" s="154"/>
      <c r="Z332" s="154"/>
      <c r="AA332" s="154"/>
    </row>
    <row r="333">
      <c r="A333" s="154"/>
      <c r="B333" s="154"/>
      <c r="C333" s="154"/>
      <c r="D333" s="154"/>
      <c r="E333" s="154"/>
      <c r="F333" s="154"/>
      <c r="G333" s="55"/>
      <c r="H333" s="154"/>
      <c r="I333" s="154"/>
      <c r="J333" s="154"/>
      <c r="K333" s="154"/>
      <c r="L333" s="154"/>
      <c r="M333" s="154"/>
      <c r="N333" s="154"/>
      <c r="O333" s="154"/>
      <c r="P333" s="154"/>
      <c r="Q333" s="154"/>
      <c r="R333" s="154"/>
      <c r="S333" s="154"/>
      <c r="T333" s="154"/>
      <c r="U333" s="154"/>
      <c r="V333" s="154"/>
      <c r="W333" s="154"/>
      <c r="X333" s="154"/>
      <c r="Y333" s="154"/>
      <c r="Z333" s="154"/>
      <c r="AA333" s="154"/>
    </row>
    <row r="334">
      <c r="A334" s="154"/>
      <c r="B334" s="154"/>
      <c r="C334" s="154"/>
      <c r="D334" s="154"/>
      <c r="E334" s="154"/>
      <c r="F334" s="154"/>
      <c r="G334" s="55"/>
      <c r="H334" s="154"/>
      <c r="I334" s="154"/>
      <c r="J334" s="154"/>
      <c r="K334" s="154"/>
      <c r="L334" s="154"/>
      <c r="M334" s="154"/>
      <c r="N334" s="154"/>
      <c r="O334" s="154"/>
      <c r="P334" s="154"/>
      <c r="Q334" s="154"/>
      <c r="R334" s="154"/>
      <c r="S334" s="154"/>
      <c r="T334" s="154"/>
      <c r="U334" s="154"/>
      <c r="V334" s="154"/>
      <c r="W334" s="154"/>
      <c r="X334" s="154"/>
      <c r="Y334" s="154"/>
      <c r="Z334" s="154"/>
      <c r="AA334" s="154"/>
    </row>
    <row r="335">
      <c r="A335" s="154"/>
      <c r="B335" s="154"/>
      <c r="C335" s="154"/>
      <c r="D335" s="154"/>
      <c r="E335" s="154"/>
      <c r="F335" s="154"/>
      <c r="G335" s="55"/>
      <c r="H335" s="154"/>
      <c r="I335" s="154"/>
      <c r="J335" s="154"/>
      <c r="K335" s="154"/>
      <c r="L335" s="154"/>
      <c r="M335" s="154"/>
      <c r="N335" s="154"/>
      <c r="O335" s="154"/>
      <c r="P335" s="154"/>
      <c r="Q335" s="154"/>
      <c r="R335" s="154"/>
      <c r="S335" s="154"/>
      <c r="T335" s="154"/>
      <c r="U335" s="154"/>
      <c r="V335" s="154"/>
      <c r="W335" s="154"/>
      <c r="X335" s="154"/>
      <c r="Y335" s="154"/>
      <c r="Z335" s="154"/>
      <c r="AA335" s="154"/>
    </row>
    <row r="336">
      <c r="A336" s="154"/>
      <c r="B336" s="154"/>
      <c r="C336" s="154"/>
      <c r="D336" s="154"/>
      <c r="E336" s="154"/>
      <c r="F336" s="154"/>
      <c r="G336" s="55"/>
      <c r="H336" s="154"/>
      <c r="I336" s="154"/>
      <c r="J336" s="154"/>
      <c r="K336" s="154"/>
      <c r="L336" s="154"/>
      <c r="M336" s="154"/>
      <c r="N336" s="154"/>
      <c r="O336" s="154"/>
      <c r="P336" s="154"/>
      <c r="Q336" s="154"/>
      <c r="R336" s="154"/>
      <c r="S336" s="154"/>
      <c r="T336" s="154"/>
      <c r="U336" s="154"/>
      <c r="V336" s="154"/>
      <c r="W336" s="154"/>
      <c r="X336" s="154"/>
      <c r="Y336" s="154"/>
      <c r="Z336" s="154"/>
      <c r="AA336" s="154"/>
    </row>
    <row r="337">
      <c r="A337" s="154"/>
      <c r="B337" s="154"/>
      <c r="C337" s="154"/>
      <c r="D337" s="154"/>
      <c r="E337" s="154"/>
      <c r="F337" s="154"/>
      <c r="G337" s="55"/>
      <c r="H337" s="154"/>
      <c r="I337" s="154"/>
      <c r="J337" s="154"/>
      <c r="K337" s="154"/>
      <c r="L337" s="154"/>
      <c r="M337" s="154"/>
      <c r="N337" s="154"/>
      <c r="O337" s="154"/>
      <c r="P337" s="154"/>
      <c r="Q337" s="154"/>
      <c r="R337" s="154"/>
      <c r="S337" s="154"/>
      <c r="T337" s="154"/>
      <c r="U337" s="154"/>
      <c r="V337" s="154"/>
      <c r="W337" s="154"/>
      <c r="X337" s="154"/>
      <c r="Y337" s="154"/>
      <c r="Z337" s="154"/>
      <c r="AA337" s="154"/>
    </row>
    <row r="338">
      <c r="A338" s="154"/>
      <c r="B338" s="154"/>
      <c r="C338" s="154"/>
      <c r="D338" s="154"/>
      <c r="E338" s="154"/>
      <c r="F338" s="154"/>
      <c r="G338" s="55"/>
      <c r="H338" s="154"/>
      <c r="I338" s="154"/>
      <c r="J338" s="154"/>
      <c r="K338" s="154"/>
      <c r="L338" s="154"/>
      <c r="M338" s="154"/>
      <c r="N338" s="154"/>
      <c r="O338" s="154"/>
      <c r="P338" s="154"/>
      <c r="Q338" s="154"/>
      <c r="R338" s="154"/>
      <c r="S338" s="154"/>
      <c r="T338" s="154"/>
      <c r="U338" s="154"/>
      <c r="V338" s="154"/>
      <c r="W338" s="154"/>
      <c r="X338" s="154"/>
      <c r="Y338" s="154"/>
      <c r="Z338" s="154"/>
      <c r="AA338" s="154"/>
    </row>
    <row r="339">
      <c r="A339" s="154"/>
      <c r="B339" s="154"/>
      <c r="C339" s="154"/>
      <c r="D339" s="154"/>
      <c r="E339" s="154"/>
      <c r="F339" s="154"/>
      <c r="G339" s="55"/>
      <c r="H339" s="154"/>
      <c r="I339" s="154"/>
      <c r="J339" s="154"/>
      <c r="K339" s="154"/>
      <c r="L339" s="154"/>
      <c r="M339" s="154"/>
      <c r="N339" s="154"/>
      <c r="O339" s="154"/>
      <c r="P339" s="154"/>
      <c r="Q339" s="154"/>
      <c r="R339" s="154"/>
      <c r="S339" s="154"/>
      <c r="T339" s="154"/>
      <c r="U339" s="154"/>
      <c r="V339" s="154"/>
      <c r="W339" s="154"/>
      <c r="X339" s="154"/>
      <c r="Y339" s="154"/>
      <c r="Z339" s="154"/>
      <c r="AA339" s="154"/>
    </row>
    <row r="340">
      <c r="A340" s="154"/>
      <c r="B340" s="154"/>
      <c r="C340" s="154"/>
      <c r="D340" s="154"/>
      <c r="E340" s="154"/>
      <c r="F340" s="154"/>
      <c r="G340" s="55"/>
      <c r="H340" s="154"/>
      <c r="I340" s="154"/>
      <c r="J340" s="154"/>
      <c r="K340" s="154"/>
      <c r="L340" s="154"/>
      <c r="M340" s="154"/>
      <c r="N340" s="154"/>
      <c r="O340" s="154"/>
      <c r="P340" s="154"/>
      <c r="Q340" s="154"/>
      <c r="R340" s="154"/>
      <c r="S340" s="154"/>
      <c r="T340" s="154"/>
      <c r="U340" s="154"/>
      <c r="V340" s="154"/>
      <c r="W340" s="154"/>
      <c r="X340" s="154"/>
      <c r="Y340" s="154"/>
      <c r="Z340" s="154"/>
      <c r="AA340" s="154"/>
    </row>
    <row r="341">
      <c r="A341" s="154"/>
      <c r="B341" s="154"/>
      <c r="C341" s="154"/>
      <c r="D341" s="154"/>
      <c r="E341" s="154"/>
      <c r="F341" s="154"/>
      <c r="G341" s="55"/>
      <c r="H341" s="154"/>
      <c r="I341" s="154"/>
      <c r="J341" s="154"/>
      <c r="K341" s="154"/>
      <c r="L341" s="154"/>
      <c r="M341" s="154"/>
      <c r="N341" s="154"/>
      <c r="O341" s="154"/>
      <c r="P341" s="154"/>
      <c r="Q341" s="154"/>
      <c r="R341" s="154"/>
      <c r="S341" s="154"/>
      <c r="T341" s="154"/>
      <c r="U341" s="154"/>
      <c r="V341" s="154"/>
      <c r="W341" s="154"/>
      <c r="X341" s="154"/>
      <c r="Y341" s="154"/>
      <c r="Z341" s="154"/>
      <c r="AA341" s="154"/>
    </row>
    <row r="342">
      <c r="A342" s="154"/>
      <c r="B342" s="154"/>
      <c r="C342" s="154"/>
      <c r="D342" s="154"/>
      <c r="E342" s="154"/>
      <c r="F342" s="154"/>
      <c r="G342" s="55"/>
      <c r="H342" s="154"/>
      <c r="I342" s="154"/>
      <c r="J342" s="154"/>
      <c r="K342" s="154"/>
      <c r="L342" s="154"/>
      <c r="M342" s="154"/>
      <c r="N342" s="154"/>
      <c r="O342" s="154"/>
      <c r="P342" s="154"/>
      <c r="Q342" s="154"/>
      <c r="R342" s="154"/>
      <c r="S342" s="154"/>
      <c r="T342" s="154"/>
      <c r="U342" s="154"/>
      <c r="V342" s="154"/>
      <c r="W342" s="154"/>
      <c r="X342" s="154"/>
      <c r="Y342" s="154"/>
      <c r="Z342" s="154"/>
      <c r="AA342" s="154"/>
    </row>
    <row r="343">
      <c r="A343" s="154"/>
      <c r="B343" s="154"/>
      <c r="C343" s="154"/>
      <c r="D343" s="154"/>
      <c r="E343" s="154"/>
      <c r="F343" s="154"/>
      <c r="G343" s="55"/>
      <c r="H343" s="154"/>
      <c r="I343" s="154"/>
      <c r="J343" s="154"/>
      <c r="K343" s="154"/>
      <c r="L343" s="154"/>
      <c r="M343" s="154"/>
      <c r="N343" s="154"/>
      <c r="O343" s="154"/>
      <c r="P343" s="154"/>
      <c r="Q343" s="154"/>
      <c r="R343" s="154"/>
      <c r="S343" s="154"/>
      <c r="T343" s="154"/>
      <c r="U343" s="154"/>
      <c r="V343" s="154"/>
      <c r="W343" s="154"/>
      <c r="X343" s="154"/>
      <c r="Y343" s="154"/>
      <c r="Z343" s="154"/>
      <c r="AA343" s="154"/>
    </row>
    <row r="344">
      <c r="A344" s="154"/>
      <c r="B344" s="154"/>
      <c r="C344" s="154"/>
      <c r="D344" s="154"/>
      <c r="E344" s="154"/>
      <c r="F344" s="154"/>
      <c r="G344" s="55"/>
      <c r="H344" s="154"/>
      <c r="I344" s="154"/>
      <c r="J344" s="154"/>
      <c r="K344" s="154"/>
      <c r="L344" s="154"/>
      <c r="M344" s="154"/>
      <c r="N344" s="154"/>
      <c r="O344" s="154"/>
      <c r="P344" s="154"/>
      <c r="Q344" s="154"/>
      <c r="R344" s="154"/>
      <c r="S344" s="154"/>
      <c r="T344" s="154"/>
      <c r="U344" s="154"/>
      <c r="V344" s="154"/>
      <c r="W344" s="154"/>
      <c r="X344" s="154"/>
      <c r="Y344" s="154"/>
      <c r="Z344" s="154"/>
      <c r="AA344" s="154"/>
    </row>
    <row r="345">
      <c r="A345" s="154"/>
      <c r="B345" s="154"/>
      <c r="C345" s="154"/>
      <c r="D345" s="154"/>
      <c r="E345" s="154"/>
      <c r="F345" s="154"/>
      <c r="G345" s="55"/>
      <c r="H345" s="154"/>
      <c r="I345" s="154"/>
      <c r="J345" s="154"/>
      <c r="K345" s="154"/>
      <c r="L345" s="154"/>
      <c r="M345" s="154"/>
      <c r="N345" s="154"/>
      <c r="O345" s="154"/>
      <c r="P345" s="154"/>
      <c r="Q345" s="154"/>
      <c r="R345" s="154"/>
      <c r="S345" s="154"/>
      <c r="T345" s="154"/>
      <c r="U345" s="154"/>
      <c r="V345" s="154"/>
      <c r="W345" s="154"/>
      <c r="X345" s="154"/>
      <c r="Y345" s="154"/>
      <c r="Z345" s="154"/>
      <c r="AA345" s="154"/>
    </row>
    <row r="346">
      <c r="A346" s="154"/>
      <c r="B346" s="154"/>
      <c r="C346" s="154"/>
      <c r="D346" s="154"/>
      <c r="E346" s="154"/>
      <c r="F346" s="154"/>
      <c r="G346" s="55"/>
      <c r="H346" s="154"/>
      <c r="I346" s="154"/>
      <c r="J346" s="154"/>
      <c r="K346" s="154"/>
      <c r="L346" s="154"/>
      <c r="M346" s="154"/>
      <c r="N346" s="154"/>
      <c r="O346" s="154"/>
      <c r="P346" s="154"/>
      <c r="Q346" s="154"/>
      <c r="R346" s="154"/>
      <c r="S346" s="154"/>
      <c r="T346" s="154"/>
      <c r="U346" s="154"/>
      <c r="V346" s="154"/>
      <c r="W346" s="154"/>
      <c r="X346" s="154"/>
      <c r="Y346" s="154"/>
      <c r="Z346" s="154"/>
      <c r="AA346" s="154"/>
    </row>
    <row r="347">
      <c r="A347" s="154"/>
      <c r="B347" s="154"/>
      <c r="C347" s="154"/>
      <c r="D347" s="154"/>
      <c r="E347" s="154"/>
      <c r="F347" s="154"/>
      <c r="G347" s="55"/>
      <c r="H347" s="154"/>
      <c r="I347" s="154"/>
      <c r="J347" s="154"/>
      <c r="K347" s="154"/>
      <c r="L347" s="154"/>
      <c r="M347" s="154"/>
      <c r="N347" s="154"/>
      <c r="O347" s="154"/>
      <c r="P347" s="154"/>
      <c r="Q347" s="154"/>
      <c r="R347" s="154"/>
      <c r="S347" s="154"/>
      <c r="T347" s="154"/>
      <c r="U347" s="154"/>
      <c r="V347" s="154"/>
      <c r="W347" s="154"/>
      <c r="X347" s="154"/>
      <c r="Y347" s="154"/>
      <c r="Z347" s="154"/>
      <c r="AA347" s="154"/>
    </row>
    <row r="348">
      <c r="A348" s="154"/>
      <c r="B348" s="154"/>
      <c r="C348" s="154"/>
      <c r="D348" s="154"/>
      <c r="E348" s="154"/>
      <c r="F348" s="154"/>
      <c r="G348" s="55"/>
      <c r="H348" s="154"/>
      <c r="I348" s="154"/>
      <c r="J348" s="154"/>
      <c r="K348" s="154"/>
      <c r="L348" s="154"/>
      <c r="M348" s="154"/>
      <c r="N348" s="154"/>
      <c r="O348" s="154"/>
      <c r="P348" s="154"/>
      <c r="Q348" s="154"/>
      <c r="R348" s="154"/>
      <c r="S348" s="154"/>
      <c r="T348" s="154"/>
      <c r="U348" s="154"/>
      <c r="V348" s="154"/>
      <c r="W348" s="154"/>
      <c r="X348" s="154"/>
      <c r="Y348" s="154"/>
      <c r="Z348" s="154"/>
      <c r="AA348" s="154"/>
    </row>
    <row r="349">
      <c r="A349" s="154"/>
      <c r="B349" s="154"/>
      <c r="C349" s="154"/>
      <c r="D349" s="154"/>
      <c r="E349" s="154"/>
      <c r="F349" s="154"/>
      <c r="G349" s="55"/>
      <c r="H349" s="154"/>
      <c r="I349" s="154"/>
      <c r="J349" s="154"/>
      <c r="K349" s="154"/>
      <c r="L349" s="154"/>
      <c r="M349" s="154"/>
      <c r="N349" s="154"/>
      <c r="O349" s="154"/>
      <c r="P349" s="154"/>
      <c r="Q349" s="154"/>
      <c r="R349" s="154"/>
      <c r="S349" s="154"/>
      <c r="T349" s="154"/>
      <c r="U349" s="154"/>
      <c r="V349" s="154"/>
      <c r="W349" s="154"/>
      <c r="X349" s="154"/>
      <c r="Y349" s="154"/>
      <c r="Z349" s="154"/>
      <c r="AA349" s="154"/>
    </row>
    <row r="350">
      <c r="A350" s="154"/>
      <c r="B350" s="154"/>
      <c r="C350" s="154"/>
      <c r="D350" s="154"/>
      <c r="E350" s="154"/>
      <c r="F350" s="154"/>
      <c r="G350" s="55"/>
      <c r="H350" s="154"/>
      <c r="I350" s="154"/>
      <c r="J350" s="154"/>
      <c r="K350" s="154"/>
      <c r="L350" s="154"/>
      <c r="M350" s="154"/>
      <c r="N350" s="154"/>
      <c r="O350" s="154"/>
      <c r="P350" s="154"/>
      <c r="Q350" s="154"/>
      <c r="R350" s="154"/>
      <c r="S350" s="154"/>
      <c r="T350" s="154"/>
      <c r="U350" s="154"/>
      <c r="V350" s="154"/>
      <c r="W350" s="154"/>
      <c r="X350" s="154"/>
      <c r="Y350" s="154"/>
      <c r="Z350" s="154"/>
      <c r="AA350" s="154"/>
    </row>
    <row r="351">
      <c r="A351" s="154"/>
      <c r="B351" s="154"/>
      <c r="C351" s="154"/>
      <c r="D351" s="154"/>
      <c r="E351" s="154"/>
      <c r="F351" s="154"/>
      <c r="G351" s="55"/>
      <c r="H351" s="154"/>
      <c r="I351" s="154"/>
      <c r="J351" s="154"/>
      <c r="K351" s="154"/>
      <c r="L351" s="154"/>
      <c r="M351" s="154"/>
      <c r="N351" s="154"/>
      <c r="O351" s="154"/>
      <c r="P351" s="154"/>
      <c r="Q351" s="154"/>
      <c r="R351" s="154"/>
      <c r="S351" s="154"/>
      <c r="T351" s="154"/>
      <c r="U351" s="154"/>
      <c r="V351" s="154"/>
      <c r="W351" s="154"/>
      <c r="X351" s="154"/>
      <c r="Y351" s="154"/>
      <c r="Z351" s="154"/>
      <c r="AA351" s="154"/>
    </row>
    <row r="352">
      <c r="A352" s="154"/>
      <c r="B352" s="154"/>
      <c r="C352" s="154"/>
      <c r="D352" s="154"/>
      <c r="E352" s="154"/>
      <c r="F352" s="154"/>
      <c r="G352" s="55"/>
      <c r="H352" s="154"/>
      <c r="I352" s="154"/>
      <c r="J352" s="154"/>
      <c r="K352" s="154"/>
      <c r="L352" s="154"/>
      <c r="M352" s="154"/>
      <c r="N352" s="154"/>
      <c r="O352" s="154"/>
      <c r="P352" s="154"/>
      <c r="Q352" s="154"/>
      <c r="R352" s="154"/>
      <c r="S352" s="154"/>
      <c r="T352" s="154"/>
      <c r="U352" s="154"/>
      <c r="V352" s="154"/>
      <c r="W352" s="154"/>
      <c r="X352" s="154"/>
      <c r="Y352" s="154"/>
      <c r="Z352" s="154"/>
      <c r="AA352" s="154"/>
    </row>
    <row r="353">
      <c r="A353" s="154"/>
      <c r="B353" s="154"/>
      <c r="C353" s="154"/>
      <c r="D353" s="154"/>
      <c r="E353" s="154"/>
      <c r="F353" s="154"/>
      <c r="G353" s="55"/>
      <c r="H353" s="154"/>
      <c r="I353" s="154"/>
      <c r="J353" s="154"/>
      <c r="K353" s="154"/>
      <c r="L353" s="154"/>
      <c r="M353" s="154"/>
      <c r="N353" s="154"/>
      <c r="O353" s="154"/>
      <c r="P353" s="154"/>
      <c r="Q353" s="154"/>
      <c r="R353" s="154"/>
      <c r="S353" s="154"/>
      <c r="T353" s="154"/>
      <c r="U353" s="154"/>
      <c r="V353" s="154"/>
      <c r="W353" s="154"/>
      <c r="X353" s="154"/>
      <c r="Y353" s="154"/>
      <c r="Z353" s="154"/>
      <c r="AA353" s="154"/>
    </row>
    <row r="354">
      <c r="A354" s="154"/>
      <c r="B354" s="154"/>
      <c r="C354" s="154"/>
      <c r="D354" s="154"/>
      <c r="E354" s="154"/>
      <c r="F354" s="154"/>
      <c r="G354" s="55"/>
      <c r="H354" s="154"/>
      <c r="I354" s="154"/>
      <c r="J354" s="154"/>
      <c r="K354" s="154"/>
      <c r="L354" s="154"/>
      <c r="M354" s="154"/>
      <c r="N354" s="154"/>
      <c r="O354" s="154"/>
      <c r="P354" s="154"/>
      <c r="Q354" s="154"/>
      <c r="R354" s="154"/>
      <c r="S354" s="154"/>
      <c r="T354" s="154"/>
      <c r="U354" s="154"/>
      <c r="V354" s="154"/>
      <c r="W354" s="154"/>
      <c r="X354" s="154"/>
      <c r="Y354" s="154"/>
      <c r="Z354" s="154"/>
      <c r="AA354" s="154"/>
    </row>
    <row r="355">
      <c r="A355" s="154"/>
      <c r="B355" s="154"/>
      <c r="C355" s="154"/>
      <c r="D355" s="154"/>
      <c r="E355" s="154"/>
      <c r="F355" s="154"/>
      <c r="G355" s="55"/>
      <c r="H355" s="154"/>
      <c r="I355" s="154"/>
      <c r="J355" s="154"/>
      <c r="K355" s="154"/>
      <c r="L355" s="154"/>
      <c r="M355" s="154"/>
      <c r="N355" s="154"/>
      <c r="O355" s="154"/>
      <c r="P355" s="154"/>
      <c r="Q355" s="154"/>
      <c r="R355" s="154"/>
      <c r="S355" s="154"/>
      <c r="T355" s="154"/>
      <c r="U355" s="154"/>
      <c r="V355" s="154"/>
      <c r="W355" s="154"/>
      <c r="X355" s="154"/>
      <c r="Y355" s="154"/>
      <c r="Z355" s="154"/>
      <c r="AA355" s="154"/>
    </row>
    <row r="356">
      <c r="A356" s="154"/>
      <c r="B356" s="154"/>
      <c r="C356" s="154"/>
      <c r="D356" s="154"/>
      <c r="E356" s="154"/>
      <c r="F356" s="154"/>
      <c r="G356" s="55"/>
      <c r="H356" s="154"/>
      <c r="I356" s="154"/>
      <c r="J356" s="154"/>
      <c r="K356" s="154"/>
      <c r="L356" s="154"/>
      <c r="M356" s="154"/>
      <c r="N356" s="154"/>
      <c r="O356" s="154"/>
      <c r="P356" s="154"/>
      <c r="Q356" s="154"/>
      <c r="R356" s="154"/>
      <c r="S356" s="154"/>
      <c r="T356" s="154"/>
      <c r="U356" s="154"/>
      <c r="V356" s="154"/>
      <c r="W356" s="154"/>
      <c r="X356" s="154"/>
      <c r="Y356" s="154"/>
      <c r="Z356" s="154"/>
      <c r="AA356" s="154"/>
    </row>
    <row r="357">
      <c r="A357" s="154"/>
      <c r="B357" s="154"/>
      <c r="C357" s="154"/>
      <c r="D357" s="154"/>
      <c r="E357" s="154"/>
      <c r="F357" s="154"/>
      <c r="G357" s="55"/>
      <c r="H357" s="154"/>
      <c r="I357" s="154"/>
      <c r="J357" s="154"/>
      <c r="K357" s="154"/>
      <c r="L357" s="154"/>
      <c r="M357" s="154"/>
      <c r="N357" s="154"/>
      <c r="O357" s="154"/>
      <c r="P357" s="154"/>
      <c r="Q357" s="154"/>
      <c r="R357" s="154"/>
      <c r="S357" s="154"/>
      <c r="T357" s="154"/>
      <c r="U357" s="154"/>
      <c r="V357" s="154"/>
      <c r="W357" s="154"/>
      <c r="X357" s="154"/>
      <c r="Y357" s="154"/>
      <c r="Z357" s="154"/>
      <c r="AA357" s="154"/>
    </row>
    <row r="358">
      <c r="A358" s="154"/>
      <c r="B358" s="154"/>
      <c r="C358" s="154"/>
      <c r="D358" s="154"/>
      <c r="E358" s="154"/>
      <c r="F358" s="154"/>
      <c r="G358" s="55"/>
      <c r="H358" s="154"/>
      <c r="I358" s="154"/>
      <c r="J358" s="154"/>
      <c r="K358" s="154"/>
      <c r="L358" s="154"/>
      <c r="M358" s="154"/>
      <c r="N358" s="154"/>
      <c r="O358" s="154"/>
      <c r="P358" s="154"/>
      <c r="Q358" s="154"/>
      <c r="R358" s="154"/>
      <c r="S358" s="154"/>
      <c r="T358" s="154"/>
      <c r="U358" s="154"/>
      <c r="V358" s="154"/>
      <c r="W358" s="154"/>
      <c r="X358" s="154"/>
      <c r="Y358" s="154"/>
      <c r="Z358" s="154"/>
      <c r="AA358" s="154"/>
    </row>
    <row r="359">
      <c r="A359" s="154"/>
      <c r="B359" s="154"/>
      <c r="C359" s="154"/>
      <c r="D359" s="154"/>
      <c r="E359" s="154"/>
      <c r="F359" s="154"/>
      <c r="G359" s="55"/>
      <c r="H359" s="154"/>
      <c r="I359" s="154"/>
      <c r="J359" s="154"/>
      <c r="K359" s="154"/>
      <c r="L359" s="154"/>
      <c r="M359" s="154"/>
      <c r="N359" s="154"/>
      <c r="O359" s="154"/>
      <c r="P359" s="154"/>
      <c r="Q359" s="154"/>
      <c r="R359" s="154"/>
      <c r="S359" s="154"/>
      <c r="T359" s="154"/>
      <c r="U359" s="154"/>
      <c r="V359" s="154"/>
      <c r="W359" s="154"/>
      <c r="X359" s="154"/>
      <c r="Y359" s="154"/>
      <c r="Z359" s="154"/>
      <c r="AA359" s="154"/>
    </row>
    <row r="360">
      <c r="A360" s="154"/>
      <c r="B360" s="154"/>
      <c r="C360" s="154"/>
      <c r="D360" s="154"/>
      <c r="E360" s="154"/>
      <c r="F360" s="154"/>
      <c r="G360" s="55"/>
      <c r="H360" s="154"/>
      <c r="I360" s="154"/>
      <c r="J360" s="154"/>
      <c r="K360" s="154"/>
      <c r="L360" s="154"/>
      <c r="M360" s="154"/>
      <c r="N360" s="154"/>
      <c r="O360" s="154"/>
      <c r="P360" s="154"/>
      <c r="Q360" s="154"/>
      <c r="R360" s="154"/>
      <c r="S360" s="154"/>
      <c r="T360" s="154"/>
      <c r="U360" s="154"/>
      <c r="V360" s="154"/>
      <c r="W360" s="154"/>
      <c r="X360" s="154"/>
      <c r="Y360" s="154"/>
      <c r="Z360" s="154"/>
      <c r="AA360" s="154"/>
    </row>
    <row r="361">
      <c r="A361" s="154"/>
      <c r="B361" s="154"/>
      <c r="C361" s="154"/>
      <c r="D361" s="154"/>
      <c r="E361" s="154"/>
      <c r="F361" s="154"/>
      <c r="G361" s="55"/>
      <c r="H361" s="154"/>
      <c r="I361" s="154"/>
      <c r="J361" s="154"/>
      <c r="K361" s="154"/>
      <c r="L361" s="154"/>
      <c r="M361" s="154"/>
      <c r="N361" s="154"/>
      <c r="O361" s="154"/>
      <c r="P361" s="154"/>
      <c r="Q361" s="154"/>
      <c r="R361" s="154"/>
      <c r="S361" s="154"/>
      <c r="T361" s="154"/>
      <c r="U361" s="154"/>
      <c r="V361" s="154"/>
      <c r="W361" s="154"/>
      <c r="X361" s="154"/>
      <c r="Y361" s="154"/>
      <c r="Z361" s="154"/>
      <c r="AA361" s="154"/>
    </row>
    <row r="362">
      <c r="A362" s="154"/>
      <c r="B362" s="154"/>
      <c r="C362" s="154"/>
      <c r="D362" s="154"/>
      <c r="E362" s="154"/>
      <c r="F362" s="154"/>
      <c r="G362" s="55"/>
      <c r="H362" s="154"/>
      <c r="I362" s="154"/>
      <c r="J362" s="154"/>
      <c r="K362" s="154"/>
      <c r="L362" s="154"/>
      <c r="M362" s="154"/>
      <c r="N362" s="154"/>
      <c r="O362" s="154"/>
      <c r="P362" s="154"/>
      <c r="Q362" s="154"/>
      <c r="R362" s="154"/>
      <c r="S362" s="154"/>
      <c r="T362" s="154"/>
      <c r="U362" s="154"/>
      <c r="V362" s="154"/>
      <c r="W362" s="154"/>
      <c r="X362" s="154"/>
      <c r="Y362" s="154"/>
      <c r="Z362" s="154"/>
      <c r="AA362" s="154"/>
    </row>
    <row r="363">
      <c r="A363" s="154"/>
      <c r="B363" s="154"/>
      <c r="C363" s="154"/>
      <c r="D363" s="154"/>
      <c r="E363" s="154"/>
      <c r="F363" s="154"/>
      <c r="G363" s="55"/>
      <c r="H363" s="154"/>
      <c r="I363" s="154"/>
      <c r="J363" s="154"/>
      <c r="K363" s="154"/>
      <c r="L363" s="154"/>
      <c r="M363" s="154"/>
      <c r="N363" s="154"/>
      <c r="O363" s="154"/>
      <c r="P363" s="154"/>
      <c r="Q363" s="154"/>
      <c r="R363" s="154"/>
      <c r="S363" s="154"/>
      <c r="T363" s="154"/>
      <c r="U363" s="154"/>
      <c r="V363" s="154"/>
      <c r="W363" s="154"/>
      <c r="X363" s="154"/>
      <c r="Y363" s="154"/>
      <c r="Z363" s="154"/>
      <c r="AA363" s="154"/>
    </row>
    <row r="364">
      <c r="A364" s="154"/>
      <c r="B364" s="154"/>
      <c r="C364" s="154"/>
      <c r="D364" s="154"/>
      <c r="E364" s="154"/>
      <c r="F364" s="154"/>
      <c r="G364" s="55"/>
      <c r="H364" s="154"/>
      <c r="I364" s="154"/>
      <c r="J364" s="154"/>
      <c r="K364" s="154"/>
      <c r="L364" s="154"/>
      <c r="M364" s="154"/>
      <c r="N364" s="154"/>
      <c r="O364" s="154"/>
      <c r="P364" s="154"/>
      <c r="Q364" s="154"/>
      <c r="R364" s="154"/>
      <c r="S364" s="154"/>
      <c r="T364" s="154"/>
      <c r="U364" s="154"/>
      <c r="V364" s="154"/>
      <c r="W364" s="154"/>
      <c r="X364" s="154"/>
      <c r="Y364" s="154"/>
      <c r="Z364" s="154"/>
      <c r="AA364" s="154"/>
    </row>
    <row r="365">
      <c r="A365" s="154"/>
      <c r="B365" s="154"/>
      <c r="C365" s="154"/>
      <c r="D365" s="154"/>
      <c r="E365" s="154"/>
      <c r="F365" s="154"/>
      <c r="G365" s="55"/>
      <c r="H365" s="154"/>
      <c r="I365" s="154"/>
      <c r="J365" s="154"/>
      <c r="K365" s="154"/>
      <c r="L365" s="154"/>
      <c r="M365" s="154"/>
      <c r="N365" s="154"/>
      <c r="O365" s="154"/>
      <c r="P365" s="154"/>
      <c r="Q365" s="154"/>
      <c r="R365" s="154"/>
      <c r="S365" s="154"/>
      <c r="T365" s="154"/>
      <c r="U365" s="154"/>
      <c r="V365" s="154"/>
      <c r="W365" s="154"/>
      <c r="X365" s="154"/>
      <c r="Y365" s="154"/>
      <c r="Z365" s="154"/>
      <c r="AA365" s="154"/>
    </row>
    <row r="366">
      <c r="A366" s="154"/>
      <c r="B366" s="154"/>
      <c r="C366" s="154"/>
      <c r="D366" s="154"/>
      <c r="E366" s="154"/>
      <c r="F366" s="154"/>
      <c r="G366" s="55"/>
      <c r="H366" s="154"/>
      <c r="I366" s="154"/>
      <c r="J366" s="154"/>
      <c r="K366" s="154"/>
      <c r="L366" s="154"/>
      <c r="M366" s="154"/>
      <c r="N366" s="154"/>
      <c r="O366" s="154"/>
      <c r="P366" s="154"/>
      <c r="Q366" s="154"/>
      <c r="R366" s="154"/>
      <c r="S366" s="154"/>
      <c r="T366" s="154"/>
      <c r="U366" s="154"/>
      <c r="V366" s="154"/>
      <c r="W366" s="154"/>
      <c r="X366" s="154"/>
      <c r="Y366" s="154"/>
      <c r="Z366" s="154"/>
      <c r="AA366" s="154"/>
    </row>
    <row r="367">
      <c r="A367" s="154"/>
      <c r="B367" s="154"/>
      <c r="C367" s="154"/>
      <c r="D367" s="154"/>
      <c r="E367" s="154"/>
      <c r="F367" s="154"/>
      <c r="G367" s="55"/>
      <c r="H367" s="154"/>
      <c r="I367" s="154"/>
      <c r="J367" s="154"/>
      <c r="K367" s="154"/>
      <c r="L367" s="154"/>
      <c r="M367" s="154"/>
      <c r="N367" s="154"/>
      <c r="O367" s="154"/>
      <c r="P367" s="154"/>
      <c r="Q367" s="154"/>
      <c r="R367" s="154"/>
      <c r="S367" s="154"/>
      <c r="T367" s="154"/>
      <c r="U367" s="154"/>
      <c r="V367" s="154"/>
      <c r="W367" s="154"/>
      <c r="X367" s="154"/>
      <c r="Y367" s="154"/>
      <c r="Z367" s="154"/>
      <c r="AA367" s="154"/>
    </row>
    <row r="368">
      <c r="A368" s="154"/>
      <c r="B368" s="154"/>
      <c r="C368" s="154"/>
      <c r="D368" s="154"/>
      <c r="E368" s="154"/>
      <c r="F368" s="154"/>
      <c r="G368" s="55"/>
      <c r="H368" s="154"/>
      <c r="I368" s="154"/>
      <c r="J368" s="154"/>
      <c r="K368" s="154"/>
      <c r="L368" s="154"/>
      <c r="M368" s="154"/>
      <c r="N368" s="154"/>
      <c r="O368" s="154"/>
      <c r="P368" s="154"/>
      <c r="Q368" s="154"/>
      <c r="R368" s="154"/>
      <c r="S368" s="154"/>
      <c r="T368" s="154"/>
      <c r="U368" s="154"/>
      <c r="V368" s="154"/>
      <c r="W368" s="154"/>
      <c r="X368" s="154"/>
      <c r="Y368" s="154"/>
      <c r="Z368" s="154"/>
      <c r="AA368" s="154"/>
    </row>
    <row r="369">
      <c r="A369" s="154"/>
      <c r="B369" s="154"/>
      <c r="C369" s="154"/>
      <c r="D369" s="154"/>
      <c r="E369" s="154"/>
      <c r="F369" s="154"/>
      <c r="G369" s="55"/>
      <c r="H369" s="154"/>
      <c r="I369" s="154"/>
      <c r="J369" s="154"/>
      <c r="K369" s="154"/>
      <c r="L369" s="154"/>
      <c r="M369" s="154"/>
      <c r="N369" s="154"/>
      <c r="O369" s="154"/>
      <c r="P369" s="154"/>
      <c r="Q369" s="154"/>
      <c r="R369" s="154"/>
      <c r="S369" s="154"/>
      <c r="T369" s="154"/>
      <c r="U369" s="154"/>
      <c r="V369" s="154"/>
      <c r="W369" s="154"/>
      <c r="X369" s="154"/>
      <c r="Y369" s="154"/>
      <c r="Z369" s="154"/>
      <c r="AA369" s="154"/>
    </row>
    <row r="370">
      <c r="A370" s="154"/>
      <c r="B370" s="154"/>
      <c r="C370" s="154"/>
      <c r="D370" s="154"/>
      <c r="E370" s="154"/>
      <c r="F370" s="154"/>
      <c r="G370" s="55"/>
      <c r="H370" s="154"/>
      <c r="I370" s="154"/>
      <c r="J370" s="154"/>
      <c r="K370" s="154"/>
      <c r="L370" s="154"/>
      <c r="M370" s="154"/>
      <c r="N370" s="154"/>
      <c r="O370" s="154"/>
      <c r="P370" s="154"/>
      <c r="Q370" s="154"/>
      <c r="R370" s="154"/>
      <c r="S370" s="154"/>
      <c r="T370" s="154"/>
      <c r="U370" s="154"/>
      <c r="V370" s="154"/>
      <c r="W370" s="154"/>
      <c r="X370" s="154"/>
      <c r="Y370" s="154"/>
      <c r="Z370" s="154"/>
      <c r="AA370" s="154"/>
    </row>
    <row r="371">
      <c r="A371" s="154"/>
      <c r="B371" s="154"/>
      <c r="C371" s="154"/>
      <c r="D371" s="154"/>
      <c r="E371" s="154"/>
      <c r="F371" s="154"/>
      <c r="G371" s="55"/>
      <c r="H371" s="154"/>
      <c r="I371" s="154"/>
      <c r="J371" s="154"/>
      <c r="K371" s="154"/>
      <c r="L371" s="154"/>
      <c r="M371" s="154"/>
      <c r="N371" s="154"/>
      <c r="O371" s="154"/>
      <c r="P371" s="154"/>
      <c r="Q371" s="154"/>
      <c r="R371" s="154"/>
      <c r="S371" s="154"/>
      <c r="T371" s="154"/>
      <c r="U371" s="154"/>
      <c r="V371" s="154"/>
      <c r="W371" s="154"/>
      <c r="X371" s="154"/>
      <c r="Y371" s="154"/>
      <c r="Z371" s="154"/>
      <c r="AA371" s="154"/>
    </row>
    <row r="372">
      <c r="A372" s="154"/>
      <c r="B372" s="154"/>
      <c r="C372" s="154"/>
      <c r="D372" s="154"/>
      <c r="E372" s="154"/>
      <c r="F372" s="154"/>
      <c r="G372" s="55"/>
      <c r="H372" s="154"/>
      <c r="I372" s="154"/>
      <c r="J372" s="154"/>
      <c r="K372" s="154"/>
      <c r="L372" s="154"/>
      <c r="M372" s="154"/>
      <c r="N372" s="154"/>
      <c r="O372" s="154"/>
      <c r="P372" s="154"/>
      <c r="Q372" s="154"/>
      <c r="R372" s="154"/>
      <c r="S372" s="154"/>
      <c r="T372" s="154"/>
      <c r="U372" s="154"/>
      <c r="V372" s="154"/>
      <c r="W372" s="154"/>
      <c r="X372" s="154"/>
      <c r="Y372" s="154"/>
      <c r="Z372" s="154"/>
      <c r="AA372" s="154"/>
    </row>
    <row r="373">
      <c r="A373" s="154"/>
      <c r="B373" s="154"/>
      <c r="C373" s="154"/>
      <c r="D373" s="154"/>
      <c r="E373" s="154"/>
      <c r="F373" s="154"/>
      <c r="G373" s="55"/>
      <c r="H373" s="154"/>
      <c r="I373" s="154"/>
      <c r="J373" s="154"/>
      <c r="K373" s="154"/>
      <c r="L373" s="154"/>
      <c r="M373" s="154"/>
      <c r="N373" s="154"/>
      <c r="O373" s="154"/>
      <c r="P373" s="154"/>
      <c r="Q373" s="154"/>
      <c r="R373" s="154"/>
      <c r="S373" s="154"/>
      <c r="T373" s="154"/>
      <c r="U373" s="154"/>
      <c r="V373" s="154"/>
      <c r="W373" s="154"/>
      <c r="X373" s="154"/>
      <c r="Y373" s="154"/>
      <c r="Z373" s="154"/>
      <c r="AA373" s="154"/>
    </row>
    <row r="374">
      <c r="A374" s="154"/>
      <c r="B374" s="154"/>
      <c r="C374" s="154"/>
      <c r="D374" s="154"/>
      <c r="E374" s="154"/>
      <c r="F374" s="154"/>
      <c r="G374" s="55"/>
      <c r="H374" s="154"/>
      <c r="I374" s="154"/>
      <c r="J374" s="154"/>
      <c r="K374" s="154"/>
      <c r="L374" s="154"/>
      <c r="M374" s="154"/>
      <c r="N374" s="154"/>
      <c r="O374" s="154"/>
      <c r="P374" s="154"/>
      <c r="Q374" s="154"/>
      <c r="R374" s="154"/>
      <c r="S374" s="154"/>
      <c r="T374" s="154"/>
      <c r="U374" s="154"/>
      <c r="V374" s="154"/>
      <c r="W374" s="154"/>
      <c r="X374" s="154"/>
      <c r="Y374" s="154"/>
      <c r="Z374" s="154"/>
      <c r="AA374" s="154"/>
    </row>
    <row r="375">
      <c r="A375" s="154"/>
      <c r="B375" s="154"/>
      <c r="C375" s="154"/>
      <c r="D375" s="154"/>
      <c r="E375" s="154"/>
      <c r="F375" s="154"/>
      <c r="G375" s="55"/>
      <c r="H375" s="154"/>
      <c r="I375" s="154"/>
      <c r="J375" s="154"/>
      <c r="K375" s="154"/>
      <c r="L375" s="154"/>
      <c r="M375" s="154"/>
      <c r="N375" s="154"/>
      <c r="O375" s="154"/>
      <c r="P375" s="154"/>
      <c r="Q375" s="154"/>
      <c r="R375" s="154"/>
      <c r="S375" s="154"/>
      <c r="T375" s="154"/>
      <c r="U375" s="154"/>
      <c r="V375" s="154"/>
      <c r="W375" s="154"/>
      <c r="X375" s="154"/>
      <c r="Y375" s="154"/>
      <c r="Z375" s="154"/>
      <c r="AA375" s="154"/>
    </row>
    <row r="376">
      <c r="A376" s="154"/>
      <c r="B376" s="154"/>
      <c r="C376" s="154"/>
      <c r="D376" s="154"/>
      <c r="E376" s="154"/>
      <c r="F376" s="154"/>
      <c r="G376" s="55"/>
      <c r="H376" s="154"/>
      <c r="I376" s="154"/>
      <c r="J376" s="154"/>
      <c r="K376" s="154"/>
      <c r="L376" s="154"/>
      <c r="M376" s="154"/>
      <c r="N376" s="154"/>
      <c r="O376" s="154"/>
      <c r="P376" s="154"/>
      <c r="Q376" s="154"/>
      <c r="R376" s="154"/>
      <c r="S376" s="154"/>
      <c r="T376" s="154"/>
      <c r="U376" s="154"/>
      <c r="V376" s="154"/>
      <c r="W376" s="154"/>
      <c r="X376" s="154"/>
      <c r="Y376" s="154"/>
      <c r="Z376" s="154"/>
      <c r="AA376" s="154"/>
    </row>
    <row r="377">
      <c r="A377" s="154"/>
      <c r="B377" s="154"/>
      <c r="C377" s="154"/>
      <c r="D377" s="154"/>
      <c r="E377" s="154"/>
      <c r="F377" s="154"/>
      <c r="G377" s="55"/>
      <c r="H377" s="154"/>
      <c r="I377" s="154"/>
      <c r="J377" s="154"/>
      <c r="K377" s="154"/>
      <c r="L377" s="154"/>
      <c r="M377" s="154"/>
      <c r="N377" s="154"/>
      <c r="O377" s="154"/>
      <c r="P377" s="154"/>
      <c r="Q377" s="154"/>
      <c r="R377" s="154"/>
      <c r="S377" s="154"/>
      <c r="T377" s="154"/>
      <c r="U377" s="154"/>
      <c r="V377" s="154"/>
      <c r="W377" s="154"/>
      <c r="X377" s="154"/>
      <c r="Y377" s="154"/>
      <c r="Z377" s="154"/>
      <c r="AA377" s="154"/>
    </row>
    <row r="378">
      <c r="A378" s="154"/>
      <c r="B378" s="154"/>
      <c r="C378" s="154"/>
      <c r="D378" s="154"/>
      <c r="E378" s="154"/>
      <c r="F378" s="154"/>
      <c r="G378" s="55"/>
      <c r="H378" s="154"/>
      <c r="I378" s="154"/>
      <c r="J378" s="154"/>
      <c r="K378" s="154"/>
      <c r="L378" s="154"/>
      <c r="M378" s="154"/>
      <c r="N378" s="154"/>
      <c r="O378" s="154"/>
      <c r="P378" s="154"/>
      <c r="Q378" s="154"/>
      <c r="R378" s="154"/>
      <c r="S378" s="154"/>
      <c r="T378" s="154"/>
      <c r="U378" s="154"/>
      <c r="V378" s="154"/>
      <c r="W378" s="154"/>
      <c r="X378" s="154"/>
      <c r="Y378" s="154"/>
      <c r="Z378" s="154"/>
      <c r="AA378" s="154"/>
    </row>
    <row r="379">
      <c r="A379" s="154"/>
      <c r="B379" s="154"/>
      <c r="C379" s="154"/>
      <c r="D379" s="154"/>
      <c r="E379" s="154"/>
      <c r="F379" s="154"/>
      <c r="G379" s="55"/>
      <c r="H379" s="154"/>
      <c r="I379" s="154"/>
      <c r="J379" s="154"/>
      <c r="K379" s="154"/>
      <c r="L379" s="154"/>
      <c r="M379" s="154"/>
      <c r="N379" s="154"/>
      <c r="O379" s="154"/>
      <c r="P379" s="154"/>
      <c r="Q379" s="154"/>
      <c r="R379" s="154"/>
      <c r="S379" s="154"/>
      <c r="T379" s="154"/>
      <c r="U379" s="154"/>
      <c r="V379" s="154"/>
      <c r="W379" s="154"/>
      <c r="X379" s="154"/>
      <c r="Y379" s="154"/>
      <c r="Z379" s="154"/>
      <c r="AA379" s="154"/>
    </row>
    <row r="380">
      <c r="A380" s="154"/>
      <c r="B380" s="154"/>
      <c r="C380" s="154"/>
      <c r="D380" s="154"/>
      <c r="E380" s="154"/>
      <c r="F380" s="154"/>
      <c r="G380" s="55"/>
      <c r="H380" s="154"/>
      <c r="I380" s="154"/>
      <c r="J380" s="154"/>
      <c r="K380" s="154"/>
      <c r="L380" s="154"/>
      <c r="M380" s="154"/>
      <c r="N380" s="154"/>
      <c r="O380" s="154"/>
      <c r="P380" s="154"/>
      <c r="Q380" s="154"/>
      <c r="R380" s="154"/>
      <c r="S380" s="154"/>
      <c r="T380" s="154"/>
      <c r="U380" s="154"/>
      <c r="V380" s="154"/>
      <c r="W380" s="154"/>
      <c r="X380" s="154"/>
      <c r="Y380" s="154"/>
      <c r="Z380" s="154"/>
      <c r="AA380" s="154"/>
    </row>
    <row r="381">
      <c r="A381" s="154"/>
      <c r="B381" s="154"/>
      <c r="C381" s="154"/>
      <c r="D381" s="154"/>
      <c r="E381" s="154"/>
      <c r="F381" s="154"/>
      <c r="G381" s="55"/>
      <c r="H381" s="154"/>
      <c r="I381" s="154"/>
      <c r="J381" s="154"/>
      <c r="K381" s="154"/>
      <c r="L381" s="154"/>
      <c r="M381" s="154"/>
      <c r="N381" s="154"/>
      <c r="O381" s="154"/>
      <c r="P381" s="154"/>
      <c r="Q381" s="154"/>
      <c r="R381" s="154"/>
      <c r="S381" s="154"/>
      <c r="T381" s="154"/>
      <c r="U381" s="154"/>
      <c r="V381" s="154"/>
      <c r="W381" s="154"/>
      <c r="X381" s="154"/>
      <c r="Y381" s="154"/>
      <c r="Z381" s="154"/>
      <c r="AA381" s="154"/>
    </row>
    <row r="382">
      <c r="A382" s="154"/>
      <c r="B382" s="154"/>
      <c r="C382" s="154"/>
      <c r="D382" s="154"/>
      <c r="E382" s="154"/>
      <c r="F382" s="154"/>
      <c r="G382" s="55"/>
      <c r="H382" s="154"/>
      <c r="I382" s="154"/>
      <c r="J382" s="154"/>
      <c r="K382" s="154"/>
      <c r="L382" s="154"/>
      <c r="M382" s="154"/>
      <c r="N382" s="154"/>
      <c r="O382" s="154"/>
      <c r="P382" s="154"/>
      <c r="Q382" s="154"/>
      <c r="R382" s="154"/>
      <c r="S382" s="154"/>
      <c r="T382" s="154"/>
      <c r="U382" s="154"/>
      <c r="V382" s="154"/>
      <c r="W382" s="154"/>
      <c r="X382" s="154"/>
      <c r="Y382" s="154"/>
      <c r="Z382" s="154"/>
      <c r="AA382" s="154"/>
    </row>
    <row r="383">
      <c r="A383" s="154"/>
      <c r="B383" s="154"/>
      <c r="C383" s="154"/>
      <c r="D383" s="154"/>
      <c r="E383" s="154"/>
      <c r="F383" s="154"/>
      <c r="G383" s="55"/>
      <c r="H383" s="154"/>
      <c r="I383" s="154"/>
      <c r="J383" s="154"/>
      <c r="K383" s="154"/>
      <c r="L383" s="154"/>
      <c r="M383" s="154"/>
      <c r="N383" s="154"/>
      <c r="O383" s="154"/>
      <c r="P383" s="154"/>
      <c r="Q383" s="154"/>
      <c r="R383" s="154"/>
      <c r="S383" s="154"/>
      <c r="T383" s="154"/>
      <c r="U383" s="154"/>
      <c r="V383" s="154"/>
      <c r="W383" s="154"/>
      <c r="X383" s="154"/>
      <c r="Y383" s="154"/>
      <c r="Z383" s="154"/>
      <c r="AA383" s="154"/>
    </row>
    <row r="384">
      <c r="A384" s="154"/>
      <c r="B384" s="154"/>
      <c r="C384" s="154"/>
      <c r="D384" s="154"/>
      <c r="E384" s="154"/>
      <c r="F384" s="154"/>
      <c r="G384" s="55"/>
      <c r="H384" s="154"/>
      <c r="I384" s="154"/>
      <c r="J384" s="154"/>
      <c r="K384" s="154"/>
      <c r="L384" s="154"/>
      <c r="M384" s="154"/>
      <c r="N384" s="154"/>
      <c r="O384" s="154"/>
      <c r="P384" s="154"/>
      <c r="Q384" s="154"/>
      <c r="R384" s="154"/>
      <c r="S384" s="154"/>
      <c r="T384" s="154"/>
      <c r="U384" s="154"/>
      <c r="V384" s="154"/>
      <c r="W384" s="154"/>
      <c r="X384" s="154"/>
      <c r="Y384" s="154"/>
      <c r="Z384" s="154"/>
      <c r="AA384" s="154"/>
    </row>
    <row r="385">
      <c r="A385" s="154"/>
      <c r="B385" s="154"/>
      <c r="C385" s="154"/>
      <c r="D385" s="154"/>
      <c r="E385" s="154"/>
      <c r="F385" s="154"/>
      <c r="G385" s="55"/>
      <c r="H385" s="154"/>
      <c r="I385" s="154"/>
      <c r="J385" s="154"/>
      <c r="K385" s="154"/>
      <c r="L385" s="154"/>
      <c r="M385" s="154"/>
      <c r="N385" s="154"/>
      <c r="O385" s="154"/>
      <c r="P385" s="154"/>
      <c r="Q385" s="154"/>
      <c r="R385" s="154"/>
      <c r="S385" s="154"/>
      <c r="T385" s="154"/>
      <c r="U385" s="154"/>
      <c r="V385" s="154"/>
      <c r="W385" s="154"/>
      <c r="X385" s="154"/>
      <c r="Y385" s="154"/>
      <c r="Z385" s="154"/>
      <c r="AA385" s="154"/>
    </row>
    <row r="386">
      <c r="A386" s="154"/>
      <c r="B386" s="154"/>
      <c r="C386" s="154"/>
      <c r="D386" s="154"/>
      <c r="E386" s="154"/>
      <c r="F386" s="154"/>
      <c r="G386" s="55"/>
      <c r="H386" s="154"/>
      <c r="I386" s="154"/>
      <c r="J386" s="154"/>
      <c r="K386" s="154"/>
      <c r="L386" s="154"/>
      <c r="M386" s="154"/>
      <c r="N386" s="154"/>
      <c r="O386" s="154"/>
      <c r="P386" s="154"/>
      <c r="Q386" s="154"/>
      <c r="R386" s="154"/>
      <c r="S386" s="154"/>
      <c r="T386" s="154"/>
      <c r="U386" s="154"/>
      <c r="V386" s="154"/>
      <c r="W386" s="154"/>
      <c r="X386" s="154"/>
      <c r="Y386" s="154"/>
      <c r="Z386" s="154"/>
      <c r="AA386" s="154"/>
    </row>
    <row r="387">
      <c r="A387" s="154"/>
      <c r="B387" s="154"/>
      <c r="C387" s="154"/>
      <c r="D387" s="154"/>
      <c r="E387" s="154"/>
      <c r="F387" s="154"/>
      <c r="G387" s="55"/>
      <c r="H387" s="154"/>
      <c r="I387" s="154"/>
      <c r="J387" s="154"/>
      <c r="K387" s="154"/>
      <c r="L387" s="154"/>
      <c r="M387" s="154"/>
      <c r="N387" s="154"/>
      <c r="O387" s="154"/>
      <c r="P387" s="154"/>
      <c r="Q387" s="154"/>
      <c r="R387" s="154"/>
      <c r="S387" s="154"/>
      <c r="T387" s="154"/>
      <c r="U387" s="154"/>
      <c r="V387" s="154"/>
      <c r="W387" s="154"/>
      <c r="X387" s="154"/>
      <c r="Y387" s="154"/>
      <c r="Z387" s="154"/>
      <c r="AA387" s="154"/>
    </row>
    <row r="388">
      <c r="A388" s="154"/>
      <c r="B388" s="154"/>
      <c r="C388" s="154"/>
      <c r="D388" s="154"/>
      <c r="E388" s="154"/>
      <c r="F388" s="154"/>
      <c r="G388" s="55"/>
      <c r="H388" s="154"/>
      <c r="I388" s="154"/>
      <c r="J388" s="154"/>
      <c r="K388" s="154"/>
      <c r="L388" s="154"/>
      <c r="M388" s="154"/>
      <c r="N388" s="154"/>
      <c r="O388" s="154"/>
      <c r="P388" s="154"/>
      <c r="Q388" s="154"/>
      <c r="R388" s="154"/>
      <c r="S388" s="154"/>
      <c r="T388" s="154"/>
      <c r="U388" s="154"/>
      <c r="V388" s="154"/>
      <c r="W388" s="154"/>
      <c r="X388" s="154"/>
      <c r="Y388" s="154"/>
      <c r="Z388" s="154"/>
      <c r="AA388" s="154"/>
    </row>
    <row r="389">
      <c r="A389" s="154"/>
      <c r="B389" s="154"/>
      <c r="C389" s="154"/>
      <c r="D389" s="154"/>
      <c r="E389" s="154"/>
      <c r="F389" s="154"/>
      <c r="G389" s="55"/>
      <c r="H389" s="154"/>
      <c r="I389" s="154"/>
      <c r="J389" s="154"/>
      <c r="K389" s="154"/>
      <c r="L389" s="154"/>
      <c r="M389" s="154"/>
      <c r="N389" s="154"/>
      <c r="O389" s="154"/>
      <c r="P389" s="154"/>
      <c r="Q389" s="154"/>
      <c r="R389" s="154"/>
      <c r="S389" s="154"/>
      <c r="T389" s="154"/>
      <c r="U389" s="154"/>
      <c r="V389" s="154"/>
      <c r="W389" s="154"/>
      <c r="X389" s="154"/>
      <c r="Y389" s="154"/>
      <c r="Z389" s="154"/>
      <c r="AA389" s="154"/>
    </row>
    <row r="390">
      <c r="A390" s="154"/>
      <c r="B390" s="154"/>
      <c r="C390" s="154"/>
      <c r="D390" s="154"/>
      <c r="E390" s="154"/>
      <c r="F390" s="154"/>
      <c r="G390" s="55"/>
      <c r="H390" s="154"/>
      <c r="I390" s="154"/>
      <c r="J390" s="154"/>
      <c r="K390" s="154"/>
      <c r="L390" s="154"/>
      <c r="M390" s="154"/>
      <c r="N390" s="154"/>
      <c r="O390" s="154"/>
      <c r="P390" s="154"/>
      <c r="Q390" s="154"/>
      <c r="R390" s="154"/>
      <c r="S390" s="154"/>
      <c r="T390" s="154"/>
      <c r="U390" s="154"/>
      <c r="V390" s="154"/>
      <c r="W390" s="154"/>
      <c r="X390" s="154"/>
      <c r="Y390" s="154"/>
      <c r="Z390" s="154"/>
      <c r="AA390" s="154"/>
    </row>
    <row r="391">
      <c r="A391" s="154"/>
      <c r="B391" s="154"/>
      <c r="C391" s="154"/>
      <c r="D391" s="154"/>
      <c r="E391" s="154"/>
      <c r="F391" s="154"/>
      <c r="G391" s="55"/>
      <c r="H391" s="154"/>
      <c r="I391" s="154"/>
      <c r="J391" s="154"/>
      <c r="K391" s="154"/>
      <c r="L391" s="154"/>
      <c r="M391" s="154"/>
      <c r="N391" s="154"/>
      <c r="O391" s="154"/>
      <c r="P391" s="154"/>
      <c r="Q391" s="154"/>
      <c r="R391" s="154"/>
      <c r="S391" s="154"/>
      <c r="T391" s="154"/>
      <c r="U391" s="154"/>
      <c r="V391" s="154"/>
      <c r="W391" s="154"/>
      <c r="X391" s="154"/>
      <c r="Y391" s="154"/>
      <c r="Z391" s="154"/>
      <c r="AA391" s="154"/>
    </row>
    <row r="392">
      <c r="A392" s="154"/>
      <c r="B392" s="154"/>
      <c r="C392" s="154"/>
      <c r="D392" s="154"/>
      <c r="E392" s="154"/>
      <c r="F392" s="154"/>
      <c r="G392" s="55"/>
      <c r="H392" s="154"/>
      <c r="I392" s="154"/>
      <c r="J392" s="154"/>
      <c r="K392" s="154"/>
      <c r="L392" s="154"/>
      <c r="M392" s="154"/>
      <c r="N392" s="154"/>
      <c r="O392" s="154"/>
      <c r="P392" s="154"/>
      <c r="Q392" s="154"/>
      <c r="R392" s="154"/>
      <c r="S392" s="154"/>
      <c r="T392" s="154"/>
      <c r="U392" s="154"/>
      <c r="V392" s="154"/>
      <c r="W392" s="154"/>
      <c r="X392" s="154"/>
      <c r="Y392" s="154"/>
      <c r="Z392" s="154"/>
      <c r="AA392" s="154"/>
    </row>
    <row r="393">
      <c r="A393" s="154"/>
      <c r="B393" s="154"/>
      <c r="C393" s="154"/>
      <c r="D393" s="154"/>
      <c r="E393" s="154"/>
      <c r="F393" s="154"/>
      <c r="G393" s="55"/>
      <c r="H393" s="154"/>
      <c r="I393" s="154"/>
      <c r="J393" s="154"/>
      <c r="K393" s="154"/>
      <c r="L393" s="154"/>
      <c r="M393" s="154"/>
      <c r="N393" s="154"/>
      <c r="O393" s="154"/>
      <c r="P393" s="154"/>
      <c r="Q393" s="154"/>
      <c r="R393" s="154"/>
      <c r="S393" s="154"/>
      <c r="T393" s="154"/>
      <c r="U393" s="154"/>
      <c r="V393" s="154"/>
      <c r="W393" s="154"/>
      <c r="X393" s="154"/>
      <c r="Y393" s="154"/>
      <c r="Z393" s="154"/>
      <c r="AA393" s="154"/>
    </row>
    <row r="394">
      <c r="A394" s="154"/>
      <c r="B394" s="154"/>
      <c r="C394" s="154"/>
      <c r="D394" s="154"/>
      <c r="E394" s="154"/>
      <c r="F394" s="154"/>
      <c r="G394" s="55"/>
      <c r="H394" s="154"/>
      <c r="I394" s="154"/>
      <c r="J394" s="154"/>
      <c r="K394" s="154"/>
      <c r="L394" s="154"/>
      <c r="M394" s="154"/>
      <c r="N394" s="154"/>
      <c r="O394" s="154"/>
      <c r="P394" s="154"/>
      <c r="Q394" s="154"/>
      <c r="R394" s="154"/>
      <c r="S394" s="154"/>
      <c r="T394" s="154"/>
      <c r="U394" s="154"/>
      <c r="V394" s="154"/>
      <c r="W394" s="154"/>
      <c r="X394" s="154"/>
      <c r="Y394" s="154"/>
      <c r="Z394" s="154"/>
      <c r="AA394" s="154"/>
    </row>
    <row r="395">
      <c r="A395" s="154"/>
      <c r="B395" s="154"/>
      <c r="C395" s="154"/>
      <c r="D395" s="154"/>
      <c r="E395" s="154"/>
      <c r="F395" s="154"/>
      <c r="G395" s="55"/>
      <c r="H395" s="154"/>
      <c r="I395" s="154"/>
      <c r="J395" s="154"/>
      <c r="K395" s="154"/>
      <c r="L395" s="154"/>
      <c r="M395" s="154"/>
      <c r="N395" s="154"/>
      <c r="O395" s="154"/>
      <c r="P395" s="154"/>
      <c r="Q395" s="154"/>
      <c r="R395" s="154"/>
      <c r="S395" s="154"/>
      <c r="T395" s="154"/>
      <c r="U395" s="154"/>
      <c r="V395" s="154"/>
      <c r="W395" s="154"/>
      <c r="X395" s="154"/>
      <c r="Y395" s="154"/>
      <c r="Z395" s="154"/>
      <c r="AA395" s="154"/>
    </row>
    <row r="396">
      <c r="A396" s="154"/>
      <c r="B396" s="154"/>
      <c r="C396" s="154"/>
      <c r="D396" s="154"/>
      <c r="E396" s="154"/>
      <c r="F396" s="154"/>
      <c r="G396" s="55"/>
      <c r="H396" s="154"/>
      <c r="I396" s="154"/>
      <c r="J396" s="154"/>
      <c r="K396" s="154"/>
      <c r="L396" s="154"/>
      <c r="M396" s="154"/>
      <c r="N396" s="154"/>
      <c r="O396" s="154"/>
      <c r="P396" s="154"/>
      <c r="Q396" s="154"/>
      <c r="R396" s="154"/>
      <c r="S396" s="154"/>
      <c r="T396" s="154"/>
      <c r="U396" s="154"/>
      <c r="V396" s="154"/>
      <c r="W396" s="154"/>
      <c r="X396" s="154"/>
      <c r="Y396" s="154"/>
      <c r="Z396" s="154"/>
      <c r="AA396" s="154"/>
    </row>
    <row r="397">
      <c r="A397" s="154"/>
      <c r="B397" s="154"/>
      <c r="C397" s="154"/>
      <c r="D397" s="154"/>
      <c r="E397" s="154"/>
      <c r="F397" s="154"/>
      <c r="G397" s="55"/>
      <c r="H397" s="154"/>
      <c r="I397" s="154"/>
      <c r="J397" s="154"/>
      <c r="K397" s="154"/>
      <c r="L397" s="154"/>
      <c r="M397" s="154"/>
      <c r="N397" s="154"/>
      <c r="O397" s="154"/>
      <c r="P397" s="154"/>
      <c r="Q397" s="154"/>
      <c r="R397" s="154"/>
      <c r="S397" s="154"/>
      <c r="T397" s="154"/>
      <c r="U397" s="154"/>
      <c r="V397" s="154"/>
      <c r="W397" s="154"/>
      <c r="X397" s="154"/>
      <c r="Y397" s="154"/>
      <c r="Z397" s="154"/>
      <c r="AA397" s="154"/>
    </row>
    <row r="398">
      <c r="A398" s="154"/>
      <c r="B398" s="154"/>
      <c r="C398" s="154"/>
      <c r="D398" s="154"/>
      <c r="E398" s="154"/>
      <c r="F398" s="154"/>
      <c r="G398" s="55"/>
      <c r="H398" s="154"/>
      <c r="I398" s="154"/>
      <c r="J398" s="154"/>
      <c r="K398" s="154"/>
      <c r="L398" s="154"/>
      <c r="M398" s="154"/>
      <c r="N398" s="154"/>
      <c r="O398" s="154"/>
      <c r="P398" s="154"/>
      <c r="Q398" s="154"/>
      <c r="R398" s="154"/>
      <c r="S398" s="154"/>
      <c r="T398" s="154"/>
      <c r="U398" s="154"/>
      <c r="V398" s="154"/>
      <c r="W398" s="154"/>
      <c r="X398" s="154"/>
      <c r="Y398" s="154"/>
      <c r="Z398" s="154"/>
      <c r="AA398" s="154"/>
    </row>
    <row r="399">
      <c r="A399" s="154"/>
      <c r="B399" s="154"/>
      <c r="C399" s="154"/>
      <c r="D399" s="154"/>
      <c r="E399" s="154"/>
      <c r="F399" s="154"/>
      <c r="G399" s="55"/>
      <c r="H399" s="154"/>
      <c r="I399" s="154"/>
      <c r="J399" s="154"/>
      <c r="K399" s="154"/>
      <c r="L399" s="154"/>
      <c r="M399" s="154"/>
      <c r="N399" s="154"/>
      <c r="O399" s="154"/>
      <c r="P399" s="154"/>
      <c r="Q399" s="154"/>
      <c r="R399" s="154"/>
      <c r="S399" s="154"/>
      <c r="T399" s="154"/>
      <c r="U399" s="154"/>
      <c r="V399" s="154"/>
      <c r="W399" s="154"/>
      <c r="X399" s="154"/>
      <c r="Y399" s="154"/>
      <c r="Z399" s="154"/>
      <c r="AA399" s="154"/>
    </row>
    <row r="400">
      <c r="A400" s="154"/>
      <c r="B400" s="154"/>
      <c r="C400" s="154"/>
      <c r="D400" s="154"/>
      <c r="E400" s="154"/>
      <c r="F400" s="154"/>
      <c r="G400" s="55"/>
      <c r="H400" s="154"/>
      <c r="I400" s="154"/>
      <c r="J400" s="154"/>
      <c r="K400" s="154"/>
      <c r="L400" s="154"/>
      <c r="M400" s="154"/>
      <c r="N400" s="154"/>
      <c r="O400" s="154"/>
      <c r="P400" s="154"/>
      <c r="Q400" s="154"/>
      <c r="R400" s="154"/>
      <c r="S400" s="154"/>
      <c r="T400" s="154"/>
      <c r="U400" s="154"/>
      <c r="V400" s="154"/>
      <c r="W400" s="154"/>
      <c r="X400" s="154"/>
      <c r="Y400" s="154"/>
      <c r="Z400" s="154"/>
      <c r="AA400" s="154"/>
    </row>
    <row r="401">
      <c r="A401" s="154"/>
      <c r="B401" s="154"/>
      <c r="C401" s="154"/>
      <c r="D401" s="154"/>
      <c r="E401" s="154"/>
      <c r="F401" s="154"/>
      <c r="G401" s="55"/>
      <c r="H401" s="154"/>
      <c r="I401" s="154"/>
      <c r="J401" s="154"/>
      <c r="K401" s="154"/>
      <c r="L401" s="154"/>
      <c r="M401" s="154"/>
      <c r="N401" s="154"/>
      <c r="O401" s="154"/>
      <c r="P401" s="154"/>
      <c r="Q401" s="154"/>
      <c r="R401" s="154"/>
      <c r="S401" s="154"/>
      <c r="T401" s="154"/>
      <c r="U401" s="154"/>
      <c r="V401" s="154"/>
      <c r="W401" s="154"/>
      <c r="X401" s="154"/>
      <c r="Y401" s="154"/>
      <c r="Z401" s="154"/>
      <c r="AA401" s="154"/>
    </row>
    <row r="402">
      <c r="A402" s="154"/>
      <c r="B402" s="154"/>
      <c r="C402" s="154"/>
      <c r="D402" s="154"/>
      <c r="E402" s="154"/>
      <c r="F402" s="154"/>
      <c r="G402" s="55"/>
      <c r="H402" s="154"/>
      <c r="I402" s="154"/>
      <c r="J402" s="154"/>
      <c r="K402" s="154"/>
      <c r="L402" s="154"/>
      <c r="M402" s="154"/>
      <c r="N402" s="154"/>
      <c r="O402" s="154"/>
      <c r="P402" s="154"/>
      <c r="Q402" s="154"/>
      <c r="R402" s="154"/>
      <c r="S402" s="154"/>
      <c r="T402" s="154"/>
      <c r="U402" s="154"/>
      <c r="V402" s="154"/>
      <c r="W402" s="154"/>
      <c r="X402" s="154"/>
      <c r="Y402" s="154"/>
      <c r="Z402" s="154"/>
      <c r="AA402" s="154"/>
    </row>
    <row r="403">
      <c r="A403" s="154"/>
      <c r="B403" s="154"/>
      <c r="C403" s="154"/>
      <c r="D403" s="154"/>
      <c r="E403" s="154"/>
      <c r="F403" s="154"/>
      <c r="G403" s="55"/>
      <c r="H403" s="154"/>
      <c r="I403" s="154"/>
      <c r="J403" s="154"/>
      <c r="K403" s="154"/>
      <c r="L403" s="154"/>
      <c r="M403" s="154"/>
      <c r="N403" s="154"/>
      <c r="O403" s="154"/>
      <c r="P403" s="154"/>
      <c r="Q403" s="154"/>
      <c r="R403" s="154"/>
      <c r="S403" s="154"/>
      <c r="T403" s="154"/>
      <c r="U403" s="154"/>
      <c r="V403" s="154"/>
      <c r="W403" s="154"/>
      <c r="X403" s="154"/>
      <c r="Y403" s="154"/>
      <c r="Z403" s="154"/>
      <c r="AA403" s="154"/>
    </row>
    <row r="404">
      <c r="A404" s="154"/>
      <c r="B404" s="154"/>
      <c r="C404" s="154"/>
      <c r="D404" s="154"/>
      <c r="E404" s="154"/>
      <c r="F404" s="154"/>
      <c r="G404" s="55"/>
      <c r="H404" s="154"/>
      <c r="I404" s="154"/>
      <c r="J404" s="154"/>
      <c r="K404" s="154"/>
      <c r="L404" s="154"/>
      <c r="M404" s="154"/>
      <c r="N404" s="154"/>
      <c r="O404" s="154"/>
      <c r="P404" s="154"/>
      <c r="Q404" s="154"/>
      <c r="R404" s="154"/>
      <c r="S404" s="154"/>
      <c r="T404" s="154"/>
      <c r="U404" s="154"/>
      <c r="V404" s="154"/>
      <c r="W404" s="154"/>
      <c r="X404" s="154"/>
      <c r="Y404" s="154"/>
      <c r="Z404" s="154"/>
      <c r="AA404" s="154"/>
    </row>
    <row r="405">
      <c r="A405" s="154"/>
      <c r="B405" s="154"/>
      <c r="C405" s="154"/>
      <c r="D405" s="154"/>
      <c r="E405" s="154"/>
      <c r="F405" s="154"/>
      <c r="G405" s="55"/>
      <c r="H405" s="154"/>
      <c r="I405" s="154"/>
      <c r="J405" s="154"/>
      <c r="K405" s="154"/>
      <c r="L405" s="154"/>
      <c r="M405" s="154"/>
      <c r="N405" s="154"/>
      <c r="O405" s="154"/>
      <c r="P405" s="154"/>
      <c r="Q405" s="154"/>
      <c r="R405" s="154"/>
      <c r="S405" s="154"/>
      <c r="T405" s="154"/>
      <c r="U405" s="154"/>
      <c r="V405" s="154"/>
      <c r="W405" s="154"/>
      <c r="X405" s="154"/>
      <c r="Y405" s="154"/>
      <c r="Z405" s="154"/>
      <c r="AA405" s="154"/>
    </row>
    <row r="406">
      <c r="A406" s="154"/>
      <c r="B406" s="154"/>
      <c r="C406" s="154"/>
      <c r="D406" s="154"/>
      <c r="E406" s="154"/>
      <c r="F406" s="154"/>
      <c r="G406" s="55"/>
      <c r="H406" s="154"/>
      <c r="I406" s="154"/>
      <c r="J406" s="154"/>
      <c r="K406" s="154"/>
      <c r="L406" s="154"/>
      <c r="M406" s="154"/>
      <c r="N406" s="154"/>
      <c r="O406" s="154"/>
      <c r="P406" s="154"/>
      <c r="Q406" s="154"/>
      <c r="R406" s="154"/>
      <c r="S406" s="154"/>
      <c r="T406" s="154"/>
      <c r="U406" s="154"/>
      <c r="V406" s="154"/>
      <c r="W406" s="154"/>
      <c r="X406" s="154"/>
      <c r="Y406" s="154"/>
      <c r="Z406" s="154"/>
      <c r="AA406" s="154"/>
    </row>
    <row r="407">
      <c r="A407" s="154"/>
      <c r="B407" s="154"/>
      <c r="C407" s="154"/>
      <c r="D407" s="154"/>
      <c r="E407" s="154"/>
      <c r="F407" s="154"/>
      <c r="G407" s="55"/>
      <c r="H407" s="154"/>
      <c r="I407" s="154"/>
      <c r="J407" s="154"/>
      <c r="K407" s="154"/>
      <c r="L407" s="154"/>
      <c r="M407" s="154"/>
      <c r="N407" s="154"/>
      <c r="O407" s="154"/>
      <c r="P407" s="154"/>
      <c r="Q407" s="154"/>
      <c r="R407" s="154"/>
      <c r="S407" s="154"/>
      <c r="T407" s="154"/>
      <c r="U407" s="154"/>
      <c r="V407" s="154"/>
      <c r="W407" s="154"/>
      <c r="X407" s="154"/>
      <c r="Y407" s="154"/>
      <c r="Z407" s="154"/>
      <c r="AA407" s="154"/>
    </row>
    <row r="408">
      <c r="A408" s="154"/>
      <c r="B408" s="154"/>
      <c r="C408" s="154"/>
      <c r="D408" s="154"/>
      <c r="E408" s="154"/>
      <c r="F408" s="154"/>
      <c r="G408" s="55"/>
      <c r="H408" s="154"/>
      <c r="I408" s="154"/>
      <c r="J408" s="154"/>
      <c r="K408" s="154"/>
      <c r="L408" s="154"/>
      <c r="M408" s="154"/>
      <c r="N408" s="154"/>
      <c r="O408" s="154"/>
      <c r="P408" s="154"/>
      <c r="Q408" s="154"/>
      <c r="R408" s="154"/>
      <c r="S408" s="154"/>
      <c r="T408" s="154"/>
      <c r="U408" s="154"/>
      <c r="V408" s="154"/>
      <c r="W408" s="154"/>
      <c r="X408" s="154"/>
      <c r="Y408" s="154"/>
      <c r="Z408" s="154"/>
      <c r="AA408" s="154"/>
    </row>
    <row r="409">
      <c r="A409" s="154"/>
      <c r="B409" s="154"/>
      <c r="C409" s="154"/>
      <c r="D409" s="154"/>
      <c r="E409" s="154"/>
      <c r="F409" s="154"/>
      <c r="G409" s="55"/>
      <c r="H409" s="154"/>
      <c r="I409" s="154"/>
      <c r="J409" s="154"/>
      <c r="K409" s="154"/>
      <c r="L409" s="154"/>
      <c r="M409" s="154"/>
      <c r="N409" s="154"/>
      <c r="O409" s="154"/>
      <c r="P409" s="154"/>
      <c r="Q409" s="154"/>
      <c r="R409" s="154"/>
      <c r="S409" s="154"/>
      <c r="T409" s="154"/>
      <c r="U409" s="154"/>
      <c r="V409" s="154"/>
      <c r="W409" s="154"/>
      <c r="X409" s="154"/>
      <c r="Y409" s="154"/>
      <c r="Z409" s="154"/>
      <c r="AA409" s="154"/>
    </row>
    <row r="410">
      <c r="A410" s="154"/>
      <c r="B410" s="154"/>
      <c r="C410" s="154"/>
      <c r="D410" s="154"/>
      <c r="E410" s="154"/>
      <c r="F410" s="154"/>
      <c r="G410" s="55"/>
      <c r="H410" s="154"/>
      <c r="I410" s="154"/>
      <c r="J410" s="154"/>
      <c r="K410" s="154"/>
      <c r="L410" s="154"/>
      <c r="M410" s="154"/>
      <c r="N410" s="154"/>
      <c r="O410" s="154"/>
      <c r="P410" s="154"/>
      <c r="Q410" s="154"/>
      <c r="R410" s="154"/>
      <c r="S410" s="154"/>
      <c r="T410" s="154"/>
      <c r="U410" s="154"/>
      <c r="V410" s="154"/>
      <c r="W410" s="154"/>
      <c r="X410" s="154"/>
      <c r="Y410" s="154"/>
      <c r="Z410" s="154"/>
      <c r="AA410" s="154"/>
    </row>
    <row r="411">
      <c r="A411" s="154"/>
      <c r="B411" s="154"/>
      <c r="C411" s="154"/>
      <c r="D411" s="154"/>
      <c r="E411" s="154"/>
      <c r="F411" s="154"/>
      <c r="G411" s="55"/>
      <c r="H411" s="154"/>
      <c r="I411" s="154"/>
      <c r="J411" s="154"/>
      <c r="K411" s="154"/>
      <c r="L411" s="154"/>
      <c r="M411" s="154"/>
      <c r="N411" s="154"/>
      <c r="O411" s="154"/>
      <c r="P411" s="154"/>
      <c r="Q411" s="154"/>
      <c r="R411" s="154"/>
      <c r="S411" s="154"/>
      <c r="T411" s="154"/>
      <c r="U411" s="154"/>
      <c r="V411" s="154"/>
      <c r="W411" s="154"/>
      <c r="X411" s="154"/>
      <c r="Y411" s="154"/>
      <c r="Z411" s="154"/>
      <c r="AA411" s="154"/>
    </row>
    <row r="412">
      <c r="A412" s="154"/>
      <c r="B412" s="154"/>
      <c r="C412" s="154"/>
      <c r="D412" s="154"/>
      <c r="E412" s="154"/>
      <c r="F412" s="154"/>
      <c r="G412" s="55"/>
      <c r="H412" s="154"/>
      <c r="I412" s="154"/>
      <c r="J412" s="154"/>
      <c r="K412" s="154"/>
      <c r="L412" s="154"/>
      <c r="M412" s="154"/>
      <c r="N412" s="154"/>
      <c r="O412" s="154"/>
      <c r="P412" s="154"/>
      <c r="Q412" s="154"/>
      <c r="R412" s="154"/>
      <c r="S412" s="154"/>
      <c r="T412" s="154"/>
      <c r="U412" s="154"/>
      <c r="V412" s="154"/>
      <c r="W412" s="154"/>
      <c r="X412" s="154"/>
      <c r="Y412" s="154"/>
      <c r="Z412" s="154"/>
      <c r="AA412" s="154"/>
    </row>
    <row r="413">
      <c r="A413" s="154"/>
      <c r="B413" s="154"/>
      <c r="C413" s="154"/>
      <c r="D413" s="154"/>
      <c r="E413" s="154"/>
      <c r="F413" s="154"/>
      <c r="G413" s="55"/>
      <c r="H413" s="154"/>
      <c r="I413" s="154"/>
      <c r="J413" s="154"/>
      <c r="K413" s="154"/>
      <c r="L413" s="154"/>
      <c r="M413" s="154"/>
      <c r="N413" s="154"/>
      <c r="O413" s="154"/>
      <c r="P413" s="154"/>
      <c r="Q413" s="154"/>
      <c r="R413" s="154"/>
      <c r="S413" s="154"/>
      <c r="T413" s="154"/>
      <c r="U413" s="154"/>
      <c r="V413" s="154"/>
      <c r="W413" s="154"/>
      <c r="X413" s="154"/>
      <c r="Y413" s="154"/>
      <c r="Z413" s="154"/>
      <c r="AA413" s="154"/>
    </row>
    <row r="414">
      <c r="A414" s="154"/>
      <c r="B414" s="154"/>
      <c r="C414" s="154"/>
      <c r="D414" s="154"/>
      <c r="E414" s="154"/>
      <c r="F414" s="154"/>
      <c r="G414" s="55"/>
      <c r="H414" s="154"/>
      <c r="I414" s="154"/>
      <c r="J414" s="154"/>
      <c r="K414" s="154"/>
      <c r="L414" s="154"/>
      <c r="M414" s="154"/>
      <c r="N414" s="154"/>
      <c r="O414" s="154"/>
      <c r="P414" s="154"/>
      <c r="Q414" s="154"/>
      <c r="R414" s="154"/>
      <c r="S414" s="154"/>
      <c r="T414" s="154"/>
      <c r="U414" s="154"/>
      <c r="V414" s="154"/>
      <c r="W414" s="154"/>
      <c r="X414" s="154"/>
      <c r="Y414" s="154"/>
      <c r="Z414" s="154"/>
      <c r="AA414" s="154"/>
    </row>
    <row r="415">
      <c r="A415" s="154"/>
      <c r="B415" s="154"/>
      <c r="C415" s="154"/>
      <c r="D415" s="154"/>
      <c r="E415" s="154"/>
      <c r="F415" s="154"/>
      <c r="G415" s="55"/>
      <c r="H415" s="154"/>
      <c r="I415" s="154"/>
      <c r="J415" s="154"/>
      <c r="K415" s="154"/>
      <c r="L415" s="154"/>
      <c r="M415" s="154"/>
      <c r="N415" s="154"/>
      <c r="O415" s="154"/>
      <c r="P415" s="154"/>
      <c r="Q415" s="154"/>
      <c r="R415" s="154"/>
      <c r="S415" s="154"/>
      <c r="T415" s="154"/>
      <c r="U415" s="154"/>
      <c r="V415" s="154"/>
      <c r="W415" s="154"/>
      <c r="X415" s="154"/>
      <c r="Y415" s="154"/>
      <c r="Z415" s="154"/>
      <c r="AA415" s="154"/>
    </row>
    <row r="416">
      <c r="A416" s="154"/>
      <c r="B416" s="154"/>
      <c r="C416" s="154"/>
      <c r="D416" s="154"/>
      <c r="E416" s="154"/>
      <c r="F416" s="154"/>
      <c r="G416" s="55"/>
      <c r="H416" s="154"/>
      <c r="I416" s="154"/>
      <c r="J416" s="154"/>
      <c r="K416" s="154"/>
      <c r="L416" s="154"/>
      <c r="M416" s="154"/>
      <c r="N416" s="154"/>
      <c r="O416" s="154"/>
      <c r="P416" s="154"/>
      <c r="Q416" s="154"/>
      <c r="R416" s="154"/>
      <c r="S416" s="154"/>
      <c r="T416" s="154"/>
      <c r="U416" s="154"/>
      <c r="V416" s="154"/>
      <c r="W416" s="154"/>
      <c r="X416" s="154"/>
      <c r="Y416" s="154"/>
      <c r="Z416" s="154"/>
      <c r="AA416" s="154"/>
    </row>
    <row r="417">
      <c r="A417" s="154"/>
      <c r="B417" s="154"/>
      <c r="C417" s="154"/>
      <c r="D417" s="154"/>
      <c r="E417" s="154"/>
      <c r="F417" s="154"/>
      <c r="G417" s="55"/>
      <c r="H417" s="154"/>
      <c r="I417" s="154"/>
      <c r="J417" s="154"/>
      <c r="K417" s="154"/>
      <c r="L417" s="154"/>
      <c r="M417" s="154"/>
      <c r="N417" s="154"/>
      <c r="O417" s="154"/>
      <c r="P417" s="154"/>
      <c r="Q417" s="154"/>
      <c r="R417" s="154"/>
      <c r="S417" s="154"/>
      <c r="T417" s="154"/>
      <c r="U417" s="154"/>
      <c r="V417" s="154"/>
      <c r="W417" s="154"/>
      <c r="X417" s="154"/>
      <c r="Y417" s="154"/>
      <c r="Z417" s="154"/>
      <c r="AA417" s="154"/>
    </row>
    <row r="418">
      <c r="A418" s="154"/>
      <c r="B418" s="154"/>
      <c r="C418" s="154"/>
      <c r="D418" s="154"/>
      <c r="E418" s="154"/>
      <c r="F418" s="154"/>
      <c r="G418" s="55"/>
      <c r="H418" s="154"/>
      <c r="I418" s="154"/>
      <c r="J418" s="154"/>
      <c r="K418" s="154"/>
      <c r="L418" s="154"/>
      <c r="M418" s="154"/>
      <c r="N418" s="154"/>
      <c r="O418" s="154"/>
      <c r="P418" s="154"/>
      <c r="Q418" s="154"/>
      <c r="R418" s="154"/>
      <c r="S418" s="154"/>
      <c r="T418" s="154"/>
      <c r="U418" s="154"/>
      <c r="V418" s="154"/>
      <c r="W418" s="154"/>
      <c r="X418" s="154"/>
      <c r="Y418" s="154"/>
      <c r="Z418" s="154"/>
      <c r="AA418" s="154"/>
    </row>
    <row r="419">
      <c r="A419" s="154"/>
      <c r="B419" s="154"/>
      <c r="C419" s="154"/>
      <c r="D419" s="154"/>
      <c r="E419" s="154"/>
      <c r="F419" s="154"/>
      <c r="G419" s="55"/>
      <c r="H419" s="154"/>
      <c r="I419" s="154"/>
      <c r="J419" s="154"/>
      <c r="K419" s="154"/>
      <c r="L419" s="154"/>
      <c r="M419" s="154"/>
      <c r="N419" s="154"/>
      <c r="O419" s="154"/>
      <c r="P419" s="154"/>
      <c r="Q419" s="154"/>
      <c r="R419" s="154"/>
      <c r="S419" s="154"/>
      <c r="T419" s="154"/>
      <c r="U419" s="154"/>
      <c r="V419" s="154"/>
      <c r="W419" s="154"/>
      <c r="X419" s="154"/>
      <c r="Y419" s="154"/>
      <c r="Z419" s="154"/>
      <c r="AA419" s="154"/>
    </row>
    <row r="420">
      <c r="A420" s="154"/>
      <c r="B420" s="154"/>
      <c r="C420" s="154"/>
      <c r="D420" s="154"/>
      <c r="E420" s="154"/>
      <c r="F420" s="154"/>
      <c r="G420" s="55"/>
      <c r="H420" s="154"/>
      <c r="I420" s="154"/>
      <c r="J420" s="154"/>
      <c r="K420" s="154"/>
      <c r="L420" s="154"/>
      <c r="M420" s="154"/>
      <c r="N420" s="154"/>
      <c r="O420" s="154"/>
      <c r="P420" s="154"/>
      <c r="Q420" s="154"/>
      <c r="R420" s="154"/>
      <c r="S420" s="154"/>
      <c r="T420" s="154"/>
      <c r="U420" s="154"/>
      <c r="V420" s="154"/>
      <c r="W420" s="154"/>
      <c r="X420" s="154"/>
      <c r="Y420" s="154"/>
      <c r="Z420" s="154"/>
      <c r="AA420" s="154"/>
    </row>
    <row r="421">
      <c r="A421" s="154"/>
      <c r="B421" s="154"/>
      <c r="C421" s="154"/>
      <c r="D421" s="154"/>
      <c r="E421" s="154"/>
      <c r="F421" s="154"/>
      <c r="G421" s="55"/>
      <c r="H421" s="154"/>
      <c r="I421" s="154"/>
      <c r="J421" s="154"/>
      <c r="K421" s="154"/>
      <c r="L421" s="154"/>
      <c r="M421" s="154"/>
      <c r="N421" s="154"/>
      <c r="O421" s="154"/>
      <c r="P421" s="154"/>
      <c r="Q421" s="154"/>
      <c r="R421" s="154"/>
      <c r="S421" s="154"/>
      <c r="T421" s="154"/>
      <c r="U421" s="154"/>
      <c r="V421" s="154"/>
      <c r="W421" s="154"/>
      <c r="X421" s="154"/>
      <c r="Y421" s="154"/>
      <c r="Z421" s="154"/>
      <c r="AA421" s="154"/>
    </row>
    <row r="422">
      <c r="A422" s="154"/>
      <c r="B422" s="154"/>
      <c r="C422" s="154"/>
      <c r="D422" s="154"/>
      <c r="E422" s="154"/>
      <c r="F422" s="154"/>
      <c r="G422" s="55"/>
      <c r="H422" s="154"/>
      <c r="I422" s="154"/>
      <c r="J422" s="154"/>
      <c r="K422" s="154"/>
      <c r="L422" s="154"/>
      <c r="M422" s="154"/>
      <c r="N422" s="154"/>
      <c r="O422" s="154"/>
      <c r="P422" s="154"/>
      <c r="Q422" s="154"/>
      <c r="R422" s="154"/>
      <c r="S422" s="154"/>
      <c r="T422" s="154"/>
      <c r="U422" s="154"/>
      <c r="V422" s="154"/>
      <c r="W422" s="154"/>
      <c r="X422" s="154"/>
      <c r="Y422" s="154"/>
      <c r="Z422" s="154"/>
      <c r="AA422" s="154"/>
    </row>
    <row r="423">
      <c r="A423" s="154"/>
      <c r="B423" s="154"/>
      <c r="C423" s="154"/>
      <c r="D423" s="154"/>
      <c r="E423" s="154"/>
      <c r="F423" s="154"/>
      <c r="G423" s="55"/>
      <c r="H423" s="154"/>
      <c r="I423" s="154"/>
      <c r="J423" s="154"/>
      <c r="K423" s="154"/>
      <c r="L423" s="154"/>
      <c r="M423" s="154"/>
      <c r="N423" s="154"/>
      <c r="O423" s="154"/>
      <c r="P423" s="154"/>
      <c r="Q423" s="154"/>
      <c r="R423" s="154"/>
      <c r="S423" s="154"/>
      <c r="T423" s="154"/>
      <c r="U423" s="154"/>
      <c r="V423" s="154"/>
      <c r="W423" s="154"/>
      <c r="X423" s="154"/>
      <c r="Y423" s="154"/>
      <c r="Z423" s="154"/>
      <c r="AA423" s="154"/>
    </row>
    <row r="424">
      <c r="A424" s="154"/>
      <c r="B424" s="154"/>
      <c r="C424" s="154"/>
      <c r="D424" s="154"/>
      <c r="E424" s="154"/>
      <c r="F424" s="154"/>
      <c r="G424" s="55"/>
      <c r="H424" s="154"/>
      <c r="I424" s="154"/>
      <c r="J424" s="154"/>
      <c r="K424" s="154"/>
      <c r="L424" s="154"/>
      <c r="M424" s="154"/>
      <c r="N424" s="154"/>
      <c r="O424" s="154"/>
      <c r="P424" s="154"/>
      <c r="Q424" s="154"/>
      <c r="R424" s="154"/>
      <c r="S424" s="154"/>
      <c r="T424" s="154"/>
      <c r="U424" s="154"/>
      <c r="V424" s="154"/>
      <c r="W424" s="154"/>
      <c r="X424" s="154"/>
      <c r="Y424" s="154"/>
      <c r="Z424" s="154"/>
      <c r="AA424" s="154"/>
    </row>
    <row r="425">
      <c r="A425" s="154"/>
      <c r="B425" s="154"/>
      <c r="C425" s="154"/>
      <c r="D425" s="154"/>
      <c r="E425" s="154"/>
      <c r="F425" s="154"/>
      <c r="G425" s="55"/>
      <c r="H425" s="154"/>
      <c r="I425" s="154"/>
      <c r="J425" s="154"/>
      <c r="K425" s="154"/>
      <c r="L425" s="154"/>
      <c r="M425" s="154"/>
      <c r="N425" s="154"/>
      <c r="O425" s="154"/>
      <c r="P425" s="154"/>
      <c r="Q425" s="154"/>
      <c r="R425" s="154"/>
      <c r="S425" s="154"/>
      <c r="T425" s="154"/>
      <c r="U425" s="154"/>
      <c r="V425" s="154"/>
      <c r="W425" s="154"/>
      <c r="X425" s="154"/>
      <c r="Y425" s="154"/>
      <c r="Z425" s="154"/>
      <c r="AA425" s="154"/>
    </row>
    <row r="426">
      <c r="A426" s="154"/>
      <c r="B426" s="154"/>
      <c r="C426" s="154"/>
      <c r="D426" s="154"/>
      <c r="E426" s="154"/>
      <c r="F426" s="154"/>
      <c r="G426" s="55"/>
      <c r="H426" s="154"/>
      <c r="I426" s="154"/>
      <c r="J426" s="154"/>
      <c r="K426" s="154"/>
      <c r="L426" s="154"/>
      <c r="M426" s="154"/>
      <c r="N426" s="154"/>
      <c r="O426" s="154"/>
      <c r="P426" s="154"/>
      <c r="Q426" s="154"/>
      <c r="R426" s="154"/>
      <c r="S426" s="154"/>
      <c r="T426" s="154"/>
      <c r="U426" s="154"/>
      <c r="V426" s="154"/>
      <c r="W426" s="154"/>
      <c r="X426" s="154"/>
      <c r="Y426" s="154"/>
      <c r="Z426" s="154"/>
      <c r="AA426" s="154"/>
    </row>
    <row r="427">
      <c r="A427" s="154"/>
      <c r="B427" s="154"/>
      <c r="C427" s="154"/>
      <c r="D427" s="154"/>
      <c r="E427" s="154"/>
      <c r="F427" s="154"/>
      <c r="G427" s="55"/>
      <c r="H427" s="154"/>
      <c r="I427" s="154"/>
      <c r="J427" s="154"/>
      <c r="K427" s="154"/>
      <c r="L427" s="154"/>
      <c r="M427" s="154"/>
      <c r="N427" s="154"/>
      <c r="O427" s="154"/>
      <c r="P427" s="154"/>
      <c r="Q427" s="154"/>
      <c r="R427" s="154"/>
      <c r="S427" s="154"/>
      <c r="T427" s="154"/>
      <c r="U427" s="154"/>
      <c r="V427" s="154"/>
      <c r="W427" s="154"/>
      <c r="X427" s="154"/>
      <c r="Y427" s="154"/>
      <c r="Z427" s="154"/>
      <c r="AA427" s="154"/>
    </row>
    <row r="428">
      <c r="A428" s="154"/>
      <c r="B428" s="154"/>
      <c r="C428" s="154"/>
      <c r="D428" s="154"/>
      <c r="E428" s="154"/>
      <c r="F428" s="154"/>
      <c r="G428" s="55"/>
      <c r="H428" s="154"/>
      <c r="I428" s="154"/>
      <c r="J428" s="154"/>
      <c r="K428" s="154"/>
      <c r="L428" s="154"/>
      <c r="M428" s="154"/>
      <c r="N428" s="154"/>
      <c r="O428" s="154"/>
      <c r="P428" s="154"/>
      <c r="Q428" s="154"/>
      <c r="R428" s="154"/>
      <c r="S428" s="154"/>
      <c r="T428" s="154"/>
      <c r="U428" s="154"/>
      <c r="V428" s="154"/>
      <c r="W428" s="154"/>
      <c r="X428" s="154"/>
      <c r="Y428" s="154"/>
      <c r="Z428" s="154"/>
      <c r="AA428" s="154"/>
    </row>
    <row r="429">
      <c r="A429" s="154"/>
      <c r="B429" s="154"/>
      <c r="C429" s="154"/>
      <c r="D429" s="154"/>
      <c r="E429" s="154"/>
      <c r="F429" s="154"/>
      <c r="G429" s="55"/>
      <c r="H429" s="154"/>
      <c r="I429" s="154"/>
      <c r="J429" s="154"/>
      <c r="K429" s="154"/>
      <c r="L429" s="154"/>
      <c r="M429" s="154"/>
      <c r="N429" s="154"/>
      <c r="O429" s="154"/>
      <c r="P429" s="154"/>
      <c r="Q429" s="154"/>
      <c r="R429" s="154"/>
      <c r="S429" s="154"/>
      <c r="T429" s="154"/>
      <c r="U429" s="154"/>
      <c r="V429" s="154"/>
      <c r="W429" s="154"/>
      <c r="X429" s="154"/>
      <c r="Y429" s="154"/>
      <c r="Z429" s="154"/>
      <c r="AA429" s="154"/>
    </row>
    <row r="430">
      <c r="A430" s="154"/>
      <c r="B430" s="154"/>
      <c r="C430" s="154"/>
      <c r="D430" s="154"/>
      <c r="E430" s="154"/>
      <c r="F430" s="154"/>
      <c r="G430" s="55"/>
      <c r="H430" s="154"/>
      <c r="I430" s="154"/>
      <c r="J430" s="154"/>
      <c r="K430" s="154"/>
      <c r="L430" s="154"/>
      <c r="M430" s="154"/>
      <c r="N430" s="154"/>
      <c r="O430" s="154"/>
      <c r="P430" s="154"/>
      <c r="Q430" s="154"/>
      <c r="R430" s="154"/>
      <c r="S430" s="154"/>
      <c r="T430" s="154"/>
      <c r="U430" s="154"/>
      <c r="V430" s="154"/>
      <c r="W430" s="154"/>
      <c r="X430" s="154"/>
      <c r="Y430" s="154"/>
      <c r="Z430" s="154"/>
      <c r="AA430" s="154"/>
    </row>
    <row r="431">
      <c r="A431" s="154"/>
      <c r="B431" s="154"/>
      <c r="C431" s="154"/>
      <c r="D431" s="154"/>
      <c r="E431" s="154"/>
      <c r="F431" s="154"/>
      <c r="G431" s="55"/>
      <c r="H431" s="154"/>
      <c r="I431" s="154"/>
      <c r="J431" s="154"/>
      <c r="K431" s="154"/>
      <c r="L431" s="154"/>
      <c r="M431" s="154"/>
      <c r="N431" s="154"/>
      <c r="O431" s="154"/>
      <c r="P431" s="154"/>
      <c r="Q431" s="154"/>
      <c r="R431" s="154"/>
      <c r="S431" s="154"/>
      <c r="T431" s="154"/>
      <c r="U431" s="154"/>
      <c r="V431" s="154"/>
      <c r="W431" s="154"/>
      <c r="X431" s="154"/>
      <c r="Y431" s="154"/>
      <c r="Z431" s="154"/>
      <c r="AA431" s="154"/>
    </row>
    <row r="432">
      <c r="A432" s="154"/>
      <c r="B432" s="154"/>
      <c r="C432" s="154"/>
      <c r="D432" s="154"/>
      <c r="E432" s="154"/>
      <c r="F432" s="154"/>
      <c r="G432" s="55"/>
      <c r="H432" s="154"/>
      <c r="I432" s="154"/>
      <c r="J432" s="154"/>
      <c r="K432" s="154"/>
      <c r="L432" s="154"/>
      <c r="M432" s="154"/>
      <c r="N432" s="154"/>
      <c r="O432" s="154"/>
      <c r="P432" s="154"/>
      <c r="Q432" s="154"/>
      <c r="R432" s="154"/>
      <c r="S432" s="154"/>
      <c r="T432" s="154"/>
      <c r="U432" s="154"/>
      <c r="V432" s="154"/>
      <c r="W432" s="154"/>
      <c r="X432" s="154"/>
      <c r="Y432" s="154"/>
      <c r="Z432" s="154"/>
      <c r="AA432" s="154"/>
    </row>
    <row r="433">
      <c r="A433" s="154"/>
      <c r="B433" s="154"/>
      <c r="C433" s="154"/>
      <c r="D433" s="154"/>
      <c r="E433" s="154"/>
      <c r="F433" s="154"/>
      <c r="G433" s="55"/>
      <c r="H433" s="154"/>
      <c r="I433" s="154"/>
      <c r="J433" s="154"/>
      <c r="K433" s="154"/>
      <c r="L433" s="154"/>
      <c r="M433" s="154"/>
      <c r="N433" s="154"/>
      <c r="O433" s="154"/>
      <c r="P433" s="154"/>
      <c r="Q433" s="154"/>
      <c r="R433" s="154"/>
      <c r="S433" s="154"/>
      <c r="T433" s="154"/>
      <c r="U433" s="154"/>
      <c r="V433" s="154"/>
      <c r="W433" s="154"/>
      <c r="X433" s="154"/>
      <c r="Y433" s="154"/>
      <c r="Z433" s="154"/>
      <c r="AA433" s="154"/>
    </row>
    <row r="434">
      <c r="A434" s="154"/>
      <c r="B434" s="154"/>
      <c r="C434" s="154"/>
      <c r="D434" s="154"/>
      <c r="E434" s="154"/>
      <c r="F434" s="154"/>
      <c r="G434" s="55"/>
      <c r="H434" s="154"/>
      <c r="I434" s="154"/>
      <c r="J434" s="154"/>
      <c r="K434" s="154"/>
      <c r="L434" s="154"/>
      <c r="M434" s="154"/>
      <c r="N434" s="154"/>
      <c r="O434" s="154"/>
      <c r="P434" s="154"/>
      <c r="Q434" s="154"/>
      <c r="R434" s="154"/>
      <c r="S434" s="154"/>
      <c r="T434" s="154"/>
      <c r="U434" s="154"/>
      <c r="V434" s="154"/>
      <c r="W434" s="154"/>
      <c r="X434" s="154"/>
      <c r="Y434" s="154"/>
      <c r="Z434" s="154"/>
      <c r="AA434" s="154"/>
    </row>
    <row r="435">
      <c r="A435" s="154"/>
      <c r="B435" s="154"/>
      <c r="C435" s="154"/>
      <c r="D435" s="154"/>
      <c r="E435" s="154"/>
      <c r="F435" s="154"/>
      <c r="G435" s="55"/>
      <c r="H435" s="154"/>
      <c r="I435" s="154"/>
      <c r="J435" s="154"/>
      <c r="K435" s="154"/>
      <c r="L435" s="154"/>
      <c r="M435" s="154"/>
      <c r="N435" s="154"/>
      <c r="O435" s="154"/>
      <c r="P435" s="154"/>
      <c r="Q435" s="154"/>
      <c r="R435" s="154"/>
      <c r="S435" s="154"/>
      <c r="T435" s="154"/>
      <c r="U435" s="154"/>
      <c r="V435" s="154"/>
      <c r="W435" s="154"/>
      <c r="X435" s="154"/>
      <c r="Y435" s="154"/>
      <c r="Z435" s="154"/>
      <c r="AA435" s="154"/>
    </row>
    <row r="436">
      <c r="A436" s="154"/>
      <c r="B436" s="154"/>
      <c r="C436" s="154"/>
      <c r="D436" s="154"/>
      <c r="E436" s="154"/>
      <c r="F436" s="154"/>
      <c r="G436" s="55"/>
      <c r="H436" s="154"/>
      <c r="I436" s="154"/>
      <c r="J436" s="154"/>
      <c r="K436" s="154"/>
      <c r="L436" s="154"/>
      <c r="M436" s="154"/>
      <c r="N436" s="154"/>
      <c r="O436" s="154"/>
      <c r="P436" s="154"/>
      <c r="Q436" s="154"/>
      <c r="R436" s="154"/>
      <c r="S436" s="154"/>
      <c r="T436" s="154"/>
      <c r="U436" s="154"/>
      <c r="V436" s="154"/>
      <c r="W436" s="154"/>
      <c r="X436" s="154"/>
      <c r="Y436" s="154"/>
      <c r="Z436" s="154"/>
      <c r="AA436" s="154"/>
    </row>
    <row r="437">
      <c r="A437" s="154"/>
      <c r="B437" s="154"/>
      <c r="C437" s="154"/>
      <c r="D437" s="154"/>
      <c r="E437" s="154"/>
      <c r="F437" s="154"/>
      <c r="G437" s="55"/>
      <c r="H437" s="154"/>
      <c r="I437" s="154"/>
      <c r="J437" s="154"/>
      <c r="K437" s="154"/>
      <c r="L437" s="154"/>
      <c r="M437" s="154"/>
      <c r="N437" s="154"/>
      <c r="O437" s="154"/>
      <c r="P437" s="154"/>
      <c r="Q437" s="154"/>
      <c r="R437" s="154"/>
      <c r="S437" s="154"/>
      <c r="T437" s="154"/>
      <c r="U437" s="154"/>
      <c r="V437" s="154"/>
      <c r="W437" s="154"/>
      <c r="X437" s="154"/>
      <c r="Y437" s="154"/>
      <c r="Z437" s="154"/>
      <c r="AA437" s="154"/>
    </row>
    <row r="438">
      <c r="A438" s="154"/>
      <c r="B438" s="154"/>
      <c r="C438" s="154"/>
      <c r="D438" s="154"/>
      <c r="E438" s="154"/>
      <c r="F438" s="154"/>
      <c r="G438" s="55"/>
      <c r="H438" s="154"/>
      <c r="I438" s="154"/>
      <c r="J438" s="154"/>
      <c r="K438" s="154"/>
      <c r="L438" s="154"/>
      <c r="M438" s="154"/>
      <c r="N438" s="154"/>
      <c r="O438" s="154"/>
      <c r="P438" s="154"/>
      <c r="Q438" s="154"/>
      <c r="R438" s="154"/>
      <c r="S438" s="154"/>
      <c r="T438" s="154"/>
      <c r="U438" s="154"/>
      <c r="V438" s="154"/>
      <c r="W438" s="154"/>
      <c r="X438" s="154"/>
      <c r="Y438" s="154"/>
      <c r="Z438" s="154"/>
      <c r="AA438" s="154"/>
    </row>
    <row r="439">
      <c r="A439" s="154"/>
      <c r="B439" s="154"/>
      <c r="C439" s="154"/>
      <c r="D439" s="154"/>
      <c r="E439" s="154"/>
      <c r="F439" s="154"/>
      <c r="G439" s="55"/>
      <c r="H439" s="154"/>
      <c r="I439" s="154"/>
      <c r="J439" s="154"/>
      <c r="K439" s="154"/>
      <c r="L439" s="154"/>
      <c r="M439" s="154"/>
      <c r="N439" s="154"/>
      <c r="O439" s="154"/>
      <c r="P439" s="154"/>
      <c r="Q439" s="154"/>
      <c r="R439" s="154"/>
      <c r="S439" s="154"/>
      <c r="T439" s="154"/>
      <c r="U439" s="154"/>
      <c r="V439" s="154"/>
      <c r="W439" s="154"/>
      <c r="X439" s="154"/>
      <c r="Y439" s="154"/>
      <c r="Z439" s="154"/>
      <c r="AA439" s="154"/>
    </row>
    <row r="440">
      <c r="A440" s="154"/>
      <c r="B440" s="154"/>
      <c r="C440" s="154"/>
      <c r="D440" s="154"/>
      <c r="E440" s="154"/>
      <c r="F440" s="154"/>
      <c r="G440" s="55"/>
      <c r="H440" s="154"/>
      <c r="I440" s="154"/>
      <c r="J440" s="154"/>
      <c r="K440" s="154"/>
      <c r="L440" s="154"/>
      <c r="M440" s="154"/>
      <c r="N440" s="154"/>
      <c r="O440" s="154"/>
      <c r="P440" s="154"/>
      <c r="Q440" s="154"/>
      <c r="R440" s="154"/>
      <c r="S440" s="154"/>
      <c r="T440" s="154"/>
      <c r="U440" s="154"/>
      <c r="V440" s="154"/>
      <c r="W440" s="154"/>
      <c r="X440" s="154"/>
      <c r="Y440" s="154"/>
      <c r="Z440" s="154"/>
      <c r="AA440" s="154"/>
    </row>
    <row r="441">
      <c r="A441" s="154"/>
      <c r="B441" s="154"/>
      <c r="C441" s="154"/>
      <c r="D441" s="154"/>
      <c r="E441" s="154"/>
      <c r="F441" s="154"/>
      <c r="G441" s="55"/>
      <c r="H441" s="154"/>
      <c r="I441" s="154"/>
      <c r="J441" s="154"/>
      <c r="K441" s="154"/>
      <c r="L441" s="154"/>
      <c r="M441" s="154"/>
      <c r="N441" s="154"/>
      <c r="O441" s="154"/>
      <c r="P441" s="154"/>
      <c r="Q441" s="154"/>
      <c r="R441" s="154"/>
      <c r="S441" s="154"/>
      <c r="T441" s="154"/>
      <c r="U441" s="154"/>
      <c r="V441" s="154"/>
      <c r="W441" s="154"/>
      <c r="X441" s="154"/>
      <c r="Y441" s="154"/>
      <c r="Z441" s="154"/>
      <c r="AA441" s="154"/>
    </row>
    <row r="442">
      <c r="A442" s="154"/>
      <c r="B442" s="154"/>
      <c r="C442" s="154"/>
      <c r="D442" s="154"/>
      <c r="E442" s="154"/>
      <c r="F442" s="154"/>
      <c r="G442" s="55"/>
      <c r="H442" s="154"/>
      <c r="I442" s="154"/>
      <c r="J442" s="154"/>
      <c r="K442" s="154"/>
      <c r="L442" s="154"/>
      <c r="M442" s="154"/>
      <c r="N442" s="154"/>
      <c r="O442" s="154"/>
      <c r="P442" s="154"/>
      <c r="Q442" s="154"/>
      <c r="R442" s="154"/>
      <c r="S442" s="154"/>
      <c r="T442" s="154"/>
      <c r="U442" s="154"/>
      <c r="V442" s="154"/>
      <c r="W442" s="154"/>
      <c r="X442" s="154"/>
      <c r="Y442" s="154"/>
      <c r="Z442" s="154"/>
      <c r="AA442" s="154"/>
    </row>
    <row r="443">
      <c r="A443" s="154"/>
      <c r="B443" s="154"/>
      <c r="C443" s="154"/>
      <c r="D443" s="154"/>
      <c r="E443" s="154"/>
      <c r="F443" s="154"/>
      <c r="G443" s="55"/>
      <c r="H443" s="154"/>
      <c r="I443" s="154"/>
      <c r="J443" s="154"/>
      <c r="K443" s="154"/>
      <c r="L443" s="154"/>
      <c r="M443" s="154"/>
      <c r="N443" s="154"/>
      <c r="O443" s="154"/>
      <c r="P443" s="154"/>
      <c r="Q443" s="154"/>
      <c r="R443" s="154"/>
      <c r="S443" s="154"/>
      <c r="T443" s="154"/>
      <c r="U443" s="154"/>
      <c r="V443" s="154"/>
      <c r="W443" s="154"/>
      <c r="X443" s="154"/>
      <c r="Y443" s="154"/>
      <c r="Z443" s="154"/>
      <c r="AA443" s="154"/>
    </row>
    <row r="444">
      <c r="A444" s="154"/>
      <c r="B444" s="154"/>
      <c r="C444" s="154"/>
      <c r="D444" s="154"/>
      <c r="E444" s="154"/>
      <c r="F444" s="154"/>
      <c r="G444" s="55"/>
      <c r="H444" s="154"/>
      <c r="I444" s="154"/>
      <c r="J444" s="154"/>
      <c r="K444" s="154"/>
      <c r="L444" s="154"/>
      <c r="M444" s="154"/>
      <c r="N444" s="154"/>
      <c r="O444" s="154"/>
      <c r="P444" s="154"/>
      <c r="Q444" s="154"/>
      <c r="R444" s="154"/>
      <c r="S444" s="154"/>
      <c r="T444" s="154"/>
      <c r="U444" s="154"/>
      <c r="V444" s="154"/>
      <c r="W444" s="154"/>
      <c r="X444" s="154"/>
      <c r="Y444" s="154"/>
      <c r="Z444" s="154"/>
      <c r="AA444" s="154"/>
    </row>
    <row r="445">
      <c r="A445" s="154"/>
      <c r="B445" s="154"/>
      <c r="C445" s="154"/>
      <c r="D445" s="154"/>
      <c r="E445" s="154"/>
      <c r="F445" s="154"/>
      <c r="G445" s="55"/>
      <c r="H445" s="154"/>
      <c r="I445" s="154"/>
      <c r="J445" s="154"/>
      <c r="K445" s="154"/>
      <c r="L445" s="154"/>
      <c r="M445" s="154"/>
      <c r="N445" s="154"/>
      <c r="O445" s="154"/>
      <c r="P445" s="154"/>
      <c r="Q445" s="154"/>
      <c r="R445" s="154"/>
      <c r="S445" s="154"/>
      <c r="T445" s="154"/>
      <c r="U445" s="154"/>
      <c r="V445" s="154"/>
      <c r="W445" s="154"/>
      <c r="X445" s="154"/>
      <c r="Y445" s="154"/>
      <c r="Z445" s="154"/>
      <c r="AA445" s="154"/>
    </row>
    <row r="446">
      <c r="A446" s="154"/>
      <c r="B446" s="154"/>
      <c r="C446" s="154"/>
      <c r="D446" s="154"/>
      <c r="E446" s="154"/>
      <c r="F446" s="154"/>
      <c r="G446" s="55"/>
      <c r="H446" s="154"/>
      <c r="I446" s="154"/>
      <c r="J446" s="154"/>
      <c r="K446" s="154"/>
      <c r="L446" s="154"/>
      <c r="M446" s="154"/>
      <c r="N446" s="154"/>
      <c r="O446" s="154"/>
      <c r="P446" s="154"/>
      <c r="Q446" s="154"/>
      <c r="R446" s="154"/>
      <c r="S446" s="154"/>
      <c r="T446" s="154"/>
      <c r="U446" s="154"/>
      <c r="V446" s="154"/>
      <c r="W446" s="154"/>
      <c r="X446" s="154"/>
      <c r="Y446" s="154"/>
      <c r="Z446" s="154"/>
      <c r="AA446" s="154"/>
    </row>
    <row r="447">
      <c r="A447" s="154"/>
      <c r="B447" s="154"/>
      <c r="C447" s="154"/>
      <c r="D447" s="154"/>
      <c r="E447" s="154"/>
      <c r="F447" s="154"/>
      <c r="G447" s="55"/>
      <c r="H447" s="154"/>
      <c r="I447" s="154"/>
      <c r="J447" s="154"/>
      <c r="K447" s="154"/>
      <c r="L447" s="154"/>
      <c r="M447" s="154"/>
      <c r="N447" s="154"/>
      <c r="O447" s="154"/>
      <c r="P447" s="154"/>
      <c r="Q447" s="154"/>
      <c r="R447" s="154"/>
      <c r="S447" s="154"/>
      <c r="T447" s="154"/>
      <c r="U447" s="154"/>
      <c r="V447" s="154"/>
      <c r="W447" s="154"/>
      <c r="X447" s="154"/>
      <c r="Y447" s="154"/>
      <c r="Z447" s="154"/>
      <c r="AA447" s="154"/>
    </row>
    <row r="448">
      <c r="A448" s="154"/>
      <c r="B448" s="154"/>
      <c r="C448" s="154"/>
      <c r="D448" s="154"/>
      <c r="E448" s="154"/>
      <c r="F448" s="154"/>
      <c r="G448" s="55"/>
      <c r="H448" s="154"/>
      <c r="I448" s="154"/>
      <c r="J448" s="154"/>
      <c r="K448" s="154"/>
      <c r="L448" s="154"/>
      <c r="M448" s="154"/>
      <c r="N448" s="154"/>
      <c r="O448" s="154"/>
      <c r="P448" s="154"/>
      <c r="Q448" s="154"/>
      <c r="R448" s="154"/>
      <c r="S448" s="154"/>
      <c r="T448" s="154"/>
      <c r="U448" s="154"/>
      <c r="V448" s="154"/>
      <c r="W448" s="154"/>
      <c r="X448" s="154"/>
      <c r="Y448" s="154"/>
      <c r="Z448" s="154"/>
      <c r="AA448" s="154"/>
    </row>
    <row r="449">
      <c r="A449" s="154"/>
      <c r="B449" s="154"/>
      <c r="C449" s="154"/>
      <c r="D449" s="154"/>
      <c r="E449" s="154"/>
      <c r="F449" s="154"/>
      <c r="G449" s="55"/>
      <c r="H449" s="154"/>
      <c r="I449" s="154"/>
      <c r="J449" s="154"/>
      <c r="K449" s="154"/>
      <c r="L449" s="154"/>
      <c r="M449" s="154"/>
      <c r="N449" s="154"/>
      <c r="O449" s="154"/>
      <c r="P449" s="154"/>
      <c r="Q449" s="154"/>
      <c r="R449" s="154"/>
      <c r="S449" s="154"/>
      <c r="T449" s="154"/>
      <c r="U449" s="154"/>
      <c r="V449" s="154"/>
      <c r="W449" s="154"/>
      <c r="X449" s="154"/>
      <c r="Y449" s="154"/>
      <c r="Z449" s="154"/>
      <c r="AA449" s="154"/>
    </row>
    <row r="450">
      <c r="A450" s="154"/>
      <c r="B450" s="154"/>
      <c r="C450" s="154"/>
      <c r="D450" s="154"/>
      <c r="E450" s="154"/>
      <c r="F450" s="154"/>
      <c r="G450" s="55"/>
      <c r="H450" s="154"/>
      <c r="I450" s="154"/>
      <c r="J450" s="154"/>
      <c r="K450" s="154"/>
      <c r="L450" s="154"/>
      <c r="M450" s="154"/>
      <c r="N450" s="154"/>
      <c r="O450" s="154"/>
      <c r="P450" s="154"/>
      <c r="Q450" s="154"/>
      <c r="R450" s="154"/>
      <c r="S450" s="154"/>
      <c r="T450" s="154"/>
      <c r="U450" s="154"/>
      <c r="V450" s="154"/>
      <c r="W450" s="154"/>
      <c r="X450" s="154"/>
      <c r="Y450" s="154"/>
      <c r="Z450" s="154"/>
      <c r="AA450" s="154"/>
    </row>
    <row r="451">
      <c r="A451" s="154"/>
      <c r="B451" s="154"/>
      <c r="C451" s="154"/>
      <c r="D451" s="154"/>
      <c r="E451" s="154"/>
      <c r="F451" s="154"/>
      <c r="G451" s="55"/>
      <c r="H451" s="154"/>
      <c r="I451" s="154"/>
      <c r="J451" s="154"/>
      <c r="K451" s="154"/>
      <c r="L451" s="154"/>
      <c r="M451" s="154"/>
      <c r="N451" s="154"/>
      <c r="O451" s="154"/>
      <c r="P451" s="154"/>
      <c r="Q451" s="154"/>
      <c r="R451" s="154"/>
      <c r="S451" s="154"/>
      <c r="T451" s="154"/>
      <c r="U451" s="154"/>
      <c r="V451" s="154"/>
      <c r="W451" s="154"/>
      <c r="X451" s="154"/>
      <c r="Y451" s="154"/>
      <c r="Z451" s="154"/>
      <c r="AA451" s="154"/>
    </row>
    <row r="452">
      <c r="A452" s="154"/>
      <c r="B452" s="154"/>
      <c r="C452" s="154"/>
      <c r="D452" s="154"/>
      <c r="E452" s="154"/>
      <c r="F452" s="154"/>
      <c r="G452" s="55"/>
      <c r="H452" s="154"/>
      <c r="I452" s="154"/>
      <c r="J452" s="154"/>
      <c r="K452" s="154"/>
      <c r="L452" s="154"/>
      <c r="M452" s="154"/>
      <c r="N452" s="154"/>
      <c r="O452" s="154"/>
      <c r="P452" s="154"/>
      <c r="Q452" s="154"/>
      <c r="R452" s="154"/>
      <c r="S452" s="154"/>
      <c r="T452" s="154"/>
      <c r="U452" s="154"/>
      <c r="V452" s="154"/>
      <c r="W452" s="154"/>
      <c r="X452" s="154"/>
      <c r="Y452" s="154"/>
      <c r="Z452" s="154"/>
      <c r="AA452" s="154"/>
    </row>
    <row r="453">
      <c r="A453" s="154"/>
      <c r="B453" s="154"/>
      <c r="C453" s="154"/>
      <c r="D453" s="154"/>
      <c r="E453" s="154"/>
      <c r="F453" s="154"/>
      <c r="G453" s="55"/>
      <c r="H453" s="154"/>
      <c r="I453" s="154"/>
      <c r="J453" s="154"/>
      <c r="K453" s="154"/>
      <c r="L453" s="154"/>
      <c r="M453" s="154"/>
      <c r="N453" s="154"/>
      <c r="O453" s="154"/>
      <c r="P453" s="154"/>
      <c r="Q453" s="154"/>
      <c r="R453" s="154"/>
      <c r="S453" s="154"/>
      <c r="T453" s="154"/>
      <c r="U453" s="154"/>
      <c r="V453" s="154"/>
      <c r="W453" s="154"/>
      <c r="X453" s="154"/>
      <c r="Y453" s="154"/>
      <c r="Z453" s="154"/>
      <c r="AA453" s="154"/>
    </row>
    <row r="454">
      <c r="A454" s="154"/>
      <c r="B454" s="154"/>
      <c r="C454" s="154"/>
      <c r="D454" s="154"/>
      <c r="E454" s="154"/>
      <c r="F454" s="154"/>
      <c r="G454" s="55"/>
      <c r="H454" s="154"/>
      <c r="I454" s="154"/>
      <c r="J454" s="154"/>
      <c r="K454" s="154"/>
      <c r="L454" s="154"/>
      <c r="M454" s="154"/>
      <c r="N454" s="154"/>
      <c r="O454" s="154"/>
      <c r="P454" s="154"/>
      <c r="Q454" s="154"/>
      <c r="R454" s="154"/>
      <c r="S454" s="154"/>
      <c r="T454" s="154"/>
      <c r="U454" s="154"/>
      <c r="V454" s="154"/>
      <c r="W454" s="154"/>
      <c r="X454" s="154"/>
      <c r="Y454" s="154"/>
      <c r="Z454" s="154"/>
      <c r="AA454" s="154"/>
    </row>
    <row r="455">
      <c r="A455" s="154"/>
      <c r="B455" s="154"/>
      <c r="C455" s="154"/>
      <c r="D455" s="154"/>
      <c r="E455" s="154"/>
      <c r="F455" s="154"/>
      <c r="G455" s="55"/>
      <c r="H455" s="154"/>
      <c r="I455" s="154"/>
      <c r="J455" s="154"/>
      <c r="K455" s="154"/>
      <c r="L455" s="154"/>
      <c r="M455" s="154"/>
      <c r="N455" s="154"/>
      <c r="O455" s="154"/>
      <c r="P455" s="154"/>
      <c r="Q455" s="154"/>
      <c r="R455" s="154"/>
      <c r="S455" s="154"/>
      <c r="T455" s="154"/>
      <c r="U455" s="154"/>
      <c r="V455" s="154"/>
      <c r="W455" s="154"/>
      <c r="X455" s="154"/>
      <c r="Y455" s="154"/>
      <c r="Z455" s="154"/>
      <c r="AA455" s="154"/>
    </row>
    <row r="456">
      <c r="A456" s="154"/>
      <c r="B456" s="154"/>
      <c r="C456" s="154"/>
      <c r="D456" s="154"/>
      <c r="E456" s="154"/>
      <c r="F456" s="154"/>
      <c r="G456" s="55"/>
      <c r="H456" s="154"/>
      <c r="I456" s="154"/>
      <c r="J456" s="154"/>
      <c r="K456" s="154"/>
      <c r="L456" s="154"/>
      <c r="M456" s="154"/>
      <c r="N456" s="154"/>
      <c r="O456" s="154"/>
      <c r="P456" s="154"/>
      <c r="Q456" s="154"/>
      <c r="R456" s="154"/>
      <c r="S456" s="154"/>
      <c r="T456" s="154"/>
      <c r="U456" s="154"/>
      <c r="V456" s="154"/>
      <c r="W456" s="154"/>
      <c r="X456" s="154"/>
      <c r="Y456" s="154"/>
      <c r="Z456" s="154"/>
      <c r="AA456" s="154"/>
    </row>
    <row r="457">
      <c r="A457" s="154"/>
      <c r="B457" s="154"/>
      <c r="C457" s="154"/>
      <c r="D457" s="154"/>
      <c r="E457" s="154"/>
      <c r="F457" s="154"/>
      <c r="G457" s="55"/>
      <c r="H457" s="154"/>
      <c r="I457" s="154"/>
      <c r="J457" s="154"/>
      <c r="K457" s="154"/>
      <c r="L457" s="154"/>
      <c r="M457" s="154"/>
      <c r="N457" s="154"/>
      <c r="O457" s="154"/>
      <c r="P457" s="154"/>
      <c r="Q457" s="154"/>
      <c r="R457" s="154"/>
      <c r="S457" s="154"/>
      <c r="T457" s="154"/>
      <c r="U457" s="154"/>
      <c r="V457" s="154"/>
      <c r="W457" s="154"/>
      <c r="X457" s="154"/>
      <c r="Y457" s="154"/>
      <c r="Z457" s="154"/>
      <c r="AA457" s="154"/>
    </row>
    <row r="458">
      <c r="A458" s="154"/>
      <c r="B458" s="154"/>
      <c r="C458" s="154"/>
      <c r="D458" s="154"/>
      <c r="E458" s="154"/>
      <c r="F458" s="154"/>
      <c r="G458" s="55"/>
      <c r="H458" s="154"/>
      <c r="I458" s="154"/>
      <c r="J458" s="154"/>
      <c r="K458" s="154"/>
      <c r="L458" s="154"/>
      <c r="M458" s="154"/>
      <c r="N458" s="154"/>
      <c r="O458" s="154"/>
      <c r="P458" s="154"/>
      <c r="Q458" s="154"/>
      <c r="R458" s="154"/>
      <c r="S458" s="154"/>
      <c r="T458" s="154"/>
      <c r="U458" s="154"/>
      <c r="V458" s="154"/>
      <c r="W458" s="154"/>
      <c r="X458" s="154"/>
      <c r="Y458" s="154"/>
      <c r="Z458" s="154"/>
      <c r="AA458" s="154"/>
    </row>
    <row r="459">
      <c r="A459" s="154"/>
      <c r="B459" s="154"/>
      <c r="C459" s="154"/>
      <c r="D459" s="154"/>
      <c r="E459" s="154"/>
      <c r="F459" s="154"/>
      <c r="G459" s="55"/>
      <c r="H459" s="154"/>
      <c r="I459" s="154"/>
      <c r="J459" s="154"/>
      <c r="K459" s="154"/>
      <c r="L459" s="154"/>
      <c r="M459" s="154"/>
      <c r="N459" s="154"/>
      <c r="O459" s="154"/>
      <c r="P459" s="154"/>
      <c r="Q459" s="154"/>
      <c r="R459" s="154"/>
      <c r="S459" s="154"/>
      <c r="T459" s="154"/>
      <c r="U459" s="154"/>
      <c r="V459" s="154"/>
      <c r="W459" s="154"/>
      <c r="X459" s="154"/>
      <c r="Y459" s="154"/>
      <c r="Z459" s="154"/>
      <c r="AA459" s="154"/>
    </row>
    <row r="460">
      <c r="A460" s="154"/>
      <c r="B460" s="154"/>
      <c r="C460" s="154"/>
      <c r="D460" s="154"/>
      <c r="E460" s="154"/>
      <c r="F460" s="154"/>
      <c r="G460" s="55"/>
      <c r="H460" s="154"/>
      <c r="I460" s="154"/>
      <c r="J460" s="154"/>
      <c r="K460" s="154"/>
      <c r="L460" s="154"/>
      <c r="M460" s="154"/>
      <c r="N460" s="154"/>
      <c r="O460" s="154"/>
      <c r="P460" s="154"/>
      <c r="Q460" s="154"/>
      <c r="R460" s="154"/>
      <c r="S460" s="154"/>
      <c r="T460" s="154"/>
      <c r="U460" s="154"/>
      <c r="V460" s="154"/>
      <c r="W460" s="154"/>
      <c r="X460" s="154"/>
      <c r="Y460" s="154"/>
      <c r="Z460" s="154"/>
      <c r="AA460" s="154"/>
    </row>
    <row r="461">
      <c r="A461" s="154"/>
      <c r="B461" s="154"/>
      <c r="C461" s="154"/>
      <c r="D461" s="154"/>
      <c r="E461" s="154"/>
      <c r="F461" s="154"/>
      <c r="G461" s="55"/>
      <c r="H461" s="154"/>
      <c r="I461" s="154"/>
      <c r="J461" s="154"/>
      <c r="K461" s="154"/>
      <c r="L461" s="154"/>
      <c r="M461" s="154"/>
      <c r="N461" s="154"/>
      <c r="O461" s="154"/>
      <c r="P461" s="154"/>
      <c r="Q461" s="154"/>
      <c r="R461" s="154"/>
      <c r="S461" s="154"/>
      <c r="T461" s="154"/>
      <c r="U461" s="154"/>
      <c r="V461" s="154"/>
      <c r="W461" s="154"/>
      <c r="X461" s="154"/>
      <c r="Y461" s="154"/>
      <c r="Z461" s="154"/>
      <c r="AA461" s="154"/>
    </row>
    <row r="462">
      <c r="A462" s="154"/>
      <c r="B462" s="154"/>
      <c r="C462" s="154"/>
      <c r="D462" s="154"/>
      <c r="E462" s="154"/>
      <c r="F462" s="154"/>
      <c r="G462" s="55"/>
      <c r="H462" s="154"/>
      <c r="I462" s="154"/>
      <c r="J462" s="154"/>
      <c r="K462" s="154"/>
      <c r="L462" s="154"/>
      <c r="M462" s="154"/>
      <c r="N462" s="154"/>
      <c r="O462" s="154"/>
      <c r="P462" s="154"/>
      <c r="Q462" s="154"/>
      <c r="R462" s="154"/>
      <c r="S462" s="154"/>
      <c r="T462" s="154"/>
      <c r="U462" s="154"/>
      <c r="V462" s="154"/>
      <c r="W462" s="154"/>
      <c r="X462" s="154"/>
      <c r="Y462" s="154"/>
      <c r="Z462" s="154"/>
      <c r="AA462" s="154"/>
    </row>
    <row r="463">
      <c r="A463" s="154"/>
      <c r="B463" s="154"/>
      <c r="C463" s="154"/>
      <c r="D463" s="154"/>
      <c r="E463" s="154"/>
      <c r="F463" s="154"/>
      <c r="G463" s="55"/>
      <c r="H463" s="154"/>
      <c r="I463" s="154"/>
      <c r="J463" s="154"/>
      <c r="K463" s="154"/>
      <c r="L463" s="154"/>
      <c r="M463" s="154"/>
      <c r="N463" s="154"/>
      <c r="O463" s="154"/>
      <c r="P463" s="154"/>
      <c r="Q463" s="154"/>
      <c r="R463" s="154"/>
      <c r="S463" s="154"/>
      <c r="T463" s="154"/>
      <c r="U463" s="154"/>
      <c r="V463" s="154"/>
      <c r="W463" s="154"/>
      <c r="X463" s="154"/>
      <c r="Y463" s="154"/>
      <c r="Z463" s="154"/>
      <c r="AA463" s="154"/>
    </row>
    <row r="464">
      <c r="A464" s="154"/>
      <c r="B464" s="154"/>
      <c r="C464" s="154"/>
      <c r="D464" s="154"/>
      <c r="E464" s="154"/>
      <c r="F464" s="154"/>
      <c r="G464" s="55"/>
      <c r="H464" s="154"/>
      <c r="I464" s="154"/>
      <c r="J464" s="154"/>
      <c r="K464" s="154"/>
      <c r="L464" s="154"/>
      <c r="M464" s="154"/>
      <c r="N464" s="154"/>
      <c r="O464" s="154"/>
      <c r="P464" s="154"/>
      <c r="Q464" s="154"/>
      <c r="R464" s="154"/>
      <c r="S464" s="154"/>
      <c r="T464" s="154"/>
      <c r="U464" s="154"/>
      <c r="V464" s="154"/>
      <c r="W464" s="154"/>
      <c r="X464" s="154"/>
      <c r="Y464" s="154"/>
      <c r="Z464" s="154"/>
      <c r="AA464" s="154"/>
    </row>
    <row r="465">
      <c r="A465" s="154"/>
      <c r="B465" s="154"/>
      <c r="C465" s="154"/>
      <c r="D465" s="154"/>
      <c r="E465" s="154"/>
      <c r="F465" s="154"/>
      <c r="G465" s="55"/>
      <c r="H465" s="154"/>
      <c r="I465" s="154"/>
      <c r="J465" s="154"/>
      <c r="K465" s="154"/>
      <c r="L465" s="154"/>
      <c r="M465" s="154"/>
      <c r="N465" s="154"/>
      <c r="O465" s="154"/>
      <c r="P465" s="154"/>
      <c r="Q465" s="154"/>
      <c r="R465" s="154"/>
      <c r="S465" s="154"/>
      <c r="T465" s="154"/>
      <c r="U465" s="154"/>
      <c r="V465" s="154"/>
      <c r="W465" s="154"/>
      <c r="X465" s="154"/>
      <c r="Y465" s="154"/>
      <c r="Z465" s="154"/>
      <c r="AA465" s="154"/>
    </row>
    <row r="466">
      <c r="A466" s="154"/>
      <c r="B466" s="154"/>
      <c r="C466" s="154"/>
      <c r="D466" s="154"/>
      <c r="E466" s="154"/>
      <c r="F466" s="154"/>
      <c r="G466" s="55"/>
      <c r="H466" s="154"/>
      <c r="I466" s="154"/>
      <c r="J466" s="154"/>
      <c r="K466" s="154"/>
      <c r="L466" s="154"/>
      <c r="M466" s="154"/>
      <c r="N466" s="154"/>
      <c r="O466" s="154"/>
      <c r="P466" s="154"/>
      <c r="Q466" s="154"/>
      <c r="R466" s="154"/>
      <c r="S466" s="154"/>
      <c r="T466" s="154"/>
      <c r="U466" s="154"/>
      <c r="V466" s="154"/>
      <c r="W466" s="154"/>
      <c r="X466" s="154"/>
      <c r="Y466" s="154"/>
      <c r="Z466" s="154"/>
      <c r="AA466" s="154"/>
    </row>
    <row r="467">
      <c r="A467" s="154"/>
      <c r="B467" s="154"/>
      <c r="C467" s="154"/>
      <c r="D467" s="154"/>
      <c r="E467" s="154"/>
      <c r="F467" s="154"/>
      <c r="G467" s="55"/>
      <c r="H467" s="154"/>
      <c r="I467" s="154"/>
      <c r="J467" s="154"/>
      <c r="K467" s="154"/>
      <c r="L467" s="154"/>
      <c r="M467" s="154"/>
      <c r="N467" s="154"/>
      <c r="O467" s="154"/>
      <c r="P467" s="154"/>
      <c r="Q467" s="154"/>
      <c r="R467" s="154"/>
      <c r="S467" s="154"/>
      <c r="T467" s="154"/>
      <c r="U467" s="154"/>
      <c r="V467" s="154"/>
      <c r="W467" s="154"/>
      <c r="X467" s="154"/>
      <c r="Y467" s="154"/>
      <c r="Z467" s="154"/>
      <c r="AA467" s="154"/>
    </row>
    <row r="468">
      <c r="A468" s="154"/>
      <c r="B468" s="154"/>
      <c r="C468" s="154"/>
      <c r="D468" s="154"/>
      <c r="E468" s="154"/>
      <c r="F468" s="154"/>
      <c r="G468" s="55"/>
      <c r="H468" s="154"/>
      <c r="I468" s="154"/>
      <c r="J468" s="154"/>
      <c r="K468" s="154"/>
      <c r="L468" s="154"/>
      <c r="M468" s="154"/>
      <c r="N468" s="154"/>
      <c r="O468" s="154"/>
      <c r="P468" s="154"/>
      <c r="Q468" s="154"/>
      <c r="R468" s="154"/>
      <c r="S468" s="154"/>
      <c r="T468" s="154"/>
      <c r="U468" s="154"/>
      <c r="V468" s="154"/>
      <c r="W468" s="154"/>
      <c r="X468" s="154"/>
      <c r="Y468" s="154"/>
      <c r="Z468" s="154"/>
      <c r="AA468" s="154"/>
    </row>
    <row r="469">
      <c r="A469" s="154"/>
      <c r="B469" s="154"/>
      <c r="C469" s="154"/>
      <c r="D469" s="154"/>
      <c r="E469" s="154"/>
      <c r="F469" s="154"/>
      <c r="G469" s="55"/>
      <c r="H469" s="154"/>
      <c r="I469" s="154"/>
      <c r="J469" s="154"/>
      <c r="K469" s="154"/>
      <c r="L469" s="154"/>
      <c r="M469" s="154"/>
      <c r="N469" s="154"/>
      <c r="O469" s="154"/>
      <c r="P469" s="154"/>
      <c r="Q469" s="154"/>
      <c r="R469" s="154"/>
      <c r="S469" s="154"/>
      <c r="T469" s="154"/>
      <c r="U469" s="154"/>
      <c r="V469" s="154"/>
      <c r="W469" s="154"/>
      <c r="X469" s="154"/>
      <c r="Y469" s="154"/>
      <c r="Z469" s="154"/>
      <c r="AA469" s="154"/>
    </row>
    <row r="470">
      <c r="A470" s="154"/>
      <c r="B470" s="154"/>
      <c r="C470" s="154"/>
      <c r="D470" s="154"/>
      <c r="E470" s="154"/>
      <c r="F470" s="154"/>
      <c r="G470" s="55"/>
      <c r="H470" s="154"/>
      <c r="I470" s="154"/>
      <c r="J470" s="154"/>
      <c r="K470" s="154"/>
      <c r="L470" s="154"/>
      <c r="M470" s="154"/>
      <c r="N470" s="154"/>
      <c r="O470" s="154"/>
      <c r="P470" s="154"/>
      <c r="Q470" s="154"/>
      <c r="R470" s="154"/>
      <c r="S470" s="154"/>
      <c r="T470" s="154"/>
      <c r="U470" s="154"/>
      <c r="V470" s="154"/>
      <c r="W470" s="154"/>
      <c r="X470" s="154"/>
      <c r="Y470" s="154"/>
      <c r="Z470" s="154"/>
      <c r="AA470" s="154"/>
    </row>
    <row r="471">
      <c r="A471" s="154"/>
      <c r="B471" s="154"/>
      <c r="C471" s="154"/>
      <c r="D471" s="154"/>
      <c r="E471" s="154"/>
      <c r="F471" s="154"/>
      <c r="G471" s="55"/>
      <c r="H471" s="154"/>
      <c r="I471" s="154"/>
      <c r="J471" s="154"/>
      <c r="K471" s="154"/>
      <c r="L471" s="154"/>
      <c r="M471" s="154"/>
      <c r="N471" s="154"/>
      <c r="O471" s="154"/>
      <c r="P471" s="154"/>
      <c r="Q471" s="154"/>
      <c r="R471" s="154"/>
      <c r="S471" s="154"/>
      <c r="T471" s="154"/>
      <c r="U471" s="154"/>
      <c r="V471" s="154"/>
      <c r="W471" s="154"/>
      <c r="X471" s="154"/>
      <c r="Y471" s="154"/>
      <c r="Z471" s="154"/>
      <c r="AA471" s="154"/>
    </row>
    <row r="472">
      <c r="A472" s="154"/>
      <c r="B472" s="154"/>
      <c r="C472" s="154"/>
      <c r="D472" s="154"/>
      <c r="E472" s="154"/>
      <c r="F472" s="154"/>
      <c r="G472" s="55"/>
      <c r="H472" s="154"/>
      <c r="I472" s="154"/>
      <c r="J472" s="154"/>
      <c r="K472" s="154"/>
      <c r="L472" s="154"/>
      <c r="M472" s="154"/>
      <c r="N472" s="154"/>
      <c r="O472" s="154"/>
      <c r="P472" s="154"/>
      <c r="Q472" s="154"/>
      <c r="R472" s="154"/>
      <c r="S472" s="154"/>
      <c r="T472" s="154"/>
      <c r="U472" s="154"/>
      <c r="V472" s="154"/>
      <c r="W472" s="154"/>
      <c r="X472" s="154"/>
      <c r="Y472" s="154"/>
      <c r="Z472" s="154"/>
      <c r="AA472" s="154"/>
    </row>
    <row r="473">
      <c r="A473" s="154"/>
      <c r="B473" s="154"/>
      <c r="C473" s="154"/>
      <c r="D473" s="154"/>
      <c r="E473" s="154"/>
      <c r="F473" s="154"/>
      <c r="G473" s="55"/>
      <c r="H473" s="154"/>
      <c r="I473" s="154"/>
      <c r="J473" s="154"/>
      <c r="K473" s="154"/>
      <c r="L473" s="154"/>
      <c r="M473" s="154"/>
      <c r="N473" s="154"/>
      <c r="O473" s="154"/>
      <c r="P473" s="154"/>
      <c r="Q473" s="154"/>
      <c r="R473" s="154"/>
      <c r="S473" s="154"/>
      <c r="T473" s="154"/>
      <c r="U473" s="154"/>
      <c r="V473" s="154"/>
      <c r="W473" s="154"/>
      <c r="X473" s="154"/>
      <c r="Y473" s="154"/>
      <c r="Z473" s="154"/>
      <c r="AA473" s="154"/>
    </row>
    <row r="474">
      <c r="A474" s="154"/>
      <c r="B474" s="154"/>
      <c r="C474" s="154"/>
      <c r="D474" s="154"/>
      <c r="E474" s="154"/>
      <c r="F474" s="154"/>
      <c r="G474" s="55"/>
      <c r="H474" s="154"/>
      <c r="I474" s="154"/>
      <c r="J474" s="154"/>
      <c r="K474" s="154"/>
      <c r="L474" s="154"/>
      <c r="M474" s="154"/>
      <c r="N474" s="154"/>
      <c r="O474" s="154"/>
      <c r="P474" s="154"/>
      <c r="Q474" s="154"/>
      <c r="R474" s="154"/>
      <c r="S474" s="154"/>
      <c r="T474" s="154"/>
      <c r="U474" s="154"/>
      <c r="V474" s="154"/>
      <c r="W474" s="154"/>
      <c r="X474" s="154"/>
      <c r="Y474" s="154"/>
      <c r="Z474" s="154"/>
      <c r="AA474" s="154"/>
    </row>
    <row r="475">
      <c r="A475" s="154"/>
      <c r="B475" s="154"/>
      <c r="C475" s="154"/>
      <c r="D475" s="154"/>
      <c r="E475" s="154"/>
      <c r="F475" s="154"/>
      <c r="G475" s="55"/>
      <c r="H475" s="154"/>
      <c r="I475" s="154"/>
      <c r="J475" s="154"/>
      <c r="K475" s="154"/>
      <c r="L475" s="154"/>
      <c r="M475" s="154"/>
      <c r="N475" s="154"/>
      <c r="O475" s="154"/>
      <c r="P475" s="154"/>
      <c r="Q475" s="154"/>
      <c r="R475" s="154"/>
      <c r="S475" s="154"/>
      <c r="T475" s="154"/>
      <c r="U475" s="154"/>
      <c r="V475" s="154"/>
      <c r="W475" s="154"/>
      <c r="X475" s="154"/>
      <c r="Y475" s="154"/>
      <c r="Z475" s="154"/>
      <c r="AA475" s="154"/>
    </row>
    <row r="476">
      <c r="A476" s="154"/>
      <c r="B476" s="154"/>
      <c r="C476" s="154"/>
      <c r="D476" s="154"/>
      <c r="E476" s="154"/>
      <c r="F476" s="154"/>
      <c r="G476" s="55"/>
      <c r="H476" s="154"/>
      <c r="I476" s="154"/>
      <c r="J476" s="154"/>
      <c r="K476" s="154"/>
      <c r="L476" s="154"/>
      <c r="M476" s="154"/>
      <c r="N476" s="154"/>
      <c r="O476" s="154"/>
      <c r="P476" s="154"/>
      <c r="Q476" s="154"/>
      <c r="R476" s="154"/>
      <c r="S476" s="154"/>
      <c r="T476" s="154"/>
      <c r="U476" s="154"/>
      <c r="V476" s="154"/>
      <c r="W476" s="154"/>
      <c r="X476" s="154"/>
      <c r="Y476" s="154"/>
      <c r="Z476" s="154"/>
      <c r="AA476" s="154"/>
    </row>
    <row r="477">
      <c r="A477" s="154"/>
      <c r="B477" s="154"/>
      <c r="C477" s="154"/>
      <c r="D477" s="154"/>
      <c r="E477" s="154"/>
      <c r="F477" s="154"/>
      <c r="G477" s="55"/>
      <c r="H477" s="154"/>
      <c r="I477" s="154"/>
      <c r="J477" s="154"/>
      <c r="K477" s="154"/>
      <c r="L477" s="154"/>
      <c r="M477" s="154"/>
      <c r="N477" s="154"/>
      <c r="O477" s="154"/>
      <c r="P477" s="154"/>
      <c r="Q477" s="154"/>
      <c r="R477" s="154"/>
      <c r="S477" s="154"/>
      <c r="T477" s="154"/>
      <c r="U477" s="154"/>
      <c r="V477" s="154"/>
      <c r="W477" s="154"/>
      <c r="X477" s="154"/>
      <c r="Y477" s="154"/>
      <c r="Z477" s="154"/>
      <c r="AA477" s="154"/>
    </row>
    <row r="478">
      <c r="A478" s="154"/>
      <c r="B478" s="154"/>
      <c r="C478" s="154"/>
      <c r="D478" s="154"/>
      <c r="E478" s="154"/>
      <c r="F478" s="154"/>
      <c r="G478" s="55"/>
      <c r="H478" s="154"/>
      <c r="I478" s="154"/>
      <c r="J478" s="154"/>
      <c r="K478" s="154"/>
      <c r="L478" s="154"/>
      <c r="M478" s="154"/>
      <c r="N478" s="154"/>
      <c r="O478" s="154"/>
      <c r="P478" s="154"/>
      <c r="Q478" s="154"/>
      <c r="R478" s="154"/>
      <c r="S478" s="154"/>
      <c r="T478" s="154"/>
      <c r="U478" s="154"/>
      <c r="V478" s="154"/>
      <c r="W478" s="154"/>
      <c r="X478" s="154"/>
      <c r="Y478" s="154"/>
      <c r="Z478" s="154"/>
      <c r="AA478" s="154"/>
    </row>
    <row r="479">
      <c r="A479" s="154"/>
      <c r="B479" s="154"/>
      <c r="C479" s="154"/>
      <c r="D479" s="154"/>
      <c r="E479" s="154"/>
      <c r="F479" s="154"/>
      <c r="G479" s="55"/>
      <c r="H479" s="154"/>
      <c r="I479" s="154"/>
      <c r="J479" s="154"/>
      <c r="K479" s="154"/>
      <c r="L479" s="154"/>
      <c r="M479" s="154"/>
      <c r="N479" s="154"/>
      <c r="O479" s="154"/>
      <c r="P479" s="154"/>
      <c r="Q479" s="154"/>
      <c r="R479" s="154"/>
      <c r="S479" s="154"/>
      <c r="T479" s="154"/>
      <c r="U479" s="154"/>
      <c r="V479" s="154"/>
      <c r="W479" s="154"/>
      <c r="X479" s="154"/>
      <c r="Y479" s="154"/>
      <c r="Z479" s="154"/>
      <c r="AA479" s="154"/>
    </row>
    <row r="480">
      <c r="A480" s="154"/>
      <c r="B480" s="154"/>
      <c r="C480" s="154"/>
      <c r="D480" s="154"/>
      <c r="E480" s="154"/>
      <c r="F480" s="154"/>
      <c r="G480" s="55"/>
      <c r="H480" s="154"/>
      <c r="I480" s="154"/>
      <c r="J480" s="154"/>
      <c r="K480" s="154"/>
      <c r="L480" s="154"/>
      <c r="M480" s="154"/>
      <c r="N480" s="154"/>
      <c r="O480" s="154"/>
      <c r="P480" s="154"/>
      <c r="Q480" s="154"/>
      <c r="R480" s="154"/>
      <c r="S480" s="154"/>
      <c r="T480" s="154"/>
      <c r="U480" s="154"/>
      <c r="V480" s="154"/>
      <c r="W480" s="154"/>
      <c r="X480" s="154"/>
      <c r="Y480" s="154"/>
      <c r="Z480" s="154"/>
      <c r="AA480" s="154"/>
    </row>
    <row r="481">
      <c r="A481" s="154"/>
      <c r="B481" s="154"/>
      <c r="C481" s="154"/>
      <c r="D481" s="154"/>
      <c r="E481" s="154"/>
      <c r="F481" s="154"/>
      <c r="G481" s="55"/>
      <c r="H481" s="154"/>
      <c r="I481" s="154"/>
      <c r="J481" s="154"/>
      <c r="K481" s="154"/>
      <c r="L481" s="154"/>
      <c r="M481" s="154"/>
      <c r="N481" s="154"/>
      <c r="O481" s="154"/>
      <c r="P481" s="154"/>
      <c r="Q481" s="154"/>
      <c r="R481" s="154"/>
      <c r="S481" s="154"/>
      <c r="T481" s="154"/>
      <c r="U481" s="154"/>
      <c r="V481" s="154"/>
      <c r="W481" s="154"/>
      <c r="X481" s="154"/>
      <c r="Y481" s="154"/>
      <c r="Z481" s="154"/>
      <c r="AA481" s="154"/>
    </row>
    <row r="482">
      <c r="A482" s="154"/>
      <c r="B482" s="154"/>
      <c r="C482" s="154"/>
      <c r="D482" s="154"/>
      <c r="E482" s="154"/>
      <c r="F482" s="154"/>
      <c r="G482" s="55"/>
      <c r="H482" s="154"/>
      <c r="I482" s="154"/>
      <c r="J482" s="154"/>
      <c r="K482" s="154"/>
      <c r="L482" s="154"/>
      <c r="M482" s="154"/>
      <c r="N482" s="154"/>
      <c r="O482" s="154"/>
      <c r="P482" s="154"/>
      <c r="Q482" s="154"/>
      <c r="R482" s="154"/>
      <c r="S482" s="154"/>
      <c r="T482" s="154"/>
      <c r="U482" s="154"/>
      <c r="V482" s="154"/>
      <c r="W482" s="154"/>
      <c r="X482" s="154"/>
      <c r="Y482" s="154"/>
      <c r="Z482" s="154"/>
      <c r="AA482" s="154"/>
    </row>
    <row r="483">
      <c r="A483" s="154"/>
      <c r="B483" s="154"/>
      <c r="C483" s="154"/>
      <c r="D483" s="154"/>
      <c r="E483" s="154"/>
      <c r="F483" s="154"/>
      <c r="G483" s="55"/>
      <c r="H483" s="154"/>
      <c r="I483" s="154"/>
      <c r="J483" s="154"/>
      <c r="K483" s="154"/>
      <c r="L483" s="154"/>
      <c r="M483" s="154"/>
      <c r="N483" s="154"/>
      <c r="O483" s="154"/>
      <c r="P483" s="154"/>
      <c r="Q483" s="154"/>
      <c r="R483" s="154"/>
      <c r="S483" s="154"/>
      <c r="T483" s="154"/>
      <c r="U483" s="154"/>
      <c r="V483" s="154"/>
      <c r="W483" s="154"/>
      <c r="X483" s="154"/>
      <c r="Y483" s="154"/>
      <c r="Z483" s="154"/>
      <c r="AA483" s="154"/>
    </row>
    <row r="484">
      <c r="A484" s="154"/>
      <c r="B484" s="154"/>
      <c r="C484" s="154"/>
      <c r="D484" s="154"/>
      <c r="E484" s="154"/>
      <c r="F484" s="154"/>
      <c r="G484" s="55"/>
      <c r="H484" s="154"/>
      <c r="I484" s="154"/>
      <c r="J484" s="154"/>
      <c r="K484" s="154"/>
      <c r="L484" s="154"/>
      <c r="M484" s="154"/>
      <c r="N484" s="154"/>
      <c r="O484" s="154"/>
      <c r="P484" s="154"/>
      <c r="Q484" s="154"/>
      <c r="R484" s="154"/>
      <c r="S484" s="154"/>
      <c r="T484" s="154"/>
      <c r="U484" s="154"/>
      <c r="V484" s="154"/>
      <c r="W484" s="154"/>
      <c r="X484" s="154"/>
      <c r="Y484" s="154"/>
      <c r="Z484" s="154"/>
      <c r="AA484" s="154"/>
    </row>
    <row r="485">
      <c r="A485" s="154"/>
      <c r="B485" s="154"/>
      <c r="C485" s="154"/>
      <c r="D485" s="154"/>
      <c r="E485" s="154"/>
      <c r="F485" s="154"/>
      <c r="G485" s="55"/>
      <c r="H485" s="154"/>
      <c r="I485" s="154"/>
      <c r="J485" s="154"/>
      <c r="K485" s="154"/>
      <c r="L485" s="154"/>
      <c r="M485" s="154"/>
      <c r="N485" s="154"/>
      <c r="O485" s="154"/>
      <c r="P485" s="154"/>
      <c r="Q485" s="154"/>
      <c r="R485" s="154"/>
      <c r="S485" s="154"/>
      <c r="T485" s="154"/>
      <c r="U485" s="154"/>
      <c r="V485" s="154"/>
      <c r="W485" s="154"/>
      <c r="X485" s="154"/>
      <c r="Y485" s="154"/>
      <c r="Z485" s="154"/>
      <c r="AA485" s="154"/>
    </row>
    <row r="486">
      <c r="A486" s="154"/>
      <c r="B486" s="154"/>
      <c r="C486" s="154"/>
      <c r="D486" s="154"/>
      <c r="E486" s="154"/>
      <c r="F486" s="154"/>
      <c r="G486" s="55"/>
      <c r="H486" s="154"/>
      <c r="I486" s="154"/>
      <c r="J486" s="154"/>
      <c r="K486" s="154"/>
      <c r="L486" s="154"/>
      <c r="M486" s="154"/>
      <c r="N486" s="154"/>
      <c r="O486" s="154"/>
      <c r="P486" s="154"/>
      <c r="Q486" s="154"/>
      <c r="R486" s="154"/>
      <c r="S486" s="154"/>
      <c r="T486" s="154"/>
      <c r="U486" s="154"/>
      <c r="V486" s="154"/>
      <c r="W486" s="154"/>
      <c r="X486" s="154"/>
      <c r="Y486" s="154"/>
      <c r="Z486" s="154"/>
      <c r="AA486" s="154"/>
    </row>
    <row r="487">
      <c r="A487" s="154"/>
      <c r="B487" s="154"/>
      <c r="C487" s="154"/>
      <c r="D487" s="154"/>
      <c r="E487" s="154"/>
      <c r="F487" s="154"/>
      <c r="G487" s="55"/>
      <c r="H487" s="154"/>
      <c r="I487" s="154"/>
      <c r="J487" s="154"/>
      <c r="K487" s="154"/>
      <c r="L487" s="154"/>
      <c r="M487" s="154"/>
      <c r="N487" s="154"/>
      <c r="O487" s="154"/>
      <c r="P487" s="154"/>
      <c r="Q487" s="154"/>
      <c r="R487" s="154"/>
      <c r="S487" s="154"/>
      <c r="T487" s="154"/>
      <c r="U487" s="154"/>
      <c r="V487" s="154"/>
      <c r="W487" s="154"/>
      <c r="X487" s="154"/>
      <c r="Y487" s="154"/>
      <c r="Z487" s="154"/>
      <c r="AA487" s="154"/>
    </row>
    <row r="488">
      <c r="A488" s="154"/>
      <c r="B488" s="154"/>
      <c r="C488" s="154"/>
      <c r="D488" s="154"/>
      <c r="E488" s="154"/>
      <c r="F488" s="154"/>
      <c r="G488" s="55"/>
      <c r="H488" s="154"/>
      <c r="I488" s="154"/>
      <c r="J488" s="154"/>
      <c r="K488" s="154"/>
      <c r="L488" s="154"/>
      <c r="M488" s="154"/>
      <c r="N488" s="154"/>
      <c r="O488" s="154"/>
      <c r="P488" s="154"/>
      <c r="Q488" s="154"/>
      <c r="R488" s="154"/>
      <c r="S488" s="154"/>
      <c r="T488" s="154"/>
      <c r="U488" s="154"/>
      <c r="V488" s="154"/>
      <c r="W488" s="154"/>
      <c r="X488" s="154"/>
      <c r="Y488" s="154"/>
      <c r="Z488" s="154"/>
      <c r="AA488" s="154"/>
    </row>
    <row r="489">
      <c r="A489" s="154"/>
      <c r="B489" s="154"/>
      <c r="C489" s="154"/>
      <c r="D489" s="154"/>
      <c r="E489" s="154"/>
      <c r="F489" s="154"/>
      <c r="G489" s="55"/>
      <c r="H489" s="154"/>
      <c r="I489" s="154"/>
      <c r="J489" s="154"/>
      <c r="K489" s="154"/>
      <c r="L489" s="154"/>
      <c r="M489" s="154"/>
      <c r="N489" s="154"/>
      <c r="O489" s="154"/>
      <c r="P489" s="154"/>
      <c r="Q489" s="154"/>
      <c r="R489" s="154"/>
      <c r="S489" s="154"/>
      <c r="T489" s="154"/>
      <c r="U489" s="154"/>
      <c r="V489" s="154"/>
      <c r="W489" s="154"/>
      <c r="X489" s="154"/>
      <c r="Y489" s="154"/>
      <c r="Z489" s="154"/>
      <c r="AA489" s="154"/>
    </row>
    <row r="490">
      <c r="A490" s="154"/>
      <c r="B490" s="154"/>
      <c r="C490" s="154"/>
      <c r="D490" s="154"/>
      <c r="E490" s="154"/>
      <c r="F490" s="154"/>
      <c r="G490" s="55"/>
      <c r="H490" s="154"/>
      <c r="I490" s="154"/>
      <c r="J490" s="154"/>
      <c r="K490" s="154"/>
      <c r="L490" s="154"/>
      <c r="M490" s="154"/>
      <c r="N490" s="154"/>
      <c r="O490" s="154"/>
      <c r="P490" s="154"/>
      <c r="Q490" s="154"/>
      <c r="R490" s="154"/>
      <c r="S490" s="154"/>
      <c r="T490" s="154"/>
      <c r="U490" s="154"/>
      <c r="V490" s="154"/>
      <c r="W490" s="154"/>
      <c r="X490" s="154"/>
      <c r="Y490" s="154"/>
      <c r="Z490" s="154"/>
      <c r="AA490" s="154"/>
    </row>
    <row r="491">
      <c r="A491" s="154"/>
      <c r="B491" s="154"/>
      <c r="C491" s="154"/>
      <c r="D491" s="154"/>
      <c r="E491" s="154"/>
      <c r="F491" s="154"/>
      <c r="G491" s="55"/>
      <c r="H491" s="154"/>
      <c r="I491" s="154"/>
      <c r="J491" s="154"/>
      <c r="K491" s="154"/>
      <c r="L491" s="154"/>
      <c r="M491" s="154"/>
      <c r="N491" s="154"/>
      <c r="O491" s="154"/>
      <c r="P491" s="154"/>
      <c r="Q491" s="154"/>
      <c r="R491" s="154"/>
      <c r="S491" s="154"/>
      <c r="T491" s="154"/>
      <c r="U491" s="154"/>
      <c r="V491" s="154"/>
      <c r="W491" s="154"/>
      <c r="X491" s="154"/>
      <c r="Y491" s="154"/>
      <c r="Z491" s="154"/>
      <c r="AA491" s="154"/>
    </row>
    <row r="492">
      <c r="A492" s="154"/>
      <c r="B492" s="154"/>
      <c r="C492" s="154"/>
      <c r="D492" s="154"/>
      <c r="E492" s="154"/>
      <c r="F492" s="154"/>
      <c r="G492" s="55"/>
      <c r="H492" s="154"/>
      <c r="I492" s="154"/>
      <c r="J492" s="154"/>
      <c r="K492" s="154"/>
      <c r="L492" s="154"/>
      <c r="M492" s="154"/>
      <c r="N492" s="154"/>
      <c r="O492" s="154"/>
      <c r="P492" s="154"/>
      <c r="Q492" s="154"/>
      <c r="R492" s="154"/>
      <c r="S492" s="154"/>
      <c r="T492" s="154"/>
      <c r="U492" s="154"/>
      <c r="V492" s="154"/>
      <c r="W492" s="154"/>
      <c r="X492" s="154"/>
      <c r="Y492" s="154"/>
      <c r="Z492" s="154"/>
      <c r="AA492" s="154"/>
    </row>
    <row r="493">
      <c r="A493" s="154"/>
      <c r="B493" s="154"/>
      <c r="C493" s="154"/>
      <c r="D493" s="154"/>
      <c r="E493" s="154"/>
      <c r="F493" s="154"/>
      <c r="G493" s="55"/>
      <c r="H493" s="154"/>
      <c r="I493" s="154"/>
      <c r="J493" s="154"/>
      <c r="K493" s="154"/>
      <c r="L493" s="154"/>
      <c r="M493" s="154"/>
      <c r="N493" s="154"/>
      <c r="O493" s="154"/>
      <c r="P493" s="154"/>
      <c r="Q493" s="154"/>
      <c r="R493" s="154"/>
      <c r="S493" s="154"/>
      <c r="T493" s="154"/>
      <c r="U493" s="154"/>
      <c r="V493" s="154"/>
      <c r="W493" s="154"/>
      <c r="X493" s="154"/>
      <c r="Y493" s="154"/>
      <c r="Z493" s="154"/>
      <c r="AA493" s="154"/>
    </row>
    <row r="494">
      <c r="A494" s="154"/>
      <c r="B494" s="154"/>
      <c r="C494" s="154"/>
      <c r="D494" s="154"/>
      <c r="E494" s="154"/>
      <c r="F494" s="154"/>
      <c r="G494" s="55"/>
      <c r="H494" s="154"/>
      <c r="I494" s="154"/>
      <c r="J494" s="154"/>
      <c r="K494" s="154"/>
      <c r="L494" s="154"/>
      <c r="M494" s="154"/>
      <c r="N494" s="154"/>
      <c r="O494" s="154"/>
      <c r="P494" s="154"/>
      <c r="Q494" s="154"/>
      <c r="R494" s="154"/>
      <c r="S494" s="154"/>
      <c r="T494" s="154"/>
      <c r="U494" s="154"/>
      <c r="V494" s="154"/>
      <c r="W494" s="154"/>
      <c r="X494" s="154"/>
      <c r="Y494" s="154"/>
      <c r="Z494" s="154"/>
      <c r="AA494" s="154"/>
    </row>
    <row r="495">
      <c r="A495" s="154"/>
      <c r="B495" s="154"/>
      <c r="C495" s="154"/>
      <c r="D495" s="154"/>
      <c r="E495" s="154"/>
      <c r="F495" s="154"/>
      <c r="G495" s="55"/>
      <c r="H495" s="154"/>
      <c r="I495" s="154"/>
      <c r="J495" s="154"/>
      <c r="K495" s="154"/>
      <c r="L495" s="154"/>
      <c r="M495" s="154"/>
      <c r="N495" s="154"/>
      <c r="O495" s="154"/>
      <c r="P495" s="154"/>
      <c r="Q495" s="154"/>
      <c r="R495" s="154"/>
      <c r="S495" s="154"/>
      <c r="T495" s="154"/>
      <c r="U495" s="154"/>
      <c r="V495" s="154"/>
      <c r="W495" s="154"/>
      <c r="X495" s="154"/>
      <c r="Y495" s="154"/>
      <c r="Z495" s="154"/>
      <c r="AA495" s="154"/>
    </row>
    <row r="496">
      <c r="A496" s="154"/>
      <c r="B496" s="154"/>
      <c r="C496" s="154"/>
      <c r="D496" s="154"/>
      <c r="E496" s="154"/>
      <c r="F496" s="154"/>
      <c r="G496" s="55"/>
      <c r="H496" s="154"/>
      <c r="I496" s="154"/>
      <c r="J496" s="154"/>
      <c r="K496" s="154"/>
      <c r="L496" s="154"/>
      <c r="M496" s="154"/>
      <c r="N496" s="154"/>
      <c r="O496" s="154"/>
      <c r="P496" s="154"/>
      <c r="Q496" s="154"/>
      <c r="R496" s="154"/>
      <c r="S496" s="154"/>
      <c r="T496" s="154"/>
      <c r="U496" s="154"/>
      <c r="V496" s="154"/>
      <c r="W496" s="154"/>
      <c r="X496" s="154"/>
      <c r="Y496" s="154"/>
      <c r="Z496" s="154"/>
      <c r="AA496" s="154"/>
    </row>
    <row r="497">
      <c r="A497" s="154"/>
      <c r="B497" s="154"/>
      <c r="C497" s="154"/>
      <c r="D497" s="154"/>
      <c r="E497" s="154"/>
      <c r="F497" s="154"/>
      <c r="G497" s="55"/>
      <c r="H497" s="154"/>
      <c r="I497" s="154"/>
      <c r="J497" s="154"/>
      <c r="K497" s="154"/>
      <c r="L497" s="154"/>
      <c r="M497" s="154"/>
      <c r="N497" s="154"/>
      <c r="O497" s="154"/>
      <c r="P497" s="154"/>
      <c r="Q497" s="154"/>
      <c r="R497" s="154"/>
      <c r="S497" s="154"/>
      <c r="T497" s="154"/>
      <c r="U497" s="154"/>
      <c r="V497" s="154"/>
      <c r="W497" s="154"/>
      <c r="X497" s="154"/>
      <c r="Y497" s="154"/>
      <c r="Z497" s="154"/>
      <c r="AA497" s="154"/>
    </row>
    <row r="498">
      <c r="A498" s="154"/>
      <c r="B498" s="154"/>
      <c r="C498" s="154"/>
      <c r="D498" s="154"/>
      <c r="E498" s="154"/>
      <c r="F498" s="154"/>
      <c r="G498" s="55"/>
      <c r="H498" s="154"/>
      <c r="I498" s="154"/>
      <c r="J498" s="154"/>
      <c r="K498" s="154"/>
      <c r="L498" s="154"/>
      <c r="M498" s="154"/>
      <c r="N498" s="154"/>
      <c r="O498" s="154"/>
      <c r="P498" s="154"/>
      <c r="Q498" s="154"/>
      <c r="R498" s="154"/>
      <c r="S498" s="154"/>
      <c r="T498" s="154"/>
      <c r="U498" s="154"/>
      <c r="V498" s="154"/>
      <c r="W498" s="154"/>
      <c r="X498" s="154"/>
      <c r="Y498" s="154"/>
      <c r="Z498" s="154"/>
      <c r="AA498" s="154"/>
    </row>
    <row r="499">
      <c r="A499" s="154"/>
      <c r="B499" s="154"/>
      <c r="C499" s="154"/>
      <c r="D499" s="154"/>
      <c r="E499" s="154"/>
      <c r="F499" s="154"/>
      <c r="G499" s="55"/>
      <c r="H499" s="154"/>
      <c r="I499" s="154"/>
      <c r="J499" s="154"/>
      <c r="K499" s="154"/>
      <c r="L499" s="154"/>
      <c r="M499" s="154"/>
      <c r="N499" s="154"/>
      <c r="O499" s="154"/>
      <c r="P499" s="154"/>
      <c r="Q499" s="154"/>
      <c r="R499" s="154"/>
      <c r="S499" s="154"/>
      <c r="T499" s="154"/>
      <c r="U499" s="154"/>
      <c r="V499" s="154"/>
      <c r="W499" s="154"/>
      <c r="X499" s="154"/>
      <c r="Y499" s="154"/>
      <c r="Z499" s="154"/>
      <c r="AA499" s="154"/>
    </row>
    <row r="500">
      <c r="A500" s="154"/>
      <c r="B500" s="154"/>
      <c r="C500" s="154"/>
      <c r="D500" s="154"/>
      <c r="E500" s="154"/>
      <c r="F500" s="154"/>
      <c r="G500" s="55"/>
      <c r="H500" s="154"/>
      <c r="I500" s="154"/>
      <c r="J500" s="154"/>
      <c r="K500" s="154"/>
      <c r="L500" s="154"/>
      <c r="M500" s="154"/>
      <c r="N500" s="154"/>
      <c r="O500" s="154"/>
      <c r="P500" s="154"/>
      <c r="Q500" s="154"/>
      <c r="R500" s="154"/>
      <c r="S500" s="154"/>
      <c r="T500" s="154"/>
      <c r="U500" s="154"/>
      <c r="V500" s="154"/>
      <c r="W500" s="154"/>
      <c r="X500" s="154"/>
      <c r="Y500" s="154"/>
      <c r="Z500" s="154"/>
      <c r="AA500" s="154"/>
    </row>
    <row r="501">
      <c r="A501" s="154"/>
      <c r="B501" s="154"/>
      <c r="C501" s="154"/>
      <c r="D501" s="154"/>
      <c r="E501" s="154"/>
      <c r="F501" s="154"/>
      <c r="G501" s="55"/>
      <c r="H501" s="154"/>
      <c r="I501" s="154"/>
      <c r="J501" s="154"/>
      <c r="K501" s="154"/>
      <c r="L501" s="154"/>
      <c r="M501" s="154"/>
      <c r="N501" s="154"/>
      <c r="O501" s="154"/>
      <c r="P501" s="154"/>
      <c r="Q501" s="154"/>
      <c r="R501" s="154"/>
      <c r="S501" s="154"/>
      <c r="T501" s="154"/>
      <c r="U501" s="154"/>
      <c r="V501" s="154"/>
      <c r="W501" s="154"/>
      <c r="X501" s="154"/>
      <c r="Y501" s="154"/>
      <c r="Z501" s="154"/>
      <c r="AA501" s="154"/>
    </row>
    <row r="502">
      <c r="A502" s="154"/>
      <c r="B502" s="154"/>
      <c r="C502" s="154"/>
      <c r="D502" s="154"/>
      <c r="E502" s="154"/>
      <c r="F502" s="154"/>
      <c r="G502" s="55"/>
      <c r="H502" s="154"/>
      <c r="I502" s="154"/>
      <c r="J502" s="154"/>
      <c r="K502" s="154"/>
      <c r="L502" s="154"/>
      <c r="M502" s="154"/>
      <c r="N502" s="154"/>
      <c r="O502" s="154"/>
      <c r="P502" s="154"/>
      <c r="Q502" s="154"/>
      <c r="R502" s="154"/>
      <c r="S502" s="154"/>
      <c r="T502" s="154"/>
      <c r="U502" s="154"/>
      <c r="V502" s="154"/>
      <c r="W502" s="154"/>
      <c r="X502" s="154"/>
      <c r="Y502" s="154"/>
      <c r="Z502" s="154"/>
      <c r="AA502" s="154"/>
    </row>
    <row r="503">
      <c r="A503" s="154"/>
      <c r="B503" s="154"/>
      <c r="C503" s="154"/>
      <c r="D503" s="154"/>
      <c r="E503" s="154"/>
      <c r="F503" s="154"/>
      <c r="G503" s="55"/>
      <c r="H503" s="154"/>
      <c r="I503" s="154"/>
      <c r="J503" s="154"/>
      <c r="K503" s="154"/>
      <c r="L503" s="154"/>
      <c r="M503" s="154"/>
      <c r="N503" s="154"/>
      <c r="O503" s="154"/>
      <c r="P503" s="154"/>
      <c r="Q503" s="154"/>
      <c r="R503" s="154"/>
      <c r="S503" s="154"/>
      <c r="T503" s="154"/>
      <c r="U503" s="154"/>
      <c r="V503" s="154"/>
      <c r="W503" s="154"/>
      <c r="X503" s="154"/>
      <c r="Y503" s="154"/>
      <c r="Z503" s="154"/>
      <c r="AA503" s="154"/>
    </row>
    <row r="504">
      <c r="A504" s="154"/>
      <c r="B504" s="154"/>
      <c r="C504" s="154"/>
      <c r="D504" s="154"/>
      <c r="E504" s="154"/>
      <c r="F504" s="154"/>
      <c r="G504" s="55"/>
      <c r="H504" s="154"/>
      <c r="I504" s="154"/>
      <c r="J504" s="154"/>
      <c r="K504" s="154"/>
      <c r="L504" s="154"/>
      <c r="M504" s="154"/>
      <c r="N504" s="154"/>
      <c r="O504" s="154"/>
      <c r="P504" s="154"/>
      <c r="Q504" s="154"/>
      <c r="R504" s="154"/>
      <c r="S504" s="154"/>
      <c r="T504" s="154"/>
      <c r="U504" s="154"/>
      <c r="V504" s="154"/>
      <c r="W504" s="154"/>
      <c r="X504" s="154"/>
      <c r="Y504" s="154"/>
      <c r="Z504" s="154"/>
      <c r="AA504" s="154"/>
    </row>
    <row r="505">
      <c r="A505" s="154"/>
      <c r="B505" s="154"/>
      <c r="C505" s="154"/>
      <c r="D505" s="154"/>
      <c r="E505" s="154"/>
      <c r="F505" s="154"/>
      <c r="G505" s="55"/>
      <c r="H505" s="154"/>
      <c r="I505" s="154"/>
      <c r="J505" s="154"/>
      <c r="K505" s="154"/>
      <c r="L505" s="154"/>
      <c r="M505" s="154"/>
      <c r="N505" s="154"/>
      <c r="O505" s="154"/>
      <c r="P505" s="154"/>
      <c r="Q505" s="154"/>
      <c r="R505" s="154"/>
      <c r="S505" s="154"/>
      <c r="T505" s="154"/>
      <c r="U505" s="154"/>
      <c r="V505" s="154"/>
      <c r="W505" s="154"/>
      <c r="X505" s="154"/>
      <c r="Y505" s="154"/>
      <c r="Z505" s="154"/>
      <c r="AA505" s="154"/>
    </row>
    <row r="506">
      <c r="A506" s="154"/>
      <c r="B506" s="154"/>
      <c r="C506" s="154"/>
      <c r="D506" s="154"/>
      <c r="E506" s="154"/>
      <c r="F506" s="154"/>
      <c r="G506" s="55"/>
      <c r="H506" s="154"/>
      <c r="I506" s="154"/>
      <c r="J506" s="154"/>
      <c r="K506" s="154"/>
      <c r="L506" s="154"/>
      <c r="M506" s="154"/>
      <c r="N506" s="154"/>
      <c r="O506" s="154"/>
      <c r="P506" s="154"/>
      <c r="Q506" s="154"/>
      <c r="R506" s="154"/>
      <c r="S506" s="154"/>
      <c r="T506" s="154"/>
      <c r="U506" s="154"/>
      <c r="V506" s="154"/>
      <c r="W506" s="154"/>
      <c r="X506" s="154"/>
      <c r="Y506" s="154"/>
      <c r="Z506" s="154"/>
      <c r="AA506" s="154"/>
    </row>
    <row r="507">
      <c r="A507" s="154"/>
      <c r="B507" s="154"/>
      <c r="C507" s="154"/>
      <c r="D507" s="154"/>
      <c r="E507" s="154"/>
      <c r="F507" s="154"/>
      <c r="G507" s="55"/>
      <c r="H507" s="154"/>
      <c r="I507" s="154"/>
      <c r="J507" s="154"/>
      <c r="K507" s="154"/>
      <c r="L507" s="154"/>
      <c r="M507" s="154"/>
      <c r="N507" s="154"/>
      <c r="O507" s="154"/>
      <c r="P507" s="154"/>
      <c r="Q507" s="154"/>
      <c r="R507" s="154"/>
      <c r="S507" s="154"/>
      <c r="T507" s="154"/>
      <c r="U507" s="154"/>
      <c r="V507" s="154"/>
      <c r="W507" s="154"/>
      <c r="X507" s="154"/>
      <c r="Y507" s="154"/>
      <c r="Z507" s="154"/>
      <c r="AA507" s="154"/>
    </row>
    <row r="508">
      <c r="A508" s="154"/>
      <c r="B508" s="154"/>
      <c r="C508" s="154"/>
      <c r="D508" s="154"/>
      <c r="E508" s="154"/>
      <c r="F508" s="154"/>
      <c r="G508" s="55"/>
      <c r="H508" s="154"/>
      <c r="I508" s="154"/>
      <c r="J508" s="154"/>
      <c r="K508" s="154"/>
      <c r="L508" s="154"/>
      <c r="M508" s="154"/>
      <c r="N508" s="154"/>
      <c r="O508" s="154"/>
      <c r="P508" s="154"/>
      <c r="Q508" s="154"/>
      <c r="R508" s="154"/>
      <c r="S508" s="154"/>
      <c r="T508" s="154"/>
      <c r="U508" s="154"/>
      <c r="V508" s="154"/>
      <c r="W508" s="154"/>
      <c r="X508" s="154"/>
      <c r="Y508" s="154"/>
      <c r="Z508" s="154"/>
      <c r="AA508" s="154"/>
    </row>
    <row r="509">
      <c r="A509" s="154"/>
      <c r="B509" s="154"/>
      <c r="C509" s="154"/>
      <c r="D509" s="154"/>
      <c r="E509" s="154"/>
      <c r="F509" s="154"/>
      <c r="G509" s="55"/>
      <c r="H509" s="154"/>
      <c r="I509" s="154"/>
      <c r="J509" s="154"/>
      <c r="K509" s="154"/>
      <c r="L509" s="154"/>
      <c r="M509" s="154"/>
      <c r="N509" s="154"/>
      <c r="O509" s="154"/>
      <c r="P509" s="154"/>
      <c r="Q509" s="154"/>
      <c r="R509" s="154"/>
      <c r="S509" s="154"/>
      <c r="T509" s="154"/>
      <c r="U509" s="154"/>
      <c r="V509" s="154"/>
      <c r="W509" s="154"/>
      <c r="X509" s="154"/>
      <c r="Y509" s="154"/>
      <c r="Z509" s="154"/>
      <c r="AA509" s="154"/>
    </row>
    <row r="510">
      <c r="A510" s="154"/>
      <c r="B510" s="154"/>
      <c r="C510" s="154"/>
      <c r="D510" s="154"/>
      <c r="E510" s="154"/>
      <c r="F510" s="154"/>
      <c r="G510" s="55"/>
      <c r="H510" s="154"/>
      <c r="I510" s="154"/>
      <c r="J510" s="154"/>
      <c r="K510" s="154"/>
      <c r="L510" s="154"/>
      <c r="M510" s="154"/>
      <c r="N510" s="154"/>
      <c r="O510" s="154"/>
      <c r="P510" s="154"/>
      <c r="Q510" s="154"/>
      <c r="R510" s="154"/>
      <c r="S510" s="154"/>
      <c r="T510" s="154"/>
      <c r="U510" s="154"/>
      <c r="V510" s="154"/>
      <c r="W510" s="154"/>
      <c r="X510" s="154"/>
      <c r="Y510" s="154"/>
      <c r="Z510" s="154"/>
      <c r="AA510" s="154"/>
    </row>
    <row r="511">
      <c r="A511" s="154"/>
      <c r="B511" s="154"/>
      <c r="C511" s="154"/>
      <c r="D511" s="154"/>
      <c r="E511" s="154"/>
      <c r="F511" s="154"/>
      <c r="G511" s="55"/>
      <c r="H511" s="154"/>
      <c r="I511" s="154"/>
      <c r="J511" s="154"/>
      <c r="K511" s="154"/>
      <c r="L511" s="154"/>
      <c r="M511" s="154"/>
      <c r="N511" s="154"/>
      <c r="O511" s="154"/>
      <c r="P511" s="154"/>
      <c r="Q511" s="154"/>
      <c r="R511" s="154"/>
      <c r="S511" s="154"/>
      <c r="T511" s="154"/>
      <c r="U511" s="154"/>
      <c r="V511" s="154"/>
      <c r="W511" s="154"/>
      <c r="X511" s="154"/>
      <c r="Y511" s="154"/>
      <c r="Z511" s="154"/>
      <c r="AA511" s="154"/>
    </row>
    <row r="512">
      <c r="A512" s="154"/>
      <c r="B512" s="154"/>
      <c r="C512" s="154"/>
      <c r="D512" s="154"/>
      <c r="E512" s="154"/>
      <c r="F512" s="154"/>
      <c r="G512" s="55"/>
      <c r="H512" s="154"/>
      <c r="I512" s="154"/>
      <c r="J512" s="154"/>
      <c r="K512" s="154"/>
      <c r="L512" s="154"/>
      <c r="M512" s="154"/>
      <c r="N512" s="154"/>
      <c r="O512" s="154"/>
      <c r="P512" s="154"/>
      <c r="Q512" s="154"/>
      <c r="R512" s="154"/>
      <c r="S512" s="154"/>
      <c r="T512" s="154"/>
      <c r="U512" s="154"/>
      <c r="V512" s="154"/>
      <c r="W512" s="154"/>
      <c r="X512" s="154"/>
      <c r="Y512" s="154"/>
      <c r="Z512" s="154"/>
      <c r="AA512" s="154"/>
    </row>
    <row r="513">
      <c r="A513" s="154"/>
      <c r="B513" s="154"/>
      <c r="C513" s="154"/>
      <c r="D513" s="154"/>
      <c r="E513" s="154"/>
      <c r="F513" s="154"/>
      <c r="G513" s="55"/>
      <c r="H513" s="154"/>
      <c r="I513" s="154"/>
      <c r="J513" s="154"/>
      <c r="K513" s="154"/>
      <c r="L513" s="154"/>
      <c r="M513" s="154"/>
      <c r="N513" s="154"/>
      <c r="O513" s="154"/>
      <c r="P513" s="154"/>
      <c r="Q513" s="154"/>
      <c r="R513" s="154"/>
      <c r="S513" s="154"/>
      <c r="T513" s="154"/>
      <c r="U513" s="154"/>
      <c r="V513" s="154"/>
      <c r="W513" s="154"/>
      <c r="X513" s="154"/>
      <c r="Y513" s="154"/>
      <c r="Z513" s="154"/>
      <c r="AA513" s="154"/>
    </row>
    <row r="514">
      <c r="A514" s="154"/>
      <c r="B514" s="154"/>
      <c r="C514" s="154"/>
      <c r="D514" s="154"/>
      <c r="E514" s="154"/>
      <c r="F514" s="154"/>
      <c r="G514" s="55"/>
      <c r="H514" s="154"/>
      <c r="I514" s="154"/>
      <c r="J514" s="154"/>
      <c r="K514" s="154"/>
      <c r="L514" s="154"/>
      <c r="M514" s="154"/>
      <c r="N514" s="154"/>
      <c r="O514" s="154"/>
      <c r="P514" s="154"/>
      <c r="Q514" s="154"/>
      <c r="R514" s="154"/>
      <c r="S514" s="154"/>
      <c r="T514" s="154"/>
      <c r="U514" s="154"/>
      <c r="V514" s="154"/>
      <c r="W514" s="154"/>
      <c r="X514" s="154"/>
      <c r="Y514" s="154"/>
      <c r="Z514" s="154"/>
      <c r="AA514" s="154"/>
    </row>
    <row r="515">
      <c r="A515" s="154"/>
      <c r="B515" s="154"/>
      <c r="C515" s="154"/>
      <c r="D515" s="154"/>
      <c r="E515" s="154"/>
      <c r="F515" s="154"/>
      <c r="G515" s="55"/>
      <c r="H515" s="154"/>
      <c r="I515" s="154"/>
      <c r="J515" s="154"/>
      <c r="K515" s="154"/>
      <c r="L515" s="154"/>
      <c r="M515" s="154"/>
      <c r="N515" s="154"/>
      <c r="O515" s="154"/>
      <c r="P515" s="154"/>
      <c r="Q515" s="154"/>
      <c r="R515" s="154"/>
      <c r="S515" s="154"/>
      <c r="T515" s="154"/>
      <c r="U515" s="154"/>
      <c r="V515" s="154"/>
      <c r="W515" s="154"/>
      <c r="X515" s="154"/>
      <c r="Y515" s="154"/>
      <c r="Z515" s="154"/>
      <c r="AA515" s="154"/>
    </row>
    <row r="516">
      <c r="A516" s="154"/>
      <c r="B516" s="154"/>
      <c r="C516" s="154"/>
      <c r="D516" s="154"/>
      <c r="E516" s="154"/>
      <c r="F516" s="154"/>
      <c r="G516" s="55"/>
      <c r="H516" s="154"/>
      <c r="I516" s="154"/>
      <c r="J516" s="154"/>
      <c r="K516" s="154"/>
      <c r="L516" s="154"/>
      <c r="M516" s="154"/>
      <c r="N516" s="154"/>
      <c r="O516" s="154"/>
      <c r="P516" s="154"/>
      <c r="Q516" s="154"/>
      <c r="R516" s="154"/>
      <c r="S516" s="154"/>
      <c r="T516" s="154"/>
      <c r="U516" s="154"/>
      <c r="V516" s="154"/>
      <c r="W516" s="154"/>
      <c r="X516" s="154"/>
      <c r="Y516" s="154"/>
      <c r="Z516" s="154"/>
      <c r="AA516" s="154"/>
    </row>
    <row r="517">
      <c r="A517" s="154"/>
      <c r="B517" s="154"/>
      <c r="C517" s="154"/>
      <c r="D517" s="154"/>
      <c r="E517" s="154"/>
      <c r="F517" s="154"/>
      <c r="G517" s="55"/>
      <c r="H517" s="154"/>
      <c r="I517" s="154"/>
      <c r="J517" s="154"/>
      <c r="K517" s="154"/>
      <c r="L517" s="154"/>
      <c r="M517" s="154"/>
      <c r="N517" s="154"/>
      <c r="O517" s="154"/>
      <c r="P517" s="154"/>
      <c r="Q517" s="154"/>
      <c r="R517" s="154"/>
      <c r="S517" s="154"/>
      <c r="T517" s="154"/>
      <c r="U517" s="154"/>
      <c r="V517" s="154"/>
      <c r="W517" s="154"/>
      <c r="X517" s="154"/>
      <c r="Y517" s="154"/>
      <c r="Z517" s="154"/>
      <c r="AA517" s="154"/>
    </row>
    <row r="518">
      <c r="A518" s="154"/>
      <c r="B518" s="154"/>
      <c r="C518" s="154"/>
      <c r="D518" s="154"/>
      <c r="E518" s="154"/>
      <c r="F518" s="154"/>
      <c r="G518" s="55"/>
      <c r="H518" s="154"/>
      <c r="I518" s="154"/>
      <c r="J518" s="154"/>
      <c r="K518" s="154"/>
      <c r="L518" s="154"/>
      <c r="M518" s="154"/>
      <c r="N518" s="154"/>
      <c r="O518" s="154"/>
      <c r="P518" s="154"/>
      <c r="Q518" s="154"/>
      <c r="R518" s="154"/>
      <c r="S518" s="154"/>
      <c r="T518" s="154"/>
      <c r="U518" s="154"/>
      <c r="V518" s="154"/>
      <c r="W518" s="154"/>
      <c r="X518" s="154"/>
      <c r="Y518" s="154"/>
      <c r="Z518" s="154"/>
      <c r="AA518" s="154"/>
    </row>
    <row r="519">
      <c r="A519" s="154"/>
      <c r="B519" s="154"/>
      <c r="C519" s="154"/>
      <c r="D519" s="154"/>
      <c r="E519" s="154"/>
      <c r="F519" s="154"/>
      <c r="G519" s="55"/>
      <c r="H519" s="154"/>
      <c r="I519" s="154"/>
      <c r="J519" s="154"/>
      <c r="K519" s="154"/>
      <c r="L519" s="154"/>
      <c r="M519" s="154"/>
      <c r="N519" s="154"/>
      <c r="O519" s="154"/>
      <c r="P519" s="154"/>
      <c r="Q519" s="154"/>
      <c r="R519" s="154"/>
      <c r="S519" s="154"/>
      <c r="T519" s="154"/>
      <c r="U519" s="154"/>
      <c r="V519" s="154"/>
      <c r="W519" s="154"/>
      <c r="X519" s="154"/>
      <c r="Y519" s="154"/>
      <c r="Z519" s="154"/>
      <c r="AA519" s="154"/>
    </row>
    <row r="520">
      <c r="A520" s="154"/>
      <c r="B520" s="154"/>
      <c r="C520" s="154"/>
      <c r="D520" s="154"/>
      <c r="E520" s="154"/>
      <c r="F520" s="154"/>
      <c r="G520" s="55"/>
      <c r="H520" s="154"/>
      <c r="I520" s="154"/>
      <c r="J520" s="154"/>
      <c r="K520" s="154"/>
      <c r="L520" s="154"/>
      <c r="M520" s="154"/>
      <c r="N520" s="154"/>
      <c r="O520" s="154"/>
      <c r="P520" s="154"/>
      <c r="Q520" s="154"/>
      <c r="R520" s="154"/>
      <c r="S520" s="154"/>
      <c r="T520" s="154"/>
      <c r="U520" s="154"/>
      <c r="V520" s="154"/>
      <c r="W520" s="154"/>
      <c r="X520" s="154"/>
      <c r="Y520" s="154"/>
      <c r="Z520" s="154"/>
      <c r="AA520" s="154"/>
    </row>
    <row r="521">
      <c r="A521" s="154"/>
      <c r="B521" s="154"/>
      <c r="C521" s="154"/>
      <c r="D521" s="154"/>
      <c r="E521" s="154"/>
      <c r="F521" s="154"/>
      <c r="G521" s="55"/>
      <c r="H521" s="154"/>
      <c r="I521" s="154"/>
      <c r="J521" s="154"/>
      <c r="K521" s="154"/>
      <c r="L521" s="154"/>
      <c r="M521" s="154"/>
      <c r="N521" s="154"/>
      <c r="O521" s="154"/>
      <c r="P521" s="154"/>
      <c r="Q521" s="154"/>
      <c r="R521" s="154"/>
      <c r="S521" s="154"/>
      <c r="T521" s="154"/>
      <c r="U521" s="154"/>
      <c r="V521" s="154"/>
      <c r="W521" s="154"/>
      <c r="X521" s="154"/>
      <c r="Y521" s="154"/>
      <c r="Z521" s="154"/>
      <c r="AA521" s="154"/>
    </row>
    <row r="522">
      <c r="A522" s="154"/>
      <c r="B522" s="154"/>
      <c r="C522" s="154"/>
      <c r="D522" s="154"/>
      <c r="E522" s="154"/>
      <c r="F522" s="154"/>
      <c r="G522" s="55"/>
      <c r="H522" s="154"/>
      <c r="I522" s="154"/>
      <c r="J522" s="154"/>
      <c r="K522" s="154"/>
      <c r="L522" s="154"/>
      <c r="M522" s="154"/>
      <c r="N522" s="154"/>
      <c r="O522" s="154"/>
      <c r="P522" s="154"/>
      <c r="Q522" s="154"/>
      <c r="R522" s="154"/>
      <c r="S522" s="154"/>
      <c r="T522" s="154"/>
      <c r="U522" s="154"/>
      <c r="V522" s="154"/>
      <c r="W522" s="154"/>
      <c r="X522" s="154"/>
      <c r="Y522" s="154"/>
      <c r="Z522" s="154"/>
      <c r="AA522" s="154"/>
    </row>
    <row r="523">
      <c r="A523" s="154"/>
      <c r="B523" s="154"/>
      <c r="C523" s="154"/>
      <c r="D523" s="154"/>
      <c r="E523" s="154"/>
      <c r="F523" s="154"/>
      <c r="G523" s="55"/>
      <c r="H523" s="154"/>
      <c r="I523" s="154"/>
      <c r="J523" s="154"/>
      <c r="K523" s="154"/>
      <c r="L523" s="154"/>
      <c r="M523" s="154"/>
      <c r="N523" s="154"/>
      <c r="O523" s="154"/>
      <c r="P523" s="154"/>
      <c r="Q523" s="154"/>
      <c r="R523" s="154"/>
      <c r="S523" s="154"/>
      <c r="T523" s="154"/>
      <c r="U523" s="154"/>
      <c r="V523" s="154"/>
      <c r="W523" s="154"/>
      <c r="X523" s="154"/>
      <c r="Y523" s="154"/>
      <c r="Z523" s="154"/>
      <c r="AA523" s="154"/>
    </row>
    <row r="524">
      <c r="A524" s="154"/>
      <c r="B524" s="154"/>
      <c r="C524" s="154"/>
      <c r="D524" s="154"/>
      <c r="E524" s="154"/>
      <c r="F524" s="154"/>
      <c r="G524" s="55"/>
      <c r="H524" s="154"/>
      <c r="I524" s="154"/>
      <c r="J524" s="154"/>
      <c r="K524" s="154"/>
      <c r="L524" s="154"/>
      <c r="M524" s="154"/>
      <c r="N524" s="154"/>
      <c r="O524" s="154"/>
      <c r="P524" s="154"/>
      <c r="Q524" s="154"/>
      <c r="R524" s="154"/>
      <c r="S524" s="154"/>
      <c r="T524" s="154"/>
      <c r="U524" s="154"/>
      <c r="V524" s="154"/>
      <c r="W524" s="154"/>
      <c r="X524" s="154"/>
      <c r="Y524" s="154"/>
      <c r="Z524" s="154"/>
      <c r="AA524" s="154"/>
    </row>
    <row r="525">
      <c r="A525" s="154"/>
      <c r="B525" s="154"/>
      <c r="C525" s="154"/>
      <c r="D525" s="154"/>
      <c r="E525" s="154"/>
      <c r="F525" s="154"/>
      <c r="G525" s="55"/>
      <c r="H525" s="154"/>
      <c r="I525" s="154"/>
      <c r="J525" s="154"/>
      <c r="K525" s="154"/>
      <c r="L525" s="154"/>
      <c r="M525" s="154"/>
      <c r="N525" s="154"/>
      <c r="O525" s="154"/>
      <c r="P525" s="154"/>
      <c r="Q525" s="154"/>
      <c r="R525" s="154"/>
      <c r="S525" s="154"/>
      <c r="T525" s="154"/>
      <c r="U525" s="154"/>
      <c r="V525" s="154"/>
      <c r="W525" s="154"/>
      <c r="X525" s="154"/>
      <c r="Y525" s="154"/>
      <c r="Z525" s="154"/>
      <c r="AA525" s="154"/>
    </row>
    <row r="526">
      <c r="A526" s="154"/>
      <c r="B526" s="154"/>
      <c r="C526" s="154"/>
      <c r="D526" s="154"/>
      <c r="E526" s="154"/>
      <c r="F526" s="154"/>
      <c r="G526" s="55"/>
      <c r="H526" s="154"/>
      <c r="I526" s="154"/>
      <c r="J526" s="154"/>
      <c r="K526" s="154"/>
      <c r="L526" s="154"/>
      <c r="M526" s="154"/>
      <c r="N526" s="154"/>
      <c r="O526" s="154"/>
      <c r="P526" s="154"/>
      <c r="Q526" s="154"/>
      <c r="R526" s="154"/>
      <c r="S526" s="154"/>
      <c r="T526" s="154"/>
      <c r="U526" s="154"/>
      <c r="V526" s="154"/>
      <c r="W526" s="154"/>
      <c r="X526" s="154"/>
      <c r="Y526" s="154"/>
      <c r="Z526" s="154"/>
      <c r="AA526" s="154"/>
    </row>
    <row r="527">
      <c r="A527" s="154"/>
      <c r="B527" s="154"/>
      <c r="C527" s="154"/>
      <c r="D527" s="154"/>
      <c r="E527" s="154"/>
      <c r="F527" s="154"/>
      <c r="G527" s="55"/>
      <c r="H527" s="154"/>
      <c r="I527" s="154"/>
      <c r="J527" s="154"/>
      <c r="K527" s="154"/>
      <c r="L527" s="154"/>
      <c r="M527" s="154"/>
      <c r="N527" s="154"/>
      <c r="O527" s="154"/>
      <c r="P527" s="154"/>
      <c r="Q527" s="154"/>
      <c r="R527" s="154"/>
      <c r="S527" s="154"/>
      <c r="T527" s="154"/>
      <c r="U527" s="154"/>
      <c r="V527" s="154"/>
      <c r="W527" s="154"/>
      <c r="X527" s="154"/>
      <c r="Y527" s="154"/>
      <c r="Z527" s="154"/>
      <c r="AA527" s="154"/>
    </row>
    <row r="528">
      <c r="A528" s="154"/>
      <c r="B528" s="154"/>
      <c r="C528" s="154"/>
      <c r="D528" s="154"/>
      <c r="E528" s="154"/>
      <c r="F528" s="154"/>
      <c r="G528" s="55"/>
      <c r="H528" s="154"/>
      <c r="I528" s="154"/>
      <c r="J528" s="154"/>
      <c r="K528" s="154"/>
      <c r="L528" s="154"/>
      <c r="M528" s="154"/>
      <c r="N528" s="154"/>
      <c r="O528" s="154"/>
      <c r="P528" s="154"/>
      <c r="Q528" s="154"/>
      <c r="R528" s="154"/>
      <c r="S528" s="154"/>
      <c r="T528" s="154"/>
      <c r="U528" s="154"/>
      <c r="V528" s="154"/>
      <c r="W528" s="154"/>
      <c r="X528" s="154"/>
      <c r="Y528" s="154"/>
      <c r="Z528" s="154"/>
      <c r="AA528" s="154"/>
    </row>
    <row r="529">
      <c r="A529" s="154"/>
      <c r="B529" s="154"/>
      <c r="C529" s="154"/>
      <c r="D529" s="154"/>
      <c r="E529" s="154"/>
      <c r="F529" s="154"/>
      <c r="G529" s="55"/>
      <c r="H529" s="154"/>
      <c r="I529" s="154"/>
      <c r="J529" s="154"/>
      <c r="K529" s="154"/>
      <c r="L529" s="154"/>
      <c r="M529" s="154"/>
      <c r="N529" s="154"/>
      <c r="O529" s="154"/>
      <c r="P529" s="154"/>
      <c r="Q529" s="154"/>
      <c r="R529" s="154"/>
      <c r="S529" s="154"/>
      <c r="T529" s="154"/>
      <c r="U529" s="154"/>
      <c r="V529" s="154"/>
      <c r="W529" s="154"/>
      <c r="X529" s="154"/>
      <c r="Y529" s="154"/>
      <c r="Z529" s="154"/>
      <c r="AA529" s="154"/>
    </row>
    <row r="530">
      <c r="A530" s="154"/>
      <c r="B530" s="154"/>
      <c r="C530" s="154"/>
      <c r="D530" s="154"/>
      <c r="E530" s="154"/>
      <c r="F530" s="154"/>
      <c r="G530" s="55"/>
      <c r="H530" s="154"/>
      <c r="I530" s="154"/>
      <c r="J530" s="154"/>
      <c r="K530" s="154"/>
      <c r="L530" s="154"/>
      <c r="M530" s="154"/>
      <c r="N530" s="154"/>
      <c r="O530" s="154"/>
      <c r="P530" s="154"/>
      <c r="Q530" s="154"/>
      <c r="R530" s="154"/>
      <c r="S530" s="154"/>
      <c r="T530" s="154"/>
      <c r="U530" s="154"/>
      <c r="V530" s="154"/>
      <c r="W530" s="154"/>
      <c r="X530" s="154"/>
      <c r="Y530" s="154"/>
      <c r="Z530" s="154"/>
      <c r="AA530" s="154"/>
    </row>
    <row r="531">
      <c r="A531" s="154"/>
      <c r="B531" s="154"/>
      <c r="C531" s="154"/>
      <c r="D531" s="154"/>
      <c r="E531" s="154"/>
      <c r="F531" s="154"/>
      <c r="G531" s="55"/>
      <c r="H531" s="154"/>
      <c r="I531" s="154"/>
      <c r="J531" s="154"/>
      <c r="K531" s="154"/>
      <c r="L531" s="154"/>
      <c r="M531" s="154"/>
      <c r="N531" s="154"/>
      <c r="O531" s="154"/>
      <c r="P531" s="154"/>
      <c r="Q531" s="154"/>
      <c r="R531" s="154"/>
      <c r="S531" s="154"/>
      <c r="T531" s="154"/>
      <c r="U531" s="154"/>
      <c r="V531" s="154"/>
      <c r="W531" s="154"/>
      <c r="X531" s="154"/>
      <c r="Y531" s="154"/>
      <c r="Z531" s="154"/>
      <c r="AA531" s="154"/>
    </row>
    <row r="532">
      <c r="A532" s="154"/>
      <c r="B532" s="154"/>
      <c r="C532" s="154"/>
      <c r="D532" s="154"/>
      <c r="E532" s="154"/>
      <c r="F532" s="154"/>
      <c r="G532" s="55"/>
      <c r="H532" s="154"/>
      <c r="I532" s="154"/>
      <c r="J532" s="154"/>
      <c r="K532" s="154"/>
      <c r="L532" s="154"/>
      <c r="M532" s="154"/>
      <c r="N532" s="154"/>
      <c r="O532" s="154"/>
      <c r="P532" s="154"/>
      <c r="Q532" s="154"/>
      <c r="R532" s="154"/>
      <c r="S532" s="154"/>
      <c r="T532" s="154"/>
      <c r="U532" s="154"/>
      <c r="V532" s="154"/>
      <c r="W532" s="154"/>
      <c r="X532" s="154"/>
      <c r="Y532" s="154"/>
      <c r="Z532" s="154"/>
      <c r="AA532" s="154"/>
    </row>
    <row r="533">
      <c r="A533" s="154"/>
      <c r="B533" s="154"/>
      <c r="C533" s="154"/>
      <c r="D533" s="154"/>
      <c r="E533" s="154"/>
      <c r="F533" s="154"/>
      <c r="G533" s="55"/>
      <c r="H533" s="154"/>
      <c r="I533" s="154"/>
      <c r="J533" s="154"/>
      <c r="K533" s="154"/>
      <c r="L533" s="154"/>
      <c r="M533" s="154"/>
      <c r="N533" s="154"/>
      <c r="O533" s="154"/>
      <c r="P533" s="154"/>
      <c r="Q533" s="154"/>
      <c r="R533" s="154"/>
      <c r="S533" s="154"/>
      <c r="T533" s="154"/>
      <c r="U533" s="154"/>
      <c r="V533" s="154"/>
      <c r="W533" s="154"/>
      <c r="X533" s="154"/>
      <c r="Y533" s="154"/>
      <c r="Z533" s="154"/>
      <c r="AA533" s="154"/>
    </row>
    <row r="534">
      <c r="A534" s="154"/>
      <c r="B534" s="154"/>
      <c r="C534" s="154"/>
      <c r="D534" s="154"/>
      <c r="E534" s="154"/>
      <c r="F534" s="154"/>
      <c r="G534" s="55"/>
      <c r="H534" s="154"/>
      <c r="I534" s="154"/>
      <c r="J534" s="154"/>
      <c r="K534" s="154"/>
      <c r="L534" s="154"/>
      <c r="M534" s="154"/>
      <c r="N534" s="154"/>
      <c r="O534" s="154"/>
      <c r="P534" s="154"/>
      <c r="Q534" s="154"/>
      <c r="R534" s="154"/>
      <c r="S534" s="154"/>
      <c r="T534" s="154"/>
      <c r="U534" s="154"/>
      <c r="V534" s="154"/>
      <c r="W534" s="154"/>
      <c r="X534" s="154"/>
      <c r="Y534" s="154"/>
      <c r="Z534" s="154"/>
      <c r="AA534" s="154"/>
    </row>
    <row r="535">
      <c r="A535" s="154"/>
      <c r="B535" s="154"/>
      <c r="C535" s="154"/>
      <c r="D535" s="154"/>
      <c r="E535" s="154"/>
      <c r="F535" s="154"/>
      <c r="G535" s="55"/>
      <c r="H535" s="154"/>
      <c r="I535" s="154"/>
      <c r="J535" s="154"/>
      <c r="K535" s="154"/>
      <c r="L535" s="154"/>
      <c r="M535" s="154"/>
      <c r="N535" s="154"/>
      <c r="O535" s="154"/>
      <c r="P535" s="154"/>
      <c r="Q535" s="154"/>
      <c r="R535" s="154"/>
      <c r="S535" s="154"/>
      <c r="T535" s="154"/>
      <c r="U535" s="154"/>
      <c r="V535" s="154"/>
      <c r="W535" s="154"/>
      <c r="X535" s="154"/>
      <c r="Y535" s="154"/>
      <c r="Z535" s="154"/>
      <c r="AA535" s="154"/>
    </row>
    <row r="536">
      <c r="A536" s="154"/>
      <c r="B536" s="154"/>
      <c r="C536" s="154"/>
      <c r="D536" s="154"/>
      <c r="E536" s="154"/>
      <c r="F536" s="154"/>
      <c r="G536" s="55"/>
      <c r="H536" s="154"/>
      <c r="I536" s="154"/>
      <c r="J536" s="154"/>
      <c r="K536" s="154"/>
      <c r="L536" s="154"/>
      <c r="M536" s="154"/>
      <c r="N536" s="154"/>
      <c r="O536" s="154"/>
      <c r="P536" s="154"/>
      <c r="Q536" s="154"/>
      <c r="R536" s="154"/>
      <c r="S536" s="154"/>
      <c r="T536" s="154"/>
      <c r="U536" s="154"/>
      <c r="V536" s="154"/>
      <c r="W536" s="154"/>
      <c r="X536" s="154"/>
      <c r="Y536" s="154"/>
      <c r="Z536" s="154"/>
      <c r="AA536" s="154"/>
    </row>
    <row r="537">
      <c r="A537" s="154"/>
      <c r="B537" s="154"/>
      <c r="C537" s="154"/>
      <c r="D537" s="154"/>
      <c r="E537" s="154"/>
      <c r="F537" s="154"/>
      <c r="G537" s="55"/>
      <c r="H537" s="154"/>
      <c r="I537" s="154"/>
      <c r="J537" s="154"/>
      <c r="K537" s="154"/>
      <c r="L537" s="154"/>
      <c r="M537" s="154"/>
      <c r="N537" s="154"/>
      <c r="O537" s="154"/>
      <c r="P537" s="154"/>
      <c r="Q537" s="154"/>
      <c r="R537" s="154"/>
      <c r="S537" s="154"/>
      <c r="T537" s="154"/>
      <c r="U537" s="154"/>
      <c r="V537" s="154"/>
      <c r="W537" s="154"/>
      <c r="X537" s="154"/>
      <c r="Y537" s="154"/>
      <c r="Z537" s="154"/>
      <c r="AA537" s="154"/>
    </row>
    <row r="538">
      <c r="A538" s="154"/>
      <c r="B538" s="154"/>
      <c r="C538" s="154"/>
      <c r="D538" s="154"/>
      <c r="E538" s="154"/>
      <c r="F538" s="154"/>
      <c r="G538" s="55"/>
      <c r="H538" s="154"/>
      <c r="I538" s="154"/>
      <c r="J538" s="154"/>
      <c r="K538" s="154"/>
      <c r="L538" s="154"/>
      <c r="M538" s="154"/>
      <c r="N538" s="154"/>
      <c r="O538" s="154"/>
      <c r="P538" s="154"/>
      <c r="Q538" s="154"/>
      <c r="R538" s="154"/>
      <c r="S538" s="154"/>
      <c r="T538" s="154"/>
      <c r="U538" s="154"/>
      <c r="V538" s="154"/>
      <c r="W538" s="154"/>
      <c r="X538" s="154"/>
      <c r="Y538" s="154"/>
      <c r="Z538" s="154"/>
      <c r="AA538" s="154"/>
    </row>
    <row r="539">
      <c r="A539" s="154"/>
      <c r="B539" s="154"/>
      <c r="C539" s="154"/>
      <c r="D539" s="154"/>
      <c r="E539" s="154"/>
      <c r="F539" s="154"/>
      <c r="G539" s="55"/>
      <c r="H539" s="154"/>
      <c r="I539" s="154"/>
      <c r="J539" s="154"/>
      <c r="K539" s="154"/>
      <c r="L539" s="154"/>
      <c r="M539" s="154"/>
      <c r="N539" s="154"/>
      <c r="O539" s="154"/>
      <c r="P539" s="154"/>
      <c r="Q539" s="154"/>
      <c r="R539" s="154"/>
      <c r="S539" s="154"/>
      <c r="T539" s="154"/>
      <c r="U539" s="154"/>
      <c r="V539" s="154"/>
      <c r="W539" s="154"/>
      <c r="X539" s="154"/>
      <c r="Y539" s="154"/>
      <c r="Z539" s="154"/>
      <c r="AA539" s="154"/>
    </row>
    <row r="540">
      <c r="A540" s="154"/>
      <c r="B540" s="154"/>
      <c r="C540" s="154"/>
      <c r="D540" s="154"/>
      <c r="E540" s="154"/>
      <c r="F540" s="154"/>
      <c r="G540" s="55"/>
      <c r="H540" s="154"/>
      <c r="I540" s="154"/>
      <c r="J540" s="154"/>
      <c r="K540" s="154"/>
      <c r="L540" s="154"/>
      <c r="M540" s="154"/>
      <c r="N540" s="154"/>
      <c r="O540" s="154"/>
      <c r="P540" s="154"/>
      <c r="Q540" s="154"/>
      <c r="R540" s="154"/>
      <c r="S540" s="154"/>
      <c r="T540" s="154"/>
      <c r="U540" s="154"/>
      <c r="V540" s="154"/>
      <c r="W540" s="154"/>
      <c r="X540" s="154"/>
      <c r="Y540" s="154"/>
      <c r="Z540" s="154"/>
      <c r="AA540" s="154"/>
    </row>
    <row r="541">
      <c r="A541" s="154"/>
      <c r="B541" s="154"/>
      <c r="C541" s="154"/>
      <c r="D541" s="154"/>
      <c r="E541" s="154"/>
      <c r="F541" s="154"/>
      <c r="G541" s="55"/>
      <c r="H541" s="154"/>
      <c r="I541" s="154"/>
      <c r="J541" s="154"/>
      <c r="K541" s="154"/>
      <c r="L541" s="154"/>
      <c r="M541" s="154"/>
      <c r="N541" s="154"/>
      <c r="O541" s="154"/>
      <c r="P541" s="154"/>
      <c r="Q541" s="154"/>
      <c r="R541" s="154"/>
      <c r="S541" s="154"/>
      <c r="T541" s="154"/>
      <c r="U541" s="154"/>
      <c r="V541" s="154"/>
      <c r="W541" s="154"/>
      <c r="X541" s="154"/>
      <c r="Y541" s="154"/>
      <c r="Z541" s="154"/>
      <c r="AA541" s="154"/>
    </row>
    <row r="542">
      <c r="A542" s="154"/>
      <c r="B542" s="154"/>
      <c r="C542" s="154"/>
      <c r="D542" s="154"/>
      <c r="E542" s="154"/>
      <c r="F542" s="154"/>
      <c r="G542" s="55"/>
      <c r="H542" s="154"/>
      <c r="I542" s="154"/>
      <c r="J542" s="154"/>
      <c r="K542" s="154"/>
      <c r="L542" s="154"/>
      <c r="M542" s="154"/>
      <c r="N542" s="154"/>
      <c r="O542" s="154"/>
      <c r="P542" s="154"/>
      <c r="Q542" s="154"/>
      <c r="R542" s="154"/>
      <c r="S542" s="154"/>
      <c r="T542" s="154"/>
      <c r="U542" s="154"/>
      <c r="V542" s="154"/>
      <c r="W542" s="154"/>
      <c r="X542" s="154"/>
      <c r="Y542" s="154"/>
      <c r="Z542" s="154"/>
      <c r="AA542" s="154"/>
    </row>
    <row r="543">
      <c r="A543" s="154"/>
      <c r="B543" s="154"/>
      <c r="C543" s="154"/>
      <c r="D543" s="154"/>
      <c r="E543" s="154"/>
      <c r="F543" s="154"/>
      <c r="G543" s="55"/>
      <c r="H543" s="154"/>
      <c r="I543" s="154"/>
      <c r="J543" s="154"/>
      <c r="K543" s="154"/>
      <c r="L543" s="154"/>
      <c r="M543" s="154"/>
      <c r="N543" s="154"/>
      <c r="O543" s="154"/>
      <c r="P543" s="154"/>
      <c r="Q543" s="154"/>
      <c r="R543" s="154"/>
      <c r="S543" s="154"/>
      <c r="T543" s="154"/>
      <c r="U543" s="154"/>
      <c r="V543" s="154"/>
      <c r="W543" s="154"/>
      <c r="X543" s="154"/>
      <c r="Y543" s="154"/>
      <c r="Z543" s="154"/>
      <c r="AA543" s="154"/>
    </row>
    <row r="544">
      <c r="A544" s="154"/>
      <c r="B544" s="154"/>
      <c r="C544" s="154"/>
      <c r="D544" s="154"/>
      <c r="E544" s="154"/>
      <c r="F544" s="154"/>
      <c r="G544" s="55"/>
      <c r="H544" s="154"/>
      <c r="I544" s="154"/>
      <c r="J544" s="154"/>
      <c r="K544" s="154"/>
      <c r="L544" s="154"/>
      <c r="M544" s="154"/>
      <c r="N544" s="154"/>
      <c r="O544" s="154"/>
      <c r="P544" s="154"/>
      <c r="Q544" s="154"/>
      <c r="R544" s="154"/>
      <c r="S544" s="154"/>
      <c r="T544" s="154"/>
      <c r="U544" s="154"/>
      <c r="V544" s="154"/>
      <c r="W544" s="154"/>
      <c r="X544" s="154"/>
      <c r="Y544" s="154"/>
      <c r="Z544" s="154"/>
      <c r="AA544" s="154"/>
    </row>
    <row r="545">
      <c r="A545" s="154"/>
      <c r="B545" s="154"/>
      <c r="C545" s="154"/>
      <c r="D545" s="154"/>
      <c r="E545" s="154"/>
      <c r="F545" s="154"/>
      <c r="G545" s="55"/>
      <c r="H545" s="154"/>
      <c r="I545" s="154"/>
      <c r="J545" s="154"/>
      <c r="K545" s="154"/>
      <c r="L545" s="154"/>
      <c r="M545" s="154"/>
      <c r="N545" s="154"/>
      <c r="O545" s="154"/>
      <c r="P545" s="154"/>
      <c r="Q545" s="154"/>
      <c r="R545" s="154"/>
      <c r="S545" s="154"/>
      <c r="T545" s="154"/>
      <c r="U545" s="154"/>
      <c r="V545" s="154"/>
      <c r="W545" s="154"/>
      <c r="X545" s="154"/>
      <c r="Y545" s="154"/>
      <c r="Z545" s="154"/>
      <c r="AA545" s="154"/>
    </row>
    <row r="546">
      <c r="A546" s="154"/>
      <c r="B546" s="154"/>
      <c r="C546" s="154"/>
      <c r="D546" s="154"/>
      <c r="E546" s="154"/>
      <c r="F546" s="154"/>
      <c r="G546" s="55"/>
      <c r="H546" s="154"/>
      <c r="I546" s="154"/>
      <c r="J546" s="154"/>
      <c r="K546" s="154"/>
      <c r="L546" s="154"/>
      <c r="M546" s="154"/>
      <c r="N546" s="154"/>
      <c r="O546" s="154"/>
      <c r="P546" s="154"/>
      <c r="Q546" s="154"/>
      <c r="R546" s="154"/>
      <c r="S546" s="154"/>
      <c r="T546" s="154"/>
      <c r="U546" s="154"/>
      <c r="V546" s="154"/>
      <c r="W546" s="154"/>
      <c r="X546" s="154"/>
      <c r="Y546" s="154"/>
      <c r="Z546" s="154"/>
      <c r="AA546" s="154"/>
    </row>
    <row r="547">
      <c r="A547" s="154"/>
      <c r="B547" s="154"/>
      <c r="C547" s="154"/>
      <c r="D547" s="154"/>
      <c r="E547" s="154"/>
      <c r="F547" s="154"/>
      <c r="G547" s="55"/>
      <c r="H547" s="154"/>
      <c r="I547" s="154"/>
      <c r="J547" s="154"/>
      <c r="K547" s="154"/>
      <c r="L547" s="154"/>
      <c r="M547" s="154"/>
      <c r="N547" s="154"/>
      <c r="O547" s="154"/>
      <c r="P547" s="154"/>
      <c r="Q547" s="154"/>
      <c r="R547" s="154"/>
      <c r="S547" s="154"/>
      <c r="T547" s="154"/>
      <c r="U547" s="154"/>
      <c r="V547" s="154"/>
      <c r="W547" s="154"/>
      <c r="X547" s="154"/>
      <c r="Y547" s="154"/>
      <c r="Z547" s="154"/>
      <c r="AA547" s="154"/>
    </row>
    <row r="548">
      <c r="A548" s="154"/>
      <c r="B548" s="154"/>
      <c r="C548" s="154"/>
      <c r="D548" s="154"/>
      <c r="E548" s="154"/>
      <c r="F548" s="154"/>
      <c r="G548" s="55"/>
      <c r="H548" s="154"/>
      <c r="I548" s="154"/>
      <c r="J548" s="154"/>
      <c r="K548" s="154"/>
      <c r="L548" s="154"/>
      <c r="M548" s="154"/>
      <c r="N548" s="154"/>
      <c r="O548" s="154"/>
      <c r="P548" s="154"/>
      <c r="Q548" s="154"/>
      <c r="R548" s="154"/>
      <c r="S548" s="154"/>
      <c r="T548" s="154"/>
      <c r="U548" s="154"/>
      <c r="V548" s="154"/>
      <c r="W548" s="154"/>
      <c r="X548" s="154"/>
      <c r="Y548" s="154"/>
      <c r="Z548" s="154"/>
      <c r="AA548" s="154"/>
    </row>
    <row r="549">
      <c r="A549" s="154"/>
      <c r="B549" s="154"/>
      <c r="C549" s="154"/>
      <c r="D549" s="154"/>
      <c r="E549" s="154"/>
      <c r="F549" s="154"/>
      <c r="G549" s="55"/>
      <c r="H549" s="154"/>
      <c r="I549" s="154"/>
      <c r="J549" s="154"/>
      <c r="K549" s="154"/>
      <c r="L549" s="154"/>
      <c r="M549" s="154"/>
      <c r="N549" s="154"/>
      <c r="O549" s="154"/>
      <c r="P549" s="154"/>
      <c r="Q549" s="154"/>
      <c r="R549" s="154"/>
      <c r="S549" s="154"/>
      <c r="T549" s="154"/>
      <c r="U549" s="154"/>
      <c r="V549" s="154"/>
      <c r="W549" s="154"/>
      <c r="X549" s="154"/>
      <c r="Y549" s="154"/>
      <c r="Z549" s="154"/>
      <c r="AA549" s="154"/>
    </row>
    <row r="550">
      <c r="A550" s="154"/>
      <c r="B550" s="154"/>
      <c r="C550" s="154"/>
      <c r="D550" s="154"/>
      <c r="E550" s="154"/>
      <c r="F550" s="154"/>
      <c r="G550" s="55"/>
      <c r="H550" s="154"/>
      <c r="I550" s="154"/>
      <c r="J550" s="154"/>
      <c r="K550" s="154"/>
      <c r="L550" s="154"/>
      <c r="M550" s="154"/>
      <c r="N550" s="154"/>
      <c r="O550" s="154"/>
      <c r="P550" s="154"/>
      <c r="Q550" s="154"/>
      <c r="R550" s="154"/>
      <c r="S550" s="154"/>
      <c r="T550" s="154"/>
      <c r="U550" s="154"/>
      <c r="V550" s="154"/>
      <c r="W550" s="154"/>
      <c r="X550" s="154"/>
      <c r="Y550" s="154"/>
      <c r="Z550" s="154"/>
      <c r="AA550" s="154"/>
    </row>
    <row r="551">
      <c r="A551" s="154"/>
      <c r="B551" s="154"/>
      <c r="C551" s="154"/>
      <c r="D551" s="154"/>
      <c r="E551" s="154"/>
      <c r="F551" s="154"/>
      <c r="G551" s="55"/>
      <c r="H551" s="154"/>
      <c r="I551" s="154"/>
      <c r="J551" s="154"/>
      <c r="K551" s="154"/>
      <c r="L551" s="154"/>
      <c r="M551" s="154"/>
      <c r="N551" s="154"/>
      <c r="O551" s="154"/>
      <c r="P551" s="154"/>
      <c r="Q551" s="154"/>
      <c r="R551" s="154"/>
      <c r="S551" s="154"/>
      <c r="T551" s="154"/>
      <c r="U551" s="154"/>
      <c r="V551" s="154"/>
      <c r="W551" s="154"/>
      <c r="X551" s="154"/>
      <c r="Y551" s="154"/>
      <c r="Z551" s="154"/>
      <c r="AA551" s="154"/>
    </row>
    <row r="552">
      <c r="A552" s="154"/>
      <c r="B552" s="154"/>
      <c r="C552" s="154"/>
      <c r="D552" s="154"/>
      <c r="E552" s="154"/>
      <c r="F552" s="154"/>
      <c r="G552" s="55"/>
      <c r="H552" s="154"/>
      <c r="I552" s="154"/>
      <c r="J552" s="154"/>
      <c r="K552" s="154"/>
      <c r="L552" s="154"/>
      <c r="M552" s="154"/>
      <c r="N552" s="154"/>
      <c r="O552" s="154"/>
      <c r="P552" s="154"/>
      <c r="Q552" s="154"/>
      <c r="R552" s="154"/>
      <c r="S552" s="154"/>
      <c r="T552" s="154"/>
      <c r="U552" s="154"/>
      <c r="V552" s="154"/>
      <c r="W552" s="154"/>
      <c r="X552" s="154"/>
      <c r="Y552" s="154"/>
      <c r="Z552" s="154"/>
      <c r="AA552" s="154"/>
    </row>
    <row r="553">
      <c r="A553" s="154"/>
      <c r="B553" s="154"/>
      <c r="C553" s="154"/>
      <c r="D553" s="154"/>
      <c r="E553" s="154"/>
      <c r="F553" s="154"/>
      <c r="G553" s="55"/>
      <c r="H553" s="154"/>
      <c r="I553" s="154"/>
      <c r="J553" s="154"/>
      <c r="K553" s="154"/>
      <c r="L553" s="154"/>
      <c r="M553" s="154"/>
      <c r="N553" s="154"/>
      <c r="O553" s="154"/>
      <c r="P553" s="154"/>
      <c r="Q553" s="154"/>
      <c r="R553" s="154"/>
      <c r="S553" s="154"/>
      <c r="T553" s="154"/>
      <c r="U553" s="154"/>
      <c r="V553" s="154"/>
      <c r="W553" s="154"/>
      <c r="X553" s="154"/>
      <c r="Y553" s="154"/>
      <c r="Z553" s="154"/>
      <c r="AA553" s="154"/>
    </row>
    <row r="554">
      <c r="A554" s="154"/>
      <c r="B554" s="154"/>
      <c r="C554" s="154"/>
      <c r="D554" s="154"/>
      <c r="E554" s="154"/>
      <c r="F554" s="154"/>
      <c r="G554" s="55"/>
      <c r="H554" s="154"/>
      <c r="I554" s="154"/>
      <c r="J554" s="154"/>
      <c r="K554" s="154"/>
      <c r="L554" s="154"/>
      <c r="M554" s="154"/>
      <c r="N554" s="154"/>
      <c r="O554" s="154"/>
      <c r="P554" s="154"/>
      <c r="Q554" s="154"/>
      <c r="R554" s="154"/>
      <c r="S554" s="154"/>
      <c r="T554" s="154"/>
      <c r="U554" s="154"/>
      <c r="V554" s="154"/>
      <c r="W554" s="154"/>
      <c r="X554" s="154"/>
      <c r="Y554" s="154"/>
      <c r="Z554" s="154"/>
      <c r="AA554" s="154"/>
    </row>
    <row r="555">
      <c r="A555" s="154"/>
      <c r="B555" s="154"/>
      <c r="C555" s="154"/>
      <c r="D555" s="154"/>
      <c r="E555" s="154"/>
      <c r="F555" s="154"/>
      <c r="G555" s="55"/>
      <c r="H555" s="154"/>
      <c r="I555" s="154"/>
      <c r="J555" s="154"/>
      <c r="K555" s="154"/>
      <c r="L555" s="154"/>
      <c r="M555" s="154"/>
      <c r="N555" s="154"/>
      <c r="O555" s="154"/>
      <c r="P555" s="154"/>
      <c r="Q555" s="154"/>
      <c r="R555" s="154"/>
      <c r="S555" s="154"/>
      <c r="T555" s="154"/>
      <c r="U555" s="154"/>
      <c r="V555" s="154"/>
      <c r="W555" s="154"/>
      <c r="X555" s="154"/>
      <c r="Y555" s="154"/>
      <c r="Z555" s="154"/>
      <c r="AA555" s="154"/>
    </row>
    <row r="556">
      <c r="A556" s="154"/>
      <c r="B556" s="154"/>
      <c r="C556" s="154"/>
      <c r="D556" s="154"/>
      <c r="E556" s="154"/>
      <c r="F556" s="154"/>
      <c r="G556" s="55"/>
      <c r="H556" s="154"/>
      <c r="I556" s="154"/>
      <c r="J556" s="154"/>
      <c r="K556" s="154"/>
      <c r="L556" s="154"/>
      <c r="M556" s="154"/>
      <c r="N556" s="154"/>
      <c r="O556" s="154"/>
      <c r="P556" s="154"/>
      <c r="Q556" s="154"/>
      <c r="R556" s="154"/>
      <c r="S556" s="154"/>
      <c r="T556" s="154"/>
      <c r="U556" s="154"/>
      <c r="V556" s="154"/>
      <c r="W556" s="154"/>
      <c r="X556" s="154"/>
      <c r="Y556" s="154"/>
      <c r="Z556" s="154"/>
      <c r="AA556" s="154"/>
    </row>
    <row r="557">
      <c r="A557" s="154"/>
      <c r="B557" s="154"/>
      <c r="C557" s="154"/>
      <c r="D557" s="154"/>
      <c r="E557" s="154"/>
      <c r="F557" s="154"/>
      <c r="G557" s="55"/>
      <c r="H557" s="154"/>
      <c r="I557" s="154"/>
      <c r="J557" s="154"/>
      <c r="K557" s="154"/>
      <c r="L557" s="154"/>
      <c r="M557" s="154"/>
      <c r="N557" s="154"/>
      <c r="O557" s="154"/>
      <c r="P557" s="154"/>
      <c r="Q557" s="154"/>
      <c r="R557" s="154"/>
      <c r="S557" s="154"/>
      <c r="T557" s="154"/>
      <c r="U557" s="154"/>
      <c r="V557" s="154"/>
      <c r="W557" s="154"/>
      <c r="X557" s="154"/>
      <c r="Y557" s="154"/>
      <c r="Z557" s="154"/>
      <c r="AA557" s="154"/>
    </row>
    <row r="558">
      <c r="A558" s="154"/>
      <c r="B558" s="154"/>
      <c r="C558" s="154"/>
      <c r="D558" s="154"/>
      <c r="E558" s="154"/>
      <c r="F558" s="154"/>
      <c r="G558" s="55"/>
      <c r="H558" s="154"/>
      <c r="I558" s="154"/>
      <c r="J558" s="154"/>
      <c r="K558" s="154"/>
      <c r="L558" s="154"/>
      <c r="M558" s="154"/>
      <c r="N558" s="154"/>
      <c r="O558" s="154"/>
      <c r="P558" s="154"/>
      <c r="Q558" s="154"/>
      <c r="R558" s="154"/>
      <c r="S558" s="154"/>
      <c r="T558" s="154"/>
      <c r="U558" s="154"/>
      <c r="V558" s="154"/>
      <c r="W558" s="154"/>
      <c r="X558" s="154"/>
      <c r="Y558" s="154"/>
      <c r="Z558" s="154"/>
      <c r="AA558" s="154"/>
    </row>
    <row r="559">
      <c r="A559" s="154"/>
      <c r="B559" s="154"/>
      <c r="C559" s="154"/>
      <c r="D559" s="154"/>
      <c r="E559" s="154"/>
      <c r="F559" s="154"/>
      <c r="G559" s="55"/>
      <c r="H559" s="154"/>
      <c r="I559" s="154"/>
      <c r="J559" s="154"/>
      <c r="K559" s="154"/>
      <c r="L559" s="154"/>
      <c r="M559" s="154"/>
      <c r="N559" s="154"/>
      <c r="O559" s="154"/>
      <c r="P559" s="154"/>
      <c r="Q559" s="154"/>
      <c r="R559" s="154"/>
      <c r="S559" s="154"/>
      <c r="T559" s="154"/>
      <c r="U559" s="154"/>
      <c r="V559" s="154"/>
      <c r="W559" s="154"/>
      <c r="X559" s="154"/>
      <c r="Y559" s="154"/>
      <c r="Z559" s="154"/>
      <c r="AA559" s="154"/>
    </row>
    <row r="560">
      <c r="A560" s="154"/>
      <c r="B560" s="154"/>
      <c r="C560" s="154"/>
      <c r="D560" s="154"/>
      <c r="E560" s="154"/>
      <c r="F560" s="154"/>
      <c r="G560" s="55"/>
      <c r="H560" s="154"/>
      <c r="I560" s="154"/>
      <c r="J560" s="154"/>
      <c r="K560" s="154"/>
      <c r="L560" s="154"/>
      <c r="M560" s="154"/>
      <c r="N560" s="154"/>
      <c r="O560" s="154"/>
      <c r="P560" s="154"/>
      <c r="Q560" s="154"/>
      <c r="R560" s="154"/>
      <c r="S560" s="154"/>
      <c r="T560" s="154"/>
      <c r="U560" s="154"/>
      <c r="V560" s="154"/>
      <c r="W560" s="154"/>
      <c r="X560" s="154"/>
      <c r="Y560" s="154"/>
      <c r="Z560" s="154"/>
      <c r="AA560" s="154"/>
    </row>
    <row r="561">
      <c r="A561" s="154"/>
      <c r="B561" s="154"/>
      <c r="C561" s="154"/>
      <c r="D561" s="154"/>
      <c r="E561" s="154"/>
      <c r="F561" s="154"/>
      <c r="G561" s="55"/>
      <c r="H561" s="154"/>
      <c r="I561" s="154"/>
      <c r="J561" s="154"/>
      <c r="K561" s="154"/>
      <c r="L561" s="154"/>
      <c r="M561" s="154"/>
      <c r="N561" s="154"/>
      <c r="O561" s="154"/>
      <c r="P561" s="154"/>
      <c r="Q561" s="154"/>
      <c r="R561" s="154"/>
      <c r="S561" s="154"/>
      <c r="T561" s="154"/>
      <c r="U561" s="154"/>
      <c r="V561" s="154"/>
      <c r="W561" s="154"/>
      <c r="X561" s="154"/>
      <c r="Y561" s="154"/>
      <c r="Z561" s="154"/>
      <c r="AA561" s="154"/>
    </row>
    <row r="562">
      <c r="A562" s="154"/>
      <c r="B562" s="154"/>
      <c r="C562" s="154"/>
      <c r="D562" s="154"/>
      <c r="E562" s="154"/>
      <c r="F562" s="154"/>
      <c r="G562" s="55"/>
      <c r="H562" s="154"/>
      <c r="I562" s="154"/>
      <c r="J562" s="154"/>
      <c r="K562" s="154"/>
      <c r="L562" s="154"/>
      <c r="M562" s="154"/>
      <c r="N562" s="154"/>
      <c r="O562" s="154"/>
      <c r="P562" s="154"/>
      <c r="Q562" s="154"/>
      <c r="R562" s="154"/>
      <c r="S562" s="154"/>
      <c r="T562" s="154"/>
      <c r="U562" s="154"/>
      <c r="V562" s="154"/>
      <c r="W562" s="154"/>
      <c r="X562" s="154"/>
      <c r="Y562" s="154"/>
      <c r="Z562" s="154"/>
      <c r="AA562" s="154"/>
    </row>
    <row r="563">
      <c r="A563" s="154"/>
      <c r="B563" s="154"/>
      <c r="C563" s="154"/>
      <c r="D563" s="154"/>
      <c r="E563" s="154"/>
      <c r="F563" s="154"/>
      <c r="G563" s="55"/>
      <c r="H563" s="154"/>
      <c r="I563" s="154"/>
      <c r="J563" s="154"/>
      <c r="K563" s="154"/>
      <c r="L563" s="154"/>
      <c r="M563" s="154"/>
      <c r="N563" s="154"/>
      <c r="O563" s="154"/>
      <c r="P563" s="154"/>
      <c r="Q563" s="154"/>
      <c r="R563" s="154"/>
      <c r="S563" s="154"/>
      <c r="T563" s="154"/>
      <c r="U563" s="154"/>
      <c r="V563" s="154"/>
      <c r="W563" s="154"/>
      <c r="X563" s="154"/>
      <c r="Y563" s="154"/>
      <c r="Z563" s="154"/>
      <c r="AA563" s="154"/>
    </row>
    <row r="564">
      <c r="A564" s="154"/>
      <c r="B564" s="154"/>
      <c r="C564" s="154"/>
      <c r="D564" s="154"/>
      <c r="E564" s="154"/>
      <c r="F564" s="154"/>
      <c r="G564" s="55"/>
      <c r="H564" s="154"/>
      <c r="I564" s="154"/>
      <c r="J564" s="154"/>
      <c r="K564" s="154"/>
      <c r="L564" s="154"/>
      <c r="M564" s="154"/>
      <c r="N564" s="154"/>
      <c r="O564" s="154"/>
      <c r="P564" s="154"/>
      <c r="Q564" s="154"/>
      <c r="R564" s="154"/>
      <c r="S564" s="154"/>
      <c r="T564" s="154"/>
      <c r="U564" s="154"/>
      <c r="V564" s="154"/>
      <c r="W564" s="154"/>
      <c r="X564" s="154"/>
      <c r="Y564" s="154"/>
      <c r="Z564" s="154"/>
      <c r="AA564" s="154"/>
    </row>
    <row r="565">
      <c r="A565" s="154"/>
      <c r="B565" s="154"/>
      <c r="C565" s="154"/>
      <c r="D565" s="154"/>
      <c r="E565" s="154"/>
      <c r="F565" s="154"/>
      <c r="G565" s="55"/>
      <c r="H565" s="154"/>
      <c r="I565" s="154"/>
      <c r="J565" s="154"/>
      <c r="K565" s="154"/>
      <c r="L565" s="154"/>
      <c r="M565" s="154"/>
      <c r="N565" s="154"/>
      <c r="O565" s="154"/>
      <c r="P565" s="154"/>
      <c r="Q565" s="154"/>
      <c r="R565" s="154"/>
      <c r="S565" s="154"/>
      <c r="T565" s="154"/>
      <c r="U565" s="154"/>
      <c r="V565" s="154"/>
      <c r="W565" s="154"/>
      <c r="X565" s="154"/>
      <c r="Y565" s="154"/>
      <c r="Z565" s="154"/>
      <c r="AA565" s="154"/>
    </row>
    <row r="566">
      <c r="A566" s="154"/>
      <c r="B566" s="154"/>
      <c r="C566" s="154"/>
      <c r="D566" s="154"/>
      <c r="E566" s="154"/>
      <c r="F566" s="154"/>
      <c r="G566" s="55"/>
      <c r="H566" s="154"/>
      <c r="I566" s="154"/>
      <c r="J566" s="154"/>
      <c r="K566" s="154"/>
      <c r="L566" s="154"/>
      <c r="M566" s="154"/>
      <c r="N566" s="154"/>
      <c r="O566" s="154"/>
      <c r="P566" s="154"/>
      <c r="Q566" s="154"/>
      <c r="R566" s="154"/>
      <c r="S566" s="154"/>
      <c r="T566" s="154"/>
      <c r="U566" s="154"/>
      <c r="V566" s="154"/>
      <c r="W566" s="154"/>
      <c r="X566" s="154"/>
      <c r="Y566" s="154"/>
      <c r="Z566" s="154"/>
      <c r="AA566" s="154"/>
    </row>
    <row r="567">
      <c r="A567" s="154"/>
      <c r="B567" s="154"/>
      <c r="C567" s="154"/>
      <c r="D567" s="154"/>
      <c r="E567" s="154"/>
      <c r="F567" s="154"/>
      <c r="G567" s="55"/>
      <c r="H567" s="154"/>
      <c r="I567" s="154"/>
      <c r="J567" s="154"/>
      <c r="K567" s="154"/>
      <c r="L567" s="154"/>
      <c r="M567" s="154"/>
      <c r="N567" s="154"/>
      <c r="O567" s="154"/>
      <c r="P567" s="154"/>
      <c r="Q567" s="154"/>
      <c r="R567" s="154"/>
      <c r="S567" s="154"/>
      <c r="T567" s="154"/>
      <c r="U567" s="154"/>
      <c r="V567" s="154"/>
      <c r="W567" s="154"/>
      <c r="X567" s="154"/>
      <c r="Y567" s="154"/>
      <c r="Z567" s="154"/>
      <c r="AA567" s="154"/>
    </row>
    <row r="568">
      <c r="A568" s="154"/>
      <c r="B568" s="154"/>
      <c r="C568" s="154"/>
      <c r="D568" s="154"/>
      <c r="E568" s="154"/>
      <c r="F568" s="154"/>
      <c r="G568" s="55"/>
      <c r="H568" s="154"/>
      <c r="I568" s="154"/>
      <c r="J568" s="154"/>
      <c r="K568" s="154"/>
      <c r="L568" s="154"/>
      <c r="M568" s="154"/>
      <c r="N568" s="154"/>
      <c r="O568" s="154"/>
      <c r="P568" s="154"/>
      <c r="Q568" s="154"/>
      <c r="R568" s="154"/>
      <c r="S568" s="154"/>
      <c r="T568" s="154"/>
      <c r="U568" s="154"/>
      <c r="V568" s="154"/>
      <c r="W568" s="154"/>
      <c r="X568" s="154"/>
      <c r="Y568" s="154"/>
      <c r="Z568" s="154"/>
      <c r="AA568" s="154"/>
    </row>
    <row r="569">
      <c r="A569" s="154"/>
      <c r="B569" s="154"/>
      <c r="C569" s="154"/>
      <c r="D569" s="154"/>
      <c r="E569" s="154"/>
      <c r="F569" s="154"/>
      <c r="G569" s="55"/>
      <c r="H569" s="154"/>
      <c r="I569" s="154"/>
      <c r="J569" s="154"/>
      <c r="K569" s="154"/>
      <c r="L569" s="154"/>
      <c r="M569" s="154"/>
      <c r="N569" s="154"/>
      <c r="O569" s="154"/>
      <c r="P569" s="154"/>
      <c r="Q569" s="154"/>
      <c r="R569" s="154"/>
      <c r="S569" s="154"/>
      <c r="T569" s="154"/>
      <c r="U569" s="154"/>
      <c r="V569" s="154"/>
      <c r="W569" s="154"/>
      <c r="X569" s="154"/>
      <c r="Y569" s="154"/>
      <c r="Z569" s="154"/>
      <c r="AA569" s="154"/>
    </row>
    <row r="570">
      <c r="A570" s="154"/>
      <c r="B570" s="154"/>
      <c r="C570" s="154"/>
      <c r="D570" s="154"/>
      <c r="E570" s="154"/>
      <c r="F570" s="154"/>
      <c r="G570" s="55"/>
      <c r="H570" s="154"/>
      <c r="I570" s="154"/>
      <c r="J570" s="154"/>
      <c r="K570" s="154"/>
      <c r="L570" s="154"/>
      <c r="M570" s="154"/>
      <c r="N570" s="154"/>
      <c r="O570" s="154"/>
      <c r="P570" s="154"/>
      <c r="Q570" s="154"/>
      <c r="R570" s="154"/>
      <c r="S570" s="154"/>
      <c r="T570" s="154"/>
      <c r="U570" s="154"/>
      <c r="V570" s="154"/>
      <c r="W570" s="154"/>
      <c r="X570" s="154"/>
      <c r="Y570" s="154"/>
      <c r="Z570" s="154"/>
      <c r="AA570" s="154"/>
    </row>
    <row r="571">
      <c r="A571" s="154"/>
      <c r="B571" s="154"/>
      <c r="C571" s="154"/>
      <c r="D571" s="154"/>
      <c r="E571" s="154"/>
      <c r="F571" s="154"/>
      <c r="G571" s="55"/>
      <c r="H571" s="154"/>
      <c r="I571" s="154"/>
      <c r="J571" s="154"/>
      <c r="K571" s="154"/>
      <c r="L571" s="154"/>
      <c r="M571" s="154"/>
      <c r="N571" s="154"/>
      <c r="O571" s="154"/>
      <c r="P571" s="154"/>
      <c r="Q571" s="154"/>
      <c r="R571" s="154"/>
      <c r="S571" s="154"/>
      <c r="T571" s="154"/>
      <c r="U571" s="154"/>
      <c r="V571" s="154"/>
      <c r="W571" s="154"/>
      <c r="X571" s="154"/>
      <c r="Y571" s="154"/>
      <c r="Z571" s="154"/>
      <c r="AA571" s="154"/>
    </row>
    <row r="572">
      <c r="A572" s="154"/>
      <c r="B572" s="154"/>
      <c r="C572" s="154"/>
      <c r="D572" s="154"/>
      <c r="E572" s="154"/>
      <c r="F572" s="154"/>
      <c r="G572" s="55"/>
      <c r="H572" s="154"/>
      <c r="I572" s="154"/>
      <c r="J572" s="154"/>
      <c r="K572" s="154"/>
      <c r="L572" s="154"/>
      <c r="M572" s="154"/>
      <c r="N572" s="154"/>
      <c r="O572" s="154"/>
      <c r="P572" s="154"/>
      <c r="Q572" s="154"/>
      <c r="R572" s="154"/>
      <c r="S572" s="154"/>
      <c r="T572" s="154"/>
      <c r="U572" s="154"/>
      <c r="V572" s="154"/>
      <c r="W572" s="154"/>
      <c r="X572" s="154"/>
      <c r="Y572" s="154"/>
      <c r="Z572" s="154"/>
      <c r="AA572" s="154"/>
    </row>
    <row r="573">
      <c r="A573" s="154"/>
      <c r="B573" s="154"/>
      <c r="C573" s="154"/>
      <c r="D573" s="154"/>
      <c r="E573" s="154"/>
      <c r="F573" s="154"/>
      <c r="G573" s="55"/>
      <c r="H573" s="154"/>
      <c r="I573" s="154"/>
      <c r="J573" s="154"/>
      <c r="K573" s="154"/>
      <c r="L573" s="154"/>
      <c r="M573" s="154"/>
      <c r="N573" s="154"/>
      <c r="O573" s="154"/>
      <c r="P573" s="154"/>
      <c r="Q573" s="154"/>
      <c r="R573" s="154"/>
      <c r="S573" s="154"/>
      <c r="T573" s="154"/>
      <c r="U573" s="154"/>
      <c r="V573" s="154"/>
      <c r="W573" s="154"/>
      <c r="X573" s="154"/>
      <c r="Y573" s="154"/>
      <c r="Z573" s="154"/>
      <c r="AA573" s="154"/>
    </row>
    <row r="574">
      <c r="A574" s="154"/>
      <c r="B574" s="154"/>
      <c r="C574" s="154"/>
      <c r="D574" s="154"/>
      <c r="E574" s="154"/>
      <c r="F574" s="154"/>
      <c r="G574" s="55"/>
      <c r="H574" s="154"/>
      <c r="I574" s="154"/>
      <c r="J574" s="154"/>
      <c r="K574" s="154"/>
      <c r="L574" s="154"/>
      <c r="M574" s="154"/>
      <c r="N574" s="154"/>
      <c r="O574" s="154"/>
      <c r="P574" s="154"/>
      <c r="Q574" s="154"/>
      <c r="R574" s="154"/>
      <c r="S574" s="154"/>
      <c r="T574" s="154"/>
      <c r="U574" s="154"/>
      <c r="V574" s="154"/>
      <c r="W574" s="154"/>
      <c r="X574" s="154"/>
      <c r="Y574" s="154"/>
      <c r="Z574" s="154"/>
      <c r="AA574" s="154"/>
    </row>
    <row r="575">
      <c r="A575" s="154"/>
      <c r="B575" s="154"/>
      <c r="C575" s="154"/>
      <c r="D575" s="154"/>
      <c r="E575" s="154"/>
      <c r="F575" s="154"/>
      <c r="G575" s="55"/>
      <c r="H575" s="154"/>
      <c r="I575" s="154"/>
      <c r="J575" s="154"/>
      <c r="K575" s="154"/>
      <c r="L575" s="154"/>
      <c r="M575" s="154"/>
      <c r="N575" s="154"/>
      <c r="O575" s="154"/>
      <c r="P575" s="154"/>
      <c r="Q575" s="154"/>
      <c r="R575" s="154"/>
      <c r="S575" s="154"/>
      <c r="T575" s="154"/>
      <c r="U575" s="154"/>
      <c r="V575" s="154"/>
      <c r="W575" s="154"/>
      <c r="X575" s="154"/>
      <c r="Y575" s="154"/>
      <c r="Z575" s="154"/>
      <c r="AA575" s="154"/>
    </row>
    <row r="576">
      <c r="A576" s="154"/>
      <c r="B576" s="154"/>
      <c r="C576" s="154"/>
      <c r="D576" s="154"/>
      <c r="E576" s="154"/>
      <c r="F576" s="154"/>
      <c r="G576" s="55"/>
      <c r="H576" s="154"/>
      <c r="I576" s="154"/>
      <c r="J576" s="154"/>
      <c r="K576" s="154"/>
      <c r="L576" s="154"/>
      <c r="M576" s="154"/>
      <c r="N576" s="154"/>
      <c r="O576" s="154"/>
      <c r="P576" s="154"/>
      <c r="Q576" s="154"/>
      <c r="R576" s="154"/>
      <c r="S576" s="154"/>
      <c r="T576" s="154"/>
      <c r="U576" s="154"/>
      <c r="V576" s="154"/>
      <c r="W576" s="154"/>
      <c r="X576" s="154"/>
      <c r="Y576" s="154"/>
      <c r="Z576" s="154"/>
      <c r="AA576" s="154"/>
    </row>
    <row r="577">
      <c r="A577" s="154"/>
      <c r="B577" s="154"/>
      <c r="C577" s="154"/>
      <c r="D577" s="154"/>
      <c r="E577" s="154"/>
      <c r="F577" s="154"/>
      <c r="G577" s="55"/>
      <c r="H577" s="154"/>
      <c r="I577" s="154"/>
      <c r="J577" s="154"/>
      <c r="K577" s="154"/>
      <c r="L577" s="154"/>
      <c r="M577" s="154"/>
      <c r="N577" s="154"/>
      <c r="O577" s="154"/>
      <c r="P577" s="154"/>
      <c r="Q577" s="154"/>
      <c r="R577" s="154"/>
      <c r="S577" s="154"/>
      <c r="T577" s="154"/>
      <c r="U577" s="154"/>
      <c r="V577" s="154"/>
      <c r="W577" s="154"/>
      <c r="X577" s="154"/>
      <c r="Y577" s="154"/>
      <c r="Z577" s="154"/>
      <c r="AA577" s="154"/>
    </row>
    <row r="578">
      <c r="A578" s="154"/>
      <c r="B578" s="154"/>
      <c r="C578" s="154"/>
      <c r="D578" s="154"/>
      <c r="E578" s="154"/>
      <c r="F578" s="154"/>
      <c r="G578" s="55"/>
      <c r="H578" s="154"/>
      <c r="I578" s="154"/>
      <c r="J578" s="154"/>
      <c r="K578" s="154"/>
      <c r="L578" s="154"/>
      <c r="M578" s="154"/>
      <c r="N578" s="154"/>
      <c r="O578" s="154"/>
      <c r="P578" s="154"/>
      <c r="Q578" s="154"/>
      <c r="R578" s="154"/>
      <c r="S578" s="154"/>
      <c r="T578" s="154"/>
      <c r="U578" s="154"/>
      <c r="V578" s="154"/>
      <c r="W578" s="154"/>
      <c r="X578" s="154"/>
      <c r="Y578" s="154"/>
      <c r="Z578" s="154"/>
      <c r="AA578" s="154"/>
    </row>
    <row r="579">
      <c r="A579" s="154"/>
      <c r="B579" s="154"/>
      <c r="C579" s="154"/>
      <c r="D579" s="154"/>
      <c r="E579" s="154"/>
      <c r="F579" s="154"/>
      <c r="G579" s="55"/>
      <c r="H579" s="154"/>
      <c r="I579" s="154"/>
      <c r="J579" s="154"/>
      <c r="K579" s="154"/>
      <c r="L579" s="154"/>
      <c r="M579" s="154"/>
      <c r="N579" s="154"/>
      <c r="O579" s="154"/>
      <c r="P579" s="154"/>
      <c r="Q579" s="154"/>
      <c r="R579" s="154"/>
      <c r="S579" s="154"/>
      <c r="T579" s="154"/>
      <c r="U579" s="154"/>
      <c r="V579" s="154"/>
      <c r="W579" s="154"/>
      <c r="X579" s="154"/>
      <c r="Y579" s="154"/>
      <c r="Z579" s="154"/>
      <c r="AA579" s="154"/>
    </row>
    <row r="580">
      <c r="A580" s="154"/>
      <c r="B580" s="154"/>
      <c r="C580" s="154"/>
      <c r="D580" s="154"/>
      <c r="E580" s="154"/>
      <c r="F580" s="154"/>
      <c r="G580" s="55"/>
      <c r="H580" s="154"/>
      <c r="I580" s="154"/>
      <c r="J580" s="154"/>
      <c r="K580" s="154"/>
      <c r="L580" s="154"/>
      <c r="M580" s="154"/>
      <c r="N580" s="154"/>
      <c r="O580" s="154"/>
      <c r="P580" s="154"/>
      <c r="Q580" s="154"/>
      <c r="R580" s="154"/>
      <c r="S580" s="154"/>
      <c r="T580" s="154"/>
      <c r="U580" s="154"/>
      <c r="V580" s="154"/>
      <c r="W580" s="154"/>
      <c r="X580" s="154"/>
      <c r="Y580" s="154"/>
      <c r="Z580" s="154"/>
      <c r="AA580" s="154"/>
    </row>
    <row r="581">
      <c r="A581" s="154"/>
      <c r="B581" s="154"/>
      <c r="C581" s="154"/>
      <c r="D581" s="154"/>
      <c r="E581" s="154"/>
      <c r="F581" s="154"/>
      <c r="G581" s="55"/>
      <c r="H581" s="154"/>
      <c r="I581" s="154"/>
      <c r="J581" s="154"/>
      <c r="K581" s="154"/>
      <c r="L581" s="154"/>
      <c r="M581" s="154"/>
      <c r="N581" s="154"/>
      <c r="O581" s="154"/>
      <c r="P581" s="154"/>
      <c r="Q581" s="154"/>
      <c r="R581" s="154"/>
      <c r="S581" s="154"/>
      <c r="T581" s="154"/>
      <c r="U581" s="154"/>
      <c r="V581" s="154"/>
      <c r="W581" s="154"/>
      <c r="X581" s="154"/>
      <c r="Y581" s="154"/>
      <c r="Z581" s="154"/>
      <c r="AA581" s="154"/>
    </row>
    <row r="582">
      <c r="A582" s="154"/>
      <c r="B582" s="154"/>
      <c r="C582" s="154"/>
      <c r="D582" s="154"/>
      <c r="E582" s="154"/>
      <c r="F582" s="154"/>
      <c r="G582" s="55"/>
      <c r="H582" s="154"/>
      <c r="I582" s="154"/>
      <c r="J582" s="154"/>
      <c r="K582" s="154"/>
      <c r="L582" s="154"/>
      <c r="M582" s="154"/>
      <c r="N582" s="154"/>
      <c r="O582" s="154"/>
      <c r="P582" s="154"/>
      <c r="Q582" s="154"/>
      <c r="R582" s="154"/>
      <c r="S582" s="154"/>
      <c r="T582" s="154"/>
      <c r="U582" s="154"/>
      <c r="V582" s="154"/>
      <c r="W582" s="154"/>
      <c r="X582" s="154"/>
      <c r="Y582" s="154"/>
      <c r="Z582" s="154"/>
      <c r="AA582" s="154"/>
    </row>
    <row r="583">
      <c r="A583" s="154"/>
      <c r="B583" s="154"/>
      <c r="C583" s="154"/>
      <c r="D583" s="154"/>
      <c r="E583" s="154"/>
      <c r="F583" s="154"/>
      <c r="G583" s="55"/>
      <c r="H583" s="154"/>
      <c r="I583" s="154"/>
      <c r="J583" s="154"/>
      <c r="K583" s="154"/>
      <c r="L583" s="154"/>
      <c r="M583" s="154"/>
      <c r="N583" s="154"/>
      <c r="O583" s="154"/>
      <c r="P583" s="154"/>
      <c r="Q583" s="154"/>
      <c r="R583" s="154"/>
      <c r="S583" s="154"/>
      <c r="T583" s="154"/>
      <c r="U583" s="154"/>
      <c r="V583" s="154"/>
      <c r="W583" s="154"/>
      <c r="X583" s="154"/>
      <c r="Y583" s="154"/>
      <c r="Z583" s="154"/>
      <c r="AA583" s="154"/>
    </row>
    <row r="584">
      <c r="A584" s="154"/>
      <c r="B584" s="154"/>
      <c r="C584" s="154"/>
      <c r="D584" s="154"/>
      <c r="E584" s="154"/>
      <c r="F584" s="154"/>
      <c r="G584" s="55"/>
      <c r="H584" s="154"/>
      <c r="I584" s="154"/>
      <c r="J584" s="154"/>
      <c r="K584" s="154"/>
      <c r="L584" s="154"/>
      <c r="M584" s="154"/>
      <c r="N584" s="154"/>
      <c r="O584" s="154"/>
      <c r="P584" s="154"/>
      <c r="Q584" s="154"/>
      <c r="R584" s="154"/>
      <c r="S584" s="154"/>
      <c r="T584" s="154"/>
      <c r="U584" s="154"/>
      <c r="V584" s="154"/>
      <c r="W584" s="154"/>
      <c r="X584" s="154"/>
      <c r="Y584" s="154"/>
      <c r="Z584" s="154"/>
      <c r="AA584" s="154"/>
    </row>
    <row r="585">
      <c r="A585" s="154"/>
      <c r="B585" s="154"/>
      <c r="C585" s="154"/>
      <c r="D585" s="154"/>
      <c r="E585" s="154"/>
      <c r="F585" s="154"/>
      <c r="G585" s="55"/>
      <c r="H585" s="154"/>
      <c r="I585" s="154"/>
      <c r="J585" s="154"/>
      <c r="K585" s="154"/>
      <c r="L585" s="154"/>
      <c r="M585" s="154"/>
      <c r="N585" s="154"/>
      <c r="O585" s="154"/>
      <c r="P585" s="154"/>
      <c r="Q585" s="154"/>
      <c r="R585" s="154"/>
      <c r="S585" s="154"/>
      <c r="T585" s="154"/>
      <c r="U585" s="154"/>
      <c r="V585" s="154"/>
      <c r="W585" s="154"/>
      <c r="X585" s="154"/>
      <c r="Y585" s="154"/>
      <c r="Z585" s="154"/>
      <c r="AA585" s="154"/>
    </row>
    <row r="586">
      <c r="A586" s="154"/>
      <c r="B586" s="154"/>
      <c r="C586" s="154"/>
      <c r="D586" s="154"/>
      <c r="E586" s="154"/>
      <c r="F586" s="154"/>
      <c r="G586" s="55"/>
      <c r="H586" s="154"/>
      <c r="I586" s="154"/>
      <c r="J586" s="154"/>
      <c r="K586" s="154"/>
      <c r="L586" s="154"/>
      <c r="M586" s="154"/>
      <c r="N586" s="154"/>
      <c r="O586" s="154"/>
      <c r="P586" s="154"/>
      <c r="Q586" s="154"/>
      <c r="R586" s="154"/>
      <c r="S586" s="154"/>
      <c r="T586" s="154"/>
      <c r="U586" s="154"/>
      <c r="V586" s="154"/>
      <c r="W586" s="154"/>
      <c r="X586" s="154"/>
      <c r="Y586" s="154"/>
      <c r="Z586" s="154"/>
      <c r="AA586" s="154"/>
    </row>
    <row r="587">
      <c r="A587" s="154"/>
      <c r="B587" s="154"/>
      <c r="C587" s="154"/>
      <c r="D587" s="154"/>
      <c r="E587" s="154"/>
      <c r="F587" s="154"/>
      <c r="G587" s="55"/>
      <c r="H587" s="154"/>
      <c r="I587" s="154"/>
      <c r="J587" s="154"/>
      <c r="K587" s="154"/>
      <c r="L587" s="154"/>
      <c r="M587" s="154"/>
      <c r="N587" s="154"/>
      <c r="O587" s="154"/>
      <c r="P587" s="154"/>
      <c r="Q587" s="154"/>
      <c r="R587" s="154"/>
      <c r="S587" s="154"/>
      <c r="T587" s="154"/>
      <c r="U587" s="154"/>
      <c r="V587" s="154"/>
      <c r="W587" s="154"/>
      <c r="X587" s="154"/>
      <c r="Y587" s="154"/>
      <c r="Z587" s="154"/>
      <c r="AA587" s="154"/>
    </row>
    <row r="588">
      <c r="A588" s="154"/>
      <c r="B588" s="154"/>
      <c r="C588" s="154"/>
      <c r="D588" s="154"/>
      <c r="E588" s="154"/>
      <c r="F588" s="154"/>
      <c r="G588" s="55"/>
      <c r="H588" s="154"/>
      <c r="I588" s="154"/>
      <c r="J588" s="154"/>
      <c r="K588" s="154"/>
      <c r="L588" s="154"/>
      <c r="M588" s="154"/>
      <c r="N588" s="154"/>
      <c r="O588" s="154"/>
      <c r="P588" s="154"/>
      <c r="Q588" s="154"/>
      <c r="R588" s="154"/>
      <c r="S588" s="154"/>
      <c r="T588" s="154"/>
      <c r="U588" s="154"/>
      <c r="V588" s="154"/>
      <c r="W588" s="154"/>
      <c r="X588" s="154"/>
      <c r="Y588" s="154"/>
      <c r="Z588" s="154"/>
      <c r="AA588" s="154"/>
    </row>
    <row r="589">
      <c r="A589" s="154"/>
      <c r="B589" s="154"/>
      <c r="C589" s="154"/>
      <c r="D589" s="154"/>
      <c r="E589" s="154"/>
      <c r="F589" s="154"/>
      <c r="G589" s="55"/>
      <c r="H589" s="154"/>
      <c r="I589" s="154"/>
      <c r="J589" s="154"/>
      <c r="K589" s="154"/>
      <c r="L589" s="154"/>
      <c r="M589" s="154"/>
      <c r="N589" s="154"/>
      <c r="O589" s="154"/>
      <c r="P589" s="154"/>
      <c r="Q589" s="154"/>
      <c r="R589" s="154"/>
      <c r="S589" s="154"/>
      <c r="T589" s="154"/>
      <c r="U589" s="154"/>
      <c r="V589" s="154"/>
      <c r="W589" s="154"/>
      <c r="X589" s="154"/>
      <c r="Y589" s="154"/>
      <c r="Z589" s="154"/>
      <c r="AA589" s="154"/>
    </row>
    <row r="590">
      <c r="A590" s="154"/>
      <c r="B590" s="154"/>
      <c r="C590" s="154"/>
      <c r="D590" s="154"/>
      <c r="E590" s="154"/>
      <c r="F590" s="154"/>
      <c r="G590" s="55"/>
      <c r="H590" s="154"/>
      <c r="I590" s="154"/>
      <c r="J590" s="154"/>
      <c r="K590" s="154"/>
      <c r="L590" s="154"/>
      <c r="M590" s="154"/>
      <c r="N590" s="154"/>
      <c r="O590" s="154"/>
      <c r="P590" s="154"/>
      <c r="Q590" s="154"/>
      <c r="R590" s="154"/>
      <c r="S590" s="154"/>
      <c r="T590" s="154"/>
      <c r="U590" s="154"/>
      <c r="V590" s="154"/>
      <c r="W590" s="154"/>
      <c r="X590" s="154"/>
      <c r="Y590" s="154"/>
      <c r="Z590" s="154"/>
      <c r="AA590" s="154"/>
    </row>
    <row r="591">
      <c r="A591" s="154"/>
      <c r="B591" s="154"/>
      <c r="C591" s="154"/>
      <c r="D591" s="154"/>
      <c r="E591" s="154"/>
      <c r="F591" s="154"/>
      <c r="G591" s="55"/>
      <c r="H591" s="154"/>
      <c r="I591" s="154"/>
      <c r="J591" s="154"/>
      <c r="K591" s="154"/>
      <c r="L591" s="154"/>
      <c r="M591" s="154"/>
      <c r="N591" s="154"/>
      <c r="O591" s="154"/>
      <c r="P591" s="154"/>
      <c r="Q591" s="154"/>
      <c r="R591" s="154"/>
      <c r="S591" s="154"/>
      <c r="T591" s="154"/>
      <c r="U591" s="154"/>
      <c r="V591" s="154"/>
      <c r="W591" s="154"/>
      <c r="X591" s="154"/>
      <c r="Y591" s="154"/>
      <c r="Z591" s="154"/>
      <c r="AA591" s="154"/>
    </row>
    <row r="592">
      <c r="A592" s="154"/>
      <c r="B592" s="154"/>
      <c r="C592" s="154"/>
      <c r="D592" s="154"/>
      <c r="E592" s="154"/>
      <c r="F592" s="154"/>
      <c r="G592" s="55"/>
      <c r="H592" s="154"/>
      <c r="I592" s="154"/>
      <c r="J592" s="154"/>
      <c r="K592" s="154"/>
      <c r="L592" s="154"/>
      <c r="M592" s="154"/>
      <c r="N592" s="154"/>
      <c r="O592" s="154"/>
      <c r="P592" s="154"/>
      <c r="Q592" s="154"/>
      <c r="R592" s="154"/>
      <c r="S592" s="154"/>
      <c r="T592" s="154"/>
      <c r="U592" s="154"/>
      <c r="V592" s="154"/>
      <c r="W592" s="154"/>
      <c r="X592" s="154"/>
      <c r="Y592" s="154"/>
      <c r="Z592" s="154"/>
      <c r="AA592" s="154"/>
    </row>
    <row r="593">
      <c r="A593" s="154"/>
      <c r="B593" s="154"/>
      <c r="C593" s="154"/>
      <c r="D593" s="154"/>
      <c r="E593" s="154"/>
      <c r="F593" s="154"/>
      <c r="G593" s="55"/>
      <c r="H593" s="154"/>
      <c r="I593" s="154"/>
      <c r="J593" s="154"/>
      <c r="K593" s="154"/>
      <c r="L593" s="154"/>
      <c r="M593" s="154"/>
      <c r="N593" s="154"/>
      <c r="O593" s="154"/>
      <c r="P593" s="154"/>
      <c r="Q593" s="154"/>
      <c r="R593" s="154"/>
      <c r="S593" s="154"/>
      <c r="T593" s="154"/>
      <c r="U593" s="154"/>
      <c r="V593" s="154"/>
      <c r="W593" s="154"/>
      <c r="X593" s="154"/>
      <c r="Y593" s="154"/>
      <c r="Z593" s="154"/>
      <c r="AA593" s="154"/>
    </row>
    <row r="594">
      <c r="A594" s="154"/>
      <c r="B594" s="154"/>
      <c r="C594" s="154"/>
      <c r="D594" s="154"/>
      <c r="E594" s="154"/>
      <c r="F594" s="154"/>
      <c r="G594" s="55"/>
      <c r="H594" s="154"/>
      <c r="I594" s="154"/>
      <c r="J594" s="154"/>
      <c r="K594" s="154"/>
      <c r="L594" s="154"/>
      <c r="M594" s="154"/>
      <c r="N594" s="154"/>
      <c r="O594" s="154"/>
      <c r="P594" s="154"/>
      <c r="Q594" s="154"/>
      <c r="R594" s="154"/>
      <c r="S594" s="154"/>
      <c r="T594" s="154"/>
      <c r="U594" s="154"/>
      <c r="V594" s="154"/>
      <c r="W594" s="154"/>
      <c r="X594" s="154"/>
      <c r="Y594" s="154"/>
      <c r="Z594" s="154"/>
      <c r="AA594" s="154"/>
    </row>
    <row r="595">
      <c r="A595" s="154"/>
      <c r="B595" s="154"/>
      <c r="C595" s="154"/>
      <c r="D595" s="154"/>
      <c r="E595" s="154"/>
      <c r="F595" s="154"/>
      <c r="G595" s="55"/>
      <c r="H595" s="154"/>
      <c r="I595" s="154"/>
      <c r="J595" s="154"/>
      <c r="K595" s="154"/>
      <c r="L595" s="154"/>
      <c r="M595" s="154"/>
      <c r="N595" s="154"/>
      <c r="O595" s="154"/>
      <c r="P595" s="154"/>
      <c r="Q595" s="154"/>
      <c r="R595" s="154"/>
      <c r="S595" s="154"/>
      <c r="T595" s="154"/>
      <c r="U595" s="154"/>
      <c r="V595" s="154"/>
      <c r="W595" s="154"/>
      <c r="X595" s="154"/>
      <c r="Y595" s="154"/>
      <c r="Z595" s="154"/>
      <c r="AA595" s="154"/>
    </row>
    <row r="596">
      <c r="A596" s="154"/>
      <c r="B596" s="154"/>
      <c r="C596" s="154"/>
      <c r="D596" s="154"/>
      <c r="E596" s="154"/>
      <c r="F596" s="154"/>
      <c r="G596" s="55"/>
      <c r="H596" s="154"/>
      <c r="I596" s="154"/>
      <c r="J596" s="154"/>
      <c r="K596" s="154"/>
      <c r="L596" s="154"/>
      <c r="M596" s="154"/>
      <c r="N596" s="154"/>
      <c r="O596" s="154"/>
      <c r="P596" s="154"/>
      <c r="Q596" s="154"/>
      <c r="R596" s="154"/>
      <c r="S596" s="154"/>
      <c r="T596" s="154"/>
      <c r="U596" s="154"/>
      <c r="V596" s="154"/>
      <c r="W596" s="154"/>
      <c r="X596" s="154"/>
      <c r="Y596" s="154"/>
      <c r="Z596" s="154"/>
      <c r="AA596" s="154"/>
    </row>
    <row r="597">
      <c r="A597" s="154"/>
      <c r="B597" s="154"/>
      <c r="C597" s="154"/>
      <c r="D597" s="154"/>
      <c r="E597" s="154"/>
      <c r="F597" s="154"/>
      <c r="G597" s="55"/>
      <c r="H597" s="154"/>
      <c r="I597" s="154"/>
      <c r="J597" s="154"/>
      <c r="K597" s="154"/>
      <c r="L597" s="154"/>
      <c r="M597" s="154"/>
      <c r="N597" s="154"/>
      <c r="O597" s="154"/>
      <c r="P597" s="154"/>
      <c r="Q597" s="154"/>
      <c r="R597" s="154"/>
      <c r="S597" s="154"/>
      <c r="T597" s="154"/>
      <c r="U597" s="154"/>
      <c r="V597" s="154"/>
      <c r="W597" s="154"/>
      <c r="X597" s="154"/>
      <c r="Y597" s="154"/>
      <c r="Z597" s="154"/>
      <c r="AA597" s="154"/>
    </row>
    <row r="598">
      <c r="A598" s="154"/>
      <c r="B598" s="154"/>
      <c r="C598" s="154"/>
      <c r="D598" s="154"/>
      <c r="E598" s="154"/>
      <c r="F598" s="154"/>
      <c r="G598" s="55"/>
      <c r="H598" s="154"/>
      <c r="I598" s="154"/>
      <c r="J598" s="154"/>
      <c r="K598" s="154"/>
      <c r="L598" s="154"/>
      <c r="M598" s="154"/>
      <c r="N598" s="154"/>
      <c r="O598" s="154"/>
      <c r="P598" s="154"/>
      <c r="Q598" s="154"/>
      <c r="R598" s="154"/>
      <c r="S598" s="154"/>
      <c r="T598" s="154"/>
      <c r="U598" s="154"/>
      <c r="V598" s="154"/>
      <c r="W598" s="154"/>
      <c r="X598" s="154"/>
      <c r="Y598" s="154"/>
      <c r="Z598" s="154"/>
      <c r="AA598" s="154"/>
    </row>
    <row r="599">
      <c r="A599" s="154"/>
      <c r="B599" s="154"/>
      <c r="C599" s="154"/>
      <c r="D599" s="154"/>
      <c r="E599" s="154"/>
      <c r="F599" s="154"/>
      <c r="G599" s="55"/>
      <c r="H599" s="154"/>
      <c r="I599" s="154"/>
      <c r="J599" s="154"/>
      <c r="K599" s="154"/>
      <c r="L599" s="154"/>
      <c r="M599" s="154"/>
      <c r="N599" s="154"/>
      <c r="O599" s="154"/>
      <c r="P599" s="154"/>
      <c r="Q599" s="154"/>
      <c r="R599" s="154"/>
      <c r="S599" s="154"/>
      <c r="T599" s="154"/>
      <c r="U599" s="154"/>
      <c r="V599" s="154"/>
      <c r="W599" s="154"/>
      <c r="X599" s="154"/>
      <c r="Y599" s="154"/>
      <c r="Z599" s="154"/>
      <c r="AA599" s="154"/>
    </row>
    <row r="600">
      <c r="A600" s="154"/>
      <c r="B600" s="154"/>
      <c r="C600" s="154"/>
      <c r="D600" s="154"/>
      <c r="E600" s="154"/>
      <c r="F600" s="154"/>
      <c r="G600" s="55"/>
      <c r="H600" s="154"/>
      <c r="I600" s="154"/>
      <c r="J600" s="154"/>
      <c r="K600" s="154"/>
      <c r="L600" s="154"/>
      <c r="M600" s="154"/>
      <c r="N600" s="154"/>
      <c r="O600" s="154"/>
      <c r="P600" s="154"/>
      <c r="Q600" s="154"/>
      <c r="R600" s="154"/>
      <c r="S600" s="154"/>
      <c r="T600" s="154"/>
      <c r="U600" s="154"/>
      <c r="V600" s="154"/>
      <c r="W600" s="154"/>
      <c r="X600" s="154"/>
      <c r="Y600" s="154"/>
      <c r="Z600" s="154"/>
      <c r="AA600" s="154"/>
    </row>
    <row r="601">
      <c r="A601" s="154"/>
      <c r="B601" s="154"/>
      <c r="C601" s="154"/>
      <c r="D601" s="154"/>
      <c r="E601" s="154"/>
      <c r="F601" s="154"/>
      <c r="G601" s="55"/>
      <c r="H601" s="154"/>
      <c r="I601" s="154"/>
      <c r="J601" s="154"/>
      <c r="K601" s="154"/>
      <c r="L601" s="154"/>
      <c r="M601" s="154"/>
      <c r="N601" s="154"/>
      <c r="O601" s="154"/>
      <c r="P601" s="154"/>
      <c r="Q601" s="154"/>
      <c r="R601" s="154"/>
      <c r="S601" s="154"/>
      <c r="T601" s="154"/>
      <c r="U601" s="154"/>
      <c r="V601" s="154"/>
      <c r="W601" s="154"/>
      <c r="X601" s="154"/>
      <c r="Y601" s="154"/>
      <c r="Z601" s="154"/>
      <c r="AA601" s="154"/>
    </row>
    <row r="602">
      <c r="A602" s="154"/>
      <c r="B602" s="154"/>
      <c r="C602" s="154"/>
      <c r="D602" s="154"/>
      <c r="E602" s="154"/>
      <c r="F602" s="154"/>
      <c r="G602" s="55"/>
      <c r="H602" s="154"/>
      <c r="I602" s="154"/>
      <c r="J602" s="154"/>
      <c r="K602" s="154"/>
      <c r="L602" s="154"/>
      <c r="M602" s="154"/>
      <c r="N602" s="154"/>
      <c r="O602" s="154"/>
      <c r="P602" s="154"/>
      <c r="Q602" s="154"/>
      <c r="R602" s="154"/>
      <c r="S602" s="154"/>
      <c r="T602" s="154"/>
      <c r="U602" s="154"/>
      <c r="V602" s="154"/>
      <c r="W602" s="154"/>
      <c r="X602" s="154"/>
      <c r="Y602" s="154"/>
      <c r="Z602" s="154"/>
      <c r="AA602" s="154"/>
    </row>
    <row r="603">
      <c r="A603" s="154"/>
      <c r="B603" s="154"/>
      <c r="C603" s="154"/>
      <c r="D603" s="154"/>
      <c r="E603" s="154"/>
      <c r="F603" s="154"/>
      <c r="G603" s="55"/>
      <c r="H603" s="154"/>
      <c r="I603" s="154"/>
      <c r="J603" s="154"/>
      <c r="K603" s="154"/>
      <c r="L603" s="154"/>
      <c r="M603" s="154"/>
      <c r="N603" s="154"/>
      <c r="O603" s="154"/>
      <c r="P603" s="154"/>
      <c r="Q603" s="154"/>
      <c r="R603" s="154"/>
      <c r="S603" s="154"/>
      <c r="T603" s="154"/>
      <c r="U603" s="154"/>
      <c r="V603" s="154"/>
      <c r="W603" s="154"/>
      <c r="X603" s="154"/>
      <c r="Y603" s="154"/>
      <c r="Z603" s="154"/>
      <c r="AA603" s="154"/>
    </row>
    <row r="604">
      <c r="A604" s="154"/>
      <c r="B604" s="154"/>
      <c r="C604" s="154"/>
      <c r="D604" s="154"/>
      <c r="E604" s="154"/>
      <c r="F604" s="154"/>
      <c r="G604" s="55"/>
      <c r="H604" s="154"/>
      <c r="I604" s="154"/>
      <c r="J604" s="154"/>
      <c r="K604" s="154"/>
      <c r="L604" s="154"/>
      <c r="M604" s="154"/>
      <c r="N604" s="154"/>
      <c r="O604" s="154"/>
      <c r="P604" s="154"/>
      <c r="Q604" s="154"/>
      <c r="R604" s="154"/>
      <c r="S604" s="154"/>
      <c r="T604" s="154"/>
      <c r="U604" s="154"/>
      <c r="V604" s="154"/>
      <c r="W604" s="154"/>
      <c r="X604" s="154"/>
      <c r="Y604" s="154"/>
      <c r="Z604" s="154"/>
      <c r="AA604" s="154"/>
    </row>
    <row r="605">
      <c r="A605" s="154"/>
      <c r="B605" s="154"/>
      <c r="C605" s="154"/>
      <c r="D605" s="154"/>
      <c r="E605" s="154"/>
      <c r="F605" s="154"/>
      <c r="G605" s="55"/>
      <c r="H605" s="154"/>
      <c r="I605" s="154"/>
      <c r="J605" s="154"/>
      <c r="K605" s="154"/>
      <c r="L605" s="154"/>
      <c r="M605" s="154"/>
      <c r="N605" s="154"/>
      <c r="O605" s="154"/>
      <c r="P605" s="154"/>
      <c r="Q605" s="154"/>
      <c r="R605" s="154"/>
      <c r="S605" s="154"/>
      <c r="T605" s="154"/>
      <c r="U605" s="154"/>
      <c r="V605" s="154"/>
      <c r="W605" s="154"/>
      <c r="X605" s="154"/>
      <c r="Y605" s="154"/>
      <c r="Z605" s="154"/>
      <c r="AA605" s="154"/>
    </row>
    <row r="606">
      <c r="A606" s="154"/>
      <c r="B606" s="154"/>
      <c r="C606" s="154"/>
      <c r="D606" s="154"/>
      <c r="E606" s="154"/>
      <c r="F606" s="154"/>
      <c r="G606" s="55"/>
      <c r="H606" s="154"/>
      <c r="I606" s="154"/>
      <c r="J606" s="154"/>
      <c r="K606" s="154"/>
      <c r="L606" s="154"/>
      <c r="M606" s="154"/>
      <c r="N606" s="154"/>
      <c r="O606" s="154"/>
      <c r="P606" s="154"/>
      <c r="Q606" s="154"/>
      <c r="R606" s="154"/>
      <c r="S606" s="154"/>
      <c r="T606" s="154"/>
      <c r="U606" s="154"/>
      <c r="V606" s="154"/>
      <c r="W606" s="154"/>
      <c r="X606" s="154"/>
      <c r="Y606" s="154"/>
      <c r="Z606" s="154"/>
      <c r="AA606" s="154"/>
    </row>
    <row r="607">
      <c r="A607" s="154"/>
      <c r="B607" s="154"/>
      <c r="C607" s="154"/>
      <c r="D607" s="154"/>
      <c r="E607" s="154"/>
      <c r="F607" s="154"/>
      <c r="G607" s="55"/>
      <c r="H607" s="154"/>
      <c r="I607" s="154"/>
      <c r="J607" s="154"/>
      <c r="K607" s="154"/>
      <c r="L607" s="154"/>
      <c r="M607" s="154"/>
      <c r="N607" s="154"/>
      <c r="O607" s="154"/>
      <c r="P607" s="154"/>
      <c r="Q607" s="154"/>
      <c r="R607" s="154"/>
      <c r="S607" s="154"/>
      <c r="T607" s="154"/>
      <c r="U607" s="154"/>
      <c r="V607" s="154"/>
      <c r="W607" s="154"/>
      <c r="X607" s="154"/>
      <c r="Y607" s="154"/>
      <c r="Z607" s="154"/>
      <c r="AA607" s="154"/>
    </row>
    <row r="608">
      <c r="A608" s="154"/>
      <c r="B608" s="154"/>
      <c r="C608" s="154"/>
      <c r="D608" s="154"/>
      <c r="E608" s="154"/>
      <c r="F608" s="154"/>
      <c r="G608" s="55"/>
      <c r="H608" s="154"/>
      <c r="I608" s="154"/>
      <c r="J608" s="154"/>
      <c r="K608" s="154"/>
      <c r="L608" s="154"/>
      <c r="M608" s="154"/>
      <c r="N608" s="154"/>
      <c r="O608" s="154"/>
      <c r="P608" s="154"/>
      <c r="Q608" s="154"/>
      <c r="R608" s="154"/>
      <c r="S608" s="154"/>
      <c r="T608" s="154"/>
      <c r="U608" s="154"/>
      <c r="V608" s="154"/>
      <c r="W608" s="154"/>
      <c r="X608" s="154"/>
      <c r="Y608" s="154"/>
      <c r="Z608" s="154"/>
      <c r="AA608" s="154"/>
    </row>
    <row r="609">
      <c r="A609" s="154"/>
      <c r="B609" s="154"/>
      <c r="C609" s="154"/>
      <c r="D609" s="154"/>
      <c r="E609" s="154"/>
      <c r="F609" s="154"/>
      <c r="G609" s="55"/>
      <c r="H609" s="154"/>
      <c r="I609" s="154"/>
      <c r="J609" s="154"/>
      <c r="K609" s="154"/>
      <c r="L609" s="154"/>
      <c r="M609" s="154"/>
      <c r="N609" s="154"/>
      <c r="O609" s="154"/>
      <c r="P609" s="154"/>
      <c r="Q609" s="154"/>
      <c r="R609" s="154"/>
      <c r="S609" s="154"/>
      <c r="T609" s="154"/>
      <c r="U609" s="154"/>
      <c r="V609" s="154"/>
      <c r="W609" s="154"/>
      <c r="X609" s="154"/>
      <c r="Y609" s="154"/>
      <c r="Z609" s="154"/>
      <c r="AA609" s="154"/>
    </row>
    <row r="610">
      <c r="A610" s="154"/>
      <c r="B610" s="154"/>
      <c r="C610" s="154"/>
      <c r="D610" s="154"/>
      <c r="E610" s="154"/>
      <c r="F610" s="154"/>
      <c r="G610" s="55"/>
      <c r="H610" s="154"/>
      <c r="I610" s="154"/>
      <c r="J610" s="154"/>
      <c r="K610" s="154"/>
      <c r="L610" s="154"/>
      <c r="M610" s="154"/>
      <c r="N610" s="154"/>
      <c r="O610" s="154"/>
      <c r="P610" s="154"/>
      <c r="Q610" s="154"/>
      <c r="R610" s="154"/>
      <c r="S610" s="154"/>
      <c r="T610" s="154"/>
      <c r="U610" s="154"/>
      <c r="V610" s="154"/>
      <c r="W610" s="154"/>
      <c r="X610" s="154"/>
      <c r="Y610" s="154"/>
      <c r="Z610" s="154"/>
      <c r="AA610" s="154"/>
    </row>
    <row r="611">
      <c r="A611" s="154"/>
      <c r="B611" s="154"/>
      <c r="C611" s="154"/>
      <c r="D611" s="154"/>
      <c r="E611" s="154"/>
      <c r="F611" s="154"/>
      <c r="G611" s="55"/>
      <c r="H611" s="154"/>
      <c r="I611" s="154"/>
      <c r="J611" s="154"/>
      <c r="K611" s="154"/>
      <c r="L611" s="154"/>
      <c r="M611" s="154"/>
      <c r="N611" s="154"/>
      <c r="O611" s="154"/>
      <c r="P611" s="154"/>
      <c r="Q611" s="154"/>
      <c r="R611" s="154"/>
      <c r="S611" s="154"/>
      <c r="T611" s="154"/>
      <c r="U611" s="154"/>
      <c r="V611" s="154"/>
      <c r="W611" s="154"/>
      <c r="X611" s="154"/>
      <c r="Y611" s="154"/>
      <c r="Z611" s="154"/>
      <c r="AA611" s="154"/>
    </row>
    <row r="612">
      <c r="A612" s="154"/>
      <c r="B612" s="154"/>
      <c r="C612" s="154"/>
      <c r="D612" s="154"/>
      <c r="E612" s="154"/>
      <c r="F612" s="154"/>
      <c r="G612" s="55"/>
      <c r="H612" s="154"/>
      <c r="I612" s="154"/>
      <c r="J612" s="154"/>
      <c r="K612" s="154"/>
      <c r="L612" s="154"/>
      <c r="M612" s="154"/>
      <c r="N612" s="154"/>
      <c r="O612" s="154"/>
      <c r="P612" s="154"/>
      <c r="Q612" s="154"/>
      <c r="R612" s="154"/>
      <c r="S612" s="154"/>
      <c r="T612" s="154"/>
      <c r="U612" s="154"/>
      <c r="V612" s="154"/>
      <c r="W612" s="154"/>
      <c r="X612" s="154"/>
      <c r="Y612" s="154"/>
      <c r="Z612" s="154"/>
      <c r="AA612" s="154"/>
    </row>
    <row r="613">
      <c r="A613" s="154"/>
      <c r="B613" s="154"/>
      <c r="C613" s="154"/>
      <c r="D613" s="154"/>
      <c r="E613" s="154"/>
      <c r="F613" s="154"/>
      <c r="G613" s="55"/>
      <c r="H613" s="154"/>
      <c r="I613" s="154"/>
      <c r="J613" s="154"/>
      <c r="K613" s="154"/>
      <c r="L613" s="154"/>
      <c r="M613" s="154"/>
      <c r="N613" s="154"/>
      <c r="O613" s="154"/>
      <c r="P613" s="154"/>
      <c r="Q613" s="154"/>
      <c r="R613" s="154"/>
      <c r="S613" s="154"/>
      <c r="T613" s="154"/>
      <c r="U613" s="154"/>
      <c r="V613" s="154"/>
      <c r="W613" s="154"/>
      <c r="X613" s="154"/>
      <c r="Y613" s="154"/>
      <c r="Z613" s="154"/>
      <c r="AA613" s="154"/>
    </row>
    <row r="614">
      <c r="A614" s="154"/>
      <c r="B614" s="154"/>
      <c r="C614" s="154"/>
      <c r="D614" s="154"/>
      <c r="E614" s="154"/>
      <c r="F614" s="154"/>
      <c r="G614" s="55"/>
      <c r="H614" s="154"/>
      <c r="I614" s="154"/>
      <c r="J614" s="154"/>
      <c r="K614" s="154"/>
      <c r="L614" s="154"/>
      <c r="M614" s="154"/>
      <c r="N614" s="154"/>
      <c r="O614" s="154"/>
      <c r="P614" s="154"/>
      <c r="Q614" s="154"/>
      <c r="R614" s="154"/>
      <c r="S614" s="154"/>
      <c r="T614" s="154"/>
      <c r="U614" s="154"/>
      <c r="V614" s="154"/>
      <c r="W614" s="154"/>
      <c r="X614" s="154"/>
      <c r="Y614" s="154"/>
      <c r="Z614" s="154"/>
      <c r="AA614" s="154"/>
    </row>
    <row r="615">
      <c r="A615" s="154"/>
      <c r="B615" s="154"/>
      <c r="C615" s="154"/>
      <c r="D615" s="154"/>
      <c r="E615" s="154"/>
      <c r="F615" s="154"/>
      <c r="G615" s="55"/>
      <c r="H615" s="154"/>
      <c r="I615" s="154"/>
      <c r="J615" s="154"/>
      <c r="K615" s="154"/>
      <c r="L615" s="154"/>
      <c r="M615" s="154"/>
      <c r="N615" s="154"/>
      <c r="O615" s="154"/>
      <c r="P615" s="154"/>
      <c r="Q615" s="154"/>
      <c r="R615" s="154"/>
      <c r="S615" s="154"/>
      <c r="T615" s="154"/>
      <c r="U615" s="154"/>
      <c r="V615" s="154"/>
      <c r="W615" s="154"/>
      <c r="X615" s="154"/>
      <c r="Y615" s="154"/>
      <c r="Z615" s="154"/>
      <c r="AA615" s="154"/>
    </row>
    <row r="616">
      <c r="A616" s="154"/>
      <c r="B616" s="154"/>
      <c r="C616" s="154"/>
      <c r="D616" s="154"/>
      <c r="E616" s="154"/>
      <c r="F616" s="154"/>
      <c r="G616" s="55"/>
      <c r="H616" s="154"/>
      <c r="I616" s="154"/>
      <c r="J616" s="154"/>
      <c r="K616" s="154"/>
      <c r="L616" s="154"/>
      <c r="M616" s="154"/>
      <c r="N616" s="154"/>
      <c r="O616" s="154"/>
      <c r="P616" s="154"/>
      <c r="Q616" s="154"/>
      <c r="R616" s="154"/>
      <c r="S616" s="154"/>
      <c r="T616" s="154"/>
      <c r="U616" s="154"/>
      <c r="V616" s="154"/>
      <c r="W616" s="154"/>
      <c r="X616" s="154"/>
      <c r="Y616" s="154"/>
      <c r="Z616" s="154"/>
      <c r="AA616" s="154"/>
    </row>
    <row r="617">
      <c r="A617" s="154"/>
      <c r="B617" s="154"/>
      <c r="C617" s="154"/>
      <c r="D617" s="154"/>
      <c r="E617" s="154"/>
      <c r="F617" s="154"/>
      <c r="G617" s="55"/>
      <c r="H617" s="154"/>
      <c r="I617" s="154"/>
      <c r="J617" s="154"/>
      <c r="K617" s="154"/>
      <c r="L617" s="154"/>
      <c r="M617" s="154"/>
      <c r="N617" s="154"/>
      <c r="O617" s="154"/>
      <c r="P617" s="154"/>
      <c r="Q617" s="154"/>
      <c r="R617" s="154"/>
      <c r="S617" s="154"/>
      <c r="T617" s="154"/>
      <c r="U617" s="154"/>
      <c r="V617" s="154"/>
      <c r="W617" s="154"/>
      <c r="X617" s="154"/>
      <c r="Y617" s="154"/>
      <c r="Z617" s="154"/>
      <c r="AA617" s="154"/>
    </row>
    <row r="618">
      <c r="A618" s="154"/>
      <c r="B618" s="154"/>
      <c r="C618" s="154"/>
      <c r="D618" s="154"/>
      <c r="E618" s="154"/>
      <c r="F618" s="154"/>
      <c r="G618" s="55"/>
      <c r="H618" s="154"/>
      <c r="I618" s="154"/>
      <c r="J618" s="154"/>
      <c r="K618" s="154"/>
      <c r="L618" s="154"/>
      <c r="M618" s="154"/>
      <c r="N618" s="154"/>
      <c r="O618" s="154"/>
      <c r="P618" s="154"/>
      <c r="Q618" s="154"/>
      <c r="R618" s="154"/>
      <c r="S618" s="154"/>
      <c r="T618" s="154"/>
      <c r="U618" s="154"/>
      <c r="V618" s="154"/>
      <c r="W618" s="154"/>
      <c r="X618" s="154"/>
      <c r="Y618" s="154"/>
      <c r="Z618" s="154"/>
      <c r="AA618" s="154"/>
    </row>
    <row r="619">
      <c r="A619" s="154"/>
      <c r="B619" s="154"/>
      <c r="C619" s="154"/>
      <c r="D619" s="154"/>
      <c r="E619" s="154"/>
      <c r="F619" s="154"/>
      <c r="G619" s="55"/>
      <c r="H619" s="154"/>
      <c r="I619" s="154"/>
      <c r="J619" s="154"/>
      <c r="K619" s="154"/>
      <c r="L619" s="154"/>
      <c r="M619" s="154"/>
      <c r="N619" s="154"/>
      <c r="O619" s="154"/>
      <c r="P619" s="154"/>
      <c r="Q619" s="154"/>
      <c r="R619" s="154"/>
      <c r="S619" s="154"/>
      <c r="T619" s="154"/>
      <c r="U619" s="154"/>
      <c r="V619" s="154"/>
      <c r="W619" s="154"/>
      <c r="X619" s="154"/>
      <c r="Y619" s="154"/>
      <c r="Z619" s="154"/>
      <c r="AA619" s="154"/>
    </row>
    <row r="620">
      <c r="A620" s="154"/>
      <c r="B620" s="154"/>
      <c r="C620" s="154"/>
      <c r="D620" s="154"/>
      <c r="E620" s="154"/>
      <c r="F620" s="154"/>
      <c r="G620" s="55"/>
      <c r="H620" s="154"/>
      <c r="I620" s="154"/>
      <c r="J620" s="154"/>
      <c r="K620" s="154"/>
      <c r="L620" s="154"/>
      <c r="M620" s="154"/>
      <c r="N620" s="154"/>
      <c r="O620" s="154"/>
      <c r="P620" s="154"/>
      <c r="Q620" s="154"/>
      <c r="R620" s="154"/>
      <c r="S620" s="154"/>
      <c r="T620" s="154"/>
      <c r="U620" s="154"/>
      <c r="V620" s="154"/>
      <c r="W620" s="154"/>
      <c r="X620" s="154"/>
      <c r="Y620" s="154"/>
      <c r="Z620" s="154"/>
      <c r="AA620" s="154"/>
    </row>
    <row r="621">
      <c r="A621" s="154"/>
      <c r="B621" s="154"/>
      <c r="C621" s="154"/>
      <c r="D621" s="154"/>
      <c r="E621" s="154"/>
      <c r="F621" s="154"/>
      <c r="G621" s="55"/>
      <c r="H621" s="154"/>
      <c r="I621" s="154"/>
      <c r="J621" s="154"/>
      <c r="K621" s="154"/>
      <c r="L621" s="154"/>
      <c r="M621" s="154"/>
      <c r="N621" s="154"/>
      <c r="O621" s="154"/>
      <c r="P621" s="154"/>
      <c r="Q621" s="154"/>
      <c r="R621" s="154"/>
      <c r="S621" s="154"/>
      <c r="T621" s="154"/>
      <c r="U621" s="154"/>
      <c r="V621" s="154"/>
      <c r="W621" s="154"/>
      <c r="X621" s="154"/>
      <c r="Y621" s="154"/>
      <c r="Z621" s="154"/>
      <c r="AA621" s="154"/>
    </row>
    <row r="622">
      <c r="A622" s="154"/>
      <c r="B622" s="154"/>
      <c r="C622" s="154"/>
      <c r="D622" s="154"/>
      <c r="E622" s="154"/>
      <c r="F622" s="154"/>
      <c r="G622" s="55"/>
      <c r="H622" s="154"/>
      <c r="I622" s="154"/>
      <c r="J622" s="154"/>
      <c r="K622" s="154"/>
      <c r="L622" s="154"/>
      <c r="M622" s="154"/>
      <c r="N622" s="154"/>
      <c r="O622" s="154"/>
      <c r="P622" s="154"/>
      <c r="Q622" s="154"/>
      <c r="R622" s="154"/>
      <c r="S622" s="154"/>
      <c r="T622" s="154"/>
      <c r="U622" s="154"/>
      <c r="V622" s="154"/>
      <c r="W622" s="154"/>
      <c r="X622" s="154"/>
      <c r="Y622" s="154"/>
      <c r="Z622" s="154"/>
      <c r="AA622" s="154"/>
    </row>
    <row r="623">
      <c r="A623" s="154"/>
      <c r="B623" s="154"/>
      <c r="C623" s="154"/>
      <c r="D623" s="154"/>
      <c r="E623" s="154"/>
      <c r="F623" s="154"/>
      <c r="G623" s="55"/>
      <c r="H623" s="154"/>
      <c r="I623" s="154"/>
      <c r="J623" s="154"/>
      <c r="K623" s="154"/>
      <c r="L623" s="154"/>
      <c r="M623" s="154"/>
      <c r="N623" s="154"/>
      <c r="O623" s="154"/>
      <c r="P623" s="154"/>
      <c r="Q623" s="154"/>
      <c r="R623" s="154"/>
      <c r="S623" s="154"/>
      <c r="T623" s="154"/>
      <c r="U623" s="154"/>
      <c r="V623" s="154"/>
      <c r="W623" s="154"/>
      <c r="X623" s="154"/>
      <c r="Y623" s="154"/>
      <c r="Z623" s="154"/>
      <c r="AA623" s="154"/>
    </row>
    <row r="624">
      <c r="A624" s="154"/>
      <c r="B624" s="154"/>
      <c r="C624" s="154"/>
      <c r="D624" s="154"/>
      <c r="E624" s="154"/>
      <c r="F624" s="154"/>
      <c r="G624" s="55"/>
      <c r="H624" s="154"/>
      <c r="I624" s="154"/>
      <c r="J624" s="154"/>
      <c r="K624" s="154"/>
      <c r="L624" s="154"/>
      <c r="M624" s="154"/>
      <c r="N624" s="154"/>
      <c r="O624" s="154"/>
      <c r="P624" s="154"/>
      <c r="Q624" s="154"/>
      <c r="R624" s="154"/>
      <c r="S624" s="154"/>
      <c r="T624" s="154"/>
      <c r="U624" s="154"/>
      <c r="V624" s="154"/>
      <c r="W624" s="154"/>
      <c r="X624" s="154"/>
      <c r="Y624" s="154"/>
      <c r="Z624" s="154"/>
      <c r="AA624" s="154"/>
    </row>
    <row r="625">
      <c r="A625" s="154"/>
      <c r="B625" s="154"/>
      <c r="C625" s="154"/>
      <c r="D625" s="154"/>
      <c r="E625" s="154"/>
      <c r="F625" s="154"/>
      <c r="G625" s="55"/>
      <c r="H625" s="154"/>
      <c r="I625" s="154"/>
      <c r="J625" s="154"/>
      <c r="K625" s="154"/>
      <c r="L625" s="154"/>
      <c r="M625" s="154"/>
      <c r="N625" s="154"/>
      <c r="O625" s="154"/>
      <c r="P625" s="154"/>
      <c r="Q625" s="154"/>
      <c r="R625" s="154"/>
      <c r="S625" s="154"/>
      <c r="T625" s="154"/>
      <c r="U625" s="154"/>
      <c r="V625" s="154"/>
      <c r="W625" s="154"/>
      <c r="X625" s="154"/>
      <c r="Y625" s="154"/>
      <c r="Z625" s="154"/>
      <c r="AA625" s="154"/>
    </row>
    <row r="626">
      <c r="A626" s="154"/>
      <c r="B626" s="154"/>
      <c r="C626" s="154"/>
      <c r="D626" s="154"/>
      <c r="E626" s="154"/>
      <c r="F626" s="154"/>
      <c r="G626" s="55"/>
      <c r="H626" s="154"/>
      <c r="I626" s="154"/>
      <c r="J626" s="154"/>
      <c r="K626" s="154"/>
      <c r="L626" s="154"/>
      <c r="M626" s="154"/>
      <c r="N626" s="154"/>
      <c r="O626" s="154"/>
      <c r="P626" s="154"/>
      <c r="Q626" s="154"/>
      <c r="R626" s="154"/>
      <c r="S626" s="154"/>
      <c r="T626" s="154"/>
      <c r="U626" s="154"/>
      <c r="V626" s="154"/>
      <c r="W626" s="154"/>
      <c r="X626" s="154"/>
      <c r="Y626" s="154"/>
      <c r="Z626" s="154"/>
      <c r="AA626" s="154"/>
    </row>
    <row r="627">
      <c r="A627" s="154"/>
      <c r="B627" s="154"/>
      <c r="C627" s="154"/>
      <c r="D627" s="154"/>
      <c r="E627" s="154"/>
      <c r="F627" s="154"/>
      <c r="G627" s="55"/>
      <c r="H627" s="154"/>
      <c r="I627" s="154"/>
      <c r="J627" s="154"/>
      <c r="K627" s="154"/>
      <c r="L627" s="154"/>
      <c r="M627" s="154"/>
      <c r="N627" s="154"/>
      <c r="O627" s="154"/>
      <c r="P627" s="154"/>
      <c r="Q627" s="154"/>
      <c r="R627" s="154"/>
      <c r="S627" s="154"/>
      <c r="T627" s="154"/>
      <c r="U627" s="154"/>
      <c r="V627" s="154"/>
      <c r="W627" s="154"/>
      <c r="X627" s="154"/>
      <c r="Y627" s="154"/>
      <c r="Z627" s="154"/>
      <c r="AA627" s="154"/>
    </row>
    <row r="628">
      <c r="A628" s="154"/>
      <c r="B628" s="154"/>
      <c r="C628" s="154"/>
      <c r="D628" s="154"/>
      <c r="E628" s="154"/>
      <c r="F628" s="154"/>
      <c r="G628" s="55"/>
      <c r="H628" s="154"/>
      <c r="I628" s="154"/>
      <c r="J628" s="154"/>
      <c r="K628" s="154"/>
      <c r="L628" s="154"/>
      <c r="M628" s="154"/>
      <c r="N628" s="154"/>
      <c r="O628" s="154"/>
      <c r="P628" s="154"/>
      <c r="Q628" s="154"/>
      <c r="R628" s="154"/>
      <c r="S628" s="154"/>
      <c r="T628" s="154"/>
      <c r="U628" s="154"/>
      <c r="V628" s="154"/>
      <c r="W628" s="154"/>
      <c r="X628" s="154"/>
      <c r="Y628" s="154"/>
      <c r="Z628" s="154"/>
      <c r="AA628" s="154"/>
    </row>
    <row r="629">
      <c r="A629" s="154"/>
      <c r="B629" s="154"/>
      <c r="C629" s="154"/>
      <c r="D629" s="154"/>
      <c r="E629" s="154"/>
      <c r="F629" s="154"/>
      <c r="G629" s="55"/>
      <c r="H629" s="154"/>
      <c r="I629" s="154"/>
      <c r="J629" s="154"/>
      <c r="K629" s="154"/>
      <c r="L629" s="154"/>
      <c r="M629" s="154"/>
      <c r="N629" s="154"/>
      <c r="O629" s="154"/>
      <c r="P629" s="154"/>
      <c r="Q629" s="154"/>
      <c r="R629" s="154"/>
      <c r="S629" s="154"/>
      <c r="T629" s="154"/>
      <c r="U629" s="154"/>
      <c r="V629" s="154"/>
      <c r="W629" s="154"/>
      <c r="X629" s="154"/>
      <c r="Y629" s="154"/>
      <c r="Z629" s="154"/>
      <c r="AA629" s="154"/>
    </row>
    <row r="630">
      <c r="A630" s="154"/>
      <c r="B630" s="154"/>
      <c r="C630" s="154"/>
      <c r="D630" s="154"/>
      <c r="E630" s="154"/>
      <c r="F630" s="154"/>
      <c r="G630" s="55"/>
      <c r="H630" s="154"/>
      <c r="I630" s="154"/>
      <c r="J630" s="154"/>
      <c r="K630" s="154"/>
      <c r="L630" s="154"/>
      <c r="M630" s="154"/>
      <c r="N630" s="154"/>
      <c r="O630" s="154"/>
      <c r="P630" s="154"/>
      <c r="Q630" s="154"/>
      <c r="R630" s="154"/>
      <c r="S630" s="154"/>
      <c r="T630" s="154"/>
      <c r="U630" s="154"/>
      <c r="V630" s="154"/>
      <c r="W630" s="154"/>
      <c r="X630" s="154"/>
      <c r="Y630" s="154"/>
      <c r="Z630" s="154"/>
      <c r="AA630" s="154"/>
    </row>
    <row r="631">
      <c r="A631" s="154"/>
      <c r="B631" s="154"/>
      <c r="C631" s="154"/>
      <c r="D631" s="154"/>
      <c r="E631" s="154"/>
      <c r="F631" s="154"/>
      <c r="G631" s="55"/>
      <c r="H631" s="154"/>
      <c r="I631" s="154"/>
      <c r="J631" s="154"/>
      <c r="K631" s="154"/>
      <c r="L631" s="154"/>
      <c r="M631" s="154"/>
      <c r="N631" s="154"/>
      <c r="O631" s="154"/>
      <c r="P631" s="154"/>
      <c r="Q631" s="154"/>
      <c r="R631" s="154"/>
      <c r="S631" s="154"/>
      <c r="T631" s="154"/>
      <c r="U631" s="154"/>
      <c r="V631" s="154"/>
      <c r="W631" s="154"/>
      <c r="X631" s="154"/>
      <c r="Y631" s="154"/>
      <c r="Z631" s="154"/>
      <c r="AA631" s="154"/>
    </row>
    <row r="632">
      <c r="A632" s="154"/>
      <c r="B632" s="154"/>
      <c r="C632" s="154"/>
      <c r="D632" s="154"/>
      <c r="E632" s="154"/>
      <c r="F632" s="154"/>
      <c r="G632" s="55"/>
      <c r="H632" s="154"/>
      <c r="I632" s="154"/>
      <c r="J632" s="154"/>
      <c r="K632" s="154"/>
      <c r="L632" s="154"/>
      <c r="M632" s="154"/>
      <c r="N632" s="154"/>
      <c r="O632" s="154"/>
      <c r="P632" s="154"/>
      <c r="Q632" s="154"/>
      <c r="R632" s="154"/>
      <c r="S632" s="154"/>
      <c r="T632" s="154"/>
      <c r="U632" s="154"/>
      <c r="V632" s="154"/>
      <c r="W632" s="154"/>
      <c r="X632" s="154"/>
      <c r="Y632" s="154"/>
      <c r="Z632" s="154"/>
      <c r="AA632" s="154"/>
    </row>
    <row r="633">
      <c r="A633" s="154"/>
      <c r="B633" s="154"/>
      <c r="C633" s="154"/>
      <c r="D633" s="154"/>
      <c r="E633" s="154"/>
      <c r="F633" s="154"/>
      <c r="G633" s="55"/>
      <c r="H633" s="154"/>
      <c r="I633" s="154"/>
      <c r="J633" s="154"/>
      <c r="K633" s="154"/>
      <c r="L633" s="154"/>
      <c r="M633" s="154"/>
      <c r="N633" s="154"/>
      <c r="O633" s="154"/>
      <c r="P633" s="154"/>
      <c r="Q633" s="154"/>
      <c r="R633" s="154"/>
      <c r="S633" s="154"/>
      <c r="T633" s="154"/>
      <c r="U633" s="154"/>
      <c r="V633" s="154"/>
      <c r="W633" s="154"/>
      <c r="X633" s="154"/>
      <c r="Y633" s="154"/>
      <c r="Z633" s="154"/>
      <c r="AA633" s="154"/>
    </row>
    <row r="634">
      <c r="A634" s="154"/>
      <c r="B634" s="154"/>
      <c r="C634" s="154"/>
      <c r="D634" s="154"/>
      <c r="E634" s="154"/>
      <c r="F634" s="154"/>
      <c r="G634" s="55"/>
      <c r="H634" s="154"/>
      <c r="I634" s="154"/>
      <c r="J634" s="154"/>
      <c r="K634" s="154"/>
      <c r="L634" s="154"/>
      <c r="M634" s="154"/>
      <c r="N634" s="154"/>
      <c r="O634" s="154"/>
      <c r="P634" s="154"/>
      <c r="Q634" s="154"/>
      <c r="R634" s="154"/>
      <c r="S634" s="154"/>
      <c r="T634" s="154"/>
      <c r="U634" s="154"/>
      <c r="V634" s="154"/>
      <c r="W634" s="154"/>
      <c r="X634" s="154"/>
      <c r="Y634" s="154"/>
      <c r="Z634" s="154"/>
      <c r="AA634" s="154"/>
    </row>
    <row r="635">
      <c r="A635" s="154"/>
      <c r="B635" s="154"/>
      <c r="C635" s="154"/>
      <c r="D635" s="154"/>
      <c r="E635" s="154"/>
      <c r="F635" s="154"/>
      <c r="G635" s="55"/>
      <c r="H635" s="154"/>
      <c r="I635" s="154"/>
      <c r="J635" s="154"/>
      <c r="K635" s="154"/>
      <c r="L635" s="154"/>
      <c r="M635" s="154"/>
      <c r="N635" s="154"/>
      <c r="O635" s="154"/>
      <c r="P635" s="154"/>
      <c r="Q635" s="154"/>
      <c r="R635" s="154"/>
      <c r="S635" s="154"/>
      <c r="T635" s="154"/>
      <c r="U635" s="154"/>
      <c r="V635" s="154"/>
      <c r="W635" s="154"/>
      <c r="X635" s="154"/>
      <c r="Y635" s="154"/>
      <c r="Z635" s="154"/>
      <c r="AA635" s="154"/>
    </row>
    <row r="636">
      <c r="A636" s="154"/>
      <c r="B636" s="154"/>
      <c r="C636" s="154"/>
      <c r="D636" s="154"/>
      <c r="E636" s="154"/>
      <c r="F636" s="154"/>
      <c r="G636" s="55"/>
      <c r="H636" s="154"/>
      <c r="I636" s="154"/>
      <c r="J636" s="154"/>
      <c r="K636" s="154"/>
      <c r="L636" s="154"/>
      <c r="M636" s="154"/>
      <c r="N636" s="154"/>
      <c r="O636" s="154"/>
      <c r="P636" s="154"/>
      <c r="Q636" s="154"/>
      <c r="R636" s="154"/>
      <c r="S636" s="154"/>
      <c r="T636" s="154"/>
      <c r="U636" s="154"/>
      <c r="V636" s="154"/>
      <c r="W636" s="154"/>
      <c r="X636" s="154"/>
      <c r="Y636" s="154"/>
      <c r="Z636" s="154"/>
      <c r="AA636" s="154"/>
    </row>
    <row r="637">
      <c r="A637" s="154"/>
      <c r="B637" s="154"/>
      <c r="C637" s="154"/>
      <c r="D637" s="154"/>
      <c r="E637" s="154"/>
      <c r="F637" s="154"/>
      <c r="G637" s="55"/>
      <c r="H637" s="154"/>
      <c r="I637" s="154"/>
      <c r="J637" s="154"/>
      <c r="K637" s="154"/>
      <c r="L637" s="154"/>
      <c r="M637" s="154"/>
      <c r="N637" s="154"/>
      <c r="O637" s="154"/>
      <c r="P637" s="154"/>
      <c r="Q637" s="154"/>
      <c r="R637" s="154"/>
      <c r="S637" s="154"/>
      <c r="T637" s="154"/>
      <c r="U637" s="154"/>
      <c r="V637" s="154"/>
      <c r="W637" s="154"/>
      <c r="X637" s="154"/>
      <c r="Y637" s="154"/>
      <c r="Z637" s="154"/>
      <c r="AA637" s="154"/>
    </row>
    <row r="638">
      <c r="A638" s="154"/>
      <c r="B638" s="154"/>
      <c r="C638" s="154"/>
      <c r="D638" s="154"/>
      <c r="E638" s="154"/>
      <c r="F638" s="154"/>
      <c r="G638" s="55"/>
      <c r="H638" s="154"/>
      <c r="I638" s="154"/>
      <c r="J638" s="154"/>
      <c r="K638" s="154"/>
      <c r="L638" s="154"/>
      <c r="M638" s="154"/>
      <c r="N638" s="154"/>
      <c r="O638" s="154"/>
      <c r="P638" s="154"/>
      <c r="Q638" s="154"/>
      <c r="R638" s="154"/>
      <c r="S638" s="154"/>
      <c r="T638" s="154"/>
      <c r="U638" s="154"/>
      <c r="V638" s="154"/>
      <c r="W638" s="154"/>
      <c r="X638" s="154"/>
      <c r="Y638" s="154"/>
      <c r="Z638" s="154"/>
      <c r="AA638" s="154"/>
    </row>
    <row r="639">
      <c r="A639" s="154"/>
      <c r="B639" s="154"/>
      <c r="C639" s="154"/>
      <c r="D639" s="154"/>
      <c r="E639" s="154"/>
      <c r="F639" s="154"/>
      <c r="G639" s="55"/>
      <c r="H639" s="154"/>
      <c r="I639" s="154"/>
      <c r="J639" s="154"/>
      <c r="K639" s="154"/>
      <c r="L639" s="154"/>
      <c r="M639" s="154"/>
      <c r="N639" s="154"/>
      <c r="O639" s="154"/>
      <c r="P639" s="154"/>
      <c r="Q639" s="154"/>
      <c r="R639" s="154"/>
      <c r="S639" s="154"/>
      <c r="T639" s="154"/>
      <c r="U639" s="154"/>
      <c r="V639" s="154"/>
      <c r="W639" s="154"/>
      <c r="X639" s="154"/>
      <c r="Y639" s="154"/>
      <c r="Z639" s="154"/>
      <c r="AA639" s="154"/>
    </row>
    <row r="640">
      <c r="A640" s="154"/>
      <c r="B640" s="154"/>
      <c r="C640" s="154"/>
      <c r="D640" s="154"/>
      <c r="E640" s="154"/>
      <c r="F640" s="154"/>
      <c r="G640" s="55"/>
      <c r="H640" s="154"/>
      <c r="I640" s="154"/>
      <c r="J640" s="154"/>
      <c r="K640" s="154"/>
      <c r="L640" s="154"/>
      <c r="M640" s="154"/>
      <c r="N640" s="154"/>
      <c r="O640" s="154"/>
      <c r="P640" s="154"/>
      <c r="Q640" s="154"/>
      <c r="R640" s="154"/>
      <c r="S640" s="154"/>
      <c r="T640" s="154"/>
      <c r="U640" s="154"/>
      <c r="V640" s="154"/>
      <c r="W640" s="154"/>
      <c r="X640" s="154"/>
      <c r="Y640" s="154"/>
      <c r="Z640" s="154"/>
      <c r="AA640" s="154"/>
    </row>
    <row r="641">
      <c r="A641" s="154"/>
      <c r="B641" s="154"/>
      <c r="C641" s="154"/>
      <c r="D641" s="154"/>
      <c r="E641" s="154"/>
      <c r="F641" s="154"/>
      <c r="G641" s="55"/>
      <c r="H641" s="154"/>
      <c r="I641" s="154"/>
      <c r="J641" s="154"/>
      <c r="K641" s="154"/>
      <c r="L641" s="154"/>
      <c r="M641" s="154"/>
      <c r="N641" s="154"/>
      <c r="O641" s="154"/>
      <c r="P641" s="154"/>
      <c r="Q641" s="154"/>
      <c r="R641" s="154"/>
      <c r="S641" s="154"/>
      <c r="T641" s="154"/>
      <c r="U641" s="154"/>
      <c r="V641" s="154"/>
      <c r="W641" s="154"/>
      <c r="X641" s="154"/>
      <c r="Y641" s="154"/>
      <c r="Z641" s="154"/>
      <c r="AA641" s="154"/>
    </row>
    <row r="642">
      <c r="A642" s="154"/>
      <c r="B642" s="154"/>
      <c r="C642" s="154"/>
      <c r="D642" s="154"/>
      <c r="E642" s="154"/>
      <c r="F642" s="154"/>
      <c r="G642" s="55"/>
      <c r="H642" s="154"/>
      <c r="I642" s="154"/>
      <c r="J642" s="154"/>
      <c r="K642" s="154"/>
      <c r="L642" s="154"/>
      <c r="M642" s="154"/>
      <c r="N642" s="154"/>
      <c r="O642" s="154"/>
      <c r="P642" s="154"/>
      <c r="Q642" s="154"/>
      <c r="R642" s="154"/>
      <c r="S642" s="154"/>
      <c r="T642" s="154"/>
      <c r="U642" s="154"/>
      <c r="V642" s="154"/>
      <c r="W642" s="154"/>
      <c r="X642" s="154"/>
      <c r="Y642" s="154"/>
      <c r="Z642" s="154"/>
      <c r="AA642" s="154"/>
    </row>
    <row r="643">
      <c r="A643" s="154"/>
      <c r="B643" s="154"/>
      <c r="C643" s="154"/>
      <c r="D643" s="154"/>
      <c r="E643" s="154"/>
      <c r="F643" s="154"/>
      <c r="G643" s="55"/>
      <c r="H643" s="154"/>
      <c r="I643" s="154"/>
      <c r="J643" s="154"/>
      <c r="K643" s="154"/>
      <c r="L643" s="154"/>
      <c r="M643" s="154"/>
      <c r="N643" s="154"/>
      <c r="O643" s="154"/>
      <c r="P643" s="154"/>
      <c r="Q643" s="154"/>
      <c r="R643" s="154"/>
      <c r="S643" s="154"/>
      <c r="T643" s="154"/>
      <c r="U643" s="154"/>
      <c r="V643" s="154"/>
      <c r="W643" s="154"/>
      <c r="X643" s="154"/>
      <c r="Y643" s="154"/>
      <c r="Z643" s="154"/>
      <c r="AA643" s="154"/>
    </row>
    <row r="644">
      <c r="A644" s="154"/>
      <c r="B644" s="154"/>
      <c r="C644" s="154"/>
      <c r="D644" s="154"/>
      <c r="E644" s="154"/>
      <c r="F644" s="154"/>
      <c r="G644" s="55"/>
      <c r="H644" s="154"/>
      <c r="I644" s="154"/>
      <c r="J644" s="154"/>
      <c r="K644" s="154"/>
      <c r="L644" s="154"/>
      <c r="M644" s="154"/>
      <c r="N644" s="154"/>
      <c r="O644" s="154"/>
      <c r="P644" s="154"/>
      <c r="Q644" s="154"/>
      <c r="R644" s="154"/>
      <c r="S644" s="154"/>
      <c r="T644" s="154"/>
      <c r="U644" s="154"/>
      <c r="V644" s="154"/>
      <c r="W644" s="154"/>
      <c r="X644" s="154"/>
      <c r="Y644" s="154"/>
      <c r="Z644" s="154"/>
      <c r="AA644" s="154"/>
    </row>
    <row r="645">
      <c r="A645" s="154"/>
      <c r="B645" s="154"/>
      <c r="C645" s="154"/>
      <c r="D645" s="154"/>
      <c r="E645" s="154"/>
      <c r="F645" s="154"/>
      <c r="G645" s="55"/>
      <c r="H645" s="154"/>
      <c r="I645" s="154"/>
      <c r="J645" s="154"/>
      <c r="K645" s="154"/>
      <c r="L645" s="154"/>
      <c r="M645" s="154"/>
      <c r="N645" s="154"/>
      <c r="O645" s="154"/>
      <c r="P645" s="154"/>
      <c r="Q645" s="154"/>
      <c r="R645" s="154"/>
      <c r="S645" s="154"/>
      <c r="T645" s="154"/>
      <c r="U645" s="154"/>
      <c r="V645" s="154"/>
      <c r="W645" s="154"/>
      <c r="X645" s="154"/>
      <c r="Y645" s="154"/>
      <c r="Z645" s="154"/>
      <c r="AA645" s="154"/>
    </row>
    <row r="646">
      <c r="A646" s="154"/>
      <c r="B646" s="154"/>
      <c r="C646" s="154"/>
      <c r="D646" s="154"/>
      <c r="E646" s="154"/>
      <c r="F646" s="154"/>
      <c r="G646" s="55"/>
      <c r="H646" s="154"/>
      <c r="I646" s="154"/>
      <c r="J646" s="154"/>
      <c r="K646" s="154"/>
      <c r="L646" s="154"/>
      <c r="M646" s="154"/>
      <c r="N646" s="154"/>
      <c r="O646" s="154"/>
      <c r="P646" s="154"/>
      <c r="Q646" s="154"/>
      <c r="R646" s="154"/>
      <c r="S646" s="154"/>
      <c r="T646" s="154"/>
      <c r="U646" s="154"/>
      <c r="V646" s="154"/>
      <c r="W646" s="154"/>
      <c r="X646" s="154"/>
      <c r="Y646" s="154"/>
      <c r="Z646" s="154"/>
      <c r="AA646" s="154"/>
    </row>
    <row r="647">
      <c r="A647" s="154"/>
      <c r="B647" s="154"/>
      <c r="C647" s="154"/>
      <c r="D647" s="154"/>
      <c r="E647" s="154"/>
      <c r="F647" s="154"/>
      <c r="G647" s="55"/>
      <c r="H647" s="154"/>
      <c r="I647" s="154"/>
      <c r="J647" s="154"/>
      <c r="K647" s="154"/>
      <c r="L647" s="154"/>
      <c r="M647" s="154"/>
      <c r="N647" s="154"/>
      <c r="O647" s="154"/>
      <c r="P647" s="154"/>
      <c r="Q647" s="154"/>
      <c r="R647" s="154"/>
      <c r="S647" s="154"/>
      <c r="T647" s="154"/>
      <c r="U647" s="154"/>
      <c r="V647" s="154"/>
      <c r="W647" s="154"/>
      <c r="X647" s="154"/>
      <c r="Y647" s="154"/>
      <c r="Z647" s="154"/>
      <c r="AA647" s="154"/>
    </row>
    <row r="648">
      <c r="A648" s="154"/>
      <c r="B648" s="154"/>
      <c r="C648" s="154"/>
      <c r="D648" s="154"/>
      <c r="E648" s="154"/>
      <c r="F648" s="154"/>
      <c r="G648" s="55"/>
      <c r="H648" s="154"/>
      <c r="I648" s="154"/>
      <c r="J648" s="154"/>
      <c r="K648" s="154"/>
      <c r="L648" s="154"/>
      <c r="M648" s="154"/>
      <c r="N648" s="154"/>
      <c r="O648" s="154"/>
      <c r="P648" s="154"/>
      <c r="Q648" s="154"/>
      <c r="R648" s="154"/>
      <c r="S648" s="154"/>
      <c r="T648" s="154"/>
      <c r="U648" s="154"/>
      <c r="V648" s="154"/>
      <c r="W648" s="154"/>
      <c r="X648" s="154"/>
      <c r="Y648" s="154"/>
      <c r="Z648" s="154"/>
      <c r="AA648" s="154"/>
    </row>
    <row r="649">
      <c r="A649" s="154"/>
      <c r="B649" s="154"/>
      <c r="C649" s="154"/>
      <c r="D649" s="154"/>
      <c r="E649" s="154"/>
      <c r="F649" s="154"/>
      <c r="G649" s="55"/>
      <c r="H649" s="154"/>
      <c r="I649" s="154"/>
      <c r="J649" s="154"/>
      <c r="K649" s="154"/>
      <c r="L649" s="154"/>
      <c r="M649" s="154"/>
      <c r="N649" s="154"/>
      <c r="O649" s="154"/>
      <c r="P649" s="154"/>
      <c r="Q649" s="154"/>
      <c r="R649" s="154"/>
      <c r="S649" s="154"/>
      <c r="T649" s="154"/>
      <c r="U649" s="154"/>
      <c r="V649" s="154"/>
      <c r="W649" s="154"/>
      <c r="X649" s="154"/>
      <c r="Y649" s="154"/>
      <c r="Z649" s="154"/>
      <c r="AA649" s="154"/>
    </row>
    <row r="650">
      <c r="A650" s="154"/>
      <c r="B650" s="154"/>
      <c r="C650" s="154"/>
      <c r="D650" s="154"/>
      <c r="E650" s="154"/>
      <c r="F650" s="154"/>
      <c r="G650" s="55"/>
      <c r="H650" s="154"/>
      <c r="I650" s="154"/>
      <c r="J650" s="154"/>
      <c r="K650" s="154"/>
      <c r="L650" s="154"/>
      <c r="M650" s="154"/>
      <c r="N650" s="154"/>
      <c r="O650" s="154"/>
      <c r="P650" s="154"/>
      <c r="Q650" s="154"/>
      <c r="R650" s="154"/>
      <c r="S650" s="154"/>
      <c r="T650" s="154"/>
      <c r="U650" s="154"/>
      <c r="V650" s="154"/>
      <c r="W650" s="154"/>
      <c r="X650" s="154"/>
      <c r="Y650" s="154"/>
      <c r="Z650" s="154"/>
      <c r="AA650" s="154"/>
    </row>
    <row r="651">
      <c r="A651" s="154"/>
      <c r="B651" s="154"/>
      <c r="C651" s="154"/>
      <c r="D651" s="154"/>
      <c r="E651" s="154"/>
      <c r="F651" s="154"/>
      <c r="G651" s="55"/>
      <c r="H651" s="154"/>
      <c r="I651" s="154"/>
      <c r="J651" s="154"/>
      <c r="K651" s="154"/>
      <c r="L651" s="154"/>
      <c r="M651" s="154"/>
      <c r="N651" s="154"/>
      <c r="O651" s="154"/>
      <c r="P651" s="154"/>
      <c r="Q651" s="154"/>
      <c r="R651" s="154"/>
      <c r="S651" s="154"/>
      <c r="T651" s="154"/>
      <c r="U651" s="154"/>
      <c r="V651" s="154"/>
      <c r="W651" s="154"/>
      <c r="X651" s="154"/>
      <c r="Y651" s="154"/>
      <c r="Z651" s="154"/>
      <c r="AA651" s="154"/>
    </row>
    <row r="652">
      <c r="A652" s="154"/>
      <c r="B652" s="154"/>
      <c r="C652" s="154"/>
      <c r="D652" s="154"/>
      <c r="E652" s="154"/>
      <c r="F652" s="154"/>
      <c r="G652" s="55"/>
      <c r="H652" s="154"/>
      <c r="I652" s="154"/>
      <c r="J652" s="154"/>
      <c r="K652" s="154"/>
      <c r="L652" s="154"/>
      <c r="M652" s="154"/>
      <c r="N652" s="154"/>
      <c r="O652" s="154"/>
      <c r="P652" s="154"/>
      <c r="Q652" s="154"/>
      <c r="R652" s="154"/>
      <c r="S652" s="154"/>
      <c r="T652" s="154"/>
      <c r="U652" s="154"/>
      <c r="V652" s="154"/>
      <c r="W652" s="154"/>
      <c r="X652" s="154"/>
      <c r="Y652" s="154"/>
      <c r="Z652" s="154"/>
      <c r="AA652" s="154"/>
    </row>
    <row r="653">
      <c r="A653" s="154"/>
      <c r="B653" s="154"/>
      <c r="C653" s="154"/>
      <c r="D653" s="154"/>
      <c r="E653" s="154"/>
      <c r="F653" s="154"/>
      <c r="G653" s="55"/>
      <c r="H653" s="154"/>
      <c r="I653" s="154"/>
      <c r="J653" s="154"/>
      <c r="K653" s="154"/>
      <c r="L653" s="154"/>
      <c r="M653" s="154"/>
      <c r="N653" s="154"/>
      <c r="O653" s="154"/>
      <c r="P653" s="154"/>
      <c r="Q653" s="154"/>
      <c r="R653" s="154"/>
      <c r="S653" s="154"/>
      <c r="T653" s="154"/>
      <c r="U653" s="154"/>
      <c r="V653" s="154"/>
      <c r="W653" s="154"/>
      <c r="X653" s="154"/>
      <c r="Y653" s="154"/>
      <c r="Z653" s="154"/>
      <c r="AA653" s="154"/>
    </row>
    <row r="654">
      <c r="A654" s="154"/>
      <c r="B654" s="154"/>
      <c r="C654" s="154"/>
      <c r="D654" s="154"/>
      <c r="E654" s="154"/>
      <c r="F654" s="154"/>
      <c r="G654" s="55"/>
      <c r="H654" s="154"/>
      <c r="I654" s="154"/>
      <c r="J654" s="154"/>
      <c r="K654" s="154"/>
      <c r="L654" s="154"/>
      <c r="M654" s="154"/>
      <c r="N654" s="154"/>
      <c r="O654" s="154"/>
      <c r="P654" s="154"/>
      <c r="Q654" s="154"/>
      <c r="R654" s="154"/>
      <c r="S654" s="154"/>
      <c r="T654" s="154"/>
      <c r="U654" s="154"/>
      <c r="V654" s="154"/>
      <c r="W654" s="154"/>
      <c r="X654" s="154"/>
      <c r="Y654" s="154"/>
      <c r="Z654" s="154"/>
      <c r="AA654" s="154"/>
    </row>
    <row r="655">
      <c r="A655" s="154"/>
      <c r="B655" s="154"/>
      <c r="C655" s="154"/>
      <c r="D655" s="154"/>
      <c r="E655" s="154"/>
      <c r="F655" s="154"/>
      <c r="G655" s="55"/>
      <c r="H655" s="154"/>
      <c r="I655" s="154"/>
      <c r="J655" s="154"/>
      <c r="K655" s="154"/>
      <c r="L655" s="154"/>
      <c r="M655" s="154"/>
      <c r="N655" s="154"/>
      <c r="O655" s="154"/>
      <c r="P655" s="154"/>
      <c r="Q655" s="154"/>
      <c r="R655" s="154"/>
      <c r="S655" s="154"/>
      <c r="T655" s="154"/>
      <c r="U655" s="154"/>
      <c r="V655" s="154"/>
      <c r="W655" s="154"/>
      <c r="X655" s="154"/>
      <c r="Y655" s="154"/>
      <c r="Z655" s="154"/>
      <c r="AA655" s="154"/>
    </row>
    <row r="656">
      <c r="A656" s="154"/>
      <c r="B656" s="154"/>
      <c r="C656" s="154"/>
      <c r="D656" s="154"/>
      <c r="E656" s="154"/>
      <c r="F656" s="154"/>
      <c r="G656" s="55"/>
      <c r="H656" s="154"/>
      <c r="I656" s="154"/>
      <c r="J656" s="154"/>
      <c r="K656" s="154"/>
      <c r="L656" s="154"/>
      <c r="M656" s="154"/>
      <c r="N656" s="154"/>
      <c r="O656" s="154"/>
      <c r="P656" s="154"/>
      <c r="Q656" s="154"/>
      <c r="R656" s="154"/>
      <c r="S656" s="154"/>
      <c r="T656" s="154"/>
      <c r="U656" s="154"/>
      <c r="V656" s="154"/>
      <c r="W656" s="154"/>
      <c r="X656" s="154"/>
      <c r="Y656" s="154"/>
      <c r="Z656" s="154"/>
      <c r="AA656" s="154"/>
    </row>
    <row r="657">
      <c r="A657" s="154"/>
      <c r="B657" s="154"/>
      <c r="C657" s="154"/>
      <c r="D657" s="154"/>
      <c r="E657" s="154"/>
      <c r="F657" s="154"/>
      <c r="G657" s="55"/>
      <c r="H657" s="154"/>
      <c r="I657" s="154"/>
      <c r="J657" s="154"/>
      <c r="K657" s="154"/>
      <c r="L657" s="154"/>
      <c r="M657" s="154"/>
      <c r="N657" s="154"/>
      <c r="O657" s="154"/>
      <c r="P657" s="154"/>
      <c r="Q657" s="154"/>
      <c r="R657" s="154"/>
      <c r="S657" s="154"/>
      <c r="T657" s="154"/>
      <c r="U657" s="154"/>
      <c r="V657" s="154"/>
      <c r="W657" s="154"/>
      <c r="X657" s="154"/>
      <c r="Y657" s="154"/>
      <c r="Z657" s="154"/>
      <c r="AA657" s="154"/>
    </row>
    <row r="658">
      <c r="A658" s="154"/>
      <c r="B658" s="154"/>
      <c r="C658" s="154"/>
      <c r="D658" s="154"/>
      <c r="E658" s="154"/>
      <c r="F658" s="154"/>
      <c r="G658" s="55"/>
      <c r="H658" s="154"/>
      <c r="I658" s="154"/>
      <c r="J658" s="154"/>
      <c r="K658" s="154"/>
      <c r="L658" s="154"/>
      <c r="M658" s="154"/>
      <c r="N658" s="154"/>
      <c r="O658" s="154"/>
      <c r="P658" s="154"/>
      <c r="Q658" s="154"/>
      <c r="R658" s="154"/>
      <c r="S658" s="154"/>
      <c r="T658" s="154"/>
      <c r="U658" s="154"/>
      <c r="V658" s="154"/>
      <c r="W658" s="154"/>
      <c r="X658" s="154"/>
      <c r="Y658" s="154"/>
      <c r="Z658" s="154"/>
      <c r="AA658" s="154"/>
    </row>
    <row r="659">
      <c r="A659" s="154"/>
      <c r="B659" s="154"/>
      <c r="C659" s="154"/>
      <c r="D659" s="154"/>
      <c r="E659" s="154"/>
      <c r="F659" s="154"/>
      <c r="G659" s="55"/>
      <c r="H659" s="154"/>
      <c r="I659" s="154"/>
      <c r="J659" s="154"/>
      <c r="K659" s="154"/>
      <c r="L659" s="154"/>
      <c r="M659" s="154"/>
      <c r="N659" s="154"/>
      <c r="O659" s="154"/>
      <c r="P659" s="154"/>
      <c r="Q659" s="154"/>
      <c r="R659" s="154"/>
      <c r="S659" s="154"/>
      <c r="T659" s="154"/>
      <c r="U659" s="154"/>
      <c r="V659" s="154"/>
      <c r="W659" s="154"/>
      <c r="X659" s="154"/>
      <c r="Y659" s="154"/>
      <c r="Z659" s="154"/>
      <c r="AA659" s="154"/>
    </row>
    <row r="660">
      <c r="A660" s="154"/>
      <c r="B660" s="154"/>
      <c r="C660" s="154"/>
      <c r="D660" s="154"/>
      <c r="E660" s="154"/>
      <c r="F660" s="154"/>
      <c r="G660" s="55"/>
      <c r="H660" s="154"/>
      <c r="I660" s="154"/>
      <c r="J660" s="154"/>
      <c r="K660" s="154"/>
      <c r="L660" s="154"/>
      <c r="M660" s="154"/>
      <c r="N660" s="154"/>
      <c r="O660" s="154"/>
      <c r="P660" s="154"/>
      <c r="Q660" s="154"/>
      <c r="R660" s="154"/>
      <c r="S660" s="154"/>
      <c r="T660" s="154"/>
      <c r="U660" s="154"/>
      <c r="V660" s="154"/>
      <c r="W660" s="154"/>
      <c r="X660" s="154"/>
      <c r="Y660" s="154"/>
      <c r="Z660" s="154"/>
      <c r="AA660" s="154"/>
    </row>
    <row r="661">
      <c r="A661" s="154"/>
      <c r="B661" s="154"/>
      <c r="C661" s="154"/>
      <c r="D661" s="154"/>
      <c r="E661" s="154"/>
      <c r="F661" s="154"/>
      <c r="G661" s="55"/>
      <c r="H661" s="154"/>
      <c r="I661" s="154"/>
      <c r="J661" s="154"/>
      <c r="K661" s="154"/>
      <c r="L661" s="154"/>
      <c r="M661" s="154"/>
      <c r="N661" s="154"/>
      <c r="O661" s="154"/>
      <c r="P661" s="154"/>
      <c r="Q661" s="154"/>
      <c r="R661" s="154"/>
      <c r="S661" s="154"/>
      <c r="T661" s="154"/>
      <c r="U661" s="154"/>
      <c r="V661" s="154"/>
      <c r="W661" s="154"/>
      <c r="X661" s="154"/>
      <c r="Y661" s="154"/>
      <c r="Z661" s="154"/>
      <c r="AA661" s="154"/>
    </row>
    <row r="662">
      <c r="A662" s="154"/>
      <c r="B662" s="154"/>
      <c r="C662" s="154"/>
      <c r="D662" s="154"/>
      <c r="E662" s="154"/>
      <c r="F662" s="154"/>
      <c r="G662" s="55"/>
      <c r="H662" s="154"/>
      <c r="I662" s="154"/>
      <c r="J662" s="154"/>
      <c r="K662" s="154"/>
      <c r="L662" s="154"/>
      <c r="M662" s="154"/>
      <c r="N662" s="154"/>
      <c r="O662" s="154"/>
      <c r="P662" s="154"/>
      <c r="Q662" s="154"/>
      <c r="R662" s="154"/>
      <c r="S662" s="154"/>
      <c r="T662" s="154"/>
      <c r="U662" s="154"/>
      <c r="V662" s="154"/>
      <c r="W662" s="154"/>
      <c r="X662" s="154"/>
      <c r="Y662" s="154"/>
      <c r="Z662" s="154"/>
      <c r="AA662" s="154"/>
    </row>
    <row r="663">
      <c r="A663" s="154"/>
      <c r="B663" s="154"/>
      <c r="C663" s="154"/>
      <c r="D663" s="154"/>
      <c r="E663" s="154"/>
      <c r="F663" s="154"/>
      <c r="G663" s="55"/>
      <c r="H663" s="154"/>
      <c r="I663" s="154"/>
      <c r="J663" s="154"/>
      <c r="K663" s="154"/>
      <c r="L663" s="154"/>
      <c r="M663" s="154"/>
      <c r="N663" s="154"/>
      <c r="O663" s="154"/>
      <c r="P663" s="154"/>
      <c r="Q663" s="154"/>
      <c r="R663" s="154"/>
      <c r="S663" s="154"/>
      <c r="T663" s="154"/>
      <c r="U663" s="154"/>
      <c r="V663" s="154"/>
      <c r="W663" s="154"/>
      <c r="X663" s="154"/>
      <c r="Y663" s="154"/>
      <c r="Z663" s="154"/>
      <c r="AA663" s="154"/>
    </row>
    <row r="664">
      <c r="A664" s="154"/>
      <c r="B664" s="154"/>
      <c r="C664" s="154"/>
      <c r="D664" s="154"/>
      <c r="E664" s="154"/>
      <c r="F664" s="154"/>
      <c r="G664" s="55"/>
      <c r="H664" s="154"/>
      <c r="I664" s="154"/>
      <c r="J664" s="154"/>
      <c r="K664" s="154"/>
      <c r="L664" s="154"/>
      <c r="M664" s="154"/>
      <c r="N664" s="154"/>
      <c r="O664" s="154"/>
      <c r="P664" s="154"/>
      <c r="Q664" s="154"/>
      <c r="R664" s="154"/>
      <c r="S664" s="154"/>
      <c r="T664" s="154"/>
      <c r="U664" s="154"/>
      <c r="V664" s="154"/>
      <c r="W664" s="154"/>
      <c r="X664" s="154"/>
      <c r="Y664" s="154"/>
      <c r="Z664" s="154"/>
      <c r="AA664" s="154"/>
    </row>
    <row r="665">
      <c r="A665" s="154"/>
      <c r="B665" s="154"/>
      <c r="C665" s="154"/>
      <c r="D665" s="154"/>
      <c r="E665" s="154"/>
      <c r="F665" s="154"/>
      <c r="G665" s="55"/>
      <c r="H665" s="154"/>
      <c r="I665" s="154"/>
      <c r="J665" s="154"/>
      <c r="K665" s="154"/>
      <c r="L665" s="154"/>
      <c r="M665" s="154"/>
      <c r="N665" s="154"/>
      <c r="O665" s="154"/>
      <c r="P665" s="154"/>
      <c r="Q665" s="154"/>
      <c r="R665" s="154"/>
      <c r="S665" s="154"/>
      <c r="T665" s="154"/>
      <c r="U665" s="154"/>
      <c r="V665" s="154"/>
      <c r="W665" s="154"/>
      <c r="X665" s="154"/>
      <c r="Y665" s="154"/>
      <c r="Z665" s="154"/>
      <c r="AA665" s="154"/>
    </row>
    <row r="666">
      <c r="A666" s="154"/>
      <c r="B666" s="154"/>
      <c r="C666" s="154"/>
      <c r="D666" s="154"/>
      <c r="E666" s="154"/>
      <c r="F666" s="154"/>
      <c r="G666" s="55"/>
      <c r="H666" s="154"/>
      <c r="I666" s="154"/>
      <c r="J666" s="154"/>
      <c r="K666" s="154"/>
      <c r="L666" s="154"/>
      <c r="M666" s="154"/>
      <c r="N666" s="154"/>
      <c r="O666" s="154"/>
      <c r="P666" s="154"/>
      <c r="Q666" s="154"/>
      <c r="R666" s="154"/>
      <c r="S666" s="154"/>
      <c r="T666" s="154"/>
      <c r="U666" s="154"/>
      <c r="V666" s="154"/>
      <c r="W666" s="154"/>
      <c r="X666" s="154"/>
      <c r="Y666" s="154"/>
      <c r="Z666" s="154"/>
      <c r="AA666" s="154"/>
    </row>
    <row r="667">
      <c r="A667" s="154"/>
      <c r="B667" s="154"/>
      <c r="C667" s="154"/>
      <c r="D667" s="154"/>
      <c r="E667" s="154"/>
      <c r="F667" s="154"/>
      <c r="G667" s="55"/>
      <c r="H667" s="154"/>
      <c r="I667" s="154"/>
      <c r="J667" s="154"/>
      <c r="K667" s="154"/>
      <c r="L667" s="154"/>
      <c r="M667" s="154"/>
      <c r="N667" s="154"/>
      <c r="O667" s="154"/>
      <c r="P667" s="154"/>
      <c r="Q667" s="154"/>
      <c r="R667" s="154"/>
      <c r="S667" s="154"/>
      <c r="T667" s="154"/>
      <c r="U667" s="154"/>
      <c r="V667" s="154"/>
      <c r="W667" s="154"/>
      <c r="X667" s="154"/>
      <c r="Y667" s="154"/>
      <c r="Z667" s="154"/>
      <c r="AA667" s="154"/>
    </row>
    <row r="668">
      <c r="A668" s="154"/>
      <c r="B668" s="154"/>
      <c r="C668" s="154"/>
      <c r="D668" s="154"/>
      <c r="E668" s="154"/>
      <c r="F668" s="154"/>
      <c r="G668" s="55"/>
      <c r="H668" s="154"/>
      <c r="I668" s="154"/>
      <c r="J668" s="154"/>
      <c r="K668" s="154"/>
      <c r="L668" s="154"/>
      <c r="M668" s="154"/>
      <c r="N668" s="154"/>
      <c r="O668" s="154"/>
      <c r="P668" s="154"/>
      <c r="Q668" s="154"/>
      <c r="R668" s="154"/>
      <c r="S668" s="154"/>
      <c r="T668" s="154"/>
      <c r="U668" s="154"/>
      <c r="V668" s="154"/>
      <c r="W668" s="154"/>
      <c r="X668" s="154"/>
      <c r="Y668" s="154"/>
      <c r="Z668" s="154"/>
      <c r="AA668" s="154"/>
    </row>
    <row r="669">
      <c r="A669" s="154"/>
      <c r="B669" s="154"/>
      <c r="C669" s="154"/>
      <c r="D669" s="154"/>
      <c r="E669" s="154"/>
      <c r="F669" s="154"/>
      <c r="G669" s="55"/>
      <c r="H669" s="154"/>
      <c r="I669" s="154"/>
      <c r="J669" s="154"/>
      <c r="K669" s="154"/>
      <c r="L669" s="154"/>
      <c r="M669" s="154"/>
      <c r="N669" s="154"/>
      <c r="O669" s="154"/>
      <c r="P669" s="154"/>
      <c r="Q669" s="154"/>
      <c r="R669" s="154"/>
      <c r="S669" s="154"/>
      <c r="T669" s="154"/>
      <c r="U669" s="154"/>
      <c r="V669" s="154"/>
      <c r="W669" s="154"/>
      <c r="X669" s="154"/>
      <c r="Y669" s="154"/>
      <c r="Z669" s="154"/>
      <c r="AA669" s="154"/>
    </row>
    <row r="670">
      <c r="A670" s="154"/>
      <c r="B670" s="154"/>
      <c r="C670" s="154"/>
      <c r="D670" s="154"/>
      <c r="E670" s="154"/>
      <c r="F670" s="154"/>
      <c r="G670" s="55"/>
      <c r="H670" s="154"/>
      <c r="I670" s="154"/>
      <c r="J670" s="154"/>
      <c r="K670" s="154"/>
      <c r="L670" s="154"/>
      <c r="M670" s="154"/>
      <c r="N670" s="154"/>
      <c r="O670" s="154"/>
      <c r="P670" s="154"/>
      <c r="Q670" s="154"/>
      <c r="R670" s="154"/>
      <c r="S670" s="154"/>
      <c r="T670" s="154"/>
      <c r="U670" s="154"/>
      <c r="V670" s="154"/>
      <c r="W670" s="154"/>
      <c r="X670" s="154"/>
      <c r="Y670" s="154"/>
      <c r="Z670" s="154"/>
      <c r="AA670" s="154"/>
    </row>
    <row r="671">
      <c r="A671" s="154"/>
      <c r="B671" s="154"/>
      <c r="C671" s="154"/>
      <c r="D671" s="154"/>
      <c r="E671" s="154"/>
      <c r="F671" s="154"/>
      <c r="G671" s="55"/>
      <c r="H671" s="154"/>
      <c r="I671" s="154"/>
      <c r="J671" s="154"/>
      <c r="K671" s="154"/>
      <c r="L671" s="154"/>
      <c r="M671" s="154"/>
      <c r="N671" s="154"/>
      <c r="O671" s="154"/>
      <c r="P671" s="154"/>
      <c r="Q671" s="154"/>
      <c r="R671" s="154"/>
      <c r="S671" s="154"/>
      <c r="T671" s="154"/>
      <c r="U671" s="154"/>
      <c r="V671" s="154"/>
      <c r="W671" s="154"/>
      <c r="X671" s="154"/>
      <c r="Y671" s="154"/>
      <c r="Z671" s="154"/>
      <c r="AA671" s="154"/>
    </row>
    <row r="672">
      <c r="A672" s="154"/>
      <c r="B672" s="154"/>
      <c r="C672" s="154"/>
      <c r="D672" s="154"/>
      <c r="E672" s="154"/>
      <c r="F672" s="154"/>
      <c r="G672" s="55"/>
      <c r="H672" s="154"/>
      <c r="I672" s="154"/>
      <c r="J672" s="154"/>
      <c r="K672" s="154"/>
      <c r="L672" s="154"/>
      <c r="M672" s="154"/>
      <c r="N672" s="154"/>
      <c r="O672" s="154"/>
      <c r="P672" s="154"/>
      <c r="Q672" s="154"/>
      <c r="R672" s="154"/>
      <c r="S672" s="154"/>
      <c r="T672" s="154"/>
      <c r="U672" s="154"/>
      <c r="V672" s="154"/>
      <c r="W672" s="154"/>
      <c r="X672" s="154"/>
      <c r="Y672" s="154"/>
      <c r="Z672" s="154"/>
      <c r="AA672" s="154"/>
    </row>
    <row r="673">
      <c r="A673" s="154"/>
      <c r="B673" s="154"/>
      <c r="C673" s="154"/>
      <c r="D673" s="154"/>
      <c r="E673" s="154"/>
      <c r="F673" s="154"/>
      <c r="G673" s="55"/>
      <c r="H673" s="154"/>
      <c r="I673" s="154"/>
      <c r="J673" s="154"/>
      <c r="K673" s="154"/>
      <c r="L673" s="154"/>
      <c r="M673" s="154"/>
      <c r="N673" s="154"/>
      <c r="O673" s="154"/>
      <c r="P673" s="154"/>
      <c r="Q673" s="154"/>
      <c r="R673" s="154"/>
      <c r="S673" s="154"/>
      <c r="T673" s="154"/>
      <c r="U673" s="154"/>
      <c r="V673" s="154"/>
      <c r="W673" s="154"/>
      <c r="X673" s="154"/>
      <c r="Y673" s="154"/>
      <c r="Z673" s="154"/>
      <c r="AA673" s="154"/>
    </row>
    <row r="674">
      <c r="A674" s="154"/>
      <c r="B674" s="154"/>
      <c r="C674" s="154"/>
      <c r="D674" s="154"/>
      <c r="E674" s="154"/>
      <c r="F674" s="154"/>
      <c r="G674" s="55"/>
      <c r="H674" s="154"/>
      <c r="I674" s="154"/>
      <c r="J674" s="154"/>
      <c r="K674" s="154"/>
      <c r="L674" s="154"/>
      <c r="M674" s="154"/>
      <c r="N674" s="154"/>
      <c r="O674" s="154"/>
      <c r="P674" s="154"/>
      <c r="Q674" s="154"/>
      <c r="R674" s="154"/>
      <c r="S674" s="154"/>
      <c r="T674" s="154"/>
      <c r="U674" s="154"/>
      <c r="V674" s="154"/>
      <c r="W674" s="154"/>
      <c r="X674" s="154"/>
      <c r="Y674" s="154"/>
      <c r="Z674" s="154"/>
      <c r="AA674" s="154"/>
    </row>
    <row r="675">
      <c r="A675" s="154"/>
      <c r="B675" s="154"/>
      <c r="C675" s="154"/>
      <c r="D675" s="154"/>
      <c r="E675" s="154"/>
      <c r="F675" s="154"/>
      <c r="G675" s="55"/>
      <c r="H675" s="154"/>
      <c r="I675" s="154"/>
      <c r="J675" s="154"/>
      <c r="K675" s="154"/>
      <c r="L675" s="154"/>
      <c r="M675" s="154"/>
      <c r="N675" s="154"/>
      <c r="O675" s="154"/>
      <c r="P675" s="154"/>
      <c r="Q675" s="154"/>
      <c r="R675" s="154"/>
      <c r="S675" s="154"/>
      <c r="T675" s="154"/>
      <c r="U675" s="154"/>
      <c r="V675" s="154"/>
      <c r="W675" s="154"/>
      <c r="X675" s="154"/>
      <c r="Y675" s="154"/>
      <c r="Z675" s="154"/>
      <c r="AA675" s="154"/>
    </row>
    <row r="676">
      <c r="A676" s="154"/>
      <c r="B676" s="154"/>
      <c r="C676" s="154"/>
      <c r="D676" s="154"/>
      <c r="E676" s="154"/>
      <c r="F676" s="154"/>
      <c r="G676" s="55"/>
      <c r="H676" s="154"/>
      <c r="I676" s="154"/>
      <c r="J676" s="154"/>
      <c r="K676" s="154"/>
      <c r="L676" s="154"/>
      <c r="M676" s="154"/>
      <c r="N676" s="154"/>
      <c r="O676" s="154"/>
      <c r="P676" s="154"/>
      <c r="Q676" s="154"/>
      <c r="R676" s="154"/>
      <c r="S676" s="154"/>
      <c r="T676" s="154"/>
      <c r="U676" s="154"/>
      <c r="V676" s="154"/>
      <c r="W676" s="154"/>
      <c r="X676" s="154"/>
      <c r="Y676" s="154"/>
      <c r="Z676" s="154"/>
      <c r="AA676" s="154"/>
    </row>
    <row r="677">
      <c r="A677" s="154"/>
      <c r="B677" s="154"/>
      <c r="C677" s="154"/>
      <c r="D677" s="154"/>
      <c r="E677" s="154"/>
      <c r="F677" s="154"/>
      <c r="G677" s="55"/>
      <c r="H677" s="154"/>
      <c r="I677" s="154"/>
      <c r="J677" s="154"/>
      <c r="K677" s="154"/>
      <c r="L677" s="154"/>
      <c r="M677" s="154"/>
      <c r="N677" s="154"/>
      <c r="O677" s="154"/>
      <c r="P677" s="154"/>
      <c r="Q677" s="154"/>
      <c r="R677" s="154"/>
      <c r="S677" s="154"/>
      <c r="T677" s="154"/>
      <c r="U677" s="154"/>
      <c r="V677" s="154"/>
      <c r="W677" s="154"/>
      <c r="X677" s="154"/>
      <c r="Y677" s="154"/>
      <c r="Z677" s="154"/>
      <c r="AA677" s="154"/>
    </row>
    <row r="678">
      <c r="A678" s="154"/>
      <c r="B678" s="154"/>
      <c r="C678" s="154"/>
      <c r="D678" s="154"/>
      <c r="E678" s="154"/>
      <c r="F678" s="154"/>
      <c r="G678" s="55"/>
      <c r="H678" s="154"/>
      <c r="I678" s="154"/>
      <c r="J678" s="154"/>
      <c r="K678" s="154"/>
      <c r="L678" s="154"/>
      <c r="M678" s="154"/>
      <c r="N678" s="154"/>
      <c r="O678" s="154"/>
      <c r="P678" s="154"/>
      <c r="Q678" s="154"/>
      <c r="R678" s="154"/>
      <c r="S678" s="154"/>
      <c r="T678" s="154"/>
      <c r="U678" s="154"/>
      <c r="V678" s="154"/>
      <c r="W678" s="154"/>
      <c r="X678" s="154"/>
      <c r="Y678" s="154"/>
      <c r="Z678" s="154"/>
      <c r="AA678" s="154"/>
    </row>
    <row r="679">
      <c r="A679" s="154"/>
      <c r="B679" s="154"/>
      <c r="C679" s="154"/>
      <c r="D679" s="154"/>
      <c r="E679" s="154"/>
      <c r="F679" s="154"/>
      <c r="G679" s="55"/>
      <c r="H679" s="154"/>
      <c r="I679" s="154"/>
      <c r="J679" s="154"/>
      <c r="K679" s="154"/>
      <c r="L679" s="154"/>
      <c r="M679" s="154"/>
      <c r="N679" s="154"/>
      <c r="O679" s="154"/>
      <c r="P679" s="154"/>
      <c r="Q679" s="154"/>
      <c r="R679" s="154"/>
      <c r="S679" s="154"/>
      <c r="T679" s="154"/>
      <c r="U679" s="154"/>
      <c r="V679" s="154"/>
      <c r="W679" s="154"/>
      <c r="X679" s="154"/>
      <c r="Y679" s="154"/>
      <c r="Z679" s="154"/>
      <c r="AA679" s="154"/>
    </row>
    <row r="680">
      <c r="A680" s="154"/>
      <c r="B680" s="154"/>
      <c r="C680" s="154"/>
      <c r="D680" s="154"/>
      <c r="E680" s="154"/>
      <c r="F680" s="154"/>
      <c r="G680" s="55"/>
      <c r="H680" s="154"/>
      <c r="I680" s="154"/>
      <c r="J680" s="154"/>
      <c r="K680" s="154"/>
      <c r="L680" s="154"/>
      <c r="M680" s="154"/>
      <c r="N680" s="154"/>
      <c r="O680" s="154"/>
      <c r="P680" s="154"/>
      <c r="Q680" s="154"/>
      <c r="R680" s="154"/>
      <c r="S680" s="154"/>
      <c r="T680" s="154"/>
      <c r="U680" s="154"/>
      <c r="V680" s="154"/>
      <c r="W680" s="154"/>
      <c r="X680" s="154"/>
      <c r="Y680" s="154"/>
      <c r="Z680" s="154"/>
      <c r="AA680" s="154"/>
    </row>
    <row r="681">
      <c r="A681" s="154"/>
      <c r="B681" s="154"/>
      <c r="C681" s="154"/>
      <c r="D681" s="154"/>
      <c r="E681" s="154"/>
      <c r="F681" s="154"/>
      <c r="G681" s="55"/>
      <c r="H681" s="154"/>
      <c r="I681" s="154"/>
      <c r="J681" s="154"/>
      <c r="K681" s="154"/>
      <c r="L681" s="154"/>
      <c r="M681" s="154"/>
      <c r="N681" s="154"/>
      <c r="O681" s="154"/>
      <c r="P681" s="154"/>
      <c r="Q681" s="154"/>
      <c r="R681" s="154"/>
      <c r="S681" s="154"/>
      <c r="T681" s="154"/>
      <c r="U681" s="154"/>
      <c r="V681" s="154"/>
      <c r="W681" s="154"/>
      <c r="X681" s="154"/>
      <c r="Y681" s="154"/>
      <c r="Z681" s="154"/>
      <c r="AA681" s="154"/>
    </row>
    <row r="682">
      <c r="A682" s="154"/>
      <c r="B682" s="154"/>
      <c r="C682" s="154"/>
      <c r="D682" s="154"/>
      <c r="E682" s="154"/>
      <c r="F682" s="154"/>
      <c r="G682" s="55"/>
      <c r="H682" s="154"/>
      <c r="I682" s="154"/>
      <c r="J682" s="154"/>
      <c r="K682" s="154"/>
      <c r="L682" s="154"/>
      <c r="M682" s="154"/>
      <c r="N682" s="154"/>
      <c r="O682" s="154"/>
      <c r="P682" s="154"/>
      <c r="Q682" s="154"/>
      <c r="R682" s="154"/>
      <c r="S682" s="154"/>
      <c r="T682" s="154"/>
      <c r="U682" s="154"/>
      <c r="V682" s="154"/>
      <c r="W682" s="154"/>
      <c r="X682" s="154"/>
      <c r="Y682" s="154"/>
      <c r="Z682" s="154"/>
      <c r="AA682" s="154"/>
    </row>
    <row r="683">
      <c r="A683" s="154"/>
      <c r="B683" s="154"/>
      <c r="C683" s="154"/>
      <c r="D683" s="154"/>
      <c r="E683" s="154"/>
      <c r="F683" s="154"/>
      <c r="G683" s="55"/>
      <c r="H683" s="154"/>
      <c r="I683" s="154"/>
      <c r="J683" s="154"/>
      <c r="K683" s="154"/>
      <c r="L683" s="154"/>
      <c r="M683" s="154"/>
      <c r="N683" s="154"/>
      <c r="O683" s="154"/>
      <c r="P683" s="154"/>
      <c r="Q683" s="154"/>
      <c r="R683" s="154"/>
      <c r="S683" s="154"/>
      <c r="T683" s="154"/>
      <c r="U683" s="154"/>
      <c r="V683" s="154"/>
      <c r="W683" s="154"/>
      <c r="X683" s="154"/>
      <c r="Y683" s="154"/>
      <c r="Z683" s="154"/>
      <c r="AA683" s="154"/>
    </row>
    <row r="684">
      <c r="A684" s="154"/>
      <c r="B684" s="154"/>
      <c r="C684" s="154"/>
      <c r="D684" s="154"/>
      <c r="E684" s="154"/>
      <c r="F684" s="154"/>
      <c r="G684" s="55"/>
      <c r="H684" s="154"/>
      <c r="I684" s="154"/>
      <c r="J684" s="154"/>
      <c r="K684" s="154"/>
      <c r="L684" s="154"/>
      <c r="M684" s="154"/>
      <c r="N684" s="154"/>
      <c r="O684" s="154"/>
      <c r="P684" s="154"/>
      <c r="Q684" s="154"/>
      <c r="R684" s="154"/>
      <c r="S684" s="154"/>
      <c r="T684" s="154"/>
      <c r="U684" s="154"/>
      <c r="V684" s="154"/>
      <c r="W684" s="154"/>
      <c r="X684" s="154"/>
      <c r="Y684" s="154"/>
      <c r="Z684" s="154"/>
      <c r="AA684" s="154"/>
    </row>
    <row r="685">
      <c r="A685" s="154"/>
      <c r="B685" s="154"/>
      <c r="C685" s="154"/>
      <c r="D685" s="154"/>
      <c r="E685" s="154"/>
      <c r="F685" s="154"/>
      <c r="G685" s="55"/>
      <c r="H685" s="154"/>
      <c r="I685" s="154"/>
      <c r="J685" s="154"/>
      <c r="K685" s="154"/>
      <c r="L685" s="154"/>
      <c r="M685" s="154"/>
      <c r="N685" s="154"/>
      <c r="O685" s="154"/>
      <c r="P685" s="154"/>
      <c r="Q685" s="154"/>
      <c r="R685" s="154"/>
      <c r="S685" s="154"/>
      <c r="T685" s="154"/>
      <c r="U685" s="154"/>
      <c r="V685" s="154"/>
      <c r="W685" s="154"/>
      <c r="X685" s="154"/>
      <c r="Y685" s="154"/>
      <c r="Z685" s="154"/>
      <c r="AA685" s="154"/>
    </row>
    <row r="686">
      <c r="A686" s="154"/>
      <c r="B686" s="154"/>
      <c r="C686" s="154"/>
      <c r="D686" s="154"/>
      <c r="E686" s="154"/>
      <c r="F686" s="154"/>
      <c r="G686" s="55"/>
      <c r="H686" s="154"/>
      <c r="I686" s="154"/>
      <c r="J686" s="154"/>
      <c r="K686" s="154"/>
      <c r="L686" s="154"/>
      <c r="M686" s="154"/>
      <c r="N686" s="154"/>
      <c r="O686" s="154"/>
      <c r="P686" s="154"/>
      <c r="Q686" s="154"/>
      <c r="R686" s="154"/>
      <c r="S686" s="154"/>
      <c r="T686" s="154"/>
      <c r="U686" s="154"/>
      <c r="V686" s="154"/>
      <c r="W686" s="154"/>
      <c r="X686" s="154"/>
      <c r="Y686" s="154"/>
      <c r="Z686" s="154"/>
      <c r="AA686" s="154"/>
    </row>
    <row r="687">
      <c r="A687" s="154"/>
      <c r="B687" s="154"/>
      <c r="C687" s="154"/>
      <c r="D687" s="154"/>
      <c r="E687" s="154"/>
      <c r="F687" s="154"/>
      <c r="G687" s="55"/>
      <c r="H687" s="154"/>
      <c r="I687" s="154"/>
      <c r="J687" s="154"/>
      <c r="K687" s="154"/>
      <c r="L687" s="154"/>
      <c r="M687" s="154"/>
      <c r="N687" s="154"/>
      <c r="O687" s="154"/>
      <c r="P687" s="154"/>
      <c r="Q687" s="154"/>
      <c r="R687" s="154"/>
      <c r="S687" s="154"/>
      <c r="T687" s="154"/>
      <c r="U687" s="154"/>
      <c r="V687" s="154"/>
      <c r="W687" s="154"/>
      <c r="X687" s="154"/>
      <c r="Y687" s="154"/>
      <c r="Z687" s="154"/>
      <c r="AA687" s="154"/>
    </row>
    <row r="688">
      <c r="A688" s="154"/>
      <c r="B688" s="154"/>
      <c r="C688" s="154"/>
      <c r="D688" s="154"/>
      <c r="E688" s="154"/>
      <c r="F688" s="154"/>
      <c r="G688" s="55"/>
      <c r="H688" s="154"/>
      <c r="I688" s="154"/>
      <c r="J688" s="154"/>
      <c r="K688" s="154"/>
      <c r="L688" s="154"/>
      <c r="M688" s="154"/>
      <c r="N688" s="154"/>
      <c r="O688" s="154"/>
      <c r="P688" s="154"/>
      <c r="Q688" s="154"/>
      <c r="R688" s="154"/>
      <c r="S688" s="154"/>
      <c r="T688" s="154"/>
      <c r="U688" s="154"/>
      <c r="V688" s="154"/>
      <c r="W688" s="154"/>
      <c r="X688" s="154"/>
      <c r="Y688" s="154"/>
      <c r="Z688" s="154"/>
      <c r="AA688" s="154"/>
    </row>
    <row r="689">
      <c r="A689" s="154"/>
      <c r="B689" s="154"/>
      <c r="C689" s="154"/>
      <c r="D689" s="154"/>
      <c r="E689" s="154"/>
      <c r="F689" s="154"/>
      <c r="G689" s="55"/>
      <c r="H689" s="154"/>
      <c r="I689" s="154"/>
      <c r="J689" s="154"/>
      <c r="K689" s="154"/>
      <c r="L689" s="154"/>
      <c r="M689" s="154"/>
      <c r="N689" s="154"/>
      <c r="O689" s="154"/>
      <c r="P689" s="154"/>
      <c r="Q689" s="154"/>
      <c r="R689" s="154"/>
      <c r="S689" s="154"/>
      <c r="T689" s="154"/>
      <c r="U689" s="154"/>
      <c r="V689" s="154"/>
      <c r="W689" s="154"/>
      <c r="X689" s="154"/>
      <c r="Y689" s="154"/>
      <c r="Z689" s="154"/>
      <c r="AA689" s="154"/>
    </row>
    <row r="690">
      <c r="A690" s="154"/>
      <c r="B690" s="154"/>
      <c r="C690" s="154"/>
      <c r="D690" s="154"/>
      <c r="E690" s="154"/>
      <c r="F690" s="154"/>
      <c r="G690" s="55"/>
      <c r="H690" s="154"/>
      <c r="I690" s="154"/>
      <c r="J690" s="154"/>
      <c r="K690" s="154"/>
      <c r="L690" s="154"/>
      <c r="M690" s="154"/>
      <c r="N690" s="154"/>
      <c r="O690" s="154"/>
      <c r="P690" s="154"/>
      <c r="Q690" s="154"/>
      <c r="R690" s="154"/>
      <c r="S690" s="154"/>
      <c r="T690" s="154"/>
      <c r="U690" s="154"/>
      <c r="V690" s="154"/>
      <c r="W690" s="154"/>
      <c r="X690" s="154"/>
      <c r="Y690" s="154"/>
      <c r="Z690" s="154"/>
      <c r="AA690" s="154"/>
    </row>
    <row r="691">
      <c r="A691" s="154"/>
      <c r="B691" s="154"/>
      <c r="C691" s="154"/>
      <c r="D691" s="154"/>
      <c r="E691" s="154"/>
      <c r="F691" s="154"/>
      <c r="G691" s="55"/>
      <c r="H691" s="154"/>
      <c r="I691" s="154"/>
      <c r="J691" s="154"/>
      <c r="K691" s="154"/>
      <c r="L691" s="154"/>
      <c r="M691" s="154"/>
      <c r="N691" s="154"/>
      <c r="O691" s="154"/>
      <c r="P691" s="154"/>
      <c r="Q691" s="154"/>
      <c r="R691" s="154"/>
      <c r="S691" s="154"/>
      <c r="T691" s="154"/>
      <c r="U691" s="154"/>
      <c r="V691" s="154"/>
      <c r="W691" s="154"/>
      <c r="X691" s="154"/>
      <c r="Y691" s="154"/>
      <c r="Z691" s="154"/>
      <c r="AA691" s="154"/>
    </row>
    <row r="692">
      <c r="A692" s="154"/>
      <c r="B692" s="154"/>
      <c r="C692" s="154"/>
      <c r="D692" s="154"/>
      <c r="E692" s="154"/>
      <c r="F692" s="154"/>
      <c r="G692" s="55"/>
      <c r="H692" s="154"/>
      <c r="I692" s="154"/>
      <c r="J692" s="154"/>
      <c r="K692" s="154"/>
      <c r="L692" s="154"/>
      <c r="M692" s="154"/>
      <c r="N692" s="154"/>
      <c r="O692" s="154"/>
      <c r="P692" s="154"/>
      <c r="Q692" s="154"/>
      <c r="R692" s="154"/>
      <c r="S692" s="154"/>
      <c r="T692" s="154"/>
      <c r="U692" s="154"/>
      <c r="V692" s="154"/>
      <c r="W692" s="154"/>
      <c r="X692" s="154"/>
      <c r="Y692" s="154"/>
      <c r="Z692" s="154"/>
      <c r="AA692" s="154"/>
    </row>
    <row r="693">
      <c r="A693" s="154"/>
      <c r="B693" s="154"/>
      <c r="C693" s="154"/>
      <c r="D693" s="154"/>
      <c r="E693" s="154"/>
      <c r="F693" s="154"/>
      <c r="G693" s="55"/>
      <c r="H693" s="154"/>
      <c r="I693" s="154"/>
      <c r="J693" s="154"/>
      <c r="K693" s="154"/>
      <c r="L693" s="154"/>
      <c r="M693" s="154"/>
      <c r="N693" s="154"/>
      <c r="O693" s="154"/>
      <c r="P693" s="154"/>
      <c r="Q693" s="154"/>
      <c r="R693" s="154"/>
      <c r="S693" s="154"/>
      <c r="T693" s="154"/>
      <c r="U693" s="154"/>
      <c r="V693" s="154"/>
      <c r="W693" s="154"/>
      <c r="X693" s="154"/>
      <c r="Y693" s="154"/>
      <c r="Z693" s="154"/>
      <c r="AA693" s="154"/>
    </row>
    <row r="694">
      <c r="A694" s="154"/>
      <c r="B694" s="154"/>
      <c r="C694" s="154"/>
      <c r="D694" s="154"/>
      <c r="E694" s="154"/>
      <c r="F694" s="154"/>
      <c r="G694" s="55"/>
      <c r="H694" s="154"/>
      <c r="I694" s="154"/>
      <c r="J694" s="154"/>
      <c r="K694" s="154"/>
      <c r="L694" s="154"/>
      <c r="M694" s="154"/>
      <c r="N694" s="154"/>
      <c r="O694" s="154"/>
      <c r="P694" s="154"/>
      <c r="Q694" s="154"/>
      <c r="R694" s="154"/>
      <c r="S694" s="154"/>
      <c r="T694" s="154"/>
      <c r="U694" s="154"/>
      <c r="V694" s="154"/>
      <c r="W694" s="154"/>
      <c r="X694" s="154"/>
      <c r="Y694" s="154"/>
      <c r="Z694" s="154"/>
      <c r="AA694" s="154"/>
    </row>
    <row r="695">
      <c r="A695" s="154"/>
      <c r="B695" s="154"/>
      <c r="C695" s="154"/>
      <c r="D695" s="154"/>
      <c r="E695" s="154"/>
      <c r="F695" s="154"/>
      <c r="G695" s="55"/>
      <c r="H695" s="154"/>
      <c r="I695" s="154"/>
      <c r="J695" s="154"/>
      <c r="K695" s="154"/>
      <c r="L695" s="154"/>
      <c r="M695" s="154"/>
      <c r="N695" s="154"/>
      <c r="O695" s="154"/>
      <c r="P695" s="154"/>
      <c r="Q695" s="154"/>
      <c r="R695" s="154"/>
      <c r="S695" s="154"/>
      <c r="T695" s="154"/>
      <c r="U695" s="154"/>
      <c r="V695" s="154"/>
      <c r="W695" s="154"/>
      <c r="X695" s="154"/>
      <c r="Y695" s="154"/>
      <c r="Z695" s="154"/>
      <c r="AA695" s="154"/>
    </row>
    <row r="696">
      <c r="A696" s="154"/>
      <c r="B696" s="154"/>
      <c r="C696" s="154"/>
      <c r="D696" s="154"/>
      <c r="E696" s="154"/>
      <c r="F696" s="154"/>
      <c r="G696" s="55"/>
      <c r="H696" s="154"/>
      <c r="I696" s="154"/>
      <c r="J696" s="154"/>
      <c r="K696" s="154"/>
      <c r="L696" s="154"/>
      <c r="M696" s="154"/>
      <c r="N696" s="154"/>
      <c r="O696" s="154"/>
      <c r="P696" s="154"/>
      <c r="Q696" s="154"/>
      <c r="R696" s="154"/>
      <c r="S696" s="154"/>
      <c r="T696" s="154"/>
      <c r="U696" s="154"/>
      <c r="V696" s="154"/>
      <c r="W696" s="154"/>
      <c r="X696" s="154"/>
      <c r="Y696" s="154"/>
      <c r="Z696" s="154"/>
      <c r="AA696" s="154"/>
    </row>
    <row r="697">
      <c r="A697" s="154"/>
      <c r="B697" s="154"/>
      <c r="C697" s="154"/>
      <c r="D697" s="154"/>
      <c r="E697" s="154"/>
      <c r="F697" s="154"/>
      <c r="G697" s="55"/>
      <c r="H697" s="154"/>
      <c r="I697" s="154"/>
      <c r="J697" s="154"/>
      <c r="K697" s="154"/>
      <c r="L697" s="154"/>
      <c r="M697" s="154"/>
      <c r="N697" s="154"/>
      <c r="O697" s="154"/>
      <c r="P697" s="154"/>
      <c r="Q697" s="154"/>
      <c r="R697" s="154"/>
      <c r="S697" s="154"/>
      <c r="T697" s="154"/>
      <c r="U697" s="154"/>
      <c r="V697" s="154"/>
      <c r="W697" s="154"/>
      <c r="X697" s="154"/>
      <c r="Y697" s="154"/>
      <c r="Z697" s="154"/>
      <c r="AA697" s="154"/>
    </row>
    <row r="698">
      <c r="A698" s="154"/>
      <c r="B698" s="154"/>
      <c r="C698" s="154"/>
      <c r="D698" s="154"/>
      <c r="E698" s="154"/>
      <c r="F698" s="154"/>
      <c r="G698" s="55"/>
      <c r="H698" s="154"/>
      <c r="I698" s="154"/>
      <c r="J698" s="154"/>
      <c r="K698" s="154"/>
      <c r="L698" s="154"/>
      <c r="M698" s="154"/>
      <c r="N698" s="154"/>
      <c r="O698" s="154"/>
      <c r="P698" s="154"/>
      <c r="Q698" s="154"/>
      <c r="R698" s="154"/>
      <c r="S698" s="154"/>
      <c r="T698" s="154"/>
      <c r="U698" s="154"/>
      <c r="V698" s="154"/>
      <c r="W698" s="154"/>
      <c r="X698" s="154"/>
      <c r="Y698" s="154"/>
      <c r="Z698" s="154"/>
      <c r="AA698" s="154"/>
    </row>
    <row r="699">
      <c r="A699" s="154"/>
      <c r="B699" s="154"/>
      <c r="C699" s="154"/>
      <c r="D699" s="154"/>
      <c r="E699" s="154"/>
      <c r="F699" s="154"/>
      <c r="G699" s="55"/>
      <c r="H699" s="154"/>
      <c r="I699" s="154"/>
      <c r="J699" s="154"/>
      <c r="K699" s="154"/>
      <c r="L699" s="154"/>
      <c r="M699" s="154"/>
      <c r="N699" s="154"/>
      <c r="O699" s="154"/>
      <c r="P699" s="154"/>
      <c r="Q699" s="154"/>
      <c r="R699" s="154"/>
      <c r="S699" s="154"/>
      <c r="T699" s="154"/>
      <c r="U699" s="154"/>
      <c r="V699" s="154"/>
      <c r="W699" s="154"/>
      <c r="X699" s="154"/>
      <c r="Y699" s="154"/>
      <c r="Z699" s="154"/>
      <c r="AA699" s="154"/>
    </row>
    <row r="700">
      <c r="A700" s="154"/>
      <c r="B700" s="154"/>
      <c r="C700" s="154"/>
      <c r="D700" s="154"/>
      <c r="E700" s="154"/>
      <c r="F700" s="154"/>
      <c r="G700" s="55"/>
      <c r="H700" s="154"/>
      <c r="I700" s="154"/>
      <c r="J700" s="154"/>
      <c r="K700" s="154"/>
      <c r="L700" s="154"/>
      <c r="M700" s="154"/>
      <c r="N700" s="154"/>
      <c r="O700" s="154"/>
      <c r="P700" s="154"/>
      <c r="Q700" s="154"/>
      <c r="R700" s="154"/>
      <c r="S700" s="154"/>
      <c r="T700" s="154"/>
      <c r="U700" s="154"/>
      <c r="V700" s="154"/>
      <c r="W700" s="154"/>
      <c r="X700" s="154"/>
      <c r="Y700" s="154"/>
      <c r="Z700" s="154"/>
      <c r="AA700" s="154"/>
    </row>
    <row r="701">
      <c r="A701" s="154"/>
      <c r="B701" s="154"/>
      <c r="C701" s="154"/>
      <c r="D701" s="154"/>
      <c r="E701" s="154"/>
      <c r="F701" s="154"/>
      <c r="G701" s="55"/>
      <c r="H701" s="154"/>
      <c r="I701" s="154"/>
      <c r="J701" s="154"/>
      <c r="K701" s="154"/>
      <c r="L701" s="154"/>
      <c r="M701" s="154"/>
      <c r="N701" s="154"/>
      <c r="O701" s="154"/>
      <c r="P701" s="154"/>
      <c r="Q701" s="154"/>
      <c r="R701" s="154"/>
      <c r="S701" s="154"/>
      <c r="T701" s="154"/>
      <c r="U701" s="154"/>
      <c r="V701" s="154"/>
      <c r="W701" s="154"/>
      <c r="X701" s="154"/>
      <c r="Y701" s="154"/>
      <c r="Z701" s="154"/>
      <c r="AA701" s="154"/>
    </row>
    <row r="702">
      <c r="A702" s="154"/>
      <c r="B702" s="154"/>
      <c r="C702" s="154"/>
      <c r="D702" s="154"/>
      <c r="E702" s="154"/>
      <c r="F702" s="154"/>
      <c r="G702" s="55"/>
      <c r="H702" s="154"/>
      <c r="I702" s="154"/>
      <c r="J702" s="154"/>
      <c r="K702" s="154"/>
      <c r="L702" s="154"/>
      <c r="M702" s="154"/>
      <c r="N702" s="154"/>
      <c r="O702" s="154"/>
      <c r="P702" s="154"/>
      <c r="Q702" s="154"/>
      <c r="R702" s="154"/>
      <c r="S702" s="154"/>
      <c r="T702" s="154"/>
      <c r="U702" s="154"/>
      <c r="V702" s="154"/>
      <c r="W702" s="154"/>
      <c r="X702" s="154"/>
      <c r="Y702" s="154"/>
      <c r="Z702" s="154"/>
      <c r="AA702" s="154"/>
    </row>
    <row r="703">
      <c r="A703" s="154"/>
      <c r="B703" s="154"/>
      <c r="C703" s="154"/>
      <c r="D703" s="154"/>
      <c r="E703" s="154"/>
      <c r="F703" s="154"/>
      <c r="G703" s="55"/>
      <c r="H703" s="154"/>
      <c r="I703" s="154"/>
      <c r="J703" s="154"/>
      <c r="K703" s="154"/>
      <c r="L703" s="154"/>
      <c r="M703" s="154"/>
      <c r="N703" s="154"/>
      <c r="O703" s="154"/>
      <c r="P703" s="154"/>
      <c r="Q703" s="154"/>
      <c r="R703" s="154"/>
      <c r="S703" s="154"/>
      <c r="T703" s="154"/>
      <c r="U703" s="154"/>
      <c r="V703" s="154"/>
      <c r="W703" s="154"/>
      <c r="X703" s="154"/>
      <c r="Y703" s="154"/>
      <c r="Z703" s="154"/>
      <c r="AA703" s="154"/>
    </row>
    <row r="704">
      <c r="A704" s="154"/>
      <c r="B704" s="154"/>
      <c r="C704" s="154"/>
      <c r="D704" s="154"/>
      <c r="E704" s="154"/>
      <c r="F704" s="154"/>
      <c r="G704" s="55"/>
      <c r="H704" s="154"/>
      <c r="I704" s="154"/>
      <c r="J704" s="154"/>
      <c r="K704" s="154"/>
      <c r="L704" s="154"/>
      <c r="M704" s="154"/>
      <c r="N704" s="154"/>
      <c r="O704" s="154"/>
      <c r="P704" s="154"/>
      <c r="Q704" s="154"/>
      <c r="R704" s="154"/>
      <c r="S704" s="154"/>
      <c r="T704" s="154"/>
      <c r="U704" s="154"/>
      <c r="V704" s="154"/>
      <c r="W704" s="154"/>
      <c r="X704" s="154"/>
      <c r="Y704" s="154"/>
      <c r="Z704" s="154"/>
      <c r="AA704" s="154"/>
    </row>
    <row r="705">
      <c r="A705" s="154"/>
      <c r="B705" s="154"/>
      <c r="C705" s="154"/>
      <c r="D705" s="154"/>
      <c r="E705" s="154"/>
      <c r="F705" s="154"/>
      <c r="G705" s="55"/>
      <c r="H705" s="154"/>
      <c r="I705" s="154"/>
      <c r="J705" s="154"/>
      <c r="K705" s="154"/>
      <c r="L705" s="154"/>
      <c r="M705" s="154"/>
      <c r="N705" s="154"/>
      <c r="O705" s="154"/>
      <c r="P705" s="154"/>
      <c r="Q705" s="154"/>
      <c r="R705" s="154"/>
      <c r="S705" s="154"/>
      <c r="T705" s="154"/>
      <c r="U705" s="154"/>
      <c r="V705" s="154"/>
      <c r="W705" s="154"/>
      <c r="X705" s="154"/>
      <c r="Y705" s="154"/>
      <c r="Z705" s="154"/>
      <c r="AA705" s="154"/>
    </row>
    <row r="706">
      <c r="A706" s="154"/>
      <c r="B706" s="154"/>
      <c r="C706" s="154"/>
      <c r="D706" s="154"/>
      <c r="E706" s="154"/>
      <c r="F706" s="154"/>
      <c r="G706" s="55"/>
      <c r="H706" s="154"/>
      <c r="I706" s="154"/>
      <c r="J706" s="154"/>
      <c r="K706" s="154"/>
      <c r="L706" s="154"/>
      <c r="M706" s="154"/>
      <c r="N706" s="154"/>
      <c r="O706" s="154"/>
      <c r="P706" s="154"/>
      <c r="Q706" s="154"/>
      <c r="R706" s="154"/>
      <c r="S706" s="154"/>
      <c r="T706" s="154"/>
      <c r="U706" s="154"/>
      <c r="V706" s="154"/>
      <c r="W706" s="154"/>
      <c r="X706" s="154"/>
      <c r="Y706" s="154"/>
      <c r="Z706" s="154"/>
      <c r="AA706" s="154"/>
    </row>
    <row r="707">
      <c r="A707" s="154"/>
      <c r="B707" s="154"/>
      <c r="C707" s="154"/>
      <c r="D707" s="154"/>
      <c r="E707" s="154"/>
      <c r="F707" s="154"/>
      <c r="G707" s="55"/>
      <c r="H707" s="154"/>
      <c r="I707" s="154"/>
      <c r="J707" s="154"/>
      <c r="K707" s="154"/>
      <c r="L707" s="154"/>
      <c r="M707" s="154"/>
      <c r="N707" s="154"/>
      <c r="O707" s="154"/>
      <c r="P707" s="154"/>
      <c r="Q707" s="154"/>
      <c r="R707" s="154"/>
      <c r="S707" s="154"/>
      <c r="T707" s="154"/>
      <c r="U707" s="154"/>
      <c r="V707" s="154"/>
      <c r="W707" s="154"/>
      <c r="X707" s="154"/>
      <c r="Y707" s="154"/>
      <c r="Z707" s="154"/>
      <c r="AA707" s="154"/>
    </row>
    <row r="708">
      <c r="A708" s="154"/>
      <c r="B708" s="154"/>
      <c r="C708" s="154"/>
      <c r="D708" s="154"/>
      <c r="E708" s="154"/>
      <c r="F708" s="154"/>
      <c r="G708" s="55"/>
      <c r="H708" s="154"/>
      <c r="I708" s="154"/>
      <c r="J708" s="154"/>
      <c r="K708" s="154"/>
      <c r="L708" s="154"/>
      <c r="M708" s="154"/>
      <c r="N708" s="154"/>
      <c r="O708" s="154"/>
      <c r="P708" s="154"/>
      <c r="Q708" s="154"/>
      <c r="R708" s="154"/>
      <c r="S708" s="154"/>
      <c r="T708" s="154"/>
      <c r="U708" s="154"/>
      <c r="V708" s="154"/>
      <c r="W708" s="154"/>
      <c r="X708" s="154"/>
      <c r="Y708" s="154"/>
      <c r="Z708" s="154"/>
      <c r="AA708" s="154"/>
    </row>
    <row r="709">
      <c r="A709" s="154"/>
      <c r="B709" s="154"/>
      <c r="C709" s="154"/>
      <c r="D709" s="154"/>
      <c r="E709" s="154"/>
      <c r="F709" s="154"/>
      <c r="G709" s="55"/>
      <c r="H709" s="154"/>
      <c r="I709" s="154"/>
      <c r="J709" s="154"/>
      <c r="K709" s="154"/>
      <c r="L709" s="154"/>
      <c r="M709" s="154"/>
      <c r="N709" s="154"/>
      <c r="O709" s="154"/>
      <c r="P709" s="154"/>
      <c r="Q709" s="154"/>
      <c r="R709" s="154"/>
      <c r="S709" s="154"/>
      <c r="T709" s="154"/>
      <c r="U709" s="154"/>
      <c r="V709" s="154"/>
      <c r="W709" s="154"/>
      <c r="X709" s="154"/>
      <c r="Y709" s="154"/>
      <c r="Z709" s="154"/>
      <c r="AA709" s="154"/>
    </row>
    <row r="710">
      <c r="A710" s="154"/>
      <c r="B710" s="154"/>
      <c r="C710" s="154"/>
      <c r="D710" s="154"/>
      <c r="E710" s="154"/>
      <c r="F710" s="154"/>
      <c r="G710" s="55"/>
      <c r="H710" s="154"/>
      <c r="I710" s="154"/>
      <c r="J710" s="154"/>
      <c r="K710" s="154"/>
      <c r="L710" s="154"/>
      <c r="M710" s="154"/>
      <c r="N710" s="154"/>
      <c r="O710" s="154"/>
      <c r="P710" s="154"/>
      <c r="Q710" s="154"/>
      <c r="R710" s="154"/>
      <c r="S710" s="154"/>
      <c r="T710" s="154"/>
      <c r="U710" s="154"/>
      <c r="V710" s="154"/>
      <c r="W710" s="154"/>
      <c r="X710" s="154"/>
      <c r="Y710" s="154"/>
      <c r="Z710" s="154"/>
      <c r="AA710" s="154"/>
    </row>
    <row r="711">
      <c r="A711" s="154"/>
      <c r="B711" s="154"/>
      <c r="C711" s="154"/>
      <c r="D711" s="154"/>
      <c r="E711" s="154"/>
      <c r="F711" s="154"/>
      <c r="G711" s="55"/>
      <c r="H711" s="154"/>
      <c r="I711" s="154"/>
      <c r="J711" s="154"/>
      <c r="K711" s="154"/>
      <c r="L711" s="154"/>
      <c r="M711" s="154"/>
      <c r="N711" s="154"/>
      <c r="O711" s="154"/>
      <c r="P711" s="154"/>
      <c r="Q711" s="154"/>
      <c r="R711" s="154"/>
      <c r="S711" s="154"/>
      <c r="T711" s="154"/>
      <c r="U711" s="154"/>
      <c r="V711" s="154"/>
      <c r="W711" s="154"/>
      <c r="X711" s="154"/>
      <c r="Y711" s="154"/>
      <c r="Z711" s="154"/>
      <c r="AA711" s="154"/>
    </row>
    <row r="712">
      <c r="A712" s="154"/>
      <c r="B712" s="154"/>
      <c r="C712" s="154"/>
      <c r="D712" s="154"/>
      <c r="E712" s="154"/>
      <c r="F712" s="154"/>
      <c r="G712" s="55"/>
      <c r="H712" s="154"/>
      <c r="I712" s="154"/>
      <c r="J712" s="154"/>
      <c r="K712" s="154"/>
      <c r="L712" s="154"/>
      <c r="M712" s="154"/>
      <c r="N712" s="154"/>
      <c r="O712" s="154"/>
      <c r="P712" s="154"/>
      <c r="Q712" s="154"/>
      <c r="R712" s="154"/>
      <c r="S712" s="154"/>
      <c r="T712" s="154"/>
      <c r="U712" s="154"/>
      <c r="V712" s="154"/>
      <c r="W712" s="154"/>
      <c r="X712" s="154"/>
      <c r="Y712" s="154"/>
      <c r="Z712" s="154"/>
      <c r="AA712" s="154"/>
    </row>
    <row r="713">
      <c r="A713" s="154"/>
      <c r="B713" s="154"/>
      <c r="C713" s="154"/>
      <c r="D713" s="154"/>
      <c r="E713" s="154"/>
      <c r="F713" s="154"/>
      <c r="G713" s="55"/>
      <c r="H713" s="154"/>
      <c r="I713" s="154"/>
      <c r="J713" s="154"/>
      <c r="K713" s="154"/>
      <c r="L713" s="154"/>
      <c r="M713" s="154"/>
      <c r="N713" s="154"/>
      <c r="O713" s="154"/>
      <c r="P713" s="154"/>
      <c r="Q713" s="154"/>
      <c r="R713" s="154"/>
      <c r="S713" s="154"/>
      <c r="T713" s="154"/>
      <c r="U713" s="154"/>
      <c r="V713" s="154"/>
      <c r="W713" s="154"/>
      <c r="X713" s="154"/>
      <c r="Y713" s="154"/>
      <c r="Z713" s="154"/>
      <c r="AA713" s="154"/>
    </row>
    <row r="714">
      <c r="A714" s="154"/>
      <c r="B714" s="154"/>
      <c r="C714" s="154"/>
      <c r="D714" s="154"/>
      <c r="E714" s="154"/>
      <c r="F714" s="154"/>
      <c r="G714" s="55"/>
      <c r="H714" s="154"/>
      <c r="I714" s="154"/>
      <c r="J714" s="154"/>
      <c r="K714" s="154"/>
      <c r="L714" s="154"/>
      <c r="M714" s="154"/>
      <c r="N714" s="154"/>
      <c r="O714" s="154"/>
      <c r="P714" s="154"/>
      <c r="Q714" s="154"/>
      <c r="R714" s="154"/>
      <c r="S714" s="154"/>
      <c r="T714" s="154"/>
      <c r="U714" s="154"/>
      <c r="V714" s="154"/>
      <c r="W714" s="154"/>
      <c r="X714" s="154"/>
      <c r="Y714" s="154"/>
      <c r="Z714" s="154"/>
      <c r="AA714" s="154"/>
    </row>
    <row r="715">
      <c r="A715" s="154"/>
      <c r="B715" s="154"/>
      <c r="C715" s="154"/>
      <c r="D715" s="154"/>
      <c r="E715" s="154"/>
      <c r="F715" s="154"/>
      <c r="G715" s="55"/>
      <c r="H715" s="154"/>
      <c r="I715" s="154"/>
      <c r="J715" s="154"/>
      <c r="K715" s="154"/>
      <c r="L715" s="154"/>
      <c r="M715" s="154"/>
      <c r="N715" s="154"/>
      <c r="O715" s="154"/>
      <c r="P715" s="154"/>
      <c r="Q715" s="154"/>
      <c r="R715" s="154"/>
      <c r="S715" s="154"/>
      <c r="T715" s="154"/>
      <c r="U715" s="154"/>
      <c r="V715" s="154"/>
      <c r="W715" s="154"/>
      <c r="X715" s="154"/>
      <c r="Y715" s="154"/>
      <c r="Z715" s="154"/>
      <c r="AA715" s="154"/>
    </row>
    <row r="716">
      <c r="A716" s="154"/>
      <c r="B716" s="154"/>
      <c r="C716" s="154"/>
      <c r="D716" s="154"/>
      <c r="E716" s="154"/>
      <c r="F716" s="154"/>
      <c r="G716" s="55"/>
      <c r="H716" s="154"/>
      <c r="I716" s="154"/>
      <c r="J716" s="154"/>
      <c r="K716" s="154"/>
      <c r="L716" s="154"/>
      <c r="M716" s="154"/>
      <c r="N716" s="154"/>
      <c r="O716" s="154"/>
      <c r="P716" s="154"/>
      <c r="Q716" s="154"/>
      <c r="R716" s="154"/>
      <c r="S716" s="154"/>
      <c r="T716" s="154"/>
      <c r="U716" s="154"/>
      <c r="V716" s="154"/>
      <c r="W716" s="154"/>
      <c r="X716" s="154"/>
      <c r="Y716" s="154"/>
      <c r="Z716" s="154"/>
      <c r="AA716" s="154"/>
    </row>
    <row r="717">
      <c r="A717" s="154"/>
      <c r="B717" s="154"/>
      <c r="C717" s="154"/>
      <c r="D717" s="154"/>
      <c r="E717" s="154"/>
      <c r="F717" s="154"/>
      <c r="G717" s="55"/>
      <c r="H717" s="154"/>
      <c r="I717" s="154"/>
      <c r="J717" s="154"/>
      <c r="K717" s="154"/>
      <c r="L717" s="154"/>
      <c r="M717" s="154"/>
      <c r="N717" s="154"/>
      <c r="O717" s="154"/>
      <c r="P717" s="154"/>
      <c r="Q717" s="154"/>
      <c r="R717" s="154"/>
      <c r="S717" s="154"/>
      <c r="T717" s="154"/>
      <c r="U717" s="154"/>
      <c r="V717" s="154"/>
      <c r="W717" s="154"/>
      <c r="X717" s="154"/>
      <c r="Y717" s="154"/>
      <c r="Z717" s="154"/>
      <c r="AA717" s="154"/>
    </row>
    <row r="718">
      <c r="A718" s="154"/>
      <c r="B718" s="154"/>
      <c r="C718" s="154"/>
      <c r="D718" s="154"/>
      <c r="E718" s="154"/>
      <c r="F718" s="154"/>
      <c r="G718" s="55"/>
      <c r="H718" s="154"/>
      <c r="I718" s="154"/>
      <c r="J718" s="154"/>
      <c r="K718" s="154"/>
      <c r="L718" s="154"/>
      <c r="M718" s="154"/>
      <c r="N718" s="154"/>
      <c r="O718" s="154"/>
      <c r="P718" s="154"/>
      <c r="Q718" s="154"/>
      <c r="R718" s="154"/>
      <c r="S718" s="154"/>
      <c r="T718" s="154"/>
      <c r="U718" s="154"/>
      <c r="V718" s="154"/>
      <c r="W718" s="154"/>
      <c r="X718" s="154"/>
      <c r="Y718" s="154"/>
      <c r="Z718" s="154"/>
      <c r="AA718" s="154"/>
    </row>
    <row r="719">
      <c r="A719" s="154"/>
      <c r="B719" s="154"/>
      <c r="C719" s="154"/>
      <c r="D719" s="154"/>
      <c r="E719" s="154"/>
      <c r="F719" s="154"/>
      <c r="G719" s="55"/>
      <c r="H719" s="154"/>
      <c r="I719" s="154"/>
      <c r="J719" s="154"/>
      <c r="K719" s="154"/>
      <c r="L719" s="154"/>
      <c r="M719" s="154"/>
      <c r="N719" s="154"/>
      <c r="O719" s="154"/>
      <c r="P719" s="154"/>
      <c r="Q719" s="154"/>
      <c r="R719" s="154"/>
      <c r="S719" s="154"/>
      <c r="T719" s="154"/>
      <c r="U719" s="154"/>
      <c r="V719" s="154"/>
      <c r="W719" s="154"/>
      <c r="X719" s="154"/>
      <c r="Y719" s="154"/>
      <c r="Z719" s="154"/>
      <c r="AA719" s="154"/>
    </row>
    <row r="720">
      <c r="A720" s="154"/>
      <c r="B720" s="154"/>
      <c r="C720" s="154"/>
      <c r="D720" s="154"/>
      <c r="E720" s="154"/>
      <c r="F720" s="154"/>
      <c r="G720" s="55"/>
      <c r="H720" s="154"/>
      <c r="I720" s="154"/>
      <c r="J720" s="154"/>
      <c r="K720" s="154"/>
      <c r="L720" s="154"/>
      <c r="M720" s="154"/>
      <c r="N720" s="154"/>
      <c r="O720" s="154"/>
      <c r="P720" s="154"/>
      <c r="Q720" s="154"/>
      <c r="R720" s="154"/>
      <c r="S720" s="154"/>
      <c r="T720" s="154"/>
      <c r="U720" s="154"/>
      <c r="V720" s="154"/>
      <c r="W720" s="154"/>
      <c r="X720" s="154"/>
      <c r="Y720" s="154"/>
      <c r="Z720" s="154"/>
      <c r="AA720" s="154"/>
    </row>
    <row r="721">
      <c r="A721" s="154"/>
      <c r="B721" s="154"/>
      <c r="C721" s="154"/>
      <c r="D721" s="154"/>
      <c r="E721" s="154"/>
      <c r="F721" s="154"/>
      <c r="G721" s="55"/>
      <c r="H721" s="154"/>
      <c r="I721" s="154"/>
      <c r="J721" s="154"/>
      <c r="K721" s="154"/>
      <c r="L721" s="154"/>
      <c r="M721" s="154"/>
      <c r="N721" s="154"/>
      <c r="O721" s="154"/>
      <c r="P721" s="154"/>
      <c r="Q721" s="154"/>
      <c r="R721" s="154"/>
      <c r="S721" s="154"/>
      <c r="T721" s="154"/>
      <c r="U721" s="154"/>
      <c r="V721" s="154"/>
      <c r="W721" s="154"/>
      <c r="X721" s="154"/>
      <c r="Y721" s="154"/>
      <c r="Z721" s="154"/>
      <c r="AA721" s="154"/>
    </row>
    <row r="722">
      <c r="A722" s="154"/>
      <c r="B722" s="154"/>
      <c r="C722" s="154"/>
      <c r="D722" s="154"/>
      <c r="E722" s="154"/>
      <c r="F722" s="154"/>
      <c r="G722" s="55"/>
      <c r="H722" s="154"/>
      <c r="I722" s="154"/>
      <c r="J722" s="154"/>
      <c r="K722" s="154"/>
      <c r="L722" s="154"/>
      <c r="M722" s="154"/>
      <c r="N722" s="154"/>
      <c r="O722" s="154"/>
      <c r="P722" s="154"/>
      <c r="Q722" s="154"/>
      <c r="R722" s="154"/>
      <c r="S722" s="154"/>
      <c r="T722" s="154"/>
      <c r="U722" s="154"/>
      <c r="V722" s="154"/>
      <c r="W722" s="154"/>
      <c r="X722" s="154"/>
      <c r="Y722" s="154"/>
      <c r="Z722" s="154"/>
      <c r="AA722" s="154"/>
    </row>
    <row r="723">
      <c r="A723" s="154"/>
      <c r="B723" s="154"/>
      <c r="C723" s="154"/>
      <c r="D723" s="154"/>
      <c r="E723" s="154"/>
      <c r="F723" s="154"/>
      <c r="G723" s="55"/>
      <c r="H723" s="154"/>
      <c r="I723" s="154"/>
      <c r="J723" s="154"/>
      <c r="K723" s="154"/>
      <c r="L723" s="154"/>
      <c r="M723" s="154"/>
      <c r="N723" s="154"/>
      <c r="O723" s="154"/>
      <c r="P723" s="154"/>
      <c r="Q723" s="154"/>
      <c r="R723" s="154"/>
      <c r="S723" s="154"/>
      <c r="T723" s="154"/>
      <c r="U723" s="154"/>
      <c r="V723" s="154"/>
      <c r="W723" s="154"/>
      <c r="X723" s="154"/>
      <c r="Y723" s="154"/>
      <c r="Z723" s="154"/>
      <c r="AA723" s="154"/>
    </row>
    <row r="724">
      <c r="A724" s="154"/>
      <c r="B724" s="154"/>
      <c r="C724" s="154"/>
      <c r="D724" s="154"/>
      <c r="E724" s="154"/>
      <c r="F724" s="154"/>
      <c r="G724" s="55"/>
      <c r="H724" s="154"/>
      <c r="I724" s="154"/>
      <c r="J724" s="154"/>
      <c r="K724" s="154"/>
      <c r="L724" s="154"/>
      <c r="M724" s="154"/>
      <c r="N724" s="154"/>
      <c r="O724" s="154"/>
      <c r="P724" s="154"/>
      <c r="Q724" s="154"/>
      <c r="R724" s="154"/>
      <c r="S724" s="154"/>
      <c r="T724" s="154"/>
      <c r="U724" s="154"/>
      <c r="V724" s="154"/>
      <c r="W724" s="154"/>
      <c r="X724" s="154"/>
      <c r="Y724" s="154"/>
      <c r="Z724" s="154"/>
      <c r="AA724" s="154"/>
    </row>
    <row r="725">
      <c r="A725" s="154"/>
      <c r="B725" s="154"/>
      <c r="C725" s="154"/>
      <c r="D725" s="154"/>
      <c r="E725" s="154"/>
      <c r="F725" s="154"/>
      <c r="G725" s="55"/>
      <c r="H725" s="154"/>
      <c r="I725" s="154"/>
      <c r="J725" s="154"/>
      <c r="K725" s="154"/>
      <c r="L725" s="154"/>
      <c r="M725" s="154"/>
      <c r="N725" s="154"/>
      <c r="O725" s="154"/>
      <c r="P725" s="154"/>
      <c r="Q725" s="154"/>
      <c r="R725" s="154"/>
      <c r="S725" s="154"/>
      <c r="T725" s="154"/>
      <c r="U725" s="154"/>
      <c r="V725" s="154"/>
      <c r="W725" s="154"/>
      <c r="X725" s="154"/>
      <c r="Y725" s="154"/>
      <c r="Z725" s="154"/>
      <c r="AA725" s="154"/>
    </row>
    <row r="726">
      <c r="A726" s="154"/>
      <c r="B726" s="154"/>
      <c r="C726" s="154"/>
      <c r="D726" s="154"/>
      <c r="E726" s="154"/>
      <c r="F726" s="154"/>
      <c r="G726" s="55"/>
      <c r="H726" s="154"/>
      <c r="I726" s="154"/>
      <c r="J726" s="154"/>
      <c r="K726" s="154"/>
      <c r="L726" s="154"/>
      <c r="M726" s="154"/>
      <c r="N726" s="154"/>
      <c r="O726" s="154"/>
      <c r="P726" s="154"/>
      <c r="Q726" s="154"/>
      <c r="R726" s="154"/>
      <c r="S726" s="154"/>
      <c r="T726" s="154"/>
      <c r="U726" s="154"/>
      <c r="V726" s="154"/>
      <c r="W726" s="154"/>
      <c r="X726" s="154"/>
      <c r="Y726" s="154"/>
      <c r="Z726" s="154"/>
      <c r="AA726" s="154"/>
    </row>
    <row r="727">
      <c r="A727" s="154"/>
      <c r="B727" s="154"/>
      <c r="C727" s="154"/>
      <c r="D727" s="154"/>
      <c r="E727" s="154"/>
      <c r="F727" s="154"/>
      <c r="G727" s="55"/>
      <c r="H727" s="154"/>
      <c r="I727" s="154"/>
      <c r="J727" s="154"/>
      <c r="K727" s="154"/>
      <c r="L727" s="154"/>
      <c r="M727" s="154"/>
      <c r="N727" s="154"/>
      <c r="O727" s="154"/>
      <c r="P727" s="154"/>
      <c r="Q727" s="154"/>
      <c r="R727" s="154"/>
      <c r="S727" s="154"/>
      <c r="T727" s="154"/>
      <c r="U727" s="154"/>
      <c r="V727" s="154"/>
      <c r="W727" s="154"/>
      <c r="X727" s="154"/>
      <c r="Y727" s="154"/>
      <c r="Z727" s="154"/>
      <c r="AA727" s="154"/>
    </row>
    <row r="728">
      <c r="A728" s="154"/>
      <c r="B728" s="154"/>
      <c r="C728" s="154"/>
      <c r="D728" s="154"/>
      <c r="E728" s="154"/>
      <c r="F728" s="154"/>
      <c r="G728" s="55"/>
      <c r="H728" s="154"/>
      <c r="I728" s="154"/>
      <c r="J728" s="154"/>
      <c r="K728" s="154"/>
      <c r="L728" s="154"/>
      <c r="M728" s="154"/>
      <c r="N728" s="154"/>
      <c r="O728" s="154"/>
      <c r="P728" s="154"/>
      <c r="Q728" s="154"/>
      <c r="R728" s="154"/>
      <c r="S728" s="154"/>
      <c r="T728" s="154"/>
      <c r="U728" s="154"/>
      <c r="V728" s="154"/>
      <c r="W728" s="154"/>
      <c r="X728" s="154"/>
      <c r="Y728" s="154"/>
      <c r="Z728" s="154"/>
      <c r="AA728" s="154"/>
    </row>
    <row r="729">
      <c r="A729" s="154"/>
      <c r="B729" s="154"/>
      <c r="C729" s="154"/>
      <c r="D729" s="154"/>
      <c r="E729" s="154"/>
      <c r="F729" s="154"/>
      <c r="G729" s="55"/>
      <c r="H729" s="154"/>
      <c r="I729" s="154"/>
      <c r="J729" s="154"/>
      <c r="K729" s="154"/>
      <c r="L729" s="154"/>
      <c r="M729" s="154"/>
      <c r="N729" s="154"/>
      <c r="O729" s="154"/>
      <c r="P729" s="154"/>
      <c r="Q729" s="154"/>
      <c r="R729" s="154"/>
      <c r="S729" s="154"/>
      <c r="T729" s="154"/>
      <c r="U729" s="154"/>
      <c r="V729" s="154"/>
      <c r="W729" s="154"/>
      <c r="X729" s="154"/>
      <c r="Y729" s="154"/>
      <c r="Z729" s="154"/>
      <c r="AA729" s="154"/>
    </row>
    <row r="730">
      <c r="A730" s="154"/>
      <c r="B730" s="154"/>
      <c r="C730" s="154"/>
      <c r="D730" s="154"/>
      <c r="E730" s="154"/>
      <c r="F730" s="154"/>
      <c r="G730" s="55"/>
      <c r="H730" s="154"/>
      <c r="I730" s="154"/>
      <c r="J730" s="154"/>
      <c r="K730" s="154"/>
      <c r="L730" s="154"/>
      <c r="M730" s="154"/>
      <c r="N730" s="154"/>
      <c r="O730" s="154"/>
      <c r="P730" s="154"/>
      <c r="Q730" s="154"/>
      <c r="R730" s="154"/>
      <c r="S730" s="154"/>
      <c r="T730" s="154"/>
      <c r="U730" s="154"/>
      <c r="V730" s="154"/>
      <c r="W730" s="154"/>
      <c r="X730" s="154"/>
      <c r="Y730" s="154"/>
      <c r="Z730" s="154"/>
      <c r="AA730" s="154"/>
    </row>
    <row r="731">
      <c r="A731" s="154"/>
      <c r="B731" s="154"/>
      <c r="C731" s="154"/>
      <c r="D731" s="154"/>
      <c r="E731" s="154"/>
      <c r="F731" s="154"/>
      <c r="G731" s="55"/>
      <c r="H731" s="154"/>
      <c r="I731" s="154"/>
      <c r="J731" s="154"/>
      <c r="K731" s="154"/>
      <c r="L731" s="154"/>
      <c r="M731" s="154"/>
      <c r="N731" s="154"/>
      <c r="O731" s="154"/>
      <c r="P731" s="154"/>
      <c r="Q731" s="154"/>
      <c r="R731" s="154"/>
      <c r="S731" s="154"/>
      <c r="T731" s="154"/>
      <c r="U731" s="154"/>
      <c r="V731" s="154"/>
      <c r="W731" s="154"/>
      <c r="X731" s="154"/>
      <c r="Y731" s="154"/>
      <c r="Z731" s="154"/>
      <c r="AA731" s="154"/>
    </row>
    <row r="732">
      <c r="A732" s="154"/>
      <c r="B732" s="154"/>
      <c r="C732" s="154"/>
      <c r="D732" s="154"/>
      <c r="E732" s="154"/>
      <c r="F732" s="154"/>
      <c r="G732" s="55"/>
      <c r="H732" s="154"/>
      <c r="I732" s="154"/>
      <c r="J732" s="154"/>
      <c r="K732" s="154"/>
      <c r="L732" s="154"/>
      <c r="M732" s="154"/>
      <c r="N732" s="154"/>
      <c r="O732" s="154"/>
      <c r="P732" s="154"/>
      <c r="Q732" s="154"/>
      <c r="R732" s="154"/>
      <c r="S732" s="154"/>
      <c r="T732" s="154"/>
      <c r="U732" s="154"/>
      <c r="V732" s="154"/>
      <c r="W732" s="154"/>
      <c r="X732" s="154"/>
      <c r="Y732" s="154"/>
      <c r="Z732" s="154"/>
      <c r="AA732" s="154"/>
    </row>
    <row r="733">
      <c r="A733" s="154"/>
      <c r="B733" s="154"/>
      <c r="C733" s="154"/>
      <c r="D733" s="154"/>
      <c r="E733" s="154"/>
      <c r="F733" s="154"/>
      <c r="G733" s="55"/>
      <c r="H733" s="154"/>
      <c r="I733" s="154"/>
      <c r="J733" s="154"/>
      <c r="K733" s="154"/>
      <c r="L733" s="154"/>
      <c r="M733" s="154"/>
      <c r="N733" s="154"/>
      <c r="O733" s="154"/>
      <c r="P733" s="154"/>
      <c r="Q733" s="154"/>
      <c r="R733" s="154"/>
      <c r="S733" s="154"/>
      <c r="T733" s="154"/>
      <c r="U733" s="154"/>
      <c r="V733" s="154"/>
      <c r="W733" s="154"/>
      <c r="X733" s="154"/>
      <c r="Y733" s="154"/>
      <c r="Z733" s="154"/>
      <c r="AA733" s="154"/>
    </row>
    <row r="734">
      <c r="A734" s="154"/>
      <c r="B734" s="154"/>
      <c r="C734" s="154"/>
      <c r="D734" s="154"/>
      <c r="E734" s="154"/>
      <c r="F734" s="154"/>
      <c r="G734" s="55"/>
      <c r="H734" s="154"/>
      <c r="I734" s="154"/>
      <c r="J734" s="154"/>
      <c r="K734" s="154"/>
      <c r="L734" s="154"/>
      <c r="M734" s="154"/>
      <c r="N734" s="154"/>
      <c r="O734" s="154"/>
      <c r="P734" s="154"/>
      <c r="Q734" s="154"/>
      <c r="R734" s="154"/>
      <c r="S734" s="154"/>
      <c r="T734" s="154"/>
      <c r="U734" s="154"/>
      <c r="V734" s="154"/>
      <c r="W734" s="154"/>
      <c r="X734" s="154"/>
      <c r="Y734" s="154"/>
      <c r="Z734" s="154"/>
      <c r="AA734" s="154"/>
    </row>
    <row r="735">
      <c r="A735" s="154"/>
      <c r="B735" s="154"/>
      <c r="C735" s="154"/>
      <c r="D735" s="154"/>
      <c r="E735" s="154"/>
      <c r="F735" s="154"/>
      <c r="G735" s="55"/>
      <c r="H735" s="154"/>
      <c r="I735" s="154"/>
      <c r="J735" s="154"/>
      <c r="K735" s="154"/>
      <c r="L735" s="154"/>
      <c r="M735" s="154"/>
      <c r="N735" s="154"/>
      <c r="O735" s="154"/>
      <c r="P735" s="154"/>
      <c r="Q735" s="154"/>
      <c r="R735" s="154"/>
      <c r="S735" s="154"/>
      <c r="T735" s="154"/>
      <c r="U735" s="154"/>
      <c r="V735" s="154"/>
      <c r="W735" s="154"/>
      <c r="X735" s="154"/>
      <c r="Y735" s="154"/>
      <c r="Z735" s="154"/>
      <c r="AA735" s="154"/>
    </row>
    <row r="736">
      <c r="A736" s="154"/>
      <c r="B736" s="154"/>
      <c r="C736" s="154"/>
      <c r="D736" s="154"/>
      <c r="E736" s="154"/>
      <c r="F736" s="154"/>
      <c r="G736" s="55"/>
      <c r="H736" s="154"/>
      <c r="I736" s="154"/>
      <c r="J736" s="154"/>
      <c r="K736" s="154"/>
      <c r="L736" s="154"/>
      <c r="M736" s="154"/>
      <c r="N736" s="154"/>
      <c r="O736" s="154"/>
      <c r="P736" s="154"/>
      <c r="Q736" s="154"/>
      <c r="R736" s="154"/>
      <c r="S736" s="154"/>
      <c r="T736" s="154"/>
      <c r="U736" s="154"/>
      <c r="V736" s="154"/>
      <c r="W736" s="154"/>
      <c r="X736" s="154"/>
      <c r="Y736" s="154"/>
      <c r="Z736" s="154"/>
      <c r="AA736" s="154"/>
    </row>
    <row r="737">
      <c r="A737" s="154"/>
      <c r="B737" s="154"/>
      <c r="C737" s="154"/>
      <c r="D737" s="154"/>
      <c r="E737" s="154"/>
      <c r="F737" s="154"/>
      <c r="G737" s="55"/>
      <c r="H737" s="154"/>
      <c r="I737" s="154"/>
      <c r="J737" s="154"/>
      <c r="K737" s="154"/>
      <c r="L737" s="154"/>
      <c r="M737" s="154"/>
      <c r="N737" s="154"/>
      <c r="O737" s="154"/>
      <c r="P737" s="154"/>
      <c r="Q737" s="154"/>
      <c r="R737" s="154"/>
      <c r="S737" s="154"/>
      <c r="T737" s="154"/>
      <c r="U737" s="154"/>
      <c r="V737" s="154"/>
      <c r="W737" s="154"/>
      <c r="X737" s="154"/>
      <c r="Y737" s="154"/>
      <c r="Z737" s="154"/>
      <c r="AA737" s="154"/>
    </row>
    <row r="738">
      <c r="A738" s="154"/>
      <c r="B738" s="154"/>
      <c r="C738" s="154"/>
      <c r="D738" s="154"/>
      <c r="E738" s="154"/>
      <c r="F738" s="154"/>
      <c r="G738" s="55"/>
      <c r="H738" s="154"/>
      <c r="I738" s="154"/>
      <c r="J738" s="154"/>
      <c r="K738" s="154"/>
      <c r="L738" s="154"/>
      <c r="M738" s="154"/>
      <c r="N738" s="154"/>
      <c r="O738" s="154"/>
      <c r="P738" s="154"/>
      <c r="Q738" s="154"/>
      <c r="R738" s="154"/>
      <c r="S738" s="154"/>
      <c r="T738" s="154"/>
      <c r="U738" s="154"/>
      <c r="V738" s="154"/>
      <c r="W738" s="154"/>
      <c r="X738" s="154"/>
      <c r="Y738" s="154"/>
      <c r="Z738" s="154"/>
      <c r="AA738" s="154"/>
    </row>
    <row r="739">
      <c r="A739" s="154"/>
      <c r="B739" s="154"/>
      <c r="C739" s="154"/>
      <c r="D739" s="154"/>
      <c r="E739" s="154"/>
      <c r="F739" s="154"/>
      <c r="G739" s="55"/>
      <c r="H739" s="154"/>
      <c r="I739" s="154"/>
      <c r="J739" s="154"/>
      <c r="K739" s="154"/>
      <c r="L739" s="154"/>
      <c r="M739" s="154"/>
      <c r="N739" s="154"/>
      <c r="O739" s="154"/>
      <c r="P739" s="154"/>
      <c r="Q739" s="154"/>
      <c r="R739" s="154"/>
      <c r="S739" s="154"/>
      <c r="T739" s="154"/>
      <c r="U739" s="154"/>
      <c r="V739" s="154"/>
      <c r="W739" s="154"/>
      <c r="X739" s="154"/>
      <c r="Y739" s="154"/>
      <c r="Z739" s="154"/>
      <c r="AA739" s="154"/>
    </row>
    <row r="740">
      <c r="A740" s="154"/>
      <c r="B740" s="154"/>
      <c r="C740" s="154"/>
      <c r="D740" s="154"/>
      <c r="E740" s="154"/>
      <c r="F740" s="154"/>
      <c r="G740" s="55"/>
      <c r="H740" s="154"/>
      <c r="I740" s="154"/>
      <c r="J740" s="154"/>
      <c r="K740" s="154"/>
      <c r="L740" s="154"/>
      <c r="M740" s="154"/>
      <c r="N740" s="154"/>
      <c r="O740" s="154"/>
      <c r="P740" s="154"/>
      <c r="Q740" s="154"/>
      <c r="R740" s="154"/>
      <c r="S740" s="154"/>
      <c r="T740" s="154"/>
      <c r="U740" s="154"/>
      <c r="V740" s="154"/>
      <c r="W740" s="154"/>
      <c r="X740" s="154"/>
      <c r="Y740" s="154"/>
      <c r="Z740" s="154"/>
      <c r="AA740" s="154"/>
    </row>
    <row r="741">
      <c r="A741" s="154"/>
      <c r="B741" s="154"/>
      <c r="C741" s="154"/>
      <c r="D741" s="154"/>
      <c r="E741" s="154"/>
      <c r="F741" s="154"/>
      <c r="G741" s="55"/>
      <c r="H741" s="154"/>
      <c r="I741" s="154"/>
      <c r="J741" s="154"/>
      <c r="K741" s="154"/>
      <c r="L741" s="154"/>
      <c r="M741" s="154"/>
      <c r="N741" s="154"/>
      <c r="O741" s="154"/>
      <c r="P741" s="154"/>
      <c r="Q741" s="154"/>
      <c r="R741" s="154"/>
      <c r="S741" s="154"/>
      <c r="T741" s="154"/>
      <c r="U741" s="154"/>
      <c r="V741" s="154"/>
      <c r="W741" s="154"/>
      <c r="X741" s="154"/>
      <c r="Y741" s="154"/>
      <c r="Z741" s="154"/>
      <c r="AA741" s="154"/>
    </row>
    <row r="742">
      <c r="A742" s="154"/>
      <c r="B742" s="154"/>
      <c r="C742" s="154"/>
      <c r="D742" s="154"/>
      <c r="E742" s="154"/>
      <c r="F742" s="154"/>
      <c r="G742" s="55"/>
      <c r="H742" s="154"/>
      <c r="I742" s="154"/>
      <c r="J742" s="154"/>
      <c r="K742" s="154"/>
      <c r="L742" s="154"/>
      <c r="M742" s="154"/>
      <c r="N742" s="154"/>
      <c r="O742" s="154"/>
      <c r="P742" s="154"/>
      <c r="Q742" s="154"/>
      <c r="R742" s="154"/>
      <c r="S742" s="154"/>
      <c r="T742" s="154"/>
      <c r="U742" s="154"/>
      <c r="V742" s="154"/>
      <c r="W742" s="154"/>
      <c r="X742" s="154"/>
      <c r="Y742" s="154"/>
      <c r="Z742" s="154"/>
      <c r="AA742" s="154"/>
    </row>
    <row r="743">
      <c r="A743" s="154"/>
      <c r="B743" s="154"/>
      <c r="C743" s="154"/>
      <c r="D743" s="154"/>
      <c r="E743" s="154"/>
      <c r="F743" s="154"/>
      <c r="G743" s="55"/>
      <c r="H743" s="154"/>
      <c r="I743" s="154"/>
      <c r="J743" s="154"/>
      <c r="K743" s="154"/>
      <c r="L743" s="154"/>
      <c r="M743" s="154"/>
      <c r="N743" s="154"/>
      <c r="O743" s="154"/>
      <c r="P743" s="154"/>
      <c r="Q743" s="154"/>
      <c r="R743" s="154"/>
      <c r="S743" s="154"/>
      <c r="T743" s="154"/>
      <c r="U743" s="154"/>
      <c r="V743" s="154"/>
      <c r="W743" s="154"/>
      <c r="X743" s="154"/>
      <c r="Y743" s="154"/>
      <c r="Z743" s="154"/>
      <c r="AA743" s="154"/>
    </row>
    <row r="744">
      <c r="A744" s="154"/>
      <c r="B744" s="154"/>
      <c r="C744" s="154"/>
      <c r="D744" s="154"/>
      <c r="E744" s="154"/>
      <c r="F744" s="154"/>
      <c r="G744" s="55"/>
      <c r="H744" s="154"/>
      <c r="I744" s="154"/>
      <c r="J744" s="154"/>
      <c r="K744" s="154"/>
      <c r="L744" s="154"/>
      <c r="M744" s="154"/>
      <c r="N744" s="154"/>
      <c r="O744" s="154"/>
      <c r="P744" s="154"/>
      <c r="Q744" s="154"/>
      <c r="R744" s="154"/>
      <c r="S744" s="154"/>
      <c r="T744" s="154"/>
      <c r="U744" s="154"/>
      <c r="V744" s="154"/>
      <c r="W744" s="154"/>
      <c r="X744" s="154"/>
      <c r="Y744" s="154"/>
      <c r="Z744" s="154"/>
      <c r="AA744" s="154"/>
    </row>
    <row r="745">
      <c r="A745" s="154"/>
      <c r="B745" s="154"/>
      <c r="C745" s="154"/>
      <c r="D745" s="154"/>
      <c r="E745" s="154"/>
      <c r="F745" s="154"/>
      <c r="G745" s="55"/>
      <c r="H745" s="154"/>
      <c r="I745" s="154"/>
      <c r="J745" s="154"/>
      <c r="K745" s="154"/>
      <c r="L745" s="154"/>
      <c r="M745" s="154"/>
      <c r="N745" s="154"/>
      <c r="O745" s="154"/>
      <c r="P745" s="154"/>
      <c r="Q745" s="154"/>
      <c r="R745" s="154"/>
      <c r="S745" s="154"/>
      <c r="T745" s="154"/>
      <c r="U745" s="154"/>
      <c r="V745" s="154"/>
      <c r="W745" s="154"/>
      <c r="X745" s="154"/>
      <c r="Y745" s="154"/>
      <c r="Z745" s="154"/>
      <c r="AA745" s="154"/>
    </row>
    <row r="746">
      <c r="A746" s="154"/>
      <c r="B746" s="154"/>
      <c r="C746" s="154"/>
      <c r="D746" s="154"/>
      <c r="E746" s="154"/>
      <c r="F746" s="154"/>
      <c r="G746" s="55"/>
      <c r="H746" s="154"/>
      <c r="I746" s="154"/>
      <c r="J746" s="154"/>
      <c r="K746" s="154"/>
      <c r="L746" s="154"/>
      <c r="M746" s="154"/>
      <c r="N746" s="154"/>
      <c r="O746" s="154"/>
      <c r="P746" s="154"/>
      <c r="Q746" s="154"/>
      <c r="R746" s="154"/>
      <c r="S746" s="154"/>
      <c r="T746" s="154"/>
      <c r="U746" s="154"/>
      <c r="V746" s="154"/>
      <c r="W746" s="154"/>
      <c r="X746" s="154"/>
      <c r="Y746" s="154"/>
      <c r="Z746" s="154"/>
      <c r="AA746" s="154"/>
    </row>
    <row r="747">
      <c r="A747" s="154"/>
      <c r="B747" s="154"/>
      <c r="C747" s="154"/>
      <c r="D747" s="154"/>
      <c r="E747" s="154"/>
      <c r="F747" s="154"/>
      <c r="G747" s="55"/>
      <c r="H747" s="154"/>
      <c r="I747" s="154"/>
      <c r="J747" s="154"/>
      <c r="K747" s="154"/>
      <c r="L747" s="154"/>
      <c r="M747" s="154"/>
      <c r="N747" s="154"/>
      <c r="O747" s="154"/>
      <c r="P747" s="154"/>
      <c r="Q747" s="154"/>
      <c r="R747" s="154"/>
      <c r="S747" s="154"/>
      <c r="T747" s="154"/>
      <c r="U747" s="154"/>
      <c r="V747" s="154"/>
      <c r="W747" s="154"/>
      <c r="X747" s="154"/>
      <c r="Y747" s="154"/>
      <c r="Z747" s="154"/>
      <c r="AA747" s="154"/>
    </row>
    <row r="748">
      <c r="A748" s="154"/>
      <c r="B748" s="154"/>
      <c r="C748" s="154"/>
      <c r="D748" s="154"/>
      <c r="E748" s="154"/>
      <c r="F748" s="154"/>
      <c r="G748" s="55"/>
      <c r="H748" s="154"/>
      <c r="I748" s="154"/>
      <c r="J748" s="154"/>
      <c r="K748" s="154"/>
      <c r="L748" s="154"/>
      <c r="M748" s="154"/>
      <c r="N748" s="154"/>
      <c r="O748" s="154"/>
      <c r="P748" s="154"/>
      <c r="Q748" s="154"/>
      <c r="R748" s="154"/>
      <c r="S748" s="154"/>
      <c r="T748" s="154"/>
      <c r="U748" s="154"/>
      <c r="V748" s="154"/>
      <c r="W748" s="154"/>
      <c r="X748" s="154"/>
      <c r="Y748" s="154"/>
      <c r="Z748" s="154"/>
      <c r="AA748" s="154"/>
    </row>
    <row r="749">
      <c r="A749" s="154"/>
      <c r="B749" s="154"/>
      <c r="C749" s="154"/>
      <c r="D749" s="154"/>
      <c r="E749" s="154"/>
      <c r="F749" s="154"/>
      <c r="G749" s="55"/>
      <c r="H749" s="154"/>
      <c r="I749" s="154"/>
      <c r="J749" s="154"/>
      <c r="K749" s="154"/>
      <c r="L749" s="154"/>
      <c r="M749" s="154"/>
      <c r="N749" s="154"/>
      <c r="O749" s="154"/>
      <c r="P749" s="154"/>
      <c r="Q749" s="154"/>
      <c r="R749" s="154"/>
      <c r="S749" s="154"/>
      <c r="T749" s="154"/>
      <c r="U749" s="154"/>
      <c r="V749" s="154"/>
      <c r="W749" s="154"/>
      <c r="X749" s="154"/>
      <c r="Y749" s="154"/>
      <c r="Z749" s="154"/>
      <c r="AA749" s="154"/>
    </row>
    <row r="750">
      <c r="A750" s="154"/>
      <c r="B750" s="154"/>
      <c r="C750" s="154"/>
      <c r="D750" s="154"/>
      <c r="E750" s="154"/>
      <c r="F750" s="154"/>
      <c r="G750" s="55"/>
      <c r="H750" s="154"/>
      <c r="I750" s="154"/>
      <c r="J750" s="154"/>
      <c r="K750" s="154"/>
      <c r="L750" s="154"/>
      <c r="M750" s="154"/>
      <c r="N750" s="154"/>
      <c r="O750" s="154"/>
      <c r="P750" s="154"/>
      <c r="Q750" s="154"/>
      <c r="R750" s="154"/>
      <c r="S750" s="154"/>
      <c r="T750" s="154"/>
      <c r="U750" s="154"/>
      <c r="V750" s="154"/>
      <c r="W750" s="154"/>
      <c r="X750" s="154"/>
      <c r="Y750" s="154"/>
      <c r="Z750" s="154"/>
      <c r="AA750" s="154"/>
    </row>
    <row r="751">
      <c r="A751" s="154"/>
      <c r="B751" s="154"/>
      <c r="C751" s="154"/>
      <c r="D751" s="154"/>
      <c r="E751" s="154"/>
      <c r="F751" s="154"/>
      <c r="G751" s="55"/>
      <c r="H751" s="154"/>
      <c r="I751" s="154"/>
      <c r="J751" s="154"/>
      <c r="K751" s="154"/>
      <c r="L751" s="154"/>
      <c r="M751" s="154"/>
      <c r="N751" s="154"/>
      <c r="O751" s="154"/>
      <c r="P751" s="154"/>
      <c r="Q751" s="154"/>
      <c r="R751" s="154"/>
      <c r="S751" s="154"/>
      <c r="T751" s="154"/>
      <c r="U751" s="154"/>
      <c r="V751" s="154"/>
      <c r="W751" s="154"/>
      <c r="X751" s="154"/>
      <c r="Y751" s="154"/>
      <c r="Z751" s="154"/>
      <c r="AA751" s="154"/>
    </row>
    <row r="752">
      <c r="A752" s="154"/>
      <c r="B752" s="154"/>
      <c r="C752" s="154"/>
      <c r="D752" s="154"/>
      <c r="E752" s="154"/>
      <c r="F752" s="154"/>
      <c r="G752" s="55"/>
      <c r="H752" s="154"/>
      <c r="I752" s="154"/>
      <c r="J752" s="154"/>
      <c r="K752" s="154"/>
      <c r="L752" s="154"/>
      <c r="M752" s="154"/>
      <c r="N752" s="154"/>
      <c r="O752" s="154"/>
      <c r="P752" s="154"/>
      <c r="Q752" s="154"/>
      <c r="R752" s="154"/>
      <c r="S752" s="154"/>
      <c r="T752" s="154"/>
      <c r="U752" s="154"/>
      <c r="V752" s="154"/>
      <c r="W752" s="154"/>
      <c r="X752" s="154"/>
      <c r="Y752" s="154"/>
      <c r="Z752" s="154"/>
      <c r="AA752" s="154"/>
    </row>
    <row r="753">
      <c r="A753" s="154"/>
      <c r="B753" s="154"/>
      <c r="C753" s="154"/>
      <c r="D753" s="154"/>
      <c r="E753" s="154"/>
      <c r="F753" s="154"/>
      <c r="G753" s="55"/>
      <c r="H753" s="154"/>
      <c r="I753" s="154"/>
      <c r="J753" s="154"/>
      <c r="K753" s="154"/>
      <c r="L753" s="154"/>
      <c r="M753" s="154"/>
      <c r="N753" s="154"/>
      <c r="O753" s="154"/>
      <c r="P753" s="154"/>
      <c r="Q753" s="154"/>
      <c r="R753" s="154"/>
      <c r="S753" s="154"/>
      <c r="T753" s="154"/>
      <c r="U753" s="154"/>
      <c r="V753" s="154"/>
      <c r="W753" s="154"/>
      <c r="X753" s="154"/>
      <c r="Y753" s="154"/>
      <c r="Z753" s="154"/>
      <c r="AA753" s="154"/>
    </row>
    <row r="754">
      <c r="A754" s="154"/>
      <c r="B754" s="154"/>
      <c r="C754" s="154"/>
      <c r="D754" s="154"/>
      <c r="E754" s="154"/>
      <c r="F754" s="154"/>
      <c r="G754" s="55"/>
      <c r="H754" s="154"/>
      <c r="I754" s="154"/>
      <c r="J754" s="154"/>
      <c r="K754" s="154"/>
      <c r="L754" s="154"/>
      <c r="M754" s="154"/>
      <c r="N754" s="154"/>
      <c r="O754" s="154"/>
      <c r="P754" s="154"/>
      <c r="Q754" s="154"/>
      <c r="R754" s="154"/>
      <c r="S754" s="154"/>
      <c r="T754" s="154"/>
      <c r="U754" s="154"/>
      <c r="V754" s="154"/>
      <c r="W754" s="154"/>
      <c r="X754" s="154"/>
      <c r="Y754" s="154"/>
      <c r="Z754" s="154"/>
      <c r="AA754" s="154"/>
    </row>
    <row r="755">
      <c r="A755" s="154"/>
      <c r="B755" s="154"/>
      <c r="C755" s="154"/>
      <c r="D755" s="154"/>
      <c r="E755" s="154"/>
      <c r="F755" s="154"/>
      <c r="G755" s="55"/>
      <c r="H755" s="154"/>
      <c r="I755" s="154"/>
      <c r="J755" s="154"/>
      <c r="K755" s="154"/>
      <c r="L755" s="154"/>
      <c r="M755" s="154"/>
      <c r="N755" s="154"/>
      <c r="O755" s="154"/>
      <c r="P755" s="154"/>
      <c r="Q755" s="154"/>
      <c r="R755" s="154"/>
      <c r="S755" s="154"/>
      <c r="T755" s="154"/>
      <c r="U755" s="154"/>
      <c r="V755" s="154"/>
      <c r="W755" s="154"/>
      <c r="X755" s="154"/>
      <c r="Y755" s="154"/>
      <c r="Z755" s="154"/>
      <c r="AA755" s="154"/>
    </row>
    <row r="756">
      <c r="A756" s="154"/>
      <c r="B756" s="154"/>
      <c r="C756" s="154"/>
      <c r="D756" s="154"/>
      <c r="E756" s="154"/>
      <c r="F756" s="154"/>
      <c r="G756" s="55"/>
      <c r="H756" s="154"/>
      <c r="I756" s="154"/>
      <c r="J756" s="154"/>
      <c r="K756" s="154"/>
      <c r="L756" s="154"/>
      <c r="M756" s="154"/>
      <c r="N756" s="154"/>
      <c r="O756" s="154"/>
      <c r="P756" s="154"/>
      <c r="Q756" s="154"/>
      <c r="R756" s="154"/>
      <c r="S756" s="154"/>
      <c r="T756" s="154"/>
      <c r="U756" s="154"/>
      <c r="V756" s="154"/>
      <c r="W756" s="154"/>
      <c r="X756" s="154"/>
      <c r="Y756" s="154"/>
      <c r="Z756" s="154"/>
      <c r="AA756" s="154"/>
    </row>
    <row r="757">
      <c r="A757" s="154"/>
      <c r="B757" s="154"/>
      <c r="C757" s="154"/>
      <c r="D757" s="154"/>
      <c r="E757" s="154"/>
      <c r="F757" s="154"/>
      <c r="G757" s="55"/>
      <c r="H757" s="154"/>
      <c r="I757" s="154"/>
      <c r="J757" s="154"/>
      <c r="K757" s="154"/>
      <c r="L757" s="154"/>
      <c r="M757" s="154"/>
      <c r="N757" s="154"/>
      <c r="O757" s="154"/>
      <c r="P757" s="154"/>
      <c r="Q757" s="154"/>
      <c r="R757" s="154"/>
      <c r="S757" s="154"/>
      <c r="T757" s="154"/>
      <c r="U757" s="154"/>
      <c r="V757" s="154"/>
      <c r="W757" s="154"/>
      <c r="X757" s="154"/>
      <c r="Y757" s="154"/>
      <c r="Z757" s="154"/>
      <c r="AA757" s="154"/>
    </row>
    <row r="758">
      <c r="A758" s="154"/>
      <c r="B758" s="154"/>
      <c r="C758" s="154"/>
      <c r="D758" s="154"/>
      <c r="E758" s="154"/>
      <c r="F758" s="154"/>
      <c r="G758" s="55"/>
      <c r="H758" s="154"/>
      <c r="I758" s="154"/>
      <c r="J758" s="154"/>
      <c r="K758" s="154"/>
      <c r="L758" s="154"/>
      <c r="M758" s="154"/>
      <c r="N758" s="154"/>
      <c r="O758" s="154"/>
      <c r="P758" s="154"/>
      <c r="Q758" s="154"/>
      <c r="R758" s="154"/>
      <c r="S758" s="154"/>
      <c r="T758" s="154"/>
      <c r="U758" s="154"/>
      <c r="V758" s="154"/>
      <c r="W758" s="154"/>
      <c r="X758" s="154"/>
      <c r="Y758" s="154"/>
      <c r="Z758" s="154"/>
      <c r="AA758" s="154"/>
    </row>
    <row r="759">
      <c r="A759" s="154"/>
      <c r="B759" s="154"/>
      <c r="C759" s="154"/>
      <c r="D759" s="154"/>
      <c r="E759" s="154"/>
      <c r="F759" s="154"/>
      <c r="G759" s="55"/>
      <c r="H759" s="154"/>
      <c r="I759" s="154"/>
      <c r="J759" s="154"/>
      <c r="K759" s="154"/>
      <c r="L759" s="154"/>
      <c r="M759" s="154"/>
      <c r="N759" s="154"/>
      <c r="O759" s="154"/>
      <c r="P759" s="154"/>
      <c r="Q759" s="154"/>
      <c r="R759" s="154"/>
      <c r="S759" s="154"/>
      <c r="T759" s="154"/>
      <c r="U759" s="154"/>
      <c r="V759" s="154"/>
      <c r="W759" s="154"/>
      <c r="X759" s="154"/>
      <c r="Y759" s="154"/>
      <c r="Z759" s="154"/>
      <c r="AA759" s="154"/>
    </row>
    <row r="760">
      <c r="A760" s="154"/>
      <c r="B760" s="154"/>
      <c r="C760" s="154"/>
      <c r="D760" s="154"/>
      <c r="E760" s="154"/>
      <c r="F760" s="154"/>
      <c r="G760" s="55"/>
      <c r="H760" s="154"/>
      <c r="I760" s="154"/>
      <c r="J760" s="154"/>
      <c r="K760" s="154"/>
      <c r="L760" s="154"/>
      <c r="M760" s="154"/>
      <c r="N760" s="154"/>
      <c r="O760" s="154"/>
      <c r="P760" s="154"/>
      <c r="Q760" s="154"/>
      <c r="R760" s="154"/>
      <c r="S760" s="154"/>
      <c r="T760" s="154"/>
      <c r="U760" s="154"/>
      <c r="V760" s="154"/>
      <c r="W760" s="154"/>
      <c r="X760" s="154"/>
      <c r="Y760" s="154"/>
      <c r="Z760" s="154"/>
      <c r="AA760" s="154"/>
    </row>
    <row r="761">
      <c r="A761" s="154"/>
      <c r="B761" s="154"/>
      <c r="C761" s="154"/>
      <c r="D761" s="154"/>
      <c r="E761" s="154"/>
      <c r="F761" s="154"/>
      <c r="G761" s="55"/>
      <c r="H761" s="154"/>
      <c r="I761" s="154"/>
      <c r="J761" s="154"/>
      <c r="K761" s="154"/>
      <c r="L761" s="154"/>
      <c r="M761" s="154"/>
      <c r="N761" s="154"/>
      <c r="O761" s="154"/>
      <c r="P761" s="154"/>
      <c r="Q761" s="154"/>
      <c r="R761" s="154"/>
      <c r="S761" s="154"/>
      <c r="T761" s="154"/>
      <c r="U761" s="154"/>
      <c r="V761" s="154"/>
      <c r="W761" s="154"/>
      <c r="X761" s="154"/>
      <c r="Y761" s="154"/>
      <c r="Z761" s="154"/>
      <c r="AA761" s="154"/>
    </row>
    <row r="762">
      <c r="A762" s="154"/>
      <c r="B762" s="154"/>
      <c r="C762" s="154"/>
      <c r="D762" s="154"/>
      <c r="E762" s="154"/>
      <c r="F762" s="154"/>
      <c r="G762" s="55"/>
      <c r="H762" s="154"/>
      <c r="I762" s="154"/>
      <c r="J762" s="154"/>
      <c r="K762" s="154"/>
      <c r="L762" s="154"/>
      <c r="M762" s="154"/>
      <c r="N762" s="154"/>
      <c r="O762" s="154"/>
      <c r="P762" s="154"/>
      <c r="Q762" s="154"/>
      <c r="R762" s="154"/>
      <c r="S762" s="154"/>
      <c r="T762" s="154"/>
      <c r="U762" s="154"/>
      <c r="V762" s="154"/>
      <c r="W762" s="154"/>
      <c r="X762" s="154"/>
      <c r="Y762" s="154"/>
      <c r="Z762" s="154"/>
      <c r="AA762" s="154"/>
    </row>
    <row r="763">
      <c r="A763" s="154"/>
      <c r="B763" s="154"/>
      <c r="C763" s="154"/>
      <c r="D763" s="154"/>
      <c r="E763" s="154"/>
      <c r="F763" s="154"/>
      <c r="G763" s="55"/>
      <c r="H763" s="154"/>
      <c r="I763" s="154"/>
      <c r="J763" s="154"/>
      <c r="K763" s="154"/>
      <c r="L763" s="154"/>
      <c r="M763" s="154"/>
      <c r="N763" s="154"/>
      <c r="O763" s="154"/>
      <c r="P763" s="154"/>
      <c r="Q763" s="154"/>
      <c r="R763" s="154"/>
      <c r="S763" s="154"/>
      <c r="T763" s="154"/>
      <c r="U763" s="154"/>
      <c r="V763" s="154"/>
      <c r="W763" s="154"/>
      <c r="X763" s="154"/>
      <c r="Y763" s="154"/>
      <c r="Z763" s="154"/>
      <c r="AA763" s="154"/>
    </row>
    <row r="764">
      <c r="A764" s="154"/>
      <c r="B764" s="154"/>
      <c r="C764" s="154"/>
      <c r="D764" s="154"/>
      <c r="E764" s="154"/>
      <c r="F764" s="154"/>
      <c r="G764" s="55"/>
      <c r="H764" s="154"/>
      <c r="I764" s="154"/>
      <c r="J764" s="154"/>
      <c r="K764" s="154"/>
      <c r="L764" s="154"/>
      <c r="M764" s="154"/>
      <c r="N764" s="154"/>
      <c r="O764" s="154"/>
      <c r="P764" s="154"/>
      <c r="Q764" s="154"/>
      <c r="R764" s="154"/>
      <c r="S764" s="154"/>
      <c r="T764" s="154"/>
      <c r="U764" s="154"/>
      <c r="V764" s="154"/>
      <c r="W764" s="154"/>
      <c r="X764" s="154"/>
      <c r="Y764" s="154"/>
      <c r="Z764" s="154"/>
      <c r="AA764" s="154"/>
    </row>
    <row r="765">
      <c r="A765" s="154"/>
      <c r="B765" s="154"/>
      <c r="C765" s="154"/>
      <c r="D765" s="154"/>
      <c r="E765" s="154"/>
      <c r="F765" s="154"/>
      <c r="G765" s="55"/>
      <c r="H765" s="154"/>
      <c r="I765" s="154"/>
      <c r="J765" s="154"/>
      <c r="K765" s="154"/>
      <c r="L765" s="154"/>
      <c r="M765" s="154"/>
      <c r="N765" s="154"/>
      <c r="O765" s="154"/>
      <c r="P765" s="154"/>
      <c r="Q765" s="154"/>
      <c r="R765" s="154"/>
      <c r="S765" s="154"/>
      <c r="T765" s="154"/>
      <c r="U765" s="154"/>
      <c r="V765" s="154"/>
      <c r="W765" s="154"/>
      <c r="X765" s="154"/>
      <c r="Y765" s="154"/>
      <c r="Z765" s="154"/>
      <c r="AA765" s="154"/>
    </row>
    <row r="766">
      <c r="A766" s="154"/>
      <c r="B766" s="154"/>
      <c r="C766" s="154"/>
      <c r="D766" s="154"/>
      <c r="E766" s="154"/>
      <c r="F766" s="154"/>
      <c r="G766" s="55"/>
      <c r="H766" s="154"/>
      <c r="I766" s="154"/>
      <c r="J766" s="154"/>
      <c r="K766" s="154"/>
      <c r="L766" s="154"/>
      <c r="M766" s="154"/>
      <c r="N766" s="154"/>
      <c r="O766" s="154"/>
      <c r="P766" s="154"/>
      <c r="Q766" s="154"/>
      <c r="R766" s="154"/>
      <c r="S766" s="154"/>
      <c r="T766" s="154"/>
      <c r="U766" s="154"/>
      <c r="V766" s="154"/>
      <c r="W766" s="154"/>
      <c r="X766" s="154"/>
      <c r="Y766" s="154"/>
      <c r="Z766" s="154"/>
      <c r="AA766" s="154"/>
    </row>
    <row r="767">
      <c r="A767" s="154"/>
      <c r="B767" s="154"/>
      <c r="C767" s="154"/>
      <c r="D767" s="154"/>
      <c r="E767" s="154"/>
      <c r="F767" s="154"/>
      <c r="G767" s="55"/>
      <c r="H767" s="154"/>
      <c r="I767" s="154"/>
      <c r="J767" s="154"/>
      <c r="K767" s="154"/>
      <c r="L767" s="154"/>
      <c r="M767" s="154"/>
      <c r="N767" s="154"/>
      <c r="O767" s="154"/>
      <c r="P767" s="154"/>
      <c r="Q767" s="154"/>
      <c r="R767" s="154"/>
      <c r="S767" s="154"/>
      <c r="T767" s="154"/>
      <c r="U767" s="154"/>
      <c r="V767" s="154"/>
      <c r="W767" s="154"/>
      <c r="X767" s="154"/>
      <c r="Y767" s="154"/>
      <c r="Z767" s="154"/>
      <c r="AA767" s="154"/>
    </row>
    <row r="768">
      <c r="A768" s="154"/>
      <c r="B768" s="154"/>
      <c r="C768" s="154"/>
      <c r="D768" s="154"/>
      <c r="E768" s="154"/>
      <c r="F768" s="154"/>
      <c r="G768" s="55"/>
      <c r="H768" s="154"/>
      <c r="I768" s="154"/>
      <c r="J768" s="154"/>
      <c r="K768" s="154"/>
      <c r="L768" s="154"/>
      <c r="M768" s="154"/>
      <c r="N768" s="154"/>
      <c r="O768" s="154"/>
      <c r="P768" s="154"/>
      <c r="Q768" s="154"/>
      <c r="R768" s="154"/>
      <c r="S768" s="154"/>
      <c r="T768" s="154"/>
      <c r="U768" s="154"/>
      <c r="V768" s="154"/>
      <c r="W768" s="154"/>
      <c r="X768" s="154"/>
      <c r="Y768" s="154"/>
      <c r="Z768" s="154"/>
      <c r="AA768" s="154"/>
    </row>
    <row r="769">
      <c r="A769" s="154"/>
      <c r="B769" s="154"/>
      <c r="C769" s="154"/>
      <c r="D769" s="154"/>
      <c r="E769" s="154"/>
      <c r="F769" s="154"/>
      <c r="G769" s="55"/>
      <c r="H769" s="154"/>
      <c r="I769" s="154"/>
      <c r="J769" s="154"/>
      <c r="K769" s="154"/>
      <c r="L769" s="154"/>
      <c r="M769" s="154"/>
      <c r="N769" s="154"/>
      <c r="O769" s="154"/>
      <c r="P769" s="154"/>
      <c r="Q769" s="154"/>
      <c r="R769" s="154"/>
      <c r="S769" s="154"/>
      <c r="T769" s="154"/>
      <c r="U769" s="154"/>
      <c r="V769" s="154"/>
      <c r="W769" s="154"/>
      <c r="X769" s="154"/>
      <c r="Y769" s="154"/>
      <c r="Z769" s="154"/>
      <c r="AA769" s="154"/>
    </row>
    <row r="770">
      <c r="A770" s="154"/>
      <c r="B770" s="154"/>
      <c r="C770" s="154"/>
      <c r="D770" s="154"/>
      <c r="E770" s="154"/>
      <c r="F770" s="154"/>
      <c r="G770" s="55"/>
      <c r="H770" s="154"/>
      <c r="I770" s="154"/>
      <c r="J770" s="154"/>
      <c r="K770" s="154"/>
      <c r="L770" s="154"/>
      <c r="M770" s="154"/>
      <c r="N770" s="154"/>
      <c r="O770" s="154"/>
      <c r="P770" s="154"/>
      <c r="Q770" s="154"/>
      <c r="R770" s="154"/>
      <c r="S770" s="154"/>
      <c r="T770" s="154"/>
      <c r="U770" s="154"/>
      <c r="V770" s="154"/>
      <c r="W770" s="154"/>
      <c r="X770" s="154"/>
      <c r="Y770" s="154"/>
      <c r="Z770" s="154"/>
      <c r="AA770" s="154"/>
    </row>
    <row r="771">
      <c r="A771" s="154"/>
      <c r="B771" s="154"/>
      <c r="C771" s="154"/>
      <c r="D771" s="154"/>
      <c r="E771" s="154"/>
      <c r="F771" s="154"/>
      <c r="G771" s="55"/>
      <c r="H771" s="154"/>
      <c r="I771" s="154"/>
      <c r="J771" s="154"/>
      <c r="K771" s="154"/>
      <c r="L771" s="154"/>
      <c r="M771" s="154"/>
      <c r="N771" s="154"/>
      <c r="O771" s="154"/>
      <c r="P771" s="154"/>
      <c r="Q771" s="154"/>
      <c r="R771" s="154"/>
      <c r="S771" s="154"/>
      <c r="T771" s="154"/>
      <c r="U771" s="154"/>
      <c r="V771" s="154"/>
      <c r="W771" s="154"/>
      <c r="X771" s="154"/>
      <c r="Y771" s="154"/>
      <c r="Z771" s="154"/>
      <c r="AA771" s="154"/>
    </row>
    <row r="772">
      <c r="A772" s="154"/>
      <c r="B772" s="154"/>
      <c r="C772" s="154"/>
      <c r="D772" s="154"/>
      <c r="E772" s="154"/>
      <c r="F772" s="154"/>
      <c r="G772" s="55"/>
      <c r="H772" s="154"/>
      <c r="I772" s="154"/>
      <c r="J772" s="154"/>
      <c r="K772" s="154"/>
      <c r="L772" s="154"/>
      <c r="M772" s="154"/>
      <c r="N772" s="154"/>
      <c r="O772" s="154"/>
      <c r="P772" s="154"/>
      <c r="Q772" s="154"/>
      <c r="R772" s="154"/>
      <c r="S772" s="154"/>
      <c r="T772" s="154"/>
      <c r="U772" s="154"/>
      <c r="V772" s="154"/>
      <c r="W772" s="154"/>
      <c r="X772" s="154"/>
      <c r="Y772" s="154"/>
      <c r="Z772" s="154"/>
      <c r="AA772" s="154"/>
    </row>
    <row r="773">
      <c r="A773" s="154"/>
      <c r="B773" s="154"/>
      <c r="C773" s="154"/>
      <c r="D773" s="154"/>
      <c r="E773" s="154"/>
      <c r="F773" s="154"/>
      <c r="G773" s="55"/>
      <c r="H773" s="154"/>
      <c r="I773" s="154"/>
      <c r="J773" s="154"/>
      <c r="K773" s="154"/>
      <c r="L773" s="154"/>
      <c r="M773" s="154"/>
      <c r="N773" s="154"/>
      <c r="O773" s="154"/>
      <c r="P773" s="154"/>
      <c r="Q773" s="154"/>
      <c r="R773" s="154"/>
      <c r="S773" s="154"/>
      <c r="T773" s="154"/>
      <c r="U773" s="154"/>
      <c r="V773" s="154"/>
      <c r="W773" s="154"/>
      <c r="X773" s="154"/>
      <c r="Y773" s="154"/>
      <c r="Z773" s="154"/>
      <c r="AA773" s="154"/>
    </row>
    <row r="774">
      <c r="A774" s="154"/>
      <c r="B774" s="154"/>
      <c r="C774" s="154"/>
      <c r="D774" s="154"/>
      <c r="E774" s="154"/>
      <c r="F774" s="154"/>
      <c r="G774" s="55"/>
      <c r="H774" s="154"/>
      <c r="I774" s="154"/>
      <c r="J774" s="154"/>
      <c r="K774" s="154"/>
      <c r="L774" s="154"/>
      <c r="M774" s="154"/>
      <c r="N774" s="154"/>
      <c r="O774" s="154"/>
      <c r="P774" s="154"/>
      <c r="Q774" s="154"/>
      <c r="R774" s="154"/>
      <c r="S774" s="154"/>
      <c r="T774" s="154"/>
      <c r="U774" s="154"/>
      <c r="V774" s="154"/>
      <c r="W774" s="154"/>
      <c r="X774" s="154"/>
      <c r="Y774" s="154"/>
      <c r="Z774" s="154"/>
      <c r="AA774" s="154"/>
    </row>
    <row r="775">
      <c r="A775" s="154"/>
      <c r="B775" s="154"/>
      <c r="C775" s="154"/>
      <c r="D775" s="154"/>
      <c r="E775" s="154"/>
      <c r="F775" s="154"/>
      <c r="G775" s="55"/>
      <c r="H775" s="154"/>
      <c r="I775" s="154"/>
      <c r="J775" s="154"/>
      <c r="K775" s="154"/>
      <c r="L775" s="154"/>
      <c r="M775" s="154"/>
      <c r="N775" s="154"/>
      <c r="O775" s="154"/>
      <c r="P775" s="154"/>
      <c r="Q775" s="154"/>
      <c r="R775" s="154"/>
      <c r="S775" s="154"/>
      <c r="T775" s="154"/>
      <c r="U775" s="154"/>
      <c r="V775" s="154"/>
      <c r="W775" s="154"/>
      <c r="X775" s="154"/>
      <c r="Y775" s="154"/>
      <c r="Z775" s="154"/>
      <c r="AA775" s="154"/>
    </row>
    <row r="776">
      <c r="A776" s="154"/>
      <c r="B776" s="154"/>
      <c r="C776" s="154"/>
      <c r="D776" s="154"/>
      <c r="E776" s="154"/>
      <c r="F776" s="154"/>
      <c r="G776" s="55"/>
      <c r="H776" s="154"/>
      <c r="I776" s="154"/>
      <c r="J776" s="154"/>
      <c r="K776" s="154"/>
      <c r="L776" s="154"/>
      <c r="M776" s="154"/>
      <c r="N776" s="154"/>
      <c r="O776" s="154"/>
      <c r="P776" s="154"/>
      <c r="Q776" s="154"/>
      <c r="R776" s="154"/>
      <c r="S776" s="154"/>
      <c r="T776" s="154"/>
      <c r="U776" s="154"/>
      <c r="V776" s="154"/>
      <c r="W776" s="154"/>
      <c r="X776" s="154"/>
      <c r="Y776" s="154"/>
      <c r="Z776" s="154"/>
      <c r="AA776" s="154"/>
    </row>
    <row r="777">
      <c r="A777" s="154"/>
      <c r="B777" s="154"/>
      <c r="C777" s="154"/>
      <c r="D777" s="154"/>
      <c r="E777" s="154"/>
      <c r="F777" s="154"/>
      <c r="G777" s="55"/>
      <c r="H777" s="154"/>
      <c r="I777" s="154"/>
      <c r="J777" s="154"/>
      <c r="K777" s="154"/>
      <c r="L777" s="154"/>
      <c r="M777" s="154"/>
      <c r="N777" s="154"/>
      <c r="O777" s="154"/>
      <c r="P777" s="154"/>
      <c r="Q777" s="154"/>
      <c r="R777" s="154"/>
      <c r="S777" s="154"/>
      <c r="T777" s="154"/>
      <c r="U777" s="154"/>
      <c r="V777" s="154"/>
      <c r="W777" s="154"/>
      <c r="X777" s="154"/>
      <c r="Y777" s="154"/>
      <c r="Z777" s="154"/>
      <c r="AA777" s="154"/>
    </row>
    <row r="778">
      <c r="A778" s="154"/>
      <c r="B778" s="154"/>
      <c r="C778" s="154"/>
      <c r="D778" s="154"/>
      <c r="E778" s="154"/>
      <c r="F778" s="154"/>
      <c r="G778" s="55"/>
      <c r="H778" s="154"/>
      <c r="I778" s="154"/>
      <c r="J778" s="154"/>
      <c r="K778" s="154"/>
      <c r="L778" s="154"/>
      <c r="M778" s="154"/>
      <c r="N778" s="154"/>
      <c r="O778" s="154"/>
      <c r="P778" s="154"/>
      <c r="Q778" s="154"/>
      <c r="R778" s="154"/>
      <c r="S778" s="154"/>
      <c r="T778" s="154"/>
      <c r="U778" s="154"/>
      <c r="V778" s="154"/>
      <c r="W778" s="154"/>
      <c r="X778" s="154"/>
      <c r="Y778" s="154"/>
      <c r="Z778" s="154"/>
      <c r="AA778" s="154"/>
    </row>
    <row r="779">
      <c r="A779" s="154"/>
      <c r="B779" s="154"/>
      <c r="C779" s="154"/>
      <c r="D779" s="154"/>
      <c r="E779" s="154"/>
      <c r="F779" s="154"/>
      <c r="G779" s="55"/>
      <c r="H779" s="154"/>
      <c r="I779" s="154"/>
      <c r="J779" s="154"/>
      <c r="K779" s="154"/>
      <c r="L779" s="154"/>
      <c r="M779" s="154"/>
      <c r="N779" s="154"/>
      <c r="O779" s="154"/>
      <c r="P779" s="154"/>
      <c r="Q779" s="154"/>
      <c r="R779" s="154"/>
      <c r="S779" s="154"/>
      <c r="T779" s="154"/>
      <c r="U779" s="154"/>
      <c r="V779" s="154"/>
      <c r="W779" s="154"/>
      <c r="X779" s="154"/>
      <c r="Y779" s="154"/>
      <c r="Z779" s="154"/>
      <c r="AA779" s="154"/>
    </row>
    <row r="780">
      <c r="A780" s="154"/>
      <c r="B780" s="154"/>
      <c r="C780" s="154"/>
      <c r="D780" s="154"/>
      <c r="E780" s="154"/>
      <c r="F780" s="154"/>
      <c r="G780" s="55"/>
      <c r="H780" s="154"/>
      <c r="I780" s="154"/>
      <c r="J780" s="154"/>
      <c r="K780" s="154"/>
      <c r="L780" s="154"/>
      <c r="M780" s="154"/>
      <c r="N780" s="154"/>
      <c r="O780" s="154"/>
      <c r="P780" s="154"/>
      <c r="Q780" s="154"/>
      <c r="R780" s="154"/>
      <c r="S780" s="154"/>
      <c r="T780" s="154"/>
      <c r="U780" s="154"/>
      <c r="V780" s="154"/>
      <c r="W780" s="154"/>
      <c r="X780" s="154"/>
      <c r="Y780" s="154"/>
      <c r="Z780" s="154"/>
      <c r="AA780" s="154"/>
    </row>
    <row r="781">
      <c r="A781" s="154"/>
      <c r="B781" s="154"/>
      <c r="C781" s="154"/>
      <c r="D781" s="154"/>
      <c r="E781" s="154"/>
      <c r="F781" s="154"/>
      <c r="G781" s="55"/>
      <c r="H781" s="154"/>
      <c r="I781" s="154"/>
      <c r="J781" s="154"/>
      <c r="K781" s="154"/>
      <c r="L781" s="154"/>
      <c r="M781" s="154"/>
      <c r="N781" s="154"/>
      <c r="O781" s="154"/>
      <c r="P781" s="154"/>
      <c r="Q781" s="154"/>
      <c r="R781" s="154"/>
      <c r="S781" s="154"/>
      <c r="T781" s="154"/>
      <c r="U781" s="154"/>
      <c r="V781" s="154"/>
      <c r="W781" s="154"/>
      <c r="X781" s="154"/>
      <c r="Y781" s="154"/>
      <c r="Z781" s="154"/>
      <c r="AA781" s="154"/>
    </row>
    <row r="782">
      <c r="A782" s="154"/>
      <c r="B782" s="154"/>
      <c r="C782" s="154"/>
      <c r="D782" s="154"/>
      <c r="E782" s="154"/>
      <c r="F782" s="154"/>
      <c r="G782" s="55"/>
      <c r="H782" s="154"/>
      <c r="I782" s="154"/>
      <c r="J782" s="154"/>
      <c r="K782" s="154"/>
      <c r="L782" s="154"/>
      <c r="M782" s="154"/>
      <c r="N782" s="154"/>
      <c r="O782" s="154"/>
      <c r="P782" s="154"/>
      <c r="Q782" s="154"/>
      <c r="R782" s="154"/>
      <c r="S782" s="154"/>
      <c r="T782" s="154"/>
      <c r="U782" s="154"/>
      <c r="V782" s="154"/>
      <c r="W782" s="154"/>
      <c r="X782" s="154"/>
      <c r="Y782" s="154"/>
      <c r="Z782" s="154"/>
      <c r="AA782" s="154"/>
    </row>
    <row r="783">
      <c r="A783" s="154"/>
      <c r="B783" s="154"/>
      <c r="C783" s="154"/>
      <c r="D783" s="154"/>
      <c r="E783" s="154"/>
      <c r="F783" s="154"/>
      <c r="G783" s="55"/>
      <c r="H783" s="154"/>
      <c r="I783" s="154"/>
      <c r="J783" s="154"/>
      <c r="K783" s="154"/>
      <c r="L783" s="154"/>
      <c r="M783" s="154"/>
      <c r="N783" s="154"/>
      <c r="O783" s="154"/>
      <c r="P783" s="154"/>
      <c r="Q783" s="154"/>
      <c r="R783" s="154"/>
      <c r="S783" s="154"/>
      <c r="T783" s="154"/>
      <c r="U783" s="154"/>
      <c r="V783" s="154"/>
      <c r="W783" s="154"/>
      <c r="X783" s="154"/>
      <c r="Y783" s="154"/>
      <c r="Z783" s="154"/>
      <c r="AA783" s="154"/>
    </row>
    <row r="784">
      <c r="A784" s="154"/>
      <c r="B784" s="154"/>
      <c r="C784" s="154"/>
      <c r="D784" s="154"/>
      <c r="E784" s="154"/>
      <c r="F784" s="154"/>
      <c r="G784" s="55"/>
      <c r="H784" s="154"/>
      <c r="I784" s="154"/>
      <c r="J784" s="154"/>
      <c r="K784" s="154"/>
      <c r="L784" s="154"/>
      <c r="M784" s="154"/>
      <c r="N784" s="154"/>
      <c r="O784" s="154"/>
      <c r="P784" s="154"/>
      <c r="Q784" s="154"/>
      <c r="R784" s="154"/>
      <c r="S784" s="154"/>
      <c r="T784" s="154"/>
      <c r="U784" s="154"/>
      <c r="V784" s="154"/>
      <c r="W784" s="154"/>
      <c r="X784" s="154"/>
      <c r="Y784" s="154"/>
      <c r="Z784" s="154"/>
      <c r="AA784" s="154"/>
    </row>
    <row r="785">
      <c r="A785" s="154"/>
      <c r="B785" s="154"/>
      <c r="C785" s="154"/>
      <c r="D785" s="154"/>
      <c r="E785" s="154"/>
      <c r="F785" s="154"/>
      <c r="G785" s="55"/>
      <c r="H785" s="154"/>
      <c r="I785" s="154"/>
      <c r="J785" s="154"/>
      <c r="K785" s="154"/>
      <c r="L785" s="154"/>
      <c r="M785" s="154"/>
      <c r="N785" s="154"/>
      <c r="O785" s="154"/>
      <c r="P785" s="154"/>
      <c r="Q785" s="154"/>
      <c r="R785" s="154"/>
      <c r="S785" s="154"/>
      <c r="T785" s="154"/>
      <c r="U785" s="154"/>
      <c r="V785" s="154"/>
      <c r="W785" s="154"/>
      <c r="X785" s="154"/>
      <c r="Y785" s="154"/>
      <c r="Z785" s="154"/>
      <c r="AA785" s="154"/>
    </row>
    <row r="786">
      <c r="A786" s="154"/>
      <c r="B786" s="154"/>
      <c r="C786" s="154"/>
      <c r="D786" s="154"/>
      <c r="E786" s="154"/>
      <c r="F786" s="154"/>
      <c r="G786" s="55"/>
      <c r="H786" s="154"/>
      <c r="I786" s="154"/>
      <c r="J786" s="154"/>
      <c r="K786" s="154"/>
      <c r="L786" s="154"/>
      <c r="M786" s="154"/>
      <c r="N786" s="154"/>
      <c r="O786" s="154"/>
      <c r="P786" s="154"/>
      <c r="Q786" s="154"/>
      <c r="R786" s="154"/>
      <c r="S786" s="154"/>
      <c r="T786" s="154"/>
      <c r="U786" s="154"/>
      <c r="V786" s="154"/>
      <c r="W786" s="154"/>
      <c r="X786" s="154"/>
      <c r="Y786" s="154"/>
      <c r="Z786" s="154"/>
      <c r="AA786" s="154"/>
    </row>
    <row r="787">
      <c r="A787" s="154"/>
      <c r="B787" s="154"/>
      <c r="C787" s="154"/>
      <c r="D787" s="154"/>
      <c r="E787" s="154"/>
      <c r="F787" s="154"/>
      <c r="G787" s="55"/>
      <c r="H787" s="154"/>
      <c r="I787" s="154"/>
      <c r="J787" s="154"/>
      <c r="K787" s="154"/>
      <c r="L787" s="154"/>
      <c r="M787" s="154"/>
      <c r="N787" s="154"/>
      <c r="O787" s="154"/>
      <c r="P787" s="154"/>
      <c r="Q787" s="154"/>
      <c r="R787" s="154"/>
      <c r="S787" s="154"/>
      <c r="T787" s="154"/>
      <c r="U787" s="154"/>
      <c r="V787" s="154"/>
      <c r="W787" s="154"/>
      <c r="X787" s="154"/>
      <c r="Y787" s="154"/>
      <c r="Z787" s="154"/>
      <c r="AA787" s="154"/>
    </row>
    <row r="788">
      <c r="A788" s="154"/>
      <c r="B788" s="154"/>
      <c r="C788" s="154"/>
      <c r="D788" s="154"/>
      <c r="E788" s="154"/>
      <c r="F788" s="154"/>
      <c r="G788" s="55"/>
      <c r="H788" s="154"/>
      <c r="I788" s="154"/>
      <c r="J788" s="154"/>
      <c r="K788" s="154"/>
      <c r="L788" s="154"/>
      <c r="M788" s="154"/>
      <c r="N788" s="154"/>
      <c r="O788" s="154"/>
      <c r="P788" s="154"/>
      <c r="Q788" s="154"/>
      <c r="R788" s="154"/>
      <c r="S788" s="154"/>
      <c r="T788" s="154"/>
      <c r="U788" s="154"/>
      <c r="V788" s="154"/>
      <c r="W788" s="154"/>
      <c r="X788" s="154"/>
      <c r="Y788" s="154"/>
      <c r="Z788" s="154"/>
      <c r="AA788" s="154"/>
    </row>
    <row r="789">
      <c r="A789" s="154"/>
      <c r="B789" s="154"/>
      <c r="C789" s="154"/>
      <c r="D789" s="154"/>
      <c r="E789" s="154"/>
      <c r="F789" s="154"/>
      <c r="G789" s="55"/>
      <c r="H789" s="154"/>
      <c r="I789" s="154"/>
      <c r="J789" s="154"/>
      <c r="K789" s="154"/>
      <c r="L789" s="154"/>
      <c r="M789" s="154"/>
      <c r="N789" s="154"/>
      <c r="O789" s="154"/>
      <c r="P789" s="154"/>
      <c r="Q789" s="154"/>
      <c r="R789" s="154"/>
      <c r="S789" s="154"/>
      <c r="T789" s="154"/>
      <c r="U789" s="154"/>
      <c r="V789" s="154"/>
      <c r="W789" s="154"/>
      <c r="X789" s="154"/>
      <c r="Y789" s="154"/>
      <c r="Z789" s="154"/>
      <c r="AA789" s="154"/>
    </row>
    <row r="790">
      <c r="A790" s="154"/>
      <c r="B790" s="154"/>
      <c r="C790" s="154"/>
      <c r="D790" s="154"/>
      <c r="E790" s="154"/>
      <c r="F790" s="154"/>
      <c r="G790" s="55"/>
      <c r="H790" s="154"/>
      <c r="I790" s="154"/>
      <c r="J790" s="154"/>
      <c r="K790" s="154"/>
      <c r="L790" s="154"/>
      <c r="M790" s="154"/>
      <c r="N790" s="154"/>
      <c r="O790" s="154"/>
      <c r="P790" s="154"/>
      <c r="Q790" s="154"/>
      <c r="R790" s="154"/>
      <c r="S790" s="154"/>
      <c r="T790" s="154"/>
      <c r="U790" s="154"/>
      <c r="V790" s="154"/>
      <c r="W790" s="154"/>
      <c r="X790" s="154"/>
      <c r="Y790" s="154"/>
      <c r="Z790" s="154"/>
      <c r="AA790" s="154"/>
    </row>
    <row r="791">
      <c r="A791" s="154"/>
      <c r="B791" s="154"/>
      <c r="C791" s="154"/>
      <c r="D791" s="154"/>
      <c r="E791" s="154"/>
      <c r="F791" s="154"/>
      <c r="G791" s="55"/>
      <c r="H791" s="154"/>
      <c r="I791" s="154"/>
      <c r="J791" s="154"/>
      <c r="K791" s="154"/>
      <c r="L791" s="154"/>
      <c r="M791" s="154"/>
      <c r="N791" s="154"/>
      <c r="O791" s="154"/>
      <c r="P791" s="154"/>
      <c r="Q791" s="154"/>
      <c r="R791" s="154"/>
      <c r="S791" s="154"/>
      <c r="T791" s="154"/>
      <c r="U791" s="154"/>
      <c r="V791" s="154"/>
      <c r="W791" s="154"/>
      <c r="X791" s="154"/>
      <c r="Y791" s="154"/>
      <c r="Z791" s="154"/>
      <c r="AA791" s="154"/>
    </row>
    <row r="792">
      <c r="A792" s="154"/>
      <c r="B792" s="154"/>
      <c r="C792" s="154"/>
      <c r="D792" s="154"/>
      <c r="E792" s="154"/>
      <c r="F792" s="154"/>
      <c r="G792" s="55"/>
      <c r="H792" s="154"/>
      <c r="I792" s="154"/>
      <c r="J792" s="154"/>
      <c r="K792" s="154"/>
      <c r="L792" s="154"/>
      <c r="M792" s="154"/>
      <c r="N792" s="154"/>
      <c r="O792" s="154"/>
      <c r="P792" s="154"/>
      <c r="Q792" s="154"/>
      <c r="R792" s="154"/>
      <c r="S792" s="154"/>
      <c r="T792" s="154"/>
      <c r="U792" s="154"/>
      <c r="V792" s="154"/>
      <c r="W792" s="154"/>
      <c r="X792" s="154"/>
      <c r="Y792" s="154"/>
      <c r="Z792" s="154"/>
      <c r="AA792" s="154"/>
    </row>
    <row r="793">
      <c r="A793" s="154"/>
      <c r="B793" s="154"/>
      <c r="C793" s="154"/>
      <c r="D793" s="154"/>
      <c r="E793" s="154"/>
      <c r="F793" s="154"/>
      <c r="G793" s="55"/>
      <c r="H793" s="154"/>
      <c r="I793" s="154"/>
      <c r="J793" s="154"/>
      <c r="K793" s="154"/>
      <c r="L793" s="154"/>
      <c r="M793" s="154"/>
      <c r="N793" s="154"/>
      <c r="O793" s="154"/>
      <c r="P793" s="154"/>
      <c r="Q793" s="154"/>
      <c r="R793" s="154"/>
      <c r="S793" s="154"/>
      <c r="T793" s="154"/>
      <c r="U793" s="154"/>
      <c r="V793" s="154"/>
      <c r="W793" s="154"/>
      <c r="X793" s="154"/>
      <c r="Y793" s="154"/>
      <c r="Z793" s="154"/>
      <c r="AA793" s="154"/>
    </row>
    <row r="794">
      <c r="A794" s="154"/>
      <c r="B794" s="154"/>
      <c r="C794" s="154"/>
      <c r="D794" s="154"/>
      <c r="E794" s="154"/>
      <c r="F794" s="154"/>
      <c r="G794" s="55"/>
      <c r="H794" s="154"/>
      <c r="I794" s="154"/>
      <c r="J794" s="154"/>
      <c r="K794" s="154"/>
      <c r="L794" s="154"/>
      <c r="M794" s="154"/>
      <c r="N794" s="154"/>
      <c r="O794" s="154"/>
      <c r="P794" s="154"/>
      <c r="Q794" s="154"/>
      <c r="R794" s="154"/>
      <c r="S794" s="154"/>
      <c r="T794" s="154"/>
      <c r="U794" s="154"/>
      <c r="V794" s="154"/>
      <c r="W794" s="154"/>
      <c r="X794" s="154"/>
      <c r="Y794" s="154"/>
      <c r="Z794" s="154"/>
      <c r="AA794" s="154"/>
    </row>
    <row r="795">
      <c r="A795" s="154"/>
      <c r="B795" s="154"/>
      <c r="C795" s="154"/>
      <c r="D795" s="154"/>
      <c r="E795" s="154"/>
      <c r="F795" s="154"/>
      <c r="G795" s="55"/>
      <c r="H795" s="154"/>
      <c r="I795" s="154"/>
      <c r="J795" s="154"/>
      <c r="K795" s="154"/>
      <c r="L795" s="154"/>
      <c r="M795" s="154"/>
      <c r="N795" s="154"/>
      <c r="O795" s="154"/>
      <c r="P795" s="154"/>
      <c r="Q795" s="154"/>
      <c r="R795" s="154"/>
      <c r="S795" s="154"/>
      <c r="T795" s="154"/>
      <c r="U795" s="154"/>
      <c r="V795" s="154"/>
      <c r="W795" s="154"/>
      <c r="X795" s="154"/>
      <c r="Y795" s="154"/>
      <c r="Z795" s="154"/>
      <c r="AA795" s="154"/>
    </row>
    <row r="796">
      <c r="A796" s="154"/>
      <c r="B796" s="154"/>
      <c r="C796" s="154"/>
      <c r="D796" s="154"/>
      <c r="E796" s="154"/>
      <c r="F796" s="154"/>
      <c r="G796" s="55"/>
      <c r="H796" s="154"/>
      <c r="I796" s="154"/>
      <c r="J796" s="154"/>
      <c r="K796" s="154"/>
      <c r="L796" s="154"/>
      <c r="M796" s="154"/>
      <c r="N796" s="154"/>
      <c r="O796" s="154"/>
      <c r="P796" s="154"/>
      <c r="Q796" s="154"/>
      <c r="R796" s="154"/>
      <c r="S796" s="154"/>
      <c r="T796" s="154"/>
      <c r="U796" s="154"/>
      <c r="V796" s="154"/>
      <c r="W796" s="154"/>
      <c r="X796" s="154"/>
      <c r="Y796" s="154"/>
      <c r="Z796" s="154"/>
      <c r="AA796" s="154"/>
    </row>
    <row r="797">
      <c r="A797" s="154"/>
      <c r="B797" s="154"/>
      <c r="C797" s="154"/>
      <c r="D797" s="154"/>
      <c r="E797" s="154"/>
      <c r="F797" s="154"/>
      <c r="G797" s="55"/>
      <c r="H797" s="154"/>
      <c r="I797" s="154"/>
      <c r="J797" s="154"/>
      <c r="K797" s="154"/>
      <c r="L797" s="154"/>
      <c r="M797" s="154"/>
      <c r="N797" s="154"/>
      <c r="O797" s="154"/>
      <c r="P797" s="154"/>
      <c r="Q797" s="154"/>
      <c r="R797" s="154"/>
      <c r="S797" s="154"/>
      <c r="T797" s="154"/>
      <c r="U797" s="154"/>
      <c r="V797" s="154"/>
      <c r="W797" s="154"/>
      <c r="X797" s="154"/>
      <c r="Y797" s="154"/>
      <c r="Z797" s="154"/>
      <c r="AA797" s="154"/>
    </row>
    <row r="798">
      <c r="A798" s="154"/>
      <c r="B798" s="154"/>
      <c r="C798" s="154"/>
      <c r="D798" s="154"/>
      <c r="E798" s="154"/>
      <c r="F798" s="154"/>
      <c r="G798" s="55"/>
      <c r="H798" s="154"/>
      <c r="I798" s="154"/>
      <c r="J798" s="154"/>
      <c r="K798" s="154"/>
      <c r="L798" s="154"/>
      <c r="M798" s="154"/>
      <c r="N798" s="154"/>
      <c r="O798" s="154"/>
      <c r="P798" s="154"/>
      <c r="Q798" s="154"/>
      <c r="R798" s="154"/>
      <c r="S798" s="154"/>
      <c r="T798" s="154"/>
      <c r="U798" s="154"/>
      <c r="V798" s="154"/>
      <c r="W798" s="154"/>
      <c r="X798" s="154"/>
      <c r="Y798" s="154"/>
      <c r="Z798" s="154"/>
      <c r="AA798" s="154"/>
    </row>
    <row r="799">
      <c r="A799" s="154"/>
      <c r="B799" s="154"/>
      <c r="C799" s="154"/>
      <c r="D799" s="154"/>
      <c r="E799" s="154"/>
      <c r="F799" s="154"/>
      <c r="G799" s="55"/>
      <c r="H799" s="154"/>
      <c r="I799" s="154"/>
      <c r="J799" s="154"/>
      <c r="K799" s="154"/>
      <c r="L799" s="154"/>
      <c r="M799" s="154"/>
      <c r="N799" s="154"/>
      <c r="O799" s="154"/>
      <c r="P799" s="154"/>
      <c r="Q799" s="154"/>
      <c r="R799" s="154"/>
      <c r="S799" s="154"/>
      <c r="T799" s="154"/>
      <c r="U799" s="154"/>
      <c r="V799" s="154"/>
      <c r="W799" s="154"/>
      <c r="X799" s="154"/>
      <c r="Y799" s="154"/>
      <c r="Z799" s="154"/>
      <c r="AA799" s="154"/>
    </row>
    <row r="800">
      <c r="A800" s="154"/>
      <c r="B800" s="154"/>
      <c r="C800" s="154"/>
      <c r="D800" s="154"/>
      <c r="E800" s="154"/>
      <c r="F800" s="154"/>
      <c r="G800" s="55"/>
      <c r="H800" s="154"/>
      <c r="I800" s="154"/>
      <c r="J800" s="154"/>
      <c r="K800" s="154"/>
      <c r="L800" s="154"/>
      <c r="M800" s="154"/>
      <c r="N800" s="154"/>
      <c r="O800" s="154"/>
      <c r="P800" s="154"/>
      <c r="Q800" s="154"/>
      <c r="R800" s="154"/>
      <c r="S800" s="154"/>
      <c r="T800" s="154"/>
      <c r="U800" s="154"/>
      <c r="V800" s="154"/>
      <c r="W800" s="154"/>
      <c r="X800" s="154"/>
      <c r="Y800" s="154"/>
      <c r="Z800" s="154"/>
      <c r="AA800" s="154"/>
    </row>
    <row r="801">
      <c r="A801" s="154"/>
      <c r="B801" s="154"/>
      <c r="C801" s="154"/>
      <c r="D801" s="154"/>
      <c r="E801" s="154"/>
      <c r="F801" s="154"/>
      <c r="G801" s="55"/>
      <c r="H801" s="154"/>
      <c r="I801" s="154"/>
      <c r="J801" s="154"/>
      <c r="K801" s="154"/>
      <c r="L801" s="154"/>
      <c r="M801" s="154"/>
      <c r="N801" s="154"/>
      <c r="O801" s="154"/>
      <c r="P801" s="154"/>
      <c r="Q801" s="154"/>
      <c r="R801" s="154"/>
      <c r="S801" s="154"/>
      <c r="T801" s="154"/>
      <c r="U801" s="154"/>
      <c r="V801" s="154"/>
      <c r="W801" s="154"/>
      <c r="X801" s="154"/>
      <c r="Y801" s="154"/>
      <c r="Z801" s="154"/>
      <c r="AA801" s="154"/>
    </row>
    <row r="802">
      <c r="A802" s="154"/>
      <c r="B802" s="154"/>
      <c r="C802" s="154"/>
      <c r="D802" s="154"/>
      <c r="E802" s="154"/>
      <c r="F802" s="154"/>
      <c r="G802" s="55"/>
      <c r="H802" s="154"/>
      <c r="I802" s="154"/>
      <c r="J802" s="154"/>
      <c r="K802" s="154"/>
      <c r="L802" s="154"/>
      <c r="M802" s="154"/>
      <c r="N802" s="154"/>
      <c r="O802" s="154"/>
      <c r="P802" s="154"/>
      <c r="Q802" s="154"/>
      <c r="R802" s="154"/>
      <c r="S802" s="154"/>
      <c r="T802" s="154"/>
      <c r="U802" s="154"/>
      <c r="V802" s="154"/>
      <c r="W802" s="154"/>
      <c r="X802" s="154"/>
      <c r="Y802" s="154"/>
      <c r="Z802" s="154"/>
      <c r="AA802" s="154"/>
    </row>
    <row r="803">
      <c r="A803" s="154"/>
      <c r="B803" s="154"/>
      <c r="C803" s="154"/>
      <c r="D803" s="154"/>
      <c r="E803" s="154"/>
      <c r="F803" s="154"/>
      <c r="G803" s="55"/>
      <c r="H803" s="154"/>
      <c r="I803" s="154"/>
      <c r="J803" s="154"/>
      <c r="K803" s="154"/>
      <c r="L803" s="154"/>
      <c r="M803" s="154"/>
      <c r="N803" s="154"/>
      <c r="O803" s="154"/>
      <c r="P803" s="154"/>
      <c r="Q803" s="154"/>
      <c r="R803" s="154"/>
      <c r="S803" s="154"/>
      <c r="T803" s="154"/>
      <c r="U803" s="154"/>
      <c r="V803" s="154"/>
      <c r="W803" s="154"/>
      <c r="X803" s="154"/>
      <c r="Y803" s="154"/>
      <c r="Z803" s="154"/>
      <c r="AA803" s="154"/>
    </row>
    <row r="804">
      <c r="A804" s="154"/>
      <c r="B804" s="154"/>
      <c r="C804" s="154"/>
      <c r="D804" s="154"/>
      <c r="E804" s="154"/>
      <c r="F804" s="154"/>
      <c r="G804" s="55"/>
      <c r="H804" s="154"/>
      <c r="I804" s="154"/>
      <c r="J804" s="154"/>
      <c r="K804" s="154"/>
      <c r="L804" s="154"/>
      <c r="M804" s="154"/>
      <c r="N804" s="154"/>
      <c r="O804" s="154"/>
      <c r="P804" s="154"/>
      <c r="Q804" s="154"/>
      <c r="R804" s="154"/>
      <c r="S804" s="154"/>
      <c r="T804" s="154"/>
      <c r="U804" s="154"/>
      <c r="V804" s="154"/>
      <c r="W804" s="154"/>
      <c r="X804" s="154"/>
      <c r="Y804" s="154"/>
      <c r="Z804" s="154"/>
      <c r="AA804" s="154"/>
    </row>
    <row r="805">
      <c r="A805" s="154"/>
      <c r="B805" s="154"/>
      <c r="C805" s="154"/>
      <c r="D805" s="154"/>
      <c r="E805" s="154"/>
      <c r="F805" s="154"/>
      <c r="G805" s="55"/>
      <c r="H805" s="154"/>
      <c r="I805" s="154"/>
      <c r="J805" s="154"/>
      <c r="K805" s="154"/>
      <c r="L805" s="154"/>
      <c r="M805" s="154"/>
      <c r="N805" s="154"/>
      <c r="O805" s="154"/>
      <c r="P805" s="154"/>
      <c r="Q805" s="154"/>
      <c r="R805" s="154"/>
      <c r="S805" s="154"/>
      <c r="T805" s="154"/>
      <c r="U805" s="154"/>
      <c r="V805" s="154"/>
      <c r="W805" s="154"/>
      <c r="X805" s="154"/>
      <c r="Y805" s="154"/>
      <c r="Z805" s="154"/>
      <c r="AA805" s="154"/>
    </row>
    <row r="806">
      <c r="A806" s="154"/>
      <c r="B806" s="154"/>
      <c r="C806" s="154"/>
      <c r="D806" s="154"/>
      <c r="E806" s="154"/>
      <c r="F806" s="154"/>
      <c r="G806" s="55"/>
      <c r="H806" s="154"/>
      <c r="I806" s="154"/>
      <c r="J806" s="154"/>
      <c r="K806" s="154"/>
      <c r="L806" s="154"/>
      <c r="M806" s="154"/>
      <c r="N806" s="154"/>
      <c r="O806" s="154"/>
      <c r="P806" s="154"/>
      <c r="Q806" s="154"/>
      <c r="R806" s="154"/>
      <c r="S806" s="154"/>
      <c r="T806" s="154"/>
      <c r="U806" s="154"/>
      <c r="V806" s="154"/>
      <c r="W806" s="154"/>
      <c r="X806" s="154"/>
      <c r="Y806" s="154"/>
      <c r="Z806" s="154"/>
      <c r="AA806" s="154"/>
    </row>
    <row r="807">
      <c r="A807" s="154"/>
      <c r="B807" s="154"/>
      <c r="C807" s="154"/>
      <c r="D807" s="154"/>
      <c r="E807" s="154"/>
      <c r="F807" s="154"/>
      <c r="G807" s="55"/>
      <c r="H807" s="154"/>
      <c r="I807" s="154"/>
      <c r="J807" s="154"/>
      <c r="K807" s="154"/>
      <c r="L807" s="154"/>
      <c r="M807" s="154"/>
      <c r="N807" s="154"/>
      <c r="O807" s="154"/>
      <c r="P807" s="154"/>
      <c r="Q807" s="154"/>
      <c r="R807" s="154"/>
      <c r="S807" s="154"/>
      <c r="T807" s="154"/>
      <c r="U807" s="154"/>
      <c r="V807" s="154"/>
      <c r="W807" s="154"/>
      <c r="X807" s="154"/>
      <c r="Y807" s="154"/>
      <c r="Z807" s="154"/>
      <c r="AA807" s="154"/>
    </row>
    <row r="808">
      <c r="A808" s="154"/>
      <c r="B808" s="154"/>
      <c r="C808" s="154"/>
      <c r="D808" s="154"/>
      <c r="E808" s="154"/>
      <c r="F808" s="154"/>
      <c r="G808" s="55"/>
      <c r="H808" s="154"/>
      <c r="I808" s="154"/>
      <c r="J808" s="154"/>
      <c r="K808" s="154"/>
      <c r="L808" s="154"/>
      <c r="M808" s="154"/>
      <c r="N808" s="154"/>
      <c r="O808" s="154"/>
      <c r="P808" s="154"/>
      <c r="Q808" s="154"/>
      <c r="R808" s="154"/>
      <c r="S808" s="154"/>
      <c r="T808" s="154"/>
      <c r="U808" s="154"/>
      <c r="V808" s="154"/>
      <c r="W808" s="154"/>
      <c r="X808" s="154"/>
      <c r="Y808" s="154"/>
      <c r="Z808" s="154"/>
      <c r="AA808" s="154"/>
    </row>
    <row r="809">
      <c r="A809" s="154"/>
      <c r="B809" s="154"/>
      <c r="C809" s="154"/>
      <c r="D809" s="154"/>
      <c r="E809" s="154"/>
      <c r="F809" s="154"/>
      <c r="G809" s="55"/>
      <c r="H809" s="154"/>
      <c r="I809" s="154"/>
      <c r="J809" s="154"/>
      <c r="K809" s="154"/>
      <c r="L809" s="154"/>
      <c r="M809" s="154"/>
      <c r="N809" s="154"/>
      <c r="O809" s="154"/>
      <c r="P809" s="154"/>
      <c r="Q809" s="154"/>
      <c r="R809" s="154"/>
      <c r="S809" s="154"/>
      <c r="T809" s="154"/>
      <c r="U809" s="154"/>
      <c r="V809" s="154"/>
      <c r="W809" s="154"/>
      <c r="X809" s="154"/>
      <c r="Y809" s="154"/>
      <c r="Z809" s="154"/>
      <c r="AA809" s="154"/>
    </row>
    <row r="810">
      <c r="A810" s="154"/>
      <c r="B810" s="154"/>
      <c r="C810" s="154"/>
      <c r="D810" s="154"/>
      <c r="E810" s="154"/>
      <c r="F810" s="154"/>
      <c r="G810" s="55"/>
      <c r="H810" s="154"/>
      <c r="I810" s="154"/>
      <c r="J810" s="154"/>
      <c r="K810" s="154"/>
      <c r="L810" s="154"/>
      <c r="M810" s="154"/>
      <c r="N810" s="154"/>
      <c r="O810" s="154"/>
      <c r="P810" s="154"/>
      <c r="Q810" s="154"/>
      <c r="R810" s="154"/>
      <c r="S810" s="154"/>
      <c r="T810" s="154"/>
      <c r="U810" s="154"/>
      <c r="V810" s="154"/>
      <c r="W810" s="154"/>
      <c r="X810" s="154"/>
      <c r="Y810" s="154"/>
      <c r="Z810" s="154"/>
      <c r="AA810" s="154"/>
    </row>
    <row r="811">
      <c r="A811" s="154"/>
      <c r="B811" s="154"/>
      <c r="C811" s="154"/>
      <c r="D811" s="154"/>
      <c r="E811" s="154"/>
      <c r="F811" s="154"/>
      <c r="G811" s="55"/>
      <c r="H811" s="154"/>
      <c r="I811" s="154"/>
      <c r="J811" s="154"/>
      <c r="K811" s="154"/>
      <c r="L811" s="154"/>
      <c r="M811" s="154"/>
      <c r="N811" s="154"/>
      <c r="O811" s="154"/>
      <c r="P811" s="154"/>
      <c r="Q811" s="154"/>
      <c r="R811" s="154"/>
      <c r="S811" s="154"/>
      <c r="T811" s="154"/>
      <c r="U811" s="154"/>
      <c r="V811" s="154"/>
      <c r="W811" s="154"/>
      <c r="X811" s="154"/>
      <c r="Y811" s="154"/>
      <c r="Z811" s="154"/>
      <c r="AA811" s="154"/>
    </row>
    <row r="812">
      <c r="A812" s="154"/>
      <c r="B812" s="154"/>
      <c r="C812" s="154"/>
      <c r="D812" s="154"/>
      <c r="E812" s="154"/>
      <c r="F812" s="154"/>
      <c r="G812" s="55"/>
      <c r="H812" s="154"/>
      <c r="I812" s="154"/>
      <c r="J812" s="154"/>
      <c r="K812" s="154"/>
      <c r="L812" s="154"/>
      <c r="M812" s="154"/>
      <c r="N812" s="154"/>
      <c r="O812" s="154"/>
      <c r="P812" s="154"/>
      <c r="Q812" s="154"/>
      <c r="R812" s="154"/>
      <c r="S812" s="154"/>
      <c r="T812" s="154"/>
      <c r="U812" s="154"/>
      <c r="V812" s="154"/>
      <c r="W812" s="154"/>
      <c r="X812" s="154"/>
      <c r="Y812" s="154"/>
      <c r="Z812" s="154"/>
      <c r="AA812" s="154"/>
    </row>
    <row r="813">
      <c r="A813" s="154"/>
      <c r="B813" s="154"/>
      <c r="C813" s="154"/>
      <c r="D813" s="154"/>
      <c r="E813" s="154"/>
      <c r="F813" s="154"/>
      <c r="G813" s="55"/>
      <c r="H813" s="154"/>
      <c r="I813" s="154"/>
      <c r="J813" s="154"/>
      <c r="K813" s="154"/>
      <c r="L813" s="154"/>
      <c r="M813" s="154"/>
      <c r="N813" s="154"/>
      <c r="O813" s="154"/>
      <c r="P813" s="154"/>
      <c r="Q813" s="154"/>
      <c r="R813" s="154"/>
      <c r="S813" s="154"/>
      <c r="T813" s="154"/>
      <c r="U813" s="154"/>
      <c r="V813" s="154"/>
      <c r="W813" s="154"/>
      <c r="X813" s="154"/>
      <c r="Y813" s="154"/>
      <c r="Z813" s="154"/>
      <c r="AA813" s="154"/>
    </row>
    <row r="814">
      <c r="A814" s="154"/>
      <c r="B814" s="154"/>
      <c r="C814" s="154"/>
      <c r="D814" s="154"/>
      <c r="E814" s="154"/>
      <c r="F814" s="154"/>
      <c r="G814" s="55"/>
      <c r="H814" s="154"/>
      <c r="I814" s="154"/>
      <c r="J814" s="154"/>
      <c r="K814" s="154"/>
      <c r="L814" s="154"/>
      <c r="M814" s="154"/>
      <c r="N814" s="154"/>
      <c r="O814" s="154"/>
      <c r="P814" s="154"/>
      <c r="Q814" s="154"/>
      <c r="R814" s="154"/>
      <c r="S814" s="154"/>
      <c r="T814" s="154"/>
      <c r="U814" s="154"/>
      <c r="V814" s="154"/>
      <c r="W814" s="154"/>
      <c r="X814" s="154"/>
      <c r="Y814" s="154"/>
      <c r="Z814" s="154"/>
      <c r="AA814" s="154"/>
    </row>
    <row r="815">
      <c r="A815" s="154"/>
      <c r="B815" s="154"/>
      <c r="C815" s="154"/>
      <c r="D815" s="154"/>
      <c r="E815" s="154"/>
      <c r="F815" s="154"/>
      <c r="G815" s="55"/>
      <c r="H815" s="154"/>
      <c r="I815" s="154"/>
      <c r="J815" s="154"/>
      <c r="K815" s="154"/>
      <c r="L815" s="154"/>
      <c r="M815" s="154"/>
      <c r="N815" s="154"/>
      <c r="O815" s="154"/>
      <c r="P815" s="154"/>
      <c r="Q815" s="154"/>
      <c r="R815" s="154"/>
      <c r="S815" s="154"/>
      <c r="T815" s="154"/>
      <c r="U815" s="154"/>
      <c r="V815" s="154"/>
      <c r="W815" s="154"/>
      <c r="X815" s="154"/>
      <c r="Y815" s="154"/>
      <c r="Z815" s="154"/>
      <c r="AA815" s="154"/>
    </row>
    <row r="816">
      <c r="A816" s="154"/>
      <c r="B816" s="154"/>
      <c r="C816" s="154"/>
      <c r="D816" s="154"/>
      <c r="E816" s="154"/>
      <c r="F816" s="154"/>
      <c r="G816" s="55"/>
      <c r="H816" s="154"/>
      <c r="I816" s="154"/>
      <c r="J816" s="154"/>
      <c r="K816" s="154"/>
      <c r="L816" s="154"/>
      <c r="M816" s="154"/>
      <c r="N816" s="154"/>
      <c r="O816" s="154"/>
      <c r="P816" s="154"/>
      <c r="Q816" s="154"/>
      <c r="R816" s="154"/>
      <c r="S816" s="154"/>
      <c r="T816" s="154"/>
      <c r="U816" s="154"/>
      <c r="V816" s="154"/>
      <c r="W816" s="154"/>
      <c r="X816" s="154"/>
      <c r="Y816" s="154"/>
      <c r="Z816" s="154"/>
      <c r="AA816" s="154"/>
    </row>
    <row r="817">
      <c r="A817" s="154"/>
      <c r="B817" s="154"/>
      <c r="C817" s="154"/>
      <c r="D817" s="154"/>
      <c r="E817" s="154"/>
      <c r="F817" s="154"/>
      <c r="G817" s="55"/>
      <c r="H817" s="154"/>
      <c r="I817" s="154"/>
      <c r="J817" s="154"/>
      <c r="K817" s="154"/>
      <c r="L817" s="154"/>
      <c r="M817" s="154"/>
      <c r="N817" s="154"/>
      <c r="O817" s="154"/>
      <c r="P817" s="154"/>
      <c r="Q817" s="154"/>
      <c r="R817" s="154"/>
      <c r="S817" s="154"/>
      <c r="T817" s="154"/>
      <c r="U817" s="154"/>
      <c r="V817" s="154"/>
      <c r="W817" s="154"/>
      <c r="X817" s="154"/>
      <c r="Y817" s="154"/>
      <c r="Z817" s="154"/>
      <c r="AA817" s="154"/>
    </row>
    <row r="818">
      <c r="A818" s="154"/>
      <c r="B818" s="154"/>
      <c r="C818" s="154"/>
      <c r="D818" s="154"/>
      <c r="E818" s="154"/>
      <c r="F818" s="154"/>
      <c r="G818" s="55"/>
      <c r="H818" s="154"/>
      <c r="I818" s="154"/>
      <c r="J818" s="154"/>
      <c r="K818" s="154"/>
      <c r="L818" s="154"/>
      <c r="M818" s="154"/>
      <c r="N818" s="154"/>
      <c r="O818" s="154"/>
      <c r="P818" s="154"/>
      <c r="Q818" s="154"/>
      <c r="R818" s="154"/>
      <c r="S818" s="154"/>
      <c r="T818" s="154"/>
      <c r="U818" s="154"/>
      <c r="V818" s="154"/>
      <c r="W818" s="154"/>
      <c r="X818" s="154"/>
      <c r="Y818" s="154"/>
      <c r="Z818" s="154"/>
      <c r="AA818" s="154"/>
    </row>
    <row r="819">
      <c r="A819" s="154"/>
      <c r="B819" s="154"/>
      <c r="C819" s="154"/>
      <c r="D819" s="154"/>
      <c r="E819" s="154"/>
      <c r="F819" s="154"/>
      <c r="G819" s="55"/>
      <c r="H819" s="154"/>
      <c r="I819" s="154"/>
      <c r="J819" s="154"/>
      <c r="K819" s="154"/>
      <c r="L819" s="154"/>
      <c r="M819" s="154"/>
      <c r="N819" s="154"/>
      <c r="O819" s="154"/>
      <c r="P819" s="154"/>
      <c r="Q819" s="154"/>
      <c r="R819" s="154"/>
      <c r="S819" s="154"/>
      <c r="T819" s="154"/>
      <c r="U819" s="154"/>
      <c r="V819" s="154"/>
      <c r="W819" s="154"/>
      <c r="X819" s="154"/>
      <c r="Y819" s="154"/>
      <c r="Z819" s="154"/>
      <c r="AA819" s="154"/>
    </row>
    <row r="820">
      <c r="A820" s="154"/>
      <c r="B820" s="154"/>
      <c r="C820" s="154"/>
      <c r="D820" s="154"/>
      <c r="E820" s="154"/>
      <c r="F820" s="154"/>
      <c r="G820" s="55"/>
      <c r="H820" s="154"/>
      <c r="I820" s="154"/>
      <c r="J820" s="154"/>
      <c r="K820" s="154"/>
      <c r="L820" s="154"/>
      <c r="M820" s="154"/>
      <c r="N820" s="154"/>
      <c r="O820" s="154"/>
      <c r="P820" s="154"/>
      <c r="Q820" s="154"/>
      <c r="R820" s="154"/>
      <c r="S820" s="154"/>
      <c r="T820" s="154"/>
      <c r="U820" s="154"/>
      <c r="V820" s="154"/>
      <c r="W820" s="154"/>
      <c r="X820" s="154"/>
      <c r="Y820" s="154"/>
      <c r="Z820" s="154"/>
      <c r="AA820" s="154"/>
    </row>
    <row r="821">
      <c r="A821" s="154"/>
      <c r="B821" s="154"/>
      <c r="C821" s="154"/>
      <c r="D821" s="154"/>
      <c r="E821" s="154"/>
      <c r="F821" s="154"/>
      <c r="G821" s="55"/>
      <c r="H821" s="154"/>
      <c r="I821" s="154"/>
      <c r="J821" s="154"/>
      <c r="K821" s="154"/>
      <c r="L821" s="154"/>
      <c r="M821" s="154"/>
      <c r="N821" s="154"/>
      <c r="O821" s="154"/>
      <c r="P821" s="154"/>
      <c r="Q821" s="154"/>
      <c r="R821" s="154"/>
      <c r="S821" s="154"/>
      <c r="T821" s="154"/>
      <c r="U821" s="154"/>
      <c r="V821" s="154"/>
      <c r="W821" s="154"/>
      <c r="X821" s="154"/>
      <c r="Y821" s="154"/>
      <c r="Z821" s="154"/>
      <c r="AA821" s="154"/>
    </row>
    <row r="822">
      <c r="A822" s="154"/>
      <c r="B822" s="154"/>
      <c r="C822" s="154"/>
      <c r="D822" s="154"/>
      <c r="E822" s="154"/>
      <c r="F822" s="154"/>
      <c r="G822" s="55"/>
      <c r="H822" s="154"/>
      <c r="I822" s="154"/>
      <c r="J822" s="154"/>
      <c r="K822" s="154"/>
      <c r="L822" s="154"/>
      <c r="M822" s="154"/>
      <c r="N822" s="154"/>
      <c r="O822" s="154"/>
      <c r="P822" s="154"/>
      <c r="Q822" s="154"/>
      <c r="R822" s="154"/>
      <c r="S822" s="154"/>
      <c r="T822" s="154"/>
      <c r="U822" s="154"/>
      <c r="V822" s="154"/>
      <c r="W822" s="154"/>
      <c r="X822" s="154"/>
      <c r="Y822" s="154"/>
      <c r="Z822" s="154"/>
      <c r="AA822" s="154"/>
    </row>
    <row r="823">
      <c r="A823" s="154"/>
      <c r="B823" s="154"/>
      <c r="C823" s="154"/>
      <c r="D823" s="154"/>
      <c r="E823" s="154"/>
      <c r="F823" s="154"/>
      <c r="G823" s="55"/>
      <c r="H823" s="154"/>
      <c r="I823" s="154"/>
      <c r="J823" s="154"/>
      <c r="K823" s="154"/>
      <c r="L823" s="154"/>
      <c r="M823" s="154"/>
      <c r="N823" s="154"/>
      <c r="O823" s="154"/>
      <c r="P823" s="154"/>
      <c r="Q823" s="154"/>
      <c r="R823" s="154"/>
      <c r="S823" s="154"/>
      <c r="T823" s="154"/>
      <c r="U823" s="154"/>
      <c r="V823" s="154"/>
      <c r="W823" s="154"/>
      <c r="X823" s="154"/>
      <c r="Y823" s="154"/>
      <c r="Z823" s="154"/>
      <c r="AA823" s="154"/>
    </row>
    <row r="824">
      <c r="A824" s="154"/>
      <c r="B824" s="154"/>
      <c r="C824" s="154"/>
      <c r="D824" s="154"/>
      <c r="E824" s="154"/>
      <c r="F824" s="154"/>
      <c r="G824" s="55"/>
      <c r="H824" s="154"/>
      <c r="I824" s="154"/>
      <c r="J824" s="154"/>
      <c r="K824" s="154"/>
      <c r="L824" s="154"/>
      <c r="M824" s="154"/>
      <c r="N824" s="154"/>
      <c r="O824" s="154"/>
      <c r="P824" s="154"/>
      <c r="Q824" s="154"/>
      <c r="R824" s="154"/>
      <c r="S824" s="154"/>
      <c r="T824" s="154"/>
      <c r="U824" s="154"/>
      <c r="V824" s="154"/>
      <c r="W824" s="154"/>
      <c r="X824" s="154"/>
      <c r="Y824" s="154"/>
      <c r="Z824" s="154"/>
      <c r="AA824" s="154"/>
    </row>
    <row r="825">
      <c r="A825" s="154"/>
      <c r="B825" s="154"/>
      <c r="C825" s="154"/>
      <c r="D825" s="154"/>
      <c r="E825" s="154"/>
      <c r="F825" s="154"/>
      <c r="G825" s="55"/>
      <c r="H825" s="154"/>
      <c r="I825" s="154"/>
      <c r="J825" s="154"/>
      <c r="K825" s="154"/>
      <c r="L825" s="154"/>
      <c r="M825" s="154"/>
      <c r="N825" s="154"/>
      <c r="O825" s="154"/>
      <c r="P825" s="154"/>
      <c r="Q825" s="154"/>
      <c r="R825" s="154"/>
      <c r="S825" s="154"/>
      <c r="T825" s="154"/>
      <c r="U825" s="154"/>
      <c r="V825" s="154"/>
      <c r="W825" s="154"/>
      <c r="X825" s="154"/>
      <c r="Y825" s="154"/>
      <c r="Z825" s="154"/>
      <c r="AA825" s="154"/>
    </row>
    <row r="826">
      <c r="A826" s="154"/>
      <c r="B826" s="154"/>
      <c r="C826" s="154"/>
      <c r="D826" s="154"/>
      <c r="E826" s="154"/>
      <c r="F826" s="154"/>
      <c r="G826" s="55"/>
      <c r="H826" s="154"/>
      <c r="I826" s="154"/>
      <c r="J826" s="154"/>
      <c r="K826" s="154"/>
      <c r="L826" s="154"/>
      <c r="M826" s="154"/>
      <c r="N826" s="154"/>
      <c r="O826" s="154"/>
      <c r="P826" s="154"/>
      <c r="Q826" s="154"/>
      <c r="R826" s="154"/>
      <c r="S826" s="154"/>
      <c r="T826" s="154"/>
      <c r="U826" s="154"/>
      <c r="V826" s="154"/>
      <c r="W826" s="154"/>
      <c r="X826" s="154"/>
      <c r="Y826" s="154"/>
      <c r="Z826" s="154"/>
      <c r="AA826" s="154"/>
    </row>
    <row r="827">
      <c r="A827" s="154"/>
      <c r="B827" s="154"/>
      <c r="C827" s="154"/>
      <c r="D827" s="154"/>
      <c r="E827" s="154"/>
      <c r="F827" s="154"/>
      <c r="G827" s="55"/>
      <c r="H827" s="154"/>
      <c r="I827" s="154"/>
      <c r="J827" s="154"/>
      <c r="K827" s="154"/>
      <c r="L827" s="154"/>
      <c r="M827" s="154"/>
      <c r="N827" s="154"/>
      <c r="O827" s="154"/>
      <c r="P827" s="154"/>
      <c r="Q827" s="154"/>
      <c r="R827" s="154"/>
      <c r="S827" s="154"/>
      <c r="T827" s="154"/>
      <c r="U827" s="154"/>
      <c r="V827" s="154"/>
      <c r="W827" s="154"/>
      <c r="X827" s="154"/>
      <c r="Y827" s="154"/>
      <c r="Z827" s="154"/>
      <c r="AA827" s="154"/>
    </row>
    <row r="828">
      <c r="A828" s="154"/>
      <c r="B828" s="154"/>
      <c r="C828" s="154"/>
      <c r="D828" s="154"/>
      <c r="E828" s="154"/>
      <c r="F828" s="154"/>
      <c r="G828" s="55"/>
      <c r="H828" s="154"/>
      <c r="I828" s="154"/>
      <c r="J828" s="154"/>
      <c r="K828" s="154"/>
      <c r="L828" s="154"/>
      <c r="M828" s="154"/>
      <c r="N828" s="154"/>
      <c r="O828" s="154"/>
      <c r="P828" s="154"/>
      <c r="Q828" s="154"/>
      <c r="R828" s="154"/>
      <c r="S828" s="154"/>
      <c r="T828" s="154"/>
      <c r="U828" s="154"/>
      <c r="V828" s="154"/>
      <c r="W828" s="154"/>
      <c r="X828" s="154"/>
      <c r="Y828" s="154"/>
      <c r="Z828" s="154"/>
      <c r="AA828" s="154"/>
    </row>
    <row r="829">
      <c r="A829" s="154"/>
      <c r="B829" s="154"/>
      <c r="C829" s="154"/>
      <c r="D829" s="154"/>
      <c r="E829" s="154"/>
      <c r="F829" s="154"/>
      <c r="G829" s="55"/>
      <c r="H829" s="154"/>
      <c r="I829" s="154"/>
      <c r="J829" s="154"/>
      <c r="K829" s="154"/>
      <c r="L829" s="154"/>
      <c r="M829" s="154"/>
      <c r="N829" s="154"/>
      <c r="O829" s="154"/>
      <c r="P829" s="154"/>
      <c r="Q829" s="154"/>
      <c r="R829" s="154"/>
      <c r="S829" s="154"/>
      <c r="T829" s="154"/>
      <c r="U829" s="154"/>
      <c r="V829" s="154"/>
      <c r="W829" s="154"/>
      <c r="X829" s="154"/>
      <c r="Y829" s="154"/>
      <c r="Z829" s="154"/>
      <c r="AA829" s="154"/>
    </row>
    <row r="830">
      <c r="A830" s="154"/>
      <c r="B830" s="154"/>
      <c r="C830" s="154"/>
      <c r="D830" s="154"/>
      <c r="E830" s="154"/>
      <c r="F830" s="154"/>
      <c r="G830" s="55"/>
      <c r="H830" s="154"/>
      <c r="I830" s="154"/>
      <c r="J830" s="154"/>
      <c r="K830" s="154"/>
      <c r="L830" s="154"/>
      <c r="M830" s="154"/>
      <c r="N830" s="154"/>
      <c r="O830" s="154"/>
      <c r="P830" s="154"/>
      <c r="Q830" s="154"/>
      <c r="R830" s="154"/>
      <c r="S830" s="154"/>
      <c r="T830" s="154"/>
      <c r="U830" s="154"/>
      <c r="V830" s="154"/>
      <c r="W830" s="154"/>
      <c r="X830" s="154"/>
      <c r="Y830" s="154"/>
      <c r="Z830" s="154"/>
      <c r="AA830" s="154"/>
    </row>
    <row r="831">
      <c r="A831" s="154"/>
      <c r="B831" s="154"/>
      <c r="C831" s="154"/>
      <c r="D831" s="154"/>
      <c r="E831" s="154"/>
      <c r="F831" s="154"/>
      <c r="G831" s="55"/>
      <c r="H831" s="154"/>
      <c r="I831" s="154"/>
      <c r="J831" s="154"/>
      <c r="K831" s="154"/>
      <c r="L831" s="154"/>
      <c r="M831" s="154"/>
      <c r="N831" s="154"/>
      <c r="O831" s="154"/>
      <c r="P831" s="154"/>
      <c r="Q831" s="154"/>
      <c r="R831" s="154"/>
      <c r="S831" s="154"/>
      <c r="T831" s="154"/>
      <c r="U831" s="154"/>
      <c r="V831" s="154"/>
      <c r="W831" s="154"/>
      <c r="X831" s="154"/>
      <c r="Y831" s="154"/>
      <c r="Z831" s="154"/>
      <c r="AA831" s="154"/>
    </row>
    <row r="832">
      <c r="A832" s="154"/>
      <c r="B832" s="154"/>
      <c r="C832" s="154"/>
      <c r="D832" s="154"/>
      <c r="E832" s="154"/>
      <c r="F832" s="154"/>
      <c r="G832" s="55"/>
      <c r="H832" s="154"/>
      <c r="I832" s="154"/>
      <c r="J832" s="154"/>
      <c r="K832" s="154"/>
      <c r="L832" s="154"/>
      <c r="M832" s="154"/>
      <c r="N832" s="154"/>
      <c r="O832" s="154"/>
      <c r="P832" s="154"/>
      <c r="Q832" s="154"/>
      <c r="R832" s="154"/>
      <c r="S832" s="154"/>
      <c r="T832" s="154"/>
      <c r="U832" s="154"/>
      <c r="V832" s="154"/>
      <c r="W832" s="154"/>
      <c r="X832" s="154"/>
      <c r="Y832" s="154"/>
      <c r="Z832" s="154"/>
      <c r="AA832" s="154"/>
    </row>
    <row r="833">
      <c r="A833" s="154"/>
      <c r="B833" s="154"/>
      <c r="C833" s="154"/>
      <c r="D833" s="154"/>
      <c r="E833" s="154"/>
      <c r="F833" s="154"/>
      <c r="G833" s="55"/>
      <c r="H833" s="154"/>
      <c r="I833" s="154"/>
      <c r="J833" s="154"/>
      <c r="K833" s="154"/>
      <c r="L833" s="154"/>
      <c r="M833" s="154"/>
      <c r="N833" s="154"/>
      <c r="O833" s="154"/>
      <c r="P833" s="154"/>
      <c r="Q833" s="154"/>
      <c r="R833" s="154"/>
      <c r="S833" s="154"/>
      <c r="T833" s="154"/>
      <c r="U833" s="154"/>
      <c r="V833" s="154"/>
      <c r="W833" s="154"/>
      <c r="X833" s="154"/>
      <c r="Y833" s="154"/>
      <c r="Z833" s="154"/>
      <c r="AA833" s="154"/>
    </row>
    <row r="834">
      <c r="A834" s="154"/>
      <c r="B834" s="154"/>
      <c r="C834" s="154"/>
      <c r="D834" s="154"/>
      <c r="E834" s="154"/>
      <c r="F834" s="154"/>
      <c r="G834" s="55"/>
      <c r="H834" s="154"/>
      <c r="I834" s="154"/>
      <c r="J834" s="154"/>
      <c r="K834" s="154"/>
      <c r="L834" s="154"/>
      <c r="M834" s="154"/>
      <c r="N834" s="154"/>
      <c r="O834" s="154"/>
      <c r="P834" s="154"/>
      <c r="Q834" s="154"/>
      <c r="R834" s="154"/>
      <c r="S834" s="154"/>
      <c r="T834" s="154"/>
      <c r="U834" s="154"/>
      <c r="V834" s="154"/>
      <c r="W834" s="154"/>
      <c r="X834" s="154"/>
      <c r="Y834" s="154"/>
      <c r="Z834" s="154"/>
      <c r="AA834" s="154"/>
    </row>
    <row r="835">
      <c r="A835" s="154"/>
      <c r="B835" s="154"/>
      <c r="C835" s="154"/>
      <c r="D835" s="154"/>
      <c r="E835" s="154"/>
      <c r="F835" s="154"/>
      <c r="G835" s="55"/>
      <c r="H835" s="154"/>
      <c r="I835" s="154"/>
      <c r="J835" s="154"/>
      <c r="K835" s="154"/>
      <c r="L835" s="154"/>
      <c r="M835" s="154"/>
      <c r="N835" s="154"/>
      <c r="O835" s="154"/>
      <c r="P835" s="154"/>
      <c r="Q835" s="154"/>
      <c r="R835" s="154"/>
      <c r="S835" s="154"/>
      <c r="T835" s="154"/>
      <c r="U835" s="154"/>
      <c r="V835" s="154"/>
      <c r="W835" s="154"/>
      <c r="X835" s="154"/>
      <c r="Y835" s="154"/>
      <c r="Z835" s="154"/>
      <c r="AA835" s="154"/>
    </row>
    <row r="836">
      <c r="A836" s="154"/>
      <c r="B836" s="154"/>
      <c r="C836" s="154"/>
      <c r="D836" s="154"/>
      <c r="E836" s="154"/>
      <c r="F836" s="154"/>
      <c r="G836" s="55"/>
      <c r="H836" s="154"/>
      <c r="I836" s="154"/>
      <c r="J836" s="154"/>
      <c r="K836" s="154"/>
      <c r="L836" s="154"/>
      <c r="M836" s="154"/>
      <c r="N836" s="154"/>
      <c r="O836" s="154"/>
      <c r="P836" s="154"/>
      <c r="Q836" s="154"/>
      <c r="R836" s="154"/>
      <c r="S836" s="154"/>
      <c r="T836" s="154"/>
      <c r="U836" s="154"/>
      <c r="V836" s="154"/>
      <c r="W836" s="154"/>
      <c r="X836" s="154"/>
      <c r="Y836" s="154"/>
      <c r="Z836" s="154"/>
      <c r="AA836" s="154"/>
    </row>
    <row r="837">
      <c r="A837" s="154"/>
      <c r="B837" s="154"/>
      <c r="C837" s="154"/>
      <c r="D837" s="154"/>
      <c r="E837" s="154"/>
      <c r="F837" s="154"/>
      <c r="G837" s="55"/>
      <c r="H837" s="154"/>
      <c r="I837" s="154"/>
      <c r="J837" s="154"/>
      <c r="K837" s="154"/>
      <c r="L837" s="154"/>
      <c r="M837" s="154"/>
      <c r="N837" s="154"/>
      <c r="O837" s="154"/>
      <c r="P837" s="154"/>
      <c r="Q837" s="154"/>
      <c r="R837" s="154"/>
      <c r="S837" s="154"/>
      <c r="T837" s="154"/>
      <c r="U837" s="154"/>
      <c r="V837" s="154"/>
      <c r="W837" s="154"/>
      <c r="X837" s="154"/>
      <c r="Y837" s="154"/>
      <c r="Z837" s="154"/>
      <c r="AA837" s="154"/>
    </row>
    <row r="838">
      <c r="A838" s="154"/>
      <c r="B838" s="154"/>
      <c r="C838" s="154"/>
      <c r="D838" s="154"/>
      <c r="E838" s="154"/>
      <c r="F838" s="154"/>
      <c r="G838" s="55"/>
      <c r="H838" s="154"/>
      <c r="I838" s="154"/>
      <c r="J838" s="154"/>
      <c r="K838" s="154"/>
      <c r="L838" s="154"/>
      <c r="M838" s="154"/>
      <c r="N838" s="154"/>
      <c r="O838" s="154"/>
      <c r="P838" s="154"/>
      <c r="Q838" s="154"/>
      <c r="R838" s="154"/>
      <c r="S838" s="154"/>
      <c r="T838" s="154"/>
      <c r="U838" s="154"/>
      <c r="V838" s="154"/>
      <c r="W838" s="154"/>
      <c r="X838" s="154"/>
      <c r="Y838" s="154"/>
      <c r="Z838" s="154"/>
      <c r="AA838" s="154"/>
    </row>
    <row r="839">
      <c r="A839" s="154"/>
      <c r="B839" s="154"/>
      <c r="C839" s="154"/>
      <c r="D839" s="154"/>
      <c r="E839" s="154"/>
      <c r="F839" s="154"/>
      <c r="G839" s="55"/>
      <c r="H839" s="154"/>
      <c r="I839" s="154"/>
      <c r="J839" s="154"/>
      <c r="K839" s="154"/>
      <c r="L839" s="154"/>
      <c r="M839" s="154"/>
      <c r="N839" s="154"/>
      <c r="O839" s="154"/>
      <c r="P839" s="154"/>
      <c r="Q839" s="154"/>
      <c r="R839" s="154"/>
      <c r="S839" s="154"/>
      <c r="T839" s="154"/>
      <c r="U839" s="154"/>
      <c r="V839" s="154"/>
      <c r="W839" s="154"/>
      <c r="X839" s="154"/>
      <c r="Y839" s="154"/>
      <c r="Z839" s="154"/>
      <c r="AA839" s="154"/>
    </row>
    <row r="840">
      <c r="A840" s="154"/>
      <c r="B840" s="154"/>
      <c r="C840" s="154"/>
      <c r="D840" s="154"/>
      <c r="E840" s="154"/>
      <c r="F840" s="154"/>
      <c r="G840" s="55"/>
      <c r="H840" s="154"/>
      <c r="I840" s="154"/>
      <c r="J840" s="154"/>
      <c r="K840" s="154"/>
      <c r="L840" s="154"/>
      <c r="M840" s="154"/>
      <c r="N840" s="154"/>
      <c r="O840" s="154"/>
      <c r="P840" s="154"/>
      <c r="Q840" s="154"/>
      <c r="R840" s="154"/>
      <c r="S840" s="154"/>
      <c r="T840" s="154"/>
      <c r="U840" s="154"/>
      <c r="V840" s="154"/>
      <c r="W840" s="154"/>
      <c r="X840" s="154"/>
      <c r="Y840" s="154"/>
      <c r="Z840" s="154"/>
      <c r="AA840" s="154"/>
    </row>
    <row r="841">
      <c r="A841" s="154"/>
      <c r="B841" s="154"/>
      <c r="C841" s="154"/>
      <c r="D841" s="154"/>
      <c r="E841" s="154"/>
      <c r="F841" s="154"/>
      <c r="G841" s="55"/>
      <c r="H841" s="154"/>
      <c r="I841" s="154"/>
      <c r="J841" s="154"/>
      <c r="K841" s="154"/>
      <c r="L841" s="154"/>
      <c r="M841" s="154"/>
      <c r="N841" s="154"/>
      <c r="O841" s="154"/>
      <c r="P841" s="154"/>
      <c r="Q841" s="154"/>
      <c r="R841" s="154"/>
      <c r="S841" s="154"/>
      <c r="T841" s="154"/>
      <c r="U841" s="154"/>
      <c r="V841" s="154"/>
      <c r="W841" s="154"/>
      <c r="X841" s="154"/>
      <c r="Y841" s="154"/>
      <c r="Z841" s="154"/>
      <c r="AA841" s="154"/>
    </row>
    <row r="842">
      <c r="A842" s="154"/>
      <c r="B842" s="154"/>
      <c r="C842" s="154"/>
      <c r="D842" s="154"/>
      <c r="E842" s="154"/>
      <c r="F842" s="154"/>
      <c r="G842" s="55"/>
      <c r="H842" s="154"/>
      <c r="I842" s="154"/>
      <c r="J842" s="154"/>
      <c r="K842" s="154"/>
      <c r="L842" s="154"/>
      <c r="M842" s="154"/>
      <c r="N842" s="154"/>
      <c r="O842" s="154"/>
      <c r="P842" s="154"/>
      <c r="Q842" s="154"/>
      <c r="R842" s="154"/>
      <c r="S842" s="154"/>
      <c r="T842" s="154"/>
      <c r="U842" s="154"/>
      <c r="V842" s="154"/>
      <c r="W842" s="154"/>
      <c r="X842" s="154"/>
      <c r="Y842" s="154"/>
      <c r="Z842" s="154"/>
      <c r="AA842" s="154"/>
    </row>
    <row r="843">
      <c r="A843" s="154"/>
      <c r="B843" s="154"/>
      <c r="C843" s="154"/>
      <c r="D843" s="154"/>
      <c r="E843" s="154"/>
      <c r="F843" s="154"/>
      <c r="G843" s="55"/>
      <c r="H843" s="154"/>
      <c r="I843" s="154"/>
      <c r="J843" s="154"/>
      <c r="K843" s="154"/>
      <c r="L843" s="154"/>
      <c r="M843" s="154"/>
      <c r="N843" s="154"/>
      <c r="O843" s="154"/>
      <c r="P843" s="154"/>
      <c r="Q843" s="154"/>
      <c r="R843" s="154"/>
      <c r="S843" s="154"/>
      <c r="T843" s="154"/>
      <c r="U843" s="154"/>
      <c r="V843" s="154"/>
      <c r="W843" s="154"/>
      <c r="X843" s="154"/>
      <c r="Y843" s="154"/>
      <c r="Z843" s="154"/>
      <c r="AA843" s="154"/>
    </row>
    <row r="844">
      <c r="A844" s="154"/>
      <c r="B844" s="154"/>
      <c r="C844" s="154"/>
      <c r="D844" s="154"/>
      <c r="E844" s="154"/>
      <c r="F844" s="154"/>
      <c r="G844" s="55"/>
      <c r="H844" s="154"/>
      <c r="I844" s="154"/>
      <c r="J844" s="154"/>
      <c r="K844" s="154"/>
      <c r="L844" s="154"/>
      <c r="M844" s="154"/>
      <c r="N844" s="154"/>
      <c r="O844" s="154"/>
      <c r="P844" s="154"/>
      <c r="Q844" s="154"/>
      <c r="R844" s="154"/>
      <c r="S844" s="154"/>
      <c r="T844" s="154"/>
      <c r="U844" s="154"/>
      <c r="V844" s="154"/>
      <c r="W844" s="154"/>
      <c r="X844" s="154"/>
      <c r="Y844" s="154"/>
      <c r="Z844" s="154"/>
      <c r="AA844" s="154"/>
    </row>
    <row r="845">
      <c r="A845" s="154"/>
      <c r="B845" s="154"/>
      <c r="C845" s="154"/>
      <c r="D845" s="154"/>
      <c r="E845" s="154"/>
      <c r="F845" s="154"/>
      <c r="G845" s="55"/>
      <c r="H845" s="154"/>
      <c r="I845" s="154"/>
      <c r="J845" s="154"/>
      <c r="K845" s="154"/>
      <c r="L845" s="154"/>
      <c r="M845" s="154"/>
      <c r="N845" s="154"/>
      <c r="O845" s="154"/>
      <c r="P845" s="154"/>
      <c r="Q845" s="154"/>
      <c r="R845" s="154"/>
      <c r="S845" s="154"/>
      <c r="T845" s="154"/>
      <c r="U845" s="154"/>
      <c r="V845" s="154"/>
      <c r="W845" s="154"/>
      <c r="X845" s="154"/>
      <c r="Y845" s="154"/>
      <c r="Z845" s="154"/>
      <c r="AA845" s="154"/>
    </row>
    <row r="846">
      <c r="A846" s="154"/>
      <c r="B846" s="154"/>
      <c r="C846" s="154"/>
      <c r="D846" s="154"/>
      <c r="E846" s="154"/>
      <c r="F846" s="154"/>
      <c r="G846" s="55"/>
      <c r="H846" s="154"/>
      <c r="I846" s="154"/>
      <c r="J846" s="154"/>
      <c r="K846" s="154"/>
      <c r="L846" s="154"/>
      <c r="M846" s="154"/>
      <c r="N846" s="154"/>
      <c r="O846" s="154"/>
      <c r="P846" s="154"/>
      <c r="Q846" s="154"/>
      <c r="R846" s="154"/>
      <c r="S846" s="154"/>
      <c r="T846" s="154"/>
      <c r="U846" s="154"/>
      <c r="V846" s="154"/>
      <c r="W846" s="154"/>
      <c r="X846" s="154"/>
      <c r="Y846" s="154"/>
      <c r="Z846" s="154"/>
      <c r="AA846" s="154"/>
    </row>
    <row r="847">
      <c r="A847" s="154"/>
      <c r="B847" s="154"/>
      <c r="C847" s="154"/>
      <c r="D847" s="154"/>
      <c r="E847" s="154"/>
      <c r="F847" s="154"/>
      <c r="G847" s="55"/>
      <c r="H847" s="154"/>
      <c r="I847" s="154"/>
      <c r="J847" s="154"/>
      <c r="K847" s="154"/>
      <c r="L847" s="154"/>
      <c r="M847" s="154"/>
      <c r="N847" s="154"/>
      <c r="O847" s="154"/>
      <c r="P847" s="154"/>
      <c r="Q847" s="154"/>
      <c r="R847" s="154"/>
      <c r="S847" s="154"/>
      <c r="T847" s="154"/>
      <c r="U847" s="154"/>
      <c r="V847" s="154"/>
      <c r="W847" s="154"/>
      <c r="X847" s="154"/>
      <c r="Y847" s="154"/>
      <c r="Z847" s="154"/>
      <c r="AA847" s="154"/>
    </row>
    <row r="848">
      <c r="A848" s="154"/>
      <c r="B848" s="154"/>
      <c r="C848" s="154"/>
      <c r="D848" s="154"/>
      <c r="E848" s="154"/>
      <c r="F848" s="154"/>
      <c r="G848" s="55"/>
      <c r="H848" s="154"/>
      <c r="I848" s="154"/>
      <c r="J848" s="154"/>
      <c r="K848" s="154"/>
      <c r="L848" s="154"/>
      <c r="M848" s="154"/>
      <c r="N848" s="154"/>
      <c r="O848" s="154"/>
      <c r="P848" s="154"/>
      <c r="Q848" s="154"/>
      <c r="R848" s="154"/>
      <c r="S848" s="154"/>
      <c r="T848" s="154"/>
      <c r="U848" s="154"/>
      <c r="V848" s="154"/>
      <c r="W848" s="154"/>
      <c r="X848" s="154"/>
      <c r="Y848" s="154"/>
      <c r="Z848" s="154"/>
      <c r="AA848" s="154"/>
    </row>
    <row r="849">
      <c r="A849" s="154"/>
      <c r="B849" s="154"/>
      <c r="C849" s="154"/>
      <c r="D849" s="154"/>
      <c r="E849" s="154"/>
      <c r="F849" s="154"/>
      <c r="G849" s="55"/>
      <c r="H849" s="154"/>
      <c r="I849" s="154"/>
      <c r="J849" s="154"/>
      <c r="K849" s="154"/>
      <c r="L849" s="154"/>
      <c r="M849" s="154"/>
      <c r="N849" s="154"/>
      <c r="O849" s="154"/>
      <c r="P849" s="154"/>
      <c r="Q849" s="154"/>
      <c r="R849" s="154"/>
      <c r="S849" s="154"/>
      <c r="T849" s="154"/>
      <c r="U849" s="154"/>
      <c r="V849" s="154"/>
      <c r="W849" s="154"/>
      <c r="X849" s="154"/>
      <c r="Y849" s="154"/>
      <c r="Z849" s="154"/>
      <c r="AA849" s="154"/>
    </row>
    <row r="850">
      <c r="A850" s="154"/>
      <c r="B850" s="154"/>
      <c r="C850" s="154"/>
      <c r="D850" s="154"/>
      <c r="E850" s="154"/>
      <c r="F850" s="154"/>
      <c r="G850" s="55"/>
      <c r="H850" s="154"/>
      <c r="I850" s="154"/>
      <c r="J850" s="154"/>
      <c r="K850" s="154"/>
      <c r="L850" s="154"/>
      <c r="M850" s="154"/>
      <c r="N850" s="154"/>
      <c r="O850" s="154"/>
      <c r="P850" s="154"/>
      <c r="Q850" s="154"/>
      <c r="R850" s="154"/>
      <c r="S850" s="154"/>
      <c r="T850" s="154"/>
      <c r="U850" s="154"/>
      <c r="V850" s="154"/>
      <c r="W850" s="154"/>
      <c r="X850" s="154"/>
      <c r="Y850" s="154"/>
      <c r="Z850" s="154"/>
      <c r="AA850" s="154"/>
    </row>
    <row r="851">
      <c r="A851" s="154"/>
      <c r="B851" s="154"/>
      <c r="C851" s="154"/>
      <c r="D851" s="154"/>
      <c r="E851" s="154"/>
      <c r="F851" s="154"/>
      <c r="G851" s="55"/>
      <c r="H851" s="154"/>
      <c r="I851" s="154"/>
      <c r="J851" s="154"/>
      <c r="K851" s="154"/>
      <c r="L851" s="154"/>
      <c r="M851" s="154"/>
      <c r="N851" s="154"/>
      <c r="O851" s="154"/>
      <c r="P851" s="154"/>
      <c r="Q851" s="154"/>
      <c r="R851" s="154"/>
      <c r="S851" s="154"/>
      <c r="T851" s="154"/>
      <c r="U851" s="154"/>
      <c r="V851" s="154"/>
      <c r="W851" s="154"/>
      <c r="X851" s="154"/>
      <c r="Y851" s="154"/>
      <c r="Z851" s="154"/>
      <c r="AA851" s="154"/>
    </row>
    <row r="852">
      <c r="A852" s="154"/>
      <c r="B852" s="154"/>
      <c r="C852" s="154"/>
      <c r="D852" s="154"/>
      <c r="E852" s="154"/>
      <c r="F852" s="154"/>
      <c r="G852" s="55"/>
      <c r="H852" s="154"/>
      <c r="I852" s="154"/>
      <c r="J852" s="154"/>
      <c r="K852" s="154"/>
      <c r="L852" s="154"/>
      <c r="M852" s="154"/>
      <c r="N852" s="154"/>
      <c r="O852" s="154"/>
      <c r="P852" s="154"/>
      <c r="Q852" s="154"/>
      <c r="R852" s="154"/>
      <c r="S852" s="154"/>
      <c r="T852" s="154"/>
      <c r="U852" s="154"/>
      <c r="V852" s="154"/>
      <c r="W852" s="154"/>
      <c r="X852" s="154"/>
      <c r="Y852" s="154"/>
      <c r="Z852" s="154"/>
      <c r="AA852" s="154"/>
    </row>
    <row r="853">
      <c r="A853" s="154"/>
      <c r="B853" s="154"/>
      <c r="C853" s="154"/>
      <c r="D853" s="154"/>
      <c r="E853" s="154"/>
      <c r="F853" s="154"/>
      <c r="G853" s="55"/>
      <c r="H853" s="154"/>
      <c r="I853" s="154"/>
      <c r="J853" s="154"/>
      <c r="K853" s="154"/>
      <c r="L853" s="154"/>
      <c r="M853" s="154"/>
      <c r="N853" s="154"/>
      <c r="O853" s="154"/>
      <c r="P853" s="154"/>
      <c r="Q853" s="154"/>
      <c r="R853" s="154"/>
      <c r="S853" s="154"/>
      <c r="T853" s="154"/>
      <c r="U853" s="154"/>
      <c r="V853" s="154"/>
      <c r="W853" s="154"/>
      <c r="X853" s="154"/>
      <c r="Y853" s="154"/>
      <c r="Z853" s="154"/>
      <c r="AA853" s="154"/>
    </row>
    <row r="854">
      <c r="A854" s="154"/>
      <c r="B854" s="154"/>
      <c r="C854" s="154"/>
      <c r="D854" s="154"/>
      <c r="E854" s="154"/>
      <c r="F854" s="154"/>
      <c r="G854" s="55"/>
      <c r="H854" s="154"/>
      <c r="I854" s="154"/>
      <c r="J854" s="154"/>
      <c r="K854" s="154"/>
      <c r="L854" s="154"/>
      <c r="M854" s="154"/>
      <c r="N854" s="154"/>
      <c r="O854" s="154"/>
      <c r="P854" s="154"/>
      <c r="Q854" s="154"/>
      <c r="R854" s="154"/>
      <c r="S854" s="154"/>
      <c r="T854" s="154"/>
      <c r="U854" s="154"/>
      <c r="V854" s="154"/>
      <c r="W854" s="154"/>
      <c r="X854" s="154"/>
      <c r="Y854" s="154"/>
      <c r="Z854" s="154"/>
      <c r="AA854" s="154"/>
    </row>
    <row r="855">
      <c r="A855" s="154"/>
      <c r="B855" s="154"/>
      <c r="C855" s="154"/>
      <c r="D855" s="154"/>
      <c r="E855" s="154"/>
      <c r="F855" s="154"/>
      <c r="G855" s="55"/>
      <c r="H855" s="154"/>
      <c r="I855" s="154"/>
      <c r="J855" s="154"/>
      <c r="K855" s="154"/>
      <c r="L855" s="154"/>
      <c r="M855" s="154"/>
      <c r="N855" s="154"/>
      <c r="O855" s="154"/>
      <c r="P855" s="154"/>
      <c r="Q855" s="154"/>
      <c r="R855" s="154"/>
      <c r="S855" s="154"/>
      <c r="T855" s="154"/>
      <c r="U855" s="154"/>
      <c r="V855" s="154"/>
      <c r="W855" s="154"/>
      <c r="X855" s="154"/>
      <c r="Y855" s="154"/>
      <c r="Z855" s="154"/>
      <c r="AA855" s="154"/>
    </row>
    <row r="856">
      <c r="A856" s="154"/>
      <c r="B856" s="154"/>
      <c r="C856" s="154"/>
      <c r="D856" s="154"/>
      <c r="E856" s="154"/>
      <c r="F856" s="154"/>
      <c r="G856" s="55"/>
      <c r="H856" s="154"/>
      <c r="I856" s="154"/>
      <c r="J856" s="154"/>
      <c r="K856" s="154"/>
      <c r="L856" s="154"/>
      <c r="M856" s="154"/>
      <c r="N856" s="154"/>
      <c r="O856" s="154"/>
      <c r="P856" s="154"/>
      <c r="Q856" s="154"/>
      <c r="R856" s="154"/>
      <c r="S856" s="154"/>
      <c r="T856" s="154"/>
      <c r="U856" s="154"/>
      <c r="V856" s="154"/>
      <c r="W856" s="154"/>
      <c r="X856" s="154"/>
      <c r="Y856" s="154"/>
      <c r="Z856" s="154"/>
      <c r="AA856" s="154"/>
    </row>
    <row r="857">
      <c r="A857" s="154"/>
      <c r="B857" s="154"/>
      <c r="C857" s="154"/>
      <c r="D857" s="154"/>
      <c r="E857" s="154"/>
      <c r="F857" s="154"/>
      <c r="G857" s="55"/>
      <c r="H857" s="154"/>
      <c r="I857" s="154"/>
      <c r="J857" s="154"/>
      <c r="K857" s="154"/>
      <c r="L857" s="154"/>
      <c r="M857" s="154"/>
      <c r="N857" s="154"/>
      <c r="O857" s="154"/>
      <c r="P857" s="154"/>
      <c r="Q857" s="154"/>
      <c r="R857" s="154"/>
      <c r="S857" s="154"/>
      <c r="T857" s="154"/>
      <c r="U857" s="154"/>
      <c r="V857" s="154"/>
      <c r="W857" s="154"/>
      <c r="X857" s="154"/>
      <c r="Y857" s="154"/>
      <c r="Z857" s="154"/>
      <c r="AA857" s="154"/>
    </row>
    <row r="858">
      <c r="A858" s="154"/>
      <c r="B858" s="154"/>
      <c r="C858" s="154"/>
      <c r="D858" s="154"/>
      <c r="E858" s="154"/>
      <c r="F858" s="154"/>
      <c r="G858" s="55"/>
      <c r="H858" s="154"/>
      <c r="I858" s="154"/>
      <c r="J858" s="154"/>
      <c r="K858" s="154"/>
      <c r="L858" s="154"/>
      <c r="M858" s="154"/>
      <c r="N858" s="154"/>
      <c r="O858" s="154"/>
      <c r="P858" s="154"/>
      <c r="Q858" s="154"/>
      <c r="R858" s="154"/>
      <c r="S858" s="154"/>
      <c r="T858" s="154"/>
      <c r="U858" s="154"/>
      <c r="V858" s="154"/>
      <c r="W858" s="154"/>
      <c r="X858" s="154"/>
      <c r="Y858" s="154"/>
      <c r="Z858" s="154"/>
      <c r="AA858" s="154"/>
    </row>
    <row r="859">
      <c r="A859" s="154"/>
      <c r="B859" s="154"/>
      <c r="C859" s="154"/>
      <c r="D859" s="154"/>
      <c r="E859" s="154"/>
      <c r="F859" s="154"/>
      <c r="G859" s="55"/>
      <c r="H859" s="154"/>
      <c r="I859" s="154"/>
      <c r="J859" s="154"/>
      <c r="K859" s="154"/>
      <c r="L859" s="154"/>
      <c r="M859" s="154"/>
      <c r="N859" s="154"/>
      <c r="O859" s="154"/>
      <c r="P859" s="154"/>
      <c r="Q859" s="154"/>
      <c r="R859" s="154"/>
      <c r="S859" s="154"/>
      <c r="T859" s="154"/>
      <c r="U859" s="154"/>
      <c r="V859" s="154"/>
      <c r="W859" s="154"/>
      <c r="X859" s="154"/>
      <c r="Y859" s="154"/>
      <c r="Z859" s="154"/>
      <c r="AA859" s="154"/>
    </row>
    <row r="860">
      <c r="A860" s="154"/>
      <c r="B860" s="154"/>
      <c r="C860" s="154"/>
      <c r="D860" s="154"/>
      <c r="E860" s="154"/>
      <c r="F860" s="154"/>
      <c r="G860" s="55"/>
      <c r="H860" s="154"/>
      <c r="I860" s="154"/>
      <c r="J860" s="154"/>
      <c r="K860" s="154"/>
      <c r="L860" s="154"/>
      <c r="M860" s="154"/>
      <c r="N860" s="154"/>
      <c r="O860" s="154"/>
      <c r="P860" s="154"/>
      <c r="Q860" s="154"/>
      <c r="R860" s="154"/>
      <c r="S860" s="154"/>
      <c r="T860" s="154"/>
      <c r="U860" s="154"/>
      <c r="V860" s="154"/>
      <c r="W860" s="154"/>
      <c r="X860" s="154"/>
      <c r="Y860" s="154"/>
      <c r="Z860" s="154"/>
      <c r="AA860" s="154"/>
    </row>
    <row r="861">
      <c r="A861" s="154"/>
      <c r="B861" s="154"/>
      <c r="C861" s="154"/>
      <c r="D861" s="154"/>
      <c r="E861" s="154"/>
      <c r="F861" s="154"/>
      <c r="G861" s="55"/>
      <c r="H861" s="154"/>
      <c r="I861" s="154"/>
      <c r="J861" s="154"/>
      <c r="K861" s="154"/>
      <c r="L861" s="154"/>
      <c r="M861" s="154"/>
      <c r="N861" s="154"/>
      <c r="O861" s="154"/>
      <c r="P861" s="154"/>
      <c r="Q861" s="154"/>
      <c r="R861" s="154"/>
      <c r="S861" s="154"/>
      <c r="T861" s="154"/>
      <c r="U861" s="154"/>
      <c r="V861" s="154"/>
      <c r="W861" s="154"/>
      <c r="X861" s="154"/>
      <c r="Y861" s="154"/>
      <c r="Z861" s="154"/>
      <c r="AA861" s="154"/>
    </row>
    <row r="862">
      <c r="A862" s="154"/>
      <c r="B862" s="154"/>
      <c r="C862" s="154"/>
      <c r="D862" s="154"/>
      <c r="E862" s="154"/>
      <c r="F862" s="154"/>
      <c r="G862" s="55"/>
      <c r="H862" s="154"/>
      <c r="I862" s="154"/>
      <c r="J862" s="154"/>
      <c r="K862" s="154"/>
      <c r="L862" s="154"/>
      <c r="M862" s="154"/>
      <c r="N862" s="154"/>
      <c r="O862" s="154"/>
      <c r="P862" s="154"/>
      <c r="Q862" s="154"/>
      <c r="R862" s="154"/>
      <c r="S862" s="154"/>
      <c r="T862" s="154"/>
      <c r="U862" s="154"/>
      <c r="V862" s="154"/>
      <c r="W862" s="154"/>
      <c r="X862" s="154"/>
      <c r="Y862" s="154"/>
      <c r="Z862" s="154"/>
      <c r="AA862" s="154"/>
    </row>
    <row r="863">
      <c r="A863" s="154"/>
      <c r="B863" s="154"/>
      <c r="C863" s="154"/>
      <c r="D863" s="154"/>
      <c r="E863" s="154"/>
      <c r="F863" s="154"/>
      <c r="G863" s="55"/>
      <c r="H863" s="154"/>
      <c r="I863" s="154"/>
      <c r="J863" s="154"/>
      <c r="K863" s="154"/>
      <c r="L863" s="154"/>
      <c r="M863" s="154"/>
      <c r="N863" s="154"/>
      <c r="O863" s="154"/>
      <c r="P863" s="154"/>
      <c r="Q863" s="154"/>
      <c r="R863" s="154"/>
      <c r="S863" s="154"/>
      <c r="T863" s="154"/>
      <c r="U863" s="154"/>
      <c r="V863" s="154"/>
      <c r="W863" s="154"/>
      <c r="X863" s="154"/>
      <c r="Y863" s="154"/>
      <c r="Z863" s="154"/>
      <c r="AA863" s="154"/>
    </row>
    <row r="864">
      <c r="A864" s="154"/>
      <c r="B864" s="154"/>
      <c r="C864" s="154"/>
      <c r="D864" s="154"/>
      <c r="E864" s="154"/>
      <c r="F864" s="154"/>
      <c r="G864" s="55"/>
      <c r="H864" s="154"/>
      <c r="I864" s="154"/>
      <c r="J864" s="154"/>
      <c r="K864" s="154"/>
      <c r="L864" s="154"/>
      <c r="M864" s="154"/>
      <c r="N864" s="154"/>
      <c r="O864" s="154"/>
      <c r="P864" s="154"/>
      <c r="Q864" s="154"/>
      <c r="R864" s="154"/>
      <c r="S864" s="154"/>
      <c r="T864" s="154"/>
      <c r="U864" s="154"/>
      <c r="V864" s="154"/>
      <c r="W864" s="154"/>
      <c r="X864" s="154"/>
      <c r="Y864" s="154"/>
      <c r="Z864" s="154"/>
      <c r="AA864" s="154"/>
    </row>
    <row r="865">
      <c r="A865" s="154"/>
      <c r="B865" s="154"/>
      <c r="C865" s="154"/>
      <c r="D865" s="154"/>
      <c r="E865" s="154"/>
      <c r="F865" s="154"/>
      <c r="G865" s="55"/>
      <c r="H865" s="154"/>
      <c r="I865" s="154"/>
      <c r="J865" s="154"/>
      <c r="K865" s="154"/>
      <c r="L865" s="154"/>
      <c r="M865" s="154"/>
      <c r="N865" s="154"/>
      <c r="O865" s="154"/>
      <c r="P865" s="154"/>
      <c r="Q865" s="154"/>
      <c r="R865" s="154"/>
      <c r="S865" s="154"/>
      <c r="T865" s="154"/>
      <c r="U865" s="154"/>
      <c r="V865" s="154"/>
      <c r="W865" s="154"/>
      <c r="X865" s="154"/>
      <c r="Y865" s="154"/>
      <c r="Z865" s="154"/>
      <c r="AA865" s="154"/>
    </row>
    <row r="866">
      <c r="A866" s="154"/>
      <c r="B866" s="154"/>
      <c r="C866" s="154"/>
      <c r="D866" s="154"/>
      <c r="E866" s="154"/>
      <c r="F866" s="154"/>
      <c r="G866" s="55"/>
      <c r="H866" s="154"/>
      <c r="I866" s="154"/>
      <c r="J866" s="154"/>
      <c r="K866" s="154"/>
      <c r="L866" s="154"/>
      <c r="M866" s="154"/>
      <c r="N866" s="154"/>
      <c r="O866" s="154"/>
      <c r="P866" s="154"/>
      <c r="Q866" s="154"/>
      <c r="R866" s="154"/>
      <c r="S866" s="154"/>
      <c r="T866" s="154"/>
      <c r="U866" s="154"/>
      <c r="V866" s="154"/>
      <c r="W866" s="154"/>
      <c r="X866" s="154"/>
      <c r="Y866" s="154"/>
      <c r="Z866" s="154"/>
      <c r="AA866" s="154"/>
    </row>
    <row r="867">
      <c r="A867" s="154"/>
      <c r="B867" s="154"/>
      <c r="C867" s="154"/>
      <c r="D867" s="154"/>
      <c r="E867" s="154"/>
      <c r="F867" s="154"/>
      <c r="G867" s="55"/>
      <c r="H867" s="154"/>
      <c r="I867" s="154"/>
      <c r="J867" s="154"/>
      <c r="K867" s="154"/>
      <c r="L867" s="154"/>
      <c r="M867" s="154"/>
      <c r="N867" s="154"/>
      <c r="O867" s="154"/>
      <c r="P867" s="154"/>
      <c r="Q867" s="154"/>
      <c r="R867" s="154"/>
      <c r="S867" s="154"/>
      <c r="T867" s="154"/>
      <c r="U867" s="154"/>
      <c r="V867" s="154"/>
      <c r="W867" s="154"/>
      <c r="X867" s="154"/>
      <c r="Y867" s="154"/>
      <c r="Z867" s="154"/>
      <c r="AA867" s="154"/>
    </row>
    <row r="868">
      <c r="A868" s="154"/>
      <c r="B868" s="154"/>
      <c r="C868" s="154"/>
      <c r="D868" s="154"/>
      <c r="E868" s="154"/>
      <c r="F868" s="154"/>
      <c r="G868" s="55"/>
      <c r="H868" s="154"/>
      <c r="I868" s="154"/>
      <c r="J868" s="154"/>
      <c r="K868" s="154"/>
      <c r="L868" s="154"/>
      <c r="M868" s="154"/>
      <c r="N868" s="154"/>
      <c r="O868" s="154"/>
      <c r="P868" s="154"/>
      <c r="Q868" s="154"/>
      <c r="R868" s="154"/>
      <c r="S868" s="154"/>
      <c r="T868" s="154"/>
      <c r="U868" s="154"/>
      <c r="V868" s="154"/>
      <c r="W868" s="154"/>
      <c r="X868" s="154"/>
      <c r="Y868" s="154"/>
      <c r="Z868" s="154"/>
      <c r="AA868" s="154"/>
    </row>
    <row r="869">
      <c r="A869" s="154"/>
      <c r="B869" s="154"/>
      <c r="C869" s="154"/>
      <c r="D869" s="154"/>
      <c r="E869" s="154"/>
      <c r="F869" s="154"/>
      <c r="G869" s="55"/>
      <c r="H869" s="154"/>
      <c r="I869" s="154"/>
      <c r="J869" s="154"/>
      <c r="K869" s="154"/>
      <c r="L869" s="154"/>
      <c r="M869" s="154"/>
      <c r="N869" s="154"/>
      <c r="O869" s="154"/>
      <c r="P869" s="154"/>
      <c r="Q869" s="154"/>
      <c r="R869" s="154"/>
      <c r="S869" s="154"/>
      <c r="T869" s="154"/>
      <c r="U869" s="154"/>
      <c r="V869" s="154"/>
      <c r="W869" s="154"/>
      <c r="X869" s="154"/>
      <c r="Y869" s="154"/>
      <c r="Z869" s="154"/>
      <c r="AA869" s="154"/>
    </row>
    <row r="870">
      <c r="A870" s="154"/>
      <c r="B870" s="154"/>
      <c r="C870" s="154"/>
      <c r="D870" s="154"/>
      <c r="E870" s="154"/>
      <c r="F870" s="154"/>
      <c r="G870" s="55"/>
      <c r="H870" s="154"/>
      <c r="I870" s="154"/>
      <c r="J870" s="154"/>
      <c r="K870" s="154"/>
      <c r="L870" s="154"/>
      <c r="M870" s="154"/>
      <c r="N870" s="154"/>
      <c r="O870" s="154"/>
      <c r="P870" s="154"/>
      <c r="Q870" s="154"/>
      <c r="R870" s="154"/>
      <c r="S870" s="154"/>
      <c r="T870" s="154"/>
      <c r="U870" s="154"/>
      <c r="V870" s="154"/>
      <c r="W870" s="154"/>
      <c r="X870" s="154"/>
      <c r="Y870" s="154"/>
      <c r="Z870" s="154"/>
      <c r="AA870" s="154"/>
    </row>
    <row r="871">
      <c r="A871" s="154"/>
      <c r="B871" s="154"/>
      <c r="C871" s="154"/>
      <c r="D871" s="154"/>
      <c r="E871" s="154"/>
      <c r="F871" s="154"/>
      <c r="G871" s="55"/>
      <c r="H871" s="154"/>
      <c r="I871" s="154"/>
      <c r="J871" s="154"/>
      <c r="K871" s="154"/>
      <c r="L871" s="154"/>
      <c r="M871" s="154"/>
      <c r="N871" s="154"/>
      <c r="O871" s="154"/>
      <c r="P871" s="154"/>
      <c r="Q871" s="154"/>
      <c r="R871" s="154"/>
      <c r="S871" s="154"/>
      <c r="T871" s="154"/>
      <c r="U871" s="154"/>
      <c r="V871" s="154"/>
      <c r="W871" s="154"/>
      <c r="X871" s="154"/>
      <c r="Y871" s="154"/>
      <c r="Z871" s="154"/>
      <c r="AA871" s="154"/>
    </row>
    <row r="872">
      <c r="A872" s="154"/>
      <c r="B872" s="154"/>
      <c r="C872" s="154"/>
      <c r="D872" s="154"/>
      <c r="E872" s="154"/>
      <c r="F872" s="154"/>
      <c r="G872" s="55"/>
      <c r="H872" s="154"/>
      <c r="I872" s="154"/>
      <c r="J872" s="154"/>
      <c r="K872" s="154"/>
      <c r="L872" s="154"/>
      <c r="M872" s="154"/>
      <c r="N872" s="154"/>
      <c r="O872" s="154"/>
      <c r="P872" s="154"/>
      <c r="Q872" s="154"/>
      <c r="R872" s="154"/>
      <c r="S872" s="154"/>
      <c r="T872" s="154"/>
      <c r="U872" s="154"/>
      <c r="V872" s="154"/>
      <c r="W872" s="154"/>
      <c r="X872" s="154"/>
      <c r="Y872" s="154"/>
      <c r="Z872" s="154"/>
      <c r="AA872" s="154"/>
    </row>
    <row r="873">
      <c r="A873" s="154"/>
      <c r="B873" s="154"/>
      <c r="C873" s="154"/>
      <c r="D873" s="154"/>
      <c r="E873" s="154"/>
      <c r="F873" s="154"/>
      <c r="G873" s="55"/>
      <c r="H873" s="154"/>
      <c r="I873" s="154"/>
      <c r="J873" s="154"/>
      <c r="K873" s="154"/>
      <c r="L873" s="154"/>
      <c r="M873" s="154"/>
      <c r="N873" s="154"/>
      <c r="O873" s="154"/>
      <c r="P873" s="154"/>
      <c r="Q873" s="154"/>
      <c r="R873" s="154"/>
      <c r="S873" s="154"/>
      <c r="T873" s="154"/>
      <c r="U873" s="154"/>
      <c r="V873" s="154"/>
      <c r="W873" s="154"/>
      <c r="X873" s="154"/>
      <c r="Y873" s="154"/>
      <c r="Z873" s="154"/>
      <c r="AA873" s="154"/>
    </row>
    <row r="874">
      <c r="A874" s="154"/>
      <c r="B874" s="154"/>
      <c r="C874" s="154"/>
      <c r="D874" s="154"/>
      <c r="E874" s="154"/>
      <c r="F874" s="154"/>
      <c r="G874" s="55"/>
      <c r="H874" s="154"/>
      <c r="I874" s="154"/>
      <c r="J874" s="154"/>
      <c r="K874" s="154"/>
      <c r="L874" s="154"/>
      <c r="M874" s="154"/>
      <c r="N874" s="154"/>
      <c r="O874" s="154"/>
      <c r="P874" s="154"/>
      <c r="Q874" s="154"/>
      <c r="R874" s="154"/>
      <c r="S874" s="154"/>
      <c r="T874" s="154"/>
      <c r="U874" s="154"/>
      <c r="V874" s="154"/>
      <c r="W874" s="154"/>
      <c r="X874" s="154"/>
      <c r="Y874" s="154"/>
      <c r="Z874" s="154"/>
      <c r="AA874" s="154"/>
    </row>
    <row r="875">
      <c r="A875" s="154"/>
      <c r="B875" s="154"/>
      <c r="C875" s="154"/>
      <c r="D875" s="154"/>
      <c r="E875" s="154"/>
      <c r="F875" s="154"/>
      <c r="G875" s="55"/>
      <c r="H875" s="154"/>
      <c r="I875" s="154"/>
      <c r="J875" s="154"/>
      <c r="K875" s="154"/>
      <c r="L875" s="154"/>
      <c r="M875" s="154"/>
      <c r="N875" s="154"/>
      <c r="O875" s="154"/>
      <c r="P875" s="154"/>
      <c r="Q875" s="154"/>
      <c r="R875" s="154"/>
      <c r="S875" s="154"/>
      <c r="T875" s="154"/>
      <c r="U875" s="154"/>
      <c r="V875" s="154"/>
      <c r="W875" s="154"/>
      <c r="X875" s="154"/>
      <c r="Y875" s="154"/>
      <c r="Z875" s="154"/>
      <c r="AA875" s="154"/>
    </row>
    <row r="876">
      <c r="A876" s="154"/>
      <c r="B876" s="154"/>
      <c r="C876" s="154"/>
      <c r="D876" s="154"/>
      <c r="E876" s="154"/>
      <c r="F876" s="154"/>
      <c r="G876" s="55"/>
      <c r="H876" s="154"/>
      <c r="I876" s="154"/>
      <c r="J876" s="154"/>
      <c r="K876" s="154"/>
      <c r="L876" s="154"/>
      <c r="M876" s="154"/>
      <c r="N876" s="154"/>
      <c r="O876" s="154"/>
      <c r="P876" s="154"/>
      <c r="Q876" s="154"/>
      <c r="R876" s="154"/>
      <c r="S876" s="154"/>
      <c r="T876" s="154"/>
      <c r="U876" s="154"/>
      <c r="V876" s="154"/>
      <c r="W876" s="154"/>
      <c r="X876" s="154"/>
      <c r="Y876" s="154"/>
      <c r="Z876" s="154"/>
      <c r="AA876" s="154"/>
    </row>
    <row r="877">
      <c r="A877" s="154"/>
      <c r="B877" s="154"/>
      <c r="C877" s="154"/>
      <c r="D877" s="154"/>
      <c r="E877" s="154"/>
      <c r="F877" s="154"/>
      <c r="G877" s="55"/>
      <c r="H877" s="154"/>
      <c r="I877" s="154"/>
      <c r="J877" s="154"/>
      <c r="K877" s="154"/>
      <c r="L877" s="154"/>
      <c r="M877" s="154"/>
      <c r="N877" s="154"/>
      <c r="O877" s="154"/>
      <c r="P877" s="154"/>
      <c r="Q877" s="154"/>
      <c r="R877" s="154"/>
      <c r="S877" s="154"/>
      <c r="T877" s="154"/>
      <c r="U877" s="154"/>
      <c r="V877" s="154"/>
      <c r="W877" s="154"/>
      <c r="X877" s="154"/>
      <c r="Y877" s="154"/>
      <c r="Z877" s="154"/>
      <c r="AA877" s="154"/>
    </row>
    <row r="878">
      <c r="A878" s="154"/>
      <c r="B878" s="154"/>
      <c r="C878" s="154"/>
      <c r="D878" s="154"/>
      <c r="E878" s="154"/>
      <c r="F878" s="154"/>
      <c r="G878" s="55"/>
      <c r="H878" s="154"/>
      <c r="I878" s="154"/>
      <c r="J878" s="154"/>
      <c r="K878" s="154"/>
      <c r="L878" s="154"/>
      <c r="M878" s="154"/>
      <c r="N878" s="154"/>
      <c r="O878" s="154"/>
      <c r="P878" s="154"/>
      <c r="Q878" s="154"/>
      <c r="R878" s="154"/>
      <c r="S878" s="154"/>
      <c r="T878" s="154"/>
      <c r="U878" s="154"/>
      <c r="V878" s="154"/>
      <c r="W878" s="154"/>
      <c r="X878" s="154"/>
      <c r="Y878" s="154"/>
      <c r="Z878" s="154"/>
      <c r="AA878" s="154"/>
    </row>
    <row r="879">
      <c r="A879" s="154"/>
      <c r="B879" s="154"/>
      <c r="C879" s="154"/>
      <c r="D879" s="154"/>
      <c r="E879" s="154"/>
      <c r="F879" s="154"/>
      <c r="G879" s="55"/>
      <c r="H879" s="154"/>
      <c r="I879" s="154"/>
      <c r="J879" s="154"/>
      <c r="K879" s="154"/>
      <c r="L879" s="154"/>
      <c r="M879" s="154"/>
      <c r="N879" s="154"/>
      <c r="O879" s="154"/>
      <c r="P879" s="154"/>
      <c r="Q879" s="154"/>
      <c r="R879" s="154"/>
      <c r="S879" s="154"/>
      <c r="T879" s="154"/>
      <c r="U879" s="154"/>
      <c r="V879" s="154"/>
      <c r="W879" s="154"/>
      <c r="X879" s="154"/>
      <c r="Y879" s="154"/>
      <c r="Z879" s="154"/>
      <c r="AA879" s="154"/>
    </row>
    <row r="880">
      <c r="A880" s="154"/>
      <c r="B880" s="154"/>
      <c r="C880" s="154"/>
      <c r="D880" s="154"/>
      <c r="E880" s="154"/>
      <c r="F880" s="154"/>
      <c r="G880" s="55"/>
      <c r="H880" s="154"/>
      <c r="I880" s="154"/>
      <c r="J880" s="154"/>
      <c r="K880" s="154"/>
      <c r="L880" s="154"/>
      <c r="M880" s="154"/>
      <c r="N880" s="154"/>
      <c r="O880" s="154"/>
      <c r="P880" s="154"/>
      <c r="Q880" s="154"/>
      <c r="R880" s="154"/>
      <c r="S880" s="154"/>
      <c r="T880" s="154"/>
      <c r="U880" s="154"/>
      <c r="V880" s="154"/>
      <c r="W880" s="154"/>
      <c r="X880" s="154"/>
      <c r="Y880" s="154"/>
      <c r="Z880" s="154"/>
      <c r="AA880" s="154"/>
    </row>
    <row r="881">
      <c r="A881" s="154"/>
      <c r="B881" s="154"/>
      <c r="C881" s="154"/>
      <c r="D881" s="154"/>
      <c r="E881" s="154"/>
      <c r="F881" s="154"/>
      <c r="G881" s="55"/>
      <c r="H881" s="154"/>
      <c r="I881" s="154"/>
      <c r="J881" s="154"/>
      <c r="K881" s="154"/>
      <c r="L881" s="154"/>
      <c r="M881" s="154"/>
      <c r="N881" s="154"/>
      <c r="O881" s="154"/>
      <c r="P881" s="154"/>
      <c r="Q881" s="154"/>
      <c r="R881" s="154"/>
      <c r="S881" s="154"/>
      <c r="T881" s="154"/>
      <c r="U881" s="154"/>
      <c r="V881" s="154"/>
      <c r="W881" s="154"/>
      <c r="X881" s="154"/>
      <c r="Y881" s="154"/>
      <c r="Z881" s="154"/>
      <c r="AA881" s="154"/>
    </row>
    <row r="882">
      <c r="A882" s="154"/>
      <c r="B882" s="154"/>
      <c r="C882" s="154"/>
      <c r="D882" s="154"/>
      <c r="E882" s="154"/>
      <c r="F882" s="154"/>
      <c r="G882" s="55"/>
      <c r="H882" s="154"/>
      <c r="I882" s="154"/>
      <c r="J882" s="154"/>
      <c r="K882" s="154"/>
      <c r="L882" s="154"/>
      <c r="M882" s="154"/>
      <c r="N882" s="154"/>
      <c r="O882" s="154"/>
      <c r="P882" s="154"/>
      <c r="Q882" s="154"/>
      <c r="R882" s="154"/>
      <c r="S882" s="154"/>
      <c r="T882" s="154"/>
      <c r="U882" s="154"/>
      <c r="V882" s="154"/>
      <c r="W882" s="154"/>
      <c r="X882" s="154"/>
      <c r="Y882" s="154"/>
      <c r="Z882" s="154"/>
      <c r="AA882" s="154"/>
    </row>
    <row r="883">
      <c r="A883" s="154"/>
      <c r="B883" s="154"/>
      <c r="C883" s="154"/>
      <c r="D883" s="154"/>
      <c r="E883" s="154"/>
      <c r="F883" s="154"/>
      <c r="G883" s="55"/>
      <c r="H883" s="154"/>
      <c r="I883" s="154"/>
      <c r="J883" s="154"/>
      <c r="K883" s="154"/>
      <c r="L883" s="154"/>
      <c r="M883" s="154"/>
      <c r="N883" s="154"/>
      <c r="O883" s="154"/>
      <c r="P883" s="154"/>
      <c r="Q883" s="154"/>
      <c r="R883" s="154"/>
      <c r="S883" s="154"/>
      <c r="T883" s="154"/>
      <c r="U883" s="154"/>
      <c r="V883" s="154"/>
      <c r="W883" s="154"/>
      <c r="X883" s="154"/>
      <c r="Y883" s="154"/>
      <c r="Z883" s="154"/>
      <c r="AA883" s="154"/>
    </row>
    <row r="884">
      <c r="A884" s="154"/>
      <c r="B884" s="154"/>
      <c r="C884" s="154"/>
      <c r="D884" s="154"/>
      <c r="E884" s="154"/>
      <c r="F884" s="154"/>
      <c r="G884" s="55"/>
      <c r="H884" s="154"/>
      <c r="I884" s="154"/>
      <c r="J884" s="154"/>
      <c r="K884" s="154"/>
      <c r="L884" s="154"/>
      <c r="M884" s="154"/>
      <c r="N884" s="154"/>
      <c r="O884" s="154"/>
      <c r="P884" s="154"/>
      <c r="Q884" s="154"/>
      <c r="R884" s="154"/>
      <c r="S884" s="154"/>
      <c r="T884" s="154"/>
      <c r="U884" s="154"/>
      <c r="V884" s="154"/>
      <c r="W884" s="154"/>
      <c r="X884" s="154"/>
      <c r="Y884" s="154"/>
      <c r="Z884" s="154"/>
      <c r="AA884" s="154"/>
    </row>
    <row r="885">
      <c r="A885" s="154"/>
      <c r="B885" s="154"/>
      <c r="C885" s="154"/>
      <c r="D885" s="154"/>
      <c r="E885" s="154"/>
      <c r="F885" s="154"/>
      <c r="G885" s="55"/>
      <c r="H885" s="154"/>
      <c r="I885" s="154"/>
      <c r="J885" s="154"/>
      <c r="K885" s="154"/>
      <c r="L885" s="154"/>
      <c r="M885" s="154"/>
      <c r="N885" s="154"/>
      <c r="O885" s="154"/>
      <c r="P885" s="154"/>
      <c r="Q885" s="154"/>
      <c r="R885" s="154"/>
      <c r="S885" s="154"/>
      <c r="T885" s="154"/>
      <c r="U885" s="154"/>
      <c r="V885" s="154"/>
      <c r="W885" s="154"/>
      <c r="X885" s="154"/>
      <c r="Y885" s="154"/>
      <c r="Z885" s="154"/>
      <c r="AA885" s="154"/>
    </row>
    <row r="886">
      <c r="A886" s="154"/>
      <c r="B886" s="154"/>
      <c r="C886" s="154"/>
      <c r="D886" s="154"/>
      <c r="E886" s="154"/>
      <c r="F886" s="154"/>
      <c r="G886" s="55"/>
      <c r="H886" s="154"/>
      <c r="I886" s="154"/>
      <c r="J886" s="154"/>
      <c r="K886" s="154"/>
      <c r="L886" s="154"/>
      <c r="M886" s="154"/>
      <c r="N886" s="154"/>
      <c r="O886" s="154"/>
      <c r="P886" s="154"/>
      <c r="Q886" s="154"/>
      <c r="R886" s="154"/>
      <c r="S886" s="154"/>
      <c r="T886" s="154"/>
      <c r="U886" s="154"/>
      <c r="V886" s="154"/>
      <c r="W886" s="154"/>
      <c r="X886" s="154"/>
      <c r="Y886" s="154"/>
      <c r="Z886" s="154"/>
      <c r="AA886" s="154"/>
    </row>
    <row r="887">
      <c r="A887" s="154"/>
      <c r="B887" s="154"/>
      <c r="C887" s="154"/>
      <c r="D887" s="154"/>
      <c r="E887" s="154"/>
      <c r="F887" s="154"/>
      <c r="G887" s="55"/>
      <c r="H887" s="154"/>
      <c r="I887" s="154"/>
      <c r="J887" s="154"/>
      <c r="K887" s="154"/>
      <c r="L887" s="154"/>
      <c r="M887" s="154"/>
      <c r="N887" s="154"/>
      <c r="O887" s="154"/>
      <c r="P887" s="154"/>
      <c r="Q887" s="154"/>
      <c r="R887" s="154"/>
      <c r="S887" s="154"/>
      <c r="T887" s="154"/>
      <c r="U887" s="154"/>
      <c r="V887" s="154"/>
      <c r="W887" s="154"/>
      <c r="X887" s="154"/>
      <c r="Y887" s="154"/>
      <c r="Z887" s="154"/>
      <c r="AA887" s="154"/>
    </row>
    <row r="888">
      <c r="A888" s="154"/>
      <c r="B888" s="154"/>
      <c r="C888" s="154"/>
      <c r="D888" s="154"/>
      <c r="E888" s="154"/>
      <c r="F888" s="154"/>
      <c r="G888" s="55"/>
      <c r="H888" s="154"/>
      <c r="I888" s="154"/>
      <c r="J888" s="154"/>
      <c r="K888" s="154"/>
      <c r="L888" s="154"/>
      <c r="M888" s="154"/>
      <c r="N888" s="154"/>
      <c r="O888" s="154"/>
      <c r="P888" s="154"/>
      <c r="Q888" s="154"/>
      <c r="R888" s="154"/>
      <c r="S888" s="154"/>
      <c r="T888" s="154"/>
      <c r="U888" s="154"/>
      <c r="V888" s="154"/>
      <c r="W888" s="154"/>
      <c r="X888" s="154"/>
      <c r="Y888" s="154"/>
      <c r="Z888" s="154"/>
      <c r="AA888" s="154"/>
    </row>
    <row r="889">
      <c r="A889" s="154"/>
      <c r="B889" s="154"/>
      <c r="C889" s="154"/>
      <c r="D889" s="154"/>
      <c r="E889" s="154"/>
      <c r="F889" s="154"/>
      <c r="G889" s="55"/>
      <c r="H889" s="154"/>
      <c r="I889" s="154"/>
      <c r="J889" s="154"/>
      <c r="K889" s="154"/>
      <c r="L889" s="154"/>
      <c r="M889" s="154"/>
      <c r="N889" s="154"/>
      <c r="O889" s="154"/>
      <c r="P889" s="154"/>
      <c r="Q889" s="154"/>
      <c r="R889" s="154"/>
      <c r="S889" s="154"/>
      <c r="T889" s="154"/>
      <c r="U889" s="154"/>
      <c r="V889" s="154"/>
      <c r="W889" s="154"/>
      <c r="X889" s="154"/>
      <c r="Y889" s="154"/>
      <c r="Z889" s="154"/>
      <c r="AA889" s="154"/>
    </row>
    <row r="890">
      <c r="A890" s="154"/>
      <c r="B890" s="154"/>
      <c r="C890" s="154"/>
      <c r="D890" s="154"/>
      <c r="E890" s="154"/>
      <c r="F890" s="154"/>
      <c r="G890" s="55"/>
      <c r="H890" s="154"/>
      <c r="I890" s="154"/>
      <c r="J890" s="154"/>
      <c r="K890" s="154"/>
      <c r="L890" s="154"/>
      <c r="M890" s="154"/>
      <c r="N890" s="154"/>
      <c r="O890" s="154"/>
      <c r="P890" s="154"/>
      <c r="Q890" s="154"/>
      <c r="R890" s="154"/>
      <c r="S890" s="154"/>
      <c r="T890" s="154"/>
      <c r="U890" s="154"/>
      <c r="V890" s="154"/>
      <c r="W890" s="154"/>
      <c r="X890" s="154"/>
      <c r="Y890" s="154"/>
      <c r="Z890" s="154"/>
      <c r="AA890" s="154"/>
    </row>
    <row r="891">
      <c r="A891" s="154"/>
      <c r="B891" s="154"/>
      <c r="C891" s="154"/>
      <c r="D891" s="154"/>
      <c r="E891" s="154"/>
      <c r="F891" s="154"/>
      <c r="G891" s="55"/>
      <c r="H891" s="154"/>
      <c r="I891" s="154"/>
      <c r="J891" s="154"/>
      <c r="K891" s="154"/>
      <c r="L891" s="154"/>
      <c r="M891" s="154"/>
      <c r="N891" s="154"/>
      <c r="O891" s="154"/>
      <c r="P891" s="154"/>
      <c r="Q891" s="154"/>
      <c r="R891" s="154"/>
      <c r="S891" s="154"/>
      <c r="T891" s="154"/>
      <c r="U891" s="154"/>
      <c r="V891" s="154"/>
      <c r="W891" s="154"/>
      <c r="X891" s="154"/>
      <c r="Y891" s="154"/>
      <c r="Z891" s="154"/>
      <c r="AA891" s="154"/>
    </row>
    <row r="892">
      <c r="A892" s="154"/>
      <c r="B892" s="154"/>
      <c r="C892" s="154"/>
      <c r="D892" s="154"/>
      <c r="E892" s="154"/>
      <c r="F892" s="154"/>
      <c r="G892" s="55"/>
      <c r="H892" s="154"/>
      <c r="I892" s="154"/>
      <c r="J892" s="154"/>
      <c r="K892" s="154"/>
      <c r="L892" s="154"/>
      <c r="M892" s="154"/>
      <c r="N892" s="154"/>
      <c r="O892" s="154"/>
      <c r="P892" s="154"/>
      <c r="Q892" s="154"/>
      <c r="R892" s="154"/>
      <c r="S892" s="154"/>
      <c r="T892" s="154"/>
      <c r="U892" s="154"/>
      <c r="V892" s="154"/>
      <c r="W892" s="154"/>
      <c r="X892" s="154"/>
      <c r="Y892" s="154"/>
      <c r="Z892" s="154"/>
      <c r="AA892" s="154"/>
    </row>
    <row r="893">
      <c r="A893" s="154"/>
      <c r="B893" s="154"/>
      <c r="C893" s="154"/>
      <c r="D893" s="154"/>
      <c r="E893" s="154"/>
      <c r="F893" s="154"/>
      <c r="G893" s="55"/>
      <c r="H893" s="154"/>
      <c r="I893" s="154"/>
      <c r="J893" s="154"/>
      <c r="K893" s="154"/>
      <c r="L893" s="154"/>
      <c r="M893" s="154"/>
      <c r="N893" s="154"/>
      <c r="O893" s="154"/>
      <c r="P893" s="154"/>
      <c r="Q893" s="154"/>
      <c r="R893" s="154"/>
      <c r="S893" s="154"/>
      <c r="T893" s="154"/>
      <c r="U893" s="154"/>
      <c r="V893" s="154"/>
      <c r="W893" s="154"/>
      <c r="X893" s="154"/>
      <c r="Y893" s="154"/>
      <c r="Z893" s="154"/>
      <c r="AA893" s="154"/>
    </row>
    <row r="894">
      <c r="A894" s="154"/>
      <c r="B894" s="154"/>
      <c r="C894" s="154"/>
      <c r="D894" s="154"/>
      <c r="E894" s="154"/>
      <c r="F894" s="154"/>
      <c r="G894" s="55"/>
      <c r="H894" s="154"/>
      <c r="I894" s="154"/>
      <c r="J894" s="154"/>
      <c r="K894" s="154"/>
      <c r="L894" s="154"/>
      <c r="M894" s="154"/>
      <c r="N894" s="154"/>
      <c r="O894" s="154"/>
      <c r="P894" s="154"/>
      <c r="Q894" s="154"/>
      <c r="R894" s="154"/>
      <c r="S894" s="154"/>
      <c r="T894" s="154"/>
      <c r="U894" s="154"/>
      <c r="V894" s="154"/>
      <c r="W894" s="154"/>
      <c r="X894" s="154"/>
      <c r="Y894" s="154"/>
      <c r="Z894" s="154"/>
      <c r="AA894" s="154"/>
    </row>
    <row r="895">
      <c r="A895" s="154"/>
      <c r="B895" s="154"/>
      <c r="C895" s="154"/>
      <c r="D895" s="154"/>
      <c r="E895" s="154"/>
      <c r="F895" s="154"/>
      <c r="G895" s="55"/>
      <c r="H895" s="154"/>
      <c r="I895" s="154"/>
      <c r="J895" s="154"/>
      <c r="K895" s="154"/>
      <c r="L895" s="154"/>
      <c r="M895" s="154"/>
      <c r="N895" s="154"/>
      <c r="O895" s="154"/>
      <c r="P895" s="154"/>
      <c r="Q895" s="154"/>
      <c r="R895" s="154"/>
      <c r="S895" s="154"/>
      <c r="T895" s="154"/>
      <c r="U895" s="154"/>
      <c r="V895" s="154"/>
      <c r="W895" s="154"/>
      <c r="X895" s="154"/>
      <c r="Y895" s="154"/>
      <c r="Z895" s="154"/>
      <c r="AA895" s="154"/>
    </row>
    <row r="896">
      <c r="A896" s="154"/>
      <c r="B896" s="154"/>
      <c r="C896" s="154"/>
      <c r="D896" s="154"/>
      <c r="E896" s="154"/>
      <c r="F896" s="154"/>
      <c r="G896" s="55"/>
      <c r="H896" s="154"/>
      <c r="I896" s="154"/>
      <c r="J896" s="154"/>
      <c r="K896" s="154"/>
      <c r="L896" s="154"/>
      <c r="M896" s="154"/>
      <c r="N896" s="154"/>
      <c r="O896" s="154"/>
      <c r="P896" s="154"/>
      <c r="Q896" s="154"/>
      <c r="R896" s="154"/>
      <c r="S896" s="154"/>
      <c r="T896" s="154"/>
      <c r="U896" s="154"/>
      <c r="V896" s="154"/>
      <c r="W896" s="154"/>
      <c r="X896" s="154"/>
      <c r="Y896" s="154"/>
      <c r="Z896" s="154"/>
      <c r="AA896" s="154"/>
    </row>
    <row r="897">
      <c r="A897" s="154"/>
      <c r="B897" s="154"/>
      <c r="C897" s="154"/>
      <c r="D897" s="154"/>
      <c r="E897" s="154"/>
      <c r="F897" s="154"/>
      <c r="G897" s="55"/>
      <c r="H897" s="154"/>
      <c r="I897" s="154"/>
      <c r="J897" s="154"/>
      <c r="K897" s="154"/>
      <c r="L897" s="154"/>
      <c r="M897" s="154"/>
      <c r="N897" s="154"/>
      <c r="O897" s="154"/>
      <c r="P897" s="154"/>
      <c r="Q897" s="154"/>
      <c r="R897" s="154"/>
      <c r="S897" s="154"/>
      <c r="T897" s="154"/>
      <c r="U897" s="154"/>
      <c r="V897" s="154"/>
      <c r="W897" s="154"/>
      <c r="X897" s="154"/>
      <c r="Y897" s="154"/>
      <c r="Z897" s="154"/>
      <c r="AA897" s="154"/>
    </row>
    <row r="898">
      <c r="A898" s="154"/>
      <c r="B898" s="154"/>
      <c r="C898" s="154"/>
      <c r="D898" s="154"/>
      <c r="E898" s="154"/>
      <c r="F898" s="154"/>
      <c r="G898" s="55"/>
      <c r="H898" s="154"/>
      <c r="I898" s="154"/>
      <c r="J898" s="154"/>
      <c r="K898" s="154"/>
      <c r="L898" s="154"/>
      <c r="M898" s="154"/>
      <c r="N898" s="154"/>
      <c r="O898" s="154"/>
      <c r="P898" s="154"/>
      <c r="Q898" s="154"/>
      <c r="R898" s="154"/>
      <c r="S898" s="154"/>
      <c r="T898" s="154"/>
      <c r="U898" s="154"/>
      <c r="V898" s="154"/>
      <c r="W898" s="154"/>
      <c r="X898" s="154"/>
      <c r="Y898" s="154"/>
      <c r="Z898" s="154"/>
      <c r="AA898" s="154"/>
    </row>
    <row r="899">
      <c r="A899" s="154"/>
      <c r="B899" s="154"/>
      <c r="C899" s="154"/>
      <c r="D899" s="154"/>
      <c r="E899" s="154"/>
      <c r="F899" s="154"/>
      <c r="G899" s="55"/>
      <c r="H899" s="154"/>
      <c r="I899" s="154"/>
      <c r="J899" s="154"/>
      <c r="K899" s="154"/>
      <c r="L899" s="154"/>
      <c r="M899" s="154"/>
      <c r="N899" s="154"/>
      <c r="O899" s="154"/>
      <c r="P899" s="154"/>
      <c r="Q899" s="154"/>
      <c r="R899" s="154"/>
      <c r="S899" s="154"/>
      <c r="T899" s="154"/>
      <c r="U899" s="154"/>
      <c r="V899" s="154"/>
      <c r="W899" s="154"/>
      <c r="X899" s="154"/>
      <c r="Y899" s="154"/>
      <c r="Z899" s="154"/>
      <c r="AA899" s="154"/>
    </row>
    <row r="900">
      <c r="A900" s="154"/>
      <c r="B900" s="154"/>
      <c r="C900" s="154"/>
      <c r="D900" s="154"/>
      <c r="E900" s="154"/>
      <c r="F900" s="154"/>
      <c r="G900" s="55"/>
      <c r="H900" s="154"/>
      <c r="I900" s="154"/>
      <c r="J900" s="154"/>
      <c r="K900" s="154"/>
      <c r="L900" s="154"/>
      <c r="M900" s="154"/>
      <c r="N900" s="154"/>
      <c r="O900" s="154"/>
      <c r="P900" s="154"/>
      <c r="Q900" s="154"/>
      <c r="R900" s="154"/>
      <c r="S900" s="154"/>
      <c r="T900" s="154"/>
      <c r="U900" s="154"/>
      <c r="V900" s="154"/>
      <c r="W900" s="154"/>
      <c r="X900" s="154"/>
      <c r="Y900" s="154"/>
      <c r="Z900" s="154"/>
      <c r="AA900" s="154"/>
    </row>
    <row r="901">
      <c r="A901" s="154"/>
      <c r="B901" s="154"/>
      <c r="C901" s="154"/>
      <c r="D901" s="154"/>
      <c r="E901" s="154"/>
      <c r="F901" s="154"/>
      <c r="G901" s="55"/>
      <c r="H901" s="154"/>
      <c r="I901" s="154"/>
      <c r="J901" s="154"/>
      <c r="K901" s="154"/>
      <c r="L901" s="154"/>
      <c r="M901" s="154"/>
      <c r="N901" s="154"/>
      <c r="O901" s="154"/>
      <c r="P901" s="154"/>
      <c r="Q901" s="154"/>
      <c r="R901" s="154"/>
      <c r="S901" s="154"/>
      <c r="T901" s="154"/>
      <c r="U901" s="154"/>
      <c r="V901" s="154"/>
      <c r="W901" s="154"/>
      <c r="X901" s="154"/>
      <c r="Y901" s="154"/>
      <c r="Z901" s="154"/>
      <c r="AA901" s="154"/>
    </row>
    <row r="902">
      <c r="A902" s="154"/>
      <c r="B902" s="154"/>
      <c r="C902" s="154"/>
      <c r="D902" s="154"/>
      <c r="E902" s="154"/>
      <c r="F902" s="154"/>
      <c r="G902" s="55"/>
      <c r="H902" s="154"/>
      <c r="I902" s="154"/>
      <c r="J902" s="154"/>
      <c r="K902" s="154"/>
      <c r="L902" s="154"/>
      <c r="M902" s="154"/>
      <c r="N902" s="154"/>
      <c r="O902" s="154"/>
      <c r="P902" s="154"/>
      <c r="Q902" s="154"/>
      <c r="R902" s="154"/>
      <c r="S902" s="154"/>
      <c r="T902" s="154"/>
      <c r="U902" s="154"/>
      <c r="V902" s="154"/>
      <c r="W902" s="154"/>
      <c r="X902" s="154"/>
      <c r="Y902" s="154"/>
      <c r="Z902" s="154"/>
      <c r="AA902" s="154"/>
    </row>
    <row r="903">
      <c r="A903" s="154"/>
      <c r="B903" s="154"/>
      <c r="C903" s="154"/>
      <c r="D903" s="154"/>
      <c r="E903" s="154"/>
      <c r="F903" s="154"/>
      <c r="G903" s="55"/>
      <c r="H903" s="154"/>
      <c r="I903" s="154"/>
      <c r="J903" s="154"/>
      <c r="K903" s="154"/>
      <c r="L903" s="154"/>
      <c r="M903" s="154"/>
      <c r="N903" s="154"/>
      <c r="O903" s="154"/>
      <c r="P903" s="154"/>
      <c r="Q903" s="154"/>
      <c r="R903" s="154"/>
      <c r="S903" s="154"/>
      <c r="T903" s="154"/>
      <c r="U903" s="154"/>
      <c r="V903" s="154"/>
      <c r="W903" s="154"/>
      <c r="X903" s="154"/>
      <c r="Y903" s="154"/>
      <c r="Z903" s="154"/>
      <c r="AA903" s="154"/>
    </row>
    <row r="904">
      <c r="A904" s="154"/>
      <c r="B904" s="154"/>
      <c r="C904" s="154"/>
      <c r="D904" s="154"/>
      <c r="E904" s="154"/>
      <c r="F904" s="154"/>
      <c r="G904" s="55"/>
      <c r="H904" s="154"/>
      <c r="I904" s="154"/>
      <c r="J904" s="154"/>
      <c r="K904" s="154"/>
      <c r="L904" s="154"/>
      <c r="M904" s="154"/>
      <c r="N904" s="154"/>
      <c r="O904" s="154"/>
      <c r="P904" s="154"/>
      <c r="Q904" s="154"/>
      <c r="R904" s="154"/>
      <c r="S904" s="154"/>
      <c r="T904" s="154"/>
      <c r="U904" s="154"/>
      <c r="V904" s="154"/>
      <c r="W904" s="154"/>
      <c r="X904" s="154"/>
      <c r="Y904" s="154"/>
      <c r="Z904" s="154"/>
      <c r="AA904" s="154"/>
    </row>
    <row r="905">
      <c r="A905" s="154"/>
      <c r="B905" s="154"/>
      <c r="C905" s="154"/>
      <c r="D905" s="154"/>
      <c r="E905" s="154"/>
      <c r="F905" s="154"/>
      <c r="G905" s="55"/>
      <c r="H905" s="154"/>
      <c r="I905" s="154"/>
      <c r="J905" s="154"/>
      <c r="K905" s="154"/>
      <c r="L905" s="154"/>
      <c r="M905" s="154"/>
      <c r="N905" s="154"/>
      <c r="O905" s="154"/>
      <c r="P905" s="154"/>
      <c r="Q905" s="154"/>
      <c r="R905" s="154"/>
      <c r="S905" s="154"/>
      <c r="T905" s="154"/>
      <c r="U905" s="154"/>
      <c r="V905" s="154"/>
      <c r="W905" s="154"/>
      <c r="X905" s="154"/>
      <c r="Y905" s="154"/>
      <c r="Z905" s="154"/>
      <c r="AA905" s="154"/>
    </row>
    <row r="906">
      <c r="A906" s="154"/>
      <c r="B906" s="154"/>
      <c r="C906" s="154"/>
      <c r="D906" s="154"/>
      <c r="E906" s="154"/>
      <c r="F906" s="154"/>
      <c r="G906" s="55"/>
      <c r="H906" s="154"/>
      <c r="I906" s="154"/>
      <c r="J906" s="154"/>
      <c r="K906" s="154"/>
      <c r="L906" s="154"/>
      <c r="M906" s="154"/>
      <c r="N906" s="154"/>
      <c r="O906" s="154"/>
      <c r="P906" s="154"/>
      <c r="Q906" s="154"/>
      <c r="R906" s="154"/>
      <c r="S906" s="154"/>
      <c r="T906" s="154"/>
      <c r="U906" s="154"/>
      <c r="V906" s="154"/>
      <c r="W906" s="154"/>
      <c r="X906" s="154"/>
      <c r="Y906" s="154"/>
      <c r="Z906" s="154"/>
      <c r="AA906" s="154"/>
    </row>
    <row r="907">
      <c r="A907" s="154"/>
      <c r="B907" s="154"/>
      <c r="C907" s="154"/>
      <c r="D907" s="154"/>
      <c r="E907" s="154"/>
      <c r="F907" s="154"/>
      <c r="G907" s="55"/>
      <c r="H907" s="154"/>
      <c r="I907" s="154"/>
      <c r="J907" s="154"/>
      <c r="K907" s="154"/>
      <c r="L907" s="154"/>
      <c r="M907" s="154"/>
      <c r="N907" s="154"/>
      <c r="O907" s="154"/>
      <c r="P907" s="154"/>
      <c r="Q907" s="154"/>
      <c r="R907" s="154"/>
      <c r="S907" s="154"/>
      <c r="T907" s="154"/>
      <c r="U907" s="154"/>
      <c r="V907" s="154"/>
      <c r="W907" s="154"/>
      <c r="X907" s="154"/>
      <c r="Y907" s="154"/>
      <c r="Z907" s="154"/>
      <c r="AA907" s="154"/>
    </row>
    <row r="908">
      <c r="A908" s="154"/>
      <c r="B908" s="154"/>
      <c r="C908" s="154"/>
      <c r="D908" s="154"/>
      <c r="E908" s="154"/>
      <c r="F908" s="154"/>
      <c r="G908" s="55"/>
      <c r="H908" s="154"/>
      <c r="I908" s="154"/>
      <c r="J908" s="154"/>
      <c r="K908" s="154"/>
      <c r="L908" s="154"/>
      <c r="M908" s="154"/>
      <c r="N908" s="154"/>
      <c r="O908" s="154"/>
      <c r="P908" s="154"/>
      <c r="Q908" s="154"/>
      <c r="R908" s="154"/>
      <c r="S908" s="154"/>
      <c r="T908" s="154"/>
      <c r="U908" s="154"/>
      <c r="V908" s="154"/>
      <c r="W908" s="154"/>
      <c r="X908" s="154"/>
      <c r="Y908" s="154"/>
      <c r="Z908" s="154"/>
      <c r="AA908" s="154"/>
    </row>
    <row r="909">
      <c r="A909" s="154"/>
      <c r="B909" s="154"/>
      <c r="C909" s="154"/>
      <c r="D909" s="154"/>
      <c r="E909" s="154"/>
      <c r="F909" s="154"/>
      <c r="G909" s="55"/>
      <c r="H909" s="154"/>
      <c r="I909" s="154"/>
      <c r="J909" s="154"/>
      <c r="K909" s="154"/>
      <c r="L909" s="154"/>
      <c r="M909" s="154"/>
      <c r="N909" s="154"/>
      <c r="O909" s="154"/>
      <c r="P909" s="154"/>
      <c r="Q909" s="154"/>
      <c r="R909" s="154"/>
      <c r="S909" s="154"/>
      <c r="T909" s="154"/>
      <c r="U909" s="154"/>
      <c r="V909" s="154"/>
      <c r="W909" s="154"/>
      <c r="X909" s="154"/>
      <c r="Y909" s="154"/>
      <c r="Z909" s="154"/>
      <c r="AA909" s="154"/>
    </row>
    <row r="910">
      <c r="A910" s="154"/>
      <c r="B910" s="154"/>
      <c r="C910" s="154"/>
      <c r="D910" s="154"/>
      <c r="E910" s="154"/>
      <c r="F910" s="154"/>
      <c r="G910" s="55"/>
      <c r="H910" s="154"/>
      <c r="I910" s="154"/>
      <c r="J910" s="154"/>
      <c r="K910" s="154"/>
      <c r="L910" s="154"/>
      <c r="M910" s="154"/>
      <c r="N910" s="154"/>
      <c r="O910" s="154"/>
      <c r="P910" s="154"/>
      <c r="Q910" s="154"/>
      <c r="R910" s="154"/>
      <c r="S910" s="154"/>
      <c r="T910" s="154"/>
      <c r="U910" s="154"/>
      <c r="V910" s="154"/>
      <c r="W910" s="154"/>
      <c r="X910" s="154"/>
      <c r="Y910" s="154"/>
      <c r="Z910" s="154"/>
      <c r="AA910" s="154"/>
    </row>
    <row r="911">
      <c r="A911" s="154"/>
      <c r="B911" s="154"/>
      <c r="C911" s="154"/>
      <c r="D911" s="154"/>
      <c r="E911" s="154"/>
      <c r="F911" s="154"/>
      <c r="G911" s="55"/>
      <c r="H911" s="154"/>
      <c r="I911" s="154"/>
      <c r="J911" s="154"/>
      <c r="K911" s="154"/>
      <c r="L911" s="154"/>
      <c r="M911" s="154"/>
      <c r="N911" s="154"/>
      <c r="O911" s="154"/>
      <c r="P911" s="154"/>
      <c r="Q911" s="154"/>
      <c r="R911" s="154"/>
      <c r="S911" s="154"/>
      <c r="T911" s="154"/>
      <c r="U911" s="154"/>
      <c r="V911" s="154"/>
      <c r="W911" s="154"/>
      <c r="X911" s="154"/>
      <c r="Y911" s="154"/>
      <c r="Z911" s="154"/>
      <c r="AA911" s="154"/>
    </row>
    <row r="912">
      <c r="A912" s="154"/>
      <c r="B912" s="154"/>
      <c r="C912" s="154"/>
      <c r="D912" s="154"/>
      <c r="E912" s="154"/>
      <c r="F912" s="154"/>
      <c r="G912" s="55"/>
      <c r="H912" s="154"/>
      <c r="I912" s="154"/>
      <c r="J912" s="154"/>
      <c r="K912" s="154"/>
      <c r="L912" s="154"/>
      <c r="M912" s="154"/>
      <c r="N912" s="154"/>
      <c r="O912" s="154"/>
      <c r="P912" s="154"/>
      <c r="Q912" s="154"/>
      <c r="R912" s="154"/>
      <c r="S912" s="154"/>
      <c r="T912" s="154"/>
      <c r="U912" s="154"/>
      <c r="V912" s="154"/>
      <c r="W912" s="154"/>
      <c r="X912" s="154"/>
      <c r="Y912" s="154"/>
      <c r="Z912" s="154"/>
      <c r="AA912" s="154"/>
    </row>
    <row r="913">
      <c r="A913" s="154"/>
      <c r="B913" s="154"/>
      <c r="C913" s="154"/>
      <c r="D913" s="154"/>
      <c r="E913" s="154"/>
      <c r="F913" s="154"/>
      <c r="G913" s="55"/>
      <c r="H913" s="154"/>
      <c r="I913" s="154"/>
      <c r="J913" s="154"/>
      <c r="K913" s="154"/>
      <c r="L913" s="154"/>
      <c r="M913" s="154"/>
      <c r="N913" s="154"/>
      <c r="O913" s="154"/>
      <c r="P913" s="154"/>
      <c r="Q913" s="154"/>
      <c r="R913" s="154"/>
      <c r="S913" s="154"/>
      <c r="T913" s="154"/>
      <c r="U913" s="154"/>
      <c r="V913" s="154"/>
      <c r="W913" s="154"/>
      <c r="X913" s="154"/>
      <c r="Y913" s="154"/>
      <c r="Z913" s="154"/>
      <c r="AA913" s="154"/>
    </row>
    <row r="914">
      <c r="A914" s="154"/>
      <c r="B914" s="154"/>
      <c r="C914" s="154"/>
      <c r="D914" s="154"/>
      <c r="E914" s="154"/>
      <c r="F914" s="154"/>
      <c r="G914" s="55"/>
      <c r="H914" s="154"/>
      <c r="I914" s="154"/>
      <c r="J914" s="154"/>
      <c r="K914" s="154"/>
      <c r="L914" s="154"/>
      <c r="M914" s="154"/>
      <c r="N914" s="154"/>
      <c r="O914" s="154"/>
      <c r="P914" s="154"/>
      <c r="Q914" s="154"/>
      <c r="R914" s="154"/>
      <c r="S914" s="154"/>
      <c r="T914" s="154"/>
      <c r="U914" s="154"/>
      <c r="V914" s="154"/>
      <c r="W914" s="154"/>
      <c r="X914" s="154"/>
      <c r="Y914" s="154"/>
      <c r="Z914" s="154"/>
      <c r="AA914" s="154"/>
    </row>
    <row r="915">
      <c r="A915" s="154"/>
      <c r="B915" s="154"/>
      <c r="C915" s="154"/>
      <c r="D915" s="154"/>
      <c r="E915" s="154"/>
      <c r="F915" s="154"/>
      <c r="G915" s="55"/>
      <c r="H915" s="154"/>
      <c r="I915" s="154"/>
      <c r="J915" s="154"/>
      <c r="K915" s="154"/>
      <c r="L915" s="154"/>
      <c r="M915" s="154"/>
      <c r="N915" s="154"/>
      <c r="O915" s="154"/>
      <c r="P915" s="154"/>
      <c r="Q915" s="154"/>
      <c r="R915" s="154"/>
      <c r="S915" s="154"/>
      <c r="T915" s="154"/>
      <c r="U915" s="154"/>
      <c r="V915" s="154"/>
      <c r="W915" s="154"/>
      <c r="X915" s="154"/>
      <c r="Y915" s="154"/>
      <c r="Z915" s="154"/>
      <c r="AA915" s="154"/>
    </row>
    <row r="916">
      <c r="A916" s="154"/>
      <c r="B916" s="154"/>
      <c r="C916" s="154"/>
      <c r="D916" s="154"/>
      <c r="E916" s="154"/>
      <c r="F916" s="154"/>
      <c r="G916" s="55"/>
      <c r="H916" s="154"/>
      <c r="I916" s="154"/>
      <c r="J916" s="154"/>
      <c r="K916" s="154"/>
      <c r="L916" s="154"/>
      <c r="M916" s="154"/>
      <c r="N916" s="154"/>
      <c r="O916" s="154"/>
      <c r="P916" s="154"/>
      <c r="Q916" s="154"/>
      <c r="R916" s="154"/>
      <c r="S916" s="154"/>
      <c r="T916" s="154"/>
      <c r="U916" s="154"/>
      <c r="V916" s="154"/>
      <c r="W916" s="154"/>
      <c r="X916" s="154"/>
      <c r="Y916" s="154"/>
      <c r="Z916" s="154"/>
      <c r="AA916" s="154"/>
    </row>
    <row r="917">
      <c r="A917" s="154"/>
      <c r="B917" s="154"/>
      <c r="C917" s="154"/>
      <c r="D917" s="154"/>
      <c r="E917" s="154"/>
      <c r="F917" s="154"/>
      <c r="G917" s="55"/>
      <c r="H917" s="154"/>
      <c r="I917" s="154"/>
      <c r="J917" s="154"/>
      <c r="K917" s="154"/>
      <c r="L917" s="154"/>
      <c r="M917" s="154"/>
      <c r="N917" s="154"/>
      <c r="O917" s="154"/>
      <c r="P917" s="154"/>
      <c r="Q917" s="154"/>
      <c r="R917" s="154"/>
      <c r="S917" s="154"/>
      <c r="T917" s="154"/>
      <c r="U917" s="154"/>
      <c r="V917" s="154"/>
      <c r="W917" s="154"/>
      <c r="X917" s="154"/>
      <c r="Y917" s="154"/>
      <c r="Z917" s="154"/>
      <c r="AA917" s="154"/>
    </row>
    <row r="918">
      <c r="A918" s="154"/>
      <c r="B918" s="154"/>
      <c r="C918" s="154"/>
      <c r="D918" s="154"/>
      <c r="E918" s="154"/>
      <c r="F918" s="154"/>
      <c r="G918" s="55"/>
      <c r="H918" s="154"/>
      <c r="I918" s="154"/>
      <c r="J918" s="154"/>
      <c r="K918" s="154"/>
      <c r="L918" s="154"/>
      <c r="M918" s="154"/>
      <c r="N918" s="154"/>
      <c r="O918" s="154"/>
      <c r="P918" s="154"/>
      <c r="Q918" s="154"/>
      <c r="R918" s="154"/>
      <c r="S918" s="154"/>
      <c r="T918" s="154"/>
      <c r="U918" s="154"/>
      <c r="V918" s="154"/>
      <c r="W918" s="154"/>
      <c r="X918" s="154"/>
      <c r="Y918" s="154"/>
      <c r="Z918" s="154"/>
      <c r="AA918" s="154"/>
    </row>
    <row r="919">
      <c r="A919" s="154"/>
      <c r="B919" s="154"/>
      <c r="C919" s="154"/>
      <c r="D919" s="154"/>
      <c r="E919" s="154"/>
      <c r="F919" s="154"/>
      <c r="G919" s="55"/>
      <c r="H919" s="154"/>
      <c r="I919" s="154"/>
      <c r="J919" s="154"/>
      <c r="K919" s="154"/>
      <c r="L919" s="154"/>
      <c r="M919" s="154"/>
      <c r="N919" s="154"/>
      <c r="O919" s="154"/>
      <c r="P919" s="154"/>
      <c r="Q919" s="154"/>
      <c r="R919" s="154"/>
      <c r="S919" s="154"/>
      <c r="T919" s="154"/>
      <c r="U919" s="154"/>
      <c r="V919" s="154"/>
      <c r="W919" s="154"/>
      <c r="X919" s="154"/>
      <c r="Y919" s="154"/>
      <c r="Z919" s="154"/>
      <c r="AA919" s="154"/>
    </row>
    <row r="920">
      <c r="A920" s="154"/>
      <c r="B920" s="154"/>
      <c r="C920" s="154"/>
      <c r="D920" s="154"/>
      <c r="E920" s="154"/>
      <c r="F920" s="154"/>
      <c r="G920" s="55"/>
      <c r="H920" s="154"/>
      <c r="I920" s="154"/>
      <c r="J920" s="154"/>
      <c r="K920" s="154"/>
      <c r="L920" s="154"/>
      <c r="M920" s="154"/>
      <c r="N920" s="154"/>
      <c r="O920" s="154"/>
      <c r="P920" s="154"/>
      <c r="Q920" s="154"/>
      <c r="R920" s="154"/>
      <c r="S920" s="154"/>
      <c r="T920" s="154"/>
      <c r="U920" s="154"/>
      <c r="V920" s="154"/>
      <c r="W920" s="154"/>
      <c r="X920" s="154"/>
      <c r="Y920" s="154"/>
      <c r="Z920" s="154"/>
      <c r="AA920" s="154"/>
    </row>
    <row r="921">
      <c r="A921" s="154"/>
      <c r="B921" s="154"/>
      <c r="C921" s="154"/>
      <c r="D921" s="154"/>
      <c r="E921" s="154"/>
      <c r="F921" s="154"/>
      <c r="G921" s="55"/>
      <c r="H921" s="154"/>
      <c r="I921" s="154"/>
      <c r="J921" s="154"/>
      <c r="K921" s="154"/>
      <c r="L921" s="154"/>
      <c r="M921" s="154"/>
      <c r="N921" s="154"/>
      <c r="O921" s="154"/>
      <c r="P921" s="154"/>
      <c r="Q921" s="154"/>
      <c r="R921" s="154"/>
      <c r="S921" s="154"/>
      <c r="T921" s="154"/>
      <c r="U921" s="154"/>
      <c r="V921" s="154"/>
      <c r="W921" s="154"/>
      <c r="X921" s="154"/>
      <c r="Y921" s="154"/>
      <c r="Z921" s="154"/>
      <c r="AA921" s="154"/>
    </row>
    <row r="922">
      <c r="A922" s="154"/>
      <c r="B922" s="154"/>
      <c r="C922" s="154"/>
      <c r="D922" s="154"/>
      <c r="E922" s="154"/>
      <c r="F922" s="154"/>
      <c r="G922" s="55"/>
      <c r="H922" s="154"/>
      <c r="I922" s="154"/>
      <c r="J922" s="154"/>
      <c r="K922" s="154"/>
      <c r="L922" s="154"/>
      <c r="M922" s="154"/>
      <c r="N922" s="154"/>
      <c r="O922" s="154"/>
      <c r="P922" s="154"/>
      <c r="Q922" s="154"/>
      <c r="R922" s="154"/>
      <c r="S922" s="154"/>
      <c r="T922" s="154"/>
      <c r="U922" s="154"/>
      <c r="V922" s="154"/>
      <c r="W922" s="154"/>
      <c r="X922" s="154"/>
      <c r="Y922" s="154"/>
      <c r="Z922" s="154"/>
      <c r="AA922" s="154"/>
    </row>
    <row r="923">
      <c r="A923" s="154"/>
      <c r="B923" s="154"/>
      <c r="C923" s="154"/>
      <c r="D923" s="154"/>
      <c r="E923" s="154"/>
      <c r="F923" s="154"/>
      <c r="G923" s="55"/>
      <c r="H923" s="154"/>
      <c r="I923" s="154"/>
      <c r="J923" s="154"/>
      <c r="K923" s="154"/>
      <c r="L923" s="154"/>
      <c r="M923" s="154"/>
      <c r="N923" s="154"/>
      <c r="O923" s="154"/>
      <c r="P923" s="154"/>
      <c r="Q923" s="154"/>
      <c r="R923" s="154"/>
      <c r="S923" s="154"/>
      <c r="T923" s="154"/>
      <c r="U923" s="154"/>
      <c r="V923" s="154"/>
      <c r="W923" s="154"/>
      <c r="X923" s="154"/>
      <c r="Y923" s="154"/>
      <c r="Z923" s="154"/>
      <c r="AA923" s="154"/>
    </row>
    <row r="924">
      <c r="A924" s="154"/>
      <c r="B924" s="154"/>
      <c r="C924" s="154"/>
      <c r="D924" s="154"/>
      <c r="E924" s="154"/>
      <c r="F924" s="154"/>
      <c r="G924" s="55"/>
      <c r="H924" s="154"/>
      <c r="I924" s="154"/>
      <c r="J924" s="154"/>
      <c r="K924" s="154"/>
      <c r="L924" s="154"/>
      <c r="M924" s="154"/>
      <c r="N924" s="154"/>
      <c r="O924" s="154"/>
      <c r="P924" s="154"/>
      <c r="Q924" s="154"/>
      <c r="R924" s="154"/>
      <c r="S924" s="154"/>
      <c r="T924" s="154"/>
      <c r="U924" s="154"/>
      <c r="V924" s="154"/>
      <c r="W924" s="154"/>
      <c r="X924" s="154"/>
      <c r="Y924" s="154"/>
      <c r="Z924" s="154"/>
      <c r="AA924" s="154"/>
    </row>
    <row r="925">
      <c r="A925" s="154"/>
      <c r="B925" s="154"/>
      <c r="C925" s="154"/>
      <c r="D925" s="154"/>
      <c r="E925" s="154"/>
      <c r="F925" s="154"/>
      <c r="G925" s="55"/>
      <c r="H925" s="154"/>
      <c r="I925" s="154"/>
      <c r="J925" s="154"/>
      <c r="K925" s="154"/>
      <c r="L925" s="154"/>
      <c r="M925" s="154"/>
      <c r="N925" s="154"/>
      <c r="O925" s="154"/>
      <c r="P925" s="154"/>
      <c r="Q925" s="154"/>
      <c r="R925" s="154"/>
      <c r="S925" s="154"/>
      <c r="T925" s="154"/>
      <c r="U925" s="154"/>
      <c r="V925" s="154"/>
      <c r="W925" s="154"/>
      <c r="X925" s="154"/>
      <c r="Y925" s="154"/>
      <c r="Z925" s="154"/>
      <c r="AA925" s="154"/>
    </row>
    <row r="926">
      <c r="A926" s="154"/>
      <c r="B926" s="154"/>
      <c r="C926" s="154"/>
      <c r="D926" s="154"/>
      <c r="E926" s="154"/>
      <c r="F926" s="154"/>
      <c r="G926" s="55"/>
      <c r="H926" s="154"/>
      <c r="I926" s="154"/>
      <c r="J926" s="154"/>
      <c r="K926" s="154"/>
      <c r="L926" s="154"/>
      <c r="M926" s="154"/>
      <c r="N926" s="154"/>
      <c r="O926" s="154"/>
      <c r="P926" s="154"/>
      <c r="Q926" s="154"/>
      <c r="R926" s="154"/>
      <c r="S926" s="154"/>
      <c r="T926" s="154"/>
      <c r="U926" s="154"/>
      <c r="V926" s="154"/>
      <c r="W926" s="154"/>
      <c r="X926" s="154"/>
      <c r="Y926" s="154"/>
      <c r="Z926" s="154"/>
      <c r="AA926" s="154"/>
    </row>
    <row r="927">
      <c r="A927" s="154"/>
      <c r="B927" s="154"/>
      <c r="C927" s="154"/>
      <c r="D927" s="154"/>
      <c r="E927" s="154"/>
      <c r="F927" s="154"/>
      <c r="G927" s="55"/>
      <c r="H927" s="154"/>
      <c r="I927" s="154"/>
      <c r="J927" s="154"/>
      <c r="K927" s="154"/>
      <c r="L927" s="154"/>
      <c r="M927" s="154"/>
      <c r="N927" s="154"/>
      <c r="O927" s="154"/>
      <c r="P927" s="154"/>
      <c r="Q927" s="154"/>
      <c r="R927" s="154"/>
      <c r="S927" s="154"/>
      <c r="T927" s="154"/>
      <c r="U927" s="154"/>
      <c r="V927" s="154"/>
      <c r="W927" s="154"/>
      <c r="X927" s="154"/>
      <c r="Y927" s="154"/>
      <c r="Z927" s="154"/>
      <c r="AA927" s="154"/>
    </row>
    <row r="928">
      <c r="A928" s="154"/>
      <c r="B928" s="154"/>
      <c r="C928" s="154"/>
      <c r="D928" s="154"/>
      <c r="E928" s="154"/>
      <c r="F928" s="154"/>
      <c r="G928" s="55"/>
      <c r="H928" s="154"/>
      <c r="I928" s="154"/>
      <c r="J928" s="154"/>
      <c r="K928" s="154"/>
      <c r="L928" s="154"/>
      <c r="M928" s="154"/>
      <c r="N928" s="154"/>
      <c r="O928" s="154"/>
      <c r="P928" s="154"/>
      <c r="Q928" s="154"/>
      <c r="R928" s="154"/>
      <c r="S928" s="154"/>
      <c r="T928" s="154"/>
      <c r="U928" s="154"/>
      <c r="V928" s="154"/>
      <c r="W928" s="154"/>
      <c r="X928" s="154"/>
      <c r="Y928" s="154"/>
      <c r="Z928" s="154"/>
      <c r="AA928" s="154"/>
    </row>
    <row r="929">
      <c r="A929" s="154"/>
      <c r="B929" s="154"/>
      <c r="C929" s="154"/>
      <c r="D929" s="154"/>
      <c r="E929" s="154"/>
      <c r="F929" s="154"/>
      <c r="G929" s="55"/>
      <c r="H929" s="154"/>
      <c r="I929" s="154"/>
      <c r="J929" s="154"/>
      <c r="K929" s="154"/>
      <c r="L929" s="154"/>
      <c r="M929" s="154"/>
      <c r="N929" s="154"/>
      <c r="O929" s="154"/>
      <c r="P929" s="154"/>
      <c r="Q929" s="154"/>
      <c r="R929" s="154"/>
      <c r="S929" s="154"/>
      <c r="T929" s="154"/>
      <c r="U929" s="154"/>
      <c r="V929" s="154"/>
      <c r="W929" s="154"/>
      <c r="X929" s="154"/>
      <c r="Y929" s="154"/>
      <c r="Z929" s="154"/>
      <c r="AA929" s="154"/>
    </row>
    <row r="930">
      <c r="A930" s="154"/>
      <c r="B930" s="154"/>
      <c r="C930" s="154"/>
      <c r="D930" s="154"/>
      <c r="E930" s="154"/>
      <c r="F930" s="154"/>
      <c r="G930" s="55"/>
      <c r="H930" s="154"/>
      <c r="I930" s="154"/>
      <c r="J930" s="154"/>
      <c r="K930" s="154"/>
      <c r="L930" s="154"/>
      <c r="M930" s="154"/>
      <c r="N930" s="154"/>
      <c r="O930" s="154"/>
      <c r="P930" s="154"/>
      <c r="Q930" s="154"/>
      <c r="R930" s="154"/>
      <c r="S930" s="154"/>
      <c r="T930" s="154"/>
      <c r="U930" s="154"/>
      <c r="V930" s="154"/>
      <c r="W930" s="154"/>
      <c r="X930" s="154"/>
      <c r="Y930" s="154"/>
      <c r="Z930" s="154"/>
      <c r="AA930" s="154"/>
    </row>
    <row r="931">
      <c r="A931" s="154"/>
      <c r="B931" s="154"/>
      <c r="C931" s="154"/>
      <c r="D931" s="154"/>
      <c r="E931" s="154"/>
      <c r="F931" s="154"/>
      <c r="G931" s="55"/>
      <c r="H931" s="154"/>
      <c r="I931" s="154"/>
      <c r="J931" s="154"/>
      <c r="K931" s="154"/>
      <c r="L931" s="154"/>
      <c r="M931" s="154"/>
      <c r="N931" s="154"/>
      <c r="O931" s="154"/>
      <c r="P931" s="154"/>
      <c r="Q931" s="154"/>
      <c r="R931" s="154"/>
      <c r="S931" s="154"/>
      <c r="T931" s="154"/>
      <c r="U931" s="154"/>
      <c r="V931" s="154"/>
      <c r="W931" s="154"/>
      <c r="X931" s="154"/>
      <c r="Y931" s="154"/>
      <c r="Z931" s="154"/>
      <c r="AA931" s="154"/>
    </row>
    <row r="932">
      <c r="A932" s="154"/>
      <c r="B932" s="154"/>
      <c r="C932" s="154"/>
      <c r="D932" s="154"/>
      <c r="E932" s="154"/>
      <c r="F932" s="154"/>
      <c r="G932" s="55"/>
      <c r="H932" s="154"/>
      <c r="I932" s="154"/>
      <c r="J932" s="154"/>
      <c r="K932" s="154"/>
      <c r="L932" s="154"/>
      <c r="M932" s="154"/>
      <c r="N932" s="154"/>
      <c r="O932" s="154"/>
      <c r="P932" s="154"/>
      <c r="Q932" s="154"/>
      <c r="R932" s="154"/>
      <c r="S932" s="154"/>
      <c r="T932" s="154"/>
      <c r="U932" s="154"/>
      <c r="V932" s="154"/>
      <c r="W932" s="154"/>
      <c r="X932" s="154"/>
      <c r="Y932" s="154"/>
      <c r="Z932" s="154"/>
      <c r="AA932" s="154"/>
    </row>
    <row r="933">
      <c r="A933" s="154"/>
      <c r="B933" s="154"/>
      <c r="C933" s="154"/>
      <c r="D933" s="154"/>
      <c r="E933" s="154"/>
      <c r="F933" s="154"/>
      <c r="G933" s="55"/>
      <c r="H933" s="154"/>
      <c r="I933" s="154"/>
      <c r="J933" s="154"/>
      <c r="K933" s="154"/>
      <c r="L933" s="154"/>
      <c r="M933" s="154"/>
      <c r="N933" s="154"/>
      <c r="O933" s="154"/>
      <c r="P933" s="154"/>
      <c r="Q933" s="154"/>
      <c r="R933" s="154"/>
      <c r="S933" s="154"/>
      <c r="T933" s="154"/>
      <c r="U933" s="154"/>
      <c r="V933" s="154"/>
      <c r="W933" s="154"/>
      <c r="X933" s="154"/>
      <c r="Y933" s="154"/>
      <c r="Z933" s="154"/>
      <c r="AA933" s="154"/>
    </row>
    <row r="934">
      <c r="A934" s="154"/>
      <c r="B934" s="154"/>
      <c r="C934" s="154"/>
      <c r="D934" s="154"/>
      <c r="E934" s="154"/>
      <c r="F934" s="154"/>
      <c r="G934" s="55"/>
      <c r="H934" s="154"/>
      <c r="I934" s="154"/>
      <c r="J934" s="154"/>
      <c r="K934" s="154"/>
      <c r="L934" s="154"/>
      <c r="M934" s="154"/>
      <c r="N934" s="154"/>
      <c r="O934" s="154"/>
      <c r="P934" s="154"/>
      <c r="Q934" s="154"/>
      <c r="R934" s="154"/>
      <c r="S934" s="154"/>
      <c r="T934" s="154"/>
      <c r="U934" s="154"/>
      <c r="V934" s="154"/>
      <c r="W934" s="154"/>
      <c r="X934" s="154"/>
      <c r="Y934" s="154"/>
      <c r="Z934" s="154"/>
      <c r="AA934" s="154"/>
    </row>
    <row r="935">
      <c r="A935" s="154"/>
      <c r="B935" s="154"/>
      <c r="C935" s="154"/>
      <c r="D935" s="154"/>
      <c r="E935" s="154"/>
      <c r="F935" s="154"/>
      <c r="G935" s="55"/>
      <c r="H935" s="154"/>
      <c r="I935" s="154"/>
      <c r="J935" s="154"/>
      <c r="K935" s="154"/>
      <c r="L935" s="154"/>
      <c r="M935" s="154"/>
      <c r="N935" s="154"/>
      <c r="O935" s="154"/>
      <c r="P935" s="154"/>
      <c r="Q935" s="154"/>
      <c r="R935" s="154"/>
      <c r="S935" s="154"/>
      <c r="T935" s="154"/>
      <c r="U935" s="154"/>
      <c r="V935" s="154"/>
      <c r="W935" s="154"/>
      <c r="X935" s="154"/>
      <c r="Y935" s="154"/>
      <c r="Z935" s="154"/>
      <c r="AA935" s="154"/>
    </row>
    <row r="936">
      <c r="A936" s="154"/>
      <c r="B936" s="154"/>
      <c r="C936" s="154"/>
      <c r="D936" s="154"/>
      <c r="E936" s="154"/>
      <c r="F936" s="154"/>
      <c r="G936" s="55"/>
      <c r="H936" s="154"/>
      <c r="I936" s="154"/>
      <c r="J936" s="154"/>
      <c r="K936" s="154"/>
      <c r="L936" s="154"/>
      <c r="M936" s="154"/>
      <c r="N936" s="154"/>
      <c r="O936" s="154"/>
      <c r="P936" s="154"/>
      <c r="Q936" s="154"/>
      <c r="R936" s="154"/>
      <c r="S936" s="154"/>
      <c r="T936" s="154"/>
      <c r="U936" s="154"/>
      <c r="V936" s="154"/>
      <c r="W936" s="154"/>
      <c r="X936" s="154"/>
      <c r="Y936" s="154"/>
      <c r="Z936" s="154"/>
      <c r="AA936" s="154"/>
    </row>
    <row r="937">
      <c r="A937" s="154"/>
      <c r="B937" s="154"/>
      <c r="C937" s="154"/>
      <c r="D937" s="154"/>
      <c r="E937" s="154"/>
      <c r="F937" s="154"/>
      <c r="G937" s="55"/>
      <c r="H937" s="154"/>
      <c r="I937" s="154"/>
      <c r="J937" s="154"/>
      <c r="K937" s="154"/>
      <c r="L937" s="154"/>
      <c r="M937" s="154"/>
      <c r="N937" s="154"/>
      <c r="O937" s="154"/>
      <c r="P937" s="154"/>
      <c r="Q937" s="154"/>
      <c r="R937" s="154"/>
      <c r="S937" s="154"/>
      <c r="T937" s="154"/>
      <c r="U937" s="154"/>
      <c r="V937" s="154"/>
      <c r="W937" s="154"/>
      <c r="X937" s="154"/>
      <c r="Y937" s="154"/>
      <c r="Z937" s="154"/>
      <c r="AA937" s="154"/>
    </row>
    <row r="938">
      <c r="A938" s="154"/>
      <c r="B938" s="154"/>
      <c r="C938" s="154"/>
      <c r="D938" s="154"/>
      <c r="E938" s="154"/>
      <c r="F938" s="154"/>
      <c r="G938" s="55"/>
      <c r="H938" s="154"/>
      <c r="I938" s="154"/>
      <c r="J938" s="154"/>
      <c r="K938" s="154"/>
      <c r="L938" s="154"/>
      <c r="M938" s="154"/>
      <c r="N938" s="154"/>
      <c r="O938" s="154"/>
      <c r="P938" s="154"/>
      <c r="Q938" s="154"/>
      <c r="R938" s="154"/>
      <c r="S938" s="154"/>
      <c r="T938" s="154"/>
      <c r="U938" s="154"/>
      <c r="V938" s="154"/>
      <c r="W938" s="154"/>
      <c r="X938" s="154"/>
      <c r="Y938" s="154"/>
      <c r="Z938" s="154"/>
      <c r="AA938" s="154"/>
    </row>
    <row r="939">
      <c r="A939" s="154"/>
      <c r="B939" s="154"/>
      <c r="C939" s="154"/>
      <c r="D939" s="154"/>
      <c r="E939" s="154"/>
      <c r="F939" s="154"/>
      <c r="G939" s="55"/>
      <c r="H939" s="154"/>
      <c r="I939" s="154"/>
      <c r="J939" s="154"/>
      <c r="K939" s="154"/>
      <c r="L939" s="154"/>
      <c r="M939" s="154"/>
      <c r="N939" s="154"/>
      <c r="O939" s="154"/>
      <c r="P939" s="154"/>
      <c r="Q939" s="154"/>
      <c r="R939" s="154"/>
      <c r="S939" s="154"/>
      <c r="T939" s="154"/>
      <c r="U939" s="154"/>
      <c r="V939" s="154"/>
      <c r="W939" s="154"/>
      <c r="X939" s="154"/>
      <c r="Y939" s="154"/>
      <c r="Z939" s="154"/>
      <c r="AA939" s="154"/>
    </row>
    <row r="940">
      <c r="A940" s="154"/>
      <c r="B940" s="154"/>
      <c r="C940" s="154"/>
      <c r="D940" s="154"/>
      <c r="E940" s="154"/>
      <c r="F940" s="154"/>
      <c r="G940" s="55"/>
      <c r="H940" s="154"/>
      <c r="I940" s="154"/>
      <c r="J940" s="154"/>
      <c r="K940" s="154"/>
      <c r="L940" s="154"/>
      <c r="M940" s="154"/>
      <c r="N940" s="154"/>
      <c r="O940" s="154"/>
      <c r="P940" s="154"/>
      <c r="Q940" s="154"/>
      <c r="R940" s="154"/>
      <c r="S940" s="154"/>
      <c r="T940" s="154"/>
      <c r="U940" s="154"/>
      <c r="V940" s="154"/>
      <c r="W940" s="154"/>
      <c r="X940" s="154"/>
      <c r="Y940" s="154"/>
      <c r="Z940" s="154"/>
      <c r="AA940" s="154"/>
    </row>
    <row r="941">
      <c r="A941" s="154"/>
      <c r="B941" s="154"/>
      <c r="C941" s="154"/>
      <c r="D941" s="154"/>
      <c r="E941" s="154"/>
      <c r="F941" s="154"/>
      <c r="G941" s="55"/>
      <c r="H941" s="154"/>
      <c r="I941" s="154"/>
      <c r="J941" s="154"/>
      <c r="K941" s="154"/>
      <c r="L941" s="154"/>
      <c r="M941" s="154"/>
      <c r="N941" s="154"/>
      <c r="O941" s="154"/>
      <c r="P941" s="154"/>
      <c r="Q941" s="154"/>
      <c r="R941" s="154"/>
      <c r="S941" s="154"/>
      <c r="T941" s="154"/>
      <c r="U941" s="154"/>
      <c r="V941" s="154"/>
      <c r="W941" s="154"/>
      <c r="X941" s="154"/>
      <c r="Y941" s="154"/>
      <c r="Z941" s="154"/>
      <c r="AA941" s="154"/>
    </row>
    <row r="942">
      <c r="A942" s="154"/>
      <c r="B942" s="154"/>
      <c r="C942" s="154"/>
      <c r="D942" s="154"/>
      <c r="E942" s="154"/>
      <c r="F942" s="154"/>
      <c r="G942" s="55"/>
      <c r="H942" s="154"/>
      <c r="I942" s="154"/>
      <c r="J942" s="154"/>
      <c r="K942" s="154"/>
      <c r="L942" s="154"/>
      <c r="M942" s="154"/>
      <c r="N942" s="154"/>
      <c r="O942" s="154"/>
      <c r="P942" s="154"/>
      <c r="Q942" s="154"/>
      <c r="R942" s="154"/>
      <c r="S942" s="154"/>
      <c r="T942" s="154"/>
      <c r="U942" s="154"/>
      <c r="V942" s="154"/>
      <c r="W942" s="154"/>
      <c r="X942" s="154"/>
      <c r="Y942" s="154"/>
      <c r="Z942" s="154"/>
      <c r="AA942" s="154"/>
    </row>
    <row r="943">
      <c r="A943" s="154"/>
      <c r="B943" s="154"/>
      <c r="C943" s="154"/>
      <c r="D943" s="154"/>
      <c r="E943" s="154"/>
      <c r="F943" s="154"/>
      <c r="G943" s="55"/>
      <c r="H943" s="154"/>
      <c r="I943" s="154"/>
      <c r="J943" s="154"/>
      <c r="K943" s="154"/>
      <c r="L943" s="154"/>
      <c r="M943" s="154"/>
      <c r="N943" s="154"/>
      <c r="O943" s="154"/>
      <c r="P943" s="154"/>
      <c r="Q943" s="154"/>
      <c r="R943" s="154"/>
      <c r="S943" s="154"/>
      <c r="T943" s="154"/>
      <c r="U943" s="154"/>
      <c r="V943" s="154"/>
      <c r="W943" s="154"/>
      <c r="X943" s="154"/>
      <c r="Y943" s="154"/>
      <c r="Z943" s="154"/>
      <c r="AA943" s="154"/>
    </row>
    <row r="944">
      <c r="A944" s="154"/>
      <c r="B944" s="154"/>
      <c r="C944" s="154"/>
      <c r="D944" s="154"/>
      <c r="E944" s="154"/>
      <c r="F944" s="154"/>
      <c r="G944" s="55"/>
      <c r="H944" s="154"/>
      <c r="I944" s="154"/>
      <c r="J944" s="154"/>
      <c r="K944" s="154"/>
      <c r="L944" s="154"/>
      <c r="M944" s="154"/>
      <c r="N944" s="154"/>
      <c r="O944" s="154"/>
      <c r="P944" s="154"/>
      <c r="Q944" s="154"/>
      <c r="R944" s="154"/>
      <c r="S944" s="154"/>
      <c r="T944" s="154"/>
      <c r="U944" s="154"/>
      <c r="V944" s="154"/>
      <c r="W944" s="154"/>
      <c r="X944" s="154"/>
      <c r="Y944" s="154"/>
      <c r="Z944" s="154"/>
      <c r="AA944" s="154"/>
    </row>
    <row r="945">
      <c r="A945" s="154"/>
      <c r="B945" s="154"/>
      <c r="C945" s="154"/>
      <c r="D945" s="154"/>
      <c r="E945" s="154"/>
      <c r="F945" s="154"/>
      <c r="G945" s="55"/>
      <c r="H945" s="154"/>
      <c r="I945" s="154"/>
      <c r="J945" s="154"/>
      <c r="K945" s="154"/>
      <c r="L945" s="154"/>
      <c r="M945" s="154"/>
      <c r="N945" s="154"/>
      <c r="O945" s="154"/>
      <c r="P945" s="154"/>
      <c r="Q945" s="154"/>
      <c r="R945" s="154"/>
      <c r="S945" s="154"/>
      <c r="T945" s="154"/>
      <c r="U945" s="154"/>
      <c r="V945" s="154"/>
      <c r="W945" s="154"/>
      <c r="X945" s="154"/>
      <c r="Y945" s="154"/>
      <c r="Z945" s="154"/>
      <c r="AA945" s="154"/>
    </row>
    <row r="946">
      <c r="A946" s="154"/>
      <c r="B946" s="154"/>
      <c r="C946" s="154"/>
      <c r="D946" s="154"/>
      <c r="E946" s="154"/>
      <c r="F946" s="154"/>
      <c r="G946" s="55"/>
      <c r="H946" s="154"/>
      <c r="I946" s="154"/>
      <c r="J946" s="154"/>
      <c r="K946" s="154"/>
      <c r="L946" s="154"/>
      <c r="M946" s="154"/>
      <c r="N946" s="154"/>
      <c r="O946" s="154"/>
      <c r="P946" s="154"/>
      <c r="Q946" s="154"/>
      <c r="R946" s="154"/>
      <c r="S946" s="154"/>
      <c r="T946" s="154"/>
      <c r="U946" s="154"/>
      <c r="V946" s="154"/>
      <c r="W946" s="154"/>
      <c r="X946" s="154"/>
      <c r="Y946" s="154"/>
      <c r="Z946" s="154"/>
      <c r="AA946" s="154"/>
    </row>
    <row r="947">
      <c r="A947" s="154"/>
      <c r="B947" s="154"/>
      <c r="C947" s="154"/>
      <c r="D947" s="154"/>
      <c r="E947" s="154"/>
      <c r="F947" s="154"/>
      <c r="G947" s="55"/>
      <c r="H947" s="154"/>
      <c r="I947" s="154"/>
      <c r="J947" s="154"/>
      <c r="K947" s="154"/>
      <c r="L947" s="154"/>
      <c r="M947" s="154"/>
      <c r="N947" s="154"/>
      <c r="O947" s="154"/>
      <c r="P947" s="154"/>
      <c r="Q947" s="154"/>
      <c r="R947" s="154"/>
      <c r="S947" s="154"/>
      <c r="T947" s="154"/>
      <c r="U947" s="154"/>
      <c r="V947" s="154"/>
      <c r="W947" s="154"/>
      <c r="X947" s="154"/>
      <c r="Y947" s="154"/>
      <c r="Z947" s="154"/>
      <c r="AA947" s="154"/>
    </row>
    <row r="948">
      <c r="A948" s="154"/>
      <c r="B948" s="154"/>
      <c r="C948" s="154"/>
      <c r="D948" s="154"/>
      <c r="E948" s="154"/>
      <c r="F948" s="154"/>
      <c r="G948" s="55"/>
      <c r="H948" s="154"/>
      <c r="I948" s="154"/>
      <c r="J948" s="154"/>
      <c r="K948" s="154"/>
      <c r="L948" s="154"/>
      <c r="M948" s="154"/>
      <c r="N948" s="154"/>
      <c r="O948" s="154"/>
      <c r="P948" s="154"/>
      <c r="Q948" s="154"/>
      <c r="R948" s="154"/>
      <c r="S948" s="154"/>
      <c r="T948" s="154"/>
      <c r="U948" s="154"/>
      <c r="V948" s="154"/>
      <c r="W948" s="154"/>
      <c r="X948" s="154"/>
      <c r="Y948" s="154"/>
      <c r="Z948" s="154"/>
      <c r="AA948" s="154"/>
    </row>
    <row r="949">
      <c r="A949" s="154"/>
      <c r="B949" s="154"/>
      <c r="C949" s="154"/>
      <c r="D949" s="154"/>
      <c r="E949" s="154"/>
      <c r="F949" s="154"/>
      <c r="G949" s="55"/>
      <c r="H949" s="154"/>
      <c r="I949" s="154"/>
      <c r="J949" s="154"/>
      <c r="K949" s="154"/>
      <c r="L949" s="154"/>
      <c r="M949" s="154"/>
      <c r="N949" s="154"/>
      <c r="O949" s="154"/>
      <c r="P949" s="154"/>
      <c r="Q949" s="154"/>
      <c r="R949" s="154"/>
      <c r="S949" s="154"/>
      <c r="T949" s="154"/>
      <c r="U949" s="154"/>
      <c r="V949" s="154"/>
      <c r="W949" s="154"/>
      <c r="X949" s="154"/>
      <c r="Y949" s="154"/>
      <c r="Z949" s="154"/>
      <c r="AA949" s="154"/>
    </row>
    <row r="950">
      <c r="A950" s="154"/>
      <c r="B950" s="154"/>
      <c r="C950" s="154"/>
      <c r="D950" s="154"/>
      <c r="E950" s="154"/>
      <c r="F950" s="154"/>
      <c r="G950" s="55"/>
      <c r="H950" s="154"/>
      <c r="I950" s="154"/>
      <c r="J950" s="154"/>
      <c r="K950" s="154"/>
      <c r="L950" s="154"/>
      <c r="M950" s="154"/>
      <c r="N950" s="154"/>
      <c r="O950" s="154"/>
      <c r="P950" s="154"/>
      <c r="Q950" s="154"/>
      <c r="R950" s="154"/>
      <c r="S950" s="154"/>
      <c r="T950" s="154"/>
      <c r="U950" s="154"/>
      <c r="V950" s="154"/>
      <c r="W950" s="154"/>
      <c r="X950" s="154"/>
      <c r="Y950" s="154"/>
      <c r="Z950" s="154"/>
      <c r="AA950" s="154"/>
    </row>
    <row r="951">
      <c r="A951" s="154"/>
      <c r="B951" s="154"/>
      <c r="C951" s="154"/>
      <c r="D951" s="154"/>
      <c r="E951" s="154"/>
      <c r="F951" s="154"/>
      <c r="G951" s="55"/>
      <c r="H951" s="154"/>
      <c r="I951" s="154"/>
      <c r="J951" s="154"/>
      <c r="K951" s="154"/>
      <c r="L951" s="154"/>
      <c r="M951" s="154"/>
      <c r="N951" s="154"/>
      <c r="O951" s="154"/>
      <c r="P951" s="154"/>
      <c r="Q951" s="154"/>
      <c r="R951" s="154"/>
      <c r="S951" s="154"/>
      <c r="T951" s="154"/>
      <c r="U951" s="154"/>
      <c r="V951" s="154"/>
      <c r="W951" s="154"/>
      <c r="X951" s="154"/>
      <c r="Y951" s="154"/>
      <c r="Z951" s="154"/>
      <c r="AA951" s="154"/>
    </row>
    <row r="952">
      <c r="A952" s="154"/>
      <c r="B952" s="154"/>
      <c r="C952" s="154"/>
      <c r="D952" s="154"/>
      <c r="E952" s="154"/>
      <c r="F952" s="154"/>
      <c r="G952" s="55"/>
      <c r="H952" s="154"/>
      <c r="I952" s="154"/>
      <c r="J952" s="154"/>
      <c r="K952" s="154"/>
      <c r="L952" s="154"/>
      <c r="M952" s="154"/>
      <c r="N952" s="154"/>
      <c r="O952" s="154"/>
      <c r="P952" s="154"/>
      <c r="Q952" s="154"/>
      <c r="R952" s="154"/>
      <c r="S952" s="154"/>
      <c r="T952" s="154"/>
      <c r="U952" s="154"/>
      <c r="V952" s="154"/>
      <c r="W952" s="154"/>
      <c r="X952" s="154"/>
      <c r="Y952" s="154"/>
      <c r="Z952" s="154"/>
      <c r="AA952" s="154"/>
    </row>
    <row r="953">
      <c r="A953" s="154"/>
      <c r="B953" s="154"/>
      <c r="C953" s="154"/>
      <c r="D953" s="154"/>
      <c r="E953" s="154"/>
      <c r="F953" s="154"/>
      <c r="G953" s="55"/>
      <c r="H953" s="154"/>
      <c r="I953" s="154"/>
      <c r="J953" s="154"/>
      <c r="K953" s="154"/>
      <c r="L953" s="154"/>
      <c r="M953" s="154"/>
      <c r="N953" s="154"/>
      <c r="O953" s="154"/>
      <c r="P953" s="154"/>
      <c r="Q953" s="154"/>
      <c r="R953" s="154"/>
      <c r="S953" s="154"/>
      <c r="T953" s="154"/>
      <c r="U953" s="154"/>
      <c r="V953" s="154"/>
      <c r="W953" s="154"/>
      <c r="X953" s="154"/>
      <c r="Y953" s="154"/>
      <c r="Z953" s="154"/>
      <c r="AA953" s="154"/>
    </row>
    <row r="954">
      <c r="A954" s="154"/>
      <c r="B954" s="154"/>
      <c r="C954" s="154"/>
      <c r="D954" s="154"/>
      <c r="E954" s="154"/>
      <c r="F954" s="154"/>
      <c r="G954" s="55"/>
      <c r="H954" s="154"/>
      <c r="I954" s="154"/>
      <c r="J954" s="154"/>
      <c r="K954" s="154"/>
      <c r="L954" s="154"/>
      <c r="M954" s="154"/>
      <c r="N954" s="154"/>
      <c r="O954" s="154"/>
      <c r="P954" s="154"/>
      <c r="Q954" s="154"/>
      <c r="R954" s="154"/>
      <c r="S954" s="154"/>
      <c r="T954" s="154"/>
      <c r="U954" s="154"/>
      <c r="V954" s="154"/>
      <c r="W954" s="154"/>
      <c r="X954" s="154"/>
      <c r="Y954" s="154"/>
      <c r="Z954" s="154"/>
      <c r="AA954" s="154"/>
    </row>
    <row r="955">
      <c r="A955" s="154"/>
      <c r="B955" s="154"/>
      <c r="C955" s="154"/>
      <c r="D955" s="154"/>
      <c r="E955" s="154"/>
      <c r="F955" s="154"/>
      <c r="G955" s="55"/>
      <c r="H955" s="154"/>
      <c r="I955" s="154"/>
      <c r="J955" s="154"/>
      <c r="K955" s="154"/>
      <c r="L955" s="154"/>
      <c r="M955" s="154"/>
      <c r="N955" s="154"/>
      <c r="O955" s="154"/>
      <c r="P955" s="154"/>
      <c r="Q955" s="154"/>
      <c r="R955" s="154"/>
      <c r="S955" s="154"/>
      <c r="T955" s="154"/>
      <c r="U955" s="154"/>
      <c r="V955" s="154"/>
      <c r="W955" s="154"/>
      <c r="X955" s="154"/>
      <c r="Y955" s="154"/>
      <c r="Z955" s="154"/>
      <c r="AA955" s="154"/>
    </row>
    <row r="956">
      <c r="A956" s="154"/>
      <c r="B956" s="154"/>
      <c r="C956" s="154"/>
      <c r="D956" s="154"/>
      <c r="E956" s="154"/>
      <c r="F956" s="154"/>
      <c r="G956" s="55"/>
      <c r="H956" s="154"/>
      <c r="I956" s="154"/>
      <c r="J956" s="154"/>
      <c r="K956" s="154"/>
      <c r="L956" s="154"/>
      <c r="M956" s="154"/>
      <c r="N956" s="154"/>
      <c r="O956" s="154"/>
      <c r="P956" s="154"/>
      <c r="Q956" s="154"/>
      <c r="R956" s="154"/>
      <c r="S956" s="154"/>
      <c r="T956" s="154"/>
      <c r="U956" s="154"/>
      <c r="V956" s="154"/>
      <c r="W956" s="154"/>
      <c r="X956" s="154"/>
      <c r="Y956" s="154"/>
      <c r="Z956" s="154"/>
      <c r="AA956" s="154"/>
    </row>
    <row r="957">
      <c r="A957" s="154"/>
      <c r="B957" s="154"/>
      <c r="C957" s="154"/>
      <c r="D957" s="154"/>
      <c r="E957" s="154"/>
      <c r="F957" s="154"/>
      <c r="G957" s="55"/>
      <c r="H957" s="154"/>
      <c r="I957" s="154"/>
      <c r="J957" s="154"/>
      <c r="K957" s="154"/>
      <c r="L957" s="154"/>
      <c r="M957" s="154"/>
      <c r="N957" s="154"/>
      <c r="O957" s="154"/>
      <c r="P957" s="154"/>
      <c r="Q957" s="154"/>
      <c r="R957" s="154"/>
      <c r="S957" s="154"/>
      <c r="T957" s="154"/>
      <c r="U957" s="154"/>
      <c r="V957" s="154"/>
      <c r="W957" s="154"/>
      <c r="X957" s="154"/>
      <c r="Y957" s="154"/>
      <c r="Z957" s="154"/>
      <c r="AA957" s="154"/>
    </row>
    <row r="958">
      <c r="A958" s="154"/>
      <c r="B958" s="154"/>
      <c r="C958" s="154"/>
      <c r="D958" s="154"/>
      <c r="E958" s="154"/>
      <c r="F958" s="154"/>
      <c r="G958" s="55"/>
      <c r="H958" s="154"/>
      <c r="I958" s="154"/>
      <c r="J958" s="154"/>
      <c r="K958" s="154"/>
      <c r="L958" s="154"/>
      <c r="M958" s="154"/>
      <c r="N958" s="154"/>
      <c r="O958" s="154"/>
      <c r="P958" s="154"/>
      <c r="Q958" s="154"/>
      <c r="R958" s="154"/>
      <c r="S958" s="154"/>
      <c r="T958" s="154"/>
      <c r="U958" s="154"/>
      <c r="V958" s="154"/>
      <c r="W958" s="154"/>
      <c r="X958" s="154"/>
      <c r="Y958" s="154"/>
      <c r="Z958" s="154"/>
      <c r="AA958" s="154"/>
    </row>
    <row r="959">
      <c r="A959" s="154"/>
      <c r="B959" s="154"/>
      <c r="C959" s="154"/>
      <c r="D959" s="154"/>
      <c r="E959" s="154"/>
      <c r="F959" s="154"/>
      <c r="G959" s="55"/>
      <c r="H959" s="154"/>
      <c r="I959" s="154"/>
      <c r="J959" s="154"/>
      <c r="K959" s="154"/>
      <c r="L959" s="154"/>
      <c r="M959" s="154"/>
      <c r="N959" s="154"/>
      <c r="O959" s="154"/>
      <c r="P959" s="154"/>
      <c r="Q959" s="154"/>
      <c r="R959" s="154"/>
      <c r="S959" s="154"/>
      <c r="T959" s="154"/>
      <c r="U959" s="154"/>
      <c r="V959" s="154"/>
      <c r="W959" s="154"/>
      <c r="X959" s="154"/>
      <c r="Y959" s="154"/>
      <c r="Z959" s="154"/>
      <c r="AA959" s="154"/>
    </row>
    <row r="960">
      <c r="A960" s="154"/>
      <c r="B960" s="154"/>
      <c r="C960" s="154"/>
      <c r="D960" s="154"/>
      <c r="E960" s="154"/>
      <c r="F960" s="154"/>
      <c r="G960" s="55"/>
      <c r="H960" s="154"/>
      <c r="I960" s="154"/>
      <c r="J960" s="154"/>
      <c r="K960" s="154"/>
      <c r="L960" s="154"/>
      <c r="M960" s="154"/>
      <c r="N960" s="154"/>
      <c r="O960" s="154"/>
      <c r="P960" s="154"/>
      <c r="Q960" s="154"/>
      <c r="R960" s="154"/>
      <c r="S960" s="154"/>
      <c r="T960" s="154"/>
      <c r="U960" s="154"/>
      <c r="V960" s="154"/>
      <c r="W960" s="154"/>
      <c r="X960" s="154"/>
      <c r="Y960" s="154"/>
      <c r="Z960" s="154"/>
      <c r="AA960" s="154"/>
    </row>
    <row r="961">
      <c r="A961" s="154"/>
      <c r="B961" s="154"/>
      <c r="C961" s="154"/>
      <c r="D961" s="154"/>
      <c r="E961" s="154"/>
      <c r="F961" s="154"/>
      <c r="G961" s="55"/>
      <c r="H961" s="154"/>
      <c r="I961" s="154"/>
      <c r="J961" s="154"/>
      <c r="K961" s="154"/>
      <c r="L961" s="154"/>
      <c r="M961" s="154"/>
      <c r="N961" s="154"/>
      <c r="O961" s="154"/>
      <c r="P961" s="154"/>
      <c r="Q961" s="154"/>
      <c r="R961" s="154"/>
      <c r="S961" s="154"/>
      <c r="T961" s="154"/>
      <c r="U961" s="154"/>
      <c r="V961" s="154"/>
      <c r="W961" s="154"/>
      <c r="X961" s="154"/>
      <c r="Y961" s="154"/>
      <c r="Z961" s="154"/>
      <c r="AA961" s="154"/>
    </row>
    <row r="962">
      <c r="A962" s="154"/>
      <c r="B962" s="154"/>
      <c r="C962" s="154"/>
      <c r="D962" s="154"/>
      <c r="E962" s="154"/>
      <c r="F962" s="154"/>
      <c r="G962" s="55"/>
      <c r="H962" s="154"/>
      <c r="I962" s="154"/>
      <c r="J962" s="154"/>
      <c r="K962" s="154"/>
      <c r="L962" s="154"/>
      <c r="M962" s="154"/>
      <c r="N962" s="154"/>
      <c r="O962" s="154"/>
      <c r="P962" s="154"/>
      <c r="Q962" s="154"/>
      <c r="R962" s="154"/>
      <c r="S962" s="154"/>
      <c r="T962" s="154"/>
      <c r="U962" s="154"/>
      <c r="V962" s="154"/>
      <c r="W962" s="154"/>
      <c r="X962" s="154"/>
      <c r="Y962" s="154"/>
      <c r="Z962" s="154"/>
      <c r="AA962" s="154"/>
    </row>
    <row r="963">
      <c r="A963" s="154"/>
      <c r="B963" s="154"/>
      <c r="C963" s="154"/>
      <c r="D963" s="154"/>
      <c r="E963" s="154"/>
      <c r="F963" s="154"/>
      <c r="G963" s="55"/>
      <c r="H963" s="154"/>
      <c r="I963" s="154"/>
      <c r="J963" s="154"/>
      <c r="K963" s="154"/>
      <c r="L963" s="154"/>
      <c r="M963" s="154"/>
      <c r="N963" s="154"/>
      <c r="O963" s="154"/>
      <c r="P963" s="154"/>
      <c r="Q963" s="154"/>
      <c r="R963" s="154"/>
      <c r="S963" s="154"/>
      <c r="T963" s="154"/>
      <c r="U963" s="154"/>
      <c r="V963" s="154"/>
      <c r="W963" s="154"/>
      <c r="X963" s="154"/>
      <c r="Y963" s="154"/>
      <c r="Z963" s="154"/>
      <c r="AA963" s="154"/>
    </row>
    <row r="964">
      <c r="A964" s="154"/>
      <c r="B964" s="154"/>
      <c r="C964" s="154"/>
      <c r="D964" s="154"/>
      <c r="E964" s="154"/>
      <c r="F964" s="154"/>
      <c r="G964" s="55"/>
      <c r="H964" s="154"/>
      <c r="I964" s="154"/>
      <c r="J964" s="154"/>
      <c r="K964" s="154"/>
      <c r="L964" s="154"/>
      <c r="M964" s="154"/>
      <c r="N964" s="154"/>
      <c r="O964" s="154"/>
      <c r="P964" s="154"/>
      <c r="Q964" s="154"/>
      <c r="R964" s="154"/>
      <c r="S964" s="154"/>
      <c r="T964" s="154"/>
      <c r="U964" s="154"/>
      <c r="V964" s="154"/>
      <c r="W964" s="154"/>
      <c r="X964" s="154"/>
      <c r="Y964" s="154"/>
      <c r="Z964" s="154"/>
      <c r="AA964" s="154"/>
    </row>
    <row r="965">
      <c r="A965" s="154"/>
      <c r="B965" s="154"/>
      <c r="C965" s="154"/>
      <c r="D965" s="154"/>
      <c r="E965" s="154"/>
      <c r="F965" s="154"/>
      <c r="G965" s="55"/>
      <c r="H965" s="154"/>
      <c r="I965" s="154"/>
      <c r="J965" s="154"/>
      <c r="K965" s="154"/>
      <c r="L965" s="154"/>
      <c r="M965" s="154"/>
      <c r="N965" s="154"/>
      <c r="O965" s="154"/>
      <c r="P965" s="154"/>
      <c r="Q965" s="154"/>
      <c r="R965" s="154"/>
      <c r="S965" s="154"/>
      <c r="T965" s="154"/>
      <c r="U965" s="154"/>
      <c r="V965" s="154"/>
      <c r="W965" s="154"/>
      <c r="X965" s="154"/>
      <c r="Y965" s="154"/>
      <c r="Z965" s="154"/>
      <c r="AA965" s="154"/>
    </row>
    <row r="966">
      <c r="A966" s="154"/>
      <c r="B966" s="154"/>
      <c r="C966" s="154"/>
      <c r="D966" s="154"/>
      <c r="E966" s="154"/>
      <c r="F966" s="154"/>
      <c r="G966" s="55"/>
      <c r="H966" s="154"/>
      <c r="I966" s="154"/>
      <c r="J966" s="154"/>
      <c r="K966" s="154"/>
      <c r="L966" s="154"/>
      <c r="M966" s="154"/>
      <c r="N966" s="154"/>
      <c r="O966" s="154"/>
      <c r="P966" s="154"/>
      <c r="Q966" s="154"/>
      <c r="R966" s="154"/>
      <c r="S966" s="154"/>
      <c r="T966" s="154"/>
      <c r="U966" s="154"/>
      <c r="V966" s="154"/>
      <c r="W966" s="154"/>
      <c r="X966" s="154"/>
      <c r="Y966" s="154"/>
      <c r="Z966" s="154"/>
      <c r="AA966" s="154"/>
    </row>
    <row r="967">
      <c r="A967" s="154"/>
      <c r="B967" s="154"/>
      <c r="C967" s="154"/>
      <c r="D967" s="154"/>
      <c r="E967" s="154"/>
      <c r="F967" s="154"/>
      <c r="G967" s="55"/>
      <c r="H967" s="154"/>
      <c r="I967" s="154"/>
      <c r="J967" s="154"/>
      <c r="K967" s="154"/>
      <c r="L967" s="154"/>
      <c r="M967" s="154"/>
      <c r="N967" s="154"/>
      <c r="O967" s="154"/>
      <c r="P967" s="154"/>
      <c r="Q967" s="154"/>
      <c r="R967" s="154"/>
      <c r="S967" s="154"/>
      <c r="T967" s="154"/>
      <c r="U967" s="154"/>
      <c r="V967" s="154"/>
      <c r="W967" s="154"/>
      <c r="X967" s="154"/>
      <c r="Y967" s="154"/>
      <c r="Z967" s="154"/>
      <c r="AA967" s="154"/>
    </row>
    <row r="968">
      <c r="A968" s="154"/>
      <c r="B968" s="154"/>
      <c r="C968" s="154"/>
      <c r="D968" s="154"/>
      <c r="E968" s="154"/>
      <c r="F968" s="154"/>
      <c r="G968" s="55"/>
      <c r="H968" s="154"/>
      <c r="I968" s="154"/>
      <c r="J968" s="154"/>
      <c r="K968" s="154"/>
      <c r="L968" s="154"/>
      <c r="M968" s="154"/>
      <c r="N968" s="154"/>
      <c r="O968" s="154"/>
      <c r="P968" s="154"/>
      <c r="Q968" s="154"/>
      <c r="R968" s="154"/>
      <c r="S968" s="154"/>
      <c r="T968" s="154"/>
      <c r="U968" s="154"/>
      <c r="V968" s="154"/>
      <c r="W968" s="154"/>
      <c r="X968" s="154"/>
      <c r="Y968" s="154"/>
      <c r="Z968" s="154"/>
      <c r="AA968" s="154"/>
    </row>
    <row r="969">
      <c r="A969" s="154"/>
      <c r="B969" s="154"/>
      <c r="C969" s="154"/>
      <c r="D969" s="154"/>
      <c r="E969" s="154"/>
      <c r="F969" s="154"/>
      <c r="G969" s="55"/>
      <c r="H969" s="154"/>
      <c r="I969" s="154"/>
      <c r="J969" s="154"/>
      <c r="K969" s="154"/>
      <c r="L969" s="154"/>
      <c r="M969" s="154"/>
      <c r="N969" s="154"/>
      <c r="O969" s="154"/>
      <c r="P969" s="154"/>
      <c r="Q969" s="154"/>
      <c r="R969" s="154"/>
      <c r="S969" s="154"/>
      <c r="T969" s="154"/>
      <c r="U969" s="154"/>
      <c r="V969" s="154"/>
      <c r="W969" s="154"/>
      <c r="X969" s="154"/>
      <c r="Y969" s="154"/>
      <c r="Z969" s="154"/>
      <c r="AA969" s="154"/>
    </row>
    <row r="970">
      <c r="A970" s="154"/>
      <c r="B970" s="154"/>
      <c r="C970" s="154"/>
      <c r="D970" s="154"/>
      <c r="E970" s="154"/>
      <c r="F970" s="154"/>
      <c r="G970" s="55"/>
      <c r="H970" s="154"/>
      <c r="I970" s="154"/>
      <c r="J970" s="154"/>
      <c r="K970" s="154"/>
      <c r="L970" s="154"/>
      <c r="M970" s="154"/>
      <c r="N970" s="154"/>
      <c r="O970" s="154"/>
      <c r="P970" s="154"/>
      <c r="Q970" s="154"/>
      <c r="R970" s="154"/>
      <c r="S970" s="154"/>
      <c r="T970" s="154"/>
      <c r="U970" s="154"/>
      <c r="V970" s="154"/>
      <c r="W970" s="154"/>
      <c r="X970" s="154"/>
      <c r="Y970" s="154"/>
      <c r="Z970" s="154"/>
      <c r="AA970" s="154"/>
    </row>
    <row r="971">
      <c r="A971" s="154"/>
      <c r="B971" s="154"/>
      <c r="C971" s="154"/>
      <c r="D971" s="154"/>
      <c r="E971" s="154"/>
      <c r="F971" s="154"/>
      <c r="G971" s="55"/>
      <c r="H971" s="154"/>
      <c r="I971" s="154"/>
      <c r="J971" s="154"/>
      <c r="K971" s="154"/>
      <c r="L971" s="154"/>
      <c r="M971" s="154"/>
      <c r="N971" s="154"/>
      <c r="O971" s="154"/>
      <c r="P971" s="154"/>
      <c r="Q971" s="154"/>
      <c r="R971" s="154"/>
      <c r="S971" s="154"/>
      <c r="T971" s="154"/>
      <c r="U971" s="154"/>
      <c r="V971" s="154"/>
      <c r="W971" s="154"/>
      <c r="X971" s="154"/>
      <c r="Y971" s="154"/>
      <c r="Z971" s="154"/>
      <c r="AA971" s="154"/>
    </row>
    <row r="972">
      <c r="A972" s="154"/>
      <c r="B972" s="154"/>
      <c r="C972" s="154"/>
      <c r="D972" s="154"/>
      <c r="E972" s="154"/>
      <c r="F972" s="154"/>
      <c r="G972" s="55"/>
      <c r="H972" s="154"/>
      <c r="I972" s="154"/>
      <c r="J972" s="154"/>
      <c r="K972" s="154"/>
      <c r="L972" s="154"/>
      <c r="M972" s="154"/>
      <c r="N972" s="154"/>
      <c r="O972" s="154"/>
      <c r="P972" s="154"/>
      <c r="Q972" s="154"/>
      <c r="R972" s="154"/>
      <c r="S972" s="154"/>
      <c r="T972" s="154"/>
      <c r="U972" s="154"/>
      <c r="V972" s="154"/>
      <c r="W972" s="154"/>
      <c r="X972" s="154"/>
      <c r="Y972" s="154"/>
      <c r="Z972" s="154"/>
      <c r="AA972" s="154"/>
    </row>
    <row r="973">
      <c r="A973" s="154"/>
      <c r="B973" s="154"/>
      <c r="C973" s="154"/>
      <c r="D973" s="154"/>
      <c r="E973" s="154"/>
      <c r="F973" s="154"/>
      <c r="G973" s="55"/>
      <c r="H973" s="154"/>
      <c r="I973" s="154"/>
      <c r="J973" s="154"/>
      <c r="K973" s="154"/>
      <c r="L973" s="154"/>
      <c r="M973" s="154"/>
      <c r="N973" s="154"/>
      <c r="O973" s="154"/>
      <c r="P973" s="154"/>
      <c r="Q973" s="154"/>
      <c r="R973" s="154"/>
      <c r="S973" s="154"/>
      <c r="T973" s="154"/>
      <c r="U973" s="154"/>
      <c r="V973" s="154"/>
      <c r="W973" s="154"/>
      <c r="X973" s="154"/>
      <c r="Y973" s="154"/>
      <c r="Z973" s="154"/>
      <c r="AA973" s="154"/>
    </row>
    <row r="974">
      <c r="A974" s="154"/>
      <c r="B974" s="154"/>
      <c r="C974" s="154"/>
      <c r="D974" s="154"/>
      <c r="E974" s="154"/>
      <c r="F974" s="154"/>
      <c r="G974" s="55"/>
      <c r="H974" s="154"/>
      <c r="I974" s="154"/>
      <c r="J974" s="154"/>
      <c r="K974" s="154"/>
      <c r="L974" s="154"/>
      <c r="M974" s="154"/>
      <c r="N974" s="154"/>
      <c r="O974" s="154"/>
      <c r="P974" s="154"/>
      <c r="Q974" s="154"/>
      <c r="R974" s="154"/>
      <c r="S974" s="154"/>
      <c r="T974" s="154"/>
      <c r="U974" s="154"/>
      <c r="V974" s="154"/>
      <c r="W974" s="154"/>
      <c r="X974" s="154"/>
      <c r="Y974" s="154"/>
      <c r="Z974" s="154"/>
      <c r="AA974" s="154"/>
    </row>
    <row r="975">
      <c r="A975" s="154"/>
      <c r="B975" s="154"/>
      <c r="C975" s="154"/>
      <c r="D975" s="154"/>
      <c r="E975" s="154"/>
      <c r="F975" s="154"/>
      <c r="G975" s="55"/>
      <c r="H975" s="154"/>
      <c r="I975" s="154"/>
      <c r="J975" s="154"/>
      <c r="K975" s="154"/>
      <c r="L975" s="154"/>
      <c r="M975" s="154"/>
      <c r="N975" s="154"/>
      <c r="O975" s="154"/>
      <c r="P975" s="154"/>
      <c r="Q975" s="154"/>
      <c r="R975" s="154"/>
      <c r="S975" s="154"/>
      <c r="T975" s="154"/>
      <c r="U975" s="154"/>
      <c r="V975" s="154"/>
      <c r="W975" s="154"/>
      <c r="X975" s="154"/>
      <c r="Y975" s="154"/>
      <c r="Z975" s="154"/>
      <c r="AA975" s="154"/>
    </row>
    <row r="976">
      <c r="A976" s="154"/>
      <c r="B976" s="154"/>
      <c r="C976" s="154"/>
      <c r="D976" s="154"/>
      <c r="E976" s="154"/>
      <c r="F976" s="154"/>
      <c r="G976" s="55"/>
      <c r="H976" s="154"/>
      <c r="I976" s="154"/>
      <c r="J976" s="154"/>
      <c r="K976" s="154"/>
      <c r="L976" s="154"/>
      <c r="M976" s="154"/>
      <c r="N976" s="154"/>
      <c r="O976" s="154"/>
      <c r="P976" s="154"/>
      <c r="Q976" s="154"/>
      <c r="R976" s="154"/>
      <c r="S976" s="154"/>
      <c r="T976" s="154"/>
      <c r="U976" s="154"/>
      <c r="V976" s="154"/>
      <c r="W976" s="154"/>
      <c r="X976" s="154"/>
      <c r="Y976" s="154"/>
      <c r="Z976" s="154"/>
      <c r="AA976" s="154"/>
    </row>
    <row r="977">
      <c r="A977" s="154"/>
      <c r="B977" s="154"/>
      <c r="C977" s="154"/>
      <c r="D977" s="154"/>
      <c r="E977" s="154"/>
      <c r="F977" s="154"/>
      <c r="G977" s="55"/>
      <c r="H977" s="154"/>
      <c r="I977" s="154"/>
      <c r="J977" s="154"/>
      <c r="K977" s="154"/>
      <c r="L977" s="154"/>
      <c r="M977" s="154"/>
      <c r="N977" s="154"/>
      <c r="O977" s="154"/>
      <c r="P977" s="154"/>
      <c r="Q977" s="154"/>
      <c r="R977" s="154"/>
      <c r="S977" s="154"/>
      <c r="T977" s="154"/>
      <c r="U977" s="154"/>
      <c r="V977" s="154"/>
      <c r="W977" s="154"/>
      <c r="X977" s="154"/>
      <c r="Y977" s="154"/>
      <c r="Z977" s="154"/>
      <c r="AA977" s="154"/>
    </row>
    <row r="978">
      <c r="A978" s="154"/>
      <c r="B978" s="154"/>
      <c r="C978" s="154"/>
      <c r="D978" s="154"/>
      <c r="E978" s="154"/>
      <c r="F978" s="154"/>
      <c r="G978" s="55"/>
      <c r="H978" s="154"/>
      <c r="I978" s="154"/>
      <c r="J978" s="154"/>
      <c r="K978" s="154"/>
      <c r="L978" s="154"/>
      <c r="M978" s="154"/>
      <c r="N978" s="154"/>
      <c r="O978" s="154"/>
      <c r="P978" s="154"/>
      <c r="Q978" s="154"/>
      <c r="R978" s="154"/>
      <c r="S978" s="154"/>
      <c r="T978" s="154"/>
      <c r="U978" s="154"/>
      <c r="V978" s="154"/>
      <c r="W978" s="154"/>
      <c r="X978" s="154"/>
      <c r="Y978" s="154"/>
      <c r="Z978" s="154"/>
      <c r="AA978" s="154"/>
    </row>
    <row r="979">
      <c r="A979" s="154"/>
      <c r="B979" s="154"/>
      <c r="C979" s="154"/>
      <c r="D979" s="154"/>
      <c r="E979" s="154"/>
      <c r="F979" s="154"/>
      <c r="G979" s="55"/>
      <c r="H979" s="154"/>
      <c r="I979" s="154"/>
      <c r="J979" s="154"/>
      <c r="K979" s="154"/>
      <c r="L979" s="154"/>
      <c r="M979" s="154"/>
      <c r="N979" s="154"/>
      <c r="O979" s="154"/>
      <c r="P979" s="154"/>
      <c r="Q979" s="154"/>
      <c r="R979" s="154"/>
      <c r="S979" s="154"/>
      <c r="T979" s="154"/>
      <c r="U979" s="154"/>
      <c r="V979" s="154"/>
      <c r="W979" s="154"/>
      <c r="X979" s="154"/>
      <c r="Y979" s="154"/>
      <c r="Z979" s="154"/>
      <c r="AA979" s="154"/>
    </row>
    <row r="980">
      <c r="A980" s="154"/>
      <c r="B980" s="154"/>
      <c r="C980" s="154"/>
      <c r="D980" s="154"/>
      <c r="E980" s="154"/>
      <c r="F980" s="154"/>
      <c r="G980" s="55"/>
      <c r="H980" s="154"/>
      <c r="I980" s="154"/>
      <c r="J980" s="154"/>
      <c r="K980" s="154"/>
      <c r="L980" s="154"/>
      <c r="M980" s="154"/>
      <c r="N980" s="154"/>
      <c r="O980" s="154"/>
      <c r="P980" s="154"/>
      <c r="Q980" s="154"/>
      <c r="R980" s="154"/>
      <c r="S980" s="154"/>
      <c r="T980" s="154"/>
      <c r="U980" s="154"/>
      <c r="V980" s="154"/>
      <c r="W980" s="154"/>
      <c r="X980" s="154"/>
      <c r="Y980" s="154"/>
      <c r="Z980" s="154"/>
      <c r="AA980" s="154"/>
    </row>
    <row r="981">
      <c r="A981" s="154"/>
      <c r="B981" s="154"/>
      <c r="C981" s="154"/>
      <c r="D981" s="154"/>
      <c r="E981" s="154"/>
      <c r="F981" s="154"/>
      <c r="G981" s="55"/>
      <c r="H981" s="154"/>
      <c r="I981" s="154"/>
      <c r="J981" s="154"/>
      <c r="K981" s="154"/>
      <c r="L981" s="154"/>
      <c r="M981" s="154"/>
      <c r="N981" s="154"/>
      <c r="O981" s="154"/>
      <c r="P981" s="154"/>
      <c r="Q981" s="154"/>
      <c r="R981" s="154"/>
      <c r="S981" s="154"/>
      <c r="T981" s="154"/>
      <c r="U981" s="154"/>
      <c r="V981" s="154"/>
      <c r="W981" s="154"/>
      <c r="X981" s="154"/>
      <c r="Y981" s="154"/>
      <c r="Z981" s="154"/>
      <c r="AA981" s="154"/>
    </row>
    <row r="982">
      <c r="A982" s="154"/>
      <c r="B982" s="154"/>
      <c r="C982" s="154"/>
      <c r="D982" s="154"/>
      <c r="E982" s="154"/>
      <c r="F982" s="154"/>
      <c r="G982" s="55"/>
      <c r="H982" s="154"/>
      <c r="I982" s="154"/>
      <c r="J982" s="154"/>
      <c r="K982" s="154"/>
      <c r="L982" s="154"/>
      <c r="M982" s="154"/>
      <c r="N982" s="154"/>
      <c r="O982" s="154"/>
      <c r="P982" s="154"/>
      <c r="Q982" s="154"/>
      <c r="R982" s="154"/>
      <c r="S982" s="154"/>
      <c r="T982" s="154"/>
      <c r="U982" s="154"/>
      <c r="V982" s="154"/>
      <c r="W982" s="154"/>
      <c r="X982" s="154"/>
      <c r="Y982" s="154"/>
      <c r="Z982" s="154"/>
      <c r="AA982" s="154"/>
    </row>
    <row r="983">
      <c r="A983" s="154"/>
      <c r="B983" s="154"/>
      <c r="C983" s="154"/>
      <c r="D983" s="154"/>
      <c r="E983" s="154"/>
      <c r="F983" s="154"/>
      <c r="G983" s="55"/>
      <c r="H983" s="154"/>
      <c r="I983" s="154"/>
      <c r="J983" s="154"/>
      <c r="K983" s="154"/>
      <c r="L983" s="154"/>
      <c r="M983" s="154"/>
      <c r="N983" s="154"/>
      <c r="O983" s="154"/>
      <c r="P983" s="154"/>
      <c r="Q983" s="154"/>
      <c r="R983" s="154"/>
      <c r="S983" s="154"/>
      <c r="T983" s="154"/>
      <c r="U983" s="154"/>
      <c r="V983" s="154"/>
      <c r="W983" s="154"/>
      <c r="X983" s="154"/>
      <c r="Y983" s="154"/>
      <c r="Z983" s="154"/>
      <c r="AA983" s="154"/>
    </row>
    <row r="984">
      <c r="A984" s="154"/>
      <c r="B984" s="154"/>
      <c r="C984" s="154"/>
      <c r="D984" s="154"/>
      <c r="E984" s="154"/>
      <c r="F984" s="154"/>
      <c r="G984" s="55"/>
      <c r="H984" s="154"/>
      <c r="I984" s="154"/>
      <c r="J984" s="154"/>
      <c r="K984" s="154"/>
      <c r="L984" s="154"/>
      <c r="M984" s="154"/>
      <c r="N984" s="154"/>
      <c r="O984" s="154"/>
      <c r="P984" s="154"/>
      <c r="Q984" s="154"/>
      <c r="R984" s="154"/>
      <c r="S984" s="154"/>
      <c r="T984" s="154"/>
      <c r="U984" s="154"/>
      <c r="V984" s="154"/>
      <c r="W984" s="154"/>
      <c r="X984" s="154"/>
      <c r="Y984" s="154"/>
      <c r="Z984" s="154"/>
      <c r="AA984" s="154"/>
    </row>
    <row r="985">
      <c r="A985" s="154"/>
      <c r="B985" s="154"/>
      <c r="C985" s="154"/>
      <c r="D985" s="154"/>
      <c r="E985" s="154"/>
      <c r="F985" s="154"/>
      <c r="G985" s="55"/>
      <c r="H985" s="154"/>
      <c r="I985" s="154"/>
      <c r="J985" s="154"/>
      <c r="K985" s="154"/>
      <c r="L985" s="154"/>
      <c r="M985" s="154"/>
      <c r="N985" s="154"/>
      <c r="O985" s="154"/>
      <c r="P985" s="154"/>
      <c r="Q985" s="154"/>
      <c r="R985" s="154"/>
      <c r="S985" s="154"/>
      <c r="T985" s="154"/>
      <c r="U985" s="154"/>
      <c r="V985" s="154"/>
      <c r="W985" s="154"/>
      <c r="X985" s="154"/>
      <c r="Y985" s="154"/>
      <c r="Z985" s="154"/>
      <c r="AA985" s="154"/>
    </row>
    <row r="986">
      <c r="A986" s="154"/>
      <c r="B986" s="154"/>
      <c r="C986" s="154"/>
      <c r="D986" s="154"/>
      <c r="E986" s="156"/>
      <c r="F986" s="154"/>
      <c r="G986" s="55"/>
      <c r="H986" s="154"/>
      <c r="I986" s="154"/>
      <c r="J986" s="154"/>
      <c r="K986" s="154"/>
      <c r="L986" s="154"/>
      <c r="M986" s="154"/>
      <c r="N986" s="154"/>
      <c r="O986" s="154"/>
      <c r="P986" s="154"/>
      <c r="Q986" s="154"/>
      <c r="R986" s="154"/>
      <c r="S986" s="154"/>
      <c r="T986" s="154"/>
      <c r="U986" s="154"/>
      <c r="V986" s="154"/>
      <c r="W986" s="154"/>
      <c r="X986" s="154"/>
      <c r="Y986" s="154"/>
      <c r="Z986" s="154"/>
      <c r="AA986" s="154"/>
    </row>
    <row r="987">
      <c r="A987" s="154"/>
      <c r="B987" s="154"/>
      <c r="C987" s="154"/>
      <c r="D987" s="154"/>
      <c r="E987" s="156"/>
      <c r="F987" s="154"/>
      <c r="G987" s="55"/>
      <c r="H987" s="154"/>
      <c r="I987" s="154"/>
      <c r="J987" s="154"/>
      <c r="K987" s="154"/>
      <c r="L987" s="154"/>
      <c r="M987" s="154"/>
      <c r="N987" s="154"/>
      <c r="O987" s="154"/>
      <c r="P987" s="154"/>
      <c r="Q987" s="154"/>
      <c r="R987" s="154"/>
      <c r="S987" s="154"/>
      <c r="T987" s="154"/>
      <c r="U987" s="154"/>
      <c r="V987" s="154"/>
      <c r="W987" s="154"/>
      <c r="X987" s="154"/>
      <c r="Y987" s="154"/>
      <c r="Z987" s="154"/>
      <c r="AA987" s="154"/>
    </row>
    <row r="988">
      <c r="A988" s="154"/>
      <c r="B988" s="154"/>
      <c r="C988" s="154"/>
      <c r="D988" s="154"/>
      <c r="E988" s="156"/>
      <c r="F988" s="154"/>
      <c r="G988" s="55"/>
      <c r="H988" s="154"/>
      <c r="I988" s="154"/>
      <c r="J988" s="154"/>
      <c r="K988" s="154"/>
      <c r="L988" s="154"/>
      <c r="M988" s="154"/>
      <c r="N988" s="154"/>
      <c r="O988" s="154"/>
      <c r="P988" s="154"/>
      <c r="Q988" s="154"/>
      <c r="R988" s="154"/>
      <c r="S988" s="154"/>
      <c r="T988" s="154"/>
      <c r="U988" s="154"/>
      <c r="V988" s="154"/>
      <c r="W988" s="154"/>
      <c r="X988" s="154"/>
      <c r="Y988" s="154"/>
      <c r="Z988" s="154"/>
      <c r="AA988" s="154"/>
    </row>
    <row r="989">
      <c r="A989" s="154"/>
      <c r="B989" s="154"/>
      <c r="C989" s="154"/>
      <c r="D989" s="154"/>
      <c r="E989" s="156"/>
      <c r="F989" s="154"/>
      <c r="G989" s="55"/>
      <c r="H989" s="154"/>
      <c r="I989" s="154"/>
      <c r="J989" s="154"/>
      <c r="K989" s="154"/>
      <c r="L989" s="154"/>
      <c r="M989" s="154"/>
      <c r="N989" s="154"/>
      <c r="O989" s="154"/>
      <c r="P989" s="154"/>
      <c r="Q989" s="154"/>
      <c r="R989" s="154"/>
      <c r="S989" s="154"/>
      <c r="T989" s="154"/>
      <c r="U989" s="154"/>
      <c r="V989" s="154"/>
      <c r="W989" s="154"/>
      <c r="X989" s="154"/>
      <c r="Y989" s="154"/>
      <c r="Z989" s="154"/>
      <c r="AA989" s="154"/>
    </row>
    <row r="990">
      <c r="A990" s="154"/>
      <c r="B990" s="154"/>
      <c r="C990" s="154"/>
      <c r="D990" s="154"/>
      <c r="F990" s="154"/>
      <c r="G990" s="55"/>
      <c r="H990" s="154"/>
      <c r="I990" s="154"/>
      <c r="J990" s="154"/>
      <c r="K990" s="154"/>
      <c r="L990" s="154"/>
      <c r="M990" s="154"/>
      <c r="N990" s="154"/>
      <c r="O990" s="154"/>
      <c r="P990" s="154"/>
      <c r="Q990" s="154"/>
      <c r="R990" s="154"/>
      <c r="S990" s="154"/>
      <c r="T990" s="154"/>
      <c r="U990" s="154"/>
      <c r="V990" s="154"/>
      <c r="W990" s="154"/>
      <c r="X990" s="154"/>
      <c r="Y990" s="154"/>
      <c r="Z990" s="154"/>
      <c r="AA990" s="154"/>
    </row>
    <row r="991">
      <c r="A991" s="154"/>
      <c r="B991" s="154"/>
      <c r="C991" s="154"/>
      <c r="D991" s="154"/>
      <c r="F991" s="154"/>
      <c r="G991" s="55"/>
      <c r="H991" s="154"/>
      <c r="I991" s="154"/>
      <c r="J991" s="154"/>
      <c r="K991" s="154"/>
      <c r="L991" s="154"/>
      <c r="M991" s="154"/>
      <c r="N991" s="154"/>
      <c r="O991" s="154"/>
      <c r="P991" s="154"/>
      <c r="Q991" s="154"/>
      <c r="R991" s="154"/>
      <c r="S991" s="154"/>
      <c r="T991" s="154"/>
      <c r="U991" s="154"/>
      <c r="V991" s="154"/>
      <c r="W991" s="154"/>
      <c r="X991" s="154"/>
      <c r="Y991" s="154"/>
      <c r="Z991" s="154"/>
      <c r="AA991" s="154"/>
    </row>
    <row r="992">
      <c r="A992" s="154"/>
      <c r="B992" s="154"/>
      <c r="C992" s="154"/>
      <c r="D992" s="154"/>
      <c r="F992" s="154"/>
      <c r="G992" s="55"/>
      <c r="H992" s="154"/>
      <c r="I992" s="154"/>
      <c r="J992" s="154"/>
      <c r="K992" s="154"/>
      <c r="L992" s="154"/>
      <c r="M992" s="154"/>
      <c r="N992" s="154"/>
      <c r="O992" s="154"/>
      <c r="P992" s="154"/>
      <c r="Q992" s="154"/>
      <c r="R992" s="154"/>
      <c r="S992" s="154"/>
      <c r="T992" s="154"/>
      <c r="U992" s="154"/>
      <c r="V992" s="154"/>
      <c r="W992" s="154"/>
      <c r="X992" s="154"/>
      <c r="Y992" s="154"/>
      <c r="Z992" s="154"/>
      <c r="AA992" s="154"/>
    </row>
    <row r="993">
      <c r="A993" s="154"/>
      <c r="B993" s="154"/>
      <c r="C993" s="154"/>
      <c r="D993" s="157"/>
      <c r="F993" s="154"/>
      <c r="G993" s="55"/>
      <c r="H993" s="154"/>
      <c r="I993" s="154"/>
      <c r="J993" s="154"/>
      <c r="K993" s="154"/>
      <c r="L993" s="154"/>
      <c r="M993" s="154"/>
      <c r="N993" s="154"/>
      <c r="O993" s="154"/>
      <c r="P993" s="154"/>
      <c r="Q993" s="154"/>
      <c r="R993" s="154"/>
      <c r="S993" s="154"/>
      <c r="T993" s="154"/>
      <c r="U993" s="154"/>
      <c r="V993" s="154"/>
      <c r="W993" s="154"/>
      <c r="X993" s="154"/>
      <c r="Y993" s="154"/>
      <c r="Z993" s="154"/>
      <c r="AA993" s="154"/>
    </row>
    <row r="994">
      <c r="A994" s="154"/>
      <c r="B994" s="154"/>
      <c r="C994" s="154"/>
      <c r="D994" s="157"/>
      <c r="F994" s="154"/>
      <c r="G994" s="55"/>
      <c r="H994" s="154"/>
      <c r="I994" s="154"/>
      <c r="J994" s="154"/>
      <c r="K994" s="154"/>
      <c r="L994" s="154"/>
      <c r="M994" s="154"/>
      <c r="N994" s="154"/>
      <c r="O994" s="154"/>
      <c r="P994" s="154"/>
      <c r="Q994" s="154"/>
      <c r="R994" s="154"/>
      <c r="S994" s="154"/>
      <c r="T994" s="154"/>
      <c r="U994" s="154"/>
      <c r="V994" s="154"/>
      <c r="W994" s="154"/>
      <c r="X994" s="154"/>
      <c r="Y994" s="154"/>
      <c r="Z994" s="154"/>
      <c r="AA994" s="154"/>
    </row>
    <row r="995">
      <c r="A995" s="154"/>
      <c r="B995" s="154"/>
      <c r="C995" s="154"/>
      <c r="F995" s="154"/>
      <c r="G995" s="55"/>
      <c r="H995" s="154"/>
      <c r="I995" s="154"/>
      <c r="J995" s="154"/>
      <c r="K995" s="154"/>
      <c r="L995" s="154"/>
      <c r="M995" s="154"/>
      <c r="N995" s="154"/>
      <c r="O995" s="154"/>
      <c r="P995" s="154"/>
      <c r="Q995" s="154"/>
      <c r="R995" s="154"/>
      <c r="S995" s="154"/>
      <c r="T995" s="154"/>
      <c r="U995" s="154"/>
      <c r="V995" s="154"/>
      <c r="W995" s="154"/>
      <c r="X995" s="154"/>
      <c r="Y995" s="154"/>
      <c r="Z995" s="154"/>
      <c r="AA995" s="154"/>
    </row>
    <row r="996">
      <c r="A996" s="154"/>
      <c r="B996" s="154"/>
      <c r="C996" s="154"/>
      <c r="F996" s="154"/>
      <c r="G996" s="55"/>
      <c r="H996" s="154"/>
      <c r="I996" s="154"/>
      <c r="J996" s="154"/>
      <c r="K996" s="154"/>
      <c r="L996" s="154"/>
      <c r="M996" s="154"/>
      <c r="N996" s="154"/>
      <c r="O996" s="154"/>
      <c r="P996" s="154"/>
      <c r="Q996" s="154"/>
      <c r="R996" s="154"/>
      <c r="S996" s="154"/>
      <c r="T996" s="154"/>
      <c r="U996" s="154"/>
      <c r="V996" s="154"/>
      <c r="W996" s="154"/>
      <c r="X996" s="154"/>
      <c r="Y996" s="154"/>
      <c r="Z996" s="154"/>
      <c r="AA996" s="154"/>
    </row>
    <row r="997">
      <c r="A997" s="154"/>
      <c r="B997" s="154"/>
      <c r="C997" s="154"/>
      <c r="F997" s="154"/>
      <c r="G997" s="55"/>
      <c r="H997" s="154"/>
      <c r="I997" s="154"/>
      <c r="J997" s="154"/>
      <c r="K997" s="154"/>
      <c r="L997" s="154"/>
      <c r="M997" s="154"/>
      <c r="N997" s="154"/>
      <c r="O997" s="154"/>
      <c r="P997" s="154"/>
      <c r="Q997" s="154"/>
      <c r="R997" s="154"/>
      <c r="S997" s="154"/>
      <c r="T997" s="154"/>
      <c r="U997" s="154"/>
      <c r="V997" s="154"/>
      <c r="W997" s="154"/>
      <c r="X997" s="154"/>
      <c r="Y997" s="154"/>
      <c r="Z997" s="154"/>
      <c r="AA997" s="154"/>
    </row>
    <row r="998">
      <c r="A998" s="154"/>
      <c r="B998" s="154"/>
      <c r="C998" s="154"/>
      <c r="F998" s="154"/>
      <c r="G998" s="55"/>
      <c r="H998" s="154"/>
      <c r="I998" s="154"/>
      <c r="J998" s="154"/>
      <c r="K998" s="154"/>
      <c r="L998" s="154"/>
      <c r="M998" s="154"/>
      <c r="N998" s="154"/>
      <c r="O998" s="154"/>
      <c r="P998" s="154"/>
      <c r="Q998" s="154"/>
      <c r="R998" s="154"/>
      <c r="S998" s="154"/>
      <c r="T998" s="154"/>
      <c r="U998" s="154"/>
      <c r="V998" s="154"/>
      <c r="W998" s="154"/>
      <c r="X998" s="154"/>
      <c r="Y998" s="154"/>
      <c r="Z998" s="154"/>
      <c r="AA998" s="154"/>
    </row>
    <row r="999">
      <c r="A999" s="154"/>
      <c r="B999" s="154"/>
      <c r="C999" s="154"/>
      <c r="F999" s="154"/>
      <c r="G999" s="55"/>
      <c r="H999" s="154"/>
      <c r="I999" s="154"/>
      <c r="J999" s="154"/>
      <c r="K999" s="154"/>
      <c r="L999" s="154"/>
      <c r="M999" s="154"/>
      <c r="N999" s="154"/>
      <c r="O999" s="154"/>
      <c r="P999" s="154"/>
      <c r="Q999" s="154"/>
      <c r="R999" s="154"/>
      <c r="S999" s="154"/>
      <c r="T999" s="154"/>
      <c r="U999" s="154"/>
      <c r="V999" s="154"/>
      <c r="W999" s="154"/>
      <c r="X999" s="154"/>
      <c r="Y999" s="154"/>
      <c r="Z999" s="154"/>
      <c r="AA999" s="154"/>
    </row>
    <row r="1000">
      <c r="A1000" s="154"/>
      <c r="B1000" s="154"/>
      <c r="C1000" s="154"/>
      <c r="F1000" s="154"/>
      <c r="G1000" s="55"/>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row>
    <row r="1001">
      <c r="A1001" s="154"/>
      <c r="B1001" s="154"/>
      <c r="C1001" s="154"/>
      <c r="F1001" s="154"/>
      <c r="G1001" s="55"/>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25.38"/>
    <col customWidth="1" min="3" max="3" width="18.63"/>
    <col customWidth="1" min="4" max="4" width="13.13"/>
    <col customWidth="1" min="5" max="5" width="26.25"/>
    <col customWidth="1" min="6" max="6" width="23.0"/>
    <col customWidth="1" min="7" max="7" width="7.0"/>
    <col customWidth="1" min="8" max="8" width="24.38"/>
    <col customWidth="1" min="9" max="9" width="9.38"/>
    <col customWidth="1" min="10" max="10" width="15.63"/>
    <col customWidth="1" min="13" max="13" width="25.88"/>
    <col customWidth="1" min="14" max="14" width="22.63"/>
    <col customWidth="1" min="15" max="15" width="21.63"/>
    <col customWidth="1" min="17" max="17" width="17.38"/>
  </cols>
  <sheetData>
    <row r="1">
      <c r="A1" s="158"/>
      <c r="B1" s="159"/>
      <c r="C1" s="160"/>
      <c r="D1" s="160"/>
      <c r="E1" s="160"/>
      <c r="F1" s="160"/>
      <c r="G1" s="161"/>
      <c r="H1" s="162"/>
      <c r="I1" s="163"/>
      <c r="J1" s="164"/>
      <c r="K1" s="164"/>
      <c r="L1" s="164"/>
      <c r="M1" s="165"/>
      <c r="N1" s="164"/>
      <c r="O1" s="164"/>
      <c r="P1" s="164"/>
      <c r="Q1" s="164"/>
      <c r="R1" s="164"/>
      <c r="S1" s="164"/>
      <c r="T1" s="164"/>
      <c r="U1" s="164"/>
      <c r="V1" s="164"/>
      <c r="W1" s="164"/>
      <c r="X1" s="164"/>
    </row>
    <row r="2">
      <c r="A2" s="166" t="s">
        <v>0</v>
      </c>
      <c r="B2" s="167" t="s">
        <v>6691</v>
      </c>
      <c r="C2" s="168" t="s">
        <v>1041</v>
      </c>
      <c r="D2" s="168" t="s">
        <v>6692</v>
      </c>
      <c r="E2" s="169" t="s">
        <v>6693</v>
      </c>
      <c r="F2" s="169" t="s">
        <v>6694</v>
      </c>
      <c r="G2" s="169" t="s">
        <v>6695</v>
      </c>
      <c r="H2" s="169" t="s">
        <v>6696</v>
      </c>
      <c r="I2" s="170" t="s">
        <v>6697</v>
      </c>
      <c r="J2" s="171" t="s">
        <v>6698</v>
      </c>
      <c r="K2" s="172" t="s">
        <v>1036</v>
      </c>
      <c r="L2" s="172" t="s">
        <v>1035</v>
      </c>
      <c r="M2" s="173" t="s">
        <v>6699</v>
      </c>
      <c r="N2" s="172" t="s">
        <v>14</v>
      </c>
      <c r="O2" s="172" t="s">
        <v>6700</v>
      </c>
      <c r="P2" s="172" t="s">
        <v>15</v>
      </c>
      <c r="Q2" s="172" t="s">
        <v>6701</v>
      </c>
      <c r="R2" s="174"/>
      <c r="S2" s="172" t="s">
        <v>10</v>
      </c>
      <c r="T2" s="174"/>
      <c r="U2" s="174"/>
      <c r="V2" s="174"/>
      <c r="W2" s="174"/>
      <c r="X2" s="174"/>
    </row>
    <row r="3">
      <c r="A3" s="175">
        <v>45885.0</v>
      </c>
      <c r="B3" s="176" t="s">
        <v>1581</v>
      </c>
      <c r="C3" s="177" t="s">
        <v>4052</v>
      </c>
      <c r="D3" s="178" t="s">
        <v>6702</v>
      </c>
      <c r="E3" s="177"/>
      <c r="F3" s="177" t="s">
        <v>6703</v>
      </c>
      <c r="G3" s="179" t="s">
        <v>6704</v>
      </c>
      <c r="H3" s="180" t="s">
        <v>1467</v>
      </c>
      <c r="I3" s="163">
        <f>IFERROR(__xludf.DUMMYFUNCTION("ARRAYFORMULA(
IF(B3:B987="""","""",
LET(
  dateCol, A3:A987,
  toPotCol, TRIM(F3:F987),
  origSKU, TRIM(B3:B987),
  action,  TRIM(C3:C987),
  sku,     TRIM(H3:H987),
  createdAtCol, INDEX($A$3:$Z$987,, MATCH(""Created At"",$A$2:$Z$2,0)),
  parentSKU,
    "&amp;"IF(
      REGEXMATCH(sku,""-1[A-Z]$""),
        REGEXREPLACE(sku,""[A-Z]$"",""A""),
        IF(
          REGEXMATCH(sku,""[A-Za-z]$""),
            REGEXREPLACE(sku,""[A-Za-z]$"",""""),
            sku
        )
    ),
  rowNums, SEQUENCE(ROWS(origSKU)),"&amp;"
  baseCost,
    IFERROR(
      VLOOKUP(
        parentSKU,
        {TRIM('PLANT Intake Coding'!F3:F3063),'PLANT Intake Coding'!G3:G3063},
        2,
        FALSE
      ),
      """"
    ),
  isDiv, (action=""Tran/Div"") + (action=""Division""),
  divCou"&amp;"nt,
    MAP(
      rowNums,
      LAMBDA(r,
        IF(
          INDEX(isDiv,r),
          COUNTIFS(
            parentSKU, INDEX(parentSKU,r),
            isDiv, 1
          ),
          """"
        )
      )
    ),
  divCost,
    IF(
      isDiv,
    "&amp;"  IF(divCount&gt;0, baseCost / divCount, baseCost),
      """"
    ),
  carryDivCost,
    MAP(
      rowNums,
      LAMBDA(r,
        IFERROR(
          LOOKUP(
            2,
            1/(
              (parentSKU=INDEX(parentSKU,r)) *
              (isDi"&amp;"v=1) *
              (rowNums&lt;=r) *
              (divCost&lt;&gt;"""")
            ),
            divCost
          ),
          INDEX(baseCost,r)
        )
      )
    ),
  isComb, (action=""Tran/Comb"") + (action=""Combined""),
  rowCostComb,
    IF(
      i"&amp;"sComb,
      IFERROR(
        VLOOKUP(
          origSKU,
          {TRIM('PLANT Intake Coding'!F3:F3063),'PLANT Intake Coding'!G3:G3063},
          2,
          FALSE
        ),
        0
      ),
      0
    ),
  combStamp,
    MAP(
      rowNums,
     "&amp;" LAMBDA(r,
        IF(
          INDEX(action,r)=""Tran/Comb"",
          INDEX(createdAtCol,r),
          IF(
            INDEX(action,r)=""Combined"",
            IFERROR(
              LOOKUP(
                2,
                1/(
                  (a"&amp;"ction=""Tran/Comb"") *
                  (dateCol=INDEX(dateCol,r)) *
                  (createdAtCol&lt;=INDEX(createdAtCol,r))
                ),
                createdAtCol
              ),
              """"
            ),
            """"
          )
 "&amp;"       )
      )
    ),
  totalCombCost,
    MAP(
      rowNums,
      LAMBDA(r,
        IF(
          INDEX(action,r)=""Tran/Comb"",
          INDEX(rowCostComb,r) +
          SUM(
            FILTER(
              rowCostComb,
              (action=""Co"&amp;"mbined"") *
              (dateCol=INDEX(dateCol,r)) *
              (combStamp=INDEX(createdAtCol,r))
            )
          ),
          """"
        )
      )
    ),
  result,
    IF(
      isComb,
        IF(action=""Tran/Comb"", totalCombCost, """")"&amp;",
        IF(isDiv, divCost, carryDivCost)
    ),
  result
)))"),0.0)</f>
        <v>0</v>
      </c>
      <c r="J3" s="177" t="s">
        <v>6705</v>
      </c>
      <c r="K3" s="164" t="s">
        <v>4262</v>
      </c>
      <c r="L3" s="164"/>
      <c r="M3" s="165"/>
      <c r="N3" s="21" t="s">
        <v>22</v>
      </c>
      <c r="O3" s="164"/>
      <c r="P3" s="164"/>
      <c r="Q3" s="177" t="s">
        <v>1468</v>
      </c>
      <c r="R3" s="164"/>
      <c r="S3" s="163" t="str">
        <f>IFERROR(__xludf.DUMMYFUNCTION("ARRAYFORMULA(
IF(B3:B987="""","""",
LET(
  dateCol, A3:A987,
  origSKU, TRIM(B3:B987),
  action, TRIM(C3:C987),
  sku, TRIM(H3:H987),
  createdAtCol, INDEX($A$3:$Z$987,, MATCH(""Created At"",$A$2:$Z$2,0)),
  parentSKU,
    IF(
      REGEXMATCH(sku,""-1[A"&amp;"-Z]$""),
        REGEXREPLACE(sku,""[A-Z]$"",""A""),
        IF(
          REGEXMATCH(sku,""[A-Za-z]$""),
            REGEXREPLACE(sku,""[A-Za-z]$"",""""),
            sku
        )
    ),
  rowNums, SEQUENCE(ROWS(origSKU)),
  baseMSRP,
    IFERROR(
   "&amp;"   VLOOKUP(
        parentSKU,
        {TRIM('PLANT Intake Coding'!F3:F3063),'PLANT Intake Coding'!K3:K3063},
        2,
        FALSE
      ),
      """"
    ),
  isDiv, (action=""Tran/Div"") + (action=""Division""),
  divCount,
    MAP(
      rowNums,"&amp;"
      LAMBDA(r,
        IF(
          INDEX(isDiv,r),
          COUNTIFS(
            parentSKU, INDEX(parentSKU,r),
            isDiv, 1
          ),
          """"
        )
      )
    ),
  divMSRP,
    IF(
      isDiv,
      IF(divCount&gt;0, baseMSRP "&amp;"/ divCount, baseMSRP),
      """"
    ),
  carryDivMSRP,
    MAP(
      rowNums,
      LAMBDA(r,
        IFERROR(
          LOOKUP(
            2,
            1/(
              (parentSKU=INDEX(parentSKU,r)) *
              (isDiv=1) *
              (row"&amp;"Nums&lt;=r) *
              (divMSRP&lt;&gt;"""")
            ),
            divMSRP
          ),
          INDEX(baseMSRP,r)
        )
      )
    ),
  isComb, (action=""Tran/Comb"") + (action=""Combined""),
  rowMSRPComb,
    IF(
      isComb,
      IFERROR(
 "&amp;"       VLOOKUP(
          origSKU,
          {TRIM('PLANT Intake Coding'!F3:F3063),'PLANT Intake Coding'!K3:K3063},
          2,
          FALSE
        ),
        0
      ),
      0
    ),
  combStamp,
    MAP(
      rowNums,
      LAMBDA(r,
        IF("&amp;"
          INDEX(action,r)=""Tran/Comb"",
          INDEX(createdAtCol,r),
          IF(
            INDEX(action,r)=""Combined"",
            IFERROR(
              LOOKUP(
                2,
                1/(
                  (action=""Tran/Comb"") *"&amp;"
                  (dateCol=INDEX(dateCol,r)) *
                  (createdAtCol&lt;=INDEX(createdAtCol,r))
                ),
                createdAtCol
              ),
              """"
            ),
            """"
          )
        )
      )
    )"&amp;",
  totalCombMSRP,
    MAP(
      rowNums,
      LAMBDA(r,
        IF(
          INDEX(action,r)=""Tran/Comb"",
          INDEX(rowMSRPComb,r) +
          SUM(
            FILTER(
              rowMSRPComb,
              (action=""Combined"") *
         "&amp;"     (dateCol=INDEX(dateCol,r)) *
              (combStamp=INDEX(createdAtCol,r))
            )
          ),
          """"
        )
      )
    ),
  result,
    IF(
      isComb,
        IF(action=""Tran/Comb"", totalCombMSRP, """"),
        IF(isDiv, "&amp;"divMSRP, carryDivMSRP)
    ),
  result
)))"),"")</f>
        <v/>
      </c>
      <c r="T3" s="164"/>
      <c r="U3" s="164"/>
      <c r="V3" s="164"/>
      <c r="W3" s="164"/>
      <c r="X3" s="164"/>
    </row>
    <row r="4">
      <c r="A4" s="175">
        <v>45885.0</v>
      </c>
      <c r="B4" s="176" t="s">
        <v>2478</v>
      </c>
      <c r="C4" s="177" t="s">
        <v>1049</v>
      </c>
      <c r="D4" s="177" t="s">
        <v>6702</v>
      </c>
      <c r="E4" s="177"/>
      <c r="F4" s="177" t="s">
        <v>6706</v>
      </c>
      <c r="G4" s="179" t="s">
        <v>6707</v>
      </c>
      <c r="H4" s="180" t="s">
        <v>2478</v>
      </c>
      <c r="I4" s="163">
        <f>IFERROR(__xludf.DUMMYFUNCTION("""COMPUTED_VALUE"""),16.19)</f>
        <v>16.19</v>
      </c>
      <c r="J4" s="177" t="s">
        <v>6708</v>
      </c>
      <c r="K4" s="164" t="s">
        <v>6709</v>
      </c>
      <c r="L4" s="164"/>
      <c r="M4" s="165"/>
      <c r="N4" s="21" t="s">
        <v>22</v>
      </c>
      <c r="O4" s="164"/>
      <c r="P4" s="164"/>
      <c r="Q4" s="177" t="s">
        <v>1594</v>
      </c>
      <c r="R4" s="164"/>
      <c r="S4" s="163">
        <f>IFERROR(__xludf.DUMMYFUNCTION("""COMPUTED_VALUE"""),26.99)</f>
        <v>26.99</v>
      </c>
      <c r="T4" s="164"/>
      <c r="U4" s="164"/>
      <c r="V4" s="164"/>
      <c r="W4" s="164"/>
      <c r="X4" s="164"/>
    </row>
    <row r="5">
      <c r="A5" s="175">
        <v>45885.0</v>
      </c>
      <c r="B5" s="176" t="s">
        <v>6710</v>
      </c>
      <c r="C5" s="177" t="s">
        <v>1049</v>
      </c>
      <c r="D5" s="177" t="s">
        <v>6702</v>
      </c>
      <c r="E5" s="177"/>
      <c r="F5" s="177" t="s">
        <v>6706</v>
      </c>
      <c r="G5" s="179" t="s">
        <v>6707</v>
      </c>
      <c r="H5" s="180" t="s">
        <v>6710</v>
      </c>
      <c r="I5" s="163" t="str">
        <f>IFERROR(__xludf.DUMMYFUNCTION("""COMPUTED_VALUE"""),"")</f>
        <v/>
      </c>
      <c r="J5" s="177" t="s">
        <v>6711</v>
      </c>
      <c r="K5" s="164" t="s">
        <v>4264</v>
      </c>
      <c r="L5" s="164"/>
      <c r="M5" s="165"/>
      <c r="N5" s="21" t="s">
        <v>22</v>
      </c>
      <c r="O5" s="164"/>
      <c r="P5" s="164"/>
      <c r="Q5" s="164"/>
      <c r="R5" s="164"/>
      <c r="S5" s="163" t="str">
        <f>IFERROR(__xludf.DUMMYFUNCTION("""COMPUTED_VALUE"""),"")</f>
        <v/>
      </c>
      <c r="T5" s="164"/>
      <c r="U5" s="164"/>
      <c r="V5" s="164"/>
      <c r="W5" s="164"/>
      <c r="X5" s="164"/>
    </row>
    <row r="6">
      <c r="A6" s="175">
        <v>45891.0</v>
      </c>
      <c r="B6" s="176" t="s">
        <v>2503</v>
      </c>
      <c r="C6" s="177" t="s">
        <v>1118</v>
      </c>
      <c r="D6" s="177" t="s">
        <v>6712</v>
      </c>
      <c r="E6" s="177" t="s">
        <v>6713</v>
      </c>
      <c r="F6" s="177" t="s">
        <v>6714</v>
      </c>
      <c r="G6" s="179" t="s">
        <v>6707</v>
      </c>
      <c r="H6" s="180" t="s">
        <v>2503</v>
      </c>
      <c r="I6" s="163">
        <f>IFERROR(__xludf.DUMMYFUNCTION("""COMPUTED_VALUE"""),1.57)</f>
        <v>1.57</v>
      </c>
      <c r="J6" s="177" t="s">
        <v>6705</v>
      </c>
      <c r="K6" s="164" t="s">
        <v>6715</v>
      </c>
      <c r="L6" s="164"/>
      <c r="M6" s="165"/>
      <c r="N6" s="21" t="s">
        <v>22</v>
      </c>
      <c r="O6" s="164"/>
      <c r="P6" s="164"/>
      <c r="Q6" s="177" t="s">
        <v>1474</v>
      </c>
      <c r="R6" s="164"/>
      <c r="S6" s="163">
        <f>IFERROR(__xludf.DUMMYFUNCTION("""COMPUTED_VALUE"""),0.0)</f>
        <v>0</v>
      </c>
      <c r="T6" s="164"/>
      <c r="U6" s="164"/>
      <c r="V6" s="164"/>
      <c r="W6" s="164"/>
      <c r="X6" s="164"/>
    </row>
    <row r="7">
      <c r="A7" s="175">
        <v>45891.0</v>
      </c>
      <c r="B7" s="176" t="s">
        <v>2503</v>
      </c>
      <c r="C7" s="177" t="s">
        <v>6716</v>
      </c>
      <c r="D7" s="177" t="s">
        <v>6712</v>
      </c>
      <c r="E7" s="177"/>
      <c r="F7" s="177" t="s">
        <v>6717</v>
      </c>
      <c r="G7" s="179" t="s">
        <v>6718</v>
      </c>
      <c r="H7" s="180" t="s">
        <v>1625</v>
      </c>
      <c r="I7" s="163">
        <f>IFERROR(__xludf.DUMMYFUNCTION("""COMPUTED_VALUE"""),1.57)</f>
        <v>1.57</v>
      </c>
      <c r="J7" s="177" t="s">
        <v>6719</v>
      </c>
      <c r="K7" s="164" t="s">
        <v>4266</v>
      </c>
      <c r="L7" s="164"/>
      <c r="M7" s="165"/>
      <c r="N7" s="21" t="s">
        <v>22</v>
      </c>
      <c r="O7" s="164"/>
      <c r="P7" s="164"/>
      <c r="Q7" s="177" t="s">
        <v>1474</v>
      </c>
      <c r="R7" s="164"/>
      <c r="S7" s="163">
        <f>IFERROR(__xludf.DUMMYFUNCTION("""COMPUTED_VALUE"""),0.0)</f>
        <v>0</v>
      </c>
      <c r="T7" s="164"/>
      <c r="U7" s="164"/>
      <c r="V7" s="164"/>
      <c r="W7" s="164"/>
      <c r="X7" s="164"/>
    </row>
    <row r="8">
      <c r="A8" s="175">
        <v>45891.0</v>
      </c>
      <c r="B8" s="176" t="s">
        <v>2503</v>
      </c>
      <c r="C8" s="177" t="s">
        <v>6716</v>
      </c>
      <c r="D8" s="177" t="s">
        <v>6712</v>
      </c>
      <c r="E8" s="177"/>
      <c r="F8" s="177" t="s">
        <v>6717</v>
      </c>
      <c r="G8" s="179" t="s">
        <v>6720</v>
      </c>
      <c r="H8" s="180" t="s">
        <v>3082</v>
      </c>
      <c r="I8" s="163">
        <f>IFERROR(__xludf.DUMMYFUNCTION("""COMPUTED_VALUE"""),1.57)</f>
        <v>1.57</v>
      </c>
      <c r="J8" s="177" t="s">
        <v>6708</v>
      </c>
      <c r="K8" s="164" t="s">
        <v>4268</v>
      </c>
      <c r="L8" s="164"/>
      <c r="M8" s="165"/>
      <c r="N8" s="21" t="s">
        <v>22</v>
      </c>
      <c r="O8" s="164"/>
      <c r="P8" s="164"/>
      <c r="Q8" s="177" t="s">
        <v>1474</v>
      </c>
      <c r="R8" s="164"/>
      <c r="S8" s="163">
        <f>IFERROR(__xludf.DUMMYFUNCTION("""COMPUTED_VALUE"""),0.0)</f>
        <v>0</v>
      </c>
      <c r="T8" s="164"/>
      <c r="U8" s="164"/>
      <c r="V8" s="164"/>
      <c r="W8" s="164"/>
      <c r="X8" s="164"/>
    </row>
    <row r="9">
      <c r="A9" s="175">
        <v>45891.0</v>
      </c>
      <c r="B9" s="176" t="s">
        <v>2503</v>
      </c>
      <c r="C9" s="177" t="s">
        <v>6716</v>
      </c>
      <c r="D9" s="177" t="s">
        <v>6712</v>
      </c>
      <c r="E9" s="177"/>
      <c r="F9" s="177" t="s">
        <v>6706</v>
      </c>
      <c r="G9" s="179" t="s">
        <v>6721</v>
      </c>
      <c r="H9" s="180" t="s">
        <v>1509</v>
      </c>
      <c r="I9" s="163">
        <f>IFERROR(__xludf.DUMMYFUNCTION("""COMPUTED_VALUE"""),1.57)</f>
        <v>1.57</v>
      </c>
      <c r="J9" s="177" t="s">
        <v>6719</v>
      </c>
      <c r="K9" s="164" t="s">
        <v>4270</v>
      </c>
      <c r="L9" s="164"/>
      <c r="M9" s="165"/>
      <c r="N9" s="21" t="s">
        <v>22</v>
      </c>
      <c r="O9" s="164"/>
      <c r="P9" s="164"/>
      <c r="Q9" s="177" t="s">
        <v>1474</v>
      </c>
      <c r="R9" s="164"/>
      <c r="S9" s="163">
        <f>IFERROR(__xludf.DUMMYFUNCTION("""COMPUTED_VALUE"""),0.0)</f>
        <v>0</v>
      </c>
      <c r="T9" s="164"/>
      <c r="U9" s="164"/>
      <c r="V9" s="164"/>
      <c r="W9" s="164"/>
      <c r="X9" s="164"/>
    </row>
    <row r="10">
      <c r="A10" s="175">
        <v>45891.0</v>
      </c>
      <c r="B10" s="176" t="s">
        <v>2503</v>
      </c>
      <c r="C10" s="177" t="s">
        <v>6716</v>
      </c>
      <c r="D10" s="177" t="s">
        <v>6712</v>
      </c>
      <c r="E10" s="177"/>
      <c r="F10" s="177" t="s">
        <v>6706</v>
      </c>
      <c r="G10" s="179" t="s">
        <v>6722</v>
      </c>
      <c r="H10" s="180" t="s">
        <v>1511</v>
      </c>
      <c r="I10" s="163">
        <f>IFERROR(__xludf.DUMMYFUNCTION("""COMPUTED_VALUE"""),1.57)</f>
        <v>1.57</v>
      </c>
      <c r="J10" s="177" t="s">
        <v>6723</v>
      </c>
      <c r="K10" s="164" t="s">
        <v>4272</v>
      </c>
      <c r="L10" s="164"/>
      <c r="M10" s="165"/>
      <c r="N10" s="21" t="s">
        <v>22</v>
      </c>
      <c r="O10" s="164"/>
      <c r="P10" s="164"/>
      <c r="Q10" s="177" t="s">
        <v>1474</v>
      </c>
      <c r="R10" s="164"/>
      <c r="S10" s="163">
        <f>IFERROR(__xludf.DUMMYFUNCTION("""COMPUTED_VALUE"""),0.0)</f>
        <v>0</v>
      </c>
      <c r="T10" s="164"/>
      <c r="U10" s="164"/>
      <c r="V10" s="164"/>
      <c r="W10" s="164"/>
      <c r="X10" s="164"/>
    </row>
    <row r="11">
      <c r="A11" s="175">
        <v>45891.0</v>
      </c>
      <c r="B11" s="176" t="s">
        <v>2503</v>
      </c>
      <c r="C11" s="177" t="s">
        <v>6716</v>
      </c>
      <c r="D11" s="177" t="s">
        <v>6712</v>
      </c>
      <c r="E11" s="177"/>
      <c r="F11" s="177" t="s">
        <v>6706</v>
      </c>
      <c r="G11" s="179" t="s">
        <v>6724</v>
      </c>
      <c r="H11" s="180" t="s">
        <v>1631</v>
      </c>
      <c r="I11" s="163">
        <f>IFERROR(__xludf.DUMMYFUNCTION("""COMPUTED_VALUE"""),1.57)</f>
        <v>1.57</v>
      </c>
      <c r="J11" s="177" t="s">
        <v>6725</v>
      </c>
      <c r="K11" s="164" t="s">
        <v>4274</v>
      </c>
      <c r="L11" s="164"/>
      <c r="M11" s="165"/>
      <c r="N11" s="21" t="s">
        <v>22</v>
      </c>
      <c r="O11" s="164"/>
      <c r="P11" s="164"/>
      <c r="Q11" s="177" t="s">
        <v>1474</v>
      </c>
      <c r="R11" s="164"/>
      <c r="S11" s="163">
        <f>IFERROR(__xludf.DUMMYFUNCTION("""COMPUTED_VALUE"""),0.0)</f>
        <v>0</v>
      </c>
      <c r="T11" s="164"/>
      <c r="U11" s="164"/>
      <c r="V11" s="164"/>
      <c r="W11" s="164"/>
      <c r="X11" s="164"/>
    </row>
    <row r="12">
      <c r="A12" s="175">
        <v>45891.0</v>
      </c>
      <c r="B12" s="176" t="s">
        <v>2503</v>
      </c>
      <c r="C12" s="177" t="s">
        <v>6716</v>
      </c>
      <c r="D12" s="177" t="s">
        <v>6712</v>
      </c>
      <c r="E12" s="177"/>
      <c r="F12" s="177" t="s">
        <v>6703</v>
      </c>
      <c r="G12" s="179" t="s">
        <v>6726</v>
      </c>
      <c r="H12" s="180" t="s">
        <v>1513</v>
      </c>
      <c r="I12" s="163">
        <f>IFERROR(__xludf.DUMMYFUNCTION("""COMPUTED_VALUE"""),1.57)</f>
        <v>1.57</v>
      </c>
      <c r="J12" s="177" t="s">
        <v>6705</v>
      </c>
      <c r="K12" s="164" t="s">
        <v>4276</v>
      </c>
      <c r="L12" s="164"/>
      <c r="M12" s="165"/>
      <c r="N12" s="21" t="s">
        <v>22</v>
      </c>
      <c r="O12" s="164"/>
      <c r="P12" s="164"/>
      <c r="Q12" s="177" t="s">
        <v>1474</v>
      </c>
      <c r="R12" s="164"/>
      <c r="S12" s="163">
        <f>IFERROR(__xludf.DUMMYFUNCTION("""COMPUTED_VALUE"""),0.0)</f>
        <v>0</v>
      </c>
      <c r="T12" s="164"/>
      <c r="U12" s="164"/>
      <c r="V12" s="164"/>
      <c r="W12" s="164"/>
      <c r="X12" s="164"/>
    </row>
    <row r="13">
      <c r="A13" s="175">
        <v>45891.0</v>
      </c>
      <c r="B13" s="176" t="s">
        <v>1505</v>
      </c>
      <c r="C13" s="177" t="s">
        <v>1118</v>
      </c>
      <c r="D13" s="177" t="s">
        <v>6712</v>
      </c>
      <c r="E13" s="177"/>
      <c r="F13" s="177" t="s">
        <v>6706</v>
      </c>
      <c r="G13" s="179" t="s">
        <v>6707</v>
      </c>
      <c r="H13" s="180" t="s">
        <v>1505</v>
      </c>
      <c r="I13" s="163">
        <f>IFERROR(__xludf.DUMMYFUNCTION("""COMPUTED_VALUE"""),3.3316666666666666)</f>
        <v>3.331666667</v>
      </c>
      <c r="J13" s="177" t="s">
        <v>6727</v>
      </c>
      <c r="K13" s="164" t="s">
        <v>6728</v>
      </c>
      <c r="L13" s="164"/>
      <c r="M13" s="165"/>
      <c r="N13" s="21" t="s">
        <v>22</v>
      </c>
      <c r="O13" s="164"/>
      <c r="P13" s="164"/>
      <c r="Q13" s="177" t="s">
        <v>1474</v>
      </c>
      <c r="R13" s="164"/>
      <c r="S13" s="163">
        <f>IFERROR(__xludf.DUMMYFUNCTION("""COMPUTED_VALUE"""),0.0)</f>
        <v>0</v>
      </c>
      <c r="T13" s="164"/>
      <c r="U13" s="164"/>
      <c r="V13" s="164"/>
      <c r="W13" s="164"/>
      <c r="X13" s="164"/>
    </row>
    <row r="14">
      <c r="A14" s="175">
        <v>45891.0</v>
      </c>
      <c r="B14" s="176" t="s">
        <v>1505</v>
      </c>
      <c r="C14" s="177" t="s">
        <v>6716</v>
      </c>
      <c r="D14" s="177" t="s">
        <v>6712</v>
      </c>
      <c r="E14" s="177"/>
      <c r="F14" s="177" t="s">
        <v>6729</v>
      </c>
      <c r="G14" s="179" t="s">
        <v>6718</v>
      </c>
      <c r="H14" s="180" t="s">
        <v>1515</v>
      </c>
      <c r="I14" s="163">
        <f>IFERROR(__xludf.DUMMYFUNCTION("""COMPUTED_VALUE"""),3.3316666666666666)</f>
        <v>3.331666667</v>
      </c>
      <c r="J14" s="177" t="s">
        <v>6727</v>
      </c>
      <c r="K14" s="164" t="s">
        <v>4278</v>
      </c>
      <c r="L14" s="164"/>
      <c r="M14" s="165"/>
      <c r="N14" s="21" t="s">
        <v>22</v>
      </c>
      <c r="O14" s="164"/>
      <c r="P14" s="164"/>
      <c r="Q14" s="177" t="s">
        <v>1474</v>
      </c>
      <c r="R14" s="164"/>
      <c r="S14" s="163">
        <f>IFERROR(__xludf.DUMMYFUNCTION("""COMPUTED_VALUE"""),0.0)</f>
        <v>0</v>
      </c>
      <c r="T14" s="164"/>
      <c r="U14" s="164"/>
      <c r="V14" s="164"/>
      <c r="W14" s="164"/>
      <c r="X14" s="164"/>
    </row>
    <row r="15">
      <c r="A15" s="175">
        <v>45891.0</v>
      </c>
      <c r="B15" s="176" t="s">
        <v>1505</v>
      </c>
      <c r="C15" s="177" t="s">
        <v>6716</v>
      </c>
      <c r="D15" s="177" t="s">
        <v>6712</v>
      </c>
      <c r="E15" s="177"/>
      <c r="F15" s="177" t="s">
        <v>6729</v>
      </c>
      <c r="G15" s="179" t="s">
        <v>6720</v>
      </c>
      <c r="H15" s="180" t="s">
        <v>1517</v>
      </c>
      <c r="I15" s="163">
        <f>IFERROR(__xludf.DUMMYFUNCTION("""COMPUTED_VALUE"""),3.3316666666666666)</f>
        <v>3.331666667</v>
      </c>
      <c r="J15" s="177" t="s">
        <v>6711</v>
      </c>
      <c r="K15" s="164" t="s">
        <v>4280</v>
      </c>
      <c r="L15" s="164"/>
      <c r="M15" s="165"/>
      <c r="N15" s="21" t="s">
        <v>22</v>
      </c>
      <c r="O15" s="164"/>
      <c r="P15" s="164"/>
      <c r="Q15" s="177" t="s">
        <v>1474</v>
      </c>
      <c r="R15" s="164"/>
      <c r="S15" s="163">
        <f>IFERROR(__xludf.DUMMYFUNCTION("""COMPUTED_VALUE"""),0.0)</f>
        <v>0</v>
      </c>
      <c r="T15" s="164"/>
      <c r="U15" s="164"/>
      <c r="V15" s="164"/>
      <c r="W15" s="164"/>
      <c r="X15" s="164"/>
    </row>
    <row r="16">
      <c r="A16" s="175">
        <v>45891.0</v>
      </c>
      <c r="B16" s="176" t="s">
        <v>1505</v>
      </c>
      <c r="C16" s="177" t="s">
        <v>6716</v>
      </c>
      <c r="D16" s="177" t="s">
        <v>6712</v>
      </c>
      <c r="E16" s="177"/>
      <c r="F16" s="177" t="s">
        <v>6729</v>
      </c>
      <c r="G16" s="179" t="s">
        <v>6721</v>
      </c>
      <c r="H16" s="180" t="s">
        <v>1795</v>
      </c>
      <c r="I16" s="163">
        <f>IFERROR(__xludf.DUMMYFUNCTION("""COMPUTED_VALUE"""),3.3316666666666666)</f>
        <v>3.331666667</v>
      </c>
      <c r="J16" s="177" t="s">
        <v>6725</v>
      </c>
      <c r="K16" s="164" t="s">
        <v>4282</v>
      </c>
      <c r="L16" s="164"/>
      <c r="M16" s="165"/>
      <c r="N16" s="21" t="s">
        <v>22</v>
      </c>
      <c r="O16" s="164"/>
      <c r="P16" s="164"/>
      <c r="Q16" s="177" t="s">
        <v>1474</v>
      </c>
      <c r="R16" s="164"/>
      <c r="S16" s="163">
        <f>IFERROR(__xludf.DUMMYFUNCTION("""COMPUTED_VALUE"""),0.0)</f>
        <v>0</v>
      </c>
      <c r="T16" s="164"/>
      <c r="U16" s="164"/>
      <c r="V16" s="164"/>
      <c r="W16" s="164"/>
      <c r="X16" s="164"/>
    </row>
    <row r="17">
      <c r="A17" s="175">
        <v>45891.0</v>
      </c>
      <c r="B17" s="176" t="s">
        <v>1505</v>
      </c>
      <c r="C17" s="177" t="s">
        <v>6716</v>
      </c>
      <c r="D17" s="177" t="s">
        <v>6712</v>
      </c>
      <c r="E17" s="177"/>
      <c r="F17" s="177" t="s">
        <v>6729</v>
      </c>
      <c r="G17" s="179" t="s">
        <v>6722</v>
      </c>
      <c r="H17" s="180" t="s">
        <v>1519</v>
      </c>
      <c r="I17" s="163">
        <f>IFERROR(__xludf.DUMMYFUNCTION("""COMPUTED_VALUE"""),3.3316666666666666)</f>
        <v>3.331666667</v>
      </c>
      <c r="J17" s="177" t="s">
        <v>6711</v>
      </c>
      <c r="K17" s="164" t="s">
        <v>4284</v>
      </c>
      <c r="L17" s="164"/>
      <c r="M17" s="165"/>
      <c r="N17" s="21" t="s">
        <v>22</v>
      </c>
      <c r="O17" s="164"/>
      <c r="P17" s="164"/>
      <c r="Q17" s="177" t="s">
        <v>1474</v>
      </c>
      <c r="R17" s="164"/>
      <c r="S17" s="163">
        <f>IFERROR(__xludf.DUMMYFUNCTION("""COMPUTED_VALUE"""),0.0)</f>
        <v>0</v>
      </c>
      <c r="T17" s="164"/>
      <c r="U17" s="164"/>
      <c r="V17" s="164"/>
      <c r="W17" s="164"/>
      <c r="X17" s="164"/>
    </row>
    <row r="18">
      <c r="A18" s="175">
        <v>45891.0</v>
      </c>
      <c r="B18" s="176" t="s">
        <v>1505</v>
      </c>
      <c r="C18" s="177" t="s">
        <v>6716</v>
      </c>
      <c r="D18" s="177" t="s">
        <v>6712</v>
      </c>
      <c r="E18" s="177"/>
      <c r="F18" s="177" t="s">
        <v>6730</v>
      </c>
      <c r="G18" s="179" t="s">
        <v>6724</v>
      </c>
      <c r="H18" s="180" t="s">
        <v>1521</v>
      </c>
      <c r="I18" s="163">
        <f>IFERROR(__xludf.DUMMYFUNCTION("""COMPUTED_VALUE"""),3.3316666666666666)</f>
        <v>3.331666667</v>
      </c>
      <c r="J18" s="177" t="s">
        <v>6708</v>
      </c>
      <c r="K18" s="164" t="s">
        <v>4286</v>
      </c>
      <c r="L18" s="164"/>
      <c r="M18" s="165"/>
      <c r="N18" s="21" t="s">
        <v>22</v>
      </c>
      <c r="O18" s="164"/>
      <c r="P18" s="164"/>
      <c r="Q18" s="177" t="s">
        <v>1474</v>
      </c>
      <c r="R18" s="164"/>
      <c r="S18" s="163">
        <f>IFERROR(__xludf.DUMMYFUNCTION("""COMPUTED_VALUE"""),0.0)</f>
        <v>0</v>
      </c>
      <c r="T18" s="164"/>
      <c r="U18" s="164"/>
      <c r="V18" s="164"/>
      <c r="W18" s="164"/>
      <c r="X18" s="164"/>
    </row>
    <row r="19">
      <c r="A19" s="175"/>
      <c r="B19" s="176"/>
      <c r="C19" s="177"/>
      <c r="D19" s="177"/>
      <c r="E19" s="177"/>
      <c r="F19" s="177"/>
      <c r="G19" s="179"/>
      <c r="H19" s="180"/>
      <c r="I19" s="163" t="str">
        <f>IFERROR(__xludf.DUMMYFUNCTION("""COMPUTED_VALUE"""),"")</f>
        <v/>
      </c>
      <c r="J19" s="177"/>
      <c r="K19" s="164"/>
      <c r="L19" s="164"/>
      <c r="M19" s="165"/>
      <c r="N19" s="21" t="s">
        <v>22</v>
      </c>
      <c r="O19" s="164"/>
      <c r="P19" s="164"/>
      <c r="Q19" s="164"/>
      <c r="R19" s="164"/>
      <c r="S19" s="163" t="str">
        <f>IFERROR(__xludf.DUMMYFUNCTION("""COMPUTED_VALUE"""),"")</f>
        <v/>
      </c>
      <c r="T19" s="164"/>
      <c r="U19" s="164"/>
      <c r="V19" s="164"/>
      <c r="W19" s="164"/>
      <c r="X19" s="164"/>
    </row>
    <row r="20">
      <c r="A20" s="175">
        <v>45896.0</v>
      </c>
      <c r="B20" s="176" t="s">
        <v>1571</v>
      </c>
      <c r="C20" s="177" t="s">
        <v>1118</v>
      </c>
      <c r="D20" s="177" t="s">
        <v>6702</v>
      </c>
      <c r="E20" s="177"/>
      <c r="F20" s="177" t="s">
        <v>6731</v>
      </c>
      <c r="G20" s="179" t="s">
        <v>6707</v>
      </c>
      <c r="H20" s="180" t="s">
        <v>1571</v>
      </c>
      <c r="I20" s="163">
        <f>IFERROR(__xludf.DUMMYFUNCTION("""COMPUTED_VALUE"""),9.993333333333334)</f>
        <v>9.993333333</v>
      </c>
      <c r="J20" s="177" t="s">
        <v>6708</v>
      </c>
      <c r="K20" s="164" t="s">
        <v>6732</v>
      </c>
      <c r="L20" s="164"/>
      <c r="M20" s="165"/>
      <c r="N20" s="21" t="s">
        <v>22</v>
      </c>
      <c r="O20" s="164"/>
      <c r="P20" s="164"/>
      <c r="Q20" s="177" t="s">
        <v>1484</v>
      </c>
      <c r="R20" s="164"/>
      <c r="S20" s="163">
        <f>IFERROR(__xludf.DUMMYFUNCTION("""COMPUTED_VALUE"""),0.0)</f>
        <v>0</v>
      </c>
      <c r="T20" s="164"/>
      <c r="U20" s="164"/>
      <c r="V20" s="164"/>
      <c r="W20" s="164"/>
      <c r="X20" s="164"/>
    </row>
    <row r="21">
      <c r="A21" s="175">
        <v>45896.0</v>
      </c>
      <c r="B21" s="176" t="s">
        <v>1571</v>
      </c>
      <c r="C21" s="177" t="s">
        <v>6716</v>
      </c>
      <c r="D21" s="177" t="s">
        <v>6712</v>
      </c>
      <c r="E21" s="177"/>
      <c r="F21" s="177" t="s">
        <v>6730</v>
      </c>
      <c r="G21" s="179" t="s">
        <v>6720</v>
      </c>
      <c r="H21" s="180" t="s">
        <v>2791</v>
      </c>
      <c r="I21" s="163">
        <f>IFERROR(__xludf.DUMMYFUNCTION("""COMPUTED_VALUE"""),9.993333333333334)</f>
        <v>9.993333333</v>
      </c>
      <c r="J21" s="177" t="s">
        <v>6723</v>
      </c>
      <c r="K21" s="164" t="s">
        <v>4288</v>
      </c>
      <c r="L21" s="164"/>
      <c r="M21" s="165"/>
      <c r="N21" s="21" t="s">
        <v>22</v>
      </c>
      <c r="O21" s="164"/>
      <c r="P21" s="164"/>
      <c r="Q21" s="177" t="s">
        <v>1484</v>
      </c>
      <c r="R21" s="164"/>
      <c r="S21" s="163">
        <f>IFERROR(__xludf.DUMMYFUNCTION("""COMPUTED_VALUE"""),0.0)</f>
        <v>0</v>
      </c>
      <c r="T21" s="164"/>
      <c r="U21" s="164"/>
      <c r="V21" s="164"/>
      <c r="W21" s="164"/>
      <c r="X21" s="164"/>
    </row>
    <row r="22">
      <c r="A22" s="175">
        <v>45896.0</v>
      </c>
      <c r="B22" s="176" t="s">
        <v>1571</v>
      </c>
      <c r="C22" s="177" t="s">
        <v>6716</v>
      </c>
      <c r="D22" s="177" t="s">
        <v>6712</v>
      </c>
      <c r="E22" s="177"/>
      <c r="F22" s="177" t="s">
        <v>6703</v>
      </c>
      <c r="G22" s="179" t="s">
        <v>6721</v>
      </c>
      <c r="H22" s="180" t="s">
        <v>1954</v>
      </c>
      <c r="I22" s="163">
        <f>IFERROR(__xludf.DUMMYFUNCTION("""COMPUTED_VALUE"""),9.993333333333334)</f>
        <v>9.993333333</v>
      </c>
      <c r="J22" s="177" t="s">
        <v>6705</v>
      </c>
      <c r="K22" s="164" t="s">
        <v>4290</v>
      </c>
      <c r="L22" s="164"/>
      <c r="M22" s="165"/>
      <c r="N22" s="21" t="s">
        <v>22</v>
      </c>
      <c r="O22" s="164"/>
      <c r="P22" s="164"/>
      <c r="Q22" s="177" t="s">
        <v>1484</v>
      </c>
      <c r="R22" s="164"/>
      <c r="S22" s="163">
        <f>IFERROR(__xludf.DUMMYFUNCTION("""COMPUTED_VALUE"""),0.0)</f>
        <v>0</v>
      </c>
      <c r="T22" s="164"/>
      <c r="U22" s="164"/>
      <c r="V22" s="164"/>
      <c r="W22" s="164"/>
      <c r="X22" s="164"/>
    </row>
    <row r="23">
      <c r="A23" s="175">
        <v>45889.0</v>
      </c>
      <c r="B23" s="176" t="s">
        <v>3053</v>
      </c>
      <c r="C23" s="177" t="s">
        <v>1118</v>
      </c>
      <c r="D23" s="177" t="s">
        <v>6702</v>
      </c>
      <c r="E23" s="177"/>
      <c r="F23" s="177" t="s">
        <v>6733</v>
      </c>
      <c r="G23" s="179" t="s">
        <v>6707</v>
      </c>
      <c r="H23" s="180" t="s">
        <v>3053</v>
      </c>
      <c r="I23" s="163">
        <f>IFERROR(__xludf.DUMMYFUNCTION("""COMPUTED_VALUE"""),0.0)</f>
        <v>0</v>
      </c>
      <c r="J23" s="177" t="s">
        <v>6705</v>
      </c>
      <c r="K23" s="164" t="s">
        <v>6734</v>
      </c>
      <c r="L23" s="164"/>
      <c r="M23" s="165"/>
      <c r="N23" s="21" t="s">
        <v>22</v>
      </c>
      <c r="O23" s="164"/>
      <c r="P23" s="164"/>
      <c r="Q23" s="177" t="s">
        <v>1911</v>
      </c>
      <c r="R23" s="164"/>
      <c r="S23" s="163">
        <f>IFERROR(__xludf.DUMMYFUNCTION("""COMPUTED_VALUE"""),0.0)</f>
        <v>0</v>
      </c>
      <c r="T23" s="164"/>
      <c r="U23" s="164"/>
      <c r="V23" s="164"/>
      <c r="W23" s="164"/>
      <c r="X23" s="164"/>
    </row>
    <row r="24">
      <c r="A24" s="175"/>
      <c r="B24" s="176"/>
      <c r="C24" s="177"/>
      <c r="D24" s="177"/>
      <c r="E24" s="177"/>
      <c r="F24" s="177"/>
      <c r="G24" s="179"/>
      <c r="H24" s="181"/>
      <c r="I24" s="163" t="str">
        <f>IFERROR(__xludf.DUMMYFUNCTION("""COMPUTED_VALUE"""),"")</f>
        <v/>
      </c>
      <c r="J24" s="164"/>
      <c r="K24" s="164"/>
      <c r="L24" s="164"/>
      <c r="M24" s="165"/>
      <c r="N24" s="21" t="s">
        <v>22</v>
      </c>
      <c r="O24" s="164"/>
      <c r="P24" s="164"/>
      <c r="Q24" s="164"/>
      <c r="R24" s="164"/>
      <c r="S24" s="163" t="str">
        <f>IFERROR(__xludf.DUMMYFUNCTION("""COMPUTED_VALUE"""),"")</f>
        <v/>
      </c>
      <c r="T24" s="164"/>
      <c r="U24" s="164"/>
      <c r="V24" s="164"/>
      <c r="W24" s="164"/>
      <c r="X24" s="164"/>
    </row>
    <row r="25">
      <c r="A25" s="175">
        <v>45885.0</v>
      </c>
      <c r="B25" s="176" t="s">
        <v>1583</v>
      </c>
      <c r="C25" s="177" t="s">
        <v>4052</v>
      </c>
      <c r="D25" s="177" t="s">
        <v>6702</v>
      </c>
      <c r="E25" s="177"/>
      <c r="F25" s="177" t="s">
        <v>6706</v>
      </c>
      <c r="G25" s="179" t="s">
        <v>6720</v>
      </c>
      <c r="H25" s="180" t="s">
        <v>1470</v>
      </c>
      <c r="I25" s="163">
        <f>IFERROR(__xludf.DUMMYFUNCTION("""COMPUTED_VALUE"""),0.0)</f>
        <v>0</v>
      </c>
      <c r="J25" s="177" t="s">
        <v>6735</v>
      </c>
      <c r="K25" s="164" t="s">
        <v>4292</v>
      </c>
      <c r="L25" s="164"/>
      <c r="M25" s="165"/>
      <c r="N25" s="21" t="s">
        <v>22</v>
      </c>
      <c r="O25" s="164"/>
      <c r="P25" s="164"/>
      <c r="Q25" s="177" t="s">
        <v>1471</v>
      </c>
      <c r="R25" s="164"/>
      <c r="S25" s="163"/>
      <c r="T25" s="164"/>
      <c r="U25" s="164"/>
      <c r="V25" s="164"/>
      <c r="W25" s="164"/>
      <c r="X25" s="164"/>
    </row>
    <row r="26">
      <c r="A26" s="175">
        <v>45885.0</v>
      </c>
      <c r="B26" s="176" t="s">
        <v>1583</v>
      </c>
      <c r="C26" s="177" t="s">
        <v>4052</v>
      </c>
      <c r="D26" s="177" t="s">
        <v>6702</v>
      </c>
      <c r="E26" s="177" t="s">
        <v>6706</v>
      </c>
      <c r="F26" s="177" t="s">
        <v>6706</v>
      </c>
      <c r="G26" s="179" t="s">
        <v>6721</v>
      </c>
      <c r="H26" s="180" t="s">
        <v>2853</v>
      </c>
      <c r="I26" s="163">
        <f>IFERROR(__xludf.DUMMYFUNCTION("""COMPUTED_VALUE"""),0.0)</f>
        <v>0</v>
      </c>
      <c r="J26" s="177" t="s">
        <v>6708</v>
      </c>
      <c r="K26" s="164" t="s">
        <v>4294</v>
      </c>
      <c r="L26" s="164"/>
      <c r="M26" s="165"/>
      <c r="N26" s="21" t="s">
        <v>22</v>
      </c>
      <c r="O26" s="164"/>
      <c r="P26" s="164"/>
      <c r="Q26" s="177" t="s">
        <v>1471</v>
      </c>
      <c r="R26" s="164"/>
      <c r="S26" s="163"/>
      <c r="T26" s="164"/>
      <c r="U26" s="164"/>
      <c r="V26" s="164"/>
      <c r="W26" s="164"/>
      <c r="X26" s="164"/>
    </row>
    <row r="27">
      <c r="A27" s="175">
        <v>45886.0</v>
      </c>
      <c r="B27" s="176" t="s">
        <v>3545</v>
      </c>
      <c r="C27" s="177" t="s">
        <v>1118</v>
      </c>
      <c r="D27" s="177" t="s">
        <v>6702</v>
      </c>
      <c r="E27" s="177"/>
      <c r="F27" s="177" t="s">
        <v>6714</v>
      </c>
      <c r="G27" s="179" t="s">
        <v>6707</v>
      </c>
      <c r="H27" s="180" t="s">
        <v>3545</v>
      </c>
      <c r="I27" s="163">
        <f>IFERROR(__xludf.DUMMYFUNCTION("""COMPUTED_VALUE"""),7.495)</f>
        <v>7.495</v>
      </c>
      <c r="J27" s="177" t="s">
        <v>6705</v>
      </c>
      <c r="K27" s="164" t="s">
        <v>6736</v>
      </c>
      <c r="L27" s="164"/>
      <c r="M27" s="165"/>
      <c r="N27" s="21" t="s">
        <v>22</v>
      </c>
      <c r="O27" s="164"/>
      <c r="P27" s="164"/>
      <c r="Q27" s="177" t="s">
        <v>1484</v>
      </c>
      <c r="R27" s="164"/>
      <c r="S27" s="163">
        <f>IFERROR(__xludf.DUMMYFUNCTION("""COMPUTED_VALUE"""),0.0)</f>
        <v>0</v>
      </c>
      <c r="T27" s="164"/>
      <c r="U27" s="164"/>
      <c r="V27" s="164"/>
      <c r="W27" s="164"/>
      <c r="X27" s="164"/>
    </row>
    <row r="28">
      <c r="A28" s="175">
        <v>45886.0</v>
      </c>
      <c r="B28" s="176" t="s">
        <v>3545</v>
      </c>
      <c r="C28" s="177" t="s">
        <v>6716</v>
      </c>
      <c r="D28" s="177" t="s">
        <v>6702</v>
      </c>
      <c r="E28" s="177"/>
      <c r="F28" s="177" t="s">
        <v>6714</v>
      </c>
      <c r="G28" s="179" t="s">
        <v>6720</v>
      </c>
      <c r="H28" s="180" t="s">
        <v>1483</v>
      </c>
      <c r="I28" s="163">
        <f>IFERROR(__xludf.DUMMYFUNCTION("""COMPUTED_VALUE"""),7.495)</f>
        <v>7.495</v>
      </c>
      <c r="J28" s="177" t="s">
        <v>6705</v>
      </c>
      <c r="K28" s="164" t="s">
        <v>4296</v>
      </c>
      <c r="L28" s="164"/>
      <c r="M28" s="165"/>
      <c r="N28" s="21" t="s">
        <v>22</v>
      </c>
      <c r="O28" s="164"/>
      <c r="P28" s="164"/>
      <c r="Q28" s="177" t="s">
        <v>1484</v>
      </c>
      <c r="R28" s="164"/>
      <c r="S28" s="163">
        <f>IFERROR(__xludf.DUMMYFUNCTION("""COMPUTED_VALUE"""),0.0)</f>
        <v>0</v>
      </c>
      <c r="T28" s="164"/>
      <c r="U28" s="164"/>
      <c r="V28" s="164"/>
      <c r="W28" s="164"/>
      <c r="X28" s="164"/>
    </row>
    <row r="29">
      <c r="A29" s="175">
        <v>45888.0</v>
      </c>
      <c r="B29" s="176" t="s">
        <v>1585</v>
      </c>
      <c r="C29" s="177" t="s">
        <v>6716</v>
      </c>
      <c r="D29" s="177" t="s">
        <v>6702</v>
      </c>
      <c r="E29" s="177"/>
      <c r="F29" s="177" t="s">
        <v>6730</v>
      </c>
      <c r="G29" s="179" t="s">
        <v>6721</v>
      </c>
      <c r="H29" s="180" t="s">
        <v>1486</v>
      </c>
      <c r="I29" s="163">
        <f>IFERROR(__xludf.DUMMYFUNCTION("""COMPUTED_VALUE"""),0.0)</f>
        <v>0</v>
      </c>
      <c r="J29" s="177" t="s">
        <v>6737</v>
      </c>
      <c r="K29" s="164" t="s">
        <v>4298</v>
      </c>
      <c r="L29" s="164"/>
      <c r="M29" s="165"/>
      <c r="N29" s="21" t="s">
        <v>22</v>
      </c>
      <c r="O29" s="164"/>
      <c r="P29" s="164"/>
      <c r="Q29" s="177" t="s">
        <v>1487</v>
      </c>
      <c r="R29" s="164"/>
      <c r="S29" s="163">
        <f>IFERROR(__xludf.DUMMYFUNCTION("""COMPUTED_VALUE"""),0.0)</f>
        <v>0</v>
      </c>
      <c r="T29" s="164"/>
      <c r="U29" s="164"/>
      <c r="V29" s="164"/>
      <c r="W29" s="164"/>
      <c r="X29" s="164"/>
    </row>
    <row r="30">
      <c r="A30" s="182">
        <v>45889.0</v>
      </c>
      <c r="B30" s="176" t="s">
        <v>2795</v>
      </c>
      <c r="C30" s="177" t="s">
        <v>1049</v>
      </c>
      <c r="D30" s="177" t="s">
        <v>6702</v>
      </c>
      <c r="E30" s="177" t="s">
        <v>6738</v>
      </c>
      <c r="F30" s="177" t="s">
        <v>6706</v>
      </c>
      <c r="G30" s="179" t="s">
        <v>6707</v>
      </c>
      <c r="H30" s="180" t="s">
        <v>2795</v>
      </c>
      <c r="I30" s="163">
        <f>IFERROR(__xludf.DUMMYFUNCTION("""COMPUTED_VALUE"""),6.0)</f>
        <v>6</v>
      </c>
      <c r="J30" s="177" t="s">
        <v>6739</v>
      </c>
      <c r="K30" s="164" t="s">
        <v>6740</v>
      </c>
      <c r="L30" s="164"/>
      <c r="M30" s="165"/>
      <c r="N30" s="21" t="s">
        <v>22</v>
      </c>
      <c r="O30" s="164"/>
      <c r="P30" s="164"/>
      <c r="Q30" s="177" t="s">
        <v>1500</v>
      </c>
      <c r="R30" s="164"/>
      <c r="S30" s="163">
        <f>IFERROR(__xludf.DUMMYFUNCTION("""COMPUTED_VALUE"""),12.99)</f>
        <v>12.99</v>
      </c>
      <c r="T30" s="164"/>
      <c r="U30" s="164"/>
      <c r="V30" s="164"/>
      <c r="W30" s="164"/>
      <c r="X30" s="164"/>
    </row>
    <row r="31">
      <c r="A31" s="175"/>
      <c r="B31" s="176" t="s">
        <v>1801</v>
      </c>
      <c r="C31" s="177" t="s">
        <v>1049</v>
      </c>
      <c r="D31" s="177" t="s">
        <v>6702</v>
      </c>
      <c r="E31" s="177"/>
      <c r="F31" s="177" t="s">
        <v>6706</v>
      </c>
      <c r="G31" s="179" t="s">
        <v>6707</v>
      </c>
      <c r="H31" s="180" t="s">
        <v>1801</v>
      </c>
      <c r="I31" s="163">
        <f>IFERROR(__xludf.DUMMYFUNCTION("""COMPUTED_VALUE"""),9.0)</f>
        <v>9</v>
      </c>
      <c r="J31" s="177" t="s">
        <v>6708</v>
      </c>
      <c r="K31" s="164" t="s">
        <v>6741</v>
      </c>
      <c r="L31" s="164"/>
      <c r="M31" s="165"/>
      <c r="N31" s="21" t="s">
        <v>22</v>
      </c>
      <c r="O31" s="164"/>
      <c r="P31" s="164"/>
      <c r="Q31" s="177" t="s">
        <v>1802</v>
      </c>
      <c r="R31" s="164"/>
      <c r="S31" s="163">
        <f>IFERROR(__xludf.DUMMYFUNCTION("""COMPUTED_VALUE"""),19.99)</f>
        <v>19.99</v>
      </c>
      <c r="T31" s="164"/>
      <c r="U31" s="164"/>
      <c r="V31" s="164"/>
      <c r="W31" s="164"/>
      <c r="X31" s="164"/>
    </row>
    <row r="32">
      <c r="A32" s="175">
        <v>45889.0</v>
      </c>
      <c r="B32" s="176" t="s">
        <v>2797</v>
      </c>
      <c r="C32" s="177" t="s">
        <v>1049</v>
      </c>
      <c r="D32" s="177" t="s">
        <v>6702</v>
      </c>
      <c r="E32" s="177" t="s">
        <v>6738</v>
      </c>
      <c r="F32" s="177" t="s">
        <v>6706</v>
      </c>
      <c r="G32" s="179" t="s">
        <v>6707</v>
      </c>
      <c r="H32" s="180" t="s">
        <v>2797</v>
      </c>
      <c r="I32" s="163">
        <f>IFERROR(__xludf.DUMMYFUNCTION("""COMPUTED_VALUE"""),6.0)</f>
        <v>6</v>
      </c>
      <c r="J32" s="177" t="s">
        <v>6739</v>
      </c>
      <c r="K32" s="164" t="s">
        <v>6742</v>
      </c>
      <c r="L32" s="164"/>
      <c r="M32" s="165"/>
      <c r="N32" s="21" t="s">
        <v>22</v>
      </c>
      <c r="O32" s="164"/>
      <c r="P32" s="164"/>
      <c r="Q32" s="177" t="s">
        <v>1500</v>
      </c>
      <c r="R32" s="164"/>
      <c r="S32" s="163">
        <f>IFERROR(__xludf.DUMMYFUNCTION("""COMPUTED_VALUE"""),12.99)</f>
        <v>12.99</v>
      </c>
      <c r="T32" s="164"/>
      <c r="U32" s="164"/>
      <c r="V32" s="164"/>
      <c r="W32" s="164"/>
      <c r="X32" s="164"/>
    </row>
    <row r="33">
      <c r="A33" s="175">
        <v>45889.0</v>
      </c>
      <c r="B33" s="176" t="s">
        <v>1489</v>
      </c>
      <c r="C33" s="177" t="s">
        <v>1049</v>
      </c>
      <c r="D33" s="177" t="s">
        <v>6702</v>
      </c>
      <c r="E33" s="177"/>
      <c r="F33" s="177" t="s">
        <v>6717</v>
      </c>
      <c r="G33" s="179" t="s">
        <v>6707</v>
      </c>
      <c r="H33" s="180" t="s">
        <v>1489</v>
      </c>
      <c r="I33" s="163">
        <f>IFERROR(__xludf.DUMMYFUNCTION("""COMPUTED_VALUE"""),10.2)</f>
        <v>10.2</v>
      </c>
      <c r="J33" s="177" t="s">
        <v>6708</v>
      </c>
      <c r="K33" s="164" t="s">
        <v>6743</v>
      </c>
      <c r="L33" s="164"/>
      <c r="M33" s="165"/>
      <c r="N33" s="21" t="s">
        <v>22</v>
      </c>
      <c r="O33" s="164"/>
      <c r="P33" s="164"/>
      <c r="Q33" s="177" t="s">
        <v>1490</v>
      </c>
      <c r="R33" s="164"/>
      <c r="S33" s="163">
        <f>IFERROR(__xludf.DUMMYFUNCTION("""COMPUTED_VALUE"""),24.99)</f>
        <v>24.99</v>
      </c>
      <c r="T33" s="164"/>
      <c r="U33" s="164"/>
      <c r="V33" s="164"/>
      <c r="W33" s="164"/>
      <c r="X33" s="164"/>
    </row>
    <row r="34">
      <c r="A34" s="175">
        <v>45889.0</v>
      </c>
      <c r="B34" s="176" t="s">
        <v>1492</v>
      </c>
      <c r="C34" s="177" t="s">
        <v>1049</v>
      </c>
      <c r="D34" s="177" t="s">
        <v>6702</v>
      </c>
      <c r="E34" s="177"/>
      <c r="F34" s="177" t="s">
        <v>6717</v>
      </c>
      <c r="G34" s="179" t="s">
        <v>6707</v>
      </c>
      <c r="H34" s="180" t="s">
        <v>1492</v>
      </c>
      <c r="I34" s="163">
        <f>IFERROR(__xludf.DUMMYFUNCTION("""COMPUTED_VALUE"""),10.2)</f>
        <v>10.2</v>
      </c>
      <c r="J34" s="177" t="s">
        <v>6705</v>
      </c>
      <c r="K34" s="164" t="s">
        <v>6744</v>
      </c>
      <c r="L34" s="164"/>
      <c r="M34" s="165"/>
      <c r="N34" s="21" t="s">
        <v>22</v>
      </c>
      <c r="O34" s="164"/>
      <c r="P34" s="164"/>
      <c r="Q34" s="177" t="s">
        <v>1490</v>
      </c>
      <c r="R34" s="164"/>
      <c r="S34" s="163">
        <f>IFERROR(__xludf.DUMMYFUNCTION("""COMPUTED_VALUE"""),24.99)</f>
        <v>24.99</v>
      </c>
      <c r="T34" s="164"/>
      <c r="U34" s="164"/>
      <c r="V34" s="164"/>
      <c r="W34" s="164"/>
      <c r="X34" s="164"/>
    </row>
    <row r="35">
      <c r="A35" s="175">
        <v>45889.0</v>
      </c>
      <c r="B35" s="176" t="s">
        <v>3134</v>
      </c>
      <c r="C35" s="177" t="s">
        <v>1049</v>
      </c>
      <c r="D35" s="177" t="s">
        <v>6702</v>
      </c>
      <c r="E35" s="177"/>
      <c r="F35" s="177" t="s">
        <v>6717</v>
      </c>
      <c r="G35" s="179" t="s">
        <v>6707</v>
      </c>
      <c r="H35" s="180" t="s">
        <v>3134</v>
      </c>
      <c r="I35" s="163">
        <f>IFERROR(__xludf.DUMMYFUNCTION("""COMPUTED_VALUE"""),10.2)</f>
        <v>10.2</v>
      </c>
      <c r="J35" s="177" t="s">
        <v>6719</v>
      </c>
      <c r="K35" s="164" t="s">
        <v>6745</v>
      </c>
      <c r="L35" s="164"/>
      <c r="M35" s="165"/>
      <c r="N35" s="21" t="s">
        <v>22</v>
      </c>
      <c r="O35" s="164"/>
      <c r="P35" s="164"/>
      <c r="Q35" s="177" t="s">
        <v>1490</v>
      </c>
      <c r="R35" s="164"/>
      <c r="S35" s="163">
        <f>IFERROR(__xludf.DUMMYFUNCTION("""COMPUTED_VALUE"""),24.99)</f>
        <v>24.99</v>
      </c>
      <c r="T35" s="164"/>
      <c r="U35" s="164"/>
      <c r="V35" s="164"/>
      <c r="W35" s="164"/>
      <c r="X35" s="164"/>
    </row>
    <row r="36">
      <c r="A36" s="175">
        <v>45889.0</v>
      </c>
      <c r="B36" s="176" t="s">
        <v>2758</v>
      </c>
      <c r="C36" s="177" t="s">
        <v>1049</v>
      </c>
      <c r="D36" s="177" t="s">
        <v>6712</v>
      </c>
      <c r="E36" s="177" t="s">
        <v>1119</v>
      </c>
      <c r="F36" s="177" t="s">
        <v>6706</v>
      </c>
      <c r="G36" s="179" t="s">
        <v>6707</v>
      </c>
      <c r="H36" s="180" t="s">
        <v>2758</v>
      </c>
      <c r="I36" s="163">
        <f>IFERROR(__xludf.DUMMYFUNCTION("""COMPUTED_VALUE"""),20.4)</f>
        <v>20.4</v>
      </c>
      <c r="J36" s="177" t="s">
        <v>6705</v>
      </c>
      <c r="K36" s="164" t="s">
        <v>6746</v>
      </c>
      <c r="L36" s="164"/>
      <c r="M36" s="165"/>
      <c r="N36" s="21" t="s">
        <v>22</v>
      </c>
      <c r="O36" s="164"/>
      <c r="P36" s="164"/>
      <c r="Q36" s="177" t="s">
        <v>2617</v>
      </c>
      <c r="R36" s="164"/>
      <c r="S36" s="163"/>
      <c r="T36" s="164"/>
      <c r="U36" s="164"/>
      <c r="V36" s="164"/>
      <c r="W36" s="164"/>
      <c r="X36" s="164"/>
    </row>
    <row r="37">
      <c r="A37" s="175">
        <v>45889.0</v>
      </c>
      <c r="B37" s="176" t="s">
        <v>2805</v>
      </c>
      <c r="C37" s="177" t="s">
        <v>1049</v>
      </c>
      <c r="D37" s="177" t="s">
        <v>6712</v>
      </c>
      <c r="E37" s="177" t="s">
        <v>38</v>
      </c>
      <c r="F37" s="177" t="s">
        <v>6706</v>
      </c>
      <c r="G37" s="179" t="s">
        <v>6707</v>
      </c>
      <c r="H37" s="180" t="s">
        <v>2805</v>
      </c>
      <c r="I37" s="163">
        <f>IFERROR(__xludf.DUMMYFUNCTION("""COMPUTED_VALUE"""),25.0)</f>
        <v>25</v>
      </c>
      <c r="J37" s="177" t="s">
        <v>6705</v>
      </c>
      <c r="K37" s="164" t="s">
        <v>6747</v>
      </c>
      <c r="L37" s="164"/>
      <c r="M37" s="165"/>
      <c r="N37" s="21" t="s">
        <v>22</v>
      </c>
      <c r="O37" s="164"/>
      <c r="P37" s="164"/>
      <c r="Q37" s="177" t="s">
        <v>1698</v>
      </c>
      <c r="R37" s="164"/>
      <c r="S37" s="163"/>
      <c r="T37" s="164"/>
      <c r="U37" s="164"/>
      <c r="V37" s="164"/>
      <c r="W37" s="164"/>
      <c r="X37" s="164"/>
    </row>
    <row r="38">
      <c r="A38" s="183">
        <v>45890.0</v>
      </c>
      <c r="B38" s="176" t="s">
        <v>1581</v>
      </c>
      <c r="C38" s="177" t="s">
        <v>6716</v>
      </c>
      <c r="D38" s="177" t="s">
        <v>6712</v>
      </c>
      <c r="E38" s="177"/>
      <c r="F38" s="177" t="s">
        <v>6706</v>
      </c>
      <c r="G38" s="179" t="s">
        <v>6748</v>
      </c>
      <c r="H38" s="180" t="s">
        <v>1633</v>
      </c>
      <c r="I38" s="163">
        <f>IFERROR(__xludf.DUMMYFUNCTION("""COMPUTED_VALUE"""),0.0)</f>
        <v>0</v>
      </c>
      <c r="J38" s="177" t="s">
        <v>6723</v>
      </c>
      <c r="K38" s="164" t="s">
        <v>4300</v>
      </c>
      <c r="L38" s="164"/>
      <c r="M38" s="165"/>
      <c r="N38" s="21" t="s">
        <v>22</v>
      </c>
      <c r="O38" s="164"/>
      <c r="P38" s="164"/>
      <c r="Q38" s="177" t="s">
        <v>1468</v>
      </c>
      <c r="R38" s="164"/>
      <c r="S38" s="163">
        <f>IFERROR(__xludf.DUMMYFUNCTION("""COMPUTED_VALUE"""),0.0)</f>
        <v>0</v>
      </c>
      <c r="T38" s="164"/>
      <c r="U38" s="164"/>
      <c r="V38" s="164"/>
      <c r="W38" s="164"/>
      <c r="X38" s="164"/>
    </row>
    <row r="39">
      <c r="A39" s="183"/>
      <c r="B39" s="176"/>
      <c r="C39" s="177"/>
      <c r="D39" s="177"/>
      <c r="E39" s="177"/>
      <c r="F39" s="177"/>
      <c r="G39" s="179"/>
      <c r="H39" s="180"/>
      <c r="I39" s="163" t="str">
        <f>IFERROR(__xludf.DUMMYFUNCTION("""COMPUTED_VALUE"""),"")</f>
        <v/>
      </c>
      <c r="J39" s="177"/>
      <c r="K39" s="164"/>
      <c r="L39" s="164"/>
      <c r="M39" s="165"/>
      <c r="N39" s="21"/>
      <c r="O39" s="164"/>
      <c r="P39" s="164"/>
      <c r="Q39" s="164"/>
      <c r="R39" s="164"/>
      <c r="S39" s="163" t="str">
        <f>IFERROR(__xludf.DUMMYFUNCTION("""COMPUTED_VALUE"""),"")</f>
        <v/>
      </c>
      <c r="T39" s="164"/>
      <c r="U39" s="164"/>
      <c r="V39" s="164"/>
      <c r="W39" s="164"/>
      <c r="X39" s="164"/>
    </row>
    <row r="40">
      <c r="A40" s="183"/>
      <c r="B40" s="176"/>
      <c r="C40" s="177"/>
      <c r="D40" s="177"/>
      <c r="E40" s="177"/>
      <c r="F40" s="177"/>
      <c r="G40" s="179"/>
      <c r="H40" s="180" t="s">
        <v>2855</v>
      </c>
      <c r="I40" s="163" t="str">
        <f>IFERROR(__xludf.DUMMYFUNCTION("""COMPUTED_VALUE"""),"")</f>
        <v/>
      </c>
      <c r="J40" s="177"/>
      <c r="K40" s="164"/>
      <c r="L40" s="164"/>
      <c r="M40" s="165"/>
      <c r="N40" s="21"/>
      <c r="O40" s="164"/>
      <c r="P40" s="164"/>
      <c r="Q40" s="177" t="s">
        <v>1537</v>
      </c>
      <c r="R40" s="164"/>
      <c r="S40" s="163" t="str">
        <f>IFERROR(__xludf.DUMMYFUNCTION("""COMPUTED_VALUE"""),"")</f>
        <v/>
      </c>
      <c r="T40" s="164"/>
      <c r="U40" s="164"/>
      <c r="V40" s="164"/>
      <c r="W40" s="164"/>
      <c r="X40" s="164"/>
    </row>
    <row r="41">
      <c r="A41" s="183"/>
      <c r="B41" s="176"/>
      <c r="C41" s="177"/>
      <c r="D41" s="177"/>
      <c r="E41" s="177"/>
      <c r="F41" s="177"/>
      <c r="G41" s="179"/>
      <c r="H41" s="180"/>
      <c r="I41" s="163" t="str">
        <f>IFERROR(__xludf.DUMMYFUNCTION("""COMPUTED_VALUE"""),"")</f>
        <v/>
      </c>
      <c r="J41" s="177"/>
      <c r="K41" s="164"/>
      <c r="L41" s="164"/>
      <c r="M41" s="165"/>
      <c r="N41" s="21"/>
      <c r="O41" s="164"/>
      <c r="P41" s="164"/>
      <c r="Q41" s="164"/>
      <c r="R41" s="164"/>
      <c r="S41" s="163" t="str">
        <f>IFERROR(__xludf.DUMMYFUNCTION("""COMPUTED_VALUE"""),"")</f>
        <v/>
      </c>
      <c r="T41" s="164"/>
      <c r="U41" s="164"/>
      <c r="V41" s="164"/>
      <c r="W41" s="164"/>
      <c r="X41" s="164"/>
    </row>
    <row r="42">
      <c r="A42" s="183">
        <v>45890.0</v>
      </c>
      <c r="B42" s="176" t="s">
        <v>1585</v>
      </c>
      <c r="C42" s="177" t="s">
        <v>6716</v>
      </c>
      <c r="D42" s="177" t="s">
        <v>6712</v>
      </c>
      <c r="E42" s="177"/>
      <c r="F42" s="177" t="s">
        <v>6730</v>
      </c>
      <c r="G42" s="179" t="s">
        <v>6720</v>
      </c>
      <c r="H42" s="180" t="s">
        <v>1494</v>
      </c>
      <c r="I42" s="163">
        <f>IFERROR(__xludf.DUMMYFUNCTION("""COMPUTED_VALUE"""),0.0)</f>
        <v>0</v>
      </c>
      <c r="J42" s="177" t="s">
        <v>6727</v>
      </c>
      <c r="K42" s="164" t="s">
        <v>4303</v>
      </c>
      <c r="L42" s="164"/>
      <c r="M42" s="165"/>
      <c r="N42" s="21" t="s">
        <v>22</v>
      </c>
      <c r="O42" s="164"/>
      <c r="P42" s="164"/>
      <c r="Q42" s="177" t="s">
        <v>1487</v>
      </c>
      <c r="R42" s="164"/>
      <c r="S42" s="163">
        <f>IFERROR(__xludf.DUMMYFUNCTION("""COMPUTED_VALUE"""),0.0)</f>
        <v>0</v>
      </c>
      <c r="T42" s="164"/>
      <c r="U42" s="164"/>
      <c r="V42" s="164"/>
      <c r="W42" s="164"/>
      <c r="X42" s="164"/>
    </row>
    <row r="43">
      <c r="A43" s="183">
        <v>45890.0</v>
      </c>
      <c r="B43" s="176" t="s">
        <v>1970</v>
      </c>
      <c r="C43" s="177" t="s">
        <v>6716</v>
      </c>
      <c r="D43" s="177" t="s">
        <v>6712</v>
      </c>
      <c r="E43" s="177"/>
      <c r="F43" s="177" t="s">
        <v>6749</v>
      </c>
      <c r="G43" s="179" t="s">
        <v>6722</v>
      </c>
      <c r="H43" s="180" t="s">
        <v>2532</v>
      </c>
      <c r="I43" s="163">
        <f>IFERROR(__xludf.DUMMYFUNCTION("""COMPUTED_VALUE"""),4.9925)</f>
        <v>4.9925</v>
      </c>
      <c r="J43" s="177" t="s">
        <v>6750</v>
      </c>
      <c r="K43" s="164" t="s">
        <v>4305</v>
      </c>
      <c r="L43" s="164"/>
      <c r="M43" s="165"/>
      <c r="N43" s="21" t="s">
        <v>22</v>
      </c>
      <c r="O43" s="164"/>
      <c r="P43" s="164"/>
      <c r="Q43" s="177" t="s">
        <v>1936</v>
      </c>
      <c r="R43" s="164"/>
      <c r="S43" s="163">
        <f>IFERROR(__xludf.DUMMYFUNCTION("""COMPUTED_VALUE"""),0.0)</f>
        <v>0</v>
      </c>
      <c r="T43" s="164"/>
      <c r="U43" s="164"/>
      <c r="V43" s="164"/>
      <c r="W43" s="164"/>
      <c r="X43" s="164"/>
    </row>
    <row r="44">
      <c r="A44" s="183">
        <v>45890.0</v>
      </c>
      <c r="B44" s="176" t="s">
        <v>2793</v>
      </c>
      <c r="C44" s="177" t="s">
        <v>1049</v>
      </c>
      <c r="D44" s="177" t="s">
        <v>6712</v>
      </c>
      <c r="E44" s="177" t="s">
        <v>6751</v>
      </c>
      <c r="F44" s="177" t="s">
        <v>6717</v>
      </c>
      <c r="G44" s="179" t="s">
        <v>6707</v>
      </c>
      <c r="H44" s="180" t="s">
        <v>2793</v>
      </c>
      <c r="I44" s="163">
        <f>IFERROR(__xludf.DUMMYFUNCTION("""COMPUTED_VALUE"""),6.0)</f>
        <v>6</v>
      </c>
      <c r="J44" s="177" t="s">
        <v>6705</v>
      </c>
      <c r="K44" s="164" t="s">
        <v>6752</v>
      </c>
      <c r="L44" s="164"/>
      <c r="M44" s="165"/>
      <c r="N44" s="21" t="s">
        <v>22</v>
      </c>
      <c r="O44" s="164"/>
      <c r="P44" s="164"/>
      <c r="Q44" s="177" t="s">
        <v>1500</v>
      </c>
      <c r="R44" s="164"/>
      <c r="S44" s="163">
        <f>IFERROR(__xludf.DUMMYFUNCTION("""COMPUTED_VALUE"""),12.99)</f>
        <v>12.99</v>
      </c>
      <c r="T44" s="164"/>
      <c r="U44" s="164"/>
      <c r="V44" s="164"/>
      <c r="W44" s="164"/>
      <c r="X44" s="164"/>
    </row>
    <row r="45">
      <c r="A45" s="183">
        <v>45890.0</v>
      </c>
      <c r="B45" s="176" t="s">
        <v>1499</v>
      </c>
      <c r="C45" s="177" t="s">
        <v>1049</v>
      </c>
      <c r="D45" s="177" t="s">
        <v>6712</v>
      </c>
      <c r="E45" s="177"/>
      <c r="F45" s="177" t="s">
        <v>6706</v>
      </c>
      <c r="G45" s="179" t="s">
        <v>6707</v>
      </c>
      <c r="H45" s="180" t="s">
        <v>1499</v>
      </c>
      <c r="I45" s="163">
        <f>IFERROR(__xludf.DUMMYFUNCTION("""COMPUTED_VALUE"""),6.0)</f>
        <v>6</v>
      </c>
      <c r="J45" s="177" t="s">
        <v>6735</v>
      </c>
      <c r="K45" s="164" t="s">
        <v>6753</v>
      </c>
      <c r="L45" s="164"/>
      <c r="M45" s="165"/>
      <c r="N45" s="21" t="s">
        <v>22</v>
      </c>
      <c r="O45" s="164"/>
      <c r="P45" s="164"/>
      <c r="Q45" s="177" t="s">
        <v>1500</v>
      </c>
      <c r="R45" s="164"/>
      <c r="S45" s="163">
        <f>IFERROR(__xludf.DUMMYFUNCTION("""COMPUTED_VALUE"""),12.99)</f>
        <v>12.99</v>
      </c>
      <c r="T45" s="164"/>
      <c r="U45" s="164"/>
      <c r="V45" s="164"/>
      <c r="W45" s="164"/>
      <c r="X45" s="164"/>
    </row>
    <row r="46">
      <c r="A46" s="183">
        <v>45890.0</v>
      </c>
      <c r="B46" s="176" t="s">
        <v>1653</v>
      </c>
      <c r="C46" s="177" t="s">
        <v>1049</v>
      </c>
      <c r="D46" s="177" t="s">
        <v>6712</v>
      </c>
      <c r="E46" s="177"/>
      <c r="F46" s="177" t="s">
        <v>6717</v>
      </c>
      <c r="G46" s="179" t="s">
        <v>6707</v>
      </c>
      <c r="H46" s="180" t="s">
        <v>1653</v>
      </c>
      <c r="I46" s="163">
        <f>IFERROR(__xludf.DUMMYFUNCTION("""COMPUTED_VALUE"""),6.0)</f>
        <v>6</v>
      </c>
      <c r="J46" s="177" t="s">
        <v>6725</v>
      </c>
      <c r="K46" s="164" t="s">
        <v>6754</v>
      </c>
      <c r="L46" s="164"/>
      <c r="M46" s="165"/>
      <c r="N46" s="21" t="s">
        <v>22</v>
      </c>
      <c r="O46" s="164"/>
      <c r="P46" s="164"/>
      <c r="Q46" s="177" t="s">
        <v>1500</v>
      </c>
      <c r="R46" s="164"/>
      <c r="S46" s="163">
        <f>IFERROR(__xludf.DUMMYFUNCTION("""COMPUTED_VALUE"""),12.99)</f>
        <v>12.99</v>
      </c>
      <c r="T46" s="164"/>
      <c r="U46" s="164"/>
      <c r="V46" s="164"/>
      <c r="W46" s="164"/>
      <c r="X46" s="164"/>
    </row>
    <row r="47">
      <c r="A47" s="183">
        <v>45890.0</v>
      </c>
      <c r="B47" s="176" t="s">
        <v>2298</v>
      </c>
      <c r="C47" s="177" t="s">
        <v>1049</v>
      </c>
      <c r="D47" s="177" t="s">
        <v>6712</v>
      </c>
      <c r="E47" s="177"/>
      <c r="F47" s="177" t="s">
        <v>6706</v>
      </c>
      <c r="G47" s="179" t="s">
        <v>6707</v>
      </c>
      <c r="H47" s="180" t="s">
        <v>2298</v>
      </c>
      <c r="I47" s="163">
        <f>IFERROR(__xludf.DUMMYFUNCTION("""COMPUTED_VALUE"""),9.0)</f>
        <v>9</v>
      </c>
      <c r="J47" s="177" t="s">
        <v>6705</v>
      </c>
      <c r="K47" s="164" t="s">
        <v>6755</v>
      </c>
      <c r="L47" s="164"/>
      <c r="M47" s="165"/>
      <c r="N47" s="21" t="s">
        <v>22</v>
      </c>
      <c r="O47" s="164"/>
      <c r="P47" s="164"/>
      <c r="Q47" s="177" t="s">
        <v>1802</v>
      </c>
      <c r="R47" s="164"/>
      <c r="S47" s="163">
        <f>IFERROR(__xludf.DUMMYFUNCTION("""COMPUTED_VALUE"""),19.99)</f>
        <v>19.99</v>
      </c>
      <c r="T47" s="164"/>
      <c r="U47" s="164"/>
      <c r="V47" s="164"/>
      <c r="W47" s="164"/>
      <c r="X47" s="164"/>
    </row>
    <row r="48">
      <c r="A48" s="183">
        <v>45890.0</v>
      </c>
      <c r="B48" s="176" t="s">
        <v>1938</v>
      </c>
      <c r="C48" s="177" t="s">
        <v>1049</v>
      </c>
      <c r="D48" s="177" t="s">
        <v>6712</v>
      </c>
      <c r="E48" s="177"/>
      <c r="F48" s="177" t="s">
        <v>6706</v>
      </c>
      <c r="G48" s="179" t="s">
        <v>6707</v>
      </c>
      <c r="H48" s="180" t="s">
        <v>1938</v>
      </c>
      <c r="I48" s="163">
        <f>IFERROR(__xludf.DUMMYFUNCTION("""COMPUTED_VALUE"""),9.0)</f>
        <v>9</v>
      </c>
      <c r="J48" s="177" t="s">
        <v>6719</v>
      </c>
      <c r="K48" s="164" t="s">
        <v>6756</v>
      </c>
      <c r="L48" s="164"/>
      <c r="M48" s="165"/>
      <c r="N48" s="21" t="s">
        <v>22</v>
      </c>
      <c r="O48" s="164"/>
      <c r="P48" s="164"/>
      <c r="Q48" s="177" t="s">
        <v>1802</v>
      </c>
      <c r="R48" s="164"/>
      <c r="S48" s="163">
        <f>IFERROR(__xludf.DUMMYFUNCTION("""COMPUTED_VALUE"""),19.99)</f>
        <v>19.99</v>
      </c>
      <c r="T48" s="164"/>
      <c r="U48" s="164"/>
      <c r="V48" s="164"/>
      <c r="W48" s="164"/>
      <c r="X48" s="164"/>
    </row>
    <row r="49">
      <c r="A49" s="183">
        <v>45890.0</v>
      </c>
      <c r="B49" s="176" t="s">
        <v>1940</v>
      </c>
      <c r="C49" s="177" t="s">
        <v>1049</v>
      </c>
      <c r="D49" s="177" t="s">
        <v>6712</v>
      </c>
      <c r="E49" s="177"/>
      <c r="F49" s="177" t="s">
        <v>6706</v>
      </c>
      <c r="G49" s="179" t="s">
        <v>6707</v>
      </c>
      <c r="H49" s="180" t="s">
        <v>1940</v>
      </c>
      <c r="I49" s="163">
        <f>IFERROR(__xludf.DUMMYFUNCTION("""COMPUTED_VALUE"""),9.0)</f>
        <v>9</v>
      </c>
      <c r="J49" s="177" t="s">
        <v>6723</v>
      </c>
      <c r="K49" s="164" t="s">
        <v>6757</v>
      </c>
      <c r="L49" s="164"/>
      <c r="M49" s="165"/>
      <c r="N49" s="21" t="s">
        <v>22</v>
      </c>
      <c r="O49" s="164"/>
      <c r="P49" s="164"/>
      <c r="Q49" s="177" t="s">
        <v>1802</v>
      </c>
      <c r="R49" s="164"/>
      <c r="S49" s="163">
        <f>IFERROR(__xludf.DUMMYFUNCTION("""COMPUTED_VALUE"""),19.99)</f>
        <v>19.99</v>
      </c>
      <c r="T49" s="164"/>
      <c r="U49" s="164"/>
      <c r="V49" s="164"/>
      <c r="W49" s="164"/>
      <c r="X49" s="164"/>
    </row>
    <row r="50">
      <c r="A50" s="183">
        <v>45890.0</v>
      </c>
      <c r="B50" s="176" t="s">
        <v>3201</v>
      </c>
      <c r="C50" s="177" t="s">
        <v>1049</v>
      </c>
      <c r="D50" s="177" t="s">
        <v>6712</v>
      </c>
      <c r="E50" s="177"/>
      <c r="F50" s="177" t="s">
        <v>6706</v>
      </c>
      <c r="G50" s="179" t="s">
        <v>6707</v>
      </c>
      <c r="H50" s="180" t="s">
        <v>3201</v>
      </c>
      <c r="I50" s="163">
        <f>IFERROR(__xludf.DUMMYFUNCTION("""COMPUTED_VALUE"""),9.0)</f>
        <v>9</v>
      </c>
      <c r="J50" s="177" t="s">
        <v>6739</v>
      </c>
      <c r="K50" s="164" t="s">
        <v>6758</v>
      </c>
      <c r="L50" s="164"/>
      <c r="M50" s="165"/>
      <c r="N50" s="21" t="s">
        <v>22</v>
      </c>
      <c r="O50" s="164"/>
      <c r="P50" s="164"/>
      <c r="Q50" s="177" t="s">
        <v>1802</v>
      </c>
      <c r="R50" s="164"/>
      <c r="S50" s="163">
        <f>IFERROR(__xludf.DUMMYFUNCTION("""COMPUTED_VALUE"""),19.99)</f>
        <v>19.99</v>
      </c>
      <c r="T50" s="164"/>
      <c r="U50" s="164"/>
      <c r="V50" s="164"/>
      <c r="W50" s="164"/>
      <c r="X50" s="164"/>
    </row>
    <row r="51">
      <c r="A51" s="183">
        <v>45890.0</v>
      </c>
      <c r="B51" s="176" t="s">
        <v>1657</v>
      </c>
      <c r="C51" s="177" t="s">
        <v>1118</v>
      </c>
      <c r="D51" s="177" t="s">
        <v>6712</v>
      </c>
      <c r="E51" s="177"/>
      <c r="F51" s="177" t="s">
        <v>6706</v>
      </c>
      <c r="G51" s="179" t="s">
        <v>6707</v>
      </c>
      <c r="H51" s="180" t="s">
        <v>1657</v>
      </c>
      <c r="I51" s="163">
        <f>IFERROR(__xludf.DUMMYFUNCTION("""COMPUTED_VALUE"""),1.95)</f>
        <v>1.95</v>
      </c>
      <c r="J51" s="177" t="s">
        <v>6759</v>
      </c>
      <c r="K51" s="164" t="s">
        <v>6760</v>
      </c>
      <c r="L51" s="164"/>
      <c r="M51" s="165"/>
      <c r="N51" s="21" t="s">
        <v>22</v>
      </c>
      <c r="O51" s="164"/>
      <c r="P51" s="164"/>
      <c r="Q51" s="177" t="s">
        <v>1497</v>
      </c>
      <c r="R51" s="164"/>
      <c r="S51" s="163">
        <f>IFERROR(__xludf.DUMMYFUNCTION("""COMPUTED_VALUE"""),4.2475)</f>
        <v>4.2475</v>
      </c>
      <c r="T51" s="164"/>
      <c r="U51" s="164"/>
      <c r="V51" s="164"/>
      <c r="W51" s="164"/>
      <c r="X51" s="164"/>
    </row>
    <row r="52">
      <c r="A52" s="183">
        <v>45890.0</v>
      </c>
      <c r="B52" s="176" t="s">
        <v>1657</v>
      </c>
      <c r="C52" s="177" t="s">
        <v>6716</v>
      </c>
      <c r="D52" s="177" t="s">
        <v>6712</v>
      </c>
      <c r="E52" s="177"/>
      <c r="F52" s="177" t="s">
        <v>6703</v>
      </c>
      <c r="G52" s="179" t="s">
        <v>6718</v>
      </c>
      <c r="H52" s="180" t="s">
        <v>1496</v>
      </c>
      <c r="I52" s="163">
        <f>IFERROR(__xludf.DUMMYFUNCTION("""COMPUTED_VALUE"""),1.95)</f>
        <v>1.95</v>
      </c>
      <c r="J52" s="177" t="s">
        <v>6705</v>
      </c>
      <c r="K52" s="164" t="s">
        <v>4307</v>
      </c>
      <c r="L52" s="164"/>
      <c r="M52" s="165"/>
      <c r="N52" s="21" t="s">
        <v>22</v>
      </c>
      <c r="O52" s="164"/>
      <c r="P52" s="164"/>
      <c r="Q52" s="177" t="s">
        <v>1497</v>
      </c>
      <c r="R52" s="164"/>
      <c r="S52" s="163">
        <f>IFERROR(__xludf.DUMMYFUNCTION("""COMPUTED_VALUE"""),4.2475)</f>
        <v>4.2475</v>
      </c>
      <c r="T52" s="164"/>
      <c r="U52" s="164"/>
      <c r="V52" s="164"/>
      <c r="W52" s="164"/>
      <c r="X52" s="164"/>
    </row>
    <row r="53">
      <c r="A53" s="183">
        <v>45890.0</v>
      </c>
      <c r="B53" s="176" t="s">
        <v>1657</v>
      </c>
      <c r="C53" s="177" t="s">
        <v>6716</v>
      </c>
      <c r="D53" s="177" t="s">
        <v>6712</v>
      </c>
      <c r="E53" s="177"/>
      <c r="F53" s="177" t="s">
        <v>6730</v>
      </c>
      <c r="G53" s="179" t="s">
        <v>6720</v>
      </c>
      <c r="H53" s="180" t="s">
        <v>1635</v>
      </c>
      <c r="I53" s="163">
        <f>IFERROR(__xludf.DUMMYFUNCTION("""COMPUTED_VALUE"""),1.95)</f>
        <v>1.95</v>
      </c>
      <c r="J53" s="177" t="s">
        <v>6708</v>
      </c>
      <c r="K53" s="164" t="s">
        <v>4309</v>
      </c>
      <c r="L53" s="164"/>
      <c r="M53" s="165"/>
      <c r="N53" s="21" t="s">
        <v>22</v>
      </c>
      <c r="O53" s="164"/>
      <c r="P53" s="164"/>
      <c r="Q53" s="177" t="s">
        <v>1497</v>
      </c>
      <c r="R53" s="164"/>
      <c r="S53" s="163">
        <f>IFERROR(__xludf.DUMMYFUNCTION("""COMPUTED_VALUE"""),4.2475)</f>
        <v>4.2475</v>
      </c>
      <c r="T53" s="164"/>
      <c r="U53" s="164"/>
      <c r="V53" s="164"/>
      <c r="W53" s="164"/>
      <c r="X53" s="164"/>
    </row>
    <row r="54">
      <c r="A54" s="183">
        <v>45890.0</v>
      </c>
      <c r="B54" s="176" t="s">
        <v>1657</v>
      </c>
      <c r="C54" s="177" t="s">
        <v>6716</v>
      </c>
      <c r="D54" s="177" t="s">
        <v>6712</v>
      </c>
      <c r="E54" s="177"/>
      <c r="F54" s="177" t="s">
        <v>6730</v>
      </c>
      <c r="G54" s="179" t="s">
        <v>6721</v>
      </c>
      <c r="H54" s="180" t="s">
        <v>1637</v>
      </c>
      <c r="I54" s="163">
        <f>IFERROR(__xludf.DUMMYFUNCTION("""COMPUTED_VALUE"""),1.95)</f>
        <v>1.95</v>
      </c>
      <c r="J54" s="177" t="s">
        <v>6739</v>
      </c>
      <c r="K54" s="164" t="s">
        <v>4311</v>
      </c>
      <c r="L54" s="164"/>
      <c r="M54" s="165"/>
      <c r="N54" s="21" t="s">
        <v>22</v>
      </c>
      <c r="O54" s="164"/>
      <c r="P54" s="164"/>
      <c r="Q54" s="177" t="s">
        <v>1497</v>
      </c>
      <c r="R54" s="164"/>
      <c r="S54" s="163">
        <f>IFERROR(__xludf.DUMMYFUNCTION("""COMPUTED_VALUE"""),4.2475)</f>
        <v>4.2475</v>
      </c>
      <c r="T54" s="164"/>
      <c r="U54" s="164"/>
      <c r="V54" s="164"/>
      <c r="W54" s="164"/>
      <c r="X54" s="164"/>
    </row>
    <row r="55">
      <c r="A55" s="183">
        <v>45890.0</v>
      </c>
      <c r="B55" s="176" t="s">
        <v>1918</v>
      </c>
      <c r="C55" s="177" t="s">
        <v>1049</v>
      </c>
      <c r="D55" s="177" t="s">
        <v>6712</v>
      </c>
      <c r="E55" s="177"/>
      <c r="F55" s="177" t="s">
        <v>6717</v>
      </c>
      <c r="G55" s="179" t="s">
        <v>6707</v>
      </c>
      <c r="H55" s="180" t="s">
        <v>1918</v>
      </c>
      <c r="I55" s="163">
        <f>IFERROR(__xludf.DUMMYFUNCTION("""COMPUTED_VALUE"""),7.8)</f>
        <v>7.8</v>
      </c>
      <c r="J55" s="177" t="s">
        <v>6705</v>
      </c>
      <c r="K55" s="164" t="s">
        <v>6761</v>
      </c>
      <c r="L55" s="164"/>
      <c r="M55" s="165"/>
      <c r="N55" s="21" t="s">
        <v>22</v>
      </c>
      <c r="O55" s="164"/>
      <c r="P55" s="164"/>
      <c r="Q55" s="177" t="s">
        <v>1497</v>
      </c>
      <c r="R55" s="164"/>
      <c r="S55" s="163">
        <f>IFERROR(__xludf.DUMMYFUNCTION("""COMPUTED_VALUE"""),16.99)</f>
        <v>16.99</v>
      </c>
      <c r="T55" s="164"/>
      <c r="U55" s="164"/>
      <c r="V55" s="164"/>
      <c r="W55" s="164"/>
      <c r="X55" s="164"/>
    </row>
    <row r="56">
      <c r="A56" s="183">
        <v>45891.0</v>
      </c>
      <c r="B56" s="176" t="s">
        <v>1507</v>
      </c>
      <c r="C56" s="177" t="s">
        <v>1118</v>
      </c>
      <c r="D56" s="177" t="s">
        <v>6712</v>
      </c>
      <c r="E56" s="177"/>
      <c r="F56" s="177" t="s">
        <v>6717</v>
      </c>
      <c r="G56" s="179" t="s">
        <v>6707</v>
      </c>
      <c r="H56" s="180" t="s">
        <v>1507</v>
      </c>
      <c r="I56" s="163">
        <f>IFERROR(__xludf.DUMMYFUNCTION("""COMPUTED_VALUE"""),2.7475)</f>
        <v>2.7475</v>
      </c>
      <c r="J56" s="177" t="s">
        <v>6725</v>
      </c>
      <c r="K56" s="164" t="s">
        <v>6762</v>
      </c>
      <c r="L56" s="164"/>
      <c r="M56" s="165"/>
      <c r="N56" s="21" t="s">
        <v>22</v>
      </c>
      <c r="O56" s="164"/>
      <c r="P56" s="164"/>
      <c r="Q56" s="177" t="s">
        <v>1474</v>
      </c>
      <c r="R56" s="164"/>
      <c r="S56" s="163">
        <f>IFERROR(__xludf.DUMMYFUNCTION("""COMPUTED_VALUE"""),0.0)</f>
        <v>0</v>
      </c>
      <c r="T56" s="164"/>
      <c r="U56" s="164"/>
      <c r="V56" s="164"/>
      <c r="W56" s="164"/>
      <c r="X56" s="164"/>
    </row>
    <row r="57">
      <c r="A57" s="183">
        <v>45891.0</v>
      </c>
      <c r="B57" s="176" t="s">
        <v>1507</v>
      </c>
      <c r="C57" s="177" t="s">
        <v>1118</v>
      </c>
      <c r="D57" s="177" t="s">
        <v>6712</v>
      </c>
      <c r="E57" s="177" t="s">
        <v>6763</v>
      </c>
      <c r="F57" s="177" t="s">
        <v>6717</v>
      </c>
      <c r="G57" s="179" t="s">
        <v>6720</v>
      </c>
      <c r="H57" s="180" t="s">
        <v>2857</v>
      </c>
      <c r="I57" s="163">
        <f>IFERROR(__xludf.DUMMYFUNCTION("""COMPUTED_VALUE"""),2.7475)</f>
        <v>2.7475</v>
      </c>
      <c r="J57" s="177" t="s">
        <v>6705</v>
      </c>
      <c r="K57" s="164" t="s">
        <v>4313</v>
      </c>
      <c r="L57" s="164"/>
      <c r="M57" s="165"/>
      <c r="N57" s="21" t="s">
        <v>22</v>
      </c>
      <c r="O57" s="164"/>
      <c r="P57" s="164"/>
      <c r="Q57" s="177" t="s">
        <v>1474</v>
      </c>
      <c r="R57" s="164"/>
      <c r="S57" s="163">
        <f>IFERROR(__xludf.DUMMYFUNCTION("""COMPUTED_VALUE"""),0.0)</f>
        <v>0</v>
      </c>
      <c r="T57" s="164"/>
      <c r="U57" s="164"/>
      <c r="V57" s="164"/>
      <c r="W57" s="164"/>
      <c r="X57" s="164"/>
    </row>
    <row r="58">
      <c r="A58" s="175">
        <v>45891.0</v>
      </c>
      <c r="B58" s="176" t="s">
        <v>1507</v>
      </c>
      <c r="C58" s="177" t="s">
        <v>6716</v>
      </c>
      <c r="D58" s="177" t="s">
        <v>6712</v>
      </c>
      <c r="E58" s="177"/>
      <c r="F58" s="177" t="s">
        <v>6706</v>
      </c>
      <c r="G58" s="179" t="s">
        <v>6721</v>
      </c>
      <c r="H58" s="180" t="s">
        <v>3085</v>
      </c>
      <c r="I58" s="163">
        <f>IFERROR(__xludf.DUMMYFUNCTION("""COMPUTED_VALUE"""),2.7475)</f>
        <v>2.7475</v>
      </c>
      <c r="J58" s="177" t="s">
        <v>6719</v>
      </c>
      <c r="K58" s="164" t="s">
        <v>4315</v>
      </c>
      <c r="L58" s="164"/>
      <c r="M58" s="165"/>
      <c r="N58" s="21" t="s">
        <v>22</v>
      </c>
      <c r="O58" s="164"/>
      <c r="P58" s="164"/>
      <c r="Q58" s="177" t="s">
        <v>1474</v>
      </c>
      <c r="R58" s="164"/>
      <c r="S58" s="163">
        <f>IFERROR(__xludf.DUMMYFUNCTION("""COMPUTED_VALUE"""),0.0)</f>
        <v>0</v>
      </c>
      <c r="T58" s="164"/>
      <c r="U58" s="164"/>
      <c r="V58" s="164"/>
      <c r="W58" s="164"/>
      <c r="X58" s="164"/>
    </row>
    <row r="59">
      <c r="A59" s="175">
        <v>45891.0</v>
      </c>
      <c r="B59" s="176" t="s">
        <v>1507</v>
      </c>
      <c r="C59" s="177" t="s">
        <v>6716</v>
      </c>
      <c r="D59" s="177" t="s">
        <v>6712</v>
      </c>
      <c r="E59" s="177"/>
      <c r="F59" s="177" t="s">
        <v>6730</v>
      </c>
      <c r="G59" s="179" t="s">
        <v>6722</v>
      </c>
      <c r="H59" s="180" t="s">
        <v>3166</v>
      </c>
      <c r="I59" s="163">
        <f>IFERROR(__xludf.DUMMYFUNCTION("""COMPUTED_VALUE"""),2.7475)</f>
        <v>2.7475</v>
      </c>
      <c r="J59" s="177" t="s">
        <v>6727</v>
      </c>
      <c r="K59" s="164" t="s">
        <v>4317</v>
      </c>
      <c r="L59" s="164"/>
      <c r="M59" s="165"/>
      <c r="N59" s="21" t="s">
        <v>22</v>
      </c>
      <c r="O59" s="164"/>
      <c r="P59" s="164"/>
      <c r="Q59" s="177" t="s">
        <v>1474</v>
      </c>
      <c r="R59" s="164"/>
      <c r="S59" s="163">
        <f>IFERROR(__xludf.DUMMYFUNCTION("""COMPUTED_VALUE"""),0.0)</f>
        <v>0</v>
      </c>
      <c r="T59" s="164"/>
      <c r="U59" s="164"/>
      <c r="V59" s="164"/>
      <c r="W59" s="164"/>
      <c r="X59" s="164"/>
    </row>
    <row r="60">
      <c r="A60" s="175">
        <v>45892.0</v>
      </c>
      <c r="B60" s="176" t="s">
        <v>1970</v>
      </c>
      <c r="C60" s="177" t="s">
        <v>1118</v>
      </c>
      <c r="D60" s="177" t="s">
        <v>6712</v>
      </c>
      <c r="E60" s="177"/>
      <c r="F60" s="177" t="s">
        <v>842</v>
      </c>
      <c r="G60" s="179" t="s">
        <v>6707</v>
      </c>
      <c r="H60" s="180" t="s">
        <v>1970</v>
      </c>
      <c r="I60" s="163">
        <f>IFERROR(__xludf.DUMMYFUNCTION("""COMPUTED_VALUE"""),4.9925)</f>
        <v>4.9925</v>
      </c>
      <c r="J60" s="177" t="s">
        <v>6705</v>
      </c>
      <c r="K60" s="164" t="s">
        <v>6764</v>
      </c>
      <c r="L60" s="164"/>
      <c r="M60" s="165"/>
      <c r="N60" s="21" t="s">
        <v>22</v>
      </c>
      <c r="O60" s="164"/>
      <c r="P60" s="164"/>
      <c r="Q60" s="177" t="s">
        <v>1936</v>
      </c>
      <c r="R60" s="164"/>
      <c r="S60" s="163">
        <f>IFERROR(__xludf.DUMMYFUNCTION("""COMPUTED_VALUE"""),0.0)</f>
        <v>0</v>
      </c>
      <c r="T60" s="164"/>
      <c r="U60" s="164"/>
      <c r="V60" s="164"/>
      <c r="W60" s="164"/>
      <c r="X60" s="164"/>
    </row>
    <row r="61">
      <c r="A61" s="175">
        <v>45892.0</v>
      </c>
      <c r="B61" s="176" t="s">
        <v>1970</v>
      </c>
      <c r="C61" s="177" t="s">
        <v>6716</v>
      </c>
      <c r="D61" s="177" t="s">
        <v>6712</v>
      </c>
      <c r="E61" s="177"/>
      <c r="F61" s="177" t="s">
        <v>842</v>
      </c>
      <c r="G61" s="179" t="s">
        <v>6720</v>
      </c>
      <c r="H61" s="180" t="s">
        <v>3394</v>
      </c>
      <c r="I61" s="163">
        <f>IFERROR(__xludf.DUMMYFUNCTION("""COMPUTED_VALUE"""),4.9925)</f>
        <v>4.9925</v>
      </c>
      <c r="J61" s="177" t="s">
        <v>6705</v>
      </c>
      <c r="K61" s="164" t="s">
        <v>4319</v>
      </c>
      <c r="L61" s="164"/>
      <c r="M61" s="165"/>
      <c r="N61" s="21" t="s">
        <v>22</v>
      </c>
      <c r="O61" s="164"/>
      <c r="P61" s="164"/>
      <c r="Q61" s="177" t="s">
        <v>1936</v>
      </c>
      <c r="R61" s="164"/>
      <c r="S61" s="163">
        <f>IFERROR(__xludf.DUMMYFUNCTION("""COMPUTED_VALUE"""),0.0)</f>
        <v>0</v>
      </c>
      <c r="T61" s="164"/>
      <c r="U61" s="164"/>
      <c r="V61" s="164"/>
      <c r="W61" s="164"/>
      <c r="X61" s="164"/>
    </row>
    <row r="62">
      <c r="A62" s="175">
        <v>45892.0</v>
      </c>
      <c r="B62" s="176" t="s">
        <v>1526</v>
      </c>
      <c r="C62" s="177" t="s">
        <v>1049</v>
      </c>
      <c r="D62" s="177" t="s">
        <v>6712</v>
      </c>
      <c r="E62" s="177"/>
      <c r="F62" s="177" t="s">
        <v>842</v>
      </c>
      <c r="G62" s="179" t="s">
        <v>6707</v>
      </c>
      <c r="H62" s="180" t="s">
        <v>1526</v>
      </c>
      <c r="I62" s="163">
        <f>IFERROR(__xludf.DUMMYFUNCTION("""COMPUTED_VALUE"""),19.98)</f>
        <v>19.98</v>
      </c>
      <c r="J62" s="177" t="s">
        <v>6705</v>
      </c>
      <c r="K62" s="164" t="s">
        <v>6765</v>
      </c>
      <c r="L62" s="164"/>
      <c r="M62" s="165"/>
      <c r="N62" s="21" t="s">
        <v>22</v>
      </c>
      <c r="O62" s="164"/>
      <c r="P62" s="164"/>
      <c r="Q62" s="177" t="s">
        <v>1527</v>
      </c>
      <c r="R62" s="164"/>
      <c r="S62" s="163"/>
      <c r="T62" s="164"/>
      <c r="U62" s="164"/>
      <c r="V62" s="164"/>
      <c r="W62" s="164"/>
      <c r="X62" s="164"/>
    </row>
    <row r="63">
      <c r="A63" s="175">
        <v>45892.0</v>
      </c>
      <c r="B63" s="176" t="s">
        <v>1526</v>
      </c>
      <c r="C63" s="177" t="s">
        <v>1118</v>
      </c>
      <c r="D63" s="177" t="s">
        <v>6712</v>
      </c>
      <c r="E63" s="177"/>
      <c r="F63" s="177" t="s">
        <v>6706</v>
      </c>
      <c r="G63" s="179" t="s">
        <v>6720</v>
      </c>
      <c r="H63" s="180" t="s">
        <v>1639</v>
      </c>
      <c r="I63" s="163">
        <f>IFERROR(__xludf.DUMMYFUNCTION("""COMPUTED_VALUE"""),9.99)</f>
        <v>9.99</v>
      </c>
      <c r="J63" s="177" t="s">
        <v>6723</v>
      </c>
      <c r="K63" s="164" t="s">
        <v>4321</v>
      </c>
      <c r="L63" s="164"/>
      <c r="M63" s="165"/>
      <c r="N63" s="21" t="s">
        <v>22</v>
      </c>
      <c r="O63" s="164"/>
      <c r="P63" s="164"/>
      <c r="Q63" s="177" t="s">
        <v>1527</v>
      </c>
      <c r="R63" s="164"/>
      <c r="S63" s="163">
        <f>IFERROR(__xludf.DUMMYFUNCTION("""COMPUTED_VALUE"""),0.0)</f>
        <v>0</v>
      </c>
      <c r="T63" s="164"/>
      <c r="U63" s="164"/>
      <c r="V63" s="164"/>
      <c r="W63" s="164"/>
      <c r="X63" s="164"/>
    </row>
    <row r="64">
      <c r="A64" s="175">
        <v>45892.0</v>
      </c>
      <c r="B64" s="176" t="s">
        <v>1526</v>
      </c>
      <c r="C64" s="177" t="s">
        <v>1118</v>
      </c>
      <c r="D64" s="177" t="s">
        <v>6712</v>
      </c>
      <c r="E64" s="177"/>
      <c r="F64" s="177" t="s">
        <v>6706</v>
      </c>
      <c r="G64" s="179" t="s">
        <v>6721</v>
      </c>
      <c r="H64" s="180" t="s">
        <v>1641</v>
      </c>
      <c r="I64" s="163">
        <f>IFERROR(__xludf.DUMMYFUNCTION("""COMPUTED_VALUE"""),9.99)</f>
        <v>9.99</v>
      </c>
      <c r="J64" s="177" t="s">
        <v>6708</v>
      </c>
      <c r="K64" s="164" t="s">
        <v>4323</v>
      </c>
      <c r="L64" s="164"/>
      <c r="M64" s="165"/>
      <c r="N64" s="21" t="s">
        <v>22</v>
      </c>
      <c r="O64" s="164"/>
      <c r="P64" s="164"/>
      <c r="Q64" s="177" t="s">
        <v>1527</v>
      </c>
      <c r="R64" s="164"/>
      <c r="S64" s="163">
        <f>IFERROR(__xludf.DUMMYFUNCTION("""COMPUTED_VALUE"""),0.0)</f>
        <v>0</v>
      </c>
      <c r="T64" s="164"/>
      <c r="U64" s="164"/>
      <c r="V64" s="164"/>
      <c r="W64" s="164"/>
      <c r="X64" s="164"/>
    </row>
    <row r="65">
      <c r="A65" s="175">
        <v>45892.0</v>
      </c>
      <c r="B65" s="176" t="s">
        <v>1613</v>
      </c>
      <c r="C65" s="177" t="s">
        <v>1049</v>
      </c>
      <c r="D65" s="177" t="s">
        <v>6712</v>
      </c>
      <c r="E65" s="177" t="s">
        <v>21</v>
      </c>
      <c r="F65" s="177" t="s">
        <v>1112</v>
      </c>
      <c r="G65" s="179" t="s">
        <v>6726</v>
      </c>
      <c r="H65" s="180" t="s">
        <v>1613</v>
      </c>
      <c r="I65" s="163">
        <f>IFERROR(__xludf.DUMMYFUNCTION("""COMPUTED_VALUE"""),0.0)</f>
        <v>0</v>
      </c>
      <c r="J65" s="177" t="s">
        <v>6735</v>
      </c>
      <c r="K65" s="164" t="s">
        <v>6766</v>
      </c>
      <c r="L65" s="164"/>
      <c r="M65" s="165"/>
      <c r="N65" s="21" t="s">
        <v>22</v>
      </c>
      <c r="O65" s="164"/>
      <c r="P65" s="164"/>
      <c r="Q65" s="177" t="s">
        <v>1542</v>
      </c>
      <c r="R65" s="164"/>
      <c r="S65" s="163"/>
      <c r="T65" s="164"/>
      <c r="U65" s="164"/>
      <c r="V65" s="164"/>
      <c r="W65" s="164"/>
      <c r="X65" s="164"/>
    </row>
    <row r="66">
      <c r="A66" s="175"/>
      <c r="B66" s="176"/>
      <c r="C66" s="177"/>
      <c r="D66" s="177"/>
      <c r="E66" s="177"/>
      <c r="F66" s="177"/>
      <c r="G66" s="179"/>
      <c r="H66" s="181"/>
      <c r="I66" s="163" t="str">
        <f>IFERROR(__xludf.DUMMYFUNCTION("""COMPUTED_VALUE"""),"")</f>
        <v/>
      </c>
      <c r="J66" s="177"/>
      <c r="K66" s="164"/>
      <c r="L66" s="164"/>
      <c r="M66" s="165"/>
      <c r="N66" s="21" t="s">
        <v>22</v>
      </c>
      <c r="O66" s="164"/>
      <c r="P66" s="164"/>
      <c r="Q66" s="164"/>
      <c r="R66" s="164"/>
      <c r="S66" s="163" t="str">
        <f>IFERROR(__xludf.DUMMYFUNCTION("""COMPUTED_VALUE"""),"")</f>
        <v/>
      </c>
      <c r="T66" s="164"/>
      <c r="U66" s="164"/>
      <c r="V66" s="164"/>
      <c r="W66" s="164"/>
      <c r="X66" s="164"/>
    </row>
    <row r="67">
      <c r="A67" s="175">
        <v>45892.0</v>
      </c>
      <c r="B67" s="176" t="s">
        <v>1613</v>
      </c>
      <c r="C67" s="177" t="s">
        <v>1049</v>
      </c>
      <c r="D67" s="177" t="s">
        <v>6712</v>
      </c>
      <c r="E67" s="177" t="s">
        <v>1112</v>
      </c>
      <c r="F67" s="177" t="s">
        <v>1112</v>
      </c>
      <c r="G67" s="179" t="s">
        <v>6704</v>
      </c>
      <c r="H67" s="180" t="s">
        <v>1613</v>
      </c>
      <c r="I67" s="163">
        <f>IFERROR(__xludf.DUMMYFUNCTION("""COMPUTED_VALUE"""),0.0)</f>
        <v>0</v>
      </c>
      <c r="J67" s="177" t="s">
        <v>6705</v>
      </c>
      <c r="K67" s="164" t="s">
        <v>6767</v>
      </c>
      <c r="L67" s="164"/>
      <c r="M67" s="165"/>
      <c r="N67" s="21" t="s">
        <v>22</v>
      </c>
      <c r="O67" s="164"/>
      <c r="P67" s="164"/>
      <c r="Q67" s="177" t="s">
        <v>1542</v>
      </c>
      <c r="R67" s="164"/>
      <c r="S67" s="163"/>
      <c r="T67" s="164"/>
      <c r="U67" s="164"/>
      <c r="V67" s="164"/>
      <c r="W67" s="164"/>
      <c r="X67" s="164"/>
    </row>
    <row r="68">
      <c r="A68" s="175">
        <v>45892.0</v>
      </c>
      <c r="B68" s="176" t="s">
        <v>2760</v>
      </c>
      <c r="C68" s="177" t="s">
        <v>1049</v>
      </c>
      <c r="D68" s="184" t="s">
        <v>6712</v>
      </c>
      <c r="E68" s="177" t="s">
        <v>1119</v>
      </c>
      <c r="F68" s="177" t="s">
        <v>842</v>
      </c>
      <c r="G68" s="179" t="s">
        <v>6707</v>
      </c>
      <c r="H68" s="180" t="s">
        <v>2760</v>
      </c>
      <c r="I68" s="163">
        <f>IFERROR(__xludf.DUMMYFUNCTION("""COMPUTED_VALUE"""),10.8)</f>
        <v>10.8</v>
      </c>
      <c r="J68" s="177" t="s">
        <v>6705</v>
      </c>
      <c r="K68" s="164" t="s">
        <v>6768</v>
      </c>
      <c r="L68" s="164"/>
      <c r="M68" s="165"/>
      <c r="N68" s="21" t="s">
        <v>22</v>
      </c>
      <c r="O68" s="164"/>
      <c r="P68" s="164"/>
      <c r="Q68" s="177" t="s">
        <v>1530</v>
      </c>
      <c r="R68" s="164"/>
      <c r="S68" s="163"/>
      <c r="T68" s="164"/>
      <c r="U68" s="164"/>
      <c r="V68" s="164"/>
      <c r="W68" s="164"/>
      <c r="X68" s="164"/>
    </row>
    <row r="69">
      <c r="A69" s="175">
        <v>45892.0</v>
      </c>
      <c r="B69" s="176" t="s">
        <v>2760</v>
      </c>
      <c r="C69" s="177" t="s">
        <v>6716</v>
      </c>
      <c r="D69" s="184" t="s">
        <v>6712</v>
      </c>
      <c r="E69" s="177"/>
      <c r="F69" s="177" t="s">
        <v>850</v>
      </c>
      <c r="G69" s="179" t="s">
        <v>6720</v>
      </c>
      <c r="H69" s="180" t="s">
        <v>1529</v>
      </c>
      <c r="I69" s="163">
        <f>IFERROR(__xludf.DUMMYFUNCTION("""COMPUTED_VALUE"""),5.4)</f>
        <v>5.4</v>
      </c>
      <c r="J69" s="177" t="s">
        <v>6750</v>
      </c>
      <c r="K69" s="164" t="s">
        <v>4325</v>
      </c>
      <c r="L69" s="164"/>
      <c r="M69" s="165"/>
      <c r="N69" s="21" t="s">
        <v>22</v>
      </c>
      <c r="O69" s="164"/>
      <c r="P69" s="164"/>
      <c r="Q69" s="177" t="s">
        <v>1530</v>
      </c>
      <c r="R69" s="164"/>
      <c r="S69" s="163">
        <f>IFERROR(__xludf.DUMMYFUNCTION("""COMPUTED_VALUE"""),0.0)</f>
        <v>0</v>
      </c>
      <c r="T69" s="164"/>
      <c r="U69" s="164"/>
      <c r="V69" s="164"/>
      <c r="W69" s="164"/>
      <c r="X69" s="164"/>
    </row>
    <row r="70">
      <c r="A70" s="175">
        <v>45892.0</v>
      </c>
      <c r="B70" s="176" t="s">
        <v>2760</v>
      </c>
      <c r="C70" s="177" t="s">
        <v>6716</v>
      </c>
      <c r="D70" s="184" t="s">
        <v>6712</v>
      </c>
      <c r="E70" s="177"/>
      <c r="F70" s="177" t="s">
        <v>850</v>
      </c>
      <c r="G70" s="179" t="s">
        <v>6721</v>
      </c>
      <c r="H70" s="180" t="s">
        <v>1532</v>
      </c>
      <c r="I70" s="163">
        <f>IFERROR(__xludf.DUMMYFUNCTION("""COMPUTED_VALUE"""),5.4)</f>
        <v>5.4</v>
      </c>
      <c r="J70" s="177" t="s">
        <v>6750</v>
      </c>
      <c r="K70" s="164" t="s">
        <v>4327</v>
      </c>
      <c r="L70" s="164"/>
      <c r="M70" s="165"/>
      <c r="N70" s="21" t="s">
        <v>22</v>
      </c>
      <c r="O70" s="164"/>
      <c r="P70" s="164"/>
      <c r="Q70" s="177" t="s">
        <v>1530</v>
      </c>
      <c r="R70" s="164"/>
      <c r="S70" s="163">
        <f>IFERROR(__xludf.DUMMYFUNCTION("""COMPUTED_VALUE"""),0.0)</f>
        <v>0</v>
      </c>
      <c r="T70" s="164"/>
      <c r="U70" s="164"/>
      <c r="V70" s="164"/>
      <c r="W70" s="164"/>
      <c r="X70" s="164"/>
    </row>
    <row r="71">
      <c r="A71" s="175">
        <v>45892.0</v>
      </c>
      <c r="B71" s="176" t="s">
        <v>6769</v>
      </c>
      <c r="C71" s="177" t="s">
        <v>1049</v>
      </c>
      <c r="D71" s="184" t="s">
        <v>6712</v>
      </c>
      <c r="E71" s="177"/>
      <c r="F71" s="177" t="s">
        <v>6717</v>
      </c>
      <c r="G71" s="179" t="s">
        <v>6707</v>
      </c>
      <c r="H71" s="180" t="s">
        <v>6769</v>
      </c>
      <c r="I71" s="163" t="str">
        <f>IFERROR(__xludf.DUMMYFUNCTION("""COMPUTED_VALUE"""),"")</f>
        <v/>
      </c>
      <c r="J71" s="177" t="s">
        <v>6725</v>
      </c>
      <c r="K71" s="164" t="s">
        <v>4329</v>
      </c>
      <c r="L71" s="164"/>
      <c r="M71" s="165"/>
      <c r="N71" s="21" t="s">
        <v>22</v>
      </c>
      <c r="O71" s="164"/>
      <c r="P71" s="164"/>
      <c r="Q71" s="164"/>
      <c r="R71" s="164"/>
      <c r="S71" s="163" t="str">
        <f>IFERROR(__xludf.DUMMYFUNCTION("""COMPUTED_VALUE"""),"")</f>
        <v/>
      </c>
      <c r="T71" s="164"/>
      <c r="U71" s="164"/>
      <c r="V71" s="164"/>
      <c r="W71" s="164"/>
      <c r="X71" s="164"/>
    </row>
    <row r="72">
      <c r="A72" s="175">
        <v>45892.0</v>
      </c>
      <c r="B72" s="176" t="s">
        <v>1523</v>
      </c>
      <c r="C72" s="177" t="s">
        <v>1118</v>
      </c>
      <c r="D72" s="184" t="s">
        <v>6712</v>
      </c>
      <c r="E72" s="177"/>
      <c r="F72" s="177" t="s">
        <v>6717</v>
      </c>
      <c r="G72" s="179" t="s">
        <v>6707</v>
      </c>
      <c r="H72" s="180" t="s">
        <v>1523</v>
      </c>
      <c r="I72" s="163">
        <f>IFERROR(__xludf.DUMMYFUNCTION("""COMPUTED_VALUE"""),14.99)</f>
        <v>14.99</v>
      </c>
      <c r="J72" s="177" t="s">
        <v>6735</v>
      </c>
      <c r="K72" s="164" t="s">
        <v>6770</v>
      </c>
      <c r="L72" s="164"/>
      <c r="M72" s="165"/>
      <c r="N72" s="21" t="s">
        <v>22</v>
      </c>
      <c r="O72" s="164"/>
      <c r="P72" s="164"/>
      <c r="Q72" s="177" t="s">
        <v>1524</v>
      </c>
      <c r="R72" s="164"/>
      <c r="S72" s="163">
        <f>IFERROR(__xludf.DUMMYFUNCTION("""COMPUTED_VALUE"""),0.0)</f>
        <v>0</v>
      </c>
      <c r="T72" s="164"/>
      <c r="U72" s="164"/>
      <c r="V72" s="164"/>
      <c r="W72" s="164"/>
      <c r="X72" s="164"/>
    </row>
    <row r="73">
      <c r="A73" s="175">
        <v>45892.0</v>
      </c>
      <c r="B73" s="176" t="s">
        <v>1523</v>
      </c>
      <c r="C73" s="177" t="s">
        <v>6716</v>
      </c>
      <c r="D73" s="184" t="s">
        <v>6712</v>
      </c>
      <c r="E73" s="177"/>
      <c r="F73" s="177" t="s">
        <v>6717</v>
      </c>
      <c r="G73" s="179" t="s">
        <v>6720</v>
      </c>
      <c r="H73" s="180" t="s">
        <v>1534</v>
      </c>
      <c r="I73" s="163">
        <f>IFERROR(__xludf.DUMMYFUNCTION("""COMPUTED_VALUE"""),14.99)</f>
        <v>14.99</v>
      </c>
      <c r="J73" s="177" t="s">
        <v>6737</v>
      </c>
      <c r="K73" s="164" t="s">
        <v>4331</v>
      </c>
      <c r="L73" s="164"/>
      <c r="M73" s="165"/>
      <c r="N73" s="21" t="s">
        <v>22</v>
      </c>
      <c r="O73" s="164"/>
      <c r="P73" s="164"/>
      <c r="Q73" s="177" t="s">
        <v>1524</v>
      </c>
      <c r="R73" s="164"/>
      <c r="S73" s="163">
        <f>IFERROR(__xludf.DUMMYFUNCTION("""COMPUTED_VALUE"""),0.0)</f>
        <v>0</v>
      </c>
      <c r="T73" s="164"/>
      <c r="U73" s="164"/>
      <c r="V73" s="164"/>
      <c r="W73" s="164"/>
      <c r="X73" s="164"/>
    </row>
    <row r="74">
      <c r="A74" s="175"/>
      <c r="B74" s="176"/>
      <c r="C74" s="177"/>
      <c r="D74" s="184"/>
      <c r="E74" s="177"/>
      <c r="F74" s="177"/>
      <c r="G74" s="179"/>
      <c r="H74" s="180" t="s">
        <v>2918</v>
      </c>
      <c r="I74" s="163" t="str">
        <f>IFERROR(__xludf.DUMMYFUNCTION("""COMPUTED_VALUE"""),"")</f>
        <v/>
      </c>
      <c r="J74" s="177"/>
      <c r="K74" s="164"/>
      <c r="L74" s="164"/>
      <c r="M74" s="165"/>
      <c r="N74" s="21"/>
      <c r="O74" s="164"/>
      <c r="P74" s="164"/>
      <c r="Q74" s="177" t="s">
        <v>1537</v>
      </c>
      <c r="R74" s="164"/>
      <c r="S74" s="163" t="str">
        <f>IFERROR(__xludf.DUMMYFUNCTION("""COMPUTED_VALUE"""),"")</f>
        <v/>
      </c>
      <c r="T74" s="164"/>
      <c r="U74" s="164"/>
      <c r="V74" s="164"/>
      <c r="W74" s="164"/>
      <c r="X74" s="164"/>
    </row>
    <row r="75">
      <c r="A75" s="175">
        <v>45893.0</v>
      </c>
      <c r="B75" s="176" t="s">
        <v>1536</v>
      </c>
      <c r="C75" s="177" t="s">
        <v>6716</v>
      </c>
      <c r="D75" s="184" t="s">
        <v>6712</v>
      </c>
      <c r="E75" s="177"/>
      <c r="F75" s="177" t="s">
        <v>6706</v>
      </c>
      <c r="G75" s="179" t="s">
        <v>6724</v>
      </c>
      <c r="H75" s="180" t="s">
        <v>1539</v>
      </c>
      <c r="I75" s="163">
        <f>IFERROR(__xludf.DUMMYFUNCTION("""COMPUTED_VALUE"""),2.49875)</f>
        <v>2.49875</v>
      </c>
      <c r="J75" s="177" t="s">
        <v>6737</v>
      </c>
      <c r="K75" s="164" t="s">
        <v>4334</v>
      </c>
      <c r="L75" s="164"/>
      <c r="M75" s="165"/>
      <c r="N75" s="21" t="s">
        <v>22</v>
      </c>
      <c r="O75" s="164"/>
      <c r="P75" s="164"/>
      <c r="Q75" s="177" t="s">
        <v>1537</v>
      </c>
      <c r="R75" s="164"/>
      <c r="S75" s="163">
        <f>IFERROR(__xludf.DUMMYFUNCTION("""COMPUTED_VALUE"""),3.75)</f>
        <v>3.75</v>
      </c>
      <c r="T75" s="164"/>
      <c r="U75" s="164"/>
      <c r="V75" s="164"/>
      <c r="W75" s="164"/>
      <c r="X75" s="164"/>
    </row>
    <row r="76">
      <c r="A76" s="175"/>
      <c r="B76" s="176"/>
      <c r="C76" s="177"/>
      <c r="D76" s="184"/>
      <c r="E76" s="177"/>
      <c r="F76" s="177"/>
      <c r="G76" s="179"/>
      <c r="H76" s="180"/>
      <c r="I76" s="163" t="str">
        <f>IFERROR(__xludf.DUMMYFUNCTION("""COMPUTED_VALUE"""),"")</f>
        <v/>
      </c>
      <c r="J76" s="177"/>
      <c r="K76" s="164"/>
      <c r="L76" s="164"/>
      <c r="M76" s="165"/>
      <c r="N76" s="21"/>
      <c r="O76" s="164"/>
      <c r="P76" s="164"/>
      <c r="Q76" s="164"/>
      <c r="R76" s="164"/>
      <c r="S76" s="163" t="str">
        <f>IFERROR(__xludf.DUMMYFUNCTION("""COMPUTED_VALUE"""),"")</f>
        <v/>
      </c>
      <c r="T76" s="164"/>
      <c r="U76" s="164"/>
      <c r="V76" s="164"/>
      <c r="W76" s="164"/>
      <c r="X76" s="164"/>
    </row>
    <row r="77">
      <c r="A77" s="175">
        <v>45893.0</v>
      </c>
      <c r="B77" s="176" t="s">
        <v>1613</v>
      </c>
      <c r="C77" s="177" t="s">
        <v>1049</v>
      </c>
      <c r="D77" s="184" t="s">
        <v>6712</v>
      </c>
      <c r="E77" s="177"/>
      <c r="F77" s="177" t="s">
        <v>6730</v>
      </c>
      <c r="G77" s="179" t="s">
        <v>6720</v>
      </c>
      <c r="H77" s="180" t="s">
        <v>1643</v>
      </c>
      <c r="I77" s="163">
        <f>IFERROR(__xludf.DUMMYFUNCTION("""COMPUTED_VALUE"""),0.0)</f>
        <v>0</v>
      </c>
      <c r="J77" s="177" t="s">
        <v>6705</v>
      </c>
      <c r="K77" s="164" t="s">
        <v>4336</v>
      </c>
      <c r="L77" s="164"/>
      <c r="M77" s="165"/>
      <c r="N77" s="21" t="s">
        <v>22</v>
      </c>
      <c r="O77" s="164"/>
      <c r="P77" s="164"/>
      <c r="Q77" s="177" t="s">
        <v>1542</v>
      </c>
      <c r="R77" s="164"/>
      <c r="S77" s="163"/>
      <c r="T77" s="164"/>
      <c r="U77" s="164"/>
      <c r="V77" s="164"/>
      <c r="W77" s="164"/>
      <c r="X77" s="164"/>
    </row>
    <row r="78">
      <c r="A78" s="175">
        <v>45893.0</v>
      </c>
      <c r="B78" s="176" t="s">
        <v>1613</v>
      </c>
      <c r="C78" s="177" t="s">
        <v>1049</v>
      </c>
      <c r="D78" s="184" t="s">
        <v>6712</v>
      </c>
      <c r="E78" s="177"/>
      <c r="F78" s="177" t="s">
        <v>6714</v>
      </c>
      <c r="G78" s="179" t="s">
        <v>6721</v>
      </c>
      <c r="H78" s="180" t="s">
        <v>1541</v>
      </c>
      <c r="I78" s="163">
        <f>IFERROR(__xludf.DUMMYFUNCTION("""COMPUTED_VALUE"""),0.0)</f>
        <v>0</v>
      </c>
      <c r="J78" s="177" t="s">
        <v>6705</v>
      </c>
      <c r="K78" s="164" t="s">
        <v>4338</v>
      </c>
      <c r="L78" s="164"/>
      <c r="M78" s="165"/>
      <c r="N78" s="21" t="s">
        <v>22</v>
      </c>
      <c r="O78" s="164"/>
      <c r="P78" s="164"/>
      <c r="Q78" s="177" t="s">
        <v>1542</v>
      </c>
      <c r="R78" s="164"/>
      <c r="S78" s="163"/>
      <c r="T78" s="164"/>
      <c r="U78" s="164"/>
      <c r="V78" s="164"/>
      <c r="W78" s="164"/>
      <c r="X78" s="164"/>
    </row>
    <row r="79">
      <c r="A79" s="175">
        <v>45893.0</v>
      </c>
      <c r="B79" s="176" t="s">
        <v>3079</v>
      </c>
      <c r="C79" s="177" t="s">
        <v>1118</v>
      </c>
      <c r="D79" s="184" t="s">
        <v>6712</v>
      </c>
      <c r="E79" s="177"/>
      <c r="F79" s="177" t="s">
        <v>6731</v>
      </c>
      <c r="G79" s="179" t="s">
        <v>6707</v>
      </c>
      <c r="H79" s="180" t="s">
        <v>3079</v>
      </c>
      <c r="I79" s="163">
        <f>IFERROR(__xludf.DUMMYFUNCTION("""COMPUTED_VALUE"""),3.3316666666666666)</f>
        <v>3.331666667</v>
      </c>
      <c r="J79" s="177" t="s">
        <v>6705</v>
      </c>
      <c r="K79" s="164" t="s">
        <v>6771</v>
      </c>
      <c r="L79" s="164"/>
      <c r="M79" s="165"/>
      <c r="N79" s="21" t="s">
        <v>22</v>
      </c>
      <c r="O79" s="164"/>
      <c r="P79" s="164"/>
      <c r="Q79" s="177" t="s">
        <v>1545</v>
      </c>
      <c r="R79" s="164"/>
      <c r="S79" s="163">
        <f>IFERROR(__xludf.DUMMYFUNCTION("""COMPUTED_VALUE"""),2.8316666666666666)</f>
        <v>2.831666667</v>
      </c>
      <c r="T79" s="164"/>
      <c r="U79" s="164"/>
      <c r="V79" s="164"/>
      <c r="W79" s="164"/>
      <c r="X79" s="164"/>
    </row>
    <row r="80">
      <c r="A80" s="175">
        <v>45893.0</v>
      </c>
      <c r="B80" s="176" t="s">
        <v>3079</v>
      </c>
      <c r="C80" s="177" t="s">
        <v>6716</v>
      </c>
      <c r="D80" s="184" t="s">
        <v>6712</v>
      </c>
      <c r="E80" s="177"/>
      <c r="F80" s="177" t="s">
        <v>6706</v>
      </c>
      <c r="G80" s="179" t="s">
        <v>6720</v>
      </c>
      <c r="H80" s="180" t="s">
        <v>2157</v>
      </c>
      <c r="I80" s="163">
        <f>IFERROR(__xludf.DUMMYFUNCTION("""COMPUTED_VALUE"""),3.3316666666666666)</f>
        <v>3.331666667</v>
      </c>
      <c r="J80" s="177" t="s">
        <v>6735</v>
      </c>
      <c r="K80" s="164" t="s">
        <v>4340</v>
      </c>
      <c r="L80" s="164"/>
      <c r="M80" s="165"/>
      <c r="N80" s="21" t="s">
        <v>22</v>
      </c>
      <c r="O80" s="164"/>
      <c r="P80" s="164"/>
      <c r="Q80" s="177" t="s">
        <v>1545</v>
      </c>
      <c r="R80" s="164"/>
      <c r="S80" s="163">
        <f>IFERROR(__xludf.DUMMYFUNCTION("""COMPUTED_VALUE"""),2.8316666666666666)</f>
        <v>2.831666667</v>
      </c>
      <c r="T80" s="164"/>
      <c r="U80" s="164"/>
      <c r="V80" s="164"/>
      <c r="W80" s="164"/>
      <c r="X80" s="164"/>
    </row>
    <row r="81">
      <c r="A81" s="175">
        <v>45893.0</v>
      </c>
      <c r="B81" s="176" t="s">
        <v>3079</v>
      </c>
      <c r="C81" s="177" t="s">
        <v>6716</v>
      </c>
      <c r="D81" s="184" t="s">
        <v>6712</v>
      </c>
      <c r="E81" s="177"/>
      <c r="F81" s="177" t="s">
        <v>6706</v>
      </c>
      <c r="G81" s="179" t="s">
        <v>6721</v>
      </c>
      <c r="H81" s="180" t="s">
        <v>1645</v>
      </c>
      <c r="I81" s="163">
        <f>IFERROR(__xludf.DUMMYFUNCTION("""COMPUTED_VALUE"""),3.3316666666666666)</f>
        <v>3.331666667</v>
      </c>
      <c r="J81" s="177" t="s">
        <v>6739</v>
      </c>
      <c r="K81" s="164" t="s">
        <v>4342</v>
      </c>
      <c r="L81" s="164"/>
      <c r="M81" s="165"/>
      <c r="N81" s="21" t="s">
        <v>22</v>
      </c>
      <c r="O81" s="164"/>
      <c r="P81" s="164"/>
      <c r="Q81" s="177" t="s">
        <v>1545</v>
      </c>
      <c r="R81" s="164"/>
      <c r="S81" s="163">
        <f>IFERROR(__xludf.DUMMYFUNCTION("""COMPUTED_VALUE"""),2.8316666666666666)</f>
        <v>2.831666667</v>
      </c>
      <c r="T81" s="164"/>
      <c r="U81" s="164"/>
      <c r="V81" s="164"/>
      <c r="W81" s="164"/>
      <c r="X81" s="164"/>
    </row>
    <row r="82">
      <c r="A82" s="175">
        <v>45893.0</v>
      </c>
      <c r="B82" s="176" t="s">
        <v>3079</v>
      </c>
      <c r="C82" s="177" t="s">
        <v>6716</v>
      </c>
      <c r="D82" s="184" t="s">
        <v>6712</v>
      </c>
      <c r="E82" s="177"/>
      <c r="F82" s="177" t="s">
        <v>6706</v>
      </c>
      <c r="G82" s="179" t="s">
        <v>6722</v>
      </c>
      <c r="H82" s="180" t="s">
        <v>1544</v>
      </c>
      <c r="I82" s="163">
        <f>IFERROR(__xludf.DUMMYFUNCTION("""COMPUTED_VALUE"""),3.3316666666666666)</f>
        <v>3.331666667</v>
      </c>
      <c r="J82" s="177" t="s">
        <v>6723</v>
      </c>
      <c r="K82" s="164" t="s">
        <v>4344</v>
      </c>
      <c r="L82" s="164"/>
      <c r="M82" s="165"/>
      <c r="N82" s="21" t="s">
        <v>22</v>
      </c>
      <c r="O82" s="164"/>
      <c r="P82" s="164"/>
      <c r="Q82" s="177" t="s">
        <v>1545</v>
      </c>
      <c r="R82" s="164"/>
      <c r="S82" s="163">
        <f>IFERROR(__xludf.DUMMYFUNCTION("""COMPUTED_VALUE"""),2.8316666666666666)</f>
        <v>2.831666667</v>
      </c>
      <c r="T82" s="164"/>
      <c r="U82" s="164"/>
      <c r="V82" s="164"/>
      <c r="W82" s="164"/>
      <c r="X82" s="164"/>
    </row>
    <row r="83">
      <c r="A83" s="175">
        <v>45893.0</v>
      </c>
      <c r="B83" s="176" t="s">
        <v>3079</v>
      </c>
      <c r="C83" s="177" t="s">
        <v>6716</v>
      </c>
      <c r="D83" s="184" t="s">
        <v>6712</v>
      </c>
      <c r="E83" s="177"/>
      <c r="F83" s="177" t="s">
        <v>1112</v>
      </c>
      <c r="G83" s="179" t="s">
        <v>6724</v>
      </c>
      <c r="H83" s="180" t="s">
        <v>2936</v>
      </c>
      <c r="I83" s="163">
        <f>IFERROR(__xludf.DUMMYFUNCTION("""COMPUTED_VALUE"""),3.3316666666666666)</f>
        <v>3.331666667</v>
      </c>
      <c r="J83" s="177" t="s">
        <v>6708</v>
      </c>
      <c r="K83" s="164" t="s">
        <v>4346</v>
      </c>
      <c r="L83" s="164"/>
      <c r="M83" s="165"/>
      <c r="N83" s="21" t="s">
        <v>22</v>
      </c>
      <c r="O83" s="164"/>
      <c r="P83" s="164"/>
      <c r="Q83" s="177" t="s">
        <v>1545</v>
      </c>
      <c r="R83" s="164"/>
      <c r="S83" s="163">
        <f>IFERROR(__xludf.DUMMYFUNCTION("""COMPUTED_VALUE"""),2.8316666666666666)</f>
        <v>2.831666667</v>
      </c>
      <c r="T83" s="164"/>
      <c r="U83" s="164"/>
      <c r="V83" s="164"/>
      <c r="W83" s="164"/>
      <c r="X83" s="164"/>
    </row>
    <row r="84">
      <c r="A84" s="175">
        <v>45893.0</v>
      </c>
      <c r="B84" s="176" t="s">
        <v>3079</v>
      </c>
      <c r="C84" s="177" t="s">
        <v>6716</v>
      </c>
      <c r="D84" s="184" t="s">
        <v>6712</v>
      </c>
      <c r="E84" s="177"/>
      <c r="F84" s="177" t="s">
        <v>6730</v>
      </c>
      <c r="G84" s="179" t="s">
        <v>6726</v>
      </c>
      <c r="H84" s="180" t="s">
        <v>2939</v>
      </c>
      <c r="I84" s="163">
        <f>IFERROR(__xludf.DUMMYFUNCTION("""COMPUTED_VALUE"""),3.3316666666666666)</f>
        <v>3.331666667</v>
      </c>
      <c r="J84" s="177" t="s">
        <v>6739</v>
      </c>
      <c r="K84" s="164" t="s">
        <v>4348</v>
      </c>
      <c r="L84" s="164"/>
      <c r="M84" s="165"/>
      <c r="N84" s="21" t="s">
        <v>22</v>
      </c>
      <c r="O84" s="164"/>
      <c r="P84" s="164"/>
      <c r="Q84" s="177" t="s">
        <v>1545</v>
      </c>
      <c r="R84" s="164"/>
      <c r="S84" s="163">
        <f>IFERROR(__xludf.DUMMYFUNCTION("""COMPUTED_VALUE"""),2.8316666666666666)</f>
        <v>2.831666667</v>
      </c>
      <c r="T84" s="164"/>
      <c r="U84" s="164"/>
      <c r="V84" s="164"/>
      <c r="W84" s="164"/>
      <c r="X84" s="164"/>
    </row>
    <row r="85">
      <c r="A85" s="175">
        <v>45893.0</v>
      </c>
      <c r="B85" s="176" t="s">
        <v>6772</v>
      </c>
      <c r="C85" s="177" t="s">
        <v>6773</v>
      </c>
      <c r="D85" s="184" t="s">
        <v>6712</v>
      </c>
      <c r="E85" s="177"/>
      <c r="F85" s="177" t="s">
        <v>6749</v>
      </c>
      <c r="G85" s="179" t="s">
        <v>6774</v>
      </c>
      <c r="H85" s="180" t="s">
        <v>1547</v>
      </c>
      <c r="I85" s="163">
        <f>IFERROR(__xludf.DUMMYFUNCTION("""COMPUTED_VALUE"""),3.3316666666666666)</f>
        <v>3.331666667</v>
      </c>
      <c r="J85" s="177" t="s">
        <v>6750</v>
      </c>
      <c r="K85" s="164" t="s">
        <v>4350</v>
      </c>
      <c r="L85" s="164"/>
      <c r="M85" s="165"/>
      <c r="N85" s="21" t="s">
        <v>22</v>
      </c>
      <c r="O85" s="164"/>
      <c r="P85" s="164"/>
      <c r="Q85" s="177" t="s">
        <v>1545</v>
      </c>
      <c r="R85" s="164"/>
      <c r="S85" s="163">
        <f>IFERROR(__xludf.DUMMYFUNCTION("""COMPUTED_VALUE"""),2.8316666666666666)</f>
        <v>2.831666667</v>
      </c>
      <c r="T85" s="164"/>
      <c r="U85" s="164"/>
      <c r="V85" s="164"/>
      <c r="W85" s="164"/>
      <c r="X85" s="164"/>
    </row>
    <row r="86">
      <c r="A86" s="175">
        <v>45893.0</v>
      </c>
      <c r="B86" s="176" t="s">
        <v>6772</v>
      </c>
      <c r="C86" s="177" t="s">
        <v>6773</v>
      </c>
      <c r="D86" s="184" t="s">
        <v>6712</v>
      </c>
      <c r="E86" s="177"/>
      <c r="F86" s="177" t="s">
        <v>6749</v>
      </c>
      <c r="G86" s="179" t="s">
        <v>6704</v>
      </c>
      <c r="H86" s="180" t="s">
        <v>1549</v>
      </c>
      <c r="I86" s="163">
        <f>IFERROR(__xludf.DUMMYFUNCTION("""COMPUTED_VALUE"""),3.3316666666666666)</f>
        <v>3.331666667</v>
      </c>
      <c r="J86" s="177" t="s">
        <v>6750</v>
      </c>
      <c r="K86" s="164" t="s">
        <v>4352</v>
      </c>
      <c r="L86" s="164"/>
      <c r="M86" s="165"/>
      <c r="N86" s="21" t="s">
        <v>22</v>
      </c>
      <c r="O86" s="164"/>
      <c r="P86" s="164"/>
      <c r="Q86" s="177" t="s">
        <v>1545</v>
      </c>
      <c r="R86" s="164"/>
      <c r="S86" s="163">
        <f>IFERROR(__xludf.DUMMYFUNCTION("""COMPUTED_VALUE"""),2.8316666666666666)</f>
        <v>2.831666667</v>
      </c>
      <c r="T86" s="164"/>
      <c r="U86" s="164"/>
      <c r="V86" s="164"/>
      <c r="W86" s="164"/>
      <c r="X86" s="164"/>
    </row>
    <row r="87">
      <c r="A87" s="175">
        <v>45894.0</v>
      </c>
      <c r="B87" s="176" t="s">
        <v>1563</v>
      </c>
      <c r="C87" s="177" t="s">
        <v>1118</v>
      </c>
      <c r="D87" s="184" t="s">
        <v>6712</v>
      </c>
      <c r="E87" s="177"/>
      <c r="F87" s="177" t="s">
        <v>6717</v>
      </c>
      <c r="G87" s="179" t="s">
        <v>6707</v>
      </c>
      <c r="H87" s="180" t="s">
        <v>1563</v>
      </c>
      <c r="I87" s="163">
        <f>IFERROR(__xludf.DUMMYFUNCTION("""COMPUTED_VALUE"""),0.0)</f>
        <v>0</v>
      </c>
      <c r="J87" s="177" t="s">
        <v>6705</v>
      </c>
      <c r="K87" s="164" t="s">
        <v>6775</v>
      </c>
      <c r="L87" s="164"/>
      <c r="M87" s="165"/>
      <c r="N87" s="21" t="s">
        <v>22</v>
      </c>
      <c r="O87" s="164"/>
      <c r="P87" s="164"/>
      <c r="Q87" s="177" t="s">
        <v>1564</v>
      </c>
      <c r="R87" s="164"/>
      <c r="S87" s="163">
        <f>IFERROR(__xludf.DUMMYFUNCTION("""COMPUTED_VALUE"""),0.0)</f>
        <v>0</v>
      </c>
      <c r="T87" s="164"/>
      <c r="U87" s="164"/>
      <c r="V87" s="164"/>
      <c r="W87" s="164"/>
      <c r="X87" s="164"/>
    </row>
    <row r="88">
      <c r="A88" s="175">
        <v>45894.0</v>
      </c>
      <c r="B88" s="176" t="s">
        <v>1563</v>
      </c>
      <c r="C88" s="177" t="s">
        <v>6716</v>
      </c>
      <c r="D88" s="184" t="s">
        <v>6712</v>
      </c>
      <c r="E88" s="177"/>
      <c r="F88" s="177" t="s">
        <v>6717</v>
      </c>
      <c r="G88" s="179" t="s">
        <v>6720</v>
      </c>
      <c r="H88" s="180" t="s">
        <v>1566</v>
      </c>
      <c r="I88" s="163">
        <f>IFERROR(__xludf.DUMMYFUNCTION("""COMPUTED_VALUE"""),0.0)</f>
        <v>0</v>
      </c>
      <c r="J88" s="177" t="s">
        <v>6705</v>
      </c>
      <c r="K88" s="164" t="s">
        <v>4354</v>
      </c>
      <c r="L88" s="164"/>
      <c r="M88" s="165"/>
      <c r="N88" s="21" t="s">
        <v>22</v>
      </c>
      <c r="O88" s="164"/>
      <c r="P88" s="164"/>
      <c r="Q88" s="177" t="s">
        <v>1564</v>
      </c>
      <c r="R88" s="164"/>
      <c r="S88" s="163">
        <f>IFERROR(__xludf.DUMMYFUNCTION("""COMPUTED_VALUE"""),0.0)</f>
        <v>0</v>
      </c>
      <c r="T88" s="164"/>
      <c r="U88" s="164"/>
      <c r="V88" s="164"/>
      <c r="W88" s="164"/>
      <c r="X88" s="164"/>
    </row>
    <row r="89">
      <c r="A89" s="175">
        <v>45894.0</v>
      </c>
      <c r="B89" s="176" t="s">
        <v>1563</v>
      </c>
      <c r="C89" s="177" t="s">
        <v>6716</v>
      </c>
      <c r="D89" s="184" t="s">
        <v>6712</v>
      </c>
      <c r="E89" s="177"/>
      <c r="F89" s="177" t="s">
        <v>6776</v>
      </c>
      <c r="G89" s="179" t="s">
        <v>6721</v>
      </c>
      <c r="H89" s="180" t="s">
        <v>3088</v>
      </c>
      <c r="I89" s="163">
        <f>IFERROR(__xludf.DUMMYFUNCTION("""COMPUTED_VALUE"""),0.0)</f>
        <v>0</v>
      </c>
      <c r="J89" s="177" t="s">
        <v>6705</v>
      </c>
      <c r="K89" s="164" t="s">
        <v>4356</v>
      </c>
      <c r="L89" s="164"/>
      <c r="M89" s="165"/>
      <c r="N89" s="21" t="s">
        <v>22</v>
      </c>
      <c r="O89" s="164"/>
      <c r="P89" s="164"/>
      <c r="Q89" s="177" t="s">
        <v>1564</v>
      </c>
      <c r="R89" s="164"/>
      <c r="S89" s="163">
        <f>IFERROR(__xludf.DUMMYFUNCTION("""COMPUTED_VALUE"""),0.0)</f>
        <v>0</v>
      </c>
      <c r="T89" s="164"/>
      <c r="U89" s="164"/>
      <c r="V89" s="164"/>
      <c r="W89" s="164"/>
      <c r="X89" s="164"/>
    </row>
    <row r="90">
      <c r="A90" s="175">
        <v>45896.0</v>
      </c>
      <c r="B90" s="176" t="s">
        <v>3097</v>
      </c>
      <c r="C90" s="177" t="s">
        <v>1118</v>
      </c>
      <c r="D90" s="184" t="s">
        <v>6712</v>
      </c>
      <c r="E90" s="177"/>
      <c r="F90" s="177" t="s">
        <v>6777</v>
      </c>
      <c r="G90" s="179" t="s">
        <v>6707</v>
      </c>
      <c r="H90" s="180" t="s">
        <v>3097</v>
      </c>
      <c r="I90" s="163">
        <f>IFERROR(__xludf.DUMMYFUNCTION("""COMPUTED_VALUE"""),2.1983333333333333)</f>
        <v>2.198333333</v>
      </c>
      <c r="J90" s="177" t="s">
        <v>6705</v>
      </c>
      <c r="K90" s="164" t="s">
        <v>6778</v>
      </c>
      <c r="L90" s="164"/>
      <c r="M90" s="165"/>
      <c r="N90" s="21" t="s">
        <v>22</v>
      </c>
      <c r="O90" s="164"/>
      <c r="P90" s="164"/>
      <c r="Q90" s="177" t="s">
        <v>1569</v>
      </c>
      <c r="R90" s="164"/>
      <c r="S90" s="163">
        <f>IFERROR(__xludf.DUMMYFUNCTION("""COMPUTED_VALUE"""),0.0)</f>
        <v>0</v>
      </c>
      <c r="T90" s="164"/>
      <c r="U90" s="164"/>
      <c r="V90" s="164"/>
      <c r="W90" s="164"/>
      <c r="X90" s="164"/>
    </row>
    <row r="91">
      <c r="A91" s="175">
        <v>45896.0</v>
      </c>
      <c r="B91" s="176" t="s">
        <v>3097</v>
      </c>
      <c r="C91" s="177" t="s">
        <v>6716</v>
      </c>
      <c r="D91" s="184" t="s">
        <v>6712</v>
      </c>
      <c r="E91" s="177"/>
      <c r="F91" s="177" t="s">
        <v>6706</v>
      </c>
      <c r="G91" s="179" t="s">
        <v>6720</v>
      </c>
      <c r="H91" s="180" t="s">
        <v>3391</v>
      </c>
      <c r="I91" s="163">
        <f>IFERROR(__xludf.DUMMYFUNCTION("""COMPUTED_VALUE"""),2.1983333333333333)</f>
        <v>2.198333333</v>
      </c>
      <c r="J91" s="177" t="s">
        <v>6723</v>
      </c>
      <c r="K91" s="164" t="s">
        <v>4358</v>
      </c>
      <c r="L91" s="164"/>
      <c r="M91" s="165"/>
      <c r="N91" s="21" t="s">
        <v>22</v>
      </c>
      <c r="O91" s="164"/>
      <c r="P91" s="164"/>
      <c r="Q91" s="177" t="s">
        <v>1569</v>
      </c>
      <c r="R91" s="164"/>
      <c r="S91" s="163">
        <f>IFERROR(__xludf.DUMMYFUNCTION("""COMPUTED_VALUE"""),0.0)</f>
        <v>0</v>
      </c>
      <c r="T91" s="164"/>
      <c r="U91" s="164"/>
      <c r="V91" s="164"/>
      <c r="W91" s="164"/>
      <c r="X91" s="164"/>
    </row>
    <row r="92">
      <c r="A92" s="175">
        <v>45896.0</v>
      </c>
      <c r="B92" s="176" t="s">
        <v>3097</v>
      </c>
      <c r="C92" s="177" t="s">
        <v>6716</v>
      </c>
      <c r="D92" s="184" t="s">
        <v>6712</v>
      </c>
      <c r="E92" s="177"/>
      <c r="F92" s="177" t="s">
        <v>6706</v>
      </c>
      <c r="G92" s="179" t="s">
        <v>6721</v>
      </c>
      <c r="H92" s="180" t="s">
        <v>3441</v>
      </c>
      <c r="I92" s="163">
        <f>IFERROR(__xludf.DUMMYFUNCTION("""COMPUTED_VALUE"""),2.1983333333333333)</f>
        <v>2.198333333</v>
      </c>
      <c r="J92" s="177" t="s">
        <v>6727</v>
      </c>
      <c r="K92" s="164" t="s">
        <v>4360</v>
      </c>
      <c r="L92" s="164"/>
      <c r="M92" s="165"/>
      <c r="N92" s="21" t="s">
        <v>22</v>
      </c>
      <c r="O92" s="164"/>
      <c r="P92" s="164"/>
      <c r="Q92" s="177" t="s">
        <v>1569</v>
      </c>
      <c r="R92" s="164"/>
      <c r="S92" s="163">
        <f>IFERROR(__xludf.DUMMYFUNCTION("""COMPUTED_VALUE"""),0.0)</f>
        <v>0</v>
      </c>
      <c r="T92" s="164"/>
      <c r="U92" s="164"/>
      <c r="V92" s="164"/>
      <c r="W92" s="164"/>
      <c r="X92" s="164"/>
    </row>
    <row r="93">
      <c r="A93" s="175">
        <v>45896.0</v>
      </c>
      <c r="B93" s="176" t="s">
        <v>3097</v>
      </c>
      <c r="C93" s="177" t="s">
        <v>6716</v>
      </c>
      <c r="D93" s="184" t="s">
        <v>6712</v>
      </c>
      <c r="E93" s="177"/>
      <c r="F93" s="177" t="s">
        <v>6706</v>
      </c>
      <c r="G93" s="179" t="s">
        <v>6722</v>
      </c>
      <c r="H93" s="180" t="s">
        <v>2459</v>
      </c>
      <c r="I93" s="163">
        <f>IFERROR(__xludf.DUMMYFUNCTION("""COMPUTED_VALUE"""),2.1983333333333333)</f>
        <v>2.198333333</v>
      </c>
      <c r="J93" s="177" t="s">
        <v>6727</v>
      </c>
      <c r="K93" s="164" t="s">
        <v>4362</v>
      </c>
      <c r="L93" s="164"/>
      <c r="M93" s="165"/>
      <c r="N93" s="21" t="s">
        <v>22</v>
      </c>
      <c r="O93" s="164"/>
      <c r="P93" s="164"/>
      <c r="Q93" s="177" t="s">
        <v>1569</v>
      </c>
      <c r="R93" s="164"/>
      <c r="S93" s="163">
        <f>IFERROR(__xludf.DUMMYFUNCTION("""COMPUTED_VALUE"""),0.0)</f>
        <v>0</v>
      </c>
      <c r="T93" s="164"/>
      <c r="U93" s="164"/>
      <c r="V93" s="164"/>
      <c r="W93" s="164"/>
      <c r="X93" s="164"/>
    </row>
    <row r="94">
      <c r="A94" s="175">
        <v>45896.0</v>
      </c>
      <c r="B94" s="176" t="s">
        <v>3097</v>
      </c>
      <c r="C94" s="177" t="s">
        <v>6716</v>
      </c>
      <c r="D94" s="184" t="s">
        <v>6712</v>
      </c>
      <c r="E94" s="177"/>
      <c r="F94" s="177" t="s">
        <v>850</v>
      </c>
      <c r="G94" s="179" t="s">
        <v>6724</v>
      </c>
      <c r="H94" s="180" t="s">
        <v>1573</v>
      </c>
      <c r="I94" s="163">
        <f>IFERROR(__xludf.DUMMYFUNCTION("""COMPUTED_VALUE"""),2.1983333333333333)</f>
        <v>2.198333333</v>
      </c>
      <c r="J94" s="177" t="s">
        <v>6750</v>
      </c>
      <c r="K94" s="164" t="s">
        <v>4364</v>
      </c>
      <c r="L94" s="164"/>
      <c r="M94" s="165"/>
      <c r="N94" s="21" t="s">
        <v>22</v>
      </c>
      <c r="O94" s="164"/>
      <c r="P94" s="164"/>
      <c r="Q94" s="177" t="s">
        <v>1569</v>
      </c>
      <c r="R94" s="164"/>
      <c r="S94" s="163">
        <f>IFERROR(__xludf.DUMMYFUNCTION("""COMPUTED_VALUE"""),0.0)</f>
        <v>0</v>
      </c>
      <c r="T94" s="164"/>
      <c r="U94" s="164"/>
      <c r="V94" s="164"/>
      <c r="W94" s="164"/>
      <c r="X94" s="164"/>
    </row>
    <row r="95">
      <c r="A95" s="175">
        <v>45896.0</v>
      </c>
      <c r="B95" s="176" t="s">
        <v>3097</v>
      </c>
      <c r="C95" s="177" t="s">
        <v>6716</v>
      </c>
      <c r="D95" s="184" t="s">
        <v>6712</v>
      </c>
      <c r="E95" s="177"/>
      <c r="F95" s="177" t="s">
        <v>850</v>
      </c>
      <c r="G95" s="179" t="s">
        <v>6726</v>
      </c>
      <c r="H95" s="180" t="s">
        <v>2027</v>
      </c>
      <c r="I95" s="163">
        <f>IFERROR(__xludf.DUMMYFUNCTION("""COMPUTED_VALUE"""),2.1983333333333333)</f>
        <v>2.198333333</v>
      </c>
      <c r="J95" s="177" t="s">
        <v>6750</v>
      </c>
      <c r="K95" s="164" t="s">
        <v>4366</v>
      </c>
      <c r="L95" s="164"/>
      <c r="M95" s="165"/>
      <c r="N95" s="21" t="s">
        <v>22</v>
      </c>
      <c r="O95" s="164"/>
      <c r="P95" s="164"/>
      <c r="Q95" s="177" t="s">
        <v>1569</v>
      </c>
      <c r="R95" s="164"/>
      <c r="S95" s="163">
        <f>IFERROR(__xludf.DUMMYFUNCTION("""COMPUTED_VALUE"""),0.0)</f>
        <v>0</v>
      </c>
      <c r="T95" s="164"/>
      <c r="U95" s="164"/>
      <c r="V95" s="164"/>
      <c r="W95" s="164"/>
      <c r="X95" s="164"/>
    </row>
    <row r="96">
      <c r="A96" s="175">
        <v>45896.0</v>
      </c>
      <c r="B96" s="176" t="s">
        <v>1568</v>
      </c>
      <c r="C96" s="177" t="s">
        <v>1118</v>
      </c>
      <c r="D96" s="184" t="s">
        <v>6712</v>
      </c>
      <c r="E96" s="177"/>
      <c r="F96" s="177" t="s">
        <v>6777</v>
      </c>
      <c r="G96" s="179" t="s">
        <v>6707</v>
      </c>
      <c r="H96" s="180" t="s">
        <v>1568</v>
      </c>
      <c r="I96" s="163">
        <f>IFERROR(__xludf.DUMMYFUNCTION("""COMPUTED_VALUE"""),4.3966666666666665)</f>
        <v>4.396666667</v>
      </c>
      <c r="J96" s="177" t="s">
        <v>6705</v>
      </c>
      <c r="K96" s="164" t="s">
        <v>6779</v>
      </c>
      <c r="L96" s="164"/>
      <c r="M96" s="165"/>
      <c r="N96" s="21" t="s">
        <v>22</v>
      </c>
      <c r="O96" s="164"/>
      <c r="P96" s="164"/>
      <c r="Q96" s="177" t="s">
        <v>1569</v>
      </c>
      <c r="R96" s="164"/>
      <c r="S96" s="163">
        <f>IFERROR(__xludf.DUMMYFUNCTION("""COMPUTED_VALUE"""),0.0)</f>
        <v>0</v>
      </c>
      <c r="T96" s="164"/>
      <c r="U96" s="164"/>
      <c r="V96" s="164"/>
      <c r="W96" s="164"/>
      <c r="X96" s="164"/>
    </row>
    <row r="97">
      <c r="A97" s="175">
        <v>45896.0</v>
      </c>
      <c r="B97" s="176" t="s">
        <v>1568</v>
      </c>
      <c r="C97" s="177" t="s">
        <v>6716</v>
      </c>
      <c r="D97" s="184" t="s">
        <v>6712</v>
      </c>
      <c r="E97" s="177"/>
      <c r="F97" s="177" t="s">
        <v>6776</v>
      </c>
      <c r="G97" s="179" t="s">
        <v>6720</v>
      </c>
      <c r="H97" s="180" t="s">
        <v>1924</v>
      </c>
      <c r="I97" s="163">
        <f>IFERROR(__xludf.DUMMYFUNCTION("""COMPUTED_VALUE"""),4.3966666666666665)</f>
        <v>4.396666667</v>
      </c>
      <c r="J97" s="177" t="s">
        <v>6708</v>
      </c>
      <c r="K97" s="164" t="s">
        <v>4368</v>
      </c>
      <c r="L97" s="164"/>
      <c r="M97" s="165"/>
      <c r="N97" s="21" t="s">
        <v>22</v>
      </c>
      <c r="O97" s="164"/>
      <c r="P97" s="164"/>
      <c r="Q97" s="177" t="s">
        <v>1569</v>
      </c>
      <c r="R97" s="164"/>
      <c r="S97" s="163">
        <f>IFERROR(__xludf.DUMMYFUNCTION("""COMPUTED_VALUE"""),0.0)</f>
        <v>0</v>
      </c>
      <c r="T97" s="164"/>
      <c r="U97" s="164"/>
      <c r="V97" s="164"/>
      <c r="W97" s="164"/>
      <c r="X97" s="164"/>
    </row>
    <row r="98">
      <c r="A98" s="175">
        <v>45896.0</v>
      </c>
      <c r="B98" s="176" t="s">
        <v>1568</v>
      </c>
      <c r="C98" s="177" t="s">
        <v>6716</v>
      </c>
      <c r="D98" s="184" t="s">
        <v>6712</v>
      </c>
      <c r="E98" s="177"/>
      <c r="F98" s="177" t="s">
        <v>6730</v>
      </c>
      <c r="G98" s="179" t="s">
        <v>6721</v>
      </c>
      <c r="H98" s="180" t="s">
        <v>1575</v>
      </c>
      <c r="I98" s="163">
        <f>IFERROR(__xludf.DUMMYFUNCTION("""COMPUTED_VALUE"""),4.3966666666666665)</f>
        <v>4.396666667</v>
      </c>
      <c r="J98" s="177" t="s">
        <v>6705</v>
      </c>
      <c r="K98" s="164" t="s">
        <v>4370</v>
      </c>
      <c r="L98" s="164"/>
      <c r="M98" s="165"/>
      <c r="N98" s="21" t="s">
        <v>22</v>
      </c>
      <c r="O98" s="164"/>
      <c r="P98" s="164"/>
      <c r="Q98" s="177" t="s">
        <v>1569</v>
      </c>
      <c r="R98" s="164"/>
      <c r="S98" s="163">
        <f>IFERROR(__xludf.DUMMYFUNCTION("""COMPUTED_VALUE"""),0.0)</f>
        <v>0</v>
      </c>
      <c r="T98" s="164"/>
      <c r="U98" s="164"/>
      <c r="V98" s="164"/>
      <c r="W98" s="164"/>
      <c r="X98" s="164"/>
    </row>
    <row r="99">
      <c r="A99" s="175">
        <v>45896.0</v>
      </c>
      <c r="B99" s="176" t="s">
        <v>3397</v>
      </c>
      <c r="C99" s="177" t="s">
        <v>6716</v>
      </c>
      <c r="D99" s="184" t="s">
        <v>6712</v>
      </c>
      <c r="E99" s="177"/>
      <c r="F99" s="177" t="s">
        <v>6717</v>
      </c>
      <c r="G99" s="179" t="s">
        <v>6722</v>
      </c>
      <c r="H99" s="180" t="s">
        <v>1577</v>
      </c>
      <c r="I99" s="163">
        <f>IFERROR(__xludf.DUMMYFUNCTION("""COMPUTED_VALUE"""),3.2975)</f>
        <v>3.2975</v>
      </c>
      <c r="J99" s="177" t="s">
        <v>6708</v>
      </c>
      <c r="K99" s="164" t="s">
        <v>4372</v>
      </c>
      <c r="L99" s="164"/>
      <c r="M99" s="165"/>
      <c r="N99" s="21" t="s">
        <v>22</v>
      </c>
      <c r="O99" s="164"/>
      <c r="P99" s="164"/>
      <c r="Q99" s="177" t="s">
        <v>1569</v>
      </c>
      <c r="R99" s="164"/>
      <c r="S99" s="163">
        <f>IFERROR(__xludf.DUMMYFUNCTION("""COMPUTED_VALUE"""),0.0)</f>
        <v>0</v>
      </c>
      <c r="T99" s="164"/>
      <c r="U99" s="164"/>
      <c r="V99" s="164"/>
      <c r="W99" s="164"/>
      <c r="X99" s="164"/>
    </row>
    <row r="100">
      <c r="A100" s="175">
        <v>45896.0</v>
      </c>
      <c r="B100" s="176" t="s">
        <v>3397</v>
      </c>
      <c r="C100" s="177" t="s">
        <v>1118</v>
      </c>
      <c r="D100" s="184" t="s">
        <v>6712</v>
      </c>
      <c r="E100" s="177"/>
      <c r="F100" s="177" t="s">
        <v>6706</v>
      </c>
      <c r="G100" s="179" t="s">
        <v>6707</v>
      </c>
      <c r="H100" s="180" t="s">
        <v>3397</v>
      </c>
      <c r="I100" s="163">
        <f>IFERROR(__xludf.DUMMYFUNCTION("""COMPUTED_VALUE"""),3.2975)</f>
        <v>3.2975</v>
      </c>
      <c r="J100" s="177" t="s">
        <v>6708</v>
      </c>
      <c r="K100" s="164" t="s">
        <v>6780</v>
      </c>
      <c r="L100" s="164"/>
      <c r="M100" s="165"/>
      <c r="N100" s="21" t="s">
        <v>22</v>
      </c>
      <c r="O100" s="164"/>
      <c r="P100" s="164"/>
      <c r="Q100" s="177" t="s">
        <v>1569</v>
      </c>
      <c r="R100" s="164"/>
      <c r="S100" s="163">
        <f>IFERROR(__xludf.DUMMYFUNCTION("""COMPUTED_VALUE"""),0.0)</f>
        <v>0</v>
      </c>
      <c r="T100" s="164"/>
      <c r="U100" s="164"/>
      <c r="V100" s="164"/>
      <c r="W100" s="164"/>
      <c r="X100" s="164"/>
    </row>
    <row r="101">
      <c r="A101" s="175">
        <v>45896.0</v>
      </c>
      <c r="B101" s="176" t="s">
        <v>3397</v>
      </c>
      <c r="C101" s="177" t="s">
        <v>6716</v>
      </c>
      <c r="D101" s="184" t="s">
        <v>6712</v>
      </c>
      <c r="E101" s="177"/>
      <c r="F101" s="177" t="s">
        <v>6733</v>
      </c>
      <c r="G101" s="179" t="s">
        <v>6720</v>
      </c>
      <c r="H101" s="180" t="s">
        <v>1926</v>
      </c>
      <c r="I101" s="163">
        <f>IFERROR(__xludf.DUMMYFUNCTION("""COMPUTED_VALUE"""),3.2975)</f>
        <v>3.2975</v>
      </c>
      <c r="J101" s="177" t="s">
        <v>6708</v>
      </c>
      <c r="K101" s="164" t="s">
        <v>4374</v>
      </c>
      <c r="L101" s="164"/>
      <c r="M101" s="165"/>
      <c r="N101" s="21" t="s">
        <v>22</v>
      </c>
      <c r="O101" s="164"/>
      <c r="P101" s="164"/>
      <c r="Q101" s="177" t="s">
        <v>1569</v>
      </c>
      <c r="R101" s="164"/>
      <c r="S101" s="163">
        <f>IFERROR(__xludf.DUMMYFUNCTION("""COMPUTED_VALUE"""),0.0)</f>
        <v>0</v>
      </c>
      <c r="T101" s="164"/>
      <c r="U101" s="164"/>
      <c r="V101" s="164"/>
      <c r="W101" s="164"/>
      <c r="X101" s="164"/>
    </row>
    <row r="102">
      <c r="A102" s="175">
        <v>45896.0</v>
      </c>
      <c r="B102" s="176" t="s">
        <v>3397</v>
      </c>
      <c r="C102" s="177" t="s">
        <v>6716</v>
      </c>
      <c r="D102" s="184" t="s">
        <v>6712</v>
      </c>
      <c r="E102" s="177"/>
      <c r="F102" s="177" t="s">
        <v>6781</v>
      </c>
      <c r="G102" s="179" t="s">
        <v>6721</v>
      </c>
      <c r="H102" s="180" t="s">
        <v>1579</v>
      </c>
      <c r="I102" s="163">
        <f>IFERROR(__xludf.DUMMYFUNCTION("""COMPUTED_VALUE"""),3.2975)</f>
        <v>3.2975</v>
      </c>
      <c r="J102" s="177" t="s">
        <v>6705</v>
      </c>
      <c r="K102" s="164" t="s">
        <v>4376</v>
      </c>
      <c r="L102" s="164"/>
      <c r="M102" s="165"/>
      <c r="N102" s="21" t="s">
        <v>22</v>
      </c>
      <c r="O102" s="164"/>
      <c r="P102" s="164"/>
      <c r="Q102" s="177" t="s">
        <v>1569</v>
      </c>
      <c r="R102" s="164"/>
      <c r="S102" s="163">
        <f>IFERROR(__xludf.DUMMYFUNCTION("""COMPUTED_VALUE"""),0.0)</f>
        <v>0</v>
      </c>
      <c r="T102" s="164"/>
      <c r="U102" s="164"/>
      <c r="V102" s="164"/>
      <c r="W102" s="164"/>
      <c r="X102" s="164"/>
    </row>
    <row r="103">
      <c r="A103" s="175">
        <v>45897.0</v>
      </c>
      <c r="B103" s="176" t="s">
        <v>1593</v>
      </c>
      <c r="C103" s="177" t="s">
        <v>1049</v>
      </c>
      <c r="D103" s="184" t="s">
        <v>6712</v>
      </c>
      <c r="E103" s="177"/>
      <c r="F103" s="177" t="s">
        <v>6706</v>
      </c>
      <c r="G103" s="179" t="s">
        <v>6707</v>
      </c>
      <c r="H103" s="180" t="s">
        <v>1593</v>
      </c>
      <c r="I103" s="163">
        <f>IFERROR(__xludf.DUMMYFUNCTION("""COMPUTED_VALUE"""),16.19)</f>
        <v>16.19</v>
      </c>
      <c r="J103" s="177" t="s">
        <v>6735</v>
      </c>
      <c r="K103" s="164" t="s">
        <v>6782</v>
      </c>
      <c r="L103" s="164"/>
      <c r="M103" s="165"/>
      <c r="N103" s="21" t="s">
        <v>22</v>
      </c>
      <c r="O103" s="164"/>
      <c r="P103" s="164"/>
      <c r="Q103" s="177" t="s">
        <v>1594</v>
      </c>
      <c r="R103" s="164"/>
      <c r="S103" s="163">
        <f>IFERROR(__xludf.DUMMYFUNCTION("""COMPUTED_VALUE"""),26.99)</f>
        <v>26.99</v>
      </c>
      <c r="T103" s="164"/>
      <c r="U103" s="164"/>
      <c r="V103" s="164"/>
      <c r="W103" s="164"/>
      <c r="X103" s="164"/>
    </row>
    <row r="104">
      <c r="A104" s="175">
        <v>45897.0</v>
      </c>
      <c r="B104" s="176" t="s">
        <v>1922</v>
      </c>
      <c r="C104" s="177" t="s">
        <v>1049</v>
      </c>
      <c r="D104" s="184" t="s">
        <v>6712</v>
      </c>
      <c r="E104" s="177"/>
      <c r="F104" s="177" t="s">
        <v>6706</v>
      </c>
      <c r="G104" s="179" t="s">
        <v>6707</v>
      </c>
      <c r="H104" s="180" t="s">
        <v>1922</v>
      </c>
      <c r="I104" s="163">
        <f>IFERROR(__xludf.DUMMYFUNCTION("""COMPUTED_VALUE"""),7.79)</f>
        <v>7.79</v>
      </c>
      <c r="J104" s="177" t="s">
        <v>6719</v>
      </c>
      <c r="K104" s="164" t="s">
        <v>6783</v>
      </c>
      <c r="L104" s="164"/>
      <c r="M104" s="165"/>
      <c r="N104" s="21" t="s">
        <v>22</v>
      </c>
      <c r="O104" s="164"/>
      <c r="P104" s="164"/>
      <c r="Q104" s="177" t="s">
        <v>1465</v>
      </c>
      <c r="R104" s="164"/>
      <c r="S104" s="163">
        <f>IFERROR(__xludf.DUMMYFUNCTION("""COMPUTED_VALUE"""),12.99)</f>
        <v>12.99</v>
      </c>
      <c r="T104" s="164"/>
      <c r="U104" s="164"/>
      <c r="V104" s="164"/>
      <c r="W104" s="164"/>
      <c r="X104" s="164"/>
    </row>
    <row r="105">
      <c r="A105" s="175">
        <v>45897.0</v>
      </c>
      <c r="B105" s="176" t="s">
        <v>3146</v>
      </c>
      <c r="C105" s="177" t="s">
        <v>1049</v>
      </c>
      <c r="D105" s="184" t="s">
        <v>6712</v>
      </c>
      <c r="E105" s="177"/>
      <c r="F105" s="177" t="s">
        <v>6706</v>
      </c>
      <c r="G105" s="179" t="s">
        <v>6707</v>
      </c>
      <c r="H105" s="180" t="s">
        <v>3146</v>
      </c>
      <c r="I105" s="163">
        <f>IFERROR(__xludf.DUMMYFUNCTION("""COMPUTED_VALUE"""),7.79)</f>
        <v>7.79</v>
      </c>
      <c r="J105" s="177" t="s">
        <v>6711</v>
      </c>
      <c r="K105" s="164" t="s">
        <v>6784</v>
      </c>
      <c r="L105" s="164"/>
      <c r="M105" s="165"/>
      <c r="N105" s="21" t="s">
        <v>22</v>
      </c>
      <c r="O105" s="164"/>
      <c r="P105" s="164"/>
      <c r="Q105" s="177" t="s">
        <v>1465</v>
      </c>
      <c r="R105" s="164"/>
      <c r="S105" s="163">
        <f>IFERROR(__xludf.DUMMYFUNCTION("""COMPUTED_VALUE"""),12.99)</f>
        <v>12.99</v>
      </c>
      <c r="T105" s="164"/>
      <c r="U105" s="164"/>
      <c r="V105" s="164"/>
      <c r="W105" s="164"/>
      <c r="X105" s="164"/>
    </row>
    <row r="106">
      <c r="A106" s="175">
        <v>45897.0</v>
      </c>
      <c r="B106" s="176" t="s">
        <v>1948</v>
      </c>
      <c r="C106" s="177" t="s">
        <v>1049</v>
      </c>
      <c r="D106" s="184" t="s">
        <v>6712</v>
      </c>
      <c r="E106" s="177"/>
      <c r="F106" s="177" t="s">
        <v>6706</v>
      </c>
      <c r="G106" s="179" t="s">
        <v>6707</v>
      </c>
      <c r="H106" s="180" t="s">
        <v>1948</v>
      </c>
      <c r="I106" s="163">
        <f>IFERROR(__xludf.DUMMYFUNCTION("""COMPUTED_VALUE"""),16.19)</f>
        <v>16.19</v>
      </c>
      <c r="J106" s="177" t="s">
        <v>6708</v>
      </c>
      <c r="K106" s="164" t="s">
        <v>6785</v>
      </c>
      <c r="L106" s="164"/>
      <c r="M106" s="165"/>
      <c r="N106" s="21" t="s">
        <v>22</v>
      </c>
      <c r="O106" s="164"/>
      <c r="P106" s="164"/>
      <c r="Q106" s="177" t="s">
        <v>1594</v>
      </c>
      <c r="R106" s="164"/>
      <c r="S106" s="163">
        <f>IFERROR(__xludf.DUMMYFUNCTION("""COMPUTED_VALUE"""),26.99)</f>
        <v>26.99</v>
      </c>
      <c r="T106" s="164"/>
      <c r="U106" s="164"/>
      <c r="V106" s="164"/>
      <c r="W106" s="164"/>
      <c r="X106" s="164"/>
    </row>
    <row r="107">
      <c r="A107" s="175">
        <v>45897.0</v>
      </c>
      <c r="B107" s="176" t="s">
        <v>2778</v>
      </c>
      <c r="C107" s="177" t="s">
        <v>1118</v>
      </c>
      <c r="D107" s="184" t="s">
        <v>6712</v>
      </c>
      <c r="E107" s="177" t="s">
        <v>48</v>
      </c>
      <c r="F107" s="177" t="s">
        <v>6717</v>
      </c>
      <c r="G107" s="179" t="s">
        <v>6707</v>
      </c>
      <c r="H107" s="180" t="s">
        <v>2778</v>
      </c>
      <c r="I107" s="163">
        <f>IFERROR(__xludf.DUMMYFUNCTION("""COMPUTED_VALUE"""),9.995)</f>
        <v>9.995</v>
      </c>
      <c r="J107" s="177" t="s">
        <v>6708</v>
      </c>
      <c r="K107" s="164" t="s">
        <v>6786</v>
      </c>
      <c r="L107" s="164"/>
      <c r="M107" s="165"/>
      <c r="N107" s="21" t="s">
        <v>22</v>
      </c>
      <c r="O107" s="164"/>
      <c r="P107" s="164"/>
      <c r="Q107" s="177" t="s">
        <v>2707</v>
      </c>
      <c r="R107" s="164"/>
      <c r="S107" s="163">
        <f>IFERROR(__xludf.DUMMYFUNCTION("""COMPUTED_VALUE"""),20.0)</f>
        <v>20</v>
      </c>
      <c r="T107" s="164"/>
      <c r="U107" s="164"/>
      <c r="V107" s="164"/>
      <c r="W107" s="164"/>
      <c r="X107" s="164"/>
    </row>
    <row r="108">
      <c r="A108" s="175">
        <v>45897.0</v>
      </c>
      <c r="B108" s="176" t="s">
        <v>2778</v>
      </c>
      <c r="C108" s="177" t="s">
        <v>6716</v>
      </c>
      <c r="D108" s="184" t="s">
        <v>6712</v>
      </c>
      <c r="E108" s="177"/>
      <c r="F108" s="177" t="s">
        <v>6717</v>
      </c>
      <c r="G108" s="179" t="s">
        <v>6720</v>
      </c>
      <c r="H108" s="180" t="s">
        <v>2719</v>
      </c>
      <c r="I108" s="163">
        <f>IFERROR(__xludf.DUMMYFUNCTION("""COMPUTED_VALUE"""),9.995)</f>
        <v>9.995</v>
      </c>
      <c r="J108" s="177" t="s">
        <v>6708</v>
      </c>
      <c r="K108" s="164" t="s">
        <v>4378</v>
      </c>
      <c r="L108" s="164"/>
      <c r="M108" s="165"/>
      <c r="N108" s="21" t="s">
        <v>22</v>
      </c>
      <c r="O108" s="164"/>
      <c r="P108" s="164"/>
      <c r="Q108" s="177" t="s">
        <v>2707</v>
      </c>
      <c r="R108" s="164"/>
      <c r="S108" s="163">
        <f>IFERROR(__xludf.DUMMYFUNCTION("""COMPUTED_VALUE"""),20.0)</f>
        <v>20</v>
      </c>
      <c r="T108" s="164"/>
      <c r="U108" s="164"/>
      <c r="V108" s="164"/>
      <c r="W108" s="164"/>
      <c r="X108" s="164"/>
    </row>
    <row r="109">
      <c r="A109" s="175">
        <v>45897.0</v>
      </c>
      <c r="B109" s="176" t="s">
        <v>3210</v>
      </c>
      <c r="C109" s="177" t="s">
        <v>1049</v>
      </c>
      <c r="D109" s="184" t="s">
        <v>6712</v>
      </c>
      <c r="E109" s="177"/>
      <c r="F109" s="177" t="s">
        <v>48</v>
      </c>
      <c r="G109" s="179" t="s">
        <v>6707</v>
      </c>
      <c r="H109" s="180" t="s">
        <v>3210</v>
      </c>
      <c r="I109" s="163">
        <f>IFERROR(__xludf.DUMMYFUNCTION("""COMPUTED_VALUE"""),0.0)</f>
        <v>0</v>
      </c>
      <c r="J109" s="177" t="s">
        <v>6735</v>
      </c>
      <c r="K109" s="164" t="s">
        <v>6787</v>
      </c>
      <c r="L109" s="164"/>
      <c r="M109" s="165"/>
      <c r="N109" s="21" t="s">
        <v>22</v>
      </c>
      <c r="O109" s="164"/>
      <c r="P109" s="164"/>
      <c r="Q109" s="164"/>
      <c r="R109" s="164"/>
      <c r="S109" s="163"/>
      <c r="T109" s="164"/>
      <c r="U109" s="164"/>
      <c r="V109" s="164"/>
      <c r="W109" s="164"/>
      <c r="X109" s="164"/>
    </row>
    <row r="110">
      <c r="A110" s="175">
        <v>45897.0</v>
      </c>
      <c r="B110" s="176" t="s">
        <v>1590</v>
      </c>
      <c r="C110" s="177" t="s">
        <v>1049</v>
      </c>
      <c r="D110" s="184" t="s">
        <v>6712</v>
      </c>
      <c r="E110" s="177"/>
      <c r="F110" s="177" t="s">
        <v>48</v>
      </c>
      <c r="G110" s="179" t="s">
        <v>6707</v>
      </c>
      <c r="H110" s="180" t="s">
        <v>1590</v>
      </c>
      <c r="I110" s="163">
        <f>IFERROR(__xludf.DUMMYFUNCTION("""COMPUTED_VALUE"""),0.0)</f>
        <v>0</v>
      </c>
      <c r="J110" s="177" t="s">
        <v>6735</v>
      </c>
      <c r="K110" s="164" t="s">
        <v>6788</v>
      </c>
      <c r="L110" s="164"/>
      <c r="M110" s="165"/>
      <c r="N110" s="21" t="s">
        <v>22</v>
      </c>
      <c r="O110" s="164"/>
      <c r="P110" s="164"/>
      <c r="Q110" s="177" t="s">
        <v>1591</v>
      </c>
      <c r="R110" s="164"/>
      <c r="S110" s="163"/>
      <c r="T110" s="164"/>
      <c r="U110" s="164"/>
      <c r="V110" s="164"/>
      <c r="W110" s="164"/>
      <c r="X110" s="164"/>
    </row>
    <row r="111">
      <c r="A111" s="175">
        <v>45897.0</v>
      </c>
      <c r="B111" s="176" t="s">
        <v>1793</v>
      </c>
      <c r="C111" s="177" t="s">
        <v>1118</v>
      </c>
      <c r="D111" s="184" t="s">
        <v>6712</v>
      </c>
      <c r="E111" s="177"/>
      <c r="F111" s="177" t="s">
        <v>6731</v>
      </c>
      <c r="G111" s="179" t="s">
        <v>6707</v>
      </c>
      <c r="H111" s="180" t="s">
        <v>1793</v>
      </c>
      <c r="I111" s="163">
        <f>IFERROR(__xludf.DUMMYFUNCTION("""COMPUTED_VALUE"""),2.427142857142857)</f>
        <v>2.427142857</v>
      </c>
      <c r="J111" s="177" t="s">
        <v>6735</v>
      </c>
      <c r="K111" s="164" t="s">
        <v>6789</v>
      </c>
      <c r="L111" s="164"/>
      <c r="M111" s="165"/>
      <c r="N111" s="21" t="s">
        <v>22</v>
      </c>
      <c r="O111" s="164"/>
      <c r="P111" s="164"/>
      <c r="Q111" s="177" t="s">
        <v>1588</v>
      </c>
      <c r="R111" s="164"/>
      <c r="S111" s="163">
        <f>IFERROR(__xludf.DUMMYFUNCTION("""COMPUTED_VALUE"""),0.0)</f>
        <v>0</v>
      </c>
      <c r="T111" s="164"/>
      <c r="U111" s="164"/>
      <c r="V111" s="164"/>
      <c r="W111" s="164"/>
      <c r="X111" s="164"/>
    </row>
    <row r="112">
      <c r="A112" s="175">
        <v>45897.0</v>
      </c>
      <c r="B112" s="176" t="s">
        <v>1793</v>
      </c>
      <c r="C112" s="177" t="s">
        <v>6716</v>
      </c>
      <c r="D112" s="184" t="s">
        <v>6712</v>
      </c>
      <c r="E112" s="177"/>
      <c r="F112" s="177" t="s">
        <v>6731</v>
      </c>
      <c r="G112" s="179" t="s">
        <v>6720</v>
      </c>
      <c r="H112" s="180" t="s">
        <v>1597</v>
      </c>
      <c r="I112" s="163">
        <f>IFERROR(__xludf.DUMMYFUNCTION("""COMPUTED_VALUE"""),2.427142857142857)</f>
        <v>2.427142857</v>
      </c>
      <c r="J112" s="177" t="s">
        <v>6759</v>
      </c>
      <c r="K112" s="164" t="s">
        <v>4380</v>
      </c>
      <c r="L112" s="164"/>
      <c r="M112" s="165"/>
      <c r="N112" s="21" t="s">
        <v>22</v>
      </c>
      <c r="O112" s="164"/>
      <c r="P112" s="164"/>
      <c r="Q112" s="177" t="s">
        <v>1588</v>
      </c>
      <c r="R112" s="164"/>
      <c r="S112" s="163">
        <f>IFERROR(__xludf.DUMMYFUNCTION("""COMPUTED_VALUE"""),0.0)</f>
        <v>0</v>
      </c>
      <c r="T112" s="164"/>
      <c r="U112" s="164"/>
      <c r="V112" s="164"/>
      <c r="W112" s="164"/>
      <c r="X112" s="164"/>
    </row>
    <row r="113">
      <c r="A113" s="175">
        <v>45897.0</v>
      </c>
      <c r="B113" s="176" t="s">
        <v>1793</v>
      </c>
      <c r="C113" s="177" t="s">
        <v>6716</v>
      </c>
      <c r="D113" s="184" t="s">
        <v>6712</v>
      </c>
      <c r="E113" s="177"/>
      <c r="F113" s="177" t="s">
        <v>6731</v>
      </c>
      <c r="G113" s="179" t="s">
        <v>6721</v>
      </c>
      <c r="H113" s="180" t="s">
        <v>1599</v>
      </c>
      <c r="I113" s="163">
        <f>IFERROR(__xludf.DUMMYFUNCTION("""COMPUTED_VALUE"""),2.427142857142857)</f>
        <v>2.427142857</v>
      </c>
      <c r="J113" s="177" t="s">
        <v>6739</v>
      </c>
      <c r="K113" s="164" t="s">
        <v>4382</v>
      </c>
      <c r="L113" s="164"/>
      <c r="M113" s="165"/>
      <c r="N113" s="21" t="s">
        <v>22</v>
      </c>
      <c r="O113" s="164"/>
      <c r="P113" s="164"/>
      <c r="Q113" s="177" t="s">
        <v>1588</v>
      </c>
      <c r="R113" s="164"/>
      <c r="S113" s="163">
        <f>IFERROR(__xludf.DUMMYFUNCTION("""COMPUTED_VALUE"""),0.0)</f>
        <v>0</v>
      </c>
      <c r="T113" s="164"/>
      <c r="U113" s="164"/>
      <c r="V113" s="164"/>
      <c r="W113" s="164"/>
      <c r="X113" s="164"/>
    </row>
    <row r="114">
      <c r="A114" s="175">
        <v>45897.0</v>
      </c>
      <c r="B114" s="176" t="s">
        <v>1793</v>
      </c>
      <c r="C114" s="177" t="s">
        <v>6716</v>
      </c>
      <c r="D114" s="184" t="s">
        <v>6712</v>
      </c>
      <c r="E114" s="177"/>
      <c r="F114" s="177" t="s">
        <v>6731</v>
      </c>
      <c r="G114" s="179" t="s">
        <v>6722</v>
      </c>
      <c r="H114" s="180" t="s">
        <v>2957</v>
      </c>
      <c r="I114" s="163">
        <f>IFERROR(__xludf.DUMMYFUNCTION("""COMPUTED_VALUE"""),2.427142857142857)</f>
        <v>2.427142857</v>
      </c>
      <c r="J114" s="177" t="s">
        <v>6737</v>
      </c>
      <c r="K114" s="164" t="s">
        <v>4384</v>
      </c>
      <c r="L114" s="164"/>
      <c r="M114" s="165"/>
      <c r="N114" s="21" t="s">
        <v>22</v>
      </c>
      <c r="O114" s="164"/>
      <c r="P114" s="164"/>
      <c r="Q114" s="177" t="s">
        <v>1588</v>
      </c>
      <c r="R114" s="164"/>
      <c r="S114" s="163">
        <f>IFERROR(__xludf.DUMMYFUNCTION("""COMPUTED_VALUE"""),0.0)</f>
        <v>0</v>
      </c>
      <c r="T114" s="164"/>
      <c r="U114" s="164"/>
      <c r="V114" s="164"/>
      <c r="W114" s="164"/>
      <c r="X114" s="164"/>
    </row>
    <row r="115">
      <c r="A115" s="175">
        <v>45897.0</v>
      </c>
      <c r="B115" s="176" t="s">
        <v>1793</v>
      </c>
      <c r="C115" s="177" t="s">
        <v>6716</v>
      </c>
      <c r="D115" s="184" t="s">
        <v>6712</v>
      </c>
      <c r="E115" s="177"/>
      <c r="F115" s="177" t="s">
        <v>6706</v>
      </c>
      <c r="G115" s="179" t="s">
        <v>6724</v>
      </c>
      <c r="H115" s="180" t="s">
        <v>1956</v>
      </c>
      <c r="I115" s="163">
        <f>IFERROR(__xludf.DUMMYFUNCTION("""COMPUTED_VALUE"""),2.427142857142857)</f>
        <v>2.427142857</v>
      </c>
      <c r="J115" s="177" t="s">
        <v>6735</v>
      </c>
      <c r="K115" s="164" t="s">
        <v>4386</v>
      </c>
      <c r="L115" s="164"/>
      <c r="M115" s="165"/>
      <c r="N115" s="21" t="s">
        <v>22</v>
      </c>
      <c r="O115" s="164"/>
      <c r="P115" s="164"/>
      <c r="Q115" s="177" t="s">
        <v>1588</v>
      </c>
      <c r="R115" s="164"/>
      <c r="S115" s="163">
        <f>IFERROR(__xludf.DUMMYFUNCTION("""COMPUTED_VALUE"""),0.0)</f>
        <v>0</v>
      </c>
      <c r="T115" s="164"/>
      <c r="U115" s="164"/>
      <c r="V115" s="164"/>
      <c r="W115" s="164"/>
      <c r="X115" s="164"/>
    </row>
    <row r="116">
      <c r="A116" s="175">
        <v>45897.0</v>
      </c>
      <c r="B116" s="176" t="s">
        <v>1793</v>
      </c>
      <c r="C116" s="177" t="s">
        <v>6716</v>
      </c>
      <c r="D116" s="184" t="s">
        <v>6712</v>
      </c>
      <c r="E116" s="177"/>
      <c r="F116" s="177" t="s">
        <v>6706</v>
      </c>
      <c r="G116" s="179" t="s">
        <v>6726</v>
      </c>
      <c r="H116" s="180" t="s">
        <v>1958</v>
      </c>
      <c r="I116" s="163">
        <f>IFERROR(__xludf.DUMMYFUNCTION("""COMPUTED_VALUE"""),2.427142857142857)</f>
        <v>2.427142857</v>
      </c>
      <c r="J116" s="177" t="s">
        <v>6759</v>
      </c>
      <c r="K116" s="164" t="s">
        <v>4388</v>
      </c>
      <c r="L116" s="164"/>
      <c r="M116" s="165"/>
      <c r="N116" s="21" t="s">
        <v>22</v>
      </c>
      <c r="O116" s="164"/>
      <c r="P116" s="164"/>
      <c r="Q116" s="177" t="s">
        <v>1588</v>
      </c>
      <c r="R116" s="164"/>
      <c r="S116" s="163">
        <f>IFERROR(__xludf.DUMMYFUNCTION("""COMPUTED_VALUE"""),0.0)</f>
        <v>0</v>
      </c>
      <c r="T116" s="164"/>
      <c r="U116" s="164"/>
      <c r="V116" s="164"/>
      <c r="W116" s="164"/>
      <c r="X116" s="164"/>
    </row>
    <row r="117">
      <c r="A117" s="175">
        <v>45897.0</v>
      </c>
      <c r="B117" s="176" t="s">
        <v>1793</v>
      </c>
      <c r="C117" s="177" t="s">
        <v>6716</v>
      </c>
      <c r="D117" s="184" t="s">
        <v>6712</v>
      </c>
      <c r="E117" s="177"/>
      <c r="F117" s="177" t="s">
        <v>6717</v>
      </c>
      <c r="G117" s="179" t="s">
        <v>6774</v>
      </c>
      <c r="H117" s="180" t="s">
        <v>1601</v>
      </c>
      <c r="I117" s="163">
        <f>IFERROR(__xludf.DUMMYFUNCTION("""COMPUTED_VALUE"""),2.427142857142857)</f>
        <v>2.427142857</v>
      </c>
      <c r="J117" s="177" t="s">
        <v>6705</v>
      </c>
      <c r="K117" s="164" t="s">
        <v>4390</v>
      </c>
      <c r="L117" s="164"/>
      <c r="M117" s="165"/>
      <c r="N117" s="21" t="s">
        <v>22</v>
      </c>
      <c r="O117" s="164"/>
      <c r="P117" s="164"/>
      <c r="Q117" s="177" t="s">
        <v>1588</v>
      </c>
      <c r="R117" s="164"/>
      <c r="S117" s="163">
        <f>IFERROR(__xludf.DUMMYFUNCTION("""COMPUTED_VALUE"""),0.0)</f>
        <v>0</v>
      </c>
      <c r="T117" s="164"/>
      <c r="U117" s="164"/>
      <c r="V117" s="164"/>
      <c r="W117" s="164"/>
      <c r="X117" s="164"/>
    </row>
    <row r="118">
      <c r="A118" s="175">
        <v>45897.0</v>
      </c>
      <c r="B118" s="176" t="s">
        <v>1738</v>
      </c>
      <c r="C118" s="177" t="s">
        <v>1118</v>
      </c>
      <c r="D118" s="184" t="s">
        <v>6712</v>
      </c>
      <c r="E118" s="177"/>
      <c r="F118" s="177" t="s">
        <v>6706</v>
      </c>
      <c r="G118" s="179" t="s">
        <v>6707</v>
      </c>
      <c r="H118" s="180" t="s">
        <v>1738</v>
      </c>
      <c r="I118" s="163">
        <f>IFERROR(__xludf.DUMMYFUNCTION("""COMPUTED_VALUE"""),3.3316666666666666)</f>
        <v>3.331666667</v>
      </c>
      <c r="J118" s="177" t="s">
        <v>6727</v>
      </c>
      <c r="K118" s="164" t="s">
        <v>6790</v>
      </c>
      <c r="L118" s="164"/>
      <c r="M118" s="165"/>
      <c r="N118" s="21" t="s">
        <v>22</v>
      </c>
      <c r="O118" s="164"/>
      <c r="P118" s="164"/>
      <c r="Q118" s="177" t="s">
        <v>1605</v>
      </c>
      <c r="R118" s="164"/>
      <c r="S118" s="163">
        <f>IFERROR(__xludf.DUMMYFUNCTION("""COMPUTED_VALUE"""),0.0)</f>
        <v>0</v>
      </c>
      <c r="T118" s="164"/>
      <c r="U118" s="164"/>
      <c r="V118" s="164"/>
      <c r="W118" s="164"/>
      <c r="X118" s="164"/>
    </row>
    <row r="119">
      <c r="A119" s="175">
        <v>45897.0</v>
      </c>
      <c r="B119" s="176" t="s">
        <v>1738</v>
      </c>
      <c r="C119" s="177" t="s">
        <v>6716</v>
      </c>
      <c r="D119" s="184" t="s">
        <v>6712</v>
      </c>
      <c r="E119" s="177"/>
      <c r="F119" s="177" t="s">
        <v>6706</v>
      </c>
      <c r="G119" s="179" t="s">
        <v>6720</v>
      </c>
      <c r="H119" s="180" t="s">
        <v>3073</v>
      </c>
      <c r="I119" s="163">
        <f>IFERROR(__xludf.DUMMYFUNCTION("""COMPUTED_VALUE"""),3.3316666666666666)</f>
        <v>3.331666667</v>
      </c>
      <c r="J119" s="177" t="s">
        <v>6739</v>
      </c>
      <c r="K119" s="164" t="s">
        <v>4392</v>
      </c>
      <c r="L119" s="164"/>
      <c r="M119" s="165"/>
      <c r="N119" s="21" t="s">
        <v>22</v>
      </c>
      <c r="O119" s="164"/>
      <c r="P119" s="164"/>
      <c r="Q119" s="177" t="s">
        <v>1605</v>
      </c>
      <c r="R119" s="164"/>
      <c r="S119" s="163">
        <f>IFERROR(__xludf.DUMMYFUNCTION("""COMPUTED_VALUE"""),0.0)</f>
        <v>0</v>
      </c>
      <c r="T119" s="164"/>
      <c r="U119" s="164"/>
      <c r="V119" s="164"/>
      <c r="W119" s="164"/>
      <c r="X119" s="164"/>
    </row>
    <row r="120">
      <c r="A120" s="175">
        <v>45897.0</v>
      </c>
      <c r="B120" s="176" t="s">
        <v>1738</v>
      </c>
      <c r="C120" s="177" t="s">
        <v>6716</v>
      </c>
      <c r="D120" s="184" t="s">
        <v>6712</v>
      </c>
      <c r="E120" s="177"/>
      <c r="F120" s="177" t="s">
        <v>6706</v>
      </c>
      <c r="G120" s="179" t="s">
        <v>6721</v>
      </c>
      <c r="H120" s="180" t="s">
        <v>1604</v>
      </c>
      <c r="I120" s="163">
        <f>IFERROR(__xludf.DUMMYFUNCTION("""COMPUTED_VALUE"""),3.3316666666666666)</f>
        <v>3.331666667</v>
      </c>
      <c r="J120" s="177" t="s">
        <v>6719</v>
      </c>
      <c r="K120" s="164" t="s">
        <v>4394</v>
      </c>
      <c r="L120" s="164"/>
      <c r="M120" s="165"/>
      <c r="N120" s="21" t="s">
        <v>22</v>
      </c>
      <c r="O120" s="164"/>
      <c r="P120" s="164"/>
      <c r="Q120" s="177" t="s">
        <v>1605</v>
      </c>
      <c r="R120" s="164"/>
      <c r="S120" s="163">
        <f>IFERROR(__xludf.DUMMYFUNCTION("""COMPUTED_VALUE"""),0.0)</f>
        <v>0</v>
      </c>
      <c r="T120" s="164"/>
      <c r="U120" s="164"/>
      <c r="V120" s="164"/>
      <c r="W120" s="164"/>
      <c r="X120" s="164"/>
    </row>
    <row r="121">
      <c r="A121" s="175">
        <v>45897.0</v>
      </c>
      <c r="B121" s="176" t="s">
        <v>1738</v>
      </c>
      <c r="C121" s="177" t="s">
        <v>6716</v>
      </c>
      <c r="D121" s="184" t="s">
        <v>6712</v>
      </c>
      <c r="E121" s="177"/>
      <c r="F121" s="177" t="s">
        <v>6706</v>
      </c>
      <c r="G121" s="179" t="s">
        <v>6722</v>
      </c>
      <c r="H121" s="180" t="s">
        <v>3041</v>
      </c>
      <c r="I121" s="163">
        <f>IFERROR(__xludf.DUMMYFUNCTION("""COMPUTED_VALUE"""),3.3316666666666666)</f>
        <v>3.331666667</v>
      </c>
      <c r="J121" s="177" t="s">
        <v>6711</v>
      </c>
      <c r="K121" s="164" t="s">
        <v>4396</v>
      </c>
      <c r="L121" s="164"/>
      <c r="M121" s="165"/>
      <c r="N121" s="21" t="s">
        <v>22</v>
      </c>
      <c r="O121" s="164"/>
      <c r="P121" s="164"/>
      <c r="Q121" s="177" t="s">
        <v>1605</v>
      </c>
      <c r="R121" s="164"/>
      <c r="S121" s="163">
        <f>IFERROR(__xludf.DUMMYFUNCTION("""COMPUTED_VALUE"""),0.0)</f>
        <v>0</v>
      </c>
      <c r="T121" s="164"/>
      <c r="U121" s="164"/>
      <c r="V121" s="164"/>
      <c r="W121" s="164"/>
      <c r="X121" s="164"/>
    </row>
    <row r="122">
      <c r="A122" s="175">
        <v>45897.0</v>
      </c>
      <c r="B122" s="176" t="s">
        <v>1738</v>
      </c>
      <c r="C122" s="177" t="s">
        <v>6716</v>
      </c>
      <c r="D122" s="184" t="s">
        <v>6712</v>
      </c>
      <c r="E122" s="177"/>
      <c r="F122" s="177" t="s">
        <v>6706</v>
      </c>
      <c r="G122" s="179" t="s">
        <v>6724</v>
      </c>
      <c r="H122" s="180" t="s">
        <v>1797</v>
      </c>
      <c r="I122" s="163">
        <f>IFERROR(__xludf.DUMMYFUNCTION("""COMPUTED_VALUE"""),3.3316666666666666)</f>
        <v>3.331666667</v>
      </c>
      <c r="J122" s="177" t="s">
        <v>6759</v>
      </c>
      <c r="K122" s="164" t="s">
        <v>4398</v>
      </c>
      <c r="L122" s="164"/>
      <c r="M122" s="165"/>
      <c r="N122" s="21" t="s">
        <v>22</v>
      </c>
      <c r="O122" s="164"/>
      <c r="P122" s="164"/>
      <c r="Q122" s="177" t="s">
        <v>1605</v>
      </c>
      <c r="R122" s="164"/>
      <c r="S122" s="163">
        <f>IFERROR(__xludf.DUMMYFUNCTION("""COMPUTED_VALUE"""),0.0)</f>
        <v>0</v>
      </c>
      <c r="T122" s="164"/>
      <c r="U122" s="164"/>
      <c r="V122" s="164"/>
      <c r="W122" s="164"/>
      <c r="X122" s="164"/>
    </row>
    <row r="123">
      <c r="A123" s="175">
        <v>45897.0</v>
      </c>
      <c r="B123" s="176" t="s">
        <v>1738</v>
      </c>
      <c r="C123" s="177" t="s">
        <v>6716</v>
      </c>
      <c r="D123" s="184" t="s">
        <v>6712</v>
      </c>
      <c r="E123" s="177"/>
      <c r="F123" s="177" t="s">
        <v>6703</v>
      </c>
      <c r="G123" s="179" t="s">
        <v>6726</v>
      </c>
      <c r="H123" s="180" t="s">
        <v>1607</v>
      </c>
      <c r="I123" s="163">
        <f>IFERROR(__xludf.DUMMYFUNCTION("""COMPUTED_VALUE"""),3.3316666666666666)</f>
        <v>3.331666667</v>
      </c>
      <c r="J123" s="177" t="s">
        <v>6705</v>
      </c>
      <c r="K123" s="164" t="s">
        <v>4400</v>
      </c>
      <c r="L123" s="164"/>
      <c r="M123" s="165"/>
      <c r="N123" s="21" t="s">
        <v>22</v>
      </c>
      <c r="O123" s="164"/>
      <c r="P123" s="164"/>
      <c r="Q123" s="177" t="s">
        <v>1605</v>
      </c>
      <c r="R123" s="164"/>
      <c r="S123" s="163">
        <f>IFERROR(__xludf.DUMMYFUNCTION("""COMPUTED_VALUE"""),0.0)</f>
        <v>0</v>
      </c>
      <c r="T123" s="164"/>
      <c r="U123" s="164"/>
      <c r="V123" s="164"/>
      <c r="W123" s="164"/>
      <c r="X123" s="164"/>
    </row>
    <row r="124">
      <c r="A124" s="175">
        <v>45897.0</v>
      </c>
      <c r="B124" s="176" t="s">
        <v>3037</v>
      </c>
      <c r="C124" s="177" t="s">
        <v>1118</v>
      </c>
      <c r="D124" s="184" t="s">
        <v>6712</v>
      </c>
      <c r="E124" s="177" t="s">
        <v>48</v>
      </c>
      <c r="F124" s="177" t="s">
        <v>6777</v>
      </c>
      <c r="G124" s="179" t="s">
        <v>6707</v>
      </c>
      <c r="H124" s="180" t="s">
        <v>3037</v>
      </c>
      <c r="I124" s="163">
        <f>IFERROR(__xludf.DUMMYFUNCTION("""COMPUTED_VALUE"""),2.198)</f>
        <v>2.198</v>
      </c>
      <c r="J124" s="177" t="s">
        <v>6705</v>
      </c>
      <c r="K124" s="164" t="s">
        <v>6791</v>
      </c>
      <c r="L124" s="164"/>
      <c r="M124" s="165"/>
      <c r="N124" s="21" t="s">
        <v>22</v>
      </c>
      <c r="O124" s="164"/>
      <c r="P124" s="164"/>
      <c r="Q124" s="177" t="s">
        <v>1474</v>
      </c>
      <c r="R124" s="164"/>
      <c r="S124" s="163">
        <f>IFERROR(__xludf.DUMMYFUNCTION("""COMPUTED_VALUE"""),5.0)</f>
        <v>5</v>
      </c>
      <c r="T124" s="164"/>
      <c r="U124" s="164"/>
      <c r="V124" s="164"/>
      <c r="W124" s="164"/>
      <c r="X124" s="164"/>
    </row>
    <row r="125">
      <c r="A125" s="175">
        <v>45897.0</v>
      </c>
      <c r="B125" s="176" t="s">
        <v>3037</v>
      </c>
      <c r="C125" s="177" t="s">
        <v>6716</v>
      </c>
      <c r="D125" s="184" t="s">
        <v>6712</v>
      </c>
      <c r="E125" s="177"/>
      <c r="F125" s="177" t="s">
        <v>6731</v>
      </c>
      <c r="G125" s="179" t="s">
        <v>6720</v>
      </c>
      <c r="H125" s="180" t="s">
        <v>1609</v>
      </c>
      <c r="I125" s="163">
        <f>IFERROR(__xludf.DUMMYFUNCTION("""COMPUTED_VALUE"""),2.198)</f>
        <v>2.198</v>
      </c>
      <c r="J125" s="177" t="s">
        <v>6723</v>
      </c>
      <c r="K125" s="164" t="s">
        <v>4402</v>
      </c>
      <c r="L125" s="164"/>
      <c r="M125" s="165"/>
      <c r="N125" s="21" t="s">
        <v>22</v>
      </c>
      <c r="O125" s="164"/>
      <c r="P125" s="164"/>
      <c r="Q125" s="177" t="s">
        <v>1474</v>
      </c>
      <c r="R125" s="164"/>
      <c r="S125" s="163">
        <f>IFERROR(__xludf.DUMMYFUNCTION("""COMPUTED_VALUE"""),5.0)</f>
        <v>5</v>
      </c>
      <c r="T125" s="164"/>
      <c r="U125" s="164"/>
      <c r="V125" s="164"/>
      <c r="W125" s="164"/>
      <c r="X125" s="164"/>
    </row>
    <row r="126">
      <c r="A126" s="175">
        <v>45897.0</v>
      </c>
      <c r="B126" s="176" t="s">
        <v>3037</v>
      </c>
      <c r="C126" s="177" t="s">
        <v>6716</v>
      </c>
      <c r="D126" s="184" t="s">
        <v>6712</v>
      </c>
      <c r="E126" s="177"/>
      <c r="F126" s="177" t="s">
        <v>6706</v>
      </c>
      <c r="G126" s="179" t="s">
        <v>6721</v>
      </c>
      <c r="H126" s="180" t="s">
        <v>3118</v>
      </c>
      <c r="I126" s="163">
        <f>IFERROR(__xludf.DUMMYFUNCTION("""COMPUTED_VALUE"""),2.198)</f>
        <v>2.198</v>
      </c>
      <c r="J126" s="177" t="s">
        <v>6727</v>
      </c>
      <c r="K126" s="164" t="s">
        <v>4404</v>
      </c>
      <c r="L126" s="164"/>
      <c r="M126" s="165"/>
      <c r="N126" s="21" t="s">
        <v>22</v>
      </c>
      <c r="O126" s="164"/>
      <c r="P126" s="164"/>
      <c r="Q126" s="177" t="s">
        <v>1474</v>
      </c>
      <c r="R126" s="164"/>
      <c r="S126" s="163">
        <f>IFERROR(__xludf.DUMMYFUNCTION("""COMPUTED_VALUE"""),5.0)</f>
        <v>5</v>
      </c>
      <c r="T126" s="164"/>
      <c r="U126" s="164"/>
      <c r="V126" s="164"/>
      <c r="W126" s="164"/>
      <c r="X126" s="164"/>
    </row>
    <row r="127">
      <c r="A127" s="175">
        <v>45897.0</v>
      </c>
      <c r="B127" s="176" t="s">
        <v>3037</v>
      </c>
      <c r="C127" s="177" t="s">
        <v>6716</v>
      </c>
      <c r="D127" s="184" t="s">
        <v>6712</v>
      </c>
      <c r="E127" s="177"/>
      <c r="F127" s="177" t="s">
        <v>6706</v>
      </c>
      <c r="G127" s="179" t="s">
        <v>6722</v>
      </c>
      <c r="H127" s="180" t="s">
        <v>1799</v>
      </c>
      <c r="I127" s="163">
        <f>IFERROR(__xludf.DUMMYFUNCTION("""COMPUTED_VALUE"""),2.198)</f>
        <v>2.198</v>
      </c>
      <c r="J127" s="177" t="s">
        <v>6711</v>
      </c>
      <c r="K127" s="164" t="s">
        <v>4406</v>
      </c>
      <c r="L127" s="164"/>
      <c r="M127" s="165"/>
      <c r="N127" s="21" t="s">
        <v>22</v>
      </c>
      <c r="O127" s="164"/>
      <c r="P127" s="164"/>
      <c r="Q127" s="177" t="s">
        <v>1474</v>
      </c>
      <c r="R127" s="164"/>
      <c r="S127" s="163">
        <f>IFERROR(__xludf.DUMMYFUNCTION("""COMPUTED_VALUE"""),5.0)</f>
        <v>5</v>
      </c>
      <c r="T127" s="164"/>
      <c r="U127" s="164"/>
      <c r="V127" s="164"/>
      <c r="W127" s="164"/>
      <c r="X127" s="164"/>
    </row>
    <row r="128">
      <c r="A128" s="175">
        <v>45897.0</v>
      </c>
      <c r="B128" s="176" t="s">
        <v>3037</v>
      </c>
      <c r="C128" s="177" t="s">
        <v>6716</v>
      </c>
      <c r="D128" s="184" t="s">
        <v>6712</v>
      </c>
      <c r="E128" s="177"/>
      <c r="F128" s="177" t="s">
        <v>6706</v>
      </c>
      <c r="G128" s="179" t="s">
        <v>6724</v>
      </c>
      <c r="H128" s="180" t="s">
        <v>1611</v>
      </c>
      <c r="I128" s="163">
        <f>IFERROR(__xludf.DUMMYFUNCTION("""COMPUTED_VALUE"""),2.198)</f>
        <v>2.198</v>
      </c>
      <c r="J128" s="177" t="s">
        <v>6759</v>
      </c>
      <c r="K128" s="164" t="s">
        <v>4408</v>
      </c>
      <c r="L128" s="164"/>
      <c r="M128" s="165"/>
      <c r="N128" s="21" t="s">
        <v>22</v>
      </c>
      <c r="O128" s="164"/>
      <c r="P128" s="164"/>
      <c r="Q128" s="177" t="s">
        <v>1474</v>
      </c>
      <c r="R128" s="164"/>
      <c r="S128" s="163">
        <f>IFERROR(__xludf.DUMMYFUNCTION("""COMPUTED_VALUE"""),5.0)</f>
        <v>5</v>
      </c>
      <c r="T128" s="164"/>
      <c r="U128" s="164"/>
      <c r="V128" s="164"/>
      <c r="W128" s="164"/>
      <c r="X128" s="164"/>
    </row>
    <row r="129">
      <c r="A129" s="175">
        <v>45898.0</v>
      </c>
      <c r="B129" s="176" t="s">
        <v>1583</v>
      </c>
      <c r="C129" s="177" t="s">
        <v>4052</v>
      </c>
      <c r="D129" s="177" t="s">
        <v>6712</v>
      </c>
      <c r="E129" s="177"/>
      <c r="F129" s="177" t="s">
        <v>1107</v>
      </c>
      <c r="G129" s="179" t="s">
        <v>6726</v>
      </c>
      <c r="H129" s="180" t="s">
        <v>1615</v>
      </c>
      <c r="I129" s="163">
        <f>IFERROR(__xludf.DUMMYFUNCTION("""COMPUTED_VALUE"""),0.0)</f>
        <v>0</v>
      </c>
      <c r="J129" s="177" t="s">
        <v>6792</v>
      </c>
      <c r="K129" s="164" t="s">
        <v>4410</v>
      </c>
      <c r="L129" s="164"/>
      <c r="M129" s="165"/>
      <c r="N129" s="21" t="s">
        <v>22</v>
      </c>
      <c r="O129" s="164"/>
      <c r="P129" s="164"/>
      <c r="Q129" s="177" t="s">
        <v>1471</v>
      </c>
      <c r="R129" s="164"/>
      <c r="S129" s="163"/>
      <c r="T129" s="164"/>
      <c r="U129" s="164"/>
      <c r="V129" s="164"/>
      <c r="W129" s="164"/>
      <c r="X129" s="164"/>
    </row>
    <row r="130">
      <c r="A130" s="175">
        <v>45898.0</v>
      </c>
      <c r="B130" s="176" t="s">
        <v>1563</v>
      </c>
      <c r="C130" s="177" t="s">
        <v>6716</v>
      </c>
      <c r="D130" s="177" t="s">
        <v>6712</v>
      </c>
      <c r="E130" s="177"/>
      <c r="F130" s="177" t="s">
        <v>1107</v>
      </c>
      <c r="G130" s="179" t="s">
        <v>6722</v>
      </c>
      <c r="H130" s="180" t="s">
        <v>1617</v>
      </c>
      <c r="I130" s="163">
        <f>IFERROR(__xludf.DUMMYFUNCTION("""COMPUTED_VALUE"""),0.0)</f>
        <v>0</v>
      </c>
      <c r="J130" s="177" t="s">
        <v>6793</v>
      </c>
      <c r="K130" s="164" t="s">
        <v>4412</v>
      </c>
      <c r="L130" s="164"/>
      <c r="M130" s="165"/>
      <c r="N130" s="21" t="s">
        <v>22</v>
      </c>
      <c r="O130" s="164"/>
      <c r="P130" s="164"/>
      <c r="Q130" s="177" t="s">
        <v>1564</v>
      </c>
      <c r="R130" s="164"/>
      <c r="S130" s="163">
        <f>IFERROR(__xludf.DUMMYFUNCTION("""COMPUTED_VALUE"""),0.0)</f>
        <v>0</v>
      </c>
      <c r="T130" s="164"/>
      <c r="U130" s="164"/>
      <c r="V130" s="164"/>
      <c r="W130" s="164"/>
      <c r="X130" s="164"/>
    </row>
    <row r="131">
      <c r="A131" s="175">
        <v>45900.0</v>
      </c>
      <c r="B131" s="176" t="s">
        <v>1972</v>
      </c>
      <c r="C131" s="177" t="s">
        <v>1118</v>
      </c>
      <c r="D131" s="177" t="s">
        <v>6712</v>
      </c>
      <c r="E131" s="177" t="s">
        <v>171</v>
      </c>
      <c r="F131" s="177" t="s">
        <v>6706</v>
      </c>
      <c r="G131" s="179" t="s">
        <v>6707</v>
      </c>
      <c r="H131" s="180" t="s">
        <v>1972</v>
      </c>
      <c r="I131" s="163">
        <f>IFERROR(__xludf.DUMMYFUNCTION("""COMPUTED_VALUE"""),6.083333333333333)</f>
        <v>6.083333333</v>
      </c>
      <c r="J131" s="177" t="s">
        <v>6708</v>
      </c>
      <c r="K131" s="164" t="s">
        <v>6794</v>
      </c>
      <c r="L131" s="164"/>
      <c r="M131" s="165"/>
      <c r="N131" s="21" t="s">
        <v>22</v>
      </c>
      <c r="O131" s="164"/>
      <c r="P131" s="164"/>
      <c r="Q131" s="177" t="s">
        <v>1665</v>
      </c>
      <c r="R131" s="164"/>
      <c r="S131" s="163">
        <f>IFERROR(__xludf.DUMMYFUNCTION("""COMPUTED_VALUE"""),0.0)</f>
        <v>0</v>
      </c>
      <c r="T131" s="164"/>
      <c r="U131" s="164"/>
      <c r="V131" s="164"/>
      <c r="W131" s="164"/>
      <c r="X131" s="164"/>
    </row>
    <row r="132">
      <c r="A132" s="175">
        <v>45900.0</v>
      </c>
      <c r="B132" s="176" t="s">
        <v>1972</v>
      </c>
      <c r="C132" s="177" t="s">
        <v>6716</v>
      </c>
      <c r="D132" s="177" t="s">
        <v>6712</v>
      </c>
      <c r="E132" s="177"/>
      <c r="F132" s="177" t="s">
        <v>1107</v>
      </c>
      <c r="G132" s="179" t="s">
        <v>6720</v>
      </c>
      <c r="H132" s="180" t="s">
        <v>1928</v>
      </c>
      <c r="I132" s="163">
        <f>IFERROR(__xludf.DUMMYFUNCTION("""COMPUTED_VALUE"""),6.083333333333333)</f>
        <v>6.083333333</v>
      </c>
      <c r="J132" s="177" t="s">
        <v>6795</v>
      </c>
      <c r="K132" s="164" t="s">
        <v>4414</v>
      </c>
      <c r="L132" s="164"/>
      <c r="M132" s="165"/>
      <c r="N132" s="21" t="s">
        <v>22</v>
      </c>
      <c r="O132" s="164"/>
      <c r="P132" s="164"/>
      <c r="Q132" s="177" t="s">
        <v>1665</v>
      </c>
      <c r="R132" s="164"/>
      <c r="S132" s="163">
        <f>IFERROR(__xludf.DUMMYFUNCTION("""COMPUTED_VALUE"""),0.0)</f>
        <v>0</v>
      </c>
      <c r="T132" s="164"/>
      <c r="U132" s="164"/>
      <c r="V132" s="164"/>
      <c r="W132" s="164"/>
      <c r="X132" s="164"/>
    </row>
    <row r="133">
      <c r="A133" s="175">
        <v>45900.0</v>
      </c>
      <c r="B133" s="176" t="s">
        <v>1972</v>
      </c>
      <c r="C133" s="177" t="s">
        <v>6716</v>
      </c>
      <c r="D133" s="177" t="s">
        <v>6712</v>
      </c>
      <c r="E133" s="177"/>
      <c r="F133" s="177" t="s">
        <v>1107</v>
      </c>
      <c r="G133" s="179" t="s">
        <v>6721</v>
      </c>
      <c r="H133" s="180" t="s">
        <v>3050</v>
      </c>
      <c r="I133" s="163">
        <f>IFERROR(__xludf.DUMMYFUNCTION("""COMPUTED_VALUE"""),6.083333333333333)</f>
        <v>6.083333333</v>
      </c>
      <c r="J133" s="177" t="s">
        <v>6796</v>
      </c>
      <c r="K133" s="164" t="s">
        <v>4416</v>
      </c>
      <c r="L133" s="164"/>
      <c r="M133" s="165"/>
      <c r="N133" s="21" t="s">
        <v>22</v>
      </c>
      <c r="O133" s="164"/>
      <c r="P133" s="164"/>
      <c r="Q133" s="177" t="s">
        <v>1665</v>
      </c>
      <c r="R133" s="164"/>
      <c r="S133" s="163">
        <f>IFERROR(__xludf.DUMMYFUNCTION("""COMPUTED_VALUE"""),0.0)</f>
        <v>0</v>
      </c>
      <c r="T133" s="164"/>
      <c r="U133" s="164"/>
      <c r="V133" s="164"/>
      <c r="W133" s="164"/>
      <c r="X133" s="164"/>
    </row>
    <row r="134">
      <c r="A134" s="175">
        <v>45900.0</v>
      </c>
      <c r="B134" s="176" t="s">
        <v>1972</v>
      </c>
      <c r="C134" s="177" t="s">
        <v>6716</v>
      </c>
      <c r="D134" s="177" t="s">
        <v>6712</v>
      </c>
      <c r="E134" s="177"/>
      <c r="F134" s="177" t="s">
        <v>6730</v>
      </c>
      <c r="G134" s="179" t="s">
        <v>6722</v>
      </c>
      <c r="H134" s="180" t="s">
        <v>1664</v>
      </c>
      <c r="I134" s="163">
        <f>IFERROR(__xludf.DUMMYFUNCTION("""COMPUTED_VALUE"""),6.083333333333333)</f>
        <v>6.083333333</v>
      </c>
      <c r="J134" s="177" t="s">
        <v>6708</v>
      </c>
      <c r="K134" s="164" t="s">
        <v>4418</v>
      </c>
      <c r="L134" s="164"/>
      <c r="M134" s="165"/>
      <c r="N134" s="21" t="s">
        <v>22</v>
      </c>
      <c r="O134" s="164"/>
      <c r="P134" s="164"/>
      <c r="Q134" s="177" t="s">
        <v>1665</v>
      </c>
      <c r="R134" s="164"/>
      <c r="S134" s="163">
        <f>IFERROR(__xludf.DUMMYFUNCTION("""COMPUTED_VALUE"""),0.0)</f>
        <v>0</v>
      </c>
      <c r="T134" s="164"/>
      <c r="U134" s="164"/>
      <c r="V134" s="164"/>
      <c r="W134" s="164"/>
      <c r="X134" s="164"/>
    </row>
    <row r="135">
      <c r="A135" s="175">
        <v>45900.0</v>
      </c>
      <c r="B135" s="176" t="s">
        <v>1972</v>
      </c>
      <c r="C135" s="177" t="s">
        <v>6716</v>
      </c>
      <c r="D135" s="177" t="s">
        <v>6712</v>
      </c>
      <c r="E135" s="177"/>
      <c r="F135" s="177" t="s">
        <v>6730</v>
      </c>
      <c r="G135" s="179" t="s">
        <v>6724</v>
      </c>
      <c r="H135" s="180" t="s">
        <v>1668</v>
      </c>
      <c r="I135" s="163">
        <f>IFERROR(__xludf.DUMMYFUNCTION("""COMPUTED_VALUE"""),6.083333333333333)</f>
        <v>6.083333333</v>
      </c>
      <c r="J135" s="177" t="s">
        <v>6723</v>
      </c>
      <c r="K135" s="164" t="s">
        <v>4420</v>
      </c>
      <c r="L135" s="164"/>
      <c r="M135" s="165"/>
      <c r="N135" s="21" t="s">
        <v>22</v>
      </c>
      <c r="O135" s="164"/>
      <c r="P135" s="164"/>
      <c r="Q135" s="177" t="s">
        <v>1665</v>
      </c>
      <c r="R135" s="164"/>
      <c r="S135" s="163">
        <f>IFERROR(__xludf.DUMMYFUNCTION("""COMPUTED_VALUE"""),0.0)</f>
        <v>0</v>
      </c>
      <c r="T135" s="164"/>
      <c r="U135" s="164"/>
      <c r="V135" s="164"/>
      <c r="W135" s="164"/>
      <c r="X135" s="164"/>
    </row>
    <row r="136">
      <c r="A136" s="175">
        <v>45900.0</v>
      </c>
      <c r="B136" s="176" t="s">
        <v>1972</v>
      </c>
      <c r="C136" s="177" t="s">
        <v>6716</v>
      </c>
      <c r="D136" s="177" t="s">
        <v>6712</v>
      </c>
      <c r="E136" s="177"/>
      <c r="F136" s="177" t="s">
        <v>6703</v>
      </c>
      <c r="G136" s="179" t="s">
        <v>6726</v>
      </c>
      <c r="H136" s="180" t="s">
        <v>3076</v>
      </c>
      <c r="I136" s="163">
        <f>IFERROR(__xludf.DUMMYFUNCTION("""COMPUTED_VALUE"""),6.083333333333333)</f>
        <v>6.083333333</v>
      </c>
      <c r="J136" s="177" t="s">
        <v>6705</v>
      </c>
      <c r="K136" s="164" t="s">
        <v>4422</v>
      </c>
      <c r="L136" s="164"/>
      <c r="M136" s="165"/>
      <c r="N136" s="21" t="s">
        <v>22</v>
      </c>
      <c r="O136" s="164"/>
      <c r="P136" s="164"/>
      <c r="Q136" s="177" t="s">
        <v>1665</v>
      </c>
      <c r="R136" s="164"/>
      <c r="S136" s="163">
        <f>IFERROR(__xludf.DUMMYFUNCTION("""COMPUTED_VALUE"""),0.0)</f>
        <v>0</v>
      </c>
      <c r="T136" s="164"/>
      <c r="U136" s="164"/>
      <c r="V136" s="164"/>
      <c r="W136" s="164"/>
      <c r="X136" s="164"/>
    </row>
    <row r="137">
      <c r="A137" s="175">
        <v>45900.0</v>
      </c>
      <c r="B137" s="176" t="s">
        <v>2697</v>
      </c>
      <c r="C137" s="177" t="s">
        <v>1049</v>
      </c>
      <c r="D137" s="177" t="s">
        <v>6712</v>
      </c>
      <c r="E137" s="177" t="s">
        <v>6797</v>
      </c>
      <c r="F137" s="177" t="s">
        <v>6706</v>
      </c>
      <c r="G137" s="179" t="s">
        <v>6707</v>
      </c>
      <c r="H137" s="180" t="s">
        <v>2697</v>
      </c>
      <c r="I137" s="163">
        <f>IFERROR(__xludf.DUMMYFUNCTION("""COMPUTED_VALUE"""),10.0)</f>
        <v>10</v>
      </c>
      <c r="J137" s="177" t="s">
        <v>6735</v>
      </c>
      <c r="K137" s="164" t="s">
        <v>6798</v>
      </c>
      <c r="L137" s="164"/>
      <c r="M137" s="165"/>
      <c r="N137" s="21" t="s">
        <v>22</v>
      </c>
      <c r="O137" s="164"/>
      <c r="P137" s="164"/>
      <c r="Q137" s="177" t="s">
        <v>2698</v>
      </c>
      <c r="R137" s="164"/>
      <c r="S137" s="163"/>
      <c r="T137" s="164"/>
      <c r="U137" s="164"/>
      <c r="V137" s="164"/>
      <c r="W137" s="164"/>
      <c r="X137" s="164"/>
    </row>
    <row r="138">
      <c r="A138" s="175">
        <v>45900.0</v>
      </c>
      <c r="B138" s="176" t="s">
        <v>1661</v>
      </c>
      <c r="C138" s="177" t="s">
        <v>1049</v>
      </c>
      <c r="D138" s="177" t="s">
        <v>6712</v>
      </c>
      <c r="E138" s="177"/>
      <c r="F138" s="177" t="s">
        <v>6706</v>
      </c>
      <c r="G138" s="179" t="s">
        <v>6707</v>
      </c>
      <c r="H138" s="180" t="s">
        <v>1661</v>
      </c>
      <c r="I138" s="163">
        <f>IFERROR(__xludf.DUMMYFUNCTION("""COMPUTED_VALUE"""),10.0)</f>
        <v>10</v>
      </c>
      <c r="J138" s="177" t="s">
        <v>6708</v>
      </c>
      <c r="K138" s="164" t="s">
        <v>6799</v>
      </c>
      <c r="L138" s="164"/>
      <c r="M138" s="165"/>
      <c r="N138" s="21" t="s">
        <v>22</v>
      </c>
      <c r="O138" s="164"/>
      <c r="P138" s="164"/>
      <c r="Q138" s="177" t="s">
        <v>1662</v>
      </c>
      <c r="R138" s="164"/>
      <c r="S138" s="163"/>
      <c r="T138" s="164"/>
      <c r="U138" s="164"/>
      <c r="V138" s="164"/>
      <c r="W138" s="164"/>
      <c r="X138" s="164"/>
    </row>
    <row r="139">
      <c r="A139" s="175">
        <v>45898.0</v>
      </c>
      <c r="B139" s="176" t="s">
        <v>1613</v>
      </c>
      <c r="C139" s="177" t="s">
        <v>1049</v>
      </c>
      <c r="D139" s="177" t="s">
        <v>6712</v>
      </c>
      <c r="E139" s="177"/>
      <c r="F139" s="177" t="s">
        <v>6706</v>
      </c>
      <c r="G139" s="179" t="s">
        <v>6748</v>
      </c>
      <c r="H139" s="180" t="s">
        <v>1749</v>
      </c>
      <c r="I139" s="163">
        <f>IFERROR(__xludf.DUMMYFUNCTION("""COMPUTED_VALUE"""),0.0)</f>
        <v>0</v>
      </c>
      <c r="J139" s="177" t="s">
        <v>6759</v>
      </c>
      <c r="K139" s="164" t="s">
        <v>4424</v>
      </c>
      <c r="L139" s="164"/>
      <c r="M139" s="165"/>
      <c r="N139" s="21" t="s">
        <v>22</v>
      </c>
      <c r="O139" s="164"/>
      <c r="P139" s="164"/>
      <c r="Q139" s="177" t="s">
        <v>1542</v>
      </c>
      <c r="R139" s="164"/>
      <c r="S139" s="163"/>
      <c r="T139" s="164"/>
      <c r="U139" s="164"/>
      <c r="V139" s="164"/>
      <c r="W139" s="164"/>
      <c r="X139" s="164"/>
    </row>
    <row r="140">
      <c r="A140" s="175">
        <v>45898.0</v>
      </c>
      <c r="B140" s="176" t="s">
        <v>1613</v>
      </c>
      <c r="C140" s="177" t="s">
        <v>1049</v>
      </c>
      <c r="D140" s="177" t="s">
        <v>6712</v>
      </c>
      <c r="E140" s="177" t="s">
        <v>1112</v>
      </c>
      <c r="F140" s="177" t="s">
        <v>6706</v>
      </c>
      <c r="G140" s="179" t="s">
        <v>6800</v>
      </c>
      <c r="H140" s="180" t="s">
        <v>1613</v>
      </c>
      <c r="I140" s="163">
        <f>IFERROR(__xludf.DUMMYFUNCTION("""COMPUTED_VALUE"""),0.0)</f>
        <v>0</v>
      </c>
      <c r="J140" s="177" t="s">
        <v>6719</v>
      </c>
      <c r="K140" s="164" t="s">
        <v>6801</v>
      </c>
      <c r="L140" s="164"/>
      <c r="M140" s="165"/>
      <c r="N140" s="21" t="s">
        <v>22</v>
      </c>
      <c r="O140" s="164"/>
      <c r="P140" s="164"/>
      <c r="Q140" s="177" t="s">
        <v>1542</v>
      </c>
      <c r="R140" s="164"/>
      <c r="S140" s="163"/>
      <c r="T140" s="164"/>
      <c r="U140" s="164"/>
      <c r="V140" s="164"/>
      <c r="W140" s="164"/>
      <c r="X140" s="164"/>
    </row>
    <row r="141">
      <c r="A141" s="175">
        <v>45898.0</v>
      </c>
      <c r="B141" s="176" t="s">
        <v>1613</v>
      </c>
      <c r="C141" s="177" t="s">
        <v>1049</v>
      </c>
      <c r="D141" s="177" t="s">
        <v>6712</v>
      </c>
      <c r="E141" s="177"/>
      <c r="F141" s="177" t="s">
        <v>6730</v>
      </c>
      <c r="G141" s="179" t="s">
        <v>6802</v>
      </c>
      <c r="H141" s="180" t="s">
        <v>1619</v>
      </c>
      <c r="I141" s="163">
        <f>IFERROR(__xludf.DUMMYFUNCTION("""COMPUTED_VALUE"""),0.0)</f>
        <v>0</v>
      </c>
      <c r="J141" s="177" t="s">
        <v>6708</v>
      </c>
      <c r="K141" s="164" t="s">
        <v>4426</v>
      </c>
      <c r="L141" s="164"/>
      <c r="M141" s="165"/>
      <c r="N141" s="21" t="s">
        <v>22</v>
      </c>
      <c r="O141" s="164"/>
      <c r="P141" s="164"/>
      <c r="Q141" s="177" t="s">
        <v>1542</v>
      </c>
      <c r="R141" s="164"/>
      <c r="S141" s="163"/>
      <c r="T141" s="164"/>
      <c r="U141" s="164"/>
      <c r="V141" s="164"/>
      <c r="W141" s="164"/>
      <c r="X141" s="164"/>
    </row>
    <row r="142">
      <c r="A142" s="175">
        <v>45898.0</v>
      </c>
      <c r="B142" s="176" t="s">
        <v>6803</v>
      </c>
      <c r="C142" s="177" t="s">
        <v>1111</v>
      </c>
      <c r="D142" s="177" t="s">
        <v>6712</v>
      </c>
      <c r="E142" s="177"/>
      <c r="F142" s="177" t="s">
        <v>1107</v>
      </c>
      <c r="G142" s="179" t="s">
        <v>6720</v>
      </c>
      <c r="H142" s="180" t="s">
        <v>1621</v>
      </c>
      <c r="I142" s="163">
        <f>IFERROR(__xludf.DUMMYFUNCTION("""COMPUTED_VALUE"""),7.8)</f>
        <v>7.8</v>
      </c>
      <c r="J142" s="177" t="s">
        <v>6804</v>
      </c>
      <c r="K142" s="164" t="s">
        <v>4428</v>
      </c>
      <c r="L142" s="164"/>
      <c r="M142" s="165"/>
      <c r="N142" s="21" t="s">
        <v>22</v>
      </c>
      <c r="O142" s="164"/>
      <c r="P142" s="164"/>
      <c r="Q142" s="177" t="s">
        <v>1497</v>
      </c>
      <c r="R142" s="164"/>
      <c r="S142" s="163">
        <f>IFERROR(__xludf.DUMMYFUNCTION("""COMPUTED_VALUE"""),16.99)</f>
        <v>16.99</v>
      </c>
      <c r="T142" s="164"/>
      <c r="U142" s="164"/>
      <c r="V142" s="164"/>
      <c r="W142" s="164"/>
      <c r="X142" s="164"/>
    </row>
    <row r="143">
      <c r="A143" s="175">
        <v>45898.0</v>
      </c>
      <c r="B143" s="176" t="s">
        <v>6805</v>
      </c>
      <c r="C143" s="177" t="s">
        <v>1111</v>
      </c>
      <c r="D143" s="177" t="s">
        <v>6712</v>
      </c>
      <c r="E143" s="177"/>
      <c r="F143" s="177" t="s">
        <v>6730</v>
      </c>
      <c r="G143" s="179" t="s">
        <v>6802</v>
      </c>
      <c r="H143" s="180" t="s">
        <v>1623</v>
      </c>
      <c r="I143" s="163">
        <f>IFERROR(__xludf.DUMMYFUNCTION("""COMPUTED_VALUE"""),0.0)</f>
        <v>0</v>
      </c>
      <c r="J143" s="177" t="s">
        <v>6723</v>
      </c>
      <c r="K143" s="164" t="s">
        <v>4430</v>
      </c>
      <c r="L143" s="164"/>
      <c r="M143" s="165"/>
      <c r="N143" s="21" t="s">
        <v>22</v>
      </c>
      <c r="O143" s="164"/>
      <c r="P143" s="164"/>
      <c r="Q143" s="177" t="s">
        <v>1468</v>
      </c>
      <c r="R143" s="164"/>
      <c r="S143" s="163">
        <f>IFERROR(__xludf.DUMMYFUNCTION("""COMPUTED_VALUE"""),0.0)</f>
        <v>0</v>
      </c>
      <c r="T143" s="164"/>
      <c r="U143" s="164"/>
      <c r="V143" s="164"/>
      <c r="W143" s="164"/>
      <c r="X143" s="164"/>
    </row>
    <row r="144">
      <c r="A144" s="175">
        <v>45906.0</v>
      </c>
      <c r="B144" s="176" t="s">
        <v>1581</v>
      </c>
      <c r="C144" s="177" t="s">
        <v>4052</v>
      </c>
      <c r="D144" s="177" t="s">
        <v>6806</v>
      </c>
      <c r="E144" s="177"/>
      <c r="F144" s="164"/>
      <c r="G144" s="179" t="s">
        <v>6722</v>
      </c>
      <c r="H144" s="180" t="s">
        <v>2029</v>
      </c>
      <c r="I144" s="163">
        <f>IFERROR(__xludf.DUMMYFUNCTION("""COMPUTED_VALUE"""),0.0)</f>
        <v>0</v>
      </c>
      <c r="J144" s="164"/>
      <c r="K144" s="164" t="s">
        <v>4432</v>
      </c>
      <c r="L144" s="164"/>
      <c r="M144" s="165"/>
      <c r="N144" s="21" t="s">
        <v>22</v>
      </c>
      <c r="O144" s="164"/>
      <c r="P144" s="164"/>
      <c r="Q144" s="177" t="s">
        <v>1468</v>
      </c>
      <c r="R144" s="164"/>
      <c r="S144" s="163">
        <f>IFERROR(__xludf.DUMMYFUNCTION("""COMPUTED_VALUE"""),0.0)</f>
        <v>0</v>
      </c>
      <c r="T144" s="164"/>
      <c r="U144" s="164"/>
      <c r="V144" s="164"/>
      <c r="W144" s="164"/>
      <c r="X144" s="164"/>
    </row>
    <row r="145">
      <c r="A145" s="175">
        <v>45907.0</v>
      </c>
      <c r="B145" s="176" t="s">
        <v>1697</v>
      </c>
      <c r="C145" s="177" t="s">
        <v>1049</v>
      </c>
      <c r="D145" s="177" t="s">
        <v>6806</v>
      </c>
      <c r="E145" s="177" t="s">
        <v>38</v>
      </c>
      <c r="F145" s="177" t="s">
        <v>6717</v>
      </c>
      <c r="G145" s="179" t="s">
        <v>6707</v>
      </c>
      <c r="H145" s="180" t="s">
        <v>1697</v>
      </c>
      <c r="I145" s="163">
        <f>IFERROR(__xludf.DUMMYFUNCTION("""COMPUTED_VALUE"""),40.0)</f>
        <v>40</v>
      </c>
      <c r="J145" s="177" t="s">
        <v>6705</v>
      </c>
      <c r="K145" s="164" t="s">
        <v>6807</v>
      </c>
      <c r="L145" s="164"/>
      <c r="M145" s="165"/>
      <c r="N145" s="21" t="s">
        <v>22</v>
      </c>
      <c r="O145" s="164"/>
      <c r="P145" s="164"/>
      <c r="Q145" s="177" t="s">
        <v>1698</v>
      </c>
      <c r="R145" s="164"/>
      <c r="S145" s="163"/>
      <c r="T145" s="164"/>
      <c r="U145" s="164"/>
      <c r="V145" s="164"/>
      <c r="W145" s="164"/>
      <c r="X145" s="164"/>
    </row>
    <row r="146">
      <c r="A146" s="175">
        <v>45907.0</v>
      </c>
      <c r="B146" s="176" t="s">
        <v>1694</v>
      </c>
      <c r="C146" s="177" t="s">
        <v>1049</v>
      </c>
      <c r="D146" s="177" t="s">
        <v>6806</v>
      </c>
      <c r="E146" s="177"/>
      <c r="F146" s="177" t="s">
        <v>6706</v>
      </c>
      <c r="G146" s="179" t="s">
        <v>6707</v>
      </c>
      <c r="H146" s="180" t="s">
        <v>1694</v>
      </c>
      <c r="I146" s="163">
        <f>IFERROR(__xludf.DUMMYFUNCTION("""COMPUTED_VALUE"""),1.0)</f>
        <v>1</v>
      </c>
      <c r="J146" s="177" t="s">
        <v>6705</v>
      </c>
      <c r="K146" s="164" t="s">
        <v>6808</v>
      </c>
      <c r="L146" s="164"/>
      <c r="M146" s="165"/>
      <c r="N146" s="21" t="s">
        <v>22</v>
      </c>
      <c r="O146" s="164"/>
      <c r="P146" s="164"/>
      <c r="Q146" s="177" t="s">
        <v>1695</v>
      </c>
      <c r="R146" s="164"/>
      <c r="S146" s="163"/>
      <c r="T146" s="164"/>
      <c r="U146" s="164"/>
      <c r="V146" s="164"/>
      <c r="W146" s="164"/>
      <c r="X146" s="164"/>
    </row>
    <row r="147">
      <c r="A147" s="175">
        <v>45909.0</v>
      </c>
      <c r="B147" s="176" t="s">
        <v>2693</v>
      </c>
      <c r="C147" s="177" t="s">
        <v>1049</v>
      </c>
      <c r="D147" s="177" t="s">
        <v>6806</v>
      </c>
      <c r="E147" s="177" t="s">
        <v>38</v>
      </c>
      <c r="F147" s="177" t="s">
        <v>6730</v>
      </c>
      <c r="G147" s="179"/>
      <c r="H147" s="180" t="s">
        <v>2693</v>
      </c>
      <c r="I147" s="163">
        <f>IFERROR(__xludf.DUMMYFUNCTION("""COMPUTED_VALUE"""),16.0)</f>
        <v>16</v>
      </c>
      <c r="J147" s="177" t="s">
        <v>6708</v>
      </c>
      <c r="K147" s="164" t="s">
        <v>6809</v>
      </c>
      <c r="L147" s="164"/>
      <c r="M147" s="165"/>
      <c r="N147" s="21" t="s">
        <v>22</v>
      </c>
      <c r="O147" s="164"/>
      <c r="P147" s="164"/>
      <c r="Q147" s="177" t="s">
        <v>2620</v>
      </c>
      <c r="R147" s="164"/>
      <c r="S147" s="163"/>
      <c r="T147" s="164"/>
      <c r="U147" s="164"/>
      <c r="V147" s="164"/>
      <c r="W147" s="164"/>
      <c r="X147" s="164"/>
    </row>
    <row r="148">
      <c r="A148" s="175">
        <v>45915.0</v>
      </c>
      <c r="B148" s="176" t="s">
        <v>1759</v>
      </c>
      <c r="C148" s="177" t="s">
        <v>1049</v>
      </c>
      <c r="D148" s="177" t="s">
        <v>6806</v>
      </c>
      <c r="E148" s="177"/>
      <c r="F148" s="177" t="s">
        <v>6714</v>
      </c>
      <c r="G148" s="179" t="s">
        <v>6707</v>
      </c>
      <c r="H148" s="180" t="s">
        <v>1759</v>
      </c>
      <c r="I148" s="163">
        <f>IFERROR(__xludf.DUMMYFUNCTION("""COMPUTED_VALUE"""),44.0)</f>
        <v>44</v>
      </c>
      <c r="J148" s="177" t="s">
        <v>6705</v>
      </c>
      <c r="K148" s="164" t="s">
        <v>6810</v>
      </c>
      <c r="L148" s="164"/>
      <c r="M148" s="165"/>
      <c r="N148" s="21" t="s">
        <v>22</v>
      </c>
      <c r="O148" s="164"/>
      <c r="P148" s="164"/>
      <c r="Q148" s="177" t="s">
        <v>1760</v>
      </c>
      <c r="R148" s="164"/>
      <c r="S148" s="163"/>
      <c r="T148" s="164"/>
      <c r="U148" s="164"/>
      <c r="V148" s="164"/>
      <c r="W148" s="164"/>
      <c r="X148" s="164"/>
    </row>
    <row r="149">
      <c r="A149" s="175">
        <v>45909.0</v>
      </c>
      <c r="B149" s="176" t="s">
        <v>1706</v>
      </c>
      <c r="C149" s="177" t="s">
        <v>1111</v>
      </c>
      <c r="D149" s="177" t="s">
        <v>6811</v>
      </c>
      <c r="E149" s="177" t="s">
        <v>83</v>
      </c>
      <c r="F149" s="177" t="s">
        <v>6730</v>
      </c>
      <c r="G149" s="179" t="s">
        <v>6707</v>
      </c>
      <c r="H149" s="180" t="s">
        <v>1706</v>
      </c>
      <c r="I149" s="163">
        <f>IFERROR(__xludf.DUMMYFUNCTION("""COMPUTED_VALUE"""),4.19)</f>
        <v>4.19</v>
      </c>
      <c r="J149" s="177" t="s">
        <v>6739</v>
      </c>
      <c r="K149" s="164" t="s">
        <v>6812</v>
      </c>
      <c r="L149" s="164"/>
      <c r="M149" s="165"/>
      <c r="N149" s="21" t="s">
        <v>22</v>
      </c>
      <c r="O149" s="164"/>
      <c r="P149" s="164"/>
      <c r="Q149" s="177" t="s">
        <v>1707</v>
      </c>
      <c r="R149" s="164"/>
      <c r="S149" s="163"/>
      <c r="T149" s="164"/>
      <c r="U149" s="164"/>
      <c r="V149" s="164"/>
      <c r="W149" s="164"/>
      <c r="X149" s="164"/>
    </row>
    <row r="150">
      <c r="A150" s="175">
        <v>45909.0</v>
      </c>
      <c r="B150" s="176" t="s">
        <v>2516</v>
      </c>
      <c r="C150" s="177" t="s">
        <v>1111</v>
      </c>
      <c r="D150" s="177" t="s">
        <v>6811</v>
      </c>
      <c r="E150" s="177" t="s">
        <v>83</v>
      </c>
      <c r="F150" s="177" t="s">
        <v>6813</v>
      </c>
      <c r="G150" s="179" t="s">
        <v>6707</v>
      </c>
      <c r="H150" s="180" t="s">
        <v>2516</v>
      </c>
      <c r="I150" s="163">
        <f>IFERROR(__xludf.DUMMYFUNCTION("""COMPUTED_VALUE"""),4.19)</f>
        <v>4.19</v>
      </c>
      <c r="J150" s="177" t="s">
        <v>6735</v>
      </c>
      <c r="K150" s="164" t="s">
        <v>6814</v>
      </c>
      <c r="L150" s="164"/>
      <c r="M150" s="165"/>
      <c r="N150" s="21" t="s">
        <v>22</v>
      </c>
      <c r="O150" s="164"/>
      <c r="P150" s="164"/>
      <c r="Q150" s="177" t="s">
        <v>1707</v>
      </c>
      <c r="R150" s="164"/>
      <c r="S150" s="163"/>
      <c r="T150" s="164"/>
      <c r="U150" s="164"/>
      <c r="V150" s="164"/>
      <c r="W150" s="164"/>
      <c r="X150" s="164"/>
    </row>
    <row r="151">
      <c r="A151" s="175">
        <v>45909.0</v>
      </c>
      <c r="B151" s="176" t="s">
        <v>1709</v>
      </c>
      <c r="C151" s="177" t="s">
        <v>1111</v>
      </c>
      <c r="D151" s="177" t="s">
        <v>6811</v>
      </c>
      <c r="E151" s="177" t="s">
        <v>83</v>
      </c>
      <c r="F151" s="177" t="s">
        <v>6706</v>
      </c>
      <c r="G151" s="179" t="s">
        <v>6707</v>
      </c>
      <c r="H151" s="180" t="s">
        <v>1709</v>
      </c>
      <c r="I151" s="163">
        <f>IFERROR(__xludf.DUMMYFUNCTION("""COMPUTED_VALUE"""),4.19)</f>
        <v>4.19</v>
      </c>
      <c r="J151" s="177" t="s">
        <v>6723</v>
      </c>
      <c r="K151" s="164" t="s">
        <v>6815</v>
      </c>
      <c r="L151" s="164"/>
      <c r="M151" s="165"/>
      <c r="N151" s="21" t="s">
        <v>22</v>
      </c>
      <c r="O151" s="164"/>
      <c r="P151" s="164"/>
      <c r="Q151" s="177" t="s">
        <v>1707</v>
      </c>
      <c r="R151" s="164"/>
      <c r="S151" s="163"/>
      <c r="T151" s="164"/>
      <c r="U151" s="164"/>
      <c r="V151" s="164"/>
      <c r="W151" s="164"/>
      <c r="X151" s="164"/>
    </row>
    <row r="152">
      <c r="A152" s="175">
        <v>45909.0</v>
      </c>
      <c r="B152" s="176" t="s">
        <v>1711</v>
      </c>
      <c r="C152" s="177" t="s">
        <v>1111</v>
      </c>
      <c r="D152" s="177" t="s">
        <v>6811</v>
      </c>
      <c r="E152" s="177" t="s">
        <v>83</v>
      </c>
      <c r="F152" s="177" t="s">
        <v>6706</v>
      </c>
      <c r="G152" s="179" t="s">
        <v>6707</v>
      </c>
      <c r="H152" s="180" t="s">
        <v>1711</v>
      </c>
      <c r="I152" s="163">
        <f>IFERROR(__xludf.DUMMYFUNCTION("""COMPUTED_VALUE"""),4.19)</f>
        <v>4.19</v>
      </c>
      <c r="J152" s="177" t="s">
        <v>6727</v>
      </c>
      <c r="K152" s="164" t="s">
        <v>6816</v>
      </c>
      <c r="L152" s="164"/>
      <c r="M152" s="165"/>
      <c r="N152" s="21" t="s">
        <v>22</v>
      </c>
      <c r="O152" s="164"/>
      <c r="P152" s="164"/>
      <c r="Q152" s="177" t="s">
        <v>1707</v>
      </c>
      <c r="R152" s="164"/>
      <c r="S152" s="163"/>
      <c r="T152" s="164"/>
      <c r="U152" s="164"/>
      <c r="V152" s="164"/>
      <c r="W152" s="164"/>
      <c r="X152" s="164"/>
    </row>
    <row r="153">
      <c r="A153" s="175">
        <v>45909.0</v>
      </c>
      <c r="B153" s="176" t="s">
        <v>1723</v>
      </c>
      <c r="C153" s="177" t="s">
        <v>1049</v>
      </c>
      <c r="D153" s="177" t="s">
        <v>6806</v>
      </c>
      <c r="E153" s="177"/>
      <c r="F153" s="177" t="s">
        <v>6706</v>
      </c>
      <c r="G153" s="179" t="s">
        <v>6707</v>
      </c>
      <c r="H153" s="180" t="s">
        <v>1723</v>
      </c>
      <c r="I153" s="163">
        <f>IFERROR(__xludf.DUMMYFUNCTION("""COMPUTED_VALUE"""),8.0)</f>
        <v>8</v>
      </c>
      <c r="J153" s="177" t="s">
        <v>6735</v>
      </c>
      <c r="K153" s="164" t="s">
        <v>6817</v>
      </c>
      <c r="L153" s="164"/>
      <c r="M153" s="165"/>
      <c r="N153" s="21" t="s">
        <v>22</v>
      </c>
      <c r="O153" s="164"/>
      <c r="P153" s="164"/>
      <c r="Q153" s="177" t="s">
        <v>1724</v>
      </c>
      <c r="R153" s="164"/>
      <c r="S153" s="163">
        <f>IFERROR(__xludf.DUMMYFUNCTION("""COMPUTED_VALUE"""),20.0)</f>
        <v>20</v>
      </c>
      <c r="T153" s="164"/>
      <c r="U153" s="164"/>
      <c r="V153" s="164"/>
      <c r="W153" s="164"/>
      <c r="X153" s="164"/>
    </row>
    <row r="154">
      <c r="A154" s="175">
        <v>45909.0</v>
      </c>
      <c r="B154" s="176" t="s">
        <v>1726</v>
      </c>
      <c r="C154" s="177" t="s">
        <v>1049</v>
      </c>
      <c r="D154" s="177" t="s">
        <v>6806</v>
      </c>
      <c r="E154" s="177"/>
      <c r="F154" s="177" t="s">
        <v>6781</v>
      </c>
      <c r="G154" s="179" t="s">
        <v>6707</v>
      </c>
      <c r="H154" s="180" t="s">
        <v>1726</v>
      </c>
      <c r="I154" s="163">
        <f>IFERROR(__xludf.DUMMYFUNCTION("""COMPUTED_VALUE"""),8.0)</f>
        <v>8</v>
      </c>
      <c r="J154" s="177" t="s">
        <v>6723</v>
      </c>
      <c r="K154" s="164" t="s">
        <v>6818</v>
      </c>
      <c r="L154" s="164"/>
      <c r="M154" s="165"/>
      <c r="N154" s="21" t="s">
        <v>22</v>
      </c>
      <c r="O154" s="164"/>
      <c r="P154" s="164"/>
      <c r="Q154" s="177" t="s">
        <v>1724</v>
      </c>
      <c r="R154" s="164"/>
      <c r="S154" s="163">
        <f>IFERROR(__xludf.DUMMYFUNCTION("""COMPUTED_VALUE"""),20.0)</f>
        <v>20</v>
      </c>
      <c r="T154" s="164"/>
      <c r="U154" s="164"/>
      <c r="V154" s="164"/>
      <c r="W154" s="164"/>
      <c r="X154" s="164"/>
    </row>
    <row r="155">
      <c r="A155" s="175">
        <v>45909.0</v>
      </c>
      <c r="B155" s="176" t="s">
        <v>1728</v>
      </c>
      <c r="C155" s="177" t="s">
        <v>1049</v>
      </c>
      <c r="D155" s="177" t="s">
        <v>6806</v>
      </c>
      <c r="E155" s="177"/>
      <c r="F155" s="177" t="s">
        <v>6781</v>
      </c>
      <c r="G155" s="179" t="s">
        <v>6707</v>
      </c>
      <c r="H155" s="180" t="s">
        <v>1728</v>
      </c>
      <c r="I155" s="163">
        <f>IFERROR(__xludf.DUMMYFUNCTION("""COMPUTED_VALUE"""),8.0)</f>
        <v>8</v>
      </c>
      <c r="J155" s="177" t="s">
        <v>6739</v>
      </c>
      <c r="K155" s="164" t="s">
        <v>6819</v>
      </c>
      <c r="L155" s="164"/>
      <c r="M155" s="165"/>
      <c r="N155" s="21" t="s">
        <v>22</v>
      </c>
      <c r="O155" s="164"/>
      <c r="P155" s="164"/>
      <c r="Q155" s="177" t="s">
        <v>1724</v>
      </c>
      <c r="R155" s="164"/>
      <c r="S155" s="163">
        <f>IFERROR(__xludf.DUMMYFUNCTION("""COMPUTED_VALUE"""),20.0)</f>
        <v>20</v>
      </c>
      <c r="T155" s="164"/>
      <c r="U155" s="164"/>
      <c r="V155" s="164"/>
      <c r="W155" s="164"/>
      <c r="X155" s="164"/>
    </row>
    <row r="156">
      <c r="A156" s="175">
        <v>45914.0</v>
      </c>
      <c r="B156" s="176" t="s">
        <v>2702</v>
      </c>
      <c r="C156" s="177" t="s">
        <v>1049</v>
      </c>
      <c r="D156" s="177" t="s">
        <v>6806</v>
      </c>
      <c r="E156" s="177" t="s">
        <v>6820</v>
      </c>
      <c r="F156" s="177" t="s">
        <v>6777</v>
      </c>
      <c r="G156" s="179" t="s">
        <v>6707</v>
      </c>
      <c r="H156" s="180" t="s">
        <v>2702</v>
      </c>
      <c r="I156" s="163">
        <f>IFERROR(__xludf.DUMMYFUNCTION("""COMPUTED_VALUE"""),15.0)</f>
        <v>15</v>
      </c>
      <c r="J156" s="177" t="s">
        <v>6705</v>
      </c>
      <c r="K156" s="164" t="s">
        <v>6821</v>
      </c>
      <c r="L156" s="164"/>
      <c r="M156" s="165"/>
      <c r="N156" s="21" t="s">
        <v>22</v>
      </c>
      <c r="O156" s="164"/>
      <c r="P156" s="164"/>
      <c r="Q156" s="177" t="s">
        <v>2587</v>
      </c>
      <c r="R156" s="164"/>
      <c r="S156" s="163">
        <f>IFERROR(__xludf.DUMMYFUNCTION("""COMPUTED_VALUE"""),35.0)</f>
        <v>35</v>
      </c>
      <c r="T156" s="164"/>
      <c r="U156" s="164"/>
      <c r="V156" s="164"/>
      <c r="W156" s="164"/>
      <c r="X156" s="164"/>
    </row>
    <row r="157">
      <c r="A157" s="175">
        <v>45914.0</v>
      </c>
      <c r="B157" s="176" t="s">
        <v>2586</v>
      </c>
      <c r="C157" s="177" t="s">
        <v>1049</v>
      </c>
      <c r="D157" s="177" t="s">
        <v>6806</v>
      </c>
      <c r="E157" s="177"/>
      <c r="F157" s="177" t="s">
        <v>6731</v>
      </c>
      <c r="G157" s="179" t="s">
        <v>6707</v>
      </c>
      <c r="H157" s="180" t="s">
        <v>2586</v>
      </c>
      <c r="I157" s="163">
        <f>IFERROR(__xludf.DUMMYFUNCTION("""COMPUTED_VALUE"""),15.0)</f>
        <v>15</v>
      </c>
      <c r="J157" s="177" t="s">
        <v>6737</v>
      </c>
      <c r="K157" s="164" t="s">
        <v>6822</v>
      </c>
      <c r="L157" s="164"/>
      <c r="M157" s="165"/>
      <c r="N157" s="21" t="s">
        <v>22</v>
      </c>
      <c r="O157" s="164"/>
      <c r="P157" s="164"/>
      <c r="Q157" s="177" t="s">
        <v>2587</v>
      </c>
      <c r="R157" s="164"/>
      <c r="S157" s="163">
        <f>IFERROR(__xludf.DUMMYFUNCTION("""COMPUTED_VALUE"""),35.0)</f>
        <v>35</v>
      </c>
      <c r="T157" s="164"/>
      <c r="U157" s="164"/>
      <c r="V157" s="164"/>
      <c r="W157" s="164"/>
      <c r="X157" s="164"/>
    </row>
    <row r="158">
      <c r="A158" s="175">
        <v>45914.0</v>
      </c>
      <c r="B158" s="176" t="s">
        <v>2787</v>
      </c>
      <c r="C158" s="177" t="s">
        <v>1049</v>
      </c>
      <c r="D158" s="177" t="s">
        <v>6806</v>
      </c>
      <c r="E158" s="177" t="s">
        <v>6823</v>
      </c>
      <c r="F158" s="177" t="s">
        <v>6731</v>
      </c>
      <c r="G158" s="179" t="s">
        <v>6707</v>
      </c>
      <c r="H158" s="180" t="s">
        <v>2787</v>
      </c>
      <c r="I158" s="163">
        <f>IFERROR(__xludf.DUMMYFUNCTION("""COMPUTED_VALUE"""),15.0)</f>
        <v>15</v>
      </c>
      <c r="J158" s="177" t="s">
        <v>6739</v>
      </c>
      <c r="K158" s="164" t="s">
        <v>6824</v>
      </c>
      <c r="L158" s="164"/>
      <c r="M158" s="165"/>
      <c r="N158" s="21" t="s">
        <v>22</v>
      </c>
      <c r="O158" s="164"/>
      <c r="P158" s="164"/>
      <c r="Q158" s="177" t="s">
        <v>2587</v>
      </c>
      <c r="R158" s="164"/>
      <c r="S158" s="163">
        <f>IFERROR(__xludf.DUMMYFUNCTION("""COMPUTED_VALUE"""),35.0)</f>
        <v>35</v>
      </c>
      <c r="T158" s="164"/>
      <c r="U158" s="164"/>
      <c r="V158" s="164"/>
      <c r="W158" s="164"/>
      <c r="X158" s="164"/>
    </row>
    <row r="159">
      <c r="A159" s="175">
        <v>45914.0</v>
      </c>
      <c r="B159" s="176" t="s">
        <v>2277</v>
      </c>
      <c r="C159" s="177" t="s">
        <v>1049</v>
      </c>
      <c r="D159" s="177" t="s">
        <v>6811</v>
      </c>
      <c r="E159" s="177" t="s">
        <v>6825</v>
      </c>
      <c r="F159" s="177" t="s">
        <v>6826</v>
      </c>
      <c r="G159" s="179" t="s">
        <v>6707</v>
      </c>
      <c r="H159" s="180" t="s">
        <v>2277</v>
      </c>
      <c r="I159" s="163">
        <f>IFERROR(__xludf.DUMMYFUNCTION("""COMPUTED_VALUE"""),8.0)</f>
        <v>8</v>
      </c>
      <c r="J159" s="177" t="s">
        <v>6827</v>
      </c>
      <c r="K159" s="164" t="s">
        <v>6828</v>
      </c>
      <c r="L159" s="164"/>
      <c r="M159" s="165"/>
      <c r="N159" s="21" t="s">
        <v>22</v>
      </c>
      <c r="O159" s="164"/>
      <c r="P159" s="164"/>
      <c r="Q159" s="177" t="s">
        <v>1752</v>
      </c>
      <c r="R159" s="164"/>
      <c r="S159" s="163">
        <f>IFERROR(__xludf.DUMMYFUNCTION("""COMPUTED_VALUE"""),15.0)</f>
        <v>15</v>
      </c>
      <c r="T159" s="164"/>
      <c r="U159" s="164"/>
      <c r="V159" s="164"/>
      <c r="W159" s="164"/>
      <c r="X159" s="164"/>
    </row>
    <row r="160">
      <c r="A160" s="175"/>
      <c r="B160" s="176"/>
      <c r="C160" s="177"/>
      <c r="D160" s="177"/>
      <c r="E160" s="177"/>
      <c r="F160" s="177"/>
      <c r="G160" s="179"/>
      <c r="H160" s="180"/>
      <c r="I160" s="163" t="str">
        <f>IFERROR(__xludf.DUMMYFUNCTION("""COMPUTED_VALUE"""),"")</f>
        <v/>
      </c>
      <c r="J160" s="177"/>
      <c r="K160" s="164"/>
      <c r="L160" s="164"/>
      <c r="M160" s="165"/>
      <c r="N160" s="21" t="s">
        <v>22</v>
      </c>
      <c r="O160" s="164"/>
      <c r="P160" s="164"/>
      <c r="Q160" s="164"/>
      <c r="R160" s="164"/>
      <c r="S160" s="163" t="str">
        <f>IFERROR(__xludf.DUMMYFUNCTION("""COMPUTED_VALUE"""),"")</f>
        <v/>
      </c>
      <c r="T160" s="164"/>
      <c r="U160" s="164"/>
      <c r="V160" s="164"/>
      <c r="W160" s="164"/>
      <c r="X160" s="164"/>
    </row>
    <row r="161">
      <c r="A161" s="175"/>
      <c r="B161" s="176"/>
      <c r="C161" s="177"/>
      <c r="D161" s="177"/>
      <c r="E161" s="177"/>
      <c r="F161" s="177"/>
      <c r="G161" s="179"/>
      <c r="H161" s="180"/>
      <c r="I161" s="163" t="str">
        <f>IFERROR(__xludf.DUMMYFUNCTION("""COMPUTED_VALUE"""),"")</f>
        <v/>
      </c>
      <c r="J161" s="177"/>
      <c r="K161" s="164"/>
      <c r="L161" s="164"/>
      <c r="M161" s="165"/>
      <c r="N161" s="21" t="s">
        <v>22</v>
      </c>
      <c r="O161" s="164"/>
      <c r="P161" s="164"/>
      <c r="Q161" s="164"/>
      <c r="R161" s="164"/>
      <c r="S161" s="163" t="str">
        <f>IFERROR(__xludf.DUMMYFUNCTION("""COMPUTED_VALUE"""),"")</f>
        <v/>
      </c>
      <c r="T161" s="164"/>
      <c r="U161" s="164"/>
      <c r="V161" s="164"/>
      <c r="W161" s="164"/>
      <c r="X161" s="164"/>
    </row>
    <row r="162">
      <c r="A162" s="175"/>
      <c r="B162" s="176"/>
      <c r="C162" s="177"/>
      <c r="D162" s="177"/>
      <c r="E162" s="177"/>
      <c r="F162" s="177"/>
      <c r="G162" s="179"/>
      <c r="H162" s="180"/>
      <c r="I162" s="163" t="str">
        <f>IFERROR(__xludf.DUMMYFUNCTION("""COMPUTED_VALUE"""),"")</f>
        <v/>
      </c>
      <c r="J162" s="177"/>
      <c r="K162" s="164"/>
      <c r="L162" s="164"/>
      <c r="M162" s="165"/>
      <c r="N162" s="21" t="s">
        <v>22</v>
      </c>
      <c r="O162" s="164"/>
      <c r="P162" s="164"/>
      <c r="Q162" s="164"/>
      <c r="R162" s="164"/>
      <c r="S162" s="163" t="str">
        <f>IFERROR(__xludf.DUMMYFUNCTION("""COMPUTED_VALUE"""),"")</f>
        <v/>
      </c>
      <c r="T162" s="164"/>
      <c r="U162" s="164"/>
      <c r="V162" s="164"/>
      <c r="W162" s="164"/>
      <c r="X162" s="164"/>
    </row>
    <row r="163">
      <c r="A163" s="175">
        <v>45914.0</v>
      </c>
      <c r="B163" s="176" t="s">
        <v>3149</v>
      </c>
      <c r="C163" s="177" t="s">
        <v>1118</v>
      </c>
      <c r="D163" s="177" t="s">
        <v>6811</v>
      </c>
      <c r="E163" s="177"/>
      <c r="F163" s="177" t="s">
        <v>6731</v>
      </c>
      <c r="G163" s="179" t="s">
        <v>6707</v>
      </c>
      <c r="H163" s="180" t="s">
        <v>3149</v>
      </c>
      <c r="I163" s="163">
        <f>IFERROR(__xludf.DUMMYFUNCTION("""COMPUTED_VALUE"""),0.7272727272727273)</f>
        <v>0.7272727273</v>
      </c>
      <c r="J163" s="177" t="s">
        <v>6759</v>
      </c>
      <c r="K163" s="164" t="s">
        <v>6829</v>
      </c>
      <c r="L163" s="164"/>
      <c r="M163" s="165"/>
      <c r="N163" s="21" t="s">
        <v>22</v>
      </c>
      <c r="O163" s="164"/>
      <c r="P163" s="164"/>
      <c r="Q163" s="177" t="s">
        <v>1752</v>
      </c>
      <c r="R163" s="164"/>
      <c r="S163" s="163">
        <f>IFERROR(__xludf.DUMMYFUNCTION("""COMPUTED_VALUE"""),1.3636363636363635)</f>
        <v>1.363636364</v>
      </c>
      <c r="T163" s="164"/>
      <c r="U163" s="164"/>
      <c r="V163" s="164"/>
      <c r="W163" s="164"/>
      <c r="X163" s="164"/>
    </row>
    <row r="164">
      <c r="A164" s="175">
        <v>45914.0</v>
      </c>
      <c r="B164" s="176" t="s">
        <v>3149</v>
      </c>
      <c r="C164" s="177" t="s">
        <v>6716</v>
      </c>
      <c r="D164" s="177" t="s">
        <v>6811</v>
      </c>
      <c r="E164" s="177"/>
      <c r="F164" s="177" t="s">
        <v>6781</v>
      </c>
      <c r="G164" s="179" t="s">
        <v>6720</v>
      </c>
      <c r="H164" s="180" t="s">
        <v>1751</v>
      </c>
      <c r="I164" s="163">
        <f>IFERROR(__xludf.DUMMYFUNCTION("""COMPUTED_VALUE"""),0.7272727272727273)</f>
        <v>0.7272727273</v>
      </c>
      <c r="J164" s="177" t="s">
        <v>6739</v>
      </c>
      <c r="K164" s="164" t="s">
        <v>4434</v>
      </c>
      <c r="L164" s="164"/>
      <c r="M164" s="165"/>
      <c r="N164" s="21" t="s">
        <v>22</v>
      </c>
      <c r="O164" s="164"/>
      <c r="P164" s="164"/>
      <c r="Q164" s="177" t="s">
        <v>1752</v>
      </c>
      <c r="R164" s="164"/>
      <c r="S164" s="163">
        <f>IFERROR(__xludf.DUMMYFUNCTION("""COMPUTED_VALUE"""),1.3636363636363635)</f>
        <v>1.363636364</v>
      </c>
      <c r="T164" s="164"/>
      <c r="U164" s="164"/>
      <c r="V164" s="164"/>
      <c r="W164" s="164"/>
      <c r="X164" s="164"/>
    </row>
    <row r="165">
      <c r="A165" s="175">
        <v>45914.0</v>
      </c>
      <c r="B165" s="176" t="s">
        <v>3149</v>
      </c>
      <c r="C165" s="177" t="s">
        <v>6716</v>
      </c>
      <c r="D165" s="177" t="s">
        <v>6811</v>
      </c>
      <c r="E165" s="177"/>
      <c r="F165" s="177" t="s">
        <v>1107</v>
      </c>
      <c r="G165" s="179" t="s">
        <v>6721</v>
      </c>
      <c r="H165" s="180" t="s">
        <v>3496</v>
      </c>
      <c r="I165" s="163">
        <f>IFERROR(__xludf.DUMMYFUNCTION("""COMPUTED_VALUE"""),0.7272727272727273)</f>
        <v>0.7272727273</v>
      </c>
      <c r="J165" s="177" t="s">
        <v>6830</v>
      </c>
      <c r="K165" s="164" t="s">
        <v>4436</v>
      </c>
      <c r="L165" s="164"/>
      <c r="M165" s="165"/>
      <c r="N165" s="21" t="s">
        <v>22</v>
      </c>
      <c r="O165" s="164"/>
      <c r="P165" s="164"/>
      <c r="Q165" s="177" t="s">
        <v>1752</v>
      </c>
      <c r="R165" s="164"/>
      <c r="S165" s="163">
        <f>IFERROR(__xludf.DUMMYFUNCTION("""COMPUTED_VALUE"""),1.3636363636363635)</f>
        <v>1.363636364</v>
      </c>
      <c r="T165" s="164"/>
      <c r="U165" s="164"/>
      <c r="V165" s="164"/>
      <c r="W165" s="164"/>
      <c r="X165" s="164"/>
    </row>
    <row r="166">
      <c r="A166" s="175">
        <v>45914.0</v>
      </c>
      <c r="B166" s="176" t="s">
        <v>1746</v>
      </c>
      <c r="C166" s="177" t="s">
        <v>1118</v>
      </c>
      <c r="D166" s="177" t="s">
        <v>6806</v>
      </c>
      <c r="E166" s="177"/>
      <c r="F166" s="177" t="s">
        <v>6781</v>
      </c>
      <c r="G166" s="179" t="s">
        <v>6707</v>
      </c>
      <c r="H166" s="180" t="s">
        <v>1746</v>
      </c>
      <c r="I166" s="163">
        <f>IFERROR(__xludf.DUMMYFUNCTION("""COMPUTED_VALUE"""),2.0)</f>
        <v>2</v>
      </c>
      <c r="J166" s="177" t="s">
        <v>6705</v>
      </c>
      <c r="K166" s="164" t="s">
        <v>6831</v>
      </c>
      <c r="L166" s="164"/>
      <c r="M166" s="165"/>
      <c r="N166" s="21" t="s">
        <v>22</v>
      </c>
      <c r="O166" s="164"/>
      <c r="P166" s="164"/>
      <c r="Q166" s="177" t="s">
        <v>1747</v>
      </c>
      <c r="R166" s="164"/>
      <c r="S166" s="163">
        <f>IFERROR(__xludf.DUMMYFUNCTION("""COMPUTED_VALUE"""),6.0)</f>
        <v>6</v>
      </c>
      <c r="T166" s="164"/>
      <c r="U166" s="164"/>
      <c r="V166" s="164"/>
      <c r="W166" s="164"/>
      <c r="X166" s="164"/>
    </row>
    <row r="167">
      <c r="A167" s="175">
        <v>45914.0</v>
      </c>
      <c r="B167" s="176" t="s">
        <v>1746</v>
      </c>
      <c r="C167" s="177" t="s">
        <v>6716</v>
      </c>
      <c r="D167" s="177" t="s">
        <v>6806</v>
      </c>
      <c r="E167" s="177"/>
      <c r="F167" s="177" t="s">
        <v>6730</v>
      </c>
      <c r="G167" s="179" t="s">
        <v>6720</v>
      </c>
      <c r="H167" s="180" t="s">
        <v>1985</v>
      </c>
      <c r="I167" s="163">
        <f>IFERROR(__xludf.DUMMYFUNCTION("""COMPUTED_VALUE"""),2.0)</f>
        <v>2</v>
      </c>
      <c r="J167" s="177" t="s">
        <v>6737</v>
      </c>
      <c r="K167" s="164" t="s">
        <v>4438</v>
      </c>
      <c r="L167" s="164"/>
      <c r="M167" s="165"/>
      <c r="N167" s="21" t="s">
        <v>22</v>
      </c>
      <c r="O167" s="164"/>
      <c r="P167" s="164"/>
      <c r="Q167" s="177" t="s">
        <v>1747</v>
      </c>
      <c r="R167" s="164"/>
      <c r="S167" s="163">
        <f>IFERROR(__xludf.DUMMYFUNCTION("""COMPUTED_VALUE"""),6.0)</f>
        <v>6</v>
      </c>
      <c r="T167" s="164"/>
      <c r="U167" s="164"/>
      <c r="V167" s="164"/>
      <c r="W167" s="164"/>
      <c r="X167" s="164"/>
    </row>
    <row r="168">
      <c r="A168" s="175">
        <v>45914.0</v>
      </c>
      <c r="B168" s="176" t="s">
        <v>1746</v>
      </c>
      <c r="C168" s="177" t="s">
        <v>6716</v>
      </c>
      <c r="D168" s="177" t="s">
        <v>6806</v>
      </c>
      <c r="E168" s="177"/>
      <c r="F168" s="177" t="s">
        <v>6730</v>
      </c>
      <c r="G168" s="179" t="s">
        <v>6721</v>
      </c>
      <c r="H168" s="180" t="s">
        <v>1987</v>
      </c>
      <c r="I168" s="163">
        <f>IFERROR(__xludf.DUMMYFUNCTION("""COMPUTED_VALUE"""),2.0)</f>
        <v>2</v>
      </c>
      <c r="J168" s="177" t="s">
        <v>6739</v>
      </c>
      <c r="K168" s="164" t="s">
        <v>4440</v>
      </c>
      <c r="L168" s="164"/>
      <c r="M168" s="165"/>
      <c r="N168" s="21" t="s">
        <v>22</v>
      </c>
      <c r="O168" s="164"/>
      <c r="P168" s="164"/>
      <c r="Q168" s="177" t="s">
        <v>1747</v>
      </c>
      <c r="R168" s="164"/>
      <c r="S168" s="163">
        <f>IFERROR(__xludf.DUMMYFUNCTION("""COMPUTED_VALUE"""),6.0)</f>
        <v>6</v>
      </c>
      <c r="T168" s="164"/>
      <c r="U168" s="164"/>
      <c r="V168" s="164"/>
      <c r="W168" s="164"/>
      <c r="X168" s="164"/>
    </row>
    <row r="169">
      <c r="A169" s="175">
        <v>45914.0</v>
      </c>
      <c r="B169" s="176" t="s">
        <v>2609</v>
      </c>
      <c r="C169" s="177" t="s">
        <v>1118</v>
      </c>
      <c r="D169" s="177" t="s">
        <v>6806</v>
      </c>
      <c r="E169" s="177" t="s">
        <v>6832</v>
      </c>
      <c r="F169" s="177" t="s">
        <v>6781</v>
      </c>
      <c r="G169" s="179" t="s">
        <v>6707</v>
      </c>
      <c r="H169" s="180" t="s">
        <v>2609</v>
      </c>
      <c r="I169" s="163">
        <f>IFERROR(__xludf.DUMMYFUNCTION("""COMPUTED_VALUE"""),2.0)</f>
        <v>2</v>
      </c>
      <c r="J169" s="177" t="s">
        <v>6711</v>
      </c>
      <c r="K169" s="164" t="s">
        <v>6833</v>
      </c>
      <c r="L169" s="164"/>
      <c r="M169" s="165"/>
      <c r="N169" s="21" t="s">
        <v>22</v>
      </c>
      <c r="O169" s="164"/>
      <c r="P169" s="164"/>
      <c r="Q169" s="177" t="s">
        <v>1747</v>
      </c>
      <c r="R169" s="164"/>
      <c r="S169" s="163">
        <f>IFERROR(__xludf.DUMMYFUNCTION("""COMPUTED_VALUE"""),6.0)</f>
        <v>6</v>
      </c>
      <c r="T169" s="164"/>
      <c r="U169" s="164"/>
      <c r="V169" s="164"/>
      <c r="W169" s="164"/>
      <c r="X169" s="164"/>
    </row>
    <row r="170">
      <c r="A170" s="175">
        <v>45914.0</v>
      </c>
      <c r="B170" s="176" t="s">
        <v>2609</v>
      </c>
      <c r="C170" s="177" t="s">
        <v>6716</v>
      </c>
      <c r="D170" s="177" t="s">
        <v>6806</v>
      </c>
      <c r="E170" s="177"/>
      <c r="F170" s="177" t="s">
        <v>6730</v>
      </c>
      <c r="G170" s="179" t="s">
        <v>6718</v>
      </c>
      <c r="H170" s="180" t="s">
        <v>2031</v>
      </c>
      <c r="I170" s="163">
        <f>IFERROR(__xludf.DUMMYFUNCTION("""COMPUTED_VALUE"""),2.0)</f>
        <v>2</v>
      </c>
      <c r="J170" s="177" t="s">
        <v>6708</v>
      </c>
      <c r="K170" s="164" t="s">
        <v>4442</v>
      </c>
      <c r="L170" s="164"/>
      <c r="M170" s="165"/>
      <c r="N170" s="21" t="s">
        <v>22</v>
      </c>
      <c r="O170" s="164"/>
      <c r="P170" s="164"/>
      <c r="Q170" s="177" t="s">
        <v>1747</v>
      </c>
      <c r="R170" s="164"/>
      <c r="S170" s="163">
        <f>IFERROR(__xludf.DUMMYFUNCTION("""COMPUTED_VALUE"""),6.0)</f>
        <v>6</v>
      </c>
      <c r="T170" s="164"/>
      <c r="U170" s="164"/>
      <c r="V170" s="164"/>
      <c r="W170" s="164"/>
      <c r="X170" s="164"/>
    </row>
    <row r="171">
      <c r="A171" s="175">
        <v>45914.0</v>
      </c>
      <c r="B171" s="176" t="s">
        <v>2609</v>
      </c>
      <c r="C171" s="177" t="s">
        <v>6716</v>
      </c>
      <c r="D171" s="177" t="s">
        <v>6806</v>
      </c>
      <c r="E171" s="177"/>
      <c r="F171" s="177" t="s">
        <v>6730</v>
      </c>
      <c r="G171" s="179" t="s">
        <v>6720</v>
      </c>
      <c r="H171" s="180" t="s">
        <v>1989</v>
      </c>
      <c r="I171" s="163">
        <f>IFERROR(__xludf.DUMMYFUNCTION("""COMPUTED_VALUE"""),2.0)</f>
        <v>2</v>
      </c>
      <c r="J171" s="177" t="s">
        <v>6723</v>
      </c>
      <c r="K171" s="164" t="s">
        <v>4444</v>
      </c>
      <c r="L171" s="164"/>
      <c r="M171" s="165"/>
      <c r="N171" s="21" t="s">
        <v>22</v>
      </c>
      <c r="O171" s="164"/>
      <c r="P171" s="164"/>
      <c r="Q171" s="177" t="s">
        <v>1747</v>
      </c>
      <c r="R171" s="164"/>
      <c r="S171" s="163">
        <f>IFERROR(__xludf.DUMMYFUNCTION("""COMPUTED_VALUE"""),6.0)</f>
        <v>6</v>
      </c>
      <c r="T171" s="164"/>
      <c r="U171" s="164"/>
      <c r="V171" s="164"/>
      <c r="W171" s="164"/>
      <c r="X171" s="164"/>
    </row>
    <row r="172">
      <c r="A172" s="175">
        <v>45914.0</v>
      </c>
      <c r="B172" s="176" t="s">
        <v>2611</v>
      </c>
      <c r="C172" s="177" t="s">
        <v>1118</v>
      </c>
      <c r="D172" s="177" t="s">
        <v>6806</v>
      </c>
      <c r="E172" s="177" t="s">
        <v>6706</v>
      </c>
      <c r="F172" s="177" t="s">
        <v>6781</v>
      </c>
      <c r="G172" s="179" t="s">
        <v>6707</v>
      </c>
      <c r="H172" s="180" t="s">
        <v>2611</v>
      </c>
      <c r="I172" s="163">
        <f>IFERROR(__xludf.DUMMYFUNCTION("""COMPUTED_VALUE"""),2.0)</f>
        <v>2</v>
      </c>
      <c r="J172" s="177" t="s">
        <v>6719</v>
      </c>
      <c r="K172" s="164" t="s">
        <v>6834</v>
      </c>
      <c r="L172" s="164"/>
      <c r="M172" s="165"/>
      <c r="N172" s="21" t="s">
        <v>22</v>
      </c>
      <c r="O172" s="164"/>
      <c r="P172" s="164"/>
      <c r="Q172" s="177" t="s">
        <v>1747</v>
      </c>
      <c r="R172" s="164"/>
      <c r="S172" s="163">
        <f>IFERROR(__xludf.DUMMYFUNCTION("""COMPUTED_VALUE"""),6.0)</f>
        <v>6</v>
      </c>
      <c r="T172" s="164"/>
      <c r="U172" s="164"/>
      <c r="V172" s="164"/>
      <c r="W172" s="164"/>
      <c r="X172" s="164"/>
    </row>
    <row r="173">
      <c r="A173" s="175">
        <v>45914.0</v>
      </c>
      <c r="B173" s="176" t="s">
        <v>2611</v>
      </c>
      <c r="C173" s="177" t="s">
        <v>6716</v>
      </c>
      <c r="D173" s="177" t="s">
        <v>6806</v>
      </c>
      <c r="E173" s="177"/>
      <c r="F173" s="177" t="s">
        <v>6703</v>
      </c>
      <c r="G173" s="179" t="s">
        <v>6718</v>
      </c>
      <c r="H173" s="180" t="s">
        <v>1930</v>
      </c>
      <c r="I173" s="163">
        <f>IFERROR(__xludf.DUMMYFUNCTION("""COMPUTED_VALUE"""),2.0)</f>
        <v>2</v>
      </c>
      <c r="J173" s="177" t="s">
        <v>6705</v>
      </c>
      <c r="K173" s="164" t="s">
        <v>4446</v>
      </c>
      <c r="L173" s="164"/>
      <c r="M173" s="165"/>
      <c r="N173" s="21" t="s">
        <v>22</v>
      </c>
      <c r="O173" s="164"/>
      <c r="P173" s="164"/>
      <c r="Q173" s="177" t="s">
        <v>1747</v>
      </c>
      <c r="R173" s="164"/>
      <c r="S173" s="163">
        <f>IFERROR(__xludf.DUMMYFUNCTION("""COMPUTED_VALUE"""),6.0)</f>
        <v>6</v>
      </c>
      <c r="T173" s="164"/>
      <c r="U173" s="164"/>
      <c r="V173" s="164"/>
      <c r="W173" s="164"/>
      <c r="X173" s="164"/>
    </row>
    <row r="174">
      <c r="A174" s="175">
        <v>45914.0</v>
      </c>
      <c r="B174" s="176" t="s">
        <v>2611</v>
      </c>
      <c r="C174" s="177" t="s">
        <v>6716</v>
      </c>
      <c r="D174" s="177" t="s">
        <v>6806</v>
      </c>
      <c r="E174" s="177"/>
      <c r="F174" s="177" t="s">
        <v>6703</v>
      </c>
      <c r="G174" s="179" t="s">
        <v>6720</v>
      </c>
      <c r="H174" s="180" t="s">
        <v>1754</v>
      </c>
      <c r="I174" s="163">
        <f>IFERROR(__xludf.DUMMYFUNCTION("""COMPUTED_VALUE"""),2.0)</f>
        <v>2</v>
      </c>
      <c r="J174" s="177" t="s">
        <v>6705</v>
      </c>
      <c r="K174" s="164" t="s">
        <v>4448</v>
      </c>
      <c r="L174" s="164"/>
      <c r="M174" s="165"/>
      <c r="N174" s="21" t="s">
        <v>22</v>
      </c>
      <c r="O174" s="164"/>
      <c r="P174" s="164"/>
      <c r="Q174" s="177" t="s">
        <v>1747</v>
      </c>
      <c r="R174" s="164"/>
      <c r="S174" s="163">
        <f>IFERROR(__xludf.DUMMYFUNCTION("""COMPUTED_VALUE"""),6.0)</f>
        <v>6</v>
      </c>
      <c r="T174" s="164"/>
      <c r="U174" s="164"/>
      <c r="V174" s="164"/>
      <c r="W174" s="164"/>
      <c r="X174" s="164"/>
    </row>
    <row r="175">
      <c r="A175" s="175">
        <v>45914.0</v>
      </c>
      <c r="B175" s="176" t="s">
        <v>1980</v>
      </c>
      <c r="C175" s="177" t="s">
        <v>1118</v>
      </c>
      <c r="D175" s="177" t="s">
        <v>6806</v>
      </c>
      <c r="E175" s="177" t="s">
        <v>38</v>
      </c>
      <c r="F175" s="177" t="s">
        <v>6781</v>
      </c>
      <c r="G175" s="179" t="s">
        <v>6707</v>
      </c>
      <c r="H175" s="180" t="s">
        <v>1980</v>
      </c>
      <c r="I175" s="163">
        <f>IFERROR(__xludf.DUMMYFUNCTION("""COMPUTED_VALUE"""),3.0)</f>
        <v>3</v>
      </c>
      <c r="J175" s="177" t="s">
        <v>6723</v>
      </c>
      <c r="K175" s="164" t="s">
        <v>6835</v>
      </c>
      <c r="L175" s="164"/>
      <c r="M175" s="165"/>
      <c r="N175" s="21" t="s">
        <v>22</v>
      </c>
      <c r="O175" s="164"/>
      <c r="P175" s="164"/>
      <c r="Q175" s="177" t="s">
        <v>1747</v>
      </c>
      <c r="R175" s="164"/>
      <c r="S175" s="163">
        <f>IFERROR(__xludf.DUMMYFUNCTION("""COMPUTED_VALUE"""),9.0)</f>
        <v>9</v>
      </c>
      <c r="T175" s="164"/>
      <c r="U175" s="164"/>
      <c r="V175" s="164"/>
      <c r="W175" s="164"/>
      <c r="X175" s="164"/>
    </row>
    <row r="176">
      <c r="A176" s="175">
        <v>45914.0</v>
      </c>
      <c r="B176" s="176" t="s">
        <v>1980</v>
      </c>
      <c r="C176" s="177" t="s">
        <v>6716</v>
      </c>
      <c r="D176" s="177" t="s">
        <v>6806</v>
      </c>
      <c r="E176" s="177"/>
      <c r="F176" s="177" t="s">
        <v>6781</v>
      </c>
      <c r="G176" s="179" t="s">
        <v>6720</v>
      </c>
      <c r="H176" s="180" t="s">
        <v>2887</v>
      </c>
      <c r="I176" s="163">
        <f>IFERROR(__xludf.DUMMYFUNCTION("""COMPUTED_VALUE"""),3.0)</f>
        <v>3</v>
      </c>
      <c r="J176" s="177" t="s">
        <v>6727</v>
      </c>
      <c r="K176" s="164" t="s">
        <v>4450</v>
      </c>
      <c r="L176" s="164"/>
      <c r="M176" s="165"/>
      <c r="N176" s="21" t="s">
        <v>22</v>
      </c>
      <c r="O176" s="164"/>
      <c r="P176" s="164"/>
      <c r="Q176" s="177" t="s">
        <v>1747</v>
      </c>
      <c r="R176" s="164"/>
      <c r="S176" s="163">
        <f>IFERROR(__xludf.DUMMYFUNCTION("""COMPUTED_VALUE"""),9.0)</f>
        <v>9</v>
      </c>
      <c r="T176" s="164"/>
      <c r="U176" s="164"/>
      <c r="V176" s="164"/>
      <c r="W176" s="164"/>
      <c r="X176" s="164"/>
    </row>
    <row r="177">
      <c r="A177" s="175">
        <v>45914.0</v>
      </c>
      <c r="B177" s="176" t="s">
        <v>2784</v>
      </c>
      <c r="C177" s="177" t="s">
        <v>1049</v>
      </c>
      <c r="D177" s="177" t="s">
        <v>6806</v>
      </c>
      <c r="E177" s="177" t="s">
        <v>6823</v>
      </c>
      <c r="F177" s="177" t="s">
        <v>6777</v>
      </c>
      <c r="G177" s="179" t="s">
        <v>6707</v>
      </c>
      <c r="H177" s="180" t="s">
        <v>2784</v>
      </c>
      <c r="I177" s="163">
        <f>IFERROR(__xludf.DUMMYFUNCTION("""COMPUTED_VALUE"""),28.0)</f>
        <v>28</v>
      </c>
      <c r="J177" s="177" t="s">
        <v>6705</v>
      </c>
      <c r="K177" s="164" t="s">
        <v>6836</v>
      </c>
      <c r="L177" s="164"/>
      <c r="M177" s="165"/>
      <c r="N177" s="21" t="s">
        <v>22</v>
      </c>
      <c r="O177" s="164"/>
      <c r="P177" s="164"/>
      <c r="Q177" s="177" t="s">
        <v>2785</v>
      </c>
      <c r="R177" s="164"/>
      <c r="S177" s="163">
        <f>IFERROR(__xludf.DUMMYFUNCTION("""COMPUTED_VALUE"""),60.0)</f>
        <v>60</v>
      </c>
      <c r="T177" s="164"/>
      <c r="U177" s="164"/>
      <c r="V177" s="164"/>
      <c r="W177" s="164"/>
      <c r="X177" s="164"/>
    </row>
    <row r="178">
      <c r="A178" s="175">
        <v>45914.0</v>
      </c>
      <c r="B178" s="176" t="s">
        <v>2728</v>
      </c>
      <c r="C178" s="177" t="s">
        <v>1049</v>
      </c>
      <c r="D178" s="177" t="s">
        <v>6806</v>
      </c>
      <c r="E178" s="177" t="s">
        <v>6820</v>
      </c>
      <c r="F178" s="177" t="s">
        <v>6777</v>
      </c>
      <c r="G178" s="179" t="s">
        <v>6707</v>
      </c>
      <c r="H178" s="180" t="s">
        <v>2728</v>
      </c>
      <c r="I178" s="163">
        <f>IFERROR(__xludf.DUMMYFUNCTION("""COMPUTED_VALUE"""),15.0)</f>
        <v>15</v>
      </c>
      <c r="J178" s="177" t="s">
        <v>6705</v>
      </c>
      <c r="K178" s="164" t="s">
        <v>6837</v>
      </c>
      <c r="L178" s="164"/>
      <c r="M178" s="165"/>
      <c r="N178" s="21" t="s">
        <v>22</v>
      </c>
      <c r="O178" s="164"/>
      <c r="P178" s="164"/>
      <c r="Q178" s="177" t="s">
        <v>2722</v>
      </c>
      <c r="R178" s="164"/>
      <c r="S178" s="163"/>
      <c r="T178" s="164"/>
      <c r="U178" s="164"/>
      <c r="V178" s="164"/>
      <c r="W178" s="164"/>
      <c r="X178" s="164"/>
    </row>
    <row r="179">
      <c r="A179" s="175">
        <v>45914.0</v>
      </c>
      <c r="B179" s="176" t="s">
        <v>2056</v>
      </c>
      <c r="C179" s="177" t="s">
        <v>1049</v>
      </c>
      <c r="D179" s="177" t="s">
        <v>6806</v>
      </c>
      <c r="E179" s="177" t="s">
        <v>1050</v>
      </c>
      <c r="F179" s="177" t="s">
        <v>6777</v>
      </c>
      <c r="G179" s="179" t="s">
        <v>6707</v>
      </c>
      <c r="H179" s="180" t="s">
        <v>2056</v>
      </c>
      <c r="I179" s="163">
        <f>IFERROR(__xludf.DUMMYFUNCTION("""COMPUTED_VALUE"""),18.0)</f>
        <v>18</v>
      </c>
      <c r="J179" s="177" t="s">
        <v>6705</v>
      </c>
      <c r="K179" s="164" t="s">
        <v>6838</v>
      </c>
      <c r="L179" s="164"/>
      <c r="M179" s="165"/>
      <c r="N179" s="21" t="s">
        <v>22</v>
      </c>
      <c r="O179" s="164"/>
      <c r="P179" s="164"/>
      <c r="Q179" s="177" t="s">
        <v>2057</v>
      </c>
      <c r="R179" s="164"/>
      <c r="S179" s="163">
        <f>IFERROR(__xludf.DUMMYFUNCTION("""COMPUTED_VALUE"""),29.0)</f>
        <v>29</v>
      </c>
      <c r="T179" s="164"/>
      <c r="U179" s="164"/>
      <c r="V179" s="164"/>
      <c r="W179" s="164"/>
      <c r="X179" s="164"/>
    </row>
    <row r="180">
      <c r="A180" s="175">
        <v>45915.0</v>
      </c>
      <c r="B180" s="176" t="s">
        <v>2282</v>
      </c>
      <c r="C180" s="177" t="s">
        <v>1111</v>
      </c>
      <c r="D180" s="177" t="s">
        <v>6811</v>
      </c>
      <c r="E180" s="177" t="s">
        <v>83</v>
      </c>
      <c r="F180" s="177" t="s">
        <v>6729</v>
      </c>
      <c r="G180" s="179" t="s">
        <v>6707</v>
      </c>
      <c r="H180" s="180" t="s">
        <v>2282</v>
      </c>
      <c r="I180" s="163">
        <f>IFERROR(__xludf.DUMMYFUNCTION("""COMPUTED_VALUE"""),4.19)</f>
        <v>4.19</v>
      </c>
      <c r="J180" s="177" t="s">
        <v>6727</v>
      </c>
      <c r="K180" s="164" t="s">
        <v>6839</v>
      </c>
      <c r="L180" s="164"/>
      <c r="M180" s="165"/>
      <c r="N180" s="21" t="s">
        <v>22</v>
      </c>
      <c r="O180" s="164"/>
      <c r="P180" s="164"/>
      <c r="Q180" s="177" t="s">
        <v>1704</v>
      </c>
      <c r="R180" s="164"/>
      <c r="S180" s="163">
        <f>IFERROR(__xludf.DUMMYFUNCTION("""COMPUTED_VALUE"""),15.0)</f>
        <v>15</v>
      </c>
      <c r="T180" s="164"/>
      <c r="U180" s="164"/>
      <c r="V180" s="164"/>
      <c r="W180" s="164"/>
      <c r="X180" s="164"/>
    </row>
    <row r="181">
      <c r="A181" s="175">
        <v>45915.0</v>
      </c>
      <c r="B181" s="176" t="s">
        <v>3490</v>
      </c>
      <c r="C181" s="177" t="s">
        <v>1111</v>
      </c>
      <c r="D181" s="177" t="s">
        <v>6811</v>
      </c>
      <c r="E181" s="177" t="s">
        <v>83</v>
      </c>
      <c r="F181" s="177" t="s">
        <v>6729</v>
      </c>
      <c r="G181" s="179" t="s">
        <v>6707</v>
      </c>
      <c r="H181" s="180" t="s">
        <v>3490</v>
      </c>
      <c r="I181" s="163">
        <f>IFERROR(__xludf.DUMMYFUNCTION("""COMPUTED_VALUE"""),4.19)</f>
        <v>4.19</v>
      </c>
      <c r="J181" s="177" t="s">
        <v>6725</v>
      </c>
      <c r="K181" s="164" t="s">
        <v>6840</v>
      </c>
      <c r="L181" s="164"/>
      <c r="M181" s="165"/>
      <c r="N181" s="21" t="s">
        <v>22</v>
      </c>
      <c r="O181" s="164"/>
      <c r="P181" s="164"/>
      <c r="Q181" s="177" t="s">
        <v>1704</v>
      </c>
      <c r="R181" s="164"/>
      <c r="S181" s="163">
        <f>IFERROR(__xludf.DUMMYFUNCTION("""COMPUTED_VALUE"""),15.0)</f>
        <v>15</v>
      </c>
      <c r="T181" s="164"/>
      <c r="U181" s="164"/>
      <c r="V181" s="164"/>
      <c r="W181" s="164"/>
      <c r="X181" s="164"/>
    </row>
    <row r="182">
      <c r="A182" s="175">
        <v>45915.0</v>
      </c>
      <c r="B182" s="176" t="s">
        <v>1762</v>
      </c>
      <c r="C182" s="177" t="s">
        <v>1111</v>
      </c>
      <c r="D182" s="177" t="s">
        <v>6811</v>
      </c>
      <c r="E182" s="177" t="s">
        <v>83</v>
      </c>
      <c r="F182" s="177" t="s">
        <v>6781</v>
      </c>
      <c r="G182" s="179" t="s">
        <v>6707</v>
      </c>
      <c r="H182" s="180" t="s">
        <v>1762</v>
      </c>
      <c r="I182" s="163">
        <f>IFERROR(__xludf.DUMMYFUNCTION("""COMPUTED_VALUE"""),4.19)</f>
        <v>4.19</v>
      </c>
      <c r="J182" s="177" t="s">
        <v>6759</v>
      </c>
      <c r="K182" s="164" t="s">
        <v>6841</v>
      </c>
      <c r="L182" s="164"/>
      <c r="M182" s="165"/>
      <c r="N182" s="21" t="s">
        <v>22</v>
      </c>
      <c r="O182" s="164"/>
      <c r="P182" s="164"/>
      <c r="Q182" s="177" t="s">
        <v>1704</v>
      </c>
      <c r="R182" s="164"/>
      <c r="S182" s="163">
        <f>IFERROR(__xludf.DUMMYFUNCTION("""COMPUTED_VALUE"""),15.0)</f>
        <v>15</v>
      </c>
      <c r="T182" s="164"/>
      <c r="U182" s="164"/>
      <c r="V182" s="164"/>
      <c r="W182" s="164"/>
      <c r="X182" s="164"/>
    </row>
    <row r="183">
      <c r="A183" s="175">
        <v>45915.0</v>
      </c>
      <c r="B183" s="176" t="s">
        <v>1764</v>
      </c>
      <c r="C183" s="177" t="s">
        <v>1111</v>
      </c>
      <c r="D183" s="177" t="s">
        <v>6811</v>
      </c>
      <c r="E183" s="177" t="s">
        <v>83</v>
      </c>
      <c r="F183" s="177" t="s">
        <v>6781</v>
      </c>
      <c r="G183" s="179" t="s">
        <v>6707</v>
      </c>
      <c r="H183" s="180" t="s">
        <v>1764</v>
      </c>
      <c r="I183" s="163">
        <f>IFERROR(__xludf.DUMMYFUNCTION("""COMPUTED_VALUE"""),4.19)</f>
        <v>4.19</v>
      </c>
      <c r="J183" s="177" t="s">
        <v>6727</v>
      </c>
      <c r="K183" s="164" t="s">
        <v>6842</v>
      </c>
      <c r="L183" s="164"/>
      <c r="M183" s="165"/>
      <c r="N183" s="21" t="s">
        <v>22</v>
      </c>
      <c r="O183" s="164"/>
      <c r="P183" s="164"/>
      <c r="Q183" s="177" t="s">
        <v>1704</v>
      </c>
      <c r="R183" s="164"/>
      <c r="S183" s="163">
        <f>IFERROR(__xludf.DUMMYFUNCTION("""COMPUTED_VALUE"""),15.0)</f>
        <v>15</v>
      </c>
      <c r="T183" s="164"/>
      <c r="U183" s="164"/>
      <c r="V183" s="164"/>
      <c r="W183" s="164"/>
      <c r="X183" s="164"/>
    </row>
    <row r="184">
      <c r="A184" s="175">
        <v>45915.0</v>
      </c>
      <c r="B184" s="176" t="s">
        <v>2782</v>
      </c>
      <c r="C184" s="177" t="s">
        <v>1111</v>
      </c>
      <c r="D184" s="177" t="s">
        <v>6811</v>
      </c>
      <c r="E184" s="177" t="s">
        <v>83</v>
      </c>
      <c r="F184" s="177" t="s">
        <v>6826</v>
      </c>
      <c r="G184" s="179" t="s">
        <v>6707</v>
      </c>
      <c r="H184" s="180" t="s">
        <v>2782</v>
      </c>
      <c r="I184" s="163">
        <f>IFERROR(__xludf.DUMMYFUNCTION("""COMPUTED_VALUE"""),4.19)</f>
        <v>4.19</v>
      </c>
      <c r="J184" s="177" t="s">
        <v>6827</v>
      </c>
      <c r="K184" s="164" t="s">
        <v>6843</v>
      </c>
      <c r="L184" s="164"/>
      <c r="M184" s="165"/>
      <c r="N184" s="21" t="s">
        <v>22</v>
      </c>
      <c r="O184" s="164"/>
      <c r="P184" s="164"/>
      <c r="Q184" s="177" t="s">
        <v>2054</v>
      </c>
      <c r="R184" s="164"/>
      <c r="S184" s="163">
        <f>IFERROR(__xludf.DUMMYFUNCTION("""COMPUTED_VALUE"""),15.0)</f>
        <v>15</v>
      </c>
      <c r="T184" s="164"/>
      <c r="U184" s="164"/>
      <c r="V184" s="164"/>
      <c r="W184" s="164"/>
      <c r="X184" s="164"/>
    </row>
    <row r="185">
      <c r="A185" s="175">
        <v>45915.0</v>
      </c>
      <c r="B185" s="176" t="s">
        <v>2053</v>
      </c>
      <c r="C185" s="177" t="s">
        <v>1111</v>
      </c>
      <c r="D185" s="177" t="s">
        <v>6811</v>
      </c>
      <c r="E185" s="177" t="s">
        <v>83</v>
      </c>
      <c r="F185" s="177" t="s">
        <v>6781</v>
      </c>
      <c r="G185" s="179" t="s">
        <v>6707</v>
      </c>
      <c r="H185" s="180" t="s">
        <v>2053</v>
      </c>
      <c r="I185" s="163">
        <f>IFERROR(__xludf.DUMMYFUNCTION("""COMPUTED_VALUE"""),4.19)</f>
        <v>4.19</v>
      </c>
      <c r="J185" s="177" t="s">
        <v>6719</v>
      </c>
      <c r="K185" s="164" t="s">
        <v>6844</v>
      </c>
      <c r="L185" s="164"/>
      <c r="M185" s="165"/>
      <c r="N185" s="21" t="s">
        <v>22</v>
      </c>
      <c r="O185" s="164"/>
      <c r="P185" s="164"/>
      <c r="Q185" s="177" t="s">
        <v>2054</v>
      </c>
      <c r="R185" s="164"/>
      <c r="S185" s="163">
        <f>IFERROR(__xludf.DUMMYFUNCTION("""COMPUTED_VALUE"""),15.0)</f>
        <v>15</v>
      </c>
      <c r="T185" s="164"/>
      <c r="U185" s="164"/>
      <c r="V185" s="164"/>
      <c r="W185" s="164"/>
      <c r="X185" s="164"/>
    </row>
    <row r="186">
      <c r="A186" s="175">
        <v>45915.0</v>
      </c>
      <c r="B186" s="176" t="s">
        <v>2933</v>
      </c>
      <c r="C186" s="177" t="s">
        <v>1111</v>
      </c>
      <c r="D186" s="177" t="s">
        <v>6811</v>
      </c>
      <c r="E186" s="177" t="s">
        <v>83</v>
      </c>
      <c r="F186" s="177" t="s">
        <v>6781</v>
      </c>
      <c r="G186" s="179" t="s">
        <v>6707</v>
      </c>
      <c r="H186" s="180" t="s">
        <v>2933</v>
      </c>
      <c r="I186" s="163">
        <f>IFERROR(__xludf.DUMMYFUNCTION("""COMPUTED_VALUE"""),4.19)</f>
        <v>4.19</v>
      </c>
      <c r="J186" s="177" t="s">
        <v>6739</v>
      </c>
      <c r="K186" s="164" t="s">
        <v>6845</v>
      </c>
      <c r="L186" s="164"/>
      <c r="M186" s="165"/>
      <c r="N186" s="21" t="s">
        <v>22</v>
      </c>
      <c r="O186" s="164"/>
      <c r="P186" s="164"/>
      <c r="Q186" s="177" t="s">
        <v>2054</v>
      </c>
      <c r="R186" s="164"/>
      <c r="S186" s="163">
        <f>IFERROR(__xludf.DUMMYFUNCTION("""COMPUTED_VALUE"""),15.0)</f>
        <v>15</v>
      </c>
      <c r="T186" s="164"/>
      <c r="U186" s="164"/>
      <c r="V186" s="164"/>
      <c r="W186" s="164"/>
      <c r="X186" s="164"/>
    </row>
    <row r="187">
      <c r="A187" s="175">
        <v>45915.0</v>
      </c>
      <c r="B187" s="176" t="s">
        <v>3498</v>
      </c>
      <c r="C187" s="177" t="s">
        <v>1111</v>
      </c>
      <c r="D187" s="177" t="s">
        <v>6811</v>
      </c>
      <c r="E187" s="177" t="s">
        <v>83</v>
      </c>
      <c r="F187" s="177" t="s">
        <v>6781</v>
      </c>
      <c r="G187" s="179" t="s">
        <v>6707</v>
      </c>
      <c r="H187" s="180" t="s">
        <v>3498</v>
      </c>
      <c r="I187" s="163">
        <f>IFERROR(__xludf.DUMMYFUNCTION("""COMPUTED_VALUE"""),4.19)</f>
        <v>4.19</v>
      </c>
      <c r="J187" s="177" t="s">
        <v>6711</v>
      </c>
      <c r="K187" s="164" t="s">
        <v>6846</v>
      </c>
      <c r="L187" s="164"/>
      <c r="M187" s="165"/>
      <c r="N187" s="21" t="s">
        <v>22</v>
      </c>
      <c r="O187" s="164"/>
      <c r="P187" s="164"/>
      <c r="Q187" s="177" t="s">
        <v>2054</v>
      </c>
      <c r="R187" s="164"/>
      <c r="S187" s="163">
        <f>IFERROR(__xludf.DUMMYFUNCTION("""COMPUTED_VALUE"""),15.0)</f>
        <v>15</v>
      </c>
      <c r="T187" s="164"/>
      <c r="U187" s="164"/>
      <c r="V187" s="164"/>
      <c r="W187" s="164"/>
      <c r="X187" s="164"/>
    </row>
    <row r="188">
      <c r="A188" s="175">
        <v>45915.0</v>
      </c>
      <c r="B188" s="176" t="s">
        <v>3514</v>
      </c>
      <c r="C188" s="177" t="s">
        <v>1049</v>
      </c>
      <c r="D188" s="177" t="s">
        <v>6806</v>
      </c>
      <c r="E188" s="177" t="s">
        <v>38</v>
      </c>
      <c r="F188" s="177" t="s">
        <v>6777</v>
      </c>
      <c r="G188" s="179" t="s">
        <v>6707</v>
      </c>
      <c r="H188" s="180" t="s">
        <v>3514</v>
      </c>
      <c r="I188" s="163">
        <f>IFERROR(__xludf.DUMMYFUNCTION("""COMPUTED_VALUE"""),52.0)</f>
        <v>52</v>
      </c>
      <c r="J188" s="177" t="s">
        <v>6705</v>
      </c>
      <c r="K188" s="164" t="s">
        <v>6847</v>
      </c>
      <c r="L188" s="164"/>
      <c r="M188" s="165"/>
      <c r="N188" s="21" t="s">
        <v>22</v>
      </c>
      <c r="O188" s="164"/>
      <c r="P188" s="164"/>
      <c r="Q188" s="177" t="s">
        <v>3515</v>
      </c>
      <c r="R188" s="164"/>
      <c r="S188" s="163"/>
      <c r="T188" s="164"/>
      <c r="U188" s="164"/>
      <c r="V188" s="164"/>
      <c r="W188" s="164"/>
      <c r="X188" s="164"/>
    </row>
    <row r="189">
      <c r="A189" s="175">
        <v>45915.0</v>
      </c>
      <c r="B189" s="176" t="s">
        <v>2258</v>
      </c>
      <c r="C189" s="177" t="s">
        <v>1049</v>
      </c>
      <c r="D189" s="177" t="s">
        <v>6806</v>
      </c>
      <c r="E189" s="177"/>
      <c r="F189" s="177" t="s">
        <v>6777</v>
      </c>
      <c r="G189" s="179" t="s">
        <v>6707</v>
      </c>
      <c r="H189" s="180" t="s">
        <v>2258</v>
      </c>
      <c r="I189" s="163">
        <f>IFERROR(__xludf.DUMMYFUNCTION("""COMPUTED_VALUE"""),13.0)</f>
        <v>13</v>
      </c>
      <c r="J189" s="177" t="s">
        <v>6705</v>
      </c>
      <c r="K189" s="164" t="s">
        <v>6848</v>
      </c>
      <c r="L189" s="164"/>
      <c r="M189" s="165"/>
      <c r="N189" s="21" t="s">
        <v>22</v>
      </c>
      <c r="O189" s="164"/>
      <c r="P189" s="164"/>
      <c r="Q189" s="177" t="s">
        <v>1757</v>
      </c>
      <c r="R189" s="164"/>
      <c r="S189" s="163">
        <f>IFERROR(__xludf.DUMMYFUNCTION("""COMPUTED_VALUE"""),20.0)</f>
        <v>20</v>
      </c>
      <c r="T189" s="164"/>
      <c r="U189" s="164"/>
      <c r="V189" s="164"/>
      <c r="W189" s="164"/>
      <c r="X189" s="164"/>
    </row>
    <row r="190">
      <c r="A190" s="175">
        <v>45915.0</v>
      </c>
      <c r="B190" s="176" t="s">
        <v>1756</v>
      </c>
      <c r="C190" s="177" t="s">
        <v>1049</v>
      </c>
      <c r="D190" s="177" t="s">
        <v>6806</v>
      </c>
      <c r="E190" s="177" t="s">
        <v>850</v>
      </c>
      <c r="F190" s="177" t="s">
        <v>842</v>
      </c>
      <c r="G190" s="179" t="s">
        <v>6718</v>
      </c>
      <c r="H190" s="180" t="s">
        <v>2889</v>
      </c>
      <c r="I190" s="163">
        <f>IFERROR(__xludf.DUMMYFUNCTION("""COMPUTED_VALUE"""),13.0)</f>
        <v>13</v>
      </c>
      <c r="J190" s="177" t="s">
        <v>6705</v>
      </c>
      <c r="K190" s="164" t="s">
        <v>4452</v>
      </c>
      <c r="L190" s="164"/>
      <c r="M190" s="165"/>
      <c r="N190" s="21" t="s">
        <v>22</v>
      </c>
      <c r="O190" s="164"/>
      <c r="P190" s="164"/>
      <c r="Q190" s="177" t="s">
        <v>1757</v>
      </c>
      <c r="R190" s="164"/>
      <c r="S190" s="163">
        <f>IFERROR(__xludf.DUMMYFUNCTION("""COMPUTED_VALUE"""),20.0)</f>
        <v>20</v>
      </c>
      <c r="T190" s="164"/>
      <c r="U190" s="164"/>
      <c r="V190" s="164"/>
      <c r="W190" s="164"/>
      <c r="X190" s="164"/>
    </row>
    <row r="191">
      <c r="A191" s="175">
        <v>45915.0</v>
      </c>
      <c r="B191" s="176" t="s">
        <v>1756</v>
      </c>
      <c r="C191" s="177" t="s">
        <v>1118</v>
      </c>
      <c r="D191" s="177" t="s">
        <v>6806</v>
      </c>
      <c r="E191" s="177"/>
      <c r="F191" s="177" t="s">
        <v>842</v>
      </c>
      <c r="G191" s="179" t="s">
        <v>6707</v>
      </c>
      <c r="H191" s="180" t="s">
        <v>1756</v>
      </c>
      <c r="I191" s="163">
        <f>IFERROR(__xludf.DUMMYFUNCTION("""COMPUTED_VALUE"""),4.333333333333333)</f>
        <v>4.333333333</v>
      </c>
      <c r="J191" s="177" t="s">
        <v>6705</v>
      </c>
      <c r="K191" s="164" t="s">
        <v>6849</v>
      </c>
      <c r="L191" s="164"/>
      <c r="M191" s="165"/>
      <c r="N191" s="21" t="s">
        <v>22</v>
      </c>
      <c r="O191" s="164"/>
      <c r="P191" s="164"/>
      <c r="Q191" s="177" t="s">
        <v>1757</v>
      </c>
      <c r="R191" s="164"/>
      <c r="S191" s="163">
        <f>IFERROR(__xludf.DUMMYFUNCTION("""COMPUTED_VALUE"""),6.666666666666667)</f>
        <v>6.666666667</v>
      </c>
      <c r="T191" s="164"/>
      <c r="U191" s="164"/>
      <c r="V191" s="164"/>
      <c r="W191" s="164"/>
      <c r="X191" s="164"/>
    </row>
    <row r="192">
      <c r="A192" s="175">
        <v>45915.0</v>
      </c>
      <c r="B192" s="176" t="s">
        <v>1756</v>
      </c>
      <c r="C192" s="177" t="s">
        <v>6716</v>
      </c>
      <c r="D192" s="177" t="s">
        <v>6806</v>
      </c>
      <c r="E192" s="177"/>
      <c r="F192" s="177" t="s">
        <v>842</v>
      </c>
      <c r="G192" s="179" t="s">
        <v>6720</v>
      </c>
      <c r="H192" s="180" t="s">
        <v>2589</v>
      </c>
      <c r="I192" s="163">
        <f>IFERROR(__xludf.DUMMYFUNCTION("""COMPUTED_VALUE"""),4.333333333333333)</f>
        <v>4.333333333</v>
      </c>
      <c r="J192" s="177" t="s">
        <v>6705</v>
      </c>
      <c r="K192" s="164" t="s">
        <v>4454</v>
      </c>
      <c r="L192" s="164"/>
      <c r="M192" s="165"/>
      <c r="N192" s="21" t="s">
        <v>22</v>
      </c>
      <c r="O192" s="164"/>
      <c r="P192" s="164"/>
      <c r="Q192" s="177" t="s">
        <v>1757</v>
      </c>
      <c r="R192" s="164"/>
      <c r="S192" s="163">
        <f>IFERROR(__xludf.DUMMYFUNCTION("""COMPUTED_VALUE"""),6.666666666666667)</f>
        <v>6.666666667</v>
      </c>
      <c r="T192" s="164"/>
      <c r="U192" s="164"/>
      <c r="V192" s="164"/>
      <c r="W192" s="164"/>
      <c r="X192" s="164"/>
    </row>
    <row r="193">
      <c r="A193" s="175">
        <v>45915.0</v>
      </c>
      <c r="B193" s="176" t="s">
        <v>1756</v>
      </c>
      <c r="C193" s="177" t="s">
        <v>6716</v>
      </c>
      <c r="D193" s="177" t="s">
        <v>6806</v>
      </c>
      <c r="E193" s="177"/>
      <c r="F193" s="177" t="s">
        <v>842</v>
      </c>
      <c r="G193" s="179" t="s">
        <v>6721</v>
      </c>
      <c r="H193" s="180" t="s">
        <v>2534</v>
      </c>
      <c r="I193" s="163">
        <f>IFERROR(__xludf.DUMMYFUNCTION("""COMPUTED_VALUE"""),4.333333333333333)</f>
        <v>4.333333333</v>
      </c>
      <c r="J193" s="177" t="s">
        <v>6705</v>
      </c>
      <c r="K193" s="164" t="s">
        <v>4456</v>
      </c>
      <c r="L193" s="164"/>
      <c r="M193" s="165"/>
      <c r="N193" s="21" t="s">
        <v>22</v>
      </c>
      <c r="O193" s="164"/>
      <c r="P193" s="164"/>
      <c r="Q193" s="177" t="s">
        <v>1757</v>
      </c>
      <c r="R193" s="164"/>
      <c r="S193" s="163">
        <f>IFERROR(__xludf.DUMMYFUNCTION("""COMPUTED_VALUE"""),6.666666666666667)</f>
        <v>6.666666667</v>
      </c>
      <c r="T193" s="164"/>
      <c r="U193" s="164"/>
      <c r="V193" s="164"/>
      <c r="W193" s="164"/>
      <c r="X193" s="164"/>
    </row>
    <row r="194">
      <c r="A194" s="175">
        <v>45915.0</v>
      </c>
      <c r="B194" s="176" t="s">
        <v>2306</v>
      </c>
      <c r="C194" s="177" t="s">
        <v>1111</v>
      </c>
      <c r="D194" s="177" t="s">
        <v>6806</v>
      </c>
      <c r="E194" s="177" t="s">
        <v>83</v>
      </c>
      <c r="F194" s="177" t="s">
        <v>842</v>
      </c>
      <c r="G194" s="179" t="s">
        <v>6707</v>
      </c>
      <c r="H194" s="180" t="s">
        <v>2306</v>
      </c>
      <c r="I194" s="163">
        <f>IFERROR(__xludf.DUMMYFUNCTION("""COMPUTED_VALUE"""),1.95)</f>
        <v>1.95</v>
      </c>
      <c r="J194" s="177" t="s">
        <v>6705</v>
      </c>
      <c r="K194" s="164" t="s">
        <v>6850</v>
      </c>
      <c r="L194" s="164"/>
      <c r="M194" s="165"/>
      <c r="N194" s="21" t="s">
        <v>22</v>
      </c>
      <c r="O194" s="164"/>
      <c r="P194" s="164"/>
      <c r="Q194" s="177" t="s">
        <v>1724</v>
      </c>
      <c r="R194" s="164"/>
      <c r="S194" s="163"/>
      <c r="T194" s="164"/>
      <c r="U194" s="164"/>
      <c r="V194" s="164"/>
      <c r="W194" s="164"/>
      <c r="X194" s="164"/>
    </row>
    <row r="195">
      <c r="A195" s="175">
        <v>45915.0</v>
      </c>
      <c r="B195" s="176" t="s">
        <v>2308</v>
      </c>
      <c r="C195" s="177" t="s">
        <v>1111</v>
      </c>
      <c r="D195" s="177" t="s">
        <v>6806</v>
      </c>
      <c r="E195" s="177" t="s">
        <v>83</v>
      </c>
      <c r="F195" s="177" t="s">
        <v>842</v>
      </c>
      <c r="G195" s="179" t="s">
        <v>6707</v>
      </c>
      <c r="H195" s="180" t="s">
        <v>2308</v>
      </c>
      <c r="I195" s="163">
        <f>IFERROR(__xludf.DUMMYFUNCTION("""COMPUTED_VALUE"""),1.95)</f>
        <v>1.95</v>
      </c>
      <c r="J195" s="177" t="s">
        <v>6705</v>
      </c>
      <c r="K195" s="164" t="s">
        <v>6851</v>
      </c>
      <c r="L195" s="164"/>
      <c r="M195" s="165"/>
      <c r="N195" s="21" t="s">
        <v>22</v>
      </c>
      <c r="O195" s="164"/>
      <c r="P195" s="164"/>
      <c r="Q195" s="177" t="s">
        <v>1724</v>
      </c>
      <c r="R195" s="164"/>
      <c r="S195" s="163"/>
      <c r="T195" s="164"/>
      <c r="U195" s="164"/>
      <c r="V195" s="164"/>
      <c r="W195" s="164"/>
      <c r="X195" s="164"/>
    </row>
    <row r="196">
      <c r="A196" s="175">
        <v>45915.0</v>
      </c>
      <c r="B196" s="176" t="s">
        <v>2310</v>
      </c>
      <c r="C196" s="177" t="s">
        <v>1111</v>
      </c>
      <c r="D196" s="177" t="s">
        <v>6806</v>
      </c>
      <c r="E196" s="177" t="s">
        <v>83</v>
      </c>
      <c r="F196" s="177" t="s">
        <v>842</v>
      </c>
      <c r="G196" s="179" t="s">
        <v>6707</v>
      </c>
      <c r="H196" s="180" t="s">
        <v>2310</v>
      </c>
      <c r="I196" s="163">
        <f>IFERROR(__xludf.DUMMYFUNCTION("""COMPUTED_VALUE"""),1.95)</f>
        <v>1.95</v>
      </c>
      <c r="J196" s="177" t="s">
        <v>6705</v>
      </c>
      <c r="K196" s="164" t="s">
        <v>6852</v>
      </c>
      <c r="L196" s="164"/>
      <c r="M196" s="165"/>
      <c r="N196" s="21" t="s">
        <v>22</v>
      </c>
      <c r="O196" s="164"/>
      <c r="P196" s="164"/>
      <c r="Q196" s="177" t="s">
        <v>1724</v>
      </c>
      <c r="R196" s="164"/>
      <c r="S196" s="163"/>
      <c r="T196" s="164"/>
      <c r="U196" s="164"/>
      <c r="V196" s="164"/>
      <c r="W196" s="164"/>
      <c r="X196" s="164"/>
    </row>
    <row r="197">
      <c r="A197" s="175">
        <v>45915.0</v>
      </c>
      <c r="B197" s="176" t="s">
        <v>2312</v>
      </c>
      <c r="C197" s="177" t="s">
        <v>1111</v>
      </c>
      <c r="D197" s="177" t="s">
        <v>6806</v>
      </c>
      <c r="E197" s="177" t="s">
        <v>83</v>
      </c>
      <c r="F197" s="177" t="s">
        <v>842</v>
      </c>
      <c r="G197" s="179" t="s">
        <v>6707</v>
      </c>
      <c r="H197" s="180" t="s">
        <v>2312</v>
      </c>
      <c r="I197" s="163">
        <f>IFERROR(__xludf.DUMMYFUNCTION("""COMPUTED_VALUE"""),1.95)</f>
        <v>1.95</v>
      </c>
      <c r="J197" s="177" t="s">
        <v>6705</v>
      </c>
      <c r="K197" s="164" t="s">
        <v>6853</v>
      </c>
      <c r="L197" s="164"/>
      <c r="M197" s="165"/>
      <c r="N197" s="21" t="s">
        <v>22</v>
      </c>
      <c r="O197" s="164"/>
      <c r="P197" s="164"/>
      <c r="Q197" s="177" t="s">
        <v>1724</v>
      </c>
      <c r="R197" s="164"/>
      <c r="S197" s="163"/>
      <c r="T197" s="164"/>
      <c r="U197" s="164"/>
      <c r="V197" s="164"/>
      <c r="W197" s="164"/>
      <c r="X197" s="164"/>
    </row>
    <row r="198">
      <c r="A198" s="175">
        <v>45915.0</v>
      </c>
      <c r="B198" s="176" t="s">
        <v>1776</v>
      </c>
      <c r="C198" s="177" t="s">
        <v>1111</v>
      </c>
      <c r="D198" s="177" t="s">
        <v>6806</v>
      </c>
      <c r="E198" s="177" t="s">
        <v>83</v>
      </c>
      <c r="F198" s="177" t="s">
        <v>842</v>
      </c>
      <c r="G198" s="179" t="s">
        <v>6707</v>
      </c>
      <c r="H198" s="180" t="s">
        <v>1776</v>
      </c>
      <c r="I198" s="163">
        <f>IFERROR(__xludf.DUMMYFUNCTION("""COMPUTED_VALUE"""),1.95)</f>
        <v>1.95</v>
      </c>
      <c r="J198" s="177" t="s">
        <v>6705</v>
      </c>
      <c r="K198" s="164" t="s">
        <v>6854</v>
      </c>
      <c r="L198" s="164"/>
      <c r="M198" s="165"/>
      <c r="N198" s="21" t="s">
        <v>22</v>
      </c>
      <c r="O198" s="164"/>
      <c r="P198" s="164"/>
      <c r="Q198" s="177" t="s">
        <v>1724</v>
      </c>
      <c r="R198" s="164"/>
      <c r="S198" s="163"/>
      <c r="T198" s="164"/>
      <c r="U198" s="164"/>
      <c r="V198" s="164"/>
      <c r="W198" s="164"/>
      <c r="X198" s="164"/>
    </row>
    <row r="199">
      <c r="A199" s="175">
        <v>45915.0</v>
      </c>
      <c r="B199" s="176" t="s">
        <v>2314</v>
      </c>
      <c r="C199" s="177" t="s">
        <v>1111</v>
      </c>
      <c r="D199" s="177" t="s">
        <v>6806</v>
      </c>
      <c r="E199" s="177" t="s">
        <v>83</v>
      </c>
      <c r="F199" s="177" t="s">
        <v>842</v>
      </c>
      <c r="G199" s="179" t="s">
        <v>6707</v>
      </c>
      <c r="H199" s="180" t="s">
        <v>2314</v>
      </c>
      <c r="I199" s="163">
        <f>IFERROR(__xludf.DUMMYFUNCTION("""COMPUTED_VALUE"""),1.95)</f>
        <v>1.95</v>
      </c>
      <c r="J199" s="177" t="s">
        <v>6705</v>
      </c>
      <c r="K199" s="164" t="s">
        <v>6855</v>
      </c>
      <c r="L199" s="164"/>
      <c r="M199" s="165"/>
      <c r="N199" s="21" t="s">
        <v>22</v>
      </c>
      <c r="O199" s="164"/>
      <c r="P199" s="164"/>
      <c r="Q199" s="177" t="s">
        <v>1724</v>
      </c>
      <c r="R199" s="164"/>
      <c r="S199" s="163"/>
      <c r="T199" s="164"/>
      <c r="U199" s="164"/>
      <c r="V199" s="164"/>
      <c r="W199" s="164"/>
      <c r="X199" s="164"/>
    </row>
    <row r="200">
      <c r="A200" s="175">
        <v>45915.0</v>
      </c>
      <c r="B200" s="176" t="s">
        <v>2316</v>
      </c>
      <c r="C200" s="177" t="s">
        <v>1111</v>
      </c>
      <c r="D200" s="177" t="s">
        <v>6806</v>
      </c>
      <c r="E200" s="177" t="s">
        <v>83</v>
      </c>
      <c r="F200" s="177" t="s">
        <v>842</v>
      </c>
      <c r="G200" s="179" t="s">
        <v>6707</v>
      </c>
      <c r="H200" s="180" t="s">
        <v>2316</v>
      </c>
      <c r="I200" s="163">
        <f>IFERROR(__xludf.DUMMYFUNCTION("""COMPUTED_VALUE"""),1.95)</f>
        <v>1.95</v>
      </c>
      <c r="J200" s="177" t="s">
        <v>6705</v>
      </c>
      <c r="K200" s="164" t="s">
        <v>6856</v>
      </c>
      <c r="L200" s="164"/>
      <c r="M200" s="165"/>
      <c r="N200" s="21" t="s">
        <v>22</v>
      </c>
      <c r="O200" s="164"/>
      <c r="P200" s="164"/>
      <c r="Q200" s="177" t="s">
        <v>1724</v>
      </c>
      <c r="R200" s="164"/>
      <c r="S200" s="163"/>
      <c r="T200" s="164"/>
      <c r="U200" s="164"/>
      <c r="V200" s="164"/>
      <c r="W200" s="164"/>
      <c r="X200" s="164"/>
    </row>
    <row r="201">
      <c r="A201" s="175">
        <v>45915.0</v>
      </c>
      <c r="B201" s="176" t="s">
        <v>1968</v>
      </c>
      <c r="C201" s="177" t="s">
        <v>1111</v>
      </c>
      <c r="D201" s="177" t="s">
        <v>6806</v>
      </c>
      <c r="E201" s="177" t="s">
        <v>83</v>
      </c>
      <c r="F201" s="177" t="s">
        <v>842</v>
      </c>
      <c r="G201" s="179" t="s">
        <v>6707</v>
      </c>
      <c r="H201" s="180" t="s">
        <v>1968</v>
      </c>
      <c r="I201" s="163">
        <f>IFERROR(__xludf.DUMMYFUNCTION("""COMPUTED_VALUE"""),1.95)</f>
        <v>1.95</v>
      </c>
      <c r="J201" s="177" t="s">
        <v>6705</v>
      </c>
      <c r="K201" s="164" t="s">
        <v>6857</v>
      </c>
      <c r="L201" s="164"/>
      <c r="M201" s="165"/>
      <c r="N201" s="21" t="s">
        <v>22</v>
      </c>
      <c r="O201" s="164"/>
      <c r="P201" s="164"/>
      <c r="Q201" s="177" t="s">
        <v>1724</v>
      </c>
      <c r="R201" s="164"/>
      <c r="S201" s="163"/>
      <c r="T201" s="164"/>
      <c r="U201" s="164"/>
      <c r="V201" s="164"/>
      <c r="W201" s="164"/>
      <c r="X201" s="164"/>
    </row>
    <row r="202">
      <c r="A202" s="175">
        <v>45915.0</v>
      </c>
      <c r="B202" s="176" t="s">
        <v>2318</v>
      </c>
      <c r="C202" s="177" t="s">
        <v>1111</v>
      </c>
      <c r="D202" s="177" t="s">
        <v>6806</v>
      </c>
      <c r="E202" s="177" t="s">
        <v>83</v>
      </c>
      <c r="F202" s="177" t="s">
        <v>842</v>
      </c>
      <c r="G202" s="179" t="s">
        <v>6707</v>
      </c>
      <c r="H202" s="180" t="s">
        <v>2318</v>
      </c>
      <c r="I202" s="163">
        <f>IFERROR(__xludf.DUMMYFUNCTION("""COMPUTED_VALUE"""),1.95)</f>
        <v>1.95</v>
      </c>
      <c r="J202" s="177" t="s">
        <v>6705</v>
      </c>
      <c r="K202" s="164" t="s">
        <v>6858</v>
      </c>
      <c r="L202" s="164"/>
      <c r="M202" s="165"/>
      <c r="N202" s="21" t="s">
        <v>22</v>
      </c>
      <c r="O202" s="164"/>
      <c r="P202" s="164"/>
      <c r="Q202" s="177" t="s">
        <v>1724</v>
      </c>
      <c r="R202" s="164"/>
      <c r="S202" s="163"/>
      <c r="T202" s="164"/>
      <c r="U202" s="164"/>
      <c r="V202" s="164"/>
      <c r="W202" s="164"/>
      <c r="X202" s="164"/>
    </row>
    <row r="203">
      <c r="A203" s="175">
        <v>45915.0</v>
      </c>
      <c r="B203" s="176" t="s">
        <v>2750</v>
      </c>
      <c r="C203" s="177" t="s">
        <v>1118</v>
      </c>
      <c r="D203" s="177" t="s">
        <v>6806</v>
      </c>
      <c r="E203" s="177" t="s">
        <v>6859</v>
      </c>
      <c r="F203" s="177" t="s">
        <v>842</v>
      </c>
      <c r="G203" s="179" t="s">
        <v>6707</v>
      </c>
      <c r="H203" s="180" t="s">
        <v>2750</v>
      </c>
      <c r="I203" s="163">
        <f>IFERROR(__xludf.DUMMYFUNCTION("""COMPUTED_VALUE"""),11.0)</f>
        <v>11</v>
      </c>
      <c r="J203" s="177" t="s">
        <v>6705</v>
      </c>
      <c r="K203" s="164" t="s">
        <v>6860</v>
      </c>
      <c r="L203" s="164"/>
      <c r="M203" s="165"/>
      <c r="N203" s="21" t="s">
        <v>22</v>
      </c>
      <c r="O203" s="164"/>
      <c r="P203" s="164"/>
      <c r="Q203" s="177" t="s">
        <v>1770</v>
      </c>
      <c r="R203" s="164"/>
      <c r="S203" s="163">
        <f>IFERROR(__xludf.DUMMYFUNCTION("""COMPUTED_VALUE"""),21.665000000000003)</f>
        <v>21.665</v>
      </c>
      <c r="T203" s="164"/>
      <c r="U203" s="164"/>
      <c r="V203" s="164"/>
      <c r="W203" s="164"/>
      <c r="X203" s="164"/>
    </row>
    <row r="204">
      <c r="A204" s="175">
        <v>45915.0</v>
      </c>
      <c r="B204" s="176" t="s">
        <v>2750</v>
      </c>
      <c r="C204" s="177" t="s">
        <v>6716</v>
      </c>
      <c r="D204" s="177" t="s">
        <v>6806</v>
      </c>
      <c r="E204" s="177"/>
      <c r="F204" s="177" t="s">
        <v>842</v>
      </c>
      <c r="G204" s="179" t="s">
        <v>6720</v>
      </c>
      <c r="H204" s="180" t="s">
        <v>2859</v>
      </c>
      <c r="I204" s="163">
        <f>IFERROR(__xludf.DUMMYFUNCTION("""COMPUTED_VALUE"""),11.0)</f>
        <v>11</v>
      </c>
      <c r="J204" s="177" t="s">
        <v>6705</v>
      </c>
      <c r="K204" s="164" t="s">
        <v>4458</v>
      </c>
      <c r="L204" s="164"/>
      <c r="M204" s="165"/>
      <c r="N204" s="21" t="s">
        <v>22</v>
      </c>
      <c r="O204" s="164"/>
      <c r="P204" s="164"/>
      <c r="Q204" s="177" t="s">
        <v>1770</v>
      </c>
      <c r="R204" s="164"/>
      <c r="S204" s="163">
        <f>IFERROR(__xludf.DUMMYFUNCTION("""COMPUTED_VALUE"""),21.665000000000003)</f>
        <v>21.665</v>
      </c>
      <c r="T204" s="164"/>
      <c r="U204" s="164"/>
      <c r="V204" s="164"/>
      <c r="W204" s="164"/>
      <c r="X204" s="164"/>
    </row>
    <row r="205">
      <c r="A205" s="175">
        <v>45915.0</v>
      </c>
      <c r="B205" s="176" t="s">
        <v>2750</v>
      </c>
      <c r="C205" s="177" t="s">
        <v>6716</v>
      </c>
      <c r="D205" s="177" t="s">
        <v>6806</v>
      </c>
      <c r="E205" s="177"/>
      <c r="F205" s="177" t="s">
        <v>842</v>
      </c>
      <c r="G205" s="179" t="s">
        <v>6721</v>
      </c>
      <c r="H205" s="180" t="s">
        <v>1769</v>
      </c>
      <c r="I205" s="163">
        <f>IFERROR(__xludf.DUMMYFUNCTION("""COMPUTED_VALUE"""),11.0)</f>
        <v>11</v>
      </c>
      <c r="J205" s="177" t="s">
        <v>6705</v>
      </c>
      <c r="K205" s="164" t="s">
        <v>4460</v>
      </c>
      <c r="L205" s="164"/>
      <c r="M205" s="165"/>
      <c r="N205" s="21" t="s">
        <v>22</v>
      </c>
      <c r="O205" s="164"/>
      <c r="P205" s="164"/>
      <c r="Q205" s="177" t="s">
        <v>1770</v>
      </c>
      <c r="R205" s="164"/>
      <c r="S205" s="163">
        <f>IFERROR(__xludf.DUMMYFUNCTION("""COMPUTED_VALUE"""),21.665000000000003)</f>
        <v>21.665</v>
      </c>
      <c r="T205" s="164"/>
      <c r="U205" s="164"/>
      <c r="V205" s="164"/>
      <c r="W205" s="164"/>
      <c r="X205" s="164"/>
    </row>
    <row r="206">
      <c r="A206" s="175">
        <v>45915.0</v>
      </c>
      <c r="B206" s="176" t="s">
        <v>2750</v>
      </c>
      <c r="C206" s="177" t="s">
        <v>6716</v>
      </c>
      <c r="D206" s="177" t="s">
        <v>6806</v>
      </c>
      <c r="E206" s="177"/>
      <c r="F206" s="177" t="s">
        <v>842</v>
      </c>
      <c r="G206" s="179" t="s">
        <v>6722</v>
      </c>
      <c r="H206" s="180" t="s">
        <v>1772</v>
      </c>
      <c r="I206" s="163">
        <f>IFERROR(__xludf.DUMMYFUNCTION("""COMPUTED_VALUE"""),11.0)</f>
        <v>11</v>
      </c>
      <c r="J206" s="177" t="s">
        <v>6705</v>
      </c>
      <c r="K206" s="164" t="s">
        <v>4462</v>
      </c>
      <c r="L206" s="164"/>
      <c r="M206" s="165"/>
      <c r="N206" s="21" t="s">
        <v>22</v>
      </c>
      <c r="O206" s="164"/>
      <c r="P206" s="164"/>
      <c r="Q206" s="177" t="s">
        <v>1770</v>
      </c>
      <c r="R206" s="164"/>
      <c r="S206" s="163">
        <f>IFERROR(__xludf.DUMMYFUNCTION("""COMPUTED_VALUE"""),21.665000000000003)</f>
        <v>21.665</v>
      </c>
      <c r="T206" s="164"/>
      <c r="U206" s="164"/>
      <c r="V206" s="164"/>
      <c r="W206" s="164"/>
      <c r="X206" s="164"/>
    </row>
    <row r="207">
      <c r="A207" s="175">
        <v>45915.0</v>
      </c>
      <c r="B207" s="176" t="s">
        <v>2750</v>
      </c>
      <c r="C207" s="177" t="s">
        <v>6716</v>
      </c>
      <c r="D207" s="177" t="s">
        <v>6806</v>
      </c>
      <c r="E207" s="177"/>
      <c r="F207" s="177" t="s">
        <v>842</v>
      </c>
      <c r="G207" s="179" t="s">
        <v>6724</v>
      </c>
      <c r="H207" s="180" t="s">
        <v>2861</v>
      </c>
      <c r="I207" s="163">
        <f>IFERROR(__xludf.DUMMYFUNCTION("""COMPUTED_VALUE"""),11.0)</f>
        <v>11</v>
      </c>
      <c r="J207" s="177" t="s">
        <v>6705</v>
      </c>
      <c r="K207" s="164" t="s">
        <v>4464</v>
      </c>
      <c r="L207" s="164"/>
      <c r="M207" s="165"/>
      <c r="N207" s="21" t="s">
        <v>22</v>
      </c>
      <c r="O207" s="164"/>
      <c r="P207" s="164"/>
      <c r="Q207" s="177" t="s">
        <v>1770</v>
      </c>
      <c r="R207" s="164"/>
      <c r="S207" s="163">
        <f>IFERROR(__xludf.DUMMYFUNCTION("""COMPUTED_VALUE"""),21.665000000000003)</f>
        <v>21.665</v>
      </c>
      <c r="T207" s="164"/>
      <c r="U207" s="164"/>
      <c r="V207" s="164"/>
      <c r="W207" s="164"/>
      <c r="X207" s="164"/>
    </row>
    <row r="208">
      <c r="A208" s="175">
        <v>45915.0</v>
      </c>
      <c r="B208" s="176" t="s">
        <v>2750</v>
      </c>
      <c r="C208" s="177" t="s">
        <v>6716</v>
      </c>
      <c r="D208" s="177" t="s">
        <v>6806</v>
      </c>
      <c r="E208" s="177"/>
      <c r="F208" s="177" t="s">
        <v>6730</v>
      </c>
      <c r="G208" s="179" t="s">
        <v>6726</v>
      </c>
      <c r="H208" s="180" t="s">
        <v>1774</v>
      </c>
      <c r="I208" s="163">
        <f>IFERROR(__xludf.DUMMYFUNCTION("""COMPUTED_VALUE"""),11.0)</f>
        <v>11</v>
      </c>
      <c r="J208" s="177" t="s">
        <v>6739</v>
      </c>
      <c r="K208" s="164" t="s">
        <v>4466</v>
      </c>
      <c r="L208" s="164"/>
      <c r="M208" s="165"/>
      <c r="N208" s="21" t="s">
        <v>22</v>
      </c>
      <c r="O208" s="164"/>
      <c r="P208" s="164"/>
      <c r="Q208" s="177" t="s">
        <v>1770</v>
      </c>
      <c r="R208" s="164"/>
      <c r="S208" s="163">
        <f>IFERROR(__xludf.DUMMYFUNCTION("""COMPUTED_VALUE"""),21.665000000000003)</f>
        <v>21.665</v>
      </c>
      <c r="T208" s="164"/>
      <c r="U208" s="164"/>
      <c r="V208" s="164"/>
      <c r="W208" s="164"/>
      <c r="X208" s="164"/>
    </row>
    <row r="209">
      <c r="A209" s="175">
        <v>45916.0</v>
      </c>
      <c r="B209" s="176" t="s">
        <v>3056</v>
      </c>
      <c r="C209" s="177" t="s">
        <v>1049</v>
      </c>
      <c r="D209" s="177" t="s">
        <v>6806</v>
      </c>
      <c r="E209" s="177"/>
      <c r="F209" s="177" t="s">
        <v>6861</v>
      </c>
      <c r="G209" s="179" t="s">
        <v>6707</v>
      </c>
      <c r="H209" s="180" t="s">
        <v>3056</v>
      </c>
      <c r="I209" s="163">
        <f>IFERROR(__xludf.DUMMYFUNCTION("""COMPUTED_VALUE"""),12.0)</f>
        <v>12</v>
      </c>
      <c r="J209" s="177" t="s">
        <v>6705</v>
      </c>
      <c r="K209" s="164" t="s">
        <v>6862</v>
      </c>
      <c r="L209" s="164"/>
      <c r="M209" s="165"/>
      <c r="N209" s="21" t="s">
        <v>22</v>
      </c>
      <c r="O209" s="164"/>
      <c r="P209" s="164"/>
      <c r="Q209" s="177" t="s">
        <v>2808</v>
      </c>
      <c r="R209" s="164"/>
      <c r="S209" s="163"/>
      <c r="T209" s="164"/>
      <c r="U209" s="164"/>
      <c r="V209" s="164"/>
      <c r="W209" s="164"/>
      <c r="X209" s="164"/>
    </row>
    <row r="210">
      <c r="A210" s="175">
        <v>45916.0</v>
      </c>
      <c r="B210" s="176" t="s">
        <v>2807</v>
      </c>
      <c r="C210" s="177" t="s">
        <v>1049</v>
      </c>
      <c r="D210" s="177" t="s">
        <v>6806</v>
      </c>
      <c r="E210" s="177" t="s">
        <v>6763</v>
      </c>
      <c r="F210" s="177" t="s">
        <v>6861</v>
      </c>
      <c r="G210" s="179" t="s">
        <v>6707</v>
      </c>
      <c r="H210" s="180" t="s">
        <v>2807</v>
      </c>
      <c r="I210" s="163">
        <f>IFERROR(__xludf.DUMMYFUNCTION("""COMPUTED_VALUE"""),17.5)</f>
        <v>17.5</v>
      </c>
      <c r="J210" s="177" t="s">
        <v>6705</v>
      </c>
      <c r="K210" s="164" t="s">
        <v>6863</v>
      </c>
      <c r="L210" s="164"/>
      <c r="M210" s="165"/>
      <c r="N210" s="21" t="s">
        <v>22</v>
      </c>
      <c r="O210" s="164"/>
      <c r="P210" s="164"/>
      <c r="Q210" s="177" t="s">
        <v>2808</v>
      </c>
      <c r="R210" s="164"/>
      <c r="S210" s="163"/>
      <c r="T210" s="164"/>
      <c r="U210" s="164"/>
      <c r="V210" s="164"/>
      <c r="W210" s="164"/>
      <c r="X210" s="164"/>
    </row>
    <row r="211">
      <c r="A211" s="175">
        <v>45916.0</v>
      </c>
      <c r="B211" s="176" t="s">
        <v>1690</v>
      </c>
      <c r="C211" s="177" t="s">
        <v>6716</v>
      </c>
      <c r="D211" s="177" t="s">
        <v>6806</v>
      </c>
      <c r="E211" s="177"/>
      <c r="F211" s="177" t="s">
        <v>6861</v>
      </c>
      <c r="G211" s="179" t="s">
        <v>6720</v>
      </c>
      <c r="H211" s="180" t="s">
        <v>1783</v>
      </c>
      <c r="I211" s="163">
        <f>IFERROR(__xludf.DUMMYFUNCTION("""COMPUTED_VALUE"""),7.5)</f>
        <v>7.5</v>
      </c>
      <c r="J211" s="177" t="s">
        <v>6705</v>
      </c>
      <c r="K211" s="164" t="s">
        <v>4468</v>
      </c>
      <c r="L211" s="164"/>
      <c r="M211" s="165"/>
      <c r="N211" s="21" t="s">
        <v>22</v>
      </c>
      <c r="O211" s="164"/>
      <c r="P211" s="164"/>
      <c r="Q211" s="177" t="s">
        <v>1691</v>
      </c>
      <c r="R211" s="164"/>
      <c r="S211" s="163">
        <f>IFERROR(__xludf.DUMMYFUNCTION("""COMPUTED_VALUE"""),0.0)</f>
        <v>0</v>
      </c>
      <c r="T211" s="164"/>
      <c r="U211" s="164"/>
      <c r="V211" s="164"/>
      <c r="W211" s="164"/>
      <c r="X211" s="164"/>
    </row>
    <row r="212">
      <c r="A212" s="175">
        <v>45916.0</v>
      </c>
      <c r="B212" s="176" t="s">
        <v>6864</v>
      </c>
      <c r="C212" s="177" t="s">
        <v>1118</v>
      </c>
      <c r="D212" s="177" t="s">
        <v>6806</v>
      </c>
      <c r="E212" s="177"/>
      <c r="F212" s="177" t="s">
        <v>6861</v>
      </c>
      <c r="G212" s="179" t="s">
        <v>6707</v>
      </c>
      <c r="H212" s="180" t="s">
        <v>6864</v>
      </c>
      <c r="I212" s="163">
        <f>IFERROR(__xludf.DUMMYFUNCTION("""COMPUTED_VALUE"""),7.5)</f>
        <v>7.5</v>
      </c>
      <c r="J212" s="177" t="s">
        <v>6705</v>
      </c>
      <c r="K212" s="164" t="s">
        <v>4470</v>
      </c>
      <c r="L212" s="164"/>
      <c r="M212" s="165"/>
      <c r="N212" s="21" t="s">
        <v>22</v>
      </c>
      <c r="O212" s="164"/>
      <c r="P212" s="164"/>
      <c r="Q212" s="177" t="s">
        <v>1691</v>
      </c>
      <c r="R212" s="164"/>
      <c r="S212" s="163">
        <f>IFERROR(__xludf.DUMMYFUNCTION("""COMPUTED_VALUE"""),0.0)</f>
        <v>0</v>
      </c>
      <c r="T212" s="164"/>
      <c r="U212" s="164"/>
      <c r="V212" s="164"/>
      <c r="W212" s="164"/>
      <c r="X212" s="164"/>
    </row>
    <row r="213">
      <c r="A213" s="175">
        <v>45916.0</v>
      </c>
      <c r="B213" s="176" t="s">
        <v>3412</v>
      </c>
      <c r="C213" s="177" t="s">
        <v>1049</v>
      </c>
      <c r="D213" s="177" t="s">
        <v>6806</v>
      </c>
      <c r="E213" s="177" t="s">
        <v>83</v>
      </c>
      <c r="F213" s="177" t="s">
        <v>6776</v>
      </c>
      <c r="G213" s="179" t="s">
        <v>6707</v>
      </c>
      <c r="H213" s="180" t="s">
        <v>3412</v>
      </c>
      <c r="I213" s="163">
        <f>IFERROR(__xludf.DUMMYFUNCTION("""COMPUTED_VALUE"""),4.19)</f>
        <v>4.19</v>
      </c>
      <c r="J213" s="177" t="s">
        <v>6705</v>
      </c>
      <c r="K213" s="164" t="s">
        <v>6865</v>
      </c>
      <c r="L213" s="164"/>
      <c r="M213" s="165"/>
      <c r="N213" s="21" t="s">
        <v>22</v>
      </c>
      <c r="O213" s="164"/>
      <c r="P213" s="164"/>
      <c r="Q213" s="177" t="s">
        <v>1779</v>
      </c>
      <c r="R213" s="164"/>
      <c r="S213" s="163">
        <f>IFERROR(__xludf.DUMMYFUNCTION("""COMPUTED_VALUE"""),15.0)</f>
        <v>15</v>
      </c>
      <c r="T213" s="164"/>
      <c r="U213" s="164"/>
      <c r="V213" s="164"/>
      <c r="W213" s="164"/>
      <c r="X213" s="164"/>
    </row>
    <row r="214">
      <c r="A214" s="175">
        <v>45916.0</v>
      </c>
      <c r="B214" s="176" t="s">
        <v>2019</v>
      </c>
      <c r="C214" s="177" t="s">
        <v>1049</v>
      </c>
      <c r="D214" s="177" t="s">
        <v>6806</v>
      </c>
      <c r="E214" s="177" t="s">
        <v>83</v>
      </c>
      <c r="F214" s="177" t="s">
        <v>6776</v>
      </c>
      <c r="G214" s="179" t="s">
        <v>6707</v>
      </c>
      <c r="H214" s="180" t="s">
        <v>2019</v>
      </c>
      <c r="I214" s="163">
        <f>IFERROR(__xludf.DUMMYFUNCTION("""COMPUTED_VALUE"""),4.19)</f>
        <v>4.19</v>
      </c>
      <c r="J214" s="177" t="s">
        <v>6705</v>
      </c>
      <c r="K214" s="164" t="s">
        <v>6866</v>
      </c>
      <c r="L214" s="164"/>
      <c r="M214" s="165"/>
      <c r="N214" s="21" t="s">
        <v>22</v>
      </c>
      <c r="O214" s="164"/>
      <c r="P214" s="164"/>
      <c r="Q214" s="177" t="s">
        <v>1779</v>
      </c>
      <c r="R214" s="164"/>
      <c r="S214" s="163">
        <f>IFERROR(__xludf.DUMMYFUNCTION("""COMPUTED_VALUE"""),15.0)</f>
        <v>15</v>
      </c>
      <c r="T214" s="164"/>
      <c r="U214" s="164"/>
      <c r="V214" s="164"/>
      <c r="W214" s="164"/>
      <c r="X214" s="164"/>
    </row>
    <row r="215">
      <c r="A215" s="175">
        <v>45916.0</v>
      </c>
      <c r="B215" s="176" t="s">
        <v>3400</v>
      </c>
      <c r="C215" s="177" t="s">
        <v>1049</v>
      </c>
      <c r="D215" s="177" t="s">
        <v>6806</v>
      </c>
      <c r="E215" s="177" t="s">
        <v>83</v>
      </c>
      <c r="F215" s="177" t="s">
        <v>6776</v>
      </c>
      <c r="G215" s="179" t="s">
        <v>6707</v>
      </c>
      <c r="H215" s="180" t="s">
        <v>3400</v>
      </c>
      <c r="I215" s="163">
        <f>IFERROR(__xludf.DUMMYFUNCTION("""COMPUTED_VALUE"""),4.19)</f>
        <v>4.19</v>
      </c>
      <c r="J215" s="177" t="s">
        <v>6705</v>
      </c>
      <c r="K215" s="164" t="s">
        <v>6867</v>
      </c>
      <c r="L215" s="164"/>
      <c r="M215" s="165"/>
      <c r="N215" s="21" t="s">
        <v>22</v>
      </c>
      <c r="O215" s="164"/>
      <c r="P215" s="164"/>
      <c r="Q215" s="177" t="s">
        <v>1779</v>
      </c>
      <c r="R215" s="164"/>
      <c r="S215" s="163">
        <f>IFERROR(__xludf.DUMMYFUNCTION("""COMPUTED_VALUE"""),15.0)</f>
        <v>15</v>
      </c>
      <c r="T215" s="164"/>
      <c r="U215" s="164"/>
      <c r="V215" s="164"/>
      <c r="W215" s="164"/>
      <c r="X215" s="164"/>
    </row>
    <row r="216">
      <c r="A216" s="175">
        <v>45916.0</v>
      </c>
      <c r="B216" s="176" t="s">
        <v>1778</v>
      </c>
      <c r="C216" s="177" t="s">
        <v>1049</v>
      </c>
      <c r="D216" s="177" t="s">
        <v>6806</v>
      </c>
      <c r="E216" s="177" t="s">
        <v>83</v>
      </c>
      <c r="F216" s="177" t="s">
        <v>850</v>
      </c>
      <c r="G216" s="179" t="s">
        <v>6707</v>
      </c>
      <c r="H216" s="180" t="s">
        <v>1778</v>
      </c>
      <c r="I216" s="163">
        <f>IFERROR(__xludf.DUMMYFUNCTION("""COMPUTED_VALUE"""),4.19)</f>
        <v>4.19</v>
      </c>
      <c r="J216" s="177" t="s">
        <v>6750</v>
      </c>
      <c r="K216" s="164" t="s">
        <v>6868</v>
      </c>
      <c r="L216" s="164"/>
      <c r="M216" s="165"/>
      <c r="N216" s="21" t="s">
        <v>22</v>
      </c>
      <c r="O216" s="164"/>
      <c r="P216" s="164"/>
      <c r="Q216" s="177" t="s">
        <v>1779</v>
      </c>
      <c r="R216" s="164"/>
      <c r="S216" s="163">
        <f>IFERROR(__xludf.DUMMYFUNCTION("""COMPUTED_VALUE"""),15.0)</f>
        <v>15</v>
      </c>
      <c r="T216" s="164"/>
      <c r="U216" s="164"/>
      <c r="V216" s="164"/>
      <c r="W216" s="164"/>
      <c r="X216" s="164"/>
    </row>
    <row r="217">
      <c r="A217" s="175">
        <v>45916.0</v>
      </c>
      <c r="B217" s="176" t="s">
        <v>2700</v>
      </c>
      <c r="C217" s="177" t="s">
        <v>1049</v>
      </c>
      <c r="D217" s="177" t="s">
        <v>6806</v>
      </c>
      <c r="E217" s="177" t="s">
        <v>83</v>
      </c>
      <c r="F217" s="177" t="s">
        <v>850</v>
      </c>
      <c r="G217" s="179" t="s">
        <v>6707</v>
      </c>
      <c r="H217" s="180" t="s">
        <v>2700</v>
      </c>
      <c r="I217" s="163">
        <f>IFERROR(__xludf.DUMMYFUNCTION("""COMPUTED_VALUE"""),4.19)</f>
        <v>4.19</v>
      </c>
      <c r="J217" s="177" t="s">
        <v>6750</v>
      </c>
      <c r="K217" s="164" t="s">
        <v>6869</v>
      </c>
      <c r="L217" s="164"/>
      <c r="M217" s="165"/>
      <c r="N217" s="21" t="s">
        <v>22</v>
      </c>
      <c r="O217" s="164"/>
      <c r="P217" s="164"/>
      <c r="Q217" s="177" t="s">
        <v>1779</v>
      </c>
      <c r="R217" s="164"/>
      <c r="S217" s="163">
        <f>IFERROR(__xludf.DUMMYFUNCTION("""COMPUTED_VALUE"""),15.0)</f>
        <v>15</v>
      </c>
      <c r="T217" s="164"/>
      <c r="U217" s="164"/>
      <c r="V217" s="164"/>
      <c r="W217" s="164"/>
      <c r="X217" s="164"/>
    </row>
    <row r="218">
      <c r="A218" s="175">
        <v>45916.0</v>
      </c>
      <c r="B218" s="176" t="s">
        <v>2762</v>
      </c>
      <c r="C218" s="177" t="s">
        <v>1049</v>
      </c>
      <c r="D218" s="177" t="s">
        <v>6806</v>
      </c>
      <c r="E218" s="177" t="s">
        <v>83</v>
      </c>
      <c r="F218" s="177" t="s">
        <v>850</v>
      </c>
      <c r="G218" s="179" t="s">
        <v>6707</v>
      </c>
      <c r="H218" s="180" t="s">
        <v>2762</v>
      </c>
      <c r="I218" s="163">
        <f>IFERROR(__xludf.DUMMYFUNCTION("""COMPUTED_VALUE"""),4.19)</f>
        <v>4.19</v>
      </c>
      <c r="J218" s="177" t="s">
        <v>6750</v>
      </c>
      <c r="K218" s="164" t="s">
        <v>6870</v>
      </c>
      <c r="L218" s="164"/>
      <c r="M218" s="165"/>
      <c r="N218" s="21" t="s">
        <v>22</v>
      </c>
      <c r="O218" s="164"/>
      <c r="P218" s="164"/>
      <c r="Q218" s="177" t="s">
        <v>1779</v>
      </c>
      <c r="R218" s="164"/>
      <c r="S218" s="163">
        <f>IFERROR(__xludf.DUMMYFUNCTION("""COMPUTED_VALUE"""),15.0)</f>
        <v>15</v>
      </c>
      <c r="T218" s="164"/>
      <c r="U218" s="164"/>
      <c r="V218" s="164"/>
      <c r="W218" s="164"/>
      <c r="X218" s="164"/>
    </row>
    <row r="219">
      <c r="A219" s="175">
        <v>45916.0</v>
      </c>
      <c r="B219" s="176" t="s">
        <v>2764</v>
      </c>
      <c r="C219" s="177" t="s">
        <v>1049</v>
      </c>
      <c r="D219" s="177" t="s">
        <v>6806</v>
      </c>
      <c r="E219" s="177" t="s">
        <v>83</v>
      </c>
      <c r="F219" s="177" t="s">
        <v>850</v>
      </c>
      <c r="G219" s="179" t="s">
        <v>6707</v>
      </c>
      <c r="H219" s="180" t="s">
        <v>2764</v>
      </c>
      <c r="I219" s="163">
        <f>IFERROR(__xludf.DUMMYFUNCTION("""COMPUTED_VALUE"""),4.19)</f>
        <v>4.19</v>
      </c>
      <c r="J219" s="177" t="s">
        <v>6750</v>
      </c>
      <c r="K219" s="164" t="s">
        <v>6871</v>
      </c>
      <c r="L219" s="164"/>
      <c r="M219" s="165"/>
      <c r="N219" s="21" t="s">
        <v>22</v>
      </c>
      <c r="O219" s="164"/>
      <c r="P219" s="164"/>
      <c r="Q219" s="177" t="s">
        <v>1779</v>
      </c>
      <c r="R219" s="164"/>
      <c r="S219" s="163">
        <f>IFERROR(__xludf.DUMMYFUNCTION("""COMPUTED_VALUE"""),15.0)</f>
        <v>15</v>
      </c>
      <c r="T219" s="164"/>
      <c r="U219" s="164"/>
      <c r="V219" s="164"/>
      <c r="W219" s="164"/>
      <c r="X219" s="164"/>
    </row>
    <row r="220">
      <c r="A220" s="175">
        <v>45916.0</v>
      </c>
      <c r="B220" s="176" t="s">
        <v>2766</v>
      </c>
      <c r="C220" s="177" t="s">
        <v>1049</v>
      </c>
      <c r="D220" s="177" t="s">
        <v>6806</v>
      </c>
      <c r="E220" s="177" t="s">
        <v>83</v>
      </c>
      <c r="F220" s="177" t="s">
        <v>850</v>
      </c>
      <c r="G220" s="179" t="s">
        <v>6707</v>
      </c>
      <c r="H220" s="180" t="s">
        <v>2766</v>
      </c>
      <c r="I220" s="163">
        <f>IFERROR(__xludf.DUMMYFUNCTION("""COMPUTED_VALUE"""),4.19)</f>
        <v>4.19</v>
      </c>
      <c r="J220" s="177" t="s">
        <v>6750</v>
      </c>
      <c r="K220" s="164" t="s">
        <v>6872</v>
      </c>
      <c r="L220" s="164"/>
      <c r="M220" s="165"/>
      <c r="N220" s="21" t="s">
        <v>22</v>
      </c>
      <c r="O220" s="164"/>
      <c r="P220" s="164"/>
      <c r="Q220" s="177" t="s">
        <v>1779</v>
      </c>
      <c r="R220" s="164"/>
      <c r="S220" s="163">
        <f>IFERROR(__xludf.DUMMYFUNCTION("""COMPUTED_VALUE"""),15.0)</f>
        <v>15</v>
      </c>
      <c r="T220" s="164"/>
      <c r="U220" s="164"/>
      <c r="V220" s="164"/>
      <c r="W220" s="164"/>
      <c r="X220" s="164"/>
    </row>
    <row r="221">
      <c r="A221" s="175">
        <v>45916.0</v>
      </c>
      <c r="B221" s="176" t="s">
        <v>1908</v>
      </c>
      <c r="C221" s="177" t="s">
        <v>1049</v>
      </c>
      <c r="D221" s="177" t="s">
        <v>6806</v>
      </c>
      <c r="E221" s="177" t="s">
        <v>83</v>
      </c>
      <c r="F221" s="177" t="s">
        <v>850</v>
      </c>
      <c r="G221" s="179" t="s">
        <v>6707</v>
      </c>
      <c r="H221" s="180" t="s">
        <v>1908</v>
      </c>
      <c r="I221" s="163">
        <f>IFERROR(__xludf.DUMMYFUNCTION("""COMPUTED_VALUE"""),4.19)</f>
        <v>4.19</v>
      </c>
      <c r="J221" s="177" t="s">
        <v>6750</v>
      </c>
      <c r="K221" s="164" t="s">
        <v>6873</v>
      </c>
      <c r="L221" s="164"/>
      <c r="M221" s="165"/>
      <c r="N221" s="21" t="s">
        <v>22</v>
      </c>
      <c r="O221" s="164"/>
      <c r="P221" s="164"/>
      <c r="Q221" s="177" t="s">
        <v>1779</v>
      </c>
      <c r="R221" s="164"/>
      <c r="S221" s="163">
        <f>IFERROR(__xludf.DUMMYFUNCTION("""COMPUTED_VALUE"""),15.0)</f>
        <v>15</v>
      </c>
      <c r="T221" s="164"/>
      <c r="U221" s="164"/>
      <c r="V221" s="164"/>
      <c r="W221" s="164"/>
      <c r="X221" s="164"/>
    </row>
    <row r="222">
      <c r="A222" s="175">
        <v>45916.0</v>
      </c>
      <c r="B222" s="176" t="s">
        <v>2768</v>
      </c>
      <c r="C222" s="177" t="s">
        <v>1049</v>
      </c>
      <c r="D222" s="177" t="s">
        <v>6806</v>
      </c>
      <c r="E222" s="177" t="s">
        <v>83</v>
      </c>
      <c r="F222" s="177" t="s">
        <v>850</v>
      </c>
      <c r="G222" s="179" t="s">
        <v>6707</v>
      </c>
      <c r="H222" s="180" t="s">
        <v>2768</v>
      </c>
      <c r="I222" s="163">
        <f>IFERROR(__xludf.DUMMYFUNCTION("""COMPUTED_VALUE"""),4.19)</f>
        <v>4.19</v>
      </c>
      <c r="J222" s="177" t="s">
        <v>6750</v>
      </c>
      <c r="K222" s="164" t="s">
        <v>6874</v>
      </c>
      <c r="L222" s="164"/>
      <c r="M222" s="165"/>
      <c r="N222" s="21" t="s">
        <v>22</v>
      </c>
      <c r="O222" s="164"/>
      <c r="P222" s="164"/>
      <c r="Q222" s="177" t="s">
        <v>1779</v>
      </c>
      <c r="R222" s="164"/>
      <c r="S222" s="163">
        <f>IFERROR(__xludf.DUMMYFUNCTION("""COMPUTED_VALUE"""),15.0)</f>
        <v>15</v>
      </c>
      <c r="T222" s="164"/>
      <c r="U222" s="164"/>
      <c r="V222" s="164"/>
      <c r="W222" s="164"/>
      <c r="X222" s="164"/>
    </row>
    <row r="223">
      <c r="A223" s="175">
        <v>45916.0</v>
      </c>
      <c r="B223" s="176" t="s">
        <v>2670</v>
      </c>
      <c r="C223" s="177" t="s">
        <v>1049</v>
      </c>
      <c r="D223" s="177" t="s">
        <v>6806</v>
      </c>
      <c r="E223" s="177" t="s">
        <v>83</v>
      </c>
      <c r="F223" s="177" t="s">
        <v>850</v>
      </c>
      <c r="G223" s="179" t="s">
        <v>6707</v>
      </c>
      <c r="H223" s="180" t="s">
        <v>2670</v>
      </c>
      <c r="I223" s="163">
        <f>IFERROR(__xludf.DUMMYFUNCTION("""COMPUTED_VALUE"""),4.19)</f>
        <v>4.19</v>
      </c>
      <c r="J223" s="177" t="s">
        <v>6750</v>
      </c>
      <c r="K223" s="164" t="s">
        <v>6875</v>
      </c>
      <c r="L223" s="164"/>
      <c r="M223" s="165"/>
      <c r="N223" s="21" t="s">
        <v>22</v>
      </c>
      <c r="O223" s="164"/>
      <c r="P223" s="164"/>
      <c r="Q223" s="177" t="s">
        <v>1779</v>
      </c>
      <c r="R223" s="164"/>
      <c r="S223" s="163">
        <f>IFERROR(__xludf.DUMMYFUNCTION("""COMPUTED_VALUE"""),15.0)</f>
        <v>15</v>
      </c>
      <c r="T223" s="164"/>
      <c r="U223" s="164"/>
      <c r="V223" s="164"/>
      <c r="W223" s="164"/>
      <c r="X223" s="164"/>
    </row>
    <row r="224">
      <c r="A224" s="175">
        <v>45916.0</v>
      </c>
      <c r="B224" s="176" t="s">
        <v>1781</v>
      </c>
      <c r="C224" s="177" t="s">
        <v>1049</v>
      </c>
      <c r="D224" s="177" t="s">
        <v>6806</v>
      </c>
      <c r="E224" s="177" t="s">
        <v>83</v>
      </c>
      <c r="F224" s="177" t="s">
        <v>850</v>
      </c>
      <c r="G224" s="179" t="s">
        <v>6707</v>
      </c>
      <c r="H224" s="180" t="s">
        <v>1781</v>
      </c>
      <c r="I224" s="163">
        <f>IFERROR(__xludf.DUMMYFUNCTION("""COMPUTED_VALUE"""),4.19)</f>
        <v>4.19</v>
      </c>
      <c r="J224" s="177" t="s">
        <v>6750</v>
      </c>
      <c r="K224" s="164" t="s">
        <v>6876</v>
      </c>
      <c r="L224" s="164"/>
      <c r="M224" s="165"/>
      <c r="N224" s="21" t="s">
        <v>22</v>
      </c>
      <c r="O224" s="164"/>
      <c r="P224" s="164"/>
      <c r="Q224" s="177" t="s">
        <v>1779</v>
      </c>
      <c r="R224" s="164"/>
      <c r="S224" s="163">
        <f>IFERROR(__xludf.DUMMYFUNCTION("""COMPUTED_VALUE"""),15.0)</f>
        <v>15</v>
      </c>
      <c r="T224" s="164"/>
      <c r="U224" s="164"/>
      <c r="V224" s="164"/>
      <c r="W224" s="164"/>
      <c r="X224" s="164"/>
    </row>
    <row r="225">
      <c r="A225" s="175">
        <v>45916.0</v>
      </c>
      <c r="B225" s="176" t="s">
        <v>1785</v>
      </c>
      <c r="C225" s="177" t="s">
        <v>1049</v>
      </c>
      <c r="D225" s="177" t="s">
        <v>6806</v>
      </c>
      <c r="E225" s="177"/>
      <c r="F225" s="177" t="s">
        <v>6777</v>
      </c>
      <c r="G225" s="179" t="s">
        <v>6707</v>
      </c>
      <c r="H225" s="180" t="s">
        <v>1785</v>
      </c>
      <c r="I225" s="163">
        <f>IFERROR(__xludf.DUMMYFUNCTION("""COMPUTED_VALUE"""),7.8)</f>
        <v>7.8</v>
      </c>
      <c r="J225" s="177" t="s">
        <v>6705</v>
      </c>
      <c r="K225" s="164" t="s">
        <v>6877</v>
      </c>
      <c r="L225" s="164"/>
      <c r="M225" s="165"/>
      <c r="N225" s="21" t="s">
        <v>22</v>
      </c>
      <c r="O225" s="164"/>
      <c r="P225" s="164"/>
      <c r="Q225" s="177" t="s">
        <v>1497</v>
      </c>
      <c r="R225" s="164"/>
      <c r="S225" s="163">
        <f>IFERROR(__xludf.DUMMYFUNCTION("""COMPUTED_VALUE"""),16.99)</f>
        <v>16.99</v>
      </c>
      <c r="T225" s="164"/>
      <c r="U225" s="164"/>
      <c r="V225" s="164"/>
      <c r="W225" s="164"/>
      <c r="X225" s="164"/>
    </row>
    <row r="226">
      <c r="A226" s="175">
        <v>45918.0</v>
      </c>
      <c r="B226" s="176" t="s">
        <v>2780</v>
      </c>
      <c r="C226" s="177" t="s">
        <v>1049</v>
      </c>
      <c r="D226" s="177" t="s">
        <v>6806</v>
      </c>
      <c r="E226" s="177" t="s">
        <v>6878</v>
      </c>
      <c r="F226" s="177" t="s">
        <v>6731</v>
      </c>
      <c r="G226" s="179" t="s">
        <v>6707</v>
      </c>
      <c r="H226" s="180" t="s">
        <v>2780</v>
      </c>
      <c r="I226" s="163">
        <f>IFERROR(__xludf.DUMMYFUNCTION("""COMPUTED_VALUE"""),17.5)</f>
        <v>17.5</v>
      </c>
      <c r="J226" s="177" t="s">
        <v>6727</v>
      </c>
      <c r="K226" s="164" t="s">
        <v>6879</v>
      </c>
      <c r="L226" s="164"/>
      <c r="M226" s="165"/>
      <c r="N226" s="21" t="s">
        <v>22</v>
      </c>
      <c r="O226" s="164"/>
      <c r="P226" s="164"/>
      <c r="Q226" s="177" t="s">
        <v>2484</v>
      </c>
      <c r="R226" s="164"/>
      <c r="S226" s="163"/>
      <c r="T226" s="164"/>
      <c r="U226" s="164"/>
      <c r="V226" s="164"/>
      <c r="W226" s="164"/>
      <c r="X226" s="164"/>
    </row>
    <row r="227">
      <c r="A227" s="175">
        <v>45918.0</v>
      </c>
      <c r="B227" s="176" t="s">
        <v>3406</v>
      </c>
      <c r="C227" s="177" t="s">
        <v>1049</v>
      </c>
      <c r="D227" s="177" t="s">
        <v>6806</v>
      </c>
      <c r="E227" s="177"/>
      <c r="F227" s="177" t="s">
        <v>842</v>
      </c>
      <c r="G227" s="179" t="s">
        <v>6707</v>
      </c>
      <c r="H227" s="180" t="s">
        <v>3406</v>
      </c>
      <c r="I227" s="163">
        <f>IFERROR(__xludf.DUMMYFUNCTION("""COMPUTED_VALUE"""),10.25)</f>
        <v>10.25</v>
      </c>
      <c r="J227" s="177" t="s">
        <v>6705</v>
      </c>
      <c r="K227" s="164" t="s">
        <v>6880</v>
      </c>
      <c r="L227" s="164"/>
      <c r="M227" s="165"/>
      <c r="N227" s="21" t="s">
        <v>22</v>
      </c>
      <c r="O227" s="164"/>
      <c r="P227" s="164"/>
      <c r="Q227" s="177" t="s">
        <v>1530</v>
      </c>
      <c r="R227" s="164"/>
      <c r="S227" s="163"/>
      <c r="T227" s="164"/>
      <c r="U227" s="164"/>
      <c r="V227" s="164"/>
      <c r="W227" s="164"/>
      <c r="X227" s="164"/>
    </row>
    <row r="228">
      <c r="A228" s="175">
        <v>45918.0</v>
      </c>
      <c r="B228" s="176" t="s">
        <v>3438</v>
      </c>
      <c r="C228" s="177" t="s">
        <v>1049</v>
      </c>
      <c r="D228" s="177" t="s">
        <v>6806</v>
      </c>
      <c r="E228" s="177"/>
      <c r="F228" s="177" t="s">
        <v>842</v>
      </c>
      <c r="G228" s="179" t="s">
        <v>6707</v>
      </c>
      <c r="H228" s="180" t="s">
        <v>3438</v>
      </c>
      <c r="I228" s="163">
        <f>IFERROR(__xludf.DUMMYFUNCTION("""COMPUTED_VALUE"""),10.25)</f>
        <v>10.25</v>
      </c>
      <c r="J228" s="177" t="s">
        <v>6705</v>
      </c>
      <c r="K228" s="164" t="s">
        <v>6881</v>
      </c>
      <c r="L228" s="164"/>
      <c r="M228" s="165"/>
      <c r="N228" s="21" t="s">
        <v>22</v>
      </c>
      <c r="O228" s="164"/>
      <c r="P228" s="164"/>
      <c r="Q228" s="177" t="s">
        <v>1569</v>
      </c>
      <c r="R228" s="164"/>
      <c r="S228" s="163"/>
      <c r="T228" s="164"/>
      <c r="U228" s="164"/>
      <c r="V228" s="164"/>
      <c r="W228" s="164"/>
      <c r="X228" s="164"/>
    </row>
    <row r="229">
      <c r="A229" s="175">
        <v>45918.0</v>
      </c>
      <c r="B229" s="176" t="s">
        <v>2483</v>
      </c>
      <c r="C229" s="177" t="s">
        <v>6716</v>
      </c>
      <c r="D229" s="177" t="s">
        <v>6806</v>
      </c>
      <c r="E229" s="177"/>
      <c r="F229" s="177" t="s">
        <v>842</v>
      </c>
      <c r="G229" s="179" t="s">
        <v>6720</v>
      </c>
      <c r="H229" s="180" t="s">
        <v>3169</v>
      </c>
      <c r="I229" s="163">
        <f>IFERROR(__xludf.DUMMYFUNCTION("""COMPUTED_VALUE"""),3.4166666666666665)</f>
        <v>3.416666667</v>
      </c>
      <c r="J229" s="177" t="s">
        <v>6705</v>
      </c>
      <c r="K229" s="164" t="s">
        <v>4472</v>
      </c>
      <c r="L229" s="164"/>
      <c r="M229" s="165"/>
      <c r="N229" s="21" t="s">
        <v>22</v>
      </c>
      <c r="O229" s="164"/>
      <c r="P229" s="164"/>
      <c r="Q229" s="177" t="s">
        <v>2484</v>
      </c>
      <c r="R229" s="164"/>
      <c r="S229" s="163">
        <f>IFERROR(__xludf.DUMMYFUNCTION("""COMPUTED_VALUE"""),0.0)</f>
        <v>0</v>
      </c>
      <c r="T229" s="164"/>
      <c r="U229" s="164"/>
      <c r="V229" s="164"/>
      <c r="W229" s="164"/>
      <c r="X229" s="164"/>
    </row>
    <row r="230">
      <c r="A230" s="175">
        <v>45918.0</v>
      </c>
      <c r="B230" s="176" t="s">
        <v>2483</v>
      </c>
      <c r="C230" s="177" t="s">
        <v>6716</v>
      </c>
      <c r="D230" s="177" t="s">
        <v>6806</v>
      </c>
      <c r="E230" s="177"/>
      <c r="F230" s="177" t="s">
        <v>842</v>
      </c>
      <c r="G230" s="179" t="s">
        <v>6721</v>
      </c>
      <c r="H230" s="180" t="s">
        <v>3423</v>
      </c>
      <c r="I230" s="163">
        <f>IFERROR(__xludf.DUMMYFUNCTION("""COMPUTED_VALUE"""),3.4166666666666665)</f>
        <v>3.416666667</v>
      </c>
      <c r="J230" s="177" t="s">
        <v>6705</v>
      </c>
      <c r="K230" s="164" t="s">
        <v>4474</v>
      </c>
      <c r="L230" s="164"/>
      <c r="M230" s="165"/>
      <c r="N230" s="21" t="s">
        <v>22</v>
      </c>
      <c r="O230" s="164"/>
      <c r="P230" s="164"/>
      <c r="Q230" s="177" t="s">
        <v>2484</v>
      </c>
      <c r="R230" s="164"/>
      <c r="S230" s="163">
        <f>IFERROR(__xludf.DUMMYFUNCTION("""COMPUTED_VALUE"""),0.0)</f>
        <v>0</v>
      </c>
      <c r="T230" s="164"/>
      <c r="U230" s="164"/>
      <c r="V230" s="164"/>
      <c r="W230" s="164"/>
      <c r="X230" s="164"/>
    </row>
    <row r="231">
      <c r="A231" s="175">
        <v>45922.0</v>
      </c>
      <c r="B231" s="176" t="s">
        <v>1804</v>
      </c>
      <c r="C231" s="177" t="s">
        <v>1049</v>
      </c>
      <c r="D231" s="177" t="s">
        <v>6806</v>
      </c>
      <c r="E231" s="177"/>
      <c r="F231" s="177" t="s">
        <v>6714</v>
      </c>
      <c r="G231" s="179" t="s">
        <v>6707</v>
      </c>
      <c r="H231" s="180" t="s">
        <v>1804</v>
      </c>
      <c r="I231" s="163">
        <f>IFERROR(__xludf.DUMMYFUNCTION("""COMPUTED_VALUE"""),9.0)</f>
        <v>9</v>
      </c>
      <c r="J231" s="177" t="s">
        <v>6719</v>
      </c>
      <c r="K231" s="164" t="s">
        <v>6882</v>
      </c>
      <c r="L231" s="164"/>
      <c r="M231" s="165"/>
      <c r="N231" s="21" t="s">
        <v>22</v>
      </c>
      <c r="O231" s="164"/>
      <c r="P231" s="164"/>
      <c r="Q231" s="177" t="s">
        <v>1805</v>
      </c>
      <c r="R231" s="164"/>
      <c r="S231" s="163">
        <f>IFERROR(__xludf.DUMMYFUNCTION("""COMPUTED_VALUE"""),18.99)</f>
        <v>18.99</v>
      </c>
      <c r="T231" s="164"/>
      <c r="U231" s="164"/>
      <c r="V231" s="164"/>
      <c r="W231" s="164"/>
      <c r="X231" s="164"/>
    </row>
    <row r="232">
      <c r="A232" s="175">
        <v>45922.0</v>
      </c>
      <c r="B232" s="176" t="s">
        <v>1807</v>
      </c>
      <c r="C232" s="177" t="s">
        <v>1049</v>
      </c>
      <c r="D232" s="177" t="s">
        <v>6806</v>
      </c>
      <c r="E232" s="177"/>
      <c r="F232" s="177" t="s">
        <v>6731</v>
      </c>
      <c r="G232" s="179" t="s">
        <v>6707</v>
      </c>
      <c r="H232" s="180" t="s">
        <v>1807</v>
      </c>
      <c r="I232" s="163">
        <f>IFERROR(__xludf.DUMMYFUNCTION("""COMPUTED_VALUE"""),9.0)</f>
        <v>9</v>
      </c>
      <c r="J232" s="177" t="s">
        <v>6719</v>
      </c>
      <c r="K232" s="164" t="s">
        <v>6883</v>
      </c>
      <c r="L232" s="164"/>
      <c r="M232" s="165"/>
      <c r="N232" s="21" t="s">
        <v>22</v>
      </c>
      <c r="O232" s="164"/>
      <c r="P232" s="164"/>
      <c r="Q232" s="177" t="s">
        <v>1805</v>
      </c>
      <c r="R232" s="164"/>
      <c r="S232" s="163">
        <f>IFERROR(__xludf.DUMMYFUNCTION("""COMPUTED_VALUE"""),18.99)</f>
        <v>18.99</v>
      </c>
      <c r="T232" s="164"/>
      <c r="U232" s="164"/>
      <c r="V232" s="164"/>
      <c r="W232" s="164"/>
      <c r="X232" s="164"/>
    </row>
    <row r="233">
      <c r="A233" s="175">
        <v>45922.0</v>
      </c>
      <c r="B233" s="176" t="s">
        <v>2011</v>
      </c>
      <c r="C233" s="177" t="s">
        <v>1049</v>
      </c>
      <c r="D233" s="177" t="s">
        <v>6806</v>
      </c>
      <c r="E233" s="177"/>
      <c r="F233" s="177" t="s">
        <v>6731</v>
      </c>
      <c r="G233" s="179" t="s">
        <v>6707</v>
      </c>
      <c r="H233" s="180" t="s">
        <v>2011</v>
      </c>
      <c r="I233" s="163">
        <f>IFERROR(__xludf.DUMMYFUNCTION("""COMPUTED_VALUE"""),9.0)</f>
        <v>9</v>
      </c>
      <c r="J233" s="177" t="s">
        <v>6727</v>
      </c>
      <c r="K233" s="164" t="s">
        <v>6884</v>
      </c>
      <c r="L233" s="164"/>
      <c r="M233" s="165"/>
      <c r="N233" s="21" t="s">
        <v>22</v>
      </c>
      <c r="O233" s="164"/>
      <c r="P233" s="164"/>
      <c r="Q233" s="177" t="s">
        <v>1805</v>
      </c>
      <c r="R233" s="164"/>
      <c r="S233" s="163">
        <f>IFERROR(__xludf.DUMMYFUNCTION("""COMPUTED_VALUE"""),18.99)</f>
        <v>18.99</v>
      </c>
      <c r="T233" s="164"/>
      <c r="U233" s="164"/>
      <c r="V233" s="164"/>
      <c r="W233" s="164"/>
      <c r="X233" s="164"/>
    </row>
    <row r="234">
      <c r="A234" s="175">
        <v>45922.0</v>
      </c>
      <c r="B234" s="176" t="s">
        <v>2495</v>
      </c>
      <c r="C234" s="177" t="s">
        <v>1049</v>
      </c>
      <c r="D234" s="177" t="s">
        <v>6806</v>
      </c>
      <c r="E234" s="177"/>
      <c r="F234" s="177" t="s">
        <v>6717</v>
      </c>
      <c r="G234" s="179" t="s">
        <v>6707</v>
      </c>
      <c r="H234" s="180" t="s">
        <v>2495</v>
      </c>
      <c r="I234" s="163">
        <f>IFERROR(__xludf.DUMMYFUNCTION("""COMPUTED_VALUE"""),9.0)</f>
        <v>9</v>
      </c>
      <c r="J234" s="177" t="s">
        <v>6708</v>
      </c>
      <c r="K234" s="164" t="s">
        <v>6885</v>
      </c>
      <c r="L234" s="164"/>
      <c r="M234" s="165"/>
      <c r="N234" s="21" t="s">
        <v>22</v>
      </c>
      <c r="O234" s="164"/>
      <c r="P234" s="164"/>
      <c r="Q234" s="177" t="s">
        <v>1805</v>
      </c>
      <c r="R234" s="164"/>
      <c r="S234" s="163">
        <f>IFERROR(__xludf.DUMMYFUNCTION("""COMPUTED_VALUE"""),18.99)</f>
        <v>18.99</v>
      </c>
      <c r="T234" s="164"/>
      <c r="U234" s="164"/>
      <c r="V234" s="164"/>
      <c r="W234" s="164"/>
      <c r="X234" s="164"/>
    </row>
    <row r="235">
      <c r="A235" s="175">
        <v>45922.0</v>
      </c>
      <c r="B235" s="176" t="s">
        <v>2013</v>
      </c>
      <c r="C235" s="177" t="s">
        <v>1049</v>
      </c>
      <c r="D235" s="177" t="s">
        <v>6806</v>
      </c>
      <c r="E235" s="177"/>
      <c r="F235" s="177" t="s">
        <v>6777</v>
      </c>
      <c r="G235" s="179" t="s">
        <v>6707</v>
      </c>
      <c r="H235" s="180" t="s">
        <v>2013</v>
      </c>
      <c r="I235" s="163">
        <f>IFERROR(__xludf.DUMMYFUNCTION("""COMPUTED_VALUE"""),9.0)</f>
        <v>9</v>
      </c>
      <c r="J235" s="177" t="s">
        <v>6705</v>
      </c>
      <c r="K235" s="164" t="s">
        <v>6886</v>
      </c>
      <c r="L235" s="164"/>
      <c r="M235" s="165"/>
      <c r="N235" s="21" t="s">
        <v>22</v>
      </c>
      <c r="O235" s="164"/>
      <c r="P235" s="164"/>
      <c r="Q235" s="177" t="s">
        <v>1805</v>
      </c>
      <c r="R235" s="164"/>
      <c r="S235" s="163">
        <f>IFERROR(__xludf.DUMMYFUNCTION("""COMPUTED_VALUE"""),18.99)</f>
        <v>18.99</v>
      </c>
      <c r="T235" s="164"/>
      <c r="U235" s="164"/>
      <c r="V235" s="164"/>
      <c r="W235" s="164"/>
      <c r="X235" s="164"/>
    </row>
    <row r="236">
      <c r="A236" s="175">
        <v>45922.0</v>
      </c>
      <c r="B236" s="176" t="s">
        <v>1944</v>
      </c>
      <c r="C236" s="177" t="s">
        <v>1049</v>
      </c>
      <c r="D236" s="177" t="s">
        <v>6806</v>
      </c>
      <c r="E236" s="177"/>
      <c r="F236" s="177" t="s">
        <v>6777</v>
      </c>
      <c r="G236" s="179" t="s">
        <v>6707</v>
      </c>
      <c r="H236" s="180" t="s">
        <v>1944</v>
      </c>
      <c r="I236" s="163">
        <f>IFERROR(__xludf.DUMMYFUNCTION("""COMPUTED_VALUE"""),14.4)</f>
        <v>14.4</v>
      </c>
      <c r="J236" s="177" t="s">
        <v>6705</v>
      </c>
      <c r="K236" s="164" t="s">
        <v>6887</v>
      </c>
      <c r="L236" s="164"/>
      <c r="M236" s="165"/>
      <c r="N236" s="21" t="s">
        <v>22</v>
      </c>
      <c r="O236" s="164"/>
      <c r="P236" s="164"/>
      <c r="Q236" s="177" t="s">
        <v>1691</v>
      </c>
      <c r="R236" s="164"/>
      <c r="S236" s="163">
        <f>IFERROR(__xludf.DUMMYFUNCTION("""COMPUTED_VALUE"""),29.99)</f>
        <v>29.99</v>
      </c>
      <c r="T236" s="164"/>
      <c r="U236" s="164"/>
      <c r="V236" s="164"/>
      <c r="W236" s="164"/>
      <c r="X236" s="164"/>
    </row>
    <row r="237">
      <c r="A237" s="175">
        <v>45922.0</v>
      </c>
      <c r="B237" s="176" t="s">
        <v>2007</v>
      </c>
      <c r="C237" s="177" t="s">
        <v>1049</v>
      </c>
      <c r="D237" s="177" t="s">
        <v>6806</v>
      </c>
      <c r="E237" s="177"/>
      <c r="F237" s="177" t="s">
        <v>6717</v>
      </c>
      <c r="G237" s="179" t="s">
        <v>6707</v>
      </c>
      <c r="H237" s="180" t="s">
        <v>2007</v>
      </c>
      <c r="I237" s="163">
        <f>IFERROR(__xludf.DUMMYFUNCTION("""COMPUTED_VALUE"""),14.4)</f>
        <v>14.4</v>
      </c>
      <c r="J237" s="177" t="s">
        <v>6737</v>
      </c>
      <c r="K237" s="164" t="s">
        <v>6888</v>
      </c>
      <c r="L237" s="164"/>
      <c r="M237" s="165"/>
      <c r="N237" s="21" t="s">
        <v>22</v>
      </c>
      <c r="O237" s="164"/>
      <c r="P237" s="164"/>
      <c r="Q237" s="177" t="s">
        <v>1691</v>
      </c>
      <c r="R237" s="164"/>
      <c r="S237" s="163">
        <f>IFERROR(__xludf.DUMMYFUNCTION("""COMPUTED_VALUE"""),29.99)</f>
        <v>29.99</v>
      </c>
      <c r="T237" s="164"/>
      <c r="U237" s="164"/>
      <c r="V237" s="164"/>
      <c r="W237" s="164"/>
      <c r="X237" s="164"/>
    </row>
    <row r="238">
      <c r="A238" s="175">
        <v>45922.0</v>
      </c>
      <c r="B238" s="176" t="s">
        <v>2874</v>
      </c>
      <c r="C238" s="177" t="s">
        <v>1049</v>
      </c>
      <c r="D238" s="177" t="s">
        <v>6806</v>
      </c>
      <c r="E238" s="177" t="s">
        <v>6889</v>
      </c>
      <c r="F238" s="177" t="s">
        <v>6777</v>
      </c>
      <c r="G238" s="179" t="s">
        <v>6707</v>
      </c>
      <c r="H238" s="180" t="s">
        <v>2874</v>
      </c>
      <c r="I238" s="163">
        <f>IFERROR(__xludf.DUMMYFUNCTION("""COMPUTED_VALUE"""),14.4)</f>
        <v>14.4</v>
      </c>
      <c r="J238" s="177" t="s">
        <v>6725</v>
      </c>
      <c r="K238" s="164" t="s">
        <v>6890</v>
      </c>
      <c r="L238" s="164"/>
      <c r="M238" s="165"/>
      <c r="N238" s="21" t="s">
        <v>22</v>
      </c>
      <c r="O238" s="164"/>
      <c r="P238" s="164"/>
      <c r="Q238" s="177" t="s">
        <v>1691</v>
      </c>
      <c r="R238" s="164"/>
      <c r="S238" s="163">
        <f>IFERROR(__xludf.DUMMYFUNCTION("""COMPUTED_VALUE"""),29.99)</f>
        <v>29.99</v>
      </c>
      <c r="T238" s="164"/>
      <c r="U238" s="164"/>
      <c r="V238" s="164"/>
      <c r="W238" s="164"/>
      <c r="X238" s="164"/>
    </row>
    <row r="239">
      <c r="A239" s="175">
        <v>45922.0</v>
      </c>
      <c r="B239" s="176" t="s">
        <v>2009</v>
      </c>
      <c r="C239" s="177" t="s">
        <v>1049</v>
      </c>
      <c r="D239" s="177" t="s">
        <v>6806</v>
      </c>
      <c r="E239" s="177"/>
      <c r="F239" s="177" t="s">
        <v>842</v>
      </c>
      <c r="G239" s="179" t="s">
        <v>6707</v>
      </c>
      <c r="H239" s="180" t="s">
        <v>2009</v>
      </c>
      <c r="I239" s="163">
        <f>IFERROR(__xludf.DUMMYFUNCTION("""COMPUTED_VALUE"""),14.4)</f>
        <v>14.4</v>
      </c>
      <c r="J239" s="177" t="s">
        <v>6705</v>
      </c>
      <c r="K239" s="164" t="s">
        <v>6891</v>
      </c>
      <c r="L239" s="164"/>
      <c r="M239" s="165"/>
      <c r="N239" s="21" t="s">
        <v>22</v>
      </c>
      <c r="O239" s="164"/>
      <c r="P239" s="164"/>
      <c r="Q239" s="177" t="s">
        <v>1691</v>
      </c>
      <c r="R239" s="164"/>
      <c r="S239" s="163">
        <f>IFERROR(__xludf.DUMMYFUNCTION("""COMPUTED_VALUE"""),29.99)</f>
        <v>29.99</v>
      </c>
      <c r="T239" s="164"/>
      <c r="U239" s="164"/>
      <c r="V239" s="164"/>
      <c r="W239" s="164"/>
      <c r="X239" s="164"/>
    </row>
    <row r="240">
      <c r="A240" s="175">
        <v>45922.0</v>
      </c>
      <c r="B240" s="176" t="s">
        <v>1946</v>
      </c>
      <c r="C240" s="177" t="s">
        <v>1049</v>
      </c>
      <c r="D240" s="177" t="s">
        <v>6806</v>
      </c>
      <c r="E240" s="177"/>
      <c r="F240" s="177" t="s">
        <v>6731</v>
      </c>
      <c r="G240" s="179" t="s">
        <v>6707</v>
      </c>
      <c r="H240" s="180" t="s">
        <v>1946</v>
      </c>
      <c r="I240" s="163">
        <f>IFERROR(__xludf.DUMMYFUNCTION("""COMPUTED_VALUE"""),14.4)</f>
        <v>14.4</v>
      </c>
      <c r="J240" s="177" t="s">
        <v>6759</v>
      </c>
      <c r="K240" s="164" t="s">
        <v>6892</v>
      </c>
      <c r="L240" s="164"/>
      <c r="M240" s="165"/>
      <c r="N240" s="21" t="s">
        <v>22</v>
      </c>
      <c r="O240" s="164"/>
      <c r="P240" s="164"/>
      <c r="Q240" s="177" t="s">
        <v>1691</v>
      </c>
      <c r="R240" s="164"/>
      <c r="S240" s="163">
        <f>IFERROR(__xludf.DUMMYFUNCTION("""COMPUTED_VALUE"""),29.99)</f>
        <v>29.99</v>
      </c>
      <c r="T240" s="164"/>
      <c r="U240" s="164"/>
      <c r="V240" s="164"/>
      <c r="W240" s="164"/>
      <c r="X240" s="164"/>
    </row>
    <row r="241">
      <c r="A241" s="175">
        <v>45923.0</v>
      </c>
      <c r="B241" s="176" t="s">
        <v>2003</v>
      </c>
      <c r="C241" s="177" t="s">
        <v>1049</v>
      </c>
      <c r="D241" s="177" t="s">
        <v>6811</v>
      </c>
      <c r="E241" s="177"/>
      <c r="F241" s="177" t="s">
        <v>6717</v>
      </c>
      <c r="G241" s="179" t="s">
        <v>6707</v>
      </c>
      <c r="H241" s="180" t="s">
        <v>2003</v>
      </c>
      <c r="I241" s="163">
        <f>IFERROR(__xludf.DUMMYFUNCTION("""COMPUTED_VALUE"""),12.0)</f>
        <v>12</v>
      </c>
      <c r="J241" s="177" t="s">
        <v>6719</v>
      </c>
      <c r="K241" s="164" t="s">
        <v>6893</v>
      </c>
      <c r="L241" s="164"/>
      <c r="M241" s="165"/>
      <c r="N241" s="21" t="s">
        <v>22</v>
      </c>
      <c r="O241" s="164"/>
      <c r="P241" s="164"/>
      <c r="Q241" s="177" t="s">
        <v>1849</v>
      </c>
      <c r="R241" s="164"/>
      <c r="S241" s="163">
        <f>IFERROR(__xludf.DUMMYFUNCTION("""COMPUTED_VALUE"""),29.99)</f>
        <v>29.99</v>
      </c>
      <c r="T241" s="164"/>
      <c r="U241" s="164"/>
      <c r="V241" s="164"/>
      <c r="W241" s="164"/>
      <c r="X241" s="164"/>
    </row>
    <row r="242">
      <c r="A242" s="175">
        <v>45923.0</v>
      </c>
      <c r="B242" s="176" t="s">
        <v>1848</v>
      </c>
      <c r="C242" s="177" t="s">
        <v>1049</v>
      </c>
      <c r="D242" s="177" t="s">
        <v>6811</v>
      </c>
      <c r="E242" s="177"/>
      <c r="F242" s="177" t="s">
        <v>6717</v>
      </c>
      <c r="G242" s="179" t="s">
        <v>6707</v>
      </c>
      <c r="H242" s="180" t="s">
        <v>1848</v>
      </c>
      <c r="I242" s="163">
        <f>IFERROR(__xludf.DUMMYFUNCTION("""COMPUTED_VALUE"""),12.0)</f>
        <v>12</v>
      </c>
      <c r="J242" s="177" t="s">
        <v>6708</v>
      </c>
      <c r="K242" s="164" t="s">
        <v>6894</v>
      </c>
      <c r="L242" s="164"/>
      <c r="M242" s="165"/>
      <c r="N242" s="21" t="s">
        <v>22</v>
      </c>
      <c r="O242" s="164"/>
      <c r="P242" s="164"/>
      <c r="Q242" s="177" t="s">
        <v>1849</v>
      </c>
      <c r="R242" s="164"/>
      <c r="S242" s="163">
        <f>IFERROR(__xludf.DUMMYFUNCTION("""COMPUTED_VALUE"""),29.99)</f>
        <v>29.99</v>
      </c>
      <c r="T242" s="164"/>
      <c r="U242" s="164"/>
      <c r="V242" s="164"/>
      <c r="W242" s="164"/>
      <c r="X242" s="164"/>
    </row>
    <row r="243">
      <c r="A243" s="175">
        <v>45923.0</v>
      </c>
      <c r="B243" s="176" t="s">
        <v>2043</v>
      </c>
      <c r="C243" s="177" t="s">
        <v>1049</v>
      </c>
      <c r="D243" s="177" t="s">
        <v>6811</v>
      </c>
      <c r="E243" s="177"/>
      <c r="F243" s="177" t="s">
        <v>6717</v>
      </c>
      <c r="G243" s="179" t="s">
        <v>6707</v>
      </c>
      <c r="H243" s="180" t="s">
        <v>2043</v>
      </c>
      <c r="I243" s="163">
        <f>IFERROR(__xludf.DUMMYFUNCTION("""COMPUTED_VALUE"""),12.0)</f>
        <v>12</v>
      </c>
      <c r="J243" s="177" t="s">
        <v>6725</v>
      </c>
      <c r="K243" s="164" t="s">
        <v>6895</v>
      </c>
      <c r="L243" s="164"/>
      <c r="M243" s="165"/>
      <c r="N243" s="21" t="s">
        <v>22</v>
      </c>
      <c r="O243" s="164"/>
      <c r="P243" s="164"/>
      <c r="Q243" s="177" t="s">
        <v>1849</v>
      </c>
      <c r="R243" s="164"/>
      <c r="S243" s="163">
        <f>IFERROR(__xludf.DUMMYFUNCTION("""COMPUTED_VALUE"""),29.99)</f>
        <v>29.99</v>
      </c>
      <c r="T243" s="164"/>
      <c r="U243" s="164"/>
      <c r="V243" s="164"/>
      <c r="W243" s="164"/>
      <c r="X243" s="164"/>
    </row>
    <row r="244">
      <c r="A244" s="175">
        <v>45923.0</v>
      </c>
      <c r="B244" s="176" t="s">
        <v>2005</v>
      </c>
      <c r="C244" s="177" t="s">
        <v>1049</v>
      </c>
      <c r="D244" s="177" t="s">
        <v>6811</v>
      </c>
      <c r="E244" s="177"/>
      <c r="F244" s="177" t="s">
        <v>6717</v>
      </c>
      <c r="G244" s="179" t="s">
        <v>6707</v>
      </c>
      <c r="H244" s="180" t="s">
        <v>2005</v>
      </c>
      <c r="I244" s="163">
        <f>IFERROR(__xludf.DUMMYFUNCTION("""COMPUTED_VALUE"""),12.0)</f>
        <v>12</v>
      </c>
      <c r="J244" s="177" t="s">
        <v>6705</v>
      </c>
      <c r="K244" s="164" t="s">
        <v>6896</v>
      </c>
      <c r="L244" s="164"/>
      <c r="M244" s="165"/>
      <c r="N244" s="21" t="s">
        <v>22</v>
      </c>
      <c r="O244" s="164"/>
      <c r="P244" s="164"/>
      <c r="Q244" s="177" t="s">
        <v>1849</v>
      </c>
      <c r="R244" s="164"/>
      <c r="S244" s="163">
        <f>IFERROR(__xludf.DUMMYFUNCTION("""COMPUTED_VALUE"""),29.99)</f>
        <v>29.99</v>
      </c>
      <c r="T244" s="164"/>
      <c r="U244" s="164"/>
      <c r="V244" s="164"/>
      <c r="W244" s="164"/>
      <c r="X244" s="164"/>
    </row>
    <row r="245">
      <c r="A245" s="175">
        <v>45923.0</v>
      </c>
      <c r="B245" s="176" t="s">
        <v>1942</v>
      </c>
      <c r="C245" s="177" t="s">
        <v>1049</v>
      </c>
      <c r="D245" s="177" t="s">
        <v>6811</v>
      </c>
      <c r="E245" s="177"/>
      <c r="F245" s="177" t="s">
        <v>6717</v>
      </c>
      <c r="G245" s="179" t="s">
        <v>6707</v>
      </c>
      <c r="H245" s="180" t="s">
        <v>1942</v>
      </c>
      <c r="I245" s="163">
        <f>IFERROR(__xludf.DUMMYFUNCTION("""COMPUTED_VALUE"""),12.0)</f>
        <v>12</v>
      </c>
      <c r="J245" s="177" t="s">
        <v>6705</v>
      </c>
      <c r="K245" s="164" t="s">
        <v>6897</v>
      </c>
      <c r="L245" s="164"/>
      <c r="M245" s="165"/>
      <c r="N245" s="21" t="s">
        <v>22</v>
      </c>
      <c r="O245" s="164"/>
      <c r="P245" s="164"/>
      <c r="Q245" s="177" t="s">
        <v>1849</v>
      </c>
      <c r="R245" s="164"/>
      <c r="S245" s="163">
        <f>IFERROR(__xludf.DUMMYFUNCTION("""COMPUTED_VALUE"""),29.99)</f>
        <v>29.99</v>
      </c>
      <c r="T245" s="164"/>
      <c r="U245" s="164"/>
      <c r="V245" s="164"/>
      <c r="W245" s="164"/>
      <c r="X245" s="164"/>
    </row>
    <row r="246">
      <c r="A246" s="175">
        <v>45923.0</v>
      </c>
      <c r="B246" s="176" t="s">
        <v>2911</v>
      </c>
      <c r="C246" s="177" t="s">
        <v>1049</v>
      </c>
      <c r="D246" s="177" t="s">
        <v>6806</v>
      </c>
      <c r="E246" s="177"/>
      <c r="F246" s="177" t="s">
        <v>6717</v>
      </c>
      <c r="G246" s="179" t="s">
        <v>6707</v>
      </c>
      <c r="H246" s="180" t="s">
        <v>2911</v>
      </c>
      <c r="I246" s="163" t="str">
        <f>IFERROR(__xludf.DUMMYFUNCTION("""COMPUTED_VALUE"""),"")</f>
        <v/>
      </c>
      <c r="J246" s="177" t="s">
        <v>6708</v>
      </c>
      <c r="K246" s="164" t="s">
        <v>6898</v>
      </c>
      <c r="L246" s="164"/>
      <c r="M246" s="165"/>
      <c r="N246" s="21" t="s">
        <v>22</v>
      </c>
      <c r="O246" s="164"/>
      <c r="P246" s="164"/>
      <c r="Q246" s="177" t="s">
        <v>1490</v>
      </c>
      <c r="R246" s="164"/>
      <c r="S246" s="163" t="str">
        <f>IFERROR(__xludf.DUMMYFUNCTION("""COMPUTED_VALUE"""),"")</f>
        <v/>
      </c>
      <c r="T246" s="164"/>
      <c r="U246" s="164"/>
      <c r="V246" s="164"/>
      <c r="W246" s="164"/>
      <c r="X246" s="164"/>
    </row>
    <row r="247">
      <c r="A247" s="175">
        <v>45923.0</v>
      </c>
      <c r="B247" s="176" t="s">
        <v>2578</v>
      </c>
      <c r="C247" s="177" t="s">
        <v>1049</v>
      </c>
      <c r="D247" s="177" t="s">
        <v>6806</v>
      </c>
      <c r="E247" s="177" t="s">
        <v>6776</v>
      </c>
      <c r="F247" s="177" t="s">
        <v>6776</v>
      </c>
      <c r="G247" s="179" t="s">
        <v>6707</v>
      </c>
      <c r="H247" s="180" t="s">
        <v>2578</v>
      </c>
      <c r="I247" s="163">
        <f>IFERROR(__xludf.DUMMYFUNCTION("""COMPUTED_VALUE"""),10.2)</f>
        <v>10.2</v>
      </c>
      <c r="J247" s="177" t="s">
        <v>6705</v>
      </c>
      <c r="K247" s="164" t="s">
        <v>6899</v>
      </c>
      <c r="L247" s="164"/>
      <c r="M247" s="165"/>
      <c r="N247" s="21" t="s">
        <v>22</v>
      </c>
      <c r="O247" s="164"/>
      <c r="P247" s="164"/>
      <c r="Q247" s="177" t="s">
        <v>1490</v>
      </c>
      <c r="R247" s="164"/>
      <c r="S247" s="163">
        <f>IFERROR(__xludf.DUMMYFUNCTION("""COMPUTED_VALUE"""),24.99)</f>
        <v>24.99</v>
      </c>
      <c r="T247" s="164"/>
      <c r="U247" s="164"/>
      <c r="V247" s="164"/>
      <c r="W247" s="164"/>
      <c r="X247" s="164"/>
    </row>
    <row r="248">
      <c r="A248" s="175">
        <v>45923.0</v>
      </c>
      <c r="B248" s="176" t="s">
        <v>3094</v>
      </c>
      <c r="C248" s="177" t="s">
        <v>1049</v>
      </c>
      <c r="D248" s="177" t="s">
        <v>6806</v>
      </c>
      <c r="E248" s="177"/>
      <c r="F248" s="177" t="s">
        <v>6717</v>
      </c>
      <c r="G248" s="179" t="s">
        <v>6707</v>
      </c>
      <c r="H248" s="180" t="s">
        <v>3094</v>
      </c>
      <c r="I248" s="163">
        <f>IFERROR(__xludf.DUMMYFUNCTION("""COMPUTED_VALUE"""),10.2)</f>
        <v>10.2</v>
      </c>
      <c r="J248" s="177" t="s">
        <v>6725</v>
      </c>
      <c r="K248" s="164" t="s">
        <v>6900</v>
      </c>
      <c r="L248" s="164"/>
      <c r="M248" s="165"/>
      <c r="N248" s="21" t="s">
        <v>22</v>
      </c>
      <c r="O248" s="164"/>
      <c r="P248" s="164"/>
      <c r="Q248" s="177" t="s">
        <v>1490</v>
      </c>
      <c r="R248" s="164"/>
      <c r="S248" s="163">
        <f>IFERROR(__xludf.DUMMYFUNCTION("""COMPUTED_VALUE"""),24.99)</f>
        <v>24.99</v>
      </c>
      <c r="T248" s="164"/>
      <c r="U248" s="164"/>
      <c r="V248" s="164"/>
      <c r="W248" s="164"/>
      <c r="X248" s="164"/>
    </row>
    <row r="249">
      <c r="A249" s="175">
        <v>45923.0</v>
      </c>
      <c r="B249" s="176" t="s">
        <v>3542</v>
      </c>
      <c r="C249" s="177" t="s">
        <v>1049</v>
      </c>
      <c r="D249" s="177" t="s">
        <v>6806</v>
      </c>
      <c r="E249" s="177"/>
      <c r="F249" s="177" t="s">
        <v>6861</v>
      </c>
      <c r="G249" s="179" t="s">
        <v>6707</v>
      </c>
      <c r="H249" s="180" t="s">
        <v>3542</v>
      </c>
      <c r="I249" s="163">
        <f>IFERROR(__xludf.DUMMYFUNCTION("""COMPUTED_VALUE"""),10.2)</f>
        <v>10.2</v>
      </c>
      <c r="J249" s="177" t="s">
        <v>6705</v>
      </c>
      <c r="K249" s="164" t="s">
        <v>6901</v>
      </c>
      <c r="L249" s="164"/>
      <c r="M249" s="165"/>
      <c r="N249" s="21" t="s">
        <v>22</v>
      </c>
      <c r="O249" s="164"/>
      <c r="P249" s="164"/>
      <c r="Q249" s="177" t="s">
        <v>1490</v>
      </c>
      <c r="R249" s="164"/>
      <c r="S249" s="163">
        <f>IFERROR(__xludf.DUMMYFUNCTION("""COMPUTED_VALUE"""),24.99)</f>
        <v>24.99</v>
      </c>
      <c r="T249" s="164"/>
      <c r="U249" s="164"/>
      <c r="V249" s="164"/>
      <c r="W249" s="164"/>
      <c r="X249" s="164"/>
    </row>
    <row r="250">
      <c r="A250" s="175">
        <v>45923.0</v>
      </c>
      <c r="B250" s="176" t="s">
        <v>1845</v>
      </c>
      <c r="C250" s="177" t="s">
        <v>1049</v>
      </c>
      <c r="D250" s="177" t="s">
        <v>6806</v>
      </c>
      <c r="E250" s="177"/>
      <c r="F250" s="177" t="s">
        <v>6731</v>
      </c>
      <c r="G250" s="179" t="s">
        <v>6707</v>
      </c>
      <c r="H250" s="180" t="s">
        <v>1845</v>
      </c>
      <c r="I250" s="163">
        <f>IFERROR(__xludf.DUMMYFUNCTION("""COMPUTED_VALUE"""),5.0)</f>
        <v>5</v>
      </c>
      <c r="J250" s="177" t="s">
        <v>6711</v>
      </c>
      <c r="K250" s="164" t="s">
        <v>6902</v>
      </c>
      <c r="L250" s="164"/>
      <c r="M250" s="165"/>
      <c r="N250" s="21" t="s">
        <v>22</v>
      </c>
      <c r="O250" s="164"/>
      <c r="P250" s="164"/>
      <c r="Q250" s="177" t="s">
        <v>1846</v>
      </c>
      <c r="R250" s="164"/>
      <c r="S250" s="163"/>
      <c r="T250" s="164"/>
      <c r="U250" s="164"/>
      <c r="V250" s="164"/>
      <c r="W250" s="164"/>
      <c r="X250" s="164"/>
    </row>
    <row r="251">
      <c r="A251" s="175">
        <v>45923.0</v>
      </c>
      <c r="B251" s="176" t="s">
        <v>1995</v>
      </c>
      <c r="C251" s="177" t="s">
        <v>1049</v>
      </c>
      <c r="D251" s="177" t="s">
        <v>6806</v>
      </c>
      <c r="E251" s="177"/>
      <c r="F251" s="177" t="s">
        <v>6781</v>
      </c>
      <c r="G251" s="179" t="s">
        <v>6707</v>
      </c>
      <c r="H251" s="180" t="s">
        <v>1995</v>
      </c>
      <c r="I251" s="163">
        <f>IFERROR(__xludf.DUMMYFUNCTION("""COMPUTED_VALUE"""),5.0)</f>
        <v>5</v>
      </c>
      <c r="J251" s="177" t="s">
        <v>6739</v>
      </c>
      <c r="K251" s="164" t="s">
        <v>6903</v>
      </c>
      <c r="L251" s="164"/>
      <c r="M251" s="165"/>
      <c r="N251" s="21" t="s">
        <v>22</v>
      </c>
      <c r="O251" s="164"/>
      <c r="P251" s="164"/>
      <c r="Q251" s="177" t="s">
        <v>1846</v>
      </c>
      <c r="R251" s="164"/>
      <c r="S251" s="163"/>
      <c r="T251" s="164"/>
      <c r="U251" s="164"/>
      <c r="V251" s="164"/>
      <c r="W251" s="164"/>
      <c r="X251" s="164"/>
    </row>
    <row r="252">
      <c r="A252" s="175">
        <v>45923.0</v>
      </c>
      <c r="B252" s="176" t="s">
        <v>1997</v>
      </c>
      <c r="C252" s="177" t="s">
        <v>1049</v>
      </c>
      <c r="D252" s="177" t="s">
        <v>6806</v>
      </c>
      <c r="E252" s="177"/>
      <c r="F252" s="177" t="s">
        <v>6717</v>
      </c>
      <c r="G252" s="179" t="s">
        <v>6707</v>
      </c>
      <c r="H252" s="180" t="s">
        <v>1997</v>
      </c>
      <c r="I252" s="163">
        <f>IFERROR(__xludf.DUMMYFUNCTION("""COMPUTED_VALUE"""),5.0)</f>
        <v>5</v>
      </c>
      <c r="J252" s="177" t="s">
        <v>6719</v>
      </c>
      <c r="K252" s="164" t="s">
        <v>6904</v>
      </c>
      <c r="L252" s="164"/>
      <c r="M252" s="165"/>
      <c r="N252" s="21" t="s">
        <v>22</v>
      </c>
      <c r="O252" s="164"/>
      <c r="P252" s="164"/>
      <c r="Q252" s="177" t="s">
        <v>1846</v>
      </c>
      <c r="R252" s="164"/>
      <c r="S252" s="163"/>
      <c r="T252" s="164"/>
      <c r="U252" s="164"/>
      <c r="V252" s="164"/>
      <c r="W252" s="164"/>
      <c r="X252" s="164"/>
    </row>
    <row r="253">
      <c r="A253" s="175">
        <v>45923.0</v>
      </c>
      <c r="B253" s="176" t="s">
        <v>1999</v>
      </c>
      <c r="C253" s="177" t="s">
        <v>1049</v>
      </c>
      <c r="D253" s="177" t="s">
        <v>6806</v>
      </c>
      <c r="E253" s="177"/>
      <c r="F253" s="177" t="s">
        <v>6731</v>
      </c>
      <c r="G253" s="179" t="s">
        <v>6707</v>
      </c>
      <c r="H253" s="180" t="s">
        <v>1999</v>
      </c>
      <c r="I253" s="163">
        <f>IFERROR(__xludf.DUMMYFUNCTION("""COMPUTED_VALUE"""),5.0)</f>
        <v>5</v>
      </c>
      <c r="J253" s="177" t="s">
        <v>6719</v>
      </c>
      <c r="K253" s="164" t="s">
        <v>6905</v>
      </c>
      <c r="L253" s="164"/>
      <c r="M253" s="165"/>
      <c r="N253" s="21" t="s">
        <v>22</v>
      </c>
      <c r="O253" s="164"/>
      <c r="P253" s="164"/>
      <c r="Q253" s="177" t="s">
        <v>1846</v>
      </c>
      <c r="R253" s="164"/>
      <c r="S253" s="163"/>
      <c r="T253" s="164"/>
      <c r="U253" s="164"/>
      <c r="V253" s="164"/>
      <c r="W253" s="164"/>
      <c r="X253" s="164"/>
    </row>
    <row r="254">
      <c r="A254" s="175">
        <v>45923.0</v>
      </c>
      <c r="B254" s="176" t="s">
        <v>2001</v>
      </c>
      <c r="C254" s="177" t="s">
        <v>1049</v>
      </c>
      <c r="D254" s="177" t="s">
        <v>6806</v>
      </c>
      <c r="E254" s="177"/>
      <c r="F254" s="177" t="s">
        <v>6861</v>
      </c>
      <c r="G254" s="179" t="s">
        <v>6707</v>
      </c>
      <c r="H254" s="180" t="s">
        <v>2001</v>
      </c>
      <c r="I254" s="163">
        <f>IFERROR(__xludf.DUMMYFUNCTION("""COMPUTED_VALUE"""),5.0)</f>
        <v>5</v>
      </c>
      <c r="J254" s="177" t="s">
        <v>6705</v>
      </c>
      <c r="K254" s="164" t="s">
        <v>6906</v>
      </c>
      <c r="L254" s="164"/>
      <c r="M254" s="165"/>
      <c r="N254" s="21" t="s">
        <v>22</v>
      </c>
      <c r="O254" s="164"/>
      <c r="P254" s="164"/>
      <c r="Q254" s="177" t="s">
        <v>1846</v>
      </c>
      <c r="R254" s="164"/>
      <c r="S254" s="163"/>
      <c r="T254" s="164"/>
      <c r="U254" s="164"/>
      <c r="V254" s="164"/>
      <c r="W254" s="164"/>
      <c r="X254" s="164"/>
    </row>
    <row r="255">
      <c r="A255" s="175">
        <v>45923.0</v>
      </c>
      <c r="B255" s="176" t="s">
        <v>1613</v>
      </c>
      <c r="C255" s="177" t="s">
        <v>1111</v>
      </c>
      <c r="D255" s="177" t="s">
        <v>6806</v>
      </c>
      <c r="E255" s="177" t="s">
        <v>842</v>
      </c>
      <c r="F255" s="177" t="s">
        <v>842</v>
      </c>
      <c r="G255" s="179" t="s">
        <v>6907</v>
      </c>
      <c r="H255" s="180" t="s">
        <v>2536</v>
      </c>
      <c r="I255" s="163">
        <f>IFERROR(__xludf.DUMMYFUNCTION("""COMPUTED_VALUE"""),0.0)</f>
        <v>0</v>
      </c>
      <c r="J255" s="177" t="s">
        <v>6705</v>
      </c>
      <c r="K255" s="164" t="s">
        <v>4476</v>
      </c>
      <c r="L255" s="164"/>
      <c r="M255" s="165"/>
      <c r="N255" s="21" t="s">
        <v>22</v>
      </c>
      <c r="O255" s="164"/>
      <c r="P255" s="164"/>
      <c r="Q255" s="177" t="s">
        <v>1542</v>
      </c>
      <c r="R255" s="164"/>
      <c r="S255" s="163"/>
      <c r="T255" s="164"/>
      <c r="U255" s="164"/>
      <c r="V255" s="164"/>
      <c r="W255" s="164"/>
      <c r="X255" s="164"/>
    </row>
    <row r="256">
      <c r="A256" s="175">
        <v>45923.0</v>
      </c>
      <c r="B256" s="176" t="s">
        <v>1613</v>
      </c>
      <c r="C256" s="177" t="s">
        <v>1111</v>
      </c>
      <c r="D256" s="177" t="s">
        <v>6806</v>
      </c>
      <c r="E256" s="177"/>
      <c r="F256" s="177" t="s">
        <v>842</v>
      </c>
      <c r="G256" s="179" t="s">
        <v>6908</v>
      </c>
      <c r="H256" s="180" t="s">
        <v>1835</v>
      </c>
      <c r="I256" s="163">
        <f>IFERROR(__xludf.DUMMYFUNCTION("""COMPUTED_VALUE"""),0.0)</f>
        <v>0</v>
      </c>
      <c r="J256" s="177" t="s">
        <v>6705</v>
      </c>
      <c r="K256" s="164" t="s">
        <v>4478</v>
      </c>
      <c r="L256" s="164"/>
      <c r="M256" s="165"/>
      <c r="N256" s="21" t="s">
        <v>22</v>
      </c>
      <c r="O256" s="164"/>
      <c r="P256" s="164"/>
      <c r="Q256" s="177" t="s">
        <v>1542</v>
      </c>
      <c r="R256" s="164"/>
      <c r="S256" s="163"/>
      <c r="T256" s="164"/>
      <c r="U256" s="164"/>
      <c r="V256" s="164"/>
      <c r="W256" s="164"/>
      <c r="X256" s="164"/>
    </row>
    <row r="257">
      <c r="A257" s="175">
        <v>45923.0</v>
      </c>
      <c r="B257" s="176" t="s">
        <v>1613</v>
      </c>
      <c r="C257" s="177" t="s">
        <v>1111</v>
      </c>
      <c r="D257" s="177" t="s">
        <v>6806</v>
      </c>
      <c r="E257" s="177"/>
      <c r="F257" s="177" t="s">
        <v>842</v>
      </c>
      <c r="G257" s="179" t="s">
        <v>6909</v>
      </c>
      <c r="H257" s="180" t="s">
        <v>1837</v>
      </c>
      <c r="I257" s="163">
        <f>IFERROR(__xludf.DUMMYFUNCTION("""COMPUTED_VALUE"""),0.0)</f>
        <v>0</v>
      </c>
      <c r="J257" s="177" t="s">
        <v>6705</v>
      </c>
      <c r="K257" s="164" t="s">
        <v>4480</v>
      </c>
      <c r="L257" s="164"/>
      <c r="M257" s="165"/>
      <c r="N257" s="21" t="s">
        <v>22</v>
      </c>
      <c r="O257" s="164"/>
      <c r="P257" s="164"/>
      <c r="Q257" s="177" t="s">
        <v>1542</v>
      </c>
      <c r="R257" s="164"/>
      <c r="S257" s="163"/>
      <c r="T257" s="164"/>
      <c r="U257" s="164"/>
      <c r="V257" s="164"/>
      <c r="W257" s="164"/>
      <c r="X257" s="164"/>
    </row>
    <row r="258">
      <c r="A258" s="175">
        <v>45923.0</v>
      </c>
      <c r="B258" s="176" t="s">
        <v>1613</v>
      </c>
      <c r="C258" s="177" t="s">
        <v>1111</v>
      </c>
      <c r="D258" s="177" t="s">
        <v>6806</v>
      </c>
      <c r="E258" s="177"/>
      <c r="F258" s="177" t="s">
        <v>842</v>
      </c>
      <c r="G258" s="179" t="s">
        <v>6910</v>
      </c>
      <c r="H258" s="180" t="s">
        <v>1839</v>
      </c>
      <c r="I258" s="163">
        <f>IFERROR(__xludf.DUMMYFUNCTION("""COMPUTED_VALUE"""),0.0)</f>
        <v>0</v>
      </c>
      <c r="J258" s="177" t="s">
        <v>6705</v>
      </c>
      <c r="K258" s="164" t="s">
        <v>4482</v>
      </c>
      <c r="L258" s="164"/>
      <c r="M258" s="165"/>
      <c r="N258" s="21" t="s">
        <v>22</v>
      </c>
      <c r="O258" s="164"/>
      <c r="P258" s="164"/>
      <c r="Q258" s="177" t="s">
        <v>1542</v>
      </c>
      <c r="R258" s="164"/>
      <c r="S258" s="163"/>
      <c r="T258" s="164"/>
      <c r="U258" s="164"/>
      <c r="V258" s="164"/>
      <c r="W258" s="164"/>
      <c r="X258" s="164"/>
    </row>
    <row r="259">
      <c r="A259" s="175">
        <v>45923.0</v>
      </c>
      <c r="B259" s="176" t="s">
        <v>1613</v>
      </c>
      <c r="C259" s="177" t="s">
        <v>1111</v>
      </c>
      <c r="D259" s="177" t="s">
        <v>6806</v>
      </c>
      <c r="E259" s="177"/>
      <c r="F259" s="177" t="s">
        <v>6730</v>
      </c>
      <c r="G259" s="179" t="s">
        <v>6911</v>
      </c>
      <c r="H259" s="180" t="s">
        <v>1841</v>
      </c>
      <c r="I259" s="163">
        <f>IFERROR(__xludf.DUMMYFUNCTION("""COMPUTED_VALUE"""),0.0)</f>
        <v>0</v>
      </c>
      <c r="J259" s="177" t="s">
        <v>6708</v>
      </c>
      <c r="K259" s="164" t="s">
        <v>4484</v>
      </c>
      <c r="L259" s="164"/>
      <c r="M259" s="165"/>
      <c r="N259" s="21" t="s">
        <v>22</v>
      </c>
      <c r="O259" s="164"/>
      <c r="P259" s="164"/>
      <c r="Q259" s="177" t="s">
        <v>1542</v>
      </c>
      <c r="R259" s="164"/>
      <c r="S259" s="163"/>
      <c r="T259" s="164"/>
      <c r="U259" s="164"/>
      <c r="V259" s="164"/>
      <c r="W259" s="164"/>
      <c r="X259" s="164"/>
    </row>
    <row r="260">
      <c r="A260" s="175">
        <v>45923.0</v>
      </c>
      <c r="B260" s="176" t="s">
        <v>1613</v>
      </c>
      <c r="C260" s="177" t="s">
        <v>1111</v>
      </c>
      <c r="D260" s="177" t="s">
        <v>6806</v>
      </c>
      <c r="E260" s="177"/>
      <c r="F260" s="177" t="s">
        <v>6730</v>
      </c>
      <c r="G260" s="179" t="s">
        <v>6912</v>
      </c>
      <c r="H260" s="180" t="s">
        <v>1843</v>
      </c>
      <c r="I260" s="163">
        <f>IFERROR(__xludf.DUMMYFUNCTION("""COMPUTED_VALUE"""),0.0)</f>
        <v>0</v>
      </c>
      <c r="J260" s="177" t="s">
        <v>6723</v>
      </c>
      <c r="K260" s="164" t="s">
        <v>4486</v>
      </c>
      <c r="L260" s="164"/>
      <c r="M260" s="165"/>
      <c r="N260" s="21" t="s">
        <v>22</v>
      </c>
      <c r="O260" s="164"/>
      <c r="P260" s="164"/>
      <c r="Q260" s="177" t="s">
        <v>1542</v>
      </c>
      <c r="R260" s="164"/>
      <c r="S260" s="163"/>
      <c r="T260" s="164"/>
      <c r="U260" s="164"/>
      <c r="V260" s="164"/>
      <c r="W260" s="164"/>
      <c r="X260" s="164"/>
    </row>
    <row r="261">
      <c r="A261" s="175">
        <v>45918.0</v>
      </c>
      <c r="B261" s="176" t="s">
        <v>2695</v>
      </c>
      <c r="C261" s="177" t="s">
        <v>1049</v>
      </c>
      <c r="D261" s="177" t="s">
        <v>6806</v>
      </c>
      <c r="E261" s="177" t="s">
        <v>6797</v>
      </c>
      <c r="F261" s="177" t="s">
        <v>6729</v>
      </c>
      <c r="G261" s="179" t="s">
        <v>6707</v>
      </c>
      <c r="H261" s="180" t="s">
        <v>2695</v>
      </c>
      <c r="I261" s="163">
        <f>IFERROR(__xludf.DUMMYFUNCTION("""COMPUTED_VALUE"""),10.25)</f>
        <v>10.25</v>
      </c>
      <c r="J261" s="177" t="s">
        <v>6705</v>
      </c>
      <c r="K261" s="164" t="s">
        <v>6913</v>
      </c>
      <c r="L261" s="164"/>
      <c r="M261" s="165"/>
      <c r="N261" s="21" t="s">
        <v>22</v>
      </c>
      <c r="O261" s="164"/>
      <c r="P261" s="164"/>
      <c r="Q261" s="177" t="s">
        <v>2288</v>
      </c>
      <c r="R261" s="164"/>
      <c r="S261" s="163"/>
      <c r="T261" s="164"/>
      <c r="U261" s="164"/>
      <c r="V261" s="164"/>
      <c r="W261" s="164"/>
      <c r="X261" s="164"/>
    </row>
    <row r="262">
      <c r="A262" s="175">
        <v>45918.0</v>
      </c>
      <c r="B262" s="176" t="s">
        <v>1789</v>
      </c>
      <c r="C262" s="177" t="s">
        <v>1049</v>
      </c>
      <c r="D262" s="177" t="s">
        <v>6806</v>
      </c>
      <c r="E262" s="177"/>
      <c r="F262" s="177" t="s">
        <v>6826</v>
      </c>
      <c r="G262" s="179" t="s">
        <v>6707</v>
      </c>
      <c r="H262" s="180" t="s">
        <v>1789</v>
      </c>
      <c r="I262" s="163">
        <f>IFERROR(__xludf.DUMMYFUNCTION("""COMPUTED_VALUE"""),10.2)</f>
        <v>10.2</v>
      </c>
      <c r="J262" s="177" t="s">
        <v>380</v>
      </c>
      <c r="K262" s="164" t="s">
        <v>6914</v>
      </c>
      <c r="L262" s="164"/>
      <c r="M262" s="165"/>
      <c r="N262" s="21" t="s">
        <v>22</v>
      </c>
      <c r="O262" s="164"/>
      <c r="P262" s="164"/>
      <c r="Q262" s="177" t="s">
        <v>1490</v>
      </c>
      <c r="R262" s="164"/>
      <c r="S262" s="163">
        <f>IFERROR(__xludf.DUMMYFUNCTION("""COMPUTED_VALUE"""),24.99)</f>
        <v>24.99</v>
      </c>
      <c r="T262" s="164"/>
      <c r="U262" s="164"/>
      <c r="V262" s="164"/>
      <c r="W262" s="164"/>
      <c r="X262" s="164"/>
    </row>
    <row r="263">
      <c r="A263" s="175">
        <v>45900.0</v>
      </c>
      <c r="B263" s="185" t="s">
        <v>1659</v>
      </c>
      <c r="C263" s="177" t="s">
        <v>4052</v>
      </c>
      <c r="D263" s="177" t="s">
        <v>6915</v>
      </c>
      <c r="E263" s="177" t="s">
        <v>29</v>
      </c>
      <c r="F263" s="177" t="s">
        <v>6916</v>
      </c>
      <c r="G263" s="179"/>
      <c r="H263" s="180"/>
      <c r="I263" s="163"/>
      <c r="J263" s="177" t="s">
        <v>6750</v>
      </c>
      <c r="K263" s="164" t="s">
        <v>6917</v>
      </c>
      <c r="L263" s="164"/>
      <c r="M263" s="165"/>
      <c r="N263" s="21" t="s">
        <v>22</v>
      </c>
      <c r="O263" s="164"/>
      <c r="P263" s="164"/>
      <c r="Q263" s="177" t="s">
        <v>1530</v>
      </c>
      <c r="R263" s="164"/>
      <c r="S263" s="163"/>
      <c r="T263" s="164"/>
      <c r="U263" s="164"/>
      <c r="V263" s="164"/>
      <c r="W263" s="164"/>
      <c r="X263" s="164"/>
    </row>
    <row r="264">
      <c r="A264" s="175">
        <v>45900.0</v>
      </c>
      <c r="B264" s="176" t="s">
        <v>1659</v>
      </c>
      <c r="C264" s="177" t="s">
        <v>4052</v>
      </c>
      <c r="D264" s="177" t="s">
        <v>6915</v>
      </c>
      <c r="E264" s="177"/>
      <c r="F264" s="177" t="s">
        <v>6916</v>
      </c>
      <c r="G264" s="179" t="s">
        <v>6720</v>
      </c>
      <c r="H264" s="180" t="s">
        <v>1670</v>
      </c>
      <c r="I264" s="163">
        <f>IFERROR(__xludf.DUMMYFUNCTION("""COMPUTED_VALUE"""),0.0)</f>
        <v>0</v>
      </c>
      <c r="J264" s="177" t="s">
        <v>6750</v>
      </c>
      <c r="K264" s="164" t="s">
        <v>4488</v>
      </c>
      <c r="L264" s="164"/>
      <c r="M264" s="165"/>
      <c r="N264" s="21" t="s">
        <v>22</v>
      </c>
      <c r="O264" s="164"/>
      <c r="P264" s="164"/>
      <c r="Q264" s="177" t="s">
        <v>1530</v>
      </c>
      <c r="R264" s="164"/>
      <c r="S264" s="163">
        <f>IFERROR(__xludf.DUMMYFUNCTION("""COMPUTED_VALUE"""),0.0)</f>
        <v>0</v>
      </c>
      <c r="T264" s="164"/>
      <c r="U264" s="164"/>
      <c r="V264" s="164"/>
      <c r="W264" s="164"/>
      <c r="X264" s="164"/>
    </row>
    <row r="265">
      <c r="A265" s="175">
        <v>45900.0</v>
      </c>
      <c r="B265" s="176" t="s">
        <v>1659</v>
      </c>
      <c r="C265" s="177" t="s">
        <v>4052</v>
      </c>
      <c r="D265" s="177" t="s">
        <v>6915</v>
      </c>
      <c r="E265" s="177" t="s">
        <v>6713</v>
      </c>
      <c r="F265" s="177" t="s">
        <v>6916</v>
      </c>
      <c r="G265" s="179" t="s">
        <v>6721</v>
      </c>
      <c r="H265" s="180" t="s">
        <v>2264</v>
      </c>
      <c r="I265" s="163">
        <f>IFERROR(__xludf.DUMMYFUNCTION("""COMPUTED_VALUE"""),0.0)</f>
        <v>0</v>
      </c>
      <c r="J265" s="177" t="s">
        <v>6750</v>
      </c>
      <c r="K265" s="164" t="s">
        <v>4490</v>
      </c>
      <c r="L265" s="164"/>
      <c r="M265" s="165"/>
      <c r="N265" s="21" t="s">
        <v>22</v>
      </c>
      <c r="O265" s="164"/>
      <c r="P265" s="164"/>
      <c r="Q265" s="177" t="s">
        <v>1530</v>
      </c>
      <c r="R265" s="164"/>
      <c r="S265" s="163">
        <f>IFERROR(__xludf.DUMMYFUNCTION("""COMPUTED_VALUE"""),0.0)</f>
        <v>0</v>
      </c>
      <c r="T265" s="164"/>
      <c r="U265" s="164"/>
      <c r="V265" s="164"/>
      <c r="W265" s="164"/>
      <c r="X265" s="164"/>
    </row>
    <row r="266">
      <c r="A266" s="175">
        <v>45900.0</v>
      </c>
      <c r="B266" s="176" t="s">
        <v>1659</v>
      </c>
      <c r="C266" s="177" t="s">
        <v>4052</v>
      </c>
      <c r="D266" s="177" t="s">
        <v>6915</v>
      </c>
      <c r="E266" s="177"/>
      <c r="F266" s="177" t="s">
        <v>6916</v>
      </c>
      <c r="G266" s="179" t="s">
        <v>6722</v>
      </c>
      <c r="H266" s="180" t="s">
        <v>1672</v>
      </c>
      <c r="I266" s="163">
        <f>IFERROR(__xludf.DUMMYFUNCTION("""COMPUTED_VALUE"""),0.0)</f>
        <v>0</v>
      </c>
      <c r="J266" s="177" t="s">
        <v>6750</v>
      </c>
      <c r="K266" s="164" t="s">
        <v>4492</v>
      </c>
      <c r="L266" s="164"/>
      <c r="M266" s="165"/>
      <c r="N266" s="21" t="s">
        <v>22</v>
      </c>
      <c r="O266" s="164"/>
      <c r="P266" s="164"/>
      <c r="Q266" s="177" t="s">
        <v>1530</v>
      </c>
      <c r="R266" s="164"/>
      <c r="S266" s="163">
        <f>IFERROR(__xludf.DUMMYFUNCTION("""COMPUTED_VALUE"""),0.0)</f>
        <v>0</v>
      </c>
      <c r="T266" s="164"/>
      <c r="U266" s="164"/>
      <c r="V266" s="164"/>
      <c r="W266" s="164"/>
      <c r="X266" s="164"/>
    </row>
    <row r="267">
      <c r="A267" s="175">
        <v>45889.0</v>
      </c>
      <c r="B267" s="176" t="s">
        <v>1655</v>
      </c>
      <c r="C267" s="177" t="s">
        <v>1049</v>
      </c>
      <c r="D267" s="177" t="s">
        <v>6702</v>
      </c>
      <c r="E267" s="177"/>
      <c r="F267" s="177" t="s">
        <v>6714</v>
      </c>
      <c r="G267" s="179" t="s">
        <v>6707</v>
      </c>
      <c r="H267" s="180" t="s">
        <v>1655</v>
      </c>
      <c r="I267" s="163">
        <f>IFERROR(__xludf.DUMMYFUNCTION("""COMPUTED_VALUE"""),7.8)</f>
        <v>7.8</v>
      </c>
      <c r="J267" s="177" t="s">
        <v>6705</v>
      </c>
      <c r="K267" s="177" t="s">
        <v>6918</v>
      </c>
      <c r="L267" s="164"/>
      <c r="M267" s="165"/>
      <c r="N267" s="21" t="s">
        <v>22</v>
      </c>
      <c r="O267" s="164"/>
      <c r="P267" s="164"/>
      <c r="Q267" s="177" t="s">
        <v>1497</v>
      </c>
      <c r="R267" s="164"/>
      <c r="S267" s="163">
        <f>IFERROR(__xludf.DUMMYFUNCTION("""COMPUTED_VALUE"""),16.99)</f>
        <v>16.99</v>
      </c>
      <c r="T267" s="164"/>
      <c r="U267" s="164"/>
      <c r="V267" s="164"/>
      <c r="W267" s="164"/>
      <c r="X267" s="164"/>
    </row>
    <row r="268">
      <c r="A268" s="175">
        <v>45950.0</v>
      </c>
      <c r="B268" s="176" t="s">
        <v>2483</v>
      </c>
      <c r="C268" s="177" t="s">
        <v>1118</v>
      </c>
      <c r="D268" s="177" t="s">
        <v>6806</v>
      </c>
      <c r="E268" s="177"/>
      <c r="F268" s="177" t="s">
        <v>6729</v>
      </c>
      <c r="G268" s="179" t="s">
        <v>6707</v>
      </c>
      <c r="H268" s="180" t="s">
        <v>2483</v>
      </c>
      <c r="I268" s="163">
        <f>IFERROR(__xludf.DUMMYFUNCTION("""COMPUTED_VALUE"""),3.4166666666666665)</f>
        <v>3.416666667</v>
      </c>
      <c r="J268" s="177" t="s">
        <v>6705</v>
      </c>
      <c r="K268" s="177" t="s">
        <v>6919</v>
      </c>
      <c r="L268" s="164"/>
      <c r="M268" s="165"/>
      <c r="N268" s="21" t="s">
        <v>22</v>
      </c>
      <c r="O268" s="164"/>
      <c r="P268" s="164"/>
      <c r="Q268" s="177" t="s">
        <v>2484</v>
      </c>
      <c r="R268" s="164"/>
      <c r="S268" s="163">
        <f>IFERROR(__xludf.DUMMYFUNCTION("""COMPUTED_VALUE"""),0.0)</f>
        <v>0</v>
      </c>
      <c r="T268" s="164"/>
      <c r="U268" s="164"/>
      <c r="V268" s="164"/>
      <c r="W268" s="164"/>
      <c r="X268" s="164"/>
    </row>
    <row r="269">
      <c r="A269" s="175">
        <v>45893.0</v>
      </c>
      <c r="B269" s="176" t="s">
        <v>1613</v>
      </c>
      <c r="C269" s="177" t="s">
        <v>4052</v>
      </c>
      <c r="D269" s="177" t="s">
        <v>6702</v>
      </c>
      <c r="E269" s="177"/>
      <c r="F269" s="177" t="s">
        <v>6730</v>
      </c>
      <c r="G269" s="179" t="s">
        <v>6774</v>
      </c>
      <c r="H269" s="180" t="s">
        <v>1551</v>
      </c>
      <c r="I269" s="163">
        <f>IFERROR(__xludf.DUMMYFUNCTION("""COMPUTED_VALUE"""),0.0)</f>
        <v>0</v>
      </c>
      <c r="J269" s="177" t="s">
        <v>6737</v>
      </c>
      <c r="K269" s="177" t="s">
        <v>4494</v>
      </c>
      <c r="L269" s="164"/>
      <c r="M269" s="165"/>
      <c r="N269" s="21" t="s">
        <v>22</v>
      </c>
      <c r="O269" s="164"/>
      <c r="P269" s="164"/>
      <c r="Q269" s="177" t="s">
        <v>1542</v>
      </c>
      <c r="R269" s="164"/>
      <c r="S269" s="163"/>
      <c r="T269" s="164"/>
      <c r="U269" s="164"/>
      <c r="V269" s="164"/>
      <c r="W269" s="164"/>
      <c r="X269" s="164"/>
    </row>
    <row r="270">
      <c r="A270" s="175">
        <v>45952.0</v>
      </c>
      <c r="B270" s="176" t="s">
        <v>6920</v>
      </c>
      <c r="C270" s="177" t="s">
        <v>1111</v>
      </c>
      <c r="D270" s="177" t="s">
        <v>6702</v>
      </c>
      <c r="E270" s="177"/>
      <c r="F270" s="177" t="s">
        <v>6706</v>
      </c>
      <c r="G270" s="179" t="s">
        <v>6722</v>
      </c>
      <c r="H270" s="180" t="s">
        <v>1920</v>
      </c>
      <c r="I270" s="163">
        <f>IFERROR(__xludf.DUMMYFUNCTION("""COMPUTED_VALUE"""),0.0)</f>
        <v>0</v>
      </c>
      <c r="J270" s="177" t="s">
        <v>840</v>
      </c>
      <c r="K270" s="177" t="s">
        <v>4496</v>
      </c>
      <c r="L270" s="164"/>
      <c r="M270" s="165"/>
      <c r="N270" s="21" t="s">
        <v>22</v>
      </c>
      <c r="O270" s="164"/>
      <c r="P270" s="164"/>
      <c r="Q270" s="177" t="s">
        <v>1542</v>
      </c>
      <c r="R270" s="164"/>
      <c r="S270" s="163"/>
      <c r="T270" s="164"/>
      <c r="U270" s="164"/>
      <c r="V270" s="164"/>
      <c r="W270" s="164"/>
      <c r="X270" s="164"/>
    </row>
    <row r="271">
      <c r="A271" s="175">
        <v>45884.0</v>
      </c>
      <c r="B271" s="176" t="s">
        <v>1581</v>
      </c>
      <c r="C271" s="177" t="s">
        <v>4052</v>
      </c>
      <c r="D271" s="177" t="s">
        <v>6702</v>
      </c>
      <c r="E271" s="177"/>
      <c r="F271" s="177" t="s">
        <v>6703</v>
      </c>
      <c r="G271" s="179" t="s">
        <v>6720</v>
      </c>
      <c r="H271" s="180" t="s">
        <v>1647</v>
      </c>
      <c r="I271" s="163">
        <f>IFERROR(__xludf.DUMMYFUNCTION("""COMPUTED_VALUE"""),0.0)</f>
        <v>0</v>
      </c>
      <c r="J271" s="177" t="s">
        <v>6705</v>
      </c>
      <c r="K271" s="177" t="s">
        <v>4498</v>
      </c>
      <c r="L271" s="164"/>
      <c r="M271" s="165"/>
      <c r="N271" s="21" t="s">
        <v>22</v>
      </c>
      <c r="O271" s="164"/>
      <c r="P271" s="164"/>
      <c r="Q271" s="177" t="s">
        <v>1468</v>
      </c>
      <c r="R271" s="164"/>
      <c r="S271" s="163">
        <f>IFERROR(__xludf.DUMMYFUNCTION("""COMPUTED_VALUE"""),0.0)</f>
        <v>0</v>
      </c>
      <c r="T271" s="164"/>
      <c r="U271" s="164"/>
      <c r="V271" s="164"/>
      <c r="W271" s="164"/>
      <c r="X271" s="164"/>
    </row>
    <row r="272">
      <c r="A272" s="175"/>
      <c r="B272" s="176"/>
      <c r="C272" s="177"/>
      <c r="D272" s="177"/>
      <c r="E272" s="177"/>
      <c r="F272" s="177"/>
      <c r="G272" s="179"/>
      <c r="H272" s="180"/>
      <c r="I272" s="163" t="str">
        <f>IFERROR(__xludf.DUMMYFUNCTION("""COMPUTED_VALUE"""),"")</f>
        <v/>
      </c>
      <c r="J272" s="177"/>
      <c r="K272" s="177"/>
      <c r="L272" s="164"/>
      <c r="M272" s="165"/>
      <c r="N272" s="21"/>
      <c r="O272" s="164"/>
      <c r="P272" s="164"/>
      <c r="Q272" s="164"/>
      <c r="R272" s="164"/>
      <c r="S272" s="163" t="str">
        <f>IFERROR(__xludf.DUMMYFUNCTION("""COMPUTED_VALUE"""),"")</f>
        <v/>
      </c>
      <c r="T272" s="164"/>
      <c r="U272" s="164"/>
      <c r="V272" s="164"/>
      <c r="W272" s="164"/>
      <c r="X272" s="164"/>
    </row>
    <row r="273">
      <c r="A273" s="175"/>
      <c r="B273" s="176"/>
      <c r="C273" s="177"/>
      <c r="D273" s="177"/>
      <c r="E273" s="177"/>
      <c r="F273" s="177"/>
      <c r="G273" s="179"/>
      <c r="H273" s="180"/>
      <c r="I273" s="163" t="str">
        <f>IFERROR(__xludf.DUMMYFUNCTION("""COMPUTED_VALUE"""),"")</f>
        <v/>
      </c>
      <c r="J273" s="177"/>
      <c r="K273" s="177"/>
      <c r="L273" s="164"/>
      <c r="M273" s="165"/>
      <c r="N273" s="21"/>
      <c r="O273" s="164"/>
      <c r="P273" s="164"/>
      <c r="Q273" s="164"/>
      <c r="R273" s="164"/>
      <c r="S273" s="163" t="str">
        <f>IFERROR(__xludf.DUMMYFUNCTION("""COMPUTED_VALUE"""),"")</f>
        <v/>
      </c>
      <c r="T273" s="164"/>
      <c r="U273" s="164"/>
      <c r="V273" s="164"/>
      <c r="W273" s="164"/>
      <c r="X273" s="164"/>
    </row>
    <row r="274">
      <c r="A274" s="175"/>
      <c r="B274" s="176"/>
      <c r="C274" s="177"/>
      <c r="D274" s="177"/>
      <c r="E274" s="177"/>
      <c r="F274" s="177"/>
      <c r="G274" s="179"/>
      <c r="H274" s="180"/>
      <c r="I274" s="163" t="str">
        <f>IFERROR(__xludf.DUMMYFUNCTION("""COMPUTED_VALUE"""),"")</f>
        <v/>
      </c>
      <c r="J274" s="177"/>
      <c r="K274" s="177"/>
      <c r="L274" s="164"/>
      <c r="M274" s="165"/>
      <c r="N274" s="21"/>
      <c r="O274" s="164"/>
      <c r="P274" s="164"/>
      <c r="Q274" s="164"/>
      <c r="R274" s="164"/>
      <c r="S274" s="163" t="str">
        <f>IFERROR(__xludf.DUMMYFUNCTION("""COMPUTED_VALUE"""),"")</f>
        <v/>
      </c>
      <c r="T274" s="164"/>
      <c r="U274" s="164"/>
      <c r="V274" s="164"/>
      <c r="W274" s="164"/>
      <c r="X274" s="164"/>
    </row>
    <row r="275">
      <c r="A275" s="175"/>
      <c r="B275" s="176"/>
      <c r="C275" s="177"/>
      <c r="D275" s="177"/>
      <c r="E275" s="177"/>
      <c r="F275" s="177"/>
      <c r="G275" s="179"/>
      <c r="H275" s="180"/>
      <c r="I275" s="163" t="str">
        <f>IFERROR(__xludf.DUMMYFUNCTION("""COMPUTED_VALUE"""),"")</f>
        <v/>
      </c>
      <c r="J275" s="177"/>
      <c r="K275" s="177"/>
      <c r="L275" s="164"/>
      <c r="M275" s="165"/>
      <c r="N275" s="21"/>
      <c r="O275" s="164"/>
      <c r="P275" s="164"/>
      <c r="Q275" s="164"/>
      <c r="R275" s="164"/>
      <c r="S275" s="163" t="str">
        <f>IFERROR(__xludf.DUMMYFUNCTION("""COMPUTED_VALUE"""),"")</f>
        <v/>
      </c>
      <c r="T275" s="164"/>
      <c r="U275" s="164"/>
      <c r="V275" s="164"/>
      <c r="W275" s="164"/>
      <c r="X275" s="164"/>
    </row>
    <row r="276">
      <c r="A276" s="175"/>
      <c r="B276" s="176"/>
      <c r="C276" s="177"/>
      <c r="D276" s="177"/>
      <c r="E276" s="177"/>
      <c r="F276" s="177"/>
      <c r="G276" s="179"/>
      <c r="H276" s="180"/>
      <c r="I276" s="163" t="str">
        <f>IFERROR(__xludf.DUMMYFUNCTION("""COMPUTED_VALUE"""),"")</f>
        <v/>
      </c>
      <c r="J276" s="177"/>
      <c r="K276" s="177"/>
      <c r="L276" s="164"/>
      <c r="M276" s="165"/>
      <c r="N276" s="21"/>
      <c r="O276" s="164"/>
      <c r="P276" s="164"/>
      <c r="Q276" s="164"/>
      <c r="R276" s="164"/>
      <c r="S276" s="163" t="str">
        <f>IFERROR(__xludf.DUMMYFUNCTION("""COMPUTED_VALUE"""),"")</f>
        <v/>
      </c>
      <c r="T276" s="164"/>
      <c r="U276" s="164"/>
      <c r="V276" s="164"/>
      <c r="W276" s="164"/>
      <c r="X276" s="164"/>
    </row>
    <row r="277">
      <c r="A277" s="175"/>
      <c r="B277" s="176"/>
      <c r="C277" s="177"/>
      <c r="D277" s="177"/>
      <c r="E277" s="177"/>
      <c r="F277" s="177"/>
      <c r="G277" s="179"/>
      <c r="H277" s="180"/>
      <c r="I277" s="163" t="str">
        <f>IFERROR(__xludf.DUMMYFUNCTION("""COMPUTED_VALUE"""),"")</f>
        <v/>
      </c>
      <c r="J277" s="177"/>
      <c r="K277" s="177"/>
      <c r="L277" s="164"/>
      <c r="M277" s="165"/>
      <c r="N277" s="21"/>
      <c r="O277" s="164"/>
      <c r="P277" s="164"/>
      <c r="Q277" s="164"/>
      <c r="R277" s="164"/>
      <c r="S277" s="163" t="str">
        <f>IFERROR(__xludf.DUMMYFUNCTION("""COMPUTED_VALUE"""),"")</f>
        <v/>
      </c>
      <c r="T277" s="164"/>
      <c r="U277" s="164"/>
      <c r="V277" s="164"/>
      <c r="W277" s="164"/>
      <c r="X277" s="164"/>
    </row>
    <row r="278">
      <c r="A278" s="175"/>
      <c r="B278" s="176"/>
      <c r="C278" s="177"/>
      <c r="D278" s="177"/>
      <c r="E278" s="177"/>
      <c r="F278" s="177"/>
      <c r="G278" s="179"/>
      <c r="H278" s="180"/>
      <c r="I278" s="163" t="str">
        <f>IFERROR(__xludf.DUMMYFUNCTION("""COMPUTED_VALUE"""),"")</f>
        <v/>
      </c>
      <c r="J278" s="177"/>
      <c r="K278" s="177"/>
      <c r="L278" s="164"/>
      <c r="M278" s="165"/>
      <c r="N278" s="21"/>
      <c r="O278" s="164"/>
      <c r="P278" s="164"/>
      <c r="Q278" s="164"/>
      <c r="R278" s="164"/>
      <c r="S278" s="163" t="str">
        <f>IFERROR(__xludf.DUMMYFUNCTION("""COMPUTED_VALUE"""),"")</f>
        <v/>
      </c>
      <c r="T278" s="164"/>
      <c r="U278" s="164"/>
      <c r="V278" s="164"/>
      <c r="W278" s="164"/>
      <c r="X278" s="164"/>
    </row>
    <row r="279">
      <c r="A279" s="175"/>
      <c r="B279" s="176"/>
      <c r="C279" s="177"/>
      <c r="D279" s="177"/>
      <c r="E279" s="177"/>
      <c r="F279" s="177"/>
      <c r="G279" s="179"/>
      <c r="H279" s="180"/>
      <c r="I279" s="163" t="str">
        <f>IFERROR(__xludf.DUMMYFUNCTION("""COMPUTED_VALUE"""),"")</f>
        <v/>
      </c>
      <c r="J279" s="177"/>
      <c r="K279" s="177"/>
      <c r="L279" s="164"/>
      <c r="M279" s="165"/>
      <c r="N279" s="21"/>
      <c r="O279" s="164"/>
      <c r="P279" s="164"/>
      <c r="Q279" s="164"/>
      <c r="R279" s="164"/>
      <c r="S279" s="163" t="str">
        <f>IFERROR(__xludf.DUMMYFUNCTION("""COMPUTED_VALUE"""),"")</f>
        <v/>
      </c>
      <c r="T279" s="164"/>
      <c r="U279" s="164"/>
      <c r="V279" s="164"/>
      <c r="W279" s="164"/>
      <c r="X279" s="164"/>
    </row>
    <row r="280">
      <c r="A280" s="175">
        <v>45899.0</v>
      </c>
      <c r="B280" s="176" t="s">
        <v>1581</v>
      </c>
      <c r="C280" s="177" t="s">
        <v>1111</v>
      </c>
      <c r="D280" s="177" t="s">
        <v>6702</v>
      </c>
      <c r="E280" s="177"/>
      <c r="F280" s="177" t="s">
        <v>6706</v>
      </c>
      <c r="G280" s="179" t="s">
        <v>6800</v>
      </c>
      <c r="H280" s="180" t="s">
        <v>1740</v>
      </c>
      <c r="I280" s="163">
        <f>IFERROR(__xludf.DUMMYFUNCTION("""COMPUTED_VALUE"""),0.0)</f>
        <v>0</v>
      </c>
      <c r="J280" s="177" t="s">
        <v>6727</v>
      </c>
      <c r="K280" s="177" t="s">
        <v>4500</v>
      </c>
      <c r="L280" s="164"/>
      <c r="M280" s="165"/>
      <c r="N280" s="21" t="s">
        <v>22</v>
      </c>
      <c r="O280" s="164"/>
      <c r="P280" s="164"/>
      <c r="Q280" s="177" t="s">
        <v>1468</v>
      </c>
      <c r="R280" s="164"/>
      <c r="S280" s="163">
        <f>IFERROR(__xludf.DUMMYFUNCTION("""COMPUTED_VALUE"""),0.0)</f>
        <v>0</v>
      </c>
      <c r="T280" s="164"/>
      <c r="U280" s="164"/>
      <c r="V280" s="164"/>
      <c r="W280" s="164"/>
      <c r="X280" s="164"/>
    </row>
    <row r="281">
      <c r="A281" s="175">
        <v>45899.0</v>
      </c>
      <c r="B281" s="176" t="s">
        <v>1655</v>
      </c>
      <c r="C281" s="177" t="s">
        <v>6716</v>
      </c>
      <c r="D281" s="177" t="s">
        <v>6712</v>
      </c>
      <c r="E281" s="177"/>
      <c r="F281" s="177" t="s">
        <v>6706</v>
      </c>
      <c r="G281" s="179" t="s">
        <v>6718</v>
      </c>
      <c r="H281" s="180" t="s">
        <v>1742</v>
      </c>
      <c r="I281" s="163">
        <f>IFERROR(__xludf.DUMMYFUNCTION("""COMPUTED_VALUE"""),7.8)</f>
        <v>7.8</v>
      </c>
      <c r="J281" s="177" t="s">
        <v>6759</v>
      </c>
      <c r="K281" s="177" t="s">
        <v>4502</v>
      </c>
      <c r="L281" s="164"/>
      <c r="M281" s="165"/>
      <c r="N281" s="21" t="s">
        <v>22</v>
      </c>
      <c r="O281" s="164"/>
      <c r="P281" s="164"/>
      <c r="Q281" s="177" t="s">
        <v>1497</v>
      </c>
      <c r="R281" s="164"/>
      <c r="S281" s="163">
        <f>IFERROR(__xludf.DUMMYFUNCTION("""COMPUTED_VALUE"""),16.99)</f>
        <v>16.99</v>
      </c>
      <c r="T281" s="164"/>
      <c r="U281" s="164"/>
      <c r="V281" s="164"/>
      <c r="W281" s="164"/>
      <c r="X281" s="164"/>
    </row>
    <row r="282">
      <c r="A282" s="175">
        <v>45899.0</v>
      </c>
      <c r="B282" s="176" t="s">
        <v>1581</v>
      </c>
      <c r="C282" s="177" t="s">
        <v>1111</v>
      </c>
      <c r="D282" s="177" t="s">
        <v>6712</v>
      </c>
      <c r="E282" s="177"/>
      <c r="F282" s="177" t="s">
        <v>6703</v>
      </c>
      <c r="G282" s="179" t="s">
        <v>6721</v>
      </c>
      <c r="H282" s="180" t="s">
        <v>1744</v>
      </c>
      <c r="I282" s="163">
        <f>IFERROR(__xludf.DUMMYFUNCTION("""COMPUTED_VALUE"""),0.0)</f>
        <v>0</v>
      </c>
      <c r="J282" s="177" t="s">
        <v>6705</v>
      </c>
      <c r="K282" s="177" t="s">
        <v>4504</v>
      </c>
      <c r="L282" s="164"/>
      <c r="M282" s="165"/>
      <c r="N282" s="21" t="s">
        <v>22</v>
      </c>
      <c r="O282" s="164"/>
      <c r="P282" s="164"/>
      <c r="Q282" s="177" t="s">
        <v>1468</v>
      </c>
      <c r="R282" s="164"/>
      <c r="S282" s="163">
        <f>IFERROR(__xludf.DUMMYFUNCTION("""COMPUTED_VALUE"""),0.0)</f>
        <v>0</v>
      </c>
      <c r="T282" s="164"/>
      <c r="U282" s="164"/>
      <c r="V282" s="164"/>
      <c r="W282" s="164"/>
      <c r="X282" s="164"/>
    </row>
    <row r="283">
      <c r="A283" s="175">
        <v>45957.0</v>
      </c>
      <c r="B283" s="176" t="s">
        <v>3305</v>
      </c>
      <c r="C283" s="177" t="s">
        <v>1118</v>
      </c>
      <c r="D283" s="177" t="s">
        <v>6921</v>
      </c>
      <c r="E283" s="177" t="s">
        <v>48</v>
      </c>
      <c r="F283" s="177" t="s">
        <v>6922</v>
      </c>
      <c r="G283" s="179" t="s">
        <v>6707</v>
      </c>
      <c r="H283" s="180" t="s">
        <v>3305</v>
      </c>
      <c r="I283" s="163">
        <f>IFERROR(__xludf.DUMMYFUNCTION("""COMPUTED_VALUE"""),6.66)</f>
        <v>6.66</v>
      </c>
      <c r="J283" s="177" t="s">
        <v>6705</v>
      </c>
      <c r="K283" s="177" t="s">
        <v>6923</v>
      </c>
      <c r="L283" s="164"/>
      <c r="M283" s="165"/>
      <c r="N283" s="21" t="s">
        <v>22</v>
      </c>
      <c r="O283" s="164"/>
      <c r="P283" s="164"/>
      <c r="Q283" s="177" t="s">
        <v>1933</v>
      </c>
      <c r="R283" s="164"/>
      <c r="S283" s="163">
        <f>IFERROR(__xludf.DUMMYFUNCTION("""COMPUTED_VALUE"""),0.0)</f>
        <v>0</v>
      </c>
      <c r="T283" s="164"/>
      <c r="U283" s="164"/>
      <c r="V283" s="164"/>
      <c r="W283" s="164"/>
      <c r="X283" s="164"/>
    </row>
    <row r="284">
      <c r="A284" s="175">
        <v>45957.0</v>
      </c>
      <c r="B284" s="176" t="s">
        <v>3305</v>
      </c>
      <c r="C284" s="177" t="s">
        <v>6716</v>
      </c>
      <c r="D284" s="177" t="s">
        <v>6921</v>
      </c>
      <c r="E284" s="177"/>
      <c r="F284" s="177" t="s">
        <v>6924</v>
      </c>
      <c r="G284" s="179" t="s">
        <v>6720</v>
      </c>
      <c r="H284" s="180" t="s">
        <v>1932</v>
      </c>
      <c r="I284" s="163">
        <f>IFERROR(__xludf.DUMMYFUNCTION("""COMPUTED_VALUE"""),6.66)</f>
        <v>6.66</v>
      </c>
      <c r="J284" s="177" t="s">
        <v>6705</v>
      </c>
      <c r="K284" s="177" t="s">
        <v>4506</v>
      </c>
      <c r="L284" s="164"/>
      <c r="M284" s="165"/>
      <c r="N284" s="21" t="s">
        <v>22</v>
      </c>
      <c r="O284" s="164"/>
      <c r="P284" s="164"/>
      <c r="Q284" s="177" t="s">
        <v>1933</v>
      </c>
      <c r="R284" s="164"/>
      <c r="S284" s="163">
        <f>IFERROR(__xludf.DUMMYFUNCTION("""COMPUTED_VALUE"""),0.0)</f>
        <v>0</v>
      </c>
      <c r="T284" s="164"/>
      <c r="U284" s="164"/>
      <c r="V284" s="164"/>
      <c r="W284" s="164"/>
      <c r="X284" s="164"/>
    </row>
    <row r="285">
      <c r="A285" s="175">
        <v>45957.0</v>
      </c>
      <c r="B285" s="176" t="s">
        <v>3305</v>
      </c>
      <c r="C285" s="177" t="s">
        <v>6716</v>
      </c>
      <c r="D285" s="177" t="s">
        <v>6921</v>
      </c>
      <c r="E285" s="177"/>
      <c r="F285" s="177" t="s">
        <v>6924</v>
      </c>
      <c r="G285" s="179" t="s">
        <v>6721</v>
      </c>
      <c r="H285" s="180" t="s">
        <v>2521</v>
      </c>
      <c r="I285" s="163">
        <f>IFERROR(__xludf.DUMMYFUNCTION("""COMPUTED_VALUE"""),6.66)</f>
        <v>6.66</v>
      </c>
      <c r="J285" s="177" t="s">
        <v>6705</v>
      </c>
      <c r="K285" s="177" t="s">
        <v>4508</v>
      </c>
      <c r="L285" s="164"/>
      <c r="M285" s="165"/>
      <c r="N285" s="21" t="s">
        <v>22</v>
      </c>
      <c r="O285" s="164"/>
      <c r="P285" s="164"/>
      <c r="Q285" s="177" t="s">
        <v>1933</v>
      </c>
      <c r="R285" s="164"/>
      <c r="S285" s="163">
        <f>IFERROR(__xludf.DUMMYFUNCTION("""COMPUTED_VALUE"""),0.0)</f>
        <v>0</v>
      </c>
      <c r="T285" s="164"/>
      <c r="U285" s="164"/>
      <c r="V285" s="164"/>
      <c r="W285" s="164"/>
      <c r="X285" s="164"/>
    </row>
    <row r="286">
      <c r="A286" s="175">
        <v>45957.0</v>
      </c>
      <c r="B286" s="176" t="s">
        <v>6925</v>
      </c>
      <c r="C286" s="177" t="s">
        <v>1111</v>
      </c>
      <c r="D286" s="177" t="s">
        <v>6921</v>
      </c>
      <c r="E286" s="177" t="s">
        <v>1050</v>
      </c>
      <c r="F286" s="177" t="s">
        <v>6924</v>
      </c>
      <c r="G286" s="179" t="s">
        <v>6707</v>
      </c>
      <c r="H286" s="180" t="s">
        <v>6925</v>
      </c>
      <c r="I286" s="163" t="str">
        <f>IFERROR(__xludf.DUMMYFUNCTION("""COMPUTED_VALUE"""),"")</f>
        <v/>
      </c>
      <c r="J286" s="177" t="s">
        <v>6705</v>
      </c>
      <c r="K286" s="177" t="s">
        <v>4510</v>
      </c>
      <c r="L286" s="164"/>
      <c r="M286" s="165"/>
      <c r="N286" s="21" t="s">
        <v>22</v>
      </c>
      <c r="O286" s="164"/>
      <c r="P286" s="164"/>
      <c r="Q286" s="164"/>
      <c r="R286" s="164"/>
      <c r="S286" s="163" t="str">
        <f>IFERROR(__xludf.DUMMYFUNCTION("""COMPUTED_VALUE"""),"")</f>
        <v/>
      </c>
      <c r="T286" s="164"/>
      <c r="U286" s="164"/>
      <c r="V286" s="164"/>
      <c r="W286" s="164"/>
      <c r="X286" s="164"/>
    </row>
    <row r="287">
      <c r="A287" s="175">
        <v>45966.0</v>
      </c>
      <c r="B287" s="176" t="s">
        <v>1870</v>
      </c>
      <c r="C287" s="177" t="s">
        <v>6716</v>
      </c>
      <c r="D287" s="177" t="s">
        <v>6806</v>
      </c>
      <c r="E287" s="177"/>
      <c r="F287" s="177" t="s">
        <v>850</v>
      </c>
      <c r="G287" s="179" t="s">
        <v>6720</v>
      </c>
      <c r="H287" s="180" t="s">
        <v>2068</v>
      </c>
      <c r="I287" s="163">
        <f>IFERROR(__xludf.DUMMYFUNCTION("""COMPUTED_VALUE"""),0.0)</f>
        <v>0</v>
      </c>
      <c r="J287" s="177" t="s">
        <v>6750</v>
      </c>
      <c r="K287" s="177" t="s">
        <v>4512</v>
      </c>
      <c r="L287" s="164"/>
      <c r="M287" s="165"/>
      <c r="N287" s="21" t="s">
        <v>22</v>
      </c>
      <c r="O287" s="164"/>
      <c r="P287" s="164"/>
      <c r="Q287" s="177" t="s">
        <v>1684</v>
      </c>
      <c r="R287" s="164"/>
      <c r="S287" s="163">
        <f>IFERROR(__xludf.DUMMYFUNCTION("""COMPUTED_VALUE"""),0.0)</f>
        <v>0</v>
      </c>
      <c r="T287" s="164"/>
      <c r="U287" s="164"/>
      <c r="V287" s="164"/>
      <c r="W287" s="164"/>
      <c r="X287" s="164"/>
    </row>
    <row r="288">
      <c r="A288" s="175"/>
      <c r="B288" s="176"/>
      <c r="C288" s="177"/>
      <c r="D288" s="177"/>
      <c r="E288" s="177"/>
      <c r="F288" s="177"/>
      <c r="G288" s="179"/>
      <c r="H288" s="180"/>
      <c r="I288" s="163" t="str">
        <f>IFERROR(__xludf.DUMMYFUNCTION("""COMPUTED_VALUE"""),"")</f>
        <v/>
      </c>
      <c r="J288" s="177"/>
      <c r="K288" s="177"/>
      <c r="L288" s="164"/>
      <c r="M288" s="165"/>
      <c r="N288" s="21" t="s">
        <v>22</v>
      </c>
      <c r="O288" s="164"/>
      <c r="P288" s="164"/>
      <c r="Q288" s="164"/>
      <c r="R288" s="164"/>
      <c r="S288" s="163" t="str">
        <f>IFERROR(__xludf.DUMMYFUNCTION("""COMPUTED_VALUE"""),"")</f>
        <v/>
      </c>
      <c r="T288" s="164"/>
      <c r="U288" s="164"/>
      <c r="V288" s="164"/>
      <c r="W288" s="164"/>
      <c r="X288" s="164"/>
    </row>
    <row r="289">
      <c r="A289" s="175">
        <v>45958.0</v>
      </c>
      <c r="B289" s="176" t="s">
        <v>1457</v>
      </c>
      <c r="C289" s="177" t="s">
        <v>6716</v>
      </c>
      <c r="D289" s="177" t="s">
        <v>6806</v>
      </c>
      <c r="E289" s="177"/>
      <c r="F289" s="177" t="s">
        <v>6730</v>
      </c>
      <c r="G289" s="179" t="s">
        <v>6720</v>
      </c>
      <c r="H289" s="180" t="s">
        <v>1960</v>
      </c>
      <c r="I289" s="163">
        <f>IFERROR(__xludf.DUMMYFUNCTION("""COMPUTED_VALUE"""),0.0)</f>
        <v>0</v>
      </c>
      <c r="J289" s="177" t="s">
        <v>6705</v>
      </c>
      <c r="K289" s="177" t="s">
        <v>4514</v>
      </c>
      <c r="L289" s="164"/>
      <c r="M289" s="165"/>
      <c r="N289" s="21" t="s">
        <v>22</v>
      </c>
      <c r="O289" s="164"/>
      <c r="P289" s="164"/>
      <c r="Q289" s="177" t="s">
        <v>1458</v>
      </c>
      <c r="R289" s="164"/>
      <c r="S289" s="163">
        <f>IFERROR(__xludf.DUMMYFUNCTION("""COMPUTED_VALUE"""),0.0)</f>
        <v>0</v>
      </c>
      <c r="T289" s="164"/>
      <c r="U289" s="164"/>
      <c r="V289" s="164"/>
      <c r="W289" s="164"/>
      <c r="X289" s="164"/>
    </row>
    <row r="290">
      <c r="A290" s="175">
        <v>45960.0</v>
      </c>
      <c r="B290" s="176" t="s">
        <v>1583</v>
      </c>
      <c r="C290" s="177" t="s">
        <v>4052</v>
      </c>
      <c r="D290" s="177" t="s">
        <v>6806</v>
      </c>
      <c r="E290" s="177"/>
      <c r="F290" s="177" t="s">
        <v>6730</v>
      </c>
      <c r="G290" s="179" t="s">
        <v>6774</v>
      </c>
      <c r="H290" s="180" t="s">
        <v>2033</v>
      </c>
      <c r="I290" s="163">
        <f>IFERROR(__xludf.DUMMYFUNCTION("""COMPUTED_VALUE"""),0.0)</f>
        <v>0</v>
      </c>
      <c r="J290" s="177" t="s">
        <v>6727</v>
      </c>
      <c r="K290" s="177" t="s">
        <v>4516</v>
      </c>
      <c r="L290" s="164"/>
      <c r="M290" s="165"/>
      <c r="N290" s="21" t="s">
        <v>22</v>
      </c>
      <c r="O290" s="164"/>
      <c r="P290" s="164"/>
      <c r="Q290" s="177" t="s">
        <v>1471</v>
      </c>
      <c r="R290" s="164"/>
      <c r="S290" s="163"/>
      <c r="T290" s="164"/>
      <c r="U290" s="164"/>
      <c r="V290" s="164"/>
      <c r="W290" s="164"/>
      <c r="X290" s="164"/>
    </row>
    <row r="291">
      <c r="A291" s="175">
        <v>45960.0</v>
      </c>
      <c r="B291" s="176" t="s">
        <v>1581</v>
      </c>
      <c r="C291" s="177" t="s">
        <v>1111</v>
      </c>
      <c r="D291" s="177" t="s">
        <v>6806</v>
      </c>
      <c r="E291" s="177"/>
      <c r="F291" s="177" t="s">
        <v>6730</v>
      </c>
      <c r="G291" s="179" t="s">
        <v>6774</v>
      </c>
      <c r="H291" s="180" t="s">
        <v>2035</v>
      </c>
      <c r="I291" s="163">
        <f>IFERROR(__xludf.DUMMYFUNCTION("""COMPUTED_VALUE"""),0.0)</f>
        <v>0</v>
      </c>
      <c r="J291" s="177" t="s">
        <v>6723</v>
      </c>
      <c r="K291" s="177" t="s">
        <v>4518</v>
      </c>
      <c r="L291" s="164"/>
      <c r="M291" s="165"/>
      <c r="N291" s="21" t="s">
        <v>22</v>
      </c>
      <c r="O291" s="164"/>
      <c r="P291" s="164"/>
      <c r="Q291" s="177" t="s">
        <v>1468</v>
      </c>
      <c r="R291" s="164"/>
      <c r="S291" s="163">
        <f>IFERROR(__xludf.DUMMYFUNCTION("""COMPUTED_VALUE"""),0.0)</f>
        <v>0</v>
      </c>
      <c r="T291" s="164"/>
      <c r="U291" s="164"/>
      <c r="V291" s="164"/>
      <c r="W291" s="164"/>
      <c r="X291" s="164"/>
    </row>
    <row r="292">
      <c r="A292" s="175">
        <v>45957.0</v>
      </c>
      <c r="B292" s="176" t="s">
        <v>1970</v>
      </c>
      <c r="C292" s="177" t="s">
        <v>6716</v>
      </c>
      <c r="D292" s="177" t="s">
        <v>6806</v>
      </c>
      <c r="E292" s="177"/>
      <c r="F292" s="177" t="s">
        <v>6730</v>
      </c>
      <c r="G292" s="179" t="s">
        <v>6721</v>
      </c>
      <c r="H292" s="180" t="s">
        <v>1935</v>
      </c>
      <c r="I292" s="163">
        <f>IFERROR(__xludf.DUMMYFUNCTION("""COMPUTED_VALUE"""),4.9925)</f>
        <v>4.9925</v>
      </c>
      <c r="J292" s="177" t="s">
        <v>6739</v>
      </c>
      <c r="K292" s="177" t="s">
        <v>4520</v>
      </c>
      <c r="L292" s="164"/>
      <c r="M292" s="165"/>
      <c r="N292" s="21" t="s">
        <v>22</v>
      </c>
      <c r="O292" s="164"/>
      <c r="P292" s="164"/>
      <c r="Q292" s="177" t="s">
        <v>1936</v>
      </c>
      <c r="R292" s="164"/>
      <c r="S292" s="163">
        <f>IFERROR(__xludf.DUMMYFUNCTION("""COMPUTED_VALUE"""),0.0)</f>
        <v>0</v>
      </c>
      <c r="T292" s="164"/>
      <c r="U292" s="164"/>
      <c r="V292" s="164"/>
      <c r="W292" s="164"/>
      <c r="X292" s="164"/>
    </row>
    <row r="293">
      <c r="A293" s="175">
        <v>45958.0</v>
      </c>
      <c r="B293" s="176" t="s">
        <v>1613</v>
      </c>
      <c r="C293" s="177" t="s">
        <v>1111</v>
      </c>
      <c r="D293" s="177" t="s">
        <v>6806</v>
      </c>
      <c r="E293" s="177"/>
      <c r="F293" s="177" t="s">
        <v>6730</v>
      </c>
      <c r="G293" s="179" t="s">
        <v>6926</v>
      </c>
      <c r="H293" s="180" t="s">
        <v>1962</v>
      </c>
      <c r="I293" s="163">
        <f>IFERROR(__xludf.DUMMYFUNCTION("""COMPUTED_VALUE"""),0.0)</f>
        <v>0</v>
      </c>
      <c r="J293" s="177" t="s">
        <v>6727</v>
      </c>
      <c r="K293" s="177" t="s">
        <v>4522</v>
      </c>
      <c r="L293" s="164"/>
      <c r="M293" s="165"/>
      <c r="N293" s="21" t="s">
        <v>22</v>
      </c>
      <c r="O293" s="164"/>
      <c r="P293" s="164"/>
      <c r="Q293" s="177" t="s">
        <v>1542</v>
      </c>
      <c r="R293" s="164"/>
      <c r="S293" s="163"/>
      <c r="T293" s="164"/>
      <c r="U293" s="164"/>
      <c r="V293" s="164"/>
      <c r="W293" s="164"/>
      <c r="X293" s="164"/>
    </row>
    <row r="294">
      <c r="A294" s="175">
        <v>45960.0</v>
      </c>
      <c r="B294" s="176" t="s">
        <v>1581</v>
      </c>
      <c r="C294" s="177" t="s">
        <v>1111</v>
      </c>
      <c r="D294" s="177" t="s">
        <v>6806</v>
      </c>
      <c r="E294" s="177"/>
      <c r="F294" s="177" t="s">
        <v>6730</v>
      </c>
      <c r="G294" s="179" t="s">
        <v>6927</v>
      </c>
      <c r="H294" s="180" t="s">
        <v>2037</v>
      </c>
      <c r="I294" s="163">
        <f>IFERROR(__xludf.DUMMYFUNCTION("""COMPUTED_VALUE"""),0.0)</f>
        <v>0</v>
      </c>
      <c r="J294" s="177" t="s">
        <v>6705</v>
      </c>
      <c r="K294" s="177" t="s">
        <v>4524</v>
      </c>
      <c r="L294" s="164"/>
      <c r="M294" s="165"/>
      <c r="N294" s="21" t="s">
        <v>22</v>
      </c>
      <c r="O294" s="164"/>
      <c r="P294" s="164"/>
      <c r="Q294" s="177" t="s">
        <v>1468</v>
      </c>
      <c r="R294" s="164"/>
      <c r="S294" s="163">
        <f>IFERROR(__xludf.DUMMYFUNCTION("""COMPUTED_VALUE"""),0.0)</f>
        <v>0</v>
      </c>
      <c r="T294" s="164"/>
      <c r="U294" s="164"/>
      <c r="V294" s="164"/>
      <c r="W294" s="164"/>
      <c r="X294" s="164"/>
    </row>
    <row r="295">
      <c r="A295" s="175">
        <v>45960.0</v>
      </c>
      <c r="B295" s="176" t="s">
        <v>2663</v>
      </c>
      <c r="C295" s="177" t="s">
        <v>6716</v>
      </c>
      <c r="D295" s="177" t="s">
        <v>6806</v>
      </c>
      <c r="E295" s="177"/>
      <c r="F295" s="177" t="s">
        <v>6730</v>
      </c>
      <c r="G295" s="179" t="s">
        <v>6720</v>
      </c>
      <c r="H295" s="180" t="s">
        <v>2039</v>
      </c>
      <c r="I295" s="163">
        <f>IFERROR(__xludf.DUMMYFUNCTION("""COMPUTED_VALUE"""),7.8)</f>
        <v>7.8</v>
      </c>
      <c r="J295" s="177" t="s">
        <v>6750</v>
      </c>
      <c r="K295" s="177" t="s">
        <v>4526</v>
      </c>
      <c r="L295" s="164"/>
      <c r="M295" s="165"/>
      <c r="N295" s="21" t="s">
        <v>22</v>
      </c>
      <c r="O295" s="164"/>
      <c r="P295" s="164"/>
      <c r="Q295" s="177" t="s">
        <v>1497</v>
      </c>
      <c r="R295" s="164"/>
      <c r="S295" s="163">
        <f>IFERROR(__xludf.DUMMYFUNCTION("""COMPUTED_VALUE"""),16.99)</f>
        <v>16.99</v>
      </c>
      <c r="T295" s="164"/>
      <c r="U295" s="164"/>
      <c r="V295" s="164"/>
      <c r="W295" s="164"/>
      <c r="X295" s="164"/>
    </row>
    <row r="296">
      <c r="A296" s="175">
        <v>45960.0</v>
      </c>
      <c r="B296" s="176" t="s">
        <v>1870</v>
      </c>
      <c r="C296" s="177" t="s">
        <v>6716</v>
      </c>
      <c r="D296" s="177" t="s">
        <v>6806</v>
      </c>
      <c r="E296" s="177"/>
      <c r="F296" s="177" t="s">
        <v>6730</v>
      </c>
      <c r="G296" s="179" t="s">
        <v>6721</v>
      </c>
      <c r="H296" s="180" t="s">
        <v>2041</v>
      </c>
      <c r="I296" s="163">
        <f>IFERROR(__xludf.DUMMYFUNCTION("""COMPUTED_VALUE"""),0.0)</f>
        <v>0</v>
      </c>
      <c r="J296" s="177" t="s">
        <v>6750</v>
      </c>
      <c r="K296" s="177" t="s">
        <v>4528</v>
      </c>
      <c r="L296" s="164"/>
      <c r="M296" s="165"/>
      <c r="N296" s="21" t="s">
        <v>22</v>
      </c>
      <c r="O296" s="164"/>
      <c r="P296" s="164"/>
      <c r="Q296" s="177" t="s">
        <v>1684</v>
      </c>
      <c r="R296" s="164"/>
      <c r="S296" s="163">
        <f>IFERROR(__xludf.DUMMYFUNCTION("""COMPUTED_VALUE"""),0.0)</f>
        <v>0</v>
      </c>
      <c r="T296" s="164"/>
      <c r="U296" s="164"/>
      <c r="V296" s="164"/>
      <c r="W296" s="164"/>
      <c r="X296" s="164"/>
    </row>
    <row r="297">
      <c r="A297" s="175">
        <v>45959.0</v>
      </c>
      <c r="B297" s="176" t="s">
        <v>1613</v>
      </c>
      <c r="C297" s="177" t="s">
        <v>1111</v>
      </c>
      <c r="D297" s="177" t="s">
        <v>6806</v>
      </c>
      <c r="E297" s="177"/>
      <c r="F297" s="177" t="s">
        <v>850</v>
      </c>
      <c r="G297" s="179" t="s">
        <v>6928</v>
      </c>
      <c r="H297" s="180" t="s">
        <v>1991</v>
      </c>
      <c r="I297" s="163">
        <f>IFERROR(__xludf.DUMMYFUNCTION("""COMPUTED_VALUE"""),0.0)</f>
        <v>0</v>
      </c>
      <c r="J297" s="177" t="s">
        <v>6750</v>
      </c>
      <c r="K297" s="177" t="s">
        <v>4530</v>
      </c>
      <c r="L297" s="164"/>
      <c r="M297" s="165"/>
      <c r="N297" s="21" t="s">
        <v>22</v>
      </c>
      <c r="O297" s="164"/>
      <c r="P297" s="164"/>
      <c r="Q297" s="177" t="s">
        <v>1542</v>
      </c>
      <c r="R297" s="164"/>
      <c r="S297" s="163"/>
      <c r="T297" s="164"/>
      <c r="U297" s="164"/>
      <c r="V297" s="164"/>
      <c r="W297" s="164"/>
      <c r="X297" s="164"/>
    </row>
    <row r="298">
      <c r="A298" s="175">
        <v>45959.0</v>
      </c>
      <c r="B298" s="176" t="s">
        <v>1613</v>
      </c>
      <c r="C298" s="177" t="s">
        <v>1111</v>
      </c>
      <c r="D298" s="177" t="s">
        <v>6806</v>
      </c>
      <c r="E298" s="177"/>
      <c r="F298" s="177" t="s">
        <v>850</v>
      </c>
      <c r="G298" s="179" t="s">
        <v>6929</v>
      </c>
      <c r="H298" s="180" t="s">
        <v>1993</v>
      </c>
      <c r="I298" s="163">
        <f>IFERROR(__xludf.DUMMYFUNCTION("""COMPUTED_VALUE"""),0.0)</f>
        <v>0</v>
      </c>
      <c r="J298" s="177" t="s">
        <v>6750</v>
      </c>
      <c r="K298" s="177" t="s">
        <v>4532</v>
      </c>
      <c r="L298" s="164"/>
      <c r="M298" s="165"/>
      <c r="N298" s="21" t="s">
        <v>22</v>
      </c>
      <c r="O298" s="164"/>
      <c r="P298" s="164"/>
      <c r="Q298" s="177" t="s">
        <v>1542</v>
      </c>
      <c r="R298" s="164"/>
      <c r="S298" s="163"/>
      <c r="T298" s="164"/>
      <c r="U298" s="164"/>
      <c r="V298" s="164"/>
      <c r="W298" s="164"/>
      <c r="X298" s="164"/>
    </row>
    <row r="299">
      <c r="A299" s="175">
        <v>45962.0</v>
      </c>
      <c r="B299" s="176" t="s">
        <v>2277</v>
      </c>
      <c r="C299" s="177" t="s">
        <v>1049</v>
      </c>
      <c r="D299" s="177" t="s">
        <v>6930</v>
      </c>
      <c r="E299" s="177" t="s">
        <v>6826</v>
      </c>
      <c r="F299" s="177" t="s">
        <v>6825</v>
      </c>
      <c r="G299" s="179" t="s">
        <v>6707</v>
      </c>
      <c r="H299" s="180" t="s">
        <v>2277</v>
      </c>
      <c r="I299" s="163">
        <f>IFERROR(__xludf.DUMMYFUNCTION("""COMPUTED_VALUE"""),8.0)</f>
        <v>8</v>
      </c>
      <c r="J299" s="177" t="s">
        <v>6705</v>
      </c>
      <c r="K299" s="177" t="s">
        <v>6931</v>
      </c>
      <c r="L299" s="164"/>
      <c r="M299" s="165"/>
      <c r="N299" s="21" t="s">
        <v>22</v>
      </c>
      <c r="O299" s="164"/>
      <c r="P299" s="164"/>
      <c r="Q299" s="177" t="s">
        <v>1752</v>
      </c>
      <c r="R299" s="164"/>
      <c r="S299" s="163">
        <f>IFERROR(__xludf.DUMMYFUNCTION("""COMPUTED_VALUE"""),15.0)</f>
        <v>15</v>
      </c>
      <c r="T299" s="164"/>
      <c r="U299" s="164"/>
      <c r="V299" s="164"/>
      <c r="W299" s="164"/>
      <c r="X299" s="164"/>
    </row>
    <row r="300">
      <c r="A300" s="175">
        <v>45962.0</v>
      </c>
      <c r="B300" s="176" t="s">
        <v>2062</v>
      </c>
      <c r="C300" s="177" t="s">
        <v>1049</v>
      </c>
      <c r="D300" s="177" t="s">
        <v>6806</v>
      </c>
      <c r="E300" s="177"/>
      <c r="F300" s="177" t="s">
        <v>38</v>
      </c>
      <c r="G300" s="179" t="s">
        <v>6707</v>
      </c>
      <c r="H300" s="180" t="s">
        <v>2062</v>
      </c>
      <c r="I300" s="163">
        <f>IFERROR(__xludf.DUMMYFUNCTION("""COMPUTED_VALUE"""),9.5)</f>
        <v>9.5</v>
      </c>
      <c r="J300" s="177" t="s">
        <v>6735</v>
      </c>
      <c r="K300" s="177" t="s">
        <v>6932</v>
      </c>
      <c r="L300" s="164"/>
      <c r="M300" s="165"/>
      <c r="N300" s="21" t="s">
        <v>22</v>
      </c>
      <c r="O300" s="164"/>
      <c r="P300" s="164"/>
      <c r="Q300" s="177" t="s">
        <v>2063</v>
      </c>
      <c r="R300" s="164"/>
      <c r="S300" s="163">
        <f>IFERROR(__xludf.DUMMYFUNCTION("""COMPUTED_VALUE"""),19.0)</f>
        <v>19</v>
      </c>
      <c r="T300" s="164"/>
      <c r="U300" s="164"/>
      <c r="V300" s="164"/>
      <c r="W300" s="164"/>
      <c r="X300" s="164"/>
    </row>
    <row r="301">
      <c r="A301" s="175">
        <v>45962.0</v>
      </c>
      <c r="B301" s="176" t="s">
        <v>2059</v>
      </c>
      <c r="C301" s="177" t="s">
        <v>1049</v>
      </c>
      <c r="D301" s="177" t="s">
        <v>6806</v>
      </c>
      <c r="E301" s="177"/>
      <c r="F301" s="177" t="s">
        <v>38</v>
      </c>
      <c r="G301" s="179" t="s">
        <v>6707</v>
      </c>
      <c r="H301" s="180" t="s">
        <v>2059</v>
      </c>
      <c r="I301" s="163">
        <f>IFERROR(__xludf.DUMMYFUNCTION("""COMPUTED_VALUE"""),9.5)</f>
        <v>9.5</v>
      </c>
      <c r="J301" s="177" t="s">
        <v>6735</v>
      </c>
      <c r="K301" s="177" t="s">
        <v>6933</v>
      </c>
      <c r="L301" s="164"/>
      <c r="M301" s="165"/>
      <c r="N301" s="21" t="s">
        <v>22</v>
      </c>
      <c r="O301" s="164"/>
      <c r="P301" s="164"/>
      <c r="Q301" s="177" t="s">
        <v>2060</v>
      </c>
      <c r="R301" s="164"/>
      <c r="S301" s="163">
        <f>IFERROR(__xludf.DUMMYFUNCTION("""COMPUTED_VALUE"""),19.0)</f>
        <v>19</v>
      </c>
      <c r="T301" s="164"/>
      <c r="U301" s="164"/>
      <c r="V301" s="164"/>
      <c r="W301" s="164"/>
      <c r="X301" s="164"/>
    </row>
    <row r="302">
      <c r="A302" s="175">
        <v>45967.0</v>
      </c>
      <c r="B302" s="176" t="s">
        <v>2070</v>
      </c>
      <c r="C302" s="177" t="s">
        <v>1049</v>
      </c>
      <c r="D302" s="177" t="s">
        <v>6806</v>
      </c>
      <c r="E302" s="177"/>
      <c r="F302" s="177" t="s">
        <v>6889</v>
      </c>
      <c r="G302" s="179" t="s">
        <v>6707</v>
      </c>
      <c r="H302" s="180" t="s">
        <v>2070</v>
      </c>
      <c r="I302" s="163">
        <f>IFERROR(__xludf.DUMMYFUNCTION("""COMPUTED_VALUE"""),9.5)</f>
        <v>9.5</v>
      </c>
      <c r="J302" s="177" t="s">
        <v>6705</v>
      </c>
      <c r="K302" s="177" t="s">
        <v>6934</v>
      </c>
      <c r="L302" s="164"/>
      <c r="M302" s="165"/>
      <c r="N302" s="21" t="s">
        <v>22</v>
      </c>
      <c r="O302" s="164"/>
      <c r="P302" s="164"/>
      <c r="Q302" s="177" t="s">
        <v>2071</v>
      </c>
      <c r="R302" s="164"/>
      <c r="S302" s="163">
        <f>IFERROR(__xludf.DUMMYFUNCTION("""COMPUTED_VALUE"""),19.0)</f>
        <v>19</v>
      </c>
      <c r="T302" s="164"/>
      <c r="U302" s="164"/>
      <c r="V302" s="164"/>
      <c r="W302" s="164"/>
      <c r="X302" s="164"/>
    </row>
    <row r="303">
      <c r="A303" s="175">
        <v>45967.0</v>
      </c>
      <c r="B303" s="176" t="s">
        <v>2898</v>
      </c>
      <c r="C303" s="177" t="s">
        <v>1049</v>
      </c>
      <c r="D303" s="177" t="s">
        <v>6806</v>
      </c>
      <c r="E303" s="177" t="s">
        <v>850</v>
      </c>
      <c r="F303" s="177" t="s">
        <v>6889</v>
      </c>
      <c r="G303" s="179" t="s">
        <v>6707</v>
      </c>
      <c r="H303" s="180" t="s">
        <v>2898</v>
      </c>
      <c r="I303" s="163">
        <f>IFERROR(__xludf.DUMMYFUNCTION("""COMPUTED_VALUE"""),7.8)</f>
        <v>7.8</v>
      </c>
      <c r="J303" s="177" t="s">
        <v>6705</v>
      </c>
      <c r="K303" s="177" t="s">
        <v>6935</v>
      </c>
      <c r="L303" s="164"/>
      <c r="M303" s="165"/>
      <c r="N303" s="21" t="s">
        <v>22</v>
      </c>
      <c r="O303" s="164"/>
      <c r="P303" s="164"/>
      <c r="Q303" s="177" t="s">
        <v>1497</v>
      </c>
      <c r="R303" s="164"/>
      <c r="S303" s="163">
        <f>IFERROR(__xludf.DUMMYFUNCTION("""COMPUTED_VALUE"""),16.99)</f>
        <v>16.99</v>
      </c>
      <c r="T303" s="164"/>
      <c r="U303" s="164"/>
      <c r="V303" s="164"/>
      <c r="W303" s="164"/>
      <c r="X303" s="164"/>
    </row>
    <row r="304">
      <c r="A304" s="175">
        <v>45962.0</v>
      </c>
      <c r="B304" s="176" t="s">
        <v>6925</v>
      </c>
      <c r="C304" s="177" t="s">
        <v>1049</v>
      </c>
      <c r="D304" s="177" t="s">
        <v>6936</v>
      </c>
      <c r="E304" s="177" t="s">
        <v>6924</v>
      </c>
      <c r="F304" s="177" t="s">
        <v>1050</v>
      </c>
      <c r="G304" s="179" t="s">
        <v>6707</v>
      </c>
      <c r="H304" s="180" t="s">
        <v>6925</v>
      </c>
      <c r="I304" s="163" t="str">
        <f>IFERROR(__xludf.DUMMYFUNCTION("""COMPUTED_VALUE"""),"")</f>
        <v/>
      </c>
      <c r="J304" s="177" t="s">
        <v>6705</v>
      </c>
      <c r="K304" s="177" t="s">
        <v>6937</v>
      </c>
      <c r="L304" s="164"/>
      <c r="M304" s="165"/>
      <c r="N304" s="21" t="s">
        <v>22</v>
      </c>
      <c r="O304" s="164"/>
      <c r="P304" s="164"/>
      <c r="Q304" s="164"/>
      <c r="R304" s="164"/>
      <c r="S304" s="163" t="str">
        <f>IFERROR(__xludf.DUMMYFUNCTION("""COMPUTED_VALUE"""),"")</f>
        <v/>
      </c>
      <c r="T304" s="164"/>
      <c r="U304" s="164"/>
      <c r="V304" s="164"/>
      <c r="W304" s="164"/>
      <c r="X304" s="164"/>
    </row>
    <row r="305">
      <c r="A305" s="175">
        <v>45962.0</v>
      </c>
      <c r="B305" s="176" t="s">
        <v>3409</v>
      </c>
      <c r="C305" s="177" t="s">
        <v>4052</v>
      </c>
      <c r="D305" s="177" t="s">
        <v>6806</v>
      </c>
      <c r="E305" s="177" t="s">
        <v>29</v>
      </c>
      <c r="F305" s="177" t="s">
        <v>6889</v>
      </c>
      <c r="G305" s="179" t="s">
        <v>6707</v>
      </c>
      <c r="H305" s="180" t="s">
        <v>3409</v>
      </c>
      <c r="I305" s="163">
        <f>IFERROR(__xludf.DUMMYFUNCTION("""COMPUTED_VALUE"""),7.5)</f>
        <v>7.5</v>
      </c>
      <c r="J305" s="177" t="s">
        <v>6705</v>
      </c>
      <c r="K305" s="177" t="s">
        <v>6938</v>
      </c>
      <c r="L305" s="164"/>
      <c r="M305" s="165"/>
      <c r="N305" s="21" t="s">
        <v>22</v>
      </c>
      <c r="O305" s="164"/>
      <c r="P305" s="164"/>
      <c r="Q305" s="177" t="s">
        <v>1691</v>
      </c>
      <c r="R305" s="164"/>
      <c r="S305" s="163">
        <f>IFERROR(__xludf.DUMMYFUNCTION("""COMPUTED_VALUE"""),0.0)</f>
        <v>0</v>
      </c>
      <c r="T305" s="164"/>
      <c r="U305" s="164"/>
      <c r="V305" s="164"/>
      <c r="W305" s="164"/>
      <c r="X305" s="164"/>
    </row>
    <row r="306">
      <c r="A306" s="175">
        <v>45969.0</v>
      </c>
      <c r="B306" s="176" t="s">
        <v>1613</v>
      </c>
      <c r="C306" s="177" t="s">
        <v>4052</v>
      </c>
      <c r="D306" s="177" t="s">
        <v>6806</v>
      </c>
      <c r="E306" s="177"/>
      <c r="F306" s="177" t="s">
        <v>662</v>
      </c>
      <c r="G306" s="179" t="s">
        <v>6927</v>
      </c>
      <c r="H306" s="180" t="s">
        <v>2159</v>
      </c>
      <c r="I306" s="163">
        <f>IFERROR(__xludf.DUMMYFUNCTION("""COMPUTED_VALUE"""),0.0)</f>
        <v>0</v>
      </c>
      <c r="J306" s="177" t="s">
        <v>6705</v>
      </c>
      <c r="K306" s="177" t="s">
        <v>4534</v>
      </c>
      <c r="L306" s="164"/>
      <c r="M306" s="165"/>
      <c r="N306" s="21" t="s">
        <v>22</v>
      </c>
      <c r="O306" s="164"/>
      <c r="P306" s="164"/>
      <c r="Q306" s="177" t="s">
        <v>1542</v>
      </c>
      <c r="R306" s="164"/>
      <c r="S306" s="163"/>
      <c r="T306" s="164"/>
      <c r="U306" s="164"/>
      <c r="V306" s="164"/>
      <c r="W306" s="164"/>
      <c r="X306" s="164"/>
    </row>
    <row r="307">
      <c r="A307" s="175"/>
      <c r="B307" s="176"/>
      <c r="C307" s="177"/>
      <c r="D307" s="177"/>
      <c r="E307" s="177" t="s">
        <v>1112</v>
      </c>
      <c r="F307" s="177"/>
      <c r="G307" s="179"/>
      <c r="H307" s="180"/>
      <c r="I307" s="163" t="str">
        <f>IFERROR(__xludf.DUMMYFUNCTION("""COMPUTED_VALUE"""),"")</f>
        <v/>
      </c>
      <c r="J307" s="177"/>
      <c r="K307" s="177"/>
      <c r="L307" s="164"/>
      <c r="M307" s="165"/>
      <c r="N307" s="21"/>
      <c r="O307" s="164"/>
      <c r="P307" s="164"/>
      <c r="Q307" s="164"/>
      <c r="R307" s="164"/>
      <c r="S307" s="163" t="str">
        <f>IFERROR(__xludf.DUMMYFUNCTION("""COMPUTED_VALUE"""),"")</f>
        <v/>
      </c>
      <c r="T307" s="164"/>
      <c r="U307" s="164"/>
      <c r="V307" s="164"/>
      <c r="W307" s="164"/>
      <c r="X307" s="164"/>
    </row>
    <row r="308">
      <c r="A308" s="175"/>
      <c r="B308" s="176"/>
      <c r="C308" s="177"/>
      <c r="D308" s="177"/>
      <c r="E308" s="177"/>
      <c r="F308" s="177"/>
      <c r="G308" s="179"/>
      <c r="H308" s="180"/>
      <c r="I308" s="163" t="str">
        <f>IFERROR(__xludf.DUMMYFUNCTION("""COMPUTED_VALUE"""),"")</f>
        <v/>
      </c>
      <c r="J308" s="177"/>
      <c r="K308" s="177"/>
      <c r="L308" s="164"/>
      <c r="M308" s="165"/>
      <c r="N308" s="21"/>
      <c r="O308" s="164"/>
      <c r="P308" s="164"/>
      <c r="Q308" s="164"/>
      <c r="R308" s="164"/>
      <c r="S308" s="163" t="str">
        <f>IFERROR(__xludf.DUMMYFUNCTION("""COMPUTED_VALUE"""),"")</f>
        <v/>
      </c>
      <c r="T308" s="164"/>
      <c r="U308" s="164"/>
      <c r="V308" s="164"/>
      <c r="W308" s="164"/>
      <c r="X308" s="164"/>
    </row>
    <row r="309">
      <c r="A309" s="175"/>
      <c r="B309" s="176"/>
      <c r="C309" s="177"/>
      <c r="D309" s="177"/>
      <c r="E309" s="177" t="s">
        <v>6749</v>
      </c>
      <c r="F309" s="177"/>
      <c r="G309" s="179"/>
      <c r="H309" s="180"/>
      <c r="I309" s="163" t="str">
        <f>IFERROR(__xludf.DUMMYFUNCTION("""COMPUTED_VALUE"""),"")</f>
        <v/>
      </c>
      <c r="J309" s="177"/>
      <c r="K309" s="177"/>
      <c r="L309" s="164"/>
      <c r="M309" s="165"/>
      <c r="N309" s="21"/>
      <c r="O309" s="164"/>
      <c r="P309" s="164"/>
      <c r="Q309" s="164"/>
      <c r="R309" s="164"/>
      <c r="S309" s="163" t="str">
        <f>IFERROR(__xludf.DUMMYFUNCTION("""COMPUTED_VALUE"""),"")</f>
        <v/>
      </c>
      <c r="T309" s="164"/>
      <c r="U309" s="164"/>
      <c r="V309" s="164"/>
      <c r="W309" s="164"/>
      <c r="X309" s="164"/>
    </row>
    <row r="310">
      <c r="A310" s="175"/>
      <c r="B310" s="176"/>
      <c r="C310" s="177"/>
      <c r="D310" s="177"/>
      <c r="E310" s="177"/>
      <c r="F310" s="177"/>
      <c r="G310" s="179"/>
      <c r="H310" s="180"/>
      <c r="I310" s="163" t="str">
        <f>IFERROR(__xludf.DUMMYFUNCTION("""COMPUTED_VALUE"""),"")</f>
        <v/>
      </c>
      <c r="J310" s="177"/>
      <c r="K310" s="177"/>
      <c r="L310" s="164"/>
      <c r="M310" s="165"/>
      <c r="N310" s="21"/>
      <c r="O310" s="164"/>
      <c r="P310" s="164"/>
      <c r="Q310" s="164"/>
      <c r="R310" s="164"/>
      <c r="S310" s="163" t="str">
        <f>IFERROR(__xludf.DUMMYFUNCTION("""COMPUTED_VALUE"""),"")</f>
        <v/>
      </c>
      <c r="T310" s="164"/>
      <c r="U310" s="164"/>
      <c r="V310" s="164"/>
      <c r="W310" s="164"/>
      <c r="X310" s="164"/>
    </row>
    <row r="311">
      <c r="A311" s="175">
        <v>45918.0</v>
      </c>
      <c r="B311" s="176" t="s">
        <v>1583</v>
      </c>
      <c r="C311" s="177" t="s">
        <v>4052</v>
      </c>
      <c r="D311" s="177" t="s">
        <v>6806</v>
      </c>
      <c r="E311" s="177"/>
      <c r="F311" s="177" t="s">
        <v>6916</v>
      </c>
      <c r="G311" s="179" t="s">
        <v>6704</v>
      </c>
      <c r="H311" s="180" t="s">
        <v>1787</v>
      </c>
      <c r="I311" s="163">
        <f>IFERROR(__xludf.DUMMYFUNCTION("""COMPUTED_VALUE"""),0.0)</f>
        <v>0</v>
      </c>
      <c r="J311" s="177" t="s">
        <v>6750</v>
      </c>
      <c r="K311" s="177" t="s">
        <v>4536</v>
      </c>
      <c r="L311" s="164"/>
      <c r="M311" s="165"/>
      <c r="N311" s="21" t="s">
        <v>22</v>
      </c>
      <c r="O311" s="164"/>
      <c r="P311" s="164"/>
      <c r="Q311" s="177" t="s">
        <v>1471</v>
      </c>
      <c r="R311" s="164"/>
      <c r="S311" s="163"/>
      <c r="T311" s="164"/>
      <c r="U311" s="164"/>
      <c r="V311" s="164"/>
      <c r="W311" s="164"/>
      <c r="X311" s="164"/>
    </row>
    <row r="312">
      <c r="A312" s="175">
        <v>45894.0</v>
      </c>
      <c r="B312" s="176" t="s">
        <v>1563</v>
      </c>
      <c r="C312" s="177" t="s">
        <v>4052</v>
      </c>
      <c r="D312" s="177" t="s">
        <v>6939</v>
      </c>
      <c r="E312" s="177" t="s">
        <v>6924</v>
      </c>
      <c r="F312" s="177" t="s">
        <v>6940</v>
      </c>
      <c r="G312" s="179" t="s">
        <v>6724</v>
      </c>
      <c r="H312" s="180" t="s">
        <v>2290</v>
      </c>
      <c r="I312" s="163">
        <f>IFERROR(__xludf.DUMMYFUNCTION("""COMPUTED_VALUE"""),0.0)</f>
        <v>0</v>
      </c>
      <c r="J312" s="177" t="s">
        <v>6750</v>
      </c>
      <c r="K312" s="177" t="s">
        <v>4538</v>
      </c>
      <c r="L312" s="164"/>
      <c r="M312" s="165"/>
      <c r="N312" s="21" t="s">
        <v>22</v>
      </c>
      <c r="O312" s="164"/>
      <c r="P312" s="164"/>
      <c r="Q312" s="177" t="s">
        <v>1564</v>
      </c>
      <c r="R312" s="164"/>
      <c r="S312" s="163">
        <f>IFERROR(__xludf.DUMMYFUNCTION("""COMPUTED_VALUE"""),0.0)</f>
        <v>0</v>
      </c>
      <c r="T312" s="164"/>
      <c r="U312" s="164"/>
      <c r="V312" s="164"/>
      <c r="W312" s="164"/>
      <c r="X312" s="164"/>
    </row>
    <row r="313">
      <c r="A313" s="175">
        <v>45928.0</v>
      </c>
      <c r="B313" s="176" t="s">
        <v>1581</v>
      </c>
      <c r="C313" s="177" t="s">
        <v>4052</v>
      </c>
      <c r="D313" s="177" t="s">
        <v>6712</v>
      </c>
      <c r="E313" s="177"/>
      <c r="F313" s="177" t="s">
        <v>850</v>
      </c>
      <c r="G313" s="179" t="s">
        <v>6907</v>
      </c>
      <c r="H313" s="180" t="s">
        <v>1868</v>
      </c>
      <c r="I313" s="163">
        <f>IFERROR(__xludf.DUMMYFUNCTION("""COMPUTED_VALUE"""),0.0)</f>
        <v>0</v>
      </c>
      <c r="J313" s="177" t="s">
        <v>6750</v>
      </c>
      <c r="K313" s="177" t="s">
        <v>4540</v>
      </c>
      <c r="L313" s="164"/>
      <c r="M313" s="165"/>
      <c r="N313" s="21" t="s">
        <v>22</v>
      </c>
      <c r="O313" s="164"/>
      <c r="P313" s="164"/>
      <c r="Q313" s="177" t="s">
        <v>1468</v>
      </c>
      <c r="R313" s="164"/>
      <c r="S313" s="163">
        <f>IFERROR(__xludf.DUMMYFUNCTION("""COMPUTED_VALUE"""),0.0)</f>
        <v>0</v>
      </c>
      <c r="T313" s="164"/>
      <c r="U313" s="164"/>
      <c r="V313" s="164"/>
      <c r="W313" s="164"/>
      <c r="X313" s="164"/>
    </row>
    <row r="314">
      <c r="A314" s="175">
        <v>45976.0</v>
      </c>
      <c r="B314" s="176" t="s">
        <v>3152</v>
      </c>
      <c r="C314" s="177" t="s">
        <v>1118</v>
      </c>
      <c r="D314" s="177" t="s">
        <v>6941</v>
      </c>
      <c r="E314" s="177"/>
      <c r="F314" s="177" t="s">
        <v>38</v>
      </c>
      <c r="G314" s="179" t="s">
        <v>6707</v>
      </c>
      <c r="H314" s="180" t="s">
        <v>3152</v>
      </c>
      <c r="I314" s="163">
        <f>IFERROR(__xludf.DUMMYFUNCTION("""COMPUTED_VALUE"""),9.5)</f>
        <v>9.5</v>
      </c>
      <c r="J314" s="177" t="s">
        <v>6735</v>
      </c>
      <c r="K314" s="177" t="s">
        <v>6942</v>
      </c>
      <c r="L314" s="164"/>
      <c r="M314" s="165"/>
      <c r="N314" s="21" t="s">
        <v>22</v>
      </c>
      <c r="O314" s="164"/>
      <c r="P314" s="164"/>
      <c r="Q314" s="177" t="s">
        <v>2393</v>
      </c>
      <c r="R314" s="164"/>
      <c r="S314" s="163">
        <f>IFERROR(__xludf.DUMMYFUNCTION("""COMPUTED_VALUE"""),19.0)</f>
        <v>19</v>
      </c>
      <c r="T314" s="164"/>
      <c r="U314" s="164"/>
      <c r="V314" s="164"/>
      <c r="W314" s="164"/>
      <c r="X314" s="164"/>
    </row>
    <row r="315">
      <c r="A315" s="175">
        <v>45976.0</v>
      </c>
      <c r="B315" s="176" t="s">
        <v>2264</v>
      </c>
      <c r="C315" s="177" t="s">
        <v>1049</v>
      </c>
      <c r="D315" s="177" t="s">
        <v>6941</v>
      </c>
      <c r="E315" s="177" t="s">
        <v>6916</v>
      </c>
      <c r="F315" s="177" t="s">
        <v>6713</v>
      </c>
      <c r="G315" s="179"/>
      <c r="H315" s="180" t="s">
        <v>2264</v>
      </c>
      <c r="I315" s="163">
        <f>IFERROR(__xludf.DUMMYFUNCTION("""COMPUTED_VALUE"""),0.0)</f>
        <v>0</v>
      </c>
      <c r="J315" s="177" t="s">
        <v>6735</v>
      </c>
      <c r="K315" s="177" t="s">
        <v>6943</v>
      </c>
      <c r="L315" s="164"/>
      <c r="M315" s="165"/>
      <c r="N315" s="21" t="s">
        <v>22</v>
      </c>
      <c r="O315" s="164"/>
      <c r="P315" s="164"/>
      <c r="Q315" s="177" t="s">
        <v>1530</v>
      </c>
      <c r="R315" s="164"/>
      <c r="S315" s="163">
        <f>IFERROR(__xludf.DUMMYFUNCTION("""COMPUTED_VALUE"""),0.0)</f>
        <v>0</v>
      </c>
      <c r="T315" s="164"/>
      <c r="U315" s="164"/>
      <c r="V315" s="164"/>
      <c r="W315" s="164"/>
      <c r="X315" s="164"/>
    </row>
    <row r="316">
      <c r="A316" s="175">
        <v>45976.0</v>
      </c>
      <c r="B316" s="176" t="s">
        <v>2261</v>
      </c>
      <c r="C316" s="177" t="s">
        <v>1049</v>
      </c>
      <c r="D316" s="177" t="s">
        <v>6941</v>
      </c>
      <c r="E316" s="177" t="s">
        <v>38</v>
      </c>
      <c r="F316" s="177" t="s">
        <v>6713</v>
      </c>
      <c r="G316" s="179" t="s">
        <v>6707</v>
      </c>
      <c r="H316" s="180" t="s">
        <v>2261</v>
      </c>
      <c r="I316" s="163">
        <f>IFERROR(__xludf.DUMMYFUNCTION("""COMPUTED_VALUE"""),33.0)</f>
        <v>33</v>
      </c>
      <c r="J316" s="177" t="s">
        <v>6735</v>
      </c>
      <c r="K316" s="177" t="s">
        <v>6944</v>
      </c>
      <c r="L316" s="164"/>
      <c r="M316" s="165"/>
      <c r="N316" s="21" t="s">
        <v>22</v>
      </c>
      <c r="O316" s="164"/>
      <c r="P316" s="164"/>
      <c r="Q316" s="177" t="s">
        <v>2262</v>
      </c>
      <c r="R316" s="164"/>
      <c r="S316" s="163">
        <f>IFERROR(__xludf.DUMMYFUNCTION("""COMPUTED_VALUE"""),64.0)</f>
        <v>64</v>
      </c>
      <c r="T316" s="164"/>
      <c r="U316" s="164"/>
      <c r="V316" s="164"/>
      <c r="W316" s="164"/>
      <c r="X316" s="164"/>
    </row>
    <row r="317">
      <c r="A317" s="175">
        <v>45976.0</v>
      </c>
      <c r="B317" s="176" t="s">
        <v>2818</v>
      </c>
      <c r="C317" s="177" t="s">
        <v>1118</v>
      </c>
      <c r="D317" s="177" t="s">
        <v>6941</v>
      </c>
      <c r="E317" s="177" t="s">
        <v>6738</v>
      </c>
      <c r="F317" s="177" t="s">
        <v>6713</v>
      </c>
      <c r="G317" s="179" t="s">
        <v>6707</v>
      </c>
      <c r="H317" s="180" t="s">
        <v>2818</v>
      </c>
      <c r="I317" s="163">
        <f>IFERROR(__xludf.DUMMYFUNCTION("""COMPUTED_VALUE"""),8.25)</f>
        <v>8.25</v>
      </c>
      <c r="J317" s="177" t="s">
        <v>6735</v>
      </c>
      <c r="K317" s="177" t="s">
        <v>6945</v>
      </c>
      <c r="L317" s="164"/>
      <c r="M317" s="165"/>
      <c r="N317" s="21" t="s">
        <v>22</v>
      </c>
      <c r="O317" s="164"/>
      <c r="P317" s="164"/>
      <c r="Q317" s="177" t="s">
        <v>2262</v>
      </c>
      <c r="R317" s="164"/>
      <c r="S317" s="163">
        <f>IFERROR(__xludf.DUMMYFUNCTION("""COMPUTED_VALUE"""),16.0)</f>
        <v>16</v>
      </c>
      <c r="T317" s="164"/>
      <c r="U317" s="164"/>
      <c r="V317" s="164"/>
      <c r="W317" s="164"/>
      <c r="X317" s="164"/>
    </row>
    <row r="318">
      <c r="A318" s="175">
        <v>45976.0</v>
      </c>
      <c r="B318" s="176" t="s">
        <v>2818</v>
      </c>
      <c r="C318" s="177" t="s">
        <v>6716</v>
      </c>
      <c r="D318" s="177" t="s">
        <v>6941</v>
      </c>
      <c r="E318" s="177"/>
      <c r="F318" s="177" t="s">
        <v>6776</v>
      </c>
      <c r="G318" s="179" t="s">
        <v>6720</v>
      </c>
      <c r="H318" s="180" t="s">
        <v>2266</v>
      </c>
      <c r="I318" s="163">
        <f>IFERROR(__xludf.DUMMYFUNCTION("""COMPUTED_VALUE"""),8.25)</f>
        <v>8.25</v>
      </c>
      <c r="J318" s="177" t="s">
        <v>6705</v>
      </c>
      <c r="K318" s="177" t="s">
        <v>4542</v>
      </c>
      <c r="L318" s="164"/>
      <c r="M318" s="165"/>
      <c r="N318" s="21" t="s">
        <v>22</v>
      </c>
      <c r="O318" s="164"/>
      <c r="P318" s="164"/>
      <c r="Q318" s="177" t="s">
        <v>2262</v>
      </c>
      <c r="R318" s="164"/>
      <c r="S318" s="163">
        <f>IFERROR(__xludf.DUMMYFUNCTION("""COMPUTED_VALUE"""),16.0)</f>
        <v>16</v>
      </c>
      <c r="T318" s="164"/>
      <c r="U318" s="164"/>
      <c r="V318" s="164"/>
      <c r="W318" s="164"/>
      <c r="X318" s="164"/>
    </row>
    <row r="319">
      <c r="A319" s="175">
        <v>45976.0</v>
      </c>
      <c r="B319" s="176" t="s">
        <v>2818</v>
      </c>
      <c r="C319" s="177" t="s">
        <v>6716</v>
      </c>
      <c r="D319" s="177" t="s">
        <v>6941</v>
      </c>
      <c r="E319" s="177"/>
      <c r="F319" s="177" t="s">
        <v>6776</v>
      </c>
      <c r="G319" s="179" t="s">
        <v>6721</v>
      </c>
      <c r="H319" s="180" t="s">
        <v>2268</v>
      </c>
      <c r="I319" s="163">
        <f>IFERROR(__xludf.DUMMYFUNCTION("""COMPUTED_VALUE"""),8.25)</f>
        <v>8.25</v>
      </c>
      <c r="J319" s="177" t="s">
        <v>6705</v>
      </c>
      <c r="K319" s="177" t="s">
        <v>4544</v>
      </c>
      <c r="L319" s="164"/>
      <c r="M319" s="165"/>
      <c r="N319" s="21" t="s">
        <v>22</v>
      </c>
      <c r="O319" s="164"/>
      <c r="P319" s="164"/>
      <c r="Q319" s="177" t="s">
        <v>2262</v>
      </c>
      <c r="R319" s="164"/>
      <c r="S319" s="163">
        <f>IFERROR(__xludf.DUMMYFUNCTION("""COMPUTED_VALUE"""),16.0)</f>
        <v>16</v>
      </c>
      <c r="T319" s="164"/>
      <c r="U319" s="164"/>
      <c r="V319" s="164"/>
      <c r="W319" s="164"/>
      <c r="X319" s="164"/>
    </row>
    <row r="320">
      <c r="A320" s="175">
        <v>45976.0</v>
      </c>
      <c r="B320" s="176" t="s">
        <v>2818</v>
      </c>
      <c r="C320" s="177" t="s">
        <v>6716</v>
      </c>
      <c r="D320" s="177" t="s">
        <v>6941</v>
      </c>
      <c r="E320" s="177"/>
      <c r="F320" s="177" t="s">
        <v>1050</v>
      </c>
      <c r="G320" s="179" t="s">
        <v>6722</v>
      </c>
      <c r="H320" s="180" t="s">
        <v>2270</v>
      </c>
      <c r="I320" s="163">
        <f>IFERROR(__xludf.DUMMYFUNCTION("""COMPUTED_VALUE"""),8.25)</f>
        <v>8.25</v>
      </c>
      <c r="J320" s="177" t="s">
        <v>6705</v>
      </c>
      <c r="K320" s="177" t="s">
        <v>4546</v>
      </c>
      <c r="L320" s="164"/>
      <c r="M320" s="165"/>
      <c r="N320" s="21" t="s">
        <v>22</v>
      </c>
      <c r="O320" s="164"/>
      <c r="P320" s="164"/>
      <c r="Q320" s="177" t="s">
        <v>2262</v>
      </c>
      <c r="R320" s="164"/>
      <c r="S320" s="163">
        <f>IFERROR(__xludf.DUMMYFUNCTION("""COMPUTED_VALUE"""),16.0)</f>
        <v>16</v>
      </c>
      <c r="T320" s="164"/>
      <c r="U320" s="164"/>
      <c r="V320" s="164"/>
      <c r="W320" s="164"/>
      <c r="X320" s="164"/>
    </row>
    <row r="321">
      <c r="A321" s="175">
        <v>45962.0</v>
      </c>
      <c r="B321" s="176" t="s">
        <v>2782</v>
      </c>
      <c r="C321" s="177" t="s">
        <v>1049</v>
      </c>
      <c r="D321" s="177" t="s">
        <v>6946</v>
      </c>
      <c r="E321" s="177" t="s">
        <v>6826</v>
      </c>
      <c r="F321" s="177" t="s">
        <v>6922</v>
      </c>
      <c r="G321" s="179" t="s">
        <v>6707</v>
      </c>
      <c r="H321" s="180" t="s">
        <v>2782</v>
      </c>
      <c r="I321" s="163">
        <f>IFERROR(__xludf.DUMMYFUNCTION("""COMPUTED_VALUE"""),4.19)</f>
        <v>4.19</v>
      </c>
      <c r="J321" s="177" t="s">
        <v>6705</v>
      </c>
      <c r="K321" s="177" t="s">
        <v>6947</v>
      </c>
      <c r="L321" s="164"/>
      <c r="M321" s="165"/>
      <c r="N321" s="21" t="s">
        <v>22</v>
      </c>
      <c r="O321" s="164"/>
      <c r="P321" s="164"/>
      <c r="Q321" s="177" t="s">
        <v>2054</v>
      </c>
      <c r="R321" s="164"/>
      <c r="S321" s="163">
        <f>IFERROR(__xludf.DUMMYFUNCTION("""COMPUTED_VALUE"""),15.0)</f>
        <v>15</v>
      </c>
      <c r="T321" s="164"/>
      <c r="U321" s="164"/>
      <c r="V321" s="164"/>
      <c r="W321" s="164"/>
      <c r="X321" s="164"/>
    </row>
    <row r="322">
      <c r="A322" s="175">
        <v>45962.0</v>
      </c>
      <c r="B322" s="176" t="s">
        <v>2053</v>
      </c>
      <c r="C322" s="177" t="s">
        <v>1049</v>
      </c>
      <c r="D322" s="177" t="s">
        <v>6948</v>
      </c>
      <c r="E322" s="177" t="s">
        <v>6781</v>
      </c>
      <c r="F322" s="177" t="s">
        <v>6924</v>
      </c>
      <c r="G322" s="179" t="s">
        <v>6707</v>
      </c>
      <c r="H322" s="180" t="s">
        <v>2053</v>
      </c>
      <c r="I322" s="163">
        <f>IFERROR(__xludf.DUMMYFUNCTION("""COMPUTED_VALUE"""),4.19)</f>
        <v>4.19</v>
      </c>
      <c r="J322" s="177" t="s">
        <v>6705</v>
      </c>
      <c r="K322" s="177" t="s">
        <v>6949</v>
      </c>
      <c r="L322" s="164"/>
      <c r="M322" s="165"/>
      <c r="N322" s="21" t="s">
        <v>22</v>
      </c>
      <c r="O322" s="164"/>
      <c r="P322" s="164"/>
      <c r="Q322" s="177" t="s">
        <v>2054</v>
      </c>
      <c r="R322" s="164"/>
      <c r="S322" s="163">
        <f>IFERROR(__xludf.DUMMYFUNCTION("""COMPUTED_VALUE"""),15.0)</f>
        <v>15</v>
      </c>
      <c r="T322" s="164"/>
      <c r="U322" s="164"/>
      <c r="V322" s="164"/>
      <c r="W322" s="164"/>
      <c r="X322" s="164"/>
    </row>
    <row r="323">
      <c r="A323" s="175">
        <v>45962.0</v>
      </c>
      <c r="B323" s="176" t="s">
        <v>3498</v>
      </c>
      <c r="C323" s="177" t="s">
        <v>1049</v>
      </c>
      <c r="D323" s="177" t="s">
        <v>6948</v>
      </c>
      <c r="E323" s="177" t="s">
        <v>6781</v>
      </c>
      <c r="F323" s="177" t="s">
        <v>1050</v>
      </c>
      <c r="G323" s="179" t="s">
        <v>6707</v>
      </c>
      <c r="H323" s="180" t="s">
        <v>3498</v>
      </c>
      <c r="I323" s="163">
        <f>IFERROR(__xludf.DUMMYFUNCTION("""COMPUTED_VALUE"""),4.19)</f>
        <v>4.19</v>
      </c>
      <c r="J323" s="177" t="s">
        <v>6705</v>
      </c>
      <c r="K323" s="177" t="s">
        <v>6950</v>
      </c>
      <c r="L323" s="164"/>
      <c r="M323" s="165"/>
      <c r="N323" s="21" t="s">
        <v>22</v>
      </c>
      <c r="O323" s="164"/>
      <c r="P323" s="164"/>
      <c r="Q323" s="177" t="s">
        <v>2054</v>
      </c>
      <c r="R323" s="164"/>
      <c r="S323" s="163">
        <f>IFERROR(__xludf.DUMMYFUNCTION("""COMPUTED_VALUE"""),15.0)</f>
        <v>15</v>
      </c>
      <c r="T323" s="164"/>
      <c r="U323" s="164"/>
      <c r="V323" s="164"/>
      <c r="W323" s="164"/>
      <c r="X323" s="164"/>
    </row>
    <row r="324">
      <c r="A324" s="175">
        <v>45962.0</v>
      </c>
      <c r="B324" s="176" t="s">
        <v>2274</v>
      </c>
      <c r="C324" s="177" t="s">
        <v>1049</v>
      </c>
      <c r="D324" s="177" t="s">
        <v>6951</v>
      </c>
      <c r="E324" s="177" t="s">
        <v>6924</v>
      </c>
      <c r="F324" s="177" t="s">
        <v>6924</v>
      </c>
      <c r="G324" s="179" t="s">
        <v>6707</v>
      </c>
      <c r="H324" s="180" t="s">
        <v>2274</v>
      </c>
      <c r="I324" s="163">
        <f>IFERROR(__xludf.DUMMYFUNCTION("""COMPUTED_VALUE"""),18.9)</f>
        <v>18.9</v>
      </c>
      <c r="J324" s="177" t="s">
        <v>6705</v>
      </c>
      <c r="K324" s="177" t="s">
        <v>6952</v>
      </c>
      <c r="L324" s="164"/>
      <c r="M324" s="165"/>
      <c r="N324" s="21" t="s">
        <v>22</v>
      </c>
      <c r="O324" s="164"/>
      <c r="P324" s="164"/>
      <c r="Q324" s="177" t="s">
        <v>2275</v>
      </c>
      <c r="R324" s="164"/>
      <c r="S324" s="163"/>
      <c r="T324" s="164"/>
      <c r="U324" s="164"/>
      <c r="V324" s="164"/>
      <c r="W324" s="164"/>
      <c r="X324" s="164"/>
    </row>
    <row r="325">
      <c r="A325" s="175">
        <v>45962.0</v>
      </c>
      <c r="B325" s="176" t="s">
        <v>2047</v>
      </c>
      <c r="C325" s="177" t="s">
        <v>1049</v>
      </c>
      <c r="D325" s="177" t="s">
        <v>6953</v>
      </c>
      <c r="E325" s="177" t="s">
        <v>29</v>
      </c>
      <c r="F325" s="177" t="s">
        <v>1050</v>
      </c>
      <c r="G325" s="179" t="s">
        <v>6707</v>
      </c>
      <c r="H325" s="180" t="s">
        <v>2047</v>
      </c>
      <c r="I325" s="163">
        <f>IFERROR(__xludf.DUMMYFUNCTION("""COMPUTED_VALUE"""),7.5)</f>
        <v>7.5</v>
      </c>
      <c r="J325" s="177" t="s">
        <v>6705</v>
      </c>
      <c r="K325" s="177" t="s">
        <v>6954</v>
      </c>
      <c r="L325" s="164"/>
      <c r="M325" s="165"/>
      <c r="N325" s="21" t="s">
        <v>22</v>
      </c>
      <c r="O325" s="164"/>
      <c r="P325" s="164"/>
      <c r="Q325" s="177" t="s">
        <v>2048</v>
      </c>
      <c r="R325" s="164"/>
      <c r="S325" s="163">
        <f>IFERROR(__xludf.DUMMYFUNCTION("""COMPUTED_VALUE"""),0.0)</f>
        <v>0</v>
      </c>
      <c r="T325" s="164"/>
      <c r="U325" s="164"/>
      <c r="V325" s="164"/>
      <c r="W325" s="164"/>
      <c r="X325" s="164"/>
    </row>
    <row r="326">
      <c r="A326" s="175">
        <v>45962.0</v>
      </c>
      <c r="B326" s="176" t="s">
        <v>2050</v>
      </c>
      <c r="C326" s="177" t="s">
        <v>1049</v>
      </c>
      <c r="D326" s="177" t="s">
        <v>6955</v>
      </c>
      <c r="E326" s="177"/>
      <c r="F326" s="177" t="s">
        <v>1050</v>
      </c>
      <c r="G326" s="179" t="s">
        <v>6707</v>
      </c>
      <c r="H326" s="180" t="s">
        <v>2050</v>
      </c>
      <c r="I326" s="163">
        <f>IFERROR(__xludf.DUMMYFUNCTION("""COMPUTED_VALUE"""),11.0)</f>
        <v>11</v>
      </c>
      <c r="J326" s="177" t="s">
        <v>6705</v>
      </c>
      <c r="K326" s="177" t="s">
        <v>6956</v>
      </c>
      <c r="L326" s="164"/>
      <c r="M326" s="165"/>
      <c r="N326" s="21" t="s">
        <v>22</v>
      </c>
      <c r="O326" s="164"/>
      <c r="P326" s="164"/>
      <c r="Q326" s="177" t="s">
        <v>2051</v>
      </c>
      <c r="R326" s="164"/>
      <c r="S326" s="163"/>
      <c r="T326" s="164"/>
      <c r="U326" s="164"/>
      <c r="V326" s="164"/>
      <c r="W326" s="164"/>
      <c r="X326" s="164"/>
    </row>
    <row r="327">
      <c r="A327" s="175">
        <v>45962.0</v>
      </c>
      <c r="B327" s="176" t="s">
        <v>2056</v>
      </c>
      <c r="C327" s="177" t="s">
        <v>1049</v>
      </c>
      <c r="D327" s="177" t="s">
        <v>6955</v>
      </c>
      <c r="E327" s="177" t="s">
        <v>6777</v>
      </c>
      <c r="F327" s="177" t="s">
        <v>1050</v>
      </c>
      <c r="G327" s="179" t="s">
        <v>6707</v>
      </c>
      <c r="H327" s="180" t="s">
        <v>2056</v>
      </c>
      <c r="I327" s="163">
        <f>IFERROR(__xludf.DUMMYFUNCTION("""COMPUTED_VALUE"""),18.0)</f>
        <v>18</v>
      </c>
      <c r="J327" s="177" t="s">
        <v>6705</v>
      </c>
      <c r="K327" s="177" t="s">
        <v>6957</v>
      </c>
      <c r="L327" s="164"/>
      <c r="M327" s="165"/>
      <c r="N327" s="21" t="s">
        <v>22</v>
      </c>
      <c r="O327" s="164"/>
      <c r="P327" s="164"/>
      <c r="Q327" s="177" t="s">
        <v>2057</v>
      </c>
      <c r="R327" s="164"/>
      <c r="S327" s="163">
        <f>IFERROR(__xludf.DUMMYFUNCTION("""COMPUTED_VALUE"""),29.0)</f>
        <v>29</v>
      </c>
      <c r="T327" s="164"/>
      <c r="U327" s="164"/>
      <c r="V327" s="164"/>
      <c r="W327" s="164"/>
      <c r="X327" s="164"/>
    </row>
    <row r="328">
      <c r="A328" s="175">
        <v>45962.0</v>
      </c>
      <c r="B328" s="176" t="s">
        <v>2861</v>
      </c>
      <c r="C328" s="177" t="s">
        <v>1049</v>
      </c>
      <c r="D328" s="177" t="s">
        <v>6951</v>
      </c>
      <c r="E328" s="177" t="s">
        <v>842</v>
      </c>
      <c r="F328" s="177" t="s">
        <v>6924</v>
      </c>
      <c r="G328" s="179" t="s">
        <v>6707</v>
      </c>
      <c r="H328" s="180" t="s">
        <v>2861</v>
      </c>
      <c r="I328" s="163">
        <f>IFERROR(__xludf.DUMMYFUNCTION("""COMPUTED_VALUE"""),11.0)</f>
        <v>11</v>
      </c>
      <c r="J328" s="177" t="s">
        <v>6705</v>
      </c>
      <c r="K328" s="177" t="s">
        <v>6958</v>
      </c>
      <c r="L328" s="164"/>
      <c r="M328" s="165"/>
      <c r="N328" s="21" t="s">
        <v>22</v>
      </c>
      <c r="O328" s="164"/>
      <c r="P328" s="164"/>
      <c r="Q328" s="177" t="s">
        <v>1770</v>
      </c>
      <c r="R328" s="164"/>
      <c r="S328" s="163">
        <f>IFERROR(__xludf.DUMMYFUNCTION("""COMPUTED_VALUE"""),21.665000000000003)</f>
        <v>21.665</v>
      </c>
      <c r="T328" s="164"/>
      <c r="U328" s="164"/>
      <c r="V328" s="164"/>
      <c r="W328" s="164"/>
      <c r="X328" s="164"/>
    </row>
    <row r="329">
      <c r="A329" s="175">
        <v>45977.0</v>
      </c>
      <c r="B329" s="176" t="s">
        <v>2861</v>
      </c>
      <c r="C329" s="177" t="s">
        <v>1049</v>
      </c>
      <c r="D329" s="177" t="s">
        <v>6941</v>
      </c>
      <c r="E329" s="177" t="s">
        <v>6924</v>
      </c>
      <c r="F329" s="177" t="s">
        <v>6924</v>
      </c>
      <c r="G329" s="179" t="s">
        <v>6707</v>
      </c>
      <c r="H329" s="180" t="s">
        <v>2861</v>
      </c>
      <c r="I329" s="163">
        <f>IFERROR(__xludf.DUMMYFUNCTION("""COMPUTED_VALUE"""),11.0)</f>
        <v>11</v>
      </c>
      <c r="J329" s="177" t="s">
        <v>6705</v>
      </c>
      <c r="K329" s="177" t="s">
        <v>6959</v>
      </c>
      <c r="L329" s="164"/>
      <c r="M329" s="165"/>
      <c r="N329" s="21" t="s">
        <v>22</v>
      </c>
      <c r="O329" s="164"/>
      <c r="P329" s="164"/>
      <c r="Q329" s="177" t="s">
        <v>1770</v>
      </c>
      <c r="R329" s="164"/>
      <c r="S329" s="163">
        <f>IFERROR(__xludf.DUMMYFUNCTION("""COMPUTED_VALUE"""),21.665000000000003)</f>
        <v>21.665</v>
      </c>
      <c r="T329" s="164"/>
      <c r="U329" s="164"/>
      <c r="V329" s="164"/>
      <c r="W329" s="164"/>
      <c r="X329" s="164"/>
    </row>
    <row r="330">
      <c r="A330" s="175">
        <v>45899.0</v>
      </c>
      <c r="B330" s="176" t="s">
        <v>6960</v>
      </c>
      <c r="C330" s="177" t="s">
        <v>1049</v>
      </c>
      <c r="D330" s="177" t="s">
        <v>6941</v>
      </c>
      <c r="E330" s="177"/>
      <c r="F330" s="177" t="s">
        <v>6889</v>
      </c>
      <c r="G330" s="179" t="s">
        <v>6707</v>
      </c>
      <c r="H330" s="180" t="s">
        <v>6960</v>
      </c>
      <c r="I330" s="163">
        <f>IFERROR(__xludf.DUMMYFUNCTION("""COMPUTED_VALUE"""),15.0)</f>
        <v>15</v>
      </c>
      <c r="J330" s="177" t="s">
        <v>6705</v>
      </c>
      <c r="K330" s="177" t="s">
        <v>4548</v>
      </c>
      <c r="L330" s="164"/>
      <c r="M330" s="165"/>
      <c r="N330" s="21" t="s">
        <v>22</v>
      </c>
      <c r="O330" s="164"/>
      <c r="P330" s="164"/>
      <c r="Q330" s="177" t="s">
        <v>1936</v>
      </c>
      <c r="R330" s="164"/>
      <c r="S330" s="163">
        <f>IFERROR(__xludf.DUMMYFUNCTION("""COMPUTED_VALUE"""),0.0)</f>
        <v>0</v>
      </c>
      <c r="T330" s="164"/>
      <c r="U330" s="164"/>
      <c r="V330" s="164"/>
      <c r="W330" s="164"/>
      <c r="X330" s="164"/>
    </row>
    <row r="331">
      <c r="A331" s="175">
        <v>45977.0</v>
      </c>
      <c r="B331" s="176" t="s">
        <v>2274</v>
      </c>
      <c r="C331" s="177" t="s">
        <v>1049</v>
      </c>
      <c r="D331" s="177" t="s">
        <v>6941</v>
      </c>
      <c r="E331" s="177" t="s">
        <v>6924</v>
      </c>
      <c r="F331" s="177" t="s">
        <v>6924</v>
      </c>
      <c r="G331" s="179" t="s">
        <v>6707</v>
      </c>
      <c r="H331" s="180" t="s">
        <v>2274</v>
      </c>
      <c r="I331" s="163">
        <f>IFERROR(__xludf.DUMMYFUNCTION("""COMPUTED_VALUE"""),18.9)</f>
        <v>18.9</v>
      </c>
      <c r="J331" s="177" t="s">
        <v>6705</v>
      </c>
      <c r="K331" s="177" t="s">
        <v>6961</v>
      </c>
      <c r="L331" s="164"/>
      <c r="M331" s="165"/>
      <c r="N331" s="21" t="s">
        <v>22</v>
      </c>
      <c r="O331" s="164"/>
      <c r="P331" s="164"/>
      <c r="Q331" s="177" t="s">
        <v>2275</v>
      </c>
      <c r="R331" s="164"/>
      <c r="S331" s="163"/>
      <c r="T331" s="164"/>
      <c r="U331" s="164"/>
      <c r="V331" s="164"/>
      <c r="W331" s="164"/>
      <c r="X331" s="164"/>
    </row>
    <row r="332">
      <c r="A332" s="175">
        <v>45977.0</v>
      </c>
      <c r="B332" s="176" t="s">
        <v>2810</v>
      </c>
      <c r="C332" s="177" t="s">
        <v>1049</v>
      </c>
      <c r="D332" s="177" t="s">
        <v>6941</v>
      </c>
      <c r="E332" s="177" t="s">
        <v>6962</v>
      </c>
      <c r="F332" s="177" t="s">
        <v>6713</v>
      </c>
      <c r="G332" s="179" t="s">
        <v>6707</v>
      </c>
      <c r="H332" s="180" t="s">
        <v>2810</v>
      </c>
      <c r="I332" s="163">
        <f>IFERROR(__xludf.DUMMYFUNCTION("""COMPUTED_VALUE"""),9.5)</f>
        <v>9.5</v>
      </c>
      <c r="J332" s="177" t="s">
        <v>6735</v>
      </c>
      <c r="K332" s="177" t="s">
        <v>6963</v>
      </c>
      <c r="L332" s="164"/>
      <c r="M332" s="165"/>
      <c r="N332" s="21" t="s">
        <v>22</v>
      </c>
      <c r="O332" s="164"/>
      <c r="P332" s="164"/>
      <c r="Q332" s="177" t="s">
        <v>2811</v>
      </c>
      <c r="R332" s="164"/>
      <c r="S332" s="163">
        <f>IFERROR(__xludf.DUMMYFUNCTION("""COMPUTED_VALUE"""),19.0)</f>
        <v>19</v>
      </c>
      <c r="T332" s="164"/>
      <c r="U332" s="164"/>
      <c r="V332" s="164"/>
      <c r="W332" s="164"/>
      <c r="X332" s="164"/>
    </row>
    <row r="333">
      <c r="A333" s="175">
        <v>45977.0</v>
      </c>
      <c r="B333" s="176" t="s">
        <v>2277</v>
      </c>
      <c r="C333" s="177" t="s">
        <v>1049</v>
      </c>
      <c r="D333" s="177" t="s">
        <v>6941</v>
      </c>
      <c r="E333" s="177" t="s">
        <v>6825</v>
      </c>
      <c r="F333" s="177" t="s">
        <v>6832</v>
      </c>
      <c r="G333" s="179" t="s">
        <v>6707</v>
      </c>
      <c r="H333" s="180" t="s">
        <v>2277</v>
      </c>
      <c r="I333" s="163">
        <f>IFERROR(__xludf.DUMMYFUNCTION("""COMPUTED_VALUE"""),8.0)</f>
        <v>8</v>
      </c>
      <c r="J333" s="177" t="s">
        <v>6735</v>
      </c>
      <c r="K333" s="177" t="s">
        <v>6964</v>
      </c>
      <c r="L333" s="164"/>
      <c r="M333" s="165"/>
      <c r="N333" s="21" t="s">
        <v>22</v>
      </c>
      <c r="O333" s="164"/>
      <c r="P333" s="164"/>
      <c r="Q333" s="177" t="s">
        <v>1752</v>
      </c>
      <c r="R333" s="164"/>
      <c r="S333" s="163">
        <f>IFERROR(__xludf.DUMMYFUNCTION("""COMPUTED_VALUE"""),15.0)</f>
        <v>15</v>
      </c>
      <c r="T333" s="164"/>
      <c r="U333" s="164"/>
      <c r="V333" s="164"/>
      <c r="W333" s="164"/>
      <c r="X333" s="164"/>
    </row>
    <row r="334">
      <c r="A334" s="175">
        <v>45977.0</v>
      </c>
      <c r="B334" s="176" t="s">
        <v>2279</v>
      </c>
      <c r="C334" s="177" t="s">
        <v>1049</v>
      </c>
      <c r="D334" s="177" t="s">
        <v>6941</v>
      </c>
      <c r="E334" s="177"/>
      <c r="F334" s="177" t="s">
        <v>6713</v>
      </c>
      <c r="G334" s="179" t="s">
        <v>6707</v>
      </c>
      <c r="H334" s="180" t="s">
        <v>2279</v>
      </c>
      <c r="I334" s="163">
        <f>IFERROR(__xludf.DUMMYFUNCTION("""COMPUTED_VALUE"""),9.5)</f>
        <v>9.5</v>
      </c>
      <c r="J334" s="177" t="s">
        <v>6735</v>
      </c>
      <c r="K334" s="177" t="s">
        <v>6965</v>
      </c>
      <c r="L334" s="164"/>
      <c r="M334" s="165"/>
      <c r="N334" s="21" t="s">
        <v>22</v>
      </c>
      <c r="O334" s="164"/>
      <c r="P334" s="164"/>
      <c r="Q334" s="177" t="s">
        <v>2280</v>
      </c>
      <c r="R334" s="164"/>
      <c r="S334" s="163">
        <f>IFERROR(__xludf.DUMMYFUNCTION("""COMPUTED_VALUE"""),19.0)</f>
        <v>19</v>
      </c>
      <c r="T334" s="164"/>
      <c r="U334" s="164"/>
      <c r="V334" s="164"/>
      <c r="W334" s="164"/>
      <c r="X334" s="164"/>
    </row>
    <row r="335">
      <c r="A335" s="175">
        <v>45899.0</v>
      </c>
      <c r="B335" s="176" t="s">
        <v>3053</v>
      </c>
      <c r="C335" s="177" t="s">
        <v>6716</v>
      </c>
      <c r="D335" s="177" t="s">
        <v>6702</v>
      </c>
      <c r="E335" s="177"/>
      <c r="F335" s="177" t="s">
        <v>1112</v>
      </c>
      <c r="G335" s="179" t="s">
        <v>6720</v>
      </c>
      <c r="H335" s="180" t="s">
        <v>2907</v>
      </c>
      <c r="I335" s="163">
        <f>IFERROR(__xludf.DUMMYFUNCTION("""COMPUTED_VALUE"""),0.0)</f>
        <v>0</v>
      </c>
      <c r="J335" s="177" t="s">
        <v>6705</v>
      </c>
      <c r="K335" s="177" t="s">
        <v>4550</v>
      </c>
      <c r="L335" s="164"/>
      <c r="M335" s="165"/>
      <c r="N335" s="21" t="s">
        <v>22</v>
      </c>
      <c r="O335" s="164"/>
      <c r="P335" s="164"/>
      <c r="Q335" s="177" t="s">
        <v>1911</v>
      </c>
      <c r="R335" s="164"/>
      <c r="S335" s="163">
        <f>IFERROR(__xludf.DUMMYFUNCTION("""COMPUTED_VALUE"""),0.0)</f>
        <v>0</v>
      </c>
      <c r="T335" s="164"/>
      <c r="U335" s="164"/>
      <c r="V335" s="164"/>
      <c r="W335" s="164"/>
      <c r="X335" s="164"/>
    </row>
    <row r="336">
      <c r="A336" s="175">
        <v>45899.0</v>
      </c>
      <c r="B336" s="176" t="s">
        <v>3053</v>
      </c>
      <c r="C336" s="177" t="s">
        <v>6716</v>
      </c>
      <c r="D336" s="177" t="s">
        <v>6702</v>
      </c>
      <c r="E336" s="177"/>
      <c r="F336" s="177" t="s">
        <v>6729</v>
      </c>
      <c r="G336" s="179" t="s">
        <v>6721</v>
      </c>
      <c r="H336" s="180" t="s">
        <v>1910</v>
      </c>
      <c r="I336" s="163">
        <f>IFERROR(__xludf.DUMMYFUNCTION("""COMPUTED_VALUE"""),0.0)</f>
        <v>0</v>
      </c>
      <c r="J336" s="177" t="s">
        <v>6711</v>
      </c>
      <c r="K336" s="177" t="s">
        <v>4552</v>
      </c>
      <c r="L336" s="164"/>
      <c r="M336" s="165"/>
      <c r="N336" s="21" t="s">
        <v>22</v>
      </c>
      <c r="O336" s="164"/>
      <c r="P336" s="164"/>
      <c r="Q336" s="177" t="s">
        <v>1911</v>
      </c>
      <c r="R336" s="164"/>
      <c r="S336" s="163">
        <f>IFERROR(__xludf.DUMMYFUNCTION("""COMPUTED_VALUE"""),0.0)</f>
        <v>0</v>
      </c>
      <c r="T336" s="164"/>
      <c r="U336" s="164"/>
      <c r="V336" s="164"/>
      <c r="W336" s="164"/>
      <c r="X336" s="164"/>
    </row>
    <row r="337">
      <c r="A337" s="175">
        <v>45912.0</v>
      </c>
      <c r="B337" s="176" t="s">
        <v>2916</v>
      </c>
      <c r="C337" s="177" t="s">
        <v>6716</v>
      </c>
      <c r="D337" s="177" t="s">
        <v>6712</v>
      </c>
      <c r="E337" s="177"/>
      <c r="F337" s="177" t="s">
        <v>842</v>
      </c>
      <c r="G337" s="179" t="s">
        <v>6720</v>
      </c>
      <c r="H337" s="180" t="s">
        <v>3172</v>
      </c>
      <c r="I337" s="163">
        <f>IFERROR(__xludf.DUMMYFUNCTION("""COMPUTED_VALUE"""),8.495)</f>
        <v>8.495</v>
      </c>
      <c r="J337" s="177" t="s">
        <v>6705</v>
      </c>
      <c r="K337" s="177" t="s">
        <v>4554</v>
      </c>
      <c r="L337" s="164"/>
      <c r="M337" s="165"/>
      <c r="N337" s="21" t="s">
        <v>22</v>
      </c>
      <c r="O337" s="164"/>
      <c r="P337" s="164"/>
      <c r="Q337" s="177" t="s">
        <v>1530</v>
      </c>
      <c r="R337" s="164"/>
      <c r="S337" s="163">
        <f>IFERROR(__xludf.DUMMYFUNCTION("""COMPUTED_VALUE"""),0.0)</f>
        <v>0</v>
      </c>
      <c r="T337" s="164"/>
      <c r="U337" s="164"/>
      <c r="V337" s="164"/>
      <c r="W337" s="164"/>
      <c r="X337" s="164"/>
    </row>
    <row r="338">
      <c r="A338" s="175">
        <v>45912.0</v>
      </c>
      <c r="B338" s="176" t="s">
        <v>2916</v>
      </c>
      <c r="C338" s="177" t="s">
        <v>1118</v>
      </c>
      <c r="D338" s="177" t="s">
        <v>6966</v>
      </c>
      <c r="E338" s="177" t="s">
        <v>1119</v>
      </c>
      <c r="F338" s="177" t="s">
        <v>842</v>
      </c>
      <c r="G338" s="179" t="s">
        <v>6707</v>
      </c>
      <c r="H338" s="180" t="s">
        <v>2916</v>
      </c>
      <c r="I338" s="163">
        <f>IFERROR(__xludf.DUMMYFUNCTION("""COMPUTED_VALUE"""),8.495)</f>
        <v>8.495</v>
      </c>
      <c r="J338" s="177" t="s">
        <v>6705</v>
      </c>
      <c r="K338" s="177" t="s">
        <v>6967</v>
      </c>
      <c r="L338" s="164"/>
      <c r="M338" s="165"/>
      <c r="N338" s="21" t="s">
        <v>22</v>
      </c>
      <c r="O338" s="164"/>
      <c r="P338" s="164"/>
      <c r="Q338" s="177" t="s">
        <v>1530</v>
      </c>
      <c r="R338" s="164"/>
      <c r="S338" s="163">
        <f>IFERROR(__xludf.DUMMYFUNCTION("""COMPUTED_VALUE"""),0.0)</f>
        <v>0</v>
      </c>
      <c r="T338" s="164"/>
      <c r="U338" s="164"/>
      <c r="V338" s="164"/>
      <c r="W338" s="164"/>
      <c r="X338" s="164"/>
    </row>
    <row r="339">
      <c r="A339" s="175">
        <v>45957.0</v>
      </c>
      <c r="B339" s="176" t="s">
        <v>1903</v>
      </c>
      <c r="C339" s="177" t="s">
        <v>6716</v>
      </c>
      <c r="D339" s="177" t="s">
        <v>6806</v>
      </c>
      <c r="E339" s="177"/>
      <c r="F339" s="177" t="s">
        <v>850</v>
      </c>
      <c r="G339" s="179" t="s">
        <v>6720</v>
      </c>
      <c r="H339" s="180" t="s">
        <v>1964</v>
      </c>
      <c r="I339" s="163">
        <f>IFERROR(__xludf.DUMMYFUNCTION("""COMPUTED_VALUE"""),19.49)</f>
        <v>19.49</v>
      </c>
      <c r="J339" s="177" t="s">
        <v>6750</v>
      </c>
      <c r="K339" s="177" t="s">
        <v>4556</v>
      </c>
      <c r="L339" s="164"/>
      <c r="M339" s="165"/>
      <c r="N339" s="21" t="s">
        <v>22</v>
      </c>
      <c r="O339" s="164"/>
      <c r="P339" s="164"/>
      <c r="Q339" s="177" t="s">
        <v>1904</v>
      </c>
      <c r="R339" s="164"/>
      <c r="S339" s="163">
        <f>IFERROR(__xludf.DUMMYFUNCTION("""COMPUTED_VALUE"""),0.0)</f>
        <v>0</v>
      </c>
      <c r="T339" s="164"/>
      <c r="U339" s="164"/>
      <c r="V339" s="164"/>
      <c r="W339" s="164"/>
      <c r="X339" s="164"/>
    </row>
    <row r="340">
      <c r="A340" s="175">
        <v>45962.0</v>
      </c>
      <c r="B340" s="176" t="s">
        <v>3496</v>
      </c>
      <c r="C340" s="177" t="s">
        <v>1049</v>
      </c>
      <c r="D340" s="177" t="s">
        <v>6941</v>
      </c>
      <c r="E340" s="177" t="s">
        <v>1107</v>
      </c>
      <c r="F340" s="177" t="s">
        <v>1050</v>
      </c>
      <c r="G340" s="179" t="s">
        <v>6707</v>
      </c>
      <c r="H340" s="180" t="s">
        <v>3496</v>
      </c>
      <c r="I340" s="163">
        <f>IFERROR(__xludf.DUMMYFUNCTION("""COMPUTED_VALUE"""),0.7272727272727273)</f>
        <v>0.7272727273</v>
      </c>
      <c r="J340" s="177" t="s">
        <v>6705</v>
      </c>
      <c r="K340" s="177" t="s">
        <v>6968</v>
      </c>
      <c r="L340" s="164"/>
      <c r="M340" s="165"/>
      <c r="N340" s="21" t="s">
        <v>22</v>
      </c>
      <c r="O340" s="164"/>
      <c r="P340" s="164"/>
      <c r="Q340" s="177" t="s">
        <v>1752</v>
      </c>
      <c r="R340" s="164"/>
      <c r="S340" s="163">
        <f>IFERROR(__xludf.DUMMYFUNCTION("""COMPUTED_VALUE"""),1.3636363636363635)</f>
        <v>1.363636364</v>
      </c>
      <c r="T340" s="164"/>
      <c r="U340" s="164"/>
      <c r="V340" s="164"/>
      <c r="W340" s="164"/>
      <c r="X340" s="164"/>
    </row>
    <row r="341">
      <c r="A341" s="175">
        <v>45980.0</v>
      </c>
      <c r="B341" s="176" t="s">
        <v>3432</v>
      </c>
      <c r="C341" s="177" t="s">
        <v>1049</v>
      </c>
      <c r="D341" s="177" t="s">
        <v>6941</v>
      </c>
      <c r="E341" s="177"/>
      <c r="F341" s="177" t="s">
        <v>38</v>
      </c>
      <c r="G341" s="179" t="s">
        <v>6707</v>
      </c>
      <c r="H341" s="180" t="s">
        <v>3432</v>
      </c>
      <c r="I341" s="163" t="str">
        <f>IFERROR(__xludf.DUMMYFUNCTION("""COMPUTED_VALUE"""),"")</f>
        <v/>
      </c>
      <c r="J341" s="177" t="s">
        <v>6735</v>
      </c>
      <c r="K341" s="177" t="s">
        <v>6969</v>
      </c>
      <c r="L341" s="164"/>
      <c r="M341" s="165"/>
      <c r="N341" s="21" t="s">
        <v>22</v>
      </c>
      <c r="O341" s="164"/>
      <c r="P341" s="164"/>
      <c r="Q341" s="177" t="s">
        <v>1497</v>
      </c>
      <c r="R341" s="164"/>
      <c r="S341" s="163" t="str">
        <f>IFERROR(__xludf.DUMMYFUNCTION("""COMPUTED_VALUE"""),"")</f>
        <v/>
      </c>
      <c r="T341" s="164"/>
      <c r="U341" s="164"/>
      <c r="V341" s="164"/>
      <c r="W341" s="164"/>
      <c r="X341" s="164"/>
    </row>
    <row r="342">
      <c r="A342" s="175">
        <v>45980.0</v>
      </c>
      <c r="B342" s="176" t="s">
        <v>2284</v>
      </c>
      <c r="C342" s="177" t="s">
        <v>1118</v>
      </c>
      <c r="D342" s="177" t="s">
        <v>6941</v>
      </c>
      <c r="E342" s="177"/>
      <c r="F342" s="177" t="s">
        <v>6832</v>
      </c>
      <c r="G342" s="179" t="s">
        <v>6707</v>
      </c>
      <c r="H342" s="180" t="s">
        <v>2284</v>
      </c>
      <c r="I342" s="163">
        <f>IFERROR(__xludf.DUMMYFUNCTION("""COMPUTED_VALUE"""),10.0)</f>
        <v>10</v>
      </c>
      <c r="J342" s="177" t="s">
        <v>6708</v>
      </c>
      <c r="K342" s="177" t="s">
        <v>6970</v>
      </c>
      <c r="L342" s="164"/>
      <c r="M342" s="165"/>
      <c r="N342" s="21" t="s">
        <v>22</v>
      </c>
      <c r="O342" s="164"/>
      <c r="P342" s="164"/>
      <c r="Q342" s="177" t="s">
        <v>2285</v>
      </c>
      <c r="R342" s="164"/>
      <c r="S342" s="163">
        <f>IFERROR(__xludf.DUMMYFUNCTION("""COMPUTED_VALUE"""),0.0)</f>
        <v>0</v>
      </c>
      <c r="T342" s="164"/>
      <c r="U342" s="164"/>
      <c r="V342" s="164"/>
      <c r="W342" s="164"/>
      <c r="X342" s="164"/>
    </row>
    <row r="343">
      <c r="A343" s="175">
        <v>45980.0</v>
      </c>
      <c r="B343" s="176" t="s">
        <v>2284</v>
      </c>
      <c r="C343" s="177" t="s">
        <v>6716</v>
      </c>
      <c r="D343" s="177" t="s">
        <v>6941</v>
      </c>
      <c r="E343" s="177"/>
      <c r="F343" s="177" t="s">
        <v>6832</v>
      </c>
      <c r="G343" s="179" t="s">
        <v>6720</v>
      </c>
      <c r="H343" s="180" t="s">
        <v>2292</v>
      </c>
      <c r="I343" s="163">
        <f>IFERROR(__xludf.DUMMYFUNCTION("""COMPUTED_VALUE"""),10.0)</f>
        <v>10</v>
      </c>
      <c r="J343" s="177" t="s">
        <v>6735</v>
      </c>
      <c r="K343" s="177" t="s">
        <v>4558</v>
      </c>
      <c r="L343" s="164"/>
      <c r="M343" s="165"/>
      <c r="N343" s="21" t="s">
        <v>22</v>
      </c>
      <c r="O343" s="164"/>
      <c r="P343" s="164"/>
      <c r="Q343" s="177" t="s">
        <v>2285</v>
      </c>
      <c r="R343" s="164"/>
      <c r="S343" s="163">
        <f>IFERROR(__xludf.DUMMYFUNCTION("""COMPUTED_VALUE"""),0.0)</f>
        <v>0</v>
      </c>
      <c r="T343" s="164"/>
      <c r="U343" s="164"/>
      <c r="V343" s="164"/>
      <c r="W343" s="164"/>
      <c r="X343" s="164"/>
    </row>
    <row r="344">
      <c r="A344" s="175">
        <v>45980.0</v>
      </c>
      <c r="B344" s="176" t="s">
        <v>2287</v>
      </c>
      <c r="C344" s="177" t="s">
        <v>1118</v>
      </c>
      <c r="D344" s="177" t="s">
        <v>6941</v>
      </c>
      <c r="E344" s="177" t="s">
        <v>38</v>
      </c>
      <c r="F344" s="177" t="s">
        <v>6832</v>
      </c>
      <c r="G344" s="179" t="s">
        <v>6707</v>
      </c>
      <c r="H344" s="180" t="s">
        <v>2287</v>
      </c>
      <c r="I344" s="163">
        <f>IFERROR(__xludf.DUMMYFUNCTION("""COMPUTED_VALUE"""),4.666666666666667)</f>
        <v>4.666666667</v>
      </c>
      <c r="J344" s="177" t="s">
        <v>6705</v>
      </c>
      <c r="K344" s="177" t="s">
        <v>6971</v>
      </c>
      <c r="L344" s="164"/>
      <c r="M344" s="165"/>
      <c r="N344" s="21" t="s">
        <v>22</v>
      </c>
      <c r="O344" s="164"/>
      <c r="P344" s="164"/>
      <c r="Q344" s="177" t="s">
        <v>2288</v>
      </c>
      <c r="R344" s="164"/>
      <c r="S344" s="163">
        <f>IFERROR(__xludf.DUMMYFUNCTION("""COMPUTED_VALUE"""),0.0)</f>
        <v>0</v>
      </c>
      <c r="T344" s="164"/>
      <c r="U344" s="164"/>
      <c r="V344" s="164"/>
      <c r="W344" s="164"/>
      <c r="X344" s="164"/>
    </row>
    <row r="345">
      <c r="A345" s="175">
        <v>45980.0</v>
      </c>
      <c r="B345" s="176" t="s">
        <v>2287</v>
      </c>
      <c r="C345" s="177" t="s">
        <v>6716</v>
      </c>
      <c r="D345" s="177" t="s">
        <v>6941</v>
      </c>
      <c r="E345" s="177"/>
      <c r="F345" s="177" t="s">
        <v>6713</v>
      </c>
      <c r="G345" s="179" t="s">
        <v>6720</v>
      </c>
      <c r="H345" s="180" t="s">
        <v>3435</v>
      </c>
      <c r="I345" s="163">
        <f>IFERROR(__xludf.DUMMYFUNCTION("""COMPUTED_VALUE"""),4.666666666666667)</f>
        <v>4.666666667</v>
      </c>
      <c r="J345" s="177" t="s">
        <v>6735</v>
      </c>
      <c r="K345" s="177" t="s">
        <v>4560</v>
      </c>
      <c r="L345" s="164"/>
      <c r="M345" s="165"/>
      <c r="N345" s="21" t="s">
        <v>22</v>
      </c>
      <c r="O345" s="164"/>
      <c r="P345" s="164"/>
      <c r="Q345" s="177" t="s">
        <v>2288</v>
      </c>
      <c r="R345" s="164"/>
      <c r="S345" s="163">
        <f>IFERROR(__xludf.DUMMYFUNCTION("""COMPUTED_VALUE"""),0.0)</f>
        <v>0</v>
      </c>
      <c r="T345" s="164"/>
      <c r="U345" s="164"/>
      <c r="V345" s="164"/>
      <c r="W345" s="164"/>
      <c r="X345" s="164"/>
    </row>
    <row r="346">
      <c r="A346" s="175">
        <v>45980.0</v>
      </c>
      <c r="B346" s="176" t="s">
        <v>2287</v>
      </c>
      <c r="C346" s="177" t="s">
        <v>6716</v>
      </c>
      <c r="D346" s="177" t="s">
        <v>6941</v>
      </c>
      <c r="E346" s="177"/>
      <c r="F346" s="177" t="s">
        <v>6776</v>
      </c>
      <c r="G346" s="179" t="s">
        <v>6721</v>
      </c>
      <c r="H346" s="180" t="s">
        <v>2294</v>
      </c>
      <c r="I346" s="163">
        <f>IFERROR(__xludf.DUMMYFUNCTION("""COMPUTED_VALUE"""),4.666666666666667)</f>
        <v>4.666666667</v>
      </c>
      <c r="J346" s="177" t="s">
        <v>6705</v>
      </c>
      <c r="K346" s="177" t="s">
        <v>4562</v>
      </c>
      <c r="L346" s="164"/>
      <c r="M346" s="165"/>
      <c r="N346" s="21" t="s">
        <v>22</v>
      </c>
      <c r="O346" s="164"/>
      <c r="P346" s="164"/>
      <c r="Q346" s="177" t="s">
        <v>2288</v>
      </c>
      <c r="R346" s="164"/>
      <c r="S346" s="163">
        <f>IFERROR(__xludf.DUMMYFUNCTION("""COMPUTED_VALUE"""),0.0)</f>
        <v>0</v>
      </c>
      <c r="T346" s="164"/>
      <c r="U346" s="164"/>
      <c r="V346" s="164"/>
      <c r="W346" s="164"/>
      <c r="X346" s="164"/>
    </row>
    <row r="347">
      <c r="A347" s="175">
        <v>45980.0</v>
      </c>
      <c r="B347" s="176" t="s">
        <v>2678</v>
      </c>
      <c r="C347" s="177" t="s">
        <v>1118</v>
      </c>
      <c r="D347" s="177" t="s">
        <v>6941</v>
      </c>
      <c r="E347" s="177" t="s">
        <v>662</v>
      </c>
      <c r="F347" s="177" t="s">
        <v>6832</v>
      </c>
      <c r="G347" s="179" t="s">
        <v>6707</v>
      </c>
      <c r="H347" s="180" t="s">
        <v>2678</v>
      </c>
      <c r="I347" s="163">
        <f>IFERROR(__xludf.DUMMYFUNCTION("""COMPUTED_VALUE"""),10.0)</f>
        <v>10</v>
      </c>
      <c r="J347" s="177" t="s">
        <v>6705</v>
      </c>
      <c r="K347" s="177" t="s">
        <v>6972</v>
      </c>
      <c r="L347" s="164"/>
      <c r="M347" s="165"/>
      <c r="N347" s="21" t="s">
        <v>22</v>
      </c>
      <c r="O347" s="164"/>
      <c r="P347" s="164"/>
      <c r="Q347" s="177" t="s">
        <v>2679</v>
      </c>
      <c r="R347" s="164"/>
      <c r="S347" s="163">
        <f>IFERROR(__xludf.DUMMYFUNCTION("""COMPUTED_VALUE"""),0.0)</f>
        <v>0</v>
      </c>
      <c r="T347" s="164"/>
      <c r="U347" s="164"/>
      <c r="V347" s="164"/>
      <c r="W347" s="164"/>
      <c r="X347" s="164"/>
    </row>
    <row r="348">
      <c r="A348" s="175">
        <v>45980.0</v>
      </c>
      <c r="B348" s="176" t="s">
        <v>2678</v>
      </c>
      <c r="C348" s="177" t="s">
        <v>6716</v>
      </c>
      <c r="D348" s="177" t="s">
        <v>6941</v>
      </c>
      <c r="E348" s="177"/>
      <c r="F348" s="177" t="s">
        <v>6832</v>
      </c>
      <c r="G348" s="179" t="s">
        <v>6720</v>
      </c>
      <c r="H348" s="180" t="s">
        <v>2683</v>
      </c>
      <c r="I348" s="163">
        <f>IFERROR(__xludf.DUMMYFUNCTION("""COMPUTED_VALUE"""),10.0)</f>
        <v>10</v>
      </c>
      <c r="J348" s="177" t="s">
        <v>6735</v>
      </c>
      <c r="K348" s="177" t="s">
        <v>4564</v>
      </c>
      <c r="L348" s="164"/>
      <c r="M348" s="165"/>
      <c r="N348" s="21" t="s">
        <v>22</v>
      </c>
      <c r="O348" s="164"/>
      <c r="P348" s="164"/>
      <c r="Q348" s="177" t="s">
        <v>2679</v>
      </c>
      <c r="R348" s="164"/>
      <c r="S348" s="163">
        <f>IFERROR(__xludf.DUMMYFUNCTION("""COMPUTED_VALUE"""),0.0)</f>
        <v>0</v>
      </c>
      <c r="T348" s="164"/>
      <c r="U348" s="164"/>
      <c r="V348" s="164"/>
      <c r="W348" s="164"/>
      <c r="X348" s="164"/>
    </row>
    <row r="349">
      <c r="A349" s="175">
        <v>45980.0</v>
      </c>
      <c r="B349" s="176" t="s">
        <v>2813</v>
      </c>
      <c r="C349" s="177" t="s">
        <v>1118</v>
      </c>
      <c r="D349" s="177" t="s">
        <v>6941</v>
      </c>
      <c r="E349" s="177" t="s">
        <v>6878</v>
      </c>
      <c r="F349" s="177" t="s">
        <v>6776</v>
      </c>
      <c r="G349" s="179" t="s">
        <v>6707</v>
      </c>
      <c r="H349" s="180" t="s">
        <v>2813</v>
      </c>
      <c r="I349" s="163">
        <f>IFERROR(__xludf.DUMMYFUNCTION("""COMPUTED_VALUE"""),12.0)</f>
        <v>12</v>
      </c>
      <c r="J349" s="177" t="s">
        <v>6705</v>
      </c>
      <c r="K349" s="177" t="s">
        <v>6973</v>
      </c>
      <c r="L349" s="164"/>
      <c r="M349" s="165"/>
      <c r="N349" s="21" t="s">
        <v>22</v>
      </c>
      <c r="O349" s="164"/>
      <c r="P349" s="164"/>
      <c r="Q349" s="177" t="s">
        <v>2814</v>
      </c>
      <c r="R349" s="164"/>
      <c r="S349" s="163">
        <f>IFERROR(__xludf.DUMMYFUNCTION("""COMPUTED_VALUE"""),0.0)</f>
        <v>0</v>
      </c>
      <c r="T349" s="164"/>
      <c r="U349" s="164"/>
      <c r="V349" s="164"/>
      <c r="W349" s="164"/>
      <c r="X349" s="164"/>
    </row>
    <row r="350">
      <c r="A350" s="175">
        <v>45980.0</v>
      </c>
      <c r="B350" s="176" t="s">
        <v>2813</v>
      </c>
      <c r="C350" s="177" t="s">
        <v>6716</v>
      </c>
      <c r="D350" s="177" t="s">
        <v>6941</v>
      </c>
      <c r="E350" s="177"/>
      <c r="F350" s="177" t="s">
        <v>6713</v>
      </c>
      <c r="G350" s="179" t="s">
        <v>6720</v>
      </c>
      <c r="H350" s="180" t="s">
        <v>2891</v>
      </c>
      <c r="I350" s="163">
        <f>IFERROR(__xludf.DUMMYFUNCTION("""COMPUTED_VALUE"""),12.0)</f>
        <v>12</v>
      </c>
      <c r="J350" s="177" t="s">
        <v>6735</v>
      </c>
      <c r="K350" s="177" t="s">
        <v>4566</v>
      </c>
      <c r="L350" s="164"/>
      <c r="M350" s="165"/>
      <c r="N350" s="21" t="s">
        <v>22</v>
      </c>
      <c r="O350" s="164"/>
      <c r="P350" s="164"/>
      <c r="Q350" s="177" t="s">
        <v>2814</v>
      </c>
      <c r="R350" s="164"/>
      <c r="S350" s="163">
        <f>IFERROR(__xludf.DUMMYFUNCTION("""COMPUTED_VALUE"""),0.0)</f>
        <v>0</v>
      </c>
      <c r="T350" s="164"/>
      <c r="U350" s="164"/>
      <c r="V350" s="164"/>
      <c r="W350" s="164"/>
      <c r="X350" s="164"/>
    </row>
    <row r="351">
      <c r="A351" s="175">
        <v>45980.0</v>
      </c>
      <c r="B351" s="176" t="s">
        <v>2290</v>
      </c>
      <c r="C351" s="177" t="s">
        <v>1049</v>
      </c>
      <c r="D351" s="177" t="s">
        <v>6941</v>
      </c>
      <c r="E351" s="177" t="s">
        <v>6940</v>
      </c>
      <c r="F351" s="177" t="s">
        <v>6924</v>
      </c>
      <c r="G351" s="179" t="s">
        <v>6707</v>
      </c>
      <c r="H351" s="180" t="s">
        <v>2290</v>
      </c>
      <c r="I351" s="163">
        <f>IFERROR(__xludf.DUMMYFUNCTION("""COMPUTED_VALUE"""),0.0)</f>
        <v>0</v>
      </c>
      <c r="J351" s="177" t="s">
        <v>6750</v>
      </c>
      <c r="K351" s="177" t="s">
        <v>6974</v>
      </c>
      <c r="L351" s="164"/>
      <c r="M351" s="165"/>
      <c r="N351" s="21" t="s">
        <v>22</v>
      </c>
      <c r="O351" s="164"/>
      <c r="P351" s="164"/>
      <c r="Q351" s="177" t="s">
        <v>1564</v>
      </c>
      <c r="R351" s="164"/>
      <c r="S351" s="163">
        <f>IFERROR(__xludf.DUMMYFUNCTION("""COMPUTED_VALUE"""),0.0)</f>
        <v>0</v>
      </c>
      <c r="T351" s="164"/>
      <c r="U351" s="164"/>
      <c r="V351" s="164"/>
      <c r="W351" s="164"/>
      <c r="X351" s="164"/>
    </row>
    <row r="352">
      <c r="A352" s="175">
        <v>45981.0</v>
      </c>
      <c r="B352" s="176" t="s">
        <v>2304</v>
      </c>
      <c r="C352" s="177" t="s">
        <v>1049</v>
      </c>
      <c r="D352" s="177" t="s">
        <v>6941</v>
      </c>
      <c r="E352" s="177"/>
      <c r="F352" s="177" t="s">
        <v>38</v>
      </c>
      <c r="G352" s="179">
        <v>8.0</v>
      </c>
      <c r="H352" s="180" t="s">
        <v>2304</v>
      </c>
      <c r="I352" s="163">
        <f>IFERROR(__xludf.DUMMYFUNCTION("""COMPUTED_VALUE"""),9.0)</f>
        <v>9</v>
      </c>
      <c r="J352" s="177" t="s">
        <v>6975</v>
      </c>
      <c r="K352" s="177" t="s">
        <v>6976</v>
      </c>
      <c r="L352" s="164"/>
      <c r="M352" s="165"/>
      <c r="N352" s="21" t="s">
        <v>22</v>
      </c>
      <c r="O352" s="164"/>
      <c r="P352" s="164"/>
      <c r="Q352" s="177" t="s">
        <v>1527</v>
      </c>
      <c r="R352" s="164"/>
      <c r="S352" s="163">
        <f>IFERROR(__xludf.DUMMYFUNCTION("""COMPUTED_VALUE"""),19.99)</f>
        <v>19.99</v>
      </c>
      <c r="T352" s="164"/>
      <c r="U352" s="164"/>
      <c r="V352" s="164"/>
      <c r="W352" s="164"/>
      <c r="X352" s="164"/>
    </row>
    <row r="353">
      <c r="A353" s="175">
        <v>45981.0</v>
      </c>
      <c r="B353" s="176" t="s">
        <v>2920</v>
      </c>
      <c r="C353" s="177" t="s">
        <v>1049</v>
      </c>
      <c r="D353" s="177" t="s">
        <v>6941</v>
      </c>
      <c r="E353" s="177" t="s">
        <v>38</v>
      </c>
      <c r="F353" s="177" t="s">
        <v>6977</v>
      </c>
      <c r="G353" s="179" t="s">
        <v>6707</v>
      </c>
      <c r="H353" s="180" t="s">
        <v>2920</v>
      </c>
      <c r="I353" s="163">
        <f>IFERROR(__xludf.DUMMYFUNCTION("""COMPUTED_VALUE"""),40.0)</f>
        <v>40</v>
      </c>
      <c r="J353" s="177" t="s">
        <v>6705</v>
      </c>
      <c r="K353" s="177" t="s">
        <v>6978</v>
      </c>
      <c r="L353" s="164"/>
      <c r="M353" s="165"/>
      <c r="N353" s="21" t="s">
        <v>22</v>
      </c>
      <c r="O353" s="164"/>
      <c r="P353" s="164"/>
      <c r="Q353" s="177" t="s">
        <v>2921</v>
      </c>
      <c r="R353" s="164"/>
      <c r="S353" s="163"/>
      <c r="T353" s="164"/>
      <c r="U353" s="164"/>
      <c r="V353" s="164"/>
      <c r="W353" s="164"/>
      <c r="X353" s="164"/>
    </row>
    <row r="354">
      <c r="A354" s="175">
        <v>45981.0</v>
      </c>
      <c r="B354" s="176" t="s">
        <v>2310</v>
      </c>
      <c r="C354" s="177" t="s">
        <v>1049</v>
      </c>
      <c r="D354" s="177" t="s">
        <v>6941</v>
      </c>
      <c r="E354" s="177" t="s">
        <v>842</v>
      </c>
      <c r="F354" s="177" t="s">
        <v>850</v>
      </c>
      <c r="G354" s="179" t="s">
        <v>6707</v>
      </c>
      <c r="H354" s="180" t="s">
        <v>2310</v>
      </c>
      <c r="I354" s="163">
        <f>IFERROR(__xludf.DUMMYFUNCTION("""COMPUTED_VALUE"""),1.95)</f>
        <v>1.95</v>
      </c>
      <c r="J354" s="177" t="s">
        <v>6750</v>
      </c>
      <c r="K354" s="177" t="s">
        <v>6979</v>
      </c>
      <c r="L354" s="164"/>
      <c r="M354" s="165"/>
      <c r="N354" s="21" t="s">
        <v>22</v>
      </c>
      <c r="O354" s="164"/>
      <c r="P354" s="164"/>
      <c r="Q354" s="177" t="s">
        <v>1724</v>
      </c>
      <c r="R354" s="164"/>
      <c r="S354" s="163"/>
      <c r="T354" s="164"/>
      <c r="U354" s="164"/>
      <c r="V354" s="164"/>
      <c r="W354" s="164"/>
      <c r="X354" s="164"/>
    </row>
    <row r="355">
      <c r="A355" s="175">
        <v>45981.0</v>
      </c>
      <c r="B355" s="176" t="s">
        <v>2318</v>
      </c>
      <c r="C355" s="177" t="s">
        <v>1118</v>
      </c>
      <c r="D355" s="177" t="s">
        <v>6941</v>
      </c>
      <c r="E355" s="177" t="s">
        <v>842</v>
      </c>
      <c r="F355" s="177" t="s">
        <v>850</v>
      </c>
      <c r="G355" s="179" t="s">
        <v>6707</v>
      </c>
      <c r="H355" s="180" t="s">
        <v>2318</v>
      </c>
      <c r="I355" s="163">
        <f>IFERROR(__xludf.DUMMYFUNCTION("""COMPUTED_VALUE"""),0.975)</f>
        <v>0.975</v>
      </c>
      <c r="J355" s="177" t="s">
        <v>6750</v>
      </c>
      <c r="K355" s="177" t="s">
        <v>6980</v>
      </c>
      <c r="L355" s="164"/>
      <c r="M355" s="165"/>
      <c r="N355" s="21" t="s">
        <v>22</v>
      </c>
      <c r="O355" s="164"/>
      <c r="P355" s="164"/>
      <c r="Q355" s="177" t="s">
        <v>1724</v>
      </c>
      <c r="R355" s="164"/>
      <c r="S355" s="163">
        <f>IFERROR(__xludf.DUMMYFUNCTION("""COMPUTED_VALUE"""),0.0)</f>
        <v>0</v>
      </c>
      <c r="T355" s="164"/>
      <c r="U355" s="164"/>
      <c r="V355" s="164"/>
      <c r="W355" s="164"/>
      <c r="X355" s="164"/>
    </row>
    <row r="356">
      <c r="A356" s="175">
        <v>45981.0</v>
      </c>
      <c r="B356" s="176" t="s">
        <v>2316</v>
      </c>
      <c r="C356" s="177" t="s">
        <v>1049</v>
      </c>
      <c r="D356" s="177" t="s">
        <v>6941</v>
      </c>
      <c r="E356" s="177" t="s">
        <v>842</v>
      </c>
      <c r="F356" s="177" t="s">
        <v>850</v>
      </c>
      <c r="G356" s="179" t="s">
        <v>6707</v>
      </c>
      <c r="H356" s="180" t="s">
        <v>2316</v>
      </c>
      <c r="I356" s="163">
        <f>IFERROR(__xludf.DUMMYFUNCTION("""COMPUTED_VALUE"""),1.95)</f>
        <v>1.95</v>
      </c>
      <c r="J356" s="177" t="s">
        <v>6750</v>
      </c>
      <c r="K356" s="177" t="s">
        <v>6981</v>
      </c>
      <c r="L356" s="164"/>
      <c r="M356" s="165"/>
      <c r="N356" s="21" t="s">
        <v>22</v>
      </c>
      <c r="O356" s="164"/>
      <c r="P356" s="164"/>
      <c r="Q356" s="177" t="s">
        <v>1724</v>
      </c>
      <c r="R356" s="164"/>
      <c r="S356" s="163"/>
      <c r="T356" s="164"/>
      <c r="U356" s="164"/>
      <c r="V356" s="164"/>
      <c r="W356" s="164"/>
      <c r="X356" s="164"/>
    </row>
    <row r="357">
      <c r="A357" s="175">
        <v>45981.0</v>
      </c>
      <c r="B357" s="176" t="s">
        <v>2318</v>
      </c>
      <c r="C357" s="177" t="s">
        <v>6716</v>
      </c>
      <c r="D357" s="177" t="s">
        <v>6941</v>
      </c>
      <c r="E357" s="177"/>
      <c r="F357" s="177" t="s">
        <v>850</v>
      </c>
      <c r="G357" s="179" t="s">
        <v>6720</v>
      </c>
      <c r="H357" s="180" t="s">
        <v>2300</v>
      </c>
      <c r="I357" s="163">
        <f>IFERROR(__xludf.DUMMYFUNCTION("""COMPUTED_VALUE"""),0.975)</f>
        <v>0.975</v>
      </c>
      <c r="J357" s="177" t="s">
        <v>6750</v>
      </c>
      <c r="K357" s="177" t="s">
        <v>4568</v>
      </c>
      <c r="L357" s="164"/>
      <c r="M357" s="165"/>
      <c r="N357" s="21" t="s">
        <v>22</v>
      </c>
      <c r="O357" s="164"/>
      <c r="P357" s="164"/>
      <c r="Q357" s="177" t="s">
        <v>1724</v>
      </c>
      <c r="R357" s="164"/>
      <c r="S357" s="163">
        <f>IFERROR(__xludf.DUMMYFUNCTION("""COMPUTED_VALUE"""),0.0)</f>
        <v>0</v>
      </c>
      <c r="T357" s="164"/>
      <c r="U357" s="164"/>
      <c r="V357" s="164"/>
      <c r="W357" s="164"/>
      <c r="X357" s="164"/>
    </row>
    <row r="358">
      <c r="A358" s="175">
        <v>45981.0</v>
      </c>
      <c r="B358" s="176" t="s">
        <v>2314</v>
      </c>
      <c r="C358" s="177" t="s">
        <v>1049</v>
      </c>
      <c r="D358" s="177" t="s">
        <v>6941</v>
      </c>
      <c r="E358" s="177" t="s">
        <v>842</v>
      </c>
      <c r="F358" s="177" t="s">
        <v>850</v>
      </c>
      <c r="G358" s="179" t="s">
        <v>6707</v>
      </c>
      <c r="H358" s="180" t="s">
        <v>2314</v>
      </c>
      <c r="I358" s="163">
        <f>IFERROR(__xludf.DUMMYFUNCTION("""COMPUTED_VALUE"""),1.95)</f>
        <v>1.95</v>
      </c>
      <c r="J358" s="177" t="s">
        <v>6750</v>
      </c>
      <c r="K358" s="177" t="s">
        <v>6982</v>
      </c>
      <c r="L358" s="164"/>
      <c r="M358" s="165"/>
      <c r="N358" s="21" t="s">
        <v>22</v>
      </c>
      <c r="O358" s="164"/>
      <c r="P358" s="164"/>
      <c r="Q358" s="177" t="s">
        <v>1724</v>
      </c>
      <c r="R358" s="164"/>
      <c r="S358" s="163"/>
      <c r="T358" s="164"/>
      <c r="U358" s="164"/>
      <c r="V358" s="164"/>
      <c r="W358" s="164"/>
      <c r="X358" s="164"/>
    </row>
    <row r="359">
      <c r="A359" s="175">
        <v>45981.0</v>
      </c>
      <c r="B359" s="176" t="s">
        <v>2306</v>
      </c>
      <c r="C359" s="177" t="s">
        <v>1049</v>
      </c>
      <c r="D359" s="177" t="s">
        <v>6941</v>
      </c>
      <c r="E359" s="177" t="s">
        <v>842</v>
      </c>
      <c r="F359" s="177" t="s">
        <v>850</v>
      </c>
      <c r="G359" s="179" t="s">
        <v>6707</v>
      </c>
      <c r="H359" s="180" t="s">
        <v>2306</v>
      </c>
      <c r="I359" s="163">
        <f>IFERROR(__xludf.DUMMYFUNCTION("""COMPUTED_VALUE"""),1.95)</f>
        <v>1.95</v>
      </c>
      <c r="J359" s="177" t="s">
        <v>6750</v>
      </c>
      <c r="K359" s="177" t="s">
        <v>6983</v>
      </c>
      <c r="L359" s="164"/>
      <c r="M359" s="165"/>
      <c r="N359" s="21" t="s">
        <v>22</v>
      </c>
      <c r="O359" s="164"/>
      <c r="P359" s="164"/>
      <c r="Q359" s="177" t="s">
        <v>1724</v>
      </c>
      <c r="R359" s="164"/>
      <c r="S359" s="163"/>
      <c r="T359" s="164"/>
      <c r="U359" s="164"/>
      <c r="V359" s="164"/>
      <c r="W359" s="164"/>
      <c r="X359" s="164"/>
    </row>
    <row r="360">
      <c r="A360" s="175">
        <v>45981.0</v>
      </c>
      <c r="B360" s="176" t="s">
        <v>2308</v>
      </c>
      <c r="C360" s="177" t="s">
        <v>1049</v>
      </c>
      <c r="D360" s="177" t="s">
        <v>6941</v>
      </c>
      <c r="E360" s="177" t="s">
        <v>842</v>
      </c>
      <c r="F360" s="177" t="s">
        <v>850</v>
      </c>
      <c r="G360" s="179" t="s">
        <v>6707</v>
      </c>
      <c r="H360" s="180" t="s">
        <v>2308</v>
      </c>
      <c r="I360" s="163">
        <f>IFERROR(__xludf.DUMMYFUNCTION("""COMPUTED_VALUE"""),1.95)</f>
        <v>1.95</v>
      </c>
      <c r="J360" s="177" t="s">
        <v>6750</v>
      </c>
      <c r="K360" s="177" t="s">
        <v>6984</v>
      </c>
      <c r="L360" s="164"/>
      <c r="M360" s="165"/>
      <c r="N360" s="21" t="s">
        <v>22</v>
      </c>
      <c r="O360" s="164"/>
      <c r="P360" s="164"/>
      <c r="Q360" s="177" t="s">
        <v>1724</v>
      </c>
      <c r="R360" s="164"/>
      <c r="S360" s="163"/>
      <c r="T360" s="164"/>
      <c r="U360" s="164"/>
      <c r="V360" s="164"/>
      <c r="W360" s="164"/>
      <c r="X360" s="164"/>
    </row>
    <row r="361">
      <c r="A361" s="175">
        <v>45981.0</v>
      </c>
      <c r="B361" s="176" t="s">
        <v>2312</v>
      </c>
      <c r="C361" s="177" t="s">
        <v>1049</v>
      </c>
      <c r="D361" s="177" t="s">
        <v>6941</v>
      </c>
      <c r="E361" s="177" t="s">
        <v>842</v>
      </c>
      <c r="F361" s="177" t="s">
        <v>850</v>
      </c>
      <c r="G361" s="179" t="s">
        <v>6707</v>
      </c>
      <c r="H361" s="180" t="s">
        <v>2312</v>
      </c>
      <c r="I361" s="163">
        <f>IFERROR(__xludf.DUMMYFUNCTION("""COMPUTED_VALUE"""),1.95)</f>
        <v>1.95</v>
      </c>
      <c r="J361" s="177" t="s">
        <v>6750</v>
      </c>
      <c r="K361" s="177" t="s">
        <v>6985</v>
      </c>
      <c r="L361" s="164"/>
      <c r="M361" s="165"/>
      <c r="N361" s="21" t="s">
        <v>22</v>
      </c>
      <c r="O361" s="164"/>
      <c r="P361" s="164"/>
      <c r="Q361" s="177" t="s">
        <v>1724</v>
      </c>
      <c r="R361" s="164"/>
      <c r="S361" s="163"/>
      <c r="T361" s="164"/>
      <c r="U361" s="164"/>
      <c r="V361" s="164"/>
      <c r="W361" s="164"/>
      <c r="X361" s="164"/>
    </row>
    <row r="362">
      <c r="A362" s="175">
        <v>45983.0</v>
      </c>
      <c r="B362" s="176" t="s">
        <v>2381</v>
      </c>
      <c r="C362" s="177" t="s">
        <v>1118</v>
      </c>
      <c r="D362" s="177" t="s">
        <v>6941</v>
      </c>
      <c r="E362" s="177"/>
      <c r="F362" s="177" t="s">
        <v>6832</v>
      </c>
      <c r="G362" s="179" t="s">
        <v>6707</v>
      </c>
      <c r="H362" s="180" t="s">
        <v>2381</v>
      </c>
      <c r="I362" s="163">
        <f>IFERROR(__xludf.DUMMYFUNCTION("""COMPUTED_VALUE"""),8.0)</f>
        <v>8</v>
      </c>
      <c r="J362" s="177" t="s">
        <v>6735</v>
      </c>
      <c r="K362" s="177" t="s">
        <v>6986</v>
      </c>
      <c r="L362" s="164"/>
      <c r="M362" s="165"/>
      <c r="N362" s="21" t="s">
        <v>22</v>
      </c>
      <c r="O362" s="164"/>
      <c r="P362" s="164"/>
      <c r="Q362" s="177" t="s">
        <v>2382</v>
      </c>
      <c r="R362" s="164"/>
      <c r="S362" s="163">
        <f>IFERROR(__xludf.DUMMYFUNCTION("""COMPUTED_VALUE"""),0.0)</f>
        <v>0</v>
      </c>
      <c r="T362" s="164"/>
      <c r="U362" s="164"/>
      <c r="V362" s="164"/>
      <c r="W362" s="164"/>
      <c r="X362" s="164"/>
    </row>
    <row r="363">
      <c r="A363" s="175">
        <v>45983.0</v>
      </c>
      <c r="B363" s="176" t="s">
        <v>2381</v>
      </c>
      <c r="C363" s="177" t="s">
        <v>6716</v>
      </c>
      <c r="D363" s="177" t="s">
        <v>6941</v>
      </c>
      <c r="E363" s="177"/>
      <c r="F363" s="177" t="s">
        <v>6832</v>
      </c>
      <c r="G363" s="179" t="s">
        <v>6720</v>
      </c>
      <c r="H363" s="180" t="s">
        <v>3426</v>
      </c>
      <c r="I363" s="163">
        <f>IFERROR(__xludf.DUMMYFUNCTION("""COMPUTED_VALUE"""),8.0)</f>
        <v>8</v>
      </c>
      <c r="J363" s="177" t="s">
        <v>6705</v>
      </c>
      <c r="K363" s="177" t="s">
        <v>4570</v>
      </c>
      <c r="L363" s="164"/>
      <c r="M363" s="165"/>
      <c r="N363" s="21" t="s">
        <v>22</v>
      </c>
      <c r="O363" s="164"/>
      <c r="P363" s="164"/>
      <c r="Q363" s="177" t="s">
        <v>2382</v>
      </c>
      <c r="R363" s="164"/>
      <c r="S363" s="163">
        <f>IFERROR(__xludf.DUMMYFUNCTION("""COMPUTED_VALUE"""),0.0)</f>
        <v>0</v>
      </c>
      <c r="T363" s="164"/>
      <c r="U363" s="164"/>
      <c r="V363" s="164"/>
      <c r="W363" s="164"/>
      <c r="X363" s="164"/>
    </row>
    <row r="364">
      <c r="A364" s="175">
        <v>45983.0</v>
      </c>
      <c r="B364" s="176" t="s">
        <v>3066</v>
      </c>
      <c r="C364" s="177" t="s">
        <v>1049</v>
      </c>
      <c r="D364" s="177" t="s">
        <v>6941</v>
      </c>
      <c r="E364" s="177"/>
      <c r="F364" s="177" t="s">
        <v>6987</v>
      </c>
      <c r="G364" s="179" t="s">
        <v>6707</v>
      </c>
      <c r="H364" s="180" t="s">
        <v>3066</v>
      </c>
      <c r="I364" s="163">
        <f>IFERROR(__xludf.DUMMYFUNCTION("""COMPUTED_VALUE"""),9.5)</f>
        <v>9.5</v>
      </c>
      <c r="J364" s="177" t="s">
        <v>6735</v>
      </c>
      <c r="K364" s="177" t="s">
        <v>6988</v>
      </c>
      <c r="L364" s="164"/>
      <c r="M364" s="165"/>
      <c r="N364" s="21" t="s">
        <v>22</v>
      </c>
      <c r="O364" s="164"/>
      <c r="P364" s="164"/>
      <c r="Q364" s="177" t="s">
        <v>1629</v>
      </c>
      <c r="R364" s="164"/>
      <c r="S364" s="163">
        <f>IFERROR(__xludf.DUMMYFUNCTION("""COMPUTED_VALUE"""),19.0)</f>
        <v>19</v>
      </c>
      <c r="T364" s="164"/>
      <c r="U364" s="164"/>
      <c r="V364" s="164"/>
      <c r="W364" s="164"/>
      <c r="X364" s="164"/>
    </row>
    <row r="365">
      <c r="A365" s="175">
        <v>45983.0</v>
      </c>
      <c r="B365" s="176" t="s">
        <v>2384</v>
      </c>
      <c r="C365" s="177" t="s">
        <v>1049</v>
      </c>
      <c r="D365" s="177" t="s">
        <v>6941</v>
      </c>
      <c r="E365" s="177"/>
      <c r="F365" s="177" t="s">
        <v>6977</v>
      </c>
      <c r="G365" s="179" t="s">
        <v>6707</v>
      </c>
      <c r="H365" s="180" t="s">
        <v>2384</v>
      </c>
      <c r="I365" s="163">
        <f>IFERROR(__xludf.DUMMYFUNCTION("""COMPUTED_VALUE"""),9.0)</f>
        <v>9</v>
      </c>
      <c r="J365" s="177" t="s">
        <v>6705</v>
      </c>
      <c r="K365" s="177" t="s">
        <v>6989</v>
      </c>
      <c r="L365" s="164"/>
      <c r="M365" s="165"/>
      <c r="N365" s="21" t="s">
        <v>22</v>
      </c>
      <c r="O365" s="164"/>
      <c r="P365" s="164"/>
      <c r="Q365" s="177" t="s">
        <v>1527</v>
      </c>
      <c r="R365" s="164"/>
      <c r="S365" s="163">
        <f>IFERROR(__xludf.DUMMYFUNCTION("""COMPUTED_VALUE"""),19.99)</f>
        <v>19.99</v>
      </c>
      <c r="T365" s="164"/>
      <c r="U365" s="164"/>
      <c r="V365" s="164"/>
      <c r="W365" s="164"/>
      <c r="X365" s="164"/>
    </row>
    <row r="366">
      <c r="A366" s="175">
        <v>45984.0</v>
      </c>
      <c r="B366" s="176" t="s">
        <v>3069</v>
      </c>
      <c r="C366" s="177" t="s">
        <v>1049</v>
      </c>
      <c r="D366" s="177" t="s">
        <v>6941</v>
      </c>
      <c r="E366" s="177"/>
      <c r="F366" s="177" t="s">
        <v>6987</v>
      </c>
      <c r="G366" s="179" t="s">
        <v>6707</v>
      </c>
      <c r="H366" s="180" t="s">
        <v>3069</v>
      </c>
      <c r="I366" s="163">
        <f>IFERROR(__xludf.DUMMYFUNCTION("""COMPUTED_VALUE"""),9.5)</f>
        <v>9.5</v>
      </c>
      <c r="J366" s="177" t="s">
        <v>6735</v>
      </c>
      <c r="K366" s="177" t="s">
        <v>6990</v>
      </c>
      <c r="L366" s="164"/>
      <c r="M366" s="165"/>
      <c r="N366" s="21" t="s">
        <v>22</v>
      </c>
      <c r="O366" s="164"/>
      <c r="P366" s="164"/>
      <c r="Q366" s="177" t="s">
        <v>3070</v>
      </c>
      <c r="R366" s="164"/>
      <c r="S366" s="163">
        <f>IFERROR(__xludf.DUMMYFUNCTION("""COMPUTED_VALUE"""),19.0)</f>
        <v>19</v>
      </c>
      <c r="T366" s="164"/>
      <c r="U366" s="164"/>
      <c r="V366" s="164"/>
      <c r="W366" s="164"/>
      <c r="X366" s="164"/>
    </row>
    <row r="367">
      <c r="A367" s="175">
        <v>45984.0</v>
      </c>
      <c r="B367" s="176" t="s">
        <v>3062</v>
      </c>
      <c r="C367" s="177" t="s">
        <v>1049</v>
      </c>
      <c r="D367" s="177" t="s">
        <v>6941</v>
      </c>
      <c r="E367" s="177"/>
      <c r="F367" s="177" t="s">
        <v>6977</v>
      </c>
      <c r="G367" s="179" t="s">
        <v>6707</v>
      </c>
      <c r="H367" s="180" t="s">
        <v>3062</v>
      </c>
      <c r="I367" s="163">
        <f>IFERROR(__xludf.DUMMYFUNCTION("""COMPUTED_VALUE"""),9.5)</f>
        <v>9.5</v>
      </c>
      <c r="J367" s="177" t="s">
        <v>6705</v>
      </c>
      <c r="K367" s="177" t="s">
        <v>6991</v>
      </c>
      <c r="L367" s="164"/>
      <c r="M367" s="165"/>
      <c r="N367" s="21" t="s">
        <v>22</v>
      </c>
      <c r="O367" s="164"/>
      <c r="P367" s="164"/>
      <c r="Q367" s="177" t="s">
        <v>3063</v>
      </c>
      <c r="R367" s="164"/>
      <c r="S367" s="163">
        <f>IFERROR(__xludf.DUMMYFUNCTION("""COMPUTED_VALUE"""),9.5)</f>
        <v>9.5</v>
      </c>
      <c r="T367" s="164"/>
      <c r="U367" s="164"/>
      <c r="V367" s="164"/>
      <c r="W367" s="164"/>
      <c r="X367" s="164"/>
    </row>
    <row r="368">
      <c r="A368" s="175">
        <v>45987.0</v>
      </c>
      <c r="B368" s="176" t="s">
        <v>2471</v>
      </c>
      <c r="C368" s="177" t="s">
        <v>6992</v>
      </c>
      <c r="D368" s="177" t="s">
        <v>6941</v>
      </c>
      <c r="E368" s="177" t="s">
        <v>38</v>
      </c>
      <c r="F368" s="177" t="s">
        <v>38</v>
      </c>
      <c r="G368" s="179" t="s">
        <v>6707</v>
      </c>
      <c r="H368" s="180" t="s">
        <v>2471</v>
      </c>
      <c r="I368" s="163">
        <f>IFERROR(__xludf.DUMMYFUNCTION("""COMPUTED_VALUE"""),23.299999999999997)</f>
        <v>23.3</v>
      </c>
      <c r="J368" s="177" t="s">
        <v>6975</v>
      </c>
      <c r="K368" s="177" t="s">
        <v>6993</v>
      </c>
      <c r="L368" s="164"/>
      <c r="M368" s="165"/>
      <c r="N368" s="21" t="s">
        <v>22</v>
      </c>
      <c r="O368" s="164"/>
      <c r="P368" s="164"/>
      <c r="Q368" s="177" t="s">
        <v>1812</v>
      </c>
      <c r="R368" s="164"/>
      <c r="S368" s="163">
        <f>IFERROR(__xludf.DUMMYFUNCTION("""COMPUTED_VALUE"""),49.78)</f>
        <v>49.78</v>
      </c>
      <c r="T368" s="164"/>
      <c r="U368" s="164"/>
      <c r="V368" s="164"/>
      <c r="W368" s="164"/>
      <c r="X368" s="164"/>
    </row>
    <row r="369">
      <c r="A369" s="175">
        <v>45987.0</v>
      </c>
      <c r="B369" s="176" t="s">
        <v>1811</v>
      </c>
      <c r="C369" s="177" t="s">
        <v>6994</v>
      </c>
      <c r="D369" s="177" t="s">
        <v>6941</v>
      </c>
      <c r="E369" s="177" t="s">
        <v>38</v>
      </c>
      <c r="F369" s="177"/>
      <c r="G369" s="179"/>
      <c r="H369" s="180"/>
      <c r="I369" s="163" t="str">
        <f>IFERROR(__xludf.DUMMYFUNCTION("""COMPUTED_VALUE"""),"")</f>
        <v/>
      </c>
      <c r="J369" s="177" t="s">
        <v>6975</v>
      </c>
      <c r="K369" s="177" t="s">
        <v>6995</v>
      </c>
      <c r="L369" s="164"/>
      <c r="M369" s="165"/>
      <c r="N369" s="21" t="s">
        <v>22</v>
      </c>
      <c r="O369" s="164"/>
      <c r="P369" s="164"/>
      <c r="Q369" s="177" t="s">
        <v>1812</v>
      </c>
      <c r="R369" s="164"/>
      <c r="S369" s="163" t="str">
        <f>IFERROR(__xludf.DUMMYFUNCTION("""COMPUTED_VALUE"""),"")</f>
        <v/>
      </c>
      <c r="T369" s="164"/>
      <c r="U369" s="164"/>
      <c r="V369" s="164"/>
      <c r="W369" s="164"/>
      <c r="X369" s="164"/>
    </row>
    <row r="370">
      <c r="A370" s="175">
        <v>45987.0</v>
      </c>
      <c r="B370" s="176" t="s">
        <v>2469</v>
      </c>
      <c r="C370" s="177" t="s">
        <v>6992</v>
      </c>
      <c r="D370" s="177" t="s">
        <v>6941</v>
      </c>
      <c r="E370" s="177" t="s">
        <v>662</v>
      </c>
      <c r="F370" s="177" t="s">
        <v>6987</v>
      </c>
      <c r="G370" s="179" t="s">
        <v>6707</v>
      </c>
      <c r="H370" s="180" t="s">
        <v>2469</v>
      </c>
      <c r="I370" s="163">
        <f>IFERROR(__xludf.DUMMYFUNCTION("""COMPUTED_VALUE"""),16.0)</f>
        <v>16</v>
      </c>
      <c r="J370" s="177" t="s">
        <v>6735</v>
      </c>
      <c r="K370" s="177" t="s">
        <v>6996</v>
      </c>
      <c r="L370" s="164"/>
      <c r="M370" s="165"/>
      <c r="N370" s="21" t="s">
        <v>22</v>
      </c>
      <c r="O370" s="164"/>
      <c r="P370" s="164"/>
      <c r="Q370" s="177" t="s">
        <v>2321</v>
      </c>
      <c r="R370" s="164"/>
      <c r="S370" s="163">
        <f>IFERROR(__xludf.DUMMYFUNCTION("""COMPUTED_VALUE"""),33.589999999999996)</f>
        <v>33.59</v>
      </c>
      <c r="T370" s="164"/>
      <c r="U370" s="164"/>
      <c r="V370" s="164"/>
      <c r="W370" s="164"/>
      <c r="X370" s="164"/>
    </row>
    <row r="371">
      <c r="A371" s="175">
        <v>45987.0</v>
      </c>
      <c r="B371" s="176" t="s">
        <v>2379</v>
      </c>
      <c r="C371" s="177" t="s">
        <v>6994</v>
      </c>
      <c r="D371" s="177" t="s">
        <v>6941</v>
      </c>
      <c r="E371" s="177" t="s">
        <v>662</v>
      </c>
      <c r="F371" s="177"/>
      <c r="G371" s="179"/>
      <c r="H371" s="180"/>
      <c r="I371" s="163" t="str">
        <f>IFERROR(__xludf.DUMMYFUNCTION("""COMPUTED_VALUE"""),"")</f>
        <v/>
      </c>
      <c r="J371" s="177" t="s">
        <v>6735</v>
      </c>
      <c r="K371" s="177" t="s">
        <v>6997</v>
      </c>
      <c r="L371" s="164"/>
      <c r="M371" s="165"/>
      <c r="N371" s="21" t="s">
        <v>22</v>
      </c>
      <c r="O371" s="164"/>
      <c r="P371" s="164"/>
      <c r="Q371" s="177" t="s">
        <v>2321</v>
      </c>
      <c r="R371" s="164"/>
      <c r="S371" s="163" t="str">
        <f>IFERROR(__xludf.DUMMYFUNCTION("""COMPUTED_VALUE"""),"")</f>
        <v/>
      </c>
      <c r="T371" s="164"/>
      <c r="U371" s="164"/>
      <c r="V371" s="164"/>
      <c r="W371" s="164"/>
      <c r="X371" s="164"/>
    </row>
    <row r="372">
      <c r="A372" s="175">
        <v>45987.0</v>
      </c>
      <c r="B372" s="176" t="s">
        <v>1581</v>
      </c>
      <c r="C372" s="177" t="s">
        <v>1049</v>
      </c>
      <c r="D372" s="177" t="s">
        <v>6941</v>
      </c>
      <c r="E372" s="177"/>
      <c r="F372" s="177" t="s">
        <v>6861</v>
      </c>
      <c r="G372" s="179" t="s">
        <v>6909</v>
      </c>
      <c r="H372" s="180" t="s">
        <v>2465</v>
      </c>
      <c r="I372" s="163">
        <f>IFERROR(__xludf.DUMMYFUNCTION("""COMPUTED_VALUE"""),0.0)</f>
        <v>0</v>
      </c>
      <c r="J372" s="177" t="s">
        <v>6705</v>
      </c>
      <c r="K372" s="177" t="s">
        <v>4572</v>
      </c>
      <c r="L372" s="164"/>
      <c r="M372" s="165"/>
      <c r="N372" s="21" t="s">
        <v>22</v>
      </c>
      <c r="O372" s="164"/>
      <c r="P372" s="164"/>
      <c r="Q372" s="177" t="s">
        <v>1468</v>
      </c>
      <c r="R372" s="164"/>
      <c r="S372" s="163">
        <f>IFERROR(__xludf.DUMMYFUNCTION("""COMPUTED_VALUE"""),0.0)</f>
        <v>0</v>
      </c>
      <c r="T372" s="164"/>
      <c r="U372" s="164"/>
      <c r="V372" s="164"/>
      <c r="W372" s="164"/>
      <c r="X372" s="164"/>
    </row>
    <row r="373">
      <c r="A373" s="175">
        <v>45987.0</v>
      </c>
      <c r="B373" s="176" t="s">
        <v>1581</v>
      </c>
      <c r="C373" s="177" t="s">
        <v>1049</v>
      </c>
      <c r="D373" s="177" t="s">
        <v>6941</v>
      </c>
      <c r="E373" s="177"/>
      <c r="F373" s="177" t="s">
        <v>6987</v>
      </c>
      <c r="G373" s="179" t="s">
        <v>6908</v>
      </c>
      <c r="H373" s="180" t="s">
        <v>2467</v>
      </c>
      <c r="I373" s="163">
        <f>IFERROR(__xludf.DUMMYFUNCTION("""COMPUTED_VALUE"""),0.0)</f>
        <v>0</v>
      </c>
      <c r="J373" s="177" t="s">
        <v>6735</v>
      </c>
      <c r="K373" s="177" t="s">
        <v>4574</v>
      </c>
      <c r="L373" s="164"/>
      <c r="M373" s="165"/>
      <c r="N373" s="21" t="s">
        <v>22</v>
      </c>
      <c r="O373" s="164"/>
      <c r="P373" s="164"/>
      <c r="Q373" s="177" t="s">
        <v>1468</v>
      </c>
      <c r="R373" s="164"/>
      <c r="S373" s="163">
        <f>IFERROR(__xludf.DUMMYFUNCTION("""COMPUTED_VALUE"""),0.0)</f>
        <v>0</v>
      </c>
      <c r="T373" s="164"/>
      <c r="U373" s="164"/>
      <c r="V373" s="164"/>
      <c r="W373" s="164"/>
      <c r="X373" s="164"/>
    </row>
    <row r="374">
      <c r="A374" s="175">
        <v>45987.0</v>
      </c>
      <c r="B374" s="176" t="s">
        <v>2836</v>
      </c>
      <c r="C374" s="177" t="s">
        <v>1049</v>
      </c>
      <c r="D374" s="177" t="s">
        <v>6941</v>
      </c>
      <c r="E374" s="177" t="s">
        <v>38</v>
      </c>
      <c r="F374" s="177" t="s">
        <v>6861</v>
      </c>
      <c r="G374" s="179" t="s">
        <v>6707</v>
      </c>
      <c r="H374" s="180" t="s">
        <v>2836</v>
      </c>
      <c r="I374" s="163">
        <f>IFERROR(__xludf.DUMMYFUNCTION("""COMPUTED_VALUE"""),16.0)</f>
        <v>16</v>
      </c>
      <c r="J374" s="177" t="s">
        <v>6705</v>
      </c>
      <c r="K374" s="177" t="s">
        <v>6998</v>
      </c>
      <c r="L374" s="164"/>
      <c r="M374" s="165"/>
      <c r="N374" s="21" t="s">
        <v>22</v>
      </c>
      <c r="O374" s="164"/>
      <c r="P374" s="164"/>
      <c r="Q374" s="177" t="s">
        <v>2837</v>
      </c>
      <c r="R374" s="164"/>
      <c r="S374" s="163"/>
      <c r="T374" s="164"/>
      <c r="U374" s="164"/>
      <c r="V374" s="164"/>
      <c r="W374" s="164"/>
      <c r="X374" s="164"/>
    </row>
    <row r="375">
      <c r="A375" s="175">
        <v>45988.0</v>
      </c>
      <c r="B375" s="176" t="s">
        <v>2476</v>
      </c>
      <c r="C375" s="177" t="s">
        <v>1049</v>
      </c>
      <c r="D375" s="177" t="s">
        <v>6941</v>
      </c>
      <c r="E375" s="177" t="s">
        <v>38</v>
      </c>
      <c r="F375" s="177" t="s">
        <v>6987</v>
      </c>
      <c r="G375" s="179" t="s">
        <v>6707</v>
      </c>
      <c r="H375" s="180" t="s">
        <v>2476</v>
      </c>
      <c r="I375" s="163">
        <f>IFERROR(__xludf.DUMMYFUNCTION("""COMPUTED_VALUE"""),10.0)</f>
        <v>10</v>
      </c>
      <c r="J375" s="177" t="s">
        <v>6735</v>
      </c>
      <c r="K375" s="177" t="s">
        <v>6999</v>
      </c>
      <c r="L375" s="164"/>
      <c r="M375" s="165"/>
      <c r="N375" s="21" t="s">
        <v>22</v>
      </c>
      <c r="O375" s="164"/>
      <c r="P375" s="164"/>
      <c r="Q375" s="177" t="s">
        <v>2474</v>
      </c>
      <c r="R375" s="164"/>
      <c r="S375" s="163">
        <f>IFERROR(__xludf.DUMMYFUNCTION("""COMPUTED_VALUE"""),19.99)</f>
        <v>19.99</v>
      </c>
      <c r="T375" s="164"/>
      <c r="U375" s="164"/>
      <c r="V375" s="164"/>
      <c r="W375" s="164"/>
      <c r="X375" s="164"/>
    </row>
    <row r="376">
      <c r="A376" s="175">
        <v>45988.0</v>
      </c>
      <c r="B376" s="176" t="s">
        <v>2473</v>
      </c>
      <c r="C376" s="177" t="s">
        <v>1049</v>
      </c>
      <c r="D376" s="177" t="s">
        <v>6941</v>
      </c>
      <c r="E376" s="177" t="s">
        <v>38</v>
      </c>
      <c r="F376" s="177" t="s">
        <v>7000</v>
      </c>
      <c r="G376" s="179" t="s">
        <v>6707</v>
      </c>
      <c r="H376" s="180" t="s">
        <v>2473</v>
      </c>
      <c r="I376" s="163">
        <f>IFERROR(__xludf.DUMMYFUNCTION("""COMPUTED_VALUE"""),10.0)</f>
        <v>10</v>
      </c>
      <c r="J376" s="177" t="s">
        <v>6705</v>
      </c>
      <c r="K376" s="177" t="s">
        <v>7001</v>
      </c>
      <c r="L376" s="164"/>
      <c r="M376" s="165"/>
      <c r="N376" s="21" t="s">
        <v>22</v>
      </c>
      <c r="O376" s="164"/>
      <c r="P376" s="164"/>
      <c r="Q376" s="177" t="s">
        <v>2474</v>
      </c>
      <c r="R376" s="164"/>
      <c r="S376" s="163">
        <f>IFERROR(__xludf.DUMMYFUNCTION("""COMPUTED_VALUE"""),19.99)</f>
        <v>19.99</v>
      </c>
      <c r="T376" s="164"/>
      <c r="U376" s="164"/>
      <c r="V376" s="164"/>
      <c r="W376" s="164"/>
      <c r="X376" s="164"/>
    </row>
    <row r="377">
      <c r="A377" s="175">
        <v>45988.0</v>
      </c>
      <c r="B377" s="176" t="s">
        <v>3109</v>
      </c>
      <c r="C377" s="177" t="s">
        <v>1049</v>
      </c>
      <c r="D377" s="177" t="s">
        <v>6941</v>
      </c>
      <c r="E377" s="177" t="s">
        <v>662</v>
      </c>
      <c r="F377" s="177" t="s">
        <v>6987</v>
      </c>
      <c r="G377" s="179" t="s">
        <v>6707</v>
      </c>
      <c r="H377" s="180" t="s">
        <v>3109</v>
      </c>
      <c r="I377" s="163">
        <f>IFERROR(__xludf.DUMMYFUNCTION("""COMPUTED_VALUE"""),25.0)</f>
        <v>25</v>
      </c>
      <c r="J377" s="177" t="s">
        <v>6735</v>
      </c>
      <c r="K377" s="177" t="s">
        <v>7002</v>
      </c>
      <c r="L377" s="164"/>
      <c r="M377" s="165"/>
      <c r="N377" s="21" t="s">
        <v>22</v>
      </c>
      <c r="O377" s="164"/>
      <c r="P377" s="164"/>
      <c r="Q377" s="177" t="s">
        <v>3110</v>
      </c>
      <c r="R377" s="164"/>
      <c r="S377" s="163"/>
      <c r="T377" s="164"/>
      <c r="U377" s="164"/>
      <c r="V377" s="164"/>
      <c r="W377" s="164"/>
      <c r="X377" s="164"/>
    </row>
    <row r="378">
      <c r="A378" s="175">
        <v>45992.0</v>
      </c>
      <c r="B378" s="176" t="s">
        <v>2480</v>
      </c>
      <c r="C378" s="177" t="s">
        <v>1049</v>
      </c>
      <c r="D378" s="177" t="s">
        <v>6941</v>
      </c>
      <c r="E378" s="177" t="s">
        <v>38</v>
      </c>
      <c r="F378" s="177" t="s">
        <v>6987</v>
      </c>
      <c r="G378" s="179" t="s">
        <v>6707</v>
      </c>
      <c r="H378" s="180" t="s">
        <v>2480</v>
      </c>
      <c r="I378" s="163">
        <f>IFERROR(__xludf.DUMMYFUNCTION("""COMPUTED_VALUE"""),16.5)</f>
        <v>16.5</v>
      </c>
      <c r="J378" s="177" t="s">
        <v>6735</v>
      </c>
      <c r="K378" s="177" t="s">
        <v>7003</v>
      </c>
      <c r="L378" s="164"/>
      <c r="M378" s="165"/>
      <c r="N378" s="21" t="s">
        <v>22</v>
      </c>
      <c r="O378" s="164"/>
      <c r="P378" s="164"/>
      <c r="Q378" s="177" t="s">
        <v>2481</v>
      </c>
      <c r="R378" s="164"/>
      <c r="S378" s="163">
        <f>IFERROR(__xludf.DUMMYFUNCTION("""COMPUTED_VALUE"""),39.99)</f>
        <v>39.99</v>
      </c>
      <c r="T378" s="164"/>
      <c r="U378" s="164"/>
      <c r="V378" s="164"/>
      <c r="W378" s="164"/>
      <c r="X378" s="164"/>
    </row>
    <row r="379">
      <c r="A379" s="175">
        <v>45899.0</v>
      </c>
      <c r="B379" s="176" t="s">
        <v>1628</v>
      </c>
      <c r="C379" s="177" t="s">
        <v>1118</v>
      </c>
      <c r="D379" s="177" t="s">
        <v>7004</v>
      </c>
      <c r="E379" s="177" t="s">
        <v>38</v>
      </c>
      <c r="F379" s="177" t="s">
        <v>6729</v>
      </c>
      <c r="G379" s="179" t="s">
        <v>6707</v>
      </c>
      <c r="H379" s="180" t="s">
        <v>1628</v>
      </c>
      <c r="I379" s="163">
        <f>IFERROR(__xludf.DUMMYFUNCTION("""COMPUTED_VALUE"""),0.0)</f>
        <v>0</v>
      </c>
      <c r="J379" s="177" t="s">
        <v>6705</v>
      </c>
      <c r="K379" s="177" t="s">
        <v>7005</v>
      </c>
      <c r="L379" s="164"/>
      <c r="M379" s="165"/>
      <c r="N379" s="21" t="s">
        <v>22</v>
      </c>
      <c r="O379" s="164"/>
      <c r="P379" s="164"/>
      <c r="Q379" s="177" t="s">
        <v>1629</v>
      </c>
      <c r="R379" s="164"/>
      <c r="S379" s="163">
        <f>IFERROR(__xludf.DUMMYFUNCTION("""COMPUTED_VALUE"""),0.0)</f>
        <v>0</v>
      </c>
      <c r="T379" s="164"/>
      <c r="U379" s="164"/>
      <c r="V379" s="164"/>
      <c r="W379" s="164"/>
      <c r="X379" s="164"/>
    </row>
    <row r="380">
      <c r="A380" s="175">
        <v>45899.0</v>
      </c>
      <c r="B380" s="176" t="s">
        <v>1628</v>
      </c>
      <c r="C380" s="177" t="s">
        <v>6716</v>
      </c>
      <c r="D380" s="177" t="s">
        <v>7004</v>
      </c>
      <c r="E380" s="177"/>
      <c r="F380" s="177" t="s">
        <v>6729</v>
      </c>
      <c r="G380" s="179" t="s">
        <v>6720</v>
      </c>
      <c r="H380" s="180" t="s">
        <v>1649</v>
      </c>
      <c r="I380" s="163">
        <f>IFERROR(__xludf.DUMMYFUNCTION("""COMPUTED_VALUE"""),0.0)</f>
        <v>0</v>
      </c>
      <c r="J380" s="177" t="s">
        <v>6727</v>
      </c>
      <c r="K380" s="177" t="s">
        <v>4576</v>
      </c>
      <c r="L380" s="164"/>
      <c r="M380" s="165"/>
      <c r="N380" s="21" t="s">
        <v>22</v>
      </c>
      <c r="O380" s="164"/>
      <c r="P380" s="164"/>
      <c r="Q380" s="177" t="s">
        <v>1629</v>
      </c>
      <c r="R380" s="164"/>
      <c r="S380" s="163">
        <f>IFERROR(__xludf.DUMMYFUNCTION("""COMPUTED_VALUE"""),0.0)</f>
        <v>0</v>
      </c>
      <c r="T380" s="164"/>
      <c r="U380" s="164"/>
      <c r="V380" s="164"/>
      <c r="W380" s="164"/>
      <c r="X380" s="164"/>
    </row>
    <row r="381">
      <c r="A381" s="175"/>
      <c r="B381" s="176"/>
      <c r="C381" s="177"/>
      <c r="D381" s="177"/>
      <c r="E381" s="177"/>
      <c r="F381" s="177"/>
      <c r="G381" s="179"/>
      <c r="H381" s="180"/>
      <c r="I381" s="163" t="str">
        <f>IFERROR(__xludf.DUMMYFUNCTION("""COMPUTED_VALUE"""),"")</f>
        <v/>
      </c>
      <c r="J381" s="177"/>
      <c r="K381" s="177"/>
      <c r="L381" s="164"/>
      <c r="M381" s="165"/>
      <c r="N381" s="21" t="s">
        <v>22</v>
      </c>
      <c r="O381" s="164"/>
      <c r="P381" s="164"/>
      <c r="Q381" s="164"/>
      <c r="R381" s="164"/>
      <c r="S381" s="163" t="str">
        <f>IFERROR(__xludf.DUMMYFUNCTION("""COMPUTED_VALUE"""),"")</f>
        <v/>
      </c>
      <c r="T381" s="164"/>
      <c r="U381" s="164"/>
      <c r="V381" s="164"/>
      <c r="W381" s="164"/>
      <c r="X381" s="164"/>
    </row>
    <row r="382">
      <c r="A382" s="175">
        <v>46002.0</v>
      </c>
      <c r="B382" s="176" t="s">
        <v>2580</v>
      </c>
      <c r="C382" s="177" t="s">
        <v>1049</v>
      </c>
      <c r="D382" s="177" t="s">
        <v>7006</v>
      </c>
      <c r="E382" s="177" t="s">
        <v>38</v>
      </c>
      <c r="F382" s="177" t="s">
        <v>38</v>
      </c>
      <c r="G382" s="179" t="s">
        <v>6707</v>
      </c>
      <c r="H382" s="180" t="s">
        <v>2580</v>
      </c>
      <c r="I382" s="163">
        <f>IFERROR(__xludf.DUMMYFUNCTION("""COMPUTED_VALUE"""),6.6)</f>
        <v>6.6</v>
      </c>
      <c r="J382" s="177" t="s">
        <v>6735</v>
      </c>
      <c r="K382" s="177" t="s">
        <v>7007</v>
      </c>
      <c r="L382" s="164"/>
      <c r="M382" s="165"/>
      <c r="N382" s="21" t="s">
        <v>22</v>
      </c>
      <c r="O382" s="164"/>
      <c r="P382" s="164"/>
      <c r="Q382" s="177" t="s">
        <v>2581</v>
      </c>
      <c r="R382" s="164"/>
      <c r="S382" s="163">
        <f>IFERROR(__xludf.DUMMYFUNCTION("""COMPUTED_VALUE"""),14.99)</f>
        <v>14.99</v>
      </c>
      <c r="T382" s="164"/>
      <c r="U382" s="164"/>
      <c r="V382" s="164"/>
      <c r="W382" s="164"/>
      <c r="X382" s="164"/>
    </row>
    <row r="383">
      <c r="A383" s="175">
        <v>46002.0</v>
      </c>
      <c r="B383" s="176" t="s">
        <v>2511</v>
      </c>
      <c r="C383" s="177" t="s">
        <v>6992</v>
      </c>
      <c r="D383" s="177" t="s">
        <v>7008</v>
      </c>
      <c r="E383" s="177" t="s">
        <v>525</v>
      </c>
      <c r="F383" s="177" t="s">
        <v>842</v>
      </c>
      <c r="G383" s="179" t="s">
        <v>6707</v>
      </c>
      <c r="H383" s="180" t="s">
        <v>2511</v>
      </c>
      <c r="I383" s="163">
        <f>IFERROR(__xludf.DUMMYFUNCTION("""COMPUTED_VALUE"""),24.85)</f>
        <v>24.85</v>
      </c>
      <c r="J383" s="177" t="s">
        <v>6705</v>
      </c>
      <c r="K383" s="177" t="s">
        <v>7009</v>
      </c>
      <c r="L383" s="164"/>
      <c r="M383" s="165"/>
      <c r="N383" s="21" t="s">
        <v>22</v>
      </c>
      <c r="O383" s="164"/>
      <c r="P383" s="164"/>
      <c r="Q383" s="177" t="s">
        <v>2212</v>
      </c>
      <c r="R383" s="164"/>
      <c r="S383" s="163">
        <f>IFERROR(__xludf.DUMMYFUNCTION("""COMPUTED_VALUE"""),49.7)</f>
        <v>49.7</v>
      </c>
      <c r="T383" s="164"/>
      <c r="U383" s="164"/>
      <c r="V383" s="164"/>
      <c r="W383" s="164"/>
      <c r="X383" s="164"/>
    </row>
    <row r="384">
      <c r="A384" s="175">
        <v>46002.0</v>
      </c>
      <c r="B384" s="176" t="s">
        <v>2211</v>
      </c>
      <c r="C384" s="177" t="s">
        <v>6994</v>
      </c>
      <c r="D384" s="177" t="s">
        <v>7010</v>
      </c>
      <c r="E384" s="177" t="s">
        <v>525</v>
      </c>
      <c r="F384" s="177"/>
      <c r="G384" s="186"/>
      <c r="H384" s="180"/>
      <c r="I384" s="163" t="str">
        <f>IFERROR(__xludf.DUMMYFUNCTION("""COMPUTED_VALUE"""),"")</f>
        <v/>
      </c>
      <c r="J384" s="177" t="s">
        <v>6705</v>
      </c>
      <c r="K384" s="177" t="s">
        <v>7011</v>
      </c>
      <c r="L384" s="164"/>
      <c r="M384" s="165"/>
      <c r="N384" s="21" t="s">
        <v>22</v>
      </c>
      <c r="O384" s="164"/>
      <c r="P384" s="164"/>
      <c r="Q384" s="177" t="s">
        <v>2212</v>
      </c>
      <c r="R384" s="164"/>
      <c r="S384" s="163" t="str">
        <f>IFERROR(__xludf.DUMMYFUNCTION("""COMPUTED_VALUE"""),"")</f>
        <v/>
      </c>
      <c r="T384" s="164"/>
      <c r="U384" s="164"/>
      <c r="V384" s="164"/>
      <c r="W384" s="164"/>
      <c r="X384" s="164"/>
    </row>
    <row r="385">
      <c r="A385" s="175">
        <v>46002.0</v>
      </c>
      <c r="B385" s="176" t="s">
        <v>2224</v>
      </c>
      <c r="C385" s="177" t="s">
        <v>6994</v>
      </c>
      <c r="D385" s="177" t="s">
        <v>7008</v>
      </c>
      <c r="E385" s="177" t="s">
        <v>525</v>
      </c>
      <c r="F385" s="177"/>
      <c r="G385" s="179"/>
      <c r="H385" s="180"/>
      <c r="I385" s="163" t="str">
        <f>IFERROR(__xludf.DUMMYFUNCTION("""COMPUTED_VALUE"""),"")</f>
        <v/>
      </c>
      <c r="J385" s="177" t="s">
        <v>6705</v>
      </c>
      <c r="K385" s="177" t="s">
        <v>7012</v>
      </c>
      <c r="L385" s="164"/>
      <c r="M385" s="165"/>
      <c r="N385" s="21" t="s">
        <v>22</v>
      </c>
      <c r="O385" s="164"/>
      <c r="P385" s="164"/>
      <c r="Q385" s="177" t="s">
        <v>2212</v>
      </c>
      <c r="R385" s="164"/>
      <c r="S385" s="163" t="str">
        <f>IFERROR(__xludf.DUMMYFUNCTION("""COMPUTED_VALUE"""),"")</f>
        <v/>
      </c>
      <c r="T385" s="164"/>
      <c r="U385" s="164"/>
      <c r="V385" s="164"/>
      <c r="W385" s="164"/>
      <c r="X385" s="164"/>
    </row>
    <row r="386">
      <c r="A386" s="175">
        <v>46002.0</v>
      </c>
      <c r="B386" s="176" t="s">
        <v>2226</v>
      </c>
      <c r="C386" s="177" t="s">
        <v>6994</v>
      </c>
      <c r="D386" s="177" t="s">
        <v>7010</v>
      </c>
      <c r="E386" s="177" t="s">
        <v>525</v>
      </c>
      <c r="F386" s="177"/>
      <c r="G386" s="186"/>
      <c r="H386" s="180"/>
      <c r="I386" s="163" t="str">
        <f>IFERROR(__xludf.DUMMYFUNCTION("""COMPUTED_VALUE"""),"")</f>
        <v/>
      </c>
      <c r="J386" s="177" t="s">
        <v>6705</v>
      </c>
      <c r="K386" s="177" t="s">
        <v>7013</v>
      </c>
      <c r="L386" s="164"/>
      <c r="M386" s="165"/>
      <c r="N386" s="21" t="s">
        <v>22</v>
      </c>
      <c r="O386" s="164"/>
      <c r="P386" s="164"/>
      <c r="Q386" s="177" t="s">
        <v>2212</v>
      </c>
      <c r="R386" s="164"/>
      <c r="S386" s="163" t="str">
        <f>IFERROR(__xludf.DUMMYFUNCTION("""COMPUTED_VALUE"""),"")</f>
        <v/>
      </c>
      <c r="T386" s="164"/>
      <c r="U386" s="164"/>
      <c r="V386" s="164"/>
      <c r="W386" s="164"/>
      <c r="X386" s="164"/>
    </row>
    <row r="387">
      <c r="A387" s="175">
        <v>46002.0</v>
      </c>
      <c r="B387" s="176" t="s">
        <v>2505</v>
      </c>
      <c r="C387" s="177" t="s">
        <v>1049</v>
      </c>
      <c r="D387" s="177" t="s">
        <v>7014</v>
      </c>
      <c r="E387" s="177" t="s">
        <v>38</v>
      </c>
      <c r="F387" s="177" t="s">
        <v>7000</v>
      </c>
      <c r="G387" s="179" t="s">
        <v>6707</v>
      </c>
      <c r="H387" s="180" t="s">
        <v>2505</v>
      </c>
      <c r="I387" s="163">
        <f>IFERROR(__xludf.DUMMYFUNCTION("""COMPUTED_VALUE"""),21.99)</f>
        <v>21.99</v>
      </c>
      <c r="J387" s="177" t="s">
        <v>6705</v>
      </c>
      <c r="K387" s="177" t="s">
        <v>7015</v>
      </c>
      <c r="L387" s="164"/>
      <c r="M387" s="165"/>
      <c r="N387" s="21" t="s">
        <v>22</v>
      </c>
      <c r="O387" s="164"/>
      <c r="P387" s="164"/>
      <c r="Q387" s="177" t="s">
        <v>1458</v>
      </c>
      <c r="R387" s="164"/>
      <c r="S387" s="163">
        <f>IFERROR(__xludf.DUMMYFUNCTION("""COMPUTED_VALUE"""),39.99)</f>
        <v>39.99</v>
      </c>
      <c r="T387" s="164"/>
      <c r="U387" s="164"/>
      <c r="V387" s="164"/>
      <c r="W387" s="164"/>
      <c r="X387" s="164"/>
    </row>
    <row r="388">
      <c r="A388" s="175"/>
      <c r="B388" s="176"/>
      <c r="C388" s="177"/>
      <c r="D388" s="177"/>
      <c r="E388" s="177"/>
      <c r="F388" s="177"/>
      <c r="G388" s="179"/>
      <c r="H388" s="180"/>
      <c r="I388" s="163" t="str">
        <f>IFERROR(__xludf.DUMMYFUNCTION("""COMPUTED_VALUE"""),"")</f>
        <v/>
      </c>
      <c r="J388" s="177"/>
      <c r="K388" s="177"/>
      <c r="L388" s="164"/>
      <c r="M388" s="165"/>
      <c r="N388" s="21" t="s">
        <v>22</v>
      </c>
      <c r="O388" s="164"/>
      <c r="P388" s="164"/>
      <c r="Q388" s="164"/>
      <c r="R388" s="164"/>
      <c r="S388" s="163" t="str">
        <f>IFERROR(__xludf.DUMMYFUNCTION("""COMPUTED_VALUE"""),"")</f>
        <v/>
      </c>
      <c r="T388" s="164"/>
      <c r="U388" s="164"/>
      <c r="V388" s="164"/>
      <c r="W388" s="164"/>
      <c r="X388" s="164"/>
    </row>
    <row r="389">
      <c r="A389" s="175">
        <v>46002.0</v>
      </c>
      <c r="B389" s="176" t="s">
        <v>2514</v>
      </c>
      <c r="C389" s="177" t="s">
        <v>6992</v>
      </c>
      <c r="D389" s="177" t="s">
        <v>7008</v>
      </c>
      <c r="E389" s="177" t="s">
        <v>525</v>
      </c>
      <c r="F389" s="177" t="s">
        <v>6713</v>
      </c>
      <c r="G389" s="179" t="s">
        <v>6707</v>
      </c>
      <c r="H389" s="180" t="s">
        <v>2514</v>
      </c>
      <c r="I389" s="163">
        <f>IFERROR(__xludf.DUMMYFUNCTION("""COMPUTED_VALUE"""),24.85)</f>
        <v>24.85</v>
      </c>
      <c r="J389" s="177" t="s">
        <v>6735</v>
      </c>
      <c r="K389" s="177" t="s">
        <v>7016</v>
      </c>
      <c r="L389" s="164"/>
      <c r="M389" s="165"/>
      <c r="N389" s="21" t="s">
        <v>22</v>
      </c>
      <c r="O389" s="164"/>
      <c r="P389" s="164"/>
      <c r="Q389" s="177" t="s">
        <v>2164</v>
      </c>
      <c r="R389" s="164"/>
      <c r="S389" s="163">
        <f>IFERROR(__xludf.DUMMYFUNCTION("""COMPUTED_VALUE"""),49.7)</f>
        <v>49.7</v>
      </c>
      <c r="T389" s="164"/>
      <c r="U389" s="164"/>
      <c r="V389" s="164"/>
      <c r="W389" s="164"/>
      <c r="X389" s="164"/>
    </row>
    <row r="390">
      <c r="A390" s="175">
        <v>46002.0</v>
      </c>
      <c r="B390" s="176" t="s">
        <v>2230</v>
      </c>
      <c r="C390" s="177" t="s">
        <v>6994</v>
      </c>
      <c r="D390" s="177" t="s">
        <v>7008</v>
      </c>
      <c r="E390" s="177" t="s">
        <v>525</v>
      </c>
      <c r="F390" s="177"/>
      <c r="G390" s="186"/>
      <c r="H390" s="180"/>
      <c r="I390" s="163" t="str">
        <f>IFERROR(__xludf.DUMMYFUNCTION("""COMPUTED_VALUE"""),"")</f>
        <v/>
      </c>
      <c r="J390" s="177" t="s">
        <v>6735</v>
      </c>
      <c r="K390" s="177" t="s">
        <v>7017</v>
      </c>
      <c r="L390" s="164"/>
      <c r="M390" s="165"/>
      <c r="N390" s="21" t="s">
        <v>22</v>
      </c>
      <c r="O390" s="164"/>
      <c r="P390" s="164"/>
      <c r="Q390" s="177" t="s">
        <v>2164</v>
      </c>
      <c r="R390" s="164"/>
      <c r="S390" s="163" t="str">
        <f>IFERROR(__xludf.DUMMYFUNCTION("""COMPUTED_VALUE"""),"")</f>
        <v/>
      </c>
      <c r="T390" s="164"/>
      <c r="U390" s="164"/>
      <c r="V390" s="164"/>
      <c r="W390" s="164"/>
      <c r="X390" s="164"/>
    </row>
    <row r="391">
      <c r="A391" s="175">
        <v>46002.0</v>
      </c>
      <c r="B391" s="176" t="s">
        <v>2232</v>
      </c>
      <c r="C391" s="177" t="s">
        <v>6994</v>
      </c>
      <c r="D391" s="177" t="s">
        <v>7008</v>
      </c>
      <c r="E391" s="177" t="s">
        <v>525</v>
      </c>
      <c r="F391" s="177"/>
      <c r="G391" s="186"/>
      <c r="H391" s="180"/>
      <c r="I391" s="163" t="str">
        <f>IFERROR(__xludf.DUMMYFUNCTION("""COMPUTED_VALUE"""),"")</f>
        <v/>
      </c>
      <c r="J391" s="177" t="s">
        <v>6735</v>
      </c>
      <c r="K391" s="177" t="s">
        <v>7018</v>
      </c>
      <c r="L391" s="164"/>
      <c r="M391" s="165"/>
      <c r="N391" s="21" t="s">
        <v>22</v>
      </c>
      <c r="O391" s="164"/>
      <c r="P391" s="164"/>
      <c r="Q391" s="177" t="s">
        <v>2164</v>
      </c>
      <c r="R391" s="164"/>
      <c r="S391" s="163" t="str">
        <f>IFERROR(__xludf.DUMMYFUNCTION("""COMPUTED_VALUE"""),"")</f>
        <v/>
      </c>
      <c r="T391" s="164"/>
      <c r="U391" s="164"/>
      <c r="V391" s="164"/>
      <c r="W391" s="164"/>
      <c r="X391" s="164"/>
    </row>
    <row r="392">
      <c r="A392" s="175">
        <v>46002.0</v>
      </c>
      <c r="B392" s="176" t="s">
        <v>2163</v>
      </c>
      <c r="C392" s="177" t="s">
        <v>6994</v>
      </c>
      <c r="D392" s="177" t="s">
        <v>7008</v>
      </c>
      <c r="E392" s="177" t="s">
        <v>525</v>
      </c>
      <c r="F392" s="177"/>
      <c r="G392" s="186"/>
      <c r="H392" s="180"/>
      <c r="I392" s="163" t="str">
        <f>IFERROR(__xludf.DUMMYFUNCTION("""COMPUTED_VALUE"""),"")</f>
        <v/>
      </c>
      <c r="J392" s="177" t="s">
        <v>6735</v>
      </c>
      <c r="K392" s="177" t="s">
        <v>7019</v>
      </c>
      <c r="L392" s="164"/>
      <c r="M392" s="165"/>
      <c r="N392" s="21" t="s">
        <v>22</v>
      </c>
      <c r="O392" s="164"/>
      <c r="P392" s="164"/>
      <c r="Q392" s="177" t="s">
        <v>2164</v>
      </c>
      <c r="R392" s="164"/>
      <c r="S392" s="163" t="str">
        <f>IFERROR(__xludf.DUMMYFUNCTION("""COMPUTED_VALUE"""),"")</f>
        <v/>
      </c>
      <c r="T392" s="164"/>
      <c r="U392" s="164"/>
      <c r="V392" s="164"/>
      <c r="W392" s="164"/>
      <c r="X392" s="164"/>
    </row>
    <row r="393">
      <c r="A393" s="175">
        <v>46002.0</v>
      </c>
      <c r="B393" s="176" t="s">
        <v>2509</v>
      </c>
      <c r="C393" s="177" t="s">
        <v>1049</v>
      </c>
      <c r="D393" s="177" t="s">
        <v>1108</v>
      </c>
      <c r="E393" s="177" t="s">
        <v>525</v>
      </c>
      <c r="F393" s="177" t="s">
        <v>525</v>
      </c>
      <c r="G393" s="179" t="s">
        <v>6707</v>
      </c>
      <c r="H393" s="180" t="s">
        <v>2509</v>
      </c>
      <c r="I393" s="163">
        <f>IFERROR(__xludf.DUMMYFUNCTION("""COMPUTED_VALUE"""),5.5)</f>
        <v>5.5</v>
      </c>
      <c r="J393" s="177" t="s">
        <v>6975</v>
      </c>
      <c r="K393" s="177" t="s">
        <v>7020</v>
      </c>
      <c r="L393" s="164"/>
      <c r="M393" s="165"/>
      <c r="N393" s="21" t="s">
        <v>22</v>
      </c>
      <c r="O393" s="164"/>
      <c r="P393" s="164"/>
      <c r="Q393" s="177" t="s">
        <v>2081</v>
      </c>
      <c r="R393" s="164"/>
      <c r="S393" s="163">
        <f>IFERROR(__xludf.DUMMYFUNCTION("""COMPUTED_VALUE"""),11.0)</f>
        <v>11</v>
      </c>
      <c r="T393" s="164"/>
      <c r="U393" s="164"/>
      <c r="V393" s="164"/>
      <c r="W393" s="164"/>
      <c r="X393" s="164"/>
    </row>
    <row r="394">
      <c r="A394" s="175">
        <v>46002.0</v>
      </c>
      <c r="B394" s="176" t="s">
        <v>2507</v>
      </c>
      <c r="C394" s="177" t="s">
        <v>1049</v>
      </c>
      <c r="D394" s="177" t="s">
        <v>1108</v>
      </c>
      <c r="E394" s="177" t="s">
        <v>525</v>
      </c>
      <c r="F394" s="177" t="s">
        <v>525</v>
      </c>
      <c r="G394" s="179" t="s">
        <v>6707</v>
      </c>
      <c r="H394" s="180" t="s">
        <v>2507</v>
      </c>
      <c r="I394" s="163">
        <f>IFERROR(__xludf.DUMMYFUNCTION("""COMPUTED_VALUE"""),5.5)</f>
        <v>5.5</v>
      </c>
      <c r="J394" s="177" t="s">
        <v>6975</v>
      </c>
      <c r="K394" s="177" t="s">
        <v>7021</v>
      </c>
      <c r="L394" s="164"/>
      <c r="M394" s="165"/>
      <c r="N394" s="21" t="s">
        <v>22</v>
      </c>
      <c r="O394" s="164"/>
      <c r="P394" s="164"/>
      <c r="Q394" s="177" t="s">
        <v>2081</v>
      </c>
      <c r="R394" s="164"/>
      <c r="S394" s="163">
        <f>IFERROR(__xludf.DUMMYFUNCTION("""COMPUTED_VALUE"""),11.0)</f>
        <v>11</v>
      </c>
      <c r="T394" s="164"/>
      <c r="U394" s="164"/>
      <c r="V394" s="164"/>
      <c r="W394" s="164"/>
      <c r="X394" s="164"/>
    </row>
    <row r="395">
      <c r="A395" s="175">
        <v>45962.0</v>
      </c>
      <c r="B395" s="176" t="s">
        <v>2516</v>
      </c>
      <c r="C395" s="177" t="s">
        <v>1049</v>
      </c>
      <c r="D395" s="177" t="s">
        <v>6921</v>
      </c>
      <c r="E395" s="177" t="s">
        <v>6813</v>
      </c>
      <c r="F395" s="177" t="s">
        <v>1050</v>
      </c>
      <c r="G395" s="179" t="s">
        <v>6707</v>
      </c>
      <c r="H395" s="180" t="s">
        <v>2516</v>
      </c>
      <c r="I395" s="163">
        <f>IFERROR(__xludf.DUMMYFUNCTION("""COMPUTED_VALUE"""),4.19)</f>
        <v>4.19</v>
      </c>
      <c r="J395" s="177" t="s">
        <v>6705</v>
      </c>
      <c r="K395" s="177" t="s">
        <v>7022</v>
      </c>
      <c r="L395" s="164"/>
      <c r="M395" s="165"/>
      <c r="N395" s="21" t="s">
        <v>22</v>
      </c>
      <c r="O395" s="164"/>
      <c r="P395" s="164"/>
      <c r="Q395" s="177" t="s">
        <v>1707</v>
      </c>
      <c r="R395" s="164"/>
      <c r="S395" s="163"/>
      <c r="T395" s="164"/>
      <c r="U395" s="164"/>
      <c r="V395" s="164"/>
      <c r="W395" s="164"/>
      <c r="X395" s="164"/>
    </row>
    <row r="396">
      <c r="A396" s="175">
        <v>46004.0</v>
      </c>
      <c r="B396" s="176" t="s">
        <v>2516</v>
      </c>
      <c r="C396" s="177" t="s">
        <v>1049</v>
      </c>
      <c r="D396" s="177" t="s">
        <v>6930</v>
      </c>
      <c r="E396" s="177" t="s">
        <v>1050</v>
      </c>
      <c r="F396" s="177" t="s">
        <v>1050</v>
      </c>
      <c r="G396" s="179" t="s">
        <v>6707</v>
      </c>
      <c r="H396" s="180" t="s">
        <v>2516</v>
      </c>
      <c r="I396" s="163">
        <f>IFERROR(__xludf.DUMMYFUNCTION("""COMPUTED_VALUE"""),4.19)</f>
        <v>4.19</v>
      </c>
      <c r="J396" s="177" t="s">
        <v>6705</v>
      </c>
      <c r="K396" s="177" t="s">
        <v>7023</v>
      </c>
      <c r="L396" s="177" t="s">
        <v>7024</v>
      </c>
      <c r="M396" s="165"/>
      <c r="N396" s="21" t="s">
        <v>22</v>
      </c>
      <c r="O396" s="164"/>
      <c r="P396" s="164"/>
      <c r="Q396" s="177" t="s">
        <v>1707</v>
      </c>
      <c r="R396" s="164"/>
      <c r="S396" s="163"/>
      <c r="T396" s="164"/>
      <c r="U396" s="164"/>
      <c r="V396" s="164"/>
      <c r="W396" s="164"/>
      <c r="X396" s="164"/>
    </row>
    <row r="397">
      <c r="A397" s="175">
        <v>46004.0</v>
      </c>
      <c r="B397" s="176" t="s">
        <v>2518</v>
      </c>
      <c r="C397" s="177" t="s">
        <v>1049</v>
      </c>
      <c r="D397" s="177" t="s">
        <v>7025</v>
      </c>
      <c r="E397" s="177" t="s">
        <v>842</v>
      </c>
      <c r="F397" s="177" t="s">
        <v>842</v>
      </c>
      <c r="G397" s="179" t="s">
        <v>6707</v>
      </c>
      <c r="H397" s="180" t="s">
        <v>2518</v>
      </c>
      <c r="I397" s="163">
        <f>IFERROR(__xludf.DUMMYFUNCTION("""COMPUTED_VALUE"""),16.0)</f>
        <v>16</v>
      </c>
      <c r="J397" s="177" t="s">
        <v>6705</v>
      </c>
      <c r="K397" s="177" t="s">
        <v>7026</v>
      </c>
      <c r="L397" s="164"/>
      <c r="M397" s="165"/>
      <c r="N397" s="21" t="s">
        <v>22</v>
      </c>
      <c r="O397" s="164"/>
      <c r="P397" s="164"/>
      <c r="Q397" s="177" t="s">
        <v>2519</v>
      </c>
      <c r="R397" s="164"/>
      <c r="S397" s="163"/>
      <c r="T397" s="164"/>
      <c r="U397" s="164"/>
      <c r="V397" s="164"/>
      <c r="W397" s="164"/>
      <c r="X397" s="164"/>
    </row>
    <row r="398">
      <c r="A398" s="175">
        <v>46004.0</v>
      </c>
      <c r="B398" s="176" t="s">
        <v>2521</v>
      </c>
      <c r="C398" s="177" t="s">
        <v>1049</v>
      </c>
      <c r="D398" s="177" t="s">
        <v>6948</v>
      </c>
      <c r="E398" s="177" t="s">
        <v>6924</v>
      </c>
      <c r="F398" s="177" t="s">
        <v>6924</v>
      </c>
      <c r="G398" s="179" t="s">
        <v>6707</v>
      </c>
      <c r="H398" s="180" t="s">
        <v>2521</v>
      </c>
      <c r="I398" s="163">
        <f>IFERROR(__xludf.DUMMYFUNCTION("""COMPUTED_VALUE"""),6.66)</f>
        <v>6.66</v>
      </c>
      <c r="J398" s="177" t="s">
        <v>6705</v>
      </c>
      <c r="K398" s="177" t="s">
        <v>7027</v>
      </c>
      <c r="L398" s="164"/>
      <c r="M398" s="165"/>
      <c r="N398" s="21" t="s">
        <v>22</v>
      </c>
      <c r="O398" s="164"/>
      <c r="P398" s="164"/>
      <c r="Q398" s="177" t="s">
        <v>1933</v>
      </c>
      <c r="R398" s="164"/>
      <c r="S398" s="163">
        <f>IFERROR(__xludf.DUMMYFUNCTION("""COMPUTED_VALUE"""),0.0)</f>
        <v>0</v>
      </c>
      <c r="T398" s="164"/>
      <c r="U398" s="164"/>
      <c r="V398" s="164"/>
      <c r="W398" s="164"/>
      <c r="X398" s="164"/>
    </row>
    <row r="399">
      <c r="A399" s="175">
        <v>46005.0</v>
      </c>
      <c r="B399" s="176" t="s">
        <v>2713</v>
      </c>
      <c r="C399" s="177" t="s">
        <v>1049</v>
      </c>
      <c r="D399" s="177" t="s">
        <v>7014</v>
      </c>
      <c r="E399" s="177" t="s">
        <v>525</v>
      </c>
      <c r="F399" s="177" t="s">
        <v>850</v>
      </c>
      <c r="G399" s="179" t="s">
        <v>6707</v>
      </c>
      <c r="H399" s="180" t="s">
        <v>2713</v>
      </c>
      <c r="I399" s="163">
        <f>IFERROR(__xludf.DUMMYFUNCTION("""COMPUTED_VALUE"""),12.0)</f>
        <v>12</v>
      </c>
      <c r="J399" s="177" t="s">
        <v>6750</v>
      </c>
      <c r="K399" s="177" t="s">
        <v>7028</v>
      </c>
      <c r="L399" s="164"/>
      <c r="M399" s="165"/>
      <c r="N399" s="21" t="s">
        <v>22</v>
      </c>
      <c r="O399" s="164"/>
      <c r="P399" s="164"/>
      <c r="Q399" s="177" t="s">
        <v>2714</v>
      </c>
      <c r="R399" s="164"/>
      <c r="S399" s="163">
        <f>IFERROR(__xludf.DUMMYFUNCTION("""COMPUTED_VALUE"""),0.0)</f>
        <v>0</v>
      </c>
      <c r="T399" s="164"/>
      <c r="U399" s="164"/>
      <c r="V399" s="164"/>
      <c r="W399" s="164"/>
      <c r="X399" s="164"/>
    </row>
    <row r="400">
      <c r="A400" s="175">
        <v>46005.0</v>
      </c>
      <c r="B400" s="176" t="s">
        <v>2540</v>
      </c>
      <c r="C400" s="177" t="s">
        <v>6992</v>
      </c>
      <c r="D400" s="177" t="s">
        <v>7008</v>
      </c>
      <c r="E400" s="177" t="s">
        <v>525</v>
      </c>
      <c r="F400" s="177" t="s">
        <v>6987</v>
      </c>
      <c r="G400" s="179" t="s">
        <v>6707</v>
      </c>
      <c r="H400" s="180" t="s">
        <v>2540</v>
      </c>
      <c r="I400" s="163">
        <f>IFERROR(__xludf.DUMMYFUNCTION("""COMPUTED_VALUE"""),21.3)</f>
        <v>21.3</v>
      </c>
      <c r="J400" s="177" t="s">
        <v>6735</v>
      </c>
      <c r="K400" s="177" t="s">
        <v>7029</v>
      </c>
      <c r="L400" s="164"/>
      <c r="M400" s="165"/>
      <c r="N400" s="21" t="s">
        <v>22</v>
      </c>
      <c r="O400" s="164"/>
      <c r="P400" s="164"/>
      <c r="Q400" s="177" t="s">
        <v>2212</v>
      </c>
      <c r="R400" s="164"/>
      <c r="S400" s="163">
        <f>IFERROR(__xludf.DUMMYFUNCTION("""COMPUTED_VALUE"""),42.6)</f>
        <v>42.6</v>
      </c>
      <c r="T400" s="164"/>
      <c r="U400" s="164"/>
      <c r="V400" s="164"/>
      <c r="W400" s="164"/>
      <c r="X400" s="164"/>
    </row>
    <row r="401">
      <c r="A401" s="175">
        <v>46005.0</v>
      </c>
      <c r="B401" s="176" t="s">
        <v>2222</v>
      </c>
      <c r="C401" s="177" t="s">
        <v>6994</v>
      </c>
      <c r="D401" s="177" t="s">
        <v>7008</v>
      </c>
      <c r="E401" s="177" t="s">
        <v>525</v>
      </c>
      <c r="F401" s="177"/>
      <c r="G401" s="186"/>
      <c r="H401" s="180"/>
      <c r="I401" s="163" t="str">
        <f>IFERROR(__xludf.DUMMYFUNCTION("""COMPUTED_VALUE"""),"")</f>
        <v/>
      </c>
      <c r="J401" s="177" t="s">
        <v>6735</v>
      </c>
      <c r="K401" s="177" t="s">
        <v>7030</v>
      </c>
      <c r="L401" s="164"/>
      <c r="M401" s="165"/>
      <c r="N401" s="21" t="s">
        <v>22</v>
      </c>
      <c r="O401" s="164"/>
      <c r="P401" s="164"/>
      <c r="Q401" s="177" t="s">
        <v>2212</v>
      </c>
      <c r="R401" s="164"/>
      <c r="S401" s="163" t="str">
        <f>IFERROR(__xludf.DUMMYFUNCTION("""COMPUTED_VALUE"""),"")</f>
        <v/>
      </c>
      <c r="T401" s="164"/>
      <c r="U401" s="164"/>
      <c r="V401" s="164"/>
      <c r="W401" s="164"/>
      <c r="X401" s="164"/>
    </row>
    <row r="402">
      <c r="A402" s="175">
        <v>46005.0</v>
      </c>
      <c r="B402" s="176" t="s">
        <v>2216</v>
      </c>
      <c r="C402" s="177" t="s">
        <v>6994</v>
      </c>
      <c r="D402" s="177" t="s">
        <v>7008</v>
      </c>
      <c r="E402" s="177" t="s">
        <v>525</v>
      </c>
      <c r="F402" s="177"/>
      <c r="G402" s="186"/>
      <c r="H402" s="180"/>
      <c r="I402" s="163" t="str">
        <f>IFERROR(__xludf.DUMMYFUNCTION("""COMPUTED_VALUE"""),"")</f>
        <v/>
      </c>
      <c r="J402" s="177" t="s">
        <v>6735</v>
      </c>
      <c r="K402" s="177" t="s">
        <v>7031</v>
      </c>
      <c r="L402" s="164"/>
      <c r="M402" s="165"/>
      <c r="N402" s="21" t="s">
        <v>22</v>
      </c>
      <c r="O402" s="164"/>
      <c r="P402" s="164"/>
      <c r="Q402" s="177" t="s">
        <v>2212</v>
      </c>
      <c r="R402" s="164"/>
      <c r="S402" s="163" t="str">
        <f>IFERROR(__xludf.DUMMYFUNCTION("""COMPUTED_VALUE"""),"")</f>
        <v/>
      </c>
      <c r="T402" s="164"/>
      <c r="U402" s="164"/>
      <c r="V402" s="164"/>
      <c r="W402" s="164"/>
      <c r="X402" s="164"/>
    </row>
    <row r="403">
      <c r="A403" s="175">
        <v>46005.0</v>
      </c>
      <c r="B403" s="176" t="s">
        <v>2214</v>
      </c>
      <c r="C403" s="177" t="s">
        <v>6994</v>
      </c>
      <c r="D403" s="177" t="s">
        <v>7008</v>
      </c>
      <c r="E403" s="177" t="s">
        <v>525</v>
      </c>
      <c r="F403" s="177"/>
      <c r="G403" s="186"/>
      <c r="H403" s="180"/>
      <c r="I403" s="163" t="str">
        <f>IFERROR(__xludf.DUMMYFUNCTION("""COMPUTED_VALUE"""),"")</f>
        <v/>
      </c>
      <c r="J403" s="177" t="s">
        <v>6735</v>
      </c>
      <c r="K403" s="177" t="s">
        <v>7032</v>
      </c>
      <c r="L403" s="164"/>
      <c r="M403" s="165"/>
      <c r="N403" s="21" t="s">
        <v>22</v>
      </c>
      <c r="O403" s="164"/>
      <c r="P403" s="164"/>
      <c r="Q403" s="177" t="s">
        <v>2212</v>
      </c>
      <c r="R403" s="164"/>
      <c r="S403" s="163" t="str">
        <f>IFERROR(__xludf.DUMMYFUNCTION("""COMPUTED_VALUE"""),"")</f>
        <v/>
      </c>
      <c r="T403" s="164"/>
      <c r="U403" s="164"/>
      <c r="V403" s="164"/>
      <c r="W403" s="164"/>
      <c r="X403" s="164"/>
    </row>
    <row r="404">
      <c r="A404" s="175">
        <v>46005.0</v>
      </c>
      <c r="B404" s="176" t="s">
        <v>2220</v>
      </c>
      <c r="C404" s="177" t="s">
        <v>6994</v>
      </c>
      <c r="D404" s="177" t="s">
        <v>7008</v>
      </c>
      <c r="E404" s="177" t="s">
        <v>525</v>
      </c>
      <c r="F404" s="177"/>
      <c r="G404" s="186"/>
      <c r="H404" s="180"/>
      <c r="I404" s="163" t="str">
        <f>IFERROR(__xludf.DUMMYFUNCTION("""COMPUTED_VALUE"""),"")</f>
        <v/>
      </c>
      <c r="J404" s="177" t="s">
        <v>6735</v>
      </c>
      <c r="K404" s="177" t="s">
        <v>7033</v>
      </c>
      <c r="L404" s="164"/>
      <c r="M404" s="165"/>
      <c r="N404" s="21" t="s">
        <v>22</v>
      </c>
      <c r="O404" s="164"/>
      <c r="P404" s="164"/>
      <c r="Q404" s="177" t="s">
        <v>2212</v>
      </c>
      <c r="R404" s="164"/>
      <c r="S404" s="163" t="str">
        <f>IFERROR(__xludf.DUMMYFUNCTION("""COMPUTED_VALUE"""),"")</f>
        <v/>
      </c>
      <c r="T404" s="164"/>
      <c r="U404" s="164"/>
      <c r="V404" s="164"/>
      <c r="W404" s="164"/>
      <c r="X404" s="164"/>
    </row>
    <row r="405">
      <c r="A405" s="175">
        <v>46005.0</v>
      </c>
      <c r="B405" s="176" t="s">
        <v>2218</v>
      </c>
      <c r="C405" s="177" t="s">
        <v>6994</v>
      </c>
      <c r="D405" s="177" t="s">
        <v>7008</v>
      </c>
      <c r="E405" s="177" t="s">
        <v>525</v>
      </c>
      <c r="F405" s="177"/>
      <c r="G405" s="186"/>
      <c r="H405" s="180"/>
      <c r="I405" s="163" t="str">
        <f>IFERROR(__xludf.DUMMYFUNCTION("""COMPUTED_VALUE"""),"")</f>
        <v/>
      </c>
      <c r="J405" s="177" t="s">
        <v>6735</v>
      </c>
      <c r="K405" s="177" t="s">
        <v>7034</v>
      </c>
      <c r="L405" s="164"/>
      <c r="M405" s="165"/>
      <c r="N405" s="21" t="s">
        <v>22</v>
      </c>
      <c r="O405" s="164"/>
      <c r="P405" s="164"/>
      <c r="Q405" s="177" t="s">
        <v>2212</v>
      </c>
      <c r="R405" s="164"/>
      <c r="S405" s="163" t="str">
        <f>IFERROR(__xludf.DUMMYFUNCTION("""COMPUTED_VALUE"""),"")</f>
        <v/>
      </c>
      <c r="T405" s="164"/>
      <c r="U405" s="164"/>
      <c r="V405" s="164"/>
      <c r="W405" s="164"/>
      <c r="X405" s="164"/>
    </row>
    <row r="406">
      <c r="A406" s="175">
        <v>46005.0</v>
      </c>
      <c r="B406" s="176" t="s">
        <v>2550</v>
      </c>
      <c r="C406" s="177" t="s">
        <v>1049</v>
      </c>
      <c r="D406" s="177" t="s">
        <v>7025</v>
      </c>
      <c r="E406" s="177"/>
      <c r="F406" s="177" t="s">
        <v>7000</v>
      </c>
      <c r="G406" s="179" t="s">
        <v>6707</v>
      </c>
      <c r="H406" s="180" t="s">
        <v>2550</v>
      </c>
      <c r="I406" s="163">
        <f>IFERROR(__xludf.DUMMYFUNCTION("""COMPUTED_VALUE"""),8.1)</f>
        <v>8.1</v>
      </c>
      <c r="J406" s="177" t="s">
        <v>6705</v>
      </c>
      <c r="K406" s="177" t="s">
        <v>7035</v>
      </c>
      <c r="L406" s="164"/>
      <c r="M406" s="165"/>
      <c r="N406" s="21" t="s">
        <v>22</v>
      </c>
      <c r="O406" s="164"/>
      <c r="P406" s="164"/>
      <c r="Q406" s="177" t="s">
        <v>1545</v>
      </c>
      <c r="R406" s="164"/>
      <c r="S406" s="163">
        <f>IFERROR(__xludf.DUMMYFUNCTION("""COMPUTED_VALUE"""),16.99)</f>
        <v>16.99</v>
      </c>
      <c r="T406" s="164"/>
      <c r="U406" s="164"/>
      <c r="V406" s="164"/>
      <c r="W406" s="164"/>
      <c r="X406" s="164"/>
    </row>
    <row r="407">
      <c r="A407" s="175">
        <v>46005.0</v>
      </c>
      <c r="B407" s="176" t="s">
        <v>2552</v>
      </c>
      <c r="C407" s="177" t="s">
        <v>1049</v>
      </c>
      <c r="D407" s="177" t="s">
        <v>7025</v>
      </c>
      <c r="E407" s="177"/>
      <c r="F407" s="177" t="s">
        <v>6987</v>
      </c>
      <c r="G407" s="179" t="s">
        <v>6707</v>
      </c>
      <c r="H407" s="180" t="s">
        <v>2552</v>
      </c>
      <c r="I407" s="163">
        <f>IFERROR(__xludf.DUMMYFUNCTION("""COMPUTED_VALUE"""),8.1)</f>
        <v>8.1</v>
      </c>
      <c r="J407" s="177" t="s">
        <v>6735</v>
      </c>
      <c r="K407" s="177" t="s">
        <v>7036</v>
      </c>
      <c r="L407" s="164"/>
      <c r="M407" s="165"/>
      <c r="N407" s="21" t="s">
        <v>22</v>
      </c>
      <c r="O407" s="164"/>
      <c r="P407" s="164"/>
      <c r="Q407" s="177" t="s">
        <v>1545</v>
      </c>
      <c r="R407" s="164"/>
      <c r="S407" s="163">
        <f>IFERROR(__xludf.DUMMYFUNCTION("""COMPUTED_VALUE"""),16.99)</f>
        <v>16.99</v>
      </c>
      <c r="T407" s="164"/>
      <c r="U407" s="164"/>
      <c r="V407" s="164"/>
      <c r="W407" s="164"/>
      <c r="X407" s="164"/>
    </row>
    <row r="408">
      <c r="A408" s="175">
        <v>46005.0</v>
      </c>
      <c r="B408" s="176" t="s">
        <v>2523</v>
      </c>
      <c r="C408" s="177" t="s">
        <v>1049</v>
      </c>
      <c r="D408" s="177" t="s">
        <v>7025</v>
      </c>
      <c r="E408" s="177"/>
      <c r="F408" s="177" t="s">
        <v>7000</v>
      </c>
      <c r="G408" s="179" t="s">
        <v>6707</v>
      </c>
      <c r="H408" s="180" t="s">
        <v>2523</v>
      </c>
      <c r="I408" s="163">
        <f>IFERROR(__xludf.DUMMYFUNCTION("""COMPUTED_VALUE"""),8.0)</f>
        <v>8</v>
      </c>
      <c r="J408" s="177" t="s">
        <v>6705</v>
      </c>
      <c r="K408" s="177" t="s">
        <v>7037</v>
      </c>
      <c r="L408" s="164"/>
      <c r="M408" s="165"/>
      <c r="N408" s="21" t="s">
        <v>22</v>
      </c>
      <c r="O408" s="164"/>
      <c r="P408" s="164"/>
      <c r="Q408" s="177" t="s">
        <v>2524</v>
      </c>
      <c r="R408" s="164"/>
      <c r="S408" s="163"/>
      <c r="T408" s="164"/>
      <c r="U408" s="164"/>
      <c r="V408" s="164"/>
      <c r="W408" s="164"/>
      <c r="X408" s="164"/>
    </row>
    <row r="409">
      <c r="A409" s="175"/>
      <c r="B409" s="176"/>
      <c r="C409" s="177"/>
      <c r="D409" s="177"/>
      <c r="E409" s="177"/>
      <c r="F409" s="177"/>
      <c r="G409" s="179"/>
      <c r="H409" s="180"/>
      <c r="I409" s="163" t="str">
        <f>IFERROR(__xludf.DUMMYFUNCTION("""COMPUTED_VALUE"""),"")</f>
        <v/>
      </c>
      <c r="J409" s="177"/>
      <c r="K409" s="177"/>
      <c r="L409" s="164"/>
      <c r="M409" s="165"/>
      <c r="N409" s="21"/>
      <c r="O409" s="164"/>
      <c r="P409" s="164"/>
      <c r="Q409" s="164"/>
      <c r="R409" s="164"/>
      <c r="S409" s="163" t="str">
        <f>IFERROR(__xludf.DUMMYFUNCTION("""COMPUTED_VALUE"""),"")</f>
        <v/>
      </c>
      <c r="T409" s="164"/>
      <c r="U409" s="164"/>
      <c r="V409" s="164"/>
      <c r="W409" s="164"/>
      <c r="X409" s="164"/>
    </row>
    <row r="410">
      <c r="A410" s="175">
        <v>46005.0</v>
      </c>
      <c r="B410" s="176" t="s">
        <v>3382</v>
      </c>
      <c r="C410" s="177" t="s">
        <v>1049</v>
      </c>
      <c r="D410" s="177" t="s">
        <v>7025</v>
      </c>
      <c r="E410" s="177" t="s">
        <v>6962</v>
      </c>
      <c r="F410" s="177" t="s">
        <v>6713</v>
      </c>
      <c r="G410" s="179" t="s">
        <v>6707</v>
      </c>
      <c r="H410" s="180" t="s">
        <v>3382</v>
      </c>
      <c r="I410" s="163">
        <f>IFERROR(__xludf.DUMMYFUNCTION("""COMPUTED_VALUE"""),20.0)</f>
        <v>20</v>
      </c>
      <c r="J410" s="177" t="s">
        <v>6735</v>
      </c>
      <c r="K410" s="177" t="s">
        <v>7038</v>
      </c>
      <c r="L410" s="164"/>
      <c r="M410" s="165"/>
      <c r="N410" s="21" t="s">
        <v>22</v>
      </c>
      <c r="O410" s="164"/>
      <c r="P410" s="164"/>
      <c r="Q410" s="177" t="s">
        <v>3110</v>
      </c>
      <c r="R410" s="164"/>
      <c r="S410" s="163"/>
      <c r="T410" s="164"/>
      <c r="U410" s="164"/>
      <c r="V410" s="164"/>
      <c r="W410" s="164"/>
      <c r="X410" s="164"/>
    </row>
    <row r="411">
      <c r="A411" s="175">
        <v>46005.0</v>
      </c>
      <c r="B411" s="176" t="s">
        <v>2542</v>
      </c>
      <c r="C411" s="177" t="s">
        <v>1118</v>
      </c>
      <c r="D411" s="177" t="s">
        <v>7025</v>
      </c>
      <c r="E411" s="177"/>
      <c r="F411" s="177" t="s">
        <v>6889</v>
      </c>
      <c r="G411" s="179" t="s">
        <v>6707</v>
      </c>
      <c r="H411" s="180" t="s">
        <v>2542</v>
      </c>
      <c r="I411" s="163">
        <f>IFERROR(__xludf.DUMMYFUNCTION("""COMPUTED_VALUE"""),4.75)</f>
        <v>4.75</v>
      </c>
      <c r="J411" s="177" t="s">
        <v>6705</v>
      </c>
      <c r="K411" s="177" t="s">
        <v>7039</v>
      </c>
      <c r="L411" s="164"/>
      <c r="M411" s="165"/>
      <c r="N411" s="21" t="s">
        <v>22</v>
      </c>
      <c r="O411" s="164"/>
      <c r="P411" s="164"/>
      <c r="Q411" s="177" t="s">
        <v>1449</v>
      </c>
      <c r="R411" s="164"/>
      <c r="S411" s="163">
        <f>IFERROR(__xludf.DUMMYFUNCTION("""COMPUTED_VALUE"""),9.5)</f>
        <v>9.5</v>
      </c>
      <c r="T411" s="164"/>
      <c r="U411" s="164"/>
      <c r="V411" s="164"/>
      <c r="W411" s="164"/>
      <c r="X411" s="164"/>
    </row>
    <row r="412">
      <c r="A412" s="175">
        <v>46005.0</v>
      </c>
      <c r="B412" s="176" t="s">
        <v>2542</v>
      </c>
      <c r="C412" s="177" t="s">
        <v>6716</v>
      </c>
      <c r="D412" s="177" t="s">
        <v>7025</v>
      </c>
      <c r="E412" s="177"/>
      <c r="F412" s="177" t="s">
        <v>6889</v>
      </c>
      <c r="G412" s="179" t="s">
        <v>6720</v>
      </c>
      <c r="H412" s="180" t="s">
        <v>2538</v>
      </c>
      <c r="I412" s="163">
        <f>IFERROR(__xludf.DUMMYFUNCTION("""COMPUTED_VALUE"""),4.75)</f>
        <v>4.75</v>
      </c>
      <c r="J412" s="177" t="s">
        <v>6705</v>
      </c>
      <c r="K412" s="177" t="s">
        <v>4578</v>
      </c>
      <c r="L412" s="164"/>
      <c r="M412" s="165"/>
      <c r="N412" s="21" t="s">
        <v>22</v>
      </c>
      <c r="O412" s="164"/>
      <c r="P412" s="164"/>
      <c r="Q412" s="177" t="s">
        <v>1449</v>
      </c>
      <c r="R412" s="164"/>
      <c r="S412" s="163">
        <f>IFERROR(__xludf.DUMMYFUNCTION("""COMPUTED_VALUE"""),9.5)</f>
        <v>9.5</v>
      </c>
      <c r="T412" s="164"/>
      <c r="U412" s="164"/>
      <c r="V412" s="164"/>
      <c r="W412" s="164"/>
      <c r="X412" s="164"/>
    </row>
    <row r="413">
      <c r="A413" s="175">
        <v>46005.0</v>
      </c>
      <c r="B413" s="176" t="s">
        <v>2548</v>
      </c>
      <c r="C413" s="177" t="s">
        <v>1049</v>
      </c>
      <c r="D413" s="177" t="s">
        <v>7025</v>
      </c>
      <c r="E413" s="177" t="s">
        <v>38</v>
      </c>
      <c r="F413" s="177" t="s">
        <v>6987</v>
      </c>
      <c r="G413" s="179" t="s">
        <v>6707</v>
      </c>
      <c r="H413" s="180" t="s">
        <v>2548</v>
      </c>
      <c r="I413" s="163">
        <f>IFERROR(__xludf.DUMMYFUNCTION("""COMPUTED_VALUE"""),10.2)</f>
        <v>10.2</v>
      </c>
      <c r="J413" s="177" t="s">
        <v>6735</v>
      </c>
      <c r="K413" s="177" t="s">
        <v>7040</v>
      </c>
      <c r="L413" s="164"/>
      <c r="M413" s="165"/>
      <c r="N413" s="21" t="s">
        <v>22</v>
      </c>
      <c r="O413" s="164"/>
      <c r="P413" s="164"/>
      <c r="Q413" s="177" t="s">
        <v>1812</v>
      </c>
      <c r="R413" s="164"/>
      <c r="S413" s="163">
        <f>IFERROR(__xludf.DUMMYFUNCTION("""COMPUTED_VALUE"""),21.99)</f>
        <v>21.99</v>
      </c>
      <c r="T413" s="164"/>
      <c r="U413" s="164"/>
      <c r="V413" s="164"/>
      <c r="W413" s="164"/>
      <c r="X413" s="164"/>
    </row>
    <row r="414">
      <c r="A414" s="175">
        <v>46005.0</v>
      </c>
      <c r="B414" s="176" t="s">
        <v>2883</v>
      </c>
      <c r="C414" s="177" t="s">
        <v>1049</v>
      </c>
      <c r="D414" s="177" t="s">
        <v>7025</v>
      </c>
      <c r="E414" s="177" t="s">
        <v>6962</v>
      </c>
      <c r="F414" s="177" t="s">
        <v>6987</v>
      </c>
      <c r="G414" s="179" t="s">
        <v>6707</v>
      </c>
      <c r="H414" s="180" t="s">
        <v>2883</v>
      </c>
      <c r="I414" s="163">
        <f>IFERROR(__xludf.DUMMYFUNCTION("""COMPUTED_VALUE"""),22.0)</f>
        <v>22</v>
      </c>
      <c r="J414" s="177" t="s">
        <v>6735</v>
      </c>
      <c r="K414" s="177" t="s">
        <v>7041</v>
      </c>
      <c r="L414" s="164"/>
      <c r="M414" s="165"/>
      <c r="N414" s="21" t="s">
        <v>22</v>
      </c>
      <c r="O414" s="164"/>
      <c r="P414" s="164"/>
      <c r="Q414" s="177" t="s">
        <v>2884</v>
      </c>
      <c r="R414" s="164"/>
      <c r="S414" s="163"/>
      <c r="T414" s="164"/>
      <c r="U414" s="164"/>
      <c r="V414" s="164"/>
      <c r="W414" s="164"/>
      <c r="X414" s="164"/>
    </row>
    <row r="415">
      <c r="A415" s="175">
        <v>46005.0</v>
      </c>
      <c r="B415" s="176" t="s">
        <v>2536</v>
      </c>
      <c r="C415" s="177" t="s">
        <v>6992</v>
      </c>
      <c r="D415" s="177" t="s">
        <v>7025</v>
      </c>
      <c r="E415" s="177" t="s">
        <v>842</v>
      </c>
      <c r="F415" s="177" t="s">
        <v>842</v>
      </c>
      <c r="G415" s="179" t="s">
        <v>6707</v>
      </c>
      <c r="H415" s="180" t="s">
        <v>2536</v>
      </c>
      <c r="I415" s="163">
        <f>IFERROR(__xludf.DUMMYFUNCTION("""COMPUTED_VALUE"""),17.75)</f>
        <v>17.75</v>
      </c>
      <c r="J415" s="177" t="s">
        <v>6705</v>
      </c>
      <c r="K415" s="177" t="s">
        <v>7042</v>
      </c>
      <c r="L415" s="164"/>
      <c r="M415" s="165"/>
      <c r="N415" s="21" t="s">
        <v>22</v>
      </c>
      <c r="O415" s="164"/>
      <c r="P415" s="164"/>
      <c r="Q415" s="177" t="s">
        <v>1542</v>
      </c>
      <c r="R415" s="164"/>
      <c r="S415" s="163">
        <f>IFERROR(__xludf.DUMMYFUNCTION("""COMPUTED_VALUE"""),35.5)</f>
        <v>35.5</v>
      </c>
      <c r="T415" s="164"/>
      <c r="U415" s="164"/>
      <c r="V415" s="164"/>
      <c r="W415" s="164"/>
      <c r="X415" s="164"/>
    </row>
    <row r="416">
      <c r="A416" s="175">
        <v>46005.0</v>
      </c>
      <c r="B416" s="176" t="s">
        <v>1841</v>
      </c>
      <c r="C416" s="177" t="s">
        <v>6994</v>
      </c>
      <c r="D416" s="177" t="s">
        <v>7025</v>
      </c>
      <c r="E416" s="177" t="s">
        <v>6730</v>
      </c>
      <c r="F416" s="177"/>
      <c r="G416" s="186"/>
      <c r="H416" s="180"/>
      <c r="I416" s="163" t="str">
        <f>IFERROR(__xludf.DUMMYFUNCTION("""COMPUTED_VALUE"""),"")</f>
        <v/>
      </c>
      <c r="J416" s="177" t="s">
        <v>6705</v>
      </c>
      <c r="K416" s="177" t="s">
        <v>7043</v>
      </c>
      <c r="L416" s="164"/>
      <c r="M416" s="165"/>
      <c r="N416" s="21" t="s">
        <v>22</v>
      </c>
      <c r="O416" s="164"/>
      <c r="P416" s="164"/>
      <c r="Q416" s="177" t="s">
        <v>1542</v>
      </c>
      <c r="R416" s="164"/>
      <c r="S416" s="163" t="str">
        <f>IFERROR(__xludf.DUMMYFUNCTION("""COMPUTED_VALUE"""),"")</f>
        <v/>
      </c>
      <c r="T416" s="164"/>
      <c r="U416" s="164"/>
      <c r="V416" s="164"/>
      <c r="W416" s="164"/>
      <c r="X416" s="164"/>
    </row>
    <row r="417">
      <c r="A417" s="175">
        <v>46005.0</v>
      </c>
      <c r="B417" s="176" t="s">
        <v>1843</v>
      </c>
      <c r="C417" s="177" t="s">
        <v>6994</v>
      </c>
      <c r="D417" s="177" t="s">
        <v>7025</v>
      </c>
      <c r="E417" s="177" t="s">
        <v>6730</v>
      </c>
      <c r="F417" s="177"/>
      <c r="G417" s="186"/>
      <c r="H417" s="180"/>
      <c r="I417" s="163" t="str">
        <f>IFERROR(__xludf.DUMMYFUNCTION("""COMPUTED_VALUE"""),"")</f>
        <v/>
      </c>
      <c r="J417" s="177" t="s">
        <v>6705</v>
      </c>
      <c r="K417" s="177" t="s">
        <v>7044</v>
      </c>
      <c r="L417" s="164"/>
      <c r="M417" s="165"/>
      <c r="N417" s="21" t="s">
        <v>22</v>
      </c>
      <c r="O417" s="164"/>
      <c r="P417" s="164"/>
      <c r="Q417" s="177" t="s">
        <v>1542</v>
      </c>
      <c r="R417" s="164"/>
      <c r="S417" s="163" t="str">
        <f>IFERROR(__xludf.DUMMYFUNCTION("""COMPUTED_VALUE"""),"")</f>
        <v/>
      </c>
      <c r="T417" s="164"/>
      <c r="U417" s="164"/>
      <c r="V417" s="164"/>
      <c r="W417" s="164"/>
      <c r="X417" s="164"/>
    </row>
    <row r="418">
      <c r="A418" s="175">
        <v>46005.0</v>
      </c>
      <c r="B418" s="176" t="s">
        <v>2546</v>
      </c>
      <c r="C418" s="177" t="s">
        <v>1049</v>
      </c>
      <c r="D418" s="177" t="s">
        <v>7025</v>
      </c>
      <c r="E418" s="177" t="s">
        <v>38</v>
      </c>
      <c r="F418" s="177" t="s">
        <v>7000</v>
      </c>
      <c r="G418" s="179" t="s">
        <v>6707</v>
      </c>
      <c r="H418" s="180" t="s">
        <v>2546</v>
      </c>
      <c r="I418" s="163">
        <f>IFERROR(__xludf.DUMMYFUNCTION("""COMPUTED_VALUE"""),10.2)</f>
        <v>10.2</v>
      </c>
      <c r="J418" s="177" t="s">
        <v>6705</v>
      </c>
      <c r="K418" s="177" t="s">
        <v>7045</v>
      </c>
      <c r="L418" s="164"/>
      <c r="M418" s="187">
        <v>46005.67408564815</v>
      </c>
      <c r="N418" s="21" t="s">
        <v>22</v>
      </c>
      <c r="O418" s="164"/>
      <c r="P418" s="164"/>
      <c r="Q418" s="177" t="s">
        <v>1812</v>
      </c>
      <c r="R418" s="164"/>
      <c r="S418" s="163">
        <f>IFERROR(__xludf.DUMMYFUNCTION("""COMPUTED_VALUE"""),21.99)</f>
        <v>21.99</v>
      </c>
      <c r="T418" s="164"/>
      <c r="U418" s="164"/>
      <c r="V418" s="164"/>
      <c r="W418" s="164"/>
      <c r="X418" s="164"/>
    </row>
    <row r="419">
      <c r="A419" s="175">
        <v>46005.0</v>
      </c>
      <c r="B419" s="176" t="s">
        <v>2544</v>
      </c>
      <c r="C419" s="177" t="s">
        <v>1049</v>
      </c>
      <c r="D419" s="177" t="s">
        <v>7025</v>
      </c>
      <c r="E419" s="177" t="s">
        <v>38</v>
      </c>
      <c r="F419" s="177" t="s">
        <v>6714</v>
      </c>
      <c r="G419" s="179" t="s">
        <v>6707</v>
      </c>
      <c r="H419" s="180" t="s">
        <v>2544</v>
      </c>
      <c r="I419" s="163">
        <f>IFERROR(__xludf.DUMMYFUNCTION("""COMPUTED_VALUE"""),10.2)</f>
        <v>10.2</v>
      </c>
      <c r="J419" s="177" t="s">
        <v>6719</v>
      </c>
      <c r="K419" s="177" t="s">
        <v>7046</v>
      </c>
      <c r="L419" s="164"/>
      <c r="M419" s="187">
        <v>46005.674895833334</v>
      </c>
      <c r="N419" s="21" t="s">
        <v>22</v>
      </c>
      <c r="O419" s="164"/>
      <c r="P419" s="164"/>
      <c r="Q419" s="177" t="s">
        <v>1812</v>
      </c>
      <c r="R419" s="164"/>
      <c r="S419" s="163">
        <f>IFERROR(__xludf.DUMMYFUNCTION("""COMPUTED_VALUE"""),21.99)</f>
        <v>21.99</v>
      </c>
      <c r="T419" s="164"/>
      <c r="U419" s="164"/>
      <c r="V419" s="164"/>
      <c r="W419" s="164"/>
      <c r="X419" s="164"/>
    </row>
    <row r="420">
      <c r="A420" s="175">
        <v>46005.0</v>
      </c>
      <c r="B420" s="176" t="s">
        <v>2529</v>
      </c>
      <c r="C420" s="177" t="s">
        <v>1049</v>
      </c>
      <c r="D420" s="177" t="s">
        <v>7025</v>
      </c>
      <c r="E420" s="177" t="s">
        <v>48</v>
      </c>
      <c r="F420" s="177" t="s">
        <v>6987</v>
      </c>
      <c r="G420" s="179" t="s">
        <v>6707</v>
      </c>
      <c r="H420" s="180" t="s">
        <v>2529</v>
      </c>
      <c r="I420" s="163">
        <f>IFERROR(__xludf.DUMMYFUNCTION("""COMPUTED_VALUE"""),24.0)</f>
        <v>24</v>
      </c>
      <c r="J420" s="177" t="s">
        <v>6735</v>
      </c>
      <c r="K420" s="177" t="s">
        <v>7047</v>
      </c>
      <c r="L420" s="164" t="str">
        <v>#NAME?</v>
      </c>
      <c r="M420" s="187">
        <v>46005.68548611111</v>
      </c>
      <c r="N420" s="21" t="s">
        <v>22</v>
      </c>
      <c r="O420" s="164"/>
      <c r="P420" s="164"/>
      <c r="Q420" s="177" t="s">
        <v>2530</v>
      </c>
      <c r="R420" s="164"/>
      <c r="S420" s="163"/>
      <c r="T420" s="164"/>
      <c r="U420" s="164"/>
      <c r="V420" s="164"/>
      <c r="W420" s="164"/>
      <c r="X420" s="164"/>
    </row>
    <row r="421">
      <c r="A421" s="175">
        <v>46005.0</v>
      </c>
      <c r="B421" s="176" t="s">
        <v>2532</v>
      </c>
      <c r="C421" s="177" t="s">
        <v>1049</v>
      </c>
      <c r="D421" s="177" t="s">
        <v>7014</v>
      </c>
      <c r="E421" s="177" t="s">
        <v>6749</v>
      </c>
      <c r="F421" s="177" t="s">
        <v>6776</v>
      </c>
      <c r="G421" s="179" t="s">
        <v>6707</v>
      </c>
      <c r="H421" s="180" t="s">
        <v>2532</v>
      </c>
      <c r="I421" s="163">
        <f>IFERROR(__xludf.DUMMYFUNCTION("""COMPUTED_VALUE"""),4.9925)</f>
        <v>4.9925</v>
      </c>
      <c r="J421" s="177" t="s">
        <v>6705</v>
      </c>
      <c r="K421" s="177" t="s">
        <v>7048</v>
      </c>
      <c r="L421" s="164"/>
      <c r="M421" s="187">
        <v>46005.6896412037</v>
      </c>
      <c r="N421" s="21" t="s">
        <v>22</v>
      </c>
      <c r="O421" s="164"/>
      <c r="P421" s="164"/>
      <c r="Q421" s="177" t="s">
        <v>1936</v>
      </c>
      <c r="R421" s="164"/>
      <c r="S421" s="163">
        <f>IFERROR(__xludf.DUMMYFUNCTION("""COMPUTED_VALUE"""),0.0)</f>
        <v>0</v>
      </c>
      <c r="T421" s="164"/>
      <c r="U421" s="164"/>
      <c r="V421" s="164"/>
      <c r="W421" s="164"/>
      <c r="X421" s="164"/>
    </row>
    <row r="422">
      <c r="A422" s="175"/>
      <c r="B422" s="176"/>
      <c r="C422" s="177"/>
      <c r="D422" s="177"/>
      <c r="E422" s="177"/>
      <c r="F422" s="177"/>
      <c r="G422" s="179"/>
      <c r="H422" s="180"/>
      <c r="I422" s="163" t="str">
        <f>IFERROR(__xludf.DUMMYFUNCTION("""COMPUTED_VALUE"""),"")</f>
        <v/>
      </c>
      <c r="J422" s="177"/>
      <c r="K422" s="177"/>
      <c r="L422" s="177"/>
      <c r="M422" s="187"/>
      <c r="N422" s="21" t="s">
        <v>22</v>
      </c>
      <c r="O422" s="164"/>
      <c r="P422" s="164"/>
      <c r="Q422" s="164"/>
      <c r="R422" s="164"/>
      <c r="S422" s="163" t="str">
        <f>IFERROR(__xludf.DUMMYFUNCTION("""COMPUTED_VALUE"""),"")</f>
        <v/>
      </c>
      <c r="T422" s="164"/>
      <c r="U422" s="164"/>
      <c r="V422" s="164"/>
      <c r="W422" s="164"/>
      <c r="X422" s="164"/>
    </row>
    <row r="423">
      <c r="A423" s="175"/>
      <c r="B423" s="176"/>
      <c r="C423" s="177"/>
      <c r="D423" s="177"/>
      <c r="E423" s="177"/>
      <c r="F423" s="177"/>
      <c r="G423" s="179"/>
      <c r="H423" s="180"/>
      <c r="I423" s="163" t="str">
        <f>IFERROR(__xludf.DUMMYFUNCTION("""COMPUTED_VALUE"""),"")</f>
        <v/>
      </c>
      <c r="J423" s="177"/>
      <c r="K423" s="177"/>
      <c r="L423" s="177"/>
      <c r="M423" s="187"/>
      <c r="N423" s="21" t="s">
        <v>22</v>
      </c>
      <c r="O423" s="164"/>
      <c r="P423" s="164"/>
      <c r="Q423" s="164"/>
      <c r="R423" s="164"/>
      <c r="S423" s="163" t="str">
        <f>IFERROR(__xludf.DUMMYFUNCTION("""COMPUTED_VALUE"""),"")</f>
        <v/>
      </c>
      <c r="T423" s="164"/>
      <c r="U423" s="164"/>
      <c r="V423" s="164"/>
      <c r="W423" s="164"/>
      <c r="X423" s="164"/>
    </row>
    <row r="424">
      <c r="A424" s="175">
        <v>46005.0</v>
      </c>
      <c r="B424" s="176" t="s">
        <v>2526</v>
      </c>
      <c r="C424" s="177" t="s">
        <v>1049</v>
      </c>
      <c r="D424" s="177" t="s">
        <v>7049</v>
      </c>
      <c r="E424" s="177" t="s">
        <v>38</v>
      </c>
      <c r="F424" s="177" t="s">
        <v>6940</v>
      </c>
      <c r="G424" s="179" t="s">
        <v>6707</v>
      </c>
      <c r="H424" s="180" t="s">
        <v>2526</v>
      </c>
      <c r="I424" s="163">
        <f>IFERROR(__xludf.DUMMYFUNCTION("""COMPUTED_VALUE"""),36.0)</f>
        <v>36</v>
      </c>
      <c r="J424" s="177" t="s">
        <v>6750</v>
      </c>
      <c r="K424" s="177" t="s">
        <v>7050</v>
      </c>
      <c r="L424" s="177" t="s">
        <v>7051</v>
      </c>
      <c r="M424" s="187">
        <v>46005.77159722222</v>
      </c>
      <c r="N424" s="21" t="s">
        <v>22</v>
      </c>
      <c r="O424" s="164"/>
      <c r="P424" s="164"/>
      <c r="Q424" s="177" t="s">
        <v>2527</v>
      </c>
      <c r="R424" s="164"/>
      <c r="S424" s="163">
        <f>IFERROR(__xludf.DUMMYFUNCTION("""COMPUTED_VALUE"""),72.0)</f>
        <v>72</v>
      </c>
      <c r="T424" s="164"/>
      <c r="U424" s="164"/>
      <c r="V424" s="164"/>
      <c r="W424" s="164"/>
      <c r="X424" s="164"/>
    </row>
    <row r="425">
      <c r="A425" s="175">
        <v>46007.0</v>
      </c>
      <c r="B425" s="176" t="s">
        <v>2583</v>
      </c>
      <c r="C425" s="177" t="s">
        <v>1049</v>
      </c>
      <c r="D425" s="177" t="s">
        <v>7014</v>
      </c>
      <c r="E425" s="177" t="s">
        <v>38</v>
      </c>
      <c r="F425" s="177" t="s">
        <v>6832</v>
      </c>
      <c r="G425" s="179" t="s">
        <v>6707</v>
      </c>
      <c r="H425" s="180" t="s">
        <v>2583</v>
      </c>
      <c r="I425" s="163">
        <f>IFERROR(__xludf.DUMMYFUNCTION("""COMPUTED_VALUE"""),24.0)</f>
        <v>24</v>
      </c>
      <c r="J425" s="177" t="s">
        <v>6750</v>
      </c>
      <c r="K425" s="177" t="s">
        <v>7052</v>
      </c>
      <c r="L425" s="177" t="s">
        <v>7053</v>
      </c>
      <c r="M425" s="187">
        <v>46007.50712962963</v>
      </c>
      <c r="N425" s="21" t="s">
        <v>22</v>
      </c>
      <c r="O425" s="164"/>
      <c r="P425" s="164"/>
      <c r="Q425" s="177" t="s">
        <v>2584</v>
      </c>
      <c r="R425" s="164"/>
      <c r="S425" s="163">
        <f>IFERROR(__xludf.DUMMYFUNCTION("""COMPUTED_VALUE"""),59.99)</f>
        <v>59.99</v>
      </c>
      <c r="T425" s="164"/>
      <c r="U425" s="164"/>
      <c r="V425" s="164"/>
      <c r="W425" s="164"/>
      <c r="X425" s="164"/>
    </row>
    <row r="426">
      <c r="A426" s="175">
        <v>46007.0</v>
      </c>
      <c r="B426" s="176" t="s">
        <v>2930</v>
      </c>
      <c r="C426" s="177" t="s">
        <v>1118</v>
      </c>
      <c r="D426" s="177" t="s">
        <v>7049</v>
      </c>
      <c r="E426" s="177" t="s">
        <v>38</v>
      </c>
      <c r="F426" s="177" t="s">
        <v>6940</v>
      </c>
      <c r="G426" s="179" t="s">
        <v>6707</v>
      </c>
      <c r="H426" s="180" t="s">
        <v>2930</v>
      </c>
      <c r="I426" s="163">
        <f>IFERROR(__xludf.DUMMYFUNCTION("""COMPUTED_VALUE"""),1.0999999999999999)</f>
        <v>1.1</v>
      </c>
      <c r="J426" s="177" t="s">
        <v>6750</v>
      </c>
      <c r="K426" s="177" t="s">
        <v>7054</v>
      </c>
      <c r="L426" s="177" t="s">
        <v>7053</v>
      </c>
      <c r="M426" s="187">
        <v>46007.53973379629</v>
      </c>
      <c r="N426" s="21" t="s">
        <v>22</v>
      </c>
      <c r="O426" s="164"/>
      <c r="P426" s="164"/>
      <c r="Q426" s="177" t="s">
        <v>2581</v>
      </c>
      <c r="R426" s="164"/>
      <c r="S426" s="163">
        <f>IFERROR(__xludf.DUMMYFUNCTION("""COMPUTED_VALUE"""),2.4983333333333335)</f>
        <v>2.498333333</v>
      </c>
      <c r="T426" s="164"/>
      <c r="U426" s="164"/>
      <c r="V426" s="164"/>
      <c r="W426" s="164"/>
      <c r="X426" s="164"/>
    </row>
    <row r="427">
      <c r="A427" s="175">
        <v>46007.0</v>
      </c>
      <c r="B427" s="176" t="s">
        <v>2580</v>
      </c>
      <c r="C427" s="177" t="s">
        <v>1049</v>
      </c>
      <c r="D427" s="177" t="s">
        <v>7049</v>
      </c>
      <c r="E427" s="177" t="s">
        <v>38</v>
      </c>
      <c r="F427" s="177" t="s">
        <v>850</v>
      </c>
      <c r="G427" s="179" t="s">
        <v>6707</v>
      </c>
      <c r="H427" s="180" t="s">
        <v>2580</v>
      </c>
      <c r="I427" s="163">
        <f>IFERROR(__xludf.DUMMYFUNCTION("""COMPUTED_VALUE"""),6.6)</f>
        <v>6.6</v>
      </c>
      <c r="J427" s="177" t="s">
        <v>6750</v>
      </c>
      <c r="K427" s="177" t="s">
        <v>7055</v>
      </c>
      <c r="L427" s="177" t="s">
        <v>7053</v>
      </c>
      <c r="M427" s="187">
        <v>46007.54050925926</v>
      </c>
      <c r="N427" s="21" t="s">
        <v>22</v>
      </c>
      <c r="O427" s="164"/>
      <c r="P427" s="164"/>
      <c r="Q427" s="177" t="s">
        <v>2581</v>
      </c>
      <c r="R427" s="164"/>
      <c r="S427" s="163">
        <f>IFERROR(__xludf.DUMMYFUNCTION("""COMPUTED_VALUE"""),14.99)</f>
        <v>14.99</v>
      </c>
      <c r="T427" s="164"/>
      <c r="U427" s="164"/>
      <c r="V427" s="164"/>
      <c r="W427" s="164"/>
      <c r="X427" s="164"/>
    </row>
    <row r="428">
      <c r="A428" s="175"/>
      <c r="B428" s="176"/>
      <c r="C428" s="177"/>
      <c r="D428" s="177"/>
      <c r="E428" s="177"/>
      <c r="F428" s="177"/>
      <c r="G428" s="179"/>
      <c r="H428" s="180"/>
      <c r="I428" s="163" t="str">
        <f>IFERROR(__xludf.DUMMYFUNCTION("""COMPUTED_VALUE"""),"")</f>
        <v/>
      </c>
      <c r="J428" s="177"/>
      <c r="K428" s="177"/>
      <c r="L428" s="177"/>
      <c r="M428" s="187"/>
      <c r="N428" s="21" t="s">
        <v>22</v>
      </c>
      <c r="O428" s="164"/>
      <c r="P428" s="164"/>
      <c r="Q428" s="164"/>
      <c r="R428" s="164"/>
      <c r="S428" s="163" t="str">
        <f>IFERROR(__xludf.DUMMYFUNCTION("""COMPUTED_VALUE"""),"")</f>
        <v/>
      </c>
      <c r="T428" s="164"/>
      <c r="U428" s="164"/>
      <c r="V428" s="164"/>
      <c r="W428" s="164"/>
      <c r="X428" s="164"/>
    </row>
    <row r="429">
      <c r="A429" s="175">
        <v>46007.0</v>
      </c>
      <c r="B429" s="176" t="s">
        <v>2558</v>
      </c>
      <c r="C429" s="177" t="s">
        <v>1049</v>
      </c>
      <c r="D429" s="177" t="s">
        <v>7049</v>
      </c>
      <c r="E429" s="177" t="s">
        <v>38</v>
      </c>
      <c r="F429" s="177" t="s">
        <v>850</v>
      </c>
      <c r="G429" s="179" t="s">
        <v>6707</v>
      </c>
      <c r="H429" s="180" t="s">
        <v>2558</v>
      </c>
      <c r="I429" s="163">
        <f>IFERROR(__xludf.DUMMYFUNCTION("""COMPUTED_VALUE"""),36.0)</f>
        <v>36</v>
      </c>
      <c r="J429" s="177" t="s">
        <v>6750</v>
      </c>
      <c r="K429" s="177" t="s">
        <v>7056</v>
      </c>
      <c r="L429" s="177" t="s">
        <v>7053</v>
      </c>
      <c r="M429" s="187">
        <v>46007.569016203706</v>
      </c>
      <c r="N429" s="21" t="s">
        <v>22</v>
      </c>
      <c r="O429" s="164"/>
      <c r="P429" s="164"/>
      <c r="Q429" s="177" t="s">
        <v>2527</v>
      </c>
      <c r="R429" s="164"/>
      <c r="S429" s="163">
        <f>IFERROR(__xludf.DUMMYFUNCTION("""COMPUTED_VALUE"""),72.0)</f>
        <v>72</v>
      </c>
      <c r="T429" s="164"/>
      <c r="U429" s="164"/>
      <c r="V429" s="164"/>
      <c r="W429" s="164"/>
      <c r="X429" s="164"/>
    </row>
    <row r="430">
      <c r="A430" s="175">
        <v>45914.0</v>
      </c>
      <c r="B430" s="176" t="s">
        <v>1952</v>
      </c>
      <c r="C430" s="177" t="s">
        <v>1118</v>
      </c>
      <c r="D430" s="177" t="s">
        <v>6811</v>
      </c>
      <c r="E430" s="177"/>
      <c r="F430" s="177" t="s">
        <v>6731</v>
      </c>
      <c r="G430" s="179" t="s">
        <v>6707</v>
      </c>
      <c r="H430" s="180" t="s">
        <v>1952</v>
      </c>
      <c r="I430" s="163">
        <f>IFERROR(__xludf.DUMMYFUNCTION("""COMPUTED_VALUE"""),2.6666666666666665)</f>
        <v>2.666666667</v>
      </c>
      <c r="J430" s="177" t="s">
        <v>6735</v>
      </c>
      <c r="K430" s="177" t="s">
        <v>7057</v>
      </c>
      <c r="L430" s="177"/>
      <c r="M430" s="187">
        <v>46007.60061342592</v>
      </c>
      <c r="N430" s="21" t="s">
        <v>22</v>
      </c>
      <c r="O430" s="164"/>
      <c r="P430" s="164"/>
      <c r="Q430" s="177" t="s">
        <v>1752</v>
      </c>
      <c r="R430" s="164"/>
      <c r="S430" s="163">
        <f>IFERROR(__xludf.DUMMYFUNCTION("""COMPUTED_VALUE"""),5.0)</f>
        <v>5</v>
      </c>
      <c r="T430" s="164"/>
      <c r="U430" s="164"/>
      <c r="V430" s="164"/>
      <c r="W430" s="164"/>
      <c r="X430" s="164"/>
    </row>
    <row r="431">
      <c r="A431" s="175">
        <v>45914.0</v>
      </c>
      <c r="B431" s="176" t="s">
        <v>1952</v>
      </c>
      <c r="C431" s="177" t="s">
        <v>6716</v>
      </c>
      <c r="D431" s="177" t="s">
        <v>6811</v>
      </c>
      <c r="E431" s="177"/>
      <c r="F431" s="177" t="s">
        <v>6749</v>
      </c>
      <c r="G431" s="179" t="s">
        <v>6720</v>
      </c>
      <c r="H431" s="180" t="s">
        <v>2560</v>
      </c>
      <c r="I431" s="163">
        <f>IFERROR(__xludf.DUMMYFUNCTION("""COMPUTED_VALUE"""),2.6666666666666665)</f>
        <v>2.666666667</v>
      </c>
      <c r="J431" s="177" t="s">
        <v>6750</v>
      </c>
      <c r="K431" s="177" t="s">
        <v>4580</v>
      </c>
      <c r="L431" s="164"/>
      <c r="M431" s="187">
        <v>46007.601689814815</v>
      </c>
      <c r="N431" s="21" t="s">
        <v>22</v>
      </c>
      <c r="O431" s="164"/>
      <c r="P431" s="164"/>
      <c r="Q431" s="177" t="s">
        <v>1752</v>
      </c>
      <c r="R431" s="164"/>
      <c r="S431" s="163">
        <f>IFERROR(__xludf.DUMMYFUNCTION("""COMPUTED_VALUE"""),5.0)</f>
        <v>5</v>
      </c>
      <c r="T431" s="164"/>
      <c r="U431" s="164"/>
      <c r="V431" s="164"/>
      <c r="W431" s="164"/>
      <c r="X431" s="164"/>
    </row>
    <row r="432">
      <c r="A432" s="175">
        <v>45914.0</v>
      </c>
      <c r="B432" s="176" t="s">
        <v>1952</v>
      </c>
      <c r="C432" s="177" t="s">
        <v>6716</v>
      </c>
      <c r="D432" s="177" t="s">
        <v>6811</v>
      </c>
      <c r="E432" s="177"/>
      <c r="F432" s="177" t="s">
        <v>6749</v>
      </c>
      <c r="G432" s="179" t="s">
        <v>6721</v>
      </c>
      <c r="H432" s="180" t="s">
        <v>2493</v>
      </c>
      <c r="I432" s="163">
        <f>IFERROR(__xludf.DUMMYFUNCTION("""COMPUTED_VALUE"""),2.6666666666666665)</f>
        <v>2.666666667</v>
      </c>
      <c r="J432" s="177" t="s">
        <v>6750</v>
      </c>
      <c r="K432" s="177" t="s">
        <v>4582</v>
      </c>
      <c r="L432" s="164"/>
      <c r="M432" s="187">
        <v>46007.6024537037</v>
      </c>
      <c r="N432" s="21" t="s">
        <v>22</v>
      </c>
      <c r="O432" s="164"/>
      <c r="P432" s="164"/>
      <c r="Q432" s="177" t="s">
        <v>1752</v>
      </c>
      <c r="R432" s="164"/>
      <c r="S432" s="163">
        <f>IFERROR(__xludf.DUMMYFUNCTION("""COMPUTED_VALUE"""),5.0)</f>
        <v>5</v>
      </c>
      <c r="T432" s="164"/>
      <c r="U432" s="164"/>
      <c r="V432" s="164"/>
      <c r="W432" s="164"/>
      <c r="X432" s="164"/>
    </row>
    <row r="433">
      <c r="A433" s="175">
        <v>46000.0</v>
      </c>
      <c r="B433" s="176" t="s">
        <v>2493</v>
      </c>
      <c r="C433" s="177" t="s">
        <v>1049</v>
      </c>
      <c r="D433" s="177" t="s">
        <v>6941</v>
      </c>
      <c r="E433" s="177" t="s">
        <v>6749</v>
      </c>
      <c r="F433" s="177" t="s">
        <v>6713</v>
      </c>
      <c r="G433" s="179" t="s">
        <v>6707</v>
      </c>
      <c r="H433" s="180" t="s">
        <v>2493</v>
      </c>
      <c r="I433" s="163">
        <f>IFERROR(__xludf.DUMMYFUNCTION("""COMPUTED_VALUE"""),2.6666666666666665)</f>
        <v>2.666666667</v>
      </c>
      <c r="J433" s="177" t="s">
        <v>6735</v>
      </c>
      <c r="K433" s="177" t="s">
        <v>7058</v>
      </c>
      <c r="L433" s="164"/>
      <c r="M433" s="187">
        <v>46007.62634259259</v>
      </c>
      <c r="N433" s="21" t="s">
        <v>22</v>
      </c>
      <c r="O433" s="164"/>
      <c r="P433" s="164"/>
      <c r="Q433" s="177" t="s">
        <v>1752</v>
      </c>
      <c r="R433" s="164"/>
      <c r="S433" s="163">
        <f>IFERROR(__xludf.DUMMYFUNCTION("""COMPUTED_VALUE"""),5.0)</f>
        <v>5</v>
      </c>
      <c r="T433" s="164"/>
      <c r="U433" s="164"/>
      <c r="V433" s="164"/>
      <c r="W433" s="164"/>
      <c r="X433" s="164"/>
    </row>
    <row r="434">
      <c r="A434" s="175">
        <v>46007.0</v>
      </c>
      <c r="B434" s="176" t="s">
        <v>2560</v>
      </c>
      <c r="C434" s="177" t="s">
        <v>1049</v>
      </c>
      <c r="D434" s="177" t="s">
        <v>7049</v>
      </c>
      <c r="E434" s="177" t="s">
        <v>6749</v>
      </c>
      <c r="F434" s="177" t="s">
        <v>850</v>
      </c>
      <c r="G434" s="179" t="s">
        <v>6707</v>
      </c>
      <c r="H434" s="180" t="s">
        <v>2560</v>
      </c>
      <c r="I434" s="163">
        <f>IFERROR(__xludf.DUMMYFUNCTION("""COMPUTED_VALUE"""),2.6666666666666665)</f>
        <v>2.666666667</v>
      </c>
      <c r="J434" s="177" t="s">
        <v>6750</v>
      </c>
      <c r="K434" s="177" t="s">
        <v>7059</v>
      </c>
      <c r="L434" s="177" t="s">
        <v>7053</v>
      </c>
      <c r="M434" s="187">
        <v>46007.63884259259</v>
      </c>
      <c r="N434" s="21" t="s">
        <v>22</v>
      </c>
      <c r="O434" s="164"/>
      <c r="P434" s="164"/>
      <c r="Q434" s="177" t="s">
        <v>1752</v>
      </c>
      <c r="R434" s="164"/>
      <c r="S434" s="163">
        <f>IFERROR(__xludf.DUMMYFUNCTION("""COMPUTED_VALUE"""),5.0)</f>
        <v>5</v>
      </c>
      <c r="T434" s="164"/>
      <c r="U434" s="164"/>
      <c r="V434" s="164"/>
      <c r="W434" s="164"/>
      <c r="X434" s="164"/>
    </row>
    <row r="435">
      <c r="A435" s="175">
        <v>46002.0</v>
      </c>
      <c r="B435" s="176" t="s">
        <v>2503</v>
      </c>
      <c r="C435" s="177" t="s">
        <v>1049</v>
      </c>
      <c r="D435" s="177" t="s">
        <v>7014</v>
      </c>
      <c r="E435" s="177" t="s">
        <v>6714</v>
      </c>
      <c r="F435" s="177" t="s">
        <v>6713</v>
      </c>
      <c r="G435" s="179" t="s">
        <v>6707</v>
      </c>
      <c r="H435" s="180" t="s">
        <v>2503</v>
      </c>
      <c r="I435" s="163">
        <f>IFERROR(__xludf.DUMMYFUNCTION("""COMPUTED_VALUE"""),1.57)</f>
        <v>1.57</v>
      </c>
      <c r="J435" s="177" t="s">
        <v>6735</v>
      </c>
      <c r="K435" s="177" t="s">
        <v>7060</v>
      </c>
      <c r="L435" s="164"/>
      <c r="M435" s="187">
        <v>46007.642175925925</v>
      </c>
      <c r="N435" s="21" t="s">
        <v>22</v>
      </c>
      <c r="O435" s="164"/>
      <c r="P435" s="164"/>
      <c r="Q435" s="177" t="s">
        <v>1474</v>
      </c>
      <c r="R435" s="164"/>
      <c r="S435" s="163">
        <f>IFERROR(__xludf.DUMMYFUNCTION("""COMPUTED_VALUE"""),0.0)</f>
        <v>0</v>
      </c>
      <c r="T435" s="164"/>
      <c r="U435" s="164"/>
      <c r="V435" s="164"/>
      <c r="W435" s="164"/>
      <c r="X435" s="164"/>
    </row>
    <row r="436">
      <c r="A436" s="175">
        <v>46005.0</v>
      </c>
      <c r="B436" s="176" t="s">
        <v>2589</v>
      </c>
      <c r="C436" s="177" t="s">
        <v>1049</v>
      </c>
      <c r="D436" s="177" t="s">
        <v>7014</v>
      </c>
      <c r="E436" s="177" t="s">
        <v>842</v>
      </c>
      <c r="F436" s="177" t="s">
        <v>842</v>
      </c>
      <c r="G436" s="179" t="s">
        <v>6707</v>
      </c>
      <c r="H436" s="180" t="s">
        <v>2589</v>
      </c>
      <c r="I436" s="163">
        <f>IFERROR(__xludf.DUMMYFUNCTION("""COMPUTED_VALUE"""),4.333333333333333)</f>
        <v>4.333333333</v>
      </c>
      <c r="J436" s="177" t="s">
        <v>6705</v>
      </c>
      <c r="K436" s="177" t="s">
        <v>7061</v>
      </c>
      <c r="L436" s="177" t="s">
        <v>7062</v>
      </c>
      <c r="M436" s="187">
        <v>46007.64892361111</v>
      </c>
      <c r="N436" s="21" t="s">
        <v>22</v>
      </c>
      <c r="O436" s="164"/>
      <c r="P436" s="164"/>
      <c r="Q436" s="177" t="s">
        <v>1757</v>
      </c>
      <c r="R436" s="164"/>
      <c r="S436" s="163">
        <f>IFERROR(__xludf.DUMMYFUNCTION("""COMPUTED_VALUE"""),6.666666666666667)</f>
        <v>6.666666667</v>
      </c>
      <c r="T436" s="164"/>
      <c r="U436" s="164"/>
      <c r="V436" s="164"/>
      <c r="W436" s="164"/>
      <c r="X436" s="164"/>
    </row>
    <row r="437">
      <c r="A437" s="175">
        <v>46005.0</v>
      </c>
      <c r="B437" s="176" t="s">
        <v>2534</v>
      </c>
      <c r="C437" s="177" t="s">
        <v>1049</v>
      </c>
      <c r="D437" s="177" t="s">
        <v>7014</v>
      </c>
      <c r="E437" s="177" t="s">
        <v>842</v>
      </c>
      <c r="F437" s="177" t="s">
        <v>842</v>
      </c>
      <c r="G437" s="179" t="s">
        <v>6707</v>
      </c>
      <c r="H437" s="180" t="s">
        <v>2534</v>
      </c>
      <c r="I437" s="163">
        <f>IFERROR(__xludf.DUMMYFUNCTION("""COMPUTED_VALUE"""),4.333333333333333)</f>
        <v>4.333333333</v>
      </c>
      <c r="J437" s="177" t="s">
        <v>6705</v>
      </c>
      <c r="K437" s="177" t="s">
        <v>7063</v>
      </c>
      <c r="L437" s="177" t="s">
        <v>7062</v>
      </c>
      <c r="M437" s="187">
        <v>46007.64975694445</v>
      </c>
      <c r="N437" s="21" t="s">
        <v>22</v>
      </c>
      <c r="O437" s="164"/>
      <c r="P437" s="164"/>
      <c r="Q437" s="177" t="s">
        <v>1757</v>
      </c>
      <c r="R437" s="164"/>
      <c r="S437" s="163">
        <f>IFERROR(__xludf.DUMMYFUNCTION("""COMPUTED_VALUE"""),6.666666666666667)</f>
        <v>6.666666667</v>
      </c>
      <c r="T437" s="164"/>
      <c r="U437" s="164"/>
      <c r="V437" s="164"/>
      <c r="W437" s="164"/>
      <c r="X437" s="164"/>
    </row>
    <row r="438">
      <c r="A438" s="175">
        <v>46007.0</v>
      </c>
      <c r="B438" s="176" t="s">
        <v>2556</v>
      </c>
      <c r="C438" s="177" t="s">
        <v>1049</v>
      </c>
      <c r="D438" s="177" t="s">
        <v>7006</v>
      </c>
      <c r="E438" s="177" t="s">
        <v>38</v>
      </c>
      <c r="F438" s="177" t="s">
        <v>38</v>
      </c>
      <c r="G438" s="179" t="s">
        <v>6707</v>
      </c>
      <c r="H438" s="180" t="s">
        <v>2556</v>
      </c>
      <c r="I438" s="163">
        <f>IFERROR(__xludf.DUMMYFUNCTION("""COMPUTED_VALUE"""),36.0)</f>
        <v>36</v>
      </c>
      <c r="J438" s="177" t="s">
        <v>6735</v>
      </c>
      <c r="K438" s="177" t="s">
        <v>7064</v>
      </c>
      <c r="L438" s="177" t="s">
        <v>7062</v>
      </c>
      <c r="M438" s="187">
        <v>46007.71167824074</v>
      </c>
      <c r="N438" s="21" t="s">
        <v>22</v>
      </c>
      <c r="O438" s="164"/>
      <c r="P438" s="164"/>
      <c r="Q438" s="177" t="s">
        <v>2527</v>
      </c>
      <c r="R438" s="164"/>
      <c r="S438" s="163">
        <f>IFERROR(__xludf.DUMMYFUNCTION("""COMPUTED_VALUE"""),72.0)</f>
        <v>72</v>
      </c>
      <c r="T438" s="164"/>
      <c r="U438" s="164"/>
      <c r="V438" s="164"/>
      <c r="W438" s="164"/>
      <c r="X438" s="164"/>
    </row>
    <row r="439">
      <c r="A439" s="175">
        <v>46007.0</v>
      </c>
      <c r="B439" s="176" t="s">
        <v>2789</v>
      </c>
      <c r="C439" s="177" t="s">
        <v>1118</v>
      </c>
      <c r="D439" s="177" t="s">
        <v>7014</v>
      </c>
      <c r="E439" s="177" t="s">
        <v>38</v>
      </c>
      <c r="F439" s="177" t="s">
        <v>6713</v>
      </c>
      <c r="G439" s="179" t="s">
        <v>6707</v>
      </c>
      <c r="H439" s="180" t="s">
        <v>2789</v>
      </c>
      <c r="I439" s="163">
        <f>IFERROR(__xludf.DUMMYFUNCTION("""COMPUTED_VALUE"""),8.0)</f>
        <v>8</v>
      </c>
      <c r="J439" s="177" t="s">
        <v>6735</v>
      </c>
      <c r="K439" s="177" t="s">
        <v>7065</v>
      </c>
      <c r="L439" s="164"/>
      <c r="M439" s="187">
        <v>46007.7358912037</v>
      </c>
      <c r="N439" s="21" t="s">
        <v>22</v>
      </c>
      <c r="O439" s="164"/>
      <c r="P439" s="164"/>
      <c r="Q439" s="177" t="s">
        <v>1698</v>
      </c>
      <c r="R439" s="164"/>
      <c r="S439" s="163">
        <f>IFERROR(__xludf.DUMMYFUNCTION("""COMPUTED_VALUE"""),0.0)</f>
        <v>0</v>
      </c>
      <c r="T439" s="164"/>
      <c r="U439" s="164"/>
      <c r="V439" s="164"/>
      <c r="W439" s="164"/>
      <c r="X439" s="164"/>
    </row>
    <row r="440">
      <c r="A440" s="175">
        <v>46007.0</v>
      </c>
      <c r="B440" s="176" t="s">
        <v>2789</v>
      </c>
      <c r="C440" s="177" t="s">
        <v>6716</v>
      </c>
      <c r="D440" s="177" t="s">
        <v>7014</v>
      </c>
      <c r="E440" s="177"/>
      <c r="F440" s="177" t="s">
        <v>842</v>
      </c>
      <c r="G440" s="179" t="s">
        <v>6720</v>
      </c>
      <c r="H440" s="180" t="s">
        <v>2562</v>
      </c>
      <c r="I440" s="163">
        <f>IFERROR(__xludf.DUMMYFUNCTION("""COMPUTED_VALUE"""),8.0)</f>
        <v>8</v>
      </c>
      <c r="J440" s="177" t="s">
        <v>6705</v>
      </c>
      <c r="K440" s="177" t="s">
        <v>4584</v>
      </c>
      <c r="L440" s="164"/>
      <c r="M440" s="187">
        <v>46007.73648148148</v>
      </c>
      <c r="N440" s="21" t="s">
        <v>22</v>
      </c>
      <c r="O440" s="164"/>
      <c r="P440" s="164"/>
      <c r="Q440" s="177" t="s">
        <v>1698</v>
      </c>
      <c r="R440" s="164"/>
      <c r="S440" s="163">
        <f>IFERROR(__xludf.DUMMYFUNCTION("""COMPUTED_VALUE"""),0.0)</f>
        <v>0</v>
      </c>
      <c r="T440" s="164"/>
      <c r="U440" s="164"/>
      <c r="V440" s="164"/>
      <c r="W440" s="164"/>
      <c r="X440" s="164"/>
    </row>
    <row r="441">
      <c r="A441" s="175">
        <v>46007.0</v>
      </c>
      <c r="B441" s="176" t="s">
        <v>2789</v>
      </c>
      <c r="C441" s="177" t="s">
        <v>6716</v>
      </c>
      <c r="D441" s="177" t="s">
        <v>7014</v>
      </c>
      <c r="E441" s="177"/>
      <c r="F441" s="177" t="s">
        <v>850</v>
      </c>
      <c r="G441" s="179" t="s">
        <v>6721</v>
      </c>
      <c r="H441" s="180" t="s">
        <v>2564</v>
      </c>
      <c r="I441" s="163">
        <f>IFERROR(__xludf.DUMMYFUNCTION("""COMPUTED_VALUE"""),8.0)</f>
        <v>8</v>
      </c>
      <c r="J441" s="177" t="s">
        <v>6750</v>
      </c>
      <c r="K441" s="177" t="s">
        <v>4586</v>
      </c>
      <c r="L441" s="164"/>
      <c r="M441" s="187">
        <v>46007.73709490741</v>
      </c>
      <c r="N441" s="21" t="s">
        <v>22</v>
      </c>
      <c r="O441" s="164"/>
      <c r="P441" s="164"/>
      <c r="Q441" s="177" t="s">
        <v>1698</v>
      </c>
      <c r="R441" s="164"/>
      <c r="S441" s="163">
        <f>IFERROR(__xludf.DUMMYFUNCTION("""COMPUTED_VALUE"""),0.0)</f>
        <v>0</v>
      </c>
      <c r="T441" s="164"/>
      <c r="U441" s="164"/>
      <c r="V441" s="164"/>
      <c r="W441" s="164"/>
      <c r="X441" s="164"/>
    </row>
    <row r="442">
      <c r="A442" s="175">
        <v>46007.0</v>
      </c>
      <c r="B442" s="176" t="s">
        <v>2789</v>
      </c>
      <c r="C442" s="177" t="s">
        <v>6716</v>
      </c>
      <c r="D442" s="177" t="s">
        <v>7014</v>
      </c>
      <c r="E442" s="177"/>
      <c r="F442" s="177" t="s">
        <v>850</v>
      </c>
      <c r="G442" s="179" t="s">
        <v>6722</v>
      </c>
      <c r="H442" s="180" t="s">
        <v>2566</v>
      </c>
      <c r="I442" s="163">
        <f>IFERROR(__xludf.DUMMYFUNCTION("""COMPUTED_VALUE"""),8.0)</f>
        <v>8</v>
      </c>
      <c r="J442" s="177" t="s">
        <v>6750</v>
      </c>
      <c r="K442" s="177" t="s">
        <v>4588</v>
      </c>
      <c r="L442" s="164"/>
      <c r="M442" s="187">
        <v>46007.73777777778</v>
      </c>
      <c r="N442" s="21" t="s">
        <v>22</v>
      </c>
      <c r="O442" s="164"/>
      <c r="P442" s="164"/>
      <c r="Q442" s="177" t="s">
        <v>1698</v>
      </c>
      <c r="R442" s="164"/>
      <c r="S442" s="163">
        <f>IFERROR(__xludf.DUMMYFUNCTION("""COMPUTED_VALUE"""),0.0)</f>
        <v>0</v>
      </c>
      <c r="T442" s="164"/>
      <c r="U442" s="164"/>
      <c r="V442" s="164"/>
      <c r="W442" s="164"/>
      <c r="X442" s="164"/>
    </row>
    <row r="443">
      <c r="A443" s="175">
        <v>46007.0</v>
      </c>
      <c r="B443" s="176" t="s">
        <v>2789</v>
      </c>
      <c r="C443" s="177" t="s">
        <v>6716</v>
      </c>
      <c r="D443" s="177" t="s">
        <v>7014</v>
      </c>
      <c r="E443" s="177"/>
      <c r="F443" s="177" t="s">
        <v>850</v>
      </c>
      <c r="G443" s="179" t="s">
        <v>6724</v>
      </c>
      <c r="H443" s="180" t="s">
        <v>2568</v>
      </c>
      <c r="I443" s="163">
        <f>IFERROR(__xludf.DUMMYFUNCTION("""COMPUTED_VALUE"""),8.0)</f>
        <v>8</v>
      </c>
      <c r="J443" s="177" t="s">
        <v>6750</v>
      </c>
      <c r="K443" s="177" t="s">
        <v>4590</v>
      </c>
      <c r="L443" s="164"/>
      <c r="M443" s="187">
        <v>46007.73825231481</v>
      </c>
      <c r="N443" s="21" t="s">
        <v>22</v>
      </c>
      <c r="O443" s="164"/>
      <c r="P443" s="164"/>
      <c r="Q443" s="177" t="s">
        <v>1698</v>
      </c>
      <c r="R443" s="164"/>
      <c r="S443" s="163">
        <f>IFERROR(__xludf.DUMMYFUNCTION("""COMPUTED_VALUE"""),0.0)</f>
        <v>0</v>
      </c>
      <c r="T443" s="164"/>
      <c r="U443" s="164"/>
      <c r="V443" s="164"/>
      <c r="W443" s="164"/>
      <c r="X443" s="164"/>
    </row>
    <row r="444">
      <c r="A444" s="175">
        <v>46007.0</v>
      </c>
      <c r="B444" s="176" t="s">
        <v>2554</v>
      </c>
      <c r="C444" s="177" t="s">
        <v>1118</v>
      </c>
      <c r="D444" s="177" t="s">
        <v>7014</v>
      </c>
      <c r="E444" s="177" t="s">
        <v>38</v>
      </c>
      <c r="F444" s="177" t="s">
        <v>6713</v>
      </c>
      <c r="G444" s="179" t="s">
        <v>6707</v>
      </c>
      <c r="H444" s="180" t="s">
        <v>2554</v>
      </c>
      <c r="I444" s="163">
        <f>IFERROR(__xludf.DUMMYFUNCTION("""COMPUTED_VALUE"""),1.6)</f>
        <v>1.6</v>
      </c>
      <c r="J444" s="177" t="s">
        <v>6735</v>
      </c>
      <c r="K444" s="177" t="s">
        <v>7066</v>
      </c>
      <c r="L444" s="164"/>
      <c r="M444" s="187">
        <v>46007.77646990741</v>
      </c>
      <c r="N444" s="21" t="s">
        <v>22</v>
      </c>
      <c r="O444" s="164"/>
      <c r="P444" s="164"/>
      <c r="Q444" s="177" t="s">
        <v>2051</v>
      </c>
      <c r="R444" s="164"/>
      <c r="S444" s="163">
        <f>IFERROR(__xludf.DUMMYFUNCTION("""COMPUTED_VALUE"""),3.0)</f>
        <v>3</v>
      </c>
      <c r="T444" s="164"/>
      <c r="U444" s="164"/>
      <c r="V444" s="164"/>
      <c r="W444" s="164"/>
      <c r="X444" s="164"/>
    </row>
    <row r="445">
      <c r="A445" s="175">
        <v>46007.0</v>
      </c>
      <c r="B445" s="176" t="s">
        <v>2554</v>
      </c>
      <c r="C445" s="177" t="s">
        <v>6716</v>
      </c>
      <c r="D445" s="177" t="s">
        <v>7014</v>
      </c>
      <c r="E445" s="177"/>
      <c r="F445" s="177" t="s">
        <v>842</v>
      </c>
      <c r="G445" s="179" t="s">
        <v>6720</v>
      </c>
      <c r="H445" s="180" t="s">
        <v>2570</v>
      </c>
      <c r="I445" s="163">
        <f>IFERROR(__xludf.DUMMYFUNCTION("""COMPUTED_VALUE"""),1.6)</f>
        <v>1.6</v>
      </c>
      <c r="J445" s="177" t="s">
        <v>6705</v>
      </c>
      <c r="K445" s="177" t="s">
        <v>4592</v>
      </c>
      <c r="L445" s="164"/>
      <c r="M445" s="187">
        <v>46007.77738425926</v>
      </c>
      <c r="N445" s="21" t="s">
        <v>22</v>
      </c>
      <c r="O445" s="164"/>
      <c r="P445" s="164"/>
      <c r="Q445" s="177" t="s">
        <v>2051</v>
      </c>
      <c r="R445" s="164"/>
      <c r="S445" s="163">
        <f>IFERROR(__xludf.DUMMYFUNCTION("""COMPUTED_VALUE"""),3.0)</f>
        <v>3</v>
      </c>
      <c r="T445" s="164"/>
      <c r="U445" s="164"/>
      <c r="V445" s="164"/>
      <c r="W445" s="164"/>
      <c r="X445" s="164"/>
    </row>
    <row r="446">
      <c r="A446" s="175">
        <v>46007.0</v>
      </c>
      <c r="B446" s="176" t="s">
        <v>2554</v>
      </c>
      <c r="C446" s="177" t="s">
        <v>6716</v>
      </c>
      <c r="D446" s="177" t="s">
        <v>7014</v>
      </c>
      <c r="E446" s="177"/>
      <c r="F446" s="177" t="s">
        <v>842</v>
      </c>
      <c r="G446" s="179" t="s">
        <v>6721</v>
      </c>
      <c r="H446" s="180" t="s">
        <v>2893</v>
      </c>
      <c r="I446" s="163">
        <f>IFERROR(__xludf.DUMMYFUNCTION("""COMPUTED_VALUE"""),1.6)</f>
        <v>1.6</v>
      </c>
      <c r="J446" s="177" t="s">
        <v>6705</v>
      </c>
      <c r="K446" s="177" t="s">
        <v>4594</v>
      </c>
      <c r="L446" s="164"/>
      <c r="M446" s="187">
        <v>46007.77795138889</v>
      </c>
      <c r="N446" s="21" t="s">
        <v>22</v>
      </c>
      <c r="O446" s="164"/>
      <c r="P446" s="164"/>
      <c r="Q446" s="177" t="s">
        <v>2051</v>
      </c>
      <c r="R446" s="164"/>
      <c r="S446" s="163">
        <f>IFERROR(__xludf.DUMMYFUNCTION("""COMPUTED_VALUE"""),3.0)</f>
        <v>3</v>
      </c>
      <c r="T446" s="164"/>
      <c r="U446" s="164"/>
      <c r="V446" s="164"/>
      <c r="W446" s="164"/>
      <c r="X446" s="164"/>
    </row>
    <row r="447">
      <c r="A447" s="175">
        <v>46007.0</v>
      </c>
      <c r="B447" s="176" t="s">
        <v>2554</v>
      </c>
      <c r="C447" s="177" t="s">
        <v>6716</v>
      </c>
      <c r="D447" s="177" t="s">
        <v>7014</v>
      </c>
      <c r="E447" s="177"/>
      <c r="F447" s="177" t="s">
        <v>850</v>
      </c>
      <c r="G447" s="179" t="s">
        <v>6722</v>
      </c>
      <c r="H447" s="180" t="s">
        <v>2572</v>
      </c>
      <c r="I447" s="163">
        <f>IFERROR(__xludf.DUMMYFUNCTION("""COMPUTED_VALUE"""),1.6)</f>
        <v>1.6</v>
      </c>
      <c r="J447" s="177" t="s">
        <v>6750</v>
      </c>
      <c r="K447" s="177" t="s">
        <v>4596</v>
      </c>
      <c r="L447" s="164"/>
      <c r="M447" s="187">
        <v>46007.77850694444</v>
      </c>
      <c r="N447" s="21" t="s">
        <v>22</v>
      </c>
      <c r="O447" s="164"/>
      <c r="P447" s="164"/>
      <c r="Q447" s="177" t="s">
        <v>2051</v>
      </c>
      <c r="R447" s="164"/>
      <c r="S447" s="163">
        <f>IFERROR(__xludf.DUMMYFUNCTION("""COMPUTED_VALUE"""),3.0)</f>
        <v>3</v>
      </c>
      <c r="T447" s="164"/>
      <c r="U447" s="164"/>
      <c r="V447" s="164"/>
      <c r="W447" s="164"/>
      <c r="X447" s="164"/>
    </row>
    <row r="448">
      <c r="A448" s="175">
        <v>46007.0</v>
      </c>
      <c r="B448" s="176" t="s">
        <v>2554</v>
      </c>
      <c r="C448" s="177" t="s">
        <v>6716</v>
      </c>
      <c r="D448" s="177" t="s">
        <v>7014</v>
      </c>
      <c r="E448" s="177"/>
      <c r="F448" s="177" t="s">
        <v>850</v>
      </c>
      <c r="G448" s="179" t="s">
        <v>6724</v>
      </c>
      <c r="H448" s="180" t="s">
        <v>2574</v>
      </c>
      <c r="I448" s="163">
        <f>IFERROR(__xludf.DUMMYFUNCTION("""COMPUTED_VALUE"""),1.6)</f>
        <v>1.6</v>
      </c>
      <c r="J448" s="177" t="s">
        <v>6750</v>
      </c>
      <c r="K448" s="177" t="s">
        <v>4598</v>
      </c>
      <c r="L448" s="164"/>
      <c r="M448" s="187">
        <v>46007.77898148148</v>
      </c>
      <c r="N448" s="21" t="s">
        <v>22</v>
      </c>
      <c r="O448" s="164"/>
      <c r="P448" s="164"/>
      <c r="Q448" s="177" t="s">
        <v>2051</v>
      </c>
      <c r="R448" s="164"/>
      <c r="S448" s="163">
        <f>IFERROR(__xludf.DUMMYFUNCTION("""COMPUTED_VALUE"""),3.0)</f>
        <v>3</v>
      </c>
      <c r="T448" s="164"/>
      <c r="U448" s="164"/>
      <c r="V448" s="164"/>
      <c r="W448" s="164"/>
      <c r="X448" s="164"/>
    </row>
    <row r="449">
      <c r="A449" s="175">
        <v>46007.0</v>
      </c>
      <c r="B449" s="176" t="s">
        <v>2578</v>
      </c>
      <c r="C449" s="177" t="s">
        <v>1118</v>
      </c>
      <c r="D449" s="177" t="s">
        <v>7014</v>
      </c>
      <c r="E449" s="177" t="s">
        <v>6776</v>
      </c>
      <c r="F449" s="177" t="s">
        <v>6776</v>
      </c>
      <c r="G449" s="179" t="s">
        <v>6707</v>
      </c>
      <c r="H449" s="180" t="s">
        <v>2578</v>
      </c>
      <c r="I449" s="163">
        <f>IFERROR(__xludf.DUMMYFUNCTION("""COMPUTED_VALUE"""),5.1)</f>
        <v>5.1</v>
      </c>
      <c r="J449" s="177" t="s">
        <v>6705</v>
      </c>
      <c r="K449" s="177" t="s">
        <v>7067</v>
      </c>
      <c r="L449" s="164"/>
      <c r="M449" s="187">
        <v>46007.79188657407</v>
      </c>
      <c r="N449" s="21" t="s">
        <v>22</v>
      </c>
      <c r="O449" s="164"/>
      <c r="P449" s="164"/>
      <c r="Q449" s="177" t="s">
        <v>1490</v>
      </c>
      <c r="R449" s="164"/>
      <c r="S449" s="163">
        <f>IFERROR(__xludf.DUMMYFUNCTION("""COMPUTED_VALUE"""),12.495)</f>
        <v>12.495</v>
      </c>
      <c r="T449" s="164"/>
      <c r="U449" s="164"/>
      <c r="V449" s="164"/>
      <c r="W449" s="164"/>
      <c r="X449" s="164"/>
    </row>
    <row r="450">
      <c r="A450" s="175">
        <v>46007.0</v>
      </c>
      <c r="B450" s="176" t="s">
        <v>2578</v>
      </c>
      <c r="C450" s="177" t="s">
        <v>6716</v>
      </c>
      <c r="D450" s="177" t="s">
        <v>7014</v>
      </c>
      <c r="E450" s="177"/>
      <c r="F450" s="177" t="s">
        <v>850</v>
      </c>
      <c r="G450" s="179" t="s">
        <v>6720</v>
      </c>
      <c r="H450" s="180" t="s">
        <v>2576</v>
      </c>
      <c r="I450" s="163">
        <f>IFERROR(__xludf.DUMMYFUNCTION("""COMPUTED_VALUE"""),5.1)</f>
        <v>5.1</v>
      </c>
      <c r="J450" s="177" t="s">
        <v>6750</v>
      </c>
      <c r="K450" s="177" t="s">
        <v>4600</v>
      </c>
      <c r="L450" s="164"/>
      <c r="M450" s="187">
        <v>46007.79318287037</v>
      </c>
      <c r="N450" s="21" t="s">
        <v>22</v>
      </c>
      <c r="O450" s="164"/>
      <c r="P450" s="164"/>
      <c r="Q450" s="177" t="s">
        <v>1490</v>
      </c>
      <c r="R450" s="164"/>
      <c r="S450" s="163">
        <f>IFERROR(__xludf.DUMMYFUNCTION("""COMPUTED_VALUE"""),12.495)</f>
        <v>12.495</v>
      </c>
      <c r="T450" s="164"/>
      <c r="U450" s="164"/>
      <c r="V450" s="164"/>
      <c r="W450" s="164"/>
      <c r="X450" s="164"/>
    </row>
    <row r="451">
      <c r="A451" s="175">
        <v>46008.0</v>
      </c>
      <c r="B451" s="176" t="s">
        <v>2909</v>
      </c>
      <c r="C451" s="177" t="s">
        <v>6992</v>
      </c>
      <c r="D451" s="177" t="s">
        <v>7008</v>
      </c>
      <c r="E451" s="177" t="s">
        <v>525</v>
      </c>
      <c r="F451" s="177" t="s">
        <v>1112</v>
      </c>
      <c r="G451" s="179" t="s">
        <v>6707</v>
      </c>
      <c r="H451" s="180" t="s">
        <v>2909</v>
      </c>
      <c r="I451" s="163">
        <f>IFERROR(__xludf.DUMMYFUNCTION("""COMPUTED_VALUE"""),7.1)</f>
        <v>7.1</v>
      </c>
      <c r="J451" s="177" t="s">
        <v>6705</v>
      </c>
      <c r="K451" s="177" t="s">
        <v>7068</v>
      </c>
      <c r="L451" s="164"/>
      <c r="M451" s="187">
        <v>46008.69615740741</v>
      </c>
      <c r="N451" s="21" t="s">
        <v>22</v>
      </c>
      <c r="O451" s="164"/>
      <c r="P451" s="164"/>
      <c r="Q451" s="177" t="s">
        <v>2199</v>
      </c>
      <c r="R451" s="164"/>
      <c r="S451" s="163">
        <f>IFERROR(__xludf.DUMMYFUNCTION("""COMPUTED_VALUE"""),14.2)</f>
        <v>14.2</v>
      </c>
      <c r="T451" s="164"/>
      <c r="U451" s="164"/>
      <c r="V451" s="164"/>
      <c r="W451" s="164"/>
      <c r="X451" s="164"/>
    </row>
    <row r="452">
      <c r="A452" s="175">
        <v>46008.0</v>
      </c>
      <c r="B452" s="176" t="s">
        <v>2207</v>
      </c>
      <c r="C452" s="177" t="s">
        <v>6994</v>
      </c>
      <c r="D452" s="177" t="s">
        <v>7008</v>
      </c>
      <c r="E452" s="177" t="s">
        <v>525</v>
      </c>
      <c r="F452" s="177"/>
      <c r="G452" s="186"/>
      <c r="H452" s="180"/>
      <c r="I452" s="163" t="str">
        <f>IFERROR(__xludf.DUMMYFUNCTION("""COMPUTED_VALUE"""),"")</f>
        <v/>
      </c>
      <c r="J452" s="177" t="s">
        <v>6705</v>
      </c>
      <c r="K452" s="177" t="s">
        <v>7069</v>
      </c>
      <c r="L452" s="164"/>
      <c r="M452" s="187">
        <v>46008.69662037037</v>
      </c>
      <c r="N452" s="21" t="s">
        <v>22</v>
      </c>
      <c r="O452" s="164"/>
      <c r="P452" s="164"/>
      <c r="Q452" s="177" t="s">
        <v>2199</v>
      </c>
      <c r="R452" s="164"/>
      <c r="S452" s="163" t="str">
        <f>IFERROR(__xludf.DUMMYFUNCTION("""COMPUTED_VALUE"""),"")</f>
        <v/>
      </c>
      <c r="T452" s="164"/>
      <c r="U452" s="164"/>
      <c r="V452" s="164"/>
      <c r="W452" s="164"/>
      <c r="X452" s="164"/>
    </row>
    <row r="453">
      <c r="A453" s="175">
        <v>46008.0</v>
      </c>
      <c r="B453" s="176" t="s">
        <v>2607</v>
      </c>
      <c r="C453" s="177" t="s">
        <v>6992</v>
      </c>
      <c r="D453" s="177" t="s">
        <v>7008</v>
      </c>
      <c r="E453" s="177" t="s">
        <v>525</v>
      </c>
      <c r="F453" s="177" t="s">
        <v>1112</v>
      </c>
      <c r="G453" s="179" t="s">
        <v>6707</v>
      </c>
      <c r="H453" s="180" t="s">
        <v>2607</v>
      </c>
      <c r="I453" s="163">
        <f>IFERROR(__xludf.DUMMYFUNCTION("""COMPUTED_VALUE"""),7.1)</f>
        <v>7.1</v>
      </c>
      <c r="J453" s="177" t="s">
        <v>6723</v>
      </c>
      <c r="K453" s="177" t="s">
        <v>7070</v>
      </c>
      <c r="L453" s="164"/>
      <c r="M453" s="187">
        <v>46008.69701388889</v>
      </c>
      <c r="N453" s="21" t="s">
        <v>22</v>
      </c>
      <c r="O453" s="164"/>
      <c r="P453" s="164"/>
      <c r="Q453" s="177" t="s">
        <v>2199</v>
      </c>
      <c r="R453" s="164"/>
      <c r="S453" s="163">
        <f>IFERROR(__xludf.DUMMYFUNCTION("""COMPUTED_VALUE"""),14.2)</f>
        <v>14.2</v>
      </c>
      <c r="T453" s="164"/>
      <c r="U453" s="164"/>
      <c r="V453" s="164"/>
      <c r="W453" s="164"/>
      <c r="X453" s="164"/>
    </row>
    <row r="454">
      <c r="A454" s="175">
        <v>46008.0</v>
      </c>
      <c r="B454" s="176" t="s">
        <v>2209</v>
      </c>
      <c r="C454" s="177" t="s">
        <v>6994</v>
      </c>
      <c r="D454" s="177" t="s">
        <v>7008</v>
      </c>
      <c r="E454" s="177" t="s">
        <v>525</v>
      </c>
      <c r="F454" s="177"/>
      <c r="G454" s="186"/>
      <c r="H454" s="180"/>
      <c r="I454" s="163" t="str">
        <f>IFERROR(__xludf.DUMMYFUNCTION("""COMPUTED_VALUE"""),"")</f>
        <v/>
      </c>
      <c r="J454" s="177" t="s">
        <v>6723</v>
      </c>
      <c r="K454" s="177" t="s">
        <v>7071</v>
      </c>
      <c r="L454" s="164"/>
      <c r="M454" s="187">
        <v>46008.69751157407</v>
      </c>
      <c r="N454" s="21" t="s">
        <v>22</v>
      </c>
      <c r="O454" s="164"/>
      <c r="P454" s="164"/>
      <c r="Q454" s="177" t="s">
        <v>2199</v>
      </c>
      <c r="R454" s="164"/>
      <c r="S454" s="163" t="str">
        <f>IFERROR(__xludf.DUMMYFUNCTION("""COMPUTED_VALUE"""),"")</f>
        <v/>
      </c>
      <c r="T454" s="164"/>
      <c r="U454" s="164"/>
      <c r="V454" s="164"/>
      <c r="W454" s="164"/>
      <c r="X454" s="164"/>
    </row>
    <row r="455">
      <c r="A455" s="175">
        <v>46008.0</v>
      </c>
      <c r="B455" s="176" t="s">
        <v>2591</v>
      </c>
      <c r="C455" s="177" t="s">
        <v>6992</v>
      </c>
      <c r="D455" s="177" t="s">
        <v>7008</v>
      </c>
      <c r="E455" s="177" t="s">
        <v>525</v>
      </c>
      <c r="F455" s="177" t="s">
        <v>1112</v>
      </c>
      <c r="G455" s="179" t="s">
        <v>6707</v>
      </c>
      <c r="H455" s="180" t="s">
        <v>2591</v>
      </c>
      <c r="I455" s="163">
        <f>IFERROR(__xludf.DUMMYFUNCTION("""COMPUTED_VALUE"""),7.1)</f>
        <v>7.1</v>
      </c>
      <c r="J455" s="177" t="s">
        <v>6739</v>
      </c>
      <c r="K455" s="177" t="s">
        <v>7072</v>
      </c>
      <c r="L455" s="164"/>
      <c r="M455" s="187">
        <v>46008.713587962964</v>
      </c>
      <c r="N455" s="21" t="s">
        <v>22</v>
      </c>
      <c r="O455" s="164"/>
      <c r="P455" s="164"/>
      <c r="Q455" s="177" t="s">
        <v>2199</v>
      </c>
      <c r="R455" s="164"/>
      <c r="S455" s="163">
        <f>IFERROR(__xludf.DUMMYFUNCTION("""COMPUTED_VALUE"""),14.2)</f>
        <v>14.2</v>
      </c>
      <c r="T455" s="164"/>
      <c r="U455" s="164"/>
      <c r="V455" s="164"/>
      <c r="W455" s="164"/>
      <c r="X455" s="164"/>
    </row>
    <row r="456">
      <c r="A456" s="175">
        <v>46008.0</v>
      </c>
      <c r="B456" s="176" t="s">
        <v>2205</v>
      </c>
      <c r="C456" s="177" t="s">
        <v>6994</v>
      </c>
      <c r="D456" s="177" t="s">
        <v>7008</v>
      </c>
      <c r="E456" s="177" t="s">
        <v>525</v>
      </c>
      <c r="F456" s="177"/>
      <c r="G456" s="186"/>
      <c r="H456" s="180"/>
      <c r="I456" s="163" t="str">
        <f>IFERROR(__xludf.DUMMYFUNCTION("""COMPUTED_VALUE"""),"")</f>
        <v/>
      </c>
      <c r="J456" s="177" t="s">
        <v>6739</v>
      </c>
      <c r="K456" s="177" t="s">
        <v>7073</v>
      </c>
      <c r="L456" s="164"/>
      <c r="M456" s="187">
        <v>46008.71409722222</v>
      </c>
      <c r="N456" s="21" t="s">
        <v>22</v>
      </c>
      <c r="O456" s="164"/>
      <c r="P456" s="164"/>
      <c r="Q456" s="177" t="s">
        <v>2199</v>
      </c>
      <c r="R456" s="164"/>
      <c r="S456" s="163" t="str">
        <f>IFERROR(__xludf.DUMMYFUNCTION("""COMPUTED_VALUE"""),"")</f>
        <v/>
      </c>
      <c r="T456" s="164"/>
      <c r="U456" s="164"/>
      <c r="V456" s="164"/>
      <c r="W456" s="164"/>
      <c r="X456" s="164"/>
    </row>
    <row r="457">
      <c r="A457" s="175">
        <v>46008.0</v>
      </c>
      <c r="B457" s="176" t="s">
        <v>2605</v>
      </c>
      <c r="C457" s="177" t="s">
        <v>6992</v>
      </c>
      <c r="D457" s="177" t="s">
        <v>7008</v>
      </c>
      <c r="E457" s="177" t="s">
        <v>525</v>
      </c>
      <c r="F457" s="177" t="s">
        <v>1112</v>
      </c>
      <c r="G457" s="179" t="s">
        <v>6707</v>
      </c>
      <c r="H457" s="180" t="s">
        <v>2605</v>
      </c>
      <c r="I457" s="163">
        <f>IFERROR(__xludf.DUMMYFUNCTION("""COMPUTED_VALUE"""),7.1)</f>
        <v>7.1</v>
      </c>
      <c r="J457" s="177" t="s">
        <v>6759</v>
      </c>
      <c r="K457" s="177" t="s">
        <v>7074</v>
      </c>
      <c r="L457" s="164"/>
      <c r="M457" s="187">
        <v>46008.71493055556</v>
      </c>
      <c r="N457" s="21" t="s">
        <v>22</v>
      </c>
      <c r="O457" s="164"/>
      <c r="P457" s="164"/>
      <c r="Q457" s="177" t="s">
        <v>2199</v>
      </c>
      <c r="R457" s="164"/>
      <c r="S457" s="163">
        <f>IFERROR(__xludf.DUMMYFUNCTION("""COMPUTED_VALUE"""),14.2)</f>
        <v>14.2</v>
      </c>
      <c r="T457" s="164"/>
      <c r="U457" s="164"/>
      <c r="V457" s="164"/>
      <c r="W457" s="164"/>
      <c r="X457" s="164"/>
    </row>
    <row r="458">
      <c r="A458" s="175">
        <v>46008.0</v>
      </c>
      <c r="B458" s="176" t="s">
        <v>2198</v>
      </c>
      <c r="C458" s="177" t="s">
        <v>6994</v>
      </c>
      <c r="D458" s="177" t="s">
        <v>7008</v>
      </c>
      <c r="E458" s="177" t="s">
        <v>525</v>
      </c>
      <c r="F458" s="177"/>
      <c r="G458" s="186"/>
      <c r="H458" s="180"/>
      <c r="I458" s="163" t="str">
        <f>IFERROR(__xludf.DUMMYFUNCTION("""COMPUTED_VALUE"""),"")</f>
        <v/>
      </c>
      <c r="J458" s="177" t="s">
        <v>6759</v>
      </c>
      <c r="K458" s="177" t="s">
        <v>7075</v>
      </c>
      <c r="L458" s="164"/>
      <c r="M458" s="187">
        <v>46008.71622685185</v>
      </c>
      <c r="N458" s="21" t="s">
        <v>22</v>
      </c>
      <c r="O458" s="164"/>
      <c r="P458" s="164"/>
      <c r="Q458" s="177" t="s">
        <v>2199</v>
      </c>
      <c r="R458" s="164"/>
      <c r="S458" s="163" t="str">
        <f>IFERROR(__xludf.DUMMYFUNCTION("""COMPUTED_VALUE"""),"")</f>
        <v/>
      </c>
      <c r="T458" s="164"/>
      <c r="U458" s="164"/>
      <c r="V458" s="164"/>
      <c r="W458" s="164"/>
      <c r="X458" s="164"/>
    </row>
    <row r="459">
      <c r="A459" s="175">
        <v>46008.0</v>
      </c>
      <c r="B459" s="176" t="s">
        <v>2593</v>
      </c>
      <c r="C459" s="177" t="s">
        <v>6992</v>
      </c>
      <c r="D459" s="177" t="s">
        <v>7008</v>
      </c>
      <c r="E459" s="177" t="s">
        <v>525</v>
      </c>
      <c r="F459" s="177" t="s">
        <v>7000</v>
      </c>
      <c r="G459" s="179" t="s">
        <v>6707</v>
      </c>
      <c r="H459" s="180" t="s">
        <v>2593</v>
      </c>
      <c r="I459" s="163">
        <f>IFERROR(__xludf.DUMMYFUNCTION("""COMPUTED_VALUE"""),10.649999999999999)</f>
        <v>10.65</v>
      </c>
      <c r="J459" s="177" t="s">
        <v>6705</v>
      </c>
      <c r="K459" s="188" t="s">
        <v>7076</v>
      </c>
      <c r="L459" s="164"/>
      <c r="M459" s="187">
        <v>46008.7409837963</v>
      </c>
      <c r="N459" s="21" t="s">
        <v>22</v>
      </c>
      <c r="O459" s="164"/>
      <c r="P459" s="164"/>
      <c r="Q459" s="177" t="s">
        <v>2190</v>
      </c>
      <c r="R459" s="164"/>
      <c r="S459" s="163">
        <f>IFERROR(__xludf.DUMMYFUNCTION("""COMPUTED_VALUE"""),21.299999999999997)</f>
        <v>21.3</v>
      </c>
      <c r="T459" s="164"/>
      <c r="U459" s="164"/>
      <c r="V459" s="164"/>
      <c r="W459" s="164"/>
      <c r="X459" s="164"/>
    </row>
    <row r="460">
      <c r="A460" s="175">
        <v>46008.0</v>
      </c>
      <c r="B460" s="176" t="s">
        <v>2189</v>
      </c>
      <c r="C460" s="177" t="s">
        <v>6994</v>
      </c>
      <c r="D460" s="177" t="s">
        <v>7008</v>
      </c>
      <c r="E460" s="177" t="s">
        <v>525</v>
      </c>
      <c r="F460" s="177"/>
      <c r="G460" s="186"/>
      <c r="H460" s="180"/>
      <c r="I460" s="163" t="str">
        <f>IFERROR(__xludf.DUMMYFUNCTION("""COMPUTED_VALUE"""),"")</f>
        <v/>
      </c>
      <c r="J460" s="177" t="s">
        <v>6705</v>
      </c>
      <c r="K460" s="177" t="s">
        <v>7077</v>
      </c>
      <c r="L460" s="164"/>
      <c r="M460" s="187">
        <v>46008.741956018515</v>
      </c>
      <c r="N460" s="21" t="s">
        <v>22</v>
      </c>
      <c r="O460" s="164"/>
      <c r="P460" s="164"/>
      <c r="Q460" s="177" t="s">
        <v>2190</v>
      </c>
      <c r="R460" s="164"/>
      <c r="S460" s="163" t="str">
        <f>IFERROR(__xludf.DUMMYFUNCTION("""COMPUTED_VALUE"""),"")</f>
        <v/>
      </c>
      <c r="T460" s="164"/>
      <c r="U460" s="164"/>
      <c r="V460" s="164"/>
      <c r="W460" s="164"/>
      <c r="X460" s="164"/>
    </row>
    <row r="461">
      <c r="A461" s="175">
        <v>46008.0</v>
      </c>
      <c r="B461" s="176" t="s">
        <v>2192</v>
      </c>
      <c r="C461" s="177" t="s">
        <v>6994</v>
      </c>
      <c r="D461" s="177" t="s">
        <v>7008</v>
      </c>
      <c r="E461" s="177" t="s">
        <v>525</v>
      </c>
      <c r="F461" s="177"/>
      <c r="G461" s="186"/>
      <c r="H461" s="180"/>
      <c r="I461" s="163" t="str">
        <f>IFERROR(__xludf.DUMMYFUNCTION("""COMPUTED_VALUE"""),"")</f>
        <v/>
      </c>
      <c r="J461" s="177" t="s">
        <v>6705</v>
      </c>
      <c r="K461" s="177" t="s">
        <v>7078</v>
      </c>
      <c r="L461" s="164"/>
      <c r="M461" s="187">
        <v>46008.742627314816</v>
      </c>
      <c r="N461" s="21" t="s">
        <v>22</v>
      </c>
      <c r="O461" s="164"/>
      <c r="P461" s="164"/>
      <c r="Q461" s="177" t="s">
        <v>2190</v>
      </c>
      <c r="R461" s="164"/>
      <c r="S461" s="163" t="str">
        <f>IFERROR(__xludf.DUMMYFUNCTION("""COMPUTED_VALUE"""),"")</f>
        <v/>
      </c>
      <c r="T461" s="164"/>
      <c r="U461" s="164"/>
      <c r="V461" s="164"/>
      <c r="W461" s="164"/>
      <c r="X461" s="164"/>
    </row>
    <row r="462">
      <c r="A462" s="175">
        <v>46008.0</v>
      </c>
      <c r="B462" s="176" t="s">
        <v>3493</v>
      </c>
      <c r="C462" s="177" t="s">
        <v>6992</v>
      </c>
      <c r="D462" s="177" t="s">
        <v>7008</v>
      </c>
      <c r="E462" s="177" t="s">
        <v>525</v>
      </c>
      <c r="F462" s="177" t="s">
        <v>6987</v>
      </c>
      <c r="G462" s="179" t="s">
        <v>6707</v>
      </c>
      <c r="H462" s="180" t="s">
        <v>3493</v>
      </c>
      <c r="I462" s="163">
        <f>IFERROR(__xludf.DUMMYFUNCTION("""COMPUTED_VALUE"""),14.2)</f>
        <v>14.2</v>
      </c>
      <c r="J462" s="177" t="s">
        <v>6735</v>
      </c>
      <c r="K462" s="177" t="s">
        <v>7079</v>
      </c>
      <c r="L462" s="164"/>
      <c r="M462" s="187">
        <v>46008.75295138889</v>
      </c>
      <c r="N462" s="21" t="s">
        <v>22</v>
      </c>
      <c r="O462" s="164"/>
      <c r="P462" s="164"/>
      <c r="Q462" s="177" t="s">
        <v>2171</v>
      </c>
      <c r="R462" s="164"/>
      <c r="S462" s="163">
        <f>IFERROR(__xludf.DUMMYFUNCTION("""COMPUTED_VALUE"""),28.4)</f>
        <v>28.4</v>
      </c>
      <c r="T462" s="164"/>
      <c r="U462" s="164"/>
      <c r="V462" s="164"/>
      <c r="W462" s="164"/>
      <c r="X462" s="164"/>
    </row>
    <row r="463">
      <c r="A463" s="175">
        <v>46008.0</v>
      </c>
      <c r="B463" s="176" t="s">
        <v>2170</v>
      </c>
      <c r="C463" s="177" t="s">
        <v>6994</v>
      </c>
      <c r="D463" s="177" t="s">
        <v>7008</v>
      </c>
      <c r="E463" s="177" t="s">
        <v>525</v>
      </c>
      <c r="F463" s="177"/>
      <c r="G463" s="186"/>
      <c r="H463" s="180"/>
      <c r="I463" s="163" t="str">
        <f>IFERROR(__xludf.DUMMYFUNCTION("""COMPUTED_VALUE"""),"")</f>
        <v/>
      </c>
      <c r="J463" s="177" t="s">
        <v>6735</v>
      </c>
      <c r="K463" s="177" t="s">
        <v>7080</v>
      </c>
      <c r="L463" s="164"/>
      <c r="M463" s="187">
        <v>46008.753703703704</v>
      </c>
      <c r="N463" s="21" t="s">
        <v>22</v>
      </c>
      <c r="O463" s="164"/>
      <c r="P463" s="164"/>
      <c r="Q463" s="177" t="s">
        <v>2171</v>
      </c>
      <c r="R463" s="164"/>
      <c r="S463" s="163" t="str">
        <f>IFERROR(__xludf.DUMMYFUNCTION("""COMPUTED_VALUE"""),"")</f>
        <v/>
      </c>
      <c r="T463" s="164"/>
      <c r="U463" s="164"/>
      <c r="V463" s="164"/>
      <c r="W463" s="164"/>
      <c r="X463" s="164"/>
    </row>
    <row r="464">
      <c r="A464" s="175">
        <v>46008.0</v>
      </c>
      <c r="B464" s="176" t="s">
        <v>2179</v>
      </c>
      <c r="C464" s="177" t="s">
        <v>6994</v>
      </c>
      <c r="D464" s="177" t="s">
        <v>7008</v>
      </c>
      <c r="E464" s="177" t="s">
        <v>525</v>
      </c>
      <c r="F464" s="177"/>
      <c r="G464" s="186"/>
      <c r="H464" s="180"/>
      <c r="I464" s="163" t="str">
        <f>IFERROR(__xludf.DUMMYFUNCTION("""COMPUTED_VALUE"""),"")</f>
        <v/>
      </c>
      <c r="J464" s="177" t="s">
        <v>6735</v>
      </c>
      <c r="K464" s="177" t="s">
        <v>7081</v>
      </c>
      <c r="L464" s="164"/>
      <c r="M464" s="187">
        <v>46008.75424768519</v>
      </c>
      <c r="N464" s="21" t="s">
        <v>22</v>
      </c>
      <c r="O464" s="164"/>
      <c r="P464" s="164"/>
      <c r="Q464" s="177" t="s">
        <v>2171</v>
      </c>
      <c r="R464" s="164"/>
      <c r="S464" s="163" t="str">
        <f>IFERROR(__xludf.DUMMYFUNCTION("""COMPUTED_VALUE"""),"")</f>
        <v/>
      </c>
      <c r="T464" s="164"/>
      <c r="U464" s="164"/>
      <c r="V464" s="164"/>
      <c r="W464" s="164"/>
      <c r="X464" s="164"/>
    </row>
    <row r="465">
      <c r="A465" s="175">
        <v>46008.0</v>
      </c>
      <c r="B465" s="176" t="s">
        <v>2185</v>
      </c>
      <c r="C465" s="177" t="s">
        <v>6994</v>
      </c>
      <c r="D465" s="177" t="s">
        <v>7008</v>
      </c>
      <c r="E465" s="177" t="s">
        <v>525</v>
      </c>
      <c r="F465" s="177"/>
      <c r="G465" s="186"/>
      <c r="H465" s="180"/>
      <c r="I465" s="163" t="str">
        <f>IFERROR(__xludf.DUMMYFUNCTION("""COMPUTED_VALUE"""),"")</f>
        <v/>
      </c>
      <c r="J465" s="177" t="s">
        <v>6735</v>
      </c>
      <c r="K465" s="177" t="s">
        <v>7082</v>
      </c>
      <c r="L465" s="164"/>
      <c r="M465" s="187">
        <v>46008.754594907405</v>
      </c>
      <c r="N465" s="21" t="s">
        <v>22</v>
      </c>
      <c r="O465" s="164"/>
      <c r="P465" s="164"/>
      <c r="Q465" s="177" t="s">
        <v>2171</v>
      </c>
      <c r="R465" s="164"/>
      <c r="S465" s="163" t="str">
        <f>IFERROR(__xludf.DUMMYFUNCTION("""COMPUTED_VALUE"""),"")</f>
        <v/>
      </c>
      <c r="T465" s="164"/>
      <c r="U465" s="164"/>
      <c r="V465" s="164"/>
      <c r="W465" s="164"/>
      <c r="X465" s="164"/>
    </row>
    <row r="466">
      <c r="A466" s="175">
        <v>46008.0</v>
      </c>
      <c r="B466" s="176" t="s">
        <v>2595</v>
      </c>
      <c r="C466" s="177" t="s">
        <v>6992</v>
      </c>
      <c r="D466" s="177" t="s">
        <v>7008</v>
      </c>
      <c r="E466" s="177" t="s">
        <v>525</v>
      </c>
      <c r="F466" s="177" t="s">
        <v>1112</v>
      </c>
      <c r="G466" s="179" t="s">
        <v>6707</v>
      </c>
      <c r="H466" s="180" t="s">
        <v>2595</v>
      </c>
      <c r="I466" s="163">
        <f>IFERROR(__xludf.DUMMYFUNCTION("""COMPUTED_VALUE"""),10.649999999999999)</f>
        <v>10.65</v>
      </c>
      <c r="J466" s="177" t="s">
        <v>6723</v>
      </c>
      <c r="K466" s="177" t="s">
        <v>7083</v>
      </c>
      <c r="L466" s="164"/>
      <c r="M466" s="187">
        <v>46008.77921296296</v>
      </c>
      <c r="N466" s="21" t="s">
        <v>22</v>
      </c>
      <c r="O466" s="164"/>
      <c r="P466" s="164"/>
      <c r="Q466" s="177" t="s">
        <v>2171</v>
      </c>
      <c r="R466" s="164"/>
      <c r="S466" s="163">
        <f>IFERROR(__xludf.DUMMYFUNCTION("""COMPUTED_VALUE"""),21.299999999999997)</f>
        <v>21.3</v>
      </c>
      <c r="T466" s="164"/>
      <c r="U466" s="164"/>
      <c r="V466" s="164"/>
      <c r="W466" s="164"/>
      <c r="X466" s="164"/>
    </row>
    <row r="467">
      <c r="A467" s="175">
        <v>46008.0</v>
      </c>
      <c r="B467" s="176" t="s">
        <v>2173</v>
      </c>
      <c r="C467" s="177" t="s">
        <v>6994</v>
      </c>
      <c r="D467" s="177" t="s">
        <v>7008</v>
      </c>
      <c r="E467" s="177" t="s">
        <v>525</v>
      </c>
      <c r="F467" s="177"/>
      <c r="G467" s="186"/>
      <c r="H467" s="180"/>
      <c r="I467" s="163" t="str">
        <f>IFERROR(__xludf.DUMMYFUNCTION("""COMPUTED_VALUE"""),"")</f>
        <v/>
      </c>
      <c r="J467" s="177" t="s">
        <v>6723</v>
      </c>
      <c r="K467" s="177" t="s">
        <v>7084</v>
      </c>
      <c r="L467" s="164"/>
      <c r="M467" s="187">
        <v>46008.78026620371</v>
      </c>
      <c r="N467" s="21" t="s">
        <v>22</v>
      </c>
      <c r="O467" s="164"/>
      <c r="P467" s="164"/>
      <c r="Q467" s="177" t="s">
        <v>2171</v>
      </c>
      <c r="R467" s="164"/>
      <c r="S467" s="163" t="str">
        <f>IFERROR(__xludf.DUMMYFUNCTION("""COMPUTED_VALUE"""),"")</f>
        <v/>
      </c>
      <c r="T467" s="164"/>
      <c r="U467" s="164"/>
      <c r="V467" s="164"/>
      <c r="W467" s="164"/>
      <c r="X467" s="164"/>
    </row>
    <row r="468">
      <c r="A468" s="175">
        <v>46008.0</v>
      </c>
      <c r="B468" s="176" t="s">
        <v>2175</v>
      </c>
      <c r="C468" s="177" t="s">
        <v>6994</v>
      </c>
      <c r="D468" s="177" t="s">
        <v>7008</v>
      </c>
      <c r="E468" s="177" t="s">
        <v>525</v>
      </c>
      <c r="F468" s="177"/>
      <c r="G468" s="186"/>
      <c r="H468" s="180"/>
      <c r="I468" s="163" t="str">
        <f>IFERROR(__xludf.DUMMYFUNCTION("""COMPUTED_VALUE"""),"")</f>
        <v/>
      </c>
      <c r="J468" s="177" t="s">
        <v>6723</v>
      </c>
      <c r="K468" s="177" t="s">
        <v>7085</v>
      </c>
      <c r="L468" s="164"/>
      <c r="M468" s="187">
        <v>46008.78084490741</v>
      </c>
      <c r="N468" s="21" t="s">
        <v>22</v>
      </c>
      <c r="O468" s="164"/>
      <c r="P468" s="164"/>
      <c r="Q468" s="177" t="s">
        <v>2171</v>
      </c>
      <c r="R468" s="164"/>
      <c r="S468" s="163" t="str">
        <f>IFERROR(__xludf.DUMMYFUNCTION("""COMPUTED_VALUE"""),"")</f>
        <v/>
      </c>
      <c r="T468" s="164"/>
      <c r="U468" s="164"/>
      <c r="V468" s="164"/>
      <c r="W468" s="164"/>
      <c r="X468" s="164"/>
    </row>
    <row r="469">
      <c r="A469" s="175">
        <v>46008.0</v>
      </c>
      <c r="B469" s="176" t="s">
        <v>2601</v>
      </c>
      <c r="C469" s="177" t="s">
        <v>6992</v>
      </c>
      <c r="D469" s="177" t="s">
        <v>7008</v>
      </c>
      <c r="E469" s="177" t="s">
        <v>525</v>
      </c>
      <c r="F469" s="177" t="s">
        <v>1112</v>
      </c>
      <c r="G469" s="186"/>
      <c r="H469" s="180" t="s">
        <v>2601</v>
      </c>
      <c r="I469" s="163">
        <f>IFERROR(__xludf.DUMMYFUNCTION("""COMPUTED_VALUE"""),7.1)</f>
        <v>7.1</v>
      </c>
      <c r="J469" s="177" t="s">
        <v>6759</v>
      </c>
      <c r="K469" s="177" t="s">
        <v>7086</v>
      </c>
      <c r="L469" s="164"/>
      <c r="M469" s="187">
        <v>46008.78159722222</v>
      </c>
      <c r="N469" s="21" t="s">
        <v>22</v>
      </c>
      <c r="O469" s="164"/>
      <c r="P469" s="164"/>
      <c r="Q469" s="177" t="s">
        <v>2171</v>
      </c>
      <c r="R469" s="164"/>
      <c r="S469" s="163">
        <f>IFERROR(__xludf.DUMMYFUNCTION("""COMPUTED_VALUE"""),14.2)</f>
        <v>14.2</v>
      </c>
      <c r="T469" s="164"/>
      <c r="U469" s="164"/>
      <c r="V469" s="164"/>
      <c r="W469" s="164"/>
      <c r="X469" s="164"/>
    </row>
    <row r="470">
      <c r="A470" s="175">
        <v>46008.0</v>
      </c>
      <c r="B470" s="176" t="s">
        <v>2181</v>
      </c>
      <c r="C470" s="177" t="s">
        <v>6994</v>
      </c>
      <c r="D470" s="177" t="s">
        <v>7008</v>
      </c>
      <c r="E470" s="177" t="s">
        <v>525</v>
      </c>
      <c r="F470" s="177"/>
      <c r="G470" s="186"/>
      <c r="H470" s="180"/>
      <c r="I470" s="163" t="str">
        <f>IFERROR(__xludf.DUMMYFUNCTION("""COMPUTED_VALUE"""),"")</f>
        <v/>
      </c>
      <c r="J470" s="177" t="s">
        <v>6759</v>
      </c>
      <c r="K470" s="177" t="s">
        <v>7087</v>
      </c>
      <c r="L470" s="164"/>
      <c r="M470" s="187">
        <v>46008.78210648148</v>
      </c>
      <c r="N470" s="21" t="s">
        <v>22</v>
      </c>
      <c r="O470" s="164"/>
      <c r="P470" s="164"/>
      <c r="Q470" s="177" t="s">
        <v>2171</v>
      </c>
      <c r="R470" s="164"/>
      <c r="S470" s="163" t="str">
        <f>IFERROR(__xludf.DUMMYFUNCTION("""COMPUTED_VALUE"""),"")</f>
        <v/>
      </c>
      <c r="T470" s="164"/>
      <c r="U470" s="164"/>
      <c r="V470" s="164"/>
      <c r="W470" s="164"/>
      <c r="X470" s="164"/>
    </row>
    <row r="471">
      <c r="A471" s="175">
        <v>46008.0</v>
      </c>
      <c r="B471" s="176" t="s">
        <v>2599</v>
      </c>
      <c r="C471" s="177" t="s">
        <v>6992</v>
      </c>
      <c r="D471" s="177" t="s">
        <v>7008</v>
      </c>
      <c r="E471" s="177" t="s">
        <v>525</v>
      </c>
      <c r="F471" s="177" t="s">
        <v>1112</v>
      </c>
      <c r="G471" s="179" t="s">
        <v>6707</v>
      </c>
      <c r="H471" s="180" t="s">
        <v>2599</v>
      </c>
      <c r="I471" s="163">
        <f>IFERROR(__xludf.DUMMYFUNCTION("""COMPUTED_VALUE"""),7.1)</f>
        <v>7.1</v>
      </c>
      <c r="J471" s="177" t="s">
        <v>6739</v>
      </c>
      <c r="K471" s="177" t="s">
        <v>7088</v>
      </c>
      <c r="L471" s="164"/>
      <c r="M471" s="187">
        <v>46008.78282407407</v>
      </c>
      <c r="N471" s="21" t="s">
        <v>22</v>
      </c>
      <c r="O471" s="164"/>
      <c r="P471" s="164"/>
      <c r="Q471" s="177" t="s">
        <v>2171</v>
      </c>
      <c r="R471" s="164"/>
      <c r="S471" s="163">
        <f>IFERROR(__xludf.DUMMYFUNCTION("""COMPUTED_VALUE"""),14.2)</f>
        <v>14.2</v>
      </c>
      <c r="T471" s="164"/>
      <c r="U471" s="164"/>
      <c r="V471" s="164"/>
      <c r="W471" s="164"/>
      <c r="X471" s="164"/>
    </row>
    <row r="472">
      <c r="A472" s="175">
        <v>46008.0</v>
      </c>
      <c r="B472" s="176" t="s">
        <v>2177</v>
      </c>
      <c r="C472" s="177" t="s">
        <v>6994</v>
      </c>
      <c r="D472" s="177" t="s">
        <v>7008</v>
      </c>
      <c r="E472" s="177" t="s">
        <v>525</v>
      </c>
      <c r="F472" s="177"/>
      <c r="G472" s="186"/>
      <c r="H472" s="180"/>
      <c r="I472" s="163" t="str">
        <f>IFERROR(__xludf.DUMMYFUNCTION("""COMPUTED_VALUE"""),"")</f>
        <v/>
      </c>
      <c r="J472" s="177" t="s">
        <v>6739</v>
      </c>
      <c r="K472" s="177" t="s">
        <v>7089</v>
      </c>
      <c r="L472" s="164"/>
      <c r="M472" s="187">
        <v>46008.783530092594</v>
      </c>
      <c r="N472" s="21" t="s">
        <v>22</v>
      </c>
      <c r="O472" s="164"/>
      <c r="P472" s="164"/>
      <c r="Q472" s="177" t="s">
        <v>2171</v>
      </c>
      <c r="R472" s="164"/>
      <c r="S472" s="163" t="str">
        <f>IFERROR(__xludf.DUMMYFUNCTION("""COMPUTED_VALUE"""),"")</f>
        <v/>
      </c>
      <c r="T472" s="164"/>
      <c r="U472" s="164"/>
      <c r="V472" s="164"/>
      <c r="W472" s="164"/>
      <c r="X472" s="164"/>
    </row>
    <row r="473">
      <c r="A473" s="175">
        <v>46008.0</v>
      </c>
      <c r="B473" s="176" t="s">
        <v>2603</v>
      </c>
      <c r="C473" s="177" t="s">
        <v>6992</v>
      </c>
      <c r="D473" s="177" t="s">
        <v>7008</v>
      </c>
      <c r="E473" s="177" t="s">
        <v>525</v>
      </c>
      <c r="F473" s="177" t="s">
        <v>1112</v>
      </c>
      <c r="G473" s="179" t="s">
        <v>6707</v>
      </c>
      <c r="H473" s="180" t="s">
        <v>2603</v>
      </c>
      <c r="I473" s="163">
        <f>IFERROR(__xludf.DUMMYFUNCTION("""COMPUTED_VALUE"""),7.1)</f>
        <v>7.1</v>
      </c>
      <c r="J473" s="177" t="s">
        <v>6708</v>
      </c>
      <c r="K473" s="177" t="s">
        <v>7090</v>
      </c>
      <c r="L473" s="164"/>
      <c r="M473" s="187">
        <v>46008.78482638889</v>
      </c>
      <c r="N473" s="21" t="s">
        <v>22</v>
      </c>
      <c r="O473" s="164"/>
      <c r="P473" s="164"/>
      <c r="Q473" s="177" t="s">
        <v>2171</v>
      </c>
      <c r="R473" s="164"/>
      <c r="S473" s="163">
        <f>IFERROR(__xludf.DUMMYFUNCTION("""COMPUTED_VALUE"""),14.2)</f>
        <v>14.2</v>
      </c>
      <c r="T473" s="164"/>
      <c r="U473" s="164"/>
      <c r="V473" s="164"/>
      <c r="W473" s="164"/>
      <c r="X473" s="164"/>
    </row>
    <row r="474">
      <c r="A474" s="175">
        <v>46008.0</v>
      </c>
      <c r="B474" s="176" t="s">
        <v>2187</v>
      </c>
      <c r="C474" s="177" t="s">
        <v>6994</v>
      </c>
      <c r="D474" s="177" t="s">
        <v>7008</v>
      </c>
      <c r="E474" s="177" t="s">
        <v>525</v>
      </c>
      <c r="F474" s="177"/>
      <c r="G474" s="186"/>
      <c r="H474" s="180"/>
      <c r="I474" s="163" t="str">
        <f>IFERROR(__xludf.DUMMYFUNCTION("""COMPUTED_VALUE"""),"")</f>
        <v/>
      </c>
      <c r="J474" s="177" t="s">
        <v>6708</v>
      </c>
      <c r="K474" s="177" t="s">
        <v>7091</v>
      </c>
      <c r="L474" s="164"/>
      <c r="M474" s="187">
        <v>46008.785520833335</v>
      </c>
      <c r="N474" s="21" t="s">
        <v>22</v>
      </c>
      <c r="O474" s="164"/>
      <c r="P474" s="164"/>
      <c r="Q474" s="177" t="s">
        <v>2171</v>
      </c>
      <c r="R474" s="164"/>
      <c r="S474" s="163" t="str">
        <f>IFERROR(__xludf.DUMMYFUNCTION("""COMPUTED_VALUE"""),"")</f>
        <v/>
      </c>
      <c r="T474" s="164"/>
      <c r="U474" s="164"/>
      <c r="V474" s="164"/>
      <c r="W474" s="164"/>
      <c r="X474" s="164"/>
    </row>
    <row r="475">
      <c r="A475" s="175">
        <v>46008.0</v>
      </c>
      <c r="B475" s="176" t="s">
        <v>2597</v>
      </c>
      <c r="C475" s="177" t="s">
        <v>6992</v>
      </c>
      <c r="D475" s="177" t="s">
        <v>7008</v>
      </c>
      <c r="E475" s="177" t="s">
        <v>525</v>
      </c>
      <c r="F475" s="177" t="s">
        <v>1112</v>
      </c>
      <c r="G475" s="179" t="s">
        <v>6707</v>
      </c>
      <c r="H475" s="180" t="s">
        <v>2597</v>
      </c>
      <c r="I475" s="163">
        <f>IFERROR(__xludf.DUMMYFUNCTION("""COMPUTED_VALUE"""),7.1)</f>
        <v>7.1</v>
      </c>
      <c r="J475" s="177" t="s">
        <v>6705</v>
      </c>
      <c r="K475" s="177" t="s">
        <v>7092</v>
      </c>
      <c r="L475" s="164"/>
      <c r="M475" s="187">
        <v>46008.78988425926</v>
      </c>
      <c r="N475" s="21" t="s">
        <v>22</v>
      </c>
      <c r="O475" s="164"/>
      <c r="P475" s="164"/>
      <c r="Q475" s="177" t="s">
        <v>2171</v>
      </c>
      <c r="R475" s="164"/>
      <c r="S475" s="163">
        <f>IFERROR(__xludf.DUMMYFUNCTION("""COMPUTED_VALUE"""),14.2)</f>
        <v>14.2</v>
      </c>
      <c r="T475" s="164"/>
      <c r="U475" s="164"/>
      <c r="V475" s="164"/>
      <c r="W475" s="164"/>
      <c r="X475" s="164"/>
    </row>
    <row r="476">
      <c r="A476" s="175">
        <v>46008.0</v>
      </c>
      <c r="B476" s="176" t="s">
        <v>2183</v>
      </c>
      <c r="C476" s="177" t="s">
        <v>6994</v>
      </c>
      <c r="D476" s="177" t="s">
        <v>7008</v>
      </c>
      <c r="E476" s="177" t="s">
        <v>525</v>
      </c>
      <c r="F476" s="177"/>
      <c r="G476" s="186"/>
      <c r="H476" s="180"/>
      <c r="I476" s="163" t="str">
        <f>IFERROR(__xludf.DUMMYFUNCTION("""COMPUTED_VALUE"""),"")</f>
        <v/>
      </c>
      <c r="J476" s="177" t="s">
        <v>6705</v>
      </c>
      <c r="K476" s="177" t="s">
        <v>7093</v>
      </c>
      <c r="L476" s="164"/>
      <c r="M476" s="187">
        <v>46008.79054398148</v>
      </c>
      <c r="N476" s="21" t="s">
        <v>22</v>
      </c>
      <c r="O476" s="164"/>
      <c r="P476" s="164"/>
      <c r="Q476" s="177" t="s">
        <v>2171</v>
      </c>
      <c r="R476" s="164"/>
      <c r="S476" s="163" t="str">
        <f>IFERROR(__xludf.DUMMYFUNCTION("""COMPUTED_VALUE"""),"")</f>
        <v/>
      </c>
      <c r="T476" s="164"/>
      <c r="U476" s="164"/>
      <c r="V476" s="164"/>
      <c r="W476" s="164"/>
      <c r="X476" s="164"/>
    </row>
    <row r="477">
      <c r="A477" s="175">
        <v>46009.0</v>
      </c>
      <c r="B477" s="176" t="s">
        <v>2609</v>
      </c>
      <c r="C477" s="177" t="s">
        <v>1049</v>
      </c>
      <c r="D477" s="177" t="s">
        <v>7049</v>
      </c>
      <c r="E477" s="177" t="s">
        <v>6781</v>
      </c>
      <c r="F477" s="177" t="s">
        <v>6832</v>
      </c>
      <c r="G477" s="179" t="s">
        <v>6707</v>
      </c>
      <c r="H477" s="180" t="s">
        <v>2609</v>
      </c>
      <c r="I477" s="163">
        <f>IFERROR(__xludf.DUMMYFUNCTION("""COMPUTED_VALUE"""),2.0)</f>
        <v>2</v>
      </c>
      <c r="J477" s="177" t="s">
        <v>6750</v>
      </c>
      <c r="K477" s="177" t="s">
        <v>7094</v>
      </c>
      <c r="L477" s="177" t="s">
        <v>7095</v>
      </c>
      <c r="M477" s="187">
        <v>46009.38377314815</v>
      </c>
      <c r="N477" s="21" t="s">
        <v>22</v>
      </c>
      <c r="O477" s="164"/>
      <c r="P477" s="164"/>
      <c r="Q477" s="177" t="s">
        <v>1747</v>
      </c>
      <c r="R477" s="164"/>
      <c r="S477" s="163">
        <f>IFERROR(__xludf.DUMMYFUNCTION("""COMPUTED_VALUE"""),6.0)</f>
        <v>6</v>
      </c>
      <c r="T477" s="164"/>
      <c r="U477" s="164"/>
      <c r="V477" s="164"/>
      <c r="W477" s="164"/>
      <c r="X477" s="164"/>
    </row>
    <row r="478">
      <c r="A478" s="175">
        <v>46009.0</v>
      </c>
      <c r="B478" s="176" t="s">
        <v>2611</v>
      </c>
      <c r="C478" s="177" t="s">
        <v>1049</v>
      </c>
      <c r="D478" s="177" t="s">
        <v>7014</v>
      </c>
      <c r="E478" s="177" t="s">
        <v>6781</v>
      </c>
      <c r="F478" s="177" t="s">
        <v>6706</v>
      </c>
      <c r="G478" s="179" t="s">
        <v>6707</v>
      </c>
      <c r="H478" s="180" t="s">
        <v>2611</v>
      </c>
      <c r="I478" s="163">
        <f>IFERROR(__xludf.DUMMYFUNCTION("""COMPUTED_VALUE"""),2.0)</f>
        <v>2</v>
      </c>
      <c r="J478" s="177" t="s">
        <v>6719</v>
      </c>
      <c r="K478" s="177" t="s">
        <v>7096</v>
      </c>
      <c r="L478" s="177" t="s">
        <v>7062</v>
      </c>
      <c r="M478" s="187">
        <v>46009.40206018519</v>
      </c>
      <c r="N478" s="21" t="s">
        <v>22</v>
      </c>
      <c r="O478" s="164"/>
      <c r="P478" s="164"/>
      <c r="Q478" s="177" t="s">
        <v>1747</v>
      </c>
      <c r="R478" s="164"/>
      <c r="S478" s="163">
        <f>IFERROR(__xludf.DUMMYFUNCTION("""COMPUTED_VALUE"""),6.0)</f>
        <v>6</v>
      </c>
      <c r="T478" s="164"/>
      <c r="U478" s="164"/>
      <c r="V478" s="164"/>
      <c r="W478" s="164"/>
      <c r="X478" s="164"/>
    </row>
    <row r="479">
      <c r="A479" s="175">
        <v>46009.0</v>
      </c>
      <c r="B479" s="176" t="s">
        <v>2619</v>
      </c>
      <c r="C479" s="177" t="s">
        <v>1049</v>
      </c>
      <c r="D479" s="177" t="s">
        <v>7014</v>
      </c>
      <c r="E479" s="177"/>
      <c r="F479" s="177" t="s">
        <v>6832</v>
      </c>
      <c r="G479" s="179" t="s">
        <v>6707</v>
      </c>
      <c r="H479" s="180" t="s">
        <v>2619</v>
      </c>
      <c r="I479" s="163">
        <f>IFERROR(__xludf.DUMMYFUNCTION("""COMPUTED_VALUE"""),16.5)</f>
        <v>16.5</v>
      </c>
      <c r="J479" s="177" t="s">
        <v>6750</v>
      </c>
      <c r="K479" s="177" t="s">
        <v>7097</v>
      </c>
      <c r="L479" s="164"/>
      <c r="M479" s="187">
        <v>46009.416296296295</v>
      </c>
      <c r="N479" s="21" t="s">
        <v>22</v>
      </c>
      <c r="O479" s="164"/>
      <c r="P479" s="164"/>
      <c r="Q479" s="177" t="s">
        <v>2620</v>
      </c>
      <c r="R479" s="164"/>
      <c r="S479" s="163">
        <f>IFERROR(__xludf.DUMMYFUNCTION("""COMPUTED_VALUE"""),40.0)</f>
        <v>40</v>
      </c>
      <c r="T479" s="164"/>
      <c r="U479" s="164"/>
      <c r="V479" s="164"/>
      <c r="W479" s="164"/>
      <c r="X479" s="164"/>
    </row>
    <row r="480">
      <c r="A480" s="175">
        <v>46009.0</v>
      </c>
      <c r="B480" s="176" t="s">
        <v>2816</v>
      </c>
      <c r="C480" s="177" t="s">
        <v>1049</v>
      </c>
      <c r="D480" s="177" t="s">
        <v>7014</v>
      </c>
      <c r="E480" s="177" t="s">
        <v>6878</v>
      </c>
      <c r="F480" s="177" t="s">
        <v>842</v>
      </c>
      <c r="G480" s="179" t="s">
        <v>6707</v>
      </c>
      <c r="H480" s="180" t="s">
        <v>2816</v>
      </c>
      <c r="I480" s="163">
        <f>IFERROR(__xludf.DUMMYFUNCTION("""COMPUTED_VALUE"""),16.5)</f>
        <v>16.5</v>
      </c>
      <c r="J480" s="177" t="s">
        <v>6705</v>
      </c>
      <c r="K480" s="177" t="s">
        <v>7098</v>
      </c>
      <c r="L480" s="164"/>
      <c r="M480" s="187">
        <v>46009.41954861111</v>
      </c>
      <c r="N480" s="21" t="s">
        <v>22</v>
      </c>
      <c r="O480" s="164"/>
      <c r="P480" s="164"/>
      <c r="Q480" s="177" t="s">
        <v>2620</v>
      </c>
      <c r="R480" s="164"/>
      <c r="S480" s="163">
        <f>IFERROR(__xludf.DUMMYFUNCTION("""COMPUTED_VALUE"""),40.0)</f>
        <v>40</v>
      </c>
      <c r="T480" s="164"/>
      <c r="U480" s="164"/>
      <c r="V480" s="164"/>
      <c r="W480" s="164"/>
      <c r="X480" s="164"/>
    </row>
    <row r="481">
      <c r="A481" s="175">
        <v>46009.0</v>
      </c>
      <c r="B481" s="176" t="s">
        <v>2613</v>
      </c>
      <c r="C481" s="177" t="s">
        <v>1049</v>
      </c>
      <c r="D481" s="177" t="s">
        <v>7014</v>
      </c>
      <c r="E481" s="177" t="s">
        <v>38</v>
      </c>
      <c r="F481" s="177" t="s">
        <v>7000</v>
      </c>
      <c r="G481" s="179" t="s">
        <v>6707</v>
      </c>
      <c r="H481" s="180" t="s">
        <v>2613</v>
      </c>
      <c r="I481" s="163">
        <f>IFERROR(__xludf.DUMMYFUNCTION("""COMPUTED_VALUE"""),0.0)</f>
        <v>0</v>
      </c>
      <c r="J481" s="177" t="s">
        <v>6705</v>
      </c>
      <c r="K481" s="177" t="s">
        <v>7099</v>
      </c>
      <c r="L481" s="164"/>
      <c r="M481" s="187">
        <v>46009.430983796294</v>
      </c>
      <c r="N481" s="21" t="s">
        <v>22</v>
      </c>
      <c r="O481" s="164"/>
      <c r="P481" s="164"/>
      <c r="Q481" s="177" t="s">
        <v>2614</v>
      </c>
      <c r="R481" s="164"/>
      <c r="S481" s="163"/>
      <c r="T481" s="164"/>
      <c r="U481" s="164"/>
      <c r="V481" s="164"/>
      <c r="W481" s="164"/>
      <c r="X481" s="164"/>
    </row>
    <row r="482">
      <c r="A482" s="175">
        <v>46009.0</v>
      </c>
      <c r="B482" s="176" t="s">
        <v>2616</v>
      </c>
      <c r="C482" s="177" t="s">
        <v>1118</v>
      </c>
      <c r="D482" s="177" t="s">
        <v>7014</v>
      </c>
      <c r="E482" s="177"/>
      <c r="F482" s="177" t="s">
        <v>7000</v>
      </c>
      <c r="G482" s="179" t="s">
        <v>6707</v>
      </c>
      <c r="H482" s="180" t="s">
        <v>2616</v>
      </c>
      <c r="I482" s="163">
        <f>IFERROR(__xludf.DUMMYFUNCTION("""COMPUTED_VALUE"""),10.0)</f>
        <v>10</v>
      </c>
      <c r="J482" s="177" t="s">
        <v>6705</v>
      </c>
      <c r="K482" s="177" t="s">
        <v>7100</v>
      </c>
      <c r="L482" s="164"/>
      <c r="M482" s="187">
        <v>46009.442407407405</v>
      </c>
      <c r="N482" s="21" t="s">
        <v>22</v>
      </c>
      <c r="O482" s="177" t="s">
        <v>7101</v>
      </c>
      <c r="P482" s="164"/>
      <c r="Q482" s="177" t="s">
        <v>2617</v>
      </c>
      <c r="R482" s="164"/>
      <c r="S482" s="163">
        <f>IFERROR(__xludf.DUMMYFUNCTION("""COMPUTED_VALUE"""),0.0)</f>
        <v>0</v>
      </c>
      <c r="T482" s="164"/>
      <c r="U482" s="164"/>
      <c r="V482" s="164"/>
      <c r="W482" s="164"/>
      <c r="X482" s="164"/>
    </row>
    <row r="483">
      <c r="A483" s="175">
        <v>46009.0</v>
      </c>
      <c r="B483" s="176" t="s">
        <v>2616</v>
      </c>
      <c r="C483" s="177" t="s">
        <v>6716</v>
      </c>
      <c r="D483" s="177" t="s">
        <v>7014</v>
      </c>
      <c r="E483" s="177"/>
      <c r="F483" s="177" t="s">
        <v>6987</v>
      </c>
      <c r="G483" s="179" t="s">
        <v>6720</v>
      </c>
      <c r="H483" s="180" t="s">
        <v>2624</v>
      </c>
      <c r="I483" s="163">
        <f>IFERROR(__xludf.DUMMYFUNCTION("""COMPUTED_VALUE"""),10.0)</f>
        <v>10</v>
      </c>
      <c r="J483" s="177" t="s">
        <v>6735</v>
      </c>
      <c r="K483" s="177" t="s">
        <v>4602</v>
      </c>
      <c r="L483" s="164"/>
      <c r="M483" s="187">
        <v>46009.44305555556</v>
      </c>
      <c r="N483" s="21" t="s">
        <v>22</v>
      </c>
      <c r="O483" s="164"/>
      <c r="P483" s="164"/>
      <c r="Q483" s="177" t="s">
        <v>2617</v>
      </c>
      <c r="R483" s="164"/>
      <c r="S483" s="163">
        <f>IFERROR(__xludf.DUMMYFUNCTION("""COMPUTED_VALUE"""),0.0)</f>
        <v>0</v>
      </c>
      <c r="T483" s="164"/>
      <c r="U483" s="164"/>
      <c r="V483" s="164"/>
      <c r="W483" s="164"/>
      <c r="X483" s="164"/>
    </row>
    <row r="484">
      <c r="A484" s="175">
        <v>46009.0</v>
      </c>
      <c r="B484" s="176" t="s">
        <v>2630</v>
      </c>
      <c r="C484" s="177" t="s">
        <v>1049</v>
      </c>
      <c r="D484" s="177" t="s">
        <v>7014</v>
      </c>
      <c r="E484" s="177" t="s">
        <v>38</v>
      </c>
      <c r="F484" s="177" t="s">
        <v>7000</v>
      </c>
      <c r="G484" s="179" t="s">
        <v>6707</v>
      </c>
      <c r="H484" s="180" t="s">
        <v>2630</v>
      </c>
      <c r="I484" s="163">
        <f>IFERROR(__xludf.DUMMYFUNCTION("""COMPUTED_VALUE"""),12.0)</f>
        <v>12</v>
      </c>
      <c r="J484" s="177" t="s">
        <v>6705</v>
      </c>
      <c r="K484" s="177" t="s">
        <v>7102</v>
      </c>
      <c r="L484" s="164"/>
      <c r="M484" s="187">
        <v>46009.45185185185</v>
      </c>
      <c r="N484" s="21" t="s">
        <v>22</v>
      </c>
      <c r="O484" s="164"/>
      <c r="P484" s="164"/>
      <c r="Q484" s="177" t="s">
        <v>2066</v>
      </c>
      <c r="R484" s="164"/>
      <c r="S484" s="163">
        <f>IFERROR(__xludf.DUMMYFUNCTION("""COMPUTED_VALUE"""),20.0)</f>
        <v>20</v>
      </c>
      <c r="T484" s="164"/>
      <c r="U484" s="164"/>
      <c r="V484" s="164"/>
      <c r="W484" s="164"/>
      <c r="X484" s="164"/>
    </row>
    <row r="485">
      <c r="A485" s="175">
        <v>46009.0</v>
      </c>
      <c r="B485" s="176" t="s">
        <v>2622</v>
      </c>
      <c r="C485" s="177" t="s">
        <v>1049</v>
      </c>
      <c r="D485" s="177" t="s">
        <v>7014</v>
      </c>
      <c r="E485" s="177" t="s">
        <v>38</v>
      </c>
      <c r="F485" s="177" t="s">
        <v>7000</v>
      </c>
      <c r="G485" s="179" t="s">
        <v>6707</v>
      </c>
      <c r="H485" s="180" t="s">
        <v>2622</v>
      </c>
      <c r="I485" s="163">
        <f>IFERROR(__xludf.DUMMYFUNCTION("""COMPUTED_VALUE"""),8.0)</f>
        <v>8</v>
      </c>
      <c r="J485" s="177" t="s">
        <v>6705</v>
      </c>
      <c r="K485" s="177" t="s">
        <v>7103</v>
      </c>
      <c r="L485" s="164"/>
      <c r="M485" s="187">
        <v>46009.457094907404</v>
      </c>
      <c r="N485" s="21" t="s">
        <v>22</v>
      </c>
      <c r="O485" s="164"/>
      <c r="P485" s="164"/>
      <c r="Q485" s="177" t="s">
        <v>2051</v>
      </c>
      <c r="R485" s="164"/>
      <c r="S485" s="163">
        <f>IFERROR(__xludf.DUMMYFUNCTION("""COMPUTED_VALUE"""),15.0)</f>
        <v>15</v>
      </c>
      <c r="T485" s="164"/>
      <c r="U485" s="164"/>
      <c r="V485" s="164"/>
      <c r="W485" s="164"/>
      <c r="X485" s="164"/>
    </row>
    <row r="486">
      <c r="A486" s="175">
        <v>46009.0</v>
      </c>
      <c r="B486" s="176" t="s">
        <v>2628</v>
      </c>
      <c r="C486" s="177" t="s">
        <v>1049</v>
      </c>
      <c r="D486" s="177" t="s">
        <v>7025</v>
      </c>
      <c r="E486" s="177"/>
      <c r="F486" s="177" t="s">
        <v>38</v>
      </c>
      <c r="G486" s="179" t="s">
        <v>6707</v>
      </c>
      <c r="H486" s="180" t="s">
        <v>2628</v>
      </c>
      <c r="I486" s="163">
        <f>IFERROR(__xludf.DUMMYFUNCTION("""COMPUTED_VALUE"""),9.0)</f>
        <v>9</v>
      </c>
      <c r="J486" s="177" t="s">
        <v>6975</v>
      </c>
      <c r="K486" s="177" t="s">
        <v>7104</v>
      </c>
      <c r="L486" s="177" t="s">
        <v>7062</v>
      </c>
      <c r="M486" s="187">
        <v>46009.50188657407</v>
      </c>
      <c r="N486" s="21" t="s">
        <v>22</v>
      </c>
      <c r="O486" s="164"/>
      <c r="P486" s="164"/>
      <c r="Q486" s="177" t="s">
        <v>1527</v>
      </c>
      <c r="R486" s="164"/>
      <c r="S486" s="163">
        <f>IFERROR(__xludf.DUMMYFUNCTION("""COMPUTED_VALUE"""),19.99)</f>
        <v>19.99</v>
      </c>
      <c r="T486" s="164"/>
      <c r="U486" s="164"/>
      <c r="V486" s="164"/>
      <c r="W486" s="164"/>
      <c r="X486" s="164"/>
    </row>
    <row r="487">
      <c r="A487" s="175">
        <v>46009.0</v>
      </c>
      <c r="B487" s="176" t="s">
        <v>2626</v>
      </c>
      <c r="C487" s="177" t="s">
        <v>1049</v>
      </c>
      <c r="D487" s="177" t="s">
        <v>7014</v>
      </c>
      <c r="E487" s="177"/>
      <c r="F487" s="177" t="s">
        <v>6987</v>
      </c>
      <c r="G487" s="179" t="s">
        <v>6707</v>
      </c>
      <c r="H487" s="180" t="s">
        <v>2626</v>
      </c>
      <c r="I487" s="163">
        <f>IFERROR(__xludf.DUMMYFUNCTION("""COMPUTED_VALUE"""),6.9)</f>
        <v>6.9</v>
      </c>
      <c r="J487" s="177" t="s">
        <v>6735</v>
      </c>
      <c r="K487" s="177" t="s">
        <v>7105</v>
      </c>
      <c r="L487" s="164"/>
      <c r="M487" s="187">
        <v>46009.82417824074</v>
      </c>
      <c r="N487" s="21" t="s">
        <v>22</v>
      </c>
      <c r="O487" s="164"/>
      <c r="P487" s="164"/>
      <c r="Q487" s="177" t="s">
        <v>2235</v>
      </c>
      <c r="R487" s="164"/>
      <c r="S487" s="163">
        <f>IFERROR(__xludf.DUMMYFUNCTION("""COMPUTED_VALUE"""),14.99)</f>
        <v>14.99</v>
      </c>
      <c r="T487" s="164"/>
      <c r="U487" s="164"/>
      <c r="V487" s="164"/>
      <c r="W487" s="164"/>
      <c r="X487" s="164"/>
    </row>
    <row r="488">
      <c r="A488" s="175">
        <v>46011.0</v>
      </c>
      <c r="B488" s="176" t="s">
        <v>2632</v>
      </c>
      <c r="C488" s="177" t="s">
        <v>1049</v>
      </c>
      <c r="D488" s="177" t="s">
        <v>7006</v>
      </c>
      <c r="E488" s="177" t="s">
        <v>662</v>
      </c>
      <c r="F488" s="177" t="s">
        <v>662</v>
      </c>
      <c r="G488" s="179" t="s">
        <v>6707</v>
      </c>
      <c r="H488" s="180" t="s">
        <v>2632</v>
      </c>
      <c r="I488" s="163">
        <f>IFERROR(__xludf.DUMMYFUNCTION("""COMPUTED_VALUE"""),5.59)</f>
        <v>5.59</v>
      </c>
      <c r="J488" s="177" t="s">
        <v>6975</v>
      </c>
      <c r="K488" s="177" t="s">
        <v>7106</v>
      </c>
      <c r="L488" s="177" t="s">
        <v>7062</v>
      </c>
      <c r="M488" s="187">
        <v>46011.383263888885</v>
      </c>
      <c r="N488" s="21" t="s">
        <v>22</v>
      </c>
      <c r="O488" s="164"/>
      <c r="P488" s="164"/>
      <c r="Q488" s="177" t="s">
        <v>2633</v>
      </c>
      <c r="R488" s="164"/>
      <c r="S488" s="163">
        <f>IFERROR(__xludf.DUMMYFUNCTION("""COMPUTED_VALUE"""),11.18)</f>
        <v>11.18</v>
      </c>
      <c r="T488" s="164"/>
      <c r="U488" s="164"/>
      <c r="V488" s="164"/>
      <c r="W488" s="164"/>
      <c r="X488" s="164"/>
    </row>
    <row r="489">
      <c r="A489" s="175">
        <v>46011.0</v>
      </c>
      <c r="B489" s="176" t="s">
        <v>2659</v>
      </c>
      <c r="C489" s="177" t="s">
        <v>1118</v>
      </c>
      <c r="D489" s="177" t="s">
        <v>7014</v>
      </c>
      <c r="E489" s="177" t="s">
        <v>38</v>
      </c>
      <c r="F489" s="177" t="s">
        <v>6832</v>
      </c>
      <c r="G489" s="179" t="s">
        <v>6707</v>
      </c>
      <c r="H489" s="180" t="s">
        <v>2659</v>
      </c>
      <c r="I489" s="163">
        <f>IFERROR(__xludf.DUMMYFUNCTION("""COMPUTED_VALUE"""),2.1)</f>
        <v>2.1</v>
      </c>
      <c r="J489" s="177" t="s">
        <v>6705</v>
      </c>
      <c r="K489" s="177" t="s">
        <v>7107</v>
      </c>
      <c r="L489" s="164"/>
      <c r="M489" s="187">
        <v>46011.401238425926</v>
      </c>
      <c r="N489" s="21" t="s">
        <v>22</v>
      </c>
      <c r="O489" s="164"/>
      <c r="P489" s="164"/>
      <c r="Q489" s="177" t="s">
        <v>2438</v>
      </c>
      <c r="R489" s="164"/>
      <c r="S489" s="163">
        <f>IFERROR(__xludf.DUMMYFUNCTION("""COMPUTED_VALUE"""),4.996666666666667)</f>
        <v>4.996666667</v>
      </c>
      <c r="T489" s="164"/>
      <c r="U489" s="164"/>
      <c r="V489" s="164"/>
      <c r="W489" s="164"/>
      <c r="X489" s="164"/>
    </row>
    <row r="490">
      <c r="A490" s="175">
        <v>46011.0</v>
      </c>
      <c r="B490" s="176" t="s">
        <v>2659</v>
      </c>
      <c r="C490" s="177" t="s">
        <v>6716</v>
      </c>
      <c r="D490" s="177" t="s">
        <v>7014</v>
      </c>
      <c r="E490" s="177"/>
      <c r="F490" s="177" t="s">
        <v>842</v>
      </c>
      <c r="G490" s="179" t="s">
        <v>6720</v>
      </c>
      <c r="H490" s="180" t="s">
        <v>3174</v>
      </c>
      <c r="I490" s="163">
        <f>IFERROR(__xludf.DUMMYFUNCTION("""COMPUTED_VALUE"""),2.1)</f>
        <v>2.1</v>
      </c>
      <c r="J490" s="177" t="s">
        <v>6705</v>
      </c>
      <c r="K490" s="177" t="s">
        <v>4604</v>
      </c>
      <c r="L490" s="164"/>
      <c r="M490" s="187">
        <v>46011.4028125</v>
      </c>
      <c r="N490" s="21" t="s">
        <v>22</v>
      </c>
      <c r="O490" s="164"/>
      <c r="P490" s="164"/>
      <c r="Q490" s="177" t="s">
        <v>2438</v>
      </c>
      <c r="R490" s="164"/>
      <c r="S490" s="163">
        <f>IFERROR(__xludf.DUMMYFUNCTION("""COMPUTED_VALUE"""),4.996666666666667)</f>
        <v>4.996666667</v>
      </c>
      <c r="T490" s="164"/>
      <c r="U490" s="164"/>
      <c r="V490" s="164"/>
      <c r="W490" s="164"/>
      <c r="X490" s="164"/>
    </row>
    <row r="491">
      <c r="A491" s="175">
        <v>46011.0</v>
      </c>
      <c r="B491" s="176" t="s">
        <v>2659</v>
      </c>
      <c r="C491" s="177" t="s">
        <v>6716</v>
      </c>
      <c r="D491" s="177" t="s">
        <v>7014</v>
      </c>
      <c r="E491" s="177"/>
      <c r="F491" s="177" t="s">
        <v>6713</v>
      </c>
      <c r="G491" s="179" t="s">
        <v>6721</v>
      </c>
      <c r="H491" s="180" t="s">
        <v>2635</v>
      </c>
      <c r="I491" s="163">
        <f>IFERROR(__xludf.DUMMYFUNCTION("""COMPUTED_VALUE"""),2.1)</f>
        <v>2.1</v>
      </c>
      <c r="J491" s="177" t="s">
        <v>6735</v>
      </c>
      <c r="K491" s="177" t="s">
        <v>4606</v>
      </c>
      <c r="L491" s="164"/>
      <c r="M491" s="187">
        <v>46011.403495370374</v>
      </c>
      <c r="N491" s="21" t="s">
        <v>22</v>
      </c>
      <c r="O491" s="164"/>
      <c r="P491" s="164"/>
      <c r="Q491" s="177" t="s">
        <v>2438</v>
      </c>
      <c r="R491" s="164"/>
      <c r="S491" s="163">
        <f>IFERROR(__xludf.DUMMYFUNCTION("""COMPUTED_VALUE"""),4.996666666666667)</f>
        <v>4.996666667</v>
      </c>
      <c r="T491" s="164"/>
      <c r="U491" s="164"/>
      <c r="V491" s="164"/>
      <c r="W491" s="164"/>
      <c r="X491" s="164"/>
    </row>
    <row r="492">
      <c r="A492" s="175">
        <v>46011.0</v>
      </c>
      <c r="B492" s="176" t="s">
        <v>2657</v>
      </c>
      <c r="C492" s="177" t="s">
        <v>1049</v>
      </c>
      <c r="D492" s="177" t="s">
        <v>7014</v>
      </c>
      <c r="E492" s="177" t="s">
        <v>38</v>
      </c>
      <c r="F492" s="177" t="s">
        <v>38</v>
      </c>
      <c r="G492" s="179" t="s">
        <v>6707</v>
      </c>
      <c r="H492" s="180" t="s">
        <v>2657</v>
      </c>
      <c r="I492" s="163">
        <f>IFERROR(__xludf.DUMMYFUNCTION("""COMPUTED_VALUE"""),24.0)</f>
        <v>24</v>
      </c>
      <c r="J492" s="177" t="s">
        <v>6735</v>
      </c>
      <c r="K492" s="177" t="s">
        <v>7108</v>
      </c>
      <c r="L492" s="177" t="s">
        <v>7109</v>
      </c>
      <c r="M492" s="187">
        <v>46011.44451388889</v>
      </c>
      <c r="N492" s="21" t="s">
        <v>22</v>
      </c>
      <c r="O492" s="164"/>
      <c r="P492" s="164"/>
      <c r="Q492" s="177" t="s">
        <v>2584</v>
      </c>
      <c r="R492" s="164"/>
      <c r="S492" s="163">
        <f>IFERROR(__xludf.DUMMYFUNCTION("""COMPUTED_VALUE"""),59.99)</f>
        <v>59.99</v>
      </c>
      <c r="T492" s="164"/>
      <c r="U492" s="164"/>
      <c r="V492" s="164"/>
      <c r="W492" s="164"/>
      <c r="X492" s="164"/>
    </row>
    <row r="493">
      <c r="A493" s="175">
        <v>46011.0</v>
      </c>
      <c r="B493" s="176" t="s">
        <v>2655</v>
      </c>
      <c r="C493" s="177" t="s">
        <v>1049</v>
      </c>
      <c r="D493" s="177" t="s">
        <v>7014</v>
      </c>
      <c r="E493" s="177" t="s">
        <v>38</v>
      </c>
      <c r="F493" s="177" t="s">
        <v>38</v>
      </c>
      <c r="G493" s="179" t="s">
        <v>6707</v>
      </c>
      <c r="H493" s="180" t="s">
        <v>2655</v>
      </c>
      <c r="I493" s="163">
        <f>IFERROR(__xludf.DUMMYFUNCTION("""COMPUTED_VALUE"""),24.0)</f>
        <v>24</v>
      </c>
      <c r="J493" s="177" t="s">
        <v>6735</v>
      </c>
      <c r="K493" s="177" t="s">
        <v>7110</v>
      </c>
      <c r="L493" s="177" t="s">
        <v>7109</v>
      </c>
      <c r="M493" s="187">
        <v>46011.446539351855</v>
      </c>
      <c r="N493" s="21" t="s">
        <v>22</v>
      </c>
      <c r="O493" s="164"/>
      <c r="P493" s="164"/>
      <c r="Q493" s="177" t="s">
        <v>2584</v>
      </c>
      <c r="R493" s="164"/>
      <c r="S493" s="163">
        <f>IFERROR(__xludf.DUMMYFUNCTION("""COMPUTED_VALUE"""),59.99)</f>
        <v>59.99</v>
      </c>
      <c r="T493" s="164"/>
      <c r="U493" s="164"/>
      <c r="V493" s="164"/>
      <c r="W493" s="164"/>
      <c r="X493" s="164"/>
    </row>
    <row r="494">
      <c r="A494" s="175">
        <v>46011.0</v>
      </c>
      <c r="B494" s="176" t="s">
        <v>2653</v>
      </c>
      <c r="C494" s="177" t="s">
        <v>1049</v>
      </c>
      <c r="D494" s="177" t="s">
        <v>7014</v>
      </c>
      <c r="E494" s="177" t="s">
        <v>38</v>
      </c>
      <c r="F494" s="177" t="s">
        <v>38</v>
      </c>
      <c r="G494" s="179" t="s">
        <v>6707</v>
      </c>
      <c r="H494" s="180" t="s">
        <v>2653</v>
      </c>
      <c r="I494" s="163">
        <f>IFERROR(__xludf.DUMMYFUNCTION("""COMPUTED_VALUE"""),24.0)</f>
        <v>24</v>
      </c>
      <c r="J494" s="177" t="s">
        <v>6735</v>
      </c>
      <c r="K494" s="177" t="s">
        <v>7111</v>
      </c>
      <c r="L494" s="177" t="s">
        <v>7109</v>
      </c>
      <c r="M494" s="187">
        <v>46011.448842592596</v>
      </c>
      <c r="N494" s="21" t="s">
        <v>22</v>
      </c>
      <c r="O494" s="164"/>
      <c r="P494" s="164"/>
      <c r="Q494" s="177" t="s">
        <v>2584</v>
      </c>
      <c r="R494" s="164"/>
      <c r="S494" s="163">
        <f>IFERROR(__xludf.DUMMYFUNCTION("""COMPUTED_VALUE"""),59.99)</f>
        <v>59.99</v>
      </c>
      <c r="T494" s="164"/>
      <c r="U494" s="164"/>
      <c r="V494" s="164"/>
      <c r="W494" s="164"/>
      <c r="X494" s="164"/>
    </row>
    <row r="495">
      <c r="A495" s="175">
        <v>46011.0</v>
      </c>
      <c r="B495" s="176" t="s">
        <v>2647</v>
      </c>
      <c r="C495" s="177" t="s">
        <v>1118</v>
      </c>
      <c r="D495" s="177" t="s">
        <v>7006</v>
      </c>
      <c r="E495" s="177" t="s">
        <v>38</v>
      </c>
      <c r="F495" s="177" t="s">
        <v>38</v>
      </c>
      <c r="G495" s="179" t="s">
        <v>6707</v>
      </c>
      <c r="H495" s="180" t="s">
        <v>2647</v>
      </c>
      <c r="I495" s="163">
        <f>IFERROR(__xludf.DUMMYFUNCTION("""COMPUTED_VALUE"""),1.3199999999999998)</f>
        <v>1.32</v>
      </c>
      <c r="J495" s="177" t="s">
        <v>6735</v>
      </c>
      <c r="K495" s="177" t="s">
        <v>7112</v>
      </c>
      <c r="L495" s="164"/>
      <c r="M495" s="187">
        <v>46011.46071759259</v>
      </c>
      <c r="N495" s="21" t="s">
        <v>22</v>
      </c>
      <c r="O495" s="164"/>
      <c r="P495" s="164"/>
      <c r="Q495" s="177" t="s">
        <v>2581</v>
      </c>
      <c r="R495" s="164"/>
      <c r="S495" s="163">
        <f>IFERROR(__xludf.DUMMYFUNCTION("""COMPUTED_VALUE"""),2.998)</f>
        <v>2.998</v>
      </c>
      <c r="T495" s="164"/>
      <c r="U495" s="164"/>
      <c r="V495" s="164"/>
      <c r="W495" s="164"/>
      <c r="X495" s="164"/>
    </row>
    <row r="496">
      <c r="A496" s="175">
        <v>46011.0</v>
      </c>
      <c r="B496" s="176" t="s">
        <v>2647</v>
      </c>
      <c r="C496" s="177" t="s">
        <v>6716</v>
      </c>
      <c r="D496" s="177" t="s">
        <v>7049</v>
      </c>
      <c r="E496" s="177"/>
      <c r="F496" s="177" t="s">
        <v>6749</v>
      </c>
      <c r="G496" s="179" t="s">
        <v>6720</v>
      </c>
      <c r="H496" s="180" t="s">
        <v>2984</v>
      </c>
      <c r="I496" s="163">
        <f>IFERROR(__xludf.DUMMYFUNCTION("""COMPUTED_VALUE"""),1.3199999999999998)</f>
        <v>1.32</v>
      </c>
      <c r="J496" s="177" t="s">
        <v>6750</v>
      </c>
      <c r="K496" s="177" t="s">
        <v>4608</v>
      </c>
      <c r="L496" s="177" t="s">
        <v>7113</v>
      </c>
      <c r="M496" s="187">
        <v>46011.46131944445</v>
      </c>
      <c r="N496" s="21" t="s">
        <v>22</v>
      </c>
      <c r="O496" s="164"/>
      <c r="P496" s="164"/>
      <c r="Q496" s="177" t="s">
        <v>2581</v>
      </c>
      <c r="R496" s="164"/>
      <c r="S496" s="163">
        <f>IFERROR(__xludf.DUMMYFUNCTION("""COMPUTED_VALUE"""),2.998)</f>
        <v>2.998</v>
      </c>
      <c r="T496" s="164"/>
      <c r="U496" s="164"/>
      <c r="V496" s="164"/>
      <c r="W496" s="164"/>
      <c r="X496" s="164"/>
    </row>
    <row r="497">
      <c r="A497" s="175">
        <v>46011.0</v>
      </c>
      <c r="B497" s="176" t="s">
        <v>2647</v>
      </c>
      <c r="C497" s="177" t="s">
        <v>6716</v>
      </c>
      <c r="D497" s="177" t="s">
        <v>7049</v>
      </c>
      <c r="E497" s="177"/>
      <c r="F497" s="177" t="s">
        <v>6749</v>
      </c>
      <c r="G497" s="179" t="s">
        <v>6721</v>
      </c>
      <c r="H497" s="180" t="s">
        <v>2987</v>
      </c>
      <c r="I497" s="163">
        <f>IFERROR(__xludf.DUMMYFUNCTION("""COMPUTED_VALUE"""),1.3199999999999998)</f>
        <v>1.32</v>
      </c>
      <c r="J497" s="177" t="s">
        <v>6750</v>
      </c>
      <c r="K497" s="177" t="s">
        <v>4610</v>
      </c>
      <c r="L497" s="177" t="s">
        <v>7113</v>
      </c>
      <c r="M497" s="187">
        <v>46011.462222222224</v>
      </c>
      <c r="N497" s="21" t="s">
        <v>22</v>
      </c>
      <c r="O497" s="164"/>
      <c r="P497" s="164"/>
      <c r="Q497" s="177" t="s">
        <v>2581</v>
      </c>
      <c r="R497" s="164"/>
      <c r="S497" s="163">
        <f>IFERROR(__xludf.DUMMYFUNCTION("""COMPUTED_VALUE"""),2.998)</f>
        <v>2.998</v>
      </c>
      <c r="T497" s="164"/>
      <c r="U497" s="164"/>
      <c r="V497" s="164"/>
      <c r="W497" s="164"/>
      <c r="X497" s="164"/>
    </row>
    <row r="498">
      <c r="A498" s="175">
        <v>46011.0</v>
      </c>
      <c r="B498" s="176" t="s">
        <v>2647</v>
      </c>
      <c r="C498" s="177" t="s">
        <v>6716</v>
      </c>
      <c r="D498" s="177" t="s">
        <v>7049</v>
      </c>
      <c r="E498" s="177"/>
      <c r="F498" s="177" t="s">
        <v>6749</v>
      </c>
      <c r="G498" s="179" t="s">
        <v>6722</v>
      </c>
      <c r="H498" s="180" t="s">
        <v>2990</v>
      </c>
      <c r="I498" s="163">
        <f>IFERROR(__xludf.DUMMYFUNCTION("""COMPUTED_VALUE"""),1.3199999999999998)</f>
        <v>1.32</v>
      </c>
      <c r="J498" s="177" t="s">
        <v>6750</v>
      </c>
      <c r="K498" s="177" t="s">
        <v>4612</v>
      </c>
      <c r="L498" s="177" t="s">
        <v>7113</v>
      </c>
      <c r="M498" s="187">
        <v>46011.46310185185</v>
      </c>
      <c r="N498" s="21" t="s">
        <v>22</v>
      </c>
      <c r="O498" s="164"/>
      <c r="P498" s="164"/>
      <c r="Q498" s="177" t="s">
        <v>2581</v>
      </c>
      <c r="R498" s="164"/>
      <c r="S498" s="163">
        <f>IFERROR(__xludf.DUMMYFUNCTION("""COMPUTED_VALUE"""),2.998)</f>
        <v>2.998</v>
      </c>
      <c r="T498" s="164"/>
      <c r="U498" s="164"/>
      <c r="V498" s="164"/>
      <c r="W498" s="164"/>
      <c r="X498" s="164"/>
    </row>
    <row r="499">
      <c r="A499" s="175">
        <v>46011.0</v>
      </c>
      <c r="B499" s="176" t="s">
        <v>2649</v>
      </c>
      <c r="C499" s="177" t="s">
        <v>1118</v>
      </c>
      <c r="D499" s="177" t="s">
        <v>7006</v>
      </c>
      <c r="E499" s="177" t="s">
        <v>38</v>
      </c>
      <c r="F499" s="177" t="s">
        <v>38</v>
      </c>
      <c r="G499" s="179" t="s">
        <v>6707</v>
      </c>
      <c r="H499" s="180" t="s">
        <v>2649</v>
      </c>
      <c r="I499" s="163">
        <f>IFERROR(__xludf.DUMMYFUNCTION("""COMPUTED_VALUE"""),2.1999999999999997)</f>
        <v>2.2</v>
      </c>
      <c r="J499" s="177" t="s">
        <v>6735</v>
      </c>
      <c r="K499" s="177" t="s">
        <v>7114</v>
      </c>
      <c r="L499" s="177" t="s">
        <v>7062</v>
      </c>
      <c r="M499" s="187">
        <v>46011.78797453704</v>
      </c>
      <c r="N499" s="21" t="s">
        <v>22</v>
      </c>
      <c r="O499" s="164"/>
      <c r="P499" s="164"/>
      <c r="Q499" s="177" t="s">
        <v>2581</v>
      </c>
      <c r="R499" s="164"/>
      <c r="S499" s="163">
        <f>IFERROR(__xludf.DUMMYFUNCTION("""COMPUTED_VALUE"""),4.996666666666667)</f>
        <v>4.996666667</v>
      </c>
      <c r="T499" s="164"/>
      <c r="U499" s="164"/>
      <c r="V499" s="164"/>
      <c r="W499" s="164"/>
      <c r="X499" s="164"/>
    </row>
    <row r="500">
      <c r="A500" s="175">
        <v>46011.0</v>
      </c>
      <c r="B500" s="176" t="s">
        <v>2649</v>
      </c>
      <c r="C500" s="177" t="s">
        <v>6716</v>
      </c>
      <c r="D500" s="177" t="s">
        <v>7049</v>
      </c>
      <c r="E500" s="177"/>
      <c r="F500" s="177" t="s">
        <v>6749</v>
      </c>
      <c r="G500" s="179" t="s">
        <v>6720</v>
      </c>
      <c r="H500" s="180" t="s">
        <v>3091</v>
      </c>
      <c r="I500" s="163">
        <f>IFERROR(__xludf.DUMMYFUNCTION("""COMPUTED_VALUE"""),2.1999999999999997)</f>
        <v>2.2</v>
      </c>
      <c r="J500" s="177" t="s">
        <v>6750</v>
      </c>
      <c r="K500" s="177" t="s">
        <v>4614</v>
      </c>
      <c r="L500" s="177" t="s">
        <v>7113</v>
      </c>
      <c r="M500" s="187">
        <v>46011.788611111115</v>
      </c>
      <c r="N500" s="21" t="s">
        <v>22</v>
      </c>
      <c r="O500" s="164"/>
      <c r="P500" s="164"/>
      <c r="Q500" s="177" t="s">
        <v>2581</v>
      </c>
      <c r="R500" s="164"/>
      <c r="S500" s="163">
        <f>IFERROR(__xludf.DUMMYFUNCTION("""COMPUTED_VALUE"""),4.996666666666667)</f>
        <v>4.996666667</v>
      </c>
      <c r="T500" s="164"/>
      <c r="U500" s="164"/>
      <c r="V500" s="164"/>
      <c r="W500" s="164"/>
      <c r="X500" s="164"/>
    </row>
    <row r="501">
      <c r="A501" s="175">
        <v>46011.0</v>
      </c>
      <c r="B501" s="176" t="s">
        <v>2649</v>
      </c>
      <c r="C501" s="177" t="s">
        <v>6716</v>
      </c>
      <c r="D501" s="177" t="s">
        <v>7049</v>
      </c>
      <c r="E501" s="177"/>
      <c r="F501" s="177" t="s">
        <v>6749</v>
      </c>
      <c r="G501" s="179" t="s">
        <v>6721</v>
      </c>
      <c r="H501" s="180" t="s">
        <v>2637</v>
      </c>
      <c r="I501" s="163">
        <f>IFERROR(__xludf.DUMMYFUNCTION("""COMPUTED_VALUE"""),2.1999999999999997)</f>
        <v>2.2</v>
      </c>
      <c r="J501" s="177" t="s">
        <v>6750</v>
      </c>
      <c r="K501" s="177" t="s">
        <v>4616</v>
      </c>
      <c r="L501" s="177" t="s">
        <v>7113</v>
      </c>
      <c r="M501" s="187">
        <v>46011.78922453704</v>
      </c>
      <c r="N501" s="21" t="s">
        <v>22</v>
      </c>
      <c r="O501" s="164"/>
      <c r="P501" s="164"/>
      <c r="Q501" s="177" t="s">
        <v>2581</v>
      </c>
      <c r="R501" s="164"/>
      <c r="S501" s="163">
        <f>IFERROR(__xludf.DUMMYFUNCTION("""COMPUTED_VALUE"""),4.996666666666667)</f>
        <v>4.996666667</v>
      </c>
      <c r="T501" s="164"/>
      <c r="U501" s="164"/>
      <c r="V501" s="164"/>
      <c r="W501" s="164"/>
      <c r="X501" s="164"/>
    </row>
    <row r="502">
      <c r="A502" s="175">
        <v>46011.0</v>
      </c>
      <c r="B502" s="176" t="s">
        <v>2651</v>
      </c>
      <c r="C502" s="177" t="s">
        <v>1118</v>
      </c>
      <c r="D502" s="177" t="s">
        <v>7006</v>
      </c>
      <c r="E502" s="177" t="s">
        <v>38</v>
      </c>
      <c r="F502" s="177" t="s">
        <v>38</v>
      </c>
      <c r="G502" s="179" t="s">
        <v>6707</v>
      </c>
      <c r="H502" s="180" t="s">
        <v>2651</v>
      </c>
      <c r="I502" s="163">
        <f>IFERROR(__xludf.DUMMYFUNCTION("""COMPUTED_VALUE"""),1.0999999999999999)</f>
        <v>1.1</v>
      </c>
      <c r="J502" s="177" t="s">
        <v>6735</v>
      </c>
      <c r="K502" s="177" t="s">
        <v>7115</v>
      </c>
      <c r="L502" s="177" t="s">
        <v>7062</v>
      </c>
      <c r="M502" s="187">
        <v>46011.80875</v>
      </c>
      <c r="N502" s="21" t="s">
        <v>22</v>
      </c>
      <c r="O502" s="164"/>
      <c r="P502" s="164"/>
      <c r="Q502" s="177" t="s">
        <v>2581</v>
      </c>
      <c r="R502" s="164"/>
      <c r="S502" s="163">
        <f>IFERROR(__xludf.DUMMYFUNCTION("""COMPUTED_VALUE"""),2.4983333333333335)</f>
        <v>2.498333333</v>
      </c>
      <c r="T502" s="164"/>
      <c r="U502" s="164"/>
      <c r="V502" s="164"/>
      <c r="W502" s="164"/>
      <c r="X502" s="164"/>
    </row>
    <row r="503">
      <c r="A503" s="175">
        <v>46011.0</v>
      </c>
      <c r="B503" s="176" t="s">
        <v>2651</v>
      </c>
      <c r="C503" s="177" t="s">
        <v>6716</v>
      </c>
      <c r="D503" s="177" t="s">
        <v>7049</v>
      </c>
      <c r="E503" s="177"/>
      <c r="F503" s="177" t="s">
        <v>6749</v>
      </c>
      <c r="G503" s="179" t="s">
        <v>6720</v>
      </c>
      <c r="H503" s="180" t="s">
        <v>2993</v>
      </c>
      <c r="I503" s="163">
        <f>IFERROR(__xludf.DUMMYFUNCTION("""COMPUTED_VALUE"""),1.0999999999999999)</f>
        <v>1.1</v>
      </c>
      <c r="J503" s="177" t="s">
        <v>6750</v>
      </c>
      <c r="K503" s="177" t="s">
        <v>4618</v>
      </c>
      <c r="L503" s="177" t="s">
        <v>7113</v>
      </c>
      <c r="M503" s="187">
        <v>46011.809328703705</v>
      </c>
      <c r="N503" s="21" t="s">
        <v>22</v>
      </c>
      <c r="O503" s="164"/>
      <c r="P503" s="164"/>
      <c r="Q503" s="177" t="s">
        <v>2581</v>
      </c>
      <c r="R503" s="164"/>
      <c r="S503" s="163">
        <f>IFERROR(__xludf.DUMMYFUNCTION("""COMPUTED_VALUE"""),2.4983333333333335)</f>
        <v>2.498333333</v>
      </c>
      <c r="T503" s="164"/>
      <c r="U503" s="164"/>
      <c r="V503" s="164"/>
      <c r="W503" s="164"/>
      <c r="X503" s="164"/>
    </row>
    <row r="504">
      <c r="A504" s="175">
        <v>46011.0</v>
      </c>
      <c r="B504" s="176" t="s">
        <v>2651</v>
      </c>
      <c r="C504" s="177" t="s">
        <v>6716</v>
      </c>
      <c r="D504" s="177" t="s">
        <v>7049</v>
      </c>
      <c r="E504" s="177"/>
      <c r="F504" s="177" t="s">
        <v>6749</v>
      </c>
      <c r="G504" s="179" t="s">
        <v>6721</v>
      </c>
      <c r="H504" s="180" t="s">
        <v>2639</v>
      </c>
      <c r="I504" s="163">
        <f>IFERROR(__xludf.DUMMYFUNCTION("""COMPUTED_VALUE"""),1.0999999999999999)</f>
        <v>1.1</v>
      </c>
      <c r="J504" s="177" t="s">
        <v>6750</v>
      </c>
      <c r="K504" s="177" t="s">
        <v>4620</v>
      </c>
      <c r="L504" s="177" t="s">
        <v>7113</v>
      </c>
      <c r="M504" s="187">
        <v>46011.8100462963</v>
      </c>
      <c r="N504" s="21" t="s">
        <v>22</v>
      </c>
      <c r="O504" s="164"/>
      <c r="P504" s="164"/>
      <c r="Q504" s="177" t="s">
        <v>2581</v>
      </c>
      <c r="R504" s="164"/>
      <c r="S504" s="163">
        <f>IFERROR(__xludf.DUMMYFUNCTION("""COMPUTED_VALUE"""),2.4983333333333335)</f>
        <v>2.498333333</v>
      </c>
      <c r="T504" s="164"/>
      <c r="U504" s="164"/>
      <c r="V504" s="164"/>
      <c r="W504" s="164"/>
      <c r="X504" s="164"/>
    </row>
    <row r="505">
      <c r="A505" s="175">
        <v>46011.0</v>
      </c>
      <c r="B505" s="176" t="s">
        <v>2651</v>
      </c>
      <c r="C505" s="177" t="s">
        <v>6716</v>
      </c>
      <c r="D505" s="177" t="s">
        <v>7049</v>
      </c>
      <c r="E505" s="177"/>
      <c r="F505" s="177" t="s">
        <v>6749</v>
      </c>
      <c r="G505" s="179" t="s">
        <v>6722</v>
      </c>
      <c r="H505" s="180" t="s">
        <v>2641</v>
      </c>
      <c r="I505" s="163">
        <f>IFERROR(__xludf.DUMMYFUNCTION("""COMPUTED_VALUE"""),1.0999999999999999)</f>
        <v>1.1</v>
      </c>
      <c r="J505" s="177" t="s">
        <v>6750</v>
      </c>
      <c r="K505" s="177" t="s">
        <v>4622</v>
      </c>
      <c r="L505" s="177" t="s">
        <v>7113</v>
      </c>
      <c r="M505" s="187">
        <v>46011.810648148145</v>
      </c>
      <c r="N505" s="21" t="s">
        <v>22</v>
      </c>
      <c r="O505" s="164"/>
      <c r="P505" s="164"/>
      <c r="Q505" s="177" t="s">
        <v>2581</v>
      </c>
      <c r="R505" s="164"/>
      <c r="S505" s="163">
        <f>IFERROR(__xludf.DUMMYFUNCTION("""COMPUTED_VALUE"""),2.4983333333333335)</f>
        <v>2.498333333</v>
      </c>
      <c r="T505" s="164"/>
      <c r="U505" s="164"/>
      <c r="V505" s="164"/>
      <c r="W505" s="164"/>
      <c r="X505" s="164"/>
    </row>
    <row r="506">
      <c r="A506" s="175">
        <v>46011.0</v>
      </c>
      <c r="B506" s="176" t="s">
        <v>2651</v>
      </c>
      <c r="C506" s="177" t="s">
        <v>6716</v>
      </c>
      <c r="D506" s="177" t="s">
        <v>7049</v>
      </c>
      <c r="E506" s="177"/>
      <c r="F506" s="177" t="s">
        <v>6749</v>
      </c>
      <c r="G506" s="179" t="s">
        <v>6724</v>
      </c>
      <c r="H506" s="180" t="s">
        <v>2643</v>
      </c>
      <c r="I506" s="163">
        <f>IFERROR(__xludf.DUMMYFUNCTION("""COMPUTED_VALUE"""),1.0999999999999999)</f>
        <v>1.1</v>
      </c>
      <c r="J506" s="177" t="s">
        <v>6750</v>
      </c>
      <c r="K506" s="177" t="s">
        <v>4624</v>
      </c>
      <c r="L506" s="177" t="s">
        <v>7113</v>
      </c>
      <c r="M506" s="187">
        <v>46011.81149305555</v>
      </c>
      <c r="N506" s="21" t="s">
        <v>22</v>
      </c>
      <c r="O506" s="164"/>
      <c r="P506" s="164"/>
      <c r="Q506" s="177" t="s">
        <v>2581</v>
      </c>
      <c r="R506" s="164"/>
      <c r="S506" s="163">
        <f>IFERROR(__xludf.DUMMYFUNCTION("""COMPUTED_VALUE"""),2.4983333333333335)</f>
        <v>2.498333333</v>
      </c>
      <c r="T506" s="164"/>
      <c r="U506" s="164"/>
      <c r="V506" s="164"/>
      <c r="W506" s="164"/>
      <c r="X506" s="164"/>
    </row>
    <row r="507">
      <c r="A507" s="175">
        <v>46011.0</v>
      </c>
      <c r="B507" s="176" t="s">
        <v>2651</v>
      </c>
      <c r="C507" s="177" t="s">
        <v>6716</v>
      </c>
      <c r="D507" s="177" t="s">
        <v>7049</v>
      </c>
      <c r="E507" s="177"/>
      <c r="F507" s="177" t="s">
        <v>6749</v>
      </c>
      <c r="G507" s="179" t="s">
        <v>6726</v>
      </c>
      <c r="H507" s="180" t="s">
        <v>2645</v>
      </c>
      <c r="I507" s="163">
        <f>IFERROR(__xludf.DUMMYFUNCTION("""COMPUTED_VALUE"""),1.0999999999999999)</f>
        <v>1.1</v>
      </c>
      <c r="J507" s="177" t="s">
        <v>6750</v>
      </c>
      <c r="K507" s="177" t="s">
        <v>4626</v>
      </c>
      <c r="L507" s="177" t="s">
        <v>7113</v>
      </c>
      <c r="M507" s="187">
        <v>46011.81199074074</v>
      </c>
      <c r="N507" s="21" t="s">
        <v>22</v>
      </c>
      <c r="O507" s="164"/>
      <c r="P507" s="164"/>
      <c r="Q507" s="177" t="s">
        <v>2581</v>
      </c>
      <c r="R507" s="164"/>
      <c r="S507" s="163">
        <f>IFERROR(__xludf.DUMMYFUNCTION("""COMPUTED_VALUE"""),2.4983333333333335)</f>
        <v>2.498333333</v>
      </c>
      <c r="T507" s="164"/>
      <c r="U507" s="164"/>
      <c r="V507" s="164"/>
      <c r="W507" s="164"/>
      <c r="X507" s="164"/>
    </row>
    <row r="508">
      <c r="A508" s="175">
        <v>46021.0</v>
      </c>
      <c r="B508" s="176" t="s">
        <v>3514</v>
      </c>
      <c r="C508" s="177" t="s">
        <v>1049</v>
      </c>
      <c r="D508" s="177" t="s">
        <v>6806</v>
      </c>
      <c r="E508" s="177" t="s">
        <v>6777</v>
      </c>
      <c r="F508" s="177" t="s">
        <v>1119</v>
      </c>
      <c r="G508" s="179" t="s">
        <v>6707</v>
      </c>
      <c r="H508" s="180" t="s">
        <v>3514</v>
      </c>
      <c r="I508" s="163">
        <f>IFERROR(__xludf.DUMMYFUNCTION("""COMPUTED_VALUE"""),52.0)</f>
        <v>52</v>
      </c>
      <c r="J508" s="177" t="s">
        <v>6705</v>
      </c>
      <c r="K508" s="177" t="s">
        <v>7116</v>
      </c>
      <c r="L508" s="177" t="s">
        <v>7117</v>
      </c>
      <c r="M508" s="187">
        <v>46021.555</v>
      </c>
      <c r="N508" s="21" t="s">
        <v>22</v>
      </c>
      <c r="O508" s="164"/>
      <c r="P508" s="164"/>
      <c r="Q508" s="177" t="s">
        <v>3515</v>
      </c>
      <c r="R508" s="164"/>
      <c r="S508" s="163"/>
      <c r="T508" s="164"/>
      <c r="U508" s="164"/>
      <c r="V508" s="164"/>
      <c r="W508" s="164"/>
      <c r="X508" s="164"/>
    </row>
    <row r="509">
      <c r="A509" s="175">
        <v>46021.0</v>
      </c>
      <c r="B509" s="176" t="s">
        <v>2920</v>
      </c>
      <c r="C509" s="177" t="s">
        <v>1049</v>
      </c>
      <c r="D509" s="177" t="s">
        <v>6921</v>
      </c>
      <c r="E509" s="177" t="s">
        <v>6977</v>
      </c>
      <c r="F509" s="177" t="s">
        <v>1119</v>
      </c>
      <c r="G509" s="179" t="s">
        <v>6707</v>
      </c>
      <c r="H509" s="180" t="s">
        <v>2920</v>
      </c>
      <c r="I509" s="163">
        <f>IFERROR(__xludf.DUMMYFUNCTION("""COMPUTED_VALUE"""),40.0)</f>
        <v>40</v>
      </c>
      <c r="J509" s="177" t="s">
        <v>6705</v>
      </c>
      <c r="K509" s="177" t="s">
        <v>7118</v>
      </c>
      <c r="L509" s="177" t="s">
        <v>7119</v>
      </c>
      <c r="M509" s="187">
        <v>46021.570625</v>
      </c>
      <c r="N509" s="21" t="s">
        <v>22</v>
      </c>
      <c r="O509" s="164"/>
      <c r="P509" s="164"/>
      <c r="Q509" s="177" t="s">
        <v>2921</v>
      </c>
      <c r="R509" s="164"/>
      <c r="S509" s="163"/>
      <c r="T509" s="164"/>
      <c r="U509" s="164"/>
      <c r="V509" s="164"/>
      <c r="W509" s="164"/>
      <c r="X509" s="164"/>
    </row>
    <row r="510">
      <c r="A510" s="175">
        <v>46085.0</v>
      </c>
      <c r="B510" s="176" t="s">
        <v>2678</v>
      </c>
      <c r="C510" s="177" t="s">
        <v>1049</v>
      </c>
      <c r="D510" s="177" t="s">
        <v>7120</v>
      </c>
      <c r="E510" s="177" t="s">
        <v>6832</v>
      </c>
      <c r="F510" s="177" t="s">
        <v>6940</v>
      </c>
      <c r="G510" s="179"/>
      <c r="H510" s="180" t="s">
        <v>2678</v>
      </c>
      <c r="I510" s="163">
        <f>IFERROR(__xludf.DUMMYFUNCTION("""COMPUTED_VALUE"""),10.0)</f>
        <v>10</v>
      </c>
      <c r="J510" s="177" t="s">
        <v>6750</v>
      </c>
      <c r="K510" s="177" t="s">
        <v>7121</v>
      </c>
      <c r="L510" s="177" t="s">
        <v>7095</v>
      </c>
      <c r="M510" s="187">
        <v>46085.48726851852</v>
      </c>
      <c r="N510" s="21" t="s">
        <v>22</v>
      </c>
      <c r="O510" s="164"/>
      <c r="P510" s="164"/>
      <c r="Q510" s="177" t="s">
        <v>2679</v>
      </c>
      <c r="R510" s="164"/>
      <c r="S510" s="163">
        <f>IFERROR(__xludf.DUMMYFUNCTION("""COMPUTED_VALUE"""),0.0)</f>
        <v>0</v>
      </c>
      <c r="T510" s="164"/>
      <c r="U510" s="164"/>
      <c r="V510" s="164"/>
      <c r="W510" s="164"/>
      <c r="X510" s="164"/>
    </row>
    <row r="511">
      <c r="A511" s="175">
        <v>46085.0</v>
      </c>
      <c r="B511" s="176" t="s">
        <v>2683</v>
      </c>
      <c r="C511" s="177" t="s">
        <v>1049</v>
      </c>
      <c r="D511" s="177" t="s">
        <v>6941</v>
      </c>
      <c r="E511" s="177" t="s">
        <v>6832</v>
      </c>
      <c r="F511" s="177" t="s">
        <v>6749</v>
      </c>
      <c r="G511" s="179" t="s">
        <v>6707</v>
      </c>
      <c r="H511" s="180" t="s">
        <v>2683</v>
      </c>
      <c r="I511" s="163">
        <f>IFERROR(__xludf.DUMMYFUNCTION("""COMPUTED_VALUE"""),10.0)</f>
        <v>10</v>
      </c>
      <c r="J511" s="177" t="s">
        <v>6750</v>
      </c>
      <c r="K511" s="177" t="s">
        <v>7122</v>
      </c>
      <c r="L511" s="177" t="s">
        <v>7095</v>
      </c>
      <c r="M511" s="187">
        <v>46085.49569444444</v>
      </c>
      <c r="N511" s="21" t="s">
        <v>22</v>
      </c>
      <c r="O511" s="164"/>
      <c r="P511" s="164"/>
      <c r="Q511" s="177" t="s">
        <v>2679</v>
      </c>
      <c r="R511" s="164"/>
      <c r="S511" s="163">
        <f>IFERROR(__xludf.DUMMYFUNCTION("""COMPUTED_VALUE"""),0.0)</f>
        <v>0</v>
      </c>
      <c r="T511" s="164"/>
      <c r="U511" s="164"/>
      <c r="V511" s="164"/>
      <c r="W511" s="164"/>
      <c r="X511" s="164"/>
    </row>
    <row r="512">
      <c r="A512" s="175">
        <v>46085.0</v>
      </c>
      <c r="B512" s="176" t="s">
        <v>2782</v>
      </c>
      <c r="C512" s="177" t="s">
        <v>1049</v>
      </c>
      <c r="D512" s="177" t="s">
        <v>6921</v>
      </c>
      <c r="E512" s="177" t="s">
        <v>6922</v>
      </c>
      <c r="F512" s="177" t="s">
        <v>7123</v>
      </c>
      <c r="G512" s="179" t="s">
        <v>6707</v>
      </c>
      <c r="H512" s="180" t="s">
        <v>2782</v>
      </c>
      <c r="I512" s="163">
        <f>IFERROR(__xludf.DUMMYFUNCTION("""COMPUTED_VALUE"""),4.19)</f>
        <v>4.19</v>
      </c>
      <c r="J512" s="177" t="s">
        <v>6735</v>
      </c>
      <c r="K512" s="177" t="s">
        <v>7124</v>
      </c>
      <c r="L512" s="177" t="s">
        <v>7125</v>
      </c>
      <c r="M512" s="187">
        <v>46085.525717592594</v>
      </c>
      <c r="N512" s="21" t="s">
        <v>22</v>
      </c>
      <c r="O512" s="164"/>
      <c r="P512" s="164"/>
      <c r="Q512" s="177" t="s">
        <v>2054</v>
      </c>
      <c r="R512" s="164"/>
      <c r="S512" s="163">
        <f>IFERROR(__xludf.DUMMYFUNCTION("""COMPUTED_VALUE"""),15.0)</f>
        <v>15</v>
      </c>
      <c r="T512" s="164"/>
      <c r="U512" s="164"/>
      <c r="V512" s="164"/>
      <c r="W512" s="164"/>
      <c r="X512" s="164"/>
    </row>
    <row r="513">
      <c r="A513" s="175">
        <v>46085.0</v>
      </c>
      <c r="B513" s="176" t="s">
        <v>2681</v>
      </c>
      <c r="C513" s="177" t="s">
        <v>1049</v>
      </c>
      <c r="D513" s="177" t="s">
        <v>7014</v>
      </c>
      <c r="E513" s="177" t="s">
        <v>38</v>
      </c>
      <c r="F513" s="177" t="s">
        <v>6987</v>
      </c>
      <c r="G513" s="179" t="s">
        <v>6707</v>
      </c>
      <c r="H513" s="180" t="s">
        <v>2681</v>
      </c>
      <c r="I513" s="163">
        <f>IFERROR(__xludf.DUMMYFUNCTION("""COMPUTED_VALUE"""),8.0)</f>
        <v>8</v>
      </c>
      <c r="J513" s="177" t="s">
        <v>6735</v>
      </c>
      <c r="K513" s="177" t="s">
        <v>7126</v>
      </c>
      <c r="L513" s="164"/>
      <c r="M513" s="187">
        <v>46085.5703587963</v>
      </c>
      <c r="N513" s="21" t="s">
        <v>22</v>
      </c>
      <c r="O513" s="164"/>
      <c r="P513" s="164"/>
      <c r="Q513" s="177" t="s">
        <v>1767</v>
      </c>
      <c r="R513" s="164"/>
      <c r="S513" s="163">
        <f>IFERROR(__xludf.DUMMYFUNCTION("""COMPUTED_VALUE"""),16.0)</f>
        <v>16</v>
      </c>
      <c r="T513" s="164"/>
      <c r="U513" s="164"/>
      <c r="V513" s="164"/>
      <c r="W513" s="164"/>
      <c r="X513" s="164"/>
    </row>
    <row r="514">
      <c r="A514" s="175">
        <v>46085.0</v>
      </c>
      <c r="B514" s="176" t="s">
        <v>2667</v>
      </c>
      <c r="C514" s="177" t="s">
        <v>1049</v>
      </c>
      <c r="D514" s="177" t="s">
        <v>7014</v>
      </c>
      <c r="E514" s="177"/>
      <c r="F514" s="177" t="s">
        <v>1119</v>
      </c>
      <c r="G514" s="179" t="s">
        <v>6707</v>
      </c>
      <c r="H514" s="180" t="s">
        <v>2667</v>
      </c>
      <c r="I514" s="163">
        <f>IFERROR(__xludf.DUMMYFUNCTION("""COMPUTED_VALUE"""),11.0)</f>
        <v>11</v>
      </c>
      <c r="J514" s="177" t="s">
        <v>6705</v>
      </c>
      <c r="K514" s="177" t="s">
        <v>7127</v>
      </c>
      <c r="L514" s="177" t="s">
        <v>7095</v>
      </c>
      <c r="M514" s="187">
        <v>46085.58725694445</v>
      </c>
      <c r="N514" s="21" t="s">
        <v>22</v>
      </c>
      <c r="O514" s="164"/>
      <c r="P514" s="164"/>
      <c r="Q514" s="177" t="s">
        <v>2668</v>
      </c>
      <c r="R514" s="164"/>
      <c r="S514" s="163"/>
      <c r="T514" s="164"/>
      <c r="U514" s="164"/>
      <c r="V514" s="164"/>
      <c r="W514" s="164"/>
      <c r="X514" s="164"/>
    </row>
    <row r="515">
      <c r="A515" s="175">
        <v>46085.0</v>
      </c>
      <c r="B515" s="176" t="s">
        <v>2670</v>
      </c>
      <c r="C515" s="177" t="s">
        <v>1049</v>
      </c>
      <c r="D515" s="177" t="s">
        <v>7014</v>
      </c>
      <c r="E515" s="177" t="s">
        <v>850</v>
      </c>
      <c r="F515" s="177" t="s">
        <v>1119</v>
      </c>
      <c r="G515" s="179" t="s">
        <v>6707</v>
      </c>
      <c r="H515" s="180" t="s">
        <v>2670</v>
      </c>
      <c r="I515" s="163">
        <f>IFERROR(__xludf.DUMMYFUNCTION("""COMPUTED_VALUE"""),4.19)</f>
        <v>4.19</v>
      </c>
      <c r="J515" s="177" t="s">
        <v>6705</v>
      </c>
      <c r="K515" s="177" t="s">
        <v>7128</v>
      </c>
      <c r="L515" s="164"/>
      <c r="M515" s="187">
        <v>46085.64295138889</v>
      </c>
      <c r="N515" s="21" t="s">
        <v>22</v>
      </c>
      <c r="O515" s="164"/>
      <c r="P515" s="164"/>
      <c r="Q515" s="177" t="s">
        <v>1779</v>
      </c>
      <c r="R515" s="164"/>
      <c r="S515" s="163">
        <f>IFERROR(__xludf.DUMMYFUNCTION("""COMPUTED_VALUE"""),15.0)</f>
        <v>15</v>
      </c>
      <c r="T515" s="164"/>
      <c r="U515" s="164"/>
      <c r="V515" s="164"/>
      <c r="W515" s="164"/>
      <c r="X515" s="164"/>
    </row>
    <row r="516">
      <c r="A516" s="175">
        <v>46085.0</v>
      </c>
      <c r="B516" s="176" t="s">
        <v>2930</v>
      </c>
      <c r="C516" s="177" t="s">
        <v>1118</v>
      </c>
      <c r="D516" s="177" t="s">
        <v>6921</v>
      </c>
      <c r="E516" s="177" t="s">
        <v>6940</v>
      </c>
      <c r="F516" s="177" t="s">
        <v>6797</v>
      </c>
      <c r="G516" s="179" t="s">
        <v>6707</v>
      </c>
      <c r="H516" s="180" t="s">
        <v>2930</v>
      </c>
      <c r="I516" s="163">
        <f>IFERROR(__xludf.DUMMYFUNCTION("""COMPUTED_VALUE"""),1.0999999999999999)</f>
        <v>1.1</v>
      </c>
      <c r="J516" s="177" t="s">
        <v>6705</v>
      </c>
      <c r="K516" s="177" t="s">
        <v>7129</v>
      </c>
      <c r="L516" s="164"/>
      <c r="M516" s="187">
        <v>46085.64586805556</v>
      </c>
      <c r="N516" s="21" t="s">
        <v>22</v>
      </c>
      <c r="O516" s="164"/>
      <c r="P516" s="164"/>
      <c r="Q516" s="177" t="s">
        <v>2581</v>
      </c>
      <c r="R516" s="164"/>
      <c r="S516" s="163">
        <f>IFERROR(__xludf.DUMMYFUNCTION("""COMPUTED_VALUE"""),2.4983333333333335)</f>
        <v>2.498333333</v>
      </c>
      <c r="T516" s="164"/>
      <c r="U516" s="164"/>
      <c r="V516" s="164"/>
      <c r="W516" s="164"/>
      <c r="X516" s="164"/>
    </row>
    <row r="517">
      <c r="A517" s="175">
        <v>46085.0</v>
      </c>
      <c r="B517" s="176" t="s">
        <v>2930</v>
      </c>
      <c r="C517" s="177" t="s">
        <v>6716</v>
      </c>
      <c r="D517" s="177" t="s">
        <v>7006</v>
      </c>
      <c r="E517" s="177"/>
      <c r="F517" s="177" t="s">
        <v>6797</v>
      </c>
      <c r="G517" s="179" t="s">
        <v>6720</v>
      </c>
      <c r="H517" s="180" t="s">
        <v>2685</v>
      </c>
      <c r="I517" s="163">
        <f>IFERROR(__xludf.DUMMYFUNCTION("""COMPUTED_VALUE"""),1.0999999999999999)</f>
        <v>1.1</v>
      </c>
      <c r="J517" s="177" t="s">
        <v>6705</v>
      </c>
      <c r="K517" s="177" t="s">
        <v>4628</v>
      </c>
      <c r="L517" s="164"/>
      <c r="M517" s="187">
        <v>46085.646898148145</v>
      </c>
      <c r="N517" s="21" t="s">
        <v>22</v>
      </c>
      <c r="O517" s="164"/>
      <c r="P517" s="164"/>
      <c r="Q517" s="177" t="s">
        <v>2581</v>
      </c>
      <c r="R517" s="164"/>
      <c r="S517" s="163">
        <f>IFERROR(__xludf.DUMMYFUNCTION("""COMPUTED_VALUE"""),2.4983333333333335)</f>
        <v>2.498333333</v>
      </c>
      <c r="T517" s="164"/>
      <c r="U517" s="164"/>
      <c r="V517" s="164"/>
      <c r="W517" s="164"/>
      <c r="X517" s="164"/>
    </row>
    <row r="518">
      <c r="A518" s="175">
        <v>46085.0</v>
      </c>
      <c r="B518" s="176" t="s">
        <v>2930</v>
      </c>
      <c r="C518" s="177" t="s">
        <v>6716</v>
      </c>
      <c r="D518" s="177" t="s">
        <v>7006</v>
      </c>
      <c r="E518" s="177"/>
      <c r="F518" s="177" t="s">
        <v>6797</v>
      </c>
      <c r="G518" s="179" t="s">
        <v>6721</v>
      </c>
      <c r="H518" s="180" t="s">
        <v>2687</v>
      </c>
      <c r="I518" s="163">
        <f>IFERROR(__xludf.DUMMYFUNCTION("""COMPUTED_VALUE"""),1.0999999999999999)</f>
        <v>1.1</v>
      </c>
      <c r="J518" s="177" t="s">
        <v>6705</v>
      </c>
      <c r="K518" s="177" t="s">
        <v>4630</v>
      </c>
      <c r="L518" s="164"/>
      <c r="M518" s="187">
        <v>46085.650300925925</v>
      </c>
      <c r="N518" s="21" t="s">
        <v>22</v>
      </c>
      <c r="O518" s="164"/>
      <c r="P518" s="164"/>
      <c r="Q518" s="177" t="s">
        <v>2581</v>
      </c>
      <c r="R518" s="164"/>
      <c r="S518" s="163">
        <f>IFERROR(__xludf.DUMMYFUNCTION("""COMPUTED_VALUE"""),2.4983333333333335)</f>
        <v>2.498333333</v>
      </c>
      <c r="T518" s="164"/>
      <c r="U518" s="164"/>
      <c r="V518" s="164"/>
      <c r="W518" s="164"/>
      <c r="X518" s="164"/>
    </row>
    <row r="519">
      <c r="A519" s="175">
        <v>46085.0</v>
      </c>
      <c r="B519" s="176" t="s">
        <v>2930</v>
      </c>
      <c r="C519" s="177" t="s">
        <v>6716</v>
      </c>
      <c r="D519" s="177" t="s">
        <v>7006</v>
      </c>
      <c r="E519" s="177"/>
      <c r="F519" s="177" t="s">
        <v>6797</v>
      </c>
      <c r="G519" s="179" t="s">
        <v>6722</v>
      </c>
      <c r="H519" s="180" t="s">
        <v>2746</v>
      </c>
      <c r="I519" s="163">
        <f>IFERROR(__xludf.DUMMYFUNCTION("""COMPUTED_VALUE"""),1.0999999999999999)</f>
        <v>1.1</v>
      </c>
      <c r="J519" s="177" t="s">
        <v>6705</v>
      </c>
      <c r="K519" s="177" t="s">
        <v>4632</v>
      </c>
      <c r="L519" s="177" t="s">
        <v>7113</v>
      </c>
      <c r="M519" s="187">
        <v>46086.356574074074</v>
      </c>
      <c r="N519" s="21" t="s">
        <v>22</v>
      </c>
      <c r="O519" s="164"/>
      <c r="P519" s="164"/>
      <c r="Q519" s="177" t="s">
        <v>2581</v>
      </c>
      <c r="R519" s="164"/>
      <c r="S519" s="163">
        <f>IFERROR(__xludf.DUMMYFUNCTION("""COMPUTED_VALUE"""),2.4983333333333335)</f>
        <v>2.498333333</v>
      </c>
      <c r="T519" s="164"/>
      <c r="U519" s="164"/>
      <c r="V519" s="164"/>
      <c r="W519" s="164"/>
      <c r="X519" s="164"/>
    </row>
    <row r="520">
      <c r="A520" s="175">
        <v>46085.0</v>
      </c>
      <c r="B520" s="176" t="s">
        <v>2930</v>
      </c>
      <c r="C520" s="177" t="s">
        <v>6716</v>
      </c>
      <c r="D520" s="177" t="s">
        <v>7006</v>
      </c>
      <c r="E520" s="177"/>
      <c r="F520" s="177" t="s">
        <v>6797</v>
      </c>
      <c r="G520" s="179" t="s">
        <v>6724</v>
      </c>
      <c r="H520" s="180" t="s">
        <v>2927</v>
      </c>
      <c r="I520" s="163">
        <f>IFERROR(__xludf.DUMMYFUNCTION("""COMPUTED_VALUE"""),1.0999999999999999)</f>
        <v>1.1</v>
      </c>
      <c r="J520" s="177" t="s">
        <v>6705</v>
      </c>
      <c r="K520" s="177" t="s">
        <v>4634</v>
      </c>
      <c r="L520" s="177" t="s">
        <v>7113</v>
      </c>
      <c r="M520" s="187">
        <v>46086.35796296296</v>
      </c>
      <c r="N520" s="21" t="s">
        <v>22</v>
      </c>
      <c r="O520" s="164"/>
      <c r="P520" s="164"/>
      <c r="Q520" s="177" t="s">
        <v>2581</v>
      </c>
      <c r="R520" s="164"/>
      <c r="S520" s="163">
        <f>IFERROR(__xludf.DUMMYFUNCTION("""COMPUTED_VALUE"""),2.4983333333333335)</f>
        <v>2.498333333</v>
      </c>
      <c r="T520" s="164"/>
      <c r="U520" s="164"/>
      <c r="V520" s="164"/>
      <c r="W520" s="164"/>
      <c r="X520" s="164"/>
    </row>
    <row r="521">
      <c r="A521" s="175">
        <v>46086.0</v>
      </c>
      <c r="B521" s="176" t="s">
        <v>2697</v>
      </c>
      <c r="C521" s="177" t="s">
        <v>1049</v>
      </c>
      <c r="D521" s="177" t="s">
        <v>7130</v>
      </c>
      <c r="E521" s="177" t="s">
        <v>6706</v>
      </c>
      <c r="F521" s="177" t="s">
        <v>6797</v>
      </c>
      <c r="G521" s="179" t="s">
        <v>6707</v>
      </c>
      <c r="H521" s="180" t="s">
        <v>2697</v>
      </c>
      <c r="I521" s="163">
        <f>IFERROR(__xludf.DUMMYFUNCTION("""COMPUTED_VALUE"""),10.0)</f>
        <v>10</v>
      </c>
      <c r="J521" s="177" t="s">
        <v>6705</v>
      </c>
      <c r="K521" s="177" t="s">
        <v>7131</v>
      </c>
      <c r="L521" s="164"/>
      <c r="M521" s="187">
        <v>46086.540821759256</v>
      </c>
      <c r="N521" s="21" t="s">
        <v>22</v>
      </c>
      <c r="O521" s="164"/>
      <c r="P521" s="164"/>
      <c r="Q521" s="177" t="s">
        <v>2698</v>
      </c>
      <c r="R521" s="164"/>
      <c r="S521" s="163"/>
      <c r="T521" s="164"/>
      <c r="U521" s="164"/>
      <c r="V521" s="164"/>
      <c r="W521" s="164"/>
      <c r="X521" s="164"/>
    </row>
    <row r="522">
      <c r="A522" s="175">
        <v>46086.0</v>
      </c>
      <c r="B522" s="176" t="s">
        <v>2728</v>
      </c>
      <c r="C522" s="177" t="s">
        <v>1118</v>
      </c>
      <c r="D522" s="177" t="s">
        <v>7130</v>
      </c>
      <c r="E522" s="177" t="s">
        <v>6777</v>
      </c>
      <c r="F522" s="177" t="s">
        <v>6820</v>
      </c>
      <c r="G522" s="179" t="s">
        <v>6707</v>
      </c>
      <c r="H522" s="180" t="s">
        <v>2728</v>
      </c>
      <c r="I522" s="163">
        <f>IFERROR(__xludf.DUMMYFUNCTION("""COMPUTED_VALUE"""),7.5)</f>
        <v>7.5</v>
      </c>
      <c r="J522" s="177" t="s">
        <v>6705</v>
      </c>
      <c r="K522" s="177" t="s">
        <v>7132</v>
      </c>
      <c r="L522" s="164"/>
      <c r="M522" s="187">
        <v>46086.60320601852</v>
      </c>
      <c r="N522" s="21" t="s">
        <v>22</v>
      </c>
      <c r="O522" s="164"/>
      <c r="P522" s="164"/>
      <c r="Q522" s="177" t="s">
        <v>2722</v>
      </c>
      <c r="R522" s="164"/>
      <c r="S522" s="163">
        <f>IFERROR(__xludf.DUMMYFUNCTION("""COMPUTED_VALUE"""),0.0)</f>
        <v>0</v>
      </c>
      <c r="T522" s="164"/>
      <c r="U522" s="164"/>
      <c r="V522" s="164"/>
      <c r="W522" s="164"/>
      <c r="X522" s="164"/>
    </row>
    <row r="523">
      <c r="A523" s="175">
        <v>46086.0</v>
      </c>
      <c r="B523" s="176" t="s">
        <v>2728</v>
      </c>
      <c r="C523" s="177" t="s">
        <v>6716</v>
      </c>
      <c r="D523" s="177" t="s">
        <v>7130</v>
      </c>
      <c r="E523" s="177"/>
      <c r="F523" s="177" t="s">
        <v>6889</v>
      </c>
      <c r="G523" s="179" t="s">
        <v>6720</v>
      </c>
      <c r="H523" s="180" t="s">
        <v>2721</v>
      </c>
      <c r="I523" s="163">
        <f>IFERROR(__xludf.DUMMYFUNCTION("""COMPUTED_VALUE"""),7.5)</f>
        <v>7.5</v>
      </c>
      <c r="J523" s="177" t="s">
        <v>6705</v>
      </c>
      <c r="K523" s="177" t="s">
        <v>4636</v>
      </c>
      <c r="L523" s="164"/>
      <c r="M523" s="187">
        <v>46086.60655092593</v>
      </c>
      <c r="N523" s="21" t="s">
        <v>22</v>
      </c>
      <c r="O523" s="164"/>
      <c r="P523" s="164"/>
      <c r="Q523" s="177" t="s">
        <v>2722</v>
      </c>
      <c r="R523" s="164"/>
      <c r="S523" s="163">
        <f>IFERROR(__xludf.DUMMYFUNCTION("""COMPUTED_VALUE"""),0.0)</f>
        <v>0</v>
      </c>
      <c r="T523" s="164"/>
      <c r="U523" s="164"/>
      <c r="V523" s="164"/>
      <c r="W523" s="164"/>
      <c r="X523" s="164"/>
    </row>
    <row r="524">
      <c r="A524" s="175">
        <v>46086.0</v>
      </c>
      <c r="B524" s="176" t="s">
        <v>2719</v>
      </c>
      <c r="C524" s="177" t="s">
        <v>1049</v>
      </c>
      <c r="D524" s="177" t="s">
        <v>7130</v>
      </c>
      <c r="E524" s="177" t="s">
        <v>6717</v>
      </c>
      <c r="F524" s="177" t="s">
        <v>6797</v>
      </c>
      <c r="G524" s="179" t="s">
        <v>6707</v>
      </c>
      <c r="H524" s="180" t="s">
        <v>2719</v>
      </c>
      <c r="I524" s="163">
        <f>IFERROR(__xludf.DUMMYFUNCTION("""COMPUTED_VALUE"""),9.995)</f>
        <v>9.995</v>
      </c>
      <c r="J524" s="177" t="s">
        <v>6705</v>
      </c>
      <c r="K524" s="177" t="s">
        <v>7133</v>
      </c>
      <c r="L524" s="164"/>
      <c r="M524" s="187">
        <v>46086.62443287037</v>
      </c>
      <c r="N524" s="21" t="s">
        <v>22</v>
      </c>
      <c r="O524" s="164"/>
      <c r="P524" s="164"/>
      <c r="Q524" s="177" t="s">
        <v>2707</v>
      </c>
      <c r="R524" s="164"/>
      <c r="S524" s="163">
        <f>IFERROR(__xludf.DUMMYFUNCTION("""COMPUTED_VALUE"""),20.0)</f>
        <v>20</v>
      </c>
      <c r="T524" s="164"/>
      <c r="U524" s="164"/>
      <c r="V524" s="164"/>
      <c r="W524" s="164"/>
      <c r="X524" s="164"/>
    </row>
    <row r="525">
      <c r="A525" s="175">
        <v>46086.0</v>
      </c>
      <c r="B525" s="176" t="s">
        <v>2700</v>
      </c>
      <c r="C525" s="177" t="s">
        <v>1049</v>
      </c>
      <c r="D525" s="177" t="s">
        <v>7130</v>
      </c>
      <c r="E525" s="177" t="s">
        <v>850</v>
      </c>
      <c r="F525" s="177" t="s">
        <v>6889</v>
      </c>
      <c r="G525" s="179" t="s">
        <v>6707</v>
      </c>
      <c r="H525" s="180" t="s">
        <v>2700</v>
      </c>
      <c r="I525" s="163">
        <f>IFERROR(__xludf.DUMMYFUNCTION("""COMPUTED_VALUE"""),4.19)</f>
        <v>4.19</v>
      </c>
      <c r="J525" s="177" t="s">
        <v>6705</v>
      </c>
      <c r="K525" s="177" t="s">
        <v>7134</v>
      </c>
      <c r="L525" s="164"/>
      <c r="M525" s="187">
        <v>46086.699224537035</v>
      </c>
      <c r="N525" s="21" t="s">
        <v>22</v>
      </c>
      <c r="O525" s="164"/>
      <c r="P525" s="164"/>
      <c r="Q525" s="177" t="s">
        <v>1779</v>
      </c>
      <c r="R525" s="164"/>
      <c r="S525" s="163">
        <f>IFERROR(__xludf.DUMMYFUNCTION("""COMPUTED_VALUE"""),15.0)</f>
        <v>15</v>
      </c>
      <c r="T525" s="164"/>
      <c r="U525" s="164"/>
      <c r="V525" s="164"/>
      <c r="W525" s="164"/>
      <c r="X525" s="164"/>
    </row>
    <row r="526">
      <c r="A526" s="175">
        <v>46086.0</v>
      </c>
      <c r="B526" s="176" t="s">
        <v>2713</v>
      </c>
      <c r="C526" s="177" t="s">
        <v>1049</v>
      </c>
      <c r="D526" s="177" t="s">
        <v>7130</v>
      </c>
      <c r="E526" s="177" t="s">
        <v>850</v>
      </c>
      <c r="F526" s="177" t="s">
        <v>6797</v>
      </c>
      <c r="G526" s="179" t="s">
        <v>6707</v>
      </c>
      <c r="H526" s="180" t="s">
        <v>2713</v>
      </c>
      <c r="I526" s="163">
        <f>IFERROR(__xludf.DUMMYFUNCTION("""COMPUTED_VALUE"""),12.0)</f>
        <v>12</v>
      </c>
      <c r="J526" s="177" t="s">
        <v>6705</v>
      </c>
      <c r="K526" s="177" t="s">
        <v>7135</v>
      </c>
      <c r="L526" s="164"/>
      <c r="M526" s="187">
        <v>46086.71417824074</v>
      </c>
      <c r="N526" s="21" t="s">
        <v>22</v>
      </c>
      <c r="O526" s="164"/>
      <c r="P526" s="164"/>
      <c r="Q526" s="177" t="s">
        <v>2714</v>
      </c>
      <c r="R526" s="164"/>
      <c r="S526" s="163">
        <f>IFERROR(__xludf.DUMMYFUNCTION("""COMPUTED_VALUE"""),0.0)</f>
        <v>0</v>
      </c>
      <c r="T526" s="164"/>
      <c r="U526" s="164"/>
      <c r="V526" s="164"/>
      <c r="W526" s="164"/>
      <c r="X526" s="164"/>
    </row>
    <row r="527">
      <c r="A527" s="175">
        <v>46086.0</v>
      </c>
      <c r="B527" s="176" t="s">
        <v>2691</v>
      </c>
      <c r="C527" s="177" t="s">
        <v>1049</v>
      </c>
      <c r="D527" s="177" t="s">
        <v>7130</v>
      </c>
      <c r="E527" s="177" t="s">
        <v>83</v>
      </c>
      <c r="F527" s="177" t="s">
        <v>6797</v>
      </c>
      <c r="G527" s="186"/>
      <c r="H527" s="180" t="s">
        <v>2691</v>
      </c>
      <c r="I527" s="163">
        <f>IFERROR(__xludf.DUMMYFUNCTION("""COMPUTED_VALUE"""),3.66)</f>
        <v>3.66</v>
      </c>
      <c r="J527" s="177" t="s">
        <v>6705</v>
      </c>
      <c r="K527" s="177" t="s">
        <v>7136</v>
      </c>
      <c r="L527" s="164"/>
      <c r="M527" s="187">
        <v>46086.71697916667</v>
      </c>
      <c r="N527" s="21" t="s">
        <v>22</v>
      </c>
      <c r="O527" s="164"/>
      <c r="P527" s="164"/>
      <c r="Q527" s="177" t="s">
        <v>2235</v>
      </c>
      <c r="R527" s="164"/>
      <c r="S527" s="163"/>
      <c r="T527" s="164"/>
      <c r="U527" s="164"/>
      <c r="V527" s="164"/>
      <c r="W527" s="164"/>
      <c r="X527" s="164"/>
    </row>
    <row r="528">
      <c r="A528" s="175">
        <v>46086.0</v>
      </c>
      <c r="B528" s="176" t="s">
        <v>2689</v>
      </c>
      <c r="C528" s="177" t="s">
        <v>1049</v>
      </c>
      <c r="D528" s="177" t="s">
        <v>7130</v>
      </c>
      <c r="E528" s="164"/>
      <c r="F528" s="177" t="s">
        <v>6797</v>
      </c>
      <c r="G528" s="186"/>
      <c r="H528" s="180" t="s">
        <v>2689</v>
      </c>
      <c r="I528" s="163">
        <f>IFERROR(__xludf.DUMMYFUNCTION("""COMPUTED_VALUE"""),1.0)</f>
        <v>1</v>
      </c>
      <c r="J528" s="177" t="s">
        <v>6705</v>
      </c>
      <c r="K528" s="177" t="s">
        <v>7137</v>
      </c>
      <c r="L528" s="164"/>
      <c r="M528" s="187">
        <v>46086.72056712963</v>
      </c>
      <c r="N528" s="21" t="s">
        <v>22</v>
      </c>
      <c r="O528" s="164"/>
      <c r="P528" s="164"/>
      <c r="Q528" s="177" t="s">
        <v>2235</v>
      </c>
      <c r="R528" s="164"/>
      <c r="S528" s="163"/>
      <c r="T528" s="164"/>
      <c r="U528" s="164"/>
      <c r="V528" s="164"/>
      <c r="W528" s="164"/>
      <c r="X528" s="164"/>
    </row>
    <row r="529">
      <c r="A529" s="175">
        <v>46086.0</v>
      </c>
      <c r="B529" s="176" t="s">
        <v>2693</v>
      </c>
      <c r="C529" s="177" t="s">
        <v>1049</v>
      </c>
      <c r="D529" s="177" t="s">
        <v>7130</v>
      </c>
      <c r="E529" s="177" t="s">
        <v>6730</v>
      </c>
      <c r="F529" s="177" t="s">
        <v>6797</v>
      </c>
      <c r="G529" s="186"/>
      <c r="H529" s="180" t="s">
        <v>2693</v>
      </c>
      <c r="I529" s="163">
        <f>IFERROR(__xludf.DUMMYFUNCTION("""COMPUTED_VALUE"""),16.0)</f>
        <v>16</v>
      </c>
      <c r="J529" s="177" t="s">
        <v>6705</v>
      </c>
      <c r="K529" s="177" t="s">
        <v>7138</v>
      </c>
      <c r="L529" s="164"/>
      <c r="M529" s="187">
        <v>46086.72226851852</v>
      </c>
      <c r="N529" s="21" t="s">
        <v>22</v>
      </c>
      <c r="O529" s="164"/>
      <c r="P529" s="164"/>
      <c r="Q529" s="177" t="s">
        <v>2620</v>
      </c>
      <c r="R529" s="164"/>
      <c r="S529" s="163"/>
      <c r="T529" s="164"/>
      <c r="U529" s="164"/>
      <c r="V529" s="164"/>
      <c r="W529" s="164"/>
      <c r="X529" s="164"/>
    </row>
    <row r="530">
      <c r="A530" s="175">
        <v>46086.0</v>
      </c>
      <c r="B530" s="176" t="s">
        <v>2695</v>
      </c>
      <c r="C530" s="177" t="s">
        <v>1049</v>
      </c>
      <c r="D530" s="177" t="s">
        <v>7130</v>
      </c>
      <c r="E530" s="177" t="s">
        <v>6729</v>
      </c>
      <c r="F530" s="177" t="s">
        <v>6797</v>
      </c>
      <c r="G530" s="186"/>
      <c r="H530" s="180" t="s">
        <v>2695</v>
      </c>
      <c r="I530" s="163">
        <f>IFERROR(__xludf.DUMMYFUNCTION("""COMPUTED_VALUE"""),10.25)</f>
        <v>10.25</v>
      </c>
      <c r="J530" s="177" t="s">
        <v>6705</v>
      </c>
      <c r="K530" s="177" t="s">
        <v>7139</v>
      </c>
      <c r="L530" s="164"/>
      <c r="M530" s="187">
        <v>46086.7253587963</v>
      </c>
      <c r="N530" s="21" t="s">
        <v>22</v>
      </c>
      <c r="O530" s="164"/>
      <c r="P530" s="164"/>
      <c r="Q530" s="177" t="s">
        <v>2288</v>
      </c>
      <c r="R530" s="164"/>
      <c r="S530" s="163"/>
      <c r="T530" s="164"/>
      <c r="U530" s="164"/>
      <c r="V530" s="164"/>
      <c r="W530" s="164"/>
      <c r="X530" s="164"/>
    </row>
    <row r="531">
      <c r="A531" s="175">
        <v>46086.0</v>
      </c>
      <c r="B531" s="176" t="s">
        <v>2724</v>
      </c>
      <c r="C531" s="177" t="s">
        <v>1049</v>
      </c>
      <c r="D531" s="177" t="s">
        <v>7130</v>
      </c>
      <c r="E531" s="164"/>
      <c r="F531" s="177" t="s">
        <v>6820</v>
      </c>
      <c r="G531" s="186"/>
      <c r="H531" s="180" t="s">
        <v>2724</v>
      </c>
      <c r="I531" s="163">
        <f>IFERROR(__xludf.DUMMYFUNCTION("""COMPUTED_VALUE"""),10.2)</f>
        <v>10.2</v>
      </c>
      <c r="J531" s="177" t="s">
        <v>6705</v>
      </c>
      <c r="K531" s="177" t="s">
        <v>7140</v>
      </c>
      <c r="L531" s="164"/>
      <c r="M531" s="187">
        <v>46086.73550925926</v>
      </c>
      <c r="N531" s="21" t="s">
        <v>22</v>
      </c>
      <c r="O531" s="164"/>
      <c r="P531" s="164"/>
      <c r="Q531" s="177" t="s">
        <v>1490</v>
      </c>
      <c r="R531" s="164"/>
      <c r="S531" s="163">
        <f>IFERROR(__xludf.DUMMYFUNCTION("""COMPUTED_VALUE"""),24.99)</f>
        <v>24.99</v>
      </c>
      <c r="T531" s="164"/>
      <c r="U531" s="164"/>
      <c r="V531" s="164"/>
      <c r="W531" s="164"/>
      <c r="X531" s="164"/>
    </row>
    <row r="532">
      <c r="A532" s="175">
        <v>46086.0</v>
      </c>
      <c r="B532" s="176" t="s">
        <v>2702</v>
      </c>
      <c r="C532" s="177" t="s">
        <v>1049</v>
      </c>
      <c r="D532" s="177" t="s">
        <v>7130</v>
      </c>
      <c r="E532" s="177" t="s">
        <v>6777</v>
      </c>
      <c r="F532" s="177" t="s">
        <v>6820</v>
      </c>
      <c r="G532" s="186"/>
      <c r="H532" s="180" t="s">
        <v>2702</v>
      </c>
      <c r="I532" s="163">
        <f>IFERROR(__xludf.DUMMYFUNCTION("""COMPUTED_VALUE"""),15.0)</f>
        <v>15</v>
      </c>
      <c r="J532" s="177" t="s">
        <v>6705</v>
      </c>
      <c r="K532" s="177" t="s">
        <v>7141</v>
      </c>
      <c r="L532" s="164"/>
      <c r="M532" s="187">
        <v>46086.73947916667</v>
      </c>
      <c r="N532" s="21" t="s">
        <v>22</v>
      </c>
      <c r="O532" s="164"/>
      <c r="P532" s="164"/>
      <c r="Q532" s="177" t="s">
        <v>2587</v>
      </c>
      <c r="R532" s="164"/>
      <c r="S532" s="163">
        <f>IFERROR(__xludf.DUMMYFUNCTION("""COMPUTED_VALUE"""),35.0)</f>
        <v>35</v>
      </c>
      <c r="T532" s="164"/>
      <c r="U532" s="164"/>
      <c r="V532" s="164"/>
      <c r="W532" s="164"/>
      <c r="X532" s="164"/>
    </row>
    <row r="533">
      <c r="A533" s="175">
        <v>46086.0</v>
      </c>
      <c r="B533" s="176" t="s">
        <v>2704</v>
      </c>
      <c r="C533" s="177" t="s">
        <v>6992</v>
      </c>
      <c r="D533" s="177" t="s">
        <v>7025</v>
      </c>
      <c r="E533" s="177" t="s">
        <v>662</v>
      </c>
      <c r="F533" s="177" t="s">
        <v>6820</v>
      </c>
      <c r="G533" s="186"/>
      <c r="H533" s="180" t="s">
        <v>2704</v>
      </c>
      <c r="I533" s="163">
        <f>IFERROR(__xludf.DUMMYFUNCTION("""COMPUTED_VALUE"""),13.47)</f>
        <v>13.47</v>
      </c>
      <c r="J533" s="177" t="s">
        <v>6705</v>
      </c>
      <c r="K533" s="177" t="s">
        <v>7142</v>
      </c>
      <c r="L533" s="164"/>
      <c r="M533" s="187">
        <v>46086.75592592593</v>
      </c>
      <c r="N533" s="21" t="s">
        <v>22</v>
      </c>
      <c r="O533" s="164"/>
      <c r="P533" s="164"/>
      <c r="Q533" s="177" t="s">
        <v>2240</v>
      </c>
      <c r="R533" s="164"/>
      <c r="S533" s="163">
        <f>IFERROR(__xludf.DUMMYFUNCTION("""COMPUTED_VALUE"""),45.0)</f>
        <v>45</v>
      </c>
      <c r="T533" s="164"/>
      <c r="U533" s="164"/>
      <c r="V533" s="164"/>
      <c r="W533" s="164"/>
      <c r="X533" s="164"/>
    </row>
    <row r="534">
      <c r="A534" s="175">
        <v>46086.0</v>
      </c>
      <c r="B534" s="176" t="s">
        <v>2239</v>
      </c>
      <c r="C534" s="177" t="s">
        <v>6994</v>
      </c>
      <c r="D534" s="177" t="s">
        <v>7025</v>
      </c>
      <c r="E534" s="177" t="s">
        <v>662</v>
      </c>
      <c r="F534" s="177"/>
      <c r="G534" s="186"/>
      <c r="H534" s="180"/>
      <c r="I534" s="163" t="str">
        <f>IFERROR(__xludf.DUMMYFUNCTION("""COMPUTED_VALUE"""),"")</f>
        <v/>
      </c>
      <c r="J534" s="177" t="s">
        <v>6705</v>
      </c>
      <c r="K534" s="177" t="s">
        <v>7143</v>
      </c>
      <c r="L534" s="164"/>
      <c r="M534" s="187">
        <v>46086.75641203704</v>
      </c>
      <c r="N534" s="21" t="s">
        <v>22</v>
      </c>
      <c r="O534" s="164"/>
      <c r="P534" s="164"/>
      <c r="Q534" s="177" t="s">
        <v>2240</v>
      </c>
      <c r="R534" s="164"/>
      <c r="S534" s="163" t="str">
        <f>IFERROR(__xludf.DUMMYFUNCTION("""COMPUTED_VALUE"""),"")</f>
        <v/>
      </c>
      <c r="T534" s="164"/>
      <c r="U534" s="164"/>
      <c r="V534" s="164"/>
      <c r="W534" s="164"/>
      <c r="X534" s="164"/>
    </row>
    <row r="535">
      <c r="A535" s="175">
        <v>46086.0</v>
      </c>
      <c r="B535" s="176" t="s">
        <v>2242</v>
      </c>
      <c r="C535" s="177" t="s">
        <v>6994</v>
      </c>
      <c r="D535" s="177" t="s">
        <v>7025</v>
      </c>
      <c r="E535" s="177" t="s">
        <v>662</v>
      </c>
      <c r="F535" s="177"/>
      <c r="G535" s="186"/>
      <c r="H535" s="180"/>
      <c r="I535" s="163" t="str">
        <f>IFERROR(__xludf.DUMMYFUNCTION("""COMPUTED_VALUE"""),"")</f>
        <v/>
      </c>
      <c r="J535" s="177" t="s">
        <v>6705</v>
      </c>
      <c r="K535" s="177" t="s">
        <v>7144</v>
      </c>
      <c r="L535" s="164"/>
      <c r="M535" s="187">
        <v>46086.757152777776</v>
      </c>
      <c r="N535" s="21" t="s">
        <v>22</v>
      </c>
      <c r="O535" s="164"/>
      <c r="P535" s="164"/>
      <c r="Q535" s="177" t="s">
        <v>2240</v>
      </c>
      <c r="R535" s="164"/>
      <c r="S535" s="163" t="str">
        <f>IFERROR(__xludf.DUMMYFUNCTION("""COMPUTED_VALUE"""),"")</f>
        <v/>
      </c>
      <c r="T535" s="164"/>
      <c r="U535" s="164"/>
      <c r="V535" s="164"/>
      <c r="W535" s="164"/>
      <c r="X535" s="164"/>
    </row>
    <row r="536">
      <c r="A536" s="175">
        <v>46086.0</v>
      </c>
      <c r="B536" s="176" t="s">
        <v>2706</v>
      </c>
      <c r="C536" s="177" t="s">
        <v>1049</v>
      </c>
      <c r="D536" s="177" t="s">
        <v>7120</v>
      </c>
      <c r="E536" s="177" t="s">
        <v>662</v>
      </c>
      <c r="F536" s="177" t="s">
        <v>6749</v>
      </c>
      <c r="G536" s="186"/>
      <c r="H536" s="180" t="s">
        <v>2706</v>
      </c>
      <c r="I536" s="163">
        <f>IFERROR(__xludf.DUMMYFUNCTION("""COMPUTED_VALUE"""),5.59)</f>
        <v>5.59</v>
      </c>
      <c r="J536" s="177" t="s">
        <v>6750</v>
      </c>
      <c r="K536" s="177" t="s">
        <v>7145</v>
      </c>
      <c r="L536" s="177" t="s">
        <v>7095</v>
      </c>
      <c r="M536" s="187">
        <v>46086.7690625</v>
      </c>
      <c r="N536" s="21" t="s">
        <v>22</v>
      </c>
      <c r="O536" s="164"/>
      <c r="P536" s="164"/>
      <c r="Q536" s="177" t="s">
        <v>2707</v>
      </c>
      <c r="R536" s="164"/>
      <c r="S536" s="163">
        <f>IFERROR(__xludf.DUMMYFUNCTION("""COMPUTED_VALUE"""),15.0)</f>
        <v>15</v>
      </c>
      <c r="T536" s="164"/>
      <c r="U536" s="164"/>
      <c r="V536" s="164"/>
      <c r="W536" s="164"/>
      <c r="X536" s="164"/>
    </row>
    <row r="537">
      <c r="A537" s="175">
        <v>46086.0</v>
      </c>
      <c r="B537" s="176" t="s">
        <v>2709</v>
      </c>
      <c r="C537" s="177" t="s">
        <v>6992</v>
      </c>
      <c r="D537" s="177" t="s">
        <v>7025</v>
      </c>
      <c r="E537" s="177" t="s">
        <v>662</v>
      </c>
      <c r="F537" s="177" t="s">
        <v>6714</v>
      </c>
      <c r="G537" s="186"/>
      <c r="H537" s="180" t="s">
        <v>2709</v>
      </c>
      <c r="I537" s="163">
        <f>IFERROR(__xludf.DUMMYFUNCTION("""COMPUTED_VALUE"""),14.97)</f>
        <v>14.97</v>
      </c>
      <c r="J537" s="177" t="s">
        <v>6725</v>
      </c>
      <c r="K537" s="177" t="s">
        <v>7146</v>
      </c>
      <c r="L537" s="164"/>
      <c r="M537" s="187">
        <v>46086.77695601852</v>
      </c>
      <c r="N537" s="21" t="s">
        <v>22</v>
      </c>
      <c r="O537" s="164"/>
      <c r="P537" s="164"/>
      <c r="Q537" s="177" t="s">
        <v>2048</v>
      </c>
      <c r="R537" s="164"/>
      <c r="S537" s="163">
        <f>IFERROR(__xludf.DUMMYFUNCTION("""COMPUTED_VALUE"""),30.0)</f>
        <v>30</v>
      </c>
      <c r="T537" s="164"/>
      <c r="U537" s="164"/>
      <c r="V537" s="164"/>
      <c r="W537" s="164"/>
      <c r="X537" s="164"/>
    </row>
    <row r="538">
      <c r="A538" s="175">
        <v>46086.0</v>
      </c>
      <c r="B538" s="176" t="s">
        <v>2244</v>
      </c>
      <c r="C538" s="177" t="s">
        <v>6994</v>
      </c>
      <c r="D538" s="177" t="s">
        <v>7025</v>
      </c>
      <c r="E538" s="177" t="s">
        <v>662</v>
      </c>
      <c r="F538" s="177"/>
      <c r="G538" s="186"/>
      <c r="H538" s="180"/>
      <c r="I538" s="163" t="str">
        <f>IFERROR(__xludf.DUMMYFUNCTION("""COMPUTED_VALUE"""),"")</f>
        <v/>
      </c>
      <c r="J538" s="177" t="s">
        <v>6725</v>
      </c>
      <c r="K538" s="177" t="s">
        <v>7147</v>
      </c>
      <c r="L538" s="164"/>
      <c r="M538" s="187">
        <v>46086.77798611111</v>
      </c>
      <c r="N538" s="21" t="s">
        <v>22</v>
      </c>
      <c r="O538" s="164"/>
      <c r="P538" s="164"/>
      <c r="Q538" s="177" t="s">
        <v>2048</v>
      </c>
      <c r="R538" s="164"/>
      <c r="S538" s="163" t="str">
        <f>IFERROR(__xludf.DUMMYFUNCTION("""COMPUTED_VALUE"""),"")</f>
        <v/>
      </c>
      <c r="T538" s="164"/>
      <c r="U538" s="164"/>
      <c r="V538" s="164"/>
      <c r="W538" s="164"/>
      <c r="X538" s="164"/>
    </row>
    <row r="539">
      <c r="A539" s="175">
        <v>46086.0</v>
      </c>
      <c r="B539" s="176" t="s">
        <v>2246</v>
      </c>
      <c r="C539" s="177" t="s">
        <v>6994</v>
      </c>
      <c r="D539" s="177" t="s">
        <v>7025</v>
      </c>
      <c r="E539" s="177" t="s">
        <v>662</v>
      </c>
      <c r="F539" s="177"/>
      <c r="G539" s="186"/>
      <c r="H539" s="180"/>
      <c r="I539" s="163" t="str">
        <f>IFERROR(__xludf.DUMMYFUNCTION("""COMPUTED_VALUE"""),"")</f>
        <v/>
      </c>
      <c r="J539" s="177" t="s">
        <v>6725</v>
      </c>
      <c r="K539" s="177" t="s">
        <v>7148</v>
      </c>
      <c r="L539" s="164"/>
      <c r="M539" s="187">
        <v>46086.78041666667</v>
      </c>
      <c r="N539" s="21" t="s">
        <v>22</v>
      </c>
      <c r="O539" s="164"/>
      <c r="P539" s="164"/>
      <c r="Q539" s="177" t="s">
        <v>2048</v>
      </c>
      <c r="R539" s="164"/>
      <c r="S539" s="163" t="str">
        <f>IFERROR(__xludf.DUMMYFUNCTION("""COMPUTED_VALUE"""),"")</f>
        <v/>
      </c>
      <c r="T539" s="164"/>
      <c r="U539" s="164"/>
      <c r="V539" s="164"/>
      <c r="W539" s="164"/>
      <c r="X539" s="164"/>
    </row>
    <row r="540">
      <c r="A540" s="175">
        <v>46086.0</v>
      </c>
      <c r="B540" s="176" t="s">
        <v>2711</v>
      </c>
      <c r="C540" s="177" t="s">
        <v>6992</v>
      </c>
      <c r="D540" s="177" t="s">
        <v>7130</v>
      </c>
      <c r="E540" s="177" t="s">
        <v>38</v>
      </c>
      <c r="F540" s="177" t="s">
        <v>6820</v>
      </c>
      <c r="G540" s="186"/>
      <c r="H540" s="180" t="s">
        <v>2711</v>
      </c>
      <c r="I540" s="163">
        <f>IFERROR(__xludf.DUMMYFUNCTION("""COMPUTED_VALUE"""),16.0)</f>
        <v>16</v>
      </c>
      <c r="J540" s="177" t="s">
        <v>6705</v>
      </c>
      <c r="K540" s="177" t="s">
        <v>7149</v>
      </c>
      <c r="L540" s="164"/>
      <c r="M540" s="187">
        <v>46086.80033564815</v>
      </c>
      <c r="N540" s="21" t="s">
        <v>22</v>
      </c>
      <c r="O540" s="164"/>
      <c r="P540" s="164"/>
      <c r="Q540" s="177" t="s">
        <v>1767</v>
      </c>
      <c r="R540" s="164"/>
      <c r="S540" s="163">
        <f>IFERROR(__xludf.DUMMYFUNCTION("""COMPUTED_VALUE"""),32.0)</f>
        <v>32</v>
      </c>
      <c r="T540" s="164"/>
      <c r="U540" s="164"/>
      <c r="V540" s="164"/>
      <c r="W540" s="164"/>
      <c r="X540" s="164"/>
    </row>
    <row r="541">
      <c r="A541" s="175">
        <v>46086.0</v>
      </c>
      <c r="B541" s="176" t="s">
        <v>2405</v>
      </c>
      <c r="C541" s="177" t="s">
        <v>6994</v>
      </c>
      <c r="D541" s="177" t="s">
        <v>7130</v>
      </c>
      <c r="E541" s="177" t="s">
        <v>38</v>
      </c>
      <c r="F541" s="177"/>
      <c r="G541" s="186"/>
      <c r="H541" s="180"/>
      <c r="I541" s="163" t="str">
        <f>IFERROR(__xludf.DUMMYFUNCTION("""COMPUTED_VALUE"""),"")</f>
        <v/>
      </c>
      <c r="J541" s="177" t="s">
        <v>6705</v>
      </c>
      <c r="K541" s="177" t="s">
        <v>7150</v>
      </c>
      <c r="L541" s="164"/>
      <c r="M541" s="187">
        <v>46086.800844907404</v>
      </c>
      <c r="N541" s="21" t="s">
        <v>22</v>
      </c>
      <c r="O541" s="164"/>
      <c r="P541" s="164"/>
      <c r="Q541" s="177" t="s">
        <v>1767</v>
      </c>
      <c r="R541" s="164"/>
      <c r="S541" s="163" t="str">
        <f>IFERROR(__xludf.DUMMYFUNCTION("""COMPUTED_VALUE"""),"")</f>
        <v/>
      </c>
      <c r="T541" s="164"/>
      <c r="U541" s="164"/>
      <c r="V541" s="164"/>
      <c r="W541" s="164"/>
      <c r="X541" s="164"/>
    </row>
    <row r="542">
      <c r="A542" s="175">
        <v>46087.0</v>
      </c>
      <c r="B542" s="176" t="s">
        <v>2750</v>
      </c>
      <c r="C542" s="177" t="s">
        <v>1049</v>
      </c>
      <c r="D542" s="177" t="s">
        <v>7151</v>
      </c>
      <c r="E542" s="177" t="s">
        <v>842</v>
      </c>
      <c r="F542" s="177" t="s">
        <v>6859</v>
      </c>
      <c r="G542" s="186"/>
      <c r="H542" s="180" t="s">
        <v>2750</v>
      </c>
      <c r="I542" s="163">
        <f>IFERROR(__xludf.DUMMYFUNCTION("""COMPUTED_VALUE"""),11.0)</f>
        <v>11</v>
      </c>
      <c r="J542" s="177" t="s">
        <v>6735</v>
      </c>
      <c r="K542" s="177" t="s">
        <v>7152</v>
      </c>
      <c r="L542" s="164"/>
      <c r="M542" s="187">
        <v>46087.38365740741</v>
      </c>
      <c r="N542" s="21" t="s">
        <v>22</v>
      </c>
      <c r="O542" s="164"/>
      <c r="P542" s="164"/>
      <c r="Q542" s="177" t="s">
        <v>1770</v>
      </c>
      <c r="R542" s="164"/>
      <c r="S542" s="163">
        <f>IFERROR(__xludf.DUMMYFUNCTION("""COMPUTED_VALUE"""),21.665000000000003)</f>
        <v>21.665</v>
      </c>
      <c r="T542" s="164"/>
      <c r="U542" s="164"/>
      <c r="V542" s="164"/>
      <c r="W542" s="164"/>
      <c r="X542" s="164"/>
    </row>
    <row r="543">
      <c r="A543" s="175">
        <v>46087.0</v>
      </c>
      <c r="B543" s="176" t="s">
        <v>2748</v>
      </c>
      <c r="C543" s="177" t="s">
        <v>1049</v>
      </c>
      <c r="D543" s="177" t="s">
        <v>7151</v>
      </c>
      <c r="E543" s="177" t="s">
        <v>38</v>
      </c>
      <c r="F543" s="177" t="s">
        <v>1050</v>
      </c>
      <c r="G543" s="186"/>
      <c r="H543" s="180" t="s">
        <v>2748</v>
      </c>
      <c r="I543" s="163">
        <f>IFERROR(__xludf.DUMMYFUNCTION("""COMPUTED_VALUE"""),7.0)</f>
        <v>7</v>
      </c>
      <c r="J543" s="177" t="s">
        <v>6705</v>
      </c>
      <c r="K543" s="177" t="s">
        <v>7153</v>
      </c>
      <c r="L543" s="164"/>
      <c r="M543" s="187">
        <v>46087.54185185185</v>
      </c>
      <c r="N543" s="21" t="s">
        <v>22</v>
      </c>
      <c r="O543" s="164"/>
      <c r="P543" s="164"/>
      <c r="Q543" s="177" t="s">
        <v>1449</v>
      </c>
      <c r="R543" s="164"/>
      <c r="S543" s="163">
        <f>IFERROR(__xludf.DUMMYFUNCTION("""COMPUTED_VALUE"""),15.99)</f>
        <v>15.99</v>
      </c>
      <c r="T543" s="164"/>
      <c r="U543" s="164"/>
      <c r="V543" s="164"/>
      <c r="W543" s="164"/>
      <c r="X543" s="164"/>
    </row>
    <row r="544">
      <c r="A544" s="175">
        <v>46087.0</v>
      </c>
      <c r="B544" s="176" t="s">
        <v>2916</v>
      </c>
      <c r="C544" s="177" t="s">
        <v>1049</v>
      </c>
      <c r="D544" s="177" t="s">
        <v>7151</v>
      </c>
      <c r="E544" s="177" t="s">
        <v>842</v>
      </c>
      <c r="F544" s="177" t="s">
        <v>1119</v>
      </c>
      <c r="G544" s="186"/>
      <c r="H544" s="180" t="s">
        <v>2916</v>
      </c>
      <c r="I544" s="163">
        <f>IFERROR(__xludf.DUMMYFUNCTION("""COMPUTED_VALUE"""),8.495)</f>
        <v>8.495</v>
      </c>
      <c r="J544" s="177" t="s">
        <v>6705</v>
      </c>
      <c r="K544" s="177" t="s">
        <v>7154</v>
      </c>
      <c r="L544" s="164"/>
      <c r="M544" s="187">
        <v>46087.58678240741</v>
      </c>
      <c r="N544" s="21" t="s">
        <v>22</v>
      </c>
      <c r="O544" s="164"/>
      <c r="P544" s="164"/>
      <c r="Q544" s="177" t="s">
        <v>1530</v>
      </c>
      <c r="R544" s="164"/>
      <c r="S544" s="163">
        <f>IFERROR(__xludf.DUMMYFUNCTION("""COMPUTED_VALUE"""),0.0)</f>
        <v>0</v>
      </c>
      <c r="T544" s="164"/>
      <c r="U544" s="164"/>
      <c r="V544" s="164"/>
      <c r="W544" s="164"/>
      <c r="X544" s="164"/>
    </row>
    <row r="545">
      <c r="A545" s="175">
        <v>46088.0</v>
      </c>
      <c r="B545" s="176" t="s">
        <v>2762</v>
      </c>
      <c r="C545" s="177" t="s">
        <v>1049</v>
      </c>
      <c r="D545" s="177" t="s">
        <v>7151</v>
      </c>
      <c r="E545" s="177" t="s">
        <v>850</v>
      </c>
      <c r="F545" s="177" t="s">
        <v>6889</v>
      </c>
      <c r="G545" s="186"/>
      <c r="H545" s="180" t="s">
        <v>2762</v>
      </c>
      <c r="I545" s="163">
        <f>IFERROR(__xludf.DUMMYFUNCTION("""COMPUTED_VALUE"""),4.19)</f>
        <v>4.19</v>
      </c>
      <c r="J545" s="177" t="s">
        <v>6705</v>
      </c>
      <c r="K545" s="177" t="s">
        <v>7155</v>
      </c>
      <c r="L545" s="164"/>
      <c r="M545" s="187">
        <v>46088.423993055556</v>
      </c>
      <c r="N545" s="21" t="s">
        <v>22</v>
      </c>
      <c r="O545" s="164"/>
      <c r="P545" s="164"/>
      <c r="Q545" s="177" t="s">
        <v>1779</v>
      </c>
      <c r="R545" s="164"/>
      <c r="S545" s="163">
        <f>IFERROR(__xludf.DUMMYFUNCTION("""COMPUTED_VALUE"""),15.0)</f>
        <v>15</v>
      </c>
      <c r="T545" s="164"/>
      <c r="U545" s="164"/>
      <c r="V545" s="164"/>
      <c r="W545" s="164"/>
      <c r="X545" s="164"/>
    </row>
    <row r="546">
      <c r="A546" s="175">
        <v>46088.0</v>
      </c>
      <c r="B546" s="176" t="s">
        <v>2766</v>
      </c>
      <c r="C546" s="177" t="s">
        <v>1049</v>
      </c>
      <c r="D546" s="177" t="s">
        <v>7151</v>
      </c>
      <c r="E546" s="177" t="s">
        <v>850</v>
      </c>
      <c r="F546" s="177" t="s">
        <v>6889</v>
      </c>
      <c r="G546" s="186"/>
      <c r="H546" s="180" t="s">
        <v>2766</v>
      </c>
      <c r="I546" s="163">
        <f>IFERROR(__xludf.DUMMYFUNCTION("""COMPUTED_VALUE"""),4.19)</f>
        <v>4.19</v>
      </c>
      <c r="J546" s="177" t="s">
        <v>6705</v>
      </c>
      <c r="K546" s="177" t="s">
        <v>7156</v>
      </c>
      <c r="L546" s="164"/>
      <c r="M546" s="187">
        <v>46088.441875</v>
      </c>
      <c r="N546" s="21" t="s">
        <v>22</v>
      </c>
      <c r="O546" s="164"/>
      <c r="P546" s="164"/>
      <c r="Q546" s="177" t="s">
        <v>1779</v>
      </c>
      <c r="R546" s="164"/>
      <c r="S546" s="163">
        <f>IFERROR(__xludf.DUMMYFUNCTION("""COMPUTED_VALUE"""),15.0)</f>
        <v>15</v>
      </c>
      <c r="T546" s="164"/>
      <c r="U546" s="164"/>
      <c r="V546" s="164"/>
      <c r="W546" s="164"/>
      <c r="X546" s="164"/>
    </row>
    <row r="547">
      <c r="A547" s="175">
        <v>46088.0</v>
      </c>
      <c r="B547" s="176" t="s">
        <v>2764</v>
      </c>
      <c r="C547" s="177" t="s">
        <v>1049</v>
      </c>
      <c r="D547" s="177" t="s">
        <v>7151</v>
      </c>
      <c r="E547" s="177" t="s">
        <v>850</v>
      </c>
      <c r="F547" s="177" t="s">
        <v>6889</v>
      </c>
      <c r="G547" s="186"/>
      <c r="H547" s="180" t="s">
        <v>2764</v>
      </c>
      <c r="I547" s="163">
        <f>IFERROR(__xludf.DUMMYFUNCTION("""COMPUTED_VALUE"""),4.19)</f>
        <v>4.19</v>
      </c>
      <c r="J547" s="177" t="s">
        <v>6705</v>
      </c>
      <c r="K547" s="177" t="s">
        <v>7157</v>
      </c>
      <c r="L547" s="164"/>
      <c r="M547" s="187">
        <v>46088.4453125</v>
      </c>
      <c r="N547" s="21" t="s">
        <v>22</v>
      </c>
      <c r="O547" s="164"/>
      <c r="P547" s="164"/>
      <c r="Q547" s="177" t="s">
        <v>1779</v>
      </c>
      <c r="R547" s="164"/>
      <c r="S547" s="163">
        <f>IFERROR(__xludf.DUMMYFUNCTION("""COMPUTED_VALUE"""),15.0)</f>
        <v>15</v>
      </c>
      <c r="T547" s="164"/>
      <c r="U547" s="164"/>
      <c r="V547" s="164"/>
      <c r="W547" s="164"/>
      <c r="X547" s="164"/>
    </row>
    <row r="548">
      <c r="A548" s="175">
        <v>46088.0</v>
      </c>
      <c r="B548" s="176" t="s">
        <v>2768</v>
      </c>
      <c r="C548" s="177" t="s">
        <v>1049</v>
      </c>
      <c r="D548" s="177" t="s">
        <v>7151</v>
      </c>
      <c r="E548" s="177" t="s">
        <v>850</v>
      </c>
      <c r="F548" s="177" t="s">
        <v>6889</v>
      </c>
      <c r="G548" s="186"/>
      <c r="H548" s="180" t="s">
        <v>2768</v>
      </c>
      <c r="I548" s="163">
        <f>IFERROR(__xludf.DUMMYFUNCTION("""COMPUTED_VALUE"""),4.19)</f>
        <v>4.19</v>
      </c>
      <c r="J548" s="177" t="s">
        <v>6705</v>
      </c>
      <c r="K548" s="177" t="s">
        <v>7158</v>
      </c>
      <c r="L548" s="164"/>
      <c r="M548" s="187">
        <v>46088.44641203704</v>
      </c>
      <c r="N548" s="21" t="s">
        <v>22</v>
      </c>
      <c r="O548" s="164"/>
      <c r="P548" s="164"/>
      <c r="Q548" s="177" t="s">
        <v>1779</v>
      </c>
      <c r="R548" s="164"/>
      <c r="S548" s="163">
        <f>IFERROR(__xludf.DUMMYFUNCTION("""COMPUTED_VALUE"""),15.0)</f>
        <v>15</v>
      </c>
      <c r="T548" s="164"/>
      <c r="U548" s="164"/>
      <c r="V548" s="164"/>
      <c r="W548" s="164"/>
      <c r="X548" s="164"/>
    </row>
    <row r="549">
      <c r="A549" s="175">
        <v>46088.0</v>
      </c>
      <c r="B549" s="176" t="s">
        <v>2758</v>
      </c>
      <c r="C549" s="177" t="s">
        <v>1049</v>
      </c>
      <c r="D549" s="177" t="s">
        <v>7151</v>
      </c>
      <c r="E549" s="177" t="s">
        <v>6706</v>
      </c>
      <c r="F549" s="177" t="s">
        <v>1119</v>
      </c>
      <c r="G549" s="186"/>
      <c r="H549" s="180" t="s">
        <v>2758</v>
      </c>
      <c r="I549" s="163">
        <f>IFERROR(__xludf.DUMMYFUNCTION("""COMPUTED_VALUE"""),20.4)</f>
        <v>20.4</v>
      </c>
      <c r="J549" s="177" t="s">
        <v>6705</v>
      </c>
      <c r="K549" s="177" t="s">
        <v>7159</v>
      </c>
      <c r="L549" s="164"/>
      <c r="M549" s="187">
        <v>46088.44892361111</v>
      </c>
      <c r="N549" s="21" t="s">
        <v>22</v>
      </c>
      <c r="O549" s="164"/>
      <c r="P549" s="164"/>
      <c r="Q549" s="177" t="s">
        <v>2617</v>
      </c>
      <c r="R549" s="164"/>
      <c r="S549" s="163"/>
      <c r="T549" s="164"/>
      <c r="U549" s="164"/>
      <c r="V549" s="164"/>
      <c r="W549" s="164"/>
      <c r="X549" s="164"/>
    </row>
    <row r="550">
      <c r="A550" s="175">
        <v>46088.0</v>
      </c>
      <c r="B550" s="176" t="s">
        <v>2760</v>
      </c>
      <c r="C550" s="177" t="s">
        <v>1049</v>
      </c>
      <c r="D550" s="177" t="s">
        <v>7151</v>
      </c>
      <c r="E550" s="177" t="s">
        <v>842</v>
      </c>
      <c r="F550" s="177" t="s">
        <v>1119</v>
      </c>
      <c r="G550" s="186"/>
      <c r="H550" s="180" t="s">
        <v>2760</v>
      </c>
      <c r="I550" s="163">
        <f>IFERROR(__xludf.DUMMYFUNCTION("""COMPUTED_VALUE"""),5.4)</f>
        <v>5.4</v>
      </c>
      <c r="J550" s="177" t="s">
        <v>6705</v>
      </c>
      <c r="K550" s="177" t="s">
        <v>7160</v>
      </c>
      <c r="L550" s="164"/>
      <c r="M550" s="187">
        <v>46088.450057870374</v>
      </c>
      <c r="N550" s="21" t="s">
        <v>22</v>
      </c>
      <c r="O550" s="164"/>
      <c r="P550" s="164"/>
      <c r="Q550" s="177" t="s">
        <v>1530</v>
      </c>
      <c r="R550" s="164"/>
      <c r="S550" s="163">
        <f>IFERROR(__xludf.DUMMYFUNCTION("""COMPUTED_VALUE"""),0.0)</f>
        <v>0</v>
      </c>
      <c r="T550" s="164"/>
      <c r="U550" s="164"/>
      <c r="V550" s="164"/>
      <c r="W550" s="164"/>
      <c r="X550" s="164"/>
    </row>
    <row r="551">
      <c r="A551" s="175">
        <v>46088.0</v>
      </c>
      <c r="B551" s="176" t="s">
        <v>2752</v>
      </c>
      <c r="C551" s="177" t="s">
        <v>1049</v>
      </c>
      <c r="D551" s="177" t="s">
        <v>7151</v>
      </c>
      <c r="E551" s="177" t="s">
        <v>48</v>
      </c>
      <c r="F551" s="177" t="s">
        <v>6820</v>
      </c>
      <c r="G551" s="186"/>
      <c r="H551" s="180" t="s">
        <v>2752</v>
      </c>
      <c r="I551" s="163">
        <f>IFERROR(__xludf.DUMMYFUNCTION("""COMPUTED_VALUE"""),16.99)</f>
        <v>16.99</v>
      </c>
      <c r="J551" s="177" t="s">
        <v>6705</v>
      </c>
      <c r="K551" s="177" t="s">
        <v>7161</v>
      </c>
      <c r="L551" s="164"/>
      <c r="M551" s="187">
        <v>46088.453055555554</v>
      </c>
      <c r="N551" s="21" t="s">
        <v>22</v>
      </c>
      <c r="O551" s="164"/>
      <c r="P551" s="164"/>
      <c r="Q551" s="177" t="s">
        <v>2753</v>
      </c>
      <c r="R551" s="164"/>
      <c r="S551" s="163"/>
      <c r="T551" s="164"/>
      <c r="U551" s="164"/>
      <c r="V551" s="164"/>
      <c r="W551" s="164"/>
      <c r="X551" s="164"/>
    </row>
    <row r="552">
      <c r="A552" s="175">
        <v>46088.0</v>
      </c>
      <c r="B552" s="176" t="s">
        <v>2770</v>
      </c>
      <c r="C552" s="177" t="s">
        <v>1049</v>
      </c>
      <c r="D552" s="177" t="s">
        <v>7151</v>
      </c>
      <c r="E552" s="177" t="s">
        <v>29</v>
      </c>
      <c r="F552" s="177" t="s">
        <v>1050</v>
      </c>
      <c r="G552" s="186"/>
      <c r="H552" s="180" t="s">
        <v>2770</v>
      </c>
      <c r="I552" s="163">
        <f>IFERROR(__xludf.DUMMYFUNCTION("""COMPUTED_VALUE"""),0.0)</f>
        <v>0</v>
      </c>
      <c r="J552" s="177" t="s">
        <v>6705</v>
      </c>
      <c r="K552" s="177" t="s">
        <v>7162</v>
      </c>
      <c r="L552" s="177" t="s">
        <v>7163</v>
      </c>
      <c r="M552" s="187">
        <v>46088.46234953704</v>
      </c>
      <c r="N552" s="21" t="s">
        <v>22</v>
      </c>
      <c r="O552" s="164"/>
      <c r="P552" s="164"/>
      <c r="Q552" s="177" t="s">
        <v>2771</v>
      </c>
      <c r="R552" s="164"/>
      <c r="S552" s="163">
        <f>IFERROR(__xludf.DUMMYFUNCTION("""COMPUTED_VALUE"""),10.0)</f>
        <v>10</v>
      </c>
      <c r="T552" s="164"/>
      <c r="U552" s="164"/>
      <c r="V552" s="164"/>
      <c r="W552" s="164"/>
      <c r="X552" s="164"/>
    </row>
    <row r="553">
      <c r="A553" s="175">
        <v>46088.0</v>
      </c>
      <c r="B553" s="176" t="s">
        <v>2853</v>
      </c>
      <c r="C553" s="177" t="s">
        <v>1049</v>
      </c>
      <c r="D553" s="177" t="s">
        <v>7151</v>
      </c>
      <c r="E553" s="177" t="s">
        <v>6706</v>
      </c>
      <c r="F553" s="177" t="s">
        <v>6706</v>
      </c>
      <c r="G553" s="186"/>
      <c r="H553" s="180" t="s">
        <v>2853</v>
      </c>
      <c r="I553" s="163">
        <f>IFERROR(__xludf.DUMMYFUNCTION("""COMPUTED_VALUE"""),0.0)</f>
        <v>0</v>
      </c>
      <c r="J553" s="177" t="s">
        <v>6708</v>
      </c>
      <c r="K553" s="177" t="s">
        <v>7164</v>
      </c>
      <c r="L553" s="177" t="s">
        <v>7062</v>
      </c>
      <c r="M553" s="187">
        <v>46088.468148148146</v>
      </c>
      <c r="N553" s="21" t="s">
        <v>22</v>
      </c>
      <c r="O553" s="164"/>
      <c r="P553" s="164"/>
      <c r="Q553" s="177" t="s">
        <v>1471</v>
      </c>
      <c r="R553" s="164"/>
      <c r="S553" s="163"/>
      <c r="T553" s="164"/>
      <c r="U553" s="164"/>
      <c r="V553" s="164"/>
      <c r="W553" s="164"/>
      <c r="X553" s="164"/>
    </row>
    <row r="554">
      <c r="A554" s="175">
        <v>45915.0</v>
      </c>
      <c r="B554" s="176" t="s">
        <v>2755</v>
      </c>
      <c r="C554" s="177" t="s">
        <v>1049</v>
      </c>
      <c r="D554" s="177" t="s">
        <v>6955</v>
      </c>
      <c r="E554" s="177" t="s">
        <v>83</v>
      </c>
      <c r="F554" s="177" t="s">
        <v>1112</v>
      </c>
      <c r="G554" s="186"/>
      <c r="H554" s="180" t="s">
        <v>2755</v>
      </c>
      <c r="I554" s="163">
        <f>IFERROR(__xludf.DUMMYFUNCTION("""COMPUTED_VALUE"""),9.99)</f>
        <v>9.99</v>
      </c>
      <c r="J554" s="177" t="s">
        <v>6705</v>
      </c>
      <c r="K554" s="177" t="s">
        <v>7165</v>
      </c>
      <c r="L554" s="164"/>
      <c r="M554" s="187">
        <v>46088.52392361111</v>
      </c>
      <c r="N554" s="21" t="s">
        <v>22</v>
      </c>
      <c r="O554" s="164"/>
      <c r="P554" s="164"/>
      <c r="Q554" s="177" t="s">
        <v>2756</v>
      </c>
      <c r="R554" s="164"/>
      <c r="S554" s="163"/>
      <c r="T554" s="164"/>
      <c r="U554" s="164"/>
      <c r="V554" s="164"/>
      <c r="W554" s="164"/>
      <c r="X554" s="164"/>
    </row>
    <row r="555">
      <c r="A555" s="175">
        <v>46088.0</v>
      </c>
      <c r="B555" s="176" t="s">
        <v>2755</v>
      </c>
      <c r="C555" s="177" t="s">
        <v>1049</v>
      </c>
      <c r="D555" s="177" t="s">
        <v>7151</v>
      </c>
      <c r="E555" s="177" t="s">
        <v>1112</v>
      </c>
      <c r="F555" s="177" t="s">
        <v>1112</v>
      </c>
      <c r="G555" s="186"/>
      <c r="H555" s="180" t="s">
        <v>2755</v>
      </c>
      <c r="I555" s="163">
        <f>IFERROR(__xludf.DUMMYFUNCTION("""COMPUTED_VALUE"""),9.99)</f>
        <v>9.99</v>
      </c>
      <c r="J555" s="177" t="s">
        <v>6705</v>
      </c>
      <c r="K555" s="177" t="s">
        <v>7166</v>
      </c>
      <c r="L555" s="177" t="s">
        <v>7062</v>
      </c>
      <c r="M555" s="187">
        <v>46088.524560185186</v>
      </c>
      <c r="N555" s="21" t="s">
        <v>22</v>
      </c>
      <c r="O555" s="164"/>
      <c r="P555" s="164"/>
      <c r="Q555" s="177" t="s">
        <v>2756</v>
      </c>
      <c r="R555" s="164"/>
      <c r="S555" s="163"/>
      <c r="T555" s="164"/>
      <c r="U555" s="164"/>
      <c r="V555" s="164"/>
      <c r="W555" s="164"/>
      <c r="X555" s="164"/>
    </row>
    <row r="556">
      <c r="A556" s="175">
        <v>45899.0</v>
      </c>
      <c r="B556" s="176" t="s">
        <v>1628</v>
      </c>
      <c r="C556" s="177" t="s">
        <v>6716</v>
      </c>
      <c r="D556" s="177" t="s">
        <v>7004</v>
      </c>
      <c r="E556" s="164"/>
      <c r="F556" s="177" t="s">
        <v>6826</v>
      </c>
      <c r="G556" s="179" t="s">
        <v>6721</v>
      </c>
      <c r="H556" s="180" t="s">
        <v>1651</v>
      </c>
      <c r="I556" s="163">
        <f>IFERROR(__xludf.DUMMYFUNCTION("""COMPUTED_VALUE"""),0.0)</f>
        <v>0</v>
      </c>
      <c r="J556" s="177" t="s">
        <v>6739</v>
      </c>
      <c r="K556" s="177" t="s">
        <v>4638</v>
      </c>
      <c r="L556" s="164"/>
      <c r="M556" s="187">
        <v>46089.85980324074</v>
      </c>
      <c r="N556" s="21" t="s">
        <v>22</v>
      </c>
      <c r="O556" s="164"/>
      <c r="P556" s="164"/>
      <c r="Q556" s="177" t="s">
        <v>1629</v>
      </c>
      <c r="R556" s="164"/>
      <c r="S556" s="163">
        <f>IFERROR(__xludf.DUMMYFUNCTION("""COMPUTED_VALUE"""),0.0)</f>
        <v>0</v>
      </c>
      <c r="T556" s="164"/>
      <c r="U556" s="164"/>
      <c r="V556" s="164"/>
      <c r="W556" s="164"/>
      <c r="X556" s="164"/>
    </row>
    <row r="557">
      <c r="A557" s="175">
        <v>46097.0</v>
      </c>
      <c r="B557" s="176" t="s">
        <v>2476</v>
      </c>
      <c r="C557" s="177" t="s">
        <v>6700</v>
      </c>
      <c r="D557" s="164"/>
      <c r="E557" s="177" t="s">
        <v>6987</v>
      </c>
      <c r="F557" s="164"/>
      <c r="G557" s="186"/>
      <c r="H557" s="181"/>
      <c r="I557" s="163"/>
      <c r="J557" s="164"/>
      <c r="K557" s="177" t="s">
        <v>7167</v>
      </c>
      <c r="L557" s="164"/>
      <c r="M557" s="187">
        <v>46097.65641203704</v>
      </c>
      <c r="N557" s="21" t="s">
        <v>22</v>
      </c>
      <c r="O557" s="177" t="s">
        <v>7168</v>
      </c>
      <c r="P557" s="164"/>
      <c r="Q557" s="177" t="s">
        <v>2474</v>
      </c>
      <c r="R557" s="164"/>
      <c r="S557" s="163"/>
      <c r="T557" s="164"/>
      <c r="U557" s="164"/>
      <c r="V557" s="164"/>
      <c r="W557" s="164"/>
      <c r="X557" s="164"/>
    </row>
    <row r="558">
      <c r="A558" s="175">
        <v>46086.0</v>
      </c>
      <c r="B558" s="176" t="s">
        <v>2726</v>
      </c>
      <c r="C558" s="177" t="s">
        <v>1049</v>
      </c>
      <c r="D558" s="177" t="s">
        <v>7151</v>
      </c>
      <c r="E558" s="177" t="s">
        <v>38</v>
      </c>
      <c r="F558" s="177" t="s">
        <v>6820</v>
      </c>
      <c r="G558" s="186"/>
      <c r="H558" s="180" t="s">
        <v>2726</v>
      </c>
      <c r="I558" s="163">
        <f>IFERROR(__xludf.DUMMYFUNCTION("""COMPUTED_VALUE"""),6.9)</f>
        <v>6.9</v>
      </c>
      <c r="J558" s="177" t="s">
        <v>6705</v>
      </c>
      <c r="K558" s="177" t="s">
        <v>7169</v>
      </c>
      <c r="L558" s="164"/>
      <c r="M558" s="187">
        <v>46097.83675925926</v>
      </c>
      <c r="N558" s="21" t="s">
        <v>22</v>
      </c>
      <c r="O558" s="177" t="s">
        <v>7170</v>
      </c>
      <c r="P558" s="164"/>
      <c r="Q558" s="177" t="s">
        <v>2235</v>
      </c>
      <c r="R558" s="164"/>
      <c r="S558" s="163">
        <f>IFERROR(__xludf.DUMMYFUNCTION("""COMPUTED_VALUE"""),14.99)</f>
        <v>14.99</v>
      </c>
      <c r="T558" s="164"/>
      <c r="U558" s="164"/>
      <c r="V558" s="164"/>
      <c r="W558" s="164"/>
      <c r="X558" s="164"/>
    </row>
    <row r="559">
      <c r="A559" s="175">
        <v>46099.0</v>
      </c>
      <c r="B559" s="176" t="s">
        <v>2780</v>
      </c>
      <c r="C559" s="177" t="s">
        <v>1049</v>
      </c>
      <c r="D559" s="177" t="s">
        <v>7151</v>
      </c>
      <c r="E559" s="177" t="s">
        <v>6731</v>
      </c>
      <c r="F559" s="177" t="s">
        <v>6878</v>
      </c>
      <c r="G559" s="186"/>
      <c r="H559" s="180" t="s">
        <v>2780</v>
      </c>
      <c r="I559" s="163">
        <f>IFERROR(__xludf.DUMMYFUNCTION("""COMPUTED_VALUE"""),17.5)</f>
        <v>17.5</v>
      </c>
      <c r="J559" s="177" t="s">
        <v>7171</v>
      </c>
      <c r="K559" s="188" t="s">
        <v>7172</v>
      </c>
      <c r="L559" s="164"/>
      <c r="M559" s="187">
        <v>46099.5291087963</v>
      </c>
      <c r="N559" s="21" t="s">
        <v>22</v>
      </c>
      <c r="O559" s="164"/>
      <c r="P559" s="164"/>
      <c r="Q559" s="177" t="s">
        <v>2484</v>
      </c>
      <c r="R559" s="164"/>
      <c r="S559" s="163"/>
      <c r="T559" s="164"/>
      <c r="U559" s="164"/>
      <c r="V559" s="164"/>
      <c r="W559" s="164"/>
      <c r="X559" s="164"/>
    </row>
    <row r="560">
      <c r="A560" s="175">
        <v>46099.0</v>
      </c>
      <c r="B560" s="176" t="s">
        <v>2787</v>
      </c>
      <c r="C560" s="177" t="s">
        <v>1049</v>
      </c>
      <c r="D560" s="177" t="s">
        <v>7151</v>
      </c>
      <c r="E560" s="177" t="s">
        <v>6731</v>
      </c>
      <c r="F560" s="177" t="s">
        <v>6823</v>
      </c>
      <c r="G560" s="186"/>
      <c r="H560" s="180" t="s">
        <v>2787</v>
      </c>
      <c r="I560" s="163">
        <f>IFERROR(__xludf.DUMMYFUNCTION("""COMPUTED_VALUE"""),15.0)</f>
        <v>15</v>
      </c>
      <c r="J560" s="177" t="s">
        <v>7171</v>
      </c>
      <c r="K560" s="177" t="s">
        <v>7173</v>
      </c>
      <c r="L560" s="164"/>
      <c r="M560" s="187">
        <v>46099.540625</v>
      </c>
      <c r="N560" s="21" t="s">
        <v>22</v>
      </c>
      <c r="O560" s="177" t="s">
        <v>7168</v>
      </c>
      <c r="P560" s="164"/>
      <c r="Q560" s="177" t="s">
        <v>2587</v>
      </c>
      <c r="R560" s="164"/>
      <c r="S560" s="163">
        <f>IFERROR(__xludf.DUMMYFUNCTION("""COMPUTED_VALUE"""),35.0)</f>
        <v>35</v>
      </c>
      <c r="T560" s="164"/>
      <c r="U560" s="164"/>
      <c r="V560" s="164"/>
      <c r="W560" s="164"/>
      <c r="X560" s="164"/>
    </row>
    <row r="561">
      <c r="A561" s="175">
        <v>46099.0</v>
      </c>
      <c r="B561" s="176" t="s">
        <v>2791</v>
      </c>
      <c r="C561" s="177" t="s">
        <v>1049</v>
      </c>
      <c r="D561" s="177" t="s">
        <v>7006</v>
      </c>
      <c r="E561" s="177" t="s">
        <v>6730</v>
      </c>
      <c r="F561" s="177" t="s">
        <v>6823</v>
      </c>
      <c r="G561" s="186"/>
      <c r="H561" s="180" t="s">
        <v>2791</v>
      </c>
      <c r="I561" s="163">
        <f>IFERROR(__xludf.DUMMYFUNCTION("""COMPUTED_VALUE"""),9.993333333333334)</f>
        <v>9.993333333</v>
      </c>
      <c r="J561" s="177" t="s">
        <v>7171</v>
      </c>
      <c r="K561" s="177" t="s">
        <v>7174</v>
      </c>
      <c r="L561" s="164"/>
      <c r="M561" s="187">
        <v>46099.55572916667</v>
      </c>
      <c r="N561" s="21" t="s">
        <v>22</v>
      </c>
      <c r="O561" s="164"/>
      <c r="P561" s="164"/>
      <c r="Q561" s="177" t="s">
        <v>1484</v>
      </c>
      <c r="R561" s="164"/>
      <c r="S561" s="163">
        <f>IFERROR(__xludf.DUMMYFUNCTION("""COMPUTED_VALUE"""),0.0)</f>
        <v>0</v>
      </c>
      <c r="T561" s="164"/>
      <c r="U561" s="164"/>
      <c r="V561" s="164"/>
      <c r="W561" s="164"/>
      <c r="X561" s="164"/>
    </row>
    <row r="562">
      <c r="A562" s="175">
        <v>46099.0</v>
      </c>
      <c r="B562" s="176" t="s">
        <v>3037</v>
      </c>
      <c r="C562" s="177" t="s">
        <v>1049</v>
      </c>
      <c r="D562" s="177" t="s">
        <v>7151</v>
      </c>
      <c r="E562" s="177" t="s">
        <v>6777</v>
      </c>
      <c r="F562" s="177" t="s">
        <v>6763</v>
      </c>
      <c r="G562" s="186"/>
      <c r="H562" s="180" t="s">
        <v>3037</v>
      </c>
      <c r="I562" s="163">
        <f>IFERROR(__xludf.DUMMYFUNCTION("""COMPUTED_VALUE"""),2.198)</f>
        <v>2.198</v>
      </c>
      <c r="J562" s="177" t="s">
        <v>7171</v>
      </c>
      <c r="K562" s="177" t="s">
        <v>7175</v>
      </c>
      <c r="L562" s="164"/>
      <c r="M562" s="187">
        <v>46099.57065972222</v>
      </c>
      <c r="N562" s="21" t="s">
        <v>22</v>
      </c>
      <c r="O562" s="177" t="s">
        <v>7168</v>
      </c>
      <c r="P562" s="164"/>
      <c r="Q562" s="177" t="s">
        <v>1474</v>
      </c>
      <c r="R562" s="164"/>
      <c r="S562" s="163">
        <f>IFERROR(__xludf.DUMMYFUNCTION("""COMPUTED_VALUE"""),5.0)</f>
        <v>5</v>
      </c>
      <c r="T562" s="164"/>
      <c r="U562" s="164"/>
      <c r="V562" s="164"/>
      <c r="W562" s="164"/>
      <c r="X562" s="164"/>
    </row>
    <row r="563">
      <c r="A563" s="175">
        <v>46099.0</v>
      </c>
      <c r="B563" s="176" t="s">
        <v>2789</v>
      </c>
      <c r="C563" s="177" t="s">
        <v>1049</v>
      </c>
      <c r="D563" s="177" t="s">
        <v>7151</v>
      </c>
      <c r="E563" s="177" t="s">
        <v>6713</v>
      </c>
      <c r="F563" s="177" t="s">
        <v>6738</v>
      </c>
      <c r="G563" s="186"/>
      <c r="H563" s="180" t="s">
        <v>2789</v>
      </c>
      <c r="I563" s="163">
        <f>IFERROR(__xludf.DUMMYFUNCTION("""COMPUTED_VALUE"""),8.0)</f>
        <v>8</v>
      </c>
      <c r="J563" s="177" t="s">
        <v>7176</v>
      </c>
      <c r="K563" s="177" t="s">
        <v>7177</v>
      </c>
      <c r="L563" s="164"/>
      <c r="M563" s="187">
        <v>46099.589108796295</v>
      </c>
      <c r="N563" s="21" t="s">
        <v>22</v>
      </c>
      <c r="O563" s="164"/>
      <c r="P563" s="164"/>
      <c r="Q563" s="177" t="s">
        <v>1698</v>
      </c>
      <c r="R563" s="164"/>
      <c r="S563" s="163">
        <f>IFERROR(__xludf.DUMMYFUNCTION("""COMPUTED_VALUE"""),0.0)</f>
        <v>0</v>
      </c>
      <c r="T563" s="164"/>
      <c r="U563" s="164"/>
      <c r="V563" s="164"/>
      <c r="W563" s="164"/>
      <c r="X563" s="164"/>
    </row>
    <row r="564">
      <c r="A564" s="175">
        <v>46099.0</v>
      </c>
      <c r="B564" s="176" t="s">
        <v>3415</v>
      </c>
      <c r="C564" s="177" t="s">
        <v>1049</v>
      </c>
      <c r="D564" s="177" t="s">
        <v>7151</v>
      </c>
      <c r="E564" s="177" t="s">
        <v>657</v>
      </c>
      <c r="F564" s="177" t="s">
        <v>6823</v>
      </c>
      <c r="G564" s="186"/>
      <c r="H564" s="180" t="s">
        <v>3415</v>
      </c>
      <c r="I564" s="163">
        <f>IFERROR(__xludf.DUMMYFUNCTION("""COMPUTED_VALUE"""),18.0)</f>
        <v>18</v>
      </c>
      <c r="J564" s="177" t="s">
        <v>7171</v>
      </c>
      <c r="K564" s="177" t="s">
        <v>7178</v>
      </c>
      <c r="L564" s="164"/>
      <c r="M564" s="187">
        <v>46099.60021990741</v>
      </c>
      <c r="N564" s="21" t="s">
        <v>22</v>
      </c>
      <c r="O564" s="164"/>
      <c r="P564" s="164"/>
      <c r="Q564" s="177" t="s">
        <v>3416</v>
      </c>
      <c r="R564" s="164"/>
      <c r="S564" s="163"/>
      <c r="T564" s="164"/>
      <c r="U564" s="164"/>
      <c r="V564" s="164"/>
      <c r="W564" s="164"/>
      <c r="X564" s="164"/>
    </row>
    <row r="565">
      <c r="A565" s="175">
        <v>46099.0</v>
      </c>
      <c r="B565" s="176" t="s">
        <v>2778</v>
      </c>
      <c r="C565" s="177" t="s">
        <v>1049</v>
      </c>
      <c r="D565" s="177" t="s">
        <v>7151</v>
      </c>
      <c r="E565" s="177" t="s">
        <v>6717</v>
      </c>
      <c r="F565" s="177" t="s">
        <v>6763</v>
      </c>
      <c r="G565" s="186"/>
      <c r="H565" s="180" t="s">
        <v>2778</v>
      </c>
      <c r="I565" s="163">
        <f>IFERROR(__xludf.DUMMYFUNCTION("""COMPUTED_VALUE"""),9.995)</f>
        <v>9.995</v>
      </c>
      <c r="J565" s="177" t="s">
        <v>7171</v>
      </c>
      <c r="K565" s="188" t="s">
        <v>7179</v>
      </c>
      <c r="L565" s="164"/>
      <c r="M565" s="187">
        <v>46099.72493055555</v>
      </c>
      <c r="N565" s="21" t="s">
        <v>22</v>
      </c>
      <c r="O565" s="177" t="s">
        <v>7168</v>
      </c>
      <c r="P565" s="164"/>
      <c r="Q565" s="177" t="s">
        <v>2707</v>
      </c>
      <c r="R565" s="164"/>
      <c r="S565" s="163">
        <f>IFERROR(__xludf.DUMMYFUNCTION("""COMPUTED_VALUE"""),20.0)</f>
        <v>20</v>
      </c>
      <c r="T565" s="164"/>
      <c r="U565" s="164"/>
      <c r="V565" s="164"/>
      <c r="W565" s="164"/>
      <c r="X565" s="164"/>
    </row>
    <row r="566">
      <c r="A566" s="175">
        <v>46099.0</v>
      </c>
      <c r="B566" s="176" t="s">
        <v>2793</v>
      </c>
      <c r="C566" s="177" t="s">
        <v>1049</v>
      </c>
      <c r="D566" s="177" t="s">
        <v>7151</v>
      </c>
      <c r="E566" s="177" t="s">
        <v>6717</v>
      </c>
      <c r="F566" s="177" t="s">
        <v>6751</v>
      </c>
      <c r="G566" s="186"/>
      <c r="H566" s="180" t="s">
        <v>2793</v>
      </c>
      <c r="I566" s="163">
        <f>IFERROR(__xludf.DUMMYFUNCTION("""COMPUTED_VALUE"""),6.0)</f>
        <v>6</v>
      </c>
      <c r="J566" s="177" t="s">
        <v>7176</v>
      </c>
      <c r="K566" s="177" t="s">
        <v>7180</v>
      </c>
      <c r="L566" s="164"/>
      <c r="M566" s="187">
        <v>46099.72712962963</v>
      </c>
      <c r="N566" s="21" t="s">
        <v>22</v>
      </c>
      <c r="O566" s="164"/>
      <c r="P566" s="164"/>
      <c r="Q566" s="177" t="s">
        <v>1500</v>
      </c>
      <c r="R566" s="164"/>
      <c r="S566" s="163">
        <f>IFERROR(__xludf.DUMMYFUNCTION("""COMPUTED_VALUE"""),12.99)</f>
        <v>12.99</v>
      </c>
      <c r="T566" s="164"/>
      <c r="U566" s="164"/>
      <c r="V566" s="164"/>
      <c r="W566" s="164"/>
      <c r="X566" s="164"/>
    </row>
    <row r="567">
      <c r="A567" s="175">
        <v>46099.0</v>
      </c>
      <c r="B567" s="176" t="s">
        <v>2784</v>
      </c>
      <c r="C567" s="177" t="s">
        <v>1049</v>
      </c>
      <c r="D567" s="177" t="s">
        <v>7151</v>
      </c>
      <c r="E567" s="177" t="s">
        <v>6777</v>
      </c>
      <c r="F567" s="177" t="s">
        <v>6823</v>
      </c>
      <c r="G567" s="186"/>
      <c r="H567" s="180" t="s">
        <v>2784</v>
      </c>
      <c r="I567" s="163">
        <f>IFERROR(__xludf.DUMMYFUNCTION("""COMPUTED_VALUE"""),28.0)</f>
        <v>28</v>
      </c>
      <c r="J567" s="177" t="s">
        <v>7171</v>
      </c>
      <c r="K567" s="177" t="s">
        <v>7181</v>
      </c>
      <c r="L567" s="164"/>
      <c r="M567" s="187">
        <v>46099.727789351855</v>
      </c>
      <c r="N567" s="21" t="s">
        <v>22</v>
      </c>
      <c r="O567" s="164"/>
      <c r="P567" s="164"/>
      <c r="Q567" s="177" t="s">
        <v>2785</v>
      </c>
      <c r="R567" s="164"/>
      <c r="S567" s="163">
        <f>IFERROR(__xludf.DUMMYFUNCTION("""COMPUTED_VALUE"""),60.0)</f>
        <v>60</v>
      </c>
      <c r="T567" s="164"/>
      <c r="U567" s="164"/>
      <c r="V567" s="164"/>
      <c r="W567" s="164"/>
      <c r="X567" s="164"/>
    </row>
    <row r="568">
      <c r="A568" s="175">
        <v>46099.0</v>
      </c>
      <c r="B568" s="176" t="s">
        <v>2801</v>
      </c>
      <c r="C568" s="177" t="s">
        <v>1049</v>
      </c>
      <c r="D568" s="177" t="s">
        <v>7151</v>
      </c>
      <c r="E568" s="177" t="s">
        <v>38</v>
      </c>
      <c r="F568" s="177" t="s">
        <v>6823</v>
      </c>
      <c r="G568" s="186"/>
      <c r="H568" s="180" t="s">
        <v>2801</v>
      </c>
      <c r="I568" s="163">
        <f>IFERROR(__xludf.DUMMYFUNCTION("""COMPUTED_VALUE"""),24.0)</f>
        <v>24</v>
      </c>
      <c r="J568" s="177" t="s">
        <v>7171</v>
      </c>
      <c r="K568" s="177" t="s">
        <v>7182</v>
      </c>
      <c r="L568" s="164"/>
      <c r="M568" s="187">
        <v>46099.72858796296</v>
      </c>
      <c r="N568" s="21" t="s">
        <v>22</v>
      </c>
      <c r="O568" s="164"/>
      <c r="P568" s="164"/>
      <c r="Q568" s="177" t="s">
        <v>2584</v>
      </c>
      <c r="R568" s="164"/>
      <c r="S568" s="163">
        <f>IFERROR(__xludf.DUMMYFUNCTION("""COMPUTED_VALUE"""),59.99)</f>
        <v>59.99</v>
      </c>
      <c r="T568" s="164"/>
      <c r="U568" s="164"/>
      <c r="V568" s="164"/>
      <c r="W568" s="164"/>
      <c r="X568" s="164"/>
    </row>
    <row r="569">
      <c r="A569" s="175">
        <v>46099.0</v>
      </c>
      <c r="B569" s="176" t="s">
        <v>2782</v>
      </c>
      <c r="C569" s="177" t="s">
        <v>1049</v>
      </c>
      <c r="D569" s="177" t="s">
        <v>6953</v>
      </c>
      <c r="E569" s="177" t="s">
        <v>7123</v>
      </c>
      <c r="F569" s="177" t="s">
        <v>7183</v>
      </c>
      <c r="G569" s="186"/>
      <c r="H569" s="180" t="s">
        <v>2782</v>
      </c>
      <c r="I569" s="163">
        <f>IFERROR(__xludf.DUMMYFUNCTION("""COMPUTED_VALUE"""),4.19)</f>
        <v>4.19</v>
      </c>
      <c r="J569" s="177" t="s">
        <v>7184</v>
      </c>
      <c r="K569" s="177" t="s">
        <v>7185</v>
      </c>
      <c r="L569" s="164"/>
      <c r="M569" s="187">
        <v>46099.779328703706</v>
      </c>
      <c r="N569" s="21" t="s">
        <v>22</v>
      </c>
      <c r="O569" s="164"/>
      <c r="P569" s="164"/>
      <c r="Q569" s="177" t="s">
        <v>2054</v>
      </c>
      <c r="R569" s="164"/>
      <c r="S569" s="163">
        <f>IFERROR(__xludf.DUMMYFUNCTION("""COMPUTED_VALUE"""),15.0)</f>
        <v>15</v>
      </c>
      <c r="T569" s="164"/>
      <c r="U569" s="164"/>
      <c r="V569" s="164"/>
      <c r="W569" s="164"/>
      <c r="X569" s="164"/>
    </row>
    <row r="570">
      <c r="A570" s="175">
        <v>46099.0</v>
      </c>
      <c r="B570" s="176" t="s">
        <v>2920</v>
      </c>
      <c r="C570" s="177" t="s">
        <v>1049</v>
      </c>
      <c r="D570" s="177" t="s">
        <v>6921</v>
      </c>
      <c r="E570" s="177" t="s">
        <v>1119</v>
      </c>
      <c r="F570" s="177" t="s">
        <v>7123</v>
      </c>
      <c r="G570" s="186"/>
      <c r="H570" s="180" t="s">
        <v>2920</v>
      </c>
      <c r="I570" s="163">
        <f>IFERROR(__xludf.DUMMYFUNCTION("""COMPUTED_VALUE"""),40.0)</f>
        <v>40</v>
      </c>
      <c r="J570" s="177" t="s">
        <v>6735</v>
      </c>
      <c r="K570" s="177" t="s">
        <v>7186</v>
      </c>
      <c r="L570" s="164"/>
      <c r="M570" s="187">
        <v>46099.78055555555</v>
      </c>
      <c r="N570" s="21" t="s">
        <v>22</v>
      </c>
      <c r="O570" s="164"/>
      <c r="P570" s="164"/>
      <c r="Q570" s="177" t="s">
        <v>2921</v>
      </c>
      <c r="R570" s="164"/>
      <c r="S570" s="163"/>
      <c r="T570" s="164"/>
      <c r="U570" s="164"/>
      <c r="V570" s="164"/>
      <c r="W570" s="164"/>
      <c r="X570" s="164"/>
    </row>
    <row r="571">
      <c r="A571" s="175">
        <v>46099.0</v>
      </c>
      <c r="B571" s="176" t="s">
        <v>3137</v>
      </c>
      <c r="C571" s="177" t="s">
        <v>6992</v>
      </c>
      <c r="D571" s="177" t="s">
        <v>7008</v>
      </c>
      <c r="E571" s="177" t="s">
        <v>38</v>
      </c>
      <c r="F571" s="177" t="s">
        <v>6823</v>
      </c>
      <c r="G571" s="186"/>
      <c r="H571" s="180" t="s">
        <v>3137</v>
      </c>
      <c r="I571" s="163">
        <f>IFERROR(__xludf.DUMMYFUNCTION("""COMPUTED_VALUE"""),11.9)</f>
        <v>11.9</v>
      </c>
      <c r="J571" s="177" t="s">
        <v>7171</v>
      </c>
      <c r="K571" s="177" t="s">
        <v>7187</v>
      </c>
      <c r="L571" s="164"/>
      <c r="M571" s="187">
        <v>46099.79278935185</v>
      </c>
      <c r="N571" s="21" t="s">
        <v>22</v>
      </c>
      <c r="O571" s="164"/>
      <c r="P571" s="164"/>
      <c r="Q571" s="177" t="s">
        <v>1831</v>
      </c>
      <c r="R571" s="164"/>
      <c r="S571" s="163">
        <f>IFERROR(__xludf.DUMMYFUNCTION("""COMPUTED_VALUE"""),29.98)</f>
        <v>29.98</v>
      </c>
      <c r="T571" s="164"/>
      <c r="U571" s="164"/>
      <c r="V571" s="164"/>
      <c r="W571" s="164"/>
      <c r="X571" s="164"/>
    </row>
    <row r="572">
      <c r="A572" s="175">
        <v>46099.0</v>
      </c>
      <c r="B572" s="176" t="s">
        <v>1833</v>
      </c>
      <c r="C572" s="177" t="s">
        <v>6994</v>
      </c>
      <c r="D572" s="177" t="s">
        <v>7008</v>
      </c>
      <c r="E572" s="177" t="s">
        <v>38</v>
      </c>
      <c r="F572" s="177"/>
      <c r="G572" s="186"/>
      <c r="H572" s="180"/>
      <c r="I572" s="163" t="str">
        <f>IFERROR(__xludf.DUMMYFUNCTION("""COMPUTED_VALUE"""),"")</f>
        <v/>
      </c>
      <c r="J572" s="177" t="s">
        <v>7171</v>
      </c>
      <c r="K572" s="177" t="s">
        <v>7188</v>
      </c>
      <c r="L572" s="164"/>
      <c r="M572" s="187">
        <v>46099.794224537036</v>
      </c>
      <c r="N572" s="21" t="s">
        <v>22</v>
      </c>
      <c r="O572" s="164"/>
      <c r="P572" s="164"/>
      <c r="Q572" s="177" t="s">
        <v>1831</v>
      </c>
      <c r="R572" s="164"/>
      <c r="S572" s="163" t="str">
        <f>IFERROR(__xludf.DUMMYFUNCTION("""COMPUTED_VALUE"""),"")</f>
        <v/>
      </c>
      <c r="T572" s="164"/>
      <c r="U572" s="164"/>
      <c r="V572" s="164"/>
      <c r="W572" s="164"/>
      <c r="X572" s="164"/>
    </row>
    <row r="573">
      <c r="A573" s="175">
        <v>46099.0</v>
      </c>
      <c r="B573" s="176" t="s">
        <v>2799</v>
      </c>
      <c r="C573" s="177" t="s">
        <v>6992</v>
      </c>
      <c r="D573" s="177" t="s">
        <v>7008</v>
      </c>
      <c r="E573" s="177" t="s">
        <v>38</v>
      </c>
      <c r="F573" s="177" t="s">
        <v>6738</v>
      </c>
      <c r="G573" s="186"/>
      <c r="H573" s="180" t="s">
        <v>2799</v>
      </c>
      <c r="I573" s="163">
        <f>IFERROR(__xludf.DUMMYFUNCTION("""COMPUTED_VALUE"""),11.9)</f>
        <v>11.9</v>
      </c>
      <c r="J573" s="177" t="s">
        <v>7176</v>
      </c>
      <c r="K573" s="177" t="s">
        <v>7189</v>
      </c>
      <c r="L573" s="164"/>
      <c r="M573" s="187">
        <v>46099.79549768518</v>
      </c>
      <c r="N573" s="177" t="s">
        <v>22</v>
      </c>
      <c r="O573" s="164"/>
      <c r="P573" s="164"/>
      <c r="Q573" s="177" t="s">
        <v>1831</v>
      </c>
      <c r="R573" s="164"/>
      <c r="S573" s="163">
        <f>IFERROR(__xludf.DUMMYFUNCTION("""COMPUTED_VALUE"""),29.98)</f>
        <v>29.98</v>
      </c>
      <c r="T573" s="164"/>
      <c r="U573" s="164"/>
      <c r="V573" s="164"/>
      <c r="W573" s="164"/>
      <c r="X573" s="164"/>
    </row>
    <row r="574">
      <c r="A574" s="175">
        <v>46099.0</v>
      </c>
      <c r="B574" s="176" t="s">
        <v>1830</v>
      </c>
      <c r="C574" s="177" t="s">
        <v>6994</v>
      </c>
      <c r="D574" s="177" t="s">
        <v>7008</v>
      </c>
      <c r="E574" s="177" t="s">
        <v>38</v>
      </c>
      <c r="F574" s="177"/>
      <c r="G574" s="186"/>
      <c r="H574" s="180"/>
      <c r="I574" s="163" t="str">
        <f>IFERROR(__xludf.DUMMYFUNCTION("""COMPUTED_VALUE"""),"")</f>
        <v/>
      </c>
      <c r="J574" s="177" t="s">
        <v>7176</v>
      </c>
      <c r="K574" s="177" t="s">
        <v>7190</v>
      </c>
      <c r="L574" s="164"/>
      <c r="M574" s="187">
        <v>46099.79636574074</v>
      </c>
      <c r="N574" s="177" t="s">
        <v>22</v>
      </c>
      <c r="O574" s="164"/>
      <c r="P574" s="164"/>
      <c r="Q574" s="177" t="s">
        <v>1831</v>
      </c>
      <c r="R574" s="164"/>
      <c r="S574" s="163" t="str">
        <f>IFERROR(__xludf.DUMMYFUNCTION("""COMPUTED_VALUE"""),"")</f>
        <v/>
      </c>
      <c r="T574" s="164"/>
      <c r="U574" s="164"/>
      <c r="V574" s="164"/>
      <c r="W574" s="164"/>
      <c r="X574" s="164"/>
    </row>
    <row r="575">
      <c r="A575" s="175">
        <v>46099.0</v>
      </c>
      <c r="B575" s="176" t="s">
        <v>2773</v>
      </c>
      <c r="C575" s="177" t="s">
        <v>1049</v>
      </c>
      <c r="D575" s="177" t="s">
        <v>7008</v>
      </c>
      <c r="E575" s="164"/>
      <c r="F575" s="177" t="s">
        <v>6878</v>
      </c>
      <c r="G575" s="186"/>
      <c r="H575" s="180" t="s">
        <v>2773</v>
      </c>
      <c r="I575" s="163">
        <f>IFERROR(__xludf.DUMMYFUNCTION("""COMPUTED_VALUE"""),0.0)</f>
        <v>0</v>
      </c>
      <c r="J575" s="177" t="s">
        <v>7171</v>
      </c>
      <c r="K575" s="177" t="s">
        <v>7191</v>
      </c>
      <c r="L575" s="164"/>
      <c r="M575" s="187">
        <v>46100.40443287037</v>
      </c>
      <c r="N575" s="177" t="s">
        <v>22</v>
      </c>
      <c r="O575" s="164"/>
      <c r="P575" s="164"/>
      <c r="Q575" s="177" t="s">
        <v>2774</v>
      </c>
      <c r="R575" s="164"/>
      <c r="S575" s="163"/>
      <c r="T575" s="164"/>
      <c r="U575" s="164"/>
      <c r="V575" s="164"/>
      <c r="W575" s="164"/>
      <c r="X575" s="164"/>
    </row>
    <row r="576">
      <c r="A576" s="175">
        <v>46099.0</v>
      </c>
      <c r="B576" s="176" t="s">
        <v>2776</v>
      </c>
      <c r="C576" s="177" t="s">
        <v>1049</v>
      </c>
      <c r="D576" s="177" t="s">
        <v>7008</v>
      </c>
      <c r="E576" s="164"/>
      <c r="F576" s="177" t="s">
        <v>6797</v>
      </c>
      <c r="G576" s="186"/>
      <c r="H576" s="180" t="s">
        <v>2776</v>
      </c>
      <c r="I576" s="163">
        <f>IFERROR(__xludf.DUMMYFUNCTION("""COMPUTED_VALUE"""),5.0)</f>
        <v>5</v>
      </c>
      <c r="J576" s="177" t="s">
        <v>6705</v>
      </c>
      <c r="K576" s="177" t="s">
        <v>7192</v>
      </c>
      <c r="L576" s="164"/>
      <c r="M576" s="187">
        <v>46100.40560185185</v>
      </c>
      <c r="N576" s="177" t="s">
        <v>22</v>
      </c>
      <c r="O576" s="164"/>
      <c r="P576" s="164"/>
      <c r="Q576" s="177" t="s">
        <v>2199</v>
      </c>
      <c r="R576" s="164"/>
      <c r="S576" s="163"/>
      <c r="T576" s="164"/>
      <c r="U576" s="164"/>
      <c r="V576" s="164"/>
      <c r="W576" s="164"/>
      <c r="X576" s="164"/>
    </row>
    <row r="577">
      <c r="A577" s="175">
        <v>46099.0</v>
      </c>
      <c r="B577" s="176" t="s">
        <v>2797</v>
      </c>
      <c r="C577" s="177" t="s">
        <v>1049</v>
      </c>
      <c r="D577" s="177" t="s">
        <v>7151</v>
      </c>
      <c r="E577" s="177" t="s">
        <v>6706</v>
      </c>
      <c r="F577" s="177" t="s">
        <v>6738</v>
      </c>
      <c r="G577" s="186"/>
      <c r="H577" s="180" t="s">
        <v>2797</v>
      </c>
      <c r="I577" s="163">
        <f>IFERROR(__xludf.DUMMYFUNCTION("""COMPUTED_VALUE"""),6.0)</f>
        <v>6</v>
      </c>
      <c r="J577" s="177" t="s">
        <v>7176</v>
      </c>
      <c r="K577" s="177" t="s">
        <v>7193</v>
      </c>
      <c r="L577" s="164"/>
      <c r="M577" s="187">
        <v>46100.41196759259</v>
      </c>
      <c r="N577" s="177" t="s">
        <v>22</v>
      </c>
      <c r="O577" s="164"/>
      <c r="P577" s="164"/>
      <c r="Q577" s="177" t="s">
        <v>1500</v>
      </c>
      <c r="R577" s="164"/>
      <c r="S577" s="163">
        <f>IFERROR(__xludf.DUMMYFUNCTION("""COMPUTED_VALUE"""),12.99)</f>
        <v>12.99</v>
      </c>
      <c r="T577" s="164"/>
      <c r="U577" s="164"/>
      <c r="V577" s="164"/>
      <c r="W577" s="164"/>
      <c r="X577" s="164"/>
    </row>
    <row r="578">
      <c r="A578" s="175">
        <v>46099.0</v>
      </c>
      <c r="B578" s="176" t="s">
        <v>2795</v>
      </c>
      <c r="C578" s="177" t="s">
        <v>1049</v>
      </c>
      <c r="D578" s="177" t="s">
        <v>7151</v>
      </c>
      <c r="E578" s="177" t="s">
        <v>6706</v>
      </c>
      <c r="F578" s="177" t="s">
        <v>6738</v>
      </c>
      <c r="G578" s="186"/>
      <c r="H578" s="180" t="s">
        <v>2795</v>
      </c>
      <c r="I578" s="163">
        <f>IFERROR(__xludf.DUMMYFUNCTION("""COMPUTED_VALUE"""),6.0)</f>
        <v>6</v>
      </c>
      <c r="J578" s="177" t="s">
        <v>7176</v>
      </c>
      <c r="K578" s="177" t="s">
        <v>7194</v>
      </c>
      <c r="L578" s="164"/>
      <c r="M578" s="187">
        <v>46100.446493055555</v>
      </c>
      <c r="N578" s="177" t="s">
        <v>22</v>
      </c>
      <c r="O578" s="164"/>
      <c r="P578" s="164"/>
      <c r="Q578" s="177" t="s">
        <v>1500</v>
      </c>
      <c r="R578" s="164"/>
      <c r="S578" s="163">
        <f>IFERROR(__xludf.DUMMYFUNCTION("""COMPUTED_VALUE"""),12.99)</f>
        <v>12.99</v>
      </c>
      <c r="T578" s="164"/>
      <c r="U578" s="164"/>
      <c r="V578" s="164"/>
      <c r="W578" s="164"/>
      <c r="X578" s="164"/>
    </row>
    <row r="579">
      <c r="A579" s="175">
        <v>46100.0</v>
      </c>
      <c r="B579" s="176" t="s">
        <v>2839</v>
      </c>
      <c r="C579" s="177" t="s">
        <v>6992</v>
      </c>
      <c r="D579" s="177" t="s">
        <v>7195</v>
      </c>
      <c r="E579" s="177" t="s">
        <v>38</v>
      </c>
      <c r="F579" s="177" t="s">
        <v>6823</v>
      </c>
      <c r="G579" s="186"/>
      <c r="H579" s="180" t="s">
        <v>2839</v>
      </c>
      <c r="I579" s="163">
        <f>IFERROR(__xludf.DUMMYFUNCTION("""COMPUTED_VALUE"""),28.5)</f>
        <v>28.5</v>
      </c>
      <c r="J579" s="177" t="s">
        <v>7171</v>
      </c>
      <c r="K579" s="177" t="s">
        <v>7196</v>
      </c>
      <c r="L579" s="164"/>
      <c r="M579" s="187">
        <v>46100.51415509259</v>
      </c>
      <c r="N579" s="177" t="s">
        <v>22</v>
      </c>
      <c r="O579" s="164"/>
      <c r="P579" s="164"/>
      <c r="Q579" s="177" t="s">
        <v>2408</v>
      </c>
      <c r="R579" s="164"/>
      <c r="S579" s="163">
        <f>IFERROR(__xludf.DUMMYFUNCTION("""COMPUTED_VALUE"""),57.0)</f>
        <v>57</v>
      </c>
      <c r="T579" s="164"/>
      <c r="U579" s="164"/>
      <c r="V579" s="164"/>
      <c r="W579" s="164"/>
      <c r="X579" s="164"/>
    </row>
    <row r="580">
      <c r="A580" s="175">
        <v>46100.0</v>
      </c>
      <c r="B580" s="176" t="s">
        <v>2407</v>
      </c>
      <c r="C580" s="177" t="s">
        <v>6994</v>
      </c>
      <c r="D580" s="177" t="s">
        <v>7195</v>
      </c>
      <c r="E580" s="177" t="s">
        <v>38</v>
      </c>
      <c r="F580" s="177"/>
      <c r="G580" s="186"/>
      <c r="H580" s="180"/>
      <c r="I580" s="163" t="str">
        <f>IFERROR(__xludf.DUMMYFUNCTION("""COMPUTED_VALUE"""),"")</f>
        <v/>
      </c>
      <c r="J580" s="177" t="s">
        <v>7171</v>
      </c>
      <c r="K580" s="177" t="s">
        <v>7197</v>
      </c>
      <c r="L580" s="164"/>
      <c r="M580" s="187">
        <v>46100.515231481484</v>
      </c>
      <c r="N580" s="177" t="s">
        <v>22</v>
      </c>
      <c r="O580" s="164"/>
      <c r="P580" s="164"/>
      <c r="Q580" s="177" t="s">
        <v>2408</v>
      </c>
      <c r="R580" s="164"/>
      <c r="S580" s="163" t="str">
        <f>IFERROR(__xludf.DUMMYFUNCTION("""COMPUTED_VALUE"""),"")</f>
        <v/>
      </c>
      <c r="T580" s="164"/>
      <c r="U580" s="164"/>
      <c r="V580" s="164"/>
      <c r="W580" s="164"/>
      <c r="X580" s="164"/>
    </row>
    <row r="581">
      <c r="A581" s="175">
        <v>46100.0</v>
      </c>
      <c r="B581" s="176" t="s">
        <v>2414</v>
      </c>
      <c r="C581" s="177" t="s">
        <v>6994</v>
      </c>
      <c r="D581" s="177" t="s">
        <v>7195</v>
      </c>
      <c r="E581" s="177" t="s">
        <v>38</v>
      </c>
      <c r="F581" s="177"/>
      <c r="G581" s="186"/>
      <c r="H581" s="180"/>
      <c r="I581" s="163" t="str">
        <f>IFERROR(__xludf.DUMMYFUNCTION("""COMPUTED_VALUE"""),"")</f>
        <v/>
      </c>
      <c r="J581" s="177" t="s">
        <v>7171</v>
      </c>
      <c r="K581" s="177" t="s">
        <v>7198</v>
      </c>
      <c r="L581" s="164"/>
      <c r="M581" s="187">
        <v>46100.51584490741</v>
      </c>
      <c r="N581" s="177" t="s">
        <v>22</v>
      </c>
      <c r="O581" s="164"/>
      <c r="P581" s="164"/>
      <c r="Q581" s="177" t="s">
        <v>2408</v>
      </c>
      <c r="R581" s="164"/>
      <c r="S581" s="163" t="str">
        <f>IFERROR(__xludf.DUMMYFUNCTION("""COMPUTED_VALUE"""),"")</f>
        <v/>
      </c>
      <c r="T581" s="164"/>
      <c r="U581" s="164"/>
      <c r="V581" s="164"/>
      <c r="W581" s="164"/>
      <c r="X581" s="164"/>
    </row>
    <row r="582">
      <c r="A582" s="175">
        <v>46100.0</v>
      </c>
      <c r="B582" s="176" t="s">
        <v>2841</v>
      </c>
      <c r="C582" s="177" t="s">
        <v>6992</v>
      </c>
      <c r="D582" s="177" t="s">
        <v>7195</v>
      </c>
      <c r="E582" s="177" t="s">
        <v>38</v>
      </c>
      <c r="F582" s="177" t="s">
        <v>1050</v>
      </c>
      <c r="G582" s="186"/>
      <c r="H582" s="180" t="s">
        <v>2841</v>
      </c>
      <c r="I582" s="163">
        <f>IFERROR(__xludf.DUMMYFUNCTION("""COMPUTED_VALUE"""),16.0)</f>
        <v>16</v>
      </c>
      <c r="J582" s="177" t="s">
        <v>6705</v>
      </c>
      <c r="K582" s="177" t="s">
        <v>7199</v>
      </c>
      <c r="L582" s="164"/>
      <c r="M582" s="187">
        <v>46100.51965277778</v>
      </c>
      <c r="N582" s="177" t="s">
        <v>22</v>
      </c>
      <c r="O582" s="164"/>
      <c r="P582" s="164"/>
      <c r="Q582" s="177" t="s">
        <v>2408</v>
      </c>
      <c r="R582" s="164"/>
      <c r="S582" s="163">
        <f>IFERROR(__xludf.DUMMYFUNCTION("""COMPUTED_VALUE"""),25.98)</f>
        <v>25.98</v>
      </c>
      <c r="T582" s="164"/>
      <c r="U582" s="164"/>
      <c r="V582" s="164"/>
      <c r="W582" s="164"/>
      <c r="X582" s="164"/>
    </row>
    <row r="583">
      <c r="A583" s="175">
        <v>46100.0</v>
      </c>
      <c r="B583" s="176" t="s">
        <v>2450</v>
      </c>
      <c r="C583" s="177" t="s">
        <v>6994</v>
      </c>
      <c r="D583" s="177" t="s">
        <v>7195</v>
      </c>
      <c r="E583" s="177" t="s">
        <v>38</v>
      </c>
      <c r="F583" s="177"/>
      <c r="G583" s="186"/>
      <c r="H583" s="180"/>
      <c r="I583" s="163" t="str">
        <f>IFERROR(__xludf.DUMMYFUNCTION("""COMPUTED_VALUE"""),"")</f>
        <v/>
      </c>
      <c r="J583" s="177" t="s">
        <v>6705</v>
      </c>
      <c r="K583" s="177" t="s">
        <v>7200</v>
      </c>
      <c r="L583" s="164"/>
      <c r="M583" s="187">
        <v>46100.52033564815</v>
      </c>
      <c r="N583" s="177" t="s">
        <v>22</v>
      </c>
      <c r="O583" s="164"/>
      <c r="P583" s="164"/>
      <c r="Q583" s="177" t="s">
        <v>2408</v>
      </c>
      <c r="R583" s="164"/>
      <c r="S583" s="163" t="str">
        <f>IFERROR(__xludf.DUMMYFUNCTION("""COMPUTED_VALUE"""),"")</f>
        <v/>
      </c>
      <c r="T583" s="164"/>
      <c r="U583" s="164"/>
      <c r="V583" s="164"/>
      <c r="W583" s="164"/>
      <c r="X583" s="164"/>
    </row>
    <row r="584">
      <c r="A584" s="175">
        <v>46100.0</v>
      </c>
      <c r="B584" s="176" t="s">
        <v>2816</v>
      </c>
      <c r="C584" s="177" t="s">
        <v>1049</v>
      </c>
      <c r="D584" s="177" t="s">
        <v>7195</v>
      </c>
      <c r="E584" s="177" t="s">
        <v>842</v>
      </c>
      <c r="F584" s="177" t="s">
        <v>6878</v>
      </c>
      <c r="G584" s="186"/>
      <c r="H584" s="180" t="s">
        <v>2816</v>
      </c>
      <c r="I584" s="163">
        <f>IFERROR(__xludf.DUMMYFUNCTION("""COMPUTED_VALUE"""),16.5)</f>
        <v>16.5</v>
      </c>
      <c r="J584" s="177" t="s">
        <v>7171</v>
      </c>
      <c r="K584" s="177" t="s">
        <v>7201</v>
      </c>
      <c r="L584" s="164"/>
      <c r="M584" s="187">
        <v>46100.52402777778</v>
      </c>
      <c r="N584" s="177" t="s">
        <v>22</v>
      </c>
      <c r="O584" s="164"/>
      <c r="P584" s="164"/>
      <c r="Q584" s="177" t="s">
        <v>2620</v>
      </c>
      <c r="R584" s="164"/>
      <c r="S584" s="163">
        <f>IFERROR(__xludf.DUMMYFUNCTION("""COMPUTED_VALUE"""),40.0)</f>
        <v>40</v>
      </c>
      <c r="T584" s="164"/>
      <c r="U584" s="164"/>
      <c r="V584" s="164"/>
      <c r="W584" s="164"/>
      <c r="X584" s="164"/>
    </row>
    <row r="585">
      <c r="A585" s="175">
        <v>46100.0</v>
      </c>
      <c r="B585" s="176" t="s">
        <v>2807</v>
      </c>
      <c r="C585" s="177" t="s">
        <v>1049</v>
      </c>
      <c r="D585" s="177" t="s">
        <v>7195</v>
      </c>
      <c r="E585" s="177" t="s">
        <v>6861</v>
      </c>
      <c r="F585" s="177" t="s">
        <v>6763</v>
      </c>
      <c r="G585" s="186"/>
      <c r="H585" s="180" t="s">
        <v>2807</v>
      </c>
      <c r="I585" s="163">
        <f>IFERROR(__xludf.DUMMYFUNCTION("""COMPUTED_VALUE"""),17.5)</f>
        <v>17.5</v>
      </c>
      <c r="J585" s="177" t="s">
        <v>7171</v>
      </c>
      <c r="K585" s="177" t="s">
        <v>7202</v>
      </c>
      <c r="L585" s="164"/>
      <c r="M585" s="187">
        <v>46100.52841435185</v>
      </c>
      <c r="N585" s="177" t="s">
        <v>22</v>
      </c>
      <c r="O585" s="164"/>
      <c r="P585" s="164"/>
      <c r="Q585" s="177" t="s">
        <v>2808</v>
      </c>
      <c r="R585" s="164"/>
      <c r="S585" s="163"/>
      <c r="T585" s="164"/>
      <c r="U585" s="164"/>
      <c r="V585" s="164"/>
      <c r="W585" s="164"/>
      <c r="X585" s="164"/>
    </row>
    <row r="586">
      <c r="A586" s="175">
        <v>46100.0</v>
      </c>
      <c r="B586" s="176" t="s">
        <v>2848</v>
      </c>
      <c r="C586" s="177" t="s">
        <v>1049</v>
      </c>
      <c r="D586" s="177" t="s">
        <v>7195</v>
      </c>
      <c r="E586" s="177" t="s">
        <v>842</v>
      </c>
      <c r="F586" s="177" t="s">
        <v>6738</v>
      </c>
      <c r="G586" s="186"/>
      <c r="H586" s="180" t="s">
        <v>2848</v>
      </c>
      <c r="I586" s="163">
        <f>IFERROR(__xludf.DUMMYFUNCTION("""COMPUTED_VALUE"""),0.0)</f>
        <v>0</v>
      </c>
      <c r="J586" s="177" t="s">
        <v>7176</v>
      </c>
      <c r="K586" s="177" t="s">
        <v>7203</v>
      </c>
      <c r="L586" s="164"/>
      <c r="M586" s="187">
        <v>46100.53917824074</v>
      </c>
      <c r="N586" s="177" t="s">
        <v>22</v>
      </c>
      <c r="O586" s="164"/>
      <c r="P586" s="164"/>
      <c r="Q586" s="177" t="s">
        <v>2849</v>
      </c>
      <c r="R586" s="164"/>
      <c r="S586" s="163">
        <f>IFERROR(__xludf.DUMMYFUNCTION("""COMPUTED_VALUE"""),0.0)</f>
        <v>0</v>
      </c>
      <c r="T586" s="164"/>
      <c r="U586" s="164"/>
      <c r="V586" s="164"/>
      <c r="W586" s="164"/>
      <c r="X586" s="164"/>
    </row>
    <row r="587">
      <c r="A587" s="175">
        <v>46100.0</v>
      </c>
      <c r="B587" s="176" t="s">
        <v>2820</v>
      </c>
      <c r="C587" s="177" t="s">
        <v>1049</v>
      </c>
      <c r="D587" s="177" t="s">
        <v>7195</v>
      </c>
      <c r="E587" s="177" t="s">
        <v>657</v>
      </c>
      <c r="F587" s="177" t="s">
        <v>1119</v>
      </c>
      <c r="G587" s="186"/>
      <c r="H587" s="180" t="s">
        <v>2820</v>
      </c>
      <c r="I587" s="163">
        <f>IFERROR(__xludf.DUMMYFUNCTION("""COMPUTED_VALUE"""),22.0)</f>
        <v>22</v>
      </c>
      <c r="J587" s="177" t="s">
        <v>6705</v>
      </c>
      <c r="K587" s="177" t="s">
        <v>7204</v>
      </c>
      <c r="L587" s="164"/>
      <c r="M587" s="187">
        <v>46100.542291666665</v>
      </c>
      <c r="N587" s="177" t="s">
        <v>22</v>
      </c>
      <c r="O587" s="164"/>
      <c r="P587" s="164"/>
      <c r="Q587" s="177" t="s">
        <v>2821</v>
      </c>
      <c r="R587" s="164"/>
      <c r="S587" s="163"/>
      <c r="T587" s="164"/>
      <c r="U587" s="164"/>
      <c r="V587" s="164"/>
      <c r="W587" s="164"/>
      <c r="X587" s="164"/>
    </row>
    <row r="588">
      <c r="A588" s="175">
        <v>46085.0</v>
      </c>
      <c r="B588" s="176" t="s">
        <v>2672</v>
      </c>
      <c r="C588" s="177" t="s">
        <v>1049</v>
      </c>
      <c r="D588" s="177" t="s">
        <v>7014</v>
      </c>
      <c r="E588" s="177" t="s">
        <v>662</v>
      </c>
      <c r="F588" s="177" t="s">
        <v>1050</v>
      </c>
      <c r="G588" s="186"/>
      <c r="H588" s="180" t="s">
        <v>2672</v>
      </c>
      <c r="I588" s="163">
        <f>IFERROR(__xludf.DUMMYFUNCTION("""COMPUTED_VALUE"""),5.79)</f>
        <v>5.79</v>
      </c>
      <c r="J588" s="177" t="s">
        <v>6705</v>
      </c>
      <c r="K588" s="177" t="s">
        <v>7205</v>
      </c>
      <c r="L588" s="164"/>
      <c r="M588" s="187">
        <v>46100.54508101852</v>
      </c>
      <c r="N588" s="177" t="s">
        <v>22</v>
      </c>
      <c r="O588" s="164"/>
      <c r="P588" s="164"/>
      <c r="Q588" s="177" t="s">
        <v>1530</v>
      </c>
      <c r="R588" s="164"/>
      <c r="S588" s="163">
        <f>IFERROR(__xludf.DUMMYFUNCTION("""COMPUTED_VALUE"""),15.0)</f>
        <v>15</v>
      </c>
      <c r="T588" s="164"/>
      <c r="U588" s="164"/>
      <c r="V588" s="164"/>
      <c r="W588" s="164"/>
      <c r="X588" s="164"/>
    </row>
    <row r="589">
      <c r="A589" s="175">
        <v>46085.0</v>
      </c>
      <c r="B589" s="176" t="s">
        <v>2676</v>
      </c>
      <c r="C589" s="177" t="s">
        <v>1049</v>
      </c>
      <c r="D589" s="177" t="s">
        <v>7014</v>
      </c>
      <c r="E589" s="177" t="s">
        <v>662</v>
      </c>
      <c r="F589" s="177" t="s">
        <v>1050</v>
      </c>
      <c r="G589" s="186"/>
      <c r="H589" s="180" t="s">
        <v>2676</v>
      </c>
      <c r="I589" s="163">
        <f>IFERROR(__xludf.DUMMYFUNCTION("""COMPUTED_VALUE"""),5.79)</f>
        <v>5.79</v>
      </c>
      <c r="J589" s="177" t="s">
        <v>6705</v>
      </c>
      <c r="K589" s="177" t="s">
        <v>7206</v>
      </c>
      <c r="L589" s="164"/>
      <c r="M589" s="187">
        <v>46100.545752314814</v>
      </c>
      <c r="N589" s="177" t="s">
        <v>22</v>
      </c>
      <c r="O589" s="164"/>
      <c r="P589" s="164"/>
      <c r="Q589" s="177" t="s">
        <v>1530</v>
      </c>
      <c r="R589" s="164"/>
      <c r="S589" s="163">
        <f>IFERROR(__xludf.DUMMYFUNCTION("""COMPUTED_VALUE"""),15.0)</f>
        <v>15</v>
      </c>
      <c r="T589" s="164"/>
      <c r="U589" s="164"/>
      <c r="V589" s="164"/>
      <c r="W589" s="164"/>
      <c r="X589" s="164"/>
    </row>
    <row r="590">
      <c r="A590" s="175">
        <v>46085.0</v>
      </c>
      <c r="B590" s="176" t="s">
        <v>2674</v>
      </c>
      <c r="C590" s="177" t="s">
        <v>1049</v>
      </c>
      <c r="D590" s="177" t="s">
        <v>7014</v>
      </c>
      <c r="E590" s="177" t="s">
        <v>662</v>
      </c>
      <c r="F590" s="177" t="s">
        <v>1050</v>
      </c>
      <c r="G590" s="186"/>
      <c r="H590" s="180" t="s">
        <v>2674</v>
      </c>
      <c r="I590" s="163">
        <f>IFERROR(__xludf.DUMMYFUNCTION("""COMPUTED_VALUE"""),5.79)</f>
        <v>5.79</v>
      </c>
      <c r="J590" s="177" t="s">
        <v>6705</v>
      </c>
      <c r="K590" s="177" t="s">
        <v>7207</v>
      </c>
      <c r="L590" s="164"/>
      <c r="M590" s="187">
        <v>46100.54644675926</v>
      </c>
      <c r="N590" s="177" t="s">
        <v>22</v>
      </c>
      <c r="O590" s="164"/>
      <c r="P590" s="164"/>
      <c r="Q590" s="177" t="s">
        <v>1530</v>
      </c>
      <c r="R590" s="164"/>
      <c r="S590" s="163">
        <f>IFERROR(__xludf.DUMMYFUNCTION("""COMPUTED_VALUE"""),15.0)</f>
        <v>15</v>
      </c>
      <c r="T590" s="164"/>
      <c r="U590" s="164"/>
      <c r="V590" s="164"/>
      <c r="W590" s="164"/>
      <c r="X590" s="164"/>
    </row>
    <row r="591">
      <c r="A591" s="175">
        <v>46100.0</v>
      </c>
      <c r="B591" s="176" t="s">
        <v>2805</v>
      </c>
      <c r="C591" s="177" t="s">
        <v>1049</v>
      </c>
      <c r="D591" s="177" t="s">
        <v>7195</v>
      </c>
      <c r="E591" s="177" t="s">
        <v>6706</v>
      </c>
      <c r="F591" s="177" t="s">
        <v>6823</v>
      </c>
      <c r="G591" s="186"/>
      <c r="H591" s="180" t="s">
        <v>2805</v>
      </c>
      <c r="I591" s="163">
        <f>IFERROR(__xludf.DUMMYFUNCTION("""COMPUTED_VALUE"""),25.0)</f>
        <v>25</v>
      </c>
      <c r="J591" s="177" t="s">
        <v>7171</v>
      </c>
      <c r="K591" s="177" t="s">
        <v>7208</v>
      </c>
      <c r="L591" s="164"/>
      <c r="M591" s="187">
        <v>46100.58644675926</v>
      </c>
      <c r="N591" s="177" t="s">
        <v>22</v>
      </c>
      <c r="O591" s="164"/>
      <c r="P591" s="164"/>
      <c r="Q591" s="177" t="s">
        <v>1698</v>
      </c>
      <c r="R591" s="164"/>
      <c r="S591" s="163"/>
      <c r="T591" s="164"/>
      <c r="U591" s="164"/>
      <c r="V591" s="164"/>
      <c r="W591" s="164"/>
      <c r="X591" s="164"/>
    </row>
    <row r="592">
      <c r="A592" s="175">
        <v>46100.0</v>
      </c>
      <c r="B592" s="176" t="s">
        <v>2853</v>
      </c>
      <c r="C592" s="177" t="s">
        <v>6992</v>
      </c>
      <c r="D592" s="177" t="s">
        <v>7195</v>
      </c>
      <c r="E592" s="177" t="s">
        <v>6706</v>
      </c>
      <c r="F592" s="177" t="s">
        <v>6922</v>
      </c>
      <c r="G592" s="186"/>
      <c r="H592" s="180" t="s">
        <v>2853</v>
      </c>
      <c r="I592" s="163">
        <f>IFERROR(__xludf.DUMMYFUNCTION("""COMPUTED_VALUE"""),0.0)</f>
        <v>0</v>
      </c>
      <c r="J592" s="177" t="s">
        <v>6705</v>
      </c>
      <c r="K592" s="177" t="s">
        <v>7209</v>
      </c>
      <c r="L592" s="164"/>
      <c r="M592" s="187">
        <v>46100.6025</v>
      </c>
      <c r="N592" s="177" t="s">
        <v>22</v>
      </c>
      <c r="O592" s="164"/>
      <c r="P592" s="164"/>
      <c r="Q592" s="177" t="s">
        <v>1471</v>
      </c>
      <c r="R592" s="164"/>
      <c r="S592" s="163">
        <f>IFERROR(__xludf.DUMMYFUNCTION("""COMPUTED_VALUE"""),0.0)</f>
        <v>0</v>
      </c>
      <c r="T592" s="164"/>
      <c r="U592" s="164"/>
      <c r="V592" s="164"/>
      <c r="W592" s="164"/>
      <c r="X592" s="164"/>
    </row>
    <row r="593">
      <c r="A593" s="175">
        <v>46100.0</v>
      </c>
      <c r="B593" s="176" t="s">
        <v>1615</v>
      </c>
      <c r="C593" s="177" t="s">
        <v>6994</v>
      </c>
      <c r="D593" s="177" t="s">
        <v>7195</v>
      </c>
      <c r="E593" s="177" t="s">
        <v>1107</v>
      </c>
      <c r="F593" s="177"/>
      <c r="G593" s="186"/>
      <c r="H593" s="180"/>
      <c r="I593" s="163" t="str">
        <f>IFERROR(__xludf.DUMMYFUNCTION("""COMPUTED_VALUE"""),"")</f>
        <v/>
      </c>
      <c r="J593" s="177" t="s">
        <v>6705</v>
      </c>
      <c r="K593" s="177" t="s">
        <v>7210</v>
      </c>
      <c r="L593" s="164"/>
      <c r="M593" s="187">
        <v>46100.602997685186</v>
      </c>
      <c r="N593" s="177" t="s">
        <v>22</v>
      </c>
      <c r="O593" s="164"/>
      <c r="P593" s="164"/>
      <c r="Q593" s="177" t="s">
        <v>1471</v>
      </c>
      <c r="R593" s="164"/>
      <c r="S593" s="163" t="str">
        <f>IFERROR(__xludf.DUMMYFUNCTION("""COMPUTED_VALUE"""),"")</f>
        <v/>
      </c>
      <c r="T593" s="164"/>
      <c r="U593" s="164"/>
      <c r="V593" s="164"/>
      <c r="W593" s="164"/>
      <c r="X593" s="164"/>
    </row>
    <row r="594">
      <c r="A594" s="175">
        <v>46100.0</v>
      </c>
      <c r="B594" s="176" t="s">
        <v>1787</v>
      </c>
      <c r="C594" s="177" t="s">
        <v>6994</v>
      </c>
      <c r="D594" s="177" t="s">
        <v>7195</v>
      </c>
      <c r="E594" s="177" t="s">
        <v>6916</v>
      </c>
      <c r="F594" s="177"/>
      <c r="G594" s="186"/>
      <c r="H594" s="180"/>
      <c r="I594" s="163" t="str">
        <f>IFERROR(__xludf.DUMMYFUNCTION("""COMPUTED_VALUE"""),"")</f>
        <v/>
      </c>
      <c r="J594" s="177" t="s">
        <v>6705</v>
      </c>
      <c r="K594" s="177" t="s">
        <v>7211</v>
      </c>
      <c r="L594" s="164"/>
      <c r="M594" s="187">
        <v>46100.60350694445</v>
      </c>
      <c r="N594" s="177" t="s">
        <v>22</v>
      </c>
      <c r="O594" s="164"/>
      <c r="P594" s="164"/>
      <c r="Q594" s="177" t="s">
        <v>1471</v>
      </c>
      <c r="R594" s="164"/>
      <c r="S594" s="163" t="str">
        <f>IFERROR(__xludf.DUMMYFUNCTION("""COMPUTED_VALUE"""),"")</f>
        <v/>
      </c>
      <c r="T594" s="164"/>
      <c r="U594" s="164"/>
      <c r="V594" s="164"/>
      <c r="W594" s="164"/>
      <c r="X594" s="164"/>
    </row>
    <row r="595">
      <c r="A595" s="175">
        <v>46100.0</v>
      </c>
      <c r="B595" s="176" t="s">
        <v>2870</v>
      </c>
      <c r="C595" s="177" t="s">
        <v>6992</v>
      </c>
      <c r="D595" s="177" t="s">
        <v>7195</v>
      </c>
      <c r="E595" s="177" t="s">
        <v>38</v>
      </c>
      <c r="F595" s="177" t="s">
        <v>6962</v>
      </c>
      <c r="G595" s="186"/>
      <c r="H595" s="180" t="s">
        <v>2870</v>
      </c>
      <c r="I595" s="163">
        <f>IFERROR(__xludf.DUMMYFUNCTION("""COMPUTED_VALUE"""),0.0)</f>
        <v>0</v>
      </c>
      <c r="J595" s="177" t="s">
        <v>7176</v>
      </c>
      <c r="K595" s="177" t="s">
        <v>7212</v>
      </c>
      <c r="L595" s="164"/>
      <c r="M595" s="187">
        <v>46100.64648148148</v>
      </c>
      <c r="N595" s="177" t="s">
        <v>22</v>
      </c>
      <c r="O595" s="164"/>
      <c r="P595" s="164"/>
      <c r="Q595" s="177" t="s">
        <v>2438</v>
      </c>
      <c r="R595" s="164"/>
      <c r="S595" s="163">
        <f>IFERROR(__xludf.DUMMYFUNCTION("""COMPUTED_VALUE"""),25.98)</f>
        <v>25.98</v>
      </c>
      <c r="T595" s="164"/>
      <c r="U595" s="164"/>
      <c r="V595" s="164"/>
      <c r="W595" s="164"/>
      <c r="X595" s="164"/>
    </row>
    <row r="596">
      <c r="A596" s="175">
        <v>46100.0</v>
      </c>
      <c r="B596" s="176" t="s">
        <v>2665</v>
      </c>
      <c r="C596" s="177" t="s">
        <v>6994</v>
      </c>
      <c r="D596" s="177" t="s">
        <v>7195</v>
      </c>
      <c r="E596" s="177" t="s">
        <v>38</v>
      </c>
      <c r="F596" s="177"/>
      <c r="G596" s="186"/>
      <c r="H596" s="180"/>
      <c r="I596" s="163" t="str">
        <f>IFERROR(__xludf.DUMMYFUNCTION("""COMPUTED_VALUE"""),"")</f>
        <v/>
      </c>
      <c r="J596" s="177" t="s">
        <v>7176</v>
      </c>
      <c r="K596" s="177" t="s">
        <v>7213</v>
      </c>
      <c r="L596" s="164"/>
      <c r="M596" s="187">
        <v>46100.64797453704</v>
      </c>
      <c r="N596" s="177" t="s">
        <v>22</v>
      </c>
      <c r="O596" s="164"/>
      <c r="P596" s="164"/>
      <c r="Q596" s="177" t="s">
        <v>2438</v>
      </c>
      <c r="R596" s="164"/>
      <c r="S596" s="163" t="str">
        <f>IFERROR(__xludf.DUMMYFUNCTION("""COMPUTED_VALUE"""),"")</f>
        <v/>
      </c>
      <c r="T596" s="164"/>
      <c r="U596" s="164"/>
      <c r="V596" s="164"/>
      <c r="W596" s="164"/>
      <c r="X596" s="164"/>
    </row>
    <row r="597">
      <c r="A597" s="175">
        <v>46100.0</v>
      </c>
      <c r="B597" s="176" t="s">
        <v>2818</v>
      </c>
      <c r="C597" s="177" t="s">
        <v>6992</v>
      </c>
      <c r="D597" s="177" t="s">
        <v>7195</v>
      </c>
      <c r="E597" s="177" t="s">
        <v>6713</v>
      </c>
      <c r="F597" s="177" t="s">
        <v>6738</v>
      </c>
      <c r="G597" s="186"/>
      <c r="H597" s="180" t="s">
        <v>2818</v>
      </c>
      <c r="I597" s="163">
        <f>IFERROR(__xludf.DUMMYFUNCTION("""COMPUTED_VALUE"""),66.0)</f>
        <v>66</v>
      </c>
      <c r="J597" s="177" t="s">
        <v>7176</v>
      </c>
      <c r="K597" s="177" t="s">
        <v>7214</v>
      </c>
      <c r="L597" s="164"/>
      <c r="M597" s="187">
        <v>46100.66357638889</v>
      </c>
      <c r="N597" s="177" t="s">
        <v>22</v>
      </c>
      <c r="O597" s="164"/>
      <c r="P597" s="164"/>
      <c r="Q597" s="177" t="s">
        <v>2262</v>
      </c>
      <c r="R597" s="164"/>
      <c r="S597" s="163">
        <f>IFERROR(__xludf.DUMMYFUNCTION("""COMPUTED_VALUE"""),128.0)</f>
        <v>128</v>
      </c>
      <c r="T597" s="164"/>
      <c r="U597" s="164"/>
      <c r="V597" s="164"/>
      <c r="W597" s="164"/>
      <c r="X597" s="164"/>
    </row>
    <row r="598">
      <c r="A598" s="175">
        <v>46100.0</v>
      </c>
      <c r="B598" s="176" t="s">
        <v>2266</v>
      </c>
      <c r="C598" s="177" t="s">
        <v>6994</v>
      </c>
      <c r="D598" s="177" t="s">
        <v>7195</v>
      </c>
      <c r="E598" s="177" t="s">
        <v>6776</v>
      </c>
      <c r="F598" s="177"/>
      <c r="G598" s="186"/>
      <c r="H598" s="180"/>
      <c r="I598" s="163" t="str">
        <f>IFERROR(__xludf.DUMMYFUNCTION("""COMPUTED_VALUE"""),"")</f>
        <v/>
      </c>
      <c r="J598" s="177" t="s">
        <v>7176</v>
      </c>
      <c r="K598" s="177" t="s">
        <v>7215</v>
      </c>
      <c r="L598" s="164"/>
      <c r="M598" s="187">
        <v>46100.6649537037</v>
      </c>
      <c r="N598" s="177" t="s">
        <v>22</v>
      </c>
      <c r="O598" s="164"/>
      <c r="P598" s="164"/>
      <c r="Q598" s="177" t="s">
        <v>2262</v>
      </c>
      <c r="R598" s="164"/>
      <c r="S598" s="163" t="str">
        <f>IFERROR(__xludf.DUMMYFUNCTION("""COMPUTED_VALUE"""),"")</f>
        <v/>
      </c>
      <c r="T598" s="164"/>
      <c r="U598" s="164"/>
      <c r="V598" s="164"/>
      <c r="W598" s="164"/>
      <c r="X598" s="164"/>
    </row>
    <row r="599">
      <c r="A599" s="175">
        <v>46100.0</v>
      </c>
      <c r="B599" s="176" t="s">
        <v>2268</v>
      </c>
      <c r="C599" s="177" t="s">
        <v>6994</v>
      </c>
      <c r="D599" s="177" t="s">
        <v>7195</v>
      </c>
      <c r="E599" s="177" t="s">
        <v>6776</v>
      </c>
      <c r="F599" s="177"/>
      <c r="G599" s="186"/>
      <c r="H599" s="180"/>
      <c r="I599" s="163" t="str">
        <f>IFERROR(__xludf.DUMMYFUNCTION("""COMPUTED_VALUE"""),"")</f>
        <v/>
      </c>
      <c r="J599" s="177" t="s">
        <v>7176</v>
      </c>
      <c r="K599" s="177" t="s">
        <v>7216</v>
      </c>
      <c r="L599" s="164"/>
      <c r="M599" s="187">
        <v>46100.665601851855</v>
      </c>
      <c r="N599" s="177" t="s">
        <v>22</v>
      </c>
      <c r="O599" s="164"/>
      <c r="P599" s="164"/>
      <c r="Q599" s="177" t="s">
        <v>2262</v>
      </c>
      <c r="R599" s="164"/>
      <c r="S599" s="163" t="str">
        <f>IFERROR(__xludf.DUMMYFUNCTION("""COMPUTED_VALUE"""),"")</f>
        <v/>
      </c>
      <c r="T599" s="164"/>
      <c r="U599" s="164"/>
      <c r="V599" s="164"/>
      <c r="W599" s="164"/>
      <c r="X599" s="164"/>
    </row>
    <row r="600">
      <c r="A600" s="175">
        <v>46100.0</v>
      </c>
      <c r="B600" s="176" t="s">
        <v>2261</v>
      </c>
      <c r="C600" s="177" t="s">
        <v>6994</v>
      </c>
      <c r="D600" s="177" t="s">
        <v>7195</v>
      </c>
      <c r="E600" s="177" t="s">
        <v>6713</v>
      </c>
      <c r="F600" s="177"/>
      <c r="G600" s="186"/>
      <c r="H600" s="180"/>
      <c r="I600" s="163" t="str">
        <f>IFERROR(__xludf.DUMMYFUNCTION("""COMPUTED_VALUE"""),"")</f>
        <v/>
      </c>
      <c r="J600" s="177" t="s">
        <v>7176</v>
      </c>
      <c r="K600" s="177" t="s">
        <v>7217</v>
      </c>
      <c r="L600" s="164"/>
      <c r="M600" s="187">
        <v>46100.66615740741</v>
      </c>
      <c r="N600" s="177" t="s">
        <v>22</v>
      </c>
      <c r="O600" s="164"/>
      <c r="P600" s="164"/>
      <c r="Q600" s="177" t="s">
        <v>2262</v>
      </c>
      <c r="R600" s="164"/>
      <c r="S600" s="163" t="str">
        <f>IFERROR(__xludf.DUMMYFUNCTION("""COMPUTED_VALUE"""),"")</f>
        <v/>
      </c>
      <c r="T600" s="164"/>
      <c r="U600" s="164"/>
      <c r="V600" s="164"/>
      <c r="W600" s="164"/>
      <c r="X600" s="164"/>
    </row>
    <row r="601">
      <c r="A601" s="175">
        <v>46100.0</v>
      </c>
      <c r="B601" s="176" t="s">
        <v>2832</v>
      </c>
      <c r="C601" s="177" t="s">
        <v>1049</v>
      </c>
      <c r="D601" s="177" t="s">
        <v>7195</v>
      </c>
      <c r="E601" s="177" t="s">
        <v>662</v>
      </c>
      <c r="F601" s="177" t="s">
        <v>6962</v>
      </c>
      <c r="G601" s="186"/>
      <c r="H601" s="180" t="s">
        <v>2832</v>
      </c>
      <c r="I601" s="163">
        <f>IFERROR(__xludf.DUMMYFUNCTION("""COMPUTED_VALUE"""),5.79)</f>
        <v>5.79</v>
      </c>
      <c r="J601" s="177" t="s">
        <v>7176</v>
      </c>
      <c r="K601" s="177" t="s">
        <v>7218</v>
      </c>
      <c r="L601" s="164"/>
      <c r="M601" s="187">
        <v>46101.65857638889</v>
      </c>
      <c r="N601" s="177" t="s">
        <v>22</v>
      </c>
      <c r="O601" s="164"/>
      <c r="P601" s="164"/>
      <c r="Q601" s="177" t="s">
        <v>2420</v>
      </c>
      <c r="R601" s="164"/>
      <c r="S601" s="163">
        <f>IFERROR(__xludf.DUMMYFUNCTION("""COMPUTED_VALUE"""),11.58)</f>
        <v>11.58</v>
      </c>
      <c r="T601" s="164"/>
      <c r="U601" s="164"/>
      <c r="V601" s="164"/>
      <c r="W601" s="164"/>
      <c r="X601" s="164"/>
    </row>
    <row r="602">
      <c r="A602" s="175">
        <v>46100.0</v>
      </c>
      <c r="B602" s="176" t="s">
        <v>2834</v>
      </c>
      <c r="C602" s="177" t="s">
        <v>1049</v>
      </c>
      <c r="D602" s="177" t="s">
        <v>7195</v>
      </c>
      <c r="E602" s="177" t="s">
        <v>662</v>
      </c>
      <c r="F602" s="177" t="s">
        <v>6962</v>
      </c>
      <c r="G602" s="186"/>
      <c r="H602" s="180" t="s">
        <v>2834</v>
      </c>
      <c r="I602" s="163">
        <f>IFERROR(__xludf.DUMMYFUNCTION("""COMPUTED_VALUE"""),5.79)</f>
        <v>5.79</v>
      </c>
      <c r="J602" s="177" t="s">
        <v>7176</v>
      </c>
      <c r="K602" s="177" t="s">
        <v>7219</v>
      </c>
      <c r="L602" s="164"/>
      <c r="M602" s="187">
        <v>46101.662210648145</v>
      </c>
      <c r="N602" s="177" t="s">
        <v>22</v>
      </c>
      <c r="O602" s="164"/>
      <c r="P602" s="164"/>
      <c r="Q602" s="177" t="s">
        <v>2420</v>
      </c>
      <c r="R602" s="164"/>
      <c r="S602" s="163">
        <f>IFERROR(__xludf.DUMMYFUNCTION("""COMPUTED_VALUE"""),11.58)</f>
        <v>11.58</v>
      </c>
      <c r="T602" s="164"/>
      <c r="U602" s="164"/>
      <c r="V602" s="164"/>
      <c r="W602" s="164"/>
      <c r="X602" s="164"/>
    </row>
    <row r="603">
      <c r="A603" s="175">
        <v>46100.0</v>
      </c>
      <c r="B603" s="176" t="s">
        <v>3382</v>
      </c>
      <c r="C603" s="177" t="s">
        <v>1049</v>
      </c>
      <c r="D603" s="177" t="s">
        <v>7195</v>
      </c>
      <c r="E603" s="177" t="s">
        <v>6713</v>
      </c>
      <c r="F603" s="177" t="s">
        <v>6962</v>
      </c>
      <c r="G603" s="186"/>
      <c r="H603" s="180" t="s">
        <v>3382</v>
      </c>
      <c r="I603" s="163">
        <f>IFERROR(__xludf.DUMMYFUNCTION("""COMPUTED_VALUE"""),20.0)</f>
        <v>20</v>
      </c>
      <c r="J603" s="177" t="s">
        <v>7176</v>
      </c>
      <c r="K603" s="177" t="s">
        <v>7220</v>
      </c>
      <c r="L603" s="164"/>
      <c r="M603" s="187">
        <v>46101.66804398148</v>
      </c>
      <c r="N603" s="177" t="s">
        <v>22</v>
      </c>
      <c r="O603" s="164"/>
      <c r="P603" s="164"/>
      <c r="Q603" s="177" t="s">
        <v>3110</v>
      </c>
      <c r="R603" s="164"/>
      <c r="S603" s="163"/>
      <c r="T603" s="164"/>
      <c r="U603" s="164"/>
      <c r="V603" s="164"/>
      <c r="W603" s="164"/>
      <c r="X603" s="164"/>
    </row>
    <row r="604">
      <c r="A604" s="175">
        <v>46100.0</v>
      </c>
      <c r="B604" s="176" t="s">
        <v>2810</v>
      </c>
      <c r="C604" s="177" t="s">
        <v>1049</v>
      </c>
      <c r="D604" s="177" t="s">
        <v>7195</v>
      </c>
      <c r="E604" s="177" t="s">
        <v>6713</v>
      </c>
      <c r="F604" s="177" t="s">
        <v>6962</v>
      </c>
      <c r="G604" s="186"/>
      <c r="H604" s="180" t="s">
        <v>2810</v>
      </c>
      <c r="I604" s="163">
        <f>IFERROR(__xludf.DUMMYFUNCTION("""COMPUTED_VALUE"""),9.5)</f>
        <v>9.5</v>
      </c>
      <c r="J604" s="177" t="s">
        <v>7176</v>
      </c>
      <c r="K604" s="177" t="s">
        <v>7221</v>
      </c>
      <c r="L604" s="164"/>
      <c r="M604" s="187">
        <v>46101.67076388889</v>
      </c>
      <c r="N604" s="177" t="s">
        <v>22</v>
      </c>
      <c r="O604" s="164"/>
      <c r="P604" s="164"/>
      <c r="Q604" s="177" t="s">
        <v>2811</v>
      </c>
      <c r="R604" s="164"/>
      <c r="S604" s="163">
        <f>IFERROR(__xludf.DUMMYFUNCTION("""COMPUTED_VALUE"""),19.0)</f>
        <v>19</v>
      </c>
      <c r="T604" s="164"/>
      <c r="U604" s="164"/>
      <c r="V604" s="164"/>
      <c r="W604" s="164"/>
      <c r="X604" s="164"/>
    </row>
    <row r="605">
      <c r="A605" s="175">
        <v>46100.0</v>
      </c>
      <c r="B605" s="176" t="s">
        <v>2813</v>
      </c>
      <c r="C605" s="177" t="s">
        <v>1049</v>
      </c>
      <c r="D605" s="177" t="s">
        <v>7195</v>
      </c>
      <c r="E605" s="177" t="s">
        <v>6776</v>
      </c>
      <c r="F605" s="177" t="s">
        <v>6878</v>
      </c>
      <c r="G605" s="186"/>
      <c r="H605" s="180" t="s">
        <v>2813</v>
      </c>
      <c r="I605" s="163">
        <f>IFERROR(__xludf.DUMMYFUNCTION("""COMPUTED_VALUE"""),12.0)</f>
        <v>12</v>
      </c>
      <c r="J605" s="177" t="s">
        <v>7171</v>
      </c>
      <c r="K605" s="177" t="s">
        <v>7222</v>
      </c>
      <c r="L605" s="164"/>
      <c r="M605" s="187">
        <v>46101.673055555555</v>
      </c>
      <c r="N605" s="177" t="s">
        <v>22</v>
      </c>
      <c r="O605" s="164"/>
      <c r="P605" s="164"/>
      <c r="Q605" s="177" t="s">
        <v>2814</v>
      </c>
      <c r="R605" s="164"/>
      <c r="S605" s="163">
        <f>IFERROR(__xludf.DUMMYFUNCTION("""COMPUTED_VALUE"""),0.0)</f>
        <v>0</v>
      </c>
      <c r="T605" s="164"/>
      <c r="U605" s="164"/>
      <c r="V605" s="164"/>
      <c r="W605" s="164"/>
      <c r="X605" s="164"/>
    </row>
    <row r="606">
      <c r="A606" s="175">
        <v>46100.0</v>
      </c>
      <c r="B606" s="176" t="s">
        <v>2859</v>
      </c>
      <c r="C606" s="177" t="s">
        <v>1049</v>
      </c>
      <c r="D606" s="177" t="s">
        <v>7195</v>
      </c>
      <c r="E606" s="177" t="s">
        <v>842</v>
      </c>
      <c r="F606" s="177" t="s">
        <v>6878</v>
      </c>
      <c r="G606" s="186"/>
      <c r="H606" s="180" t="s">
        <v>2859</v>
      </c>
      <c r="I606" s="163">
        <f>IFERROR(__xludf.DUMMYFUNCTION("""COMPUTED_VALUE"""),11.0)</f>
        <v>11</v>
      </c>
      <c r="J606" s="177" t="s">
        <v>7171</v>
      </c>
      <c r="K606" s="177" t="s">
        <v>7223</v>
      </c>
      <c r="L606" s="164"/>
      <c r="M606" s="187">
        <v>46101.67636574074</v>
      </c>
      <c r="N606" s="177" t="s">
        <v>22</v>
      </c>
      <c r="O606" s="164"/>
      <c r="P606" s="164"/>
      <c r="Q606" s="177" t="s">
        <v>1770</v>
      </c>
      <c r="R606" s="164"/>
      <c r="S606" s="163">
        <f>IFERROR(__xludf.DUMMYFUNCTION("""COMPUTED_VALUE"""),21.665000000000003)</f>
        <v>21.665</v>
      </c>
      <c r="T606" s="164"/>
      <c r="U606" s="164"/>
      <c r="V606" s="164"/>
      <c r="W606" s="164"/>
      <c r="X606" s="164"/>
    </row>
    <row r="607">
      <c r="A607" s="175"/>
      <c r="B607" s="176"/>
      <c r="C607" s="177"/>
      <c r="D607" s="177"/>
      <c r="E607" s="164"/>
      <c r="F607" s="177"/>
      <c r="G607" s="186"/>
      <c r="H607" s="180"/>
      <c r="I607" s="163" t="str">
        <f>IFERROR(__xludf.DUMMYFUNCTION("""COMPUTED_VALUE"""),"")</f>
        <v/>
      </c>
      <c r="J607" s="177"/>
      <c r="K607" s="177"/>
      <c r="L607" s="164"/>
      <c r="M607" s="187"/>
      <c r="N607" s="177"/>
      <c r="O607" s="164"/>
      <c r="P607" s="164"/>
      <c r="Q607" s="164"/>
      <c r="R607" s="164"/>
      <c r="S607" s="163" t="str">
        <f>IFERROR(__xludf.DUMMYFUNCTION("""COMPUTED_VALUE"""),"")</f>
        <v/>
      </c>
      <c r="T607" s="164"/>
      <c r="U607" s="164"/>
      <c r="V607" s="164"/>
      <c r="W607" s="164"/>
      <c r="X607" s="164"/>
    </row>
    <row r="608">
      <c r="A608" s="175">
        <v>46100.0</v>
      </c>
      <c r="B608" s="176" t="s">
        <v>2826</v>
      </c>
      <c r="C608" s="177" t="s">
        <v>1049</v>
      </c>
      <c r="D608" s="177" t="s">
        <v>7195</v>
      </c>
      <c r="E608" s="177" t="s">
        <v>662</v>
      </c>
      <c r="F608" s="177" t="s">
        <v>6878</v>
      </c>
      <c r="G608" s="186"/>
      <c r="H608" s="180" t="s">
        <v>2826</v>
      </c>
      <c r="I608" s="163">
        <f>IFERROR(__xludf.DUMMYFUNCTION("""COMPUTED_VALUE"""),5.69)</f>
        <v>5.69</v>
      </c>
      <c r="J608" s="177" t="s">
        <v>7171</v>
      </c>
      <c r="K608" s="177" t="s">
        <v>7224</v>
      </c>
      <c r="L608" s="164"/>
      <c r="M608" s="187">
        <v>46101.68215277778</v>
      </c>
      <c r="N608" s="177" t="s">
        <v>22</v>
      </c>
      <c r="O608" s="164"/>
      <c r="P608" s="164"/>
      <c r="Q608" s="177" t="s">
        <v>2824</v>
      </c>
      <c r="R608" s="164"/>
      <c r="S608" s="163">
        <f>IFERROR(__xludf.DUMMYFUNCTION("""COMPUTED_VALUE"""),11.38)</f>
        <v>11.38</v>
      </c>
      <c r="T608" s="164"/>
      <c r="U608" s="164"/>
      <c r="V608" s="164"/>
      <c r="W608" s="164"/>
      <c r="X608" s="164"/>
    </row>
    <row r="609">
      <c r="A609" s="175">
        <v>46100.0</v>
      </c>
      <c r="B609" s="176" t="s">
        <v>2823</v>
      </c>
      <c r="C609" s="177" t="s">
        <v>1049</v>
      </c>
      <c r="D609" s="177" t="s">
        <v>7195</v>
      </c>
      <c r="E609" s="177" t="s">
        <v>662</v>
      </c>
      <c r="F609" s="177" t="s">
        <v>6962</v>
      </c>
      <c r="G609" s="186"/>
      <c r="H609" s="180" t="s">
        <v>2823</v>
      </c>
      <c r="I609" s="163">
        <f>IFERROR(__xludf.DUMMYFUNCTION("""COMPUTED_VALUE"""),5.69)</f>
        <v>5.69</v>
      </c>
      <c r="J609" s="177" t="s">
        <v>7176</v>
      </c>
      <c r="K609" s="177" t="s">
        <v>7225</v>
      </c>
      <c r="L609" s="164"/>
      <c r="M609" s="187">
        <v>46101.683217592596</v>
      </c>
      <c r="N609" s="177" t="s">
        <v>22</v>
      </c>
      <c r="O609" s="164"/>
      <c r="P609" s="164"/>
      <c r="Q609" s="177" t="s">
        <v>2824</v>
      </c>
      <c r="R609" s="164"/>
      <c r="S609" s="163">
        <f>IFERROR(__xludf.DUMMYFUNCTION("""COMPUTED_VALUE"""),11.38)</f>
        <v>11.38</v>
      </c>
      <c r="T609" s="164"/>
      <c r="U609" s="164"/>
      <c r="V609" s="164"/>
      <c r="W609" s="164"/>
      <c r="X609" s="164"/>
    </row>
    <row r="610">
      <c r="A610" s="175">
        <v>46100.0</v>
      </c>
      <c r="B610" s="176" t="s">
        <v>2803</v>
      </c>
      <c r="C610" s="177" t="s">
        <v>1049</v>
      </c>
      <c r="D610" s="177" t="s">
        <v>7195</v>
      </c>
      <c r="E610" s="177" t="s">
        <v>38</v>
      </c>
      <c r="F610" s="177" t="s">
        <v>6878</v>
      </c>
      <c r="G610" s="186"/>
      <c r="H610" s="180" t="s">
        <v>2803</v>
      </c>
      <c r="I610" s="163">
        <f>IFERROR(__xludf.DUMMYFUNCTION("""COMPUTED_VALUE"""),16.5)</f>
        <v>16.5</v>
      </c>
      <c r="J610" s="177" t="s">
        <v>7171</v>
      </c>
      <c r="K610" s="177" t="s">
        <v>7226</v>
      </c>
      <c r="L610" s="164"/>
      <c r="M610" s="187">
        <v>46101.686574074076</v>
      </c>
      <c r="N610" s="177" t="s">
        <v>22</v>
      </c>
      <c r="O610" s="164"/>
      <c r="P610" s="164"/>
      <c r="Q610" s="177" t="s">
        <v>2481</v>
      </c>
      <c r="R610" s="164"/>
      <c r="S610" s="163">
        <f>IFERROR(__xludf.DUMMYFUNCTION("""COMPUTED_VALUE"""),39.99)</f>
        <v>39.99</v>
      </c>
      <c r="T610" s="164"/>
      <c r="U610" s="164"/>
      <c r="V610" s="164"/>
      <c r="W610" s="164"/>
      <c r="X610" s="164"/>
    </row>
    <row r="611">
      <c r="A611" s="175">
        <v>46100.0</v>
      </c>
      <c r="B611" s="176" t="s">
        <v>2872</v>
      </c>
      <c r="C611" s="177" t="s">
        <v>1049</v>
      </c>
      <c r="D611" s="177" t="s">
        <v>7195</v>
      </c>
      <c r="E611" s="177" t="s">
        <v>38</v>
      </c>
      <c r="F611" s="177" t="s">
        <v>6878</v>
      </c>
      <c r="G611" s="186"/>
      <c r="H611" s="180" t="s">
        <v>2872</v>
      </c>
      <c r="I611" s="163">
        <f>IFERROR(__xludf.DUMMYFUNCTION("""COMPUTED_VALUE"""),16.5)</f>
        <v>16.5</v>
      </c>
      <c r="J611" s="177" t="s">
        <v>7171</v>
      </c>
      <c r="K611" s="177" t="s">
        <v>7227</v>
      </c>
      <c r="L611" s="164"/>
      <c r="M611" s="187">
        <v>46101.68733796296</v>
      </c>
      <c r="N611" s="177" t="s">
        <v>22</v>
      </c>
      <c r="O611" s="164"/>
      <c r="P611" s="164"/>
      <c r="Q611" s="177" t="s">
        <v>2481</v>
      </c>
      <c r="R611" s="164"/>
      <c r="S611" s="163">
        <f>IFERROR(__xludf.DUMMYFUNCTION("""COMPUTED_VALUE"""),39.99)</f>
        <v>39.99</v>
      </c>
      <c r="T611" s="164"/>
      <c r="U611" s="164"/>
      <c r="V611" s="164"/>
      <c r="W611" s="164"/>
      <c r="X611" s="164"/>
    </row>
    <row r="612">
      <c r="A612" s="175">
        <v>46100.0</v>
      </c>
      <c r="B612" s="176" t="s">
        <v>2843</v>
      </c>
      <c r="C612" s="177" t="s">
        <v>6992</v>
      </c>
      <c r="D612" s="177" t="s">
        <v>7195</v>
      </c>
      <c r="E612" s="177" t="s">
        <v>38</v>
      </c>
      <c r="F612" s="177" t="s">
        <v>6738</v>
      </c>
      <c r="G612" s="186"/>
      <c r="H612" s="180" t="s">
        <v>2843</v>
      </c>
      <c r="I612" s="163">
        <f>IFERROR(__xludf.DUMMYFUNCTION("""COMPUTED_VALUE"""),44.82)</f>
        <v>44.82</v>
      </c>
      <c r="J612" s="177" t="s">
        <v>7176</v>
      </c>
      <c r="K612" s="177" t="s">
        <v>7228</v>
      </c>
      <c r="L612" s="164"/>
      <c r="M612" s="187">
        <v>46101.69368055555</v>
      </c>
      <c r="N612" s="177" t="s">
        <v>22</v>
      </c>
      <c r="O612" s="164"/>
      <c r="P612" s="164"/>
      <c r="Q612" s="177" t="s">
        <v>2455</v>
      </c>
      <c r="R612" s="164"/>
      <c r="S612" s="163">
        <f>IFERROR(__xludf.DUMMYFUNCTION("""COMPUTED_VALUE"""),74.97)</f>
        <v>74.97</v>
      </c>
      <c r="T612" s="164"/>
      <c r="U612" s="164"/>
      <c r="V612" s="164"/>
      <c r="W612" s="164"/>
      <c r="X612" s="164"/>
    </row>
    <row r="613">
      <c r="A613" s="175">
        <v>46100.0</v>
      </c>
      <c r="B613" s="176" t="s">
        <v>2454</v>
      </c>
      <c r="C613" s="177" t="s">
        <v>6994</v>
      </c>
      <c r="D613" s="177" t="s">
        <v>7195</v>
      </c>
      <c r="E613" s="177" t="s">
        <v>38</v>
      </c>
      <c r="F613" s="177"/>
      <c r="G613" s="186"/>
      <c r="H613" s="180"/>
      <c r="I613" s="163" t="str">
        <f>IFERROR(__xludf.DUMMYFUNCTION("""COMPUTED_VALUE"""),"")</f>
        <v/>
      </c>
      <c r="J613" s="177" t="s">
        <v>7176</v>
      </c>
      <c r="K613" s="177" t="s">
        <v>7229</v>
      </c>
      <c r="L613" s="164"/>
      <c r="M613" s="187">
        <v>46101.694699074076</v>
      </c>
      <c r="N613" s="177" t="s">
        <v>22</v>
      </c>
      <c r="O613" s="164"/>
      <c r="P613" s="164"/>
      <c r="Q613" s="177" t="s">
        <v>2455</v>
      </c>
      <c r="R613" s="164"/>
      <c r="S613" s="163" t="str">
        <f>IFERROR(__xludf.DUMMYFUNCTION("""COMPUTED_VALUE"""),"")</f>
        <v/>
      </c>
      <c r="T613" s="164"/>
      <c r="U613" s="164"/>
      <c r="V613" s="164"/>
      <c r="W613" s="164"/>
      <c r="X613" s="164"/>
    </row>
    <row r="614">
      <c r="A614" s="175">
        <v>46100.0</v>
      </c>
      <c r="B614" s="176" t="s">
        <v>2457</v>
      </c>
      <c r="C614" s="177" t="s">
        <v>6994</v>
      </c>
      <c r="D614" s="177" t="s">
        <v>7195</v>
      </c>
      <c r="E614" s="177" t="s">
        <v>38</v>
      </c>
      <c r="F614" s="177"/>
      <c r="G614" s="186"/>
      <c r="H614" s="180"/>
      <c r="I614" s="163" t="str">
        <f>IFERROR(__xludf.DUMMYFUNCTION("""COMPUTED_VALUE"""),"")</f>
        <v/>
      </c>
      <c r="J614" s="177" t="s">
        <v>7176</v>
      </c>
      <c r="K614" s="177" t="s">
        <v>7230</v>
      </c>
      <c r="L614" s="164"/>
      <c r="M614" s="187">
        <v>46101.695335648146</v>
      </c>
      <c r="N614" s="177" t="s">
        <v>22</v>
      </c>
      <c r="O614" s="164"/>
      <c r="P614" s="164"/>
      <c r="Q614" s="177" t="s">
        <v>2455</v>
      </c>
      <c r="R614" s="164"/>
      <c r="S614" s="163" t="str">
        <f>IFERROR(__xludf.DUMMYFUNCTION("""COMPUTED_VALUE"""),"")</f>
        <v/>
      </c>
      <c r="T614" s="164"/>
      <c r="U614" s="164"/>
      <c r="V614" s="164"/>
      <c r="W614" s="164"/>
      <c r="X614" s="164"/>
    </row>
    <row r="615">
      <c r="A615" s="175">
        <v>46100.0</v>
      </c>
      <c r="B615" s="176" t="s">
        <v>2851</v>
      </c>
      <c r="C615" s="177" t="s">
        <v>1049</v>
      </c>
      <c r="D615" s="177" t="s">
        <v>7195</v>
      </c>
      <c r="E615" s="177" t="s">
        <v>171</v>
      </c>
      <c r="F615" s="177" t="s">
        <v>6751</v>
      </c>
      <c r="G615" s="186"/>
      <c r="H615" s="180" t="s">
        <v>2851</v>
      </c>
      <c r="I615" s="163">
        <f>IFERROR(__xludf.DUMMYFUNCTION("""COMPUTED_VALUE"""),0.0)</f>
        <v>0</v>
      </c>
      <c r="J615" s="177" t="s">
        <v>7176</v>
      </c>
      <c r="K615" s="177" t="s">
        <v>7231</v>
      </c>
      <c r="L615" s="164"/>
      <c r="M615" s="187">
        <v>46101.74866898148</v>
      </c>
      <c r="N615" s="177" t="s">
        <v>22</v>
      </c>
      <c r="O615" s="164"/>
      <c r="P615" s="164"/>
      <c r="Q615" s="177" t="s">
        <v>2051</v>
      </c>
      <c r="R615" s="164"/>
      <c r="S615" s="163">
        <f>IFERROR(__xludf.DUMMYFUNCTION("""COMPUTED_VALUE"""),0.0)</f>
        <v>0</v>
      </c>
      <c r="T615" s="164"/>
      <c r="U615" s="164"/>
      <c r="V615" s="164"/>
      <c r="W615" s="164"/>
      <c r="X615" s="164"/>
    </row>
    <row r="616">
      <c r="A616" s="175">
        <v>46100.0</v>
      </c>
      <c r="B616" s="176" t="s">
        <v>2868</v>
      </c>
      <c r="C616" s="177" t="s">
        <v>1049</v>
      </c>
      <c r="D616" s="177" t="s">
        <v>7006</v>
      </c>
      <c r="E616" s="177" t="s">
        <v>38</v>
      </c>
      <c r="F616" s="177" t="s">
        <v>6878</v>
      </c>
      <c r="G616" s="186"/>
      <c r="H616" s="180" t="s">
        <v>2868</v>
      </c>
      <c r="I616" s="163">
        <f>IFERROR(__xludf.DUMMYFUNCTION("""COMPUTED_VALUE"""),5.4)</f>
        <v>5.4</v>
      </c>
      <c r="J616" s="177" t="s">
        <v>7171</v>
      </c>
      <c r="K616" s="177" t="s">
        <v>7232</v>
      </c>
      <c r="L616" s="164"/>
      <c r="M616" s="187">
        <v>46101.7578125</v>
      </c>
      <c r="N616" s="177" t="s">
        <v>22</v>
      </c>
      <c r="O616" s="164"/>
      <c r="P616" s="164"/>
      <c r="Q616" s="177" t="s">
        <v>2417</v>
      </c>
      <c r="R616" s="164"/>
      <c r="S616" s="163">
        <f>IFERROR(__xludf.DUMMYFUNCTION("""COMPUTED_VALUE"""),14.99)</f>
        <v>14.99</v>
      </c>
      <c r="T616" s="164"/>
      <c r="U616" s="164"/>
      <c r="V616" s="164"/>
      <c r="W616" s="164"/>
      <c r="X616" s="164"/>
    </row>
    <row r="617">
      <c r="A617" s="175">
        <v>46100.0</v>
      </c>
      <c r="B617" s="176" t="s">
        <v>2864</v>
      </c>
      <c r="C617" s="177" t="s">
        <v>6992</v>
      </c>
      <c r="D617" s="177" t="s">
        <v>7006</v>
      </c>
      <c r="E617" s="177" t="s">
        <v>38</v>
      </c>
      <c r="F617" s="177" t="s">
        <v>6962</v>
      </c>
      <c r="G617" s="186"/>
      <c r="H617" s="180" t="s">
        <v>2864</v>
      </c>
      <c r="I617" s="163">
        <f>IFERROR(__xludf.DUMMYFUNCTION("""COMPUTED_VALUE"""),10.8)</f>
        <v>10.8</v>
      </c>
      <c r="J617" s="177" t="s">
        <v>7176</v>
      </c>
      <c r="K617" s="177" t="s">
        <v>7233</v>
      </c>
      <c r="L617" s="164"/>
      <c r="M617" s="187">
        <v>46101.76069444444</v>
      </c>
      <c r="N617" s="177" t="s">
        <v>22</v>
      </c>
      <c r="O617" s="164"/>
      <c r="P617" s="164"/>
      <c r="Q617" s="177" t="s">
        <v>2417</v>
      </c>
      <c r="R617" s="164"/>
      <c r="S617" s="163">
        <f>IFERROR(__xludf.DUMMYFUNCTION("""COMPUTED_VALUE"""),29.98)</f>
        <v>29.98</v>
      </c>
      <c r="T617" s="164"/>
      <c r="U617" s="164"/>
      <c r="V617" s="164"/>
      <c r="W617" s="164"/>
      <c r="X617" s="164"/>
    </row>
    <row r="618">
      <c r="A618" s="175">
        <v>46100.0</v>
      </c>
      <c r="B618" s="176" t="s">
        <v>2416</v>
      </c>
      <c r="C618" s="177" t="s">
        <v>6994</v>
      </c>
      <c r="D618" s="177" t="s">
        <v>7006</v>
      </c>
      <c r="E618" s="177" t="s">
        <v>38</v>
      </c>
      <c r="F618" s="177"/>
      <c r="G618" s="186"/>
      <c r="H618" s="180"/>
      <c r="I618" s="163" t="str">
        <f>IFERROR(__xludf.DUMMYFUNCTION("""COMPUTED_VALUE"""),"")</f>
        <v/>
      </c>
      <c r="J618" s="177" t="s">
        <v>7176</v>
      </c>
      <c r="K618" s="188" t="s">
        <v>7234</v>
      </c>
      <c r="L618" s="164"/>
      <c r="M618" s="187">
        <v>46101.76162037037</v>
      </c>
      <c r="N618" s="177" t="s">
        <v>22</v>
      </c>
      <c r="O618" s="164"/>
      <c r="P618" s="164"/>
      <c r="Q618" s="177" t="s">
        <v>2417</v>
      </c>
      <c r="R618" s="164"/>
      <c r="S618" s="163" t="str">
        <f>IFERROR(__xludf.DUMMYFUNCTION("""COMPUTED_VALUE"""),"")</f>
        <v/>
      </c>
      <c r="T618" s="164"/>
      <c r="U618" s="164"/>
      <c r="V618" s="164"/>
      <c r="W618" s="164"/>
      <c r="X618" s="164"/>
    </row>
    <row r="619">
      <c r="A619" s="175">
        <v>46100.0</v>
      </c>
      <c r="B619" s="176" t="s">
        <v>2828</v>
      </c>
      <c r="C619" s="177" t="s">
        <v>1049</v>
      </c>
      <c r="D619" s="177" t="s">
        <v>7006</v>
      </c>
      <c r="E619" s="177" t="s">
        <v>662</v>
      </c>
      <c r="F619" s="177" t="s">
        <v>6962</v>
      </c>
      <c r="G619" s="186"/>
      <c r="H619" s="180" t="s">
        <v>2828</v>
      </c>
      <c r="I619" s="163">
        <f>IFERROR(__xludf.DUMMYFUNCTION("""COMPUTED_VALUE"""),5.59)</f>
        <v>5.59</v>
      </c>
      <c r="J619" s="177" t="s">
        <v>7176</v>
      </c>
      <c r="K619" s="177" t="s">
        <v>7235</v>
      </c>
      <c r="L619" s="164"/>
      <c r="M619" s="187">
        <v>46101.76495370371</v>
      </c>
      <c r="N619" s="177" t="s">
        <v>22</v>
      </c>
      <c r="O619" s="164"/>
      <c r="P619" s="164"/>
      <c r="Q619" s="177" t="s">
        <v>2633</v>
      </c>
      <c r="R619" s="164"/>
      <c r="S619" s="163">
        <f>IFERROR(__xludf.DUMMYFUNCTION("""COMPUTED_VALUE"""),11.18)</f>
        <v>11.18</v>
      </c>
      <c r="T619" s="164"/>
      <c r="U619" s="164"/>
      <c r="V619" s="164"/>
      <c r="W619" s="164"/>
      <c r="X619" s="164"/>
    </row>
    <row r="620">
      <c r="A620" s="175">
        <v>46100.0</v>
      </c>
      <c r="B620" s="176" t="s">
        <v>2830</v>
      </c>
      <c r="C620" s="177" t="s">
        <v>1049</v>
      </c>
      <c r="D620" s="177" t="s">
        <v>7006</v>
      </c>
      <c r="E620" s="177" t="s">
        <v>662</v>
      </c>
      <c r="F620" s="177" t="s">
        <v>6878</v>
      </c>
      <c r="G620" s="186"/>
      <c r="H620" s="180" t="s">
        <v>2830</v>
      </c>
      <c r="I620" s="163">
        <f>IFERROR(__xludf.DUMMYFUNCTION("""COMPUTED_VALUE"""),5.59)</f>
        <v>5.59</v>
      </c>
      <c r="J620" s="177" t="s">
        <v>7171</v>
      </c>
      <c r="K620" s="177" t="s">
        <v>7236</v>
      </c>
      <c r="L620" s="164"/>
      <c r="M620" s="187">
        <v>46101.76572916667</v>
      </c>
      <c r="N620" s="177" t="s">
        <v>22</v>
      </c>
      <c r="O620" s="164"/>
      <c r="P620" s="164"/>
      <c r="Q620" s="177" t="s">
        <v>2633</v>
      </c>
      <c r="R620" s="164"/>
      <c r="S620" s="163">
        <f>IFERROR(__xludf.DUMMYFUNCTION("""COMPUTED_VALUE"""),11.18)</f>
        <v>11.18</v>
      </c>
      <c r="T620" s="164"/>
      <c r="U620" s="164"/>
      <c r="V620" s="164"/>
      <c r="W620" s="164"/>
      <c r="X620" s="164"/>
    </row>
    <row r="621">
      <c r="A621" s="175">
        <v>46100.0</v>
      </c>
      <c r="B621" s="176" t="s">
        <v>2836</v>
      </c>
      <c r="C621" s="177" t="s">
        <v>1049</v>
      </c>
      <c r="D621" s="177" t="s">
        <v>7006</v>
      </c>
      <c r="E621" s="177" t="s">
        <v>6861</v>
      </c>
      <c r="F621" s="177" t="s">
        <v>6763</v>
      </c>
      <c r="G621" s="186"/>
      <c r="H621" s="180" t="s">
        <v>2836</v>
      </c>
      <c r="I621" s="163">
        <f>IFERROR(__xludf.DUMMYFUNCTION("""COMPUTED_VALUE"""),16.0)</f>
        <v>16</v>
      </c>
      <c r="J621" s="177" t="s">
        <v>7171</v>
      </c>
      <c r="K621" s="177" t="s">
        <v>7237</v>
      </c>
      <c r="L621" s="164"/>
      <c r="M621" s="187">
        <v>46101.767800925925</v>
      </c>
      <c r="N621" s="177" t="s">
        <v>22</v>
      </c>
      <c r="O621" s="164"/>
      <c r="P621" s="164"/>
      <c r="Q621" s="177" t="s">
        <v>2837</v>
      </c>
      <c r="R621" s="164"/>
      <c r="S621" s="163"/>
      <c r="T621" s="164"/>
      <c r="U621" s="164"/>
      <c r="V621" s="164"/>
      <c r="W621" s="164"/>
      <c r="X621" s="164"/>
    </row>
    <row r="622">
      <c r="A622" s="175">
        <v>46100.0</v>
      </c>
      <c r="B622" s="176" t="s">
        <v>2857</v>
      </c>
      <c r="C622" s="177" t="s">
        <v>1049</v>
      </c>
      <c r="D622" s="177" t="s">
        <v>7195</v>
      </c>
      <c r="E622" s="177" t="s">
        <v>6717</v>
      </c>
      <c r="F622" s="177" t="s">
        <v>6763</v>
      </c>
      <c r="G622" s="186"/>
      <c r="H622" s="180" t="s">
        <v>2857</v>
      </c>
      <c r="I622" s="163">
        <f>IFERROR(__xludf.DUMMYFUNCTION("""COMPUTED_VALUE"""),2.7475)</f>
        <v>2.7475</v>
      </c>
      <c r="J622" s="177" t="s">
        <v>7171</v>
      </c>
      <c r="K622" s="177" t="s">
        <v>7238</v>
      </c>
      <c r="L622" s="164"/>
      <c r="M622" s="187">
        <v>46101.76971064815</v>
      </c>
      <c r="N622" s="177" t="s">
        <v>22</v>
      </c>
      <c r="O622" s="164"/>
      <c r="P622" s="164"/>
      <c r="Q622" s="177" t="s">
        <v>1474</v>
      </c>
      <c r="R622" s="164"/>
      <c r="S622" s="163">
        <f>IFERROR(__xludf.DUMMYFUNCTION("""COMPUTED_VALUE"""),0.0)</f>
        <v>0</v>
      </c>
      <c r="T622" s="164"/>
      <c r="U622" s="164"/>
      <c r="V622" s="164"/>
      <c r="W622" s="164"/>
      <c r="X622" s="164"/>
    </row>
    <row r="623">
      <c r="A623" s="175"/>
      <c r="B623" s="176"/>
      <c r="C623" s="177"/>
      <c r="D623" s="177"/>
      <c r="E623" s="177"/>
      <c r="F623" s="177"/>
      <c r="G623" s="186"/>
      <c r="H623" s="180"/>
      <c r="I623" s="163" t="str">
        <f>IFERROR(__xludf.DUMMYFUNCTION("""COMPUTED_VALUE"""),"")</f>
        <v/>
      </c>
      <c r="J623" s="177"/>
      <c r="K623" s="177"/>
      <c r="L623" s="164"/>
      <c r="M623" s="187"/>
      <c r="N623" s="177"/>
      <c r="O623" s="164"/>
      <c r="P623" s="164"/>
      <c r="Q623" s="164"/>
      <c r="R623" s="164"/>
      <c r="S623" s="163" t="str">
        <f>IFERROR(__xludf.DUMMYFUNCTION("""COMPUTED_VALUE"""),"")</f>
        <v/>
      </c>
      <c r="T623" s="164"/>
      <c r="U623" s="164"/>
      <c r="V623" s="164"/>
      <c r="W623" s="164"/>
      <c r="X623" s="164"/>
    </row>
    <row r="624">
      <c r="A624" s="175">
        <v>46087.0</v>
      </c>
      <c r="B624" s="176" t="s">
        <v>2746</v>
      </c>
      <c r="C624" s="177" t="s">
        <v>1049</v>
      </c>
      <c r="D624" s="177" t="s">
        <v>7120</v>
      </c>
      <c r="E624" s="177" t="s">
        <v>6797</v>
      </c>
      <c r="F624" s="177" t="s">
        <v>7239</v>
      </c>
      <c r="G624" s="186"/>
      <c r="H624" s="180" t="s">
        <v>2746</v>
      </c>
      <c r="I624" s="163">
        <f>IFERROR(__xludf.DUMMYFUNCTION("""COMPUTED_VALUE"""),1.0999999999999999)</f>
        <v>1.1</v>
      </c>
      <c r="J624" s="164"/>
      <c r="K624" s="177" t="s">
        <v>7240</v>
      </c>
      <c r="L624" s="164"/>
      <c r="M624" s="187">
        <v>46104.57542824074</v>
      </c>
      <c r="N624" s="177" t="s">
        <v>22</v>
      </c>
      <c r="O624" s="164"/>
      <c r="P624" s="164"/>
      <c r="Q624" s="177" t="s">
        <v>2581</v>
      </c>
      <c r="R624" s="164"/>
      <c r="S624" s="163">
        <f>IFERROR(__xludf.DUMMYFUNCTION("""COMPUTED_VALUE"""),2.4983333333333335)</f>
        <v>2.498333333</v>
      </c>
      <c r="T624" s="164"/>
      <c r="U624" s="164"/>
      <c r="V624" s="164"/>
      <c r="W624" s="164"/>
      <c r="X624" s="164"/>
    </row>
    <row r="625">
      <c r="A625" s="175">
        <v>46104.0</v>
      </c>
      <c r="B625" s="176" t="s">
        <v>2877</v>
      </c>
      <c r="C625" s="177" t="s">
        <v>6992</v>
      </c>
      <c r="D625" s="177" t="s">
        <v>7195</v>
      </c>
      <c r="E625" s="177" t="s">
        <v>662</v>
      </c>
      <c r="F625" s="177" t="s">
        <v>6763</v>
      </c>
      <c r="G625" s="186"/>
      <c r="H625" s="180" t="s">
        <v>2877</v>
      </c>
      <c r="I625" s="163">
        <f>IFERROR(__xludf.DUMMYFUNCTION("""COMPUTED_VALUE"""),11.6)</f>
        <v>11.6</v>
      </c>
      <c r="J625" s="177" t="s">
        <v>7171</v>
      </c>
      <c r="K625" s="177" t="s">
        <v>7241</v>
      </c>
      <c r="L625" s="164"/>
      <c r="M625" s="187">
        <v>46104.80421296296</v>
      </c>
      <c r="N625" s="177" t="s">
        <v>22</v>
      </c>
      <c r="O625" s="164"/>
      <c r="P625" s="177" t="s">
        <v>2879</v>
      </c>
      <c r="Q625" s="177" t="s">
        <v>2321</v>
      </c>
      <c r="R625" s="164"/>
      <c r="S625" s="163">
        <f>IFERROR(__xludf.DUMMYFUNCTION("""COMPUTED_VALUE"""),23.2)</f>
        <v>23.2</v>
      </c>
      <c r="T625" s="164"/>
      <c r="U625" s="164"/>
      <c r="V625" s="164"/>
      <c r="W625" s="164"/>
      <c r="X625" s="164"/>
    </row>
    <row r="626">
      <c r="A626" s="175">
        <v>46104.0</v>
      </c>
      <c r="B626" s="176" t="s">
        <v>2371</v>
      </c>
      <c r="C626" s="177" t="s">
        <v>6994</v>
      </c>
      <c r="D626" s="177" t="s">
        <v>7195</v>
      </c>
      <c r="E626" s="177" t="s">
        <v>662</v>
      </c>
      <c r="F626" s="177"/>
      <c r="G626" s="186"/>
      <c r="H626" s="180"/>
      <c r="I626" s="163" t="str">
        <f>IFERROR(__xludf.DUMMYFUNCTION("""COMPUTED_VALUE"""),"")</f>
        <v/>
      </c>
      <c r="J626" s="177" t="s">
        <v>7171</v>
      </c>
      <c r="K626" s="177" t="s">
        <v>7242</v>
      </c>
      <c r="L626" s="164"/>
      <c r="M626" s="187">
        <v>46104.80515046296</v>
      </c>
      <c r="N626" s="177" t="s">
        <v>22</v>
      </c>
      <c r="O626" s="164"/>
      <c r="P626" s="164"/>
      <c r="Q626" s="177" t="s">
        <v>2321</v>
      </c>
      <c r="R626" s="164"/>
      <c r="S626" s="163" t="str">
        <f>IFERROR(__xludf.DUMMYFUNCTION("""COMPUTED_VALUE"""),"")</f>
        <v/>
      </c>
      <c r="T626" s="164"/>
      <c r="U626" s="164"/>
      <c r="V626" s="164"/>
      <c r="W626" s="164"/>
      <c r="X626" s="164"/>
    </row>
    <row r="627">
      <c r="A627" s="175">
        <v>46104.0</v>
      </c>
      <c r="B627" s="176" t="s">
        <v>2361</v>
      </c>
      <c r="C627" s="177" t="s">
        <v>6994</v>
      </c>
      <c r="D627" s="177" t="s">
        <v>7195</v>
      </c>
      <c r="E627" s="177" t="s">
        <v>662</v>
      </c>
      <c r="F627" s="177"/>
      <c r="G627" s="186"/>
      <c r="H627" s="180"/>
      <c r="I627" s="163" t="str">
        <f>IFERROR(__xludf.DUMMYFUNCTION("""COMPUTED_VALUE"""),"")</f>
        <v/>
      </c>
      <c r="J627" s="177" t="s">
        <v>7171</v>
      </c>
      <c r="K627" s="177" t="s">
        <v>7243</v>
      </c>
      <c r="L627" s="164"/>
      <c r="M627" s="187">
        <v>46104.80568287037</v>
      </c>
      <c r="N627" s="177" t="s">
        <v>22</v>
      </c>
      <c r="O627" s="164"/>
      <c r="P627" s="164"/>
      <c r="Q627" s="177" t="s">
        <v>2321</v>
      </c>
      <c r="R627" s="164"/>
      <c r="S627" s="163" t="str">
        <f>IFERROR(__xludf.DUMMYFUNCTION("""COMPUTED_VALUE"""),"")</f>
        <v/>
      </c>
      <c r="T627" s="164"/>
      <c r="U627" s="164"/>
      <c r="V627" s="164"/>
      <c r="W627" s="164"/>
      <c r="X627" s="164"/>
    </row>
    <row r="628">
      <c r="A628" s="175">
        <v>46104.0</v>
      </c>
      <c r="B628" s="176" t="s">
        <v>2345</v>
      </c>
      <c r="C628" s="177" t="s">
        <v>6994</v>
      </c>
      <c r="D628" s="177" t="s">
        <v>7195</v>
      </c>
      <c r="E628" s="177" t="s">
        <v>662</v>
      </c>
      <c r="F628" s="177"/>
      <c r="G628" s="186"/>
      <c r="H628" s="180"/>
      <c r="I628" s="163" t="str">
        <f>IFERROR(__xludf.DUMMYFUNCTION("""COMPUTED_VALUE"""),"")</f>
        <v/>
      </c>
      <c r="J628" s="177" t="s">
        <v>7171</v>
      </c>
      <c r="K628" s="177" t="s">
        <v>7244</v>
      </c>
      <c r="L628" s="164"/>
      <c r="M628" s="187">
        <v>46104.80614583333</v>
      </c>
      <c r="N628" s="177" t="s">
        <v>22</v>
      </c>
      <c r="O628" s="164"/>
      <c r="P628" s="164"/>
      <c r="Q628" s="177" t="s">
        <v>2321</v>
      </c>
      <c r="R628" s="164"/>
      <c r="S628" s="163" t="str">
        <f>IFERROR(__xludf.DUMMYFUNCTION("""COMPUTED_VALUE"""),"")</f>
        <v/>
      </c>
      <c r="T628" s="164"/>
      <c r="U628" s="164"/>
      <c r="V628" s="164"/>
      <c r="W628" s="164"/>
      <c r="X628" s="164"/>
    </row>
    <row r="629">
      <c r="A629" s="175">
        <v>46103.0</v>
      </c>
      <c r="B629" s="176" t="s">
        <v>2874</v>
      </c>
      <c r="C629" s="177" t="s">
        <v>1049</v>
      </c>
      <c r="D629" s="177" t="s">
        <v>7195</v>
      </c>
      <c r="E629" s="177" t="s">
        <v>6777</v>
      </c>
      <c r="F629" s="177" t="s">
        <v>6889</v>
      </c>
      <c r="G629" s="186"/>
      <c r="H629" s="180" t="s">
        <v>2874</v>
      </c>
      <c r="I629" s="163">
        <f>IFERROR(__xludf.DUMMYFUNCTION("""COMPUTED_VALUE"""),14.4)</f>
        <v>14.4</v>
      </c>
      <c r="J629" s="177" t="s">
        <v>6705</v>
      </c>
      <c r="K629" s="177" t="s">
        <v>7245</v>
      </c>
      <c r="L629" s="164"/>
      <c r="M629" s="187">
        <v>46104.811261574076</v>
      </c>
      <c r="N629" s="177" t="s">
        <v>22</v>
      </c>
      <c r="O629" s="164"/>
      <c r="P629" s="177" t="s">
        <v>2876</v>
      </c>
      <c r="Q629" s="177" t="s">
        <v>1691</v>
      </c>
      <c r="R629" s="164"/>
      <c r="S629" s="163">
        <f>IFERROR(__xludf.DUMMYFUNCTION("""COMPUTED_VALUE"""),29.99)</f>
        <v>29.99</v>
      </c>
      <c r="T629" s="164"/>
      <c r="U629" s="164"/>
      <c r="V629" s="164"/>
      <c r="W629" s="164"/>
      <c r="X629" s="164"/>
    </row>
    <row r="630">
      <c r="A630" s="175">
        <v>46105.0</v>
      </c>
      <c r="B630" s="176" t="s">
        <v>2893</v>
      </c>
      <c r="C630" s="177" t="s">
        <v>1049</v>
      </c>
      <c r="D630" s="177" t="s">
        <v>7246</v>
      </c>
      <c r="E630" s="177" t="s">
        <v>842</v>
      </c>
      <c r="F630" s="177" t="s">
        <v>850</v>
      </c>
      <c r="G630" s="186"/>
      <c r="H630" s="180" t="s">
        <v>2893</v>
      </c>
      <c r="I630" s="163">
        <f>IFERROR(__xludf.DUMMYFUNCTION("""COMPUTED_VALUE"""),1.6)</f>
        <v>1.6</v>
      </c>
      <c r="J630" s="177" t="s">
        <v>6750</v>
      </c>
      <c r="K630" s="177" t="s">
        <v>7247</v>
      </c>
      <c r="L630" s="164"/>
      <c r="M630" s="187">
        <v>46105.49625</v>
      </c>
      <c r="N630" s="177" t="s">
        <v>22</v>
      </c>
      <c r="O630" s="164"/>
      <c r="P630" s="164"/>
      <c r="Q630" s="177" t="s">
        <v>2051</v>
      </c>
      <c r="R630" s="164"/>
      <c r="S630" s="163">
        <f>IFERROR(__xludf.DUMMYFUNCTION("""COMPUTED_VALUE"""),3.0)</f>
        <v>3</v>
      </c>
      <c r="T630" s="164"/>
      <c r="U630" s="164"/>
      <c r="V630" s="164"/>
      <c r="W630" s="164"/>
      <c r="X630" s="164"/>
    </row>
    <row r="631">
      <c r="A631" s="175">
        <v>46105.0</v>
      </c>
      <c r="B631" s="176" t="s">
        <v>2900</v>
      </c>
      <c r="C631" s="177" t="s">
        <v>1049</v>
      </c>
      <c r="D631" s="177" t="s">
        <v>7246</v>
      </c>
      <c r="E631" s="164"/>
      <c r="F631" s="177" t="s">
        <v>850</v>
      </c>
      <c r="G631" s="186"/>
      <c r="H631" s="180" t="s">
        <v>2900</v>
      </c>
      <c r="I631" s="163">
        <f>IFERROR(__xludf.DUMMYFUNCTION("""COMPUTED_VALUE"""),7.8)</f>
        <v>7.8</v>
      </c>
      <c r="J631" s="177" t="s">
        <v>6750</v>
      </c>
      <c r="K631" s="177" t="s">
        <v>7248</v>
      </c>
      <c r="L631" s="164"/>
      <c r="M631" s="187">
        <v>46105.501550925925</v>
      </c>
      <c r="N631" s="177" t="s">
        <v>22</v>
      </c>
      <c r="O631" s="164"/>
      <c r="P631" s="164"/>
      <c r="Q631" s="177" t="s">
        <v>1497</v>
      </c>
      <c r="R631" s="164"/>
      <c r="S631" s="163">
        <f>IFERROR(__xludf.DUMMYFUNCTION("""COMPUTED_VALUE"""),16.99)</f>
        <v>16.99</v>
      </c>
      <c r="T631" s="164"/>
      <c r="U631" s="164"/>
      <c r="V631" s="164"/>
      <c r="W631" s="164"/>
      <c r="X631" s="164"/>
    </row>
    <row r="632">
      <c r="A632" s="175">
        <v>46105.0</v>
      </c>
      <c r="B632" s="176" t="s">
        <v>2898</v>
      </c>
      <c r="C632" s="177" t="s">
        <v>1049</v>
      </c>
      <c r="D632" s="177" t="s">
        <v>7246</v>
      </c>
      <c r="E632" s="177" t="s">
        <v>6889</v>
      </c>
      <c r="F632" s="177" t="s">
        <v>850</v>
      </c>
      <c r="G632" s="186"/>
      <c r="H632" s="180" t="s">
        <v>2898</v>
      </c>
      <c r="I632" s="163">
        <f>IFERROR(__xludf.DUMMYFUNCTION("""COMPUTED_VALUE"""),7.8)</f>
        <v>7.8</v>
      </c>
      <c r="J632" s="177" t="s">
        <v>6750</v>
      </c>
      <c r="K632" s="177" t="s">
        <v>7249</v>
      </c>
      <c r="L632" s="164"/>
      <c r="M632" s="187">
        <v>46105.50502314815</v>
      </c>
      <c r="N632" s="177" t="s">
        <v>22</v>
      </c>
      <c r="O632" s="164"/>
      <c r="P632" s="164"/>
      <c r="Q632" s="177" t="s">
        <v>1497</v>
      </c>
      <c r="R632" s="164"/>
      <c r="S632" s="163">
        <f>IFERROR(__xludf.DUMMYFUNCTION("""COMPUTED_VALUE"""),16.99)</f>
        <v>16.99</v>
      </c>
      <c r="T632" s="164"/>
      <c r="U632" s="164"/>
      <c r="V632" s="164"/>
      <c r="W632" s="164"/>
      <c r="X632" s="164"/>
    </row>
    <row r="633">
      <c r="A633" s="175">
        <v>46105.0</v>
      </c>
      <c r="B633" s="176" t="s">
        <v>2889</v>
      </c>
      <c r="C633" s="177" t="s">
        <v>1049</v>
      </c>
      <c r="D633" s="177" t="s">
        <v>7246</v>
      </c>
      <c r="E633" s="177" t="s">
        <v>842</v>
      </c>
      <c r="F633" s="177" t="s">
        <v>850</v>
      </c>
      <c r="G633" s="186"/>
      <c r="H633" s="180" t="s">
        <v>2889</v>
      </c>
      <c r="I633" s="163">
        <f>IFERROR(__xludf.DUMMYFUNCTION("""COMPUTED_VALUE"""),4.333333333333333)</f>
        <v>4.333333333</v>
      </c>
      <c r="J633" s="177" t="s">
        <v>6750</v>
      </c>
      <c r="K633" s="177" t="s">
        <v>7250</v>
      </c>
      <c r="L633" s="164"/>
      <c r="M633" s="187">
        <v>46105.50784722222</v>
      </c>
      <c r="N633" s="177" t="s">
        <v>22</v>
      </c>
      <c r="O633" s="164"/>
      <c r="P633" s="164"/>
      <c r="Q633" s="177" t="s">
        <v>1757</v>
      </c>
      <c r="R633" s="164"/>
      <c r="S633" s="163">
        <f>IFERROR(__xludf.DUMMYFUNCTION("""COMPUTED_VALUE"""),6.666666666666667)</f>
        <v>6.666666667</v>
      </c>
      <c r="T633" s="164"/>
      <c r="U633" s="164"/>
      <c r="V633" s="164"/>
      <c r="W633" s="164"/>
      <c r="X633" s="164"/>
    </row>
    <row r="634">
      <c r="A634" s="175">
        <v>46105.0</v>
      </c>
      <c r="B634" s="176" t="s">
        <v>2887</v>
      </c>
      <c r="C634" s="177" t="s">
        <v>1049</v>
      </c>
      <c r="D634" s="177" t="s">
        <v>7246</v>
      </c>
      <c r="E634" s="177" t="s">
        <v>6781</v>
      </c>
      <c r="F634" s="177" t="s">
        <v>850</v>
      </c>
      <c r="G634" s="186"/>
      <c r="H634" s="180" t="s">
        <v>2887</v>
      </c>
      <c r="I634" s="163">
        <f>IFERROR(__xludf.DUMMYFUNCTION("""COMPUTED_VALUE"""),3.0)</f>
        <v>3</v>
      </c>
      <c r="J634" s="177" t="s">
        <v>6750</v>
      </c>
      <c r="K634" s="177" t="s">
        <v>7251</v>
      </c>
      <c r="L634" s="164"/>
      <c r="M634" s="187">
        <v>46105.51273148148</v>
      </c>
      <c r="N634" s="177" t="s">
        <v>22</v>
      </c>
      <c r="O634" s="164"/>
      <c r="P634" s="164"/>
      <c r="Q634" s="177" t="s">
        <v>1747</v>
      </c>
      <c r="R634" s="164"/>
      <c r="S634" s="163">
        <f>IFERROR(__xludf.DUMMYFUNCTION("""COMPUTED_VALUE"""),9.0)</f>
        <v>9</v>
      </c>
      <c r="T634" s="164"/>
      <c r="U634" s="164"/>
      <c r="V634" s="164"/>
      <c r="W634" s="164"/>
      <c r="X634" s="164"/>
    </row>
    <row r="635">
      <c r="A635" s="175">
        <v>46105.0</v>
      </c>
      <c r="B635" s="176" t="s">
        <v>2891</v>
      </c>
      <c r="C635" s="177" t="s">
        <v>1049</v>
      </c>
      <c r="D635" s="177" t="s">
        <v>7195</v>
      </c>
      <c r="E635" s="177" t="s">
        <v>6713</v>
      </c>
      <c r="F635" s="177" t="s">
        <v>6922</v>
      </c>
      <c r="G635" s="186"/>
      <c r="H635" s="180" t="s">
        <v>2891</v>
      </c>
      <c r="I635" s="163">
        <f>IFERROR(__xludf.DUMMYFUNCTION("""COMPUTED_VALUE"""),12.0)</f>
        <v>12</v>
      </c>
      <c r="J635" s="177" t="s">
        <v>6705</v>
      </c>
      <c r="K635" s="177" t="s">
        <v>7252</v>
      </c>
      <c r="L635" s="164"/>
      <c r="M635" s="187">
        <v>46105.5253125</v>
      </c>
      <c r="N635" s="177" t="s">
        <v>22</v>
      </c>
      <c r="O635" s="164"/>
      <c r="P635" s="164"/>
      <c r="Q635" s="177" t="s">
        <v>2814</v>
      </c>
      <c r="R635" s="164"/>
      <c r="S635" s="163">
        <f>IFERROR(__xludf.DUMMYFUNCTION("""COMPUTED_VALUE"""),0.0)</f>
        <v>0</v>
      </c>
      <c r="T635" s="164"/>
      <c r="U635" s="164"/>
      <c r="V635" s="164"/>
      <c r="W635" s="164"/>
      <c r="X635" s="164"/>
    </row>
    <row r="636">
      <c r="A636" s="175">
        <v>46105.0</v>
      </c>
      <c r="B636" s="176" t="s">
        <v>2883</v>
      </c>
      <c r="C636" s="177" t="s">
        <v>1118</v>
      </c>
      <c r="D636" s="177" t="s">
        <v>7025</v>
      </c>
      <c r="E636" s="177" t="s">
        <v>6987</v>
      </c>
      <c r="F636" s="177" t="s">
        <v>6962</v>
      </c>
      <c r="G636" s="186"/>
      <c r="H636" s="180" t="s">
        <v>2883</v>
      </c>
      <c r="I636" s="163">
        <f>IFERROR(__xludf.DUMMYFUNCTION("""COMPUTED_VALUE"""),7.333333333333333)</f>
        <v>7.333333333</v>
      </c>
      <c r="J636" s="177" t="s">
        <v>7176</v>
      </c>
      <c r="K636" s="177" t="s">
        <v>7253</v>
      </c>
      <c r="L636" s="164"/>
      <c r="M636" s="187">
        <v>46105.58561342592</v>
      </c>
      <c r="N636" s="177" t="s">
        <v>22</v>
      </c>
      <c r="O636" s="164"/>
      <c r="P636" s="177" t="s">
        <v>2886</v>
      </c>
      <c r="Q636" s="177" t="s">
        <v>2884</v>
      </c>
      <c r="R636" s="164"/>
      <c r="S636" s="163">
        <f>IFERROR(__xludf.DUMMYFUNCTION("""COMPUTED_VALUE"""),0.0)</f>
        <v>0</v>
      </c>
      <c r="T636" s="164"/>
      <c r="U636" s="164"/>
      <c r="V636" s="164"/>
      <c r="W636" s="164"/>
      <c r="X636" s="164"/>
    </row>
    <row r="637">
      <c r="A637" s="175">
        <v>46105.0</v>
      </c>
      <c r="B637" s="176" t="s">
        <v>2883</v>
      </c>
      <c r="C637" s="177" t="s">
        <v>6716</v>
      </c>
      <c r="D637" s="177" t="s">
        <v>7025</v>
      </c>
      <c r="E637" s="164"/>
      <c r="F637" s="177" t="s">
        <v>6916</v>
      </c>
      <c r="G637" s="179" t="s">
        <v>6720</v>
      </c>
      <c r="H637" s="180" t="s">
        <v>3429</v>
      </c>
      <c r="I637" s="163">
        <f>IFERROR(__xludf.DUMMYFUNCTION("""COMPUTED_VALUE"""),7.333333333333333)</f>
        <v>7.333333333</v>
      </c>
      <c r="J637" s="177" t="s">
        <v>6750</v>
      </c>
      <c r="K637" s="177" t="s">
        <v>4640</v>
      </c>
      <c r="L637" s="177" t="s">
        <v>4052</v>
      </c>
      <c r="M637" s="187">
        <v>46105.58692129629</v>
      </c>
      <c r="N637" s="177" t="s">
        <v>22</v>
      </c>
      <c r="O637" s="164"/>
      <c r="P637" s="177" t="s">
        <v>7254</v>
      </c>
      <c r="Q637" s="177" t="s">
        <v>2884</v>
      </c>
      <c r="R637" s="164"/>
      <c r="S637" s="163">
        <f>IFERROR(__xludf.DUMMYFUNCTION("""COMPUTED_VALUE"""),0.0)</f>
        <v>0</v>
      </c>
      <c r="T637" s="164"/>
      <c r="U637" s="164"/>
      <c r="V637" s="164"/>
      <c r="W637" s="164"/>
      <c r="X637" s="164"/>
    </row>
    <row r="638">
      <c r="A638" s="175">
        <v>46105.0</v>
      </c>
      <c r="B638" s="176" t="s">
        <v>2883</v>
      </c>
      <c r="C638" s="177" t="s">
        <v>6716</v>
      </c>
      <c r="D638" s="177" t="s">
        <v>7025</v>
      </c>
      <c r="E638" s="164"/>
      <c r="F638" s="177" t="s">
        <v>6916</v>
      </c>
      <c r="G638" s="179" t="s">
        <v>6721</v>
      </c>
      <c r="H638" s="180" t="s">
        <v>2895</v>
      </c>
      <c r="I638" s="163">
        <f>IFERROR(__xludf.DUMMYFUNCTION("""COMPUTED_VALUE"""),7.333333333333333)</f>
        <v>7.333333333</v>
      </c>
      <c r="J638" s="177" t="s">
        <v>6750</v>
      </c>
      <c r="K638" s="177" t="s">
        <v>4642</v>
      </c>
      <c r="L638" s="164"/>
      <c r="M638" s="187">
        <v>46105.58828703704</v>
      </c>
      <c r="N638" s="177" t="s">
        <v>22</v>
      </c>
      <c r="O638" s="164"/>
      <c r="P638" s="177" t="s">
        <v>2897</v>
      </c>
      <c r="Q638" s="177" t="s">
        <v>2884</v>
      </c>
      <c r="R638" s="164"/>
      <c r="S638" s="163">
        <f>IFERROR(__xludf.DUMMYFUNCTION("""COMPUTED_VALUE"""),0.0)</f>
        <v>0</v>
      </c>
      <c r="T638" s="164"/>
      <c r="U638" s="164"/>
      <c r="V638" s="164"/>
      <c r="W638" s="164"/>
      <c r="X638" s="164"/>
    </row>
    <row r="639">
      <c r="A639" s="175">
        <v>46105.0</v>
      </c>
      <c r="B639" s="176" t="s">
        <v>3490</v>
      </c>
      <c r="C639" s="177" t="s">
        <v>1049</v>
      </c>
      <c r="D639" s="177" t="s">
        <v>7255</v>
      </c>
      <c r="E639" s="177" t="s">
        <v>6729</v>
      </c>
      <c r="F639" s="177" t="s">
        <v>7256</v>
      </c>
      <c r="G639" s="186"/>
      <c r="H639" s="180" t="s">
        <v>3490</v>
      </c>
      <c r="I639" s="163">
        <f>IFERROR(__xludf.DUMMYFUNCTION("""COMPUTED_VALUE"""),4.19)</f>
        <v>4.19</v>
      </c>
      <c r="J639" s="177" t="s">
        <v>7184</v>
      </c>
      <c r="K639" s="177" t="s">
        <v>7257</v>
      </c>
      <c r="L639" s="164"/>
      <c r="M639" s="187">
        <v>46105.7947337963</v>
      </c>
      <c r="N639" s="177" t="s">
        <v>22</v>
      </c>
      <c r="O639" s="164"/>
      <c r="P639" s="177" t="s">
        <v>3492</v>
      </c>
      <c r="Q639" s="177" t="s">
        <v>1704</v>
      </c>
      <c r="R639" s="164"/>
      <c r="S639" s="163">
        <f>IFERROR(__xludf.DUMMYFUNCTION("""COMPUTED_VALUE"""),15.0)</f>
        <v>15</v>
      </c>
      <c r="T639" s="164"/>
      <c r="U639" s="164"/>
      <c r="V639" s="164"/>
      <c r="W639" s="164"/>
      <c r="X639" s="164"/>
    </row>
    <row r="640">
      <c r="A640" s="175">
        <v>46105.0</v>
      </c>
      <c r="B640" s="176" t="s">
        <v>2902</v>
      </c>
      <c r="C640" s="177" t="s">
        <v>1049</v>
      </c>
      <c r="D640" s="177" t="s">
        <v>7255</v>
      </c>
      <c r="E640" s="177" t="s">
        <v>38</v>
      </c>
      <c r="F640" s="177" t="s">
        <v>7256</v>
      </c>
      <c r="G640" s="186"/>
      <c r="H640" s="180" t="s">
        <v>2902</v>
      </c>
      <c r="I640" s="163">
        <f>IFERROR(__xludf.DUMMYFUNCTION("""COMPUTED_VALUE"""),5.4)</f>
        <v>5.4</v>
      </c>
      <c r="J640" s="177" t="s">
        <v>7184</v>
      </c>
      <c r="K640" s="177" t="s">
        <v>7258</v>
      </c>
      <c r="L640" s="164"/>
      <c r="M640" s="187">
        <v>46105.796423611115</v>
      </c>
      <c r="N640" s="177" t="s">
        <v>22</v>
      </c>
      <c r="O640" s="164"/>
      <c r="P640" s="177" t="s">
        <v>2904</v>
      </c>
      <c r="Q640" s="177" t="s">
        <v>2417</v>
      </c>
      <c r="R640" s="164"/>
      <c r="S640" s="163">
        <f>IFERROR(__xludf.DUMMYFUNCTION("""COMPUTED_VALUE"""),14.99)</f>
        <v>14.99</v>
      </c>
      <c r="T640" s="164"/>
      <c r="U640" s="164"/>
      <c r="V640" s="164"/>
      <c r="W640" s="164"/>
      <c r="X640" s="164"/>
    </row>
    <row r="641">
      <c r="A641" s="175">
        <v>46105.0</v>
      </c>
      <c r="B641" s="176" t="s">
        <v>2880</v>
      </c>
      <c r="C641" s="177" t="s">
        <v>1049</v>
      </c>
      <c r="D641" s="177" t="s">
        <v>7255</v>
      </c>
      <c r="E641" s="164"/>
      <c r="F641" s="177" t="s">
        <v>7256</v>
      </c>
      <c r="G641" s="186"/>
      <c r="H641" s="180" t="s">
        <v>2880</v>
      </c>
      <c r="I641" s="163">
        <f>IFERROR(__xludf.DUMMYFUNCTION("""COMPUTED_VALUE"""),10.99)</f>
        <v>10.99</v>
      </c>
      <c r="J641" s="177" t="s">
        <v>7184</v>
      </c>
      <c r="K641" s="177" t="s">
        <v>7259</v>
      </c>
      <c r="L641" s="164"/>
      <c r="M641" s="187">
        <v>46105.797430555554</v>
      </c>
      <c r="N641" s="177" t="s">
        <v>22</v>
      </c>
      <c r="O641" s="164"/>
      <c r="P641" s="177" t="s">
        <v>2882</v>
      </c>
      <c r="Q641" s="177" t="s">
        <v>1524</v>
      </c>
      <c r="R641" s="164"/>
      <c r="S641" s="163"/>
      <c r="T641" s="164"/>
      <c r="U641" s="164"/>
      <c r="V641" s="164"/>
      <c r="W641" s="164"/>
      <c r="X641" s="164"/>
    </row>
    <row r="642">
      <c r="A642" s="175">
        <v>46100.0</v>
      </c>
      <c r="B642" s="176" t="s">
        <v>2845</v>
      </c>
      <c r="C642" s="177" t="s">
        <v>1049</v>
      </c>
      <c r="D642" s="177" t="s">
        <v>7195</v>
      </c>
      <c r="E642" s="177" t="s">
        <v>38</v>
      </c>
      <c r="F642" s="177" t="s">
        <v>6738</v>
      </c>
      <c r="G642" s="186"/>
      <c r="H642" s="180" t="s">
        <v>2845</v>
      </c>
      <c r="I642" s="163">
        <f>IFERROR(__xludf.DUMMYFUNCTION("""COMPUTED_VALUE"""),10.0)</f>
        <v>10</v>
      </c>
      <c r="J642" s="177" t="s">
        <v>7176</v>
      </c>
      <c r="K642" s="177" t="s">
        <v>7260</v>
      </c>
      <c r="L642" s="164"/>
      <c r="M642" s="187">
        <v>46105.88284722222</v>
      </c>
      <c r="N642" s="177" t="s">
        <v>22</v>
      </c>
      <c r="O642" s="164"/>
      <c r="P642" s="177" t="s">
        <v>2847</v>
      </c>
      <c r="Q642" s="177" t="s">
        <v>2474</v>
      </c>
      <c r="R642" s="164"/>
      <c r="S642" s="163">
        <f>IFERROR(__xludf.DUMMYFUNCTION("""COMPUTED_VALUE"""),19.99)</f>
        <v>19.99</v>
      </c>
      <c r="T642" s="164"/>
      <c r="U642" s="164"/>
      <c r="V642" s="164"/>
      <c r="W642" s="164"/>
      <c r="X642" s="164"/>
    </row>
    <row r="643">
      <c r="A643" s="175">
        <v>46107.0</v>
      </c>
      <c r="B643" s="176" t="s">
        <v>2916</v>
      </c>
      <c r="C643" s="177" t="s">
        <v>1049</v>
      </c>
      <c r="D643" s="177" t="s">
        <v>7246</v>
      </c>
      <c r="E643" s="177" t="s">
        <v>1119</v>
      </c>
      <c r="F643" s="177" t="s">
        <v>850</v>
      </c>
      <c r="G643" s="186"/>
      <c r="H643" s="180" t="s">
        <v>2916</v>
      </c>
      <c r="I643" s="163">
        <f>IFERROR(__xludf.DUMMYFUNCTION("""COMPUTED_VALUE"""),8.495)</f>
        <v>8.495</v>
      </c>
      <c r="J643" s="177" t="s">
        <v>6750</v>
      </c>
      <c r="K643" s="177" t="s">
        <v>7261</v>
      </c>
      <c r="L643" s="177" t="s">
        <v>7095</v>
      </c>
      <c r="M643" s="187">
        <v>46107.4846875</v>
      </c>
      <c r="N643" s="177" t="s">
        <v>22</v>
      </c>
      <c r="O643" s="164"/>
      <c r="P643" s="164"/>
      <c r="Q643" s="177" t="s">
        <v>1530</v>
      </c>
      <c r="R643" s="164"/>
      <c r="S643" s="163">
        <f>IFERROR(__xludf.DUMMYFUNCTION("""COMPUTED_VALUE"""),0.0)</f>
        <v>0</v>
      </c>
      <c r="T643" s="164"/>
      <c r="U643" s="164"/>
      <c r="V643" s="164"/>
      <c r="W643" s="164"/>
      <c r="X643" s="164"/>
    </row>
    <row r="644">
      <c r="A644" s="175">
        <v>46100.0</v>
      </c>
      <c r="B644" s="176" t="s">
        <v>2866</v>
      </c>
      <c r="C644" s="177" t="s">
        <v>1049</v>
      </c>
      <c r="D644" s="177" t="s">
        <v>7006</v>
      </c>
      <c r="E644" s="177" t="s">
        <v>38</v>
      </c>
      <c r="F644" s="177" t="s">
        <v>6962</v>
      </c>
      <c r="G644" s="186"/>
      <c r="H644" s="180" t="s">
        <v>2866</v>
      </c>
      <c r="I644" s="163">
        <f>IFERROR(__xludf.DUMMYFUNCTION("""COMPUTED_VALUE"""),5.4)</f>
        <v>5.4</v>
      </c>
      <c r="J644" s="177" t="s">
        <v>7176</v>
      </c>
      <c r="K644" s="177" t="s">
        <v>7262</v>
      </c>
      <c r="L644" s="164"/>
      <c r="M644" s="187">
        <v>46107.84138888889</v>
      </c>
      <c r="N644" s="177" t="s">
        <v>22</v>
      </c>
      <c r="O644" s="164"/>
      <c r="P644" s="164"/>
      <c r="Q644" s="177" t="s">
        <v>2417</v>
      </c>
      <c r="R644" s="164"/>
      <c r="S644" s="163">
        <f>IFERROR(__xludf.DUMMYFUNCTION("""COMPUTED_VALUE"""),14.99)</f>
        <v>14.99</v>
      </c>
      <c r="T644" s="164"/>
      <c r="U644" s="164"/>
      <c r="V644" s="164"/>
      <c r="W644" s="164"/>
      <c r="X644" s="164"/>
    </row>
    <row r="645">
      <c r="A645" s="175">
        <v>46108.0</v>
      </c>
      <c r="B645" s="176" t="s">
        <v>2924</v>
      </c>
      <c r="C645" s="177" t="s">
        <v>1049</v>
      </c>
      <c r="D645" s="177" t="s">
        <v>7195</v>
      </c>
      <c r="E645" s="177" t="s">
        <v>38</v>
      </c>
      <c r="F645" s="177" t="s">
        <v>6962</v>
      </c>
      <c r="G645" s="186"/>
      <c r="H645" s="180" t="s">
        <v>2924</v>
      </c>
      <c r="I645" s="163">
        <f>IFERROR(__xludf.DUMMYFUNCTION("""COMPUTED_VALUE"""),21.99)</f>
        <v>21.99</v>
      </c>
      <c r="J645" s="177" t="s">
        <v>7176</v>
      </c>
      <c r="K645" s="177" t="s">
        <v>7263</v>
      </c>
      <c r="L645" s="164"/>
      <c r="M645" s="187">
        <v>46108.434270833335</v>
      </c>
      <c r="N645" s="177" t="s">
        <v>22</v>
      </c>
      <c r="O645" s="164"/>
      <c r="P645" s="177" t="s">
        <v>2926</v>
      </c>
      <c r="Q645" s="177" t="s">
        <v>1458</v>
      </c>
      <c r="R645" s="164"/>
      <c r="S645" s="163">
        <f>IFERROR(__xludf.DUMMYFUNCTION("""COMPUTED_VALUE"""),39.99)</f>
        <v>39.99</v>
      </c>
      <c r="T645" s="164"/>
      <c r="U645" s="164"/>
      <c r="V645" s="164"/>
      <c r="W645" s="164"/>
      <c r="X645" s="164"/>
    </row>
    <row r="646">
      <c r="A646" s="175">
        <v>46108.0</v>
      </c>
      <c r="B646" s="176" t="s">
        <v>2920</v>
      </c>
      <c r="C646" s="177" t="s">
        <v>1049</v>
      </c>
      <c r="D646" s="177" t="s">
        <v>6948</v>
      </c>
      <c r="E646" s="177" t="s">
        <v>7123</v>
      </c>
      <c r="F646" s="177" t="s">
        <v>6962</v>
      </c>
      <c r="G646" s="186"/>
      <c r="H646" s="180" t="s">
        <v>2920</v>
      </c>
      <c r="I646" s="163">
        <f>IFERROR(__xludf.DUMMYFUNCTION("""COMPUTED_VALUE"""),40.0)</f>
        <v>40</v>
      </c>
      <c r="J646" s="177" t="s">
        <v>7176</v>
      </c>
      <c r="K646" s="177" t="s">
        <v>7264</v>
      </c>
      <c r="L646" s="177" t="s">
        <v>7265</v>
      </c>
      <c r="M646" s="187">
        <v>46109.71946759259</v>
      </c>
      <c r="N646" s="177" t="s">
        <v>22</v>
      </c>
      <c r="O646" s="164"/>
      <c r="P646" s="177" t="s">
        <v>2923</v>
      </c>
      <c r="Q646" s="177" t="s">
        <v>2921</v>
      </c>
      <c r="R646" s="164"/>
      <c r="S646" s="163"/>
      <c r="T646" s="164"/>
      <c r="U646" s="164"/>
      <c r="V646" s="164"/>
      <c r="W646" s="164"/>
      <c r="X646" s="164"/>
    </row>
    <row r="647">
      <c r="A647" s="175">
        <v>46108.0</v>
      </c>
      <c r="B647" s="176" t="s">
        <v>2930</v>
      </c>
      <c r="C647" s="177" t="s">
        <v>1049</v>
      </c>
      <c r="D647" s="177" t="s">
        <v>6948</v>
      </c>
      <c r="E647" s="177" t="s">
        <v>6797</v>
      </c>
      <c r="F647" s="177" t="s">
        <v>6797</v>
      </c>
      <c r="G647" s="186"/>
      <c r="H647" s="180" t="s">
        <v>2930</v>
      </c>
      <c r="I647" s="163">
        <f>IFERROR(__xludf.DUMMYFUNCTION("""COMPUTED_VALUE"""),1.0999999999999999)</f>
        <v>1.1</v>
      </c>
      <c r="J647" s="177" t="s">
        <v>6705</v>
      </c>
      <c r="K647" s="177" t="s">
        <v>7266</v>
      </c>
      <c r="L647" s="177" t="s">
        <v>7265</v>
      </c>
      <c r="M647" s="187">
        <v>46109.720659722225</v>
      </c>
      <c r="N647" s="177" t="s">
        <v>22</v>
      </c>
      <c r="O647" s="164"/>
      <c r="P647" s="177" t="s">
        <v>2932</v>
      </c>
      <c r="Q647" s="177" t="s">
        <v>2581</v>
      </c>
      <c r="R647" s="164"/>
      <c r="S647" s="163">
        <f>IFERROR(__xludf.DUMMYFUNCTION("""COMPUTED_VALUE"""),2.4983333333333335)</f>
        <v>2.498333333</v>
      </c>
      <c r="T647" s="164"/>
      <c r="U647" s="164"/>
      <c r="V647" s="164"/>
      <c r="W647" s="164"/>
      <c r="X647" s="164"/>
    </row>
    <row r="648">
      <c r="A648" s="175">
        <v>46108.0</v>
      </c>
      <c r="B648" s="176" t="s">
        <v>2927</v>
      </c>
      <c r="C648" s="177" t="s">
        <v>1049</v>
      </c>
      <c r="D648" s="177" t="s">
        <v>6948</v>
      </c>
      <c r="E648" s="177" t="s">
        <v>6797</v>
      </c>
      <c r="F648" s="177" t="s">
        <v>6797</v>
      </c>
      <c r="G648" s="186"/>
      <c r="H648" s="180" t="s">
        <v>2927</v>
      </c>
      <c r="I648" s="163">
        <f>IFERROR(__xludf.DUMMYFUNCTION("""COMPUTED_VALUE"""),1.0999999999999999)</f>
        <v>1.1</v>
      </c>
      <c r="J648" s="177" t="s">
        <v>6705</v>
      </c>
      <c r="K648" s="177" t="s">
        <v>7267</v>
      </c>
      <c r="L648" s="177" t="s">
        <v>7265</v>
      </c>
      <c r="M648" s="187">
        <v>46109.721875</v>
      </c>
      <c r="N648" s="177" t="s">
        <v>22</v>
      </c>
      <c r="O648" s="164"/>
      <c r="P648" s="177" t="s">
        <v>2929</v>
      </c>
      <c r="Q648" s="177" t="s">
        <v>2581</v>
      </c>
      <c r="R648" s="164"/>
      <c r="S648" s="163">
        <f>IFERROR(__xludf.DUMMYFUNCTION("""COMPUTED_VALUE"""),2.4983333333333335)</f>
        <v>2.498333333</v>
      </c>
      <c r="T648" s="164"/>
      <c r="U648" s="164"/>
      <c r="V648" s="164"/>
      <c r="W648" s="164"/>
      <c r="X648" s="164"/>
    </row>
    <row r="649">
      <c r="A649" s="175">
        <v>46109.0</v>
      </c>
      <c r="B649" s="176" t="s">
        <v>2936</v>
      </c>
      <c r="C649" s="177" t="s">
        <v>1049</v>
      </c>
      <c r="D649" s="177" t="s">
        <v>1051</v>
      </c>
      <c r="E649" s="177" t="s">
        <v>1112</v>
      </c>
      <c r="F649" s="177" t="s">
        <v>6889</v>
      </c>
      <c r="G649" s="186"/>
      <c r="H649" s="180" t="s">
        <v>2936</v>
      </c>
      <c r="I649" s="163">
        <f>IFERROR(__xludf.DUMMYFUNCTION("""COMPUTED_VALUE"""),3.3316666666666666)</f>
        <v>3.331666667</v>
      </c>
      <c r="J649" s="177" t="s">
        <v>6705</v>
      </c>
      <c r="K649" s="177" t="s">
        <v>7268</v>
      </c>
      <c r="L649" s="164"/>
      <c r="M649" s="187">
        <v>46109.730775462966</v>
      </c>
      <c r="N649" s="177" t="s">
        <v>22</v>
      </c>
      <c r="O649" s="164"/>
      <c r="P649" s="177" t="s">
        <v>2938</v>
      </c>
      <c r="Q649" s="177" t="s">
        <v>1545</v>
      </c>
      <c r="R649" s="164"/>
      <c r="S649" s="163">
        <f>IFERROR(__xludf.DUMMYFUNCTION("""COMPUTED_VALUE"""),2.8316666666666666)</f>
        <v>2.831666667</v>
      </c>
      <c r="T649" s="164"/>
      <c r="U649" s="164"/>
      <c r="V649" s="164"/>
      <c r="W649" s="164"/>
      <c r="X649" s="164"/>
    </row>
    <row r="650">
      <c r="A650" s="175">
        <v>46109.0</v>
      </c>
      <c r="B650" s="176" t="s">
        <v>2939</v>
      </c>
      <c r="C650" s="177" t="s">
        <v>1049</v>
      </c>
      <c r="D650" s="177" t="s">
        <v>1051</v>
      </c>
      <c r="E650" s="177" t="s">
        <v>6730</v>
      </c>
      <c r="F650" s="177" t="s">
        <v>6924</v>
      </c>
      <c r="G650" s="186"/>
      <c r="H650" s="180" t="s">
        <v>2939</v>
      </c>
      <c r="I650" s="163">
        <f>IFERROR(__xludf.DUMMYFUNCTION("""COMPUTED_VALUE"""),3.3316666666666666)</f>
        <v>3.331666667</v>
      </c>
      <c r="J650" s="177" t="s">
        <v>6705</v>
      </c>
      <c r="K650" s="177" t="s">
        <v>7269</v>
      </c>
      <c r="L650" s="164"/>
      <c r="M650" s="187">
        <v>46109.74900462963</v>
      </c>
      <c r="N650" s="177" t="s">
        <v>22</v>
      </c>
      <c r="O650" s="164"/>
      <c r="P650" s="177" t="s">
        <v>2941</v>
      </c>
      <c r="Q650" s="177" t="s">
        <v>1545</v>
      </c>
      <c r="R650" s="164"/>
      <c r="S650" s="163">
        <f>IFERROR(__xludf.DUMMYFUNCTION("""COMPUTED_VALUE"""),2.8316666666666666)</f>
        <v>2.831666667</v>
      </c>
      <c r="T650" s="164"/>
      <c r="U650" s="164"/>
      <c r="V650" s="164"/>
      <c r="W650" s="164"/>
      <c r="X650" s="164"/>
    </row>
    <row r="651">
      <c r="A651" s="175">
        <v>46109.0</v>
      </c>
      <c r="B651" s="176" t="s">
        <v>2933</v>
      </c>
      <c r="C651" s="177" t="s">
        <v>1049</v>
      </c>
      <c r="D651" s="177" t="s">
        <v>6948</v>
      </c>
      <c r="E651" s="177" t="s">
        <v>6781</v>
      </c>
      <c r="F651" s="177" t="s">
        <v>6878</v>
      </c>
      <c r="G651" s="186"/>
      <c r="H651" s="180" t="s">
        <v>2933</v>
      </c>
      <c r="I651" s="163">
        <f>IFERROR(__xludf.DUMMYFUNCTION("""COMPUTED_VALUE"""),4.19)</f>
        <v>4.19</v>
      </c>
      <c r="J651" s="177" t="s">
        <v>7171</v>
      </c>
      <c r="K651" s="177" t="s">
        <v>7270</v>
      </c>
      <c r="L651" s="164"/>
      <c r="M651" s="187">
        <v>46109.76164351852</v>
      </c>
      <c r="N651" s="177" t="s">
        <v>22</v>
      </c>
      <c r="O651" s="164"/>
      <c r="P651" s="177" t="s">
        <v>2935</v>
      </c>
      <c r="Q651" s="177" t="s">
        <v>2054</v>
      </c>
      <c r="R651" s="164"/>
      <c r="S651" s="163">
        <f>IFERROR(__xludf.DUMMYFUNCTION("""COMPUTED_VALUE"""),15.0)</f>
        <v>15</v>
      </c>
      <c r="T651" s="164"/>
      <c r="U651" s="164"/>
      <c r="V651" s="164"/>
      <c r="W651" s="164"/>
      <c r="X651" s="164"/>
    </row>
    <row r="652">
      <c r="A652" s="175">
        <v>46109.0</v>
      </c>
      <c r="B652" s="176" t="s">
        <v>2942</v>
      </c>
      <c r="C652" s="177" t="s">
        <v>1049</v>
      </c>
      <c r="D652" s="177" t="s">
        <v>7246</v>
      </c>
      <c r="E652" s="177" t="s">
        <v>38</v>
      </c>
      <c r="F652" s="177" t="s">
        <v>850</v>
      </c>
      <c r="G652" s="186"/>
      <c r="H652" s="180" t="s">
        <v>2942</v>
      </c>
      <c r="I652" s="163">
        <f>IFERROR(__xludf.DUMMYFUNCTION("""COMPUTED_VALUE"""),7.5)</f>
        <v>7.5</v>
      </c>
      <c r="J652" s="177" t="s">
        <v>6750</v>
      </c>
      <c r="K652" s="177" t="s">
        <v>7271</v>
      </c>
      <c r="L652" s="164"/>
      <c r="M652" s="187">
        <v>46109.76244212963</v>
      </c>
      <c r="N652" s="177" t="s">
        <v>22</v>
      </c>
      <c r="O652" s="164"/>
      <c r="P652" s="177" t="s">
        <v>2944</v>
      </c>
      <c r="Q652" s="177" t="s">
        <v>2431</v>
      </c>
      <c r="R652" s="164"/>
      <c r="S652" s="163">
        <f>IFERROR(__xludf.DUMMYFUNCTION("""COMPUTED_VALUE"""),19.99)</f>
        <v>19.99</v>
      </c>
      <c r="T652" s="164"/>
      <c r="U652" s="164"/>
      <c r="V652" s="164"/>
      <c r="W652" s="164"/>
      <c r="X652" s="164"/>
    </row>
    <row r="653">
      <c r="A653" s="175">
        <v>46110.0</v>
      </c>
      <c r="B653" s="176" t="s">
        <v>2957</v>
      </c>
      <c r="C653" s="177" t="s">
        <v>6992</v>
      </c>
      <c r="D653" s="177" t="s">
        <v>7195</v>
      </c>
      <c r="E653" s="177" t="s">
        <v>6731</v>
      </c>
      <c r="F653" s="177" t="s">
        <v>7000</v>
      </c>
      <c r="G653" s="186"/>
      <c r="H653" s="180" t="s">
        <v>2957</v>
      </c>
      <c r="I653" s="163">
        <f>IFERROR(__xludf.DUMMYFUNCTION("""COMPUTED_VALUE"""),0.0)</f>
        <v>0</v>
      </c>
      <c r="J653" s="177" t="s">
        <v>6705</v>
      </c>
      <c r="K653" s="177" t="s">
        <v>7272</v>
      </c>
      <c r="L653" s="164"/>
      <c r="M653" s="187">
        <v>46110.437418981484</v>
      </c>
      <c r="N653" s="177" t="s">
        <v>22</v>
      </c>
      <c r="O653" s="164"/>
      <c r="P653" s="177" t="s">
        <v>2959</v>
      </c>
      <c r="Q653" s="177" t="s">
        <v>1588</v>
      </c>
      <c r="R653" s="164"/>
      <c r="S653" s="163">
        <f>IFERROR(__xludf.DUMMYFUNCTION("""COMPUTED_VALUE"""),0.0)</f>
        <v>0</v>
      </c>
      <c r="T653" s="164"/>
      <c r="U653" s="164"/>
      <c r="V653" s="164"/>
      <c r="W653" s="164"/>
      <c r="X653" s="164"/>
    </row>
    <row r="654">
      <c r="A654" s="175">
        <v>46110.0</v>
      </c>
      <c r="B654" s="176" t="s">
        <v>1601</v>
      </c>
      <c r="C654" s="177" t="s">
        <v>6994</v>
      </c>
      <c r="D654" s="177" t="s">
        <v>7195</v>
      </c>
      <c r="E654" s="177" t="s">
        <v>6717</v>
      </c>
      <c r="F654" s="177"/>
      <c r="G654" s="186"/>
      <c r="H654" s="180"/>
      <c r="I654" s="163" t="str">
        <f>IFERROR(__xludf.DUMMYFUNCTION("""COMPUTED_VALUE"""),"")</f>
        <v/>
      </c>
      <c r="J654" s="177" t="s">
        <v>6705</v>
      </c>
      <c r="K654" s="177" t="s">
        <v>7273</v>
      </c>
      <c r="L654" s="164"/>
      <c r="M654" s="187">
        <v>46110.438101851854</v>
      </c>
      <c r="N654" s="177" t="s">
        <v>22</v>
      </c>
      <c r="O654" s="164"/>
      <c r="P654" s="177" t="s">
        <v>7274</v>
      </c>
      <c r="Q654" s="177" t="s">
        <v>1588</v>
      </c>
      <c r="R654" s="164"/>
      <c r="S654" s="163" t="str">
        <f>IFERROR(__xludf.DUMMYFUNCTION("""COMPUTED_VALUE"""),"")</f>
        <v/>
      </c>
      <c r="T654" s="164"/>
      <c r="U654" s="164"/>
      <c r="V654" s="164"/>
      <c r="W654" s="164"/>
      <c r="X654" s="164"/>
    </row>
    <row r="655">
      <c r="A655" s="175">
        <v>46110.0</v>
      </c>
      <c r="B655" s="176" t="s">
        <v>2951</v>
      </c>
      <c r="C655" s="177" t="s">
        <v>6992</v>
      </c>
      <c r="D655" s="177" t="s">
        <v>1051</v>
      </c>
      <c r="E655" s="177" t="s">
        <v>38</v>
      </c>
      <c r="F655" s="177" t="s">
        <v>6763</v>
      </c>
      <c r="G655" s="186"/>
      <c r="H655" s="180" t="s">
        <v>2951</v>
      </c>
      <c r="I655" s="163">
        <f>IFERROR(__xludf.DUMMYFUNCTION("""COMPUTED_VALUE"""),40.0)</f>
        <v>40</v>
      </c>
      <c r="J655" s="177" t="s">
        <v>7171</v>
      </c>
      <c r="K655" s="177" t="s">
        <v>7275</v>
      </c>
      <c r="L655" s="164"/>
      <c r="M655" s="187">
        <v>46110.47503472222</v>
      </c>
      <c r="N655" s="177" t="s">
        <v>22</v>
      </c>
      <c r="O655" s="164"/>
      <c r="P655" s="177" t="s">
        <v>2953</v>
      </c>
      <c r="Q655" s="177" t="s">
        <v>1545</v>
      </c>
      <c r="R655" s="164"/>
      <c r="S655" s="163">
        <f>IFERROR(__xludf.DUMMYFUNCTION("""COMPUTED_VALUE"""),80.0)</f>
        <v>80</v>
      </c>
      <c r="T655" s="164"/>
      <c r="U655" s="164"/>
      <c r="V655" s="164"/>
      <c r="W655" s="164"/>
      <c r="X655" s="164"/>
    </row>
    <row r="656">
      <c r="A656" s="175">
        <v>46110.0</v>
      </c>
      <c r="B656" s="176" t="s">
        <v>2386</v>
      </c>
      <c r="C656" s="177" t="s">
        <v>6994</v>
      </c>
      <c r="D656" s="177" t="s">
        <v>1051</v>
      </c>
      <c r="E656" s="177" t="s">
        <v>38</v>
      </c>
      <c r="F656" s="177"/>
      <c r="G656" s="186"/>
      <c r="H656" s="180"/>
      <c r="I656" s="163" t="str">
        <f>IFERROR(__xludf.DUMMYFUNCTION("""COMPUTED_VALUE"""),"")</f>
        <v/>
      </c>
      <c r="J656" s="177" t="s">
        <v>7171</v>
      </c>
      <c r="K656" s="177" t="s">
        <v>7276</v>
      </c>
      <c r="L656" s="164"/>
      <c r="M656" s="187">
        <v>46110.476331018515</v>
      </c>
      <c r="N656" s="177" t="s">
        <v>22</v>
      </c>
      <c r="O656" s="164"/>
      <c r="P656" s="177" t="s">
        <v>7277</v>
      </c>
      <c r="Q656" s="177" t="s">
        <v>1545</v>
      </c>
      <c r="R656" s="164"/>
      <c r="S656" s="163" t="str">
        <f>IFERROR(__xludf.DUMMYFUNCTION("""COMPUTED_VALUE"""),"")</f>
        <v/>
      </c>
      <c r="T656" s="164"/>
      <c r="U656" s="164"/>
      <c r="V656" s="164"/>
      <c r="W656" s="164"/>
      <c r="X656" s="164"/>
    </row>
    <row r="657">
      <c r="A657" s="175">
        <v>46110.0</v>
      </c>
      <c r="B657" s="176" t="s">
        <v>2388</v>
      </c>
      <c r="C657" s="177" t="s">
        <v>6994</v>
      </c>
      <c r="D657" s="177" t="s">
        <v>1051</v>
      </c>
      <c r="E657" s="177" t="s">
        <v>38</v>
      </c>
      <c r="F657" s="177"/>
      <c r="G657" s="186"/>
      <c r="H657" s="180"/>
      <c r="I657" s="163" t="str">
        <f>IFERROR(__xludf.DUMMYFUNCTION("""COMPUTED_VALUE"""),"")</f>
        <v/>
      </c>
      <c r="J657" s="177" t="s">
        <v>7171</v>
      </c>
      <c r="K657" s="177" t="s">
        <v>7278</v>
      </c>
      <c r="L657" s="164"/>
      <c r="M657" s="187">
        <v>46110.47834490741</v>
      </c>
      <c r="N657" s="177" t="s">
        <v>22</v>
      </c>
      <c r="O657" s="164"/>
      <c r="P657" s="177" t="s">
        <v>7279</v>
      </c>
      <c r="Q657" s="177" t="s">
        <v>1545</v>
      </c>
      <c r="R657" s="164"/>
      <c r="S657" s="163" t="str">
        <f>IFERROR(__xludf.DUMMYFUNCTION("""COMPUTED_VALUE"""),"")</f>
        <v/>
      </c>
      <c r="T657" s="164"/>
      <c r="U657" s="164"/>
      <c r="V657" s="164"/>
      <c r="W657" s="164"/>
      <c r="X657" s="164"/>
    </row>
    <row r="658">
      <c r="A658" s="175">
        <v>46110.0</v>
      </c>
      <c r="B658" s="176" t="s">
        <v>2390</v>
      </c>
      <c r="C658" s="177" t="s">
        <v>6994</v>
      </c>
      <c r="D658" s="177" t="s">
        <v>1051</v>
      </c>
      <c r="E658" s="177" t="s">
        <v>38</v>
      </c>
      <c r="F658" s="177"/>
      <c r="G658" s="186"/>
      <c r="H658" s="180"/>
      <c r="I658" s="163" t="str">
        <f>IFERROR(__xludf.DUMMYFUNCTION("""COMPUTED_VALUE"""),"")</f>
        <v/>
      </c>
      <c r="J658" s="177" t="s">
        <v>7171</v>
      </c>
      <c r="K658" s="177" t="s">
        <v>7280</v>
      </c>
      <c r="L658" s="164"/>
      <c r="M658" s="187">
        <v>46110.47927083333</v>
      </c>
      <c r="N658" s="177" t="s">
        <v>22</v>
      </c>
      <c r="O658" s="164"/>
      <c r="P658" s="177" t="s">
        <v>7281</v>
      </c>
      <c r="Q658" s="177" t="s">
        <v>1545</v>
      </c>
      <c r="R658" s="164"/>
      <c r="S658" s="163" t="str">
        <f>IFERROR(__xludf.DUMMYFUNCTION("""COMPUTED_VALUE"""),"")</f>
        <v/>
      </c>
      <c r="T658" s="164"/>
      <c r="U658" s="164"/>
      <c r="V658" s="164"/>
      <c r="W658" s="164"/>
      <c r="X658" s="164"/>
    </row>
    <row r="659">
      <c r="A659" s="175">
        <v>46110.0</v>
      </c>
      <c r="B659" s="176" t="s">
        <v>3426</v>
      </c>
      <c r="C659" s="177" t="s">
        <v>1049</v>
      </c>
      <c r="D659" s="177" t="s">
        <v>1051</v>
      </c>
      <c r="E659" s="177" t="s">
        <v>6832</v>
      </c>
      <c r="F659" s="177" t="s">
        <v>6962</v>
      </c>
      <c r="G659" s="186"/>
      <c r="H659" s="180" t="s">
        <v>3426</v>
      </c>
      <c r="I659" s="163">
        <f>IFERROR(__xludf.DUMMYFUNCTION("""COMPUTED_VALUE"""),8.0)</f>
        <v>8</v>
      </c>
      <c r="J659" s="177" t="s">
        <v>7176</v>
      </c>
      <c r="K659" s="177" t="s">
        <v>7282</v>
      </c>
      <c r="L659" s="164"/>
      <c r="M659" s="187">
        <v>46110.57103009259</v>
      </c>
      <c r="N659" s="177" t="s">
        <v>22</v>
      </c>
      <c r="O659" s="164"/>
      <c r="P659" s="177" t="s">
        <v>7283</v>
      </c>
      <c r="Q659" s="177" t="s">
        <v>2382</v>
      </c>
      <c r="R659" s="164"/>
      <c r="S659" s="163">
        <f>IFERROR(__xludf.DUMMYFUNCTION("""COMPUTED_VALUE"""),0.0)</f>
        <v>0</v>
      </c>
      <c r="T659" s="164"/>
      <c r="U659" s="164"/>
      <c r="V659" s="164"/>
      <c r="W659" s="164"/>
      <c r="X659" s="164"/>
    </row>
    <row r="660">
      <c r="A660" s="175">
        <v>46110.0</v>
      </c>
      <c r="B660" s="176" t="s">
        <v>2948</v>
      </c>
      <c r="C660" s="177" t="s">
        <v>1049</v>
      </c>
      <c r="D660" s="177" t="s">
        <v>1051</v>
      </c>
      <c r="E660" s="177" t="s">
        <v>662</v>
      </c>
      <c r="F660" s="177" t="s">
        <v>6889</v>
      </c>
      <c r="G660" s="186"/>
      <c r="H660" s="180" t="s">
        <v>2948</v>
      </c>
      <c r="I660" s="163">
        <f>IFERROR(__xludf.DUMMYFUNCTION("""COMPUTED_VALUE"""),5.59)</f>
        <v>5.59</v>
      </c>
      <c r="J660" s="177" t="s">
        <v>6705</v>
      </c>
      <c r="K660" s="177" t="s">
        <v>7284</v>
      </c>
      <c r="L660" s="164"/>
      <c r="M660" s="187">
        <v>46110.59006944444</v>
      </c>
      <c r="N660" s="177" t="s">
        <v>22</v>
      </c>
      <c r="O660" s="164"/>
      <c r="P660" s="177" t="s">
        <v>2950</v>
      </c>
      <c r="Q660" s="177" t="s">
        <v>2707</v>
      </c>
      <c r="R660" s="164"/>
      <c r="S660" s="163">
        <f>IFERROR(__xludf.DUMMYFUNCTION("""COMPUTED_VALUE"""),15.0)</f>
        <v>15</v>
      </c>
      <c r="T660" s="164"/>
      <c r="U660" s="164"/>
      <c r="V660" s="164"/>
      <c r="W660" s="164"/>
      <c r="X660" s="164"/>
    </row>
    <row r="661">
      <c r="A661" s="175">
        <v>46110.0</v>
      </c>
      <c r="B661" s="176" t="s">
        <v>2945</v>
      </c>
      <c r="C661" s="177" t="s">
        <v>1049</v>
      </c>
      <c r="D661" s="177" t="s">
        <v>1051</v>
      </c>
      <c r="E661" s="164"/>
      <c r="F661" s="177" t="s">
        <v>6713</v>
      </c>
      <c r="G661" s="186"/>
      <c r="H661" s="180" t="s">
        <v>2945</v>
      </c>
      <c r="I661" s="163">
        <f>IFERROR(__xludf.DUMMYFUNCTION("""COMPUTED_VALUE"""),19.49)</f>
        <v>19.49</v>
      </c>
      <c r="J661" s="177" t="s">
        <v>6735</v>
      </c>
      <c r="K661" s="177" t="s">
        <v>7285</v>
      </c>
      <c r="L661" s="164"/>
      <c r="M661" s="187">
        <v>46110.69677083333</v>
      </c>
      <c r="N661" s="177" t="s">
        <v>22</v>
      </c>
      <c r="O661" s="164"/>
      <c r="P661" s="177" t="s">
        <v>2947</v>
      </c>
      <c r="Q661" s="177" t="s">
        <v>1904</v>
      </c>
      <c r="R661" s="164"/>
      <c r="S661" s="163"/>
      <c r="T661" s="164"/>
      <c r="U661" s="164"/>
      <c r="V661" s="164"/>
      <c r="W661" s="164"/>
      <c r="X661" s="164"/>
    </row>
    <row r="662">
      <c r="A662" s="175">
        <v>46110.0</v>
      </c>
      <c r="B662" s="176" t="s">
        <v>2954</v>
      </c>
      <c r="C662" s="177" t="s">
        <v>1118</v>
      </c>
      <c r="D662" s="177" t="s">
        <v>1051</v>
      </c>
      <c r="E662" s="177" t="s">
        <v>850</v>
      </c>
      <c r="F662" s="177" t="s">
        <v>38</v>
      </c>
      <c r="G662" s="186"/>
      <c r="H662" s="180" t="s">
        <v>2954</v>
      </c>
      <c r="I662" s="163">
        <f>IFERROR(__xludf.DUMMYFUNCTION("""COMPUTED_VALUE"""),0.05384615384615384)</f>
        <v>0.05384615385</v>
      </c>
      <c r="J662" s="177" t="s">
        <v>6735</v>
      </c>
      <c r="K662" s="177" t="s">
        <v>7286</v>
      </c>
      <c r="L662" s="164"/>
      <c r="M662" s="187">
        <v>46110.81829861111</v>
      </c>
      <c r="N662" s="177" t="s">
        <v>22</v>
      </c>
      <c r="O662" s="164"/>
      <c r="P662" s="164"/>
      <c r="Q662" s="177" t="s">
        <v>2955</v>
      </c>
      <c r="R662" s="164"/>
      <c r="S662" s="163">
        <f>IFERROR(__xludf.DUMMYFUNCTION("""COMPUTED_VALUE"""),0.3076923076923077)</f>
        <v>0.3076923077</v>
      </c>
      <c r="T662" s="164"/>
      <c r="U662" s="164"/>
      <c r="V662" s="164"/>
      <c r="W662" s="164"/>
      <c r="X662" s="164"/>
    </row>
    <row r="663">
      <c r="A663" s="175">
        <v>46110.0</v>
      </c>
      <c r="B663" s="176" t="s">
        <v>2954</v>
      </c>
      <c r="C663" s="177" t="s">
        <v>6716</v>
      </c>
      <c r="D663" s="177" t="s">
        <v>1051</v>
      </c>
      <c r="E663" s="164"/>
      <c r="F663" s="177" t="s">
        <v>38</v>
      </c>
      <c r="G663" s="179" t="s">
        <v>6720</v>
      </c>
      <c r="H663" s="180" t="s">
        <v>2960</v>
      </c>
      <c r="I663" s="163">
        <f>IFERROR(__xludf.DUMMYFUNCTION("""COMPUTED_VALUE"""),0.05384615384615384)</f>
        <v>0.05384615385</v>
      </c>
      <c r="J663" s="177" t="s">
        <v>6735</v>
      </c>
      <c r="K663" s="177" t="s">
        <v>4644</v>
      </c>
      <c r="L663" s="164"/>
      <c r="M663" s="187">
        <v>46110.81917824074</v>
      </c>
      <c r="N663" s="177" t="s">
        <v>22</v>
      </c>
      <c r="O663" s="164"/>
      <c r="P663" s="164"/>
      <c r="Q663" s="177" t="s">
        <v>2955</v>
      </c>
      <c r="R663" s="164"/>
      <c r="S663" s="163">
        <f>IFERROR(__xludf.DUMMYFUNCTION("""COMPUTED_VALUE"""),0.3076923076923077)</f>
        <v>0.3076923077</v>
      </c>
      <c r="T663" s="164"/>
      <c r="U663" s="164"/>
      <c r="V663" s="164"/>
      <c r="W663" s="164"/>
      <c r="X663" s="164"/>
    </row>
    <row r="664">
      <c r="A664" s="175">
        <v>46110.0</v>
      </c>
      <c r="B664" s="176" t="s">
        <v>2954</v>
      </c>
      <c r="C664" s="177" t="s">
        <v>6716</v>
      </c>
      <c r="D664" s="177" t="s">
        <v>1051</v>
      </c>
      <c r="E664" s="164"/>
      <c r="F664" s="177" t="s">
        <v>38</v>
      </c>
      <c r="G664" s="179" t="s">
        <v>6721</v>
      </c>
      <c r="H664" s="180" t="s">
        <v>2962</v>
      </c>
      <c r="I664" s="163">
        <f>IFERROR(__xludf.DUMMYFUNCTION("""COMPUTED_VALUE"""),0.05384615384615384)</f>
        <v>0.05384615385</v>
      </c>
      <c r="J664" s="177" t="s">
        <v>6735</v>
      </c>
      <c r="K664" s="177" t="s">
        <v>4646</v>
      </c>
      <c r="L664" s="164"/>
      <c r="M664" s="187">
        <v>46110.82729166667</v>
      </c>
      <c r="N664" s="177" t="s">
        <v>22</v>
      </c>
      <c r="O664" s="164"/>
      <c r="P664" s="164"/>
      <c r="Q664" s="177" t="s">
        <v>2955</v>
      </c>
      <c r="R664" s="164"/>
      <c r="S664" s="163">
        <f>IFERROR(__xludf.DUMMYFUNCTION("""COMPUTED_VALUE"""),0.3076923076923077)</f>
        <v>0.3076923077</v>
      </c>
      <c r="T664" s="164"/>
      <c r="U664" s="164"/>
      <c r="V664" s="164"/>
      <c r="W664" s="164"/>
      <c r="X664" s="164"/>
    </row>
    <row r="665">
      <c r="A665" s="175">
        <v>46110.0</v>
      </c>
      <c r="B665" s="176" t="s">
        <v>2954</v>
      </c>
      <c r="C665" s="177" t="s">
        <v>6716</v>
      </c>
      <c r="D665" s="177" t="s">
        <v>1051</v>
      </c>
      <c r="E665" s="164"/>
      <c r="F665" s="177" t="s">
        <v>38</v>
      </c>
      <c r="G665" s="179" t="s">
        <v>6722</v>
      </c>
      <c r="H665" s="180" t="s">
        <v>2964</v>
      </c>
      <c r="I665" s="163">
        <f>IFERROR(__xludf.DUMMYFUNCTION("""COMPUTED_VALUE"""),0.05384615384615384)</f>
        <v>0.05384615385</v>
      </c>
      <c r="J665" s="177" t="s">
        <v>6735</v>
      </c>
      <c r="K665" s="177" t="s">
        <v>4648</v>
      </c>
      <c r="L665" s="164"/>
      <c r="M665" s="187">
        <v>46110.828206018516</v>
      </c>
      <c r="N665" s="177" t="s">
        <v>22</v>
      </c>
      <c r="O665" s="164"/>
      <c r="P665" s="164"/>
      <c r="Q665" s="177" t="s">
        <v>2955</v>
      </c>
      <c r="R665" s="164"/>
      <c r="S665" s="163">
        <f>IFERROR(__xludf.DUMMYFUNCTION("""COMPUTED_VALUE"""),0.3076923076923077)</f>
        <v>0.3076923077</v>
      </c>
      <c r="T665" s="164"/>
      <c r="U665" s="164"/>
      <c r="V665" s="164"/>
      <c r="W665" s="164"/>
      <c r="X665" s="164"/>
    </row>
    <row r="666">
      <c r="A666" s="175">
        <v>46110.0</v>
      </c>
      <c r="B666" s="176" t="s">
        <v>2954</v>
      </c>
      <c r="C666" s="177" t="s">
        <v>6716</v>
      </c>
      <c r="D666" s="177" t="s">
        <v>1051</v>
      </c>
      <c r="E666" s="164"/>
      <c r="F666" s="177" t="s">
        <v>38</v>
      </c>
      <c r="G666" s="179" t="s">
        <v>6724</v>
      </c>
      <c r="H666" s="180" t="s">
        <v>2966</v>
      </c>
      <c r="I666" s="163">
        <f>IFERROR(__xludf.DUMMYFUNCTION("""COMPUTED_VALUE"""),0.05384615384615384)</f>
        <v>0.05384615385</v>
      </c>
      <c r="J666" s="177" t="s">
        <v>6735</v>
      </c>
      <c r="K666" s="177" t="s">
        <v>4650</v>
      </c>
      <c r="L666" s="164"/>
      <c r="M666" s="187">
        <v>46110.828576388885</v>
      </c>
      <c r="N666" s="177" t="s">
        <v>22</v>
      </c>
      <c r="O666" s="164"/>
      <c r="P666" s="164"/>
      <c r="Q666" s="177" t="s">
        <v>2955</v>
      </c>
      <c r="R666" s="164"/>
      <c r="S666" s="163">
        <f>IFERROR(__xludf.DUMMYFUNCTION("""COMPUTED_VALUE"""),0.3076923076923077)</f>
        <v>0.3076923077</v>
      </c>
      <c r="T666" s="164"/>
      <c r="U666" s="164"/>
      <c r="V666" s="164"/>
      <c r="W666" s="164"/>
      <c r="X666" s="164"/>
    </row>
    <row r="667">
      <c r="A667" s="175">
        <v>46110.0</v>
      </c>
      <c r="B667" s="176" t="s">
        <v>2954</v>
      </c>
      <c r="C667" s="177" t="s">
        <v>6716</v>
      </c>
      <c r="D667" s="177" t="s">
        <v>1051</v>
      </c>
      <c r="E667" s="164"/>
      <c r="F667" s="177" t="s">
        <v>38</v>
      </c>
      <c r="G667" s="179" t="s">
        <v>6726</v>
      </c>
      <c r="H667" s="180" t="s">
        <v>2968</v>
      </c>
      <c r="I667" s="163">
        <f>IFERROR(__xludf.DUMMYFUNCTION("""COMPUTED_VALUE"""),0.05384615384615384)</f>
        <v>0.05384615385</v>
      </c>
      <c r="J667" s="177" t="s">
        <v>6735</v>
      </c>
      <c r="K667" s="177" t="s">
        <v>4652</v>
      </c>
      <c r="L667" s="164"/>
      <c r="M667" s="187">
        <v>46110.82994212963</v>
      </c>
      <c r="N667" s="177" t="s">
        <v>22</v>
      </c>
      <c r="O667" s="164"/>
      <c r="P667" s="164"/>
      <c r="Q667" s="177" t="s">
        <v>2955</v>
      </c>
      <c r="R667" s="164"/>
      <c r="S667" s="163">
        <f>IFERROR(__xludf.DUMMYFUNCTION("""COMPUTED_VALUE"""),0.3076923076923077)</f>
        <v>0.3076923077</v>
      </c>
      <c r="T667" s="164"/>
      <c r="U667" s="164"/>
      <c r="V667" s="164"/>
      <c r="W667" s="164"/>
      <c r="X667" s="164"/>
    </row>
    <row r="668">
      <c r="A668" s="175">
        <v>46110.0</v>
      </c>
      <c r="B668" s="176" t="s">
        <v>2954</v>
      </c>
      <c r="C668" s="177" t="s">
        <v>6716</v>
      </c>
      <c r="D668" s="177" t="s">
        <v>1051</v>
      </c>
      <c r="E668" s="164"/>
      <c r="F668" s="177" t="s">
        <v>38</v>
      </c>
      <c r="G668" s="179" t="s">
        <v>6774</v>
      </c>
      <c r="H668" s="180" t="s">
        <v>2970</v>
      </c>
      <c r="I668" s="163">
        <f>IFERROR(__xludf.DUMMYFUNCTION("""COMPUTED_VALUE"""),0.05384615384615384)</f>
        <v>0.05384615385</v>
      </c>
      <c r="J668" s="177" t="s">
        <v>6735</v>
      </c>
      <c r="K668" s="177" t="s">
        <v>4654</v>
      </c>
      <c r="L668" s="164"/>
      <c r="M668" s="187">
        <v>46110.830358796295</v>
      </c>
      <c r="N668" s="177" t="s">
        <v>22</v>
      </c>
      <c r="O668" s="164"/>
      <c r="P668" s="164"/>
      <c r="Q668" s="177" t="s">
        <v>2955</v>
      </c>
      <c r="R668" s="164"/>
      <c r="S668" s="163">
        <f>IFERROR(__xludf.DUMMYFUNCTION("""COMPUTED_VALUE"""),0.3076923076923077)</f>
        <v>0.3076923077</v>
      </c>
      <c r="T668" s="164"/>
      <c r="U668" s="164"/>
      <c r="V668" s="164"/>
      <c r="W668" s="164"/>
      <c r="X668" s="164"/>
    </row>
    <row r="669">
      <c r="A669" s="175">
        <v>46110.0</v>
      </c>
      <c r="B669" s="176" t="s">
        <v>2954</v>
      </c>
      <c r="C669" s="177" t="s">
        <v>6716</v>
      </c>
      <c r="D669" s="177" t="s">
        <v>1051</v>
      </c>
      <c r="E669" s="164"/>
      <c r="F669" s="177" t="s">
        <v>38</v>
      </c>
      <c r="G669" s="179" t="s">
        <v>6704</v>
      </c>
      <c r="H669" s="180" t="s">
        <v>2972</v>
      </c>
      <c r="I669" s="163">
        <f>IFERROR(__xludf.DUMMYFUNCTION("""COMPUTED_VALUE"""),0.05384615384615384)</f>
        <v>0.05384615385</v>
      </c>
      <c r="J669" s="177" t="s">
        <v>6735</v>
      </c>
      <c r="K669" s="177" t="s">
        <v>4656</v>
      </c>
      <c r="L669" s="164"/>
      <c r="M669" s="187">
        <v>46110.830925925926</v>
      </c>
      <c r="N669" s="177" t="s">
        <v>22</v>
      </c>
      <c r="O669" s="164"/>
      <c r="P669" s="164"/>
      <c r="Q669" s="177" t="s">
        <v>2955</v>
      </c>
      <c r="R669" s="164"/>
      <c r="S669" s="163">
        <f>IFERROR(__xludf.DUMMYFUNCTION("""COMPUTED_VALUE"""),0.3076923076923077)</f>
        <v>0.3076923077</v>
      </c>
      <c r="T669" s="164"/>
      <c r="U669" s="164"/>
      <c r="V669" s="164"/>
      <c r="W669" s="164"/>
      <c r="X669" s="164"/>
    </row>
    <row r="670">
      <c r="A670" s="175">
        <v>46110.0</v>
      </c>
      <c r="B670" s="176" t="s">
        <v>2954</v>
      </c>
      <c r="C670" s="177" t="s">
        <v>6716</v>
      </c>
      <c r="D670" s="177" t="s">
        <v>1051</v>
      </c>
      <c r="E670" s="164"/>
      <c r="F670" s="177" t="s">
        <v>38</v>
      </c>
      <c r="G670" s="179" t="s">
        <v>6748</v>
      </c>
      <c r="H670" s="180" t="s">
        <v>2974</v>
      </c>
      <c r="I670" s="163">
        <f>IFERROR(__xludf.DUMMYFUNCTION("""COMPUTED_VALUE"""),0.05384615384615384)</f>
        <v>0.05384615385</v>
      </c>
      <c r="J670" s="177" t="s">
        <v>6735</v>
      </c>
      <c r="K670" s="177" t="s">
        <v>4658</v>
      </c>
      <c r="L670" s="164"/>
      <c r="M670" s="187">
        <v>46110.83142361111</v>
      </c>
      <c r="N670" s="177" t="s">
        <v>22</v>
      </c>
      <c r="O670" s="164"/>
      <c r="P670" s="164"/>
      <c r="Q670" s="177" t="s">
        <v>2955</v>
      </c>
      <c r="R670" s="164"/>
      <c r="S670" s="163">
        <f>IFERROR(__xludf.DUMMYFUNCTION("""COMPUTED_VALUE"""),0.3076923076923077)</f>
        <v>0.3076923077</v>
      </c>
      <c r="T670" s="164"/>
      <c r="U670" s="164"/>
      <c r="V670" s="164"/>
      <c r="W670" s="164"/>
      <c r="X670" s="164"/>
    </row>
    <row r="671">
      <c r="A671" s="175">
        <v>46110.0</v>
      </c>
      <c r="B671" s="176" t="s">
        <v>2954</v>
      </c>
      <c r="C671" s="177" t="s">
        <v>6716</v>
      </c>
      <c r="D671" s="177" t="s">
        <v>1051</v>
      </c>
      <c r="E671" s="177"/>
      <c r="F671" s="177" t="s">
        <v>38</v>
      </c>
      <c r="G671" s="179" t="s">
        <v>6800</v>
      </c>
      <c r="H671" s="180" t="s">
        <v>2976</v>
      </c>
      <c r="I671" s="163">
        <f>IFERROR(__xludf.DUMMYFUNCTION("""COMPUTED_VALUE"""),0.05384615384615384)</f>
        <v>0.05384615385</v>
      </c>
      <c r="J671" s="177" t="s">
        <v>6735</v>
      </c>
      <c r="K671" s="177" t="s">
        <v>4660</v>
      </c>
      <c r="L671" s="164"/>
      <c r="M671" s="187">
        <v>46110.831782407404</v>
      </c>
      <c r="N671" s="177" t="s">
        <v>22</v>
      </c>
      <c r="O671" s="164"/>
      <c r="P671" s="164"/>
      <c r="Q671" s="177" t="s">
        <v>2955</v>
      </c>
      <c r="R671" s="164"/>
      <c r="S671" s="163">
        <f>IFERROR(__xludf.DUMMYFUNCTION("""COMPUTED_VALUE"""),0.3076923076923077)</f>
        <v>0.3076923077</v>
      </c>
      <c r="T671" s="164"/>
      <c r="U671" s="164"/>
      <c r="V671" s="164"/>
      <c r="W671" s="164"/>
      <c r="X671" s="164"/>
    </row>
    <row r="672">
      <c r="A672" s="175">
        <v>46110.0</v>
      </c>
      <c r="B672" s="176" t="s">
        <v>2954</v>
      </c>
      <c r="C672" s="177" t="s">
        <v>6716</v>
      </c>
      <c r="D672" s="177" t="s">
        <v>1051</v>
      </c>
      <c r="E672" s="164"/>
      <c r="F672" s="177" t="s">
        <v>38</v>
      </c>
      <c r="G672" s="179" t="s">
        <v>6802</v>
      </c>
      <c r="H672" s="180" t="s">
        <v>2978</v>
      </c>
      <c r="I672" s="163">
        <f>IFERROR(__xludf.DUMMYFUNCTION("""COMPUTED_VALUE"""),0.05384615384615384)</f>
        <v>0.05384615385</v>
      </c>
      <c r="J672" s="177" t="s">
        <v>6739</v>
      </c>
      <c r="K672" s="177" t="s">
        <v>4662</v>
      </c>
      <c r="L672" s="177"/>
      <c r="M672" s="187">
        <v>46110.832233796296</v>
      </c>
      <c r="N672" s="177" t="s">
        <v>22</v>
      </c>
      <c r="O672" s="164"/>
      <c r="P672" s="164"/>
      <c r="Q672" s="177" t="s">
        <v>2955</v>
      </c>
      <c r="R672" s="164"/>
      <c r="S672" s="163">
        <f>IFERROR(__xludf.DUMMYFUNCTION("""COMPUTED_VALUE"""),0.3076923076923077)</f>
        <v>0.3076923077</v>
      </c>
      <c r="T672" s="164"/>
      <c r="U672" s="164"/>
      <c r="V672" s="164"/>
      <c r="W672" s="164"/>
      <c r="X672" s="164"/>
    </row>
    <row r="673">
      <c r="A673" s="175">
        <v>46110.0</v>
      </c>
      <c r="B673" s="176" t="s">
        <v>2954</v>
      </c>
      <c r="C673" s="177" t="s">
        <v>6716</v>
      </c>
      <c r="D673" s="177" t="s">
        <v>1051</v>
      </c>
      <c r="E673" s="164"/>
      <c r="F673" s="177" t="s">
        <v>38</v>
      </c>
      <c r="G673" s="179" t="s">
        <v>6927</v>
      </c>
      <c r="H673" s="180" t="s">
        <v>2980</v>
      </c>
      <c r="I673" s="163">
        <f>IFERROR(__xludf.DUMMYFUNCTION("""COMPUTED_VALUE"""),0.05384615384615384)</f>
        <v>0.05384615385</v>
      </c>
      <c r="J673" s="177" t="s">
        <v>6739</v>
      </c>
      <c r="K673" s="177" t="s">
        <v>4664</v>
      </c>
      <c r="L673" s="177"/>
      <c r="M673" s="187">
        <v>46110.832604166666</v>
      </c>
      <c r="N673" s="177" t="s">
        <v>22</v>
      </c>
      <c r="O673" s="164"/>
      <c r="P673" s="164"/>
      <c r="Q673" s="177" t="s">
        <v>2955</v>
      </c>
      <c r="R673" s="164"/>
      <c r="S673" s="163">
        <f>IFERROR(__xludf.DUMMYFUNCTION("""COMPUTED_VALUE"""),0.3076923076923077)</f>
        <v>0.3076923077</v>
      </c>
      <c r="T673" s="164"/>
      <c r="U673" s="164"/>
      <c r="V673" s="164"/>
      <c r="W673" s="164"/>
      <c r="X673" s="164"/>
    </row>
    <row r="674">
      <c r="A674" s="175">
        <v>46110.0</v>
      </c>
      <c r="B674" s="176" t="s">
        <v>2954</v>
      </c>
      <c r="C674" s="177" t="s">
        <v>6716</v>
      </c>
      <c r="D674" s="177" t="s">
        <v>1051</v>
      </c>
      <c r="E674" s="164"/>
      <c r="F674" s="177" t="s">
        <v>38</v>
      </c>
      <c r="G674" s="179" t="s">
        <v>6907</v>
      </c>
      <c r="H674" s="180" t="s">
        <v>2982</v>
      </c>
      <c r="I674" s="163">
        <f>IFERROR(__xludf.DUMMYFUNCTION("""COMPUTED_VALUE"""),0.05384615384615384)</f>
        <v>0.05384615385</v>
      </c>
      <c r="J674" s="177" t="s">
        <v>6739</v>
      </c>
      <c r="K674" s="177" t="s">
        <v>4666</v>
      </c>
      <c r="L674" s="177"/>
      <c r="M674" s="187">
        <v>46110.83290509259</v>
      </c>
      <c r="N674" s="177" t="s">
        <v>22</v>
      </c>
      <c r="O674" s="164"/>
      <c r="P674" s="164"/>
      <c r="Q674" s="177" t="s">
        <v>2955</v>
      </c>
      <c r="R674" s="164"/>
      <c r="S674" s="163">
        <f>IFERROR(__xludf.DUMMYFUNCTION("""COMPUTED_VALUE"""),0.3076923076923077)</f>
        <v>0.3076923077</v>
      </c>
      <c r="T674" s="164"/>
      <c r="U674" s="164"/>
      <c r="V674" s="164"/>
      <c r="W674" s="164"/>
      <c r="X674" s="164"/>
    </row>
    <row r="675">
      <c r="A675" s="175">
        <v>46011.0</v>
      </c>
      <c r="B675" s="176" t="s">
        <v>2647</v>
      </c>
      <c r="C675" s="177" t="s">
        <v>6716</v>
      </c>
      <c r="D675" s="177" t="s">
        <v>7049</v>
      </c>
      <c r="E675" s="164"/>
      <c r="F675" s="177" t="s">
        <v>6749</v>
      </c>
      <c r="G675" s="179" t="s">
        <v>6724</v>
      </c>
      <c r="H675" s="180" t="s">
        <v>2996</v>
      </c>
      <c r="I675" s="163">
        <f>IFERROR(__xludf.DUMMYFUNCTION("""COMPUTED_VALUE"""),1.3199999999999998)</f>
        <v>1.32</v>
      </c>
      <c r="J675" s="177" t="s">
        <v>6750</v>
      </c>
      <c r="K675" s="177" t="s">
        <v>4668</v>
      </c>
      <c r="L675" s="177" t="s">
        <v>7113</v>
      </c>
      <c r="M675" s="187">
        <v>46111.66200231481</v>
      </c>
      <c r="N675" s="177" t="s">
        <v>22</v>
      </c>
      <c r="O675" s="164"/>
      <c r="P675" s="164"/>
      <c r="Q675" s="177" t="s">
        <v>2581</v>
      </c>
      <c r="R675" s="164"/>
      <c r="S675" s="163">
        <f>IFERROR(__xludf.DUMMYFUNCTION("""COMPUTED_VALUE"""),2.998)</f>
        <v>2.998</v>
      </c>
      <c r="T675" s="164"/>
      <c r="U675" s="164"/>
      <c r="V675" s="164"/>
      <c r="W675" s="164"/>
      <c r="X675" s="164"/>
    </row>
    <row r="676">
      <c r="A676" s="175">
        <v>46111.0</v>
      </c>
      <c r="B676" s="176" t="s">
        <v>2993</v>
      </c>
      <c r="C676" s="177" t="s">
        <v>1049</v>
      </c>
      <c r="D676" s="177" t="s">
        <v>7006</v>
      </c>
      <c r="E676" s="177" t="s">
        <v>6749</v>
      </c>
      <c r="F676" s="177" t="s">
        <v>6825</v>
      </c>
      <c r="G676" s="186"/>
      <c r="H676" s="180" t="s">
        <v>2993</v>
      </c>
      <c r="I676" s="163">
        <f>IFERROR(__xludf.DUMMYFUNCTION("""COMPUTED_VALUE"""),1.0999999999999999)</f>
        <v>1.1</v>
      </c>
      <c r="J676" s="177" t="s">
        <v>6705</v>
      </c>
      <c r="K676" s="177" t="s">
        <v>7287</v>
      </c>
      <c r="L676" s="164"/>
      <c r="M676" s="187">
        <v>46111.665555555555</v>
      </c>
      <c r="N676" s="177" t="s">
        <v>22</v>
      </c>
      <c r="O676" s="164"/>
      <c r="P676" s="177" t="s">
        <v>2995</v>
      </c>
      <c r="Q676" s="177" t="s">
        <v>2581</v>
      </c>
      <c r="R676" s="164"/>
      <c r="S676" s="163">
        <f>IFERROR(__xludf.DUMMYFUNCTION("""COMPUTED_VALUE"""),2.4983333333333335)</f>
        <v>2.498333333</v>
      </c>
      <c r="T676" s="164"/>
      <c r="U676" s="164"/>
      <c r="V676" s="164"/>
      <c r="W676" s="164"/>
      <c r="X676" s="164"/>
    </row>
    <row r="677">
      <c r="A677" s="175">
        <v>46111.0</v>
      </c>
      <c r="B677" s="176" t="s">
        <v>2984</v>
      </c>
      <c r="C677" s="177" t="s">
        <v>1049</v>
      </c>
      <c r="D677" s="177" t="s">
        <v>7006</v>
      </c>
      <c r="E677" s="177" t="s">
        <v>6749</v>
      </c>
      <c r="F677" s="177" t="s">
        <v>6825</v>
      </c>
      <c r="G677" s="186"/>
      <c r="H677" s="180" t="s">
        <v>2984</v>
      </c>
      <c r="I677" s="163">
        <f>IFERROR(__xludf.DUMMYFUNCTION("""COMPUTED_VALUE"""),1.3199999999999998)</f>
        <v>1.32</v>
      </c>
      <c r="J677" s="177" t="s">
        <v>6705</v>
      </c>
      <c r="K677" s="188" t="s">
        <v>7288</v>
      </c>
      <c r="L677" s="164"/>
      <c r="M677" s="187">
        <v>46111.66711805556</v>
      </c>
      <c r="N677" s="177" t="s">
        <v>22</v>
      </c>
      <c r="O677" s="164"/>
      <c r="P677" s="177" t="s">
        <v>2986</v>
      </c>
      <c r="Q677" s="177" t="s">
        <v>2581</v>
      </c>
      <c r="R677" s="164"/>
      <c r="S677" s="163">
        <f>IFERROR(__xludf.DUMMYFUNCTION("""COMPUTED_VALUE"""),2.998)</f>
        <v>2.998</v>
      </c>
      <c r="T677" s="164"/>
      <c r="U677" s="164"/>
      <c r="V677" s="164"/>
      <c r="W677" s="164"/>
      <c r="X677" s="164"/>
    </row>
    <row r="678">
      <c r="A678" s="175">
        <v>46111.0</v>
      </c>
      <c r="B678" s="176" t="s">
        <v>2987</v>
      </c>
      <c r="C678" s="177" t="s">
        <v>1049</v>
      </c>
      <c r="D678" s="177" t="s">
        <v>7006</v>
      </c>
      <c r="E678" s="177" t="s">
        <v>6749</v>
      </c>
      <c r="F678" s="177" t="s">
        <v>6825</v>
      </c>
      <c r="G678" s="186"/>
      <c r="H678" s="180" t="s">
        <v>2987</v>
      </c>
      <c r="I678" s="163">
        <f>IFERROR(__xludf.DUMMYFUNCTION("""COMPUTED_VALUE"""),1.3199999999999998)</f>
        <v>1.32</v>
      </c>
      <c r="J678" s="177" t="s">
        <v>6705</v>
      </c>
      <c r="K678" s="177" t="s">
        <v>7289</v>
      </c>
      <c r="L678" s="164"/>
      <c r="M678" s="187">
        <v>46111.668032407404</v>
      </c>
      <c r="N678" s="177" t="s">
        <v>22</v>
      </c>
      <c r="O678" s="164"/>
      <c r="P678" s="177" t="s">
        <v>2989</v>
      </c>
      <c r="Q678" s="177" t="s">
        <v>2581</v>
      </c>
      <c r="R678" s="164"/>
      <c r="S678" s="163">
        <f>IFERROR(__xludf.DUMMYFUNCTION("""COMPUTED_VALUE"""),2.998)</f>
        <v>2.998</v>
      </c>
      <c r="T678" s="164"/>
      <c r="U678" s="164"/>
      <c r="V678" s="164"/>
      <c r="W678" s="164"/>
      <c r="X678" s="164"/>
    </row>
    <row r="679">
      <c r="A679" s="175">
        <v>46111.0</v>
      </c>
      <c r="B679" s="176" t="s">
        <v>2990</v>
      </c>
      <c r="C679" s="177" t="s">
        <v>1049</v>
      </c>
      <c r="D679" s="177" t="s">
        <v>7006</v>
      </c>
      <c r="E679" s="177" t="s">
        <v>6749</v>
      </c>
      <c r="F679" s="177" t="s">
        <v>6825</v>
      </c>
      <c r="G679" s="186"/>
      <c r="H679" s="180" t="s">
        <v>2990</v>
      </c>
      <c r="I679" s="163">
        <f>IFERROR(__xludf.DUMMYFUNCTION("""COMPUTED_VALUE"""),1.3199999999999998)</f>
        <v>1.32</v>
      </c>
      <c r="J679" s="177" t="s">
        <v>6705</v>
      </c>
      <c r="K679" s="177" t="s">
        <v>7290</v>
      </c>
      <c r="L679" s="164"/>
      <c r="M679" s="187">
        <v>46111.668900462966</v>
      </c>
      <c r="N679" s="177" t="s">
        <v>22</v>
      </c>
      <c r="O679" s="164"/>
      <c r="P679" s="177" t="s">
        <v>2992</v>
      </c>
      <c r="Q679" s="177" t="s">
        <v>2581</v>
      </c>
      <c r="R679" s="164"/>
      <c r="S679" s="163">
        <f>IFERROR(__xludf.DUMMYFUNCTION("""COMPUTED_VALUE"""),2.998)</f>
        <v>2.998</v>
      </c>
      <c r="T679" s="164"/>
      <c r="U679" s="164"/>
      <c r="V679" s="164"/>
      <c r="W679" s="164"/>
      <c r="X679" s="164"/>
    </row>
    <row r="680">
      <c r="A680" s="175">
        <v>46111.0</v>
      </c>
      <c r="B680" s="176" t="s">
        <v>2996</v>
      </c>
      <c r="C680" s="177" t="s">
        <v>1049</v>
      </c>
      <c r="D680" s="177" t="s">
        <v>7006</v>
      </c>
      <c r="E680" s="177" t="s">
        <v>6749</v>
      </c>
      <c r="F680" s="177" t="s">
        <v>6825</v>
      </c>
      <c r="G680" s="186"/>
      <c r="H680" s="180" t="s">
        <v>2996</v>
      </c>
      <c r="I680" s="163">
        <f>IFERROR(__xludf.DUMMYFUNCTION("""COMPUTED_VALUE"""),1.3199999999999998)</f>
        <v>1.32</v>
      </c>
      <c r="J680" s="177" t="s">
        <v>6705</v>
      </c>
      <c r="K680" s="177" t="s">
        <v>7291</v>
      </c>
      <c r="L680" s="164"/>
      <c r="M680" s="187">
        <v>46111.669537037036</v>
      </c>
      <c r="N680" s="177" t="s">
        <v>22</v>
      </c>
      <c r="O680" s="164"/>
      <c r="P680" s="177" t="s">
        <v>2998</v>
      </c>
      <c r="Q680" s="177" t="s">
        <v>2581</v>
      </c>
      <c r="R680" s="164"/>
      <c r="S680" s="163">
        <f>IFERROR(__xludf.DUMMYFUNCTION("""COMPUTED_VALUE"""),2.998)</f>
        <v>2.998</v>
      </c>
      <c r="T680" s="164"/>
      <c r="U680" s="164"/>
      <c r="V680" s="164"/>
      <c r="W680" s="164"/>
      <c r="X680" s="164"/>
    </row>
    <row r="681">
      <c r="A681" s="175">
        <v>46133.0</v>
      </c>
      <c r="B681" s="176" t="s">
        <v>3047</v>
      </c>
      <c r="C681" s="177" t="s">
        <v>6992</v>
      </c>
      <c r="D681" s="177" t="s">
        <v>7195</v>
      </c>
      <c r="E681" s="164"/>
      <c r="F681" s="177" t="s">
        <v>6751</v>
      </c>
      <c r="G681" s="186"/>
      <c r="H681" s="180" t="s">
        <v>3047</v>
      </c>
      <c r="I681" s="163">
        <f>IFERROR(__xludf.DUMMYFUNCTION("""COMPUTED_VALUE"""),8.0)</f>
        <v>8</v>
      </c>
      <c r="J681" s="177" t="s">
        <v>7176</v>
      </c>
      <c r="K681" s="177" t="s">
        <v>7292</v>
      </c>
      <c r="L681" s="164"/>
      <c r="M681" s="187">
        <v>46136.37358796296</v>
      </c>
      <c r="N681" s="177" t="s">
        <v>22</v>
      </c>
      <c r="O681" s="164"/>
      <c r="P681" s="177" t="s">
        <v>3049</v>
      </c>
      <c r="Q681" s="177" t="s">
        <v>2256</v>
      </c>
      <c r="R681" s="164"/>
      <c r="S681" s="163">
        <f>IFERROR(__xludf.DUMMYFUNCTION("""COMPUTED_VALUE"""),0.0)</f>
        <v>0</v>
      </c>
      <c r="T681" s="164"/>
      <c r="U681" s="164"/>
      <c r="V681" s="164"/>
      <c r="W681" s="164"/>
      <c r="X681" s="164"/>
    </row>
    <row r="682">
      <c r="A682" s="175">
        <v>46133.0</v>
      </c>
      <c r="B682" s="176" t="s">
        <v>2255</v>
      </c>
      <c r="C682" s="177" t="s">
        <v>6994</v>
      </c>
      <c r="D682" s="177" t="s">
        <v>7195</v>
      </c>
      <c r="E682" s="177" t="s">
        <v>38</v>
      </c>
      <c r="F682" s="177"/>
      <c r="G682" s="186"/>
      <c r="H682" s="180"/>
      <c r="I682" s="163" t="str">
        <f>IFERROR(__xludf.DUMMYFUNCTION("""COMPUTED_VALUE"""),"")</f>
        <v/>
      </c>
      <c r="J682" s="177" t="s">
        <v>7176</v>
      </c>
      <c r="K682" s="177" t="s">
        <v>7293</v>
      </c>
      <c r="L682" s="164"/>
      <c r="M682" s="187">
        <v>46136.374872685185</v>
      </c>
      <c r="N682" s="177" t="s">
        <v>22</v>
      </c>
      <c r="O682" s="164"/>
      <c r="P682" s="177" t="s">
        <v>7294</v>
      </c>
      <c r="Q682" s="177" t="s">
        <v>2256</v>
      </c>
      <c r="R682" s="164"/>
      <c r="S682" s="163" t="str">
        <f>IFERROR(__xludf.DUMMYFUNCTION("""COMPUTED_VALUE"""),"")</f>
        <v/>
      </c>
      <c r="T682" s="164"/>
      <c r="U682" s="164"/>
      <c r="V682" s="164"/>
      <c r="W682" s="164"/>
      <c r="X682" s="164"/>
    </row>
    <row r="683">
      <c r="A683" s="175">
        <v>46133.0</v>
      </c>
      <c r="B683" s="176" t="s">
        <v>3050</v>
      </c>
      <c r="C683" s="177" t="s">
        <v>1049</v>
      </c>
      <c r="D683" s="177" t="s">
        <v>7295</v>
      </c>
      <c r="E683" s="177" t="s">
        <v>1107</v>
      </c>
      <c r="F683" s="177" t="s">
        <v>6733</v>
      </c>
      <c r="G683" s="186"/>
      <c r="H683" s="180" t="s">
        <v>3050</v>
      </c>
      <c r="I683" s="163">
        <f>IFERROR(__xludf.DUMMYFUNCTION("""COMPUTED_VALUE"""),6.083333333333333)</f>
        <v>6.083333333</v>
      </c>
      <c r="J683" s="177" t="s">
        <v>6705</v>
      </c>
      <c r="K683" s="177" t="s">
        <v>7296</v>
      </c>
      <c r="L683" s="164"/>
      <c r="M683" s="187">
        <v>46136.375625</v>
      </c>
      <c r="N683" s="177" t="s">
        <v>22</v>
      </c>
      <c r="O683" s="164"/>
      <c r="P683" s="177" t="s">
        <v>3052</v>
      </c>
      <c r="Q683" s="177" t="s">
        <v>1665</v>
      </c>
      <c r="R683" s="164"/>
      <c r="S683" s="163">
        <f>IFERROR(__xludf.DUMMYFUNCTION("""COMPUTED_VALUE"""),0.0)</f>
        <v>0</v>
      </c>
      <c r="T683" s="164"/>
      <c r="U683" s="164"/>
      <c r="V683" s="164"/>
      <c r="W683" s="164"/>
      <c r="X683" s="164"/>
    </row>
    <row r="684">
      <c r="A684" s="175">
        <v>46140.0</v>
      </c>
      <c r="B684" s="176" t="s">
        <v>3053</v>
      </c>
      <c r="C684" s="177" t="s">
        <v>1118</v>
      </c>
      <c r="D684" s="177" t="s">
        <v>1108</v>
      </c>
      <c r="E684" s="177" t="s">
        <v>6733</v>
      </c>
      <c r="F684" s="177" t="s">
        <v>6733</v>
      </c>
      <c r="G684" s="186"/>
      <c r="H684" s="180" t="s">
        <v>3053</v>
      </c>
      <c r="I684" s="163">
        <f>IFERROR(__xludf.DUMMYFUNCTION("""COMPUTED_VALUE"""),0.0)</f>
        <v>0</v>
      </c>
      <c r="J684" s="177" t="s">
        <v>6705</v>
      </c>
      <c r="K684" s="177" t="s">
        <v>7297</v>
      </c>
      <c r="L684" s="164"/>
      <c r="M684" s="187">
        <v>46140.832766203705</v>
      </c>
      <c r="N684" s="177" t="s">
        <v>22</v>
      </c>
      <c r="O684" s="164"/>
      <c r="P684" s="177" t="s">
        <v>3055</v>
      </c>
      <c r="Q684" s="177" t="s">
        <v>1911</v>
      </c>
      <c r="R684" s="164"/>
      <c r="S684" s="163">
        <f>IFERROR(__xludf.DUMMYFUNCTION("""COMPUTED_VALUE"""),0.0)</f>
        <v>0</v>
      </c>
      <c r="T684" s="164"/>
      <c r="U684" s="164"/>
      <c r="V684" s="164"/>
      <c r="W684" s="164"/>
      <c r="X684" s="164"/>
    </row>
    <row r="685">
      <c r="A685" s="175">
        <v>46140.0</v>
      </c>
      <c r="B685" s="176" t="s">
        <v>3053</v>
      </c>
      <c r="C685" s="177" t="s">
        <v>6716</v>
      </c>
      <c r="D685" s="177" t="s">
        <v>1108</v>
      </c>
      <c r="E685" s="164"/>
      <c r="F685" s="177" t="s">
        <v>6987</v>
      </c>
      <c r="G685" s="179" t="s">
        <v>6722</v>
      </c>
      <c r="H685" s="180" t="s">
        <v>3059</v>
      </c>
      <c r="I685" s="163">
        <f>IFERROR(__xludf.DUMMYFUNCTION("""COMPUTED_VALUE"""),0.0)</f>
        <v>0</v>
      </c>
      <c r="J685" s="164"/>
      <c r="K685" s="177" t="s">
        <v>4670</v>
      </c>
      <c r="L685" s="164"/>
      <c r="M685" s="187">
        <v>46140.83511574074</v>
      </c>
      <c r="N685" s="177" t="s">
        <v>22</v>
      </c>
      <c r="O685" s="164"/>
      <c r="P685" s="177" t="s">
        <v>3061</v>
      </c>
      <c r="Q685" s="177" t="s">
        <v>1911</v>
      </c>
      <c r="R685" s="164"/>
      <c r="S685" s="163">
        <f>IFERROR(__xludf.DUMMYFUNCTION("""COMPUTED_VALUE"""),0.0)</f>
        <v>0</v>
      </c>
      <c r="T685" s="164"/>
      <c r="U685" s="164"/>
      <c r="V685" s="164"/>
      <c r="W685" s="164"/>
      <c r="X685" s="164"/>
    </row>
    <row r="686">
      <c r="A686" s="175">
        <v>46140.0</v>
      </c>
      <c r="B686" s="176" t="s">
        <v>3056</v>
      </c>
      <c r="C686" s="177" t="s">
        <v>1049</v>
      </c>
      <c r="D686" s="177" t="s">
        <v>7195</v>
      </c>
      <c r="E686" s="177" t="s">
        <v>6861</v>
      </c>
      <c r="F686" s="177" t="s">
        <v>6751</v>
      </c>
      <c r="G686" s="186"/>
      <c r="H686" s="180" t="s">
        <v>3056</v>
      </c>
      <c r="I686" s="163">
        <f>IFERROR(__xludf.DUMMYFUNCTION("""COMPUTED_VALUE"""),12.0)</f>
        <v>12</v>
      </c>
      <c r="J686" s="177" t="s">
        <v>7176</v>
      </c>
      <c r="K686" s="177" t="s">
        <v>7298</v>
      </c>
      <c r="L686" s="164"/>
      <c r="M686" s="187">
        <v>46140.83615740741</v>
      </c>
      <c r="N686" s="177" t="s">
        <v>22</v>
      </c>
      <c r="O686" s="164"/>
      <c r="P686" s="177" t="s">
        <v>3058</v>
      </c>
      <c r="Q686" s="177" t="s">
        <v>2808</v>
      </c>
      <c r="R686" s="164"/>
      <c r="S686" s="163"/>
      <c r="T686" s="164"/>
      <c r="U686" s="164"/>
      <c r="V686" s="164"/>
      <c r="W686" s="164"/>
      <c r="X686" s="164"/>
    </row>
    <row r="687">
      <c r="A687" s="175">
        <v>46141.0</v>
      </c>
      <c r="B687" s="176" t="s">
        <v>3062</v>
      </c>
      <c r="C687" s="177" t="s">
        <v>1049</v>
      </c>
      <c r="D687" s="177" t="s">
        <v>1051</v>
      </c>
      <c r="E687" s="177" t="s">
        <v>6977</v>
      </c>
      <c r="F687" s="177" t="s">
        <v>6977</v>
      </c>
      <c r="G687" s="186"/>
      <c r="H687" s="180" t="s">
        <v>3062</v>
      </c>
      <c r="I687" s="163">
        <f>IFERROR(__xludf.DUMMYFUNCTION("""COMPUTED_VALUE"""),9.5)</f>
        <v>9.5</v>
      </c>
      <c r="J687" s="177" t="s">
        <v>6705</v>
      </c>
      <c r="K687" s="177" t="s">
        <v>7299</v>
      </c>
      <c r="L687" s="164"/>
      <c r="M687" s="187">
        <v>46141.60192129629</v>
      </c>
      <c r="N687" s="177" t="s">
        <v>22</v>
      </c>
      <c r="O687" s="164"/>
      <c r="P687" s="177" t="s">
        <v>3065</v>
      </c>
      <c r="Q687" s="177" t="s">
        <v>3063</v>
      </c>
      <c r="R687" s="164"/>
      <c r="S687" s="163">
        <f>IFERROR(__xludf.DUMMYFUNCTION("""COMPUTED_VALUE"""),9.5)</f>
        <v>9.5</v>
      </c>
      <c r="T687" s="164"/>
      <c r="U687" s="164"/>
      <c r="V687" s="164"/>
      <c r="W687" s="164"/>
      <c r="X687" s="164"/>
    </row>
    <row r="688">
      <c r="A688" s="175">
        <v>46141.0</v>
      </c>
      <c r="B688" s="176" t="s">
        <v>3493</v>
      </c>
      <c r="C688" s="177" t="s">
        <v>1049</v>
      </c>
      <c r="D688" s="177" t="s">
        <v>7008</v>
      </c>
      <c r="E688" s="177" t="s">
        <v>6987</v>
      </c>
      <c r="F688" s="177" t="s">
        <v>6733</v>
      </c>
      <c r="G688" s="186"/>
      <c r="H688" s="180" t="s">
        <v>3493</v>
      </c>
      <c r="I688" s="163">
        <f>IFERROR(__xludf.DUMMYFUNCTION("""COMPUTED_VALUE"""),3.55)</f>
        <v>3.55</v>
      </c>
      <c r="J688" s="177" t="s">
        <v>6705</v>
      </c>
      <c r="K688" s="177" t="s">
        <v>7300</v>
      </c>
      <c r="L688" s="164"/>
      <c r="M688" s="187">
        <v>46141.60744212963</v>
      </c>
      <c r="N688" s="177" t="s">
        <v>22</v>
      </c>
      <c r="O688" s="164"/>
      <c r="P688" s="177" t="s">
        <v>3495</v>
      </c>
      <c r="Q688" s="177" t="s">
        <v>2171</v>
      </c>
      <c r="R688" s="164"/>
      <c r="S688" s="163">
        <f>IFERROR(__xludf.DUMMYFUNCTION("""COMPUTED_VALUE"""),7.1)</f>
        <v>7.1</v>
      </c>
      <c r="T688" s="164"/>
      <c r="U688" s="164"/>
      <c r="V688" s="164"/>
      <c r="W688" s="164"/>
      <c r="X688" s="164"/>
    </row>
    <row r="689">
      <c r="A689" s="175">
        <v>46141.0</v>
      </c>
      <c r="B689" s="176" t="s">
        <v>3066</v>
      </c>
      <c r="C689" s="177" t="s">
        <v>1049</v>
      </c>
      <c r="D689" s="177" t="s">
        <v>1051</v>
      </c>
      <c r="E689" s="177" t="s">
        <v>6987</v>
      </c>
      <c r="F689" s="177" t="s">
        <v>842</v>
      </c>
      <c r="G689" s="186"/>
      <c r="H689" s="180" t="s">
        <v>3066</v>
      </c>
      <c r="I689" s="163">
        <f>IFERROR(__xludf.DUMMYFUNCTION("""COMPUTED_VALUE"""),9.5)</f>
        <v>9.5</v>
      </c>
      <c r="J689" s="177" t="s">
        <v>6705</v>
      </c>
      <c r="K689" s="177" t="s">
        <v>7301</v>
      </c>
      <c r="L689" s="164"/>
      <c r="M689" s="187">
        <v>46141.62484953704</v>
      </c>
      <c r="N689" s="177" t="s">
        <v>22</v>
      </c>
      <c r="O689" s="164"/>
      <c r="P689" s="177" t="s">
        <v>3068</v>
      </c>
      <c r="Q689" s="177" t="s">
        <v>1629</v>
      </c>
      <c r="R689" s="164"/>
      <c r="S689" s="163">
        <f>IFERROR(__xludf.DUMMYFUNCTION("""COMPUTED_VALUE"""),19.0)</f>
        <v>19</v>
      </c>
      <c r="T689" s="164"/>
      <c r="U689" s="164"/>
      <c r="V689" s="164"/>
      <c r="W689" s="164"/>
      <c r="X689" s="164"/>
    </row>
    <row r="690">
      <c r="A690" s="175">
        <v>46100.0</v>
      </c>
      <c r="B690" s="176" t="s">
        <v>2861</v>
      </c>
      <c r="C690" s="177" t="s">
        <v>1049</v>
      </c>
      <c r="D690" s="177" t="s">
        <v>7195</v>
      </c>
      <c r="E690" s="177" t="s">
        <v>6924</v>
      </c>
      <c r="F690" s="177" t="s">
        <v>6878</v>
      </c>
      <c r="G690" s="186"/>
      <c r="H690" s="180" t="s">
        <v>2861</v>
      </c>
      <c r="I690" s="163">
        <f>IFERROR(__xludf.DUMMYFUNCTION("""COMPUTED_VALUE"""),11.0)</f>
        <v>11</v>
      </c>
      <c r="J690" s="177" t="s">
        <v>7171</v>
      </c>
      <c r="K690" s="177" t="s">
        <v>7302</v>
      </c>
      <c r="L690" s="164"/>
      <c r="M690" s="187">
        <v>46141.731770833336</v>
      </c>
      <c r="N690" s="177" t="s">
        <v>22</v>
      </c>
      <c r="O690" s="164"/>
      <c r="P690" s="177" t="s">
        <v>2863</v>
      </c>
      <c r="Q690" s="177" t="s">
        <v>1770</v>
      </c>
      <c r="R690" s="164"/>
      <c r="S690" s="163">
        <f>IFERROR(__xludf.DUMMYFUNCTION("""COMPUTED_VALUE"""),21.665000000000003)</f>
        <v>21.665</v>
      </c>
      <c r="T690" s="164"/>
      <c r="U690" s="164"/>
      <c r="V690" s="164"/>
      <c r="W690" s="164"/>
      <c r="X690" s="164"/>
    </row>
    <row r="691">
      <c r="A691" s="175">
        <v>45893.0</v>
      </c>
      <c r="B691" s="176" t="s">
        <v>1536</v>
      </c>
      <c r="C691" s="177" t="s">
        <v>1118</v>
      </c>
      <c r="D691" s="177" t="s">
        <v>6712</v>
      </c>
      <c r="E691" s="177" t="s">
        <v>48</v>
      </c>
      <c r="F691" s="177" t="s">
        <v>48</v>
      </c>
      <c r="G691" s="186"/>
      <c r="H691" s="180" t="s">
        <v>1536</v>
      </c>
      <c r="I691" s="163">
        <f>IFERROR(__xludf.DUMMYFUNCTION("""COMPUTED_VALUE"""),2.49875)</f>
        <v>2.49875</v>
      </c>
      <c r="J691" s="177" t="s">
        <v>6735</v>
      </c>
      <c r="K691" s="177" t="s">
        <v>7303</v>
      </c>
      <c r="L691" s="177" t="s">
        <v>7304</v>
      </c>
      <c r="M691" s="187">
        <v>46142.60789351852</v>
      </c>
      <c r="N691" s="177" t="s">
        <v>22</v>
      </c>
      <c r="O691" s="164"/>
      <c r="P691" s="164"/>
      <c r="Q691" s="177" t="s">
        <v>1537</v>
      </c>
      <c r="R691" s="164"/>
      <c r="S691" s="163">
        <f>IFERROR(__xludf.DUMMYFUNCTION("""COMPUTED_VALUE"""),3.75)</f>
        <v>3.75</v>
      </c>
      <c r="T691" s="164"/>
      <c r="U691" s="164"/>
      <c r="V691" s="164"/>
      <c r="W691" s="164"/>
      <c r="X691" s="164"/>
    </row>
    <row r="692">
      <c r="A692" s="175">
        <v>45893.0</v>
      </c>
      <c r="B692" s="176" t="s">
        <v>1536</v>
      </c>
      <c r="C692" s="177" t="s">
        <v>6716</v>
      </c>
      <c r="D692" s="177" t="s">
        <v>6712</v>
      </c>
      <c r="E692" s="164"/>
      <c r="F692" s="177" t="s">
        <v>48</v>
      </c>
      <c r="G692" s="179" t="s">
        <v>6720</v>
      </c>
      <c r="H692" s="180" t="s">
        <v>1553</v>
      </c>
      <c r="I692" s="163">
        <f>IFERROR(__xludf.DUMMYFUNCTION("""COMPUTED_VALUE"""),2.49875)</f>
        <v>2.49875</v>
      </c>
      <c r="J692" s="177" t="s">
        <v>6735</v>
      </c>
      <c r="K692" s="177" t="s">
        <v>4672</v>
      </c>
      <c r="L692" s="164"/>
      <c r="M692" s="187">
        <v>46142.61070601852</v>
      </c>
      <c r="N692" s="177" t="s">
        <v>22</v>
      </c>
      <c r="O692" s="164"/>
      <c r="P692" s="164"/>
      <c r="Q692" s="177" t="s">
        <v>1537</v>
      </c>
      <c r="R692" s="164"/>
      <c r="S692" s="163">
        <f>IFERROR(__xludf.DUMMYFUNCTION("""COMPUTED_VALUE"""),3.75)</f>
        <v>3.75</v>
      </c>
      <c r="T692" s="164"/>
      <c r="U692" s="164"/>
      <c r="V692" s="164"/>
      <c r="W692" s="164"/>
      <c r="X692" s="164"/>
    </row>
    <row r="693">
      <c r="A693" s="175">
        <v>45893.0</v>
      </c>
      <c r="B693" s="176" t="s">
        <v>1536</v>
      </c>
      <c r="C693" s="177" t="s">
        <v>6716</v>
      </c>
      <c r="D693" s="177" t="s">
        <v>6712</v>
      </c>
      <c r="E693" s="164"/>
      <c r="F693" s="177" t="s">
        <v>6731</v>
      </c>
      <c r="G693" s="179" t="s">
        <v>6721</v>
      </c>
      <c r="H693" s="180" t="s">
        <v>3043</v>
      </c>
      <c r="I693" s="163">
        <f>IFERROR(__xludf.DUMMYFUNCTION("""COMPUTED_VALUE"""),2.49875)</f>
        <v>2.49875</v>
      </c>
      <c r="J693" s="177" t="s">
        <v>6737</v>
      </c>
      <c r="K693" s="177" t="s">
        <v>4674</v>
      </c>
      <c r="L693" s="164"/>
      <c r="M693" s="187">
        <v>46142.61157407407</v>
      </c>
      <c r="N693" s="177" t="s">
        <v>22</v>
      </c>
      <c r="O693" s="164"/>
      <c r="P693" s="164"/>
      <c r="Q693" s="177" t="s">
        <v>1537</v>
      </c>
      <c r="R693" s="164"/>
      <c r="S693" s="163">
        <f>IFERROR(__xludf.DUMMYFUNCTION("""COMPUTED_VALUE"""),3.75)</f>
        <v>3.75</v>
      </c>
      <c r="T693" s="164"/>
      <c r="U693" s="164"/>
      <c r="V693" s="164"/>
      <c r="W693" s="164"/>
      <c r="X693" s="164"/>
    </row>
    <row r="694">
      <c r="A694" s="175">
        <v>45893.0</v>
      </c>
      <c r="B694" s="176" t="s">
        <v>1536</v>
      </c>
      <c r="C694" s="177" t="s">
        <v>6716</v>
      </c>
      <c r="D694" s="177" t="s">
        <v>6712</v>
      </c>
      <c r="E694" s="164"/>
      <c r="F694" s="177" t="s">
        <v>6706</v>
      </c>
      <c r="G694" s="179" t="s">
        <v>6722</v>
      </c>
      <c r="H694" s="180" t="s">
        <v>1555</v>
      </c>
      <c r="I694" s="163">
        <f>IFERROR(__xludf.DUMMYFUNCTION("""COMPUTED_VALUE"""),2.49875)</f>
        <v>2.49875</v>
      </c>
      <c r="J694" s="177" t="s">
        <v>6759</v>
      </c>
      <c r="K694" s="177" t="s">
        <v>4676</v>
      </c>
      <c r="L694" s="164"/>
      <c r="M694" s="187">
        <v>46142.61199074074</v>
      </c>
      <c r="N694" s="177" t="s">
        <v>22</v>
      </c>
      <c r="O694" s="164"/>
      <c r="P694" s="164"/>
      <c r="Q694" s="177" t="s">
        <v>1537</v>
      </c>
      <c r="R694" s="164"/>
      <c r="S694" s="163">
        <f>IFERROR(__xludf.DUMMYFUNCTION("""COMPUTED_VALUE"""),3.75)</f>
        <v>3.75</v>
      </c>
      <c r="T694" s="164"/>
      <c r="U694" s="164"/>
      <c r="V694" s="164"/>
      <c r="W694" s="164"/>
      <c r="X694" s="164"/>
    </row>
    <row r="695">
      <c r="A695" s="175">
        <v>45893.0</v>
      </c>
      <c r="B695" s="176" t="s">
        <v>1536</v>
      </c>
      <c r="C695" s="177" t="s">
        <v>6716</v>
      </c>
      <c r="D695" s="177" t="s">
        <v>6712</v>
      </c>
      <c r="E695" s="164"/>
      <c r="F695" s="177" t="s">
        <v>6703</v>
      </c>
      <c r="G695" s="179" t="s">
        <v>6726</v>
      </c>
      <c r="H695" s="180" t="s">
        <v>1557</v>
      </c>
      <c r="I695" s="163">
        <f>IFERROR(__xludf.DUMMYFUNCTION("""COMPUTED_VALUE"""),2.49875)</f>
        <v>2.49875</v>
      </c>
      <c r="J695" s="177" t="s">
        <v>6705</v>
      </c>
      <c r="K695" s="177" t="s">
        <v>4678</v>
      </c>
      <c r="L695" s="164"/>
      <c r="M695" s="187">
        <v>46142.61292824074</v>
      </c>
      <c r="N695" s="177" t="s">
        <v>22</v>
      </c>
      <c r="O695" s="164"/>
      <c r="P695" s="164"/>
      <c r="Q695" s="177" t="s">
        <v>1537</v>
      </c>
      <c r="R695" s="164"/>
      <c r="S695" s="163">
        <f>IFERROR(__xludf.DUMMYFUNCTION("""COMPUTED_VALUE"""),3.75)</f>
        <v>3.75</v>
      </c>
      <c r="T695" s="164"/>
      <c r="U695" s="164"/>
      <c r="V695" s="164"/>
      <c r="W695" s="164"/>
      <c r="X695" s="164"/>
    </row>
    <row r="696">
      <c r="A696" s="175">
        <v>45893.0</v>
      </c>
      <c r="B696" s="176" t="s">
        <v>1536</v>
      </c>
      <c r="C696" s="177" t="s">
        <v>6716</v>
      </c>
      <c r="D696" s="177" t="s">
        <v>6712</v>
      </c>
      <c r="E696" s="164"/>
      <c r="F696" s="177" t="s">
        <v>6832</v>
      </c>
      <c r="G696" s="179" t="s">
        <v>6774</v>
      </c>
      <c r="H696" s="180" t="s">
        <v>1559</v>
      </c>
      <c r="I696" s="163">
        <f>IFERROR(__xludf.DUMMYFUNCTION("""COMPUTED_VALUE"""),2.49875)</f>
        <v>2.49875</v>
      </c>
      <c r="J696" s="177" t="s">
        <v>6739</v>
      </c>
      <c r="K696" s="177" t="s">
        <v>4680</v>
      </c>
      <c r="L696" s="164"/>
      <c r="M696" s="187">
        <v>46142.61409722222</v>
      </c>
      <c r="N696" s="177" t="s">
        <v>22</v>
      </c>
      <c r="O696" s="164"/>
      <c r="P696" s="164"/>
      <c r="Q696" s="177" t="s">
        <v>1537</v>
      </c>
      <c r="R696" s="164"/>
      <c r="S696" s="163">
        <f>IFERROR(__xludf.DUMMYFUNCTION("""COMPUTED_VALUE"""),3.75)</f>
        <v>3.75</v>
      </c>
      <c r="T696" s="164"/>
      <c r="U696" s="164"/>
      <c r="V696" s="164"/>
      <c r="W696" s="164"/>
      <c r="X696" s="164"/>
    </row>
    <row r="697">
      <c r="A697" s="175">
        <v>45893.0</v>
      </c>
      <c r="B697" s="176" t="s">
        <v>1536</v>
      </c>
      <c r="C697" s="177" t="s">
        <v>6716</v>
      </c>
      <c r="D697" s="177" t="s">
        <v>6712</v>
      </c>
      <c r="E697" s="164"/>
      <c r="F697" s="177" t="s">
        <v>6703</v>
      </c>
      <c r="G697" s="179" t="s">
        <v>6704</v>
      </c>
      <c r="H697" s="180" t="s">
        <v>1561</v>
      </c>
      <c r="I697" s="163">
        <f>IFERROR(__xludf.DUMMYFUNCTION("""COMPUTED_VALUE"""),2.49875)</f>
        <v>2.49875</v>
      </c>
      <c r="J697" s="177" t="s">
        <v>6705</v>
      </c>
      <c r="K697" s="177" t="s">
        <v>4682</v>
      </c>
      <c r="L697" s="164"/>
      <c r="M697" s="187">
        <v>46142.614594907405</v>
      </c>
      <c r="N697" s="177" t="s">
        <v>22</v>
      </c>
      <c r="O697" s="164"/>
      <c r="P697" s="164"/>
      <c r="Q697" s="177" t="s">
        <v>1537</v>
      </c>
      <c r="R697" s="164"/>
      <c r="S697" s="163">
        <f>IFERROR(__xludf.DUMMYFUNCTION("""COMPUTED_VALUE"""),3.75)</f>
        <v>3.75</v>
      </c>
      <c r="T697" s="164"/>
      <c r="U697" s="164"/>
      <c r="V697" s="164"/>
      <c r="W697" s="164"/>
      <c r="X697" s="164"/>
    </row>
    <row r="698">
      <c r="A698" s="175">
        <v>46143.0</v>
      </c>
      <c r="B698" s="176" t="s">
        <v>3076</v>
      </c>
      <c r="C698" s="177" t="s">
        <v>1049</v>
      </c>
      <c r="D698" s="177" t="s">
        <v>7295</v>
      </c>
      <c r="E698" s="177" t="s">
        <v>6703</v>
      </c>
      <c r="F698" s="177" t="s">
        <v>6703</v>
      </c>
      <c r="G698" s="186"/>
      <c r="H698" s="180" t="s">
        <v>3076</v>
      </c>
      <c r="I698" s="163">
        <f>IFERROR(__xludf.DUMMYFUNCTION("""COMPUTED_VALUE"""),6.083333333333333)</f>
        <v>6.083333333</v>
      </c>
      <c r="J698" s="177" t="s">
        <v>6705</v>
      </c>
      <c r="K698" s="177" t="s">
        <v>7305</v>
      </c>
      <c r="L698" s="164"/>
      <c r="M698" s="187">
        <v>46143.59019675926</v>
      </c>
      <c r="N698" s="177" t="s">
        <v>22</v>
      </c>
      <c r="O698" s="164"/>
      <c r="P698" s="177" t="s">
        <v>3078</v>
      </c>
      <c r="Q698" s="177" t="s">
        <v>1665</v>
      </c>
      <c r="R698" s="164"/>
      <c r="S698" s="163">
        <f>IFERROR(__xludf.DUMMYFUNCTION("""COMPUTED_VALUE"""),0.0)</f>
        <v>0</v>
      </c>
      <c r="T698" s="164"/>
      <c r="U698" s="164"/>
      <c r="V698" s="164"/>
      <c r="W698" s="164"/>
      <c r="X698" s="164"/>
    </row>
    <row r="699">
      <c r="A699" s="175">
        <v>46143.0</v>
      </c>
      <c r="B699" s="176" t="s">
        <v>3073</v>
      </c>
      <c r="C699" s="177" t="s">
        <v>1049</v>
      </c>
      <c r="D699" s="177" t="s">
        <v>7195</v>
      </c>
      <c r="E699" s="177" t="s">
        <v>6706</v>
      </c>
      <c r="F699" s="177" t="s">
        <v>6706</v>
      </c>
      <c r="G699" s="186"/>
      <c r="H699" s="180" t="s">
        <v>3073</v>
      </c>
      <c r="I699" s="163">
        <f>IFERROR(__xludf.DUMMYFUNCTION("""COMPUTED_VALUE"""),3.3316666666666666)</f>
        <v>3.331666667</v>
      </c>
      <c r="J699" s="177" t="s">
        <v>6739</v>
      </c>
      <c r="K699" s="177" t="s">
        <v>7306</v>
      </c>
      <c r="L699" s="164"/>
      <c r="M699" s="187">
        <v>46143.60119212963</v>
      </c>
      <c r="N699" s="177" t="s">
        <v>22</v>
      </c>
      <c r="O699" s="164"/>
      <c r="P699" s="177" t="s">
        <v>3075</v>
      </c>
      <c r="Q699" s="177" t="s">
        <v>1605</v>
      </c>
      <c r="R699" s="164"/>
      <c r="S699" s="163">
        <f>IFERROR(__xludf.DUMMYFUNCTION("""COMPUTED_VALUE"""),0.0)</f>
        <v>0</v>
      </c>
      <c r="T699" s="164"/>
      <c r="U699" s="164"/>
      <c r="V699" s="164"/>
      <c r="W699" s="164"/>
      <c r="X699" s="164"/>
    </row>
    <row r="700">
      <c r="A700" s="175">
        <v>46143.0</v>
      </c>
      <c r="B700" s="176" t="s">
        <v>3069</v>
      </c>
      <c r="C700" s="177" t="s">
        <v>1049</v>
      </c>
      <c r="D700" s="177" t="s">
        <v>1051</v>
      </c>
      <c r="E700" s="177" t="s">
        <v>6987</v>
      </c>
      <c r="F700" s="177" t="s">
        <v>6987</v>
      </c>
      <c r="G700" s="186"/>
      <c r="H700" s="180" t="s">
        <v>3069</v>
      </c>
      <c r="I700" s="163">
        <f>IFERROR(__xludf.DUMMYFUNCTION("""COMPUTED_VALUE"""),9.5)</f>
        <v>9.5</v>
      </c>
      <c r="J700" s="177" t="s">
        <v>6735</v>
      </c>
      <c r="K700" s="177" t="s">
        <v>7307</v>
      </c>
      <c r="L700" s="164"/>
      <c r="M700" s="187">
        <v>46143.61502314815</v>
      </c>
      <c r="N700" s="177" t="s">
        <v>22</v>
      </c>
      <c r="O700" s="164"/>
      <c r="P700" s="177" t="s">
        <v>3072</v>
      </c>
      <c r="Q700" s="177" t="s">
        <v>3070</v>
      </c>
      <c r="R700" s="164"/>
      <c r="S700" s="163">
        <f>IFERROR(__xludf.DUMMYFUNCTION("""COMPUTED_VALUE"""),19.0)</f>
        <v>19</v>
      </c>
      <c r="T700" s="164"/>
      <c r="U700" s="164"/>
      <c r="V700" s="164"/>
      <c r="W700" s="164"/>
      <c r="X700" s="164"/>
    </row>
    <row r="701">
      <c r="A701" s="175">
        <v>46145.0</v>
      </c>
      <c r="B701" s="176" t="s">
        <v>3094</v>
      </c>
      <c r="C701" s="177" t="s">
        <v>1049</v>
      </c>
      <c r="D701" s="177" t="s">
        <v>7308</v>
      </c>
      <c r="E701" s="177" t="s">
        <v>6717</v>
      </c>
      <c r="F701" s="177" t="s">
        <v>38</v>
      </c>
      <c r="G701" s="186"/>
      <c r="H701" s="180" t="s">
        <v>3094</v>
      </c>
      <c r="I701" s="163">
        <f>IFERROR(__xludf.DUMMYFUNCTION("""COMPUTED_VALUE"""),10.2)</f>
        <v>10.2</v>
      </c>
      <c r="J701" s="177" t="s">
        <v>6735</v>
      </c>
      <c r="K701" s="177" t="s">
        <v>7309</v>
      </c>
      <c r="L701" s="164"/>
      <c r="M701" s="187">
        <v>46145.559166666666</v>
      </c>
      <c r="N701" s="177" t="s">
        <v>22</v>
      </c>
      <c r="O701" s="164"/>
      <c r="P701" s="177" t="s">
        <v>3096</v>
      </c>
      <c r="Q701" s="177" t="s">
        <v>1490</v>
      </c>
      <c r="R701" s="164"/>
      <c r="S701" s="163">
        <f>IFERROR(__xludf.DUMMYFUNCTION("""COMPUTED_VALUE"""),24.99)</f>
        <v>24.99</v>
      </c>
      <c r="T701" s="164"/>
      <c r="U701" s="164"/>
      <c r="V701" s="164"/>
      <c r="W701" s="164"/>
      <c r="X701" s="164"/>
    </row>
    <row r="702">
      <c r="A702" s="175">
        <v>46145.0</v>
      </c>
      <c r="B702" s="176" t="s">
        <v>3091</v>
      </c>
      <c r="C702" s="177" t="s">
        <v>6992</v>
      </c>
      <c r="D702" s="177" t="s">
        <v>7310</v>
      </c>
      <c r="E702" s="177" t="s">
        <v>6749</v>
      </c>
      <c r="F702" s="177" t="s">
        <v>1050</v>
      </c>
      <c r="G702" s="186"/>
      <c r="H702" s="180" t="s">
        <v>3091</v>
      </c>
      <c r="I702" s="163">
        <f>IFERROR(__xludf.DUMMYFUNCTION("""COMPUTED_VALUE"""),0.0)</f>
        <v>0</v>
      </c>
      <c r="J702" s="177" t="s">
        <v>6705</v>
      </c>
      <c r="K702" s="177" t="s">
        <v>7311</v>
      </c>
      <c r="L702" s="164"/>
      <c r="M702" s="187">
        <v>46145.56998842592</v>
      </c>
      <c r="N702" s="177" t="s">
        <v>22</v>
      </c>
      <c r="O702" s="164"/>
      <c r="P702" s="177" t="s">
        <v>3093</v>
      </c>
      <c r="Q702" s="177" t="s">
        <v>2581</v>
      </c>
      <c r="R702" s="164"/>
      <c r="S702" s="163">
        <f>IFERROR(__xludf.DUMMYFUNCTION("""COMPUTED_VALUE"""),0.0)</f>
        <v>0</v>
      </c>
      <c r="T702" s="164"/>
      <c r="U702" s="164"/>
      <c r="V702" s="164"/>
      <c r="W702" s="164"/>
      <c r="X702" s="164"/>
    </row>
    <row r="703">
      <c r="A703" s="175">
        <v>46145.0</v>
      </c>
      <c r="B703" s="176" t="s">
        <v>2637</v>
      </c>
      <c r="C703" s="177" t="s">
        <v>6994</v>
      </c>
      <c r="D703" s="177" t="s">
        <v>7310</v>
      </c>
      <c r="E703" s="177" t="s">
        <v>6749</v>
      </c>
      <c r="F703" s="177"/>
      <c r="G703" s="186"/>
      <c r="H703" s="180"/>
      <c r="I703" s="163" t="str">
        <f>IFERROR(__xludf.DUMMYFUNCTION("""COMPUTED_VALUE"""),"")</f>
        <v/>
      </c>
      <c r="J703" s="177" t="s">
        <v>6705</v>
      </c>
      <c r="K703" s="177" t="s">
        <v>7312</v>
      </c>
      <c r="L703" s="164"/>
      <c r="M703" s="187">
        <v>46145.571377314816</v>
      </c>
      <c r="N703" s="177" t="s">
        <v>22</v>
      </c>
      <c r="O703" s="164"/>
      <c r="P703" s="177" t="s">
        <v>7313</v>
      </c>
      <c r="Q703" s="177" t="s">
        <v>2581</v>
      </c>
      <c r="R703" s="164"/>
      <c r="S703" s="163" t="str">
        <f>IFERROR(__xludf.DUMMYFUNCTION("""COMPUTED_VALUE"""),"")</f>
        <v/>
      </c>
      <c r="T703" s="164"/>
      <c r="U703" s="164"/>
      <c r="V703" s="164"/>
      <c r="W703" s="164"/>
      <c r="X703" s="164"/>
    </row>
    <row r="704">
      <c r="A704" s="175">
        <v>46145.0</v>
      </c>
      <c r="B704" s="176" t="s">
        <v>3088</v>
      </c>
      <c r="C704" s="177" t="s">
        <v>1049</v>
      </c>
      <c r="D704" s="177" t="s">
        <v>7308</v>
      </c>
      <c r="E704" s="177" t="s">
        <v>6776</v>
      </c>
      <c r="F704" s="177" t="s">
        <v>38</v>
      </c>
      <c r="G704" s="186"/>
      <c r="H704" s="180" t="s">
        <v>3088</v>
      </c>
      <c r="I704" s="163">
        <f>IFERROR(__xludf.DUMMYFUNCTION("""COMPUTED_VALUE"""),0.0)</f>
        <v>0</v>
      </c>
      <c r="J704" s="177" t="s">
        <v>6735</v>
      </c>
      <c r="K704" s="177" t="s">
        <v>7314</v>
      </c>
      <c r="L704" s="164"/>
      <c r="M704" s="187">
        <v>46145.59005787037</v>
      </c>
      <c r="N704" s="177" t="s">
        <v>22</v>
      </c>
      <c r="O704" s="164"/>
      <c r="P704" s="177" t="s">
        <v>3090</v>
      </c>
      <c r="Q704" s="177" t="s">
        <v>1564</v>
      </c>
      <c r="R704" s="164"/>
      <c r="S704" s="163">
        <f>IFERROR(__xludf.DUMMYFUNCTION("""COMPUTED_VALUE"""),0.0)</f>
        <v>0</v>
      </c>
      <c r="T704" s="164"/>
      <c r="U704" s="164"/>
      <c r="V704" s="164"/>
      <c r="W704" s="164"/>
      <c r="X704" s="164"/>
    </row>
    <row r="705">
      <c r="A705" s="175">
        <v>46145.0</v>
      </c>
      <c r="B705" s="176" t="s">
        <v>3085</v>
      </c>
      <c r="C705" s="177" t="s">
        <v>1049</v>
      </c>
      <c r="D705" s="177" t="s">
        <v>7308</v>
      </c>
      <c r="E705" s="177" t="s">
        <v>6706</v>
      </c>
      <c r="F705" s="177" t="s">
        <v>6987</v>
      </c>
      <c r="G705" s="186"/>
      <c r="H705" s="180" t="s">
        <v>3085</v>
      </c>
      <c r="I705" s="163">
        <f>IFERROR(__xludf.DUMMYFUNCTION("""COMPUTED_VALUE"""),2.7475)</f>
        <v>2.7475</v>
      </c>
      <c r="J705" s="177" t="s">
        <v>6735</v>
      </c>
      <c r="K705" s="177" t="s">
        <v>7315</v>
      </c>
      <c r="L705" s="164"/>
      <c r="M705" s="187">
        <v>46145.600810185184</v>
      </c>
      <c r="N705" s="177" t="s">
        <v>22</v>
      </c>
      <c r="O705" s="164"/>
      <c r="P705" s="177" t="s">
        <v>3087</v>
      </c>
      <c r="Q705" s="177" t="s">
        <v>1474</v>
      </c>
      <c r="R705" s="164"/>
      <c r="S705" s="163">
        <f>IFERROR(__xludf.DUMMYFUNCTION("""COMPUTED_VALUE"""),0.0)</f>
        <v>0</v>
      </c>
      <c r="T705" s="164"/>
      <c r="U705" s="164"/>
      <c r="V705" s="164"/>
      <c r="W705" s="164"/>
      <c r="X705" s="164"/>
    </row>
    <row r="706">
      <c r="A706" s="175">
        <v>46145.0</v>
      </c>
      <c r="B706" s="176" t="s">
        <v>3082</v>
      </c>
      <c r="C706" s="177" t="s">
        <v>1049</v>
      </c>
      <c r="D706" s="177" t="s">
        <v>7308</v>
      </c>
      <c r="E706" s="177" t="s">
        <v>6717</v>
      </c>
      <c r="F706" s="177" t="s">
        <v>6717</v>
      </c>
      <c r="G706" s="186"/>
      <c r="H706" s="180" t="s">
        <v>3082</v>
      </c>
      <c r="I706" s="163">
        <f>IFERROR(__xludf.DUMMYFUNCTION("""COMPUTED_VALUE"""),1.57)</f>
        <v>1.57</v>
      </c>
      <c r="J706" s="177" t="s">
        <v>6708</v>
      </c>
      <c r="K706" s="177" t="s">
        <v>7316</v>
      </c>
      <c r="L706" s="164"/>
      <c r="M706" s="187">
        <v>46145.617210648146</v>
      </c>
      <c r="N706" s="177" t="s">
        <v>22</v>
      </c>
      <c r="O706" s="164"/>
      <c r="P706" s="177" t="s">
        <v>3084</v>
      </c>
      <c r="Q706" s="177" t="s">
        <v>1474</v>
      </c>
      <c r="R706" s="164"/>
      <c r="S706" s="163">
        <f>IFERROR(__xludf.DUMMYFUNCTION("""COMPUTED_VALUE"""),0.0)</f>
        <v>0</v>
      </c>
      <c r="T706" s="164"/>
      <c r="U706" s="164"/>
      <c r="V706" s="164"/>
      <c r="W706" s="164"/>
      <c r="X706" s="164"/>
    </row>
    <row r="707">
      <c r="A707" s="175">
        <v>46145.0</v>
      </c>
      <c r="B707" s="176" t="s">
        <v>3079</v>
      </c>
      <c r="C707" s="177" t="s">
        <v>1049</v>
      </c>
      <c r="D707" s="177" t="s">
        <v>1051</v>
      </c>
      <c r="E707" s="177" t="s">
        <v>6731</v>
      </c>
      <c r="F707" s="177" t="s">
        <v>6731</v>
      </c>
      <c r="G707" s="186"/>
      <c r="H707" s="180" t="s">
        <v>3079</v>
      </c>
      <c r="I707" s="163">
        <f>IFERROR(__xludf.DUMMYFUNCTION("""COMPUTED_VALUE"""),3.3316666666666666)</f>
        <v>3.331666667</v>
      </c>
      <c r="J707" s="177" t="s">
        <v>6705</v>
      </c>
      <c r="K707" s="177" t="s">
        <v>7317</v>
      </c>
      <c r="L707" s="164"/>
      <c r="M707" s="187">
        <v>46145.62799768519</v>
      </c>
      <c r="N707" s="177" t="s">
        <v>22</v>
      </c>
      <c r="O707" s="164"/>
      <c r="P707" s="177" t="s">
        <v>3081</v>
      </c>
      <c r="Q707" s="177" t="s">
        <v>1545</v>
      </c>
      <c r="R707" s="164"/>
      <c r="S707" s="163">
        <f>IFERROR(__xludf.DUMMYFUNCTION("""COMPUTED_VALUE"""),2.8316666666666666)</f>
        <v>2.831666667</v>
      </c>
      <c r="T707" s="164"/>
      <c r="U707" s="164"/>
      <c r="V707" s="164"/>
      <c r="W707" s="164"/>
      <c r="X707" s="164"/>
    </row>
    <row r="708">
      <c r="A708" s="175">
        <v>46146.0</v>
      </c>
      <c r="B708" s="176" t="s">
        <v>3100</v>
      </c>
      <c r="C708" s="177" t="s">
        <v>1049</v>
      </c>
      <c r="D708" s="177" t="s">
        <v>7318</v>
      </c>
      <c r="E708" s="164"/>
      <c r="F708" s="177" t="s">
        <v>38</v>
      </c>
      <c r="G708" s="186"/>
      <c r="H708" s="180" t="s">
        <v>3100</v>
      </c>
      <c r="I708" s="163">
        <f>IFERROR(__xludf.DUMMYFUNCTION("""COMPUTED_VALUE"""),7.57)</f>
        <v>7.57</v>
      </c>
      <c r="J708" s="177" t="s">
        <v>6975</v>
      </c>
      <c r="K708" s="177" t="s">
        <v>7319</v>
      </c>
      <c r="L708" s="164"/>
      <c r="M708" s="187">
        <v>46146.36796296296</v>
      </c>
      <c r="N708" s="177" t="s">
        <v>22</v>
      </c>
      <c r="O708" s="164"/>
      <c r="P708" s="177" t="s">
        <v>3102</v>
      </c>
      <c r="Q708" s="177" t="s">
        <v>1684</v>
      </c>
      <c r="R708" s="164"/>
      <c r="S708" s="163"/>
      <c r="T708" s="164"/>
      <c r="U708" s="164"/>
      <c r="V708" s="164"/>
      <c r="W708" s="164"/>
      <c r="X708" s="164"/>
    </row>
    <row r="709">
      <c r="A709" s="175">
        <v>46146.0</v>
      </c>
      <c r="B709" s="176" t="s">
        <v>3097</v>
      </c>
      <c r="C709" s="177" t="s">
        <v>1049</v>
      </c>
      <c r="D709" s="177" t="s">
        <v>7308</v>
      </c>
      <c r="E709" s="177" t="s">
        <v>6777</v>
      </c>
      <c r="F709" s="177" t="s">
        <v>6777</v>
      </c>
      <c r="G709" s="186"/>
      <c r="H709" s="180" t="s">
        <v>3097</v>
      </c>
      <c r="I709" s="163">
        <f>IFERROR(__xludf.DUMMYFUNCTION("""COMPUTED_VALUE"""),2.1983333333333333)</f>
        <v>2.198333333</v>
      </c>
      <c r="J709" s="177" t="s">
        <v>6705</v>
      </c>
      <c r="K709" s="177" t="s">
        <v>7320</v>
      </c>
      <c r="L709" s="164"/>
      <c r="M709" s="187">
        <v>46146.37525462963</v>
      </c>
      <c r="N709" s="177" t="s">
        <v>22</v>
      </c>
      <c r="O709" s="164"/>
      <c r="P709" s="177" t="s">
        <v>3099</v>
      </c>
      <c r="Q709" s="177" t="s">
        <v>1569</v>
      </c>
      <c r="R709" s="164"/>
      <c r="S709" s="163">
        <f>IFERROR(__xludf.DUMMYFUNCTION("""COMPUTED_VALUE"""),0.0)</f>
        <v>0</v>
      </c>
      <c r="T709" s="164"/>
      <c r="U709" s="164"/>
      <c r="V709" s="164"/>
      <c r="W709" s="164"/>
      <c r="X709" s="164"/>
    </row>
    <row r="710">
      <c r="A710" s="175">
        <v>46146.0</v>
      </c>
      <c r="B710" s="176" t="s">
        <v>3109</v>
      </c>
      <c r="C710" s="177" t="s">
        <v>1118</v>
      </c>
      <c r="D710" s="177" t="s">
        <v>1051</v>
      </c>
      <c r="E710" s="177" t="s">
        <v>6987</v>
      </c>
      <c r="F710" s="177" t="s">
        <v>6987</v>
      </c>
      <c r="G710" s="186"/>
      <c r="H710" s="180" t="s">
        <v>3109</v>
      </c>
      <c r="I710" s="163">
        <f>IFERROR(__xludf.DUMMYFUNCTION("""COMPUTED_VALUE"""),25.0)</f>
        <v>25</v>
      </c>
      <c r="J710" s="177" t="s">
        <v>6735</v>
      </c>
      <c r="K710" s="177" t="s">
        <v>7321</v>
      </c>
      <c r="L710" s="164"/>
      <c r="M710" s="187">
        <v>46146.37671296296</v>
      </c>
      <c r="N710" s="177" t="s">
        <v>22</v>
      </c>
      <c r="O710" s="164"/>
      <c r="P710" s="177" t="s">
        <v>3112</v>
      </c>
      <c r="Q710" s="177" t="s">
        <v>3110</v>
      </c>
      <c r="R710" s="164"/>
      <c r="S710" s="163">
        <f>IFERROR(__xludf.DUMMYFUNCTION("""COMPUTED_VALUE"""),0.0)</f>
        <v>0</v>
      </c>
      <c r="T710" s="164"/>
      <c r="U710" s="164"/>
      <c r="V710" s="164"/>
      <c r="W710" s="164"/>
      <c r="X710" s="164"/>
    </row>
    <row r="711">
      <c r="A711" s="175">
        <v>46146.0</v>
      </c>
      <c r="B711" s="176" t="s">
        <v>3137</v>
      </c>
      <c r="C711" s="177" t="s">
        <v>6992</v>
      </c>
      <c r="D711" s="177" t="s">
        <v>7322</v>
      </c>
      <c r="E711" s="177" t="s">
        <v>6823</v>
      </c>
      <c r="F711" s="177" t="s">
        <v>38</v>
      </c>
      <c r="G711" s="186"/>
      <c r="H711" s="180" t="s">
        <v>3137</v>
      </c>
      <c r="I711" s="163">
        <f>IFERROR(__xludf.DUMMYFUNCTION("""COMPUTED_VALUE"""),11.9)</f>
        <v>11.9</v>
      </c>
      <c r="J711" s="177" t="s">
        <v>6735</v>
      </c>
      <c r="K711" s="177" t="s">
        <v>7323</v>
      </c>
      <c r="L711" s="164"/>
      <c r="M711" s="187">
        <v>46146.415810185186</v>
      </c>
      <c r="N711" s="177" t="s">
        <v>22</v>
      </c>
      <c r="O711" s="164"/>
      <c r="P711" s="177" t="s">
        <v>3139</v>
      </c>
      <c r="Q711" s="177" t="s">
        <v>1831</v>
      </c>
      <c r="R711" s="164"/>
      <c r="S711" s="163">
        <f>IFERROR(__xludf.DUMMYFUNCTION("""COMPUTED_VALUE"""),29.98)</f>
        <v>29.98</v>
      </c>
      <c r="T711" s="164"/>
      <c r="U711" s="164"/>
      <c r="V711" s="164"/>
      <c r="W711" s="164"/>
      <c r="X711" s="164"/>
    </row>
    <row r="712">
      <c r="A712" s="175">
        <v>46146.0</v>
      </c>
      <c r="B712" s="176" t="s">
        <v>2799</v>
      </c>
      <c r="C712" s="177" t="s">
        <v>6994</v>
      </c>
      <c r="D712" s="177" t="s">
        <v>7322</v>
      </c>
      <c r="E712" s="177" t="s">
        <v>6738</v>
      </c>
      <c r="F712" s="177"/>
      <c r="G712" s="186"/>
      <c r="H712" s="180"/>
      <c r="I712" s="163" t="str">
        <f>IFERROR(__xludf.DUMMYFUNCTION("""COMPUTED_VALUE"""),"")</f>
        <v/>
      </c>
      <c r="J712" s="177" t="s">
        <v>6735</v>
      </c>
      <c r="K712" s="188" t="s">
        <v>7324</v>
      </c>
      <c r="L712" s="164"/>
      <c r="M712" s="187">
        <v>46146.42003472222</v>
      </c>
      <c r="N712" s="177" t="s">
        <v>22</v>
      </c>
      <c r="O712" s="164"/>
      <c r="P712" s="177" t="s">
        <v>7325</v>
      </c>
      <c r="Q712" s="177" t="s">
        <v>1831</v>
      </c>
      <c r="R712" s="164"/>
      <c r="S712" s="163" t="str">
        <f>IFERROR(__xludf.DUMMYFUNCTION("""COMPUTED_VALUE"""),"")</f>
        <v/>
      </c>
      <c r="T712" s="164"/>
      <c r="U712" s="164"/>
      <c r="V712" s="164"/>
      <c r="W712" s="164"/>
      <c r="X712" s="164"/>
    </row>
    <row r="713">
      <c r="A713" s="175">
        <v>46146.0</v>
      </c>
      <c r="B713" s="176" t="s">
        <v>3134</v>
      </c>
      <c r="C713" s="177" t="s">
        <v>1118</v>
      </c>
      <c r="D713" s="177" t="s">
        <v>7308</v>
      </c>
      <c r="E713" s="177" t="s">
        <v>6717</v>
      </c>
      <c r="F713" s="177" t="s">
        <v>6823</v>
      </c>
      <c r="G713" s="186"/>
      <c r="H713" s="180" t="s">
        <v>3134</v>
      </c>
      <c r="I713" s="163">
        <f>IFERROR(__xludf.DUMMYFUNCTION("""COMPUTED_VALUE"""),3.4)</f>
        <v>3.4</v>
      </c>
      <c r="J713" s="177" t="s">
        <v>7171</v>
      </c>
      <c r="K713" s="177" t="s">
        <v>7326</v>
      </c>
      <c r="L713" s="164"/>
      <c r="M713" s="187">
        <v>46146.46954861111</v>
      </c>
      <c r="N713" s="177" t="s">
        <v>22</v>
      </c>
      <c r="O713" s="177" t="s">
        <v>7327</v>
      </c>
      <c r="P713" s="177" t="s">
        <v>3136</v>
      </c>
      <c r="Q713" s="177" t="s">
        <v>1490</v>
      </c>
      <c r="R713" s="164"/>
      <c r="S713" s="163">
        <f>IFERROR(__xludf.DUMMYFUNCTION("""COMPUTED_VALUE"""),8.33)</f>
        <v>8.33</v>
      </c>
      <c r="T713" s="164"/>
      <c r="U713" s="164"/>
      <c r="V713" s="164"/>
      <c r="W713" s="164"/>
      <c r="X713" s="164"/>
    </row>
    <row r="714">
      <c r="A714" s="175">
        <v>46146.0</v>
      </c>
      <c r="B714" s="176" t="s">
        <v>3134</v>
      </c>
      <c r="C714" s="177" t="s">
        <v>6716</v>
      </c>
      <c r="D714" s="177" t="s">
        <v>7308</v>
      </c>
      <c r="E714" s="164"/>
      <c r="F714" s="177" t="s">
        <v>850</v>
      </c>
      <c r="G714" s="179" t="s">
        <v>6720</v>
      </c>
      <c r="H714" s="180" t="s">
        <v>3121</v>
      </c>
      <c r="I714" s="163">
        <f>IFERROR(__xludf.DUMMYFUNCTION("""COMPUTED_VALUE"""),3.4)</f>
        <v>3.4</v>
      </c>
      <c r="J714" s="177" t="s">
        <v>6750</v>
      </c>
      <c r="K714" s="177" t="s">
        <v>4684</v>
      </c>
      <c r="L714" s="164"/>
      <c r="M714" s="187">
        <v>46146.470659722225</v>
      </c>
      <c r="N714" s="177" t="s">
        <v>22</v>
      </c>
      <c r="O714" s="164"/>
      <c r="P714" s="177" t="s">
        <v>3123</v>
      </c>
      <c r="Q714" s="177" t="s">
        <v>1490</v>
      </c>
      <c r="R714" s="164"/>
      <c r="S714" s="163">
        <f>IFERROR(__xludf.DUMMYFUNCTION("""COMPUTED_VALUE"""),8.33)</f>
        <v>8.33</v>
      </c>
      <c r="T714" s="164"/>
      <c r="U714" s="164"/>
      <c r="V714" s="164"/>
      <c r="W714" s="164"/>
      <c r="X714" s="164"/>
    </row>
    <row r="715">
      <c r="A715" s="175">
        <v>46146.0</v>
      </c>
      <c r="B715" s="176" t="s">
        <v>3134</v>
      </c>
      <c r="C715" s="177" t="s">
        <v>6716</v>
      </c>
      <c r="D715" s="177" t="s">
        <v>7308</v>
      </c>
      <c r="E715" s="164"/>
      <c r="F715" s="177" t="s">
        <v>850</v>
      </c>
      <c r="G715" s="179" t="s">
        <v>6721</v>
      </c>
      <c r="H715" s="180" t="s">
        <v>3124</v>
      </c>
      <c r="I715" s="163">
        <f>IFERROR(__xludf.DUMMYFUNCTION("""COMPUTED_VALUE"""),3.4)</f>
        <v>3.4</v>
      </c>
      <c r="J715" s="177" t="s">
        <v>6750</v>
      </c>
      <c r="K715" s="177" t="s">
        <v>4686</v>
      </c>
      <c r="L715" s="164"/>
      <c r="M715" s="187">
        <v>46146.47325231481</v>
      </c>
      <c r="N715" s="177" t="s">
        <v>22</v>
      </c>
      <c r="O715" s="164"/>
      <c r="P715" s="177" t="s">
        <v>3126</v>
      </c>
      <c r="Q715" s="177" t="s">
        <v>1490</v>
      </c>
      <c r="R715" s="164"/>
      <c r="S715" s="163">
        <f>IFERROR(__xludf.DUMMYFUNCTION("""COMPUTED_VALUE"""),8.33)</f>
        <v>8.33</v>
      </c>
      <c r="T715" s="164"/>
      <c r="U715" s="164"/>
      <c r="V715" s="164"/>
      <c r="W715" s="164"/>
      <c r="X715" s="164"/>
    </row>
    <row r="716">
      <c r="A716" s="175">
        <v>46146.0</v>
      </c>
      <c r="B716" s="176" t="s">
        <v>3542</v>
      </c>
      <c r="C716" s="177" t="s">
        <v>1049</v>
      </c>
      <c r="D716" s="177" t="s">
        <v>7308</v>
      </c>
      <c r="E716" s="177" t="s">
        <v>6861</v>
      </c>
      <c r="F716" s="177" t="s">
        <v>6738</v>
      </c>
      <c r="G716" s="186"/>
      <c r="H716" s="180" t="s">
        <v>3542</v>
      </c>
      <c r="I716" s="163">
        <f>IFERROR(__xludf.DUMMYFUNCTION("""COMPUTED_VALUE"""),10.2)</f>
        <v>10.2</v>
      </c>
      <c r="J716" s="177" t="s">
        <v>7176</v>
      </c>
      <c r="K716" s="177" t="s">
        <v>7328</v>
      </c>
      <c r="L716" s="164"/>
      <c r="M716" s="187">
        <v>46146.478159722225</v>
      </c>
      <c r="N716" s="177" t="s">
        <v>22</v>
      </c>
      <c r="O716" s="177" t="s">
        <v>7101</v>
      </c>
      <c r="P716" s="177" t="s">
        <v>7329</v>
      </c>
      <c r="Q716" s="177" t="s">
        <v>1490</v>
      </c>
      <c r="R716" s="164"/>
      <c r="S716" s="163">
        <f>IFERROR(__xludf.DUMMYFUNCTION("""COMPUTED_VALUE"""),24.99)</f>
        <v>24.99</v>
      </c>
      <c r="T716" s="164"/>
      <c r="U716" s="164"/>
      <c r="V716" s="164"/>
      <c r="W716" s="164"/>
      <c r="X716" s="164"/>
    </row>
    <row r="717">
      <c r="A717" s="175">
        <v>46146.0</v>
      </c>
      <c r="B717" s="176" t="s">
        <v>3118</v>
      </c>
      <c r="C717" s="177" t="s">
        <v>1049</v>
      </c>
      <c r="D717" s="177" t="s">
        <v>7308</v>
      </c>
      <c r="E717" s="177" t="s">
        <v>6706</v>
      </c>
      <c r="F717" s="177" t="s">
        <v>7330</v>
      </c>
      <c r="G717" s="186"/>
      <c r="H717" s="180" t="s">
        <v>3118</v>
      </c>
      <c r="I717" s="163">
        <f>IFERROR(__xludf.DUMMYFUNCTION("""COMPUTED_VALUE"""),2.198)</f>
        <v>2.198</v>
      </c>
      <c r="J717" s="177" t="s">
        <v>6735</v>
      </c>
      <c r="K717" s="177" t="s">
        <v>7331</v>
      </c>
      <c r="L717" s="164"/>
      <c r="M717" s="187">
        <v>46146.48615740741</v>
      </c>
      <c r="N717" s="177" t="s">
        <v>22</v>
      </c>
      <c r="O717" s="177" t="s">
        <v>7332</v>
      </c>
      <c r="P717" s="177" t="s">
        <v>3120</v>
      </c>
      <c r="Q717" s="177" t="s">
        <v>1474</v>
      </c>
      <c r="R717" s="164"/>
      <c r="S717" s="163">
        <f>IFERROR(__xludf.DUMMYFUNCTION("""COMPUTED_VALUE"""),5.0)</f>
        <v>5</v>
      </c>
      <c r="T717" s="164"/>
      <c r="U717" s="164"/>
      <c r="V717" s="164"/>
      <c r="W717" s="164"/>
      <c r="X717" s="164"/>
    </row>
    <row r="718">
      <c r="A718" s="175">
        <v>46146.0</v>
      </c>
      <c r="B718" s="176" t="s">
        <v>3113</v>
      </c>
      <c r="C718" s="177" t="s">
        <v>1118</v>
      </c>
      <c r="D718" s="177" t="s">
        <v>7318</v>
      </c>
      <c r="E718" s="177" t="s">
        <v>850</v>
      </c>
      <c r="F718" s="177" t="s">
        <v>7330</v>
      </c>
      <c r="G718" s="186"/>
      <c r="H718" s="180" t="s">
        <v>3113</v>
      </c>
      <c r="I718" s="163">
        <f>IFERROR(__xludf.DUMMYFUNCTION("""COMPUTED_VALUE"""),0.02666666666666667)</f>
        <v>0.02666666667</v>
      </c>
      <c r="J718" s="177" t="s">
        <v>6735</v>
      </c>
      <c r="K718" s="177" t="s">
        <v>7333</v>
      </c>
      <c r="L718" s="164"/>
      <c r="M718" s="187">
        <v>46146.774050925924</v>
      </c>
      <c r="N718" s="177" t="s">
        <v>22</v>
      </c>
      <c r="O718" s="164"/>
      <c r="P718" s="164"/>
      <c r="Q718" s="177" t="s">
        <v>3114</v>
      </c>
      <c r="R718" s="164"/>
      <c r="S718" s="163">
        <f>IFERROR(__xludf.DUMMYFUNCTION("""COMPUTED_VALUE"""),1.3333333333333333)</f>
        <v>1.333333333</v>
      </c>
      <c r="T718" s="164"/>
      <c r="U718" s="164"/>
      <c r="V718" s="164"/>
      <c r="W718" s="164"/>
      <c r="X718" s="164"/>
    </row>
    <row r="719">
      <c r="A719" s="175">
        <v>46146.0</v>
      </c>
      <c r="B719" s="176" t="s">
        <v>3113</v>
      </c>
      <c r="C719" s="177" t="s">
        <v>6716</v>
      </c>
      <c r="D719" s="177" t="s">
        <v>7318</v>
      </c>
      <c r="E719" s="164"/>
      <c r="F719" s="177" t="s">
        <v>7330</v>
      </c>
      <c r="G719" s="179" t="s">
        <v>6720</v>
      </c>
      <c r="H719" s="180" t="s">
        <v>3127</v>
      </c>
      <c r="I719" s="163">
        <f>IFERROR(__xludf.DUMMYFUNCTION("""COMPUTED_VALUE"""),0.02666666666666667)</f>
        <v>0.02666666667</v>
      </c>
      <c r="J719" s="177" t="s">
        <v>6735</v>
      </c>
      <c r="K719" s="177" t="s">
        <v>4688</v>
      </c>
      <c r="L719" s="164"/>
      <c r="M719" s="187">
        <v>46146.81107638889</v>
      </c>
      <c r="N719" s="177" t="s">
        <v>22</v>
      </c>
      <c r="O719" s="164"/>
      <c r="P719" s="177" t="s">
        <v>3129</v>
      </c>
      <c r="Q719" s="177" t="s">
        <v>3114</v>
      </c>
      <c r="R719" s="164"/>
      <c r="S719" s="163">
        <f>IFERROR(__xludf.DUMMYFUNCTION("""COMPUTED_VALUE"""),1.3333333333333333)</f>
        <v>1.333333333</v>
      </c>
      <c r="T719" s="164"/>
      <c r="U719" s="164"/>
      <c r="V719" s="164"/>
      <c r="W719" s="164"/>
      <c r="X719" s="164"/>
    </row>
    <row r="720">
      <c r="A720" s="175">
        <v>46146.0</v>
      </c>
      <c r="B720" s="176" t="s">
        <v>3113</v>
      </c>
      <c r="C720" s="177" t="s">
        <v>6716</v>
      </c>
      <c r="D720" s="177" t="s">
        <v>7318</v>
      </c>
      <c r="E720" s="164"/>
      <c r="F720" s="177" t="s">
        <v>7330</v>
      </c>
      <c r="G720" s="179" t="s">
        <v>6721</v>
      </c>
      <c r="H720" s="180" t="s">
        <v>3130</v>
      </c>
      <c r="I720" s="163">
        <f>IFERROR(__xludf.DUMMYFUNCTION("""COMPUTED_VALUE"""),0.02666666666666667)</f>
        <v>0.02666666667</v>
      </c>
      <c r="J720" s="177" t="s">
        <v>6735</v>
      </c>
      <c r="K720" s="177" t="s">
        <v>4690</v>
      </c>
      <c r="L720" s="164"/>
      <c r="M720" s="187">
        <v>46146.81244212963</v>
      </c>
      <c r="N720" s="177" t="s">
        <v>22</v>
      </c>
      <c r="O720" s="164"/>
      <c r="P720" s="164"/>
      <c r="Q720" s="177" t="s">
        <v>3114</v>
      </c>
      <c r="R720" s="164"/>
      <c r="S720" s="163">
        <f>IFERROR(__xludf.DUMMYFUNCTION("""COMPUTED_VALUE"""),1.3333333333333333)</f>
        <v>1.333333333</v>
      </c>
      <c r="T720" s="164"/>
      <c r="U720" s="164"/>
      <c r="V720" s="164"/>
      <c r="W720" s="164"/>
      <c r="X720" s="164"/>
    </row>
    <row r="721">
      <c r="A721" s="175">
        <v>46146.0</v>
      </c>
      <c r="B721" s="176" t="s">
        <v>3116</v>
      </c>
      <c r="C721" s="177" t="s">
        <v>1118</v>
      </c>
      <c r="D721" s="177" t="s">
        <v>7318</v>
      </c>
      <c r="E721" s="177" t="s">
        <v>850</v>
      </c>
      <c r="F721" s="177" t="s">
        <v>7330</v>
      </c>
      <c r="G721" s="186"/>
      <c r="H721" s="180" t="s">
        <v>3116</v>
      </c>
      <c r="I721" s="163">
        <f>IFERROR(__xludf.DUMMYFUNCTION("""COMPUTED_VALUE"""),0.04)</f>
        <v>0.04</v>
      </c>
      <c r="J721" s="177" t="s">
        <v>6735</v>
      </c>
      <c r="K721" s="177" t="s">
        <v>7334</v>
      </c>
      <c r="L721" s="164"/>
      <c r="M721" s="187">
        <v>46146.81335648148</v>
      </c>
      <c r="N721" s="177" t="s">
        <v>22</v>
      </c>
      <c r="O721" s="164"/>
      <c r="P721" s="164"/>
      <c r="Q721" s="177" t="s">
        <v>3114</v>
      </c>
      <c r="R721" s="164"/>
      <c r="S721" s="163">
        <f>IFERROR(__xludf.DUMMYFUNCTION("""COMPUTED_VALUE"""),2.0)</f>
        <v>2</v>
      </c>
      <c r="T721" s="164"/>
      <c r="U721" s="164"/>
      <c r="V721" s="164"/>
      <c r="W721" s="164"/>
      <c r="X721" s="164"/>
    </row>
    <row r="722">
      <c r="A722" s="175">
        <v>46146.0</v>
      </c>
      <c r="B722" s="176" t="s">
        <v>3116</v>
      </c>
      <c r="C722" s="177" t="s">
        <v>6716</v>
      </c>
      <c r="D722" s="177" t="s">
        <v>7318</v>
      </c>
      <c r="E722" s="164"/>
      <c r="F722" s="177" t="s">
        <v>7330</v>
      </c>
      <c r="G722" s="179" t="s">
        <v>6720</v>
      </c>
      <c r="H722" s="180" t="s">
        <v>3132</v>
      </c>
      <c r="I722" s="163">
        <f>IFERROR(__xludf.DUMMYFUNCTION("""COMPUTED_VALUE"""),0.04)</f>
        <v>0.04</v>
      </c>
      <c r="J722" s="177" t="s">
        <v>6735</v>
      </c>
      <c r="K722" s="177" t="s">
        <v>4692</v>
      </c>
      <c r="L722" s="164"/>
      <c r="M722" s="187">
        <v>46146.814247685186</v>
      </c>
      <c r="N722" s="177" t="s">
        <v>22</v>
      </c>
      <c r="O722" s="164"/>
      <c r="P722" s="164"/>
      <c r="Q722" s="177" t="s">
        <v>3114</v>
      </c>
      <c r="R722" s="164"/>
      <c r="S722" s="163">
        <f>IFERROR(__xludf.DUMMYFUNCTION("""COMPUTED_VALUE"""),2.0)</f>
        <v>2</v>
      </c>
      <c r="T722" s="164"/>
      <c r="U722" s="164"/>
      <c r="V722" s="164"/>
      <c r="W722" s="164"/>
      <c r="X722" s="164"/>
    </row>
    <row r="723">
      <c r="A723" s="175">
        <v>46146.0</v>
      </c>
      <c r="B723" s="176" t="s">
        <v>3103</v>
      </c>
      <c r="C723" s="177" t="s">
        <v>1049</v>
      </c>
      <c r="D723" s="177" t="s">
        <v>7308</v>
      </c>
      <c r="E723" s="177" t="s">
        <v>662</v>
      </c>
      <c r="F723" s="177" t="s">
        <v>7330</v>
      </c>
      <c r="G723" s="186"/>
      <c r="H723" s="180" t="s">
        <v>3103</v>
      </c>
      <c r="I723" s="163">
        <f>IFERROR(__xludf.DUMMYFUNCTION("""COMPUTED_VALUE"""),5.69)</f>
        <v>5.69</v>
      </c>
      <c r="J723" s="177" t="s">
        <v>6735</v>
      </c>
      <c r="K723" s="177" t="s">
        <v>7335</v>
      </c>
      <c r="L723" s="164"/>
      <c r="M723" s="187">
        <v>46146.81953703704</v>
      </c>
      <c r="N723" s="177" t="s">
        <v>22</v>
      </c>
      <c r="O723" s="164"/>
      <c r="P723" s="177" t="s">
        <v>3105</v>
      </c>
      <c r="Q723" s="177" t="s">
        <v>2824</v>
      </c>
      <c r="R723" s="164"/>
      <c r="S723" s="163">
        <f>IFERROR(__xludf.DUMMYFUNCTION("""COMPUTED_VALUE"""),11.38)</f>
        <v>11.38</v>
      </c>
      <c r="T723" s="164"/>
      <c r="U723" s="164"/>
      <c r="V723" s="164"/>
      <c r="W723" s="164"/>
      <c r="X723" s="164"/>
    </row>
    <row r="724">
      <c r="A724" s="175">
        <v>46146.0</v>
      </c>
      <c r="B724" s="176" t="s">
        <v>3106</v>
      </c>
      <c r="C724" s="177" t="s">
        <v>1049</v>
      </c>
      <c r="D724" s="177" t="s">
        <v>7308</v>
      </c>
      <c r="E724" s="177" t="s">
        <v>662</v>
      </c>
      <c r="F724" s="177" t="s">
        <v>7330</v>
      </c>
      <c r="G724" s="186"/>
      <c r="H724" s="180" t="s">
        <v>3106</v>
      </c>
      <c r="I724" s="163">
        <f>IFERROR(__xludf.DUMMYFUNCTION("""COMPUTED_VALUE"""),5.59)</f>
        <v>5.59</v>
      </c>
      <c r="J724" s="177" t="s">
        <v>6735</v>
      </c>
      <c r="K724" s="177" t="s">
        <v>7336</v>
      </c>
      <c r="L724" s="164"/>
      <c r="M724" s="187">
        <v>46146.82063657408</v>
      </c>
      <c r="N724" s="177" t="s">
        <v>22</v>
      </c>
      <c r="O724" s="164"/>
      <c r="P724" s="177" t="s">
        <v>3108</v>
      </c>
      <c r="Q724" s="177" t="s">
        <v>2707</v>
      </c>
      <c r="R724" s="164"/>
      <c r="S724" s="163">
        <f>IFERROR(__xludf.DUMMYFUNCTION("""COMPUTED_VALUE"""),15.0)</f>
        <v>15</v>
      </c>
      <c r="T724" s="164"/>
      <c r="U724" s="164"/>
      <c r="V724" s="164"/>
      <c r="W724" s="164"/>
      <c r="X724" s="164"/>
    </row>
    <row r="725">
      <c r="A725" s="175">
        <v>46146.0</v>
      </c>
      <c r="B725" s="176" t="s">
        <v>3140</v>
      </c>
      <c r="C725" s="177" t="s">
        <v>1049</v>
      </c>
      <c r="D725" s="177" t="s">
        <v>7308</v>
      </c>
      <c r="E725" s="177" t="s">
        <v>38</v>
      </c>
      <c r="F725" s="177" t="s">
        <v>7330</v>
      </c>
      <c r="G725" s="186"/>
      <c r="H725" s="180" t="s">
        <v>3140</v>
      </c>
      <c r="I725" s="163">
        <f>IFERROR(__xludf.DUMMYFUNCTION("""COMPUTED_VALUE"""),7.5)</f>
        <v>7.5</v>
      </c>
      <c r="J725" s="177" t="s">
        <v>6735</v>
      </c>
      <c r="K725" s="177" t="s">
        <v>7337</v>
      </c>
      <c r="L725" s="164"/>
      <c r="M725" s="187">
        <v>46146.82140046296</v>
      </c>
      <c r="N725" s="177" t="s">
        <v>22</v>
      </c>
      <c r="O725" s="164"/>
      <c r="P725" s="177" t="s">
        <v>3142</v>
      </c>
      <c r="Q725" s="177" t="s">
        <v>2431</v>
      </c>
      <c r="R725" s="164"/>
      <c r="S725" s="163">
        <f>IFERROR(__xludf.DUMMYFUNCTION("""COMPUTED_VALUE"""),19.99)</f>
        <v>19.99</v>
      </c>
      <c r="T725" s="164"/>
      <c r="U725" s="164"/>
      <c r="V725" s="164"/>
      <c r="W725" s="164"/>
      <c r="X725" s="164"/>
    </row>
    <row r="726">
      <c r="A726" s="175">
        <v>46147.0</v>
      </c>
      <c r="B726" s="176" t="s">
        <v>3149</v>
      </c>
      <c r="C726" s="177" t="s">
        <v>1118</v>
      </c>
      <c r="D726" s="177" t="s">
        <v>7310</v>
      </c>
      <c r="E726" s="177" t="s">
        <v>6731</v>
      </c>
      <c r="F726" s="177" t="s">
        <v>7330</v>
      </c>
      <c r="G726" s="186"/>
      <c r="H726" s="180" t="s">
        <v>3149</v>
      </c>
      <c r="I726" s="163">
        <f>IFERROR(__xludf.DUMMYFUNCTION("""COMPUTED_VALUE"""),0.7272727272727273)</f>
        <v>0.7272727273</v>
      </c>
      <c r="J726" s="177" t="s">
        <v>6735</v>
      </c>
      <c r="K726" s="177" t="s">
        <v>7338</v>
      </c>
      <c r="L726" s="164"/>
      <c r="M726" s="187">
        <v>46147.37699074074</v>
      </c>
      <c r="N726" s="177" t="s">
        <v>22</v>
      </c>
      <c r="O726" s="164"/>
      <c r="P726" s="177" t="s">
        <v>3151</v>
      </c>
      <c r="Q726" s="177" t="s">
        <v>1752</v>
      </c>
      <c r="R726" s="164"/>
      <c r="S726" s="163">
        <f>IFERROR(__xludf.DUMMYFUNCTION("""COMPUTED_VALUE"""),1.3636363636363635)</f>
        <v>1.363636364</v>
      </c>
      <c r="T726" s="164"/>
      <c r="U726" s="164"/>
      <c r="V726" s="164"/>
      <c r="W726" s="164"/>
      <c r="X726" s="164"/>
    </row>
    <row r="727">
      <c r="A727" s="175">
        <v>46147.0</v>
      </c>
      <c r="B727" s="176" t="s">
        <v>3149</v>
      </c>
      <c r="C727" s="177" t="s">
        <v>6716</v>
      </c>
      <c r="D727" s="177" t="s">
        <v>7339</v>
      </c>
      <c r="E727" s="164"/>
      <c r="F727" s="177" t="s">
        <v>7239</v>
      </c>
      <c r="G727" s="179" t="s">
        <v>6722</v>
      </c>
      <c r="H727" s="180" t="s">
        <v>3177</v>
      </c>
      <c r="I727" s="163">
        <f>IFERROR(__xludf.DUMMYFUNCTION("""COMPUTED_VALUE"""),0.7272727272727273)</f>
        <v>0.7272727273</v>
      </c>
      <c r="J727" s="177" t="s">
        <v>6750</v>
      </c>
      <c r="K727" s="177" t="s">
        <v>4694</v>
      </c>
      <c r="L727" s="164"/>
      <c r="M727" s="187">
        <v>46147.378854166665</v>
      </c>
      <c r="N727" s="177" t="s">
        <v>22</v>
      </c>
      <c r="O727" s="164"/>
      <c r="P727" s="177" t="s">
        <v>3179</v>
      </c>
      <c r="Q727" s="177" t="s">
        <v>1752</v>
      </c>
      <c r="R727" s="164"/>
      <c r="S727" s="163">
        <f>IFERROR(__xludf.DUMMYFUNCTION("""COMPUTED_VALUE"""),1.3636363636363635)</f>
        <v>1.363636364</v>
      </c>
      <c r="T727" s="164"/>
      <c r="U727" s="164"/>
      <c r="V727" s="164"/>
      <c r="W727" s="164"/>
      <c r="X727" s="164"/>
    </row>
    <row r="728">
      <c r="A728" s="175">
        <v>46147.0</v>
      </c>
      <c r="B728" s="176" t="s">
        <v>3149</v>
      </c>
      <c r="C728" s="177" t="s">
        <v>6716</v>
      </c>
      <c r="D728" s="177" t="s">
        <v>7339</v>
      </c>
      <c r="E728" s="164"/>
      <c r="F728" s="177" t="s">
        <v>7239</v>
      </c>
      <c r="G728" s="179" t="s">
        <v>6724</v>
      </c>
      <c r="H728" s="180" t="s">
        <v>3180</v>
      </c>
      <c r="I728" s="163">
        <f>IFERROR(__xludf.DUMMYFUNCTION("""COMPUTED_VALUE"""),0.7272727272727273)</f>
        <v>0.7272727273</v>
      </c>
      <c r="J728" s="177" t="s">
        <v>6750</v>
      </c>
      <c r="K728" s="177" t="s">
        <v>4696</v>
      </c>
      <c r="L728" s="164"/>
      <c r="M728" s="187">
        <v>46147.38413194445</v>
      </c>
      <c r="N728" s="177" t="s">
        <v>22</v>
      </c>
      <c r="O728" s="164"/>
      <c r="P728" s="164"/>
      <c r="Q728" s="177" t="s">
        <v>1752</v>
      </c>
      <c r="R728" s="164"/>
      <c r="S728" s="163">
        <f>IFERROR(__xludf.DUMMYFUNCTION("""COMPUTED_VALUE"""),1.3636363636363635)</f>
        <v>1.363636364</v>
      </c>
      <c r="T728" s="164"/>
      <c r="U728" s="164"/>
      <c r="V728" s="164"/>
      <c r="W728" s="164"/>
      <c r="X728" s="164"/>
    </row>
    <row r="729">
      <c r="A729" s="175">
        <v>46147.0</v>
      </c>
      <c r="B729" s="176" t="s">
        <v>3149</v>
      </c>
      <c r="C729" s="177" t="s">
        <v>6716</v>
      </c>
      <c r="D729" s="177" t="s">
        <v>7339</v>
      </c>
      <c r="E729" s="164"/>
      <c r="F729" s="177" t="s">
        <v>7239</v>
      </c>
      <c r="G729" s="179" t="s">
        <v>6726</v>
      </c>
      <c r="H729" s="180" t="s">
        <v>3182</v>
      </c>
      <c r="I729" s="163">
        <f>IFERROR(__xludf.DUMMYFUNCTION("""COMPUTED_VALUE"""),0.7272727272727273)</f>
        <v>0.7272727273</v>
      </c>
      <c r="J729" s="177" t="s">
        <v>6750</v>
      </c>
      <c r="K729" s="177" t="s">
        <v>4698</v>
      </c>
      <c r="L729" s="164"/>
      <c r="M729" s="187">
        <v>46147.39508101852</v>
      </c>
      <c r="N729" s="177" t="s">
        <v>22</v>
      </c>
      <c r="O729" s="164"/>
      <c r="P729" s="164"/>
      <c r="Q729" s="177" t="s">
        <v>1752</v>
      </c>
      <c r="R729" s="164"/>
      <c r="S729" s="163">
        <f>IFERROR(__xludf.DUMMYFUNCTION("""COMPUTED_VALUE"""),1.3636363636363635)</f>
        <v>1.363636364</v>
      </c>
      <c r="T729" s="164"/>
      <c r="U729" s="164"/>
      <c r="V729" s="164"/>
      <c r="W729" s="164"/>
      <c r="X729" s="164"/>
    </row>
    <row r="730">
      <c r="A730" s="175">
        <v>46147.0</v>
      </c>
      <c r="B730" s="176" t="s">
        <v>3149</v>
      </c>
      <c r="C730" s="177" t="s">
        <v>6716</v>
      </c>
      <c r="D730" s="177" t="s">
        <v>7339</v>
      </c>
      <c r="E730" s="164"/>
      <c r="F730" s="177" t="s">
        <v>7239</v>
      </c>
      <c r="G730" s="179" t="s">
        <v>6774</v>
      </c>
      <c r="H730" s="180" t="s">
        <v>3184</v>
      </c>
      <c r="I730" s="163">
        <f>IFERROR(__xludf.DUMMYFUNCTION("""COMPUTED_VALUE"""),0.7272727272727273)</f>
        <v>0.7272727273</v>
      </c>
      <c r="J730" s="177" t="s">
        <v>6750</v>
      </c>
      <c r="K730" s="177" t="s">
        <v>4700</v>
      </c>
      <c r="L730" s="164"/>
      <c r="M730" s="187">
        <v>46147.39712962963</v>
      </c>
      <c r="N730" s="177" t="s">
        <v>22</v>
      </c>
      <c r="O730" s="164"/>
      <c r="P730" s="164"/>
      <c r="Q730" s="177" t="s">
        <v>1752</v>
      </c>
      <c r="R730" s="164"/>
      <c r="S730" s="163">
        <f>IFERROR(__xludf.DUMMYFUNCTION("""COMPUTED_VALUE"""),1.3636363636363635)</f>
        <v>1.363636364</v>
      </c>
      <c r="T730" s="164"/>
      <c r="U730" s="164"/>
      <c r="V730" s="164"/>
      <c r="W730" s="164"/>
      <c r="X730" s="164"/>
    </row>
    <row r="731">
      <c r="A731" s="175">
        <v>46147.0</v>
      </c>
      <c r="B731" s="176" t="s">
        <v>3149</v>
      </c>
      <c r="C731" s="177" t="s">
        <v>6716</v>
      </c>
      <c r="D731" s="177" t="s">
        <v>7339</v>
      </c>
      <c r="E731" s="164"/>
      <c r="F731" s="177" t="s">
        <v>7239</v>
      </c>
      <c r="G731" s="179" t="s">
        <v>6704</v>
      </c>
      <c r="H731" s="180" t="s">
        <v>3186</v>
      </c>
      <c r="I731" s="163">
        <f>IFERROR(__xludf.DUMMYFUNCTION("""COMPUTED_VALUE"""),0.7272727272727273)</f>
        <v>0.7272727273</v>
      </c>
      <c r="J731" s="177" t="s">
        <v>6750</v>
      </c>
      <c r="K731" s="177" t="s">
        <v>4702</v>
      </c>
      <c r="L731" s="164"/>
      <c r="M731" s="187">
        <v>46147.40113425926</v>
      </c>
      <c r="N731" s="177" t="s">
        <v>22</v>
      </c>
      <c r="O731" s="164"/>
      <c r="P731" s="164"/>
      <c r="Q731" s="177" t="s">
        <v>1752</v>
      </c>
      <c r="R731" s="164"/>
      <c r="S731" s="163">
        <f>IFERROR(__xludf.DUMMYFUNCTION("""COMPUTED_VALUE"""),1.3636363636363635)</f>
        <v>1.363636364</v>
      </c>
      <c r="T731" s="164"/>
      <c r="U731" s="164"/>
      <c r="V731" s="164"/>
      <c r="W731" s="164"/>
      <c r="X731" s="164"/>
    </row>
    <row r="732">
      <c r="A732" s="175">
        <v>46147.0</v>
      </c>
      <c r="B732" s="176" t="s">
        <v>3149</v>
      </c>
      <c r="C732" s="177" t="s">
        <v>6716</v>
      </c>
      <c r="D732" s="177" t="s">
        <v>7339</v>
      </c>
      <c r="E732" s="164"/>
      <c r="F732" s="177" t="s">
        <v>7239</v>
      </c>
      <c r="G732" s="179" t="s">
        <v>6748</v>
      </c>
      <c r="H732" s="180" t="s">
        <v>3188</v>
      </c>
      <c r="I732" s="163">
        <f>IFERROR(__xludf.DUMMYFUNCTION("""COMPUTED_VALUE"""),0.7272727272727273)</f>
        <v>0.7272727273</v>
      </c>
      <c r="J732" s="177" t="s">
        <v>6750</v>
      </c>
      <c r="K732" s="177" t="s">
        <v>4704</v>
      </c>
      <c r="L732" s="164"/>
      <c r="M732" s="187">
        <v>46147.40273148148</v>
      </c>
      <c r="N732" s="177" t="s">
        <v>22</v>
      </c>
      <c r="O732" s="164"/>
      <c r="P732" s="164"/>
      <c r="Q732" s="177" t="s">
        <v>1752</v>
      </c>
      <c r="R732" s="164"/>
      <c r="S732" s="163">
        <f>IFERROR(__xludf.DUMMYFUNCTION("""COMPUTED_VALUE"""),1.3636363636363635)</f>
        <v>1.363636364</v>
      </c>
      <c r="T732" s="164"/>
      <c r="U732" s="164"/>
      <c r="V732" s="164"/>
      <c r="W732" s="164"/>
      <c r="X732" s="164"/>
    </row>
    <row r="733">
      <c r="A733" s="175">
        <v>46147.0</v>
      </c>
      <c r="B733" s="176" t="s">
        <v>3149</v>
      </c>
      <c r="C733" s="177" t="s">
        <v>6716</v>
      </c>
      <c r="D733" s="177" t="s">
        <v>7339</v>
      </c>
      <c r="E733" s="164"/>
      <c r="F733" s="177" t="s">
        <v>7239</v>
      </c>
      <c r="G733" s="179" t="s">
        <v>6800</v>
      </c>
      <c r="H733" s="180" t="s">
        <v>3190</v>
      </c>
      <c r="I733" s="163">
        <f>IFERROR(__xludf.DUMMYFUNCTION("""COMPUTED_VALUE"""),0.7272727272727273)</f>
        <v>0.7272727273</v>
      </c>
      <c r="J733" s="177" t="s">
        <v>6750</v>
      </c>
      <c r="K733" s="177" t="s">
        <v>4706</v>
      </c>
      <c r="L733" s="164"/>
      <c r="M733" s="187">
        <v>46147.40555555555</v>
      </c>
      <c r="N733" s="177" t="s">
        <v>22</v>
      </c>
      <c r="O733" s="164"/>
      <c r="P733" s="164"/>
      <c r="Q733" s="177" t="s">
        <v>1752</v>
      </c>
      <c r="R733" s="164"/>
      <c r="S733" s="163">
        <f>IFERROR(__xludf.DUMMYFUNCTION("""COMPUTED_VALUE"""),1.3636363636363635)</f>
        <v>1.363636364</v>
      </c>
      <c r="T733" s="164"/>
      <c r="U733" s="164"/>
      <c r="V733" s="164"/>
      <c r="W733" s="164"/>
      <c r="X733" s="164"/>
    </row>
    <row r="734">
      <c r="A734" s="175">
        <v>46147.0</v>
      </c>
      <c r="B734" s="176" t="s">
        <v>3204</v>
      </c>
      <c r="C734" s="177" t="s">
        <v>1118</v>
      </c>
      <c r="D734" s="177" t="s">
        <v>1051</v>
      </c>
      <c r="E734" s="177" t="s">
        <v>38</v>
      </c>
      <c r="F734" s="177" t="s">
        <v>7330</v>
      </c>
      <c r="G734" s="186"/>
      <c r="H734" s="180" t="s">
        <v>3204</v>
      </c>
      <c r="I734" s="163">
        <f>IFERROR(__xludf.DUMMYFUNCTION("""COMPUTED_VALUE"""),3.15)</f>
        <v>3.15</v>
      </c>
      <c r="J734" s="177" t="s">
        <v>6735</v>
      </c>
      <c r="K734" s="177" t="s">
        <v>7340</v>
      </c>
      <c r="L734" s="164"/>
      <c r="M734" s="187">
        <v>46147.571388888886</v>
      </c>
      <c r="N734" s="177" t="s">
        <v>22</v>
      </c>
      <c r="O734" s="164"/>
      <c r="P734" s="177" t="s">
        <v>3206</v>
      </c>
      <c r="Q734" s="177" t="s">
        <v>2438</v>
      </c>
      <c r="R734" s="164"/>
      <c r="S734" s="163">
        <f>IFERROR(__xludf.DUMMYFUNCTION("""COMPUTED_VALUE"""),7.495)</f>
        <v>7.495</v>
      </c>
      <c r="T734" s="164"/>
      <c r="U734" s="164"/>
      <c r="V734" s="164"/>
      <c r="W734" s="164"/>
      <c r="X734" s="164"/>
    </row>
    <row r="735">
      <c r="A735" s="175">
        <v>46147.0</v>
      </c>
      <c r="B735" s="176" t="s">
        <v>3204</v>
      </c>
      <c r="C735" s="177" t="s">
        <v>6716</v>
      </c>
      <c r="D735" s="177" t="s">
        <v>1051</v>
      </c>
      <c r="E735" s="164"/>
      <c r="F735" s="177" t="s">
        <v>7330</v>
      </c>
      <c r="G735" s="179" t="s">
        <v>6720</v>
      </c>
      <c r="H735" s="180" t="s">
        <v>3192</v>
      </c>
      <c r="I735" s="163">
        <f>IFERROR(__xludf.DUMMYFUNCTION("""COMPUTED_VALUE"""),3.15)</f>
        <v>3.15</v>
      </c>
      <c r="J735" s="177" t="s">
        <v>6735</v>
      </c>
      <c r="K735" s="177" t="s">
        <v>4708</v>
      </c>
      <c r="L735" s="164"/>
      <c r="M735" s="187">
        <v>46147.5725</v>
      </c>
      <c r="N735" s="177" t="s">
        <v>22</v>
      </c>
      <c r="O735" s="164"/>
      <c r="P735" s="177" t="s">
        <v>3194</v>
      </c>
      <c r="Q735" s="177" t="s">
        <v>2438</v>
      </c>
      <c r="R735" s="164"/>
      <c r="S735" s="163">
        <f>IFERROR(__xludf.DUMMYFUNCTION("""COMPUTED_VALUE"""),7.495)</f>
        <v>7.495</v>
      </c>
      <c r="T735" s="164"/>
      <c r="U735" s="164"/>
      <c r="V735" s="164"/>
      <c r="W735" s="164"/>
      <c r="X735" s="164"/>
    </row>
    <row r="736">
      <c r="A736" s="175">
        <v>46147.0</v>
      </c>
      <c r="B736" s="176" t="s">
        <v>3198</v>
      </c>
      <c r="C736" s="177" t="s">
        <v>1049</v>
      </c>
      <c r="D736" s="177" t="s">
        <v>7308</v>
      </c>
      <c r="E736" s="177" t="s">
        <v>662</v>
      </c>
      <c r="F736" s="177" t="s">
        <v>7330</v>
      </c>
      <c r="G736" s="186"/>
      <c r="H736" s="180" t="s">
        <v>3198</v>
      </c>
      <c r="I736" s="163">
        <f>IFERROR(__xludf.DUMMYFUNCTION("""COMPUTED_VALUE"""),2.9)</f>
        <v>2.9</v>
      </c>
      <c r="J736" s="177" t="s">
        <v>6735</v>
      </c>
      <c r="K736" s="177" t="s">
        <v>7341</v>
      </c>
      <c r="L736" s="164"/>
      <c r="M736" s="187">
        <v>46147.5746875</v>
      </c>
      <c r="N736" s="177" t="s">
        <v>22</v>
      </c>
      <c r="O736" s="164"/>
      <c r="P736" s="177" t="s">
        <v>3200</v>
      </c>
      <c r="Q736" s="177" t="s">
        <v>2321</v>
      </c>
      <c r="R736" s="164"/>
      <c r="S736" s="163">
        <f>IFERROR(__xludf.DUMMYFUNCTION("""COMPUTED_VALUE"""),5.8)</f>
        <v>5.8</v>
      </c>
      <c r="T736" s="164"/>
      <c r="U736" s="164"/>
      <c r="V736" s="164"/>
      <c r="W736" s="164"/>
      <c r="X736" s="164"/>
    </row>
    <row r="737">
      <c r="A737" s="175">
        <v>46147.0</v>
      </c>
      <c r="B737" s="176" t="s">
        <v>3201</v>
      </c>
      <c r="C737" s="177" t="s">
        <v>1049</v>
      </c>
      <c r="D737" s="177" t="s">
        <v>1051</v>
      </c>
      <c r="E737" s="177" t="s">
        <v>6706</v>
      </c>
      <c r="F737" s="177" t="s">
        <v>7330</v>
      </c>
      <c r="G737" s="186"/>
      <c r="H737" s="180" t="s">
        <v>3201</v>
      </c>
      <c r="I737" s="163">
        <f>IFERROR(__xludf.DUMMYFUNCTION("""COMPUTED_VALUE"""),9.0)</f>
        <v>9</v>
      </c>
      <c r="J737" s="177" t="s">
        <v>6735</v>
      </c>
      <c r="K737" s="177" t="s">
        <v>7342</v>
      </c>
      <c r="L737" s="164"/>
      <c r="M737" s="187">
        <v>46147.57743055555</v>
      </c>
      <c r="N737" s="177" t="s">
        <v>22</v>
      </c>
      <c r="O737" s="164"/>
      <c r="P737" s="177" t="s">
        <v>3203</v>
      </c>
      <c r="Q737" s="177" t="s">
        <v>1802</v>
      </c>
      <c r="R737" s="164"/>
      <c r="S737" s="163">
        <f>IFERROR(__xludf.DUMMYFUNCTION("""COMPUTED_VALUE"""),19.99)</f>
        <v>19.99</v>
      </c>
      <c r="T737" s="164"/>
      <c r="U737" s="164"/>
      <c r="V737" s="164"/>
      <c r="W737" s="164"/>
      <c r="X737" s="164"/>
    </row>
    <row r="738">
      <c r="A738" s="175">
        <v>46147.0</v>
      </c>
      <c r="B738" s="176" t="s">
        <v>3174</v>
      </c>
      <c r="C738" s="177" t="s">
        <v>1049</v>
      </c>
      <c r="D738" s="177" t="s">
        <v>1051</v>
      </c>
      <c r="E738" s="177" t="s">
        <v>842</v>
      </c>
      <c r="F738" s="177" t="s">
        <v>7330</v>
      </c>
      <c r="G738" s="186"/>
      <c r="H738" s="180" t="s">
        <v>3174</v>
      </c>
      <c r="I738" s="163">
        <f>IFERROR(__xludf.DUMMYFUNCTION("""COMPUTED_VALUE"""),2.1)</f>
        <v>2.1</v>
      </c>
      <c r="J738" s="177" t="s">
        <v>6735</v>
      </c>
      <c r="K738" s="177" t="s">
        <v>7343</v>
      </c>
      <c r="L738" s="164"/>
      <c r="M738" s="187">
        <v>46147.582824074074</v>
      </c>
      <c r="N738" s="177" t="s">
        <v>22</v>
      </c>
      <c r="O738" s="164"/>
      <c r="P738" s="177" t="s">
        <v>3176</v>
      </c>
      <c r="Q738" s="177" t="s">
        <v>2438</v>
      </c>
      <c r="R738" s="164"/>
      <c r="S738" s="163">
        <f>IFERROR(__xludf.DUMMYFUNCTION("""COMPUTED_VALUE"""),4.996666666666667)</f>
        <v>4.996666667</v>
      </c>
      <c r="T738" s="164"/>
      <c r="U738" s="164"/>
      <c r="V738" s="164"/>
      <c r="W738" s="164"/>
      <c r="X738" s="164"/>
    </row>
    <row r="739">
      <c r="A739" s="175">
        <v>46147.0</v>
      </c>
      <c r="B739" s="176" t="s">
        <v>3172</v>
      </c>
      <c r="C739" s="177" t="s">
        <v>1049</v>
      </c>
      <c r="D739" s="177" t="s">
        <v>7308</v>
      </c>
      <c r="E739" s="177" t="s">
        <v>842</v>
      </c>
      <c r="F739" s="177" t="s">
        <v>7123</v>
      </c>
      <c r="G739" s="186"/>
      <c r="H739" s="180" t="s">
        <v>3172</v>
      </c>
      <c r="I739" s="163">
        <f>IFERROR(__xludf.DUMMYFUNCTION("""COMPUTED_VALUE"""),8.495)</f>
        <v>8.495</v>
      </c>
      <c r="J739" s="177" t="s">
        <v>7176</v>
      </c>
      <c r="K739" s="177" t="s">
        <v>7344</v>
      </c>
      <c r="L739" s="164"/>
      <c r="M739" s="187">
        <v>46147.58763888889</v>
      </c>
      <c r="N739" s="177" t="s">
        <v>22</v>
      </c>
      <c r="O739" s="164"/>
      <c r="P739" s="164"/>
      <c r="Q739" s="177" t="s">
        <v>1530</v>
      </c>
      <c r="R739" s="164"/>
      <c r="S739" s="163">
        <f>IFERROR(__xludf.DUMMYFUNCTION("""COMPUTED_VALUE"""),0.0)</f>
        <v>0</v>
      </c>
      <c r="T739" s="164"/>
      <c r="U739" s="164"/>
      <c r="V739" s="164"/>
      <c r="W739" s="164"/>
      <c r="X739" s="164"/>
    </row>
    <row r="740">
      <c r="A740" s="175">
        <v>46147.0</v>
      </c>
      <c r="B740" s="176" t="s">
        <v>3146</v>
      </c>
      <c r="C740" s="177" t="s">
        <v>1049</v>
      </c>
      <c r="D740" s="177" t="s">
        <v>7308</v>
      </c>
      <c r="E740" s="177" t="s">
        <v>6706</v>
      </c>
      <c r="F740" s="177" t="s">
        <v>7330</v>
      </c>
      <c r="G740" s="186"/>
      <c r="H740" s="180" t="s">
        <v>3146</v>
      </c>
      <c r="I740" s="163">
        <f>IFERROR(__xludf.DUMMYFUNCTION("""COMPUTED_VALUE"""),7.79)</f>
        <v>7.79</v>
      </c>
      <c r="J740" s="177" t="s">
        <v>6735</v>
      </c>
      <c r="K740" s="177" t="s">
        <v>7345</v>
      </c>
      <c r="L740" s="164"/>
      <c r="M740" s="187">
        <v>46147.59731481481</v>
      </c>
      <c r="N740" s="177" t="s">
        <v>22</v>
      </c>
      <c r="O740" s="164"/>
      <c r="P740" s="177" t="s">
        <v>3148</v>
      </c>
      <c r="Q740" s="177" t="s">
        <v>1465</v>
      </c>
      <c r="R740" s="164"/>
      <c r="S740" s="163">
        <f>IFERROR(__xludf.DUMMYFUNCTION("""COMPUTED_VALUE"""),12.99)</f>
        <v>12.99</v>
      </c>
      <c r="T740" s="164"/>
      <c r="U740" s="164"/>
      <c r="V740" s="164"/>
      <c r="W740" s="164"/>
      <c r="X740" s="164"/>
    </row>
    <row r="741">
      <c r="A741" s="175">
        <v>46147.0</v>
      </c>
      <c r="B741" s="176" t="s">
        <v>3169</v>
      </c>
      <c r="C741" s="177" t="s">
        <v>1049</v>
      </c>
      <c r="D741" s="177" t="s">
        <v>7308</v>
      </c>
      <c r="E741" s="177" t="s">
        <v>842</v>
      </c>
      <c r="F741" s="177" t="s">
        <v>7330</v>
      </c>
      <c r="G741" s="186"/>
      <c r="H741" s="180" t="s">
        <v>3169</v>
      </c>
      <c r="I741" s="163">
        <f>IFERROR(__xludf.DUMMYFUNCTION("""COMPUTED_VALUE"""),3.4166666666666665)</f>
        <v>3.416666667</v>
      </c>
      <c r="J741" s="177" t="s">
        <v>6735</v>
      </c>
      <c r="K741" s="177" t="s">
        <v>7346</v>
      </c>
      <c r="L741" s="164"/>
      <c r="M741" s="187">
        <v>46148.399675925924</v>
      </c>
      <c r="N741" s="177" t="s">
        <v>22</v>
      </c>
      <c r="O741" s="164"/>
      <c r="P741" s="177" t="s">
        <v>3171</v>
      </c>
      <c r="Q741" s="177" t="s">
        <v>2484</v>
      </c>
      <c r="R741" s="164"/>
      <c r="S741" s="163">
        <f>IFERROR(__xludf.DUMMYFUNCTION("""COMPUTED_VALUE"""),0.0)</f>
        <v>0</v>
      </c>
      <c r="T741" s="164"/>
      <c r="U741" s="164"/>
      <c r="V741" s="164"/>
      <c r="W741" s="164"/>
      <c r="X741" s="164"/>
    </row>
    <row r="742">
      <c r="A742" s="175">
        <v>46147.0</v>
      </c>
      <c r="B742" s="176" t="s">
        <v>3152</v>
      </c>
      <c r="C742" s="177" t="s">
        <v>1049</v>
      </c>
      <c r="D742" s="177" t="s">
        <v>1051</v>
      </c>
      <c r="E742" s="177" t="s">
        <v>38</v>
      </c>
      <c r="F742" s="177" t="s">
        <v>7330</v>
      </c>
      <c r="G742" s="186"/>
      <c r="H742" s="180" t="s">
        <v>3152</v>
      </c>
      <c r="I742" s="163">
        <f>IFERROR(__xludf.DUMMYFUNCTION("""COMPUTED_VALUE"""),9.5)</f>
        <v>9.5</v>
      </c>
      <c r="J742" s="177" t="s">
        <v>6735</v>
      </c>
      <c r="K742" s="177" t="s">
        <v>7347</v>
      </c>
      <c r="L742" s="164"/>
      <c r="M742" s="187">
        <v>46148.40219907407</v>
      </c>
      <c r="N742" s="177" t="s">
        <v>22</v>
      </c>
      <c r="O742" s="164"/>
      <c r="P742" s="177" t="s">
        <v>3154</v>
      </c>
      <c r="Q742" s="177" t="s">
        <v>2393</v>
      </c>
      <c r="R742" s="164"/>
      <c r="S742" s="163">
        <f>IFERROR(__xludf.DUMMYFUNCTION("""COMPUTED_VALUE"""),19.0)</f>
        <v>19</v>
      </c>
      <c r="T742" s="164"/>
      <c r="U742" s="164"/>
      <c r="V742" s="164"/>
      <c r="W742" s="164"/>
      <c r="X742" s="164"/>
    </row>
    <row r="743">
      <c r="A743" s="175">
        <v>46147.0</v>
      </c>
      <c r="B743" s="176" t="s">
        <v>3166</v>
      </c>
      <c r="C743" s="177" t="s">
        <v>1049</v>
      </c>
      <c r="D743" s="177" t="s">
        <v>7308</v>
      </c>
      <c r="E743" s="177" t="s">
        <v>6730</v>
      </c>
      <c r="F743" s="177" t="s">
        <v>7330</v>
      </c>
      <c r="G743" s="186"/>
      <c r="H743" s="180" t="s">
        <v>3166</v>
      </c>
      <c r="I743" s="163">
        <f>IFERROR(__xludf.DUMMYFUNCTION("""COMPUTED_VALUE"""),2.7475)</f>
        <v>2.7475</v>
      </c>
      <c r="J743" s="177" t="s">
        <v>6735</v>
      </c>
      <c r="K743" s="188" t="s">
        <v>7348</v>
      </c>
      <c r="L743" s="164"/>
      <c r="M743" s="187">
        <v>46148.40354166667</v>
      </c>
      <c r="N743" s="177" t="s">
        <v>22</v>
      </c>
      <c r="O743" s="177" t="s">
        <v>7101</v>
      </c>
      <c r="P743" s="177" t="s">
        <v>3168</v>
      </c>
      <c r="Q743" s="177" t="s">
        <v>1474</v>
      </c>
      <c r="R743" s="164"/>
      <c r="S743" s="163">
        <f>IFERROR(__xludf.DUMMYFUNCTION("""COMPUTED_VALUE"""),0.0)</f>
        <v>0</v>
      </c>
      <c r="T743" s="164"/>
      <c r="U743" s="164"/>
      <c r="V743" s="164"/>
      <c r="W743" s="164"/>
      <c r="X743" s="164"/>
    </row>
    <row r="744">
      <c r="A744" s="175">
        <v>46147.0</v>
      </c>
      <c r="B744" s="176" t="s">
        <v>3155</v>
      </c>
      <c r="C744" s="177" t="s">
        <v>1049</v>
      </c>
      <c r="D744" s="177" t="s">
        <v>1051</v>
      </c>
      <c r="E744" s="177" t="s">
        <v>38</v>
      </c>
      <c r="F744" s="177" t="s">
        <v>7330</v>
      </c>
      <c r="G744" s="186"/>
      <c r="H744" s="180" t="s">
        <v>3155</v>
      </c>
      <c r="I744" s="163" t="str">
        <f>IFERROR(__xludf.DUMMYFUNCTION("""COMPUTED_VALUE"""),"")</f>
        <v/>
      </c>
      <c r="J744" s="177" t="s">
        <v>6735</v>
      </c>
      <c r="K744" s="177" t="s">
        <v>7349</v>
      </c>
      <c r="L744" s="164"/>
      <c r="M744" s="187">
        <v>46148.40525462963</v>
      </c>
      <c r="N744" s="177" t="s">
        <v>22</v>
      </c>
      <c r="O744" s="177" t="s">
        <v>7350</v>
      </c>
      <c r="P744" s="177" t="s">
        <v>3157</v>
      </c>
      <c r="Q744" s="177" t="s">
        <v>2382</v>
      </c>
      <c r="R744" s="164"/>
      <c r="S744" s="163" t="str">
        <f>IFERROR(__xludf.DUMMYFUNCTION("""COMPUTED_VALUE"""),"")</f>
        <v/>
      </c>
      <c r="T744" s="164"/>
      <c r="U744" s="164"/>
      <c r="V744" s="164"/>
      <c r="W744" s="164"/>
      <c r="X744" s="164"/>
    </row>
    <row r="745">
      <c r="A745" s="175">
        <v>46147.0</v>
      </c>
      <c r="B745" s="176" t="s">
        <v>3158</v>
      </c>
      <c r="C745" s="177" t="s">
        <v>1049</v>
      </c>
      <c r="D745" s="177" t="s">
        <v>1051</v>
      </c>
      <c r="E745" s="177" t="s">
        <v>38</v>
      </c>
      <c r="F745" s="177" t="s">
        <v>7330</v>
      </c>
      <c r="G745" s="186"/>
      <c r="H745" s="180" t="s">
        <v>3158</v>
      </c>
      <c r="I745" s="163">
        <f>IFERROR(__xludf.DUMMYFUNCTION("""COMPUTED_VALUE"""),12.5)</f>
        <v>12.5</v>
      </c>
      <c r="J745" s="177" t="s">
        <v>6735</v>
      </c>
      <c r="K745" s="177" t="s">
        <v>7351</v>
      </c>
      <c r="L745" s="164"/>
      <c r="M745" s="187">
        <v>46148.40681712963</v>
      </c>
      <c r="N745" s="177" t="s">
        <v>22</v>
      </c>
      <c r="O745" s="177" t="s">
        <v>7350</v>
      </c>
      <c r="P745" s="177" t="s">
        <v>3160</v>
      </c>
      <c r="Q745" s="177" t="s">
        <v>2382</v>
      </c>
      <c r="R745" s="164"/>
      <c r="S745" s="163">
        <f>IFERROR(__xludf.DUMMYFUNCTION("""COMPUTED_VALUE"""),25.0)</f>
        <v>25</v>
      </c>
      <c r="T745" s="164"/>
      <c r="U745" s="164"/>
      <c r="V745" s="164"/>
      <c r="W745" s="164"/>
      <c r="X745" s="164"/>
    </row>
    <row r="746">
      <c r="A746" s="175">
        <v>46147.0</v>
      </c>
      <c r="B746" s="176" t="s">
        <v>3161</v>
      </c>
      <c r="C746" s="177" t="s">
        <v>1049</v>
      </c>
      <c r="D746" s="177" t="s">
        <v>1051</v>
      </c>
      <c r="E746" s="177" t="s">
        <v>850</v>
      </c>
      <c r="F746" s="177" t="s">
        <v>7330</v>
      </c>
      <c r="G746" s="186"/>
      <c r="H746" s="180" t="s">
        <v>3161</v>
      </c>
      <c r="I746" s="163">
        <f>IFERROR(__xludf.DUMMYFUNCTION("""COMPUTED_VALUE"""),0.08)</f>
        <v>0.08</v>
      </c>
      <c r="J746" s="177" t="s">
        <v>6735</v>
      </c>
      <c r="K746" s="177" t="s">
        <v>7352</v>
      </c>
      <c r="L746" s="164"/>
      <c r="M746" s="187">
        <v>46148.41054398148</v>
      </c>
      <c r="N746" s="177" t="s">
        <v>22</v>
      </c>
      <c r="O746" s="164"/>
      <c r="P746" s="177" t="s">
        <v>3163</v>
      </c>
      <c r="Q746" s="177" t="s">
        <v>2731</v>
      </c>
      <c r="R746" s="164"/>
      <c r="S746" s="163">
        <f>IFERROR(__xludf.DUMMYFUNCTION("""COMPUTED_VALUE"""),4.0)</f>
        <v>4</v>
      </c>
      <c r="T746" s="164"/>
      <c r="U746" s="164"/>
      <c r="V746" s="164"/>
      <c r="W746" s="164"/>
      <c r="X746" s="164"/>
    </row>
    <row r="747">
      <c r="A747" s="175">
        <v>46147.0</v>
      </c>
      <c r="B747" s="176" t="s">
        <v>3164</v>
      </c>
      <c r="C747" s="177" t="s">
        <v>1049</v>
      </c>
      <c r="D747" s="177" t="s">
        <v>1051</v>
      </c>
      <c r="E747" s="177" t="s">
        <v>850</v>
      </c>
      <c r="F747" s="177" t="s">
        <v>7330</v>
      </c>
      <c r="G747" s="186"/>
      <c r="H747" s="180" t="s">
        <v>3164</v>
      </c>
      <c r="I747" s="163">
        <f>IFERROR(__xludf.DUMMYFUNCTION("""COMPUTED_VALUE"""),0.08)</f>
        <v>0.08</v>
      </c>
      <c r="J747" s="177" t="s">
        <v>6735</v>
      </c>
      <c r="K747" s="177" t="s">
        <v>7353</v>
      </c>
      <c r="L747" s="164"/>
      <c r="M747" s="187">
        <v>46148.41202546296</v>
      </c>
      <c r="N747" s="177" t="s">
        <v>22</v>
      </c>
      <c r="O747" s="164"/>
      <c r="P747" s="164"/>
      <c r="Q747" s="177" t="s">
        <v>2731</v>
      </c>
      <c r="R747" s="164"/>
      <c r="S747" s="163">
        <f>IFERROR(__xludf.DUMMYFUNCTION("""COMPUTED_VALUE"""),8.0)</f>
        <v>8</v>
      </c>
      <c r="T747" s="164"/>
      <c r="U747" s="164"/>
      <c r="V747" s="164"/>
      <c r="W747" s="164"/>
      <c r="X747" s="164"/>
    </row>
    <row r="748">
      <c r="A748" s="175">
        <v>46147.0</v>
      </c>
      <c r="B748" s="176" t="s">
        <v>3143</v>
      </c>
      <c r="C748" s="177" t="s">
        <v>1118</v>
      </c>
      <c r="D748" s="177" t="s">
        <v>7308</v>
      </c>
      <c r="E748" s="177" t="s">
        <v>48</v>
      </c>
      <c r="F748" s="177" t="s">
        <v>48</v>
      </c>
      <c r="G748" s="186"/>
      <c r="H748" s="180" t="s">
        <v>3143</v>
      </c>
      <c r="I748" s="163">
        <f>IFERROR(__xludf.DUMMYFUNCTION("""COMPUTED_VALUE"""),9.995)</f>
        <v>9.995</v>
      </c>
      <c r="J748" s="177" t="s">
        <v>6739</v>
      </c>
      <c r="K748" s="177" t="s">
        <v>7354</v>
      </c>
      <c r="L748" s="164"/>
      <c r="M748" s="187">
        <v>46149.38099537037</v>
      </c>
      <c r="N748" s="177" t="s">
        <v>22</v>
      </c>
      <c r="O748" s="177" t="s">
        <v>7101</v>
      </c>
      <c r="P748" s="177" t="s">
        <v>3145</v>
      </c>
      <c r="Q748" s="177" t="s">
        <v>1474</v>
      </c>
      <c r="R748" s="164"/>
      <c r="S748" s="163">
        <f>IFERROR(__xludf.DUMMYFUNCTION("""COMPUTED_VALUE"""),0.0)</f>
        <v>0</v>
      </c>
      <c r="T748" s="164"/>
      <c r="U748" s="164"/>
      <c r="V748" s="164"/>
      <c r="W748" s="164"/>
      <c r="X748" s="164"/>
    </row>
    <row r="749">
      <c r="A749" s="175">
        <v>46147.0</v>
      </c>
      <c r="B749" s="176" t="s">
        <v>3143</v>
      </c>
      <c r="C749" s="177" t="s">
        <v>6716</v>
      </c>
      <c r="D749" s="177" t="s">
        <v>7308</v>
      </c>
      <c r="E749" s="164"/>
      <c r="F749" s="177" t="s">
        <v>48</v>
      </c>
      <c r="G749" s="179" t="s">
        <v>6720</v>
      </c>
      <c r="H749" s="180" t="s">
        <v>3195</v>
      </c>
      <c r="I749" s="163">
        <f>IFERROR(__xludf.DUMMYFUNCTION("""COMPUTED_VALUE"""),9.995)</f>
        <v>9.995</v>
      </c>
      <c r="J749" s="177" t="s">
        <v>6735</v>
      </c>
      <c r="K749" s="177" t="s">
        <v>4710</v>
      </c>
      <c r="L749" s="164"/>
      <c r="M749" s="187">
        <v>46149.38309027778</v>
      </c>
      <c r="N749" s="177" t="s">
        <v>22</v>
      </c>
      <c r="O749" s="177" t="s">
        <v>7101</v>
      </c>
      <c r="P749" s="177" t="s">
        <v>3197</v>
      </c>
      <c r="Q749" s="177" t="s">
        <v>1474</v>
      </c>
      <c r="R749" s="164"/>
      <c r="S749" s="163">
        <f>IFERROR(__xludf.DUMMYFUNCTION("""COMPUTED_VALUE"""),0.0)</f>
        <v>0</v>
      </c>
      <c r="T749" s="164"/>
      <c r="U749" s="164"/>
      <c r="V749" s="164"/>
      <c r="W749" s="164"/>
      <c r="X749" s="164"/>
    </row>
    <row r="750">
      <c r="A750" s="175">
        <v>46147.0</v>
      </c>
      <c r="B750" s="176" t="s">
        <v>3207</v>
      </c>
      <c r="C750" s="177" t="s">
        <v>1049</v>
      </c>
      <c r="D750" s="177" t="s">
        <v>7308</v>
      </c>
      <c r="E750" s="177" t="s">
        <v>38</v>
      </c>
      <c r="F750" s="177" t="s">
        <v>6878</v>
      </c>
      <c r="G750" s="186"/>
      <c r="H750" s="180" t="s">
        <v>3207</v>
      </c>
      <c r="I750" s="163">
        <f>IFERROR(__xludf.DUMMYFUNCTION("""COMPUTED_VALUE"""),16.5)</f>
        <v>16.5</v>
      </c>
      <c r="J750" s="177" t="s">
        <v>7171</v>
      </c>
      <c r="K750" s="177" t="s">
        <v>7355</v>
      </c>
      <c r="L750" s="164"/>
      <c r="M750" s="187">
        <v>46149.39877314815</v>
      </c>
      <c r="N750" s="177" t="s">
        <v>22</v>
      </c>
      <c r="O750" s="164"/>
      <c r="P750" s="177" t="s">
        <v>3209</v>
      </c>
      <c r="Q750" s="177" t="s">
        <v>2481</v>
      </c>
      <c r="R750" s="164"/>
      <c r="S750" s="163">
        <f>IFERROR(__xludf.DUMMYFUNCTION("""COMPUTED_VALUE"""),39.99)</f>
        <v>39.99</v>
      </c>
      <c r="T750" s="164"/>
      <c r="U750" s="164"/>
      <c r="V750" s="164"/>
      <c r="W750" s="164"/>
      <c r="X750" s="164"/>
    </row>
    <row r="751">
      <c r="A751" s="175">
        <v>46149.0</v>
      </c>
      <c r="B751" s="176" t="s">
        <v>3210</v>
      </c>
      <c r="C751" s="177" t="s">
        <v>1049</v>
      </c>
      <c r="D751" s="177" t="s">
        <v>7318</v>
      </c>
      <c r="E751" s="177" t="s">
        <v>48</v>
      </c>
      <c r="F751" s="177" t="s">
        <v>7330</v>
      </c>
      <c r="G751" s="186"/>
      <c r="H751" s="180" t="s">
        <v>3210</v>
      </c>
      <c r="I751" s="163">
        <f>IFERROR(__xludf.DUMMYFUNCTION("""COMPUTED_VALUE"""),0.0)</f>
        <v>0</v>
      </c>
      <c r="J751" s="177" t="s">
        <v>6735</v>
      </c>
      <c r="K751" s="177" t="s">
        <v>7356</v>
      </c>
      <c r="L751" s="164"/>
      <c r="M751" s="187">
        <v>46149.40443287037</v>
      </c>
      <c r="N751" s="177" t="s">
        <v>22</v>
      </c>
      <c r="O751" s="164"/>
      <c r="P751" s="164"/>
      <c r="Q751" s="177" t="s">
        <v>3211</v>
      </c>
      <c r="R751" s="164"/>
      <c r="S751" s="163"/>
      <c r="T751" s="164"/>
      <c r="U751" s="164"/>
      <c r="V751" s="164"/>
      <c r="W751" s="164"/>
      <c r="X751" s="164"/>
    </row>
    <row r="752">
      <c r="A752" s="175">
        <v>46151.0</v>
      </c>
      <c r="B752" s="176" t="s">
        <v>3305</v>
      </c>
      <c r="C752" s="177" t="s">
        <v>1049</v>
      </c>
      <c r="D752" s="177" t="s">
        <v>7310</v>
      </c>
      <c r="E752" s="177" t="s">
        <v>6922</v>
      </c>
      <c r="F752" s="177" t="s">
        <v>6922</v>
      </c>
      <c r="G752" s="186"/>
      <c r="H752" s="180" t="s">
        <v>3305</v>
      </c>
      <c r="I752" s="163">
        <f>IFERROR(__xludf.DUMMYFUNCTION("""COMPUTED_VALUE"""),6.66)</f>
        <v>6.66</v>
      </c>
      <c r="J752" s="177" t="s">
        <v>6705</v>
      </c>
      <c r="K752" s="177" t="s">
        <v>7357</v>
      </c>
      <c r="L752" s="164"/>
      <c r="M752" s="187">
        <v>46151.57336805556</v>
      </c>
      <c r="N752" s="177" t="s">
        <v>22</v>
      </c>
      <c r="O752" s="164"/>
      <c r="P752" s="177" t="s">
        <v>3307</v>
      </c>
      <c r="Q752" s="177" t="s">
        <v>1933</v>
      </c>
      <c r="R752" s="164"/>
      <c r="S752" s="163">
        <f>IFERROR(__xludf.DUMMYFUNCTION("""COMPUTED_VALUE"""),0.0)</f>
        <v>0</v>
      </c>
      <c r="T752" s="164"/>
      <c r="U752" s="164"/>
      <c r="V752" s="164"/>
      <c r="W752" s="164"/>
      <c r="X752" s="164"/>
    </row>
    <row r="753">
      <c r="A753" s="175">
        <v>46151.0</v>
      </c>
      <c r="B753" s="176" t="s">
        <v>3311</v>
      </c>
      <c r="C753" s="177" t="s">
        <v>1049</v>
      </c>
      <c r="D753" s="177" t="s">
        <v>7308</v>
      </c>
      <c r="E753" s="177" t="s">
        <v>83</v>
      </c>
      <c r="F753" s="177" t="s">
        <v>7330</v>
      </c>
      <c r="G753" s="186"/>
      <c r="H753" s="180" t="s">
        <v>3311</v>
      </c>
      <c r="I753" s="163">
        <f>IFERROR(__xludf.DUMMYFUNCTION("""COMPUTED_VALUE"""),5.99)</f>
        <v>5.99</v>
      </c>
      <c r="J753" s="177" t="s">
        <v>6735</v>
      </c>
      <c r="K753" s="177" t="s">
        <v>7358</v>
      </c>
      <c r="L753" s="164"/>
      <c r="M753" s="187">
        <v>46151.68400462963</v>
      </c>
      <c r="N753" s="177" t="s">
        <v>22</v>
      </c>
      <c r="O753" s="164"/>
      <c r="P753" s="177" t="s">
        <v>3314</v>
      </c>
      <c r="Q753" s="177" t="s">
        <v>3312</v>
      </c>
      <c r="R753" s="164"/>
      <c r="S753" s="163">
        <f>IFERROR(__xludf.DUMMYFUNCTION("""COMPUTED_VALUE"""),11.98)</f>
        <v>11.98</v>
      </c>
      <c r="T753" s="164"/>
      <c r="U753" s="164"/>
      <c r="V753" s="164"/>
      <c r="W753" s="164"/>
      <c r="X753" s="164"/>
    </row>
    <row r="754">
      <c r="A754" s="175">
        <v>46151.0</v>
      </c>
      <c r="B754" s="176" t="s">
        <v>3315</v>
      </c>
      <c r="C754" s="177" t="s">
        <v>1049</v>
      </c>
      <c r="D754" s="177" t="s">
        <v>7308</v>
      </c>
      <c r="E754" s="177" t="s">
        <v>83</v>
      </c>
      <c r="F754" s="177" t="s">
        <v>7330</v>
      </c>
      <c r="G754" s="186"/>
      <c r="H754" s="180" t="s">
        <v>3315</v>
      </c>
      <c r="I754" s="163">
        <f>IFERROR(__xludf.DUMMYFUNCTION("""COMPUTED_VALUE"""),5.99)</f>
        <v>5.99</v>
      </c>
      <c r="J754" s="177" t="s">
        <v>6735</v>
      </c>
      <c r="K754" s="177" t="s">
        <v>7359</v>
      </c>
      <c r="L754" s="164"/>
      <c r="M754" s="187">
        <v>46151.68664351852</v>
      </c>
      <c r="N754" s="177" t="s">
        <v>22</v>
      </c>
      <c r="O754" s="164"/>
      <c r="P754" s="177" t="s">
        <v>3317</v>
      </c>
      <c r="Q754" s="177" t="s">
        <v>3312</v>
      </c>
      <c r="R754" s="164"/>
      <c r="S754" s="163">
        <f>IFERROR(__xludf.DUMMYFUNCTION("""COMPUTED_VALUE"""),11.98)</f>
        <v>11.98</v>
      </c>
      <c r="T754" s="164"/>
      <c r="U754" s="164"/>
      <c r="V754" s="164"/>
      <c r="W754" s="164"/>
      <c r="X754" s="164"/>
    </row>
    <row r="755">
      <c r="A755" s="175">
        <v>46151.0</v>
      </c>
      <c r="B755" s="176" t="s">
        <v>3318</v>
      </c>
      <c r="C755" s="177" t="s">
        <v>1049</v>
      </c>
      <c r="D755" s="177" t="s">
        <v>7308</v>
      </c>
      <c r="E755" s="177" t="s">
        <v>83</v>
      </c>
      <c r="F755" s="177" t="s">
        <v>662</v>
      </c>
      <c r="G755" s="186"/>
      <c r="H755" s="180" t="s">
        <v>3318</v>
      </c>
      <c r="I755" s="163">
        <f>IFERROR(__xludf.DUMMYFUNCTION("""COMPUTED_VALUE"""),5.99)</f>
        <v>5.99</v>
      </c>
      <c r="J755" s="177" t="s">
        <v>6975</v>
      </c>
      <c r="K755" s="177" t="s">
        <v>7360</v>
      </c>
      <c r="L755" s="164"/>
      <c r="M755" s="187">
        <v>46151.68775462963</v>
      </c>
      <c r="N755" s="177" t="s">
        <v>22</v>
      </c>
      <c r="O755" s="164"/>
      <c r="P755" s="177" t="s">
        <v>3320</v>
      </c>
      <c r="Q755" s="177" t="s">
        <v>3312</v>
      </c>
      <c r="R755" s="164"/>
      <c r="S755" s="163">
        <f>IFERROR(__xludf.DUMMYFUNCTION("""COMPUTED_VALUE"""),11.98)</f>
        <v>11.98</v>
      </c>
      <c r="T755" s="164"/>
      <c r="U755" s="164"/>
      <c r="V755" s="164"/>
      <c r="W755" s="164"/>
      <c r="X755" s="164"/>
    </row>
    <row r="756">
      <c r="A756" s="175">
        <v>46151.0</v>
      </c>
      <c r="B756" s="176" t="s">
        <v>3347</v>
      </c>
      <c r="C756" s="177" t="s">
        <v>1049</v>
      </c>
      <c r="D756" s="177" t="s">
        <v>7308</v>
      </c>
      <c r="E756" s="177" t="s">
        <v>83</v>
      </c>
      <c r="F756" s="177" t="s">
        <v>7330</v>
      </c>
      <c r="G756" s="186"/>
      <c r="H756" s="180" t="s">
        <v>3347</v>
      </c>
      <c r="I756" s="163">
        <f>IFERROR(__xludf.DUMMYFUNCTION("""COMPUTED_VALUE"""),4.99)</f>
        <v>4.99</v>
      </c>
      <c r="J756" s="164"/>
      <c r="K756" s="177" t="s">
        <v>7361</v>
      </c>
      <c r="L756" s="164"/>
      <c r="M756" s="187">
        <v>46151.70172453704</v>
      </c>
      <c r="N756" s="177" t="s">
        <v>22</v>
      </c>
      <c r="O756" s="164"/>
      <c r="P756" s="177" t="s">
        <v>3349</v>
      </c>
      <c r="Q756" s="177" t="s">
        <v>1805</v>
      </c>
      <c r="R756" s="164"/>
      <c r="S756" s="163">
        <f>IFERROR(__xludf.DUMMYFUNCTION("""COMPUTED_VALUE"""),15.0)</f>
        <v>15</v>
      </c>
      <c r="T756" s="164"/>
      <c r="U756" s="164"/>
      <c r="V756" s="164"/>
      <c r="W756" s="164"/>
      <c r="X756" s="164"/>
    </row>
    <row r="757">
      <c r="A757" s="175">
        <v>46151.0</v>
      </c>
      <c r="B757" s="176" t="s">
        <v>3350</v>
      </c>
      <c r="C757" s="177" t="s">
        <v>1049</v>
      </c>
      <c r="D757" s="177" t="s">
        <v>7308</v>
      </c>
      <c r="E757" s="177" t="s">
        <v>83</v>
      </c>
      <c r="F757" s="177" t="s">
        <v>7330</v>
      </c>
      <c r="G757" s="186"/>
      <c r="H757" s="180" t="s">
        <v>3350</v>
      </c>
      <c r="I757" s="163">
        <f>IFERROR(__xludf.DUMMYFUNCTION("""COMPUTED_VALUE"""),4.99)</f>
        <v>4.99</v>
      </c>
      <c r="J757" s="177" t="s">
        <v>6735</v>
      </c>
      <c r="K757" s="177" t="s">
        <v>7362</v>
      </c>
      <c r="L757" s="164"/>
      <c r="M757" s="187">
        <v>46151.703622685185</v>
      </c>
      <c r="N757" s="177" t="s">
        <v>22</v>
      </c>
      <c r="O757" s="164"/>
      <c r="P757" s="177" t="s">
        <v>3352</v>
      </c>
      <c r="Q757" s="177" t="s">
        <v>1805</v>
      </c>
      <c r="R757" s="164"/>
      <c r="S757" s="163">
        <f>IFERROR(__xludf.DUMMYFUNCTION("""COMPUTED_VALUE"""),15.0)</f>
        <v>15</v>
      </c>
      <c r="T757" s="164"/>
      <c r="U757" s="164"/>
      <c r="V757" s="164"/>
      <c r="W757" s="164"/>
      <c r="X757" s="164"/>
    </row>
    <row r="758">
      <c r="A758" s="175">
        <v>46151.0</v>
      </c>
      <c r="B758" s="176" t="s">
        <v>3353</v>
      </c>
      <c r="C758" s="177" t="s">
        <v>1049</v>
      </c>
      <c r="D758" s="177" t="s">
        <v>7308</v>
      </c>
      <c r="E758" s="177" t="s">
        <v>83</v>
      </c>
      <c r="F758" s="177" t="s">
        <v>7330</v>
      </c>
      <c r="G758" s="186"/>
      <c r="H758" s="180" t="s">
        <v>3353</v>
      </c>
      <c r="I758" s="163">
        <f>IFERROR(__xludf.DUMMYFUNCTION("""COMPUTED_VALUE"""),4.99)</f>
        <v>4.99</v>
      </c>
      <c r="J758" s="177" t="s">
        <v>6735</v>
      </c>
      <c r="K758" s="177" t="s">
        <v>7363</v>
      </c>
      <c r="L758" s="164"/>
      <c r="M758" s="187">
        <v>46151.705243055556</v>
      </c>
      <c r="N758" s="177" t="s">
        <v>22</v>
      </c>
      <c r="O758" s="164"/>
      <c r="P758" s="177" t="s">
        <v>3355</v>
      </c>
      <c r="Q758" s="177" t="s">
        <v>1805</v>
      </c>
      <c r="R758" s="164"/>
      <c r="S758" s="163">
        <f>IFERROR(__xludf.DUMMYFUNCTION("""COMPUTED_VALUE"""),15.0)</f>
        <v>15</v>
      </c>
      <c r="T758" s="164"/>
      <c r="U758" s="164"/>
      <c r="V758" s="164"/>
      <c r="W758" s="164"/>
      <c r="X758" s="164"/>
    </row>
    <row r="759">
      <c r="A759" s="175">
        <v>46151.0</v>
      </c>
      <c r="B759" s="176" t="s">
        <v>3356</v>
      </c>
      <c r="C759" s="177" t="s">
        <v>1049</v>
      </c>
      <c r="D759" s="177" t="s">
        <v>7308</v>
      </c>
      <c r="E759" s="177" t="s">
        <v>83</v>
      </c>
      <c r="F759" s="177" t="s">
        <v>7330</v>
      </c>
      <c r="G759" s="186"/>
      <c r="H759" s="180" t="s">
        <v>3356</v>
      </c>
      <c r="I759" s="163">
        <f>IFERROR(__xludf.DUMMYFUNCTION("""COMPUTED_VALUE"""),4.99)</f>
        <v>4.99</v>
      </c>
      <c r="J759" s="177" t="s">
        <v>6735</v>
      </c>
      <c r="K759" s="177" t="s">
        <v>7364</v>
      </c>
      <c r="L759" s="164"/>
      <c r="M759" s="187">
        <v>46151.706782407404</v>
      </c>
      <c r="N759" s="177" t="s">
        <v>22</v>
      </c>
      <c r="O759" s="164"/>
      <c r="P759" s="177" t="s">
        <v>3358</v>
      </c>
      <c r="Q759" s="177" t="s">
        <v>1805</v>
      </c>
      <c r="R759" s="164"/>
      <c r="S759" s="163">
        <f>IFERROR(__xludf.DUMMYFUNCTION("""COMPUTED_VALUE"""),15.0)</f>
        <v>15</v>
      </c>
      <c r="T759" s="164"/>
      <c r="U759" s="164"/>
      <c r="V759" s="164"/>
      <c r="W759" s="164"/>
      <c r="X759" s="164"/>
    </row>
    <row r="760">
      <c r="A760" s="175">
        <v>46151.0</v>
      </c>
      <c r="B760" s="176" t="s">
        <v>3359</v>
      </c>
      <c r="C760" s="177" t="s">
        <v>1049</v>
      </c>
      <c r="D760" s="177" t="s">
        <v>7308</v>
      </c>
      <c r="E760" s="177" t="s">
        <v>83</v>
      </c>
      <c r="F760" s="177" t="s">
        <v>7330</v>
      </c>
      <c r="G760" s="186"/>
      <c r="H760" s="180" t="s">
        <v>3359</v>
      </c>
      <c r="I760" s="163">
        <f>IFERROR(__xludf.DUMMYFUNCTION("""COMPUTED_VALUE"""),4.99)</f>
        <v>4.99</v>
      </c>
      <c r="J760" s="177" t="s">
        <v>6735</v>
      </c>
      <c r="K760" s="177" t="s">
        <v>7365</v>
      </c>
      <c r="L760" s="164"/>
      <c r="M760" s="187">
        <v>46151.82074074074</v>
      </c>
      <c r="N760" s="177" t="s">
        <v>22</v>
      </c>
      <c r="O760" s="164"/>
      <c r="P760" s="177" t="s">
        <v>3361</v>
      </c>
      <c r="Q760" s="177" t="s">
        <v>1805</v>
      </c>
      <c r="R760" s="164"/>
      <c r="S760" s="163">
        <f>IFERROR(__xludf.DUMMYFUNCTION("""COMPUTED_VALUE"""),15.0)</f>
        <v>15</v>
      </c>
      <c r="T760" s="164"/>
      <c r="U760" s="164"/>
      <c r="V760" s="164"/>
      <c r="W760" s="164"/>
      <c r="X760" s="164"/>
    </row>
    <row r="761">
      <c r="A761" s="175">
        <v>46152.0</v>
      </c>
      <c r="B761" s="176" t="s">
        <v>3382</v>
      </c>
      <c r="C761" s="177" t="s">
        <v>1049</v>
      </c>
      <c r="D761" s="177" t="s">
        <v>7366</v>
      </c>
      <c r="E761" s="177" t="s">
        <v>6962</v>
      </c>
      <c r="F761" s="177" t="s">
        <v>7330</v>
      </c>
      <c r="G761" s="186"/>
      <c r="H761" s="180" t="s">
        <v>3382</v>
      </c>
      <c r="I761" s="163">
        <f>IFERROR(__xludf.DUMMYFUNCTION("""COMPUTED_VALUE"""),20.0)</f>
        <v>20</v>
      </c>
      <c r="J761" s="177" t="s">
        <v>6735</v>
      </c>
      <c r="K761" s="177" t="s">
        <v>7367</v>
      </c>
      <c r="L761" s="164"/>
      <c r="M761" s="187">
        <v>46152.45570601852</v>
      </c>
      <c r="N761" s="177" t="s">
        <v>22</v>
      </c>
      <c r="O761" s="164"/>
      <c r="P761" s="177" t="s">
        <v>3384</v>
      </c>
      <c r="Q761" s="177" t="s">
        <v>3110</v>
      </c>
      <c r="R761" s="164"/>
      <c r="S761" s="163"/>
      <c r="T761" s="164"/>
      <c r="U761" s="164"/>
      <c r="V761" s="164"/>
      <c r="W761" s="164"/>
      <c r="X761" s="164"/>
    </row>
    <row r="762">
      <c r="A762" s="175">
        <v>46152.0</v>
      </c>
      <c r="B762" s="176" t="s">
        <v>3391</v>
      </c>
      <c r="C762" s="177" t="s">
        <v>1049</v>
      </c>
      <c r="D762" s="177" t="s">
        <v>1129</v>
      </c>
      <c r="E762" s="177" t="s">
        <v>6706</v>
      </c>
      <c r="F762" s="177" t="s">
        <v>7330</v>
      </c>
      <c r="G762" s="186"/>
      <c r="H762" s="180" t="s">
        <v>3391</v>
      </c>
      <c r="I762" s="163">
        <f>IFERROR(__xludf.DUMMYFUNCTION("""COMPUTED_VALUE"""),2.1983333333333333)</f>
        <v>2.198333333</v>
      </c>
      <c r="J762" s="177" t="s">
        <v>6735</v>
      </c>
      <c r="K762" s="177" t="s">
        <v>7368</v>
      </c>
      <c r="L762" s="164"/>
      <c r="M762" s="187">
        <v>46152.52511574074</v>
      </c>
      <c r="N762" s="177" t="s">
        <v>22</v>
      </c>
      <c r="O762" s="164"/>
      <c r="P762" s="177" t="s">
        <v>3393</v>
      </c>
      <c r="Q762" s="177" t="s">
        <v>1569</v>
      </c>
      <c r="R762" s="164"/>
      <c r="S762" s="163">
        <f>IFERROR(__xludf.DUMMYFUNCTION("""COMPUTED_VALUE"""),0.0)</f>
        <v>0</v>
      </c>
      <c r="T762" s="164"/>
      <c r="U762" s="164"/>
      <c r="V762" s="164"/>
      <c r="W762" s="164"/>
      <c r="X762" s="164"/>
    </row>
    <row r="763">
      <c r="A763" s="175">
        <v>46152.0</v>
      </c>
      <c r="B763" s="176" t="s">
        <v>3385</v>
      </c>
      <c r="C763" s="177" t="s">
        <v>1049</v>
      </c>
      <c r="D763" s="177" t="s">
        <v>7318</v>
      </c>
      <c r="E763" s="177" t="s">
        <v>850</v>
      </c>
      <c r="F763" s="177" t="s">
        <v>7330</v>
      </c>
      <c r="G763" s="186"/>
      <c r="H763" s="180" t="s">
        <v>3385</v>
      </c>
      <c r="I763" s="163">
        <f>IFERROR(__xludf.DUMMYFUNCTION("""COMPUTED_VALUE"""),0.08)</f>
        <v>0.08</v>
      </c>
      <c r="J763" s="177" t="s">
        <v>6735</v>
      </c>
      <c r="K763" s="177" t="s">
        <v>7369</v>
      </c>
      <c r="L763" s="164"/>
      <c r="M763" s="187">
        <v>46152.86240740741</v>
      </c>
      <c r="N763" s="177" t="s">
        <v>22</v>
      </c>
      <c r="O763" s="164"/>
      <c r="P763" s="177" t="s">
        <v>3387</v>
      </c>
      <c r="Q763" s="177" t="s">
        <v>3114</v>
      </c>
      <c r="R763" s="164"/>
      <c r="S763" s="163">
        <f>IFERROR(__xludf.DUMMYFUNCTION("""COMPUTED_VALUE"""),4.0)</f>
        <v>4</v>
      </c>
      <c r="T763" s="164"/>
      <c r="U763" s="164"/>
      <c r="V763" s="164"/>
      <c r="W763" s="164"/>
      <c r="X763" s="164"/>
    </row>
    <row r="764">
      <c r="A764" s="175">
        <v>46152.0</v>
      </c>
      <c r="B764" s="176" t="s">
        <v>3388</v>
      </c>
      <c r="C764" s="177" t="s">
        <v>1049</v>
      </c>
      <c r="D764" s="177" t="s">
        <v>7318</v>
      </c>
      <c r="E764" s="177" t="s">
        <v>850</v>
      </c>
      <c r="F764" s="177" t="s">
        <v>7330</v>
      </c>
      <c r="G764" s="186"/>
      <c r="H764" s="180" t="s">
        <v>3388</v>
      </c>
      <c r="I764" s="163">
        <f>IFERROR(__xludf.DUMMYFUNCTION("""COMPUTED_VALUE"""),0.08)</f>
        <v>0.08</v>
      </c>
      <c r="J764" s="177" t="s">
        <v>6735</v>
      </c>
      <c r="K764" s="177" t="s">
        <v>7370</v>
      </c>
      <c r="L764" s="164"/>
      <c r="M764" s="187">
        <v>46152.86375</v>
      </c>
      <c r="N764" s="177" t="s">
        <v>22</v>
      </c>
      <c r="O764" s="164"/>
      <c r="P764" s="177" t="s">
        <v>3390</v>
      </c>
      <c r="Q764" s="177" t="s">
        <v>3114</v>
      </c>
      <c r="R764" s="164"/>
      <c r="S764" s="163">
        <f>IFERROR(__xludf.DUMMYFUNCTION("""COMPUTED_VALUE"""),4.0)</f>
        <v>4</v>
      </c>
      <c r="T764" s="164"/>
      <c r="U764" s="164"/>
      <c r="V764" s="164"/>
      <c r="W764" s="164"/>
      <c r="X764" s="164"/>
    </row>
    <row r="765">
      <c r="A765" s="175">
        <v>46153.0</v>
      </c>
      <c r="B765" s="176" t="s">
        <v>3429</v>
      </c>
      <c r="C765" s="177" t="s">
        <v>1049</v>
      </c>
      <c r="D765" s="177" t="s">
        <v>7366</v>
      </c>
      <c r="E765" s="177" t="s">
        <v>6916</v>
      </c>
      <c r="F765" s="177" t="s">
        <v>7330</v>
      </c>
      <c r="G765" s="186"/>
      <c r="H765" s="180" t="s">
        <v>3429</v>
      </c>
      <c r="I765" s="163">
        <f>IFERROR(__xludf.DUMMYFUNCTION("""COMPUTED_VALUE"""),7.333333333333333)</f>
        <v>7.333333333</v>
      </c>
      <c r="J765" s="177" t="s">
        <v>6735</v>
      </c>
      <c r="K765" s="177" t="s">
        <v>7371</v>
      </c>
      <c r="L765" s="164"/>
      <c r="M765" s="187">
        <v>46153.36431712963</v>
      </c>
      <c r="N765" s="177" t="s">
        <v>22</v>
      </c>
      <c r="O765" s="164"/>
      <c r="P765" s="177" t="s">
        <v>3431</v>
      </c>
      <c r="Q765" s="177" t="s">
        <v>2884</v>
      </c>
      <c r="R765" s="164"/>
      <c r="S765" s="163">
        <f>IFERROR(__xludf.DUMMYFUNCTION("""COMPUTED_VALUE"""),0.0)</f>
        <v>0</v>
      </c>
      <c r="T765" s="164"/>
      <c r="U765" s="164"/>
      <c r="V765" s="164"/>
      <c r="W765" s="164"/>
      <c r="X765" s="164"/>
    </row>
    <row r="766">
      <c r="A766" s="175">
        <v>46151.0</v>
      </c>
      <c r="B766" s="176" t="s">
        <v>3321</v>
      </c>
      <c r="C766" s="177" t="s">
        <v>1049</v>
      </c>
      <c r="D766" s="177" t="s">
        <v>7308</v>
      </c>
      <c r="E766" s="177" t="s">
        <v>83</v>
      </c>
      <c r="F766" s="177" t="s">
        <v>662</v>
      </c>
      <c r="G766" s="186"/>
      <c r="H766" s="180" t="s">
        <v>3321</v>
      </c>
      <c r="I766" s="163">
        <f>IFERROR(__xludf.DUMMYFUNCTION("""COMPUTED_VALUE"""),7.99)</f>
        <v>7.99</v>
      </c>
      <c r="J766" s="177" t="s">
        <v>6975</v>
      </c>
      <c r="K766" s="177" t="s">
        <v>7372</v>
      </c>
      <c r="L766" s="164"/>
      <c r="M766" s="187">
        <v>46153.54974537037</v>
      </c>
      <c r="N766" s="177" t="s">
        <v>22</v>
      </c>
      <c r="O766" s="164"/>
      <c r="P766" s="177" t="s">
        <v>3324</v>
      </c>
      <c r="Q766" s="177" t="s">
        <v>3322</v>
      </c>
      <c r="R766" s="164"/>
      <c r="S766" s="163">
        <f>IFERROR(__xludf.DUMMYFUNCTION("""COMPUTED_VALUE"""),15.98)</f>
        <v>15.98</v>
      </c>
      <c r="T766" s="164"/>
      <c r="U766" s="164"/>
      <c r="V766" s="164"/>
      <c r="W766" s="164"/>
      <c r="X766" s="164"/>
    </row>
    <row r="767">
      <c r="A767" s="175">
        <v>46151.0</v>
      </c>
      <c r="B767" s="176" t="s">
        <v>3325</v>
      </c>
      <c r="C767" s="177" t="s">
        <v>1049</v>
      </c>
      <c r="D767" s="177" t="s">
        <v>7308</v>
      </c>
      <c r="E767" s="177" t="s">
        <v>83</v>
      </c>
      <c r="F767" s="177" t="s">
        <v>662</v>
      </c>
      <c r="G767" s="186"/>
      <c r="H767" s="180" t="s">
        <v>3325</v>
      </c>
      <c r="I767" s="163">
        <f>IFERROR(__xludf.DUMMYFUNCTION("""COMPUTED_VALUE"""),7.99)</f>
        <v>7.99</v>
      </c>
      <c r="J767" s="177" t="s">
        <v>6975</v>
      </c>
      <c r="K767" s="177" t="s">
        <v>7373</v>
      </c>
      <c r="L767" s="164"/>
      <c r="M767" s="187">
        <v>46153.55258101852</v>
      </c>
      <c r="N767" s="177" t="s">
        <v>22</v>
      </c>
      <c r="O767" s="164"/>
      <c r="P767" s="177" t="s">
        <v>3327</v>
      </c>
      <c r="Q767" s="177" t="s">
        <v>3322</v>
      </c>
      <c r="R767" s="164"/>
      <c r="S767" s="163">
        <f>IFERROR(__xludf.DUMMYFUNCTION("""COMPUTED_VALUE"""),15.98)</f>
        <v>15.98</v>
      </c>
      <c r="T767" s="164"/>
      <c r="U767" s="164"/>
      <c r="V767" s="164"/>
      <c r="W767" s="164"/>
      <c r="X767" s="164"/>
    </row>
    <row r="768">
      <c r="A768" s="175">
        <v>46151.0</v>
      </c>
      <c r="B768" s="176" t="s">
        <v>3328</v>
      </c>
      <c r="C768" s="177" t="s">
        <v>1049</v>
      </c>
      <c r="D768" s="177" t="s">
        <v>7308</v>
      </c>
      <c r="E768" s="177" t="s">
        <v>83</v>
      </c>
      <c r="F768" s="177" t="s">
        <v>662</v>
      </c>
      <c r="G768" s="186"/>
      <c r="H768" s="180" t="s">
        <v>3328</v>
      </c>
      <c r="I768" s="163">
        <f>IFERROR(__xludf.DUMMYFUNCTION("""COMPUTED_VALUE"""),7.99)</f>
        <v>7.99</v>
      </c>
      <c r="J768" s="177" t="s">
        <v>6975</v>
      </c>
      <c r="K768" s="177" t="s">
        <v>7374</v>
      </c>
      <c r="L768" s="164"/>
      <c r="M768" s="187">
        <v>46153.554189814815</v>
      </c>
      <c r="N768" s="177" t="s">
        <v>22</v>
      </c>
      <c r="O768" s="164"/>
      <c r="P768" s="177" t="s">
        <v>3330</v>
      </c>
      <c r="Q768" s="177" t="s">
        <v>3322</v>
      </c>
      <c r="R768" s="164"/>
      <c r="S768" s="163">
        <f>IFERROR(__xludf.DUMMYFUNCTION("""COMPUTED_VALUE"""),15.98)</f>
        <v>15.98</v>
      </c>
      <c r="T768" s="164"/>
      <c r="U768" s="164"/>
      <c r="V768" s="164"/>
      <c r="W768" s="164"/>
      <c r="X768" s="164"/>
    </row>
    <row r="769">
      <c r="A769" s="175">
        <v>46151.0</v>
      </c>
      <c r="B769" s="176" t="s">
        <v>3308</v>
      </c>
      <c r="C769" s="177" t="s">
        <v>1049</v>
      </c>
      <c r="D769" s="177" t="s">
        <v>7375</v>
      </c>
      <c r="E769" s="177" t="s">
        <v>850</v>
      </c>
      <c r="F769" s="177" t="s">
        <v>7330</v>
      </c>
      <c r="G769" s="186"/>
      <c r="H769" s="180" t="s">
        <v>3308</v>
      </c>
      <c r="I769" s="163">
        <f>IFERROR(__xludf.DUMMYFUNCTION("""COMPUTED_VALUE"""),0.08)</f>
        <v>0.08</v>
      </c>
      <c r="J769" s="177" t="s">
        <v>6735</v>
      </c>
      <c r="K769" s="177" t="s">
        <v>7376</v>
      </c>
      <c r="L769" s="164"/>
      <c r="M769" s="187">
        <v>46153.83388888889</v>
      </c>
      <c r="N769" s="177" t="s">
        <v>22</v>
      </c>
      <c r="O769" s="164"/>
      <c r="P769" s="177" t="s">
        <v>3310</v>
      </c>
      <c r="Q769" s="177" t="s">
        <v>2736</v>
      </c>
      <c r="R769" s="164"/>
      <c r="S769" s="163">
        <f>IFERROR(__xludf.DUMMYFUNCTION("""COMPUTED_VALUE"""),4.0)</f>
        <v>4</v>
      </c>
      <c r="T769" s="164"/>
      <c r="U769" s="164"/>
      <c r="V769" s="164"/>
      <c r="W769" s="164"/>
      <c r="X769" s="164"/>
    </row>
    <row r="770">
      <c r="A770" s="175">
        <v>46151.0</v>
      </c>
      <c r="B770" s="176" t="s">
        <v>3362</v>
      </c>
      <c r="C770" s="177" t="s">
        <v>1049</v>
      </c>
      <c r="D770" s="177" t="s">
        <v>7377</v>
      </c>
      <c r="E770" s="177" t="s">
        <v>850</v>
      </c>
      <c r="F770" s="177" t="s">
        <v>7330</v>
      </c>
      <c r="G770" s="186"/>
      <c r="H770" s="180" t="s">
        <v>3362</v>
      </c>
      <c r="I770" s="163">
        <f>IFERROR(__xludf.DUMMYFUNCTION("""COMPUTED_VALUE"""),0.08)</f>
        <v>0.08</v>
      </c>
      <c r="J770" s="177" t="s">
        <v>6735</v>
      </c>
      <c r="K770" s="177" t="s">
        <v>7378</v>
      </c>
      <c r="L770" s="164"/>
      <c r="M770" s="187">
        <v>46153.83584490741</v>
      </c>
      <c r="N770" s="177" t="s">
        <v>22</v>
      </c>
      <c r="O770" s="164"/>
      <c r="P770" s="164"/>
      <c r="Q770" s="177" t="s">
        <v>2736</v>
      </c>
      <c r="R770" s="164"/>
      <c r="S770" s="163">
        <f>IFERROR(__xludf.DUMMYFUNCTION("""COMPUTED_VALUE"""),4.0)</f>
        <v>4</v>
      </c>
      <c r="T770" s="164"/>
      <c r="U770" s="164"/>
      <c r="V770" s="164"/>
      <c r="W770" s="164"/>
      <c r="X770" s="164"/>
    </row>
    <row r="771">
      <c r="A771" s="175">
        <v>46151.0</v>
      </c>
      <c r="B771" s="176" t="s">
        <v>3364</v>
      </c>
      <c r="C771" s="177" t="s">
        <v>1049</v>
      </c>
      <c r="D771" s="177" t="s">
        <v>7377</v>
      </c>
      <c r="E771" s="177" t="s">
        <v>850</v>
      </c>
      <c r="F771" s="177" t="s">
        <v>7330</v>
      </c>
      <c r="G771" s="186"/>
      <c r="H771" s="180" t="s">
        <v>3364</v>
      </c>
      <c r="I771" s="163">
        <f>IFERROR(__xludf.DUMMYFUNCTION("""COMPUTED_VALUE"""),0.08)</f>
        <v>0.08</v>
      </c>
      <c r="J771" s="177" t="s">
        <v>6735</v>
      </c>
      <c r="K771" s="177" t="s">
        <v>7379</v>
      </c>
      <c r="L771" s="164"/>
      <c r="M771" s="187">
        <v>46153.837743055556</v>
      </c>
      <c r="N771" s="177" t="s">
        <v>22</v>
      </c>
      <c r="O771" s="164"/>
      <c r="P771" s="164"/>
      <c r="Q771" s="177" t="s">
        <v>2736</v>
      </c>
      <c r="R771" s="164"/>
      <c r="S771" s="163">
        <f>IFERROR(__xludf.DUMMYFUNCTION("""COMPUTED_VALUE"""),4.0)</f>
        <v>4</v>
      </c>
      <c r="T771" s="164"/>
      <c r="U771" s="164"/>
      <c r="V771" s="164"/>
      <c r="W771" s="164"/>
      <c r="X771" s="164"/>
    </row>
    <row r="772">
      <c r="A772" s="175">
        <v>46151.0</v>
      </c>
      <c r="B772" s="176" t="s">
        <v>3366</v>
      </c>
      <c r="C772" s="177" t="s">
        <v>1049</v>
      </c>
      <c r="D772" s="177" t="s">
        <v>7377</v>
      </c>
      <c r="E772" s="177" t="s">
        <v>850</v>
      </c>
      <c r="F772" s="177" t="s">
        <v>7330</v>
      </c>
      <c r="G772" s="186"/>
      <c r="H772" s="180" t="s">
        <v>3366</v>
      </c>
      <c r="I772" s="163">
        <f>IFERROR(__xludf.DUMMYFUNCTION("""COMPUTED_VALUE"""),0.08)</f>
        <v>0.08</v>
      </c>
      <c r="J772" s="177" t="s">
        <v>6735</v>
      </c>
      <c r="K772" s="177" t="s">
        <v>7380</v>
      </c>
      <c r="L772" s="164"/>
      <c r="M772" s="187">
        <v>46153.840150462966</v>
      </c>
      <c r="N772" s="177" t="s">
        <v>22</v>
      </c>
      <c r="O772" s="164"/>
      <c r="P772" s="164"/>
      <c r="Q772" s="177" t="s">
        <v>2736</v>
      </c>
      <c r="R772" s="164"/>
      <c r="S772" s="163">
        <f>IFERROR(__xludf.DUMMYFUNCTION("""COMPUTED_VALUE"""),4.0)</f>
        <v>4</v>
      </c>
      <c r="T772" s="164"/>
      <c r="U772" s="164"/>
      <c r="V772" s="164"/>
      <c r="W772" s="164"/>
      <c r="X772" s="164"/>
    </row>
    <row r="773">
      <c r="A773" s="175">
        <v>46151.0</v>
      </c>
      <c r="B773" s="176" t="s">
        <v>3368</v>
      </c>
      <c r="C773" s="177" t="s">
        <v>1049</v>
      </c>
      <c r="D773" s="177" t="s">
        <v>7377</v>
      </c>
      <c r="E773" s="177" t="s">
        <v>850</v>
      </c>
      <c r="F773" s="177" t="s">
        <v>7330</v>
      </c>
      <c r="G773" s="186"/>
      <c r="H773" s="180" t="s">
        <v>3368</v>
      </c>
      <c r="I773" s="163">
        <f>IFERROR(__xludf.DUMMYFUNCTION("""COMPUTED_VALUE"""),0.08)</f>
        <v>0.08</v>
      </c>
      <c r="J773" s="177" t="s">
        <v>6735</v>
      </c>
      <c r="K773" s="177" t="s">
        <v>7381</v>
      </c>
      <c r="L773" s="164"/>
      <c r="M773" s="187">
        <v>46153.84230324074</v>
      </c>
      <c r="N773" s="177" t="s">
        <v>22</v>
      </c>
      <c r="O773" s="164"/>
      <c r="P773" s="164"/>
      <c r="Q773" s="177" t="s">
        <v>2736</v>
      </c>
      <c r="R773" s="164"/>
      <c r="S773" s="163">
        <f>IFERROR(__xludf.DUMMYFUNCTION("""COMPUTED_VALUE"""),4.0)</f>
        <v>4</v>
      </c>
      <c r="T773" s="164"/>
      <c r="U773" s="164"/>
      <c r="V773" s="164"/>
      <c r="W773" s="164"/>
      <c r="X773" s="164"/>
    </row>
    <row r="774">
      <c r="A774" s="175">
        <v>46151.0</v>
      </c>
      <c r="B774" s="176" t="s">
        <v>3370</v>
      </c>
      <c r="C774" s="177" t="s">
        <v>1049</v>
      </c>
      <c r="D774" s="177" t="s">
        <v>7377</v>
      </c>
      <c r="E774" s="177" t="s">
        <v>850</v>
      </c>
      <c r="F774" s="177" t="s">
        <v>7330</v>
      </c>
      <c r="G774" s="186"/>
      <c r="H774" s="180" t="s">
        <v>3370</v>
      </c>
      <c r="I774" s="163">
        <f>IFERROR(__xludf.DUMMYFUNCTION("""COMPUTED_VALUE"""),0.08)</f>
        <v>0.08</v>
      </c>
      <c r="J774" s="177" t="s">
        <v>6735</v>
      </c>
      <c r="K774" s="177" t="s">
        <v>7382</v>
      </c>
      <c r="L774" s="164"/>
      <c r="M774" s="187">
        <v>46153.84840277778</v>
      </c>
      <c r="N774" s="177" t="s">
        <v>22</v>
      </c>
      <c r="O774" s="164"/>
      <c r="P774" s="164"/>
      <c r="Q774" s="177" t="s">
        <v>2736</v>
      </c>
      <c r="R774" s="164"/>
      <c r="S774" s="163">
        <f>IFERROR(__xludf.DUMMYFUNCTION("""COMPUTED_VALUE"""),4.0)</f>
        <v>4</v>
      </c>
      <c r="T774" s="164"/>
      <c r="U774" s="164"/>
      <c r="V774" s="164"/>
      <c r="W774" s="164"/>
      <c r="X774" s="164"/>
    </row>
    <row r="775">
      <c r="A775" s="175">
        <v>46151.0</v>
      </c>
      <c r="B775" s="176" t="s">
        <v>3372</v>
      </c>
      <c r="C775" s="177" t="s">
        <v>1049</v>
      </c>
      <c r="D775" s="177" t="s">
        <v>7377</v>
      </c>
      <c r="E775" s="177" t="s">
        <v>850</v>
      </c>
      <c r="F775" s="177" t="s">
        <v>7330</v>
      </c>
      <c r="G775" s="186"/>
      <c r="H775" s="180" t="s">
        <v>3372</v>
      </c>
      <c r="I775" s="163">
        <f>IFERROR(__xludf.DUMMYFUNCTION("""COMPUTED_VALUE"""),0.08)</f>
        <v>0.08</v>
      </c>
      <c r="J775" s="177" t="s">
        <v>6735</v>
      </c>
      <c r="K775" s="177" t="s">
        <v>7383</v>
      </c>
      <c r="L775" s="164"/>
      <c r="M775" s="187">
        <v>46153.90178240741</v>
      </c>
      <c r="N775" s="177" t="s">
        <v>22</v>
      </c>
      <c r="O775" s="164"/>
      <c r="P775" s="164"/>
      <c r="Q775" s="177" t="s">
        <v>2736</v>
      </c>
      <c r="R775" s="164"/>
      <c r="S775" s="163">
        <f>IFERROR(__xludf.DUMMYFUNCTION("""COMPUTED_VALUE"""),4.0)</f>
        <v>4</v>
      </c>
      <c r="T775" s="164"/>
      <c r="U775" s="164"/>
      <c r="V775" s="164"/>
      <c r="W775" s="164"/>
      <c r="X775" s="164"/>
    </row>
    <row r="776">
      <c r="A776" s="175">
        <v>46151.0</v>
      </c>
      <c r="B776" s="176" t="s">
        <v>3374</v>
      </c>
      <c r="C776" s="177" t="s">
        <v>1049</v>
      </c>
      <c r="D776" s="177" t="s">
        <v>7377</v>
      </c>
      <c r="E776" s="177" t="s">
        <v>850</v>
      </c>
      <c r="F776" s="177" t="s">
        <v>7330</v>
      </c>
      <c r="G776" s="186"/>
      <c r="H776" s="180" t="s">
        <v>3374</v>
      </c>
      <c r="I776" s="163">
        <f>IFERROR(__xludf.DUMMYFUNCTION("""COMPUTED_VALUE"""),8.0)</f>
        <v>8</v>
      </c>
      <c r="J776" s="177" t="s">
        <v>6735</v>
      </c>
      <c r="K776" s="177" t="s">
        <v>7384</v>
      </c>
      <c r="L776" s="164"/>
      <c r="M776" s="187">
        <v>46153.90262731481</v>
      </c>
      <c r="N776" s="177" t="s">
        <v>22</v>
      </c>
      <c r="O776" s="164"/>
      <c r="P776" s="164"/>
      <c r="Q776" s="177" t="s">
        <v>2736</v>
      </c>
      <c r="R776" s="164"/>
      <c r="S776" s="163">
        <f>IFERROR(__xludf.DUMMYFUNCTION("""COMPUTED_VALUE"""),4.0)</f>
        <v>4</v>
      </c>
      <c r="T776" s="164"/>
      <c r="U776" s="164"/>
      <c r="V776" s="164"/>
      <c r="W776" s="164"/>
      <c r="X776" s="164"/>
    </row>
    <row r="777">
      <c r="A777" s="175">
        <v>46151.0</v>
      </c>
      <c r="B777" s="176" t="s">
        <v>3376</v>
      </c>
      <c r="C777" s="177" t="s">
        <v>1049</v>
      </c>
      <c r="D777" s="177" t="s">
        <v>7377</v>
      </c>
      <c r="E777" s="177" t="s">
        <v>850</v>
      </c>
      <c r="F777" s="177" t="s">
        <v>7330</v>
      </c>
      <c r="G777" s="186"/>
      <c r="H777" s="180" t="s">
        <v>3376</v>
      </c>
      <c r="I777" s="163">
        <f>IFERROR(__xludf.DUMMYFUNCTION("""COMPUTED_VALUE"""),0.08)</f>
        <v>0.08</v>
      </c>
      <c r="J777" s="177" t="s">
        <v>6735</v>
      </c>
      <c r="K777" s="177" t="s">
        <v>7385</v>
      </c>
      <c r="L777" s="164"/>
      <c r="M777" s="187">
        <v>46153.904016203705</v>
      </c>
      <c r="N777" s="177" t="s">
        <v>22</v>
      </c>
      <c r="O777" s="164"/>
      <c r="P777" s="164"/>
      <c r="Q777" s="177" t="s">
        <v>2736</v>
      </c>
      <c r="R777" s="164"/>
      <c r="S777" s="163">
        <f>IFERROR(__xludf.DUMMYFUNCTION("""COMPUTED_VALUE"""),4.0)</f>
        <v>4</v>
      </c>
      <c r="T777" s="164"/>
      <c r="U777" s="164"/>
      <c r="V777" s="164"/>
      <c r="W777" s="164"/>
      <c r="X777" s="164"/>
    </row>
    <row r="778">
      <c r="A778" s="175">
        <v>46151.0</v>
      </c>
      <c r="B778" s="176" t="s">
        <v>3378</v>
      </c>
      <c r="C778" s="177" t="s">
        <v>1049</v>
      </c>
      <c r="D778" s="177" t="s">
        <v>7377</v>
      </c>
      <c r="E778" s="177" t="s">
        <v>850</v>
      </c>
      <c r="F778" s="177" t="s">
        <v>7330</v>
      </c>
      <c r="G778" s="186"/>
      <c r="H778" s="180" t="s">
        <v>3378</v>
      </c>
      <c r="I778" s="163">
        <f>IFERROR(__xludf.DUMMYFUNCTION("""COMPUTED_VALUE"""),0.08)</f>
        <v>0.08</v>
      </c>
      <c r="J778" s="177" t="s">
        <v>6735</v>
      </c>
      <c r="K778" s="177" t="s">
        <v>7386</v>
      </c>
      <c r="L778" s="164"/>
      <c r="M778" s="187">
        <v>46153.90572916667</v>
      </c>
      <c r="N778" s="177" t="s">
        <v>22</v>
      </c>
      <c r="O778" s="164"/>
      <c r="P778" s="164"/>
      <c r="Q778" s="177" t="s">
        <v>2736</v>
      </c>
      <c r="R778" s="164"/>
      <c r="S778" s="163">
        <f>IFERROR(__xludf.DUMMYFUNCTION("""COMPUTED_VALUE"""),4.0)</f>
        <v>4</v>
      </c>
      <c r="T778" s="164"/>
      <c r="U778" s="164"/>
      <c r="V778" s="164"/>
      <c r="W778" s="164"/>
      <c r="X778" s="164"/>
    </row>
    <row r="779">
      <c r="A779" s="175">
        <v>46151.0</v>
      </c>
      <c r="B779" s="176" t="s">
        <v>3331</v>
      </c>
      <c r="C779" s="177" t="s">
        <v>1049</v>
      </c>
      <c r="D779" s="177" t="s">
        <v>1129</v>
      </c>
      <c r="E779" s="177" t="s">
        <v>83</v>
      </c>
      <c r="F779" s="177" t="s">
        <v>7330</v>
      </c>
      <c r="G779" s="186"/>
      <c r="H779" s="180" t="s">
        <v>3331</v>
      </c>
      <c r="I779" s="163">
        <f>IFERROR(__xludf.DUMMYFUNCTION("""COMPUTED_VALUE"""),7.99)</f>
        <v>7.99</v>
      </c>
      <c r="J779" s="177" t="s">
        <v>6735</v>
      </c>
      <c r="K779" s="177" t="s">
        <v>7387</v>
      </c>
      <c r="L779" s="164"/>
      <c r="M779" s="187">
        <v>46154.39505787037</v>
      </c>
      <c r="N779" s="177" t="s">
        <v>22</v>
      </c>
      <c r="O779" s="164"/>
      <c r="P779" s="177" t="s">
        <v>3334</v>
      </c>
      <c r="Q779" s="177" t="s">
        <v>3332</v>
      </c>
      <c r="R779" s="164"/>
      <c r="S779" s="163">
        <f>IFERROR(__xludf.DUMMYFUNCTION("""COMPUTED_VALUE"""),15.98)</f>
        <v>15.98</v>
      </c>
      <c r="T779" s="164"/>
      <c r="U779" s="164"/>
      <c r="V779" s="164"/>
      <c r="W779" s="164"/>
      <c r="X779" s="164"/>
    </row>
    <row r="780">
      <c r="A780" s="175">
        <v>46151.0</v>
      </c>
      <c r="B780" s="176" t="s">
        <v>3335</v>
      </c>
      <c r="C780" s="177" t="s">
        <v>1049</v>
      </c>
      <c r="D780" s="177" t="s">
        <v>7308</v>
      </c>
      <c r="E780" s="177" t="s">
        <v>83</v>
      </c>
      <c r="F780" s="177" t="s">
        <v>7330</v>
      </c>
      <c r="G780" s="186"/>
      <c r="H780" s="180" t="s">
        <v>3335</v>
      </c>
      <c r="I780" s="163">
        <f>IFERROR(__xludf.DUMMYFUNCTION("""COMPUTED_VALUE"""),7.99)</f>
        <v>7.99</v>
      </c>
      <c r="J780" s="177" t="s">
        <v>6735</v>
      </c>
      <c r="K780" s="177" t="s">
        <v>7388</v>
      </c>
      <c r="L780" s="164"/>
      <c r="M780" s="187">
        <v>46154.396319444444</v>
      </c>
      <c r="N780" s="177" t="s">
        <v>22</v>
      </c>
      <c r="O780" s="164"/>
      <c r="P780" s="177" t="s">
        <v>3337</v>
      </c>
      <c r="Q780" s="177" t="s">
        <v>3332</v>
      </c>
      <c r="R780" s="164"/>
      <c r="S780" s="163">
        <f>IFERROR(__xludf.DUMMYFUNCTION("""COMPUTED_VALUE"""),15.98)</f>
        <v>15.98</v>
      </c>
      <c r="T780" s="164"/>
      <c r="U780" s="164"/>
      <c r="V780" s="164"/>
      <c r="W780" s="164"/>
      <c r="X780" s="164"/>
    </row>
    <row r="781">
      <c r="A781" s="175">
        <v>46151.0</v>
      </c>
      <c r="B781" s="176" t="s">
        <v>3338</v>
      </c>
      <c r="C781" s="177" t="s">
        <v>1049</v>
      </c>
      <c r="D781" s="177" t="s">
        <v>7308</v>
      </c>
      <c r="E781" s="177" t="s">
        <v>83</v>
      </c>
      <c r="F781" s="177" t="s">
        <v>7330</v>
      </c>
      <c r="G781" s="186"/>
      <c r="H781" s="180" t="s">
        <v>3338</v>
      </c>
      <c r="I781" s="163">
        <f>IFERROR(__xludf.DUMMYFUNCTION("""COMPUTED_VALUE"""),7.99)</f>
        <v>7.99</v>
      </c>
      <c r="J781" s="177" t="s">
        <v>6735</v>
      </c>
      <c r="K781" s="177" t="s">
        <v>7389</v>
      </c>
      <c r="L781" s="164"/>
      <c r="M781" s="187">
        <v>46154.39702546296</v>
      </c>
      <c r="N781" s="177" t="s">
        <v>22</v>
      </c>
      <c r="O781" s="164"/>
      <c r="P781" s="177" t="s">
        <v>3340</v>
      </c>
      <c r="Q781" s="177" t="s">
        <v>3332</v>
      </c>
      <c r="R781" s="164"/>
      <c r="S781" s="163">
        <f>IFERROR(__xludf.DUMMYFUNCTION("""COMPUTED_VALUE"""),15.98)</f>
        <v>15.98</v>
      </c>
      <c r="T781" s="164"/>
      <c r="U781" s="164"/>
      <c r="V781" s="164"/>
      <c r="W781" s="164"/>
      <c r="X781" s="164"/>
    </row>
    <row r="782">
      <c r="A782" s="175">
        <v>46151.0</v>
      </c>
      <c r="B782" s="176" t="s">
        <v>3341</v>
      </c>
      <c r="C782" s="177" t="s">
        <v>1049</v>
      </c>
      <c r="D782" s="177" t="s">
        <v>1129</v>
      </c>
      <c r="E782" s="177" t="s">
        <v>83</v>
      </c>
      <c r="F782" s="177" t="s">
        <v>7330</v>
      </c>
      <c r="G782" s="186"/>
      <c r="H782" s="180" t="s">
        <v>3341</v>
      </c>
      <c r="I782" s="163">
        <f>IFERROR(__xludf.DUMMYFUNCTION("""COMPUTED_VALUE"""),7.99)</f>
        <v>7.99</v>
      </c>
      <c r="J782" s="177" t="s">
        <v>6735</v>
      </c>
      <c r="K782" s="177" t="s">
        <v>7390</v>
      </c>
      <c r="L782" s="164"/>
      <c r="M782" s="187">
        <v>46154.39770833333</v>
      </c>
      <c r="N782" s="177" t="s">
        <v>22</v>
      </c>
      <c r="O782" s="164"/>
      <c r="P782" s="177" t="s">
        <v>3343</v>
      </c>
      <c r="Q782" s="177" t="s">
        <v>3332</v>
      </c>
      <c r="R782" s="164"/>
      <c r="S782" s="163">
        <f>IFERROR(__xludf.DUMMYFUNCTION("""COMPUTED_VALUE"""),15.98)</f>
        <v>15.98</v>
      </c>
      <c r="T782" s="164"/>
      <c r="U782" s="164"/>
      <c r="V782" s="164"/>
      <c r="W782" s="164"/>
      <c r="X782" s="164"/>
    </row>
    <row r="783">
      <c r="A783" s="175">
        <v>46151.0</v>
      </c>
      <c r="B783" s="176" t="s">
        <v>3344</v>
      </c>
      <c r="C783" s="177" t="s">
        <v>1049</v>
      </c>
      <c r="D783" s="177" t="s">
        <v>7308</v>
      </c>
      <c r="E783" s="177" t="s">
        <v>83</v>
      </c>
      <c r="F783" s="177" t="s">
        <v>7330</v>
      </c>
      <c r="G783" s="186"/>
      <c r="H783" s="180" t="s">
        <v>3344</v>
      </c>
      <c r="I783" s="163">
        <f>IFERROR(__xludf.DUMMYFUNCTION("""COMPUTED_VALUE"""),7.99)</f>
        <v>7.99</v>
      </c>
      <c r="J783" s="177" t="s">
        <v>6735</v>
      </c>
      <c r="K783" s="177" t="s">
        <v>7391</v>
      </c>
      <c r="L783" s="164"/>
      <c r="M783" s="187">
        <v>46154.39853009259</v>
      </c>
      <c r="N783" s="177" t="s">
        <v>22</v>
      </c>
      <c r="O783" s="164"/>
      <c r="P783" s="177" t="s">
        <v>3346</v>
      </c>
      <c r="Q783" s="177" t="s">
        <v>3332</v>
      </c>
      <c r="R783" s="164"/>
      <c r="S783" s="163">
        <f>IFERROR(__xludf.DUMMYFUNCTION("""COMPUTED_VALUE"""),15.98)</f>
        <v>15.98</v>
      </c>
      <c r="T783" s="164"/>
      <c r="U783" s="164"/>
      <c r="V783" s="164"/>
      <c r="W783" s="164"/>
      <c r="X783" s="164"/>
    </row>
    <row r="784">
      <c r="A784" s="175">
        <v>46153.0</v>
      </c>
      <c r="B784" s="176" t="s">
        <v>3419</v>
      </c>
      <c r="C784" s="177" t="s">
        <v>1049</v>
      </c>
      <c r="D784" s="177" t="s">
        <v>7377</v>
      </c>
      <c r="E784" s="177" t="s">
        <v>850</v>
      </c>
      <c r="F784" s="177" t="s">
        <v>7330</v>
      </c>
      <c r="G784" s="186"/>
      <c r="H784" s="180" t="s">
        <v>3419</v>
      </c>
      <c r="I784" s="163">
        <f>IFERROR(__xludf.DUMMYFUNCTION("""COMPUTED_VALUE"""),0.08)</f>
        <v>0.08</v>
      </c>
      <c r="J784" s="177" t="s">
        <v>6735</v>
      </c>
      <c r="K784" s="177" t="s">
        <v>7392</v>
      </c>
      <c r="L784" s="164"/>
      <c r="M784" s="187">
        <v>46154.43414351852</v>
      </c>
      <c r="N784" s="177" t="s">
        <v>22</v>
      </c>
      <c r="O784" s="164"/>
      <c r="P784" s="177" t="s">
        <v>3422</v>
      </c>
      <c r="Q784" s="177" t="s">
        <v>3420</v>
      </c>
      <c r="R784" s="164"/>
      <c r="S784" s="163">
        <f>IFERROR(__xludf.DUMMYFUNCTION("""COMPUTED_VALUE"""),4.0)</f>
        <v>4</v>
      </c>
      <c r="T784" s="164"/>
      <c r="U784" s="164"/>
      <c r="V784" s="164"/>
      <c r="W784" s="164"/>
      <c r="X784" s="164"/>
    </row>
    <row r="785">
      <c r="A785" s="175">
        <v>46153.0</v>
      </c>
      <c r="B785" s="176" t="s">
        <v>3415</v>
      </c>
      <c r="C785" s="177" t="s">
        <v>1049</v>
      </c>
      <c r="D785" s="177" t="s">
        <v>1051</v>
      </c>
      <c r="E785" s="177" t="s">
        <v>6823</v>
      </c>
      <c r="F785" s="177" t="s">
        <v>7330</v>
      </c>
      <c r="G785" s="186"/>
      <c r="H785" s="180" t="s">
        <v>3415</v>
      </c>
      <c r="I785" s="163">
        <f>IFERROR(__xludf.DUMMYFUNCTION("""COMPUTED_VALUE"""),18.0)</f>
        <v>18</v>
      </c>
      <c r="J785" s="177" t="s">
        <v>6735</v>
      </c>
      <c r="K785" s="177" t="s">
        <v>7393</v>
      </c>
      <c r="L785" s="164"/>
      <c r="M785" s="187">
        <v>46154.435428240744</v>
      </c>
      <c r="N785" s="177" t="s">
        <v>22</v>
      </c>
      <c r="O785" s="164"/>
      <c r="P785" s="177" t="s">
        <v>3418</v>
      </c>
      <c r="Q785" s="177" t="s">
        <v>3416</v>
      </c>
      <c r="R785" s="164"/>
      <c r="S785" s="163"/>
      <c r="T785" s="164"/>
      <c r="U785" s="164"/>
      <c r="V785" s="164"/>
      <c r="W785" s="164"/>
      <c r="X785" s="164"/>
    </row>
    <row r="786">
      <c r="A786" s="175">
        <v>46153.0</v>
      </c>
      <c r="B786" s="176" t="s">
        <v>3409</v>
      </c>
      <c r="C786" s="177" t="s">
        <v>1049</v>
      </c>
      <c r="D786" s="177" t="s">
        <v>1129</v>
      </c>
      <c r="E786" s="177" t="s">
        <v>6889</v>
      </c>
      <c r="F786" s="177" t="s">
        <v>7330</v>
      </c>
      <c r="G786" s="186"/>
      <c r="H786" s="180" t="s">
        <v>3409</v>
      </c>
      <c r="I786" s="163">
        <f>IFERROR(__xludf.DUMMYFUNCTION("""COMPUTED_VALUE"""),7.5)</f>
        <v>7.5</v>
      </c>
      <c r="J786" s="177" t="s">
        <v>6735</v>
      </c>
      <c r="K786" s="177" t="s">
        <v>7394</v>
      </c>
      <c r="L786" s="164"/>
      <c r="M786" s="187">
        <v>46154.4362962963</v>
      </c>
      <c r="N786" s="177" t="s">
        <v>22</v>
      </c>
      <c r="O786" s="164"/>
      <c r="P786" s="177" t="s">
        <v>3411</v>
      </c>
      <c r="Q786" s="177" t="s">
        <v>1691</v>
      </c>
      <c r="R786" s="164"/>
      <c r="S786" s="163">
        <f>IFERROR(__xludf.DUMMYFUNCTION("""COMPUTED_VALUE"""),0.0)</f>
        <v>0</v>
      </c>
      <c r="T786" s="164"/>
      <c r="U786" s="164"/>
      <c r="V786" s="164"/>
      <c r="W786" s="164"/>
      <c r="X786" s="164"/>
    </row>
    <row r="787">
      <c r="A787" s="175">
        <v>46153.0</v>
      </c>
      <c r="B787" s="176" t="s">
        <v>3426</v>
      </c>
      <c r="C787" s="177" t="s">
        <v>1049</v>
      </c>
      <c r="D787" s="177" t="s">
        <v>1051</v>
      </c>
      <c r="E787" s="177" t="s">
        <v>6962</v>
      </c>
      <c r="F787" s="177" t="s">
        <v>662</v>
      </c>
      <c r="G787" s="186"/>
      <c r="H787" s="180" t="s">
        <v>3426</v>
      </c>
      <c r="I787" s="163">
        <f>IFERROR(__xludf.DUMMYFUNCTION("""COMPUTED_VALUE"""),8.0)</f>
        <v>8</v>
      </c>
      <c r="J787" s="177" t="s">
        <v>6975</v>
      </c>
      <c r="K787" s="177" t="s">
        <v>7395</v>
      </c>
      <c r="L787" s="164"/>
      <c r="M787" s="187">
        <v>46154.43866898148</v>
      </c>
      <c r="N787" s="177" t="s">
        <v>22</v>
      </c>
      <c r="O787" s="164"/>
      <c r="P787" s="177" t="s">
        <v>3428</v>
      </c>
      <c r="Q787" s="177" t="s">
        <v>2382</v>
      </c>
      <c r="R787" s="164"/>
      <c r="S787" s="163">
        <f>IFERROR(__xludf.DUMMYFUNCTION("""COMPUTED_VALUE"""),0.0)</f>
        <v>0</v>
      </c>
      <c r="T787" s="164"/>
      <c r="U787" s="164"/>
      <c r="V787" s="164"/>
      <c r="W787" s="164"/>
      <c r="X787" s="164"/>
    </row>
    <row r="788">
      <c r="A788" s="175">
        <v>46153.0</v>
      </c>
      <c r="B788" s="176" t="s">
        <v>3423</v>
      </c>
      <c r="C788" s="177" t="s">
        <v>1049</v>
      </c>
      <c r="D788" s="177" t="s">
        <v>1129</v>
      </c>
      <c r="E788" s="177" t="s">
        <v>842</v>
      </c>
      <c r="F788" s="177" t="s">
        <v>662</v>
      </c>
      <c r="G788" s="186"/>
      <c r="H788" s="180" t="s">
        <v>3423</v>
      </c>
      <c r="I788" s="163">
        <f>IFERROR(__xludf.DUMMYFUNCTION("""COMPUTED_VALUE"""),3.4166666666666665)</f>
        <v>3.416666667</v>
      </c>
      <c r="J788" s="177" t="s">
        <v>6975</v>
      </c>
      <c r="K788" s="177" t="s">
        <v>7396</v>
      </c>
      <c r="L788" s="164"/>
      <c r="M788" s="187">
        <v>46154.44263888889</v>
      </c>
      <c r="N788" s="177" t="s">
        <v>22</v>
      </c>
      <c r="O788" s="164"/>
      <c r="P788" s="177" t="s">
        <v>3425</v>
      </c>
      <c r="Q788" s="177" t="s">
        <v>2484</v>
      </c>
      <c r="R788" s="164"/>
      <c r="S788" s="163">
        <f>IFERROR(__xludf.DUMMYFUNCTION("""COMPUTED_VALUE"""),0.0)</f>
        <v>0</v>
      </c>
      <c r="T788" s="164"/>
      <c r="U788" s="164"/>
      <c r="V788" s="164"/>
      <c r="W788" s="164"/>
      <c r="X788" s="164"/>
    </row>
    <row r="789">
      <c r="A789" s="175"/>
      <c r="B789" s="176"/>
      <c r="C789" s="177"/>
      <c r="D789" s="177"/>
      <c r="E789" s="177"/>
      <c r="F789" s="177"/>
      <c r="G789" s="186"/>
      <c r="H789" s="180"/>
      <c r="I789" s="163" t="str">
        <f>IFERROR(__xludf.DUMMYFUNCTION("""COMPUTED_VALUE"""),"")</f>
        <v/>
      </c>
      <c r="J789" s="177"/>
      <c r="K789" s="177"/>
      <c r="L789" s="164"/>
      <c r="M789" s="187"/>
      <c r="N789" s="177"/>
      <c r="O789" s="164"/>
      <c r="P789" s="177"/>
      <c r="Q789" s="177"/>
      <c r="R789" s="164"/>
      <c r="S789" s="163" t="str">
        <f>IFERROR(__xludf.DUMMYFUNCTION("""COMPUTED_VALUE"""),"")</f>
        <v/>
      </c>
      <c r="T789" s="164"/>
      <c r="U789" s="164"/>
      <c r="V789" s="164"/>
      <c r="W789" s="164"/>
      <c r="X789" s="164"/>
    </row>
    <row r="790">
      <c r="A790" s="175">
        <v>46153.0</v>
      </c>
      <c r="B790" s="176" t="s">
        <v>3406</v>
      </c>
      <c r="C790" s="177" t="s">
        <v>1049</v>
      </c>
      <c r="D790" s="177" t="s">
        <v>1129</v>
      </c>
      <c r="E790" s="177" t="s">
        <v>842</v>
      </c>
      <c r="F790" s="177" t="s">
        <v>7330</v>
      </c>
      <c r="G790" s="186"/>
      <c r="H790" s="180" t="s">
        <v>3406</v>
      </c>
      <c r="I790" s="163">
        <f>IFERROR(__xludf.DUMMYFUNCTION("""COMPUTED_VALUE"""),10.25)</f>
        <v>10.25</v>
      </c>
      <c r="J790" s="177" t="s">
        <v>6735</v>
      </c>
      <c r="K790" s="177" t="s">
        <v>7397</v>
      </c>
      <c r="L790" s="164"/>
      <c r="M790" s="187">
        <v>46154.46857638889</v>
      </c>
      <c r="N790" s="177" t="s">
        <v>22</v>
      </c>
      <c r="O790" s="164"/>
      <c r="P790" s="177" t="s">
        <v>3408</v>
      </c>
      <c r="Q790" s="177" t="s">
        <v>1530</v>
      </c>
      <c r="R790" s="164"/>
      <c r="S790" s="163"/>
      <c r="T790" s="164"/>
      <c r="U790" s="164"/>
      <c r="V790" s="164"/>
      <c r="W790" s="164"/>
      <c r="X790" s="164"/>
    </row>
    <row r="791">
      <c r="A791" s="175">
        <v>46153.0</v>
      </c>
      <c r="B791" s="176" t="s">
        <v>3432</v>
      </c>
      <c r="C791" s="177" t="s">
        <v>1049</v>
      </c>
      <c r="D791" s="177" t="s">
        <v>1129</v>
      </c>
      <c r="E791" s="177" t="s">
        <v>38</v>
      </c>
      <c r="F791" s="177" t="s">
        <v>7330</v>
      </c>
      <c r="G791" s="186"/>
      <c r="H791" s="180" t="s">
        <v>3432</v>
      </c>
      <c r="I791" s="163" t="str">
        <f>IFERROR(__xludf.DUMMYFUNCTION("""COMPUTED_VALUE"""),"")</f>
        <v/>
      </c>
      <c r="J791" s="177" t="s">
        <v>6735</v>
      </c>
      <c r="K791" s="177" t="s">
        <v>7398</v>
      </c>
      <c r="L791" s="164"/>
      <c r="M791" s="187">
        <v>46154.469375</v>
      </c>
      <c r="N791" s="177" t="s">
        <v>22</v>
      </c>
      <c r="O791" s="164"/>
      <c r="P791" s="177" t="s">
        <v>3434</v>
      </c>
      <c r="Q791" s="177" t="s">
        <v>1497</v>
      </c>
      <c r="R791" s="164"/>
      <c r="S791" s="163" t="str">
        <f>IFERROR(__xludf.DUMMYFUNCTION("""COMPUTED_VALUE"""),"")</f>
        <v/>
      </c>
      <c r="T791" s="164"/>
      <c r="U791" s="164"/>
      <c r="V791" s="164"/>
      <c r="W791" s="164"/>
      <c r="X791" s="164"/>
    </row>
    <row r="792">
      <c r="A792" s="175">
        <v>46153.0</v>
      </c>
      <c r="B792" s="176" t="s">
        <v>3412</v>
      </c>
      <c r="C792" s="177" t="s">
        <v>1049</v>
      </c>
      <c r="D792" s="177" t="s">
        <v>1129</v>
      </c>
      <c r="E792" s="177" t="s">
        <v>6776</v>
      </c>
      <c r="F792" s="177" t="s">
        <v>7330</v>
      </c>
      <c r="G792" s="186"/>
      <c r="H792" s="180" t="s">
        <v>3412</v>
      </c>
      <c r="I792" s="163">
        <f>IFERROR(__xludf.DUMMYFUNCTION("""COMPUTED_VALUE"""),4.19)</f>
        <v>4.19</v>
      </c>
      <c r="J792" s="177" t="s">
        <v>6735</v>
      </c>
      <c r="K792" s="177" t="s">
        <v>7399</v>
      </c>
      <c r="L792" s="164"/>
      <c r="M792" s="187">
        <v>46154.47217592593</v>
      </c>
      <c r="N792" s="177" t="s">
        <v>22</v>
      </c>
      <c r="O792" s="164"/>
      <c r="P792" s="177" t="s">
        <v>3414</v>
      </c>
      <c r="Q792" s="177" t="s">
        <v>1779</v>
      </c>
      <c r="R792" s="164"/>
      <c r="S792" s="163">
        <f>IFERROR(__xludf.DUMMYFUNCTION("""COMPUTED_VALUE"""),15.0)</f>
        <v>15</v>
      </c>
      <c r="T792" s="164"/>
      <c r="U792" s="164"/>
      <c r="V792" s="164"/>
      <c r="W792" s="164"/>
      <c r="X792" s="164"/>
    </row>
    <row r="793">
      <c r="A793" s="175">
        <v>46155.0</v>
      </c>
      <c r="B793" s="176" t="s">
        <v>3504</v>
      </c>
      <c r="C793" s="177" t="s">
        <v>1049</v>
      </c>
      <c r="D793" s="177" t="s">
        <v>1129</v>
      </c>
      <c r="E793" s="177" t="s">
        <v>662</v>
      </c>
      <c r="F793" s="177" t="s">
        <v>7330</v>
      </c>
      <c r="G793" s="186"/>
      <c r="H793" s="180" t="s">
        <v>3504</v>
      </c>
      <c r="I793" s="163">
        <f>IFERROR(__xludf.DUMMYFUNCTION("""COMPUTED_VALUE"""),36.0)</f>
        <v>36</v>
      </c>
      <c r="J793" s="177" t="s">
        <v>6735</v>
      </c>
      <c r="K793" s="188" t="s">
        <v>7400</v>
      </c>
      <c r="L793" s="164"/>
      <c r="M793" s="187">
        <v>46155.40329861111</v>
      </c>
      <c r="N793" s="177" t="s">
        <v>22</v>
      </c>
      <c r="O793" s="164"/>
      <c r="P793" s="177" t="s">
        <v>3507</v>
      </c>
      <c r="Q793" s="164"/>
      <c r="R793" s="164"/>
      <c r="S793" s="163">
        <f>IFERROR(__xludf.DUMMYFUNCTION("""COMPUTED_VALUE"""),72.0)</f>
        <v>72</v>
      </c>
      <c r="T793" s="164"/>
      <c r="U793" s="164"/>
      <c r="V793" s="164"/>
      <c r="W793" s="164"/>
      <c r="X793" s="164"/>
    </row>
    <row r="794">
      <c r="A794" s="175">
        <v>46155.0</v>
      </c>
      <c r="B794" s="176" t="s">
        <v>3508</v>
      </c>
      <c r="C794" s="177" t="s">
        <v>1049</v>
      </c>
      <c r="D794" s="177" t="s">
        <v>1129</v>
      </c>
      <c r="E794" s="177" t="s">
        <v>662</v>
      </c>
      <c r="F794" s="177" t="s">
        <v>662</v>
      </c>
      <c r="G794" s="186"/>
      <c r="H794" s="180" t="s">
        <v>3508</v>
      </c>
      <c r="I794" s="163">
        <f>IFERROR(__xludf.DUMMYFUNCTION("""COMPUTED_VALUE"""),36.0)</f>
        <v>36</v>
      </c>
      <c r="J794" s="177" t="s">
        <v>6975</v>
      </c>
      <c r="K794" s="177" t="s">
        <v>7401</v>
      </c>
      <c r="L794" s="164"/>
      <c r="M794" s="187">
        <v>46155.40392361111</v>
      </c>
      <c r="N794" s="177" t="s">
        <v>22</v>
      </c>
      <c r="O794" s="164"/>
      <c r="P794" s="177" t="s">
        <v>3510</v>
      </c>
      <c r="Q794" s="164"/>
      <c r="R794" s="164"/>
      <c r="S794" s="163">
        <f>IFERROR(__xludf.DUMMYFUNCTION("""COMPUTED_VALUE"""),72.0)</f>
        <v>72</v>
      </c>
      <c r="T794" s="164"/>
      <c r="U794" s="164"/>
      <c r="V794" s="164"/>
      <c r="W794" s="164"/>
      <c r="X794" s="164"/>
    </row>
    <row r="795">
      <c r="A795" s="175">
        <v>46151.0</v>
      </c>
      <c r="B795" s="176" t="s">
        <v>3502</v>
      </c>
      <c r="C795" s="177" t="s">
        <v>1049</v>
      </c>
      <c r="D795" s="177" t="s">
        <v>7308</v>
      </c>
      <c r="E795" s="177" t="s">
        <v>83</v>
      </c>
      <c r="F795" s="177" t="s">
        <v>7330</v>
      </c>
      <c r="G795" s="186"/>
      <c r="H795" s="180" t="s">
        <v>3502</v>
      </c>
      <c r="I795" s="163">
        <f>IFERROR(__xludf.DUMMYFUNCTION("""COMPUTED_VALUE"""),5.99)</f>
        <v>5.99</v>
      </c>
      <c r="J795" s="177" t="s">
        <v>6735</v>
      </c>
      <c r="K795" s="177" t="s">
        <v>7402</v>
      </c>
      <c r="L795" s="164"/>
      <c r="M795" s="187">
        <v>46155.472962962966</v>
      </c>
      <c r="N795" s="177" t="s">
        <v>22</v>
      </c>
      <c r="O795" s="164"/>
      <c r="P795" s="164"/>
      <c r="Q795" s="164"/>
      <c r="R795" s="164"/>
      <c r="S795" s="163">
        <f>IFERROR(__xludf.DUMMYFUNCTION("""COMPUTED_VALUE"""),15.0)</f>
        <v>15</v>
      </c>
      <c r="T795" s="164"/>
      <c r="U795" s="164"/>
      <c r="V795" s="164"/>
      <c r="W795" s="164"/>
      <c r="X795" s="164"/>
    </row>
    <row r="796">
      <c r="A796" s="175">
        <v>46151.0</v>
      </c>
      <c r="B796" s="176" t="s">
        <v>3500</v>
      </c>
      <c r="C796" s="177" t="s">
        <v>1049</v>
      </c>
      <c r="D796" s="177" t="s">
        <v>7308</v>
      </c>
      <c r="E796" s="177" t="s">
        <v>83</v>
      </c>
      <c r="F796" s="177" t="s">
        <v>7330</v>
      </c>
      <c r="G796" s="186"/>
      <c r="H796" s="180" t="s">
        <v>3500</v>
      </c>
      <c r="I796" s="163">
        <f>IFERROR(__xludf.DUMMYFUNCTION("""COMPUTED_VALUE"""),4.99)</f>
        <v>4.99</v>
      </c>
      <c r="J796" s="177" t="s">
        <v>6735</v>
      </c>
      <c r="K796" s="177" t="s">
        <v>7403</v>
      </c>
      <c r="L796" s="164"/>
      <c r="M796" s="187">
        <v>46155.47405092593</v>
      </c>
      <c r="N796" s="177" t="s">
        <v>22</v>
      </c>
      <c r="O796" s="164"/>
      <c r="P796" s="164"/>
      <c r="Q796" s="164"/>
      <c r="R796" s="164"/>
      <c r="S796" s="163">
        <f>IFERROR(__xludf.DUMMYFUNCTION("""COMPUTED_VALUE"""),15.0)</f>
        <v>15</v>
      </c>
      <c r="T796" s="164"/>
      <c r="U796" s="164"/>
      <c r="V796" s="164"/>
      <c r="W796" s="164"/>
      <c r="X796" s="164"/>
    </row>
    <row r="797">
      <c r="A797" s="175">
        <v>46151.0</v>
      </c>
      <c r="B797" s="176" t="s">
        <v>3302</v>
      </c>
      <c r="C797" s="177" t="s">
        <v>1049</v>
      </c>
      <c r="D797" s="177" t="s">
        <v>7308</v>
      </c>
      <c r="E797" s="177" t="s">
        <v>83</v>
      </c>
      <c r="F797" s="177" t="s">
        <v>7330</v>
      </c>
      <c r="G797" s="186"/>
      <c r="H797" s="180" t="s">
        <v>3302</v>
      </c>
      <c r="I797" s="163">
        <f>IFERROR(__xludf.DUMMYFUNCTION("""COMPUTED_VALUE"""),4.99)</f>
        <v>4.99</v>
      </c>
      <c r="J797" s="177" t="s">
        <v>6735</v>
      </c>
      <c r="K797" s="177" t="s">
        <v>7404</v>
      </c>
      <c r="L797" s="164"/>
      <c r="M797" s="187">
        <v>46155.558171296296</v>
      </c>
      <c r="N797" s="177" t="s">
        <v>22</v>
      </c>
      <c r="O797" s="164"/>
      <c r="P797" s="177" t="s">
        <v>3304</v>
      </c>
      <c r="Q797" s="164"/>
      <c r="R797" s="164"/>
      <c r="S797" s="163">
        <f>IFERROR(__xludf.DUMMYFUNCTION("""COMPUTED_VALUE"""),15.0)</f>
        <v>15</v>
      </c>
      <c r="T797" s="164"/>
      <c r="U797" s="164"/>
      <c r="V797" s="164"/>
      <c r="W797" s="164"/>
      <c r="X797" s="164"/>
    </row>
    <row r="798">
      <c r="A798" s="175">
        <v>46151.0</v>
      </c>
      <c r="B798" s="176" t="s">
        <v>3300</v>
      </c>
      <c r="C798" s="177" t="s">
        <v>1049</v>
      </c>
      <c r="D798" s="177" t="s">
        <v>7308</v>
      </c>
      <c r="E798" s="177" t="s">
        <v>83</v>
      </c>
      <c r="F798" s="177" t="s">
        <v>7330</v>
      </c>
      <c r="G798" s="186"/>
      <c r="H798" s="180" t="s">
        <v>3300</v>
      </c>
      <c r="I798" s="163">
        <f>IFERROR(__xludf.DUMMYFUNCTION("""COMPUTED_VALUE"""),4.99)</f>
        <v>4.99</v>
      </c>
      <c r="J798" s="177" t="s">
        <v>6735</v>
      </c>
      <c r="K798" s="177" t="s">
        <v>7405</v>
      </c>
      <c r="L798" s="164"/>
      <c r="M798" s="187">
        <v>46155.559282407405</v>
      </c>
      <c r="N798" s="177" t="s">
        <v>22</v>
      </c>
      <c r="O798" s="164"/>
      <c r="P798" s="164"/>
      <c r="Q798" s="164"/>
      <c r="R798" s="164"/>
      <c r="S798" s="163">
        <f>IFERROR(__xludf.DUMMYFUNCTION("""COMPUTED_VALUE"""),15.0)</f>
        <v>15</v>
      </c>
      <c r="T798" s="164"/>
      <c r="U798" s="164"/>
      <c r="V798" s="164"/>
      <c r="W798" s="164"/>
      <c r="X798" s="164"/>
    </row>
    <row r="799">
      <c r="A799" s="175">
        <v>46151.0</v>
      </c>
      <c r="B799" s="176" t="s">
        <v>3298</v>
      </c>
      <c r="C799" s="177" t="s">
        <v>1049</v>
      </c>
      <c r="D799" s="177" t="s">
        <v>7308</v>
      </c>
      <c r="E799" s="177" t="s">
        <v>83</v>
      </c>
      <c r="F799" s="177" t="s">
        <v>7330</v>
      </c>
      <c r="G799" s="186"/>
      <c r="H799" s="180" t="s">
        <v>3298</v>
      </c>
      <c r="I799" s="163">
        <f>IFERROR(__xludf.DUMMYFUNCTION("""COMPUTED_VALUE"""),4.99)</f>
        <v>4.99</v>
      </c>
      <c r="J799" s="177" t="s">
        <v>6735</v>
      </c>
      <c r="K799" s="177" t="s">
        <v>7406</v>
      </c>
      <c r="L799" s="164"/>
      <c r="M799" s="187">
        <v>46155.56040509259</v>
      </c>
      <c r="N799" s="177" t="s">
        <v>22</v>
      </c>
      <c r="O799" s="164"/>
      <c r="P799" s="164"/>
      <c r="Q799" s="164"/>
      <c r="R799" s="164"/>
      <c r="S799" s="163">
        <f>IFERROR(__xludf.DUMMYFUNCTION("""COMPUTED_VALUE"""),15.0)</f>
        <v>15</v>
      </c>
      <c r="T799" s="164"/>
      <c r="U799" s="164"/>
      <c r="V799" s="164"/>
      <c r="W799" s="164"/>
      <c r="X799" s="164"/>
    </row>
    <row r="800">
      <c r="A800" s="175">
        <v>46151.0</v>
      </c>
      <c r="B800" s="176" t="s">
        <v>3296</v>
      </c>
      <c r="C800" s="177" t="s">
        <v>1049</v>
      </c>
      <c r="D800" s="177" t="s">
        <v>7308</v>
      </c>
      <c r="E800" s="177" t="s">
        <v>83</v>
      </c>
      <c r="F800" s="177" t="s">
        <v>7330</v>
      </c>
      <c r="G800" s="186"/>
      <c r="H800" s="180" t="s">
        <v>3296</v>
      </c>
      <c r="I800" s="163">
        <f>IFERROR(__xludf.DUMMYFUNCTION("""COMPUTED_VALUE"""),4.99)</f>
        <v>4.99</v>
      </c>
      <c r="J800" s="177" t="s">
        <v>6735</v>
      </c>
      <c r="K800" s="177" t="s">
        <v>7407</v>
      </c>
      <c r="L800" s="164"/>
      <c r="M800" s="187">
        <v>46155.56119212963</v>
      </c>
      <c r="N800" s="177" t="s">
        <v>22</v>
      </c>
      <c r="O800" s="164"/>
      <c r="P800" s="164"/>
      <c r="Q800" s="164"/>
      <c r="R800" s="164"/>
      <c r="S800" s="163">
        <f>IFERROR(__xludf.DUMMYFUNCTION("""COMPUTED_VALUE"""),15.0)</f>
        <v>15</v>
      </c>
      <c r="T800" s="164"/>
      <c r="U800" s="164"/>
      <c r="V800" s="164"/>
      <c r="W800" s="164"/>
      <c r="X800" s="164"/>
    </row>
    <row r="801">
      <c r="A801" s="175">
        <v>46151.0</v>
      </c>
      <c r="B801" s="176" t="s">
        <v>3291</v>
      </c>
      <c r="C801" s="177" t="s">
        <v>1049</v>
      </c>
      <c r="D801" s="177" t="s">
        <v>7308</v>
      </c>
      <c r="E801" s="177" t="s">
        <v>83</v>
      </c>
      <c r="F801" s="177" t="s">
        <v>7330</v>
      </c>
      <c r="G801" s="186"/>
      <c r="H801" s="180" t="s">
        <v>3291</v>
      </c>
      <c r="I801" s="163">
        <f>IFERROR(__xludf.DUMMYFUNCTION("""COMPUTED_VALUE"""),4.99)</f>
        <v>4.99</v>
      </c>
      <c r="J801" s="177" t="s">
        <v>6735</v>
      </c>
      <c r="K801" s="177" t="s">
        <v>7408</v>
      </c>
      <c r="L801" s="164"/>
      <c r="M801" s="187">
        <v>46155.56199074074</v>
      </c>
      <c r="N801" s="177" t="s">
        <v>22</v>
      </c>
      <c r="O801" s="164"/>
      <c r="P801" s="164"/>
      <c r="Q801" s="164"/>
      <c r="R801" s="164"/>
      <c r="S801" s="163">
        <f>IFERROR(__xludf.DUMMYFUNCTION("""COMPUTED_VALUE"""),15.0)</f>
        <v>15</v>
      </c>
      <c r="T801" s="164"/>
      <c r="U801" s="164"/>
      <c r="V801" s="164"/>
      <c r="W801" s="164"/>
      <c r="X801" s="164"/>
    </row>
    <row r="802">
      <c r="A802" s="175">
        <v>46151.0</v>
      </c>
      <c r="B802" s="176" t="s">
        <v>3294</v>
      </c>
      <c r="C802" s="177" t="s">
        <v>1049</v>
      </c>
      <c r="D802" s="177" t="s">
        <v>7308</v>
      </c>
      <c r="E802" s="177" t="s">
        <v>83</v>
      </c>
      <c r="F802" s="177" t="s">
        <v>7330</v>
      </c>
      <c r="G802" s="186"/>
      <c r="H802" s="180" t="s">
        <v>3294</v>
      </c>
      <c r="I802" s="163">
        <f>IFERROR(__xludf.DUMMYFUNCTION("""COMPUTED_VALUE"""),4.99)</f>
        <v>4.99</v>
      </c>
      <c r="J802" s="177" t="s">
        <v>6735</v>
      </c>
      <c r="K802" s="177" t="s">
        <v>7409</v>
      </c>
      <c r="L802" s="164"/>
      <c r="M802" s="187">
        <v>46155.56283564815</v>
      </c>
      <c r="N802" s="177" t="s">
        <v>22</v>
      </c>
      <c r="O802" s="164"/>
      <c r="P802" s="164"/>
      <c r="Q802" s="164"/>
      <c r="R802" s="164"/>
      <c r="S802" s="163">
        <f>IFERROR(__xludf.DUMMYFUNCTION("""COMPUTED_VALUE"""),15.0)</f>
        <v>15</v>
      </c>
      <c r="T802" s="164"/>
      <c r="U802" s="164"/>
      <c r="V802" s="164"/>
      <c r="W802" s="164"/>
      <c r="X802" s="164"/>
    </row>
    <row r="803">
      <c r="A803" s="175">
        <v>46151.0</v>
      </c>
      <c r="B803" s="176" t="s">
        <v>3288</v>
      </c>
      <c r="C803" s="177" t="s">
        <v>1049</v>
      </c>
      <c r="D803" s="177" t="s">
        <v>7308</v>
      </c>
      <c r="E803" s="177" t="s">
        <v>83</v>
      </c>
      <c r="F803" s="177" t="s">
        <v>7330</v>
      </c>
      <c r="G803" s="186"/>
      <c r="H803" s="180" t="s">
        <v>3288</v>
      </c>
      <c r="I803" s="163">
        <f>IFERROR(__xludf.DUMMYFUNCTION("""COMPUTED_VALUE"""),5.99)</f>
        <v>5.99</v>
      </c>
      <c r="J803" s="177" t="s">
        <v>6735</v>
      </c>
      <c r="K803" s="177" t="s">
        <v>7410</v>
      </c>
      <c r="L803" s="164"/>
      <c r="M803" s="187">
        <v>46155.565150462964</v>
      </c>
      <c r="N803" s="177" t="s">
        <v>22</v>
      </c>
      <c r="O803" s="164"/>
      <c r="P803" s="177" t="s">
        <v>3290</v>
      </c>
      <c r="Q803" s="164"/>
      <c r="R803" s="164"/>
      <c r="S803" s="163">
        <f>IFERROR(__xludf.DUMMYFUNCTION("""COMPUTED_VALUE"""),15.0)</f>
        <v>15</v>
      </c>
      <c r="T803" s="164"/>
      <c r="U803" s="164"/>
      <c r="V803" s="164"/>
      <c r="W803" s="164"/>
      <c r="X803" s="164"/>
    </row>
    <row r="804">
      <c r="A804" s="175">
        <v>46151.0</v>
      </c>
      <c r="B804" s="176" t="s">
        <v>3286</v>
      </c>
      <c r="C804" s="177" t="s">
        <v>1049</v>
      </c>
      <c r="D804" s="177" t="s">
        <v>7308</v>
      </c>
      <c r="E804" s="177" t="s">
        <v>83</v>
      </c>
      <c r="F804" s="177" t="s">
        <v>7330</v>
      </c>
      <c r="G804" s="186"/>
      <c r="H804" s="180" t="s">
        <v>3286</v>
      </c>
      <c r="I804" s="163">
        <f>IFERROR(__xludf.DUMMYFUNCTION("""COMPUTED_VALUE"""),5.99)</f>
        <v>5.99</v>
      </c>
      <c r="J804" s="177" t="s">
        <v>6735</v>
      </c>
      <c r="K804" s="177" t="s">
        <v>7411</v>
      </c>
      <c r="L804" s="164"/>
      <c r="M804" s="187">
        <v>46155.56946759259</v>
      </c>
      <c r="N804" s="177" t="s">
        <v>22</v>
      </c>
      <c r="O804" s="164"/>
      <c r="P804" s="164"/>
      <c r="Q804" s="164"/>
      <c r="R804" s="164"/>
      <c r="S804" s="163">
        <f>IFERROR(__xludf.DUMMYFUNCTION("""COMPUTED_VALUE"""),15.0)</f>
        <v>15</v>
      </c>
      <c r="T804" s="164"/>
      <c r="U804" s="164"/>
      <c r="V804" s="164"/>
      <c r="W804" s="164"/>
      <c r="X804" s="164"/>
    </row>
    <row r="805">
      <c r="A805" s="175">
        <v>46151.0</v>
      </c>
      <c r="B805" s="176" t="s">
        <v>3284</v>
      </c>
      <c r="C805" s="177" t="s">
        <v>1049</v>
      </c>
      <c r="D805" s="177" t="s">
        <v>7308</v>
      </c>
      <c r="E805" s="177" t="s">
        <v>83</v>
      </c>
      <c r="F805" s="177" t="s">
        <v>7330</v>
      </c>
      <c r="G805" s="186"/>
      <c r="H805" s="180" t="s">
        <v>3284</v>
      </c>
      <c r="I805" s="163">
        <f>IFERROR(__xludf.DUMMYFUNCTION("""COMPUTED_VALUE"""),5.99)</f>
        <v>5.99</v>
      </c>
      <c r="J805" s="177" t="s">
        <v>6735</v>
      </c>
      <c r="K805" s="177" t="s">
        <v>7412</v>
      </c>
      <c r="L805" s="164"/>
      <c r="M805" s="187">
        <v>46155.57077546296</v>
      </c>
      <c r="N805" s="177" t="s">
        <v>22</v>
      </c>
      <c r="O805" s="164"/>
      <c r="P805" s="164"/>
      <c r="Q805" s="164"/>
      <c r="R805" s="164"/>
      <c r="S805" s="163">
        <f>IFERROR(__xludf.DUMMYFUNCTION("""COMPUTED_VALUE"""),15.0)</f>
        <v>15</v>
      </c>
      <c r="T805" s="164"/>
      <c r="U805" s="164"/>
      <c r="V805" s="164"/>
      <c r="W805" s="164"/>
      <c r="X805" s="164"/>
    </row>
    <row r="806">
      <c r="A806" s="175">
        <v>46151.0</v>
      </c>
      <c r="B806" s="176" t="s">
        <v>3282</v>
      </c>
      <c r="C806" s="177" t="s">
        <v>1049</v>
      </c>
      <c r="D806" s="177" t="s">
        <v>7308</v>
      </c>
      <c r="E806" s="177" t="s">
        <v>83</v>
      </c>
      <c r="F806" s="177" t="s">
        <v>7330</v>
      </c>
      <c r="G806" s="186"/>
      <c r="H806" s="180" t="s">
        <v>3282</v>
      </c>
      <c r="I806" s="163">
        <f>IFERROR(__xludf.DUMMYFUNCTION("""COMPUTED_VALUE"""),5.99)</f>
        <v>5.99</v>
      </c>
      <c r="J806" s="177" t="s">
        <v>6735</v>
      </c>
      <c r="K806" s="177" t="s">
        <v>7413</v>
      </c>
      <c r="L806" s="164"/>
      <c r="M806" s="187">
        <v>46155.571608796294</v>
      </c>
      <c r="N806" s="177" t="s">
        <v>22</v>
      </c>
      <c r="O806" s="164"/>
      <c r="P806" s="164"/>
      <c r="Q806" s="164"/>
      <c r="R806" s="164"/>
      <c r="S806" s="163">
        <f>IFERROR(__xludf.DUMMYFUNCTION("""COMPUTED_VALUE"""),15.0)</f>
        <v>15</v>
      </c>
      <c r="T806" s="164"/>
      <c r="U806" s="164"/>
      <c r="V806" s="164"/>
      <c r="W806" s="164"/>
      <c r="X806" s="164"/>
    </row>
    <row r="807">
      <c r="A807" s="175">
        <v>46151.0</v>
      </c>
      <c r="B807" s="176" t="s">
        <v>3280</v>
      </c>
      <c r="C807" s="177" t="s">
        <v>1049</v>
      </c>
      <c r="D807" s="177" t="s">
        <v>7308</v>
      </c>
      <c r="E807" s="177" t="s">
        <v>83</v>
      </c>
      <c r="F807" s="177" t="s">
        <v>7330</v>
      </c>
      <c r="G807" s="186"/>
      <c r="H807" s="180" t="s">
        <v>3280</v>
      </c>
      <c r="I807" s="163">
        <f>IFERROR(__xludf.DUMMYFUNCTION("""COMPUTED_VALUE"""),5.99)</f>
        <v>5.99</v>
      </c>
      <c r="J807" s="177" t="s">
        <v>6735</v>
      </c>
      <c r="K807" s="177" t="s">
        <v>7414</v>
      </c>
      <c r="L807" s="164"/>
      <c r="M807" s="187">
        <v>46155.57295138889</v>
      </c>
      <c r="N807" s="177" t="s">
        <v>22</v>
      </c>
      <c r="O807" s="164"/>
      <c r="P807" s="164"/>
      <c r="Q807" s="164"/>
      <c r="R807" s="164"/>
      <c r="S807" s="163">
        <f>IFERROR(__xludf.DUMMYFUNCTION("""COMPUTED_VALUE"""),15.0)</f>
        <v>15</v>
      </c>
      <c r="T807" s="164"/>
      <c r="U807" s="164"/>
      <c r="V807" s="164"/>
      <c r="W807" s="164"/>
      <c r="X807" s="164"/>
    </row>
    <row r="808">
      <c r="A808" s="175">
        <v>46151.0</v>
      </c>
      <c r="B808" s="176" t="s">
        <v>3278</v>
      </c>
      <c r="C808" s="177" t="s">
        <v>1049</v>
      </c>
      <c r="D808" s="177" t="s">
        <v>7308</v>
      </c>
      <c r="E808" s="177" t="s">
        <v>83</v>
      </c>
      <c r="F808" s="177" t="s">
        <v>7330</v>
      </c>
      <c r="G808" s="186"/>
      <c r="H808" s="180" t="s">
        <v>3278</v>
      </c>
      <c r="I808" s="163">
        <f>IFERROR(__xludf.DUMMYFUNCTION("""COMPUTED_VALUE"""),5.99)</f>
        <v>5.99</v>
      </c>
      <c r="J808" s="177" t="s">
        <v>6735</v>
      </c>
      <c r="K808" s="177" t="s">
        <v>7415</v>
      </c>
      <c r="L808" s="164"/>
      <c r="M808" s="187">
        <v>46155.57486111111</v>
      </c>
      <c r="N808" s="177" t="s">
        <v>22</v>
      </c>
      <c r="O808" s="164"/>
      <c r="P808" s="164"/>
      <c r="Q808" s="164"/>
      <c r="R808" s="164"/>
      <c r="S808" s="163">
        <f>IFERROR(__xludf.DUMMYFUNCTION("""COMPUTED_VALUE"""),15.0)</f>
        <v>15</v>
      </c>
      <c r="T808" s="164"/>
      <c r="U808" s="164"/>
      <c r="V808" s="164"/>
      <c r="W808" s="164"/>
      <c r="X808" s="164"/>
    </row>
    <row r="809">
      <c r="A809" s="175">
        <v>46151.0</v>
      </c>
      <c r="B809" s="176" t="s">
        <v>3276</v>
      </c>
      <c r="C809" s="177" t="s">
        <v>1049</v>
      </c>
      <c r="D809" s="177" t="s">
        <v>7308</v>
      </c>
      <c r="E809" s="177" t="s">
        <v>83</v>
      </c>
      <c r="F809" s="177" t="s">
        <v>7330</v>
      </c>
      <c r="G809" s="186"/>
      <c r="H809" s="180" t="s">
        <v>3276</v>
      </c>
      <c r="I809" s="163">
        <f>IFERROR(__xludf.DUMMYFUNCTION("""COMPUTED_VALUE"""),5.99)</f>
        <v>5.99</v>
      </c>
      <c r="J809" s="177" t="s">
        <v>6735</v>
      </c>
      <c r="K809" s="177" t="s">
        <v>7416</v>
      </c>
      <c r="L809" s="164"/>
      <c r="M809" s="187">
        <v>46155.57550925926</v>
      </c>
      <c r="N809" s="177" t="s">
        <v>22</v>
      </c>
      <c r="O809" s="164"/>
      <c r="P809" s="164"/>
      <c r="Q809" s="164"/>
      <c r="R809" s="164"/>
      <c r="S809" s="163">
        <f>IFERROR(__xludf.DUMMYFUNCTION("""COMPUTED_VALUE"""),15.0)</f>
        <v>15</v>
      </c>
      <c r="T809" s="164"/>
      <c r="U809" s="164"/>
      <c r="V809" s="164"/>
      <c r="W809" s="164"/>
      <c r="X809" s="164"/>
    </row>
    <row r="810">
      <c r="A810" s="175">
        <v>46151.0</v>
      </c>
      <c r="B810" s="176" t="s">
        <v>3271</v>
      </c>
      <c r="C810" s="177" t="s">
        <v>1049</v>
      </c>
      <c r="D810" s="177" t="s">
        <v>7308</v>
      </c>
      <c r="E810" s="177" t="s">
        <v>83</v>
      </c>
      <c r="F810" s="177" t="s">
        <v>7330</v>
      </c>
      <c r="G810" s="186"/>
      <c r="H810" s="180" t="s">
        <v>3271</v>
      </c>
      <c r="I810" s="163">
        <f>IFERROR(__xludf.DUMMYFUNCTION("""COMPUTED_VALUE"""),5.99)</f>
        <v>5.99</v>
      </c>
      <c r="J810" s="177" t="s">
        <v>6735</v>
      </c>
      <c r="K810" s="177" t="s">
        <v>7417</v>
      </c>
      <c r="L810" s="164"/>
      <c r="M810" s="187">
        <v>46155.576261574075</v>
      </c>
      <c r="N810" s="177" t="s">
        <v>22</v>
      </c>
      <c r="O810" s="164"/>
      <c r="P810" s="164"/>
      <c r="Q810" s="164"/>
      <c r="R810" s="164"/>
      <c r="S810" s="163">
        <f>IFERROR(__xludf.DUMMYFUNCTION("""COMPUTED_VALUE"""),15.0)</f>
        <v>15</v>
      </c>
      <c r="T810" s="164"/>
      <c r="U810" s="164"/>
      <c r="V810" s="164"/>
      <c r="W810" s="164"/>
      <c r="X810" s="164"/>
    </row>
    <row r="811">
      <c r="A811" s="175">
        <v>46151.0</v>
      </c>
      <c r="B811" s="176" t="s">
        <v>3274</v>
      </c>
      <c r="C811" s="177" t="s">
        <v>1049</v>
      </c>
      <c r="D811" s="177" t="s">
        <v>7308</v>
      </c>
      <c r="E811" s="177" t="s">
        <v>83</v>
      </c>
      <c r="F811" s="177" t="s">
        <v>7330</v>
      </c>
      <c r="G811" s="186"/>
      <c r="H811" s="180" t="s">
        <v>3274</v>
      </c>
      <c r="I811" s="163">
        <f>IFERROR(__xludf.DUMMYFUNCTION("""COMPUTED_VALUE"""),5.99)</f>
        <v>5.99</v>
      </c>
      <c r="J811" s="177" t="s">
        <v>6735</v>
      </c>
      <c r="K811" s="177" t="s">
        <v>7418</v>
      </c>
      <c r="L811" s="164"/>
      <c r="M811" s="187">
        <v>46155.57697916667</v>
      </c>
      <c r="N811" s="177" t="s">
        <v>22</v>
      </c>
      <c r="O811" s="164"/>
      <c r="P811" s="164"/>
      <c r="Q811" s="164"/>
      <c r="R811" s="164"/>
      <c r="S811" s="163">
        <f>IFERROR(__xludf.DUMMYFUNCTION("""COMPUTED_VALUE"""),15.0)</f>
        <v>15</v>
      </c>
      <c r="T811" s="164"/>
      <c r="U811" s="164"/>
      <c r="V811" s="164"/>
      <c r="W811" s="164"/>
      <c r="X811" s="164"/>
    </row>
    <row r="812">
      <c r="A812" s="175">
        <v>46155.0</v>
      </c>
      <c r="B812" s="176" t="s">
        <v>3554</v>
      </c>
      <c r="C812" s="177" t="s">
        <v>1049</v>
      </c>
      <c r="D812" s="177" t="s">
        <v>7318</v>
      </c>
      <c r="E812" s="177" t="s">
        <v>38</v>
      </c>
      <c r="F812" s="177" t="s">
        <v>7330</v>
      </c>
      <c r="G812" s="186"/>
      <c r="H812" s="180" t="s">
        <v>3554</v>
      </c>
      <c r="I812" s="163">
        <f>IFERROR(__xludf.DUMMYFUNCTION("""COMPUTED_VALUE"""),9.0)</f>
        <v>9</v>
      </c>
      <c r="J812" s="177" t="s">
        <v>6735</v>
      </c>
      <c r="K812" s="177" t="s">
        <v>7419</v>
      </c>
      <c r="L812" s="164"/>
      <c r="M812" s="187">
        <v>46155.584328703706</v>
      </c>
      <c r="N812" s="177" t="s">
        <v>22</v>
      </c>
      <c r="O812" s="164"/>
      <c r="P812" s="177" t="s">
        <v>3556</v>
      </c>
      <c r="Q812" s="164"/>
      <c r="R812" s="164"/>
      <c r="S812" s="163">
        <f>IFERROR(__xludf.DUMMYFUNCTION("""COMPUTED_VALUE"""),18.0)</f>
        <v>18</v>
      </c>
      <c r="T812" s="164"/>
      <c r="U812" s="164"/>
      <c r="V812" s="164"/>
      <c r="W812" s="164"/>
      <c r="X812" s="164"/>
    </row>
    <row r="813">
      <c r="A813" s="175">
        <v>46155.0</v>
      </c>
      <c r="B813" s="176" t="s">
        <v>3487</v>
      </c>
      <c r="C813" s="177" t="s">
        <v>1049</v>
      </c>
      <c r="D813" s="177" t="s">
        <v>7318</v>
      </c>
      <c r="E813" s="177" t="s">
        <v>38</v>
      </c>
      <c r="F813" s="177" t="s">
        <v>7330</v>
      </c>
      <c r="G813" s="186"/>
      <c r="H813" s="180" t="s">
        <v>3487</v>
      </c>
      <c r="I813" s="163">
        <f>IFERROR(__xludf.DUMMYFUNCTION("""COMPUTED_VALUE"""),9.0)</f>
        <v>9</v>
      </c>
      <c r="J813" s="177" t="s">
        <v>6735</v>
      </c>
      <c r="K813" s="177" t="s">
        <v>7420</v>
      </c>
      <c r="L813" s="164"/>
      <c r="M813" s="187">
        <v>46155.59006944444</v>
      </c>
      <c r="N813" s="177" t="s">
        <v>22</v>
      </c>
      <c r="O813" s="164"/>
      <c r="P813" s="177" t="s">
        <v>3489</v>
      </c>
      <c r="Q813" s="164"/>
      <c r="R813" s="164"/>
      <c r="S813" s="163">
        <f>IFERROR(__xludf.DUMMYFUNCTION("""COMPUTED_VALUE"""),18.0)</f>
        <v>18</v>
      </c>
      <c r="T813" s="164"/>
      <c r="U813" s="164"/>
      <c r="V813" s="164"/>
      <c r="W813" s="164"/>
      <c r="X813" s="164"/>
    </row>
    <row r="814">
      <c r="A814" s="175">
        <v>46155.0</v>
      </c>
      <c r="B814" s="176" t="s">
        <v>3484</v>
      </c>
      <c r="C814" s="177" t="s">
        <v>1049</v>
      </c>
      <c r="D814" s="177" t="s">
        <v>7318</v>
      </c>
      <c r="E814" s="177" t="s">
        <v>38</v>
      </c>
      <c r="F814" s="177" t="s">
        <v>7330</v>
      </c>
      <c r="G814" s="186"/>
      <c r="H814" s="180" t="s">
        <v>3484</v>
      </c>
      <c r="I814" s="163">
        <f>IFERROR(__xludf.DUMMYFUNCTION("""COMPUTED_VALUE"""),9.0)</f>
        <v>9</v>
      </c>
      <c r="J814" s="177" t="s">
        <v>6735</v>
      </c>
      <c r="K814" s="177" t="s">
        <v>7421</v>
      </c>
      <c r="L814" s="164"/>
      <c r="M814" s="187">
        <v>46155.59413194445</v>
      </c>
      <c r="N814" s="177" t="s">
        <v>22</v>
      </c>
      <c r="O814" s="164"/>
      <c r="P814" s="177" t="s">
        <v>3486</v>
      </c>
      <c r="Q814" s="164"/>
      <c r="R814" s="164"/>
      <c r="S814" s="163">
        <f>IFERROR(__xludf.DUMMYFUNCTION("""COMPUTED_VALUE"""),18.0)</f>
        <v>18</v>
      </c>
      <c r="T814" s="164"/>
      <c r="U814" s="164"/>
      <c r="V814" s="164"/>
      <c r="W814" s="164"/>
      <c r="X814" s="164"/>
    </row>
    <row r="815">
      <c r="A815" s="175">
        <v>46155.0</v>
      </c>
      <c r="B815" s="176" t="s">
        <v>3480</v>
      </c>
      <c r="C815" s="177" t="s">
        <v>1049</v>
      </c>
      <c r="D815" s="177" t="s">
        <v>1129</v>
      </c>
      <c r="E815" s="177" t="s">
        <v>38</v>
      </c>
      <c r="F815" s="177" t="s">
        <v>6763</v>
      </c>
      <c r="G815" s="186"/>
      <c r="H815" s="180" t="s">
        <v>3480</v>
      </c>
      <c r="I815" s="163">
        <f>IFERROR(__xludf.DUMMYFUNCTION("""COMPUTED_VALUE"""),9.0)</f>
        <v>9</v>
      </c>
      <c r="J815" s="177" t="s">
        <v>7171</v>
      </c>
      <c r="K815" s="188" t="s">
        <v>7422</v>
      </c>
      <c r="L815" s="164"/>
      <c r="M815" s="187">
        <v>46155.61399305556</v>
      </c>
      <c r="N815" s="177" t="s">
        <v>22</v>
      </c>
      <c r="O815" s="164"/>
      <c r="P815" s="177" t="s">
        <v>3483</v>
      </c>
      <c r="Q815" s="164"/>
      <c r="R815" s="164"/>
      <c r="S815" s="163">
        <f>IFERROR(__xludf.DUMMYFUNCTION("""COMPUTED_VALUE"""),18.0)</f>
        <v>18</v>
      </c>
      <c r="T815" s="164"/>
      <c r="U815" s="164"/>
      <c r="V815" s="164"/>
      <c r="W815" s="164"/>
      <c r="X815" s="164"/>
    </row>
    <row r="816">
      <c r="A816" s="175">
        <v>46155.0</v>
      </c>
      <c r="B816" s="176" t="s">
        <v>3477</v>
      </c>
      <c r="C816" s="177" t="s">
        <v>1049</v>
      </c>
      <c r="D816" s="177" t="s">
        <v>7366</v>
      </c>
      <c r="E816" s="177" t="s">
        <v>38</v>
      </c>
      <c r="F816" s="177" t="s">
        <v>7000</v>
      </c>
      <c r="G816" s="186"/>
      <c r="H816" s="180" t="s">
        <v>3477</v>
      </c>
      <c r="I816" s="163">
        <f>IFERROR(__xludf.DUMMYFUNCTION("""COMPUTED_VALUE"""),9.0)</f>
        <v>9</v>
      </c>
      <c r="J816" s="177" t="s">
        <v>6705</v>
      </c>
      <c r="K816" s="177" t="s">
        <v>7423</v>
      </c>
      <c r="L816" s="164"/>
      <c r="M816" s="187">
        <v>46155.63810185185</v>
      </c>
      <c r="N816" s="177" t="s">
        <v>22</v>
      </c>
      <c r="O816" s="164"/>
      <c r="P816" s="177" t="s">
        <v>3479</v>
      </c>
      <c r="Q816" s="164"/>
      <c r="R816" s="164"/>
      <c r="S816" s="163">
        <f>IFERROR(__xludf.DUMMYFUNCTION("""COMPUTED_VALUE"""),18.0)</f>
        <v>18</v>
      </c>
      <c r="T816" s="164"/>
      <c r="U816" s="164"/>
      <c r="V816" s="164"/>
      <c r="W816" s="164"/>
      <c r="X816" s="164"/>
    </row>
    <row r="817">
      <c r="A817" s="175">
        <v>46155.0</v>
      </c>
      <c r="B817" s="176" t="s">
        <v>3473</v>
      </c>
      <c r="C817" s="177" t="s">
        <v>1049</v>
      </c>
      <c r="D817" s="177" t="s">
        <v>7366</v>
      </c>
      <c r="E817" s="177" t="s">
        <v>38</v>
      </c>
      <c r="F817" s="177" t="s">
        <v>6987</v>
      </c>
      <c r="G817" s="186"/>
      <c r="H817" s="180" t="s">
        <v>3473</v>
      </c>
      <c r="I817" s="163">
        <f>IFERROR(__xludf.DUMMYFUNCTION("""COMPUTED_VALUE"""),9.0)</f>
        <v>9</v>
      </c>
      <c r="J817" s="177" t="s">
        <v>6735</v>
      </c>
      <c r="K817" s="177" t="s">
        <v>7424</v>
      </c>
      <c r="L817" s="164"/>
      <c r="M817" s="187">
        <v>46155.64496527778</v>
      </c>
      <c r="N817" s="177" t="s">
        <v>22</v>
      </c>
      <c r="O817" s="164"/>
      <c r="P817" s="177" t="s">
        <v>3476</v>
      </c>
      <c r="Q817" s="164"/>
      <c r="R817" s="164"/>
      <c r="S817" s="163">
        <f>IFERROR(__xludf.DUMMYFUNCTION("""COMPUTED_VALUE"""),18.0)</f>
        <v>18</v>
      </c>
      <c r="T817" s="164"/>
      <c r="U817" s="164"/>
      <c r="V817" s="164"/>
      <c r="W817" s="164"/>
      <c r="X817" s="164"/>
    </row>
    <row r="818">
      <c r="A818" s="175">
        <v>46155.0</v>
      </c>
      <c r="B818" s="176" t="s">
        <v>3470</v>
      </c>
      <c r="C818" s="177" t="s">
        <v>1049</v>
      </c>
      <c r="D818" s="177" t="s">
        <v>1129</v>
      </c>
      <c r="E818" s="177" t="s">
        <v>38</v>
      </c>
      <c r="F818" s="177" t="s">
        <v>7330</v>
      </c>
      <c r="G818" s="186"/>
      <c r="H818" s="180" t="s">
        <v>3470</v>
      </c>
      <c r="I818" s="163">
        <f>IFERROR(__xludf.DUMMYFUNCTION("""COMPUTED_VALUE"""),9.0)</f>
        <v>9</v>
      </c>
      <c r="J818" s="177" t="s">
        <v>6735</v>
      </c>
      <c r="K818" s="177" t="s">
        <v>7425</v>
      </c>
      <c r="L818" s="164"/>
      <c r="M818" s="187">
        <v>46155.65592592592</v>
      </c>
      <c r="N818" s="177" t="s">
        <v>22</v>
      </c>
      <c r="O818" s="164"/>
      <c r="P818" s="177" t="s">
        <v>3472</v>
      </c>
      <c r="Q818" s="164"/>
      <c r="R818" s="164"/>
      <c r="S818" s="163">
        <f>IFERROR(__xludf.DUMMYFUNCTION("""COMPUTED_VALUE"""),18.0)</f>
        <v>18</v>
      </c>
      <c r="T818" s="164"/>
      <c r="U818" s="164"/>
      <c r="V818" s="164"/>
      <c r="W818" s="164"/>
      <c r="X818" s="164"/>
    </row>
    <row r="819">
      <c r="A819" s="175">
        <v>46155.0</v>
      </c>
      <c r="B819" s="176" t="s">
        <v>3466</v>
      </c>
      <c r="C819" s="177" t="s">
        <v>1049</v>
      </c>
      <c r="D819" s="177" t="s">
        <v>1129</v>
      </c>
      <c r="E819" s="177" t="s">
        <v>38</v>
      </c>
      <c r="F819" s="177" t="s">
        <v>7330</v>
      </c>
      <c r="G819" s="186"/>
      <c r="H819" s="180" t="s">
        <v>3466</v>
      </c>
      <c r="I819" s="163">
        <f>IFERROR(__xludf.DUMMYFUNCTION("""COMPUTED_VALUE"""),9.0)</f>
        <v>9</v>
      </c>
      <c r="J819" s="177" t="s">
        <v>6735</v>
      </c>
      <c r="K819" s="177" t="s">
        <v>7426</v>
      </c>
      <c r="L819" s="164"/>
      <c r="M819" s="187">
        <v>46155.65949074074</v>
      </c>
      <c r="N819" s="177" t="s">
        <v>22</v>
      </c>
      <c r="O819" s="164"/>
      <c r="P819" s="177" t="s">
        <v>3469</v>
      </c>
      <c r="Q819" s="164"/>
      <c r="R819" s="164"/>
      <c r="S819" s="163">
        <f>IFERROR(__xludf.DUMMYFUNCTION("""COMPUTED_VALUE"""),18.0)</f>
        <v>18</v>
      </c>
      <c r="T819" s="164"/>
      <c r="U819" s="164"/>
      <c r="V819" s="164"/>
      <c r="W819" s="164"/>
      <c r="X819" s="164"/>
    </row>
    <row r="820">
      <c r="A820" s="175">
        <v>46155.0</v>
      </c>
      <c r="B820" s="176" t="s">
        <v>3463</v>
      </c>
      <c r="C820" s="177" t="s">
        <v>1049</v>
      </c>
      <c r="D820" s="177" t="s">
        <v>7366</v>
      </c>
      <c r="E820" s="177" t="s">
        <v>38</v>
      </c>
      <c r="F820" s="177" t="s">
        <v>48</v>
      </c>
      <c r="G820" s="186"/>
      <c r="H820" s="180" t="s">
        <v>3463</v>
      </c>
      <c r="I820" s="163">
        <f>IFERROR(__xludf.DUMMYFUNCTION("""COMPUTED_VALUE"""),9.0)</f>
        <v>9</v>
      </c>
      <c r="J820" s="177" t="s">
        <v>6759</v>
      </c>
      <c r="K820" s="177" t="s">
        <v>7427</v>
      </c>
      <c r="L820" s="164"/>
      <c r="M820" s="187">
        <v>46155.68585648148</v>
      </c>
      <c r="N820" s="177" t="s">
        <v>22</v>
      </c>
      <c r="O820" s="164"/>
      <c r="P820" s="177" t="s">
        <v>3465</v>
      </c>
      <c r="Q820" s="164"/>
      <c r="R820" s="164"/>
      <c r="S820" s="163">
        <f>IFERROR(__xludf.DUMMYFUNCTION("""COMPUTED_VALUE"""),18.0)</f>
        <v>18</v>
      </c>
      <c r="T820" s="164"/>
      <c r="U820" s="164"/>
      <c r="V820" s="164"/>
      <c r="W820" s="164"/>
      <c r="X820" s="164"/>
    </row>
    <row r="821">
      <c r="A821" s="175">
        <v>46155.0</v>
      </c>
      <c r="B821" s="176" t="s">
        <v>3459</v>
      </c>
      <c r="C821" s="177" t="s">
        <v>1049</v>
      </c>
      <c r="D821" s="177" t="s">
        <v>7366</v>
      </c>
      <c r="E821" s="177" t="s">
        <v>38</v>
      </c>
      <c r="F821" s="177" t="s">
        <v>48</v>
      </c>
      <c r="G821" s="186"/>
      <c r="H821" s="180" t="s">
        <v>3459</v>
      </c>
      <c r="I821" s="163">
        <f>IFERROR(__xludf.DUMMYFUNCTION("""COMPUTED_VALUE"""),9.0)</f>
        <v>9</v>
      </c>
      <c r="J821" s="177" t="s">
        <v>6759</v>
      </c>
      <c r="K821" s="177" t="s">
        <v>7428</v>
      </c>
      <c r="L821" s="164"/>
      <c r="M821" s="187">
        <v>46155.68834490741</v>
      </c>
      <c r="N821" s="177" t="s">
        <v>22</v>
      </c>
      <c r="O821" s="164"/>
      <c r="P821" s="177" t="s">
        <v>3462</v>
      </c>
      <c r="Q821" s="164"/>
      <c r="R821" s="164"/>
      <c r="S821" s="163">
        <f>IFERROR(__xludf.DUMMYFUNCTION("""COMPUTED_VALUE"""),18.0)</f>
        <v>18</v>
      </c>
      <c r="T821" s="164"/>
      <c r="U821" s="164"/>
      <c r="V821" s="164"/>
      <c r="W821" s="164"/>
      <c r="X821" s="164"/>
    </row>
    <row r="822">
      <c r="A822" s="175">
        <v>46155.0</v>
      </c>
      <c r="B822" s="176" t="s">
        <v>3456</v>
      </c>
      <c r="C822" s="177" t="s">
        <v>1118</v>
      </c>
      <c r="D822" s="177" t="s">
        <v>7366</v>
      </c>
      <c r="E822" s="177" t="s">
        <v>38</v>
      </c>
      <c r="F822" s="177" t="s">
        <v>7330</v>
      </c>
      <c r="G822" s="186"/>
      <c r="H822" s="180" t="s">
        <v>3456</v>
      </c>
      <c r="I822" s="163">
        <f>IFERROR(__xludf.DUMMYFUNCTION("""COMPUTED_VALUE"""),4.5)</f>
        <v>4.5</v>
      </c>
      <c r="J822" s="177" t="s">
        <v>6735</v>
      </c>
      <c r="K822" s="177" t="s">
        <v>7429</v>
      </c>
      <c r="L822" s="164"/>
      <c r="M822" s="187">
        <v>46155.69775462963</v>
      </c>
      <c r="N822" s="177" t="s">
        <v>22</v>
      </c>
      <c r="O822" s="164"/>
      <c r="P822" s="177" t="s">
        <v>3458</v>
      </c>
      <c r="Q822" s="164"/>
      <c r="R822" s="164"/>
      <c r="S822" s="163">
        <f>IFERROR(__xludf.DUMMYFUNCTION("""COMPUTED_VALUE"""),9.0)</f>
        <v>9</v>
      </c>
      <c r="T822" s="164"/>
      <c r="U822" s="164"/>
      <c r="V822" s="164"/>
      <c r="W822" s="164"/>
      <c r="X822" s="164"/>
    </row>
    <row r="823">
      <c r="A823" s="175">
        <v>46155.0</v>
      </c>
      <c r="B823" s="176" t="s">
        <v>3456</v>
      </c>
      <c r="C823" s="177" t="s">
        <v>6716</v>
      </c>
      <c r="D823" s="177" t="s">
        <v>7366</v>
      </c>
      <c r="E823" s="164"/>
      <c r="F823" s="177" t="s">
        <v>7330</v>
      </c>
      <c r="G823" s="179" t="s">
        <v>6720</v>
      </c>
      <c r="H823" s="180" t="s">
        <v>3511</v>
      </c>
      <c r="I823" s="163">
        <f>IFERROR(__xludf.DUMMYFUNCTION("""COMPUTED_VALUE"""),4.5)</f>
        <v>4.5</v>
      </c>
      <c r="J823" s="164"/>
      <c r="K823" s="177" t="s">
        <v>4712</v>
      </c>
      <c r="L823" s="164"/>
      <c r="M823" s="187">
        <v>46155.69909722222</v>
      </c>
      <c r="N823" s="177" t="s">
        <v>22</v>
      </c>
      <c r="O823" s="164"/>
      <c r="P823" s="177" t="s">
        <v>3513</v>
      </c>
      <c r="Q823" s="164"/>
      <c r="R823" s="164"/>
      <c r="S823" s="163">
        <f>IFERROR(__xludf.DUMMYFUNCTION("""COMPUTED_VALUE"""),9.0)</f>
        <v>9</v>
      </c>
      <c r="T823" s="164"/>
      <c r="U823" s="164"/>
      <c r="V823" s="164"/>
      <c r="W823" s="164"/>
      <c r="X823" s="164"/>
    </row>
    <row r="824">
      <c r="A824" s="175">
        <v>46155.0</v>
      </c>
      <c r="B824" s="176" t="s">
        <v>3453</v>
      </c>
      <c r="C824" s="177" t="s">
        <v>1049</v>
      </c>
      <c r="D824" s="177" t="s">
        <v>7366</v>
      </c>
      <c r="E824" s="177" t="s">
        <v>38</v>
      </c>
      <c r="F824" s="177" t="s">
        <v>7330</v>
      </c>
      <c r="G824" s="186"/>
      <c r="H824" s="180" t="s">
        <v>3453</v>
      </c>
      <c r="I824" s="163" t="str">
        <f>IFERROR(__xludf.DUMMYFUNCTION("""COMPUTED_VALUE"""),"")</f>
        <v/>
      </c>
      <c r="J824" s="177" t="s">
        <v>6735</v>
      </c>
      <c r="K824" s="177" t="s">
        <v>7430</v>
      </c>
      <c r="L824" s="164"/>
      <c r="M824" s="187">
        <v>46155.713784722226</v>
      </c>
      <c r="N824" s="177" t="s">
        <v>22</v>
      </c>
      <c r="O824" s="164"/>
      <c r="P824" s="177" t="s">
        <v>3455</v>
      </c>
      <c r="Q824" s="164"/>
      <c r="R824" s="164"/>
      <c r="S824" s="163" t="str">
        <f>IFERROR(__xludf.DUMMYFUNCTION("""COMPUTED_VALUE"""),"")</f>
        <v/>
      </c>
      <c r="T824" s="164"/>
      <c r="U824" s="164"/>
      <c r="V824" s="164"/>
      <c r="W824" s="164"/>
      <c r="X824" s="164"/>
    </row>
    <row r="825">
      <c r="A825" s="175">
        <v>46155.0</v>
      </c>
      <c r="B825" s="176" t="s">
        <v>3450</v>
      </c>
      <c r="C825" s="177" t="s">
        <v>1049</v>
      </c>
      <c r="D825" s="177" t="s">
        <v>1129</v>
      </c>
      <c r="E825" s="177" t="s">
        <v>38</v>
      </c>
      <c r="F825" s="177" t="s">
        <v>7330</v>
      </c>
      <c r="G825" s="186"/>
      <c r="H825" s="180" t="s">
        <v>3450</v>
      </c>
      <c r="I825" s="163">
        <f>IFERROR(__xludf.DUMMYFUNCTION("""COMPUTED_VALUE"""),9.0)</f>
        <v>9</v>
      </c>
      <c r="J825" s="177" t="s">
        <v>6735</v>
      </c>
      <c r="K825" s="177" t="s">
        <v>7431</v>
      </c>
      <c r="L825" s="164"/>
      <c r="M825" s="187">
        <v>46155.71576388889</v>
      </c>
      <c r="N825" s="177" t="s">
        <v>22</v>
      </c>
      <c r="O825" s="164"/>
      <c r="P825" s="177" t="s">
        <v>3452</v>
      </c>
      <c r="Q825" s="164"/>
      <c r="R825" s="164"/>
      <c r="S825" s="163">
        <f>IFERROR(__xludf.DUMMYFUNCTION("""COMPUTED_VALUE"""),18.0)</f>
        <v>18</v>
      </c>
      <c r="T825" s="164"/>
      <c r="U825" s="164"/>
      <c r="V825" s="164"/>
      <c r="W825" s="164"/>
      <c r="X825" s="164"/>
    </row>
    <row r="826">
      <c r="A826" s="175">
        <v>46155.0</v>
      </c>
      <c r="B826" s="176" t="s">
        <v>3444</v>
      </c>
      <c r="C826" s="177" t="s">
        <v>1049</v>
      </c>
      <c r="D826" s="177" t="s">
        <v>1129</v>
      </c>
      <c r="E826" s="177" t="s">
        <v>38</v>
      </c>
      <c r="F826" s="177" t="s">
        <v>7330</v>
      </c>
      <c r="G826" s="186"/>
      <c r="H826" s="180" t="s">
        <v>3444</v>
      </c>
      <c r="I826" s="163">
        <f>IFERROR(__xludf.DUMMYFUNCTION("""COMPUTED_VALUE"""),9.0)</f>
        <v>9</v>
      </c>
      <c r="J826" s="177" t="s">
        <v>6735</v>
      </c>
      <c r="K826" s="177" t="s">
        <v>7432</v>
      </c>
      <c r="L826" s="164"/>
      <c r="M826" s="187">
        <v>46155.71696759259</v>
      </c>
      <c r="N826" s="177" t="s">
        <v>22</v>
      </c>
      <c r="O826" s="164"/>
      <c r="P826" s="177" t="s">
        <v>3446</v>
      </c>
      <c r="Q826" s="164"/>
      <c r="R826" s="164"/>
      <c r="S826" s="163">
        <f>IFERROR(__xludf.DUMMYFUNCTION("""COMPUTED_VALUE"""),18.0)</f>
        <v>18</v>
      </c>
      <c r="T826" s="164"/>
      <c r="U826" s="164"/>
      <c r="V826" s="164"/>
      <c r="W826" s="164"/>
      <c r="X826" s="164"/>
    </row>
    <row r="827">
      <c r="A827" s="175">
        <v>46155.0</v>
      </c>
      <c r="B827" s="176" t="s">
        <v>3447</v>
      </c>
      <c r="C827" s="177" t="s">
        <v>1049</v>
      </c>
      <c r="D827" s="177" t="s">
        <v>1129</v>
      </c>
      <c r="E827" s="177" t="s">
        <v>38</v>
      </c>
      <c r="F827" s="177" t="s">
        <v>7330</v>
      </c>
      <c r="G827" s="186"/>
      <c r="H827" s="180" t="s">
        <v>3447</v>
      </c>
      <c r="I827" s="163">
        <f>IFERROR(__xludf.DUMMYFUNCTION("""COMPUTED_VALUE"""),0.0)</f>
        <v>0</v>
      </c>
      <c r="J827" s="177" t="s">
        <v>6735</v>
      </c>
      <c r="K827" s="177" t="s">
        <v>7433</v>
      </c>
      <c r="L827" s="164"/>
      <c r="M827" s="187">
        <v>46155.71778935185</v>
      </c>
      <c r="N827" s="177" t="s">
        <v>22</v>
      </c>
      <c r="O827" s="164"/>
      <c r="P827" s="177" t="s">
        <v>3449</v>
      </c>
      <c r="Q827" s="164"/>
      <c r="R827" s="164"/>
      <c r="S827" s="163">
        <f>IFERROR(__xludf.DUMMYFUNCTION("""COMPUTED_VALUE"""),18.0)</f>
        <v>18</v>
      </c>
      <c r="T827" s="164"/>
      <c r="U827" s="164"/>
      <c r="V827" s="164"/>
      <c r="W827" s="164"/>
      <c r="X827" s="164"/>
    </row>
    <row r="828">
      <c r="A828" s="175">
        <v>46151.0</v>
      </c>
      <c r="B828" s="176" t="s">
        <v>3268</v>
      </c>
      <c r="C828" s="177" t="s">
        <v>1049</v>
      </c>
      <c r="D828" s="177" t="s">
        <v>7308</v>
      </c>
      <c r="E828" s="177" t="s">
        <v>83</v>
      </c>
      <c r="F828" s="177" t="s">
        <v>7330</v>
      </c>
      <c r="G828" s="186"/>
      <c r="H828" s="180" t="s">
        <v>3268</v>
      </c>
      <c r="I828" s="163">
        <f>IFERROR(__xludf.DUMMYFUNCTION("""COMPUTED_VALUE"""),4.99)</f>
        <v>4.99</v>
      </c>
      <c r="J828" s="177" t="s">
        <v>6735</v>
      </c>
      <c r="K828" s="177" t="s">
        <v>7434</v>
      </c>
      <c r="L828" s="164"/>
      <c r="M828" s="187">
        <v>46156.49885416667</v>
      </c>
      <c r="N828" s="177" t="s">
        <v>22</v>
      </c>
      <c r="O828" s="164"/>
      <c r="P828" s="177" t="s">
        <v>3270</v>
      </c>
      <c r="Q828" s="164"/>
      <c r="R828" s="164"/>
      <c r="S828" s="163">
        <f>IFERROR(__xludf.DUMMYFUNCTION("""COMPUTED_VALUE"""),15.0)</f>
        <v>15</v>
      </c>
      <c r="T828" s="164"/>
      <c r="U828" s="164"/>
      <c r="V828" s="164"/>
      <c r="W828" s="164"/>
      <c r="X828" s="164"/>
    </row>
    <row r="829">
      <c r="A829" s="175"/>
      <c r="B829" s="176"/>
      <c r="C829" s="177"/>
      <c r="D829" s="177"/>
      <c r="E829" s="177"/>
      <c r="F829" s="177"/>
      <c r="G829" s="186"/>
      <c r="H829" s="180"/>
      <c r="I829" s="163" t="str">
        <f>IFERROR(__xludf.DUMMYFUNCTION("""COMPUTED_VALUE"""),"")</f>
        <v/>
      </c>
      <c r="J829" s="177"/>
      <c r="K829" s="177"/>
      <c r="L829" s="164"/>
      <c r="M829" s="187"/>
      <c r="N829" s="177"/>
      <c r="O829" s="164"/>
      <c r="P829" s="177"/>
      <c r="Q829" s="164"/>
      <c r="R829" s="164"/>
      <c r="S829" s="163" t="str">
        <f>IFERROR(__xludf.DUMMYFUNCTION("""COMPUTED_VALUE"""),"")</f>
        <v/>
      </c>
      <c r="T829" s="164"/>
      <c r="U829" s="164"/>
      <c r="V829" s="164"/>
      <c r="W829" s="164"/>
      <c r="X829" s="164"/>
    </row>
    <row r="830">
      <c r="A830" s="175">
        <v>46151.0</v>
      </c>
      <c r="B830" s="176" t="s">
        <v>3265</v>
      </c>
      <c r="C830" s="177" t="s">
        <v>1049</v>
      </c>
      <c r="D830" s="177" t="s">
        <v>7308</v>
      </c>
      <c r="E830" s="177" t="s">
        <v>83</v>
      </c>
      <c r="F830" s="177" t="s">
        <v>7330</v>
      </c>
      <c r="G830" s="186"/>
      <c r="H830" s="180" t="s">
        <v>3265</v>
      </c>
      <c r="I830" s="163">
        <f>IFERROR(__xludf.DUMMYFUNCTION("""COMPUTED_VALUE"""),4.99)</f>
        <v>4.99</v>
      </c>
      <c r="J830" s="177" t="s">
        <v>6735</v>
      </c>
      <c r="K830" s="177" t="s">
        <v>7435</v>
      </c>
      <c r="L830" s="164"/>
      <c r="M830" s="187">
        <v>46156.5018287037</v>
      </c>
      <c r="N830" s="177" t="s">
        <v>22</v>
      </c>
      <c r="O830" s="164"/>
      <c r="P830" s="177" t="s">
        <v>3267</v>
      </c>
      <c r="Q830" s="164"/>
      <c r="R830" s="164"/>
      <c r="S830" s="163">
        <f>IFERROR(__xludf.DUMMYFUNCTION("""COMPUTED_VALUE"""),15.0)</f>
        <v>15</v>
      </c>
      <c r="T830" s="164"/>
      <c r="U830" s="164"/>
      <c r="V830" s="164"/>
      <c r="W830" s="164"/>
      <c r="X830" s="164"/>
    </row>
    <row r="831">
      <c r="A831" s="175">
        <v>46151.0</v>
      </c>
      <c r="B831" s="176" t="s">
        <v>3260</v>
      </c>
      <c r="C831" s="177" t="s">
        <v>1049</v>
      </c>
      <c r="D831" s="177" t="s">
        <v>7308</v>
      </c>
      <c r="E831" s="177" t="s">
        <v>83</v>
      </c>
      <c r="F831" s="177" t="s">
        <v>7330</v>
      </c>
      <c r="G831" s="186"/>
      <c r="H831" s="180" t="s">
        <v>3260</v>
      </c>
      <c r="I831" s="163">
        <f>IFERROR(__xludf.DUMMYFUNCTION("""COMPUTED_VALUE"""),4.99)</f>
        <v>4.99</v>
      </c>
      <c r="J831" s="177" t="s">
        <v>6735</v>
      </c>
      <c r="K831" s="177" t="s">
        <v>7436</v>
      </c>
      <c r="L831" s="164"/>
      <c r="M831" s="187">
        <v>46156.503703703704</v>
      </c>
      <c r="N831" s="177" t="s">
        <v>22</v>
      </c>
      <c r="O831" s="164"/>
      <c r="P831" s="177" t="s">
        <v>3262</v>
      </c>
      <c r="Q831" s="164"/>
      <c r="R831" s="164"/>
      <c r="S831" s="163">
        <f>IFERROR(__xludf.DUMMYFUNCTION("""COMPUTED_VALUE"""),15.0)</f>
        <v>15</v>
      </c>
      <c r="T831" s="164"/>
      <c r="U831" s="164"/>
      <c r="V831" s="164"/>
      <c r="W831" s="164"/>
      <c r="X831" s="164"/>
    </row>
    <row r="832">
      <c r="A832" s="175">
        <v>46151.0</v>
      </c>
      <c r="B832" s="176" t="s">
        <v>3257</v>
      </c>
      <c r="C832" s="177" t="s">
        <v>1049</v>
      </c>
      <c r="D832" s="177" t="s">
        <v>7308</v>
      </c>
      <c r="E832" s="177" t="s">
        <v>83</v>
      </c>
      <c r="F832" s="177" t="s">
        <v>7330</v>
      </c>
      <c r="G832" s="186"/>
      <c r="H832" s="180" t="s">
        <v>3257</v>
      </c>
      <c r="I832" s="163">
        <f>IFERROR(__xludf.DUMMYFUNCTION("""COMPUTED_VALUE"""),4.99)</f>
        <v>4.99</v>
      </c>
      <c r="J832" s="177" t="s">
        <v>6735</v>
      </c>
      <c r="K832" s="177" t="s">
        <v>7437</v>
      </c>
      <c r="L832" s="164"/>
      <c r="M832" s="187">
        <v>46156.506944444445</v>
      </c>
      <c r="N832" s="177" t="s">
        <v>22</v>
      </c>
      <c r="O832" s="164"/>
      <c r="P832" s="177" t="s">
        <v>3259</v>
      </c>
      <c r="Q832" s="164"/>
      <c r="R832" s="164"/>
      <c r="S832" s="163">
        <f>IFERROR(__xludf.DUMMYFUNCTION("""COMPUTED_VALUE"""),15.0)</f>
        <v>15</v>
      </c>
      <c r="T832" s="164"/>
      <c r="U832" s="164"/>
      <c r="V832" s="164"/>
      <c r="W832" s="164"/>
      <c r="X832" s="164"/>
    </row>
    <row r="833">
      <c r="A833" s="175">
        <v>46151.0</v>
      </c>
      <c r="B833" s="176" t="s">
        <v>3254</v>
      </c>
      <c r="C833" s="177" t="s">
        <v>1049</v>
      </c>
      <c r="D833" s="177" t="s">
        <v>7308</v>
      </c>
      <c r="E833" s="177" t="s">
        <v>83</v>
      </c>
      <c r="F833" s="177" t="s">
        <v>7330</v>
      </c>
      <c r="G833" s="186"/>
      <c r="H833" s="180" t="s">
        <v>3254</v>
      </c>
      <c r="I833" s="163">
        <f>IFERROR(__xludf.DUMMYFUNCTION("""COMPUTED_VALUE"""),4.99)</f>
        <v>4.99</v>
      </c>
      <c r="J833" s="177" t="s">
        <v>6735</v>
      </c>
      <c r="K833" s="177" t="s">
        <v>7438</v>
      </c>
      <c r="L833" s="164"/>
      <c r="M833" s="187">
        <v>46156.508206018516</v>
      </c>
      <c r="N833" s="177" t="s">
        <v>22</v>
      </c>
      <c r="O833" s="164"/>
      <c r="P833" s="177" t="s">
        <v>3256</v>
      </c>
      <c r="Q833" s="164"/>
      <c r="R833" s="164"/>
      <c r="S833" s="163">
        <f>IFERROR(__xludf.DUMMYFUNCTION("""COMPUTED_VALUE"""),15.0)</f>
        <v>15</v>
      </c>
      <c r="T833" s="164"/>
      <c r="U833" s="164"/>
      <c r="V833" s="164"/>
      <c r="W833" s="164"/>
      <c r="X833" s="164"/>
    </row>
    <row r="834">
      <c r="A834" s="175">
        <v>46151.0</v>
      </c>
      <c r="B834" s="176" t="s">
        <v>3551</v>
      </c>
      <c r="C834" s="177" t="s">
        <v>1049</v>
      </c>
      <c r="D834" s="177" t="s">
        <v>7308</v>
      </c>
      <c r="E834" s="177" t="s">
        <v>83</v>
      </c>
      <c r="F834" s="177" t="s">
        <v>7330</v>
      </c>
      <c r="G834" s="186"/>
      <c r="H834" s="180" t="s">
        <v>3551</v>
      </c>
      <c r="I834" s="163">
        <f>IFERROR(__xludf.DUMMYFUNCTION("""COMPUTED_VALUE"""),4.99)</f>
        <v>4.99</v>
      </c>
      <c r="J834" s="177" t="s">
        <v>6735</v>
      </c>
      <c r="K834" s="177" t="s">
        <v>7439</v>
      </c>
      <c r="L834" s="164"/>
      <c r="M834" s="187">
        <v>46156.51131944444</v>
      </c>
      <c r="N834" s="177" t="s">
        <v>22</v>
      </c>
      <c r="O834" s="164"/>
      <c r="P834" s="177" t="s">
        <v>3553</v>
      </c>
      <c r="Q834" s="164"/>
      <c r="R834" s="164"/>
      <c r="S834" s="163">
        <f>IFERROR(__xludf.DUMMYFUNCTION("""COMPUTED_VALUE"""),15.0)</f>
        <v>15</v>
      </c>
      <c r="T834" s="164"/>
      <c r="U834" s="164"/>
      <c r="V834" s="164"/>
      <c r="W834" s="164"/>
      <c r="X834" s="164"/>
    </row>
    <row r="835">
      <c r="A835" s="175">
        <v>46151.0</v>
      </c>
      <c r="B835" s="176" t="s">
        <v>3251</v>
      </c>
      <c r="C835" s="177" t="s">
        <v>1049</v>
      </c>
      <c r="D835" s="177" t="s">
        <v>7308</v>
      </c>
      <c r="E835" s="177" t="s">
        <v>83</v>
      </c>
      <c r="F835" s="177" t="s">
        <v>7330</v>
      </c>
      <c r="G835" s="186"/>
      <c r="H835" s="180" t="s">
        <v>3251</v>
      </c>
      <c r="I835" s="163">
        <f>IFERROR(__xludf.DUMMYFUNCTION("""COMPUTED_VALUE"""),4.99)</f>
        <v>4.99</v>
      </c>
      <c r="J835" s="177" t="s">
        <v>6735</v>
      </c>
      <c r="K835" s="177" t="s">
        <v>7440</v>
      </c>
      <c r="L835" s="164"/>
      <c r="M835" s="187">
        <v>46156.51289351852</v>
      </c>
      <c r="N835" s="177" t="s">
        <v>22</v>
      </c>
      <c r="O835" s="164"/>
      <c r="P835" s="177" t="s">
        <v>3253</v>
      </c>
      <c r="Q835" s="164"/>
      <c r="R835" s="164"/>
      <c r="S835" s="163">
        <f>IFERROR(__xludf.DUMMYFUNCTION("""COMPUTED_VALUE"""),15.0)</f>
        <v>15</v>
      </c>
      <c r="T835" s="164"/>
      <c r="U835" s="164"/>
      <c r="V835" s="164"/>
      <c r="W835" s="164"/>
      <c r="X835" s="164"/>
    </row>
    <row r="836">
      <c r="A836" s="175"/>
      <c r="B836" s="176"/>
      <c r="C836" s="177"/>
      <c r="D836" s="177"/>
      <c r="E836" s="177"/>
      <c r="F836" s="177"/>
      <c r="G836" s="186"/>
      <c r="H836" s="180"/>
      <c r="I836" s="163" t="str">
        <f>IFERROR(__xludf.DUMMYFUNCTION("""COMPUTED_VALUE"""),"")</f>
        <v/>
      </c>
      <c r="J836" s="177"/>
      <c r="K836" s="177"/>
      <c r="L836" s="164"/>
      <c r="M836" s="187"/>
      <c r="N836" s="177"/>
      <c r="O836" s="164"/>
      <c r="P836" s="177"/>
      <c r="Q836" s="164"/>
      <c r="R836" s="164"/>
      <c r="S836" s="163" t="str">
        <f>IFERROR(__xludf.DUMMYFUNCTION("""COMPUTED_VALUE"""),"")</f>
        <v/>
      </c>
      <c r="T836" s="164"/>
      <c r="U836" s="164"/>
      <c r="V836" s="164"/>
      <c r="W836" s="164"/>
      <c r="X836" s="164"/>
    </row>
    <row r="837">
      <c r="A837" s="175">
        <v>46151.0</v>
      </c>
      <c r="B837" s="176" t="s">
        <v>3263</v>
      </c>
      <c r="C837" s="177" t="s">
        <v>1049</v>
      </c>
      <c r="D837" s="177" t="s">
        <v>7308</v>
      </c>
      <c r="E837" s="177" t="s">
        <v>83</v>
      </c>
      <c r="F837" s="177" t="s">
        <v>7330</v>
      </c>
      <c r="G837" s="186"/>
      <c r="H837" s="180" t="s">
        <v>3263</v>
      </c>
      <c r="I837" s="163">
        <f>IFERROR(__xludf.DUMMYFUNCTION("""COMPUTED_VALUE"""),4.99)</f>
        <v>4.99</v>
      </c>
      <c r="J837" s="177" t="s">
        <v>6735</v>
      </c>
      <c r="K837" s="188" t="s">
        <v>7441</v>
      </c>
      <c r="L837" s="164"/>
      <c r="M837" s="187">
        <v>46156.520162037035</v>
      </c>
      <c r="N837" s="177" t="s">
        <v>22</v>
      </c>
      <c r="O837" s="164"/>
      <c r="P837" s="177"/>
      <c r="Q837" s="164"/>
      <c r="R837" s="164"/>
      <c r="S837" s="163">
        <f>IFERROR(__xludf.DUMMYFUNCTION("""COMPUTED_VALUE"""),15.0)</f>
        <v>15</v>
      </c>
      <c r="T837" s="164"/>
      <c r="U837" s="164"/>
      <c r="V837" s="164"/>
      <c r="W837" s="164"/>
      <c r="X837" s="164"/>
    </row>
    <row r="838">
      <c r="A838" s="175">
        <v>46151.0</v>
      </c>
      <c r="B838" s="176" t="s">
        <v>3247</v>
      </c>
      <c r="C838" s="177" t="s">
        <v>1049</v>
      </c>
      <c r="D838" s="177" t="s">
        <v>7308</v>
      </c>
      <c r="E838" s="177" t="s">
        <v>83</v>
      </c>
      <c r="F838" s="177" t="s">
        <v>7330</v>
      </c>
      <c r="G838" s="186"/>
      <c r="H838" s="180" t="s">
        <v>3247</v>
      </c>
      <c r="I838" s="163">
        <f>IFERROR(__xludf.DUMMYFUNCTION("""COMPUTED_VALUE"""),4.99)</f>
        <v>4.99</v>
      </c>
      <c r="J838" s="177" t="s">
        <v>6735</v>
      </c>
      <c r="K838" s="177" t="s">
        <v>7442</v>
      </c>
      <c r="L838" s="164"/>
      <c r="M838" s="187">
        <v>46156.52143518518</v>
      </c>
      <c r="N838" s="177" t="s">
        <v>22</v>
      </c>
      <c r="O838" s="164"/>
      <c r="P838" s="177" t="s">
        <v>3250</v>
      </c>
      <c r="Q838" s="164"/>
      <c r="R838" s="164"/>
      <c r="S838" s="163">
        <f>IFERROR(__xludf.DUMMYFUNCTION("""COMPUTED_VALUE"""),15.0)</f>
        <v>15</v>
      </c>
      <c r="T838" s="164"/>
      <c r="U838" s="164"/>
      <c r="V838" s="164"/>
      <c r="W838" s="164"/>
      <c r="X838" s="164"/>
    </row>
    <row r="839">
      <c r="A839" s="175">
        <v>46156.0</v>
      </c>
      <c r="B839" s="176" t="s">
        <v>3514</v>
      </c>
      <c r="C839" s="177" t="s">
        <v>1049</v>
      </c>
      <c r="D839" s="177" t="s">
        <v>1129</v>
      </c>
      <c r="E839" s="177" t="s">
        <v>1119</v>
      </c>
      <c r="F839" s="177" t="s">
        <v>7330</v>
      </c>
      <c r="G839" s="186"/>
      <c r="H839" s="180" t="s">
        <v>3514</v>
      </c>
      <c r="I839" s="163">
        <f>IFERROR(__xludf.DUMMYFUNCTION("""COMPUTED_VALUE"""),52.0)</f>
        <v>52</v>
      </c>
      <c r="J839" s="177" t="s">
        <v>6735</v>
      </c>
      <c r="K839" s="177" t="s">
        <v>7443</v>
      </c>
      <c r="L839" s="177" t="s">
        <v>7444</v>
      </c>
      <c r="M839" s="187">
        <v>46156.807025462964</v>
      </c>
      <c r="N839" s="177" t="s">
        <v>22</v>
      </c>
      <c r="O839" s="177" t="s">
        <v>7168</v>
      </c>
      <c r="P839" s="164"/>
      <c r="Q839" s="164"/>
      <c r="R839" s="164"/>
      <c r="S839" s="163"/>
      <c r="T839" s="164"/>
      <c r="U839" s="164"/>
      <c r="V839" s="164"/>
      <c r="W839" s="164"/>
      <c r="X839" s="164"/>
    </row>
    <row r="840">
      <c r="A840" s="175">
        <v>46157.0</v>
      </c>
      <c r="B840" s="176" t="s">
        <v>3517</v>
      </c>
      <c r="C840" s="177" t="s">
        <v>1049</v>
      </c>
      <c r="D840" s="177" t="s">
        <v>1129</v>
      </c>
      <c r="E840" s="164"/>
      <c r="F840" s="177" t="s">
        <v>1119</v>
      </c>
      <c r="G840" s="186"/>
      <c r="H840" s="180" t="s">
        <v>3517</v>
      </c>
      <c r="I840" s="163">
        <f>IFERROR(__xludf.DUMMYFUNCTION("""COMPUTED_VALUE"""),19.97)</f>
        <v>19.97</v>
      </c>
      <c r="J840" s="177" t="s">
        <v>6705</v>
      </c>
      <c r="K840" s="177" t="s">
        <v>7445</v>
      </c>
      <c r="L840" s="164"/>
      <c r="M840" s="187">
        <v>46157.49013888889</v>
      </c>
      <c r="N840" s="177" t="s">
        <v>22</v>
      </c>
      <c r="O840" s="177" t="s">
        <v>7350</v>
      </c>
      <c r="P840" s="164"/>
      <c r="Q840" s="164"/>
      <c r="R840" s="164"/>
      <c r="S840" s="163"/>
      <c r="T840" s="164"/>
      <c r="U840" s="164"/>
      <c r="V840" s="164"/>
      <c r="W840" s="164"/>
      <c r="X840" s="164"/>
    </row>
    <row r="841">
      <c r="A841" s="175">
        <v>46151.0</v>
      </c>
      <c r="B841" s="176" t="s">
        <v>3241</v>
      </c>
      <c r="C841" s="177" t="s">
        <v>1049</v>
      </c>
      <c r="D841" s="177" t="s">
        <v>7308</v>
      </c>
      <c r="E841" s="177" t="s">
        <v>83</v>
      </c>
      <c r="F841" s="177" t="s">
        <v>7330</v>
      </c>
      <c r="G841" s="186"/>
      <c r="H841" s="180" t="s">
        <v>3241</v>
      </c>
      <c r="I841" s="163">
        <f>IFERROR(__xludf.DUMMYFUNCTION("""COMPUTED_VALUE"""),4.99)</f>
        <v>4.99</v>
      </c>
      <c r="J841" s="177" t="s">
        <v>6735</v>
      </c>
      <c r="K841" s="177" t="s">
        <v>7446</v>
      </c>
      <c r="L841" s="164"/>
      <c r="M841" s="187">
        <v>46158.55125</v>
      </c>
      <c r="N841" s="177" t="s">
        <v>22</v>
      </c>
      <c r="O841" s="164"/>
      <c r="P841" s="177" t="s">
        <v>3243</v>
      </c>
      <c r="Q841" s="164"/>
      <c r="R841" s="164"/>
      <c r="S841" s="163">
        <f>IFERROR(__xludf.DUMMYFUNCTION("""COMPUTED_VALUE"""),15.0)</f>
        <v>15</v>
      </c>
      <c r="T841" s="164"/>
      <c r="U841" s="164"/>
      <c r="V841" s="164"/>
      <c r="W841" s="164"/>
      <c r="X841" s="164"/>
    </row>
    <row r="842">
      <c r="A842" s="175">
        <v>46151.0</v>
      </c>
      <c r="B842" s="176" t="s">
        <v>3244</v>
      </c>
      <c r="C842" s="177" t="s">
        <v>1049</v>
      </c>
      <c r="D842" s="177" t="s">
        <v>7308</v>
      </c>
      <c r="E842" s="177" t="s">
        <v>83</v>
      </c>
      <c r="F842" s="177" t="s">
        <v>7330</v>
      </c>
      <c r="G842" s="186"/>
      <c r="H842" s="180" t="s">
        <v>3244</v>
      </c>
      <c r="I842" s="163">
        <f>IFERROR(__xludf.DUMMYFUNCTION("""COMPUTED_VALUE"""),4.99)</f>
        <v>4.99</v>
      </c>
      <c r="J842" s="177" t="s">
        <v>6735</v>
      </c>
      <c r="K842" s="177" t="s">
        <v>7447</v>
      </c>
      <c r="L842" s="164"/>
      <c r="M842" s="187">
        <v>46158.55196759259</v>
      </c>
      <c r="N842" s="177" t="s">
        <v>22</v>
      </c>
      <c r="O842" s="164"/>
      <c r="P842" s="177" t="s">
        <v>3246</v>
      </c>
      <c r="Q842" s="164"/>
      <c r="R842" s="164"/>
      <c r="S842" s="163">
        <f>IFERROR(__xludf.DUMMYFUNCTION("""COMPUTED_VALUE"""),15.0)</f>
        <v>15</v>
      </c>
      <c r="T842" s="164"/>
      <c r="U842" s="164"/>
      <c r="V842" s="164"/>
      <c r="W842" s="164"/>
      <c r="X842" s="164"/>
    </row>
    <row r="843">
      <c r="A843" s="175">
        <v>46151.0</v>
      </c>
      <c r="B843" s="176" t="s">
        <v>3213</v>
      </c>
      <c r="C843" s="177" t="s">
        <v>1049</v>
      </c>
      <c r="D843" s="177" t="s">
        <v>7308</v>
      </c>
      <c r="E843" s="177" t="s">
        <v>83</v>
      </c>
      <c r="F843" s="177" t="s">
        <v>7330</v>
      </c>
      <c r="G843" s="186"/>
      <c r="H843" s="180"/>
      <c r="I843" s="163"/>
      <c r="J843" s="177" t="s">
        <v>6735</v>
      </c>
      <c r="K843" s="177" t="s">
        <v>7448</v>
      </c>
      <c r="L843" s="164"/>
      <c r="M843" s="187">
        <v>46158.552835648145</v>
      </c>
      <c r="N843" s="177" t="s">
        <v>22</v>
      </c>
      <c r="O843" s="164"/>
      <c r="P843" s="177" t="s">
        <v>7449</v>
      </c>
      <c r="Q843" s="164"/>
      <c r="R843" s="164"/>
      <c r="S843" s="163"/>
      <c r="T843" s="164"/>
      <c r="U843" s="164"/>
      <c r="V843" s="164"/>
      <c r="W843" s="164"/>
      <c r="X843" s="164"/>
    </row>
    <row r="844">
      <c r="A844" s="175">
        <v>46151.0</v>
      </c>
      <c r="B844" s="176" t="s">
        <v>3238</v>
      </c>
      <c r="C844" s="177" t="s">
        <v>1049</v>
      </c>
      <c r="D844" s="177" t="s">
        <v>7308</v>
      </c>
      <c r="E844" s="177" t="s">
        <v>83</v>
      </c>
      <c r="F844" s="177" t="s">
        <v>7330</v>
      </c>
      <c r="G844" s="186"/>
      <c r="H844" s="180" t="s">
        <v>3238</v>
      </c>
      <c r="I844" s="163">
        <f>IFERROR(__xludf.DUMMYFUNCTION("""COMPUTED_VALUE"""),4.99)</f>
        <v>4.99</v>
      </c>
      <c r="J844" s="177" t="s">
        <v>6735</v>
      </c>
      <c r="K844" s="177" t="s">
        <v>7450</v>
      </c>
      <c r="L844" s="164"/>
      <c r="M844" s="187">
        <v>46158.555752314816</v>
      </c>
      <c r="N844" s="177" t="s">
        <v>22</v>
      </c>
      <c r="O844" s="164"/>
      <c r="P844" s="177" t="s">
        <v>3240</v>
      </c>
      <c r="Q844" s="164"/>
      <c r="R844" s="164"/>
      <c r="S844" s="163">
        <f>IFERROR(__xludf.DUMMYFUNCTION("""COMPUTED_VALUE"""),15.0)</f>
        <v>15</v>
      </c>
      <c r="T844" s="164"/>
      <c r="U844" s="164"/>
      <c r="V844" s="164"/>
      <c r="W844" s="164"/>
      <c r="X844" s="164"/>
    </row>
    <row r="845">
      <c r="A845" s="175">
        <v>46151.0</v>
      </c>
      <c r="B845" s="176" t="s">
        <v>3235</v>
      </c>
      <c r="C845" s="177" t="s">
        <v>1049</v>
      </c>
      <c r="D845" s="177" t="s">
        <v>7308</v>
      </c>
      <c r="E845" s="177" t="s">
        <v>83</v>
      </c>
      <c r="F845" s="177" t="s">
        <v>7330</v>
      </c>
      <c r="G845" s="186"/>
      <c r="H845" s="180" t="s">
        <v>3235</v>
      </c>
      <c r="I845" s="163">
        <f>IFERROR(__xludf.DUMMYFUNCTION("""COMPUTED_VALUE"""),4.99)</f>
        <v>4.99</v>
      </c>
      <c r="J845" s="177" t="s">
        <v>6735</v>
      </c>
      <c r="K845" s="177" t="s">
        <v>7451</v>
      </c>
      <c r="L845" s="164"/>
      <c r="M845" s="187">
        <v>46158.557754629626</v>
      </c>
      <c r="N845" s="177" t="s">
        <v>22</v>
      </c>
      <c r="O845" s="164"/>
      <c r="P845" s="177" t="s">
        <v>3237</v>
      </c>
      <c r="Q845" s="164"/>
      <c r="R845" s="164"/>
      <c r="S845" s="163">
        <f>IFERROR(__xludf.DUMMYFUNCTION("""COMPUTED_VALUE"""),15.0)</f>
        <v>15</v>
      </c>
      <c r="T845" s="164"/>
      <c r="U845" s="164"/>
      <c r="V845" s="164"/>
      <c r="W845" s="164"/>
      <c r="X845" s="164"/>
    </row>
    <row r="846">
      <c r="A846" s="175">
        <v>46151.0</v>
      </c>
      <c r="B846" s="176" t="s">
        <v>3232</v>
      </c>
      <c r="C846" s="177" t="s">
        <v>1049</v>
      </c>
      <c r="D846" s="177" t="s">
        <v>7308</v>
      </c>
      <c r="E846" s="177" t="s">
        <v>83</v>
      </c>
      <c r="F846" s="177" t="s">
        <v>7330</v>
      </c>
      <c r="G846" s="186"/>
      <c r="H846" s="180" t="s">
        <v>3232</v>
      </c>
      <c r="I846" s="163">
        <f>IFERROR(__xludf.DUMMYFUNCTION("""COMPUTED_VALUE"""),4.99)</f>
        <v>4.99</v>
      </c>
      <c r="J846" s="177" t="s">
        <v>6735</v>
      </c>
      <c r="K846" s="177" t="s">
        <v>7452</v>
      </c>
      <c r="L846" s="164"/>
      <c r="M846" s="187">
        <v>46158.570543981485</v>
      </c>
      <c r="N846" s="177" t="s">
        <v>22</v>
      </c>
      <c r="O846" s="164"/>
      <c r="P846" s="177" t="s">
        <v>3234</v>
      </c>
      <c r="Q846" s="164"/>
      <c r="R846" s="164"/>
      <c r="S846" s="163">
        <f>IFERROR(__xludf.DUMMYFUNCTION("""COMPUTED_VALUE"""),15.0)</f>
        <v>15</v>
      </c>
      <c r="T846" s="164"/>
      <c r="U846" s="164"/>
      <c r="V846" s="164"/>
      <c r="W846" s="164"/>
      <c r="X846" s="164"/>
    </row>
    <row r="847">
      <c r="A847" s="175">
        <v>46151.0</v>
      </c>
      <c r="B847" s="176" t="s">
        <v>3229</v>
      </c>
      <c r="C847" s="177" t="s">
        <v>1049</v>
      </c>
      <c r="D847" s="177" t="s">
        <v>7308</v>
      </c>
      <c r="E847" s="177" t="s">
        <v>83</v>
      </c>
      <c r="F847" s="177" t="s">
        <v>7330</v>
      </c>
      <c r="G847" s="186"/>
      <c r="H847" s="180" t="s">
        <v>3229</v>
      </c>
      <c r="I847" s="163">
        <f>IFERROR(__xludf.DUMMYFUNCTION("""COMPUTED_VALUE"""),4.99)</f>
        <v>4.99</v>
      </c>
      <c r="J847" s="177" t="s">
        <v>6735</v>
      </c>
      <c r="K847" s="177" t="s">
        <v>7453</v>
      </c>
      <c r="L847" s="164"/>
      <c r="M847" s="187">
        <v>46158.571284722224</v>
      </c>
      <c r="N847" s="177" t="s">
        <v>22</v>
      </c>
      <c r="O847" s="164"/>
      <c r="P847" s="177" t="s">
        <v>3231</v>
      </c>
      <c r="Q847" s="164"/>
      <c r="R847" s="164"/>
      <c r="S847" s="163">
        <f>IFERROR(__xludf.DUMMYFUNCTION("""COMPUTED_VALUE"""),15.0)</f>
        <v>15</v>
      </c>
      <c r="T847" s="164"/>
      <c r="U847" s="164"/>
      <c r="V847" s="164"/>
      <c r="W847" s="164"/>
      <c r="X847" s="164"/>
    </row>
    <row r="848">
      <c r="A848" s="175">
        <v>46151.0</v>
      </c>
      <c r="B848" s="176" t="s">
        <v>3226</v>
      </c>
      <c r="C848" s="177" t="s">
        <v>1049</v>
      </c>
      <c r="D848" s="177" t="s">
        <v>7308</v>
      </c>
      <c r="E848" s="177" t="s">
        <v>83</v>
      </c>
      <c r="F848" s="177" t="s">
        <v>7330</v>
      </c>
      <c r="G848" s="186"/>
      <c r="H848" s="180" t="s">
        <v>3226</v>
      </c>
      <c r="I848" s="163">
        <f>IFERROR(__xludf.DUMMYFUNCTION("""COMPUTED_VALUE"""),4.99)</f>
        <v>4.99</v>
      </c>
      <c r="J848" s="177" t="s">
        <v>6735</v>
      </c>
      <c r="K848" s="177" t="s">
        <v>7454</v>
      </c>
      <c r="L848" s="164"/>
      <c r="M848" s="187">
        <v>46158.5721875</v>
      </c>
      <c r="N848" s="177" t="s">
        <v>22</v>
      </c>
      <c r="O848" s="164"/>
      <c r="P848" s="177" t="s">
        <v>3228</v>
      </c>
      <c r="Q848" s="164"/>
      <c r="R848" s="164"/>
      <c r="S848" s="163">
        <f>IFERROR(__xludf.DUMMYFUNCTION("""COMPUTED_VALUE"""),15.0)</f>
        <v>15</v>
      </c>
      <c r="T848" s="164"/>
      <c r="U848" s="164"/>
      <c r="V848" s="164"/>
      <c r="W848" s="164"/>
      <c r="X848" s="164"/>
    </row>
    <row r="849">
      <c r="A849" s="175">
        <v>46151.0</v>
      </c>
      <c r="B849" s="176" t="s">
        <v>3223</v>
      </c>
      <c r="C849" s="177" t="s">
        <v>1049</v>
      </c>
      <c r="D849" s="177" t="s">
        <v>7308</v>
      </c>
      <c r="E849" s="177" t="s">
        <v>83</v>
      </c>
      <c r="F849" s="177" t="s">
        <v>7330</v>
      </c>
      <c r="G849" s="186"/>
      <c r="H849" s="180" t="s">
        <v>3223</v>
      </c>
      <c r="I849" s="163">
        <f>IFERROR(__xludf.DUMMYFUNCTION("""COMPUTED_VALUE"""),4.99)</f>
        <v>4.99</v>
      </c>
      <c r="J849" s="177" t="s">
        <v>6735</v>
      </c>
      <c r="K849" s="177" t="s">
        <v>7455</v>
      </c>
      <c r="L849" s="164"/>
      <c r="M849" s="187">
        <v>46158.57362268519</v>
      </c>
      <c r="N849" s="177" t="s">
        <v>22</v>
      </c>
      <c r="O849" s="164"/>
      <c r="P849" s="177" t="s">
        <v>3225</v>
      </c>
      <c r="Q849" s="164"/>
      <c r="R849" s="164"/>
      <c r="S849" s="163">
        <f>IFERROR(__xludf.DUMMYFUNCTION("""COMPUTED_VALUE"""),15.0)</f>
        <v>15</v>
      </c>
      <c r="T849" s="164"/>
      <c r="U849" s="164"/>
      <c r="V849" s="164"/>
      <c r="W849" s="164"/>
      <c r="X849" s="164"/>
    </row>
    <row r="850">
      <c r="A850" s="175">
        <v>46151.0</v>
      </c>
      <c r="B850" s="176" t="s">
        <v>3220</v>
      </c>
      <c r="C850" s="177" t="s">
        <v>1049</v>
      </c>
      <c r="D850" s="177" t="s">
        <v>7308</v>
      </c>
      <c r="E850" s="177" t="s">
        <v>83</v>
      </c>
      <c r="F850" s="177" t="s">
        <v>7330</v>
      </c>
      <c r="G850" s="186"/>
      <c r="H850" s="180" t="s">
        <v>3220</v>
      </c>
      <c r="I850" s="163">
        <f>IFERROR(__xludf.DUMMYFUNCTION("""COMPUTED_VALUE"""),4.99)</f>
        <v>4.99</v>
      </c>
      <c r="J850" s="177" t="s">
        <v>6735</v>
      </c>
      <c r="K850" s="177" t="s">
        <v>7456</v>
      </c>
      <c r="L850" s="164"/>
      <c r="M850" s="187">
        <v>46158.574641203704</v>
      </c>
      <c r="N850" s="177" t="s">
        <v>22</v>
      </c>
      <c r="O850" s="164"/>
      <c r="P850" s="177" t="s">
        <v>3222</v>
      </c>
      <c r="Q850" s="164"/>
      <c r="R850" s="164"/>
      <c r="S850" s="163">
        <f>IFERROR(__xludf.DUMMYFUNCTION("""COMPUTED_VALUE"""),15.0)</f>
        <v>15</v>
      </c>
      <c r="T850" s="164"/>
      <c r="U850" s="164"/>
      <c r="V850" s="164"/>
      <c r="W850" s="164"/>
      <c r="X850" s="164"/>
    </row>
    <row r="851">
      <c r="A851" s="175">
        <v>46151.0</v>
      </c>
      <c r="B851" s="176" t="s">
        <v>3216</v>
      </c>
      <c r="C851" s="177" t="s">
        <v>1049</v>
      </c>
      <c r="D851" s="177" t="s">
        <v>7308</v>
      </c>
      <c r="E851" s="177" t="s">
        <v>83</v>
      </c>
      <c r="F851" s="177" t="s">
        <v>7330</v>
      </c>
      <c r="G851" s="186"/>
      <c r="H851" s="180" t="s">
        <v>3216</v>
      </c>
      <c r="I851" s="163">
        <f>IFERROR(__xludf.DUMMYFUNCTION("""COMPUTED_VALUE"""),4.99)</f>
        <v>4.99</v>
      </c>
      <c r="J851" s="177" t="s">
        <v>6735</v>
      </c>
      <c r="K851" s="177" t="s">
        <v>7457</v>
      </c>
      <c r="L851" s="164"/>
      <c r="M851" s="187">
        <v>46158.57577546296</v>
      </c>
      <c r="N851" s="177" t="s">
        <v>22</v>
      </c>
      <c r="O851" s="164"/>
      <c r="P851" s="177" t="s">
        <v>3219</v>
      </c>
      <c r="Q851" s="164"/>
      <c r="R851" s="164"/>
      <c r="S851" s="163">
        <f>IFERROR(__xludf.DUMMYFUNCTION("""COMPUTED_VALUE"""),15.0)</f>
        <v>15</v>
      </c>
      <c r="T851" s="164"/>
      <c r="U851" s="164"/>
      <c r="V851" s="164"/>
      <c r="W851" s="164"/>
      <c r="X851" s="164"/>
    </row>
    <row r="852">
      <c r="A852" s="175">
        <v>46151.0</v>
      </c>
      <c r="B852" s="176" t="s">
        <v>3380</v>
      </c>
      <c r="C852" s="177" t="s">
        <v>1049</v>
      </c>
      <c r="D852" s="177" t="s">
        <v>7308</v>
      </c>
      <c r="E852" s="177" t="s">
        <v>83</v>
      </c>
      <c r="F852" s="177" t="s">
        <v>7330</v>
      </c>
      <c r="G852" s="186"/>
      <c r="H852" s="180" t="s">
        <v>3380</v>
      </c>
      <c r="I852" s="163">
        <f>IFERROR(__xludf.DUMMYFUNCTION("""COMPUTED_VALUE"""),4.99)</f>
        <v>4.99</v>
      </c>
      <c r="J852" s="177" t="s">
        <v>6735</v>
      </c>
      <c r="K852" s="177" t="s">
        <v>7458</v>
      </c>
      <c r="L852" s="164"/>
      <c r="M852" s="187">
        <v>46158.58184027778</v>
      </c>
      <c r="N852" s="177" t="s">
        <v>22</v>
      </c>
      <c r="O852" s="164"/>
      <c r="P852" s="164"/>
      <c r="Q852" s="164"/>
      <c r="R852" s="164"/>
      <c r="S852" s="163">
        <f>IFERROR(__xludf.DUMMYFUNCTION("""COMPUTED_VALUE"""),15.0)</f>
        <v>15</v>
      </c>
      <c r="T852" s="164"/>
      <c r="U852" s="164"/>
      <c r="V852" s="164"/>
      <c r="W852" s="164"/>
      <c r="X852" s="164"/>
    </row>
    <row r="853">
      <c r="A853" s="175">
        <v>46158.0</v>
      </c>
      <c r="B853" s="176" t="s">
        <v>3520</v>
      </c>
      <c r="C853" s="177" t="s">
        <v>1049</v>
      </c>
      <c r="D853" s="177" t="s">
        <v>7377</v>
      </c>
      <c r="E853" s="177" t="s">
        <v>1020</v>
      </c>
      <c r="F853" s="177" t="s">
        <v>7330</v>
      </c>
      <c r="G853" s="186"/>
      <c r="H853" s="180" t="s">
        <v>3520</v>
      </c>
      <c r="I853" s="163">
        <f>IFERROR(__xludf.DUMMYFUNCTION("""COMPUTED_VALUE"""),0.0)</f>
        <v>0</v>
      </c>
      <c r="J853" s="177" t="s">
        <v>6735</v>
      </c>
      <c r="K853" s="177" t="s">
        <v>7459</v>
      </c>
      <c r="L853" s="164"/>
      <c r="M853" s="187">
        <v>46158.853541666664</v>
      </c>
      <c r="N853" s="177" t="s">
        <v>22</v>
      </c>
      <c r="O853" s="164"/>
      <c r="P853" s="177" t="s">
        <v>3523</v>
      </c>
      <c r="Q853" s="164"/>
      <c r="R853" s="164"/>
      <c r="S853" s="163">
        <f>IFERROR(__xludf.DUMMYFUNCTION("""COMPUTED_VALUE"""),6.0)</f>
        <v>6</v>
      </c>
      <c r="T853" s="164"/>
      <c r="U853" s="164"/>
      <c r="V853" s="164"/>
      <c r="W853" s="164"/>
      <c r="X853" s="164"/>
    </row>
    <row r="854">
      <c r="A854" s="175">
        <v>46158.0</v>
      </c>
      <c r="B854" s="176" t="s">
        <v>3524</v>
      </c>
      <c r="C854" s="177" t="s">
        <v>1049</v>
      </c>
      <c r="D854" s="177" t="s">
        <v>7377</v>
      </c>
      <c r="E854" s="177" t="s">
        <v>1020</v>
      </c>
      <c r="F854" s="177" t="s">
        <v>7330</v>
      </c>
      <c r="G854" s="186"/>
      <c r="H854" s="180" t="s">
        <v>3524</v>
      </c>
      <c r="I854" s="163">
        <f>IFERROR(__xludf.DUMMYFUNCTION("""COMPUTED_VALUE"""),0.0)</f>
        <v>0</v>
      </c>
      <c r="J854" s="177" t="s">
        <v>6735</v>
      </c>
      <c r="K854" s="177" t="s">
        <v>7460</v>
      </c>
      <c r="L854" s="164"/>
      <c r="M854" s="187">
        <v>46158.854363425926</v>
      </c>
      <c r="N854" s="177" t="s">
        <v>22</v>
      </c>
      <c r="O854" s="164"/>
      <c r="P854" s="177" t="s">
        <v>3526</v>
      </c>
      <c r="Q854" s="164"/>
      <c r="R854" s="164"/>
      <c r="S854" s="163">
        <f>IFERROR(__xludf.DUMMYFUNCTION("""COMPUTED_VALUE"""),6.0)</f>
        <v>6</v>
      </c>
      <c r="T854" s="164"/>
      <c r="U854" s="164"/>
      <c r="V854" s="164"/>
      <c r="W854" s="164"/>
      <c r="X854" s="164"/>
    </row>
    <row r="855">
      <c r="A855" s="175">
        <v>46158.0</v>
      </c>
      <c r="B855" s="176" t="s">
        <v>3527</v>
      </c>
      <c r="C855" s="177" t="s">
        <v>1049</v>
      </c>
      <c r="D855" s="177" t="s">
        <v>7377</v>
      </c>
      <c r="E855" s="177" t="s">
        <v>1020</v>
      </c>
      <c r="F855" s="177" t="s">
        <v>7330</v>
      </c>
      <c r="G855" s="186"/>
      <c r="H855" s="180" t="s">
        <v>3527</v>
      </c>
      <c r="I855" s="163">
        <f>IFERROR(__xludf.DUMMYFUNCTION("""COMPUTED_VALUE"""),0.0)</f>
        <v>0</v>
      </c>
      <c r="J855" s="177" t="s">
        <v>6735</v>
      </c>
      <c r="K855" s="177" t="s">
        <v>7461</v>
      </c>
      <c r="L855" s="164"/>
      <c r="M855" s="187">
        <v>46158.85498842593</v>
      </c>
      <c r="N855" s="177" t="s">
        <v>22</v>
      </c>
      <c r="O855" s="164"/>
      <c r="P855" s="177" t="s">
        <v>3529</v>
      </c>
      <c r="Q855" s="164"/>
      <c r="R855" s="164"/>
      <c r="S855" s="163">
        <f>IFERROR(__xludf.DUMMYFUNCTION("""COMPUTED_VALUE"""),6.0)</f>
        <v>6</v>
      </c>
      <c r="T855" s="164"/>
      <c r="U855" s="164"/>
      <c r="V855" s="164"/>
      <c r="W855" s="164"/>
      <c r="X855" s="164"/>
    </row>
    <row r="856">
      <c r="A856" s="175">
        <v>46158.0</v>
      </c>
      <c r="B856" s="176" t="s">
        <v>3530</v>
      </c>
      <c r="C856" s="177" t="s">
        <v>1049</v>
      </c>
      <c r="D856" s="177" t="s">
        <v>7377</v>
      </c>
      <c r="E856" s="177" t="s">
        <v>1020</v>
      </c>
      <c r="F856" s="177" t="s">
        <v>7330</v>
      </c>
      <c r="G856" s="186"/>
      <c r="H856" s="180" t="s">
        <v>3530</v>
      </c>
      <c r="I856" s="163">
        <f>IFERROR(__xludf.DUMMYFUNCTION("""COMPUTED_VALUE"""),0.0)</f>
        <v>0</v>
      </c>
      <c r="J856" s="177" t="s">
        <v>6735</v>
      </c>
      <c r="K856" s="177" t="s">
        <v>7462</v>
      </c>
      <c r="L856" s="164"/>
      <c r="M856" s="187">
        <v>46158.85560185185</v>
      </c>
      <c r="N856" s="177" t="s">
        <v>22</v>
      </c>
      <c r="O856" s="164"/>
      <c r="P856" s="177" t="s">
        <v>3532</v>
      </c>
      <c r="Q856" s="164"/>
      <c r="R856" s="164"/>
      <c r="S856" s="163">
        <f>IFERROR(__xludf.DUMMYFUNCTION("""COMPUTED_VALUE"""),6.0)</f>
        <v>6</v>
      </c>
      <c r="T856" s="164"/>
      <c r="U856" s="164"/>
      <c r="V856" s="164"/>
      <c r="W856" s="164"/>
      <c r="X856" s="164"/>
    </row>
    <row r="857">
      <c r="A857" s="175">
        <v>46158.0</v>
      </c>
      <c r="B857" s="176" t="s">
        <v>3533</v>
      </c>
      <c r="C857" s="177" t="s">
        <v>1049</v>
      </c>
      <c r="D857" s="177" t="s">
        <v>7377</v>
      </c>
      <c r="E857" s="177" t="s">
        <v>1020</v>
      </c>
      <c r="F857" s="177" t="s">
        <v>7330</v>
      </c>
      <c r="G857" s="186"/>
      <c r="H857" s="180" t="s">
        <v>3533</v>
      </c>
      <c r="I857" s="163">
        <f>IFERROR(__xludf.DUMMYFUNCTION("""COMPUTED_VALUE"""),0.0)</f>
        <v>0</v>
      </c>
      <c r="J857" s="177" t="s">
        <v>6735</v>
      </c>
      <c r="K857" s="177" t="s">
        <v>7463</v>
      </c>
      <c r="L857" s="164"/>
      <c r="M857" s="187">
        <v>46158.85631944444</v>
      </c>
      <c r="N857" s="177" t="s">
        <v>22</v>
      </c>
      <c r="O857" s="164"/>
      <c r="P857" s="177" t="s">
        <v>3535</v>
      </c>
      <c r="Q857" s="164"/>
      <c r="R857" s="164"/>
      <c r="S857" s="163">
        <f>IFERROR(__xludf.DUMMYFUNCTION("""COMPUTED_VALUE"""),6.0)</f>
        <v>6</v>
      </c>
      <c r="T857" s="164"/>
      <c r="U857" s="164"/>
      <c r="V857" s="164"/>
      <c r="W857" s="164"/>
      <c r="X857" s="164"/>
    </row>
    <row r="858">
      <c r="A858" s="175">
        <v>46158.0</v>
      </c>
      <c r="B858" s="176" t="s">
        <v>3536</v>
      </c>
      <c r="C858" s="177" t="s">
        <v>1049</v>
      </c>
      <c r="D858" s="177" t="s">
        <v>7377</v>
      </c>
      <c r="E858" s="177" t="s">
        <v>1020</v>
      </c>
      <c r="F858" s="177" t="s">
        <v>7330</v>
      </c>
      <c r="G858" s="186"/>
      <c r="H858" s="180" t="s">
        <v>3536</v>
      </c>
      <c r="I858" s="163">
        <f>IFERROR(__xludf.DUMMYFUNCTION("""COMPUTED_VALUE"""),0.0)</f>
        <v>0</v>
      </c>
      <c r="J858" s="177" t="s">
        <v>6735</v>
      </c>
      <c r="K858" s="177" t="s">
        <v>7464</v>
      </c>
      <c r="L858" s="164"/>
      <c r="M858" s="187">
        <v>46158.856944444444</v>
      </c>
      <c r="N858" s="177" t="s">
        <v>22</v>
      </c>
      <c r="O858" s="164"/>
      <c r="P858" s="177" t="s">
        <v>3538</v>
      </c>
      <c r="Q858" s="164"/>
      <c r="R858" s="164"/>
      <c r="S858" s="163">
        <f>IFERROR(__xludf.DUMMYFUNCTION("""COMPUTED_VALUE"""),6.0)</f>
        <v>6</v>
      </c>
      <c r="T858" s="164"/>
      <c r="U858" s="164"/>
      <c r="V858" s="164"/>
      <c r="W858" s="164"/>
      <c r="X858" s="164"/>
    </row>
    <row r="859">
      <c r="A859" s="175">
        <v>46158.0</v>
      </c>
      <c r="B859" s="176" t="s">
        <v>3539</v>
      </c>
      <c r="C859" s="177" t="s">
        <v>1049</v>
      </c>
      <c r="D859" s="177" t="s">
        <v>7377</v>
      </c>
      <c r="E859" s="177" t="s">
        <v>1020</v>
      </c>
      <c r="F859" s="177" t="s">
        <v>7330</v>
      </c>
      <c r="G859" s="186"/>
      <c r="H859" s="180" t="s">
        <v>3539</v>
      </c>
      <c r="I859" s="163">
        <f>IFERROR(__xludf.DUMMYFUNCTION("""COMPUTED_VALUE"""),0.0)</f>
        <v>0</v>
      </c>
      <c r="J859" s="177" t="s">
        <v>6735</v>
      </c>
      <c r="K859" s="177" t="s">
        <v>7465</v>
      </c>
      <c r="L859" s="164"/>
      <c r="M859" s="187">
        <v>46158.85767361111</v>
      </c>
      <c r="N859" s="177" t="s">
        <v>22</v>
      </c>
      <c r="O859" s="164"/>
      <c r="P859" s="177" t="s">
        <v>3541</v>
      </c>
      <c r="Q859" s="164"/>
      <c r="R859" s="164"/>
      <c r="S859" s="163">
        <f>IFERROR(__xludf.DUMMYFUNCTION("""COMPUTED_VALUE"""),6.0)</f>
        <v>6</v>
      </c>
      <c r="T859" s="164"/>
      <c r="U859" s="164"/>
      <c r="V859" s="164"/>
      <c r="W859" s="164"/>
      <c r="X859" s="164"/>
    </row>
    <row r="860">
      <c r="A860" s="175">
        <v>46159.0</v>
      </c>
      <c r="B860" s="176" t="s">
        <v>3545</v>
      </c>
      <c r="C860" s="177" t="s">
        <v>1118</v>
      </c>
      <c r="D860" s="177" t="s">
        <v>7310</v>
      </c>
      <c r="E860" s="177" t="s">
        <v>6714</v>
      </c>
      <c r="F860" s="177" t="s">
        <v>6738</v>
      </c>
      <c r="G860" s="186"/>
      <c r="H860" s="180" t="s">
        <v>3545</v>
      </c>
      <c r="I860" s="163">
        <f>IFERROR(__xludf.DUMMYFUNCTION("""COMPUTED_VALUE"""),7.495)</f>
        <v>7.495</v>
      </c>
      <c r="J860" s="177" t="s">
        <v>7176</v>
      </c>
      <c r="K860" s="177" t="s">
        <v>7466</v>
      </c>
      <c r="L860" s="164"/>
      <c r="M860" s="187">
        <v>46159.60376157407</v>
      </c>
      <c r="N860" s="177" t="s">
        <v>22</v>
      </c>
      <c r="O860" s="164"/>
      <c r="P860" s="177" t="s">
        <v>3547</v>
      </c>
      <c r="Q860" s="164"/>
      <c r="R860" s="164"/>
      <c r="S860" s="163">
        <f>IFERROR(__xludf.DUMMYFUNCTION("""COMPUTED_VALUE"""),0.0)</f>
        <v>0</v>
      </c>
      <c r="T860" s="164"/>
      <c r="U860" s="164"/>
      <c r="V860" s="164"/>
      <c r="W860" s="164"/>
      <c r="X860" s="164"/>
    </row>
    <row r="861">
      <c r="A861" s="175">
        <v>46159.0</v>
      </c>
      <c r="B861" s="176" t="s">
        <v>3545</v>
      </c>
      <c r="C861" s="177" t="s">
        <v>6716</v>
      </c>
      <c r="D861" s="177" t="s">
        <v>7339</v>
      </c>
      <c r="E861" s="164"/>
      <c r="F861" s="177" t="s">
        <v>7239</v>
      </c>
      <c r="G861" s="179" t="s">
        <v>6721</v>
      </c>
      <c r="H861" s="180" t="s">
        <v>3548</v>
      </c>
      <c r="I861" s="163">
        <f>IFERROR(__xludf.DUMMYFUNCTION("""COMPUTED_VALUE"""),7.495)</f>
        <v>7.495</v>
      </c>
      <c r="J861" s="177" t="s">
        <v>6750</v>
      </c>
      <c r="K861" s="177" t="s">
        <v>4714</v>
      </c>
      <c r="L861" s="164"/>
      <c r="M861" s="187">
        <v>46159.60449074074</v>
      </c>
      <c r="N861" s="177" t="s">
        <v>22</v>
      </c>
      <c r="O861" s="164"/>
      <c r="P861" s="177" t="s">
        <v>3550</v>
      </c>
      <c r="Q861" s="164"/>
      <c r="R861" s="164"/>
      <c r="S861" s="163">
        <f>IFERROR(__xludf.DUMMYFUNCTION("""COMPUTED_VALUE"""),0.0)</f>
        <v>0</v>
      </c>
      <c r="T861" s="164"/>
      <c r="U861" s="164"/>
      <c r="V861" s="164"/>
      <c r="W861" s="164"/>
      <c r="X861" s="164"/>
    </row>
    <row r="862">
      <c r="A862" s="175">
        <v>46159.0</v>
      </c>
      <c r="B862" s="176" t="s">
        <v>3542</v>
      </c>
      <c r="C862" s="177" t="s">
        <v>1049</v>
      </c>
      <c r="D862" s="177" t="s">
        <v>1129</v>
      </c>
      <c r="E862" s="177" t="s">
        <v>6738</v>
      </c>
      <c r="F862" s="177" t="s">
        <v>662</v>
      </c>
      <c r="G862" s="186"/>
      <c r="H862" s="180" t="s">
        <v>3542</v>
      </c>
      <c r="I862" s="163">
        <f>IFERROR(__xludf.DUMMYFUNCTION("""COMPUTED_VALUE"""),10.2)</f>
        <v>10.2</v>
      </c>
      <c r="J862" s="177" t="s">
        <v>6975</v>
      </c>
      <c r="K862" s="177" t="s">
        <v>7467</v>
      </c>
      <c r="L862" s="164"/>
      <c r="M862" s="187">
        <v>46159.62305555555</v>
      </c>
      <c r="N862" s="177" t="s">
        <v>22</v>
      </c>
      <c r="O862" s="164"/>
      <c r="P862" s="177" t="s">
        <v>3544</v>
      </c>
      <c r="Q862" s="164"/>
      <c r="R862" s="164"/>
      <c r="S862" s="163">
        <f>IFERROR(__xludf.DUMMYFUNCTION("""COMPUTED_VALUE"""),24.99)</f>
        <v>24.99</v>
      </c>
      <c r="T862" s="164"/>
      <c r="U862" s="164"/>
      <c r="V862" s="164"/>
      <c r="W862" s="164"/>
      <c r="X862" s="164"/>
    </row>
    <row r="863">
      <c r="A863" s="175">
        <v>46153.0</v>
      </c>
      <c r="B863" s="176" t="s">
        <v>2264</v>
      </c>
      <c r="C863" s="177" t="s">
        <v>1049</v>
      </c>
      <c r="D863" s="177" t="s">
        <v>1129</v>
      </c>
      <c r="E863" s="177" t="s">
        <v>6713</v>
      </c>
      <c r="F863" s="177" t="s">
        <v>7330</v>
      </c>
      <c r="G863" s="186"/>
      <c r="H863" s="180"/>
      <c r="I863" s="163"/>
      <c r="J863" s="177" t="s">
        <v>6735</v>
      </c>
      <c r="K863" s="177" t="s">
        <v>7468</v>
      </c>
      <c r="L863" s="164"/>
      <c r="M863" s="187">
        <v>46161.628171296295</v>
      </c>
      <c r="N863" s="177" t="s">
        <v>22</v>
      </c>
      <c r="O863" s="164"/>
      <c r="P863" s="177" t="s">
        <v>7469</v>
      </c>
      <c r="Q863" s="164"/>
      <c r="R863" s="164"/>
      <c r="S863" s="163"/>
      <c r="T863" s="164"/>
      <c r="U863" s="164"/>
      <c r="V863" s="164"/>
      <c r="W863" s="164"/>
      <c r="X863" s="164"/>
    </row>
    <row r="864">
      <c r="A864" s="175">
        <v>46153.0</v>
      </c>
      <c r="B864" s="176" t="s">
        <v>3403</v>
      </c>
      <c r="C864" s="177" t="s">
        <v>1049</v>
      </c>
      <c r="D864" s="177" t="s">
        <v>1129</v>
      </c>
      <c r="E864" s="177" t="s">
        <v>83</v>
      </c>
      <c r="F864" s="177" t="s">
        <v>662</v>
      </c>
      <c r="G864" s="186"/>
      <c r="H864" s="180" t="s">
        <v>3403</v>
      </c>
      <c r="I864" s="163">
        <f>IFERROR(__xludf.DUMMYFUNCTION("""COMPUTED_VALUE"""),3.66)</f>
        <v>3.66</v>
      </c>
      <c r="J864" s="177" t="s">
        <v>6975</v>
      </c>
      <c r="K864" s="177" t="s">
        <v>7470</v>
      </c>
      <c r="L864" s="164"/>
      <c r="M864" s="187">
        <v>46161.62945601852</v>
      </c>
      <c r="N864" s="177" t="s">
        <v>22</v>
      </c>
      <c r="O864" s="164"/>
      <c r="P864" s="177" t="s">
        <v>3405</v>
      </c>
      <c r="Q864" s="164"/>
      <c r="R864" s="164"/>
      <c r="S864" s="163"/>
      <c r="T864" s="164"/>
      <c r="U864" s="164"/>
      <c r="V864" s="164"/>
      <c r="W864" s="164"/>
      <c r="X864" s="164"/>
    </row>
    <row r="865">
      <c r="A865" s="175">
        <v>46153.0</v>
      </c>
      <c r="B865" s="176" t="s">
        <v>3435</v>
      </c>
      <c r="C865" s="177" t="s">
        <v>1049</v>
      </c>
      <c r="D865" s="177" t="s">
        <v>1129</v>
      </c>
      <c r="E865" s="177" t="s">
        <v>6713</v>
      </c>
      <c r="F865" s="177" t="s">
        <v>662</v>
      </c>
      <c r="G865" s="186"/>
      <c r="H865" s="180" t="s">
        <v>3435</v>
      </c>
      <c r="I865" s="163">
        <f>IFERROR(__xludf.DUMMYFUNCTION("""COMPUTED_VALUE"""),4.666666666666667)</f>
        <v>4.666666667</v>
      </c>
      <c r="J865" s="177" t="s">
        <v>6975</v>
      </c>
      <c r="K865" s="177" t="s">
        <v>7471</v>
      </c>
      <c r="L865" s="164"/>
      <c r="M865" s="187">
        <v>46161.6312962963</v>
      </c>
      <c r="N865" s="177" t="s">
        <v>22</v>
      </c>
      <c r="O865" s="164"/>
      <c r="P865" s="177" t="s">
        <v>3437</v>
      </c>
      <c r="Q865" s="164"/>
      <c r="R865" s="164"/>
      <c r="S865" s="163">
        <f>IFERROR(__xludf.DUMMYFUNCTION("""COMPUTED_VALUE"""),0.0)</f>
        <v>0</v>
      </c>
      <c r="T865" s="164"/>
      <c r="U865" s="164"/>
      <c r="V865" s="164"/>
      <c r="W865" s="164"/>
      <c r="X865" s="164"/>
    </row>
    <row r="866">
      <c r="A866" s="175">
        <v>46153.0</v>
      </c>
      <c r="B866" s="176" t="s">
        <v>3400</v>
      </c>
      <c r="C866" s="177" t="s">
        <v>1049</v>
      </c>
      <c r="D866" s="177" t="s">
        <v>1129</v>
      </c>
      <c r="E866" s="177" t="s">
        <v>6776</v>
      </c>
      <c r="F866" s="177" t="s">
        <v>662</v>
      </c>
      <c r="G866" s="186"/>
      <c r="H866" s="180" t="s">
        <v>3400</v>
      </c>
      <c r="I866" s="163">
        <f>IFERROR(__xludf.DUMMYFUNCTION("""COMPUTED_VALUE"""),4.19)</f>
        <v>4.19</v>
      </c>
      <c r="J866" s="177" t="s">
        <v>6975</v>
      </c>
      <c r="K866" s="177" t="s">
        <v>7472</v>
      </c>
      <c r="L866" s="164"/>
      <c r="M866" s="187">
        <v>46161.633680555555</v>
      </c>
      <c r="N866" s="177" t="s">
        <v>22</v>
      </c>
      <c r="O866" s="164"/>
      <c r="P866" s="177" t="s">
        <v>3402</v>
      </c>
      <c r="Q866" s="164"/>
      <c r="R866" s="164"/>
      <c r="S866" s="163">
        <f>IFERROR(__xludf.DUMMYFUNCTION("""COMPUTED_VALUE"""),15.0)</f>
        <v>15</v>
      </c>
      <c r="T866" s="164"/>
      <c r="U866" s="164"/>
      <c r="V866" s="164"/>
      <c r="W866" s="164"/>
      <c r="X866" s="164"/>
    </row>
    <row r="867">
      <c r="A867" s="175">
        <v>46153.0</v>
      </c>
      <c r="B867" s="176" t="s">
        <v>3397</v>
      </c>
      <c r="C867" s="177" t="s">
        <v>1049</v>
      </c>
      <c r="D867" s="177" t="s">
        <v>1129</v>
      </c>
      <c r="E867" s="177" t="s">
        <v>6706</v>
      </c>
      <c r="F867" s="177" t="s">
        <v>662</v>
      </c>
      <c r="G867" s="186"/>
      <c r="H867" s="180" t="s">
        <v>3397</v>
      </c>
      <c r="I867" s="163">
        <f>IFERROR(__xludf.DUMMYFUNCTION("""COMPUTED_VALUE"""),3.2975)</f>
        <v>3.2975</v>
      </c>
      <c r="J867" s="177" t="s">
        <v>6975</v>
      </c>
      <c r="K867" s="177" t="s">
        <v>7473</v>
      </c>
      <c r="L867" s="164"/>
      <c r="M867" s="187">
        <v>46161.63590277778</v>
      </c>
      <c r="N867" s="177" t="s">
        <v>22</v>
      </c>
      <c r="O867" s="164"/>
      <c r="P867" s="177" t="s">
        <v>3399</v>
      </c>
      <c r="Q867" s="164"/>
      <c r="R867" s="164"/>
      <c r="S867" s="163">
        <f>IFERROR(__xludf.DUMMYFUNCTION("""COMPUTED_VALUE"""),0.0)</f>
        <v>0</v>
      </c>
      <c r="T867" s="164"/>
      <c r="U867" s="164"/>
      <c r="V867" s="164"/>
      <c r="W867" s="164"/>
      <c r="X867" s="164"/>
    </row>
    <row r="868">
      <c r="A868" s="175">
        <v>46153.0</v>
      </c>
      <c r="B868" s="176" t="s">
        <v>3394</v>
      </c>
      <c r="C868" s="177" t="s">
        <v>1049</v>
      </c>
      <c r="D868" s="177" t="s">
        <v>1129</v>
      </c>
      <c r="E868" s="177" t="s">
        <v>842</v>
      </c>
      <c r="F868" s="177" t="s">
        <v>6962</v>
      </c>
      <c r="G868" s="186"/>
      <c r="H868" s="180" t="s">
        <v>3394</v>
      </c>
      <c r="I868" s="163">
        <f>IFERROR(__xludf.DUMMYFUNCTION("""COMPUTED_VALUE"""),4.9925)</f>
        <v>4.9925</v>
      </c>
      <c r="J868" s="177" t="s">
        <v>7176</v>
      </c>
      <c r="K868" s="177" t="s">
        <v>7474</v>
      </c>
      <c r="L868" s="164"/>
      <c r="M868" s="187">
        <v>46161.636967592596</v>
      </c>
      <c r="N868" s="177" t="s">
        <v>22</v>
      </c>
      <c r="O868" s="164"/>
      <c r="P868" s="177" t="s">
        <v>3396</v>
      </c>
      <c r="Q868" s="164"/>
      <c r="R868" s="164"/>
      <c r="S868" s="163">
        <f>IFERROR(__xludf.DUMMYFUNCTION("""COMPUTED_VALUE"""),0.0)</f>
        <v>0</v>
      </c>
      <c r="T868" s="164"/>
      <c r="U868" s="164"/>
      <c r="V868" s="164"/>
      <c r="W868" s="164"/>
      <c r="X868" s="164"/>
    </row>
    <row r="869">
      <c r="A869" s="175">
        <v>46153.0</v>
      </c>
      <c r="B869" s="176" t="s">
        <v>3438</v>
      </c>
      <c r="C869" s="177" t="s">
        <v>1049</v>
      </c>
      <c r="D869" s="177" t="s">
        <v>1129</v>
      </c>
      <c r="E869" s="177" t="s">
        <v>842</v>
      </c>
      <c r="F869" s="177" t="s">
        <v>7330</v>
      </c>
      <c r="G869" s="186"/>
      <c r="H869" s="180" t="s">
        <v>3438</v>
      </c>
      <c r="I869" s="163">
        <f>IFERROR(__xludf.DUMMYFUNCTION("""COMPUTED_VALUE"""),10.25)</f>
        <v>10.25</v>
      </c>
      <c r="J869" s="177" t="s">
        <v>6735</v>
      </c>
      <c r="K869" s="177" t="s">
        <v>7475</v>
      </c>
      <c r="L869" s="164"/>
      <c r="M869" s="187">
        <v>46161.638078703705</v>
      </c>
      <c r="N869" s="177" t="s">
        <v>22</v>
      </c>
      <c r="O869" s="164"/>
      <c r="P869" s="177" t="s">
        <v>3440</v>
      </c>
      <c r="Q869" s="164"/>
      <c r="R869" s="164"/>
      <c r="S869" s="163"/>
      <c r="T869" s="164"/>
      <c r="U869" s="164"/>
      <c r="V869" s="164"/>
      <c r="W869" s="164"/>
      <c r="X869" s="164"/>
    </row>
    <row r="870">
      <c r="A870" s="175">
        <v>46153.0</v>
      </c>
      <c r="B870" s="176" t="s">
        <v>3441</v>
      </c>
      <c r="C870" s="177" t="s">
        <v>1049</v>
      </c>
      <c r="D870" s="177" t="s">
        <v>1129</v>
      </c>
      <c r="E870" s="177" t="s">
        <v>6706</v>
      </c>
      <c r="F870" s="177" t="s">
        <v>7330</v>
      </c>
      <c r="G870" s="186"/>
      <c r="H870" s="180" t="s">
        <v>3441</v>
      </c>
      <c r="I870" s="163">
        <f>IFERROR(__xludf.DUMMYFUNCTION("""COMPUTED_VALUE"""),2.1983333333333333)</f>
        <v>2.198333333</v>
      </c>
      <c r="J870" s="177" t="s">
        <v>6735</v>
      </c>
      <c r="K870" s="177" t="s">
        <v>7476</v>
      </c>
      <c r="L870" s="164"/>
      <c r="M870" s="187">
        <v>46161.63974537037</v>
      </c>
      <c r="N870" s="177" t="s">
        <v>22</v>
      </c>
      <c r="O870" s="164"/>
      <c r="P870" s="177" t="s">
        <v>3443</v>
      </c>
      <c r="Q870" s="164"/>
      <c r="R870" s="164"/>
      <c r="S870" s="163">
        <f>IFERROR(__xludf.DUMMYFUNCTION("""COMPUTED_VALUE"""),0.0)</f>
        <v>0</v>
      </c>
      <c r="T870" s="164"/>
      <c r="U870" s="164"/>
      <c r="V870" s="164"/>
      <c r="W870" s="164"/>
      <c r="X870" s="164"/>
    </row>
    <row r="871">
      <c r="A871" s="175">
        <v>46175.0</v>
      </c>
      <c r="B871" s="176" t="s">
        <v>3557</v>
      </c>
      <c r="C871" s="177" t="s">
        <v>1049</v>
      </c>
      <c r="D871" s="177" t="s">
        <v>1129</v>
      </c>
      <c r="E871" s="164"/>
      <c r="F871" s="177" t="s">
        <v>7330</v>
      </c>
      <c r="G871" s="186"/>
      <c r="H871" s="180" t="s">
        <v>3557</v>
      </c>
      <c r="I871" s="163">
        <f>IFERROR(__xludf.DUMMYFUNCTION("""COMPUTED_VALUE"""),12.0)</f>
        <v>12</v>
      </c>
      <c r="J871" s="177" t="s">
        <v>6735</v>
      </c>
      <c r="K871" s="177" t="s">
        <v>7477</v>
      </c>
      <c r="L871" s="164"/>
      <c r="M871" s="187">
        <v>46175.48783564815</v>
      </c>
      <c r="N871" s="177" t="s">
        <v>22</v>
      </c>
      <c r="O871" s="164"/>
      <c r="P871" s="177" t="s">
        <v>3560</v>
      </c>
      <c r="Q871" s="164"/>
      <c r="R871" s="164"/>
      <c r="S871" s="163"/>
      <c r="T871" s="164"/>
      <c r="U871" s="164"/>
      <c r="V871" s="164"/>
      <c r="W871" s="164"/>
      <c r="X871" s="164"/>
    </row>
    <row r="872">
      <c r="A872" s="189"/>
      <c r="B872" s="190"/>
      <c r="C872" s="164"/>
      <c r="D872" s="164"/>
      <c r="E872" s="164"/>
      <c r="F872" s="164"/>
      <c r="G872" s="186"/>
      <c r="H872" s="181"/>
      <c r="I872" s="163" t="str">
        <f>IFERROR(__xludf.DUMMYFUNCTION("""COMPUTED_VALUE"""),"")</f>
        <v/>
      </c>
      <c r="J872" s="164"/>
      <c r="K872" s="164"/>
      <c r="L872" s="164"/>
      <c r="M872" s="165"/>
      <c r="N872" s="164"/>
      <c r="O872" s="164"/>
      <c r="P872" s="164"/>
      <c r="Q872" s="164"/>
      <c r="R872" s="164"/>
      <c r="S872" s="163" t="str">
        <f>IFERROR(__xludf.DUMMYFUNCTION("""COMPUTED_VALUE"""),"")</f>
        <v/>
      </c>
      <c r="T872" s="164"/>
      <c r="U872" s="164"/>
      <c r="V872" s="164"/>
      <c r="W872" s="164"/>
      <c r="X872" s="164"/>
    </row>
    <row r="873">
      <c r="A873" s="189"/>
      <c r="B873" s="190"/>
      <c r="C873" s="164"/>
      <c r="D873" s="164"/>
      <c r="E873" s="164"/>
      <c r="F873" s="164"/>
      <c r="G873" s="186"/>
      <c r="H873" s="181"/>
      <c r="I873" s="163" t="str">
        <f>IFERROR(__xludf.DUMMYFUNCTION("""COMPUTED_VALUE"""),"")</f>
        <v/>
      </c>
      <c r="J873" s="164"/>
      <c r="K873" s="164"/>
      <c r="L873" s="164"/>
      <c r="M873" s="165"/>
      <c r="N873" s="164"/>
      <c r="O873" s="164"/>
      <c r="P873" s="164"/>
      <c r="Q873" s="164"/>
      <c r="R873" s="164"/>
      <c r="S873" s="163" t="str">
        <f>IFERROR(__xludf.DUMMYFUNCTION("""COMPUTED_VALUE"""),"")</f>
        <v/>
      </c>
      <c r="T873" s="164"/>
      <c r="U873" s="164"/>
      <c r="V873" s="164"/>
      <c r="W873" s="164"/>
      <c r="X873" s="164"/>
    </row>
    <row r="874">
      <c r="A874" s="189"/>
      <c r="B874" s="190"/>
      <c r="C874" s="164"/>
      <c r="D874" s="164"/>
      <c r="E874" s="164"/>
      <c r="F874" s="164"/>
      <c r="G874" s="186"/>
      <c r="H874" s="181"/>
      <c r="I874" s="163" t="str">
        <f>IFERROR(__xludf.DUMMYFUNCTION("""COMPUTED_VALUE"""),"")</f>
        <v/>
      </c>
      <c r="J874" s="164"/>
      <c r="K874" s="164"/>
      <c r="L874" s="164"/>
      <c r="M874" s="165"/>
      <c r="N874" s="164"/>
      <c r="O874" s="164"/>
      <c r="P874" s="164"/>
      <c r="Q874" s="164"/>
      <c r="R874" s="164"/>
      <c r="S874" s="163" t="str">
        <f>IFERROR(__xludf.DUMMYFUNCTION("""COMPUTED_VALUE"""),"")</f>
        <v/>
      </c>
      <c r="T874" s="164"/>
      <c r="U874" s="164"/>
      <c r="V874" s="164"/>
      <c r="W874" s="164"/>
      <c r="X874" s="164"/>
    </row>
    <row r="875">
      <c r="A875" s="189"/>
      <c r="B875" s="190"/>
      <c r="C875" s="164"/>
      <c r="D875" s="164"/>
      <c r="E875" s="164"/>
      <c r="F875" s="164"/>
      <c r="G875" s="186"/>
      <c r="H875" s="181"/>
      <c r="I875" s="163" t="str">
        <f>IFERROR(__xludf.DUMMYFUNCTION("""COMPUTED_VALUE"""),"")</f>
        <v/>
      </c>
      <c r="J875" s="164"/>
      <c r="K875" s="164"/>
      <c r="L875" s="164"/>
      <c r="M875" s="165"/>
      <c r="N875" s="164"/>
      <c r="O875" s="164"/>
      <c r="P875" s="164"/>
      <c r="Q875" s="164"/>
      <c r="R875" s="164"/>
      <c r="S875" s="163" t="str">
        <f>IFERROR(__xludf.DUMMYFUNCTION("""COMPUTED_VALUE"""),"")</f>
        <v/>
      </c>
      <c r="T875" s="164"/>
      <c r="U875" s="164"/>
      <c r="V875" s="164"/>
      <c r="W875" s="164"/>
      <c r="X875" s="164"/>
    </row>
    <row r="876">
      <c r="A876" s="189"/>
      <c r="B876" s="190"/>
      <c r="C876" s="164"/>
      <c r="D876" s="164"/>
      <c r="E876" s="164"/>
      <c r="F876" s="164"/>
      <c r="G876" s="186"/>
      <c r="H876" s="181"/>
      <c r="I876" s="163" t="str">
        <f>IFERROR(__xludf.DUMMYFUNCTION("""COMPUTED_VALUE"""),"")</f>
        <v/>
      </c>
      <c r="J876" s="164"/>
      <c r="K876" s="164"/>
      <c r="L876" s="164"/>
      <c r="M876" s="165"/>
      <c r="N876" s="164"/>
      <c r="O876" s="164"/>
      <c r="P876" s="164"/>
      <c r="Q876" s="164"/>
      <c r="R876" s="164"/>
      <c r="S876" s="163" t="str">
        <f>IFERROR(__xludf.DUMMYFUNCTION("""COMPUTED_VALUE"""),"")</f>
        <v/>
      </c>
      <c r="T876" s="164"/>
      <c r="U876" s="164"/>
      <c r="V876" s="164"/>
      <c r="W876" s="164"/>
      <c r="X876" s="164"/>
    </row>
    <row r="877">
      <c r="A877" s="189"/>
      <c r="B877" s="190"/>
      <c r="C877" s="164"/>
      <c r="D877" s="164"/>
      <c r="E877" s="164"/>
      <c r="F877" s="164"/>
      <c r="G877" s="186"/>
      <c r="H877" s="181"/>
      <c r="I877" s="163" t="str">
        <f>IFERROR(__xludf.DUMMYFUNCTION("""COMPUTED_VALUE"""),"")</f>
        <v/>
      </c>
      <c r="J877" s="164"/>
      <c r="K877" s="164"/>
      <c r="L877" s="164"/>
      <c r="M877" s="165"/>
      <c r="N877" s="164"/>
      <c r="O877" s="164"/>
      <c r="P877" s="164"/>
      <c r="Q877" s="164"/>
      <c r="R877" s="164"/>
      <c r="S877" s="163" t="str">
        <f>IFERROR(__xludf.DUMMYFUNCTION("""COMPUTED_VALUE"""),"")</f>
        <v/>
      </c>
      <c r="T877" s="164"/>
      <c r="U877" s="164"/>
      <c r="V877" s="164"/>
      <c r="W877" s="164"/>
      <c r="X877" s="164"/>
    </row>
    <row r="878">
      <c r="A878" s="189"/>
      <c r="B878" s="190"/>
      <c r="C878" s="164"/>
      <c r="D878" s="164"/>
      <c r="E878" s="164"/>
      <c r="F878" s="164"/>
      <c r="G878" s="186"/>
      <c r="H878" s="181"/>
      <c r="I878" s="163" t="str">
        <f>IFERROR(__xludf.DUMMYFUNCTION("""COMPUTED_VALUE"""),"")</f>
        <v/>
      </c>
      <c r="J878" s="164"/>
      <c r="K878" s="164"/>
      <c r="L878" s="164"/>
      <c r="M878" s="165"/>
      <c r="N878" s="164"/>
      <c r="O878" s="164"/>
      <c r="P878" s="164"/>
      <c r="Q878" s="164"/>
      <c r="R878" s="164"/>
      <c r="S878" s="163" t="str">
        <f>IFERROR(__xludf.DUMMYFUNCTION("""COMPUTED_VALUE"""),"")</f>
        <v/>
      </c>
      <c r="T878" s="164"/>
      <c r="U878" s="164"/>
      <c r="V878" s="164"/>
      <c r="W878" s="164"/>
      <c r="X878" s="164"/>
    </row>
    <row r="879">
      <c r="A879" s="189"/>
      <c r="B879" s="190"/>
      <c r="C879" s="164"/>
      <c r="D879" s="164"/>
      <c r="E879" s="164"/>
      <c r="F879" s="164"/>
      <c r="G879" s="186"/>
      <c r="H879" s="181"/>
      <c r="I879" s="163" t="str">
        <f>IFERROR(__xludf.DUMMYFUNCTION("""COMPUTED_VALUE"""),"")</f>
        <v/>
      </c>
      <c r="J879" s="164"/>
      <c r="K879" s="164"/>
      <c r="L879" s="164"/>
      <c r="M879" s="165"/>
      <c r="N879" s="164"/>
      <c r="O879" s="164"/>
      <c r="P879" s="164"/>
      <c r="Q879" s="164"/>
      <c r="R879" s="164"/>
      <c r="S879" s="163" t="str">
        <f>IFERROR(__xludf.DUMMYFUNCTION("""COMPUTED_VALUE"""),"")</f>
        <v/>
      </c>
      <c r="T879" s="164"/>
      <c r="U879" s="164"/>
      <c r="V879" s="164"/>
      <c r="W879" s="164"/>
      <c r="X879" s="164"/>
    </row>
    <row r="880">
      <c r="A880" s="189"/>
      <c r="B880" s="190"/>
      <c r="C880" s="164"/>
      <c r="D880" s="164"/>
      <c r="E880" s="164"/>
      <c r="F880" s="164"/>
      <c r="G880" s="186"/>
      <c r="H880" s="181"/>
      <c r="I880" s="163" t="str">
        <f>IFERROR(__xludf.DUMMYFUNCTION("""COMPUTED_VALUE"""),"")</f>
        <v/>
      </c>
      <c r="J880" s="164"/>
      <c r="K880" s="164"/>
      <c r="L880" s="164"/>
      <c r="M880" s="165"/>
      <c r="N880" s="164"/>
      <c r="O880" s="164"/>
      <c r="P880" s="164"/>
      <c r="Q880" s="164"/>
      <c r="R880" s="164"/>
      <c r="S880" s="163" t="str">
        <f>IFERROR(__xludf.DUMMYFUNCTION("""COMPUTED_VALUE"""),"")</f>
        <v/>
      </c>
      <c r="T880" s="164"/>
      <c r="U880" s="164"/>
      <c r="V880" s="164"/>
      <c r="W880" s="164"/>
      <c r="X880" s="164"/>
    </row>
    <row r="881">
      <c r="A881" s="189"/>
      <c r="B881" s="190"/>
      <c r="C881" s="164"/>
      <c r="D881" s="164"/>
      <c r="E881" s="164"/>
      <c r="F881" s="164"/>
      <c r="G881" s="186"/>
      <c r="H881" s="181"/>
      <c r="I881" s="163" t="str">
        <f>IFERROR(__xludf.DUMMYFUNCTION("""COMPUTED_VALUE"""),"")</f>
        <v/>
      </c>
      <c r="J881" s="164"/>
      <c r="K881" s="164"/>
      <c r="L881" s="164"/>
      <c r="M881" s="165"/>
      <c r="N881" s="164"/>
      <c r="O881" s="164"/>
      <c r="P881" s="164"/>
      <c r="Q881" s="164"/>
      <c r="R881" s="164"/>
      <c r="S881" s="163" t="str">
        <f>IFERROR(__xludf.DUMMYFUNCTION("""COMPUTED_VALUE"""),"")</f>
        <v/>
      </c>
      <c r="T881" s="164"/>
      <c r="U881" s="164"/>
      <c r="V881" s="164"/>
      <c r="W881" s="164"/>
      <c r="X881" s="164"/>
    </row>
    <row r="882">
      <c r="A882" s="189"/>
      <c r="B882" s="190"/>
      <c r="C882" s="164"/>
      <c r="D882" s="164"/>
      <c r="E882" s="164"/>
      <c r="F882" s="164"/>
      <c r="G882" s="186"/>
      <c r="H882" s="181"/>
      <c r="I882" s="163" t="str">
        <f>IFERROR(__xludf.DUMMYFUNCTION("""COMPUTED_VALUE"""),"")</f>
        <v/>
      </c>
      <c r="J882" s="164"/>
      <c r="K882" s="164"/>
      <c r="L882" s="164"/>
      <c r="M882" s="165"/>
      <c r="N882" s="164"/>
      <c r="O882" s="164"/>
      <c r="P882" s="164"/>
      <c r="Q882" s="164"/>
      <c r="R882" s="164"/>
      <c r="S882" s="163" t="str">
        <f>IFERROR(__xludf.DUMMYFUNCTION("""COMPUTED_VALUE"""),"")</f>
        <v/>
      </c>
      <c r="T882" s="164"/>
      <c r="U882" s="164"/>
      <c r="V882" s="164"/>
      <c r="W882" s="164"/>
      <c r="X882" s="164"/>
    </row>
    <row r="883">
      <c r="A883" s="189"/>
      <c r="B883" s="190"/>
      <c r="C883" s="164"/>
      <c r="D883" s="164"/>
      <c r="E883" s="164"/>
      <c r="F883" s="164"/>
      <c r="G883" s="186"/>
      <c r="H883" s="181"/>
      <c r="I883" s="163" t="str">
        <f>IFERROR(__xludf.DUMMYFUNCTION("""COMPUTED_VALUE"""),"")</f>
        <v/>
      </c>
      <c r="J883" s="164"/>
      <c r="K883" s="164"/>
      <c r="L883" s="164"/>
      <c r="M883" s="165"/>
      <c r="N883" s="164"/>
      <c r="O883" s="164"/>
      <c r="P883" s="164"/>
      <c r="Q883" s="164"/>
      <c r="R883" s="164"/>
      <c r="S883" s="163" t="str">
        <f>IFERROR(__xludf.DUMMYFUNCTION("""COMPUTED_VALUE"""),"")</f>
        <v/>
      </c>
      <c r="T883" s="164"/>
      <c r="U883" s="164"/>
      <c r="V883" s="164"/>
      <c r="W883" s="164"/>
      <c r="X883" s="164"/>
    </row>
    <row r="884">
      <c r="A884" s="189"/>
      <c r="B884" s="190"/>
      <c r="C884" s="164"/>
      <c r="D884" s="164"/>
      <c r="E884" s="164"/>
      <c r="F884" s="164"/>
      <c r="G884" s="186"/>
      <c r="H884" s="181"/>
      <c r="I884" s="163" t="str">
        <f>IFERROR(__xludf.DUMMYFUNCTION("""COMPUTED_VALUE"""),"")</f>
        <v/>
      </c>
      <c r="J884" s="164"/>
      <c r="K884" s="164"/>
      <c r="L884" s="164"/>
      <c r="M884" s="165"/>
      <c r="N884" s="164"/>
      <c r="O884" s="164"/>
      <c r="P884" s="164"/>
      <c r="Q884" s="164"/>
      <c r="R884" s="164"/>
      <c r="S884" s="163" t="str">
        <f>IFERROR(__xludf.DUMMYFUNCTION("""COMPUTED_VALUE"""),"")</f>
        <v/>
      </c>
      <c r="T884" s="164"/>
      <c r="U884" s="164"/>
      <c r="V884" s="164"/>
      <c r="W884" s="164"/>
      <c r="X884" s="164"/>
    </row>
    <row r="885">
      <c r="A885" s="189"/>
      <c r="B885" s="190"/>
      <c r="C885" s="164"/>
      <c r="D885" s="164"/>
      <c r="E885" s="164"/>
      <c r="F885" s="164"/>
      <c r="G885" s="186"/>
      <c r="H885" s="181"/>
      <c r="I885" s="163" t="str">
        <f>IFERROR(__xludf.DUMMYFUNCTION("""COMPUTED_VALUE"""),"")</f>
        <v/>
      </c>
      <c r="J885" s="164"/>
      <c r="K885" s="164"/>
      <c r="L885" s="164"/>
      <c r="M885" s="165"/>
      <c r="N885" s="164"/>
      <c r="O885" s="164"/>
      <c r="P885" s="164"/>
      <c r="Q885" s="164"/>
      <c r="R885" s="164"/>
      <c r="S885" s="163" t="str">
        <f>IFERROR(__xludf.DUMMYFUNCTION("""COMPUTED_VALUE"""),"")</f>
        <v/>
      </c>
      <c r="T885" s="164"/>
      <c r="U885" s="164"/>
      <c r="V885" s="164"/>
      <c r="W885" s="164"/>
      <c r="X885" s="164"/>
    </row>
    <row r="886">
      <c r="A886" s="189"/>
      <c r="B886" s="190"/>
      <c r="C886" s="164"/>
      <c r="D886" s="164"/>
      <c r="E886" s="164"/>
      <c r="F886" s="164"/>
      <c r="G886" s="186"/>
      <c r="H886" s="181"/>
      <c r="I886" s="163" t="str">
        <f>IFERROR(__xludf.DUMMYFUNCTION("""COMPUTED_VALUE"""),"")</f>
        <v/>
      </c>
      <c r="J886" s="164"/>
      <c r="K886" s="164"/>
      <c r="L886" s="164"/>
      <c r="M886" s="165"/>
      <c r="N886" s="164"/>
      <c r="O886" s="164"/>
      <c r="P886" s="164"/>
      <c r="Q886" s="164"/>
      <c r="R886" s="164"/>
      <c r="S886" s="163" t="str">
        <f>IFERROR(__xludf.DUMMYFUNCTION("""COMPUTED_VALUE"""),"")</f>
        <v/>
      </c>
      <c r="T886" s="164"/>
      <c r="U886" s="164"/>
      <c r="V886" s="164"/>
      <c r="W886" s="164"/>
      <c r="X886" s="164"/>
    </row>
    <row r="887">
      <c r="A887" s="189"/>
      <c r="B887" s="190"/>
      <c r="C887" s="164"/>
      <c r="D887" s="164"/>
      <c r="E887" s="164"/>
      <c r="F887" s="164"/>
      <c r="G887" s="186"/>
      <c r="H887" s="181"/>
      <c r="I887" s="163" t="str">
        <f>IFERROR(__xludf.DUMMYFUNCTION("""COMPUTED_VALUE"""),"")</f>
        <v/>
      </c>
      <c r="J887" s="164"/>
      <c r="K887" s="164"/>
      <c r="L887" s="164"/>
      <c r="M887" s="165"/>
      <c r="N887" s="164"/>
      <c r="O887" s="164"/>
      <c r="P887" s="164"/>
      <c r="Q887" s="164"/>
      <c r="R887" s="164"/>
      <c r="S887" s="163" t="str">
        <f>IFERROR(__xludf.DUMMYFUNCTION("""COMPUTED_VALUE"""),"")</f>
        <v/>
      </c>
      <c r="T887" s="164"/>
      <c r="U887" s="164"/>
      <c r="V887" s="164"/>
      <c r="W887" s="164"/>
      <c r="X887" s="164"/>
    </row>
    <row r="888">
      <c r="A888" s="189"/>
      <c r="B888" s="190"/>
      <c r="C888" s="164"/>
      <c r="D888" s="164"/>
      <c r="E888" s="164"/>
      <c r="F888" s="164"/>
      <c r="G888" s="186"/>
      <c r="H888" s="181"/>
      <c r="I888" s="163" t="str">
        <f>IFERROR(__xludf.DUMMYFUNCTION("""COMPUTED_VALUE"""),"")</f>
        <v/>
      </c>
      <c r="J888" s="164"/>
      <c r="K888" s="164"/>
      <c r="L888" s="164"/>
      <c r="M888" s="165"/>
      <c r="N888" s="164"/>
      <c r="O888" s="164"/>
      <c r="P888" s="164"/>
      <c r="Q888" s="164"/>
      <c r="R888" s="164"/>
      <c r="S888" s="163" t="str">
        <f>IFERROR(__xludf.DUMMYFUNCTION("""COMPUTED_VALUE"""),"")</f>
        <v/>
      </c>
      <c r="T888" s="164"/>
      <c r="U888" s="164"/>
      <c r="V888" s="164"/>
      <c r="W888" s="164"/>
      <c r="X888" s="164"/>
    </row>
    <row r="889">
      <c r="A889" s="189"/>
      <c r="B889" s="190"/>
      <c r="C889" s="164"/>
      <c r="D889" s="164"/>
      <c r="E889" s="164"/>
      <c r="F889" s="164"/>
      <c r="G889" s="186"/>
      <c r="H889" s="181"/>
      <c r="I889" s="163" t="str">
        <f>IFERROR(__xludf.DUMMYFUNCTION("""COMPUTED_VALUE"""),"")</f>
        <v/>
      </c>
      <c r="J889" s="164"/>
      <c r="K889" s="164"/>
      <c r="L889" s="164"/>
      <c r="M889" s="165"/>
      <c r="N889" s="164"/>
      <c r="O889" s="164"/>
      <c r="P889" s="164"/>
      <c r="Q889" s="164"/>
      <c r="R889" s="164"/>
      <c r="S889" s="163" t="str">
        <f>IFERROR(__xludf.DUMMYFUNCTION("""COMPUTED_VALUE"""),"")</f>
        <v/>
      </c>
      <c r="T889" s="164"/>
      <c r="U889" s="164"/>
      <c r="V889" s="164"/>
      <c r="W889" s="164"/>
      <c r="X889" s="164"/>
    </row>
    <row r="890">
      <c r="A890" s="189"/>
      <c r="B890" s="190"/>
      <c r="C890" s="164"/>
      <c r="D890" s="164"/>
      <c r="E890" s="164"/>
      <c r="F890" s="164"/>
      <c r="G890" s="186"/>
      <c r="H890" s="181"/>
      <c r="I890" s="163" t="str">
        <f>IFERROR(__xludf.DUMMYFUNCTION("""COMPUTED_VALUE"""),"")</f>
        <v/>
      </c>
      <c r="J890" s="164"/>
      <c r="K890" s="164"/>
      <c r="L890" s="164"/>
      <c r="M890" s="165"/>
      <c r="N890" s="164"/>
      <c r="O890" s="164"/>
      <c r="P890" s="164"/>
      <c r="Q890" s="164"/>
      <c r="R890" s="164"/>
      <c r="S890" s="163" t="str">
        <f>IFERROR(__xludf.DUMMYFUNCTION("""COMPUTED_VALUE"""),"")</f>
        <v/>
      </c>
      <c r="T890" s="164"/>
      <c r="U890" s="164"/>
      <c r="V890" s="164"/>
      <c r="W890" s="164"/>
      <c r="X890" s="164"/>
    </row>
    <row r="891">
      <c r="A891" s="189"/>
      <c r="B891" s="190"/>
      <c r="C891" s="164"/>
      <c r="D891" s="164"/>
      <c r="E891" s="164"/>
      <c r="F891" s="164"/>
      <c r="G891" s="186"/>
      <c r="H891" s="181"/>
      <c r="I891" s="163" t="str">
        <f>IFERROR(__xludf.DUMMYFUNCTION("""COMPUTED_VALUE"""),"")</f>
        <v/>
      </c>
      <c r="J891" s="164"/>
      <c r="K891" s="164"/>
      <c r="L891" s="164"/>
      <c r="M891" s="165"/>
      <c r="N891" s="164"/>
      <c r="O891" s="164"/>
      <c r="P891" s="164"/>
      <c r="Q891" s="164"/>
      <c r="R891" s="164"/>
      <c r="S891" s="163" t="str">
        <f>IFERROR(__xludf.DUMMYFUNCTION("""COMPUTED_VALUE"""),"")</f>
        <v/>
      </c>
      <c r="T891" s="164"/>
      <c r="U891" s="164"/>
      <c r="V891" s="164"/>
      <c r="W891" s="164"/>
      <c r="X891" s="164"/>
    </row>
    <row r="892">
      <c r="A892" s="189"/>
      <c r="B892" s="190"/>
      <c r="C892" s="164"/>
      <c r="D892" s="164"/>
      <c r="E892" s="164"/>
      <c r="F892" s="164"/>
      <c r="G892" s="186"/>
      <c r="H892" s="181"/>
      <c r="I892" s="163" t="str">
        <f>IFERROR(__xludf.DUMMYFUNCTION("""COMPUTED_VALUE"""),"")</f>
        <v/>
      </c>
      <c r="J892" s="164"/>
      <c r="K892" s="164"/>
      <c r="L892" s="164"/>
      <c r="M892" s="165"/>
      <c r="N892" s="164"/>
      <c r="O892" s="164"/>
      <c r="P892" s="164"/>
      <c r="Q892" s="164"/>
      <c r="R892" s="164"/>
      <c r="S892" s="163" t="str">
        <f>IFERROR(__xludf.DUMMYFUNCTION("""COMPUTED_VALUE"""),"")</f>
        <v/>
      </c>
      <c r="T892" s="164"/>
      <c r="U892" s="164"/>
      <c r="V892" s="164"/>
      <c r="W892" s="164"/>
      <c r="X892" s="164"/>
    </row>
    <row r="893">
      <c r="A893" s="189"/>
      <c r="B893" s="190"/>
      <c r="C893" s="164"/>
      <c r="D893" s="164"/>
      <c r="E893" s="164"/>
      <c r="F893" s="164"/>
      <c r="G893" s="186"/>
      <c r="H893" s="181"/>
      <c r="I893" s="163" t="str">
        <f>IFERROR(__xludf.DUMMYFUNCTION("""COMPUTED_VALUE"""),"")</f>
        <v/>
      </c>
      <c r="J893" s="164"/>
      <c r="K893" s="164"/>
      <c r="L893" s="164"/>
      <c r="M893" s="165"/>
      <c r="N893" s="164"/>
      <c r="O893" s="164"/>
      <c r="P893" s="164"/>
      <c r="Q893" s="164"/>
      <c r="R893" s="164"/>
      <c r="S893" s="163" t="str">
        <f>IFERROR(__xludf.DUMMYFUNCTION("""COMPUTED_VALUE"""),"")</f>
        <v/>
      </c>
      <c r="T893" s="164"/>
      <c r="U893" s="164"/>
      <c r="V893" s="164"/>
      <c r="W893" s="164"/>
      <c r="X893" s="164"/>
    </row>
    <row r="894">
      <c r="A894" s="189"/>
      <c r="B894" s="190"/>
      <c r="C894" s="164"/>
      <c r="D894" s="164"/>
      <c r="E894" s="164"/>
      <c r="F894" s="164"/>
      <c r="G894" s="186"/>
      <c r="H894" s="181"/>
      <c r="I894" s="163" t="str">
        <f>IFERROR(__xludf.DUMMYFUNCTION("""COMPUTED_VALUE"""),"")</f>
        <v/>
      </c>
      <c r="J894" s="164"/>
      <c r="K894" s="164"/>
      <c r="L894" s="164"/>
      <c r="M894" s="165"/>
      <c r="N894" s="164"/>
      <c r="O894" s="164"/>
      <c r="P894" s="164"/>
      <c r="Q894" s="164"/>
      <c r="R894" s="164"/>
      <c r="S894" s="163" t="str">
        <f>IFERROR(__xludf.DUMMYFUNCTION("""COMPUTED_VALUE"""),"")</f>
        <v/>
      </c>
      <c r="T894" s="164"/>
      <c r="U894" s="164"/>
      <c r="V894" s="164"/>
      <c r="W894" s="164"/>
      <c r="X894" s="164"/>
    </row>
    <row r="895">
      <c r="A895" s="189"/>
      <c r="B895" s="190"/>
      <c r="C895" s="164"/>
      <c r="D895" s="164"/>
      <c r="E895" s="164"/>
      <c r="F895" s="164"/>
      <c r="G895" s="186"/>
      <c r="H895" s="181"/>
      <c r="I895" s="163" t="str">
        <f>IFERROR(__xludf.DUMMYFUNCTION("""COMPUTED_VALUE"""),"")</f>
        <v/>
      </c>
      <c r="J895" s="164"/>
      <c r="K895" s="164"/>
      <c r="L895" s="164"/>
      <c r="M895" s="165"/>
      <c r="N895" s="164"/>
      <c r="O895" s="164"/>
      <c r="P895" s="164"/>
      <c r="Q895" s="164"/>
      <c r="R895" s="164"/>
      <c r="S895" s="163" t="str">
        <f>IFERROR(__xludf.DUMMYFUNCTION("""COMPUTED_VALUE"""),"")</f>
        <v/>
      </c>
      <c r="T895" s="164"/>
      <c r="U895" s="164"/>
      <c r="V895" s="164"/>
      <c r="W895" s="164"/>
      <c r="X895" s="164"/>
    </row>
    <row r="896">
      <c r="A896" s="189"/>
      <c r="B896" s="190"/>
      <c r="C896" s="164"/>
      <c r="D896" s="164"/>
      <c r="E896" s="164"/>
      <c r="F896" s="164"/>
      <c r="G896" s="186"/>
      <c r="H896" s="181"/>
      <c r="I896" s="163" t="str">
        <f>IFERROR(__xludf.DUMMYFUNCTION("""COMPUTED_VALUE"""),"")</f>
        <v/>
      </c>
      <c r="J896" s="164"/>
      <c r="K896" s="164"/>
      <c r="L896" s="164"/>
      <c r="M896" s="165"/>
      <c r="N896" s="164"/>
      <c r="O896" s="164"/>
      <c r="P896" s="164"/>
      <c r="Q896" s="164"/>
      <c r="R896" s="164"/>
      <c r="S896" s="163" t="str">
        <f>IFERROR(__xludf.DUMMYFUNCTION("""COMPUTED_VALUE"""),"")</f>
        <v/>
      </c>
      <c r="T896" s="164"/>
      <c r="U896" s="164"/>
      <c r="V896" s="164"/>
      <c r="W896" s="164"/>
      <c r="X896" s="164"/>
    </row>
    <row r="897">
      <c r="A897" s="189"/>
      <c r="B897" s="190"/>
      <c r="C897" s="164"/>
      <c r="D897" s="164"/>
      <c r="E897" s="164"/>
      <c r="F897" s="164"/>
      <c r="G897" s="186"/>
      <c r="H897" s="181"/>
      <c r="I897" s="163" t="str">
        <f>IFERROR(__xludf.DUMMYFUNCTION("""COMPUTED_VALUE"""),"")</f>
        <v/>
      </c>
      <c r="J897" s="164"/>
      <c r="K897" s="164"/>
      <c r="L897" s="164"/>
      <c r="M897" s="165"/>
      <c r="N897" s="164"/>
      <c r="O897" s="164"/>
      <c r="P897" s="164"/>
      <c r="Q897" s="164"/>
      <c r="R897" s="164"/>
      <c r="S897" s="163" t="str">
        <f>IFERROR(__xludf.DUMMYFUNCTION("""COMPUTED_VALUE"""),"")</f>
        <v/>
      </c>
      <c r="T897" s="164"/>
      <c r="U897" s="164"/>
      <c r="V897" s="164"/>
      <c r="W897" s="164"/>
      <c r="X897" s="164"/>
    </row>
    <row r="898">
      <c r="A898" s="189"/>
      <c r="B898" s="190"/>
      <c r="C898" s="164"/>
      <c r="D898" s="164"/>
      <c r="E898" s="164"/>
      <c r="F898" s="164"/>
      <c r="G898" s="186"/>
      <c r="H898" s="181"/>
      <c r="I898" s="163" t="str">
        <f>IFERROR(__xludf.DUMMYFUNCTION("""COMPUTED_VALUE"""),"")</f>
        <v/>
      </c>
      <c r="J898" s="164"/>
      <c r="K898" s="164"/>
      <c r="L898" s="164"/>
      <c r="M898" s="165"/>
      <c r="N898" s="164"/>
      <c r="O898" s="164"/>
      <c r="P898" s="164"/>
      <c r="Q898" s="164"/>
      <c r="R898" s="164"/>
      <c r="S898" s="163" t="str">
        <f>IFERROR(__xludf.DUMMYFUNCTION("""COMPUTED_VALUE"""),"")</f>
        <v/>
      </c>
      <c r="T898" s="164"/>
      <c r="U898" s="164"/>
      <c r="V898" s="164"/>
      <c r="W898" s="164"/>
      <c r="X898" s="164"/>
    </row>
    <row r="899">
      <c r="A899" s="189"/>
      <c r="B899" s="190"/>
      <c r="C899" s="164"/>
      <c r="D899" s="164"/>
      <c r="E899" s="164"/>
      <c r="F899" s="164"/>
      <c r="G899" s="186"/>
      <c r="H899" s="181"/>
      <c r="I899" s="163" t="str">
        <f>IFERROR(__xludf.DUMMYFUNCTION("""COMPUTED_VALUE"""),"")</f>
        <v/>
      </c>
      <c r="J899" s="164"/>
      <c r="K899" s="164"/>
      <c r="L899" s="164"/>
      <c r="M899" s="165"/>
      <c r="N899" s="164"/>
      <c r="O899" s="164"/>
      <c r="P899" s="164"/>
      <c r="Q899" s="164"/>
      <c r="R899" s="164"/>
      <c r="S899" s="163" t="str">
        <f>IFERROR(__xludf.DUMMYFUNCTION("""COMPUTED_VALUE"""),"")</f>
        <v/>
      </c>
      <c r="T899" s="164"/>
      <c r="U899" s="164"/>
      <c r="V899" s="164"/>
      <c r="W899" s="164"/>
      <c r="X899" s="164"/>
    </row>
    <row r="900">
      <c r="A900" s="189"/>
      <c r="B900" s="190"/>
      <c r="C900" s="164"/>
      <c r="D900" s="164"/>
      <c r="E900" s="164"/>
      <c r="F900" s="164"/>
      <c r="G900" s="186"/>
      <c r="H900" s="181"/>
      <c r="I900" s="163" t="str">
        <f>IFERROR(__xludf.DUMMYFUNCTION("""COMPUTED_VALUE"""),"")</f>
        <v/>
      </c>
      <c r="J900" s="164"/>
      <c r="K900" s="164"/>
      <c r="L900" s="164"/>
      <c r="M900" s="165"/>
      <c r="N900" s="164"/>
      <c r="O900" s="164"/>
      <c r="P900" s="164"/>
      <c r="Q900" s="164"/>
      <c r="R900" s="164"/>
      <c r="S900" s="163" t="str">
        <f>IFERROR(__xludf.DUMMYFUNCTION("""COMPUTED_VALUE"""),"")</f>
        <v/>
      </c>
      <c r="T900" s="164"/>
      <c r="U900" s="164"/>
      <c r="V900" s="164"/>
      <c r="W900" s="164"/>
      <c r="X900" s="164"/>
    </row>
    <row r="901">
      <c r="A901" s="189"/>
      <c r="B901" s="190"/>
      <c r="C901" s="164"/>
      <c r="D901" s="164"/>
      <c r="E901" s="164"/>
      <c r="F901" s="164"/>
      <c r="G901" s="186"/>
      <c r="H901" s="181"/>
      <c r="I901" s="163" t="str">
        <f>IFERROR(__xludf.DUMMYFUNCTION("""COMPUTED_VALUE"""),"")</f>
        <v/>
      </c>
      <c r="J901" s="164"/>
      <c r="K901" s="164"/>
      <c r="L901" s="164"/>
      <c r="M901" s="165"/>
      <c r="N901" s="164"/>
      <c r="O901" s="164"/>
      <c r="P901" s="164"/>
      <c r="Q901" s="164"/>
      <c r="R901" s="164"/>
      <c r="S901" s="163" t="str">
        <f>IFERROR(__xludf.DUMMYFUNCTION("""COMPUTED_VALUE"""),"")</f>
        <v/>
      </c>
      <c r="T901" s="164"/>
      <c r="U901" s="164"/>
      <c r="V901" s="164"/>
      <c r="W901" s="164"/>
      <c r="X901" s="164"/>
    </row>
    <row r="902">
      <c r="A902" s="189"/>
      <c r="B902" s="190"/>
      <c r="C902" s="164"/>
      <c r="D902" s="164"/>
      <c r="E902" s="164"/>
      <c r="F902" s="164"/>
      <c r="G902" s="186"/>
      <c r="H902" s="181"/>
      <c r="I902" s="163" t="str">
        <f>IFERROR(__xludf.DUMMYFUNCTION("""COMPUTED_VALUE"""),"")</f>
        <v/>
      </c>
      <c r="J902" s="164"/>
      <c r="K902" s="164"/>
      <c r="L902" s="164"/>
      <c r="M902" s="165"/>
      <c r="N902" s="164"/>
      <c r="O902" s="164"/>
      <c r="P902" s="164"/>
      <c r="Q902" s="164"/>
      <c r="R902" s="164"/>
      <c r="S902" s="163" t="str">
        <f>IFERROR(__xludf.DUMMYFUNCTION("""COMPUTED_VALUE"""),"")</f>
        <v/>
      </c>
      <c r="T902" s="164"/>
      <c r="U902" s="164"/>
      <c r="V902" s="164"/>
      <c r="W902" s="164"/>
      <c r="X902" s="164"/>
    </row>
    <row r="903">
      <c r="A903" s="189"/>
      <c r="B903" s="190"/>
      <c r="C903" s="164"/>
      <c r="D903" s="164"/>
      <c r="E903" s="164"/>
      <c r="F903" s="164"/>
      <c r="G903" s="186"/>
      <c r="H903" s="181"/>
      <c r="I903" s="163" t="str">
        <f>IFERROR(__xludf.DUMMYFUNCTION("""COMPUTED_VALUE"""),"")</f>
        <v/>
      </c>
      <c r="J903" s="164"/>
      <c r="K903" s="164"/>
      <c r="L903" s="164"/>
      <c r="M903" s="165"/>
      <c r="N903" s="164"/>
      <c r="O903" s="164"/>
      <c r="P903" s="164"/>
      <c r="Q903" s="164"/>
      <c r="R903" s="164"/>
      <c r="S903" s="163" t="str">
        <f>IFERROR(__xludf.DUMMYFUNCTION("""COMPUTED_VALUE"""),"")</f>
        <v/>
      </c>
      <c r="T903" s="164"/>
      <c r="U903" s="164"/>
      <c r="V903" s="164"/>
      <c r="W903" s="164"/>
      <c r="X903" s="164"/>
    </row>
    <row r="904">
      <c r="A904" s="189"/>
      <c r="B904" s="190"/>
      <c r="C904" s="164"/>
      <c r="D904" s="164"/>
      <c r="E904" s="164"/>
      <c r="F904" s="164"/>
      <c r="G904" s="186"/>
      <c r="H904" s="181"/>
      <c r="I904" s="163" t="str">
        <f>IFERROR(__xludf.DUMMYFUNCTION("""COMPUTED_VALUE"""),"")</f>
        <v/>
      </c>
      <c r="J904" s="164"/>
      <c r="K904" s="164"/>
      <c r="L904" s="164"/>
      <c r="M904" s="165"/>
      <c r="N904" s="164"/>
      <c r="O904" s="164"/>
      <c r="P904" s="164"/>
      <c r="Q904" s="164"/>
      <c r="R904" s="164"/>
      <c r="S904" s="163" t="str">
        <f>IFERROR(__xludf.DUMMYFUNCTION("""COMPUTED_VALUE"""),"")</f>
        <v/>
      </c>
      <c r="T904" s="164"/>
      <c r="U904" s="164"/>
      <c r="V904" s="164"/>
      <c r="W904" s="164"/>
      <c r="X904" s="164"/>
    </row>
    <row r="905">
      <c r="A905" s="189"/>
      <c r="B905" s="190"/>
      <c r="C905" s="164"/>
      <c r="D905" s="164"/>
      <c r="E905" s="164"/>
      <c r="F905" s="164"/>
      <c r="G905" s="186"/>
      <c r="H905" s="181"/>
      <c r="I905" s="163" t="str">
        <f>IFERROR(__xludf.DUMMYFUNCTION("""COMPUTED_VALUE"""),"")</f>
        <v/>
      </c>
      <c r="J905" s="164"/>
      <c r="K905" s="164"/>
      <c r="L905" s="164"/>
      <c r="M905" s="165"/>
      <c r="N905" s="164"/>
      <c r="O905" s="164"/>
      <c r="P905" s="164"/>
      <c r="Q905" s="164"/>
      <c r="R905" s="164"/>
      <c r="S905" s="163" t="str">
        <f>IFERROR(__xludf.DUMMYFUNCTION("""COMPUTED_VALUE"""),"")</f>
        <v/>
      </c>
      <c r="T905" s="164"/>
      <c r="U905" s="164"/>
      <c r="V905" s="164"/>
      <c r="W905" s="164"/>
      <c r="X905" s="164"/>
    </row>
    <row r="906">
      <c r="A906" s="189"/>
      <c r="B906" s="190"/>
      <c r="C906" s="164"/>
      <c r="D906" s="164"/>
      <c r="E906" s="164"/>
      <c r="F906" s="164"/>
      <c r="G906" s="186"/>
      <c r="H906" s="181"/>
      <c r="I906" s="163" t="str">
        <f>IFERROR(__xludf.DUMMYFUNCTION("""COMPUTED_VALUE"""),"")</f>
        <v/>
      </c>
      <c r="J906" s="164"/>
      <c r="K906" s="164"/>
      <c r="L906" s="164"/>
      <c r="M906" s="165"/>
      <c r="N906" s="164"/>
      <c r="O906" s="164"/>
      <c r="P906" s="164"/>
      <c r="Q906" s="164"/>
      <c r="R906" s="164"/>
      <c r="S906" s="163" t="str">
        <f>IFERROR(__xludf.DUMMYFUNCTION("""COMPUTED_VALUE"""),"")</f>
        <v/>
      </c>
      <c r="T906" s="164"/>
      <c r="U906" s="164"/>
      <c r="V906" s="164"/>
      <c r="W906" s="164"/>
      <c r="X906" s="164"/>
    </row>
    <row r="907">
      <c r="A907" s="189"/>
      <c r="B907" s="190"/>
      <c r="C907" s="164"/>
      <c r="D907" s="164"/>
      <c r="E907" s="164"/>
      <c r="F907" s="164"/>
      <c r="G907" s="186"/>
      <c r="H907" s="181"/>
      <c r="I907" s="163" t="str">
        <f>IFERROR(__xludf.DUMMYFUNCTION("""COMPUTED_VALUE"""),"")</f>
        <v/>
      </c>
      <c r="J907" s="164"/>
      <c r="K907" s="164"/>
      <c r="L907" s="164"/>
      <c r="M907" s="165"/>
      <c r="N907" s="164"/>
      <c r="O907" s="164"/>
      <c r="P907" s="164"/>
      <c r="Q907" s="164"/>
      <c r="R907" s="164"/>
      <c r="S907" s="163" t="str">
        <f>IFERROR(__xludf.DUMMYFUNCTION("""COMPUTED_VALUE"""),"")</f>
        <v/>
      </c>
      <c r="T907" s="164"/>
      <c r="U907" s="164"/>
      <c r="V907" s="164"/>
      <c r="W907" s="164"/>
      <c r="X907" s="164"/>
    </row>
    <row r="908">
      <c r="A908" s="189"/>
      <c r="B908" s="190"/>
      <c r="C908" s="164"/>
      <c r="D908" s="164"/>
      <c r="E908" s="164"/>
      <c r="F908" s="164"/>
      <c r="G908" s="186"/>
      <c r="H908" s="181"/>
      <c r="I908" s="163" t="str">
        <f>IFERROR(__xludf.DUMMYFUNCTION("""COMPUTED_VALUE"""),"")</f>
        <v/>
      </c>
      <c r="J908" s="164"/>
      <c r="K908" s="164"/>
      <c r="L908" s="164"/>
      <c r="M908" s="165"/>
      <c r="N908" s="164"/>
      <c r="O908" s="164"/>
      <c r="P908" s="164"/>
      <c r="Q908" s="164"/>
      <c r="R908" s="164"/>
      <c r="S908" s="163" t="str">
        <f>IFERROR(__xludf.DUMMYFUNCTION("""COMPUTED_VALUE"""),"")</f>
        <v/>
      </c>
      <c r="T908" s="164"/>
      <c r="U908" s="164"/>
      <c r="V908" s="164"/>
      <c r="W908" s="164"/>
      <c r="X908" s="164"/>
    </row>
    <row r="909">
      <c r="A909" s="189"/>
      <c r="B909" s="190"/>
      <c r="C909" s="164"/>
      <c r="D909" s="164"/>
      <c r="E909" s="164"/>
      <c r="F909" s="164"/>
      <c r="G909" s="186"/>
      <c r="H909" s="181"/>
      <c r="I909" s="163" t="str">
        <f>IFERROR(__xludf.DUMMYFUNCTION("""COMPUTED_VALUE"""),"")</f>
        <v/>
      </c>
      <c r="J909" s="164"/>
      <c r="K909" s="164"/>
      <c r="L909" s="164"/>
      <c r="M909" s="165"/>
      <c r="N909" s="164"/>
      <c r="O909" s="164"/>
      <c r="P909" s="164"/>
      <c r="Q909" s="164"/>
      <c r="R909" s="164"/>
      <c r="S909" s="163" t="str">
        <f>IFERROR(__xludf.DUMMYFUNCTION("""COMPUTED_VALUE"""),"")</f>
        <v/>
      </c>
      <c r="T909" s="164"/>
      <c r="U909" s="164"/>
      <c r="V909" s="164"/>
      <c r="W909" s="164"/>
      <c r="X909" s="164"/>
    </row>
    <row r="910">
      <c r="A910" s="189"/>
      <c r="B910" s="190"/>
      <c r="C910" s="164"/>
      <c r="D910" s="164"/>
      <c r="E910" s="164"/>
      <c r="F910" s="164"/>
      <c r="G910" s="186"/>
      <c r="H910" s="181"/>
      <c r="I910" s="163" t="str">
        <f>IFERROR(__xludf.DUMMYFUNCTION("""COMPUTED_VALUE"""),"")</f>
        <v/>
      </c>
      <c r="J910" s="164"/>
      <c r="K910" s="164"/>
      <c r="L910" s="164"/>
      <c r="M910" s="165"/>
      <c r="N910" s="164"/>
      <c r="O910" s="164"/>
      <c r="P910" s="164"/>
      <c r="Q910" s="164"/>
      <c r="R910" s="164"/>
      <c r="S910" s="163" t="str">
        <f>IFERROR(__xludf.DUMMYFUNCTION("""COMPUTED_VALUE"""),"")</f>
        <v/>
      </c>
      <c r="T910" s="164"/>
      <c r="U910" s="164"/>
      <c r="V910" s="164"/>
      <c r="W910" s="164"/>
      <c r="X910" s="164"/>
    </row>
    <row r="911">
      <c r="A911" s="189"/>
      <c r="B911" s="190"/>
      <c r="C911" s="164"/>
      <c r="D911" s="164"/>
      <c r="E911" s="164"/>
      <c r="F911" s="164"/>
      <c r="G911" s="186"/>
      <c r="H911" s="181"/>
      <c r="I911" s="163" t="str">
        <f>IFERROR(__xludf.DUMMYFUNCTION("""COMPUTED_VALUE"""),"")</f>
        <v/>
      </c>
      <c r="J911" s="164"/>
      <c r="K911" s="164"/>
      <c r="L911" s="164"/>
      <c r="M911" s="165"/>
      <c r="N911" s="164"/>
      <c r="O911" s="164"/>
      <c r="P911" s="164"/>
      <c r="Q911" s="164"/>
      <c r="R911" s="164"/>
      <c r="S911" s="163" t="str">
        <f>IFERROR(__xludf.DUMMYFUNCTION("""COMPUTED_VALUE"""),"")</f>
        <v/>
      </c>
      <c r="T911" s="164"/>
      <c r="U911" s="164"/>
      <c r="V911" s="164"/>
      <c r="W911" s="164"/>
      <c r="X911" s="164"/>
    </row>
    <row r="912">
      <c r="A912" s="189"/>
      <c r="B912" s="190"/>
      <c r="C912" s="164"/>
      <c r="D912" s="164"/>
      <c r="E912" s="164"/>
      <c r="F912" s="164"/>
      <c r="G912" s="186"/>
      <c r="H912" s="181"/>
      <c r="I912" s="163" t="str">
        <f>IFERROR(__xludf.DUMMYFUNCTION("""COMPUTED_VALUE"""),"")</f>
        <v/>
      </c>
      <c r="J912" s="164"/>
      <c r="K912" s="164"/>
      <c r="L912" s="164"/>
      <c r="M912" s="165"/>
      <c r="N912" s="164"/>
      <c r="O912" s="164"/>
      <c r="P912" s="164"/>
      <c r="Q912" s="164"/>
      <c r="R912" s="164"/>
      <c r="S912" s="163" t="str">
        <f>IFERROR(__xludf.DUMMYFUNCTION("""COMPUTED_VALUE"""),"")</f>
        <v/>
      </c>
      <c r="T912" s="164"/>
      <c r="U912" s="164"/>
      <c r="V912" s="164"/>
      <c r="W912" s="164"/>
      <c r="X912" s="164"/>
    </row>
    <row r="913">
      <c r="A913" s="189"/>
      <c r="B913" s="190"/>
      <c r="C913" s="164"/>
      <c r="D913" s="164"/>
      <c r="E913" s="164"/>
      <c r="F913" s="164"/>
      <c r="G913" s="186"/>
      <c r="H913" s="181"/>
      <c r="I913" s="163" t="str">
        <f>IFERROR(__xludf.DUMMYFUNCTION("""COMPUTED_VALUE"""),"")</f>
        <v/>
      </c>
      <c r="J913" s="164"/>
      <c r="K913" s="164"/>
      <c r="L913" s="164"/>
      <c r="M913" s="165"/>
      <c r="N913" s="164"/>
      <c r="O913" s="164"/>
      <c r="P913" s="164"/>
      <c r="Q913" s="164"/>
      <c r="R913" s="164"/>
      <c r="S913" s="163" t="str">
        <f>IFERROR(__xludf.DUMMYFUNCTION("""COMPUTED_VALUE"""),"")</f>
        <v/>
      </c>
      <c r="T913" s="164"/>
      <c r="U913" s="164"/>
      <c r="V913" s="164"/>
      <c r="W913" s="164"/>
      <c r="X913" s="164"/>
    </row>
    <row r="914">
      <c r="A914" s="189"/>
      <c r="B914" s="190"/>
      <c r="C914" s="164"/>
      <c r="D914" s="164"/>
      <c r="E914" s="164"/>
      <c r="F914" s="164"/>
      <c r="G914" s="186"/>
      <c r="H914" s="181"/>
      <c r="I914" s="163" t="str">
        <f>IFERROR(__xludf.DUMMYFUNCTION("""COMPUTED_VALUE"""),"")</f>
        <v/>
      </c>
      <c r="J914" s="164"/>
      <c r="K914" s="164"/>
      <c r="L914" s="164"/>
      <c r="M914" s="165"/>
      <c r="N914" s="164"/>
      <c r="O914" s="164"/>
      <c r="P914" s="164"/>
      <c r="Q914" s="164"/>
      <c r="R914" s="164"/>
      <c r="S914" s="163" t="str">
        <f>IFERROR(__xludf.DUMMYFUNCTION("""COMPUTED_VALUE"""),"")</f>
        <v/>
      </c>
      <c r="T914" s="164"/>
      <c r="U914" s="164"/>
      <c r="V914" s="164"/>
      <c r="W914" s="164"/>
      <c r="X914" s="164"/>
    </row>
    <row r="915">
      <c r="A915" s="189"/>
      <c r="B915" s="190"/>
      <c r="C915" s="164"/>
      <c r="D915" s="164"/>
      <c r="E915" s="164"/>
      <c r="F915" s="164"/>
      <c r="G915" s="186"/>
      <c r="H915" s="181"/>
      <c r="I915" s="163" t="str">
        <f>IFERROR(__xludf.DUMMYFUNCTION("""COMPUTED_VALUE"""),"")</f>
        <v/>
      </c>
      <c r="J915" s="164"/>
      <c r="K915" s="164"/>
      <c r="L915" s="164"/>
      <c r="M915" s="165"/>
      <c r="N915" s="164"/>
      <c r="O915" s="164"/>
      <c r="P915" s="164"/>
      <c r="Q915" s="164"/>
      <c r="R915" s="164"/>
      <c r="S915" s="163" t="str">
        <f>IFERROR(__xludf.DUMMYFUNCTION("""COMPUTED_VALUE"""),"")</f>
        <v/>
      </c>
      <c r="T915" s="164"/>
      <c r="U915" s="164"/>
      <c r="V915" s="164"/>
      <c r="W915" s="164"/>
      <c r="X915" s="164"/>
    </row>
    <row r="916">
      <c r="A916" s="189"/>
      <c r="B916" s="190"/>
      <c r="C916" s="164"/>
      <c r="D916" s="164"/>
      <c r="E916" s="164"/>
      <c r="F916" s="164"/>
      <c r="G916" s="186"/>
      <c r="H916" s="181"/>
      <c r="I916" s="163" t="str">
        <f>IFERROR(__xludf.DUMMYFUNCTION("""COMPUTED_VALUE"""),"")</f>
        <v/>
      </c>
      <c r="J916" s="164"/>
      <c r="K916" s="164"/>
      <c r="L916" s="164"/>
      <c r="M916" s="165"/>
      <c r="N916" s="164"/>
      <c r="O916" s="164"/>
      <c r="P916" s="164"/>
      <c r="Q916" s="164"/>
      <c r="R916" s="164"/>
      <c r="S916" s="163" t="str">
        <f>IFERROR(__xludf.DUMMYFUNCTION("""COMPUTED_VALUE"""),"")</f>
        <v/>
      </c>
      <c r="T916" s="164"/>
      <c r="U916" s="164"/>
      <c r="V916" s="164"/>
      <c r="W916" s="164"/>
      <c r="X916" s="164"/>
    </row>
    <row r="917">
      <c r="A917" s="189"/>
      <c r="B917" s="190"/>
      <c r="C917" s="164"/>
      <c r="D917" s="164"/>
      <c r="E917" s="164"/>
      <c r="F917" s="164"/>
      <c r="G917" s="186"/>
      <c r="H917" s="181"/>
      <c r="I917" s="163" t="str">
        <f>IFERROR(__xludf.DUMMYFUNCTION("""COMPUTED_VALUE"""),"")</f>
        <v/>
      </c>
      <c r="J917" s="164"/>
      <c r="K917" s="164"/>
      <c r="L917" s="164"/>
      <c r="M917" s="165"/>
      <c r="N917" s="164"/>
      <c r="O917" s="164"/>
      <c r="P917" s="164"/>
      <c r="Q917" s="164"/>
      <c r="R917" s="164"/>
      <c r="S917" s="163" t="str">
        <f>IFERROR(__xludf.DUMMYFUNCTION("""COMPUTED_VALUE"""),"")</f>
        <v/>
      </c>
      <c r="T917" s="164"/>
      <c r="U917" s="164"/>
      <c r="V917" s="164"/>
      <c r="W917" s="164"/>
      <c r="X917" s="164"/>
    </row>
    <row r="918">
      <c r="A918" s="189"/>
      <c r="B918" s="190"/>
      <c r="C918" s="164"/>
      <c r="D918" s="164"/>
      <c r="E918" s="164"/>
      <c r="F918" s="164"/>
      <c r="G918" s="186"/>
      <c r="H918" s="181"/>
      <c r="I918" s="163" t="str">
        <f>IFERROR(__xludf.DUMMYFUNCTION("""COMPUTED_VALUE"""),"")</f>
        <v/>
      </c>
      <c r="J918" s="164"/>
      <c r="K918" s="164"/>
      <c r="L918" s="164"/>
      <c r="M918" s="165"/>
      <c r="N918" s="164"/>
      <c r="O918" s="164"/>
      <c r="P918" s="164"/>
      <c r="Q918" s="164"/>
      <c r="R918" s="164"/>
      <c r="S918" s="163" t="str">
        <f>IFERROR(__xludf.DUMMYFUNCTION("""COMPUTED_VALUE"""),"")</f>
        <v/>
      </c>
      <c r="T918" s="164"/>
      <c r="U918" s="164"/>
      <c r="V918" s="164"/>
      <c r="W918" s="164"/>
      <c r="X918" s="164"/>
    </row>
    <row r="919">
      <c r="A919" s="189"/>
      <c r="B919" s="190"/>
      <c r="C919" s="164"/>
      <c r="D919" s="164"/>
      <c r="E919" s="164"/>
      <c r="F919" s="164"/>
      <c r="G919" s="186"/>
      <c r="H919" s="181"/>
      <c r="I919" s="163" t="str">
        <f>IFERROR(__xludf.DUMMYFUNCTION("""COMPUTED_VALUE"""),"")</f>
        <v/>
      </c>
      <c r="J919" s="164"/>
      <c r="K919" s="164"/>
      <c r="L919" s="164"/>
      <c r="M919" s="165"/>
      <c r="N919" s="164"/>
      <c r="O919" s="164"/>
      <c r="P919" s="164"/>
      <c r="Q919" s="164"/>
      <c r="R919" s="164"/>
      <c r="S919" s="163" t="str">
        <f>IFERROR(__xludf.DUMMYFUNCTION("""COMPUTED_VALUE"""),"")</f>
        <v/>
      </c>
      <c r="T919" s="164"/>
      <c r="U919" s="164"/>
      <c r="V919" s="164"/>
      <c r="W919" s="164"/>
      <c r="X919" s="164"/>
    </row>
    <row r="920">
      <c r="A920" s="189"/>
      <c r="B920" s="190"/>
      <c r="C920" s="164"/>
      <c r="D920" s="164"/>
      <c r="E920" s="164"/>
      <c r="F920" s="164"/>
      <c r="G920" s="186"/>
      <c r="H920" s="181"/>
      <c r="I920" s="163" t="str">
        <f>IFERROR(__xludf.DUMMYFUNCTION("""COMPUTED_VALUE"""),"")</f>
        <v/>
      </c>
      <c r="J920" s="164"/>
      <c r="K920" s="164"/>
      <c r="L920" s="164"/>
      <c r="M920" s="165"/>
      <c r="N920" s="164"/>
      <c r="O920" s="164"/>
      <c r="P920" s="164"/>
      <c r="Q920" s="164"/>
      <c r="R920" s="164"/>
      <c r="S920" s="163" t="str">
        <f>IFERROR(__xludf.DUMMYFUNCTION("""COMPUTED_VALUE"""),"")</f>
        <v/>
      </c>
      <c r="T920" s="164"/>
      <c r="U920" s="164"/>
      <c r="V920" s="164"/>
      <c r="W920" s="164"/>
      <c r="X920" s="164"/>
    </row>
    <row r="921">
      <c r="A921" s="189"/>
      <c r="B921" s="190"/>
      <c r="C921" s="164"/>
      <c r="D921" s="164"/>
      <c r="E921" s="164"/>
      <c r="F921" s="164"/>
      <c r="G921" s="186"/>
      <c r="H921" s="181"/>
      <c r="I921" s="163" t="str">
        <f>IFERROR(__xludf.DUMMYFUNCTION("""COMPUTED_VALUE"""),"")</f>
        <v/>
      </c>
      <c r="J921" s="164"/>
      <c r="K921" s="164"/>
      <c r="L921" s="164"/>
      <c r="M921" s="165"/>
      <c r="N921" s="164"/>
      <c r="O921" s="164"/>
      <c r="P921" s="164"/>
      <c r="Q921" s="164"/>
      <c r="R921" s="164"/>
      <c r="S921" s="163" t="str">
        <f>IFERROR(__xludf.DUMMYFUNCTION("""COMPUTED_VALUE"""),"")</f>
        <v/>
      </c>
      <c r="T921" s="164"/>
      <c r="U921" s="164"/>
      <c r="V921" s="164"/>
      <c r="W921" s="164"/>
      <c r="X921" s="164"/>
    </row>
    <row r="922">
      <c r="A922" s="189"/>
      <c r="B922" s="190"/>
      <c r="C922" s="164"/>
      <c r="D922" s="164"/>
      <c r="E922" s="164"/>
      <c r="F922" s="164"/>
      <c r="G922" s="186"/>
      <c r="H922" s="181"/>
      <c r="I922" s="163" t="str">
        <f>IFERROR(__xludf.DUMMYFUNCTION("""COMPUTED_VALUE"""),"")</f>
        <v/>
      </c>
      <c r="J922" s="164"/>
      <c r="K922" s="164"/>
      <c r="L922" s="164"/>
      <c r="M922" s="165"/>
      <c r="N922" s="164"/>
      <c r="O922" s="164"/>
      <c r="P922" s="164"/>
      <c r="Q922" s="164"/>
      <c r="R922" s="164"/>
      <c r="S922" s="163" t="str">
        <f>IFERROR(__xludf.DUMMYFUNCTION("""COMPUTED_VALUE"""),"")</f>
        <v/>
      </c>
      <c r="T922" s="164"/>
      <c r="U922" s="164"/>
      <c r="V922" s="164"/>
      <c r="W922" s="164"/>
      <c r="X922" s="164"/>
    </row>
    <row r="923">
      <c r="A923" s="189"/>
      <c r="B923" s="190"/>
      <c r="C923" s="164"/>
      <c r="D923" s="164"/>
      <c r="E923" s="164"/>
      <c r="F923" s="164"/>
      <c r="G923" s="186"/>
      <c r="H923" s="181"/>
      <c r="I923" s="163" t="str">
        <f>IFERROR(__xludf.DUMMYFUNCTION("""COMPUTED_VALUE"""),"")</f>
        <v/>
      </c>
      <c r="J923" s="164"/>
      <c r="K923" s="164"/>
      <c r="L923" s="164"/>
      <c r="M923" s="165"/>
      <c r="N923" s="164"/>
      <c r="O923" s="164"/>
      <c r="P923" s="164"/>
      <c r="Q923" s="164"/>
      <c r="R923" s="164"/>
      <c r="S923" s="163" t="str">
        <f>IFERROR(__xludf.DUMMYFUNCTION("""COMPUTED_VALUE"""),"")</f>
        <v/>
      </c>
      <c r="T923" s="164"/>
      <c r="U923" s="164"/>
      <c r="V923" s="164"/>
      <c r="W923" s="164"/>
      <c r="X923" s="164"/>
    </row>
    <row r="924">
      <c r="A924" s="189"/>
      <c r="B924" s="190"/>
      <c r="C924" s="164"/>
      <c r="D924" s="164"/>
      <c r="E924" s="164"/>
      <c r="F924" s="164"/>
      <c r="G924" s="186"/>
      <c r="H924" s="181"/>
      <c r="I924" s="163" t="str">
        <f>IFERROR(__xludf.DUMMYFUNCTION("""COMPUTED_VALUE"""),"")</f>
        <v/>
      </c>
      <c r="J924" s="164"/>
      <c r="K924" s="164"/>
      <c r="L924" s="164"/>
      <c r="M924" s="165"/>
      <c r="N924" s="164"/>
      <c r="O924" s="164"/>
      <c r="P924" s="164"/>
      <c r="Q924" s="164"/>
      <c r="R924" s="164"/>
      <c r="S924" s="163" t="str">
        <f>IFERROR(__xludf.DUMMYFUNCTION("""COMPUTED_VALUE"""),"")</f>
        <v/>
      </c>
      <c r="T924" s="164"/>
      <c r="U924" s="164"/>
      <c r="V924" s="164"/>
      <c r="W924" s="164"/>
      <c r="X924" s="164"/>
    </row>
    <row r="925">
      <c r="A925" s="189"/>
      <c r="B925" s="190"/>
      <c r="C925" s="164"/>
      <c r="D925" s="164"/>
      <c r="E925" s="164"/>
      <c r="F925" s="164"/>
      <c r="G925" s="186"/>
      <c r="H925" s="181"/>
      <c r="I925" s="163" t="str">
        <f>IFERROR(__xludf.DUMMYFUNCTION("""COMPUTED_VALUE"""),"")</f>
        <v/>
      </c>
      <c r="J925" s="164"/>
      <c r="K925" s="164"/>
      <c r="L925" s="164"/>
      <c r="M925" s="165"/>
      <c r="N925" s="164"/>
      <c r="O925" s="164"/>
      <c r="P925" s="164"/>
      <c r="Q925" s="164"/>
      <c r="R925" s="164"/>
      <c r="S925" s="163" t="str">
        <f>IFERROR(__xludf.DUMMYFUNCTION("""COMPUTED_VALUE"""),"")</f>
        <v/>
      </c>
      <c r="T925" s="164"/>
      <c r="U925" s="164"/>
      <c r="V925" s="164"/>
      <c r="W925" s="164"/>
      <c r="X925" s="164"/>
    </row>
    <row r="926">
      <c r="A926" s="189"/>
      <c r="B926" s="190"/>
      <c r="C926" s="164"/>
      <c r="D926" s="164"/>
      <c r="E926" s="164"/>
      <c r="F926" s="164"/>
      <c r="G926" s="186"/>
      <c r="H926" s="181"/>
      <c r="I926" s="163" t="str">
        <f>IFERROR(__xludf.DUMMYFUNCTION("""COMPUTED_VALUE"""),"")</f>
        <v/>
      </c>
      <c r="J926" s="164"/>
      <c r="K926" s="164"/>
      <c r="L926" s="164"/>
      <c r="M926" s="165"/>
      <c r="N926" s="164"/>
      <c r="O926" s="164"/>
      <c r="P926" s="164"/>
      <c r="Q926" s="164"/>
      <c r="R926" s="164"/>
      <c r="S926" s="163" t="str">
        <f>IFERROR(__xludf.DUMMYFUNCTION("""COMPUTED_VALUE"""),"")</f>
        <v/>
      </c>
      <c r="T926" s="164"/>
      <c r="U926" s="164"/>
      <c r="V926" s="164"/>
      <c r="W926" s="164"/>
      <c r="X926" s="164"/>
    </row>
    <row r="927">
      <c r="A927" s="189"/>
      <c r="B927" s="190"/>
      <c r="C927" s="164"/>
      <c r="D927" s="164"/>
      <c r="E927" s="164"/>
      <c r="F927" s="164"/>
      <c r="G927" s="186"/>
      <c r="H927" s="181"/>
      <c r="I927" s="163" t="str">
        <f>IFERROR(__xludf.DUMMYFUNCTION("""COMPUTED_VALUE"""),"")</f>
        <v/>
      </c>
      <c r="J927" s="164"/>
      <c r="K927" s="164"/>
      <c r="L927" s="164"/>
      <c r="M927" s="165"/>
      <c r="N927" s="164"/>
      <c r="O927" s="164"/>
      <c r="P927" s="164"/>
      <c r="Q927" s="164"/>
      <c r="R927" s="164"/>
      <c r="S927" s="163" t="str">
        <f>IFERROR(__xludf.DUMMYFUNCTION("""COMPUTED_VALUE"""),"")</f>
        <v/>
      </c>
      <c r="T927" s="164"/>
      <c r="U927" s="164"/>
      <c r="V927" s="164"/>
      <c r="W927" s="164"/>
      <c r="X927" s="164"/>
    </row>
    <row r="928">
      <c r="A928" s="189"/>
      <c r="B928" s="190"/>
      <c r="C928" s="164"/>
      <c r="D928" s="164"/>
      <c r="E928" s="164"/>
      <c r="F928" s="164"/>
      <c r="G928" s="186"/>
      <c r="H928" s="181"/>
      <c r="I928" s="163" t="str">
        <f>IFERROR(__xludf.DUMMYFUNCTION("""COMPUTED_VALUE"""),"")</f>
        <v/>
      </c>
      <c r="J928" s="164"/>
      <c r="K928" s="164"/>
      <c r="L928" s="164"/>
      <c r="M928" s="165"/>
      <c r="N928" s="164"/>
      <c r="O928" s="164"/>
      <c r="P928" s="164"/>
      <c r="Q928" s="164"/>
      <c r="R928" s="164"/>
      <c r="S928" s="163" t="str">
        <f>IFERROR(__xludf.DUMMYFUNCTION("""COMPUTED_VALUE"""),"")</f>
        <v/>
      </c>
      <c r="T928" s="164"/>
      <c r="U928" s="164"/>
      <c r="V928" s="164"/>
      <c r="W928" s="164"/>
      <c r="X928" s="164"/>
    </row>
    <row r="929">
      <c r="A929" s="189"/>
      <c r="B929" s="190"/>
      <c r="C929" s="164"/>
      <c r="D929" s="164"/>
      <c r="E929" s="164"/>
      <c r="F929" s="164"/>
      <c r="G929" s="186"/>
      <c r="H929" s="181"/>
      <c r="I929" s="163" t="str">
        <f>IFERROR(__xludf.DUMMYFUNCTION("""COMPUTED_VALUE"""),"")</f>
        <v/>
      </c>
      <c r="J929" s="164"/>
      <c r="K929" s="164"/>
      <c r="L929" s="164"/>
      <c r="M929" s="165"/>
      <c r="N929" s="164"/>
      <c r="O929" s="164"/>
      <c r="P929" s="164"/>
      <c r="Q929" s="164"/>
      <c r="R929" s="164"/>
      <c r="S929" s="163" t="str">
        <f>IFERROR(__xludf.DUMMYFUNCTION("""COMPUTED_VALUE"""),"")</f>
        <v/>
      </c>
      <c r="T929" s="164"/>
      <c r="U929" s="164"/>
      <c r="V929" s="164"/>
      <c r="W929" s="164"/>
      <c r="X929" s="164"/>
    </row>
    <row r="930">
      <c r="A930" s="189"/>
      <c r="B930" s="190"/>
      <c r="C930" s="164"/>
      <c r="D930" s="164"/>
      <c r="E930" s="164"/>
      <c r="F930" s="164"/>
      <c r="G930" s="186"/>
      <c r="H930" s="181"/>
      <c r="I930" s="163" t="str">
        <f>IFERROR(__xludf.DUMMYFUNCTION("""COMPUTED_VALUE"""),"")</f>
        <v/>
      </c>
      <c r="J930" s="164"/>
      <c r="K930" s="164"/>
      <c r="L930" s="164"/>
      <c r="M930" s="165"/>
      <c r="N930" s="164"/>
      <c r="O930" s="164"/>
      <c r="P930" s="164"/>
      <c r="Q930" s="164"/>
      <c r="R930" s="164"/>
      <c r="S930" s="163" t="str">
        <f>IFERROR(__xludf.DUMMYFUNCTION("""COMPUTED_VALUE"""),"")</f>
        <v/>
      </c>
      <c r="T930" s="164"/>
      <c r="U930" s="164"/>
      <c r="V930" s="164"/>
      <c r="W930" s="164"/>
      <c r="X930" s="164"/>
    </row>
    <row r="931">
      <c r="A931" s="189"/>
      <c r="B931" s="190"/>
      <c r="C931" s="164"/>
      <c r="D931" s="164"/>
      <c r="E931" s="164"/>
      <c r="F931" s="164"/>
      <c r="G931" s="186"/>
      <c r="H931" s="181"/>
      <c r="I931" s="163" t="str">
        <f>IFERROR(__xludf.DUMMYFUNCTION("""COMPUTED_VALUE"""),"")</f>
        <v/>
      </c>
      <c r="J931" s="164"/>
      <c r="K931" s="164"/>
      <c r="L931" s="164"/>
      <c r="M931" s="165"/>
      <c r="N931" s="164"/>
      <c r="O931" s="164"/>
      <c r="P931" s="164"/>
      <c r="Q931" s="164"/>
      <c r="R931" s="164"/>
      <c r="S931" s="163" t="str">
        <f>IFERROR(__xludf.DUMMYFUNCTION("""COMPUTED_VALUE"""),"")</f>
        <v/>
      </c>
      <c r="T931" s="164"/>
      <c r="U931" s="164"/>
      <c r="V931" s="164"/>
      <c r="W931" s="164"/>
      <c r="X931" s="164"/>
    </row>
    <row r="932">
      <c r="A932" s="189"/>
      <c r="B932" s="190"/>
      <c r="C932" s="164"/>
      <c r="D932" s="164"/>
      <c r="E932" s="164"/>
      <c r="F932" s="164"/>
      <c r="G932" s="186"/>
      <c r="H932" s="181"/>
      <c r="I932" s="163" t="str">
        <f>IFERROR(__xludf.DUMMYFUNCTION("""COMPUTED_VALUE"""),"")</f>
        <v/>
      </c>
      <c r="J932" s="164"/>
      <c r="K932" s="164"/>
      <c r="L932" s="164"/>
      <c r="M932" s="165"/>
      <c r="N932" s="164"/>
      <c r="O932" s="164"/>
      <c r="P932" s="164"/>
      <c r="Q932" s="164"/>
      <c r="R932" s="164"/>
      <c r="S932" s="163" t="str">
        <f>IFERROR(__xludf.DUMMYFUNCTION("""COMPUTED_VALUE"""),"")</f>
        <v/>
      </c>
      <c r="T932" s="164"/>
      <c r="U932" s="164"/>
      <c r="V932" s="164"/>
      <c r="W932" s="164"/>
      <c r="X932" s="164"/>
    </row>
    <row r="933">
      <c r="A933" s="189"/>
      <c r="B933" s="190"/>
      <c r="C933" s="164"/>
      <c r="D933" s="164"/>
      <c r="E933" s="164"/>
      <c r="F933" s="164"/>
      <c r="G933" s="186"/>
      <c r="H933" s="181"/>
      <c r="I933" s="163" t="str">
        <f>IFERROR(__xludf.DUMMYFUNCTION("""COMPUTED_VALUE"""),"")</f>
        <v/>
      </c>
      <c r="J933" s="164"/>
      <c r="K933" s="164"/>
      <c r="L933" s="164"/>
      <c r="M933" s="165"/>
      <c r="N933" s="164"/>
      <c r="O933" s="164"/>
      <c r="P933" s="164"/>
      <c r="Q933" s="164"/>
      <c r="R933" s="164"/>
      <c r="S933" s="163" t="str">
        <f>IFERROR(__xludf.DUMMYFUNCTION("""COMPUTED_VALUE"""),"")</f>
        <v/>
      </c>
      <c r="T933" s="164"/>
      <c r="U933" s="164"/>
      <c r="V933" s="164"/>
      <c r="W933" s="164"/>
      <c r="X933" s="164"/>
    </row>
    <row r="934">
      <c r="A934" s="189"/>
      <c r="B934" s="190"/>
      <c r="C934" s="164"/>
      <c r="D934" s="164"/>
      <c r="E934" s="164"/>
      <c r="F934" s="164"/>
      <c r="G934" s="186"/>
      <c r="H934" s="181"/>
      <c r="I934" s="163" t="str">
        <f>IFERROR(__xludf.DUMMYFUNCTION("""COMPUTED_VALUE"""),"")</f>
        <v/>
      </c>
      <c r="J934" s="164"/>
      <c r="K934" s="164"/>
      <c r="L934" s="164"/>
      <c r="M934" s="165"/>
      <c r="N934" s="164"/>
      <c r="O934" s="164"/>
      <c r="P934" s="164"/>
      <c r="Q934" s="164"/>
      <c r="R934" s="164"/>
      <c r="S934" s="163" t="str">
        <f>IFERROR(__xludf.DUMMYFUNCTION("""COMPUTED_VALUE"""),"")</f>
        <v/>
      </c>
      <c r="T934" s="164"/>
      <c r="U934" s="164"/>
      <c r="V934" s="164"/>
      <c r="W934" s="164"/>
      <c r="X934" s="164"/>
    </row>
    <row r="935">
      <c r="A935" s="189"/>
      <c r="B935" s="190"/>
      <c r="C935" s="164"/>
      <c r="D935" s="164"/>
      <c r="E935" s="164"/>
      <c r="F935" s="164"/>
      <c r="G935" s="186"/>
      <c r="H935" s="181"/>
      <c r="I935" s="163" t="str">
        <f>IFERROR(__xludf.DUMMYFUNCTION("""COMPUTED_VALUE"""),"")</f>
        <v/>
      </c>
      <c r="J935" s="164"/>
      <c r="K935" s="164"/>
      <c r="L935" s="164"/>
      <c r="M935" s="165"/>
      <c r="N935" s="164"/>
      <c r="O935" s="164"/>
      <c r="P935" s="164"/>
      <c r="Q935" s="164"/>
      <c r="R935" s="164"/>
      <c r="S935" s="163" t="str">
        <f>IFERROR(__xludf.DUMMYFUNCTION("""COMPUTED_VALUE"""),"")</f>
        <v/>
      </c>
      <c r="T935" s="164"/>
      <c r="U935" s="164"/>
      <c r="V935" s="164"/>
      <c r="W935" s="164"/>
      <c r="X935" s="164"/>
    </row>
    <row r="936">
      <c r="A936" s="189"/>
      <c r="B936" s="190"/>
      <c r="C936" s="164"/>
      <c r="D936" s="164"/>
      <c r="E936" s="164"/>
      <c r="F936" s="164"/>
      <c r="G936" s="186"/>
      <c r="H936" s="181"/>
      <c r="I936" s="163" t="str">
        <f>IFERROR(__xludf.DUMMYFUNCTION("""COMPUTED_VALUE"""),"")</f>
        <v/>
      </c>
      <c r="J936" s="164"/>
      <c r="K936" s="164"/>
      <c r="L936" s="164"/>
      <c r="M936" s="165"/>
      <c r="N936" s="164"/>
      <c r="O936" s="164"/>
      <c r="P936" s="164"/>
      <c r="Q936" s="164"/>
      <c r="R936" s="164"/>
      <c r="S936" s="163" t="str">
        <f>IFERROR(__xludf.DUMMYFUNCTION("""COMPUTED_VALUE"""),"")</f>
        <v/>
      </c>
      <c r="T936" s="164"/>
      <c r="U936" s="164"/>
      <c r="V936" s="164"/>
      <c r="W936" s="164"/>
      <c r="X936" s="164"/>
    </row>
    <row r="937">
      <c r="A937" s="189"/>
      <c r="B937" s="190"/>
      <c r="C937" s="164"/>
      <c r="D937" s="164"/>
      <c r="E937" s="164"/>
      <c r="F937" s="164"/>
      <c r="G937" s="186"/>
      <c r="H937" s="181"/>
      <c r="I937" s="163" t="str">
        <f>IFERROR(__xludf.DUMMYFUNCTION("""COMPUTED_VALUE"""),"")</f>
        <v/>
      </c>
      <c r="J937" s="164"/>
      <c r="K937" s="164"/>
      <c r="L937" s="164"/>
      <c r="M937" s="165"/>
      <c r="N937" s="164"/>
      <c r="O937" s="164"/>
      <c r="P937" s="164"/>
      <c r="Q937" s="164"/>
      <c r="R937" s="164"/>
      <c r="S937" s="163" t="str">
        <f>IFERROR(__xludf.DUMMYFUNCTION("""COMPUTED_VALUE"""),"")</f>
        <v/>
      </c>
      <c r="T937" s="164"/>
      <c r="U937" s="164"/>
      <c r="V937" s="164"/>
      <c r="W937" s="164"/>
      <c r="X937" s="164"/>
    </row>
    <row r="938">
      <c r="A938" s="189"/>
      <c r="B938" s="190"/>
      <c r="C938" s="164"/>
      <c r="D938" s="164"/>
      <c r="E938" s="164"/>
      <c r="F938" s="164"/>
      <c r="G938" s="186"/>
      <c r="H938" s="181"/>
      <c r="I938" s="163" t="str">
        <f>IFERROR(__xludf.DUMMYFUNCTION("""COMPUTED_VALUE"""),"")</f>
        <v/>
      </c>
      <c r="J938" s="164"/>
      <c r="K938" s="164"/>
      <c r="L938" s="164"/>
      <c r="M938" s="165"/>
      <c r="N938" s="164"/>
      <c r="O938" s="164"/>
      <c r="P938" s="164"/>
      <c r="Q938" s="164"/>
      <c r="R938" s="164"/>
      <c r="S938" s="163" t="str">
        <f>IFERROR(__xludf.DUMMYFUNCTION("""COMPUTED_VALUE"""),"")</f>
        <v/>
      </c>
      <c r="T938" s="164"/>
      <c r="U938" s="164"/>
      <c r="V938" s="164"/>
      <c r="W938" s="164"/>
      <c r="X938" s="164"/>
    </row>
    <row r="939">
      <c r="A939" s="189"/>
      <c r="B939" s="190"/>
      <c r="C939" s="164"/>
      <c r="D939" s="164"/>
      <c r="E939" s="164"/>
      <c r="F939" s="164"/>
      <c r="G939" s="186"/>
      <c r="H939" s="181"/>
      <c r="I939" s="163" t="str">
        <f>IFERROR(__xludf.DUMMYFUNCTION("""COMPUTED_VALUE"""),"")</f>
        <v/>
      </c>
      <c r="J939" s="164"/>
      <c r="K939" s="164"/>
      <c r="L939" s="164"/>
      <c r="M939" s="165"/>
      <c r="N939" s="164"/>
      <c r="O939" s="164"/>
      <c r="P939" s="164"/>
      <c r="Q939" s="164"/>
      <c r="R939" s="164"/>
      <c r="S939" s="163" t="str">
        <f>IFERROR(__xludf.DUMMYFUNCTION("""COMPUTED_VALUE"""),"")</f>
        <v/>
      </c>
      <c r="T939" s="164"/>
      <c r="U939" s="164"/>
      <c r="V939" s="164"/>
      <c r="W939" s="164"/>
      <c r="X939" s="164"/>
    </row>
    <row r="940">
      <c r="A940" s="189"/>
      <c r="B940" s="190"/>
      <c r="C940" s="164"/>
      <c r="D940" s="164"/>
      <c r="E940" s="164"/>
      <c r="F940" s="164"/>
      <c r="G940" s="186"/>
      <c r="H940" s="181"/>
      <c r="I940" s="163" t="str">
        <f>IFERROR(__xludf.DUMMYFUNCTION("""COMPUTED_VALUE"""),"")</f>
        <v/>
      </c>
      <c r="J940" s="164"/>
      <c r="K940" s="164"/>
      <c r="L940" s="164"/>
      <c r="M940" s="165"/>
      <c r="N940" s="164"/>
      <c r="O940" s="164"/>
      <c r="P940" s="164"/>
      <c r="Q940" s="164"/>
      <c r="R940" s="164"/>
      <c r="S940" s="163" t="str">
        <f>IFERROR(__xludf.DUMMYFUNCTION("""COMPUTED_VALUE"""),"")</f>
        <v/>
      </c>
      <c r="T940" s="164"/>
      <c r="U940" s="164"/>
      <c r="V940" s="164"/>
      <c r="W940" s="164"/>
      <c r="X940" s="164"/>
    </row>
    <row r="941">
      <c r="A941" s="189"/>
      <c r="B941" s="190"/>
      <c r="C941" s="164"/>
      <c r="D941" s="164"/>
      <c r="E941" s="164"/>
      <c r="F941" s="164"/>
      <c r="G941" s="186"/>
      <c r="H941" s="181"/>
      <c r="I941" s="163" t="str">
        <f>IFERROR(__xludf.DUMMYFUNCTION("""COMPUTED_VALUE"""),"")</f>
        <v/>
      </c>
      <c r="J941" s="164"/>
      <c r="K941" s="164"/>
      <c r="L941" s="164"/>
      <c r="M941" s="165"/>
      <c r="N941" s="164"/>
      <c r="O941" s="164"/>
      <c r="P941" s="164"/>
      <c r="Q941" s="164"/>
      <c r="R941" s="164"/>
      <c r="S941" s="163" t="str">
        <f>IFERROR(__xludf.DUMMYFUNCTION("""COMPUTED_VALUE"""),"")</f>
        <v/>
      </c>
      <c r="T941" s="164"/>
      <c r="U941" s="164"/>
      <c r="V941" s="164"/>
      <c r="W941" s="164"/>
      <c r="X941" s="164"/>
    </row>
    <row r="942">
      <c r="A942" s="189"/>
      <c r="B942" s="190"/>
      <c r="C942" s="164"/>
      <c r="D942" s="164"/>
      <c r="E942" s="164"/>
      <c r="F942" s="164"/>
      <c r="G942" s="186"/>
      <c r="H942" s="181"/>
      <c r="I942" s="163" t="str">
        <f>IFERROR(__xludf.DUMMYFUNCTION("""COMPUTED_VALUE"""),"")</f>
        <v/>
      </c>
      <c r="J942" s="164"/>
      <c r="K942" s="164"/>
      <c r="L942" s="164"/>
      <c r="M942" s="165"/>
      <c r="N942" s="164"/>
      <c r="O942" s="164"/>
      <c r="P942" s="164"/>
      <c r="Q942" s="164"/>
      <c r="R942" s="164"/>
      <c r="S942" s="163" t="str">
        <f>IFERROR(__xludf.DUMMYFUNCTION("""COMPUTED_VALUE"""),"")</f>
        <v/>
      </c>
      <c r="T942" s="164"/>
      <c r="U942" s="164"/>
      <c r="V942" s="164"/>
      <c r="W942" s="164"/>
      <c r="X942" s="164"/>
    </row>
    <row r="943">
      <c r="A943" s="189"/>
      <c r="B943" s="190"/>
      <c r="C943" s="164"/>
      <c r="D943" s="164"/>
      <c r="E943" s="164"/>
      <c r="F943" s="164"/>
      <c r="G943" s="186"/>
      <c r="H943" s="181"/>
      <c r="I943" s="163" t="str">
        <f>IFERROR(__xludf.DUMMYFUNCTION("""COMPUTED_VALUE"""),"")</f>
        <v/>
      </c>
      <c r="J943" s="164"/>
      <c r="K943" s="164"/>
      <c r="L943" s="164"/>
      <c r="M943" s="165"/>
      <c r="N943" s="164"/>
      <c r="O943" s="164"/>
      <c r="P943" s="164"/>
      <c r="Q943" s="164"/>
      <c r="R943" s="164"/>
      <c r="S943" s="163" t="str">
        <f>IFERROR(__xludf.DUMMYFUNCTION("""COMPUTED_VALUE"""),"")</f>
        <v/>
      </c>
      <c r="T943" s="164"/>
      <c r="U943" s="164"/>
      <c r="V943" s="164"/>
      <c r="W943" s="164"/>
      <c r="X943" s="164"/>
    </row>
    <row r="944">
      <c r="A944" s="189"/>
      <c r="B944" s="190"/>
      <c r="C944" s="164"/>
      <c r="D944" s="164"/>
      <c r="E944" s="164"/>
      <c r="F944" s="164"/>
      <c r="G944" s="186"/>
      <c r="H944" s="181"/>
      <c r="I944" s="163" t="str">
        <f>IFERROR(__xludf.DUMMYFUNCTION("""COMPUTED_VALUE"""),"")</f>
        <v/>
      </c>
      <c r="J944" s="164"/>
      <c r="K944" s="164"/>
      <c r="L944" s="164"/>
      <c r="M944" s="165"/>
      <c r="N944" s="164"/>
      <c r="O944" s="164"/>
      <c r="P944" s="164"/>
      <c r="Q944" s="164"/>
      <c r="R944" s="164"/>
      <c r="S944" s="163" t="str">
        <f>IFERROR(__xludf.DUMMYFUNCTION("""COMPUTED_VALUE"""),"")</f>
        <v/>
      </c>
      <c r="T944" s="164"/>
      <c r="U944" s="164"/>
      <c r="V944" s="164"/>
      <c r="W944" s="164"/>
      <c r="X944" s="164"/>
    </row>
    <row r="945">
      <c r="A945" s="189"/>
      <c r="B945" s="190"/>
      <c r="C945" s="164"/>
      <c r="D945" s="164"/>
      <c r="E945" s="164"/>
      <c r="F945" s="164"/>
      <c r="G945" s="186"/>
      <c r="H945" s="181"/>
      <c r="I945" s="163" t="str">
        <f>IFERROR(__xludf.DUMMYFUNCTION("""COMPUTED_VALUE"""),"")</f>
        <v/>
      </c>
      <c r="J945" s="164"/>
      <c r="K945" s="164"/>
      <c r="L945" s="164"/>
      <c r="M945" s="165"/>
      <c r="N945" s="164"/>
      <c r="O945" s="164"/>
      <c r="P945" s="164"/>
      <c r="Q945" s="164"/>
      <c r="R945" s="164"/>
      <c r="S945" s="163" t="str">
        <f>IFERROR(__xludf.DUMMYFUNCTION("""COMPUTED_VALUE"""),"")</f>
        <v/>
      </c>
      <c r="T945" s="164"/>
      <c r="U945" s="164"/>
      <c r="V945" s="164"/>
      <c r="W945" s="164"/>
      <c r="X945" s="164"/>
    </row>
    <row r="946">
      <c r="A946" s="189"/>
      <c r="B946" s="190"/>
      <c r="C946" s="164"/>
      <c r="D946" s="164"/>
      <c r="E946" s="164"/>
      <c r="F946" s="164"/>
      <c r="G946" s="186"/>
      <c r="H946" s="181"/>
      <c r="I946" s="163" t="str">
        <f>IFERROR(__xludf.DUMMYFUNCTION("""COMPUTED_VALUE"""),"")</f>
        <v/>
      </c>
      <c r="J946" s="164"/>
      <c r="K946" s="164"/>
      <c r="L946" s="164"/>
      <c r="M946" s="165"/>
      <c r="N946" s="164"/>
      <c r="O946" s="164"/>
      <c r="P946" s="164"/>
      <c r="Q946" s="164"/>
      <c r="R946" s="164"/>
      <c r="S946" s="163" t="str">
        <f>IFERROR(__xludf.DUMMYFUNCTION("""COMPUTED_VALUE"""),"")</f>
        <v/>
      </c>
      <c r="T946" s="164"/>
      <c r="U946" s="164"/>
      <c r="V946" s="164"/>
      <c r="W946" s="164"/>
      <c r="X946" s="164"/>
    </row>
    <row r="947">
      <c r="A947" s="189"/>
      <c r="B947" s="190"/>
      <c r="C947" s="164"/>
      <c r="D947" s="164"/>
      <c r="E947" s="164"/>
      <c r="F947" s="164"/>
      <c r="G947" s="186"/>
      <c r="H947" s="181"/>
      <c r="I947" s="163" t="str">
        <f>IFERROR(__xludf.DUMMYFUNCTION("""COMPUTED_VALUE"""),"")</f>
        <v/>
      </c>
      <c r="J947" s="164"/>
      <c r="K947" s="164"/>
      <c r="L947" s="164"/>
      <c r="M947" s="165"/>
      <c r="N947" s="164"/>
      <c r="O947" s="164"/>
      <c r="P947" s="164"/>
      <c r="Q947" s="164"/>
      <c r="R947" s="164"/>
      <c r="S947" s="163" t="str">
        <f>IFERROR(__xludf.DUMMYFUNCTION("""COMPUTED_VALUE"""),"")</f>
        <v/>
      </c>
      <c r="T947" s="164"/>
      <c r="U947" s="164"/>
      <c r="V947" s="164"/>
      <c r="W947" s="164"/>
      <c r="X947" s="164"/>
    </row>
    <row r="948">
      <c r="A948" s="189"/>
      <c r="B948" s="190"/>
      <c r="C948" s="164"/>
      <c r="D948" s="164"/>
      <c r="E948" s="164"/>
      <c r="F948" s="164"/>
      <c r="G948" s="186"/>
      <c r="H948" s="181"/>
      <c r="I948" s="163" t="str">
        <f>IFERROR(__xludf.DUMMYFUNCTION("""COMPUTED_VALUE"""),"")</f>
        <v/>
      </c>
      <c r="J948" s="164"/>
      <c r="K948" s="164"/>
      <c r="L948" s="164"/>
      <c r="M948" s="165"/>
      <c r="N948" s="164"/>
      <c r="O948" s="164"/>
      <c r="P948" s="164"/>
      <c r="Q948" s="164"/>
      <c r="R948" s="164"/>
      <c r="S948" s="163" t="str">
        <f>IFERROR(__xludf.DUMMYFUNCTION("""COMPUTED_VALUE"""),"")</f>
        <v/>
      </c>
      <c r="T948" s="164"/>
      <c r="U948" s="164"/>
      <c r="V948" s="164"/>
      <c r="W948" s="164"/>
      <c r="X948" s="164"/>
    </row>
    <row r="949">
      <c r="A949" s="189"/>
      <c r="B949" s="190"/>
      <c r="C949" s="164"/>
      <c r="D949" s="164"/>
      <c r="E949" s="164"/>
      <c r="F949" s="164"/>
      <c r="G949" s="186"/>
      <c r="H949" s="181"/>
      <c r="I949" s="163" t="str">
        <f>IFERROR(__xludf.DUMMYFUNCTION("""COMPUTED_VALUE"""),"")</f>
        <v/>
      </c>
      <c r="J949" s="164"/>
      <c r="K949" s="164"/>
      <c r="L949" s="164"/>
      <c r="M949" s="165"/>
      <c r="N949" s="164"/>
      <c r="O949" s="164"/>
      <c r="P949" s="164"/>
      <c r="Q949" s="164"/>
      <c r="R949" s="164"/>
      <c r="S949" s="163" t="str">
        <f>IFERROR(__xludf.DUMMYFUNCTION("""COMPUTED_VALUE"""),"")</f>
        <v/>
      </c>
      <c r="T949" s="164"/>
      <c r="U949" s="164"/>
      <c r="V949" s="164"/>
      <c r="W949" s="164"/>
      <c r="X949" s="164"/>
    </row>
    <row r="950">
      <c r="A950" s="189"/>
      <c r="B950" s="190"/>
      <c r="C950" s="164"/>
      <c r="D950" s="164"/>
      <c r="E950" s="164"/>
      <c r="F950" s="164"/>
      <c r="G950" s="186"/>
      <c r="H950" s="181"/>
      <c r="I950" s="163" t="str">
        <f>IFERROR(__xludf.DUMMYFUNCTION("""COMPUTED_VALUE"""),"")</f>
        <v/>
      </c>
      <c r="J950" s="164"/>
      <c r="K950" s="164"/>
      <c r="L950" s="164"/>
      <c r="M950" s="165"/>
      <c r="N950" s="164"/>
      <c r="O950" s="164"/>
      <c r="P950" s="164"/>
      <c r="Q950" s="164"/>
      <c r="R950" s="164"/>
      <c r="S950" s="163" t="str">
        <f>IFERROR(__xludf.DUMMYFUNCTION("""COMPUTED_VALUE"""),"")</f>
        <v/>
      </c>
      <c r="T950" s="164"/>
      <c r="U950" s="164"/>
      <c r="V950" s="164"/>
      <c r="W950" s="164"/>
      <c r="X950" s="164"/>
    </row>
    <row r="951">
      <c r="A951" s="189"/>
      <c r="B951" s="190"/>
      <c r="C951" s="164"/>
      <c r="D951" s="164"/>
      <c r="E951" s="164"/>
      <c r="F951" s="164"/>
      <c r="G951" s="186"/>
      <c r="H951" s="181"/>
      <c r="I951" s="163" t="str">
        <f>IFERROR(__xludf.DUMMYFUNCTION("""COMPUTED_VALUE"""),"")</f>
        <v/>
      </c>
      <c r="J951" s="164"/>
      <c r="K951" s="164"/>
      <c r="L951" s="164"/>
      <c r="M951" s="165"/>
      <c r="N951" s="164"/>
      <c r="O951" s="164"/>
      <c r="P951" s="164"/>
      <c r="Q951" s="164"/>
      <c r="R951" s="164"/>
      <c r="S951" s="163" t="str">
        <f>IFERROR(__xludf.DUMMYFUNCTION("""COMPUTED_VALUE"""),"")</f>
        <v/>
      </c>
      <c r="T951" s="164"/>
      <c r="U951" s="164"/>
      <c r="V951" s="164"/>
      <c r="W951" s="164"/>
      <c r="X951" s="164"/>
    </row>
    <row r="952">
      <c r="A952" s="189"/>
      <c r="B952" s="190"/>
      <c r="C952" s="164"/>
      <c r="D952" s="164"/>
      <c r="E952" s="164"/>
      <c r="F952" s="164"/>
      <c r="G952" s="186"/>
      <c r="H952" s="181"/>
      <c r="I952" s="163" t="str">
        <f>IFERROR(__xludf.DUMMYFUNCTION("""COMPUTED_VALUE"""),"")</f>
        <v/>
      </c>
      <c r="J952" s="164"/>
      <c r="K952" s="164"/>
      <c r="L952" s="164"/>
      <c r="M952" s="165"/>
      <c r="N952" s="164"/>
      <c r="O952" s="164"/>
      <c r="P952" s="164"/>
      <c r="Q952" s="164"/>
      <c r="R952" s="164"/>
      <c r="S952" s="163" t="str">
        <f>IFERROR(__xludf.DUMMYFUNCTION("""COMPUTED_VALUE"""),"")</f>
        <v/>
      </c>
      <c r="T952" s="164"/>
      <c r="U952" s="164"/>
      <c r="V952" s="164"/>
      <c r="W952" s="164"/>
      <c r="X952" s="164"/>
    </row>
    <row r="953">
      <c r="A953" s="189"/>
      <c r="B953" s="190"/>
      <c r="C953" s="164"/>
      <c r="D953" s="164"/>
      <c r="E953" s="164"/>
      <c r="F953" s="164"/>
      <c r="G953" s="186"/>
      <c r="H953" s="181"/>
      <c r="I953" s="163" t="str">
        <f>IFERROR(__xludf.DUMMYFUNCTION("""COMPUTED_VALUE"""),"")</f>
        <v/>
      </c>
      <c r="J953" s="164"/>
      <c r="K953" s="164"/>
      <c r="L953" s="164"/>
      <c r="M953" s="165"/>
      <c r="N953" s="164"/>
      <c r="O953" s="164"/>
      <c r="P953" s="164"/>
      <c r="Q953" s="164"/>
      <c r="R953" s="164"/>
      <c r="S953" s="163" t="str">
        <f>IFERROR(__xludf.DUMMYFUNCTION("""COMPUTED_VALUE"""),"")</f>
        <v/>
      </c>
      <c r="T953" s="164"/>
      <c r="U953" s="164"/>
      <c r="V953" s="164"/>
      <c r="W953" s="164"/>
      <c r="X953" s="164"/>
    </row>
    <row r="954">
      <c r="A954" s="189"/>
      <c r="B954" s="190"/>
      <c r="C954" s="164"/>
      <c r="D954" s="164"/>
      <c r="E954" s="164"/>
      <c r="F954" s="164"/>
      <c r="G954" s="186"/>
      <c r="H954" s="181"/>
      <c r="I954" s="163" t="str">
        <f>IFERROR(__xludf.DUMMYFUNCTION("""COMPUTED_VALUE"""),"")</f>
        <v/>
      </c>
      <c r="J954" s="164"/>
      <c r="K954" s="164"/>
      <c r="L954" s="164"/>
      <c r="M954" s="165"/>
      <c r="N954" s="164"/>
      <c r="O954" s="164"/>
      <c r="P954" s="164"/>
      <c r="Q954" s="164"/>
      <c r="R954" s="164"/>
      <c r="S954" s="163" t="str">
        <f>IFERROR(__xludf.DUMMYFUNCTION("""COMPUTED_VALUE"""),"")</f>
        <v/>
      </c>
      <c r="T954" s="164"/>
      <c r="U954" s="164"/>
      <c r="V954" s="164"/>
      <c r="W954" s="164"/>
      <c r="X954" s="164"/>
    </row>
    <row r="955">
      <c r="A955" s="189"/>
      <c r="B955" s="190"/>
      <c r="C955" s="164"/>
      <c r="D955" s="164"/>
      <c r="E955" s="164"/>
      <c r="F955" s="164"/>
      <c r="G955" s="186"/>
      <c r="H955" s="181"/>
      <c r="I955" s="163" t="str">
        <f>IFERROR(__xludf.DUMMYFUNCTION("""COMPUTED_VALUE"""),"")</f>
        <v/>
      </c>
      <c r="J955" s="164"/>
      <c r="K955" s="164"/>
      <c r="L955" s="164"/>
      <c r="M955" s="165"/>
      <c r="N955" s="164"/>
      <c r="O955" s="164"/>
      <c r="P955" s="164"/>
      <c r="Q955" s="164"/>
      <c r="R955" s="164"/>
      <c r="S955" s="163" t="str">
        <f>IFERROR(__xludf.DUMMYFUNCTION("""COMPUTED_VALUE"""),"")</f>
        <v/>
      </c>
      <c r="T955" s="164"/>
      <c r="U955" s="164"/>
      <c r="V955" s="164"/>
      <c r="W955" s="164"/>
      <c r="X955" s="164"/>
    </row>
    <row r="956">
      <c r="A956" s="189"/>
      <c r="B956" s="190"/>
      <c r="C956" s="164"/>
      <c r="D956" s="164"/>
      <c r="E956" s="164"/>
      <c r="F956" s="164"/>
      <c r="G956" s="186"/>
      <c r="H956" s="181"/>
      <c r="I956" s="163" t="str">
        <f>IFERROR(__xludf.DUMMYFUNCTION("""COMPUTED_VALUE"""),"")</f>
        <v/>
      </c>
      <c r="J956" s="164"/>
      <c r="K956" s="164"/>
      <c r="L956" s="164"/>
      <c r="M956" s="165"/>
      <c r="N956" s="164"/>
      <c r="O956" s="164"/>
      <c r="P956" s="164"/>
      <c r="Q956" s="164"/>
      <c r="R956" s="164"/>
      <c r="S956" s="163" t="str">
        <f>IFERROR(__xludf.DUMMYFUNCTION("""COMPUTED_VALUE"""),"")</f>
        <v/>
      </c>
      <c r="T956" s="164"/>
      <c r="U956" s="164"/>
      <c r="V956" s="164"/>
      <c r="W956" s="164"/>
      <c r="X956" s="164"/>
    </row>
    <row r="957">
      <c r="A957" s="189"/>
      <c r="B957" s="190"/>
      <c r="C957" s="164"/>
      <c r="D957" s="164"/>
      <c r="E957" s="164"/>
      <c r="F957" s="164"/>
      <c r="G957" s="186"/>
      <c r="H957" s="181"/>
      <c r="I957" s="163" t="str">
        <f>IFERROR(__xludf.DUMMYFUNCTION("""COMPUTED_VALUE"""),"")</f>
        <v/>
      </c>
      <c r="J957" s="164"/>
      <c r="K957" s="164"/>
      <c r="L957" s="164"/>
      <c r="M957" s="165"/>
      <c r="N957" s="164"/>
      <c r="O957" s="164"/>
      <c r="P957" s="164"/>
      <c r="Q957" s="164"/>
      <c r="R957" s="164"/>
      <c r="S957" s="163" t="str">
        <f>IFERROR(__xludf.DUMMYFUNCTION("""COMPUTED_VALUE"""),"")</f>
        <v/>
      </c>
      <c r="T957" s="164"/>
      <c r="U957" s="164"/>
      <c r="V957" s="164"/>
      <c r="W957" s="164"/>
      <c r="X957" s="164"/>
    </row>
    <row r="958">
      <c r="A958" s="189"/>
      <c r="B958" s="190"/>
      <c r="C958" s="164"/>
      <c r="D958" s="164"/>
      <c r="E958" s="164"/>
      <c r="F958" s="164"/>
      <c r="G958" s="186"/>
      <c r="H958" s="181"/>
      <c r="I958" s="163" t="str">
        <f>IFERROR(__xludf.DUMMYFUNCTION("""COMPUTED_VALUE"""),"")</f>
        <v/>
      </c>
      <c r="J958" s="164"/>
      <c r="K958" s="164"/>
      <c r="L958" s="164"/>
      <c r="M958" s="165"/>
      <c r="N958" s="164"/>
      <c r="O958" s="164"/>
      <c r="P958" s="164"/>
      <c r="Q958" s="164"/>
      <c r="R958" s="164"/>
      <c r="S958" s="163" t="str">
        <f>IFERROR(__xludf.DUMMYFUNCTION("""COMPUTED_VALUE"""),"")</f>
        <v/>
      </c>
      <c r="T958" s="164"/>
      <c r="U958" s="164"/>
      <c r="V958" s="164"/>
      <c r="W958" s="164"/>
      <c r="X958" s="164"/>
    </row>
    <row r="959">
      <c r="A959" s="189"/>
      <c r="B959" s="190"/>
      <c r="C959" s="164"/>
      <c r="D959" s="164"/>
      <c r="E959" s="164"/>
      <c r="F959" s="164"/>
      <c r="G959" s="186"/>
      <c r="H959" s="181"/>
      <c r="I959" s="163" t="str">
        <f>IFERROR(__xludf.DUMMYFUNCTION("""COMPUTED_VALUE"""),"")</f>
        <v/>
      </c>
      <c r="J959" s="164"/>
      <c r="K959" s="164"/>
      <c r="L959" s="164"/>
      <c r="M959" s="165"/>
      <c r="N959" s="164"/>
      <c r="O959" s="164"/>
      <c r="P959" s="164"/>
      <c r="Q959" s="164"/>
      <c r="R959" s="164"/>
      <c r="S959" s="163" t="str">
        <f>IFERROR(__xludf.DUMMYFUNCTION("""COMPUTED_VALUE"""),"")</f>
        <v/>
      </c>
      <c r="T959" s="164"/>
      <c r="U959" s="164"/>
      <c r="V959" s="164"/>
      <c r="W959" s="164"/>
      <c r="X959" s="164"/>
    </row>
    <row r="960">
      <c r="A960" s="189"/>
      <c r="B960" s="190"/>
      <c r="C960" s="164"/>
      <c r="D960" s="164"/>
      <c r="E960" s="164"/>
      <c r="F960" s="164"/>
      <c r="G960" s="186"/>
      <c r="H960" s="181"/>
      <c r="I960" s="163" t="str">
        <f>IFERROR(__xludf.DUMMYFUNCTION("""COMPUTED_VALUE"""),"")</f>
        <v/>
      </c>
      <c r="J960" s="164"/>
      <c r="K960" s="164"/>
      <c r="L960" s="164"/>
      <c r="M960" s="165"/>
      <c r="N960" s="164"/>
      <c r="O960" s="164"/>
      <c r="P960" s="164"/>
      <c r="Q960" s="164"/>
      <c r="R960" s="164"/>
      <c r="S960" s="163" t="str">
        <f>IFERROR(__xludf.DUMMYFUNCTION("""COMPUTED_VALUE"""),"")</f>
        <v/>
      </c>
      <c r="T960" s="164"/>
      <c r="U960" s="164"/>
      <c r="V960" s="164"/>
      <c r="W960" s="164"/>
      <c r="X960" s="164"/>
    </row>
    <row r="961">
      <c r="A961" s="189"/>
      <c r="B961" s="190"/>
      <c r="C961" s="164"/>
      <c r="D961" s="164"/>
      <c r="E961" s="164"/>
      <c r="F961" s="164"/>
      <c r="G961" s="186"/>
      <c r="H961" s="181"/>
      <c r="I961" s="163" t="str">
        <f>IFERROR(__xludf.DUMMYFUNCTION("""COMPUTED_VALUE"""),"")</f>
        <v/>
      </c>
      <c r="J961" s="164"/>
      <c r="K961" s="164"/>
      <c r="L961" s="164"/>
      <c r="M961" s="165"/>
      <c r="N961" s="164"/>
      <c r="O961" s="164"/>
      <c r="P961" s="164"/>
      <c r="Q961" s="164"/>
      <c r="R961" s="164"/>
      <c r="S961" s="163" t="str">
        <f>IFERROR(__xludf.DUMMYFUNCTION("""COMPUTED_VALUE"""),"")</f>
        <v/>
      </c>
      <c r="T961" s="164"/>
      <c r="U961" s="164"/>
      <c r="V961" s="164"/>
      <c r="W961" s="164"/>
      <c r="X961" s="164"/>
    </row>
    <row r="962">
      <c r="A962" s="189"/>
      <c r="B962" s="190"/>
      <c r="C962" s="164"/>
      <c r="D962" s="164"/>
      <c r="E962" s="164"/>
      <c r="F962" s="164"/>
      <c r="G962" s="186"/>
      <c r="H962" s="181"/>
      <c r="I962" s="163" t="str">
        <f>IFERROR(__xludf.DUMMYFUNCTION("""COMPUTED_VALUE"""),"")</f>
        <v/>
      </c>
      <c r="J962" s="164"/>
      <c r="K962" s="164"/>
      <c r="L962" s="164"/>
      <c r="M962" s="165"/>
      <c r="N962" s="164"/>
      <c r="O962" s="164"/>
      <c r="P962" s="164"/>
      <c r="Q962" s="164"/>
      <c r="R962" s="164"/>
      <c r="S962" s="163" t="str">
        <f>IFERROR(__xludf.DUMMYFUNCTION("""COMPUTED_VALUE"""),"")</f>
        <v/>
      </c>
      <c r="T962" s="164"/>
      <c r="U962" s="164"/>
      <c r="V962" s="164"/>
      <c r="W962" s="164"/>
      <c r="X962" s="164"/>
    </row>
    <row r="963">
      <c r="A963" s="189"/>
      <c r="B963" s="190"/>
      <c r="C963" s="164"/>
      <c r="D963" s="164"/>
      <c r="E963" s="164"/>
      <c r="F963" s="164"/>
      <c r="G963" s="186"/>
      <c r="H963" s="181"/>
      <c r="I963" s="163" t="str">
        <f>IFERROR(__xludf.DUMMYFUNCTION("""COMPUTED_VALUE"""),"")</f>
        <v/>
      </c>
      <c r="J963" s="164"/>
      <c r="K963" s="164"/>
      <c r="L963" s="164"/>
      <c r="M963" s="165"/>
      <c r="N963" s="164"/>
      <c r="O963" s="164"/>
      <c r="P963" s="164"/>
      <c r="Q963" s="164"/>
      <c r="R963" s="164"/>
      <c r="S963" s="163" t="str">
        <f>IFERROR(__xludf.DUMMYFUNCTION("""COMPUTED_VALUE"""),"")</f>
        <v/>
      </c>
      <c r="T963" s="164"/>
      <c r="U963" s="164"/>
      <c r="V963" s="164"/>
      <c r="W963" s="164"/>
      <c r="X963" s="164"/>
    </row>
    <row r="964">
      <c r="A964" s="189"/>
      <c r="B964" s="190"/>
      <c r="C964" s="164"/>
      <c r="D964" s="164"/>
      <c r="E964" s="164"/>
      <c r="F964" s="164"/>
      <c r="G964" s="186"/>
      <c r="H964" s="181"/>
      <c r="I964" s="163" t="str">
        <f>IFERROR(__xludf.DUMMYFUNCTION("""COMPUTED_VALUE"""),"")</f>
        <v/>
      </c>
      <c r="J964" s="164"/>
      <c r="K964" s="164"/>
      <c r="L964" s="164"/>
      <c r="M964" s="165"/>
      <c r="N964" s="164"/>
      <c r="O964" s="164"/>
      <c r="P964" s="164"/>
      <c r="Q964" s="164"/>
      <c r="R964" s="164"/>
      <c r="S964" s="163" t="str">
        <f>IFERROR(__xludf.DUMMYFUNCTION("""COMPUTED_VALUE"""),"")</f>
        <v/>
      </c>
      <c r="T964" s="164"/>
      <c r="U964" s="164"/>
      <c r="V964" s="164"/>
      <c r="W964" s="164"/>
      <c r="X964" s="164"/>
    </row>
    <row r="965">
      <c r="A965" s="189"/>
      <c r="B965" s="190"/>
      <c r="C965" s="164"/>
      <c r="D965" s="164"/>
      <c r="E965" s="164"/>
      <c r="F965" s="164"/>
      <c r="G965" s="186"/>
      <c r="H965" s="181"/>
      <c r="I965" s="163" t="str">
        <f>IFERROR(__xludf.DUMMYFUNCTION("""COMPUTED_VALUE"""),"")</f>
        <v/>
      </c>
      <c r="J965" s="164"/>
      <c r="K965" s="164"/>
      <c r="L965" s="164"/>
      <c r="M965" s="165"/>
      <c r="N965" s="164"/>
      <c r="O965" s="164"/>
      <c r="P965" s="164"/>
      <c r="Q965" s="164"/>
      <c r="R965" s="164"/>
      <c r="S965" s="163" t="str">
        <f>IFERROR(__xludf.DUMMYFUNCTION("""COMPUTED_VALUE"""),"")</f>
        <v/>
      </c>
      <c r="T965" s="164"/>
      <c r="U965" s="164"/>
      <c r="V965" s="164"/>
      <c r="W965" s="164"/>
      <c r="X965" s="164"/>
    </row>
    <row r="966">
      <c r="A966" s="189"/>
      <c r="B966" s="190"/>
      <c r="C966" s="164"/>
      <c r="D966" s="164"/>
      <c r="E966" s="164"/>
      <c r="F966" s="164"/>
      <c r="G966" s="186"/>
      <c r="H966" s="181"/>
      <c r="I966" s="163" t="str">
        <f>IFERROR(__xludf.DUMMYFUNCTION("""COMPUTED_VALUE"""),"")</f>
        <v/>
      </c>
      <c r="J966" s="164"/>
      <c r="K966" s="164"/>
      <c r="L966" s="164"/>
      <c r="M966" s="165"/>
      <c r="N966" s="164"/>
      <c r="O966" s="164"/>
      <c r="P966" s="164"/>
      <c r="Q966" s="164"/>
      <c r="R966" s="164"/>
      <c r="S966" s="163" t="str">
        <f>IFERROR(__xludf.DUMMYFUNCTION("""COMPUTED_VALUE"""),"")</f>
        <v/>
      </c>
      <c r="T966" s="164"/>
      <c r="U966" s="164"/>
      <c r="V966" s="164"/>
      <c r="W966" s="164"/>
      <c r="X966" s="164"/>
    </row>
    <row r="967">
      <c r="A967" s="189"/>
      <c r="B967" s="190"/>
      <c r="C967" s="164"/>
      <c r="D967" s="164"/>
      <c r="E967" s="164"/>
      <c r="F967" s="164"/>
      <c r="G967" s="186"/>
      <c r="H967" s="181"/>
      <c r="I967" s="163" t="str">
        <f>IFERROR(__xludf.DUMMYFUNCTION("""COMPUTED_VALUE"""),"")</f>
        <v/>
      </c>
      <c r="J967" s="164"/>
      <c r="K967" s="164"/>
      <c r="L967" s="164"/>
      <c r="M967" s="165"/>
      <c r="N967" s="164"/>
      <c r="O967" s="164"/>
      <c r="P967" s="164"/>
      <c r="Q967" s="164"/>
      <c r="R967" s="164"/>
      <c r="S967" s="163" t="str">
        <f>IFERROR(__xludf.DUMMYFUNCTION("""COMPUTED_VALUE"""),"")</f>
        <v/>
      </c>
      <c r="T967" s="164"/>
      <c r="U967" s="164"/>
      <c r="V967" s="164"/>
      <c r="W967" s="164"/>
      <c r="X967" s="164"/>
    </row>
    <row r="968">
      <c r="A968" s="189"/>
      <c r="B968" s="190"/>
      <c r="C968" s="164"/>
      <c r="D968" s="164"/>
      <c r="E968" s="164"/>
      <c r="F968" s="164"/>
      <c r="G968" s="186"/>
      <c r="H968" s="181"/>
      <c r="I968" s="163" t="str">
        <f>IFERROR(__xludf.DUMMYFUNCTION("""COMPUTED_VALUE"""),"")</f>
        <v/>
      </c>
      <c r="J968" s="164"/>
      <c r="K968" s="164"/>
      <c r="L968" s="164"/>
      <c r="M968" s="165"/>
      <c r="N968" s="164"/>
      <c r="O968" s="164"/>
      <c r="P968" s="164"/>
      <c r="Q968" s="164"/>
      <c r="R968" s="164"/>
      <c r="S968" s="163" t="str">
        <f>IFERROR(__xludf.DUMMYFUNCTION("""COMPUTED_VALUE"""),"")</f>
        <v/>
      </c>
      <c r="T968" s="164"/>
      <c r="U968" s="164"/>
      <c r="V968" s="164"/>
      <c r="W968" s="164"/>
      <c r="X968" s="164"/>
    </row>
    <row r="969">
      <c r="A969" s="189"/>
      <c r="B969" s="190"/>
      <c r="C969" s="164"/>
      <c r="D969" s="164"/>
      <c r="E969" s="164"/>
      <c r="F969" s="164"/>
      <c r="G969" s="186"/>
      <c r="H969" s="181"/>
      <c r="I969" s="163" t="str">
        <f>IFERROR(__xludf.DUMMYFUNCTION("""COMPUTED_VALUE"""),"")</f>
        <v/>
      </c>
      <c r="J969" s="164"/>
      <c r="K969" s="164"/>
      <c r="L969" s="164"/>
      <c r="M969" s="165"/>
      <c r="N969" s="164"/>
      <c r="O969" s="164"/>
      <c r="P969" s="164"/>
      <c r="Q969" s="164"/>
      <c r="R969" s="164"/>
      <c r="S969" s="163" t="str">
        <f>IFERROR(__xludf.DUMMYFUNCTION("""COMPUTED_VALUE"""),"")</f>
        <v/>
      </c>
      <c r="T969" s="164"/>
      <c r="U969" s="164"/>
      <c r="V969" s="164"/>
      <c r="W969" s="164"/>
      <c r="X969" s="164"/>
    </row>
    <row r="970">
      <c r="A970" s="189"/>
      <c r="B970" s="190"/>
      <c r="C970" s="164"/>
      <c r="D970" s="164"/>
      <c r="E970" s="164"/>
      <c r="F970" s="164"/>
      <c r="G970" s="186"/>
      <c r="H970" s="181"/>
      <c r="I970" s="163" t="str">
        <f>IFERROR(__xludf.DUMMYFUNCTION("""COMPUTED_VALUE"""),"")</f>
        <v/>
      </c>
      <c r="J970" s="164"/>
      <c r="K970" s="164"/>
      <c r="L970" s="164"/>
      <c r="M970" s="165"/>
      <c r="N970" s="164"/>
      <c r="O970" s="164"/>
      <c r="P970" s="164"/>
      <c r="Q970" s="164"/>
      <c r="R970" s="164"/>
      <c r="S970" s="163" t="str">
        <f>IFERROR(__xludf.DUMMYFUNCTION("""COMPUTED_VALUE"""),"")</f>
        <v/>
      </c>
      <c r="T970" s="164"/>
      <c r="U970" s="164"/>
      <c r="V970" s="164"/>
      <c r="W970" s="164"/>
      <c r="X970" s="164"/>
    </row>
    <row r="971">
      <c r="A971" s="189"/>
      <c r="B971" s="190"/>
      <c r="C971" s="164"/>
      <c r="D971" s="164"/>
      <c r="E971" s="164"/>
      <c r="F971" s="164"/>
      <c r="G971" s="186"/>
      <c r="H971" s="181"/>
      <c r="I971" s="163" t="str">
        <f>IFERROR(__xludf.DUMMYFUNCTION("""COMPUTED_VALUE"""),"")</f>
        <v/>
      </c>
      <c r="J971" s="164"/>
      <c r="K971" s="164"/>
      <c r="L971" s="164"/>
      <c r="M971" s="165"/>
      <c r="N971" s="164"/>
      <c r="O971" s="164"/>
      <c r="P971" s="164"/>
      <c r="Q971" s="164"/>
      <c r="R971" s="164"/>
      <c r="S971" s="163" t="str">
        <f>IFERROR(__xludf.DUMMYFUNCTION("""COMPUTED_VALUE"""),"")</f>
        <v/>
      </c>
      <c r="T971" s="164"/>
      <c r="U971" s="164"/>
      <c r="V971" s="164"/>
      <c r="W971" s="164"/>
      <c r="X971" s="164"/>
    </row>
    <row r="972">
      <c r="A972" s="189"/>
      <c r="B972" s="190"/>
      <c r="C972" s="164"/>
      <c r="D972" s="164"/>
      <c r="E972" s="164"/>
      <c r="F972" s="164"/>
      <c r="G972" s="186"/>
      <c r="H972" s="181"/>
      <c r="I972" s="163" t="str">
        <f>IFERROR(__xludf.DUMMYFUNCTION("""COMPUTED_VALUE"""),"")</f>
        <v/>
      </c>
      <c r="J972" s="164"/>
      <c r="K972" s="164"/>
      <c r="L972" s="164"/>
      <c r="M972" s="165"/>
      <c r="N972" s="164"/>
      <c r="O972" s="164"/>
      <c r="P972" s="164"/>
      <c r="Q972" s="164"/>
      <c r="R972" s="164"/>
      <c r="S972" s="163" t="str">
        <f>IFERROR(__xludf.DUMMYFUNCTION("""COMPUTED_VALUE"""),"")</f>
        <v/>
      </c>
      <c r="T972" s="164"/>
      <c r="U972" s="164"/>
      <c r="V972" s="164"/>
      <c r="W972" s="164"/>
      <c r="X972" s="164"/>
    </row>
    <row r="973">
      <c r="A973" s="189"/>
      <c r="B973" s="190"/>
      <c r="C973" s="164"/>
      <c r="D973" s="164"/>
      <c r="E973" s="164"/>
      <c r="F973" s="164"/>
      <c r="G973" s="186"/>
      <c r="H973" s="181"/>
      <c r="I973" s="163" t="str">
        <f>IFERROR(__xludf.DUMMYFUNCTION("""COMPUTED_VALUE"""),"")</f>
        <v/>
      </c>
      <c r="J973" s="164"/>
      <c r="K973" s="164"/>
      <c r="L973" s="164"/>
      <c r="M973" s="165"/>
      <c r="N973" s="164"/>
      <c r="O973" s="164"/>
      <c r="P973" s="164"/>
      <c r="Q973" s="164"/>
      <c r="R973" s="164"/>
      <c r="S973" s="163" t="str">
        <f>IFERROR(__xludf.DUMMYFUNCTION("""COMPUTED_VALUE"""),"")</f>
        <v/>
      </c>
      <c r="T973" s="164"/>
      <c r="U973" s="164"/>
      <c r="V973" s="164"/>
      <c r="W973" s="164"/>
      <c r="X973" s="164"/>
    </row>
    <row r="974">
      <c r="A974" s="189"/>
      <c r="B974" s="190"/>
      <c r="C974" s="164"/>
      <c r="D974" s="164"/>
      <c r="E974" s="164"/>
      <c r="F974" s="164"/>
      <c r="G974" s="186"/>
      <c r="H974" s="181"/>
      <c r="I974" s="163" t="str">
        <f>IFERROR(__xludf.DUMMYFUNCTION("""COMPUTED_VALUE"""),"")</f>
        <v/>
      </c>
      <c r="J974" s="164"/>
      <c r="K974" s="164"/>
      <c r="L974" s="164"/>
      <c r="M974" s="165"/>
      <c r="N974" s="164"/>
      <c r="O974" s="164"/>
      <c r="P974" s="164"/>
      <c r="Q974" s="164"/>
      <c r="R974" s="164"/>
      <c r="S974" s="163" t="str">
        <f>IFERROR(__xludf.DUMMYFUNCTION("""COMPUTED_VALUE"""),"")</f>
        <v/>
      </c>
      <c r="T974" s="164"/>
      <c r="U974" s="164"/>
      <c r="V974" s="164"/>
      <c r="W974" s="164"/>
      <c r="X974" s="164"/>
    </row>
    <row r="975">
      <c r="A975" s="189"/>
      <c r="B975" s="190"/>
      <c r="C975" s="164"/>
      <c r="D975" s="164"/>
      <c r="E975" s="164"/>
      <c r="F975" s="164"/>
      <c r="G975" s="186"/>
      <c r="H975" s="181"/>
      <c r="I975" s="163" t="str">
        <f>IFERROR(__xludf.DUMMYFUNCTION("""COMPUTED_VALUE"""),"")</f>
        <v/>
      </c>
      <c r="J975" s="164"/>
      <c r="K975" s="164"/>
      <c r="L975" s="164"/>
      <c r="M975" s="165"/>
      <c r="N975" s="164"/>
      <c r="O975" s="164"/>
      <c r="P975" s="164"/>
      <c r="Q975" s="164"/>
      <c r="R975" s="164"/>
      <c r="S975" s="163" t="str">
        <f>IFERROR(__xludf.DUMMYFUNCTION("""COMPUTED_VALUE"""),"")</f>
        <v/>
      </c>
      <c r="T975" s="164"/>
      <c r="U975" s="164"/>
      <c r="V975" s="164"/>
      <c r="W975" s="164"/>
      <c r="X975" s="164"/>
    </row>
    <row r="976">
      <c r="A976" s="189"/>
      <c r="B976" s="190"/>
      <c r="C976" s="164"/>
      <c r="D976" s="164"/>
      <c r="E976" s="164"/>
      <c r="F976" s="164"/>
      <c r="G976" s="186"/>
      <c r="H976" s="181"/>
      <c r="I976" s="163" t="str">
        <f>IFERROR(__xludf.DUMMYFUNCTION("""COMPUTED_VALUE"""),"")</f>
        <v/>
      </c>
      <c r="J976" s="164"/>
      <c r="K976" s="164"/>
      <c r="L976" s="164"/>
      <c r="M976" s="165"/>
      <c r="N976" s="164"/>
      <c r="O976" s="164"/>
      <c r="P976" s="164"/>
      <c r="Q976" s="164"/>
      <c r="R976" s="164"/>
      <c r="S976" s="163" t="str">
        <f>IFERROR(__xludf.DUMMYFUNCTION("""COMPUTED_VALUE"""),"")</f>
        <v/>
      </c>
      <c r="T976" s="164"/>
      <c r="U976" s="164"/>
      <c r="V976" s="164"/>
      <c r="W976" s="164"/>
      <c r="X976" s="164"/>
    </row>
    <row r="977">
      <c r="A977" s="189"/>
      <c r="B977" s="190"/>
      <c r="C977" s="164"/>
      <c r="D977" s="164"/>
      <c r="E977" s="164"/>
      <c r="F977" s="164"/>
      <c r="G977" s="186"/>
      <c r="H977" s="181"/>
      <c r="I977" s="163" t="str">
        <f>IFERROR(__xludf.DUMMYFUNCTION("""COMPUTED_VALUE"""),"")</f>
        <v/>
      </c>
      <c r="J977" s="164"/>
      <c r="K977" s="164"/>
      <c r="L977" s="164"/>
      <c r="M977" s="165"/>
      <c r="N977" s="164"/>
      <c r="O977" s="164"/>
      <c r="P977" s="164"/>
      <c r="Q977" s="164"/>
      <c r="R977" s="164"/>
      <c r="S977" s="163" t="str">
        <f>IFERROR(__xludf.DUMMYFUNCTION("""COMPUTED_VALUE"""),"")</f>
        <v/>
      </c>
      <c r="T977" s="164"/>
      <c r="U977" s="164"/>
      <c r="V977" s="164"/>
      <c r="W977" s="164"/>
      <c r="X977" s="164"/>
    </row>
    <row r="978">
      <c r="A978" s="189"/>
      <c r="B978" s="190"/>
      <c r="C978" s="164"/>
      <c r="D978" s="164"/>
      <c r="E978" s="164"/>
      <c r="F978" s="164"/>
      <c r="G978" s="186"/>
      <c r="H978" s="181"/>
      <c r="I978" s="163" t="str">
        <f>IFERROR(__xludf.DUMMYFUNCTION("""COMPUTED_VALUE"""),"")</f>
        <v/>
      </c>
      <c r="J978" s="164"/>
      <c r="K978" s="164"/>
      <c r="L978" s="164"/>
      <c r="M978" s="165"/>
      <c r="N978" s="164"/>
      <c r="O978" s="164"/>
      <c r="P978" s="164"/>
      <c r="Q978" s="164"/>
      <c r="R978" s="164"/>
      <c r="S978" s="163" t="str">
        <f>IFERROR(__xludf.DUMMYFUNCTION("""COMPUTED_VALUE"""),"")</f>
        <v/>
      </c>
      <c r="T978" s="164"/>
      <c r="U978" s="164"/>
      <c r="V978" s="164"/>
      <c r="W978" s="164"/>
      <c r="X978" s="164"/>
    </row>
    <row r="979">
      <c r="A979" s="189"/>
      <c r="B979" s="190"/>
      <c r="C979" s="164"/>
      <c r="D979" s="164"/>
      <c r="E979" s="164"/>
      <c r="F979" s="164"/>
      <c r="G979" s="186"/>
      <c r="H979" s="181"/>
      <c r="I979" s="163" t="str">
        <f>IFERROR(__xludf.DUMMYFUNCTION("""COMPUTED_VALUE"""),"")</f>
        <v/>
      </c>
      <c r="J979" s="164"/>
      <c r="K979" s="164"/>
      <c r="L979" s="164"/>
      <c r="M979" s="165"/>
      <c r="N979" s="164"/>
      <c r="O979" s="164"/>
      <c r="P979" s="164"/>
      <c r="Q979" s="164"/>
      <c r="R979" s="164"/>
      <c r="S979" s="163" t="str">
        <f>IFERROR(__xludf.DUMMYFUNCTION("""COMPUTED_VALUE"""),"")</f>
        <v/>
      </c>
      <c r="T979" s="164"/>
      <c r="U979" s="164"/>
      <c r="V979" s="164"/>
      <c r="W979" s="164"/>
      <c r="X979" s="164"/>
    </row>
    <row r="980">
      <c r="A980" s="189"/>
      <c r="B980" s="190"/>
      <c r="C980" s="164"/>
      <c r="D980" s="164"/>
      <c r="E980" s="164"/>
      <c r="F980" s="164"/>
      <c r="G980" s="186"/>
      <c r="H980" s="181"/>
      <c r="I980" s="163" t="str">
        <f>IFERROR(__xludf.DUMMYFUNCTION("""COMPUTED_VALUE"""),"")</f>
        <v/>
      </c>
      <c r="J980" s="164"/>
      <c r="K980" s="164"/>
      <c r="L980" s="164"/>
      <c r="M980" s="165"/>
      <c r="N980" s="164"/>
      <c r="O980" s="164"/>
      <c r="P980" s="164"/>
      <c r="Q980" s="164"/>
      <c r="R980" s="164"/>
      <c r="S980" s="163" t="str">
        <f>IFERROR(__xludf.DUMMYFUNCTION("""COMPUTED_VALUE"""),"")</f>
        <v/>
      </c>
      <c r="T980" s="164"/>
      <c r="U980" s="164"/>
      <c r="V980" s="164"/>
      <c r="W980" s="164"/>
      <c r="X980" s="164"/>
    </row>
    <row r="981">
      <c r="A981" s="189"/>
      <c r="B981" s="190"/>
      <c r="C981" s="164"/>
      <c r="D981" s="164"/>
      <c r="E981" s="164"/>
      <c r="F981" s="164"/>
      <c r="G981" s="186"/>
      <c r="H981" s="181"/>
      <c r="I981" s="163" t="str">
        <f>IFERROR(__xludf.DUMMYFUNCTION("""COMPUTED_VALUE"""),"")</f>
        <v/>
      </c>
      <c r="J981" s="164"/>
      <c r="K981" s="164"/>
      <c r="L981" s="164"/>
      <c r="M981" s="165"/>
      <c r="N981" s="164"/>
      <c r="O981" s="164"/>
      <c r="P981" s="164"/>
      <c r="Q981" s="164"/>
      <c r="R981" s="164"/>
      <c r="S981" s="163" t="str">
        <f>IFERROR(__xludf.DUMMYFUNCTION("""COMPUTED_VALUE"""),"")</f>
        <v/>
      </c>
      <c r="T981" s="164"/>
      <c r="U981" s="164"/>
      <c r="V981" s="164"/>
      <c r="W981" s="164"/>
      <c r="X981" s="164"/>
    </row>
    <row r="982">
      <c r="A982" s="189"/>
      <c r="B982" s="190"/>
      <c r="C982" s="164"/>
      <c r="D982" s="164"/>
      <c r="E982" s="164"/>
      <c r="F982" s="164"/>
      <c r="G982" s="186"/>
      <c r="H982" s="181"/>
      <c r="I982" s="163" t="str">
        <f>IFERROR(__xludf.DUMMYFUNCTION("""COMPUTED_VALUE"""),"")</f>
        <v/>
      </c>
      <c r="J982" s="164"/>
      <c r="K982" s="164"/>
      <c r="L982" s="164"/>
      <c r="M982" s="165"/>
      <c r="N982" s="164"/>
      <c r="O982" s="164"/>
      <c r="P982" s="164"/>
      <c r="Q982" s="164"/>
      <c r="R982" s="164"/>
      <c r="S982" s="163" t="str">
        <f>IFERROR(__xludf.DUMMYFUNCTION("""COMPUTED_VALUE"""),"")</f>
        <v/>
      </c>
      <c r="T982" s="164"/>
      <c r="U982" s="164"/>
      <c r="V982" s="164"/>
      <c r="W982" s="164"/>
      <c r="X982" s="164"/>
    </row>
    <row r="983">
      <c r="A983" s="189"/>
      <c r="B983" s="190"/>
      <c r="C983" s="164"/>
      <c r="D983" s="164"/>
      <c r="E983" s="164"/>
      <c r="F983" s="164"/>
      <c r="G983" s="186"/>
      <c r="H983" s="181"/>
      <c r="I983" s="163" t="str">
        <f>IFERROR(__xludf.DUMMYFUNCTION("""COMPUTED_VALUE"""),"")</f>
        <v/>
      </c>
      <c r="J983" s="164"/>
      <c r="K983" s="164"/>
      <c r="L983" s="164"/>
      <c r="M983" s="165"/>
      <c r="N983" s="164"/>
      <c r="O983" s="164"/>
      <c r="P983" s="164"/>
      <c r="Q983" s="164"/>
      <c r="R983" s="164"/>
      <c r="S983" s="163" t="str">
        <f>IFERROR(__xludf.DUMMYFUNCTION("""COMPUTED_VALUE"""),"")</f>
        <v/>
      </c>
      <c r="T983" s="164"/>
      <c r="U983" s="164"/>
      <c r="V983" s="164"/>
      <c r="W983" s="164"/>
      <c r="X983" s="164"/>
    </row>
    <row r="984">
      <c r="A984" s="189"/>
      <c r="B984" s="190"/>
      <c r="C984" s="164"/>
      <c r="D984" s="164"/>
      <c r="E984" s="164"/>
      <c r="F984" s="164"/>
      <c r="G984" s="186"/>
      <c r="H984" s="181"/>
      <c r="I984" s="163" t="str">
        <f>IFERROR(__xludf.DUMMYFUNCTION("""COMPUTED_VALUE"""),"")</f>
        <v/>
      </c>
      <c r="J984" s="164"/>
      <c r="K984" s="164"/>
      <c r="L984" s="164"/>
      <c r="M984" s="165"/>
      <c r="N984" s="164"/>
      <c r="O984" s="164"/>
      <c r="P984" s="164"/>
      <c r="Q984" s="164"/>
      <c r="R984" s="164"/>
      <c r="S984" s="163" t="str">
        <f>IFERROR(__xludf.DUMMYFUNCTION("""COMPUTED_VALUE"""),"")</f>
        <v/>
      </c>
      <c r="T984" s="164"/>
      <c r="U984" s="164"/>
      <c r="V984" s="164"/>
      <c r="W984" s="164"/>
      <c r="X984" s="164"/>
    </row>
    <row r="985">
      <c r="A985" s="189"/>
      <c r="B985" s="190"/>
      <c r="C985" s="164"/>
      <c r="D985" s="164"/>
      <c r="E985" s="164"/>
      <c r="F985" s="164"/>
      <c r="G985" s="186"/>
      <c r="H985" s="181"/>
      <c r="I985" s="163" t="str">
        <f>IFERROR(__xludf.DUMMYFUNCTION("""COMPUTED_VALUE"""),"")</f>
        <v/>
      </c>
      <c r="J985" s="164"/>
      <c r="K985" s="164"/>
      <c r="L985" s="164"/>
      <c r="M985" s="165"/>
      <c r="N985" s="164"/>
      <c r="O985" s="164"/>
      <c r="P985" s="164"/>
      <c r="Q985" s="164"/>
      <c r="R985" s="164"/>
      <c r="S985" s="163" t="str">
        <f>IFERROR(__xludf.DUMMYFUNCTION("""COMPUTED_VALUE"""),"")</f>
        <v/>
      </c>
      <c r="T985" s="164"/>
      <c r="U985" s="164"/>
      <c r="V985" s="164"/>
      <c r="W985" s="164"/>
      <c r="X985" s="164"/>
    </row>
    <row r="986">
      <c r="A986" s="189"/>
      <c r="B986" s="190"/>
      <c r="C986" s="164"/>
      <c r="D986" s="164"/>
      <c r="E986" s="164"/>
      <c r="F986" s="164"/>
      <c r="G986" s="186"/>
      <c r="H986" s="181"/>
      <c r="I986" s="163" t="str">
        <f>IFERROR(__xludf.DUMMYFUNCTION("""COMPUTED_VALUE"""),"")</f>
        <v/>
      </c>
      <c r="J986" s="164"/>
      <c r="K986" s="164"/>
      <c r="L986" s="164"/>
      <c r="M986" s="165"/>
      <c r="N986" s="164"/>
      <c r="O986" s="164"/>
      <c r="P986" s="164"/>
      <c r="Q986" s="164"/>
      <c r="R986" s="164"/>
      <c r="S986" s="163" t="str">
        <f>IFERROR(__xludf.DUMMYFUNCTION("""COMPUTED_VALUE"""),"")</f>
        <v/>
      </c>
      <c r="T986" s="164"/>
      <c r="U986" s="164"/>
      <c r="V986" s="164"/>
      <c r="W986" s="164"/>
      <c r="X986" s="164"/>
    </row>
    <row r="987">
      <c r="A987" s="189"/>
      <c r="B987" s="190"/>
      <c r="C987" s="164"/>
      <c r="D987" s="164"/>
      <c r="E987" s="164"/>
      <c r="F987" s="164"/>
      <c r="G987" s="186"/>
      <c r="H987" s="181"/>
      <c r="I987" s="163" t="str">
        <f>IFERROR(__xludf.DUMMYFUNCTION("""COMPUTED_VALUE"""),"")</f>
        <v/>
      </c>
      <c r="J987" s="164"/>
      <c r="K987" s="164"/>
      <c r="L987" s="164"/>
      <c r="M987" s="165"/>
      <c r="N987" s="164"/>
      <c r="O987" s="164"/>
      <c r="P987" s="164"/>
      <c r="Q987" s="164"/>
      <c r="R987" s="164"/>
      <c r="S987" s="163" t="str">
        <f>IFERROR(__xludf.DUMMYFUNCTION("""COMPUTED_VALUE"""),"")</f>
        <v/>
      </c>
      <c r="T987" s="164"/>
      <c r="U987" s="164"/>
      <c r="V987" s="164"/>
      <c r="W987" s="164"/>
      <c r="X987" s="164"/>
    </row>
  </sheetData>
  <autoFilter ref="$A$2:$X$266"/>
  <conditionalFormatting sqref="A1:H1">
    <cfRule type="notContainsBlanks" dxfId="1" priority="1">
      <formula>LEN(TRIM(A1))&gt;0</formula>
    </cfRule>
  </conditionalFormatting>
  <dataValidations>
    <dataValidation type="list" allowBlank="1" showErrorMessage="1" sqref="F3:F987">
      <formula1>'PRODUCT Intake Coding'!$I$3:$I$993</formula1>
    </dataValidation>
    <dataValidation type="list" allowBlank="1" showErrorMessage="1" sqref="C3:C987">
      <formula1>'Transplant KEY'!$B$2:$B987</formula1>
    </dataValidation>
    <dataValidation type="list" allowBlank="1" showErrorMessage="1" sqref="J3:J987">
      <formula1>'Product KEY'!$L$3:$L$1000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3" max="3" width="22.0"/>
  </cols>
  <sheetData>
    <row r="1">
      <c r="A1" s="191" t="s">
        <v>5</v>
      </c>
      <c r="B1" s="191" t="s">
        <v>1036</v>
      </c>
      <c r="C1" s="191" t="s">
        <v>14</v>
      </c>
      <c r="D1" s="192"/>
      <c r="E1" s="192"/>
      <c r="F1" s="192"/>
      <c r="G1" s="192"/>
      <c r="H1" s="192"/>
      <c r="I1" s="192"/>
      <c r="J1" s="192"/>
      <c r="K1" s="192"/>
      <c r="L1" s="192"/>
      <c r="M1" s="192"/>
      <c r="N1" s="192"/>
      <c r="O1" s="192"/>
      <c r="P1" s="192"/>
      <c r="Q1" s="192"/>
      <c r="R1" s="192"/>
      <c r="S1" s="192"/>
      <c r="T1" s="192"/>
      <c r="U1" s="192"/>
      <c r="V1" s="192"/>
      <c r="W1" s="192"/>
      <c r="X1" s="192"/>
      <c r="Y1" s="192"/>
      <c r="Z1" s="192"/>
    </row>
    <row r="2">
      <c r="A2" s="192" t="str">
        <f>IFERROR(__xludf.DUMMYFUNCTION("UNIQUE(ARRAYFORMULA(FILTER(
  {'PLANT Intake Coding'!F3:F3059;'PRODUCT Intake Coding'!I3:I1000;'Transplant Log'!H3:H2000},
  LEN({'PLANT Intake Coding'!F3:F3059;'PRODUCT Intake Coding'!I3:I1000;'Transplant Log'!H3:H2000})&gt;0
)))"),"HS-BE-AW-1A")</f>
        <v>HS-BE-AW-1A</v>
      </c>
      <c r="B2" s="192" t="s">
        <v>7478</v>
      </c>
      <c r="C2" s="21" t="s">
        <v>22</v>
      </c>
      <c r="D2" s="192"/>
      <c r="E2" s="192"/>
      <c r="F2" s="192"/>
      <c r="G2" s="192"/>
      <c r="H2" s="192"/>
      <c r="I2" s="192"/>
      <c r="J2" s="192"/>
      <c r="K2" s="192"/>
      <c r="L2" s="192"/>
      <c r="M2" s="192"/>
      <c r="N2" s="192"/>
      <c r="O2" s="192"/>
      <c r="P2" s="192"/>
      <c r="Q2" s="192"/>
      <c r="R2" s="192"/>
      <c r="S2" s="192"/>
      <c r="T2" s="192"/>
      <c r="U2" s="192"/>
      <c r="V2" s="192"/>
      <c r="W2" s="192"/>
      <c r="X2" s="192"/>
      <c r="Y2" s="192"/>
      <c r="Z2" s="192"/>
    </row>
    <row r="3">
      <c r="A3" s="192" t="str">
        <f>IFERROR(__xludf.DUMMYFUNCTION("""COMPUTED_VALUE"""),"HS-PO-GO-1A")</f>
        <v>HS-PO-GO-1A</v>
      </c>
      <c r="B3" s="192" t="s">
        <v>7479</v>
      </c>
      <c r="C3" s="21" t="s">
        <v>22</v>
      </c>
      <c r="D3" s="192"/>
      <c r="E3" s="192"/>
      <c r="F3" s="192"/>
      <c r="G3" s="192"/>
      <c r="H3" s="192"/>
      <c r="I3" s="192"/>
      <c r="J3" s="192"/>
      <c r="K3" s="192"/>
      <c r="L3" s="192"/>
      <c r="M3" s="192"/>
      <c r="N3" s="192"/>
      <c r="O3" s="192"/>
      <c r="P3" s="192"/>
      <c r="Q3" s="192"/>
      <c r="R3" s="192"/>
      <c r="S3" s="192"/>
      <c r="T3" s="192"/>
      <c r="U3" s="192"/>
      <c r="V3" s="192"/>
      <c r="W3" s="192"/>
      <c r="X3" s="192"/>
      <c r="Y3" s="192"/>
      <c r="Z3" s="192"/>
    </row>
    <row r="4">
      <c r="A4" s="192" t="str">
        <f>IFERROR(__xludf.DUMMYFUNCTION("""COMPUTED_VALUE"""),"HS-PH-HL-1A")</f>
        <v>HS-PH-HL-1A</v>
      </c>
      <c r="B4" s="192" t="s">
        <v>7480</v>
      </c>
      <c r="C4" s="21" t="s">
        <v>22</v>
      </c>
      <c r="D4" s="192"/>
      <c r="E4" s="192"/>
      <c r="F4" s="192"/>
      <c r="G4" s="192"/>
      <c r="H4" s="192"/>
      <c r="I4" s="192"/>
      <c r="J4" s="192"/>
      <c r="K4" s="192"/>
      <c r="L4" s="192"/>
      <c r="M4" s="192"/>
      <c r="N4" s="192"/>
      <c r="O4" s="192"/>
      <c r="P4" s="192"/>
      <c r="Q4" s="192"/>
      <c r="R4" s="192"/>
      <c r="S4" s="192"/>
      <c r="T4" s="192"/>
      <c r="U4" s="192"/>
      <c r="V4" s="192"/>
      <c r="W4" s="192"/>
      <c r="X4" s="192"/>
      <c r="Y4" s="192"/>
      <c r="Z4" s="192"/>
    </row>
    <row r="5">
      <c r="A5" s="192" t="str">
        <f>IFERROR(__xludf.DUMMYFUNCTION("""COMPUTED_VALUE"""),"HS-PH-BRL-1A")</f>
        <v>HS-PH-BRL-1A</v>
      </c>
      <c r="B5" s="192" t="s">
        <v>7481</v>
      </c>
      <c r="C5" s="21" t="s">
        <v>22</v>
      </c>
      <c r="D5" s="192"/>
      <c r="E5" s="192"/>
      <c r="F5" s="192"/>
      <c r="G5" s="192"/>
      <c r="H5" s="192"/>
      <c r="I5" s="192"/>
      <c r="J5" s="192"/>
      <c r="K5" s="192"/>
      <c r="L5" s="192"/>
      <c r="M5" s="192"/>
      <c r="N5" s="192"/>
      <c r="O5" s="192"/>
      <c r="P5" s="192"/>
      <c r="Q5" s="192"/>
      <c r="R5" s="192"/>
      <c r="S5" s="192"/>
      <c r="T5" s="192"/>
      <c r="U5" s="192"/>
      <c r="V5" s="192"/>
      <c r="W5" s="192"/>
      <c r="X5" s="192"/>
      <c r="Y5" s="192"/>
      <c r="Z5" s="192"/>
    </row>
    <row r="6">
      <c r="A6" s="192" t="str">
        <f>IFERROR(__xludf.DUMMYFUNCTION("""COMPUTED_VALUE"""),"HS-PI-PEP-1A")</f>
        <v>HS-PI-PEP-1A</v>
      </c>
      <c r="B6" s="192" t="s">
        <v>7482</v>
      </c>
      <c r="C6" s="21" t="s">
        <v>22</v>
      </c>
      <c r="D6" s="192"/>
      <c r="E6" s="192"/>
      <c r="F6" s="192"/>
      <c r="G6" s="192"/>
      <c r="H6" s="192"/>
      <c r="I6" s="192"/>
      <c r="J6" s="192"/>
      <c r="K6" s="192"/>
      <c r="L6" s="192"/>
      <c r="M6" s="192"/>
      <c r="N6" s="192"/>
      <c r="O6" s="192"/>
      <c r="P6" s="192"/>
      <c r="Q6" s="192"/>
      <c r="R6" s="192"/>
      <c r="S6" s="192"/>
      <c r="T6" s="192"/>
      <c r="U6" s="192"/>
      <c r="V6" s="192"/>
      <c r="W6" s="192"/>
      <c r="X6" s="192"/>
      <c r="Y6" s="192"/>
      <c r="Z6" s="192"/>
    </row>
    <row r="7">
      <c r="A7" s="192" t="str">
        <f>IFERROR(__xludf.DUMMYFUNCTION("""COMPUTED_VALUE"""),"HS-CT-BM-1A")</f>
        <v>HS-CT-BM-1A</v>
      </c>
      <c r="B7" s="192" t="s">
        <v>7483</v>
      </c>
      <c r="C7" s="21" t="s">
        <v>22</v>
      </c>
      <c r="D7" s="192"/>
      <c r="E7" s="192"/>
      <c r="F7" s="192"/>
      <c r="G7" s="192"/>
      <c r="H7" s="192"/>
      <c r="I7" s="192"/>
      <c r="J7" s="192"/>
      <c r="K7" s="192"/>
      <c r="L7" s="192"/>
      <c r="M7" s="192"/>
      <c r="N7" s="192"/>
      <c r="O7" s="192"/>
      <c r="P7" s="192"/>
      <c r="Q7" s="192"/>
      <c r="R7" s="192"/>
      <c r="S7" s="192"/>
      <c r="T7" s="192"/>
      <c r="U7" s="192"/>
      <c r="V7" s="192"/>
      <c r="W7" s="192"/>
      <c r="X7" s="192"/>
      <c r="Y7" s="192"/>
      <c r="Z7" s="192"/>
    </row>
    <row r="8">
      <c r="A8" s="192" t="str">
        <f>IFERROR(__xludf.DUMMYFUNCTION("""COMPUTED_VALUE"""),"HS-DR-SP-1A")</f>
        <v>HS-DR-SP-1A</v>
      </c>
      <c r="B8" s="192" t="s">
        <v>7484</v>
      </c>
      <c r="C8" s="21" t="s">
        <v>22</v>
      </c>
      <c r="D8" s="192"/>
      <c r="E8" s="192"/>
      <c r="F8" s="192"/>
      <c r="G8" s="192"/>
      <c r="H8" s="192"/>
      <c r="I8" s="192"/>
      <c r="J8" s="192"/>
      <c r="K8" s="192"/>
      <c r="L8" s="192"/>
      <c r="M8" s="192"/>
      <c r="N8" s="192"/>
      <c r="O8" s="192"/>
      <c r="P8" s="192"/>
      <c r="Q8" s="192"/>
      <c r="R8" s="192"/>
      <c r="S8" s="192"/>
      <c r="T8" s="192"/>
      <c r="U8" s="192"/>
      <c r="V8" s="192"/>
      <c r="W8" s="192"/>
      <c r="X8" s="192"/>
      <c r="Y8" s="192"/>
      <c r="Z8" s="192"/>
    </row>
    <row r="9">
      <c r="A9" s="192" t="str">
        <f>IFERROR(__xludf.DUMMYFUNCTION("""COMPUTED_VALUE"""),"FM-PH-WK-1A")</f>
        <v>FM-PH-WK-1A</v>
      </c>
      <c r="B9" s="192" t="s">
        <v>7485</v>
      </c>
      <c r="C9" s="21" t="s">
        <v>22</v>
      </c>
      <c r="D9" s="192"/>
      <c r="E9" s="192"/>
      <c r="F9" s="192"/>
      <c r="G9" s="192"/>
      <c r="H9" s="192"/>
      <c r="I9" s="192"/>
      <c r="J9" s="192"/>
      <c r="K9" s="192"/>
      <c r="L9" s="192"/>
      <c r="M9" s="192"/>
      <c r="N9" s="192"/>
      <c r="O9" s="192"/>
      <c r="P9" s="192"/>
      <c r="Q9" s="192"/>
      <c r="R9" s="192"/>
      <c r="S9" s="192"/>
      <c r="T9" s="192"/>
      <c r="U9" s="192"/>
      <c r="V9" s="192"/>
      <c r="W9" s="192"/>
      <c r="X9" s="192"/>
      <c r="Y9" s="192"/>
      <c r="Z9" s="192"/>
    </row>
    <row r="10">
      <c r="A10" s="192" t="str">
        <f>IFERROR(__xludf.DUMMYFUNCTION("""COMPUTED_VALUE"""),"WM-PH-WK-1A")</f>
        <v>WM-PH-WK-1A</v>
      </c>
      <c r="B10" s="192" t="s">
        <v>7486</v>
      </c>
      <c r="C10" s="21" t="s">
        <v>22</v>
      </c>
      <c r="D10" s="192"/>
      <c r="E10" s="192"/>
      <c r="F10" s="192"/>
      <c r="G10" s="192"/>
      <c r="H10" s="192"/>
      <c r="I10" s="192"/>
      <c r="J10" s="192"/>
      <c r="K10" s="192"/>
      <c r="L10" s="192"/>
      <c r="M10" s="192"/>
      <c r="N10" s="192"/>
      <c r="O10" s="192"/>
      <c r="P10" s="192"/>
      <c r="Q10" s="192"/>
      <c r="R10" s="192"/>
      <c r="S10" s="192"/>
      <c r="T10" s="192"/>
      <c r="U10" s="192"/>
      <c r="V10" s="192"/>
      <c r="W10" s="192"/>
      <c r="X10" s="192"/>
      <c r="Y10" s="192"/>
      <c r="Z10" s="192"/>
    </row>
    <row r="11">
      <c r="A11" s="192" t="str">
        <f>IFERROR(__xludf.DUMMYFUNCTION("""COMPUTED_VALUE"""),"WM-MA-PE-1A")</f>
        <v>WM-MA-PE-1A</v>
      </c>
      <c r="B11" s="192" t="s">
        <v>7487</v>
      </c>
      <c r="C11" s="21" t="s">
        <v>22</v>
      </c>
      <c r="D11" s="192"/>
      <c r="E11" s="192"/>
      <c r="F11" s="192"/>
      <c r="G11" s="192"/>
      <c r="H11" s="192"/>
      <c r="I11" s="192"/>
      <c r="J11" s="192"/>
      <c r="K11" s="192"/>
      <c r="L11" s="192"/>
      <c r="M11" s="192"/>
      <c r="N11" s="192"/>
      <c r="O11" s="192"/>
      <c r="P11" s="192"/>
      <c r="Q11" s="192"/>
      <c r="R11" s="192"/>
      <c r="S11" s="192"/>
      <c r="T11" s="192"/>
      <c r="U11" s="192"/>
      <c r="V11" s="192"/>
      <c r="W11" s="192"/>
      <c r="X11" s="192"/>
      <c r="Y11" s="192"/>
      <c r="Z11" s="192"/>
    </row>
    <row r="12">
      <c r="A12" s="192" t="str">
        <f>IFERROR(__xludf.DUMMYFUNCTION("""COMPUTED_VALUE"""),"TLC-PH-CS-1A")</f>
        <v>TLC-PH-CS-1A</v>
      </c>
      <c r="B12" s="192" t="s">
        <v>7488</v>
      </c>
      <c r="C12" s="21" t="s">
        <v>22</v>
      </c>
      <c r="D12" s="192"/>
      <c r="E12" s="192"/>
      <c r="F12" s="192"/>
      <c r="G12" s="192"/>
      <c r="H12" s="192"/>
      <c r="I12" s="192"/>
      <c r="J12" s="192"/>
      <c r="K12" s="192"/>
      <c r="L12" s="192"/>
      <c r="M12" s="192"/>
      <c r="N12" s="192"/>
      <c r="O12" s="192"/>
      <c r="P12" s="192"/>
      <c r="Q12" s="192"/>
      <c r="R12" s="192"/>
      <c r="S12" s="192"/>
      <c r="T12" s="192"/>
      <c r="U12" s="192"/>
      <c r="V12" s="192"/>
      <c r="W12" s="192"/>
      <c r="X12" s="192"/>
      <c r="Y12" s="192"/>
      <c r="Z12" s="192"/>
    </row>
    <row r="13">
      <c r="A13" s="192" t="str">
        <f>IFERROR(__xludf.DUMMYFUNCTION("""COMPUTED_VALUE"""),"TAG-AO-DR-1A")</f>
        <v>TAG-AO-DR-1A</v>
      </c>
      <c r="B13" s="192" t="s">
        <v>7489</v>
      </c>
      <c r="C13" s="21" t="s">
        <v>22</v>
      </c>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c r="A14" s="192" t="str">
        <f>IFERROR(__xludf.DUMMYFUNCTION("""COMPUTED_VALUE"""),"FMY-PH-GC-1A")</f>
        <v>FMY-PH-GC-1A</v>
      </c>
      <c r="B14" s="192" t="s">
        <v>7490</v>
      </c>
      <c r="C14" s="21" t="s">
        <v>22</v>
      </c>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c r="A15" s="192" t="str">
        <f>IFERROR(__xludf.DUMMYFUNCTION("""COMPUTED_VALUE"""),"FMY-AL-RSD-1A")</f>
        <v>FMY-AL-RSD-1A</v>
      </c>
      <c r="B15" s="192" t="s">
        <v>7491</v>
      </c>
      <c r="C15" s="21" t="s">
        <v>22</v>
      </c>
      <c r="D15" s="192"/>
      <c r="E15" s="192"/>
      <c r="F15" s="192"/>
      <c r="G15" s="192"/>
      <c r="H15" s="192"/>
      <c r="I15" s="192"/>
      <c r="J15" s="192"/>
      <c r="K15" s="192"/>
      <c r="L15" s="192"/>
      <c r="M15" s="192"/>
      <c r="N15" s="192"/>
      <c r="O15" s="192"/>
      <c r="P15" s="192"/>
      <c r="Q15" s="192"/>
      <c r="R15" s="192"/>
      <c r="S15" s="192"/>
      <c r="T15" s="192"/>
      <c r="U15" s="192"/>
      <c r="V15" s="192"/>
      <c r="W15" s="192"/>
      <c r="X15" s="192"/>
      <c r="Y15" s="192"/>
      <c r="Z15" s="192"/>
    </row>
    <row r="16">
      <c r="A16" s="192" t="str">
        <f>IFERROR(__xludf.DUMMYFUNCTION("""COMPUTED_VALUE"""),"FMY-AL-GVF-1A")</f>
        <v>FMY-AL-GVF-1A</v>
      </c>
      <c r="B16" s="192" t="s">
        <v>7492</v>
      </c>
      <c r="C16" s="21" t="s">
        <v>22</v>
      </c>
      <c r="D16" s="192"/>
      <c r="E16" s="192"/>
      <c r="F16" s="192"/>
      <c r="G16" s="192"/>
      <c r="H16" s="192"/>
      <c r="I16" s="192"/>
      <c r="J16" s="192"/>
      <c r="K16" s="192"/>
      <c r="L16" s="192"/>
      <c r="M16" s="192"/>
      <c r="N16" s="192"/>
      <c r="O16" s="192"/>
      <c r="P16" s="192"/>
      <c r="Q16" s="192"/>
      <c r="R16" s="192"/>
      <c r="S16" s="192"/>
      <c r="T16" s="192"/>
      <c r="U16" s="192"/>
      <c r="V16" s="192"/>
      <c r="W16" s="192"/>
      <c r="X16" s="192"/>
      <c r="Y16" s="192"/>
      <c r="Z16" s="192"/>
    </row>
    <row r="17">
      <c r="A17" s="192" t="str">
        <f>IFERROR(__xludf.DUMMYFUNCTION("""COMPUTED_VALUE"""),"FMY-MA-DE-1A")</f>
        <v>FMY-MA-DE-1A</v>
      </c>
      <c r="B17" s="192" t="s">
        <v>7493</v>
      </c>
      <c r="C17" s="21" t="s">
        <v>22</v>
      </c>
      <c r="D17" s="192"/>
      <c r="E17" s="192"/>
      <c r="F17" s="192"/>
      <c r="G17" s="192"/>
      <c r="H17" s="192"/>
      <c r="I17" s="192"/>
      <c r="J17" s="192"/>
      <c r="K17" s="192"/>
      <c r="L17" s="192"/>
      <c r="M17" s="192"/>
      <c r="N17" s="192"/>
      <c r="O17" s="192"/>
      <c r="P17" s="192"/>
      <c r="Q17" s="192"/>
      <c r="R17" s="192"/>
      <c r="S17" s="192"/>
      <c r="T17" s="192"/>
      <c r="U17" s="192"/>
      <c r="V17" s="192"/>
      <c r="W17" s="192"/>
      <c r="X17" s="192"/>
      <c r="Y17" s="192"/>
      <c r="Z17" s="192"/>
    </row>
    <row r="18">
      <c r="A18" s="192" t="str">
        <f>IFERROR(__xludf.DUMMYFUNCTION("""COMPUTED_VALUE"""),"FMY-MA-DE-1A-2")</f>
        <v>FMY-MA-DE-1A-2</v>
      </c>
      <c r="B18" s="192" t="s">
        <v>7494</v>
      </c>
      <c r="C18" s="21" t="s">
        <v>22</v>
      </c>
      <c r="D18" s="192"/>
      <c r="E18" s="192"/>
      <c r="F18" s="192"/>
      <c r="G18" s="192"/>
      <c r="H18" s="192"/>
      <c r="I18" s="192"/>
      <c r="J18" s="192"/>
      <c r="K18" s="192"/>
      <c r="L18" s="192"/>
      <c r="M18" s="192"/>
      <c r="N18" s="192"/>
      <c r="O18" s="192"/>
      <c r="P18" s="192"/>
      <c r="Q18" s="192"/>
      <c r="R18" s="192"/>
      <c r="S18" s="192"/>
      <c r="T18" s="192"/>
      <c r="U18" s="192"/>
      <c r="V18" s="192"/>
      <c r="W18" s="192"/>
      <c r="X18" s="192"/>
      <c r="Y18" s="192"/>
      <c r="Z18" s="192"/>
    </row>
    <row r="19">
      <c r="A19" s="192" t="str">
        <f>IFERROR(__xludf.DUMMYFUNCTION("""COMPUTED_VALUE"""),"TLC-SC-SS-1A")</f>
        <v>TLC-SC-SS-1A</v>
      </c>
      <c r="B19" s="192" t="s">
        <v>7495</v>
      </c>
      <c r="C19" s="21" t="s">
        <v>22</v>
      </c>
      <c r="D19" s="192"/>
      <c r="E19" s="192"/>
      <c r="F19" s="192"/>
      <c r="G19" s="192"/>
      <c r="H19" s="192"/>
      <c r="I19" s="192"/>
      <c r="J19" s="192"/>
      <c r="K19" s="192"/>
      <c r="L19" s="192"/>
      <c r="M19" s="192"/>
      <c r="N19" s="192"/>
      <c r="O19" s="192"/>
      <c r="P19" s="192"/>
      <c r="Q19" s="192"/>
      <c r="R19" s="192"/>
      <c r="S19" s="192"/>
      <c r="T19" s="192"/>
      <c r="U19" s="192"/>
      <c r="V19" s="192"/>
      <c r="W19" s="192"/>
      <c r="X19" s="192"/>
      <c r="Y19" s="192"/>
      <c r="Z19" s="192"/>
    </row>
    <row r="20">
      <c r="A20" s="192" t="str">
        <f>IFERROR(__xludf.DUMMYFUNCTION("""COMPUTED_VALUE"""),"MMP-MA-AD-1A")</f>
        <v>MMP-MA-AD-1A</v>
      </c>
      <c r="B20" s="192" t="s">
        <v>7496</v>
      </c>
      <c r="C20" s="21" t="s">
        <v>22</v>
      </c>
      <c r="D20" s="192"/>
      <c r="E20" s="192"/>
      <c r="F20" s="192"/>
      <c r="G20" s="192"/>
      <c r="H20" s="192"/>
      <c r="I20" s="192"/>
      <c r="J20" s="192"/>
      <c r="K20" s="192"/>
      <c r="L20" s="192"/>
      <c r="M20" s="192"/>
      <c r="N20" s="192"/>
      <c r="O20" s="192"/>
      <c r="P20" s="192"/>
      <c r="Q20" s="192"/>
      <c r="R20" s="192"/>
      <c r="S20" s="192"/>
      <c r="T20" s="192"/>
      <c r="U20" s="192"/>
      <c r="V20" s="192"/>
      <c r="W20" s="192"/>
      <c r="X20" s="192"/>
      <c r="Y20" s="192"/>
      <c r="Z20" s="192"/>
    </row>
    <row r="21">
      <c r="A21" s="192" t="str">
        <f>IFERROR(__xludf.DUMMYFUNCTION("""COMPUTED_VALUE"""),"OLN-MA-AD-1A")</f>
        <v>OLN-MA-AD-1A</v>
      </c>
      <c r="B21" s="192" t="s">
        <v>7497</v>
      </c>
      <c r="C21" s="21" t="s">
        <v>22</v>
      </c>
      <c r="D21" s="192"/>
      <c r="E21" s="192"/>
      <c r="F21" s="192"/>
      <c r="G21" s="192"/>
      <c r="H21" s="192"/>
      <c r="I21" s="192"/>
      <c r="J21" s="192"/>
      <c r="K21" s="192"/>
      <c r="L21" s="192"/>
      <c r="M21" s="192"/>
      <c r="N21" s="192"/>
      <c r="O21" s="192"/>
      <c r="P21" s="192"/>
      <c r="Q21" s="192"/>
      <c r="R21" s="192"/>
      <c r="S21" s="192"/>
      <c r="T21" s="192"/>
      <c r="U21" s="192"/>
      <c r="V21" s="192"/>
      <c r="W21" s="192"/>
      <c r="X21" s="192"/>
      <c r="Y21" s="192"/>
      <c r="Z21" s="192"/>
    </row>
    <row r="22">
      <c r="A22" s="192" t="str">
        <f>IFERROR(__xludf.DUMMYFUNCTION("""COMPUTED_VALUE"""),"OLN-PH-WP-1A")</f>
        <v>OLN-PH-WP-1A</v>
      </c>
      <c r="B22" s="192" t="s">
        <v>7498</v>
      </c>
      <c r="C22" s="21" t="s">
        <v>22</v>
      </c>
      <c r="D22" s="192"/>
      <c r="E22" s="192"/>
      <c r="F22" s="192"/>
      <c r="G22" s="192"/>
      <c r="H22" s="192"/>
      <c r="I22" s="192"/>
      <c r="J22" s="192"/>
      <c r="K22" s="192"/>
      <c r="L22" s="192"/>
      <c r="M22" s="192"/>
      <c r="N22" s="192"/>
      <c r="O22" s="192"/>
      <c r="P22" s="192"/>
      <c r="Q22" s="192"/>
      <c r="R22" s="192"/>
      <c r="S22" s="192"/>
      <c r="T22" s="192"/>
      <c r="U22" s="192"/>
      <c r="V22" s="192"/>
      <c r="W22" s="192"/>
      <c r="X22" s="192"/>
      <c r="Y22" s="192"/>
      <c r="Z22" s="192"/>
    </row>
    <row r="23">
      <c r="A23" s="192" t="str">
        <f>IFERROR(__xludf.DUMMYFUNCTION("""COMPUTED_VALUE"""),"OLN-ALT-PT-1A")</f>
        <v>OLN-ALT-PT-1A</v>
      </c>
      <c r="B23" s="192" t="s">
        <v>7499</v>
      </c>
      <c r="C23" s="21" t="s">
        <v>22</v>
      </c>
      <c r="D23" s="192"/>
      <c r="E23" s="192"/>
      <c r="F23" s="192"/>
      <c r="G23" s="192"/>
      <c r="H23" s="192"/>
      <c r="I23" s="192"/>
      <c r="J23" s="192"/>
      <c r="K23" s="192"/>
      <c r="L23" s="192"/>
      <c r="M23" s="192"/>
      <c r="N23" s="192"/>
      <c r="O23" s="192"/>
      <c r="P23" s="192"/>
      <c r="Q23" s="192"/>
      <c r="R23" s="192"/>
      <c r="S23" s="192"/>
      <c r="T23" s="192"/>
      <c r="U23" s="192"/>
      <c r="V23" s="192"/>
      <c r="W23" s="192"/>
      <c r="X23" s="192"/>
      <c r="Y23" s="192"/>
      <c r="Z23" s="192"/>
    </row>
    <row r="24">
      <c r="A24" s="192" t="str">
        <f>IFERROR(__xludf.DUMMYFUNCTION("""COMPUTED_VALUE"""),"OLN-FI-RF-1A")</f>
        <v>OLN-FI-RF-1A</v>
      </c>
      <c r="B24" s="192" t="s">
        <v>7500</v>
      </c>
      <c r="C24" s="21" t="s">
        <v>22</v>
      </c>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c r="A25" s="192" t="str">
        <f>IFERROR(__xludf.DUMMYFUNCTION("""COMPUTED_VALUE"""),"OLN-PH-STS-1A")</f>
        <v>OLN-PH-STS-1A</v>
      </c>
      <c r="B25" s="192" t="s">
        <v>7501</v>
      </c>
      <c r="C25" s="21" t="s">
        <v>22</v>
      </c>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c r="A26" s="192" t="str">
        <f>IFERROR(__xludf.DUMMYFUNCTION("""COMPUTED_VALUE"""),"OLN-PH-SD-1A")</f>
        <v>OLN-PH-SD-1A</v>
      </c>
      <c r="B26" s="192" t="s">
        <v>7502</v>
      </c>
      <c r="C26" s="21" t="s">
        <v>22</v>
      </c>
      <c r="D26" s="192"/>
      <c r="E26" s="192"/>
      <c r="F26" s="192"/>
      <c r="G26" s="192"/>
      <c r="H26" s="192"/>
      <c r="I26" s="192"/>
      <c r="J26" s="192"/>
      <c r="K26" s="192"/>
      <c r="L26" s="192"/>
      <c r="M26" s="192"/>
      <c r="N26" s="192"/>
      <c r="O26" s="192"/>
      <c r="P26" s="192"/>
      <c r="Q26" s="192"/>
      <c r="R26" s="192"/>
      <c r="S26" s="192"/>
      <c r="T26" s="192"/>
      <c r="U26" s="192"/>
      <c r="V26" s="192"/>
      <c r="W26" s="192"/>
      <c r="X26" s="192"/>
      <c r="Y26" s="192"/>
      <c r="Z26" s="192"/>
    </row>
    <row r="27">
      <c r="A27" s="192" t="str">
        <f>IFERROR(__xludf.DUMMYFUNCTION("""COMPUTED_VALUE"""),"AR-PH-WP-1A")</f>
        <v>AR-PH-WP-1A</v>
      </c>
      <c r="B27" s="192" t="s">
        <v>7503</v>
      </c>
      <c r="C27" s="21" t="s">
        <v>22</v>
      </c>
      <c r="D27" s="192"/>
      <c r="E27" s="192"/>
      <c r="F27" s="192"/>
      <c r="G27" s="192"/>
      <c r="H27" s="192"/>
      <c r="I27" s="192"/>
      <c r="J27" s="192"/>
      <c r="K27" s="192"/>
      <c r="L27" s="192"/>
      <c r="M27" s="192"/>
      <c r="N27" s="192"/>
      <c r="O27" s="192"/>
      <c r="P27" s="192"/>
      <c r="Q27" s="192"/>
      <c r="R27" s="192"/>
      <c r="S27" s="192"/>
      <c r="T27" s="192"/>
      <c r="U27" s="192"/>
      <c r="V27" s="192"/>
      <c r="W27" s="192"/>
      <c r="X27" s="192"/>
      <c r="Y27" s="192"/>
      <c r="Z27" s="192"/>
    </row>
    <row r="28">
      <c r="A28" s="192" t="str">
        <f>IFERROR(__xludf.DUMMYFUNCTION("""COMPUTED_VALUE"""),"AR-AL-LM-1A")</f>
        <v>AR-AL-LM-1A</v>
      </c>
      <c r="B28" s="192" t="s">
        <v>7504</v>
      </c>
      <c r="C28" s="21" t="s">
        <v>22</v>
      </c>
      <c r="D28" s="192"/>
      <c r="E28" s="192"/>
      <c r="F28" s="192"/>
      <c r="G28" s="192"/>
      <c r="H28" s="192"/>
      <c r="I28" s="192"/>
      <c r="J28" s="192"/>
      <c r="K28" s="192"/>
      <c r="L28" s="192"/>
      <c r="M28" s="192"/>
      <c r="N28" s="192"/>
      <c r="O28" s="192"/>
      <c r="P28" s="192"/>
      <c r="Q28" s="192"/>
      <c r="R28" s="192"/>
      <c r="S28" s="192"/>
      <c r="T28" s="192"/>
      <c r="U28" s="192"/>
      <c r="V28" s="192"/>
      <c r="W28" s="192"/>
      <c r="X28" s="192"/>
      <c r="Y28" s="192"/>
      <c r="Z28" s="192"/>
    </row>
    <row r="29">
      <c r="A29" s="192" t="str">
        <f>IFERROR(__xludf.DUMMYFUNCTION("""COMPUTED_VALUE"""),"ZB-SE-HA-1A")</f>
        <v>ZB-SE-HA-1A</v>
      </c>
      <c r="B29" s="192" t="s">
        <v>7505</v>
      </c>
      <c r="C29" s="21" t="s">
        <v>22</v>
      </c>
      <c r="D29" s="192"/>
      <c r="E29" s="192"/>
      <c r="F29" s="192"/>
      <c r="G29" s="192"/>
      <c r="H29" s="192"/>
      <c r="I29" s="192"/>
      <c r="J29" s="192"/>
      <c r="K29" s="192"/>
      <c r="L29" s="192"/>
      <c r="M29" s="192"/>
      <c r="N29" s="192"/>
      <c r="O29" s="192"/>
      <c r="P29" s="192"/>
      <c r="Q29" s="192"/>
      <c r="R29" s="192"/>
      <c r="S29" s="192"/>
      <c r="T29" s="192"/>
      <c r="U29" s="192"/>
      <c r="V29" s="192"/>
      <c r="W29" s="192"/>
      <c r="X29" s="192"/>
      <c r="Y29" s="192"/>
      <c r="Z29" s="192"/>
    </row>
    <row r="30">
      <c r="A30" s="192" t="str">
        <f>IFERROR(__xludf.DUMMYFUNCTION("""COMPUTED_VALUE"""),"IST-PH-PP-1A")</f>
        <v>IST-PH-PP-1A</v>
      </c>
      <c r="B30" s="192" t="s">
        <v>7506</v>
      </c>
      <c r="C30" s="21" t="s">
        <v>22</v>
      </c>
      <c r="D30" s="192"/>
      <c r="E30" s="192"/>
      <c r="F30" s="192"/>
      <c r="G30" s="192"/>
      <c r="H30" s="192"/>
      <c r="I30" s="192"/>
      <c r="J30" s="192"/>
      <c r="K30" s="192"/>
      <c r="L30" s="192"/>
      <c r="M30" s="192"/>
      <c r="N30" s="192"/>
      <c r="O30" s="192"/>
      <c r="P30" s="192"/>
      <c r="Q30" s="192"/>
      <c r="R30" s="192"/>
      <c r="S30" s="192"/>
      <c r="T30" s="192"/>
      <c r="U30" s="192"/>
      <c r="V30" s="192"/>
      <c r="W30" s="192"/>
      <c r="X30" s="192"/>
      <c r="Y30" s="192"/>
      <c r="Z30" s="192"/>
    </row>
    <row r="31">
      <c r="A31" s="192" t="str">
        <f>IFERROR(__xludf.DUMMYFUNCTION("""COMPUTED_VALUE"""),"IST-PH-GCN-1A")</f>
        <v>IST-PH-GCN-1A</v>
      </c>
      <c r="B31" s="192" t="s">
        <v>7507</v>
      </c>
      <c r="C31" s="21" t="s">
        <v>22</v>
      </c>
      <c r="D31" s="192"/>
      <c r="E31" s="192"/>
      <c r="F31" s="192"/>
      <c r="G31" s="192"/>
      <c r="H31" s="192"/>
      <c r="I31" s="192"/>
      <c r="J31" s="192"/>
      <c r="K31" s="192"/>
      <c r="L31" s="192"/>
      <c r="M31" s="192"/>
      <c r="N31" s="192"/>
      <c r="O31" s="192"/>
      <c r="P31" s="192"/>
      <c r="Q31" s="192"/>
      <c r="R31" s="192"/>
      <c r="S31" s="192"/>
      <c r="T31" s="192"/>
      <c r="U31" s="192"/>
      <c r="V31" s="192"/>
      <c r="W31" s="192"/>
      <c r="X31" s="192"/>
      <c r="Y31" s="192"/>
      <c r="Z31" s="192"/>
    </row>
    <row r="32">
      <c r="A32" s="192" t="str">
        <f>IFERROR(__xludf.DUMMYFUNCTION("""COMPUTED_VALUE"""),"TGG-HO-GF-1A")</f>
        <v>TGG-HO-GF-1A</v>
      </c>
      <c r="B32" s="192" t="s">
        <v>7508</v>
      </c>
      <c r="C32" s="21" t="s">
        <v>22</v>
      </c>
      <c r="D32" s="192"/>
      <c r="E32" s="192"/>
      <c r="F32" s="192"/>
      <c r="G32" s="192"/>
      <c r="H32" s="192"/>
      <c r="I32" s="192"/>
      <c r="J32" s="192"/>
      <c r="K32" s="192"/>
      <c r="L32" s="192"/>
      <c r="M32" s="192"/>
      <c r="N32" s="192"/>
      <c r="O32" s="192"/>
      <c r="P32" s="192"/>
      <c r="Q32" s="192"/>
      <c r="R32" s="192"/>
      <c r="S32" s="192"/>
      <c r="T32" s="192"/>
      <c r="U32" s="192"/>
      <c r="V32" s="192"/>
      <c r="W32" s="192"/>
      <c r="X32" s="192"/>
      <c r="Y32" s="192"/>
      <c r="Z32" s="192"/>
    </row>
    <row r="33">
      <c r="A33" s="192" t="str">
        <f>IFERROR(__xludf.DUMMYFUNCTION("""COMPUTED_VALUE"""),"TGG-HO-PU-1A")</f>
        <v>TGG-HO-PU-1A</v>
      </c>
      <c r="B33" s="192" t="s">
        <v>7509</v>
      </c>
      <c r="C33" s="21" t="s">
        <v>22</v>
      </c>
      <c r="D33" s="192"/>
      <c r="E33" s="192"/>
      <c r="F33" s="192"/>
      <c r="G33" s="192"/>
      <c r="H33" s="192"/>
      <c r="I33" s="192"/>
      <c r="J33" s="192"/>
      <c r="K33" s="192"/>
      <c r="L33" s="192"/>
      <c r="M33" s="192"/>
      <c r="N33" s="192"/>
      <c r="O33" s="192"/>
      <c r="P33" s="192"/>
      <c r="Q33" s="192"/>
      <c r="R33" s="192"/>
      <c r="S33" s="192"/>
      <c r="T33" s="192"/>
      <c r="U33" s="192"/>
      <c r="V33" s="192"/>
      <c r="W33" s="192"/>
      <c r="X33" s="192"/>
      <c r="Y33" s="192"/>
      <c r="Z33" s="192"/>
    </row>
    <row r="34">
      <c r="A34" s="192" t="str">
        <f>IFERROR(__xludf.DUMMYFUNCTION("""COMPUTED_VALUE"""),"FM-MA-DE-1A")</f>
        <v>FM-MA-DE-1A</v>
      </c>
      <c r="B34" s="192" t="s">
        <v>7510</v>
      </c>
      <c r="C34" s="21" t="s">
        <v>22</v>
      </c>
      <c r="D34" s="192"/>
      <c r="E34" s="192"/>
      <c r="F34" s="192"/>
      <c r="G34" s="192"/>
      <c r="H34" s="192"/>
      <c r="I34" s="192"/>
      <c r="J34" s="192"/>
      <c r="K34" s="192"/>
      <c r="L34" s="192"/>
      <c r="M34" s="192"/>
      <c r="N34" s="192"/>
      <c r="O34" s="192"/>
      <c r="P34" s="192"/>
      <c r="Q34" s="192"/>
      <c r="R34" s="192"/>
      <c r="S34" s="192"/>
      <c r="T34" s="192"/>
      <c r="U34" s="192"/>
      <c r="V34" s="192"/>
      <c r="W34" s="192"/>
      <c r="X34" s="192"/>
      <c r="Y34" s="192"/>
      <c r="Z34" s="192"/>
    </row>
    <row r="35">
      <c r="A35" s="192" t="str">
        <f>IFERROR(__xludf.DUMMYFUNCTION("""COMPUTED_VALUE"""),"AM-PH-PP-1A")</f>
        <v>AM-PH-PP-1A</v>
      </c>
      <c r="B35" s="192" t="s">
        <v>7511</v>
      </c>
      <c r="C35" s="21" t="s">
        <v>22</v>
      </c>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c r="A36" s="192" t="str">
        <f>IFERROR(__xludf.DUMMYFUNCTION("""COMPUTED_VALUE"""),"AM-PH-WW-1A")</f>
        <v>AM-PH-WW-1A</v>
      </c>
      <c r="B36" s="192" t="s">
        <v>7512</v>
      </c>
      <c r="C36" s="21" t="s">
        <v>22</v>
      </c>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c r="A37" s="192" t="str">
        <f>IFERROR(__xludf.DUMMYFUNCTION("""COMPUTED_VALUE"""),"AM-PH-GL-1A")</f>
        <v>AM-PH-GL-1A</v>
      </c>
      <c r="B37" s="192" t="s">
        <v>7513</v>
      </c>
      <c r="C37" s="21" t="s">
        <v>22</v>
      </c>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c r="A38" s="192" t="str">
        <f>IFERROR(__xludf.DUMMYFUNCTION("""COMPUTED_VALUE"""),"AM-PH-BI-1A")</f>
        <v>AM-PH-BI-1A</v>
      </c>
      <c r="B38" s="192" t="s">
        <v>7514</v>
      </c>
      <c r="C38" s="21" t="s">
        <v>22</v>
      </c>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c r="A39" s="192" t="str">
        <f>IFERROR(__xludf.DUMMYFUNCTION("""COMPUTED_VALUE"""),"TGOPS-PH-PPM-1A")</f>
        <v>TGOPS-PH-PPM-1A</v>
      </c>
      <c r="B39" s="192" t="s">
        <v>7515</v>
      </c>
      <c r="C39" s="21" t="s">
        <v>22</v>
      </c>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c r="A40" s="192" t="str">
        <f>IFERROR(__xludf.DUMMYFUNCTION("""COMPUTED_VALUE"""),"TGOPS-PH-PPM-1A-2")</f>
        <v>TGOPS-PH-PPM-1A-2</v>
      </c>
      <c r="B40" s="192" t="s">
        <v>7516</v>
      </c>
      <c r="C40" s="21" t="s">
        <v>22</v>
      </c>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c r="A41" s="192" t="str">
        <f>IFERROR(__xludf.DUMMYFUNCTION("""COMPUTED_VALUE"""),"TGOPS-PH-PPM-1A-3")</f>
        <v>TGOPS-PH-PPM-1A-3</v>
      </c>
      <c r="B41" s="192" t="s">
        <v>7517</v>
      </c>
      <c r="C41" s="21" t="s">
        <v>22</v>
      </c>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c r="A42" s="192" t="str">
        <f>IFERROR(__xludf.DUMMYFUNCTION("""COMPUTED_VALUE"""),"TGOPS-PH-POO-1A")</f>
        <v>TGOPS-PH-POO-1A</v>
      </c>
      <c r="B42" s="192" t="s">
        <v>7518</v>
      </c>
      <c r="C42" s="21" t="s">
        <v>22</v>
      </c>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c r="A43" s="192" t="str">
        <f>IFERROR(__xludf.DUMMYFUNCTION("""COMPUTED_VALUE"""),"TGOPS-PH-POO-1A-2")</f>
        <v>TGOPS-PH-POO-1A-2</v>
      </c>
      <c r="B43" s="192" t="s">
        <v>7519</v>
      </c>
      <c r="C43" s="21" t="s">
        <v>22</v>
      </c>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c r="A44" s="192" t="str">
        <f>IFERROR(__xludf.DUMMYFUNCTION("""COMPUTED_VALUE"""),"TGOPS-PH-POO-1A-3")</f>
        <v>TGOPS-PH-POO-1A-3</v>
      </c>
      <c r="B44" s="192" t="s">
        <v>7520</v>
      </c>
      <c r="C44" s="21" t="s">
        <v>22</v>
      </c>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c r="A45" s="192" t="str">
        <f>IFERROR(__xludf.DUMMYFUNCTION("""COMPUTED_VALUE"""),"TGOPS-PH-WW-1A")</f>
        <v>TGOPS-PH-WW-1A</v>
      </c>
      <c r="B45" s="192" t="s">
        <v>7521</v>
      </c>
      <c r="C45" s="21" t="s">
        <v>22</v>
      </c>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c r="A46" s="192" t="str">
        <f>IFERROR(__xludf.DUMMYFUNCTION("""COMPUTED_VALUE"""),"TGOPS-PH-WW-1A-2")</f>
        <v>TGOPS-PH-WW-1A-2</v>
      </c>
      <c r="B46" s="192" t="s">
        <v>7522</v>
      </c>
      <c r="C46" s="21" t="s">
        <v>22</v>
      </c>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c r="A47" s="192" t="str">
        <f>IFERROR(__xludf.DUMMYFUNCTION("""COMPUTED_VALUE"""),"TGOPS-PH-WW-1A-3")</f>
        <v>TGOPS-PH-WW-1A-3</v>
      </c>
      <c r="B47" s="192" t="s">
        <v>7523</v>
      </c>
      <c r="C47" s="21" t="s">
        <v>22</v>
      </c>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c r="A48" s="192" t="str">
        <f>IFERROR(__xludf.DUMMYFUNCTION("""COMPUTED_VALUE"""),"BWH-PH-MO-1A")</f>
        <v>BWH-PH-MO-1A</v>
      </c>
      <c r="B48" s="192" t="s">
        <v>7524</v>
      </c>
      <c r="C48" s="21" t="s">
        <v>22</v>
      </c>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c r="A49" s="192" t="str">
        <f>IFERROR(__xludf.DUMMYFUNCTION("""COMPUTED_VALUE"""),"BWH-PH-MO-1A-2")</f>
        <v>BWH-PH-MO-1A-2</v>
      </c>
      <c r="B49" s="192" t="s">
        <v>7525</v>
      </c>
      <c r="C49" s="21" t="s">
        <v>22</v>
      </c>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c r="A50" s="192" t="str">
        <f>IFERROR(__xludf.DUMMYFUNCTION("""COMPUTED_VALUE"""),"BWH-PH-MO-1A-3")</f>
        <v>BWH-PH-MO-1A-3</v>
      </c>
      <c r="B50" s="192" t="s">
        <v>7526</v>
      </c>
      <c r="C50" s="21" t="s">
        <v>22</v>
      </c>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c r="A51" s="192" t="str">
        <f>IFERROR(__xludf.DUMMYFUNCTION("""COMPUTED_VALUE"""),"BWH-PH-MO-1A-4")</f>
        <v>BWH-PH-MO-1A-4</v>
      </c>
      <c r="B51" s="192" t="s">
        <v>7527</v>
      </c>
      <c r="C51" s="21" t="s">
        <v>22</v>
      </c>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c r="A52" s="192" t="str">
        <f>IFERROR(__xludf.DUMMYFUNCTION("""COMPUTED_VALUE"""),"BWH-PH-MO-1A-5")</f>
        <v>BWH-PH-MO-1A-5</v>
      </c>
      <c r="B52" s="192" t="s">
        <v>7528</v>
      </c>
      <c r="C52" s="21" t="s">
        <v>22</v>
      </c>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c r="A53" s="192" t="str">
        <f>IFERROR(__xludf.DUMMYFUNCTION("""COMPUTED_VALUE"""),"BWH-PH-RAPK-1A")</f>
        <v>BWH-PH-RAPK-1A</v>
      </c>
      <c r="B53" s="192" t="s">
        <v>7529</v>
      </c>
      <c r="C53" s="21" t="s">
        <v>22</v>
      </c>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c r="A54" s="192" t="str">
        <f>IFERROR(__xludf.DUMMYFUNCTION("""COMPUTED_VALUE"""),"BWH-PH-RAPK-1A-2")</f>
        <v>BWH-PH-RAPK-1A-2</v>
      </c>
      <c r="B54" s="192" t="s">
        <v>7530</v>
      </c>
      <c r="C54" s="21" t="s">
        <v>22</v>
      </c>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c r="A55" s="192" t="str">
        <f>IFERROR(__xludf.DUMMYFUNCTION("""COMPUTED_VALUE"""),"BWH-PH-RAPK-1A-3")</f>
        <v>BWH-PH-RAPK-1A-3</v>
      </c>
      <c r="B55" s="192" t="s">
        <v>7531</v>
      </c>
      <c r="C55" s="21" t="s">
        <v>22</v>
      </c>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c r="A56" s="192" t="str">
        <f>IFERROR(__xludf.DUMMYFUNCTION("""COMPUTED_VALUE"""),"BWH-PH-RAPK-1A-4")</f>
        <v>BWH-PH-RAPK-1A-4</v>
      </c>
      <c r="B56" s="192" t="s">
        <v>7532</v>
      </c>
      <c r="C56" s="21" t="s">
        <v>22</v>
      </c>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c r="A57" s="192" t="str">
        <f>IFERROR(__xludf.DUMMYFUNCTION("""COMPUTED_VALUE"""),"BWH-PH-RAPK-1A-5")</f>
        <v>BWH-PH-RAPK-1A-5</v>
      </c>
      <c r="B57" s="192" t="s">
        <v>7533</v>
      </c>
      <c r="C57" s="21" t="s">
        <v>22</v>
      </c>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c r="A58" s="192" t="str">
        <f>IFERROR(__xludf.DUMMYFUNCTION("""COMPUTED_VALUE"""),"BWH-PO-PAJ-1A")</f>
        <v>BWH-PO-PAJ-1A</v>
      </c>
      <c r="B58" s="192" t="s">
        <v>7534</v>
      </c>
      <c r="C58" s="21" t="s">
        <v>22</v>
      </c>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c r="A59" s="192" t="str">
        <f>IFERROR(__xludf.DUMMYFUNCTION("""COMPUTED_VALUE"""),"BWH-PO-PAJ-1A-2")</f>
        <v>BWH-PO-PAJ-1A-2</v>
      </c>
      <c r="B59" s="192" t="s">
        <v>7535</v>
      </c>
      <c r="C59" s="21" t="s">
        <v>22</v>
      </c>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c r="A60" s="192" t="str">
        <f>IFERROR(__xludf.DUMMYFUNCTION("""COMPUTED_VALUE"""),"BWH-PO-PAJ-1A-3")</f>
        <v>BWH-PO-PAJ-1A-3</v>
      </c>
      <c r="B60" s="192" t="s">
        <v>7536</v>
      </c>
      <c r="C60" s="21" t="s">
        <v>22</v>
      </c>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c r="A61" s="192" t="str">
        <f>IFERROR(__xludf.DUMMYFUNCTION("""COMPUTED_VALUE"""),"BWH-PO-PAJ-1A-4")</f>
        <v>BWH-PO-PAJ-1A-4</v>
      </c>
      <c r="B61" s="192" t="s">
        <v>7537</v>
      </c>
      <c r="C61" s="21" t="s">
        <v>22</v>
      </c>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c r="A62" s="192" t="str">
        <f>IFERROR(__xludf.DUMMYFUNCTION("""COMPUTED_VALUE"""),"BWH-PO-PAJ-1A-5")</f>
        <v>BWH-PO-PAJ-1A-5</v>
      </c>
      <c r="B62" s="192" t="s">
        <v>7538</v>
      </c>
      <c r="C62" s="21" t="s">
        <v>22</v>
      </c>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c r="A63" s="192" t="str">
        <f>IFERROR(__xludf.DUMMYFUNCTION("""COMPUTED_VALUE"""),"BWH-SYN-PS-1A")</f>
        <v>BWH-SYN-PS-1A</v>
      </c>
      <c r="B63" s="192" t="s">
        <v>7539</v>
      </c>
      <c r="C63" s="21" t="s">
        <v>22</v>
      </c>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c r="A64" s="192" t="str">
        <f>IFERROR(__xludf.DUMMYFUNCTION("""COMPUTED_VALUE"""),"BWH-SYN-PS-1A-2")</f>
        <v>BWH-SYN-PS-1A-2</v>
      </c>
      <c r="B64" s="192" t="s">
        <v>7540</v>
      </c>
      <c r="C64" s="21" t="s">
        <v>22</v>
      </c>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c r="A65" s="192" t="str">
        <f>IFERROR(__xludf.DUMMYFUNCTION("""COMPUTED_VALUE"""),"BWH-SYN-PS-1A-3")</f>
        <v>BWH-SYN-PS-1A-3</v>
      </c>
      <c r="B65" s="192" t="s">
        <v>7541</v>
      </c>
      <c r="C65" s="21" t="s">
        <v>22</v>
      </c>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c r="A66" s="192" t="str">
        <f>IFERROR(__xludf.DUMMYFUNCTION("""COMPUTED_VALUE"""),"BWH-SYN-PS-1A-4")</f>
        <v>BWH-SYN-PS-1A-4</v>
      </c>
      <c r="B66" s="192" t="s">
        <v>7542</v>
      </c>
      <c r="C66" s="21" t="s">
        <v>22</v>
      </c>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c r="A67" s="192" t="str">
        <f>IFERROR(__xludf.DUMMYFUNCTION("""COMPUTED_VALUE"""),"BWH-SYN-PS-1A-5")</f>
        <v>BWH-SYN-PS-1A-5</v>
      </c>
      <c r="B67" s="192" t="s">
        <v>7543</v>
      </c>
      <c r="C67" s="21" t="s">
        <v>22</v>
      </c>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c r="A68" s="192" t="str">
        <f>IFERROR(__xludf.DUMMYFUNCTION("""COMPUTED_VALUE"""),"FPH-PH-GCN-1A")</f>
        <v>FPH-PH-GCN-1A</v>
      </c>
      <c r="B68" s="192" t="s">
        <v>7544</v>
      </c>
      <c r="C68" s="21" t="s">
        <v>22</v>
      </c>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c r="A69" s="192" t="str">
        <f>IFERROR(__xludf.DUMMYFUNCTION("""COMPUTED_VALUE"""),"BTPG-HO-KP-1A")</f>
        <v>BTPG-HO-KP-1A</v>
      </c>
      <c r="B69" s="192" t="s">
        <v>7545</v>
      </c>
      <c r="C69" s="21" t="s">
        <v>22</v>
      </c>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c r="A70" s="192" t="str">
        <f>IFERROR(__xludf.DUMMYFUNCTION("""COMPUTED_VALUE"""),"BPF-CE-SOH-1A")</f>
        <v>BPF-CE-SOH-1A</v>
      </c>
      <c r="B70" s="192" t="s">
        <v>7546</v>
      </c>
      <c r="C70" s="21" t="s">
        <v>22</v>
      </c>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c r="A71" s="192" t="str">
        <f>IFERROR(__xludf.DUMMYFUNCTION("""COMPUTED_VALUE"""),"BPF-CE-SOH-1A-2")</f>
        <v>BPF-CE-SOH-1A-2</v>
      </c>
      <c r="B71" s="192" t="s">
        <v>7547</v>
      </c>
      <c r="C71" s="21" t="s">
        <v>22</v>
      </c>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c r="A72" s="192" t="str">
        <f>IFERROR(__xludf.DUMMYFUNCTION("""COMPUTED_VALUE"""),"BPF-CE-SOH-1A-3")</f>
        <v>BPF-CE-SOH-1A-3</v>
      </c>
      <c r="B72" s="192" t="s">
        <v>7548</v>
      </c>
      <c r="C72" s="21" t="s">
        <v>22</v>
      </c>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c r="A73" s="192" t="str">
        <f>IFERROR(__xludf.DUMMYFUNCTION("""COMPUTED_VALUE"""),"BPF-CE-SOH-1A-4")</f>
        <v>BPF-CE-SOH-1A-4</v>
      </c>
      <c r="B73" s="192" t="s">
        <v>7549</v>
      </c>
      <c r="C73" s="21" t="s">
        <v>22</v>
      </c>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c r="A74" s="192" t="str">
        <f>IFERROR(__xludf.DUMMYFUNCTION("""COMPUTED_VALUE"""),"BPF-CE-SOH-1A-5")</f>
        <v>BPF-CE-SOH-1A-5</v>
      </c>
      <c r="B74" s="192" t="s">
        <v>7550</v>
      </c>
      <c r="C74" s="21" t="s">
        <v>22</v>
      </c>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c r="A75" s="192" t="str">
        <f>IFERROR(__xludf.DUMMYFUNCTION("""COMPUTED_VALUE"""),"BPF-SE-SOP-1A")</f>
        <v>BPF-SE-SOP-1A</v>
      </c>
      <c r="B75" s="192" t="s">
        <v>7551</v>
      </c>
      <c r="C75" s="21" t="s">
        <v>22</v>
      </c>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c r="A76" s="192" t="str">
        <f>IFERROR(__xludf.DUMMYFUNCTION("""COMPUTED_VALUE"""),"BPF-SE-SOP-1A-2")</f>
        <v>BPF-SE-SOP-1A-2</v>
      </c>
      <c r="B76" s="192" t="s">
        <v>7552</v>
      </c>
      <c r="C76" s="21" t="s">
        <v>22</v>
      </c>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c r="A77" s="192" t="str">
        <f>IFERROR(__xludf.DUMMYFUNCTION("""COMPUTED_VALUE"""),"BPF-SE-SOP-1A-3")</f>
        <v>BPF-SE-SOP-1A-3</v>
      </c>
      <c r="B77" s="192" t="s">
        <v>7553</v>
      </c>
      <c r="C77" s="21" t="s">
        <v>22</v>
      </c>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c r="A78" s="192" t="str">
        <f>IFERROR(__xludf.DUMMYFUNCTION("""COMPUTED_VALUE"""),"BPF-SE-SOP-1A-4")</f>
        <v>BPF-SE-SOP-1A-4</v>
      </c>
      <c r="B78" s="192" t="s">
        <v>7554</v>
      </c>
      <c r="C78" s="21" t="s">
        <v>22</v>
      </c>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c r="A79" s="192" t="str">
        <f>IFERROR(__xludf.DUMMYFUNCTION("""COMPUTED_VALUE"""),"BPF-SE-SOP-1A-5")</f>
        <v>BPF-SE-SOP-1A-5</v>
      </c>
      <c r="B79" s="192" t="s">
        <v>7555</v>
      </c>
      <c r="C79" s="21" t="s">
        <v>22</v>
      </c>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c r="A80" s="192" t="str">
        <f>IFERROR(__xludf.DUMMYFUNCTION("""COMPUTED_VALUE"""),"BPF-PO-NE-1A")</f>
        <v>BPF-PO-NE-1A</v>
      </c>
      <c r="B80" s="192" t="s">
        <v>7556</v>
      </c>
      <c r="C80" s="21" t="s">
        <v>22</v>
      </c>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c r="A81" s="192" t="str">
        <f>IFERROR(__xludf.DUMMYFUNCTION("""COMPUTED_VALUE"""),"BPF-PO-NE-1A-2")</f>
        <v>BPF-PO-NE-1A-2</v>
      </c>
      <c r="B81" s="192" t="s">
        <v>7557</v>
      </c>
      <c r="C81" s="21" t="s">
        <v>22</v>
      </c>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c r="A82" s="192" t="str">
        <f>IFERROR(__xludf.DUMMYFUNCTION("""COMPUTED_VALUE"""),"FM-PH-PP-1A")</f>
        <v>FM-PH-PP-1A</v>
      </c>
      <c r="B82" s="192" t="s">
        <v>7558</v>
      </c>
      <c r="C82" s="21" t="s">
        <v>22</v>
      </c>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c r="A83" s="192" t="str">
        <f>IFERROR(__xludf.DUMMYFUNCTION("""COMPUTED_VALUE"""),"FM-PH-BMV-1A")</f>
        <v>FM-PH-BMV-1A</v>
      </c>
      <c r="B83" s="192" t="s">
        <v>7559</v>
      </c>
      <c r="C83" s="21" t="s">
        <v>22</v>
      </c>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c r="A84" s="192" t="str">
        <f>IFERROR(__xludf.DUMMYFUNCTION("""COMPUTED_VALUE"""),"FM-PH-BMV-1A-2")</f>
        <v>FM-PH-BMV-1A-2</v>
      </c>
      <c r="B84" s="192" t="s">
        <v>7560</v>
      </c>
      <c r="C84" s="21" t="s">
        <v>22</v>
      </c>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c r="A85" s="192" t="str">
        <f>IFERROR(__xludf.DUMMYFUNCTION("""COMPUTED_VALUE"""),"FM-SYN-BA-1A")</f>
        <v>FM-SYN-BA-1A</v>
      </c>
      <c r="B85" s="192" t="s">
        <v>7561</v>
      </c>
      <c r="C85" s="21" t="s">
        <v>22</v>
      </c>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c r="A86" s="192" t="str">
        <f>IFERROR(__xludf.DUMMYFUNCTION("""COMPUTED_VALUE"""),"FMY-AL-RSD-1A-2")</f>
        <v>FMY-AL-RSD-1A-2</v>
      </c>
      <c r="B86" s="192" t="s">
        <v>7562</v>
      </c>
      <c r="C86" s="21" t="s">
        <v>22</v>
      </c>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c r="A87" s="192" t="str">
        <f>IFERROR(__xludf.DUMMYFUNCTION("""COMPUTED_VALUE"""),"FMY-MA-PE-1A")</f>
        <v>FMY-MA-PE-1A</v>
      </c>
      <c r="B87" s="192" t="s">
        <v>7563</v>
      </c>
      <c r="C87" s="21" t="s">
        <v>22</v>
      </c>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c r="A88" s="192" t="str">
        <f>IFERROR(__xludf.DUMMYFUNCTION("""COMPUTED_VALUE"""),"FMY-AG-SPA-1A")</f>
        <v>FMY-AG-SPA-1A</v>
      </c>
      <c r="B88" s="192" t="s">
        <v>7564</v>
      </c>
      <c r="C88" s="21" t="s">
        <v>22</v>
      </c>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c r="A89" s="192" t="str">
        <f>IFERROR(__xludf.DUMMYFUNCTION("""COMPUTED_VALUE"""),"FMY-CA-MA-1A")</f>
        <v>FMY-CA-MA-1A</v>
      </c>
      <c r="B89" s="192" t="s">
        <v>7565</v>
      </c>
      <c r="C89" s="21" t="s">
        <v>22</v>
      </c>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c r="A90" s="192" t="str">
        <f>IFERROR(__xludf.DUMMYFUNCTION("""COMPUTED_VALUE"""),"FMY-MA-DE-1A-3")</f>
        <v>FMY-MA-DE-1A-3</v>
      </c>
      <c r="B90" s="192" t="s">
        <v>7566</v>
      </c>
      <c r="C90" s="21" t="s">
        <v>22</v>
      </c>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c r="A91" s="192" t="str">
        <f>IFERROR(__xludf.DUMMYFUNCTION("""COMPUTED_VALUE"""),"FMY-MA-DE-1A-4")</f>
        <v>FMY-MA-DE-1A-4</v>
      </c>
      <c r="B91" s="192" t="s">
        <v>7567</v>
      </c>
      <c r="C91" s="21" t="s">
        <v>22</v>
      </c>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c r="A92" s="192" t="str">
        <f>IFERROR(__xludf.DUMMYFUNCTION("""COMPUTED_VALUE"""),"FMY-MA-DE-1A-5")</f>
        <v>FMY-MA-DE-1A-5</v>
      </c>
      <c r="B92" s="192" t="s">
        <v>7568</v>
      </c>
      <c r="C92" s="21" t="s">
        <v>22</v>
      </c>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c r="A93" s="192" t="str">
        <f>IFERROR(__xludf.DUMMYFUNCTION("""COMPUTED_VALUE"""),"FMY-PH-PL-1A")</f>
        <v>FMY-PH-PL-1A</v>
      </c>
      <c r="B93" s="192" t="s">
        <v>7569</v>
      </c>
      <c r="C93" s="21" t="s">
        <v>22</v>
      </c>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c r="A94" s="192" t="str">
        <f>IFERROR(__xludf.DUMMYFUNCTION("""COMPUTED_VALUE"""),"HD-AL-LO-1A")</f>
        <v>HD-AL-LO-1A</v>
      </c>
      <c r="B94" s="192" t="s">
        <v>7570</v>
      </c>
      <c r="C94" s="21" t="s">
        <v>22</v>
      </c>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c r="A95" s="192" t="str">
        <f>IFERROR(__xludf.DUMMYFUNCTION("""COMPUTED_VALUE"""),"HD-AL-LO-1A-2")</f>
        <v>HD-AL-LO-1A-2</v>
      </c>
      <c r="B95" s="192" t="s">
        <v>7571</v>
      </c>
      <c r="C95" s="21" t="s">
        <v>22</v>
      </c>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c r="A96" s="192" t="str">
        <f>IFERROR(__xludf.DUMMYFUNCTION("""COMPUTED_VALUE"""),"HD-AL-GVF-1A-2")</f>
        <v>HD-AL-GVF-1A-2</v>
      </c>
      <c r="B96" s="192" t="s">
        <v>7572</v>
      </c>
      <c r="C96" s="21" t="s">
        <v>22</v>
      </c>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c r="A97" s="192" t="str">
        <f>IFERROR(__xludf.DUMMYFUNCTION("""COMPUTED_VALUE"""),"HD-AL-BDS-1A")</f>
        <v>HD-AL-BDS-1A</v>
      </c>
      <c r="B97" s="192" t="s">
        <v>7573</v>
      </c>
      <c r="C97" s="21" t="s">
        <v>22</v>
      </c>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c r="A98" s="192" t="str">
        <f>IFERROR(__xludf.DUMMYFUNCTION("""COMPUTED_VALUE"""),"HD-PH-GG-1A")</f>
        <v>HD-PH-GG-1A</v>
      </c>
      <c r="B98" s="192" t="s">
        <v>7574</v>
      </c>
      <c r="C98" s="21" t="s">
        <v>22</v>
      </c>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c r="A99" s="192" t="str">
        <f>IFERROR(__xludf.DUMMYFUNCTION("""COMPUTED_VALUE"""),"HD-HO-SSS-1A")</f>
        <v>HD-HO-SSS-1A</v>
      </c>
      <c r="B99" s="192" t="s">
        <v>7575</v>
      </c>
      <c r="C99" s="21" t="s">
        <v>22</v>
      </c>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c r="A100" s="192" t="str">
        <f>IFERROR(__xludf.DUMMYFUNCTION("""COMPUTED_VALUE"""),"HD-ST-TR-1A")</f>
        <v>HD-ST-TR-1A</v>
      </c>
      <c r="B100" s="192" t="s">
        <v>7576</v>
      </c>
      <c r="C100" s="21" t="s">
        <v>22</v>
      </c>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c r="A101" s="192" t="str">
        <f>IFERROR(__xludf.DUMMYFUNCTION("""COMPUTED_VALUE"""),"TRL-FIC-TE-1A")</f>
        <v>TRL-FIC-TE-1A</v>
      </c>
      <c r="B101" s="192" t="s">
        <v>7577</v>
      </c>
      <c r="C101" s="21" t="s">
        <v>22</v>
      </c>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c r="A102" s="192" t="str">
        <f>IFERROR(__xludf.DUMMYFUNCTION("""COMPUTED_VALUE"""),"TRL-SYN-PA-1A")</f>
        <v>TRL-SYN-PA-1A</v>
      </c>
      <c r="B102" s="192" t="s">
        <v>7578</v>
      </c>
      <c r="C102" s="21" t="s">
        <v>22</v>
      </c>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c r="A103" s="192" t="str">
        <f>IFERROR(__xludf.DUMMYFUNCTION("""COMPUTED_VALUE"""),"TRL-PH-JB-1A")</f>
        <v>TRL-PH-JB-1A</v>
      </c>
      <c r="B103" s="192" t="s">
        <v>7579</v>
      </c>
      <c r="C103" s="21" t="s">
        <v>22</v>
      </c>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c r="A104" s="192" t="str">
        <f>IFERROR(__xludf.DUMMYFUNCTION("""COMPUTED_VALUE"""),"RSV-PH-RS-1A")</f>
        <v>RSV-PH-RS-1A</v>
      </c>
      <c r="B104" s="192" t="s">
        <v>7580</v>
      </c>
      <c r="C104" s="21" t="s">
        <v>22</v>
      </c>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c r="A105" s="192" t="str">
        <f>IFERROR(__xludf.DUMMYFUNCTION("""COMPUTED_VALUE"""),"RSV-EPI-PM-1A")</f>
        <v>RSV-EPI-PM-1A</v>
      </c>
      <c r="B105" s="192" t="s">
        <v>7581</v>
      </c>
      <c r="C105" s="21" t="s">
        <v>22</v>
      </c>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c r="A106" s="192" t="str">
        <f>IFERROR(__xludf.DUMMYFUNCTION("""COMPUTED_VALUE"""),"TGE-PH-FB-1A")</f>
        <v>TGE-PH-FB-1A</v>
      </c>
      <c r="B106" s="192" t="s">
        <v>7582</v>
      </c>
      <c r="C106" s="21" t="s">
        <v>22</v>
      </c>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c r="A107" s="192" t="str">
        <f>IFERROR(__xludf.DUMMYFUNCTION("""COMPUTED_VALUE"""),"TGE-PH-ROF-1A")</f>
        <v>TGE-PH-ROF-1A</v>
      </c>
      <c r="B107" s="192" t="s">
        <v>7583</v>
      </c>
      <c r="C107" s="21" t="s">
        <v>22</v>
      </c>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c r="A108" s="192" t="str">
        <f>IFERROR(__xludf.DUMMYFUNCTION("""COMPUTED_VALUE"""),"TGE-PH-BI-1A")</f>
        <v>TGE-PH-BI-1A</v>
      </c>
      <c r="B108" s="192" t="s">
        <v>7584</v>
      </c>
      <c r="C108" s="21" t="s">
        <v>22</v>
      </c>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c r="A109" s="192" t="str">
        <f>IFERROR(__xludf.DUMMYFUNCTION("""COMPUTED_VALUE"""),"TGE-PH-RS-1A")</f>
        <v>TGE-PH-RS-1A</v>
      </c>
      <c r="B109" s="192" t="s">
        <v>7585</v>
      </c>
      <c r="C109" s="21" t="s">
        <v>22</v>
      </c>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c r="A110" s="192" t="str">
        <f>IFERROR(__xludf.DUMMYFUNCTION("""COMPUTED_VALUE"""),"TGE-COL-DI-1A")</f>
        <v>TGE-COL-DI-1A</v>
      </c>
      <c r="B110" s="192" t="s">
        <v>7586</v>
      </c>
      <c r="C110" s="21" t="s">
        <v>22</v>
      </c>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c r="A111" s="192" t="str">
        <f>IFERROR(__xludf.DUMMYFUNCTION("""COMPUTED_VALUE"""),"LOA-PH-DO-1A")</f>
        <v>LOA-PH-DO-1A</v>
      </c>
      <c r="B111" s="192" t="s">
        <v>7587</v>
      </c>
      <c r="C111" s="21" t="s">
        <v>22</v>
      </c>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c r="A112" s="192" t="str">
        <f>IFERROR(__xludf.DUMMYFUNCTION("""COMPUTED_VALUE"""),"IST-CR-GJ-1A")</f>
        <v>IST-CR-GJ-1A</v>
      </c>
      <c r="B112" s="192" t="s">
        <v>7588</v>
      </c>
      <c r="C112" s="21" t="s">
        <v>22</v>
      </c>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c r="A113" s="192" t="str">
        <f>IFERROR(__xludf.DUMMYFUNCTION("""COMPUTED_VALUE"""),"DSE-AL-MAN-1A")</f>
        <v>DSE-AL-MAN-1A</v>
      </c>
      <c r="B113" s="192" t="s">
        <v>7589</v>
      </c>
      <c r="C113" s="21" t="s">
        <v>22</v>
      </c>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c r="A114" s="192" t="str">
        <f>IFERROR(__xludf.DUMMYFUNCTION("""COMPUTED_VALUE"""),"DSE-AL-MAN-1A-2")</f>
        <v>DSE-AL-MAN-1A-2</v>
      </c>
      <c r="B114" s="192" t="s">
        <v>7590</v>
      </c>
      <c r="C114" s="21" t="s">
        <v>22</v>
      </c>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c r="A115" s="192" t="str">
        <f>IFERROR(__xludf.DUMMYFUNCTION("""COMPUTED_VALUE"""),"DSE-AL-MAN-1A-3")</f>
        <v>DSE-AL-MAN-1A-3</v>
      </c>
      <c r="B115" s="192" t="s">
        <v>7591</v>
      </c>
      <c r="C115" s="21" t="s">
        <v>22</v>
      </c>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c r="A116" s="192" t="str">
        <f>IFERROR(__xludf.DUMMYFUNCTION("""COMPUTED_VALUE"""),"DSE-AL-MAN-1A-4")</f>
        <v>DSE-AL-MAN-1A-4</v>
      </c>
      <c r="B116" s="192" t="s">
        <v>7592</v>
      </c>
      <c r="C116" s="21" t="s">
        <v>22</v>
      </c>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c r="A117" s="192" t="str">
        <f>IFERROR(__xludf.DUMMYFUNCTION("""COMPUTED_VALUE"""),"DSE-AL-MAN-1A-5")</f>
        <v>DSE-AL-MAN-1A-5</v>
      </c>
      <c r="B117" s="192" t="s">
        <v>7593</v>
      </c>
      <c r="C117" s="21" t="s">
        <v>22</v>
      </c>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c r="A118" s="192" t="str">
        <f>IFERROR(__xludf.DUMMYFUNCTION("""COMPUTED_VALUE"""),"DSE-COL-MOJ-1A")</f>
        <v>DSE-COL-MOJ-1A</v>
      </c>
      <c r="B118" s="192" t="s">
        <v>7594</v>
      </c>
      <c r="C118" s="21" t="s">
        <v>22</v>
      </c>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c r="A119" s="192" t="str">
        <f>IFERROR(__xludf.DUMMYFUNCTION("""COMPUTED_VALUE"""),"DSE-COL-MOJ-1A-2")</f>
        <v>DSE-COL-MOJ-1A-2</v>
      </c>
      <c r="B119" s="192" t="s">
        <v>7595</v>
      </c>
      <c r="C119" s="21" t="s">
        <v>22</v>
      </c>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c r="A120" s="192" t="str">
        <f>IFERROR(__xludf.DUMMYFUNCTION("""COMPUTED_VALUE"""),"DSE-COL-MOJ-1A-3")</f>
        <v>DSE-COL-MOJ-1A-3</v>
      </c>
      <c r="B120" s="192" t="s">
        <v>7596</v>
      </c>
      <c r="C120" s="21" t="s">
        <v>22</v>
      </c>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c r="A121" s="192" t="str">
        <f>IFERROR(__xludf.DUMMYFUNCTION("""COMPUTED_VALUE"""),"DSE-COL-MOJ-1A-4")</f>
        <v>DSE-COL-MOJ-1A-4</v>
      </c>
      <c r="B121" s="192" t="s">
        <v>7597</v>
      </c>
      <c r="C121" s="21" t="s">
        <v>22</v>
      </c>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c r="A122" s="192" t="str">
        <f>IFERROR(__xludf.DUMMYFUNCTION("""COMPUTED_VALUE"""),"DSE-COL-MOJ-1A-5")</f>
        <v>DSE-COL-MOJ-1A-5</v>
      </c>
      <c r="B122" s="192" t="s">
        <v>7598</v>
      </c>
      <c r="C122" s="21" t="s">
        <v>22</v>
      </c>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c r="A123" s="192" t="str">
        <f>IFERROR(__xludf.DUMMYFUNCTION("""COMPUTED_VALUE"""),"DSE-COL-MOJ-1A-6")</f>
        <v>DSE-COL-MOJ-1A-6</v>
      </c>
      <c r="B123" s="192" t="s">
        <v>7599</v>
      </c>
      <c r="C123" s="21" t="s">
        <v>22</v>
      </c>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c r="A124" s="192" t="str">
        <f>IFERROR(__xludf.DUMMYFUNCTION("""COMPUTED_VALUE"""),"DSE-COL-MOJ-1A-7")</f>
        <v>DSE-COL-MOJ-1A-7</v>
      </c>
      <c r="B124" s="192" t="s">
        <v>7600</v>
      </c>
      <c r="C124" s="21" t="s">
        <v>22</v>
      </c>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c r="A125" s="192" t="str">
        <f>IFERROR(__xludf.DUMMYFUNCTION("""COMPUTED_VALUE"""),"DSE-COL-MOJ-1A-8")</f>
        <v>DSE-COL-MOJ-1A-8</v>
      </c>
      <c r="B125" s="192" t="s">
        <v>7601</v>
      </c>
      <c r="C125" s="21" t="s">
        <v>22</v>
      </c>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c r="A126" s="192" t="str">
        <f>IFERROR(__xludf.DUMMYFUNCTION("""COMPUTED_VALUE"""),"DSE-COL-MOJ-1A-9")</f>
        <v>DSE-COL-MOJ-1A-9</v>
      </c>
      <c r="B126" s="192" t="s">
        <v>7602</v>
      </c>
      <c r="C126" s="21" t="s">
        <v>22</v>
      </c>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c r="A127" s="192" t="str">
        <f>IFERROR(__xludf.DUMMYFUNCTION("""COMPUTED_VALUE"""),"DSE-AL-PC-1A")</f>
        <v>DSE-AL-PC-1A</v>
      </c>
      <c r="B127" s="192" t="s">
        <v>7603</v>
      </c>
      <c r="C127" s="21" t="s">
        <v>22</v>
      </c>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c r="A128" s="192" t="str">
        <f>IFERROR(__xludf.DUMMYFUNCTION("""COMPUTED_VALUE"""),"DSE-AL-PC-1A-2")</f>
        <v>DSE-AL-PC-1A-2</v>
      </c>
      <c r="B128" s="192" t="s">
        <v>7604</v>
      </c>
      <c r="C128" s="21" t="s">
        <v>22</v>
      </c>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c r="A129" s="192" t="str">
        <f>IFERROR(__xludf.DUMMYFUNCTION("""COMPUTED_VALUE"""),"DSE-AL-PC-1A-3")</f>
        <v>DSE-AL-PC-1A-3</v>
      </c>
      <c r="B129" s="192" t="s">
        <v>7605</v>
      </c>
      <c r="C129" s="21" t="s">
        <v>22</v>
      </c>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c r="A130" s="192" t="str">
        <f>IFERROR(__xludf.DUMMYFUNCTION("""COMPUTED_VALUE"""),"DSE-AL-PC-1A-4")</f>
        <v>DSE-AL-PC-1A-4</v>
      </c>
      <c r="B130" s="192" t="s">
        <v>7606</v>
      </c>
      <c r="C130" s="21" t="s">
        <v>22</v>
      </c>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c r="A131" s="192" t="str">
        <f>IFERROR(__xludf.DUMMYFUNCTION("""COMPUTED_VALUE"""),"DSE-PIP-CR-1A")</f>
        <v>DSE-PIP-CR-1A</v>
      </c>
      <c r="B131" s="192" t="s">
        <v>7607</v>
      </c>
      <c r="C131" s="21" t="s">
        <v>22</v>
      </c>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c r="A132" s="192" t="str">
        <f>IFERROR(__xludf.DUMMYFUNCTION("""COMPUTED_VALUE"""),"DSE-PIP-CR-1A-2")</f>
        <v>DSE-PIP-CR-1A-2</v>
      </c>
      <c r="B132" s="192" t="s">
        <v>7608</v>
      </c>
      <c r="C132" s="21" t="s">
        <v>22</v>
      </c>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c r="A133" s="192" t="str">
        <f>IFERROR(__xludf.DUMMYFUNCTION("""COMPUTED_VALUE"""),"DSE-PIP-CR-1A-3")</f>
        <v>DSE-PIP-CR-1A-3</v>
      </c>
      <c r="B133" s="192" t="s">
        <v>7609</v>
      </c>
      <c r="C133" s="21" t="s">
        <v>22</v>
      </c>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c r="A134" s="192" t="str">
        <f>IFERROR(__xludf.DUMMYFUNCTION("""COMPUTED_VALUE"""),"DSE-AL-PO-1A")</f>
        <v>DSE-AL-PO-1A</v>
      </c>
      <c r="B134" s="192" t="s">
        <v>7610</v>
      </c>
      <c r="C134" s="21" t="s">
        <v>22</v>
      </c>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c r="A135" s="192" t="str">
        <f>IFERROR(__xludf.DUMMYFUNCTION("""COMPUTED_VALUE"""),"DSE-AL-PO-1A-2")</f>
        <v>DSE-AL-PO-1A-2</v>
      </c>
      <c r="B135" s="192" t="s">
        <v>7611</v>
      </c>
      <c r="C135" s="21" t="s">
        <v>22</v>
      </c>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c r="A136" s="192" t="str">
        <f>IFERROR(__xludf.DUMMYFUNCTION("""COMPUTED_VALUE"""),"DSE-AL-PO-1A-3")</f>
        <v>DSE-AL-PO-1A-3</v>
      </c>
      <c r="B136" s="192" t="s">
        <v>7612</v>
      </c>
      <c r="C136" s="21" t="s">
        <v>22</v>
      </c>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c r="A137" s="192" t="str">
        <f>IFERROR(__xludf.DUMMYFUNCTION("""COMPUTED_VALUE"""),"DSE-AL-PO-1A-4")</f>
        <v>DSE-AL-PO-1A-4</v>
      </c>
      <c r="B137" s="192" t="s">
        <v>7613</v>
      </c>
      <c r="C137" s="21" t="s">
        <v>22</v>
      </c>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c r="A138" s="192" t="str">
        <f>IFERROR(__xludf.DUMMYFUNCTION("""COMPUTED_VALUE"""),"DSE-PH-MF-1A")</f>
        <v>DSE-PH-MF-1A</v>
      </c>
      <c r="B138" s="192" t="s">
        <v>7614</v>
      </c>
      <c r="C138" s="21" t="s">
        <v>22</v>
      </c>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c r="A139" s="192" t="str">
        <f>IFERROR(__xludf.DUMMYFUNCTION("""COMPUTED_VALUE"""),"DSE-PH-MF-1A-2")</f>
        <v>DSE-PH-MF-1A-2</v>
      </c>
      <c r="B139" s="192" t="s">
        <v>7615</v>
      </c>
      <c r="C139" s="21" t="s">
        <v>22</v>
      </c>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c r="A140" s="192" t="str">
        <f>IFERROR(__xludf.DUMMYFUNCTION("""COMPUTED_VALUE"""),"DSE-PH-MF-1A-3")</f>
        <v>DSE-PH-MF-1A-3</v>
      </c>
      <c r="B140" s="192" t="s">
        <v>7616</v>
      </c>
      <c r="C140" s="21" t="s">
        <v>22</v>
      </c>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c r="A141" s="192" t="str">
        <f>IFERROR(__xludf.DUMMYFUNCTION("""COMPUTED_VALUE"""),"DSE-PH-MF-1A-4")</f>
        <v>DSE-PH-MF-1A-4</v>
      </c>
      <c r="B141" s="192" t="s">
        <v>7617</v>
      </c>
      <c r="C141" s="21" t="s">
        <v>22</v>
      </c>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c r="A142" s="192" t="str">
        <f>IFERROR(__xludf.DUMMYFUNCTION("""COMPUTED_VALUE"""),"DSE-PH-MF-1A-5")</f>
        <v>DSE-PH-MF-1A-5</v>
      </c>
      <c r="B142" s="192" t="s">
        <v>7618</v>
      </c>
      <c r="C142" s="21" t="s">
        <v>22</v>
      </c>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c r="A143" s="192" t="str">
        <f>IFERROR(__xludf.DUMMYFUNCTION("""COMPUTED_VALUE"""),"DSE-PH-MF-1A-6")</f>
        <v>DSE-PH-MF-1A-6</v>
      </c>
      <c r="B143" s="192" t="s">
        <v>7619</v>
      </c>
      <c r="C143" s="21" t="s">
        <v>22</v>
      </c>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c r="A144" s="192" t="str">
        <f>IFERROR(__xludf.DUMMYFUNCTION("""COMPUTED_VALUE"""),"DSE-PH-MF-1A-7")</f>
        <v>DSE-PH-MF-1A-7</v>
      </c>
      <c r="B144" s="192" t="s">
        <v>7620</v>
      </c>
      <c r="C144" s="21" t="s">
        <v>22</v>
      </c>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c r="A145" s="192" t="str">
        <f>IFERROR(__xludf.DUMMYFUNCTION("""COMPUTED_VALUE"""),"DSE-PH-MF-1A-8")</f>
        <v>DSE-PH-MF-1A-8</v>
      </c>
      <c r="B145" s="192" t="s">
        <v>7621</v>
      </c>
      <c r="C145" s="21" t="s">
        <v>22</v>
      </c>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c r="A146" s="192" t="str">
        <f>IFERROR(__xludf.DUMMYFUNCTION("""COMPUTED_VALUE"""),"DSE-PH-MF-1A-9")</f>
        <v>DSE-PH-MF-1A-9</v>
      </c>
      <c r="B146" s="192" t="s">
        <v>7622</v>
      </c>
      <c r="C146" s="21" t="s">
        <v>22</v>
      </c>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c r="A147" s="192" t="str">
        <f>IFERROR(__xludf.DUMMYFUNCTION("""COMPUTED_VALUE"""),"DSE-PH-MF-1A-10")</f>
        <v>DSE-PH-MF-1A-10</v>
      </c>
      <c r="B147" s="192" t="s">
        <v>7623</v>
      </c>
      <c r="C147" s="21" t="s">
        <v>22</v>
      </c>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c r="A148" s="192" t="str">
        <f>IFERROR(__xludf.DUMMYFUNCTION("""COMPUTED_VALUE"""),"DSE-PH-MF-1A-11")</f>
        <v>DSE-PH-MF-1A-11</v>
      </c>
      <c r="B148" s="192" t="s">
        <v>7624</v>
      </c>
      <c r="C148" s="21" t="s">
        <v>22</v>
      </c>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c r="A149" s="192" t="str">
        <f>IFERROR(__xludf.DUMMYFUNCTION("""COMPUTED_VALUE"""),"DSE-PH-MF-1A-12")</f>
        <v>DSE-PH-MF-1A-12</v>
      </c>
      <c r="B149" s="192" t="s">
        <v>7625</v>
      </c>
      <c r="C149" s="21" t="s">
        <v>22</v>
      </c>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c r="A150" s="192" t="str">
        <f>IFERROR(__xludf.DUMMYFUNCTION("""COMPUTED_VALUE"""),"DSE-PH-RK-1A")</f>
        <v>DSE-PH-RK-1A</v>
      </c>
      <c r="B150" s="192" t="s">
        <v>7626</v>
      </c>
      <c r="C150" s="21" t="s">
        <v>22</v>
      </c>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c r="A151" s="192" t="str">
        <f>IFERROR(__xludf.DUMMYFUNCTION("""COMPUTED_VALUE"""),"DSE-PH-RK-1A-2")</f>
        <v>DSE-PH-RK-1A-2</v>
      </c>
      <c r="B151" s="192" t="s">
        <v>7627</v>
      </c>
      <c r="C151" s="21" t="s">
        <v>22</v>
      </c>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c r="A152" s="192" t="str">
        <f>IFERROR(__xludf.DUMMYFUNCTION("""COMPUTED_VALUE"""),"DSE-PH-RK-1A-3")</f>
        <v>DSE-PH-RK-1A-3</v>
      </c>
      <c r="B152" s="192" t="s">
        <v>7628</v>
      </c>
      <c r="C152" s="21" t="s">
        <v>22</v>
      </c>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c r="A153" s="192" t="str">
        <f>IFERROR(__xludf.DUMMYFUNCTION("""COMPUTED_VALUE"""),"DSE-PH-RK-1A-4")</f>
        <v>DSE-PH-RK-1A-4</v>
      </c>
      <c r="B153" s="192" t="s">
        <v>7629</v>
      </c>
      <c r="C153" s="21" t="s">
        <v>22</v>
      </c>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c r="A154" s="192" t="str">
        <f>IFERROR(__xludf.DUMMYFUNCTION("""COMPUTED_VALUE"""),"DSE-PH-RK-1A-5")</f>
        <v>DSE-PH-RK-1A-5</v>
      </c>
      <c r="B154" s="192" t="s">
        <v>7630</v>
      </c>
      <c r="C154" s="21" t="s">
        <v>22</v>
      </c>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c r="A155" s="192" t="str">
        <f>IFERROR(__xludf.DUMMYFUNCTION("""COMPUTED_VALUE"""),"DSE-PH-RK-1A-6")</f>
        <v>DSE-PH-RK-1A-6</v>
      </c>
      <c r="B155" s="192" t="s">
        <v>7631</v>
      </c>
      <c r="C155" s="21" t="s">
        <v>22</v>
      </c>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c r="A156" s="192" t="str">
        <f>IFERROR(__xludf.DUMMYFUNCTION("""COMPUTED_VALUE"""),"AGP-AL-NI-1A")</f>
        <v>AGP-AL-NI-1A</v>
      </c>
      <c r="B156" s="192" t="s">
        <v>7632</v>
      </c>
      <c r="C156" s="21" t="s">
        <v>22</v>
      </c>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c r="A157" s="192" t="str">
        <f>IFERROR(__xludf.DUMMYFUNCTION("""COMPUTED_VALUE"""),"AGP-AL-NI-1A-2")</f>
        <v>AGP-AL-NI-1A-2</v>
      </c>
      <c r="B157" s="192" t="s">
        <v>7633</v>
      </c>
      <c r="C157" s="21" t="s">
        <v>22</v>
      </c>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c r="A158" s="192" t="str">
        <f>IFERROR(__xludf.DUMMYFUNCTION("""COMPUTED_VALUE"""),"AGP-AL-NI-1A-3")</f>
        <v>AGP-AL-NI-1A-3</v>
      </c>
      <c r="B158" s="192" t="s">
        <v>7634</v>
      </c>
      <c r="C158" s="21" t="s">
        <v>22</v>
      </c>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c r="A159" s="192" t="str">
        <f>IFERROR(__xludf.DUMMYFUNCTION("""COMPUTED_VALUE"""),"AGP-COL-MOJ-1A")</f>
        <v>AGP-COL-MOJ-1A</v>
      </c>
      <c r="B159" s="192" t="s">
        <v>7635</v>
      </c>
      <c r="C159" s="21" t="s">
        <v>22</v>
      </c>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c r="A160" s="192" t="str">
        <f>IFERROR(__xludf.DUMMYFUNCTION("""COMPUTED_VALUE"""),"AGP-COL-MOJ-1A-2")</f>
        <v>AGP-COL-MOJ-1A-2</v>
      </c>
      <c r="B160" s="192" t="s">
        <v>7636</v>
      </c>
      <c r="C160" s="21" t="s">
        <v>22</v>
      </c>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c r="A161" s="192" t="str">
        <f>IFERROR(__xludf.DUMMYFUNCTION("""COMPUTED_VALUE"""),"AGP-COL-MOJ-1A-3")</f>
        <v>AGP-COL-MOJ-1A-3</v>
      </c>
      <c r="B161" s="192" t="s">
        <v>7637</v>
      </c>
      <c r="C161" s="21" t="s">
        <v>22</v>
      </c>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c r="A162" s="192" t="str">
        <f>IFERROR(__xludf.DUMMYFUNCTION("""COMPUTED_VALUE"""),"AGP-PH-TS-1A")</f>
        <v>AGP-PH-TS-1A</v>
      </c>
      <c r="B162" s="192" t="s">
        <v>7638</v>
      </c>
      <c r="C162" s="21" t="s">
        <v>22</v>
      </c>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c r="A163" s="192" t="str">
        <f>IFERROR(__xludf.DUMMYFUNCTION("""COMPUTED_VALUE"""),"AGP-PH-OM-1A")</f>
        <v>AGP-PH-OM-1A</v>
      </c>
      <c r="B163" s="192" t="s">
        <v>7639</v>
      </c>
      <c r="C163" s="21" t="s">
        <v>22</v>
      </c>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c r="A164" s="192" t="str">
        <f>IFERROR(__xludf.DUMMYFUNCTION("""COMPUTED_VALUE"""),"AGP-PH-BC-1A")</f>
        <v>AGP-PH-BC-1A</v>
      </c>
      <c r="B164" s="192" t="s">
        <v>7640</v>
      </c>
      <c r="C164" s="21" t="s">
        <v>22</v>
      </c>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c r="A165" s="192" t="str">
        <f>IFERROR(__xludf.DUMMYFUNCTION("""COMPUTED_VALUE"""),"AGP-PH-BC-1A-2")</f>
        <v>AGP-PH-BC-1A-2</v>
      </c>
      <c r="B165" s="192" t="s">
        <v>7641</v>
      </c>
      <c r="C165" s="21" t="s">
        <v>22</v>
      </c>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c r="A166" s="192" t="str">
        <f>IFERROR(__xludf.DUMMYFUNCTION("""COMPUTED_VALUE"""),"AGP-PH-BC-1A-3")</f>
        <v>AGP-PH-BC-1A-3</v>
      </c>
      <c r="B166" s="192" t="s">
        <v>7642</v>
      </c>
      <c r="C166" s="21" t="s">
        <v>22</v>
      </c>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c r="A167" s="192" t="str">
        <f>IFERROR(__xludf.DUMMYFUNCTION("""COMPUTED_VALUE"""),"AGP-PH-BC-1A-4")</f>
        <v>AGP-PH-BC-1A-4</v>
      </c>
      <c r="B167" s="192" t="s">
        <v>7643</v>
      </c>
      <c r="C167" s="21" t="s">
        <v>22</v>
      </c>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c r="A168" s="192" t="str">
        <f>IFERROR(__xludf.DUMMYFUNCTION("""COMPUTED_VALUE"""),"AGP-MA-TCN-1A")</f>
        <v>AGP-MA-TCN-1A</v>
      </c>
      <c r="B168" s="192" t="s">
        <v>7644</v>
      </c>
      <c r="C168" s="21" t="s">
        <v>22</v>
      </c>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c r="A169" s="192" t="str">
        <f>IFERROR(__xludf.DUMMYFUNCTION("""COMPUTED_VALUE"""),"AGP-MA-TCN-1A-2")</f>
        <v>AGP-MA-TCN-1A-2</v>
      </c>
      <c r="B169" s="192" t="s">
        <v>7645</v>
      </c>
      <c r="C169" s="21" t="s">
        <v>22</v>
      </c>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c r="A170" s="192" t="str">
        <f>IFERROR(__xludf.DUMMYFUNCTION("""COMPUTED_VALUE"""),"AGP-MA-TCN-1A-3")</f>
        <v>AGP-MA-TCN-1A-3</v>
      </c>
      <c r="B170" s="192" t="s">
        <v>7646</v>
      </c>
      <c r="C170" s="21" t="s">
        <v>22</v>
      </c>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c r="A171" s="192" t="str">
        <f>IFERROR(__xludf.DUMMYFUNCTION("""COMPUTED_VALUE"""),"JJP-PH-PP-1A")</f>
        <v>JJP-PH-PP-1A</v>
      </c>
      <c r="B171" s="192" t="s">
        <v>7647</v>
      </c>
      <c r="C171" s="21" t="s">
        <v>22</v>
      </c>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c r="A172" s="192" t="str">
        <f>IFERROR(__xludf.DUMMYFUNCTION("""COMPUTED_VALUE"""),"BWH-PH-VRCRH-1A")</f>
        <v>BWH-PH-VRCRH-1A</v>
      </c>
      <c r="B172" s="192" t="s">
        <v>7648</v>
      </c>
      <c r="C172" s="21" t="s">
        <v>22</v>
      </c>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c r="A173" s="192" t="str">
        <f>IFERROR(__xludf.DUMMYFUNCTION("""COMPUTED_VALUE"""),"BWH-FIC-SH-1A")</f>
        <v>BWH-FIC-SH-1A</v>
      </c>
      <c r="B173" s="192" t="s">
        <v>7649</v>
      </c>
      <c r="C173" s="21" t="s">
        <v>22</v>
      </c>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c r="A174" s="192" t="str">
        <f>IFERROR(__xludf.DUMMYFUNCTION("""COMPUTED_VALUE"""),"BWH-FIC-SH-1A-2")</f>
        <v>BWH-FIC-SH-1A-2</v>
      </c>
      <c r="B174" s="192" t="s">
        <v>7650</v>
      </c>
      <c r="C174" s="21" t="s">
        <v>22</v>
      </c>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c r="A175" s="192" t="str">
        <f>IFERROR(__xludf.DUMMYFUNCTION("""COMPUTED_VALUE"""),"BWH-FIC-SH-1A-3")</f>
        <v>BWH-FIC-SH-1A-3</v>
      </c>
      <c r="B175" s="192" t="s">
        <v>7651</v>
      </c>
      <c r="C175" s="21" t="s">
        <v>22</v>
      </c>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c r="A176" s="192" t="str">
        <f>IFERROR(__xludf.DUMMYFUNCTION("""COMPUTED_VALUE"""),"BWH-FIC-SH-1A-4")</f>
        <v>BWH-FIC-SH-1A-4</v>
      </c>
      <c r="B176" s="192" t="s">
        <v>7652</v>
      </c>
      <c r="C176" s="21" t="s">
        <v>22</v>
      </c>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c r="A177" s="192" t="str">
        <f>IFERROR(__xludf.DUMMYFUNCTION("""COMPUTED_VALUE"""),"BWH-FIC-SH-1A-5")</f>
        <v>BWH-FIC-SH-1A-5</v>
      </c>
      <c r="B177" s="192" t="s">
        <v>7653</v>
      </c>
      <c r="C177" s="21" t="s">
        <v>22</v>
      </c>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c r="A178" s="192" t="str">
        <f>IFERROR(__xludf.DUMMYFUNCTION("""COMPUTED_VALUE"""),"BWH-AL-VM-1A")</f>
        <v>BWH-AL-VM-1A</v>
      </c>
      <c r="B178" s="192" t="s">
        <v>7654</v>
      </c>
      <c r="C178" s="21" t="s">
        <v>22</v>
      </c>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c r="A179" s="192" t="str">
        <f>IFERROR(__xludf.DUMMYFUNCTION("""COMPUTED_VALUE"""),"BWH-AL-VM-1A-2")</f>
        <v>BWH-AL-VM-1A-2</v>
      </c>
      <c r="B179" s="192" t="s">
        <v>7655</v>
      </c>
      <c r="C179" s="21" t="s">
        <v>22</v>
      </c>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c r="A180" s="192" t="str">
        <f>IFERROR(__xludf.DUMMYFUNCTION("""COMPUTED_VALUE"""),"BWH-AL-VM-1A-3")</f>
        <v>BWH-AL-VM-1A-3</v>
      </c>
      <c r="B180" s="192" t="s">
        <v>7656</v>
      </c>
      <c r="C180" s="21" t="s">
        <v>22</v>
      </c>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c r="A181" s="192" t="str">
        <f>IFERROR(__xludf.DUMMYFUNCTION("""COMPUTED_VALUE"""),"BWH-AL-VM-1A-4")</f>
        <v>BWH-AL-VM-1A-4</v>
      </c>
      <c r="B181" s="192" t="s">
        <v>7657</v>
      </c>
      <c r="C181" s="21" t="s">
        <v>22</v>
      </c>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c r="A182" s="192" t="str">
        <f>IFERROR(__xludf.DUMMYFUNCTION("""COMPUTED_VALUE"""),"BWH-AL-VM-1A-5")</f>
        <v>BWH-AL-VM-1A-5</v>
      </c>
      <c r="B182" s="192" t="s">
        <v>7658</v>
      </c>
      <c r="C182" s="21" t="s">
        <v>22</v>
      </c>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c r="A183" s="192" t="str">
        <f>IFERROR(__xludf.DUMMYFUNCTION("""COMPUTED_VALUE"""),"BWH-PH-RAPK-2A")</f>
        <v>BWH-PH-RAPK-2A</v>
      </c>
      <c r="B183" s="192" t="s">
        <v>7659</v>
      </c>
      <c r="C183" s="21" t="s">
        <v>22</v>
      </c>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c r="A184" s="192" t="str">
        <f>IFERROR(__xludf.DUMMYFUNCTION("""COMPUTED_VALUE"""),"BWH-PH-RAPK-2A-2")</f>
        <v>BWH-PH-RAPK-2A-2</v>
      </c>
      <c r="B184" s="192" t="s">
        <v>7660</v>
      </c>
      <c r="C184" s="21" t="s">
        <v>22</v>
      </c>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c r="A185" s="192" t="str">
        <f>IFERROR(__xludf.DUMMYFUNCTION("""COMPUTED_VALUE"""),"BWH-PH-RAPK-2A-3")</f>
        <v>BWH-PH-RAPK-2A-3</v>
      </c>
      <c r="B185" s="192" t="s">
        <v>7661</v>
      </c>
      <c r="C185" s="21" t="s">
        <v>22</v>
      </c>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c r="A186" s="192" t="str">
        <f>IFERROR(__xludf.DUMMYFUNCTION("""COMPUTED_VALUE"""),"BWH-PH-RAPK-2A-4")</f>
        <v>BWH-PH-RAPK-2A-4</v>
      </c>
      <c r="B186" s="192" t="s">
        <v>7662</v>
      </c>
      <c r="C186" s="21" t="s">
        <v>22</v>
      </c>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c r="A187" s="192" t="str">
        <f>IFERROR(__xludf.DUMMYFUNCTION("""COMPUTED_VALUE"""),"BWH-PH-RAPK-2A-5")</f>
        <v>BWH-PH-RAPK-2A-5</v>
      </c>
      <c r="B187" s="192" t="s">
        <v>7663</v>
      </c>
      <c r="C187" s="21" t="s">
        <v>22</v>
      </c>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c r="A188" s="192" t="str">
        <f>IFERROR(__xludf.DUMMYFUNCTION("""COMPUTED_VALUE"""),"BWH-PH-BMV-1A")</f>
        <v>BWH-PH-BMV-1A</v>
      </c>
      <c r="B188" s="192" t="s">
        <v>7664</v>
      </c>
      <c r="C188" s="21" t="s">
        <v>22</v>
      </c>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c r="A189" s="192" t="str">
        <f>IFERROR(__xludf.DUMMYFUNCTION("""COMPUTED_VALUE"""),"BWH-PH-BMV-1A-2")</f>
        <v>BWH-PH-BMV-1A-2</v>
      </c>
      <c r="B189" s="192" t="s">
        <v>7665</v>
      </c>
      <c r="C189" s="21" t="s">
        <v>22</v>
      </c>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c r="A190" s="192" t="str">
        <f>IFERROR(__xludf.DUMMYFUNCTION("""COMPUTED_VALUE"""),"BWH-PH-BMV-1A-3")</f>
        <v>BWH-PH-BMV-1A-3</v>
      </c>
      <c r="B190" s="192" t="s">
        <v>7666</v>
      </c>
      <c r="C190" s="21" t="s">
        <v>22</v>
      </c>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c r="A191" s="192" t="str">
        <f>IFERROR(__xludf.DUMMYFUNCTION("""COMPUTED_VALUE"""),"BWH-PH-BMV-1A-4")</f>
        <v>BWH-PH-BMV-1A-4</v>
      </c>
      <c r="B191" s="192" t="s">
        <v>7667</v>
      </c>
      <c r="C191" s="21" t="s">
        <v>22</v>
      </c>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c r="A192" s="192" t="str">
        <f>IFERROR(__xludf.DUMMYFUNCTION("""COMPUTED_VALUE"""),"BWH-PH-BMV-1A-5")</f>
        <v>BWH-PH-BMV-1A-5</v>
      </c>
      <c r="B192" s="192" t="s">
        <v>7668</v>
      </c>
      <c r="C192" s="21" t="s">
        <v>22</v>
      </c>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c r="A193" s="192" t="str">
        <f>IFERROR(__xludf.DUMMYFUNCTION("""COMPUTED_VALUE"""),"BWH-PH-PV-1A")</f>
        <v>BWH-PH-PV-1A</v>
      </c>
      <c r="B193" s="192" t="s">
        <v>7669</v>
      </c>
      <c r="C193" s="21" t="s">
        <v>22</v>
      </c>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c r="A194" s="192" t="str">
        <f>IFERROR(__xludf.DUMMYFUNCTION("""COMPUTED_VALUE"""),"BWH-PH-PV-1A-2")</f>
        <v>BWH-PH-PV-1A-2</v>
      </c>
      <c r="B194" s="192" t="s">
        <v>7670</v>
      </c>
      <c r="C194" s="21" t="s">
        <v>22</v>
      </c>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c r="A195" s="192" t="str">
        <f>IFERROR(__xludf.DUMMYFUNCTION("""COMPUTED_VALUE"""),"BWH-PH-PV-1A-3")</f>
        <v>BWH-PH-PV-1A-3</v>
      </c>
      <c r="B195" s="192" t="s">
        <v>7671</v>
      </c>
      <c r="C195" s="21" t="s">
        <v>22</v>
      </c>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c r="A196" s="192" t="str">
        <f>IFERROR(__xludf.DUMMYFUNCTION("""COMPUTED_VALUE"""),"BWH-PH-PV-1A-4")</f>
        <v>BWH-PH-PV-1A-4</v>
      </c>
      <c r="B196" s="192" t="s">
        <v>7672</v>
      </c>
      <c r="C196" s="21" t="s">
        <v>22</v>
      </c>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c r="A197" s="192" t="str">
        <f>IFERROR(__xludf.DUMMYFUNCTION("""COMPUTED_VALUE"""),"BWH-PH-PV-1A-5")</f>
        <v>BWH-PH-PV-1A-5</v>
      </c>
      <c r="B197" s="192" t="s">
        <v>7673</v>
      </c>
      <c r="C197" s="21" t="s">
        <v>22</v>
      </c>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c r="A198" s="192" t="str">
        <f>IFERROR(__xludf.DUMMYFUNCTION("""COMPUTED_VALUE"""),"TG-ASP-HU-1A")</f>
        <v>TG-ASP-HU-1A</v>
      </c>
      <c r="B198" s="192" t="s">
        <v>7674</v>
      </c>
      <c r="C198" s="21" t="s">
        <v>22</v>
      </c>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c r="A199" s="192" t="str">
        <f>IFERROR(__xludf.DUMMYFUNCTION("""COMPUTED_VALUE"""),"TG-ASP-VI-1A")</f>
        <v>TG-ASP-VI-1A</v>
      </c>
      <c r="B199" s="192" t="s">
        <v>7675</v>
      </c>
      <c r="C199" s="21" t="s">
        <v>22</v>
      </c>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c r="A200" s="192" t="str">
        <f>IFERROR(__xludf.DUMMYFUNCTION("""COMPUTED_VALUE"""),"TG-ASP-AG-1A")</f>
        <v>TG-ASP-AG-1A</v>
      </c>
      <c r="B200" s="192" t="s">
        <v>7676</v>
      </c>
      <c r="C200" s="21" t="s">
        <v>22</v>
      </c>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c r="A201" s="192" t="str">
        <f>IFERROR(__xludf.DUMMYFUNCTION("""COMPUTED_VALUE"""),"TG-BL-BMF-1A")</f>
        <v>TG-BL-BMF-1A</v>
      </c>
      <c r="B201" s="192" t="s">
        <v>7677</v>
      </c>
      <c r="C201" s="21" t="s">
        <v>22</v>
      </c>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c r="A202" s="192" t="str">
        <f>IFERROR(__xludf.DUMMYFUNCTION("""COMPUTED_VALUE"""),"TG-FI-RE-1A")</f>
        <v>TG-FI-RE-1A</v>
      </c>
      <c r="B202" s="192" t="s">
        <v>7678</v>
      </c>
      <c r="C202" s="21" t="s">
        <v>22</v>
      </c>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c r="A203" s="192" t="str">
        <f>IFERROR(__xludf.DUMMYFUNCTION("""COMPUTED_VALUE"""),"TG-CT-BM-1A")</f>
        <v>TG-CT-BM-1A</v>
      </c>
      <c r="B203" s="192" t="s">
        <v>7679</v>
      </c>
      <c r="C203" s="21" t="s">
        <v>22</v>
      </c>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c r="A204" s="192" t="str">
        <f>IFERROR(__xludf.DUMMYFUNCTION("""COMPUTED_VALUE"""),"TG-MAR-LL-1A")</f>
        <v>TG-MAR-LL-1A</v>
      </c>
      <c r="B204" s="192" t="s">
        <v>7680</v>
      </c>
      <c r="C204" s="21" t="s">
        <v>22</v>
      </c>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c r="A205" s="192" t="str">
        <f>IFERROR(__xludf.DUMMYFUNCTION("""COMPUTED_VALUE"""),"TG-MAR-LR-1A")</f>
        <v>TG-MAR-LR-1A</v>
      </c>
      <c r="B205" s="192" t="s">
        <v>7681</v>
      </c>
      <c r="C205" s="21" t="s">
        <v>22</v>
      </c>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c r="A206" s="192" t="str">
        <f>IFERROR(__xludf.DUMMYFUNCTION("""COMPUTED_VALUE"""),"TG-HO-CA-1A")</f>
        <v>TG-HO-CA-1A</v>
      </c>
      <c r="B206" s="192" t="s">
        <v>7682</v>
      </c>
      <c r="C206" s="21" t="s">
        <v>22</v>
      </c>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c r="A207" s="192" t="str">
        <f>IFERROR(__xludf.DUMMYFUNCTION("""COMPUTED_VALUE"""),"TG-CA-PIN-1A")</f>
        <v>TG-CA-PIN-1A</v>
      </c>
      <c r="B207" s="192" t="s">
        <v>7683</v>
      </c>
      <c r="C207" s="21" t="s">
        <v>22</v>
      </c>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c r="A208" s="192" t="str">
        <f>IFERROR(__xludf.DUMMYFUNCTION("""COMPUTED_VALUE"""),"TG-CA-DOT-1A")</f>
        <v>TG-CA-DOT-1A</v>
      </c>
      <c r="B208" s="192" t="s">
        <v>7684</v>
      </c>
      <c r="C208" s="21" t="s">
        <v>22</v>
      </c>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c r="A209" s="192" t="str">
        <f>IFERROR(__xludf.DUMMYFUNCTION("""COMPUTED_VALUE"""),"TG-PI-DS-1A")</f>
        <v>TG-PI-DS-1A</v>
      </c>
      <c r="B209" s="192" t="s">
        <v>7685</v>
      </c>
      <c r="C209" s="21" t="s">
        <v>22</v>
      </c>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c r="A210" s="192" t="str">
        <f>IFERROR(__xludf.DUMMYFUNCTION("""COMPUTED_VALUE"""),"TG-HYP-PS-1A")</f>
        <v>TG-HYP-PS-1A</v>
      </c>
      <c r="B210" s="192" t="s">
        <v>7686</v>
      </c>
      <c r="C210" s="21" t="s">
        <v>22</v>
      </c>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c r="A211" s="192" t="str">
        <f>IFERROR(__xludf.DUMMYFUNCTION("""COMPUTED_VALUE"""),"TG-CHL-SPI-1A")</f>
        <v>TG-CHL-SPI-1A</v>
      </c>
      <c r="B211" s="192" t="s">
        <v>7687</v>
      </c>
      <c r="C211" s="21" t="s">
        <v>22</v>
      </c>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c r="A212" s="192" t="str">
        <f>IFERROR(__xludf.DUMMYFUNCTION("""COMPUTED_VALUE"""),"TG-CHA-EL-1A")</f>
        <v>TG-CHA-EL-1A</v>
      </c>
      <c r="B212" s="192" t="s">
        <v>7688</v>
      </c>
      <c r="C212" s="21" t="s">
        <v>22</v>
      </c>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c r="A213" s="192" t="str">
        <f>IFERROR(__xludf.DUMMYFUNCTION("""COMPUTED_VALUE"""),"TG-BE-REX-1A")</f>
        <v>TG-BE-REX-1A</v>
      </c>
      <c r="B213" s="192" t="s">
        <v>7689</v>
      </c>
      <c r="C213" s="21" t="s">
        <v>22</v>
      </c>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c r="A214" s="192" t="str">
        <f>IFERROR(__xludf.DUMMYFUNCTION("""COMPUTED_VALUE"""),"HS-CHL-SPI-1A")</f>
        <v>HS-CHL-SPI-1A</v>
      </c>
      <c r="B214" s="192" t="s">
        <v>7690</v>
      </c>
      <c r="C214" s="21" t="s">
        <v>22</v>
      </c>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c r="A215" s="192" t="str">
        <f>IFERROR(__xludf.DUMMYFUNCTION("""COMPUTED_VALUE"""),"HS-CHL-SPI-1A-2")</f>
        <v>HS-CHL-SPI-1A-2</v>
      </c>
      <c r="B215" s="192" t="s">
        <v>7691</v>
      </c>
      <c r="C215" s="21" t="s">
        <v>22</v>
      </c>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c r="A216" s="192" t="str">
        <f>IFERROR(__xludf.DUMMYFUNCTION("""COMPUTED_VALUE"""),"BWH-PO-PAJ-2A")</f>
        <v>BWH-PO-PAJ-2A</v>
      </c>
      <c r="B216" s="192" t="s">
        <v>7692</v>
      </c>
      <c r="C216" s="21" t="s">
        <v>22</v>
      </c>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c r="A217" s="192" t="str">
        <f>IFERROR(__xludf.DUMMYFUNCTION("""COMPUTED_VALUE"""),"BWH-PO-PAJ-2A-2")</f>
        <v>BWH-PO-PAJ-2A-2</v>
      </c>
      <c r="B217" s="192" t="s">
        <v>7693</v>
      </c>
      <c r="C217" s="21" t="s">
        <v>22</v>
      </c>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c r="A218" s="192" t="str">
        <f>IFERROR(__xludf.DUMMYFUNCTION("""COMPUTED_VALUE"""),"BWH-PO-PAJ-2A-3")</f>
        <v>BWH-PO-PAJ-2A-3</v>
      </c>
      <c r="B218" s="192" t="s">
        <v>7694</v>
      </c>
      <c r="C218" s="21" t="s">
        <v>22</v>
      </c>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c r="A219" s="192" t="str">
        <f>IFERROR(__xludf.DUMMYFUNCTION("""COMPUTED_VALUE"""),"BWH-PO-PAJ-2A-4")</f>
        <v>BWH-PO-PAJ-2A-4</v>
      </c>
      <c r="B219" s="192" t="s">
        <v>7695</v>
      </c>
      <c r="C219" s="21" t="s">
        <v>22</v>
      </c>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c r="A220" s="192" t="str">
        <f>IFERROR(__xludf.DUMMYFUNCTION("""COMPUTED_VALUE"""),"BWH-PO-PAJ-2A-5")</f>
        <v>BWH-PO-PAJ-2A-5</v>
      </c>
      <c r="B220" s="192" t="s">
        <v>7696</v>
      </c>
      <c r="C220" s="21" t="s">
        <v>22</v>
      </c>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c r="A221" s="192" t="str">
        <f>IFERROR(__xludf.DUMMYFUNCTION("""COMPUTED_VALUE"""),"BWH-MA-AD-1A")</f>
        <v>BWH-MA-AD-1A</v>
      </c>
      <c r="B221" s="192" t="s">
        <v>7697</v>
      </c>
      <c r="C221" s="21" t="s">
        <v>22</v>
      </c>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c r="A222" s="192" t="str">
        <f>IFERROR(__xludf.DUMMYFUNCTION("""COMPUTED_VALUE"""),"BWH-MA-AD-1A-2")</f>
        <v>BWH-MA-AD-1A-2</v>
      </c>
      <c r="B222" s="192" t="s">
        <v>7698</v>
      </c>
      <c r="C222" s="21" t="s">
        <v>22</v>
      </c>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c r="A223" s="192" t="str">
        <f>IFERROR(__xludf.DUMMYFUNCTION("""COMPUTED_VALUE"""),"BWH-MA-AD-1A-3")</f>
        <v>BWH-MA-AD-1A-3</v>
      </c>
      <c r="B223" s="192" t="s">
        <v>7699</v>
      </c>
      <c r="C223" s="21" t="s">
        <v>22</v>
      </c>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c r="A224" s="192" t="str">
        <f>IFERROR(__xludf.DUMMYFUNCTION("""COMPUTED_VALUE"""),"BWH-MA-AD-1A-4")</f>
        <v>BWH-MA-AD-1A-4</v>
      </c>
      <c r="B224" s="192" t="s">
        <v>7700</v>
      </c>
      <c r="C224" s="21" t="s">
        <v>22</v>
      </c>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c r="A225" s="192" t="str">
        <f>IFERROR(__xludf.DUMMYFUNCTION("""COMPUTED_VALUE"""),"BWH-MA-AD-1A-5")</f>
        <v>BWH-MA-AD-1A-5</v>
      </c>
      <c r="B225" s="192" t="s">
        <v>7701</v>
      </c>
      <c r="C225" s="21" t="s">
        <v>22</v>
      </c>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c r="A226" s="192" t="str">
        <f>IFERROR(__xludf.DUMMYFUNCTION("""COMPUTED_VALUE"""),"BWH-CA-FW-1A")</f>
        <v>BWH-CA-FW-1A</v>
      </c>
      <c r="B226" s="192" t="s">
        <v>7702</v>
      </c>
      <c r="C226" s="21" t="s">
        <v>22</v>
      </c>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c r="A227" s="192" t="str">
        <f>IFERROR(__xludf.DUMMYFUNCTION("""COMPUTED_VALUE"""),"BWH-CA-FW-1A-2")</f>
        <v>BWH-CA-FW-1A-2</v>
      </c>
      <c r="B227" s="192" t="s">
        <v>7703</v>
      </c>
      <c r="C227" s="21" t="s">
        <v>22</v>
      </c>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c r="A228" s="192" t="str">
        <f>IFERROR(__xludf.DUMMYFUNCTION("""COMPUTED_VALUE"""),"BWH-CA-FW-1A-3")</f>
        <v>BWH-CA-FW-1A-3</v>
      </c>
      <c r="B228" s="192" t="s">
        <v>7704</v>
      </c>
      <c r="C228" s="21" t="s">
        <v>22</v>
      </c>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c r="A229" s="192" t="str">
        <f>IFERROR(__xludf.DUMMYFUNCTION("""COMPUTED_VALUE"""),"BWH-CA-FW-1A-4")</f>
        <v>BWH-CA-FW-1A-4</v>
      </c>
      <c r="B229" s="192" t="s">
        <v>7705</v>
      </c>
      <c r="C229" s="21" t="s">
        <v>22</v>
      </c>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c r="A230" s="192" t="str">
        <f>IFERROR(__xludf.DUMMYFUNCTION("""COMPUTED_VALUE"""),"BWH-CA-FW-1A-5")</f>
        <v>BWH-CA-FW-1A-5</v>
      </c>
      <c r="B230" s="192" t="s">
        <v>7706</v>
      </c>
      <c r="C230" s="21" t="s">
        <v>22</v>
      </c>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c r="A231" s="192" t="str">
        <f>IFERROR(__xludf.DUMMYFUNCTION("""COMPUTED_VALUE"""),"BWH-PH-BRL-1A")</f>
        <v>BWH-PH-BRL-1A</v>
      </c>
      <c r="B231" s="192" t="s">
        <v>7707</v>
      </c>
      <c r="C231" s="21" t="s">
        <v>22</v>
      </c>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c r="A232" s="192" t="str">
        <f>IFERROR(__xludf.DUMMYFUNCTION("""COMPUTED_VALUE"""),"BWH-PH-BRL-1A-2")</f>
        <v>BWH-PH-BRL-1A-2</v>
      </c>
      <c r="B232" s="192" t="s">
        <v>7708</v>
      </c>
      <c r="C232" s="21" t="s">
        <v>22</v>
      </c>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c r="A233" s="192" t="str">
        <f>IFERROR(__xludf.DUMMYFUNCTION("""COMPUTED_VALUE"""),"BWH-PH-BRL-1A-3")</f>
        <v>BWH-PH-BRL-1A-3</v>
      </c>
      <c r="B233" s="192" t="s">
        <v>7709</v>
      </c>
      <c r="C233" s="21" t="s">
        <v>22</v>
      </c>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c r="A234" s="192" t="str">
        <f>IFERROR(__xludf.DUMMYFUNCTION("""COMPUTED_VALUE"""),"BWH-PH-BRL-1A-4")</f>
        <v>BWH-PH-BRL-1A-4</v>
      </c>
      <c r="B234" s="192" t="s">
        <v>7710</v>
      </c>
      <c r="C234" s="21" t="s">
        <v>22</v>
      </c>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c r="A235" s="192" t="str">
        <f>IFERROR(__xludf.DUMMYFUNCTION("""COMPUTED_VALUE"""),"BWH-PH-BRL-1A-5")</f>
        <v>BWH-PH-BRL-1A-5</v>
      </c>
      <c r="B235" s="192" t="s">
        <v>7711</v>
      </c>
      <c r="C235" s="21" t="s">
        <v>22</v>
      </c>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c r="A236" s="192" t="str">
        <f>IFERROR(__xludf.DUMMYFUNCTION("""COMPUTED_VALUE"""),"BWH-CA-MA-1A")</f>
        <v>BWH-CA-MA-1A</v>
      </c>
      <c r="B236" s="192" t="s">
        <v>7712</v>
      </c>
      <c r="C236" s="21" t="s">
        <v>22</v>
      </c>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c r="A237" s="192" t="str">
        <f>IFERROR(__xludf.DUMMYFUNCTION("""COMPUTED_VALUE"""),"BWH-CA-MA-1A-2")</f>
        <v>BWH-CA-MA-1A-2</v>
      </c>
      <c r="B237" s="192" t="s">
        <v>7713</v>
      </c>
      <c r="C237" s="21" t="s">
        <v>22</v>
      </c>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c r="A238" s="192" t="str">
        <f>IFERROR(__xludf.DUMMYFUNCTION("""COMPUTED_VALUE"""),"BWH-CA-MA-1A-3")</f>
        <v>BWH-CA-MA-1A-3</v>
      </c>
      <c r="B238" s="192" t="s">
        <v>7714</v>
      </c>
      <c r="C238" s="21" t="s">
        <v>22</v>
      </c>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c r="A239" s="192" t="str">
        <f>IFERROR(__xludf.DUMMYFUNCTION("""COMPUTED_VALUE"""),"BWH-CA-MA-1A-4")</f>
        <v>BWH-CA-MA-1A-4</v>
      </c>
      <c r="B239" s="192" t="s">
        <v>7715</v>
      </c>
      <c r="C239" s="21" t="s">
        <v>22</v>
      </c>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c r="A240" s="192" t="str">
        <f>IFERROR(__xludf.DUMMYFUNCTION("""COMPUTED_VALUE"""),"BWH-CA-MA-1A-5")</f>
        <v>BWH-CA-MA-1A-5</v>
      </c>
      <c r="B240" s="192" t="s">
        <v>7716</v>
      </c>
      <c r="C240" s="21" t="s">
        <v>22</v>
      </c>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c r="A241" s="192" t="str">
        <f>IFERROR(__xludf.DUMMYFUNCTION("""COMPUTED_VALUE"""),"BWH-ST-TR-1A")</f>
        <v>BWH-ST-TR-1A</v>
      </c>
      <c r="B241" s="192" t="s">
        <v>7717</v>
      </c>
      <c r="C241" s="21" t="s">
        <v>22</v>
      </c>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c r="A242" s="192" t="str">
        <f>IFERROR(__xludf.DUMMYFUNCTION("""COMPUTED_VALUE"""),"BWH-ST-TR-1A-2")</f>
        <v>BWH-ST-TR-1A-2</v>
      </c>
      <c r="B242" s="192" t="s">
        <v>7718</v>
      </c>
      <c r="C242" s="21" t="s">
        <v>22</v>
      </c>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c r="A243" s="192" t="str">
        <f>IFERROR(__xludf.DUMMYFUNCTION("""COMPUTED_VALUE"""),"BWH-ST-TR-1A-3")</f>
        <v>BWH-ST-TR-1A-3</v>
      </c>
      <c r="B243" s="192" t="s">
        <v>7719</v>
      </c>
      <c r="C243" s="21" t="s">
        <v>22</v>
      </c>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c r="A244" s="192" t="str">
        <f>IFERROR(__xludf.DUMMYFUNCTION("""COMPUTED_VALUE"""),"BWH-ST-TR-1A-4")</f>
        <v>BWH-ST-TR-1A-4</v>
      </c>
      <c r="B244" s="192" t="s">
        <v>7720</v>
      </c>
      <c r="C244" s="21" t="s">
        <v>22</v>
      </c>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c r="A245" s="192" t="str">
        <f>IFERROR(__xludf.DUMMYFUNCTION("""COMPUTED_VALUE"""),"BWH-ST-TR-1A-5")</f>
        <v>BWH-ST-TR-1A-5</v>
      </c>
      <c r="B245" s="192" t="s">
        <v>7721</v>
      </c>
      <c r="C245" s="21" t="s">
        <v>22</v>
      </c>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c r="A246" s="192" t="str">
        <f>IFERROR(__xludf.DUMMYFUNCTION("""COMPUTED_VALUE"""),"BWH-ST-TR-1A-6")</f>
        <v>BWH-ST-TR-1A-6</v>
      </c>
      <c r="B246" s="192" t="s">
        <v>7722</v>
      </c>
      <c r="C246" s="21" t="s">
        <v>22</v>
      </c>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c r="A247" s="192" t="str">
        <f>IFERROR(__xludf.DUMMYFUNCTION("""COMPUTED_VALUE"""),"BWH-ST-TR-1A-7")</f>
        <v>BWH-ST-TR-1A-7</v>
      </c>
      <c r="B247" s="192" t="s">
        <v>7723</v>
      </c>
      <c r="C247" s="21" t="s">
        <v>22</v>
      </c>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c r="A248" s="192" t="str">
        <f>IFERROR(__xludf.DUMMYFUNCTION("""COMPUTED_VALUE"""),"BWH-ST-TR-1A-8")</f>
        <v>BWH-ST-TR-1A-8</v>
      </c>
      <c r="B248" s="192" t="s">
        <v>7724</v>
      </c>
      <c r="C248" s="21" t="s">
        <v>22</v>
      </c>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c r="A249" s="192" t="str">
        <f>IFERROR(__xludf.DUMMYFUNCTION("""COMPUTED_VALUE"""),"BWH-HO-KQ-1A")</f>
        <v>BWH-HO-KQ-1A</v>
      </c>
      <c r="B249" s="192" t="s">
        <v>7725</v>
      </c>
      <c r="C249" s="21" t="s">
        <v>22</v>
      </c>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c r="A250" s="192" t="str">
        <f>IFERROR(__xludf.DUMMYFUNCTION("""COMPUTED_VALUE"""),"BWH-HO-KQ-1A-2")</f>
        <v>BWH-HO-KQ-1A-2</v>
      </c>
      <c r="B250" s="192" t="s">
        <v>7726</v>
      </c>
      <c r="C250" s="21" t="s">
        <v>22</v>
      </c>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c r="A251" s="192" t="str">
        <f>IFERROR(__xludf.DUMMYFUNCTION("""COMPUTED_VALUE"""),"BWH-HO-KQ-1A-3")</f>
        <v>BWH-HO-KQ-1A-3</v>
      </c>
      <c r="B251" s="192" t="s">
        <v>7727</v>
      </c>
      <c r="C251" s="21" t="s">
        <v>22</v>
      </c>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c r="A252" s="192" t="str">
        <f>IFERROR(__xludf.DUMMYFUNCTION("""COMPUTED_VALUE"""),"BWH-HO-KQ-1A-4")</f>
        <v>BWH-HO-KQ-1A-4</v>
      </c>
      <c r="B252" s="192" t="s">
        <v>7728</v>
      </c>
      <c r="C252" s="21" t="s">
        <v>22</v>
      </c>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c r="A253" s="192" t="str">
        <f>IFERROR(__xludf.DUMMYFUNCTION("""COMPUTED_VALUE"""),"BWH-HO-KQ-1A-5")</f>
        <v>BWH-HO-KQ-1A-5</v>
      </c>
      <c r="B253" s="192" t="s">
        <v>7729</v>
      </c>
      <c r="C253" s="21" t="s">
        <v>22</v>
      </c>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c r="A254" s="192" t="str">
        <f>IFERROR(__xludf.DUMMYFUNCTION("""COMPUTED_VALUE"""),"BPF-SE-SOP-2A")</f>
        <v>BPF-SE-SOP-2A</v>
      </c>
      <c r="B254" s="192" t="s">
        <v>7730</v>
      </c>
      <c r="C254" s="21" t="s">
        <v>22</v>
      </c>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c r="A255" s="192" t="str">
        <f>IFERROR(__xludf.DUMMYFUNCTION("""COMPUTED_VALUE"""),"BPF-SE-SOP-2A-2")</f>
        <v>BPF-SE-SOP-2A-2</v>
      </c>
      <c r="B255" s="192" t="s">
        <v>7731</v>
      </c>
      <c r="C255" s="21" t="s">
        <v>22</v>
      </c>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c r="A256" s="192" t="str">
        <f>IFERROR(__xludf.DUMMYFUNCTION("""COMPUTED_VALUE"""),"BPF-SE-SOP-2A-3")</f>
        <v>BPF-SE-SOP-2A-3</v>
      </c>
      <c r="B256" s="192" t="s">
        <v>7732</v>
      </c>
      <c r="C256" s="21" t="s">
        <v>22</v>
      </c>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c r="A257" s="192" t="str">
        <f>IFERROR(__xludf.DUMMYFUNCTION("""COMPUTED_VALUE"""),"BPF-SE-SOP-2A-4")</f>
        <v>BPF-SE-SOP-2A-4</v>
      </c>
      <c r="B257" s="192" t="s">
        <v>7733</v>
      </c>
      <c r="C257" s="21" t="s">
        <v>22</v>
      </c>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c r="A258" s="192" t="str">
        <f>IFERROR(__xludf.DUMMYFUNCTION("""COMPUTED_VALUE"""),"BPF-SE-SOP-2A-5")</f>
        <v>BPF-SE-SOP-2A-5</v>
      </c>
      <c r="B258" s="192" t="s">
        <v>7734</v>
      </c>
      <c r="C258" s="21" t="s">
        <v>22</v>
      </c>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c r="A259" s="192" t="str">
        <f>IFERROR(__xludf.DUMMYFUNCTION("""COMPUTED_VALUE"""),"BPF-SE-SOP-2A-6")</f>
        <v>BPF-SE-SOP-2A-6</v>
      </c>
      <c r="B259" s="192" t="s">
        <v>7735</v>
      </c>
      <c r="C259" s="21" t="s">
        <v>22</v>
      </c>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c r="A260" s="192" t="str">
        <f>IFERROR(__xludf.DUMMYFUNCTION("""COMPUTED_VALUE"""),"BPF-SE-SOP-2A-7")</f>
        <v>BPF-SE-SOP-2A-7</v>
      </c>
      <c r="B260" s="192" t="s">
        <v>7736</v>
      </c>
      <c r="C260" s="21" t="s">
        <v>22</v>
      </c>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c r="A261" s="192" t="str">
        <f>IFERROR(__xludf.DUMMYFUNCTION("""COMPUTED_VALUE"""),"BPF-SE-VSP-1A")</f>
        <v>BPF-SE-VSP-1A</v>
      </c>
      <c r="B261" s="192" t="s">
        <v>7737</v>
      </c>
      <c r="C261" s="21" t="s">
        <v>22</v>
      </c>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c r="A262" s="192" t="str">
        <f>IFERROR(__xludf.DUMMYFUNCTION("""COMPUTED_VALUE"""),"BPF-SE-VSP-1A-2")</f>
        <v>BPF-SE-VSP-1A-2</v>
      </c>
      <c r="B262" s="192" t="s">
        <v>7738</v>
      </c>
      <c r="C262" s="21" t="s">
        <v>22</v>
      </c>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c r="A263" s="192" t="str">
        <f>IFERROR(__xludf.DUMMYFUNCTION("""COMPUTED_VALUE"""),"BPF-SE-VSP-1A-3")</f>
        <v>BPF-SE-VSP-1A-3</v>
      </c>
      <c r="B263" s="192" t="s">
        <v>7739</v>
      </c>
      <c r="C263" s="21" t="s">
        <v>22</v>
      </c>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c r="A264" s="192" t="str">
        <f>IFERROR(__xludf.DUMMYFUNCTION("""COMPUTED_VALUE"""),"BPF-SE-VSP-1A-4")</f>
        <v>BPF-SE-VSP-1A-4</v>
      </c>
      <c r="B264" s="192" t="s">
        <v>7740</v>
      </c>
      <c r="C264" s="21" t="s">
        <v>22</v>
      </c>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c r="A265" s="192" t="str">
        <f>IFERROR(__xludf.DUMMYFUNCTION("""COMPUTED_VALUE"""),"BPF-SE-VSP-1A-5")</f>
        <v>BPF-SE-VSP-1A-5</v>
      </c>
      <c r="B265" s="192" t="s">
        <v>7741</v>
      </c>
      <c r="C265" s="21" t="s">
        <v>22</v>
      </c>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c r="A266" s="192" t="str">
        <f>IFERROR(__xludf.DUMMYFUNCTION("""COMPUTED_VALUE"""),"BPF-SE-VSP-1A-6")</f>
        <v>BPF-SE-VSP-1A-6</v>
      </c>
      <c r="B266" s="192" t="s">
        <v>7742</v>
      </c>
      <c r="C266" s="21" t="s">
        <v>22</v>
      </c>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c r="A267" s="192" t="str">
        <f>IFERROR(__xludf.DUMMYFUNCTION("""COMPUTED_VALUE"""),"BPF-CE-SOH-2A")</f>
        <v>BPF-CE-SOH-2A</v>
      </c>
      <c r="B267" s="192" t="s">
        <v>7743</v>
      </c>
      <c r="C267" s="21" t="s">
        <v>22</v>
      </c>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c r="A268" s="192" t="str">
        <f>IFERROR(__xludf.DUMMYFUNCTION("""COMPUTED_VALUE"""),"BPF-CE-SOH-2A-2")</f>
        <v>BPF-CE-SOH-2A-2</v>
      </c>
      <c r="B268" s="192" t="s">
        <v>7744</v>
      </c>
      <c r="C268" s="21" t="s">
        <v>22</v>
      </c>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c r="A269" s="192" t="str">
        <f>IFERROR(__xludf.DUMMYFUNCTION("""COMPUTED_VALUE"""),"BPF-CE-SOH-2A-3")</f>
        <v>BPF-CE-SOH-2A-3</v>
      </c>
      <c r="B269" s="192" t="s">
        <v>7745</v>
      </c>
      <c r="C269" s="21" t="s">
        <v>22</v>
      </c>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c r="A270" s="192" t="str">
        <f>IFERROR(__xludf.DUMMYFUNCTION("""COMPUTED_VALUE"""),"BPF-CE-SOH-2A-4")</f>
        <v>BPF-CE-SOH-2A-4</v>
      </c>
      <c r="B270" s="192" t="s">
        <v>7746</v>
      </c>
      <c r="C270" s="21" t="s">
        <v>22</v>
      </c>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c r="A271" s="192" t="str">
        <f>IFERROR(__xludf.DUMMYFUNCTION("""COMPUTED_VALUE"""),"BPF-CE-SOH-2A-5")</f>
        <v>BPF-CE-SOH-2A-5</v>
      </c>
      <c r="B271" s="192" t="s">
        <v>7747</v>
      </c>
      <c r="C271" s="21" t="s">
        <v>22</v>
      </c>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c r="A272" s="192" t="str">
        <f>IFERROR(__xludf.DUMMYFUNCTION("""COMPUTED_VALUE"""),"BPF-CE-VSH-1A")</f>
        <v>BPF-CE-VSH-1A</v>
      </c>
      <c r="B272" s="192" t="s">
        <v>7748</v>
      </c>
      <c r="C272" s="21" t="s">
        <v>22</v>
      </c>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c r="A273" s="192" t="str">
        <f>IFERROR(__xludf.DUMMYFUNCTION("""COMPUTED_VALUE"""),"BPF-CE-VSH-1A-2")</f>
        <v>BPF-CE-VSH-1A-2</v>
      </c>
      <c r="B273" s="192" t="s">
        <v>7749</v>
      </c>
      <c r="C273" s="21" t="s">
        <v>22</v>
      </c>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c r="A274" s="192" t="str">
        <f>IFERROR(__xludf.DUMMYFUNCTION("""COMPUTED_VALUE"""),"BPF-CE-VSH-1A-3")</f>
        <v>BPF-CE-VSH-1A-3</v>
      </c>
      <c r="B274" s="192" t="s">
        <v>7750</v>
      </c>
      <c r="C274" s="21" t="s">
        <v>22</v>
      </c>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c r="A275" s="192" t="str">
        <f>IFERROR(__xludf.DUMMYFUNCTION("""COMPUTED_VALUE"""),"BPF-SE-SOT-1A")</f>
        <v>BPF-SE-SOT-1A</v>
      </c>
      <c r="B275" s="192" t="s">
        <v>7751</v>
      </c>
      <c r="C275" s="21" t="s">
        <v>22</v>
      </c>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c r="A276" s="192" t="str">
        <f>IFERROR(__xludf.DUMMYFUNCTION("""COMPUTED_VALUE"""),"BPF-SE-SOT-1A-2")</f>
        <v>BPF-SE-SOT-1A-2</v>
      </c>
      <c r="B276" s="192" t="s">
        <v>7752</v>
      </c>
      <c r="C276" s="21" t="s">
        <v>22</v>
      </c>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c r="A277" s="192" t="str">
        <f>IFERROR(__xludf.DUMMYFUNCTION("""COMPUTED_VALUE"""),"BPF-SE-SOT-1A-3")</f>
        <v>BPF-SE-SOT-1A-3</v>
      </c>
      <c r="B277" s="192" t="s">
        <v>7753</v>
      </c>
      <c r="C277" s="21" t="s">
        <v>22</v>
      </c>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c r="A278" s="192" t="str">
        <f>IFERROR(__xludf.DUMMYFUNCTION("""COMPUTED_VALUE"""),"WM-PH-SSW-1A")</f>
        <v>WM-PH-SSW-1A</v>
      </c>
      <c r="B278" s="192" t="s">
        <v>7754</v>
      </c>
      <c r="C278" s="21" t="s">
        <v>22</v>
      </c>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c r="A279" s="192" t="str">
        <f>IFERROR(__xludf.DUMMYFUNCTION("""COMPUTED_VALUE"""),"IST-AE-LP-1A")</f>
        <v>IST-AE-LP-1A</v>
      </c>
      <c r="B279" s="192" t="s">
        <v>7755</v>
      </c>
      <c r="C279" s="21" t="s">
        <v>22</v>
      </c>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c r="A280" s="192" t="str">
        <f>IFERROR(__xludf.DUMMYFUNCTION("""COMPUTED_VALUE"""),"IST-BE-SC-1A")</f>
        <v>IST-BE-SC-1A</v>
      </c>
      <c r="B280" s="192" t="s">
        <v>7756</v>
      </c>
      <c r="C280" s="21" t="s">
        <v>22</v>
      </c>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c r="A281" s="192" t="str">
        <f>IFERROR(__xludf.DUMMYFUNCTION("""COMPUTED_VALUE"""),"IST-PO-MQ-1A")</f>
        <v>IST-PO-MQ-1A</v>
      </c>
      <c r="B281" s="192" t="s">
        <v>7757</v>
      </c>
      <c r="C281" s="21" t="s">
        <v>22</v>
      </c>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c r="A282" s="192" t="str">
        <f>IFERROR(__xludf.DUMMYFUNCTION("""COMPUTED_VALUE"""),"IST-PH-WP-1A")</f>
        <v>IST-PH-WP-1A</v>
      </c>
      <c r="B282" s="192" t="s">
        <v>7758</v>
      </c>
      <c r="C282" s="21" t="s">
        <v>22</v>
      </c>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c r="A283" s="192" t="str">
        <f>IFERROR(__xludf.DUMMYFUNCTION("""COMPUTED_VALUE"""),"IST-PH-RFV-1A")</f>
        <v>IST-PH-RFV-1A</v>
      </c>
      <c r="B283" s="192" t="s">
        <v>7759</v>
      </c>
      <c r="C283" s="21" t="s">
        <v>22</v>
      </c>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c r="A284" s="192" t="str">
        <f>IFERROR(__xludf.DUMMYFUNCTION("""COMPUTED_VALUE"""),"TLC-BE-GI-1A")</f>
        <v>TLC-BE-GI-1A</v>
      </c>
      <c r="B284" s="192" t="s">
        <v>7760</v>
      </c>
      <c r="C284" s="21" t="s">
        <v>22</v>
      </c>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c r="A285" s="192" t="str">
        <f>IFERROR(__xludf.DUMMYFUNCTION("""COMPUTED_VALUE"""),"TLC-PH-BXP-1A")</f>
        <v>TLC-PH-BXP-1A</v>
      </c>
      <c r="B285" s="192" t="s">
        <v>7761</v>
      </c>
      <c r="C285" s="21" t="s">
        <v>22</v>
      </c>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c r="A286" s="192" t="str">
        <f>IFERROR(__xludf.DUMMYFUNCTION("""COMPUTED_VALUE"""),"TLC-PH-GCN-1A")</f>
        <v>TLC-PH-GCN-1A</v>
      </c>
      <c r="B286" s="192" t="s">
        <v>7762</v>
      </c>
      <c r="C286" s="21" t="s">
        <v>22</v>
      </c>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c r="A287" s="192" t="str">
        <f>IFERROR(__xludf.DUMMYFUNCTION("""COMPUTED_VALUE"""),"TLC-BE-BLM-1A")</f>
        <v>TLC-BE-BLM-1A</v>
      </c>
      <c r="B287" s="192" t="s">
        <v>7763</v>
      </c>
      <c r="C287" s="21" t="s">
        <v>22</v>
      </c>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c r="A288" s="192" t="str">
        <f>IFERROR(__xludf.DUMMYFUNCTION("""COMPUTED_VALUE"""),"TLC-BE-BR-1A")</f>
        <v>TLC-BE-BR-1A</v>
      </c>
      <c r="B288" s="192" t="s">
        <v>7764</v>
      </c>
      <c r="C288" s="21" t="s">
        <v>22</v>
      </c>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c r="A289" s="192" t="str">
        <f>IFERROR(__xludf.DUMMYFUNCTION("""COMPUTED_VALUE"""),"TLC-BE-MAC-1A")</f>
        <v>TLC-BE-MAC-1A</v>
      </c>
      <c r="B289" s="192" t="s">
        <v>7765</v>
      </c>
      <c r="C289" s="21" t="s">
        <v>22</v>
      </c>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c r="A290" s="192" t="str">
        <f>IFERROR(__xludf.DUMMYFUNCTION("""COMPUTED_VALUE"""),"TLC-BE-SLC-1A")</f>
        <v>TLC-BE-SLC-1A</v>
      </c>
      <c r="B290" s="192" t="s">
        <v>7766</v>
      </c>
      <c r="C290" s="21" t="s">
        <v>22</v>
      </c>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c r="A291" s="192" t="str">
        <f>IFERROR(__xludf.DUMMYFUNCTION("""COMPUTED_VALUE"""),"SS-PIN-BU-1A")</f>
        <v>SS-PIN-BU-1A</v>
      </c>
      <c r="B291" s="192" t="s">
        <v>7767</v>
      </c>
      <c r="C291" s="21" t="s">
        <v>22</v>
      </c>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c r="A292" s="192" t="str">
        <f>IFERROR(__xludf.DUMMYFUNCTION("""COMPUTED_VALUE"""),"AGP-PH-CHE-1A")</f>
        <v>AGP-PH-CHE-1A</v>
      </c>
      <c r="B292" s="192" t="s">
        <v>7768</v>
      </c>
      <c r="C292" s="21" t="s">
        <v>22</v>
      </c>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c r="A293" s="192" t="str">
        <f>IFERROR(__xludf.DUMMYFUNCTION("""COMPUTED_VALUE"""),"AGP-PH-CHE-1A-2")</f>
        <v>AGP-PH-CHE-1A-2</v>
      </c>
      <c r="B293" s="192" t="s">
        <v>7769</v>
      </c>
      <c r="C293" s="21" t="s">
        <v>22</v>
      </c>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c r="A294" s="192" t="str">
        <f>IFERROR(__xludf.DUMMYFUNCTION("""COMPUTED_VALUE"""),"AGP-PH-SD-1A")</f>
        <v>AGP-PH-SD-1A</v>
      </c>
      <c r="B294" s="192" t="s">
        <v>7770</v>
      </c>
      <c r="C294" s="21" t="s">
        <v>22</v>
      </c>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c r="A295" s="192" t="str">
        <f>IFERROR(__xludf.DUMMYFUNCTION("""COMPUTED_VALUE"""),"AGP-PH-SD-1A-2")</f>
        <v>AGP-PH-SD-1A-2</v>
      </c>
      <c r="B295" s="192" t="s">
        <v>7771</v>
      </c>
      <c r="C295" s="21" t="s">
        <v>22</v>
      </c>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c r="A296" s="192" t="str">
        <f>IFERROR(__xludf.DUMMYFUNCTION("""COMPUTED_VALUE"""),"AGP-SYN-EC-1A")</f>
        <v>AGP-SYN-EC-1A</v>
      </c>
      <c r="B296" s="192" t="s">
        <v>7772</v>
      </c>
      <c r="C296" s="21" t="s">
        <v>22</v>
      </c>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c r="A297" s="192" t="str">
        <f>IFERROR(__xludf.DUMMYFUNCTION("""COMPUTED_VALUE"""),"AGP-PH-GX-1A")</f>
        <v>AGP-PH-GX-1A</v>
      </c>
      <c r="B297" s="192" t="s">
        <v>7773</v>
      </c>
      <c r="C297" s="21" t="s">
        <v>22</v>
      </c>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c r="A298" s="192" t="str">
        <f>IFERROR(__xludf.DUMMYFUNCTION("""COMPUTED_VALUE"""),"AGP-PH-GX-1A-2")</f>
        <v>AGP-PH-GX-1A-2</v>
      </c>
      <c r="B298" s="192" t="s">
        <v>7774</v>
      </c>
      <c r="C298" s="21" t="s">
        <v>22</v>
      </c>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c r="A299" s="192" t="str">
        <f>IFERROR(__xludf.DUMMYFUNCTION("""COMPUTED_VALUE"""),"AGP-PH-ROF-1A")</f>
        <v>AGP-PH-ROF-1A</v>
      </c>
      <c r="B299" s="192" t="s">
        <v>7775</v>
      </c>
      <c r="C299" s="21" t="s">
        <v>22</v>
      </c>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c r="A300" s="192" t="str">
        <f>IFERROR(__xludf.DUMMYFUNCTION("""COMPUTED_VALUE"""),"AGP-PH-ROF-1A-2")</f>
        <v>AGP-PH-ROF-1A-2</v>
      </c>
      <c r="B300" s="192" t="s">
        <v>7776</v>
      </c>
      <c r="C300" s="21" t="s">
        <v>22</v>
      </c>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c r="A301" s="192" t="str">
        <f>IFERROR(__xludf.DUMMYFUNCTION("""COMPUTED_VALUE"""),"SS-HO-CO-1A")</f>
        <v>SS-HO-CO-1A</v>
      </c>
      <c r="B301" s="192" t="s">
        <v>7777</v>
      </c>
      <c r="C301" s="21" t="s">
        <v>22</v>
      </c>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c r="A302" s="192" t="str">
        <f>IFERROR(__xludf.DUMMYFUNCTION("""COMPUTED_VALUE"""),"SS-HO-WV-1A-5")</f>
        <v>SS-HO-WV-1A-5</v>
      </c>
      <c r="B302" s="192" t="s">
        <v>7778</v>
      </c>
      <c r="C302" s="21" t="s">
        <v>22</v>
      </c>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c r="A303" s="192" t="str">
        <f>IFERROR(__xludf.DUMMYFUNCTION("""COMPUTED_VALUE"""),"SS-HO-LI-1A")</f>
        <v>SS-HO-LI-1A</v>
      </c>
      <c r="B303" s="192" t="s">
        <v>7779</v>
      </c>
      <c r="C303" s="21" t="s">
        <v>22</v>
      </c>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c r="A304" s="192" t="str">
        <f>IFERROR(__xludf.DUMMYFUNCTION("""COMPUTED_VALUE"""),"SS-HO-PU-1A")</f>
        <v>SS-HO-PU-1A</v>
      </c>
      <c r="B304" s="192" t="s">
        <v>7780</v>
      </c>
      <c r="C304" s="21" t="s">
        <v>22</v>
      </c>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c r="A305" s="192" t="str">
        <f>IFERROR(__xludf.DUMMYFUNCTION("""COMPUTED_VALUE"""),"SS-HO-OB-1A")</f>
        <v>SS-HO-OB-1A</v>
      </c>
      <c r="B305" s="192" t="s">
        <v>7781</v>
      </c>
      <c r="C305" s="21" t="s">
        <v>22</v>
      </c>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c r="A306" s="192" t="str">
        <f>IFERROR(__xludf.DUMMYFUNCTION("""COMPUTED_VALUE"""),"SS-PIN-BU-1A-2")</f>
        <v>SS-PIN-BU-1A-2</v>
      </c>
      <c r="B306" s="192" t="s">
        <v>7782</v>
      </c>
      <c r="C306" s="21" t="s">
        <v>22</v>
      </c>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c r="A307" s="192" t="str">
        <f>IFERROR(__xludf.DUMMYFUNCTION("""COMPUTED_VALUE"""),"SS-PIN-BU-1A-3")</f>
        <v>SS-PIN-BU-1A-3</v>
      </c>
      <c r="B307" s="192" t="s">
        <v>7783</v>
      </c>
      <c r="C307" s="21" t="s">
        <v>22</v>
      </c>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c r="A308" s="192" t="str">
        <f>IFERROR(__xludf.DUMMYFUNCTION("""COMPUTED_VALUE"""),"SS-PIN-BU-1A-4")</f>
        <v>SS-PIN-BU-1A-4</v>
      </c>
      <c r="B308" s="192" t="s">
        <v>7784</v>
      </c>
      <c r="C308" s="21" t="s">
        <v>22</v>
      </c>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c r="A309" s="192" t="str">
        <f>IFERROR(__xludf.DUMMYFUNCTION("""COMPUTED_VALUE"""),"SS-PIN-BU-1A-5")</f>
        <v>SS-PIN-BU-1A-5</v>
      </c>
      <c r="B309" s="192" t="s">
        <v>7785</v>
      </c>
      <c r="C309" s="21" t="s">
        <v>22</v>
      </c>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c r="A310" s="192" t="str">
        <f>IFERROR(__xludf.DUMMYFUNCTION("""COMPUTED_VALUE"""),"SS-PIN-BU-1A-6")</f>
        <v>SS-PIN-BU-1A-6</v>
      </c>
      <c r="B310" s="192" t="s">
        <v>7786</v>
      </c>
      <c r="C310" s="21" t="s">
        <v>22</v>
      </c>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c r="A311" s="192" t="str">
        <f>IFERROR(__xludf.DUMMYFUNCTION("""COMPUTED_VALUE"""),"SS-PIN-BU-1A-7")</f>
        <v>SS-PIN-BU-1A-7</v>
      </c>
      <c r="B311" s="192" t="s">
        <v>7787</v>
      </c>
      <c r="C311" s="21" t="s">
        <v>22</v>
      </c>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c r="A312" s="192" t="str">
        <f>IFERROR(__xludf.DUMMYFUNCTION("""COMPUTED_VALUE"""),"SS-PIN-BU-1A-8")</f>
        <v>SS-PIN-BU-1A-8</v>
      </c>
      <c r="B312" s="192" t="s">
        <v>7788</v>
      </c>
      <c r="C312" s="21" t="s">
        <v>22</v>
      </c>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c r="A313" s="192" t="str">
        <f>IFERROR(__xludf.DUMMYFUNCTION("""COMPUTED_VALUE"""),"SS-PIN-BU-1A-9")</f>
        <v>SS-PIN-BU-1A-9</v>
      </c>
      <c r="B313" s="192" t="s">
        <v>7789</v>
      </c>
      <c r="C313" s="21" t="s">
        <v>22</v>
      </c>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c r="A314" s="192" t="str">
        <f>IFERROR(__xludf.DUMMYFUNCTION("""COMPUTED_VALUE"""),"SS-PIN-BU-1A-10")</f>
        <v>SS-PIN-BU-1A-10</v>
      </c>
      <c r="B314" s="192" t="s">
        <v>7790</v>
      </c>
      <c r="C314" s="21" t="s">
        <v>22</v>
      </c>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c r="A315" s="192" t="str">
        <f>IFERROR(__xludf.DUMMYFUNCTION("""COMPUTED_VALUE"""),"SS-PIN-BU-1A-11")</f>
        <v>SS-PIN-BU-1A-11</v>
      </c>
      <c r="B315" s="192" t="s">
        <v>7791</v>
      </c>
      <c r="C315" s="21" t="s">
        <v>22</v>
      </c>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c r="A316" s="192" t="str">
        <f>IFERROR(__xludf.DUMMYFUNCTION("""COMPUTED_VALUE"""),"SS-PIN-BU-1A-12")</f>
        <v>SS-PIN-BU-1A-12</v>
      </c>
      <c r="B316" s="192" t="s">
        <v>7792</v>
      </c>
      <c r="C316" s="21" t="s">
        <v>22</v>
      </c>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c r="A317" s="192" t="str">
        <f>IFERROR(__xludf.DUMMYFUNCTION("""COMPUTED_VALUE"""),"SS-PIN-BU-1A-13")</f>
        <v>SS-PIN-BU-1A-13</v>
      </c>
      <c r="B317" s="192" t="s">
        <v>7793</v>
      </c>
      <c r="C317" s="21" t="s">
        <v>22</v>
      </c>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c r="A318" s="192" t="str">
        <f>IFERROR(__xludf.DUMMYFUNCTION("""COMPUTED_VALUE"""),"SS-PIN-BU-1A-14")</f>
        <v>SS-PIN-BU-1A-14</v>
      </c>
      <c r="B318" s="192" t="s">
        <v>7794</v>
      </c>
      <c r="C318" s="21" t="s">
        <v>22</v>
      </c>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c r="A319" s="192" t="str">
        <f>IFERROR(__xludf.DUMMYFUNCTION("""COMPUTED_VALUE"""),"SS-PIN-BU-1A-15")</f>
        <v>SS-PIN-BU-1A-15</v>
      </c>
      <c r="B319" s="192" t="s">
        <v>7795</v>
      </c>
      <c r="C319" s="21" t="s">
        <v>22</v>
      </c>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c r="A320" s="192" t="str">
        <f>IFERROR(__xludf.DUMMYFUNCTION("""COMPUTED_VALUE"""),"SS-PIN-BU-1A-16")</f>
        <v>SS-PIN-BU-1A-16</v>
      </c>
      <c r="B320" s="192" t="s">
        <v>7796</v>
      </c>
      <c r="C320" s="21" t="s">
        <v>22</v>
      </c>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c r="A321" s="192" t="str">
        <f>IFERROR(__xludf.DUMMYFUNCTION("""COMPUTED_VALUE"""),"SS-PIN-BU-1A-17")</f>
        <v>SS-PIN-BU-1A-17</v>
      </c>
      <c r="B321" s="192" t="s">
        <v>7797</v>
      </c>
      <c r="C321" s="21" t="s">
        <v>22</v>
      </c>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c r="A322" s="192" t="str">
        <f>IFERROR(__xludf.DUMMYFUNCTION("""COMPUTED_VALUE"""),"SS-PIN-BU-1A-18")</f>
        <v>SS-PIN-BU-1A-18</v>
      </c>
      <c r="B322" s="192" t="s">
        <v>7798</v>
      </c>
      <c r="C322" s="21" t="s">
        <v>22</v>
      </c>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c r="A323" s="192" t="str">
        <f>IFERROR(__xludf.DUMMYFUNCTION("""COMPUTED_VALUE"""),"SS-PIN-BU-1A-19")</f>
        <v>SS-PIN-BU-1A-19</v>
      </c>
      <c r="B323" s="192" t="s">
        <v>7799</v>
      </c>
      <c r="C323" s="21" t="s">
        <v>22</v>
      </c>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c r="A324" s="192" t="str">
        <f>IFERROR(__xludf.DUMMYFUNCTION("""COMPUTED_VALUE"""),"SS-PIN-BU-1A-20")</f>
        <v>SS-PIN-BU-1A-20</v>
      </c>
      <c r="B324" s="192" t="s">
        <v>7800</v>
      </c>
      <c r="C324" s="21" t="s">
        <v>22</v>
      </c>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c r="A325" s="192" t="str">
        <f>IFERROR(__xludf.DUMMYFUNCTION("""COMPUTED_VALUE"""),"SS-PIN-BU-1A-21")</f>
        <v>SS-PIN-BU-1A-21</v>
      </c>
      <c r="B325" s="192" t="s">
        <v>7801</v>
      </c>
      <c r="C325" s="21" t="s">
        <v>22</v>
      </c>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c r="A326" s="192" t="str">
        <f>IFERROR(__xludf.DUMMYFUNCTION("""COMPUTED_VALUE"""),"SS-PIN-BU-1A-22")</f>
        <v>SS-PIN-BU-1A-22</v>
      </c>
      <c r="B326" s="192" t="s">
        <v>7802</v>
      </c>
      <c r="C326" s="21" t="s">
        <v>22</v>
      </c>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c r="A327" s="192" t="str">
        <f>IFERROR(__xludf.DUMMYFUNCTION("""COMPUTED_VALUE"""),"SS-PIN-BU-1A-23")</f>
        <v>SS-PIN-BU-1A-23</v>
      </c>
      <c r="B327" s="192" t="s">
        <v>7803</v>
      </c>
      <c r="C327" s="21" t="s">
        <v>22</v>
      </c>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c r="A328" s="192" t="str">
        <f>IFERROR(__xludf.DUMMYFUNCTION("""COMPUTED_VALUE"""),"SS-PIN-BU-1A-24")</f>
        <v>SS-PIN-BU-1A-24</v>
      </c>
      <c r="B328" s="192" t="s">
        <v>7804</v>
      </c>
      <c r="C328" s="21" t="s">
        <v>22</v>
      </c>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c r="A329" s="192" t="str">
        <f>IFERROR(__xludf.DUMMYFUNCTION("""COMPUTED_VALUE"""),"SS-PIN-BU-1A-25")</f>
        <v>SS-PIN-BU-1A-25</v>
      </c>
      <c r="B329" s="192" t="s">
        <v>7805</v>
      </c>
      <c r="C329" s="21" t="s">
        <v>22</v>
      </c>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c r="A330" s="192" t="str">
        <f>IFERROR(__xludf.DUMMYFUNCTION("""COMPUTED_VALUE"""),"SS-PIN-BU-1A-26")</f>
        <v>SS-PIN-BU-1A-26</v>
      </c>
      <c r="B330" s="192" t="s">
        <v>7806</v>
      </c>
      <c r="C330" s="21" t="s">
        <v>22</v>
      </c>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c r="A331" s="192" t="str">
        <f>IFERROR(__xludf.DUMMYFUNCTION("""COMPUTED_VALUE"""),"SS-PIN-BU-1A-27")</f>
        <v>SS-PIN-BU-1A-27</v>
      </c>
      <c r="B331" s="192" t="s">
        <v>7807</v>
      </c>
      <c r="C331" s="21" t="s">
        <v>22</v>
      </c>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c r="A332" s="192" t="str">
        <f>IFERROR(__xludf.DUMMYFUNCTION("""COMPUTED_VALUE"""),"SS-PIN-BU-1A-28")</f>
        <v>SS-PIN-BU-1A-28</v>
      </c>
      <c r="B332" s="192" t="s">
        <v>7808</v>
      </c>
      <c r="C332" s="21" t="s">
        <v>22</v>
      </c>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c r="A333" s="192" t="str">
        <f>IFERROR(__xludf.DUMMYFUNCTION("""COMPUTED_VALUE"""),"SS-PIN-BU-1A-29")</f>
        <v>SS-PIN-BU-1A-29</v>
      </c>
      <c r="B333" s="192" t="s">
        <v>7809</v>
      </c>
      <c r="C333" s="21" t="s">
        <v>22</v>
      </c>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c r="A334" s="192" t="str">
        <f>IFERROR(__xludf.DUMMYFUNCTION("""COMPUTED_VALUE"""),"SS-PIN-BU-1A-30")</f>
        <v>SS-PIN-BU-1A-30</v>
      </c>
      <c r="B334" s="192" t="s">
        <v>7810</v>
      </c>
      <c r="C334" s="21" t="s">
        <v>22</v>
      </c>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c r="A335" s="192" t="str">
        <f>IFERROR(__xludf.DUMMYFUNCTION("""COMPUTED_VALUE"""),"SS-PIN-BU-1A-31")</f>
        <v>SS-PIN-BU-1A-31</v>
      </c>
      <c r="B335" s="192" t="s">
        <v>7811</v>
      </c>
      <c r="C335" s="21" t="s">
        <v>22</v>
      </c>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c r="A336" s="192" t="str">
        <f>IFERROR(__xludf.DUMMYFUNCTION("""COMPUTED_VALUE"""),"SS-PIN-BU-1A-32")</f>
        <v>SS-PIN-BU-1A-32</v>
      </c>
      <c r="B336" s="192" t="s">
        <v>7812</v>
      </c>
      <c r="C336" s="21" t="s">
        <v>22</v>
      </c>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c r="A337" s="192" t="str">
        <f>IFERROR(__xludf.DUMMYFUNCTION("""COMPUTED_VALUE"""),"SS-PIN-BU-1A-33")</f>
        <v>SS-PIN-BU-1A-33</v>
      </c>
      <c r="B337" s="192" t="s">
        <v>7813</v>
      </c>
      <c r="C337" s="21" t="s">
        <v>22</v>
      </c>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c r="A338" s="192" t="str">
        <f>IFERROR(__xludf.DUMMYFUNCTION("""COMPUTED_VALUE"""),"SS-PIN-BU-1A-34")</f>
        <v>SS-PIN-BU-1A-34</v>
      </c>
      <c r="B338" s="192" t="s">
        <v>7814</v>
      </c>
      <c r="C338" s="21" t="s">
        <v>22</v>
      </c>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c r="A339" s="192" t="str">
        <f>IFERROR(__xludf.DUMMYFUNCTION("""COMPUTED_VALUE"""),"SS-PIN-BU-1A-35")</f>
        <v>SS-PIN-BU-1A-35</v>
      </c>
      <c r="B339" s="192" t="s">
        <v>7815</v>
      </c>
      <c r="C339" s="21" t="s">
        <v>22</v>
      </c>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c r="A340" s="192" t="str">
        <f>IFERROR(__xludf.DUMMYFUNCTION("""COMPUTED_VALUE"""),"SS-PIN-BU-1A-36")</f>
        <v>SS-PIN-BU-1A-36</v>
      </c>
      <c r="B340" s="192" t="s">
        <v>7816</v>
      </c>
      <c r="C340" s="21" t="s">
        <v>22</v>
      </c>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c r="A341" s="192" t="str">
        <f>IFERROR(__xludf.DUMMYFUNCTION("""COMPUTED_VALUE"""),"SS-PIN-BU-1A-37")</f>
        <v>SS-PIN-BU-1A-37</v>
      </c>
      <c r="B341" s="192" t="s">
        <v>7817</v>
      </c>
      <c r="C341" s="21" t="s">
        <v>22</v>
      </c>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c r="A342" s="192" t="str">
        <f>IFERROR(__xludf.DUMMYFUNCTION("""COMPUTED_VALUE"""),"SS-PIN-BU-1A-38")</f>
        <v>SS-PIN-BU-1A-38</v>
      </c>
      <c r="B342" s="192" t="s">
        <v>7818</v>
      </c>
      <c r="C342" s="21" t="s">
        <v>22</v>
      </c>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c r="A343" s="192" t="str">
        <f>IFERROR(__xludf.DUMMYFUNCTION("""COMPUTED_VALUE"""),"SS-PIN-BU-1A-39")</f>
        <v>SS-PIN-BU-1A-39</v>
      </c>
      <c r="B343" s="192" t="s">
        <v>7819</v>
      </c>
      <c r="C343" s="21" t="s">
        <v>22</v>
      </c>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c r="A344" s="192" t="str">
        <f>IFERROR(__xludf.DUMMYFUNCTION("""COMPUTED_VALUE"""),"SS-PIN-BU-1A-40")</f>
        <v>SS-PIN-BU-1A-40</v>
      </c>
      <c r="B344" s="192" t="s">
        <v>7820</v>
      </c>
      <c r="C344" s="21" t="s">
        <v>22</v>
      </c>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c r="A345" s="192" t="str">
        <f>IFERROR(__xludf.DUMMYFUNCTION("""COMPUTED_VALUE"""),"SS-PIN-BU-1A-41")</f>
        <v>SS-PIN-BU-1A-41</v>
      </c>
      <c r="B345" s="192" t="s">
        <v>7821</v>
      </c>
      <c r="C345" s="21" t="s">
        <v>22</v>
      </c>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c r="A346" s="192" t="str">
        <f>IFERROR(__xludf.DUMMYFUNCTION("""COMPUTED_VALUE"""),"SS-PIN-BU-1A-42")</f>
        <v>SS-PIN-BU-1A-42</v>
      </c>
      <c r="B346" s="192" t="s">
        <v>7822</v>
      </c>
      <c r="C346" s="21" t="s">
        <v>22</v>
      </c>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c r="A347" s="192" t="str">
        <f>IFERROR(__xludf.DUMMYFUNCTION("""COMPUTED_VALUE"""),"SS-PIN-BU-1A-43")</f>
        <v>SS-PIN-BU-1A-43</v>
      </c>
      <c r="B347" s="192" t="s">
        <v>7823</v>
      </c>
      <c r="C347" s="21" t="s">
        <v>22</v>
      </c>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c r="A348" s="192" t="str">
        <f>IFERROR(__xludf.DUMMYFUNCTION("""COMPUTED_VALUE"""),"SS-PIN-BU-1A-44")</f>
        <v>SS-PIN-BU-1A-44</v>
      </c>
      <c r="B348" s="192" t="s">
        <v>7824</v>
      </c>
      <c r="C348" s="21" t="s">
        <v>22</v>
      </c>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c r="A349" s="192" t="str">
        <f>IFERROR(__xludf.DUMMYFUNCTION("""COMPUTED_VALUE"""),"SS-PIN-BU-1A-45")</f>
        <v>SS-PIN-BU-1A-45</v>
      </c>
      <c r="B349" s="192" t="s">
        <v>7825</v>
      </c>
      <c r="C349" s="21" t="s">
        <v>22</v>
      </c>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c r="A350" s="192" t="str">
        <f>IFERROR(__xludf.DUMMYFUNCTION("""COMPUTED_VALUE"""),"SS-HO-CO-1A-2")</f>
        <v>SS-HO-CO-1A-2</v>
      </c>
      <c r="B350" s="192" t="s">
        <v>7826</v>
      </c>
      <c r="C350" s="21" t="s">
        <v>22</v>
      </c>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c r="A351" s="192" t="str">
        <f>IFERROR(__xludf.DUMMYFUNCTION("""COMPUTED_VALUE"""),"SS-HO-CO-1A-3")</f>
        <v>SS-HO-CO-1A-3</v>
      </c>
      <c r="B351" s="192" t="s">
        <v>7827</v>
      </c>
      <c r="C351" s="21" t="s">
        <v>22</v>
      </c>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c r="A352" s="192" t="str">
        <f>IFERROR(__xludf.DUMMYFUNCTION("""COMPUTED_VALUE"""),"SS-HO-CO-1A-4")</f>
        <v>SS-HO-CO-1A-4</v>
      </c>
      <c r="B352" s="192" t="s">
        <v>7828</v>
      </c>
      <c r="C352" s="21" t="s">
        <v>22</v>
      </c>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c r="A353" s="192" t="str">
        <f>IFERROR(__xludf.DUMMYFUNCTION("""COMPUTED_VALUE"""),"SS-HO-CO-1A-5")</f>
        <v>SS-HO-CO-1A-5</v>
      </c>
      <c r="B353" s="192" t="s">
        <v>7829</v>
      </c>
      <c r="C353" s="21" t="s">
        <v>22</v>
      </c>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c r="A354" s="192" t="str">
        <f>IFERROR(__xludf.DUMMYFUNCTION("""COMPUTED_VALUE"""),"SS-HO-CO-1A-6")</f>
        <v>SS-HO-CO-1A-6</v>
      </c>
      <c r="B354" s="192" t="s">
        <v>7830</v>
      </c>
      <c r="C354" s="21" t="s">
        <v>22</v>
      </c>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c r="A355" s="192" t="str">
        <f>IFERROR(__xludf.DUMMYFUNCTION("""COMPUTED_VALUE"""),"SS-HO-CO-1A-7")</f>
        <v>SS-HO-CO-1A-7</v>
      </c>
      <c r="B355" s="192" t="s">
        <v>7831</v>
      </c>
      <c r="C355" s="21" t="s">
        <v>22</v>
      </c>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c r="A356" s="192" t="str">
        <f>IFERROR(__xludf.DUMMYFUNCTION("""COMPUTED_VALUE"""),"SS-HO-CO-1A-8")</f>
        <v>SS-HO-CO-1A-8</v>
      </c>
      <c r="B356" s="192" t="s">
        <v>7832</v>
      </c>
      <c r="C356" s="21" t="s">
        <v>22</v>
      </c>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c r="A357" s="192" t="str">
        <f>IFERROR(__xludf.DUMMYFUNCTION("""COMPUTED_VALUE"""),"SS-HO-CO-1A-9")</f>
        <v>SS-HO-CO-1A-9</v>
      </c>
      <c r="B357" s="192" t="s">
        <v>7833</v>
      </c>
      <c r="C357" s="21" t="s">
        <v>22</v>
      </c>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c r="A358" s="192" t="str">
        <f>IFERROR(__xludf.DUMMYFUNCTION("""COMPUTED_VALUE"""),"SS-HO-CO-1A-10")</f>
        <v>SS-HO-CO-1A-10</v>
      </c>
      <c r="B358" s="192" t="s">
        <v>7834</v>
      </c>
      <c r="C358" s="21" t="s">
        <v>22</v>
      </c>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c r="A359" s="192" t="str">
        <f>IFERROR(__xludf.DUMMYFUNCTION("""COMPUTED_VALUE"""),"SS-HO-CO-1A-11")</f>
        <v>SS-HO-CO-1A-11</v>
      </c>
      <c r="B359" s="192" t="s">
        <v>7835</v>
      </c>
      <c r="C359" s="21" t="s">
        <v>22</v>
      </c>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c r="A360" s="192" t="str">
        <f>IFERROR(__xludf.DUMMYFUNCTION("""COMPUTED_VALUE"""),"SS-HO-CO-1A-12")</f>
        <v>SS-HO-CO-1A-12</v>
      </c>
      <c r="B360" s="192" t="s">
        <v>7836</v>
      </c>
      <c r="C360" s="21" t="s">
        <v>22</v>
      </c>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c r="A361" s="192" t="str">
        <f>IFERROR(__xludf.DUMMYFUNCTION("""COMPUTED_VALUE"""),"SS-HO-CO-1A-13")</f>
        <v>SS-HO-CO-1A-13</v>
      </c>
      <c r="B361" s="192" t="s">
        <v>7837</v>
      </c>
      <c r="C361" s="21" t="s">
        <v>22</v>
      </c>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c r="A362" s="192" t="str">
        <f>IFERROR(__xludf.DUMMYFUNCTION("""COMPUTED_VALUE"""),"SS-HO-CO-1A-14")</f>
        <v>SS-HO-CO-1A-14</v>
      </c>
      <c r="B362" s="192" t="s">
        <v>7838</v>
      </c>
      <c r="C362" s="21" t="s">
        <v>22</v>
      </c>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c r="A363" s="192" t="str">
        <f>IFERROR(__xludf.DUMMYFUNCTION("""COMPUTED_VALUE"""),"SS-HO-CO-1A-15")</f>
        <v>SS-HO-CO-1A-15</v>
      </c>
      <c r="B363" s="192" t="s">
        <v>7839</v>
      </c>
      <c r="C363" s="21" t="s">
        <v>22</v>
      </c>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c r="A364" s="192" t="str">
        <f>IFERROR(__xludf.DUMMYFUNCTION("""COMPUTED_VALUE"""),"AGP-SYN-EC-1A-2")</f>
        <v>AGP-SYN-EC-1A-2</v>
      </c>
      <c r="B364" s="192" t="s">
        <v>7840</v>
      </c>
      <c r="C364" s="21" t="s">
        <v>22</v>
      </c>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c r="A365" s="192" t="str">
        <f>IFERROR(__xludf.DUMMYFUNCTION("""COMPUTED_VALUE"""),"HS-BE-AW-CU-6")</f>
        <v>HS-BE-AW-CU-6</v>
      </c>
      <c r="B365" s="192" t="s">
        <v>7841</v>
      </c>
      <c r="C365" s="21" t="s">
        <v>22</v>
      </c>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c r="A366" s="192" t="str">
        <f>IFERROR(__xludf.DUMMYFUNCTION("""COMPUTED_VALUE"""),"HS-PO-GO-CU-6")</f>
        <v>HS-PO-GO-CU-6</v>
      </c>
      <c r="B366" s="192" t="s">
        <v>7842</v>
      </c>
      <c r="C366" s="21" t="s">
        <v>22</v>
      </c>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c r="A367" s="192" t="str">
        <f>IFERROR(__xludf.DUMMYFUNCTION("""COMPUTED_VALUE"""),"SS-HO-OB-1A-2")</f>
        <v>SS-HO-OB-1A-2</v>
      </c>
      <c r="B367" s="192" t="s">
        <v>7843</v>
      </c>
      <c r="C367" s="21" t="s">
        <v>22</v>
      </c>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c r="A368" s="192" t="str">
        <f>IFERROR(__xludf.DUMMYFUNCTION("""COMPUTED_VALUE"""),"SS-HO-OB-1A-3")</f>
        <v>SS-HO-OB-1A-3</v>
      </c>
      <c r="B368" s="192" t="s">
        <v>7844</v>
      </c>
      <c r="C368" s="21" t="s">
        <v>22</v>
      </c>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c r="A369" s="192" t="str">
        <f>IFERROR(__xludf.DUMMYFUNCTION("""COMPUTED_VALUE"""),"SS-HO-OB-1A-4")</f>
        <v>SS-HO-OB-1A-4</v>
      </c>
      <c r="B369" s="192" t="s">
        <v>7845</v>
      </c>
      <c r="C369" s="21" t="s">
        <v>22</v>
      </c>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c r="A370" s="192" t="str">
        <f>IFERROR(__xludf.DUMMYFUNCTION("""COMPUTED_VALUE"""),"SS-HO-OB-1A-5")</f>
        <v>SS-HO-OB-1A-5</v>
      </c>
      <c r="B370" s="192" t="s">
        <v>7846</v>
      </c>
      <c r="C370" s="21" t="s">
        <v>22</v>
      </c>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c r="A371" s="192" t="str">
        <f>IFERROR(__xludf.DUMMYFUNCTION("""COMPUTED_VALUE"""),"SS-HO-PU-1A-2")</f>
        <v>SS-HO-PU-1A-2</v>
      </c>
      <c r="B371" s="192" t="s">
        <v>7847</v>
      </c>
      <c r="C371" s="21" t="s">
        <v>22</v>
      </c>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c r="A372" s="192" t="str">
        <f>IFERROR(__xludf.DUMMYFUNCTION("""COMPUTED_VALUE"""),"SS-HO-PU-1A-3")</f>
        <v>SS-HO-PU-1A-3</v>
      </c>
      <c r="B372" s="192" t="s">
        <v>7848</v>
      </c>
      <c r="C372" s="21" t="s">
        <v>22</v>
      </c>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c r="A373" s="192" t="str">
        <f>IFERROR(__xludf.DUMMYFUNCTION("""COMPUTED_VALUE"""),"SS-HO-PU-1A-4")</f>
        <v>SS-HO-PU-1A-4</v>
      </c>
      <c r="B373" s="192" t="s">
        <v>7849</v>
      </c>
      <c r="C373" s="21" t="s">
        <v>22</v>
      </c>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c r="A374" s="192" t="str">
        <f>IFERROR(__xludf.DUMMYFUNCTION("""COMPUTED_VALUE"""),"SS-HO-PU-1A-5")</f>
        <v>SS-HO-PU-1A-5</v>
      </c>
      <c r="B374" s="192" t="s">
        <v>7850</v>
      </c>
      <c r="C374" s="21" t="s">
        <v>22</v>
      </c>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c r="A375" s="192" t="str">
        <f>IFERROR(__xludf.DUMMYFUNCTION("""COMPUTED_VALUE"""),"SS-HO-PU-1A-6")</f>
        <v>SS-HO-PU-1A-6</v>
      </c>
      <c r="B375" s="192" t="s">
        <v>7851</v>
      </c>
      <c r="C375" s="21" t="s">
        <v>22</v>
      </c>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c r="A376" s="192" t="str">
        <f>IFERROR(__xludf.DUMMYFUNCTION("""COMPUTED_VALUE"""),"SS-HO-PU-1A-7")</f>
        <v>SS-HO-PU-1A-7</v>
      </c>
      <c r="B376" s="192" t="s">
        <v>7852</v>
      </c>
      <c r="C376" s="21" t="s">
        <v>22</v>
      </c>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c r="A377" s="192" t="str">
        <f>IFERROR(__xludf.DUMMYFUNCTION("""COMPUTED_VALUE"""),"SS-HO-PU-1A-8")</f>
        <v>SS-HO-PU-1A-8</v>
      </c>
      <c r="B377" s="192" t="s">
        <v>7853</v>
      </c>
      <c r="C377" s="21" t="s">
        <v>22</v>
      </c>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c r="A378" s="192" t="str">
        <f>IFERROR(__xludf.DUMMYFUNCTION("""COMPUTED_VALUE"""),"SS-HO-PU-1A-9")</f>
        <v>SS-HO-PU-1A-9</v>
      </c>
      <c r="B378" s="192" t="s">
        <v>7854</v>
      </c>
      <c r="C378" s="21" t="s">
        <v>22</v>
      </c>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c r="A379" s="192" t="str">
        <f>IFERROR(__xludf.DUMMYFUNCTION("""COMPUTED_VALUE"""),"SS-HO-PU-1A-10")</f>
        <v>SS-HO-PU-1A-10</v>
      </c>
      <c r="B379" s="192" t="s">
        <v>7855</v>
      </c>
      <c r="C379" s="21" t="s">
        <v>22</v>
      </c>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c r="A380" s="192" t="str">
        <f>IFERROR(__xludf.DUMMYFUNCTION("""COMPUTED_VALUE"""),"SS-HO-LI-1A-2")</f>
        <v>SS-HO-LI-1A-2</v>
      </c>
      <c r="B380" s="192" t="s">
        <v>7856</v>
      </c>
      <c r="C380" s="21" t="s">
        <v>22</v>
      </c>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c r="A381" s="192" t="str">
        <f>IFERROR(__xludf.DUMMYFUNCTION("""COMPUTED_VALUE"""),"SS-HO-LI-1A-3")</f>
        <v>SS-HO-LI-1A-3</v>
      </c>
      <c r="B381" s="192" t="s">
        <v>7857</v>
      </c>
      <c r="C381" s="21" t="s">
        <v>22</v>
      </c>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c r="A382" s="192" t="str">
        <f>IFERROR(__xludf.DUMMYFUNCTION("""COMPUTED_VALUE"""),"SS-HO-LI-1A-4")</f>
        <v>SS-HO-LI-1A-4</v>
      </c>
      <c r="B382" s="192" t="s">
        <v>7858</v>
      </c>
      <c r="C382" s="21" t="s">
        <v>22</v>
      </c>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c r="A383" s="192" t="str">
        <f>IFERROR(__xludf.DUMMYFUNCTION("""COMPUTED_VALUE"""),"SS-HO-LI-1A-5")</f>
        <v>SS-HO-LI-1A-5</v>
      </c>
      <c r="B383" s="192" t="s">
        <v>7859</v>
      </c>
      <c r="C383" s="21" t="s">
        <v>22</v>
      </c>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c r="A384" s="192" t="str">
        <f>IFERROR(__xludf.DUMMYFUNCTION("""COMPUTED_VALUE"""),"SS-HO-LI-1A-6")</f>
        <v>SS-HO-LI-1A-6</v>
      </c>
      <c r="B384" s="192" t="s">
        <v>7860</v>
      </c>
      <c r="C384" s="21" t="s">
        <v>22</v>
      </c>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c r="A385" s="192" t="str">
        <f>IFERROR(__xludf.DUMMYFUNCTION("""COMPUTED_VALUE"""),"SS-HO-LI-1A-7")</f>
        <v>SS-HO-LI-1A-7</v>
      </c>
      <c r="B385" s="192" t="s">
        <v>7861</v>
      </c>
      <c r="C385" s="21" t="s">
        <v>22</v>
      </c>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c r="A386" s="192" t="str">
        <f>IFERROR(__xludf.DUMMYFUNCTION("""COMPUTED_VALUE"""),"SS-HO-LI-1A-8")</f>
        <v>SS-HO-LI-1A-8</v>
      </c>
      <c r="B386" s="192" t="s">
        <v>7862</v>
      </c>
      <c r="C386" s="21" t="s">
        <v>22</v>
      </c>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c r="A387" s="192" t="str">
        <f>IFERROR(__xludf.DUMMYFUNCTION("""COMPUTED_VALUE"""),"SS-HO-LI-1A-9")</f>
        <v>SS-HO-LI-1A-9</v>
      </c>
      <c r="B387" s="192" t="s">
        <v>7863</v>
      </c>
      <c r="C387" s="21" t="s">
        <v>22</v>
      </c>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c r="A388" s="192" t="str">
        <f>IFERROR(__xludf.DUMMYFUNCTION("""COMPUTED_VALUE"""),"SS-HO-LI-1A-10")</f>
        <v>SS-HO-LI-1A-10</v>
      </c>
      <c r="B388" s="192" t="s">
        <v>7864</v>
      </c>
      <c r="C388" s="21" t="s">
        <v>22</v>
      </c>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c r="A389" s="192" t="str">
        <f>IFERROR(__xludf.DUMMYFUNCTION("""COMPUTED_VALUE"""),"SS-HO-WV-1A")</f>
        <v>SS-HO-WV-1A</v>
      </c>
      <c r="B389" s="192" t="s">
        <v>7865</v>
      </c>
      <c r="C389" s="21" t="s">
        <v>22</v>
      </c>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c r="A390" s="192" t="str">
        <f>IFERROR(__xludf.DUMMYFUNCTION("""COMPUTED_VALUE"""),"SS-HO-WV-1A-2")</f>
        <v>SS-HO-WV-1A-2</v>
      </c>
      <c r="B390" s="192" t="s">
        <v>7866</v>
      </c>
      <c r="C390" s="21" t="s">
        <v>22</v>
      </c>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c r="A391" s="192" t="str">
        <f>IFERROR(__xludf.DUMMYFUNCTION("""COMPUTED_VALUE"""),"SS-HO-WV-1A-3")</f>
        <v>SS-HO-WV-1A-3</v>
      </c>
      <c r="B391" s="192" t="s">
        <v>7867</v>
      </c>
      <c r="C391" s="21" t="s">
        <v>22</v>
      </c>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c r="A392" s="192" t="str">
        <f>IFERROR(__xludf.DUMMYFUNCTION("""COMPUTED_VALUE"""),"SS-HO-WV-1A-4")</f>
        <v>SS-HO-WV-1A-4</v>
      </c>
      <c r="B392" s="192" t="s">
        <v>7868</v>
      </c>
      <c r="C392" s="21" t="s">
        <v>22</v>
      </c>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c r="A393" s="192" t="str">
        <f>IFERROR(__xludf.DUMMYFUNCTION("""COMPUTED_VALUE"""),"IST-AN-FL-1A")</f>
        <v>IST-AN-FL-1A</v>
      </c>
      <c r="B393" s="192" t="s">
        <v>7869</v>
      </c>
      <c r="C393" s="21" t="s">
        <v>22</v>
      </c>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c r="A394" s="192" t="str">
        <f>IFERROR(__xludf.DUMMYFUNCTION("""COMPUTED_VALUE"""),"IST-AN-CRY-1A")</f>
        <v>IST-AN-CRY-1A</v>
      </c>
      <c r="B394" s="192" t="s">
        <v>7870</v>
      </c>
      <c r="C394" s="21" t="s">
        <v>22</v>
      </c>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c r="A395" s="192" t="str">
        <f>IFERROR(__xludf.DUMMYFUNCTION("""COMPUTED_VALUE"""),"IST-PH-GL-1A")</f>
        <v>IST-PH-GL-1A</v>
      </c>
      <c r="B395" s="192" t="s">
        <v>7871</v>
      </c>
      <c r="C395" s="21" t="s">
        <v>22</v>
      </c>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c r="A396" s="192" t="str">
        <f>IFERROR(__xludf.DUMMYFUNCTION("""COMPUTED_VALUE"""),"DSE-PH-PP-1A")</f>
        <v>DSE-PH-PP-1A</v>
      </c>
      <c r="B396" s="192" t="s">
        <v>7872</v>
      </c>
      <c r="C396" s="21" t="s">
        <v>22</v>
      </c>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c r="A397" s="192" t="str">
        <f>IFERROR(__xludf.DUMMYFUNCTION("""COMPUTED_VALUE"""),"DSE-PH-PP-1A-2")</f>
        <v>DSE-PH-PP-1A-2</v>
      </c>
      <c r="B397" s="192" t="s">
        <v>7873</v>
      </c>
      <c r="C397" s="21" t="s">
        <v>22</v>
      </c>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c r="A398" s="192" t="str">
        <f>IFERROR(__xludf.DUMMYFUNCTION("""COMPUTED_VALUE"""),"DSE-PH-PP-1A-3")</f>
        <v>DSE-PH-PP-1A-3</v>
      </c>
      <c r="B398" s="192" t="s">
        <v>7874</v>
      </c>
      <c r="C398" s="21" t="s">
        <v>22</v>
      </c>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c r="A399" s="192" t="str">
        <f>IFERROR(__xludf.DUMMYFUNCTION("""COMPUTED_VALUE"""),"DSE-PH-RC-1A")</f>
        <v>DSE-PH-RC-1A</v>
      </c>
      <c r="B399" s="192" t="s">
        <v>7875</v>
      </c>
      <c r="C399" s="21" t="s">
        <v>22</v>
      </c>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c r="A400" s="192" t="str">
        <f>IFERROR(__xludf.DUMMYFUNCTION("""COMPUTED_VALUE"""),"DSE-PH-RC-1A-2")</f>
        <v>DSE-PH-RC-1A-2</v>
      </c>
      <c r="B400" s="192" t="s">
        <v>7876</v>
      </c>
      <c r="C400" s="21" t="s">
        <v>22</v>
      </c>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c r="A401" s="192" t="str">
        <f>IFERROR(__xludf.DUMMYFUNCTION("""COMPUTED_VALUE"""),"DSE-PH-RC-1A-3")</f>
        <v>DSE-PH-RC-1A-3</v>
      </c>
      <c r="B401" s="192" t="s">
        <v>7877</v>
      </c>
      <c r="C401" s="21" t="s">
        <v>22</v>
      </c>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c r="A402" s="192" t="str">
        <f>IFERROR(__xludf.DUMMYFUNCTION("""COMPUTED_VALUE"""),"DSE-PH-PP-1A-4")</f>
        <v>DSE-PH-PP-1A-4</v>
      </c>
      <c r="B402" s="192" t="s">
        <v>7878</v>
      </c>
      <c r="C402" s="21" t="s">
        <v>22</v>
      </c>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c r="A403" s="192" t="str">
        <f>IFERROR(__xludf.DUMMYFUNCTION("""COMPUTED_VALUE"""),"DSE-SYN-RR-1A")</f>
        <v>DSE-SYN-RR-1A</v>
      </c>
      <c r="B403" s="192" t="s">
        <v>7879</v>
      </c>
      <c r="C403" s="21" t="s">
        <v>22</v>
      </c>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c r="A404" s="192" t="str">
        <f>IFERROR(__xludf.DUMMYFUNCTION("""COMPUTED_VALUE"""),"DSE-SYN-RR-1A-2")</f>
        <v>DSE-SYN-RR-1A-2</v>
      </c>
      <c r="B404" s="192" t="s">
        <v>7880</v>
      </c>
      <c r="C404" s="21" t="s">
        <v>22</v>
      </c>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c r="A405" s="192" t="str">
        <f>IFERROR(__xludf.DUMMYFUNCTION("""COMPUTED_VALUE"""),"DSE-SYN-RR-1A-3")</f>
        <v>DSE-SYN-RR-1A-3</v>
      </c>
      <c r="B405" s="192" t="s">
        <v>7881</v>
      </c>
      <c r="C405" s="21" t="s">
        <v>22</v>
      </c>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c r="A406" s="192" t="str">
        <f>IFERROR(__xludf.DUMMYFUNCTION("""COMPUTED_VALUE"""),"DSE-PH-PL-1A")</f>
        <v>DSE-PH-PL-1A</v>
      </c>
      <c r="B406" s="192" t="s">
        <v>7882</v>
      </c>
      <c r="C406" s="21" t="s">
        <v>22</v>
      </c>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c r="A407" s="192" t="str">
        <f>IFERROR(__xludf.DUMMYFUNCTION("""COMPUTED_VALUE"""),"DSE-PH-PL-1A-2")</f>
        <v>DSE-PH-PL-1A-2</v>
      </c>
      <c r="B407" s="192" t="s">
        <v>7883</v>
      </c>
      <c r="C407" s="21" t="s">
        <v>22</v>
      </c>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c r="A408" s="192" t="str">
        <f>IFERROR(__xludf.DUMMYFUNCTION("""COMPUTED_VALUE"""),"DSE-PH-PL-1A-3")</f>
        <v>DSE-PH-PL-1A-3</v>
      </c>
      <c r="B408" s="192" t="s">
        <v>7884</v>
      </c>
      <c r="C408" s="21" t="s">
        <v>22</v>
      </c>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c r="A409" s="192" t="str">
        <f>IFERROR(__xludf.DUMMYFUNCTION("""COMPUTED_VALUE"""),"DSE-AL-VE-1A")</f>
        <v>DSE-AL-VE-1A</v>
      </c>
      <c r="B409" s="192" t="s">
        <v>7885</v>
      </c>
      <c r="C409" s="21" t="s">
        <v>22</v>
      </c>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c r="A410" s="192" t="str">
        <f>IFERROR(__xludf.DUMMYFUNCTION("""COMPUTED_VALUE"""),"DSE-AL-VE-1A-2")</f>
        <v>DSE-AL-VE-1A-2</v>
      </c>
      <c r="B410" s="192" t="s">
        <v>7886</v>
      </c>
      <c r="C410" s="21" t="s">
        <v>22</v>
      </c>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c r="A411" s="192" t="str">
        <f>IFERROR(__xludf.DUMMYFUNCTION("""COMPUTED_VALUE"""),"DSE-AL-VE-1A-3")</f>
        <v>DSE-AL-VE-1A-3</v>
      </c>
      <c r="B411" s="192" t="s">
        <v>7887</v>
      </c>
      <c r="C411" s="21" t="s">
        <v>22</v>
      </c>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c r="A412" s="192" t="str">
        <f>IFERROR(__xludf.DUMMYFUNCTION("""COMPUTED_VALUE"""),"DSE-SYN-BA-1A")</f>
        <v>DSE-SYN-BA-1A</v>
      </c>
      <c r="B412" s="192" t="s">
        <v>7888</v>
      </c>
      <c r="C412" s="21" t="s">
        <v>22</v>
      </c>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c r="A413" s="192" t="str">
        <f>IFERROR(__xludf.DUMMYFUNCTION("""COMPUTED_VALUE"""),"DSE-SYN-BA-1A-2")</f>
        <v>DSE-SYN-BA-1A-2</v>
      </c>
      <c r="B413" s="192" t="s">
        <v>7889</v>
      </c>
      <c r="C413" s="21" t="s">
        <v>22</v>
      </c>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c r="A414" s="192" t="str">
        <f>IFERROR(__xludf.DUMMYFUNCTION("""COMPUTED_VALUE"""),"DSE-SYN-BA-1A-3")</f>
        <v>DSE-SYN-BA-1A-3</v>
      </c>
      <c r="B414" s="192" t="s">
        <v>7890</v>
      </c>
      <c r="C414" s="21" t="s">
        <v>22</v>
      </c>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c r="A415" s="192" t="str">
        <f>IFERROR(__xludf.DUMMYFUNCTION("""COMPUTED_VALUE"""),"DSE-PH-JO-1A")</f>
        <v>DSE-PH-JO-1A</v>
      </c>
      <c r="B415" s="192" t="s">
        <v>7891</v>
      </c>
      <c r="C415" s="21" t="s">
        <v>22</v>
      </c>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c r="A416" s="192" t="str">
        <f>IFERROR(__xludf.DUMMYFUNCTION("""COMPUTED_VALUE"""),"DSE-PH-JO-1A-2")</f>
        <v>DSE-PH-JO-1A-2</v>
      </c>
      <c r="B416" s="192" t="s">
        <v>7892</v>
      </c>
      <c r="C416" s="21" t="s">
        <v>22</v>
      </c>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c r="A417" s="192" t="str">
        <f>IFERROR(__xludf.DUMMYFUNCTION("""COMPUTED_VALUE"""),"DSE-PH-JO-1A-3")</f>
        <v>DSE-PH-JO-1A-3</v>
      </c>
      <c r="B417" s="192" t="s">
        <v>7893</v>
      </c>
      <c r="C417" s="21" t="s">
        <v>22</v>
      </c>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c r="A418" s="192" t="str">
        <f>IFERROR(__xludf.DUMMYFUNCTION("""COMPUTED_VALUE"""),"DSE-PH-BIL-1A")</f>
        <v>DSE-PH-BIL-1A</v>
      </c>
      <c r="B418" s="192" t="s">
        <v>7894</v>
      </c>
      <c r="C418" s="21" t="s">
        <v>22</v>
      </c>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c r="A419" s="192" t="str">
        <f>IFERROR(__xludf.DUMMYFUNCTION("""COMPUTED_VALUE"""),"IST-PO-MQ-1A-2")</f>
        <v>IST-PO-MQ-1A-2</v>
      </c>
      <c r="B419" s="192" t="s">
        <v>7895</v>
      </c>
      <c r="C419" s="21" t="s">
        <v>22</v>
      </c>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c r="A420" s="192" t="str">
        <f>IFERROR(__xludf.DUMMYFUNCTION("""COMPUTED_VALUE"""),"TLC-BE-BLM-1A-2")</f>
        <v>TLC-BE-BLM-1A-2</v>
      </c>
      <c r="B420" s="192" t="s">
        <v>7896</v>
      </c>
      <c r="C420" s="21" t="s">
        <v>22</v>
      </c>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c r="A421" s="192" t="str">
        <f>IFERROR(__xludf.DUMMYFUNCTION("""COMPUTED_VALUE"""),"DSE-PH-BIL-1A-2")</f>
        <v>DSE-PH-BIL-1A-2</v>
      </c>
      <c r="B421" s="192" t="s">
        <v>7897</v>
      </c>
      <c r="C421" s="21" t="s">
        <v>22</v>
      </c>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c r="A422" s="192" t="str">
        <f>IFERROR(__xludf.DUMMYFUNCTION("""COMPUTED_VALUE"""),"DSE-PH-BIL-1A-3")</f>
        <v>DSE-PH-BIL-1A-3</v>
      </c>
      <c r="B422" s="192" t="s">
        <v>7898</v>
      </c>
      <c r="C422" s="21" t="s">
        <v>22</v>
      </c>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c r="A423" s="192" t="str">
        <f>IFERROR(__xludf.DUMMYFUNCTION("""COMPUTED_VALUE"""),"TLC-SYN-AU-1A")</f>
        <v>TLC-SYN-AU-1A</v>
      </c>
      <c r="B423" s="192" t="s">
        <v>7899</v>
      </c>
      <c r="C423" s="21" t="s">
        <v>22</v>
      </c>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c r="A424" s="192" t="str">
        <f>IFERROR(__xludf.DUMMYFUNCTION("""COMPUTED_VALUE"""),"TLC-AL-VF-1A")</f>
        <v>TLC-AL-VF-1A</v>
      </c>
      <c r="B424" s="192" t="s">
        <v>7900</v>
      </c>
      <c r="C424" s="21" t="s">
        <v>22</v>
      </c>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c r="A425" s="192" t="str">
        <f>IFERROR(__xludf.DUMMYFUNCTION("""COMPUTED_VALUE"""),"TLC-AL-TD-1A")</f>
        <v>TLC-AL-TD-1A</v>
      </c>
      <c r="B425" s="192" t="s">
        <v>7901</v>
      </c>
      <c r="C425" s="21" t="s">
        <v>22</v>
      </c>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c r="A426" s="192" t="str">
        <f>IFERROR(__xludf.DUMMYFUNCTION("""COMPUTED_VALUE"""),"SS-PH-MI-1A")</f>
        <v>SS-PH-MI-1A</v>
      </c>
      <c r="B426" s="192" t="s">
        <v>7902</v>
      </c>
      <c r="C426" s="21" t="s">
        <v>22</v>
      </c>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c r="A427" s="192" t="str">
        <f>IFERROR(__xludf.DUMMYFUNCTION("""COMPUTED_VALUE"""),"SS-PH-MI-1A-3")</f>
        <v>SS-PH-MI-1A-3</v>
      </c>
      <c r="B427" s="192" t="s">
        <v>7903</v>
      </c>
      <c r="C427" s="21" t="s">
        <v>22</v>
      </c>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c r="A428" s="192" t="str">
        <f>IFERROR(__xludf.DUMMYFUNCTION("""COMPUTED_VALUE"""),"SS-PH-MI-1A-2")</f>
        <v>SS-PH-MI-1A-2</v>
      </c>
      <c r="B428" s="192" t="s">
        <v>7904</v>
      </c>
      <c r="C428" s="21" t="s">
        <v>22</v>
      </c>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c r="A429" s="192" t="str">
        <f>IFERROR(__xludf.DUMMYFUNCTION("""COMPUTED_VALUE"""),"SS-PH-MI-1A-4")</f>
        <v>SS-PH-MI-1A-4</v>
      </c>
      <c r="B429" s="192" t="s">
        <v>7905</v>
      </c>
      <c r="C429" s="21" t="s">
        <v>22</v>
      </c>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c r="A430" s="192" t="str">
        <f>IFERROR(__xludf.DUMMYFUNCTION("""COMPUTED_VALUE"""),"SS-PH-MI-1A-5")</f>
        <v>SS-PH-MI-1A-5</v>
      </c>
      <c r="B430" s="192" t="s">
        <v>7906</v>
      </c>
      <c r="C430" s="21" t="s">
        <v>22</v>
      </c>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c r="A431" s="192" t="str">
        <f>IFERROR(__xludf.DUMMYFUNCTION("""COMPUTED_VALUE"""),"SS-PH-MI-1A-6")</f>
        <v>SS-PH-MI-1A-6</v>
      </c>
      <c r="B431" s="192" t="s">
        <v>7907</v>
      </c>
      <c r="C431" s="21" t="s">
        <v>22</v>
      </c>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c r="A432" s="192" t="str">
        <f>IFERROR(__xludf.DUMMYFUNCTION("""COMPUTED_VALUE"""),"SS-PH-MI-1A-7")</f>
        <v>SS-PH-MI-1A-7</v>
      </c>
      <c r="B432" s="192" t="s">
        <v>7908</v>
      </c>
      <c r="C432" s="21" t="s">
        <v>22</v>
      </c>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c r="A433" s="192" t="str">
        <f>IFERROR(__xludf.DUMMYFUNCTION("""COMPUTED_VALUE"""),"SS-PH-MI-1A-8")</f>
        <v>SS-PH-MI-1A-8</v>
      </c>
      <c r="B433" s="192" t="s">
        <v>7909</v>
      </c>
      <c r="C433" s="21" t="s">
        <v>22</v>
      </c>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c r="A434" s="192" t="str">
        <f>IFERROR(__xludf.DUMMYFUNCTION("""COMPUTED_VALUE"""),"SS-PH-MI-1A-9")</f>
        <v>SS-PH-MI-1A-9</v>
      </c>
      <c r="B434" s="192" t="s">
        <v>7910</v>
      </c>
      <c r="C434" s="21" t="s">
        <v>22</v>
      </c>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c r="A435" s="192" t="str">
        <f>IFERROR(__xludf.DUMMYFUNCTION("""COMPUTED_VALUE"""),"SS-PH-MI-1A-10")</f>
        <v>SS-PH-MI-1A-10</v>
      </c>
      <c r="B435" s="192" t="s">
        <v>7911</v>
      </c>
      <c r="C435" s="21" t="s">
        <v>22</v>
      </c>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c r="A436" s="192" t="str">
        <f>IFERROR(__xludf.DUMMYFUNCTION("""COMPUTED_VALUE"""),"SS-PH-MI-1A-11")</f>
        <v>SS-PH-MI-1A-11</v>
      </c>
      <c r="B436" s="192" t="s">
        <v>7912</v>
      </c>
      <c r="C436" s="21" t="s">
        <v>22</v>
      </c>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c r="A437" s="192" t="str">
        <f>IFERROR(__xludf.DUMMYFUNCTION("""COMPUTED_VALUE"""),"SS-PH-MI-1A-12")</f>
        <v>SS-PH-MI-1A-12</v>
      </c>
      <c r="B437" s="192" t="s">
        <v>7913</v>
      </c>
      <c r="C437" s="21" t="s">
        <v>22</v>
      </c>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c r="A438" s="192" t="str">
        <f>IFERROR(__xludf.DUMMYFUNCTION("""COMPUTED_VALUE"""),"SS-PH-MI-1A-13")</f>
        <v>SS-PH-MI-1A-13</v>
      </c>
      <c r="B438" s="192" t="s">
        <v>7914</v>
      </c>
      <c r="C438" s="21" t="s">
        <v>22</v>
      </c>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c r="A439" s="192" t="str">
        <f>IFERROR(__xludf.DUMMYFUNCTION("""COMPUTED_VALUE"""),"SS-PH-MI-1A-14")</f>
        <v>SS-PH-MI-1A-14</v>
      </c>
      <c r="B439" s="192" t="s">
        <v>7915</v>
      </c>
      <c r="C439" s="21" t="s">
        <v>22</v>
      </c>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c r="A440" s="192" t="str">
        <f>IFERROR(__xludf.DUMMYFUNCTION("""COMPUTED_VALUE"""),"SS-PH-MI-1A-15")</f>
        <v>SS-PH-MI-1A-15</v>
      </c>
      <c r="B440" s="192" t="s">
        <v>7916</v>
      </c>
      <c r="C440" s="21" t="s">
        <v>22</v>
      </c>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c r="A441" s="192" t="str">
        <f>IFERROR(__xludf.DUMMYFUNCTION("""COMPUTED_VALUE"""),"SS-PH-MI-1A-16")</f>
        <v>SS-PH-MI-1A-16</v>
      </c>
      <c r="B441" s="192" t="s">
        <v>7917</v>
      </c>
      <c r="C441" s="21" t="s">
        <v>22</v>
      </c>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c r="A442" s="192" t="str">
        <f>IFERROR(__xludf.DUMMYFUNCTION("""COMPUTED_VALUE"""),"SS-PH-MI-1A-17")</f>
        <v>SS-PH-MI-1A-17</v>
      </c>
      <c r="B442" s="192" t="s">
        <v>7918</v>
      </c>
      <c r="C442" s="21" t="s">
        <v>22</v>
      </c>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c r="A443" s="192" t="str">
        <f>IFERROR(__xludf.DUMMYFUNCTION("""COMPUTED_VALUE"""),"SS-PH-MI-1A-18")</f>
        <v>SS-PH-MI-1A-18</v>
      </c>
      <c r="B443" s="192" t="s">
        <v>7919</v>
      </c>
      <c r="C443" s="21" t="s">
        <v>22</v>
      </c>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c r="A444" s="192" t="str">
        <f>IFERROR(__xludf.DUMMYFUNCTION("""COMPUTED_VALUE"""),"SS-PH-MI-1A-19")</f>
        <v>SS-PH-MI-1A-19</v>
      </c>
      <c r="B444" s="192" t="s">
        <v>7920</v>
      </c>
      <c r="C444" s="21" t="s">
        <v>22</v>
      </c>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c r="A445" s="192" t="str">
        <f>IFERROR(__xludf.DUMMYFUNCTION("""COMPUTED_VALUE"""),"SS-PH-MI-1A-20")</f>
        <v>SS-PH-MI-1A-20</v>
      </c>
      <c r="B445" s="192" t="s">
        <v>7921</v>
      </c>
      <c r="C445" s="21" t="s">
        <v>22</v>
      </c>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c r="A446" s="192" t="str">
        <f>IFERROR(__xludf.DUMMYFUNCTION("""COMPUTED_VALUE"""),"SS-PH-MI-1A-21")</f>
        <v>SS-PH-MI-1A-21</v>
      </c>
      <c r="B446" s="192" t="s">
        <v>7922</v>
      </c>
      <c r="C446" s="21" t="s">
        <v>22</v>
      </c>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c r="A447" s="192" t="str">
        <f>IFERROR(__xludf.DUMMYFUNCTION("""COMPUTED_VALUE"""),"SS-PH-MI-1A-22")</f>
        <v>SS-PH-MI-1A-22</v>
      </c>
      <c r="B447" s="192" t="s">
        <v>7923</v>
      </c>
      <c r="C447" s="21" t="s">
        <v>22</v>
      </c>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c r="A448" s="192" t="str">
        <f>IFERROR(__xludf.DUMMYFUNCTION("""COMPUTED_VALUE"""),"SS-PH-MI-1A-23")</f>
        <v>SS-PH-MI-1A-23</v>
      </c>
      <c r="B448" s="192" t="s">
        <v>7924</v>
      </c>
      <c r="C448" s="21" t="s">
        <v>22</v>
      </c>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c r="A449" s="192" t="str">
        <f>IFERROR(__xludf.DUMMYFUNCTION("""COMPUTED_VALUE"""),"SS-PH-MI-1A-24")</f>
        <v>SS-PH-MI-1A-24</v>
      </c>
      <c r="B449" s="192" t="s">
        <v>7925</v>
      </c>
      <c r="C449" s="21" t="s">
        <v>22</v>
      </c>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c r="A450" s="192" t="str">
        <f>IFERROR(__xludf.DUMMYFUNCTION("""COMPUTED_VALUE"""),"SS-PH-MI-1A-25")</f>
        <v>SS-PH-MI-1A-25</v>
      </c>
      <c r="B450" s="192" t="s">
        <v>7926</v>
      </c>
      <c r="C450" s="21" t="s">
        <v>22</v>
      </c>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c r="A451" s="192" t="str">
        <f>IFERROR(__xludf.DUMMYFUNCTION("""COMPUTED_VALUE"""),"SS-PH-MI-1A-26")</f>
        <v>SS-PH-MI-1A-26</v>
      </c>
      <c r="B451" s="192" t="s">
        <v>7927</v>
      </c>
      <c r="C451" s="21" t="s">
        <v>22</v>
      </c>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c r="A452" s="192" t="str">
        <f>IFERROR(__xludf.DUMMYFUNCTION("""COMPUTED_VALUE"""),"SS-PH-MI-1A-27")</f>
        <v>SS-PH-MI-1A-27</v>
      </c>
      <c r="B452" s="192" t="s">
        <v>7928</v>
      </c>
      <c r="C452" s="21" t="s">
        <v>22</v>
      </c>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c r="A453" s="192" t="str">
        <f>IFERROR(__xludf.DUMMYFUNCTION("""COMPUTED_VALUE"""),"SS-PH-MI-1A-28")</f>
        <v>SS-PH-MI-1A-28</v>
      </c>
      <c r="B453" s="192" t="s">
        <v>7929</v>
      </c>
      <c r="C453" s="21" t="s">
        <v>22</v>
      </c>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c r="A454" s="192" t="str">
        <f>IFERROR(__xludf.DUMMYFUNCTION("""COMPUTED_VALUE"""),"SS-PH-MI-1A-29")</f>
        <v>SS-PH-MI-1A-29</v>
      </c>
      <c r="B454" s="192" t="s">
        <v>7930</v>
      </c>
      <c r="C454" s="21" t="s">
        <v>22</v>
      </c>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c r="A455" s="192" t="str">
        <f>IFERROR(__xludf.DUMMYFUNCTION("""COMPUTED_VALUE"""),"SS-PH-MI-1A-30")</f>
        <v>SS-PH-MI-1A-30</v>
      </c>
      <c r="B455" s="192" t="s">
        <v>7931</v>
      </c>
      <c r="C455" s="21" t="s">
        <v>22</v>
      </c>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c r="A456" s="192" t="str">
        <f>IFERROR(__xludf.DUMMYFUNCTION("""COMPUTED_VALUE"""),"SS-PH-MI-1A-31")</f>
        <v>SS-PH-MI-1A-31</v>
      </c>
      <c r="B456" s="192" t="s">
        <v>7932</v>
      </c>
      <c r="C456" s="21" t="s">
        <v>22</v>
      </c>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c r="A457" s="192" t="str">
        <f>IFERROR(__xludf.DUMMYFUNCTION("""COMPUTED_VALUE"""),"SS-PH-MI-1A-32")</f>
        <v>SS-PH-MI-1A-32</v>
      </c>
      <c r="B457" s="192" t="s">
        <v>7933</v>
      </c>
      <c r="C457" s="21" t="s">
        <v>22</v>
      </c>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c r="A458" s="192" t="str">
        <f>IFERROR(__xludf.DUMMYFUNCTION("""COMPUTED_VALUE"""),"SS-PH-MI-1A-33")</f>
        <v>SS-PH-MI-1A-33</v>
      </c>
      <c r="B458" s="192" t="s">
        <v>7934</v>
      </c>
      <c r="C458" s="21" t="s">
        <v>22</v>
      </c>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c r="A459" s="192" t="str">
        <f>IFERROR(__xludf.DUMMYFUNCTION("""COMPUTED_VALUE"""),"SS-PH-MI-1A-34")</f>
        <v>SS-PH-MI-1A-34</v>
      </c>
      <c r="B459" s="192" t="s">
        <v>7935</v>
      </c>
      <c r="C459" s="21" t="s">
        <v>22</v>
      </c>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c r="A460" s="192" t="str">
        <f>IFERROR(__xludf.DUMMYFUNCTION("""COMPUTED_VALUE"""),"BWH-AL-CU-1A")</f>
        <v>BWH-AL-CU-1A</v>
      </c>
      <c r="B460" s="192" t="s">
        <v>7936</v>
      </c>
      <c r="C460" s="21" t="s">
        <v>22</v>
      </c>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c r="A461" s="192" t="str">
        <f>IFERROR(__xludf.DUMMYFUNCTION("""COMPUTED_VALUE"""),"BWH-AL-CU-1A-2")</f>
        <v>BWH-AL-CU-1A-2</v>
      </c>
      <c r="B461" s="192" t="s">
        <v>7937</v>
      </c>
      <c r="C461" s="21" t="s">
        <v>22</v>
      </c>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c r="A462" s="192" t="str">
        <f>IFERROR(__xludf.DUMMYFUNCTION("""COMPUTED_VALUE"""),"BWH-AL-CU-1A-3")</f>
        <v>BWH-AL-CU-1A-3</v>
      </c>
      <c r="B462" s="192" t="s">
        <v>7938</v>
      </c>
      <c r="C462" s="21" t="s">
        <v>22</v>
      </c>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c r="A463" s="192" t="str">
        <f>IFERROR(__xludf.DUMMYFUNCTION("""COMPUTED_VALUE"""),"BWH-AL-CU-1A-4")</f>
        <v>BWH-AL-CU-1A-4</v>
      </c>
      <c r="B463" s="192" t="s">
        <v>7939</v>
      </c>
      <c r="C463" s="21" t="s">
        <v>22</v>
      </c>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c r="A464" s="192" t="str">
        <f>IFERROR(__xludf.DUMMYFUNCTION("""COMPUTED_VALUE"""),"BWH-AL-CU-1A-5")</f>
        <v>BWH-AL-CU-1A-5</v>
      </c>
      <c r="B464" s="192" t="s">
        <v>7940</v>
      </c>
      <c r="C464" s="21" t="s">
        <v>22</v>
      </c>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c r="A465" s="192" t="str">
        <f>IFERROR(__xludf.DUMMYFUNCTION("""COMPUTED_VALUE"""),"BWH-AL-QD-1A")</f>
        <v>BWH-AL-QD-1A</v>
      </c>
      <c r="B465" s="192" t="s">
        <v>7941</v>
      </c>
      <c r="C465" s="21" t="s">
        <v>22</v>
      </c>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c r="A466" s="192" t="str">
        <f>IFERROR(__xludf.DUMMYFUNCTION("""COMPUTED_VALUE"""),"BWH-AL-QD-1A-2")</f>
        <v>BWH-AL-QD-1A-2</v>
      </c>
      <c r="B466" s="192" t="s">
        <v>7942</v>
      </c>
      <c r="C466" s="21" t="s">
        <v>22</v>
      </c>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c r="A467" s="192" t="str">
        <f>IFERROR(__xludf.DUMMYFUNCTION("""COMPUTED_VALUE"""),"BWH-AL-QD-1A-3")</f>
        <v>BWH-AL-QD-1A-3</v>
      </c>
      <c r="B467" s="192" t="s">
        <v>7943</v>
      </c>
      <c r="C467" s="21" t="s">
        <v>22</v>
      </c>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c r="A468" s="192" t="str">
        <f>IFERROR(__xludf.DUMMYFUNCTION("""COMPUTED_VALUE"""),"BWH-AL-QD-1A-4")</f>
        <v>BWH-AL-QD-1A-4</v>
      </c>
      <c r="B468" s="192" t="s">
        <v>7944</v>
      </c>
      <c r="C468" s="21" t="s">
        <v>22</v>
      </c>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c r="A469" s="192" t="str">
        <f>IFERROR(__xludf.DUMMYFUNCTION("""COMPUTED_VALUE"""),"BWH-AL-QD-1A-5")</f>
        <v>BWH-AL-QD-1A-5</v>
      </c>
      <c r="B469" s="192" t="s">
        <v>7945</v>
      </c>
      <c r="C469" s="21" t="s">
        <v>22</v>
      </c>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c r="A470" s="192" t="str">
        <f>IFERROR(__xludf.DUMMYFUNCTION("""COMPUTED_VALUE"""),"BWH-PH-BIL-1A")</f>
        <v>BWH-PH-BIL-1A</v>
      </c>
      <c r="B470" s="192" t="s">
        <v>7946</v>
      </c>
      <c r="C470" s="21" t="s">
        <v>22</v>
      </c>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c r="A471" s="192" t="str">
        <f>IFERROR(__xludf.DUMMYFUNCTION("""COMPUTED_VALUE"""),"BWH-PH-BIL-1A-2")</f>
        <v>BWH-PH-BIL-1A-2</v>
      </c>
      <c r="B471" s="192" t="s">
        <v>7947</v>
      </c>
      <c r="C471" s="21" t="s">
        <v>22</v>
      </c>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c r="A472" s="192" t="str">
        <f>IFERROR(__xludf.DUMMYFUNCTION("""COMPUTED_VALUE"""),"BWH-PH-BIL-1A-3")</f>
        <v>BWH-PH-BIL-1A-3</v>
      </c>
      <c r="B472" s="192" t="s">
        <v>7948</v>
      </c>
      <c r="C472" s="21" t="s">
        <v>22</v>
      </c>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c r="A473" s="192" t="str">
        <f>IFERROR(__xludf.DUMMYFUNCTION("""COMPUTED_VALUE"""),"BWH-PH-BIL-1A-4")</f>
        <v>BWH-PH-BIL-1A-4</v>
      </c>
      <c r="B473" s="192" t="s">
        <v>7949</v>
      </c>
      <c r="C473" s="21" t="s">
        <v>22</v>
      </c>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c r="A474" s="192" t="str">
        <f>IFERROR(__xludf.DUMMYFUNCTION("""COMPUTED_VALUE"""),"BWH-PH-BIL-1A-5")</f>
        <v>BWH-PH-BIL-1A-5</v>
      </c>
      <c r="B474" s="192" t="s">
        <v>7950</v>
      </c>
      <c r="C474" s="21" t="s">
        <v>22</v>
      </c>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c r="A475" s="192" t="str">
        <f>IFERROR(__xludf.DUMMYFUNCTION("""COMPUTED_VALUE"""),"BWH-PH-FBS-1A")</f>
        <v>BWH-PH-FBS-1A</v>
      </c>
      <c r="B475" s="192" t="s">
        <v>7951</v>
      </c>
      <c r="C475" s="21" t="s">
        <v>22</v>
      </c>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c r="A476" s="192" t="str">
        <f>IFERROR(__xludf.DUMMYFUNCTION("""COMPUTED_VALUE"""),"BWH-PH-FBS-1A-2")</f>
        <v>BWH-PH-FBS-1A-2</v>
      </c>
      <c r="B476" s="192" t="s">
        <v>7952</v>
      </c>
      <c r="C476" s="21" t="s">
        <v>22</v>
      </c>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c r="A477" s="192" t="str">
        <f>IFERROR(__xludf.DUMMYFUNCTION("""COMPUTED_VALUE"""),"BWH-PH-FBS-1A-3")</f>
        <v>BWH-PH-FBS-1A-3</v>
      </c>
      <c r="B477" s="192" t="s">
        <v>7953</v>
      </c>
      <c r="C477" s="21" t="s">
        <v>22</v>
      </c>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c r="A478" s="192" t="str">
        <f>IFERROR(__xludf.DUMMYFUNCTION("""COMPUTED_VALUE"""),"BWH-PH-FBS-1A-4")</f>
        <v>BWH-PH-FBS-1A-4</v>
      </c>
      <c r="B478" s="192" t="s">
        <v>7954</v>
      </c>
      <c r="C478" s="21" t="s">
        <v>22</v>
      </c>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c r="A479" s="192" t="str">
        <f>IFERROR(__xludf.DUMMYFUNCTION("""COMPUTED_VALUE"""),"BWH-PH-FBS-1A-5")</f>
        <v>BWH-PH-FBS-1A-5</v>
      </c>
      <c r="B479" s="192" t="s">
        <v>7955</v>
      </c>
      <c r="C479" s="21" t="s">
        <v>22</v>
      </c>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c r="A480" s="192" t="str">
        <f>IFERROR(__xludf.DUMMYFUNCTION("""COMPUTED_VALUE"""),"BWH-PH-WA-1A")</f>
        <v>BWH-PH-WA-1A</v>
      </c>
      <c r="B480" s="192" t="s">
        <v>7956</v>
      </c>
      <c r="C480" s="21" t="s">
        <v>22</v>
      </c>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c r="A481" s="192" t="str">
        <f>IFERROR(__xludf.DUMMYFUNCTION("""COMPUTED_VALUE"""),"BWH-PH-WA-1A-2")</f>
        <v>BWH-PH-WA-1A-2</v>
      </c>
      <c r="B481" s="192" t="s">
        <v>7957</v>
      </c>
      <c r="C481" s="21" t="s">
        <v>22</v>
      </c>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c r="A482" s="192" t="str">
        <f>IFERROR(__xludf.DUMMYFUNCTION("""COMPUTED_VALUE"""),"BWH-PH-WA-1A-3")</f>
        <v>BWH-PH-WA-1A-3</v>
      </c>
      <c r="B482" s="192" t="s">
        <v>7958</v>
      </c>
      <c r="C482" s="21" t="s">
        <v>22</v>
      </c>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c r="A483" s="192" t="str">
        <f>IFERROR(__xludf.DUMMYFUNCTION("""COMPUTED_VALUE"""),"BWH-PH-WA-1A-4")</f>
        <v>BWH-PH-WA-1A-4</v>
      </c>
      <c r="B483" s="192" t="s">
        <v>7959</v>
      </c>
      <c r="C483" s="21" t="s">
        <v>22</v>
      </c>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c r="A484" s="192" t="str">
        <f>IFERROR(__xludf.DUMMYFUNCTION("""COMPUTED_VALUE"""),"BWH-PH-WA-1A-5")</f>
        <v>BWH-PH-WA-1A-5</v>
      </c>
      <c r="B484" s="192" t="s">
        <v>7960</v>
      </c>
      <c r="C484" s="21" t="s">
        <v>22</v>
      </c>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c r="A485" s="192" t="str">
        <f>IFERROR(__xludf.DUMMYFUNCTION("""COMPUTED_VALUE"""),"BWH-SYN-WE-1A")</f>
        <v>BWH-SYN-WE-1A</v>
      </c>
      <c r="B485" s="192" t="s">
        <v>7961</v>
      </c>
      <c r="C485" s="21" t="s">
        <v>22</v>
      </c>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c r="A486" s="192" t="str">
        <f>IFERROR(__xludf.DUMMYFUNCTION("""COMPUTED_VALUE"""),"BWH-SYN-WE-1A-2")</f>
        <v>BWH-SYN-WE-1A-2</v>
      </c>
      <c r="B486" s="192" t="s">
        <v>7962</v>
      </c>
      <c r="C486" s="21" t="s">
        <v>22</v>
      </c>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c r="A487" s="192" t="str">
        <f>IFERROR(__xludf.DUMMYFUNCTION("""COMPUTED_VALUE"""),"BWH-SYN-WE-1A-3")</f>
        <v>BWH-SYN-WE-1A-3</v>
      </c>
      <c r="B487" s="192" t="s">
        <v>7963</v>
      </c>
      <c r="C487" s="21" t="s">
        <v>22</v>
      </c>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c r="A488" s="192" t="str">
        <f>IFERROR(__xludf.DUMMYFUNCTION("""COMPUTED_VALUE"""),"BWH-SYN-WE-1A-4")</f>
        <v>BWH-SYN-WE-1A-4</v>
      </c>
      <c r="B488" s="192" t="s">
        <v>7964</v>
      </c>
      <c r="C488" s="21" t="s">
        <v>22</v>
      </c>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c r="A489" s="192" t="str">
        <f>IFERROR(__xludf.DUMMYFUNCTION("""COMPUTED_VALUE"""),"BWH-SYN-WE-1A-5")</f>
        <v>BWH-SYN-WE-1A-5</v>
      </c>
      <c r="B489" s="192" t="s">
        <v>7965</v>
      </c>
      <c r="C489" s="21" t="s">
        <v>22</v>
      </c>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c r="A490" s="192" t="str">
        <f>IFERROR(__xludf.DUMMYFUNCTION("""COMPUTED_VALUE"""),"BWH-PH-VGC-1A")</f>
        <v>BWH-PH-VGC-1A</v>
      </c>
      <c r="B490" s="192" t="s">
        <v>7966</v>
      </c>
      <c r="C490" s="21" t="s">
        <v>22</v>
      </c>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c r="A491" s="192" t="str">
        <f>IFERROR(__xludf.DUMMYFUNCTION("""COMPUTED_VALUE"""),"BWH-PH-VGC-1A-2")</f>
        <v>BWH-PH-VGC-1A-2</v>
      </c>
      <c r="B491" s="192" t="s">
        <v>7967</v>
      </c>
      <c r="C491" s="21" t="s">
        <v>22</v>
      </c>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c r="A492" s="192" t="str">
        <f>IFERROR(__xludf.DUMMYFUNCTION("""COMPUTED_VALUE"""),"BWH-PH-VGC-1A-3")</f>
        <v>BWH-PH-VGC-1A-3</v>
      </c>
      <c r="B492" s="192" t="s">
        <v>7968</v>
      </c>
      <c r="C492" s="21" t="s">
        <v>22</v>
      </c>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c r="A493" s="192" t="str">
        <f>IFERROR(__xludf.DUMMYFUNCTION("""COMPUTED_VALUE"""),"BWH-PH-VGC-1A-4")</f>
        <v>BWH-PH-VGC-1A-4</v>
      </c>
      <c r="B493" s="192" t="s">
        <v>7969</v>
      </c>
      <c r="C493" s="21" t="s">
        <v>22</v>
      </c>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c r="A494" s="192" t="str">
        <f>IFERROR(__xludf.DUMMYFUNCTION("""COMPUTED_VALUE"""),"BWH-PH-VGC-1A-5")</f>
        <v>BWH-PH-VGC-1A-5</v>
      </c>
      <c r="B494" s="192" t="s">
        <v>7970</v>
      </c>
      <c r="C494" s="21" t="s">
        <v>22</v>
      </c>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c r="A495" s="192" t="str">
        <f>IFERROR(__xludf.DUMMYFUNCTION("""COMPUTED_VALUE"""),"TG-NE-BP-1A")</f>
        <v>TG-NE-BP-1A</v>
      </c>
      <c r="B495" s="192" t="s">
        <v>7971</v>
      </c>
      <c r="C495" s="21" t="s">
        <v>22</v>
      </c>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c r="A496" s="192" t="str">
        <f>IFERROR(__xludf.DUMMYFUNCTION("""COMPUTED_VALUE"""),"TG-BE-MAC-2A")</f>
        <v>TG-BE-MAC-2A</v>
      </c>
      <c r="B496" s="192" t="s">
        <v>7972</v>
      </c>
      <c r="C496" s="21" t="s">
        <v>22</v>
      </c>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c r="A497" s="192" t="str">
        <f>IFERROR(__xludf.DUMMYFUNCTION("""COMPUTED_VALUE"""),"TG-BE-MAC-2A-2")</f>
        <v>TG-BE-MAC-2A-2</v>
      </c>
      <c r="B497" s="192" t="s">
        <v>7973</v>
      </c>
      <c r="C497" s="21" t="s">
        <v>22</v>
      </c>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c r="A498" s="192" t="str">
        <f>IFERROR(__xludf.DUMMYFUNCTION("""COMPUTED_VALUE"""),"TG-CA-MA-2A")</f>
        <v>TG-CA-MA-2A</v>
      </c>
      <c r="B498" s="192" t="s">
        <v>7974</v>
      </c>
      <c r="C498" s="21" t="s">
        <v>22</v>
      </c>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c r="A499" s="192" t="str">
        <f>IFERROR(__xludf.DUMMYFUNCTION("""COMPUTED_VALUE"""),"TG-CA-MA-2A-2")</f>
        <v>TG-CA-MA-2A-2</v>
      </c>
      <c r="B499" s="192" t="s">
        <v>7975</v>
      </c>
      <c r="C499" s="21" t="s">
        <v>22</v>
      </c>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c r="A500" s="192" t="str">
        <f>IFERROR(__xludf.DUMMYFUNCTION("""COMPUTED_VALUE"""),"TG-CA-MA-2A-3")</f>
        <v>TG-CA-MA-2A-3</v>
      </c>
      <c r="B500" s="192" t="s">
        <v>7976</v>
      </c>
      <c r="C500" s="21" t="s">
        <v>22</v>
      </c>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c r="A501" s="192" t="str">
        <f>IFERROR(__xludf.DUMMYFUNCTION("""COMPUTED_VALUE"""),"TG-CA-MA-2A-4")</f>
        <v>TG-CA-MA-2A-4</v>
      </c>
      <c r="B501" s="192" t="s">
        <v>7977</v>
      </c>
      <c r="C501" s="21" t="s">
        <v>22</v>
      </c>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c r="A502" s="192" t="str">
        <f>IFERROR(__xludf.DUMMYFUNCTION("""COMPUTED_VALUE"""),"TG-CA-MA-2A-5")</f>
        <v>TG-CA-MA-2A-5</v>
      </c>
      <c r="B502" s="192" t="s">
        <v>7978</v>
      </c>
      <c r="C502" s="21" t="s">
        <v>22</v>
      </c>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c r="A503" s="192" t="str">
        <f>IFERROR(__xludf.DUMMYFUNCTION("""COMPUTED_VALUE"""),"TG-BE-REX-2A")</f>
        <v>TG-BE-REX-2A</v>
      </c>
      <c r="B503" s="192" t="s">
        <v>7979</v>
      </c>
      <c r="C503" s="21" t="s">
        <v>22</v>
      </c>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c r="A504" s="192" t="str">
        <f>IFERROR(__xludf.DUMMYFUNCTION("""COMPUTED_VALUE"""),"TG-BE-REX-2A-2")</f>
        <v>TG-BE-REX-2A-2</v>
      </c>
      <c r="B504" s="192" t="s">
        <v>7980</v>
      </c>
      <c r="C504" s="21" t="s">
        <v>22</v>
      </c>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c r="A505" s="192" t="str">
        <f>IFERROR(__xludf.DUMMYFUNCTION("""COMPUTED_VALUE"""),"TG-BE-REX-2A-3")</f>
        <v>TG-BE-REX-2A-3</v>
      </c>
      <c r="B505" s="192" t="s">
        <v>7981</v>
      </c>
      <c r="C505" s="21" t="s">
        <v>22</v>
      </c>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c r="A506" s="192" t="str">
        <f>IFERROR(__xludf.DUMMYFUNCTION("""COMPUTED_VALUE"""),"TG-BE-REX-2A-4")</f>
        <v>TG-BE-REX-2A-4</v>
      </c>
      <c r="B506" s="192" t="s">
        <v>7982</v>
      </c>
      <c r="C506" s="21" t="s">
        <v>22</v>
      </c>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c r="A507" s="192" t="str">
        <f>IFERROR(__xludf.DUMMYFUNCTION("""COMPUTED_VALUE"""),"TG-BE-REX-2A-5")</f>
        <v>TG-BE-REX-2A-5</v>
      </c>
      <c r="B507" s="192" t="s">
        <v>7983</v>
      </c>
      <c r="C507" s="21" t="s">
        <v>22</v>
      </c>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c r="A508" s="192" t="str">
        <f>IFERROR(__xludf.DUMMYFUNCTION("""COMPUTED_VALUE"""),"TG-NE-BP-2A")</f>
        <v>TG-NE-BP-2A</v>
      </c>
      <c r="B508" s="192" t="s">
        <v>7984</v>
      </c>
      <c r="C508" s="21" t="s">
        <v>22</v>
      </c>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c r="A509" s="192" t="str">
        <f>IFERROR(__xludf.DUMMYFUNCTION("""COMPUTED_VALUE"""),"TG-NE-BP-2A-2")</f>
        <v>TG-NE-BP-2A-2</v>
      </c>
      <c r="B509" s="192" t="s">
        <v>7985</v>
      </c>
      <c r="C509" s="21" t="s">
        <v>22</v>
      </c>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c r="A510" s="192" t="str">
        <f>IFERROR(__xludf.DUMMYFUNCTION("""COMPUTED_VALUE"""),"TG-NE-BP-2A-3")</f>
        <v>TG-NE-BP-2A-3</v>
      </c>
      <c r="B510" s="192" t="s">
        <v>7986</v>
      </c>
      <c r="C510" s="21" t="s">
        <v>22</v>
      </c>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c r="A511" s="192" t="str">
        <f>IFERROR(__xludf.DUMMYFUNCTION("""COMPUTED_VALUE"""),"TG-NE-BP-2A-4")</f>
        <v>TG-NE-BP-2A-4</v>
      </c>
      <c r="B511" s="192" t="s">
        <v>7987</v>
      </c>
      <c r="C511" s="21" t="s">
        <v>22</v>
      </c>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c r="A512" s="192" t="str">
        <f>IFERROR(__xludf.DUMMYFUNCTION("""COMPUTED_VALUE"""),"TG-NE-BP-2A-5")</f>
        <v>TG-NE-BP-2A-5</v>
      </c>
      <c r="B512" s="192" t="s">
        <v>7988</v>
      </c>
      <c r="C512" s="21" t="s">
        <v>22</v>
      </c>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c r="A513" s="192" t="str">
        <f>IFERROR(__xludf.DUMMYFUNCTION("""COMPUTED_VALUE"""),"TG-AL-VDM-1A")</f>
        <v>TG-AL-VDM-1A</v>
      </c>
      <c r="B513" s="192" t="s">
        <v>7989</v>
      </c>
      <c r="C513" s="21" t="s">
        <v>22</v>
      </c>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c r="A514" s="192" t="str">
        <f>IFERROR(__xludf.DUMMYFUNCTION("""COMPUTED_VALUE"""),"TG-AL-VDM-1A-2")</f>
        <v>TG-AL-VDM-1A-2</v>
      </c>
      <c r="B514" s="192" t="s">
        <v>7990</v>
      </c>
      <c r="C514" s="21" t="s">
        <v>22</v>
      </c>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c r="A515" s="192" t="str">
        <f>IFERROR(__xludf.DUMMYFUNCTION("""COMPUTED_VALUE"""),"TG-AL-VDM-1A-3")</f>
        <v>TG-AL-VDM-1A-3</v>
      </c>
      <c r="B515" s="192" t="s">
        <v>7991</v>
      </c>
      <c r="C515" s="21" t="s">
        <v>22</v>
      </c>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c r="A516" s="192" t="str">
        <f>IFERROR(__xludf.DUMMYFUNCTION("""COMPUTED_VALUE"""),"TG-SC-SAT-1A")</f>
        <v>TG-SC-SAT-1A</v>
      </c>
      <c r="B516" s="192" t="s">
        <v>7992</v>
      </c>
      <c r="C516" s="21" t="s">
        <v>22</v>
      </c>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c r="A517" s="192" t="str">
        <f>IFERROR(__xludf.DUMMYFUNCTION("""COMPUTED_VALUE"""),"TG-SC-SAT-1A-2")</f>
        <v>TG-SC-SAT-1A-2</v>
      </c>
      <c r="B517" s="192" t="s">
        <v>7993</v>
      </c>
      <c r="C517" s="21" t="s">
        <v>22</v>
      </c>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c r="A518" s="192" t="str">
        <f>IFERROR(__xludf.DUMMYFUNCTION("""COMPUTED_VALUE"""),"TG-SC-SAT-1A-3")</f>
        <v>TG-SC-SAT-1A-3</v>
      </c>
      <c r="B518" s="192" t="s">
        <v>7994</v>
      </c>
      <c r="C518" s="21" t="s">
        <v>22</v>
      </c>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c r="A519" s="192" t="str">
        <f>IFERROR(__xludf.DUMMYFUNCTION("""COMPUTED_VALUE"""),"TG-SC-SAT-1A-4")</f>
        <v>TG-SC-SAT-1A-4</v>
      </c>
      <c r="B519" s="192" t="s">
        <v>7995</v>
      </c>
      <c r="C519" s="21" t="s">
        <v>22</v>
      </c>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c r="A520" s="192" t="str">
        <f>IFERROR(__xludf.DUMMYFUNCTION("""COMPUTED_VALUE"""),"TG-SC-SAT-1A-5")</f>
        <v>TG-SC-SAT-1A-5</v>
      </c>
      <c r="B520" s="192" t="s">
        <v>7996</v>
      </c>
      <c r="C520" s="21" t="s">
        <v>22</v>
      </c>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c r="A521" s="192" t="str">
        <f>IFERROR(__xludf.DUMMYFUNCTION("""COMPUTED_VALUE"""),"RPS-FA-FI-1A")</f>
        <v>RPS-FA-FI-1A</v>
      </c>
      <c r="B521" s="192" t="s">
        <v>7997</v>
      </c>
      <c r="C521" s="21" t="s">
        <v>22</v>
      </c>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c r="A522" s="192" t="str">
        <f>IFERROR(__xludf.DUMMYFUNCTION("""COMPUTED_VALUE"""),"TA-PH-MIC-1A")</f>
        <v>TA-PH-MIC-1A</v>
      </c>
      <c r="B522" s="192" t="s">
        <v>7998</v>
      </c>
      <c r="C522" s="21" t="s">
        <v>22</v>
      </c>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c r="A523" s="192" t="str">
        <f>IFERROR(__xludf.DUMMYFUNCTION("""COMPUTED_VALUE"""),"MPL-PH-CS-1A")</f>
        <v>MPL-PH-CS-1A</v>
      </c>
      <c r="B523" s="192" t="s">
        <v>7999</v>
      </c>
      <c r="C523" s="21" t="s">
        <v>22</v>
      </c>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c r="A524" s="192" t="str">
        <f>IFERROR(__xludf.DUMMYFUNCTION("""COMPUTED_VALUE"""),"MPL-PH-CS-1A-2")</f>
        <v>MPL-PH-CS-1A-2</v>
      </c>
      <c r="B524" s="192" t="s">
        <v>8000</v>
      </c>
      <c r="C524" s="21" t="s">
        <v>22</v>
      </c>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c r="A525" s="192" t="str">
        <f>IFERROR(__xludf.DUMMYFUNCTION("""COMPUTED_VALUE"""),"MPL-PH-CS-1A-3")</f>
        <v>MPL-PH-CS-1A-3</v>
      </c>
      <c r="B525" s="192" t="s">
        <v>8001</v>
      </c>
      <c r="C525" s="21" t="s">
        <v>22</v>
      </c>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c r="A526" s="192" t="str">
        <f>IFERROR(__xludf.DUMMYFUNCTION("""COMPUTED_VALUE"""),"MPL-PH-CS-1A-4")</f>
        <v>MPL-PH-CS-1A-4</v>
      </c>
      <c r="B526" s="192" t="s">
        <v>8002</v>
      </c>
      <c r="C526" s="21" t="s">
        <v>22</v>
      </c>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c r="A527" s="192" t="str">
        <f>IFERROR(__xludf.DUMMYFUNCTION("""COMPUTED_VALUE"""),"MPL-SC-SAT-1A")</f>
        <v>MPL-SC-SAT-1A</v>
      </c>
      <c r="B527" s="192" t="s">
        <v>8003</v>
      </c>
      <c r="C527" s="21" t="s">
        <v>22</v>
      </c>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c r="A528" s="192" t="str">
        <f>IFERROR(__xludf.DUMMYFUNCTION("""COMPUTED_VALUE"""),"MPL-SC-SAT-1A-2")</f>
        <v>MPL-SC-SAT-1A-2</v>
      </c>
      <c r="B528" s="192" t="s">
        <v>8004</v>
      </c>
      <c r="C528" s="21" t="s">
        <v>22</v>
      </c>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c r="A529" s="192" t="str">
        <f>IFERROR(__xludf.DUMMYFUNCTION("""COMPUTED_VALUE"""),"MPL-SC-SAT-1A-3")</f>
        <v>MPL-SC-SAT-1A-3</v>
      </c>
      <c r="B529" s="192" t="s">
        <v>8005</v>
      </c>
      <c r="C529" s="21" t="s">
        <v>22</v>
      </c>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c r="A530" s="192" t="str">
        <f>IFERROR(__xludf.DUMMYFUNCTION("""COMPUTED_VALUE"""),"MPL-SC-DF-1A")</f>
        <v>MPL-SC-DF-1A</v>
      </c>
      <c r="B530" s="192" t="s">
        <v>8006</v>
      </c>
      <c r="C530" s="21" t="s">
        <v>22</v>
      </c>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c r="A531" s="192" t="str">
        <f>IFERROR(__xludf.DUMMYFUNCTION("""COMPUTED_VALUE"""),"MPL-SC-DF-1A-2")</f>
        <v>MPL-SC-DF-1A-2</v>
      </c>
      <c r="B531" s="192" t="s">
        <v>8007</v>
      </c>
      <c r="C531" s="21" t="s">
        <v>22</v>
      </c>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c r="A532" s="192" t="str">
        <f>IFERROR(__xludf.DUMMYFUNCTION("""COMPUTED_VALUE"""),"MPL-SC-DF-1A-3")</f>
        <v>MPL-SC-DF-1A-3</v>
      </c>
      <c r="B532" s="192" t="s">
        <v>8008</v>
      </c>
      <c r="C532" s="21" t="s">
        <v>22</v>
      </c>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c r="A533" s="192" t="str">
        <f>IFERROR(__xludf.DUMMYFUNCTION("""COMPUTED_VALUE"""),"MPL-CHL-SPI-1A")</f>
        <v>MPL-CHL-SPI-1A</v>
      </c>
      <c r="B533" s="192" t="s">
        <v>8009</v>
      </c>
      <c r="C533" s="21" t="s">
        <v>22</v>
      </c>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c r="A534" s="192" t="str">
        <f>IFERROR(__xludf.DUMMYFUNCTION("""COMPUTED_VALUE"""),"MPL-CHL-SPI-1A-2")</f>
        <v>MPL-CHL-SPI-1A-2</v>
      </c>
      <c r="B534" s="192" t="s">
        <v>8010</v>
      </c>
      <c r="C534" s="21" t="s">
        <v>22</v>
      </c>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c r="A535" s="192" t="str">
        <f>IFERROR(__xludf.DUMMYFUNCTION("""COMPUTED_VALUE"""),"MPL-CHL-SPI-1A-3")</f>
        <v>MPL-CHL-SPI-1A-3</v>
      </c>
      <c r="B535" s="192" t="s">
        <v>8011</v>
      </c>
      <c r="C535" s="21" t="s">
        <v>22</v>
      </c>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c r="A536" s="192" t="str">
        <f>IFERROR(__xludf.DUMMYFUNCTION("""COMPUTED_VALUE"""),"MPL-SYN-VA-1A")</f>
        <v>MPL-SYN-VA-1A</v>
      </c>
      <c r="B536" s="192" t="s">
        <v>8012</v>
      </c>
      <c r="C536" s="21" t="s">
        <v>22</v>
      </c>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c r="A537" s="192" t="str">
        <f>IFERROR(__xludf.DUMMYFUNCTION("""COMPUTED_VALUE"""),"MPL-SYN-VA-1A-2")</f>
        <v>MPL-SYN-VA-1A-2</v>
      </c>
      <c r="B537" s="192" t="s">
        <v>8013</v>
      </c>
      <c r="C537" s="21" t="s">
        <v>22</v>
      </c>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c r="A538" s="192" t="str">
        <f>IFERROR(__xludf.DUMMYFUNCTION("""COMPUTED_VALUE"""),"MPL-SYN-VA-1A-3")</f>
        <v>MPL-SYN-VA-1A-3</v>
      </c>
      <c r="B538" s="192" t="s">
        <v>8014</v>
      </c>
      <c r="C538" s="21" t="s">
        <v>22</v>
      </c>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c r="A539" s="192" t="str">
        <f>IFERROR(__xludf.DUMMYFUNCTION("""COMPUTED_VALUE"""),"FM-RH-TET-1A")</f>
        <v>FM-RH-TET-1A</v>
      </c>
      <c r="B539" s="192" t="s">
        <v>8015</v>
      </c>
      <c r="C539" s="21" t="s">
        <v>22</v>
      </c>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c r="A540" s="192" t="str">
        <f>IFERROR(__xludf.DUMMYFUNCTION("""COMPUTED_VALUE"""),"HS-SP-PLD-1A")</f>
        <v>HS-SP-PLD-1A</v>
      </c>
      <c r="B540" s="192" t="s">
        <v>8016</v>
      </c>
      <c r="C540" s="21" t="s">
        <v>22</v>
      </c>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c r="A541" s="192" t="str">
        <f>IFERROR(__xludf.DUMMYFUNCTION("""COMPUTED_VALUE"""),"HS-PH-UN-1A")</f>
        <v>HS-PH-UN-1A</v>
      </c>
      <c r="B541" s="192" t="s">
        <v>8017</v>
      </c>
      <c r="C541" s="21" t="s">
        <v>22</v>
      </c>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c r="A542" s="192" t="str">
        <f>IFERROR(__xludf.DUMMYFUNCTION("""COMPUTED_VALUE"""),"BWH-SYN-WE-2A")</f>
        <v>BWH-SYN-WE-2A</v>
      </c>
      <c r="B542" s="192" t="s">
        <v>8018</v>
      </c>
      <c r="C542" s="21" t="s">
        <v>22</v>
      </c>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c r="A543" s="192" t="str">
        <f>IFERROR(__xludf.DUMMYFUNCTION("""COMPUTED_VALUE"""),"BWH-SYN-WE-2A-2")</f>
        <v>BWH-SYN-WE-2A-2</v>
      </c>
      <c r="B543" s="192" t="s">
        <v>8019</v>
      </c>
      <c r="C543" s="21" t="s">
        <v>22</v>
      </c>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c r="A544" s="192" t="str">
        <f>IFERROR(__xludf.DUMMYFUNCTION("""COMPUTED_VALUE"""),"HS-PH-ROF-1A")</f>
        <v>HS-PH-ROF-1A</v>
      </c>
      <c r="B544" s="192" t="s">
        <v>8020</v>
      </c>
      <c r="C544" s="21" t="s">
        <v>22</v>
      </c>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c r="A545" s="192" t="str">
        <f>IFERROR(__xludf.DUMMYFUNCTION("""COMPUTED_VALUE"""),"TA-OC-HB-1A")</f>
        <v>TA-OC-HB-1A</v>
      </c>
      <c r="B545" s="192" t="s">
        <v>8021</v>
      </c>
      <c r="C545" s="21" t="s">
        <v>22</v>
      </c>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c r="A546" s="192" t="str">
        <f>IFERROR(__xludf.DUMMYFUNCTION("""COMPUTED_VALUE"""),"EH-TO-CP-1A")</f>
        <v>EH-TO-CP-1A</v>
      </c>
      <c r="B546" s="192" t="s">
        <v>8022</v>
      </c>
      <c r="C546" s="21" t="s">
        <v>22</v>
      </c>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c r="A547" s="192" t="str">
        <f>IFERROR(__xludf.DUMMYFUNCTION("""COMPUTED_VALUE"""),"EH-TO-ERC-1A")</f>
        <v>EH-TO-ERC-1A</v>
      </c>
      <c r="B547" s="192" t="s">
        <v>8023</v>
      </c>
      <c r="C547" s="21" t="s">
        <v>22</v>
      </c>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c r="A548" s="192" t="str">
        <f>IFERROR(__xludf.DUMMYFUNCTION("""COMPUTED_VALUE"""),"TA-TH-TH-1A")</f>
        <v>TA-TH-TH-1A</v>
      </c>
      <c r="B548" s="192" t="s">
        <v>8024</v>
      </c>
      <c r="C548" s="21" t="s">
        <v>22</v>
      </c>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c r="A549" s="192" t="str">
        <f>IFERROR(__xludf.DUMMYFUNCTION("""COMPUTED_VALUE"""),"TA-ALL-CH-1A")</f>
        <v>TA-ALL-CH-1A</v>
      </c>
      <c r="B549" s="192" t="s">
        <v>8025</v>
      </c>
      <c r="C549" s="21" t="s">
        <v>22</v>
      </c>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c r="A550" s="192" t="str">
        <f>IFERROR(__xludf.DUMMYFUNCTION("""COMPUTED_VALUE"""),"TA-OR-OR-1A")</f>
        <v>TA-OR-OR-1A</v>
      </c>
      <c r="B550" s="192" t="s">
        <v>8026</v>
      </c>
      <c r="C550" s="21" t="s">
        <v>22</v>
      </c>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c r="A551" s="192" t="str">
        <f>IFERROR(__xludf.DUMMYFUNCTION("""COMPUTED_VALUE"""),"TA-SAL-RO-1A")</f>
        <v>TA-SAL-RO-1A</v>
      </c>
      <c r="B551" s="192" t="s">
        <v>8027</v>
      </c>
      <c r="C551" s="21" t="s">
        <v>22</v>
      </c>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c r="A552" s="192" t="str">
        <f>IFERROR(__xludf.DUMMYFUNCTION("""COMPUTED_VALUE"""),"TA-TH-TH-1A-2")</f>
        <v>TA-TH-TH-1A-2</v>
      </c>
      <c r="B552" s="192" t="s">
        <v>8028</v>
      </c>
      <c r="C552" s="21" t="s">
        <v>22</v>
      </c>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c r="A553" s="192" t="str">
        <f>IFERROR(__xludf.DUMMYFUNCTION("""COMPUTED_VALUE"""),"TA-TH-TH-1A-3")</f>
        <v>TA-TH-TH-1A-3</v>
      </c>
      <c r="B553" s="192" t="s">
        <v>8029</v>
      </c>
      <c r="C553" s="21" t="s">
        <v>22</v>
      </c>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c r="A554" s="192" t="str">
        <f>IFERROR(__xludf.DUMMYFUNCTION("""COMPUTED_VALUE"""),"TA-TH-TH-1A-4")</f>
        <v>TA-TH-TH-1A-4</v>
      </c>
      <c r="B554" s="192" t="s">
        <v>8030</v>
      </c>
      <c r="C554" s="21" t="s">
        <v>22</v>
      </c>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c r="A555" s="192" t="str">
        <f>IFERROR(__xludf.DUMMYFUNCTION("""COMPUTED_VALUE"""),"EH-TO-CP-1A-2")</f>
        <v>EH-TO-CP-1A-2</v>
      </c>
      <c r="B555" s="192" t="s">
        <v>8031</v>
      </c>
      <c r="C555" s="21" t="s">
        <v>22</v>
      </c>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c r="A556" s="192" t="str">
        <f>IFERROR(__xludf.DUMMYFUNCTION("""COMPUTED_VALUE"""),"EH-TO-CP-1A-3")</f>
        <v>EH-TO-CP-1A-3</v>
      </c>
      <c r="B556" s="192" t="s">
        <v>8032</v>
      </c>
      <c r="C556" s="21" t="s">
        <v>22</v>
      </c>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c r="A557" s="192" t="str">
        <f>IFERROR(__xludf.DUMMYFUNCTION("""COMPUTED_VALUE"""),"EH-TO-CP-1A-4")</f>
        <v>EH-TO-CP-1A-4</v>
      </c>
      <c r="B557" s="192" t="s">
        <v>8033</v>
      </c>
      <c r="C557" s="21" t="s">
        <v>22</v>
      </c>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c r="A558" s="192" t="str">
        <f>IFERROR(__xludf.DUMMYFUNCTION("""COMPUTED_VALUE"""),"EH-TO-CP-1A-5")</f>
        <v>EH-TO-CP-1A-5</v>
      </c>
      <c r="B558" s="192" t="s">
        <v>8034</v>
      </c>
      <c r="C558" s="21" t="s">
        <v>22</v>
      </c>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c r="A559" s="192" t="str">
        <f>IFERROR(__xludf.DUMMYFUNCTION("""COMPUTED_VALUE"""),"EH-TO-CP-1A-6")</f>
        <v>EH-TO-CP-1A-6</v>
      </c>
      <c r="B559" s="192" t="s">
        <v>8035</v>
      </c>
      <c r="C559" s="21" t="s">
        <v>22</v>
      </c>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c r="A560" s="192" t="str">
        <f>IFERROR(__xludf.DUMMYFUNCTION("""COMPUTED_VALUE"""),"EH-TO-CP-1A-7")</f>
        <v>EH-TO-CP-1A-7</v>
      </c>
      <c r="B560" s="192" t="s">
        <v>8036</v>
      </c>
      <c r="C560" s="21" t="s">
        <v>22</v>
      </c>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c r="A561" s="192" t="str">
        <f>IFERROR(__xludf.DUMMYFUNCTION("""COMPUTED_VALUE"""),"EH-TO-CP-1A-8")</f>
        <v>EH-TO-CP-1A-8</v>
      </c>
      <c r="B561" s="192" t="s">
        <v>8037</v>
      </c>
      <c r="C561" s="21" t="s">
        <v>22</v>
      </c>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c r="A562" s="192" t="str">
        <f>IFERROR(__xludf.DUMMYFUNCTION("""COMPUTED_VALUE"""),"EH-TO-ERC-1A-2")</f>
        <v>EH-TO-ERC-1A-2</v>
      </c>
      <c r="B562" s="192" t="s">
        <v>8038</v>
      </c>
      <c r="C562" s="21" t="s">
        <v>22</v>
      </c>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c r="A563" s="192" t="str">
        <f>IFERROR(__xludf.DUMMYFUNCTION("""COMPUTED_VALUE"""),"EH-TO-ERC-1A-3")</f>
        <v>EH-TO-ERC-1A-3</v>
      </c>
      <c r="B563" s="192" t="s">
        <v>8039</v>
      </c>
      <c r="C563" s="21" t="s">
        <v>22</v>
      </c>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c r="A564" s="192" t="str">
        <f>IFERROR(__xludf.DUMMYFUNCTION("""COMPUTED_VALUE"""),"EH-TO-ERC-1A-4")</f>
        <v>EH-TO-ERC-1A-4</v>
      </c>
      <c r="B564" s="192" t="s">
        <v>8040</v>
      </c>
      <c r="C564" s="21" t="s">
        <v>22</v>
      </c>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c r="A565" s="192" t="str">
        <f>IFERROR(__xludf.DUMMYFUNCTION("""COMPUTED_VALUE"""),"EH-TO-ERC-1A-5")</f>
        <v>EH-TO-ERC-1A-5</v>
      </c>
      <c r="B565" s="192" t="s">
        <v>8041</v>
      </c>
      <c r="C565" s="21" t="s">
        <v>22</v>
      </c>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c r="A566" s="192" t="str">
        <f>IFERROR(__xludf.DUMMYFUNCTION("""COMPUTED_VALUE"""),"EH-TO-ERC-1A-6")</f>
        <v>EH-TO-ERC-1A-6</v>
      </c>
      <c r="B566" s="192" t="s">
        <v>8042</v>
      </c>
      <c r="C566" s="21" t="s">
        <v>22</v>
      </c>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c r="A567" s="192" t="str">
        <f>IFERROR(__xludf.DUMMYFUNCTION("""COMPUTED_VALUE"""),"EH-TO-ERC-1A-7")</f>
        <v>EH-TO-ERC-1A-7</v>
      </c>
      <c r="B567" s="192" t="s">
        <v>8043</v>
      </c>
      <c r="C567" s="21" t="s">
        <v>22</v>
      </c>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c r="A568" s="192" t="str">
        <f>IFERROR(__xludf.DUMMYFUNCTION("""COMPUTED_VALUE"""),"EH-TO-ERC-1A-8")</f>
        <v>EH-TO-ERC-1A-8</v>
      </c>
      <c r="B568" s="192" t="s">
        <v>8044</v>
      </c>
      <c r="C568" s="21" t="s">
        <v>22</v>
      </c>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c r="A569" s="192" t="str">
        <f>IFERROR(__xludf.DUMMYFUNCTION("""COMPUTED_VALUE"""),"EH-TO-ERC-1A-9")</f>
        <v>EH-TO-ERC-1A-9</v>
      </c>
      <c r="B569" s="192" t="s">
        <v>8045</v>
      </c>
      <c r="C569" s="21" t="s">
        <v>22</v>
      </c>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c r="A570" s="192" t="str">
        <f>IFERROR(__xludf.DUMMYFUNCTION("""COMPUTED_VALUE"""),"TA-CY-LE-1A")</f>
        <v>TA-CY-LE-1A</v>
      </c>
      <c r="B570" s="192" t="s">
        <v>8046</v>
      </c>
      <c r="C570" s="21" t="s">
        <v>22</v>
      </c>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c r="A571" s="192" t="str">
        <f>IFERROR(__xludf.DUMMYFUNCTION("""COMPUTED_VALUE"""),"TA-SAL-RO-1A-2")</f>
        <v>TA-SAL-RO-1A-2</v>
      </c>
      <c r="B571" s="192" t="s">
        <v>8047</v>
      </c>
      <c r="C571" s="21" t="s">
        <v>22</v>
      </c>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c r="A572" s="192" t="str">
        <f>IFERROR(__xludf.DUMMYFUNCTION("""COMPUTED_VALUE"""),"TA-SAL-RO-1A-3")</f>
        <v>TA-SAL-RO-1A-3</v>
      </c>
      <c r="B572" s="192" t="s">
        <v>8048</v>
      </c>
      <c r="C572" s="21" t="s">
        <v>22</v>
      </c>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c r="A573" s="192" t="str">
        <f>IFERROR(__xludf.DUMMYFUNCTION("""COMPUTED_VALUE"""),"TA-SAL-RO-1A-4")</f>
        <v>TA-SAL-RO-1A-4</v>
      </c>
      <c r="B573" s="192" t="s">
        <v>8049</v>
      </c>
      <c r="C573" s="21" t="s">
        <v>22</v>
      </c>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c r="A574" s="192" t="str">
        <f>IFERROR(__xludf.DUMMYFUNCTION("""COMPUTED_VALUE"""),"EH-TO-ERC-1A-10")</f>
        <v>EH-TO-ERC-1A-10</v>
      </c>
      <c r="B574" s="192" t="s">
        <v>8050</v>
      </c>
      <c r="C574" s="21" t="s">
        <v>22</v>
      </c>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c r="A575" s="192" t="str">
        <f>IFERROR(__xludf.DUMMYFUNCTION("""COMPUTED_VALUE"""),"DSE-PH-GIG-1A")</f>
        <v>DSE-PH-GIG-1A</v>
      </c>
      <c r="B575" s="192" t="s">
        <v>8051</v>
      </c>
      <c r="C575" s="21" t="s">
        <v>22</v>
      </c>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c r="A576" s="192" t="str">
        <f>IFERROR(__xludf.DUMMYFUNCTION("""COMPUTED_VALUE"""),"DSE-PH-GIG-1A-2")</f>
        <v>DSE-PH-GIG-1A-2</v>
      </c>
      <c r="B576" s="192" t="s">
        <v>8052</v>
      </c>
      <c r="C576" s="21" t="s">
        <v>22</v>
      </c>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c r="A577" s="192" t="str">
        <f>IFERROR(__xludf.DUMMYFUNCTION("""COMPUTED_VALUE"""),"DSE-PH-GIG-1A-3")</f>
        <v>DSE-PH-GIG-1A-3</v>
      </c>
      <c r="B577" s="192" t="s">
        <v>8053</v>
      </c>
      <c r="C577" s="21" t="s">
        <v>22</v>
      </c>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c r="A578" s="192" t="str">
        <f>IFERROR(__xludf.DUMMYFUNCTION("""COMPUTED_VALUE"""),"DSE-AN-CLA-1A")</f>
        <v>DSE-AN-CLA-1A</v>
      </c>
      <c r="B578" s="192" t="s">
        <v>8054</v>
      </c>
      <c r="C578" s="21" t="s">
        <v>22</v>
      </c>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c r="A579" s="192" t="str">
        <f>IFERROR(__xludf.DUMMYFUNCTION("""COMPUTED_VALUE"""),"DSE-AN-CLA-1A-2")</f>
        <v>DSE-AN-CLA-1A-2</v>
      </c>
      <c r="B579" s="192" t="s">
        <v>8055</v>
      </c>
      <c r="C579" s="21" t="s">
        <v>22</v>
      </c>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c r="A580" s="192" t="str">
        <f>IFERROR(__xludf.DUMMYFUNCTION("""COMPUTED_VALUE"""),"DSE-AN-CLA-1A-3")</f>
        <v>DSE-AN-CLA-1A-3</v>
      </c>
      <c r="B580" s="192" t="s">
        <v>8056</v>
      </c>
      <c r="C580" s="21" t="s">
        <v>22</v>
      </c>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c r="A581" s="192" t="str">
        <f>IFERROR(__xludf.DUMMYFUNCTION("""COMPUTED_VALUE"""),"DSE-AN-RXL-1A")</f>
        <v>DSE-AN-RXL-1A</v>
      </c>
      <c r="B581" s="192" t="s">
        <v>8057</v>
      </c>
      <c r="C581" s="21" t="s">
        <v>22</v>
      </c>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c r="A582" s="192" t="str">
        <f>IFERROR(__xludf.DUMMYFUNCTION("""COMPUTED_VALUE"""),"DSE-AN-RXL-1A-2")</f>
        <v>DSE-AN-RXL-1A-2</v>
      </c>
      <c r="B582" s="192" t="s">
        <v>8058</v>
      </c>
      <c r="C582" s="21" t="s">
        <v>22</v>
      </c>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c r="A583" s="192" t="str">
        <f>IFERROR(__xludf.DUMMYFUNCTION("""COMPUTED_VALUE"""),"DSE-AN-RXL-1A-3")</f>
        <v>DSE-AN-RXL-1A-3</v>
      </c>
      <c r="B583" s="192" t="s">
        <v>8059</v>
      </c>
      <c r="C583" s="21" t="s">
        <v>22</v>
      </c>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c r="A584" s="192" t="str">
        <f>IFERROR(__xludf.DUMMYFUNCTION("""COMPUTED_VALUE"""),"DSE-AN-RXL-1A-4")</f>
        <v>DSE-AN-RXL-1A-4</v>
      </c>
      <c r="B584" s="192" t="s">
        <v>8060</v>
      </c>
      <c r="C584" s="21" t="s">
        <v>22</v>
      </c>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c r="A585" s="192" t="str">
        <f>IFERROR(__xludf.DUMMYFUNCTION("""COMPUTED_VALUE"""),"DSE-AN-RXL-1A-5")</f>
        <v>DSE-AN-RXL-1A-5</v>
      </c>
      <c r="B585" s="192" t="s">
        <v>8061</v>
      </c>
      <c r="C585" s="21" t="s">
        <v>22</v>
      </c>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c r="A586" s="192" t="str">
        <f>IFERROR(__xludf.DUMMYFUNCTION("""COMPUTED_VALUE"""),"DSE-PH-PV-1A")</f>
        <v>DSE-PH-PV-1A</v>
      </c>
      <c r="B586" s="192" t="s">
        <v>8062</v>
      </c>
      <c r="C586" s="21" t="s">
        <v>22</v>
      </c>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c r="A587" s="192" t="str">
        <f>IFERROR(__xludf.DUMMYFUNCTION("""COMPUTED_VALUE"""),"DSE-PH-PV-1A-2")</f>
        <v>DSE-PH-PV-1A-2</v>
      </c>
      <c r="B587" s="192" t="s">
        <v>8063</v>
      </c>
      <c r="C587" s="21" t="s">
        <v>22</v>
      </c>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c r="A588" s="192" t="str">
        <f>IFERROR(__xludf.DUMMYFUNCTION("""COMPUTED_VALUE"""),"DSE-PH-PV-1A-3")</f>
        <v>DSE-PH-PV-1A-3</v>
      </c>
      <c r="B588" s="192" t="s">
        <v>8064</v>
      </c>
      <c r="C588" s="21" t="s">
        <v>22</v>
      </c>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c r="A589" s="192" t="str">
        <f>IFERROR(__xludf.DUMMYFUNCTION("""COMPUTED_VALUE"""),"DSE-PH-PV-1A-4")</f>
        <v>DSE-PH-PV-1A-4</v>
      </c>
      <c r="B589" s="192" t="s">
        <v>8065</v>
      </c>
      <c r="C589" s="21" t="s">
        <v>22</v>
      </c>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c r="A590" s="192" t="str">
        <f>IFERROR(__xludf.DUMMYFUNCTION("""COMPUTED_VALUE"""),"DSE-PH-PV-1A-5")</f>
        <v>DSE-PH-PV-1A-5</v>
      </c>
      <c r="B590" s="192" t="s">
        <v>8066</v>
      </c>
      <c r="C590" s="21" t="s">
        <v>22</v>
      </c>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c r="A591" s="192" t="str">
        <f>IFERROR(__xludf.DUMMYFUNCTION("""COMPUTED_VALUE"""),"DSE-SYN-STC-1A")</f>
        <v>DSE-SYN-STC-1A</v>
      </c>
      <c r="B591" s="192" t="s">
        <v>8067</v>
      </c>
      <c r="C591" s="21" t="s">
        <v>22</v>
      </c>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c r="A592" s="192" t="str">
        <f>IFERROR(__xludf.DUMMYFUNCTION("""COMPUTED_VALUE"""),"DSE-SYN-STC-1A-2")</f>
        <v>DSE-SYN-STC-1A-2</v>
      </c>
      <c r="B592" s="192" t="s">
        <v>8068</v>
      </c>
      <c r="C592" s="21" t="s">
        <v>22</v>
      </c>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c r="A593" s="192" t="str">
        <f>IFERROR(__xludf.DUMMYFUNCTION("""COMPUTED_VALUE"""),"DSE-SYN-STC-1A-3")</f>
        <v>DSE-SYN-STC-1A-3</v>
      </c>
      <c r="B593" s="192" t="s">
        <v>8069</v>
      </c>
      <c r="C593" s="21" t="s">
        <v>22</v>
      </c>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c r="A594" s="192" t="str">
        <f>IFERROR(__xludf.DUMMYFUNCTION("""COMPUTED_VALUE"""),"DSE-SYN-STC-1A-4")</f>
        <v>DSE-SYN-STC-1A-4</v>
      </c>
      <c r="B594" s="192" t="s">
        <v>8070</v>
      </c>
      <c r="C594" s="21" t="s">
        <v>22</v>
      </c>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c r="A595" s="192" t="str">
        <f>IFERROR(__xludf.DUMMYFUNCTION("""COMPUTED_VALUE"""),"DSE-SYN-STC-1A-5")</f>
        <v>DSE-SYN-STC-1A-5</v>
      </c>
      <c r="B595" s="192" t="s">
        <v>8071</v>
      </c>
      <c r="C595" s="21" t="s">
        <v>22</v>
      </c>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c r="A596" s="192" t="str">
        <f>IFERROR(__xludf.DUMMYFUNCTION("""COMPUTED_VALUE"""),"DSE-SYN-STC-1A-6")</f>
        <v>DSE-SYN-STC-1A-6</v>
      </c>
      <c r="B596" s="192" t="s">
        <v>8072</v>
      </c>
      <c r="C596" s="21" t="s">
        <v>22</v>
      </c>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c r="A597" s="192" t="str">
        <f>IFERROR(__xludf.DUMMYFUNCTION("""COMPUTED_VALUE"""),"DSE-SYN-STC-1A-7")</f>
        <v>DSE-SYN-STC-1A-7</v>
      </c>
      <c r="B597" s="192" t="s">
        <v>8073</v>
      </c>
      <c r="C597" s="21" t="s">
        <v>22</v>
      </c>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c r="A598" s="192" t="str">
        <f>IFERROR(__xludf.DUMMYFUNCTION("""COMPUTED_VALUE"""),"DSE-SYN-STC-1A-8")</f>
        <v>DSE-SYN-STC-1A-8</v>
      </c>
      <c r="B598" s="192" t="s">
        <v>8074</v>
      </c>
      <c r="C598" s="21" t="s">
        <v>22</v>
      </c>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c r="A599" s="192" t="str">
        <f>IFERROR(__xludf.DUMMYFUNCTION("""COMPUTED_VALUE"""),"DSE-SYN-STC-1A-9")</f>
        <v>DSE-SYN-STC-1A-9</v>
      </c>
      <c r="B599" s="192" t="s">
        <v>8075</v>
      </c>
      <c r="C599" s="21" t="s">
        <v>22</v>
      </c>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c r="A600" s="192" t="str">
        <f>IFERROR(__xludf.DUMMYFUNCTION("""COMPUTED_VALUE"""),"DSE-SYN-STC-1A-10")</f>
        <v>DSE-SYN-STC-1A-10</v>
      </c>
      <c r="B600" s="192" t="s">
        <v>8076</v>
      </c>
      <c r="C600" s="21" t="s">
        <v>22</v>
      </c>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c r="A601" s="192" t="str">
        <f>IFERROR(__xludf.DUMMYFUNCTION("""COMPUTED_VALUE"""),"DSE-SYN-GLO-1A")</f>
        <v>DSE-SYN-GLO-1A</v>
      </c>
      <c r="B601" s="192" t="s">
        <v>8077</v>
      </c>
      <c r="C601" s="21" t="s">
        <v>22</v>
      </c>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c r="A602" s="192" t="str">
        <f>IFERROR(__xludf.DUMMYFUNCTION("""COMPUTED_VALUE"""),"DSE-SYN-GLO-1A-2")</f>
        <v>DSE-SYN-GLO-1A-2</v>
      </c>
      <c r="B602" s="192" t="s">
        <v>8078</v>
      </c>
      <c r="C602" s="21" t="s">
        <v>22</v>
      </c>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c r="A603" s="192" t="str">
        <f>IFERROR(__xludf.DUMMYFUNCTION("""COMPUTED_VALUE"""),"DSE-SYN-GLO-1A-3")</f>
        <v>DSE-SYN-GLO-1A-3</v>
      </c>
      <c r="B603" s="192" t="s">
        <v>8079</v>
      </c>
      <c r="C603" s="21" t="s">
        <v>22</v>
      </c>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c r="A604" s="192" t="str">
        <f>IFERROR(__xludf.DUMMYFUNCTION("""COMPUTED_VALUE"""),"DSE-SYN-MC-1A")</f>
        <v>DSE-SYN-MC-1A</v>
      </c>
      <c r="B604" s="192" t="s">
        <v>8080</v>
      </c>
      <c r="C604" s="21" t="s">
        <v>22</v>
      </c>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c r="A605" s="192" t="str">
        <f>IFERROR(__xludf.DUMMYFUNCTION("""COMPUTED_VALUE"""),"DSE-SYN-MC-1A-2")</f>
        <v>DSE-SYN-MC-1A-2</v>
      </c>
      <c r="B605" s="192" t="s">
        <v>8081</v>
      </c>
      <c r="C605" s="21" t="s">
        <v>22</v>
      </c>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c r="A606" s="192" t="str">
        <f>IFERROR(__xludf.DUMMYFUNCTION("""COMPUTED_VALUE"""),"DSE-SYN-MC-1A-3")</f>
        <v>DSE-SYN-MC-1A-3</v>
      </c>
      <c r="B606" s="192" t="s">
        <v>8082</v>
      </c>
      <c r="C606" s="21" t="s">
        <v>22</v>
      </c>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c r="A607" s="192" t="str">
        <f>IFERROR(__xludf.DUMMYFUNCTION("""COMPUTED_VALUE"""),"DSE-SYN-MC-1A-4")</f>
        <v>DSE-SYN-MC-1A-4</v>
      </c>
      <c r="B607" s="192" t="s">
        <v>8083</v>
      </c>
      <c r="C607" s="21" t="s">
        <v>22</v>
      </c>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c r="A608" s="192" t="str">
        <f>IFERROR(__xludf.DUMMYFUNCTION("""COMPUTED_VALUE"""),"DSE-SYN-MC-1A-5")</f>
        <v>DSE-SYN-MC-1A-5</v>
      </c>
      <c r="B608" s="192" t="s">
        <v>8084</v>
      </c>
      <c r="C608" s="21" t="s">
        <v>22</v>
      </c>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c r="A609" s="192" t="str">
        <f>IFERROR(__xludf.DUMMYFUNCTION("""COMPUTED_VALUE"""),"DSE-SYN-MC-1A-6")</f>
        <v>DSE-SYN-MC-1A-6</v>
      </c>
      <c r="B609" s="192" t="s">
        <v>8085</v>
      </c>
      <c r="C609" s="21" t="s">
        <v>22</v>
      </c>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c r="A610" s="192" t="str">
        <f>IFERROR(__xludf.DUMMYFUNCTION("""COMPUTED_VALUE"""),"DSE-SYN-MC-1A-7")</f>
        <v>DSE-SYN-MC-1A-7</v>
      </c>
      <c r="B610" s="192" t="s">
        <v>8086</v>
      </c>
      <c r="C610" s="21" t="s">
        <v>22</v>
      </c>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c r="A611" s="192" t="str">
        <f>IFERROR(__xludf.DUMMYFUNCTION("""COMPUTED_VALUE"""),"DSE-SYN-MC-1A-8")</f>
        <v>DSE-SYN-MC-1A-8</v>
      </c>
      <c r="B611" s="192" t="s">
        <v>8087</v>
      </c>
      <c r="C611" s="21" t="s">
        <v>22</v>
      </c>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c r="A612" s="192" t="str">
        <f>IFERROR(__xludf.DUMMYFUNCTION("""COMPUTED_VALUE"""),"DSE-SYN-MC-1A-9")</f>
        <v>DSE-SYN-MC-1A-9</v>
      </c>
      <c r="B612" s="192" t="s">
        <v>8088</v>
      </c>
      <c r="C612" s="21" t="s">
        <v>22</v>
      </c>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c r="A613" s="192" t="str">
        <f>IFERROR(__xludf.DUMMYFUNCTION("""COMPUTED_VALUE"""),"DSE-SYN-MC-1A-10")</f>
        <v>DSE-SYN-MC-1A-10</v>
      </c>
      <c r="B613" s="192" t="s">
        <v>8089</v>
      </c>
      <c r="C613" s="21" t="s">
        <v>22</v>
      </c>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c r="A614" s="192" t="str">
        <f>IFERROR(__xludf.DUMMYFUNCTION("""COMPUTED_VALUE"""),"DSE-SYN-NR-1A")</f>
        <v>DSE-SYN-NR-1A</v>
      </c>
      <c r="B614" s="192" t="s">
        <v>8090</v>
      </c>
      <c r="C614" s="21" t="s">
        <v>22</v>
      </c>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c r="A615" s="192" t="str">
        <f>IFERROR(__xludf.DUMMYFUNCTION("""COMPUTED_VALUE"""),"DSE-SYN-NR-1A-2")</f>
        <v>DSE-SYN-NR-1A-2</v>
      </c>
      <c r="B615" s="192" t="s">
        <v>8091</v>
      </c>
      <c r="C615" s="21" t="s">
        <v>22</v>
      </c>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c r="A616" s="192" t="str">
        <f>IFERROR(__xludf.DUMMYFUNCTION("""COMPUTED_VALUE"""),"DSE-SYN-NR-1A-3")</f>
        <v>DSE-SYN-NR-1A-3</v>
      </c>
      <c r="B616" s="192" t="s">
        <v>8092</v>
      </c>
      <c r="C616" s="21" t="s">
        <v>22</v>
      </c>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c r="A617" s="192" t="str">
        <f>IFERROR(__xludf.DUMMYFUNCTION("""COMPUTED_VALUE"""),"DSE-SYN-MM-1A")</f>
        <v>DSE-SYN-MM-1A</v>
      </c>
      <c r="B617" s="192" t="s">
        <v>8093</v>
      </c>
      <c r="C617" s="21" t="s">
        <v>22</v>
      </c>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c r="A618" s="192" t="str">
        <f>IFERROR(__xludf.DUMMYFUNCTION("""COMPUTED_VALUE"""),"DSE-SYN-MM-1A-2")</f>
        <v>DSE-SYN-MM-1A-2</v>
      </c>
      <c r="B618" s="192" t="s">
        <v>8094</v>
      </c>
      <c r="C618" s="21" t="s">
        <v>22</v>
      </c>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c r="A619" s="192" t="str">
        <f>IFERROR(__xludf.DUMMYFUNCTION("""COMPUTED_VALUE"""),"DSE-SYN-MM-1A-3")</f>
        <v>DSE-SYN-MM-1A-3</v>
      </c>
      <c r="B619" s="192" t="s">
        <v>8095</v>
      </c>
      <c r="C619" s="21" t="s">
        <v>22</v>
      </c>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c r="A620" s="192" t="str">
        <f>IFERROR(__xludf.DUMMYFUNCTION("""COMPUTED_VALUE"""),"TA-OR-OR-1A-2")</f>
        <v>TA-OR-OR-1A-2</v>
      </c>
      <c r="B620" s="192" t="s">
        <v>8096</v>
      </c>
      <c r="C620" s="21" t="s">
        <v>22</v>
      </c>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c r="A621" s="192" t="str">
        <f>IFERROR(__xludf.DUMMYFUNCTION("""COMPUTED_VALUE"""),"TA-OR-OR-1A-3")</f>
        <v>TA-OR-OR-1A-3</v>
      </c>
      <c r="B621" s="192" t="s">
        <v>8097</v>
      </c>
      <c r="C621" s="21" t="s">
        <v>22</v>
      </c>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c r="A622" s="192" t="str">
        <f>IFERROR(__xludf.DUMMYFUNCTION("""COMPUTED_VALUE"""),"TA-OR-OR-1A-4")</f>
        <v>TA-OR-OR-1A-4</v>
      </c>
      <c r="B622" s="192" t="s">
        <v>8098</v>
      </c>
      <c r="C622" s="21" t="s">
        <v>22</v>
      </c>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c r="A623" s="192" t="str">
        <f>IFERROR(__xludf.DUMMYFUNCTION("""COMPUTED_VALUE"""),"TA-OR-OR-1A-5")</f>
        <v>TA-OR-OR-1A-5</v>
      </c>
      <c r="B623" s="192" t="s">
        <v>8099</v>
      </c>
      <c r="C623" s="21" t="s">
        <v>22</v>
      </c>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c r="A624" s="192" t="str">
        <f>IFERROR(__xludf.DUMMYFUNCTION("""COMPUTED_VALUE"""),"TA-OR-OR-1A-6")</f>
        <v>TA-OR-OR-1A-6</v>
      </c>
      <c r="B624" s="192" t="s">
        <v>8100</v>
      </c>
      <c r="C624" s="21" t="s">
        <v>22</v>
      </c>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c r="A625" s="192" t="str">
        <f>IFERROR(__xludf.DUMMYFUNCTION("""COMPUTED_VALUE"""),"TA-OR-OR-1A-7")</f>
        <v>TA-OR-OR-1A-7</v>
      </c>
      <c r="B625" s="192" t="s">
        <v>8101</v>
      </c>
      <c r="C625" s="21" t="s">
        <v>22</v>
      </c>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c r="A626" s="192" t="str">
        <f>IFERROR(__xludf.DUMMYFUNCTION("""COMPUTED_VALUE"""),"TA-OR-OR-1A-8")</f>
        <v>TA-OR-OR-1A-8</v>
      </c>
      <c r="B626" s="192" t="s">
        <v>8102</v>
      </c>
      <c r="C626" s="21" t="s">
        <v>22</v>
      </c>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c r="A627" s="192" t="str">
        <f>IFERROR(__xludf.DUMMYFUNCTION("""COMPUTED_VALUE"""),"TA-OR-OR-1A-9")</f>
        <v>TA-OR-OR-1A-9</v>
      </c>
      <c r="B627" s="192" t="s">
        <v>8103</v>
      </c>
      <c r="C627" s="21" t="s">
        <v>22</v>
      </c>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c r="A628" s="192" t="str">
        <f>IFERROR(__xludf.DUMMYFUNCTION("""COMPUTED_VALUE"""),"TA-OR-OR-1A-10")</f>
        <v>TA-OR-OR-1A-10</v>
      </c>
      <c r="B628" s="192" t="s">
        <v>8104</v>
      </c>
      <c r="C628" s="21" t="s">
        <v>22</v>
      </c>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c r="A629" s="192" t="str">
        <f>IFERROR(__xludf.DUMMYFUNCTION("""COMPUTED_VALUE"""),"TA-OR-OR-1A-11")</f>
        <v>TA-OR-OR-1A-11</v>
      </c>
      <c r="B629" s="192" t="s">
        <v>8105</v>
      </c>
      <c r="C629" s="21" t="s">
        <v>22</v>
      </c>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c r="A630" s="192" t="str">
        <f>IFERROR(__xludf.DUMMYFUNCTION("""COMPUTED_VALUE"""),"TA-OR-OR-1A-12")</f>
        <v>TA-OR-OR-1A-12</v>
      </c>
      <c r="B630" s="192" t="s">
        <v>8106</v>
      </c>
      <c r="C630" s="21" t="s">
        <v>22</v>
      </c>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c r="A631" s="192" t="str">
        <f>IFERROR(__xludf.DUMMYFUNCTION("""COMPUTED_VALUE"""),"TA-OR-OR-1A-13")</f>
        <v>TA-OR-OR-1A-13</v>
      </c>
      <c r="B631" s="192" t="s">
        <v>8107</v>
      </c>
      <c r="C631" s="21" t="s">
        <v>22</v>
      </c>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c r="A632" s="192" t="str">
        <f>IFERROR(__xludf.DUMMYFUNCTION("""COMPUTED_VALUE"""),"TA-OR-OR-1A-14")</f>
        <v>TA-OR-OR-1A-14</v>
      </c>
      <c r="B632" s="192" t="s">
        <v>8108</v>
      </c>
      <c r="C632" s="21" t="s">
        <v>22</v>
      </c>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c r="A633" s="192" t="str">
        <f>IFERROR(__xludf.DUMMYFUNCTION("""COMPUTED_VALUE"""),"TA-OR-OR-1A-15")</f>
        <v>TA-OR-OR-1A-15</v>
      </c>
      <c r="B633" s="192" t="s">
        <v>8109</v>
      </c>
      <c r="C633" s="21" t="s">
        <v>22</v>
      </c>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c r="A634" s="192" t="str">
        <f>IFERROR(__xludf.DUMMYFUNCTION("""COMPUTED_VALUE"""),"TG-ALO-VER-1A")</f>
        <v>TG-ALO-VER-1A</v>
      </c>
      <c r="B634" s="192" t="s">
        <v>8110</v>
      </c>
      <c r="C634" s="21" t="s">
        <v>22</v>
      </c>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c r="A635" s="192" t="str">
        <f>IFERROR(__xludf.DUMMYFUNCTION("""COMPUTED_VALUE"""),"TG-ALO-VER-1A-2")</f>
        <v>TG-ALO-VER-1A-2</v>
      </c>
      <c r="B635" s="192" t="s">
        <v>8111</v>
      </c>
      <c r="C635" s="21" t="s">
        <v>22</v>
      </c>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c r="A636" s="192" t="str">
        <f>IFERROR(__xludf.DUMMYFUNCTION("""COMPUTED_VALUE"""),"TG-ALO-VER-1A-3")</f>
        <v>TG-ALO-VER-1A-3</v>
      </c>
      <c r="B636" s="192" t="s">
        <v>8112</v>
      </c>
      <c r="C636" s="21" t="s">
        <v>22</v>
      </c>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c r="A637" s="192" t="str">
        <f>IFERROR(__xludf.DUMMYFUNCTION("""COMPUTED_VALUE"""),"TG-MA-VMI-1A")</f>
        <v>TG-MA-VMI-1A</v>
      </c>
      <c r="B637" s="192" t="s">
        <v>8113</v>
      </c>
      <c r="C637" s="21" t="s">
        <v>22</v>
      </c>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c r="A638" s="192" t="str">
        <f>IFERROR(__xludf.DUMMYFUNCTION("""COMPUTED_VALUE"""),"TG-MA-VMI-1A-2")</f>
        <v>TG-MA-VMI-1A-2</v>
      </c>
      <c r="B638" s="192" t="s">
        <v>8114</v>
      </c>
      <c r="C638" s="21" t="s">
        <v>22</v>
      </c>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c r="A639" s="192" t="str">
        <f>IFERROR(__xludf.DUMMYFUNCTION("""COMPUTED_VALUE"""),"TG-SP-VPLD-1A")</f>
        <v>TG-SP-VPLD-1A</v>
      </c>
      <c r="B639" s="192" t="s">
        <v>8115</v>
      </c>
      <c r="C639" s="21" t="s">
        <v>22</v>
      </c>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c r="A640" s="192" t="str">
        <f>IFERROR(__xludf.DUMMYFUNCTION("""COMPUTED_VALUE"""),"TG-PO-GO-1A")</f>
        <v>TG-PO-GO-1A</v>
      </c>
      <c r="B640" s="192" t="s">
        <v>8116</v>
      </c>
      <c r="C640" s="21" t="s">
        <v>22</v>
      </c>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c r="A641" s="192" t="str">
        <f>IFERROR(__xludf.DUMMYFUNCTION("""COMPUTED_VALUE"""),"TG-PO-GO-1A-2")</f>
        <v>TG-PO-GO-1A-2</v>
      </c>
      <c r="B641" s="192" t="s">
        <v>8117</v>
      </c>
      <c r="C641" s="21" t="s">
        <v>22</v>
      </c>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c r="A642" s="192" t="str">
        <f>IFERROR(__xludf.DUMMYFUNCTION("""COMPUTED_VALUE"""),"TG-PO-GO-1A-3")</f>
        <v>TG-PO-GO-1A-3</v>
      </c>
      <c r="B642" s="192" t="s">
        <v>8118</v>
      </c>
      <c r="C642" s="21" t="s">
        <v>22</v>
      </c>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c r="A643" s="192" t="str">
        <f>IFERROR(__xludf.DUMMYFUNCTION("""COMPUTED_VALUE"""),"TG-DI-CAM-1A")</f>
        <v>TG-DI-CAM-1A</v>
      </c>
      <c r="B643" s="192" t="s">
        <v>8119</v>
      </c>
      <c r="C643" s="21" t="s">
        <v>22</v>
      </c>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c r="A644" s="192" t="str">
        <f>IFERROR(__xludf.DUMMYFUNCTION("""COMPUTED_VALUE"""),"TG-DI-CAM-1A-2")</f>
        <v>TG-DI-CAM-1A-2</v>
      </c>
      <c r="B644" s="192" t="s">
        <v>8120</v>
      </c>
      <c r="C644" s="21" t="s">
        <v>22</v>
      </c>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c r="A645" s="192" t="str">
        <f>IFERROR(__xludf.DUMMYFUNCTION("""COMPUTED_VALUE"""),"TG-SYN-BUT-1A")</f>
        <v>TG-SYN-BUT-1A</v>
      </c>
      <c r="B645" s="192" t="s">
        <v>8121</v>
      </c>
      <c r="C645" s="21" t="s">
        <v>22</v>
      </c>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c r="A646" s="192" t="str">
        <f>IFERROR(__xludf.DUMMYFUNCTION("""COMPUTED_VALUE"""),"TG-SYN-BUT-1A-2")</f>
        <v>TG-SYN-BUT-1A-2</v>
      </c>
      <c r="B646" s="192" t="s">
        <v>8122</v>
      </c>
      <c r="C646" s="21" t="s">
        <v>22</v>
      </c>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c r="A647" s="192" t="str">
        <f>IFERROR(__xludf.DUMMYFUNCTION("""COMPUTED_VALUE"""),"TG-SP-PLI-1A")</f>
        <v>TG-SP-PLI-1A</v>
      </c>
      <c r="B647" s="192" t="s">
        <v>8123</v>
      </c>
      <c r="C647" s="21" t="s">
        <v>22</v>
      </c>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c r="A648" s="192" t="str">
        <f>IFERROR(__xludf.DUMMYFUNCTION("""COMPUTED_VALUE"""),"TG-SP-PLI-1A-2")</f>
        <v>TG-SP-PLI-1A-2</v>
      </c>
      <c r="B648" s="192" t="s">
        <v>8124</v>
      </c>
      <c r="C648" s="21" t="s">
        <v>22</v>
      </c>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c r="A649" s="192" t="str">
        <f>IFERROR(__xludf.DUMMYFUNCTION("""COMPUTED_VALUE"""),"TG-NE-BP-3A")</f>
        <v>TG-NE-BP-3A</v>
      </c>
      <c r="B649" s="192" t="s">
        <v>8125</v>
      </c>
      <c r="C649" s="21" t="s">
        <v>22</v>
      </c>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c r="A650" s="192" t="str">
        <f>IFERROR(__xludf.DUMMYFUNCTION("""COMPUTED_VALUE"""),"TG-NE-BP-3A-2")</f>
        <v>TG-NE-BP-3A-2</v>
      </c>
      <c r="B650" s="192" t="s">
        <v>8126</v>
      </c>
      <c r="C650" s="21" t="s">
        <v>22</v>
      </c>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c r="A651" s="192" t="str">
        <f>IFERROR(__xludf.DUMMYFUNCTION("""COMPUTED_VALUE"""),"DSE-SYN-GLO-1A-4")</f>
        <v>DSE-SYN-GLO-1A-4</v>
      </c>
      <c r="B651" s="192" t="s">
        <v>8127</v>
      </c>
      <c r="C651" s="21" t="s">
        <v>22</v>
      </c>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c r="A652" s="192" t="str">
        <f>IFERROR(__xludf.DUMMYFUNCTION("""COMPUTED_VALUE"""),"DSE-SYN-GLO-1A-5")</f>
        <v>DSE-SYN-GLO-1A-5</v>
      </c>
      <c r="B652" s="192" t="s">
        <v>8128</v>
      </c>
      <c r="C652" s="21" t="s">
        <v>22</v>
      </c>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c r="A653" s="192" t="str">
        <f>IFERROR(__xludf.DUMMYFUNCTION("""COMPUTED_VALUE"""),"DSE-SYN-GLO-1A-6")</f>
        <v>DSE-SYN-GLO-1A-6</v>
      </c>
      <c r="B653" s="192" t="s">
        <v>8129</v>
      </c>
      <c r="C653" s="21" t="s">
        <v>22</v>
      </c>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c r="A654" s="192" t="str">
        <f>IFERROR(__xludf.DUMMYFUNCTION("""COMPUTED_VALUE"""),"DSE-SYN-NR-1A-4")</f>
        <v>DSE-SYN-NR-1A-4</v>
      </c>
      <c r="B654" s="192" t="s">
        <v>8130</v>
      </c>
      <c r="C654" s="21" t="s">
        <v>22</v>
      </c>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c r="A655" s="192" t="str">
        <f>IFERROR(__xludf.DUMMYFUNCTION("""COMPUTED_VALUE"""),"DSE-SYN-NR-1A-5")</f>
        <v>DSE-SYN-NR-1A-5</v>
      </c>
      <c r="B655" s="192" t="s">
        <v>8131</v>
      </c>
      <c r="C655" s="21" t="s">
        <v>22</v>
      </c>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c r="A656" s="192" t="str">
        <f>IFERROR(__xludf.DUMMYFUNCTION("""COMPUTED_VALUE"""),"DSE-SYN-NR-1A-6")</f>
        <v>DSE-SYN-NR-1A-6</v>
      </c>
      <c r="B656" s="192" t="s">
        <v>8132</v>
      </c>
      <c r="C656" s="21" t="s">
        <v>22</v>
      </c>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c r="A657" s="192" t="str">
        <f>IFERROR(__xludf.DUMMYFUNCTION("""COMPUTED_VALUE"""),"DSE-SYN-MM-1A-4")</f>
        <v>DSE-SYN-MM-1A-4</v>
      </c>
      <c r="B657" s="192" t="s">
        <v>8133</v>
      </c>
      <c r="C657" s="21" t="s">
        <v>22</v>
      </c>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c r="A658" s="192" t="str">
        <f>IFERROR(__xludf.DUMMYFUNCTION("""COMPUTED_VALUE"""),"DSE-SYN-MM-1A-5")</f>
        <v>DSE-SYN-MM-1A-5</v>
      </c>
      <c r="B658" s="192" t="s">
        <v>8134</v>
      </c>
      <c r="C658" s="21" t="s">
        <v>22</v>
      </c>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c r="A659" s="192" t="str">
        <f>IFERROR(__xludf.DUMMYFUNCTION("""COMPUTED_VALUE"""),"DSE-SYN-MM-1A-6")</f>
        <v>DSE-SYN-MM-1A-6</v>
      </c>
      <c r="B659" s="192" t="s">
        <v>8135</v>
      </c>
      <c r="C659" s="21" t="s">
        <v>22</v>
      </c>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c r="A660" s="192" t="str">
        <f>IFERROR(__xludf.DUMMYFUNCTION("""COMPUTED_VALUE"""),"DR-AC-JMB-1A")</f>
        <v>DR-AC-JMB-1A</v>
      </c>
      <c r="B660" s="192" t="s">
        <v>8136</v>
      </c>
      <c r="C660" s="21" t="s">
        <v>22</v>
      </c>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c r="A661" s="192" t="str">
        <f>IFERROR(__xludf.DUMMYFUNCTION("""COMPUTED_VALUE"""),"DR-AC-JMB-1A-2")</f>
        <v>DR-AC-JMB-1A-2</v>
      </c>
      <c r="B661" s="192" t="s">
        <v>8137</v>
      </c>
      <c r="C661" s="21" t="s">
        <v>22</v>
      </c>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c r="A662" s="192" t="str">
        <f>IFERROR(__xludf.DUMMYFUNCTION("""COMPUTED_VALUE"""),"DR-AC-JMB-1A-3")</f>
        <v>DR-AC-JMB-1A-3</v>
      </c>
      <c r="B662" s="192" t="s">
        <v>8138</v>
      </c>
      <c r="C662" s="21" t="s">
        <v>22</v>
      </c>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c r="A663" s="192" t="str">
        <f>IFERROR(__xludf.DUMMYFUNCTION("""COMPUTED_VALUE"""),"DR-AC-JMB-1A-4")</f>
        <v>DR-AC-JMB-1A-4</v>
      </c>
      <c r="B663" s="192" t="s">
        <v>8139</v>
      </c>
      <c r="C663" s="21" t="s">
        <v>22</v>
      </c>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c r="A664" s="192" t="str">
        <f>IFERROR(__xludf.DUMMYFUNCTION("""COMPUTED_VALUE"""),"DR-AC-JMB-1A-5")</f>
        <v>DR-AC-JMB-1A-5</v>
      </c>
      <c r="B664" s="192" t="s">
        <v>8140</v>
      </c>
      <c r="C664" s="21" t="s">
        <v>22</v>
      </c>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c r="A665" s="192" t="str">
        <f>IFERROR(__xludf.DUMMYFUNCTION("""COMPUTED_VALUE"""),"DR-AC-JMB-1A-6")</f>
        <v>DR-AC-JMB-1A-6</v>
      </c>
      <c r="B665" s="192" t="s">
        <v>8141</v>
      </c>
      <c r="C665" s="21" t="s">
        <v>22</v>
      </c>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c r="A666" s="192" t="str">
        <f>IFERROR(__xludf.DUMMYFUNCTION("""COMPUTED_VALUE"""),"DR-AC-JMB-1A-7")</f>
        <v>DR-AC-JMB-1A-7</v>
      </c>
      <c r="B666" s="192" t="s">
        <v>8142</v>
      </c>
      <c r="C666" s="21" t="s">
        <v>22</v>
      </c>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c r="A667" s="192" t="str">
        <f>IFERROR(__xludf.DUMMYFUNCTION("""COMPUTED_VALUE"""),"EB-PO-4-DO-1")</f>
        <v>EB-PO-4-DO-1</v>
      </c>
      <c r="B667" s="192" t="s">
        <v>8143</v>
      </c>
      <c r="C667" s="21" t="s">
        <v>22</v>
      </c>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c r="A668" s="192" t="str">
        <f>IFERROR(__xludf.DUMMYFUNCTION("""COMPUTED_VALUE"""),"DV-PO-2-WH-1")</f>
        <v>DV-PO-2-WH-1</v>
      </c>
      <c r="B668" s="192" t="s">
        <v>8144</v>
      </c>
      <c r="C668" s="21" t="s">
        <v>22</v>
      </c>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c r="A669" s="192" t="str">
        <f>IFERROR(__xludf.DUMMYFUNCTION("""COMPUTED_VALUE"""),"AN-PO-3-MU-1")</f>
        <v>AN-PO-3-MU-1</v>
      </c>
      <c r="B669" s="192" t="s">
        <v>8145</v>
      </c>
      <c r="C669" s="21" t="s">
        <v>22</v>
      </c>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c r="A670" s="192" t="str">
        <f>IFERROR(__xludf.DUMMYFUNCTION("""COMPUTED_VALUE"""),"YA-PO-2-CL-1")</f>
        <v>YA-PO-2-CL-1</v>
      </c>
      <c r="B670" s="192" t="s">
        <v>8146</v>
      </c>
      <c r="C670" s="21" t="s">
        <v>22</v>
      </c>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c r="A671" s="192" t="str">
        <f>IFERROR(__xludf.DUMMYFUNCTION("""COMPUTED_VALUE"""),"HY-PO-3-DO-1")</f>
        <v>HY-PO-3-DO-1</v>
      </c>
      <c r="B671" s="192" t="s">
        <v>8147</v>
      </c>
      <c r="C671" s="21" t="s">
        <v>22</v>
      </c>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c r="A672" s="192" t="str">
        <f>IFERROR(__xludf.DUMMYFUNCTION("""COMPUTED_VALUE"""),"ZO-PO-4-WL-1")</f>
        <v>ZO-PO-4-WL-1</v>
      </c>
      <c r="B672" s="192" t="s">
        <v>8148</v>
      </c>
      <c r="C672" s="21" t="s">
        <v>22</v>
      </c>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c r="A673" s="192" t="str">
        <f>IFERROR(__xludf.DUMMYFUNCTION("""COMPUTED_VALUE"""),"EL-PO-4.3-CM-1")</f>
        <v>EL-PO-4.3-CM-1</v>
      </c>
      <c r="B673" s="192" t="s">
        <v>8149</v>
      </c>
      <c r="C673" s="21" t="s">
        <v>22</v>
      </c>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c r="A674" s="192" t="str">
        <f>IFERROR(__xludf.DUMMYFUNCTION("""COMPUTED_VALUE"""),"GA-PO-6-MU-1")</f>
        <v>GA-PO-6-MU-1</v>
      </c>
      <c r="B674" s="192" t="s">
        <v>8150</v>
      </c>
      <c r="C674" s="21" t="s">
        <v>22</v>
      </c>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c r="A675" s="192" t="str">
        <f>IFERROR(__xludf.DUMMYFUNCTION("""COMPUTED_VALUE"""),"WO-PO-6-WH-1")</f>
        <v>WO-PO-6-WH-1</v>
      </c>
      <c r="B675" s="192" t="s">
        <v>8151</v>
      </c>
      <c r="C675" s="21" t="s">
        <v>22</v>
      </c>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c r="A676" s="192" t="str">
        <f>IFERROR(__xludf.DUMMYFUNCTION("""COMPUTED_VALUE"""),"TE-PO-4-MU-1")</f>
        <v>TE-PO-4-MU-1</v>
      </c>
      <c r="B676" s="192" t="s">
        <v>8152</v>
      </c>
      <c r="C676" s="21" t="s">
        <v>22</v>
      </c>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c r="A677" s="192" t="str">
        <f>IFERROR(__xludf.DUMMYFUNCTION("""COMPUTED_VALUE"""),"LO-PO-3.7-CD-1")</f>
        <v>LO-PO-3.7-CD-1</v>
      </c>
      <c r="B677" s="192" t="s">
        <v>8153</v>
      </c>
      <c r="C677" s="21" t="s">
        <v>22</v>
      </c>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c r="A678" s="192" t="str">
        <f>IFERROR(__xludf.DUMMYFUNCTION("""COMPUTED_VALUE"""),"PS-PO-5.5-MU-1")</f>
        <v>PS-PO-5.5-MU-1</v>
      </c>
      <c r="B678" s="192" t="s">
        <v>8154</v>
      </c>
      <c r="C678" s="21" t="s">
        <v>22</v>
      </c>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c r="A679" s="192" t="str">
        <f>IFERROR(__xludf.DUMMYFUNCTION("""COMPUTED_VALUE"""),"WO-PO-6-MU-1")</f>
        <v>WO-PO-6-MU-1</v>
      </c>
      <c r="B679" s="192" t="s">
        <v>8155</v>
      </c>
      <c r="C679" s="21" t="s">
        <v>22</v>
      </c>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c r="A680" s="192" t="str">
        <f>IFERROR(__xludf.DUMMYFUNCTION("""COMPUTED_VALUE"""),"TE-PO-4-MU-2")</f>
        <v>TE-PO-4-MU-2</v>
      </c>
      <c r="B680" s="192" t="s">
        <v>8156</v>
      </c>
      <c r="C680" s="21" t="s">
        <v>22</v>
      </c>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c r="A681" s="192" t="str">
        <f>IFERROR(__xludf.DUMMYFUNCTION("""COMPUTED_VALUE"""),"GA-PO-6-WH-2")</f>
        <v>GA-PO-6-WH-2</v>
      </c>
      <c r="B681" s="192" t="s">
        <v>8157</v>
      </c>
      <c r="C681" s="21" t="s">
        <v>22</v>
      </c>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c r="A682" s="192" t="str">
        <f>IFERROR(__xludf.DUMMYFUNCTION("""COMPUTED_VALUE"""),"OM-PO-4-CR-1")</f>
        <v>OM-PO-4-CR-1</v>
      </c>
      <c r="B682" s="192" t="s">
        <v>8158</v>
      </c>
      <c r="C682" s="21" t="s">
        <v>22</v>
      </c>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c r="A683" s="192" t="str">
        <f>IFERROR(__xludf.DUMMYFUNCTION("""COMPUTED_VALUE"""),"TE-PO-4-MU-3")</f>
        <v>TE-PO-4-MU-3</v>
      </c>
      <c r="B683" s="192" t="s">
        <v>8159</v>
      </c>
      <c r="C683" s="21" t="s">
        <v>22</v>
      </c>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c r="A684" s="192" t="str">
        <f>IFERROR(__xludf.DUMMYFUNCTION("""COMPUTED_VALUE"""),"TO-PO-4-MU-1")</f>
        <v>TO-PO-4-MU-1</v>
      </c>
      <c r="B684" s="192" t="s">
        <v>8160</v>
      </c>
      <c r="C684" s="21" t="s">
        <v>22</v>
      </c>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c r="A685" s="192" t="str">
        <f>IFERROR(__xludf.DUMMYFUNCTION("""COMPUTED_VALUE"""),"MU-PO-4-WH-1")</f>
        <v>MU-PO-4-WH-1</v>
      </c>
      <c r="B685" s="192" t="s">
        <v>8161</v>
      </c>
      <c r="C685" s="21" t="s">
        <v>22</v>
      </c>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c r="A686" s="192" t="str">
        <f>IFERROR(__xludf.DUMMYFUNCTION("""COMPUTED_VALUE"""),"GA-PO-4-WH-1")</f>
        <v>GA-PO-4-WH-1</v>
      </c>
      <c r="B686" s="192" t="s">
        <v>8162</v>
      </c>
      <c r="C686" s="21" t="s">
        <v>22</v>
      </c>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c r="A687" s="192" t="str">
        <f>IFERROR(__xludf.DUMMYFUNCTION("""COMPUTED_VALUE"""),"GA-PO-6-BL-1")</f>
        <v>GA-PO-6-BL-1</v>
      </c>
      <c r="B687" s="192" t="s">
        <v>8163</v>
      </c>
      <c r="C687" s="21" t="s">
        <v>22</v>
      </c>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c r="A688" s="192" t="str">
        <f>IFERROR(__xludf.DUMMYFUNCTION("""COMPUTED_VALUE"""),"GA-PO-6-WH-1")</f>
        <v>GA-PO-6-WH-1</v>
      </c>
      <c r="B688" s="192" t="s">
        <v>8164</v>
      </c>
      <c r="C688" s="21" t="s">
        <v>22</v>
      </c>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c r="A689" s="192" t="str">
        <f>IFERROR(__xludf.DUMMYFUNCTION("""COMPUTED_VALUE"""),"GA-PO-4-BL-1")</f>
        <v>GA-PO-4-BL-1</v>
      </c>
      <c r="B689" s="192" t="s">
        <v>8165</v>
      </c>
      <c r="C689" s="21" t="s">
        <v>22</v>
      </c>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c r="A690" s="192" t="str">
        <f>IFERROR(__xludf.DUMMYFUNCTION("""COMPUTED_VALUE"""),"EC-PO-5-SW-1")</f>
        <v>EC-PO-5-SW-1</v>
      </c>
      <c r="B690" s="192" t="s">
        <v>8166</v>
      </c>
      <c r="C690" s="21" t="s">
        <v>22</v>
      </c>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c r="A691" s="192" t="str">
        <f>IFERROR(__xludf.DUMMYFUNCTION("""COMPUTED_VALUE"""),"ME-PO-4-SW-1")</f>
        <v>ME-PO-4-SW-1</v>
      </c>
      <c r="B691" s="192" t="s">
        <v>8167</v>
      </c>
      <c r="C691" s="21" t="s">
        <v>22</v>
      </c>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c r="A692" s="192" t="str">
        <f>IFERROR(__xludf.DUMMYFUNCTION("""COMPUTED_VALUE"""),"EC-PO-5-SW-2")</f>
        <v>EC-PO-5-SW-2</v>
      </c>
      <c r="B692" s="192" t="s">
        <v>8168</v>
      </c>
      <c r="C692" s="21" t="s">
        <v>22</v>
      </c>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c r="A693" s="192" t="str">
        <f>IFERROR(__xludf.DUMMYFUNCTION("""COMPUTED_VALUE"""),"PC-PO-5-SW-1")</f>
        <v>PC-PO-5-SW-1</v>
      </c>
      <c r="B693" s="192" t="s">
        <v>8169</v>
      </c>
      <c r="C693" s="21" t="s">
        <v>22</v>
      </c>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c r="A694" s="192" t="str">
        <f>IFERROR(__xludf.DUMMYFUNCTION("""COMPUTED_VALUE"""),"MA-PO-5-SW-1")</f>
        <v>MA-PO-5-SW-1</v>
      </c>
      <c r="B694" s="192" t="s">
        <v>8170</v>
      </c>
      <c r="C694" s="21" t="s">
        <v>22</v>
      </c>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c r="A695" s="192" t="str">
        <f>IFERROR(__xludf.DUMMYFUNCTION("""COMPUTED_VALUE"""),"MA-PO-4-SW-1")</f>
        <v>MA-PO-4-SW-1</v>
      </c>
      <c r="B695" s="192" t="s">
        <v>8171</v>
      </c>
      <c r="C695" s="21" t="s">
        <v>22</v>
      </c>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c r="A696" s="192" t="str">
        <f>IFERROR(__xludf.DUMMYFUNCTION("""COMPUTED_VALUE"""),"MA-PO-3-SW-1")</f>
        <v>MA-PO-3-SW-1</v>
      </c>
      <c r="B696" s="192" t="s">
        <v>8172</v>
      </c>
      <c r="C696" s="21" t="s">
        <v>22</v>
      </c>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c r="A697" s="192" t="str">
        <f>IFERROR(__xludf.DUMMYFUNCTION("""COMPUTED_VALUE"""),"JC-PL-EL-6")</f>
        <v>JC-PL-EL-6</v>
      </c>
      <c r="B697" s="192" t="s">
        <v>8173</v>
      </c>
      <c r="C697" s="21" t="s">
        <v>22</v>
      </c>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c r="A698" s="192" t="str">
        <f>IFERROR(__xludf.DUMMYFUNCTION("""COMPUTED_VALUE"""),"JC-PL-SS-6")</f>
        <v>JC-PL-SS-6</v>
      </c>
      <c r="B698" s="192" t="s">
        <v>8174</v>
      </c>
      <c r="C698" s="21" t="s">
        <v>22</v>
      </c>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c r="A699" s="192" t="str">
        <f>IFERROR(__xludf.DUMMYFUNCTION("""COMPUTED_VALUE"""),"JC-PL-SN-6")</f>
        <v>JC-PL-SN-6</v>
      </c>
      <c r="B699" s="192" t="s">
        <v>8175</v>
      </c>
      <c r="C699" s="21" t="s">
        <v>22</v>
      </c>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c r="A700" s="192" t="str">
        <f>IFERROR(__xludf.DUMMYFUNCTION("""COMPUTED_VALUE"""),"JC-PL-TU-6")</f>
        <v>JC-PL-TU-6</v>
      </c>
      <c r="B700" s="192" t="s">
        <v>8176</v>
      </c>
      <c r="C700" s="21" t="s">
        <v>22</v>
      </c>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c r="A701" s="192" t="str">
        <f>IFERROR(__xludf.DUMMYFUNCTION("""COMPUTED_VALUE"""),"TPM-ST-GI-5")</f>
        <v>TPM-ST-GI-5</v>
      </c>
      <c r="B701" s="192" t="s">
        <v>8177</v>
      </c>
      <c r="C701" s="21" t="s">
        <v>22</v>
      </c>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c r="A702" s="192" t="str">
        <f>IFERROR(__xludf.DUMMYFUNCTION("""COMPUTED_VALUE"""),"TPM-ST-LIS-10")</f>
        <v>TPM-ST-LIS-10</v>
      </c>
      <c r="B702" s="192" t="s">
        <v>8178</v>
      </c>
      <c r="C702" s="21" t="s">
        <v>22</v>
      </c>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c r="A703" s="192" t="str">
        <f>IFERROR(__xludf.DUMMYFUNCTION("""COMPUTED_VALUE"""),"TPM-ST-PL-5")</f>
        <v>TPM-ST-PL-5</v>
      </c>
      <c r="B703" s="192" t="s">
        <v>8179</v>
      </c>
      <c r="C703" s="21" t="s">
        <v>22</v>
      </c>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c r="A704" s="192" t="str">
        <f>IFERROR(__xludf.DUMMYFUNCTION("""COMPUTED_VALUE"""),"TPM-ST-JO-5")</f>
        <v>TPM-ST-JO-5</v>
      </c>
      <c r="B704" s="192" t="s">
        <v>8180</v>
      </c>
      <c r="C704" s="21" t="s">
        <v>22</v>
      </c>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c r="A705" s="192" t="str">
        <f>IFERROR(__xludf.DUMMYFUNCTION("""COMPUTED_VALUE"""),"TPM-ST-MD-5")</f>
        <v>TPM-ST-MD-5</v>
      </c>
      <c r="B705" s="192" t="s">
        <v>8181</v>
      </c>
      <c r="C705" s="21" t="s">
        <v>22</v>
      </c>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c r="A706" s="192" t="str">
        <f>IFERROR(__xludf.DUMMYFUNCTION("""COMPUTED_VALUE"""),"TPM-ST-ED-5")</f>
        <v>TPM-ST-ED-5</v>
      </c>
      <c r="B706" s="192" t="s">
        <v>8182</v>
      </c>
      <c r="C706" s="21" t="s">
        <v>22</v>
      </c>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c r="A707" s="192" t="str">
        <f>IFERROR(__xludf.DUMMYFUNCTION("""COMPUTED_VALUE"""),"TPM-ST-PPP-5")</f>
        <v>TPM-ST-PPP-5</v>
      </c>
      <c r="B707" s="192" t="s">
        <v>8183</v>
      </c>
      <c r="C707" s="21" t="s">
        <v>22</v>
      </c>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c r="A708" s="192" t="str">
        <f>IFERROR(__xludf.DUMMYFUNCTION("""COMPUTED_VALUE"""),"TPM-ST-ACP-5")</f>
        <v>TPM-ST-ACP-5</v>
      </c>
      <c r="B708" s="192" t="s">
        <v>8184</v>
      </c>
      <c r="C708" s="21" t="s">
        <v>22</v>
      </c>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c r="A709" s="192" t="str">
        <f>IFERROR(__xludf.DUMMYFUNCTION("""COMPUTED_VALUE"""),"TPM-ST-MAP-5")</f>
        <v>TPM-ST-MAP-5</v>
      </c>
      <c r="B709" s="192" t="s">
        <v>8185</v>
      </c>
      <c r="C709" s="21" t="s">
        <v>22</v>
      </c>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c r="A710" s="192" t="str">
        <f>IFERROR(__xludf.DUMMYFUNCTION("""COMPUTED_VALUE"""),"AS-EA-SS-3")</f>
        <v>AS-EA-SS-3</v>
      </c>
      <c r="B710" s="192" t="s">
        <v>8186</v>
      </c>
      <c r="C710" s="21" t="s">
        <v>22</v>
      </c>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c r="A711" s="192" t="str">
        <f>IFERROR(__xludf.DUMMYFUNCTION("""COMPUTED_VALUE"""),"AS-EA-MD-4")</f>
        <v>AS-EA-MD-4</v>
      </c>
      <c r="B711" s="192" t="s">
        <v>8187</v>
      </c>
      <c r="C711" s="21" t="s">
        <v>22</v>
      </c>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c r="A712" s="192" t="str">
        <f>IFERROR(__xludf.DUMMYFUNCTION("""COMPUTED_VALUE"""),"AS-EA-SC-2")</f>
        <v>AS-EA-SC-2</v>
      </c>
      <c r="B712" s="192" t="s">
        <v>8188</v>
      </c>
      <c r="C712" s="21" t="s">
        <v>22</v>
      </c>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c r="A713" s="192" t="str">
        <f>IFERROR(__xludf.DUMMYFUNCTION("""COMPUTED_VALUE"""),"AS-NE-SC-2")</f>
        <v>AS-NE-SC-2</v>
      </c>
      <c r="B713" s="192" t="s">
        <v>8189</v>
      </c>
      <c r="C713" s="21" t="s">
        <v>22</v>
      </c>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c r="A714" s="192" t="str">
        <f>IFERROR(__xludf.DUMMYFUNCTION("""COMPUTED_VALUE"""),"AS-NE-ML-4")</f>
        <v>AS-NE-ML-4</v>
      </c>
      <c r="B714" s="192" t="s">
        <v>8190</v>
      </c>
      <c r="C714" s="21" t="s">
        <v>22</v>
      </c>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c r="A715" s="192" t="str">
        <f>IFERROR(__xludf.DUMMYFUNCTION("""COMPUTED_VALUE"""),"ARC-ST-ED-10")</f>
        <v>ARC-ST-ED-10</v>
      </c>
      <c r="B715" s="192" t="s">
        <v>8191</v>
      </c>
      <c r="C715" s="21" t="s">
        <v>22</v>
      </c>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c r="A716" s="192" t="str">
        <f>IFERROR(__xludf.DUMMYFUNCTION("""COMPUTED_VALUE"""),"ARC-ST-PL-10")</f>
        <v>ARC-ST-PL-10</v>
      </c>
      <c r="B716" s="192" t="s">
        <v>8192</v>
      </c>
      <c r="C716" s="21" t="s">
        <v>22</v>
      </c>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c r="A717" s="192" t="str">
        <f>IFERROR(__xludf.DUMMYFUNCTION("""COMPUTED_VALUE"""),"ARC-KC-NEP-10")</f>
        <v>ARC-KC-NEP-10</v>
      </c>
      <c r="B717" s="192" t="s">
        <v>8193</v>
      </c>
      <c r="C717" s="21" t="s">
        <v>22</v>
      </c>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c r="A718" s="192" t="str">
        <f>IFERROR(__xludf.DUMMYFUNCTION("""COMPUTED_VALUE"""),"ARC-TB-PA-5")</f>
        <v>ARC-TB-PA-5</v>
      </c>
      <c r="B718" s="192" t="s">
        <v>8194</v>
      </c>
      <c r="C718" s="21" t="s">
        <v>22</v>
      </c>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c r="A719" s="192" t="str">
        <f>IFERROR(__xludf.DUMMYFUNCTION("""COMPUTED_VALUE"""),"ARC-TB-DH-3")</f>
        <v>ARC-TB-DH-3</v>
      </c>
      <c r="B719" s="192" t="s">
        <v>8195</v>
      </c>
      <c r="C719" s="21" t="s">
        <v>22</v>
      </c>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c r="A720" s="192" t="str">
        <f>IFERROR(__xludf.DUMMYFUNCTION("""COMPUTED_VALUE"""),"AD-KC-PLE-8")</f>
        <v>AD-KC-PLE-8</v>
      </c>
      <c r="B720" s="192" t="s">
        <v>8196</v>
      </c>
      <c r="C720" s="21" t="s">
        <v>22</v>
      </c>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c r="A721" s="192" t="str">
        <f>IFERROR(__xludf.DUMMYFUNCTION("""COMPUTED_VALUE"""),"RO-PO-4-CL-2")</f>
        <v>RO-PO-4-CL-2</v>
      </c>
      <c r="B721" s="192" t="s">
        <v>8197</v>
      </c>
      <c r="C721" s="21" t="s">
        <v>22</v>
      </c>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c r="A722" s="192" t="str">
        <f>IFERROR(__xludf.DUMMYFUNCTION("""COMPUTED_VALUE"""),"ST-PO-0-CU-1")</f>
        <v>ST-PO-0-CU-1</v>
      </c>
      <c r="B722" s="192" t="s">
        <v>8198</v>
      </c>
      <c r="C722" s="21" t="s">
        <v>22</v>
      </c>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c r="A723" s="192" t="str">
        <f>IFERROR(__xludf.DUMMYFUNCTION("""COMPUTED_VALUE"""),"ST-PO-4-NU-1")</f>
        <v>ST-PO-4-NU-1</v>
      </c>
      <c r="B723" s="192" t="s">
        <v>8199</v>
      </c>
      <c r="C723" s="21" t="s">
        <v>22</v>
      </c>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c r="A724" s="192" t="str">
        <f>IFERROR(__xludf.DUMMYFUNCTION("""COMPUTED_VALUE"""),"ST-PO-3-NU-1")</f>
        <v>ST-PO-3-NU-1</v>
      </c>
      <c r="B724" s="192" t="s">
        <v>8200</v>
      </c>
      <c r="C724" s="21" t="s">
        <v>22</v>
      </c>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c r="A725" s="192" t="str">
        <f>IFERROR(__xludf.DUMMYFUNCTION("""COMPUTED_VALUE"""),"ST-PO-6-NU-1")</f>
        <v>ST-PO-6-NU-1</v>
      </c>
      <c r="B725" s="192" t="s">
        <v>8201</v>
      </c>
      <c r="C725" s="21" t="s">
        <v>22</v>
      </c>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c r="A726" s="192" t="str">
        <f>IFERROR(__xludf.DUMMYFUNCTION("""COMPUTED_VALUE"""),"ST-PO-2-NU-1")</f>
        <v>ST-PO-2-NU-1</v>
      </c>
      <c r="B726" s="192" t="s">
        <v>8202</v>
      </c>
      <c r="C726" s="21" t="s">
        <v>22</v>
      </c>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c r="A727" s="192" t="str">
        <f>IFERROR(__xludf.DUMMYFUNCTION("""COMPUTED_VALUE"""),"ST-PO-0-PL-1")</f>
        <v>ST-PO-0-PL-1</v>
      </c>
      <c r="B727" s="192" t="s">
        <v>8203</v>
      </c>
      <c r="C727" s="21" t="s">
        <v>22</v>
      </c>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c r="A728" s="192" t="str">
        <f>IFERROR(__xludf.DUMMYFUNCTION("""COMPUTED_VALUE"""),"ST-PO-6-HA-1")</f>
        <v>ST-PO-6-HA-1</v>
      </c>
      <c r="B728" s="192" t="s">
        <v>8204</v>
      </c>
      <c r="C728" s="21" t="s">
        <v>22</v>
      </c>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c r="A729" s="192" t="str">
        <f>IFERROR(__xludf.DUMMYFUNCTION("""COMPUTED_VALUE"""),"ST-PO-0-STA-1")</f>
        <v>ST-PO-0-STA-1</v>
      </c>
      <c r="B729" s="192" t="s">
        <v>8205</v>
      </c>
      <c r="C729" s="21" t="s">
        <v>22</v>
      </c>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c r="A730" s="192" t="str">
        <f>IFERROR(__xludf.DUMMYFUNCTION("""COMPUTED_VALUE"""),"FL-EA-PLA-6")</f>
        <v>FL-EA-PLA-6</v>
      </c>
      <c r="B730" s="192" t="s">
        <v>8206</v>
      </c>
      <c r="C730" s="21" t="s">
        <v>22</v>
      </c>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c r="A731" s="192" t="str">
        <f>IFERROR(__xludf.DUMMYFUNCTION("""COMPUTED_VALUE"""),"YY-EA-PL-7")</f>
        <v>YY-EA-PL-7</v>
      </c>
      <c r="B731" s="192" t="s">
        <v>8207</v>
      </c>
      <c r="C731" s="21" t="s">
        <v>22</v>
      </c>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c r="A732" s="192" t="str">
        <f>IFERROR(__xludf.DUMMYFUNCTION("""COMPUTED_VALUE"""),"AS-ST-PL-100")</f>
        <v>AS-ST-PL-100</v>
      </c>
      <c r="B732" s="192" t="s">
        <v>8208</v>
      </c>
      <c r="C732" s="21" t="s">
        <v>22</v>
      </c>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c r="A733" s="192" t="str">
        <f>IFERROR(__xludf.DUMMYFUNCTION("""COMPUTED_VALUE"""),"ZX-ST-PL-100")</f>
        <v>ZX-ST-PL-100</v>
      </c>
      <c r="B733" s="192" t="s">
        <v>8209</v>
      </c>
      <c r="C733" s="21" t="s">
        <v>22</v>
      </c>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c r="A734" s="192" t="str">
        <f>IFERROR(__xludf.DUMMYFUNCTION("""COMPUTED_VALUE"""),"ZW-ST-PLA-100")</f>
        <v>ZW-ST-PLA-100</v>
      </c>
      <c r="B734" s="192" t="s">
        <v>8210</v>
      </c>
      <c r="C734" s="21" t="s">
        <v>22</v>
      </c>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c r="A735" s="192" t="str">
        <f>IFERROR(__xludf.DUMMYFUNCTION("""COMPUTED_VALUE"""),"FS-KC-PLA-7")</f>
        <v>FS-KC-PLA-7</v>
      </c>
      <c r="B735" s="192" t="s">
        <v>8211</v>
      </c>
      <c r="C735" s="21" t="s">
        <v>22</v>
      </c>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c r="A736" s="192" t="str">
        <f>IFERROR(__xludf.DUMMYFUNCTION("""COMPUTED_VALUE"""),"AN-DE-PLA-12")</f>
        <v>AN-DE-PLA-12</v>
      </c>
      <c r="B736" s="192" t="s">
        <v>8212</v>
      </c>
      <c r="C736" s="21" t="s">
        <v>22</v>
      </c>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c r="A737" s="192" t="str">
        <f>IFERROR(__xludf.DUMMYFUNCTION("""COMPUTED_VALUE"""),"CM-CK-PL-1")</f>
        <v>CM-CK-PL-1</v>
      </c>
      <c r="B737" s="192" t="s">
        <v>8213</v>
      </c>
      <c r="C737" s="21" t="s">
        <v>22</v>
      </c>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c r="A738" s="192" t="str">
        <f>IFERROR(__xludf.DUMMYFUNCTION("""COMPUTED_VALUE"""),"YCS-CK-PLA-1")</f>
        <v>YCS-CK-PLA-1</v>
      </c>
      <c r="B738" s="192" t="s">
        <v>8214</v>
      </c>
      <c r="C738" s="21" t="s">
        <v>22</v>
      </c>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c r="A739" s="192" t="str">
        <f>IFERROR(__xludf.DUMMYFUNCTION("""COMPUTED_VALUE"""),"UN-PA-HPA-3")</f>
        <v>UN-PA-HPA-3</v>
      </c>
      <c r="B739" s="192" t="s">
        <v>8215</v>
      </c>
      <c r="C739" s="21" t="s">
        <v>22</v>
      </c>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c r="A740" s="192" t="str">
        <f>IFERROR(__xludf.DUMMYFUNCTION("""COMPUTED_VALUE"""),"MU-PO-3-MU-1")</f>
        <v>MU-PO-3-MU-1</v>
      </c>
      <c r="B740" s="192" t="s">
        <v>8216</v>
      </c>
      <c r="C740" s="21" t="s">
        <v>22</v>
      </c>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c r="A741" s="192" t="str">
        <f>IFERROR(__xludf.DUMMYFUNCTION("""COMPUTED_VALUE"""),"ST-PO-5-NU-1")</f>
        <v>ST-PO-5-NU-1</v>
      </c>
      <c r="B741" s="192" t="s">
        <v>8217</v>
      </c>
      <c r="C741" s="21" t="s">
        <v>22</v>
      </c>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c r="A742" s="192" t="str">
        <f>IFERROR(__xludf.DUMMYFUNCTION("""COMPUTED_VALUE"""),"UN-PA-HPA-10")</f>
        <v>UN-PA-HPA-10</v>
      </c>
      <c r="B742" s="192" t="s">
        <v>8218</v>
      </c>
      <c r="C742" s="21" t="s">
        <v>22</v>
      </c>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c r="A743" s="192" t="str">
        <f>IFERROR(__xludf.DUMMYFUNCTION("""COMPUTED_VALUE"""),"PS-ST-PL-50")</f>
        <v>PS-ST-PL-50</v>
      </c>
      <c r="B743" s="192" t="s">
        <v>8219</v>
      </c>
      <c r="C743" s="21" t="s">
        <v>22</v>
      </c>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c r="A744" s="192" t="str">
        <f>IFERROR(__xludf.DUMMYFUNCTION("""COMPUTED_VALUE"""),"BS-SO-HO-1")</f>
        <v>BS-SO-HO-1</v>
      </c>
      <c r="B744" s="192" t="s">
        <v>8220</v>
      </c>
      <c r="C744" s="21" t="s">
        <v>22</v>
      </c>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c r="A745" s="192" t="str">
        <f>IFERROR(__xludf.DUMMYFUNCTION("""COMPUTED_VALUE"""),"BS-SO-ACM-1")</f>
        <v>BS-SO-ACM-1</v>
      </c>
      <c r="B745" s="192" t="s">
        <v>8221</v>
      </c>
      <c r="C745" s="21" t="s">
        <v>22</v>
      </c>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c r="A746" s="192" t="str">
        <f>IFERROR(__xludf.DUMMYFUNCTION("""COMPUTED_VALUE"""),"BS-SO-AL-1")</f>
        <v>BS-SO-AL-1</v>
      </c>
      <c r="B746" s="192" t="s">
        <v>8222</v>
      </c>
      <c r="C746" s="21" t="s">
        <v>22</v>
      </c>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c r="A747" s="192" t="str">
        <f>IFERROR(__xludf.DUMMYFUNCTION("""COMPUTED_VALUE"""),"BS-SO-CA-1")</f>
        <v>BS-SO-CA-1</v>
      </c>
      <c r="B747" s="192" t="s">
        <v>8223</v>
      </c>
      <c r="C747" s="21" t="s">
        <v>22</v>
      </c>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c r="A748" s="192" t="str">
        <f>IFERROR(__xludf.DUMMYFUNCTION("""COMPUTED_VALUE"""),"BS-SO-FRM-1")</f>
        <v>BS-SO-FRM-1</v>
      </c>
      <c r="B748" s="192" t="s">
        <v>8224</v>
      </c>
      <c r="C748" s="21" t="s">
        <v>22</v>
      </c>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c r="A749" s="192" t="str">
        <f>IFERROR(__xludf.DUMMYFUNCTION("""COMPUTED_VALUE"""),"SDW-KC-BU-1")</f>
        <v>SDW-KC-BU-1</v>
      </c>
      <c r="B749" s="192" t="s">
        <v>8225</v>
      </c>
      <c r="C749" s="21" t="s">
        <v>22</v>
      </c>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c r="A750" s="192" t="str">
        <f>IFERROR(__xludf.DUMMYFUNCTION("""COMPUTED_VALUE"""),"SDW-KC-LT-4")</f>
        <v>SDW-KC-LT-4</v>
      </c>
      <c r="B750" s="192" t="s">
        <v>8226</v>
      </c>
      <c r="C750" s="21" t="s">
        <v>22</v>
      </c>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c r="A751" s="192" t="str">
        <f>IFERROR(__xludf.DUMMYFUNCTION("""COMPUTED_VALUE"""),"SDW-KC-LM-5")</f>
        <v>SDW-KC-LM-5</v>
      </c>
      <c r="B751" s="192" t="s">
        <v>8227</v>
      </c>
      <c r="C751" s="21" t="s">
        <v>22</v>
      </c>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c r="A752" s="192" t="str">
        <f>IFERROR(__xludf.DUMMYFUNCTION("""COMPUTED_VALUE"""),"SDW-KC-QB-5")</f>
        <v>SDW-KC-QB-5</v>
      </c>
      <c r="B752" s="192" t="s">
        <v>8228</v>
      </c>
      <c r="C752" s="21" t="s">
        <v>22</v>
      </c>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c r="A753" s="192" t="str">
        <f>IFERROR(__xludf.DUMMYFUNCTION("""COMPUTED_VALUE"""),"SDW-KC-LF-5")</f>
        <v>SDW-KC-LF-5</v>
      </c>
      <c r="B753" s="192" t="s">
        <v>8229</v>
      </c>
      <c r="C753" s="21" t="s">
        <v>22</v>
      </c>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c r="A754" s="192" t="str">
        <f>IFERROR(__xludf.DUMMYFUNCTION("""COMPUTED_VALUE"""),"SDW-KC-RO-5")</f>
        <v>SDW-KC-RO-5</v>
      </c>
      <c r="B754" s="192" t="s">
        <v>8230</v>
      </c>
      <c r="C754" s="21" t="s">
        <v>22</v>
      </c>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c r="A755" s="192" t="str">
        <f>IFERROR(__xludf.DUMMYFUNCTION("""COMPUTED_VALUE"""),"SDW-PM-GL-5")</f>
        <v>SDW-PM-GL-5</v>
      </c>
      <c r="B755" s="192" t="s">
        <v>8231</v>
      </c>
      <c r="C755" s="21" t="s">
        <v>22</v>
      </c>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c r="A756" s="192" t="str">
        <f>IFERROR(__xludf.DUMMYFUNCTION("""COMPUTED_VALUE"""),"SDW-PO-4.3-DF-1")</f>
        <v>SDW-PO-4.3-DF-1</v>
      </c>
      <c r="B756" s="192" t="s">
        <v>8232</v>
      </c>
      <c r="C756" s="21" t="s">
        <v>22</v>
      </c>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c r="A757" s="192" t="str">
        <f>IFERROR(__xludf.DUMMYFUNCTION("""COMPUTED_VALUE"""),"SDW-WS-WTW-18")</f>
        <v>SDW-WS-WTW-18</v>
      </c>
      <c r="B757" s="192" t="s">
        <v>8233</v>
      </c>
      <c r="C757" s="21" t="s">
        <v>22</v>
      </c>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c r="A758" s="192" t="str">
        <f>IFERROR(__xludf.DUMMYFUNCTION("""COMPUTED_VALUE"""),"NR-PO-5-BP-1")</f>
        <v>NR-PO-5-BP-1</v>
      </c>
      <c r="B758" s="192" t="s">
        <v>8234</v>
      </c>
      <c r="C758" s="21" t="s">
        <v>22</v>
      </c>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c r="A759" s="192" t="str">
        <f>IFERROR(__xludf.DUMMYFUNCTION("""COMPUTED_VALUE"""),"NR-PO-3-BP-1")</f>
        <v>NR-PO-3-BP-1</v>
      </c>
      <c r="B759" s="192" t="s">
        <v>8235</v>
      </c>
      <c r="C759" s="21" t="s">
        <v>22</v>
      </c>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c r="A760" s="192" t="str">
        <f>IFERROR(__xludf.DUMMYFUNCTION("""COMPUTED_VALUE"""),"NR-PO-8-BP-1")</f>
        <v>NR-PO-8-BP-1</v>
      </c>
      <c r="B760" s="192" t="s">
        <v>8236</v>
      </c>
      <c r="C760" s="21" t="s">
        <v>22</v>
      </c>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c r="A761" s="192" t="str">
        <f>IFERROR(__xludf.DUMMYFUNCTION("""COMPUTED_VALUE"""),"BS-SO-SS-1")</f>
        <v>BS-SO-SS-1</v>
      </c>
      <c r="B761" s="192" t="s">
        <v>8237</v>
      </c>
      <c r="C761" s="21" t="s">
        <v>22</v>
      </c>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c r="A762" s="192" t="str">
        <f>IFERROR(__xludf.DUMMYFUNCTION("""COMPUTED_VALUE"""),"SU-PS-12-MS-6")</f>
        <v>SU-PS-12-MS-6</v>
      </c>
      <c r="B762" s="192" t="s">
        <v>4783</v>
      </c>
      <c r="C762" s="21" t="s">
        <v>22</v>
      </c>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c r="A763" s="192" t="str">
        <f>IFERROR(__xludf.DUMMYFUNCTION("""COMPUTED_VALUE"""),"SU-PS-16-MP-3")</f>
        <v>SU-PS-16-MP-3</v>
      </c>
      <c r="B763" s="192" t="s">
        <v>8238</v>
      </c>
      <c r="C763" s="21" t="s">
        <v>22</v>
      </c>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c r="A764" s="192" t="str">
        <f>IFERROR(__xludf.DUMMYFUNCTION("""COMPUTED_VALUE"""),"NR-PO-3-TBP-1")</f>
        <v>NR-PO-3-TBP-1</v>
      </c>
      <c r="B764" s="192" t="s">
        <v>8239</v>
      </c>
      <c r="C764" s="21" t="s">
        <v>22</v>
      </c>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c r="A765" s="192" t="str">
        <f>IFERROR(__xludf.DUMMYFUNCTION("""COMPUTED_VALUE"""),"NR-PO-5-TBP-1")</f>
        <v>NR-PO-5-TBP-1</v>
      </c>
      <c r="B765" s="192" t="s">
        <v>8240</v>
      </c>
      <c r="C765" s="21" t="s">
        <v>22</v>
      </c>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c r="A766" s="192" t="str">
        <f>IFERROR(__xludf.DUMMYFUNCTION("""COMPUTED_VALUE"""),"NR-PO-8-TBP-1")</f>
        <v>NR-PO-8-TBP-1</v>
      </c>
      <c r="B766" s="192" t="s">
        <v>8241</v>
      </c>
      <c r="C766" s="21" t="s">
        <v>22</v>
      </c>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c r="A767" s="192" t="str">
        <f>IFERROR(__xludf.DUMMYFUNCTION("""COMPUTED_VALUE"""),"NR-PO-3-PBP-1")</f>
        <v>NR-PO-3-PBP-1</v>
      </c>
      <c r="B767" s="192" t="s">
        <v>8242</v>
      </c>
      <c r="C767" s="21" t="s">
        <v>22</v>
      </c>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c r="A768" s="192" t="str">
        <f>IFERROR(__xludf.DUMMYFUNCTION("""COMPUTED_VALUE"""),"NR-PO-5-PBP-1")</f>
        <v>NR-PO-5-PBP-1</v>
      </c>
      <c r="B768" s="192" t="s">
        <v>8243</v>
      </c>
      <c r="C768" s="21" t="s">
        <v>22</v>
      </c>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c r="A769" s="192" t="str">
        <f>IFERROR(__xludf.DUMMYFUNCTION("""COMPUTED_VALUE"""),"NR-PO-8-PBP-1")</f>
        <v>NR-PO-8-PBP-1</v>
      </c>
      <c r="B769" s="192" t="s">
        <v>8244</v>
      </c>
      <c r="C769" s="21" t="s">
        <v>22</v>
      </c>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c r="A770" s="192" t="str">
        <f>IFERROR(__xludf.DUMMYFUNCTION("""COMPUTED_VALUE"""),"BS-PO-2-GL-1")</f>
        <v>BS-PO-2-GL-1</v>
      </c>
      <c r="B770" s="192" t="s">
        <v>8245</v>
      </c>
      <c r="C770" s="21" t="s">
        <v>22</v>
      </c>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c r="A771" s="192" t="str">
        <f>IFERROR(__xludf.DUMMYFUNCTION("""COMPUTED_VALUE"""),"NR-PO-5-SNB-1")</f>
        <v>NR-PO-5-SNB-1</v>
      </c>
      <c r="B771" s="192" t="s">
        <v>8246</v>
      </c>
      <c r="C771" s="21" t="s">
        <v>22</v>
      </c>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c r="A772" s="192" t="str">
        <f>IFERROR(__xludf.DUMMYFUNCTION("""COMPUTED_VALUE"""),"NR-PO-3-SNB-1")</f>
        <v>NR-PO-3-SNB-1</v>
      </c>
      <c r="B772" s="192" t="s">
        <v>8247</v>
      </c>
      <c r="C772" s="21" t="s">
        <v>22</v>
      </c>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c r="A773" s="192" t="str">
        <f>IFERROR(__xludf.DUMMYFUNCTION("""COMPUTED_VALUE"""),"BS-PO-LG-PB-1")</f>
        <v>BS-PO-LG-PB-1</v>
      </c>
      <c r="B773" s="192" t="s">
        <v>8248</v>
      </c>
      <c r="C773" s="21" t="s">
        <v>22</v>
      </c>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c r="A774" s="192" t="str">
        <f>IFERROR(__xludf.DUMMYFUNCTION("""COMPUTED_VALUE"""),"DT-PO-3-GL-1")</f>
        <v>DT-PO-3-GL-1</v>
      </c>
      <c r="B774" s="192" t="s">
        <v>8249</v>
      </c>
      <c r="C774" s="21" t="s">
        <v>22</v>
      </c>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c r="A775" s="192" t="str">
        <f>IFERROR(__xludf.DUMMYFUNCTION("""COMPUTED_VALUE"""),"DT-PO-6-GL-1")</f>
        <v>DT-PO-6-GL-1</v>
      </c>
      <c r="B775" s="192" t="s">
        <v>8250</v>
      </c>
      <c r="C775" s="21" t="s">
        <v>22</v>
      </c>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c r="A776" s="192" t="str">
        <f>IFERROR(__xludf.DUMMYFUNCTION("""COMPUTED_VALUE"""),"BS-SO-ACM-2")</f>
        <v>BS-SO-ACM-2</v>
      </c>
      <c r="B776" s="192" t="s">
        <v>8251</v>
      </c>
      <c r="C776" s="21" t="s">
        <v>22</v>
      </c>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c r="A777" s="192" t="str">
        <f>IFERROR(__xludf.DUMMYFUNCTION("""COMPUTED_VALUE"""),"BS-SO-ACM-4")</f>
        <v>BS-SO-ACM-4</v>
      </c>
      <c r="B777" s="192" t="s">
        <v>8252</v>
      </c>
      <c r="C777" s="21" t="s">
        <v>22</v>
      </c>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c r="A778" s="192" t="str">
        <f>IFERROR(__xludf.DUMMYFUNCTION("""COMPUTED_VALUE"""),"BS-SO-FRM-2")</f>
        <v>BS-SO-FRM-2</v>
      </c>
      <c r="B778" s="192" t="s">
        <v>8253</v>
      </c>
      <c r="C778" s="21" t="s">
        <v>22</v>
      </c>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c r="A779" s="192" t="str">
        <f>IFERROR(__xludf.DUMMYFUNCTION("""COMPUTED_VALUE"""),"BS-SO-ACM-3")</f>
        <v>BS-SO-ACM-3</v>
      </c>
      <c r="B779" s="192" t="s">
        <v>8254</v>
      </c>
      <c r="C779" s="21" t="s">
        <v>22</v>
      </c>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c r="A780" s="192" t="str">
        <f>IFERROR(__xludf.DUMMYFUNCTION("""COMPUTED_VALUE"""),"BS-SO-ACM-5")</f>
        <v>BS-SO-ACM-5</v>
      </c>
      <c r="B780" s="192" t="s">
        <v>8255</v>
      </c>
      <c r="C780" s="21" t="s">
        <v>22</v>
      </c>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c r="A781" s="192" t="str">
        <f>IFERROR(__xludf.DUMMYFUNCTION("""COMPUTED_VALUE"""),"TL-PO-2-GL-1")</f>
        <v>TL-PO-2-GL-1</v>
      </c>
      <c r="B781" s="192" t="s">
        <v>8256</v>
      </c>
      <c r="C781" s="21" t="s">
        <v>22</v>
      </c>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c r="A782" s="192" t="str">
        <f>IFERROR(__xludf.DUMMYFUNCTION("""COMPUTED_VALUE"""),"BS-SO-HO-2")</f>
        <v>BS-SO-HO-2</v>
      </c>
      <c r="B782" s="192" t="s">
        <v>8257</v>
      </c>
      <c r="C782" s="21" t="s">
        <v>22</v>
      </c>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c r="A783" s="192" t="str">
        <f>IFERROR(__xludf.DUMMYFUNCTION("""COMPUTED_VALUE"""),"TR-SB-MSB-8")</f>
        <v>TR-SB-MSB-8</v>
      </c>
      <c r="B783" s="192" t="s">
        <v>8258</v>
      </c>
      <c r="C783" s="21" t="s">
        <v>22</v>
      </c>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c r="A784" s="192" t="str">
        <f>IFERROR(__xludf.DUMMYFUNCTION("""COMPUTED_VALUE"""),"BS-SO-AL-2")</f>
        <v>BS-SO-AL-2</v>
      </c>
      <c r="B784" s="192" t="s">
        <v>8259</v>
      </c>
      <c r="C784" s="21" t="s">
        <v>22</v>
      </c>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c r="A785" s="192" t="str">
        <f>IFERROR(__xludf.DUMMYFUNCTION("""COMPUTED_VALUE"""),"ST-PO-6-COP-1")</f>
        <v>ST-PO-6-COP-1</v>
      </c>
      <c r="B785" s="192" t="s">
        <v>8260</v>
      </c>
      <c r="C785" s="21" t="s">
        <v>22</v>
      </c>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c r="A786" s="192" t="str">
        <f>IFERROR(__xludf.DUMMYFUNCTION("""COMPUTED_VALUE"""),"ST-PO-4-COP-1")</f>
        <v>ST-PO-4-COP-1</v>
      </c>
      <c r="B786" s="192" t="s">
        <v>8261</v>
      </c>
      <c r="C786" s="21" t="s">
        <v>22</v>
      </c>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c r="A787" s="192" t="str">
        <f>IFERROR(__xludf.DUMMYFUNCTION("""COMPUTED_VALUE"""),"BS-SO-ACM-6")</f>
        <v>BS-SO-ACM-6</v>
      </c>
      <c r="B787" s="192" t="s">
        <v>8262</v>
      </c>
      <c r="C787" s="21" t="s">
        <v>22</v>
      </c>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c r="A788" s="192" t="str">
        <f>IFERROR(__xludf.DUMMYFUNCTION("""COMPUTED_VALUE"""),"BS-SO-SU-1")</f>
        <v>BS-SO-SU-1</v>
      </c>
      <c r="B788" s="192" t="s">
        <v>8263</v>
      </c>
      <c r="C788" s="21" t="s">
        <v>22</v>
      </c>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c r="A789" s="192" t="str">
        <f>IFERROR(__xludf.DUMMYFUNCTION("""COMPUTED_VALUE"""),"BS-SO-RE-1")</f>
        <v>BS-SO-RE-1</v>
      </c>
      <c r="B789" s="192" t="s">
        <v>8264</v>
      </c>
      <c r="C789" s="21" t="s">
        <v>22</v>
      </c>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c r="A790" s="192" t="str">
        <f>IFERROR(__xludf.DUMMYFUNCTION("""COMPUTED_VALUE"""),"AGP-PO-4-BN-1")</f>
        <v>AGP-PO-4-BN-1</v>
      </c>
      <c r="B790" s="192" t="s">
        <v>8265</v>
      </c>
      <c r="C790" s="21" t="s">
        <v>22</v>
      </c>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c r="A791" s="192" t="str">
        <f>IFERROR(__xludf.DUMMYFUNCTION("""COMPUTED_VALUE"""),"BS-PS-24-BA-1")</f>
        <v>BS-PS-24-BA-1</v>
      </c>
      <c r="B791" s="192" t="s">
        <v>8266</v>
      </c>
      <c r="C791" s="21" t="s">
        <v>22</v>
      </c>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c r="A792" s="192" t="str">
        <f>IFERROR(__xludf.DUMMYFUNCTION("""COMPUTED_VALUE"""),"BS-PS-18-BA-1")</f>
        <v>BS-PS-18-BA-1</v>
      </c>
      <c r="B792" s="192" t="s">
        <v>8267</v>
      </c>
      <c r="C792" s="21" t="s">
        <v>22</v>
      </c>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c r="A793" s="192" t="str">
        <f>IFERROR(__xludf.DUMMYFUNCTION("""COMPUTED_VALUE"""),"BS-PS-12-BA-1")</f>
        <v>BS-PS-12-BA-1</v>
      </c>
      <c r="B793" s="192" t="s">
        <v>8268</v>
      </c>
      <c r="C793" s="21" t="s">
        <v>22</v>
      </c>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c r="A794" s="192" t="str">
        <f>IFERROR(__xludf.DUMMYFUNCTION("""COMPUTED_VALUE"""),"BS-PS-16-BA-1")</f>
        <v>BS-PS-16-BA-1</v>
      </c>
      <c r="B794" s="192" t="s">
        <v>8269</v>
      </c>
      <c r="C794" s="21" t="s">
        <v>22</v>
      </c>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c r="A795" s="192" t="str">
        <f>IFERROR(__xludf.DUMMYFUNCTION("""COMPUTED_VALUE"""),"BS-SO-FRM-3")</f>
        <v>BS-SO-FRM-3</v>
      </c>
      <c r="B795" s="192" t="s">
        <v>8270</v>
      </c>
      <c r="C795" s="21" t="s">
        <v>22</v>
      </c>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c r="A796" s="192" t="str">
        <f>IFERROR(__xludf.DUMMYFUNCTION("""COMPUTED_VALUE"""),"BS-SO-ACM-7")</f>
        <v>BS-SO-ACM-7</v>
      </c>
      <c r="B796" s="192" t="s">
        <v>8271</v>
      </c>
      <c r="C796" s="21" t="s">
        <v>22</v>
      </c>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c r="A797" s="192" t="str">
        <f>IFERROR(__xludf.DUMMYFUNCTION("""COMPUTED_VALUE"""),"BS-SO-VM-1")</f>
        <v>BS-SO-VM-1</v>
      </c>
      <c r="B797" s="192" t="s">
        <v>8272</v>
      </c>
      <c r="C797" s="21" t="s">
        <v>22</v>
      </c>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c r="A798" s="192" t="str">
        <f>IFERROR(__xludf.DUMMYFUNCTION("""COMPUTED_VALUE"""),"ST-PO-0-BR-1")</f>
        <v>ST-PO-0-BR-1</v>
      </c>
      <c r="B798" s="192" t="s">
        <v>8273</v>
      </c>
      <c r="C798" s="21" t="s">
        <v>22</v>
      </c>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c r="A799" s="192" t="str">
        <f>IFERROR(__xludf.DUMMYFUNCTION("""COMPUTED_VALUE"""),"HS-PO-GO-1H")</f>
        <v>HS-PO-GO-1H</v>
      </c>
      <c r="B799" s="192" t="s">
        <v>8274</v>
      </c>
      <c r="C799" s="21" t="s">
        <v>22</v>
      </c>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c r="A800" s="192" t="str">
        <f>IFERROR(__xludf.DUMMYFUNCTION("""COMPUTED_VALUE"""),"TOGPS-PH-POO-1A-2")</f>
        <v>TOGPS-PH-POO-1A-2</v>
      </c>
      <c r="B800" s="192" t="s">
        <v>8275</v>
      </c>
      <c r="C800" s="21" t="s">
        <v>22</v>
      </c>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c r="A801" s="192" t="str">
        <f>IFERROR(__xludf.DUMMYFUNCTION("""COMPUTED_VALUE"""),"FMY-MA-DE-1A-4A")</f>
        <v>FMY-MA-DE-1A-4A</v>
      </c>
      <c r="B801" s="192" t="s">
        <v>8276</v>
      </c>
      <c r="C801" s="21" t="s">
        <v>22</v>
      </c>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c r="A802" s="192" t="str">
        <f>IFERROR(__xludf.DUMMYFUNCTION("""COMPUTED_VALUE"""),"FMY-MA-DE-1A-4B")</f>
        <v>FMY-MA-DE-1A-4B</v>
      </c>
      <c r="B802" s="192" t="s">
        <v>8277</v>
      </c>
      <c r="C802" s="21" t="s">
        <v>22</v>
      </c>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c r="A803" s="192" t="str">
        <f>IFERROR(__xludf.DUMMYFUNCTION("""COMPUTED_VALUE"""),"FMY-MA-DE-1A-4C")</f>
        <v>FMY-MA-DE-1A-4C</v>
      </c>
      <c r="B803" s="192" t="s">
        <v>8278</v>
      </c>
      <c r="C803" s="21" t="s">
        <v>22</v>
      </c>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c r="A804" s="192" t="str">
        <f>IFERROR(__xludf.DUMMYFUNCTION("""COMPUTED_VALUE"""),"FMY-MA-DE-1A-4D")</f>
        <v>FMY-MA-DE-1A-4D</v>
      </c>
      <c r="B804" s="192" t="s">
        <v>8279</v>
      </c>
      <c r="C804" s="21" t="s">
        <v>22</v>
      </c>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c r="A805" s="192" t="str">
        <f>IFERROR(__xludf.DUMMYFUNCTION("""COMPUTED_VALUE"""),"FMY-MA-DE-1A-4E")</f>
        <v>FMY-MA-DE-1A-4E</v>
      </c>
      <c r="B805" s="192" t="s">
        <v>8280</v>
      </c>
      <c r="C805" s="21" t="s">
        <v>22</v>
      </c>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c r="A806" s="192" t="str">
        <f>IFERROR(__xludf.DUMMYFUNCTION("""COMPUTED_VALUE"""),"FMY-MA-DE-1A-4F")</f>
        <v>FMY-MA-DE-1A-4F</v>
      </c>
      <c r="B806" s="192" t="s">
        <v>8281</v>
      </c>
      <c r="C806" s="21" t="s">
        <v>22</v>
      </c>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c r="A807" s="192" t="str">
        <f>IFERROR(__xludf.DUMMYFUNCTION("""COMPUTED_VALUE"""),"FMY-MA-DE-1A-3A")</f>
        <v>FMY-MA-DE-1A-3A</v>
      </c>
      <c r="B807" s="192" t="s">
        <v>8282</v>
      </c>
      <c r="C807" s="21" t="s">
        <v>22</v>
      </c>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c r="A808" s="192" t="str">
        <f>IFERROR(__xludf.DUMMYFUNCTION("""COMPUTED_VALUE"""),"FMY-MA-DE-1A-3B")</f>
        <v>FMY-MA-DE-1A-3B</v>
      </c>
      <c r="B808" s="192" t="s">
        <v>8283</v>
      </c>
      <c r="C808" s="21" t="s">
        <v>22</v>
      </c>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c r="A809" s="192" t="str">
        <f>IFERROR(__xludf.DUMMYFUNCTION("""COMPUTED_VALUE"""),"FMY-MA-DE-1A-3C")</f>
        <v>FMY-MA-DE-1A-3C</v>
      </c>
      <c r="B809" s="192" t="s">
        <v>8284</v>
      </c>
      <c r="C809" s="21" t="s">
        <v>22</v>
      </c>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c r="A810" s="192" t="str">
        <f>IFERROR(__xludf.DUMMYFUNCTION("""COMPUTED_VALUE"""),"FMY-MA-DE-1A-3D")</f>
        <v>FMY-MA-DE-1A-3D</v>
      </c>
      <c r="B810" s="192" t="s">
        <v>8285</v>
      </c>
      <c r="C810" s="21" t="s">
        <v>22</v>
      </c>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c r="A811" s="192" t="str">
        <f>IFERROR(__xludf.DUMMYFUNCTION("""COMPUTED_VALUE"""),"FMY-MA-DE-1A-3E")</f>
        <v>FMY-MA-DE-1A-3E</v>
      </c>
      <c r="B811" s="192" t="s">
        <v>8286</v>
      </c>
      <c r="C811" s="21" t="s">
        <v>22</v>
      </c>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c r="A812" s="192" t="str">
        <f>IFERROR(__xludf.DUMMYFUNCTION("""COMPUTED_VALUE"""),"HD-AL-LO-1A-2B")</f>
        <v>HD-AL-LO-1A-2B</v>
      </c>
      <c r="B812" s="192" t="s">
        <v>8287</v>
      </c>
      <c r="C812" s="21" t="s">
        <v>22</v>
      </c>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c r="A813" s="192" t="str">
        <f>IFERROR(__xludf.DUMMYFUNCTION("""COMPUTED_VALUE"""),"HD-AL-LO-1A-2C")</f>
        <v>HD-AL-LO-1A-2C</v>
      </c>
      <c r="B813" s="192" t="s">
        <v>8288</v>
      </c>
      <c r="C813" s="21" t="s">
        <v>22</v>
      </c>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c r="A814" s="192" t="str">
        <f>IFERROR(__xludf.DUMMYFUNCTION("""COMPUTED_VALUE"""),"HS-PH-HL-1B")</f>
        <v>HS-PH-HL-1B</v>
      </c>
      <c r="B814" s="192" t="s">
        <v>8289</v>
      </c>
      <c r="C814" s="21" t="s">
        <v>22</v>
      </c>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c r="A815" s="192" t="str">
        <f>IFERROR(__xludf.DUMMYFUNCTION("""COMPUTED_VALUE"""),"HS-PH-HL-1C")</f>
        <v>HS-PH-HL-1C</v>
      </c>
      <c r="B815" s="192" t="s">
        <v>8290</v>
      </c>
      <c r="C815" s="21" t="s">
        <v>22</v>
      </c>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c r="A816" s="192" t="str">
        <f>IFERROR(__xludf.DUMMYFUNCTION("""COMPUTED_VALUE"""),"HD-AL-LO-1B")</f>
        <v>HD-AL-LO-1B</v>
      </c>
      <c r="B816" s="192" t="s">
        <v>8291</v>
      </c>
      <c r="C816" s="21" t="s">
        <v>22</v>
      </c>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c r="A817" s="192" t="str">
        <f>IFERROR(__xludf.DUMMYFUNCTION("""COMPUTED_VALUE"""),"HS-PI-PEP-1C")</f>
        <v>HS-PI-PEP-1C</v>
      </c>
      <c r="B817" s="192" t="s">
        <v>8292</v>
      </c>
      <c r="C817" s="21" t="s">
        <v>22</v>
      </c>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c r="A818" s="192" t="str">
        <f>IFERROR(__xludf.DUMMYFUNCTION("""COMPUTED_VALUE"""),"HS-PO-GO-1I")</f>
        <v>HS-PO-GO-1I</v>
      </c>
      <c r="B818" s="192" t="s">
        <v>8293</v>
      </c>
      <c r="C818" s="21" t="s">
        <v>22</v>
      </c>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c r="A819" s="192" t="str">
        <f>IFERROR(__xludf.DUMMYFUNCTION("""COMPUTED_VALUE"""),"HS-SPA-PLD-1F")</f>
        <v>HS-SPA-PLD-1F</v>
      </c>
      <c r="B819" s="192" t="s">
        <v>8294</v>
      </c>
      <c r="C819" s="21" t="s">
        <v>22</v>
      </c>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c r="A820" s="192" t="str">
        <f>IFERROR(__xludf.DUMMYFUNCTION("""COMPUTED_VALUE"""),"HS-PI-PEP-1B")</f>
        <v>HS-PI-PEP-1B</v>
      </c>
      <c r="B820" s="192" t="s">
        <v>8295</v>
      </c>
      <c r="C820" s="21" t="s">
        <v>22</v>
      </c>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c r="A821" s="192" t="str">
        <f>IFERROR(__xludf.DUMMYFUNCTION("""COMPUTED_VALUE"""),"WM-PH-WK-1D")</f>
        <v>WM-PH-WK-1D</v>
      </c>
      <c r="B821" s="192" t="s">
        <v>8296</v>
      </c>
      <c r="C821" s="21" t="s">
        <v>22</v>
      </c>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c r="A822" s="192" t="str">
        <f>IFERROR(__xludf.DUMMYFUNCTION("""COMPUTED_VALUE"""),"BWH-PO-PAJ-1A-4A")</f>
        <v>BWH-PO-PAJ-1A-4A</v>
      </c>
      <c r="B822" s="192" t="s">
        <v>8297</v>
      </c>
      <c r="C822" s="21" t="s">
        <v>22</v>
      </c>
      <c r="D822" s="192"/>
      <c r="E822" s="192"/>
      <c r="F822" s="192"/>
      <c r="G822" s="191"/>
      <c r="H822" s="192"/>
      <c r="I822" s="192"/>
      <c r="J822" s="192"/>
      <c r="K822" s="192"/>
      <c r="L822" s="192"/>
      <c r="M822" s="192"/>
      <c r="N822" s="192"/>
      <c r="O822" s="192"/>
      <c r="P822" s="192"/>
      <c r="Q822" s="192"/>
      <c r="R822" s="192"/>
      <c r="S822" s="192"/>
      <c r="T822" s="192"/>
      <c r="U822" s="192"/>
      <c r="V822" s="192"/>
      <c r="W822" s="192"/>
      <c r="X822" s="192"/>
      <c r="Y822" s="192"/>
      <c r="Z822" s="192"/>
    </row>
    <row r="823">
      <c r="A823" s="192" t="str">
        <f>IFERROR(__xludf.DUMMYFUNCTION("""COMPUTED_VALUE"""),"BWH-PO-PAJ-1A-4B")</f>
        <v>BWH-PO-PAJ-1A-4B</v>
      </c>
      <c r="B823" s="192" t="s">
        <v>8298</v>
      </c>
      <c r="C823" s="21" t="s">
        <v>22</v>
      </c>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c r="A824" s="192" t="str">
        <f>IFERROR(__xludf.DUMMYFUNCTION("""COMPUTED_VALUE"""),"BWH-PO-PAJ-1A-4C")</f>
        <v>BWH-PO-PAJ-1A-4C</v>
      </c>
      <c r="B824" s="192" t="s">
        <v>8299</v>
      </c>
      <c r="C824" s="21" t="s">
        <v>22</v>
      </c>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c r="A825" s="192" t="str">
        <f>IFERROR(__xludf.DUMMYFUNCTION("""COMPUTED_VALUE"""),"FMY-MA-DE-1A-5B")</f>
        <v>FMY-MA-DE-1A-5B</v>
      </c>
      <c r="B825" s="192" t="s">
        <v>8300</v>
      </c>
      <c r="C825" s="21" t="s">
        <v>22</v>
      </c>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c r="A826" s="192" t="str">
        <f>IFERROR(__xludf.DUMMYFUNCTION("""COMPUTED_VALUE"""),"FMY-MA-DE-1A-5C")</f>
        <v>FMY-MA-DE-1A-5C</v>
      </c>
      <c r="B826" s="192" t="s">
        <v>8301</v>
      </c>
      <c r="C826" s="21" t="s">
        <v>22</v>
      </c>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c r="A827" s="192" t="str">
        <f>IFERROR(__xludf.DUMMYFUNCTION("""COMPUTED_VALUE"""),"FMY-MA-DE-1A-5D")</f>
        <v>FMY-MA-DE-1A-5D</v>
      </c>
      <c r="B827" s="192" t="s">
        <v>8302</v>
      </c>
      <c r="C827" s="21" t="s">
        <v>22</v>
      </c>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c r="A828" s="192" t="str">
        <f>IFERROR(__xludf.DUMMYFUNCTION("""COMPUTED_VALUE"""),"WM-PH-WK-1B")</f>
        <v>WM-PH-WK-1B</v>
      </c>
      <c r="B828" s="192" t="s">
        <v>8303</v>
      </c>
      <c r="C828" s="21" t="s">
        <v>22</v>
      </c>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c r="A829" s="192" t="str">
        <f>IFERROR(__xludf.DUMMYFUNCTION("""COMPUTED_VALUE"""),"HD-ST-TR-1B")</f>
        <v>HD-ST-TR-1B</v>
      </c>
      <c r="B829" s="192" t="s">
        <v>8304</v>
      </c>
      <c r="C829" s="21" t="s">
        <v>22</v>
      </c>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c r="A830" s="192" t="str">
        <f>IFERROR(__xludf.DUMMYFUNCTION("""COMPUTED_VALUE"""),"HD-ST-TR-1C")</f>
        <v>HD-ST-TR-1C</v>
      </c>
      <c r="B830" s="192" t="s">
        <v>8305</v>
      </c>
      <c r="C830" s="21" t="s">
        <v>22</v>
      </c>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c r="A831" s="192" t="str">
        <f>IFERROR(__xludf.DUMMYFUNCTION("""COMPUTED_VALUE"""),"IST-PH-PP-1B")</f>
        <v>IST-PH-PP-1B</v>
      </c>
      <c r="B831" s="192" t="s">
        <v>8306</v>
      </c>
      <c r="C831" s="21" t="s">
        <v>22</v>
      </c>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c r="A832" s="192" t="str">
        <f>IFERROR(__xludf.DUMMYFUNCTION("""COMPUTED_VALUE"""),"IST-PH-PP-1C")</f>
        <v>IST-PH-PP-1C</v>
      </c>
      <c r="B832" s="192" t="s">
        <v>8307</v>
      </c>
      <c r="C832" s="21" t="s">
        <v>22</v>
      </c>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c r="A833" s="192" t="str">
        <f>IFERROR(__xludf.DUMMYFUNCTION("""COMPUTED_VALUE"""),"HD-AL-GVF-1A")</f>
        <v>HD-AL-GVF-1A</v>
      </c>
      <c r="B833" s="192" t="s">
        <v>8308</v>
      </c>
      <c r="C833" s="21"/>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c r="A834" s="192" t="str">
        <f>IFERROR(__xludf.DUMMYFUNCTION("""COMPUTED_VALUE"""),"HD-AL-GVF-1A-2B")</f>
        <v>HD-AL-GVF-1A-2B</v>
      </c>
      <c r="B834" s="192" t="s">
        <v>8309</v>
      </c>
      <c r="C834" s="21"/>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c r="A835" s="192" t="str">
        <f>IFERROR(__xludf.DUMMYFUNCTION("""COMPUTED_VALUE"""),"HS-SPA-PLD-1C")</f>
        <v>HS-SPA-PLD-1C</v>
      </c>
      <c r="B835" s="192" t="s">
        <v>8310</v>
      </c>
      <c r="C835" s="21"/>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c r="A836" s="192" t="str">
        <f>IFERROR(__xludf.DUMMYFUNCTION("""COMPUTED_VALUE"""),"HS-SP-PLD-1E")</f>
        <v>HS-SP-PLD-1E</v>
      </c>
      <c r="B836" s="192" t="s">
        <v>8311</v>
      </c>
      <c r="C836" s="21"/>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c r="A837" s="192" t="str">
        <f>IFERROR(__xludf.DUMMYFUNCTION("""COMPUTED_VALUE"""),"HS-BE-AW-1B")</f>
        <v>HS-BE-AW-1B</v>
      </c>
      <c r="B837" s="192" t="s">
        <v>8312</v>
      </c>
      <c r="C837" s="21"/>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c r="A838" s="192" t="str">
        <f>IFERROR(__xludf.DUMMYFUNCTION("""COMPUTED_VALUE"""),"HS-BE-AW-1C")</f>
        <v>HS-BE-AW-1C</v>
      </c>
      <c r="B838" s="192" t="s">
        <v>8313</v>
      </c>
      <c r="C838" s="21"/>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c r="A839" s="192" t="str">
        <f>IFERROR(__xludf.DUMMYFUNCTION("""COMPUTED_VALUE"""),"FMY-CA-MA-1B")</f>
        <v>FMY-CA-MA-1B</v>
      </c>
      <c r="B839" s="192" t="s">
        <v>8314</v>
      </c>
      <c r="C839" s="21"/>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c r="A840" s="192" t="str">
        <f>IFERROR(__xludf.DUMMYFUNCTION("""COMPUTED_VALUE"""),"FMY-CA-MA-1C")</f>
        <v>FMY-CA-MA-1C</v>
      </c>
      <c r="B840" s="192" t="s">
        <v>8315</v>
      </c>
      <c r="C840" s="21"/>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c r="A841" s="192" t="str">
        <f>IFERROR(__xludf.DUMMYFUNCTION("""COMPUTED_VALUE"""),"FMY-CA-MA-1D")</f>
        <v>FMY-CA-MA-1D</v>
      </c>
      <c r="B841" s="192" t="s">
        <v>8316</v>
      </c>
      <c r="C841" s="21"/>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c r="A842" s="192" t="str">
        <f>IFERROR(__xludf.DUMMYFUNCTION("""COMPUTED_VALUE"""),"FMY-CA-MA-1E")</f>
        <v>FMY-CA-MA-1E</v>
      </c>
      <c r="B842" s="192" t="s">
        <v>8317</v>
      </c>
      <c r="C842" s="21"/>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c r="A843" s="192" t="str">
        <f>IFERROR(__xludf.DUMMYFUNCTION("""COMPUTED_VALUE"""),"FMY-CA-MA-1F")</f>
        <v>FMY-CA-MA-1F</v>
      </c>
      <c r="B843" s="192" t="s">
        <v>8318</v>
      </c>
      <c r="C843" s="21"/>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c r="A844" s="192" t="str">
        <f>IFERROR(__xludf.DUMMYFUNCTION("""COMPUTED_VALUE"""),"FMY-CA-MA-1G")</f>
        <v>FMY-CA-MA-1G</v>
      </c>
      <c r="B844" s="192" t="s">
        <v>8319</v>
      </c>
      <c r="C844" s="21"/>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c r="A845" s="192" t="str">
        <f>IFERROR(__xludf.DUMMYFUNCTION("""COMPUTED_VALUE"""),"FMY-CA-MA-1H")</f>
        <v>FMY-CA-MA-1H</v>
      </c>
      <c r="B845" s="192" t="s">
        <v>8320</v>
      </c>
      <c r="C845" s="21"/>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c r="A846" s="192" t="str">
        <f>IFERROR(__xludf.DUMMYFUNCTION("""COMPUTED_VALUE"""),"HS-PH-BRL-1B")</f>
        <v>HS-PH-BRL-1B</v>
      </c>
      <c r="B846" s="192" t="s">
        <v>8321</v>
      </c>
      <c r="C846" s="21"/>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c r="A847" s="192" t="str">
        <f>IFERROR(__xludf.DUMMYFUNCTION("""COMPUTED_VALUE"""),"HS-PH-BRL-1C")</f>
        <v>HS-PH-BRL-1C</v>
      </c>
      <c r="B847" s="192" t="s">
        <v>8322</v>
      </c>
      <c r="C847" s="21"/>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c r="A848" s="192" t="str">
        <f>IFERROR(__xludf.DUMMYFUNCTION("""COMPUTED_VALUE"""),"TGOPS-PH-WW-1B")</f>
        <v>TGOPS-PH-WW-1B</v>
      </c>
      <c r="B848" s="192" t="s">
        <v>8323</v>
      </c>
      <c r="C848" s="21"/>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c r="A849" s="192" t="str">
        <f>IFERROR(__xludf.DUMMYFUNCTION("""COMPUTED_VALUE"""),"TGOPS-PH-WW-1C")</f>
        <v>TGOPS-PH-WW-1C</v>
      </c>
      <c r="B849" s="192" t="s">
        <v>8324</v>
      </c>
      <c r="C849" s="21"/>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c r="A850" s="192" t="str">
        <f>IFERROR(__xludf.DUMMYFUNCTION("""COMPUTED_VALUE"""),"TGOPS-PH-WW-1D")</f>
        <v>TGOPS-PH-WW-1D</v>
      </c>
      <c r="B850" s="192" t="s">
        <v>8325</v>
      </c>
      <c r="C850" s="21"/>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c r="A851" s="192" t="str">
        <f>IFERROR(__xludf.DUMMYFUNCTION("""COMPUTED_VALUE"""),"TGOPS-PH-WW-1E")</f>
        <v>TGOPS-PH-WW-1E</v>
      </c>
      <c r="B851" s="192" t="s">
        <v>8326</v>
      </c>
      <c r="C851" s="21"/>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c r="A852" s="192" t="str">
        <f>IFERROR(__xludf.DUMMYFUNCTION("""COMPUTED_VALUE"""),"TGOPS-PH-WW-1F")</f>
        <v>TGOPS-PH-WW-1F</v>
      </c>
      <c r="B852" s="192" t="s">
        <v>8327</v>
      </c>
      <c r="C852" s="21"/>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c r="A853" s="192" t="str">
        <f>IFERROR(__xludf.DUMMYFUNCTION("""COMPUTED_VALUE"""),"TGOPS-PH-WW-1A-3B")</f>
        <v>TGOPS-PH-WW-1A-3B</v>
      </c>
      <c r="B853" s="192" t="s">
        <v>8328</v>
      </c>
      <c r="C853" s="21"/>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c r="A854" s="192" t="str">
        <f>IFERROR(__xludf.DUMMYFUNCTION("""COMPUTED_VALUE"""),"TGOPS-PH-WW-1A-3C")</f>
        <v>TGOPS-PH-WW-1A-3C</v>
      </c>
      <c r="B854" s="192" t="s">
        <v>8329</v>
      </c>
      <c r="C854" s="21"/>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c r="A855" s="192" t="str">
        <f>IFERROR(__xludf.DUMMYFUNCTION("""COMPUTED_VALUE"""),"TGOPS-PH-WW-1A-2D")</f>
        <v>TGOPS-PH-WW-1A-2D</v>
      </c>
      <c r="B855" s="192" t="s">
        <v>8330</v>
      </c>
      <c r="C855" s="21"/>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c r="A856" s="192" t="str">
        <f>IFERROR(__xludf.DUMMYFUNCTION("""COMPUTED_VALUE"""),"TGOPS-PH-WW-1A-2B")</f>
        <v>TGOPS-PH-WW-1A-2B</v>
      </c>
      <c r="B856" s="192" t="s">
        <v>8331</v>
      </c>
      <c r="C856" s="21"/>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c r="A857" s="192" t="str">
        <f>IFERROR(__xludf.DUMMYFUNCTION("""COMPUTED_VALUE"""),"TGOPS-PH-WW-1A-2C")</f>
        <v>TGOPS-PH-WW-1A-2C</v>
      </c>
      <c r="B857" s="192" t="s">
        <v>8332</v>
      </c>
      <c r="C857" s="21"/>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c r="A858" s="192" t="str">
        <f>IFERROR(__xludf.DUMMYFUNCTION("""COMPUTED_VALUE"""),"FMY-PH-PL-1B")</f>
        <v>FMY-PH-PL-1B</v>
      </c>
      <c r="B858" s="192" t="s">
        <v>8333</v>
      </c>
      <c r="C858" s="21"/>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c r="A859" s="192" t="str">
        <f>IFERROR(__xludf.DUMMYFUNCTION("""COMPUTED_VALUE"""),"FMY-MA-PE-1B")</f>
        <v>FMY-MA-PE-1B</v>
      </c>
      <c r="B859" s="192" t="s">
        <v>8334</v>
      </c>
      <c r="C859" s="21"/>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c r="A860" s="192" t="str">
        <f>IFERROR(__xludf.DUMMYFUNCTION("""COMPUTED_VALUE"""),"FMY-MA-PE-1C")</f>
        <v>FMY-MA-PE-1C</v>
      </c>
      <c r="B860" s="192" t="s">
        <v>8335</v>
      </c>
      <c r="C860" s="21"/>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c r="A861" s="192" t="str">
        <f>IFERROR(__xludf.DUMMYFUNCTION("""COMPUTED_VALUE"""),"FMY-MA-PE-1D")</f>
        <v>FMY-MA-PE-1D</v>
      </c>
      <c r="B861" s="192" t="s">
        <v>8336</v>
      </c>
      <c r="C861" s="21"/>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c r="A862" s="192" t="str">
        <f>IFERROR(__xludf.DUMMYFUNCTION("""COMPUTED_VALUE"""),"FMY-MA-PE-1E")</f>
        <v>FMY-MA-PE-1E</v>
      </c>
      <c r="B862" s="192" t="s">
        <v>8337</v>
      </c>
      <c r="C862" s="21"/>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c r="A863" s="192" t="str">
        <f>IFERROR(__xludf.DUMMYFUNCTION("""COMPUTED_VALUE"""),"FMY-MA-PE-1F")</f>
        <v>FMY-MA-PE-1F</v>
      </c>
      <c r="B863" s="192" t="s">
        <v>8338</v>
      </c>
      <c r="C863" s="21"/>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c r="A864" s="192" t="str">
        <f>IFERROR(__xludf.DUMMYFUNCTION("""COMPUTED_VALUE"""),"FMY-MA-PE-1G")</f>
        <v>FMY-MA-PE-1G</v>
      </c>
      <c r="B864" s="192" t="s">
        <v>8339</v>
      </c>
      <c r="C864" s="21"/>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c r="A865" s="192" t="str">
        <f>IFERROR(__xludf.DUMMYFUNCTION("""COMPUTED_VALUE"""),"FMY-AG-SPA-1B")</f>
        <v>FMY-AG-SPA-1B</v>
      </c>
      <c r="B865" s="192" t="s">
        <v>8340</v>
      </c>
      <c r="C865" s="21"/>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c r="A866" s="192" t="str">
        <f>IFERROR(__xludf.DUMMYFUNCTION("""COMPUTED_VALUE"""),"FMY-AG-SPA-1C")</f>
        <v>FMY-AG-SPA-1C</v>
      </c>
      <c r="B866" s="192"/>
      <c r="C866" s="21"/>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c r="A867" s="192" t="str">
        <f>IFERROR(__xludf.DUMMYFUNCTION("""COMPUTED_VALUE"""),"FMY-AG-SPA-1D")</f>
        <v>FMY-AG-SPA-1D</v>
      </c>
      <c r="B867" s="192"/>
      <c r="C867" s="21"/>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c r="A868" s="192" t="str">
        <f>IFERROR(__xludf.DUMMYFUNCTION("""COMPUTED_VALUE"""),"FMY-AG-SPA-1E")</f>
        <v>FMY-AG-SPA-1E</v>
      </c>
      <c r="B868" s="192"/>
      <c r="C868" s="21"/>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c r="A869" s="192" t="str">
        <f>IFERROR(__xludf.DUMMYFUNCTION("""COMPUTED_VALUE"""),"FMY-AG-SPA-1F")</f>
        <v>FMY-AG-SPA-1F</v>
      </c>
      <c r="B869" s="192"/>
      <c r="C869" s="21"/>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c r="A870" s="192" t="str">
        <f>IFERROR(__xludf.DUMMYFUNCTION("""COMPUTED_VALUE"""),"FMY-MA-DE-1B")</f>
        <v>FMY-MA-DE-1B</v>
      </c>
      <c r="B870" s="192"/>
      <c r="C870" s="21"/>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c r="A871" s="192" t="str">
        <f>IFERROR(__xludf.DUMMYFUNCTION("""COMPUTED_VALUE"""),"FMY-MA-DE-1C")</f>
        <v>FMY-MA-DE-1C</v>
      </c>
      <c r="B871" s="192"/>
      <c r="C871" s="21"/>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c r="A872" s="192" t="str">
        <f>IFERROR(__xludf.DUMMYFUNCTION("""COMPUTED_VALUE"""),"FMY-MA-DE-1D")</f>
        <v>FMY-MA-DE-1D</v>
      </c>
      <c r="B872" s="192"/>
      <c r="C872" s="21"/>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c r="A873" s="192" t="str">
        <f>IFERROR(__xludf.DUMMYFUNCTION("""COMPUTED_VALUE"""),"FMY-MA-DE-1E")</f>
        <v>FMY-MA-DE-1E</v>
      </c>
      <c r="B873" s="192"/>
      <c r="C873" s="21"/>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c r="A874" s="192" t="str">
        <f>IFERROR(__xludf.DUMMYFUNCTION("""COMPUTED_VALUE"""),"HS-PH-HL-1F")</f>
        <v>HS-PH-HL-1F</v>
      </c>
      <c r="B874" s="192"/>
      <c r="C874" s="21"/>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c r="A875" s="192" t="str">
        <f>IFERROR(__xludf.DUMMYFUNCTION("""COMPUTED_VALUE"""),"HS-PH-BRL-1D")</f>
        <v>HS-PH-BRL-1D</v>
      </c>
      <c r="B875" s="192"/>
      <c r="C875" s="21"/>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c r="A876" s="192" t="str">
        <f>IFERROR(__xludf.DUMMYFUNCTION("""COMPUTED_VALUE"""),"BTPG-HO-KP-1B")</f>
        <v>BTPG-HO-KP-1B</v>
      </c>
      <c r="B876" s="192"/>
      <c r="C876" s="21"/>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c r="A877" s="192" t="str">
        <f>IFERROR(__xludf.DUMMYFUNCTION("""COMPUTED_VALUE"""),"BTPG-HO-KP-1C")</f>
        <v>BTPG-HO-KP-1C</v>
      </c>
      <c r="B877" s="192"/>
      <c r="C877" s="21"/>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c r="A878" s="192" t="str">
        <f>IFERROR(__xludf.DUMMYFUNCTION("""COMPUTED_VALUE"""),"BTPG-HO-KP-1D")</f>
        <v>BTPG-HO-KP-1D</v>
      </c>
      <c r="B878" s="192"/>
      <c r="C878" s="21"/>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c r="A879" s="192" t="str">
        <f>IFERROR(__xludf.DUMMYFUNCTION("""COMPUTED_VALUE"""),"BTPG-HO-KP-1E")</f>
        <v>BTPG-HO-KP-1E</v>
      </c>
      <c r="B879" s="192"/>
      <c r="C879" s="21"/>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c r="A880" s="192" t="str">
        <f>IFERROR(__xludf.DUMMYFUNCTION("""COMPUTED_VALUE"""),"BTPG-HO-KP-1F")</f>
        <v>BTPG-HO-KP-1F</v>
      </c>
      <c r="B880" s="192"/>
      <c r="C880" s="21"/>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c r="A881" s="192" t="str">
        <f>IFERROR(__xludf.DUMMYFUNCTION("""COMPUTED_VALUE"""),"HS-BE-AW-1I")</f>
        <v>HS-BE-AW-1I</v>
      </c>
      <c r="B881" s="192"/>
      <c r="C881" s="21"/>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c r="A882" s="192" t="str">
        <f>IFERROR(__xludf.DUMMYFUNCTION("""COMPUTED_VALUE"""),"HS-BE-AW-1K")</f>
        <v>HS-BE-AW-1K</v>
      </c>
      <c r="B882" s="192"/>
      <c r="C882" s="21"/>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c r="A883" s="192" t="str">
        <f>IFERROR(__xludf.DUMMYFUNCTION("""COMPUTED_VALUE"""),"BWH-PO-PAJ-1B")</f>
        <v>BWH-PO-PAJ-1B</v>
      </c>
      <c r="B883" s="192"/>
      <c r="C883" s="21"/>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c r="A884" s="192" t="str">
        <f>IFERROR(__xludf.DUMMYFUNCTION("""COMPUTED_VALUE"""),"HS-PO-GO-1K")</f>
        <v>HS-PO-GO-1K</v>
      </c>
      <c r="B884" s="192"/>
      <c r="C884" s="21"/>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c r="A885" s="192" t="str">
        <f>IFERROR(__xludf.DUMMYFUNCTION("""COMPUTED_VALUE"""),"HS-PO-GO-1D")</f>
        <v>HS-PO-GO-1D</v>
      </c>
      <c r="B885" s="192"/>
      <c r="C885" s="21"/>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c r="A886" s="192" t="str">
        <f>IFERROR(__xludf.DUMMYFUNCTION("""COMPUTED_VALUE"""),"AGP-AL-NI-1A-3B")</f>
        <v>AGP-AL-NI-1A-3B</v>
      </c>
      <c r="B886" s="192"/>
      <c r="C886" s="21"/>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c r="A887" s="192" t="str">
        <f>IFERROR(__xludf.DUMMYFUNCTION("""COMPUTED_VALUE"""),"AGP-AL-NI-1A-3C")</f>
        <v>AGP-AL-NI-1A-3C</v>
      </c>
      <c r="B887" s="192"/>
      <c r="C887" s="21"/>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c r="A888" s="192" t="str">
        <f>IFERROR(__xludf.DUMMYFUNCTION("""COMPUTED_VALUE"""),"AGP-PH-BC-1B")</f>
        <v>AGP-PH-BC-1B</v>
      </c>
      <c r="B888" s="192"/>
      <c r="C888" s="21"/>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c r="A889" s="192" t="str">
        <f>IFERROR(__xludf.DUMMYFUNCTION("""COMPUTED_VALUE"""),"AGP-PH-BC-1C")</f>
        <v>AGP-PH-BC-1C</v>
      </c>
      <c r="B889" s="192"/>
      <c r="C889" s="21"/>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c r="A890" s="192" t="str">
        <f>IFERROR(__xludf.DUMMYFUNCTION("""COMPUTED_VALUE"""),"AGP-PH-BC-1A-2A")</f>
        <v>AGP-PH-BC-1A-2A</v>
      </c>
      <c r="B890" s="192"/>
      <c r="C890" s="21"/>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c r="A891" s="192" t="str">
        <f>IFERROR(__xludf.DUMMYFUNCTION("""COMPUTED_VALUE"""),"AGP-PH-BC-1A-2B")</f>
        <v>AGP-PH-BC-1A-2B</v>
      </c>
      <c r="B891" s="192"/>
      <c r="C891" s="21"/>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c r="A892" s="192" t="str">
        <f>IFERROR(__xludf.DUMMYFUNCTION("""COMPUTED_VALUE"""),"AGP-PH-BC-1A-3A")</f>
        <v>AGP-PH-BC-1A-3A</v>
      </c>
      <c r="B892" s="192"/>
      <c r="C892" s="21"/>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c r="A893" s="192" t="str">
        <f>IFERROR(__xludf.DUMMYFUNCTION("""COMPUTED_VALUE"""),"AGP-PH-BC-1A-3B")</f>
        <v>AGP-PH-BC-1A-3B</v>
      </c>
      <c r="B893" s="192"/>
      <c r="C893" s="21"/>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c r="A894" s="192" t="str">
        <f>IFERROR(__xludf.DUMMYFUNCTION("""COMPUTED_VALUE"""),"AGP-PH-BC-1A-4B")</f>
        <v>AGP-PH-BC-1A-4B</v>
      </c>
      <c r="B894" s="192"/>
      <c r="C894" s="21"/>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c r="A895" s="192" t="str">
        <f>IFERROR(__xludf.DUMMYFUNCTION("""COMPUTED_VALUE"""),"BPF-PO-NE-1A-2A")</f>
        <v>BPF-PO-NE-1A-2A</v>
      </c>
      <c r="B895" s="192"/>
      <c r="C895" s="21"/>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c r="A896" s="192" t="str">
        <f>IFERROR(__xludf.DUMMYFUNCTION("""COMPUTED_VALUE"""),"BPF-PO-NE-1A-2B")</f>
        <v>BPF-PO-NE-1A-2B</v>
      </c>
      <c r="B896" s="192"/>
      <c r="C896" s="21"/>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c r="A897" s="192" t="str">
        <f>IFERROR(__xludf.DUMMYFUNCTION("""COMPUTED_VALUE"""),"BPF-PO-NE-1A-2C")</f>
        <v>BPF-PO-NE-1A-2C</v>
      </c>
      <c r="B897" s="192"/>
      <c r="C897" s="21"/>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c r="A898" s="192" t="str">
        <f>IFERROR(__xludf.DUMMYFUNCTION("""COMPUTED_VALUE"""),"BWH-PH-VRCRH-1B")</f>
        <v>BWH-PH-VRCRH-1B</v>
      </c>
      <c r="B898" s="192"/>
      <c r="C898" s="21"/>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c r="A899" s="192" t="str">
        <f>IFERROR(__xludf.DUMMYFUNCTION("""COMPUTED_VALUE"""),"BWH-PH-VRCRH-1C")</f>
        <v>BWH-PH-VRCRH-1C</v>
      </c>
      <c r="B899" s="192"/>
      <c r="C899" s="21"/>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c r="A900" s="192" t="str">
        <f>IFERROR(__xludf.DUMMYFUNCTION("""COMPUTED_VALUE"""),"BWH-PH-VRCRH-1D")</f>
        <v>BWH-PH-VRCRH-1D</v>
      </c>
      <c r="B900" s="192"/>
      <c r="C900" s="21"/>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c r="A901" s="192" t="str">
        <f>IFERROR(__xludf.DUMMYFUNCTION("""COMPUTED_VALUE"""),"BWH-PH-VRCRH-1E")</f>
        <v>BWH-PH-VRCRH-1E</v>
      </c>
      <c r="B901" s="192"/>
      <c r="C901" s="21"/>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c r="A902" s="192" t="str">
        <f>IFERROR(__xludf.DUMMYFUNCTION("""COMPUTED_VALUE"""),"BWH-PH-VRCRH-1F")</f>
        <v>BWH-PH-VRCRH-1F</v>
      </c>
      <c r="B902" s="192"/>
      <c r="C902" s="21"/>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c r="A903" s="192" t="str">
        <f>IFERROR(__xludf.DUMMYFUNCTION("""COMPUTED_VALUE"""),"FM-PH-BMV-1A-2B")</f>
        <v>FM-PH-BMV-1A-2B</v>
      </c>
      <c r="B903" s="192"/>
      <c r="C903" s="21"/>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c r="A904" s="192" t="str">
        <f>IFERROR(__xludf.DUMMYFUNCTION("""COMPUTED_VALUE"""),"FM-PH-BMV-1A-2A")</f>
        <v>FM-PH-BMV-1A-2A</v>
      </c>
      <c r="B904" s="192"/>
      <c r="C904" s="21"/>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c r="A905" s="192" t="str">
        <f>IFERROR(__xludf.DUMMYFUNCTION("""COMPUTED_VALUE"""),"AM-PH-BI-1B")</f>
        <v>AM-PH-BI-1B</v>
      </c>
      <c r="B905" s="192"/>
      <c r="C905" s="21"/>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c r="A906" s="192" t="str">
        <f>IFERROR(__xludf.DUMMYFUNCTION("""COMPUTED_VALUE"""),"AM-PH-BI-1C")</f>
        <v>AM-PH-BI-1C</v>
      </c>
      <c r="B906" s="192"/>
      <c r="C906" s="21"/>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c r="A907" s="192" t="str">
        <f>IFERROR(__xludf.DUMMYFUNCTION("""COMPUTED_VALUE"""),"HS-BE-AW-1M")</f>
        <v>HS-BE-AW-1M</v>
      </c>
      <c r="B907" s="192"/>
      <c r="C907" s="21"/>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c r="A908" s="192" t="str">
        <f>IFERROR(__xludf.DUMMYFUNCTION("""COMPUTED_VALUE"""),"HS-BE-AW-1N")</f>
        <v>HS-BE-AW-1N</v>
      </c>
      <c r="B908" s="192"/>
      <c r="C908" s="21"/>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c r="A909" s="192" t="str">
        <f>IFERROR(__xludf.DUMMYFUNCTION("""COMPUTED_VALUE"""),"HS-BE-AW-1O")</f>
        <v>HS-BE-AW-1O</v>
      </c>
      <c r="B909" s="192"/>
      <c r="C909" s="21"/>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c r="A910" s="192" t="str">
        <f>IFERROR(__xludf.DUMMYFUNCTION("""COMPUTED_VALUE"""),"HS-BE-AW-1P")</f>
        <v>HS-BE-AW-1P</v>
      </c>
      <c r="B910" s="192"/>
      <c r="C910" s="21"/>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c r="A911" s="192" t="str">
        <f>IFERROR(__xludf.DUMMYFUNCTION("""COMPUTED_VALUE"""),"HS-BE-AW-1Q")</f>
        <v>HS-BE-AW-1Q</v>
      </c>
      <c r="B911" s="192"/>
      <c r="C911" s="21"/>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c r="A912" s="192" t="str">
        <f>IFERROR(__xludf.DUMMYFUNCTION("""COMPUTED_VALUE"""),"HS-BE-AW-1R")</f>
        <v>HS-BE-AW-1R</v>
      </c>
      <c r="B912" s="192"/>
      <c r="C912" s="21"/>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c r="A913" s="192" t="str">
        <f>IFERROR(__xludf.DUMMYFUNCTION("""COMPUTED_VALUE"""),"FM-PH-PP-1B")</f>
        <v>FM-PH-PP-1B</v>
      </c>
      <c r="B913" s="192"/>
      <c r="C913" s="21"/>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c r="A914" s="192" t="str">
        <f>IFERROR(__xludf.DUMMYFUNCTION("""COMPUTED_VALUE"""),"FM-PH-PP-1C")</f>
        <v>FM-PH-PP-1C</v>
      </c>
      <c r="B914" s="192"/>
      <c r="C914" s="21"/>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c r="A915" s="192" t="str">
        <f>IFERROR(__xludf.DUMMYFUNCTION("""COMPUTED_VALUE"""),"FM-PH-PP-1D")</f>
        <v>FM-PH-PP-1D</v>
      </c>
      <c r="B915" s="192"/>
      <c r="C915" s="21"/>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c r="A916" s="192" t="str">
        <f>IFERROR(__xludf.DUMMYFUNCTION("""COMPUTED_VALUE"""),"HS-BE-AW-1G")</f>
        <v>HS-BE-AW-1G</v>
      </c>
      <c r="B916" s="192"/>
      <c r="C916" s="21"/>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c r="A917" s="192" t="str">
        <f>IFERROR(__xludf.DUMMYFUNCTION("""COMPUTED_VALUE"""),"HS-BE-AW-1D")</f>
        <v>HS-BE-AW-1D</v>
      </c>
      <c r="B917" s="192"/>
      <c r="C917" s="21"/>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c r="A918" s="192" t="str">
        <f>IFERROR(__xludf.DUMMYFUNCTION("""COMPUTED_VALUE"""),"HS-PO-GO-1B")</f>
        <v>HS-PO-GO-1B</v>
      </c>
      <c r="B918" s="192"/>
      <c r="C918" s="21"/>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c r="A919" s="192" t="str">
        <f>IFERROR(__xludf.DUMMYFUNCTION("""COMPUTED_VALUE"""),"HS-PO-GO-1J")</f>
        <v>HS-PO-GO-1J</v>
      </c>
      <c r="B919" s="192"/>
      <c r="C919" s="21"/>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c r="A920" s="192" t="str">
        <f>IFERROR(__xludf.DUMMYFUNCTION("""COMPUTED_VALUE"""),"BWH-PO-PAJ-1A-3A")</f>
        <v>BWH-PO-PAJ-1A-3A</v>
      </c>
      <c r="B920" s="192"/>
      <c r="C920" s="21"/>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c r="A921" s="192" t="str">
        <f>IFERROR(__xludf.DUMMYFUNCTION("""COMPUTED_VALUE"""),"HS-PO-GO-1C")</f>
        <v>HS-PO-GO-1C</v>
      </c>
      <c r="B921" s="192"/>
      <c r="C921" s="21"/>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c r="A922" s="192" t="str">
        <f>IFERROR(__xludf.DUMMYFUNCTION("""COMPUTED_VALUE"""),"HD-AL-BDS-1B")</f>
        <v>HD-AL-BDS-1B</v>
      </c>
      <c r="B922" s="192"/>
      <c r="C922" s="21"/>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c r="A923" s="192" t="str">
        <f>IFERROR(__xludf.DUMMYFUNCTION("""COMPUTED_VALUE"""),"HD-AL-BDS-1C")</f>
        <v>HD-AL-BDS-1C</v>
      </c>
      <c r="B923" s="192"/>
      <c r="C923" s="21"/>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c r="A924" s="192" t="str">
        <f>IFERROR(__xludf.DUMMYFUNCTION("""COMPUTED_VALUE"""),"FM-SYN-MB-1A")</f>
        <v>FM-SYN-MB-1A</v>
      </c>
      <c r="B924" s="192"/>
      <c r="C924" s="21"/>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c r="A925" s="192" t="str">
        <f>IFERROR(__xludf.DUMMYFUNCTION("""COMPUTED_VALUE"""),"BPF-SE-SOP-2B")</f>
        <v>BPF-SE-SOP-2B</v>
      </c>
      <c r="B925" s="192"/>
      <c r="C925" s="21"/>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c r="A926" s="192" t="str">
        <f>IFERROR(__xludf.DUMMYFUNCTION("""COMPUTED_VALUE"""),"TLC-PH-CS-1B")</f>
        <v>TLC-PH-CS-1B</v>
      </c>
      <c r="B926" s="192"/>
      <c r="C926" s="21"/>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c r="A927" s="192" t="str">
        <f>IFERROR(__xludf.DUMMYFUNCTION("""COMPUTED_VALUE"""),"HS-PH-HL-1G")</f>
        <v>HS-PH-HL-1G</v>
      </c>
      <c r="B927" s="192"/>
      <c r="C927" s="21"/>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c r="A928" s="192" t="str">
        <f>IFERROR(__xludf.DUMMYFUNCTION("""COMPUTED_VALUE"""),"HS-PO-GO-1G")</f>
        <v>HS-PO-GO-1G</v>
      </c>
      <c r="B928" s="192"/>
      <c r="C928" s="21"/>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c r="A929" s="192" t="str">
        <f>IFERROR(__xludf.DUMMYFUNCTION("""COMPUTED_VALUE"""),"WM-PH-WK-1C")</f>
        <v>WM-PH-WK-1C</v>
      </c>
      <c r="B929" s="192"/>
      <c r="C929" s="21"/>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c r="A930" s="192" t="str">
        <f>IFERROR(__xludf.DUMMYFUNCTION("""COMPUTED_VALUE"""),"HS-BE-AW-1S")</f>
        <v>HS-BE-AW-1S</v>
      </c>
      <c r="B930" s="192"/>
      <c r="C930" s="21"/>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c r="A931" s="192" t="str">
        <f>IFERROR(__xludf.DUMMYFUNCTION("""COMPUTED_VALUE"""),"HS-PO-GO-1L")</f>
        <v>HS-PO-GO-1L</v>
      </c>
      <c r="B931" s="192"/>
      <c r="C931" s="21"/>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c r="A932" s="192" t="str">
        <f>IFERROR(__xludf.DUMMYFUNCTION("""COMPUTED_VALUE"""),"BWH-PO-PAJ-2A-4B")</f>
        <v>BWH-PO-PAJ-2A-4B</v>
      </c>
      <c r="B932" s="192"/>
      <c r="C932" s="21"/>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c r="A933" s="192" t="str">
        <f>IFERROR(__xludf.DUMMYFUNCTION("""COMPUTED_VALUE"""),"BPF-SE-SOP-2C")</f>
        <v>BPF-SE-SOP-2C</v>
      </c>
      <c r="B933" s="192"/>
      <c r="C933" s="21"/>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c r="A934" s="192" t="str">
        <f>IFERROR(__xludf.DUMMYFUNCTION("""COMPUTED_VALUE"""),"HS-BE-AW-1U")</f>
        <v>HS-BE-AW-1U</v>
      </c>
      <c r="B934" s="192"/>
      <c r="C934" s="21"/>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c r="A935" s="192" t="str">
        <f>IFERROR(__xludf.DUMMYFUNCTION("""COMPUTED_VALUE"""),"HS-BE-AW-1T")</f>
        <v>HS-BE-AW-1T</v>
      </c>
      <c r="B935" s="192"/>
      <c r="C935" s="21"/>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c r="A936" s="192" t="str">
        <f>IFERROR(__xludf.DUMMYFUNCTION("""COMPUTED_VALUE"""),"HS-BE-AW-1L")</f>
        <v>HS-BE-AW-1L</v>
      </c>
      <c r="B936" s="192"/>
      <c r="C936" s="21"/>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c r="A937" s="192" t="str">
        <f>IFERROR(__xludf.DUMMYFUNCTION("""COMPUTED_VALUE"""),"HS-PH-HL-1H")</f>
        <v>HS-PH-HL-1H</v>
      </c>
      <c r="B937" s="192"/>
      <c r="C937" s="21"/>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c r="A938" s="192" t="str">
        <f>IFERROR(__xludf.DUMMYFUNCTION("""COMPUTED_VALUE"""),"HS-PH-BRL-1E")</f>
        <v>HS-PH-BRL-1E</v>
      </c>
      <c r="B938" s="192"/>
      <c r="C938" s="21"/>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c r="A939" s="192" t="str">
        <f>IFERROR(__xludf.DUMMYFUNCTION("""COMPUTED_VALUE"""),"HS-PO-GO-1M")</f>
        <v>HS-PO-GO-1M</v>
      </c>
      <c r="B939" s="192"/>
      <c r="C939" s="21"/>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c r="A940" s="192" t="str">
        <f>IFERROR(__xludf.DUMMYFUNCTION("""COMPUTED_VALUE"""),"AGP-SYN-EC-1B")</f>
        <v>AGP-SYN-EC-1B</v>
      </c>
      <c r="B940" s="192"/>
      <c r="C940" s="21"/>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c r="A941" s="192" t="str">
        <f>IFERROR(__xludf.DUMMYFUNCTION("""COMPUTED_VALUE"""),"AGP-SYN-EC-1C")</f>
        <v>AGP-SYN-EC-1C</v>
      </c>
      <c r="B941" s="192"/>
      <c r="C941" s="21"/>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c r="A942" s="192" t="str">
        <f>IFERROR(__xludf.DUMMYFUNCTION("""COMPUTED_VALUE"""),"AGP-SYN-EC-1D")</f>
        <v>AGP-SYN-EC-1D</v>
      </c>
      <c r="B942" s="192"/>
      <c r="C942" s="21"/>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c r="A943" s="192" t="str">
        <f>IFERROR(__xludf.DUMMYFUNCTION("""COMPUTED_VALUE"""),"FM-PH-WK-1B")</f>
        <v>FM-PH-WK-1B</v>
      </c>
      <c r="B943" s="192"/>
      <c r="C943" s="21"/>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c r="A944" s="192" t="str">
        <f>IFERROR(__xludf.DUMMYFUNCTION("""COMPUTED_VALUE"""),"HS-DR-SP-1B")</f>
        <v>HS-DR-SP-1B</v>
      </c>
      <c r="B944" s="192"/>
      <c r="C944" s="21"/>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c r="A945" s="192" t="str">
        <f>IFERROR(__xludf.DUMMYFUNCTION("""COMPUTED_VALUE"""),"HS-DR-SP-1C")</f>
        <v>HS-DR-SP-1C</v>
      </c>
      <c r="B945" s="192"/>
      <c r="C945" s="21"/>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c r="A946" s="192" t="str">
        <f>IFERROR(__xludf.DUMMYFUNCTION("""COMPUTED_VALUE"""),"JJP-PH-PP-1B")</f>
        <v>JJP-PH-PP-1B</v>
      </c>
      <c r="B946" s="192"/>
      <c r="C946" s="21"/>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c r="A947" s="192" t="str">
        <f>IFERROR(__xludf.DUMMYFUNCTION("""COMPUTED_VALUE"""),"BPF-CE-VSH-1B")</f>
        <v>BPF-CE-VSH-1B</v>
      </c>
      <c r="B947" s="192"/>
      <c r="C947" s="21"/>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c r="A948" s="192" t="str">
        <f>IFERROR(__xludf.DUMMYFUNCTION("""COMPUTED_VALUE"""),"TLC-BE-BR-1B")</f>
        <v>TLC-BE-BR-1B</v>
      </c>
      <c r="B948" s="192"/>
      <c r="C948" s="21"/>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c r="A949" s="192" t="str">
        <f>IFERROR(__xludf.DUMMYFUNCTION("""COMPUTED_VALUE"""),"IST-PH-GL-1B")</f>
        <v>IST-PH-GL-1B</v>
      </c>
      <c r="B949" s="192"/>
      <c r="C949" s="21"/>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c r="A950" s="192" t="str">
        <f>IFERROR(__xludf.DUMMYFUNCTION("""COMPUTED_VALUE"""),"IST-PH-GL-1C")</f>
        <v>IST-PH-GL-1C</v>
      </c>
      <c r="B950" s="192"/>
      <c r="C950" s="21"/>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c r="A951" s="192" t="str">
        <f>IFERROR(__xludf.DUMMYFUNCTION("""COMPUTED_VALUE"""),"TLC-SYN-AU-1B")</f>
        <v>TLC-SYN-AU-1B</v>
      </c>
      <c r="B951" s="192"/>
      <c r="C951" s="21"/>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c r="A952" s="192" t="str">
        <f>IFERROR(__xludf.DUMMYFUNCTION("""COMPUTED_VALUE"""),"TLC-PH-BXP-1B")</f>
        <v>TLC-PH-BXP-1B</v>
      </c>
      <c r="B952" s="192"/>
      <c r="C952" s="21"/>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c r="A953" s="192" t="str">
        <f>IFERROR(__xludf.DUMMYFUNCTION("""COMPUTED_VALUE"""),"DSE-COL-MOJ-1A-9B")</f>
        <v>DSE-COL-MOJ-1A-9B</v>
      </c>
      <c r="B953" s="192"/>
      <c r="C953" s="21"/>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c r="A954" s="192" t="str">
        <f>IFERROR(__xludf.DUMMYFUNCTION("""COMPUTED_VALUE"""),"TLC-BE-MAC-1B")</f>
        <v>TLC-BE-MAC-1B</v>
      </c>
      <c r="B954" s="192"/>
      <c r="C954" s="21"/>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c r="A955" s="192" t="str">
        <f>IFERROR(__xludf.DUMMYFUNCTION("""COMPUTED_VALUE"""),"HS-PO-GO-1O")</f>
        <v>HS-PO-GO-1O</v>
      </c>
      <c r="B955" s="192"/>
      <c r="C955" s="21"/>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c r="A956" s="192" t="str">
        <f>IFERROR(__xludf.DUMMYFUNCTION("""COMPUTED_VALUE"""),"HS-PO-GO-1N")</f>
        <v>HS-PO-GO-1N</v>
      </c>
      <c r="B956" s="192"/>
      <c r="C956" s="21"/>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c r="A957" s="192" t="str">
        <f>IFERROR(__xludf.DUMMYFUNCTION("""COMPUTED_VALUE"""),"HS-CT-BM-1B")</f>
        <v>HS-CT-BM-1B</v>
      </c>
      <c r="B957" s="192"/>
      <c r="C957" s="21"/>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c r="A958" s="192" t="str">
        <f>IFERROR(__xludf.DUMMYFUNCTION("""COMPUTED_VALUE"""),"TG-CHL-SPI-1B")</f>
        <v>TG-CHL-SPI-1B</v>
      </c>
      <c r="B958" s="192"/>
      <c r="C958" s="21"/>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c r="A959" s="192" t="str">
        <f>IFERROR(__xludf.DUMMYFUNCTION("""COMPUTED_VALUE"""),"AGP-AL-NI-1A-2B")</f>
        <v>AGP-AL-NI-1A-2B</v>
      </c>
      <c r="B959" s="192"/>
      <c r="C959" s="21"/>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c r="A960" s="192" t="str">
        <f>IFERROR(__xludf.DUMMYFUNCTION("""COMPUTED_VALUE"""),"AGP-AL-NI-1A-2C")</f>
        <v>AGP-AL-NI-1A-2C</v>
      </c>
      <c r="B960" s="192"/>
      <c r="C960" s="21"/>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c r="A961" s="192" t="str">
        <f>IFERROR(__xludf.DUMMYFUNCTION("""COMPUTED_VALUE"""),"TLC-PH-GCN-1B")</f>
        <v>TLC-PH-GCN-1B</v>
      </c>
      <c r="B961" s="192"/>
      <c r="C961" s="21"/>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c r="A962" s="192" t="str">
        <f>IFERROR(__xludf.DUMMYFUNCTION("""COMPUTED_VALUE"""),"TLC-PH-GCN-1C")</f>
        <v>TLC-PH-GCN-1C</v>
      </c>
      <c r="B962" s="192"/>
      <c r="C962" s="21"/>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c r="A963" s="192" t="str">
        <f>IFERROR(__xludf.DUMMYFUNCTION("""COMPUTED_VALUE"""),"TLC-PH-GCN-1D")</f>
        <v>TLC-PH-GCN-1D</v>
      </c>
      <c r="B963" s="192"/>
      <c r="C963" s="21"/>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c r="A964" s="192" t="str">
        <f>IFERROR(__xludf.DUMMYFUNCTION("""COMPUTED_VALUE"""),"TLC-PH-GCN-1E")</f>
        <v>TLC-PH-GCN-1E</v>
      </c>
      <c r="B964" s="192"/>
      <c r="C964" s="21"/>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c r="A965" s="192" t="str">
        <f>IFERROR(__xludf.DUMMYFUNCTION("""COMPUTED_VALUE"""),"AGP-PH-ROF-1B")</f>
        <v>AGP-PH-ROF-1B</v>
      </c>
      <c r="B965" s="192"/>
      <c r="C965" s="21"/>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c r="A966" s="192" t="str">
        <f>IFERROR(__xludf.DUMMYFUNCTION("""COMPUTED_VALUE"""),"AGP-PH-ROF-1C")</f>
        <v>AGP-PH-ROF-1C</v>
      </c>
      <c r="B966" s="192"/>
      <c r="C966" s="21"/>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c r="A967" s="192" t="str">
        <f>IFERROR(__xludf.DUMMYFUNCTION("""COMPUTED_VALUE"""),"AGP-PH-ROF-1D")</f>
        <v>AGP-PH-ROF-1D</v>
      </c>
      <c r="B967" s="192"/>
      <c r="C967" s="21"/>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c r="A968" s="192" t="str">
        <f>IFERROR(__xludf.DUMMYFUNCTION("""COMPUTED_VALUE"""),"AGP-PH-ROF-1E")</f>
        <v>AGP-PH-ROF-1E</v>
      </c>
      <c r="B968" s="192"/>
      <c r="C968" s="21"/>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c r="A969" s="192" t="str">
        <f>IFERROR(__xludf.DUMMYFUNCTION("""COMPUTED_VALUE"""),"BWH-PH-RAPK-2A-2B")</f>
        <v>BWH-PH-RAPK-2A-2B</v>
      </c>
      <c r="B969" s="192"/>
      <c r="C969" s="21"/>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c r="A970" s="192" t="str">
        <f>IFERROR(__xludf.DUMMYFUNCTION("""COMPUTED_VALUE"""),"IST-PH-WP-1B")</f>
        <v>IST-PH-WP-1B</v>
      </c>
      <c r="B970" s="192"/>
      <c r="C970" s="21"/>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c r="A971" s="192" t="str">
        <f>IFERROR(__xludf.DUMMYFUNCTION("""COMPUTED_VALUE"""),"BWH-SYN-WE-1A-4B")</f>
        <v>BWH-SYN-WE-1A-4B</v>
      </c>
      <c r="B971" s="192"/>
      <c r="C971" s="21"/>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c r="A972" s="192" t="str">
        <f>IFERROR(__xludf.DUMMYFUNCTION("""COMPUTED_VALUE"""),"BWH-SYN-WE-1A-4C")</f>
        <v>BWH-SYN-WE-1A-4C</v>
      </c>
      <c r="B972" s="192"/>
      <c r="C972" s="21"/>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c r="A973" s="192" t="str">
        <f>IFERROR(__xludf.DUMMYFUNCTION("""COMPUTED_VALUE"""),"BWH-AL-QD-1B")</f>
        <v>BWH-AL-QD-1B</v>
      </c>
      <c r="B973" s="192"/>
      <c r="C973" s="21"/>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c r="A974" s="192" t="str">
        <f>IFERROR(__xludf.DUMMYFUNCTION("""COMPUTED_VALUE"""),"BWH-AL-QD-1C")</f>
        <v>BWH-AL-QD-1C</v>
      </c>
      <c r="B974" s="192"/>
      <c r="C974" s="21"/>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c r="A975" s="192" t="str">
        <f>IFERROR(__xludf.DUMMYFUNCTION("""COMPUTED_VALUE"""),"BWH-AL-QD-1D")</f>
        <v>BWH-AL-QD-1D</v>
      </c>
      <c r="B975" s="192"/>
      <c r="C975" s="21"/>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c r="A976" s="192" t="str">
        <f>IFERROR(__xludf.DUMMYFUNCTION("""COMPUTED_VALUE"""),"BWH-AL-QD-1A-3B")</f>
        <v>BWH-AL-QD-1A-3B</v>
      </c>
      <c r="B976" s="192"/>
      <c r="C976" s="21"/>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c r="A977" s="192" t="str">
        <f>IFERROR(__xludf.DUMMYFUNCTION("""COMPUTED_VALUE"""),"BWH-AL-QD-1A-3C")</f>
        <v>BWH-AL-QD-1A-3C</v>
      </c>
      <c r="B977" s="192"/>
      <c r="C977" s="21"/>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c r="A978" s="192" t="str">
        <f>IFERROR(__xludf.DUMMYFUNCTION("""COMPUTED_VALUE"""),"BWH-AL-QD-1A-5B")</f>
        <v>BWH-AL-QD-1A-5B</v>
      </c>
      <c r="B978" s="192"/>
      <c r="C978" s="21"/>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c r="A979" s="192" t="str">
        <f>IFERROR(__xludf.DUMMYFUNCTION("""COMPUTED_VALUE"""),"BWH-AL-QD-1A-5C")</f>
        <v>BWH-AL-QD-1A-5C</v>
      </c>
      <c r="B979" s="192"/>
      <c r="C979" s="21"/>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c r="A980" s="192" t="str">
        <f>IFERROR(__xludf.DUMMYFUNCTION("""COMPUTED_VALUE"""),"BWH-AL-QD-1A-5D")</f>
        <v>BWH-AL-QD-1A-5D</v>
      </c>
      <c r="B980" s="192"/>
      <c r="C980" s="21"/>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c r="A981" s="192" t="str">
        <f>IFERROR(__xludf.DUMMYFUNCTION("""COMPUTED_VALUE"""),"BWH-AL-QD-1A-5E")</f>
        <v>BWH-AL-QD-1A-5E</v>
      </c>
      <c r="B981" s="192"/>
      <c r="C981" s="21"/>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c r="A982" s="192" t="str">
        <f>IFERROR(__xludf.DUMMYFUNCTION("""COMPUTED_VALUE"""),"BWH-AL-QD-1A-5F")</f>
        <v>BWH-AL-QD-1A-5F</v>
      </c>
      <c r="B982" s="192"/>
      <c r="C982" s="21"/>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c r="A983" s="192" t="str">
        <f>IFERROR(__xludf.DUMMYFUNCTION("""COMPUTED_VALUE"""),"BWH-AL-QD-1A-4B")</f>
        <v>BWH-AL-QD-1A-4B</v>
      </c>
      <c r="B983" s="192"/>
      <c r="C983" s="21"/>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c r="A984" s="192" t="str">
        <f>IFERROR(__xludf.DUMMYFUNCTION("""COMPUTED_VALUE"""),"BWH-AL-QD-1A-4C")</f>
        <v>BWH-AL-QD-1A-4C</v>
      </c>
      <c r="B984" s="192"/>
      <c r="C984" s="21"/>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c r="A985" s="192" t="str">
        <f>IFERROR(__xludf.DUMMYFUNCTION("""COMPUTED_VALUE"""),"BWH-AL-QD-1A-4D")</f>
        <v>BWH-AL-QD-1A-4D</v>
      </c>
      <c r="B985" s="192"/>
      <c r="C985" s="21"/>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c r="A986" s="192" t="str">
        <f>IFERROR(__xludf.DUMMYFUNCTION("""COMPUTED_VALUE"""),"BWH-AL-QD-1A-4E")</f>
        <v>BWH-AL-QD-1A-4E</v>
      </c>
      <c r="B986" s="192"/>
      <c r="C986" s="21"/>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c r="A987" s="192" t="str">
        <f>IFERROR(__xludf.DUMMYFUNCTION("""COMPUTED_VALUE"""),"RSV-EPI-PM-1B")</f>
        <v>RSV-EPI-PM-1B</v>
      </c>
      <c r="B987" s="192"/>
      <c r="C987" s="21"/>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c r="A988" s="192" t="str">
        <f>IFERROR(__xludf.DUMMYFUNCTION("""COMPUTED_VALUE"""),"HS-CT-BM-1C")</f>
        <v>HS-CT-BM-1C</v>
      </c>
      <c r="B988" s="192"/>
      <c r="C988" s="21"/>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c r="A989" s="192" t="str">
        <f>IFERROR(__xludf.DUMMYFUNCTION("""COMPUTED_VALUE"""),"TLC-BE-SLC-1B")</f>
        <v>TLC-BE-SLC-1B</v>
      </c>
      <c r="B989" s="192"/>
      <c r="C989" s="21"/>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c r="A990" s="192" t="str">
        <f>IFERROR(__xludf.DUMMYFUNCTION("""COMPUTED_VALUE"""),"TLC-BE-SLC-1C")</f>
        <v>TLC-BE-SLC-1C</v>
      </c>
      <c r="B990" s="192"/>
      <c r="C990" s="21"/>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c r="A991" s="192" t="str">
        <f>IFERROR(__xludf.DUMMYFUNCTION("""COMPUTED_VALUE"""),"TA-OC-HB-1B")</f>
        <v>TA-OC-HB-1B</v>
      </c>
      <c r="B991" s="192"/>
      <c r="C991" s="21"/>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c r="A992" s="192" t="str">
        <f>IFERROR(__xludf.DUMMYFUNCTION("""COMPUTED_VALUE"""),"TA-OC-HB-1C")</f>
        <v>TA-OC-HB-1C</v>
      </c>
      <c r="B992" s="192"/>
      <c r="C992" s="21"/>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c r="A993" s="192" t="str">
        <f>IFERROR(__xludf.DUMMYFUNCTION("""COMPUTED_VALUE"""),"TA-OC-HB-1D")</f>
        <v>TA-OC-HB-1D</v>
      </c>
      <c r="B993" s="192"/>
      <c r="C993" s="21"/>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c r="A994" s="192" t="str">
        <f>IFERROR(__xludf.DUMMYFUNCTION("""COMPUTED_VALUE"""),"TA-OC-HB-1E")</f>
        <v>TA-OC-HB-1E</v>
      </c>
      <c r="B994" s="192"/>
      <c r="C994" s="21"/>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c r="A995" s="192" t="str">
        <f>IFERROR(__xludf.DUMMYFUNCTION("""COMPUTED_VALUE"""),"TA-OC-HB-1F")</f>
        <v>TA-OC-HB-1F</v>
      </c>
      <c r="B995" s="192"/>
      <c r="C995" s="21"/>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c r="A996" s="192" t="str">
        <f>IFERROR(__xludf.DUMMYFUNCTION("""COMPUTED_VALUE"""),"TA-OC-HB-1G")</f>
        <v>TA-OC-HB-1G</v>
      </c>
      <c r="B996" s="192"/>
      <c r="C996" s="21"/>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c r="A997" s="192" t="str">
        <f>IFERROR(__xludf.DUMMYFUNCTION("""COMPUTED_VALUE"""),"TA-OC-HB-1H")</f>
        <v>TA-OC-HB-1H</v>
      </c>
      <c r="B997" s="192"/>
      <c r="C997" s="21"/>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c r="A998" s="192" t="str">
        <f>IFERROR(__xludf.DUMMYFUNCTION("""COMPUTED_VALUE"""),"TA-OC-HB-1I")</f>
        <v>TA-OC-HB-1I</v>
      </c>
      <c r="B998" s="192"/>
      <c r="C998" s="21"/>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c r="A999" s="192" t="str">
        <f>IFERROR(__xludf.DUMMYFUNCTION("""COMPUTED_VALUE"""),"TA-OC-HB-1J")</f>
        <v>TA-OC-HB-1J</v>
      </c>
      <c r="B999" s="192"/>
      <c r="C999" s="21"/>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c r="A1000" s="192" t="str">
        <f>IFERROR(__xludf.DUMMYFUNCTION("""COMPUTED_VALUE"""),"TA-OC-HB-1K")</f>
        <v>TA-OC-HB-1K</v>
      </c>
      <c r="B1000" s="192"/>
      <c r="C1000" s="21"/>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row r="1001">
      <c r="A1001" s="192" t="str">
        <f>IFERROR(__xludf.DUMMYFUNCTION("""COMPUTED_VALUE"""),"TA-OC-HB-1L")</f>
        <v>TA-OC-HB-1L</v>
      </c>
      <c r="B1001" s="192"/>
      <c r="C1001" s="21"/>
      <c r="D1001" s="192"/>
      <c r="E1001" s="192"/>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row>
    <row r="1002">
      <c r="A1002" s="192" t="str">
        <f>IFERROR(__xludf.DUMMYFUNCTION("""COMPUTED_VALUE"""),"TA-OC-HB-1M")</f>
        <v>TA-OC-HB-1M</v>
      </c>
      <c r="B1002" s="192"/>
      <c r="C1002" s="21"/>
      <c r="D1002" s="192"/>
      <c r="E1002" s="192"/>
      <c r="F1002" s="192"/>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row>
    <row r="1003">
      <c r="A1003" s="192" t="str">
        <f>IFERROR(__xludf.DUMMYFUNCTION("""COMPUTED_VALUE"""),"BWH-AL-QD-1E")</f>
        <v>BWH-AL-QD-1E</v>
      </c>
      <c r="B1003" s="192"/>
      <c r="C1003" s="21"/>
      <c r="D1003" s="192"/>
      <c r="E1003" s="192"/>
      <c r="F1003" s="192"/>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row>
    <row r="1004">
      <c r="A1004" s="192" t="str">
        <f>IFERROR(__xludf.DUMMYFUNCTION("""COMPUTED_VALUE"""),"HS-DR-SP-1D")</f>
        <v>HS-DR-SP-1D</v>
      </c>
      <c r="B1004" s="192"/>
      <c r="C1004" s="21"/>
      <c r="D1004" s="192"/>
      <c r="E1004" s="192"/>
      <c r="F1004" s="192"/>
      <c r="G1004" s="192"/>
      <c r="H1004" s="192"/>
      <c r="I1004" s="192"/>
      <c r="J1004" s="192"/>
      <c r="K1004" s="192"/>
      <c r="L1004" s="192"/>
      <c r="M1004" s="192"/>
      <c r="N1004" s="192"/>
      <c r="O1004" s="192"/>
      <c r="P1004" s="192"/>
      <c r="Q1004" s="192"/>
      <c r="R1004" s="192"/>
      <c r="S1004" s="192"/>
      <c r="T1004" s="192"/>
      <c r="U1004" s="192"/>
      <c r="V1004" s="192"/>
      <c r="W1004" s="192"/>
      <c r="X1004" s="192"/>
      <c r="Y1004" s="192"/>
      <c r="Z1004" s="192"/>
    </row>
    <row r="1005">
      <c r="A1005" s="192" t="str">
        <f>IFERROR(__xludf.DUMMYFUNCTION("""COMPUTED_VALUE"""),"HS-SP-PLD-1B")</f>
        <v>HS-SP-PLD-1B</v>
      </c>
      <c r="B1005" s="192"/>
      <c r="C1005" s="21"/>
      <c r="D1005" s="192"/>
      <c r="E1005" s="192"/>
      <c r="F1005" s="192"/>
      <c r="G1005" s="192"/>
      <c r="H1005" s="192"/>
      <c r="I1005" s="192"/>
      <c r="J1005" s="192"/>
      <c r="K1005" s="192"/>
      <c r="L1005" s="192"/>
      <c r="M1005" s="192"/>
      <c r="N1005" s="192"/>
      <c r="O1005" s="192"/>
      <c r="P1005" s="192"/>
      <c r="Q1005" s="192"/>
      <c r="R1005" s="192"/>
      <c r="S1005" s="192"/>
      <c r="T1005" s="192"/>
      <c r="U1005" s="192"/>
      <c r="V1005" s="192"/>
      <c r="W1005" s="192"/>
      <c r="X1005" s="192"/>
      <c r="Y1005" s="192"/>
      <c r="Z1005" s="192"/>
    </row>
    <row r="1006">
      <c r="A1006" s="192" t="str">
        <f>IFERROR(__xludf.DUMMYFUNCTION("""COMPUTED_VALUE"""),"HS-SP-PLD-1C")</f>
        <v>HS-SP-PLD-1C</v>
      </c>
      <c r="B1006" s="192"/>
      <c r="C1006" s="21"/>
      <c r="D1006" s="192"/>
      <c r="E1006" s="192"/>
      <c r="F1006" s="192"/>
      <c r="G1006" s="192"/>
      <c r="H1006" s="192"/>
      <c r="I1006" s="192"/>
      <c r="J1006" s="192"/>
      <c r="K1006" s="192"/>
      <c r="L1006" s="192"/>
      <c r="M1006" s="192"/>
      <c r="N1006" s="192"/>
      <c r="O1006" s="192"/>
      <c r="P1006" s="192"/>
      <c r="Q1006" s="192"/>
      <c r="R1006" s="192"/>
      <c r="S1006" s="192"/>
      <c r="T1006" s="192"/>
      <c r="U1006" s="192"/>
      <c r="V1006" s="192"/>
      <c r="W1006" s="192"/>
      <c r="X1006" s="192"/>
      <c r="Y1006" s="192"/>
      <c r="Z1006" s="192"/>
    </row>
    <row r="1007">
      <c r="A1007" s="192" t="str">
        <f>IFERROR(__xludf.DUMMYFUNCTION("""COMPUTED_VALUE"""),"HS-SP-PLD-1D")</f>
        <v>HS-SP-PLD-1D</v>
      </c>
      <c r="B1007" s="192"/>
      <c r="C1007" s="21"/>
      <c r="D1007" s="192"/>
      <c r="E1007" s="192"/>
      <c r="F1007" s="192"/>
      <c r="G1007" s="192"/>
      <c r="H1007" s="192"/>
      <c r="I1007" s="192"/>
      <c r="J1007" s="192"/>
      <c r="K1007" s="192"/>
      <c r="L1007" s="192"/>
      <c r="M1007" s="192"/>
      <c r="N1007" s="192"/>
      <c r="O1007" s="192"/>
      <c r="P1007" s="192"/>
      <c r="Q1007" s="192"/>
      <c r="R1007" s="192"/>
      <c r="S1007" s="192"/>
      <c r="T1007" s="192"/>
      <c r="U1007" s="192"/>
      <c r="V1007" s="192"/>
      <c r="W1007" s="192"/>
      <c r="X1007" s="192"/>
      <c r="Y1007" s="192"/>
      <c r="Z1007" s="192"/>
    </row>
    <row r="1008">
      <c r="A1008" s="192" t="str">
        <f>IFERROR(__xludf.DUMMYFUNCTION("""COMPUTED_VALUE"""),"HS-SP-PLD-1F")</f>
        <v>HS-SP-PLD-1F</v>
      </c>
      <c r="B1008" s="192"/>
      <c r="C1008" s="21"/>
      <c r="D1008" s="192"/>
      <c r="E1008" s="192"/>
      <c r="F1008" s="192"/>
      <c r="G1008" s="192"/>
      <c r="H1008" s="192"/>
      <c r="I1008" s="192"/>
      <c r="J1008" s="192"/>
      <c r="K1008" s="192"/>
      <c r="L1008" s="192"/>
      <c r="M1008" s="192"/>
      <c r="N1008" s="192"/>
      <c r="O1008" s="192"/>
      <c r="P1008" s="192"/>
      <c r="Q1008" s="192"/>
      <c r="R1008" s="192"/>
      <c r="S1008" s="192"/>
      <c r="T1008" s="192"/>
      <c r="U1008" s="192"/>
      <c r="V1008" s="192"/>
      <c r="W1008" s="192"/>
      <c r="X1008" s="192"/>
      <c r="Y1008" s="192"/>
      <c r="Z1008" s="192"/>
    </row>
    <row r="1009">
      <c r="A1009" s="192" t="str">
        <f>IFERROR(__xludf.DUMMYFUNCTION("""COMPUTED_VALUE"""),"HS-SP-PLD-1G")</f>
        <v>HS-SP-PLD-1G</v>
      </c>
      <c r="B1009" s="192"/>
      <c r="C1009" s="21"/>
      <c r="D1009" s="192"/>
      <c r="E1009" s="192"/>
      <c r="F1009" s="192"/>
      <c r="G1009" s="192"/>
      <c r="H1009" s="192"/>
      <c r="I1009" s="192"/>
      <c r="J1009" s="192"/>
      <c r="K1009" s="192"/>
      <c r="L1009" s="192"/>
      <c r="M1009" s="192"/>
      <c r="N1009" s="192"/>
      <c r="O1009" s="192"/>
      <c r="P1009" s="192"/>
      <c r="Q1009" s="192"/>
      <c r="R1009" s="192"/>
      <c r="S1009" s="192"/>
      <c r="T1009" s="192"/>
      <c r="U1009" s="192"/>
      <c r="V1009" s="192"/>
      <c r="W1009" s="192"/>
      <c r="X1009" s="192"/>
      <c r="Y1009" s="192"/>
      <c r="Z1009" s="192"/>
    </row>
    <row r="1010">
      <c r="A1010" s="192" t="str">
        <f>IFERROR(__xludf.DUMMYFUNCTION("""COMPUTED_VALUE"""),"HS-SP-PLD-1H")</f>
        <v>HS-SP-PLD-1H</v>
      </c>
      <c r="B1010" s="192"/>
      <c r="C1010" s="21"/>
      <c r="D1010" s="192"/>
      <c r="E1010" s="192"/>
      <c r="F1010" s="192"/>
      <c r="G1010" s="192"/>
      <c r="H1010" s="192"/>
      <c r="I1010" s="192"/>
      <c r="J1010" s="192"/>
      <c r="K1010" s="192"/>
      <c r="L1010" s="192"/>
      <c r="M1010" s="192"/>
      <c r="N1010" s="192"/>
      <c r="O1010" s="192"/>
      <c r="P1010" s="192"/>
      <c r="Q1010" s="192"/>
      <c r="R1010" s="192"/>
      <c r="S1010" s="192"/>
      <c r="T1010" s="192"/>
      <c r="U1010" s="192"/>
      <c r="V1010" s="192"/>
      <c r="W1010" s="192"/>
      <c r="X1010" s="192"/>
      <c r="Y1010" s="192"/>
      <c r="Z1010" s="192"/>
    </row>
    <row r="1011">
      <c r="A1011" s="192" t="str">
        <f>IFERROR(__xludf.DUMMYFUNCTION("""COMPUTED_VALUE"""),"BWH-PH-RAPK-1A-5B")</f>
        <v>BWH-PH-RAPK-1A-5B</v>
      </c>
      <c r="B1011" s="192"/>
      <c r="C1011" s="21"/>
      <c r="D1011" s="192"/>
      <c r="E1011" s="192"/>
      <c r="F1011" s="192"/>
      <c r="G1011" s="192"/>
      <c r="H1011" s="192"/>
      <c r="I1011" s="192"/>
      <c r="J1011" s="192"/>
      <c r="K1011" s="192"/>
      <c r="L1011" s="192"/>
      <c r="M1011" s="192"/>
      <c r="N1011" s="192"/>
      <c r="O1011" s="192"/>
      <c r="P1011" s="192"/>
      <c r="Q1011" s="192"/>
      <c r="R1011" s="192"/>
      <c r="S1011" s="192"/>
      <c r="T1011" s="192"/>
      <c r="U1011" s="192"/>
      <c r="V1011" s="192"/>
      <c r="W1011" s="192"/>
      <c r="X1011" s="192"/>
      <c r="Y1011" s="192"/>
      <c r="Z1011" s="192"/>
    </row>
    <row r="1012">
      <c r="A1012" s="192" t="str">
        <f>IFERROR(__xludf.DUMMYFUNCTION("""COMPUTED_VALUE"""),"BWH-PH-RAPK-1A-5C")</f>
        <v>BWH-PH-RAPK-1A-5C</v>
      </c>
      <c r="B1012" s="192"/>
      <c r="C1012" s="21"/>
      <c r="D1012" s="192"/>
      <c r="E1012" s="192"/>
      <c r="F1012" s="192"/>
      <c r="G1012" s="192"/>
      <c r="H1012" s="192"/>
      <c r="I1012" s="192"/>
      <c r="J1012" s="192"/>
      <c r="K1012" s="192"/>
      <c r="L1012" s="192"/>
      <c r="M1012" s="192"/>
      <c r="N1012" s="192"/>
      <c r="O1012" s="192"/>
      <c r="P1012" s="192"/>
      <c r="Q1012" s="192"/>
      <c r="R1012" s="192"/>
      <c r="S1012" s="192"/>
      <c r="T1012" s="192"/>
      <c r="U1012" s="192"/>
      <c r="V1012" s="192"/>
      <c r="W1012" s="192"/>
      <c r="X1012" s="192"/>
      <c r="Y1012" s="192"/>
      <c r="Z1012" s="192"/>
    </row>
    <row r="1013">
      <c r="A1013" s="192" t="str">
        <f>IFERROR(__xludf.DUMMYFUNCTION("""COMPUTED_VALUE"""),"TA-TH-TH-1B")</f>
        <v>TA-TH-TH-1B</v>
      </c>
      <c r="B1013" s="192"/>
      <c r="C1013" s="21"/>
      <c r="D1013" s="192"/>
      <c r="E1013" s="192"/>
      <c r="F1013" s="192"/>
      <c r="G1013" s="192"/>
      <c r="H1013" s="192"/>
      <c r="I1013" s="192"/>
      <c r="J1013" s="192"/>
      <c r="K1013" s="192"/>
      <c r="L1013" s="192"/>
      <c r="M1013" s="192"/>
      <c r="N1013" s="192"/>
      <c r="O1013" s="192"/>
      <c r="P1013" s="192"/>
      <c r="Q1013" s="192"/>
      <c r="R1013" s="192"/>
      <c r="S1013" s="192"/>
      <c r="T1013" s="192"/>
      <c r="U1013" s="192"/>
      <c r="V1013" s="192"/>
      <c r="W1013" s="192"/>
      <c r="X1013" s="192"/>
      <c r="Y1013" s="192"/>
      <c r="Z1013" s="192"/>
    </row>
    <row r="1014">
      <c r="A1014" s="192" t="str">
        <f>IFERROR(__xludf.DUMMYFUNCTION("""COMPUTED_VALUE"""),"TA-TH-TH-1C")</f>
        <v>TA-TH-TH-1C</v>
      </c>
      <c r="B1014" s="192"/>
      <c r="C1014" s="21"/>
      <c r="D1014" s="192"/>
      <c r="E1014" s="192"/>
      <c r="F1014" s="192"/>
      <c r="G1014" s="192"/>
      <c r="H1014" s="192"/>
      <c r="I1014" s="192"/>
      <c r="J1014" s="192"/>
      <c r="K1014" s="192"/>
      <c r="L1014" s="192"/>
      <c r="M1014" s="192"/>
      <c r="N1014" s="192"/>
      <c r="O1014" s="192"/>
      <c r="P1014" s="192"/>
      <c r="Q1014" s="192"/>
      <c r="R1014" s="192"/>
      <c r="S1014" s="192"/>
      <c r="T1014" s="192"/>
      <c r="U1014" s="192"/>
      <c r="V1014" s="192"/>
      <c r="W1014" s="192"/>
      <c r="X1014" s="192"/>
      <c r="Y1014" s="192"/>
      <c r="Z1014" s="192"/>
    </row>
    <row r="1015">
      <c r="A1015" s="192" t="str">
        <f>IFERROR(__xludf.DUMMYFUNCTION("""COMPUTED_VALUE"""),"TA-TH-TH-1A-2B")</f>
        <v>TA-TH-TH-1A-2B</v>
      </c>
      <c r="B1015" s="192"/>
      <c r="C1015" s="21"/>
      <c r="D1015" s="192"/>
      <c r="E1015" s="192"/>
      <c r="F1015" s="192"/>
      <c r="G1015" s="192"/>
      <c r="H1015" s="192"/>
      <c r="I1015" s="192"/>
      <c r="J1015" s="192"/>
      <c r="K1015" s="192"/>
      <c r="L1015" s="192"/>
      <c r="M1015" s="192"/>
      <c r="N1015" s="192"/>
      <c r="O1015" s="192"/>
      <c r="P1015" s="192"/>
      <c r="Q1015" s="192"/>
      <c r="R1015" s="192"/>
      <c r="S1015" s="192"/>
      <c r="T1015" s="192"/>
      <c r="U1015" s="192"/>
      <c r="V1015" s="192"/>
      <c r="W1015" s="192"/>
      <c r="X1015" s="192"/>
      <c r="Y1015" s="192"/>
      <c r="Z1015" s="192"/>
    </row>
    <row r="1016">
      <c r="A1016" s="192" t="str">
        <f>IFERROR(__xludf.DUMMYFUNCTION("""COMPUTED_VALUE"""),"AGP-AL-NI-1A-3D")</f>
        <v>AGP-AL-NI-1A-3D</v>
      </c>
      <c r="B1016" s="192"/>
      <c r="C1016" s="21"/>
      <c r="D1016" s="192"/>
      <c r="E1016" s="192"/>
      <c r="F1016" s="192"/>
      <c r="G1016" s="192"/>
      <c r="H1016" s="192"/>
      <c r="I1016" s="192"/>
      <c r="J1016" s="192"/>
      <c r="K1016" s="192"/>
      <c r="L1016" s="192"/>
      <c r="M1016" s="192"/>
      <c r="N1016" s="192"/>
      <c r="O1016" s="192"/>
      <c r="P1016" s="192"/>
      <c r="Q1016" s="192"/>
      <c r="R1016" s="192"/>
      <c r="S1016" s="192"/>
      <c r="T1016" s="192"/>
      <c r="U1016" s="192"/>
      <c r="V1016" s="192"/>
      <c r="W1016" s="192"/>
      <c r="X1016" s="192"/>
      <c r="Y1016" s="192"/>
      <c r="Z1016" s="192"/>
    </row>
    <row r="1017">
      <c r="A1017" s="192" t="str">
        <f>IFERROR(__xludf.DUMMYFUNCTION("""COMPUTED_VALUE"""),"AGP-AL-NI-1A-3E")</f>
        <v>AGP-AL-NI-1A-3E</v>
      </c>
      <c r="B1017" s="192"/>
      <c r="C1017" s="21"/>
      <c r="D1017" s="192"/>
      <c r="E1017" s="192"/>
      <c r="F1017" s="192"/>
      <c r="G1017" s="192"/>
      <c r="H1017" s="192"/>
      <c r="I1017" s="192"/>
      <c r="J1017" s="192"/>
      <c r="K1017" s="192"/>
      <c r="L1017" s="192"/>
      <c r="M1017" s="192"/>
      <c r="N1017" s="192"/>
      <c r="O1017" s="192"/>
      <c r="P1017" s="192"/>
      <c r="Q1017" s="192"/>
      <c r="R1017" s="192"/>
      <c r="S1017" s="192"/>
      <c r="T1017" s="192"/>
      <c r="U1017" s="192"/>
      <c r="V1017" s="192"/>
      <c r="W1017" s="192"/>
      <c r="X1017" s="192"/>
      <c r="Y1017" s="192"/>
      <c r="Z1017" s="192"/>
    </row>
    <row r="1018">
      <c r="A1018" s="192" t="str">
        <f>IFERROR(__xludf.DUMMYFUNCTION("""COMPUTED_VALUE"""),"AGP-AL-NI-1A-3F")</f>
        <v>AGP-AL-NI-1A-3F</v>
      </c>
      <c r="B1018" s="192"/>
      <c r="C1018" s="21"/>
      <c r="D1018" s="192"/>
      <c r="E1018" s="192"/>
      <c r="F1018" s="192"/>
      <c r="G1018" s="192"/>
      <c r="H1018" s="192"/>
      <c r="I1018" s="192"/>
      <c r="J1018" s="192"/>
      <c r="K1018" s="192"/>
      <c r="L1018" s="192"/>
      <c r="M1018" s="192"/>
      <c r="N1018" s="192"/>
      <c r="O1018" s="192"/>
      <c r="P1018" s="192"/>
      <c r="Q1018" s="192"/>
      <c r="R1018" s="192"/>
      <c r="S1018" s="192"/>
      <c r="T1018" s="192"/>
      <c r="U1018" s="192"/>
      <c r="V1018" s="192"/>
      <c r="W1018" s="192"/>
      <c r="X1018" s="192"/>
      <c r="Y1018" s="192"/>
      <c r="Z1018" s="192"/>
    </row>
    <row r="1019">
      <c r="A1019" s="192" t="str">
        <f>IFERROR(__xludf.DUMMYFUNCTION("""COMPUTED_VALUE"""),"AGP-AL-NI-1A-3G")</f>
        <v>AGP-AL-NI-1A-3G</v>
      </c>
      <c r="B1019" s="192"/>
      <c r="C1019" s="21"/>
      <c r="D1019" s="192"/>
      <c r="E1019" s="192"/>
      <c r="F1019" s="192"/>
      <c r="G1019" s="192"/>
      <c r="H1019" s="192"/>
      <c r="I1019" s="192"/>
      <c r="J1019" s="192"/>
      <c r="K1019" s="192"/>
      <c r="L1019" s="192"/>
      <c r="M1019" s="192"/>
      <c r="N1019" s="192"/>
      <c r="O1019" s="192"/>
      <c r="P1019" s="192"/>
      <c r="Q1019" s="192"/>
      <c r="R1019" s="192"/>
      <c r="S1019" s="192"/>
      <c r="T1019" s="192"/>
      <c r="U1019" s="192"/>
      <c r="V1019" s="192"/>
      <c r="W1019" s="192"/>
      <c r="X1019" s="192"/>
      <c r="Y1019" s="192"/>
      <c r="Z1019" s="192"/>
    </row>
    <row r="1020">
      <c r="A1020" s="192" t="str">
        <f>IFERROR(__xludf.DUMMYFUNCTION("""COMPUTED_VALUE"""),"AGP-AL-NI-1A-3H")</f>
        <v>AGP-AL-NI-1A-3H</v>
      </c>
      <c r="B1020" s="192"/>
      <c r="C1020" s="21"/>
      <c r="D1020" s="192"/>
      <c r="E1020" s="192"/>
      <c r="F1020" s="192"/>
      <c r="G1020" s="192"/>
      <c r="H1020" s="192"/>
      <c r="I1020" s="192"/>
      <c r="J1020" s="192"/>
      <c r="K1020" s="192"/>
      <c r="L1020" s="192"/>
      <c r="M1020" s="192"/>
      <c r="N1020" s="192"/>
      <c r="O1020" s="192"/>
      <c r="P1020" s="192"/>
      <c r="Q1020" s="192"/>
      <c r="R1020" s="192"/>
      <c r="S1020" s="192"/>
      <c r="T1020" s="192"/>
      <c r="U1020" s="192"/>
      <c r="V1020" s="192"/>
      <c r="W1020" s="192"/>
      <c r="X1020" s="192"/>
      <c r="Y1020" s="192"/>
      <c r="Z1020" s="192"/>
    </row>
    <row r="1021">
      <c r="A1021" s="192" t="str">
        <f>IFERROR(__xludf.DUMMYFUNCTION("""COMPUTED_VALUE"""),"AGP-AL-NI-1A-3I")</f>
        <v>AGP-AL-NI-1A-3I</v>
      </c>
      <c r="B1021" s="192"/>
      <c r="C1021" s="21"/>
      <c r="D1021" s="192"/>
      <c r="E1021" s="192"/>
      <c r="F1021" s="192"/>
      <c r="G1021" s="192"/>
      <c r="H1021" s="192"/>
      <c r="I1021" s="192"/>
      <c r="J1021" s="192"/>
      <c r="K1021" s="192"/>
      <c r="L1021" s="192"/>
      <c r="M1021" s="192"/>
      <c r="N1021" s="192"/>
      <c r="O1021" s="192"/>
      <c r="P1021" s="192"/>
      <c r="Q1021" s="192"/>
      <c r="R1021" s="192"/>
      <c r="S1021" s="192"/>
      <c r="T1021" s="192"/>
      <c r="U1021" s="192"/>
      <c r="V1021" s="192"/>
      <c r="W1021" s="192"/>
      <c r="X1021" s="192"/>
      <c r="Y1021" s="192"/>
      <c r="Z1021" s="192"/>
    </row>
    <row r="1022">
      <c r="A1022" s="192" t="str">
        <f>IFERROR(__xludf.DUMMYFUNCTION("""COMPUTED_VALUE"""),"AGP-AL-NI-1A-3J")</f>
        <v>AGP-AL-NI-1A-3J</v>
      </c>
      <c r="B1022" s="192"/>
      <c r="C1022" s="21"/>
      <c r="D1022" s="192"/>
      <c r="E1022" s="192"/>
      <c r="F1022" s="192"/>
      <c r="G1022" s="192"/>
      <c r="H1022" s="192"/>
      <c r="I1022" s="192"/>
      <c r="J1022" s="192"/>
      <c r="K1022" s="192"/>
      <c r="L1022" s="192"/>
      <c r="M1022" s="192"/>
      <c r="N1022" s="192"/>
      <c r="O1022" s="192"/>
      <c r="P1022" s="192"/>
      <c r="Q1022" s="192"/>
      <c r="R1022" s="192"/>
      <c r="S1022" s="192"/>
      <c r="T1022" s="192"/>
      <c r="U1022" s="192"/>
      <c r="V1022" s="192"/>
      <c r="W1022" s="192"/>
      <c r="X1022" s="192"/>
      <c r="Y1022" s="192"/>
      <c r="Z1022" s="192"/>
    </row>
    <row r="1023">
      <c r="A1023" s="192" t="str">
        <f>IFERROR(__xludf.DUMMYFUNCTION("""COMPUTED_VALUE"""),"BWH-SYN-WE-1B")</f>
        <v>BWH-SYN-WE-1B</v>
      </c>
      <c r="B1023" s="192"/>
      <c r="C1023" s="21"/>
      <c r="D1023" s="192"/>
      <c r="E1023" s="192"/>
      <c r="F1023" s="192"/>
      <c r="G1023" s="192"/>
      <c r="H1023" s="192"/>
      <c r="I1023" s="192"/>
      <c r="J1023" s="192"/>
      <c r="K1023" s="192"/>
      <c r="L1023" s="192"/>
      <c r="M1023" s="192"/>
      <c r="N1023" s="192"/>
      <c r="O1023" s="192"/>
      <c r="P1023" s="192"/>
      <c r="Q1023" s="192"/>
      <c r="R1023" s="192"/>
      <c r="S1023" s="192"/>
      <c r="T1023" s="192"/>
      <c r="U1023" s="192"/>
      <c r="V1023" s="192"/>
      <c r="W1023" s="192"/>
      <c r="X1023" s="192"/>
      <c r="Y1023" s="192"/>
      <c r="Z1023" s="192"/>
    </row>
    <row r="1024">
      <c r="A1024" s="192" t="str">
        <f>IFERROR(__xludf.DUMMYFUNCTION("""COMPUTED_VALUE"""),"FMY-MA-DE-1A-2B")</f>
        <v>FMY-MA-DE-1A-2B</v>
      </c>
      <c r="B1024" s="192"/>
      <c r="C1024" s="21"/>
      <c r="D1024" s="192"/>
      <c r="E1024" s="192"/>
      <c r="F1024" s="192"/>
      <c r="G1024" s="192"/>
      <c r="H1024" s="192"/>
      <c r="I1024" s="192"/>
      <c r="J1024" s="192"/>
      <c r="K1024" s="192"/>
      <c r="L1024" s="192"/>
      <c r="M1024" s="192"/>
      <c r="N1024" s="192"/>
      <c r="O1024" s="192"/>
      <c r="P1024" s="192"/>
      <c r="Q1024" s="192"/>
      <c r="R1024" s="192"/>
      <c r="S1024" s="192"/>
      <c r="T1024" s="192"/>
      <c r="U1024" s="192"/>
      <c r="V1024" s="192"/>
      <c r="W1024" s="192"/>
      <c r="X1024" s="192"/>
      <c r="Y1024" s="192"/>
      <c r="Z1024" s="192"/>
    </row>
    <row r="1025">
      <c r="A1025" s="192" t="str">
        <f>IFERROR(__xludf.DUMMYFUNCTION("""COMPUTED_VALUE"""),"TG-NE-BP-3A-2B")</f>
        <v>TG-NE-BP-3A-2B</v>
      </c>
      <c r="B1025" s="192"/>
      <c r="C1025" s="21"/>
      <c r="D1025" s="192"/>
      <c r="E1025" s="192"/>
      <c r="F1025" s="192"/>
      <c r="G1025" s="192"/>
      <c r="H1025" s="192"/>
      <c r="I1025" s="192"/>
      <c r="J1025" s="192"/>
      <c r="K1025" s="192"/>
      <c r="L1025" s="192"/>
      <c r="M1025" s="192"/>
      <c r="N1025" s="192"/>
      <c r="O1025" s="192"/>
      <c r="P1025" s="192"/>
      <c r="Q1025" s="192"/>
      <c r="R1025" s="192"/>
      <c r="S1025" s="192"/>
      <c r="T1025" s="192"/>
      <c r="U1025" s="192"/>
      <c r="V1025" s="192"/>
      <c r="W1025" s="192"/>
      <c r="X1025" s="192"/>
      <c r="Y1025" s="192"/>
      <c r="Z1025" s="192"/>
    </row>
    <row r="1026">
      <c r="A1026" s="192" t="str">
        <f>IFERROR(__xludf.DUMMYFUNCTION("""COMPUTED_VALUE"""),"HD-AL-LO-1C")</f>
        <v>HD-AL-LO-1C</v>
      </c>
      <c r="B1026" s="192"/>
      <c r="C1026" s="21"/>
      <c r="D1026" s="192"/>
      <c r="E1026" s="192"/>
      <c r="F1026" s="192"/>
      <c r="G1026" s="192"/>
      <c r="H1026" s="192"/>
      <c r="I1026" s="192"/>
      <c r="J1026" s="192"/>
      <c r="K1026" s="192"/>
      <c r="L1026" s="192"/>
      <c r="M1026" s="192"/>
      <c r="N1026" s="192"/>
      <c r="O1026" s="192"/>
      <c r="P1026" s="192"/>
      <c r="Q1026" s="192"/>
      <c r="R1026" s="192"/>
      <c r="S1026" s="192"/>
      <c r="T1026" s="192"/>
      <c r="U1026" s="192"/>
      <c r="V1026" s="192"/>
      <c r="W1026" s="192"/>
      <c r="X1026" s="192"/>
      <c r="Y1026" s="192"/>
      <c r="Z1026" s="192"/>
    </row>
    <row r="1027">
      <c r="A1027" s="192"/>
      <c r="B1027" s="192"/>
      <c r="C1027" s="21"/>
      <c r="D1027" s="192"/>
      <c r="E1027" s="192"/>
      <c r="F1027" s="192"/>
      <c r="G1027" s="192"/>
      <c r="H1027" s="192"/>
      <c r="I1027" s="192"/>
      <c r="J1027" s="192"/>
      <c r="K1027" s="192"/>
      <c r="L1027" s="192"/>
      <c r="M1027" s="192"/>
      <c r="N1027" s="192"/>
      <c r="O1027" s="192"/>
      <c r="P1027" s="192"/>
      <c r="Q1027" s="192"/>
      <c r="R1027" s="192"/>
      <c r="S1027" s="192"/>
      <c r="T1027" s="192"/>
      <c r="U1027" s="192"/>
      <c r="V1027" s="192"/>
      <c r="W1027" s="192"/>
      <c r="X1027" s="192"/>
      <c r="Y1027" s="192"/>
      <c r="Z1027" s="192"/>
    </row>
    <row r="1028">
      <c r="A1028" s="192"/>
      <c r="B1028" s="192"/>
      <c r="C1028" s="21"/>
      <c r="D1028" s="192"/>
      <c r="E1028" s="192"/>
      <c r="F1028" s="192"/>
      <c r="G1028" s="192"/>
      <c r="H1028" s="192"/>
      <c r="I1028" s="192"/>
      <c r="J1028" s="192"/>
      <c r="K1028" s="192"/>
      <c r="L1028" s="192"/>
      <c r="M1028" s="192"/>
      <c r="N1028" s="192"/>
      <c r="O1028" s="192"/>
      <c r="P1028" s="192"/>
      <c r="Q1028" s="192"/>
      <c r="R1028" s="192"/>
      <c r="S1028" s="192"/>
      <c r="T1028" s="192"/>
      <c r="U1028" s="192"/>
      <c r="V1028" s="192"/>
      <c r="W1028" s="192"/>
      <c r="X1028" s="192"/>
      <c r="Y1028" s="192"/>
      <c r="Z1028" s="192"/>
    </row>
    <row r="1029">
      <c r="A1029" s="192"/>
      <c r="B1029" s="192"/>
      <c r="C1029" s="21"/>
      <c r="D1029" s="192"/>
      <c r="E1029" s="192"/>
      <c r="F1029" s="192"/>
      <c r="G1029" s="192"/>
      <c r="H1029" s="192"/>
      <c r="I1029" s="192"/>
      <c r="J1029" s="192"/>
      <c r="K1029" s="192"/>
      <c r="L1029" s="192"/>
      <c r="M1029" s="192"/>
      <c r="N1029" s="192"/>
      <c r="O1029" s="192"/>
      <c r="P1029" s="192"/>
      <c r="Q1029" s="192"/>
      <c r="R1029" s="192"/>
      <c r="S1029" s="192"/>
      <c r="T1029" s="192"/>
      <c r="U1029" s="192"/>
      <c r="V1029" s="192"/>
      <c r="W1029" s="192"/>
      <c r="X1029" s="192"/>
      <c r="Y1029" s="192"/>
      <c r="Z1029" s="192"/>
    </row>
    <row r="1030">
      <c r="A1030" s="192"/>
      <c r="B1030" s="192"/>
      <c r="C1030" s="21"/>
      <c r="D1030" s="192"/>
      <c r="E1030" s="192"/>
      <c r="F1030" s="192"/>
      <c r="G1030" s="192"/>
      <c r="H1030" s="192"/>
      <c r="I1030" s="192"/>
      <c r="J1030" s="192"/>
      <c r="K1030" s="192"/>
      <c r="L1030" s="192"/>
      <c r="M1030" s="192"/>
      <c r="N1030" s="192"/>
      <c r="O1030" s="192"/>
      <c r="P1030" s="192"/>
      <c r="Q1030" s="192"/>
      <c r="R1030" s="192"/>
      <c r="S1030" s="192"/>
      <c r="T1030" s="192"/>
      <c r="U1030" s="192"/>
      <c r="V1030" s="192"/>
      <c r="W1030" s="192"/>
      <c r="X1030" s="192"/>
      <c r="Y1030" s="192"/>
      <c r="Z1030" s="192"/>
    </row>
    <row r="1031">
      <c r="A1031" s="192"/>
      <c r="B1031" s="192"/>
      <c r="C1031" s="21"/>
      <c r="D1031" s="192"/>
      <c r="E1031" s="192"/>
      <c r="F1031" s="192"/>
      <c r="G1031" s="192"/>
      <c r="H1031" s="192"/>
      <c r="I1031" s="192"/>
      <c r="J1031" s="192"/>
      <c r="K1031" s="192"/>
      <c r="L1031" s="192"/>
      <c r="M1031" s="192"/>
      <c r="N1031" s="192"/>
      <c r="O1031" s="192"/>
      <c r="P1031" s="192"/>
      <c r="Q1031" s="192"/>
      <c r="R1031" s="192"/>
      <c r="S1031" s="192"/>
      <c r="T1031" s="192"/>
      <c r="U1031" s="192"/>
      <c r="V1031" s="192"/>
      <c r="W1031" s="192"/>
      <c r="X1031" s="192"/>
      <c r="Y1031" s="192"/>
      <c r="Z1031" s="192"/>
    </row>
    <row r="1032">
      <c r="A1032" s="192"/>
      <c r="B1032" s="192"/>
      <c r="C1032" s="21"/>
      <c r="D1032" s="192"/>
      <c r="E1032" s="192"/>
      <c r="F1032" s="192"/>
      <c r="G1032" s="192"/>
      <c r="H1032" s="192"/>
      <c r="I1032" s="192"/>
      <c r="J1032" s="192"/>
      <c r="K1032" s="192"/>
      <c r="L1032" s="192"/>
      <c r="M1032" s="192"/>
      <c r="N1032" s="192"/>
      <c r="O1032" s="192"/>
      <c r="P1032" s="192"/>
      <c r="Q1032" s="192"/>
      <c r="R1032" s="192"/>
      <c r="S1032" s="192"/>
      <c r="T1032" s="192"/>
      <c r="U1032" s="192"/>
      <c r="V1032" s="192"/>
      <c r="W1032" s="192"/>
      <c r="X1032" s="192"/>
      <c r="Y1032" s="192"/>
      <c r="Z1032" s="192"/>
    </row>
    <row r="1033">
      <c r="A1033" s="192"/>
      <c r="B1033" s="192"/>
      <c r="C1033" s="21"/>
      <c r="D1033" s="192"/>
      <c r="E1033" s="192"/>
      <c r="F1033" s="192"/>
      <c r="G1033" s="192"/>
      <c r="H1033" s="192"/>
      <c r="I1033" s="192"/>
      <c r="J1033" s="192"/>
      <c r="K1033" s="192"/>
      <c r="L1033" s="192"/>
      <c r="M1033" s="192"/>
      <c r="N1033" s="192"/>
      <c r="O1033" s="192"/>
      <c r="P1033" s="192"/>
      <c r="Q1033" s="192"/>
      <c r="R1033" s="192"/>
      <c r="S1033" s="192"/>
      <c r="T1033" s="192"/>
      <c r="U1033" s="192"/>
      <c r="V1033" s="192"/>
      <c r="W1033" s="192"/>
      <c r="X1033" s="192"/>
      <c r="Y1033" s="192"/>
      <c r="Z1033" s="192"/>
    </row>
    <row r="1034">
      <c r="A1034" s="192"/>
      <c r="B1034" s="192"/>
      <c r="C1034" s="21"/>
      <c r="D1034" s="192"/>
      <c r="E1034" s="192"/>
      <c r="F1034" s="192"/>
      <c r="G1034" s="192"/>
      <c r="H1034" s="192"/>
      <c r="I1034" s="192"/>
      <c r="J1034" s="192"/>
      <c r="K1034" s="192"/>
      <c r="L1034" s="192"/>
      <c r="M1034" s="192"/>
      <c r="N1034" s="192"/>
      <c r="O1034" s="192"/>
      <c r="P1034" s="192"/>
      <c r="Q1034" s="192"/>
      <c r="R1034" s="192"/>
      <c r="S1034" s="192"/>
      <c r="T1034" s="192"/>
      <c r="U1034" s="192"/>
      <c r="V1034" s="192"/>
      <c r="W1034" s="192"/>
      <c r="X1034" s="192"/>
      <c r="Y1034" s="192"/>
      <c r="Z1034" s="192"/>
    </row>
    <row r="1035">
      <c r="A1035" s="192"/>
      <c r="B1035" s="192"/>
      <c r="C1035" s="21"/>
      <c r="D1035" s="192"/>
      <c r="E1035" s="192"/>
      <c r="F1035" s="192"/>
      <c r="G1035" s="192"/>
      <c r="H1035" s="192"/>
      <c r="I1035" s="192"/>
      <c r="J1035" s="192"/>
      <c r="K1035" s="192"/>
      <c r="L1035" s="192"/>
      <c r="M1035" s="192"/>
      <c r="N1035" s="192"/>
      <c r="O1035" s="192"/>
      <c r="P1035" s="192"/>
      <c r="Q1035" s="192"/>
      <c r="R1035" s="192"/>
      <c r="S1035" s="192"/>
      <c r="T1035" s="192"/>
      <c r="U1035" s="192"/>
      <c r="V1035" s="192"/>
      <c r="W1035" s="192"/>
      <c r="X1035" s="192"/>
      <c r="Y1035" s="192"/>
      <c r="Z1035" s="192"/>
    </row>
    <row r="1036">
      <c r="A1036" s="192"/>
      <c r="B1036" s="192"/>
      <c r="C1036" s="21"/>
      <c r="D1036" s="192"/>
      <c r="E1036" s="192"/>
      <c r="F1036" s="192"/>
      <c r="G1036" s="192"/>
      <c r="H1036" s="192"/>
      <c r="I1036" s="192"/>
      <c r="J1036" s="192"/>
      <c r="K1036" s="192"/>
      <c r="L1036" s="192"/>
      <c r="M1036" s="192"/>
      <c r="N1036" s="192"/>
      <c r="O1036" s="192"/>
      <c r="P1036" s="192"/>
      <c r="Q1036" s="192"/>
      <c r="R1036" s="192"/>
      <c r="S1036" s="192"/>
      <c r="T1036" s="192"/>
      <c r="U1036" s="192"/>
      <c r="V1036" s="192"/>
      <c r="W1036" s="192"/>
      <c r="X1036" s="192"/>
      <c r="Y1036" s="192"/>
      <c r="Z1036" s="192"/>
    </row>
    <row r="1037">
      <c r="A1037" s="192"/>
      <c r="B1037" s="192"/>
      <c r="C1037" s="21"/>
      <c r="D1037" s="192"/>
      <c r="E1037" s="192"/>
      <c r="F1037" s="192"/>
      <c r="G1037" s="192"/>
      <c r="H1037" s="192"/>
      <c r="I1037" s="192"/>
      <c r="J1037" s="192"/>
      <c r="K1037" s="192"/>
      <c r="L1037" s="192"/>
      <c r="M1037" s="192"/>
      <c r="N1037" s="192"/>
      <c r="O1037" s="192"/>
      <c r="P1037" s="192"/>
      <c r="Q1037" s="192"/>
      <c r="R1037" s="192"/>
      <c r="S1037" s="192"/>
      <c r="T1037" s="192"/>
      <c r="U1037" s="192"/>
      <c r="V1037" s="192"/>
      <c r="W1037" s="192"/>
      <c r="X1037" s="192"/>
      <c r="Y1037" s="192"/>
      <c r="Z1037" s="192"/>
    </row>
    <row r="1038">
      <c r="A1038" s="192"/>
      <c r="B1038" s="192"/>
      <c r="C1038" s="21"/>
      <c r="D1038" s="192"/>
      <c r="E1038" s="192"/>
      <c r="F1038" s="192"/>
      <c r="G1038" s="192"/>
      <c r="H1038" s="192"/>
      <c r="I1038" s="192"/>
      <c r="J1038" s="192"/>
      <c r="K1038" s="192"/>
      <c r="L1038" s="192"/>
      <c r="M1038" s="192"/>
      <c r="N1038" s="192"/>
      <c r="O1038" s="192"/>
      <c r="P1038" s="192"/>
      <c r="Q1038" s="192"/>
      <c r="R1038" s="192"/>
      <c r="S1038" s="192"/>
      <c r="T1038" s="192"/>
      <c r="U1038" s="192"/>
      <c r="V1038" s="192"/>
      <c r="W1038" s="192"/>
      <c r="X1038" s="192"/>
      <c r="Y1038" s="192"/>
      <c r="Z1038" s="192"/>
    </row>
    <row r="1039">
      <c r="A1039" s="192"/>
      <c r="B1039" s="192"/>
      <c r="C1039" s="21"/>
      <c r="D1039" s="192"/>
      <c r="E1039" s="192"/>
      <c r="F1039" s="192"/>
      <c r="G1039" s="192"/>
      <c r="H1039" s="192"/>
      <c r="I1039" s="192"/>
      <c r="J1039" s="192"/>
      <c r="K1039" s="192"/>
      <c r="L1039" s="192"/>
      <c r="M1039" s="192"/>
      <c r="N1039" s="192"/>
      <c r="O1039" s="192"/>
      <c r="P1039" s="192"/>
      <c r="Q1039" s="192"/>
      <c r="R1039" s="192"/>
      <c r="S1039" s="192"/>
      <c r="T1039" s="192"/>
      <c r="U1039" s="192"/>
      <c r="V1039" s="192"/>
      <c r="W1039" s="192"/>
      <c r="X1039" s="192"/>
      <c r="Y1039" s="192"/>
      <c r="Z1039" s="192"/>
    </row>
    <row r="1040">
      <c r="A1040" s="192"/>
      <c r="B1040" s="192"/>
      <c r="C1040" s="21"/>
      <c r="D1040" s="192"/>
      <c r="E1040" s="192"/>
      <c r="F1040" s="192"/>
      <c r="G1040" s="192"/>
      <c r="H1040" s="192"/>
      <c r="I1040" s="192"/>
      <c r="J1040" s="192"/>
      <c r="K1040" s="192"/>
      <c r="L1040" s="192"/>
      <c r="M1040" s="192"/>
      <c r="N1040" s="192"/>
      <c r="O1040" s="192"/>
      <c r="P1040" s="192"/>
      <c r="Q1040" s="192"/>
      <c r="R1040" s="192"/>
      <c r="S1040" s="192"/>
      <c r="T1040" s="192"/>
      <c r="U1040" s="192"/>
      <c r="V1040" s="192"/>
      <c r="W1040" s="192"/>
      <c r="X1040" s="192"/>
      <c r="Y1040" s="192"/>
      <c r="Z1040" s="192"/>
    </row>
    <row r="1041">
      <c r="A1041" s="192"/>
      <c r="B1041" s="192"/>
      <c r="C1041" s="21"/>
      <c r="D1041" s="192"/>
      <c r="E1041" s="192"/>
      <c r="F1041" s="192"/>
      <c r="G1041" s="192"/>
      <c r="H1041" s="192"/>
      <c r="I1041" s="192"/>
      <c r="J1041" s="192"/>
      <c r="K1041" s="192"/>
      <c r="L1041" s="192"/>
      <c r="M1041" s="192"/>
      <c r="N1041" s="192"/>
      <c r="O1041" s="192"/>
      <c r="P1041" s="192"/>
      <c r="Q1041" s="192"/>
      <c r="R1041" s="192"/>
      <c r="S1041" s="192"/>
      <c r="T1041" s="192"/>
      <c r="U1041" s="192"/>
      <c r="V1041" s="192"/>
      <c r="W1041" s="192"/>
      <c r="X1041" s="192"/>
      <c r="Y1041" s="192"/>
      <c r="Z1041" s="192"/>
    </row>
    <row r="1042">
      <c r="A1042" s="192"/>
      <c r="B1042" s="192"/>
      <c r="C1042" s="21"/>
      <c r="D1042" s="192"/>
      <c r="E1042" s="192"/>
      <c r="F1042" s="192"/>
      <c r="G1042" s="192"/>
      <c r="H1042" s="192"/>
      <c r="I1042" s="192"/>
      <c r="J1042" s="192"/>
      <c r="K1042" s="192"/>
      <c r="L1042" s="192"/>
      <c r="M1042" s="192"/>
      <c r="N1042" s="192"/>
      <c r="O1042" s="192"/>
      <c r="P1042" s="192"/>
      <c r="Q1042" s="192"/>
      <c r="R1042" s="192"/>
      <c r="S1042" s="192"/>
      <c r="T1042" s="192"/>
      <c r="U1042" s="192"/>
      <c r="V1042" s="192"/>
      <c r="W1042" s="192"/>
      <c r="X1042" s="192"/>
      <c r="Y1042" s="192"/>
      <c r="Z1042" s="192"/>
    </row>
    <row r="1043">
      <c r="A1043" s="192"/>
      <c r="B1043" s="192"/>
      <c r="C1043" s="21"/>
      <c r="D1043" s="192"/>
      <c r="E1043" s="192"/>
      <c r="F1043" s="192"/>
      <c r="G1043" s="192"/>
      <c r="H1043" s="192"/>
      <c r="I1043" s="192"/>
      <c r="J1043" s="192"/>
      <c r="K1043" s="192"/>
      <c r="L1043" s="192"/>
      <c r="M1043" s="192"/>
      <c r="N1043" s="192"/>
      <c r="O1043" s="192"/>
      <c r="P1043" s="192"/>
      <c r="Q1043" s="192"/>
      <c r="R1043" s="192"/>
      <c r="S1043" s="192"/>
      <c r="T1043" s="192"/>
      <c r="U1043" s="192"/>
      <c r="V1043" s="192"/>
      <c r="W1043" s="192"/>
      <c r="X1043" s="192"/>
      <c r="Y1043" s="192"/>
      <c r="Z1043" s="192"/>
    </row>
    <row r="1044">
      <c r="A1044" s="192"/>
      <c r="B1044" s="192"/>
      <c r="C1044" s="21"/>
      <c r="D1044" s="192"/>
      <c r="E1044" s="192"/>
      <c r="F1044" s="192"/>
      <c r="G1044" s="192"/>
      <c r="H1044" s="192"/>
      <c r="I1044" s="192"/>
      <c r="J1044" s="192"/>
      <c r="K1044" s="192"/>
      <c r="L1044" s="192"/>
      <c r="M1044" s="192"/>
      <c r="N1044" s="192"/>
      <c r="O1044" s="192"/>
      <c r="P1044" s="192"/>
      <c r="Q1044" s="192"/>
      <c r="R1044" s="192"/>
      <c r="S1044" s="192"/>
      <c r="T1044" s="192"/>
      <c r="U1044" s="192"/>
      <c r="V1044" s="192"/>
      <c r="W1044" s="192"/>
      <c r="X1044" s="192"/>
      <c r="Y1044" s="192"/>
      <c r="Z1044" s="192"/>
    </row>
    <row r="1045">
      <c r="A1045" s="192"/>
      <c r="B1045" s="192"/>
      <c r="C1045" s="21"/>
      <c r="D1045" s="192"/>
      <c r="E1045" s="192"/>
      <c r="F1045" s="192"/>
      <c r="G1045" s="192"/>
      <c r="H1045" s="192"/>
      <c r="I1045" s="192"/>
      <c r="J1045" s="192"/>
      <c r="K1045" s="192"/>
      <c r="L1045" s="192"/>
      <c r="M1045" s="192"/>
      <c r="N1045" s="192"/>
      <c r="O1045" s="192"/>
      <c r="P1045" s="192"/>
      <c r="Q1045" s="192"/>
      <c r="R1045" s="192"/>
      <c r="S1045" s="192"/>
      <c r="T1045" s="192"/>
      <c r="U1045" s="192"/>
      <c r="V1045" s="192"/>
      <c r="W1045" s="192"/>
      <c r="X1045" s="192"/>
      <c r="Y1045" s="192"/>
      <c r="Z1045" s="192"/>
    </row>
    <row r="1046">
      <c r="A1046" s="192"/>
      <c r="B1046" s="192"/>
      <c r="C1046" s="21"/>
      <c r="D1046" s="192"/>
      <c r="E1046" s="192"/>
      <c r="F1046" s="192"/>
      <c r="G1046" s="192"/>
      <c r="H1046" s="192"/>
      <c r="I1046" s="192"/>
      <c r="J1046" s="192"/>
      <c r="K1046" s="192"/>
      <c r="L1046" s="192"/>
      <c r="M1046" s="192"/>
      <c r="N1046" s="192"/>
      <c r="O1046" s="192"/>
      <c r="P1046" s="192"/>
      <c r="Q1046" s="192"/>
      <c r="R1046" s="192"/>
      <c r="S1046" s="192"/>
      <c r="T1046" s="192"/>
      <c r="U1046" s="192"/>
      <c r="V1046" s="192"/>
      <c r="W1046" s="192"/>
      <c r="X1046" s="192"/>
      <c r="Y1046" s="192"/>
      <c r="Z1046" s="192"/>
    </row>
    <row r="1047">
      <c r="A1047" s="192"/>
      <c r="B1047" s="192"/>
      <c r="C1047" s="21"/>
      <c r="D1047" s="192"/>
      <c r="E1047" s="192"/>
      <c r="F1047" s="192"/>
      <c r="G1047" s="192"/>
      <c r="H1047" s="192"/>
      <c r="I1047" s="192"/>
      <c r="J1047" s="192"/>
      <c r="K1047" s="192"/>
      <c r="L1047" s="192"/>
      <c r="M1047" s="192"/>
      <c r="N1047" s="192"/>
      <c r="O1047" s="192"/>
      <c r="P1047" s="192"/>
      <c r="Q1047" s="192"/>
      <c r="R1047" s="192"/>
      <c r="S1047" s="192"/>
      <c r="T1047" s="192"/>
      <c r="U1047" s="192"/>
      <c r="V1047" s="192"/>
      <c r="W1047" s="192"/>
      <c r="X1047" s="192"/>
      <c r="Y1047" s="192"/>
      <c r="Z1047" s="192"/>
    </row>
    <row r="1048">
      <c r="A1048" s="192"/>
      <c r="B1048" s="192"/>
      <c r="C1048" s="21"/>
      <c r="D1048" s="192"/>
      <c r="E1048" s="192"/>
      <c r="F1048" s="192"/>
      <c r="G1048" s="192"/>
      <c r="H1048" s="192"/>
      <c r="I1048" s="192"/>
      <c r="J1048" s="192"/>
      <c r="K1048" s="192"/>
      <c r="L1048" s="192"/>
      <c r="M1048" s="192"/>
      <c r="N1048" s="192"/>
      <c r="O1048" s="192"/>
      <c r="P1048" s="192"/>
      <c r="Q1048" s="192"/>
      <c r="R1048" s="192"/>
      <c r="S1048" s="192"/>
      <c r="T1048" s="192"/>
      <c r="U1048" s="192"/>
      <c r="V1048" s="192"/>
      <c r="W1048" s="192"/>
      <c r="X1048" s="192"/>
      <c r="Y1048" s="192"/>
      <c r="Z1048" s="192"/>
    </row>
    <row r="1049">
      <c r="A1049" s="192"/>
      <c r="B1049" s="192"/>
      <c r="C1049" s="21"/>
      <c r="D1049" s="192"/>
      <c r="E1049" s="192"/>
      <c r="F1049" s="192"/>
      <c r="G1049" s="192"/>
      <c r="H1049" s="192"/>
      <c r="I1049" s="192"/>
      <c r="J1049" s="192"/>
      <c r="K1049" s="192"/>
      <c r="L1049" s="192"/>
      <c r="M1049" s="192"/>
      <c r="N1049" s="192"/>
      <c r="O1049" s="192"/>
      <c r="P1049" s="192"/>
      <c r="Q1049" s="192"/>
      <c r="R1049" s="192"/>
      <c r="S1049" s="192"/>
      <c r="T1049" s="192"/>
      <c r="U1049" s="192"/>
      <c r="V1049" s="192"/>
      <c r="W1049" s="192"/>
      <c r="X1049" s="192"/>
      <c r="Y1049" s="192"/>
      <c r="Z1049" s="192"/>
    </row>
    <row r="1050">
      <c r="A1050" s="192"/>
      <c r="B1050" s="192"/>
      <c r="C1050" s="21"/>
      <c r="D1050" s="192"/>
      <c r="E1050" s="192"/>
      <c r="F1050" s="192"/>
      <c r="G1050" s="192"/>
      <c r="H1050" s="192"/>
      <c r="I1050" s="192"/>
      <c r="J1050" s="192"/>
      <c r="K1050" s="192"/>
      <c r="L1050" s="192"/>
      <c r="M1050" s="192"/>
      <c r="N1050" s="192"/>
      <c r="O1050" s="192"/>
      <c r="P1050" s="192"/>
      <c r="Q1050" s="192"/>
      <c r="R1050" s="192"/>
      <c r="S1050" s="192"/>
      <c r="T1050" s="192"/>
      <c r="U1050" s="192"/>
      <c r="V1050" s="192"/>
      <c r="W1050" s="192"/>
      <c r="X1050" s="192"/>
      <c r="Y1050" s="192"/>
      <c r="Z1050" s="192"/>
    </row>
    <row r="1051">
      <c r="A1051" s="192"/>
      <c r="B1051" s="192"/>
      <c r="C1051" s="21"/>
      <c r="D1051" s="192"/>
      <c r="E1051" s="192"/>
      <c r="F1051" s="192"/>
      <c r="G1051" s="192"/>
      <c r="H1051" s="192"/>
      <c r="I1051" s="192"/>
      <c r="J1051" s="192"/>
      <c r="K1051" s="192"/>
      <c r="L1051" s="192"/>
      <c r="M1051" s="192"/>
      <c r="N1051" s="192"/>
      <c r="O1051" s="192"/>
      <c r="P1051" s="192"/>
      <c r="Q1051" s="192"/>
      <c r="R1051" s="192"/>
      <c r="S1051" s="192"/>
      <c r="T1051" s="192"/>
      <c r="U1051" s="192"/>
      <c r="V1051" s="192"/>
      <c r="W1051" s="192"/>
      <c r="X1051" s="192"/>
      <c r="Y1051" s="192"/>
      <c r="Z1051" s="192"/>
    </row>
    <row r="1052">
      <c r="A1052" s="192"/>
      <c r="B1052" s="192"/>
      <c r="C1052" s="21"/>
      <c r="D1052" s="192"/>
      <c r="E1052" s="192"/>
      <c r="F1052" s="192"/>
      <c r="G1052" s="192"/>
      <c r="H1052" s="192"/>
      <c r="I1052" s="192"/>
      <c r="J1052" s="192"/>
      <c r="K1052" s="192"/>
      <c r="L1052" s="192"/>
      <c r="M1052" s="192"/>
      <c r="N1052" s="192"/>
      <c r="O1052" s="192"/>
      <c r="P1052" s="192"/>
      <c r="Q1052" s="192"/>
      <c r="R1052" s="192"/>
      <c r="S1052" s="192"/>
      <c r="T1052" s="192"/>
      <c r="U1052" s="192"/>
      <c r="V1052" s="192"/>
      <c r="W1052" s="192"/>
      <c r="X1052" s="192"/>
      <c r="Y1052" s="192"/>
      <c r="Z1052" s="192"/>
    </row>
    <row r="1053">
      <c r="A1053" s="192"/>
      <c r="B1053" s="192"/>
      <c r="C1053" s="21"/>
      <c r="D1053" s="192"/>
      <c r="E1053" s="192"/>
      <c r="F1053" s="192"/>
      <c r="G1053" s="192"/>
      <c r="H1053" s="192"/>
      <c r="I1053" s="192"/>
      <c r="J1053" s="192"/>
      <c r="K1053" s="192"/>
      <c r="L1053" s="192"/>
      <c r="M1053" s="192"/>
      <c r="N1053" s="192"/>
      <c r="O1053" s="192"/>
      <c r="P1053" s="192"/>
      <c r="Q1053" s="192"/>
      <c r="R1053" s="192"/>
      <c r="S1053" s="192"/>
      <c r="T1053" s="192"/>
      <c r="U1053" s="192"/>
      <c r="V1053" s="192"/>
      <c r="W1053" s="192"/>
      <c r="X1053" s="192"/>
      <c r="Y1053" s="192"/>
      <c r="Z1053" s="192"/>
    </row>
    <row r="1054">
      <c r="A1054" s="192"/>
      <c r="B1054" s="192"/>
      <c r="C1054" s="21"/>
      <c r="D1054" s="192"/>
      <c r="E1054" s="192"/>
      <c r="F1054" s="192"/>
      <c r="G1054" s="192"/>
      <c r="H1054" s="192"/>
      <c r="I1054" s="192"/>
      <c r="J1054" s="192"/>
      <c r="K1054" s="192"/>
      <c r="L1054" s="192"/>
      <c r="M1054" s="192"/>
      <c r="N1054" s="192"/>
      <c r="O1054" s="192"/>
      <c r="P1054" s="192"/>
      <c r="Q1054" s="192"/>
      <c r="R1054" s="192"/>
      <c r="S1054" s="192"/>
      <c r="T1054" s="192"/>
      <c r="U1054" s="192"/>
      <c r="V1054" s="192"/>
      <c r="W1054" s="192"/>
      <c r="X1054" s="192"/>
      <c r="Y1054" s="192"/>
      <c r="Z1054" s="192"/>
    </row>
    <row r="1055">
      <c r="A1055" s="192"/>
      <c r="B1055" s="192"/>
      <c r="C1055" s="21"/>
      <c r="D1055" s="192"/>
      <c r="E1055" s="192"/>
      <c r="F1055" s="192"/>
      <c r="G1055" s="192"/>
      <c r="H1055" s="192"/>
      <c r="I1055" s="192"/>
      <c r="J1055" s="192"/>
      <c r="K1055" s="192"/>
      <c r="L1055" s="192"/>
      <c r="M1055" s="192"/>
      <c r="N1055" s="192"/>
      <c r="O1055" s="192"/>
      <c r="P1055" s="192"/>
      <c r="Q1055" s="192"/>
      <c r="R1055" s="192"/>
      <c r="S1055" s="192"/>
      <c r="T1055" s="192"/>
      <c r="U1055" s="192"/>
      <c r="V1055" s="192"/>
      <c r="W1055" s="192"/>
      <c r="X1055" s="192"/>
      <c r="Y1055" s="192"/>
      <c r="Z1055" s="192"/>
    </row>
    <row r="1056">
      <c r="A1056" s="192"/>
      <c r="B1056" s="192"/>
      <c r="C1056" s="21"/>
      <c r="D1056" s="192"/>
      <c r="E1056" s="192"/>
      <c r="F1056" s="192"/>
      <c r="G1056" s="192"/>
      <c r="H1056" s="192"/>
      <c r="I1056" s="192"/>
      <c r="J1056" s="192"/>
      <c r="K1056" s="192"/>
      <c r="L1056" s="192"/>
      <c r="M1056" s="192"/>
      <c r="N1056" s="192"/>
      <c r="O1056" s="192"/>
      <c r="P1056" s="192"/>
      <c r="Q1056" s="192"/>
      <c r="R1056" s="192"/>
      <c r="S1056" s="192"/>
      <c r="T1056" s="192"/>
      <c r="U1056" s="192"/>
      <c r="V1056" s="192"/>
      <c r="W1056" s="192"/>
      <c r="X1056" s="192"/>
      <c r="Y1056" s="192"/>
      <c r="Z1056" s="192"/>
    </row>
    <row r="1057">
      <c r="A1057" s="192"/>
      <c r="B1057" s="192"/>
      <c r="C1057" s="21"/>
      <c r="D1057" s="192"/>
      <c r="E1057" s="192"/>
      <c r="F1057" s="192"/>
      <c r="G1057" s="192"/>
      <c r="H1057" s="192"/>
      <c r="I1057" s="192"/>
      <c r="J1057" s="192"/>
      <c r="K1057" s="192"/>
      <c r="L1057" s="192"/>
      <c r="M1057" s="192"/>
      <c r="N1057" s="192"/>
      <c r="O1057" s="192"/>
      <c r="P1057" s="192"/>
      <c r="Q1057" s="192"/>
      <c r="R1057" s="192"/>
      <c r="S1057" s="192"/>
      <c r="T1057" s="192"/>
      <c r="U1057" s="192"/>
      <c r="V1057" s="192"/>
      <c r="W1057" s="192"/>
      <c r="X1057" s="192"/>
      <c r="Y1057" s="192"/>
      <c r="Z1057" s="192"/>
    </row>
    <row r="1058">
      <c r="A1058" s="192"/>
      <c r="B1058" s="192"/>
      <c r="C1058" s="21"/>
      <c r="D1058" s="192"/>
      <c r="E1058" s="192"/>
      <c r="F1058" s="192"/>
      <c r="G1058" s="192"/>
      <c r="H1058" s="192"/>
      <c r="I1058" s="192"/>
      <c r="J1058" s="192"/>
      <c r="K1058" s="192"/>
      <c r="L1058" s="192"/>
      <c r="M1058" s="192"/>
      <c r="N1058" s="192"/>
      <c r="O1058" s="192"/>
      <c r="P1058" s="192"/>
      <c r="Q1058" s="192"/>
      <c r="R1058" s="192"/>
      <c r="S1058" s="192"/>
      <c r="T1058" s="192"/>
      <c r="U1058" s="192"/>
      <c r="V1058" s="192"/>
      <c r="W1058" s="192"/>
      <c r="X1058" s="192"/>
      <c r="Y1058" s="192"/>
      <c r="Z1058" s="192"/>
    </row>
    <row r="1059">
      <c r="A1059" s="192"/>
      <c r="B1059" s="192"/>
      <c r="C1059" s="21"/>
      <c r="D1059" s="192"/>
      <c r="E1059" s="192"/>
      <c r="F1059" s="192"/>
      <c r="G1059" s="192"/>
      <c r="H1059" s="192"/>
      <c r="I1059" s="192"/>
      <c r="J1059" s="192"/>
      <c r="K1059" s="192"/>
      <c r="L1059" s="192"/>
      <c r="M1059" s="192"/>
      <c r="N1059" s="192"/>
      <c r="O1059" s="192"/>
      <c r="P1059" s="192"/>
      <c r="Q1059" s="192"/>
      <c r="R1059" s="192"/>
      <c r="S1059" s="192"/>
      <c r="T1059" s="192"/>
      <c r="U1059" s="192"/>
      <c r="V1059" s="192"/>
      <c r="W1059" s="192"/>
      <c r="X1059" s="192"/>
      <c r="Y1059" s="192"/>
      <c r="Z1059" s="192"/>
    </row>
    <row r="1060">
      <c r="A1060" s="192"/>
      <c r="B1060" s="192"/>
      <c r="C1060" s="21"/>
      <c r="D1060" s="192"/>
      <c r="E1060" s="192"/>
      <c r="F1060" s="192"/>
      <c r="G1060" s="192"/>
      <c r="H1060" s="192"/>
      <c r="I1060" s="192"/>
      <c r="J1060" s="192"/>
      <c r="K1060" s="192"/>
      <c r="L1060" s="192"/>
      <c r="M1060" s="192"/>
      <c r="N1060" s="192"/>
      <c r="O1060" s="192"/>
      <c r="P1060" s="192"/>
      <c r="Q1060" s="192"/>
      <c r="R1060" s="192"/>
      <c r="S1060" s="192"/>
      <c r="T1060" s="192"/>
      <c r="U1060" s="192"/>
      <c r="V1060" s="192"/>
      <c r="W1060" s="192"/>
      <c r="X1060" s="192"/>
      <c r="Y1060" s="192"/>
      <c r="Z1060" s="192"/>
    </row>
    <row r="1061">
      <c r="A1061" s="192"/>
      <c r="B1061" s="192"/>
      <c r="C1061" s="21"/>
      <c r="D1061" s="192"/>
      <c r="E1061" s="192"/>
      <c r="F1061" s="192"/>
      <c r="G1061" s="192"/>
      <c r="H1061" s="192"/>
      <c r="I1061" s="192"/>
      <c r="J1061" s="192"/>
      <c r="K1061" s="192"/>
      <c r="L1061" s="192"/>
      <c r="M1061" s="192"/>
      <c r="N1061" s="192"/>
      <c r="O1061" s="192"/>
      <c r="P1061" s="192"/>
      <c r="Q1061" s="192"/>
      <c r="R1061" s="192"/>
      <c r="S1061" s="192"/>
      <c r="T1061" s="192"/>
      <c r="U1061" s="192"/>
      <c r="V1061" s="192"/>
      <c r="W1061" s="192"/>
      <c r="X1061" s="192"/>
      <c r="Y1061" s="192"/>
      <c r="Z1061" s="192"/>
    </row>
    <row r="1062">
      <c r="A1062" s="192"/>
      <c r="B1062" s="192"/>
      <c r="C1062" s="21"/>
      <c r="D1062" s="192"/>
      <c r="E1062" s="192"/>
      <c r="F1062" s="192"/>
      <c r="G1062" s="192"/>
      <c r="H1062" s="192"/>
      <c r="I1062" s="192"/>
      <c r="J1062" s="192"/>
      <c r="K1062" s="192"/>
      <c r="L1062" s="192"/>
      <c r="M1062" s="192"/>
      <c r="N1062" s="192"/>
      <c r="O1062" s="192"/>
      <c r="P1062" s="192"/>
      <c r="Q1062" s="192"/>
      <c r="R1062" s="192"/>
      <c r="S1062" s="192"/>
      <c r="T1062" s="192"/>
      <c r="U1062" s="192"/>
      <c r="V1062" s="192"/>
      <c r="W1062" s="192"/>
      <c r="X1062" s="192"/>
      <c r="Y1062" s="192"/>
      <c r="Z1062" s="192"/>
    </row>
    <row r="1063">
      <c r="A1063" s="192"/>
      <c r="B1063" s="192"/>
      <c r="C1063" s="21"/>
      <c r="D1063" s="192"/>
      <c r="E1063" s="192"/>
      <c r="F1063" s="192"/>
      <c r="G1063" s="192"/>
      <c r="H1063" s="192"/>
      <c r="I1063" s="192"/>
      <c r="J1063" s="192"/>
      <c r="K1063" s="192"/>
      <c r="L1063" s="192"/>
      <c r="M1063" s="192"/>
      <c r="N1063" s="192"/>
      <c r="O1063" s="192"/>
      <c r="P1063" s="192"/>
      <c r="Q1063" s="192"/>
      <c r="R1063" s="192"/>
      <c r="S1063" s="192"/>
      <c r="T1063" s="192"/>
      <c r="U1063" s="192"/>
      <c r="V1063" s="192"/>
      <c r="W1063" s="192"/>
      <c r="X1063" s="192"/>
      <c r="Y1063" s="192"/>
      <c r="Z1063" s="192"/>
    </row>
    <row r="1064">
      <c r="A1064" s="192"/>
      <c r="B1064" s="192"/>
      <c r="C1064" s="21"/>
      <c r="D1064" s="192"/>
      <c r="E1064" s="192"/>
      <c r="F1064" s="192"/>
      <c r="G1064" s="192"/>
      <c r="H1064" s="192"/>
      <c r="I1064" s="192"/>
      <c r="J1064" s="192"/>
      <c r="K1064" s="192"/>
      <c r="L1064" s="192"/>
      <c r="M1064" s="192"/>
      <c r="N1064" s="192"/>
      <c r="O1064" s="192"/>
      <c r="P1064" s="192"/>
      <c r="Q1064" s="192"/>
      <c r="R1064" s="192"/>
      <c r="S1064" s="192"/>
      <c r="T1064" s="192"/>
      <c r="U1064" s="192"/>
      <c r="V1064" s="192"/>
      <c r="W1064" s="192"/>
      <c r="X1064" s="192"/>
      <c r="Y1064" s="192"/>
      <c r="Z1064" s="192"/>
    </row>
    <row r="1065">
      <c r="A1065" s="192"/>
      <c r="B1065" s="192"/>
      <c r="C1065" s="21"/>
      <c r="D1065" s="192"/>
      <c r="E1065" s="192"/>
      <c r="F1065" s="192"/>
      <c r="G1065" s="192"/>
      <c r="H1065" s="192"/>
      <c r="I1065" s="192"/>
      <c r="J1065" s="192"/>
      <c r="K1065" s="192"/>
      <c r="L1065" s="192"/>
      <c r="M1065" s="192"/>
      <c r="N1065" s="192"/>
      <c r="O1065" s="192"/>
      <c r="P1065" s="192"/>
      <c r="Q1065" s="192"/>
      <c r="R1065" s="192"/>
      <c r="S1065" s="192"/>
      <c r="T1065" s="192"/>
      <c r="U1065" s="192"/>
      <c r="V1065" s="192"/>
      <c r="W1065" s="192"/>
      <c r="X1065" s="192"/>
      <c r="Y1065" s="192"/>
      <c r="Z1065" s="192"/>
    </row>
    <row r="1066">
      <c r="A1066" s="192"/>
      <c r="B1066" s="192"/>
      <c r="C1066" s="21"/>
      <c r="D1066" s="192"/>
      <c r="E1066" s="192"/>
      <c r="F1066" s="192"/>
      <c r="G1066" s="192"/>
      <c r="H1066" s="192"/>
      <c r="I1066" s="192"/>
      <c r="J1066" s="192"/>
      <c r="K1066" s="192"/>
      <c r="L1066" s="192"/>
      <c r="M1066" s="192"/>
      <c r="N1066" s="192"/>
      <c r="O1066" s="192"/>
      <c r="P1066" s="192"/>
      <c r="Q1066" s="192"/>
      <c r="R1066" s="192"/>
      <c r="S1066" s="192"/>
      <c r="T1066" s="192"/>
      <c r="U1066" s="192"/>
      <c r="V1066" s="192"/>
      <c r="W1066" s="192"/>
      <c r="X1066" s="192"/>
      <c r="Y1066" s="192"/>
      <c r="Z1066" s="192"/>
    </row>
    <row r="1067">
      <c r="A1067" s="192"/>
      <c r="B1067" s="192"/>
      <c r="C1067" s="21"/>
      <c r="D1067" s="192"/>
      <c r="E1067" s="192"/>
      <c r="F1067" s="192"/>
      <c r="G1067" s="192"/>
      <c r="H1067" s="192"/>
      <c r="I1067" s="192"/>
      <c r="J1067" s="192"/>
      <c r="K1067" s="192"/>
      <c r="L1067" s="192"/>
      <c r="M1067" s="192"/>
      <c r="N1067" s="192"/>
      <c r="O1067" s="192"/>
      <c r="P1067" s="192"/>
      <c r="Q1067" s="192"/>
      <c r="R1067" s="192"/>
      <c r="S1067" s="192"/>
      <c r="T1067" s="192"/>
      <c r="U1067" s="192"/>
      <c r="V1067" s="192"/>
      <c r="W1067" s="192"/>
      <c r="X1067" s="192"/>
      <c r="Y1067" s="192"/>
      <c r="Z1067" s="192"/>
    </row>
    <row r="1068">
      <c r="A1068" s="192"/>
      <c r="B1068" s="192"/>
      <c r="C1068" s="21"/>
      <c r="D1068" s="192"/>
      <c r="E1068" s="192"/>
      <c r="F1068" s="192"/>
      <c r="G1068" s="192"/>
      <c r="H1068" s="192"/>
      <c r="I1068" s="192"/>
      <c r="J1068" s="192"/>
      <c r="K1068" s="192"/>
      <c r="L1068" s="192"/>
      <c r="M1068" s="192"/>
      <c r="N1068" s="192"/>
      <c r="O1068" s="192"/>
      <c r="P1068" s="192"/>
      <c r="Q1068" s="192"/>
      <c r="R1068" s="192"/>
      <c r="S1068" s="192"/>
      <c r="T1068" s="192"/>
      <c r="U1068" s="192"/>
      <c r="V1068" s="192"/>
      <c r="W1068" s="192"/>
      <c r="X1068" s="192"/>
      <c r="Y1068" s="192"/>
      <c r="Z1068" s="192"/>
    </row>
    <row r="1069">
      <c r="A1069" s="192"/>
      <c r="B1069" s="192"/>
      <c r="C1069" s="21"/>
      <c r="D1069" s="192"/>
      <c r="E1069" s="192"/>
      <c r="F1069" s="192"/>
      <c r="G1069" s="192"/>
      <c r="H1069" s="192"/>
      <c r="I1069" s="192"/>
      <c r="J1069" s="192"/>
      <c r="K1069" s="192"/>
      <c r="L1069" s="192"/>
      <c r="M1069" s="192"/>
      <c r="N1069" s="192"/>
      <c r="O1069" s="192"/>
      <c r="P1069" s="192"/>
      <c r="Q1069" s="192"/>
      <c r="R1069" s="192"/>
      <c r="S1069" s="192"/>
      <c r="T1069" s="192"/>
      <c r="U1069" s="192"/>
      <c r="V1069" s="192"/>
      <c r="W1069" s="192"/>
      <c r="X1069" s="192"/>
      <c r="Y1069" s="192"/>
      <c r="Z1069" s="192"/>
    </row>
    <row r="1070">
      <c r="A1070" s="192"/>
      <c r="B1070" s="192"/>
      <c r="C1070" s="21"/>
      <c r="D1070" s="192"/>
      <c r="E1070" s="192"/>
      <c r="F1070" s="192"/>
      <c r="G1070" s="192"/>
      <c r="H1070" s="192"/>
      <c r="I1070" s="192"/>
      <c r="J1070" s="192"/>
      <c r="K1070" s="192"/>
      <c r="L1070" s="192"/>
      <c r="M1070" s="192"/>
      <c r="N1070" s="192"/>
      <c r="O1070" s="192"/>
      <c r="P1070" s="192"/>
      <c r="Q1070" s="192"/>
      <c r="R1070" s="192"/>
      <c r="S1070" s="192"/>
      <c r="T1070" s="192"/>
      <c r="U1070" s="192"/>
      <c r="V1070" s="192"/>
      <c r="W1070" s="192"/>
      <c r="X1070" s="192"/>
      <c r="Y1070" s="192"/>
      <c r="Z1070" s="192"/>
    </row>
    <row r="1071">
      <c r="A1071" s="192"/>
      <c r="B1071" s="192"/>
      <c r="C1071" s="21"/>
      <c r="D1071" s="192"/>
      <c r="E1071" s="192"/>
      <c r="F1071" s="192"/>
      <c r="G1071" s="192"/>
      <c r="H1071" s="192"/>
      <c r="I1071" s="192"/>
      <c r="J1071" s="192"/>
      <c r="K1071" s="192"/>
      <c r="L1071" s="192"/>
      <c r="M1071" s="192"/>
      <c r="N1071" s="192"/>
      <c r="O1071" s="192"/>
      <c r="P1071" s="192"/>
      <c r="Q1071" s="192"/>
      <c r="R1071" s="192"/>
      <c r="S1071" s="192"/>
      <c r="T1071" s="192"/>
      <c r="U1071" s="192"/>
      <c r="V1071" s="192"/>
      <c r="W1071" s="192"/>
      <c r="X1071" s="192"/>
      <c r="Y1071" s="192"/>
      <c r="Z1071" s="192"/>
    </row>
    <row r="1072">
      <c r="A1072" s="192"/>
      <c r="B1072" s="192"/>
      <c r="C1072" s="21"/>
      <c r="D1072" s="192"/>
      <c r="E1072" s="192"/>
      <c r="F1072" s="192"/>
      <c r="G1072" s="192"/>
      <c r="H1072" s="192"/>
      <c r="I1072" s="192"/>
      <c r="J1072" s="192"/>
      <c r="K1072" s="192"/>
      <c r="L1072" s="192"/>
      <c r="M1072" s="192"/>
      <c r="N1072" s="192"/>
      <c r="O1072" s="192"/>
      <c r="P1072" s="192"/>
      <c r="Q1072" s="192"/>
      <c r="R1072" s="192"/>
      <c r="S1072" s="192"/>
      <c r="T1072" s="192"/>
      <c r="U1072" s="192"/>
      <c r="V1072" s="192"/>
      <c r="W1072" s="192"/>
      <c r="X1072" s="192"/>
      <c r="Y1072" s="192"/>
      <c r="Z1072" s="192"/>
    </row>
    <row r="1073">
      <c r="A1073" s="192"/>
      <c r="B1073" s="192"/>
      <c r="C1073" s="21"/>
      <c r="D1073" s="192"/>
      <c r="E1073" s="192"/>
      <c r="F1073" s="192"/>
      <c r="G1073" s="192"/>
      <c r="H1073" s="192"/>
      <c r="I1073" s="192"/>
      <c r="J1073" s="192"/>
      <c r="K1073" s="192"/>
      <c r="L1073" s="192"/>
      <c r="M1073" s="192"/>
      <c r="N1073" s="192"/>
      <c r="O1073" s="192"/>
      <c r="P1073" s="192"/>
      <c r="Q1073" s="192"/>
      <c r="R1073" s="192"/>
      <c r="S1073" s="192"/>
      <c r="T1073" s="192"/>
      <c r="U1073" s="192"/>
      <c r="V1073" s="192"/>
      <c r="W1073" s="192"/>
      <c r="X1073" s="192"/>
      <c r="Y1073" s="192"/>
      <c r="Z1073" s="192"/>
    </row>
    <row r="1074">
      <c r="A1074" s="192"/>
      <c r="B1074" s="192"/>
      <c r="C1074" s="21"/>
      <c r="D1074" s="192"/>
      <c r="E1074" s="192"/>
      <c r="F1074" s="192"/>
      <c r="G1074" s="192"/>
      <c r="H1074" s="192"/>
      <c r="I1074" s="192"/>
      <c r="J1074" s="192"/>
      <c r="K1074" s="192"/>
      <c r="L1074" s="192"/>
      <c r="M1074" s="192"/>
      <c r="N1074" s="192"/>
      <c r="O1074" s="192"/>
      <c r="P1074" s="192"/>
      <c r="Q1074" s="192"/>
      <c r="R1074" s="192"/>
      <c r="S1074" s="192"/>
      <c r="T1074" s="192"/>
      <c r="U1074" s="192"/>
      <c r="V1074" s="192"/>
      <c r="W1074" s="192"/>
      <c r="X1074" s="192"/>
      <c r="Y1074" s="192"/>
      <c r="Z1074" s="192"/>
    </row>
    <row r="1075">
      <c r="A1075" s="192"/>
      <c r="B1075" s="192"/>
      <c r="C1075" s="21"/>
      <c r="D1075" s="192"/>
      <c r="E1075" s="192"/>
      <c r="F1075" s="192"/>
      <c r="G1075" s="192"/>
      <c r="H1075" s="192"/>
      <c r="I1075" s="192"/>
      <c r="J1075" s="192"/>
      <c r="K1075" s="192"/>
      <c r="L1075" s="192"/>
      <c r="M1075" s="192"/>
      <c r="N1075" s="192"/>
      <c r="O1075" s="192"/>
      <c r="P1075" s="192"/>
      <c r="Q1075" s="192"/>
      <c r="R1075" s="192"/>
      <c r="S1075" s="192"/>
      <c r="T1075" s="192"/>
      <c r="U1075" s="192"/>
      <c r="V1075" s="192"/>
      <c r="W1075" s="192"/>
      <c r="X1075" s="192"/>
      <c r="Y1075" s="192"/>
      <c r="Z1075" s="192"/>
    </row>
    <row r="1076">
      <c r="A1076" s="192"/>
      <c r="B1076" s="192"/>
      <c r="C1076" s="21"/>
      <c r="D1076" s="192"/>
      <c r="E1076" s="192"/>
      <c r="F1076" s="192"/>
      <c r="G1076" s="192"/>
      <c r="H1076" s="192"/>
      <c r="I1076" s="192"/>
      <c r="J1076" s="192"/>
      <c r="K1076" s="192"/>
      <c r="L1076" s="192"/>
      <c r="M1076" s="192"/>
      <c r="N1076" s="192"/>
      <c r="O1076" s="192"/>
      <c r="P1076" s="192"/>
      <c r="Q1076" s="192"/>
      <c r="R1076" s="192"/>
      <c r="S1076" s="192"/>
      <c r="T1076" s="192"/>
      <c r="U1076" s="192"/>
      <c r="V1076" s="192"/>
      <c r="W1076" s="192"/>
      <c r="X1076" s="192"/>
      <c r="Y1076" s="192"/>
      <c r="Z1076" s="192"/>
    </row>
    <row r="1077">
      <c r="A1077" s="192"/>
      <c r="B1077" s="192"/>
      <c r="C1077" s="21"/>
      <c r="D1077" s="192"/>
      <c r="E1077" s="192"/>
      <c r="F1077" s="192"/>
      <c r="G1077" s="192"/>
      <c r="H1077" s="192"/>
      <c r="I1077" s="192"/>
      <c r="J1077" s="192"/>
      <c r="K1077" s="192"/>
      <c r="L1077" s="192"/>
      <c r="M1077" s="192"/>
      <c r="N1077" s="192"/>
      <c r="O1077" s="192"/>
      <c r="P1077" s="192"/>
      <c r="Q1077" s="192"/>
      <c r="R1077" s="192"/>
      <c r="S1077" s="192"/>
      <c r="T1077" s="192"/>
      <c r="U1077" s="192"/>
      <c r="V1077" s="192"/>
      <c r="W1077" s="192"/>
      <c r="X1077" s="192"/>
      <c r="Y1077" s="192"/>
      <c r="Z1077" s="192"/>
    </row>
    <row r="1078">
      <c r="A1078" s="192"/>
      <c r="B1078" s="192"/>
      <c r="C1078" s="21"/>
      <c r="D1078" s="192"/>
      <c r="E1078" s="192"/>
      <c r="F1078" s="192"/>
      <c r="G1078" s="192"/>
      <c r="H1078" s="192"/>
      <c r="I1078" s="192"/>
      <c r="J1078" s="192"/>
      <c r="K1078" s="192"/>
      <c r="L1078" s="192"/>
      <c r="M1078" s="192"/>
      <c r="N1078" s="192"/>
      <c r="O1078" s="192"/>
      <c r="P1078" s="192"/>
      <c r="Q1078" s="192"/>
      <c r="R1078" s="192"/>
      <c r="S1078" s="192"/>
      <c r="T1078" s="192"/>
      <c r="U1078" s="192"/>
      <c r="V1078" s="192"/>
      <c r="W1078" s="192"/>
      <c r="X1078" s="192"/>
      <c r="Y1078" s="192"/>
      <c r="Z1078" s="192"/>
    </row>
    <row r="1079">
      <c r="A1079" s="192"/>
      <c r="B1079" s="192"/>
      <c r="C1079" s="21"/>
      <c r="D1079" s="192"/>
      <c r="E1079" s="192"/>
      <c r="F1079" s="192"/>
      <c r="G1079" s="192"/>
      <c r="H1079" s="192"/>
      <c r="I1079" s="192"/>
      <c r="J1079" s="192"/>
      <c r="K1079" s="192"/>
      <c r="L1079" s="192"/>
      <c r="M1079" s="192"/>
      <c r="N1079" s="192"/>
      <c r="O1079" s="192"/>
      <c r="P1079" s="192"/>
      <c r="Q1079" s="192"/>
      <c r="R1079" s="192"/>
      <c r="S1079" s="192"/>
      <c r="T1079" s="192"/>
      <c r="U1079" s="192"/>
      <c r="V1079" s="192"/>
      <c r="W1079" s="192"/>
      <c r="X1079" s="192"/>
      <c r="Y1079" s="192"/>
      <c r="Z1079" s="192"/>
    </row>
    <row r="1080">
      <c r="A1080" s="192"/>
      <c r="B1080" s="192"/>
      <c r="C1080" s="21"/>
      <c r="D1080" s="192"/>
      <c r="E1080" s="192"/>
      <c r="F1080" s="192"/>
      <c r="G1080" s="192"/>
      <c r="H1080" s="192"/>
      <c r="I1080" s="192"/>
      <c r="J1080" s="192"/>
      <c r="K1080" s="192"/>
      <c r="L1080" s="192"/>
      <c r="M1080" s="192"/>
      <c r="N1080" s="192"/>
      <c r="O1080" s="192"/>
      <c r="P1080" s="192"/>
      <c r="Q1080" s="192"/>
      <c r="R1080" s="192"/>
      <c r="S1080" s="192"/>
      <c r="T1080" s="192"/>
      <c r="U1080" s="192"/>
      <c r="V1080" s="192"/>
      <c r="W1080" s="192"/>
      <c r="X1080" s="192"/>
      <c r="Y1080" s="192"/>
      <c r="Z1080" s="192"/>
    </row>
    <row r="1081">
      <c r="A1081" s="192"/>
      <c r="B1081" s="192"/>
      <c r="C1081" s="21"/>
      <c r="D1081" s="192"/>
      <c r="E1081" s="192"/>
      <c r="F1081" s="192"/>
      <c r="G1081" s="192"/>
      <c r="H1081" s="192"/>
      <c r="I1081" s="192"/>
      <c r="J1081" s="192"/>
      <c r="K1081" s="192"/>
      <c r="L1081" s="192"/>
      <c r="M1081" s="192"/>
      <c r="N1081" s="192"/>
      <c r="O1081" s="192"/>
      <c r="P1081" s="192"/>
      <c r="Q1081" s="192"/>
      <c r="R1081" s="192"/>
      <c r="S1081" s="192"/>
      <c r="T1081" s="192"/>
      <c r="U1081" s="192"/>
      <c r="V1081" s="192"/>
      <c r="W1081" s="192"/>
      <c r="X1081" s="192"/>
      <c r="Y1081" s="192"/>
      <c r="Z1081" s="192"/>
    </row>
    <row r="1082">
      <c r="A1082" s="192"/>
      <c r="B1082" s="192"/>
      <c r="C1082" s="21"/>
      <c r="D1082" s="192"/>
      <c r="E1082" s="192"/>
      <c r="F1082" s="192"/>
      <c r="G1082" s="192"/>
      <c r="H1082" s="192"/>
      <c r="I1082" s="192"/>
      <c r="J1082" s="192"/>
      <c r="K1082" s="192"/>
      <c r="L1082" s="192"/>
      <c r="M1082" s="192"/>
      <c r="N1082" s="192"/>
      <c r="O1082" s="192"/>
      <c r="P1082" s="192"/>
      <c r="Q1082" s="192"/>
      <c r="R1082" s="192"/>
      <c r="S1082" s="192"/>
      <c r="T1082" s="192"/>
      <c r="U1082" s="192"/>
      <c r="V1082" s="192"/>
      <c r="W1082" s="192"/>
      <c r="X1082" s="192"/>
      <c r="Y1082" s="192"/>
      <c r="Z1082" s="192"/>
    </row>
    <row r="1083">
      <c r="A1083" s="192"/>
      <c r="B1083" s="192"/>
      <c r="C1083" s="21"/>
      <c r="D1083" s="192"/>
      <c r="E1083" s="192"/>
      <c r="F1083" s="192"/>
      <c r="G1083" s="192"/>
      <c r="H1083" s="192"/>
      <c r="I1083" s="192"/>
      <c r="J1083" s="192"/>
      <c r="K1083" s="192"/>
      <c r="L1083" s="192"/>
      <c r="M1083" s="192"/>
      <c r="N1083" s="192"/>
      <c r="O1083" s="192"/>
      <c r="P1083" s="192"/>
      <c r="Q1083" s="192"/>
      <c r="R1083" s="192"/>
      <c r="S1083" s="192"/>
      <c r="T1083" s="192"/>
      <c r="U1083" s="192"/>
      <c r="V1083" s="192"/>
      <c r="W1083" s="192"/>
      <c r="X1083" s="192"/>
      <c r="Y1083" s="192"/>
      <c r="Z1083" s="192"/>
    </row>
    <row r="1084">
      <c r="A1084" s="192"/>
      <c r="B1084" s="192"/>
      <c r="C1084" s="21"/>
      <c r="D1084" s="192"/>
      <c r="E1084" s="192"/>
      <c r="F1084" s="192"/>
      <c r="G1084" s="192"/>
      <c r="H1084" s="192"/>
      <c r="I1084" s="192"/>
      <c r="J1084" s="192"/>
      <c r="K1084" s="192"/>
      <c r="L1084" s="192"/>
      <c r="M1084" s="192"/>
      <c r="N1084" s="192"/>
      <c r="O1084" s="192"/>
      <c r="P1084" s="192"/>
      <c r="Q1084" s="192"/>
      <c r="R1084" s="192"/>
      <c r="S1084" s="192"/>
      <c r="T1084" s="192"/>
      <c r="U1084" s="192"/>
      <c r="V1084" s="192"/>
      <c r="W1084" s="192"/>
      <c r="X1084" s="192"/>
      <c r="Y1084" s="192"/>
      <c r="Z1084" s="192"/>
    </row>
    <row r="1085">
      <c r="A1085" s="192"/>
      <c r="B1085" s="192"/>
      <c r="C1085" s="21"/>
      <c r="D1085" s="192"/>
      <c r="E1085" s="192"/>
      <c r="F1085" s="192"/>
      <c r="G1085" s="192"/>
      <c r="H1085" s="192"/>
      <c r="I1085" s="192"/>
      <c r="J1085" s="192"/>
      <c r="K1085" s="192"/>
      <c r="L1085" s="192"/>
      <c r="M1085" s="192"/>
      <c r="N1085" s="192"/>
      <c r="O1085" s="192"/>
      <c r="P1085" s="192"/>
      <c r="Q1085" s="192"/>
      <c r="R1085" s="192"/>
      <c r="S1085" s="192"/>
      <c r="T1085" s="192"/>
      <c r="U1085" s="192"/>
      <c r="V1085" s="192"/>
      <c r="W1085" s="192"/>
      <c r="X1085" s="192"/>
      <c r="Y1085" s="192"/>
      <c r="Z1085" s="192"/>
    </row>
    <row r="1086">
      <c r="A1086" s="192"/>
      <c r="B1086" s="192"/>
      <c r="C1086" s="21"/>
      <c r="D1086" s="192"/>
      <c r="E1086" s="192"/>
      <c r="F1086" s="192"/>
      <c r="G1086" s="192"/>
      <c r="H1086" s="192"/>
      <c r="I1086" s="192"/>
      <c r="J1086" s="192"/>
      <c r="K1086" s="192"/>
      <c r="L1086" s="192"/>
      <c r="M1086" s="192"/>
      <c r="N1086" s="192"/>
      <c r="O1086" s="192"/>
      <c r="P1086" s="192"/>
      <c r="Q1086" s="192"/>
      <c r="R1086" s="192"/>
      <c r="S1086" s="192"/>
      <c r="T1086" s="192"/>
      <c r="U1086" s="192"/>
      <c r="V1086" s="192"/>
      <c r="W1086" s="192"/>
      <c r="X1086" s="192"/>
      <c r="Y1086" s="192"/>
      <c r="Z1086" s="192"/>
    </row>
    <row r="1087">
      <c r="A1087" s="192"/>
      <c r="B1087" s="192"/>
      <c r="C1087" s="21"/>
      <c r="D1087" s="192"/>
      <c r="E1087" s="192"/>
      <c r="F1087" s="192"/>
      <c r="G1087" s="192"/>
      <c r="H1087" s="192"/>
      <c r="I1087" s="192"/>
      <c r="J1087" s="192"/>
      <c r="K1087" s="192"/>
      <c r="L1087" s="192"/>
      <c r="M1087" s="192"/>
      <c r="N1087" s="192"/>
      <c r="O1087" s="192"/>
      <c r="P1087" s="192"/>
      <c r="Q1087" s="192"/>
      <c r="R1087" s="192"/>
      <c r="S1087" s="192"/>
      <c r="T1087" s="192"/>
      <c r="U1087" s="192"/>
      <c r="V1087" s="192"/>
      <c r="W1087" s="192"/>
      <c r="X1087" s="192"/>
      <c r="Y1087" s="192"/>
      <c r="Z1087" s="192"/>
    </row>
    <row r="1088">
      <c r="A1088" s="192"/>
      <c r="B1088" s="192"/>
      <c r="C1088" s="21"/>
      <c r="D1088" s="192"/>
      <c r="E1088" s="192"/>
      <c r="F1088" s="192"/>
      <c r="G1088" s="192"/>
      <c r="H1088" s="192"/>
      <c r="I1088" s="192"/>
      <c r="J1088" s="192"/>
      <c r="K1088" s="192"/>
      <c r="L1088" s="192"/>
      <c r="M1088" s="192"/>
      <c r="N1088" s="192"/>
      <c r="O1088" s="192"/>
      <c r="P1088" s="192"/>
      <c r="Q1088" s="192"/>
      <c r="R1088" s="192"/>
      <c r="S1088" s="192"/>
      <c r="T1088" s="192"/>
      <c r="U1088" s="192"/>
      <c r="V1088" s="192"/>
      <c r="W1088" s="192"/>
      <c r="X1088" s="192"/>
      <c r="Y1088" s="192"/>
      <c r="Z1088" s="192"/>
    </row>
    <row r="1089">
      <c r="A1089" s="192"/>
      <c r="B1089" s="192"/>
      <c r="C1089" s="21"/>
      <c r="D1089" s="192"/>
      <c r="E1089" s="192"/>
      <c r="F1089" s="192"/>
      <c r="G1089" s="192"/>
      <c r="H1089" s="192"/>
      <c r="I1089" s="192"/>
      <c r="J1089" s="192"/>
      <c r="K1089" s="192"/>
      <c r="L1089" s="192"/>
      <c r="M1089" s="192"/>
      <c r="N1089" s="192"/>
      <c r="O1089" s="192"/>
      <c r="P1089" s="192"/>
      <c r="Q1089" s="192"/>
      <c r="R1089" s="192"/>
      <c r="S1089" s="192"/>
      <c r="T1089" s="192"/>
      <c r="U1089" s="192"/>
      <c r="V1089" s="192"/>
      <c r="W1089" s="192"/>
      <c r="X1089" s="192"/>
      <c r="Y1089" s="192"/>
      <c r="Z1089" s="192"/>
    </row>
    <row r="1090">
      <c r="A1090" s="192"/>
      <c r="B1090" s="192"/>
      <c r="C1090" s="21"/>
      <c r="D1090" s="192"/>
      <c r="E1090" s="192"/>
      <c r="F1090" s="192"/>
      <c r="G1090" s="192"/>
      <c r="H1090" s="192"/>
      <c r="I1090" s="192"/>
      <c r="J1090" s="192"/>
      <c r="K1090" s="192"/>
      <c r="L1090" s="192"/>
      <c r="M1090" s="192"/>
      <c r="N1090" s="192"/>
      <c r="O1090" s="192"/>
      <c r="P1090" s="192"/>
      <c r="Q1090" s="192"/>
      <c r="R1090" s="192"/>
      <c r="S1090" s="192"/>
      <c r="T1090" s="192"/>
      <c r="U1090" s="192"/>
      <c r="V1090" s="192"/>
      <c r="W1090" s="192"/>
      <c r="X1090" s="192"/>
      <c r="Y1090" s="192"/>
      <c r="Z1090" s="192"/>
    </row>
    <row r="1091">
      <c r="A1091" s="192"/>
      <c r="B1091" s="192"/>
      <c r="C1091" s="21"/>
      <c r="D1091" s="192"/>
      <c r="E1091" s="192"/>
      <c r="F1091" s="192"/>
      <c r="G1091" s="192"/>
      <c r="H1091" s="192"/>
      <c r="I1091" s="192"/>
      <c r="J1091" s="192"/>
      <c r="K1091" s="192"/>
      <c r="L1091" s="192"/>
      <c r="M1091" s="192"/>
      <c r="N1091" s="192"/>
      <c r="O1091" s="192"/>
      <c r="P1091" s="192"/>
      <c r="Q1091" s="192"/>
      <c r="R1091" s="192"/>
      <c r="S1091" s="192"/>
      <c r="T1091" s="192"/>
      <c r="U1091" s="192"/>
      <c r="V1091" s="192"/>
      <c r="W1091" s="192"/>
      <c r="X1091" s="192"/>
      <c r="Y1091" s="192"/>
      <c r="Z1091" s="192"/>
    </row>
    <row r="1092">
      <c r="A1092" s="192"/>
      <c r="B1092" s="192"/>
      <c r="C1092" s="21"/>
      <c r="D1092" s="192"/>
      <c r="E1092" s="192"/>
      <c r="F1092" s="192"/>
      <c r="G1092" s="192"/>
      <c r="H1092" s="192"/>
      <c r="I1092" s="192"/>
      <c r="J1092" s="192"/>
      <c r="K1092" s="192"/>
      <c r="L1092" s="192"/>
      <c r="M1092" s="192"/>
      <c r="N1092" s="192"/>
      <c r="O1092" s="192"/>
      <c r="P1092" s="192"/>
      <c r="Q1092" s="192"/>
      <c r="R1092" s="192"/>
      <c r="S1092" s="192"/>
      <c r="T1092" s="192"/>
      <c r="U1092" s="192"/>
      <c r="V1092" s="192"/>
      <c r="W1092" s="192"/>
      <c r="X1092" s="192"/>
      <c r="Y1092" s="192"/>
      <c r="Z1092" s="192"/>
    </row>
    <row r="1093">
      <c r="A1093" s="192"/>
      <c r="B1093" s="192"/>
      <c r="C1093" s="21"/>
      <c r="D1093" s="192"/>
      <c r="E1093" s="192"/>
      <c r="F1093" s="192"/>
      <c r="G1093" s="192"/>
      <c r="H1093" s="192"/>
      <c r="I1093" s="192"/>
      <c r="J1093" s="192"/>
      <c r="K1093" s="192"/>
      <c r="L1093" s="192"/>
      <c r="M1093" s="192"/>
      <c r="N1093" s="192"/>
      <c r="O1093" s="192"/>
      <c r="P1093" s="192"/>
      <c r="Q1093" s="192"/>
      <c r="R1093" s="192"/>
      <c r="S1093" s="192"/>
      <c r="T1093" s="192"/>
      <c r="U1093" s="192"/>
      <c r="V1093" s="192"/>
      <c r="W1093" s="192"/>
      <c r="X1093" s="192"/>
      <c r="Y1093" s="192"/>
      <c r="Z1093" s="192"/>
    </row>
    <row r="1094">
      <c r="A1094" s="192"/>
      <c r="B1094" s="192"/>
      <c r="C1094" s="21"/>
      <c r="D1094" s="192"/>
      <c r="E1094" s="192"/>
      <c r="F1094" s="192"/>
      <c r="G1094" s="192"/>
      <c r="H1094" s="192"/>
      <c r="I1094" s="192"/>
      <c r="J1094" s="192"/>
      <c r="K1094" s="192"/>
      <c r="L1094" s="192"/>
      <c r="M1094" s="192"/>
      <c r="N1094" s="192"/>
      <c r="O1094" s="192"/>
      <c r="P1094" s="192"/>
      <c r="Q1094" s="192"/>
      <c r="R1094" s="192"/>
      <c r="S1094" s="192"/>
      <c r="T1094" s="192"/>
      <c r="U1094" s="192"/>
      <c r="V1094" s="192"/>
      <c r="W1094" s="192"/>
      <c r="X1094" s="192"/>
      <c r="Y1094" s="192"/>
      <c r="Z1094" s="192"/>
    </row>
    <row r="1095">
      <c r="A1095" s="192"/>
      <c r="B1095" s="192"/>
      <c r="C1095" s="21"/>
      <c r="D1095" s="192"/>
      <c r="E1095" s="192"/>
      <c r="F1095" s="192"/>
      <c r="G1095" s="192"/>
      <c r="H1095" s="192"/>
      <c r="I1095" s="192"/>
      <c r="J1095" s="192"/>
      <c r="K1095" s="192"/>
      <c r="L1095" s="192"/>
      <c r="M1095" s="192"/>
      <c r="N1095" s="192"/>
      <c r="O1095" s="192"/>
      <c r="P1095" s="192"/>
      <c r="Q1095" s="192"/>
      <c r="R1095" s="192"/>
      <c r="S1095" s="192"/>
      <c r="T1095" s="192"/>
      <c r="U1095" s="192"/>
      <c r="V1095" s="192"/>
      <c r="W1095" s="192"/>
      <c r="X1095" s="192"/>
      <c r="Y1095" s="192"/>
      <c r="Z1095" s="192"/>
    </row>
    <row r="1096">
      <c r="A1096" s="192"/>
      <c r="B1096" s="192"/>
      <c r="C1096" s="21"/>
      <c r="D1096" s="192"/>
      <c r="E1096" s="192"/>
      <c r="F1096" s="192"/>
      <c r="G1096" s="192"/>
      <c r="H1096" s="192"/>
      <c r="I1096" s="192"/>
      <c r="J1096" s="192"/>
      <c r="K1096" s="192"/>
      <c r="L1096" s="192"/>
      <c r="M1096" s="192"/>
      <c r="N1096" s="192"/>
      <c r="O1096" s="192"/>
      <c r="P1096" s="192"/>
      <c r="Q1096" s="192"/>
      <c r="R1096" s="192"/>
      <c r="S1096" s="192"/>
      <c r="T1096" s="192"/>
      <c r="U1096" s="192"/>
      <c r="V1096" s="192"/>
      <c r="W1096" s="192"/>
      <c r="X1096" s="192"/>
      <c r="Y1096" s="192"/>
      <c r="Z1096" s="192"/>
    </row>
    <row r="1097">
      <c r="A1097" s="192"/>
      <c r="B1097" s="192"/>
      <c r="C1097" s="21"/>
      <c r="D1097" s="192"/>
      <c r="E1097" s="192"/>
      <c r="F1097" s="192"/>
      <c r="G1097" s="192"/>
      <c r="H1097" s="192"/>
      <c r="I1097" s="192"/>
      <c r="J1097" s="192"/>
      <c r="K1097" s="192"/>
      <c r="L1097" s="192"/>
      <c r="M1097" s="192"/>
      <c r="N1097" s="192"/>
      <c r="O1097" s="192"/>
      <c r="P1097" s="192"/>
      <c r="Q1097" s="192"/>
      <c r="R1097" s="192"/>
      <c r="S1097" s="192"/>
      <c r="T1097" s="192"/>
      <c r="U1097" s="192"/>
      <c r="V1097" s="192"/>
      <c r="W1097" s="192"/>
      <c r="X1097" s="192"/>
      <c r="Y1097" s="192"/>
      <c r="Z1097" s="192"/>
    </row>
    <row r="1098">
      <c r="A1098" s="192"/>
      <c r="B1098" s="192"/>
      <c r="C1098" s="21"/>
      <c r="D1098" s="192"/>
      <c r="E1098" s="192"/>
      <c r="F1098" s="192"/>
      <c r="G1098" s="192"/>
      <c r="H1098" s="192"/>
      <c r="I1098" s="192"/>
      <c r="J1098" s="192"/>
      <c r="K1098" s="192"/>
      <c r="L1098" s="192"/>
      <c r="M1098" s="192"/>
      <c r="N1098" s="192"/>
      <c r="O1098" s="192"/>
      <c r="P1098" s="192"/>
      <c r="Q1098" s="192"/>
      <c r="R1098" s="192"/>
      <c r="S1098" s="192"/>
      <c r="T1098" s="192"/>
      <c r="U1098" s="192"/>
      <c r="V1098" s="192"/>
      <c r="W1098" s="192"/>
      <c r="X1098" s="192"/>
      <c r="Y1098" s="192"/>
      <c r="Z1098" s="192"/>
    </row>
    <row r="1099">
      <c r="A1099" s="192"/>
      <c r="B1099" s="192"/>
      <c r="C1099" s="21"/>
      <c r="D1099" s="192"/>
      <c r="E1099" s="192"/>
      <c r="F1099" s="192"/>
      <c r="G1099" s="192"/>
      <c r="H1099" s="192"/>
      <c r="I1099" s="192"/>
      <c r="J1099" s="192"/>
      <c r="K1099" s="192"/>
      <c r="L1099" s="192"/>
      <c r="M1099" s="192"/>
      <c r="N1099" s="192"/>
      <c r="O1099" s="192"/>
      <c r="P1099" s="192"/>
      <c r="Q1099" s="192"/>
      <c r="R1099" s="192"/>
      <c r="S1099" s="192"/>
      <c r="T1099" s="192"/>
      <c r="U1099" s="192"/>
      <c r="V1099" s="192"/>
      <c r="W1099" s="192"/>
      <c r="X1099" s="192"/>
      <c r="Y1099" s="192"/>
      <c r="Z1099" s="192"/>
    </row>
    <row r="1100">
      <c r="A1100" s="192"/>
      <c r="B1100" s="192"/>
      <c r="C1100" s="21"/>
      <c r="D1100" s="192"/>
      <c r="E1100" s="192"/>
      <c r="F1100" s="192"/>
      <c r="G1100" s="192"/>
      <c r="H1100" s="192"/>
      <c r="I1100" s="192"/>
      <c r="J1100" s="192"/>
      <c r="K1100" s="192"/>
      <c r="L1100" s="192"/>
      <c r="M1100" s="192"/>
      <c r="N1100" s="192"/>
      <c r="O1100" s="192"/>
      <c r="P1100" s="192"/>
      <c r="Q1100" s="192"/>
      <c r="R1100" s="192"/>
      <c r="S1100" s="192"/>
      <c r="T1100" s="192"/>
      <c r="U1100" s="192"/>
      <c r="V1100" s="192"/>
      <c r="W1100" s="192"/>
      <c r="X1100" s="192"/>
      <c r="Y1100" s="192"/>
      <c r="Z1100" s="192"/>
    </row>
    <row r="1101">
      <c r="A1101" s="192"/>
      <c r="B1101" s="192"/>
      <c r="C1101" s="21"/>
      <c r="D1101" s="192"/>
      <c r="E1101" s="192"/>
      <c r="F1101" s="192"/>
      <c r="G1101" s="192"/>
      <c r="H1101" s="192"/>
      <c r="I1101" s="192"/>
      <c r="J1101" s="192"/>
      <c r="K1101" s="192"/>
      <c r="L1101" s="192"/>
      <c r="M1101" s="192"/>
      <c r="N1101" s="192"/>
      <c r="O1101" s="192"/>
      <c r="P1101" s="192"/>
      <c r="Q1101" s="192"/>
      <c r="R1101" s="192"/>
      <c r="S1101" s="192"/>
      <c r="T1101" s="192"/>
      <c r="U1101" s="192"/>
      <c r="V1101" s="192"/>
      <c r="W1101" s="192"/>
      <c r="X1101" s="192"/>
      <c r="Y1101" s="192"/>
      <c r="Z1101" s="192"/>
    </row>
    <row r="1102">
      <c r="A1102" s="192"/>
      <c r="B1102" s="192"/>
      <c r="C1102" s="21"/>
      <c r="D1102" s="192"/>
      <c r="E1102" s="192"/>
      <c r="F1102" s="192"/>
      <c r="G1102" s="192"/>
      <c r="H1102" s="192"/>
      <c r="I1102" s="192"/>
      <c r="J1102" s="192"/>
      <c r="K1102" s="192"/>
      <c r="L1102" s="192"/>
      <c r="M1102" s="192"/>
      <c r="N1102" s="192"/>
      <c r="O1102" s="192"/>
      <c r="P1102" s="192"/>
      <c r="Q1102" s="192"/>
      <c r="R1102" s="192"/>
      <c r="S1102" s="192"/>
      <c r="T1102" s="192"/>
      <c r="U1102" s="192"/>
      <c r="V1102" s="192"/>
      <c r="W1102" s="192"/>
      <c r="X1102" s="192"/>
      <c r="Y1102" s="192"/>
      <c r="Z1102" s="192"/>
    </row>
    <row r="1103">
      <c r="A1103" s="192"/>
      <c r="B1103" s="192"/>
      <c r="C1103" s="21"/>
      <c r="D1103" s="192"/>
      <c r="E1103" s="192"/>
      <c r="F1103" s="192"/>
      <c r="G1103" s="192"/>
      <c r="H1103" s="192"/>
      <c r="I1103" s="192"/>
      <c r="J1103" s="192"/>
      <c r="K1103" s="192"/>
      <c r="L1103" s="192"/>
      <c r="M1103" s="192"/>
      <c r="N1103" s="192"/>
      <c r="O1103" s="192"/>
      <c r="P1103" s="192"/>
      <c r="Q1103" s="192"/>
      <c r="R1103" s="192"/>
      <c r="S1103" s="192"/>
      <c r="T1103" s="192"/>
      <c r="U1103" s="192"/>
      <c r="V1103" s="192"/>
      <c r="W1103" s="192"/>
      <c r="X1103" s="192"/>
      <c r="Y1103" s="192"/>
      <c r="Z1103" s="192"/>
    </row>
    <row r="1104">
      <c r="A1104" s="192"/>
      <c r="B1104" s="192"/>
      <c r="C1104" s="21"/>
      <c r="D1104" s="192"/>
      <c r="E1104" s="192"/>
      <c r="F1104" s="192"/>
      <c r="G1104" s="192"/>
      <c r="H1104" s="192"/>
      <c r="I1104" s="192"/>
      <c r="J1104" s="192"/>
      <c r="K1104" s="192"/>
      <c r="L1104" s="192"/>
      <c r="M1104" s="192"/>
      <c r="N1104" s="192"/>
      <c r="O1104" s="192"/>
      <c r="P1104" s="192"/>
      <c r="Q1104" s="192"/>
      <c r="R1104" s="192"/>
      <c r="S1104" s="192"/>
      <c r="T1104" s="192"/>
      <c r="U1104" s="192"/>
      <c r="V1104" s="192"/>
      <c r="W1104" s="192"/>
      <c r="X1104" s="192"/>
      <c r="Y1104" s="192"/>
      <c r="Z1104" s="192"/>
    </row>
    <row r="1105">
      <c r="A1105" s="192"/>
      <c r="B1105" s="192"/>
      <c r="C1105" s="21"/>
      <c r="D1105" s="192"/>
      <c r="E1105" s="192"/>
      <c r="F1105" s="192"/>
      <c r="G1105" s="192"/>
      <c r="H1105" s="192"/>
      <c r="I1105" s="192"/>
      <c r="J1105" s="192"/>
      <c r="K1105" s="192"/>
      <c r="L1105" s="192"/>
      <c r="M1105" s="192"/>
      <c r="N1105" s="192"/>
      <c r="O1105" s="192"/>
      <c r="P1105" s="192"/>
      <c r="Q1105" s="192"/>
      <c r="R1105" s="192"/>
      <c r="S1105" s="192"/>
      <c r="T1105" s="192"/>
      <c r="U1105" s="192"/>
      <c r="V1105" s="192"/>
      <c r="W1105" s="192"/>
      <c r="X1105" s="192"/>
      <c r="Y1105" s="192"/>
      <c r="Z1105" s="192"/>
    </row>
    <row r="1106">
      <c r="A1106" s="192"/>
      <c r="B1106" s="192"/>
      <c r="C1106" s="21"/>
      <c r="D1106" s="192"/>
      <c r="E1106" s="192"/>
      <c r="F1106" s="192"/>
      <c r="G1106" s="192"/>
      <c r="H1106" s="192"/>
      <c r="I1106" s="192"/>
      <c r="J1106" s="192"/>
      <c r="K1106" s="192"/>
      <c r="L1106" s="192"/>
      <c r="M1106" s="192"/>
      <c r="N1106" s="192"/>
      <c r="O1106" s="192"/>
      <c r="P1106" s="192"/>
      <c r="Q1106" s="192"/>
      <c r="R1106" s="192"/>
      <c r="S1106" s="192"/>
      <c r="T1106" s="192"/>
      <c r="U1106" s="192"/>
      <c r="V1106" s="192"/>
      <c r="W1106" s="192"/>
      <c r="X1106" s="192"/>
      <c r="Y1106" s="192"/>
      <c r="Z1106" s="192"/>
    </row>
    <row r="1107">
      <c r="A1107" s="192"/>
      <c r="B1107" s="192"/>
      <c r="C1107" s="21"/>
      <c r="D1107" s="192"/>
      <c r="E1107" s="192"/>
      <c r="F1107" s="192"/>
      <c r="G1107" s="192"/>
      <c r="H1107" s="192"/>
      <c r="I1107" s="192"/>
      <c r="J1107" s="192"/>
      <c r="K1107" s="192"/>
      <c r="L1107" s="192"/>
      <c r="M1107" s="192"/>
      <c r="N1107" s="192"/>
      <c r="O1107" s="192"/>
      <c r="P1107" s="192"/>
      <c r="Q1107" s="192"/>
      <c r="R1107" s="192"/>
      <c r="S1107" s="192"/>
      <c r="T1107" s="192"/>
      <c r="U1107" s="192"/>
      <c r="V1107" s="192"/>
      <c r="W1107" s="192"/>
      <c r="X1107" s="192"/>
      <c r="Y1107" s="192"/>
      <c r="Z1107" s="192"/>
    </row>
    <row r="1108">
      <c r="A1108" s="192"/>
      <c r="B1108" s="192"/>
      <c r="C1108" s="21"/>
      <c r="D1108" s="192"/>
      <c r="E1108" s="192"/>
      <c r="F1108" s="192"/>
      <c r="G1108" s="192"/>
      <c r="H1108" s="192"/>
      <c r="I1108" s="192"/>
      <c r="J1108" s="192"/>
      <c r="K1108" s="192"/>
      <c r="L1108" s="192"/>
      <c r="M1108" s="192"/>
      <c r="N1108" s="192"/>
      <c r="O1108" s="192"/>
      <c r="P1108" s="192"/>
      <c r="Q1108" s="192"/>
      <c r="R1108" s="192"/>
      <c r="S1108" s="192"/>
      <c r="T1108" s="192"/>
      <c r="U1108" s="192"/>
      <c r="V1108" s="192"/>
      <c r="W1108" s="192"/>
      <c r="X1108" s="192"/>
      <c r="Y1108" s="192"/>
      <c r="Z1108" s="192"/>
    </row>
    <row r="1109">
      <c r="A1109" s="192"/>
      <c r="B1109" s="192"/>
      <c r="C1109" s="21"/>
      <c r="D1109" s="192"/>
      <c r="E1109" s="192"/>
      <c r="F1109" s="192"/>
      <c r="G1109" s="192"/>
      <c r="H1109" s="192"/>
      <c r="I1109" s="192"/>
      <c r="J1109" s="192"/>
      <c r="K1109" s="192"/>
      <c r="L1109" s="192"/>
      <c r="M1109" s="192"/>
      <c r="N1109" s="192"/>
      <c r="O1109" s="192"/>
      <c r="P1109" s="192"/>
      <c r="Q1109" s="192"/>
      <c r="R1109" s="192"/>
      <c r="S1109" s="192"/>
      <c r="T1109" s="192"/>
      <c r="U1109" s="192"/>
      <c r="V1109" s="192"/>
      <c r="W1109" s="192"/>
      <c r="X1109" s="192"/>
      <c r="Y1109" s="192"/>
      <c r="Z1109" s="192"/>
    </row>
    <row r="1110">
      <c r="A1110" s="192"/>
      <c r="B1110" s="192"/>
      <c r="C1110" s="21"/>
      <c r="D1110" s="192"/>
      <c r="E1110" s="192"/>
      <c r="F1110" s="192"/>
      <c r="G1110" s="192"/>
      <c r="H1110" s="192"/>
      <c r="I1110" s="192"/>
      <c r="J1110" s="192"/>
      <c r="K1110" s="192"/>
      <c r="L1110" s="192"/>
      <c r="M1110" s="192"/>
      <c r="N1110" s="192"/>
      <c r="O1110" s="192"/>
      <c r="P1110" s="192"/>
      <c r="Q1110" s="192"/>
      <c r="R1110" s="192"/>
      <c r="S1110" s="192"/>
      <c r="T1110" s="192"/>
      <c r="U1110" s="192"/>
      <c r="V1110" s="192"/>
      <c r="W1110" s="192"/>
      <c r="X1110" s="192"/>
      <c r="Y1110" s="192"/>
      <c r="Z1110" s="192"/>
    </row>
    <row r="1111">
      <c r="A1111" s="192"/>
      <c r="B1111" s="192"/>
      <c r="C1111" s="21"/>
      <c r="D1111" s="192"/>
      <c r="E1111" s="192"/>
      <c r="F1111" s="192"/>
      <c r="G1111" s="192"/>
      <c r="H1111" s="192"/>
      <c r="I1111" s="192"/>
      <c r="J1111" s="192"/>
      <c r="K1111" s="192"/>
      <c r="L1111" s="192"/>
      <c r="M1111" s="192"/>
      <c r="N1111" s="192"/>
      <c r="O1111" s="192"/>
      <c r="P1111" s="192"/>
      <c r="Q1111" s="192"/>
      <c r="R1111" s="192"/>
      <c r="S1111" s="192"/>
      <c r="T1111" s="192"/>
      <c r="U1111" s="192"/>
      <c r="V1111" s="192"/>
      <c r="W1111" s="192"/>
      <c r="X1111" s="192"/>
      <c r="Y1111" s="192"/>
      <c r="Z1111" s="192"/>
    </row>
    <row r="1112">
      <c r="A1112" s="192"/>
      <c r="B1112" s="192"/>
      <c r="C1112" s="21"/>
      <c r="D1112" s="192"/>
      <c r="E1112" s="192"/>
      <c r="F1112" s="192"/>
      <c r="G1112" s="192"/>
      <c r="H1112" s="192"/>
      <c r="I1112" s="192"/>
      <c r="J1112" s="192"/>
      <c r="K1112" s="192"/>
      <c r="L1112" s="192"/>
      <c r="M1112" s="192"/>
      <c r="N1112" s="192"/>
      <c r="O1112" s="192"/>
      <c r="P1112" s="192"/>
      <c r="Q1112" s="192"/>
      <c r="R1112" s="192"/>
      <c r="S1112" s="192"/>
      <c r="T1112" s="192"/>
      <c r="U1112" s="192"/>
      <c r="V1112" s="192"/>
      <c r="W1112" s="192"/>
      <c r="X1112" s="192"/>
      <c r="Y1112" s="192"/>
      <c r="Z1112" s="192"/>
    </row>
    <row r="1113">
      <c r="A1113" s="192"/>
      <c r="B1113" s="192"/>
      <c r="C1113" s="21"/>
      <c r="D1113" s="192"/>
      <c r="E1113" s="192"/>
      <c r="F1113" s="192"/>
      <c r="G1113" s="192"/>
      <c r="H1113" s="192"/>
      <c r="I1113" s="192"/>
      <c r="J1113" s="192"/>
      <c r="K1113" s="192"/>
      <c r="L1113" s="192"/>
      <c r="M1113" s="192"/>
      <c r="N1113" s="192"/>
      <c r="O1113" s="192"/>
      <c r="P1113" s="192"/>
      <c r="Q1113" s="192"/>
      <c r="R1113" s="192"/>
      <c r="S1113" s="192"/>
      <c r="T1113" s="192"/>
      <c r="U1113" s="192"/>
      <c r="V1113" s="192"/>
      <c r="W1113" s="192"/>
      <c r="X1113" s="192"/>
      <c r="Y1113" s="192"/>
      <c r="Z1113" s="192"/>
    </row>
    <row r="1114">
      <c r="A1114" s="192"/>
      <c r="B1114" s="192"/>
      <c r="C1114" s="21"/>
      <c r="D1114" s="192"/>
      <c r="E1114" s="192"/>
      <c r="F1114" s="192"/>
      <c r="G1114" s="192"/>
      <c r="H1114" s="192"/>
      <c r="I1114" s="192"/>
      <c r="J1114" s="192"/>
      <c r="K1114" s="192"/>
      <c r="L1114" s="192"/>
      <c r="M1114" s="192"/>
      <c r="N1114" s="192"/>
      <c r="O1114" s="192"/>
      <c r="P1114" s="192"/>
      <c r="Q1114" s="192"/>
      <c r="R1114" s="192"/>
      <c r="S1114" s="192"/>
      <c r="T1114" s="192"/>
      <c r="U1114" s="192"/>
      <c r="V1114" s="192"/>
      <c r="W1114" s="192"/>
      <c r="X1114" s="192"/>
      <c r="Y1114" s="192"/>
      <c r="Z1114" s="192"/>
    </row>
    <row r="1115">
      <c r="A1115" s="192"/>
      <c r="B1115" s="192"/>
      <c r="C1115" s="21"/>
      <c r="D1115" s="192"/>
      <c r="E1115" s="192"/>
      <c r="F1115" s="192"/>
      <c r="G1115" s="192"/>
      <c r="H1115" s="192"/>
      <c r="I1115" s="192"/>
      <c r="J1115" s="192"/>
      <c r="K1115" s="192"/>
      <c r="L1115" s="192"/>
      <c r="M1115" s="192"/>
      <c r="N1115" s="192"/>
      <c r="O1115" s="192"/>
      <c r="P1115" s="192"/>
      <c r="Q1115" s="192"/>
      <c r="R1115" s="192"/>
      <c r="S1115" s="192"/>
      <c r="T1115" s="192"/>
      <c r="U1115" s="192"/>
      <c r="V1115" s="192"/>
      <c r="W1115" s="192"/>
      <c r="X1115" s="192"/>
      <c r="Y1115" s="192"/>
      <c r="Z1115" s="192"/>
    </row>
    <row r="1116">
      <c r="A1116" s="192"/>
      <c r="B1116" s="192"/>
      <c r="C1116" s="21"/>
      <c r="D1116" s="192"/>
      <c r="E1116" s="192"/>
      <c r="F1116" s="192"/>
      <c r="G1116" s="192"/>
      <c r="H1116" s="192"/>
      <c r="I1116" s="192"/>
      <c r="J1116" s="192"/>
      <c r="K1116" s="192"/>
      <c r="L1116" s="192"/>
      <c r="M1116" s="192"/>
      <c r="N1116" s="192"/>
      <c r="O1116" s="192"/>
      <c r="P1116" s="192"/>
      <c r="Q1116" s="192"/>
      <c r="R1116" s="192"/>
      <c r="S1116" s="192"/>
      <c r="T1116" s="192"/>
      <c r="U1116" s="192"/>
      <c r="V1116" s="192"/>
      <c r="W1116" s="192"/>
      <c r="X1116" s="192"/>
      <c r="Y1116" s="192"/>
      <c r="Z1116" s="192"/>
    </row>
    <row r="1117">
      <c r="A1117" s="192"/>
      <c r="B1117" s="192"/>
      <c r="C1117" s="21"/>
      <c r="D1117" s="192"/>
      <c r="E1117" s="192"/>
      <c r="F1117" s="192"/>
      <c r="G1117" s="192"/>
      <c r="H1117" s="192"/>
      <c r="I1117" s="192"/>
      <c r="J1117" s="192"/>
      <c r="K1117" s="192"/>
      <c r="L1117" s="192"/>
      <c r="M1117" s="192"/>
      <c r="N1117" s="192"/>
      <c r="O1117" s="192"/>
      <c r="P1117" s="192"/>
      <c r="Q1117" s="192"/>
      <c r="R1117" s="192"/>
      <c r="S1117" s="192"/>
      <c r="T1117" s="192"/>
      <c r="U1117" s="192"/>
      <c r="V1117" s="192"/>
      <c r="W1117" s="192"/>
      <c r="X1117" s="192"/>
      <c r="Y1117" s="192"/>
      <c r="Z1117" s="192"/>
    </row>
    <row r="1118">
      <c r="A1118" s="192"/>
      <c r="B1118" s="192"/>
      <c r="C1118" s="21"/>
      <c r="D1118" s="192"/>
      <c r="E1118" s="192"/>
      <c r="F1118" s="192"/>
      <c r="G1118" s="192"/>
      <c r="H1118" s="192"/>
      <c r="I1118" s="192"/>
      <c r="J1118" s="192"/>
      <c r="K1118" s="192"/>
      <c r="L1118" s="192"/>
      <c r="M1118" s="192"/>
      <c r="N1118" s="192"/>
      <c r="O1118" s="192"/>
      <c r="P1118" s="192"/>
      <c r="Q1118" s="192"/>
      <c r="R1118" s="192"/>
      <c r="S1118" s="192"/>
      <c r="T1118" s="192"/>
      <c r="U1118" s="192"/>
      <c r="V1118" s="192"/>
      <c r="W1118" s="192"/>
      <c r="X1118" s="192"/>
      <c r="Y1118" s="192"/>
      <c r="Z1118" s="192"/>
    </row>
    <row r="1119">
      <c r="A1119" s="192"/>
      <c r="B1119" s="192"/>
      <c r="C1119" s="21"/>
      <c r="D1119" s="192"/>
      <c r="E1119" s="192"/>
      <c r="F1119" s="192"/>
      <c r="G1119" s="192"/>
      <c r="H1119" s="192"/>
      <c r="I1119" s="192"/>
      <c r="J1119" s="192"/>
      <c r="K1119" s="192"/>
      <c r="L1119" s="192"/>
      <c r="M1119" s="192"/>
      <c r="N1119" s="192"/>
      <c r="O1119" s="192"/>
      <c r="P1119" s="192"/>
      <c r="Q1119" s="192"/>
      <c r="R1119" s="192"/>
      <c r="S1119" s="192"/>
      <c r="T1119" s="192"/>
      <c r="U1119" s="192"/>
      <c r="V1119" s="192"/>
      <c r="W1119" s="192"/>
      <c r="X1119" s="192"/>
      <c r="Y1119" s="192"/>
      <c r="Z1119" s="192"/>
    </row>
    <row r="1120">
      <c r="A1120" s="192"/>
      <c r="B1120" s="192"/>
      <c r="C1120" s="21"/>
      <c r="D1120" s="192"/>
      <c r="E1120" s="192"/>
      <c r="F1120" s="192"/>
      <c r="G1120" s="192"/>
      <c r="H1120" s="192"/>
      <c r="I1120" s="192"/>
      <c r="J1120" s="192"/>
      <c r="K1120" s="192"/>
      <c r="L1120" s="192"/>
      <c r="M1120" s="192"/>
      <c r="N1120" s="192"/>
      <c r="O1120" s="192"/>
      <c r="P1120" s="192"/>
      <c r="Q1120" s="192"/>
      <c r="R1120" s="192"/>
      <c r="S1120" s="192"/>
      <c r="T1120" s="192"/>
      <c r="U1120" s="192"/>
      <c r="V1120" s="192"/>
      <c r="W1120" s="192"/>
      <c r="X1120" s="192"/>
      <c r="Y1120" s="192"/>
      <c r="Z1120" s="192"/>
    </row>
    <row r="1121">
      <c r="A1121" s="192"/>
      <c r="B1121" s="192"/>
      <c r="C1121" s="21"/>
      <c r="D1121" s="192"/>
      <c r="E1121" s="192"/>
      <c r="F1121" s="192"/>
      <c r="G1121" s="192"/>
      <c r="H1121" s="192"/>
      <c r="I1121" s="192"/>
      <c r="J1121" s="192"/>
      <c r="K1121" s="192"/>
      <c r="L1121" s="192"/>
      <c r="M1121" s="192"/>
      <c r="N1121" s="192"/>
      <c r="O1121" s="192"/>
      <c r="P1121" s="192"/>
      <c r="Q1121" s="192"/>
      <c r="R1121" s="192"/>
      <c r="S1121" s="192"/>
      <c r="T1121" s="192"/>
      <c r="U1121" s="192"/>
      <c r="V1121" s="192"/>
      <c r="W1121" s="192"/>
      <c r="X1121" s="192"/>
      <c r="Y1121" s="192"/>
      <c r="Z1121" s="192"/>
    </row>
    <row r="1122">
      <c r="A1122" s="192"/>
      <c r="B1122" s="192"/>
      <c r="C1122" s="21"/>
      <c r="D1122" s="192"/>
      <c r="E1122" s="192"/>
      <c r="F1122" s="192"/>
      <c r="G1122" s="192"/>
      <c r="H1122" s="192"/>
      <c r="I1122" s="192"/>
      <c r="J1122" s="192"/>
      <c r="K1122" s="192"/>
      <c r="L1122" s="192"/>
      <c r="M1122" s="192"/>
      <c r="N1122" s="192"/>
      <c r="O1122" s="192"/>
      <c r="P1122" s="192"/>
      <c r="Q1122" s="192"/>
      <c r="R1122" s="192"/>
      <c r="S1122" s="192"/>
      <c r="T1122" s="192"/>
      <c r="U1122" s="192"/>
      <c r="V1122" s="192"/>
      <c r="W1122" s="192"/>
      <c r="X1122" s="192"/>
      <c r="Y1122" s="192"/>
      <c r="Z1122" s="192"/>
    </row>
    <row r="1123">
      <c r="A1123" s="192"/>
      <c r="B1123" s="192"/>
      <c r="C1123" s="21"/>
      <c r="D1123" s="192"/>
      <c r="E1123" s="192"/>
      <c r="F1123" s="192"/>
      <c r="G1123" s="192"/>
      <c r="H1123" s="192"/>
      <c r="I1123" s="192"/>
      <c r="J1123" s="192"/>
      <c r="K1123" s="192"/>
      <c r="L1123" s="192"/>
      <c r="M1123" s="192"/>
      <c r="N1123" s="192"/>
      <c r="O1123" s="192"/>
      <c r="P1123" s="192"/>
      <c r="Q1123" s="192"/>
      <c r="R1123" s="192"/>
      <c r="S1123" s="192"/>
      <c r="T1123" s="192"/>
      <c r="U1123" s="192"/>
      <c r="V1123" s="192"/>
      <c r="W1123" s="192"/>
      <c r="X1123" s="192"/>
      <c r="Y1123" s="192"/>
      <c r="Z1123" s="192"/>
    </row>
    <row r="1124">
      <c r="A1124" s="192"/>
      <c r="B1124" s="192"/>
      <c r="C1124" s="21"/>
      <c r="D1124" s="192"/>
      <c r="E1124" s="192"/>
      <c r="F1124" s="192"/>
      <c r="G1124" s="192"/>
      <c r="H1124" s="192"/>
      <c r="I1124" s="192"/>
      <c r="J1124" s="192"/>
      <c r="K1124" s="192"/>
      <c r="L1124" s="192"/>
      <c r="M1124" s="192"/>
      <c r="N1124" s="192"/>
      <c r="O1124" s="192"/>
      <c r="P1124" s="192"/>
      <c r="Q1124" s="192"/>
      <c r="R1124" s="192"/>
      <c r="S1124" s="192"/>
      <c r="T1124" s="192"/>
      <c r="U1124" s="192"/>
      <c r="V1124" s="192"/>
      <c r="W1124" s="192"/>
      <c r="X1124" s="192"/>
      <c r="Y1124" s="192"/>
      <c r="Z1124" s="192"/>
    </row>
    <row r="1125">
      <c r="A1125" s="192"/>
      <c r="B1125" s="192"/>
      <c r="C1125" s="21"/>
      <c r="D1125" s="192"/>
      <c r="E1125" s="192"/>
      <c r="F1125" s="192"/>
      <c r="G1125" s="192"/>
      <c r="H1125" s="192"/>
      <c r="I1125" s="192"/>
      <c r="J1125" s="192"/>
      <c r="K1125" s="192"/>
      <c r="L1125" s="192"/>
      <c r="M1125" s="192"/>
      <c r="N1125" s="192"/>
      <c r="O1125" s="192"/>
      <c r="P1125" s="192"/>
      <c r="Q1125" s="192"/>
      <c r="R1125" s="192"/>
      <c r="S1125" s="192"/>
      <c r="T1125" s="192"/>
      <c r="U1125" s="192"/>
      <c r="V1125" s="192"/>
      <c r="W1125" s="192"/>
      <c r="X1125" s="192"/>
      <c r="Y1125" s="192"/>
      <c r="Z1125" s="192"/>
    </row>
    <row r="1126">
      <c r="A1126" s="192"/>
      <c r="B1126" s="192"/>
      <c r="C1126" s="21"/>
      <c r="D1126" s="192"/>
      <c r="E1126" s="192"/>
      <c r="F1126" s="192"/>
      <c r="G1126" s="192"/>
      <c r="H1126" s="192"/>
      <c r="I1126" s="192"/>
      <c r="J1126" s="192"/>
      <c r="K1126" s="192"/>
      <c r="L1126" s="192"/>
      <c r="M1126" s="192"/>
      <c r="N1126" s="192"/>
      <c r="O1126" s="192"/>
      <c r="P1126" s="192"/>
      <c r="Q1126" s="192"/>
      <c r="R1126" s="192"/>
      <c r="S1126" s="192"/>
      <c r="T1126" s="192"/>
      <c r="U1126" s="192"/>
      <c r="V1126" s="192"/>
      <c r="W1126" s="192"/>
      <c r="X1126" s="192"/>
      <c r="Y1126" s="192"/>
      <c r="Z1126" s="192"/>
    </row>
    <row r="1127">
      <c r="A1127" s="192"/>
      <c r="B1127" s="192"/>
      <c r="C1127" s="21"/>
      <c r="D1127" s="192"/>
      <c r="E1127" s="192"/>
      <c r="F1127" s="192"/>
      <c r="G1127" s="192"/>
      <c r="H1127" s="192"/>
      <c r="I1127" s="192"/>
      <c r="J1127" s="192"/>
      <c r="K1127" s="192"/>
      <c r="L1127" s="192"/>
      <c r="M1127" s="192"/>
      <c r="N1127" s="192"/>
      <c r="O1127" s="192"/>
      <c r="P1127" s="192"/>
      <c r="Q1127" s="192"/>
      <c r="R1127" s="192"/>
      <c r="S1127" s="192"/>
      <c r="T1127" s="192"/>
      <c r="U1127" s="192"/>
      <c r="V1127" s="192"/>
      <c r="W1127" s="192"/>
      <c r="X1127" s="192"/>
      <c r="Y1127" s="192"/>
      <c r="Z1127" s="192"/>
    </row>
    <row r="1128">
      <c r="A1128" s="192"/>
      <c r="B1128" s="192"/>
      <c r="C1128" s="21"/>
      <c r="D1128" s="192"/>
      <c r="E1128" s="192"/>
      <c r="F1128" s="192"/>
      <c r="G1128" s="192"/>
      <c r="H1128" s="192"/>
      <c r="I1128" s="192"/>
      <c r="J1128" s="192"/>
      <c r="K1128" s="192"/>
      <c r="L1128" s="192"/>
      <c r="M1128" s="192"/>
      <c r="N1128" s="192"/>
      <c r="O1128" s="192"/>
      <c r="P1128" s="192"/>
      <c r="Q1128" s="192"/>
      <c r="R1128" s="192"/>
      <c r="S1128" s="192"/>
      <c r="T1128" s="192"/>
      <c r="U1128" s="192"/>
      <c r="V1128" s="192"/>
      <c r="W1128" s="192"/>
      <c r="X1128" s="192"/>
      <c r="Y1128" s="192"/>
      <c r="Z1128" s="192"/>
    </row>
    <row r="1129">
      <c r="A1129" s="192"/>
      <c r="B1129" s="192"/>
      <c r="C1129" s="21"/>
      <c r="D1129" s="192"/>
      <c r="E1129" s="192"/>
      <c r="F1129" s="192"/>
      <c r="G1129" s="192"/>
      <c r="H1129" s="192"/>
      <c r="I1129" s="192"/>
      <c r="J1129" s="192"/>
      <c r="K1129" s="192"/>
      <c r="L1129" s="192"/>
      <c r="M1129" s="192"/>
      <c r="N1129" s="192"/>
      <c r="O1129" s="192"/>
      <c r="P1129" s="192"/>
      <c r="Q1129" s="192"/>
      <c r="R1129" s="192"/>
      <c r="S1129" s="192"/>
      <c r="T1129" s="192"/>
      <c r="U1129" s="192"/>
      <c r="V1129" s="192"/>
      <c r="W1129" s="192"/>
      <c r="X1129" s="192"/>
      <c r="Y1129" s="192"/>
      <c r="Z1129" s="192"/>
    </row>
    <row r="1130">
      <c r="A1130" s="192"/>
      <c r="B1130" s="192"/>
      <c r="C1130" s="21"/>
      <c r="D1130" s="192"/>
      <c r="E1130" s="192"/>
      <c r="F1130" s="192"/>
      <c r="G1130" s="192"/>
      <c r="H1130" s="192"/>
      <c r="I1130" s="192"/>
      <c r="J1130" s="192"/>
      <c r="K1130" s="192"/>
      <c r="L1130" s="192"/>
      <c r="M1130" s="192"/>
      <c r="N1130" s="192"/>
      <c r="O1130" s="192"/>
      <c r="P1130" s="192"/>
      <c r="Q1130" s="192"/>
      <c r="R1130" s="192"/>
      <c r="S1130" s="192"/>
      <c r="T1130" s="192"/>
      <c r="U1130" s="192"/>
      <c r="V1130" s="192"/>
      <c r="W1130" s="192"/>
      <c r="X1130" s="192"/>
      <c r="Y1130" s="192"/>
      <c r="Z1130" s="192"/>
    </row>
    <row r="1131">
      <c r="A1131" s="192"/>
      <c r="B1131" s="192"/>
      <c r="C1131" s="21"/>
      <c r="D1131" s="192"/>
      <c r="E1131" s="192"/>
      <c r="F1131" s="192"/>
      <c r="G1131" s="192"/>
      <c r="H1131" s="192"/>
      <c r="I1131" s="192"/>
      <c r="J1131" s="192"/>
      <c r="K1131" s="192"/>
      <c r="L1131" s="192"/>
      <c r="M1131" s="192"/>
      <c r="N1131" s="192"/>
      <c r="O1131" s="192"/>
      <c r="P1131" s="192"/>
      <c r="Q1131" s="192"/>
      <c r="R1131" s="192"/>
      <c r="S1131" s="192"/>
      <c r="T1131" s="192"/>
      <c r="U1131" s="192"/>
      <c r="V1131" s="192"/>
      <c r="W1131" s="192"/>
      <c r="X1131" s="192"/>
      <c r="Y1131" s="192"/>
      <c r="Z1131" s="192"/>
    </row>
    <row r="1132">
      <c r="A1132" s="192"/>
      <c r="B1132" s="192"/>
      <c r="C1132" s="21"/>
      <c r="D1132" s="192"/>
      <c r="E1132" s="192"/>
      <c r="F1132" s="192"/>
      <c r="G1132" s="192"/>
      <c r="H1132" s="192"/>
      <c r="I1132" s="192"/>
      <c r="J1132" s="192"/>
      <c r="K1132" s="192"/>
      <c r="L1132" s="192"/>
      <c r="M1132" s="192"/>
      <c r="N1132" s="192"/>
      <c r="O1132" s="192"/>
      <c r="P1132" s="192"/>
      <c r="Q1132" s="192"/>
      <c r="R1132" s="192"/>
      <c r="S1132" s="192"/>
      <c r="T1132" s="192"/>
      <c r="U1132" s="192"/>
      <c r="V1132" s="192"/>
      <c r="W1132" s="192"/>
      <c r="X1132" s="192"/>
      <c r="Y1132" s="192"/>
      <c r="Z1132" s="192"/>
    </row>
    <row r="1133">
      <c r="A1133" s="192"/>
      <c r="B1133" s="192"/>
      <c r="C1133" s="21"/>
      <c r="D1133" s="192"/>
      <c r="E1133" s="192"/>
      <c r="F1133" s="192"/>
      <c r="G1133" s="192"/>
      <c r="H1133" s="192"/>
      <c r="I1133" s="192"/>
      <c r="J1133" s="192"/>
      <c r="K1133" s="192"/>
      <c r="L1133" s="192"/>
      <c r="M1133" s="192"/>
      <c r="N1133" s="192"/>
      <c r="O1133" s="192"/>
      <c r="P1133" s="192"/>
      <c r="Q1133" s="192"/>
      <c r="R1133" s="192"/>
      <c r="S1133" s="192"/>
      <c r="T1133" s="192"/>
      <c r="U1133" s="192"/>
      <c r="V1133" s="192"/>
      <c r="W1133" s="192"/>
      <c r="X1133" s="192"/>
      <c r="Y1133" s="192"/>
      <c r="Z1133" s="192"/>
    </row>
    <row r="1134">
      <c r="A1134" s="192"/>
      <c r="B1134" s="192"/>
      <c r="C1134" s="21"/>
      <c r="D1134" s="192"/>
      <c r="E1134" s="192"/>
      <c r="F1134" s="192"/>
      <c r="G1134" s="192"/>
      <c r="H1134" s="192"/>
      <c r="I1134" s="192"/>
      <c r="J1134" s="192"/>
      <c r="K1134" s="192"/>
      <c r="L1134" s="192"/>
      <c r="M1134" s="192"/>
      <c r="N1134" s="192"/>
      <c r="O1134" s="192"/>
      <c r="P1134" s="192"/>
      <c r="Q1134" s="192"/>
      <c r="R1134" s="192"/>
      <c r="S1134" s="192"/>
      <c r="T1134" s="192"/>
      <c r="U1134" s="192"/>
      <c r="V1134" s="192"/>
      <c r="W1134" s="192"/>
      <c r="X1134" s="192"/>
      <c r="Y1134" s="192"/>
      <c r="Z1134" s="192"/>
    </row>
    <row r="1135">
      <c r="A1135" s="192"/>
      <c r="B1135" s="192"/>
      <c r="C1135" s="21"/>
      <c r="D1135" s="192"/>
      <c r="E1135" s="192"/>
      <c r="F1135" s="192"/>
      <c r="G1135" s="192"/>
      <c r="H1135" s="192"/>
      <c r="I1135" s="192"/>
      <c r="J1135" s="192"/>
      <c r="K1135" s="192"/>
      <c r="L1135" s="192"/>
      <c r="M1135" s="192"/>
      <c r="N1135" s="192"/>
      <c r="O1135" s="192"/>
      <c r="P1135" s="192"/>
      <c r="Q1135" s="192"/>
      <c r="R1135" s="192"/>
      <c r="S1135" s="192"/>
      <c r="T1135" s="192"/>
      <c r="U1135" s="192"/>
      <c r="V1135" s="192"/>
      <c r="W1135" s="192"/>
      <c r="X1135" s="192"/>
      <c r="Y1135" s="192"/>
      <c r="Z1135" s="192"/>
    </row>
    <row r="1136">
      <c r="A1136" s="192"/>
      <c r="B1136" s="192"/>
      <c r="C1136" s="21"/>
      <c r="D1136" s="192"/>
      <c r="E1136" s="192"/>
      <c r="F1136" s="192"/>
      <c r="G1136" s="192"/>
      <c r="H1136" s="192"/>
      <c r="I1136" s="192"/>
      <c r="J1136" s="192"/>
      <c r="K1136" s="192"/>
      <c r="L1136" s="192"/>
      <c r="M1136" s="192"/>
      <c r="N1136" s="192"/>
      <c r="O1136" s="192"/>
      <c r="P1136" s="192"/>
      <c r="Q1136" s="192"/>
      <c r="R1136" s="192"/>
      <c r="S1136" s="192"/>
      <c r="T1136" s="192"/>
      <c r="U1136" s="192"/>
      <c r="V1136" s="192"/>
      <c r="W1136" s="192"/>
      <c r="X1136" s="192"/>
      <c r="Y1136" s="192"/>
      <c r="Z1136" s="192"/>
    </row>
    <row r="1137">
      <c r="A1137" s="192"/>
      <c r="B1137" s="192"/>
      <c r="C1137" s="21"/>
      <c r="D1137" s="192"/>
      <c r="E1137" s="192"/>
      <c r="F1137" s="192"/>
      <c r="G1137" s="192"/>
      <c r="H1137" s="192"/>
      <c r="I1137" s="192"/>
      <c r="J1137" s="192"/>
      <c r="K1137" s="192"/>
      <c r="L1137" s="192"/>
      <c r="M1137" s="192"/>
      <c r="N1137" s="192"/>
      <c r="O1137" s="192"/>
      <c r="P1137" s="192"/>
      <c r="Q1137" s="192"/>
      <c r="R1137" s="192"/>
      <c r="S1137" s="192"/>
      <c r="T1137" s="192"/>
      <c r="U1137" s="192"/>
      <c r="V1137" s="192"/>
      <c r="W1137" s="192"/>
      <c r="X1137" s="192"/>
      <c r="Y1137" s="192"/>
      <c r="Z1137" s="192"/>
    </row>
    <row r="1138">
      <c r="A1138" s="192"/>
      <c r="B1138" s="192"/>
      <c r="C1138" s="21"/>
      <c r="D1138" s="192"/>
      <c r="E1138" s="192"/>
      <c r="F1138" s="192"/>
      <c r="G1138" s="192"/>
      <c r="H1138" s="192"/>
      <c r="I1138" s="192"/>
      <c r="J1138" s="192"/>
      <c r="K1138" s="192"/>
      <c r="L1138" s="192"/>
      <c r="M1138" s="192"/>
      <c r="N1138" s="192"/>
      <c r="O1138" s="192"/>
      <c r="P1138" s="192"/>
      <c r="Q1138" s="192"/>
      <c r="R1138" s="192"/>
      <c r="S1138" s="192"/>
      <c r="T1138" s="192"/>
      <c r="U1138" s="192"/>
      <c r="V1138" s="192"/>
      <c r="W1138" s="192"/>
      <c r="X1138" s="192"/>
      <c r="Y1138" s="192"/>
      <c r="Z1138" s="192"/>
    </row>
    <row r="1139">
      <c r="A1139" s="192"/>
      <c r="B1139" s="192"/>
      <c r="C1139" s="21"/>
      <c r="D1139" s="192"/>
      <c r="E1139" s="192"/>
      <c r="F1139" s="192"/>
      <c r="G1139" s="192"/>
      <c r="H1139" s="192"/>
      <c r="I1139" s="192"/>
      <c r="J1139" s="192"/>
      <c r="K1139" s="192"/>
      <c r="L1139" s="192"/>
      <c r="M1139" s="192"/>
      <c r="N1139" s="192"/>
      <c r="O1139" s="192"/>
      <c r="P1139" s="192"/>
      <c r="Q1139" s="192"/>
      <c r="R1139" s="192"/>
      <c r="S1139" s="192"/>
      <c r="T1139" s="192"/>
      <c r="U1139" s="192"/>
      <c r="V1139" s="192"/>
      <c r="W1139" s="192"/>
      <c r="X1139" s="192"/>
      <c r="Y1139" s="192"/>
      <c r="Z1139" s="192"/>
    </row>
    <row r="1140">
      <c r="A1140" s="192"/>
      <c r="B1140" s="192"/>
      <c r="C1140" s="21"/>
      <c r="D1140" s="192"/>
      <c r="E1140" s="192"/>
      <c r="F1140" s="192"/>
      <c r="G1140" s="192"/>
      <c r="H1140" s="192"/>
      <c r="I1140" s="192"/>
      <c r="J1140" s="192"/>
      <c r="K1140" s="192"/>
      <c r="L1140" s="192"/>
      <c r="M1140" s="192"/>
      <c r="N1140" s="192"/>
      <c r="O1140" s="192"/>
      <c r="P1140" s="192"/>
      <c r="Q1140" s="192"/>
      <c r="R1140" s="192"/>
      <c r="S1140" s="192"/>
      <c r="T1140" s="192"/>
      <c r="U1140" s="192"/>
      <c r="V1140" s="192"/>
      <c r="W1140" s="192"/>
      <c r="X1140" s="192"/>
      <c r="Y1140" s="192"/>
      <c r="Z1140" s="192"/>
    </row>
    <row r="1141">
      <c r="A1141" s="192"/>
      <c r="B1141" s="192"/>
      <c r="C1141" s="21"/>
      <c r="D1141" s="192"/>
      <c r="E1141" s="192"/>
      <c r="F1141" s="192"/>
      <c r="G1141" s="192"/>
      <c r="H1141" s="192"/>
      <c r="I1141" s="192"/>
      <c r="J1141" s="192"/>
      <c r="K1141" s="192"/>
      <c r="L1141" s="192"/>
      <c r="M1141" s="192"/>
      <c r="N1141" s="192"/>
      <c r="O1141" s="192"/>
      <c r="P1141" s="192"/>
      <c r="Q1141" s="192"/>
      <c r="R1141" s="192"/>
      <c r="S1141" s="192"/>
      <c r="T1141" s="192"/>
      <c r="U1141" s="192"/>
      <c r="V1141" s="192"/>
      <c r="W1141" s="192"/>
      <c r="X1141" s="192"/>
      <c r="Y1141" s="192"/>
      <c r="Z1141" s="19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7.0"/>
    <col customWidth="1" min="7" max="7" width="22.5"/>
  </cols>
  <sheetData>
    <row r="1">
      <c r="A1" s="193" t="s">
        <v>6692</v>
      </c>
      <c r="B1" s="194" t="s">
        <v>1041</v>
      </c>
      <c r="C1" s="195" t="s">
        <v>8341</v>
      </c>
      <c r="D1" s="196" t="s">
        <v>8342</v>
      </c>
      <c r="E1" s="196" t="s">
        <v>6692</v>
      </c>
      <c r="F1" s="197"/>
      <c r="G1" s="196"/>
      <c r="H1" s="197"/>
      <c r="I1" s="197"/>
      <c r="J1" s="197"/>
      <c r="K1" s="197"/>
      <c r="L1" s="197"/>
      <c r="M1" s="197"/>
      <c r="N1" s="197"/>
      <c r="O1" s="197"/>
      <c r="P1" s="197"/>
      <c r="Q1" s="197"/>
      <c r="R1" s="197"/>
      <c r="S1" s="197"/>
      <c r="T1" s="197"/>
      <c r="U1" s="197"/>
      <c r="V1" s="197"/>
      <c r="W1" s="197"/>
      <c r="X1" s="197"/>
      <c r="Y1" s="197"/>
      <c r="Z1" s="197"/>
    </row>
    <row r="2">
      <c r="A2" s="198" t="s">
        <v>6702</v>
      </c>
      <c r="B2" s="199" t="s">
        <v>8343</v>
      </c>
      <c r="C2" s="199" t="s">
        <v>8344</v>
      </c>
      <c r="D2" s="199" t="s">
        <v>8344</v>
      </c>
      <c r="E2" s="198" t="s">
        <v>6702</v>
      </c>
      <c r="F2" s="198" t="s">
        <v>8345</v>
      </c>
      <c r="G2" s="21"/>
      <c r="H2" s="199"/>
      <c r="I2" s="199"/>
      <c r="J2" s="199"/>
      <c r="K2" s="199"/>
      <c r="L2" s="199"/>
      <c r="M2" s="199"/>
      <c r="N2" s="199"/>
      <c r="O2" s="199"/>
      <c r="P2" s="199"/>
      <c r="Q2" s="199"/>
      <c r="R2" s="199"/>
      <c r="S2" s="199"/>
      <c r="T2" s="199"/>
      <c r="U2" s="199"/>
      <c r="V2" s="199"/>
      <c r="W2" s="199"/>
      <c r="X2" s="199"/>
      <c r="Y2" s="199"/>
      <c r="Z2" s="199"/>
    </row>
    <row r="3">
      <c r="A3" s="198" t="s">
        <v>6712</v>
      </c>
      <c r="B3" s="198" t="s">
        <v>4052</v>
      </c>
      <c r="C3" s="199" t="s">
        <v>5967</v>
      </c>
      <c r="D3" s="199" t="s">
        <v>5967</v>
      </c>
      <c r="E3" s="198" t="s">
        <v>6712</v>
      </c>
      <c r="F3" s="198" t="s">
        <v>8346</v>
      </c>
      <c r="G3" s="21"/>
      <c r="H3" s="199"/>
      <c r="I3" s="199"/>
      <c r="J3" s="199"/>
      <c r="K3" s="199"/>
      <c r="L3" s="199"/>
      <c r="M3" s="199"/>
      <c r="N3" s="199"/>
      <c r="O3" s="199"/>
      <c r="P3" s="199"/>
      <c r="Q3" s="199"/>
      <c r="R3" s="199"/>
      <c r="S3" s="199"/>
      <c r="T3" s="199"/>
      <c r="U3" s="199"/>
      <c r="V3" s="199"/>
      <c r="W3" s="199"/>
      <c r="X3" s="199"/>
      <c r="Y3" s="199"/>
      <c r="Z3" s="199"/>
    </row>
    <row r="4">
      <c r="A4" s="198" t="s">
        <v>6806</v>
      </c>
      <c r="B4" s="198" t="s">
        <v>6716</v>
      </c>
      <c r="C4" s="199" t="s">
        <v>8347</v>
      </c>
      <c r="D4" s="199" t="s">
        <v>8347</v>
      </c>
      <c r="E4" s="198" t="s">
        <v>6806</v>
      </c>
      <c r="F4" s="199"/>
      <c r="G4" s="21"/>
      <c r="H4" s="199"/>
      <c r="I4" s="199"/>
      <c r="J4" s="199"/>
      <c r="K4" s="199"/>
      <c r="L4" s="199"/>
      <c r="M4" s="199"/>
      <c r="N4" s="199"/>
      <c r="O4" s="199"/>
      <c r="P4" s="199"/>
      <c r="Q4" s="199"/>
      <c r="R4" s="199"/>
      <c r="S4" s="199"/>
      <c r="T4" s="199"/>
      <c r="U4" s="199"/>
      <c r="V4" s="199"/>
      <c r="W4" s="199"/>
      <c r="X4" s="199"/>
      <c r="Y4" s="199"/>
      <c r="Z4" s="199"/>
    </row>
    <row r="5">
      <c r="A5" s="198" t="s">
        <v>8348</v>
      </c>
      <c r="B5" s="199" t="s">
        <v>8349</v>
      </c>
      <c r="C5" s="199" t="s">
        <v>5956</v>
      </c>
      <c r="D5" s="199" t="s">
        <v>5956</v>
      </c>
      <c r="E5" s="198" t="s">
        <v>8348</v>
      </c>
      <c r="F5" s="199"/>
      <c r="G5" s="21"/>
      <c r="H5" s="199"/>
      <c r="I5" s="199"/>
      <c r="J5" s="199"/>
      <c r="K5" s="199"/>
      <c r="L5" s="199"/>
      <c r="M5" s="199"/>
      <c r="N5" s="199"/>
      <c r="O5" s="199"/>
      <c r="P5" s="199"/>
      <c r="Q5" s="199"/>
      <c r="R5" s="199"/>
      <c r="S5" s="199"/>
      <c r="T5" s="199"/>
      <c r="U5" s="199"/>
      <c r="V5" s="199"/>
      <c r="W5" s="199"/>
      <c r="X5" s="199"/>
      <c r="Y5" s="199"/>
      <c r="Z5" s="199"/>
    </row>
    <row r="6">
      <c r="A6" s="198" t="s">
        <v>6811</v>
      </c>
      <c r="B6" s="198" t="s">
        <v>1118</v>
      </c>
      <c r="C6" s="199" t="s">
        <v>5978</v>
      </c>
      <c r="D6" s="199" t="s">
        <v>5978</v>
      </c>
      <c r="E6" s="198" t="s">
        <v>6811</v>
      </c>
      <c r="F6" s="199"/>
      <c r="G6" s="21"/>
      <c r="H6" s="199"/>
      <c r="I6" s="199"/>
      <c r="J6" s="199"/>
      <c r="K6" s="199"/>
      <c r="L6" s="199"/>
      <c r="M6" s="199"/>
      <c r="N6" s="199"/>
      <c r="O6" s="199"/>
      <c r="P6" s="199"/>
      <c r="Q6" s="199"/>
      <c r="R6" s="199"/>
      <c r="S6" s="199"/>
      <c r="T6" s="199"/>
      <c r="U6" s="199"/>
      <c r="V6" s="199"/>
      <c r="W6" s="199"/>
      <c r="X6" s="199"/>
      <c r="Y6" s="199"/>
      <c r="Z6" s="199"/>
    </row>
    <row r="7">
      <c r="A7" s="198" t="s">
        <v>8350</v>
      </c>
      <c r="B7" s="199" t="s">
        <v>1049</v>
      </c>
      <c r="C7" s="199" t="s">
        <v>5958</v>
      </c>
      <c r="D7" s="199" t="s">
        <v>5958</v>
      </c>
      <c r="E7" s="198" t="s">
        <v>8350</v>
      </c>
      <c r="F7" s="199"/>
      <c r="G7" s="21"/>
      <c r="H7" s="199"/>
      <c r="I7" s="199"/>
      <c r="J7" s="199"/>
      <c r="K7" s="199"/>
      <c r="L7" s="199"/>
      <c r="M7" s="199"/>
      <c r="N7" s="199"/>
      <c r="O7" s="199"/>
      <c r="P7" s="199"/>
      <c r="Q7" s="199"/>
      <c r="R7" s="199"/>
      <c r="S7" s="199"/>
      <c r="T7" s="199"/>
      <c r="U7" s="199"/>
      <c r="V7" s="199"/>
      <c r="W7" s="199"/>
      <c r="X7" s="199"/>
      <c r="Y7" s="199"/>
      <c r="Z7" s="199"/>
    </row>
    <row r="8">
      <c r="A8" s="198" t="s">
        <v>1043</v>
      </c>
      <c r="B8" s="198" t="s">
        <v>6773</v>
      </c>
      <c r="C8" s="199" t="s">
        <v>5963</v>
      </c>
      <c r="D8" s="199" t="s">
        <v>5963</v>
      </c>
      <c r="E8" s="198" t="s">
        <v>1043</v>
      </c>
      <c r="F8" s="199"/>
      <c r="G8" s="21"/>
      <c r="H8" s="199"/>
      <c r="I8" s="199"/>
      <c r="J8" s="199"/>
      <c r="K8" s="199"/>
      <c r="L8" s="199"/>
      <c r="M8" s="199"/>
      <c r="N8" s="199"/>
      <c r="O8" s="199"/>
      <c r="P8" s="199"/>
      <c r="Q8" s="199"/>
      <c r="R8" s="199"/>
      <c r="S8" s="199"/>
      <c r="T8" s="199"/>
      <c r="U8" s="199"/>
      <c r="V8" s="199"/>
      <c r="W8" s="199"/>
      <c r="X8" s="199"/>
      <c r="Y8" s="199"/>
      <c r="Z8" s="199"/>
    </row>
    <row r="9">
      <c r="A9" s="198" t="s">
        <v>6946</v>
      </c>
      <c r="B9" s="199" t="s">
        <v>8351</v>
      </c>
      <c r="C9" s="199" t="s">
        <v>8352</v>
      </c>
      <c r="D9" s="199" t="s">
        <v>8352</v>
      </c>
      <c r="E9" s="198" t="s">
        <v>6946</v>
      </c>
      <c r="F9" s="199"/>
      <c r="G9" s="21"/>
      <c r="H9" s="199"/>
      <c r="I9" s="199"/>
      <c r="J9" s="199"/>
      <c r="K9" s="199"/>
      <c r="L9" s="199"/>
      <c r="M9" s="199"/>
      <c r="N9" s="199"/>
      <c r="O9" s="199"/>
      <c r="P9" s="199"/>
      <c r="Q9" s="199"/>
      <c r="R9" s="199"/>
      <c r="S9" s="199"/>
      <c r="T9" s="199"/>
      <c r="U9" s="199"/>
      <c r="V9" s="199"/>
      <c r="W9" s="199"/>
      <c r="X9" s="199"/>
      <c r="Y9" s="199"/>
      <c r="Z9" s="199"/>
    </row>
    <row r="10">
      <c r="A10" s="200"/>
      <c r="B10" s="198" t="s">
        <v>7113</v>
      </c>
      <c r="C10" s="199" t="s">
        <v>5974</v>
      </c>
      <c r="D10" s="199" t="s">
        <v>5974</v>
      </c>
      <c r="E10" s="198" t="s">
        <v>8353</v>
      </c>
      <c r="F10" s="199"/>
      <c r="G10" s="21"/>
      <c r="H10" s="199"/>
      <c r="I10" s="199"/>
      <c r="J10" s="199"/>
      <c r="K10" s="199"/>
      <c r="L10" s="199"/>
      <c r="M10" s="199"/>
      <c r="N10" s="199"/>
      <c r="O10" s="199"/>
      <c r="P10" s="199"/>
      <c r="Q10" s="199"/>
      <c r="R10" s="199"/>
      <c r="S10" s="199"/>
      <c r="T10" s="199"/>
      <c r="U10" s="199"/>
      <c r="V10" s="199"/>
      <c r="W10" s="199"/>
      <c r="X10" s="199"/>
      <c r="Y10" s="199"/>
      <c r="Z10" s="199"/>
    </row>
    <row r="11">
      <c r="A11" s="200"/>
      <c r="B11" s="198" t="s">
        <v>6992</v>
      </c>
      <c r="C11" s="199" t="s">
        <v>5970</v>
      </c>
      <c r="D11" s="199" t="s">
        <v>5970</v>
      </c>
      <c r="E11" s="199"/>
      <c r="F11" s="199"/>
      <c r="G11" s="21"/>
      <c r="H11" s="199"/>
      <c r="I11" s="199"/>
      <c r="J11" s="199"/>
      <c r="K11" s="199"/>
      <c r="L11" s="199"/>
      <c r="M11" s="199"/>
      <c r="N11" s="199"/>
      <c r="O11" s="199"/>
      <c r="P11" s="199"/>
      <c r="Q11" s="199"/>
      <c r="R11" s="199"/>
      <c r="S11" s="199"/>
      <c r="T11" s="199"/>
      <c r="U11" s="199"/>
      <c r="V11" s="199"/>
      <c r="W11" s="199"/>
      <c r="X11" s="199"/>
      <c r="Y11" s="199"/>
      <c r="Z11" s="199"/>
    </row>
    <row r="12">
      <c r="A12" s="200"/>
      <c r="B12" s="198" t="s">
        <v>1111</v>
      </c>
      <c r="C12" s="199" t="s">
        <v>8354</v>
      </c>
      <c r="D12" s="199" t="s">
        <v>8354</v>
      </c>
      <c r="E12" s="199"/>
      <c r="F12" s="199"/>
      <c r="G12" s="21"/>
      <c r="H12" s="199"/>
      <c r="I12" s="199"/>
      <c r="J12" s="199"/>
      <c r="K12" s="199"/>
      <c r="L12" s="199"/>
      <c r="M12" s="199"/>
      <c r="N12" s="199"/>
      <c r="O12" s="199"/>
      <c r="P12" s="199"/>
      <c r="Q12" s="199"/>
      <c r="R12" s="199"/>
      <c r="S12" s="199"/>
      <c r="T12" s="199"/>
      <c r="U12" s="199"/>
      <c r="V12" s="199"/>
      <c r="W12" s="199"/>
      <c r="X12" s="199"/>
      <c r="Y12" s="199"/>
      <c r="Z12" s="199"/>
    </row>
    <row r="13">
      <c r="A13" s="200"/>
      <c r="B13" s="199"/>
      <c r="C13" s="199" t="s">
        <v>8355</v>
      </c>
      <c r="D13" s="199" t="s">
        <v>8355</v>
      </c>
      <c r="E13" s="199"/>
      <c r="F13" s="199"/>
      <c r="G13" s="21"/>
      <c r="H13" s="199"/>
      <c r="I13" s="199"/>
      <c r="J13" s="199"/>
      <c r="K13" s="199"/>
      <c r="L13" s="199"/>
      <c r="M13" s="199"/>
      <c r="N13" s="199"/>
      <c r="O13" s="199"/>
      <c r="P13" s="199"/>
      <c r="Q13" s="199"/>
      <c r="R13" s="199"/>
      <c r="S13" s="199"/>
      <c r="T13" s="199"/>
      <c r="U13" s="199"/>
      <c r="V13" s="199"/>
      <c r="W13" s="199"/>
      <c r="X13" s="199"/>
      <c r="Y13" s="199"/>
      <c r="Z13" s="199"/>
    </row>
    <row r="14">
      <c r="A14" s="200"/>
      <c r="B14" s="199"/>
      <c r="C14" s="199"/>
      <c r="D14" s="199"/>
      <c r="E14" s="199"/>
      <c r="F14" s="199"/>
      <c r="G14" s="21"/>
      <c r="H14" s="199"/>
      <c r="I14" s="199"/>
      <c r="J14" s="199"/>
      <c r="K14" s="199"/>
      <c r="L14" s="199"/>
      <c r="M14" s="199"/>
      <c r="N14" s="199"/>
      <c r="O14" s="199"/>
      <c r="P14" s="199"/>
      <c r="Q14" s="199"/>
      <c r="R14" s="199"/>
      <c r="S14" s="199"/>
      <c r="T14" s="199"/>
      <c r="U14" s="199"/>
      <c r="V14" s="199"/>
      <c r="W14" s="199"/>
      <c r="X14" s="199"/>
      <c r="Y14" s="199"/>
      <c r="Z14" s="199"/>
    </row>
    <row r="15">
      <c r="A15" s="200"/>
      <c r="B15" s="199"/>
      <c r="C15" s="201"/>
      <c r="D15" s="199"/>
      <c r="E15" s="199"/>
      <c r="F15" s="199"/>
      <c r="G15" s="21"/>
      <c r="H15" s="199"/>
      <c r="I15" s="199"/>
      <c r="J15" s="199"/>
      <c r="K15" s="199"/>
      <c r="L15" s="199"/>
      <c r="M15" s="199"/>
      <c r="N15" s="199"/>
      <c r="O15" s="199"/>
      <c r="P15" s="199"/>
      <c r="Q15" s="199"/>
      <c r="R15" s="199"/>
      <c r="S15" s="199"/>
      <c r="T15" s="199"/>
      <c r="U15" s="199"/>
      <c r="V15" s="199"/>
      <c r="W15" s="199"/>
      <c r="X15" s="199"/>
      <c r="Y15" s="199"/>
      <c r="Z15" s="199"/>
    </row>
    <row r="16">
      <c r="A16" s="200"/>
      <c r="B16" s="199"/>
      <c r="C16" s="201"/>
      <c r="D16" s="199"/>
      <c r="E16" s="199"/>
      <c r="F16" s="199"/>
      <c r="G16" s="21"/>
      <c r="H16" s="199"/>
      <c r="I16" s="199"/>
      <c r="J16" s="199"/>
      <c r="K16" s="199"/>
      <c r="L16" s="199"/>
      <c r="M16" s="199"/>
      <c r="N16" s="199"/>
      <c r="O16" s="199"/>
      <c r="P16" s="199"/>
      <c r="Q16" s="199"/>
      <c r="R16" s="199"/>
      <c r="S16" s="199"/>
      <c r="T16" s="199"/>
      <c r="U16" s="199"/>
      <c r="V16" s="199"/>
      <c r="W16" s="199"/>
      <c r="X16" s="199"/>
      <c r="Y16" s="199"/>
      <c r="Z16" s="199"/>
    </row>
    <row r="17">
      <c r="A17" s="200"/>
      <c r="B17" s="199"/>
      <c r="C17" s="201"/>
      <c r="D17" s="199"/>
      <c r="E17" s="199"/>
      <c r="F17" s="199"/>
      <c r="G17" s="21"/>
      <c r="H17" s="199"/>
      <c r="I17" s="199"/>
      <c r="J17" s="199"/>
      <c r="K17" s="199"/>
      <c r="L17" s="199"/>
      <c r="M17" s="199"/>
      <c r="N17" s="199"/>
      <c r="O17" s="199"/>
      <c r="P17" s="199"/>
      <c r="Q17" s="199"/>
      <c r="R17" s="199"/>
      <c r="S17" s="199"/>
      <c r="T17" s="199"/>
      <c r="U17" s="199"/>
      <c r="V17" s="199"/>
      <c r="W17" s="199"/>
      <c r="X17" s="199"/>
      <c r="Y17" s="199"/>
      <c r="Z17" s="199"/>
    </row>
    <row r="18">
      <c r="A18" s="200"/>
      <c r="B18" s="199"/>
      <c r="C18" s="201"/>
      <c r="D18" s="199"/>
      <c r="E18" s="199"/>
      <c r="F18" s="199"/>
      <c r="G18" s="21"/>
      <c r="H18" s="199"/>
      <c r="I18" s="199"/>
      <c r="J18" s="199"/>
      <c r="K18" s="199"/>
      <c r="L18" s="199"/>
      <c r="M18" s="199"/>
      <c r="N18" s="199"/>
      <c r="O18" s="199"/>
      <c r="P18" s="199"/>
      <c r="Q18" s="199"/>
      <c r="R18" s="199"/>
      <c r="S18" s="199"/>
      <c r="T18" s="199"/>
      <c r="U18" s="199"/>
      <c r="V18" s="199"/>
      <c r="W18" s="199"/>
      <c r="X18" s="199"/>
      <c r="Y18" s="199"/>
      <c r="Z18" s="199"/>
    </row>
    <row r="19">
      <c r="A19" s="200"/>
      <c r="B19" s="199"/>
      <c r="C19" s="201"/>
      <c r="D19" s="199"/>
      <c r="E19" s="199"/>
      <c r="F19" s="199"/>
      <c r="G19" s="21"/>
      <c r="H19" s="199"/>
      <c r="I19" s="199"/>
      <c r="J19" s="199"/>
      <c r="K19" s="199"/>
      <c r="L19" s="199"/>
      <c r="M19" s="199"/>
      <c r="N19" s="199"/>
      <c r="O19" s="199"/>
      <c r="P19" s="199"/>
      <c r="Q19" s="199"/>
      <c r="R19" s="199"/>
      <c r="S19" s="199"/>
      <c r="T19" s="199"/>
      <c r="U19" s="199"/>
      <c r="V19" s="199"/>
      <c r="W19" s="199"/>
      <c r="X19" s="199"/>
      <c r="Y19" s="199"/>
      <c r="Z19" s="199"/>
    </row>
    <row r="20">
      <c r="A20" s="200"/>
      <c r="B20" s="199"/>
      <c r="C20" s="201"/>
      <c r="D20" s="199"/>
      <c r="E20" s="199"/>
      <c r="F20" s="199"/>
      <c r="G20" s="21"/>
      <c r="H20" s="199"/>
      <c r="I20" s="199"/>
      <c r="J20" s="199"/>
      <c r="K20" s="199"/>
      <c r="L20" s="199"/>
      <c r="M20" s="199"/>
      <c r="N20" s="199"/>
      <c r="O20" s="199"/>
      <c r="P20" s="199"/>
      <c r="Q20" s="199"/>
      <c r="R20" s="199"/>
      <c r="S20" s="199"/>
      <c r="T20" s="199"/>
      <c r="U20" s="199"/>
      <c r="V20" s="199"/>
      <c r="W20" s="199"/>
      <c r="X20" s="199"/>
      <c r="Y20" s="199"/>
      <c r="Z20" s="199"/>
    </row>
    <row r="21">
      <c r="A21" s="200"/>
      <c r="B21" s="199"/>
      <c r="C21" s="201"/>
      <c r="D21" s="199"/>
      <c r="E21" s="199"/>
      <c r="F21" s="199"/>
      <c r="G21" s="21"/>
      <c r="H21" s="199"/>
      <c r="I21" s="199"/>
      <c r="J21" s="199"/>
      <c r="K21" s="199"/>
      <c r="L21" s="199"/>
      <c r="M21" s="199"/>
      <c r="N21" s="199"/>
      <c r="O21" s="199"/>
      <c r="P21" s="199"/>
      <c r="Q21" s="199"/>
      <c r="R21" s="199"/>
      <c r="S21" s="199"/>
      <c r="T21" s="199"/>
      <c r="U21" s="199"/>
      <c r="V21" s="199"/>
      <c r="W21" s="199"/>
      <c r="X21" s="199"/>
      <c r="Y21" s="199"/>
      <c r="Z21" s="199"/>
    </row>
    <row r="22">
      <c r="A22" s="200"/>
      <c r="B22" s="199"/>
      <c r="C22" s="201"/>
      <c r="D22" s="199"/>
      <c r="E22" s="199"/>
      <c r="F22" s="199"/>
      <c r="G22" s="21"/>
      <c r="H22" s="199"/>
      <c r="I22" s="199"/>
      <c r="J22" s="199"/>
      <c r="K22" s="199"/>
      <c r="L22" s="199"/>
      <c r="M22" s="199"/>
      <c r="N22" s="199"/>
      <c r="O22" s="199"/>
      <c r="P22" s="199"/>
      <c r="Q22" s="199"/>
      <c r="R22" s="199"/>
      <c r="S22" s="199"/>
      <c r="T22" s="199"/>
      <c r="U22" s="199"/>
      <c r="V22" s="199"/>
      <c r="W22" s="199"/>
      <c r="X22" s="199"/>
      <c r="Y22" s="199"/>
      <c r="Z22" s="199"/>
    </row>
    <row r="23">
      <c r="A23" s="200"/>
      <c r="B23" s="199"/>
      <c r="C23" s="201"/>
      <c r="D23" s="199"/>
      <c r="E23" s="199"/>
      <c r="F23" s="199"/>
      <c r="G23" s="21"/>
      <c r="H23" s="199"/>
      <c r="I23" s="199"/>
      <c r="J23" s="199"/>
      <c r="K23" s="199"/>
      <c r="L23" s="199"/>
      <c r="M23" s="199"/>
      <c r="N23" s="199"/>
      <c r="O23" s="199"/>
      <c r="P23" s="199"/>
      <c r="Q23" s="199"/>
      <c r="R23" s="199"/>
      <c r="S23" s="199"/>
      <c r="T23" s="199"/>
      <c r="U23" s="199"/>
      <c r="V23" s="199"/>
      <c r="W23" s="199"/>
      <c r="X23" s="199"/>
      <c r="Y23" s="199"/>
      <c r="Z23" s="199"/>
    </row>
    <row r="24">
      <c r="A24" s="200"/>
      <c r="B24" s="199"/>
      <c r="C24" s="199"/>
      <c r="D24" s="199"/>
      <c r="E24" s="199"/>
      <c r="F24" s="199"/>
      <c r="G24" s="21"/>
      <c r="H24" s="199"/>
      <c r="I24" s="199"/>
      <c r="J24" s="199"/>
      <c r="K24" s="199"/>
      <c r="L24" s="199"/>
      <c r="M24" s="199"/>
      <c r="N24" s="199"/>
      <c r="O24" s="199"/>
      <c r="P24" s="199"/>
      <c r="Q24" s="199"/>
      <c r="R24" s="199"/>
      <c r="S24" s="199"/>
      <c r="T24" s="199"/>
      <c r="U24" s="199"/>
      <c r="V24" s="199"/>
      <c r="W24" s="199"/>
      <c r="X24" s="199"/>
      <c r="Y24" s="199"/>
      <c r="Z24" s="199"/>
    </row>
    <row r="25">
      <c r="A25" s="200"/>
      <c r="B25" s="199"/>
      <c r="C25" s="199"/>
      <c r="D25" s="199"/>
      <c r="E25" s="199"/>
      <c r="F25" s="199"/>
      <c r="G25" s="21"/>
      <c r="H25" s="199"/>
      <c r="I25" s="199"/>
      <c r="J25" s="199"/>
      <c r="K25" s="199"/>
      <c r="L25" s="199"/>
      <c r="M25" s="199"/>
      <c r="N25" s="199"/>
      <c r="O25" s="199"/>
      <c r="P25" s="199"/>
      <c r="Q25" s="199"/>
      <c r="R25" s="199"/>
      <c r="S25" s="199"/>
      <c r="T25" s="199"/>
      <c r="U25" s="199"/>
      <c r="V25" s="199"/>
      <c r="W25" s="199"/>
      <c r="X25" s="199"/>
      <c r="Y25" s="199"/>
      <c r="Z25" s="199"/>
    </row>
    <row r="26">
      <c r="A26" s="200"/>
      <c r="B26" s="199"/>
      <c r="C26" s="199"/>
      <c r="D26" s="199"/>
      <c r="E26" s="199"/>
      <c r="F26" s="199"/>
      <c r="G26" s="21"/>
      <c r="H26" s="199"/>
      <c r="I26" s="199"/>
      <c r="J26" s="199"/>
      <c r="K26" s="199"/>
      <c r="L26" s="199"/>
      <c r="M26" s="199"/>
      <c r="N26" s="199"/>
      <c r="O26" s="199"/>
      <c r="P26" s="199"/>
      <c r="Q26" s="199"/>
      <c r="R26" s="199"/>
      <c r="S26" s="199"/>
      <c r="T26" s="199"/>
      <c r="U26" s="199"/>
      <c r="V26" s="199"/>
      <c r="W26" s="199"/>
      <c r="X26" s="199"/>
      <c r="Y26" s="199"/>
      <c r="Z26" s="199"/>
    </row>
    <row r="27">
      <c r="A27" s="200"/>
      <c r="B27" s="199"/>
      <c r="C27" s="199"/>
      <c r="D27" s="199"/>
      <c r="E27" s="199"/>
      <c r="F27" s="199"/>
      <c r="G27" s="21"/>
      <c r="H27" s="199"/>
      <c r="I27" s="199"/>
      <c r="J27" s="199"/>
      <c r="K27" s="199"/>
      <c r="L27" s="199"/>
      <c r="M27" s="199"/>
      <c r="N27" s="199"/>
      <c r="O27" s="199"/>
      <c r="P27" s="199"/>
      <c r="Q27" s="199"/>
      <c r="R27" s="199"/>
      <c r="S27" s="199"/>
      <c r="T27" s="199"/>
      <c r="U27" s="199"/>
      <c r="V27" s="199"/>
      <c r="W27" s="199"/>
      <c r="X27" s="199"/>
      <c r="Y27" s="199"/>
      <c r="Z27" s="199"/>
    </row>
    <row r="28">
      <c r="A28" s="200"/>
      <c r="B28" s="199"/>
      <c r="C28" s="199"/>
      <c r="D28" s="199"/>
      <c r="E28" s="199"/>
      <c r="F28" s="199"/>
      <c r="G28" s="21"/>
      <c r="H28" s="199"/>
      <c r="I28" s="199"/>
      <c r="J28" s="199"/>
      <c r="K28" s="199"/>
      <c r="L28" s="199"/>
      <c r="M28" s="199"/>
      <c r="N28" s="199"/>
      <c r="O28" s="199"/>
      <c r="P28" s="199"/>
      <c r="Q28" s="199"/>
      <c r="R28" s="199"/>
      <c r="S28" s="199"/>
      <c r="T28" s="199"/>
      <c r="U28" s="199"/>
      <c r="V28" s="199"/>
      <c r="W28" s="199"/>
      <c r="X28" s="199"/>
      <c r="Y28" s="199"/>
      <c r="Z28" s="199"/>
    </row>
    <row r="29">
      <c r="A29" s="200"/>
      <c r="B29" s="199"/>
      <c r="C29" s="199"/>
      <c r="D29" s="199"/>
      <c r="E29" s="199"/>
      <c r="F29" s="199"/>
      <c r="G29" s="21"/>
      <c r="H29" s="199"/>
      <c r="I29" s="199"/>
      <c r="J29" s="199"/>
      <c r="K29" s="199"/>
      <c r="L29" s="199"/>
      <c r="M29" s="199"/>
      <c r="N29" s="199"/>
      <c r="O29" s="199"/>
      <c r="P29" s="199"/>
      <c r="Q29" s="199"/>
      <c r="R29" s="199"/>
      <c r="S29" s="199"/>
      <c r="T29" s="199"/>
      <c r="U29" s="199"/>
      <c r="V29" s="199"/>
      <c r="W29" s="199"/>
      <c r="X29" s="199"/>
      <c r="Y29" s="199"/>
      <c r="Z29" s="199"/>
    </row>
    <row r="30">
      <c r="A30" s="200"/>
      <c r="B30" s="199"/>
      <c r="C30" s="199"/>
      <c r="D30" s="199"/>
      <c r="E30" s="199"/>
      <c r="F30" s="199"/>
      <c r="G30" s="21"/>
      <c r="H30" s="199"/>
      <c r="I30" s="199"/>
      <c r="J30" s="199"/>
      <c r="K30" s="199"/>
      <c r="L30" s="199"/>
      <c r="M30" s="199"/>
      <c r="N30" s="199"/>
      <c r="O30" s="199"/>
      <c r="P30" s="199"/>
      <c r="Q30" s="199"/>
      <c r="R30" s="199"/>
      <c r="S30" s="199"/>
      <c r="T30" s="199"/>
      <c r="U30" s="199"/>
      <c r="V30" s="199"/>
      <c r="W30" s="199"/>
      <c r="X30" s="199"/>
      <c r="Y30" s="199"/>
      <c r="Z30" s="199"/>
    </row>
    <row r="31">
      <c r="A31" s="200"/>
      <c r="B31" s="199"/>
      <c r="C31" s="199"/>
      <c r="D31" s="199"/>
      <c r="E31" s="199"/>
      <c r="F31" s="199"/>
      <c r="G31" s="21"/>
      <c r="H31" s="199"/>
      <c r="I31" s="199"/>
      <c r="J31" s="199"/>
      <c r="K31" s="199"/>
      <c r="L31" s="199"/>
      <c r="M31" s="199"/>
      <c r="N31" s="199"/>
      <c r="O31" s="199"/>
      <c r="P31" s="199"/>
      <c r="Q31" s="199"/>
      <c r="R31" s="199"/>
      <c r="S31" s="199"/>
      <c r="T31" s="199"/>
      <c r="U31" s="199"/>
      <c r="V31" s="199"/>
      <c r="W31" s="199"/>
      <c r="X31" s="199"/>
      <c r="Y31" s="199"/>
      <c r="Z31" s="199"/>
    </row>
    <row r="32">
      <c r="A32" s="200"/>
      <c r="B32" s="199"/>
      <c r="C32" s="199"/>
      <c r="D32" s="199"/>
      <c r="E32" s="199"/>
      <c r="F32" s="199"/>
      <c r="G32" s="21"/>
      <c r="H32" s="199"/>
      <c r="I32" s="199"/>
      <c r="J32" s="199"/>
      <c r="K32" s="199"/>
      <c r="L32" s="199"/>
      <c r="M32" s="199"/>
      <c r="N32" s="199"/>
      <c r="O32" s="199"/>
      <c r="P32" s="199"/>
      <c r="Q32" s="199"/>
      <c r="R32" s="199"/>
      <c r="S32" s="199"/>
      <c r="T32" s="199"/>
      <c r="U32" s="199"/>
      <c r="V32" s="199"/>
      <c r="W32" s="199"/>
      <c r="X32" s="199"/>
      <c r="Y32" s="199"/>
      <c r="Z32" s="199"/>
    </row>
    <row r="33">
      <c r="A33" s="200"/>
      <c r="B33" s="199"/>
      <c r="C33" s="199"/>
      <c r="D33" s="199"/>
      <c r="E33" s="199"/>
      <c r="F33" s="199"/>
      <c r="G33" s="21"/>
      <c r="H33" s="199"/>
      <c r="I33" s="199"/>
      <c r="J33" s="199"/>
      <c r="K33" s="199"/>
      <c r="L33" s="199"/>
      <c r="M33" s="199"/>
      <c r="N33" s="199"/>
      <c r="O33" s="199"/>
      <c r="P33" s="199"/>
      <c r="Q33" s="199"/>
      <c r="R33" s="199"/>
      <c r="S33" s="199"/>
      <c r="T33" s="199"/>
      <c r="U33" s="199"/>
      <c r="V33" s="199"/>
      <c r="W33" s="199"/>
      <c r="X33" s="199"/>
      <c r="Y33" s="199"/>
      <c r="Z33" s="199"/>
    </row>
    <row r="34">
      <c r="A34" s="200"/>
      <c r="B34" s="199"/>
      <c r="C34" s="199"/>
      <c r="D34" s="199"/>
      <c r="E34" s="199"/>
      <c r="F34" s="199"/>
      <c r="G34" s="21"/>
      <c r="H34" s="199"/>
      <c r="I34" s="199"/>
      <c r="J34" s="199"/>
      <c r="K34" s="199"/>
      <c r="L34" s="199"/>
      <c r="M34" s="199"/>
      <c r="N34" s="199"/>
      <c r="O34" s="199"/>
      <c r="P34" s="199"/>
      <c r="Q34" s="199"/>
      <c r="R34" s="199"/>
      <c r="S34" s="199"/>
      <c r="T34" s="199"/>
      <c r="U34" s="199"/>
      <c r="V34" s="199"/>
      <c r="W34" s="199"/>
      <c r="X34" s="199"/>
      <c r="Y34" s="199"/>
      <c r="Z34" s="199"/>
    </row>
    <row r="35">
      <c r="A35" s="200"/>
      <c r="B35" s="199"/>
      <c r="C35" s="199"/>
      <c r="D35" s="199"/>
      <c r="E35" s="199"/>
      <c r="F35" s="199"/>
      <c r="G35" s="21"/>
      <c r="H35" s="199"/>
      <c r="I35" s="199"/>
      <c r="J35" s="199"/>
      <c r="K35" s="199"/>
      <c r="L35" s="199"/>
      <c r="M35" s="199"/>
      <c r="N35" s="199"/>
      <c r="O35" s="199"/>
      <c r="P35" s="199"/>
      <c r="Q35" s="199"/>
      <c r="R35" s="199"/>
      <c r="S35" s="199"/>
      <c r="T35" s="199"/>
      <c r="U35" s="199"/>
      <c r="V35" s="199"/>
      <c r="W35" s="199"/>
      <c r="X35" s="199"/>
      <c r="Y35" s="199"/>
      <c r="Z35" s="199"/>
    </row>
    <row r="36">
      <c r="A36" s="200"/>
      <c r="B36" s="199"/>
      <c r="C36" s="199"/>
      <c r="D36" s="199"/>
      <c r="E36" s="199"/>
      <c r="F36" s="199"/>
      <c r="G36" s="21"/>
      <c r="H36" s="199"/>
      <c r="I36" s="199"/>
      <c r="J36" s="199"/>
      <c r="K36" s="199"/>
      <c r="L36" s="199"/>
      <c r="M36" s="199"/>
      <c r="N36" s="199"/>
      <c r="O36" s="199"/>
      <c r="P36" s="199"/>
      <c r="Q36" s="199"/>
      <c r="R36" s="199"/>
      <c r="S36" s="199"/>
      <c r="T36" s="199"/>
      <c r="U36" s="199"/>
      <c r="V36" s="199"/>
      <c r="W36" s="199"/>
      <c r="X36" s="199"/>
      <c r="Y36" s="199"/>
      <c r="Z36" s="199"/>
    </row>
    <row r="37">
      <c r="A37" s="200"/>
      <c r="B37" s="199"/>
      <c r="C37" s="199"/>
      <c r="D37" s="199"/>
      <c r="E37" s="199"/>
      <c r="F37" s="199"/>
      <c r="G37" s="21"/>
      <c r="H37" s="199"/>
      <c r="I37" s="199"/>
      <c r="J37" s="199"/>
      <c r="K37" s="199"/>
      <c r="L37" s="199"/>
      <c r="M37" s="199"/>
      <c r="N37" s="199"/>
      <c r="O37" s="199"/>
      <c r="P37" s="199"/>
      <c r="Q37" s="199"/>
      <c r="R37" s="199"/>
      <c r="S37" s="199"/>
      <c r="T37" s="199"/>
      <c r="U37" s="199"/>
      <c r="V37" s="199"/>
      <c r="W37" s="199"/>
      <c r="X37" s="199"/>
      <c r="Y37" s="199"/>
      <c r="Z37" s="199"/>
    </row>
    <row r="38">
      <c r="A38" s="200"/>
      <c r="B38" s="199"/>
      <c r="C38" s="199"/>
      <c r="D38" s="199"/>
      <c r="E38" s="199"/>
      <c r="F38" s="199"/>
      <c r="G38" s="21"/>
      <c r="H38" s="199"/>
      <c r="I38" s="199"/>
      <c r="J38" s="199"/>
      <c r="K38" s="199"/>
      <c r="L38" s="199"/>
      <c r="M38" s="199"/>
      <c r="N38" s="199"/>
      <c r="O38" s="199"/>
      <c r="P38" s="199"/>
      <c r="Q38" s="199"/>
      <c r="R38" s="199"/>
      <c r="S38" s="199"/>
      <c r="T38" s="199"/>
      <c r="U38" s="199"/>
      <c r="V38" s="199"/>
      <c r="W38" s="199"/>
      <c r="X38" s="199"/>
      <c r="Y38" s="199"/>
      <c r="Z38" s="199"/>
    </row>
    <row r="39">
      <c r="A39" s="200"/>
      <c r="B39" s="199"/>
      <c r="C39" s="199"/>
      <c r="D39" s="199"/>
      <c r="E39" s="199"/>
      <c r="F39" s="199"/>
      <c r="G39" s="21"/>
      <c r="H39" s="199"/>
      <c r="I39" s="199"/>
      <c r="J39" s="199"/>
      <c r="K39" s="199"/>
      <c r="L39" s="199"/>
      <c r="M39" s="199"/>
      <c r="N39" s="199"/>
      <c r="O39" s="199"/>
      <c r="P39" s="199"/>
      <c r="Q39" s="199"/>
      <c r="R39" s="199"/>
      <c r="S39" s="199"/>
      <c r="T39" s="199"/>
      <c r="U39" s="199"/>
      <c r="V39" s="199"/>
      <c r="W39" s="199"/>
      <c r="X39" s="199"/>
      <c r="Y39" s="199"/>
      <c r="Z39" s="199"/>
    </row>
    <row r="40">
      <c r="A40" s="200"/>
      <c r="B40" s="199"/>
      <c r="C40" s="199"/>
      <c r="D40" s="199"/>
      <c r="E40" s="199"/>
      <c r="F40" s="199"/>
      <c r="G40" s="21"/>
      <c r="H40" s="199"/>
      <c r="I40" s="199"/>
      <c r="J40" s="199"/>
      <c r="K40" s="199"/>
      <c r="L40" s="199"/>
      <c r="M40" s="199"/>
      <c r="N40" s="199"/>
      <c r="O40" s="199"/>
      <c r="P40" s="199"/>
      <c r="Q40" s="199"/>
      <c r="R40" s="199"/>
      <c r="S40" s="199"/>
      <c r="T40" s="199"/>
      <c r="U40" s="199"/>
      <c r="V40" s="199"/>
      <c r="W40" s="199"/>
      <c r="X40" s="199"/>
      <c r="Y40" s="199"/>
      <c r="Z40" s="199"/>
    </row>
    <row r="41">
      <c r="A41" s="200"/>
      <c r="B41" s="199"/>
      <c r="C41" s="199"/>
      <c r="D41" s="199"/>
      <c r="E41" s="199"/>
      <c r="F41" s="199"/>
      <c r="G41" s="21"/>
      <c r="H41" s="199"/>
      <c r="I41" s="199"/>
      <c r="J41" s="199"/>
      <c r="K41" s="199"/>
      <c r="L41" s="199"/>
      <c r="M41" s="199"/>
      <c r="N41" s="199"/>
      <c r="O41" s="199"/>
      <c r="P41" s="199"/>
      <c r="Q41" s="199"/>
      <c r="R41" s="199"/>
      <c r="S41" s="199"/>
      <c r="T41" s="199"/>
      <c r="U41" s="199"/>
      <c r="V41" s="199"/>
      <c r="W41" s="199"/>
      <c r="X41" s="199"/>
      <c r="Y41" s="199"/>
      <c r="Z41" s="199"/>
    </row>
    <row r="42">
      <c r="A42" s="200"/>
      <c r="B42" s="199"/>
      <c r="C42" s="199"/>
      <c r="D42" s="199"/>
      <c r="E42" s="199"/>
      <c r="F42" s="199"/>
      <c r="G42" s="21"/>
      <c r="H42" s="199"/>
      <c r="I42" s="199"/>
      <c r="J42" s="199"/>
      <c r="K42" s="199"/>
      <c r="L42" s="199"/>
      <c r="M42" s="199"/>
      <c r="N42" s="199"/>
      <c r="O42" s="199"/>
      <c r="P42" s="199"/>
      <c r="Q42" s="199"/>
      <c r="R42" s="199"/>
      <c r="S42" s="199"/>
      <c r="T42" s="199"/>
      <c r="U42" s="199"/>
      <c r="V42" s="199"/>
      <c r="W42" s="199"/>
      <c r="X42" s="199"/>
      <c r="Y42" s="199"/>
      <c r="Z42" s="199"/>
    </row>
    <row r="43">
      <c r="A43" s="200"/>
      <c r="B43" s="199"/>
      <c r="C43" s="199"/>
      <c r="D43" s="199"/>
      <c r="E43" s="199"/>
      <c r="F43" s="199"/>
      <c r="G43" s="21"/>
      <c r="H43" s="199"/>
      <c r="I43" s="199"/>
      <c r="J43" s="199"/>
      <c r="K43" s="199"/>
      <c r="L43" s="199"/>
      <c r="M43" s="199"/>
      <c r="N43" s="199"/>
      <c r="O43" s="199"/>
      <c r="P43" s="199"/>
      <c r="Q43" s="199"/>
      <c r="R43" s="199"/>
      <c r="S43" s="199"/>
      <c r="T43" s="199"/>
      <c r="U43" s="199"/>
      <c r="V43" s="199"/>
      <c r="W43" s="199"/>
      <c r="X43" s="199"/>
      <c r="Y43" s="199"/>
      <c r="Z43" s="199"/>
    </row>
    <row r="44">
      <c r="A44" s="200"/>
      <c r="B44" s="199"/>
      <c r="C44" s="199"/>
      <c r="D44" s="199"/>
      <c r="E44" s="199"/>
      <c r="F44" s="199"/>
      <c r="G44" s="21"/>
      <c r="H44" s="199"/>
      <c r="I44" s="199"/>
      <c r="J44" s="199"/>
      <c r="K44" s="199"/>
      <c r="L44" s="199"/>
      <c r="M44" s="199"/>
      <c r="N44" s="199"/>
      <c r="O44" s="199"/>
      <c r="P44" s="199"/>
      <c r="Q44" s="199"/>
      <c r="R44" s="199"/>
      <c r="S44" s="199"/>
      <c r="T44" s="199"/>
      <c r="U44" s="199"/>
      <c r="V44" s="199"/>
      <c r="W44" s="199"/>
      <c r="X44" s="199"/>
      <c r="Y44" s="199"/>
      <c r="Z44" s="199"/>
    </row>
    <row r="45">
      <c r="A45" s="200"/>
      <c r="B45" s="199"/>
      <c r="C45" s="199"/>
      <c r="D45" s="199"/>
      <c r="E45" s="199"/>
      <c r="F45" s="199"/>
      <c r="G45" s="21"/>
      <c r="H45" s="199"/>
      <c r="I45" s="199"/>
      <c r="J45" s="199"/>
      <c r="K45" s="199"/>
      <c r="L45" s="199"/>
      <c r="M45" s="199"/>
      <c r="N45" s="199"/>
      <c r="O45" s="199"/>
      <c r="P45" s="199"/>
      <c r="Q45" s="199"/>
      <c r="R45" s="199"/>
      <c r="S45" s="199"/>
      <c r="T45" s="199"/>
      <c r="U45" s="199"/>
      <c r="V45" s="199"/>
      <c r="W45" s="199"/>
      <c r="X45" s="199"/>
      <c r="Y45" s="199"/>
      <c r="Z45" s="199"/>
    </row>
    <row r="46">
      <c r="A46" s="200"/>
      <c r="B46" s="199"/>
      <c r="C46" s="199"/>
      <c r="D46" s="199"/>
      <c r="E46" s="199"/>
      <c r="F46" s="199"/>
      <c r="G46" s="21"/>
      <c r="H46" s="199"/>
      <c r="I46" s="199"/>
      <c r="J46" s="199"/>
      <c r="K46" s="199"/>
      <c r="L46" s="199"/>
      <c r="M46" s="199"/>
      <c r="N46" s="199"/>
      <c r="O46" s="199"/>
      <c r="P46" s="199"/>
      <c r="Q46" s="199"/>
      <c r="R46" s="199"/>
      <c r="S46" s="199"/>
      <c r="T46" s="199"/>
      <c r="U46" s="199"/>
      <c r="V46" s="199"/>
      <c r="W46" s="199"/>
      <c r="X46" s="199"/>
      <c r="Y46" s="199"/>
      <c r="Z46" s="199"/>
    </row>
    <row r="47">
      <c r="A47" s="200"/>
      <c r="B47" s="199"/>
      <c r="C47" s="199"/>
      <c r="D47" s="199"/>
      <c r="E47" s="199"/>
      <c r="F47" s="199"/>
      <c r="G47" s="21"/>
      <c r="H47" s="199"/>
      <c r="I47" s="199"/>
      <c r="J47" s="199"/>
      <c r="K47" s="199"/>
      <c r="L47" s="199"/>
      <c r="M47" s="199"/>
      <c r="N47" s="199"/>
      <c r="O47" s="199"/>
      <c r="P47" s="199"/>
      <c r="Q47" s="199"/>
      <c r="R47" s="199"/>
      <c r="S47" s="199"/>
      <c r="T47" s="199"/>
      <c r="U47" s="199"/>
      <c r="V47" s="199"/>
      <c r="W47" s="199"/>
      <c r="X47" s="199"/>
      <c r="Y47" s="199"/>
      <c r="Z47" s="199"/>
    </row>
    <row r="48">
      <c r="A48" s="200"/>
      <c r="B48" s="199"/>
      <c r="C48" s="199"/>
      <c r="D48" s="199"/>
      <c r="E48" s="199"/>
      <c r="F48" s="199"/>
      <c r="G48" s="21"/>
      <c r="H48" s="199"/>
      <c r="I48" s="199"/>
      <c r="J48" s="199"/>
      <c r="K48" s="199"/>
      <c r="L48" s="199"/>
      <c r="M48" s="199"/>
      <c r="N48" s="199"/>
      <c r="O48" s="199"/>
      <c r="P48" s="199"/>
      <c r="Q48" s="199"/>
      <c r="R48" s="199"/>
      <c r="S48" s="199"/>
      <c r="T48" s="199"/>
      <c r="U48" s="199"/>
      <c r="V48" s="199"/>
      <c r="W48" s="199"/>
      <c r="X48" s="199"/>
      <c r="Y48" s="199"/>
      <c r="Z48" s="199"/>
    </row>
    <row r="49">
      <c r="A49" s="200"/>
      <c r="B49" s="199"/>
      <c r="C49" s="199"/>
      <c r="D49" s="199"/>
      <c r="E49" s="199"/>
      <c r="F49" s="199"/>
      <c r="G49" s="21"/>
      <c r="H49" s="199"/>
      <c r="I49" s="199"/>
      <c r="J49" s="199"/>
      <c r="K49" s="199"/>
      <c r="L49" s="199"/>
      <c r="M49" s="199"/>
      <c r="N49" s="199"/>
      <c r="O49" s="199"/>
      <c r="P49" s="199"/>
      <c r="Q49" s="199"/>
      <c r="R49" s="199"/>
      <c r="S49" s="199"/>
      <c r="T49" s="199"/>
      <c r="U49" s="199"/>
      <c r="V49" s="199"/>
      <c r="W49" s="199"/>
      <c r="X49" s="199"/>
      <c r="Y49" s="199"/>
      <c r="Z49" s="199"/>
    </row>
    <row r="50">
      <c r="A50" s="200"/>
      <c r="B50" s="199"/>
      <c r="C50" s="199"/>
      <c r="D50" s="199"/>
      <c r="E50" s="199"/>
      <c r="F50" s="199"/>
      <c r="G50" s="21"/>
      <c r="H50" s="199"/>
      <c r="I50" s="199"/>
      <c r="J50" s="199"/>
      <c r="K50" s="199"/>
      <c r="L50" s="199"/>
      <c r="M50" s="199"/>
      <c r="N50" s="199"/>
      <c r="O50" s="199"/>
      <c r="P50" s="199"/>
      <c r="Q50" s="199"/>
      <c r="R50" s="199"/>
      <c r="S50" s="199"/>
      <c r="T50" s="199"/>
      <c r="U50" s="199"/>
      <c r="V50" s="199"/>
      <c r="W50" s="199"/>
      <c r="X50" s="199"/>
      <c r="Y50" s="199"/>
      <c r="Z50" s="199"/>
    </row>
    <row r="51">
      <c r="A51" s="200"/>
      <c r="B51" s="199"/>
      <c r="C51" s="199"/>
      <c r="D51" s="199"/>
      <c r="E51" s="199"/>
      <c r="F51" s="199"/>
      <c r="G51" s="21"/>
      <c r="H51" s="199"/>
      <c r="I51" s="199"/>
      <c r="J51" s="199"/>
      <c r="K51" s="199"/>
      <c r="L51" s="199"/>
      <c r="M51" s="199"/>
      <c r="N51" s="199"/>
      <c r="O51" s="199"/>
      <c r="P51" s="199"/>
      <c r="Q51" s="199"/>
      <c r="R51" s="199"/>
      <c r="S51" s="199"/>
      <c r="T51" s="199"/>
      <c r="U51" s="199"/>
      <c r="V51" s="199"/>
      <c r="W51" s="199"/>
      <c r="X51" s="199"/>
      <c r="Y51" s="199"/>
      <c r="Z51" s="199"/>
    </row>
    <row r="52">
      <c r="A52" s="200"/>
      <c r="B52" s="199"/>
      <c r="C52" s="199"/>
      <c r="D52" s="199"/>
      <c r="E52" s="199"/>
      <c r="F52" s="199"/>
      <c r="G52" s="21"/>
      <c r="H52" s="199"/>
      <c r="I52" s="199"/>
      <c r="J52" s="199"/>
      <c r="K52" s="199"/>
      <c r="L52" s="199"/>
      <c r="M52" s="199"/>
      <c r="N52" s="199"/>
      <c r="O52" s="199"/>
      <c r="P52" s="199"/>
      <c r="Q52" s="199"/>
      <c r="R52" s="199"/>
      <c r="S52" s="199"/>
      <c r="T52" s="199"/>
      <c r="U52" s="199"/>
      <c r="V52" s="199"/>
      <c r="W52" s="199"/>
      <c r="X52" s="199"/>
      <c r="Y52" s="199"/>
      <c r="Z52" s="199"/>
    </row>
    <row r="53">
      <c r="A53" s="200"/>
      <c r="B53" s="199"/>
      <c r="C53" s="199"/>
      <c r="D53" s="199"/>
      <c r="E53" s="199"/>
      <c r="F53" s="199"/>
      <c r="G53" s="21"/>
      <c r="H53" s="199"/>
      <c r="I53" s="199"/>
      <c r="J53" s="199"/>
      <c r="K53" s="199"/>
      <c r="L53" s="199"/>
      <c r="M53" s="199"/>
      <c r="N53" s="199"/>
      <c r="O53" s="199"/>
      <c r="P53" s="199"/>
      <c r="Q53" s="199"/>
      <c r="R53" s="199"/>
      <c r="S53" s="199"/>
      <c r="T53" s="199"/>
      <c r="U53" s="199"/>
      <c r="V53" s="199"/>
      <c r="W53" s="199"/>
      <c r="X53" s="199"/>
      <c r="Y53" s="199"/>
      <c r="Z53" s="199"/>
    </row>
    <row r="54">
      <c r="A54" s="200"/>
      <c r="B54" s="199"/>
      <c r="C54" s="199"/>
      <c r="D54" s="199"/>
      <c r="E54" s="199"/>
      <c r="F54" s="199"/>
      <c r="G54" s="21"/>
      <c r="H54" s="199"/>
      <c r="I54" s="199"/>
      <c r="J54" s="199"/>
      <c r="K54" s="199"/>
      <c r="L54" s="199"/>
      <c r="M54" s="199"/>
      <c r="N54" s="199"/>
      <c r="O54" s="199"/>
      <c r="P54" s="199"/>
      <c r="Q54" s="199"/>
      <c r="R54" s="199"/>
      <c r="S54" s="199"/>
      <c r="T54" s="199"/>
      <c r="U54" s="199"/>
      <c r="V54" s="199"/>
      <c r="W54" s="199"/>
      <c r="X54" s="199"/>
      <c r="Y54" s="199"/>
      <c r="Z54" s="199"/>
    </row>
    <row r="55">
      <c r="A55" s="200"/>
      <c r="B55" s="199"/>
      <c r="C55" s="199"/>
      <c r="D55" s="199"/>
      <c r="E55" s="199"/>
      <c r="F55" s="199"/>
      <c r="G55" s="21"/>
      <c r="H55" s="199"/>
      <c r="I55" s="199"/>
      <c r="J55" s="199"/>
      <c r="K55" s="199"/>
      <c r="L55" s="199"/>
      <c r="M55" s="199"/>
      <c r="N55" s="199"/>
      <c r="O55" s="199"/>
      <c r="P55" s="199"/>
      <c r="Q55" s="199"/>
      <c r="R55" s="199"/>
      <c r="S55" s="199"/>
      <c r="T55" s="199"/>
      <c r="U55" s="199"/>
      <c r="V55" s="199"/>
      <c r="W55" s="199"/>
      <c r="X55" s="199"/>
      <c r="Y55" s="199"/>
      <c r="Z55" s="199"/>
    </row>
    <row r="56">
      <c r="A56" s="200"/>
      <c r="B56" s="199"/>
      <c r="C56" s="199"/>
      <c r="D56" s="199"/>
      <c r="E56" s="199"/>
      <c r="F56" s="199"/>
      <c r="G56" s="21"/>
      <c r="H56" s="199"/>
      <c r="I56" s="199"/>
      <c r="J56" s="199"/>
      <c r="K56" s="199"/>
      <c r="L56" s="199"/>
      <c r="M56" s="199"/>
      <c r="N56" s="199"/>
      <c r="O56" s="199"/>
      <c r="P56" s="199"/>
      <c r="Q56" s="199"/>
      <c r="R56" s="199"/>
      <c r="S56" s="199"/>
      <c r="T56" s="199"/>
      <c r="U56" s="199"/>
      <c r="V56" s="199"/>
      <c r="W56" s="199"/>
      <c r="X56" s="199"/>
      <c r="Y56" s="199"/>
      <c r="Z56" s="199"/>
    </row>
    <row r="57">
      <c r="A57" s="200"/>
      <c r="B57" s="199"/>
      <c r="C57" s="199"/>
      <c r="D57" s="199"/>
      <c r="E57" s="199"/>
      <c r="F57" s="199"/>
      <c r="G57" s="21"/>
      <c r="H57" s="199"/>
      <c r="I57" s="199"/>
      <c r="J57" s="199"/>
      <c r="K57" s="199"/>
      <c r="L57" s="199"/>
      <c r="M57" s="199"/>
      <c r="N57" s="199"/>
      <c r="O57" s="199"/>
      <c r="P57" s="199"/>
      <c r="Q57" s="199"/>
      <c r="R57" s="199"/>
      <c r="S57" s="199"/>
      <c r="T57" s="199"/>
      <c r="U57" s="199"/>
      <c r="V57" s="199"/>
      <c r="W57" s="199"/>
      <c r="X57" s="199"/>
      <c r="Y57" s="199"/>
      <c r="Z57" s="199"/>
    </row>
    <row r="58">
      <c r="A58" s="200"/>
      <c r="B58" s="199"/>
      <c r="C58" s="199"/>
      <c r="D58" s="199"/>
      <c r="E58" s="199"/>
      <c r="F58" s="199"/>
      <c r="G58" s="21"/>
      <c r="H58" s="199"/>
      <c r="I58" s="199"/>
      <c r="J58" s="199"/>
      <c r="K58" s="199"/>
      <c r="L58" s="199"/>
      <c r="M58" s="199"/>
      <c r="N58" s="199"/>
      <c r="O58" s="199"/>
      <c r="P58" s="199"/>
      <c r="Q58" s="199"/>
      <c r="R58" s="199"/>
      <c r="S58" s="199"/>
      <c r="T58" s="199"/>
      <c r="U58" s="199"/>
      <c r="V58" s="199"/>
      <c r="W58" s="199"/>
      <c r="X58" s="199"/>
      <c r="Y58" s="199"/>
      <c r="Z58" s="199"/>
    </row>
    <row r="59">
      <c r="A59" s="200"/>
      <c r="B59" s="199"/>
      <c r="C59" s="199"/>
      <c r="D59" s="199"/>
      <c r="E59" s="199"/>
      <c r="F59" s="199"/>
      <c r="G59" s="21"/>
      <c r="H59" s="199"/>
      <c r="I59" s="199"/>
      <c r="J59" s="199"/>
      <c r="K59" s="199"/>
      <c r="L59" s="199"/>
      <c r="M59" s="199"/>
      <c r="N59" s="199"/>
      <c r="O59" s="199"/>
      <c r="P59" s="199"/>
      <c r="Q59" s="199"/>
      <c r="R59" s="199"/>
      <c r="S59" s="199"/>
      <c r="T59" s="199"/>
      <c r="U59" s="199"/>
      <c r="V59" s="199"/>
      <c r="W59" s="199"/>
      <c r="X59" s="199"/>
      <c r="Y59" s="199"/>
      <c r="Z59" s="199"/>
    </row>
    <row r="60">
      <c r="A60" s="200"/>
      <c r="B60" s="199"/>
      <c r="C60" s="199"/>
      <c r="D60" s="199"/>
      <c r="E60" s="199"/>
      <c r="F60" s="199"/>
      <c r="G60" s="21"/>
      <c r="H60" s="199"/>
      <c r="I60" s="199"/>
      <c r="J60" s="199"/>
      <c r="K60" s="199"/>
      <c r="L60" s="199"/>
      <c r="M60" s="199"/>
      <c r="N60" s="199"/>
      <c r="O60" s="199"/>
      <c r="P60" s="199"/>
      <c r="Q60" s="199"/>
      <c r="R60" s="199"/>
      <c r="S60" s="199"/>
      <c r="T60" s="199"/>
      <c r="U60" s="199"/>
      <c r="V60" s="199"/>
      <c r="W60" s="199"/>
      <c r="X60" s="199"/>
      <c r="Y60" s="199"/>
      <c r="Z60" s="199"/>
    </row>
    <row r="61">
      <c r="A61" s="200"/>
      <c r="B61" s="199"/>
      <c r="C61" s="199"/>
      <c r="D61" s="199"/>
      <c r="E61" s="199"/>
      <c r="F61" s="199"/>
      <c r="G61" s="21"/>
      <c r="H61" s="199"/>
      <c r="I61" s="199"/>
      <c r="J61" s="199"/>
      <c r="K61" s="199"/>
      <c r="L61" s="199"/>
      <c r="M61" s="199"/>
      <c r="N61" s="199"/>
      <c r="O61" s="199"/>
      <c r="P61" s="199"/>
      <c r="Q61" s="199"/>
      <c r="R61" s="199"/>
      <c r="S61" s="199"/>
      <c r="T61" s="199"/>
      <c r="U61" s="199"/>
      <c r="V61" s="199"/>
      <c r="W61" s="199"/>
      <c r="X61" s="199"/>
      <c r="Y61" s="199"/>
      <c r="Z61" s="199"/>
    </row>
    <row r="62">
      <c r="A62" s="200"/>
      <c r="B62" s="199"/>
      <c r="C62" s="199"/>
      <c r="D62" s="199"/>
      <c r="E62" s="199"/>
      <c r="F62" s="199"/>
      <c r="G62" s="21"/>
      <c r="H62" s="199"/>
      <c r="I62" s="199"/>
      <c r="J62" s="199"/>
      <c r="K62" s="199"/>
      <c r="L62" s="199"/>
      <c r="M62" s="199"/>
      <c r="N62" s="199"/>
      <c r="O62" s="199"/>
      <c r="P62" s="199"/>
      <c r="Q62" s="199"/>
      <c r="R62" s="199"/>
      <c r="S62" s="199"/>
      <c r="T62" s="199"/>
      <c r="U62" s="199"/>
      <c r="V62" s="199"/>
      <c r="W62" s="199"/>
      <c r="X62" s="199"/>
      <c r="Y62" s="199"/>
      <c r="Z62" s="199"/>
    </row>
    <row r="63">
      <c r="A63" s="200"/>
      <c r="B63" s="199"/>
      <c r="C63" s="199"/>
      <c r="D63" s="199"/>
      <c r="E63" s="199"/>
      <c r="F63" s="199"/>
      <c r="G63" s="21"/>
      <c r="H63" s="199"/>
      <c r="I63" s="199"/>
      <c r="J63" s="199"/>
      <c r="K63" s="199"/>
      <c r="L63" s="199"/>
      <c r="M63" s="199"/>
      <c r="N63" s="199"/>
      <c r="O63" s="199"/>
      <c r="P63" s="199"/>
      <c r="Q63" s="199"/>
      <c r="R63" s="199"/>
      <c r="S63" s="199"/>
      <c r="T63" s="199"/>
      <c r="U63" s="199"/>
      <c r="V63" s="199"/>
      <c r="W63" s="199"/>
      <c r="X63" s="199"/>
      <c r="Y63" s="199"/>
      <c r="Z63" s="199"/>
    </row>
    <row r="64">
      <c r="A64" s="200"/>
      <c r="B64" s="199"/>
      <c r="C64" s="199"/>
      <c r="D64" s="199"/>
      <c r="E64" s="199"/>
      <c r="F64" s="199"/>
      <c r="G64" s="21"/>
      <c r="H64" s="199"/>
      <c r="I64" s="199"/>
      <c r="J64" s="199"/>
      <c r="K64" s="199"/>
      <c r="L64" s="199"/>
      <c r="M64" s="199"/>
      <c r="N64" s="199"/>
      <c r="O64" s="199"/>
      <c r="P64" s="199"/>
      <c r="Q64" s="199"/>
      <c r="R64" s="199"/>
      <c r="S64" s="199"/>
      <c r="T64" s="199"/>
      <c r="U64" s="199"/>
      <c r="V64" s="199"/>
      <c r="W64" s="199"/>
      <c r="X64" s="199"/>
      <c r="Y64" s="199"/>
      <c r="Z64" s="199"/>
    </row>
    <row r="65">
      <c r="A65" s="200"/>
      <c r="B65" s="199"/>
      <c r="C65" s="199"/>
      <c r="D65" s="199"/>
      <c r="E65" s="199"/>
      <c r="F65" s="199"/>
      <c r="G65" s="21"/>
      <c r="H65" s="199"/>
      <c r="I65" s="199"/>
      <c r="J65" s="199"/>
      <c r="K65" s="199"/>
      <c r="L65" s="199"/>
      <c r="M65" s="199"/>
      <c r="N65" s="199"/>
      <c r="O65" s="199"/>
      <c r="P65" s="199"/>
      <c r="Q65" s="199"/>
      <c r="R65" s="199"/>
      <c r="S65" s="199"/>
      <c r="T65" s="199"/>
      <c r="U65" s="199"/>
      <c r="V65" s="199"/>
      <c r="W65" s="199"/>
      <c r="X65" s="199"/>
      <c r="Y65" s="199"/>
      <c r="Z65" s="199"/>
    </row>
    <row r="66">
      <c r="A66" s="200"/>
      <c r="B66" s="199"/>
      <c r="C66" s="199"/>
      <c r="D66" s="199"/>
      <c r="E66" s="199"/>
      <c r="F66" s="199"/>
      <c r="G66" s="21"/>
      <c r="H66" s="199"/>
      <c r="I66" s="199"/>
      <c r="J66" s="199"/>
      <c r="K66" s="199"/>
      <c r="L66" s="199"/>
      <c r="M66" s="199"/>
      <c r="N66" s="199"/>
      <c r="O66" s="199"/>
      <c r="P66" s="199"/>
      <c r="Q66" s="199"/>
      <c r="R66" s="199"/>
      <c r="S66" s="199"/>
      <c r="T66" s="199"/>
      <c r="U66" s="199"/>
      <c r="V66" s="199"/>
      <c r="W66" s="199"/>
      <c r="X66" s="199"/>
      <c r="Y66" s="199"/>
      <c r="Z66" s="199"/>
    </row>
    <row r="67">
      <c r="A67" s="200"/>
      <c r="B67" s="199"/>
      <c r="C67" s="199"/>
      <c r="D67" s="199"/>
      <c r="E67" s="199"/>
      <c r="F67" s="199"/>
      <c r="G67" s="21"/>
      <c r="H67" s="199"/>
      <c r="I67" s="199"/>
      <c r="J67" s="199"/>
      <c r="K67" s="199"/>
      <c r="L67" s="199"/>
      <c r="M67" s="199"/>
      <c r="N67" s="199"/>
      <c r="O67" s="199"/>
      <c r="P67" s="199"/>
      <c r="Q67" s="199"/>
      <c r="R67" s="199"/>
      <c r="S67" s="199"/>
      <c r="T67" s="199"/>
      <c r="U67" s="199"/>
      <c r="V67" s="199"/>
      <c r="W67" s="199"/>
      <c r="X67" s="199"/>
      <c r="Y67" s="199"/>
      <c r="Z67" s="199"/>
    </row>
    <row r="68">
      <c r="A68" s="200"/>
      <c r="B68" s="199"/>
      <c r="C68" s="199"/>
      <c r="D68" s="199"/>
      <c r="E68" s="199"/>
      <c r="F68" s="199"/>
      <c r="G68" s="21"/>
      <c r="H68" s="199"/>
      <c r="I68" s="199"/>
      <c r="J68" s="199"/>
      <c r="K68" s="199"/>
      <c r="L68" s="199"/>
      <c r="M68" s="199"/>
      <c r="N68" s="199"/>
      <c r="O68" s="199"/>
      <c r="P68" s="199"/>
      <c r="Q68" s="199"/>
      <c r="R68" s="199"/>
      <c r="S68" s="199"/>
      <c r="T68" s="199"/>
      <c r="U68" s="199"/>
      <c r="V68" s="199"/>
      <c r="W68" s="199"/>
      <c r="X68" s="199"/>
      <c r="Y68" s="199"/>
      <c r="Z68" s="199"/>
    </row>
    <row r="69">
      <c r="A69" s="200"/>
      <c r="B69" s="199"/>
      <c r="C69" s="199"/>
      <c r="D69" s="199"/>
      <c r="E69" s="199"/>
      <c r="F69" s="199"/>
      <c r="G69" s="21"/>
      <c r="H69" s="199"/>
      <c r="I69" s="199"/>
      <c r="J69" s="199"/>
      <c r="K69" s="199"/>
      <c r="L69" s="199"/>
      <c r="M69" s="199"/>
      <c r="N69" s="199"/>
      <c r="O69" s="199"/>
      <c r="P69" s="199"/>
      <c r="Q69" s="199"/>
      <c r="R69" s="199"/>
      <c r="S69" s="199"/>
      <c r="T69" s="199"/>
      <c r="U69" s="199"/>
      <c r="V69" s="199"/>
      <c r="W69" s="199"/>
      <c r="X69" s="199"/>
      <c r="Y69" s="199"/>
      <c r="Z69" s="199"/>
    </row>
    <row r="70">
      <c r="A70" s="200"/>
      <c r="B70" s="199"/>
      <c r="C70" s="199"/>
      <c r="D70" s="199"/>
      <c r="E70" s="199"/>
      <c r="F70" s="199"/>
      <c r="G70" s="21"/>
      <c r="H70" s="199"/>
      <c r="I70" s="199"/>
      <c r="J70" s="199"/>
      <c r="K70" s="199"/>
      <c r="L70" s="199"/>
      <c r="M70" s="199"/>
      <c r="N70" s="199"/>
      <c r="O70" s="199"/>
      <c r="P70" s="199"/>
      <c r="Q70" s="199"/>
      <c r="R70" s="199"/>
      <c r="S70" s="199"/>
      <c r="T70" s="199"/>
      <c r="U70" s="199"/>
      <c r="V70" s="199"/>
      <c r="W70" s="199"/>
      <c r="X70" s="199"/>
      <c r="Y70" s="199"/>
      <c r="Z70" s="199"/>
    </row>
    <row r="71">
      <c r="A71" s="200"/>
      <c r="B71" s="199"/>
      <c r="C71" s="199"/>
      <c r="D71" s="199"/>
      <c r="E71" s="199"/>
      <c r="F71" s="199"/>
      <c r="G71" s="21"/>
      <c r="H71" s="199"/>
      <c r="I71" s="199"/>
      <c r="J71" s="199"/>
      <c r="K71" s="199"/>
      <c r="L71" s="199"/>
      <c r="M71" s="199"/>
      <c r="N71" s="199"/>
      <c r="O71" s="199"/>
      <c r="P71" s="199"/>
      <c r="Q71" s="199"/>
      <c r="R71" s="199"/>
      <c r="S71" s="199"/>
      <c r="T71" s="199"/>
      <c r="U71" s="199"/>
      <c r="V71" s="199"/>
      <c r="W71" s="199"/>
      <c r="X71" s="199"/>
      <c r="Y71" s="199"/>
      <c r="Z71" s="199"/>
    </row>
    <row r="72">
      <c r="A72" s="200"/>
      <c r="B72" s="199"/>
      <c r="C72" s="199"/>
      <c r="D72" s="199"/>
      <c r="E72" s="199"/>
      <c r="F72" s="199"/>
      <c r="G72" s="21"/>
      <c r="H72" s="199"/>
      <c r="I72" s="199"/>
      <c r="J72" s="199"/>
      <c r="K72" s="199"/>
      <c r="L72" s="199"/>
      <c r="M72" s="199"/>
      <c r="N72" s="199"/>
      <c r="O72" s="199"/>
      <c r="P72" s="199"/>
      <c r="Q72" s="199"/>
      <c r="R72" s="199"/>
      <c r="S72" s="199"/>
      <c r="T72" s="199"/>
      <c r="U72" s="199"/>
      <c r="V72" s="199"/>
      <c r="W72" s="199"/>
      <c r="X72" s="199"/>
      <c r="Y72" s="199"/>
      <c r="Z72" s="199"/>
    </row>
    <row r="73">
      <c r="A73" s="200"/>
      <c r="B73" s="199"/>
      <c r="C73" s="199"/>
      <c r="D73" s="199"/>
      <c r="E73" s="199"/>
      <c r="F73" s="199"/>
      <c r="G73" s="21"/>
      <c r="H73" s="199"/>
      <c r="I73" s="199"/>
      <c r="J73" s="199"/>
      <c r="K73" s="199"/>
      <c r="L73" s="199"/>
      <c r="M73" s="199"/>
      <c r="N73" s="199"/>
      <c r="O73" s="199"/>
      <c r="P73" s="199"/>
      <c r="Q73" s="199"/>
      <c r="R73" s="199"/>
      <c r="S73" s="199"/>
      <c r="T73" s="199"/>
      <c r="U73" s="199"/>
      <c r="V73" s="199"/>
      <c r="W73" s="199"/>
      <c r="X73" s="199"/>
      <c r="Y73" s="199"/>
      <c r="Z73" s="199"/>
    </row>
    <row r="74">
      <c r="A74" s="200"/>
      <c r="B74" s="199"/>
      <c r="C74" s="199"/>
      <c r="D74" s="199"/>
      <c r="E74" s="199"/>
      <c r="F74" s="199"/>
      <c r="G74" s="21"/>
      <c r="H74" s="199"/>
      <c r="I74" s="199"/>
      <c r="J74" s="199"/>
      <c r="K74" s="199"/>
      <c r="L74" s="199"/>
      <c r="M74" s="199"/>
      <c r="N74" s="199"/>
      <c r="O74" s="199"/>
      <c r="P74" s="199"/>
      <c r="Q74" s="199"/>
      <c r="R74" s="199"/>
      <c r="S74" s="199"/>
      <c r="T74" s="199"/>
      <c r="U74" s="199"/>
      <c r="V74" s="199"/>
      <c r="W74" s="199"/>
      <c r="X74" s="199"/>
      <c r="Y74" s="199"/>
      <c r="Z74" s="199"/>
    </row>
    <row r="75">
      <c r="A75" s="200"/>
      <c r="B75" s="199"/>
      <c r="C75" s="199"/>
      <c r="D75" s="199"/>
      <c r="E75" s="199"/>
      <c r="F75" s="199"/>
      <c r="G75" s="21"/>
      <c r="H75" s="199"/>
      <c r="I75" s="199"/>
      <c r="J75" s="199"/>
      <c r="K75" s="199"/>
      <c r="L75" s="199"/>
      <c r="M75" s="199"/>
      <c r="N75" s="199"/>
      <c r="O75" s="199"/>
      <c r="P75" s="199"/>
      <c r="Q75" s="199"/>
      <c r="R75" s="199"/>
      <c r="S75" s="199"/>
      <c r="T75" s="199"/>
      <c r="U75" s="199"/>
      <c r="V75" s="199"/>
      <c r="W75" s="199"/>
      <c r="X75" s="199"/>
      <c r="Y75" s="199"/>
      <c r="Z75" s="199"/>
    </row>
    <row r="76">
      <c r="A76" s="200"/>
      <c r="B76" s="199"/>
      <c r="C76" s="199"/>
      <c r="D76" s="199"/>
      <c r="E76" s="199"/>
      <c r="F76" s="199"/>
      <c r="G76" s="21"/>
      <c r="H76" s="199"/>
      <c r="I76" s="199"/>
      <c r="J76" s="199"/>
      <c r="K76" s="199"/>
      <c r="L76" s="199"/>
      <c r="M76" s="199"/>
      <c r="N76" s="199"/>
      <c r="O76" s="199"/>
      <c r="P76" s="199"/>
      <c r="Q76" s="199"/>
      <c r="R76" s="199"/>
      <c r="S76" s="199"/>
      <c r="T76" s="199"/>
      <c r="U76" s="199"/>
      <c r="V76" s="199"/>
      <c r="W76" s="199"/>
      <c r="X76" s="199"/>
      <c r="Y76" s="199"/>
      <c r="Z76" s="199"/>
    </row>
    <row r="77">
      <c r="A77" s="200"/>
      <c r="B77" s="199"/>
      <c r="C77" s="199"/>
      <c r="D77" s="199"/>
      <c r="E77" s="199"/>
      <c r="F77" s="199"/>
      <c r="G77" s="21"/>
      <c r="H77" s="199"/>
      <c r="I77" s="199"/>
      <c r="J77" s="199"/>
      <c r="K77" s="199"/>
      <c r="L77" s="199"/>
      <c r="M77" s="199"/>
      <c r="N77" s="199"/>
      <c r="O77" s="199"/>
      <c r="P77" s="199"/>
      <c r="Q77" s="199"/>
      <c r="R77" s="199"/>
      <c r="S77" s="199"/>
      <c r="T77" s="199"/>
      <c r="U77" s="199"/>
      <c r="V77" s="199"/>
      <c r="W77" s="199"/>
      <c r="X77" s="199"/>
      <c r="Y77" s="199"/>
      <c r="Z77" s="199"/>
    </row>
    <row r="78">
      <c r="A78" s="200"/>
      <c r="B78" s="199"/>
      <c r="C78" s="199"/>
      <c r="D78" s="199"/>
      <c r="E78" s="199"/>
      <c r="F78" s="199"/>
      <c r="G78" s="21"/>
      <c r="H78" s="199"/>
      <c r="I78" s="199"/>
      <c r="J78" s="199"/>
      <c r="K78" s="199"/>
      <c r="L78" s="199"/>
      <c r="M78" s="199"/>
      <c r="N78" s="199"/>
      <c r="O78" s="199"/>
      <c r="P78" s="199"/>
      <c r="Q78" s="199"/>
      <c r="R78" s="199"/>
      <c r="S78" s="199"/>
      <c r="T78" s="199"/>
      <c r="U78" s="199"/>
      <c r="V78" s="199"/>
      <c r="W78" s="199"/>
      <c r="X78" s="199"/>
      <c r="Y78" s="199"/>
      <c r="Z78" s="199"/>
    </row>
    <row r="79">
      <c r="A79" s="200"/>
      <c r="B79" s="199"/>
      <c r="C79" s="199"/>
      <c r="D79" s="199"/>
      <c r="E79" s="199"/>
      <c r="F79" s="199"/>
      <c r="G79" s="21"/>
      <c r="H79" s="199"/>
      <c r="I79" s="199"/>
      <c r="J79" s="199"/>
      <c r="K79" s="199"/>
      <c r="L79" s="199"/>
      <c r="M79" s="199"/>
      <c r="N79" s="199"/>
      <c r="O79" s="199"/>
      <c r="P79" s="199"/>
      <c r="Q79" s="199"/>
      <c r="R79" s="199"/>
      <c r="S79" s="199"/>
      <c r="T79" s="199"/>
      <c r="U79" s="199"/>
      <c r="V79" s="199"/>
      <c r="W79" s="199"/>
      <c r="X79" s="199"/>
      <c r="Y79" s="199"/>
      <c r="Z79" s="199"/>
    </row>
    <row r="80">
      <c r="A80" s="200"/>
      <c r="B80" s="199"/>
      <c r="C80" s="199"/>
      <c r="D80" s="199"/>
      <c r="E80" s="199"/>
      <c r="F80" s="199"/>
      <c r="G80" s="21"/>
      <c r="H80" s="199"/>
      <c r="I80" s="199"/>
      <c r="J80" s="199"/>
      <c r="K80" s="199"/>
      <c r="L80" s="199"/>
      <c r="M80" s="199"/>
      <c r="N80" s="199"/>
      <c r="O80" s="199"/>
      <c r="P80" s="199"/>
      <c r="Q80" s="199"/>
      <c r="R80" s="199"/>
      <c r="S80" s="199"/>
      <c r="T80" s="199"/>
      <c r="U80" s="199"/>
      <c r="V80" s="199"/>
      <c r="W80" s="199"/>
      <c r="X80" s="199"/>
      <c r="Y80" s="199"/>
      <c r="Z80" s="199"/>
    </row>
    <row r="81">
      <c r="A81" s="200"/>
      <c r="B81" s="199"/>
      <c r="C81" s="199"/>
      <c r="D81" s="199"/>
      <c r="E81" s="199"/>
      <c r="F81" s="199"/>
      <c r="G81" s="21"/>
      <c r="H81" s="199"/>
      <c r="I81" s="199"/>
      <c r="J81" s="199"/>
      <c r="K81" s="199"/>
      <c r="L81" s="199"/>
      <c r="M81" s="199"/>
      <c r="N81" s="199"/>
      <c r="O81" s="199"/>
      <c r="P81" s="199"/>
      <c r="Q81" s="199"/>
      <c r="R81" s="199"/>
      <c r="S81" s="199"/>
      <c r="T81" s="199"/>
      <c r="U81" s="199"/>
      <c r="V81" s="199"/>
      <c r="W81" s="199"/>
      <c r="X81" s="199"/>
      <c r="Y81" s="199"/>
      <c r="Z81" s="199"/>
    </row>
    <row r="82">
      <c r="A82" s="200"/>
      <c r="B82" s="199"/>
      <c r="C82" s="199"/>
      <c r="D82" s="199"/>
      <c r="E82" s="199"/>
      <c r="F82" s="199"/>
      <c r="G82" s="21"/>
      <c r="H82" s="199"/>
      <c r="I82" s="199"/>
      <c r="J82" s="199"/>
      <c r="K82" s="199"/>
      <c r="L82" s="199"/>
      <c r="M82" s="199"/>
      <c r="N82" s="199"/>
      <c r="O82" s="199"/>
      <c r="P82" s="199"/>
      <c r="Q82" s="199"/>
      <c r="R82" s="199"/>
      <c r="S82" s="199"/>
      <c r="T82" s="199"/>
      <c r="U82" s="199"/>
      <c r="V82" s="199"/>
      <c r="W82" s="199"/>
      <c r="X82" s="199"/>
      <c r="Y82" s="199"/>
      <c r="Z82" s="199"/>
    </row>
    <row r="83">
      <c r="A83" s="200"/>
      <c r="B83" s="199"/>
      <c r="C83" s="199"/>
      <c r="D83" s="199"/>
      <c r="E83" s="199"/>
      <c r="F83" s="199"/>
      <c r="G83" s="21"/>
      <c r="H83" s="199"/>
      <c r="I83" s="199"/>
      <c r="J83" s="199"/>
      <c r="K83" s="199"/>
      <c r="L83" s="199"/>
      <c r="M83" s="199"/>
      <c r="N83" s="199"/>
      <c r="O83" s="199"/>
      <c r="P83" s="199"/>
      <c r="Q83" s="199"/>
      <c r="R83" s="199"/>
      <c r="S83" s="199"/>
      <c r="T83" s="199"/>
      <c r="U83" s="199"/>
      <c r="V83" s="199"/>
      <c r="W83" s="199"/>
      <c r="X83" s="199"/>
      <c r="Y83" s="199"/>
      <c r="Z83" s="199"/>
    </row>
    <row r="84">
      <c r="A84" s="200"/>
      <c r="B84" s="199"/>
      <c r="C84" s="199"/>
      <c r="D84" s="199"/>
      <c r="E84" s="199"/>
      <c r="F84" s="199"/>
      <c r="G84" s="21"/>
      <c r="H84" s="199"/>
      <c r="I84" s="199"/>
      <c r="J84" s="199"/>
      <c r="K84" s="199"/>
      <c r="L84" s="199"/>
      <c r="M84" s="199"/>
      <c r="N84" s="199"/>
      <c r="O84" s="199"/>
      <c r="P84" s="199"/>
      <c r="Q84" s="199"/>
      <c r="R84" s="199"/>
      <c r="S84" s="199"/>
      <c r="T84" s="199"/>
      <c r="U84" s="199"/>
      <c r="V84" s="199"/>
      <c r="W84" s="199"/>
      <c r="X84" s="199"/>
      <c r="Y84" s="199"/>
      <c r="Z84" s="199"/>
    </row>
    <row r="85">
      <c r="A85" s="200"/>
      <c r="B85" s="199"/>
      <c r="C85" s="199"/>
      <c r="D85" s="199"/>
      <c r="E85" s="199"/>
      <c r="F85" s="199"/>
      <c r="G85" s="21"/>
      <c r="H85" s="199"/>
      <c r="I85" s="199"/>
      <c r="J85" s="199"/>
      <c r="K85" s="199"/>
      <c r="L85" s="199"/>
      <c r="M85" s="199"/>
      <c r="N85" s="199"/>
      <c r="O85" s="199"/>
      <c r="P85" s="199"/>
      <c r="Q85" s="199"/>
      <c r="R85" s="199"/>
      <c r="S85" s="199"/>
      <c r="T85" s="199"/>
      <c r="U85" s="199"/>
      <c r="V85" s="199"/>
      <c r="W85" s="199"/>
      <c r="X85" s="199"/>
      <c r="Y85" s="199"/>
      <c r="Z85" s="199"/>
    </row>
    <row r="86">
      <c r="A86" s="200"/>
      <c r="B86" s="199"/>
      <c r="C86" s="199"/>
      <c r="D86" s="199"/>
      <c r="E86" s="199"/>
      <c r="F86" s="199"/>
      <c r="G86" s="21"/>
      <c r="H86" s="199"/>
      <c r="I86" s="199"/>
      <c r="J86" s="199"/>
      <c r="K86" s="199"/>
      <c r="L86" s="199"/>
      <c r="M86" s="199"/>
      <c r="N86" s="199"/>
      <c r="O86" s="199"/>
      <c r="P86" s="199"/>
      <c r="Q86" s="199"/>
      <c r="R86" s="199"/>
      <c r="S86" s="199"/>
      <c r="T86" s="199"/>
      <c r="U86" s="199"/>
      <c r="V86" s="199"/>
      <c r="W86" s="199"/>
      <c r="X86" s="199"/>
      <c r="Y86" s="199"/>
      <c r="Z86" s="199"/>
    </row>
    <row r="87">
      <c r="A87" s="200"/>
      <c r="B87" s="199"/>
      <c r="C87" s="199"/>
      <c r="D87" s="199"/>
      <c r="E87" s="199"/>
      <c r="F87" s="199"/>
      <c r="G87" s="21"/>
      <c r="H87" s="199"/>
      <c r="I87" s="199"/>
      <c r="J87" s="199"/>
      <c r="K87" s="199"/>
      <c r="L87" s="199"/>
      <c r="M87" s="199"/>
      <c r="N87" s="199"/>
      <c r="O87" s="199"/>
      <c r="P87" s="199"/>
      <c r="Q87" s="199"/>
      <c r="R87" s="199"/>
      <c r="S87" s="199"/>
      <c r="T87" s="199"/>
      <c r="U87" s="199"/>
      <c r="V87" s="199"/>
      <c r="W87" s="199"/>
      <c r="X87" s="199"/>
      <c r="Y87" s="199"/>
      <c r="Z87" s="199"/>
    </row>
    <row r="88">
      <c r="A88" s="200"/>
      <c r="B88" s="199"/>
      <c r="C88" s="199"/>
      <c r="D88" s="199"/>
      <c r="E88" s="199"/>
      <c r="F88" s="199"/>
      <c r="G88" s="21"/>
      <c r="H88" s="199"/>
      <c r="I88" s="199"/>
      <c r="J88" s="199"/>
      <c r="K88" s="199"/>
      <c r="L88" s="199"/>
      <c r="M88" s="199"/>
      <c r="N88" s="199"/>
      <c r="O88" s="199"/>
      <c r="P88" s="199"/>
      <c r="Q88" s="199"/>
      <c r="R88" s="199"/>
      <c r="S88" s="199"/>
      <c r="T88" s="199"/>
      <c r="U88" s="199"/>
      <c r="V88" s="199"/>
      <c r="W88" s="199"/>
      <c r="X88" s="199"/>
      <c r="Y88" s="199"/>
      <c r="Z88" s="199"/>
    </row>
    <row r="89">
      <c r="A89" s="200"/>
      <c r="B89" s="199"/>
      <c r="C89" s="199"/>
      <c r="D89" s="199"/>
      <c r="E89" s="199"/>
      <c r="F89" s="199"/>
      <c r="G89" s="21"/>
      <c r="H89" s="199"/>
      <c r="I89" s="199"/>
      <c r="J89" s="199"/>
      <c r="K89" s="199"/>
      <c r="L89" s="199"/>
      <c r="M89" s="199"/>
      <c r="N89" s="199"/>
      <c r="O89" s="199"/>
      <c r="P89" s="199"/>
      <c r="Q89" s="199"/>
      <c r="R89" s="199"/>
      <c r="S89" s="199"/>
      <c r="T89" s="199"/>
      <c r="U89" s="199"/>
      <c r="V89" s="199"/>
      <c r="W89" s="199"/>
      <c r="X89" s="199"/>
      <c r="Y89" s="199"/>
      <c r="Z89" s="199"/>
    </row>
    <row r="90">
      <c r="A90" s="200"/>
      <c r="B90" s="199"/>
      <c r="C90" s="199"/>
      <c r="D90" s="199"/>
      <c r="E90" s="199"/>
      <c r="F90" s="199"/>
      <c r="G90" s="21"/>
      <c r="H90" s="199"/>
      <c r="I90" s="199"/>
      <c r="J90" s="199"/>
      <c r="K90" s="199"/>
      <c r="L90" s="199"/>
      <c r="M90" s="199"/>
      <c r="N90" s="199"/>
      <c r="O90" s="199"/>
      <c r="P90" s="199"/>
      <c r="Q90" s="199"/>
      <c r="R90" s="199"/>
      <c r="S90" s="199"/>
      <c r="T90" s="199"/>
      <c r="U90" s="199"/>
      <c r="V90" s="199"/>
      <c r="W90" s="199"/>
      <c r="X90" s="199"/>
      <c r="Y90" s="199"/>
      <c r="Z90" s="199"/>
    </row>
    <row r="91">
      <c r="A91" s="200"/>
      <c r="B91" s="199"/>
      <c r="C91" s="199"/>
      <c r="D91" s="199"/>
      <c r="E91" s="199"/>
      <c r="F91" s="199"/>
      <c r="G91" s="21"/>
      <c r="H91" s="199"/>
      <c r="I91" s="199"/>
      <c r="J91" s="199"/>
      <c r="K91" s="199"/>
      <c r="L91" s="199"/>
      <c r="M91" s="199"/>
      <c r="N91" s="199"/>
      <c r="O91" s="199"/>
      <c r="P91" s="199"/>
      <c r="Q91" s="199"/>
      <c r="R91" s="199"/>
      <c r="S91" s="199"/>
      <c r="T91" s="199"/>
      <c r="U91" s="199"/>
      <c r="V91" s="199"/>
      <c r="W91" s="199"/>
      <c r="X91" s="199"/>
      <c r="Y91" s="199"/>
      <c r="Z91" s="199"/>
    </row>
    <row r="92">
      <c r="A92" s="200"/>
      <c r="B92" s="199"/>
      <c r="C92" s="199"/>
      <c r="D92" s="199"/>
      <c r="E92" s="199"/>
      <c r="F92" s="199"/>
      <c r="G92" s="21"/>
      <c r="H92" s="199"/>
      <c r="I92" s="199"/>
      <c r="J92" s="199"/>
      <c r="K92" s="199"/>
      <c r="L92" s="199"/>
      <c r="M92" s="199"/>
      <c r="N92" s="199"/>
      <c r="O92" s="199"/>
      <c r="P92" s="199"/>
      <c r="Q92" s="199"/>
      <c r="R92" s="199"/>
      <c r="S92" s="199"/>
      <c r="T92" s="199"/>
      <c r="U92" s="199"/>
      <c r="V92" s="199"/>
      <c r="W92" s="199"/>
      <c r="X92" s="199"/>
      <c r="Y92" s="199"/>
      <c r="Z92" s="199"/>
    </row>
    <row r="93">
      <c r="A93" s="200"/>
      <c r="B93" s="199"/>
      <c r="C93" s="199"/>
      <c r="D93" s="199"/>
      <c r="E93" s="199"/>
      <c r="F93" s="199"/>
      <c r="G93" s="21"/>
      <c r="H93" s="199"/>
      <c r="I93" s="199"/>
      <c r="J93" s="199"/>
      <c r="K93" s="199"/>
      <c r="L93" s="199"/>
      <c r="M93" s="199"/>
      <c r="N93" s="199"/>
      <c r="O93" s="199"/>
      <c r="P93" s="199"/>
      <c r="Q93" s="199"/>
      <c r="R93" s="199"/>
      <c r="S93" s="199"/>
      <c r="T93" s="199"/>
      <c r="U93" s="199"/>
      <c r="V93" s="199"/>
      <c r="W93" s="199"/>
      <c r="X93" s="199"/>
      <c r="Y93" s="199"/>
      <c r="Z93" s="199"/>
    </row>
    <row r="94">
      <c r="A94" s="200"/>
      <c r="B94" s="199"/>
      <c r="C94" s="199"/>
      <c r="D94" s="199"/>
      <c r="E94" s="199"/>
      <c r="F94" s="199"/>
      <c r="G94" s="21"/>
      <c r="H94" s="199"/>
      <c r="I94" s="199"/>
      <c r="J94" s="199"/>
      <c r="K94" s="199"/>
      <c r="L94" s="199"/>
      <c r="M94" s="199"/>
      <c r="N94" s="199"/>
      <c r="O94" s="199"/>
      <c r="P94" s="199"/>
      <c r="Q94" s="199"/>
      <c r="R94" s="199"/>
      <c r="S94" s="199"/>
      <c r="T94" s="199"/>
      <c r="U94" s="199"/>
      <c r="V94" s="199"/>
      <c r="W94" s="199"/>
      <c r="X94" s="199"/>
      <c r="Y94" s="199"/>
      <c r="Z94" s="199"/>
    </row>
    <row r="95">
      <c r="A95" s="200"/>
      <c r="B95" s="199"/>
      <c r="C95" s="199"/>
      <c r="D95" s="199"/>
      <c r="E95" s="199"/>
      <c r="F95" s="199"/>
      <c r="G95" s="21"/>
      <c r="H95" s="199"/>
      <c r="I95" s="199"/>
      <c r="J95" s="199"/>
      <c r="K95" s="199"/>
      <c r="L95" s="199"/>
      <c r="M95" s="199"/>
      <c r="N95" s="199"/>
      <c r="O95" s="199"/>
      <c r="P95" s="199"/>
      <c r="Q95" s="199"/>
      <c r="R95" s="199"/>
      <c r="S95" s="199"/>
      <c r="T95" s="199"/>
      <c r="U95" s="199"/>
      <c r="V95" s="199"/>
      <c r="W95" s="199"/>
      <c r="X95" s="199"/>
      <c r="Y95" s="199"/>
      <c r="Z95" s="199"/>
    </row>
    <row r="96">
      <c r="A96" s="200"/>
      <c r="B96" s="199"/>
      <c r="C96" s="199"/>
      <c r="D96" s="199"/>
      <c r="E96" s="199"/>
      <c r="F96" s="199"/>
      <c r="G96" s="21"/>
      <c r="H96" s="199"/>
      <c r="I96" s="199"/>
      <c r="J96" s="199"/>
      <c r="K96" s="199"/>
      <c r="L96" s="199"/>
      <c r="M96" s="199"/>
      <c r="N96" s="199"/>
      <c r="O96" s="199"/>
      <c r="P96" s="199"/>
      <c r="Q96" s="199"/>
      <c r="R96" s="199"/>
      <c r="S96" s="199"/>
      <c r="T96" s="199"/>
      <c r="U96" s="199"/>
      <c r="V96" s="199"/>
      <c r="W96" s="199"/>
      <c r="X96" s="199"/>
      <c r="Y96" s="199"/>
      <c r="Z96" s="199"/>
    </row>
    <row r="97">
      <c r="A97" s="200"/>
      <c r="B97" s="199"/>
      <c r="C97" s="199"/>
      <c r="D97" s="199"/>
      <c r="E97" s="199"/>
      <c r="F97" s="199"/>
      <c r="G97" s="21"/>
      <c r="H97" s="199"/>
      <c r="I97" s="199"/>
      <c r="J97" s="199"/>
      <c r="K97" s="199"/>
      <c r="L97" s="199"/>
      <c r="M97" s="199"/>
      <c r="N97" s="199"/>
      <c r="O97" s="199"/>
      <c r="P97" s="199"/>
      <c r="Q97" s="199"/>
      <c r="R97" s="199"/>
      <c r="S97" s="199"/>
      <c r="T97" s="199"/>
      <c r="U97" s="199"/>
      <c r="V97" s="199"/>
      <c r="W97" s="199"/>
      <c r="X97" s="199"/>
      <c r="Y97" s="199"/>
      <c r="Z97" s="199"/>
    </row>
    <row r="98">
      <c r="A98" s="200"/>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row r="99">
      <c r="A99" s="200"/>
      <c r="B99" s="199"/>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row>
    <row r="100">
      <c r="A100" s="200"/>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row>
    <row r="101">
      <c r="A101" s="200"/>
      <c r="B101" s="199"/>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row>
    <row r="102">
      <c r="A102" s="200"/>
      <c r="B102" s="199"/>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row>
    <row r="103">
      <c r="A103" s="200"/>
      <c r="B103" s="199"/>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row>
    <row r="104">
      <c r="A104" s="200"/>
      <c r="B104" s="199"/>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row>
    <row r="105">
      <c r="A105" s="200"/>
      <c r="B105" s="199"/>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row>
    <row r="106">
      <c r="A106" s="200"/>
      <c r="B106" s="199"/>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row>
    <row r="107">
      <c r="A107" s="200"/>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row>
    <row r="108">
      <c r="A108" s="200"/>
      <c r="B108" s="199"/>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row>
    <row r="109">
      <c r="A109" s="200"/>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row>
    <row r="110">
      <c r="A110" s="200"/>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row>
    <row r="111">
      <c r="A111" s="200"/>
      <c r="B111" s="199"/>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row>
    <row r="112">
      <c r="A112" s="200"/>
      <c r="B112" s="199"/>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row>
    <row r="113">
      <c r="A113" s="200"/>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row>
    <row r="114">
      <c r="A114" s="200"/>
      <c r="B114" s="199"/>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row>
    <row r="115">
      <c r="A115" s="200"/>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row>
    <row r="116">
      <c r="A116" s="200"/>
      <c r="B116" s="199"/>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row>
    <row r="117">
      <c r="A117" s="200"/>
      <c r="B117" s="199"/>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row>
    <row r="118">
      <c r="A118" s="200"/>
      <c r="B118" s="199"/>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row>
    <row r="119">
      <c r="A119" s="200"/>
      <c r="B119" s="199"/>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row>
    <row r="120">
      <c r="A120" s="200"/>
      <c r="B120" s="199"/>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row>
    <row r="121">
      <c r="A121" s="200"/>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row>
    <row r="122">
      <c r="A122" s="200"/>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row>
    <row r="123">
      <c r="A123" s="200"/>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row>
    <row r="124">
      <c r="A124" s="200"/>
      <c r="B124" s="199"/>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row>
    <row r="125">
      <c r="A125" s="200"/>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row>
    <row r="126">
      <c r="A126" s="200"/>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row>
    <row r="127">
      <c r="A127" s="200"/>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row>
    <row r="128">
      <c r="A128" s="200"/>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row>
    <row r="129">
      <c r="A129" s="200"/>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row>
    <row r="130">
      <c r="A130" s="200"/>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row>
    <row r="131">
      <c r="A131" s="200"/>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row>
    <row r="132">
      <c r="A132" s="200"/>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row>
    <row r="133">
      <c r="A133" s="200"/>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row>
    <row r="134">
      <c r="A134" s="200"/>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row>
    <row r="135">
      <c r="A135" s="200"/>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row>
    <row r="136">
      <c r="A136" s="200"/>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row>
    <row r="137">
      <c r="A137" s="200"/>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c r="A138" s="200"/>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c r="A139" s="200"/>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c r="A140" s="200"/>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c r="A141" s="200"/>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c r="A142" s="200"/>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c r="A143" s="200"/>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c r="A144" s="200"/>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c r="A145" s="200"/>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c r="A146" s="200"/>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c r="A147" s="200"/>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c r="A148" s="200"/>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c r="A149" s="200"/>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c r="A150" s="200"/>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c r="A151" s="200"/>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c r="A152" s="200"/>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c r="A153" s="200"/>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c r="A154" s="200"/>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c r="A155" s="200"/>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c r="A156" s="200"/>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c r="A157" s="200"/>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c r="A158" s="200"/>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c r="A159" s="200"/>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c r="A160" s="200"/>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c r="A161" s="200"/>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c r="A162" s="200"/>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c r="A163" s="200"/>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c r="A164" s="200"/>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c r="A165" s="200"/>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c r="A166" s="200"/>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c r="A167" s="200"/>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c r="A168" s="200"/>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c r="A169" s="200"/>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c r="A170" s="200"/>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c r="A171" s="200"/>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c r="A172" s="200"/>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c r="A173" s="200"/>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c r="A174" s="200"/>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c r="A175" s="200"/>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c r="A176" s="200"/>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c r="A177" s="200"/>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c r="A178" s="200"/>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c r="A179" s="200"/>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c r="A180" s="200"/>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c r="A181" s="200"/>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c r="A182" s="200"/>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c r="A183" s="200"/>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c r="A184" s="200"/>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c r="A185" s="200"/>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c r="A186" s="200"/>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c r="A187" s="200"/>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c r="A188" s="200"/>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c r="A189" s="200"/>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c r="A190" s="200"/>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c r="A191" s="200"/>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c r="A192" s="200"/>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c r="A193" s="200"/>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c r="A194" s="200"/>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c r="A195" s="200"/>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c r="A196" s="200"/>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c r="A197" s="200"/>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c r="A198" s="200"/>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c r="A199" s="200"/>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c r="A200" s="200"/>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c r="A201" s="200"/>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c r="A202" s="200"/>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c r="A203" s="200"/>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c r="A204" s="200"/>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c r="A205" s="200"/>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c r="A206" s="200"/>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c r="A207" s="200"/>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c r="A208" s="200"/>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c r="A209" s="200"/>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c r="A210" s="200"/>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c r="A211" s="200"/>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c r="A212" s="200"/>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c r="A213" s="200"/>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c r="A214" s="200"/>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c r="A215" s="200"/>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c r="A216" s="200"/>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c r="A217" s="200"/>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c r="A218" s="200"/>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c r="A219" s="200"/>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c r="A220" s="200"/>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c r="A221" s="200"/>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c r="A222" s="200"/>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c r="A223" s="200"/>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c r="A224" s="200"/>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c r="A225" s="200"/>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c r="A226" s="200"/>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c r="A227" s="200"/>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c r="A228" s="200"/>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c r="A229" s="200"/>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c r="A230" s="200"/>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c r="A231" s="200"/>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c r="A232" s="200"/>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c r="A233" s="200"/>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c r="A234" s="200"/>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c r="A235" s="200"/>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c r="A236" s="200"/>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c r="A237" s="200"/>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c r="A238" s="200"/>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c r="A239" s="200"/>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c r="A240" s="200"/>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c r="A241" s="200"/>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c r="A242" s="200"/>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c r="A243" s="200"/>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c r="A244" s="200"/>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c r="A245" s="200"/>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c r="A246" s="200"/>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c r="A247" s="200"/>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c r="A248" s="200"/>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c r="A249" s="200"/>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c r="A250" s="200"/>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c r="A251" s="200"/>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c r="A252" s="200"/>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c r="A253" s="200"/>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c r="A254" s="200"/>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c r="A255" s="200"/>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c r="A256" s="200"/>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c r="A257" s="200"/>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c r="A258" s="200"/>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c r="A259" s="200"/>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c r="A260" s="200"/>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c r="A261" s="200"/>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c r="A262" s="200"/>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c r="A263" s="200"/>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c r="A264" s="200"/>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c r="A265" s="200"/>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c r="A266" s="200"/>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c r="A267" s="200"/>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c r="A268" s="200"/>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c r="A269" s="200"/>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c r="A270" s="200"/>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c r="A271" s="200"/>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c r="A272" s="200"/>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c r="A273" s="200"/>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c r="A274" s="200"/>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c r="A275" s="200"/>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c r="A276" s="200"/>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c r="A277" s="200"/>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c r="A278" s="200"/>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c r="A279" s="200"/>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c r="A280" s="200"/>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c r="A281" s="200"/>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c r="A282" s="200"/>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c r="A283" s="200"/>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c r="A284" s="200"/>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c r="A285" s="200"/>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c r="A286" s="200"/>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c r="A287" s="200"/>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c r="A288" s="200"/>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c r="A289" s="200"/>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c r="A290" s="200"/>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c r="A291" s="200"/>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c r="A292" s="200"/>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c r="A293" s="200"/>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c r="A294" s="200"/>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c r="A295" s="200"/>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c r="A296" s="200"/>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c r="A297" s="200"/>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c r="A298" s="200"/>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c r="A299" s="200"/>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c r="A300" s="200"/>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c r="A301" s="200"/>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c r="A302" s="200"/>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c r="A303" s="200"/>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c r="A304" s="200"/>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c r="A305" s="200"/>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c r="A306" s="200"/>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c r="A307" s="200"/>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c r="A308" s="200"/>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c r="A309" s="200"/>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c r="A310" s="200"/>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c r="A311" s="200"/>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c r="A312" s="200"/>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c r="A313" s="200"/>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c r="A314" s="200"/>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c r="A315" s="200"/>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c r="A316" s="200"/>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c r="A317" s="200"/>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c r="A318" s="200"/>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c r="A319" s="200"/>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c r="A320" s="200"/>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c r="A321" s="200"/>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c r="A322" s="200"/>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c r="A323" s="200"/>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c r="A324" s="200"/>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c r="A325" s="200"/>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c r="A326" s="200"/>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c r="A327" s="200"/>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c r="A328" s="200"/>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c r="A329" s="200"/>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c r="A330" s="200"/>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c r="A331" s="200"/>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c r="A332" s="200"/>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c r="A333" s="200"/>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c r="A334" s="200"/>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c r="A335" s="200"/>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c r="A336" s="200"/>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c r="A337" s="200"/>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c r="A338" s="200"/>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c r="A339" s="200"/>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c r="A340" s="200"/>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c r="A341" s="200"/>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c r="A342" s="200"/>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c r="A343" s="200"/>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c r="A344" s="200"/>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c r="A345" s="200"/>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c r="A346" s="200"/>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c r="A347" s="200"/>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c r="A348" s="200"/>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c r="A349" s="200"/>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c r="A350" s="200"/>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c r="A351" s="200"/>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c r="A352" s="200"/>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c r="A353" s="200"/>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c r="A354" s="200"/>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c r="A355" s="200"/>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c r="A356" s="200"/>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c r="A357" s="200"/>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c r="A358" s="200"/>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c r="A359" s="200"/>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c r="A360" s="200"/>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c r="A361" s="200"/>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c r="A362" s="200"/>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c r="A363" s="200"/>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c r="A364" s="200"/>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c r="A365" s="200"/>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c r="A366" s="200"/>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c r="A367" s="200"/>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c r="A368" s="200"/>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c r="A369" s="200"/>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c r="A370" s="200"/>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c r="A371" s="200"/>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c r="A372" s="200"/>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c r="A373" s="200"/>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c r="A374" s="200"/>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c r="A375" s="200"/>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c r="A376" s="200"/>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c r="A377" s="200"/>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c r="A378" s="200"/>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c r="A379" s="200"/>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c r="A380" s="200"/>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c r="A381" s="200"/>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c r="A382" s="200"/>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c r="A383" s="200"/>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c r="A384" s="200"/>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c r="A385" s="200"/>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c r="A386" s="200"/>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c r="A387" s="200"/>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c r="A388" s="200"/>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c r="A389" s="200"/>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c r="A390" s="200"/>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c r="A391" s="200"/>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c r="A392" s="200"/>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c r="A393" s="200"/>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c r="A394" s="200"/>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c r="A395" s="200"/>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c r="A396" s="200"/>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c r="A397" s="200"/>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c r="A398" s="200"/>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c r="A399" s="200"/>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c r="A400" s="200"/>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c r="A401" s="200"/>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c r="A402" s="200"/>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c r="A403" s="200"/>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c r="A404" s="200"/>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c r="A405" s="200"/>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c r="A406" s="200"/>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c r="A407" s="200"/>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c r="A408" s="200"/>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c r="A409" s="200"/>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c r="A410" s="200"/>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c r="A411" s="200"/>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c r="A412" s="200"/>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c r="A413" s="200"/>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c r="A414" s="200"/>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c r="A415" s="200"/>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c r="A416" s="200"/>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c r="A417" s="200"/>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c r="A418" s="200"/>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c r="A419" s="200"/>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c r="A420" s="200"/>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c r="A421" s="200"/>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c r="A422" s="200"/>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c r="A423" s="200"/>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c r="A424" s="200"/>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c r="A425" s="200"/>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c r="A426" s="200"/>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c r="A427" s="200"/>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c r="A428" s="200"/>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c r="A429" s="200"/>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c r="A430" s="200"/>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c r="A431" s="200"/>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c r="A432" s="200"/>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c r="A433" s="200"/>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c r="A434" s="200"/>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c r="A435" s="200"/>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c r="A436" s="200"/>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c r="A437" s="200"/>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c r="A438" s="200"/>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c r="A439" s="200"/>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c r="A440" s="200"/>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c r="A441" s="200"/>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c r="A442" s="200"/>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c r="A443" s="200"/>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c r="A444" s="200"/>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c r="A445" s="200"/>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c r="A446" s="200"/>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c r="A447" s="200"/>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c r="A448" s="200"/>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c r="A449" s="200"/>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c r="A450" s="200"/>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c r="A451" s="200"/>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c r="A452" s="200"/>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c r="A453" s="200"/>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c r="A454" s="200"/>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c r="A455" s="200"/>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c r="A456" s="200"/>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c r="A457" s="200"/>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c r="A458" s="200"/>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c r="A459" s="200"/>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c r="A460" s="200"/>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c r="A461" s="200"/>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c r="A462" s="200"/>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c r="A463" s="200"/>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c r="A464" s="200"/>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c r="A465" s="200"/>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c r="A466" s="200"/>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c r="A467" s="200"/>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c r="A468" s="200"/>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c r="A469" s="200"/>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c r="A470" s="200"/>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c r="A471" s="200"/>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c r="A472" s="200"/>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c r="A473" s="200"/>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c r="A474" s="200"/>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c r="A475" s="200"/>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c r="A476" s="200"/>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c r="A477" s="200"/>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c r="A478" s="200"/>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c r="A479" s="200"/>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c r="A480" s="200"/>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c r="A481" s="200"/>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c r="A482" s="200"/>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c r="A483" s="200"/>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c r="A484" s="200"/>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c r="A485" s="200"/>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c r="A486" s="200"/>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c r="A487" s="200"/>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c r="A488" s="200"/>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c r="A489" s="200"/>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c r="A490" s="200"/>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c r="A491" s="200"/>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c r="A492" s="200"/>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c r="A493" s="200"/>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c r="A494" s="200"/>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c r="A495" s="200"/>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c r="A496" s="200"/>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c r="A497" s="200"/>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c r="A498" s="200"/>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c r="A499" s="200"/>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c r="A500" s="200"/>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c r="A501" s="200"/>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c r="A502" s="200"/>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row>
    <row r="503">
      <c r="A503" s="200"/>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row>
    <row r="504">
      <c r="A504" s="200"/>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row>
    <row r="505">
      <c r="A505" s="200"/>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row>
    <row r="506">
      <c r="A506" s="200"/>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row>
    <row r="507">
      <c r="A507" s="200"/>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row>
    <row r="508">
      <c r="A508" s="200"/>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row>
    <row r="509">
      <c r="A509" s="200"/>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row>
    <row r="510">
      <c r="A510" s="200"/>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row>
    <row r="511">
      <c r="A511" s="200"/>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row>
    <row r="512">
      <c r="A512" s="200"/>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row>
    <row r="513">
      <c r="A513" s="200"/>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row>
    <row r="514">
      <c r="A514" s="200"/>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row>
    <row r="515">
      <c r="A515" s="200"/>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row>
    <row r="516">
      <c r="A516" s="200"/>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row>
    <row r="517">
      <c r="A517" s="200"/>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row>
    <row r="518">
      <c r="A518" s="200"/>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row>
    <row r="519">
      <c r="A519" s="200"/>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row>
    <row r="520">
      <c r="A520" s="200"/>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row>
    <row r="521">
      <c r="A521" s="200"/>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row>
    <row r="522">
      <c r="A522" s="200"/>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row>
    <row r="523">
      <c r="A523" s="200"/>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row>
    <row r="524">
      <c r="A524" s="200"/>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row>
    <row r="525">
      <c r="A525" s="200"/>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row>
    <row r="526">
      <c r="A526" s="200"/>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row>
    <row r="527">
      <c r="A527" s="200"/>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row>
    <row r="528">
      <c r="A528" s="200"/>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row>
    <row r="529">
      <c r="A529" s="200"/>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row>
    <row r="530">
      <c r="A530" s="200"/>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row>
    <row r="531">
      <c r="A531" s="200"/>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row>
    <row r="532">
      <c r="A532" s="200"/>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row>
    <row r="533">
      <c r="A533" s="200"/>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row>
    <row r="534">
      <c r="A534" s="200"/>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row>
    <row r="535">
      <c r="A535" s="200"/>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row>
    <row r="536">
      <c r="A536" s="200"/>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row>
    <row r="537">
      <c r="A537" s="200"/>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row>
    <row r="538">
      <c r="A538" s="200"/>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row>
    <row r="539">
      <c r="A539" s="200"/>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row>
    <row r="540">
      <c r="A540" s="200"/>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row>
    <row r="541">
      <c r="A541" s="200"/>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row>
    <row r="542">
      <c r="A542" s="200"/>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row>
    <row r="543">
      <c r="A543" s="200"/>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row>
    <row r="544">
      <c r="A544" s="200"/>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row>
    <row r="545">
      <c r="A545" s="200"/>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row>
    <row r="546">
      <c r="A546" s="200"/>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row>
    <row r="547">
      <c r="A547" s="200"/>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row>
    <row r="548">
      <c r="A548" s="200"/>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row>
    <row r="549">
      <c r="A549" s="200"/>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row>
    <row r="550">
      <c r="A550" s="200"/>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row>
    <row r="551">
      <c r="A551" s="200"/>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row>
    <row r="552">
      <c r="A552" s="200"/>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row>
    <row r="553">
      <c r="A553" s="200"/>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row>
    <row r="554">
      <c r="A554" s="200"/>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row>
    <row r="555">
      <c r="A555" s="200"/>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row>
    <row r="556">
      <c r="A556" s="200"/>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row>
    <row r="557">
      <c r="A557" s="200"/>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row>
    <row r="558">
      <c r="A558" s="200"/>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row>
    <row r="559">
      <c r="A559" s="200"/>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row>
    <row r="560">
      <c r="A560" s="200"/>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row>
    <row r="561">
      <c r="A561" s="200"/>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row>
    <row r="562">
      <c r="A562" s="200"/>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row>
    <row r="563">
      <c r="A563" s="200"/>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row>
    <row r="564">
      <c r="A564" s="200"/>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row>
    <row r="565">
      <c r="A565" s="200"/>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row>
    <row r="566">
      <c r="A566" s="200"/>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row>
    <row r="567">
      <c r="A567" s="200"/>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row>
    <row r="568">
      <c r="A568" s="200"/>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row>
    <row r="569">
      <c r="A569" s="200"/>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row>
    <row r="570">
      <c r="A570" s="200"/>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row>
    <row r="571">
      <c r="A571" s="200"/>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row>
    <row r="572">
      <c r="A572" s="200"/>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row>
    <row r="573">
      <c r="A573" s="200"/>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row>
    <row r="574">
      <c r="A574" s="200"/>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row>
    <row r="575">
      <c r="A575" s="200"/>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row>
    <row r="576">
      <c r="A576" s="200"/>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row>
    <row r="577">
      <c r="A577" s="200"/>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row>
    <row r="578">
      <c r="A578" s="200"/>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row>
    <row r="579">
      <c r="A579" s="200"/>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row>
    <row r="580">
      <c r="A580" s="200"/>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row>
    <row r="581">
      <c r="A581" s="200"/>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row>
    <row r="582">
      <c r="A582" s="200"/>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row>
    <row r="583">
      <c r="A583" s="200"/>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row>
    <row r="584">
      <c r="A584" s="200"/>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row>
    <row r="585">
      <c r="A585" s="200"/>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row>
    <row r="586">
      <c r="A586" s="200"/>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row>
    <row r="587">
      <c r="A587" s="200"/>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row>
    <row r="588">
      <c r="A588" s="200"/>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row>
    <row r="589">
      <c r="A589" s="200"/>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row>
    <row r="590">
      <c r="A590" s="200"/>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row>
    <row r="591">
      <c r="A591" s="200"/>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row>
    <row r="592">
      <c r="A592" s="200"/>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row>
    <row r="593">
      <c r="A593" s="200"/>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row>
    <row r="594">
      <c r="A594" s="200"/>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row>
    <row r="595">
      <c r="A595" s="200"/>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row>
    <row r="596">
      <c r="A596" s="200"/>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row>
    <row r="597">
      <c r="A597" s="200"/>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row>
    <row r="598">
      <c r="A598" s="200"/>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row>
    <row r="599">
      <c r="A599" s="200"/>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row>
    <row r="600">
      <c r="A600" s="200"/>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row>
    <row r="601">
      <c r="A601" s="200"/>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row>
    <row r="602">
      <c r="A602" s="200"/>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row>
    <row r="603">
      <c r="A603" s="200"/>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row>
    <row r="604">
      <c r="A604" s="200"/>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row>
    <row r="605">
      <c r="A605" s="200"/>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row>
    <row r="606">
      <c r="A606" s="200"/>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row>
    <row r="607">
      <c r="A607" s="200"/>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row>
    <row r="608">
      <c r="A608" s="200"/>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row>
    <row r="609">
      <c r="A609" s="200"/>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row>
    <row r="610">
      <c r="A610" s="200"/>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row>
    <row r="611">
      <c r="A611" s="200"/>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row>
    <row r="612">
      <c r="A612" s="200"/>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row>
    <row r="613">
      <c r="A613" s="200"/>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row>
    <row r="614">
      <c r="A614" s="200"/>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row>
    <row r="615">
      <c r="A615" s="200"/>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row>
    <row r="616">
      <c r="A616" s="200"/>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row>
    <row r="617">
      <c r="A617" s="200"/>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row>
    <row r="618">
      <c r="A618" s="200"/>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row>
    <row r="619">
      <c r="A619" s="200"/>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row>
    <row r="620">
      <c r="A620" s="200"/>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row>
    <row r="621">
      <c r="A621" s="200"/>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row>
    <row r="622">
      <c r="A622" s="200"/>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row>
    <row r="623">
      <c r="A623" s="200"/>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row>
    <row r="624">
      <c r="A624" s="200"/>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row>
    <row r="625">
      <c r="A625" s="200"/>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row>
    <row r="626">
      <c r="A626" s="200"/>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row>
    <row r="627">
      <c r="A627" s="200"/>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row>
    <row r="628">
      <c r="A628" s="200"/>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row>
    <row r="629">
      <c r="A629" s="200"/>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row>
    <row r="630">
      <c r="A630" s="200"/>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row>
    <row r="631">
      <c r="A631" s="200"/>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row>
    <row r="632">
      <c r="A632" s="200"/>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row>
    <row r="633">
      <c r="A633" s="200"/>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row>
    <row r="634">
      <c r="A634" s="200"/>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row>
    <row r="635">
      <c r="A635" s="200"/>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row>
    <row r="636">
      <c r="A636" s="200"/>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row>
    <row r="637">
      <c r="A637" s="200"/>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row>
    <row r="638">
      <c r="A638" s="200"/>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row>
    <row r="639">
      <c r="A639" s="200"/>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row>
    <row r="640">
      <c r="A640" s="200"/>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row>
    <row r="641">
      <c r="A641" s="200"/>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row>
    <row r="642">
      <c r="A642" s="200"/>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row>
    <row r="643">
      <c r="A643" s="200"/>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row>
    <row r="644">
      <c r="A644" s="200"/>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row>
    <row r="645">
      <c r="A645" s="200"/>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row>
    <row r="646">
      <c r="A646" s="200"/>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row>
    <row r="647">
      <c r="A647" s="200"/>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row>
    <row r="648">
      <c r="A648" s="200"/>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row>
    <row r="649">
      <c r="A649" s="200"/>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row>
    <row r="650">
      <c r="A650" s="200"/>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row>
    <row r="651">
      <c r="A651" s="200"/>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row>
    <row r="652">
      <c r="A652" s="200"/>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row>
    <row r="653">
      <c r="A653" s="200"/>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row>
    <row r="654">
      <c r="A654" s="200"/>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row>
    <row r="655">
      <c r="A655" s="200"/>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row>
    <row r="656">
      <c r="A656" s="200"/>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row>
    <row r="657">
      <c r="A657" s="200"/>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row>
    <row r="658">
      <c r="A658" s="200"/>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row>
    <row r="659">
      <c r="A659" s="200"/>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row>
    <row r="660">
      <c r="A660" s="200"/>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row>
    <row r="661">
      <c r="A661" s="200"/>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row>
    <row r="662">
      <c r="A662" s="200"/>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row>
    <row r="663">
      <c r="A663" s="200"/>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row>
    <row r="664">
      <c r="A664" s="200"/>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row>
    <row r="665">
      <c r="A665" s="200"/>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row>
    <row r="666">
      <c r="A666" s="200"/>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row>
    <row r="667">
      <c r="A667" s="200"/>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row>
    <row r="668">
      <c r="A668" s="200"/>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row>
    <row r="669">
      <c r="A669" s="200"/>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row>
    <row r="670">
      <c r="A670" s="200"/>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row>
    <row r="671">
      <c r="A671" s="200"/>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row>
    <row r="672">
      <c r="A672" s="200"/>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row>
    <row r="673">
      <c r="A673" s="200"/>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row>
    <row r="674">
      <c r="A674" s="200"/>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row>
    <row r="675">
      <c r="A675" s="200"/>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row>
    <row r="676">
      <c r="A676" s="200"/>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row>
    <row r="677">
      <c r="A677" s="200"/>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row>
    <row r="678">
      <c r="A678" s="200"/>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row>
    <row r="679">
      <c r="A679" s="200"/>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row>
    <row r="680">
      <c r="A680" s="200"/>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row>
    <row r="681">
      <c r="A681" s="200"/>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row>
    <row r="682">
      <c r="A682" s="200"/>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row>
    <row r="683">
      <c r="A683" s="200"/>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row>
    <row r="684">
      <c r="A684" s="200"/>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row>
    <row r="685">
      <c r="A685" s="200"/>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row>
    <row r="686">
      <c r="A686" s="200"/>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row>
    <row r="687">
      <c r="A687" s="200"/>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row>
    <row r="688">
      <c r="A688" s="200"/>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row>
    <row r="689">
      <c r="A689" s="200"/>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row>
    <row r="690">
      <c r="A690" s="200"/>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row>
    <row r="691">
      <c r="A691" s="200"/>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row>
    <row r="692">
      <c r="A692" s="200"/>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row>
    <row r="693">
      <c r="A693" s="200"/>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row>
    <row r="694">
      <c r="A694" s="200"/>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row>
    <row r="695">
      <c r="A695" s="200"/>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row>
    <row r="696">
      <c r="A696" s="200"/>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row>
    <row r="697">
      <c r="A697" s="200"/>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row>
    <row r="698">
      <c r="A698" s="200"/>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row>
    <row r="699">
      <c r="A699" s="200"/>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row>
    <row r="700">
      <c r="A700" s="200"/>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row>
    <row r="701">
      <c r="A701" s="200"/>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row>
    <row r="702">
      <c r="A702" s="200"/>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row>
    <row r="703">
      <c r="A703" s="200"/>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row>
    <row r="704">
      <c r="A704" s="200"/>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row>
    <row r="705">
      <c r="A705" s="200"/>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row>
    <row r="706">
      <c r="A706" s="200"/>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row>
    <row r="707">
      <c r="A707" s="200"/>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row>
    <row r="708">
      <c r="A708" s="200"/>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row>
    <row r="709">
      <c r="A709" s="200"/>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row>
    <row r="710">
      <c r="A710" s="200"/>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row>
    <row r="711">
      <c r="A711" s="200"/>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row>
    <row r="712">
      <c r="A712" s="200"/>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row>
    <row r="713">
      <c r="A713" s="200"/>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row>
    <row r="714">
      <c r="A714" s="200"/>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row>
    <row r="715">
      <c r="A715" s="200"/>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row>
    <row r="716">
      <c r="A716" s="200"/>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row>
    <row r="717">
      <c r="A717" s="200"/>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row>
    <row r="718">
      <c r="A718" s="200"/>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row>
    <row r="719">
      <c r="A719" s="200"/>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row>
    <row r="720">
      <c r="A720" s="200"/>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row>
    <row r="721">
      <c r="A721" s="200"/>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row>
    <row r="722">
      <c r="A722" s="200"/>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row>
    <row r="723">
      <c r="A723" s="200"/>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row>
    <row r="724">
      <c r="A724" s="200"/>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row>
    <row r="725">
      <c r="A725" s="200"/>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row>
    <row r="726">
      <c r="A726" s="200"/>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row>
    <row r="727">
      <c r="A727" s="200"/>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row>
    <row r="728">
      <c r="A728" s="200"/>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row>
    <row r="729">
      <c r="A729" s="200"/>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row>
    <row r="730">
      <c r="A730" s="200"/>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row>
    <row r="731">
      <c r="A731" s="200"/>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row>
    <row r="732">
      <c r="A732" s="200"/>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row>
    <row r="733">
      <c r="A733" s="200"/>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row>
    <row r="734">
      <c r="A734" s="200"/>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row>
    <row r="735">
      <c r="A735" s="200"/>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row>
    <row r="736">
      <c r="A736" s="200"/>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row>
    <row r="737">
      <c r="A737" s="200"/>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row>
    <row r="738">
      <c r="A738" s="200"/>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row>
    <row r="739">
      <c r="A739" s="200"/>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row>
    <row r="740">
      <c r="A740" s="200"/>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row>
    <row r="741">
      <c r="A741" s="200"/>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row>
    <row r="742">
      <c r="A742" s="200"/>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row>
    <row r="743">
      <c r="A743" s="200"/>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row>
    <row r="744">
      <c r="A744" s="200"/>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row>
    <row r="745">
      <c r="A745" s="200"/>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row>
    <row r="746">
      <c r="A746" s="200"/>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row>
    <row r="747">
      <c r="A747" s="200"/>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row>
    <row r="748">
      <c r="A748" s="200"/>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row>
    <row r="749">
      <c r="A749" s="200"/>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row>
    <row r="750">
      <c r="A750" s="200"/>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row>
    <row r="751">
      <c r="A751" s="200"/>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row>
    <row r="752">
      <c r="A752" s="200"/>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row>
    <row r="753">
      <c r="A753" s="200"/>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row>
    <row r="754">
      <c r="A754" s="200"/>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row>
    <row r="755">
      <c r="A755" s="200"/>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row>
    <row r="756">
      <c r="A756" s="200"/>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row>
    <row r="757">
      <c r="A757" s="200"/>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row>
    <row r="758">
      <c r="A758" s="200"/>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row>
    <row r="759">
      <c r="A759" s="200"/>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row>
    <row r="760">
      <c r="A760" s="200"/>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row>
    <row r="761">
      <c r="A761" s="200"/>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row>
    <row r="762">
      <c r="A762" s="200"/>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row>
    <row r="763">
      <c r="A763" s="200"/>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row>
    <row r="764">
      <c r="A764" s="200"/>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row>
    <row r="765">
      <c r="A765" s="200"/>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row>
    <row r="766">
      <c r="A766" s="200"/>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row>
    <row r="767">
      <c r="A767" s="200"/>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row>
    <row r="768">
      <c r="A768" s="200"/>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row>
    <row r="769">
      <c r="A769" s="200"/>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row>
    <row r="770">
      <c r="A770" s="200"/>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row>
    <row r="771">
      <c r="A771" s="200"/>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row>
    <row r="772">
      <c r="A772" s="200"/>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row>
    <row r="773">
      <c r="A773" s="200"/>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row>
    <row r="774">
      <c r="A774" s="200"/>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row>
    <row r="775">
      <c r="A775" s="200"/>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row>
    <row r="776">
      <c r="A776" s="200"/>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row>
    <row r="777">
      <c r="A777" s="200"/>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row>
    <row r="778">
      <c r="A778" s="200"/>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row>
    <row r="779">
      <c r="A779" s="200"/>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row>
    <row r="780">
      <c r="A780" s="200"/>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row>
    <row r="781">
      <c r="A781" s="200"/>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row>
    <row r="782">
      <c r="A782" s="200"/>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row>
    <row r="783">
      <c r="A783" s="200"/>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row>
    <row r="784">
      <c r="A784" s="200"/>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row>
    <row r="785">
      <c r="A785" s="200"/>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row>
    <row r="786">
      <c r="A786" s="200"/>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row>
    <row r="787">
      <c r="A787" s="200"/>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row>
    <row r="788">
      <c r="A788" s="200"/>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row>
    <row r="789">
      <c r="A789" s="200"/>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row>
    <row r="790">
      <c r="A790" s="200"/>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row>
    <row r="791">
      <c r="A791" s="200"/>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row>
    <row r="792">
      <c r="A792" s="200"/>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row>
    <row r="793">
      <c r="A793" s="200"/>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row>
    <row r="794">
      <c r="A794" s="200"/>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row>
    <row r="795">
      <c r="A795" s="200"/>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row>
    <row r="796">
      <c r="A796" s="200"/>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row>
    <row r="797">
      <c r="A797" s="200"/>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row>
    <row r="798">
      <c r="A798" s="200"/>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row>
    <row r="799">
      <c r="A799" s="200"/>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row>
    <row r="800">
      <c r="A800" s="200"/>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row>
    <row r="801">
      <c r="A801" s="200"/>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row>
    <row r="802">
      <c r="A802" s="200"/>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row>
    <row r="803">
      <c r="A803" s="200"/>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row>
    <row r="804">
      <c r="A804" s="200"/>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row>
    <row r="805">
      <c r="A805" s="200"/>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row>
    <row r="806">
      <c r="A806" s="200"/>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row>
    <row r="807">
      <c r="A807" s="200"/>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row>
    <row r="808">
      <c r="A808" s="200"/>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row>
    <row r="809">
      <c r="A809" s="200"/>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row>
    <row r="810">
      <c r="A810" s="200"/>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row>
    <row r="811">
      <c r="A811" s="200"/>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row>
    <row r="812">
      <c r="A812" s="200"/>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row>
    <row r="813">
      <c r="A813" s="200"/>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row>
    <row r="814">
      <c r="A814" s="200"/>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row>
    <row r="815">
      <c r="A815" s="200"/>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row>
    <row r="816">
      <c r="A816" s="200"/>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row>
    <row r="817">
      <c r="A817" s="200"/>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row>
    <row r="818">
      <c r="A818" s="200"/>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row>
    <row r="819">
      <c r="A819" s="200"/>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row>
    <row r="820">
      <c r="A820" s="200"/>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row>
    <row r="821">
      <c r="A821" s="200"/>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row>
    <row r="822">
      <c r="A822" s="200"/>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row>
    <row r="823">
      <c r="A823" s="200"/>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row>
    <row r="824">
      <c r="A824" s="200"/>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row>
    <row r="825">
      <c r="A825" s="200"/>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row>
    <row r="826">
      <c r="A826" s="200"/>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row>
    <row r="827">
      <c r="A827" s="200"/>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row>
    <row r="828">
      <c r="A828" s="200"/>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row>
    <row r="829">
      <c r="A829" s="200"/>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row>
    <row r="830">
      <c r="A830" s="200"/>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row>
    <row r="831">
      <c r="A831" s="200"/>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row>
    <row r="832">
      <c r="A832" s="200"/>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row>
    <row r="833">
      <c r="A833" s="200"/>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row>
    <row r="834">
      <c r="A834" s="200"/>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row>
    <row r="835">
      <c r="A835" s="200"/>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row>
    <row r="836">
      <c r="A836" s="200"/>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row>
    <row r="837">
      <c r="A837" s="200"/>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row>
    <row r="838">
      <c r="A838" s="200"/>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row>
    <row r="839">
      <c r="A839" s="200"/>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row>
    <row r="840">
      <c r="A840" s="200"/>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row>
    <row r="841">
      <c r="A841" s="200"/>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row>
    <row r="842">
      <c r="A842" s="200"/>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row>
    <row r="843">
      <c r="A843" s="200"/>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row>
    <row r="844">
      <c r="A844" s="200"/>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row>
    <row r="845">
      <c r="A845" s="200"/>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row>
    <row r="846">
      <c r="A846" s="200"/>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row>
    <row r="847">
      <c r="A847" s="200"/>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row>
    <row r="848">
      <c r="A848" s="200"/>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row>
    <row r="849">
      <c r="A849" s="200"/>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row>
    <row r="850">
      <c r="A850" s="200"/>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row>
    <row r="851">
      <c r="A851" s="200"/>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row>
    <row r="852">
      <c r="A852" s="200"/>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row>
    <row r="853">
      <c r="A853" s="200"/>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row>
    <row r="854">
      <c r="A854" s="200"/>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row>
    <row r="855">
      <c r="A855" s="200"/>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row>
    <row r="856">
      <c r="A856" s="200"/>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row>
    <row r="857">
      <c r="A857" s="200"/>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row>
    <row r="858">
      <c r="A858" s="200"/>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row>
    <row r="859">
      <c r="A859" s="200"/>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row>
    <row r="860">
      <c r="A860" s="200"/>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row>
    <row r="861">
      <c r="A861" s="200"/>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row>
    <row r="862">
      <c r="A862" s="200"/>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row>
    <row r="863">
      <c r="A863" s="200"/>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row>
    <row r="864">
      <c r="A864" s="200"/>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row>
    <row r="865">
      <c r="A865" s="200"/>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row>
    <row r="866">
      <c r="A866" s="200"/>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row>
    <row r="867">
      <c r="A867" s="200"/>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row>
    <row r="868">
      <c r="A868" s="200"/>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row>
    <row r="869">
      <c r="A869" s="200"/>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row>
    <row r="870">
      <c r="A870" s="200"/>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row>
    <row r="871">
      <c r="A871" s="200"/>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row>
    <row r="872">
      <c r="A872" s="200"/>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row>
    <row r="873">
      <c r="A873" s="200"/>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row>
    <row r="874">
      <c r="A874" s="200"/>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row>
    <row r="875">
      <c r="A875" s="200"/>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row>
    <row r="876">
      <c r="A876" s="200"/>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row>
    <row r="877">
      <c r="A877" s="200"/>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row>
    <row r="878">
      <c r="A878" s="200"/>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row>
    <row r="879">
      <c r="A879" s="200"/>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row>
    <row r="880">
      <c r="A880" s="200"/>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row>
    <row r="881">
      <c r="A881" s="200"/>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row>
    <row r="882">
      <c r="A882" s="200"/>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row>
    <row r="883">
      <c r="A883" s="200"/>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row>
    <row r="884">
      <c r="A884" s="200"/>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row>
    <row r="885">
      <c r="A885" s="200"/>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row>
    <row r="886">
      <c r="A886" s="200"/>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row>
    <row r="887">
      <c r="A887" s="200"/>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row>
    <row r="888">
      <c r="A888" s="200"/>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row>
    <row r="889">
      <c r="A889" s="200"/>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row>
    <row r="890">
      <c r="A890" s="200"/>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row>
    <row r="891">
      <c r="A891" s="200"/>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row>
    <row r="892">
      <c r="A892" s="200"/>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row>
    <row r="893">
      <c r="A893" s="200"/>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row>
    <row r="894">
      <c r="A894" s="200"/>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row>
    <row r="895">
      <c r="A895" s="200"/>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row>
    <row r="896">
      <c r="A896" s="200"/>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row>
    <row r="897">
      <c r="A897" s="200"/>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row>
    <row r="898">
      <c r="A898" s="200"/>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row>
    <row r="899">
      <c r="A899" s="200"/>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row>
    <row r="900">
      <c r="A900" s="200"/>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row>
    <row r="901">
      <c r="A901" s="200"/>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row>
    <row r="902">
      <c r="A902" s="200"/>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row>
    <row r="903">
      <c r="A903" s="200"/>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row>
    <row r="904">
      <c r="A904" s="200"/>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row>
    <row r="905">
      <c r="A905" s="200"/>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row>
    <row r="906">
      <c r="A906" s="200"/>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row>
    <row r="907">
      <c r="A907" s="200"/>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row>
    <row r="908">
      <c r="A908" s="200"/>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row>
    <row r="909">
      <c r="A909" s="200"/>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row>
    <row r="910">
      <c r="A910" s="200"/>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row>
    <row r="911">
      <c r="A911" s="200"/>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row>
    <row r="912">
      <c r="A912" s="200"/>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row>
    <row r="913">
      <c r="A913" s="200"/>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row>
    <row r="914">
      <c r="A914" s="200"/>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row>
    <row r="915">
      <c r="A915" s="200"/>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row>
    <row r="916">
      <c r="A916" s="200"/>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row>
    <row r="917">
      <c r="A917" s="200"/>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row>
    <row r="918">
      <c r="A918" s="200"/>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row>
    <row r="919">
      <c r="A919" s="200"/>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row>
    <row r="920">
      <c r="A920" s="200"/>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row>
    <row r="921">
      <c r="A921" s="200"/>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row>
    <row r="922">
      <c r="A922" s="200"/>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row>
    <row r="923">
      <c r="A923" s="200"/>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row>
    <row r="924">
      <c r="A924" s="200"/>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row>
    <row r="925">
      <c r="A925" s="200"/>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row>
    <row r="926">
      <c r="A926" s="200"/>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row>
    <row r="927">
      <c r="A927" s="200"/>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row>
    <row r="928">
      <c r="A928" s="200"/>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row>
    <row r="929">
      <c r="A929" s="200"/>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row>
    <row r="930">
      <c r="A930" s="200"/>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row>
    <row r="931">
      <c r="A931" s="200"/>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row>
    <row r="932">
      <c r="A932" s="200"/>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row>
    <row r="933">
      <c r="A933" s="200"/>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row>
    <row r="934">
      <c r="A934" s="200"/>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row>
    <row r="935">
      <c r="A935" s="200"/>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row>
    <row r="936">
      <c r="A936" s="200"/>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row>
    <row r="937">
      <c r="A937" s="200"/>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row>
    <row r="938">
      <c r="A938" s="200"/>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row>
    <row r="939">
      <c r="A939" s="200"/>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row>
    <row r="940">
      <c r="A940" s="200"/>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row>
    <row r="941">
      <c r="A941" s="200"/>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row>
    <row r="942">
      <c r="A942" s="200"/>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row>
    <row r="943">
      <c r="A943" s="200"/>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row>
    <row r="944">
      <c r="A944" s="200"/>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row>
    <row r="945">
      <c r="A945" s="200"/>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row>
    <row r="946">
      <c r="A946" s="200"/>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row>
    <row r="947">
      <c r="A947" s="200"/>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row>
    <row r="948">
      <c r="A948" s="200"/>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row>
    <row r="949">
      <c r="A949" s="200"/>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row>
    <row r="950">
      <c r="A950" s="200"/>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row>
    <row r="951">
      <c r="A951" s="200"/>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row>
    <row r="952">
      <c r="A952" s="200"/>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row>
    <row r="953">
      <c r="A953" s="200"/>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row>
    <row r="954">
      <c r="A954" s="200"/>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row>
    <row r="955">
      <c r="A955" s="200"/>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row>
    <row r="956">
      <c r="A956" s="200"/>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row>
    <row r="957">
      <c r="A957" s="200"/>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row>
    <row r="958">
      <c r="A958" s="200"/>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row>
    <row r="959">
      <c r="A959" s="200"/>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row>
    <row r="960">
      <c r="A960" s="200"/>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row>
    <row r="961">
      <c r="A961" s="200"/>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row>
    <row r="962">
      <c r="A962" s="200"/>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row>
    <row r="963">
      <c r="A963" s="200"/>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row>
    <row r="964">
      <c r="A964" s="200"/>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row>
    <row r="965">
      <c r="A965" s="200"/>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row>
    <row r="966">
      <c r="A966" s="200"/>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row>
    <row r="967">
      <c r="A967" s="200"/>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row>
    <row r="968">
      <c r="A968" s="200"/>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row>
    <row r="969">
      <c r="A969" s="200"/>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row>
    <row r="970">
      <c r="A970" s="200"/>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row>
    <row r="971">
      <c r="A971" s="200"/>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row>
    <row r="972">
      <c r="A972" s="200"/>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row>
    <row r="973">
      <c r="A973" s="200"/>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row>
    <row r="974">
      <c r="A974" s="200"/>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row>
    <row r="975">
      <c r="A975" s="200"/>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row>
    <row r="976">
      <c r="A976" s="200"/>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row>
    <row r="977">
      <c r="A977" s="200"/>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row>
    <row r="978">
      <c r="A978" s="200"/>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row>
    <row r="979">
      <c r="A979" s="200"/>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row>
    <row r="980">
      <c r="A980" s="200"/>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row>
    <row r="981">
      <c r="A981" s="200"/>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row>
    <row r="982">
      <c r="A982" s="200"/>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row>
    <row r="983">
      <c r="A983" s="200"/>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row>
    <row r="984">
      <c r="A984" s="200"/>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row>
    <row r="985">
      <c r="A985" s="200"/>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row>
    <row r="986">
      <c r="A986" s="200"/>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row>
    <row r="987">
      <c r="A987" s="200"/>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row>
    <row r="988">
      <c r="A988" s="200"/>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row>
    <row r="989">
      <c r="A989" s="200"/>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row>
    <row r="990">
      <c r="A990" s="200"/>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row>
    <row r="991">
      <c r="A991" s="200"/>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row>
    <row r="992">
      <c r="A992" s="200"/>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row>
    <row r="993">
      <c r="A993" s="200"/>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row>
    <row r="994">
      <c r="A994" s="200"/>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row>
    <row r="995">
      <c r="A995" s="200"/>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row>
    <row r="996">
      <c r="A996" s="200"/>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row>
    <row r="997">
      <c r="A997" s="200"/>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row>
    <row r="998">
      <c r="A998" s="200"/>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row>
    <row r="999">
      <c r="A999" s="200"/>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row>
    <row r="1000">
      <c r="A1000" s="200"/>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row>
    <row r="1001">
      <c r="A1001" s="200"/>
      <c r="B1001" s="199"/>
      <c r="C1001" s="199"/>
      <c r="D1001" s="199"/>
      <c r="E1001" s="199"/>
      <c r="F1001" s="199"/>
      <c r="G1001" s="199"/>
      <c r="H1001" s="199"/>
      <c r="I1001" s="199"/>
      <c r="J1001" s="199"/>
      <c r="K1001" s="199"/>
      <c r="L1001" s="199"/>
      <c r="M1001" s="199"/>
      <c r="N1001" s="199"/>
      <c r="O1001" s="199"/>
      <c r="P1001" s="199"/>
      <c r="Q1001" s="199"/>
      <c r="R1001" s="199"/>
      <c r="S1001" s="199"/>
      <c r="T1001" s="199"/>
      <c r="U1001" s="199"/>
      <c r="V1001" s="199"/>
      <c r="W1001" s="199"/>
      <c r="X1001" s="199"/>
      <c r="Y1001" s="199"/>
      <c r="Z1001" s="19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8.25"/>
    <col customWidth="1" min="16" max="16" width="18.0"/>
  </cols>
  <sheetData>
    <row r="1">
      <c r="A1" s="199"/>
      <c r="B1" s="199"/>
      <c r="C1" s="199"/>
      <c r="D1" s="199">
        <f>SUM(D3:D996)</f>
        <v>172</v>
      </c>
      <c r="E1" s="202"/>
      <c r="F1" s="202">
        <f>SUM(F3:F996)</f>
        <v>1717</v>
      </c>
      <c r="G1" s="199"/>
      <c r="H1" s="199"/>
      <c r="I1" s="199"/>
      <c r="J1" s="202">
        <f t="shared" ref="J1:K1" si="1">SUM(J3:J996)</f>
        <v>1024.550952</v>
      </c>
      <c r="K1" s="202">
        <f t="shared" si="1"/>
        <v>680.77</v>
      </c>
      <c r="L1" s="199"/>
      <c r="M1" s="199"/>
      <c r="N1" s="199"/>
      <c r="O1" s="199"/>
      <c r="P1" s="199"/>
      <c r="Q1" s="199"/>
      <c r="R1" s="199"/>
      <c r="S1" s="199"/>
      <c r="T1" s="199"/>
      <c r="U1" s="199"/>
      <c r="V1" s="199"/>
      <c r="W1" s="199"/>
      <c r="X1" s="199"/>
      <c r="Y1" s="199"/>
      <c r="Z1" s="199"/>
    </row>
    <row r="2">
      <c r="A2" s="199" t="s">
        <v>0</v>
      </c>
      <c r="B2" s="199" t="s">
        <v>5</v>
      </c>
      <c r="C2" s="199" t="s">
        <v>8356</v>
      </c>
      <c r="D2" s="199" t="s">
        <v>1078</v>
      </c>
      <c r="E2" s="202" t="s">
        <v>8357</v>
      </c>
      <c r="F2" s="202" t="s">
        <v>8358</v>
      </c>
      <c r="G2" s="199" t="s">
        <v>1135</v>
      </c>
      <c r="H2" s="199" t="s">
        <v>1085</v>
      </c>
      <c r="I2" s="199" t="s">
        <v>8359</v>
      </c>
      <c r="J2" s="202" t="s">
        <v>8360</v>
      </c>
      <c r="K2" s="202" t="s">
        <v>1071</v>
      </c>
      <c r="L2" s="199" t="s">
        <v>8361</v>
      </c>
      <c r="M2" s="199" t="s">
        <v>1035</v>
      </c>
      <c r="N2" s="199" t="s">
        <v>8362</v>
      </c>
      <c r="O2" s="198" t="s">
        <v>8</v>
      </c>
      <c r="P2" s="198" t="s">
        <v>14</v>
      </c>
      <c r="Q2" s="198" t="s">
        <v>1028</v>
      </c>
      <c r="R2" s="199"/>
      <c r="S2" s="199"/>
      <c r="T2" s="199"/>
      <c r="U2" s="199"/>
      <c r="V2" s="199"/>
      <c r="W2" s="199"/>
      <c r="X2" s="199"/>
      <c r="Y2" s="199"/>
      <c r="Z2" s="199"/>
    </row>
    <row r="3">
      <c r="A3" s="203">
        <v>45951.0</v>
      </c>
      <c r="B3" s="198" t="s">
        <v>1918</v>
      </c>
      <c r="C3" s="198" t="s">
        <v>1497</v>
      </c>
      <c r="D3" s="198">
        <v>1.0</v>
      </c>
      <c r="E3" s="204">
        <v>20.0</v>
      </c>
      <c r="F3" s="204">
        <v>20.0</v>
      </c>
      <c r="G3" s="198" t="s">
        <v>45</v>
      </c>
      <c r="H3" s="198" t="s">
        <v>46</v>
      </c>
      <c r="I3" s="198" t="s">
        <v>8363</v>
      </c>
      <c r="J3" s="204">
        <v>9.15</v>
      </c>
      <c r="K3" s="204">
        <v>10.85</v>
      </c>
      <c r="L3" s="205">
        <v>0.5425</v>
      </c>
      <c r="M3" s="199"/>
      <c r="N3" s="198" t="s">
        <v>8364</v>
      </c>
      <c r="O3" s="198" t="s">
        <v>1626</v>
      </c>
      <c r="P3" s="21" t="s">
        <v>22</v>
      </c>
      <c r="Q3" s="199"/>
      <c r="R3" s="199"/>
      <c r="S3" s="199"/>
      <c r="T3" s="199"/>
      <c r="U3" s="199"/>
      <c r="V3" s="199"/>
      <c r="W3" s="199"/>
      <c r="X3" s="199"/>
      <c r="Y3" s="199"/>
      <c r="Z3" s="199"/>
    </row>
    <row r="4">
      <c r="A4" s="203">
        <v>45899.0</v>
      </c>
      <c r="B4" s="198" t="s">
        <v>1653</v>
      </c>
      <c r="C4" s="198" t="s">
        <v>1500</v>
      </c>
      <c r="D4" s="198">
        <v>1.0</v>
      </c>
      <c r="E4" s="204">
        <v>30.0</v>
      </c>
      <c r="F4" s="204">
        <v>30.0</v>
      </c>
      <c r="G4" s="198" t="s">
        <v>45</v>
      </c>
      <c r="H4" s="198" t="s">
        <v>46</v>
      </c>
      <c r="I4" s="198" t="s">
        <v>6434</v>
      </c>
      <c r="J4" s="204">
        <v>7.35</v>
      </c>
      <c r="K4" s="204">
        <v>22.65</v>
      </c>
      <c r="L4" s="206">
        <v>0.755</v>
      </c>
      <c r="M4" s="199"/>
      <c r="N4" s="198" t="s">
        <v>8365</v>
      </c>
      <c r="O4" s="198" t="s">
        <v>1626</v>
      </c>
      <c r="P4" s="21" t="s">
        <v>22</v>
      </c>
      <c r="Q4" s="199"/>
      <c r="R4" s="199"/>
      <c r="S4" s="199"/>
      <c r="T4" s="199"/>
      <c r="U4" s="199"/>
      <c r="V4" s="199"/>
      <c r="W4" s="199"/>
      <c r="X4" s="199"/>
      <c r="Y4" s="199"/>
      <c r="Z4" s="199"/>
    </row>
    <row r="5">
      <c r="A5" s="203">
        <v>45899.0</v>
      </c>
      <c r="B5" s="198" t="s">
        <v>1643</v>
      </c>
      <c r="C5" s="198" t="s">
        <v>1542</v>
      </c>
      <c r="D5" s="198">
        <v>1.0</v>
      </c>
      <c r="E5" s="204">
        <v>3.0</v>
      </c>
      <c r="F5" s="204">
        <v>3.0</v>
      </c>
      <c r="G5" s="198" t="s">
        <v>45</v>
      </c>
      <c r="H5" s="198" t="s">
        <v>46</v>
      </c>
      <c r="I5" s="198" t="s">
        <v>6434</v>
      </c>
      <c r="J5" s="204">
        <v>0.29</v>
      </c>
      <c r="K5" s="204">
        <v>2.71</v>
      </c>
      <c r="L5" s="206">
        <v>0.9033333333333333</v>
      </c>
      <c r="M5" s="199"/>
      <c r="N5" s="198" t="s">
        <v>8366</v>
      </c>
      <c r="O5" s="198" t="s">
        <v>1626</v>
      </c>
      <c r="P5" s="21" t="s">
        <v>22</v>
      </c>
      <c r="Q5" s="199"/>
      <c r="R5" s="199"/>
      <c r="S5" s="199"/>
      <c r="T5" s="199"/>
      <c r="U5" s="199"/>
      <c r="V5" s="199"/>
      <c r="W5" s="199"/>
      <c r="X5" s="199"/>
      <c r="Y5" s="199"/>
      <c r="Z5" s="199"/>
    </row>
    <row r="6">
      <c r="A6" s="203">
        <v>45899.0</v>
      </c>
      <c r="B6" s="198" t="s">
        <v>8367</v>
      </c>
      <c r="C6" s="198" t="s">
        <v>18</v>
      </c>
      <c r="D6" s="198">
        <v>1.0</v>
      </c>
      <c r="E6" s="204">
        <v>10.0</v>
      </c>
      <c r="F6" s="204">
        <v>10.0</v>
      </c>
      <c r="G6" s="198" t="s">
        <v>45</v>
      </c>
      <c r="H6" s="198" t="s">
        <v>46</v>
      </c>
      <c r="I6" s="198" t="s">
        <v>6434</v>
      </c>
      <c r="J6" s="204">
        <v>0.0</v>
      </c>
      <c r="K6" s="204">
        <v>10.0</v>
      </c>
      <c r="L6" s="206">
        <v>1.0</v>
      </c>
      <c r="M6" s="199"/>
      <c r="N6" s="198" t="s">
        <v>8368</v>
      </c>
      <c r="O6" s="198" t="s">
        <v>1626</v>
      </c>
      <c r="P6" s="21" t="s">
        <v>22</v>
      </c>
      <c r="Q6" s="199"/>
      <c r="R6" s="199"/>
      <c r="S6" s="199"/>
      <c r="T6" s="199"/>
      <c r="U6" s="199"/>
      <c r="V6" s="199"/>
      <c r="W6" s="199"/>
      <c r="X6" s="199"/>
      <c r="Y6" s="199"/>
      <c r="Z6" s="199"/>
    </row>
    <row r="7">
      <c r="A7" s="203">
        <v>45899.0</v>
      </c>
      <c r="B7" s="198" t="s">
        <v>1920</v>
      </c>
      <c r="C7" s="198" t="s">
        <v>1542</v>
      </c>
      <c r="D7" s="198">
        <v>1.0</v>
      </c>
      <c r="E7" s="204">
        <v>7.0</v>
      </c>
      <c r="F7" s="204">
        <v>7.0</v>
      </c>
      <c r="G7" s="198" t="s">
        <v>45</v>
      </c>
      <c r="H7" s="198" t="s">
        <v>46</v>
      </c>
      <c r="I7" s="198" t="s">
        <v>6434</v>
      </c>
      <c r="J7" s="204">
        <v>0.5</v>
      </c>
      <c r="K7" s="204">
        <v>6.5</v>
      </c>
      <c r="L7" s="206">
        <v>0.9285714285714286</v>
      </c>
      <c r="M7" s="199"/>
      <c r="N7" s="198" t="s">
        <v>8369</v>
      </c>
      <c r="O7" s="198" t="s">
        <v>1626</v>
      </c>
      <c r="P7" s="21" t="s">
        <v>22</v>
      </c>
      <c r="Q7" s="199"/>
      <c r="R7" s="199"/>
      <c r="S7" s="199"/>
      <c r="T7" s="199"/>
      <c r="U7" s="199"/>
      <c r="V7" s="199"/>
      <c r="W7" s="199"/>
      <c r="X7" s="199"/>
      <c r="Y7" s="199"/>
      <c r="Z7" s="199"/>
    </row>
    <row r="8">
      <c r="A8" s="203">
        <v>45899.0</v>
      </c>
      <c r="B8" s="198" t="s">
        <v>1647</v>
      </c>
      <c r="C8" s="198" t="s">
        <v>1468</v>
      </c>
      <c r="D8" s="198">
        <v>1.0</v>
      </c>
      <c r="E8" s="204">
        <v>2.0</v>
      </c>
      <c r="F8" s="204">
        <v>2.0</v>
      </c>
      <c r="G8" s="198" t="s">
        <v>45</v>
      </c>
      <c r="H8" s="198" t="s">
        <v>46</v>
      </c>
      <c r="I8" s="198" t="s">
        <v>6434</v>
      </c>
      <c r="J8" s="204">
        <v>0.92</v>
      </c>
      <c r="K8" s="204">
        <v>1.08</v>
      </c>
      <c r="L8" s="206">
        <v>0.54</v>
      </c>
      <c r="M8" s="199"/>
      <c r="N8" s="198" t="s">
        <v>8370</v>
      </c>
      <c r="O8" s="198" t="s">
        <v>1626</v>
      </c>
      <c r="P8" s="21" t="s">
        <v>22</v>
      </c>
      <c r="Q8" s="199"/>
      <c r="R8" s="199"/>
      <c r="S8" s="199"/>
      <c r="T8" s="199"/>
      <c r="U8" s="199"/>
      <c r="V8" s="199"/>
      <c r="W8" s="199"/>
      <c r="X8" s="199"/>
      <c r="Y8" s="199"/>
      <c r="Z8" s="199"/>
    </row>
    <row r="9">
      <c r="A9" s="203">
        <v>45899.0</v>
      </c>
      <c r="B9" s="198" t="s">
        <v>1633</v>
      </c>
      <c r="C9" s="198" t="s">
        <v>1468</v>
      </c>
      <c r="D9" s="198">
        <v>1.0</v>
      </c>
      <c r="E9" s="204">
        <v>4.0</v>
      </c>
      <c r="F9" s="204">
        <v>4.0</v>
      </c>
      <c r="G9" s="198" t="s">
        <v>45</v>
      </c>
      <c r="H9" s="198" t="s">
        <v>46</v>
      </c>
      <c r="I9" s="198" t="s">
        <v>6434</v>
      </c>
      <c r="J9" s="204">
        <v>0.5</v>
      </c>
      <c r="K9" s="204">
        <v>3.5</v>
      </c>
      <c r="L9" s="206">
        <v>0.875</v>
      </c>
      <c r="M9" s="199"/>
      <c r="N9" s="198" t="s">
        <v>8371</v>
      </c>
      <c r="O9" s="198" t="s">
        <v>1626</v>
      </c>
      <c r="P9" s="21" t="s">
        <v>22</v>
      </c>
      <c r="Q9" s="199"/>
      <c r="R9" s="199"/>
      <c r="S9" s="199"/>
      <c r="T9" s="199"/>
      <c r="U9" s="199"/>
      <c r="V9" s="199"/>
      <c r="W9" s="199"/>
      <c r="X9" s="199"/>
      <c r="Y9" s="199"/>
      <c r="Z9" s="199"/>
    </row>
    <row r="10">
      <c r="A10" s="203">
        <v>45899.0</v>
      </c>
      <c r="B10" s="198" t="s">
        <v>1655</v>
      </c>
      <c r="C10" s="198" t="s">
        <v>1497</v>
      </c>
      <c r="D10" s="198">
        <v>1.0</v>
      </c>
      <c r="E10" s="204">
        <v>12.0</v>
      </c>
      <c r="F10" s="204">
        <v>12.0</v>
      </c>
      <c r="G10" s="198" t="s">
        <v>45</v>
      </c>
      <c r="H10" s="198" t="s">
        <v>46</v>
      </c>
      <c r="I10" s="198" t="s">
        <v>6434</v>
      </c>
      <c r="J10" s="204">
        <v>9.22</v>
      </c>
      <c r="K10" s="204">
        <v>2.7799999999999994</v>
      </c>
      <c r="L10" s="206">
        <v>0.2316666666666666</v>
      </c>
      <c r="M10" s="199"/>
      <c r="N10" s="198" t="s">
        <v>8372</v>
      </c>
      <c r="O10" s="198" t="s">
        <v>1626</v>
      </c>
      <c r="P10" s="21" t="s">
        <v>22</v>
      </c>
      <c r="Q10" s="199"/>
      <c r="R10" s="199"/>
      <c r="S10" s="199"/>
      <c r="T10" s="199"/>
      <c r="U10" s="199"/>
      <c r="V10" s="199"/>
      <c r="W10" s="199"/>
      <c r="X10" s="199"/>
      <c r="Y10" s="199"/>
      <c r="Z10" s="199"/>
    </row>
    <row r="11">
      <c r="A11" s="203">
        <v>45899.0</v>
      </c>
      <c r="B11" s="198" t="s">
        <v>1657</v>
      </c>
      <c r="C11" s="198" t="s">
        <v>1497</v>
      </c>
      <c r="D11" s="198">
        <v>1.0</v>
      </c>
      <c r="E11" s="204">
        <v>12.0</v>
      </c>
      <c r="F11" s="204">
        <v>12.0</v>
      </c>
      <c r="G11" s="198" t="s">
        <v>45</v>
      </c>
      <c r="H11" s="198" t="s">
        <v>46</v>
      </c>
      <c r="I11" s="198" t="s">
        <v>6434</v>
      </c>
      <c r="J11" s="204">
        <v>2.45</v>
      </c>
      <c r="K11" s="204">
        <v>9.55</v>
      </c>
      <c r="L11" s="206">
        <v>0.7958333333333334</v>
      </c>
      <c r="M11" s="199"/>
      <c r="N11" s="198" t="s">
        <v>8373</v>
      </c>
      <c r="O11" s="198" t="s">
        <v>1626</v>
      </c>
      <c r="P11" s="21" t="s">
        <v>22</v>
      </c>
      <c r="Q11" s="199"/>
      <c r="R11" s="199"/>
      <c r="S11" s="199"/>
      <c r="T11" s="199"/>
      <c r="U11" s="199"/>
      <c r="V11" s="199"/>
      <c r="W11" s="199"/>
      <c r="X11" s="199"/>
      <c r="Y11" s="199"/>
      <c r="Z11" s="199"/>
    </row>
    <row r="12">
      <c r="A12" s="203">
        <v>45899.0</v>
      </c>
      <c r="B12" s="198" t="s">
        <v>1635</v>
      </c>
      <c r="C12" s="198" t="s">
        <v>1497</v>
      </c>
      <c r="D12" s="198">
        <v>1.0</v>
      </c>
      <c r="E12" s="204">
        <v>9.0</v>
      </c>
      <c r="F12" s="204">
        <v>9.0</v>
      </c>
      <c r="G12" s="198" t="s">
        <v>45</v>
      </c>
      <c r="H12" s="198" t="s">
        <v>46</v>
      </c>
      <c r="I12" s="198" t="s">
        <v>6434</v>
      </c>
      <c r="J12" s="204">
        <v>2.24</v>
      </c>
      <c r="K12" s="204">
        <v>6.76</v>
      </c>
      <c r="L12" s="206">
        <v>0.7511111111111111</v>
      </c>
      <c r="M12" s="199"/>
      <c r="N12" s="198" t="s">
        <v>8374</v>
      </c>
      <c r="O12" s="198" t="s">
        <v>1626</v>
      </c>
      <c r="P12" s="21" t="s">
        <v>22</v>
      </c>
      <c r="Q12" s="199"/>
      <c r="R12" s="199"/>
      <c r="S12" s="199"/>
      <c r="T12" s="199"/>
      <c r="U12" s="199"/>
      <c r="V12" s="199"/>
      <c r="W12" s="199"/>
      <c r="X12" s="199"/>
      <c r="Y12" s="199"/>
      <c r="Z12" s="199"/>
    </row>
    <row r="13">
      <c r="A13" s="203">
        <v>45899.0</v>
      </c>
      <c r="B13" s="198" t="s">
        <v>1637</v>
      </c>
      <c r="C13" s="198" t="s">
        <v>1497</v>
      </c>
      <c r="D13" s="198">
        <v>1.0</v>
      </c>
      <c r="E13" s="204">
        <v>12.0</v>
      </c>
      <c r="F13" s="204">
        <v>12.0</v>
      </c>
      <c r="G13" s="198" t="s">
        <v>45</v>
      </c>
      <c r="H13" s="198" t="s">
        <v>46</v>
      </c>
      <c r="I13" s="198" t="s">
        <v>6434</v>
      </c>
      <c r="J13" s="204">
        <v>2.24</v>
      </c>
      <c r="K13" s="204">
        <v>9.76</v>
      </c>
      <c r="L13" s="206">
        <v>0.8133333333333334</v>
      </c>
      <c r="M13" s="199"/>
      <c r="N13" s="198" t="s">
        <v>8375</v>
      </c>
      <c r="O13" s="198" t="s">
        <v>1626</v>
      </c>
      <c r="P13" s="21" t="s">
        <v>22</v>
      </c>
      <c r="Q13" s="199"/>
      <c r="R13" s="199"/>
      <c r="S13" s="199"/>
      <c r="T13" s="199"/>
      <c r="U13" s="199"/>
      <c r="V13" s="199"/>
      <c r="W13" s="199"/>
      <c r="X13" s="199"/>
      <c r="Y13" s="199"/>
      <c r="Z13" s="199"/>
    </row>
    <row r="14">
      <c r="A14" s="203">
        <v>45899.0</v>
      </c>
      <c r="B14" s="198" t="s">
        <v>1625</v>
      </c>
      <c r="C14" s="198" t="s">
        <v>1474</v>
      </c>
      <c r="D14" s="198">
        <v>1.0</v>
      </c>
      <c r="E14" s="204">
        <v>10.0</v>
      </c>
      <c r="F14" s="204">
        <v>10.0</v>
      </c>
      <c r="G14" s="198" t="s">
        <v>45</v>
      </c>
      <c r="H14" s="198" t="s">
        <v>46</v>
      </c>
      <c r="I14" s="198" t="s">
        <v>6434</v>
      </c>
      <c r="J14" s="204">
        <v>2.61</v>
      </c>
      <c r="K14" s="204">
        <v>7.390000000000001</v>
      </c>
      <c r="L14" s="206">
        <v>0.7390000000000001</v>
      </c>
      <c r="M14" s="199"/>
      <c r="N14" s="198" t="s">
        <v>8376</v>
      </c>
      <c r="O14" s="198" t="s">
        <v>1626</v>
      </c>
      <c r="P14" s="21" t="s">
        <v>22</v>
      </c>
      <c r="Q14" s="199"/>
      <c r="R14" s="199"/>
      <c r="S14" s="199"/>
      <c r="T14" s="199"/>
      <c r="U14" s="199"/>
      <c r="V14" s="199"/>
      <c r="W14" s="199"/>
      <c r="X14" s="199"/>
      <c r="Y14" s="199"/>
      <c r="Z14" s="199"/>
    </row>
    <row r="15">
      <c r="A15" s="203">
        <v>45899.0</v>
      </c>
      <c r="B15" s="198" t="s">
        <v>1631</v>
      </c>
      <c r="C15" s="198" t="s">
        <v>1474</v>
      </c>
      <c r="D15" s="198">
        <v>1.0</v>
      </c>
      <c r="E15" s="204">
        <v>7.0</v>
      </c>
      <c r="F15" s="204">
        <v>7.0</v>
      </c>
      <c r="G15" s="198" t="s">
        <v>45</v>
      </c>
      <c r="H15" s="198" t="s">
        <v>46</v>
      </c>
      <c r="I15" s="198" t="s">
        <v>6434</v>
      </c>
      <c r="J15" s="204">
        <v>2.07</v>
      </c>
      <c r="K15" s="204">
        <v>4.93</v>
      </c>
      <c r="L15" s="206">
        <v>0.7042857142857143</v>
      </c>
      <c r="M15" s="199"/>
      <c r="N15" s="207">
        <v>9.64E41</v>
      </c>
      <c r="O15" s="198" t="s">
        <v>1626</v>
      </c>
      <c r="P15" s="21" t="s">
        <v>22</v>
      </c>
      <c r="Q15" s="199"/>
      <c r="R15" s="199"/>
      <c r="S15" s="199"/>
      <c r="T15" s="199"/>
      <c r="U15" s="199"/>
      <c r="V15" s="199"/>
      <c r="W15" s="199"/>
      <c r="X15" s="199"/>
      <c r="Y15" s="199"/>
      <c r="Z15" s="199"/>
    </row>
    <row r="16">
      <c r="A16" s="203">
        <v>45899.0</v>
      </c>
      <c r="B16" s="198" t="s">
        <v>1645</v>
      </c>
      <c r="C16" s="198" t="s">
        <v>1545</v>
      </c>
      <c r="D16" s="198">
        <v>1.0</v>
      </c>
      <c r="E16" s="204">
        <v>12.0</v>
      </c>
      <c r="F16" s="204">
        <v>12.0</v>
      </c>
      <c r="G16" s="198" t="s">
        <v>45</v>
      </c>
      <c r="H16" s="198" t="s">
        <v>46</v>
      </c>
      <c r="I16" s="198" t="s">
        <v>6434</v>
      </c>
      <c r="J16" s="204">
        <v>3.83</v>
      </c>
      <c r="K16" s="204">
        <v>8.17</v>
      </c>
      <c r="L16" s="206">
        <v>0.6808333333333333</v>
      </c>
      <c r="M16" s="199"/>
      <c r="N16" s="198" t="s">
        <v>8377</v>
      </c>
      <c r="O16" s="198" t="s">
        <v>1626</v>
      </c>
      <c r="P16" s="21" t="s">
        <v>22</v>
      </c>
      <c r="Q16" s="199"/>
      <c r="R16" s="199"/>
      <c r="S16" s="199"/>
      <c r="T16" s="199"/>
      <c r="U16" s="199"/>
      <c r="V16" s="199"/>
      <c r="W16" s="199"/>
      <c r="X16" s="199"/>
      <c r="Y16" s="199"/>
      <c r="Z16" s="199"/>
    </row>
    <row r="17">
      <c r="A17" s="203">
        <v>45899.0</v>
      </c>
      <c r="B17" s="198" t="s">
        <v>1639</v>
      </c>
      <c r="C17" s="198" t="s">
        <v>1527</v>
      </c>
      <c r="D17" s="198">
        <v>1.0</v>
      </c>
      <c r="E17" s="204">
        <v>10.0</v>
      </c>
      <c r="F17" s="204">
        <v>10.0</v>
      </c>
      <c r="G17" s="198" t="s">
        <v>45</v>
      </c>
      <c r="H17" s="198" t="s">
        <v>46</v>
      </c>
      <c r="I17" s="198" t="s">
        <v>6434</v>
      </c>
      <c r="J17" s="204">
        <v>10.49</v>
      </c>
      <c r="K17" s="204">
        <v>-0.4900000000000002</v>
      </c>
      <c r="L17" s="206">
        <v>-0.04900000000000002</v>
      </c>
      <c r="M17" s="199"/>
      <c r="N17" s="198" t="s">
        <v>8378</v>
      </c>
      <c r="O17" s="198" t="s">
        <v>1626</v>
      </c>
      <c r="P17" s="21" t="s">
        <v>22</v>
      </c>
      <c r="Q17" s="199"/>
      <c r="R17" s="199"/>
      <c r="S17" s="199"/>
      <c r="T17" s="199"/>
      <c r="U17" s="199"/>
      <c r="V17" s="199"/>
      <c r="W17" s="199"/>
      <c r="X17" s="199"/>
      <c r="Y17" s="199"/>
      <c r="Z17" s="199"/>
    </row>
    <row r="18">
      <c r="A18" s="203">
        <v>45899.0</v>
      </c>
      <c r="B18" s="198" t="s">
        <v>1641</v>
      </c>
      <c r="C18" s="198" t="s">
        <v>1527</v>
      </c>
      <c r="D18" s="198">
        <v>1.0</v>
      </c>
      <c r="E18" s="204">
        <v>10.0</v>
      </c>
      <c r="F18" s="204">
        <v>10.0</v>
      </c>
      <c r="G18" s="198" t="s">
        <v>45</v>
      </c>
      <c r="H18" s="198" t="s">
        <v>46</v>
      </c>
      <c r="I18" s="198" t="s">
        <v>6434</v>
      </c>
      <c r="J18" s="204">
        <v>10.49</v>
      </c>
      <c r="K18" s="204">
        <v>-0.4900000000000002</v>
      </c>
      <c r="L18" s="206">
        <v>-0.04900000000000002</v>
      </c>
      <c r="M18" s="199"/>
      <c r="N18" s="198" t="s">
        <v>8379</v>
      </c>
      <c r="O18" s="198" t="s">
        <v>1626</v>
      </c>
      <c r="P18" s="21" t="s">
        <v>22</v>
      </c>
      <c r="Q18" s="199"/>
      <c r="R18" s="199"/>
      <c r="S18" s="199"/>
      <c r="T18" s="199"/>
      <c r="U18" s="199"/>
      <c r="V18" s="199"/>
      <c r="W18" s="199"/>
      <c r="X18" s="199"/>
      <c r="Y18" s="199"/>
      <c r="Z18" s="199"/>
    </row>
    <row r="19">
      <c r="A19" s="203">
        <v>45899.0</v>
      </c>
      <c r="B19" s="198" t="s">
        <v>1679</v>
      </c>
      <c r="C19" s="198" t="s">
        <v>1675</v>
      </c>
      <c r="D19" s="198">
        <v>1.0</v>
      </c>
      <c r="E19" s="204">
        <v>10.0</v>
      </c>
      <c r="F19" s="204">
        <v>10.0</v>
      </c>
      <c r="G19" s="198" t="s">
        <v>45</v>
      </c>
      <c r="H19" s="198" t="s">
        <v>46</v>
      </c>
      <c r="I19" s="198" t="s">
        <v>6434</v>
      </c>
      <c r="J19" s="204">
        <v>5.84</v>
      </c>
      <c r="K19" s="204">
        <v>4.16</v>
      </c>
      <c r="L19" s="206">
        <v>0.41600000000000004</v>
      </c>
      <c r="M19" s="199"/>
      <c r="N19" s="198" t="s">
        <v>8380</v>
      </c>
      <c r="O19" s="198" t="s">
        <v>1626</v>
      </c>
      <c r="P19" s="21" t="s">
        <v>22</v>
      </c>
      <c r="Q19" s="199"/>
      <c r="R19" s="199"/>
      <c r="S19" s="199"/>
      <c r="T19" s="199"/>
      <c r="U19" s="199"/>
      <c r="V19" s="199"/>
      <c r="W19" s="199"/>
      <c r="X19" s="199"/>
      <c r="Y19" s="199"/>
      <c r="Z19" s="199"/>
    </row>
    <row r="20">
      <c r="A20" s="203">
        <v>45899.0</v>
      </c>
      <c r="B20" s="198" t="s">
        <v>1681</v>
      </c>
      <c r="C20" s="198" t="s">
        <v>1675</v>
      </c>
      <c r="D20" s="198">
        <v>1.0</v>
      </c>
      <c r="E20" s="204">
        <v>10.0</v>
      </c>
      <c r="F20" s="204">
        <v>10.0</v>
      </c>
      <c r="G20" s="198" t="s">
        <v>45</v>
      </c>
      <c r="H20" s="198" t="s">
        <v>46</v>
      </c>
      <c r="I20" s="198" t="s">
        <v>6434</v>
      </c>
      <c r="J20" s="204">
        <v>5.84</v>
      </c>
      <c r="K20" s="204">
        <v>4.16</v>
      </c>
      <c r="L20" s="206">
        <v>0.41600000000000004</v>
      </c>
      <c r="M20" s="199"/>
      <c r="N20" s="198" t="s">
        <v>8381</v>
      </c>
      <c r="O20" s="198" t="s">
        <v>1626</v>
      </c>
      <c r="P20" s="21" t="s">
        <v>22</v>
      </c>
      <c r="Q20" s="199"/>
      <c r="R20" s="199"/>
      <c r="S20" s="199"/>
      <c r="T20" s="199"/>
      <c r="U20" s="199"/>
      <c r="V20" s="199"/>
      <c r="W20" s="199"/>
      <c r="X20" s="199"/>
      <c r="Y20" s="199"/>
      <c r="Z20" s="199"/>
    </row>
    <row r="21">
      <c r="A21" s="203">
        <v>45911.0</v>
      </c>
      <c r="B21" s="198" t="s">
        <v>1918</v>
      </c>
      <c r="C21" s="198" t="s">
        <v>1497</v>
      </c>
      <c r="D21" s="198">
        <v>1.0</v>
      </c>
      <c r="E21" s="204">
        <v>20.0</v>
      </c>
      <c r="F21" s="204">
        <v>20.0</v>
      </c>
      <c r="G21" s="198" t="s">
        <v>45</v>
      </c>
      <c r="H21" s="198" t="s">
        <v>46</v>
      </c>
      <c r="I21" s="198" t="s">
        <v>8382</v>
      </c>
      <c r="J21" s="204">
        <v>9.15</v>
      </c>
      <c r="K21" s="204">
        <v>10.85</v>
      </c>
      <c r="L21" s="206">
        <v>0.5425</v>
      </c>
      <c r="M21" s="199"/>
      <c r="N21" s="198" t="s">
        <v>8383</v>
      </c>
      <c r="O21" s="198" t="s">
        <v>1626</v>
      </c>
      <c r="P21" s="21" t="s">
        <v>22</v>
      </c>
      <c r="Q21" s="199"/>
      <c r="R21" s="199"/>
      <c r="S21" s="199"/>
      <c r="T21" s="199"/>
      <c r="U21" s="199"/>
      <c r="V21" s="199"/>
      <c r="W21" s="199"/>
      <c r="X21" s="199"/>
      <c r="Y21" s="199"/>
      <c r="Z21" s="199"/>
    </row>
    <row r="22">
      <c r="A22" s="203">
        <v>45913.0</v>
      </c>
      <c r="B22" s="198" t="s">
        <v>1740</v>
      </c>
      <c r="C22" s="198" t="s">
        <v>1468</v>
      </c>
      <c r="D22" s="198">
        <v>1.0</v>
      </c>
      <c r="E22" s="204">
        <v>4.0</v>
      </c>
      <c r="F22" s="204">
        <v>4.0</v>
      </c>
      <c r="G22" s="198" t="s">
        <v>45</v>
      </c>
      <c r="H22" s="198" t="s">
        <v>46</v>
      </c>
      <c r="I22" s="198" t="s">
        <v>8382</v>
      </c>
      <c r="J22" s="204">
        <v>0.5</v>
      </c>
      <c r="K22" s="204">
        <v>3.5</v>
      </c>
      <c r="L22" s="206">
        <v>0.875</v>
      </c>
      <c r="M22" s="199"/>
      <c r="N22" s="198" t="s">
        <v>8384</v>
      </c>
      <c r="O22" s="198" t="s">
        <v>1626</v>
      </c>
      <c r="P22" s="21" t="s">
        <v>22</v>
      </c>
      <c r="Q22" s="199"/>
      <c r="R22" s="199"/>
      <c r="S22" s="199"/>
      <c r="T22" s="199"/>
      <c r="U22" s="199"/>
      <c r="V22" s="199"/>
      <c r="W22" s="199"/>
      <c r="X22" s="199"/>
      <c r="Y22" s="199"/>
      <c r="Z22" s="199"/>
    </row>
    <row r="23">
      <c r="A23" s="203">
        <v>45913.0</v>
      </c>
      <c r="B23" s="198" t="s">
        <v>1734</v>
      </c>
      <c r="C23" s="198" t="s">
        <v>1675</v>
      </c>
      <c r="D23" s="198">
        <v>1.0</v>
      </c>
      <c r="E23" s="204">
        <v>10.0</v>
      </c>
      <c r="F23" s="204">
        <v>10.0</v>
      </c>
      <c r="G23" s="198" t="s">
        <v>45</v>
      </c>
      <c r="H23" s="198" t="s">
        <v>46</v>
      </c>
      <c r="I23" s="198" t="s">
        <v>8382</v>
      </c>
      <c r="J23" s="204">
        <v>5.84</v>
      </c>
      <c r="K23" s="204">
        <v>4.16</v>
      </c>
      <c r="L23" s="206">
        <v>0.41600000000000004</v>
      </c>
      <c r="M23" s="199"/>
      <c r="N23" s="198" t="s">
        <v>8385</v>
      </c>
      <c r="O23" s="198" t="s">
        <v>1626</v>
      </c>
      <c r="P23" s="21" t="s">
        <v>22</v>
      </c>
      <c r="Q23" s="199"/>
      <c r="R23" s="199"/>
      <c r="S23" s="199"/>
      <c r="T23" s="199"/>
      <c r="U23" s="199"/>
      <c r="V23" s="199"/>
      <c r="W23" s="199"/>
      <c r="X23" s="199"/>
      <c r="Y23" s="199"/>
      <c r="Z23" s="199"/>
    </row>
    <row r="24">
      <c r="A24" s="203">
        <v>45913.0</v>
      </c>
      <c r="B24" s="198" t="s">
        <v>1736</v>
      </c>
      <c r="C24" s="198" t="s">
        <v>1684</v>
      </c>
      <c r="D24" s="198">
        <v>1.0</v>
      </c>
      <c r="E24" s="204">
        <v>8.0</v>
      </c>
      <c r="F24" s="204">
        <v>8.0</v>
      </c>
      <c r="G24" s="198" t="s">
        <v>45</v>
      </c>
      <c r="H24" s="198" t="s">
        <v>46</v>
      </c>
      <c r="I24" s="198" t="s">
        <v>8382</v>
      </c>
      <c r="J24" s="204">
        <v>4.71</v>
      </c>
      <c r="K24" s="204">
        <v>3.29</v>
      </c>
      <c r="L24" s="206">
        <v>0.41125</v>
      </c>
      <c r="M24" s="199"/>
      <c r="N24" s="198" t="s">
        <v>8386</v>
      </c>
      <c r="O24" s="198" t="s">
        <v>1626</v>
      </c>
      <c r="P24" s="21" t="s">
        <v>22</v>
      </c>
      <c r="Q24" s="199"/>
      <c r="R24" s="199"/>
      <c r="S24" s="199"/>
      <c r="T24" s="199"/>
      <c r="U24" s="199"/>
      <c r="V24" s="199"/>
      <c r="W24" s="199"/>
      <c r="X24" s="199"/>
      <c r="Y24" s="199"/>
      <c r="Z24" s="199"/>
    </row>
    <row r="25">
      <c r="A25" s="203">
        <v>45913.0</v>
      </c>
      <c r="B25" s="198" t="s">
        <v>1742</v>
      </c>
      <c r="C25" s="198" t="s">
        <v>1497</v>
      </c>
      <c r="D25" s="198">
        <v>1.0</v>
      </c>
      <c r="E25" s="204">
        <v>8.0</v>
      </c>
      <c r="F25" s="204">
        <v>8.0</v>
      </c>
      <c r="G25" s="198" t="s">
        <v>45</v>
      </c>
      <c r="H25" s="198" t="s">
        <v>46</v>
      </c>
      <c r="I25" s="198" t="s">
        <v>8382</v>
      </c>
      <c r="J25" s="204">
        <v>8.3</v>
      </c>
      <c r="K25" s="204">
        <v>-0.3000000000000007</v>
      </c>
      <c r="L25" s="206">
        <v>-0.03750000000000009</v>
      </c>
      <c r="M25" s="199"/>
      <c r="N25" s="198" t="s">
        <v>8387</v>
      </c>
      <c r="O25" s="198" t="s">
        <v>1626</v>
      </c>
      <c r="P25" s="21" t="s">
        <v>22</v>
      </c>
      <c r="Q25" s="199"/>
      <c r="R25" s="199"/>
      <c r="S25" s="199"/>
      <c r="T25" s="199"/>
      <c r="U25" s="199"/>
      <c r="V25" s="199"/>
      <c r="W25" s="199"/>
      <c r="X25" s="199"/>
      <c r="Y25" s="199"/>
      <c r="Z25" s="199"/>
    </row>
    <row r="26">
      <c r="A26" s="203">
        <v>45913.0</v>
      </c>
      <c r="B26" s="198" t="s">
        <v>1738</v>
      </c>
      <c r="C26" s="198" t="s">
        <v>1605</v>
      </c>
      <c r="D26" s="198">
        <v>1.0</v>
      </c>
      <c r="E26" s="204">
        <v>8.0</v>
      </c>
      <c r="F26" s="204">
        <v>8.0</v>
      </c>
      <c r="G26" s="198" t="s">
        <v>45</v>
      </c>
      <c r="H26" s="198" t="s">
        <v>46</v>
      </c>
      <c r="I26" s="198" t="s">
        <v>8382</v>
      </c>
      <c r="J26" s="204">
        <v>3.83</v>
      </c>
      <c r="K26" s="204">
        <v>4.17</v>
      </c>
      <c r="L26" s="206">
        <v>0.52125</v>
      </c>
      <c r="M26" s="199"/>
      <c r="N26" s="198" t="s">
        <v>8388</v>
      </c>
      <c r="O26" s="198" t="s">
        <v>1626</v>
      </c>
      <c r="P26" s="21" t="s">
        <v>22</v>
      </c>
      <c r="Q26" s="199"/>
      <c r="R26" s="199"/>
      <c r="S26" s="199"/>
      <c r="T26" s="199"/>
      <c r="U26" s="199"/>
      <c r="V26" s="199"/>
      <c r="W26" s="199"/>
      <c r="X26" s="199"/>
      <c r="Y26" s="199"/>
      <c r="Z26" s="199"/>
    </row>
    <row r="27">
      <c r="A27" s="203">
        <v>45913.0</v>
      </c>
      <c r="B27" s="198" t="s">
        <v>1744</v>
      </c>
      <c r="C27" s="198" t="s">
        <v>1468</v>
      </c>
      <c r="D27" s="198">
        <v>1.0</v>
      </c>
      <c r="E27" s="204">
        <v>2.0</v>
      </c>
      <c r="F27" s="204">
        <v>2.0</v>
      </c>
      <c r="G27" s="198" t="s">
        <v>45</v>
      </c>
      <c r="H27" s="198" t="s">
        <v>46</v>
      </c>
      <c r="I27" s="198" t="s">
        <v>8382</v>
      </c>
      <c r="J27" s="204">
        <v>0.92</v>
      </c>
      <c r="K27" s="204">
        <v>1.08</v>
      </c>
      <c r="L27" s="206">
        <v>0.54</v>
      </c>
      <c r="M27" s="199"/>
      <c r="N27" s="198" t="s">
        <v>8389</v>
      </c>
      <c r="O27" s="198" t="s">
        <v>1626</v>
      </c>
      <c r="P27" s="21" t="s">
        <v>22</v>
      </c>
      <c r="Q27" s="199"/>
      <c r="R27" s="199"/>
      <c r="S27" s="199"/>
      <c r="T27" s="199"/>
      <c r="U27" s="199"/>
      <c r="V27" s="199"/>
      <c r="W27" s="199"/>
      <c r="X27" s="199"/>
      <c r="Y27" s="199"/>
      <c r="Z27" s="199"/>
    </row>
    <row r="28">
      <c r="A28" s="203">
        <v>45913.0</v>
      </c>
      <c r="B28" s="198" t="s">
        <v>8390</v>
      </c>
      <c r="C28" s="198" t="s">
        <v>8391</v>
      </c>
      <c r="D28" s="198">
        <v>1.0</v>
      </c>
      <c r="E28" s="204">
        <v>14.0</v>
      </c>
      <c r="F28" s="204">
        <v>14.0</v>
      </c>
      <c r="G28" s="198" t="s">
        <v>45</v>
      </c>
      <c r="H28" s="198" t="s">
        <v>46</v>
      </c>
      <c r="I28" s="198" t="s">
        <v>8382</v>
      </c>
      <c r="J28" s="204">
        <v>7.0</v>
      </c>
      <c r="K28" s="204">
        <v>7.0</v>
      </c>
      <c r="L28" s="206">
        <v>0.5</v>
      </c>
      <c r="M28" s="199"/>
      <c r="N28" s="198" t="s">
        <v>8392</v>
      </c>
      <c r="O28" s="198" t="s">
        <v>1626</v>
      </c>
      <c r="P28" s="21" t="s">
        <v>22</v>
      </c>
      <c r="Q28" s="199"/>
      <c r="R28" s="199"/>
      <c r="S28" s="199"/>
      <c r="T28" s="199"/>
      <c r="U28" s="199"/>
      <c r="V28" s="199"/>
      <c r="W28" s="199"/>
      <c r="X28" s="199"/>
      <c r="Y28" s="199"/>
      <c r="Z28" s="199"/>
    </row>
    <row r="29">
      <c r="A29" s="203">
        <v>45914.0</v>
      </c>
      <c r="B29" s="198" t="s">
        <v>1749</v>
      </c>
      <c r="C29" s="198" t="s">
        <v>1542</v>
      </c>
      <c r="D29" s="198">
        <v>1.0</v>
      </c>
      <c r="E29" s="204">
        <v>6.0</v>
      </c>
      <c r="F29" s="204">
        <v>6.0</v>
      </c>
      <c r="G29" s="198" t="s">
        <v>45</v>
      </c>
      <c r="H29" s="198" t="s">
        <v>46</v>
      </c>
      <c r="I29" s="198" t="s">
        <v>8363</v>
      </c>
      <c r="J29" s="204">
        <v>0.5</v>
      </c>
      <c r="K29" s="204">
        <v>5.5</v>
      </c>
      <c r="L29" s="206">
        <v>0.9166666666666666</v>
      </c>
      <c r="M29" s="199"/>
      <c r="N29" s="198" t="s">
        <v>8393</v>
      </c>
      <c r="O29" s="198" t="s">
        <v>1626</v>
      </c>
      <c r="P29" s="21" t="s">
        <v>22</v>
      </c>
      <c r="Q29" s="199"/>
      <c r="R29" s="199"/>
      <c r="S29" s="199"/>
      <c r="T29" s="199"/>
      <c r="U29" s="199"/>
      <c r="V29" s="199"/>
      <c r="W29" s="199"/>
      <c r="X29" s="199"/>
      <c r="Y29" s="199"/>
      <c r="Z29" s="199"/>
    </row>
    <row r="30">
      <c r="A30" s="203">
        <v>45920.0</v>
      </c>
      <c r="B30" s="198" t="s">
        <v>1801</v>
      </c>
      <c r="C30" s="198" t="s">
        <v>1802</v>
      </c>
      <c r="D30" s="198">
        <v>1.0</v>
      </c>
      <c r="E30" s="204">
        <v>30.0</v>
      </c>
      <c r="F30" s="204">
        <v>30.0</v>
      </c>
      <c r="G30" s="198" t="s">
        <v>45</v>
      </c>
      <c r="H30" s="198" t="s">
        <v>46</v>
      </c>
      <c r="I30" s="198" t="s">
        <v>8394</v>
      </c>
      <c r="J30" s="204">
        <v>9.5</v>
      </c>
      <c r="K30" s="204">
        <v>20.5</v>
      </c>
      <c r="L30" s="206">
        <v>0.6833333333333333</v>
      </c>
      <c r="M30" s="199"/>
      <c r="N30" s="198" t="s">
        <v>8395</v>
      </c>
      <c r="O30" s="198" t="s">
        <v>1626</v>
      </c>
      <c r="P30" s="21" t="s">
        <v>22</v>
      </c>
      <c r="Q30" s="199"/>
      <c r="R30" s="199"/>
      <c r="S30" s="199"/>
      <c r="T30" s="199"/>
      <c r="U30" s="199"/>
      <c r="V30" s="199"/>
      <c r="W30" s="199"/>
      <c r="X30" s="199"/>
      <c r="Y30" s="199"/>
      <c r="Z30" s="199"/>
    </row>
    <row r="31">
      <c r="A31" s="203">
        <v>45920.0</v>
      </c>
      <c r="B31" s="198" t="s">
        <v>1797</v>
      </c>
      <c r="C31" s="198" t="s">
        <v>1605</v>
      </c>
      <c r="D31" s="198">
        <v>1.0</v>
      </c>
      <c r="E31" s="204">
        <v>10.0</v>
      </c>
      <c r="F31" s="204">
        <v>10.0</v>
      </c>
      <c r="G31" s="198" t="s">
        <v>45</v>
      </c>
      <c r="H31" s="198" t="s">
        <v>46</v>
      </c>
      <c r="I31" s="198" t="s">
        <v>8394</v>
      </c>
      <c r="J31" s="204">
        <v>3.83</v>
      </c>
      <c r="K31" s="204">
        <v>6.17</v>
      </c>
      <c r="L31" s="206">
        <v>0.617</v>
      </c>
      <c r="M31" s="199"/>
      <c r="N31" s="198" t="s">
        <v>8396</v>
      </c>
      <c r="O31" s="198" t="s">
        <v>1626</v>
      </c>
      <c r="P31" s="21" t="s">
        <v>22</v>
      </c>
      <c r="Q31" s="199"/>
      <c r="R31" s="199"/>
      <c r="S31" s="199"/>
      <c r="T31" s="199"/>
      <c r="U31" s="199"/>
      <c r="V31" s="199"/>
      <c r="W31" s="199"/>
      <c r="X31" s="199"/>
      <c r="Y31" s="199"/>
      <c r="Z31" s="199"/>
    </row>
    <row r="32">
      <c r="A32" s="203">
        <v>45920.0</v>
      </c>
      <c r="B32" s="198" t="s">
        <v>1795</v>
      </c>
      <c r="C32" s="198" t="s">
        <v>1474</v>
      </c>
      <c r="D32" s="198">
        <v>1.0</v>
      </c>
      <c r="E32" s="204">
        <v>7.0</v>
      </c>
      <c r="F32" s="204">
        <v>7.0</v>
      </c>
      <c r="G32" s="198" t="s">
        <v>45</v>
      </c>
      <c r="H32" s="198" t="s">
        <v>46</v>
      </c>
      <c r="I32" s="198" t="s">
        <v>8394</v>
      </c>
      <c r="J32" s="204">
        <v>4.39</v>
      </c>
      <c r="K32" s="204">
        <v>2.6100000000000003</v>
      </c>
      <c r="L32" s="206">
        <v>0.3728571428571429</v>
      </c>
      <c r="M32" s="199"/>
      <c r="N32" s="198" t="s">
        <v>8397</v>
      </c>
      <c r="O32" s="198" t="s">
        <v>1626</v>
      </c>
      <c r="P32" s="21" t="s">
        <v>22</v>
      </c>
      <c r="Q32" s="199"/>
      <c r="R32" s="199"/>
      <c r="S32" s="199"/>
      <c r="T32" s="199"/>
      <c r="U32" s="199"/>
      <c r="V32" s="199"/>
      <c r="W32" s="199"/>
      <c r="X32" s="199"/>
      <c r="Y32" s="199"/>
      <c r="Z32" s="199"/>
    </row>
    <row r="33">
      <c r="A33" s="203">
        <v>45920.0</v>
      </c>
      <c r="B33" s="198" t="s">
        <v>1799</v>
      </c>
      <c r="C33" s="198" t="s">
        <v>1474</v>
      </c>
      <c r="D33" s="198">
        <v>1.0</v>
      </c>
      <c r="E33" s="204">
        <v>7.0</v>
      </c>
      <c r="F33" s="204">
        <v>7.0</v>
      </c>
      <c r="G33" s="198" t="s">
        <v>45</v>
      </c>
      <c r="H33" s="198" t="s">
        <v>46</v>
      </c>
      <c r="I33" s="198" t="s">
        <v>8394</v>
      </c>
      <c r="J33" s="204">
        <v>2.7</v>
      </c>
      <c r="K33" s="204">
        <v>4.3</v>
      </c>
      <c r="L33" s="206">
        <v>0.6142857142857142</v>
      </c>
      <c r="M33" s="199"/>
      <c r="N33" s="198" t="s">
        <v>8398</v>
      </c>
      <c r="O33" s="198" t="s">
        <v>1626</v>
      </c>
      <c r="P33" s="21" t="s">
        <v>22</v>
      </c>
      <c r="Q33" s="199"/>
      <c r="R33" s="199"/>
      <c r="S33" s="199"/>
      <c r="T33" s="199"/>
      <c r="U33" s="199"/>
      <c r="V33" s="199"/>
      <c r="W33" s="199"/>
      <c r="X33" s="199"/>
      <c r="Y33" s="199"/>
      <c r="Z33" s="199"/>
    </row>
    <row r="34">
      <c r="A34" s="203">
        <v>45920.0</v>
      </c>
      <c r="B34" s="198" t="s">
        <v>1791</v>
      </c>
      <c r="C34" s="198" t="s">
        <v>1684</v>
      </c>
      <c r="D34" s="198">
        <v>1.0</v>
      </c>
      <c r="E34" s="204">
        <v>6.0</v>
      </c>
      <c r="F34" s="204">
        <v>6.0</v>
      </c>
      <c r="G34" s="198" t="s">
        <v>45</v>
      </c>
      <c r="H34" s="198" t="s">
        <v>46</v>
      </c>
      <c r="I34" s="198" t="s">
        <v>8394</v>
      </c>
      <c r="J34" s="204">
        <v>4.71</v>
      </c>
      <c r="K34" s="204">
        <v>1.29</v>
      </c>
      <c r="L34" s="206">
        <v>0.215</v>
      </c>
      <c r="M34" s="199"/>
      <c r="N34" s="198" t="s">
        <v>8399</v>
      </c>
      <c r="O34" s="198" t="s">
        <v>1626</v>
      </c>
      <c r="P34" s="21" t="s">
        <v>22</v>
      </c>
      <c r="Q34" s="199"/>
      <c r="R34" s="199"/>
      <c r="S34" s="199"/>
      <c r="T34" s="199"/>
      <c r="U34" s="199"/>
      <c r="V34" s="199"/>
      <c r="W34" s="199"/>
      <c r="X34" s="199"/>
      <c r="Y34" s="199"/>
      <c r="Z34" s="199"/>
    </row>
    <row r="35">
      <c r="A35" s="203">
        <v>45920.0</v>
      </c>
      <c r="B35" s="198" t="s">
        <v>1793</v>
      </c>
      <c r="C35" s="198" t="s">
        <v>1588</v>
      </c>
      <c r="D35" s="198">
        <v>1.0</v>
      </c>
      <c r="E35" s="204">
        <v>10.0</v>
      </c>
      <c r="F35" s="204">
        <v>10.0</v>
      </c>
      <c r="G35" s="198" t="s">
        <v>80</v>
      </c>
      <c r="H35" s="208" t="s">
        <v>8400</v>
      </c>
      <c r="I35" s="198" t="s">
        <v>8394</v>
      </c>
      <c r="J35" s="204">
        <v>3.37</v>
      </c>
      <c r="K35" s="204">
        <v>6.63</v>
      </c>
      <c r="L35" s="206">
        <v>0.663</v>
      </c>
      <c r="M35" s="198" t="s">
        <v>1166</v>
      </c>
      <c r="N35" s="198" t="s">
        <v>8401</v>
      </c>
      <c r="O35" s="198" t="s">
        <v>1626</v>
      </c>
      <c r="P35" s="21" t="s">
        <v>22</v>
      </c>
      <c r="Q35" s="199"/>
      <c r="R35" s="199"/>
      <c r="S35" s="199"/>
      <c r="T35" s="199"/>
      <c r="U35" s="199"/>
      <c r="V35" s="199"/>
      <c r="W35" s="199"/>
      <c r="X35" s="199"/>
      <c r="Y35" s="199"/>
      <c r="Z35" s="199"/>
    </row>
    <row r="36">
      <c r="A36" s="203">
        <v>45957.0</v>
      </c>
      <c r="B36" s="198" t="s">
        <v>1942</v>
      </c>
      <c r="C36" s="198" t="s">
        <v>1849</v>
      </c>
      <c r="D36" s="198">
        <v>1.0</v>
      </c>
      <c r="E36" s="204">
        <v>10.0</v>
      </c>
      <c r="F36" s="204">
        <v>10.0</v>
      </c>
      <c r="G36" s="198" t="s">
        <v>80</v>
      </c>
      <c r="H36" s="199"/>
      <c r="I36" s="198" t="s">
        <v>1221</v>
      </c>
      <c r="J36" s="204">
        <v>13.35</v>
      </c>
      <c r="K36" s="204">
        <v>-3.3499999999999996</v>
      </c>
      <c r="L36" s="206">
        <v>-0.33499999999999996</v>
      </c>
      <c r="M36" s="199"/>
      <c r="N36" s="198" t="s">
        <v>8402</v>
      </c>
      <c r="O36" s="198" t="s">
        <v>1626</v>
      </c>
      <c r="P36" s="21" t="s">
        <v>22</v>
      </c>
      <c r="Q36" s="199"/>
      <c r="R36" s="199"/>
      <c r="S36" s="199"/>
      <c r="T36" s="199"/>
      <c r="U36" s="199"/>
      <c r="V36" s="199"/>
      <c r="W36" s="199"/>
      <c r="X36" s="199"/>
      <c r="Y36" s="199"/>
      <c r="Z36" s="199"/>
    </row>
    <row r="37">
      <c r="A37" s="203">
        <v>45957.0</v>
      </c>
      <c r="B37" s="198" t="s">
        <v>1944</v>
      </c>
      <c r="C37" s="198" t="s">
        <v>1691</v>
      </c>
      <c r="D37" s="198">
        <v>1.0</v>
      </c>
      <c r="E37" s="204">
        <v>10.0</v>
      </c>
      <c r="F37" s="204">
        <v>10.0</v>
      </c>
      <c r="G37" s="198" t="s">
        <v>80</v>
      </c>
      <c r="H37" s="199"/>
      <c r="I37" s="198" t="s">
        <v>1221</v>
      </c>
      <c r="J37" s="204">
        <v>15.75</v>
      </c>
      <c r="K37" s="204">
        <v>-5.75</v>
      </c>
      <c r="L37" s="206">
        <v>-0.575</v>
      </c>
      <c r="M37" s="199"/>
      <c r="N37" s="198" t="s">
        <v>8403</v>
      </c>
      <c r="O37" s="198" t="s">
        <v>1626</v>
      </c>
      <c r="P37" s="21" t="s">
        <v>22</v>
      </c>
      <c r="Q37" s="199"/>
      <c r="R37" s="199"/>
      <c r="S37" s="199"/>
      <c r="T37" s="199"/>
      <c r="U37" s="199"/>
      <c r="V37" s="199"/>
      <c r="W37" s="199"/>
      <c r="X37" s="199"/>
      <c r="Y37" s="199"/>
      <c r="Z37" s="199"/>
    </row>
    <row r="38">
      <c r="A38" s="203">
        <v>45957.0</v>
      </c>
      <c r="B38" s="198" t="s">
        <v>1928</v>
      </c>
      <c r="C38" s="198" t="s">
        <v>1665</v>
      </c>
      <c r="D38" s="198">
        <v>1.0</v>
      </c>
      <c r="E38" s="204">
        <v>15.0</v>
      </c>
      <c r="F38" s="204">
        <v>15.0</v>
      </c>
      <c r="G38" s="198" t="s">
        <v>80</v>
      </c>
      <c r="H38" s="199"/>
      <c r="I38" s="198" t="s">
        <v>1221</v>
      </c>
      <c r="J38" s="204">
        <v>10.58</v>
      </c>
      <c r="K38" s="204">
        <v>4.42</v>
      </c>
      <c r="L38" s="206">
        <v>0.2946666666666667</v>
      </c>
      <c r="M38" s="199"/>
      <c r="N38" s="198" t="s">
        <v>8404</v>
      </c>
      <c r="O38" s="198" t="s">
        <v>1626</v>
      </c>
      <c r="P38" s="21" t="s">
        <v>22</v>
      </c>
      <c r="Q38" s="199"/>
      <c r="R38" s="199"/>
      <c r="S38" s="199"/>
      <c r="T38" s="199"/>
      <c r="U38" s="199"/>
      <c r="V38" s="199"/>
      <c r="W38" s="199"/>
      <c r="X38" s="199"/>
      <c r="Y38" s="199"/>
      <c r="Z38" s="199"/>
    </row>
    <row r="39">
      <c r="A39" s="203">
        <v>45959.0</v>
      </c>
      <c r="B39" s="198" t="s">
        <v>1985</v>
      </c>
      <c r="C39" s="198" t="s">
        <v>1747</v>
      </c>
      <c r="D39" s="198">
        <v>1.0</v>
      </c>
      <c r="E39" s="204">
        <v>5.0</v>
      </c>
      <c r="F39" s="204">
        <v>5.0</v>
      </c>
      <c r="G39" s="198" t="s">
        <v>80</v>
      </c>
      <c r="H39" s="199"/>
      <c r="I39" s="198" t="s">
        <v>1221</v>
      </c>
      <c r="J39" s="204">
        <v>2.29</v>
      </c>
      <c r="K39" s="204">
        <v>2.71</v>
      </c>
      <c r="L39" s="206">
        <v>0.542</v>
      </c>
      <c r="M39" s="199"/>
      <c r="N39" s="198" t="s">
        <v>8405</v>
      </c>
      <c r="O39" s="198" t="s">
        <v>1626</v>
      </c>
      <c r="P39" s="21" t="s">
        <v>22</v>
      </c>
      <c r="Q39" s="199"/>
      <c r="R39" s="199"/>
      <c r="S39" s="199"/>
      <c r="T39" s="199"/>
      <c r="U39" s="199"/>
      <c r="V39" s="199"/>
      <c r="W39" s="199"/>
      <c r="X39" s="199"/>
      <c r="Y39" s="199"/>
      <c r="Z39" s="199"/>
    </row>
    <row r="40">
      <c r="A40" s="203">
        <v>45959.0</v>
      </c>
      <c r="B40" s="198" t="s">
        <v>2007</v>
      </c>
      <c r="C40" s="198" t="s">
        <v>1691</v>
      </c>
      <c r="D40" s="198">
        <v>1.0</v>
      </c>
      <c r="E40" s="204">
        <v>10.0</v>
      </c>
      <c r="F40" s="204">
        <v>10.0</v>
      </c>
      <c r="G40" s="198" t="s">
        <v>80</v>
      </c>
      <c r="H40" s="199"/>
      <c r="I40" s="198" t="s">
        <v>1221</v>
      </c>
      <c r="J40" s="204">
        <v>15.75</v>
      </c>
      <c r="K40" s="204">
        <v>-5.75</v>
      </c>
      <c r="L40" s="206">
        <v>-0.575</v>
      </c>
      <c r="M40" s="199"/>
      <c r="N40" s="198" t="s">
        <v>8406</v>
      </c>
      <c r="O40" s="198" t="s">
        <v>1626</v>
      </c>
      <c r="P40" s="21" t="s">
        <v>22</v>
      </c>
      <c r="Q40" s="199"/>
      <c r="R40" s="199"/>
      <c r="S40" s="199"/>
      <c r="T40" s="199"/>
      <c r="U40" s="199"/>
      <c r="V40" s="199"/>
      <c r="W40" s="199"/>
      <c r="X40" s="199"/>
      <c r="Y40" s="199"/>
      <c r="Z40" s="199"/>
    </row>
    <row r="41">
      <c r="A41" s="203">
        <v>45959.0</v>
      </c>
      <c r="B41" s="198" t="s">
        <v>2003</v>
      </c>
      <c r="C41" s="198" t="s">
        <v>1849</v>
      </c>
      <c r="D41" s="198">
        <v>1.0</v>
      </c>
      <c r="E41" s="204">
        <v>14.0</v>
      </c>
      <c r="F41" s="204">
        <v>14.0</v>
      </c>
      <c r="G41" s="198" t="s">
        <v>80</v>
      </c>
      <c r="H41" s="199"/>
      <c r="I41" s="198" t="s">
        <v>1221</v>
      </c>
      <c r="J41" s="204">
        <v>13.35</v>
      </c>
      <c r="K41" s="204">
        <v>0.6500000000000004</v>
      </c>
      <c r="L41" s="206">
        <v>0.04642857142857145</v>
      </c>
      <c r="M41" s="199"/>
      <c r="N41" s="198" t="s">
        <v>8407</v>
      </c>
      <c r="O41" s="198" t="s">
        <v>1626</v>
      </c>
      <c r="P41" s="21" t="s">
        <v>22</v>
      </c>
      <c r="Q41" s="199"/>
      <c r="R41" s="199"/>
      <c r="S41" s="199"/>
      <c r="T41" s="199"/>
      <c r="U41" s="199"/>
      <c r="V41" s="199"/>
      <c r="W41" s="199"/>
      <c r="X41" s="199"/>
      <c r="Y41" s="199"/>
      <c r="Z41" s="199"/>
    </row>
    <row r="42">
      <c r="A42" s="203">
        <v>45959.0</v>
      </c>
      <c r="B42" s="198" t="s">
        <v>1980</v>
      </c>
      <c r="C42" s="198" t="s">
        <v>1747</v>
      </c>
      <c r="D42" s="198">
        <v>1.0</v>
      </c>
      <c r="E42" s="204">
        <v>10.0</v>
      </c>
      <c r="F42" s="204">
        <v>10.0</v>
      </c>
      <c r="G42" s="198" t="s">
        <v>80</v>
      </c>
      <c r="H42" s="199"/>
      <c r="I42" s="198" t="s">
        <v>1221</v>
      </c>
      <c r="J42" s="204">
        <v>3.46</v>
      </c>
      <c r="K42" s="204">
        <v>6.54</v>
      </c>
      <c r="L42" s="206">
        <v>0.654</v>
      </c>
      <c r="M42" s="199"/>
      <c r="N42" s="198" t="s">
        <v>8408</v>
      </c>
      <c r="O42" s="198" t="s">
        <v>1626</v>
      </c>
      <c r="P42" s="21" t="s">
        <v>22</v>
      </c>
      <c r="Q42" s="199"/>
      <c r="R42" s="199"/>
      <c r="S42" s="199"/>
      <c r="T42" s="199"/>
      <c r="U42" s="199"/>
      <c r="V42" s="199"/>
      <c r="W42" s="199"/>
      <c r="X42" s="199"/>
      <c r="Y42" s="199"/>
      <c r="Z42" s="199"/>
    </row>
    <row r="43">
      <c r="A43" s="203">
        <v>45959.0</v>
      </c>
      <c r="B43" s="198" t="s">
        <v>2009</v>
      </c>
      <c r="C43" s="198" t="s">
        <v>1691</v>
      </c>
      <c r="D43" s="198">
        <v>1.0</v>
      </c>
      <c r="E43" s="204">
        <v>5.0</v>
      </c>
      <c r="F43" s="204">
        <v>5.0</v>
      </c>
      <c r="G43" s="198" t="s">
        <v>80</v>
      </c>
      <c r="H43" s="199"/>
      <c r="I43" s="198" t="s">
        <v>1221</v>
      </c>
      <c r="J43" s="204">
        <v>15.01</v>
      </c>
      <c r="K43" s="204">
        <v>-10.01</v>
      </c>
      <c r="L43" s="206">
        <v>-2.002</v>
      </c>
      <c r="M43" s="199"/>
      <c r="N43" s="198" t="s">
        <v>8409</v>
      </c>
      <c r="O43" s="198" t="s">
        <v>1626</v>
      </c>
      <c r="P43" s="21" t="s">
        <v>22</v>
      </c>
      <c r="Q43" s="199"/>
      <c r="R43" s="199"/>
      <c r="S43" s="199"/>
      <c r="T43" s="199"/>
      <c r="U43" s="199"/>
      <c r="V43" s="199"/>
      <c r="W43" s="199"/>
      <c r="X43" s="199"/>
      <c r="Y43" s="199"/>
      <c r="Z43" s="199"/>
    </row>
    <row r="44">
      <c r="A44" s="203">
        <v>45959.0</v>
      </c>
      <c r="B44" s="198" t="s">
        <v>2013</v>
      </c>
      <c r="C44" s="198" t="s">
        <v>1805</v>
      </c>
      <c r="D44" s="198">
        <v>1.0</v>
      </c>
      <c r="E44" s="204">
        <v>15.0</v>
      </c>
      <c r="F44" s="204">
        <v>15.0</v>
      </c>
      <c r="G44" s="198" t="s">
        <v>80</v>
      </c>
      <c r="H44" s="199"/>
      <c r="I44" s="198" t="s">
        <v>1221</v>
      </c>
      <c r="J44" s="204">
        <v>10.35</v>
      </c>
      <c r="K44" s="204">
        <v>4.65</v>
      </c>
      <c r="L44" s="206">
        <v>0.31</v>
      </c>
      <c r="M44" s="199"/>
      <c r="N44" s="198" t="s">
        <v>8410</v>
      </c>
      <c r="O44" s="198" t="s">
        <v>1626</v>
      </c>
      <c r="P44" s="21" t="s">
        <v>22</v>
      </c>
      <c r="Q44" s="199"/>
      <c r="R44" s="199"/>
      <c r="S44" s="199"/>
      <c r="T44" s="199"/>
      <c r="U44" s="199"/>
      <c r="V44" s="199"/>
      <c r="W44" s="199"/>
      <c r="X44" s="199"/>
      <c r="Y44" s="199"/>
      <c r="Z44" s="199"/>
    </row>
    <row r="45">
      <c r="A45" s="203">
        <v>45960.0</v>
      </c>
      <c r="B45" s="198" t="s">
        <v>2068</v>
      </c>
      <c r="C45" s="198" t="s">
        <v>1684</v>
      </c>
      <c r="D45" s="198">
        <v>1.0</v>
      </c>
      <c r="E45" s="204">
        <v>0.0</v>
      </c>
      <c r="F45" s="204">
        <v>0.0</v>
      </c>
      <c r="G45" s="199"/>
      <c r="H45" s="199"/>
      <c r="I45" s="198" t="s">
        <v>1221</v>
      </c>
      <c r="J45" s="204">
        <v>0.0</v>
      </c>
      <c r="K45" s="204">
        <v>0.0</v>
      </c>
      <c r="L45" s="206">
        <v>0.0</v>
      </c>
      <c r="M45" s="199"/>
      <c r="N45" s="198" t="s">
        <v>8411</v>
      </c>
      <c r="O45" s="198" t="s">
        <v>483</v>
      </c>
      <c r="P45" s="21" t="s">
        <v>22</v>
      </c>
      <c r="Q45" s="199"/>
      <c r="R45" s="199"/>
      <c r="S45" s="199"/>
      <c r="T45" s="199"/>
      <c r="U45" s="199"/>
      <c r="V45" s="199"/>
      <c r="W45" s="199"/>
      <c r="X45" s="199"/>
      <c r="Y45" s="199"/>
      <c r="Z45" s="199"/>
    </row>
    <row r="46">
      <c r="A46" s="203">
        <v>45960.0</v>
      </c>
      <c r="B46" s="198" t="s">
        <v>2043</v>
      </c>
      <c r="C46" s="198" t="s">
        <v>1849</v>
      </c>
      <c r="D46" s="198">
        <v>1.0</v>
      </c>
      <c r="E46" s="204">
        <v>14.0</v>
      </c>
      <c r="F46" s="204">
        <v>14.0</v>
      </c>
      <c r="G46" s="198" t="s">
        <v>80</v>
      </c>
      <c r="H46" s="199"/>
      <c r="I46" s="198" t="s">
        <v>1221</v>
      </c>
      <c r="J46" s="204">
        <v>13.35</v>
      </c>
      <c r="K46" s="204">
        <v>0.6500000000000004</v>
      </c>
      <c r="L46" s="206">
        <v>0.04642857142857145</v>
      </c>
      <c r="M46" s="199"/>
      <c r="N46" s="198" t="s">
        <v>8412</v>
      </c>
      <c r="O46" s="198" t="s">
        <v>1626</v>
      </c>
      <c r="P46" s="21" t="s">
        <v>22</v>
      </c>
      <c r="Q46" s="199"/>
      <c r="R46" s="199"/>
      <c r="S46" s="199"/>
      <c r="T46" s="199"/>
      <c r="U46" s="199"/>
      <c r="V46" s="199"/>
      <c r="W46" s="199"/>
      <c r="X46" s="199"/>
      <c r="Y46" s="199"/>
      <c r="Z46" s="199"/>
    </row>
    <row r="47">
      <c r="A47" s="203">
        <v>45958.0</v>
      </c>
      <c r="B47" s="198" t="s">
        <v>1952</v>
      </c>
      <c r="C47" s="198" t="s">
        <v>1752</v>
      </c>
      <c r="D47" s="198">
        <v>1.0</v>
      </c>
      <c r="E47" s="204">
        <v>15.0</v>
      </c>
      <c r="F47" s="204">
        <v>15.0</v>
      </c>
      <c r="G47" s="198" t="s">
        <v>80</v>
      </c>
      <c r="H47" s="199"/>
      <c r="I47" s="198" t="s">
        <v>1221</v>
      </c>
      <c r="J47" s="204">
        <v>3.61</v>
      </c>
      <c r="K47" s="204">
        <v>11.39</v>
      </c>
      <c r="L47" s="206">
        <v>0.7593333333333334</v>
      </c>
      <c r="M47" s="199"/>
      <c r="N47" s="198" t="s">
        <v>8413</v>
      </c>
      <c r="O47" s="198" t="s">
        <v>1626</v>
      </c>
      <c r="P47" s="21" t="s">
        <v>22</v>
      </c>
      <c r="Q47" s="199"/>
      <c r="R47" s="199"/>
      <c r="S47" s="199"/>
      <c r="T47" s="199"/>
      <c r="U47" s="199"/>
      <c r="V47" s="199"/>
      <c r="W47" s="199"/>
      <c r="X47" s="199"/>
      <c r="Y47" s="199"/>
      <c r="Z47" s="199"/>
    </row>
    <row r="48">
      <c r="A48" s="203">
        <v>45959.0</v>
      </c>
      <c r="B48" s="198" t="s">
        <v>1976</v>
      </c>
      <c r="C48" s="198" t="s">
        <v>1721</v>
      </c>
      <c r="D48" s="198">
        <v>1.0</v>
      </c>
      <c r="E48" s="204">
        <v>5.0</v>
      </c>
      <c r="F48" s="204">
        <v>5.0</v>
      </c>
      <c r="G48" s="198" t="s">
        <v>80</v>
      </c>
      <c r="H48" s="199"/>
      <c r="I48" s="198" t="s">
        <v>1221</v>
      </c>
      <c r="J48" s="204">
        <v>4.19</v>
      </c>
      <c r="K48" s="204">
        <v>0.8099999999999996</v>
      </c>
      <c r="L48" s="206">
        <v>0.16199999999999992</v>
      </c>
      <c r="M48" s="199"/>
      <c r="N48" s="198" t="s">
        <v>8414</v>
      </c>
      <c r="O48" s="198" t="s">
        <v>1626</v>
      </c>
      <c r="P48" s="21" t="s">
        <v>22</v>
      </c>
      <c r="Q48" s="199"/>
      <c r="R48" s="199"/>
      <c r="S48" s="199"/>
      <c r="T48" s="199"/>
      <c r="U48" s="199"/>
      <c r="V48" s="199"/>
      <c r="W48" s="199"/>
      <c r="X48" s="199"/>
      <c r="Y48" s="199"/>
      <c r="Z48" s="199"/>
    </row>
    <row r="49">
      <c r="A49" s="203">
        <v>45959.0</v>
      </c>
      <c r="B49" s="198" t="s">
        <v>2005</v>
      </c>
      <c r="C49" s="198" t="s">
        <v>1849</v>
      </c>
      <c r="D49" s="198">
        <v>1.0</v>
      </c>
      <c r="E49" s="204">
        <v>14.0</v>
      </c>
      <c r="F49" s="204">
        <v>14.0</v>
      </c>
      <c r="G49" s="198" t="s">
        <v>80</v>
      </c>
      <c r="H49" s="199"/>
      <c r="I49" s="198" t="s">
        <v>1221</v>
      </c>
      <c r="J49" s="204">
        <v>13.35</v>
      </c>
      <c r="K49" s="204">
        <v>0.6500000000000004</v>
      </c>
      <c r="L49" s="206">
        <v>0.04642857142857145</v>
      </c>
      <c r="M49" s="199"/>
      <c r="N49" s="198" t="s">
        <v>8415</v>
      </c>
      <c r="O49" s="198" t="s">
        <v>1626</v>
      </c>
      <c r="P49" s="21" t="s">
        <v>22</v>
      </c>
      <c r="Q49" s="199"/>
      <c r="R49" s="199"/>
      <c r="S49" s="199"/>
      <c r="T49" s="199"/>
      <c r="U49" s="199"/>
      <c r="V49" s="199"/>
      <c r="W49" s="199"/>
      <c r="X49" s="199"/>
      <c r="Y49" s="199"/>
      <c r="Z49" s="199"/>
    </row>
    <row r="50">
      <c r="A50" s="203">
        <v>45959.0</v>
      </c>
      <c r="B50" s="198" t="s">
        <v>1978</v>
      </c>
      <c r="C50" s="198" t="s">
        <v>1721</v>
      </c>
      <c r="D50" s="198">
        <v>1.0</v>
      </c>
      <c r="E50" s="204">
        <v>8.0</v>
      </c>
      <c r="F50" s="204">
        <v>8.0</v>
      </c>
      <c r="G50" s="198" t="s">
        <v>80</v>
      </c>
      <c r="H50" s="199"/>
      <c r="I50" s="198" t="s">
        <v>1221</v>
      </c>
      <c r="J50" s="204">
        <v>4.19</v>
      </c>
      <c r="K50" s="204">
        <v>3.8099999999999996</v>
      </c>
      <c r="L50" s="206">
        <v>0.47624999999999995</v>
      </c>
      <c r="M50" s="199"/>
      <c r="N50" s="198" t="s">
        <v>8416</v>
      </c>
      <c r="O50" s="198" t="s">
        <v>1626</v>
      </c>
      <c r="P50" s="21" t="s">
        <v>22</v>
      </c>
      <c r="Q50" s="199"/>
      <c r="R50" s="199"/>
      <c r="S50" s="199"/>
      <c r="T50" s="199"/>
      <c r="U50" s="199"/>
      <c r="V50" s="199"/>
      <c r="W50" s="199"/>
      <c r="X50" s="199"/>
      <c r="Y50" s="199"/>
      <c r="Z50" s="199"/>
    </row>
    <row r="51">
      <c r="A51" s="203">
        <v>45958.0</v>
      </c>
      <c r="B51" s="198" t="s">
        <v>1950</v>
      </c>
      <c r="C51" s="198" t="s">
        <v>1721</v>
      </c>
      <c r="D51" s="198">
        <v>1.0</v>
      </c>
      <c r="E51" s="204">
        <v>5.0</v>
      </c>
      <c r="F51" s="204">
        <v>5.0</v>
      </c>
      <c r="G51" s="198" t="s">
        <v>80</v>
      </c>
      <c r="H51" s="199"/>
      <c r="I51" s="198" t="s">
        <v>1221</v>
      </c>
      <c r="J51" s="204">
        <v>4.19</v>
      </c>
      <c r="K51" s="204">
        <v>0.8099999999999996</v>
      </c>
      <c r="L51" s="206">
        <v>0.16199999999999992</v>
      </c>
      <c r="M51" s="199"/>
      <c r="N51" s="198" t="s">
        <v>8417</v>
      </c>
      <c r="O51" s="198" t="s">
        <v>1626</v>
      </c>
      <c r="P51" s="21" t="s">
        <v>22</v>
      </c>
      <c r="Q51" s="199"/>
      <c r="R51" s="199"/>
      <c r="S51" s="199"/>
      <c r="T51" s="199"/>
      <c r="U51" s="199"/>
      <c r="V51" s="199"/>
      <c r="W51" s="199"/>
      <c r="X51" s="199"/>
      <c r="Y51" s="199"/>
      <c r="Z51" s="199"/>
    </row>
    <row r="52">
      <c r="A52" s="203">
        <v>45958.0</v>
      </c>
      <c r="B52" s="198" t="s">
        <v>1968</v>
      </c>
      <c r="C52" s="198" t="s">
        <v>1724</v>
      </c>
      <c r="D52" s="198">
        <v>1.0</v>
      </c>
      <c r="E52" s="204">
        <v>0.0</v>
      </c>
      <c r="F52" s="204">
        <v>0.0</v>
      </c>
      <c r="G52" s="199"/>
      <c r="H52" s="199"/>
      <c r="I52" s="198" t="s">
        <v>1221</v>
      </c>
      <c r="J52" s="204">
        <v>1.95</v>
      </c>
      <c r="K52" s="204">
        <v>-1.95</v>
      </c>
      <c r="L52" s="206">
        <v>0.0</v>
      </c>
      <c r="M52" s="199"/>
      <c r="N52" s="208" t="s">
        <v>8418</v>
      </c>
      <c r="O52" s="198" t="s">
        <v>483</v>
      </c>
      <c r="P52" s="21" t="s">
        <v>22</v>
      </c>
      <c r="Q52" s="199"/>
      <c r="R52" s="199"/>
      <c r="S52" s="199"/>
      <c r="T52" s="199"/>
      <c r="U52" s="199"/>
      <c r="V52" s="199"/>
      <c r="W52" s="199"/>
      <c r="X52" s="199"/>
      <c r="Y52" s="199"/>
      <c r="Z52" s="199"/>
    </row>
    <row r="53">
      <c r="A53" s="203">
        <v>45958.0</v>
      </c>
      <c r="B53" s="198" t="s">
        <v>1964</v>
      </c>
      <c r="C53" s="198" t="s">
        <v>1904</v>
      </c>
      <c r="D53" s="198">
        <v>1.0</v>
      </c>
      <c r="E53" s="204">
        <v>0.0</v>
      </c>
      <c r="F53" s="204">
        <v>0.0</v>
      </c>
      <c r="G53" s="199"/>
      <c r="H53" s="199"/>
      <c r="I53" s="198" t="s">
        <v>1221</v>
      </c>
      <c r="J53" s="204">
        <v>19.49</v>
      </c>
      <c r="K53" s="204">
        <v>-19.49</v>
      </c>
      <c r="L53" s="206">
        <v>0.0</v>
      </c>
      <c r="M53" s="199"/>
      <c r="N53" s="198" t="s">
        <v>8419</v>
      </c>
      <c r="O53" s="198" t="s">
        <v>483</v>
      </c>
      <c r="P53" s="21" t="s">
        <v>22</v>
      </c>
      <c r="Q53" s="199"/>
      <c r="R53" s="199"/>
      <c r="S53" s="199"/>
      <c r="T53" s="199"/>
      <c r="U53" s="199"/>
      <c r="V53" s="199"/>
      <c r="W53" s="199"/>
      <c r="X53" s="199"/>
      <c r="Y53" s="199"/>
      <c r="Z53" s="199"/>
    </row>
    <row r="54">
      <c r="A54" s="203">
        <v>45958.0</v>
      </c>
      <c r="B54" s="198" t="s">
        <v>1948</v>
      </c>
      <c r="C54" s="198" t="s">
        <v>1594</v>
      </c>
      <c r="D54" s="198">
        <v>1.0</v>
      </c>
      <c r="E54" s="204">
        <v>10.0</v>
      </c>
      <c r="F54" s="204">
        <v>10.0</v>
      </c>
      <c r="G54" s="198" t="s">
        <v>80</v>
      </c>
      <c r="H54" s="199"/>
      <c r="I54" s="198" t="s">
        <v>1221</v>
      </c>
      <c r="J54" s="204">
        <v>16.69</v>
      </c>
      <c r="K54" s="204">
        <v>-6.690000000000001</v>
      </c>
      <c r="L54" s="206">
        <v>-0.6690000000000002</v>
      </c>
      <c r="M54" s="199"/>
      <c r="N54" s="198" t="s">
        <v>8420</v>
      </c>
      <c r="O54" s="198" t="s">
        <v>1626</v>
      </c>
      <c r="P54" s="21" t="s">
        <v>22</v>
      </c>
      <c r="Q54" s="199"/>
      <c r="R54" s="199"/>
      <c r="S54" s="199"/>
      <c r="T54" s="199"/>
      <c r="U54" s="199"/>
      <c r="V54" s="199"/>
      <c r="W54" s="199"/>
      <c r="X54" s="199"/>
      <c r="Y54" s="199"/>
      <c r="Z54" s="199"/>
    </row>
    <row r="55">
      <c r="A55" s="203">
        <v>45959.0</v>
      </c>
      <c r="B55" s="198" t="s">
        <v>2001</v>
      </c>
      <c r="C55" s="198" t="s">
        <v>1846</v>
      </c>
      <c r="D55" s="198">
        <v>1.0</v>
      </c>
      <c r="E55" s="204">
        <v>0.0</v>
      </c>
      <c r="F55" s="204">
        <v>0.0</v>
      </c>
      <c r="G55" s="199"/>
      <c r="H55" s="199"/>
      <c r="I55" s="198" t="s">
        <v>1221</v>
      </c>
      <c r="J55" s="204">
        <v>5.0</v>
      </c>
      <c r="K55" s="204">
        <v>-5.0</v>
      </c>
      <c r="L55" s="206">
        <v>0.0</v>
      </c>
      <c r="M55" s="199"/>
      <c r="N55" s="198" t="s">
        <v>8421</v>
      </c>
      <c r="O55" s="198" t="s">
        <v>483</v>
      </c>
      <c r="P55" s="21" t="s">
        <v>22</v>
      </c>
      <c r="Q55" s="199"/>
      <c r="R55" s="199"/>
      <c r="S55" s="199"/>
      <c r="T55" s="199"/>
      <c r="U55" s="199"/>
      <c r="V55" s="199"/>
      <c r="W55" s="199"/>
      <c r="X55" s="199"/>
      <c r="Y55" s="199"/>
      <c r="Z55" s="199"/>
    </row>
    <row r="56">
      <c r="A56" s="203">
        <v>45959.0</v>
      </c>
      <c r="B56" s="198" t="s">
        <v>1974</v>
      </c>
      <c r="C56" s="198" t="s">
        <v>1721</v>
      </c>
      <c r="D56" s="198">
        <v>1.0</v>
      </c>
      <c r="E56" s="204">
        <v>5.0</v>
      </c>
      <c r="F56" s="204">
        <v>5.0</v>
      </c>
      <c r="G56" s="198" t="s">
        <v>80</v>
      </c>
      <c r="H56" s="199"/>
      <c r="I56" s="198" t="s">
        <v>1221</v>
      </c>
      <c r="J56" s="204">
        <v>4.19</v>
      </c>
      <c r="K56" s="204">
        <v>0.8099999999999996</v>
      </c>
      <c r="L56" s="206">
        <v>0.16199999999999992</v>
      </c>
      <c r="M56" s="199"/>
      <c r="N56" s="198" t="s">
        <v>8422</v>
      </c>
      <c r="O56" s="198" t="s">
        <v>1626</v>
      </c>
      <c r="P56" s="21" t="s">
        <v>22</v>
      </c>
      <c r="Q56" s="199"/>
      <c r="R56" s="199"/>
      <c r="S56" s="199"/>
      <c r="T56" s="199"/>
      <c r="U56" s="199"/>
      <c r="V56" s="199"/>
      <c r="W56" s="199"/>
      <c r="X56" s="199"/>
      <c r="Y56" s="199"/>
      <c r="Z56" s="199"/>
    </row>
    <row r="57">
      <c r="A57" s="203">
        <v>45959.0</v>
      </c>
      <c r="B57" s="198" t="s">
        <v>1970</v>
      </c>
      <c r="C57" s="198" t="s">
        <v>1936</v>
      </c>
      <c r="D57" s="198">
        <v>1.0</v>
      </c>
      <c r="E57" s="204">
        <v>10.0</v>
      </c>
      <c r="F57" s="204">
        <v>10.0</v>
      </c>
      <c r="G57" s="198" t="s">
        <v>80</v>
      </c>
      <c r="H57" s="199"/>
      <c r="I57" s="198" t="s">
        <v>1221</v>
      </c>
      <c r="J57" s="204">
        <v>5.6</v>
      </c>
      <c r="K57" s="204">
        <v>4.4</v>
      </c>
      <c r="L57" s="206">
        <v>0.44000000000000006</v>
      </c>
      <c r="M57" s="199"/>
      <c r="N57" s="208" t="s">
        <v>8423</v>
      </c>
      <c r="O57" s="198" t="s">
        <v>1626</v>
      </c>
      <c r="P57" s="21" t="s">
        <v>22</v>
      </c>
      <c r="Q57" s="199"/>
      <c r="R57" s="199"/>
      <c r="S57" s="199"/>
      <c r="T57" s="199"/>
      <c r="U57" s="199"/>
      <c r="V57" s="199"/>
      <c r="W57" s="199"/>
      <c r="X57" s="199"/>
      <c r="Y57" s="199"/>
      <c r="Z57" s="199"/>
    </row>
    <row r="58">
      <c r="A58" s="203">
        <v>45959.0</v>
      </c>
      <c r="B58" s="198" t="s">
        <v>2011</v>
      </c>
      <c r="C58" s="198" t="s">
        <v>1805</v>
      </c>
      <c r="D58" s="198">
        <v>1.0</v>
      </c>
      <c r="E58" s="204">
        <v>24.0</v>
      </c>
      <c r="F58" s="204">
        <v>24.0</v>
      </c>
      <c r="G58" s="198" t="s">
        <v>80</v>
      </c>
      <c r="H58" s="199"/>
      <c r="I58" s="198" t="s">
        <v>1221</v>
      </c>
      <c r="J58" s="204">
        <v>9.94</v>
      </c>
      <c r="K58" s="204">
        <v>14.06</v>
      </c>
      <c r="L58" s="206">
        <v>0.5858333333333333</v>
      </c>
      <c r="M58" s="199"/>
      <c r="N58" s="198" t="s">
        <v>8424</v>
      </c>
      <c r="O58" s="198" t="s">
        <v>1626</v>
      </c>
      <c r="P58" s="21" t="s">
        <v>22</v>
      </c>
      <c r="Q58" s="199"/>
      <c r="R58" s="199"/>
      <c r="S58" s="199"/>
      <c r="T58" s="199"/>
      <c r="U58" s="199"/>
      <c r="V58" s="199"/>
      <c r="W58" s="199"/>
      <c r="X58" s="199"/>
      <c r="Y58" s="199"/>
      <c r="Z58" s="199"/>
    </row>
    <row r="59">
      <c r="A59" s="203">
        <v>45957.0</v>
      </c>
      <c r="B59" s="198" t="s">
        <v>1924</v>
      </c>
      <c r="C59" s="198" t="s">
        <v>1569</v>
      </c>
      <c r="D59" s="198">
        <v>1.0</v>
      </c>
      <c r="E59" s="204">
        <v>0.0</v>
      </c>
      <c r="F59" s="204">
        <v>0.0</v>
      </c>
      <c r="G59" s="199"/>
      <c r="H59" s="199"/>
      <c r="I59" s="198" t="s">
        <v>1221</v>
      </c>
      <c r="J59" s="204">
        <v>4.3966666666666665</v>
      </c>
      <c r="K59" s="204">
        <v>-4.4</v>
      </c>
      <c r="L59" s="206">
        <v>0.0</v>
      </c>
      <c r="M59" s="199"/>
      <c r="N59" s="207">
        <v>272800.0</v>
      </c>
      <c r="O59" s="198" t="s">
        <v>483</v>
      </c>
      <c r="P59" s="21" t="s">
        <v>22</v>
      </c>
      <c r="Q59" s="199"/>
      <c r="R59" s="199"/>
      <c r="S59" s="199"/>
      <c r="T59" s="199"/>
      <c r="U59" s="199"/>
      <c r="V59" s="199"/>
      <c r="W59" s="199"/>
      <c r="X59" s="199"/>
      <c r="Y59" s="199"/>
      <c r="Z59" s="199"/>
    </row>
    <row r="60">
      <c r="A60" s="203">
        <v>45959.0</v>
      </c>
      <c r="B60" s="198" t="s">
        <v>1999</v>
      </c>
      <c r="C60" s="198" t="s">
        <v>1846</v>
      </c>
      <c r="D60" s="198">
        <v>1.0</v>
      </c>
      <c r="E60" s="204">
        <v>0.0</v>
      </c>
      <c r="F60" s="204">
        <v>0.0</v>
      </c>
      <c r="G60" s="199"/>
      <c r="H60" s="199"/>
      <c r="I60" s="198" t="s">
        <v>1221</v>
      </c>
      <c r="J60" s="204">
        <v>5.0</v>
      </c>
      <c r="K60" s="204">
        <v>-5.0</v>
      </c>
      <c r="L60" s="206">
        <v>0.0</v>
      </c>
      <c r="M60" s="199"/>
      <c r="N60" s="198" t="s">
        <v>8425</v>
      </c>
      <c r="O60" s="198" t="s">
        <v>483</v>
      </c>
      <c r="P60" s="21" t="s">
        <v>22</v>
      </c>
      <c r="Q60" s="199"/>
      <c r="R60" s="199"/>
      <c r="S60" s="199"/>
      <c r="T60" s="199"/>
      <c r="U60" s="199"/>
      <c r="V60" s="199"/>
      <c r="W60" s="199"/>
      <c r="X60" s="199"/>
      <c r="Y60" s="199"/>
      <c r="Z60" s="199"/>
    </row>
    <row r="61">
      <c r="A61" s="203">
        <v>45959.0</v>
      </c>
      <c r="B61" s="198" t="s">
        <v>2017</v>
      </c>
      <c r="C61" s="198" t="s">
        <v>1831</v>
      </c>
      <c r="D61" s="198">
        <v>1.0</v>
      </c>
      <c r="E61" s="204">
        <v>10.0</v>
      </c>
      <c r="F61" s="204">
        <v>10.0</v>
      </c>
      <c r="G61" s="198" t="s">
        <v>80</v>
      </c>
      <c r="H61" s="199"/>
      <c r="I61" s="198" t="s">
        <v>1221</v>
      </c>
      <c r="J61" s="204">
        <v>5.95</v>
      </c>
      <c r="K61" s="204">
        <v>4.05</v>
      </c>
      <c r="L61" s="206">
        <v>0.40499999999999997</v>
      </c>
      <c r="M61" s="199"/>
      <c r="N61" s="198" t="s">
        <v>8426</v>
      </c>
      <c r="O61" s="198" t="s">
        <v>1626</v>
      </c>
      <c r="P61" s="21" t="s">
        <v>22</v>
      </c>
      <c r="Q61" s="199"/>
      <c r="R61" s="199"/>
      <c r="S61" s="199"/>
      <c r="T61" s="199"/>
      <c r="U61" s="199"/>
      <c r="V61" s="199"/>
      <c r="W61" s="199"/>
      <c r="X61" s="199"/>
      <c r="Y61" s="199"/>
      <c r="Z61" s="199"/>
    </row>
    <row r="62">
      <c r="A62" s="203">
        <v>45959.0</v>
      </c>
      <c r="B62" s="198" t="s">
        <v>1972</v>
      </c>
      <c r="C62" s="198" t="s">
        <v>1665</v>
      </c>
      <c r="D62" s="198">
        <v>1.0</v>
      </c>
      <c r="E62" s="204">
        <v>10.0</v>
      </c>
      <c r="F62" s="204">
        <v>10.0</v>
      </c>
      <c r="G62" s="198" t="s">
        <v>80</v>
      </c>
      <c r="H62" s="199"/>
      <c r="I62" s="198" t="s">
        <v>1221</v>
      </c>
      <c r="J62" s="204">
        <v>6.58</v>
      </c>
      <c r="K62" s="204">
        <v>3.42</v>
      </c>
      <c r="L62" s="206">
        <v>0.34199999999999997</v>
      </c>
      <c r="M62" s="199"/>
      <c r="N62" s="198" t="s">
        <v>8427</v>
      </c>
      <c r="O62" s="198" t="s">
        <v>1626</v>
      </c>
      <c r="P62" s="21" t="s">
        <v>22</v>
      </c>
      <c r="Q62" s="199"/>
      <c r="R62" s="199"/>
      <c r="S62" s="199"/>
      <c r="T62" s="199"/>
      <c r="U62" s="199"/>
      <c r="V62" s="199"/>
      <c r="W62" s="199"/>
      <c r="X62" s="199"/>
      <c r="Y62" s="199"/>
      <c r="Z62" s="199"/>
    </row>
    <row r="63">
      <c r="A63" s="203">
        <v>45959.0</v>
      </c>
      <c r="B63" s="198" t="s">
        <v>1982</v>
      </c>
      <c r="C63" s="198" t="s">
        <v>1983</v>
      </c>
      <c r="D63" s="198">
        <v>1.0</v>
      </c>
      <c r="E63" s="204">
        <v>10.0</v>
      </c>
      <c r="F63" s="204">
        <v>10.0</v>
      </c>
      <c r="G63" s="198" t="s">
        <v>80</v>
      </c>
      <c r="H63" s="199"/>
      <c r="I63" s="198" t="s">
        <v>1221</v>
      </c>
      <c r="J63" s="204">
        <v>9.5</v>
      </c>
      <c r="K63" s="204">
        <v>0.5</v>
      </c>
      <c r="L63" s="206">
        <v>0.05</v>
      </c>
      <c r="M63" s="199"/>
      <c r="N63" s="198" t="s">
        <v>8428</v>
      </c>
      <c r="O63" s="198" t="s">
        <v>1626</v>
      </c>
      <c r="P63" s="21" t="s">
        <v>22</v>
      </c>
      <c r="Q63" s="199"/>
      <c r="R63" s="199"/>
      <c r="S63" s="199"/>
      <c r="T63" s="199"/>
      <c r="U63" s="199"/>
      <c r="V63" s="199"/>
      <c r="W63" s="199"/>
      <c r="X63" s="199"/>
      <c r="Y63" s="199"/>
      <c r="Z63" s="199"/>
    </row>
    <row r="64">
      <c r="A64" s="203">
        <v>45959.0</v>
      </c>
      <c r="B64" s="198" t="s">
        <v>2015</v>
      </c>
      <c r="C64" s="198" t="s">
        <v>1564</v>
      </c>
      <c r="D64" s="198">
        <v>1.0</v>
      </c>
      <c r="E64" s="204">
        <v>10.0</v>
      </c>
      <c r="F64" s="204">
        <v>10.0</v>
      </c>
      <c r="G64" s="198" t="s">
        <v>80</v>
      </c>
      <c r="H64" s="199"/>
      <c r="I64" s="198" t="s">
        <v>1221</v>
      </c>
      <c r="J64" s="204">
        <v>7.8</v>
      </c>
      <c r="K64" s="204">
        <v>2.2</v>
      </c>
      <c r="L64" s="206">
        <v>0.22000000000000003</v>
      </c>
      <c r="M64" s="199"/>
      <c r="N64" s="198" t="s">
        <v>8429</v>
      </c>
      <c r="O64" s="198" t="s">
        <v>1626</v>
      </c>
      <c r="P64" s="21" t="s">
        <v>22</v>
      </c>
      <c r="Q64" s="199"/>
      <c r="R64" s="199"/>
      <c r="S64" s="199"/>
      <c r="T64" s="199"/>
      <c r="U64" s="199"/>
      <c r="V64" s="199"/>
      <c r="W64" s="199"/>
      <c r="X64" s="199"/>
      <c r="Y64" s="199"/>
      <c r="Z64" s="199"/>
    </row>
    <row r="65">
      <c r="A65" s="203">
        <v>45960.0</v>
      </c>
      <c r="B65" s="198" t="s">
        <v>2031</v>
      </c>
      <c r="C65" s="198" t="s">
        <v>1747</v>
      </c>
      <c r="D65" s="198">
        <v>1.0</v>
      </c>
      <c r="E65" s="204">
        <v>0.0</v>
      </c>
      <c r="F65" s="204">
        <v>0.0</v>
      </c>
      <c r="G65" s="199"/>
      <c r="H65" s="199"/>
      <c r="I65" s="198" t="s">
        <v>1221</v>
      </c>
      <c r="J65" s="204">
        <v>2.29</v>
      </c>
      <c r="K65" s="204">
        <v>-2.29</v>
      </c>
      <c r="L65" s="206">
        <v>-1.0</v>
      </c>
      <c r="M65" s="199"/>
      <c r="N65" s="208" t="s">
        <v>8430</v>
      </c>
      <c r="O65" s="198" t="s">
        <v>1626</v>
      </c>
      <c r="P65" s="21" t="s">
        <v>22</v>
      </c>
      <c r="Q65" s="199"/>
      <c r="R65" s="199"/>
      <c r="S65" s="199"/>
      <c r="T65" s="199"/>
      <c r="U65" s="199"/>
      <c r="V65" s="199"/>
      <c r="W65" s="199"/>
      <c r="X65" s="199"/>
      <c r="Y65" s="199"/>
      <c r="Z65" s="199"/>
    </row>
    <row r="66">
      <c r="A66" s="203">
        <v>45958.0</v>
      </c>
      <c r="B66" s="198" t="s">
        <v>1958</v>
      </c>
      <c r="C66" s="198" t="s">
        <v>1588</v>
      </c>
      <c r="D66" s="198">
        <v>1.0</v>
      </c>
      <c r="E66" s="204">
        <v>0.0</v>
      </c>
      <c r="F66" s="204">
        <v>0.0</v>
      </c>
      <c r="G66" s="199"/>
      <c r="H66" s="199"/>
      <c r="I66" s="198" t="s">
        <v>1221</v>
      </c>
      <c r="J66" s="204">
        <v>2.427142857142857</v>
      </c>
      <c r="K66" s="204">
        <v>-2.43</v>
      </c>
      <c r="L66" s="206">
        <v>0.0</v>
      </c>
      <c r="M66" s="199"/>
      <c r="N66" s="198" t="s">
        <v>8431</v>
      </c>
      <c r="O66" s="198" t="s">
        <v>483</v>
      </c>
      <c r="P66" s="21" t="s">
        <v>22</v>
      </c>
      <c r="Q66" s="199"/>
      <c r="R66" s="199"/>
      <c r="S66" s="199"/>
      <c r="T66" s="199"/>
      <c r="U66" s="199"/>
      <c r="V66" s="199"/>
      <c r="W66" s="199"/>
      <c r="X66" s="199"/>
      <c r="Y66" s="199"/>
      <c r="Z66" s="199"/>
    </row>
    <row r="67">
      <c r="A67" s="203">
        <v>45960.0</v>
      </c>
      <c r="B67" s="198" t="s">
        <v>8432</v>
      </c>
      <c r="C67" s="198" t="s">
        <v>8433</v>
      </c>
      <c r="D67" s="198">
        <v>1.0</v>
      </c>
      <c r="E67" s="204">
        <v>0.0</v>
      </c>
      <c r="F67" s="204">
        <v>0.0</v>
      </c>
      <c r="G67" s="198" t="s">
        <v>6499</v>
      </c>
      <c r="H67" s="199"/>
      <c r="I67" s="198" t="s">
        <v>1221</v>
      </c>
      <c r="J67" s="204">
        <v>5.66</v>
      </c>
      <c r="K67" s="204">
        <v>-5.66</v>
      </c>
      <c r="L67" s="206">
        <v>0.0</v>
      </c>
      <c r="M67" s="199"/>
      <c r="N67" s="198" t="s">
        <v>8434</v>
      </c>
      <c r="O67" s="198" t="s">
        <v>483</v>
      </c>
      <c r="P67" s="21" t="s">
        <v>22</v>
      </c>
      <c r="Q67" s="199"/>
      <c r="R67" s="199"/>
      <c r="S67" s="199"/>
      <c r="T67" s="199"/>
      <c r="U67" s="199"/>
      <c r="V67" s="199"/>
      <c r="W67" s="199"/>
      <c r="X67" s="199"/>
      <c r="Y67" s="199"/>
      <c r="Z67" s="199"/>
    </row>
    <row r="68">
      <c r="A68" s="203">
        <v>45958.0</v>
      </c>
      <c r="B68" s="198" t="s">
        <v>1960</v>
      </c>
      <c r="C68" s="198" t="s">
        <v>1458</v>
      </c>
      <c r="D68" s="198">
        <v>1.0</v>
      </c>
      <c r="E68" s="204">
        <v>10.0</v>
      </c>
      <c r="F68" s="204">
        <v>10.0</v>
      </c>
      <c r="G68" s="198" t="s">
        <v>80</v>
      </c>
      <c r="H68" s="199"/>
      <c r="I68" s="198" t="s">
        <v>1221</v>
      </c>
      <c r="J68" s="204">
        <v>0.29</v>
      </c>
      <c r="K68" s="204">
        <v>9.71</v>
      </c>
      <c r="L68" s="206">
        <v>0.9710000000000001</v>
      </c>
      <c r="M68" s="199"/>
      <c r="N68" s="198" t="s">
        <v>8435</v>
      </c>
      <c r="O68" s="198" t="s">
        <v>1626</v>
      </c>
      <c r="P68" s="21" t="s">
        <v>22</v>
      </c>
      <c r="Q68" s="199"/>
      <c r="R68" s="199"/>
      <c r="S68" s="199"/>
      <c r="T68" s="199"/>
      <c r="U68" s="199"/>
      <c r="V68" s="199"/>
      <c r="W68" s="199"/>
      <c r="X68" s="199"/>
      <c r="Y68" s="199"/>
      <c r="Z68" s="199"/>
    </row>
    <row r="69">
      <c r="A69" s="203">
        <v>45959.0</v>
      </c>
      <c r="B69" s="198" t="s">
        <v>1989</v>
      </c>
      <c r="C69" s="198" t="s">
        <v>1747</v>
      </c>
      <c r="D69" s="198">
        <v>1.0</v>
      </c>
      <c r="E69" s="204">
        <v>5.0</v>
      </c>
      <c r="F69" s="204">
        <v>5.0</v>
      </c>
      <c r="G69" s="198" t="s">
        <v>80</v>
      </c>
      <c r="H69" s="199"/>
      <c r="I69" s="198" t="s">
        <v>1221</v>
      </c>
      <c r="J69" s="204">
        <v>2.29</v>
      </c>
      <c r="K69" s="204">
        <v>2.71</v>
      </c>
      <c r="L69" s="206">
        <v>0.542</v>
      </c>
      <c r="M69" s="199"/>
      <c r="N69" s="198" t="s">
        <v>8436</v>
      </c>
      <c r="O69" s="198" t="s">
        <v>1626</v>
      </c>
      <c r="P69" s="21" t="s">
        <v>22</v>
      </c>
      <c r="Q69" s="199"/>
      <c r="R69" s="199"/>
      <c r="S69" s="199"/>
      <c r="T69" s="199"/>
      <c r="U69" s="199"/>
      <c r="V69" s="199"/>
      <c r="W69" s="199"/>
      <c r="X69" s="199"/>
      <c r="Y69" s="199"/>
      <c r="Z69" s="199"/>
    </row>
    <row r="70">
      <c r="A70" s="203">
        <v>45959.0</v>
      </c>
      <c r="B70" s="198" t="s">
        <v>1997</v>
      </c>
      <c r="C70" s="198" t="s">
        <v>1846</v>
      </c>
      <c r="D70" s="198">
        <v>1.0</v>
      </c>
      <c r="E70" s="204">
        <v>0.0</v>
      </c>
      <c r="F70" s="204">
        <v>0.0</v>
      </c>
      <c r="G70" s="199"/>
      <c r="H70" s="199"/>
      <c r="I70" s="198" t="s">
        <v>1221</v>
      </c>
      <c r="J70" s="204">
        <v>6.35</v>
      </c>
      <c r="K70" s="204">
        <v>-6.35</v>
      </c>
      <c r="L70" s="206">
        <v>-1.0</v>
      </c>
      <c r="M70" s="199"/>
      <c r="N70" s="198" t="s">
        <v>8437</v>
      </c>
      <c r="O70" s="198" t="s">
        <v>1626</v>
      </c>
      <c r="P70" s="21" t="s">
        <v>22</v>
      </c>
      <c r="Q70" s="199"/>
      <c r="R70" s="199"/>
      <c r="S70" s="199"/>
      <c r="T70" s="199"/>
      <c r="U70" s="199"/>
      <c r="V70" s="199"/>
      <c r="W70" s="199"/>
      <c r="X70" s="199"/>
      <c r="Y70" s="199"/>
      <c r="Z70" s="199"/>
    </row>
    <row r="71">
      <c r="A71" s="203">
        <v>45960.0</v>
      </c>
      <c r="B71" s="198" t="s">
        <v>2035</v>
      </c>
      <c r="C71" s="198" t="s">
        <v>1468</v>
      </c>
      <c r="D71" s="198">
        <v>1.0</v>
      </c>
      <c r="E71" s="204">
        <v>0.0</v>
      </c>
      <c r="F71" s="204">
        <v>0.0</v>
      </c>
      <c r="G71" s="199"/>
      <c r="H71" s="199"/>
      <c r="I71" s="198" t="s">
        <v>1221</v>
      </c>
      <c r="J71" s="204">
        <v>0.0</v>
      </c>
      <c r="K71" s="204">
        <v>0.0</v>
      </c>
      <c r="L71" s="206">
        <v>0.0</v>
      </c>
      <c r="M71" s="199"/>
      <c r="N71" s="198" t="s">
        <v>8438</v>
      </c>
      <c r="O71" s="198" t="s">
        <v>483</v>
      </c>
      <c r="P71" s="21" t="s">
        <v>22</v>
      </c>
      <c r="Q71" s="199"/>
      <c r="R71" s="199"/>
      <c r="S71" s="199"/>
      <c r="T71" s="199"/>
      <c r="U71" s="199"/>
      <c r="V71" s="199"/>
      <c r="W71" s="199"/>
      <c r="X71" s="199"/>
      <c r="Y71" s="199"/>
      <c r="Z71" s="199"/>
    </row>
    <row r="72">
      <c r="A72" s="203">
        <v>45957.0</v>
      </c>
      <c r="B72" s="198" t="s">
        <v>1935</v>
      </c>
      <c r="C72" s="198" t="s">
        <v>1936</v>
      </c>
      <c r="D72" s="198">
        <v>1.0</v>
      </c>
      <c r="E72" s="204">
        <v>0.0</v>
      </c>
      <c r="F72" s="204">
        <v>0.0</v>
      </c>
      <c r="G72" s="199"/>
      <c r="H72" s="199"/>
      <c r="I72" s="198" t="s">
        <v>1221</v>
      </c>
      <c r="J72" s="204">
        <v>4.9925</v>
      </c>
      <c r="K72" s="204">
        <v>-4.99</v>
      </c>
      <c r="L72" s="206">
        <v>0.0</v>
      </c>
      <c r="M72" s="199"/>
      <c r="N72" s="198" t="s">
        <v>8439</v>
      </c>
      <c r="O72" s="198" t="s">
        <v>483</v>
      </c>
      <c r="P72" s="21" t="s">
        <v>22</v>
      </c>
      <c r="Q72" s="199"/>
      <c r="R72" s="199"/>
      <c r="S72" s="199"/>
      <c r="T72" s="199"/>
      <c r="U72" s="199"/>
      <c r="V72" s="199"/>
      <c r="W72" s="199"/>
      <c r="X72" s="199"/>
      <c r="Y72" s="199"/>
      <c r="Z72" s="199"/>
    </row>
    <row r="73">
      <c r="A73" s="203">
        <v>45960.0</v>
      </c>
      <c r="B73" s="198" t="s">
        <v>2033</v>
      </c>
      <c r="C73" s="198" t="s">
        <v>1471</v>
      </c>
      <c r="D73" s="198">
        <v>1.0</v>
      </c>
      <c r="E73" s="204">
        <v>0.0</v>
      </c>
      <c r="F73" s="204">
        <v>0.0</v>
      </c>
      <c r="G73" s="199"/>
      <c r="H73" s="199"/>
      <c r="I73" s="198" t="s">
        <v>1221</v>
      </c>
      <c r="J73" s="204">
        <v>0.0</v>
      </c>
      <c r="K73" s="204">
        <v>0.0</v>
      </c>
      <c r="L73" s="206">
        <v>0.0</v>
      </c>
      <c r="M73" s="199"/>
      <c r="N73" s="198" t="s">
        <v>8440</v>
      </c>
      <c r="O73" s="198" t="s">
        <v>483</v>
      </c>
      <c r="P73" s="21" t="s">
        <v>22</v>
      </c>
      <c r="Q73" s="199"/>
      <c r="R73" s="199"/>
      <c r="S73" s="199"/>
      <c r="T73" s="199"/>
      <c r="U73" s="199"/>
      <c r="V73" s="199"/>
      <c r="W73" s="199"/>
      <c r="X73" s="199"/>
      <c r="Y73" s="199"/>
      <c r="Z73" s="199"/>
    </row>
    <row r="74">
      <c r="A74" s="203">
        <v>45960.0</v>
      </c>
      <c r="B74" s="198" t="s">
        <v>2025</v>
      </c>
      <c r="C74" s="198" t="s">
        <v>1914</v>
      </c>
      <c r="D74" s="198">
        <v>1.0</v>
      </c>
      <c r="E74" s="204">
        <v>6.0</v>
      </c>
      <c r="F74" s="204">
        <v>6.0</v>
      </c>
      <c r="G74" s="198" t="s">
        <v>80</v>
      </c>
      <c r="H74" s="199"/>
      <c r="I74" s="198" t="s">
        <v>1221</v>
      </c>
      <c r="J74" s="204">
        <v>4.06</v>
      </c>
      <c r="K74" s="204">
        <v>1.9400000000000004</v>
      </c>
      <c r="L74" s="206">
        <v>0.3233333333333334</v>
      </c>
      <c r="M74" s="199"/>
      <c r="N74" s="198" t="s">
        <v>8441</v>
      </c>
      <c r="O74" s="198" t="s">
        <v>1626</v>
      </c>
      <c r="P74" s="21" t="s">
        <v>22</v>
      </c>
      <c r="Q74" s="199"/>
      <c r="R74" s="199"/>
      <c r="S74" s="199"/>
      <c r="T74" s="199"/>
      <c r="U74" s="199"/>
      <c r="V74" s="199"/>
      <c r="W74" s="199"/>
      <c r="X74" s="199"/>
      <c r="Y74" s="199"/>
      <c r="Z74" s="199"/>
    </row>
    <row r="75">
      <c r="A75" s="203">
        <v>45958.0</v>
      </c>
      <c r="B75" s="198" t="s">
        <v>1962</v>
      </c>
      <c r="C75" s="198" t="s">
        <v>1542</v>
      </c>
      <c r="D75" s="198">
        <v>1.0</v>
      </c>
      <c r="E75" s="204">
        <v>0.0</v>
      </c>
      <c r="F75" s="204">
        <v>0.0</v>
      </c>
      <c r="G75" s="199"/>
      <c r="H75" s="199"/>
      <c r="I75" s="198" t="s">
        <v>1221</v>
      </c>
      <c r="J75" s="204">
        <v>0.0</v>
      </c>
      <c r="K75" s="204">
        <v>0.0</v>
      </c>
      <c r="L75" s="206">
        <v>0.0</v>
      </c>
      <c r="M75" s="199"/>
      <c r="N75" s="198" t="s">
        <v>8442</v>
      </c>
      <c r="O75" s="198" t="s">
        <v>483</v>
      </c>
      <c r="P75" s="21" t="s">
        <v>22</v>
      </c>
      <c r="Q75" s="199"/>
      <c r="R75" s="199"/>
      <c r="S75" s="199"/>
      <c r="T75" s="199"/>
      <c r="U75" s="199"/>
      <c r="V75" s="199"/>
      <c r="W75" s="199"/>
      <c r="X75" s="199"/>
      <c r="Y75" s="199"/>
      <c r="Z75" s="199"/>
    </row>
    <row r="76">
      <c r="A76" s="203">
        <v>45959.0</v>
      </c>
      <c r="B76" s="198" t="s">
        <v>1995</v>
      </c>
      <c r="C76" s="198" t="s">
        <v>1846</v>
      </c>
      <c r="D76" s="198">
        <v>1.0</v>
      </c>
      <c r="E76" s="204">
        <v>0.0</v>
      </c>
      <c r="F76" s="204">
        <v>0.0</v>
      </c>
      <c r="G76" s="199"/>
      <c r="H76" s="199"/>
      <c r="I76" s="198" t="s">
        <v>1221</v>
      </c>
      <c r="J76" s="204">
        <v>5.0</v>
      </c>
      <c r="K76" s="204">
        <v>-5.0</v>
      </c>
      <c r="L76" s="206">
        <v>0.0</v>
      </c>
      <c r="M76" s="199"/>
      <c r="N76" s="198" t="s">
        <v>8443</v>
      </c>
      <c r="O76" s="198" t="s">
        <v>483</v>
      </c>
      <c r="P76" s="21" t="s">
        <v>22</v>
      </c>
      <c r="Q76" s="199"/>
      <c r="R76" s="199"/>
      <c r="S76" s="199"/>
      <c r="T76" s="199"/>
      <c r="U76" s="199"/>
      <c r="V76" s="199"/>
      <c r="W76" s="199"/>
      <c r="X76" s="199"/>
      <c r="Y76" s="199"/>
      <c r="Z76" s="199"/>
    </row>
    <row r="77">
      <c r="A77" s="203">
        <v>45958.0</v>
      </c>
      <c r="B77" s="198" t="s">
        <v>1954</v>
      </c>
      <c r="C77" s="198" t="s">
        <v>1484</v>
      </c>
      <c r="D77" s="198">
        <v>1.0</v>
      </c>
      <c r="E77" s="204">
        <v>0.0</v>
      </c>
      <c r="F77" s="204">
        <v>0.0</v>
      </c>
      <c r="G77" s="199"/>
      <c r="H77" s="199"/>
      <c r="I77" s="198" t="s">
        <v>1221</v>
      </c>
      <c r="J77" s="204">
        <v>9.993333333333334</v>
      </c>
      <c r="K77" s="204">
        <v>-9.99</v>
      </c>
      <c r="L77" s="206">
        <v>0.0</v>
      </c>
      <c r="M77" s="199"/>
      <c r="N77" s="198" t="s">
        <v>8444</v>
      </c>
      <c r="O77" s="198" t="s">
        <v>483</v>
      </c>
      <c r="P77" s="21" t="s">
        <v>22</v>
      </c>
      <c r="Q77" s="199"/>
      <c r="R77" s="199"/>
      <c r="S77" s="199"/>
      <c r="T77" s="199"/>
      <c r="U77" s="199"/>
      <c r="V77" s="199"/>
      <c r="W77" s="199"/>
      <c r="X77" s="199"/>
      <c r="Y77" s="199"/>
      <c r="Z77" s="199"/>
    </row>
    <row r="78">
      <c r="A78" s="203">
        <v>45957.0</v>
      </c>
      <c r="B78" s="198" t="s">
        <v>1938</v>
      </c>
      <c r="C78" s="198" t="s">
        <v>1802</v>
      </c>
      <c r="D78" s="198">
        <v>1.0</v>
      </c>
      <c r="E78" s="204">
        <v>10.0</v>
      </c>
      <c r="F78" s="204">
        <v>10.0</v>
      </c>
      <c r="G78" s="198" t="s">
        <v>80</v>
      </c>
      <c r="H78" s="199"/>
      <c r="I78" s="198" t="s">
        <v>1221</v>
      </c>
      <c r="J78" s="204">
        <v>9.5</v>
      </c>
      <c r="K78" s="204">
        <v>0.5</v>
      </c>
      <c r="L78" s="206">
        <v>0.05</v>
      </c>
      <c r="M78" s="199"/>
      <c r="N78" s="198" t="s">
        <v>8445</v>
      </c>
      <c r="O78" s="198" t="s">
        <v>1626</v>
      </c>
      <c r="P78" s="21" t="s">
        <v>22</v>
      </c>
      <c r="Q78" s="199"/>
      <c r="R78" s="199"/>
      <c r="S78" s="199"/>
      <c r="T78" s="199"/>
      <c r="U78" s="199"/>
      <c r="V78" s="199"/>
      <c r="W78" s="199"/>
      <c r="X78" s="199"/>
      <c r="Y78" s="199"/>
      <c r="Z78" s="199"/>
    </row>
    <row r="79">
      <c r="A79" s="203">
        <v>45957.0</v>
      </c>
      <c r="B79" s="198" t="s">
        <v>1946</v>
      </c>
      <c r="C79" s="198" t="s">
        <v>1691</v>
      </c>
      <c r="D79" s="198">
        <v>1.0</v>
      </c>
      <c r="E79" s="204">
        <v>10.0</v>
      </c>
      <c r="F79" s="204">
        <v>10.0</v>
      </c>
      <c r="G79" s="198" t="s">
        <v>80</v>
      </c>
      <c r="H79" s="199"/>
      <c r="I79" s="198" t="s">
        <v>1221</v>
      </c>
      <c r="J79" s="204">
        <v>15.34</v>
      </c>
      <c r="K79" s="204">
        <v>-5.34</v>
      </c>
      <c r="L79" s="206">
        <v>-0.534</v>
      </c>
      <c r="M79" s="199"/>
      <c r="N79" s="198" t="s">
        <v>8446</v>
      </c>
      <c r="O79" s="198" t="s">
        <v>1626</v>
      </c>
      <c r="P79" s="21" t="s">
        <v>22</v>
      </c>
      <c r="Q79" s="199"/>
      <c r="R79" s="199"/>
      <c r="S79" s="199"/>
      <c r="T79" s="199"/>
      <c r="U79" s="199"/>
      <c r="V79" s="199"/>
      <c r="W79" s="199"/>
      <c r="X79" s="199"/>
      <c r="Y79" s="199"/>
      <c r="Z79" s="199"/>
    </row>
    <row r="80">
      <c r="A80" s="203">
        <v>45958.0</v>
      </c>
      <c r="B80" s="198" t="s">
        <v>1966</v>
      </c>
      <c r="C80" s="198" t="s">
        <v>1545</v>
      </c>
      <c r="D80" s="198">
        <v>1.0</v>
      </c>
      <c r="E80" s="204">
        <v>10.0</v>
      </c>
      <c r="F80" s="204">
        <v>10.0</v>
      </c>
      <c r="G80" s="198" t="s">
        <v>80</v>
      </c>
      <c r="H80" s="199"/>
      <c r="I80" s="198" t="s">
        <v>1221</v>
      </c>
      <c r="J80" s="204">
        <v>8.1</v>
      </c>
      <c r="K80" s="204">
        <v>1.9000000000000004</v>
      </c>
      <c r="L80" s="206">
        <v>0.19000000000000003</v>
      </c>
      <c r="M80" s="199"/>
      <c r="N80" s="208" t="s">
        <v>8447</v>
      </c>
      <c r="O80" s="198" t="s">
        <v>1626</v>
      </c>
      <c r="P80" s="21" t="s">
        <v>22</v>
      </c>
      <c r="Q80" s="199"/>
      <c r="R80" s="199"/>
      <c r="S80" s="199"/>
      <c r="T80" s="199"/>
      <c r="U80" s="199"/>
      <c r="V80" s="199"/>
      <c r="W80" s="199"/>
      <c r="X80" s="199"/>
      <c r="Y80" s="199"/>
      <c r="Z80" s="199"/>
    </row>
    <row r="81">
      <c r="A81" s="203">
        <v>45957.0</v>
      </c>
      <c r="B81" s="198" t="s">
        <v>1940</v>
      </c>
      <c r="C81" s="198" t="s">
        <v>1802</v>
      </c>
      <c r="D81" s="198">
        <v>1.0</v>
      </c>
      <c r="E81" s="204">
        <v>10.0</v>
      </c>
      <c r="F81" s="204">
        <v>10.0</v>
      </c>
      <c r="G81" s="198" t="s">
        <v>80</v>
      </c>
      <c r="H81" s="199"/>
      <c r="I81" s="198" t="s">
        <v>1221</v>
      </c>
      <c r="J81" s="204">
        <v>9.5</v>
      </c>
      <c r="K81" s="204">
        <v>0.5</v>
      </c>
      <c r="L81" s="206">
        <v>0.05</v>
      </c>
      <c r="M81" s="199"/>
      <c r="N81" s="198" t="s">
        <v>8448</v>
      </c>
      <c r="O81" s="198" t="s">
        <v>1626</v>
      </c>
      <c r="P81" s="21" t="s">
        <v>22</v>
      </c>
      <c r="Q81" s="199"/>
      <c r="R81" s="199"/>
      <c r="S81" s="199"/>
      <c r="T81" s="199"/>
      <c r="U81" s="199"/>
      <c r="V81" s="199"/>
      <c r="W81" s="199"/>
      <c r="X81" s="199"/>
      <c r="Y81" s="199"/>
      <c r="Z81" s="199"/>
    </row>
    <row r="82">
      <c r="A82" s="203">
        <v>45960.0</v>
      </c>
      <c r="B82" s="198" t="s">
        <v>2019</v>
      </c>
      <c r="C82" s="198" t="s">
        <v>1779</v>
      </c>
      <c r="D82" s="198">
        <v>1.0</v>
      </c>
      <c r="E82" s="204">
        <v>10.0</v>
      </c>
      <c r="F82" s="204">
        <v>10.0</v>
      </c>
      <c r="G82" s="198" t="s">
        <v>80</v>
      </c>
      <c r="H82" s="199"/>
      <c r="I82" s="198" t="s">
        <v>1221</v>
      </c>
      <c r="J82" s="204">
        <v>5.19</v>
      </c>
      <c r="K82" s="204">
        <v>4.81</v>
      </c>
      <c r="L82" s="206">
        <v>0.481</v>
      </c>
      <c r="M82" s="199"/>
      <c r="N82" s="198" t="s">
        <v>8449</v>
      </c>
      <c r="O82" s="198" t="s">
        <v>1626</v>
      </c>
      <c r="P82" s="21" t="s">
        <v>22</v>
      </c>
      <c r="Q82" s="199"/>
      <c r="R82" s="199"/>
      <c r="S82" s="199"/>
      <c r="T82" s="199"/>
      <c r="U82" s="199"/>
      <c r="V82" s="199"/>
      <c r="W82" s="199"/>
      <c r="X82" s="199"/>
      <c r="Y82" s="199"/>
      <c r="Z82" s="199"/>
    </row>
    <row r="83">
      <c r="A83" s="203">
        <v>45960.0</v>
      </c>
      <c r="B83" s="198" t="s">
        <v>2029</v>
      </c>
      <c r="C83" s="198" t="s">
        <v>1468</v>
      </c>
      <c r="D83" s="198">
        <v>1.0</v>
      </c>
      <c r="E83" s="204">
        <v>10.0</v>
      </c>
      <c r="F83" s="204">
        <v>10.0</v>
      </c>
      <c r="G83" s="198" t="s">
        <v>80</v>
      </c>
      <c r="H83" s="199"/>
      <c r="I83" s="198" t="s">
        <v>1221</v>
      </c>
      <c r="J83" s="204">
        <v>0.29</v>
      </c>
      <c r="K83" s="204">
        <v>9.71</v>
      </c>
      <c r="L83" s="206">
        <v>0.9710000000000001</v>
      </c>
      <c r="M83" s="199"/>
      <c r="N83" s="198" t="s">
        <v>8450</v>
      </c>
      <c r="O83" s="198" t="s">
        <v>1626</v>
      </c>
      <c r="P83" s="21" t="s">
        <v>22</v>
      </c>
      <c r="Q83" s="199"/>
      <c r="R83" s="199"/>
      <c r="S83" s="199"/>
      <c r="T83" s="199"/>
      <c r="U83" s="199"/>
      <c r="V83" s="199"/>
      <c r="W83" s="199"/>
      <c r="X83" s="199"/>
      <c r="Y83" s="199"/>
      <c r="Z83" s="199"/>
    </row>
    <row r="84">
      <c r="A84" s="203">
        <v>45960.0</v>
      </c>
      <c r="B84" s="198" t="s">
        <v>2021</v>
      </c>
      <c r="C84" s="198" t="s">
        <v>1721</v>
      </c>
      <c r="D84" s="198">
        <v>1.0</v>
      </c>
      <c r="E84" s="204">
        <v>5.0</v>
      </c>
      <c r="F84" s="204">
        <v>5.0</v>
      </c>
      <c r="G84" s="198" t="s">
        <v>80</v>
      </c>
      <c r="H84" s="199"/>
      <c r="I84" s="198" t="s">
        <v>1221</v>
      </c>
      <c r="J84" s="204">
        <v>4.19</v>
      </c>
      <c r="K84" s="204">
        <v>0.8099999999999996</v>
      </c>
      <c r="L84" s="206">
        <v>0.16199999999999992</v>
      </c>
      <c r="M84" s="199"/>
      <c r="N84" s="198" t="s">
        <v>8451</v>
      </c>
      <c r="O84" s="198" t="s">
        <v>1626</v>
      </c>
      <c r="P84" s="21" t="s">
        <v>22</v>
      </c>
      <c r="Q84" s="199"/>
      <c r="R84" s="199"/>
      <c r="S84" s="199"/>
      <c r="T84" s="199"/>
      <c r="U84" s="199"/>
      <c r="V84" s="199"/>
      <c r="W84" s="199"/>
      <c r="X84" s="199"/>
      <c r="Y84" s="199"/>
      <c r="Z84" s="199"/>
    </row>
    <row r="85">
      <c r="A85" s="203">
        <v>45960.0</v>
      </c>
      <c r="B85" s="198" t="s">
        <v>2023</v>
      </c>
      <c r="C85" s="198" t="s">
        <v>1675</v>
      </c>
      <c r="D85" s="198">
        <v>1.0</v>
      </c>
      <c r="E85" s="204">
        <v>8.0</v>
      </c>
      <c r="F85" s="204">
        <v>8.0</v>
      </c>
      <c r="G85" s="198" t="s">
        <v>80</v>
      </c>
      <c r="H85" s="199"/>
      <c r="I85" s="198" t="s">
        <v>1221</v>
      </c>
      <c r="J85" s="204">
        <v>14.29</v>
      </c>
      <c r="K85" s="204">
        <v>-6.289999999999999</v>
      </c>
      <c r="L85" s="206">
        <v>-0.7862499999999999</v>
      </c>
      <c r="M85" s="199"/>
      <c r="N85" s="198" t="s">
        <v>8452</v>
      </c>
      <c r="O85" s="198" t="s">
        <v>1626</v>
      </c>
      <c r="P85" s="21" t="s">
        <v>22</v>
      </c>
      <c r="Q85" s="199"/>
      <c r="R85" s="199"/>
      <c r="S85" s="199"/>
      <c r="T85" s="199"/>
      <c r="U85" s="199"/>
      <c r="V85" s="199"/>
      <c r="W85" s="199"/>
      <c r="X85" s="199"/>
      <c r="Y85" s="199"/>
      <c r="Z85" s="199"/>
    </row>
    <row r="86">
      <c r="A86" s="203">
        <v>45960.0</v>
      </c>
      <c r="B86" s="198" t="s">
        <v>2037</v>
      </c>
      <c r="C86" s="198" t="s">
        <v>1468</v>
      </c>
      <c r="D86" s="198">
        <v>1.0</v>
      </c>
      <c r="E86" s="204">
        <v>0.0</v>
      </c>
      <c r="F86" s="204">
        <v>0.0</v>
      </c>
      <c r="G86" s="199"/>
      <c r="H86" s="199"/>
      <c r="I86" s="198" t="s">
        <v>1221</v>
      </c>
      <c r="J86" s="204">
        <v>0.0</v>
      </c>
      <c r="K86" s="204">
        <v>0.0</v>
      </c>
      <c r="L86" s="206">
        <v>0.0</v>
      </c>
      <c r="M86" s="199"/>
      <c r="N86" s="198" t="s">
        <v>8453</v>
      </c>
      <c r="O86" s="198" t="s">
        <v>483</v>
      </c>
      <c r="P86" s="21" t="s">
        <v>22</v>
      </c>
      <c r="Q86" s="199"/>
      <c r="R86" s="199"/>
      <c r="S86" s="199"/>
      <c r="T86" s="199"/>
      <c r="U86" s="199"/>
      <c r="V86" s="199"/>
      <c r="W86" s="199"/>
      <c r="X86" s="199"/>
      <c r="Y86" s="199"/>
      <c r="Z86" s="199"/>
    </row>
    <row r="87">
      <c r="A87" s="203">
        <v>45960.0</v>
      </c>
      <c r="B87" s="198" t="s">
        <v>2039</v>
      </c>
      <c r="C87" s="198" t="s">
        <v>1497</v>
      </c>
      <c r="D87" s="198">
        <v>1.0</v>
      </c>
      <c r="E87" s="204">
        <v>0.0</v>
      </c>
      <c r="F87" s="204">
        <v>0.0</v>
      </c>
      <c r="G87" s="198" t="s">
        <v>80</v>
      </c>
      <c r="H87" s="199"/>
      <c r="I87" s="198" t="s">
        <v>1221</v>
      </c>
      <c r="J87" s="204">
        <v>7.8</v>
      </c>
      <c r="K87" s="204">
        <v>-7.8</v>
      </c>
      <c r="L87" s="206">
        <v>0.0</v>
      </c>
      <c r="M87" s="199"/>
      <c r="N87" s="198" t="s">
        <v>8454</v>
      </c>
      <c r="O87" s="198" t="s">
        <v>483</v>
      </c>
      <c r="P87" s="21" t="s">
        <v>22</v>
      </c>
      <c r="Q87" s="199"/>
      <c r="R87" s="199"/>
      <c r="S87" s="199"/>
      <c r="T87" s="199"/>
      <c r="U87" s="199"/>
      <c r="V87" s="199"/>
      <c r="W87" s="199"/>
      <c r="X87" s="199"/>
      <c r="Y87" s="199"/>
      <c r="Z87" s="199"/>
    </row>
    <row r="88">
      <c r="A88" s="203"/>
      <c r="B88" s="198"/>
      <c r="C88" s="198"/>
      <c r="D88" s="198"/>
      <c r="E88" s="204"/>
      <c r="F88" s="204"/>
      <c r="G88" s="199"/>
      <c r="H88" s="199"/>
      <c r="I88" s="198"/>
      <c r="J88" s="204"/>
      <c r="K88" s="204"/>
      <c r="L88" s="206"/>
      <c r="M88" s="199"/>
      <c r="N88" s="198"/>
      <c r="O88" s="198"/>
      <c r="P88" s="21"/>
      <c r="Q88" s="199"/>
      <c r="R88" s="199"/>
      <c r="S88" s="199"/>
      <c r="T88" s="199"/>
      <c r="U88" s="199"/>
      <c r="V88" s="199"/>
      <c r="W88" s="199"/>
      <c r="X88" s="199"/>
      <c r="Y88" s="199"/>
      <c r="Z88" s="199"/>
    </row>
    <row r="89">
      <c r="A89" s="203">
        <v>45960.0</v>
      </c>
      <c r="B89" s="198" t="s">
        <v>2068</v>
      </c>
      <c r="C89" s="198" t="s">
        <v>1684</v>
      </c>
      <c r="D89" s="198">
        <v>1.0</v>
      </c>
      <c r="E89" s="204">
        <v>10.0</v>
      </c>
      <c r="F89" s="204">
        <v>10.0</v>
      </c>
      <c r="G89" s="198" t="s">
        <v>80</v>
      </c>
      <c r="H89" s="199"/>
      <c r="I89" s="198" t="s">
        <v>1221</v>
      </c>
      <c r="J89" s="204">
        <v>0.13</v>
      </c>
      <c r="K89" s="204">
        <v>9.87</v>
      </c>
      <c r="L89" s="206">
        <v>0.9869999999999999</v>
      </c>
      <c r="M89" s="199"/>
      <c r="N89" s="198" t="s">
        <v>8455</v>
      </c>
      <c r="O89" s="198" t="s">
        <v>1626</v>
      </c>
      <c r="P89" s="21" t="s">
        <v>22</v>
      </c>
      <c r="Q89" s="199"/>
      <c r="R89" s="199"/>
      <c r="S89" s="199"/>
      <c r="T89" s="199"/>
      <c r="U89" s="199"/>
      <c r="V89" s="199"/>
      <c r="W89" s="199"/>
      <c r="X89" s="199"/>
      <c r="Y89" s="199"/>
      <c r="Z89" s="199"/>
    </row>
    <row r="90">
      <c r="A90" s="203">
        <v>45960.0</v>
      </c>
      <c r="B90" s="198" t="s">
        <v>8456</v>
      </c>
      <c r="C90" s="198" t="s">
        <v>8457</v>
      </c>
      <c r="D90" s="198">
        <v>1.0</v>
      </c>
      <c r="E90" s="204">
        <v>4.0</v>
      </c>
      <c r="F90" s="204">
        <v>4.0</v>
      </c>
      <c r="G90" s="198" t="s">
        <v>80</v>
      </c>
      <c r="H90" s="199"/>
      <c r="I90" s="198" t="s">
        <v>1221</v>
      </c>
      <c r="J90" s="204">
        <v>0.57</v>
      </c>
      <c r="K90" s="204">
        <v>3.43</v>
      </c>
      <c r="L90" s="206">
        <v>0.8575</v>
      </c>
      <c r="M90" s="199"/>
      <c r="N90" s="198" t="s">
        <v>8458</v>
      </c>
      <c r="O90" s="198" t="s">
        <v>1626</v>
      </c>
      <c r="P90" s="21" t="s">
        <v>22</v>
      </c>
      <c r="Q90" s="199"/>
      <c r="R90" s="199"/>
      <c r="S90" s="199"/>
      <c r="T90" s="199"/>
      <c r="U90" s="199"/>
      <c r="V90" s="199"/>
      <c r="W90" s="199"/>
      <c r="X90" s="199"/>
      <c r="Y90" s="199"/>
      <c r="Z90" s="199"/>
    </row>
    <row r="91">
      <c r="A91" s="203">
        <v>45960.0</v>
      </c>
      <c r="B91" s="198" t="s">
        <v>8459</v>
      </c>
      <c r="C91" s="198" t="s">
        <v>8460</v>
      </c>
      <c r="D91" s="198">
        <v>1.0</v>
      </c>
      <c r="E91" s="204">
        <v>15.0</v>
      </c>
      <c r="F91" s="204">
        <v>15.0</v>
      </c>
      <c r="G91" s="198" t="s">
        <v>80</v>
      </c>
      <c r="H91" s="199"/>
      <c r="I91" s="198" t="s">
        <v>1221</v>
      </c>
      <c r="J91" s="204">
        <v>7.12</v>
      </c>
      <c r="K91" s="204">
        <v>7.88</v>
      </c>
      <c r="L91" s="206">
        <v>0.5253333333333333</v>
      </c>
      <c r="M91" s="199"/>
      <c r="N91" s="198" t="s">
        <v>8461</v>
      </c>
      <c r="O91" s="198" t="s">
        <v>1626</v>
      </c>
      <c r="P91" s="21" t="s">
        <v>22</v>
      </c>
      <c r="Q91" s="199"/>
      <c r="R91" s="199"/>
      <c r="S91" s="199"/>
      <c r="T91" s="199"/>
      <c r="U91" s="199"/>
      <c r="V91" s="199"/>
      <c r="W91" s="199"/>
      <c r="X91" s="199"/>
      <c r="Y91" s="199"/>
      <c r="Z91" s="199"/>
    </row>
    <row r="92">
      <c r="A92" s="203">
        <v>45961.0</v>
      </c>
      <c r="B92" s="198" t="s">
        <v>2045</v>
      </c>
      <c r="C92" s="198" t="s">
        <v>1545</v>
      </c>
      <c r="D92" s="198">
        <v>1.0</v>
      </c>
      <c r="E92" s="204">
        <v>10.0</v>
      </c>
      <c r="F92" s="204">
        <v>10.0</v>
      </c>
      <c r="G92" s="198" t="s">
        <v>45</v>
      </c>
      <c r="H92" s="199"/>
      <c r="I92" s="198" t="s">
        <v>43</v>
      </c>
      <c r="J92" s="204">
        <v>8.1</v>
      </c>
      <c r="K92" s="204">
        <v>1.9000000000000004</v>
      </c>
      <c r="L92" s="206">
        <v>0.19000000000000003</v>
      </c>
      <c r="M92" s="199"/>
      <c r="N92" s="198" t="s">
        <v>8462</v>
      </c>
      <c r="O92" s="198" t="s">
        <v>1626</v>
      </c>
      <c r="P92" s="21" t="s">
        <v>22</v>
      </c>
      <c r="Q92" s="199"/>
      <c r="R92" s="199"/>
      <c r="S92" s="199"/>
      <c r="T92" s="199"/>
      <c r="U92" s="199"/>
      <c r="V92" s="199"/>
      <c r="W92" s="199"/>
      <c r="X92" s="199"/>
      <c r="Y92" s="199"/>
      <c r="Z92" s="199"/>
    </row>
    <row r="93">
      <c r="A93" s="203">
        <v>45958.0</v>
      </c>
      <c r="B93" s="198" t="s">
        <v>1956</v>
      </c>
      <c r="C93" s="198" t="s">
        <v>1588</v>
      </c>
      <c r="D93" s="198">
        <v>1.0</v>
      </c>
      <c r="E93" s="204">
        <v>0.0</v>
      </c>
      <c r="F93" s="204">
        <v>0.0</v>
      </c>
      <c r="G93" s="198" t="s">
        <v>80</v>
      </c>
      <c r="H93" s="199"/>
      <c r="I93" s="198" t="s">
        <v>1221</v>
      </c>
      <c r="J93" s="204">
        <v>2.427142857142857</v>
      </c>
      <c r="K93" s="204">
        <v>-2.43</v>
      </c>
      <c r="L93" s="206">
        <v>0.0</v>
      </c>
      <c r="M93" s="199"/>
      <c r="N93" s="198" t="s">
        <v>8463</v>
      </c>
      <c r="O93" s="198" t="s">
        <v>483</v>
      </c>
      <c r="P93" s="21" t="s">
        <v>22</v>
      </c>
      <c r="Q93" s="199"/>
      <c r="R93" s="199"/>
      <c r="S93" s="199"/>
      <c r="T93" s="199"/>
      <c r="U93" s="199"/>
      <c r="V93" s="199"/>
      <c r="W93" s="199"/>
      <c r="X93" s="199"/>
      <c r="Y93" s="199"/>
      <c r="Z93" s="199"/>
    </row>
    <row r="94">
      <c r="A94" s="203">
        <v>45957.0</v>
      </c>
      <c r="B94" s="198" t="s">
        <v>1922</v>
      </c>
      <c r="C94" s="198" t="s">
        <v>1465</v>
      </c>
      <c r="D94" s="198">
        <v>1.0</v>
      </c>
      <c r="E94" s="204">
        <v>10.0</v>
      </c>
      <c r="F94" s="204">
        <v>10.0</v>
      </c>
      <c r="G94" s="198" t="s">
        <v>80</v>
      </c>
      <c r="H94" s="199"/>
      <c r="I94" s="198" t="s">
        <v>1221</v>
      </c>
      <c r="J94" s="204">
        <v>8.29</v>
      </c>
      <c r="K94" s="204">
        <v>1.7100000000000009</v>
      </c>
      <c r="L94" s="206">
        <v>0.1710000000000001</v>
      </c>
      <c r="M94" s="199"/>
      <c r="N94" s="198" t="s">
        <v>8464</v>
      </c>
      <c r="O94" s="198" t="s">
        <v>1626</v>
      </c>
      <c r="P94" s="21" t="s">
        <v>22</v>
      </c>
      <c r="Q94" s="199"/>
      <c r="R94" s="199"/>
      <c r="S94" s="199"/>
      <c r="T94" s="199"/>
      <c r="U94" s="199"/>
      <c r="V94" s="199"/>
      <c r="W94" s="199"/>
      <c r="X94" s="199"/>
      <c r="Y94" s="199"/>
      <c r="Z94" s="199"/>
    </row>
    <row r="95">
      <c r="A95" s="203">
        <v>45960.0</v>
      </c>
      <c r="B95" s="198" t="s">
        <v>2041</v>
      </c>
      <c r="C95" s="198" t="s">
        <v>1684</v>
      </c>
      <c r="D95" s="198">
        <v>1.0</v>
      </c>
      <c r="E95" s="204">
        <v>0.0</v>
      </c>
      <c r="F95" s="204">
        <v>0.0</v>
      </c>
      <c r="G95" s="198" t="s">
        <v>483</v>
      </c>
      <c r="H95" s="199"/>
      <c r="I95" s="198" t="s">
        <v>1221</v>
      </c>
      <c r="J95" s="204">
        <v>0.0</v>
      </c>
      <c r="K95" s="204">
        <v>0.0</v>
      </c>
      <c r="L95" s="206">
        <v>0.0</v>
      </c>
      <c r="M95" s="199"/>
      <c r="N95" s="198" t="s">
        <v>8465</v>
      </c>
      <c r="O95" s="198" t="s">
        <v>483</v>
      </c>
      <c r="P95" s="21" t="s">
        <v>22</v>
      </c>
      <c r="Q95" s="199"/>
      <c r="R95" s="199"/>
      <c r="S95" s="199"/>
      <c r="T95" s="199"/>
      <c r="U95" s="199"/>
      <c r="V95" s="199"/>
      <c r="W95" s="199"/>
      <c r="X95" s="199"/>
      <c r="Y95" s="199"/>
      <c r="Z95" s="199"/>
    </row>
    <row r="96">
      <c r="A96" s="203">
        <v>45957.0</v>
      </c>
      <c r="B96" s="198" t="s">
        <v>1930</v>
      </c>
      <c r="C96" s="198" t="s">
        <v>1747</v>
      </c>
      <c r="D96" s="198">
        <v>1.0</v>
      </c>
      <c r="E96" s="204">
        <v>0.0</v>
      </c>
      <c r="F96" s="204">
        <v>0.0</v>
      </c>
      <c r="G96" s="198" t="s">
        <v>483</v>
      </c>
      <c r="H96" s="199"/>
      <c r="I96" s="198" t="s">
        <v>1221</v>
      </c>
      <c r="J96" s="204">
        <v>2.0</v>
      </c>
      <c r="K96" s="204">
        <v>-2.0</v>
      </c>
      <c r="L96" s="206">
        <v>0.0</v>
      </c>
      <c r="M96" s="199"/>
      <c r="N96" s="198" t="s">
        <v>8466</v>
      </c>
      <c r="O96" s="198" t="s">
        <v>483</v>
      </c>
      <c r="P96" s="21" t="s">
        <v>22</v>
      </c>
      <c r="Q96" s="199"/>
      <c r="R96" s="199"/>
      <c r="S96" s="199"/>
      <c r="T96" s="199"/>
      <c r="U96" s="199"/>
      <c r="V96" s="199"/>
      <c r="W96" s="199"/>
      <c r="X96" s="199"/>
      <c r="Y96" s="199"/>
      <c r="Z96" s="199"/>
    </row>
    <row r="97">
      <c r="A97" s="203">
        <v>45957.0</v>
      </c>
      <c r="B97" s="198" t="s">
        <v>1926</v>
      </c>
      <c r="C97" s="198" t="s">
        <v>1569</v>
      </c>
      <c r="D97" s="198">
        <v>1.0</v>
      </c>
      <c r="E97" s="204">
        <v>0.0</v>
      </c>
      <c r="F97" s="204">
        <v>0.0</v>
      </c>
      <c r="G97" s="198" t="s">
        <v>483</v>
      </c>
      <c r="H97" s="199"/>
      <c r="I97" s="198" t="s">
        <v>1221</v>
      </c>
      <c r="J97" s="204">
        <v>3.2975</v>
      </c>
      <c r="K97" s="204">
        <v>-3.3</v>
      </c>
      <c r="L97" s="206">
        <v>0.0</v>
      </c>
      <c r="M97" s="199"/>
      <c r="N97" s="198" t="s">
        <v>8467</v>
      </c>
      <c r="O97" s="198" t="s">
        <v>483</v>
      </c>
      <c r="P97" s="21" t="s">
        <v>22</v>
      </c>
      <c r="Q97" s="199"/>
      <c r="R97" s="199"/>
      <c r="S97" s="199"/>
      <c r="T97" s="199"/>
      <c r="U97" s="199"/>
      <c r="V97" s="199"/>
      <c r="W97" s="199"/>
      <c r="X97" s="199"/>
      <c r="Y97" s="199"/>
      <c r="Z97" s="199"/>
    </row>
    <row r="98">
      <c r="A98" s="203">
        <v>45960.0</v>
      </c>
      <c r="B98" s="198" t="s">
        <v>2027</v>
      </c>
      <c r="C98" s="198" t="s">
        <v>1569</v>
      </c>
      <c r="D98" s="198">
        <v>1.0</v>
      </c>
      <c r="E98" s="204">
        <v>0.0</v>
      </c>
      <c r="F98" s="204">
        <v>0.0</v>
      </c>
      <c r="G98" s="198" t="s">
        <v>483</v>
      </c>
      <c r="H98" s="199"/>
      <c r="I98" s="198" t="s">
        <v>1221</v>
      </c>
      <c r="J98" s="204">
        <v>2.1983333333333333</v>
      </c>
      <c r="K98" s="204">
        <v>-2.2</v>
      </c>
      <c r="L98" s="206">
        <v>0.0</v>
      </c>
      <c r="M98" s="199"/>
      <c r="N98" s="198" t="s">
        <v>8468</v>
      </c>
      <c r="O98" s="198" t="s">
        <v>483</v>
      </c>
      <c r="P98" s="21" t="s">
        <v>22</v>
      </c>
      <c r="Q98" s="199"/>
      <c r="R98" s="199"/>
      <c r="S98" s="199"/>
      <c r="T98" s="199"/>
      <c r="U98" s="199"/>
      <c r="V98" s="199"/>
      <c r="W98" s="199"/>
      <c r="X98" s="199"/>
      <c r="Y98" s="199"/>
      <c r="Z98" s="199"/>
    </row>
    <row r="99">
      <c r="A99" s="203">
        <v>45959.0</v>
      </c>
      <c r="B99" s="198" t="s">
        <v>1987</v>
      </c>
      <c r="C99" s="198" t="s">
        <v>1747</v>
      </c>
      <c r="D99" s="198">
        <v>1.0</v>
      </c>
      <c r="E99" s="204">
        <v>0.0</v>
      </c>
      <c r="F99" s="204">
        <v>0.0</v>
      </c>
      <c r="G99" s="198" t="s">
        <v>483</v>
      </c>
      <c r="H99" s="199"/>
      <c r="I99" s="198" t="s">
        <v>1221</v>
      </c>
      <c r="J99" s="204">
        <v>2.0</v>
      </c>
      <c r="K99" s="204">
        <v>-2.0</v>
      </c>
      <c r="L99" s="206">
        <v>0.0</v>
      </c>
      <c r="M99" s="199"/>
      <c r="N99" s="198" t="s">
        <v>8469</v>
      </c>
      <c r="O99" s="198" t="s">
        <v>483</v>
      </c>
      <c r="P99" s="21" t="s">
        <v>22</v>
      </c>
      <c r="Q99" s="199"/>
      <c r="R99" s="199"/>
      <c r="S99" s="199"/>
      <c r="T99" s="199"/>
      <c r="U99" s="199"/>
      <c r="V99" s="199"/>
      <c r="W99" s="199"/>
      <c r="X99" s="199"/>
      <c r="Y99" s="199"/>
      <c r="Z99" s="199"/>
    </row>
    <row r="100">
      <c r="A100" s="203">
        <v>45959.0</v>
      </c>
      <c r="B100" s="198" t="s">
        <v>1993</v>
      </c>
      <c r="C100" s="198" t="s">
        <v>1542</v>
      </c>
      <c r="D100" s="198">
        <v>1.0</v>
      </c>
      <c r="E100" s="204">
        <v>0.0</v>
      </c>
      <c r="F100" s="204">
        <v>0.0</v>
      </c>
      <c r="G100" s="198" t="s">
        <v>483</v>
      </c>
      <c r="H100" s="199"/>
      <c r="I100" s="198" t="s">
        <v>1221</v>
      </c>
      <c r="J100" s="204">
        <v>0.0</v>
      </c>
      <c r="K100" s="204">
        <v>0.0</v>
      </c>
      <c r="L100" s="206">
        <v>0.0</v>
      </c>
      <c r="M100" s="199"/>
      <c r="N100" s="198" t="s">
        <v>8470</v>
      </c>
      <c r="O100" s="198" t="s">
        <v>483</v>
      </c>
      <c r="P100" s="21" t="s">
        <v>22</v>
      </c>
      <c r="Q100" s="199"/>
      <c r="R100" s="199"/>
      <c r="S100" s="199"/>
      <c r="T100" s="199"/>
      <c r="U100" s="199"/>
      <c r="V100" s="199"/>
      <c r="W100" s="199"/>
      <c r="X100" s="199"/>
      <c r="Y100" s="199"/>
      <c r="Z100" s="199"/>
    </row>
    <row r="101">
      <c r="A101" s="203">
        <v>45959.0</v>
      </c>
      <c r="B101" s="198" t="s">
        <v>1991</v>
      </c>
      <c r="C101" s="198" t="s">
        <v>1542</v>
      </c>
      <c r="D101" s="198">
        <v>1.0</v>
      </c>
      <c r="E101" s="204">
        <v>0.0</v>
      </c>
      <c r="F101" s="204">
        <v>0.0</v>
      </c>
      <c r="G101" s="198" t="s">
        <v>483</v>
      </c>
      <c r="H101" s="199"/>
      <c r="I101" s="198" t="s">
        <v>1221</v>
      </c>
      <c r="J101" s="204">
        <v>0.0</v>
      </c>
      <c r="K101" s="204">
        <v>0.0</v>
      </c>
      <c r="L101" s="206">
        <v>0.0</v>
      </c>
      <c r="M101" s="199"/>
      <c r="N101" s="198" t="s">
        <v>8471</v>
      </c>
      <c r="O101" s="198" t="s">
        <v>483</v>
      </c>
      <c r="P101" s="21" t="s">
        <v>22</v>
      </c>
      <c r="Q101" s="199"/>
      <c r="R101" s="199"/>
      <c r="S101" s="199"/>
      <c r="T101" s="199"/>
      <c r="U101" s="199"/>
      <c r="V101" s="199"/>
      <c r="W101" s="199"/>
      <c r="X101" s="199"/>
      <c r="Y101" s="199"/>
      <c r="Z101" s="199"/>
    </row>
    <row r="102">
      <c r="A102" s="203">
        <v>45967.0</v>
      </c>
      <c r="B102" s="198" t="s">
        <v>2073</v>
      </c>
      <c r="C102" s="198" t="s">
        <v>1545</v>
      </c>
      <c r="D102" s="198">
        <v>1.0</v>
      </c>
      <c r="E102" s="204">
        <v>15.0</v>
      </c>
      <c r="F102" s="204">
        <v>15.0</v>
      </c>
      <c r="G102" s="198" t="s">
        <v>45</v>
      </c>
      <c r="H102" s="199"/>
      <c r="I102" s="198" t="s">
        <v>43</v>
      </c>
      <c r="J102" s="204">
        <v>8.1</v>
      </c>
      <c r="K102" s="204">
        <v>6.9</v>
      </c>
      <c r="L102" s="206">
        <v>0.46</v>
      </c>
      <c r="M102" s="199"/>
      <c r="N102" s="198" t="s">
        <v>8472</v>
      </c>
      <c r="O102" s="198" t="s">
        <v>1626</v>
      </c>
      <c r="P102" s="21" t="s">
        <v>22</v>
      </c>
      <c r="Q102" s="199"/>
      <c r="R102" s="199"/>
      <c r="S102" s="199"/>
      <c r="T102" s="199"/>
      <c r="U102" s="199"/>
      <c r="V102" s="199"/>
      <c r="W102" s="199"/>
      <c r="X102" s="199"/>
      <c r="Y102" s="199"/>
      <c r="Z102" s="199"/>
    </row>
    <row r="103">
      <c r="A103" s="203"/>
      <c r="B103" s="198"/>
      <c r="C103" s="198"/>
      <c r="D103" s="198"/>
      <c r="E103" s="204"/>
      <c r="F103" s="204"/>
      <c r="G103" s="198"/>
      <c r="H103" s="198"/>
      <c r="I103" s="198"/>
      <c r="J103" s="204"/>
      <c r="K103" s="204"/>
      <c r="L103" s="206"/>
      <c r="M103" s="199"/>
      <c r="N103" s="198"/>
      <c r="O103" s="199"/>
      <c r="P103" s="21" t="s">
        <v>22</v>
      </c>
      <c r="Q103" s="199"/>
      <c r="R103" s="199"/>
      <c r="S103" s="199"/>
      <c r="T103" s="199"/>
      <c r="U103" s="199"/>
      <c r="V103" s="199"/>
      <c r="W103" s="199"/>
      <c r="X103" s="199"/>
      <c r="Y103" s="199"/>
      <c r="Z103" s="199"/>
    </row>
    <row r="104">
      <c r="A104" s="203">
        <v>45969.0</v>
      </c>
      <c r="B104" s="198" t="s">
        <v>2157</v>
      </c>
      <c r="C104" s="198" t="s">
        <v>1545</v>
      </c>
      <c r="D104" s="198">
        <v>1.0</v>
      </c>
      <c r="E104" s="204">
        <v>10.0</v>
      </c>
      <c r="F104" s="204">
        <v>10.0</v>
      </c>
      <c r="G104" s="198" t="s">
        <v>45</v>
      </c>
      <c r="H104" s="198" t="s">
        <v>46</v>
      </c>
      <c r="I104" s="198" t="s">
        <v>8363</v>
      </c>
      <c r="J104" s="204">
        <v>3.83</v>
      </c>
      <c r="K104" s="204">
        <v>6.17</v>
      </c>
      <c r="L104" s="206">
        <v>0.617</v>
      </c>
      <c r="M104" s="199"/>
      <c r="N104" s="208" t="s">
        <v>8473</v>
      </c>
      <c r="O104" s="198" t="s">
        <v>1626</v>
      </c>
      <c r="P104" s="21" t="s">
        <v>22</v>
      </c>
      <c r="Q104" s="199"/>
      <c r="R104" s="199"/>
      <c r="S104" s="199"/>
      <c r="T104" s="199"/>
      <c r="U104" s="199"/>
      <c r="V104" s="199"/>
      <c r="W104" s="199"/>
      <c r="X104" s="199"/>
      <c r="Y104" s="199"/>
      <c r="Z104" s="199"/>
    </row>
    <row r="105">
      <c r="A105" s="203">
        <v>45969.0</v>
      </c>
      <c r="B105" s="198" t="s">
        <v>2234</v>
      </c>
      <c r="C105" s="198" t="s">
        <v>2235</v>
      </c>
      <c r="D105" s="198">
        <v>1.0</v>
      </c>
      <c r="E105" s="204">
        <v>15.0</v>
      </c>
      <c r="F105" s="204">
        <v>15.0</v>
      </c>
      <c r="G105" s="198" t="s">
        <v>45</v>
      </c>
      <c r="H105" s="198" t="s">
        <v>46</v>
      </c>
      <c r="I105" s="198" t="s">
        <v>8363</v>
      </c>
      <c r="J105" s="204">
        <v>6.9</v>
      </c>
      <c r="K105" s="204">
        <v>8.1</v>
      </c>
      <c r="L105" s="206">
        <v>0.5399999999999999</v>
      </c>
      <c r="M105" s="199"/>
      <c r="N105" s="198" t="s">
        <v>8474</v>
      </c>
      <c r="O105" s="198" t="s">
        <v>1626</v>
      </c>
      <c r="P105" s="21" t="s">
        <v>22</v>
      </c>
      <c r="Q105" s="199"/>
      <c r="R105" s="199"/>
      <c r="S105" s="199"/>
      <c r="T105" s="199"/>
      <c r="U105" s="199"/>
      <c r="V105" s="199"/>
      <c r="W105" s="199"/>
      <c r="X105" s="199"/>
      <c r="Y105" s="199"/>
      <c r="Z105" s="199"/>
    </row>
    <row r="106">
      <c r="A106" s="203">
        <v>45969.0</v>
      </c>
      <c r="B106" s="198" t="s">
        <v>2155</v>
      </c>
      <c r="C106" s="198" t="s">
        <v>1461</v>
      </c>
      <c r="D106" s="198">
        <v>1.0</v>
      </c>
      <c r="E106" s="204">
        <v>0.0</v>
      </c>
      <c r="F106" s="204">
        <v>0.0</v>
      </c>
      <c r="G106" s="198" t="s">
        <v>8475</v>
      </c>
      <c r="H106" s="198" t="s">
        <v>46</v>
      </c>
      <c r="I106" s="198" t="s">
        <v>8363</v>
      </c>
      <c r="J106" s="204">
        <v>10.99</v>
      </c>
      <c r="K106" s="204">
        <v>-10.99</v>
      </c>
      <c r="L106" s="206">
        <v>0.0</v>
      </c>
      <c r="M106" s="199"/>
      <c r="N106" s="198" t="s">
        <v>8476</v>
      </c>
      <c r="O106" s="198" t="s">
        <v>483</v>
      </c>
      <c r="P106" s="21" t="s">
        <v>22</v>
      </c>
      <c r="Q106" s="199"/>
      <c r="R106" s="199"/>
      <c r="S106" s="199"/>
      <c r="T106" s="199"/>
      <c r="U106" s="199"/>
      <c r="V106" s="199"/>
      <c r="W106" s="199"/>
      <c r="X106" s="199"/>
      <c r="Y106" s="199"/>
      <c r="Z106" s="199"/>
    </row>
    <row r="107">
      <c r="A107" s="203"/>
      <c r="B107" s="198"/>
      <c r="C107" s="198"/>
      <c r="D107" s="198"/>
      <c r="E107" s="204"/>
      <c r="F107" s="204"/>
      <c r="G107" s="198"/>
      <c r="H107" s="198"/>
      <c r="I107" s="198"/>
      <c r="J107" s="204"/>
      <c r="K107" s="204"/>
      <c r="L107" s="206"/>
      <c r="M107" s="199"/>
      <c r="N107" s="198"/>
      <c r="O107" s="199"/>
      <c r="P107" s="21" t="s">
        <v>22</v>
      </c>
      <c r="Q107" s="199"/>
      <c r="R107" s="199"/>
      <c r="S107" s="199"/>
      <c r="T107" s="199"/>
      <c r="U107" s="199"/>
      <c r="V107" s="199"/>
      <c r="W107" s="199"/>
      <c r="X107" s="199"/>
      <c r="Y107" s="199"/>
      <c r="Z107" s="199"/>
    </row>
    <row r="108">
      <c r="A108" s="203"/>
      <c r="B108" s="198"/>
      <c r="C108" s="198"/>
      <c r="D108" s="198"/>
      <c r="E108" s="204"/>
      <c r="F108" s="204"/>
      <c r="G108" s="198"/>
      <c r="H108" s="198"/>
      <c r="I108" s="198"/>
      <c r="J108" s="204"/>
      <c r="K108" s="204"/>
      <c r="L108" s="206"/>
      <c r="M108" s="199"/>
      <c r="N108" s="198"/>
      <c r="O108" s="199"/>
      <c r="P108" s="21" t="s">
        <v>22</v>
      </c>
      <c r="Q108" s="199"/>
      <c r="R108" s="199"/>
      <c r="S108" s="199"/>
      <c r="T108" s="199"/>
      <c r="U108" s="199"/>
      <c r="V108" s="199"/>
      <c r="W108" s="199"/>
      <c r="X108" s="199"/>
      <c r="Y108" s="199"/>
      <c r="Z108" s="199"/>
    </row>
    <row r="109">
      <c r="A109" s="203"/>
      <c r="B109" s="198"/>
      <c r="C109" s="199"/>
      <c r="D109" s="198"/>
      <c r="E109" s="204"/>
      <c r="F109" s="204"/>
      <c r="G109" s="198"/>
      <c r="H109" s="199"/>
      <c r="I109" s="198"/>
      <c r="J109" s="204"/>
      <c r="K109" s="204"/>
      <c r="L109" s="206"/>
      <c r="M109" s="199"/>
      <c r="N109" s="198"/>
      <c r="O109" s="199"/>
      <c r="P109" s="21" t="s">
        <v>22</v>
      </c>
      <c r="Q109" s="199"/>
      <c r="R109" s="199"/>
      <c r="S109" s="199"/>
      <c r="T109" s="199"/>
      <c r="U109" s="199"/>
      <c r="V109" s="199"/>
      <c r="W109" s="199"/>
      <c r="X109" s="199"/>
      <c r="Y109" s="199"/>
      <c r="Z109" s="199"/>
    </row>
    <row r="110">
      <c r="A110" s="203">
        <v>45976.0</v>
      </c>
      <c r="B110" s="198" t="s">
        <v>2272</v>
      </c>
      <c r="C110" s="198" t="s">
        <v>1497</v>
      </c>
      <c r="D110" s="198">
        <v>1.0</v>
      </c>
      <c r="E110" s="204">
        <v>0.0</v>
      </c>
      <c r="F110" s="204">
        <v>0.0</v>
      </c>
      <c r="G110" s="198" t="s">
        <v>779</v>
      </c>
      <c r="H110" s="198" t="s">
        <v>46</v>
      </c>
      <c r="I110" s="198" t="s">
        <v>8363</v>
      </c>
      <c r="J110" s="204">
        <v>7.8</v>
      </c>
      <c r="K110" s="204">
        <v>-7.8</v>
      </c>
      <c r="L110" s="206">
        <v>0.0</v>
      </c>
      <c r="M110" s="198" t="s">
        <v>8477</v>
      </c>
      <c r="N110" s="208" t="s">
        <v>8478</v>
      </c>
      <c r="O110" s="198" t="s">
        <v>2259</v>
      </c>
      <c r="P110" s="21" t="s">
        <v>22</v>
      </c>
      <c r="Q110" s="199"/>
      <c r="R110" s="199"/>
      <c r="S110" s="199"/>
      <c r="T110" s="199"/>
      <c r="U110" s="199"/>
      <c r="V110" s="199"/>
      <c r="W110" s="199"/>
      <c r="X110" s="199"/>
      <c r="Y110" s="199"/>
      <c r="Z110" s="199"/>
    </row>
    <row r="111">
      <c r="A111" s="203">
        <v>45976.0</v>
      </c>
      <c r="B111" s="198" t="s">
        <v>2258</v>
      </c>
      <c r="C111" s="198" t="s">
        <v>1757</v>
      </c>
      <c r="D111" s="198">
        <v>1.0</v>
      </c>
      <c r="E111" s="204">
        <v>0.0</v>
      </c>
      <c r="F111" s="204">
        <v>0.0</v>
      </c>
      <c r="G111" s="198" t="s">
        <v>779</v>
      </c>
      <c r="H111" s="198" t="s">
        <v>46</v>
      </c>
      <c r="I111" s="198" t="s">
        <v>8363</v>
      </c>
      <c r="J111" s="204">
        <v>13.0</v>
      </c>
      <c r="K111" s="204">
        <v>-13.0</v>
      </c>
      <c r="L111" s="206">
        <v>0.0</v>
      </c>
      <c r="M111" s="198" t="s">
        <v>8477</v>
      </c>
      <c r="N111" s="198" t="s">
        <v>8479</v>
      </c>
      <c r="O111" s="198" t="s">
        <v>2259</v>
      </c>
      <c r="P111" s="21" t="s">
        <v>22</v>
      </c>
      <c r="Q111" s="199"/>
      <c r="R111" s="199"/>
      <c r="S111" s="199"/>
      <c r="T111" s="199"/>
      <c r="U111" s="199"/>
      <c r="V111" s="199"/>
      <c r="W111" s="199"/>
      <c r="X111" s="199"/>
      <c r="Y111" s="199"/>
      <c r="Z111" s="199"/>
    </row>
    <row r="112">
      <c r="A112" s="203">
        <v>45978.0</v>
      </c>
      <c r="B112" s="198" t="s">
        <v>2282</v>
      </c>
      <c r="C112" s="198" t="s">
        <v>1704</v>
      </c>
      <c r="D112" s="198">
        <v>1.0</v>
      </c>
      <c r="E112" s="204">
        <v>8.0</v>
      </c>
      <c r="F112" s="204">
        <v>8.0</v>
      </c>
      <c r="G112" s="199"/>
      <c r="H112" s="199"/>
      <c r="I112" s="198" t="s">
        <v>1221</v>
      </c>
      <c r="J112" s="204">
        <v>5.25</v>
      </c>
      <c r="K112" s="204">
        <v>2.75</v>
      </c>
      <c r="L112" s="206">
        <v>0.34375</v>
      </c>
      <c r="M112" s="199"/>
      <c r="N112" s="198" t="s">
        <v>8480</v>
      </c>
      <c r="O112" s="198" t="s">
        <v>1626</v>
      </c>
      <c r="P112" s="21" t="s">
        <v>22</v>
      </c>
      <c r="Q112" s="199"/>
      <c r="R112" s="199"/>
      <c r="S112" s="199"/>
      <c r="T112" s="199"/>
      <c r="U112" s="199"/>
      <c r="V112" s="199"/>
      <c r="W112" s="199"/>
      <c r="X112" s="199"/>
      <c r="Y112" s="199"/>
      <c r="Z112" s="199"/>
    </row>
    <row r="113">
      <c r="A113" s="203">
        <v>45934.0</v>
      </c>
      <c r="B113" s="198" t="s">
        <v>1908</v>
      </c>
      <c r="C113" s="198" t="s">
        <v>1779</v>
      </c>
      <c r="D113" s="198">
        <v>1.0</v>
      </c>
      <c r="E113" s="204">
        <v>20.0</v>
      </c>
      <c r="F113" s="204">
        <v>20.0</v>
      </c>
      <c r="G113" s="198" t="s">
        <v>45</v>
      </c>
      <c r="H113" s="199"/>
      <c r="I113" s="198" t="s">
        <v>8394</v>
      </c>
      <c r="J113" s="204">
        <v>4.32</v>
      </c>
      <c r="K113" s="204">
        <v>15.68</v>
      </c>
      <c r="L113" s="206">
        <v>0.784</v>
      </c>
      <c r="M113" s="199"/>
      <c r="N113" s="198" t="s">
        <v>8481</v>
      </c>
      <c r="O113" s="198" t="s">
        <v>1626</v>
      </c>
      <c r="P113" s="21" t="s">
        <v>22</v>
      </c>
      <c r="Q113" s="199"/>
      <c r="R113" s="199"/>
      <c r="S113" s="199"/>
      <c r="T113" s="199"/>
      <c r="U113" s="199"/>
      <c r="V113" s="199"/>
      <c r="W113" s="199"/>
      <c r="X113" s="199"/>
      <c r="Y113" s="199"/>
      <c r="Z113" s="199"/>
    </row>
    <row r="114">
      <c r="A114" s="203">
        <v>45970.0</v>
      </c>
      <c r="B114" s="198" t="s">
        <v>2237</v>
      </c>
      <c r="C114" s="198" t="s">
        <v>2081</v>
      </c>
      <c r="D114" s="198">
        <v>1.0</v>
      </c>
      <c r="E114" s="204">
        <v>16.0</v>
      </c>
      <c r="F114" s="204">
        <v>16.0</v>
      </c>
      <c r="G114" s="198" t="s">
        <v>80</v>
      </c>
      <c r="H114" s="199"/>
      <c r="I114" s="198" t="s">
        <v>8382</v>
      </c>
      <c r="J114" s="204">
        <v>5.5</v>
      </c>
      <c r="K114" s="204">
        <v>10.5</v>
      </c>
      <c r="L114" s="206">
        <v>0.65625</v>
      </c>
      <c r="M114" s="199"/>
      <c r="N114" s="198" t="s">
        <v>8482</v>
      </c>
      <c r="O114" s="198" t="s">
        <v>1626</v>
      </c>
      <c r="P114" s="21" t="s">
        <v>22</v>
      </c>
      <c r="Q114" s="199"/>
      <c r="R114" s="199"/>
      <c r="S114" s="199"/>
      <c r="T114" s="199"/>
      <c r="U114" s="199"/>
      <c r="V114" s="199"/>
      <c r="W114" s="199"/>
      <c r="X114" s="199"/>
      <c r="Y114" s="199"/>
      <c r="Z114" s="199"/>
    </row>
    <row r="115">
      <c r="A115" s="203">
        <v>45934.0</v>
      </c>
      <c r="B115" s="198" t="s">
        <v>1910</v>
      </c>
      <c r="C115" s="198" t="s">
        <v>1911</v>
      </c>
      <c r="D115" s="198">
        <v>1.0</v>
      </c>
      <c r="E115" s="204">
        <v>5.0</v>
      </c>
      <c r="F115" s="204">
        <v>5.0</v>
      </c>
      <c r="G115" s="198" t="s">
        <v>45</v>
      </c>
      <c r="H115" s="199"/>
      <c r="I115" s="198" t="s">
        <v>8394</v>
      </c>
      <c r="J115" s="204">
        <v>1.06</v>
      </c>
      <c r="K115" s="204">
        <v>3.94</v>
      </c>
      <c r="L115" s="206">
        <v>0.788</v>
      </c>
      <c r="M115" s="199"/>
      <c r="N115" s="208" t="s">
        <v>8483</v>
      </c>
      <c r="O115" s="198" t="s">
        <v>1626</v>
      </c>
      <c r="P115" s="21" t="s">
        <v>22</v>
      </c>
      <c r="Q115" s="199"/>
      <c r="R115" s="199"/>
      <c r="S115" s="199"/>
      <c r="T115" s="199"/>
      <c r="U115" s="199"/>
      <c r="V115" s="199"/>
      <c r="W115" s="199"/>
      <c r="X115" s="199"/>
      <c r="Y115" s="199"/>
      <c r="Z115" s="199"/>
    </row>
    <row r="116">
      <c r="A116" s="203">
        <v>45969.0</v>
      </c>
      <c r="B116" s="198" t="s">
        <v>2161</v>
      </c>
      <c r="C116" s="198" t="s">
        <v>2081</v>
      </c>
      <c r="D116" s="198">
        <v>1.0</v>
      </c>
      <c r="E116" s="204">
        <v>15.0</v>
      </c>
      <c r="F116" s="204">
        <v>15.0</v>
      </c>
      <c r="G116" s="198" t="s">
        <v>45</v>
      </c>
      <c r="H116" s="199"/>
      <c r="I116" s="198" t="s">
        <v>8363</v>
      </c>
      <c r="J116" s="204">
        <v>5.5</v>
      </c>
      <c r="K116" s="204">
        <v>9.5</v>
      </c>
      <c r="L116" s="206">
        <v>0.6333333333333333</v>
      </c>
      <c r="M116" s="199"/>
      <c r="N116" s="198" t="s">
        <v>8484</v>
      </c>
      <c r="O116" s="198" t="s">
        <v>1626</v>
      </c>
      <c r="P116" s="21" t="s">
        <v>22</v>
      </c>
      <c r="Q116" s="199"/>
      <c r="R116" s="199"/>
      <c r="S116" s="199"/>
      <c r="T116" s="199"/>
      <c r="U116" s="199"/>
      <c r="V116" s="199"/>
      <c r="W116" s="199"/>
      <c r="X116" s="199"/>
      <c r="Y116" s="199"/>
      <c r="Z116" s="199"/>
    </row>
    <row r="117">
      <c r="A117" s="203">
        <v>45969.0</v>
      </c>
      <c r="B117" s="198" t="s">
        <v>2166</v>
      </c>
      <c r="C117" s="198" t="s">
        <v>2081</v>
      </c>
      <c r="D117" s="198">
        <v>1.0</v>
      </c>
      <c r="E117" s="204">
        <v>15.0</v>
      </c>
      <c r="F117" s="204">
        <v>15.0</v>
      </c>
      <c r="G117" s="198" t="s">
        <v>45</v>
      </c>
      <c r="H117" s="199"/>
      <c r="I117" s="198" t="s">
        <v>8363</v>
      </c>
      <c r="J117" s="204">
        <v>5.5</v>
      </c>
      <c r="K117" s="204">
        <v>9.5</v>
      </c>
      <c r="L117" s="206">
        <v>0.6333333333333333</v>
      </c>
      <c r="M117" s="199"/>
      <c r="N117" s="198" t="s">
        <v>8485</v>
      </c>
      <c r="O117" s="198" t="s">
        <v>1626</v>
      </c>
      <c r="P117" s="21" t="s">
        <v>22</v>
      </c>
      <c r="Q117" s="199"/>
      <c r="R117" s="199"/>
      <c r="S117" s="199"/>
      <c r="T117" s="199"/>
      <c r="U117" s="199"/>
      <c r="V117" s="199"/>
      <c r="W117" s="199"/>
      <c r="X117" s="199"/>
      <c r="Y117" s="199"/>
      <c r="Z117" s="199"/>
    </row>
    <row r="118">
      <c r="A118" s="203">
        <v>45969.0</v>
      </c>
      <c r="B118" s="198" t="s">
        <v>2168</v>
      </c>
      <c r="C118" s="198" t="s">
        <v>2081</v>
      </c>
      <c r="D118" s="198">
        <v>1.0</v>
      </c>
      <c r="E118" s="204">
        <v>15.0</v>
      </c>
      <c r="F118" s="204">
        <v>15.0</v>
      </c>
      <c r="G118" s="198" t="s">
        <v>45</v>
      </c>
      <c r="H118" s="199"/>
      <c r="I118" s="198" t="s">
        <v>8363</v>
      </c>
      <c r="J118" s="204">
        <v>5.5</v>
      </c>
      <c r="K118" s="204">
        <v>9.5</v>
      </c>
      <c r="L118" s="206">
        <v>0.6333333333333333</v>
      </c>
      <c r="M118" s="199"/>
      <c r="N118" s="198" t="s">
        <v>8486</v>
      </c>
      <c r="O118" s="198" t="s">
        <v>1626</v>
      </c>
      <c r="P118" s="21" t="s">
        <v>22</v>
      </c>
      <c r="Q118" s="199"/>
      <c r="R118" s="199"/>
      <c r="S118" s="199"/>
      <c r="T118" s="199"/>
      <c r="U118" s="199"/>
      <c r="V118" s="199"/>
      <c r="W118" s="199"/>
      <c r="X118" s="199"/>
      <c r="Y118" s="199"/>
      <c r="Z118" s="199"/>
    </row>
    <row r="119">
      <c r="A119" s="203">
        <v>45980.0</v>
      </c>
      <c r="B119" s="198" t="s">
        <v>2298</v>
      </c>
      <c r="C119" s="198" t="s">
        <v>1802</v>
      </c>
      <c r="D119" s="198">
        <v>1.0</v>
      </c>
      <c r="E119" s="204">
        <v>26.0</v>
      </c>
      <c r="F119" s="204">
        <v>26.0</v>
      </c>
      <c r="G119" s="198" t="s">
        <v>45</v>
      </c>
      <c r="H119" s="199"/>
      <c r="I119" s="198" t="s">
        <v>8363</v>
      </c>
      <c r="J119" s="204">
        <v>9.5</v>
      </c>
      <c r="K119" s="204">
        <v>16.5</v>
      </c>
      <c r="L119" s="206">
        <v>0.6346153846153846</v>
      </c>
      <c r="M119" s="199"/>
      <c r="N119" s="198" t="s">
        <v>8487</v>
      </c>
      <c r="O119" s="198" t="s">
        <v>1626</v>
      </c>
      <c r="P119" s="21" t="s">
        <v>22</v>
      </c>
      <c r="Q119" s="199"/>
      <c r="R119" s="199"/>
      <c r="S119" s="199"/>
      <c r="T119" s="199"/>
      <c r="U119" s="199"/>
      <c r="V119" s="199"/>
      <c r="W119" s="199"/>
      <c r="X119" s="199"/>
      <c r="Y119" s="199"/>
      <c r="Z119" s="199"/>
    </row>
    <row r="120">
      <c r="A120" s="203">
        <v>45980.0</v>
      </c>
      <c r="B120" s="198" t="s">
        <v>2296</v>
      </c>
      <c r="C120" s="198" t="s">
        <v>2081</v>
      </c>
      <c r="D120" s="198">
        <v>1.0</v>
      </c>
      <c r="E120" s="204">
        <v>15.0</v>
      </c>
      <c r="F120" s="204">
        <v>15.0</v>
      </c>
      <c r="G120" s="198" t="s">
        <v>1153</v>
      </c>
      <c r="H120" s="199"/>
      <c r="I120" s="198" t="s">
        <v>8363</v>
      </c>
      <c r="J120" s="204">
        <v>5.5</v>
      </c>
      <c r="K120" s="204">
        <v>9.5</v>
      </c>
      <c r="L120" s="206">
        <v>0.6333333333333333</v>
      </c>
      <c r="M120" s="199"/>
      <c r="N120" s="198" t="s">
        <v>8488</v>
      </c>
      <c r="O120" s="198" t="s">
        <v>1626</v>
      </c>
      <c r="P120" s="21" t="s">
        <v>22</v>
      </c>
      <c r="Q120" s="199"/>
      <c r="R120" s="199"/>
      <c r="S120" s="199"/>
      <c r="T120" s="199"/>
      <c r="U120" s="199"/>
      <c r="V120" s="199"/>
      <c r="W120" s="199"/>
      <c r="X120" s="199"/>
      <c r="Y120" s="199"/>
      <c r="Z120" s="199"/>
    </row>
    <row r="121">
      <c r="A121" s="203">
        <v>45981.0</v>
      </c>
      <c r="B121" s="198" t="s">
        <v>2302</v>
      </c>
      <c r="C121" s="198" t="s">
        <v>2081</v>
      </c>
      <c r="D121" s="198">
        <v>1.0</v>
      </c>
      <c r="E121" s="204">
        <v>15.0</v>
      </c>
      <c r="F121" s="204">
        <v>15.0</v>
      </c>
      <c r="G121" s="198" t="s">
        <v>1153</v>
      </c>
      <c r="H121" s="199"/>
      <c r="I121" s="198" t="s">
        <v>8363</v>
      </c>
      <c r="J121" s="204">
        <v>5.5</v>
      </c>
      <c r="K121" s="204">
        <v>9.5</v>
      </c>
      <c r="L121" s="206">
        <v>0.6333333333333333</v>
      </c>
      <c r="M121" s="199"/>
      <c r="N121" s="198" t="s">
        <v>8489</v>
      </c>
      <c r="O121" s="198" t="s">
        <v>1626</v>
      </c>
      <c r="P121" s="21" t="s">
        <v>22</v>
      </c>
      <c r="Q121" s="199"/>
      <c r="R121" s="199"/>
      <c r="S121" s="199"/>
      <c r="T121" s="199"/>
      <c r="U121" s="199"/>
      <c r="V121" s="199"/>
      <c r="W121" s="199"/>
      <c r="X121" s="199"/>
      <c r="Y121" s="199"/>
      <c r="Z121" s="199"/>
    </row>
    <row r="122">
      <c r="A122" s="203">
        <v>45982.0</v>
      </c>
      <c r="B122" s="198" t="s">
        <v>8490</v>
      </c>
      <c r="C122" s="198" t="s">
        <v>8491</v>
      </c>
      <c r="D122" s="198">
        <v>1.0</v>
      </c>
      <c r="E122" s="204">
        <v>8.0</v>
      </c>
      <c r="F122" s="204">
        <v>8.0</v>
      </c>
      <c r="G122" s="198" t="s">
        <v>45</v>
      </c>
      <c r="H122" s="199"/>
      <c r="I122" s="198" t="s">
        <v>8363</v>
      </c>
      <c r="J122" s="204">
        <v>4.0</v>
      </c>
      <c r="K122" s="204">
        <v>4.0</v>
      </c>
      <c r="L122" s="206">
        <v>0.5</v>
      </c>
      <c r="M122" s="199"/>
      <c r="N122" s="198" t="s">
        <v>8492</v>
      </c>
      <c r="O122" s="198" t="s">
        <v>1626</v>
      </c>
      <c r="P122" s="21" t="s">
        <v>22</v>
      </c>
      <c r="Q122" s="199"/>
      <c r="R122" s="199"/>
      <c r="S122" s="199"/>
      <c r="T122" s="199"/>
      <c r="U122" s="199"/>
      <c r="V122" s="199"/>
      <c r="W122" s="199"/>
      <c r="X122" s="199"/>
      <c r="Y122" s="199"/>
      <c r="Z122" s="199"/>
    </row>
    <row r="123">
      <c r="A123" s="203">
        <v>45915.0</v>
      </c>
      <c r="B123" s="198" t="s">
        <v>1766</v>
      </c>
      <c r="C123" s="198" t="s">
        <v>1767</v>
      </c>
      <c r="D123" s="198">
        <v>1.0</v>
      </c>
      <c r="E123" s="204">
        <v>10.0</v>
      </c>
      <c r="F123" s="204">
        <v>10.0</v>
      </c>
      <c r="G123" s="198" t="s">
        <v>80</v>
      </c>
      <c r="H123" s="199"/>
      <c r="I123" s="198" t="s">
        <v>1221</v>
      </c>
      <c r="J123" s="204">
        <v>9.5</v>
      </c>
      <c r="K123" s="204">
        <v>0.5</v>
      </c>
      <c r="L123" s="206">
        <v>0.05</v>
      </c>
      <c r="M123" s="199"/>
      <c r="N123" s="198" t="s">
        <v>8493</v>
      </c>
      <c r="O123" s="198" t="s">
        <v>1626</v>
      </c>
      <c r="P123" s="21" t="s">
        <v>22</v>
      </c>
      <c r="Q123" s="199"/>
      <c r="R123" s="199"/>
      <c r="S123" s="199"/>
      <c r="T123" s="199"/>
      <c r="U123" s="199"/>
      <c r="V123" s="199"/>
      <c r="W123" s="199"/>
      <c r="X123" s="199"/>
      <c r="Y123" s="199"/>
      <c r="Z123" s="199"/>
    </row>
    <row r="124">
      <c r="A124" s="203">
        <v>45986.0</v>
      </c>
      <c r="B124" s="198" t="s">
        <v>2444</v>
      </c>
      <c r="C124" s="198" t="s">
        <v>1530</v>
      </c>
      <c r="D124" s="198">
        <v>1.0</v>
      </c>
      <c r="E124" s="204">
        <v>20.0</v>
      </c>
      <c r="F124" s="204">
        <v>20.0</v>
      </c>
      <c r="G124" s="198" t="s">
        <v>508</v>
      </c>
      <c r="H124" s="199"/>
      <c r="I124" s="198" t="s">
        <v>1221</v>
      </c>
      <c r="J124" s="204">
        <v>5.79</v>
      </c>
      <c r="K124" s="204">
        <v>14.21</v>
      </c>
      <c r="L124" s="206">
        <v>0.7105</v>
      </c>
      <c r="M124" s="199"/>
      <c r="N124" s="198" t="s">
        <v>8494</v>
      </c>
      <c r="O124" s="198" t="s">
        <v>1626</v>
      </c>
      <c r="P124" s="21" t="s">
        <v>22</v>
      </c>
      <c r="Q124" s="199"/>
      <c r="R124" s="199"/>
      <c r="S124" s="199"/>
      <c r="T124" s="199"/>
      <c r="U124" s="199"/>
      <c r="V124" s="199"/>
      <c r="W124" s="199"/>
      <c r="X124" s="199"/>
      <c r="Y124" s="199"/>
      <c r="Z124" s="199"/>
    </row>
    <row r="125">
      <c r="A125" s="203">
        <v>45986.0</v>
      </c>
      <c r="B125" s="198" t="s">
        <v>2459</v>
      </c>
      <c r="C125" s="198" t="s">
        <v>1569</v>
      </c>
      <c r="D125" s="198">
        <v>1.0</v>
      </c>
      <c r="E125" s="204">
        <v>0.0</v>
      </c>
      <c r="F125" s="204">
        <v>0.0</v>
      </c>
      <c r="G125" s="198" t="s">
        <v>483</v>
      </c>
      <c r="H125" s="199"/>
      <c r="I125" s="198" t="s">
        <v>1221</v>
      </c>
      <c r="J125" s="204">
        <v>2.1983333333333333</v>
      </c>
      <c r="K125" s="204">
        <v>-2.2</v>
      </c>
      <c r="L125" s="206">
        <v>0.0</v>
      </c>
      <c r="M125" s="199"/>
      <c r="N125" s="208" t="s">
        <v>8495</v>
      </c>
      <c r="O125" s="198" t="s">
        <v>483</v>
      </c>
      <c r="P125" s="21" t="s">
        <v>22</v>
      </c>
      <c r="Q125" s="199"/>
      <c r="R125" s="199"/>
      <c r="S125" s="199"/>
      <c r="T125" s="199"/>
      <c r="U125" s="199"/>
      <c r="V125" s="199"/>
      <c r="W125" s="199"/>
      <c r="X125" s="199"/>
      <c r="Y125" s="199"/>
      <c r="Z125" s="199"/>
    </row>
    <row r="126">
      <c r="A126" s="203">
        <v>45986.0</v>
      </c>
      <c r="B126" s="198" t="s">
        <v>8432</v>
      </c>
      <c r="C126" s="198" t="s">
        <v>8433</v>
      </c>
      <c r="D126" s="198">
        <v>1.0</v>
      </c>
      <c r="E126" s="204">
        <v>6.0</v>
      </c>
      <c r="F126" s="204">
        <v>6.0</v>
      </c>
      <c r="G126" s="198" t="s">
        <v>508</v>
      </c>
      <c r="H126" s="199"/>
      <c r="I126" s="198" t="s">
        <v>1221</v>
      </c>
      <c r="J126" s="204">
        <v>5.66</v>
      </c>
      <c r="K126" s="204">
        <v>0.33999999999999986</v>
      </c>
      <c r="L126" s="206">
        <v>0.05666666666666664</v>
      </c>
      <c r="M126" s="199"/>
      <c r="N126" s="198" t="s">
        <v>8496</v>
      </c>
      <c r="O126" s="198" t="s">
        <v>1626</v>
      </c>
      <c r="P126" s="21" t="s">
        <v>22</v>
      </c>
      <c r="Q126" s="199"/>
      <c r="R126" s="199"/>
      <c r="S126" s="199"/>
      <c r="T126" s="199"/>
      <c r="U126" s="199"/>
      <c r="V126" s="199"/>
      <c r="W126" s="199"/>
      <c r="X126" s="199"/>
      <c r="Y126" s="199"/>
      <c r="Z126" s="199"/>
    </row>
    <row r="127">
      <c r="A127" s="203">
        <v>45990.0</v>
      </c>
      <c r="B127" s="198" t="s">
        <v>2478</v>
      </c>
      <c r="C127" s="198" t="s">
        <v>1594</v>
      </c>
      <c r="D127" s="198">
        <v>1.0</v>
      </c>
      <c r="E127" s="204">
        <v>20.0</v>
      </c>
      <c r="F127" s="204">
        <v>20.0</v>
      </c>
      <c r="G127" s="198" t="s">
        <v>45</v>
      </c>
      <c r="H127" s="199"/>
      <c r="I127" s="198" t="s">
        <v>43</v>
      </c>
      <c r="J127" s="204">
        <v>16.69</v>
      </c>
      <c r="K127" s="204">
        <v>3.3099999999999987</v>
      </c>
      <c r="L127" s="206">
        <v>0.16549999999999992</v>
      </c>
      <c r="M127" s="199"/>
      <c r="N127" s="198" t="s">
        <v>8497</v>
      </c>
      <c r="O127" s="198" t="s">
        <v>1626</v>
      </c>
      <c r="P127" s="21" t="s">
        <v>22</v>
      </c>
      <c r="Q127" s="199"/>
      <c r="R127" s="199"/>
      <c r="S127" s="199"/>
      <c r="T127" s="199"/>
      <c r="U127" s="199"/>
      <c r="V127" s="199"/>
      <c r="W127" s="199"/>
      <c r="X127" s="199"/>
      <c r="Y127" s="199"/>
      <c r="Z127" s="199"/>
    </row>
    <row r="128">
      <c r="A128" s="203">
        <v>45998.0</v>
      </c>
      <c r="B128" s="198" t="s">
        <v>2483</v>
      </c>
      <c r="C128" s="198" t="s">
        <v>2484</v>
      </c>
      <c r="D128" s="198">
        <v>1.0</v>
      </c>
      <c r="E128" s="204">
        <v>10.0</v>
      </c>
      <c r="F128" s="204">
        <v>10.0</v>
      </c>
      <c r="G128" s="198" t="s">
        <v>45</v>
      </c>
      <c r="H128" s="199"/>
      <c r="I128" s="198" t="s">
        <v>43</v>
      </c>
      <c r="J128" s="204">
        <v>4.48</v>
      </c>
      <c r="K128" s="204">
        <v>5.52</v>
      </c>
      <c r="L128" s="206">
        <v>0.5519999999999999</v>
      </c>
      <c r="M128" s="199"/>
      <c r="N128" s="198" t="s">
        <v>8498</v>
      </c>
      <c r="O128" s="198" t="s">
        <v>1626</v>
      </c>
      <c r="P128" s="21" t="s">
        <v>22</v>
      </c>
      <c r="Q128" s="199"/>
      <c r="R128" s="199"/>
      <c r="S128" s="199"/>
      <c r="T128" s="199"/>
      <c r="U128" s="199"/>
      <c r="V128" s="199"/>
      <c r="W128" s="199"/>
      <c r="X128" s="199"/>
      <c r="Y128" s="199"/>
      <c r="Z128" s="199"/>
    </row>
    <row r="129">
      <c r="A129" s="203">
        <v>45998.0</v>
      </c>
      <c r="B129" s="198" t="s">
        <v>2486</v>
      </c>
      <c r="C129" s="198" t="s">
        <v>2487</v>
      </c>
      <c r="D129" s="198">
        <v>1.0</v>
      </c>
      <c r="E129" s="204">
        <v>30.0</v>
      </c>
      <c r="F129" s="204">
        <v>30.0</v>
      </c>
      <c r="G129" s="198" t="s">
        <v>45</v>
      </c>
      <c r="H129" s="199"/>
      <c r="I129" s="198" t="s">
        <v>43</v>
      </c>
      <c r="J129" s="204">
        <v>12.25</v>
      </c>
      <c r="K129" s="204">
        <v>17.75</v>
      </c>
      <c r="L129" s="206">
        <v>0.5916666666666667</v>
      </c>
      <c r="M129" s="199"/>
      <c r="N129" s="198" t="s">
        <v>8499</v>
      </c>
      <c r="O129" s="198" t="s">
        <v>1626</v>
      </c>
      <c r="P129" s="21" t="s">
        <v>22</v>
      </c>
      <c r="Q129" s="199"/>
      <c r="R129" s="199"/>
      <c r="S129" s="199"/>
      <c r="T129" s="199"/>
      <c r="U129" s="199"/>
      <c r="V129" s="199"/>
      <c r="W129" s="199"/>
      <c r="X129" s="199"/>
      <c r="Y129" s="199"/>
      <c r="Z129" s="199"/>
    </row>
    <row r="130">
      <c r="A130" s="203">
        <v>45998.0</v>
      </c>
      <c r="B130" s="198" t="s">
        <v>2489</v>
      </c>
      <c r="C130" s="198" t="s">
        <v>2420</v>
      </c>
      <c r="D130" s="198">
        <v>1.0</v>
      </c>
      <c r="E130" s="204">
        <v>15.0</v>
      </c>
      <c r="F130" s="204">
        <v>15.0</v>
      </c>
      <c r="G130" s="198" t="s">
        <v>45</v>
      </c>
      <c r="H130" s="199"/>
      <c r="I130" s="198" t="s">
        <v>43</v>
      </c>
      <c r="J130" s="204">
        <v>5.79</v>
      </c>
      <c r="K130" s="204">
        <v>9.21</v>
      </c>
      <c r="L130" s="206">
        <v>0.6140000000000001</v>
      </c>
      <c r="M130" s="199"/>
      <c r="N130" s="208" t="s">
        <v>8500</v>
      </c>
      <c r="O130" s="198" t="s">
        <v>1626</v>
      </c>
      <c r="P130" s="21" t="s">
        <v>22</v>
      </c>
      <c r="Q130" s="199"/>
      <c r="R130" s="199"/>
      <c r="S130" s="199"/>
      <c r="T130" s="199"/>
      <c r="U130" s="199"/>
      <c r="V130" s="199"/>
      <c r="W130" s="199"/>
      <c r="X130" s="199"/>
      <c r="Y130" s="199"/>
      <c r="Z130" s="199"/>
    </row>
    <row r="131">
      <c r="A131" s="203">
        <v>46000.0</v>
      </c>
      <c r="B131" s="198" t="s">
        <v>2495</v>
      </c>
      <c r="C131" s="198" t="s">
        <v>1805</v>
      </c>
      <c r="D131" s="198">
        <v>1.0</v>
      </c>
      <c r="E131" s="204">
        <v>20.0</v>
      </c>
      <c r="F131" s="204">
        <v>20.0</v>
      </c>
      <c r="G131" s="198" t="s">
        <v>45</v>
      </c>
      <c r="H131" s="199"/>
      <c r="I131" s="198" t="s">
        <v>43</v>
      </c>
      <c r="J131" s="204">
        <v>10.35</v>
      </c>
      <c r="K131" s="204">
        <v>9.65</v>
      </c>
      <c r="L131" s="206">
        <v>0.48250000000000004</v>
      </c>
      <c r="M131" s="198" t="s">
        <v>8501</v>
      </c>
      <c r="N131" s="198" t="s">
        <v>8502</v>
      </c>
      <c r="O131" s="198" t="s">
        <v>1626</v>
      </c>
      <c r="P131" s="21" t="s">
        <v>22</v>
      </c>
      <c r="Q131" s="199"/>
      <c r="R131" s="199"/>
      <c r="S131" s="199"/>
      <c r="T131" s="199"/>
      <c r="U131" s="199"/>
      <c r="V131" s="199"/>
      <c r="W131" s="199"/>
      <c r="X131" s="199"/>
      <c r="Y131" s="199"/>
      <c r="Z131" s="199"/>
    </row>
    <row r="132">
      <c r="A132" s="203">
        <v>46000.0</v>
      </c>
      <c r="B132" s="198" t="s">
        <v>2491</v>
      </c>
      <c r="C132" s="198" t="s">
        <v>2487</v>
      </c>
      <c r="D132" s="198">
        <v>1.0</v>
      </c>
      <c r="E132" s="204">
        <v>25.0</v>
      </c>
      <c r="F132" s="204">
        <v>25.0</v>
      </c>
      <c r="G132" s="198" t="s">
        <v>45</v>
      </c>
      <c r="H132" s="199"/>
      <c r="I132" s="198" t="s">
        <v>43</v>
      </c>
      <c r="J132" s="204">
        <v>12.25</v>
      </c>
      <c r="K132" s="204">
        <v>12.75</v>
      </c>
      <c r="L132" s="206">
        <v>0.51</v>
      </c>
      <c r="M132" s="198" t="s">
        <v>8501</v>
      </c>
      <c r="N132" s="198" t="s">
        <v>8503</v>
      </c>
      <c r="O132" s="198" t="s">
        <v>1626</v>
      </c>
      <c r="P132" s="21" t="s">
        <v>22</v>
      </c>
      <c r="Q132" s="199"/>
      <c r="R132" s="199"/>
      <c r="S132" s="199"/>
      <c r="T132" s="199"/>
      <c r="U132" s="199"/>
      <c r="V132" s="199"/>
      <c r="W132" s="199"/>
      <c r="X132" s="199"/>
      <c r="Y132" s="199"/>
      <c r="Z132" s="199"/>
    </row>
    <row r="133">
      <c r="A133" s="203">
        <v>46001.0</v>
      </c>
      <c r="B133" s="198" t="s">
        <v>2497</v>
      </c>
      <c r="C133" s="198" t="s">
        <v>1545</v>
      </c>
      <c r="D133" s="198">
        <v>1.0</v>
      </c>
      <c r="E133" s="204">
        <v>20.0</v>
      </c>
      <c r="F133" s="204">
        <v>20.0</v>
      </c>
      <c r="G133" s="198" t="s">
        <v>45</v>
      </c>
      <c r="H133" s="199"/>
      <c r="I133" s="198" t="s">
        <v>8363</v>
      </c>
      <c r="J133" s="204">
        <v>10.0</v>
      </c>
      <c r="K133" s="204">
        <v>10.0</v>
      </c>
      <c r="L133" s="206">
        <v>0.5</v>
      </c>
      <c r="M133" s="199"/>
      <c r="N133" s="198" t="s">
        <v>8504</v>
      </c>
      <c r="O133" s="198" t="s">
        <v>1626</v>
      </c>
      <c r="P133" s="21" t="s">
        <v>22</v>
      </c>
      <c r="Q133" s="199"/>
      <c r="R133" s="199"/>
      <c r="S133" s="199"/>
      <c r="T133" s="199"/>
      <c r="U133" s="199"/>
      <c r="V133" s="199"/>
      <c r="W133" s="199"/>
      <c r="X133" s="199"/>
      <c r="Y133" s="199"/>
      <c r="Z133" s="199"/>
    </row>
    <row r="134">
      <c r="A134" s="203">
        <v>46001.0</v>
      </c>
      <c r="B134" s="198" t="s">
        <v>2499</v>
      </c>
      <c r="C134" s="198" t="s">
        <v>2235</v>
      </c>
      <c r="D134" s="198">
        <v>1.0</v>
      </c>
      <c r="E134" s="204">
        <v>30.0</v>
      </c>
      <c r="F134" s="204">
        <v>30.0</v>
      </c>
      <c r="G134" s="198" t="s">
        <v>45</v>
      </c>
      <c r="H134" s="199"/>
      <c r="I134" s="198" t="s">
        <v>8363</v>
      </c>
      <c r="J134" s="204">
        <v>6.9</v>
      </c>
      <c r="K134" s="204">
        <v>23.1</v>
      </c>
      <c r="L134" s="206">
        <v>0.77</v>
      </c>
      <c r="M134" s="199"/>
      <c r="N134" s="198" t="s">
        <v>8505</v>
      </c>
      <c r="O134" s="198" t="s">
        <v>1626</v>
      </c>
      <c r="P134" s="21" t="s">
        <v>22</v>
      </c>
      <c r="Q134" s="199"/>
      <c r="R134" s="199"/>
      <c r="S134" s="199"/>
      <c r="T134" s="199"/>
      <c r="U134" s="199"/>
      <c r="V134" s="199"/>
      <c r="W134" s="199"/>
      <c r="X134" s="199"/>
      <c r="Y134" s="199"/>
      <c r="Z134" s="199"/>
    </row>
    <row r="135">
      <c r="A135" s="203">
        <v>46001.0</v>
      </c>
      <c r="B135" s="198" t="s">
        <v>2501</v>
      </c>
      <c r="C135" s="198" t="s">
        <v>1564</v>
      </c>
      <c r="D135" s="198">
        <v>1.0</v>
      </c>
      <c r="E135" s="204">
        <v>22.0</v>
      </c>
      <c r="F135" s="204">
        <v>22.0</v>
      </c>
      <c r="G135" s="198" t="s">
        <v>45</v>
      </c>
      <c r="H135" s="199"/>
      <c r="I135" s="198" t="s">
        <v>8363</v>
      </c>
      <c r="J135" s="204">
        <v>7.8</v>
      </c>
      <c r="K135" s="204">
        <v>14.2</v>
      </c>
      <c r="L135" s="206">
        <v>0.6454545454545454</v>
      </c>
      <c r="M135" s="199"/>
      <c r="N135" s="198" t="s">
        <v>8506</v>
      </c>
      <c r="O135" s="198" t="s">
        <v>1626</v>
      </c>
      <c r="P135" s="21" t="s">
        <v>22</v>
      </c>
      <c r="Q135" s="199"/>
      <c r="R135" s="199"/>
      <c r="S135" s="199"/>
      <c r="T135" s="199"/>
      <c r="U135" s="199"/>
      <c r="V135" s="199"/>
      <c r="W135" s="199"/>
      <c r="X135" s="199"/>
      <c r="Y135" s="199"/>
      <c r="Z135" s="199"/>
    </row>
    <row r="136">
      <c r="A136" s="203">
        <v>46008.0</v>
      </c>
      <c r="B136" s="198" t="s">
        <v>2586</v>
      </c>
      <c r="C136" s="198" t="s">
        <v>2587</v>
      </c>
      <c r="D136" s="198">
        <v>1.0</v>
      </c>
      <c r="E136" s="204">
        <v>40.0</v>
      </c>
      <c r="F136" s="204">
        <v>40.0</v>
      </c>
      <c r="G136" s="198" t="s">
        <v>80</v>
      </c>
      <c r="H136" s="199"/>
      <c r="I136" s="198" t="s">
        <v>1221</v>
      </c>
      <c r="J136" s="204">
        <v>15.94</v>
      </c>
      <c r="K136" s="204">
        <v>24.060000000000002</v>
      </c>
      <c r="L136" s="206">
        <v>0.6015</v>
      </c>
      <c r="M136" s="199"/>
      <c r="N136" s="198" t="s">
        <v>8507</v>
      </c>
      <c r="O136" s="198" t="s">
        <v>1626</v>
      </c>
      <c r="P136" s="21" t="s">
        <v>22</v>
      </c>
      <c r="Q136" s="199"/>
      <c r="R136" s="199"/>
      <c r="S136" s="199"/>
      <c r="T136" s="199"/>
      <c r="U136" s="199"/>
      <c r="V136" s="199"/>
      <c r="W136" s="199"/>
      <c r="X136" s="199"/>
      <c r="Y136" s="199"/>
      <c r="Z136" s="199"/>
    </row>
    <row r="137">
      <c r="A137" s="203">
        <v>46011.0</v>
      </c>
      <c r="B137" s="198" t="s">
        <v>8508</v>
      </c>
      <c r="C137" s="198" t="s">
        <v>8509</v>
      </c>
      <c r="D137" s="198">
        <v>1.0</v>
      </c>
      <c r="E137" s="204">
        <v>15.0</v>
      </c>
      <c r="F137" s="204">
        <v>15.0</v>
      </c>
      <c r="G137" s="198" t="s">
        <v>45</v>
      </c>
      <c r="H137" s="199"/>
      <c r="I137" s="198" t="s">
        <v>1061</v>
      </c>
      <c r="J137" s="204">
        <v>6.37</v>
      </c>
      <c r="K137" s="204">
        <v>8.629999999999999</v>
      </c>
      <c r="L137" s="206">
        <v>0.5753333333333333</v>
      </c>
      <c r="M137" s="199"/>
      <c r="N137" s="198" t="s">
        <v>8510</v>
      </c>
      <c r="O137" s="198" t="s">
        <v>1626</v>
      </c>
      <c r="P137" s="21" t="s">
        <v>22</v>
      </c>
      <c r="Q137" s="199"/>
      <c r="R137" s="199"/>
      <c r="S137" s="199"/>
      <c r="T137" s="199"/>
      <c r="U137" s="199"/>
      <c r="V137" s="199"/>
      <c r="W137" s="199"/>
      <c r="X137" s="199"/>
      <c r="Y137" s="199"/>
      <c r="Z137" s="199"/>
    </row>
    <row r="138">
      <c r="A138" s="203">
        <v>46011.0</v>
      </c>
      <c r="B138" s="198" t="s">
        <v>8511</v>
      </c>
      <c r="C138" s="198" t="s">
        <v>8512</v>
      </c>
      <c r="D138" s="198">
        <v>1.0</v>
      </c>
      <c r="E138" s="204">
        <v>10.0</v>
      </c>
      <c r="F138" s="204">
        <v>10.0</v>
      </c>
      <c r="G138" s="198" t="s">
        <v>45</v>
      </c>
      <c r="H138" s="199"/>
      <c r="I138" s="198" t="s">
        <v>1061</v>
      </c>
      <c r="J138" s="204">
        <v>2.57</v>
      </c>
      <c r="K138" s="204">
        <v>7.43</v>
      </c>
      <c r="L138" s="206">
        <v>0.743</v>
      </c>
      <c r="M138" s="199"/>
      <c r="N138" s="198" t="s">
        <v>8513</v>
      </c>
      <c r="O138" s="198" t="s">
        <v>1626</v>
      </c>
      <c r="P138" s="21" t="s">
        <v>22</v>
      </c>
      <c r="Q138" s="199"/>
      <c r="R138" s="199"/>
      <c r="S138" s="199"/>
      <c r="T138" s="199"/>
      <c r="U138" s="199"/>
      <c r="V138" s="199"/>
      <c r="W138" s="199"/>
      <c r="X138" s="199"/>
      <c r="Y138" s="199"/>
      <c r="Z138" s="199"/>
    </row>
    <row r="139">
      <c r="A139" s="203">
        <v>46008.0</v>
      </c>
      <c r="B139" s="198" t="s">
        <v>2589</v>
      </c>
      <c r="C139" s="198" t="s">
        <v>1757</v>
      </c>
      <c r="D139" s="198">
        <v>1.0</v>
      </c>
      <c r="E139" s="204">
        <v>10.0</v>
      </c>
      <c r="F139" s="204">
        <v>10.0</v>
      </c>
      <c r="G139" s="198" t="s">
        <v>6499</v>
      </c>
      <c r="H139" s="199"/>
      <c r="I139" s="198" t="s">
        <v>1221</v>
      </c>
      <c r="J139" s="204">
        <v>4.98</v>
      </c>
      <c r="K139" s="204">
        <v>5.02</v>
      </c>
      <c r="L139" s="206">
        <v>0.502</v>
      </c>
      <c r="M139" s="199"/>
      <c r="N139" s="198" t="s">
        <v>8514</v>
      </c>
      <c r="O139" s="198" t="s">
        <v>1626</v>
      </c>
      <c r="P139" s="21" t="s">
        <v>22</v>
      </c>
      <c r="Q139" s="199"/>
      <c r="R139" s="199"/>
      <c r="S139" s="199"/>
      <c r="T139" s="199"/>
      <c r="U139" s="199"/>
      <c r="V139" s="199"/>
      <c r="W139" s="199"/>
      <c r="X139" s="199"/>
      <c r="Y139" s="199"/>
      <c r="Z139" s="199"/>
    </row>
    <row r="140">
      <c r="A140" s="203">
        <v>46008.0</v>
      </c>
      <c r="B140" s="198" t="s">
        <v>8515</v>
      </c>
      <c r="C140" s="198" t="s">
        <v>8433</v>
      </c>
      <c r="D140" s="198">
        <v>1.0</v>
      </c>
      <c r="E140" s="204">
        <v>6.0</v>
      </c>
      <c r="F140" s="204">
        <v>6.0</v>
      </c>
      <c r="G140" s="198" t="s">
        <v>6499</v>
      </c>
      <c r="H140" s="199"/>
      <c r="I140" s="198" t="s">
        <v>1221</v>
      </c>
      <c r="J140" s="204">
        <v>1.9</v>
      </c>
      <c r="K140" s="204">
        <v>4.1</v>
      </c>
      <c r="L140" s="206">
        <v>0.6833333333333332</v>
      </c>
      <c r="M140" s="199"/>
      <c r="N140" s="198" t="s">
        <v>8516</v>
      </c>
      <c r="O140" s="198" t="s">
        <v>1626</v>
      </c>
      <c r="P140" s="21" t="s">
        <v>22</v>
      </c>
      <c r="Q140" s="199"/>
      <c r="R140" s="199"/>
      <c r="S140" s="199"/>
      <c r="T140" s="199"/>
      <c r="U140" s="199"/>
      <c r="V140" s="199"/>
      <c r="W140" s="199"/>
      <c r="X140" s="199"/>
      <c r="Y140" s="199"/>
      <c r="Z140" s="199"/>
    </row>
    <row r="141">
      <c r="A141" s="203">
        <v>46014.0</v>
      </c>
      <c r="B141" s="198" t="s">
        <v>8511</v>
      </c>
      <c r="C141" s="198" t="s">
        <v>8512</v>
      </c>
      <c r="D141" s="198">
        <v>1.0</v>
      </c>
      <c r="E141" s="204">
        <v>10.0</v>
      </c>
      <c r="F141" s="204">
        <v>10.0</v>
      </c>
      <c r="G141" s="198" t="s">
        <v>45</v>
      </c>
      <c r="H141" s="199"/>
      <c r="I141" s="198" t="s">
        <v>8363</v>
      </c>
      <c r="J141" s="204">
        <v>2.57</v>
      </c>
      <c r="K141" s="204">
        <v>7.43</v>
      </c>
      <c r="L141" s="206">
        <v>0.743</v>
      </c>
      <c r="M141" s="199"/>
      <c r="N141" s="198" t="s">
        <v>8517</v>
      </c>
      <c r="O141" s="198" t="s">
        <v>1626</v>
      </c>
      <c r="P141" s="21" t="s">
        <v>22</v>
      </c>
      <c r="Q141" s="199"/>
      <c r="R141" s="199"/>
      <c r="S141" s="199"/>
      <c r="T141" s="199"/>
      <c r="U141" s="199"/>
      <c r="V141" s="199"/>
      <c r="W141" s="199"/>
      <c r="X141" s="199"/>
      <c r="Y141" s="199"/>
      <c r="Z141" s="199"/>
    </row>
    <row r="142">
      <c r="A142" s="203">
        <v>46014.0</v>
      </c>
      <c r="B142" s="198" t="s">
        <v>8518</v>
      </c>
      <c r="C142" s="198" t="s">
        <v>8519</v>
      </c>
      <c r="D142" s="198">
        <v>1.0</v>
      </c>
      <c r="E142" s="204">
        <v>10.0</v>
      </c>
      <c r="F142" s="204">
        <v>10.0</v>
      </c>
      <c r="G142" s="198" t="s">
        <v>45</v>
      </c>
      <c r="H142" s="199"/>
      <c r="I142" s="198" t="s">
        <v>8363</v>
      </c>
      <c r="J142" s="204">
        <v>2.57</v>
      </c>
      <c r="K142" s="204">
        <v>7.43</v>
      </c>
      <c r="L142" s="206">
        <v>0.743</v>
      </c>
      <c r="M142" s="199"/>
      <c r="N142" s="198" t="s">
        <v>8520</v>
      </c>
      <c r="O142" s="198" t="s">
        <v>1626</v>
      </c>
      <c r="P142" s="21" t="s">
        <v>22</v>
      </c>
      <c r="Q142" s="199"/>
      <c r="R142" s="199"/>
      <c r="S142" s="199"/>
      <c r="T142" s="199"/>
      <c r="U142" s="199"/>
      <c r="V142" s="199"/>
      <c r="W142" s="199"/>
      <c r="X142" s="199"/>
      <c r="Y142" s="199"/>
      <c r="Z142" s="199"/>
    </row>
    <row r="143">
      <c r="A143" s="203">
        <v>46014.0</v>
      </c>
      <c r="B143" s="198" t="s">
        <v>8508</v>
      </c>
      <c r="C143" s="198" t="s">
        <v>8509</v>
      </c>
      <c r="D143" s="198">
        <v>1.0</v>
      </c>
      <c r="E143" s="204">
        <v>15.0</v>
      </c>
      <c r="F143" s="204">
        <v>15.0</v>
      </c>
      <c r="G143" s="198" t="s">
        <v>45</v>
      </c>
      <c r="H143" s="199"/>
      <c r="I143" s="198" t="s">
        <v>8363</v>
      </c>
      <c r="J143" s="204">
        <v>6.37</v>
      </c>
      <c r="K143" s="204">
        <v>8.629999999999999</v>
      </c>
      <c r="L143" s="206">
        <v>0.5753333333333333</v>
      </c>
      <c r="M143" s="199"/>
      <c r="N143" s="198" t="s">
        <v>8521</v>
      </c>
      <c r="O143" s="198" t="s">
        <v>1626</v>
      </c>
      <c r="P143" s="21" t="s">
        <v>22</v>
      </c>
      <c r="Q143" s="199"/>
      <c r="R143" s="199"/>
      <c r="S143" s="199"/>
      <c r="T143" s="199"/>
      <c r="U143" s="199"/>
      <c r="V143" s="199"/>
      <c r="W143" s="199"/>
      <c r="X143" s="199"/>
      <c r="Y143" s="199"/>
      <c r="Z143" s="199"/>
    </row>
    <row r="144">
      <c r="A144" s="203">
        <v>46021.0</v>
      </c>
      <c r="B144" s="198" t="s">
        <v>2661</v>
      </c>
      <c r="C144" s="198" t="s">
        <v>2321</v>
      </c>
      <c r="D144" s="198">
        <v>1.0</v>
      </c>
      <c r="E144" s="204">
        <v>8.0</v>
      </c>
      <c r="F144" s="204">
        <v>8.0</v>
      </c>
      <c r="G144" s="198" t="s">
        <v>6499</v>
      </c>
      <c r="H144" s="199"/>
      <c r="I144" s="198" t="s">
        <v>1221</v>
      </c>
      <c r="J144" s="204">
        <v>2.9</v>
      </c>
      <c r="K144" s="204">
        <v>5.1</v>
      </c>
      <c r="L144" s="206">
        <v>0.6375</v>
      </c>
      <c r="M144" s="199"/>
      <c r="N144" s="198" t="s">
        <v>8522</v>
      </c>
      <c r="O144" s="198" t="s">
        <v>1626</v>
      </c>
      <c r="P144" s="21" t="s">
        <v>22</v>
      </c>
      <c r="Q144" s="199"/>
      <c r="R144" s="199"/>
      <c r="S144" s="199"/>
      <c r="T144" s="199"/>
      <c r="U144" s="199"/>
      <c r="V144" s="199"/>
      <c r="W144" s="199"/>
      <c r="X144" s="199"/>
      <c r="Y144" s="199"/>
      <c r="Z144" s="199"/>
    </row>
    <row r="145">
      <c r="A145" s="203">
        <v>46021.0</v>
      </c>
      <c r="B145" s="198" t="s">
        <v>2663</v>
      </c>
      <c r="C145" s="198" t="s">
        <v>1497</v>
      </c>
      <c r="D145" s="198">
        <v>1.0</v>
      </c>
      <c r="E145" s="204">
        <v>10.0</v>
      </c>
      <c r="F145" s="204">
        <v>10.0</v>
      </c>
      <c r="G145" s="198" t="s">
        <v>6499</v>
      </c>
      <c r="H145" s="199"/>
      <c r="I145" s="198" t="s">
        <v>1221</v>
      </c>
      <c r="J145" s="204">
        <v>7.8</v>
      </c>
      <c r="K145" s="204">
        <v>2.2</v>
      </c>
      <c r="L145" s="206">
        <v>0.22000000000000003</v>
      </c>
      <c r="M145" s="199"/>
      <c r="N145" s="198" t="s">
        <v>8523</v>
      </c>
      <c r="O145" s="198" t="s">
        <v>1626</v>
      </c>
      <c r="P145" s="21" t="s">
        <v>22</v>
      </c>
      <c r="Q145" s="199"/>
      <c r="R145" s="199"/>
      <c r="S145" s="199"/>
      <c r="T145" s="199"/>
      <c r="U145" s="199"/>
      <c r="V145" s="199"/>
      <c r="W145" s="199"/>
      <c r="X145" s="199"/>
      <c r="Y145" s="199"/>
      <c r="Z145" s="199"/>
    </row>
    <row r="146">
      <c r="A146" s="203"/>
      <c r="B146" s="198"/>
      <c r="C146" s="199"/>
      <c r="D146" s="198"/>
      <c r="E146" s="204"/>
      <c r="F146" s="204"/>
      <c r="G146" s="198"/>
      <c r="H146" s="199"/>
      <c r="I146" s="198"/>
      <c r="J146" s="202"/>
      <c r="K146" s="204"/>
      <c r="L146" s="206"/>
      <c r="M146" s="199"/>
      <c r="N146" s="198"/>
      <c r="O146" s="199"/>
      <c r="P146" s="21" t="s">
        <v>22</v>
      </c>
      <c r="Q146" s="199"/>
      <c r="R146" s="199"/>
      <c r="S146" s="199"/>
      <c r="T146" s="199"/>
      <c r="U146" s="199"/>
      <c r="V146" s="199"/>
      <c r="W146" s="199"/>
      <c r="X146" s="199"/>
      <c r="Y146" s="199"/>
      <c r="Z146" s="199"/>
    </row>
    <row r="147">
      <c r="A147" s="203">
        <v>45945.0</v>
      </c>
      <c r="B147" s="198" t="s">
        <v>8432</v>
      </c>
      <c r="C147" s="198" t="s">
        <v>8433</v>
      </c>
      <c r="D147" s="198">
        <v>1.0</v>
      </c>
      <c r="E147" s="204">
        <v>6.0</v>
      </c>
      <c r="F147" s="204">
        <v>6.0</v>
      </c>
      <c r="G147" s="198" t="s">
        <v>6499</v>
      </c>
      <c r="H147" s="199"/>
      <c r="I147" s="198" t="s">
        <v>1221</v>
      </c>
      <c r="J147" s="204">
        <v>5.66</v>
      </c>
      <c r="K147" s="204">
        <v>0.33999999999999986</v>
      </c>
      <c r="L147" s="206">
        <v>0.05666666666666664</v>
      </c>
      <c r="M147" s="199"/>
      <c r="N147" s="208" t="s">
        <v>8524</v>
      </c>
      <c r="O147" s="198" t="s">
        <v>1626</v>
      </c>
      <c r="P147" s="21" t="s">
        <v>22</v>
      </c>
      <c r="Q147" s="199"/>
      <c r="R147" s="199"/>
      <c r="S147" s="199"/>
      <c r="T147" s="199"/>
      <c r="U147" s="199"/>
      <c r="V147" s="199"/>
      <c r="W147" s="199"/>
      <c r="X147" s="199"/>
      <c r="Y147" s="199"/>
      <c r="Z147" s="199"/>
    </row>
    <row r="148">
      <c r="A148" s="203"/>
      <c r="B148" s="198"/>
      <c r="C148" s="199"/>
      <c r="D148" s="198"/>
      <c r="E148" s="204"/>
      <c r="F148" s="204"/>
      <c r="G148" s="198"/>
      <c r="H148" s="198"/>
      <c r="I148" s="198"/>
      <c r="J148" s="204"/>
      <c r="K148" s="204"/>
      <c r="L148" s="206"/>
      <c r="M148" s="199"/>
      <c r="N148" s="198"/>
      <c r="O148" s="198"/>
      <c r="P148" s="21"/>
      <c r="Q148" s="199"/>
      <c r="R148" s="199"/>
      <c r="S148" s="199"/>
      <c r="T148" s="199"/>
      <c r="U148" s="199"/>
      <c r="V148" s="199"/>
      <c r="W148" s="199"/>
      <c r="X148" s="199"/>
      <c r="Y148" s="199"/>
      <c r="Z148" s="199"/>
    </row>
    <row r="149">
      <c r="A149" s="203"/>
      <c r="B149" s="198"/>
      <c r="C149" s="199"/>
      <c r="D149" s="198"/>
      <c r="E149" s="204"/>
      <c r="F149" s="204"/>
      <c r="G149" s="198"/>
      <c r="H149" s="198"/>
      <c r="I149" s="198"/>
      <c r="J149" s="204"/>
      <c r="K149" s="204"/>
      <c r="L149" s="206"/>
      <c r="M149" s="199"/>
      <c r="N149" s="198"/>
      <c r="O149" s="198"/>
      <c r="P149" s="21"/>
      <c r="Q149" s="199"/>
      <c r="R149" s="199"/>
      <c r="S149" s="199"/>
      <c r="T149" s="199"/>
      <c r="U149" s="199"/>
      <c r="V149" s="199"/>
      <c r="W149" s="199"/>
      <c r="X149" s="199"/>
      <c r="Y149" s="199"/>
      <c r="Z149" s="199"/>
    </row>
    <row r="150">
      <c r="A150" s="203">
        <v>46106.0</v>
      </c>
      <c r="B150" s="198" t="s">
        <v>2907</v>
      </c>
      <c r="C150" s="198" t="s">
        <v>1911</v>
      </c>
      <c r="D150" s="198">
        <v>1.0</v>
      </c>
      <c r="E150" s="204">
        <v>7.0</v>
      </c>
      <c r="F150" s="204">
        <v>7.0</v>
      </c>
      <c r="G150" s="198" t="s">
        <v>45</v>
      </c>
      <c r="H150" s="198" t="s">
        <v>46</v>
      </c>
      <c r="I150" s="198" t="s">
        <v>43</v>
      </c>
      <c r="J150" s="204">
        <v>0.5</v>
      </c>
      <c r="K150" s="204">
        <v>6.5</v>
      </c>
      <c r="L150" s="206">
        <v>0.9285714285714286</v>
      </c>
      <c r="M150" s="199"/>
      <c r="N150" s="198" t="s">
        <v>8525</v>
      </c>
      <c r="O150" s="198" t="s">
        <v>1626</v>
      </c>
      <c r="P150" s="21" t="s">
        <v>22</v>
      </c>
      <c r="Q150" s="198" t="s">
        <v>8526</v>
      </c>
      <c r="R150" s="199"/>
      <c r="S150" s="199"/>
      <c r="T150" s="199"/>
      <c r="U150" s="199"/>
      <c r="V150" s="199"/>
      <c r="W150" s="199"/>
      <c r="X150" s="199"/>
      <c r="Y150" s="199"/>
      <c r="Z150" s="199"/>
    </row>
    <row r="151">
      <c r="A151" s="203">
        <v>46106.0</v>
      </c>
      <c r="B151" s="198" t="s">
        <v>2909</v>
      </c>
      <c r="C151" s="198" t="s">
        <v>2199</v>
      </c>
      <c r="D151" s="198">
        <v>1.0</v>
      </c>
      <c r="E151" s="204">
        <v>12.0</v>
      </c>
      <c r="F151" s="204">
        <v>12.0</v>
      </c>
      <c r="G151" s="198" t="s">
        <v>45</v>
      </c>
      <c r="H151" s="198" t="s">
        <v>46</v>
      </c>
      <c r="I151" s="198" t="s">
        <v>43</v>
      </c>
      <c r="J151" s="204">
        <v>7.7</v>
      </c>
      <c r="K151" s="204">
        <v>4.3</v>
      </c>
      <c r="L151" s="206">
        <v>0.35833333333333334</v>
      </c>
      <c r="M151" s="199"/>
      <c r="N151" s="198" t="s">
        <v>8527</v>
      </c>
      <c r="O151" s="198" t="s">
        <v>1626</v>
      </c>
      <c r="P151" s="21" t="s">
        <v>22</v>
      </c>
      <c r="Q151" s="198" t="s">
        <v>8526</v>
      </c>
      <c r="R151" s="199"/>
      <c r="S151" s="199"/>
      <c r="T151" s="199"/>
      <c r="U151" s="199"/>
      <c r="V151" s="199"/>
      <c r="W151" s="199"/>
      <c r="X151" s="199"/>
      <c r="Y151" s="199"/>
      <c r="Z151" s="199"/>
    </row>
    <row r="152">
      <c r="A152" s="203">
        <v>46106.0</v>
      </c>
      <c r="B152" s="198" t="s">
        <v>2911</v>
      </c>
      <c r="C152" s="198" t="s">
        <v>1490</v>
      </c>
      <c r="D152" s="198">
        <v>1.0</v>
      </c>
      <c r="E152" s="204">
        <v>15.0</v>
      </c>
      <c r="F152" s="204">
        <v>15.0</v>
      </c>
      <c r="G152" s="198" t="s">
        <v>45</v>
      </c>
      <c r="H152" s="198" t="s">
        <v>46</v>
      </c>
      <c r="I152" s="198" t="s">
        <v>43</v>
      </c>
      <c r="J152" s="204">
        <v>11.55</v>
      </c>
      <c r="K152" s="204">
        <v>3.4499999999999993</v>
      </c>
      <c r="L152" s="206">
        <v>0.22999999999999995</v>
      </c>
      <c r="M152" s="199"/>
      <c r="N152" s="198" t="s">
        <v>8528</v>
      </c>
      <c r="O152" s="198" t="s">
        <v>1626</v>
      </c>
      <c r="P152" s="21" t="s">
        <v>22</v>
      </c>
      <c r="Q152" s="198" t="s">
        <v>8526</v>
      </c>
      <c r="R152" s="199"/>
      <c r="S152" s="199"/>
      <c r="T152" s="199"/>
      <c r="U152" s="199"/>
      <c r="V152" s="199"/>
      <c r="W152" s="199"/>
      <c r="X152" s="199"/>
      <c r="Y152" s="199"/>
      <c r="Z152" s="199"/>
    </row>
    <row r="153">
      <c r="A153" s="203">
        <v>46106.0</v>
      </c>
      <c r="B153" s="198" t="s">
        <v>2905</v>
      </c>
      <c r="C153" s="198" t="s">
        <v>1936</v>
      </c>
      <c r="D153" s="198">
        <v>1.0</v>
      </c>
      <c r="E153" s="204">
        <v>7.0</v>
      </c>
      <c r="F153" s="204">
        <v>7.0</v>
      </c>
      <c r="G153" s="198" t="s">
        <v>45</v>
      </c>
      <c r="H153" s="198" t="s">
        <v>46</v>
      </c>
      <c r="I153" s="198" t="s">
        <v>43</v>
      </c>
      <c r="J153" s="204">
        <v>15.0</v>
      </c>
      <c r="K153" s="204">
        <v>-8.0</v>
      </c>
      <c r="L153" s="206">
        <v>-1.1428571428571428</v>
      </c>
      <c r="M153" s="199"/>
      <c r="N153" s="198" t="s">
        <v>8529</v>
      </c>
      <c r="O153" s="198" t="s">
        <v>1626</v>
      </c>
      <c r="P153" s="21" t="s">
        <v>22</v>
      </c>
      <c r="Q153" s="198" t="s">
        <v>8526</v>
      </c>
      <c r="R153" s="199"/>
      <c r="S153" s="199"/>
      <c r="T153" s="199"/>
      <c r="U153" s="199"/>
      <c r="V153" s="199"/>
      <c r="W153" s="199"/>
      <c r="X153" s="199"/>
      <c r="Y153" s="199"/>
      <c r="Z153" s="199"/>
    </row>
    <row r="154">
      <c r="A154" s="203">
        <v>46106.0</v>
      </c>
      <c r="B154" s="198" t="s">
        <v>2913</v>
      </c>
      <c r="C154" s="198" t="s">
        <v>2914</v>
      </c>
      <c r="D154" s="198">
        <v>1.0</v>
      </c>
      <c r="E154" s="204">
        <v>13.0</v>
      </c>
      <c r="F154" s="204">
        <v>13.0</v>
      </c>
      <c r="G154" s="198" t="s">
        <v>45</v>
      </c>
      <c r="H154" s="198" t="s">
        <v>46</v>
      </c>
      <c r="I154" s="198" t="s">
        <v>43</v>
      </c>
      <c r="J154" s="204">
        <v>16.5</v>
      </c>
      <c r="K154" s="204">
        <v>-3.5</v>
      </c>
      <c r="L154" s="206">
        <v>-0.2692307692307692</v>
      </c>
      <c r="M154" s="199"/>
      <c r="N154" s="198" t="s">
        <v>8530</v>
      </c>
      <c r="O154" s="198" t="s">
        <v>1626</v>
      </c>
      <c r="P154" s="21" t="s">
        <v>22</v>
      </c>
      <c r="Q154" s="198" t="s">
        <v>8526</v>
      </c>
      <c r="R154" s="199"/>
      <c r="S154" s="199"/>
      <c r="T154" s="199"/>
      <c r="U154" s="199"/>
      <c r="V154" s="199"/>
      <c r="W154" s="199"/>
      <c r="X154" s="199"/>
      <c r="Y154" s="199"/>
      <c r="Z154" s="199"/>
    </row>
    <row r="155">
      <c r="A155" s="203">
        <v>46106.0</v>
      </c>
      <c r="B155" s="198" t="s">
        <v>1120</v>
      </c>
      <c r="C155" s="198" t="s">
        <v>8531</v>
      </c>
      <c r="D155" s="198">
        <v>4.0</v>
      </c>
      <c r="E155" s="204">
        <v>15.0</v>
      </c>
      <c r="F155" s="204">
        <v>60.0</v>
      </c>
      <c r="G155" s="198" t="s">
        <v>1153</v>
      </c>
      <c r="H155" s="198" t="s">
        <v>46</v>
      </c>
      <c r="I155" s="198" t="s">
        <v>1061</v>
      </c>
      <c r="J155" s="204">
        <v>3.89</v>
      </c>
      <c r="K155" s="204">
        <v>44.44</v>
      </c>
      <c r="L155" s="206">
        <v>0.7406666666666666</v>
      </c>
      <c r="M155" s="199"/>
      <c r="N155" s="198" t="s">
        <v>8532</v>
      </c>
      <c r="O155" s="198" t="s">
        <v>1626</v>
      </c>
      <c r="P155" s="21" t="s">
        <v>22</v>
      </c>
      <c r="Q155" s="198" t="s">
        <v>8533</v>
      </c>
      <c r="R155" s="199"/>
      <c r="S155" s="199"/>
      <c r="T155" s="199"/>
      <c r="U155" s="199"/>
      <c r="V155" s="199"/>
      <c r="W155" s="199"/>
      <c r="X155" s="199"/>
      <c r="Y155" s="199"/>
      <c r="Z155" s="199"/>
    </row>
    <row r="156">
      <c r="A156" s="203">
        <v>46106.0</v>
      </c>
      <c r="B156" s="198" t="s">
        <v>7008</v>
      </c>
      <c r="C156" s="198" t="s">
        <v>8534</v>
      </c>
      <c r="D156" s="198">
        <v>1.0</v>
      </c>
      <c r="E156" s="204">
        <v>10.0</v>
      </c>
      <c r="F156" s="204">
        <v>10.0</v>
      </c>
      <c r="G156" s="198" t="s">
        <v>1153</v>
      </c>
      <c r="H156" s="198" t="s">
        <v>46</v>
      </c>
      <c r="I156" s="198" t="s">
        <v>1061</v>
      </c>
      <c r="J156" s="204">
        <v>4.17</v>
      </c>
      <c r="K156" s="204">
        <v>5.83</v>
      </c>
      <c r="L156" s="206">
        <v>0.583</v>
      </c>
      <c r="M156" s="199"/>
      <c r="N156" s="198" t="s">
        <v>8535</v>
      </c>
      <c r="O156" s="198" t="s">
        <v>1626</v>
      </c>
      <c r="P156" s="21" t="s">
        <v>22</v>
      </c>
      <c r="Q156" s="198" t="s">
        <v>8533</v>
      </c>
      <c r="R156" s="199"/>
      <c r="S156" s="199"/>
      <c r="T156" s="199"/>
      <c r="U156" s="199"/>
      <c r="V156" s="199"/>
      <c r="W156" s="199"/>
      <c r="X156" s="199"/>
      <c r="Y156" s="199"/>
      <c r="Z156" s="199"/>
    </row>
    <row r="157">
      <c r="A157" s="203">
        <v>46107.0</v>
      </c>
      <c r="B157" s="198" t="s">
        <v>8536</v>
      </c>
      <c r="C157" s="198" t="s">
        <v>8537</v>
      </c>
      <c r="D157" s="198">
        <v>1.0</v>
      </c>
      <c r="E157" s="204">
        <v>12.0</v>
      </c>
      <c r="F157" s="204">
        <v>12.0</v>
      </c>
      <c r="G157" s="198" t="s">
        <v>45</v>
      </c>
      <c r="H157" s="198" t="s">
        <v>46</v>
      </c>
      <c r="I157" s="198" t="s">
        <v>43</v>
      </c>
      <c r="J157" s="204">
        <v>8.0</v>
      </c>
      <c r="K157" s="204">
        <v>4.0</v>
      </c>
      <c r="L157" s="206">
        <v>0.3333333333333333</v>
      </c>
      <c r="M157" s="199"/>
      <c r="N157" s="198" t="s">
        <v>8538</v>
      </c>
      <c r="O157" s="198" t="s">
        <v>1626</v>
      </c>
      <c r="P157" s="21" t="s">
        <v>22</v>
      </c>
      <c r="Q157" s="198" t="s">
        <v>8539</v>
      </c>
      <c r="R157" s="199"/>
      <c r="S157" s="199"/>
      <c r="T157" s="199"/>
      <c r="U157" s="199"/>
      <c r="V157" s="199"/>
      <c r="W157" s="199"/>
      <c r="X157" s="199"/>
      <c r="Y157" s="199"/>
      <c r="Z157" s="199"/>
    </row>
    <row r="158">
      <c r="A158" s="203">
        <v>46111.0</v>
      </c>
      <c r="B158" s="198" t="s">
        <v>7006</v>
      </c>
      <c r="C158" s="198" t="s">
        <v>8540</v>
      </c>
      <c r="D158" s="198">
        <v>1.0</v>
      </c>
      <c r="E158" s="204">
        <v>12.0</v>
      </c>
      <c r="F158" s="204">
        <v>12.0</v>
      </c>
      <c r="G158" s="198" t="s">
        <v>1153</v>
      </c>
      <c r="H158" s="198" t="s">
        <v>46</v>
      </c>
      <c r="I158" s="198" t="s">
        <v>1061</v>
      </c>
      <c r="J158" s="204">
        <v>4.54</v>
      </c>
      <c r="K158" s="204">
        <v>7.46</v>
      </c>
      <c r="L158" s="206">
        <v>0.6216666666666667</v>
      </c>
      <c r="M158" s="199"/>
      <c r="N158" s="198" t="s">
        <v>8541</v>
      </c>
      <c r="O158" s="198" t="s">
        <v>1626</v>
      </c>
      <c r="P158" s="21" t="s">
        <v>22</v>
      </c>
      <c r="Q158" s="198" t="s">
        <v>8533</v>
      </c>
      <c r="R158" s="199"/>
      <c r="S158" s="199"/>
      <c r="T158" s="199"/>
      <c r="U158" s="199"/>
      <c r="V158" s="199"/>
      <c r="W158" s="199"/>
      <c r="X158" s="199"/>
      <c r="Y158" s="199"/>
      <c r="Z158" s="199"/>
    </row>
    <row r="159">
      <c r="A159" s="203">
        <v>46131.0</v>
      </c>
      <c r="B159" s="198" t="s">
        <v>8542</v>
      </c>
      <c r="C159" s="198" t="s">
        <v>6632</v>
      </c>
      <c r="D159" s="198">
        <v>1.0</v>
      </c>
      <c r="E159" s="204">
        <v>10.0</v>
      </c>
      <c r="F159" s="204">
        <v>10.0</v>
      </c>
      <c r="G159" s="198" t="s">
        <v>45</v>
      </c>
      <c r="H159" s="198" t="s">
        <v>46</v>
      </c>
      <c r="I159" s="198" t="s">
        <v>43</v>
      </c>
      <c r="J159" s="204">
        <v>3.78</v>
      </c>
      <c r="K159" s="204">
        <v>6.220000000000001</v>
      </c>
      <c r="L159" s="206">
        <v>0.6220000000000001</v>
      </c>
      <c r="M159" s="199"/>
      <c r="N159" s="198" t="s">
        <v>8543</v>
      </c>
      <c r="O159" s="198" t="s">
        <v>1626</v>
      </c>
      <c r="P159" s="21" t="s">
        <v>22</v>
      </c>
      <c r="Q159" s="198" t="s">
        <v>8544</v>
      </c>
      <c r="R159" s="199"/>
      <c r="S159" s="199"/>
      <c r="T159" s="199"/>
      <c r="U159" s="199"/>
      <c r="V159" s="199"/>
      <c r="W159" s="199"/>
      <c r="X159" s="199"/>
      <c r="Y159" s="199"/>
      <c r="Z159" s="199"/>
    </row>
    <row r="160">
      <c r="A160" s="203">
        <v>46125.0</v>
      </c>
      <c r="B160" s="198" t="s">
        <v>3043</v>
      </c>
      <c r="C160" s="198" t="s">
        <v>1537</v>
      </c>
      <c r="D160" s="198">
        <v>1.0</v>
      </c>
      <c r="E160" s="204">
        <v>7.0</v>
      </c>
      <c r="F160" s="204">
        <v>7.0</v>
      </c>
      <c r="G160" s="198" t="s">
        <v>45</v>
      </c>
      <c r="H160" s="199"/>
      <c r="I160" s="198" t="s">
        <v>43</v>
      </c>
      <c r="J160" s="204">
        <v>0.94</v>
      </c>
      <c r="K160" s="204">
        <v>6.0600000000000005</v>
      </c>
      <c r="L160" s="206">
        <v>0.8657142857142858</v>
      </c>
      <c r="M160" s="199"/>
      <c r="N160" s="198" t="s">
        <v>8545</v>
      </c>
      <c r="O160" s="198" t="s">
        <v>1626</v>
      </c>
      <c r="P160" s="21" t="s">
        <v>22</v>
      </c>
      <c r="Q160" s="198" t="s">
        <v>8546</v>
      </c>
      <c r="R160" s="199"/>
      <c r="S160" s="199"/>
      <c r="T160" s="199"/>
      <c r="U160" s="199"/>
      <c r="V160" s="199"/>
      <c r="W160" s="199"/>
      <c r="X160" s="199"/>
      <c r="Y160" s="199"/>
      <c r="Z160" s="199"/>
    </row>
    <row r="161">
      <c r="A161" s="203">
        <v>46125.0</v>
      </c>
      <c r="B161" s="198" t="s">
        <v>3039</v>
      </c>
      <c r="C161" s="198" t="s">
        <v>1767</v>
      </c>
      <c r="D161" s="198">
        <v>1.0</v>
      </c>
      <c r="E161" s="204">
        <v>20.0</v>
      </c>
      <c r="F161" s="204">
        <v>20.0</v>
      </c>
      <c r="G161" s="198" t="s">
        <v>45</v>
      </c>
      <c r="H161" s="199"/>
      <c r="I161" s="198" t="s">
        <v>43</v>
      </c>
      <c r="J161" s="204">
        <v>8.0</v>
      </c>
      <c r="K161" s="204">
        <v>12.0</v>
      </c>
      <c r="L161" s="206">
        <v>0.6</v>
      </c>
      <c r="M161" s="199"/>
      <c r="N161" s="198" t="s">
        <v>8547</v>
      </c>
      <c r="O161" s="198" t="s">
        <v>1626</v>
      </c>
      <c r="P161" s="21" t="s">
        <v>22</v>
      </c>
      <c r="Q161" s="198" t="s">
        <v>8546</v>
      </c>
      <c r="R161" s="199"/>
      <c r="S161" s="199"/>
      <c r="T161" s="199"/>
      <c r="U161" s="199"/>
      <c r="V161" s="199"/>
      <c r="W161" s="199"/>
      <c r="X161" s="199"/>
      <c r="Y161" s="199"/>
      <c r="Z161" s="199"/>
    </row>
    <row r="162">
      <c r="A162" s="203">
        <v>46125.0</v>
      </c>
      <c r="B162" s="198" t="s">
        <v>3037</v>
      </c>
      <c r="C162" s="198" t="s">
        <v>1474</v>
      </c>
      <c r="D162" s="198">
        <v>1.0</v>
      </c>
      <c r="E162" s="204">
        <v>30.0</v>
      </c>
      <c r="F162" s="204">
        <v>30.0</v>
      </c>
      <c r="G162" s="198" t="s">
        <v>45</v>
      </c>
      <c r="H162" s="198" t="s">
        <v>46</v>
      </c>
      <c r="I162" s="198" t="s">
        <v>43</v>
      </c>
      <c r="J162" s="204">
        <v>16.83</v>
      </c>
      <c r="K162" s="204">
        <v>13.170000000000002</v>
      </c>
      <c r="L162" s="206">
        <v>0.43900000000000006</v>
      </c>
      <c r="M162" s="199"/>
      <c r="N162" s="198" t="s">
        <v>8548</v>
      </c>
      <c r="O162" s="198" t="s">
        <v>1626</v>
      </c>
      <c r="P162" s="21" t="s">
        <v>22</v>
      </c>
      <c r="Q162" s="198" t="s">
        <v>8546</v>
      </c>
      <c r="R162" s="199"/>
      <c r="S162" s="199"/>
      <c r="T162" s="199"/>
      <c r="U162" s="199"/>
      <c r="V162" s="199"/>
      <c r="W162" s="199"/>
      <c r="X162" s="199"/>
      <c r="Y162" s="199"/>
      <c r="Z162" s="199"/>
    </row>
    <row r="163">
      <c r="A163" s="203">
        <v>46125.0</v>
      </c>
      <c r="B163" s="198" t="s">
        <v>3041</v>
      </c>
      <c r="C163" s="198" t="s">
        <v>1605</v>
      </c>
      <c r="D163" s="198">
        <v>1.0</v>
      </c>
      <c r="E163" s="204">
        <v>7.0</v>
      </c>
      <c r="F163" s="204">
        <v>7.0</v>
      </c>
      <c r="G163" s="198" t="s">
        <v>45</v>
      </c>
      <c r="H163" s="198" t="s">
        <v>46</v>
      </c>
      <c r="I163" s="198" t="s">
        <v>43</v>
      </c>
      <c r="J163" s="204">
        <v>3.83</v>
      </c>
      <c r="K163" s="204">
        <v>3.17</v>
      </c>
      <c r="L163" s="206">
        <v>0.45285714285714285</v>
      </c>
      <c r="M163" s="199"/>
      <c r="N163" s="198" t="s">
        <v>8549</v>
      </c>
      <c r="O163" s="198" t="s">
        <v>1626</v>
      </c>
      <c r="P163" s="21" t="s">
        <v>22</v>
      </c>
      <c r="Q163" s="198" t="s">
        <v>8546</v>
      </c>
      <c r="R163" s="199"/>
      <c r="S163" s="199"/>
      <c r="T163" s="199"/>
      <c r="U163" s="199"/>
      <c r="V163" s="199"/>
      <c r="W163" s="199"/>
      <c r="X163" s="199"/>
      <c r="Y163" s="199"/>
      <c r="Z163" s="199"/>
    </row>
    <row r="164">
      <c r="A164" s="203">
        <v>46125.0</v>
      </c>
      <c r="B164" s="198" t="s">
        <v>3045</v>
      </c>
      <c r="C164" s="198" t="s">
        <v>2235</v>
      </c>
      <c r="D164" s="198">
        <v>1.0</v>
      </c>
      <c r="E164" s="204">
        <v>15.0</v>
      </c>
      <c r="F164" s="204">
        <v>15.0</v>
      </c>
      <c r="G164" s="198" t="s">
        <v>45</v>
      </c>
      <c r="H164" s="199"/>
      <c r="I164" s="198" t="s">
        <v>43</v>
      </c>
      <c r="J164" s="204">
        <v>6.9</v>
      </c>
      <c r="K164" s="204">
        <v>8.1</v>
      </c>
      <c r="L164" s="206">
        <v>0.5399999999999999</v>
      </c>
      <c r="M164" s="199"/>
      <c r="N164" s="198" t="s">
        <v>8550</v>
      </c>
      <c r="O164" s="198" t="s">
        <v>1626</v>
      </c>
      <c r="P164" s="21" t="s">
        <v>22</v>
      </c>
      <c r="Q164" s="198" t="s">
        <v>8546</v>
      </c>
      <c r="R164" s="199"/>
      <c r="S164" s="199"/>
      <c r="T164" s="199"/>
      <c r="U164" s="199"/>
      <c r="V164" s="199"/>
      <c r="W164" s="199"/>
      <c r="X164" s="199"/>
      <c r="Y164" s="199"/>
      <c r="Z164" s="199"/>
    </row>
    <row r="165">
      <c r="A165" s="203">
        <v>46136.0</v>
      </c>
      <c r="B165" s="198" t="s">
        <v>8551</v>
      </c>
      <c r="C165" s="198" t="s">
        <v>8552</v>
      </c>
      <c r="D165" s="198">
        <v>1.0</v>
      </c>
      <c r="E165" s="204">
        <v>20.0</v>
      </c>
      <c r="F165" s="204">
        <v>20.0</v>
      </c>
      <c r="G165" s="198" t="s">
        <v>45</v>
      </c>
      <c r="H165" s="199"/>
      <c r="I165" s="198" t="s">
        <v>8363</v>
      </c>
      <c r="J165" s="204">
        <v>12.75</v>
      </c>
      <c r="K165" s="204">
        <v>7.25</v>
      </c>
      <c r="L165" s="206">
        <v>0.3625</v>
      </c>
      <c r="M165" s="199"/>
      <c r="N165" s="198" t="s">
        <v>8553</v>
      </c>
      <c r="O165" s="198" t="s">
        <v>1626</v>
      </c>
      <c r="P165" s="21" t="s">
        <v>22</v>
      </c>
      <c r="Q165" s="198" t="s">
        <v>1060</v>
      </c>
      <c r="R165" s="199"/>
      <c r="S165" s="199"/>
      <c r="T165" s="199"/>
      <c r="U165" s="199"/>
      <c r="V165" s="199"/>
      <c r="W165" s="199"/>
      <c r="X165" s="199"/>
      <c r="Y165" s="199"/>
      <c r="Z165" s="199"/>
    </row>
    <row r="166">
      <c r="A166" s="203">
        <v>46136.0</v>
      </c>
      <c r="B166" s="198" t="s">
        <v>8554</v>
      </c>
      <c r="C166" s="198" t="s">
        <v>8555</v>
      </c>
      <c r="D166" s="198">
        <v>1.0</v>
      </c>
      <c r="E166" s="204">
        <v>25.0</v>
      </c>
      <c r="F166" s="204">
        <v>25.0</v>
      </c>
      <c r="G166" s="198" t="s">
        <v>45</v>
      </c>
      <c r="H166" s="199"/>
      <c r="I166" s="198" t="s">
        <v>8363</v>
      </c>
      <c r="J166" s="204">
        <v>13.5</v>
      </c>
      <c r="K166" s="204">
        <v>11.5</v>
      </c>
      <c r="L166" s="206">
        <v>0.46</v>
      </c>
      <c r="M166" s="199"/>
      <c r="N166" s="198" t="s">
        <v>8556</v>
      </c>
      <c r="O166" s="198" t="s">
        <v>1626</v>
      </c>
      <c r="P166" s="21" t="s">
        <v>22</v>
      </c>
      <c r="Q166" s="198" t="s">
        <v>1060</v>
      </c>
      <c r="R166" s="199"/>
      <c r="S166" s="199"/>
      <c r="T166" s="199"/>
      <c r="U166" s="199"/>
      <c r="V166" s="199"/>
      <c r="W166" s="199"/>
      <c r="X166" s="199"/>
      <c r="Y166" s="199"/>
      <c r="Z166" s="199"/>
    </row>
    <row r="167">
      <c r="A167" s="203">
        <v>46136.0</v>
      </c>
      <c r="B167" s="198" t="s">
        <v>8557</v>
      </c>
      <c r="C167" s="198" t="s">
        <v>8558</v>
      </c>
      <c r="D167" s="198">
        <v>1.0</v>
      </c>
      <c r="E167" s="204">
        <v>4.0</v>
      </c>
      <c r="F167" s="204">
        <v>4.0</v>
      </c>
      <c r="G167" s="198" t="s">
        <v>45</v>
      </c>
      <c r="H167" s="199"/>
      <c r="I167" s="198" t="s">
        <v>8363</v>
      </c>
      <c r="J167" s="204">
        <v>1.75</v>
      </c>
      <c r="K167" s="204">
        <v>2.25</v>
      </c>
      <c r="L167" s="206">
        <v>0.5625</v>
      </c>
      <c r="M167" s="199"/>
      <c r="N167" s="198" t="s">
        <v>8559</v>
      </c>
      <c r="O167" s="198" t="s">
        <v>1626</v>
      </c>
      <c r="P167" s="21" t="s">
        <v>22</v>
      </c>
      <c r="Q167" s="198" t="s">
        <v>1060</v>
      </c>
      <c r="R167" s="199"/>
      <c r="S167" s="199"/>
      <c r="T167" s="199"/>
      <c r="U167" s="199"/>
      <c r="V167" s="199"/>
      <c r="W167" s="199"/>
      <c r="X167" s="199"/>
      <c r="Y167" s="199"/>
      <c r="Z167" s="199"/>
    </row>
    <row r="168">
      <c r="A168" s="203">
        <v>46138.0</v>
      </c>
      <c r="B168" s="198" t="s">
        <v>8536</v>
      </c>
      <c r="C168" s="198" t="s">
        <v>8537</v>
      </c>
      <c r="D168" s="198">
        <v>1.0</v>
      </c>
      <c r="E168" s="204">
        <v>12.0</v>
      </c>
      <c r="F168" s="204">
        <v>12.0</v>
      </c>
      <c r="G168" s="198" t="s">
        <v>45</v>
      </c>
      <c r="H168" s="198" t="s">
        <v>46</v>
      </c>
      <c r="I168" s="198" t="s">
        <v>43</v>
      </c>
      <c r="J168" s="204">
        <v>8.0</v>
      </c>
      <c r="K168" s="204">
        <v>4.0</v>
      </c>
      <c r="L168" s="206">
        <v>0.3333333333333333</v>
      </c>
      <c r="M168" s="199"/>
      <c r="N168" s="198" t="s">
        <v>8560</v>
      </c>
      <c r="O168" s="198" t="s">
        <v>1626</v>
      </c>
      <c r="P168" s="21" t="s">
        <v>22</v>
      </c>
      <c r="Q168" s="198" t="s">
        <v>8561</v>
      </c>
      <c r="R168" s="199"/>
      <c r="S168" s="199"/>
      <c r="T168" s="199"/>
      <c r="U168" s="199"/>
      <c r="V168" s="199"/>
      <c r="W168" s="199"/>
      <c r="X168" s="199"/>
      <c r="Y168" s="199"/>
      <c r="Z168" s="199"/>
    </row>
    <row r="169">
      <c r="A169" s="203">
        <v>46138.0</v>
      </c>
      <c r="B169" s="198" t="s">
        <v>8562</v>
      </c>
      <c r="C169" s="198" t="s">
        <v>8563</v>
      </c>
      <c r="D169" s="198">
        <v>1.0</v>
      </c>
      <c r="E169" s="204">
        <v>0.0</v>
      </c>
      <c r="F169" s="204">
        <v>0.0</v>
      </c>
      <c r="G169" s="198" t="s">
        <v>45</v>
      </c>
      <c r="H169" s="198" t="s">
        <v>46</v>
      </c>
      <c r="I169" s="198" t="s">
        <v>43</v>
      </c>
      <c r="J169" s="204">
        <v>0.88</v>
      </c>
      <c r="K169" s="204">
        <v>-0.88</v>
      </c>
      <c r="L169" s="206">
        <v>-1.0</v>
      </c>
      <c r="M169" s="198" t="s">
        <v>8564</v>
      </c>
      <c r="N169" s="198" t="s">
        <v>8565</v>
      </c>
      <c r="O169" s="198" t="s">
        <v>1626</v>
      </c>
      <c r="P169" s="21" t="s">
        <v>22</v>
      </c>
      <c r="Q169" s="198" t="s">
        <v>8561</v>
      </c>
      <c r="R169" s="199"/>
      <c r="S169" s="199"/>
      <c r="T169" s="199"/>
      <c r="U169" s="199"/>
      <c r="V169" s="199"/>
      <c r="W169" s="199"/>
      <c r="X169" s="199"/>
      <c r="Y169" s="199"/>
      <c r="Z169" s="199"/>
    </row>
    <row r="170">
      <c r="A170" s="203">
        <v>46139.0</v>
      </c>
      <c r="B170" s="198" t="s">
        <v>8542</v>
      </c>
      <c r="C170" s="198" t="s">
        <v>6632</v>
      </c>
      <c r="D170" s="198">
        <v>1.0</v>
      </c>
      <c r="E170" s="204">
        <v>10.0</v>
      </c>
      <c r="F170" s="204">
        <v>10.0</v>
      </c>
      <c r="G170" s="198" t="s">
        <v>1166</v>
      </c>
      <c r="H170" s="198" t="s">
        <v>46</v>
      </c>
      <c r="I170" s="198" t="s">
        <v>43</v>
      </c>
      <c r="J170" s="204">
        <v>3.78</v>
      </c>
      <c r="K170" s="204">
        <v>6.220000000000001</v>
      </c>
      <c r="L170" s="206">
        <v>0.6220000000000001</v>
      </c>
      <c r="M170" s="199"/>
      <c r="N170" s="198" t="s">
        <v>8566</v>
      </c>
      <c r="O170" s="198" t="s">
        <v>1626</v>
      </c>
      <c r="P170" s="21" t="s">
        <v>22</v>
      </c>
      <c r="Q170" s="198" t="s">
        <v>8567</v>
      </c>
      <c r="R170" s="199"/>
      <c r="S170" s="199"/>
      <c r="T170" s="199"/>
      <c r="U170" s="199"/>
      <c r="V170" s="199"/>
      <c r="W170" s="199"/>
      <c r="X170" s="199"/>
      <c r="Y170" s="199"/>
      <c r="Z170" s="199"/>
    </row>
    <row r="171">
      <c r="A171" s="203">
        <v>46155.0</v>
      </c>
      <c r="B171" s="198" t="s">
        <v>3498</v>
      </c>
      <c r="C171" s="198" t="s">
        <v>2054</v>
      </c>
      <c r="D171" s="198">
        <v>1.0</v>
      </c>
      <c r="E171" s="204">
        <v>12.0</v>
      </c>
      <c r="F171" s="204">
        <v>12.0</v>
      </c>
      <c r="G171" s="198" t="s">
        <v>45</v>
      </c>
      <c r="H171" s="198"/>
      <c r="I171" s="198" t="s">
        <v>43</v>
      </c>
      <c r="J171" s="204">
        <v>5.77</v>
      </c>
      <c r="K171" s="204">
        <v>6.23</v>
      </c>
      <c r="L171" s="206">
        <v>0.5191666666666667</v>
      </c>
      <c r="M171" s="199"/>
      <c r="N171" s="198" t="s">
        <v>8568</v>
      </c>
      <c r="O171" s="198" t="s">
        <v>1626</v>
      </c>
      <c r="P171" s="21" t="s">
        <v>22</v>
      </c>
      <c r="Q171" s="198" t="s">
        <v>8526</v>
      </c>
      <c r="R171" s="199"/>
      <c r="S171" s="199"/>
      <c r="T171" s="199"/>
      <c r="U171" s="199"/>
      <c r="V171" s="199"/>
      <c r="W171" s="199"/>
      <c r="X171" s="199"/>
      <c r="Y171" s="199"/>
      <c r="Z171" s="199"/>
    </row>
    <row r="172">
      <c r="A172" s="203">
        <v>46155.0</v>
      </c>
      <c r="B172" s="198" t="s">
        <v>3500</v>
      </c>
      <c r="C172" s="198" t="s">
        <v>3214</v>
      </c>
      <c r="D172" s="198">
        <v>1.0</v>
      </c>
      <c r="E172" s="204">
        <v>12.0</v>
      </c>
      <c r="F172" s="204">
        <v>12.0</v>
      </c>
      <c r="G172" s="198" t="s">
        <v>45</v>
      </c>
      <c r="H172" s="199"/>
      <c r="I172" s="198" t="s">
        <v>43</v>
      </c>
      <c r="J172" s="204">
        <v>5.49</v>
      </c>
      <c r="K172" s="204">
        <v>6.51</v>
      </c>
      <c r="L172" s="206">
        <v>0.5425</v>
      </c>
      <c r="M172" s="199"/>
      <c r="N172" s="198" t="s">
        <v>8569</v>
      </c>
      <c r="O172" s="198" t="s">
        <v>1626</v>
      </c>
      <c r="P172" s="21" t="s">
        <v>22</v>
      </c>
      <c r="Q172" s="198" t="s">
        <v>8526</v>
      </c>
      <c r="R172" s="199"/>
      <c r="S172" s="199"/>
      <c r="T172" s="199"/>
      <c r="U172" s="199"/>
      <c r="V172" s="199"/>
      <c r="W172" s="199"/>
      <c r="X172" s="199"/>
      <c r="Y172" s="199"/>
      <c r="Z172" s="199"/>
    </row>
    <row r="173">
      <c r="A173" s="203">
        <v>46155.0</v>
      </c>
      <c r="B173" s="198" t="s">
        <v>3502</v>
      </c>
      <c r="C173" s="198" t="s">
        <v>3272</v>
      </c>
      <c r="D173" s="198">
        <v>1.0</v>
      </c>
      <c r="E173" s="204">
        <v>12.0</v>
      </c>
      <c r="F173" s="204">
        <v>12.0</v>
      </c>
      <c r="G173" s="198" t="s">
        <v>45</v>
      </c>
      <c r="H173" s="199"/>
      <c r="I173" s="198" t="s">
        <v>43</v>
      </c>
      <c r="J173" s="204">
        <v>6.49</v>
      </c>
      <c r="K173" s="204">
        <v>5.51</v>
      </c>
      <c r="L173" s="206">
        <v>0.45916666666666667</v>
      </c>
      <c r="M173" s="199"/>
      <c r="N173" s="198" t="s">
        <v>8570</v>
      </c>
      <c r="O173" s="198" t="s">
        <v>1626</v>
      </c>
      <c r="P173" s="21" t="s">
        <v>22</v>
      </c>
      <c r="Q173" s="198" t="s">
        <v>8526</v>
      </c>
      <c r="R173" s="199"/>
      <c r="S173" s="199"/>
      <c r="T173" s="199"/>
      <c r="U173" s="199"/>
      <c r="V173" s="199"/>
      <c r="W173" s="199"/>
      <c r="X173" s="199"/>
      <c r="Y173" s="199"/>
      <c r="Z173" s="199"/>
    </row>
    <row r="174">
      <c r="A174" s="203">
        <v>46155.0</v>
      </c>
      <c r="B174" s="198" t="s">
        <v>3496</v>
      </c>
      <c r="C174" s="198" t="s">
        <v>1752</v>
      </c>
      <c r="D174" s="198">
        <v>1.0</v>
      </c>
      <c r="E174" s="204">
        <v>10.0</v>
      </c>
      <c r="F174" s="204">
        <v>10.0</v>
      </c>
      <c r="G174" s="198" t="s">
        <v>45</v>
      </c>
      <c r="H174" s="199"/>
      <c r="I174" s="198" t="s">
        <v>43</v>
      </c>
      <c r="J174" s="204">
        <v>2.31</v>
      </c>
      <c r="K174" s="204">
        <v>7.6899999999999995</v>
      </c>
      <c r="L174" s="206">
        <v>0.7689999999999999</v>
      </c>
      <c r="M174" s="199"/>
      <c r="N174" s="198" t="s">
        <v>8571</v>
      </c>
      <c r="O174" s="198" t="s">
        <v>1626</v>
      </c>
      <c r="P174" s="21" t="s">
        <v>22</v>
      </c>
      <c r="Q174" s="198" t="s">
        <v>8526</v>
      </c>
      <c r="R174" s="199"/>
      <c r="S174" s="199"/>
      <c r="T174" s="199"/>
      <c r="U174" s="199"/>
      <c r="V174" s="199"/>
      <c r="W174" s="199"/>
      <c r="X174" s="199"/>
      <c r="Y174" s="199"/>
      <c r="Z174" s="199"/>
    </row>
    <row r="175">
      <c r="A175" s="203">
        <v>46155.0</v>
      </c>
      <c r="B175" s="198" t="s">
        <v>3493</v>
      </c>
      <c r="C175" s="198" t="s">
        <v>2171</v>
      </c>
      <c r="D175" s="198">
        <v>1.0</v>
      </c>
      <c r="E175" s="204">
        <v>10.0</v>
      </c>
      <c r="F175" s="204">
        <v>10.0</v>
      </c>
      <c r="G175" s="198" t="s">
        <v>45</v>
      </c>
      <c r="H175" s="199"/>
      <c r="I175" s="198" t="s">
        <v>43</v>
      </c>
      <c r="J175" s="204">
        <v>4.44</v>
      </c>
      <c r="K175" s="204">
        <v>5.56</v>
      </c>
      <c r="L175" s="206">
        <v>0.5559999999999999</v>
      </c>
      <c r="M175" s="199"/>
      <c r="N175" s="198" t="s">
        <v>8572</v>
      </c>
      <c r="O175" s="198" t="s">
        <v>1626</v>
      </c>
      <c r="P175" s="21" t="s">
        <v>22</v>
      </c>
      <c r="Q175" s="198" t="s">
        <v>8526</v>
      </c>
      <c r="R175" s="199"/>
      <c r="S175" s="199"/>
      <c r="T175" s="199"/>
      <c r="U175" s="199"/>
      <c r="V175" s="199"/>
      <c r="W175" s="199"/>
      <c r="X175" s="199"/>
      <c r="Y175" s="199"/>
      <c r="Z175" s="199"/>
    </row>
    <row r="176">
      <c r="A176" s="203">
        <v>46155.0</v>
      </c>
      <c r="B176" s="198" t="s">
        <v>3490</v>
      </c>
      <c r="C176" s="198" t="s">
        <v>1704</v>
      </c>
      <c r="D176" s="198">
        <v>1.0</v>
      </c>
      <c r="E176" s="204">
        <v>10.0</v>
      </c>
      <c r="F176" s="204">
        <v>10.0</v>
      </c>
      <c r="G176" s="198" t="s">
        <v>45</v>
      </c>
      <c r="H176" s="199"/>
      <c r="I176" s="198" t="s">
        <v>43</v>
      </c>
      <c r="J176" s="204">
        <v>6.57</v>
      </c>
      <c r="K176" s="204">
        <v>3.4299999999999997</v>
      </c>
      <c r="L176" s="206">
        <v>0.34299999999999997</v>
      </c>
      <c r="M176" s="199"/>
      <c r="N176" s="198" t="s">
        <v>8573</v>
      </c>
      <c r="O176" s="198" t="s">
        <v>1626</v>
      </c>
      <c r="P176" s="21" t="s">
        <v>22</v>
      </c>
      <c r="Q176" s="198" t="s">
        <v>8526</v>
      </c>
      <c r="R176" s="199"/>
      <c r="S176" s="199"/>
      <c r="T176" s="199"/>
      <c r="U176" s="199"/>
      <c r="V176" s="199"/>
      <c r="W176" s="199"/>
      <c r="X176" s="199"/>
      <c r="Y176" s="199"/>
      <c r="Z176" s="199"/>
    </row>
    <row r="177">
      <c r="A177" s="203">
        <v>45926.0</v>
      </c>
      <c r="B177" s="198" t="s">
        <v>1851</v>
      </c>
      <c r="C177" s="198" t="s">
        <v>1490</v>
      </c>
      <c r="D177" s="198">
        <v>1.0</v>
      </c>
      <c r="E177" s="204">
        <v>35.0</v>
      </c>
      <c r="F177" s="204">
        <v>35.0</v>
      </c>
      <c r="G177" s="199"/>
      <c r="H177" s="199"/>
      <c r="I177" s="198" t="s">
        <v>8382</v>
      </c>
      <c r="J177" s="204">
        <v>10.2</v>
      </c>
      <c r="K177" s="204">
        <v>24.8</v>
      </c>
      <c r="L177" s="206">
        <v>0.7085714285714286</v>
      </c>
      <c r="M177" s="199"/>
      <c r="N177" s="198" t="s">
        <v>8574</v>
      </c>
      <c r="O177" s="198" t="s">
        <v>1626</v>
      </c>
      <c r="P177" s="21" t="s">
        <v>22</v>
      </c>
      <c r="Q177" s="198" t="s">
        <v>8533</v>
      </c>
      <c r="R177" s="199"/>
      <c r="S177" s="199"/>
      <c r="T177" s="199"/>
      <c r="U177" s="199"/>
      <c r="V177" s="199"/>
      <c r="W177" s="199"/>
      <c r="X177" s="199"/>
      <c r="Y177" s="199"/>
      <c r="Z177" s="199"/>
    </row>
    <row r="178">
      <c r="A178" s="203">
        <v>46161.0</v>
      </c>
      <c r="B178" s="198" t="s">
        <v>3551</v>
      </c>
      <c r="C178" s="198" t="s">
        <v>3248</v>
      </c>
      <c r="D178" s="198">
        <v>1.0</v>
      </c>
      <c r="E178" s="204">
        <v>0.0</v>
      </c>
      <c r="F178" s="204">
        <v>0.0</v>
      </c>
      <c r="G178" s="199"/>
      <c r="H178" s="199"/>
      <c r="I178" s="198" t="s">
        <v>8363</v>
      </c>
      <c r="J178" s="202"/>
      <c r="K178" s="204">
        <v>0.0</v>
      </c>
      <c r="L178" s="206">
        <v>0.0</v>
      </c>
      <c r="M178" s="199"/>
      <c r="N178" s="198" t="s">
        <v>8575</v>
      </c>
      <c r="O178" s="198" t="s">
        <v>483</v>
      </c>
      <c r="P178" s="21" t="s">
        <v>22</v>
      </c>
      <c r="Q178" s="198" t="s">
        <v>1065</v>
      </c>
      <c r="R178" s="199"/>
      <c r="S178" s="199"/>
      <c r="T178" s="199"/>
      <c r="U178" s="199"/>
      <c r="V178" s="199"/>
      <c r="W178" s="199"/>
      <c r="X178" s="199"/>
      <c r="Y178" s="199"/>
      <c r="Z178" s="199"/>
    </row>
    <row r="179">
      <c r="A179" s="203">
        <v>46165.0</v>
      </c>
      <c r="B179" s="198" t="s">
        <v>3554</v>
      </c>
      <c r="C179" s="198" t="s">
        <v>1125</v>
      </c>
      <c r="D179" s="198">
        <v>1.0</v>
      </c>
      <c r="E179" s="204">
        <v>15.0</v>
      </c>
      <c r="F179" s="204">
        <v>15.0</v>
      </c>
      <c r="G179" s="199"/>
      <c r="H179" s="199"/>
      <c r="I179" s="198" t="s">
        <v>8363</v>
      </c>
      <c r="J179" s="204">
        <v>9.63</v>
      </c>
      <c r="K179" s="204">
        <v>5.369999999999999</v>
      </c>
      <c r="L179" s="206">
        <v>0.35799999999999993</v>
      </c>
      <c r="M179" s="199"/>
      <c r="N179" s="198" t="s">
        <v>8576</v>
      </c>
      <c r="O179" s="198" t="s">
        <v>1626</v>
      </c>
      <c r="P179" s="21" t="s">
        <v>22</v>
      </c>
      <c r="Q179" s="198" t="s">
        <v>8577</v>
      </c>
      <c r="R179" s="199"/>
      <c r="S179" s="199"/>
      <c r="T179" s="199"/>
      <c r="U179" s="199"/>
      <c r="V179" s="199"/>
      <c r="W179" s="199"/>
      <c r="X179" s="199"/>
      <c r="Y179" s="199"/>
      <c r="Z179" s="199"/>
    </row>
    <row r="180">
      <c r="A180" s="199"/>
      <c r="B180" s="199"/>
      <c r="C180" s="199"/>
      <c r="D180" s="199"/>
      <c r="E180" s="202"/>
      <c r="F180" s="202"/>
      <c r="G180" s="199"/>
      <c r="H180" s="199"/>
      <c r="I180" s="199"/>
      <c r="J180" s="202"/>
      <c r="K180" s="202"/>
      <c r="L180" s="199"/>
      <c r="M180" s="199"/>
      <c r="N180" s="199"/>
      <c r="O180" s="199"/>
      <c r="P180" s="21"/>
      <c r="Q180" s="199"/>
      <c r="R180" s="199"/>
      <c r="S180" s="199"/>
      <c r="T180" s="199"/>
      <c r="U180" s="199"/>
      <c r="V180" s="199"/>
      <c r="W180" s="199"/>
      <c r="X180" s="199"/>
      <c r="Y180" s="199"/>
      <c r="Z180" s="199"/>
    </row>
    <row r="181">
      <c r="A181" s="199"/>
      <c r="B181" s="199"/>
      <c r="C181" s="199"/>
      <c r="D181" s="199"/>
      <c r="E181" s="202"/>
      <c r="F181" s="202"/>
      <c r="G181" s="199"/>
      <c r="H181" s="199"/>
      <c r="I181" s="199"/>
      <c r="J181" s="202"/>
      <c r="K181" s="202"/>
      <c r="L181" s="199"/>
      <c r="M181" s="199"/>
      <c r="N181" s="199"/>
      <c r="O181" s="199"/>
      <c r="P181" s="21"/>
      <c r="Q181" s="199"/>
      <c r="R181" s="199"/>
      <c r="S181" s="199"/>
      <c r="T181" s="199"/>
      <c r="U181" s="199"/>
      <c r="V181" s="199"/>
      <c r="W181" s="199"/>
      <c r="X181" s="199"/>
      <c r="Y181" s="199"/>
      <c r="Z181" s="199"/>
    </row>
    <row r="182">
      <c r="A182" s="199"/>
      <c r="B182" s="199"/>
      <c r="C182" s="199"/>
      <c r="D182" s="199"/>
      <c r="E182" s="202"/>
      <c r="F182" s="202"/>
      <c r="G182" s="199"/>
      <c r="H182" s="199"/>
      <c r="I182" s="199"/>
      <c r="J182" s="202"/>
      <c r="K182" s="202"/>
      <c r="L182" s="199"/>
      <c r="M182" s="199"/>
      <c r="N182" s="199"/>
      <c r="O182" s="199"/>
      <c r="P182" s="21"/>
      <c r="Q182" s="199"/>
      <c r="R182" s="199"/>
      <c r="S182" s="199"/>
      <c r="T182" s="199"/>
      <c r="U182" s="199"/>
      <c r="V182" s="199"/>
      <c r="W182" s="199"/>
      <c r="X182" s="199"/>
      <c r="Y182" s="199"/>
      <c r="Z182" s="199"/>
    </row>
    <row r="183">
      <c r="A183" s="199"/>
      <c r="B183" s="199"/>
      <c r="C183" s="199"/>
      <c r="D183" s="199"/>
      <c r="E183" s="202"/>
      <c r="F183" s="202"/>
      <c r="G183" s="199"/>
      <c r="H183" s="199"/>
      <c r="I183" s="199"/>
      <c r="J183" s="202"/>
      <c r="K183" s="202"/>
      <c r="L183" s="199"/>
      <c r="M183" s="199"/>
      <c r="N183" s="199"/>
      <c r="O183" s="199"/>
      <c r="P183" s="21"/>
      <c r="Q183" s="199"/>
      <c r="R183" s="199"/>
      <c r="S183" s="199"/>
      <c r="T183" s="199"/>
      <c r="U183" s="199"/>
      <c r="V183" s="199"/>
      <c r="W183" s="199"/>
      <c r="X183" s="199"/>
      <c r="Y183" s="199"/>
      <c r="Z183" s="199"/>
    </row>
    <row r="184">
      <c r="A184" s="199"/>
      <c r="B184" s="199"/>
      <c r="C184" s="199"/>
      <c r="D184" s="199"/>
      <c r="E184" s="202"/>
      <c r="F184" s="202"/>
      <c r="G184" s="199"/>
      <c r="H184" s="199"/>
      <c r="I184" s="199"/>
      <c r="J184" s="202"/>
      <c r="K184" s="202"/>
      <c r="L184" s="199"/>
      <c r="M184" s="199"/>
      <c r="N184" s="199"/>
      <c r="O184" s="199"/>
      <c r="P184" s="21"/>
      <c r="Q184" s="199"/>
      <c r="R184" s="199"/>
      <c r="S184" s="199"/>
      <c r="T184" s="199"/>
      <c r="U184" s="199"/>
      <c r="V184" s="199"/>
      <c r="W184" s="199"/>
      <c r="X184" s="199"/>
      <c r="Y184" s="199"/>
      <c r="Z184" s="199"/>
    </row>
    <row r="185">
      <c r="A185" s="199"/>
      <c r="B185" s="199"/>
      <c r="C185" s="199"/>
      <c r="D185" s="199"/>
      <c r="E185" s="202"/>
      <c r="F185" s="202"/>
      <c r="G185" s="199"/>
      <c r="H185" s="199"/>
      <c r="I185" s="199"/>
      <c r="J185" s="202"/>
      <c r="K185" s="202"/>
      <c r="L185" s="199"/>
      <c r="M185" s="199"/>
      <c r="N185" s="199"/>
      <c r="O185" s="199"/>
      <c r="P185" s="21"/>
      <c r="Q185" s="199"/>
      <c r="R185" s="199"/>
      <c r="S185" s="199"/>
      <c r="T185" s="199"/>
      <c r="U185" s="199"/>
      <c r="V185" s="199"/>
      <c r="W185" s="199"/>
      <c r="X185" s="199"/>
      <c r="Y185" s="199"/>
      <c r="Z185" s="199"/>
    </row>
    <row r="186">
      <c r="A186" s="199"/>
      <c r="B186" s="199"/>
      <c r="C186" s="199"/>
      <c r="D186" s="199"/>
      <c r="E186" s="202"/>
      <c r="F186" s="202"/>
      <c r="G186" s="199"/>
      <c r="H186" s="199"/>
      <c r="I186" s="199"/>
      <c r="J186" s="202"/>
      <c r="K186" s="202"/>
      <c r="L186" s="199"/>
      <c r="M186" s="199"/>
      <c r="N186" s="199"/>
      <c r="O186" s="199"/>
      <c r="P186" s="21"/>
      <c r="Q186" s="199"/>
      <c r="R186" s="199"/>
      <c r="S186" s="199"/>
      <c r="T186" s="199"/>
      <c r="U186" s="199"/>
      <c r="V186" s="199"/>
      <c r="W186" s="199"/>
      <c r="X186" s="199"/>
      <c r="Y186" s="199"/>
      <c r="Z186" s="199"/>
    </row>
    <row r="187">
      <c r="A187" s="199"/>
      <c r="B187" s="199"/>
      <c r="C187" s="199"/>
      <c r="D187" s="199"/>
      <c r="E187" s="202"/>
      <c r="F187" s="202"/>
      <c r="G187" s="199"/>
      <c r="H187" s="199"/>
      <c r="I187" s="199"/>
      <c r="J187" s="202"/>
      <c r="K187" s="202"/>
      <c r="L187" s="199"/>
      <c r="M187" s="199"/>
      <c r="N187" s="199"/>
      <c r="O187" s="199"/>
      <c r="P187" s="21"/>
      <c r="Q187" s="199"/>
      <c r="R187" s="199"/>
      <c r="S187" s="199"/>
      <c r="T187" s="199"/>
      <c r="U187" s="199"/>
      <c r="V187" s="199"/>
      <c r="W187" s="199"/>
      <c r="X187" s="199"/>
      <c r="Y187" s="199"/>
      <c r="Z187" s="199"/>
    </row>
    <row r="188">
      <c r="A188" s="199"/>
      <c r="B188" s="199"/>
      <c r="C188" s="199"/>
      <c r="D188" s="199"/>
      <c r="E188" s="202"/>
      <c r="F188" s="202"/>
      <c r="G188" s="199"/>
      <c r="H188" s="199"/>
      <c r="I188" s="199"/>
      <c r="J188" s="202"/>
      <c r="K188" s="202"/>
      <c r="L188" s="199"/>
      <c r="M188" s="199"/>
      <c r="N188" s="199"/>
      <c r="O188" s="199"/>
      <c r="P188" s="21"/>
      <c r="Q188" s="199"/>
      <c r="R188" s="199"/>
      <c r="S188" s="199"/>
      <c r="T188" s="199"/>
      <c r="U188" s="199"/>
      <c r="V188" s="199"/>
      <c r="W188" s="199"/>
      <c r="X188" s="199"/>
      <c r="Y188" s="199"/>
      <c r="Z188" s="199"/>
    </row>
    <row r="189">
      <c r="A189" s="199"/>
      <c r="B189" s="199"/>
      <c r="C189" s="199"/>
      <c r="D189" s="199"/>
      <c r="E189" s="202"/>
      <c r="F189" s="202"/>
      <c r="G189" s="199"/>
      <c r="H189" s="199"/>
      <c r="I189" s="199"/>
      <c r="J189" s="202"/>
      <c r="K189" s="202"/>
      <c r="L189" s="199"/>
      <c r="M189" s="199"/>
      <c r="N189" s="199"/>
      <c r="O189" s="199"/>
      <c r="P189" s="21"/>
      <c r="Q189" s="199"/>
      <c r="R189" s="199"/>
      <c r="S189" s="199"/>
      <c r="T189" s="199"/>
      <c r="U189" s="199"/>
      <c r="V189" s="199"/>
      <c r="W189" s="199"/>
      <c r="X189" s="199"/>
      <c r="Y189" s="199"/>
      <c r="Z189" s="199"/>
    </row>
    <row r="190">
      <c r="A190" s="199"/>
      <c r="B190" s="199"/>
      <c r="C190" s="199"/>
      <c r="D190" s="199"/>
      <c r="E190" s="202"/>
      <c r="F190" s="202"/>
      <c r="G190" s="199"/>
      <c r="H190" s="199"/>
      <c r="I190" s="199"/>
      <c r="J190" s="202"/>
      <c r="K190" s="202"/>
      <c r="L190" s="199"/>
      <c r="M190" s="199"/>
      <c r="N190" s="199"/>
      <c r="O190" s="199"/>
      <c r="P190" s="21"/>
      <c r="Q190" s="199"/>
      <c r="R190" s="199"/>
      <c r="S190" s="199"/>
      <c r="T190" s="199"/>
      <c r="U190" s="199"/>
      <c r="V190" s="199"/>
      <c r="W190" s="199"/>
      <c r="X190" s="199"/>
      <c r="Y190" s="199"/>
      <c r="Z190" s="199"/>
    </row>
    <row r="191">
      <c r="A191" s="199"/>
      <c r="B191" s="199"/>
      <c r="C191" s="199"/>
      <c r="D191" s="199"/>
      <c r="E191" s="202"/>
      <c r="F191" s="202"/>
      <c r="G191" s="199"/>
      <c r="H191" s="199"/>
      <c r="I191" s="199"/>
      <c r="J191" s="202"/>
      <c r="K191" s="202"/>
      <c r="L191" s="199"/>
      <c r="M191" s="199"/>
      <c r="N191" s="199"/>
      <c r="O191" s="199"/>
      <c r="P191" s="21"/>
      <c r="Q191" s="199"/>
      <c r="R191" s="199"/>
      <c r="S191" s="199"/>
      <c r="T191" s="199"/>
      <c r="U191" s="199"/>
      <c r="V191" s="199"/>
      <c r="W191" s="199"/>
      <c r="X191" s="199"/>
      <c r="Y191" s="199"/>
      <c r="Z191" s="199"/>
    </row>
    <row r="192">
      <c r="A192" s="199"/>
      <c r="B192" s="199"/>
      <c r="C192" s="199"/>
      <c r="D192" s="199"/>
      <c r="E192" s="202"/>
      <c r="F192" s="202"/>
      <c r="G192" s="199"/>
      <c r="H192" s="199"/>
      <c r="I192" s="199"/>
      <c r="J192" s="202"/>
      <c r="K192" s="202"/>
      <c r="L192" s="199"/>
      <c r="M192" s="199"/>
      <c r="N192" s="199"/>
      <c r="O192" s="199"/>
      <c r="P192" s="21"/>
      <c r="Q192" s="199"/>
      <c r="R192" s="199"/>
      <c r="S192" s="199"/>
      <c r="T192" s="199"/>
      <c r="U192" s="199"/>
      <c r="V192" s="199"/>
      <c r="W192" s="199"/>
      <c r="X192" s="199"/>
      <c r="Y192" s="199"/>
      <c r="Z192" s="199"/>
    </row>
    <row r="193">
      <c r="A193" s="199"/>
      <c r="B193" s="199"/>
      <c r="C193" s="199"/>
      <c r="D193" s="199"/>
      <c r="E193" s="202"/>
      <c r="F193" s="202"/>
      <c r="G193" s="199"/>
      <c r="H193" s="199"/>
      <c r="I193" s="199"/>
      <c r="J193" s="202"/>
      <c r="K193" s="202"/>
      <c r="L193" s="199"/>
      <c r="M193" s="199"/>
      <c r="N193" s="199"/>
      <c r="O193" s="199"/>
      <c r="P193" s="21"/>
      <c r="Q193" s="199"/>
      <c r="R193" s="199"/>
      <c r="S193" s="199"/>
      <c r="T193" s="199"/>
      <c r="U193" s="199"/>
      <c r="V193" s="199"/>
      <c r="W193" s="199"/>
      <c r="X193" s="199"/>
      <c r="Y193" s="199"/>
      <c r="Z193" s="199"/>
    </row>
    <row r="194">
      <c r="A194" s="199"/>
      <c r="B194" s="199"/>
      <c r="C194" s="199"/>
      <c r="D194" s="199"/>
      <c r="E194" s="202"/>
      <c r="F194" s="202"/>
      <c r="G194" s="199"/>
      <c r="H194" s="199"/>
      <c r="I194" s="199"/>
      <c r="J194" s="202"/>
      <c r="K194" s="202"/>
      <c r="L194" s="199"/>
      <c r="M194" s="199"/>
      <c r="N194" s="199"/>
      <c r="O194" s="199"/>
      <c r="P194" s="21"/>
      <c r="Q194" s="199"/>
      <c r="R194" s="199"/>
      <c r="S194" s="199"/>
      <c r="T194" s="199"/>
      <c r="U194" s="199"/>
      <c r="V194" s="199"/>
      <c r="W194" s="199"/>
      <c r="X194" s="199"/>
      <c r="Y194" s="199"/>
      <c r="Z194" s="199"/>
    </row>
    <row r="195">
      <c r="A195" s="199"/>
      <c r="B195" s="199"/>
      <c r="C195" s="199"/>
      <c r="D195" s="199"/>
      <c r="E195" s="202"/>
      <c r="F195" s="202"/>
      <c r="G195" s="199"/>
      <c r="H195" s="199"/>
      <c r="I195" s="199"/>
      <c r="J195" s="202"/>
      <c r="K195" s="202"/>
      <c r="L195" s="199"/>
      <c r="M195" s="199"/>
      <c r="N195" s="199"/>
      <c r="O195" s="199"/>
      <c r="P195" s="21"/>
      <c r="Q195" s="199"/>
      <c r="R195" s="199"/>
      <c r="S195" s="199"/>
      <c r="T195" s="199"/>
      <c r="U195" s="199"/>
      <c r="V195" s="199"/>
      <c r="W195" s="199"/>
      <c r="X195" s="199"/>
      <c r="Y195" s="199"/>
      <c r="Z195" s="199"/>
    </row>
    <row r="196">
      <c r="A196" s="199"/>
      <c r="B196" s="199"/>
      <c r="C196" s="199"/>
      <c r="D196" s="199"/>
      <c r="E196" s="202"/>
      <c r="F196" s="202"/>
      <c r="G196" s="199"/>
      <c r="H196" s="199"/>
      <c r="I196" s="199"/>
      <c r="J196" s="202"/>
      <c r="K196" s="202"/>
      <c r="L196" s="199"/>
      <c r="M196" s="199"/>
      <c r="N196" s="199"/>
      <c r="O196" s="199"/>
      <c r="P196" s="21"/>
      <c r="Q196" s="199"/>
      <c r="R196" s="199"/>
      <c r="S196" s="199"/>
      <c r="T196" s="199"/>
      <c r="U196" s="199"/>
      <c r="V196" s="199"/>
      <c r="W196" s="199"/>
      <c r="X196" s="199"/>
      <c r="Y196" s="199"/>
      <c r="Z196" s="199"/>
    </row>
    <row r="197">
      <c r="A197" s="199"/>
      <c r="B197" s="199"/>
      <c r="C197" s="199"/>
      <c r="D197" s="199"/>
      <c r="E197" s="202"/>
      <c r="F197" s="202"/>
      <c r="G197" s="199"/>
      <c r="H197" s="199"/>
      <c r="I197" s="199"/>
      <c r="J197" s="202"/>
      <c r="K197" s="202"/>
      <c r="L197" s="199"/>
      <c r="M197" s="199"/>
      <c r="N197" s="199"/>
      <c r="O197" s="199"/>
      <c r="P197" s="21"/>
      <c r="Q197" s="199"/>
      <c r="R197" s="199"/>
      <c r="S197" s="199"/>
      <c r="T197" s="199"/>
      <c r="U197" s="199"/>
      <c r="V197" s="199"/>
      <c r="W197" s="199"/>
      <c r="X197" s="199"/>
      <c r="Y197" s="199"/>
      <c r="Z197" s="199"/>
    </row>
    <row r="198">
      <c r="A198" s="199"/>
      <c r="B198" s="199"/>
      <c r="C198" s="199"/>
      <c r="D198" s="199"/>
      <c r="E198" s="202"/>
      <c r="F198" s="202"/>
      <c r="G198" s="199"/>
      <c r="H198" s="199"/>
      <c r="I198" s="199"/>
      <c r="J198" s="202"/>
      <c r="K198" s="202"/>
      <c r="L198" s="199"/>
      <c r="M198" s="199"/>
      <c r="N198" s="199"/>
      <c r="O198" s="199"/>
      <c r="P198" s="21"/>
      <c r="Q198" s="199"/>
      <c r="R198" s="199"/>
      <c r="S198" s="199"/>
      <c r="T198" s="199"/>
      <c r="U198" s="199"/>
      <c r="V198" s="199"/>
      <c r="W198" s="199"/>
      <c r="X198" s="199"/>
      <c r="Y198" s="199"/>
      <c r="Z198" s="199"/>
    </row>
    <row r="199">
      <c r="A199" s="199"/>
      <c r="B199" s="199"/>
      <c r="C199" s="199"/>
      <c r="D199" s="199"/>
      <c r="E199" s="202"/>
      <c r="F199" s="202"/>
      <c r="G199" s="199"/>
      <c r="H199" s="199"/>
      <c r="I199" s="199"/>
      <c r="J199" s="202"/>
      <c r="K199" s="202"/>
      <c r="L199" s="199"/>
      <c r="M199" s="199"/>
      <c r="N199" s="199"/>
      <c r="O199" s="199"/>
      <c r="P199" s="21"/>
      <c r="Q199" s="199"/>
      <c r="R199" s="199"/>
      <c r="S199" s="199"/>
      <c r="T199" s="199"/>
      <c r="U199" s="199"/>
      <c r="V199" s="199"/>
      <c r="W199" s="199"/>
      <c r="X199" s="199"/>
      <c r="Y199" s="199"/>
      <c r="Z199" s="199"/>
    </row>
    <row r="200">
      <c r="A200" s="199"/>
      <c r="B200" s="199"/>
      <c r="C200" s="199"/>
      <c r="D200" s="199"/>
      <c r="E200" s="202"/>
      <c r="F200" s="202"/>
      <c r="G200" s="199"/>
      <c r="H200" s="199"/>
      <c r="I200" s="199"/>
      <c r="J200" s="202"/>
      <c r="K200" s="202"/>
      <c r="L200" s="199"/>
      <c r="M200" s="199"/>
      <c r="N200" s="199"/>
      <c r="O200" s="199"/>
      <c r="P200" s="21"/>
      <c r="Q200" s="199"/>
      <c r="R200" s="199"/>
      <c r="S200" s="199"/>
      <c r="T200" s="199"/>
      <c r="U200" s="199"/>
      <c r="V200" s="199"/>
      <c r="W200" s="199"/>
      <c r="X200" s="199"/>
      <c r="Y200" s="199"/>
      <c r="Z200" s="199"/>
    </row>
    <row r="201">
      <c r="A201" s="199"/>
      <c r="B201" s="199"/>
      <c r="C201" s="199"/>
      <c r="D201" s="199"/>
      <c r="E201" s="202"/>
      <c r="F201" s="202"/>
      <c r="G201" s="199"/>
      <c r="H201" s="199"/>
      <c r="I201" s="199"/>
      <c r="J201" s="202"/>
      <c r="K201" s="202"/>
      <c r="L201" s="199"/>
      <c r="M201" s="199"/>
      <c r="N201" s="199"/>
      <c r="O201" s="199"/>
      <c r="P201" s="21"/>
      <c r="Q201" s="199"/>
      <c r="R201" s="199"/>
      <c r="S201" s="199"/>
      <c r="T201" s="199"/>
      <c r="U201" s="199"/>
      <c r="V201" s="199"/>
      <c r="W201" s="199"/>
      <c r="X201" s="199"/>
      <c r="Y201" s="199"/>
      <c r="Z201" s="199"/>
    </row>
    <row r="202">
      <c r="A202" s="199"/>
      <c r="B202" s="199"/>
      <c r="C202" s="199"/>
      <c r="D202" s="199"/>
      <c r="E202" s="202"/>
      <c r="F202" s="202"/>
      <c r="G202" s="199"/>
      <c r="H202" s="199"/>
      <c r="I202" s="199"/>
      <c r="J202" s="202"/>
      <c r="K202" s="202"/>
      <c r="L202" s="199"/>
      <c r="M202" s="199"/>
      <c r="N202" s="199"/>
      <c r="O202" s="199"/>
      <c r="P202" s="21"/>
      <c r="Q202" s="199"/>
      <c r="R202" s="199"/>
      <c r="S202" s="199"/>
      <c r="T202" s="199"/>
      <c r="U202" s="199"/>
      <c r="V202" s="199"/>
      <c r="W202" s="199"/>
      <c r="X202" s="199"/>
      <c r="Y202" s="199"/>
      <c r="Z202" s="199"/>
    </row>
    <row r="203">
      <c r="A203" s="199"/>
      <c r="B203" s="199"/>
      <c r="C203" s="199"/>
      <c r="D203" s="199"/>
      <c r="E203" s="202"/>
      <c r="F203" s="202"/>
      <c r="G203" s="199"/>
      <c r="H203" s="199"/>
      <c r="I203" s="199"/>
      <c r="J203" s="202"/>
      <c r="K203" s="202"/>
      <c r="L203" s="199"/>
      <c r="M203" s="199"/>
      <c r="N203" s="199"/>
      <c r="O203" s="199"/>
      <c r="P203" s="21"/>
      <c r="Q203" s="199"/>
      <c r="R203" s="199"/>
      <c r="S203" s="199"/>
      <c r="T203" s="199"/>
      <c r="U203" s="199"/>
      <c r="V203" s="199"/>
      <c r="W203" s="199"/>
      <c r="X203" s="199"/>
      <c r="Y203" s="199"/>
      <c r="Z203" s="199"/>
    </row>
    <row r="204">
      <c r="A204" s="199"/>
      <c r="B204" s="199"/>
      <c r="C204" s="199"/>
      <c r="D204" s="199"/>
      <c r="E204" s="202"/>
      <c r="F204" s="202"/>
      <c r="G204" s="199"/>
      <c r="H204" s="199"/>
      <c r="I204" s="199"/>
      <c r="J204" s="202"/>
      <c r="K204" s="202"/>
      <c r="L204" s="199"/>
      <c r="M204" s="199"/>
      <c r="N204" s="199"/>
      <c r="O204" s="199"/>
      <c r="P204" s="21"/>
      <c r="Q204" s="199"/>
      <c r="R204" s="199"/>
      <c r="S204" s="199"/>
      <c r="T204" s="199"/>
      <c r="U204" s="199"/>
      <c r="V204" s="199"/>
      <c r="W204" s="199"/>
      <c r="X204" s="199"/>
      <c r="Y204" s="199"/>
      <c r="Z204" s="199"/>
    </row>
    <row r="205">
      <c r="A205" s="199"/>
      <c r="B205" s="199"/>
      <c r="C205" s="199"/>
      <c r="D205" s="199"/>
      <c r="E205" s="202"/>
      <c r="F205" s="202"/>
      <c r="G205" s="199"/>
      <c r="H205" s="199"/>
      <c r="I205" s="199"/>
      <c r="J205" s="202"/>
      <c r="K205" s="202"/>
      <c r="L205" s="199"/>
      <c r="M205" s="199"/>
      <c r="N205" s="199"/>
      <c r="O205" s="199"/>
      <c r="P205" s="21"/>
      <c r="Q205" s="199"/>
      <c r="R205" s="199"/>
      <c r="S205" s="199"/>
      <c r="T205" s="199"/>
      <c r="U205" s="199"/>
      <c r="V205" s="199"/>
      <c r="W205" s="199"/>
      <c r="X205" s="199"/>
      <c r="Y205" s="199"/>
      <c r="Z205" s="199"/>
    </row>
    <row r="206">
      <c r="A206" s="199"/>
      <c r="B206" s="199"/>
      <c r="C206" s="199"/>
      <c r="D206" s="199"/>
      <c r="E206" s="202"/>
      <c r="F206" s="202"/>
      <c r="G206" s="199"/>
      <c r="H206" s="199"/>
      <c r="I206" s="199"/>
      <c r="J206" s="202"/>
      <c r="K206" s="202"/>
      <c r="L206" s="199"/>
      <c r="M206" s="199"/>
      <c r="N206" s="199"/>
      <c r="O206" s="199"/>
      <c r="P206" s="21"/>
      <c r="Q206" s="199"/>
      <c r="R206" s="199"/>
      <c r="S206" s="199"/>
      <c r="T206" s="199"/>
      <c r="U206" s="199"/>
      <c r="V206" s="199"/>
      <c r="W206" s="199"/>
      <c r="X206" s="199"/>
      <c r="Y206" s="199"/>
      <c r="Z206" s="199"/>
    </row>
    <row r="207">
      <c r="A207" s="199"/>
      <c r="B207" s="199"/>
      <c r="C207" s="199"/>
      <c r="D207" s="199"/>
      <c r="E207" s="202"/>
      <c r="F207" s="202"/>
      <c r="G207" s="199"/>
      <c r="H207" s="199"/>
      <c r="I207" s="199"/>
      <c r="J207" s="202"/>
      <c r="K207" s="202"/>
      <c r="L207" s="199"/>
      <c r="M207" s="199"/>
      <c r="N207" s="199"/>
      <c r="O207" s="199"/>
      <c r="P207" s="21"/>
      <c r="Q207" s="199"/>
      <c r="R207" s="199"/>
      <c r="S207" s="199"/>
      <c r="T207" s="199"/>
      <c r="U207" s="199"/>
      <c r="V207" s="199"/>
      <c r="W207" s="199"/>
      <c r="X207" s="199"/>
      <c r="Y207" s="199"/>
      <c r="Z207" s="199"/>
    </row>
    <row r="208">
      <c r="A208" s="199"/>
      <c r="B208" s="199"/>
      <c r="C208" s="199"/>
      <c r="D208" s="199"/>
      <c r="E208" s="202"/>
      <c r="F208" s="202"/>
      <c r="G208" s="199"/>
      <c r="H208" s="199"/>
      <c r="I208" s="199"/>
      <c r="J208" s="202"/>
      <c r="K208" s="202"/>
      <c r="L208" s="199"/>
      <c r="M208" s="199"/>
      <c r="N208" s="199"/>
      <c r="O208" s="199"/>
      <c r="P208" s="21"/>
      <c r="Q208" s="199"/>
      <c r="R208" s="199"/>
      <c r="S208" s="199"/>
      <c r="T208" s="199"/>
      <c r="U208" s="199"/>
      <c r="V208" s="199"/>
      <c r="W208" s="199"/>
      <c r="X208" s="199"/>
      <c r="Y208" s="199"/>
      <c r="Z208" s="199"/>
    </row>
    <row r="209">
      <c r="A209" s="199"/>
      <c r="B209" s="199"/>
      <c r="C209" s="199"/>
      <c r="D209" s="199"/>
      <c r="E209" s="202"/>
      <c r="F209" s="202"/>
      <c r="G209" s="199"/>
      <c r="H209" s="199"/>
      <c r="I209" s="199"/>
      <c r="J209" s="202"/>
      <c r="K209" s="202"/>
      <c r="L209" s="199"/>
      <c r="M209" s="199"/>
      <c r="N209" s="199"/>
      <c r="O209" s="199"/>
      <c r="P209" s="21"/>
      <c r="Q209" s="199"/>
      <c r="R209" s="199"/>
      <c r="S209" s="199"/>
      <c r="T209" s="199"/>
      <c r="U209" s="199"/>
      <c r="V209" s="199"/>
      <c r="W209" s="199"/>
      <c r="X209" s="199"/>
      <c r="Y209" s="199"/>
      <c r="Z209" s="199"/>
    </row>
    <row r="210">
      <c r="A210" s="199"/>
      <c r="B210" s="199"/>
      <c r="C210" s="199"/>
      <c r="D210" s="199"/>
      <c r="E210" s="202"/>
      <c r="F210" s="202"/>
      <c r="G210" s="199"/>
      <c r="H210" s="199"/>
      <c r="I210" s="199"/>
      <c r="J210" s="202"/>
      <c r="K210" s="202"/>
      <c r="L210" s="199"/>
      <c r="M210" s="199"/>
      <c r="N210" s="199"/>
      <c r="O210" s="199"/>
      <c r="P210" s="21"/>
      <c r="Q210" s="199"/>
      <c r="R210" s="199"/>
      <c r="S210" s="199"/>
      <c r="T210" s="199"/>
      <c r="U210" s="199"/>
      <c r="V210" s="199"/>
      <c r="W210" s="199"/>
      <c r="X210" s="199"/>
      <c r="Y210" s="199"/>
      <c r="Z210" s="199"/>
    </row>
    <row r="211">
      <c r="A211" s="199"/>
      <c r="B211" s="199"/>
      <c r="C211" s="199"/>
      <c r="D211" s="199"/>
      <c r="E211" s="202"/>
      <c r="F211" s="202"/>
      <c r="G211" s="199"/>
      <c r="H211" s="199"/>
      <c r="I211" s="199"/>
      <c r="J211" s="202"/>
      <c r="K211" s="202"/>
      <c r="L211" s="199"/>
      <c r="M211" s="199"/>
      <c r="N211" s="199"/>
      <c r="O211" s="199"/>
      <c r="P211" s="21"/>
      <c r="Q211" s="199"/>
      <c r="R211" s="199"/>
      <c r="S211" s="199"/>
      <c r="T211" s="199"/>
      <c r="U211" s="199"/>
      <c r="V211" s="199"/>
      <c r="W211" s="199"/>
      <c r="X211" s="199"/>
      <c r="Y211" s="199"/>
      <c r="Z211" s="199"/>
    </row>
    <row r="212">
      <c r="A212" s="199"/>
      <c r="B212" s="199"/>
      <c r="C212" s="199"/>
      <c r="D212" s="199"/>
      <c r="E212" s="202"/>
      <c r="F212" s="202"/>
      <c r="G212" s="199"/>
      <c r="H212" s="199"/>
      <c r="I212" s="199"/>
      <c r="J212" s="202"/>
      <c r="K212" s="202"/>
      <c r="L212" s="199"/>
      <c r="M212" s="199"/>
      <c r="N212" s="199"/>
      <c r="O212" s="199"/>
      <c r="P212" s="21"/>
      <c r="Q212" s="199"/>
      <c r="R212" s="199"/>
      <c r="S212" s="199"/>
      <c r="T212" s="199"/>
      <c r="U212" s="199"/>
      <c r="V212" s="199"/>
      <c r="W212" s="199"/>
      <c r="X212" s="199"/>
      <c r="Y212" s="199"/>
      <c r="Z212" s="199"/>
    </row>
    <row r="213">
      <c r="A213" s="199"/>
      <c r="B213" s="199"/>
      <c r="C213" s="199"/>
      <c r="D213" s="199"/>
      <c r="E213" s="202"/>
      <c r="F213" s="202"/>
      <c r="G213" s="199"/>
      <c r="H213" s="199"/>
      <c r="I213" s="199"/>
      <c r="J213" s="202"/>
      <c r="K213" s="202"/>
      <c r="L213" s="199"/>
      <c r="M213" s="199"/>
      <c r="N213" s="199"/>
      <c r="O213" s="199"/>
      <c r="P213" s="21"/>
      <c r="Q213" s="199"/>
      <c r="R213" s="199"/>
      <c r="S213" s="199"/>
      <c r="T213" s="199"/>
      <c r="U213" s="199"/>
      <c r="V213" s="199"/>
      <c r="W213" s="199"/>
      <c r="X213" s="199"/>
      <c r="Y213" s="199"/>
      <c r="Z213" s="199"/>
    </row>
    <row r="214">
      <c r="A214" s="199"/>
      <c r="B214" s="199"/>
      <c r="C214" s="199"/>
      <c r="D214" s="199"/>
      <c r="E214" s="202"/>
      <c r="F214" s="202"/>
      <c r="G214" s="199"/>
      <c r="H214" s="199"/>
      <c r="I214" s="199"/>
      <c r="J214" s="202"/>
      <c r="K214" s="202"/>
      <c r="L214" s="199"/>
      <c r="M214" s="199"/>
      <c r="N214" s="199"/>
      <c r="O214" s="199"/>
      <c r="P214" s="21"/>
      <c r="Q214" s="199"/>
      <c r="R214" s="199"/>
      <c r="S214" s="199"/>
      <c r="T214" s="199"/>
      <c r="U214" s="199"/>
      <c r="V214" s="199"/>
      <c r="W214" s="199"/>
      <c r="X214" s="199"/>
      <c r="Y214" s="199"/>
      <c r="Z214" s="199"/>
    </row>
    <row r="215">
      <c r="A215" s="199"/>
      <c r="B215" s="199"/>
      <c r="C215" s="199"/>
      <c r="D215" s="199"/>
      <c r="E215" s="202"/>
      <c r="F215" s="202"/>
      <c r="G215" s="199"/>
      <c r="H215" s="199"/>
      <c r="I215" s="199"/>
      <c r="J215" s="202"/>
      <c r="K215" s="202"/>
      <c r="L215" s="199"/>
      <c r="M215" s="199"/>
      <c r="N215" s="199"/>
      <c r="O215" s="199"/>
      <c r="P215" s="21"/>
      <c r="Q215" s="199"/>
      <c r="R215" s="199"/>
      <c r="S215" s="199"/>
      <c r="T215" s="199"/>
      <c r="U215" s="199"/>
      <c r="V215" s="199"/>
      <c r="W215" s="199"/>
      <c r="X215" s="199"/>
      <c r="Y215" s="199"/>
      <c r="Z215" s="199"/>
    </row>
    <row r="216">
      <c r="A216" s="199"/>
      <c r="B216" s="199"/>
      <c r="C216" s="199"/>
      <c r="D216" s="199"/>
      <c r="E216" s="202"/>
      <c r="F216" s="202"/>
      <c r="G216" s="199"/>
      <c r="H216" s="199"/>
      <c r="I216" s="199"/>
      <c r="J216" s="202"/>
      <c r="K216" s="202"/>
      <c r="L216" s="199"/>
      <c r="M216" s="199"/>
      <c r="N216" s="199"/>
      <c r="O216" s="199"/>
      <c r="P216" s="21"/>
      <c r="Q216" s="199"/>
      <c r="R216" s="199"/>
      <c r="S216" s="199"/>
      <c r="T216" s="199"/>
      <c r="U216" s="199"/>
      <c r="V216" s="199"/>
      <c r="W216" s="199"/>
      <c r="X216" s="199"/>
      <c r="Y216" s="199"/>
      <c r="Z216" s="199"/>
    </row>
    <row r="217">
      <c r="A217" s="199"/>
      <c r="B217" s="199"/>
      <c r="C217" s="199"/>
      <c r="D217" s="199"/>
      <c r="E217" s="202"/>
      <c r="F217" s="202"/>
      <c r="G217" s="199"/>
      <c r="H217" s="199"/>
      <c r="I217" s="199"/>
      <c r="J217" s="202"/>
      <c r="K217" s="202"/>
      <c r="L217" s="199"/>
      <c r="M217" s="199"/>
      <c r="N217" s="199"/>
      <c r="O217" s="199"/>
      <c r="P217" s="21"/>
      <c r="Q217" s="199"/>
      <c r="R217" s="199"/>
      <c r="S217" s="199"/>
      <c r="T217" s="199"/>
      <c r="U217" s="199"/>
      <c r="V217" s="199"/>
      <c r="W217" s="199"/>
      <c r="X217" s="199"/>
      <c r="Y217" s="199"/>
      <c r="Z217" s="199"/>
    </row>
    <row r="218">
      <c r="A218" s="199"/>
      <c r="B218" s="199"/>
      <c r="C218" s="199"/>
      <c r="D218" s="199"/>
      <c r="E218" s="202"/>
      <c r="F218" s="202"/>
      <c r="G218" s="199"/>
      <c r="H218" s="199"/>
      <c r="I218" s="199"/>
      <c r="J218" s="202"/>
      <c r="K218" s="202"/>
      <c r="L218" s="199"/>
      <c r="M218" s="199"/>
      <c r="N218" s="199"/>
      <c r="O218" s="199"/>
      <c r="P218" s="21"/>
      <c r="Q218" s="199"/>
      <c r="R218" s="199"/>
      <c r="S218" s="199"/>
      <c r="T218" s="199"/>
      <c r="U218" s="199"/>
      <c r="V218" s="199"/>
      <c r="W218" s="199"/>
      <c r="X218" s="199"/>
      <c r="Y218" s="199"/>
      <c r="Z218" s="199"/>
    </row>
    <row r="219">
      <c r="A219" s="199"/>
      <c r="B219" s="199"/>
      <c r="C219" s="199"/>
      <c r="D219" s="199"/>
      <c r="E219" s="202"/>
      <c r="F219" s="202"/>
      <c r="G219" s="199"/>
      <c r="H219" s="199"/>
      <c r="I219" s="199"/>
      <c r="J219" s="202"/>
      <c r="K219" s="202"/>
      <c r="L219" s="199"/>
      <c r="M219" s="199"/>
      <c r="N219" s="199"/>
      <c r="O219" s="199"/>
      <c r="P219" s="21"/>
      <c r="Q219" s="199"/>
      <c r="R219" s="199"/>
      <c r="S219" s="199"/>
      <c r="T219" s="199"/>
      <c r="U219" s="199"/>
      <c r="V219" s="199"/>
      <c r="W219" s="199"/>
      <c r="X219" s="199"/>
      <c r="Y219" s="199"/>
      <c r="Z219" s="199"/>
    </row>
    <row r="220">
      <c r="A220" s="199"/>
      <c r="B220" s="199"/>
      <c r="C220" s="199"/>
      <c r="D220" s="199"/>
      <c r="E220" s="202"/>
      <c r="F220" s="202"/>
      <c r="G220" s="199"/>
      <c r="H220" s="199"/>
      <c r="I220" s="199"/>
      <c r="J220" s="202"/>
      <c r="K220" s="202"/>
      <c r="L220" s="199"/>
      <c r="M220" s="199"/>
      <c r="N220" s="199"/>
      <c r="O220" s="199"/>
      <c r="P220" s="21"/>
      <c r="Q220" s="199"/>
      <c r="R220" s="199"/>
      <c r="S220" s="199"/>
      <c r="T220" s="199"/>
      <c r="U220" s="199"/>
      <c r="V220" s="199"/>
      <c r="W220" s="199"/>
      <c r="X220" s="199"/>
      <c r="Y220" s="199"/>
      <c r="Z220" s="199"/>
    </row>
    <row r="221">
      <c r="A221" s="199"/>
      <c r="B221" s="199"/>
      <c r="C221" s="199"/>
      <c r="D221" s="199"/>
      <c r="E221" s="202"/>
      <c r="F221" s="202"/>
      <c r="G221" s="199"/>
      <c r="H221" s="199"/>
      <c r="I221" s="199"/>
      <c r="J221" s="202"/>
      <c r="K221" s="202"/>
      <c r="L221" s="199"/>
      <c r="M221" s="199"/>
      <c r="N221" s="199"/>
      <c r="O221" s="199"/>
      <c r="P221" s="21"/>
      <c r="Q221" s="199"/>
      <c r="R221" s="199"/>
      <c r="S221" s="199"/>
      <c r="T221" s="199"/>
      <c r="U221" s="199"/>
      <c r="V221" s="199"/>
      <c r="W221" s="199"/>
      <c r="X221" s="199"/>
      <c r="Y221" s="199"/>
      <c r="Z221" s="199"/>
    </row>
    <row r="222">
      <c r="A222" s="199"/>
      <c r="B222" s="199"/>
      <c r="C222" s="199"/>
      <c r="D222" s="199"/>
      <c r="E222" s="202"/>
      <c r="F222" s="202"/>
      <c r="G222" s="199"/>
      <c r="H222" s="199"/>
      <c r="I222" s="199"/>
      <c r="J222" s="202"/>
      <c r="K222" s="202"/>
      <c r="L222" s="199"/>
      <c r="M222" s="199"/>
      <c r="N222" s="199"/>
      <c r="O222" s="199"/>
      <c r="P222" s="21"/>
      <c r="Q222" s="199"/>
      <c r="R222" s="199"/>
      <c r="S222" s="199"/>
      <c r="T222" s="199"/>
      <c r="U222" s="199"/>
      <c r="V222" s="199"/>
      <c r="W222" s="199"/>
      <c r="X222" s="199"/>
      <c r="Y222" s="199"/>
      <c r="Z222" s="199"/>
    </row>
    <row r="223">
      <c r="A223" s="199"/>
      <c r="B223" s="199"/>
      <c r="C223" s="199"/>
      <c r="D223" s="199"/>
      <c r="E223" s="202"/>
      <c r="F223" s="202"/>
      <c r="G223" s="199"/>
      <c r="H223" s="199"/>
      <c r="I223" s="199"/>
      <c r="J223" s="202"/>
      <c r="K223" s="202"/>
      <c r="L223" s="199"/>
      <c r="M223" s="199"/>
      <c r="N223" s="199"/>
      <c r="O223" s="199"/>
      <c r="P223" s="21"/>
      <c r="Q223" s="199"/>
      <c r="R223" s="199"/>
      <c r="S223" s="199"/>
      <c r="T223" s="199"/>
      <c r="U223" s="199"/>
      <c r="V223" s="199"/>
      <c r="W223" s="199"/>
      <c r="X223" s="199"/>
      <c r="Y223" s="199"/>
      <c r="Z223" s="199"/>
    </row>
    <row r="224">
      <c r="A224" s="199"/>
      <c r="B224" s="199"/>
      <c r="C224" s="199"/>
      <c r="D224" s="199"/>
      <c r="E224" s="202"/>
      <c r="F224" s="202"/>
      <c r="G224" s="199"/>
      <c r="H224" s="199"/>
      <c r="I224" s="199"/>
      <c r="J224" s="202"/>
      <c r="K224" s="202"/>
      <c r="L224" s="199"/>
      <c r="M224" s="199"/>
      <c r="N224" s="199"/>
      <c r="O224" s="199"/>
      <c r="P224" s="21"/>
      <c r="Q224" s="199"/>
      <c r="R224" s="199"/>
      <c r="S224" s="199"/>
      <c r="T224" s="199"/>
      <c r="U224" s="199"/>
      <c r="V224" s="199"/>
      <c r="W224" s="199"/>
      <c r="X224" s="199"/>
      <c r="Y224" s="199"/>
      <c r="Z224" s="199"/>
    </row>
    <row r="225">
      <c r="A225" s="199"/>
      <c r="B225" s="199"/>
      <c r="C225" s="199"/>
      <c r="D225" s="199"/>
      <c r="E225" s="202"/>
      <c r="F225" s="202"/>
      <c r="G225" s="199"/>
      <c r="H225" s="199"/>
      <c r="I225" s="199"/>
      <c r="J225" s="202"/>
      <c r="K225" s="202"/>
      <c r="L225" s="199"/>
      <c r="M225" s="199"/>
      <c r="N225" s="199"/>
      <c r="O225" s="199"/>
      <c r="P225" s="21"/>
      <c r="Q225" s="199"/>
      <c r="R225" s="199"/>
      <c r="S225" s="199"/>
      <c r="T225" s="199"/>
      <c r="U225" s="199"/>
      <c r="V225" s="199"/>
      <c r="W225" s="199"/>
      <c r="X225" s="199"/>
      <c r="Y225" s="199"/>
      <c r="Z225" s="199"/>
    </row>
    <row r="226">
      <c r="A226" s="199"/>
      <c r="B226" s="199"/>
      <c r="C226" s="199"/>
      <c r="D226" s="199"/>
      <c r="E226" s="202"/>
      <c r="F226" s="202"/>
      <c r="G226" s="199"/>
      <c r="H226" s="199"/>
      <c r="I226" s="199"/>
      <c r="J226" s="202"/>
      <c r="K226" s="202"/>
      <c r="L226" s="199"/>
      <c r="M226" s="199"/>
      <c r="N226" s="199"/>
      <c r="O226" s="199"/>
      <c r="P226" s="21"/>
      <c r="Q226" s="199"/>
      <c r="R226" s="199"/>
      <c r="S226" s="199"/>
      <c r="T226" s="199"/>
      <c r="U226" s="199"/>
      <c r="V226" s="199"/>
      <c r="W226" s="199"/>
      <c r="X226" s="199"/>
      <c r="Y226" s="199"/>
      <c r="Z226" s="199"/>
    </row>
    <row r="227">
      <c r="A227" s="199"/>
      <c r="B227" s="199"/>
      <c r="C227" s="199"/>
      <c r="D227" s="199"/>
      <c r="E227" s="202"/>
      <c r="F227" s="202"/>
      <c r="G227" s="199"/>
      <c r="H227" s="199"/>
      <c r="I227" s="199"/>
      <c r="J227" s="202"/>
      <c r="K227" s="202"/>
      <c r="L227" s="199"/>
      <c r="M227" s="199"/>
      <c r="N227" s="199"/>
      <c r="O227" s="199"/>
      <c r="P227" s="21"/>
      <c r="Q227" s="199"/>
      <c r="R227" s="199"/>
      <c r="S227" s="199"/>
      <c r="T227" s="199"/>
      <c r="U227" s="199"/>
      <c r="V227" s="199"/>
      <c r="W227" s="199"/>
      <c r="X227" s="199"/>
      <c r="Y227" s="199"/>
      <c r="Z227" s="199"/>
    </row>
    <row r="228">
      <c r="A228" s="199"/>
      <c r="B228" s="199"/>
      <c r="C228" s="199"/>
      <c r="D228" s="199"/>
      <c r="E228" s="202"/>
      <c r="F228" s="202"/>
      <c r="G228" s="199"/>
      <c r="H228" s="199"/>
      <c r="I228" s="199"/>
      <c r="J228" s="202"/>
      <c r="K228" s="202"/>
      <c r="L228" s="199"/>
      <c r="M228" s="199"/>
      <c r="N228" s="199"/>
      <c r="O228" s="199"/>
      <c r="P228" s="21"/>
      <c r="Q228" s="199"/>
      <c r="R228" s="199"/>
      <c r="S228" s="199"/>
      <c r="T228" s="199"/>
      <c r="U228" s="199"/>
      <c r="V228" s="199"/>
      <c r="W228" s="199"/>
      <c r="X228" s="199"/>
      <c r="Y228" s="199"/>
      <c r="Z228" s="199"/>
    </row>
    <row r="229">
      <c r="A229" s="199"/>
      <c r="B229" s="199"/>
      <c r="C229" s="199"/>
      <c r="D229" s="199"/>
      <c r="E229" s="202"/>
      <c r="F229" s="202"/>
      <c r="G229" s="199"/>
      <c r="H229" s="199"/>
      <c r="I229" s="199"/>
      <c r="J229" s="202"/>
      <c r="K229" s="202"/>
      <c r="L229" s="199"/>
      <c r="M229" s="199"/>
      <c r="N229" s="199"/>
      <c r="O229" s="199"/>
      <c r="P229" s="21"/>
      <c r="Q229" s="199"/>
      <c r="R229" s="199"/>
      <c r="S229" s="199"/>
      <c r="T229" s="199"/>
      <c r="U229" s="199"/>
      <c r="V229" s="199"/>
      <c r="W229" s="199"/>
      <c r="X229" s="199"/>
      <c r="Y229" s="199"/>
      <c r="Z229" s="199"/>
    </row>
    <row r="230">
      <c r="A230" s="199"/>
      <c r="B230" s="199"/>
      <c r="C230" s="199"/>
      <c r="D230" s="199"/>
      <c r="E230" s="202"/>
      <c r="F230" s="202"/>
      <c r="G230" s="199"/>
      <c r="H230" s="199"/>
      <c r="I230" s="199"/>
      <c r="J230" s="202"/>
      <c r="K230" s="202"/>
      <c r="L230" s="199"/>
      <c r="M230" s="199"/>
      <c r="N230" s="199"/>
      <c r="O230" s="199"/>
      <c r="P230" s="21"/>
      <c r="Q230" s="199"/>
      <c r="R230" s="199"/>
      <c r="S230" s="199"/>
      <c r="T230" s="199"/>
      <c r="U230" s="199"/>
      <c r="V230" s="199"/>
      <c r="W230" s="199"/>
      <c r="X230" s="199"/>
      <c r="Y230" s="199"/>
      <c r="Z230" s="199"/>
    </row>
    <row r="231">
      <c r="A231" s="199"/>
      <c r="B231" s="199"/>
      <c r="C231" s="199"/>
      <c r="D231" s="199"/>
      <c r="E231" s="202"/>
      <c r="F231" s="202"/>
      <c r="G231" s="199"/>
      <c r="H231" s="199"/>
      <c r="I231" s="199"/>
      <c r="J231" s="202"/>
      <c r="K231" s="202"/>
      <c r="L231" s="199"/>
      <c r="M231" s="199"/>
      <c r="N231" s="199"/>
      <c r="O231" s="199"/>
      <c r="P231" s="21"/>
      <c r="Q231" s="199"/>
      <c r="R231" s="199"/>
      <c r="S231" s="199"/>
      <c r="T231" s="199"/>
      <c r="U231" s="199"/>
      <c r="V231" s="199"/>
      <c r="W231" s="199"/>
      <c r="X231" s="199"/>
      <c r="Y231" s="199"/>
      <c r="Z231" s="199"/>
    </row>
    <row r="232">
      <c r="A232" s="199"/>
      <c r="B232" s="199"/>
      <c r="C232" s="199"/>
      <c r="D232" s="199"/>
      <c r="E232" s="202"/>
      <c r="F232" s="202"/>
      <c r="G232" s="199"/>
      <c r="H232" s="199"/>
      <c r="I232" s="199"/>
      <c r="J232" s="202"/>
      <c r="K232" s="202"/>
      <c r="L232" s="199"/>
      <c r="M232" s="199"/>
      <c r="N232" s="199"/>
      <c r="O232" s="199"/>
      <c r="P232" s="21"/>
      <c r="Q232" s="199"/>
      <c r="R232" s="199"/>
      <c r="S232" s="199"/>
      <c r="T232" s="199"/>
      <c r="U232" s="199"/>
      <c r="V232" s="199"/>
      <c r="W232" s="199"/>
      <c r="X232" s="199"/>
      <c r="Y232" s="199"/>
      <c r="Z232" s="199"/>
    </row>
    <row r="233">
      <c r="A233" s="199"/>
      <c r="B233" s="199"/>
      <c r="C233" s="199"/>
      <c r="D233" s="199"/>
      <c r="E233" s="202"/>
      <c r="F233" s="202"/>
      <c r="G233" s="199"/>
      <c r="H233" s="199"/>
      <c r="I233" s="199"/>
      <c r="J233" s="202"/>
      <c r="K233" s="202"/>
      <c r="L233" s="199"/>
      <c r="M233" s="199"/>
      <c r="N233" s="199"/>
      <c r="O233" s="199"/>
      <c r="P233" s="21"/>
      <c r="Q233" s="199"/>
      <c r="R233" s="199"/>
      <c r="S233" s="199"/>
      <c r="T233" s="199"/>
      <c r="U233" s="199"/>
      <c r="V233" s="199"/>
      <c r="W233" s="199"/>
      <c r="X233" s="199"/>
      <c r="Y233" s="199"/>
      <c r="Z233" s="199"/>
    </row>
    <row r="234">
      <c r="A234" s="199"/>
      <c r="B234" s="199"/>
      <c r="C234" s="199"/>
      <c r="D234" s="199"/>
      <c r="E234" s="202"/>
      <c r="F234" s="202"/>
      <c r="G234" s="199"/>
      <c r="H234" s="199"/>
      <c r="I234" s="199"/>
      <c r="J234" s="202"/>
      <c r="K234" s="202"/>
      <c r="L234" s="199"/>
      <c r="M234" s="199"/>
      <c r="N234" s="199"/>
      <c r="O234" s="199"/>
      <c r="P234" s="21"/>
      <c r="Q234" s="199"/>
      <c r="R234" s="199"/>
      <c r="S234" s="199"/>
      <c r="T234" s="199"/>
      <c r="U234" s="199"/>
      <c r="V234" s="199"/>
      <c r="W234" s="199"/>
      <c r="X234" s="199"/>
      <c r="Y234" s="199"/>
      <c r="Z234" s="199"/>
    </row>
    <row r="235">
      <c r="A235" s="199"/>
      <c r="B235" s="199"/>
      <c r="C235" s="199"/>
      <c r="D235" s="199"/>
      <c r="E235" s="202"/>
      <c r="F235" s="202"/>
      <c r="G235" s="199"/>
      <c r="H235" s="199"/>
      <c r="I235" s="199"/>
      <c r="J235" s="202"/>
      <c r="K235" s="202"/>
      <c r="L235" s="199"/>
      <c r="M235" s="199"/>
      <c r="N235" s="199"/>
      <c r="O235" s="199"/>
      <c r="P235" s="21"/>
      <c r="Q235" s="199"/>
      <c r="R235" s="199"/>
      <c r="S235" s="199"/>
      <c r="T235" s="199"/>
      <c r="U235" s="199"/>
      <c r="V235" s="199"/>
      <c r="W235" s="199"/>
      <c r="X235" s="199"/>
      <c r="Y235" s="199"/>
      <c r="Z235" s="199"/>
    </row>
    <row r="236">
      <c r="A236" s="199"/>
      <c r="B236" s="199"/>
      <c r="C236" s="199"/>
      <c r="D236" s="199"/>
      <c r="E236" s="202"/>
      <c r="F236" s="202"/>
      <c r="G236" s="199"/>
      <c r="H236" s="199"/>
      <c r="I236" s="199"/>
      <c r="J236" s="202"/>
      <c r="K236" s="202"/>
      <c r="L236" s="199"/>
      <c r="M236" s="199"/>
      <c r="N236" s="199"/>
      <c r="O236" s="199"/>
      <c r="P236" s="21"/>
      <c r="Q236" s="199"/>
      <c r="R236" s="199"/>
      <c r="S236" s="199"/>
      <c r="T236" s="199"/>
      <c r="U236" s="199"/>
      <c r="V236" s="199"/>
      <c r="W236" s="199"/>
      <c r="X236" s="199"/>
      <c r="Y236" s="199"/>
      <c r="Z236" s="199"/>
    </row>
    <row r="237">
      <c r="A237" s="199"/>
      <c r="B237" s="199"/>
      <c r="C237" s="199"/>
      <c r="D237" s="199"/>
      <c r="E237" s="202"/>
      <c r="F237" s="202"/>
      <c r="G237" s="199"/>
      <c r="H237" s="199"/>
      <c r="I237" s="199"/>
      <c r="J237" s="202"/>
      <c r="K237" s="202"/>
      <c r="L237" s="199"/>
      <c r="M237" s="199"/>
      <c r="N237" s="199"/>
      <c r="O237" s="199"/>
      <c r="P237" s="21"/>
      <c r="Q237" s="199"/>
      <c r="R237" s="199"/>
      <c r="S237" s="199"/>
      <c r="T237" s="199"/>
      <c r="U237" s="199"/>
      <c r="V237" s="199"/>
      <c r="W237" s="199"/>
      <c r="X237" s="199"/>
      <c r="Y237" s="199"/>
      <c r="Z237" s="199"/>
    </row>
    <row r="238">
      <c r="A238" s="199"/>
      <c r="B238" s="199"/>
      <c r="C238" s="199"/>
      <c r="D238" s="199"/>
      <c r="E238" s="202"/>
      <c r="F238" s="202"/>
      <c r="G238" s="199"/>
      <c r="H238" s="199"/>
      <c r="I238" s="199"/>
      <c r="J238" s="202"/>
      <c r="K238" s="202"/>
      <c r="L238" s="199"/>
      <c r="M238" s="199"/>
      <c r="N238" s="199"/>
      <c r="O238" s="199"/>
      <c r="P238" s="21"/>
      <c r="Q238" s="199"/>
      <c r="R238" s="199"/>
      <c r="S238" s="199"/>
      <c r="T238" s="199"/>
      <c r="U238" s="199"/>
      <c r="V238" s="199"/>
      <c r="W238" s="199"/>
      <c r="X238" s="199"/>
      <c r="Y238" s="199"/>
      <c r="Z238" s="199"/>
    </row>
    <row r="239">
      <c r="A239" s="199"/>
      <c r="B239" s="199"/>
      <c r="C239" s="199"/>
      <c r="D239" s="199"/>
      <c r="E239" s="202"/>
      <c r="F239" s="202"/>
      <c r="G239" s="199"/>
      <c r="H239" s="199"/>
      <c r="I239" s="199"/>
      <c r="J239" s="202"/>
      <c r="K239" s="202"/>
      <c r="L239" s="199"/>
      <c r="M239" s="199"/>
      <c r="N239" s="199"/>
      <c r="O239" s="199"/>
      <c r="P239" s="21"/>
      <c r="Q239" s="199"/>
      <c r="R239" s="199"/>
      <c r="S239" s="199"/>
      <c r="T239" s="199"/>
      <c r="U239" s="199"/>
      <c r="V239" s="199"/>
      <c r="W239" s="199"/>
      <c r="X239" s="199"/>
      <c r="Y239" s="199"/>
      <c r="Z239" s="199"/>
    </row>
    <row r="240">
      <c r="A240" s="199"/>
      <c r="B240" s="199"/>
      <c r="C240" s="199"/>
      <c r="D240" s="199"/>
      <c r="E240" s="202"/>
      <c r="F240" s="202"/>
      <c r="G240" s="199"/>
      <c r="H240" s="199"/>
      <c r="I240" s="199"/>
      <c r="J240" s="202"/>
      <c r="K240" s="202"/>
      <c r="L240" s="199"/>
      <c r="M240" s="199"/>
      <c r="N240" s="199"/>
      <c r="O240" s="199"/>
      <c r="P240" s="21"/>
      <c r="Q240" s="199"/>
      <c r="R240" s="199"/>
      <c r="S240" s="199"/>
      <c r="T240" s="199"/>
      <c r="U240" s="199"/>
      <c r="V240" s="199"/>
      <c r="W240" s="199"/>
      <c r="X240" s="199"/>
      <c r="Y240" s="199"/>
      <c r="Z240" s="199"/>
    </row>
    <row r="241">
      <c r="A241" s="199"/>
      <c r="B241" s="199"/>
      <c r="C241" s="199"/>
      <c r="D241" s="199"/>
      <c r="E241" s="202"/>
      <c r="F241" s="202"/>
      <c r="G241" s="199"/>
      <c r="H241" s="199"/>
      <c r="I241" s="199"/>
      <c r="J241" s="202"/>
      <c r="K241" s="202"/>
      <c r="L241" s="199"/>
      <c r="M241" s="199"/>
      <c r="N241" s="199"/>
      <c r="O241" s="199"/>
      <c r="P241" s="21"/>
      <c r="Q241" s="199"/>
      <c r="R241" s="199"/>
      <c r="S241" s="199"/>
      <c r="T241" s="199"/>
      <c r="U241" s="199"/>
      <c r="V241" s="199"/>
      <c r="W241" s="199"/>
      <c r="X241" s="199"/>
      <c r="Y241" s="199"/>
      <c r="Z241" s="199"/>
    </row>
    <row r="242">
      <c r="A242" s="199"/>
      <c r="B242" s="199"/>
      <c r="C242" s="199"/>
      <c r="D242" s="199"/>
      <c r="E242" s="202"/>
      <c r="F242" s="202"/>
      <c r="G242" s="199"/>
      <c r="H242" s="199"/>
      <c r="I242" s="199"/>
      <c r="J242" s="202"/>
      <c r="K242" s="202"/>
      <c r="L242" s="199"/>
      <c r="M242" s="199"/>
      <c r="N242" s="199"/>
      <c r="O242" s="199"/>
      <c r="P242" s="21"/>
      <c r="Q242" s="199"/>
      <c r="R242" s="199"/>
      <c r="S242" s="199"/>
      <c r="T242" s="199"/>
      <c r="U242" s="199"/>
      <c r="V242" s="199"/>
      <c r="W242" s="199"/>
      <c r="X242" s="199"/>
      <c r="Y242" s="199"/>
      <c r="Z242" s="199"/>
    </row>
    <row r="243">
      <c r="A243" s="199"/>
      <c r="B243" s="199"/>
      <c r="C243" s="199"/>
      <c r="D243" s="199"/>
      <c r="E243" s="202"/>
      <c r="F243" s="202"/>
      <c r="G243" s="199"/>
      <c r="H243" s="199"/>
      <c r="I243" s="199"/>
      <c r="J243" s="202"/>
      <c r="K243" s="202"/>
      <c r="L243" s="199"/>
      <c r="M243" s="199"/>
      <c r="N243" s="199"/>
      <c r="O243" s="199"/>
      <c r="P243" s="21"/>
      <c r="Q243" s="199"/>
      <c r="R243" s="199"/>
      <c r="S243" s="199"/>
      <c r="T243" s="199"/>
      <c r="U243" s="199"/>
      <c r="V243" s="199"/>
      <c r="W243" s="199"/>
      <c r="X243" s="199"/>
      <c r="Y243" s="199"/>
      <c r="Z243" s="199"/>
    </row>
    <row r="244">
      <c r="A244" s="199"/>
      <c r="B244" s="199"/>
      <c r="C244" s="199"/>
      <c r="D244" s="199"/>
      <c r="E244" s="202"/>
      <c r="F244" s="202"/>
      <c r="G244" s="199"/>
      <c r="H244" s="199"/>
      <c r="I244" s="199"/>
      <c r="J244" s="202"/>
      <c r="K244" s="202"/>
      <c r="L244" s="199"/>
      <c r="M244" s="199"/>
      <c r="N244" s="199"/>
      <c r="O244" s="199"/>
      <c r="P244" s="21"/>
      <c r="Q244" s="199"/>
      <c r="R244" s="199"/>
      <c r="S244" s="199"/>
      <c r="T244" s="199"/>
      <c r="U244" s="199"/>
      <c r="V244" s="199"/>
      <c r="W244" s="199"/>
      <c r="X244" s="199"/>
      <c r="Y244" s="199"/>
      <c r="Z244" s="199"/>
    </row>
    <row r="245">
      <c r="A245" s="199"/>
      <c r="B245" s="199"/>
      <c r="C245" s="199"/>
      <c r="D245" s="199"/>
      <c r="E245" s="202"/>
      <c r="F245" s="202"/>
      <c r="G245" s="199"/>
      <c r="H245" s="199"/>
      <c r="I245" s="199"/>
      <c r="J245" s="202"/>
      <c r="K245" s="202"/>
      <c r="L245" s="199"/>
      <c r="M245" s="199"/>
      <c r="N245" s="199"/>
      <c r="O245" s="199"/>
      <c r="P245" s="21"/>
      <c r="Q245" s="199"/>
      <c r="R245" s="199"/>
      <c r="S245" s="199"/>
      <c r="T245" s="199"/>
      <c r="U245" s="199"/>
      <c r="V245" s="199"/>
      <c r="W245" s="199"/>
      <c r="X245" s="199"/>
      <c r="Y245" s="199"/>
      <c r="Z245" s="199"/>
    </row>
    <row r="246">
      <c r="A246" s="199"/>
      <c r="B246" s="199"/>
      <c r="C246" s="199"/>
      <c r="D246" s="199"/>
      <c r="E246" s="202"/>
      <c r="F246" s="202"/>
      <c r="G246" s="199"/>
      <c r="H246" s="199"/>
      <c r="I246" s="199"/>
      <c r="J246" s="202"/>
      <c r="K246" s="202"/>
      <c r="L246" s="199"/>
      <c r="M246" s="199"/>
      <c r="N246" s="199"/>
      <c r="O246" s="199"/>
      <c r="P246" s="21"/>
      <c r="Q246" s="199"/>
      <c r="R246" s="199"/>
      <c r="S246" s="199"/>
      <c r="T246" s="199"/>
      <c r="U246" s="199"/>
      <c r="V246" s="199"/>
      <c r="W246" s="199"/>
      <c r="X246" s="199"/>
      <c r="Y246" s="199"/>
      <c r="Z246" s="199"/>
    </row>
    <row r="247">
      <c r="A247" s="199"/>
      <c r="B247" s="199"/>
      <c r="C247" s="199"/>
      <c r="D247" s="199"/>
      <c r="E247" s="202"/>
      <c r="F247" s="202"/>
      <c r="G247" s="199"/>
      <c r="H247" s="199"/>
      <c r="I247" s="199"/>
      <c r="J247" s="202"/>
      <c r="K247" s="202"/>
      <c r="L247" s="199"/>
      <c r="M247" s="199"/>
      <c r="N247" s="199"/>
      <c r="O247" s="199"/>
      <c r="P247" s="21"/>
      <c r="Q247" s="199"/>
      <c r="R247" s="199"/>
      <c r="S247" s="199"/>
      <c r="T247" s="199"/>
      <c r="U247" s="199"/>
      <c r="V247" s="199"/>
      <c r="W247" s="199"/>
      <c r="X247" s="199"/>
      <c r="Y247" s="199"/>
      <c r="Z247" s="199"/>
    </row>
    <row r="248">
      <c r="A248" s="199"/>
      <c r="B248" s="199"/>
      <c r="C248" s="199"/>
      <c r="D248" s="199"/>
      <c r="E248" s="202"/>
      <c r="F248" s="202"/>
      <c r="G248" s="199"/>
      <c r="H248" s="199"/>
      <c r="I248" s="199"/>
      <c r="J248" s="202"/>
      <c r="K248" s="202"/>
      <c r="L248" s="199"/>
      <c r="M248" s="199"/>
      <c r="N248" s="199"/>
      <c r="O248" s="199"/>
      <c r="P248" s="21"/>
      <c r="Q248" s="199"/>
      <c r="R248" s="199"/>
      <c r="S248" s="199"/>
      <c r="T248" s="199"/>
      <c r="U248" s="199"/>
      <c r="V248" s="199"/>
      <c r="W248" s="199"/>
      <c r="X248" s="199"/>
      <c r="Y248" s="199"/>
      <c r="Z248" s="199"/>
    </row>
    <row r="249">
      <c r="A249" s="199"/>
      <c r="B249" s="199"/>
      <c r="C249" s="199"/>
      <c r="D249" s="199"/>
      <c r="E249" s="202"/>
      <c r="F249" s="202"/>
      <c r="G249" s="199"/>
      <c r="H249" s="199"/>
      <c r="I249" s="199"/>
      <c r="J249" s="202"/>
      <c r="K249" s="202"/>
      <c r="L249" s="199"/>
      <c r="M249" s="199"/>
      <c r="N249" s="199"/>
      <c r="O249" s="199"/>
      <c r="P249" s="21"/>
      <c r="Q249" s="199"/>
      <c r="R249" s="199"/>
      <c r="S249" s="199"/>
      <c r="T249" s="199"/>
      <c r="U249" s="199"/>
      <c r="V249" s="199"/>
      <c r="W249" s="199"/>
      <c r="X249" s="199"/>
      <c r="Y249" s="199"/>
      <c r="Z249" s="199"/>
    </row>
    <row r="250">
      <c r="A250" s="199"/>
      <c r="B250" s="199"/>
      <c r="C250" s="199"/>
      <c r="D250" s="199"/>
      <c r="E250" s="202"/>
      <c r="F250" s="202"/>
      <c r="G250" s="199"/>
      <c r="H250" s="199"/>
      <c r="I250" s="199"/>
      <c r="J250" s="202"/>
      <c r="K250" s="202"/>
      <c r="L250" s="199"/>
      <c r="M250" s="199"/>
      <c r="N250" s="199"/>
      <c r="O250" s="199"/>
      <c r="P250" s="21"/>
      <c r="Q250" s="199"/>
      <c r="R250" s="199"/>
      <c r="S250" s="199"/>
      <c r="T250" s="199"/>
      <c r="U250" s="199"/>
      <c r="V250" s="199"/>
      <c r="W250" s="199"/>
      <c r="X250" s="199"/>
      <c r="Y250" s="199"/>
      <c r="Z250" s="199"/>
    </row>
    <row r="251">
      <c r="A251" s="199"/>
      <c r="B251" s="199"/>
      <c r="C251" s="199"/>
      <c r="D251" s="199"/>
      <c r="E251" s="202"/>
      <c r="F251" s="202"/>
      <c r="G251" s="199"/>
      <c r="H251" s="199"/>
      <c r="I251" s="199"/>
      <c r="J251" s="202"/>
      <c r="K251" s="202"/>
      <c r="L251" s="199"/>
      <c r="M251" s="199"/>
      <c r="N251" s="199"/>
      <c r="O251" s="199"/>
      <c r="P251" s="21"/>
      <c r="Q251" s="199"/>
      <c r="R251" s="199"/>
      <c r="S251" s="199"/>
      <c r="T251" s="199"/>
      <c r="U251" s="199"/>
      <c r="V251" s="199"/>
      <c r="W251" s="199"/>
      <c r="X251" s="199"/>
      <c r="Y251" s="199"/>
      <c r="Z251" s="199"/>
    </row>
    <row r="252">
      <c r="A252" s="199"/>
      <c r="B252" s="199"/>
      <c r="C252" s="199"/>
      <c r="D252" s="199"/>
      <c r="E252" s="202"/>
      <c r="F252" s="202"/>
      <c r="G252" s="199"/>
      <c r="H252" s="199"/>
      <c r="I252" s="199"/>
      <c r="J252" s="202"/>
      <c r="K252" s="202"/>
      <c r="L252" s="199"/>
      <c r="M252" s="199"/>
      <c r="N252" s="199"/>
      <c r="O252" s="199"/>
      <c r="P252" s="21"/>
      <c r="Q252" s="199"/>
      <c r="R252" s="199"/>
      <c r="S252" s="199"/>
      <c r="T252" s="199"/>
      <c r="U252" s="199"/>
      <c r="V252" s="199"/>
      <c r="W252" s="199"/>
      <c r="X252" s="199"/>
      <c r="Y252" s="199"/>
      <c r="Z252" s="199"/>
    </row>
    <row r="253">
      <c r="A253" s="199"/>
      <c r="B253" s="199"/>
      <c r="C253" s="199"/>
      <c r="D253" s="199"/>
      <c r="E253" s="202"/>
      <c r="F253" s="202"/>
      <c r="G253" s="199"/>
      <c r="H253" s="199"/>
      <c r="I253" s="199"/>
      <c r="J253" s="202"/>
      <c r="K253" s="202"/>
      <c r="L253" s="199"/>
      <c r="M253" s="199"/>
      <c r="N253" s="199"/>
      <c r="O253" s="199"/>
      <c r="P253" s="21"/>
      <c r="Q253" s="199"/>
      <c r="R253" s="199"/>
      <c r="S253" s="199"/>
      <c r="T253" s="199"/>
      <c r="U253" s="199"/>
      <c r="V253" s="199"/>
      <c r="W253" s="199"/>
      <c r="X253" s="199"/>
      <c r="Y253" s="199"/>
      <c r="Z253" s="199"/>
    </row>
    <row r="254">
      <c r="A254" s="199"/>
      <c r="B254" s="199"/>
      <c r="C254" s="199"/>
      <c r="D254" s="199"/>
      <c r="E254" s="202"/>
      <c r="F254" s="202"/>
      <c r="G254" s="199"/>
      <c r="H254" s="199"/>
      <c r="I254" s="199"/>
      <c r="J254" s="202"/>
      <c r="K254" s="202"/>
      <c r="L254" s="199"/>
      <c r="M254" s="199"/>
      <c r="N254" s="199"/>
      <c r="O254" s="199"/>
      <c r="P254" s="21"/>
      <c r="Q254" s="199"/>
      <c r="R254" s="199"/>
      <c r="S254" s="199"/>
      <c r="T254" s="199"/>
      <c r="U254" s="199"/>
      <c r="V254" s="199"/>
      <c r="W254" s="199"/>
      <c r="X254" s="199"/>
      <c r="Y254" s="199"/>
      <c r="Z254" s="199"/>
    </row>
    <row r="255">
      <c r="A255" s="199"/>
      <c r="B255" s="199"/>
      <c r="C255" s="199"/>
      <c r="D255" s="199"/>
      <c r="E255" s="202"/>
      <c r="F255" s="202"/>
      <c r="G255" s="199"/>
      <c r="H255" s="199"/>
      <c r="I255" s="199"/>
      <c r="J255" s="202"/>
      <c r="K255" s="202"/>
      <c r="L255" s="199"/>
      <c r="M255" s="199"/>
      <c r="N255" s="199"/>
      <c r="O255" s="199"/>
      <c r="P255" s="21"/>
      <c r="Q255" s="199"/>
      <c r="R255" s="199"/>
      <c r="S255" s="199"/>
      <c r="T255" s="199"/>
      <c r="U255" s="199"/>
      <c r="V255" s="199"/>
      <c r="W255" s="199"/>
      <c r="X255" s="199"/>
      <c r="Y255" s="199"/>
      <c r="Z255" s="199"/>
    </row>
    <row r="256">
      <c r="A256" s="199"/>
      <c r="B256" s="199"/>
      <c r="C256" s="199"/>
      <c r="D256" s="199"/>
      <c r="E256" s="202"/>
      <c r="F256" s="202"/>
      <c r="G256" s="199"/>
      <c r="H256" s="199"/>
      <c r="I256" s="199"/>
      <c r="J256" s="202"/>
      <c r="K256" s="202"/>
      <c r="L256" s="199"/>
      <c r="M256" s="199"/>
      <c r="N256" s="199"/>
      <c r="O256" s="199"/>
      <c r="P256" s="21"/>
      <c r="Q256" s="199"/>
      <c r="R256" s="199"/>
      <c r="S256" s="199"/>
      <c r="T256" s="199"/>
      <c r="U256" s="199"/>
      <c r="V256" s="199"/>
      <c r="W256" s="199"/>
      <c r="X256" s="199"/>
      <c r="Y256" s="199"/>
      <c r="Z256" s="199"/>
    </row>
    <row r="257">
      <c r="A257" s="199"/>
      <c r="B257" s="199"/>
      <c r="C257" s="199"/>
      <c r="D257" s="199"/>
      <c r="E257" s="202"/>
      <c r="F257" s="202"/>
      <c r="G257" s="199"/>
      <c r="H257" s="199"/>
      <c r="I257" s="199"/>
      <c r="J257" s="202"/>
      <c r="K257" s="202"/>
      <c r="L257" s="199"/>
      <c r="M257" s="199"/>
      <c r="N257" s="199"/>
      <c r="O257" s="199"/>
      <c r="P257" s="21"/>
      <c r="Q257" s="199"/>
      <c r="R257" s="199"/>
      <c r="S257" s="199"/>
      <c r="T257" s="199"/>
      <c r="U257" s="199"/>
      <c r="V257" s="199"/>
      <c r="W257" s="199"/>
      <c r="X257" s="199"/>
      <c r="Y257" s="199"/>
      <c r="Z257" s="199"/>
    </row>
    <row r="258">
      <c r="A258" s="199"/>
      <c r="B258" s="199"/>
      <c r="C258" s="199"/>
      <c r="D258" s="199"/>
      <c r="E258" s="202"/>
      <c r="F258" s="202"/>
      <c r="G258" s="199"/>
      <c r="H258" s="199"/>
      <c r="I258" s="199"/>
      <c r="J258" s="202"/>
      <c r="K258" s="202"/>
      <c r="L258" s="199"/>
      <c r="M258" s="199"/>
      <c r="N258" s="199"/>
      <c r="O258" s="199"/>
      <c r="P258" s="21"/>
      <c r="Q258" s="199"/>
      <c r="R258" s="199"/>
      <c r="S258" s="199"/>
      <c r="T258" s="199"/>
      <c r="U258" s="199"/>
      <c r="V258" s="199"/>
      <c r="W258" s="199"/>
      <c r="X258" s="199"/>
      <c r="Y258" s="199"/>
      <c r="Z258" s="199"/>
    </row>
    <row r="259">
      <c r="A259" s="199"/>
      <c r="B259" s="199"/>
      <c r="C259" s="199"/>
      <c r="D259" s="199"/>
      <c r="E259" s="202"/>
      <c r="F259" s="202"/>
      <c r="G259" s="199"/>
      <c r="H259" s="199"/>
      <c r="I259" s="199"/>
      <c r="J259" s="202"/>
      <c r="K259" s="202"/>
      <c r="L259" s="199"/>
      <c r="M259" s="199"/>
      <c r="N259" s="199"/>
      <c r="O259" s="199"/>
      <c r="P259" s="21"/>
      <c r="Q259" s="199"/>
      <c r="R259" s="199"/>
      <c r="S259" s="199"/>
      <c r="T259" s="199"/>
      <c r="U259" s="199"/>
      <c r="V259" s="199"/>
      <c r="W259" s="199"/>
      <c r="X259" s="199"/>
      <c r="Y259" s="199"/>
      <c r="Z259" s="199"/>
    </row>
    <row r="260">
      <c r="A260" s="199"/>
      <c r="B260" s="199"/>
      <c r="C260" s="199"/>
      <c r="D260" s="199"/>
      <c r="E260" s="202"/>
      <c r="F260" s="202"/>
      <c r="G260" s="199"/>
      <c r="H260" s="199"/>
      <c r="I260" s="199"/>
      <c r="J260" s="202"/>
      <c r="K260" s="202"/>
      <c r="L260" s="199"/>
      <c r="M260" s="199"/>
      <c r="N260" s="199"/>
      <c r="O260" s="199"/>
      <c r="P260" s="21"/>
      <c r="Q260" s="199"/>
      <c r="R260" s="199"/>
      <c r="S260" s="199"/>
      <c r="T260" s="199"/>
      <c r="U260" s="199"/>
      <c r="V260" s="199"/>
      <c r="W260" s="199"/>
      <c r="X260" s="199"/>
      <c r="Y260" s="199"/>
      <c r="Z260" s="199"/>
    </row>
    <row r="261">
      <c r="A261" s="199"/>
      <c r="B261" s="199"/>
      <c r="C261" s="199"/>
      <c r="D261" s="199"/>
      <c r="E261" s="202"/>
      <c r="F261" s="202"/>
      <c r="G261" s="199"/>
      <c r="H261" s="199"/>
      <c r="I261" s="199"/>
      <c r="J261" s="202"/>
      <c r="K261" s="202"/>
      <c r="L261" s="199"/>
      <c r="M261" s="199"/>
      <c r="N261" s="199"/>
      <c r="O261" s="199"/>
      <c r="P261" s="21"/>
      <c r="Q261" s="199"/>
      <c r="R261" s="199"/>
      <c r="S261" s="199"/>
      <c r="T261" s="199"/>
      <c r="U261" s="199"/>
      <c r="V261" s="199"/>
      <c r="W261" s="199"/>
      <c r="X261" s="199"/>
      <c r="Y261" s="199"/>
      <c r="Z261" s="199"/>
    </row>
    <row r="262">
      <c r="A262" s="199"/>
      <c r="B262" s="199"/>
      <c r="C262" s="199"/>
      <c r="D262" s="199"/>
      <c r="E262" s="202"/>
      <c r="F262" s="202"/>
      <c r="G262" s="199"/>
      <c r="H262" s="199"/>
      <c r="I262" s="199"/>
      <c r="J262" s="202"/>
      <c r="K262" s="202"/>
      <c r="L262" s="199"/>
      <c r="M262" s="199"/>
      <c r="N262" s="199"/>
      <c r="O262" s="199"/>
      <c r="P262" s="21"/>
      <c r="Q262" s="199"/>
      <c r="R262" s="199"/>
      <c r="S262" s="199"/>
      <c r="T262" s="199"/>
      <c r="U262" s="199"/>
      <c r="V262" s="199"/>
      <c r="W262" s="199"/>
      <c r="X262" s="199"/>
      <c r="Y262" s="199"/>
      <c r="Z262" s="199"/>
    </row>
    <row r="263">
      <c r="A263" s="199"/>
      <c r="B263" s="199"/>
      <c r="C263" s="199"/>
      <c r="D263" s="199"/>
      <c r="E263" s="202"/>
      <c r="F263" s="202"/>
      <c r="G263" s="199"/>
      <c r="H263" s="199"/>
      <c r="I263" s="199"/>
      <c r="J263" s="202"/>
      <c r="K263" s="202"/>
      <c r="L263" s="199"/>
      <c r="M263" s="199"/>
      <c r="N263" s="199"/>
      <c r="O263" s="199"/>
      <c r="P263" s="21"/>
      <c r="Q263" s="199"/>
      <c r="R263" s="199"/>
      <c r="S263" s="199"/>
      <c r="T263" s="199"/>
      <c r="U263" s="199"/>
      <c r="V263" s="199"/>
      <c r="W263" s="199"/>
      <c r="X263" s="199"/>
      <c r="Y263" s="199"/>
      <c r="Z263" s="199"/>
    </row>
    <row r="264">
      <c r="A264" s="199"/>
      <c r="B264" s="199"/>
      <c r="C264" s="199"/>
      <c r="D264" s="199"/>
      <c r="E264" s="202"/>
      <c r="F264" s="202"/>
      <c r="G264" s="199"/>
      <c r="H264" s="199"/>
      <c r="I264" s="199"/>
      <c r="J264" s="202"/>
      <c r="K264" s="202"/>
      <c r="L264" s="199"/>
      <c r="M264" s="199"/>
      <c r="N264" s="199"/>
      <c r="O264" s="199"/>
      <c r="P264" s="21"/>
      <c r="Q264" s="199"/>
      <c r="R264" s="199"/>
      <c r="S264" s="199"/>
      <c r="T264" s="199"/>
      <c r="U264" s="199"/>
      <c r="V264" s="199"/>
      <c r="W264" s="199"/>
      <c r="X264" s="199"/>
      <c r="Y264" s="199"/>
      <c r="Z264" s="199"/>
    </row>
    <row r="265">
      <c r="A265" s="199"/>
      <c r="B265" s="199"/>
      <c r="C265" s="199"/>
      <c r="D265" s="199"/>
      <c r="E265" s="202"/>
      <c r="F265" s="202"/>
      <c r="G265" s="199"/>
      <c r="H265" s="199"/>
      <c r="I265" s="199"/>
      <c r="J265" s="202"/>
      <c r="K265" s="202"/>
      <c r="L265" s="199"/>
      <c r="M265" s="199"/>
      <c r="N265" s="199"/>
      <c r="O265" s="199"/>
      <c r="P265" s="21"/>
      <c r="Q265" s="199"/>
      <c r="R265" s="199"/>
      <c r="S265" s="199"/>
      <c r="T265" s="199"/>
      <c r="U265" s="199"/>
      <c r="V265" s="199"/>
      <c r="W265" s="199"/>
      <c r="X265" s="199"/>
      <c r="Y265" s="199"/>
      <c r="Z265" s="199"/>
    </row>
    <row r="266">
      <c r="A266" s="199"/>
      <c r="B266" s="199"/>
      <c r="C266" s="199"/>
      <c r="D266" s="199"/>
      <c r="E266" s="202"/>
      <c r="F266" s="202"/>
      <c r="G266" s="199"/>
      <c r="H266" s="199"/>
      <c r="I266" s="199"/>
      <c r="J266" s="202"/>
      <c r="K266" s="202"/>
      <c r="L266" s="199"/>
      <c r="M266" s="199"/>
      <c r="N266" s="199"/>
      <c r="O266" s="199"/>
      <c r="P266" s="21"/>
      <c r="Q266" s="199"/>
      <c r="R266" s="199"/>
      <c r="S266" s="199"/>
      <c r="T266" s="199"/>
      <c r="U266" s="199"/>
      <c r="V266" s="199"/>
      <c r="W266" s="199"/>
      <c r="X266" s="199"/>
      <c r="Y266" s="199"/>
      <c r="Z266" s="199"/>
    </row>
    <row r="267">
      <c r="A267" s="199"/>
      <c r="B267" s="199"/>
      <c r="C267" s="199"/>
      <c r="D267" s="199"/>
      <c r="E267" s="202"/>
      <c r="F267" s="202"/>
      <c r="G267" s="199"/>
      <c r="H267" s="199"/>
      <c r="I267" s="199"/>
      <c r="J267" s="202"/>
      <c r="K267" s="202"/>
      <c r="L267" s="199"/>
      <c r="M267" s="199"/>
      <c r="N267" s="199"/>
      <c r="O267" s="199"/>
      <c r="P267" s="21"/>
      <c r="Q267" s="199"/>
      <c r="R267" s="199"/>
      <c r="S267" s="199"/>
      <c r="T267" s="199"/>
      <c r="U267" s="199"/>
      <c r="V267" s="199"/>
      <c r="W267" s="199"/>
      <c r="X267" s="199"/>
      <c r="Y267" s="199"/>
      <c r="Z267" s="199"/>
    </row>
    <row r="268">
      <c r="A268" s="199"/>
      <c r="B268" s="199"/>
      <c r="C268" s="199"/>
      <c r="D268" s="199"/>
      <c r="E268" s="202"/>
      <c r="F268" s="202"/>
      <c r="G268" s="199"/>
      <c r="H268" s="199"/>
      <c r="I268" s="199"/>
      <c r="J268" s="202"/>
      <c r="K268" s="202"/>
      <c r="L268" s="199"/>
      <c r="M268" s="199"/>
      <c r="N268" s="199"/>
      <c r="O268" s="199"/>
      <c r="P268" s="21"/>
      <c r="Q268" s="199"/>
      <c r="R268" s="199"/>
      <c r="S268" s="199"/>
      <c r="T268" s="199"/>
      <c r="U268" s="199"/>
      <c r="V268" s="199"/>
      <c r="W268" s="199"/>
      <c r="X268" s="199"/>
      <c r="Y268" s="199"/>
      <c r="Z268" s="199"/>
    </row>
    <row r="269">
      <c r="A269" s="199"/>
      <c r="B269" s="199"/>
      <c r="C269" s="199"/>
      <c r="D269" s="199"/>
      <c r="E269" s="202"/>
      <c r="F269" s="202"/>
      <c r="G269" s="199"/>
      <c r="H269" s="199"/>
      <c r="I269" s="199"/>
      <c r="J269" s="202"/>
      <c r="K269" s="202"/>
      <c r="L269" s="199"/>
      <c r="M269" s="199"/>
      <c r="N269" s="199"/>
      <c r="O269" s="199"/>
      <c r="P269" s="21"/>
      <c r="Q269" s="199"/>
      <c r="R269" s="199"/>
      <c r="S269" s="199"/>
      <c r="T269" s="199"/>
      <c r="U269" s="199"/>
      <c r="V269" s="199"/>
      <c r="W269" s="199"/>
      <c r="X269" s="199"/>
      <c r="Y269" s="199"/>
      <c r="Z269" s="199"/>
    </row>
    <row r="270">
      <c r="A270" s="199"/>
      <c r="B270" s="199"/>
      <c r="C270" s="199"/>
      <c r="D270" s="199"/>
      <c r="E270" s="202"/>
      <c r="F270" s="202"/>
      <c r="G270" s="199"/>
      <c r="H270" s="199"/>
      <c r="I270" s="199"/>
      <c r="J270" s="202"/>
      <c r="K270" s="202"/>
      <c r="L270" s="199"/>
      <c r="M270" s="199"/>
      <c r="N270" s="199"/>
      <c r="O270" s="199"/>
      <c r="P270" s="21"/>
      <c r="Q270" s="199"/>
      <c r="R270" s="199"/>
      <c r="S270" s="199"/>
      <c r="T270" s="199"/>
      <c r="U270" s="199"/>
      <c r="V270" s="199"/>
      <c r="W270" s="199"/>
      <c r="X270" s="199"/>
      <c r="Y270" s="199"/>
      <c r="Z270" s="199"/>
    </row>
    <row r="271">
      <c r="A271" s="199"/>
      <c r="B271" s="199"/>
      <c r="C271" s="199"/>
      <c r="D271" s="199"/>
      <c r="E271" s="202"/>
      <c r="F271" s="202"/>
      <c r="G271" s="199"/>
      <c r="H271" s="199"/>
      <c r="I271" s="199"/>
      <c r="J271" s="202"/>
      <c r="K271" s="202"/>
      <c r="L271" s="199"/>
      <c r="M271" s="199"/>
      <c r="N271" s="199"/>
      <c r="O271" s="199"/>
      <c r="P271" s="21"/>
      <c r="Q271" s="199"/>
      <c r="R271" s="199"/>
      <c r="S271" s="199"/>
      <c r="T271" s="199"/>
      <c r="U271" s="199"/>
      <c r="V271" s="199"/>
      <c r="W271" s="199"/>
      <c r="X271" s="199"/>
      <c r="Y271" s="199"/>
      <c r="Z271" s="199"/>
    </row>
    <row r="272">
      <c r="A272" s="199"/>
      <c r="B272" s="199"/>
      <c r="C272" s="199"/>
      <c r="D272" s="199"/>
      <c r="E272" s="202"/>
      <c r="F272" s="202"/>
      <c r="G272" s="199"/>
      <c r="H272" s="199"/>
      <c r="I272" s="199"/>
      <c r="J272" s="202"/>
      <c r="K272" s="202"/>
      <c r="L272" s="199"/>
      <c r="M272" s="199"/>
      <c r="N272" s="199"/>
      <c r="O272" s="199"/>
      <c r="P272" s="21"/>
      <c r="Q272" s="199"/>
      <c r="R272" s="199"/>
      <c r="S272" s="199"/>
      <c r="T272" s="199"/>
      <c r="U272" s="199"/>
      <c r="V272" s="199"/>
      <c r="W272" s="199"/>
      <c r="X272" s="199"/>
      <c r="Y272" s="199"/>
      <c r="Z272" s="199"/>
    </row>
    <row r="273">
      <c r="A273" s="199"/>
      <c r="B273" s="199"/>
      <c r="C273" s="199"/>
      <c r="D273" s="199"/>
      <c r="E273" s="202"/>
      <c r="F273" s="202"/>
      <c r="G273" s="199"/>
      <c r="H273" s="199"/>
      <c r="I273" s="199"/>
      <c r="J273" s="202"/>
      <c r="K273" s="202"/>
      <c r="L273" s="199"/>
      <c r="M273" s="199"/>
      <c r="N273" s="199"/>
      <c r="O273" s="199"/>
      <c r="P273" s="21"/>
      <c r="Q273" s="199"/>
      <c r="R273" s="199"/>
      <c r="S273" s="199"/>
      <c r="T273" s="199"/>
      <c r="U273" s="199"/>
      <c r="V273" s="199"/>
      <c r="W273" s="199"/>
      <c r="X273" s="199"/>
      <c r="Y273" s="199"/>
      <c r="Z273" s="199"/>
    </row>
    <row r="274">
      <c r="A274" s="199"/>
      <c r="B274" s="199"/>
      <c r="C274" s="199"/>
      <c r="D274" s="199"/>
      <c r="E274" s="202"/>
      <c r="F274" s="202"/>
      <c r="G274" s="199"/>
      <c r="H274" s="199"/>
      <c r="I274" s="199"/>
      <c r="J274" s="202"/>
      <c r="K274" s="202"/>
      <c r="L274" s="199"/>
      <c r="M274" s="199"/>
      <c r="N274" s="199"/>
      <c r="O274" s="199"/>
      <c r="P274" s="21"/>
      <c r="Q274" s="199"/>
      <c r="R274" s="199"/>
      <c r="S274" s="199"/>
      <c r="T274" s="199"/>
      <c r="U274" s="199"/>
      <c r="V274" s="199"/>
      <c r="W274" s="199"/>
      <c r="X274" s="199"/>
      <c r="Y274" s="199"/>
      <c r="Z274" s="199"/>
    </row>
    <row r="275">
      <c r="A275" s="199"/>
      <c r="B275" s="199"/>
      <c r="C275" s="199"/>
      <c r="D275" s="199"/>
      <c r="E275" s="202"/>
      <c r="F275" s="202"/>
      <c r="G275" s="199"/>
      <c r="H275" s="199"/>
      <c r="I275" s="199"/>
      <c r="J275" s="202"/>
      <c r="K275" s="202"/>
      <c r="L275" s="199"/>
      <c r="M275" s="199"/>
      <c r="N275" s="199"/>
      <c r="O275" s="199"/>
      <c r="P275" s="21"/>
      <c r="Q275" s="199"/>
      <c r="R275" s="199"/>
      <c r="S275" s="199"/>
      <c r="T275" s="199"/>
      <c r="U275" s="199"/>
      <c r="V275" s="199"/>
      <c r="W275" s="199"/>
      <c r="X275" s="199"/>
      <c r="Y275" s="199"/>
      <c r="Z275" s="199"/>
    </row>
    <row r="276">
      <c r="A276" s="199"/>
      <c r="B276" s="199"/>
      <c r="C276" s="199"/>
      <c r="D276" s="199"/>
      <c r="E276" s="202"/>
      <c r="F276" s="202"/>
      <c r="G276" s="199"/>
      <c r="H276" s="199"/>
      <c r="I276" s="199"/>
      <c r="J276" s="202"/>
      <c r="K276" s="202"/>
      <c r="L276" s="199"/>
      <c r="M276" s="199"/>
      <c r="N276" s="199"/>
      <c r="O276" s="199"/>
      <c r="P276" s="21"/>
      <c r="Q276" s="199"/>
      <c r="R276" s="199"/>
      <c r="S276" s="199"/>
      <c r="T276" s="199"/>
      <c r="U276" s="199"/>
      <c r="V276" s="199"/>
      <c r="W276" s="199"/>
      <c r="X276" s="199"/>
      <c r="Y276" s="199"/>
      <c r="Z276" s="199"/>
    </row>
    <row r="277">
      <c r="A277" s="199"/>
      <c r="B277" s="199"/>
      <c r="C277" s="199"/>
      <c r="D277" s="199"/>
      <c r="E277" s="202"/>
      <c r="F277" s="202"/>
      <c r="G277" s="199"/>
      <c r="H277" s="199"/>
      <c r="I277" s="199"/>
      <c r="J277" s="202"/>
      <c r="K277" s="202"/>
      <c r="L277" s="199"/>
      <c r="M277" s="199"/>
      <c r="N277" s="199"/>
      <c r="O277" s="199"/>
      <c r="P277" s="21"/>
      <c r="Q277" s="199"/>
      <c r="R277" s="199"/>
      <c r="S277" s="199"/>
      <c r="T277" s="199"/>
      <c r="U277" s="199"/>
      <c r="V277" s="199"/>
      <c r="W277" s="199"/>
      <c r="X277" s="199"/>
      <c r="Y277" s="199"/>
      <c r="Z277" s="199"/>
    </row>
    <row r="278">
      <c r="A278" s="199"/>
      <c r="B278" s="199"/>
      <c r="C278" s="199"/>
      <c r="D278" s="199"/>
      <c r="E278" s="202"/>
      <c r="F278" s="202"/>
      <c r="G278" s="199"/>
      <c r="H278" s="199"/>
      <c r="I278" s="199"/>
      <c r="J278" s="202"/>
      <c r="K278" s="202"/>
      <c r="L278" s="199"/>
      <c r="M278" s="199"/>
      <c r="N278" s="199"/>
      <c r="O278" s="199"/>
      <c r="P278" s="21"/>
      <c r="Q278" s="199"/>
      <c r="R278" s="199"/>
      <c r="S278" s="199"/>
      <c r="T278" s="199"/>
      <c r="U278" s="199"/>
      <c r="V278" s="199"/>
      <c r="W278" s="199"/>
      <c r="X278" s="199"/>
      <c r="Y278" s="199"/>
      <c r="Z278" s="199"/>
    </row>
    <row r="279">
      <c r="A279" s="199"/>
      <c r="B279" s="199"/>
      <c r="C279" s="199"/>
      <c r="D279" s="199"/>
      <c r="E279" s="202"/>
      <c r="F279" s="202"/>
      <c r="G279" s="199"/>
      <c r="H279" s="199"/>
      <c r="I279" s="199"/>
      <c r="J279" s="202"/>
      <c r="K279" s="202"/>
      <c r="L279" s="199"/>
      <c r="M279" s="199"/>
      <c r="N279" s="199"/>
      <c r="O279" s="199"/>
      <c r="P279" s="21"/>
      <c r="Q279" s="199"/>
      <c r="R279" s="199"/>
      <c r="S279" s="199"/>
      <c r="T279" s="199"/>
      <c r="U279" s="199"/>
      <c r="V279" s="199"/>
      <c r="W279" s="199"/>
      <c r="X279" s="199"/>
      <c r="Y279" s="199"/>
      <c r="Z279" s="199"/>
    </row>
    <row r="280">
      <c r="A280" s="199"/>
      <c r="B280" s="199"/>
      <c r="C280" s="199"/>
      <c r="D280" s="199"/>
      <c r="E280" s="202"/>
      <c r="F280" s="202"/>
      <c r="G280" s="199"/>
      <c r="H280" s="199"/>
      <c r="I280" s="199"/>
      <c r="J280" s="202"/>
      <c r="K280" s="202"/>
      <c r="L280" s="199"/>
      <c r="M280" s="199"/>
      <c r="N280" s="199"/>
      <c r="O280" s="199"/>
      <c r="P280" s="21"/>
      <c r="Q280" s="199"/>
      <c r="R280" s="199"/>
      <c r="S280" s="199"/>
      <c r="T280" s="199"/>
      <c r="U280" s="199"/>
      <c r="V280" s="199"/>
      <c r="W280" s="199"/>
      <c r="X280" s="199"/>
      <c r="Y280" s="199"/>
      <c r="Z280" s="199"/>
    </row>
    <row r="281">
      <c r="A281" s="199"/>
      <c r="B281" s="199"/>
      <c r="C281" s="199"/>
      <c r="D281" s="199"/>
      <c r="E281" s="202"/>
      <c r="F281" s="202"/>
      <c r="G281" s="199"/>
      <c r="H281" s="199"/>
      <c r="I281" s="199"/>
      <c r="J281" s="202"/>
      <c r="K281" s="202"/>
      <c r="L281" s="199"/>
      <c r="M281" s="199"/>
      <c r="N281" s="199"/>
      <c r="O281" s="199"/>
      <c r="P281" s="21"/>
      <c r="Q281" s="199"/>
      <c r="R281" s="199"/>
      <c r="S281" s="199"/>
      <c r="T281" s="199"/>
      <c r="U281" s="199"/>
      <c r="V281" s="199"/>
      <c r="W281" s="199"/>
      <c r="X281" s="199"/>
      <c r="Y281" s="199"/>
      <c r="Z281" s="199"/>
    </row>
    <row r="282">
      <c r="A282" s="199"/>
      <c r="B282" s="199"/>
      <c r="C282" s="199"/>
      <c r="D282" s="199"/>
      <c r="E282" s="202"/>
      <c r="F282" s="202"/>
      <c r="G282" s="199"/>
      <c r="H282" s="199"/>
      <c r="I282" s="199"/>
      <c r="J282" s="202"/>
      <c r="K282" s="202"/>
      <c r="L282" s="199"/>
      <c r="M282" s="199"/>
      <c r="N282" s="199"/>
      <c r="O282" s="199"/>
      <c r="P282" s="21"/>
      <c r="Q282" s="199"/>
      <c r="R282" s="199"/>
      <c r="S282" s="199"/>
      <c r="T282" s="199"/>
      <c r="U282" s="199"/>
      <c r="V282" s="199"/>
      <c r="W282" s="199"/>
      <c r="X282" s="199"/>
      <c r="Y282" s="199"/>
      <c r="Z282" s="199"/>
    </row>
    <row r="283">
      <c r="A283" s="199"/>
      <c r="B283" s="199"/>
      <c r="C283" s="199"/>
      <c r="D283" s="199"/>
      <c r="E283" s="202"/>
      <c r="F283" s="202"/>
      <c r="G283" s="199"/>
      <c r="H283" s="199"/>
      <c r="I283" s="199"/>
      <c r="J283" s="202"/>
      <c r="K283" s="202"/>
      <c r="L283" s="199"/>
      <c r="M283" s="199"/>
      <c r="N283" s="199"/>
      <c r="O283" s="199"/>
      <c r="P283" s="21"/>
      <c r="Q283" s="199"/>
      <c r="R283" s="199"/>
      <c r="S283" s="199"/>
      <c r="T283" s="199"/>
      <c r="U283" s="199"/>
      <c r="V283" s="199"/>
      <c r="W283" s="199"/>
      <c r="X283" s="199"/>
      <c r="Y283" s="199"/>
      <c r="Z283" s="199"/>
    </row>
    <row r="284">
      <c r="A284" s="199"/>
      <c r="B284" s="199"/>
      <c r="C284" s="199"/>
      <c r="D284" s="199"/>
      <c r="E284" s="202"/>
      <c r="F284" s="202"/>
      <c r="G284" s="199"/>
      <c r="H284" s="199"/>
      <c r="I284" s="199"/>
      <c r="J284" s="202"/>
      <c r="K284" s="202"/>
      <c r="L284" s="199"/>
      <c r="M284" s="199"/>
      <c r="N284" s="199"/>
      <c r="O284" s="199"/>
      <c r="P284" s="21"/>
      <c r="Q284" s="199"/>
      <c r="R284" s="199"/>
      <c r="S284" s="199"/>
      <c r="T284" s="199"/>
      <c r="U284" s="199"/>
      <c r="V284" s="199"/>
      <c r="W284" s="199"/>
      <c r="X284" s="199"/>
      <c r="Y284" s="199"/>
      <c r="Z284" s="199"/>
    </row>
    <row r="285">
      <c r="A285" s="199"/>
      <c r="B285" s="199"/>
      <c r="C285" s="199"/>
      <c r="D285" s="199"/>
      <c r="E285" s="202"/>
      <c r="F285" s="202"/>
      <c r="G285" s="199"/>
      <c r="H285" s="199"/>
      <c r="I285" s="199"/>
      <c r="J285" s="202"/>
      <c r="K285" s="202"/>
      <c r="L285" s="199"/>
      <c r="M285" s="199"/>
      <c r="N285" s="199"/>
      <c r="O285" s="199"/>
      <c r="P285" s="21"/>
      <c r="Q285" s="199"/>
      <c r="R285" s="199"/>
      <c r="S285" s="199"/>
      <c r="T285" s="199"/>
      <c r="U285" s="199"/>
      <c r="V285" s="199"/>
      <c r="W285" s="199"/>
      <c r="X285" s="199"/>
      <c r="Y285" s="199"/>
      <c r="Z285" s="199"/>
    </row>
    <row r="286">
      <c r="A286" s="199"/>
      <c r="B286" s="199"/>
      <c r="C286" s="199"/>
      <c r="D286" s="199"/>
      <c r="E286" s="202"/>
      <c r="F286" s="202"/>
      <c r="G286" s="199"/>
      <c r="H286" s="199"/>
      <c r="I286" s="199"/>
      <c r="J286" s="202"/>
      <c r="K286" s="202"/>
      <c r="L286" s="199"/>
      <c r="M286" s="199"/>
      <c r="N286" s="199"/>
      <c r="O286" s="199"/>
      <c r="P286" s="21"/>
      <c r="Q286" s="199"/>
      <c r="R286" s="199"/>
      <c r="S286" s="199"/>
      <c r="T286" s="199"/>
      <c r="U286" s="199"/>
      <c r="V286" s="199"/>
      <c r="W286" s="199"/>
      <c r="X286" s="199"/>
      <c r="Y286" s="199"/>
      <c r="Z286" s="199"/>
    </row>
    <row r="287">
      <c r="A287" s="199"/>
      <c r="B287" s="199"/>
      <c r="C287" s="199"/>
      <c r="D287" s="199"/>
      <c r="E287" s="202"/>
      <c r="F287" s="202"/>
      <c r="G287" s="199"/>
      <c r="H287" s="199"/>
      <c r="I287" s="199"/>
      <c r="J287" s="202"/>
      <c r="K287" s="202"/>
      <c r="L287" s="199"/>
      <c r="M287" s="199"/>
      <c r="N287" s="199"/>
      <c r="O287" s="199"/>
      <c r="P287" s="21"/>
      <c r="Q287" s="199"/>
      <c r="R287" s="199"/>
      <c r="S287" s="199"/>
      <c r="T287" s="199"/>
      <c r="U287" s="199"/>
      <c r="V287" s="199"/>
      <c r="W287" s="199"/>
      <c r="X287" s="199"/>
      <c r="Y287" s="199"/>
      <c r="Z287" s="199"/>
    </row>
    <row r="288">
      <c r="A288" s="199"/>
      <c r="B288" s="199"/>
      <c r="C288" s="199"/>
      <c r="D288" s="199"/>
      <c r="E288" s="202"/>
      <c r="F288" s="202"/>
      <c r="G288" s="199"/>
      <c r="H288" s="199"/>
      <c r="I288" s="199"/>
      <c r="J288" s="202"/>
      <c r="K288" s="202"/>
      <c r="L288" s="199"/>
      <c r="M288" s="199"/>
      <c r="N288" s="199"/>
      <c r="O288" s="199"/>
      <c r="P288" s="21"/>
      <c r="Q288" s="199"/>
      <c r="R288" s="199"/>
      <c r="S288" s="199"/>
      <c r="T288" s="199"/>
      <c r="U288" s="199"/>
      <c r="V288" s="199"/>
      <c r="W288" s="199"/>
      <c r="X288" s="199"/>
      <c r="Y288" s="199"/>
      <c r="Z288" s="199"/>
    </row>
    <row r="289">
      <c r="A289" s="199"/>
      <c r="B289" s="199"/>
      <c r="C289" s="199"/>
      <c r="D289" s="199"/>
      <c r="E289" s="202"/>
      <c r="F289" s="202"/>
      <c r="G289" s="199"/>
      <c r="H289" s="199"/>
      <c r="I289" s="199"/>
      <c r="J289" s="202"/>
      <c r="K289" s="202"/>
      <c r="L289" s="199"/>
      <c r="M289" s="199"/>
      <c r="N289" s="199"/>
      <c r="O289" s="199"/>
      <c r="P289" s="21"/>
      <c r="Q289" s="199"/>
      <c r="R289" s="199"/>
      <c r="S289" s="199"/>
      <c r="T289" s="199"/>
      <c r="U289" s="199"/>
      <c r="V289" s="199"/>
      <c r="W289" s="199"/>
      <c r="X289" s="199"/>
      <c r="Y289" s="199"/>
      <c r="Z289" s="199"/>
    </row>
    <row r="290">
      <c r="A290" s="199"/>
      <c r="B290" s="199"/>
      <c r="C290" s="199"/>
      <c r="D290" s="199"/>
      <c r="E290" s="202"/>
      <c r="F290" s="202"/>
      <c r="G290" s="199"/>
      <c r="H290" s="199"/>
      <c r="I290" s="199"/>
      <c r="J290" s="202"/>
      <c r="K290" s="202"/>
      <c r="L290" s="199"/>
      <c r="M290" s="199"/>
      <c r="N290" s="199"/>
      <c r="O290" s="199"/>
      <c r="P290" s="21"/>
      <c r="Q290" s="199"/>
      <c r="R290" s="199"/>
      <c r="S290" s="199"/>
      <c r="T290" s="199"/>
      <c r="U290" s="199"/>
      <c r="V290" s="199"/>
      <c r="W290" s="199"/>
      <c r="X290" s="199"/>
      <c r="Y290" s="199"/>
      <c r="Z290" s="199"/>
    </row>
    <row r="291">
      <c r="A291" s="199"/>
      <c r="B291" s="199"/>
      <c r="C291" s="199"/>
      <c r="D291" s="199"/>
      <c r="E291" s="202"/>
      <c r="F291" s="202"/>
      <c r="G291" s="199"/>
      <c r="H291" s="199"/>
      <c r="I291" s="199"/>
      <c r="J291" s="202"/>
      <c r="K291" s="202"/>
      <c r="L291" s="199"/>
      <c r="M291" s="199"/>
      <c r="N291" s="199"/>
      <c r="O291" s="199"/>
      <c r="P291" s="21"/>
      <c r="Q291" s="199"/>
      <c r="R291" s="199"/>
      <c r="S291" s="199"/>
      <c r="T291" s="199"/>
      <c r="U291" s="199"/>
      <c r="V291" s="199"/>
      <c r="W291" s="199"/>
      <c r="X291" s="199"/>
      <c r="Y291" s="199"/>
      <c r="Z291" s="199"/>
    </row>
    <row r="292">
      <c r="A292" s="199"/>
      <c r="B292" s="199"/>
      <c r="C292" s="199"/>
      <c r="D292" s="199"/>
      <c r="E292" s="202"/>
      <c r="F292" s="202"/>
      <c r="G292" s="199"/>
      <c r="H292" s="199"/>
      <c r="I292" s="199"/>
      <c r="J292" s="202"/>
      <c r="K292" s="202"/>
      <c r="L292" s="199"/>
      <c r="M292" s="199"/>
      <c r="N292" s="199"/>
      <c r="O292" s="199"/>
      <c r="P292" s="21"/>
      <c r="Q292" s="199"/>
      <c r="R292" s="199"/>
      <c r="S292" s="199"/>
      <c r="T292" s="199"/>
      <c r="U292" s="199"/>
      <c r="V292" s="199"/>
      <c r="W292" s="199"/>
      <c r="X292" s="199"/>
      <c r="Y292" s="199"/>
      <c r="Z292" s="199"/>
    </row>
    <row r="293">
      <c r="A293" s="199"/>
      <c r="B293" s="199"/>
      <c r="C293" s="199"/>
      <c r="D293" s="199"/>
      <c r="E293" s="202"/>
      <c r="F293" s="202"/>
      <c r="G293" s="199"/>
      <c r="H293" s="199"/>
      <c r="I293" s="199"/>
      <c r="J293" s="202"/>
      <c r="K293" s="202"/>
      <c r="L293" s="199"/>
      <c r="M293" s="199"/>
      <c r="N293" s="199"/>
      <c r="O293" s="199"/>
      <c r="P293" s="21"/>
      <c r="Q293" s="199"/>
      <c r="R293" s="199"/>
      <c r="S293" s="199"/>
      <c r="T293" s="199"/>
      <c r="U293" s="199"/>
      <c r="V293" s="199"/>
      <c r="W293" s="199"/>
      <c r="X293" s="199"/>
      <c r="Y293" s="199"/>
      <c r="Z293" s="199"/>
    </row>
    <row r="294">
      <c r="A294" s="199"/>
      <c r="B294" s="199"/>
      <c r="C294" s="199"/>
      <c r="D294" s="199"/>
      <c r="E294" s="202"/>
      <c r="F294" s="202"/>
      <c r="G294" s="199"/>
      <c r="H294" s="199"/>
      <c r="I294" s="199"/>
      <c r="J294" s="202"/>
      <c r="K294" s="202"/>
      <c r="L294" s="199"/>
      <c r="M294" s="199"/>
      <c r="N294" s="199"/>
      <c r="O294" s="199"/>
      <c r="P294" s="21"/>
      <c r="Q294" s="199"/>
      <c r="R294" s="199"/>
      <c r="S294" s="199"/>
      <c r="T294" s="199"/>
      <c r="U294" s="199"/>
      <c r="V294" s="199"/>
      <c r="W294" s="199"/>
      <c r="X294" s="199"/>
      <c r="Y294" s="199"/>
      <c r="Z294" s="199"/>
    </row>
    <row r="295">
      <c r="A295" s="199"/>
      <c r="B295" s="199"/>
      <c r="C295" s="199"/>
      <c r="D295" s="199"/>
      <c r="E295" s="202"/>
      <c r="F295" s="202"/>
      <c r="G295" s="199"/>
      <c r="H295" s="199"/>
      <c r="I295" s="199"/>
      <c r="J295" s="202"/>
      <c r="K295" s="202"/>
      <c r="L295" s="199"/>
      <c r="M295" s="199"/>
      <c r="N295" s="199"/>
      <c r="O295" s="199"/>
      <c r="P295" s="21"/>
      <c r="Q295" s="199"/>
      <c r="R295" s="199"/>
      <c r="S295" s="199"/>
      <c r="T295" s="199"/>
      <c r="U295" s="199"/>
      <c r="V295" s="199"/>
      <c r="W295" s="199"/>
      <c r="X295" s="199"/>
      <c r="Y295" s="199"/>
      <c r="Z295" s="199"/>
    </row>
    <row r="296">
      <c r="A296" s="199"/>
      <c r="B296" s="199"/>
      <c r="C296" s="199"/>
      <c r="D296" s="199"/>
      <c r="E296" s="202"/>
      <c r="F296" s="202"/>
      <c r="G296" s="199"/>
      <c r="H296" s="199"/>
      <c r="I296" s="199"/>
      <c r="J296" s="202"/>
      <c r="K296" s="202"/>
      <c r="L296" s="199"/>
      <c r="M296" s="199"/>
      <c r="N296" s="199"/>
      <c r="O296" s="199"/>
      <c r="P296" s="21"/>
      <c r="Q296" s="199"/>
      <c r="R296" s="199"/>
      <c r="S296" s="199"/>
      <c r="T296" s="199"/>
      <c r="U296" s="199"/>
      <c r="V296" s="199"/>
      <c r="W296" s="199"/>
      <c r="X296" s="199"/>
      <c r="Y296" s="199"/>
      <c r="Z296" s="199"/>
    </row>
    <row r="297">
      <c r="A297" s="199"/>
      <c r="B297" s="199"/>
      <c r="C297" s="199"/>
      <c r="D297" s="199"/>
      <c r="E297" s="202"/>
      <c r="F297" s="202"/>
      <c r="G297" s="199"/>
      <c r="H297" s="199"/>
      <c r="I297" s="199"/>
      <c r="J297" s="202"/>
      <c r="K297" s="202"/>
      <c r="L297" s="199"/>
      <c r="M297" s="199"/>
      <c r="N297" s="199"/>
      <c r="O297" s="199"/>
      <c r="P297" s="21"/>
      <c r="Q297" s="199"/>
      <c r="R297" s="199"/>
      <c r="S297" s="199"/>
      <c r="T297" s="199"/>
      <c r="U297" s="199"/>
      <c r="V297" s="199"/>
      <c r="W297" s="199"/>
      <c r="X297" s="199"/>
      <c r="Y297" s="199"/>
      <c r="Z297" s="199"/>
    </row>
    <row r="298">
      <c r="A298" s="199"/>
      <c r="B298" s="199"/>
      <c r="C298" s="199"/>
      <c r="D298" s="199"/>
      <c r="E298" s="202"/>
      <c r="F298" s="202"/>
      <c r="G298" s="199"/>
      <c r="H298" s="199"/>
      <c r="I298" s="199"/>
      <c r="J298" s="202"/>
      <c r="K298" s="202"/>
      <c r="L298" s="199"/>
      <c r="M298" s="199"/>
      <c r="N298" s="199"/>
      <c r="O298" s="199"/>
      <c r="P298" s="21"/>
      <c r="Q298" s="199"/>
      <c r="R298" s="199"/>
      <c r="S298" s="199"/>
      <c r="T298" s="199"/>
      <c r="U298" s="199"/>
      <c r="V298" s="199"/>
      <c r="W298" s="199"/>
      <c r="X298" s="199"/>
      <c r="Y298" s="199"/>
      <c r="Z298" s="199"/>
    </row>
    <row r="299">
      <c r="A299" s="199"/>
      <c r="B299" s="199"/>
      <c r="C299" s="199"/>
      <c r="D299" s="199"/>
      <c r="E299" s="202"/>
      <c r="F299" s="202"/>
      <c r="G299" s="199"/>
      <c r="H299" s="199"/>
      <c r="I299" s="199"/>
      <c r="J299" s="202"/>
      <c r="K299" s="202"/>
      <c r="L299" s="199"/>
      <c r="M299" s="199"/>
      <c r="N299" s="199"/>
      <c r="O299" s="199"/>
      <c r="P299" s="21"/>
      <c r="Q299" s="199"/>
      <c r="R299" s="199"/>
      <c r="S299" s="199"/>
      <c r="T299" s="199"/>
      <c r="U299" s="199"/>
      <c r="V299" s="199"/>
      <c r="W299" s="199"/>
      <c r="X299" s="199"/>
      <c r="Y299" s="199"/>
      <c r="Z299" s="199"/>
    </row>
    <row r="300">
      <c r="A300" s="199"/>
      <c r="B300" s="199"/>
      <c r="C300" s="199"/>
      <c r="D300" s="199"/>
      <c r="E300" s="202"/>
      <c r="F300" s="202"/>
      <c r="G300" s="199"/>
      <c r="H300" s="199"/>
      <c r="I300" s="199"/>
      <c r="J300" s="202"/>
      <c r="K300" s="202"/>
      <c r="L300" s="199"/>
      <c r="M300" s="199"/>
      <c r="N300" s="199"/>
      <c r="O300" s="199"/>
      <c r="P300" s="21"/>
      <c r="Q300" s="199"/>
      <c r="R300" s="199"/>
      <c r="S300" s="199"/>
      <c r="T300" s="199"/>
      <c r="U300" s="199"/>
      <c r="V300" s="199"/>
      <c r="W300" s="199"/>
      <c r="X300" s="199"/>
      <c r="Y300" s="199"/>
      <c r="Z300" s="199"/>
    </row>
    <row r="301">
      <c r="A301" s="199"/>
      <c r="B301" s="199"/>
      <c r="C301" s="199"/>
      <c r="D301" s="199"/>
      <c r="E301" s="202"/>
      <c r="F301" s="202"/>
      <c r="G301" s="199"/>
      <c r="H301" s="199"/>
      <c r="I301" s="199"/>
      <c r="J301" s="202"/>
      <c r="K301" s="202"/>
      <c r="L301" s="199"/>
      <c r="M301" s="199"/>
      <c r="N301" s="199"/>
      <c r="O301" s="199"/>
      <c r="P301" s="21"/>
      <c r="Q301" s="199"/>
      <c r="R301" s="199"/>
      <c r="S301" s="199"/>
      <c r="T301" s="199"/>
      <c r="U301" s="199"/>
      <c r="V301" s="199"/>
      <c r="W301" s="199"/>
      <c r="X301" s="199"/>
      <c r="Y301" s="199"/>
      <c r="Z301" s="199"/>
    </row>
    <row r="302">
      <c r="A302" s="199"/>
      <c r="B302" s="199"/>
      <c r="C302" s="199"/>
      <c r="D302" s="199"/>
      <c r="E302" s="202"/>
      <c r="F302" s="202"/>
      <c r="G302" s="199"/>
      <c r="H302" s="199"/>
      <c r="I302" s="199"/>
      <c r="J302" s="202"/>
      <c r="K302" s="202"/>
      <c r="L302" s="199"/>
      <c r="M302" s="199"/>
      <c r="N302" s="199"/>
      <c r="O302" s="199"/>
      <c r="P302" s="21"/>
      <c r="Q302" s="199"/>
      <c r="R302" s="199"/>
      <c r="S302" s="199"/>
      <c r="T302" s="199"/>
      <c r="U302" s="199"/>
      <c r="V302" s="199"/>
      <c r="W302" s="199"/>
      <c r="X302" s="199"/>
      <c r="Y302" s="199"/>
      <c r="Z302" s="199"/>
    </row>
    <row r="303">
      <c r="A303" s="199"/>
      <c r="B303" s="199"/>
      <c r="C303" s="199"/>
      <c r="D303" s="199"/>
      <c r="E303" s="202"/>
      <c r="F303" s="202"/>
      <c r="G303" s="199"/>
      <c r="H303" s="199"/>
      <c r="I303" s="199"/>
      <c r="J303" s="202"/>
      <c r="K303" s="202"/>
      <c r="L303" s="199"/>
      <c r="M303" s="199"/>
      <c r="N303" s="199"/>
      <c r="O303" s="199"/>
      <c r="P303" s="21"/>
      <c r="Q303" s="199"/>
      <c r="R303" s="199"/>
      <c r="S303" s="199"/>
      <c r="T303" s="199"/>
      <c r="U303" s="199"/>
      <c r="V303" s="199"/>
      <c r="W303" s="199"/>
      <c r="X303" s="199"/>
      <c r="Y303" s="199"/>
      <c r="Z303" s="199"/>
    </row>
    <row r="304">
      <c r="A304" s="199"/>
      <c r="B304" s="199"/>
      <c r="C304" s="199"/>
      <c r="D304" s="199"/>
      <c r="E304" s="202"/>
      <c r="F304" s="202"/>
      <c r="G304" s="199"/>
      <c r="H304" s="199"/>
      <c r="I304" s="199"/>
      <c r="J304" s="202"/>
      <c r="K304" s="202"/>
      <c r="L304" s="199"/>
      <c r="M304" s="199"/>
      <c r="N304" s="199"/>
      <c r="O304" s="199"/>
      <c r="P304" s="21"/>
      <c r="Q304" s="199"/>
      <c r="R304" s="199"/>
      <c r="S304" s="199"/>
      <c r="T304" s="199"/>
      <c r="U304" s="199"/>
      <c r="V304" s="199"/>
      <c r="W304" s="199"/>
      <c r="X304" s="199"/>
      <c r="Y304" s="199"/>
      <c r="Z304" s="199"/>
    </row>
    <row r="305">
      <c r="A305" s="199"/>
      <c r="B305" s="199"/>
      <c r="C305" s="199"/>
      <c r="D305" s="199"/>
      <c r="E305" s="202"/>
      <c r="F305" s="202"/>
      <c r="G305" s="199"/>
      <c r="H305" s="199"/>
      <c r="I305" s="199"/>
      <c r="J305" s="202"/>
      <c r="K305" s="202"/>
      <c r="L305" s="199"/>
      <c r="M305" s="199"/>
      <c r="N305" s="199"/>
      <c r="O305" s="199"/>
      <c r="P305" s="21"/>
      <c r="Q305" s="199"/>
      <c r="R305" s="199"/>
      <c r="S305" s="199"/>
      <c r="T305" s="199"/>
      <c r="U305" s="199"/>
      <c r="V305" s="199"/>
      <c r="W305" s="199"/>
      <c r="X305" s="199"/>
      <c r="Y305" s="199"/>
      <c r="Z305" s="199"/>
    </row>
    <row r="306">
      <c r="A306" s="199"/>
      <c r="B306" s="199"/>
      <c r="C306" s="199"/>
      <c r="D306" s="199"/>
      <c r="E306" s="202"/>
      <c r="F306" s="202"/>
      <c r="G306" s="199"/>
      <c r="H306" s="199"/>
      <c r="I306" s="199"/>
      <c r="J306" s="202"/>
      <c r="K306" s="202"/>
      <c r="L306" s="199"/>
      <c r="M306" s="199"/>
      <c r="N306" s="199"/>
      <c r="O306" s="199"/>
      <c r="P306" s="21"/>
      <c r="Q306" s="199"/>
      <c r="R306" s="199"/>
      <c r="S306" s="199"/>
      <c r="T306" s="199"/>
      <c r="U306" s="199"/>
      <c r="V306" s="199"/>
      <c r="W306" s="199"/>
      <c r="X306" s="199"/>
      <c r="Y306" s="199"/>
      <c r="Z306" s="199"/>
    </row>
    <row r="307">
      <c r="A307" s="199"/>
      <c r="B307" s="199"/>
      <c r="C307" s="199"/>
      <c r="D307" s="199"/>
      <c r="E307" s="202"/>
      <c r="F307" s="202"/>
      <c r="G307" s="199"/>
      <c r="H307" s="199"/>
      <c r="I307" s="199"/>
      <c r="J307" s="202"/>
      <c r="K307" s="202"/>
      <c r="L307" s="199"/>
      <c r="M307" s="199"/>
      <c r="N307" s="199"/>
      <c r="O307" s="199"/>
      <c r="P307" s="21"/>
      <c r="Q307" s="199"/>
      <c r="R307" s="199"/>
      <c r="S307" s="199"/>
      <c r="T307" s="199"/>
      <c r="U307" s="199"/>
      <c r="V307" s="199"/>
      <c r="W307" s="199"/>
      <c r="X307" s="199"/>
      <c r="Y307" s="199"/>
      <c r="Z307" s="199"/>
    </row>
    <row r="308">
      <c r="A308" s="199"/>
      <c r="B308" s="199"/>
      <c r="C308" s="199"/>
      <c r="D308" s="199"/>
      <c r="E308" s="202"/>
      <c r="F308" s="202"/>
      <c r="G308" s="199"/>
      <c r="H308" s="199"/>
      <c r="I308" s="199"/>
      <c r="J308" s="202"/>
      <c r="K308" s="202"/>
      <c r="L308" s="199"/>
      <c r="M308" s="199"/>
      <c r="N308" s="199"/>
      <c r="O308" s="199"/>
      <c r="P308" s="21"/>
      <c r="Q308" s="199"/>
      <c r="R308" s="199"/>
      <c r="S308" s="199"/>
      <c r="T308" s="199"/>
      <c r="U308" s="199"/>
      <c r="V308" s="199"/>
      <c r="W308" s="199"/>
      <c r="X308" s="199"/>
      <c r="Y308" s="199"/>
      <c r="Z308" s="199"/>
    </row>
    <row r="309">
      <c r="A309" s="199"/>
      <c r="B309" s="199"/>
      <c r="C309" s="199"/>
      <c r="D309" s="199"/>
      <c r="E309" s="202"/>
      <c r="F309" s="202"/>
      <c r="G309" s="199"/>
      <c r="H309" s="199"/>
      <c r="I309" s="199"/>
      <c r="J309" s="202"/>
      <c r="K309" s="202"/>
      <c r="L309" s="199"/>
      <c r="M309" s="199"/>
      <c r="N309" s="199"/>
      <c r="O309" s="199"/>
      <c r="P309" s="21"/>
      <c r="Q309" s="199"/>
      <c r="R309" s="199"/>
      <c r="S309" s="199"/>
      <c r="T309" s="199"/>
      <c r="U309" s="199"/>
      <c r="V309" s="199"/>
      <c r="W309" s="199"/>
      <c r="X309" s="199"/>
      <c r="Y309" s="199"/>
      <c r="Z309" s="199"/>
    </row>
    <row r="310">
      <c r="A310" s="199"/>
      <c r="B310" s="199"/>
      <c r="C310" s="199"/>
      <c r="D310" s="199"/>
      <c r="E310" s="202"/>
      <c r="F310" s="202"/>
      <c r="G310" s="199"/>
      <c r="H310" s="199"/>
      <c r="I310" s="199"/>
      <c r="J310" s="202"/>
      <c r="K310" s="202"/>
      <c r="L310" s="199"/>
      <c r="M310" s="199"/>
      <c r="N310" s="199"/>
      <c r="O310" s="199"/>
      <c r="P310" s="21"/>
      <c r="Q310" s="199"/>
      <c r="R310" s="199"/>
      <c r="S310" s="199"/>
      <c r="T310" s="199"/>
      <c r="U310" s="199"/>
      <c r="V310" s="199"/>
      <c r="W310" s="199"/>
      <c r="X310" s="199"/>
      <c r="Y310" s="199"/>
      <c r="Z310" s="199"/>
    </row>
    <row r="311">
      <c r="A311" s="199"/>
      <c r="B311" s="199"/>
      <c r="C311" s="199"/>
      <c r="D311" s="199"/>
      <c r="E311" s="202"/>
      <c r="F311" s="202"/>
      <c r="G311" s="199"/>
      <c r="H311" s="199"/>
      <c r="I311" s="199"/>
      <c r="J311" s="202"/>
      <c r="K311" s="202"/>
      <c r="L311" s="199"/>
      <c r="M311" s="199"/>
      <c r="N311" s="199"/>
      <c r="O311" s="199"/>
      <c r="P311" s="21"/>
      <c r="Q311" s="199"/>
      <c r="R311" s="199"/>
      <c r="S311" s="199"/>
      <c r="T311" s="199"/>
      <c r="U311" s="199"/>
      <c r="V311" s="199"/>
      <c r="W311" s="199"/>
      <c r="X311" s="199"/>
      <c r="Y311" s="199"/>
      <c r="Z311" s="199"/>
    </row>
    <row r="312">
      <c r="A312" s="199"/>
      <c r="B312" s="199"/>
      <c r="C312" s="199"/>
      <c r="D312" s="199"/>
      <c r="E312" s="202"/>
      <c r="F312" s="202"/>
      <c r="G312" s="199"/>
      <c r="H312" s="199"/>
      <c r="I312" s="199"/>
      <c r="J312" s="202"/>
      <c r="K312" s="202"/>
      <c r="L312" s="199"/>
      <c r="M312" s="199"/>
      <c r="N312" s="199"/>
      <c r="O312" s="199"/>
      <c r="P312" s="21"/>
      <c r="Q312" s="199"/>
      <c r="R312" s="199"/>
      <c r="S312" s="199"/>
      <c r="T312" s="199"/>
      <c r="U312" s="199"/>
      <c r="V312" s="199"/>
      <c r="W312" s="199"/>
      <c r="X312" s="199"/>
      <c r="Y312" s="199"/>
      <c r="Z312" s="199"/>
    </row>
    <row r="313">
      <c r="A313" s="199"/>
      <c r="B313" s="199"/>
      <c r="C313" s="199"/>
      <c r="D313" s="199"/>
      <c r="E313" s="202"/>
      <c r="F313" s="202"/>
      <c r="G313" s="199"/>
      <c r="H313" s="199"/>
      <c r="I313" s="199"/>
      <c r="J313" s="202"/>
      <c r="K313" s="202"/>
      <c r="L313" s="199"/>
      <c r="M313" s="199"/>
      <c r="N313" s="199"/>
      <c r="O313" s="199"/>
      <c r="P313" s="21"/>
      <c r="Q313" s="199"/>
      <c r="R313" s="199"/>
      <c r="S313" s="199"/>
      <c r="T313" s="199"/>
      <c r="U313" s="199"/>
      <c r="V313" s="199"/>
      <c r="W313" s="199"/>
      <c r="X313" s="199"/>
      <c r="Y313" s="199"/>
      <c r="Z313" s="199"/>
    </row>
    <row r="314">
      <c r="A314" s="199"/>
      <c r="B314" s="199"/>
      <c r="C314" s="199"/>
      <c r="D314" s="199"/>
      <c r="E314" s="202"/>
      <c r="F314" s="202"/>
      <c r="G314" s="199"/>
      <c r="H314" s="199"/>
      <c r="I314" s="199"/>
      <c r="J314" s="202"/>
      <c r="K314" s="202"/>
      <c r="L314" s="199"/>
      <c r="M314" s="199"/>
      <c r="N314" s="199"/>
      <c r="O314" s="199"/>
      <c r="P314" s="21"/>
      <c r="Q314" s="199"/>
      <c r="R314" s="199"/>
      <c r="S314" s="199"/>
      <c r="T314" s="199"/>
      <c r="U314" s="199"/>
      <c r="V314" s="199"/>
      <c r="W314" s="199"/>
      <c r="X314" s="199"/>
      <c r="Y314" s="199"/>
      <c r="Z314" s="199"/>
    </row>
    <row r="315">
      <c r="A315" s="199"/>
      <c r="B315" s="199"/>
      <c r="C315" s="199"/>
      <c r="D315" s="199"/>
      <c r="E315" s="202"/>
      <c r="F315" s="202"/>
      <c r="G315" s="199"/>
      <c r="H315" s="199"/>
      <c r="I315" s="199"/>
      <c r="J315" s="202"/>
      <c r="K315" s="202"/>
      <c r="L315" s="199"/>
      <c r="M315" s="199"/>
      <c r="N315" s="199"/>
      <c r="O315" s="199"/>
      <c r="P315" s="21"/>
      <c r="Q315" s="199"/>
      <c r="R315" s="199"/>
      <c r="S315" s="199"/>
      <c r="T315" s="199"/>
      <c r="U315" s="199"/>
      <c r="V315" s="199"/>
      <c r="W315" s="199"/>
      <c r="X315" s="199"/>
      <c r="Y315" s="199"/>
      <c r="Z315" s="199"/>
    </row>
    <row r="316">
      <c r="A316" s="199"/>
      <c r="B316" s="199"/>
      <c r="C316" s="199"/>
      <c r="D316" s="199"/>
      <c r="E316" s="202"/>
      <c r="F316" s="202"/>
      <c r="G316" s="199"/>
      <c r="H316" s="199"/>
      <c r="I316" s="199"/>
      <c r="J316" s="202"/>
      <c r="K316" s="202"/>
      <c r="L316" s="199"/>
      <c r="M316" s="199"/>
      <c r="N316" s="199"/>
      <c r="O316" s="199"/>
      <c r="P316" s="21"/>
      <c r="Q316" s="199"/>
      <c r="R316" s="199"/>
      <c r="S316" s="199"/>
      <c r="T316" s="199"/>
      <c r="U316" s="199"/>
      <c r="V316" s="199"/>
      <c r="W316" s="199"/>
      <c r="X316" s="199"/>
      <c r="Y316" s="199"/>
      <c r="Z316" s="199"/>
    </row>
    <row r="317">
      <c r="A317" s="199"/>
      <c r="B317" s="199"/>
      <c r="C317" s="199"/>
      <c r="D317" s="199"/>
      <c r="E317" s="202"/>
      <c r="F317" s="202"/>
      <c r="G317" s="199"/>
      <c r="H317" s="199"/>
      <c r="I317" s="199"/>
      <c r="J317" s="202"/>
      <c r="K317" s="202"/>
      <c r="L317" s="199"/>
      <c r="M317" s="199"/>
      <c r="N317" s="199"/>
      <c r="O317" s="199"/>
      <c r="P317" s="21"/>
      <c r="Q317" s="199"/>
      <c r="R317" s="199"/>
      <c r="S317" s="199"/>
      <c r="T317" s="199"/>
      <c r="U317" s="199"/>
      <c r="V317" s="199"/>
      <c r="W317" s="199"/>
      <c r="X317" s="199"/>
      <c r="Y317" s="199"/>
      <c r="Z317" s="199"/>
    </row>
    <row r="318">
      <c r="A318" s="199"/>
      <c r="B318" s="199"/>
      <c r="C318" s="199"/>
      <c r="D318" s="199"/>
      <c r="E318" s="202"/>
      <c r="F318" s="202"/>
      <c r="G318" s="199"/>
      <c r="H318" s="199"/>
      <c r="I318" s="199"/>
      <c r="J318" s="202"/>
      <c r="K318" s="202"/>
      <c r="L318" s="199"/>
      <c r="M318" s="199"/>
      <c r="N318" s="199"/>
      <c r="O318" s="199"/>
      <c r="P318" s="21"/>
      <c r="Q318" s="199"/>
      <c r="R318" s="199"/>
      <c r="S318" s="199"/>
      <c r="T318" s="199"/>
      <c r="U318" s="199"/>
      <c r="V318" s="199"/>
      <c r="W318" s="199"/>
      <c r="X318" s="199"/>
      <c r="Y318" s="199"/>
      <c r="Z318" s="199"/>
    </row>
    <row r="319">
      <c r="A319" s="199"/>
      <c r="B319" s="199"/>
      <c r="C319" s="199"/>
      <c r="D319" s="199"/>
      <c r="E319" s="202"/>
      <c r="F319" s="202"/>
      <c r="G319" s="199"/>
      <c r="H319" s="199"/>
      <c r="I319" s="199"/>
      <c r="J319" s="202"/>
      <c r="K319" s="202"/>
      <c r="L319" s="199"/>
      <c r="M319" s="199"/>
      <c r="N319" s="199"/>
      <c r="O319" s="199"/>
      <c r="P319" s="21"/>
      <c r="Q319" s="199"/>
      <c r="R319" s="199"/>
      <c r="S319" s="199"/>
      <c r="T319" s="199"/>
      <c r="U319" s="199"/>
      <c r="V319" s="199"/>
      <c r="W319" s="199"/>
      <c r="X319" s="199"/>
      <c r="Y319" s="199"/>
      <c r="Z319" s="199"/>
    </row>
    <row r="320">
      <c r="A320" s="199"/>
      <c r="B320" s="199"/>
      <c r="C320" s="199"/>
      <c r="D320" s="199"/>
      <c r="E320" s="202"/>
      <c r="F320" s="202"/>
      <c r="G320" s="199"/>
      <c r="H320" s="199"/>
      <c r="I320" s="199"/>
      <c r="J320" s="202"/>
      <c r="K320" s="202"/>
      <c r="L320" s="199"/>
      <c r="M320" s="199"/>
      <c r="N320" s="199"/>
      <c r="O320" s="199"/>
      <c r="P320" s="21"/>
      <c r="Q320" s="199"/>
      <c r="R320" s="199"/>
      <c r="S320" s="199"/>
      <c r="T320" s="199"/>
      <c r="U320" s="199"/>
      <c r="V320" s="199"/>
      <c r="W320" s="199"/>
      <c r="X320" s="199"/>
      <c r="Y320" s="199"/>
      <c r="Z320" s="199"/>
    </row>
    <row r="321">
      <c r="A321" s="199"/>
      <c r="B321" s="199"/>
      <c r="C321" s="199"/>
      <c r="D321" s="199"/>
      <c r="E321" s="202"/>
      <c r="F321" s="202"/>
      <c r="G321" s="199"/>
      <c r="H321" s="199"/>
      <c r="I321" s="199"/>
      <c r="J321" s="202"/>
      <c r="K321" s="202"/>
      <c r="L321" s="199"/>
      <c r="M321" s="199"/>
      <c r="N321" s="199"/>
      <c r="O321" s="199"/>
      <c r="P321" s="21"/>
      <c r="Q321" s="199"/>
      <c r="R321" s="199"/>
      <c r="S321" s="199"/>
      <c r="T321" s="199"/>
      <c r="U321" s="199"/>
      <c r="V321" s="199"/>
      <c r="W321" s="199"/>
      <c r="X321" s="199"/>
      <c r="Y321" s="199"/>
      <c r="Z321" s="199"/>
    </row>
    <row r="322">
      <c r="A322" s="199"/>
      <c r="B322" s="199"/>
      <c r="C322" s="199"/>
      <c r="D322" s="199"/>
      <c r="E322" s="202"/>
      <c r="F322" s="202"/>
      <c r="G322" s="199"/>
      <c r="H322" s="199"/>
      <c r="I322" s="199"/>
      <c r="J322" s="202"/>
      <c r="K322" s="202"/>
      <c r="L322" s="199"/>
      <c r="M322" s="199"/>
      <c r="N322" s="199"/>
      <c r="O322" s="199"/>
      <c r="P322" s="21"/>
      <c r="Q322" s="199"/>
      <c r="R322" s="199"/>
      <c r="S322" s="199"/>
      <c r="T322" s="199"/>
      <c r="U322" s="199"/>
      <c r="V322" s="199"/>
      <c r="W322" s="199"/>
      <c r="X322" s="199"/>
      <c r="Y322" s="199"/>
      <c r="Z322" s="199"/>
    </row>
    <row r="323">
      <c r="A323" s="199"/>
      <c r="B323" s="199"/>
      <c r="C323" s="199"/>
      <c r="D323" s="199"/>
      <c r="E323" s="202"/>
      <c r="F323" s="202"/>
      <c r="G323" s="199"/>
      <c r="H323" s="199"/>
      <c r="I323" s="199"/>
      <c r="J323" s="202"/>
      <c r="K323" s="202"/>
      <c r="L323" s="199"/>
      <c r="M323" s="199"/>
      <c r="N323" s="199"/>
      <c r="O323" s="199"/>
      <c r="P323" s="21"/>
      <c r="Q323" s="199"/>
      <c r="R323" s="199"/>
      <c r="S323" s="199"/>
      <c r="T323" s="199"/>
      <c r="U323" s="199"/>
      <c r="V323" s="199"/>
      <c r="W323" s="199"/>
      <c r="X323" s="199"/>
      <c r="Y323" s="199"/>
      <c r="Z323" s="199"/>
    </row>
    <row r="324">
      <c r="A324" s="199"/>
      <c r="B324" s="199"/>
      <c r="C324" s="199"/>
      <c r="D324" s="199"/>
      <c r="E324" s="202"/>
      <c r="F324" s="202"/>
      <c r="G324" s="199"/>
      <c r="H324" s="199"/>
      <c r="I324" s="199"/>
      <c r="J324" s="202"/>
      <c r="K324" s="202"/>
      <c r="L324" s="199"/>
      <c r="M324" s="199"/>
      <c r="N324" s="199"/>
      <c r="O324" s="199"/>
      <c r="P324" s="21"/>
      <c r="Q324" s="199"/>
      <c r="R324" s="199"/>
      <c r="S324" s="199"/>
      <c r="T324" s="199"/>
      <c r="U324" s="199"/>
      <c r="V324" s="199"/>
      <c r="W324" s="199"/>
      <c r="X324" s="199"/>
      <c r="Y324" s="199"/>
      <c r="Z324" s="199"/>
    </row>
    <row r="325">
      <c r="A325" s="199"/>
      <c r="B325" s="199"/>
      <c r="C325" s="199"/>
      <c r="D325" s="199"/>
      <c r="E325" s="202"/>
      <c r="F325" s="202"/>
      <c r="G325" s="199"/>
      <c r="H325" s="199"/>
      <c r="I325" s="199"/>
      <c r="J325" s="202"/>
      <c r="K325" s="202"/>
      <c r="L325" s="199"/>
      <c r="M325" s="199"/>
      <c r="N325" s="199"/>
      <c r="O325" s="199"/>
      <c r="P325" s="21"/>
      <c r="Q325" s="199"/>
      <c r="R325" s="199"/>
      <c r="S325" s="199"/>
      <c r="T325" s="199"/>
      <c r="U325" s="199"/>
      <c r="V325" s="199"/>
      <c r="W325" s="199"/>
      <c r="X325" s="199"/>
      <c r="Y325" s="199"/>
      <c r="Z325" s="199"/>
    </row>
    <row r="326">
      <c r="A326" s="199"/>
      <c r="B326" s="199"/>
      <c r="C326" s="199"/>
      <c r="D326" s="199"/>
      <c r="E326" s="202"/>
      <c r="F326" s="202"/>
      <c r="G326" s="199"/>
      <c r="H326" s="199"/>
      <c r="I326" s="199"/>
      <c r="J326" s="202"/>
      <c r="K326" s="202"/>
      <c r="L326" s="199"/>
      <c r="M326" s="199"/>
      <c r="N326" s="199"/>
      <c r="O326" s="199"/>
      <c r="P326" s="21"/>
      <c r="Q326" s="199"/>
      <c r="R326" s="199"/>
      <c r="S326" s="199"/>
      <c r="T326" s="199"/>
      <c r="U326" s="199"/>
      <c r="V326" s="199"/>
      <c r="W326" s="199"/>
      <c r="X326" s="199"/>
      <c r="Y326" s="199"/>
      <c r="Z326" s="199"/>
    </row>
    <row r="327">
      <c r="A327" s="199"/>
      <c r="B327" s="199"/>
      <c r="C327" s="199"/>
      <c r="D327" s="199"/>
      <c r="E327" s="202"/>
      <c r="F327" s="202"/>
      <c r="G327" s="199"/>
      <c r="H327" s="199"/>
      <c r="I327" s="199"/>
      <c r="J327" s="202"/>
      <c r="K327" s="202"/>
      <c r="L327" s="199"/>
      <c r="M327" s="199"/>
      <c r="N327" s="199"/>
      <c r="O327" s="199"/>
      <c r="P327" s="21"/>
      <c r="Q327" s="199"/>
      <c r="R327" s="199"/>
      <c r="S327" s="199"/>
      <c r="T327" s="199"/>
      <c r="U327" s="199"/>
      <c r="V327" s="199"/>
      <c r="W327" s="199"/>
      <c r="X327" s="199"/>
      <c r="Y327" s="199"/>
      <c r="Z327" s="199"/>
    </row>
    <row r="328">
      <c r="A328" s="199"/>
      <c r="B328" s="199"/>
      <c r="C328" s="199"/>
      <c r="D328" s="199"/>
      <c r="E328" s="202"/>
      <c r="F328" s="202"/>
      <c r="G328" s="199"/>
      <c r="H328" s="199"/>
      <c r="I328" s="199"/>
      <c r="J328" s="202"/>
      <c r="K328" s="202"/>
      <c r="L328" s="199"/>
      <c r="M328" s="199"/>
      <c r="N328" s="199"/>
      <c r="O328" s="199"/>
      <c r="P328" s="21"/>
      <c r="Q328" s="199"/>
      <c r="R328" s="199"/>
      <c r="S328" s="199"/>
      <c r="T328" s="199"/>
      <c r="U328" s="199"/>
      <c r="V328" s="199"/>
      <c r="W328" s="199"/>
      <c r="X328" s="199"/>
      <c r="Y328" s="199"/>
      <c r="Z328" s="199"/>
    </row>
    <row r="329">
      <c r="A329" s="199"/>
      <c r="B329" s="199"/>
      <c r="C329" s="199"/>
      <c r="D329" s="199"/>
      <c r="E329" s="202"/>
      <c r="F329" s="202"/>
      <c r="G329" s="199"/>
      <c r="H329" s="199"/>
      <c r="I329" s="199"/>
      <c r="J329" s="202"/>
      <c r="K329" s="202"/>
      <c r="L329" s="199"/>
      <c r="M329" s="199"/>
      <c r="N329" s="199"/>
      <c r="O329" s="199"/>
      <c r="P329" s="21"/>
      <c r="Q329" s="199"/>
      <c r="R329" s="199"/>
      <c r="S329" s="199"/>
      <c r="T329" s="199"/>
      <c r="U329" s="199"/>
      <c r="V329" s="199"/>
      <c r="W329" s="199"/>
      <c r="X329" s="199"/>
      <c r="Y329" s="199"/>
      <c r="Z329" s="199"/>
    </row>
    <row r="330">
      <c r="A330" s="199"/>
      <c r="B330" s="199"/>
      <c r="C330" s="199"/>
      <c r="D330" s="199"/>
      <c r="E330" s="202"/>
      <c r="F330" s="202"/>
      <c r="G330" s="199"/>
      <c r="H330" s="199"/>
      <c r="I330" s="199"/>
      <c r="J330" s="202"/>
      <c r="K330" s="202"/>
      <c r="L330" s="199"/>
      <c r="M330" s="199"/>
      <c r="N330" s="199"/>
      <c r="O330" s="199"/>
      <c r="P330" s="21"/>
      <c r="Q330" s="199"/>
      <c r="R330" s="199"/>
      <c r="S330" s="199"/>
      <c r="T330" s="199"/>
      <c r="U330" s="199"/>
      <c r="V330" s="199"/>
      <c r="W330" s="199"/>
      <c r="X330" s="199"/>
      <c r="Y330" s="199"/>
      <c r="Z330" s="199"/>
    </row>
    <row r="331">
      <c r="A331" s="199"/>
      <c r="B331" s="199"/>
      <c r="C331" s="199"/>
      <c r="D331" s="199"/>
      <c r="E331" s="202"/>
      <c r="F331" s="202"/>
      <c r="G331" s="199"/>
      <c r="H331" s="199"/>
      <c r="I331" s="199"/>
      <c r="J331" s="202"/>
      <c r="K331" s="202"/>
      <c r="L331" s="199"/>
      <c r="M331" s="199"/>
      <c r="N331" s="199"/>
      <c r="O331" s="199"/>
      <c r="P331" s="21"/>
      <c r="Q331" s="199"/>
      <c r="R331" s="199"/>
      <c r="S331" s="199"/>
      <c r="T331" s="199"/>
      <c r="U331" s="199"/>
      <c r="V331" s="199"/>
      <c r="W331" s="199"/>
      <c r="X331" s="199"/>
      <c r="Y331" s="199"/>
      <c r="Z331" s="199"/>
    </row>
    <row r="332">
      <c r="A332" s="199"/>
      <c r="B332" s="199"/>
      <c r="C332" s="199"/>
      <c r="D332" s="199"/>
      <c r="E332" s="202"/>
      <c r="F332" s="202"/>
      <c r="G332" s="199"/>
      <c r="H332" s="199"/>
      <c r="I332" s="199"/>
      <c r="J332" s="202"/>
      <c r="K332" s="202"/>
      <c r="L332" s="199"/>
      <c r="M332" s="199"/>
      <c r="N332" s="199"/>
      <c r="O332" s="199"/>
      <c r="P332" s="21"/>
      <c r="Q332" s="199"/>
      <c r="R332" s="199"/>
      <c r="S332" s="199"/>
      <c r="T332" s="199"/>
      <c r="U332" s="199"/>
      <c r="V332" s="199"/>
      <c r="W332" s="199"/>
      <c r="X332" s="199"/>
      <c r="Y332" s="199"/>
      <c r="Z332" s="199"/>
    </row>
    <row r="333">
      <c r="A333" s="199"/>
      <c r="B333" s="199"/>
      <c r="C333" s="199"/>
      <c r="D333" s="199"/>
      <c r="E333" s="202"/>
      <c r="F333" s="202"/>
      <c r="G333" s="199"/>
      <c r="H333" s="199"/>
      <c r="I333" s="199"/>
      <c r="J333" s="202"/>
      <c r="K333" s="202"/>
      <c r="L333" s="199"/>
      <c r="M333" s="199"/>
      <c r="N333" s="199"/>
      <c r="O333" s="199"/>
      <c r="P333" s="21"/>
      <c r="Q333" s="199"/>
      <c r="R333" s="199"/>
      <c r="S333" s="199"/>
      <c r="T333" s="199"/>
      <c r="U333" s="199"/>
      <c r="V333" s="199"/>
      <c r="W333" s="199"/>
      <c r="X333" s="199"/>
      <c r="Y333" s="199"/>
      <c r="Z333" s="199"/>
    </row>
    <row r="334">
      <c r="A334" s="199"/>
      <c r="B334" s="199"/>
      <c r="C334" s="199"/>
      <c r="D334" s="199"/>
      <c r="E334" s="202"/>
      <c r="F334" s="202"/>
      <c r="G334" s="199"/>
      <c r="H334" s="199"/>
      <c r="I334" s="199"/>
      <c r="J334" s="202"/>
      <c r="K334" s="202"/>
      <c r="L334" s="199"/>
      <c r="M334" s="199"/>
      <c r="N334" s="199"/>
      <c r="O334" s="199"/>
      <c r="P334" s="21"/>
      <c r="Q334" s="199"/>
      <c r="R334" s="199"/>
      <c r="S334" s="199"/>
      <c r="T334" s="199"/>
      <c r="U334" s="199"/>
      <c r="V334" s="199"/>
      <c r="W334" s="199"/>
      <c r="X334" s="199"/>
      <c r="Y334" s="199"/>
      <c r="Z334" s="199"/>
    </row>
    <row r="335">
      <c r="A335" s="199"/>
      <c r="B335" s="199"/>
      <c r="C335" s="199"/>
      <c r="D335" s="199"/>
      <c r="E335" s="202"/>
      <c r="F335" s="202"/>
      <c r="G335" s="199"/>
      <c r="H335" s="199"/>
      <c r="I335" s="199"/>
      <c r="J335" s="202"/>
      <c r="K335" s="202"/>
      <c r="L335" s="199"/>
      <c r="M335" s="199"/>
      <c r="N335" s="199"/>
      <c r="O335" s="199"/>
      <c r="P335" s="21"/>
      <c r="Q335" s="199"/>
      <c r="R335" s="199"/>
      <c r="S335" s="199"/>
      <c r="T335" s="199"/>
      <c r="U335" s="199"/>
      <c r="V335" s="199"/>
      <c r="W335" s="199"/>
      <c r="X335" s="199"/>
      <c r="Y335" s="199"/>
      <c r="Z335" s="199"/>
    </row>
    <row r="336">
      <c r="A336" s="199"/>
      <c r="B336" s="199"/>
      <c r="C336" s="199"/>
      <c r="D336" s="199"/>
      <c r="E336" s="202"/>
      <c r="F336" s="202"/>
      <c r="G336" s="199"/>
      <c r="H336" s="199"/>
      <c r="I336" s="199"/>
      <c r="J336" s="202"/>
      <c r="K336" s="202"/>
      <c r="L336" s="199"/>
      <c r="M336" s="199"/>
      <c r="N336" s="199"/>
      <c r="O336" s="199"/>
      <c r="P336" s="21"/>
      <c r="Q336" s="199"/>
      <c r="R336" s="199"/>
      <c r="S336" s="199"/>
      <c r="T336" s="199"/>
      <c r="U336" s="199"/>
      <c r="V336" s="199"/>
      <c r="W336" s="199"/>
      <c r="X336" s="199"/>
      <c r="Y336" s="199"/>
      <c r="Z336" s="199"/>
    </row>
    <row r="337">
      <c r="A337" s="199"/>
      <c r="B337" s="199"/>
      <c r="C337" s="199"/>
      <c r="D337" s="199"/>
      <c r="E337" s="202"/>
      <c r="F337" s="202"/>
      <c r="G337" s="199"/>
      <c r="H337" s="199"/>
      <c r="I337" s="199"/>
      <c r="J337" s="202"/>
      <c r="K337" s="202"/>
      <c r="L337" s="199"/>
      <c r="M337" s="199"/>
      <c r="N337" s="199"/>
      <c r="O337" s="199"/>
      <c r="P337" s="21"/>
      <c r="Q337" s="199"/>
      <c r="R337" s="199"/>
      <c r="S337" s="199"/>
      <c r="T337" s="199"/>
      <c r="U337" s="199"/>
      <c r="V337" s="199"/>
      <c r="W337" s="199"/>
      <c r="X337" s="199"/>
      <c r="Y337" s="199"/>
      <c r="Z337" s="199"/>
    </row>
    <row r="338">
      <c r="A338" s="199"/>
      <c r="B338" s="199"/>
      <c r="C338" s="199"/>
      <c r="D338" s="199"/>
      <c r="E338" s="202"/>
      <c r="F338" s="202"/>
      <c r="G338" s="199"/>
      <c r="H338" s="199"/>
      <c r="I338" s="199"/>
      <c r="J338" s="202"/>
      <c r="K338" s="202"/>
      <c r="L338" s="199"/>
      <c r="M338" s="199"/>
      <c r="N338" s="199"/>
      <c r="O338" s="199"/>
      <c r="P338" s="21"/>
      <c r="Q338" s="199"/>
      <c r="R338" s="199"/>
      <c r="S338" s="199"/>
      <c r="T338" s="199"/>
      <c r="U338" s="199"/>
      <c r="V338" s="199"/>
      <c r="W338" s="199"/>
      <c r="X338" s="199"/>
      <c r="Y338" s="199"/>
      <c r="Z338" s="199"/>
    </row>
    <row r="339">
      <c r="A339" s="199"/>
      <c r="B339" s="199"/>
      <c r="C339" s="199"/>
      <c r="D339" s="199"/>
      <c r="E339" s="202"/>
      <c r="F339" s="202"/>
      <c r="G339" s="199"/>
      <c r="H339" s="199"/>
      <c r="I339" s="199"/>
      <c r="J339" s="202"/>
      <c r="K339" s="202"/>
      <c r="L339" s="199"/>
      <c r="M339" s="199"/>
      <c r="N339" s="199"/>
      <c r="O339" s="199"/>
      <c r="P339" s="21"/>
      <c r="Q339" s="199"/>
      <c r="R339" s="199"/>
      <c r="S339" s="199"/>
      <c r="T339" s="199"/>
      <c r="U339" s="199"/>
      <c r="V339" s="199"/>
      <c r="W339" s="199"/>
      <c r="X339" s="199"/>
      <c r="Y339" s="199"/>
      <c r="Z339" s="199"/>
    </row>
    <row r="340">
      <c r="A340" s="199"/>
      <c r="B340" s="199"/>
      <c r="C340" s="199"/>
      <c r="D340" s="199"/>
      <c r="E340" s="202"/>
      <c r="F340" s="202"/>
      <c r="G340" s="199"/>
      <c r="H340" s="199"/>
      <c r="I340" s="199"/>
      <c r="J340" s="202"/>
      <c r="K340" s="202"/>
      <c r="L340" s="199"/>
      <c r="M340" s="199"/>
      <c r="N340" s="199"/>
      <c r="O340" s="199"/>
      <c r="P340" s="21"/>
      <c r="Q340" s="199"/>
      <c r="R340" s="199"/>
      <c r="S340" s="199"/>
      <c r="T340" s="199"/>
      <c r="U340" s="199"/>
      <c r="V340" s="199"/>
      <c r="W340" s="199"/>
      <c r="X340" s="199"/>
      <c r="Y340" s="199"/>
      <c r="Z340" s="199"/>
    </row>
    <row r="341">
      <c r="A341" s="199"/>
      <c r="B341" s="199"/>
      <c r="C341" s="199"/>
      <c r="D341" s="199"/>
      <c r="E341" s="202"/>
      <c r="F341" s="202"/>
      <c r="G341" s="199"/>
      <c r="H341" s="199"/>
      <c r="I341" s="199"/>
      <c r="J341" s="202"/>
      <c r="K341" s="202"/>
      <c r="L341" s="199"/>
      <c r="M341" s="199"/>
      <c r="N341" s="199"/>
      <c r="O341" s="199"/>
      <c r="P341" s="21"/>
      <c r="Q341" s="199"/>
      <c r="R341" s="199"/>
      <c r="S341" s="199"/>
      <c r="T341" s="199"/>
      <c r="U341" s="199"/>
      <c r="V341" s="199"/>
      <c r="W341" s="199"/>
      <c r="X341" s="199"/>
      <c r="Y341" s="199"/>
      <c r="Z341" s="199"/>
    </row>
    <row r="342">
      <c r="A342" s="199"/>
      <c r="B342" s="199"/>
      <c r="C342" s="199"/>
      <c r="D342" s="199"/>
      <c r="E342" s="202"/>
      <c r="F342" s="202"/>
      <c r="G342" s="199"/>
      <c r="H342" s="199"/>
      <c r="I342" s="199"/>
      <c r="J342" s="202"/>
      <c r="K342" s="202"/>
      <c r="L342" s="199"/>
      <c r="M342" s="199"/>
      <c r="N342" s="199"/>
      <c r="O342" s="199"/>
      <c r="P342" s="21"/>
      <c r="Q342" s="199"/>
      <c r="R342" s="199"/>
      <c r="S342" s="199"/>
      <c r="T342" s="199"/>
      <c r="U342" s="199"/>
      <c r="V342" s="199"/>
      <c r="W342" s="199"/>
      <c r="X342" s="199"/>
      <c r="Y342" s="199"/>
      <c r="Z342" s="199"/>
    </row>
    <row r="343">
      <c r="A343" s="199"/>
      <c r="B343" s="199"/>
      <c r="C343" s="199"/>
      <c r="D343" s="199"/>
      <c r="E343" s="202"/>
      <c r="F343" s="202"/>
      <c r="G343" s="199"/>
      <c r="H343" s="199"/>
      <c r="I343" s="199"/>
      <c r="J343" s="202"/>
      <c r="K343" s="202"/>
      <c r="L343" s="199"/>
      <c r="M343" s="199"/>
      <c r="N343" s="199"/>
      <c r="O343" s="199"/>
      <c r="P343" s="21"/>
      <c r="Q343" s="199"/>
      <c r="R343" s="199"/>
      <c r="S343" s="199"/>
      <c r="T343" s="199"/>
      <c r="U343" s="199"/>
      <c r="V343" s="199"/>
      <c r="W343" s="199"/>
      <c r="X343" s="199"/>
      <c r="Y343" s="199"/>
      <c r="Z343" s="199"/>
    </row>
    <row r="344">
      <c r="A344" s="199"/>
      <c r="B344" s="199"/>
      <c r="C344" s="199"/>
      <c r="D344" s="199"/>
      <c r="E344" s="202"/>
      <c r="F344" s="202"/>
      <c r="G344" s="199"/>
      <c r="H344" s="199"/>
      <c r="I344" s="199"/>
      <c r="J344" s="202"/>
      <c r="K344" s="202"/>
      <c r="L344" s="199"/>
      <c r="M344" s="199"/>
      <c r="N344" s="199"/>
      <c r="O344" s="199"/>
      <c r="P344" s="21"/>
      <c r="Q344" s="199"/>
      <c r="R344" s="199"/>
      <c r="S344" s="199"/>
      <c r="T344" s="199"/>
      <c r="U344" s="199"/>
      <c r="V344" s="199"/>
      <c r="W344" s="199"/>
      <c r="X344" s="199"/>
      <c r="Y344" s="199"/>
      <c r="Z344" s="199"/>
    </row>
    <row r="345">
      <c r="A345" s="199"/>
      <c r="B345" s="199"/>
      <c r="C345" s="199"/>
      <c r="D345" s="199"/>
      <c r="E345" s="202"/>
      <c r="F345" s="202"/>
      <c r="G345" s="199"/>
      <c r="H345" s="199"/>
      <c r="I345" s="199"/>
      <c r="J345" s="202"/>
      <c r="K345" s="202"/>
      <c r="L345" s="199"/>
      <c r="M345" s="199"/>
      <c r="N345" s="199"/>
      <c r="O345" s="199"/>
      <c r="P345" s="21"/>
      <c r="Q345" s="199"/>
      <c r="R345" s="199"/>
      <c r="S345" s="199"/>
      <c r="T345" s="199"/>
      <c r="U345" s="199"/>
      <c r="V345" s="199"/>
      <c r="W345" s="199"/>
      <c r="X345" s="199"/>
      <c r="Y345" s="199"/>
      <c r="Z345" s="199"/>
    </row>
    <row r="346">
      <c r="A346" s="199"/>
      <c r="B346" s="199"/>
      <c r="C346" s="199"/>
      <c r="D346" s="199"/>
      <c r="E346" s="202"/>
      <c r="F346" s="202"/>
      <c r="G346" s="199"/>
      <c r="H346" s="199"/>
      <c r="I346" s="199"/>
      <c r="J346" s="202"/>
      <c r="K346" s="202"/>
      <c r="L346" s="199"/>
      <c r="M346" s="199"/>
      <c r="N346" s="199"/>
      <c r="O346" s="199"/>
      <c r="P346" s="21"/>
      <c r="Q346" s="199"/>
      <c r="R346" s="199"/>
      <c r="S346" s="199"/>
      <c r="T346" s="199"/>
      <c r="U346" s="199"/>
      <c r="V346" s="199"/>
      <c r="W346" s="199"/>
      <c r="X346" s="199"/>
      <c r="Y346" s="199"/>
      <c r="Z346" s="199"/>
    </row>
    <row r="347">
      <c r="A347" s="199"/>
      <c r="B347" s="199"/>
      <c r="C347" s="199"/>
      <c r="D347" s="199"/>
      <c r="E347" s="202"/>
      <c r="F347" s="202"/>
      <c r="G347" s="199"/>
      <c r="H347" s="199"/>
      <c r="I347" s="199"/>
      <c r="J347" s="202"/>
      <c r="K347" s="202"/>
      <c r="L347" s="199"/>
      <c r="M347" s="199"/>
      <c r="N347" s="199"/>
      <c r="O347" s="199"/>
      <c r="P347" s="21"/>
      <c r="Q347" s="199"/>
      <c r="R347" s="199"/>
      <c r="S347" s="199"/>
      <c r="T347" s="199"/>
      <c r="U347" s="199"/>
      <c r="V347" s="199"/>
      <c r="W347" s="199"/>
      <c r="X347" s="199"/>
      <c r="Y347" s="199"/>
      <c r="Z347" s="199"/>
    </row>
    <row r="348">
      <c r="A348" s="199"/>
      <c r="B348" s="199"/>
      <c r="C348" s="199"/>
      <c r="D348" s="199"/>
      <c r="E348" s="202"/>
      <c r="F348" s="202"/>
      <c r="G348" s="199"/>
      <c r="H348" s="199"/>
      <c r="I348" s="199"/>
      <c r="J348" s="202"/>
      <c r="K348" s="202"/>
      <c r="L348" s="199"/>
      <c r="M348" s="199"/>
      <c r="N348" s="199"/>
      <c r="O348" s="199"/>
      <c r="P348" s="21"/>
      <c r="Q348" s="199"/>
      <c r="R348" s="199"/>
      <c r="S348" s="199"/>
      <c r="T348" s="199"/>
      <c r="U348" s="199"/>
      <c r="V348" s="199"/>
      <c r="W348" s="199"/>
      <c r="X348" s="199"/>
      <c r="Y348" s="199"/>
      <c r="Z348" s="199"/>
    </row>
    <row r="349">
      <c r="A349" s="199"/>
      <c r="B349" s="199"/>
      <c r="C349" s="199"/>
      <c r="D349" s="199"/>
      <c r="E349" s="202"/>
      <c r="F349" s="202"/>
      <c r="G349" s="199"/>
      <c r="H349" s="199"/>
      <c r="I349" s="199"/>
      <c r="J349" s="202"/>
      <c r="K349" s="202"/>
      <c r="L349" s="199"/>
      <c r="M349" s="199"/>
      <c r="N349" s="199"/>
      <c r="O349" s="199"/>
      <c r="P349" s="21"/>
      <c r="Q349" s="199"/>
      <c r="R349" s="199"/>
      <c r="S349" s="199"/>
      <c r="T349" s="199"/>
      <c r="U349" s="199"/>
      <c r="V349" s="199"/>
      <c r="W349" s="199"/>
      <c r="X349" s="199"/>
      <c r="Y349" s="199"/>
      <c r="Z349" s="199"/>
    </row>
    <row r="350">
      <c r="A350" s="199"/>
      <c r="B350" s="199"/>
      <c r="C350" s="199"/>
      <c r="D350" s="199"/>
      <c r="E350" s="202"/>
      <c r="F350" s="202"/>
      <c r="G350" s="199"/>
      <c r="H350" s="199"/>
      <c r="I350" s="199"/>
      <c r="J350" s="202"/>
      <c r="K350" s="202"/>
      <c r="L350" s="199"/>
      <c r="M350" s="199"/>
      <c r="N350" s="199"/>
      <c r="O350" s="199"/>
      <c r="P350" s="21"/>
      <c r="Q350" s="199"/>
      <c r="R350" s="199"/>
      <c r="S350" s="199"/>
      <c r="T350" s="199"/>
      <c r="U350" s="199"/>
      <c r="V350" s="199"/>
      <c r="W350" s="199"/>
      <c r="X350" s="199"/>
      <c r="Y350" s="199"/>
      <c r="Z350" s="199"/>
    </row>
    <row r="351">
      <c r="A351" s="199"/>
      <c r="B351" s="199"/>
      <c r="C351" s="199"/>
      <c r="D351" s="199"/>
      <c r="E351" s="202"/>
      <c r="F351" s="202"/>
      <c r="G351" s="199"/>
      <c r="H351" s="199"/>
      <c r="I351" s="199"/>
      <c r="J351" s="202"/>
      <c r="K351" s="202"/>
      <c r="L351" s="199"/>
      <c r="M351" s="199"/>
      <c r="N351" s="199"/>
      <c r="O351" s="199"/>
      <c r="P351" s="21"/>
      <c r="Q351" s="199"/>
      <c r="R351" s="199"/>
      <c r="S351" s="199"/>
      <c r="T351" s="199"/>
      <c r="U351" s="199"/>
      <c r="V351" s="199"/>
      <c r="W351" s="199"/>
      <c r="X351" s="199"/>
      <c r="Y351" s="199"/>
      <c r="Z351" s="199"/>
    </row>
    <row r="352">
      <c r="A352" s="199"/>
      <c r="B352" s="199"/>
      <c r="C352" s="199"/>
      <c r="D352" s="199"/>
      <c r="E352" s="202"/>
      <c r="F352" s="202"/>
      <c r="G352" s="199"/>
      <c r="H352" s="199"/>
      <c r="I352" s="199"/>
      <c r="J352" s="202"/>
      <c r="K352" s="202"/>
      <c r="L352" s="199"/>
      <c r="M352" s="199"/>
      <c r="N352" s="199"/>
      <c r="O352" s="199"/>
      <c r="P352" s="21"/>
      <c r="Q352" s="199"/>
      <c r="R352" s="199"/>
      <c r="S352" s="199"/>
      <c r="T352" s="199"/>
      <c r="U352" s="199"/>
      <c r="V352" s="199"/>
      <c r="W352" s="199"/>
      <c r="X352" s="199"/>
      <c r="Y352" s="199"/>
      <c r="Z352" s="199"/>
    </row>
    <row r="353">
      <c r="A353" s="199"/>
      <c r="B353" s="199"/>
      <c r="C353" s="199"/>
      <c r="D353" s="199"/>
      <c r="E353" s="202"/>
      <c r="F353" s="202"/>
      <c r="G353" s="199"/>
      <c r="H353" s="199"/>
      <c r="I353" s="199"/>
      <c r="J353" s="202"/>
      <c r="K353" s="202"/>
      <c r="L353" s="199"/>
      <c r="M353" s="199"/>
      <c r="N353" s="199"/>
      <c r="O353" s="199"/>
      <c r="P353" s="21"/>
      <c r="Q353" s="199"/>
      <c r="R353" s="199"/>
      <c r="S353" s="199"/>
      <c r="T353" s="199"/>
      <c r="U353" s="199"/>
      <c r="V353" s="199"/>
      <c r="W353" s="199"/>
      <c r="X353" s="199"/>
      <c r="Y353" s="199"/>
      <c r="Z353" s="199"/>
    </row>
    <row r="354">
      <c r="A354" s="199"/>
      <c r="B354" s="199"/>
      <c r="C354" s="199"/>
      <c r="D354" s="199"/>
      <c r="E354" s="202"/>
      <c r="F354" s="202"/>
      <c r="G354" s="199"/>
      <c r="H354" s="199"/>
      <c r="I354" s="199"/>
      <c r="J354" s="202"/>
      <c r="K354" s="202"/>
      <c r="L354" s="199"/>
      <c r="M354" s="199"/>
      <c r="N354" s="199"/>
      <c r="O354" s="199"/>
      <c r="P354" s="21"/>
      <c r="Q354" s="199"/>
      <c r="R354" s="199"/>
      <c r="S354" s="199"/>
      <c r="T354" s="199"/>
      <c r="U354" s="199"/>
      <c r="V354" s="199"/>
      <c r="W354" s="199"/>
      <c r="X354" s="199"/>
      <c r="Y354" s="199"/>
      <c r="Z354" s="199"/>
    </row>
    <row r="355">
      <c r="A355" s="199"/>
      <c r="B355" s="199"/>
      <c r="C355" s="199"/>
      <c r="D355" s="199"/>
      <c r="E355" s="202"/>
      <c r="F355" s="202"/>
      <c r="G355" s="199"/>
      <c r="H355" s="199"/>
      <c r="I355" s="199"/>
      <c r="J355" s="202"/>
      <c r="K355" s="202"/>
      <c r="L355" s="199"/>
      <c r="M355" s="199"/>
      <c r="N355" s="199"/>
      <c r="O355" s="199"/>
      <c r="P355" s="21"/>
      <c r="Q355" s="199"/>
      <c r="R355" s="199"/>
      <c r="S355" s="199"/>
      <c r="T355" s="199"/>
      <c r="U355" s="199"/>
      <c r="V355" s="199"/>
      <c r="W355" s="199"/>
      <c r="X355" s="199"/>
      <c r="Y355" s="199"/>
      <c r="Z355" s="199"/>
    </row>
    <row r="356">
      <c r="A356" s="199"/>
      <c r="B356" s="199"/>
      <c r="C356" s="199"/>
      <c r="D356" s="199"/>
      <c r="E356" s="202"/>
      <c r="F356" s="202"/>
      <c r="G356" s="199"/>
      <c r="H356" s="199"/>
      <c r="I356" s="199"/>
      <c r="J356" s="202"/>
      <c r="K356" s="202"/>
      <c r="L356" s="199"/>
      <c r="M356" s="199"/>
      <c r="N356" s="199"/>
      <c r="O356" s="199"/>
      <c r="P356" s="21"/>
      <c r="Q356" s="199"/>
      <c r="R356" s="199"/>
      <c r="S356" s="199"/>
      <c r="T356" s="199"/>
      <c r="U356" s="199"/>
      <c r="V356" s="199"/>
      <c r="W356" s="199"/>
      <c r="X356" s="199"/>
      <c r="Y356" s="199"/>
      <c r="Z356" s="199"/>
    </row>
    <row r="357">
      <c r="A357" s="199"/>
      <c r="B357" s="199"/>
      <c r="C357" s="199"/>
      <c r="D357" s="199"/>
      <c r="E357" s="202"/>
      <c r="F357" s="202"/>
      <c r="G357" s="199"/>
      <c r="H357" s="199"/>
      <c r="I357" s="199"/>
      <c r="J357" s="202"/>
      <c r="K357" s="202"/>
      <c r="L357" s="199"/>
      <c r="M357" s="199"/>
      <c r="N357" s="199"/>
      <c r="O357" s="199"/>
      <c r="P357" s="21"/>
      <c r="Q357" s="199"/>
      <c r="R357" s="199"/>
      <c r="S357" s="199"/>
      <c r="T357" s="199"/>
      <c r="U357" s="199"/>
      <c r="V357" s="199"/>
      <c r="W357" s="199"/>
      <c r="X357" s="199"/>
      <c r="Y357" s="199"/>
      <c r="Z357" s="199"/>
    </row>
    <row r="358">
      <c r="A358" s="199"/>
      <c r="B358" s="199"/>
      <c r="C358" s="199"/>
      <c r="D358" s="199"/>
      <c r="E358" s="202"/>
      <c r="F358" s="202"/>
      <c r="G358" s="199"/>
      <c r="H358" s="199"/>
      <c r="I358" s="199"/>
      <c r="J358" s="202"/>
      <c r="K358" s="202"/>
      <c r="L358" s="199"/>
      <c r="M358" s="199"/>
      <c r="N358" s="199"/>
      <c r="O358" s="199"/>
      <c r="P358" s="21"/>
      <c r="Q358" s="199"/>
      <c r="R358" s="199"/>
      <c r="S358" s="199"/>
      <c r="T358" s="199"/>
      <c r="U358" s="199"/>
      <c r="V358" s="199"/>
      <c r="W358" s="199"/>
      <c r="X358" s="199"/>
      <c r="Y358" s="199"/>
      <c r="Z358" s="199"/>
    </row>
    <row r="359">
      <c r="A359" s="199"/>
      <c r="B359" s="199"/>
      <c r="C359" s="199"/>
      <c r="D359" s="199"/>
      <c r="E359" s="202"/>
      <c r="F359" s="202"/>
      <c r="G359" s="199"/>
      <c r="H359" s="199"/>
      <c r="I359" s="199"/>
      <c r="J359" s="202"/>
      <c r="K359" s="202"/>
      <c r="L359" s="199"/>
      <c r="M359" s="199"/>
      <c r="N359" s="199"/>
      <c r="O359" s="199"/>
      <c r="P359" s="21"/>
      <c r="Q359" s="199"/>
      <c r="R359" s="199"/>
      <c r="S359" s="199"/>
      <c r="T359" s="199"/>
      <c r="U359" s="199"/>
      <c r="V359" s="199"/>
      <c r="W359" s="199"/>
      <c r="X359" s="199"/>
      <c r="Y359" s="199"/>
      <c r="Z359" s="199"/>
    </row>
    <row r="360">
      <c r="A360" s="199"/>
      <c r="B360" s="199"/>
      <c r="C360" s="199"/>
      <c r="D360" s="199"/>
      <c r="E360" s="202"/>
      <c r="F360" s="202"/>
      <c r="G360" s="199"/>
      <c r="H360" s="199"/>
      <c r="I360" s="199"/>
      <c r="J360" s="202"/>
      <c r="K360" s="202"/>
      <c r="L360" s="199"/>
      <c r="M360" s="199"/>
      <c r="N360" s="199"/>
      <c r="O360" s="199"/>
      <c r="P360" s="21"/>
      <c r="Q360" s="199"/>
      <c r="R360" s="199"/>
      <c r="S360" s="199"/>
      <c r="T360" s="199"/>
      <c r="U360" s="199"/>
      <c r="V360" s="199"/>
      <c r="W360" s="199"/>
      <c r="X360" s="199"/>
      <c r="Y360" s="199"/>
      <c r="Z360" s="199"/>
    </row>
    <row r="361">
      <c r="A361" s="199"/>
      <c r="B361" s="199"/>
      <c r="C361" s="199"/>
      <c r="D361" s="199"/>
      <c r="E361" s="202"/>
      <c r="F361" s="202"/>
      <c r="G361" s="199"/>
      <c r="H361" s="199"/>
      <c r="I361" s="199"/>
      <c r="J361" s="202"/>
      <c r="K361" s="202"/>
      <c r="L361" s="199"/>
      <c r="M361" s="199"/>
      <c r="N361" s="199"/>
      <c r="O361" s="199"/>
      <c r="P361" s="21"/>
      <c r="Q361" s="199"/>
      <c r="R361" s="199"/>
      <c r="S361" s="199"/>
      <c r="T361" s="199"/>
      <c r="U361" s="199"/>
      <c r="V361" s="199"/>
      <c r="W361" s="199"/>
      <c r="X361" s="199"/>
      <c r="Y361" s="199"/>
      <c r="Z361" s="199"/>
    </row>
    <row r="362">
      <c r="A362" s="199"/>
      <c r="B362" s="199"/>
      <c r="C362" s="199"/>
      <c r="D362" s="199"/>
      <c r="E362" s="202"/>
      <c r="F362" s="202"/>
      <c r="G362" s="199"/>
      <c r="H362" s="199"/>
      <c r="I362" s="199"/>
      <c r="J362" s="202"/>
      <c r="K362" s="202"/>
      <c r="L362" s="199"/>
      <c r="M362" s="199"/>
      <c r="N362" s="199"/>
      <c r="O362" s="199"/>
      <c r="P362" s="21"/>
      <c r="Q362" s="199"/>
      <c r="R362" s="199"/>
      <c r="S362" s="199"/>
      <c r="T362" s="199"/>
      <c r="U362" s="199"/>
      <c r="V362" s="199"/>
      <c r="W362" s="199"/>
      <c r="X362" s="199"/>
      <c r="Y362" s="199"/>
      <c r="Z362" s="199"/>
    </row>
    <row r="363">
      <c r="A363" s="199"/>
      <c r="B363" s="199"/>
      <c r="C363" s="199"/>
      <c r="D363" s="199"/>
      <c r="E363" s="202"/>
      <c r="F363" s="202"/>
      <c r="G363" s="199"/>
      <c r="H363" s="199"/>
      <c r="I363" s="199"/>
      <c r="J363" s="202"/>
      <c r="K363" s="202"/>
      <c r="L363" s="199"/>
      <c r="M363" s="199"/>
      <c r="N363" s="199"/>
      <c r="O363" s="199"/>
      <c r="P363" s="21"/>
      <c r="Q363" s="199"/>
      <c r="R363" s="199"/>
      <c r="S363" s="199"/>
      <c r="T363" s="199"/>
      <c r="U363" s="199"/>
      <c r="V363" s="199"/>
      <c r="W363" s="199"/>
      <c r="X363" s="199"/>
      <c r="Y363" s="199"/>
      <c r="Z363" s="199"/>
    </row>
    <row r="364">
      <c r="A364" s="199"/>
      <c r="B364" s="199"/>
      <c r="C364" s="199"/>
      <c r="D364" s="199"/>
      <c r="E364" s="202"/>
      <c r="F364" s="202"/>
      <c r="G364" s="199"/>
      <c r="H364" s="199"/>
      <c r="I364" s="199"/>
      <c r="J364" s="202"/>
      <c r="K364" s="202"/>
      <c r="L364" s="199"/>
      <c r="M364" s="199"/>
      <c r="N364" s="199"/>
      <c r="O364" s="199"/>
      <c r="P364" s="21"/>
      <c r="Q364" s="199"/>
      <c r="R364" s="199"/>
      <c r="S364" s="199"/>
      <c r="T364" s="199"/>
      <c r="U364" s="199"/>
      <c r="V364" s="199"/>
      <c r="W364" s="199"/>
      <c r="X364" s="199"/>
      <c r="Y364" s="199"/>
      <c r="Z364" s="199"/>
    </row>
    <row r="365">
      <c r="A365" s="199"/>
      <c r="B365" s="199"/>
      <c r="C365" s="199"/>
      <c r="D365" s="199"/>
      <c r="E365" s="202"/>
      <c r="F365" s="202"/>
      <c r="G365" s="199"/>
      <c r="H365" s="199"/>
      <c r="I365" s="199"/>
      <c r="J365" s="202"/>
      <c r="K365" s="202"/>
      <c r="L365" s="199"/>
      <c r="M365" s="199"/>
      <c r="N365" s="199"/>
      <c r="O365" s="199"/>
      <c r="P365" s="21"/>
      <c r="Q365" s="199"/>
      <c r="R365" s="199"/>
      <c r="S365" s="199"/>
      <c r="T365" s="199"/>
      <c r="U365" s="199"/>
      <c r="V365" s="199"/>
      <c r="W365" s="199"/>
      <c r="X365" s="199"/>
      <c r="Y365" s="199"/>
      <c r="Z365" s="199"/>
    </row>
    <row r="366">
      <c r="A366" s="199"/>
      <c r="B366" s="199"/>
      <c r="C366" s="199"/>
      <c r="D366" s="199"/>
      <c r="E366" s="202"/>
      <c r="F366" s="202"/>
      <c r="G366" s="199"/>
      <c r="H366" s="199"/>
      <c r="I366" s="199"/>
      <c r="J366" s="202"/>
      <c r="K366" s="202"/>
      <c r="L366" s="199"/>
      <c r="M366" s="199"/>
      <c r="N366" s="199"/>
      <c r="O366" s="199"/>
      <c r="P366" s="21"/>
      <c r="Q366" s="199"/>
      <c r="R366" s="199"/>
      <c r="S366" s="199"/>
      <c r="T366" s="199"/>
      <c r="U366" s="199"/>
      <c r="V366" s="199"/>
      <c r="W366" s="199"/>
      <c r="X366" s="199"/>
      <c r="Y366" s="199"/>
      <c r="Z366" s="199"/>
    </row>
    <row r="367">
      <c r="A367" s="199"/>
      <c r="B367" s="199"/>
      <c r="C367" s="199"/>
      <c r="D367" s="199"/>
      <c r="E367" s="202"/>
      <c r="F367" s="202"/>
      <c r="G367" s="199"/>
      <c r="H367" s="199"/>
      <c r="I367" s="199"/>
      <c r="J367" s="202"/>
      <c r="K367" s="202"/>
      <c r="L367" s="199"/>
      <c r="M367" s="199"/>
      <c r="N367" s="199"/>
      <c r="O367" s="199"/>
      <c r="P367" s="21"/>
      <c r="Q367" s="199"/>
      <c r="R367" s="199"/>
      <c r="S367" s="199"/>
      <c r="T367" s="199"/>
      <c r="U367" s="199"/>
      <c r="V367" s="199"/>
      <c r="W367" s="199"/>
      <c r="X367" s="199"/>
      <c r="Y367" s="199"/>
      <c r="Z367" s="199"/>
    </row>
    <row r="368">
      <c r="A368" s="199"/>
      <c r="B368" s="199"/>
      <c r="C368" s="199"/>
      <c r="D368" s="199"/>
      <c r="E368" s="202"/>
      <c r="F368" s="202"/>
      <c r="G368" s="199"/>
      <c r="H368" s="199"/>
      <c r="I368" s="199"/>
      <c r="J368" s="202"/>
      <c r="K368" s="202"/>
      <c r="L368" s="199"/>
      <c r="M368" s="199"/>
      <c r="N368" s="199"/>
      <c r="O368" s="199"/>
      <c r="P368" s="21"/>
      <c r="Q368" s="199"/>
      <c r="R368" s="199"/>
      <c r="S368" s="199"/>
      <c r="T368" s="199"/>
      <c r="U368" s="199"/>
      <c r="V368" s="199"/>
      <c r="W368" s="199"/>
      <c r="X368" s="199"/>
      <c r="Y368" s="199"/>
      <c r="Z368" s="199"/>
    </row>
    <row r="369">
      <c r="A369" s="199"/>
      <c r="B369" s="199"/>
      <c r="C369" s="199"/>
      <c r="D369" s="199"/>
      <c r="E369" s="202"/>
      <c r="F369" s="202"/>
      <c r="G369" s="199"/>
      <c r="H369" s="199"/>
      <c r="I369" s="199"/>
      <c r="J369" s="202"/>
      <c r="K369" s="202"/>
      <c r="L369" s="199"/>
      <c r="M369" s="199"/>
      <c r="N369" s="199"/>
      <c r="O369" s="199"/>
      <c r="P369" s="21"/>
      <c r="Q369" s="199"/>
      <c r="R369" s="199"/>
      <c r="S369" s="199"/>
      <c r="T369" s="199"/>
      <c r="U369" s="199"/>
      <c r="V369" s="199"/>
      <c r="W369" s="199"/>
      <c r="X369" s="199"/>
      <c r="Y369" s="199"/>
      <c r="Z369" s="199"/>
    </row>
    <row r="370">
      <c r="A370" s="199"/>
      <c r="B370" s="199"/>
      <c r="C370" s="199"/>
      <c r="D370" s="199"/>
      <c r="E370" s="202"/>
      <c r="F370" s="202"/>
      <c r="G370" s="199"/>
      <c r="H370" s="199"/>
      <c r="I370" s="199"/>
      <c r="J370" s="202"/>
      <c r="K370" s="202"/>
      <c r="L370" s="199"/>
      <c r="M370" s="199"/>
      <c r="N370" s="199"/>
      <c r="O370" s="199"/>
      <c r="P370" s="21"/>
      <c r="Q370" s="199"/>
      <c r="R370" s="199"/>
      <c r="S370" s="199"/>
      <c r="T370" s="199"/>
      <c r="U370" s="199"/>
      <c r="V370" s="199"/>
      <c r="W370" s="199"/>
      <c r="X370" s="199"/>
      <c r="Y370" s="199"/>
      <c r="Z370" s="199"/>
    </row>
    <row r="371">
      <c r="A371" s="199"/>
      <c r="B371" s="199"/>
      <c r="C371" s="199"/>
      <c r="D371" s="199"/>
      <c r="E371" s="202"/>
      <c r="F371" s="202"/>
      <c r="G371" s="199"/>
      <c r="H371" s="199"/>
      <c r="I371" s="199"/>
      <c r="J371" s="202"/>
      <c r="K371" s="202"/>
      <c r="L371" s="199"/>
      <c r="M371" s="199"/>
      <c r="N371" s="199"/>
      <c r="O371" s="199"/>
      <c r="P371" s="21"/>
      <c r="Q371" s="199"/>
      <c r="R371" s="199"/>
      <c r="S371" s="199"/>
      <c r="T371" s="199"/>
      <c r="U371" s="199"/>
      <c r="V371" s="199"/>
      <c r="W371" s="199"/>
      <c r="X371" s="199"/>
      <c r="Y371" s="199"/>
      <c r="Z371" s="199"/>
    </row>
    <row r="372">
      <c r="A372" s="199"/>
      <c r="B372" s="199"/>
      <c r="C372" s="199"/>
      <c r="D372" s="199"/>
      <c r="E372" s="202"/>
      <c r="F372" s="202"/>
      <c r="G372" s="199"/>
      <c r="H372" s="199"/>
      <c r="I372" s="199"/>
      <c r="J372" s="202"/>
      <c r="K372" s="202"/>
      <c r="L372" s="199"/>
      <c r="M372" s="199"/>
      <c r="N372" s="199"/>
      <c r="O372" s="199"/>
      <c r="P372" s="21"/>
      <c r="Q372" s="199"/>
      <c r="R372" s="199"/>
      <c r="S372" s="199"/>
      <c r="T372" s="199"/>
      <c r="U372" s="199"/>
      <c r="V372" s="199"/>
      <c r="W372" s="199"/>
      <c r="X372" s="199"/>
      <c r="Y372" s="199"/>
      <c r="Z372" s="199"/>
    </row>
    <row r="373">
      <c r="A373" s="199"/>
      <c r="B373" s="199"/>
      <c r="C373" s="199"/>
      <c r="D373" s="199"/>
      <c r="E373" s="202"/>
      <c r="F373" s="202"/>
      <c r="G373" s="199"/>
      <c r="H373" s="199"/>
      <c r="I373" s="199"/>
      <c r="J373" s="202"/>
      <c r="K373" s="202"/>
      <c r="L373" s="199"/>
      <c r="M373" s="199"/>
      <c r="N373" s="199"/>
      <c r="O373" s="199"/>
      <c r="P373" s="21"/>
      <c r="Q373" s="199"/>
      <c r="R373" s="199"/>
      <c r="S373" s="199"/>
      <c r="T373" s="199"/>
      <c r="U373" s="199"/>
      <c r="V373" s="199"/>
      <c r="W373" s="199"/>
      <c r="X373" s="199"/>
      <c r="Y373" s="199"/>
      <c r="Z373" s="199"/>
    </row>
    <row r="374">
      <c r="A374" s="199"/>
      <c r="B374" s="199"/>
      <c r="C374" s="199"/>
      <c r="D374" s="199"/>
      <c r="E374" s="202"/>
      <c r="F374" s="202"/>
      <c r="G374" s="199"/>
      <c r="H374" s="199"/>
      <c r="I374" s="199"/>
      <c r="J374" s="202"/>
      <c r="K374" s="202"/>
      <c r="L374" s="199"/>
      <c r="M374" s="199"/>
      <c r="N374" s="199"/>
      <c r="O374" s="199"/>
      <c r="P374" s="21"/>
      <c r="Q374" s="199"/>
      <c r="R374" s="199"/>
      <c r="S374" s="199"/>
      <c r="T374" s="199"/>
      <c r="U374" s="199"/>
      <c r="V374" s="199"/>
      <c r="W374" s="199"/>
      <c r="X374" s="199"/>
      <c r="Y374" s="199"/>
      <c r="Z374" s="199"/>
    </row>
    <row r="375">
      <c r="A375" s="199"/>
      <c r="B375" s="199"/>
      <c r="C375" s="199"/>
      <c r="D375" s="199"/>
      <c r="E375" s="202"/>
      <c r="F375" s="202"/>
      <c r="G375" s="199"/>
      <c r="H375" s="199"/>
      <c r="I375" s="199"/>
      <c r="J375" s="202"/>
      <c r="K375" s="202"/>
      <c r="L375" s="199"/>
      <c r="M375" s="199"/>
      <c r="N375" s="199"/>
      <c r="O375" s="199"/>
      <c r="P375" s="21"/>
      <c r="Q375" s="199"/>
      <c r="R375" s="199"/>
      <c r="S375" s="199"/>
      <c r="T375" s="199"/>
      <c r="U375" s="199"/>
      <c r="V375" s="199"/>
      <c r="W375" s="199"/>
      <c r="X375" s="199"/>
      <c r="Y375" s="199"/>
      <c r="Z375" s="199"/>
    </row>
    <row r="376">
      <c r="A376" s="199"/>
      <c r="B376" s="199"/>
      <c r="C376" s="199"/>
      <c r="D376" s="199"/>
      <c r="E376" s="202"/>
      <c r="F376" s="202"/>
      <c r="G376" s="199"/>
      <c r="H376" s="199"/>
      <c r="I376" s="199"/>
      <c r="J376" s="202"/>
      <c r="K376" s="202"/>
      <c r="L376" s="199"/>
      <c r="M376" s="199"/>
      <c r="N376" s="199"/>
      <c r="O376" s="199"/>
      <c r="P376" s="21"/>
      <c r="Q376" s="199"/>
      <c r="R376" s="199"/>
      <c r="S376" s="199"/>
      <c r="T376" s="199"/>
      <c r="U376" s="199"/>
      <c r="V376" s="199"/>
      <c r="W376" s="199"/>
      <c r="X376" s="199"/>
      <c r="Y376" s="199"/>
      <c r="Z376" s="199"/>
    </row>
    <row r="377">
      <c r="A377" s="199"/>
      <c r="B377" s="199"/>
      <c r="C377" s="199"/>
      <c r="D377" s="199"/>
      <c r="E377" s="202"/>
      <c r="F377" s="202"/>
      <c r="G377" s="199"/>
      <c r="H377" s="199"/>
      <c r="I377" s="199"/>
      <c r="J377" s="202"/>
      <c r="K377" s="202"/>
      <c r="L377" s="199"/>
      <c r="M377" s="199"/>
      <c r="N377" s="199"/>
      <c r="O377" s="199"/>
      <c r="P377" s="21"/>
      <c r="Q377" s="199"/>
      <c r="R377" s="199"/>
      <c r="S377" s="199"/>
      <c r="T377" s="199"/>
      <c r="U377" s="199"/>
      <c r="V377" s="199"/>
      <c r="W377" s="199"/>
      <c r="X377" s="199"/>
      <c r="Y377" s="199"/>
      <c r="Z377" s="199"/>
    </row>
    <row r="378">
      <c r="A378" s="199"/>
      <c r="B378" s="199"/>
      <c r="C378" s="199"/>
      <c r="D378" s="199"/>
      <c r="E378" s="202"/>
      <c r="F378" s="202"/>
      <c r="G378" s="199"/>
      <c r="H378" s="199"/>
      <c r="I378" s="199"/>
      <c r="J378" s="202"/>
      <c r="K378" s="202"/>
      <c r="L378" s="199"/>
      <c r="M378" s="199"/>
      <c r="N378" s="199"/>
      <c r="O378" s="199"/>
      <c r="P378" s="21"/>
      <c r="Q378" s="199"/>
      <c r="R378" s="199"/>
      <c r="S378" s="199"/>
      <c r="T378" s="199"/>
      <c r="U378" s="199"/>
      <c r="V378" s="199"/>
      <c r="W378" s="199"/>
      <c r="X378" s="199"/>
      <c r="Y378" s="199"/>
      <c r="Z378" s="199"/>
    </row>
    <row r="379">
      <c r="A379" s="199"/>
      <c r="B379" s="199"/>
      <c r="C379" s="199"/>
      <c r="D379" s="199"/>
      <c r="E379" s="202"/>
      <c r="F379" s="202"/>
      <c r="G379" s="199"/>
      <c r="H379" s="199"/>
      <c r="I379" s="199"/>
      <c r="J379" s="202"/>
      <c r="K379" s="202"/>
      <c r="L379" s="199"/>
      <c r="M379" s="199"/>
      <c r="N379" s="199"/>
      <c r="O379" s="199"/>
      <c r="P379" s="21"/>
      <c r="Q379" s="199"/>
      <c r="R379" s="199"/>
      <c r="S379" s="199"/>
      <c r="T379" s="199"/>
      <c r="U379" s="199"/>
      <c r="V379" s="199"/>
      <c r="W379" s="199"/>
      <c r="X379" s="199"/>
      <c r="Y379" s="199"/>
      <c r="Z379" s="199"/>
    </row>
    <row r="380">
      <c r="A380" s="199"/>
      <c r="B380" s="199"/>
      <c r="C380" s="199"/>
      <c r="D380" s="199"/>
      <c r="E380" s="202"/>
      <c r="F380" s="202"/>
      <c r="G380" s="199"/>
      <c r="H380" s="199"/>
      <c r="I380" s="199"/>
      <c r="J380" s="202"/>
      <c r="K380" s="202"/>
      <c r="L380" s="199"/>
      <c r="M380" s="199"/>
      <c r="N380" s="199"/>
      <c r="O380" s="199"/>
      <c r="P380" s="21"/>
      <c r="Q380" s="199"/>
      <c r="R380" s="199"/>
      <c r="S380" s="199"/>
      <c r="T380" s="199"/>
      <c r="U380" s="199"/>
      <c r="V380" s="199"/>
      <c r="W380" s="199"/>
      <c r="X380" s="199"/>
      <c r="Y380" s="199"/>
      <c r="Z380" s="199"/>
    </row>
    <row r="381">
      <c r="A381" s="199"/>
      <c r="B381" s="199"/>
      <c r="C381" s="199"/>
      <c r="D381" s="199"/>
      <c r="E381" s="202"/>
      <c r="F381" s="202"/>
      <c r="G381" s="199"/>
      <c r="H381" s="199"/>
      <c r="I381" s="199"/>
      <c r="J381" s="202"/>
      <c r="K381" s="202"/>
      <c r="L381" s="199"/>
      <c r="M381" s="199"/>
      <c r="N381" s="199"/>
      <c r="O381" s="199"/>
      <c r="P381" s="21"/>
      <c r="Q381" s="199"/>
      <c r="R381" s="199"/>
      <c r="S381" s="199"/>
      <c r="T381" s="199"/>
      <c r="U381" s="199"/>
      <c r="V381" s="199"/>
      <c r="W381" s="199"/>
      <c r="X381" s="199"/>
      <c r="Y381" s="199"/>
      <c r="Z381" s="199"/>
    </row>
    <row r="382">
      <c r="A382" s="199"/>
      <c r="B382" s="199"/>
      <c r="C382" s="199"/>
      <c r="D382" s="199"/>
      <c r="E382" s="202"/>
      <c r="F382" s="202"/>
      <c r="G382" s="199"/>
      <c r="H382" s="199"/>
      <c r="I382" s="199"/>
      <c r="J382" s="202"/>
      <c r="K382" s="202"/>
      <c r="L382" s="199"/>
      <c r="M382" s="199"/>
      <c r="N382" s="199"/>
      <c r="O382" s="199"/>
      <c r="P382" s="21"/>
      <c r="Q382" s="199"/>
      <c r="R382" s="199"/>
      <c r="S382" s="199"/>
      <c r="T382" s="199"/>
      <c r="U382" s="199"/>
      <c r="V382" s="199"/>
      <c r="W382" s="199"/>
      <c r="X382" s="199"/>
      <c r="Y382" s="199"/>
      <c r="Z382" s="199"/>
    </row>
    <row r="383">
      <c r="A383" s="199"/>
      <c r="B383" s="199"/>
      <c r="C383" s="199"/>
      <c r="D383" s="199"/>
      <c r="E383" s="202"/>
      <c r="F383" s="202"/>
      <c r="G383" s="199"/>
      <c r="H383" s="199"/>
      <c r="I383" s="199"/>
      <c r="J383" s="202"/>
      <c r="K383" s="202"/>
      <c r="L383" s="199"/>
      <c r="M383" s="199"/>
      <c r="N383" s="199"/>
      <c r="O383" s="199"/>
      <c r="P383" s="21"/>
      <c r="Q383" s="199"/>
      <c r="R383" s="199"/>
      <c r="S383" s="199"/>
      <c r="T383" s="199"/>
      <c r="U383" s="199"/>
      <c r="V383" s="199"/>
      <c r="W383" s="199"/>
      <c r="X383" s="199"/>
      <c r="Y383" s="199"/>
      <c r="Z383" s="199"/>
    </row>
    <row r="384">
      <c r="A384" s="199"/>
      <c r="B384" s="199"/>
      <c r="C384" s="199"/>
      <c r="D384" s="199"/>
      <c r="E384" s="202"/>
      <c r="F384" s="202"/>
      <c r="G384" s="199"/>
      <c r="H384" s="199"/>
      <c r="I384" s="199"/>
      <c r="J384" s="202"/>
      <c r="K384" s="202"/>
      <c r="L384" s="199"/>
      <c r="M384" s="199"/>
      <c r="N384" s="199"/>
      <c r="O384" s="199"/>
      <c r="P384" s="21"/>
      <c r="Q384" s="199"/>
      <c r="R384" s="199"/>
      <c r="S384" s="199"/>
      <c r="T384" s="199"/>
      <c r="U384" s="199"/>
      <c r="V384" s="199"/>
      <c r="W384" s="199"/>
      <c r="X384" s="199"/>
      <c r="Y384" s="199"/>
      <c r="Z384" s="199"/>
    </row>
    <row r="385">
      <c r="A385" s="199"/>
      <c r="B385" s="199"/>
      <c r="C385" s="199"/>
      <c r="D385" s="199"/>
      <c r="E385" s="202"/>
      <c r="F385" s="202"/>
      <c r="G385" s="199"/>
      <c r="H385" s="199"/>
      <c r="I385" s="199"/>
      <c r="J385" s="202"/>
      <c r="K385" s="202"/>
      <c r="L385" s="199"/>
      <c r="M385" s="199"/>
      <c r="N385" s="199"/>
      <c r="O385" s="199"/>
      <c r="P385" s="21"/>
      <c r="Q385" s="199"/>
      <c r="R385" s="199"/>
      <c r="S385" s="199"/>
      <c r="T385" s="199"/>
      <c r="U385" s="199"/>
      <c r="V385" s="199"/>
      <c r="W385" s="199"/>
      <c r="X385" s="199"/>
      <c r="Y385" s="199"/>
      <c r="Z385" s="199"/>
    </row>
    <row r="386">
      <c r="A386" s="199"/>
      <c r="B386" s="199"/>
      <c r="C386" s="199"/>
      <c r="D386" s="199"/>
      <c r="E386" s="202"/>
      <c r="F386" s="202"/>
      <c r="G386" s="199"/>
      <c r="H386" s="199"/>
      <c r="I386" s="199"/>
      <c r="J386" s="202"/>
      <c r="K386" s="202"/>
      <c r="L386" s="199"/>
      <c r="M386" s="199"/>
      <c r="N386" s="199"/>
      <c r="O386" s="199"/>
      <c r="P386" s="21"/>
      <c r="Q386" s="199"/>
      <c r="R386" s="199"/>
      <c r="S386" s="199"/>
      <c r="T386" s="199"/>
      <c r="U386" s="199"/>
      <c r="V386" s="199"/>
      <c r="W386" s="199"/>
      <c r="X386" s="199"/>
      <c r="Y386" s="199"/>
      <c r="Z386" s="199"/>
    </row>
    <row r="387">
      <c r="A387" s="199"/>
      <c r="B387" s="199"/>
      <c r="C387" s="199"/>
      <c r="D387" s="199"/>
      <c r="E387" s="202"/>
      <c r="F387" s="202"/>
      <c r="G387" s="199"/>
      <c r="H387" s="199"/>
      <c r="I387" s="199"/>
      <c r="J387" s="202"/>
      <c r="K387" s="202"/>
      <c r="L387" s="199"/>
      <c r="M387" s="199"/>
      <c r="N387" s="199"/>
      <c r="O387" s="199"/>
      <c r="P387" s="21"/>
      <c r="Q387" s="199"/>
      <c r="R387" s="199"/>
      <c r="S387" s="199"/>
      <c r="T387" s="199"/>
      <c r="U387" s="199"/>
      <c r="V387" s="199"/>
      <c r="W387" s="199"/>
      <c r="X387" s="199"/>
      <c r="Y387" s="199"/>
      <c r="Z387" s="199"/>
    </row>
    <row r="388">
      <c r="A388" s="199"/>
      <c r="B388" s="199"/>
      <c r="C388" s="199"/>
      <c r="D388" s="199"/>
      <c r="E388" s="202"/>
      <c r="F388" s="202"/>
      <c r="G388" s="199"/>
      <c r="H388" s="199"/>
      <c r="I388" s="199"/>
      <c r="J388" s="202"/>
      <c r="K388" s="202"/>
      <c r="L388" s="199"/>
      <c r="M388" s="199"/>
      <c r="N388" s="199"/>
      <c r="O388" s="199"/>
      <c r="P388" s="21"/>
      <c r="Q388" s="199"/>
      <c r="R388" s="199"/>
      <c r="S388" s="199"/>
      <c r="T388" s="199"/>
      <c r="U388" s="199"/>
      <c r="V388" s="199"/>
      <c r="W388" s="199"/>
      <c r="X388" s="199"/>
      <c r="Y388" s="199"/>
      <c r="Z388" s="199"/>
    </row>
    <row r="389">
      <c r="A389" s="199"/>
      <c r="B389" s="199"/>
      <c r="C389" s="199"/>
      <c r="D389" s="199"/>
      <c r="E389" s="202"/>
      <c r="F389" s="202"/>
      <c r="G389" s="199"/>
      <c r="H389" s="199"/>
      <c r="I389" s="199"/>
      <c r="J389" s="202"/>
      <c r="K389" s="202"/>
      <c r="L389" s="199"/>
      <c r="M389" s="199"/>
      <c r="N389" s="199"/>
      <c r="O389" s="199"/>
      <c r="P389" s="21"/>
      <c r="Q389" s="199"/>
      <c r="R389" s="199"/>
      <c r="S389" s="199"/>
      <c r="T389" s="199"/>
      <c r="U389" s="199"/>
      <c r="V389" s="199"/>
      <c r="W389" s="199"/>
      <c r="X389" s="199"/>
      <c r="Y389" s="199"/>
      <c r="Z389" s="199"/>
    </row>
    <row r="390">
      <c r="A390" s="199"/>
      <c r="B390" s="199"/>
      <c r="C390" s="199"/>
      <c r="D390" s="199"/>
      <c r="E390" s="202"/>
      <c r="F390" s="202"/>
      <c r="G390" s="199"/>
      <c r="H390" s="199"/>
      <c r="I390" s="199"/>
      <c r="J390" s="202"/>
      <c r="K390" s="202"/>
      <c r="L390" s="199"/>
      <c r="M390" s="199"/>
      <c r="N390" s="199"/>
      <c r="O390" s="199"/>
      <c r="P390" s="21"/>
      <c r="Q390" s="199"/>
      <c r="R390" s="199"/>
      <c r="S390" s="199"/>
      <c r="T390" s="199"/>
      <c r="U390" s="199"/>
      <c r="V390" s="199"/>
      <c r="W390" s="199"/>
      <c r="X390" s="199"/>
      <c r="Y390" s="199"/>
      <c r="Z390" s="199"/>
    </row>
    <row r="391">
      <c r="A391" s="199"/>
      <c r="B391" s="199"/>
      <c r="C391" s="199"/>
      <c r="D391" s="199"/>
      <c r="E391" s="202"/>
      <c r="F391" s="202"/>
      <c r="G391" s="199"/>
      <c r="H391" s="199"/>
      <c r="I391" s="199"/>
      <c r="J391" s="202"/>
      <c r="K391" s="202"/>
      <c r="L391" s="199"/>
      <c r="M391" s="199"/>
      <c r="N391" s="199"/>
      <c r="O391" s="199"/>
      <c r="P391" s="21"/>
      <c r="Q391" s="199"/>
      <c r="R391" s="199"/>
      <c r="S391" s="199"/>
      <c r="T391" s="199"/>
      <c r="U391" s="199"/>
      <c r="V391" s="199"/>
      <c r="W391" s="199"/>
      <c r="X391" s="199"/>
      <c r="Y391" s="199"/>
      <c r="Z391" s="199"/>
    </row>
    <row r="392">
      <c r="A392" s="199"/>
      <c r="B392" s="199"/>
      <c r="C392" s="199"/>
      <c r="D392" s="199"/>
      <c r="E392" s="202"/>
      <c r="F392" s="202"/>
      <c r="G392" s="199"/>
      <c r="H392" s="199"/>
      <c r="I392" s="199"/>
      <c r="J392" s="202"/>
      <c r="K392" s="202"/>
      <c r="L392" s="199"/>
      <c r="M392" s="199"/>
      <c r="N392" s="199"/>
      <c r="O392" s="199"/>
      <c r="P392" s="21"/>
      <c r="Q392" s="199"/>
      <c r="R392" s="199"/>
      <c r="S392" s="199"/>
      <c r="T392" s="199"/>
      <c r="U392" s="199"/>
      <c r="V392" s="199"/>
      <c r="W392" s="199"/>
      <c r="X392" s="199"/>
      <c r="Y392" s="199"/>
      <c r="Z392" s="199"/>
    </row>
    <row r="393">
      <c r="A393" s="199"/>
      <c r="B393" s="199"/>
      <c r="C393" s="199"/>
      <c r="D393" s="199"/>
      <c r="E393" s="202"/>
      <c r="F393" s="202"/>
      <c r="G393" s="199"/>
      <c r="H393" s="199"/>
      <c r="I393" s="199"/>
      <c r="J393" s="202"/>
      <c r="K393" s="202"/>
      <c r="L393" s="199"/>
      <c r="M393" s="199"/>
      <c r="N393" s="199"/>
      <c r="O393" s="199"/>
      <c r="P393" s="21"/>
      <c r="Q393" s="199"/>
      <c r="R393" s="199"/>
      <c r="S393" s="199"/>
      <c r="T393" s="199"/>
      <c r="U393" s="199"/>
      <c r="V393" s="199"/>
      <c r="W393" s="199"/>
      <c r="X393" s="199"/>
      <c r="Y393" s="199"/>
      <c r="Z393" s="199"/>
    </row>
    <row r="394">
      <c r="A394" s="199"/>
      <c r="B394" s="199"/>
      <c r="C394" s="199"/>
      <c r="D394" s="199"/>
      <c r="E394" s="202"/>
      <c r="F394" s="202"/>
      <c r="G394" s="199"/>
      <c r="H394" s="199"/>
      <c r="I394" s="199"/>
      <c r="J394" s="202"/>
      <c r="K394" s="202"/>
      <c r="L394" s="199"/>
      <c r="M394" s="199"/>
      <c r="N394" s="199"/>
      <c r="O394" s="199"/>
      <c r="P394" s="21"/>
      <c r="Q394" s="199"/>
      <c r="R394" s="199"/>
      <c r="S394" s="199"/>
      <c r="T394" s="199"/>
      <c r="U394" s="199"/>
      <c r="V394" s="199"/>
      <c r="W394" s="199"/>
      <c r="X394" s="199"/>
      <c r="Y394" s="199"/>
      <c r="Z394" s="199"/>
    </row>
    <row r="395">
      <c r="A395" s="199"/>
      <c r="B395" s="199"/>
      <c r="C395" s="199"/>
      <c r="D395" s="199"/>
      <c r="E395" s="202"/>
      <c r="F395" s="202"/>
      <c r="G395" s="199"/>
      <c r="H395" s="199"/>
      <c r="I395" s="199"/>
      <c r="J395" s="202"/>
      <c r="K395" s="202"/>
      <c r="L395" s="199"/>
      <c r="M395" s="199"/>
      <c r="N395" s="199"/>
      <c r="O395" s="199"/>
      <c r="P395" s="21"/>
      <c r="Q395" s="199"/>
      <c r="R395" s="199"/>
      <c r="S395" s="199"/>
      <c r="T395" s="199"/>
      <c r="U395" s="199"/>
      <c r="V395" s="199"/>
      <c r="W395" s="199"/>
      <c r="X395" s="199"/>
      <c r="Y395" s="199"/>
      <c r="Z395" s="199"/>
    </row>
    <row r="396">
      <c r="A396" s="199"/>
      <c r="B396" s="199"/>
      <c r="C396" s="199"/>
      <c r="D396" s="199"/>
      <c r="E396" s="202"/>
      <c r="F396" s="202"/>
      <c r="G396" s="199"/>
      <c r="H396" s="199"/>
      <c r="I396" s="199"/>
      <c r="J396" s="202"/>
      <c r="K396" s="202"/>
      <c r="L396" s="199"/>
      <c r="M396" s="199"/>
      <c r="N396" s="199"/>
      <c r="O396" s="199"/>
      <c r="P396" s="21"/>
      <c r="Q396" s="199"/>
      <c r="R396" s="199"/>
      <c r="S396" s="199"/>
      <c r="T396" s="199"/>
      <c r="U396" s="199"/>
      <c r="V396" s="199"/>
      <c r="W396" s="199"/>
      <c r="X396" s="199"/>
      <c r="Y396" s="199"/>
      <c r="Z396" s="199"/>
    </row>
    <row r="397">
      <c r="A397" s="199"/>
      <c r="B397" s="199"/>
      <c r="C397" s="199"/>
      <c r="D397" s="199"/>
      <c r="E397" s="202"/>
      <c r="F397" s="202"/>
      <c r="G397" s="199"/>
      <c r="H397" s="199"/>
      <c r="I397" s="199"/>
      <c r="J397" s="202"/>
      <c r="K397" s="202"/>
      <c r="L397" s="199"/>
      <c r="M397" s="199"/>
      <c r="N397" s="199"/>
      <c r="O397" s="199"/>
      <c r="P397" s="21"/>
      <c r="Q397" s="199"/>
      <c r="R397" s="199"/>
      <c r="S397" s="199"/>
      <c r="T397" s="199"/>
      <c r="U397" s="199"/>
      <c r="V397" s="199"/>
      <c r="W397" s="199"/>
      <c r="X397" s="199"/>
      <c r="Y397" s="199"/>
      <c r="Z397" s="199"/>
    </row>
    <row r="398">
      <c r="A398" s="199"/>
      <c r="B398" s="199"/>
      <c r="C398" s="199"/>
      <c r="D398" s="199"/>
      <c r="E398" s="202"/>
      <c r="F398" s="202"/>
      <c r="G398" s="199"/>
      <c r="H398" s="199"/>
      <c r="I398" s="199"/>
      <c r="J398" s="202"/>
      <c r="K398" s="202"/>
      <c r="L398" s="199"/>
      <c r="M398" s="199"/>
      <c r="N398" s="199"/>
      <c r="O398" s="199"/>
      <c r="P398" s="21"/>
      <c r="Q398" s="199"/>
      <c r="R398" s="199"/>
      <c r="S398" s="199"/>
      <c r="T398" s="199"/>
      <c r="U398" s="199"/>
      <c r="V398" s="199"/>
      <c r="W398" s="199"/>
      <c r="X398" s="199"/>
      <c r="Y398" s="199"/>
      <c r="Z398" s="199"/>
    </row>
    <row r="399">
      <c r="A399" s="199"/>
      <c r="B399" s="199"/>
      <c r="C399" s="199"/>
      <c r="D399" s="199"/>
      <c r="E399" s="202"/>
      <c r="F399" s="202"/>
      <c r="G399" s="199"/>
      <c r="H399" s="199"/>
      <c r="I399" s="199"/>
      <c r="J399" s="202"/>
      <c r="K399" s="202"/>
      <c r="L399" s="199"/>
      <c r="M399" s="199"/>
      <c r="N399" s="199"/>
      <c r="O399" s="199"/>
      <c r="P399" s="21"/>
      <c r="Q399" s="199"/>
      <c r="R399" s="199"/>
      <c r="S399" s="199"/>
      <c r="T399" s="199"/>
      <c r="U399" s="199"/>
      <c r="V399" s="199"/>
      <c r="W399" s="199"/>
      <c r="X399" s="199"/>
      <c r="Y399" s="199"/>
      <c r="Z399" s="199"/>
    </row>
    <row r="400">
      <c r="A400" s="199"/>
      <c r="B400" s="199"/>
      <c r="C400" s="199"/>
      <c r="D400" s="199"/>
      <c r="E400" s="202"/>
      <c r="F400" s="202"/>
      <c r="G400" s="199"/>
      <c r="H400" s="199"/>
      <c r="I400" s="199"/>
      <c r="J400" s="202"/>
      <c r="K400" s="202"/>
      <c r="L400" s="199"/>
      <c r="M400" s="199"/>
      <c r="N400" s="199"/>
      <c r="O400" s="199"/>
      <c r="P400" s="21"/>
      <c r="Q400" s="199"/>
      <c r="R400" s="199"/>
      <c r="S400" s="199"/>
      <c r="T400" s="199"/>
      <c r="U400" s="199"/>
      <c r="V400" s="199"/>
      <c r="W400" s="199"/>
      <c r="X400" s="199"/>
      <c r="Y400" s="199"/>
      <c r="Z400" s="199"/>
    </row>
    <row r="401">
      <c r="A401" s="199"/>
      <c r="B401" s="199"/>
      <c r="C401" s="199"/>
      <c r="D401" s="199"/>
      <c r="E401" s="202"/>
      <c r="F401" s="202"/>
      <c r="G401" s="199"/>
      <c r="H401" s="199"/>
      <c r="I401" s="199"/>
      <c r="J401" s="202"/>
      <c r="K401" s="202"/>
      <c r="L401" s="199"/>
      <c r="M401" s="199"/>
      <c r="N401" s="199"/>
      <c r="O401" s="199"/>
      <c r="P401" s="21"/>
      <c r="Q401" s="199"/>
      <c r="R401" s="199"/>
      <c r="S401" s="199"/>
      <c r="T401" s="199"/>
      <c r="U401" s="199"/>
      <c r="V401" s="199"/>
      <c r="W401" s="199"/>
      <c r="X401" s="199"/>
      <c r="Y401" s="199"/>
      <c r="Z401" s="199"/>
    </row>
    <row r="402">
      <c r="A402" s="199"/>
      <c r="B402" s="199"/>
      <c r="C402" s="199"/>
      <c r="D402" s="199"/>
      <c r="E402" s="202"/>
      <c r="F402" s="202"/>
      <c r="G402" s="199"/>
      <c r="H402" s="199"/>
      <c r="I402" s="199"/>
      <c r="J402" s="202"/>
      <c r="K402" s="202"/>
      <c r="L402" s="199"/>
      <c r="M402" s="199"/>
      <c r="N402" s="199"/>
      <c r="O402" s="199"/>
      <c r="P402" s="21"/>
      <c r="Q402" s="199"/>
      <c r="R402" s="199"/>
      <c r="S402" s="199"/>
      <c r="T402" s="199"/>
      <c r="U402" s="199"/>
      <c r="V402" s="199"/>
      <c r="W402" s="199"/>
      <c r="X402" s="199"/>
      <c r="Y402" s="199"/>
      <c r="Z402" s="199"/>
    </row>
    <row r="403">
      <c r="A403" s="199"/>
      <c r="B403" s="199"/>
      <c r="C403" s="199"/>
      <c r="D403" s="199"/>
      <c r="E403" s="202"/>
      <c r="F403" s="202"/>
      <c r="G403" s="199"/>
      <c r="H403" s="199"/>
      <c r="I403" s="199"/>
      <c r="J403" s="202"/>
      <c r="K403" s="202"/>
      <c r="L403" s="199"/>
      <c r="M403" s="199"/>
      <c r="N403" s="199"/>
      <c r="O403" s="199"/>
      <c r="P403" s="21"/>
      <c r="Q403" s="199"/>
      <c r="R403" s="199"/>
      <c r="S403" s="199"/>
      <c r="T403" s="199"/>
      <c r="U403" s="199"/>
      <c r="V403" s="199"/>
      <c r="W403" s="199"/>
      <c r="X403" s="199"/>
      <c r="Y403" s="199"/>
      <c r="Z403" s="199"/>
    </row>
    <row r="404">
      <c r="A404" s="199"/>
      <c r="B404" s="199"/>
      <c r="C404" s="199"/>
      <c r="D404" s="199"/>
      <c r="E404" s="202"/>
      <c r="F404" s="202"/>
      <c r="G404" s="199"/>
      <c r="H404" s="199"/>
      <c r="I404" s="199"/>
      <c r="J404" s="202"/>
      <c r="K404" s="202"/>
      <c r="L404" s="199"/>
      <c r="M404" s="199"/>
      <c r="N404" s="199"/>
      <c r="O404" s="199"/>
      <c r="P404" s="21"/>
      <c r="Q404" s="199"/>
      <c r="R404" s="199"/>
      <c r="S404" s="199"/>
      <c r="T404" s="199"/>
      <c r="U404" s="199"/>
      <c r="V404" s="199"/>
      <c r="W404" s="199"/>
      <c r="X404" s="199"/>
      <c r="Y404" s="199"/>
      <c r="Z404" s="199"/>
    </row>
    <row r="405">
      <c r="A405" s="199"/>
      <c r="B405" s="199"/>
      <c r="C405" s="199"/>
      <c r="D405" s="199"/>
      <c r="E405" s="202"/>
      <c r="F405" s="202"/>
      <c r="G405" s="199"/>
      <c r="H405" s="199"/>
      <c r="I405" s="199"/>
      <c r="J405" s="202"/>
      <c r="K405" s="202"/>
      <c r="L405" s="199"/>
      <c r="M405" s="199"/>
      <c r="N405" s="199"/>
      <c r="O405" s="199"/>
      <c r="P405" s="21"/>
      <c r="Q405" s="199"/>
      <c r="R405" s="199"/>
      <c r="S405" s="199"/>
      <c r="T405" s="199"/>
      <c r="U405" s="199"/>
      <c r="V405" s="199"/>
      <c r="W405" s="199"/>
      <c r="X405" s="199"/>
      <c r="Y405" s="199"/>
      <c r="Z405" s="199"/>
    </row>
    <row r="406">
      <c r="A406" s="199"/>
      <c r="B406" s="199"/>
      <c r="C406" s="199"/>
      <c r="D406" s="199"/>
      <c r="E406" s="202"/>
      <c r="F406" s="202"/>
      <c r="G406" s="199"/>
      <c r="H406" s="199"/>
      <c r="I406" s="199"/>
      <c r="J406" s="202"/>
      <c r="K406" s="202"/>
      <c r="L406" s="199"/>
      <c r="M406" s="199"/>
      <c r="N406" s="199"/>
      <c r="O406" s="199"/>
      <c r="P406" s="21"/>
      <c r="Q406" s="199"/>
      <c r="R406" s="199"/>
      <c r="S406" s="199"/>
      <c r="T406" s="199"/>
      <c r="U406" s="199"/>
      <c r="V406" s="199"/>
      <c r="W406" s="199"/>
      <c r="X406" s="199"/>
      <c r="Y406" s="199"/>
      <c r="Z406" s="199"/>
    </row>
    <row r="407">
      <c r="A407" s="199"/>
      <c r="B407" s="199"/>
      <c r="C407" s="199"/>
      <c r="D407" s="199"/>
      <c r="E407" s="202"/>
      <c r="F407" s="202"/>
      <c r="G407" s="199"/>
      <c r="H407" s="199"/>
      <c r="I407" s="199"/>
      <c r="J407" s="202"/>
      <c r="K407" s="202"/>
      <c r="L407" s="199"/>
      <c r="M407" s="199"/>
      <c r="N407" s="199"/>
      <c r="O407" s="199"/>
      <c r="P407" s="21"/>
      <c r="Q407" s="199"/>
      <c r="R407" s="199"/>
      <c r="S407" s="199"/>
      <c r="T407" s="199"/>
      <c r="U407" s="199"/>
      <c r="V407" s="199"/>
      <c r="W407" s="199"/>
      <c r="X407" s="199"/>
      <c r="Y407" s="199"/>
      <c r="Z407" s="199"/>
    </row>
    <row r="408">
      <c r="A408" s="199"/>
      <c r="B408" s="199"/>
      <c r="C408" s="199"/>
      <c r="D408" s="199"/>
      <c r="E408" s="202"/>
      <c r="F408" s="202"/>
      <c r="G408" s="199"/>
      <c r="H408" s="199"/>
      <c r="I408" s="199"/>
      <c r="J408" s="202"/>
      <c r="K408" s="202"/>
      <c r="L408" s="199"/>
      <c r="M408" s="199"/>
      <c r="N408" s="199"/>
      <c r="O408" s="199"/>
      <c r="P408" s="21"/>
      <c r="Q408" s="199"/>
      <c r="R408" s="199"/>
      <c r="S408" s="199"/>
      <c r="T408" s="199"/>
      <c r="U408" s="199"/>
      <c r="V408" s="199"/>
      <c r="W408" s="199"/>
      <c r="X408" s="199"/>
      <c r="Y408" s="199"/>
      <c r="Z408" s="199"/>
    </row>
    <row r="409">
      <c r="A409" s="199"/>
      <c r="B409" s="199"/>
      <c r="C409" s="199"/>
      <c r="D409" s="199"/>
      <c r="E409" s="202"/>
      <c r="F409" s="202"/>
      <c r="G409" s="199"/>
      <c r="H409" s="199"/>
      <c r="I409" s="199"/>
      <c r="J409" s="202"/>
      <c r="K409" s="202"/>
      <c r="L409" s="199"/>
      <c r="M409" s="199"/>
      <c r="N409" s="199"/>
      <c r="O409" s="199"/>
      <c r="P409" s="21"/>
      <c r="Q409" s="199"/>
      <c r="R409" s="199"/>
      <c r="S409" s="199"/>
      <c r="T409" s="199"/>
      <c r="U409" s="199"/>
      <c r="V409" s="199"/>
      <c r="W409" s="199"/>
      <c r="X409" s="199"/>
      <c r="Y409" s="199"/>
      <c r="Z409" s="199"/>
    </row>
    <row r="410">
      <c r="A410" s="199"/>
      <c r="B410" s="199"/>
      <c r="C410" s="199"/>
      <c r="D410" s="199"/>
      <c r="E410" s="202"/>
      <c r="F410" s="202"/>
      <c r="G410" s="199"/>
      <c r="H410" s="199"/>
      <c r="I410" s="199"/>
      <c r="J410" s="202"/>
      <c r="K410" s="202"/>
      <c r="L410" s="199"/>
      <c r="M410" s="199"/>
      <c r="N410" s="199"/>
      <c r="O410" s="199"/>
      <c r="P410" s="21"/>
      <c r="Q410" s="199"/>
      <c r="R410" s="199"/>
      <c r="S410" s="199"/>
      <c r="T410" s="199"/>
      <c r="U410" s="199"/>
      <c r="V410" s="199"/>
      <c r="W410" s="199"/>
      <c r="X410" s="199"/>
      <c r="Y410" s="199"/>
      <c r="Z410" s="199"/>
    </row>
    <row r="411">
      <c r="A411" s="199"/>
      <c r="B411" s="199"/>
      <c r="C411" s="199"/>
      <c r="D411" s="199"/>
      <c r="E411" s="202"/>
      <c r="F411" s="202"/>
      <c r="G411" s="199"/>
      <c r="H411" s="199"/>
      <c r="I411" s="199"/>
      <c r="J411" s="202"/>
      <c r="K411" s="202"/>
      <c r="L411" s="199"/>
      <c r="M411" s="199"/>
      <c r="N411" s="199"/>
      <c r="O411" s="199"/>
      <c r="P411" s="21"/>
      <c r="Q411" s="199"/>
      <c r="R411" s="199"/>
      <c r="S411" s="199"/>
      <c r="T411" s="199"/>
      <c r="U411" s="199"/>
      <c r="V411" s="199"/>
      <c r="W411" s="199"/>
      <c r="X411" s="199"/>
      <c r="Y411" s="199"/>
      <c r="Z411" s="199"/>
    </row>
    <row r="412">
      <c r="A412" s="199"/>
      <c r="B412" s="199"/>
      <c r="C412" s="199"/>
      <c r="D412" s="199"/>
      <c r="E412" s="202"/>
      <c r="F412" s="202"/>
      <c r="G412" s="199"/>
      <c r="H412" s="199"/>
      <c r="I412" s="199"/>
      <c r="J412" s="202"/>
      <c r="K412" s="202"/>
      <c r="L412" s="199"/>
      <c r="M412" s="199"/>
      <c r="N412" s="199"/>
      <c r="O412" s="199"/>
      <c r="P412" s="21"/>
      <c r="Q412" s="199"/>
      <c r="R412" s="199"/>
      <c r="S412" s="199"/>
      <c r="T412" s="199"/>
      <c r="U412" s="199"/>
      <c r="V412" s="199"/>
      <c r="W412" s="199"/>
      <c r="X412" s="199"/>
      <c r="Y412" s="199"/>
      <c r="Z412" s="199"/>
    </row>
    <row r="413">
      <c r="A413" s="199"/>
      <c r="B413" s="199"/>
      <c r="C413" s="199"/>
      <c r="D413" s="199"/>
      <c r="E413" s="202"/>
      <c r="F413" s="202"/>
      <c r="G413" s="199"/>
      <c r="H413" s="199"/>
      <c r="I413" s="199"/>
      <c r="J413" s="202"/>
      <c r="K413" s="202"/>
      <c r="L413" s="199"/>
      <c r="M413" s="199"/>
      <c r="N413" s="199"/>
      <c r="O413" s="199"/>
      <c r="P413" s="21"/>
      <c r="Q413" s="199"/>
      <c r="R413" s="199"/>
      <c r="S413" s="199"/>
      <c r="T413" s="199"/>
      <c r="U413" s="199"/>
      <c r="V413" s="199"/>
      <c r="W413" s="199"/>
      <c r="X413" s="199"/>
      <c r="Y413" s="199"/>
      <c r="Z413" s="199"/>
    </row>
    <row r="414">
      <c r="A414" s="199"/>
      <c r="B414" s="199"/>
      <c r="C414" s="199"/>
      <c r="D414" s="199"/>
      <c r="E414" s="202"/>
      <c r="F414" s="202"/>
      <c r="G414" s="199"/>
      <c r="H414" s="199"/>
      <c r="I414" s="199"/>
      <c r="J414" s="202"/>
      <c r="K414" s="202"/>
      <c r="L414" s="199"/>
      <c r="M414" s="199"/>
      <c r="N414" s="199"/>
      <c r="O414" s="199"/>
      <c r="P414" s="21"/>
      <c r="Q414" s="199"/>
      <c r="R414" s="199"/>
      <c r="S414" s="199"/>
      <c r="T414" s="199"/>
      <c r="U414" s="199"/>
      <c r="V414" s="199"/>
      <c r="W414" s="199"/>
      <c r="X414" s="199"/>
      <c r="Y414" s="199"/>
      <c r="Z414" s="199"/>
    </row>
    <row r="415">
      <c r="A415" s="199"/>
      <c r="B415" s="199"/>
      <c r="C415" s="199"/>
      <c r="D415" s="199"/>
      <c r="E415" s="202"/>
      <c r="F415" s="202"/>
      <c r="G415" s="199"/>
      <c r="H415" s="199"/>
      <c r="I415" s="199"/>
      <c r="J415" s="202"/>
      <c r="K415" s="202"/>
      <c r="L415" s="199"/>
      <c r="M415" s="199"/>
      <c r="N415" s="199"/>
      <c r="O415" s="199"/>
      <c r="P415" s="21"/>
      <c r="Q415" s="199"/>
      <c r="R415" s="199"/>
      <c r="S415" s="199"/>
      <c r="T415" s="199"/>
      <c r="U415" s="199"/>
      <c r="V415" s="199"/>
      <c r="W415" s="199"/>
      <c r="X415" s="199"/>
      <c r="Y415" s="199"/>
      <c r="Z415" s="199"/>
    </row>
    <row r="416">
      <c r="A416" s="199"/>
      <c r="B416" s="199"/>
      <c r="C416" s="199"/>
      <c r="D416" s="199"/>
      <c r="E416" s="202"/>
      <c r="F416" s="202"/>
      <c r="G416" s="199"/>
      <c r="H416" s="199"/>
      <c r="I416" s="199"/>
      <c r="J416" s="202"/>
      <c r="K416" s="202"/>
      <c r="L416" s="199"/>
      <c r="M416" s="199"/>
      <c r="N416" s="199"/>
      <c r="O416" s="199"/>
      <c r="P416" s="21"/>
      <c r="Q416" s="199"/>
      <c r="R416" s="199"/>
      <c r="S416" s="199"/>
      <c r="T416" s="199"/>
      <c r="U416" s="199"/>
      <c r="V416" s="199"/>
      <c r="W416" s="199"/>
      <c r="X416" s="199"/>
      <c r="Y416" s="199"/>
      <c r="Z416" s="199"/>
    </row>
    <row r="417">
      <c r="A417" s="199"/>
      <c r="B417" s="199"/>
      <c r="C417" s="199"/>
      <c r="D417" s="199"/>
      <c r="E417" s="202"/>
      <c r="F417" s="202"/>
      <c r="G417" s="199"/>
      <c r="H417" s="199"/>
      <c r="I417" s="199"/>
      <c r="J417" s="202"/>
      <c r="K417" s="202"/>
      <c r="L417" s="199"/>
      <c r="M417" s="199"/>
      <c r="N417" s="199"/>
      <c r="O417" s="199"/>
      <c r="P417" s="21"/>
      <c r="Q417" s="199"/>
      <c r="R417" s="199"/>
      <c r="S417" s="199"/>
      <c r="T417" s="199"/>
      <c r="U417" s="199"/>
      <c r="V417" s="199"/>
      <c r="W417" s="199"/>
      <c r="X417" s="199"/>
      <c r="Y417" s="199"/>
      <c r="Z417" s="199"/>
    </row>
    <row r="418">
      <c r="A418" s="199"/>
      <c r="B418" s="199"/>
      <c r="C418" s="199"/>
      <c r="D418" s="199"/>
      <c r="E418" s="202"/>
      <c r="F418" s="202"/>
      <c r="G418" s="199"/>
      <c r="H418" s="199"/>
      <c r="I418" s="199"/>
      <c r="J418" s="202"/>
      <c r="K418" s="202"/>
      <c r="L418" s="199"/>
      <c r="M418" s="199"/>
      <c r="N418" s="199"/>
      <c r="O418" s="199"/>
      <c r="P418" s="21"/>
      <c r="Q418" s="199"/>
      <c r="R418" s="199"/>
      <c r="S418" s="199"/>
      <c r="T418" s="199"/>
      <c r="U418" s="199"/>
      <c r="V418" s="199"/>
      <c r="W418" s="199"/>
      <c r="X418" s="199"/>
      <c r="Y418" s="199"/>
      <c r="Z418" s="199"/>
    </row>
    <row r="419">
      <c r="A419" s="199"/>
      <c r="B419" s="199"/>
      <c r="C419" s="199"/>
      <c r="D419" s="199"/>
      <c r="E419" s="202"/>
      <c r="F419" s="202"/>
      <c r="G419" s="199"/>
      <c r="H419" s="199"/>
      <c r="I419" s="199"/>
      <c r="J419" s="202"/>
      <c r="K419" s="202"/>
      <c r="L419" s="199"/>
      <c r="M419" s="199"/>
      <c r="N419" s="199"/>
      <c r="O419" s="199"/>
      <c r="P419" s="21"/>
      <c r="Q419" s="199"/>
      <c r="R419" s="199"/>
      <c r="S419" s="199"/>
      <c r="T419" s="199"/>
      <c r="U419" s="199"/>
      <c r="V419" s="199"/>
      <c r="W419" s="199"/>
      <c r="X419" s="199"/>
      <c r="Y419" s="199"/>
      <c r="Z419" s="199"/>
    </row>
    <row r="420">
      <c r="A420" s="199"/>
      <c r="B420" s="199"/>
      <c r="C420" s="199"/>
      <c r="D420" s="199"/>
      <c r="E420" s="202"/>
      <c r="F420" s="202"/>
      <c r="G420" s="199"/>
      <c r="H420" s="199"/>
      <c r="I420" s="199"/>
      <c r="J420" s="202"/>
      <c r="K420" s="202"/>
      <c r="L420" s="199"/>
      <c r="M420" s="199"/>
      <c r="N420" s="199"/>
      <c r="O420" s="199"/>
      <c r="P420" s="21"/>
      <c r="Q420" s="199"/>
      <c r="R420" s="199"/>
      <c r="S420" s="199"/>
      <c r="T420" s="199"/>
      <c r="U420" s="199"/>
      <c r="V420" s="199"/>
      <c r="W420" s="199"/>
      <c r="X420" s="199"/>
      <c r="Y420" s="199"/>
      <c r="Z420" s="199"/>
    </row>
    <row r="421">
      <c r="A421" s="199"/>
      <c r="B421" s="199"/>
      <c r="C421" s="199"/>
      <c r="D421" s="199"/>
      <c r="E421" s="202"/>
      <c r="F421" s="202"/>
      <c r="G421" s="199"/>
      <c r="H421" s="199"/>
      <c r="I421" s="199"/>
      <c r="J421" s="202"/>
      <c r="K421" s="202"/>
      <c r="L421" s="199"/>
      <c r="M421" s="199"/>
      <c r="N421" s="199"/>
      <c r="O421" s="199"/>
      <c r="P421" s="21"/>
      <c r="Q421" s="199"/>
      <c r="R421" s="199"/>
      <c r="S421" s="199"/>
      <c r="T421" s="199"/>
      <c r="U421" s="199"/>
      <c r="V421" s="199"/>
      <c r="W421" s="199"/>
      <c r="X421" s="199"/>
      <c r="Y421" s="199"/>
      <c r="Z421" s="199"/>
    </row>
    <row r="422">
      <c r="A422" s="199"/>
      <c r="B422" s="199"/>
      <c r="C422" s="199"/>
      <c r="D422" s="199"/>
      <c r="E422" s="202"/>
      <c r="F422" s="202"/>
      <c r="G422" s="199"/>
      <c r="H422" s="199"/>
      <c r="I422" s="199"/>
      <c r="J422" s="202"/>
      <c r="K422" s="202"/>
      <c r="L422" s="199"/>
      <c r="M422" s="199"/>
      <c r="N422" s="199"/>
      <c r="O422" s="199"/>
      <c r="P422" s="21"/>
      <c r="Q422" s="199"/>
      <c r="R422" s="199"/>
      <c r="S422" s="199"/>
      <c r="T422" s="199"/>
      <c r="U422" s="199"/>
      <c r="V422" s="199"/>
      <c r="W422" s="199"/>
      <c r="X422" s="199"/>
      <c r="Y422" s="199"/>
      <c r="Z422" s="199"/>
    </row>
    <row r="423">
      <c r="A423" s="199"/>
      <c r="B423" s="199"/>
      <c r="C423" s="199"/>
      <c r="D423" s="199"/>
      <c r="E423" s="202"/>
      <c r="F423" s="202"/>
      <c r="G423" s="199"/>
      <c r="H423" s="199"/>
      <c r="I423" s="199"/>
      <c r="J423" s="202"/>
      <c r="K423" s="202"/>
      <c r="L423" s="199"/>
      <c r="M423" s="199"/>
      <c r="N423" s="199"/>
      <c r="O423" s="199"/>
      <c r="P423" s="21"/>
      <c r="Q423" s="199"/>
      <c r="R423" s="199"/>
      <c r="S423" s="199"/>
      <c r="T423" s="199"/>
      <c r="U423" s="199"/>
      <c r="V423" s="199"/>
      <c r="W423" s="199"/>
      <c r="X423" s="199"/>
      <c r="Y423" s="199"/>
      <c r="Z423" s="199"/>
    </row>
    <row r="424">
      <c r="A424" s="199"/>
      <c r="B424" s="199"/>
      <c r="C424" s="199"/>
      <c r="D424" s="199"/>
      <c r="E424" s="202"/>
      <c r="F424" s="202"/>
      <c r="G424" s="199"/>
      <c r="H424" s="199"/>
      <c r="I424" s="199"/>
      <c r="J424" s="202"/>
      <c r="K424" s="202"/>
      <c r="L424" s="199"/>
      <c r="M424" s="199"/>
      <c r="N424" s="199"/>
      <c r="O424" s="199"/>
      <c r="P424" s="21"/>
      <c r="Q424" s="199"/>
      <c r="R424" s="199"/>
      <c r="S424" s="199"/>
      <c r="T424" s="199"/>
      <c r="U424" s="199"/>
      <c r="V424" s="199"/>
      <c r="W424" s="199"/>
      <c r="X424" s="199"/>
      <c r="Y424" s="199"/>
      <c r="Z424" s="199"/>
    </row>
    <row r="425">
      <c r="A425" s="199"/>
      <c r="B425" s="199"/>
      <c r="C425" s="199"/>
      <c r="D425" s="199"/>
      <c r="E425" s="202"/>
      <c r="F425" s="202"/>
      <c r="G425" s="199"/>
      <c r="H425" s="199"/>
      <c r="I425" s="199"/>
      <c r="J425" s="202"/>
      <c r="K425" s="202"/>
      <c r="L425" s="199"/>
      <c r="M425" s="199"/>
      <c r="N425" s="199"/>
      <c r="O425" s="199"/>
      <c r="P425" s="21"/>
      <c r="Q425" s="199"/>
      <c r="R425" s="199"/>
      <c r="S425" s="199"/>
      <c r="T425" s="199"/>
      <c r="U425" s="199"/>
      <c r="V425" s="199"/>
      <c r="W425" s="199"/>
      <c r="X425" s="199"/>
      <c r="Y425" s="199"/>
      <c r="Z425" s="199"/>
    </row>
    <row r="426">
      <c r="A426" s="199"/>
      <c r="B426" s="199"/>
      <c r="C426" s="199"/>
      <c r="D426" s="199"/>
      <c r="E426" s="202"/>
      <c r="F426" s="202"/>
      <c r="G426" s="199"/>
      <c r="H426" s="199"/>
      <c r="I426" s="199"/>
      <c r="J426" s="202"/>
      <c r="K426" s="202"/>
      <c r="L426" s="199"/>
      <c r="M426" s="199"/>
      <c r="N426" s="199"/>
      <c r="O426" s="199"/>
      <c r="P426" s="21"/>
      <c r="Q426" s="199"/>
      <c r="R426" s="199"/>
      <c r="S426" s="199"/>
      <c r="T426" s="199"/>
      <c r="U426" s="199"/>
      <c r="V426" s="199"/>
      <c r="W426" s="199"/>
      <c r="X426" s="199"/>
      <c r="Y426" s="199"/>
      <c r="Z426" s="199"/>
    </row>
    <row r="427">
      <c r="A427" s="199"/>
      <c r="B427" s="199"/>
      <c r="C427" s="199"/>
      <c r="D427" s="199"/>
      <c r="E427" s="202"/>
      <c r="F427" s="202"/>
      <c r="G427" s="199"/>
      <c r="H427" s="199"/>
      <c r="I427" s="199"/>
      <c r="J427" s="202"/>
      <c r="K427" s="202"/>
      <c r="L427" s="199"/>
      <c r="M427" s="199"/>
      <c r="N427" s="199"/>
      <c r="O427" s="199"/>
      <c r="P427" s="21"/>
      <c r="Q427" s="199"/>
      <c r="R427" s="199"/>
      <c r="S427" s="199"/>
      <c r="T427" s="199"/>
      <c r="U427" s="199"/>
      <c r="V427" s="199"/>
      <c r="W427" s="199"/>
      <c r="X427" s="199"/>
      <c r="Y427" s="199"/>
      <c r="Z427" s="199"/>
    </row>
    <row r="428">
      <c r="A428" s="199"/>
      <c r="B428" s="199"/>
      <c r="C428" s="199"/>
      <c r="D428" s="199"/>
      <c r="E428" s="202"/>
      <c r="F428" s="202"/>
      <c r="G428" s="199"/>
      <c r="H428" s="199"/>
      <c r="I428" s="199"/>
      <c r="J428" s="202"/>
      <c r="K428" s="202"/>
      <c r="L428" s="199"/>
      <c r="M428" s="199"/>
      <c r="N428" s="199"/>
      <c r="O428" s="199"/>
      <c r="P428" s="21"/>
      <c r="Q428" s="199"/>
      <c r="R428" s="199"/>
      <c r="S428" s="199"/>
      <c r="T428" s="199"/>
      <c r="U428" s="199"/>
      <c r="V428" s="199"/>
      <c r="W428" s="199"/>
      <c r="X428" s="199"/>
      <c r="Y428" s="199"/>
      <c r="Z428" s="199"/>
    </row>
    <row r="429">
      <c r="A429" s="199"/>
      <c r="B429" s="199"/>
      <c r="C429" s="199"/>
      <c r="D429" s="199"/>
      <c r="E429" s="202"/>
      <c r="F429" s="202"/>
      <c r="G429" s="199"/>
      <c r="H429" s="199"/>
      <c r="I429" s="199"/>
      <c r="J429" s="202"/>
      <c r="K429" s="202"/>
      <c r="L429" s="199"/>
      <c r="M429" s="199"/>
      <c r="N429" s="199"/>
      <c r="O429" s="199"/>
      <c r="P429" s="21"/>
      <c r="Q429" s="199"/>
      <c r="R429" s="199"/>
      <c r="S429" s="199"/>
      <c r="T429" s="199"/>
      <c r="U429" s="199"/>
      <c r="V429" s="199"/>
      <c r="W429" s="199"/>
      <c r="X429" s="199"/>
      <c r="Y429" s="199"/>
      <c r="Z429" s="199"/>
    </row>
    <row r="430">
      <c r="A430" s="199"/>
      <c r="B430" s="199"/>
      <c r="C430" s="199"/>
      <c r="D430" s="199"/>
      <c r="E430" s="202"/>
      <c r="F430" s="202"/>
      <c r="G430" s="199"/>
      <c r="H430" s="199"/>
      <c r="I430" s="199"/>
      <c r="J430" s="202"/>
      <c r="K430" s="202"/>
      <c r="L430" s="199"/>
      <c r="M430" s="199"/>
      <c r="N430" s="199"/>
      <c r="O430" s="199"/>
      <c r="P430" s="21"/>
      <c r="Q430" s="199"/>
      <c r="R430" s="199"/>
      <c r="S430" s="199"/>
      <c r="T430" s="199"/>
      <c r="U430" s="199"/>
      <c r="V430" s="199"/>
      <c r="W430" s="199"/>
      <c r="X430" s="199"/>
      <c r="Y430" s="199"/>
      <c r="Z430" s="199"/>
    </row>
    <row r="431">
      <c r="A431" s="199"/>
      <c r="B431" s="199"/>
      <c r="C431" s="199"/>
      <c r="D431" s="199"/>
      <c r="E431" s="202"/>
      <c r="F431" s="202"/>
      <c r="G431" s="199"/>
      <c r="H431" s="199"/>
      <c r="I431" s="199"/>
      <c r="J431" s="202"/>
      <c r="K431" s="202"/>
      <c r="L431" s="199"/>
      <c r="M431" s="199"/>
      <c r="N431" s="199"/>
      <c r="O431" s="199"/>
      <c r="P431" s="21"/>
      <c r="Q431" s="199"/>
      <c r="R431" s="199"/>
      <c r="S431" s="199"/>
      <c r="T431" s="199"/>
      <c r="U431" s="199"/>
      <c r="V431" s="199"/>
      <c r="W431" s="199"/>
      <c r="X431" s="199"/>
      <c r="Y431" s="199"/>
      <c r="Z431" s="199"/>
    </row>
    <row r="432">
      <c r="A432" s="199"/>
      <c r="B432" s="199"/>
      <c r="C432" s="199"/>
      <c r="D432" s="199"/>
      <c r="E432" s="202"/>
      <c r="F432" s="202"/>
      <c r="G432" s="199"/>
      <c r="H432" s="199"/>
      <c r="I432" s="199"/>
      <c r="J432" s="202"/>
      <c r="K432" s="202"/>
      <c r="L432" s="199"/>
      <c r="M432" s="199"/>
      <c r="N432" s="199"/>
      <c r="O432" s="199"/>
      <c r="P432" s="21"/>
      <c r="Q432" s="199"/>
      <c r="R432" s="199"/>
      <c r="S432" s="199"/>
      <c r="T432" s="199"/>
      <c r="U432" s="199"/>
      <c r="V432" s="199"/>
      <c r="W432" s="199"/>
      <c r="X432" s="199"/>
      <c r="Y432" s="199"/>
      <c r="Z432" s="199"/>
    </row>
    <row r="433">
      <c r="A433" s="199"/>
      <c r="B433" s="199"/>
      <c r="C433" s="199"/>
      <c r="D433" s="199"/>
      <c r="E433" s="202"/>
      <c r="F433" s="202"/>
      <c r="G433" s="199"/>
      <c r="H433" s="199"/>
      <c r="I433" s="199"/>
      <c r="J433" s="202"/>
      <c r="K433" s="202"/>
      <c r="L433" s="199"/>
      <c r="M433" s="199"/>
      <c r="N433" s="199"/>
      <c r="O433" s="199"/>
      <c r="P433" s="21"/>
      <c r="Q433" s="199"/>
      <c r="R433" s="199"/>
      <c r="S433" s="199"/>
      <c r="T433" s="199"/>
      <c r="U433" s="199"/>
      <c r="V433" s="199"/>
      <c r="W433" s="199"/>
      <c r="X433" s="199"/>
      <c r="Y433" s="199"/>
      <c r="Z433" s="199"/>
    </row>
    <row r="434">
      <c r="A434" s="199"/>
      <c r="B434" s="199"/>
      <c r="C434" s="199"/>
      <c r="D434" s="199"/>
      <c r="E434" s="202"/>
      <c r="F434" s="202"/>
      <c r="G434" s="199"/>
      <c r="H434" s="199"/>
      <c r="I434" s="199"/>
      <c r="J434" s="202"/>
      <c r="K434" s="202"/>
      <c r="L434" s="199"/>
      <c r="M434" s="199"/>
      <c r="N434" s="199"/>
      <c r="O434" s="199"/>
      <c r="P434" s="21"/>
      <c r="Q434" s="199"/>
      <c r="R434" s="199"/>
      <c r="S434" s="199"/>
      <c r="T434" s="199"/>
      <c r="U434" s="199"/>
      <c r="V434" s="199"/>
      <c r="W434" s="199"/>
      <c r="X434" s="199"/>
      <c r="Y434" s="199"/>
      <c r="Z434" s="199"/>
    </row>
    <row r="435">
      <c r="A435" s="199"/>
      <c r="B435" s="199"/>
      <c r="C435" s="199"/>
      <c r="D435" s="199"/>
      <c r="E435" s="202"/>
      <c r="F435" s="202"/>
      <c r="G435" s="199"/>
      <c r="H435" s="199"/>
      <c r="I435" s="199"/>
      <c r="J435" s="202"/>
      <c r="K435" s="202"/>
      <c r="L435" s="199"/>
      <c r="M435" s="199"/>
      <c r="N435" s="199"/>
      <c r="O435" s="199"/>
      <c r="P435" s="21"/>
      <c r="Q435" s="199"/>
      <c r="R435" s="199"/>
      <c r="S435" s="199"/>
      <c r="T435" s="199"/>
      <c r="U435" s="199"/>
      <c r="V435" s="199"/>
      <c r="W435" s="199"/>
      <c r="X435" s="199"/>
      <c r="Y435" s="199"/>
      <c r="Z435" s="199"/>
    </row>
    <row r="436">
      <c r="A436" s="199"/>
      <c r="B436" s="199"/>
      <c r="C436" s="199"/>
      <c r="D436" s="199"/>
      <c r="E436" s="202"/>
      <c r="F436" s="202"/>
      <c r="G436" s="199"/>
      <c r="H436" s="199"/>
      <c r="I436" s="199"/>
      <c r="J436" s="202"/>
      <c r="K436" s="202"/>
      <c r="L436" s="199"/>
      <c r="M436" s="199"/>
      <c r="N436" s="199"/>
      <c r="O436" s="199"/>
      <c r="P436" s="21"/>
      <c r="Q436" s="199"/>
      <c r="R436" s="199"/>
      <c r="S436" s="199"/>
      <c r="T436" s="199"/>
      <c r="U436" s="199"/>
      <c r="V436" s="199"/>
      <c r="W436" s="199"/>
      <c r="X436" s="199"/>
      <c r="Y436" s="199"/>
      <c r="Z436" s="199"/>
    </row>
    <row r="437">
      <c r="A437" s="199"/>
      <c r="B437" s="199"/>
      <c r="C437" s="199"/>
      <c r="D437" s="199"/>
      <c r="E437" s="202"/>
      <c r="F437" s="202"/>
      <c r="G437" s="199"/>
      <c r="H437" s="199"/>
      <c r="I437" s="199"/>
      <c r="J437" s="202"/>
      <c r="K437" s="202"/>
      <c r="L437" s="199"/>
      <c r="M437" s="199"/>
      <c r="N437" s="199"/>
      <c r="O437" s="199"/>
      <c r="P437" s="21"/>
      <c r="Q437" s="199"/>
      <c r="R437" s="199"/>
      <c r="S437" s="199"/>
      <c r="T437" s="199"/>
      <c r="U437" s="199"/>
      <c r="V437" s="199"/>
      <c r="W437" s="199"/>
      <c r="X437" s="199"/>
      <c r="Y437" s="199"/>
      <c r="Z437" s="199"/>
    </row>
    <row r="438">
      <c r="A438" s="199"/>
      <c r="B438" s="199"/>
      <c r="C438" s="199"/>
      <c r="D438" s="199"/>
      <c r="E438" s="202"/>
      <c r="F438" s="202"/>
      <c r="G438" s="199"/>
      <c r="H438" s="199"/>
      <c r="I438" s="199"/>
      <c r="J438" s="202"/>
      <c r="K438" s="202"/>
      <c r="L438" s="199"/>
      <c r="M438" s="199"/>
      <c r="N438" s="199"/>
      <c r="O438" s="199"/>
      <c r="P438" s="21"/>
      <c r="Q438" s="199"/>
      <c r="R438" s="199"/>
      <c r="S438" s="199"/>
      <c r="T438" s="199"/>
      <c r="U438" s="199"/>
      <c r="V438" s="199"/>
      <c r="W438" s="199"/>
      <c r="X438" s="199"/>
      <c r="Y438" s="199"/>
      <c r="Z438" s="199"/>
    </row>
    <row r="439">
      <c r="A439" s="199"/>
      <c r="B439" s="199"/>
      <c r="C439" s="199"/>
      <c r="D439" s="199"/>
      <c r="E439" s="202"/>
      <c r="F439" s="202"/>
      <c r="G439" s="199"/>
      <c r="H439" s="199"/>
      <c r="I439" s="199"/>
      <c r="J439" s="202"/>
      <c r="K439" s="202"/>
      <c r="L439" s="199"/>
      <c r="M439" s="199"/>
      <c r="N439" s="199"/>
      <c r="O439" s="199"/>
      <c r="P439" s="21"/>
      <c r="Q439" s="199"/>
      <c r="R439" s="199"/>
      <c r="S439" s="199"/>
      <c r="T439" s="199"/>
      <c r="U439" s="199"/>
      <c r="V439" s="199"/>
      <c r="W439" s="199"/>
      <c r="X439" s="199"/>
      <c r="Y439" s="199"/>
      <c r="Z439" s="199"/>
    </row>
    <row r="440">
      <c r="A440" s="199"/>
      <c r="B440" s="199"/>
      <c r="C440" s="199"/>
      <c r="D440" s="199"/>
      <c r="E440" s="202"/>
      <c r="F440" s="202"/>
      <c r="G440" s="199"/>
      <c r="H440" s="199"/>
      <c r="I440" s="199"/>
      <c r="J440" s="202"/>
      <c r="K440" s="202"/>
      <c r="L440" s="199"/>
      <c r="M440" s="199"/>
      <c r="N440" s="199"/>
      <c r="O440" s="199"/>
      <c r="P440" s="21"/>
      <c r="Q440" s="199"/>
      <c r="R440" s="199"/>
      <c r="S440" s="199"/>
      <c r="T440" s="199"/>
      <c r="U440" s="199"/>
      <c r="V440" s="199"/>
      <c r="W440" s="199"/>
      <c r="X440" s="199"/>
      <c r="Y440" s="199"/>
      <c r="Z440" s="199"/>
    </row>
    <row r="441">
      <c r="A441" s="199"/>
      <c r="B441" s="199"/>
      <c r="C441" s="199"/>
      <c r="D441" s="199"/>
      <c r="E441" s="202"/>
      <c r="F441" s="202"/>
      <c r="G441" s="199"/>
      <c r="H441" s="199"/>
      <c r="I441" s="199"/>
      <c r="J441" s="202"/>
      <c r="K441" s="202"/>
      <c r="L441" s="199"/>
      <c r="M441" s="199"/>
      <c r="N441" s="199"/>
      <c r="O441" s="199"/>
      <c r="P441" s="21"/>
      <c r="Q441" s="199"/>
      <c r="R441" s="199"/>
      <c r="S441" s="199"/>
      <c r="T441" s="199"/>
      <c r="U441" s="199"/>
      <c r="V441" s="199"/>
      <c r="W441" s="199"/>
      <c r="X441" s="199"/>
      <c r="Y441" s="199"/>
      <c r="Z441" s="199"/>
    </row>
    <row r="442">
      <c r="A442" s="199"/>
      <c r="B442" s="199"/>
      <c r="C442" s="199"/>
      <c r="D442" s="199"/>
      <c r="E442" s="202"/>
      <c r="F442" s="202"/>
      <c r="G442" s="199"/>
      <c r="H442" s="199"/>
      <c r="I442" s="199"/>
      <c r="J442" s="202"/>
      <c r="K442" s="202"/>
      <c r="L442" s="199"/>
      <c r="M442" s="199"/>
      <c r="N442" s="199"/>
      <c r="O442" s="199"/>
      <c r="P442" s="21"/>
      <c r="Q442" s="199"/>
      <c r="R442" s="199"/>
      <c r="S442" s="199"/>
      <c r="T442" s="199"/>
      <c r="U442" s="199"/>
      <c r="V442" s="199"/>
      <c r="W442" s="199"/>
      <c r="X442" s="199"/>
      <c r="Y442" s="199"/>
      <c r="Z442" s="199"/>
    </row>
    <row r="443">
      <c r="A443" s="199"/>
      <c r="B443" s="199"/>
      <c r="C443" s="199"/>
      <c r="D443" s="199"/>
      <c r="E443" s="202"/>
      <c r="F443" s="202"/>
      <c r="G443" s="199"/>
      <c r="H443" s="199"/>
      <c r="I443" s="199"/>
      <c r="J443" s="202"/>
      <c r="K443" s="202"/>
      <c r="L443" s="199"/>
      <c r="M443" s="199"/>
      <c r="N443" s="199"/>
      <c r="O443" s="199"/>
      <c r="P443" s="21"/>
      <c r="Q443" s="199"/>
      <c r="R443" s="199"/>
      <c r="S443" s="199"/>
      <c r="T443" s="199"/>
      <c r="U443" s="199"/>
      <c r="V443" s="199"/>
      <c r="W443" s="199"/>
      <c r="X443" s="199"/>
      <c r="Y443" s="199"/>
      <c r="Z443" s="199"/>
    </row>
    <row r="444">
      <c r="A444" s="199"/>
      <c r="B444" s="199"/>
      <c r="C444" s="199"/>
      <c r="D444" s="199"/>
      <c r="E444" s="202"/>
      <c r="F444" s="202"/>
      <c r="G444" s="199"/>
      <c r="H444" s="199"/>
      <c r="I444" s="199"/>
      <c r="J444" s="202"/>
      <c r="K444" s="202"/>
      <c r="L444" s="199"/>
      <c r="M444" s="199"/>
      <c r="N444" s="199"/>
      <c r="O444" s="199"/>
      <c r="P444" s="21"/>
      <c r="Q444" s="199"/>
      <c r="R444" s="199"/>
      <c r="S444" s="199"/>
      <c r="T444" s="199"/>
      <c r="U444" s="199"/>
      <c r="V444" s="199"/>
      <c r="W444" s="199"/>
      <c r="X444" s="199"/>
      <c r="Y444" s="199"/>
      <c r="Z444" s="199"/>
    </row>
    <row r="445">
      <c r="A445" s="199"/>
      <c r="B445" s="199"/>
      <c r="C445" s="199"/>
      <c r="D445" s="199"/>
      <c r="E445" s="202"/>
      <c r="F445" s="202"/>
      <c r="G445" s="199"/>
      <c r="H445" s="199"/>
      <c r="I445" s="199"/>
      <c r="J445" s="202"/>
      <c r="K445" s="202"/>
      <c r="L445" s="199"/>
      <c r="M445" s="199"/>
      <c r="N445" s="199"/>
      <c r="O445" s="199"/>
      <c r="P445" s="21"/>
      <c r="Q445" s="199"/>
      <c r="R445" s="199"/>
      <c r="S445" s="199"/>
      <c r="T445" s="199"/>
      <c r="U445" s="199"/>
      <c r="V445" s="199"/>
      <c r="W445" s="199"/>
      <c r="X445" s="199"/>
      <c r="Y445" s="199"/>
      <c r="Z445" s="199"/>
    </row>
    <row r="446">
      <c r="A446" s="199"/>
      <c r="B446" s="199"/>
      <c r="C446" s="199"/>
      <c r="D446" s="199"/>
      <c r="E446" s="202"/>
      <c r="F446" s="202"/>
      <c r="G446" s="199"/>
      <c r="H446" s="199"/>
      <c r="I446" s="199"/>
      <c r="J446" s="202"/>
      <c r="K446" s="202"/>
      <c r="L446" s="199"/>
      <c r="M446" s="199"/>
      <c r="N446" s="199"/>
      <c r="O446" s="199"/>
      <c r="P446" s="21"/>
      <c r="Q446" s="199"/>
      <c r="R446" s="199"/>
      <c r="S446" s="199"/>
      <c r="T446" s="199"/>
      <c r="U446" s="199"/>
      <c r="V446" s="199"/>
      <c r="W446" s="199"/>
      <c r="X446" s="199"/>
      <c r="Y446" s="199"/>
      <c r="Z446" s="199"/>
    </row>
    <row r="447">
      <c r="A447" s="199"/>
      <c r="B447" s="199"/>
      <c r="C447" s="199"/>
      <c r="D447" s="199"/>
      <c r="E447" s="202"/>
      <c r="F447" s="202"/>
      <c r="G447" s="199"/>
      <c r="H447" s="199"/>
      <c r="I447" s="199"/>
      <c r="J447" s="202"/>
      <c r="K447" s="202"/>
      <c r="L447" s="199"/>
      <c r="M447" s="199"/>
      <c r="N447" s="199"/>
      <c r="O447" s="199"/>
      <c r="P447" s="21"/>
      <c r="Q447" s="199"/>
      <c r="R447" s="199"/>
      <c r="S447" s="199"/>
      <c r="T447" s="199"/>
      <c r="U447" s="199"/>
      <c r="V447" s="199"/>
      <c r="W447" s="199"/>
      <c r="X447" s="199"/>
      <c r="Y447" s="199"/>
      <c r="Z447" s="199"/>
    </row>
    <row r="448">
      <c r="A448" s="199"/>
      <c r="B448" s="199"/>
      <c r="C448" s="199"/>
      <c r="D448" s="199"/>
      <c r="E448" s="202"/>
      <c r="F448" s="202"/>
      <c r="G448" s="199"/>
      <c r="H448" s="199"/>
      <c r="I448" s="199"/>
      <c r="J448" s="202"/>
      <c r="K448" s="202"/>
      <c r="L448" s="199"/>
      <c r="M448" s="199"/>
      <c r="N448" s="199"/>
      <c r="O448" s="199"/>
      <c r="P448" s="21"/>
      <c r="Q448" s="199"/>
      <c r="R448" s="199"/>
      <c r="S448" s="199"/>
      <c r="T448" s="199"/>
      <c r="U448" s="199"/>
      <c r="V448" s="199"/>
      <c r="W448" s="199"/>
      <c r="X448" s="199"/>
      <c r="Y448" s="199"/>
      <c r="Z448" s="199"/>
    </row>
    <row r="449">
      <c r="A449" s="199"/>
      <c r="B449" s="199"/>
      <c r="C449" s="199"/>
      <c r="D449" s="199"/>
      <c r="E449" s="202"/>
      <c r="F449" s="202"/>
      <c r="G449" s="199"/>
      <c r="H449" s="199"/>
      <c r="I449" s="199"/>
      <c r="J449" s="202"/>
      <c r="K449" s="202"/>
      <c r="L449" s="199"/>
      <c r="M449" s="199"/>
      <c r="N449" s="199"/>
      <c r="O449" s="199"/>
      <c r="P449" s="21"/>
      <c r="Q449" s="199"/>
      <c r="R449" s="199"/>
      <c r="S449" s="199"/>
      <c r="T449" s="199"/>
      <c r="U449" s="199"/>
      <c r="V449" s="199"/>
      <c r="W449" s="199"/>
      <c r="X449" s="199"/>
      <c r="Y449" s="199"/>
      <c r="Z449" s="199"/>
    </row>
    <row r="450">
      <c r="A450" s="199"/>
      <c r="B450" s="199"/>
      <c r="C450" s="199"/>
      <c r="D450" s="199"/>
      <c r="E450" s="202"/>
      <c r="F450" s="202"/>
      <c r="G450" s="199"/>
      <c r="H450" s="199"/>
      <c r="I450" s="199"/>
      <c r="J450" s="202"/>
      <c r="K450" s="202"/>
      <c r="L450" s="199"/>
      <c r="M450" s="199"/>
      <c r="N450" s="199"/>
      <c r="O450" s="199"/>
      <c r="P450" s="21"/>
      <c r="Q450" s="199"/>
      <c r="R450" s="199"/>
      <c r="S450" s="199"/>
      <c r="T450" s="199"/>
      <c r="U450" s="199"/>
      <c r="V450" s="199"/>
      <c r="W450" s="199"/>
      <c r="X450" s="199"/>
      <c r="Y450" s="199"/>
      <c r="Z450" s="199"/>
    </row>
    <row r="451">
      <c r="A451" s="199"/>
      <c r="B451" s="199"/>
      <c r="C451" s="199"/>
      <c r="D451" s="199"/>
      <c r="E451" s="202"/>
      <c r="F451" s="202"/>
      <c r="G451" s="199"/>
      <c r="H451" s="199"/>
      <c r="I451" s="199"/>
      <c r="J451" s="202"/>
      <c r="K451" s="202"/>
      <c r="L451" s="199"/>
      <c r="M451" s="199"/>
      <c r="N451" s="199"/>
      <c r="O451" s="199"/>
      <c r="P451" s="21"/>
      <c r="Q451" s="199"/>
      <c r="R451" s="199"/>
      <c r="S451" s="199"/>
      <c r="T451" s="199"/>
      <c r="U451" s="199"/>
      <c r="V451" s="199"/>
      <c r="W451" s="199"/>
      <c r="X451" s="199"/>
      <c r="Y451" s="199"/>
      <c r="Z451" s="199"/>
    </row>
    <row r="452">
      <c r="A452" s="199"/>
      <c r="B452" s="199"/>
      <c r="C452" s="199"/>
      <c r="D452" s="199"/>
      <c r="E452" s="202"/>
      <c r="F452" s="202"/>
      <c r="G452" s="199"/>
      <c r="H452" s="199"/>
      <c r="I452" s="199"/>
      <c r="J452" s="202"/>
      <c r="K452" s="202"/>
      <c r="L452" s="199"/>
      <c r="M452" s="199"/>
      <c r="N452" s="199"/>
      <c r="O452" s="199"/>
      <c r="P452" s="21"/>
      <c r="Q452" s="199"/>
      <c r="R452" s="199"/>
      <c r="S452" s="199"/>
      <c r="T452" s="199"/>
      <c r="U452" s="199"/>
      <c r="V452" s="199"/>
      <c r="W452" s="199"/>
      <c r="X452" s="199"/>
      <c r="Y452" s="199"/>
      <c r="Z452" s="199"/>
    </row>
    <row r="453">
      <c r="A453" s="199"/>
      <c r="B453" s="199"/>
      <c r="C453" s="199"/>
      <c r="D453" s="199"/>
      <c r="E453" s="202"/>
      <c r="F453" s="202"/>
      <c r="G453" s="199"/>
      <c r="H453" s="199"/>
      <c r="I453" s="199"/>
      <c r="J453" s="202"/>
      <c r="K453" s="202"/>
      <c r="L453" s="199"/>
      <c r="M453" s="199"/>
      <c r="N453" s="199"/>
      <c r="O453" s="199"/>
      <c r="P453" s="21"/>
      <c r="Q453" s="199"/>
      <c r="R453" s="199"/>
      <c r="S453" s="199"/>
      <c r="T453" s="199"/>
      <c r="U453" s="199"/>
      <c r="V453" s="199"/>
      <c r="W453" s="199"/>
      <c r="X453" s="199"/>
      <c r="Y453" s="199"/>
      <c r="Z453" s="199"/>
    </row>
    <row r="454">
      <c r="A454" s="199"/>
      <c r="B454" s="199"/>
      <c r="C454" s="199"/>
      <c r="D454" s="199"/>
      <c r="E454" s="202"/>
      <c r="F454" s="202"/>
      <c r="G454" s="199"/>
      <c r="H454" s="199"/>
      <c r="I454" s="199"/>
      <c r="J454" s="202"/>
      <c r="K454" s="202"/>
      <c r="L454" s="199"/>
      <c r="M454" s="199"/>
      <c r="N454" s="199"/>
      <c r="O454" s="199"/>
      <c r="P454" s="21"/>
      <c r="Q454" s="199"/>
      <c r="R454" s="199"/>
      <c r="S454" s="199"/>
      <c r="T454" s="199"/>
      <c r="U454" s="199"/>
      <c r="V454" s="199"/>
      <c r="W454" s="199"/>
      <c r="X454" s="199"/>
      <c r="Y454" s="199"/>
      <c r="Z454" s="199"/>
    </row>
    <row r="455">
      <c r="A455" s="199"/>
      <c r="B455" s="199"/>
      <c r="C455" s="199"/>
      <c r="D455" s="199"/>
      <c r="E455" s="202"/>
      <c r="F455" s="202"/>
      <c r="G455" s="199"/>
      <c r="H455" s="199"/>
      <c r="I455" s="199"/>
      <c r="J455" s="202"/>
      <c r="K455" s="202"/>
      <c r="L455" s="199"/>
      <c r="M455" s="199"/>
      <c r="N455" s="199"/>
      <c r="O455" s="199"/>
      <c r="P455" s="21"/>
      <c r="Q455" s="199"/>
      <c r="R455" s="199"/>
      <c r="S455" s="199"/>
      <c r="T455" s="199"/>
      <c r="U455" s="199"/>
      <c r="V455" s="199"/>
      <c r="W455" s="199"/>
      <c r="X455" s="199"/>
      <c r="Y455" s="199"/>
      <c r="Z455" s="199"/>
    </row>
    <row r="456">
      <c r="A456" s="199"/>
      <c r="B456" s="199"/>
      <c r="C456" s="199"/>
      <c r="D456" s="199"/>
      <c r="E456" s="202"/>
      <c r="F456" s="202"/>
      <c r="G456" s="199"/>
      <c r="H456" s="199"/>
      <c r="I456" s="199"/>
      <c r="J456" s="202"/>
      <c r="K456" s="202"/>
      <c r="L456" s="199"/>
      <c r="M456" s="199"/>
      <c r="N456" s="199"/>
      <c r="O456" s="199"/>
      <c r="P456" s="21"/>
      <c r="Q456" s="199"/>
      <c r="R456" s="199"/>
      <c r="S456" s="199"/>
      <c r="T456" s="199"/>
      <c r="U456" s="199"/>
      <c r="V456" s="199"/>
      <c r="W456" s="199"/>
      <c r="X456" s="199"/>
      <c r="Y456" s="199"/>
      <c r="Z456" s="199"/>
    </row>
    <row r="457">
      <c r="A457" s="199"/>
      <c r="B457" s="199"/>
      <c r="C457" s="199"/>
      <c r="D457" s="199"/>
      <c r="E457" s="202"/>
      <c r="F457" s="202"/>
      <c r="G457" s="199"/>
      <c r="H457" s="199"/>
      <c r="I457" s="199"/>
      <c r="J457" s="202"/>
      <c r="K457" s="202"/>
      <c r="L457" s="199"/>
      <c r="M457" s="199"/>
      <c r="N457" s="199"/>
      <c r="O457" s="199"/>
      <c r="P457" s="21"/>
      <c r="Q457" s="199"/>
      <c r="R457" s="199"/>
      <c r="S457" s="199"/>
      <c r="T457" s="199"/>
      <c r="U457" s="199"/>
      <c r="V457" s="199"/>
      <c r="W457" s="199"/>
      <c r="X457" s="199"/>
      <c r="Y457" s="199"/>
      <c r="Z457" s="199"/>
    </row>
    <row r="458">
      <c r="A458" s="199"/>
      <c r="B458" s="199"/>
      <c r="C458" s="199"/>
      <c r="D458" s="199"/>
      <c r="E458" s="202"/>
      <c r="F458" s="202"/>
      <c r="G458" s="199"/>
      <c r="H458" s="199"/>
      <c r="I458" s="199"/>
      <c r="J458" s="202"/>
      <c r="K458" s="202"/>
      <c r="L458" s="199"/>
      <c r="M458" s="199"/>
      <c r="N458" s="199"/>
      <c r="O458" s="199"/>
      <c r="P458" s="21"/>
      <c r="Q458" s="199"/>
      <c r="R458" s="199"/>
      <c r="S458" s="199"/>
      <c r="T458" s="199"/>
      <c r="U458" s="199"/>
      <c r="V458" s="199"/>
      <c r="W458" s="199"/>
      <c r="X458" s="199"/>
      <c r="Y458" s="199"/>
      <c r="Z458" s="199"/>
    </row>
    <row r="459">
      <c r="A459" s="199"/>
      <c r="B459" s="199"/>
      <c r="C459" s="199"/>
      <c r="D459" s="199"/>
      <c r="E459" s="202"/>
      <c r="F459" s="202"/>
      <c r="G459" s="199"/>
      <c r="H459" s="199"/>
      <c r="I459" s="199"/>
      <c r="J459" s="202"/>
      <c r="K459" s="202"/>
      <c r="L459" s="199"/>
      <c r="M459" s="199"/>
      <c r="N459" s="199"/>
      <c r="O459" s="199"/>
      <c r="P459" s="21"/>
      <c r="Q459" s="199"/>
      <c r="R459" s="199"/>
      <c r="S459" s="199"/>
      <c r="T459" s="199"/>
      <c r="U459" s="199"/>
      <c r="V459" s="199"/>
      <c r="W459" s="199"/>
      <c r="X459" s="199"/>
      <c r="Y459" s="199"/>
      <c r="Z459" s="199"/>
    </row>
    <row r="460">
      <c r="A460" s="199"/>
      <c r="B460" s="199"/>
      <c r="C460" s="199"/>
      <c r="D460" s="199"/>
      <c r="E460" s="202"/>
      <c r="F460" s="202"/>
      <c r="G460" s="199"/>
      <c r="H460" s="199"/>
      <c r="I460" s="199"/>
      <c r="J460" s="202"/>
      <c r="K460" s="202"/>
      <c r="L460" s="199"/>
      <c r="M460" s="199"/>
      <c r="N460" s="199"/>
      <c r="O460" s="199"/>
      <c r="P460" s="21"/>
      <c r="Q460" s="199"/>
      <c r="R460" s="199"/>
      <c r="S460" s="199"/>
      <c r="T460" s="199"/>
      <c r="U460" s="199"/>
      <c r="V460" s="199"/>
      <c r="W460" s="199"/>
      <c r="X460" s="199"/>
      <c r="Y460" s="199"/>
      <c r="Z460" s="199"/>
    </row>
    <row r="461">
      <c r="A461" s="199"/>
      <c r="B461" s="199"/>
      <c r="C461" s="199"/>
      <c r="D461" s="199"/>
      <c r="E461" s="202"/>
      <c r="F461" s="202"/>
      <c r="G461" s="199"/>
      <c r="H461" s="199"/>
      <c r="I461" s="199"/>
      <c r="J461" s="202"/>
      <c r="K461" s="202"/>
      <c r="L461" s="199"/>
      <c r="M461" s="199"/>
      <c r="N461" s="199"/>
      <c r="O461" s="199"/>
      <c r="P461" s="21"/>
      <c r="Q461" s="199"/>
      <c r="R461" s="199"/>
      <c r="S461" s="199"/>
      <c r="T461" s="199"/>
      <c r="U461" s="199"/>
      <c r="V461" s="199"/>
      <c r="W461" s="199"/>
      <c r="X461" s="199"/>
      <c r="Y461" s="199"/>
      <c r="Z461" s="199"/>
    </row>
    <row r="462">
      <c r="A462" s="199"/>
      <c r="B462" s="199"/>
      <c r="C462" s="199"/>
      <c r="D462" s="199"/>
      <c r="E462" s="202"/>
      <c r="F462" s="202"/>
      <c r="G462" s="199"/>
      <c r="H462" s="199"/>
      <c r="I462" s="199"/>
      <c r="J462" s="202"/>
      <c r="K462" s="202"/>
      <c r="L462" s="199"/>
      <c r="M462" s="199"/>
      <c r="N462" s="199"/>
      <c r="O462" s="199"/>
      <c r="P462" s="21"/>
      <c r="Q462" s="199"/>
      <c r="R462" s="199"/>
      <c r="S462" s="199"/>
      <c r="T462" s="199"/>
      <c r="U462" s="199"/>
      <c r="V462" s="199"/>
      <c r="W462" s="199"/>
      <c r="X462" s="199"/>
      <c r="Y462" s="199"/>
      <c r="Z462" s="199"/>
    </row>
    <row r="463">
      <c r="A463" s="199"/>
      <c r="B463" s="199"/>
      <c r="C463" s="199"/>
      <c r="D463" s="199"/>
      <c r="E463" s="202"/>
      <c r="F463" s="202"/>
      <c r="G463" s="199"/>
      <c r="H463" s="199"/>
      <c r="I463" s="199"/>
      <c r="J463" s="202"/>
      <c r="K463" s="202"/>
      <c r="L463" s="199"/>
      <c r="M463" s="199"/>
      <c r="N463" s="199"/>
      <c r="O463" s="199"/>
      <c r="P463" s="21"/>
      <c r="Q463" s="199"/>
      <c r="R463" s="199"/>
      <c r="S463" s="199"/>
      <c r="T463" s="199"/>
      <c r="U463" s="199"/>
      <c r="V463" s="199"/>
      <c r="W463" s="199"/>
      <c r="X463" s="199"/>
      <c r="Y463" s="199"/>
      <c r="Z463" s="199"/>
    </row>
    <row r="464">
      <c r="A464" s="199"/>
      <c r="B464" s="199"/>
      <c r="C464" s="199"/>
      <c r="D464" s="199"/>
      <c r="E464" s="202"/>
      <c r="F464" s="202"/>
      <c r="G464" s="199"/>
      <c r="H464" s="199"/>
      <c r="I464" s="199"/>
      <c r="J464" s="202"/>
      <c r="K464" s="202"/>
      <c r="L464" s="199"/>
      <c r="M464" s="199"/>
      <c r="N464" s="199"/>
      <c r="O464" s="199"/>
      <c r="P464" s="21"/>
      <c r="Q464" s="199"/>
      <c r="R464" s="199"/>
      <c r="S464" s="199"/>
      <c r="T464" s="199"/>
      <c r="U464" s="199"/>
      <c r="V464" s="199"/>
      <c r="W464" s="199"/>
      <c r="X464" s="199"/>
      <c r="Y464" s="199"/>
      <c r="Z464" s="199"/>
    </row>
    <row r="465">
      <c r="A465" s="199"/>
      <c r="B465" s="199"/>
      <c r="C465" s="199"/>
      <c r="D465" s="199"/>
      <c r="E465" s="202"/>
      <c r="F465" s="202"/>
      <c r="G465" s="199"/>
      <c r="H465" s="199"/>
      <c r="I465" s="199"/>
      <c r="J465" s="202"/>
      <c r="K465" s="202"/>
      <c r="L465" s="199"/>
      <c r="M465" s="199"/>
      <c r="N465" s="199"/>
      <c r="O465" s="199"/>
      <c r="P465" s="21"/>
      <c r="Q465" s="199"/>
      <c r="R465" s="199"/>
      <c r="S465" s="199"/>
      <c r="T465" s="199"/>
      <c r="U465" s="199"/>
      <c r="V465" s="199"/>
      <c r="W465" s="199"/>
      <c r="X465" s="199"/>
      <c r="Y465" s="199"/>
      <c r="Z465" s="199"/>
    </row>
    <row r="466">
      <c r="A466" s="199"/>
      <c r="B466" s="199"/>
      <c r="C466" s="199"/>
      <c r="D466" s="199"/>
      <c r="E466" s="202"/>
      <c r="F466" s="202"/>
      <c r="G466" s="199"/>
      <c r="H466" s="199"/>
      <c r="I466" s="199"/>
      <c r="J466" s="202"/>
      <c r="K466" s="202"/>
      <c r="L466" s="199"/>
      <c r="M466" s="199"/>
      <c r="N466" s="199"/>
      <c r="O466" s="199"/>
      <c r="P466" s="21"/>
      <c r="Q466" s="199"/>
      <c r="R466" s="199"/>
      <c r="S466" s="199"/>
      <c r="T466" s="199"/>
      <c r="U466" s="199"/>
      <c r="V466" s="199"/>
      <c r="W466" s="199"/>
      <c r="X466" s="199"/>
      <c r="Y466" s="199"/>
      <c r="Z466" s="199"/>
    </row>
    <row r="467">
      <c r="A467" s="199"/>
      <c r="B467" s="199"/>
      <c r="C467" s="199"/>
      <c r="D467" s="199"/>
      <c r="E467" s="202"/>
      <c r="F467" s="202"/>
      <c r="G467" s="199"/>
      <c r="H467" s="199"/>
      <c r="I467" s="199"/>
      <c r="J467" s="202"/>
      <c r="K467" s="202"/>
      <c r="L467" s="199"/>
      <c r="M467" s="199"/>
      <c r="N467" s="199"/>
      <c r="O467" s="199"/>
      <c r="P467" s="21"/>
      <c r="Q467" s="199"/>
      <c r="R467" s="199"/>
      <c r="S467" s="199"/>
      <c r="T467" s="199"/>
      <c r="U467" s="199"/>
      <c r="V467" s="199"/>
      <c r="W467" s="199"/>
      <c r="X467" s="199"/>
      <c r="Y467" s="199"/>
      <c r="Z467" s="199"/>
    </row>
    <row r="468">
      <c r="A468" s="199"/>
      <c r="B468" s="199"/>
      <c r="C468" s="199"/>
      <c r="D468" s="199"/>
      <c r="E468" s="202"/>
      <c r="F468" s="202"/>
      <c r="G468" s="199"/>
      <c r="H468" s="199"/>
      <c r="I468" s="199"/>
      <c r="J468" s="202"/>
      <c r="K468" s="202"/>
      <c r="L468" s="199"/>
      <c r="M468" s="199"/>
      <c r="N468" s="199"/>
      <c r="O468" s="199"/>
      <c r="P468" s="21"/>
      <c r="Q468" s="199"/>
      <c r="R468" s="199"/>
      <c r="S468" s="199"/>
      <c r="T468" s="199"/>
      <c r="U468" s="199"/>
      <c r="V468" s="199"/>
      <c r="W468" s="199"/>
      <c r="X468" s="199"/>
      <c r="Y468" s="199"/>
      <c r="Z468" s="199"/>
    </row>
    <row r="469">
      <c r="A469" s="199"/>
      <c r="B469" s="199"/>
      <c r="C469" s="199"/>
      <c r="D469" s="199"/>
      <c r="E469" s="202"/>
      <c r="F469" s="202"/>
      <c r="G469" s="199"/>
      <c r="H469" s="199"/>
      <c r="I469" s="199"/>
      <c r="J469" s="202"/>
      <c r="K469" s="202"/>
      <c r="L469" s="199"/>
      <c r="M469" s="199"/>
      <c r="N469" s="199"/>
      <c r="O469" s="199"/>
      <c r="P469" s="21"/>
      <c r="Q469" s="199"/>
      <c r="R469" s="199"/>
      <c r="S469" s="199"/>
      <c r="T469" s="199"/>
      <c r="U469" s="199"/>
      <c r="V469" s="199"/>
      <c r="W469" s="199"/>
      <c r="X469" s="199"/>
      <c r="Y469" s="199"/>
      <c r="Z469" s="199"/>
    </row>
    <row r="470">
      <c r="A470" s="199"/>
      <c r="B470" s="199"/>
      <c r="C470" s="199"/>
      <c r="D470" s="199"/>
      <c r="E470" s="202"/>
      <c r="F470" s="202"/>
      <c r="G470" s="199"/>
      <c r="H470" s="199"/>
      <c r="I470" s="199"/>
      <c r="J470" s="202"/>
      <c r="K470" s="202"/>
      <c r="L470" s="199"/>
      <c r="M470" s="199"/>
      <c r="N470" s="199"/>
      <c r="O470" s="199"/>
      <c r="P470" s="21"/>
      <c r="Q470" s="199"/>
      <c r="R470" s="199"/>
      <c r="S470" s="199"/>
      <c r="T470" s="199"/>
      <c r="U470" s="199"/>
      <c r="V470" s="199"/>
      <c r="W470" s="199"/>
      <c r="X470" s="199"/>
      <c r="Y470" s="199"/>
      <c r="Z470" s="199"/>
    </row>
    <row r="471">
      <c r="A471" s="199"/>
      <c r="B471" s="199"/>
      <c r="C471" s="199"/>
      <c r="D471" s="199"/>
      <c r="E471" s="202"/>
      <c r="F471" s="202"/>
      <c r="G471" s="199"/>
      <c r="H471" s="199"/>
      <c r="I471" s="199"/>
      <c r="J471" s="202"/>
      <c r="K471" s="202"/>
      <c r="L471" s="199"/>
      <c r="M471" s="199"/>
      <c r="N471" s="199"/>
      <c r="O471" s="199"/>
      <c r="P471" s="21"/>
      <c r="Q471" s="199"/>
      <c r="R471" s="199"/>
      <c r="S471" s="199"/>
      <c r="T471" s="199"/>
      <c r="U471" s="199"/>
      <c r="V471" s="199"/>
      <c r="W471" s="199"/>
      <c r="X471" s="199"/>
      <c r="Y471" s="199"/>
      <c r="Z471" s="199"/>
    </row>
    <row r="472">
      <c r="A472" s="199"/>
      <c r="B472" s="199"/>
      <c r="C472" s="199"/>
      <c r="D472" s="199"/>
      <c r="E472" s="202"/>
      <c r="F472" s="202"/>
      <c r="G472" s="199"/>
      <c r="H472" s="199"/>
      <c r="I472" s="199"/>
      <c r="J472" s="202"/>
      <c r="K472" s="202"/>
      <c r="L472" s="199"/>
      <c r="M472" s="199"/>
      <c r="N472" s="199"/>
      <c r="O472" s="199"/>
      <c r="P472" s="21"/>
      <c r="Q472" s="199"/>
      <c r="R472" s="199"/>
      <c r="S472" s="199"/>
      <c r="T472" s="199"/>
      <c r="U472" s="199"/>
      <c r="V472" s="199"/>
      <c r="W472" s="199"/>
      <c r="X472" s="199"/>
      <c r="Y472" s="199"/>
      <c r="Z472" s="199"/>
    </row>
    <row r="473">
      <c r="A473" s="199"/>
      <c r="B473" s="199"/>
      <c r="C473" s="199"/>
      <c r="D473" s="199"/>
      <c r="E473" s="202"/>
      <c r="F473" s="202"/>
      <c r="G473" s="199"/>
      <c r="H473" s="199"/>
      <c r="I473" s="199"/>
      <c r="J473" s="202"/>
      <c r="K473" s="202"/>
      <c r="L473" s="199"/>
      <c r="M473" s="199"/>
      <c r="N473" s="199"/>
      <c r="O473" s="199"/>
      <c r="P473" s="21"/>
      <c r="Q473" s="199"/>
      <c r="R473" s="199"/>
      <c r="S473" s="199"/>
      <c r="T473" s="199"/>
      <c r="U473" s="199"/>
      <c r="V473" s="199"/>
      <c r="W473" s="199"/>
      <c r="X473" s="199"/>
      <c r="Y473" s="199"/>
      <c r="Z473" s="199"/>
    </row>
    <row r="474">
      <c r="A474" s="199"/>
      <c r="B474" s="199"/>
      <c r="C474" s="199"/>
      <c r="D474" s="199"/>
      <c r="E474" s="202"/>
      <c r="F474" s="202"/>
      <c r="G474" s="199"/>
      <c r="H474" s="199"/>
      <c r="I474" s="199"/>
      <c r="J474" s="202"/>
      <c r="K474" s="202"/>
      <c r="L474" s="199"/>
      <c r="M474" s="199"/>
      <c r="N474" s="199"/>
      <c r="O474" s="199"/>
      <c r="P474" s="21"/>
      <c r="Q474" s="199"/>
      <c r="R474" s="199"/>
      <c r="S474" s="199"/>
      <c r="T474" s="199"/>
      <c r="U474" s="199"/>
      <c r="V474" s="199"/>
      <c r="W474" s="199"/>
      <c r="X474" s="199"/>
      <c r="Y474" s="199"/>
      <c r="Z474" s="199"/>
    </row>
    <row r="475">
      <c r="A475" s="199"/>
      <c r="B475" s="199"/>
      <c r="C475" s="199"/>
      <c r="D475" s="199"/>
      <c r="E475" s="202"/>
      <c r="F475" s="202"/>
      <c r="G475" s="199"/>
      <c r="H475" s="199"/>
      <c r="I475" s="199"/>
      <c r="J475" s="202"/>
      <c r="K475" s="202"/>
      <c r="L475" s="199"/>
      <c r="M475" s="199"/>
      <c r="N475" s="199"/>
      <c r="O475" s="199"/>
      <c r="P475" s="21"/>
      <c r="Q475" s="199"/>
      <c r="R475" s="199"/>
      <c r="S475" s="199"/>
      <c r="T475" s="199"/>
      <c r="U475" s="199"/>
      <c r="V475" s="199"/>
      <c r="W475" s="199"/>
      <c r="X475" s="199"/>
      <c r="Y475" s="199"/>
      <c r="Z475" s="199"/>
    </row>
    <row r="476">
      <c r="A476" s="199"/>
      <c r="B476" s="199"/>
      <c r="C476" s="199"/>
      <c r="D476" s="199"/>
      <c r="E476" s="202"/>
      <c r="F476" s="202"/>
      <c r="G476" s="199"/>
      <c r="H476" s="199"/>
      <c r="I476" s="199"/>
      <c r="J476" s="202"/>
      <c r="K476" s="202"/>
      <c r="L476" s="199"/>
      <c r="M476" s="199"/>
      <c r="N476" s="199"/>
      <c r="O476" s="199"/>
      <c r="P476" s="21"/>
      <c r="Q476" s="199"/>
      <c r="R476" s="199"/>
      <c r="S476" s="199"/>
      <c r="T476" s="199"/>
      <c r="U476" s="199"/>
      <c r="V476" s="199"/>
      <c r="W476" s="199"/>
      <c r="X476" s="199"/>
      <c r="Y476" s="199"/>
      <c r="Z476" s="199"/>
    </row>
    <row r="477">
      <c r="A477" s="199"/>
      <c r="B477" s="199"/>
      <c r="C477" s="199"/>
      <c r="D477" s="199"/>
      <c r="E477" s="202"/>
      <c r="F477" s="202"/>
      <c r="G477" s="199"/>
      <c r="H477" s="199"/>
      <c r="I477" s="199"/>
      <c r="J477" s="202"/>
      <c r="K477" s="202"/>
      <c r="L477" s="199"/>
      <c r="M477" s="199"/>
      <c r="N477" s="199"/>
      <c r="O477" s="199"/>
      <c r="P477" s="21"/>
      <c r="Q477" s="199"/>
      <c r="R477" s="199"/>
      <c r="S477" s="199"/>
      <c r="T477" s="199"/>
      <c r="U477" s="199"/>
      <c r="V477" s="199"/>
      <c r="W477" s="199"/>
      <c r="X477" s="199"/>
      <c r="Y477" s="199"/>
      <c r="Z477" s="199"/>
    </row>
    <row r="478">
      <c r="A478" s="199"/>
      <c r="B478" s="199"/>
      <c r="C478" s="199"/>
      <c r="D478" s="199"/>
      <c r="E478" s="202"/>
      <c r="F478" s="202"/>
      <c r="G478" s="199"/>
      <c r="H478" s="199"/>
      <c r="I478" s="199"/>
      <c r="J478" s="202"/>
      <c r="K478" s="202"/>
      <c r="L478" s="199"/>
      <c r="M478" s="199"/>
      <c r="N478" s="199"/>
      <c r="O478" s="199"/>
      <c r="P478" s="21"/>
      <c r="Q478" s="199"/>
      <c r="R478" s="199"/>
      <c r="S478" s="199"/>
      <c r="T478" s="199"/>
      <c r="U478" s="199"/>
      <c r="V478" s="199"/>
      <c r="W478" s="199"/>
      <c r="X478" s="199"/>
      <c r="Y478" s="199"/>
      <c r="Z478" s="199"/>
    </row>
    <row r="479">
      <c r="A479" s="199"/>
      <c r="B479" s="199"/>
      <c r="C479" s="199"/>
      <c r="D479" s="199"/>
      <c r="E479" s="202"/>
      <c r="F479" s="202"/>
      <c r="G479" s="199"/>
      <c r="H479" s="199"/>
      <c r="I479" s="199"/>
      <c r="J479" s="202"/>
      <c r="K479" s="202"/>
      <c r="L479" s="199"/>
      <c r="M479" s="199"/>
      <c r="N479" s="199"/>
      <c r="O479" s="199"/>
      <c r="P479" s="21"/>
      <c r="Q479" s="199"/>
      <c r="R479" s="199"/>
      <c r="S479" s="199"/>
      <c r="T479" s="199"/>
      <c r="U479" s="199"/>
      <c r="V479" s="199"/>
      <c r="W479" s="199"/>
      <c r="X479" s="199"/>
      <c r="Y479" s="199"/>
      <c r="Z479" s="199"/>
    </row>
    <row r="480">
      <c r="A480" s="199"/>
      <c r="B480" s="199"/>
      <c r="C480" s="199"/>
      <c r="D480" s="199"/>
      <c r="E480" s="202"/>
      <c r="F480" s="202"/>
      <c r="G480" s="199"/>
      <c r="H480" s="199"/>
      <c r="I480" s="199"/>
      <c r="J480" s="202"/>
      <c r="K480" s="202"/>
      <c r="L480" s="199"/>
      <c r="M480" s="199"/>
      <c r="N480" s="199"/>
      <c r="O480" s="199"/>
      <c r="P480" s="21"/>
      <c r="Q480" s="199"/>
      <c r="R480" s="199"/>
      <c r="S480" s="199"/>
      <c r="T480" s="199"/>
      <c r="U480" s="199"/>
      <c r="V480" s="199"/>
      <c r="W480" s="199"/>
      <c r="X480" s="199"/>
      <c r="Y480" s="199"/>
      <c r="Z480" s="199"/>
    </row>
    <row r="481">
      <c r="A481" s="199"/>
      <c r="B481" s="199"/>
      <c r="C481" s="199"/>
      <c r="D481" s="199"/>
      <c r="E481" s="202"/>
      <c r="F481" s="202"/>
      <c r="G481" s="199"/>
      <c r="H481" s="199"/>
      <c r="I481" s="199"/>
      <c r="J481" s="202"/>
      <c r="K481" s="202"/>
      <c r="L481" s="199"/>
      <c r="M481" s="199"/>
      <c r="N481" s="199"/>
      <c r="O481" s="199"/>
      <c r="P481" s="21"/>
      <c r="Q481" s="199"/>
      <c r="R481" s="199"/>
      <c r="S481" s="199"/>
      <c r="T481" s="199"/>
      <c r="U481" s="199"/>
      <c r="V481" s="199"/>
      <c r="W481" s="199"/>
      <c r="X481" s="199"/>
      <c r="Y481" s="199"/>
      <c r="Z481" s="199"/>
    </row>
    <row r="482">
      <c r="A482" s="199"/>
      <c r="B482" s="199"/>
      <c r="C482" s="199"/>
      <c r="D482" s="199"/>
      <c r="E482" s="202"/>
      <c r="F482" s="202"/>
      <c r="G482" s="199"/>
      <c r="H482" s="199"/>
      <c r="I482" s="199"/>
      <c r="J482" s="202"/>
      <c r="K482" s="202"/>
      <c r="L482" s="199"/>
      <c r="M482" s="199"/>
      <c r="N482" s="199"/>
      <c r="O482" s="199"/>
      <c r="P482" s="21"/>
      <c r="Q482" s="199"/>
      <c r="R482" s="199"/>
      <c r="S482" s="199"/>
      <c r="T482" s="199"/>
      <c r="U482" s="199"/>
      <c r="V482" s="199"/>
      <c r="W482" s="199"/>
      <c r="X482" s="199"/>
      <c r="Y482" s="199"/>
      <c r="Z482" s="199"/>
    </row>
    <row r="483">
      <c r="A483" s="199"/>
      <c r="B483" s="199"/>
      <c r="C483" s="199"/>
      <c r="D483" s="199"/>
      <c r="E483" s="202"/>
      <c r="F483" s="202"/>
      <c r="G483" s="199"/>
      <c r="H483" s="199"/>
      <c r="I483" s="199"/>
      <c r="J483" s="202"/>
      <c r="K483" s="202"/>
      <c r="L483" s="199"/>
      <c r="M483" s="199"/>
      <c r="N483" s="199"/>
      <c r="O483" s="199"/>
      <c r="P483" s="21"/>
      <c r="Q483" s="199"/>
      <c r="R483" s="199"/>
      <c r="S483" s="199"/>
      <c r="T483" s="199"/>
      <c r="U483" s="199"/>
      <c r="V483" s="199"/>
      <c r="W483" s="199"/>
      <c r="X483" s="199"/>
      <c r="Y483" s="199"/>
      <c r="Z483" s="199"/>
    </row>
    <row r="484">
      <c r="A484" s="199"/>
      <c r="B484" s="199"/>
      <c r="C484" s="199"/>
      <c r="D484" s="199"/>
      <c r="E484" s="202"/>
      <c r="F484" s="202"/>
      <c r="G484" s="199"/>
      <c r="H484" s="199"/>
      <c r="I484" s="199"/>
      <c r="J484" s="202"/>
      <c r="K484" s="202"/>
      <c r="L484" s="199"/>
      <c r="M484" s="199"/>
      <c r="N484" s="199"/>
      <c r="O484" s="199"/>
      <c r="P484" s="21"/>
      <c r="Q484" s="199"/>
      <c r="R484" s="199"/>
      <c r="S484" s="199"/>
      <c r="T484" s="199"/>
      <c r="U484" s="199"/>
      <c r="V484" s="199"/>
      <c r="W484" s="199"/>
      <c r="X484" s="199"/>
      <c r="Y484" s="199"/>
      <c r="Z484" s="199"/>
    </row>
    <row r="485">
      <c r="A485" s="199"/>
      <c r="B485" s="199"/>
      <c r="C485" s="199"/>
      <c r="D485" s="199"/>
      <c r="E485" s="202"/>
      <c r="F485" s="202"/>
      <c r="G485" s="199"/>
      <c r="H485" s="199"/>
      <c r="I485" s="199"/>
      <c r="J485" s="202"/>
      <c r="K485" s="202"/>
      <c r="L485" s="199"/>
      <c r="M485" s="199"/>
      <c r="N485" s="199"/>
      <c r="O485" s="199"/>
      <c r="P485" s="21"/>
      <c r="Q485" s="199"/>
      <c r="R485" s="199"/>
      <c r="S485" s="199"/>
      <c r="T485" s="199"/>
      <c r="U485" s="199"/>
      <c r="V485" s="199"/>
      <c r="W485" s="199"/>
      <c r="X485" s="199"/>
      <c r="Y485" s="199"/>
      <c r="Z485" s="199"/>
    </row>
    <row r="486">
      <c r="A486" s="199"/>
      <c r="B486" s="199"/>
      <c r="C486" s="199"/>
      <c r="D486" s="199"/>
      <c r="E486" s="202"/>
      <c r="F486" s="202"/>
      <c r="G486" s="199"/>
      <c r="H486" s="199"/>
      <c r="I486" s="199"/>
      <c r="J486" s="202"/>
      <c r="K486" s="202"/>
      <c r="L486" s="199"/>
      <c r="M486" s="199"/>
      <c r="N486" s="199"/>
      <c r="O486" s="199"/>
      <c r="P486" s="21"/>
      <c r="Q486" s="199"/>
      <c r="R486" s="199"/>
      <c r="S486" s="199"/>
      <c r="T486" s="199"/>
      <c r="U486" s="199"/>
      <c r="V486" s="199"/>
      <c r="W486" s="199"/>
      <c r="X486" s="199"/>
      <c r="Y486" s="199"/>
      <c r="Z486" s="199"/>
    </row>
    <row r="487">
      <c r="A487" s="199"/>
      <c r="B487" s="199"/>
      <c r="C487" s="199"/>
      <c r="D487" s="199"/>
      <c r="E487" s="202"/>
      <c r="F487" s="202"/>
      <c r="G487" s="199"/>
      <c r="H487" s="199"/>
      <c r="I487" s="199"/>
      <c r="J487" s="202"/>
      <c r="K487" s="202"/>
      <c r="L487" s="199"/>
      <c r="M487" s="199"/>
      <c r="N487" s="199"/>
      <c r="O487" s="199"/>
      <c r="P487" s="21"/>
      <c r="Q487" s="199"/>
      <c r="R487" s="199"/>
      <c r="S487" s="199"/>
      <c r="T487" s="199"/>
      <c r="U487" s="199"/>
      <c r="V487" s="199"/>
      <c r="W487" s="199"/>
      <c r="X487" s="199"/>
      <c r="Y487" s="199"/>
      <c r="Z487" s="199"/>
    </row>
    <row r="488">
      <c r="A488" s="199"/>
      <c r="B488" s="199"/>
      <c r="C488" s="199"/>
      <c r="D488" s="199"/>
      <c r="E488" s="202"/>
      <c r="F488" s="202"/>
      <c r="G488" s="199"/>
      <c r="H488" s="199"/>
      <c r="I488" s="199"/>
      <c r="J488" s="202"/>
      <c r="K488" s="202"/>
      <c r="L488" s="199"/>
      <c r="M488" s="199"/>
      <c r="N488" s="199"/>
      <c r="O488" s="199"/>
      <c r="P488" s="21"/>
      <c r="Q488" s="199"/>
      <c r="R488" s="199"/>
      <c r="S488" s="199"/>
      <c r="T488" s="199"/>
      <c r="U488" s="199"/>
      <c r="V488" s="199"/>
      <c r="W488" s="199"/>
      <c r="X488" s="199"/>
      <c r="Y488" s="199"/>
      <c r="Z488" s="199"/>
    </row>
    <row r="489">
      <c r="A489" s="199"/>
      <c r="B489" s="199"/>
      <c r="C489" s="199"/>
      <c r="D489" s="199"/>
      <c r="E489" s="202"/>
      <c r="F489" s="202"/>
      <c r="G489" s="199"/>
      <c r="H489" s="199"/>
      <c r="I489" s="199"/>
      <c r="J489" s="202"/>
      <c r="K489" s="202"/>
      <c r="L489" s="199"/>
      <c r="M489" s="199"/>
      <c r="N489" s="199"/>
      <c r="O489" s="199"/>
      <c r="P489" s="21"/>
      <c r="Q489" s="199"/>
      <c r="R489" s="199"/>
      <c r="S489" s="199"/>
      <c r="T489" s="199"/>
      <c r="U489" s="199"/>
      <c r="V489" s="199"/>
      <c r="W489" s="199"/>
      <c r="X489" s="199"/>
      <c r="Y489" s="199"/>
      <c r="Z489" s="199"/>
    </row>
    <row r="490">
      <c r="A490" s="199"/>
      <c r="B490" s="199"/>
      <c r="C490" s="199"/>
      <c r="D490" s="199"/>
      <c r="E490" s="202"/>
      <c r="F490" s="202"/>
      <c r="G490" s="199"/>
      <c r="H490" s="199"/>
      <c r="I490" s="199"/>
      <c r="J490" s="202"/>
      <c r="K490" s="202"/>
      <c r="L490" s="199"/>
      <c r="M490" s="199"/>
      <c r="N490" s="199"/>
      <c r="O490" s="199"/>
      <c r="P490" s="21"/>
      <c r="Q490" s="199"/>
      <c r="R490" s="199"/>
      <c r="S490" s="199"/>
      <c r="T490" s="199"/>
      <c r="U490" s="199"/>
      <c r="V490" s="199"/>
      <c r="W490" s="199"/>
      <c r="X490" s="199"/>
      <c r="Y490" s="199"/>
      <c r="Z490" s="199"/>
    </row>
    <row r="491">
      <c r="A491" s="199"/>
      <c r="B491" s="199"/>
      <c r="C491" s="199"/>
      <c r="D491" s="199"/>
      <c r="E491" s="202"/>
      <c r="F491" s="202"/>
      <c r="G491" s="199"/>
      <c r="H491" s="199"/>
      <c r="I491" s="199"/>
      <c r="J491" s="202"/>
      <c r="K491" s="202"/>
      <c r="L491" s="199"/>
      <c r="M491" s="199"/>
      <c r="N491" s="199"/>
      <c r="O491" s="199"/>
      <c r="P491" s="21"/>
      <c r="Q491" s="199"/>
      <c r="R491" s="199"/>
      <c r="S491" s="199"/>
      <c r="T491" s="199"/>
      <c r="U491" s="199"/>
      <c r="V491" s="199"/>
      <c r="W491" s="199"/>
      <c r="X491" s="199"/>
      <c r="Y491" s="199"/>
      <c r="Z491" s="199"/>
    </row>
    <row r="492">
      <c r="A492" s="199"/>
      <c r="B492" s="199"/>
      <c r="C492" s="199"/>
      <c r="D492" s="199"/>
      <c r="E492" s="202"/>
      <c r="F492" s="202"/>
      <c r="G492" s="199"/>
      <c r="H492" s="199"/>
      <c r="I492" s="199"/>
      <c r="J492" s="202"/>
      <c r="K492" s="202"/>
      <c r="L492" s="199"/>
      <c r="M492" s="199"/>
      <c r="N492" s="199"/>
      <c r="O492" s="199"/>
      <c r="P492" s="21"/>
      <c r="Q492" s="199"/>
      <c r="R492" s="199"/>
      <c r="S492" s="199"/>
      <c r="T492" s="199"/>
      <c r="U492" s="199"/>
      <c r="V492" s="199"/>
      <c r="W492" s="199"/>
      <c r="X492" s="199"/>
      <c r="Y492" s="199"/>
      <c r="Z492" s="199"/>
    </row>
    <row r="493">
      <c r="A493" s="199"/>
      <c r="B493" s="199"/>
      <c r="C493" s="199"/>
      <c r="D493" s="199"/>
      <c r="E493" s="202"/>
      <c r="F493" s="202"/>
      <c r="G493" s="199"/>
      <c r="H493" s="199"/>
      <c r="I493" s="199"/>
      <c r="J493" s="202"/>
      <c r="K493" s="202"/>
      <c r="L493" s="199"/>
      <c r="M493" s="199"/>
      <c r="N493" s="199"/>
      <c r="O493" s="199"/>
      <c r="P493" s="21"/>
      <c r="Q493" s="199"/>
      <c r="R493" s="199"/>
      <c r="S493" s="199"/>
      <c r="T493" s="199"/>
      <c r="U493" s="199"/>
      <c r="V493" s="199"/>
      <c r="W493" s="199"/>
      <c r="X493" s="199"/>
      <c r="Y493" s="199"/>
      <c r="Z493" s="199"/>
    </row>
    <row r="494">
      <c r="A494" s="199"/>
      <c r="B494" s="199"/>
      <c r="C494" s="199"/>
      <c r="D494" s="199"/>
      <c r="E494" s="202"/>
      <c r="F494" s="202"/>
      <c r="G494" s="199"/>
      <c r="H494" s="199"/>
      <c r="I494" s="199"/>
      <c r="J494" s="202"/>
      <c r="K494" s="202"/>
      <c r="L494" s="199"/>
      <c r="M494" s="199"/>
      <c r="N494" s="199"/>
      <c r="O494" s="199"/>
      <c r="P494" s="21"/>
      <c r="Q494" s="199"/>
      <c r="R494" s="199"/>
      <c r="S494" s="199"/>
      <c r="T494" s="199"/>
      <c r="U494" s="199"/>
      <c r="V494" s="199"/>
      <c r="W494" s="199"/>
      <c r="X494" s="199"/>
      <c r="Y494" s="199"/>
      <c r="Z494" s="199"/>
    </row>
    <row r="495">
      <c r="A495" s="199"/>
      <c r="B495" s="199"/>
      <c r="C495" s="199"/>
      <c r="D495" s="199"/>
      <c r="E495" s="202"/>
      <c r="F495" s="202"/>
      <c r="G495" s="199"/>
      <c r="H495" s="199"/>
      <c r="I495" s="199"/>
      <c r="J495" s="202"/>
      <c r="K495" s="202"/>
      <c r="L495" s="199"/>
      <c r="M495" s="199"/>
      <c r="N495" s="199"/>
      <c r="O495" s="199"/>
      <c r="P495" s="21"/>
      <c r="Q495" s="199"/>
      <c r="R495" s="199"/>
      <c r="S495" s="199"/>
      <c r="T495" s="199"/>
      <c r="U495" s="199"/>
      <c r="V495" s="199"/>
      <c r="W495" s="199"/>
      <c r="X495" s="199"/>
      <c r="Y495" s="199"/>
      <c r="Z495" s="199"/>
    </row>
    <row r="496">
      <c r="A496" s="199"/>
      <c r="B496" s="199"/>
      <c r="C496" s="199"/>
      <c r="D496" s="199"/>
      <c r="E496" s="202"/>
      <c r="F496" s="202"/>
      <c r="G496" s="199"/>
      <c r="H496" s="199"/>
      <c r="I496" s="199"/>
      <c r="J496" s="202"/>
      <c r="K496" s="202"/>
      <c r="L496" s="199"/>
      <c r="M496" s="199"/>
      <c r="N496" s="199"/>
      <c r="O496" s="199"/>
      <c r="P496" s="21"/>
      <c r="Q496" s="199"/>
      <c r="R496" s="199"/>
      <c r="S496" s="199"/>
      <c r="T496" s="199"/>
      <c r="U496" s="199"/>
      <c r="V496" s="199"/>
      <c r="W496" s="199"/>
      <c r="X496" s="199"/>
      <c r="Y496" s="199"/>
      <c r="Z496" s="199"/>
    </row>
    <row r="497">
      <c r="A497" s="199"/>
      <c r="B497" s="199"/>
      <c r="C497" s="199"/>
      <c r="D497" s="199"/>
      <c r="E497" s="202"/>
      <c r="F497" s="202"/>
      <c r="G497" s="199"/>
      <c r="H497" s="199"/>
      <c r="I497" s="199"/>
      <c r="J497" s="202"/>
      <c r="K497" s="202"/>
      <c r="L497" s="199"/>
      <c r="M497" s="199"/>
      <c r="N497" s="199"/>
      <c r="O497" s="199"/>
      <c r="P497" s="21"/>
      <c r="Q497" s="199"/>
      <c r="R497" s="199"/>
      <c r="S497" s="199"/>
      <c r="T497" s="199"/>
      <c r="U497" s="199"/>
      <c r="V497" s="199"/>
      <c r="W497" s="199"/>
      <c r="X497" s="199"/>
      <c r="Y497" s="199"/>
      <c r="Z497" s="199"/>
    </row>
    <row r="498">
      <c r="A498" s="199"/>
      <c r="B498" s="199"/>
      <c r="C498" s="199"/>
      <c r="D498" s="199"/>
      <c r="E498" s="202"/>
      <c r="F498" s="202"/>
      <c r="G498" s="199"/>
      <c r="H498" s="199"/>
      <c r="I498" s="199"/>
      <c r="J498" s="202"/>
      <c r="K498" s="202"/>
      <c r="L498" s="199"/>
      <c r="M498" s="199"/>
      <c r="N498" s="199"/>
      <c r="O498" s="199"/>
      <c r="P498" s="21"/>
      <c r="Q498" s="199"/>
      <c r="R498" s="199"/>
      <c r="S498" s="199"/>
      <c r="T498" s="199"/>
      <c r="U498" s="199"/>
      <c r="V498" s="199"/>
      <c r="W498" s="199"/>
      <c r="X498" s="199"/>
      <c r="Y498" s="199"/>
      <c r="Z498" s="199"/>
    </row>
    <row r="499">
      <c r="A499" s="199"/>
      <c r="B499" s="199"/>
      <c r="C499" s="199"/>
      <c r="D499" s="199"/>
      <c r="E499" s="202"/>
      <c r="F499" s="202"/>
      <c r="G499" s="199"/>
      <c r="H499" s="199"/>
      <c r="I499" s="199"/>
      <c r="J499" s="202"/>
      <c r="K499" s="202"/>
      <c r="L499" s="199"/>
      <c r="M499" s="199"/>
      <c r="N499" s="199"/>
      <c r="O499" s="199"/>
      <c r="P499" s="21"/>
      <c r="Q499" s="199"/>
      <c r="R499" s="199"/>
      <c r="S499" s="199"/>
      <c r="T499" s="199"/>
      <c r="U499" s="199"/>
      <c r="V499" s="199"/>
      <c r="W499" s="199"/>
      <c r="X499" s="199"/>
      <c r="Y499" s="199"/>
      <c r="Z499" s="199"/>
    </row>
    <row r="500">
      <c r="A500" s="199"/>
      <c r="B500" s="199"/>
      <c r="C500" s="199"/>
      <c r="D500" s="199"/>
      <c r="E500" s="202"/>
      <c r="F500" s="202"/>
      <c r="G500" s="199"/>
      <c r="H500" s="199"/>
      <c r="I500" s="199"/>
      <c r="J500" s="202"/>
      <c r="K500" s="202"/>
      <c r="L500" s="199"/>
      <c r="M500" s="199"/>
      <c r="N500" s="199"/>
      <c r="O500" s="199"/>
      <c r="P500" s="21"/>
      <c r="Q500" s="199"/>
      <c r="R500" s="199"/>
      <c r="S500" s="199"/>
      <c r="T500" s="199"/>
      <c r="U500" s="199"/>
      <c r="V500" s="199"/>
      <c r="W500" s="199"/>
      <c r="X500" s="199"/>
      <c r="Y500" s="199"/>
      <c r="Z500" s="199"/>
    </row>
    <row r="501">
      <c r="A501" s="199"/>
      <c r="B501" s="199"/>
      <c r="C501" s="199"/>
      <c r="D501" s="199"/>
      <c r="E501" s="202"/>
      <c r="F501" s="202"/>
      <c r="G501" s="199"/>
      <c r="H501" s="199"/>
      <c r="I501" s="199"/>
      <c r="J501" s="202"/>
      <c r="K501" s="202"/>
      <c r="L501" s="199"/>
      <c r="M501" s="199"/>
      <c r="N501" s="199"/>
      <c r="O501" s="199"/>
      <c r="P501" s="21"/>
      <c r="Q501" s="199"/>
      <c r="R501" s="199"/>
      <c r="S501" s="199"/>
      <c r="T501" s="199"/>
      <c r="U501" s="199"/>
      <c r="V501" s="199"/>
      <c r="W501" s="199"/>
      <c r="X501" s="199"/>
      <c r="Y501" s="199"/>
      <c r="Z501" s="199"/>
    </row>
    <row r="502">
      <c r="A502" s="199"/>
      <c r="B502" s="199"/>
      <c r="C502" s="199"/>
      <c r="D502" s="199"/>
      <c r="E502" s="202"/>
      <c r="F502" s="202"/>
      <c r="G502" s="199"/>
      <c r="H502" s="199"/>
      <c r="I502" s="199"/>
      <c r="J502" s="202"/>
      <c r="K502" s="202"/>
      <c r="L502" s="199"/>
      <c r="M502" s="199"/>
      <c r="N502" s="199"/>
      <c r="O502" s="199"/>
      <c r="P502" s="21"/>
      <c r="Q502" s="199"/>
      <c r="R502" s="199"/>
      <c r="S502" s="199"/>
      <c r="T502" s="199"/>
      <c r="U502" s="199"/>
      <c r="V502" s="199"/>
      <c r="W502" s="199"/>
      <c r="X502" s="199"/>
      <c r="Y502" s="199"/>
      <c r="Z502" s="199"/>
    </row>
    <row r="503">
      <c r="A503" s="199"/>
      <c r="B503" s="199"/>
      <c r="C503" s="199"/>
      <c r="D503" s="199"/>
      <c r="E503" s="202"/>
      <c r="F503" s="202"/>
      <c r="G503" s="199"/>
      <c r="H503" s="199"/>
      <c r="I503" s="199"/>
      <c r="J503" s="202"/>
      <c r="K503" s="202"/>
      <c r="L503" s="199"/>
      <c r="M503" s="199"/>
      <c r="N503" s="199"/>
      <c r="O503" s="199"/>
      <c r="P503" s="21"/>
      <c r="Q503" s="199"/>
      <c r="R503" s="199"/>
      <c r="S503" s="199"/>
      <c r="T503" s="199"/>
      <c r="U503" s="199"/>
      <c r="V503" s="199"/>
      <c r="W503" s="199"/>
      <c r="X503" s="199"/>
      <c r="Y503" s="199"/>
      <c r="Z503" s="199"/>
    </row>
    <row r="504">
      <c r="A504" s="199"/>
      <c r="B504" s="199"/>
      <c r="C504" s="199"/>
      <c r="D504" s="199"/>
      <c r="E504" s="202"/>
      <c r="F504" s="202"/>
      <c r="G504" s="199"/>
      <c r="H504" s="199"/>
      <c r="I504" s="199"/>
      <c r="J504" s="202"/>
      <c r="K504" s="202"/>
      <c r="L504" s="199"/>
      <c r="M504" s="199"/>
      <c r="N504" s="199"/>
      <c r="O504" s="199"/>
      <c r="P504" s="21"/>
      <c r="Q504" s="199"/>
      <c r="R504" s="199"/>
      <c r="S504" s="199"/>
      <c r="T504" s="199"/>
      <c r="U504" s="199"/>
      <c r="V504" s="199"/>
      <c r="W504" s="199"/>
      <c r="X504" s="199"/>
      <c r="Y504" s="199"/>
      <c r="Z504" s="199"/>
    </row>
    <row r="505">
      <c r="A505" s="199"/>
      <c r="B505" s="199"/>
      <c r="C505" s="199"/>
      <c r="D505" s="199"/>
      <c r="E505" s="202"/>
      <c r="F505" s="202"/>
      <c r="G505" s="199"/>
      <c r="H505" s="199"/>
      <c r="I505" s="199"/>
      <c r="J505" s="202"/>
      <c r="K505" s="202"/>
      <c r="L505" s="199"/>
      <c r="M505" s="199"/>
      <c r="N505" s="199"/>
      <c r="O505" s="199"/>
      <c r="P505" s="21"/>
      <c r="Q505" s="199"/>
      <c r="R505" s="199"/>
      <c r="S505" s="199"/>
      <c r="T505" s="199"/>
      <c r="U505" s="199"/>
      <c r="V505" s="199"/>
      <c r="W505" s="199"/>
      <c r="X505" s="199"/>
      <c r="Y505" s="199"/>
      <c r="Z505" s="199"/>
    </row>
    <row r="506">
      <c r="A506" s="199"/>
      <c r="B506" s="199"/>
      <c r="C506" s="199"/>
      <c r="D506" s="199"/>
      <c r="E506" s="202"/>
      <c r="F506" s="202"/>
      <c r="G506" s="199"/>
      <c r="H506" s="199"/>
      <c r="I506" s="199"/>
      <c r="J506" s="202"/>
      <c r="K506" s="202"/>
      <c r="L506" s="199"/>
      <c r="M506" s="199"/>
      <c r="N506" s="199"/>
      <c r="O506" s="199"/>
      <c r="P506" s="21"/>
      <c r="Q506" s="199"/>
      <c r="R506" s="199"/>
      <c r="S506" s="199"/>
      <c r="T506" s="199"/>
      <c r="U506" s="199"/>
      <c r="V506" s="199"/>
      <c r="W506" s="199"/>
      <c r="X506" s="199"/>
      <c r="Y506" s="199"/>
      <c r="Z506" s="199"/>
    </row>
    <row r="507">
      <c r="A507" s="199"/>
      <c r="B507" s="199"/>
      <c r="C507" s="199"/>
      <c r="D507" s="199"/>
      <c r="E507" s="202"/>
      <c r="F507" s="202"/>
      <c r="G507" s="199"/>
      <c r="H507" s="199"/>
      <c r="I507" s="199"/>
      <c r="J507" s="202"/>
      <c r="K507" s="202"/>
      <c r="L507" s="199"/>
      <c r="M507" s="199"/>
      <c r="N507" s="199"/>
      <c r="O507" s="199"/>
      <c r="P507" s="21"/>
      <c r="Q507" s="199"/>
      <c r="R507" s="199"/>
      <c r="S507" s="199"/>
      <c r="T507" s="199"/>
      <c r="U507" s="199"/>
      <c r="V507" s="199"/>
      <c r="W507" s="199"/>
      <c r="X507" s="199"/>
      <c r="Y507" s="199"/>
      <c r="Z507" s="199"/>
    </row>
    <row r="508">
      <c r="A508" s="199"/>
      <c r="B508" s="199"/>
      <c r="C508" s="199"/>
      <c r="D508" s="199"/>
      <c r="E508" s="202"/>
      <c r="F508" s="202"/>
      <c r="G508" s="199"/>
      <c r="H508" s="199"/>
      <c r="I508" s="199"/>
      <c r="J508" s="202"/>
      <c r="K508" s="202"/>
      <c r="L508" s="199"/>
      <c r="M508" s="199"/>
      <c r="N508" s="199"/>
      <c r="O508" s="199"/>
      <c r="P508" s="21"/>
      <c r="Q508" s="199"/>
      <c r="R508" s="199"/>
      <c r="S508" s="199"/>
      <c r="T508" s="199"/>
      <c r="U508" s="199"/>
      <c r="V508" s="199"/>
      <c r="W508" s="199"/>
      <c r="X508" s="199"/>
      <c r="Y508" s="199"/>
      <c r="Z508" s="199"/>
    </row>
    <row r="509">
      <c r="A509" s="199"/>
      <c r="B509" s="199"/>
      <c r="C509" s="199"/>
      <c r="D509" s="199"/>
      <c r="E509" s="202"/>
      <c r="F509" s="202"/>
      <c r="G509" s="199"/>
      <c r="H509" s="199"/>
      <c r="I509" s="199"/>
      <c r="J509" s="202"/>
      <c r="K509" s="202"/>
      <c r="L509" s="199"/>
      <c r="M509" s="199"/>
      <c r="N509" s="199"/>
      <c r="O509" s="199"/>
      <c r="P509" s="21"/>
      <c r="Q509" s="199"/>
      <c r="R509" s="199"/>
      <c r="S509" s="199"/>
      <c r="T509" s="199"/>
      <c r="U509" s="199"/>
      <c r="V509" s="199"/>
      <c r="W509" s="199"/>
      <c r="X509" s="199"/>
      <c r="Y509" s="199"/>
      <c r="Z509" s="199"/>
    </row>
    <row r="510">
      <c r="A510" s="199"/>
      <c r="B510" s="199"/>
      <c r="C510" s="199"/>
      <c r="D510" s="199"/>
      <c r="E510" s="202"/>
      <c r="F510" s="202"/>
      <c r="G510" s="199"/>
      <c r="H510" s="199"/>
      <c r="I510" s="199"/>
      <c r="J510" s="202"/>
      <c r="K510" s="202"/>
      <c r="L510" s="199"/>
      <c r="M510" s="199"/>
      <c r="N510" s="199"/>
      <c r="O510" s="199"/>
      <c r="P510" s="21"/>
      <c r="Q510" s="199"/>
      <c r="R510" s="199"/>
      <c r="S510" s="199"/>
      <c r="T510" s="199"/>
      <c r="U510" s="199"/>
      <c r="V510" s="199"/>
      <c r="W510" s="199"/>
      <c r="X510" s="199"/>
      <c r="Y510" s="199"/>
      <c r="Z510" s="199"/>
    </row>
    <row r="511">
      <c r="A511" s="199"/>
      <c r="B511" s="199"/>
      <c r="C511" s="199"/>
      <c r="D511" s="199"/>
      <c r="E511" s="202"/>
      <c r="F511" s="202"/>
      <c r="G511" s="199"/>
      <c r="H511" s="199"/>
      <c r="I511" s="199"/>
      <c r="J511" s="202"/>
      <c r="K511" s="202"/>
      <c r="L511" s="199"/>
      <c r="M511" s="199"/>
      <c r="N511" s="199"/>
      <c r="O511" s="199"/>
      <c r="P511" s="21"/>
      <c r="Q511" s="199"/>
      <c r="R511" s="199"/>
      <c r="S511" s="199"/>
      <c r="T511" s="199"/>
      <c r="U511" s="199"/>
      <c r="V511" s="199"/>
      <c r="W511" s="199"/>
      <c r="X511" s="199"/>
      <c r="Y511" s="199"/>
      <c r="Z511" s="199"/>
    </row>
    <row r="512">
      <c r="A512" s="199"/>
      <c r="B512" s="199"/>
      <c r="C512" s="199"/>
      <c r="D512" s="199"/>
      <c r="E512" s="202"/>
      <c r="F512" s="202"/>
      <c r="G512" s="199"/>
      <c r="H512" s="199"/>
      <c r="I512" s="199"/>
      <c r="J512" s="202"/>
      <c r="K512" s="202"/>
      <c r="L512" s="199"/>
      <c r="M512" s="199"/>
      <c r="N512" s="199"/>
      <c r="O512" s="199"/>
      <c r="P512" s="21"/>
      <c r="Q512" s="199"/>
      <c r="R512" s="199"/>
      <c r="S512" s="199"/>
      <c r="T512" s="199"/>
      <c r="U512" s="199"/>
      <c r="V512" s="199"/>
      <c r="W512" s="199"/>
      <c r="X512" s="199"/>
      <c r="Y512" s="199"/>
      <c r="Z512" s="199"/>
    </row>
    <row r="513">
      <c r="A513" s="199"/>
      <c r="B513" s="199"/>
      <c r="C513" s="199"/>
      <c r="D513" s="199"/>
      <c r="E513" s="202"/>
      <c r="F513" s="202"/>
      <c r="G513" s="199"/>
      <c r="H513" s="199"/>
      <c r="I513" s="199"/>
      <c r="J513" s="202"/>
      <c r="K513" s="202"/>
      <c r="L513" s="199"/>
      <c r="M513" s="199"/>
      <c r="N513" s="199"/>
      <c r="O513" s="199"/>
      <c r="P513" s="21"/>
      <c r="Q513" s="199"/>
      <c r="R513" s="199"/>
      <c r="S513" s="199"/>
      <c r="T513" s="199"/>
      <c r="U513" s="199"/>
      <c r="V513" s="199"/>
      <c r="W513" s="199"/>
      <c r="X513" s="199"/>
      <c r="Y513" s="199"/>
      <c r="Z513" s="199"/>
    </row>
    <row r="514">
      <c r="A514" s="199"/>
      <c r="B514" s="199"/>
      <c r="C514" s="199"/>
      <c r="D514" s="199"/>
      <c r="E514" s="202"/>
      <c r="F514" s="202"/>
      <c r="G514" s="199"/>
      <c r="H514" s="199"/>
      <c r="I514" s="199"/>
      <c r="J514" s="202"/>
      <c r="K514" s="202"/>
      <c r="L514" s="199"/>
      <c r="M514" s="199"/>
      <c r="N514" s="199"/>
      <c r="O514" s="199"/>
      <c r="P514" s="21"/>
      <c r="Q514" s="199"/>
      <c r="R514" s="199"/>
      <c r="S514" s="199"/>
      <c r="T514" s="199"/>
      <c r="U514" s="199"/>
      <c r="V514" s="199"/>
      <c r="W514" s="199"/>
      <c r="X514" s="199"/>
      <c r="Y514" s="199"/>
      <c r="Z514" s="199"/>
    </row>
    <row r="515">
      <c r="A515" s="199"/>
      <c r="B515" s="199"/>
      <c r="C515" s="199"/>
      <c r="D515" s="199"/>
      <c r="E515" s="202"/>
      <c r="F515" s="202"/>
      <c r="G515" s="199"/>
      <c r="H515" s="199"/>
      <c r="I515" s="199"/>
      <c r="J515" s="202"/>
      <c r="K515" s="202"/>
      <c r="L515" s="199"/>
      <c r="M515" s="199"/>
      <c r="N515" s="199"/>
      <c r="O515" s="199"/>
      <c r="P515" s="21"/>
      <c r="Q515" s="199"/>
      <c r="R515" s="199"/>
      <c r="S515" s="199"/>
      <c r="T515" s="199"/>
      <c r="U515" s="199"/>
      <c r="V515" s="199"/>
      <c r="W515" s="199"/>
      <c r="X515" s="199"/>
      <c r="Y515" s="199"/>
      <c r="Z515" s="199"/>
    </row>
    <row r="516">
      <c r="A516" s="199"/>
      <c r="B516" s="199"/>
      <c r="C516" s="199"/>
      <c r="D516" s="199"/>
      <c r="E516" s="202"/>
      <c r="F516" s="202"/>
      <c r="G516" s="199"/>
      <c r="H516" s="199"/>
      <c r="I516" s="199"/>
      <c r="J516" s="202"/>
      <c r="K516" s="202"/>
      <c r="L516" s="199"/>
      <c r="M516" s="199"/>
      <c r="N516" s="199"/>
      <c r="O516" s="199"/>
      <c r="P516" s="21"/>
      <c r="Q516" s="199"/>
      <c r="R516" s="199"/>
      <c r="S516" s="199"/>
      <c r="T516" s="199"/>
      <c r="U516" s="199"/>
      <c r="V516" s="199"/>
      <c r="W516" s="199"/>
      <c r="X516" s="199"/>
      <c r="Y516" s="199"/>
      <c r="Z516" s="199"/>
    </row>
    <row r="517">
      <c r="A517" s="199"/>
      <c r="B517" s="199"/>
      <c r="C517" s="199"/>
      <c r="D517" s="199"/>
      <c r="E517" s="202"/>
      <c r="F517" s="202"/>
      <c r="G517" s="199"/>
      <c r="H517" s="199"/>
      <c r="I517" s="199"/>
      <c r="J517" s="202"/>
      <c r="K517" s="202"/>
      <c r="L517" s="199"/>
      <c r="M517" s="199"/>
      <c r="N517" s="199"/>
      <c r="O517" s="199"/>
      <c r="P517" s="21"/>
      <c r="Q517" s="199"/>
      <c r="R517" s="199"/>
      <c r="S517" s="199"/>
      <c r="T517" s="199"/>
      <c r="U517" s="199"/>
      <c r="V517" s="199"/>
      <c r="W517" s="199"/>
      <c r="X517" s="199"/>
      <c r="Y517" s="199"/>
      <c r="Z517" s="199"/>
    </row>
    <row r="518">
      <c r="A518" s="199"/>
      <c r="B518" s="199"/>
      <c r="C518" s="199"/>
      <c r="D518" s="199"/>
      <c r="E518" s="202"/>
      <c r="F518" s="202"/>
      <c r="G518" s="199"/>
      <c r="H518" s="199"/>
      <c r="I518" s="199"/>
      <c r="J518" s="202"/>
      <c r="K518" s="202"/>
      <c r="L518" s="199"/>
      <c r="M518" s="199"/>
      <c r="N518" s="199"/>
      <c r="O518" s="199"/>
      <c r="P518" s="21"/>
      <c r="Q518" s="199"/>
      <c r="R518" s="199"/>
      <c r="S518" s="199"/>
      <c r="T518" s="199"/>
      <c r="U518" s="199"/>
      <c r="V518" s="199"/>
      <c r="W518" s="199"/>
      <c r="X518" s="199"/>
      <c r="Y518" s="199"/>
      <c r="Z518" s="199"/>
    </row>
    <row r="519">
      <c r="A519" s="199"/>
      <c r="B519" s="199"/>
      <c r="C519" s="199"/>
      <c r="D519" s="199"/>
      <c r="E519" s="202"/>
      <c r="F519" s="202"/>
      <c r="G519" s="199"/>
      <c r="H519" s="199"/>
      <c r="I519" s="199"/>
      <c r="J519" s="202"/>
      <c r="K519" s="202"/>
      <c r="L519" s="199"/>
      <c r="M519" s="199"/>
      <c r="N519" s="199"/>
      <c r="O519" s="199"/>
      <c r="P519" s="21"/>
      <c r="Q519" s="199"/>
      <c r="R519" s="199"/>
      <c r="S519" s="199"/>
      <c r="T519" s="199"/>
      <c r="U519" s="199"/>
      <c r="V519" s="199"/>
      <c r="W519" s="199"/>
      <c r="X519" s="199"/>
      <c r="Y519" s="199"/>
      <c r="Z519" s="199"/>
    </row>
    <row r="520">
      <c r="A520" s="199"/>
      <c r="B520" s="199"/>
      <c r="C520" s="199"/>
      <c r="D520" s="199"/>
      <c r="E520" s="202"/>
      <c r="F520" s="202"/>
      <c r="G520" s="199"/>
      <c r="H520" s="199"/>
      <c r="I520" s="199"/>
      <c r="J520" s="202"/>
      <c r="K520" s="202"/>
      <c r="L520" s="199"/>
      <c r="M520" s="199"/>
      <c r="N520" s="199"/>
      <c r="O520" s="199"/>
      <c r="P520" s="21"/>
      <c r="Q520" s="199"/>
      <c r="R520" s="199"/>
      <c r="S520" s="199"/>
      <c r="T520" s="199"/>
      <c r="U520" s="199"/>
      <c r="V520" s="199"/>
      <c r="W520" s="199"/>
      <c r="X520" s="199"/>
      <c r="Y520" s="199"/>
      <c r="Z520" s="199"/>
    </row>
    <row r="521">
      <c r="A521" s="199"/>
      <c r="B521" s="199"/>
      <c r="C521" s="199"/>
      <c r="D521" s="199"/>
      <c r="E521" s="202"/>
      <c r="F521" s="202"/>
      <c r="G521" s="199"/>
      <c r="H521" s="199"/>
      <c r="I521" s="199"/>
      <c r="J521" s="202"/>
      <c r="K521" s="202"/>
      <c r="L521" s="199"/>
      <c r="M521" s="199"/>
      <c r="N521" s="199"/>
      <c r="O521" s="199"/>
      <c r="P521" s="21"/>
      <c r="Q521" s="199"/>
      <c r="R521" s="199"/>
      <c r="S521" s="199"/>
      <c r="T521" s="199"/>
      <c r="U521" s="199"/>
      <c r="V521" s="199"/>
      <c r="W521" s="199"/>
      <c r="X521" s="199"/>
      <c r="Y521" s="199"/>
      <c r="Z521" s="199"/>
    </row>
    <row r="522">
      <c r="A522" s="199"/>
      <c r="B522" s="199"/>
      <c r="C522" s="199"/>
      <c r="D522" s="199"/>
      <c r="E522" s="202"/>
      <c r="F522" s="202"/>
      <c r="G522" s="199"/>
      <c r="H522" s="199"/>
      <c r="I522" s="199"/>
      <c r="J522" s="202"/>
      <c r="K522" s="202"/>
      <c r="L522" s="199"/>
      <c r="M522" s="199"/>
      <c r="N522" s="199"/>
      <c r="O522" s="199"/>
      <c r="P522" s="21"/>
      <c r="Q522" s="199"/>
      <c r="R522" s="199"/>
      <c r="S522" s="199"/>
      <c r="T522" s="199"/>
      <c r="U522" s="199"/>
      <c r="V522" s="199"/>
      <c r="W522" s="199"/>
      <c r="X522" s="199"/>
      <c r="Y522" s="199"/>
      <c r="Z522" s="199"/>
    </row>
    <row r="523">
      <c r="A523" s="199"/>
      <c r="B523" s="199"/>
      <c r="C523" s="199"/>
      <c r="D523" s="199"/>
      <c r="E523" s="202"/>
      <c r="F523" s="202"/>
      <c r="G523" s="199"/>
      <c r="H523" s="199"/>
      <c r="I523" s="199"/>
      <c r="J523" s="202"/>
      <c r="K523" s="202"/>
      <c r="L523" s="199"/>
      <c r="M523" s="199"/>
      <c r="N523" s="199"/>
      <c r="O523" s="199"/>
      <c r="P523" s="21"/>
      <c r="Q523" s="199"/>
      <c r="R523" s="199"/>
      <c r="S523" s="199"/>
      <c r="T523" s="199"/>
      <c r="U523" s="199"/>
      <c r="V523" s="199"/>
      <c r="W523" s="199"/>
      <c r="X523" s="199"/>
      <c r="Y523" s="199"/>
      <c r="Z523" s="199"/>
    </row>
    <row r="524">
      <c r="A524" s="199"/>
      <c r="B524" s="199"/>
      <c r="C524" s="199"/>
      <c r="D524" s="199"/>
      <c r="E524" s="202"/>
      <c r="F524" s="202"/>
      <c r="G524" s="199"/>
      <c r="H524" s="199"/>
      <c r="I524" s="199"/>
      <c r="J524" s="202"/>
      <c r="K524" s="202"/>
      <c r="L524" s="199"/>
      <c r="M524" s="199"/>
      <c r="N524" s="199"/>
      <c r="O524" s="199"/>
      <c r="P524" s="21"/>
      <c r="Q524" s="199"/>
      <c r="R524" s="199"/>
      <c r="S524" s="199"/>
      <c r="T524" s="199"/>
      <c r="U524" s="199"/>
      <c r="V524" s="199"/>
      <c r="W524" s="199"/>
      <c r="X524" s="199"/>
      <c r="Y524" s="199"/>
      <c r="Z524" s="199"/>
    </row>
    <row r="525">
      <c r="A525" s="199"/>
      <c r="B525" s="199"/>
      <c r="C525" s="199"/>
      <c r="D525" s="199"/>
      <c r="E525" s="202"/>
      <c r="F525" s="202"/>
      <c r="G525" s="199"/>
      <c r="H525" s="199"/>
      <c r="I525" s="199"/>
      <c r="J525" s="202"/>
      <c r="K525" s="202"/>
      <c r="L525" s="199"/>
      <c r="M525" s="199"/>
      <c r="N525" s="199"/>
      <c r="O525" s="199"/>
      <c r="P525" s="21"/>
      <c r="Q525" s="199"/>
      <c r="R525" s="199"/>
      <c r="S525" s="199"/>
      <c r="T525" s="199"/>
      <c r="U525" s="199"/>
      <c r="V525" s="199"/>
      <c r="W525" s="199"/>
      <c r="X525" s="199"/>
      <c r="Y525" s="199"/>
      <c r="Z525" s="199"/>
    </row>
    <row r="526">
      <c r="A526" s="199"/>
      <c r="B526" s="199"/>
      <c r="C526" s="199"/>
      <c r="D526" s="199"/>
      <c r="E526" s="202"/>
      <c r="F526" s="202"/>
      <c r="G526" s="199"/>
      <c r="H526" s="199"/>
      <c r="I526" s="199"/>
      <c r="J526" s="202"/>
      <c r="K526" s="202"/>
      <c r="L526" s="199"/>
      <c r="M526" s="199"/>
      <c r="N526" s="199"/>
      <c r="O526" s="199"/>
      <c r="P526" s="21"/>
      <c r="Q526" s="199"/>
      <c r="R526" s="199"/>
      <c r="S526" s="199"/>
      <c r="T526" s="199"/>
      <c r="U526" s="199"/>
      <c r="V526" s="199"/>
      <c r="W526" s="199"/>
      <c r="X526" s="199"/>
      <c r="Y526" s="199"/>
      <c r="Z526" s="199"/>
    </row>
    <row r="527">
      <c r="A527" s="199"/>
      <c r="B527" s="199"/>
      <c r="C527" s="199"/>
      <c r="D527" s="199"/>
      <c r="E527" s="202"/>
      <c r="F527" s="202"/>
      <c r="G527" s="199"/>
      <c r="H527" s="199"/>
      <c r="I527" s="199"/>
      <c r="J527" s="202"/>
      <c r="K527" s="202"/>
      <c r="L527" s="199"/>
      <c r="M527" s="199"/>
      <c r="N527" s="199"/>
      <c r="O527" s="199"/>
      <c r="P527" s="21"/>
      <c r="Q527" s="199"/>
      <c r="R527" s="199"/>
      <c r="S527" s="199"/>
      <c r="T527" s="199"/>
      <c r="U527" s="199"/>
      <c r="V527" s="199"/>
      <c r="W527" s="199"/>
      <c r="X527" s="199"/>
      <c r="Y527" s="199"/>
      <c r="Z527" s="199"/>
    </row>
    <row r="528">
      <c r="A528" s="199"/>
      <c r="B528" s="199"/>
      <c r="C528" s="199"/>
      <c r="D528" s="199"/>
      <c r="E528" s="202"/>
      <c r="F528" s="202"/>
      <c r="G528" s="199"/>
      <c r="H528" s="199"/>
      <c r="I528" s="199"/>
      <c r="J528" s="202"/>
      <c r="K528" s="202"/>
      <c r="L528" s="199"/>
      <c r="M528" s="199"/>
      <c r="N528" s="199"/>
      <c r="O528" s="199"/>
      <c r="P528" s="21"/>
      <c r="Q528" s="199"/>
      <c r="R528" s="199"/>
      <c r="S528" s="199"/>
      <c r="T528" s="199"/>
      <c r="U528" s="199"/>
      <c r="V528" s="199"/>
      <c r="W528" s="199"/>
      <c r="X528" s="199"/>
      <c r="Y528" s="199"/>
      <c r="Z528" s="199"/>
    </row>
    <row r="529">
      <c r="A529" s="199"/>
      <c r="B529" s="199"/>
      <c r="C529" s="199"/>
      <c r="D529" s="199"/>
      <c r="E529" s="202"/>
      <c r="F529" s="202"/>
      <c r="G529" s="199"/>
      <c r="H529" s="199"/>
      <c r="I529" s="199"/>
      <c r="J529" s="202"/>
      <c r="K529" s="202"/>
      <c r="L529" s="199"/>
      <c r="M529" s="199"/>
      <c r="N529" s="199"/>
      <c r="O529" s="199"/>
      <c r="P529" s="21"/>
      <c r="Q529" s="199"/>
      <c r="R529" s="199"/>
      <c r="S529" s="199"/>
      <c r="T529" s="199"/>
      <c r="U529" s="199"/>
      <c r="V529" s="199"/>
      <c r="W529" s="199"/>
      <c r="X529" s="199"/>
      <c r="Y529" s="199"/>
      <c r="Z529" s="199"/>
    </row>
    <row r="530">
      <c r="A530" s="199"/>
      <c r="B530" s="199"/>
      <c r="C530" s="199"/>
      <c r="D530" s="199"/>
      <c r="E530" s="202"/>
      <c r="F530" s="202"/>
      <c r="G530" s="199"/>
      <c r="H530" s="199"/>
      <c r="I530" s="199"/>
      <c r="J530" s="202"/>
      <c r="K530" s="202"/>
      <c r="L530" s="199"/>
      <c r="M530" s="199"/>
      <c r="N530" s="199"/>
      <c r="O530" s="199"/>
      <c r="P530" s="21"/>
      <c r="Q530" s="199"/>
      <c r="R530" s="199"/>
      <c r="S530" s="199"/>
      <c r="T530" s="199"/>
      <c r="U530" s="199"/>
      <c r="V530" s="199"/>
      <c r="W530" s="199"/>
      <c r="X530" s="199"/>
      <c r="Y530" s="199"/>
      <c r="Z530" s="199"/>
    </row>
    <row r="531">
      <c r="A531" s="199"/>
      <c r="B531" s="199"/>
      <c r="C531" s="199"/>
      <c r="D531" s="199"/>
      <c r="E531" s="202"/>
      <c r="F531" s="202"/>
      <c r="G531" s="199"/>
      <c r="H531" s="199"/>
      <c r="I531" s="199"/>
      <c r="J531" s="202"/>
      <c r="K531" s="202"/>
      <c r="L531" s="199"/>
      <c r="M531" s="199"/>
      <c r="N531" s="199"/>
      <c r="O531" s="199"/>
      <c r="P531" s="21"/>
      <c r="Q531" s="199"/>
      <c r="R531" s="199"/>
      <c r="S531" s="199"/>
      <c r="T531" s="199"/>
      <c r="U531" s="199"/>
      <c r="V531" s="199"/>
      <c r="W531" s="199"/>
      <c r="X531" s="199"/>
      <c r="Y531" s="199"/>
      <c r="Z531" s="199"/>
    </row>
    <row r="532">
      <c r="A532" s="199"/>
      <c r="B532" s="199"/>
      <c r="C532" s="199"/>
      <c r="D532" s="199"/>
      <c r="E532" s="202"/>
      <c r="F532" s="202"/>
      <c r="G532" s="199"/>
      <c r="H532" s="199"/>
      <c r="I532" s="199"/>
      <c r="J532" s="202"/>
      <c r="K532" s="202"/>
      <c r="L532" s="199"/>
      <c r="M532" s="199"/>
      <c r="N532" s="199"/>
      <c r="O532" s="199"/>
      <c r="P532" s="21"/>
      <c r="Q532" s="199"/>
      <c r="R532" s="199"/>
      <c r="S532" s="199"/>
      <c r="T532" s="199"/>
      <c r="U532" s="199"/>
      <c r="V532" s="199"/>
      <c r="W532" s="199"/>
      <c r="X532" s="199"/>
      <c r="Y532" s="199"/>
      <c r="Z532" s="199"/>
    </row>
    <row r="533">
      <c r="A533" s="199"/>
      <c r="B533" s="199"/>
      <c r="C533" s="199"/>
      <c r="D533" s="199"/>
      <c r="E533" s="202"/>
      <c r="F533" s="202"/>
      <c r="G533" s="199"/>
      <c r="H533" s="199"/>
      <c r="I533" s="199"/>
      <c r="J533" s="202"/>
      <c r="K533" s="202"/>
      <c r="L533" s="199"/>
      <c r="M533" s="199"/>
      <c r="N533" s="199"/>
      <c r="O533" s="199"/>
      <c r="P533" s="21"/>
      <c r="Q533" s="199"/>
      <c r="R533" s="199"/>
      <c r="S533" s="199"/>
      <c r="T533" s="199"/>
      <c r="U533" s="199"/>
      <c r="V533" s="199"/>
      <c r="W533" s="199"/>
      <c r="X533" s="199"/>
      <c r="Y533" s="199"/>
      <c r="Z533" s="199"/>
    </row>
    <row r="534">
      <c r="A534" s="199"/>
      <c r="B534" s="199"/>
      <c r="C534" s="199"/>
      <c r="D534" s="199"/>
      <c r="E534" s="202"/>
      <c r="F534" s="202"/>
      <c r="G534" s="199"/>
      <c r="H534" s="199"/>
      <c r="I534" s="199"/>
      <c r="J534" s="202"/>
      <c r="K534" s="202"/>
      <c r="L534" s="199"/>
      <c r="M534" s="199"/>
      <c r="N534" s="199"/>
      <c r="O534" s="199"/>
      <c r="P534" s="21"/>
      <c r="Q534" s="199"/>
      <c r="R534" s="199"/>
      <c r="S534" s="199"/>
      <c r="T534" s="199"/>
      <c r="U534" s="199"/>
      <c r="V534" s="199"/>
      <c r="W534" s="199"/>
      <c r="X534" s="199"/>
      <c r="Y534" s="199"/>
      <c r="Z534" s="199"/>
    </row>
    <row r="535">
      <c r="A535" s="199"/>
      <c r="B535" s="199"/>
      <c r="C535" s="199"/>
      <c r="D535" s="199"/>
      <c r="E535" s="202"/>
      <c r="F535" s="202"/>
      <c r="G535" s="199"/>
      <c r="H535" s="199"/>
      <c r="I535" s="199"/>
      <c r="J535" s="202"/>
      <c r="K535" s="202"/>
      <c r="L535" s="199"/>
      <c r="M535" s="199"/>
      <c r="N535" s="199"/>
      <c r="O535" s="199"/>
      <c r="P535" s="21"/>
      <c r="Q535" s="199"/>
      <c r="R535" s="199"/>
      <c r="S535" s="199"/>
      <c r="T535" s="199"/>
      <c r="U535" s="199"/>
      <c r="V535" s="199"/>
      <c r="W535" s="199"/>
      <c r="X535" s="199"/>
      <c r="Y535" s="199"/>
      <c r="Z535" s="199"/>
    </row>
    <row r="536">
      <c r="A536" s="199"/>
      <c r="B536" s="199"/>
      <c r="C536" s="199"/>
      <c r="D536" s="199"/>
      <c r="E536" s="202"/>
      <c r="F536" s="202"/>
      <c r="G536" s="199"/>
      <c r="H536" s="199"/>
      <c r="I536" s="199"/>
      <c r="J536" s="202"/>
      <c r="K536" s="202"/>
      <c r="L536" s="199"/>
      <c r="M536" s="199"/>
      <c r="N536" s="199"/>
      <c r="O536" s="199"/>
      <c r="P536" s="21"/>
      <c r="Q536" s="199"/>
      <c r="R536" s="199"/>
      <c r="S536" s="199"/>
      <c r="T536" s="199"/>
      <c r="U536" s="199"/>
      <c r="V536" s="199"/>
      <c r="W536" s="199"/>
      <c r="X536" s="199"/>
      <c r="Y536" s="199"/>
      <c r="Z536" s="199"/>
    </row>
    <row r="537">
      <c r="A537" s="199"/>
      <c r="B537" s="199"/>
      <c r="C537" s="199"/>
      <c r="D537" s="199"/>
      <c r="E537" s="202"/>
      <c r="F537" s="202"/>
      <c r="G537" s="199"/>
      <c r="H537" s="199"/>
      <c r="I537" s="199"/>
      <c r="J537" s="202"/>
      <c r="K537" s="202"/>
      <c r="L537" s="199"/>
      <c r="M537" s="199"/>
      <c r="N537" s="199"/>
      <c r="O537" s="199"/>
      <c r="P537" s="21"/>
      <c r="Q537" s="199"/>
      <c r="R537" s="199"/>
      <c r="S537" s="199"/>
      <c r="T537" s="199"/>
      <c r="U537" s="199"/>
      <c r="V537" s="199"/>
      <c r="W537" s="199"/>
      <c r="X537" s="199"/>
      <c r="Y537" s="199"/>
      <c r="Z537" s="199"/>
    </row>
    <row r="538">
      <c r="A538" s="199"/>
      <c r="B538" s="199"/>
      <c r="C538" s="199"/>
      <c r="D538" s="199"/>
      <c r="E538" s="202"/>
      <c r="F538" s="202"/>
      <c r="G538" s="199"/>
      <c r="H538" s="199"/>
      <c r="I538" s="199"/>
      <c r="J538" s="202"/>
      <c r="K538" s="202"/>
      <c r="L538" s="199"/>
      <c r="M538" s="199"/>
      <c r="N538" s="199"/>
      <c r="O538" s="199"/>
      <c r="P538" s="21"/>
      <c r="Q538" s="199"/>
      <c r="R538" s="199"/>
      <c r="S538" s="199"/>
      <c r="T538" s="199"/>
      <c r="U538" s="199"/>
      <c r="V538" s="199"/>
      <c r="W538" s="199"/>
      <c r="X538" s="199"/>
      <c r="Y538" s="199"/>
      <c r="Z538" s="199"/>
    </row>
    <row r="539">
      <c r="A539" s="199"/>
      <c r="B539" s="199"/>
      <c r="C539" s="199"/>
      <c r="D539" s="199"/>
      <c r="E539" s="202"/>
      <c r="F539" s="202"/>
      <c r="G539" s="199"/>
      <c r="H539" s="199"/>
      <c r="I539" s="199"/>
      <c r="J539" s="202"/>
      <c r="K539" s="202"/>
      <c r="L539" s="199"/>
      <c r="M539" s="199"/>
      <c r="N539" s="199"/>
      <c r="O539" s="199"/>
      <c r="P539" s="21"/>
      <c r="Q539" s="199"/>
      <c r="R539" s="199"/>
      <c r="S539" s="199"/>
      <c r="T539" s="199"/>
      <c r="U539" s="199"/>
      <c r="V539" s="199"/>
      <c r="W539" s="199"/>
      <c r="X539" s="199"/>
      <c r="Y539" s="199"/>
      <c r="Z539" s="199"/>
    </row>
    <row r="540">
      <c r="A540" s="199"/>
      <c r="B540" s="199"/>
      <c r="C540" s="199"/>
      <c r="D540" s="199"/>
      <c r="E540" s="202"/>
      <c r="F540" s="202"/>
      <c r="G540" s="199"/>
      <c r="H540" s="199"/>
      <c r="I540" s="199"/>
      <c r="J540" s="202"/>
      <c r="K540" s="202"/>
      <c r="L540" s="199"/>
      <c r="M540" s="199"/>
      <c r="N540" s="199"/>
      <c r="O540" s="199"/>
      <c r="P540" s="21"/>
      <c r="Q540" s="199"/>
      <c r="R540" s="199"/>
      <c r="S540" s="199"/>
      <c r="T540" s="199"/>
      <c r="U540" s="199"/>
      <c r="V540" s="199"/>
      <c r="W540" s="199"/>
      <c r="X540" s="199"/>
      <c r="Y540" s="199"/>
      <c r="Z540" s="199"/>
    </row>
    <row r="541">
      <c r="A541" s="199"/>
      <c r="B541" s="199"/>
      <c r="C541" s="199"/>
      <c r="D541" s="199"/>
      <c r="E541" s="202"/>
      <c r="F541" s="202"/>
      <c r="G541" s="199"/>
      <c r="H541" s="199"/>
      <c r="I541" s="199"/>
      <c r="J541" s="202"/>
      <c r="K541" s="202"/>
      <c r="L541" s="199"/>
      <c r="M541" s="199"/>
      <c r="N541" s="199"/>
      <c r="O541" s="199"/>
      <c r="P541" s="21"/>
      <c r="Q541" s="199"/>
      <c r="R541" s="199"/>
      <c r="S541" s="199"/>
      <c r="T541" s="199"/>
      <c r="U541" s="199"/>
      <c r="V541" s="199"/>
      <c r="W541" s="199"/>
      <c r="X541" s="199"/>
      <c r="Y541" s="199"/>
      <c r="Z541" s="199"/>
    </row>
    <row r="542">
      <c r="A542" s="199"/>
      <c r="B542" s="199"/>
      <c r="C542" s="199"/>
      <c r="D542" s="199"/>
      <c r="E542" s="202"/>
      <c r="F542" s="202"/>
      <c r="G542" s="199"/>
      <c r="H542" s="199"/>
      <c r="I542" s="199"/>
      <c r="J542" s="202"/>
      <c r="K542" s="202"/>
      <c r="L542" s="199"/>
      <c r="M542" s="199"/>
      <c r="N542" s="199"/>
      <c r="O542" s="199"/>
      <c r="P542" s="21"/>
      <c r="Q542" s="199"/>
      <c r="R542" s="199"/>
      <c r="S542" s="199"/>
      <c r="T542" s="199"/>
      <c r="U542" s="199"/>
      <c r="V542" s="199"/>
      <c r="W542" s="199"/>
      <c r="X542" s="199"/>
      <c r="Y542" s="199"/>
      <c r="Z542" s="199"/>
    </row>
    <row r="543">
      <c r="A543" s="199"/>
      <c r="B543" s="199"/>
      <c r="C543" s="199"/>
      <c r="D543" s="199"/>
      <c r="E543" s="202"/>
      <c r="F543" s="202"/>
      <c r="G543" s="199"/>
      <c r="H543" s="199"/>
      <c r="I543" s="199"/>
      <c r="J543" s="202"/>
      <c r="K543" s="202"/>
      <c r="L543" s="199"/>
      <c r="M543" s="199"/>
      <c r="N543" s="199"/>
      <c r="O543" s="199"/>
      <c r="P543" s="21"/>
      <c r="Q543" s="199"/>
      <c r="R543" s="199"/>
      <c r="S543" s="199"/>
      <c r="T543" s="199"/>
      <c r="U543" s="199"/>
      <c r="V543" s="199"/>
      <c r="W543" s="199"/>
      <c r="X543" s="199"/>
      <c r="Y543" s="199"/>
      <c r="Z543" s="199"/>
    </row>
    <row r="544">
      <c r="A544" s="199"/>
      <c r="B544" s="199"/>
      <c r="C544" s="199"/>
      <c r="D544" s="199"/>
      <c r="E544" s="202"/>
      <c r="F544" s="202"/>
      <c r="G544" s="199"/>
      <c r="H544" s="199"/>
      <c r="I544" s="199"/>
      <c r="J544" s="202"/>
      <c r="K544" s="202"/>
      <c r="L544" s="199"/>
      <c r="M544" s="199"/>
      <c r="N544" s="199"/>
      <c r="O544" s="199"/>
      <c r="P544" s="21"/>
      <c r="Q544" s="199"/>
      <c r="R544" s="199"/>
      <c r="S544" s="199"/>
      <c r="T544" s="199"/>
      <c r="U544" s="199"/>
      <c r="V544" s="199"/>
      <c r="W544" s="199"/>
      <c r="X544" s="199"/>
      <c r="Y544" s="199"/>
      <c r="Z544" s="199"/>
    </row>
    <row r="545">
      <c r="A545" s="199"/>
      <c r="B545" s="199"/>
      <c r="C545" s="199"/>
      <c r="D545" s="199"/>
      <c r="E545" s="202"/>
      <c r="F545" s="202"/>
      <c r="G545" s="199"/>
      <c r="H545" s="199"/>
      <c r="I545" s="199"/>
      <c r="J545" s="202"/>
      <c r="K545" s="202"/>
      <c r="L545" s="199"/>
      <c r="M545" s="199"/>
      <c r="N545" s="199"/>
      <c r="O545" s="199"/>
      <c r="P545" s="21"/>
      <c r="Q545" s="199"/>
      <c r="R545" s="199"/>
      <c r="S545" s="199"/>
      <c r="T545" s="199"/>
      <c r="U545" s="199"/>
      <c r="V545" s="199"/>
      <c r="W545" s="199"/>
      <c r="X545" s="199"/>
      <c r="Y545" s="199"/>
      <c r="Z545" s="199"/>
    </row>
    <row r="546">
      <c r="A546" s="199"/>
      <c r="B546" s="199"/>
      <c r="C546" s="199"/>
      <c r="D546" s="199"/>
      <c r="E546" s="202"/>
      <c r="F546" s="202"/>
      <c r="G546" s="199"/>
      <c r="H546" s="199"/>
      <c r="I546" s="199"/>
      <c r="J546" s="202"/>
      <c r="K546" s="202"/>
      <c r="L546" s="199"/>
      <c r="M546" s="199"/>
      <c r="N546" s="199"/>
      <c r="O546" s="199"/>
      <c r="P546" s="21"/>
      <c r="Q546" s="199"/>
      <c r="R546" s="199"/>
      <c r="S546" s="199"/>
      <c r="T546" s="199"/>
      <c r="U546" s="199"/>
      <c r="V546" s="199"/>
      <c r="W546" s="199"/>
      <c r="X546" s="199"/>
      <c r="Y546" s="199"/>
      <c r="Z546" s="199"/>
    </row>
    <row r="547">
      <c r="A547" s="199"/>
      <c r="B547" s="199"/>
      <c r="C547" s="199"/>
      <c r="D547" s="199"/>
      <c r="E547" s="202"/>
      <c r="F547" s="202"/>
      <c r="G547" s="199"/>
      <c r="H547" s="199"/>
      <c r="I547" s="199"/>
      <c r="J547" s="202"/>
      <c r="K547" s="202"/>
      <c r="L547" s="199"/>
      <c r="M547" s="199"/>
      <c r="N547" s="199"/>
      <c r="O547" s="199"/>
      <c r="P547" s="21"/>
      <c r="Q547" s="199"/>
      <c r="R547" s="199"/>
      <c r="S547" s="199"/>
      <c r="T547" s="199"/>
      <c r="U547" s="199"/>
      <c r="V547" s="199"/>
      <c r="W547" s="199"/>
      <c r="X547" s="199"/>
      <c r="Y547" s="199"/>
      <c r="Z547" s="199"/>
    </row>
    <row r="548">
      <c r="A548" s="199"/>
      <c r="B548" s="199"/>
      <c r="C548" s="199"/>
      <c r="D548" s="199"/>
      <c r="E548" s="202"/>
      <c r="F548" s="202"/>
      <c r="G548" s="199"/>
      <c r="H548" s="199"/>
      <c r="I548" s="199"/>
      <c r="J548" s="202"/>
      <c r="K548" s="202"/>
      <c r="L548" s="199"/>
      <c r="M548" s="199"/>
      <c r="N548" s="199"/>
      <c r="O548" s="199"/>
      <c r="P548" s="21"/>
      <c r="Q548" s="199"/>
      <c r="R548" s="199"/>
      <c r="S548" s="199"/>
      <c r="T548" s="199"/>
      <c r="U548" s="199"/>
      <c r="V548" s="199"/>
      <c r="W548" s="199"/>
      <c r="X548" s="199"/>
      <c r="Y548" s="199"/>
      <c r="Z548" s="199"/>
    </row>
    <row r="549">
      <c r="A549" s="199"/>
      <c r="B549" s="199"/>
      <c r="C549" s="199"/>
      <c r="D549" s="199"/>
      <c r="E549" s="202"/>
      <c r="F549" s="202"/>
      <c r="G549" s="199"/>
      <c r="H549" s="199"/>
      <c r="I549" s="199"/>
      <c r="J549" s="202"/>
      <c r="K549" s="202"/>
      <c r="L549" s="199"/>
      <c r="M549" s="199"/>
      <c r="N549" s="199"/>
      <c r="O549" s="199"/>
      <c r="P549" s="21"/>
      <c r="Q549" s="199"/>
      <c r="R549" s="199"/>
      <c r="S549" s="199"/>
      <c r="T549" s="199"/>
      <c r="U549" s="199"/>
      <c r="V549" s="199"/>
      <c r="W549" s="199"/>
      <c r="X549" s="199"/>
      <c r="Y549" s="199"/>
      <c r="Z549" s="199"/>
    </row>
    <row r="550">
      <c r="A550" s="199"/>
      <c r="B550" s="199"/>
      <c r="C550" s="199"/>
      <c r="D550" s="199"/>
      <c r="E550" s="202"/>
      <c r="F550" s="202"/>
      <c r="G550" s="199"/>
      <c r="H550" s="199"/>
      <c r="I550" s="199"/>
      <c r="J550" s="202"/>
      <c r="K550" s="202"/>
      <c r="L550" s="199"/>
      <c r="M550" s="199"/>
      <c r="N550" s="199"/>
      <c r="O550" s="199"/>
      <c r="P550" s="21"/>
      <c r="Q550" s="199"/>
      <c r="R550" s="199"/>
      <c r="S550" s="199"/>
      <c r="T550" s="199"/>
      <c r="U550" s="199"/>
      <c r="V550" s="199"/>
      <c r="W550" s="199"/>
      <c r="X550" s="199"/>
      <c r="Y550" s="199"/>
      <c r="Z550" s="199"/>
    </row>
    <row r="551">
      <c r="A551" s="199"/>
      <c r="B551" s="199"/>
      <c r="C551" s="199"/>
      <c r="D551" s="199"/>
      <c r="E551" s="202"/>
      <c r="F551" s="202"/>
      <c r="G551" s="199"/>
      <c r="H551" s="199"/>
      <c r="I551" s="199"/>
      <c r="J551" s="202"/>
      <c r="K551" s="202"/>
      <c r="L551" s="199"/>
      <c r="M551" s="199"/>
      <c r="N551" s="199"/>
      <c r="O551" s="199"/>
      <c r="P551" s="21"/>
      <c r="Q551" s="199"/>
      <c r="R551" s="199"/>
      <c r="S551" s="199"/>
      <c r="T551" s="199"/>
      <c r="U551" s="199"/>
      <c r="V551" s="199"/>
      <c r="W551" s="199"/>
      <c r="X551" s="199"/>
      <c r="Y551" s="199"/>
      <c r="Z551" s="199"/>
    </row>
    <row r="552">
      <c r="A552" s="199"/>
      <c r="B552" s="199"/>
      <c r="C552" s="199"/>
      <c r="D552" s="199"/>
      <c r="E552" s="202"/>
      <c r="F552" s="202"/>
      <c r="G552" s="199"/>
      <c r="H552" s="199"/>
      <c r="I552" s="199"/>
      <c r="J552" s="202"/>
      <c r="K552" s="202"/>
      <c r="L552" s="199"/>
      <c r="M552" s="199"/>
      <c r="N552" s="199"/>
      <c r="O552" s="199"/>
      <c r="P552" s="21"/>
      <c r="Q552" s="199"/>
      <c r="R552" s="199"/>
      <c r="S552" s="199"/>
      <c r="T552" s="199"/>
      <c r="U552" s="199"/>
      <c r="V552" s="199"/>
      <c r="W552" s="199"/>
      <c r="X552" s="199"/>
      <c r="Y552" s="199"/>
      <c r="Z552" s="199"/>
    </row>
    <row r="553">
      <c r="A553" s="199"/>
      <c r="B553" s="199"/>
      <c r="C553" s="199"/>
      <c r="D553" s="199"/>
      <c r="E553" s="202"/>
      <c r="F553" s="202"/>
      <c r="G553" s="199"/>
      <c r="H553" s="199"/>
      <c r="I553" s="199"/>
      <c r="J553" s="202"/>
      <c r="K553" s="202"/>
      <c r="L553" s="199"/>
      <c r="M553" s="199"/>
      <c r="N553" s="199"/>
      <c r="O553" s="199"/>
      <c r="P553" s="21"/>
      <c r="Q553" s="199"/>
      <c r="R553" s="199"/>
      <c r="S553" s="199"/>
      <c r="T553" s="199"/>
      <c r="U553" s="199"/>
      <c r="V553" s="199"/>
      <c r="W553" s="199"/>
      <c r="X553" s="199"/>
      <c r="Y553" s="199"/>
      <c r="Z553" s="199"/>
    </row>
    <row r="554">
      <c r="A554" s="199"/>
      <c r="B554" s="199"/>
      <c r="C554" s="199"/>
      <c r="D554" s="199"/>
      <c r="E554" s="202"/>
      <c r="F554" s="202"/>
      <c r="G554" s="199"/>
      <c r="H554" s="199"/>
      <c r="I554" s="199"/>
      <c r="J554" s="202"/>
      <c r="K554" s="202"/>
      <c r="L554" s="199"/>
      <c r="M554" s="199"/>
      <c r="N554" s="199"/>
      <c r="O554" s="199"/>
      <c r="P554" s="21"/>
      <c r="Q554" s="199"/>
      <c r="R554" s="199"/>
      <c r="S554" s="199"/>
      <c r="T554" s="199"/>
      <c r="U554" s="199"/>
      <c r="V554" s="199"/>
      <c r="W554" s="199"/>
      <c r="X554" s="199"/>
      <c r="Y554" s="199"/>
      <c r="Z554" s="199"/>
    </row>
    <row r="555">
      <c r="A555" s="199"/>
      <c r="B555" s="199"/>
      <c r="C555" s="199"/>
      <c r="D555" s="199"/>
      <c r="E555" s="202"/>
      <c r="F555" s="202"/>
      <c r="G555" s="199"/>
      <c r="H555" s="199"/>
      <c r="I555" s="199"/>
      <c r="J555" s="202"/>
      <c r="K555" s="202"/>
      <c r="L555" s="199"/>
      <c r="M555" s="199"/>
      <c r="N555" s="199"/>
      <c r="O555" s="199"/>
      <c r="P555" s="21"/>
      <c r="Q555" s="199"/>
      <c r="R555" s="199"/>
      <c r="S555" s="199"/>
      <c r="T555" s="199"/>
      <c r="U555" s="199"/>
      <c r="V555" s="199"/>
      <c r="W555" s="199"/>
      <c r="X555" s="199"/>
      <c r="Y555" s="199"/>
      <c r="Z555" s="199"/>
    </row>
    <row r="556">
      <c r="A556" s="199"/>
      <c r="B556" s="199"/>
      <c r="C556" s="199"/>
      <c r="D556" s="199"/>
      <c r="E556" s="202"/>
      <c r="F556" s="202"/>
      <c r="G556" s="199"/>
      <c r="H556" s="199"/>
      <c r="I556" s="199"/>
      <c r="J556" s="202"/>
      <c r="K556" s="202"/>
      <c r="L556" s="199"/>
      <c r="M556" s="199"/>
      <c r="N556" s="199"/>
      <c r="O556" s="199"/>
      <c r="P556" s="21"/>
      <c r="Q556" s="199"/>
      <c r="R556" s="199"/>
      <c r="S556" s="199"/>
      <c r="T556" s="199"/>
      <c r="U556" s="199"/>
      <c r="V556" s="199"/>
      <c r="W556" s="199"/>
      <c r="X556" s="199"/>
      <c r="Y556" s="199"/>
      <c r="Z556" s="199"/>
    </row>
    <row r="557">
      <c r="A557" s="199"/>
      <c r="B557" s="199"/>
      <c r="C557" s="199"/>
      <c r="D557" s="199"/>
      <c r="E557" s="202"/>
      <c r="F557" s="202"/>
      <c r="G557" s="199"/>
      <c r="H557" s="199"/>
      <c r="I557" s="199"/>
      <c r="J557" s="202"/>
      <c r="K557" s="202"/>
      <c r="L557" s="199"/>
      <c r="M557" s="199"/>
      <c r="N557" s="199"/>
      <c r="O557" s="199"/>
      <c r="P557" s="21"/>
      <c r="Q557" s="199"/>
      <c r="R557" s="199"/>
      <c r="S557" s="199"/>
      <c r="T557" s="199"/>
      <c r="U557" s="199"/>
      <c r="V557" s="199"/>
      <c r="W557" s="199"/>
      <c r="X557" s="199"/>
      <c r="Y557" s="199"/>
      <c r="Z557" s="199"/>
    </row>
    <row r="558">
      <c r="A558" s="199"/>
      <c r="B558" s="199"/>
      <c r="C558" s="199"/>
      <c r="D558" s="199"/>
      <c r="E558" s="202"/>
      <c r="F558" s="202"/>
      <c r="G558" s="199"/>
      <c r="H558" s="199"/>
      <c r="I558" s="199"/>
      <c r="J558" s="202"/>
      <c r="K558" s="202"/>
      <c r="L558" s="199"/>
      <c r="M558" s="199"/>
      <c r="N558" s="199"/>
      <c r="O558" s="199"/>
      <c r="P558" s="21"/>
      <c r="Q558" s="199"/>
      <c r="R558" s="199"/>
      <c r="S558" s="199"/>
      <c r="T558" s="199"/>
      <c r="U558" s="199"/>
      <c r="V558" s="199"/>
      <c r="W558" s="199"/>
      <c r="X558" s="199"/>
      <c r="Y558" s="199"/>
      <c r="Z558" s="199"/>
    </row>
    <row r="559">
      <c r="A559" s="199"/>
      <c r="B559" s="199"/>
      <c r="C559" s="199"/>
      <c r="D559" s="199"/>
      <c r="E559" s="202"/>
      <c r="F559" s="202"/>
      <c r="G559" s="199"/>
      <c r="H559" s="199"/>
      <c r="I559" s="199"/>
      <c r="J559" s="202"/>
      <c r="K559" s="202"/>
      <c r="L559" s="199"/>
      <c r="M559" s="199"/>
      <c r="N559" s="199"/>
      <c r="O559" s="199"/>
      <c r="P559" s="21"/>
      <c r="Q559" s="199"/>
      <c r="R559" s="199"/>
      <c r="S559" s="199"/>
      <c r="T559" s="199"/>
      <c r="U559" s="199"/>
      <c r="V559" s="199"/>
      <c r="W559" s="199"/>
      <c r="X559" s="199"/>
      <c r="Y559" s="199"/>
      <c r="Z559" s="199"/>
    </row>
    <row r="560">
      <c r="A560" s="199"/>
      <c r="B560" s="199"/>
      <c r="C560" s="199"/>
      <c r="D560" s="199"/>
      <c r="E560" s="202"/>
      <c r="F560" s="202"/>
      <c r="G560" s="199"/>
      <c r="H560" s="199"/>
      <c r="I560" s="199"/>
      <c r="J560" s="202"/>
      <c r="K560" s="202"/>
      <c r="L560" s="199"/>
      <c r="M560" s="199"/>
      <c r="N560" s="199"/>
      <c r="O560" s="199"/>
      <c r="P560" s="21"/>
      <c r="Q560" s="199"/>
      <c r="R560" s="199"/>
      <c r="S560" s="199"/>
      <c r="T560" s="199"/>
      <c r="U560" s="199"/>
      <c r="V560" s="199"/>
      <c r="W560" s="199"/>
      <c r="X560" s="199"/>
      <c r="Y560" s="199"/>
      <c r="Z560" s="199"/>
    </row>
    <row r="561">
      <c r="A561" s="199"/>
      <c r="B561" s="199"/>
      <c r="C561" s="199"/>
      <c r="D561" s="199"/>
      <c r="E561" s="202"/>
      <c r="F561" s="202"/>
      <c r="G561" s="199"/>
      <c r="H561" s="199"/>
      <c r="I561" s="199"/>
      <c r="J561" s="202"/>
      <c r="K561" s="202"/>
      <c r="L561" s="199"/>
      <c r="M561" s="199"/>
      <c r="N561" s="199"/>
      <c r="O561" s="199"/>
      <c r="P561" s="21"/>
      <c r="Q561" s="199"/>
      <c r="R561" s="199"/>
      <c r="S561" s="199"/>
      <c r="T561" s="199"/>
      <c r="U561" s="199"/>
      <c r="V561" s="199"/>
      <c r="W561" s="199"/>
      <c r="X561" s="199"/>
      <c r="Y561" s="199"/>
      <c r="Z561" s="199"/>
    </row>
    <row r="562">
      <c r="A562" s="199"/>
      <c r="B562" s="199"/>
      <c r="C562" s="199"/>
      <c r="D562" s="199"/>
      <c r="E562" s="202"/>
      <c r="F562" s="202"/>
      <c r="G562" s="199"/>
      <c r="H562" s="199"/>
      <c r="I562" s="199"/>
      <c r="J562" s="202"/>
      <c r="K562" s="202"/>
      <c r="L562" s="199"/>
      <c r="M562" s="199"/>
      <c r="N562" s="199"/>
      <c r="O562" s="199"/>
      <c r="P562" s="21"/>
      <c r="Q562" s="199"/>
      <c r="R562" s="199"/>
      <c r="S562" s="199"/>
      <c r="T562" s="199"/>
      <c r="U562" s="199"/>
      <c r="V562" s="199"/>
      <c r="W562" s="199"/>
      <c r="X562" s="199"/>
      <c r="Y562" s="199"/>
      <c r="Z562" s="199"/>
    </row>
    <row r="563">
      <c r="A563" s="199"/>
      <c r="B563" s="199"/>
      <c r="C563" s="199"/>
      <c r="D563" s="199"/>
      <c r="E563" s="202"/>
      <c r="F563" s="202"/>
      <c r="G563" s="199"/>
      <c r="H563" s="199"/>
      <c r="I563" s="199"/>
      <c r="J563" s="202"/>
      <c r="K563" s="202"/>
      <c r="L563" s="199"/>
      <c r="M563" s="199"/>
      <c r="N563" s="199"/>
      <c r="O563" s="199"/>
      <c r="P563" s="21"/>
      <c r="Q563" s="199"/>
      <c r="R563" s="199"/>
      <c r="S563" s="199"/>
      <c r="T563" s="199"/>
      <c r="U563" s="199"/>
      <c r="V563" s="199"/>
      <c r="W563" s="199"/>
      <c r="X563" s="199"/>
      <c r="Y563" s="199"/>
      <c r="Z563" s="199"/>
    </row>
    <row r="564">
      <c r="A564" s="199"/>
      <c r="B564" s="199"/>
      <c r="C564" s="199"/>
      <c r="D564" s="199"/>
      <c r="E564" s="202"/>
      <c r="F564" s="202"/>
      <c r="G564" s="199"/>
      <c r="H564" s="199"/>
      <c r="I564" s="199"/>
      <c r="J564" s="202"/>
      <c r="K564" s="202"/>
      <c r="L564" s="199"/>
      <c r="M564" s="199"/>
      <c r="N564" s="199"/>
      <c r="O564" s="199"/>
      <c r="P564" s="21"/>
      <c r="Q564" s="199"/>
      <c r="R564" s="199"/>
      <c r="S564" s="199"/>
      <c r="T564" s="199"/>
      <c r="U564" s="199"/>
      <c r="V564" s="199"/>
      <c r="W564" s="199"/>
      <c r="X564" s="199"/>
      <c r="Y564" s="199"/>
      <c r="Z564" s="199"/>
    </row>
    <row r="565">
      <c r="A565" s="199"/>
      <c r="B565" s="199"/>
      <c r="C565" s="199"/>
      <c r="D565" s="199"/>
      <c r="E565" s="202"/>
      <c r="F565" s="202"/>
      <c r="G565" s="199"/>
      <c r="H565" s="199"/>
      <c r="I565" s="199"/>
      <c r="J565" s="202"/>
      <c r="K565" s="202"/>
      <c r="L565" s="199"/>
      <c r="M565" s="199"/>
      <c r="N565" s="199"/>
      <c r="O565" s="199"/>
      <c r="P565" s="21"/>
      <c r="Q565" s="199"/>
      <c r="R565" s="199"/>
      <c r="S565" s="199"/>
      <c r="T565" s="199"/>
      <c r="U565" s="199"/>
      <c r="V565" s="199"/>
      <c r="W565" s="199"/>
      <c r="X565" s="199"/>
      <c r="Y565" s="199"/>
      <c r="Z565" s="199"/>
    </row>
    <row r="566">
      <c r="A566" s="199"/>
      <c r="B566" s="199"/>
      <c r="C566" s="199"/>
      <c r="D566" s="199"/>
      <c r="E566" s="202"/>
      <c r="F566" s="202"/>
      <c r="G566" s="199"/>
      <c r="H566" s="199"/>
      <c r="I566" s="199"/>
      <c r="J566" s="202"/>
      <c r="K566" s="202"/>
      <c r="L566" s="199"/>
      <c r="M566" s="199"/>
      <c r="N566" s="199"/>
      <c r="O566" s="199"/>
      <c r="P566" s="21"/>
      <c r="Q566" s="199"/>
      <c r="R566" s="199"/>
      <c r="S566" s="199"/>
      <c r="T566" s="199"/>
      <c r="U566" s="199"/>
      <c r="V566" s="199"/>
      <c r="W566" s="199"/>
      <c r="X566" s="199"/>
      <c r="Y566" s="199"/>
      <c r="Z566" s="199"/>
    </row>
    <row r="567">
      <c r="A567" s="199"/>
      <c r="B567" s="199"/>
      <c r="C567" s="199"/>
      <c r="D567" s="199"/>
      <c r="E567" s="202"/>
      <c r="F567" s="202"/>
      <c r="G567" s="199"/>
      <c r="H567" s="199"/>
      <c r="I567" s="199"/>
      <c r="J567" s="202"/>
      <c r="K567" s="202"/>
      <c r="L567" s="199"/>
      <c r="M567" s="199"/>
      <c r="N567" s="199"/>
      <c r="O567" s="199"/>
      <c r="P567" s="21"/>
      <c r="Q567" s="199"/>
      <c r="R567" s="199"/>
      <c r="S567" s="199"/>
      <c r="T567" s="199"/>
      <c r="U567" s="199"/>
      <c r="V567" s="199"/>
      <c r="W567" s="199"/>
      <c r="X567" s="199"/>
      <c r="Y567" s="199"/>
      <c r="Z567" s="199"/>
    </row>
    <row r="568">
      <c r="A568" s="199"/>
      <c r="B568" s="199"/>
      <c r="C568" s="199"/>
      <c r="D568" s="199"/>
      <c r="E568" s="202"/>
      <c r="F568" s="202"/>
      <c r="G568" s="199"/>
      <c r="H568" s="199"/>
      <c r="I568" s="199"/>
      <c r="J568" s="202"/>
      <c r="K568" s="202"/>
      <c r="L568" s="199"/>
      <c r="M568" s="199"/>
      <c r="N568" s="199"/>
      <c r="O568" s="199"/>
      <c r="P568" s="21"/>
      <c r="Q568" s="199"/>
      <c r="R568" s="199"/>
      <c r="S568" s="199"/>
      <c r="T568" s="199"/>
      <c r="U568" s="199"/>
      <c r="V568" s="199"/>
      <c r="W568" s="199"/>
      <c r="X568" s="199"/>
      <c r="Y568" s="199"/>
      <c r="Z568" s="199"/>
    </row>
    <row r="569">
      <c r="A569" s="199"/>
      <c r="B569" s="199"/>
      <c r="C569" s="199"/>
      <c r="D569" s="199"/>
      <c r="E569" s="202"/>
      <c r="F569" s="202"/>
      <c r="G569" s="199"/>
      <c r="H569" s="199"/>
      <c r="I569" s="199"/>
      <c r="J569" s="202"/>
      <c r="K569" s="202"/>
      <c r="L569" s="199"/>
      <c r="M569" s="199"/>
      <c r="N569" s="199"/>
      <c r="O569" s="199"/>
      <c r="P569" s="21"/>
      <c r="Q569" s="199"/>
      <c r="R569" s="199"/>
      <c r="S569" s="199"/>
      <c r="T569" s="199"/>
      <c r="U569" s="199"/>
      <c r="V569" s="199"/>
      <c r="W569" s="199"/>
      <c r="X569" s="199"/>
      <c r="Y569" s="199"/>
      <c r="Z569" s="199"/>
    </row>
    <row r="570">
      <c r="A570" s="199"/>
      <c r="B570" s="199"/>
      <c r="C570" s="199"/>
      <c r="D570" s="199"/>
      <c r="E570" s="202"/>
      <c r="F570" s="202"/>
      <c r="G570" s="199"/>
      <c r="H570" s="199"/>
      <c r="I570" s="199"/>
      <c r="J570" s="202"/>
      <c r="K570" s="202"/>
      <c r="L570" s="199"/>
      <c r="M570" s="199"/>
      <c r="N570" s="199"/>
      <c r="O570" s="199"/>
      <c r="P570" s="21"/>
      <c r="Q570" s="199"/>
      <c r="R570" s="199"/>
      <c r="S570" s="199"/>
      <c r="T570" s="199"/>
      <c r="U570" s="199"/>
      <c r="V570" s="199"/>
      <c r="W570" s="199"/>
      <c r="X570" s="199"/>
      <c r="Y570" s="199"/>
      <c r="Z570" s="199"/>
    </row>
    <row r="571">
      <c r="A571" s="199"/>
      <c r="B571" s="199"/>
      <c r="C571" s="199"/>
      <c r="D571" s="199"/>
      <c r="E571" s="202"/>
      <c r="F571" s="202"/>
      <c r="G571" s="199"/>
      <c r="H571" s="199"/>
      <c r="I571" s="199"/>
      <c r="J571" s="202"/>
      <c r="K571" s="202"/>
      <c r="L571" s="199"/>
      <c r="M571" s="199"/>
      <c r="N571" s="199"/>
      <c r="O571" s="199"/>
      <c r="P571" s="21"/>
      <c r="Q571" s="199"/>
      <c r="R571" s="199"/>
      <c r="S571" s="199"/>
      <c r="T571" s="199"/>
      <c r="U571" s="199"/>
      <c r="V571" s="199"/>
      <c r="W571" s="199"/>
      <c r="X571" s="199"/>
      <c r="Y571" s="199"/>
      <c r="Z571" s="199"/>
    </row>
    <row r="572">
      <c r="A572" s="199"/>
      <c r="B572" s="199"/>
      <c r="C572" s="199"/>
      <c r="D572" s="199"/>
      <c r="E572" s="202"/>
      <c r="F572" s="202"/>
      <c r="G572" s="199"/>
      <c r="H572" s="199"/>
      <c r="I572" s="199"/>
      <c r="J572" s="202"/>
      <c r="K572" s="202"/>
      <c r="L572" s="199"/>
      <c r="M572" s="199"/>
      <c r="N572" s="199"/>
      <c r="O572" s="199"/>
      <c r="P572" s="21"/>
      <c r="Q572" s="199"/>
      <c r="R572" s="199"/>
      <c r="S572" s="199"/>
      <c r="T572" s="199"/>
      <c r="U572" s="199"/>
      <c r="V572" s="199"/>
      <c r="W572" s="199"/>
      <c r="X572" s="199"/>
      <c r="Y572" s="199"/>
      <c r="Z572" s="199"/>
    </row>
    <row r="573">
      <c r="A573" s="199"/>
      <c r="B573" s="199"/>
      <c r="C573" s="199"/>
      <c r="D573" s="199"/>
      <c r="E573" s="202"/>
      <c r="F573" s="202"/>
      <c r="G573" s="199"/>
      <c r="H573" s="199"/>
      <c r="I573" s="199"/>
      <c r="J573" s="202"/>
      <c r="K573" s="202"/>
      <c r="L573" s="199"/>
      <c r="M573" s="199"/>
      <c r="N573" s="199"/>
      <c r="O573" s="199"/>
      <c r="P573" s="199"/>
      <c r="Q573" s="199"/>
      <c r="R573" s="199"/>
      <c r="S573" s="199"/>
      <c r="T573" s="199"/>
      <c r="U573" s="199"/>
      <c r="V573" s="199"/>
      <c r="W573" s="199"/>
      <c r="X573" s="199"/>
      <c r="Y573" s="199"/>
      <c r="Z573" s="199"/>
    </row>
    <row r="574">
      <c r="A574" s="199"/>
      <c r="B574" s="199"/>
      <c r="C574" s="199"/>
      <c r="D574" s="199"/>
      <c r="E574" s="202"/>
      <c r="F574" s="202"/>
      <c r="G574" s="199"/>
      <c r="H574" s="199"/>
      <c r="I574" s="199"/>
      <c r="J574" s="202"/>
      <c r="K574" s="202"/>
      <c r="L574" s="199"/>
      <c r="M574" s="199"/>
      <c r="N574" s="199"/>
      <c r="O574" s="199"/>
      <c r="P574" s="199"/>
      <c r="Q574" s="199"/>
      <c r="R574" s="199"/>
      <c r="S574" s="199"/>
      <c r="T574" s="199"/>
      <c r="U574" s="199"/>
      <c r="V574" s="199"/>
      <c r="W574" s="199"/>
      <c r="X574" s="199"/>
      <c r="Y574" s="199"/>
      <c r="Z574" s="199"/>
    </row>
    <row r="575">
      <c r="A575" s="199"/>
      <c r="B575" s="199"/>
      <c r="C575" s="199"/>
      <c r="D575" s="199"/>
      <c r="E575" s="202"/>
      <c r="F575" s="202"/>
      <c r="G575" s="199"/>
      <c r="H575" s="199"/>
      <c r="I575" s="199"/>
      <c r="J575" s="202"/>
      <c r="K575" s="202"/>
      <c r="L575" s="199"/>
      <c r="M575" s="199"/>
      <c r="N575" s="199"/>
      <c r="O575" s="199"/>
      <c r="P575" s="199"/>
      <c r="Q575" s="199"/>
      <c r="R575" s="199"/>
      <c r="S575" s="199"/>
      <c r="T575" s="199"/>
      <c r="U575" s="199"/>
      <c r="V575" s="199"/>
      <c r="W575" s="199"/>
      <c r="X575" s="199"/>
      <c r="Y575" s="199"/>
      <c r="Z575" s="199"/>
    </row>
    <row r="576">
      <c r="A576" s="199"/>
      <c r="B576" s="199"/>
      <c r="C576" s="199"/>
      <c r="D576" s="199"/>
      <c r="E576" s="202"/>
      <c r="F576" s="202"/>
      <c r="G576" s="199"/>
      <c r="H576" s="199"/>
      <c r="I576" s="199"/>
      <c r="J576" s="202"/>
      <c r="K576" s="202"/>
      <c r="L576" s="199"/>
      <c r="M576" s="199"/>
      <c r="N576" s="199"/>
      <c r="O576" s="199"/>
      <c r="P576" s="199"/>
      <c r="Q576" s="199"/>
      <c r="R576" s="199"/>
      <c r="S576" s="199"/>
      <c r="T576" s="199"/>
      <c r="U576" s="199"/>
      <c r="V576" s="199"/>
      <c r="W576" s="199"/>
      <c r="X576" s="199"/>
      <c r="Y576" s="199"/>
      <c r="Z576" s="199"/>
    </row>
    <row r="577">
      <c r="A577" s="199"/>
      <c r="B577" s="199"/>
      <c r="C577" s="199"/>
      <c r="D577" s="199"/>
      <c r="E577" s="202"/>
      <c r="F577" s="202"/>
      <c r="G577" s="199"/>
      <c r="H577" s="199"/>
      <c r="I577" s="199"/>
      <c r="J577" s="202"/>
      <c r="K577" s="202"/>
      <c r="L577" s="199"/>
      <c r="M577" s="199"/>
      <c r="N577" s="199"/>
      <c r="O577" s="199"/>
      <c r="P577" s="199"/>
      <c r="Q577" s="199"/>
      <c r="R577" s="199"/>
      <c r="S577" s="199"/>
      <c r="T577" s="199"/>
      <c r="U577" s="199"/>
      <c r="V577" s="199"/>
      <c r="W577" s="199"/>
      <c r="X577" s="199"/>
      <c r="Y577" s="199"/>
      <c r="Z577" s="199"/>
    </row>
    <row r="578">
      <c r="A578" s="199"/>
      <c r="B578" s="199"/>
      <c r="C578" s="199"/>
      <c r="D578" s="199"/>
      <c r="E578" s="202"/>
      <c r="F578" s="202"/>
      <c r="G578" s="199"/>
      <c r="H578" s="199"/>
      <c r="I578" s="199"/>
      <c r="J578" s="202"/>
      <c r="K578" s="202"/>
      <c r="L578" s="199"/>
      <c r="M578" s="199"/>
      <c r="N578" s="199"/>
      <c r="O578" s="199"/>
      <c r="P578" s="199"/>
      <c r="Q578" s="199"/>
      <c r="R578" s="199"/>
      <c r="S578" s="199"/>
      <c r="T578" s="199"/>
      <c r="U578" s="199"/>
      <c r="V578" s="199"/>
      <c r="W578" s="199"/>
      <c r="X578" s="199"/>
      <c r="Y578" s="199"/>
      <c r="Z578" s="199"/>
    </row>
    <row r="579">
      <c r="A579" s="199"/>
      <c r="B579" s="199"/>
      <c r="C579" s="199"/>
      <c r="D579" s="199"/>
      <c r="E579" s="202"/>
      <c r="F579" s="202"/>
      <c r="G579" s="199"/>
      <c r="H579" s="199"/>
      <c r="I579" s="199"/>
      <c r="J579" s="202"/>
      <c r="K579" s="202"/>
      <c r="L579" s="199"/>
      <c r="M579" s="199"/>
      <c r="N579" s="199"/>
      <c r="O579" s="199"/>
      <c r="P579" s="199"/>
      <c r="Q579" s="199"/>
      <c r="R579" s="199"/>
      <c r="S579" s="199"/>
      <c r="T579" s="199"/>
      <c r="U579" s="199"/>
      <c r="V579" s="199"/>
      <c r="W579" s="199"/>
      <c r="X579" s="199"/>
      <c r="Y579" s="199"/>
      <c r="Z579" s="199"/>
    </row>
    <row r="580">
      <c r="A580" s="199"/>
      <c r="B580" s="199"/>
      <c r="C580" s="199"/>
      <c r="D580" s="199"/>
      <c r="E580" s="202"/>
      <c r="F580" s="202"/>
      <c r="G580" s="199"/>
      <c r="H580" s="199"/>
      <c r="I580" s="199"/>
      <c r="J580" s="202"/>
      <c r="K580" s="202"/>
      <c r="L580" s="199"/>
      <c r="M580" s="199"/>
      <c r="N580" s="199"/>
      <c r="O580" s="199"/>
      <c r="P580" s="199"/>
      <c r="Q580" s="199"/>
      <c r="R580" s="199"/>
      <c r="S580" s="199"/>
      <c r="T580" s="199"/>
      <c r="U580" s="199"/>
      <c r="V580" s="199"/>
      <c r="W580" s="199"/>
      <c r="X580" s="199"/>
      <c r="Y580" s="199"/>
      <c r="Z580" s="199"/>
    </row>
    <row r="581">
      <c r="A581" s="199"/>
      <c r="B581" s="199"/>
      <c r="C581" s="199"/>
      <c r="D581" s="199"/>
      <c r="E581" s="202"/>
      <c r="F581" s="202"/>
      <c r="G581" s="199"/>
      <c r="H581" s="199"/>
      <c r="I581" s="199"/>
      <c r="J581" s="202"/>
      <c r="K581" s="202"/>
      <c r="L581" s="199"/>
      <c r="M581" s="199"/>
      <c r="N581" s="199"/>
      <c r="O581" s="199"/>
      <c r="P581" s="199"/>
      <c r="Q581" s="199"/>
      <c r="R581" s="199"/>
      <c r="S581" s="199"/>
      <c r="T581" s="199"/>
      <c r="U581" s="199"/>
      <c r="V581" s="199"/>
      <c r="W581" s="199"/>
      <c r="X581" s="199"/>
      <c r="Y581" s="199"/>
      <c r="Z581" s="199"/>
    </row>
    <row r="582">
      <c r="A582" s="199"/>
      <c r="B582" s="199"/>
      <c r="C582" s="199"/>
      <c r="D582" s="199"/>
      <c r="E582" s="202"/>
      <c r="F582" s="202"/>
      <c r="G582" s="199"/>
      <c r="H582" s="199"/>
      <c r="I582" s="199"/>
      <c r="J582" s="202"/>
      <c r="K582" s="202"/>
      <c r="L582" s="199"/>
      <c r="M582" s="199"/>
      <c r="N582" s="199"/>
      <c r="O582" s="199"/>
      <c r="P582" s="199"/>
      <c r="Q582" s="199"/>
      <c r="R582" s="199"/>
      <c r="S582" s="199"/>
      <c r="T582" s="199"/>
      <c r="U582" s="199"/>
      <c r="V582" s="199"/>
      <c r="W582" s="199"/>
      <c r="X582" s="199"/>
      <c r="Y582" s="199"/>
      <c r="Z582" s="199"/>
    </row>
    <row r="583">
      <c r="A583" s="199"/>
      <c r="B583" s="199"/>
      <c r="C583" s="199"/>
      <c r="D583" s="199"/>
      <c r="E583" s="202"/>
      <c r="F583" s="202"/>
      <c r="G583" s="199"/>
      <c r="H583" s="199"/>
      <c r="I583" s="199"/>
      <c r="J583" s="202"/>
      <c r="K583" s="202"/>
      <c r="L583" s="199"/>
      <c r="M583" s="199"/>
      <c r="N583" s="199"/>
      <c r="O583" s="199"/>
      <c r="P583" s="199"/>
      <c r="Q583" s="199"/>
      <c r="R583" s="199"/>
      <c r="S583" s="199"/>
      <c r="T583" s="199"/>
      <c r="U583" s="199"/>
      <c r="V583" s="199"/>
      <c r="W583" s="199"/>
      <c r="X583" s="199"/>
      <c r="Y583" s="199"/>
      <c r="Z583" s="199"/>
    </row>
    <row r="584">
      <c r="A584" s="199"/>
      <c r="B584" s="199"/>
      <c r="C584" s="199"/>
      <c r="D584" s="199"/>
      <c r="E584" s="202"/>
      <c r="F584" s="202"/>
      <c r="G584" s="199"/>
      <c r="H584" s="199"/>
      <c r="I584" s="199"/>
      <c r="J584" s="202"/>
      <c r="K584" s="202"/>
      <c r="L584" s="199"/>
      <c r="M584" s="199"/>
      <c r="N584" s="199"/>
      <c r="O584" s="199"/>
      <c r="P584" s="199"/>
      <c r="Q584" s="199"/>
      <c r="R584" s="199"/>
      <c r="S584" s="199"/>
      <c r="T584" s="199"/>
      <c r="U584" s="199"/>
      <c r="V584" s="199"/>
      <c r="W584" s="199"/>
      <c r="X584" s="199"/>
      <c r="Y584" s="199"/>
      <c r="Z584" s="199"/>
    </row>
    <row r="585">
      <c r="A585" s="199"/>
      <c r="B585" s="199"/>
      <c r="C585" s="199"/>
      <c r="D585" s="199"/>
      <c r="E585" s="202"/>
      <c r="F585" s="202"/>
      <c r="G585" s="199"/>
      <c r="H585" s="199"/>
      <c r="I585" s="199"/>
      <c r="J585" s="202"/>
      <c r="K585" s="202"/>
      <c r="L585" s="199"/>
      <c r="M585" s="199"/>
      <c r="N585" s="199"/>
      <c r="O585" s="199"/>
      <c r="P585" s="199"/>
      <c r="Q585" s="199"/>
      <c r="R585" s="199"/>
      <c r="S585" s="199"/>
      <c r="T585" s="199"/>
      <c r="U585" s="199"/>
      <c r="V585" s="199"/>
      <c r="W585" s="199"/>
      <c r="X585" s="199"/>
      <c r="Y585" s="199"/>
      <c r="Z585" s="199"/>
    </row>
    <row r="586">
      <c r="A586" s="199"/>
      <c r="B586" s="199"/>
      <c r="C586" s="199"/>
      <c r="D586" s="199"/>
      <c r="E586" s="202"/>
      <c r="F586" s="202"/>
      <c r="G586" s="199"/>
      <c r="H586" s="199"/>
      <c r="I586" s="199"/>
      <c r="J586" s="202"/>
      <c r="K586" s="202"/>
      <c r="L586" s="199"/>
      <c r="M586" s="199"/>
      <c r="N586" s="199"/>
      <c r="O586" s="199"/>
      <c r="P586" s="199"/>
      <c r="Q586" s="199"/>
      <c r="R586" s="199"/>
      <c r="S586" s="199"/>
      <c r="T586" s="199"/>
      <c r="U586" s="199"/>
      <c r="V586" s="199"/>
      <c r="W586" s="199"/>
      <c r="X586" s="199"/>
      <c r="Y586" s="199"/>
      <c r="Z586" s="199"/>
    </row>
    <row r="587">
      <c r="A587" s="199"/>
      <c r="B587" s="199"/>
      <c r="C587" s="199"/>
      <c r="D587" s="199"/>
      <c r="E587" s="202"/>
      <c r="F587" s="202"/>
      <c r="G587" s="199"/>
      <c r="H587" s="199"/>
      <c r="I587" s="199"/>
      <c r="J587" s="202"/>
      <c r="K587" s="202"/>
      <c r="L587" s="199"/>
      <c r="M587" s="199"/>
      <c r="N587" s="199"/>
      <c r="O587" s="199"/>
      <c r="P587" s="199"/>
      <c r="Q587" s="199"/>
      <c r="R587" s="199"/>
      <c r="S587" s="199"/>
      <c r="T587" s="199"/>
      <c r="U587" s="199"/>
      <c r="V587" s="199"/>
      <c r="W587" s="199"/>
      <c r="X587" s="199"/>
      <c r="Y587" s="199"/>
      <c r="Z587" s="199"/>
    </row>
    <row r="588">
      <c r="A588" s="199"/>
      <c r="B588" s="199"/>
      <c r="C588" s="199"/>
      <c r="D588" s="199"/>
      <c r="E588" s="202"/>
      <c r="F588" s="202"/>
      <c r="G588" s="199"/>
      <c r="H588" s="199"/>
      <c r="I588" s="199"/>
      <c r="J588" s="202"/>
      <c r="K588" s="202"/>
      <c r="L588" s="199"/>
      <c r="M588" s="199"/>
      <c r="N588" s="199"/>
      <c r="O588" s="199"/>
      <c r="P588" s="199"/>
      <c r="Q588" s="199"/>
      <c r="R588" s="199"/>
      <c r="S588" s="199"/>
      <c r="T588" s="199"/>
      <c r="U588" s="199"/>
      <c r="V588" s="199"/>
      <c r="W588" s="199"/>
      <c r="X588" s="199"/>
      <c r="Y588" s="199"/>
      <c r="Z588" s="199"/>
    </row>
    <row r="589">
      <c r="A589" s="199"/>
      <c r="B589" s="199"/>
      <c r="C589" s="199"/>
      <c r="D589" s="199"/>
      <c r="E589" s="202"/>
      <c r="F589" s="202"/>
      <c r="G589" s="199"/>
      <c r="H589" s="199"/>
      <c r="I589" s="199"/>
      <c r="J589" s="202"/>
      <c r="K589" s="202"/>
      <c r="L589" s="199"/>
      <c r="M589" s="199"/>
      <c r="N589" s="199"/>
      <c r="O589" s="199"/>
      <c r="P589" s="199"/>
      <c r="Q589" s="199"/>
      <c r="R589" s="199"/>
      <c r="S589" s="199"/>
      <c r="T589" s="199"/>
      <c r="U589" s="199"/>
      <c r="V589" s="199"/>
      <c r="W589" s="199"/>
      <c r="X589" s="199"/>
      <c r="Y589" s="199"/>
      <c r="Z589" s="199"/>
    </row>
    <row r="590">
      <c r="A590" s="199"/>
      <c r="B590" s="199"/>
      <c r="C590" s="199"/>
      <c r="D590" s="199"/>
      <c r="E590" s="202"/>
      <c r="F590" s="202"/>
      <c r="G590" s="199"/>
      <c r="H590" s="199"/>
      <c r="I590" s="199"/>
      <c r="J590" s="202"/>
      <c r="K590" s="202"/>
      <c r="L590" s="199"/>
      <c r="M590" s="199"/>
      <c r="N590" s="199"/>
      <c r="O590" s="199"/>
      <c r="P590" s="199"/>
      <c r="Q590" s="199"/>
      <c r="R590" s="199"/>
      <c r="S590" s="199"/>
      <c r="T590" s="199"/>
      <c r="U590" s="199"/>
      <c r="V590" s="199"/>
      <c r="W590" s="199"/>
      <c r="X590" s="199"/>
      <c r="Y590" s="199"/>
      <c r="Z590" s="199"/>
    </row>
    <row r="591">
      <c r="A591" s="199"/>
      <c r="B591" s="199"/>
      <c r="C591" s="199"/>
      <c r="D591" s="199"/>
      <c r="E591" s="202"/>
      <c r="F591" s="202"/>
      <c r="G591" s="199"/>
      <c r="H591" s="199"/>
      <c r="I591" s="199"/>
      <c r="J591" s="202"/>
      <c r="K591" s="202"/>
      <c r="L591" s="199"/>
      <c r="M591" s="199"/>
      <c r="N591" s="199"/>
      <c r="O591" s="199"/>
      <c r="P591" s="199"/>
      <c r="Q591" s="199"/>
      <c r="R591" s="199"/>
      <c r="S591" s="199"/>
      <c r="T591" s="199"/>
      <c r="U591" s="199"/>
      <c r="V591" s="199"/>
      <c r="W591" s="199"/>
      <c r="X591" s="199"/>
      <c r="Y591" s="199"/>
      <c r="Z591" s="199"/>
    </row>
    <row r="592">
      <c r="A592" s="199"/>
      <c r="B592" s="199"/>
      <c r="C592" s="199"/>
      <c r="D592" s="199"/>
      <c r="E592" s="202"/>
      <c r="F592" s="202"/>
      <c r="G592" s="199"/>
      <c r="H592" s="199"/>
      <c r="I592" s="199"/>
      <c r="J592" s="202"/>
      <c r="K592" s="202"/>
      <c r="L592" s="199"/>
      <c r="M592" s="199"/>
      <c r="N592" s="199"/>
      <c r="O592" s="199"/>
      <c r="P592" s="199"/>
      <c r="Q592" s="199"/>
      <c r="R592" s="199"/>
      <c r="S592" s="199"/>
      <c r="T592" s="199"/>
      <c r="U592" s="199"/>
      <c r="V592" s="199"/>
      <c r="W592" s="199"/>
      <c r="X592" s="199"/>
      <c r="Y592" s="199"/>
      <c r="Z592" s="199"/>
    </row>
    <row r="593">
      <c r="A593" s="199"/>
      <c r="B593" s="199"/>
      <c r="C593" s="199"/>
      <c r="D593" s="199"/>
      <c r="E593" s="202"/>
      <c r="F593" s="202"/>
      <c r="G593" s="199"/>
      <c r="H593" s="199"/>
      <c r="I593" s="199"/>
      <c r="J593" s="202"/>
      <c r="K593" s="202"/>
      <c r="L593" s="199"/>
      <c r="M593" s="199"/>
      <c r="N593" s="199"/>
      <c r="O593" s="199"/>
      <c r="P593" s="199"/>
      <c r="Q593" s="199"/>
      <c r="R593" s="199"/>
      <c r="S593" s="199"/>
      <c r="T593" s="199"/>
      <c r="U593" s="199"/>
      <c r="V593" s="199"/>
      <c r="W593" s="199"/>
      <c r="X593" s="199"/>
      <c r="Y593" s="199"/>
      <c r="Z593" s="199"/>
    </row>
    <row r="594">
      <c r="A594" s="199"/>
      <c r="B594" s="199"/>
      <c r="C594" s="199"/>
      <c r="D594" s="199"/>
      <c r="E594" s="202"/>
      <c r="F594" s="202"/>
      <c r="G594" s="199"/>
      <c r="H594" s="199"/>
      <c r="I594" s="199"/>
      <c r="J594" s="202"/>
      <c r="K594" s="202"/>
      <c r="L594" s="199"/>
      <c r="M594" s="199"/>
      <c r="N594" s="199"/>
      <c r="O594" s="199"/>
      <c r="P594" s="199"/>
      <c r="Q594" s="199"/>
      <c r="R594" s="199"/>
      <c r="S594" s="199"/>
      <c r="T594" s="199"/>
      <c r="U594" s="199"/>
      <c r="V594" s="199"/>
      <c r="W594" s="199"/>
      <c r="X594" s="199"/>
      <c r="Y594" s="199"/>
      <c r="Z594" s="199"/>
    </row>
    <row r="595">
      <c r="A595" s="199"/>
      <c r="B595" s="199"/>
      <c r="C595" s="199"/>
      <c r="D595" s="199"/>
      <c r="E595" s="202"/>
      <c r="F595" s="202"/>
      <c r="G595" s="199"/>
      <c r="H595" s="199"/>
      <c r="I595" s="199"/>
      <c r="J595" s="202"/>
      <c r="K595" s="202"/>
      <c r="L595" s="199"/>
      <c r="M595" s="199"/>
      <c r="N595" s="199"/>
      <c r="O595" s="199"/>
      <c r="P595" s="199"/>
      <c r="Q595" s="199"/>
      <c r="R595" s="199"/>
      <c r="S595" s="199"/>
      <c r="T595" s="199"/>
      <c r="U595" s="199"/>
      <c r="V595" s="199"/>
      <c r="W595" s="199"/>
      <c r="X595" s="199"/>
      <c r="Y595" s="199"/>
      <c r="Z595" s="199"/>
    </row>
    <row r="596">
      <c r="A596" s="199"/>
      <c r="B596" s="199"/>
      <c r="C596" s="199"/>
      <c r="D596" s="199"/>
      <c r="E596" s="202"/>
      <c r="F596" s="202"/>
      <c r="G596" s="199"/>
      <c r="H596" s="199"/>
      <c r="I596" s="199"/>
      <c r="J596" s="202"/>
      <c r="K596" s="202"/>
      <c r="L596" s="199"/>
      <c r="M596" s="199"/>
      <c r="N596" s="199"/>
      <c r="O596" s="199"/>
      <c r="P596" s="199"/>
      <c r="Q596" s="199"/>
      <c r="R596" s="199"/>
      <c r="S596" s="199"/>
      <c r="T596" s="199"/>
      <c r="U596" s="199"/>
      <c r="V596" s="199"/>
      <c r="W596" s="199"/>
      <c r="X596" s="199"/>
      <c r="Y596" s="199"/>
      <c r="Z596" s="199"/>
    </row>
    <row r="597">
      <c r="A597" s="199"/>
      <c r="B597" s="199"/>
      <c r="C597" s="199"/>
      <c r="D597" s="199"/>
      <c r="E597" s="202"/>
      <c r="F597" s="202"/>
      <c r="G597" s="199"/>
      <c r="H597" s="199"/>
      <c r="I597" s="199"/>
      <c r="J597" s="202"/>
      <c r="K597" s="202"/>
      <c r="L597" s="199"/>
      <c r="M597" s="199"/>
      <c r="N597" s="199"/>
      <c r="O597" s="199"/>
      <c r="P597" s="199"/>
      <c r="Q597" s="199"/>
      <c r="R597" s="199"/>
      <c r="S597" s="199"/>
      <c r="T597" s="199"/>
      <c r="U597" s="199"/>
      <c r="V597" s="199"/>
      <c r="W597" s="199"/>
      <c r="X597" s="199"/>
      <c r="Y597" s="199"/>
      <c r="Z597" s="199"/>
    </row>
    <row r="598">
      <c r="A598" s="199"/>
      <c r="B598" s="199"/>
      <c r="C598" s="199"/>
      <c r="D598" s="199"/>
      <c r="E598" s="202"/>
      <c r="F598" s="202"/>
      <c r="G598" s="199"/>
      <c r="H598" s="199"/>
      <c r="I598" s="199"/>
      <c r="J598" s="202"/>
      <c r="K598" s="202"/>
      <c r="L598" s="199"/>
      <c r="M598" s="199"/>
      <c r="N598" s="199"/>
      <c r="O598" s="199"/>
      <c r="P598" s="199"/>
      <c r="Q598" s="199"/>
      <c r="R598" s="199"/>
      <c r="S598" s="199"/>
      <c r="T598" s="199"/>
      <c r="U598" s="199"/>
      <c r="V598" s="199"/>
      <c r="W598" s="199"/>
      <c r="X598" s="199"/>
      <c r="Y598" s="199"/>
      <c r="Z598" s="199"/>
    </row>
    <row r="599">
      <c r="A599" s="199"/>
      <c r="B599" s="199"/>
      <c r="C599" s="199"/>
      <c r="D599" s="199"/>
      <c r="E599" s="202"/>
      <c r="F599" s="202"/>
      <c r="G599" s="199"/>
      <c r="H599" s="199"/>
      <c r="I599" s="199"/>
      <c r="J599" s="202"/>
      <c r="K599" s="202"/>
      <c r="L599" s="199"/>
      <c r="M599" s="199"/>
      <c r="N599" s="199"/>
      <c r="O599" s="199"/>
      <c r="P599" s="199"/>
      <c r="Q599" s="199"/>
      <c r="R599" s="199"/>
      <c r="S599" s="199"/>
      <c r="T599" s="199"/>
      <c r="U599" s="199"/>
      <c r="V599" s="199"/>
      <c r="W599" s="199"/>
      <c r="X599" s="199"/>
      <c r="Y599" s="199"/>
      <c r="Z599" s="199"/>
    </row>
    <row r="600">
      <c r="A600" s="199"/>
      <c r="B600" s="199"/>
      <c r="C600" s="199"/>
      <c r="D600" s="199"/>
      <c r="E600" s="202"/>
      <c r="F600" s="202"/>
      <c r="G600" s="199"/>
      <c r="H600" s="199"/>
      <c r="I600" s="199"/>
      <c r="J600" s="202"/>
      <c r="K600" s="202"/>
      <c r="L600" s="199"/>
      <c r="M600" s="199"/>
      <c r="N600" s="199"/>
      <c r="O600" s="199"/>
      <c r="P600" s="199"/>
      <c r="Q600" s="199"/>
      <c r="R600" s="199"/>
      <c r="S600" s="199"/>
      <c r="T600" s="199"/>
      <c r="U600" s="199"/>
      <c r="V600" s="199"/>
      <c r="W600" s="199"/>
      <c r="X600" s="199"/>
      <c r="Y600" s="199"/>
      <c r="Z600" s="199"/>
    </row>
    <row r="601">
      <c r="A601" s="199"/>
      <c r="B601" s="199"/>
      <c r="C601" s="199"/>
      <c r="D601" s="199"/>
      <c r="E601" s="202"/>
      <c r="F601" s="202"/>
      <c r="G601" s="199"/>
      <c r="H601" s="199"/>
      <c r="I601" s="199"/>
      <c r="J601" s="202"/>
      <c r="K601" s="202"/>
      <c r="L601" s="199"/>
      <c r="M601" s="199"/>
      <c r="N601" s="199"/>
      <c r="O601" s="199"/>
      <c r="P601" s="199"/>
      <c r="Q601" s="199"/>
      <c r="R601" s="199"/>
      <c r="S601" s="199"/>
      <c r="T601" s="199"/>
      <c r="U601" s="199"/>
      <c r="V601" s="199"/>
      <c r="W601" s="199"/>
      <c r="X601" s="199"/>
      <c r="Y601" s="199"/>
      <c r="Z601" s="199"/>
    </row>
    <row r="602">
      <c r="A602" s="199"/>
      <c r="B602" s="199"/>
      <c r="C602" s="199"/>
      <c r="D602" s="199"/>
      <c r="E602" s="202"/>
      <c r="F602" s="202"/>
      <c r="G602" s="199"/>
      <c r="H602" s="199"/>
      <c r="I602" s="199"/>
      <c r="J602" s="202"/>
      <c r="K602" s="202"/>
      <c r="L602" s="199"/>
      <c r="M602" s="199"/>
      <c r="N602" s="199"/>
      <c r="O602" s="199"/>
      <c r="P602" s="199"/>
      <c r="Q602" s="199"/>
      <c r="R602" s="199"/>
      <c r="S602" s="199"/>
      <c r="T602" s="199"/>
      <c r="U602" s="199"/>
      <c r="V602" s="199"/>
      <c r="W602" s="199"/>
      <c r="X602" s="199"/>
      <c r="Y602" s="199"/>
      <c r="Z602" s="199"/>
    </row>
    <row r="603">
      <c r="A603" s="199"/>
      <c r="B603" s="199"/>
      <c r="C603" s="199"/>
      <c r="D603" s="199"/>
      <c r="E603" s="202"/>
      <c r="F603" s="202"/>
      <c r="G603" s="199"/>
      <c r="H603" s="199"/>
      <c r="I603" s="199"/>
      <c r="J603" s="202"/>
      <c r="K603" s="202"/>
      <c r="L603" s="199"/>
      <c r="M603" s="199"/>
      <c r="N603" s="199"/>
      <c r="O603" s="199"/>
      <c r="P603" s="199"/>
      <c r="Q603" s="199"/>
      <c r="R603" s="199"/>
      <c r="S603" s="199"/>
      <c r="T603" s="199"/>
      <c r="U603" s="199"/>
      <c r="V603" s="199"/>
      <c r="W603" s="199"/>
      <c r="X603" s="199"/>
      <c r="Y603" s="199"/>
      <c r="Z603" s="199"/>
    </row>
    <row r="604">
      <c r="A604" s="199"/>
      <c r="B604" s="199"/>
      <c r="C604" s="199"/>
      <c r="D604" s="199"/>
      <c r="E604" s="202"/>
      <c r="F604" s="202"/>
      <c r="G604" s="199"/>
      <c r="H604" s="199"/>
      <c r="I604" s="199"/>
      <c r="J604" s="202"/>
      <c r="K604" s="202"/>
      <c r="L604" s="199"/>
      <c r="M604" s="199"/>
      <c r="N604" s="199"/>
      <c r="O604" s="199"/>
      <c r="P604" s="199"/>
      <c r="Q604" s="199"/>
      <c r="R604" s="199"/>
      <c r="S604" s="199"/>
      <c r="T604" s="199"/>
      <c r="U604" s="199"/>
      <c r="V604" s="199"/>
      <c r="W604" s="199"/>
      <c r="X604" s="199"/>
      <c r="Y604" s="199"/>
      <c r="Z604" s="199"/>
    </row>
    <row r="605">
      <c r="A605" s="199"/>
      <c r="B605" s="199"/>
      <c r="C605" s="199"/>
      <c r="D605" s="199"/>
      <c r="E605" s="202"/>
      <c r="F605" s="202"/>
      <c r="G605" s="199"/>
      <c r="H605" s="199"/>
      <c r="I605" s="199"/>
      <c r="J605" s="202"/>
      <c r="K605" s="202"/>
      <c r="L605" s="199"/>
      <c r="M605" s="199"/>
      <c r="N605" s="199"/>
      <c r="O605" s="199"/>
      <c r="P605" s="199"/>
      <c r="Q605" s="199"/>
      <c r="R605" s="199"/>
      <c r="S605" s="199"/>
      <c r="T605" s="199"/>
      <c r="U605" s="199"/>
      <c r="V605" s="199"/>
      <c r="W605" s="199"/>
      <c r="X605" s="199"/>
      <c r="Y605" s="199"/>
      <c r="Z605" s="199"/>
    </row>
    <row r="606">
      <c r="A606" s="199"/>
      <c r="B606" s="199"/>
      <c r="C606" s="199"/>
      <c r="D606" s="199"/>
      <c r="E606" s="202"/>
      <c r="F606" s="202"/>
      <c r="G606" s="199"/>
      <c r="H606" s="199"/>
      <c r="I606" s="199"/>
      <c r="J606" s="202"/>
      <c r="K606" s="202"/>
      <c r="L606" s="199"/>
      <c r="M606" s="199"/>
      <c r="N606" s="199"/>
      <c r="O606" s="199"/>
      <c r="P606" s="199"/>
      <c r="Q606" s="199"/>
      <c r="R606" s="199"/>
      <c r="S606" s="199"/>
      <c r="T606" s="199"/>
      <c r="U606" s="199"/>
      <c r="V606" s="199"/>
      <c r="W606" s="199"/>
      <c r="X606" s="199"/>
      <c r="Y606" s="199"/>
      <c r="Z606" s="199"/>
    </row>
    <row r="607">
      <c r="A607" s="199"/>
      <c r="B607" s="199"/>
      <c r="C607" s="199"/>
      <c r="D607" s="199"/>
      <c r="E607" s="202"/>
      <c r="F607" s="202"/>
      <c r="G607" s="199"/>
      <c r="H607" s="199"/>
      <c r="I607" s="199"/>
      <c r="J607" s="202"/>
      <c r="K607" s="202"/>
      <c r="L607" s="199"/>
      <c r="M607" s="199"/>
      <c r="N607" s="199"/>
      <c r="O607" s="199"/>
      <c r="P607" s="199"/>
      <c r="Q607" s="199"/>
      <c r="R607" s="199"/>
      <c r="S607" s="199"/>
      <c r="T607" s="199"/>
      <c r="U607" s="199"/>
      <c r="V607" s="199"/>
      <c r="W607" s="199"/>
      <c r="X607" s="199"/>
      <c r="Y607" s="199"/>
      <c r="Z607" s="199"/>
    </row>
    <row r="608">
      <c r="A608" s="199"/>
      <c r="B608" s="199"/>
      <c r="C608" s="199"/>
      <c r="D608" s="199"/>
      <c r="E608" s="202"/>
      <c r="F608" s="202"/>
      <c r="G608" s="199"/>
      <c r="H608" s="199"/>
      <c r="I608" s="199"/>
      <c r="J608" s="202"/>
      <c r="K608" s="202"/>
      <c r="L608" s="199"/>
      <c r="M608" s="199"/>
      <c r="N608" s="199"/>
      <c r="O608" s="199"/>
      <c r="P608" s="199"/>
      <c r="Q608" s="199"/>
      <c r="R608" s="199"/>
      <c r="S608" s="199"/>
      <c r="T608" s="199"/>
      <c r="U608" s="199"/>
      <c r="V608" s="199"/>
      <c r="W608" s="199"/>
      <c r="X608" s="199"/>
      <c r="Y608" s="199"/>
      <c r="Z608" s="199"/>
    </row>
    <row r="609">
      <c r="A609" s="199"/>
      <c r="B609" s="199"/>
      <c r="C609" s="199"/>
      <c r="D609" s="199"/>
      <c r="E609" s="202"/>
      <c r="F609" s="202"/>
      <c r="G609" s="199"/>
      <c r="H609" s="199"/>
      <c r="I609" s="199"/>
      <c r="J609" s="202"/>
      <c r="K609" s="202"/>
      <c r="L609" s="199"/>
      <c r="M609" s="199"/>
      <c r="N609" s="199"/>
      <c r="O609" s="199"/>
      <c r="P609" s="199"/>
      <c r="Q609" s="199"/>
      <c r="R609" s="199"/>
      <c r="S609" s="199"/>
      <c r="T609" s="199"/>
      <c r="U609" s="199"/>
      <c r="V609" s="199"/>
      <c r="W609" s="199"/>
      <c r="X609" s="199"/>
      <c r="Y609" s="199"/>
      <c r="Z609" s="199"/>
    </row>
    <row r="610">
      <c r="A610" s="199"/>
      <c r="B610" s="199"/>
      <c r="C610" s="199"/>
      <c r="D610" s="199"/>
      <c r="E610" s="202"/>
      <c r="F610" s="202"/>
      <c r="G610" s="199"/>
      <c r="H610" s="199"/>
      <c r="I610" s="199"/>
      <c r="J610" s="202"/>
      <c r="K610" s="202"/>
      <c r="L610" s="199"/>
      <c r="M610" s="199"/>
      <c r="N610" s="199"/>
      <c r="O610" s="199"/>
      <c r="P610" s="199"/>
      <c r="Q610" s="199"/>
      <c r="R610" s="199"/>
      <c r="S610" s="199"/>
      <c r="T610" s="199"/>
      <c r="U610" s="199"/>
      <c r="V610" s="199"/>
      <c r="W610" s="199"/>
      <c r="X610" s="199"/>
      <c r="Y610" s="199"/>
      <c r="Z610" s="199"/>
    </row>
    <row r="611">
      <c r="A611" s="199"/>
      <c r="B611" s="199"/>
      <c r="C611" s="199"/>
      <c r="D611" s="199"/>
      <c r="E611" s="202"/>
      <c r="F611" s="202"/>
      <c r="G611" s="199"/>
      <c r="H611" s="199"/>
      <c r="I611" s="199"/>
      <c r="J611" s="202"/>
      <c r="K611" s="202"/>
      <c r="L611" s="199"/>
      <c r="M611" s="199"/>
      <c r="N611" s="199"/>
      <c r="O611" s="199"/>
      <c r="P611" s="199"/>
      <c r="Q611" s="199"/>
      <c r="R611" s="199"/>
      <c r="S611" s="199"/>
      <c r="T611" s="199"/>
      <c r="U611" s="199"/>
      <c r="V611" s="199"/>
      <c r="W611" s="199"/>
      <c r="X611" s="199"/>
      <c r="Y611" s="199"/>
      <c r="Z611" s="199"/>
    </row>
    <row r="612">
      <c r="A612" s="199"/>
      <c r="B612" s="199"/>
      <c r="C612" s="199"/>
      <c r="D612" s="199"/>
      <c r="E612" s="202"/>
      <c r="F612" s="202"/>
      <c r="G612" s="199"/>
      <c r="H612" s="199"/>
      <c r="I612" s="199"/>
      <c r="J612" s="202"/>
      <c r="K612" s="202"/>
      <c r="L612" s="199"/>
      <c r="M612" s="199"/>
      <c r="N612" s="199"/>
      <c r="O612" s="199"/>
      <c r="P612" s="199"/>
      <c r="Q612" s="199"/>
      <c r="R612" s="199"/>
      <c r="S612" s="199"/>
      <c r="T612" s="199"/>
      <c r="U612" s="199"/>
      <c r="V612" s="199"/>
      <c r="W612" s="199"/>
      <c r="X612" s="199"/>
      <c r="Y612" s="199"/>
      <c r="Z612" s="199"/>
    </row>
    <row r="613">
      <c r="A613" s="199"/>
      <c r="B613" s="199"/>
      <c r="C613" s="199"/>
      <c r="D613" s="199"/>
      <c r="E613" s="202"/>
      <c r="F613" s="202"/>
      <c r="G613" s="199"/>
      <c r="H613" s="199"/>
      <c r="I613" s="199"/>
      <c r="J613" s="202"/>
      <c r="K613" s="202"/>
      <c r="L613" s="199"/>
      <c r="M613" s="199"/>
      <c r="N613" s="199"/>
      <c r="O613" s="199"/>
      <c r="P613" s="199"/>
      <c r="Q613" s="199"/>
      <c r="R613" s="199"/>
      <c r="S613" s="199"/>
      <c r="T613" s="199"/>
      <c r="U613" s="199"/>
      <c r="V613" s="199"/>
      <c r="W613" s="199"/>
      <c r="X613" s="199"/>
      <c r="Y613" s="199"/>
      <c r="Z613" s="199"/>
    </row>
    <row r="614">
      <c r="A614" s="199"/>
      <c r="B614" s="199"/>
      <c r="C614" s="199"/>
      <c r="D614" s="199"/>
      <c r="E614" s="202"/>
      <c r="F614" s="202"/>
      <c r="G614" s="199"/>
      <c r="H614" s="199"/>
      <c r="I614" s="199"/>
      <c r="J614" s="202"/>
      <c r="K614" s="202"/>
      <c r="L614" s="199"/>
      <c r="M614" s="199"/>
      <c r="N614" s="199"/>
      <c r="O614" s="199"/>
      <c r="P614" s="199"/>
      <c r="Q614" s="199"/>
      <c r="R614" s="199"/>
      <c r="S614" s="199"/>
      <c r="T614" s="199"/>
      <c r="U614" s="199"/>
      <c r="V614" s="199"/>
      <c r="W614" s="199"/>
      <c r="X614" s="199"/>
      <c r="Y614" s="199"/>
      <c r="Z614" s="199"/>
    </row>
    <row r="615">
      <c r="A615" s="199"/>
      <c r="B615" s="199"/>
      <c r="C615" s="199"/>
      <c r="D615" s="199"/>
      <c r="E615" s="202"/>
      <c r="F615" s="202"/>
      <c r="G615" s="199"/>
      <c r="H615" s="199"/>
      <c r="I615" s="199"/>
      <c r="J615" s="202"/>
      <c r="K615" s="202"/>
      <c r="L615" s="199"/>
      <c r="M615" s="199"/>
      <c r="N615" s="199"/>
      <c r="O615" s="199"/>
      <c r="P615" s="199"/>
      <c r="Q615" s="199"/>
      <c r="R615" s="199"/>
      <c r="S615" s="199"/>
      <c r="T615" s="199"/>
      <c r="U615" s="199"/>
      <c r="V615" s="199"/>
      <c r="W615" s="199"/>
      <c r="X615" s="199"/>
      <c r="Y615" s="199"/>
      <c r="Z615" s="199"/>
    </row>
    <row r="616">
      <c r="A616" s="199"/>
      <c r="B616" s="199"/>
      <c r="C616" s="199"/>
      <c r="D616" s="199"/>
      <c r="E616" s="202"/>
      <c r="F616" s="202"/>
      <c r="G616" s="199"/>
      <c r="H616" s="199"/>
      <c r="I616" s="199"/>
      <c r="J616" s="202"/>
      <c r="K616" s="202"/>
      <c r="L616" s="199"/>
      <c r="M616" s="199"/>
      <c r="N616" s="199"/>
      <c r="O616" s="199"/>
      <c r="P616" s="199"/>
      <c r="Q616" s="199"/>
      <c r="R616" s="199"/>
      <c r="S616" s="199"/>
      <c r="T616" s="199"/>
      <c r="U616" s="199"/>
      <c r="V616" s="199"/>
      <c r="W616" s="199"/>
      <c r="X616" s="199"/>
      <c r="Y616" s="199"/>
      <c r="Z616" s="199"/>
    </row>
    <row r="617">
      <c r="A617" s="199"/>
      <c r="B617" s="199"/>
      <c r="C617" s="199"/>
      <c r="D617" s="199"/>
      <c r="E617" s="202"/>
      <c r="F617" s="202"/>
      <c r="G617" s="199"/>
      <c r="H617" s="199"/>
      <c r="I617" s="199"/>
      <c r="J617" s="202"/>
      <c r="K617" s="202"/>
      <c r="L617" s="199"/>
      <c r="M617" s="199"/>
      <c r="N617" s="199"/>
      <c r="O617" s="199"/>
      <c r="P617" s="199"/>
      <c r="Q617" s="199"/>
      <c r="R617" s="199"/>
      <c r="S617" s="199"/>
      <c r="T617" s="199"/>
      <c r="U617" s="199"/>
      <c r="V617" s="199"/>
      <c r="W617" s="199"/>
      <c r="X617" s="199"/>
      <c r="Y617" s="199"/>
      <c r="Z617" s="199"/>
    </row>
    <row r="618">
      <c r="A618" s="199"/>
      <c r="B618" s="199"/>
      <c r="C618" s="199"/>
      <c r="D618" s="199"/>
      <c r="E618" s="202"/>
      <c r="F618" s="202"/>
      <c r="G618" s="199"/>
      <c r="H618" s="199"/>
      <c r="I618" s="199"/>
      <c r="J618" s="202"/>
      <c r="K618" s="202"/>
      <c r="L618" s="199"/>
      <c r="M618" s="199"/>
      <c r="N618" s="199"/>
      <c r="O618" s="199"/>
      <c r="P618" s="199"/>
      <c r="Q618" s="199"/>
      <c r="R618" s="199"/>
      <c r="S618" s="199"/>
      <c r="T618" s="199"/>
      <c r="U618" s="199"/>
      <c r="V618" s="199"/>
      <c r="W618" s="199"/>
      <c r="X618" s="199"/>
      <c r="Y618" s="199"/>
      <c r="Z618" s="199"/>
    </row>
    <row r="619">
      <c r="A619" s="199"/>
      <c r="B619" s="199"/>
      <c r="C619" s="199"/>
      <c r="D619" s="199"/>
      <c r="E619" s="202"/>
      <c r="F619" s="202"/>
      <c r="G619" s="199"/>
      <c r="H619" s="199"/>
      <c r="I619" s="199"/>
      <c r="J619" s="202"/>
      <c r="K619" s="202"/>
      <c r="L619" s="199"/>
      <c r="M619" s="199"/>
      <c r="N619" s="199"/>
      <c r="O619" s="199"/>
      <c r="P619" s="199"/>
      <c r="Q619" s="199"/>
      <c r="R619" s="199"/>
      <c r="S619" s="199"/>
      <c r="T619" s="199"/>
      <c r="U619" s="199"/>
      <c r="V619" s="199"/>
      <c r="W619" s="199"/>
      <c r="X619" s="199"/>
      <c r="Y619" s="199"/>
      <c r="Z619" s="199"/>
    </row>
    <row r="620">
      <c r="A620" s="199"/>
      <c r="B620" s="199"/>
      <c r="C620" s="199"/>
      <c r="D620" s="199"/>
      <c r="E620" s="202"/>
      <c r="F620" s="202"/>
      <c r="G620" s="199"/>
      <c r="H620" s="199"/>
      <c r="I620" s="199"/>
      <c r="J620" s="202"/>
      <c r="K620" s="202"/>
      <c r="L620" s="199"/>
      <c r="M620" s="199"/>
      <c r="N620" s="199"/>
      <c r="O620" s="199"/>
      <c r="P620" s="199"/>
      <c r="Q620" s="199"/>
      <c r="R620" s="199"/>
      <c r="S620" s="199"/>
      <c r="T620" s="199"/>
      <c r="U620" s="199"/>
      <c r="V620" s="199"/>
      <c r="W620" s="199"/>
      <c r="X620" s="199"/>
      <c r="Y620" s="199"/>
      <c r="Z620" s="199"/>
    </row>
    <row r="621">
      <c r="A621" s="199"/>
      <c r="B621" s="199"/>
      <c r="C621" s="199"/>
      <c r="D621" s="199"/>
      <c r="E621" s="202"/>
      <c r="F621" s="202"/>
      <c r="G621" s="199"/>
      <c r="H621" s="199"/>
      <c r="I621" s="199"/>
      <c r="J621" s="202"/>
      <c r="K621" s="202"/>
      <c r="L621" s="199"/>
      <c r="M621" s="199"/>
      <c r="N621" s="199"/>
      <c r="O621" s="199"/>
      <c r="P621" s="199"/>
      <c r="Q621" s="199"/>
      <c r="R621" s="199"/>
      <c r="S621" s="199"/>
      <c r="T621" s="199"/>
      <c r="U621" s="199"/>
      <c r="V621" s="199"/>
      <c r="W621" s="199"/>
      <c r="X621" s="199"/>
      <c r="Y621" s="199"/>
      <c r="Z621" s="199"/>
    </row>
    <row r="622">
      <c r="A622" s="199"/>
      <c r="B622" s="199"/>
      <c r="C622" s="199"/>
      <c r="D622" s="199"/>
      <c r="E622" s="202"/>
      <c r="F622" s="202"/>
      <c r="G622" s="199"/>
      <c r="H622" s="199"/>
      <c r="I622" s="199"/>
      <c r="J622" s="202"/>
      <c r="K622" s="202"/>
      <c r="L622" s="199"/>
      <c r="M622" s="199"/>
      <c r="N622" s="199"/>
      <c r="O622" s="199"/>
      <c r="P622" s="199"/>
      <c r="Q622" s="199"/>
      <c r="R622" s="199"/>
      <c r="S622" s="199"/>
      <c r="T622" s="199"/>
      <c r="U622" s="199"/>
      <c r="V622" s="199"/>
      <c r="W622" s="199"/>
      <c r="X622" s="199"/>
      <c r="Y622" s="199"/>
      <c r="Z622" s="199"/>
    </row>
    <row r="623">
      <c r="A623" s="199"/>
      <c r="B623" s="199"/>
      <c r="C623" s="199"/>
      <c r="D623" s="199"/>
      <c r="E623" s="202"/>
      <c r="F623" s="202"/>
      <c r="G623" s="199"/>
      <c r="H623" s="199"/>
      <c r="I623" s="199"/>
      <c r="J623" s="202"/>
      <c r="K623" s="202"/>
      <c r="L623" s="199"/>
      <c r="M623" s="199"/>
      <c r="N623" s="199"/>
      <c r="O623" s="199"/>
      <c r="P623" s="199"/>
      <c r="Q623" s="199"/>
      <c r="R623" s="199"/>
      <c r="S623" s="199"/>
      <c r="T623" s="199"/>
      <c r="U623" s="199"/>
      <c r="V623" s="199"/>
      <c r="W623" s="199"/>
      <c r="X623" s="199"/>
      <c r="Y623" s="199"/>
      <c r="Z623" s="199"/>
    </row>
    <row r="624">
      <c r="A624" s="199"/>
      <c r="B624" s="199"/>
      <c r="C624" s="199"/>
      <c r="D624" s="199"/>
      <c r="E624" s="202"/>
      <c r="F624" s="202"/>
      <c r="G624" s="199"/>
      <c r="H624" s="199"/>
      <c r="I624" s="199"/>
      <c r="J624" s="202"/>
      <c r="K624" s="202"/>
      <c r="L624" s="199"/>
      <c r="M624" s="199"/>
      <c r="N624" s="199"/>
      <c r="O624" s="199"/>
      <c r="P624" s="199"/>
      <c r="Q624" s="199"/>
      <c r="R624" s="199"/>
      <c r="S624" s="199"/>
      <c r="T624" s="199"/>
      <c r="U624" s="199"/>
      <c r="V624" s="199"/>
      <c r="W624" s="199"/>
      <c r="X624" s="199"/>
      <c r="Y624" s="199"/>
      <c r="Z624" s="199"/>
    </row>
    <row r="625">
      <c r="A625" s="199"/>
      <c r="B625" s="199"/>
      <c r="C625" s="199"/>
      <c r="D625" s="199"/>
      <c r="E625" s="202"/>
      <c r="F625" s="202"/>
      <c r="G625" s="199"/>
      <c r="H625" s="199"/>
      <c r="I625" s="199"/>
      <c r="J625" s="202"/>
      <c r="K625" s="202"/>
      <c r="L625" s="199"/>
      <c r="M625" s="199"/>
      <c r="N625" s="199"/>
      <c r="O625" s="199"/>
      <c r="P625" s="199"/>
      <c r="Q625" s="199"/>
      <c r="R625" s="199"/>
      <c r="S625" s="199"/>
      <c r="T625" s="199"/>
      <c r="U625" s="199"/>
      <c r="V625" s="199"/>
      <c r="W625" s="199"/>
      <c r="X625" s="199"/>
      <c r="Y625" s="199"/>
      <c r="Z625" s="199"/>
    </row>
    <row r="626">
      <c r="A626" s="199"/>
      <c r="B626" s="199"/>
      <c r="C626" s="199"/>
      <c r="D626" s="199"/>
      <c r="E626" s="202"/>
      <c r="F626" s="202"/>
      <c r="G626" s="199"/>
      <c r="H626" s="199"/>
      <c r="I626" s="199"/>
      <c r="J626" s="202"/>
      <c r="K626" s="202"/>
      <c r="L626" s="199"/>
      <c r="M626" s="199"/>
      <c r="N626" s="199"/>
      <c r="O626" s="199"/>
      <c r="P626" s="199"/>
      <c r="Q626" s="199"/>
      <c r="R626" s="199"/>
      <c r="S626" s="199"/>
      <c r="T626" s="199"/>
      <c r="U626" s="199"/>
      <c r="V626" s="199"/>
      <c r="W626" s="199"/>
      <c r="X626" s="199"/>
      <c r="Y626" s="199"/>
      <c r="Z626" s="199"/>
    </row>
    <row r="627">
      <c r="A627" s="199"/>
      <c r="B627" s="199"/>
      <c r="C627" s="199"/>
      <c r="D627" s="199"/>
      <c r="E627" s="202"/>
      <c r="F627" s="202"/>
      <c r="G627" s="199"/>
      <c r="H627" s="199"/>
      <c r="I627" s="199"/>
      <c r="J627" s="202"/>
      <c r="K627" s="202"/>
      <c r="L627" s="199"/>
      <c r="M627" s="199"/>
      <c r="N627" s="199"/>
      <c r="O627" s="199"/>
      <c r="P627" s="199"/>
      <c r="Q627" s="199"/>
      <c r="R627" s="199"/>
      <c r="S627" s="199"/>
      <c r="T627" s="199"/>
      <c r="U627" s="199"/>
      <c r="V627" s="199"/>
      <c r="W627" s="199"/>
      <c r="X627" s="199"/>
      <c r="Y627" s="199"/>
      <c r="Z627" s="199"/>
    </row>
    <row r="628">
      <c r="A628" s="199"/>
      <c r="B628" s="199"/>
      <c r="C628" s="199"/>
      <c r="D628" s="199"/>
      <c r="E628" s="202"/>
      <c r="F628" s="202"/>
      <c r="G628" s="199"/>
      <c r="H628" s="199"/>
      <c r="I628" s="199"/>
      <c r="J628" s="202"/>
      <c r="K628" s="202"/>
      <c r="L628" s="199"/>
      <c r="M628" s="199"/>
      <c r="N628" s="199"/>
      <c r="O628" s="199"/>
      <c r="P628" s="199"/>
      <c r="Q628" s="199"/>
      <c r="R628" s="199"/>
      <c r="S628" s="199"/>
      <c r="T628" s="199"/>
      <c r="U628" s="199"/>
      <c r="V628" s="199"/>
      <c r="W628" s="199"/>
      <c r="X628" s="199"/>
      <c r="Y628" s="199"/>
      <c r="Z628" s="199"/>
    </row>
    <row r="629">
      <c r="A629" s="199"/>
      <c r="B629" s="199"/>
      <c r="C629" s="199"/>
      <c r="D629" s="199"/>
      <c r="E629" s="202"/>
      <c r="F629" s="202"/>
      <c r="G629" s="199"/>
      <c r="H629" s="199"/>
      <c r="I629" s="199"/>
      <c r="J629" s="202"/>
      <c r="K629" s="202"/>
      <c r="L629" s="199"/>
      <c r="M629" s="199"/>
      <c r="N629" s="199"/>
      <c r="O629" s="199"/>
      <c r="P629" s="199"/>
      <c r="Q629" s="199"/>
      <c r="R629" s="199"/>
      <c r="S629" s="199"/>
      <c r="T629" s="199"/>
      <c r="U629" s="199"/>
      <c r="V629" s="199"/>
      <c r="W629" s="199"/>
      <c r="X629" s="199"/>
      <c r="Y629" s="199"/>
      <c r="Z629" s="199"/>
    </row>
    <row r="630">
      <c r="A630" s="199"/>
      <c r="B630" s="199"/>
      <c r="C630" s="199"/>
      <c r="D630" s="199"/>
      <c r="E630" s="202"/>
      <c r="F630" s="202"/>
      <c r="G630" s="199"/>
      <c r="H630" s="199"/>
      <c r="I630" s="199"/>
      <c r="J630" s="202"/>
      <c r="K630" s="202"/>
      <c r="L630" s="199"/>
      <c r="M630" s="199"/>
      <c r="N630" s="199"/>
      <c r="O630" s="199"/>
      <c r="P630" s="199"/>
      <c r="Q630" s="199"/>
      <c r="R630" s="199"/>
      <c r="S630" s="199"/>
      <c r="T630" s="199"/>
      <c r="U630" s="199"/>
      <c r="V630" s="199"/>
      <c r="W630" s="199"/>
      <c r="X630" s="199"/>
      <c r="Y630" s="199"/>
      <c r="Z630" s="199"/>
    </row>
    <row r="631">
      <c r="A631" s="199"/>
      <c r="B631" s="199"/>
      <c r="C631" s="199"/>
      <c r="D631" s="199"/>
      <c r="E631" s="202"/>
      <c r="F631" s="202"/>
      <c r="G631" s="199"/>
      <c r="H631" s="199"/>
      <c r="I631" s="199"/>
      <c r="J631" s="202"/>
      <c r="K631" s="202"/>
      <c r="L631" s="199"/>
      <c r="M631" s="199"/>
      <c r="N631" s="199"/>
      <c r="O631" s="199"/>
      <c r="P631" s="199"/>
      <c r="Q631" s="199"/>
      <c r="R631" s="199"/>
      <c r="S631" s="199"/>
      <c r="T631" s="199"/>
      <c r="U631" s="199"/>
      <c r="V631" s="199"/>
      <c r="W631" s="199"/>
      <c r="X631" s="199"/>
      <c r="Y631" s="199"/>
      <c r="Z631" s="199"/>
    </row>
    <row r="632">
      <c r="A632" s="199"/>
      <c r="B632" s="199"/>
      <c r="C632" s="199"/>
      <c r="D632" s="199"/>
      <c r="E632" s="202"/>
      <c r="F632" s="202"/>
      <c r="G632" s="199"/>
      <c r="H632" s="199"/>
      <c r="I632" s="199"/>
      <c r="J632" s="202"/>
      <c r="K632" s="202"/>
      <c r="L632" s="199"/>
      <c r="M632" s="199"/>
      <c r="N632" s="199"/>
      <c r="O632" s="199"/>
      <c r="P632" s="199"/>
      <c r="Q632" s="199"/>
      <c r="R632" s="199"/>
      <c r="S632" s="199"/>
      <c r="T632" s="199"/>
      <c r="U632" s="199"/>
      <c r="V632" s="199"/>
      <c r="W632" s="199"/>
      <c r="X632" s="199"/>
      <c r="Y632" s="199"/>
      <c r="Z632" s="199"/>
    </row>
    <row r="633">
      <c r="A633" s="199"/>
      <c r="B633" s="199"/>
      <c r="C633" s="199"/>
      <c r="D633" s="199"/>
      <c r="E633" s="202"/>
      <c r="F633" s="202"/>
      <c r="G633" s="199"/>
      <c r="H633" s="199"/>
      <c r="I633" s="199"/>
      <c r="J633" s="202"/>
      <c r="K633" s="202"/>
      <c r="L633" s="199"/>
      <c r="M633" s="199"/>
      <c r="N633" s="199"/>
      <c r="O633" s="199"/>
      <c r="P633" s="199"/>
      <c r="Q633" s="199"/>
      <c r="R633" s="199"/>
      <c r="S633" s="199"/>
      <c r="T633" s="199"/>
      <c r="U633" s="199"/>
      <c r="V633" s="199"/>
      <c r="W633" s="199"/>
      <c r="X633" s="199"/>
      <c r="Y633" s="199"/>
      <c r="Z633" s="199"/>
    </row>
    <row r="634">
      <c r="A634" s="199"/>
      <c r="B634" s="199"/>
      <c r="C634" s="199"/>
      <c r="D634" s="199"/>
      <c r="E634" s="202"/>
      <c r="F634" s="202"/>
      <c r="G634" s="199"/>
      <c r="H634" s="199"/>
      <c r="I634" s="199"/>
      <c r="J634" s="202"/>
      <c r="K634" s="202"/>
      <c r="L634" s="199"/>
      <c r="M634" s="199"/>
      <c r="N634" s="199"/>
      <c r="O634" s="199"/>
      <c r="P634" s="199"/>
      <c r="Q634" s="199"/>
      <c r="R634" s="199"/>
      <c r="S634" s="199"/>
      <c r="T634" s="199"/>
      <c r="U634" s="199"/>
      <c r="V634" s="199"/>
      <c r="W634" s="199"/>
      <c r="X634" s="199"/>
      <c r="Y634" s="199"/>
      <c r="Z634" s="199"/>
    </row>
    <row r="635">
      <c r="A635" s="199"/>
      <c r="B635" s="199"/>
      <c r="C635" s="199"/>
      <c r="D635" s="199"/>
      <c r="E635" s="202"/>
      <c r="F635" s="202"/>
      <c r="G635" s="199"/>
      <c r="H635" s="199"/>
      <c r="I635" s="199"/>
      <c r="J635" s="202"/>
      <c r="K635" s="202"/>
      <c r="L635" s="199"/>
      <c r="M635" s="199"/>
      <c r="N635" s="199"/>
      <c r="O635" s="199"/>
      <c r="P635" s="199"/>
      <c r="Q635" s="199"/>
      <c r="R635" s="199"/>
      <c r="S635" s="199"/>
      <c r="T635" s="199"/>
      <c r="U635" s="199"/>
      <c r="V635" s="199"/>
      <c r="W635" s="199"/>
      <c r="X635" s="199"/>
      <c r="Y635" s="199"/>
      <c r="Z635" s="199"/>
    </row>
    <row r="636">
      <c r="A636" s="199"/>
      <c r="B636" s="199"/>
      <c r="C636" s="199"/>
      <c r="D636" s="199"/>
      <c r="E636" s="202"/>
      <c r="F636" s="202"/>
      <c r="G636" s="199"/>
      <c r="H636" s="199"/>
      <c r="I636" s="199"/>
      <c r="J636" s="202"/>
      <c r="K636" s="202"/>
      <c r="L636" s="199"/>
      <c r="M636" s="199"/>
      <c r="N636" s="199"/>
      <c r="O636" s="199"/>
      <c r="P636" s="199"/>
      <c r="Q636" s="199"/>
      <c r="R636" s="199"/>
      <c r="S636" s="199"/>
      <c r="T636" s="199"/>
      <c r="U636" s="199"/>
      <c r="V636" s="199"/>
      <c r="W636" s="199"/>
      <c r="X636" s="199"/>
      <c r="Y636" s="199"/>
      <c r="Z636" s="199"/>
    </row>
    <row r="637">
      <c r="A637" s="199"/>
      <c r="B637" s="199"/>
      <c r="C637" s="199"/>
      <c r="D637" s="199"/>
      <c r="E637" s="202"/>
      <c r="F637" s="202"/>
      <c r="G637" s="199"/>
      <c r="H637" s="199"/>
      <c r="I637" s="199"/>
      <c r="J637" s="202"/>
      <c r="K637" s="202"/>
      <c r="L637" s="199"/>
      <c r="M637" s="199"/>
      <c r="N637" s="199"/>
      <c r="O637" s="199"/>
      <c r="P637" s="199"/>
      <c r="Q637" s="199"/>
      <c r="R637" s="199"/>
      <c r="S637" s="199"/>
      <c r="T637" s="199"/>
      <c r="U637" s="199"/>
      <c r="V637" s="199"/>
      <c r="W637" s="199"/>
      <c r="X637" s="199"/>
      <c r="Y637" s="199"/>
      <c r="Z637" s="199"/>
    </row>
    <row r="638">
      <c r="A638" s="199"/>
      <c r="B638" s="199"/>
      <c r="C638" s="199"/>
      <c r="D638" s="199"/>
      <c r="E638" s="202"/>
      <c r="F638" s="202"/>
      <c r="G638" s="199"/>
      <c r="H638" s="199"/>
      <c r="I638" s="199"/>
      <c r="J638" s="202"/>
      <c r="K638" s="202"/>
      <c r="L638" s="199"/>
      <c r="M638" s="199"/>
      <c r="N638" s="199"/>
      <c r="O638" s="199"/>
      <c r="P638" s="199"/>
      <c r="Q638" s="199"/>
      <c r="R638" s="199"/>
      <c r="S638" s="199"/>
      <c r="T638" s="199"/>
      <c r="U638" s="199"/>
      <c r="V638" s="199"/>
      <c r="W638" s="199"/>
      <c r="X638" s="199"/>
      <c r="Y638" s="199"/>
      <c r="Z638" s="199"/>
    </row>
    <row r="639">
      <c r="A639" s="199"/>
      <c r="B639" s="199"/>
      <c r="C639" s="199"/>
      <c r="D639" s="199"/>
      <c r="E639" s="202"/>
      <c r="F639" s="202"/>
      <c r="G639" s="199"/>
      <c r="H639" s="199"/>
      <c r="I639" s="199"/>
      <c r="J639" s="202"/>
      <c r="K639" s="202"/>
      <c r="L639" s="199"/>
      <c r="M639" s="199"/>
      <c r="N639" s="199"/>
      <c r="O639" s="199"/>
      <c r="P639" s="199"/>
      <c r="Q639" s="199"/>
      <c r="R639" s="199"/>
      <c r="S639" s="199"/>
      <c r="T639" s="199"/>
      <c r="U639" s="199"/>
      <c r="V639" s="199"/>
      <c r="W639" s="199"/>
      <c r="X639" s="199"/>
      <c r="Y639" s="199"/>
      <c r="Z639" s="199"/>
    </row>
    <row r="640">
      <c r="A640" s="199"/>
      <c r="B640" s="199"/>
      <c r="C640" s="199"/>
      <c r="D640" s="199"/>
      <c r="E640" s="202"/>
      <c r="F640" s="202"/>
      <c r="G640" s="199"/>
      <c r="H640" s="199"/>
      <c r="I640" s="199"/>
      <c r="J640" s="202"/>
      <c r="K640" s="202"/>
      <c r="L640" s="199"/>
      <c r="M640" s="199"/>
      <c r="N640" s="199"/>
      <c r="O640" s="199"/>
      <c r="P640" s="199"/>
      <c r="Q640" s="199"/>
      <c r="R640" s="199"/>
      <c r="S640" s="199"/>
      <c r="T640" s="199"/>
      <c r="U640" s="199"/>
      <c r="V640" s="199"/>
      <c r="W640" s="199"/>
      <c r="X640" s="199"/>
      <c r="Y640" s="199"/>
      <c r="Z640" s="199"/>
    </row>
    <row r="641">
      <c r="A641" s="199"/>
      <c r="B641" s="199"/>
      <c r="C641" s="199"/>
      <c r="D641" s="199"/>
      <c r="E641" s="202"/>
      <c r="F641" s="202"/>
      <c r="G641" s="199"/>
      <c r="H641" s="199"/>
      <c r="I641" s="199"/>
      <c r="J641" s="202"/>
      <c r="K641" s="202"/>
      <c r="L641" s="199"/>
      <c r="M641" s="199"/>
      <c r="N641" s="199"/>
      <c r="O641" s="199"/>
      <c r="P641" s="199"/>
      <c r="Q641" s="199"/>
      <c r="R641" s="199"/>
      <c r="S641" s="199"/>
      <c r="T641" s="199"/>
      <c r="U641" s="199"/>
      <c r="V641" s="199"/>
      <c r="W641" s="199"/>
      <c r="X641" s="199"/>
      <c r="Y641" s="199"/>
      <c r="Z641" s="199"/>
    </row>
    <row r="642">
      <c r="A642" s="199"/>
      <c r="B642" s="199"/>
      <c r="C642" s="199"/>
      <c r="D642" s="199"/>
      <c r="E642" s="202"/>
      <c r="F642" s="202"/>
      <c r="G642" s="199"/>
      <c r="H642" s="199"/>
      <c r="I642" s="199"/>
      <c r="J642" s="202"/>
      <c r="K642" s="202"/>
      <c r="L642" s="199"/>
      <c r="M642" s="199"/>
      <c r="N642" s="199"/>
      <c r="O642" s="199"/>
      <c r="P642" s="199"/>
      <c r="Q642" s="199"/>
      <c r="R642" s="199"/>
      <c r="S642" s="199"/>
      <c r="T642" s="199"/>
      <c r="U642" s="199"/>
      <c r="V642" s="199"/>
      <c r="W642" s="199"/>
      <c r="X642" s="199"/>
      <c r="Y642" s="199"/>
      <c r="Z642" s="199"/>
    </row>
    <row r="643">
      <c r="A643" s="199"/>
      <c r="B643" s="199"/>
      <c r="C643" s="199"/>
      <c r="D643" s="199"/>
      <c r="E643" s="202"/>
      <c r="F643" s="202"/>
      <c r="G643" s="199"/>
      <c r="H643" s="199"/>
      <c r="I643" s="199"/>
      <c r="J643" s="202"/>
      <c r="K643" s="202"/>
      <c r="L643" s="199"/>
      <c r="M643" s="199"/>
      <c r="N643" s="199"/>
      <c r="O643" s="199"/>
      <c r="P643" s="199"/>
      <c r="Q643" s="199"/>
      <c r="R643" s="199"/>
      <c r="S643" s="199"/>
      <c r="T643" s="199"/>
      <c r="U643" s="199"/>
      <c r="V643" s="199"/>
      <c r="W643" s="199"/>
      <c r="X643" s="199"/>
      <c r="Y643" s="199"/>
      <c r="Z643" s="199"/>
    </row>
    <row r="644">
      <c r="A644" s="199"/>
      <c r="B644" s="199"/>
      <c r="C644" s="199"/>
      <c r="D644" s="199"/>
      <c r="E644" s="202"/>
      <c r="F644" s="202"/>
      <c r="G644" s="199"/>
      <c r="H644" s="199"/>
      <c r="I644" s="199"/>
      <c r="J644" s="202"/>
      <c r="K644" s="202"/>
      <c r="L644" s="199"/>
      <c r="M644" s="199"/>
      <c r="N644" s="199"/>
      <c r="O644" s="199"/>
      <c r="P644" s="199"/>
      <c r="Q644" s="199"/>
      <c r="R644" s="199"/>
      <c r="S644" s="199"/>
      <c r="T644" s="199"/>
      <c r="U644" s="199"/>
      <c r="V644" s="199"/>
      <c r="W644" s="199"/>
      <c r="X644" s="199"/>
      <c r="Y644" s="199"/>
      <c r="Z644" s="199"/>
    </row>
    <row r="645">
      <c r="A645" s="199"/>
      <c r="B645" s="199"/>
      <c r="C645" s="199"/>
      <c r="D645" s="199"/>
      <c r="E645" s="202"/>
      <c r="F645" s="202"/>
      <c r="G645" s="199"/>
      <c r="H645" s="199"/>
      <c r="I645" s="199"/>
      <c r="J645" s="202"/>
      <c r="K645" s="202"/>
      <c r="L645" s="199"/>
      <c r="M645" s="199"/>
      <c r="N645" s="199"/>
      <c r="O645" s="199"/>
      <c r="P645" s="199"/>
      <c r="Q645" s="199"/>
      <c r="R645" s="199"/>
      <c r="S645" s="199"/>
      <c r="T645" s="199"/>
      <c r="U645" s="199"/>
      <c r="V645" s="199"/>
      <c r="W645" s="199"/>
      <c r="X645" s="199"/>
      <c r="Y645" s="199"/>
      <c r="Z645" s="199"/>
    </row>
    <row r="646">
      <c r="A646" s="199"/>
      <c r="B646" s="199"/>
      <c r="C646" s="199"/>
      <c r="D646" s="199"/>
      <c r="E646" s="202"/>
      <c r="F646" s="202"/>
      <c r="G646" s="199"/>
      <c r="H646" s="199"/>
      <c r="I646" s="199"/>
      <c r="J646" s="202"/>
      <c r="K646" s="202"/>
      <c r="L646" s="199"/>
      <c r="M646" s="199"/>
      <c r="N646" s="199"/>
      <c r="O646" s="199"/>
      <c r="P646" s="199"/>
      <c r="Q646" s="199"/>
      <c r="R646" s="199"/>
      <c r="S646" s="199"/>
      <c r="T646" s="199"/>
      <c r="U646" s="199"/>
      <c r="V646" s="199"/>
      <c r="W646" s="199"/>
      <c r="X646" s="199"/>
      <c r="Y646" s="199"/>
      <c r="Z646" s="199"/>
    </row>
    <row r="647">
      <c r="A647" s="199"/>
      <c r="B647" s="199"/>
      <c r="C647" s="199"/>
      <c r="D647" s="199"/>
      <c r="E647" s="202"/>
      <c r="F647" s="202"/>
      <c r="G647" s="199"/>
      <c r="H647" s="199"/>
      <c r="I647" s="199"/>
      <c r="J647" s="202"/>
      <c r="K647" s="202"/>
      <c r="L647" s="199"/>
      <c r="M647" s="199"/>
      <c r="N647" s="199"/>
      <c r="O647" s="199"/>
      <c r="P647" s="199"/>
      <c r="Q647" s="199"/>
      <c r="R647" s="199"/>
      <c r="S647" s="199"/>
      <c r="T647" s="199"/>
      <c r="U647" s="199"/>
      <c r="V647" s="199"/>
      <c r="W647" s="199"/>
      <c r="X647" s="199"/>
      <c r="Y647" s="199"/>
      <c r="Z647" s="199"/>
    </row>
    <row r="648">
      <c r="A648" s="199"/>
      <c r="B648" s="199"/>
      <c r="C648" s="199"/>
      <c r="D648" s="199"/>
      <c r="E648" s="202"/>
      <c r="F648" s="202"/>
      <c r="G648" s="199"/>
      <c r="H648" s="199"/>
      <c r="I648" s="199"/>
      <c r="J648" s="202"/>
      <c r="K648" s="202"/>
      <c r="L648" s="199"/>
      <c r="M648" s="199"/>
      <c r="N648" s="199"/>
      <c r="O648" s="199"/>
      <c r="P648" s="199"/>
      <c r="Q648" s="199"/>
      <c r="R648" s="199"/>
      <c r="S648" s="199"/>
      <c r="T648" s="199"/>
      <c r="U648" s="199"/>
      <c r="V648" s="199"/>
      <c r="W648" s="199"/>
      <c r="X648" s="199"/>
      <c r="Y648" s="199"/>
      <c r="Z648" s="199"/>
    </row>
    <row r="649">
      <c r="A649" s="199"/>
      <c r="B649" s="199"/>
      <c r="C649" s="199"/>
      <c r="D649" s="199"/>
      <c r="E649" s="202"/>
      <c r="F649" s="202"/>
      <c r="G649" s="199"/>
      <c r="H649" s="199"/>
      <c r="I649" s="199"/>
      <c r="J649" s="202"/>
      <c r="K649" s="202"/>
      <c r="L649" s="199"/>
      <c r="M649" s="199"/>
      <c r="N649" s="199"/>
      <c r="O649" s="199"/>
      <c r="P649" s="199"/>
      <c r="Q649" s="199"/>
      <c r="R649" s="199"/>
      <c r="S649" s="199"/>
      <c r="T649" s="199"/>
      <c r="U649" s="199"/>
      <c r="V649" s="199"/>
      <c r="W649" s="199"/>
      <c r="X649" s="199"/>
      <c r="Y649" s="199"/>
      <c r="Z649" s="199"/>
    </row>
    <row r="650">
      <c r="A650" s="199"/>
      <c r="B650" s="199"/>
      <c r="C650" s="199"/>
      <c r="D650" s="199"/>
      <c r="E650" s="202"/>
      <c r="F650" s="202"/>
      <c r="G650" s="199"/>
      <c r="H650" s="199"/>
      <c r="I650" s="199"/>
      <c r="J650" s="202"/>
      <c r="K650" s="202"/>
      <c r="L650" s="199"/>
      <c r="M650" s="199"/>
      <c r="N650" s="199"/>
      <c r="O650" s="199"/>
      <c r="P650" s="199"/>
      <c r="Q650" s="199"/>
      <c r="R650" s="199"/>
      <c r="S650" s="199"/>
      <c r="T650" s="199"/>
      <c r="U650" s="199"/>
      <c r="V650" s="199"/>
      <c r="W650" s="199"/>
      <c r="X650" s="199"/>
      <c r="Y650" s="199"/>
      <c r="Z650" s="199"/>
    </row>
    <row r="651">
      <c r="A651" s="199"/>
      <c r="B651" s="199"/>
      <c r="C651" s="199"/>
      <c r="D651" s="199"/>
      <c r="E651" s="202"/>
      <c r="F651" s="202"/>
      <c r="G651" s="199"/>
      <c r="H651" s="199"/>
      <c r="I651" s="199"/>
      <c r="J651" s="202"/>
      <c r="K651" s="202"/>
      <c r="L651" s="199"/>
      <c r="M651" s="199"/>
      <c r="N651" s="199"/>
      <c r="O651" s="199"/>
      <c r="P651" s="199"/>
      <c r="Q651" s="199"/>
      <c r="R651" s="199"/>
      <c r="S651" s="199"/>
      <c r="T651" s="199"/>
      <c r="U651" s="199"/>
      <c r="V651" s="199"/>
      <c r="W651" s="199"/>
      <c r="X651" s="199"/>
      <c r="Y651" s="199"/>
      <c r="Z651" s="199"/>
    </row>
    <row r="652">
      <c r="A652" s="199"/>
      <c r="B652" s="199"/>
      <c r="C652" s="199"/>
      <c r="D652" s="199"/>
      <c r="E652" s="202"/>
      <c r="F652" s="202"/>
      <c r="G652" s="199"/>
      <c r="H652" s="199"/>
      <c r="I652" s="199"/>
      <c r="J652" s="202"/>
      <c r="K652" s="202"/>
      <c r="L652" s="199"/>
      <c r="M652" s="199"/>
      <c r="N652" s="199"/>
      <c r="O652" s="199"/>
      <c r="P652" s="199"/>
      <c r="Q652" s="199"/>
      <c r="R652" s="199"/>
      <c r="S652" s="199"/>
      <c r="T652" s="199"/>
      <c r="U652" s="199"/>
      <c r="V652" s="199"/>
      <c r="W652" s="199"/>
      <c r="X652" s="199"/>
      <c r="Y652" s="199"/>
      <c r="Z652" s="199"/>
    </row>
    <row r="653">
      <c r="A653" s="199"/>
      <c r="B653" s="199"/>
      <c r="C653" s="199"/>
      <c r="D653" s="199"/>
      <c r="E653" s="202"/>
      <c r="F653" s="202"/>
      <c r="G653" s="199"/>
      <c r="H653" s="199"/>
      <c r="I653" s="199"/>
      <c r="J653" s="202"/>
      <c r="K653" s="202"/>
      <c r="L653" s="199"/>
      <c r="M653" s="199"/>
      <c r="N653" s="199"/>
      <c r="O653" s="199"/>
      <c r="P653" s="199"/>
      <c r="Q653" s="199"/>
      <c r="R653" s="199"/>
      <c r="S653" s="199"/>
      <c r="T653" s="199"/>
      <c r="U653" s="199"/>
      <c r="V653" s="199"/>
      <c r="W653" s="199"/>
      <c r="X653" s="199"/>
      <c r="Y653" s="199"/>
      <c r="Z653" s="199"/>
    </row>
    <row r="654">
      <c r="A654" s="199"/>
      <c r="B654" s="199"/>
      <c r="C654" s="199"/>
      <c r="D654" s="199"/>
      <c r="E654" s="202"/>
      <c r="F654" s="202"/>
      <c r="G654" s="199"/>
      <c r="H654" s="199"/>
      <c r="I654" s="199"/>
      <c r="J654" s="202"/>
      <c r="K654" s="202"/>
      <c r="L654" s="199"/>
      <c r="M654" s="199"/>
      <c r="N654" s="199"/>
      <c r="O654" s="199"/>
      <c r="P654" s="199"/>
      <c r="Q654" s="199"/>
      <c r="R654" s="199"/>
      <c r="S654" s="199"/>
      <c r="T654" s="199"/>
      <c r="U654" s="199"/>
      <c r="V654" s="199"/>
      <c r="W654" s="199"/>
      <c r="X654" s="199"/>
      <c r="Y654" s="199"/>
      <c r="Z654" s="199"/>
    </row>
    <row r="655">
      <c r="A655" s="199"/>
      <c r="B655" s="199"/>
      <c r="C655" s="199"/>
      <c r="D655" s="199"/>
      <c r="E655" s="202"/>
      <c r="F655" s="202"/>
      <c r="G655" s="199"/>
      <c r="H655" s="199"/>
      <c r="I655" s="199"/>
      <c r="J655" s="202"/>
      <c r="K655" s="202"/>
      <c r="L655" s="199"/>
      <c r="M655" s="199"/>
      <c r="N655" s="199"/>
      <c r="O655" s="199"/>
      <c r="P655" s="199"/>
      <c r="Q655" s="199"/>
      <c r="R655" s="199"/>
      <c r="S655" s="199"/>
      <c r="T655" s="199"/>
      <c r="U655" s="199"/>
      <c r="V655" s="199"/>
      <c r="W655" s="199"/>
      <c r="X655" s="199"/>
      <c r="Y655" s="199"/>
      <c r="Z655" s="199"/>
    </row>
    <row r="656">
      <c r="A656" s="199"/>
      <c r="B656" s="199"/>
      <c r="C656" s="199"/>
      <c r="D656" s="199"/>
      <c r="E656" s="202"/>
      <c r="F656" s="202"/>
      <c r="G656" s="199"/>
      <c r="H656" s="199"/>
      <c r="I656" s="199"/>
      <c r="J656" s="202"/>
      <c r="K656" s="202"/>
      <c r="L656" s="199"/>
      <c r="M656" s="199"/>
      <c r="N656" s="199"/>
      <c r="O656" s="199"/>
      <c r="P656" s="199"/>
      <c r="Q656" s="199"/>
      <c r="R656" s="199"/>
      <c r="S656" s="199"/>
      <c r="T656" s="199"/>
      <c r="U656" s="199"/>
      <c r="V656" s="199"/>
      <c r="W656" s="199"/>
      <c r="X656" s="199"/>
      <c r="Y656" s="199"/>
      <c r="Z656" s="199"/>
    </row>
    <row r="657">
      <c r="A657" s="199"/>
      <c r="B657" s="199"/>
      <c r="C657" s="199"/>
      <c r="D657" s="199"/>
      <c r="E657" s="202"/>
      <c r="F657" s="202"/>
      <c r="G657" s="199"/>
      <c r="H657" s="199"/>
      <c r="I657" s="199"/>
      <c r="J657" s="202"/>
      <c r="K657" s="202"/>
      <c r="L657" s="199"/>
      <c r="M657" s="199"/>
      <c r="N657" s="199"/>
      <c r="O657" s="199"/>
      <c r="P657" s="199"/>
      <c r="Q657" s="199"/>
      <c r="R657" s="199"/>
      <c r="S657" s="199"/>
      <c r="T657" s="199"/>
      <c r="U657" s="199"/>
      <c r="V657" s="199"/>
      <c r="W657" s="199"/>
      <c r="X657" s="199"/>
      <c r="Y657" s="199"/>
      <c r="Z657" s="199"/>
    </row>
    <row r="658">
      <c r="A658" s="199"/>
      <c r="B658" s="199"/>
      <c r="C658" s="199"/>
      <c r="D658" s="199"/>
      <c r="E658" s="202"/>
      <c r="F658" s="202"/>
      <c r="G658" s="199"/>
      <c r="H658" s="199"/>
      <c r="I658" s="199"/>
      <c r="J658" s="202"/>
      <c r="K658" s="202"/>
      <c r="L658" s="199"/>
      <c r="M658" s="199"/>
      <c r="N658" s="199"/>
      <c r="O658" s="199"/>
      <c r="P658" s="199"/>
      <c r="Q658" s="199"/>
      <c r="R658" s="199"/>
      <c r="S658" s="199"/>
      <c r="T658" s="199"/>
      <c r="U658" s="199"/>
      <c r="V658" s="199"/>
      <c r="W658" s="199"/>
      <c r="X658" s="199"/>
      <c r="Y658" s="199"/>
      <c r="Z658" s="199"/>
    </row>
    <row r="659">
      <c r="A659" s="199"/>
      <c r="B659" s="199"/>
      <c r="C659" s="199"/>
      <c r="D659" s="199"/>
      <c r="E659" s="202"/>
      <c r="F659" s="202"/>
      <c r="G659" s="199"/>
      <c r="H659" s="199"/>
      <c r="I659" s="199"/>
      <c r="J659" s="202"/>
      <c r="K659" s="202"/>
      <c r="L659" s="199"/>
      <c r="M659" s="199"/>
      <c r="N659" s="199"/>
      <c r="O659" s="199"/>
      <c r="P659" s="199"/>
      <c r="Q659" s="199"/>
      <c r="R659" s="199"/>
      <c r="S659" s="199"/>
      <c r="T659" s="199"/>
      <c r="U659" s="199"/>
      <c r="V659" s="199"/>
      <c r="W659" s="199"/>
      <c r="X659" s="199"/>
      <c r="Y659" s="199"/>
      <c r="Z659" s="199"/>
    </row>
    <row r="660">
      <c r="A660" s="199"/>
      <c r="B660" s="199"/>
      <c r="C660" s="199"/>
      <c r="D660" s="199"/>
      <c r="E660" s="202"/>
      <c r="F660" s="202"/>
      <c r="G660" s="199"/>
      <c r="H660" s="199"/>
      <c r="I660" s="199"/>
      <c r="J660" s="202"/>
      <c r="K660" s="202"/>
      <c r="L660" s="199"/>
      <c r="M660" s="199"/>
      <c r="N660" s="199"/>
      <c r="O660" s="199"/>
      <c r="P660" s="199"/>
      <c r="Q660" s="199"/>
      <c r="R660" s="199"/>
      <c r="S660" s="199"/>
      <c r="T660" s="199"/>
      <c r="U660" s="199"/>
      <c r="V660" s="199"/>
      <c r="W660" s="199"/>
      <c r="X660" s="199"/>
      <c r="Y660" s="199"/>
      <c r="Z660" s="199"/>
    </row>
    <row r="661">
      <c r="A661" s="199"/>
      <c r="B661" s="199"/>
      <c r="C661" s="199"/>
      <c r="D661" s="199"/>
      <c r="E661" s="202"/>
      <c r="F661" s="202"/>
      <c r="G661" s="199"/>
      <c r="H661" s="199"/>
      <c r="I661" s="199"/>
      <c r="J661" s="202"/>
      <c r="K661" s="202"/>
      <c r="L661" s="199"/>
      <c r="M661" s="199"/>
      <c r="N661" s="199"/>
      <c r="O661" s="199"/>
      <c r="P661" s="199"/>
      <c r="Q661" s="199"/>
      <c r="R661" s="199"/>
      <c r="S661" s="199"/>
      <c r="T661" s="199"/>
      <c r="U661" s="199"/>
      <c r="V661" s="199"/>
      <c r="W661" s="199"/>
      <c r="X661" s="199"/>
      <c r="Y661" s="199"/>
      <c r="Z661" s="199"/>
    </row>
    <row r="662">
      <c r="A662" s="199"/>
      <c r="B662" s="199"/>
      <c r="C662" s="199"/>
      <c r="D662" s="199"/>
      <c r="E662" s="202"/>
      <c r="F662" s="202"/>
      <c r="G662" s="199"/>
      <c r="H662" s="199"/>
      <c r="I662" s="199"/>
      <c r="J662" s="202"/>
      <c r="K662" s="202"/>
      <c r="L662" s="199"/>
      <c r="M662" s="199"/>
      <c r="N662" s="199"/>
      <c r="O662" s="199"/>
      <c r="P662" s="199"/>
      <c r="Q662" s="199"/>
      <c r="R662" s="199"/>
      <c r="S662" s="199"/>
      <c r="T662" s="199"/>
      <c r="U662" s="199"/>
      <c r="V662" s="199"/>
      <c r="W662" s="199"/>
      <c r="X662" s="199"/>
      <c r="Y662" s="199"/>
      <c r="Z662" s="199"/>
    </row>
    <row r="663">
      <c r="A663" s="199"/>
      <c r="B663" s="199"/>
      <c r="C663" s="199"/>
      <c r="D663" s="199"/>
      <c r="E663" s="202"/>
      <c r="F663" s="202"/>
      <c r="G663" s="199"/>
      <c r="H663" s="199"/>
      <c r="I663" s="199"/>
      <c r="J663" s="202"/>
      <c r="K663" s="202"/>
      <c r="L663" s="199"/>
      <c r="M663" s="199"/>
      <c r="N663" s="199"/>
      <c r="O663" s="199"/>
      <c r="P663" s="199"/>
      <c r="Q663" s="199"/>
      <c r="R663" s="199"/>
      <c r="S663" s="199"/>
      <c r="T663" s="199"/>
      <c r="U663" s="199"/>
      <c r="V663" s="199"/>
      <c r="W663" s="199"/>
      <c r="X663" s="199"/>
      <c r="Y663" s="199"/>
      <c r="Z663" s="199"/>
    </row>
    <row r="664">
      <c r="A664" s="199"/>
      <c r="B664" s="199"/>
      <c r="C664" s="199"/>
      <c r="D664" s="199"/>
      <c r="E664" s="202"/>
      <c r="F664" s="202"/>
      <c r="G664" s="199"/>
      <c r="H664" s="199"/>
      <c r="I664" s="199"/>
      <c r="J664" s="202"/>
      <c r="K664" s="202"/>
      <c r="L664" s="199"/>
      <c r="M664" s="199"/>
      <c r="N664" s="199"/>
      <c r="O664" s="199"/>
      <c r="P664" s="199"/>
      <c r="Q664" s="199"/>
      <c r="R664" s="199"/>
      <c r="S664" s="199"/>
      <c r="T664" s="199"/>
      <c r="U664" s="199"/>
      <c r="V664" s="199"/>
      <c r="W664" s="199"/>
      <c r="X664" s="199"/>
      <c r="Y664" s="199"/>
      <c r="Z664" s="199"/>
    </row>
    <row r="665">
      <c r="A665" s="199"/>
      <c r="B665" s="199"/>
      <c r="C665" s="199"/>
      <c r="D665" s="199"/>
      <c r="E665" s="202"/>
      <c r="F665" s="202"/>
      <c r="G665" s="199"/>
      <c r="H665" s="199"/>
      <c r="I665" s="199"/>
      <c r="J665" s="202"/>
      <c r="K665" s="202"/>
      <c r="L665" s="199"/>
      <c r="M665" s="199"/>
      <c r="N665" s="199"/>
      <c r="O665" s="199"/>
      <c r="P665" s="199"/>
      <c r="Q665" s="199"/>
      <c r="R665" s="199"/>
      <c r="S665" s="199"/>
      <c r="T665" s="199"/>
      <c r="U665" s="199"/>
      <c r="V665" s="199"/>
      <c r="W665" s="199"/>
      <c r="X665" s="199"/>
      <c r="Y665" s="199"/>
      <c r="Z665" s="199"/>
    </row>
    <row r="666">
      <c r="A666" s="199"/>
      <c r="B666" s="199"/>
      <c r="C666" s="199"/>
      <c r="D666" s="199"/>
      <c r="E666" s="202"/>
      <c r="F666" s="202"/>
      <c r="G666" s="199"/>
      <c r="H666" s="199"/>
      <c r="I666" s="199"/>
      <c r="J666" s="202"/>
      <c r="K666" s="202"/>
      <c r="L666" s="199"/>
      <c r="M666" s="199"/>
      <c r="N666" s="199"/>
      <c r="O666" s="199"/>
      <c r="P666" s="199"/>
      <c r="Q666" s="199"/>
      <c r="R666" s="199"/>
      <c r="S666" s="199"/>
      <c r="T666" s="199"/>
      <c r="U666" s="199"/>
      <c r="V666" s="199"/>
      <c r="W666" s="199"/>
      <c r="X666" s="199"/>
      <c r="Y666" s="199"/>
      <c r="Z666" s="199"/>
    </row>
    <row r="667">
      <c r="A667" s="199"/>
      <c r="B667" s="199"/>
      <c r="C667" s="199"/>
      <c r="D667" s="199"/>
      <c r="E667" s="202"/>
      <c r="F667" s="202"/>
      <c r="G667" s="199"/>
      <c r="H667" s="199"/>
      <c r="I667" s="199"/>
      <c r="J667" s="202"/>
      <c r="K667" s="202"/>
      <c r="L667" s="199"/>
      <c r="M667" s="199"/>
      <c r="N667" s="199"/>
      <c r="O667" s="199"/>
      <c r="P667" s="199"/>
      <c r="Q667" s="199"/>
      <c r="R667" s="199"/>
      <c r="S667" s="199"/>
      <c r="T667" s="199"/>
      <c r="U667" s="199"/>
      <c r="V667" s="199"/>
      <c r="W667" s="199"/>
      <c r="X667" s="199"/>
      <c r="Y667" s="199"/>
      <c r="Z667" s="199"/>
    </row>
    <row r="668">
      <c r="A668" s="199"/>
      <c r="B668" s="199"/>
      <c r="C668" s="199"/>
      <c r="D668" s="199"/>
      <c r="E668" s="202"/>
      <c r="F668" s="202"/>
      <c r="G668" s="199"/>
      <c r="H668" s="199"/>
      <c r="I668" s="199"/>
      <c r="J668" s="202"/>
      <c r="K668" s="202"/>
      <c r="L668" s="199"/>
      <c r="M668" s="199"/>
      <c r="N668" s="199"/>
      <c r="O668" s="199"/>
      <c r="P668" s="199"/>
      <c r="Q668" s="199"/>
      <c r="R668" s="199"/>
      <c r="S668" s="199"/>
      <c r="T668" s="199"/>
      <c r="U668" s="199"/>
      <c r="V668" s="199"/>
      <c r="W668" s="199"/>
      <c r="X668" s="199"/>
      <c r="Y668" s="199"/>
      <c r="Z668" s="199"/>
    </row>
    <row r="669">
      <c r="A669" s="199"/>
      <c r="B669" s="199"/>
      <c r="C669" s="199"/>
      <c r="D669" s="199"/>
      <c r="E669" s="202"/>
      <c r="F669" s="202"/>
      <c r="G669" s="199"/>
      <c r="H669" s="199"/>
      <c r="I669" s="199"/>
      <c r="J669" s="202"/>
      <c r="K669" s="202"/>
      <c r="L669" s="199"/>
      <c r="M669" s="199"/>
      <c r="N669" s="199"/>
      <c r="O669" s="199"/>
      <c r="P669" s="199"/>
      <c r="Q669" s="199"/>
      <c r="R669" s="199"/>
      <c r="S669" s="199"/>
      <c r="T669" s="199"/>
      <c r="U669" s="199"/>
      <c r="V669" s="199"/>
      <c r="W669" s="199"/>
      <c r="X669" s="199"/>
      <c r="Y669" s="199"/>
      <c r="Z669" s="199"/>
    </row>
    <row r="670">
      <c r="A670" s="199"/>
      <c r="B670" s="199"/>
      <c r="C670" s="199"/>
      <c r="D670" s="199"/>
      <c r="E670" s="202"/>
      <c r="F670" s="202"/>
      <c r="G670" s="199"/>
      <c r="H670" s="199"/>
      <c r="I670" s="199"/>
      <c r="J670" s="202"/>
      <c r="K670" s="202"/>
      <c r="L670" s="199"/>
      <c r="M670" s="199"/>
      <c r="N670" s="199"/>
      <c r="O670" s="199"/>
      <c r="P670" s="199"/>
      <c r="Q670" s="199"/>
      <c r="R670" s="199"/>
      <c r="S670" s="199"/>
      <c r="T670" s="199"/>
      <c r="U670" s="199"/>
      <c r="V670" s="199"/>
      <c r="W670" s="199"/>
      <c r="X670" s="199"/>
      <c r="Y670" s="199"/>
      <c r="Z670" s="199"/>
    </row>
    <row r="671">
      <c r="A671" s="199"/>
      <c r="B671" s="199"/>
      <c r="C671" s="199"/>
      <c r="D671" s="199"/>
      <c r="E671" s="202"/>
      <c r="F671" s="202"/>
      <c r="G671" s="199"/>
      <c r="H671" s="199"/>
      <c r="I671" s="199"/>
      <c r="J671" s="202"/>
      <c r="K671" s="202"/>
      <c r="L671" s="199"/>
      <c r="M671" s="199"/>
      <c r="N671" s="199"/>
      <c r="O671" s="199"/>
      <c r="P671" s="199"/>
      <c r="Q671" s="199"/>
      <c r="R671" s="199"/>
      <c r="S671" s="199"/>
      <c r="T671" s="199"/>
      <c r="U671" s="199"/>
      <c r="V671" s="199"/>
      <c r="W671" s="199"/>
      <c r="X671" s="199"/>
      <c r="Y671" s="199"/>
      <c r="Z671" s="199"/>
    </row>
    <row r="672">
      <c r="A672" s="199"/>
      <c r="B672" s="199"/>
      <c r="C672" s="199"/>
      <c r="D672" s="199"/>
      <c r="E672" s="202"/>
      <c r="F672" s="202"/>
      <c r="G672" s="199"/>
      <c r="H672" s="199"/>
      <c r="I672" s="199"/>
      <c r="J672" s="202"/>
      <c r="K672" s="202"/>
      <c r="L672" s="199"/>
      <c r="M672" s="199"/>
      <c r="N672" s="199"/>
      <c r="O672" s="199"/>
      <c r="P672" s="199"/>
      <c r="Q672" s="199"/>
      <c r="R672" s="199"/>
      <c r="S672" s="199"/>
      <c r="T672" s="199"/>
      <c r="U672" s="199"/>
      <c r="V672" s="199"/>
      <c r="W672" s="199"/>
      <c r="X672" s="199"/>
      <c r="Y672" s="199"/>
      <c r="Z672" s="199"/>
    </row>
    <row r="673">
      <c r="A673" s="199"/>
      <c r="B673" s="199"/>
      <c r="C673" s="199"/>
      <c r="D673" s="199"/>
      <c r="E673" s="202"/>
      <c r="F673" s="202"/>
      <c r="G673" s="199"/>
      <c r="H673" s="199"/>
      <c r="I673" s="199"/>
      <c r="J673" s="202"/>
      <c r="K673" s="202"/>
      <c r="L673" s="199"/>
      <c r="M673" s="199"/>
      <c r="N673" s="199"/>
      <c r="O673" s="199"/>
      <c r="P673" s="199"/>
      <c r="Q673" s="199"/>
      <c r="R673" s="199"/>
      <c r="S673" s="199"/>
      <c r="T673" s="199"/>
      <c r="U673" s="199"/>
      <c r="V673" s="199"/>
      <c r="W673" s="199"/>
      <c r="X673" s="199"/>
      <c r="Y673" s="199"/>
      <c r="Z673" s="199"/>
    </row>
    <row r="674">
      <c r="A674" s="199"/>
      <c r="B674" s="199"/>
      <c r="C674" s="199"/>
      <c r="D674" s="199"/>
      <c r="E674" s="202"/>
      <c r="F674" s="202"/>
      <c r="G674" s="199"/>
      <c r="H674" s="199"/>
      <c r="I674" s="199"/>
      <c r="J674" s="202"/>
      <c r="K674" s="202"/>
      <c r="L674" s="199"/>
      <c r="M674" s="199"/>
      <c r="N674" s="199"/>
      <c r="O674" s="199"/>
      <c r="P674" s="199"/>
      <c r="Q674" s="199"/>
      <c r="R674" s="199"/>
      <c r="S674" s="199"/>
      <c r="T674" s="199"/>
      <c r="U674" s="199"/>
      <c r="V674" s="199"/>
      <c r="W674" s="199"/>
      <c r="X674" s="199"/>
      <c r="Y674" s="199"/>
      <c r="Z674" s="199"/>
    </row>
    <row r="675">
      <c r="A675" s="199"/>
      <c r="B675" s="199"/>
      <c r="C675" s="199"/>
      <c r="D675" s="199"/>
      <c r="E675" s="202"/>
      <c r="F675" s="202"/>
      <c r="G675" s="199"/>
      <c r="H675" s="199"/>
      <c r="I675" s="199"/>
      <c r="J675" s="202"/>
      <c r="K675" s="202"/>
      <c r="L675" s="199"/>
      <c r="M675" s="199"/>
      <c r="N675" s="199"/>
      <c r="O675" s="199"/>
      <c r="P675" s="199"/>
      <c r="Q675" s="199"/>
      <c r="R675" s="199"/>
      <c r="S675" s="199"/>
      <c r="T675" s="199"/>
      <c r="U675" s="199"/>
      <c r="V675" s="199"/>
      <c r="W675" s="199"/>
      <c r="X675" s="199"/>
      <c r="Y675" s="199"/>
      <c r="Z675" s="199"/>
    </row>
    <row r="676">
      <c r="A676" s="199"/>
      <c r="B676" s="199"/>
      <c r="C676" s="199"/>
      <c r="D676" s="199"/>
      <c r="E676" s="202"/>
      <c r="F676" s="202"/>
      <c r="G676" s="199"/>
      <c r="H676" s="199"/>
      <c r="I676" s="199"/>
      <c r="J676" s="202"/>
      <c r="K676" s="202"/>
      <c r="L676" s="199"/>
      <c r="M676" s="199"/>
      <c r="N676" s="199"/>
      <c r="O676" s="199"/>
      <c r="P676" s="199"/>
      <c r="Q676" s="199"/>
      <c r="R676" s="199"/>
      <c r="S676" s="199"/>
      <c r="T676" s="199"/>
      <c r="U676" s="199"/>
      <c r="V676" s="199"/>
      <c r="W676" s="199"/>
      <c r="X676" s="199"/>
      <c r="Y676" s="199"/>
      <c r="Z676" s="199"/>
    </row>
    <row r="677">
      <c r="A677" s="199"/>
      <c r="B677" s="199"/>
      <c r="C677" s="199"/>
      <c r="D677" s="199"/>
      <c r="E677" s="202"/>
      <c r="F677" s="202"/>
      <c r="G677" s="199"/>
      <c r="H677" s="199"/>
      <c r="I677" s="199"/>
      <c r="J677" s="202"/>
      <c r="K677" s="202"/>
      <c r="L677" s="199"/>
      <c r="M677" s="199"/>
      <c r="N677" s="199"/>
      <c r="O677" s="199"/>
      <c r="P677" s="199"/>
      <c r="Q677" s="199"/>
      <c r="R677" s="199"/>
      <c r="S677" s="199"/>
      <c r="T677" s="199"/>
      <c r="U677" s="199"/>
      <c r="V677" s="199"/>
      <c r="W677" s="199"/>
      <c r="X677" s="199"/>
      <c r="Y677" s="199"/>
      <c r="Z677" s="199"/>
    </row>
    <row r="678">
      <c r="A678" s="199"/>
      <c r="B678" s="199"/>
      <c r="C678" s="199"/>
      <c r="D678" s="199"/>
      <c r="E678" s="202"/>
      <c r="F678" s="202"/>
      <c r="G678" s="199"/>
      <c r="H678" s="199"/>
      <c r="I678" s="199"/>
      <c r="J678" s="202"/>
      <c r="K678" s="202"/>
      <c r="L678" s="199"/>
      <c r="M678" s="199"/>
      <c r="N678" s="199"/>
      <c r="O678" s="199"/>
      <c r="P678" s="199"/>
      <c r="Q678" s="199"/>
      <c r="R678" s="199"/>
      <c r="S678" s="199"/>
      <c r="T678" s="199"/>
      <c r="U678" s="199"/>
      <c r="V678" s="199"/>
      <c r="W678" s="199"/>
      <c r="X678" s="199"/>
      <c r="Y678" s="199"/>
      <c r="Z678" s="199"/>
    </row>
    <row r="679">
      <c r="A679" s="199"/>
      <c r="B679" s="199"/>
      <c r="C679" s="199"/>
      <c r="D679" s="199"/>
      <c r="E679" s="202"/>
      <c r="F679" s="202"/>
      <c r="G679" s="199"/>
      <c r="H679" s="199"/>
      <c r="I679" s="199"/>
      <c r="J679" s="202"/>
      <c r="K679" s="202"/>
      <c r="L679" s="199"/>
      <c r="M679" s="199"/>
      <c r="N679" s="199"/>
      <c r="O679" s="199"/>
      <c r="P679" s="199"/>
      <c r="Q679" s="199"/>
      <c r="R679" s="199"/>
      <c r="S679" s="199"/>
      <c r="T679" s="199"/>
      <c r="U679" s="199"/>
      <c r="V679" s="199"/>
      <c r="W679" s="199"/>
      <c r="X679" s="199"/>
      <c r="Y679" s="199"/>
      <c r="Z679" s="199"/>
    </row>
    <row r="680">
      <c r="A680" s="199"/>
      <c r="B680" s="199"/>
      <c r="C680" s="199"/>
      <c r="D680" s="199"/>
      <c r="E680" s="202"/>
      <c r="F680" s="202"/>
      <c r="G680" s="199"/>
      <c r="H680" s="199"/>
      <c r="I680" s="199"/>
      <c r="J680" s="202"/>
      <c r="K680" s="202"/>
      <c r="L680" s="199"/>
      <c r="M680" s="199"/>
      <c r="N680" s="199"/>
      <c r="O680" s="199"/>
      <c r="P680" s="199"/>
      <c r="Q680" s="199"/>
      <c r="R680" s="199"/>
      <c r="S680" s="199"/>
      <c r="T680" s="199"/>
      <c r="U680" s="199"/>
      <c r="V680" s="199"/>
      <c r="W680" s="199"/>
      <c r="X680" s="199"/>
      <c r="Y680" s="199"/>
      <c r="Z680" s="199"/>
    </row>
    <row r="681">
      <c r="A681" s="199"/>
      <c r="B681" s="199"/>
      <c r="C681" s="199"/>
      <c r="D681" s="199"/>
      <c r="E681" s="202"/>
      <c r="F681" s="202"/>
      <c r="G681" s="199"/>
      <c r="H681" s="199"/>
      <c r="I681" s="199"/>
      <c r="J681" s="202"/>
      <c r="K681" s="202"/>
      <c r="L681" s="199"/>
      <c r="M681" s="199"/>
      <c r="N681" s="199"/>
      <c r="O681" s="199"/>
      <c r="P681" s="199"/>
      <c r="Q681" s="199"/>
      <c r="R681" s="199"/>
      <c r="S681" s="199"/>
      <c r="T681" s="199"/>
      <c r="U681" s="199"/>
      <c r="V681" s="199"/>
      <c r="W681" s="199"/>
      <c r="X681" s="199"/>
      <c r="Y681" s="199"/>
      <c r="Z681" s="199"/>
    </row>
    <row r="682">
      <c r="A682" s="199"/>
      <c r="B682" s="199"/>
      <c r="C682" s="199"/>
      <c r="D682" s="199"/>
      <c r="E682" s="202"/>
      <c r="F682" s="202"/>
      <c r="G682" s="199"/>
      <c r="H682" s="199"/>
      <c r="I682" s="199"/>
      <c r="J682" s="202"/>
      <c r="K682" s="202"/>
      <c r="L682" s="199"/>
      <c r="M682" s="199"/>
      <c r="N682" s="199"/>
      <c r="O682" s="199"/>
      <c r="P682" s="199"/>
      <c r="Q682" s="199"/>
      <c r="R682" s="199"/>
      <c r="S682" s="199"/>
      <c r="T682" s="199"/>
      <c r="U682" s="199"/>
      <c r="V682" s="199"/>
      <c r="W682" s="199"/>
      <c r="X682" s="199"/>
      <c r="Y682" s="199"/>
      <c r="Z682" s="199"/>
    </row>
    <row r="683">
      <c r="A683" s="199"/>
      <c r="B683" s="199"/>
      <c r="C683" s="199"/>
      <c r="D683" s="199"/>
      <c r="E683" s="202"/>
      <c r="F683" s="202"/>
      <c r="G683" s="199"/>
      <c r="H683" s="199"/>
      <c r="I683" s="199"/>
      <c r="J683" s="202"/>
      <c r="K683" s="202"/>
      <c r="L683" s="199"/>
      <c r="M683" s="199"/>
      <c r="N683" s="199"/>
      <c r="O683" s="199"/>
      <c r="P683" s="199"/>
      <c r="Q683" s="199"/>
      <c r="R683" s="199"/>
      <c r="S683" s="199"/>
      <c r="T683" s="199"/>
      <c r="U683" s="199"/>
      <c r="V683" s="199"/>
      <c r="W683" s="199"/>
      <c r="X683" s="199"/>
      <c r="Y683" s="199"/>
      <c r="Z683" s="199"/>
    </row>
    <row r="684">
      <c r="A684" s="199"/>
      <c r="B684" s="199"/>
      <c r="C684" s="199"/>
      <c r="D684" s="199"/>
      <c r="E684" s="202"/>
      <c r="F684" s="202"/>
      <c r="G684" s="199"/>
      <c r="H684" s="199"/>
      <c r="I684" s="199"/>
      <c r="J684" s="202"/>
      <c r="K684" s="202"/>
      <c r="L684" s="199"/>
      <c r="M684" s="199"/>
      <c r="N684" s="199"/>
      <c r="O684" s="199"/>
      <c r="P684" s="199"/>
      <c r="Q684" s="199"/>
      <c r="R684" s="199"/>
      <c r="S684" s="199"/>
      <c r="T684" s="199"/>
      <c r="U684" s="199"/>
      <c r="V684" s="199"/>
      <c r="W684" s="199"/>
      <c r="X684" s="199"/>
      <c r="Y684" s="199"/>
      <c r="Z684" s="199"/>
    </row>
    <row r="685">
      <c r="A685" s="199"/>
      <c r="B685" s="199"/>
      <c r="C685" s="199"/>
      <c r="D685" s="199"/>
      <c r="E685" s="202"/>
      <c r="F685" s="202"/>
      <c r="G685" s="199"/>
      <c r="H685" s="199"/>
      <c r="I685" s="199"/>
      <c r="J685" s="202"/>
      <c r="K685" s="202"/>
      <c r="L685" s="199"/>
      <c r="M685" s="199"/>
      <c r="N685" s="199"/>
      <c r="O685" s="199"/>
      <c r="P685" s="199"/>
      <c r="Q685" s="199"/>
      <c r="R685" s="199"/>
      <c r="S685" s="199"/>
      <c r="T685" s="199"/>
      <c r="U685" s="199"/>
      <c r="V685" s="199"/>
      <c r="W685" s="199"/>
      <c r="X685" s="199"/>
      <c r="Y685" s="199"/>
      <c r="Z685" s="199"/>
    </row>
    <row r="686">
      <c r="A686" s="199"/>
      <c r="B686" s="199"/>
      <c r="C686" s="199"/>
      <c r="D686" s="199"/>
      <c r="E686" s="202"/>
      <c r="F686" s="202"/>
      <c r="G686" s="199"/>
      <c r="H686" s="199"/>
      <c r="I686" s="199"/>
      <c r="J686" s="202"/>
      <c r="K686" s="202"/>
      <c r="L686" s="199"/>
      <c r="M686" s="199"/>
      <c r="N686" s="199"/>
      <c r="O686" s="199"/>
      <c r="P686" s="199"/>
      <c r="Q686" s="199"/>
      <c r="R686" s="199"/>
      <c r="S686" s="199"/>
      <c r="T686" s="199"/>
      <c r="U686" s="199"/>
      <c r="V686" s="199"/>
      <c r="W686" s="199"/>
      <c r="X686" s="199"/>
      <c r="Y686" s="199"/>
      <c r="Z686" s="199"/>
    </row>
    <row r="687">
      <c r="A687" s="199"/>
      <c r="B687" s="199"/>
      <c r="C687" s="199"/>
      <c r="D687" s="199"/>
      <c r="E687" s="202"/>
      <c r="F687" s="202"/>
      <c r="G687" s="199"/>
      <c r="H687" s="199"/>
      <c r="I687" s="199"/>
      <c r="J687" s="202"/>
      <c r="K687" s="202"/>
      <c r="L687" s="199"/>
      <c r="M687" s="199"/>
      <c r="N687" s="199"/>
      <c r="O687" s="199"/>
      <c r="P687" s="199"/>
      <c r="Q687" s="199"/>
      <c r="R687" s="199"/>
      <c r="S687" s="199"/>
      <c r="T687" s="199"/>
      <c r="U687" s="199"/>
      <c r="V687" s="199"/>
      <c r="W687" s="199"/>
      <c r="X687" s="199"/>
      <c r="Y687" s="199"/>
      <c r="Z687" s="199"/>
    </row>
    <row r="688">
      <c r="A688" s="199"/>
      <c r="B688" s="199"/>
      <c r="C688" s="199"/>
      <c r="D688" s="199"/>
      <c r="E688" s="202"/>
      <c r="F688" s="202"/>
      <c r="G688" s="199"/>
      <c r="H688" s="199"/>
      <c r="I688" s="199"/>
      <c r="J688" s="202"/>
      <c r="K688" s="202"/>
      <c r="L688" s="199"/>
      <c r="M688" s="199"/>
      <c r="N688" s="199"/>
      <c r="O688" s="199"/>
      <c r="P688" s="199"/>
      <c r="Q688" s="199"/>
      <c r="R688" s="199"/>
      <c r="S688" s="199"/>
      <c r="T688" s="199"/>
      <c r="U688" s="199"/>
      <c r="V688" s="199"/>
      <c r="W688" s="199"/>
      <c r="X688" s="199"/>
      <c r="Y688" s="199"/>
      <c r="Z688" s="199"/>
    </row>
    <row r="689">
      <c r="A689" s="199"/>
      <c r="B689" s="199"/>
      <c r="C689" s="199"/>
      <c r="D689" s="199"/>
      <c r="E689" s="202"/>
      <c r="F689" s="202"/>
      <c r="G689" s="199"/>
      <c r="H689" s="199"/>
      <c r="I689" s="199"/>
      <c r="J689" s="202"/>
      <c r="K689" s="202"/>
      <c r="L689" s="199"/>
      <c r="M689" s="199"/>
      <c r="N689" s="199"/>
      <c r="O689" s="199"/>
      <c r="P689" s="199"/>
      <c r="Q689" s="199"/>
      <c r="R689" s="199"/>
      <c r="S689" s="199"/>
      <c r="T689" s="199"/>
      <c r="U689" s="199"/>
      <c r="V689" s="199"/>
      <c r="W689" s="199"/>
      <c r="X689" s="199"/>
      <c r="Y689" s="199"/>
      <c r="Z689" s="199"/>
    </row>
    <row r="690">
      <c r="A690" s="199"/>
      <c r="B690" s="199"/>
      <c r="C690" s="199"/>
      <c r="D690" s="199"/>
      <c r="E690" s="202"/>
      <c r="F690" s="202"/>
      <c r="G690" s="199"/>
      <c r="H690" s="199"/>
      <c r="I690" s="199"/>
      <c r="J690" s="202"/>
      <c r="K690" s="202"/>
      <c r="L690" s="199"/>
      <c r="M690" s="199"/>
      <c r="N690" s="199"/>
      <c r="O690" s="199"/>
      <c r="P690" s="199"/>
      <c r="Q690" s="199"/>
      <c r="R690" s="199"/>
      <c r="S690" s="199"/>
      <c r="T690" s="199"/>
      <c r="U690" s="199"/>
      <c r="V690" s="199"/>
      <c r="W690" s="199"/>
      <c r="X690" s="199"/>
      <c r="Y690" s="199"/>
      <c r="Z690" s="199"/>
    </row>
    <row r="691">
      <c r="A691" s="199"/>
      <c r="B691" s="199"/>
      <c r="C691" s="199"/>
      <c r="D691" s="199"/>
      <c r="E691" s="202"/>
      <c r="F691" s="202"/>
      <c r="G691" s="199"/>
      <c r="H691" s="199"/>
      <c r="I691" s="199"/>
      <c r="J691" s="202"/>
      <c r="K691" s="202"/>
      <c r="L691" s="199"/>
      <c r="M691" s="199"/>
      <c r="N691" s="199"/>
      <c r="O691" s="199"/>
      <c r="P691" s="199"/>
      <c r="Q691" s="199"/>
      <c r="R691" s="199"/>
      <c r="S691" s="199"/>
      <c r="T691" s="199"/>
      <c r="U691" s="199"/>
      <c r="V691" s="199"/>
      <c r="W691" s="199"/>
      <c r="X691" s="199"/>
      <c r="Y691" s="199"/>
      <c r="Z691" s="199"/>
    </row>
    <row r="692">
      <c r="A692" s="199"/>
      <c r="B692" s="199"/>
      <c r="C692" s="199"/>
      <c r="D692" s="199"/>
      <c r="E692" s="202"/>
      <c r="F692" s="202"/>
      <c r="G692" s="199"/>
      <c r="H692" s="199"/>
      <c r="I692" s="199"/>
      <c r="J692" s="202"/>
      <c r="K692" s="202"/>
      <c r="L692" s="199"/>
      <c r="M692" s="199"/>
      <c r="N692" s="199"/>
      <c r="O692" s="199"/>
      <c r="P692" s="199"/>
      <c r="Q692" s="199"/>
      <c r="R692" s="199"/>
      <c r="S692" s="199"/>
      <c r="T692" s="199"/>
      <c r="U692" s="199"/>
      <c r="V692" s="199"/>
      <c r="W692" s="199"/>
      <c r="X692" s="199"/>
      <c r="Y692" s="199"/>
      <c r="Z692" s="199"/>
    </row>
    <row r="693">
      <c r="A693" s="199"/>
      <c r="B693" s="199"/>
      <c r="C693" s="199"/>
      <c r="D693" s="199"/>
      <c r="E693" s="202"/>
      <c r="F693" s="202"/>
      <c r="G693" s="199"/>
      <c r="H693" s="199"/>
      <c r="I693" s="199"/>
      <c r="J693" s="202"/>
      <c r="K693" s="202"/>
      <c r="L693" s="199"/>
      <c r="M693" s="199"/>
      <c r="N693" s="199"/>
      <c r="O693" s="199"/>
      <c r="P693" s="199"/>
      <c r="Q693" s="199"/>
      <c r="R693" s="199"/>
      <c r="S693" s="199"/>
      <c r="T693" s="199"/>
      <c r="U693" s="199"/>
      <c r="V693" s="199"/>
      <c r="W693" s="199"/>
      <c r="X693" s="199"/>
      <c r="Y693" s="199"/>
      <c r="Z693" s="199"/>
    </row>
    <row r="694">
      <c r="A694" s="199"/>
      <c r="B694" s="199"/>
      <c r="C694" s="199"/>
      <c r="D694" s="199"/>
      <c r="E694" s="202"/>
      <c r="F694" s="202"/>
      <c r="G694" s="199"/>
      <c r="H694" s="199"/>
      <c r="I694" s="199"/>
      <c r="J694" s="202"/>
      <c r="K694" s="202"/>
      <c r="L694" s="199"/>
      <c r="M694" s="199"/>
      <c r="N694" s="199"/>
      <c r="O694" s="199"/>
      <c r="P694" s="199"/>
      <c r="Q694" s="199"/>
      <c r="R694" s="199"/>
      <c r="S694" s="199"/>
      <c r="T694" s="199"/>
      <c r="U694" s="199"/>
      <c r="V694" s="199"/>
      <c r="W694" s="199"/>
      <c r="X694" s="199"/>
      <c r="Y694" s="199"/>
      <c r="Z694" s="199"/>
    </row>
    <row r="695">
      <c r="A695" s="199"/>
      <c r="B695" s="199"/>
      <c r="C695" s="199"/>
      <c r="D695" s="199"/>
      <c r="E695" s="202"/>
      <c r="F695" s="202"/>
      <c r="G695" s="199"/>
      <c r="H695" s="199"/>
      <c r="I695" s="199"/>
      <c r="J695" s="202"/>
      <c r="K695" s="202"/>
      <c r="L695" s="199"/>
      <c r="M695" s="199"/>
      <c r="N695" s="199"/>
      <c r="O695" s="199"/>
      <c r="P695" s="199"/>
      <c r="Q695" s="199"/>
      <c r="R695" s="199"/>
      <c r="S695" s="199"/>
      <c r="T695" s="199"/>
      <c r="U695" s="199"/>
      <c r="V695" s="199"/>
      <c r="W695" s="199"/>
      <c r="X695" s="199"/>
      <c r="Y695" s="199"/>
      <c r="Z695" s="199"/>
    </row>
    <row r="696">
      <c r="A696" s="199"/>
      <c r="B696" s="199"/>
      <c r="C696" s="199"/>
      <c r="D696" s="199"/>
      <c r="E696" s="202"/>
      <c r="F696" s="202"/>
      <c r="G696" s="199"/>
      <c r="H696" s="199"/>
      <c r="I696" s="199"/>
      <c r="J696" s="202"/>
      <c r="K696" s="202"/>
      <c r="L696" s="199"/>
      <c r="M696" s="199"/>
      <c r="N696" s="199"/>
      <c r="O696" s="199"/>
      <c r="P696" s="199"/>
      <c r="Q696" s="199"/>
      <c r="R696" s="199"/>
      <c r="S696" s="199"/>
      <c r="T696" s="199"/>
      <c r="U696" s="199"/>
      <c r="V696" s="199"/>
      <c r="W696" s="199"/>
      <c r="X696" s="199"/>
      <c r="Y696" s="199"/>
      <c r="Z696" s="199"/>
    </row>
    <row r="697">
      <c r="A697" s="199"/>
      <c r="B697" s="199"/>
      <c r="C697" s="199"/>
      <c r="D697" s="199"/>
      <c r="E697" s="202"/>
      <c r="F697" s="202"/>
      <c r="G697" s="199"/>
      <c r="H697" s="199"/>
      <c r="I697" s="199"/>
      <c r="J697" s="202"/>
      <c r="K697" s="202"/>
      <c r="L697" s="199"/>
      <c r="M697" s="199"/>
      <c r="N697" s="199"/>
      <c r="O697" s="199"/>
      <c r="P697" s="199"/>
      <c r="Q697" s="199"/>
      <c r="R697" s="199"/>
      <c r="S697" s="199"/>
      <c r="T697" s="199"/>
      <c r="U697" s="199"/>
      <c r="V697" s="199"/>
      <c r="W697" s="199"/>
      <c r="X697" s="199"/>
      <c r="Y697" s="199"/>
      <c r="Z697" s="199"/>
    </row>
    <row r="698">
      <c r="A698" s="199"/>
      <c r="B698" s="199"/>
      <c r="C698" s="199"/>
      <c r="D698" s="199"/>
      <c r="E698" s="202"/>
      <c r="F698" s="202"/>
      <c r="G698" s="199"/>
      <c r="H698" s="199"/>
      <c r="I698" s="199"/>
      <c r="J698" s="202"/>
      <c r="K698" s="202"/>
      <c r="L698" s="199"/>
      <c r="M698" s="199"/>
      <c r="N698" s="199"/>
      <c r="O698" s="199"/>
      <c r="P698" s="199"/>
      <c r="Q698" s="199"/>
      <c r="R698" s="199"/>
      <c r="S698" s="199"/>
      <c r="T698" s="199"/>
      <c r="U698" s="199"/>
      <c r="V698" s="199"/>
      <c r="W698" s="199"/>
      <c r="X698" s="199"/>
      <c r="Y698" s="199"/>
      <c r="Z698" s="199"/>
    </row>
    <row r="699">
      <c r="A699" s="199"/>
      <c r="B699" s="199"/>
      <c r="C699" s="199"/>
      <c r="D699" s="199"/>
      <c r="E699" s="202"/>
      <c r="F699" s="202"/>
      <c r="G699" s="199"/>
      <c r="H699" s="199"/>
      <c r="I699" s="199"/>
      <c r="J699" s="202"/>
      <c r="K699" s="202"/>
      <c r="L699" s="199"/>
      <c r="M699" s="199"/>
      <c r="N699" s="199"/>
      <c r="O699" s="199"/>
      <c r="P699" s="199"/>
      <c r="Q699" s="199"/>
      <c r="R699" s="199"/>
      <c r="S699" s="199"/>
      <c r="T699" s="199"/>
      <c r="U699" s="199"/>
      <c r="V699" s="199"/>
      <c r="W699" s="199"/>
      <c r="X699" s="199"/>
      <c r="Y699" s="199"/>
      <c r="Z699" s="199"/>
    </row>
    <row r="700">
      <c r="A700" s="199"/>
      <c r="B700" s="199"/>
      <c r="C700" s="199"/>
      <c r="D700" s="199"/>
      <c r="E700" s="202"/>
      <c r="F700" s="202"/>
      <c r="G700" s="199"/>
      <c r="H700" s="199"/>
      <c r="I700" s="199"/>
      <c r="J700" s="202"/>
      <c r="K700" s="202"/>
      <c r="L700" s="199"/>
      <c r="M700" s="199"/>
      <c r="N700" s="199"/>
      <c r="O700" s="199"/>
      <c r="P700" s="199"/>
      <c r="Q700" s="199"/>
      <c r="R700" s="199"/>
      <c r="S700" s="199"/>
      <c r="T700" s="199"/>
      <c r="U700" s="199"/>
      <c r="V700" s="199"/>
      <c r="W700" s="199"/>
      <c r="X700" s="199"/>
      <c r="Y700" s="199"/>
      <c r="Z700" s="199"/>
    </row>
    <row r="701">
      <c r="A701" s="199"/>
      <c r="B701" s="199"/>
      <c r="C701" s="199"/>
      <c r="D701" s="199"/>
      <c r="E701" s="202"/>
      <c r="F701" s="202"/>
      <c r="G701" s="199"/>
      <c r="H701" s="199"/>
      <c r="I701" s="199"/>
      <c r="J701" s="202"/>
      <c r="K701" s="202"/>
      <c r="L701" s="199"/>
      <c r="M701" s="199"/>
      <c r="N701" s="199"/>
      <c r="O701" s="199"/>
      <c r="P701" s="199"/>
      <c r="Q701" s="199"/>
      <c r="R701" s="199"/>
      <c r="S701" s="199"/>
      <c r="T701" s="199"/>
      <c r="U701" s="199"/>
      <c r="V701" s="199"/>
      <c r="W701" s="199"/>
      <c r="X701" s="199"/>
      <c r="Y701" s="199"/>
      <c r="Z701" s="199"/>
    </row>
    <row r="702">
      <c r="A702" s="199"/>
      <c r="B702" s="199"/>
      <c r="C702" s="199"/>
      <c r="D702" s="199"/>
      <c r="E702" s="202"/>
      <c r="F702" s="202"/>
      <c r="G702" s="199"/>
      <c r="H702" s="199"/>
      <c r="I702" s="199"/>
      <c r="J702" s="202"/>
      <c r="K702" s="202"/>
      <c r="L702" s="199"/>
      <c r="M702" s="199"/>
      <c r="N702" s="199"/>
      <c r="O702" s="199"/>
      <c r="P702" s="199"/>
      <c r="Q702" s="199"/>
      <c r="R702" s="199"/>
      <c r="S702" s="199"/>
      <c r="T702" s="199"/>
      <c r="U702" s="199"/>
      <c r="V702" s="199"/>
      <c r="W702" s="199"/>
      <c r="X702" s="199"/>
      <c r="Y702" s="199"/>
      <c r="Z702" s="199"/>
    </row>
    <row r="703">
      <c r="A703" s="199"/>
      <c r="B703" s="199"/>
      <c r="C703" s="199"/>
      <c r="D703" s="199"/>
      <c r="E703" s="202"/>
      <c r="F703" s="202"/>
      <c r="G703" s="199"/>
      <c r="H703" s="199"/>
      <c r="I703" s="199"/>
      <c r="J703" s="202"/>
      <c r="K703" s="202"/>
      <c r="L703" s="199"/>
      <c r="M703" s="199"/>
      <c r="N703" s="199"/>
      <c r="O703" s="199"/>
      <c r="P703" s="199"/>
      <c r="Q703" s="199"/>
      <c r="R703" s="199"/>
      <c r="S703" s="199"/>
      <c r="T703" s="199"/>
      <c r="U703" s="199"/>
      <c r="V703" s="199"/>
      <c r="W703" s="199"/>
      <c r="X703" s="199"/>
      <c r="Y703" s="199"/>
      <c r="Z703" s="199"/>
    </row>
    <row r="704">
      <c r="A704" s="199"/>
      <c r="B704" s="199"/>
      <c r="C704" s="199"/>
      <c r="D704" s="199"/>
      <c r="E704" s="202"/>
      <c r="F704" s="202"/>
      <c r="G704" s="199"/>
      <c r="H704" s="199"/>
      <c r="I704" s="199"/>
      <c r="J704" s="202"/>
      <c r="K704" s="202"/>
      <c r="L704" s="199"/>
      <c r="M704" s="199"/>
      <c r="N704" s="199"/>
      <c r="O704" s="199"/>
      <c r="P704" s="199"/>
      <c r="Q704" s="199"/>
      <c r="R704" s="199"/>
      <c r="S704" s="199"/>
      <c r="T704" s="199"/>
      <c r="U704" s="199"/>
      <c r="V704" s="199"/>
      <c r="W704" s="199"/>
      <c r="X704" s="199"/>
      <c r="Y704" s="199"/>
      <c r="Z704" s="199"/>
    </row>
    <row r="705">
      <c r="A705" s="199"/>
      <c r="B705" s="199"/>
      <c r="C705" s="199"/>
      <c r="D705" s="199"/>
      <c r="E705" s="202"/>
      <c r="F705" s="202"/>
      <c r="G705" s="199"/>
      <c r="H705" s="199"/>
      <c r="I705" s="199"/>
      <c r="J705" s="202"/>
      <c r="K705" s="202"/>
      <c r="L705" s="199"/>
      <c r="M705" s="199"/>
      <c r="N705" s="199"/>
      <c r="O705" s="199"/>
      <c r="P705" s="199"/>
      <c r="Q705" s="199"/>
      <c r="R705" s="199"/>
      <c r="S705" s="199"/>
      <c r="T705" s="199"/>
      <c r="U705" s="199"/>
      <c r="V705" s="199"/>
      <c r="W705" s="199"/>
      <c r="X705" s="199"/>
      <c r="Y705" s="199"/>
      <c r="Z705" s="199"/>
    </row>
    <row r="706">
      <c r="A706" s="199"/>
      <c r="B706" s="199"/>
      <c r="C706" s="199"/>
      <c r="D706" s="199"/>
      <c r="E706" s="202"/>
      <c r="F706" s="202"/>
      <c r="G706" s="199"/>
      <c r="H706" s="199"/>
      <c r="I706" s="199"/>
      <c r="J706" s="202"/>
      <c r="K706" s="202"/>
      <c r="L706" s="199"/>
      <c r="M706" s="199"/>
      <c r="N706" s="199"/>
      <c r="O706" s="199"/>
      <c r="P706" s="199"/>
      <c r="Q706" s="199"/>
      <c r="R706" s="199"/>
      <c r="S706" s="199"/>
      <c r="T706" s="199"/>
      <c r="U706" s="199"/>
      <c r="V706" s="199"/>
      <c r="W706" s="199"/>
      <c r="X706" s="199"/>
      <c r="Y706" s="199"/>
      <c r="Z706" s="199"/>
    </row>
    <row r="707">
      <c r="A707" s="199"/>
      <c r="B707" s="199"/>
      <c r="C707" s="199"/>
      <c r="D707" s="199"/>
      <c r="E707" s="202"/>
      <c r="F707" s="202"/>
      <c r="G707" s="199"/>
      <c r="H707" s="199"/>
      <c r="I707" s="199"/>
      <c r="J707" s="202"/>
      <c r="K707" s="202"/>
      <c r="L707" s="199"/>
      <c r="M707" s="199"/>
      <c r="N707" s="199"/>
      <c r="O707" s="199"/>
      <c r="P707" s="199"/>
      <c r="Q707" s="199"/>
      <c r="R707" s="199"/>
      <c r="S707" s="199"/>
      <c r="T707" s="199"/>
      <c r="U707" s="199"/>
      <c r="V707" s="199"/>
      <c r="W707" s="199"/>
      <c r="X707" s="199"/>
      <c r="Y707" s="199"/>
      <c r="Z707" s="199"/>
    </row>
    <row r="708">
      <c r="A708" s="199"/>
      <c r="B708" s="199"/>
      <c r="C708" s="199"/>
      <c r="D708" s="199"/>
      <c r="E708" s="202"/>
      <c r="F708" s="202"/>
      <c r="G708" s="199"/>
      <c r="H708" s="199"/>
      <c r="I708" s="199"/>
      <c r="J708" s="202"/>
      <c r="K708" s="202"/>
      <c r="L708" s="199"/>
      <c r="M708" s="199"/>
      <c r="N708" s="199"/>
      <c r="O708" s="199"/>
      <c r="P708" s="199"/>
      <c r="Q708" s="199"/>
      <c r="R708" s="199"/>
      <c r="S708" s="199"/>
      <c r="T708" s="199"/>
      <c r="U708" s="199"/>
      <c r="V708" s="199"/>
      <c r="W708" s="199"/>
      <c r="X708" s="199"/>
      <c r="Y708" s="199"/>
      <c r="Z708" s="199"/>
    </row>
    <row r="709">
      <c r="A709" s="199"/>
      <c r="B709" s="199"/>
      <c r="C709" s="199"/>
      <c r="D709" s="199"/>
      <c r="E709" s="202"/>
      <c r="F709" s="202"/>
      <c r="G709" s="199"/>
      <c r="H709" s="199"/>
      <c r="I709" s="199"/>
      <c r="J709" s="202"/>
      <c r="K709" s="202"/>
      <c r="L709" s="199"/>
      <c r="M709" s="199"/>
      <c r="N709" s="199"/>
      <c r="O709" s="199"/>
      <c r="P709" s="199"/>
      <c r="Q709" s="199"/>
      <c r="R709" s="199"/>
      <c r="S709" s="199"/>
      <c r="T709" s="199"/>
      <c r="U709" s="199"/>
      <c r="V709" s="199"/>
      <c r="W709" s="199"/>
      <c r="X709" s="199"/>
      <c r="Y709" s="199"/>
      <c r="Z709" s="199"/>
    </row>
    <row r="710">
      <c r="A710" s="199"/>
      <c r="B710" s="199"/>
      <c r="C710" s="199"/>
      <c r="D710" s="199"/>
      <c r="E710" s="202"/>
      <c r="F710" s="202"/>
      <c r="G710" s="199"/>
      <c r="H710" s="199"/>
      <c r="I710" s="199"/>
      <c r="J710" s="202"/>
      <c r="K710" s="202"/>
      <c r="L710" s="199"/>
      <c r="M710" s="199"/>
      <c r="N710" s="199"/>
      <c r="O710" s="199"/>
      <c r="P710" s="199"/>
      <c r="Q710" s="199"/>
      <c r="R710" s="199"/>
      <c r="S710" s="199"/>
      <c r="T710" s="199"/>
      <c r="U710" s="199"/>
      <c r="V710" s="199"/>
      <c r="W710" s="199"/>
      <c r="X710" s="199"/>
      <c r="Y710" s="199"/>
      <c r="Z710" s="199"/>
    </row>
    <row r="711">
      <c r="A711" s="199"/>
      <c r="B711" s="199"/>
      <c r="C711" s="199"/>
      <c r="D711" s="199"/>
      <c r="E711" s="202"/>
      <c r="F711" s="202"/>
      <c r="G711" s="199"/>
      <c r="H711" s="199"/>
      <c r="I711" s="199"/>
      <c r="J711" s="202"/>
      <c r="K711" s="202"/>
      <c r="L711" s="199"/>
      <c r="M711" s="199"/>
      <c r="N711" s="199"/>
      <c r="O711" s="199"/>
      <c r="P711" s="199"/>
      <c r="Q711" s="199"/>
      <c r="R711" s="199"/>
      <c r="S711" s="199"/>
      <c r="T711" s="199"/>
      <c r="U711" s="199"/>
      <c r="V711" s="199"/>
      <c r="W711" s="199"/>
      <c r="X711" s="199"/>
      <c r="Y711" s="199"/>
      <c r="Z711" s="199"/>
    </row>
    <row r="712">
      <c r="A712" s="199"/>
      <c r="B712" s="199"/>
      <c r="C712" s="199"/>
      <c r="D712" s="199"/>
      <c r="E712" s="202"/>
      <c r="F712" s="202"/>
      <c r="G712" s="199"/>
      <c r="H712" s="199"/>
      <c r="I712" s="199"/>
      <c r="J712" s="202"/>
      <c r="K712" s="202"/>
      <c r="L712" s="199"/>
      <c r="M712" s="199"/>
      <c r="N712" s="199"/>
      <c r="O712" s="199"/>
      <c r="P712" s="199"/>
      <c r="Q712" s="199"/>
      <c r="R712" s="199"/>
      <c r="S712" s="199"/>
      <c r="T712" s="199"/>
      <c r="U712" s="199"/>
      <c r="V712" s="199"/>
      <c r="W712" s="199"/>
      <c r="X712" s="199"/>
      <c r="Y712" s="199"/>
      <c r="Z712" s="199"/>
    </row>
    <row r="713">
      <c r="A713" s="199"/>
      <c r="B713" s="199"/>
      <c r="C713" s="199"/>
      <c r="D713" s="199"/>
      <c r="E713" s="202"/>
      <c r="F713" s="202"/>
      <c r="G713" s="199"/>
      <c r="H713" s="199"/>
      <c r="I713" s="199"/>
      <c r="J713" s="202"/>
      <c r="K713" s="202"/>
      <c r="L713" s="199"/>
      <c r="M713" s="199"/>
      <c r="N713" s="199"/>
      <c r="O713" s="199"/>
      <c r="P713" s="199"/>
      <c r="Q713" s="199"/>
      <c r="R713" s="199"/>
      <c r="S713" s="199"/>
      <c r="T713" s="199"/>
      <c r="U713" s="199"/>
      <c r="V713" s="199"/>
      <c r="W713" s="199"/>
      <c r="X713" s="199"/>
      <c r="Y713" s="199"/>
      <c r="Z713" s="199"/>
    </row>
    <row r="714">
      <c r="A714" s="199"/>
      <c r="B714" s="199"/>
      <c r="C714" s="199"/>
      <c r="D714" s="199"/>
      <c r="E714" s="202"/>
      <c r="F714" s="202"/>
      <c r="G714" s="199"/>
      <c r="H714" s="199"/>
      <c r="I714" s="199"/>
      <c r="J714" s="202"/>
      <c r="K714" s="202"/>
      <c r="L714" s="199"/>
      <c r="M714" s="199"/>
      <c r="N714" s="199"/>
      <c r="O714" s="199"/>
      <c r="P714" s="199"/>
      <c r="Q714" s="199"/>
      <c r="R714" s="199"/>
      <c r="S714" s="199"/>
      <c r="T714" s="199"/>
      <c r="U714" s="199"/>
      <c r="V714" s="199"/>
      <c r="W714" s="199"/>
      <c r="X714" s="199"/>
      <c r="Y714" s="199"/>
      <c r="Z714" s="199"/>
    </row>
    <row r="715">
      <c r="A715" s="199"/>
      <c r="B715" s="199"/>
      <c r="C715" s="199"/>
      <c r="D715" s="199"/>
      <c r="E715" s="202"/>
      <c r="F715" s="202"/>
      <c r="G715" s="199"/>
      <c r="H715" s="199"/>
      <c r="I715" s="199"/>
      <c r="J715" s="202"/>
      <c r="K715" s="202"/>
      <c r="L715" s="199"/>
      <c r="M715" s="199"/>
      <c r="N715" s="199"/>
      <c r="O715" s="199"/>
      <c r="P715" s="199"/>
      <c r="Q715" s="199"/>
      <c r="R715" s="199"/>
      <c r="S715" s="199"/>
      <c r="T715" s="199"/>
      <c r="U715" s="199"/>
      <c r="V715" s="199"/>
      <c r="W715" s="199"/>
      <c r="X715" s="199"/>
      <c r="Y715" s="199"/>
      <c r="Z715" s="199"/>
    </row>
    <row r="716">
      <c r="A716" s="199"/>
      <c r="B716" s="199"/>
      <c r="C716" s="199"/>
      <c r="D716" s="199"/>
      <c r="E716" s="202"/>
      <c r="F716" s="202"/>
      <c r="G716" s="199"/>
      <c r="H716" s="199"/>
      <c r="I716" s="199"/>
      <c r="J716" s="202"/>
      <c r="K716" s="202"/>
      <c r="L716" s="199"/>
      <c r="M716" s="199"/>
      <c r="N716" s="199"/>
      <c r="O716" s="199"/>
      <c r="P716" s="199"/>
      <c r="Q716" s="199"/>
      <c r="R716" s="199"/>
      <c r="S716" s="199"/>
      <c r="T716" s="199"/>
      <c r="U716" s="199"/>
      <c r="V716" s="199"/>
      <c r="W716" s="199"/>
      <c r="X716" s="199"/>
      <c r="Y716" s="199"/>
      <c r="Z716" s="199"/>
    </row>
    <row r="717">
      <c r="A717" s="199"/>
      <c r="B717" s="199"/>
      <c r="C717" s="199"/>
      <c r="D717" s="199"/>
      <c r="E717" s="202"/>
      <c r="F717" s="202"/>
      <c r="G717" s="199"/>
      <c r="H717" s="199"/>
      <c r="I717" s="199"/>
      <c r="J717" s="202"/>
      <c r="K717" s="202"/>
      <c r="L717" s="199"/>
      <c r="M717" s="199"/>
      <c r="N717" s="199"/>
      <c r="O717" s="199"/>
      <c r="P717" s="199"/>
      <c r="Q717" s="199"/>
      <c r="R717" s="199"/>
      <c r="S717" s="199"/>
      <c r="T717" s="199"/>
      <c r="U717" s="199"/>
      <c r="V717" s="199"/>
      <c r="W717" s="199"/>
      <c r="X717" s="199"/>
      <c r="Y717" s="199"/>
      <c r="Z717" s="199"/>
    </row>
    <row r="718">
      <c r="A718" s="199"/>
      <c r="B718" s="199"/>
      <c r="C718" s="199"/>
      <c r="D718" s="199"/>
      <c r="E718" s="202"/>
      <c r="F718" s="202"/>
      <c r="G718" s="199"/>
      <c r="H718" s="199"/>
      <c r="I718" s="199"/>
      <c r="J718" s="202"/>
      <c r="K718" s="202"/>
      <c r="L718" s="199"/>
      <c r="M718" s="199"/>
      <c r="N718" s="199"/>
      <c r="O718" s="199"/>
      <c r="P718" s="199"/>
      <c r="Q718" s="199"/>
      <c r="R718" s="199"/>
      <c r="S718" s="199"/>
      <c r="T718" s="199"/>
      <c r="U718" s="199"/>
      <c r="V718" s="199"/>
      <c r="W718" s="199"/>
      <c r="X718" s="199"/>
      <c r="Y718" s="199"/>
      <c r="Z718" s="199"/>
    </row>
    <row r="719">
      <c r="A719" s="199"/>
      <c r="B719" s="199"/>
      <c r="C719" s="199"/>
      <c r="D719" s="199"/>
      <c r="E719" s="202"/>
      <c r="F719" s="202"/>
      <c r="G719" s="199"/>
      <c r="H719" s="199"/>
      <c r="I719" s="199"/>
      <c r="J719" s="202"/>
      <c r="K719" s="202"/>
      <c r="L719" s="199"/>
      <c r="M719" s="199"/>
      <c r="N719" s="199"/>
      <c r="O719" s="199"/>
      <c r="P719" s="199"/>
      <c r="Q719" s="199"/>
      <c r="R719" s="199"/>
      <c r="S719" s="199"/>
      <c r="T719" s="199"/>
      <c r="U719" s="199"/>
      <c r="V719" s="199"/>
      <c r="W719" s="199"/>
      <c r="X719" s="199"/>
      <c r="Y719" s="199"/>
      <c r="Z719" s="199"/>
    </row>
    <row r="720">
      <c r="A720" s="199"/>
      <c r="B720" s="199"/>
      <c r="C720" s="199"/>
      <c r="D720" s="199"/>
      <c r="E720" s="202"/>
      <c r="F720" s="202"/>
      <c r="G720" s="199"/>
      <c r="H720" s="199"/>
      <c r="I720" s="199"/>
      <c r="J720" s="202"/>
      <c r="K720" s="202"/>
      <c r="L720" s="199"/>
      <c r="M720" s="199"/>
      <c r="N720" s="199"/>
      <c r="O720" s="199"/>
      <c r="P720" s="199"/>
      <c r="Q720" s="199"/>
      <c r="R720" s="199"/>
      <c r="S720" s="199"/>
      <c r="T720" s="199"/>
      <c r="U720" s="199"/>
      <c r="V720" s="199"/>
      <c r="W720" s="199"/>
      <c r="X720" s="199"/>
      <c r="Y720" s="199"/>
      <c r="Z720" s="199"/>
    </row>
    <row r="721">
      <c r="A721" s="199"/>
      <c r="B721" s="199"/>
      <c r="C721" s="199"/>
      <c r="D721" s="199"/>
      <c r="E721" s="202"/>
      <c r="F721" s="202"/>
      <c r="G721" s="199"/>
      <c r="H721" s="199"/>
      <c r="I721" s="199"/>
      <c r="J721" s="202"/>
      <c r="K721" s="202"/>
      <c r="L721" s="199"/>
      <c r="M721" s="199"/>
      <c r="N721" s="199"/>
      <c r="O721" s="199"/>
      <c r="P721" s="199"/>
      <c r="Q721" s="199"/>
      <c r="R721" s="199"/>
      <c r="S721" s="199"/>
      <c r="T721" s="199"/>
      <c r="U721" s="199"/>
      <c r="V721" s="199"/>
      <c r="W721" s="199"/>
      <c r="X721" s="199"/>
      <c r="Y721" s="199"/>
      <c r="Z721" s="199"/>
    </row>
    <row r="722">
      <c r="A722" s="199"/>
      <c r="B722" s="199"/>
      <c r="C722" s="199"/>
      <c r="D722" s="199"/>
      <c r="E722" s="202"/>
      <c r="F722" s="202"/>
      <c r="G722" s="199"/>
      <c r="H722" s="199"/>
      <c r="I722" s="199"/>
      <c r="J722" s="202"/>
      <c r="K722" s="202"/>
      <c r="L722" s="199"/>
      <c r="M722" s="199"/>
      <c r="N722" s="199"/>
      <c r="O722" s="199"/>
      <c r="P722" s="199"/>
      <c r="Q722" s="199"/>
      <c r="R722" s="199"/>
      <c r="S722" s="199"/>
      <c r="T722" s="199"/>
      <c r="U722" s="199"/>
      <c r="V722" s="199"/>
      <c r="W722" s="199"/>
      <c r="X722" s="199"/>
      <c r="Y722" s="199"/>
      <c r="Z722" s="199"/>
    </row>
    <row r="723">
      <c r="A723" s="199"/>
      <c r="B723" s="199"/>
      <c r="C723" s="199"/>
      <c r="D723" s="199"/>
      <c r="E723" s="202"/>
      <c r="F723" s="202"/>
      <c r="G723" s="199"/>
      <c r="H723" s="199"/>
      <c r="I723" s="199"/>
      <c r="J723" s="202"/>
      <c r="K723" s="202"/>
      <c r="L723" s="199"/>
      <c r="M723" s="199"/>
      <c r="N723" s="199"/>
      <c r="O723" s="199"/>
      <c r="P723" s="199"/>
      <c r="Q723" s="199"/>
      <c r="R723" s="199"/>
      <c r="S723" s="199"/>
      <c r="T723" s="199"/>
      <c r="U723" s="199"/>
      <c r="V723" s="199"/>
      <c r="W723" s="199"/>
      <c r="X723" s="199"/>
      <c r="Y723" s="199"/>
      <c r="Z723" s="199"/>
    </row>
    <row r="724">
      <c r="A724" s="199"/>
      <c r="B724" s="199"/>
      <c r="C724" s="199"/>
      <c r="D724" s="199"/>
      <c r="E724" s="202"/>
      <c r="F724" s="202"/>
      <c r="G724" s="199"/>
      <c r="H724" s="199"/>
      <c r="I724" s="199"/>
      <c r="J724" s="202"/>
      <c r="K724" s="202"/>
      <c r="L724" s="199"/>
      <c r="M724" s="199"/>
      <c r="N724" s="199"/>
      <c r="O724" s="199"/>
      <c r="P724" s="199"/>
      <c r="Q724" s="199"/>
      <c r="R724" s="199"/>
      <c r="S724" s="199"/>
      <c r="T724" s="199"/>
      <c r="U724" s="199"/>
      <c r="V724" s="199"/>
      <c r="W724" s="199"/>
      <c r="X724" s="199"/>
      <c r="Y724" s="199"/>
      <c r="Z724" s="199"/>
    </row>
    <row r="725">
      <c r="A725" s="199"/>
      <c r="B725" s="199"/>
      <c r="C725" s="199"/>
      <c r="D725" s="199"/>
      <c r="E725" s="202"/>
      <c r="F725" s="202"/>
      <c r="G725" s="199"/>
      <c r="H725" s="199"/>
      <c r="I725" s="199"/>
      <c r="J725" s="202"/>
      <c r="K725" s="202"/>
      <c r="L725" s="199"/>
      <c r="M725" s="199"/>
      <c r="N725" s="199"/>
      <c r="O725" s="199"/>
      <c r="P725" s="199"/>
      <c r="Q725" s="199"/>
      <c r="R725" s="199"/>
      <c r="S725" s="199"/>
      <c r="T725" s="199"/>
      <c r="U725" s="199"/>
      <c r="V725" s="199"/>
      <c r="W725" s="199"/>
      <c r="X725" s="199"/>
      <c r="Y725" s="199"/>
      <c r="Z725" s="199"/>
    </row>
    <row r="726">
      <c r="A726" s="199"/>
      <c r="B726" s="199"/>
      <c r="C726" s="199"/>
      <c r="D726" s="199"/>
      <c r="E726" s="202"/>
      <c r="F726" s="202"/>
      <c r="G726" s="199"/>
      <c r="H726" s="199"/>
      <c r="I726" s="199"/>
      <c r="J726" s="202"/>
      <c r="K726" s="202"/>
      <c r="L726" s="199"/>
      <c r="M726" s="199"/>
      <c r="N726" s="199"/>
      <c r="O726" s="199"/>
      <c r="P726" s="199"/>
      <c r="Q726" s="199"/>
      <c r="R726" s="199"/>
      <c r="S726" s="199"/>
      <c r="T726" s="199"/>
      <c r="U726" s="199"/>
      <c r="V726" s="199"/>
      <c r="W726" s="199"/>
      <c r="X726" s="199"/>
      <c r="Y726" s="199"/>
      <c r="Z726" s="199"/>
    </row>
    <row r="727">
      <c r="A727" s="199"/>
      <c r="B727" s="199"/>
      <c r="C727" s="199"/>
      <c r="D727" s="199"/>
      <c r="E727" s="202"/>
      <c r="F727" s="202"/>
      <c r="G727" s="199"/>
      <c r="H727" s="199"/>
      <c r="I727" s="199"/>
      <c r="J727" s="202"/>
      <c r="K727" s="202"/>
      <c r="L727" s="199"/>
      <c r="M727" s="199"/>
      <c r="N727" s="199"/>
      <c r="O727" s="199"/>
      <c r="P727" s="199"/>
      <c r="Q727" s="199"/>
      <c r="R727" s="199"/>
      <c r="S727" s="199"/>
      <c r="T727" s="199"/>
      <c r="U727" s="199"/>
      <c r="V727" s="199"/>
      <c r="W727" s="199"/>
      <c r="X727" s="199"/>
      <c r="Y727" s="199"/>
      <c r="Z727" s="199"/>
    </row>
    <row r="728">
      <c r="A728" s="199"/>
      <c r="B728" s="199"/>
      <c r="C728" s="199"/>
      <c r="D728" s="199"/>
      <c r="E728" s="202"/>
      <c r="F728" s="202"/>
      <c r="G728" s="199"/>
      <c r="H728" s="199"/>
      <c r="I728" s="199"/>
      <c r="J728" s="202"/>
      <c r="K728" s="202"/>
      <c r="L728" s="199"/>
      <c r="M728" s="199"/>
      <c r="N728" s="199"/>
      <c r="O728" s="199"/>
      <c r="P728" s="199"/>
      <c r="Q728" s="199"/>
      <c r="R728" s="199"/>
      <c r="S728" s="199"/>
      <c r="T728" s="199"/>
      <c r="U728" s="199"/>
      <c r="V728" s="199"/>
      <c r="W728" s="199"/>
      <c r="X728" s="199"/>
      <c r="Y728" s="199"/>
      <c r="Z728" s="199"/>
    </row>
    <row r="729">
      <c r="A729" s="199"/>
      <c r="B729" s="199"/>
      <c r="C729" s="199"/>
      <c r="D729" s="199"/>
      <c r="E729" s="202"/>
      <c r="F729" s="202"/>
      <c r="G729" s="199"/>
      <c r="H729" s="199"/>
      <c r="I729" s="199"/>
      <c r="J729" s="202"/>
      <c r="K729" s="202"/>
      <c r="L729" s="199"/>
      <c r="M729" s="199"/>
      <c r="N729" s="199"/>
      <c r="O729" s="199"/>
      <c r="P729" s="199"/>
      <c r="Q729" s="199"/>
      <c r="R729" s="199"/>
      <c r="S729" s="199"/>
      <c r="T729" s="199"/>
      <c r="U729" s="199"/>
      <c r="V729" s="199"/>
      <c r="W729" s="199"/>
      <c r="X729" s="199"/>
      <c r="Y729" s="199"/>
      <c r="Z729" s="199"/>
    </row>
    <row r="730">
      <c r="A730" s="199"/>
      <c r="B730" s="199"/>
      <c r="C730" s="199"/>
      <c r="D730" s="199"/>
      <c r="E730" s="202"/>
      <c r="F730" s="202"/>
      <c r="G730" s="199"/>
      <c r="H730" s="199"/>
      <c r="I730" s="199"/>
      <c r="J730" s="202"/>
      <c r="K730" s="202"/>
      <c r="L730" s="199"/>
      <c r="M730" s="199"/>
      <c r="N730" s="199"/>
      <c r="O730" s="199"/>
      <c r="P730" s="199"/>
      <c r="Q730" s="199"/>
      <c r="R730" s="199"/>
      <c r="S730" s="199"/>
      <c r="T730" s="199"/>
      <c r="U730" s="199"/>
      <c r="V730" s="199"/>
      <c r="W730" s="199"/>
      <c r="X730" s="199"/>
      <c r="Y730" s="199"/>
      <c r="Z730" s="199"/>
    </row>
    <row r="731">
      <c r="A731" s="199"/>
      <c r="B731" s="199"/>
      <c r="C731" s="199"/>
      <c r="D731" s="199"/>
      <c r="E731" s="202"/>
      <c r="F731" s="202"/>
      <c r="G731" s="199"/>
      <c r="H731" s="199"/>
      <c r="I731" s="199"/>
      <c r="J731" s="202"/>
      <c r="K731" s="202"/>
      <c r="L731" s="199"/>
      <c r="M731" s="199"/>
      <c r="N731" s="199"/>
      <c r="O731" s="199"/>
      <c r="P731" s="199"/>
      <c r="Q731" s="199"/>
      <c r="R731" s="199"/>
      <c r="S731" s="199"/>
      <c r="T731" s="199"/>
      <c r="U731" s="199"/>
      <c r="V731" s="199"/>
      <c r="W731" s="199"/>
      <c r="X731" s="199"/>
      <c r="Y731" s="199"/>
      <c r="Z731" s="199"/>
    </row>
    <row r="732">
      <c r="A732" s="199"/>
      <c r="B732" s="199"/>
      <c r="C732" s="199"/>
      <c r="D732" s="199"/>
      <c r="E732" s="202"/>
      <c r="F732" s="202"/>
      <c r="G732" s="199"/>
      <c r="H732" s="199"/>
      <c r="I732" s="199"/>
      <c r="J732" s="202"/>
      <c r="K732" s="202"/>
      <c r="L732" s="199"/>
      <c r="M732" s="199"/>
      <c r="N732" s="199"/>
      <c r="O732" s="199"/>
      <c r="P732" s="199"/>
      <c r="Q732" s="199"/>
      <c r="R732" s="199"/>
      <c r="S732" s="199"/>
      <c r="T732" s="199"/>
      <c r="U732" s="199"/>
      <c r="V732" s="199"/>
      <c r="W732" s="199"/>
      <c r="X732" s="199"/>
      <c r="Y732" s="199"/>
      <c r="Z732" s="199"/>
    </row>
    <row r="733">
      <c r="A733" s="199"/>
      <c r="B733" s="199"/>
      <c r="C733" s="199"/>
      <c r="D733" s="199"/>
      <c r="E733" s="202"/>
      <c r="F733" s="202"/>
      <c r="G733" s="199"/>
      <c r="H733" s="199"/>
      <c r="I733" s="199"/>
      <c r="J733" s="202"/>
      <c r="K733" s="202"/>
      <c r="L733" s="199"/>
      <c r="M733" s="199"/>
      <c r="N733" s="199"/>
      <c r="O733" s="199"/>
      <c r="P733" s="199"/>
      <c r="Q733" s="199"/>
      <c r="R733" s="199"/>
      <c r="S733" s="199"/>
      <c r="T733" s="199"/>
      <c r="U733" s="199"/>
      <c r="V733" s="199"/>
      <c r="W733" s="199"/>
      <c r="X733" s="199"/>
      <c r="Y733" s="199"/>
      <c r="Z733" s="199"/>
    </row>
    <row r="734">
      <c r="A734" s="199"/>
      <c r="B734" s="199"/>
      <c r="C734" s="199"/>
      <c r="D734" s="199"/>
      <c r="E734" s="202"/>
      <c r="F734" s="202"/>
      <c r="G734" s="199"/>
      <c r="H734" s="199"/>
      <c r="I734" s="199"/>
      <c r="J734" s="202"/>
      <c r="K734" s="202"/>
      <c r="L734" s="199"/>
      <c r="M734" s="199"/>
      <c r="N734" s="199"/>
      <c r="O734" s="199"/>
      <c r="P734" s="199"/>
      <c r="Q734" s="199"/>
      <c r="R734" s="199"/>
      <c r="S734" s="199"/>
      <c r="T734" s="199"/>
      <c r="U734" s="199"/>
      <c r="V734" s="199"/>
      <c r="W734" s="199"/>
      <c r="X734" s="199"/>
      <c r="Y734" s="199"/>
      <c r="Z734" s="199"/>
    </row>
    <row r="735">
      <c r="A735" s="199"/>
      <c r="B735" s="199"/>
      <c r="C735" s="199"/>
      <c r="D735" s="199"/>
      <c r="E735" s="202"/>
      <c r="F735" s="202"/>
      <c r="G735" s="199"/>
      <c r="H735" s="199"/>
      <c r="I735" s="199"/>
      <c r="J735" s="202"/>
      <c r="K735" s="202"/>
      <c r="L735" s="199"/>
      <c r="M735" s="199"/>
      <c r="N735" s="199"/>
      <c r="O735" s="199"/>
      <c r="P735" s="199"/>
      <c r="Q735" s="199"/>
      <c r="R735" s="199"/>
      <c r="S735" s="199"/>
      <c r="T735" s="199"/>
      <c r="U735" s="199"/>
      <c r="V735" s="199"/>
      <c r="W735" s="199"/>
      <c r="X735" s="199"/>
      <c r="Y735" s="199"/>
      <c r="Z735" s="199"/>
    </row>
    <row r="736">
      <c r="A736" s="199"/>
      <c r="B736" s="199"/>
      <c r="C736" s="199"/>
      <c r="D736" s="199"/>
      <c r="E736" s="202"/>
      <c r="F736" s="202"/>
      <c r="G736" s="199"/>
      <c r="H736" s="199"/>
      <c r="I736" s="199"/>
      <c r="J736" s="202"/>
      <c r="K736" s="202"/>
      <c r="L736" s="199"/>
      <c r="M736" s="199"/>
      <c r="N736" s="199"/>
      <c r="O736" s="199"/>
      <c r="P736" s="199"/>
      <c r="Q736" s="199"/>
      <c r="R736" s="199"/>
      <c r="S736" s="199"/>
      <c r="T736" s="199"/>
      <c r="U736" s="199"/>
      <c r="V736" s="199"/>
      <c r="W736" s="199"/>
      <c r="X736" s="199"/>
      <c r="Y736" s="199"/>
      <c r="Z736" s="199"/>
    </row>
    <row r="737">
      <c r="A737" s="199"/>
      <c r="B737" s="199"/>
      <c r="C737" s="199"/>
      <c r="D737" s="199"/>
      <c r="E737" s="202"/>
      <c r="F737" s="202"/>
      <c r="G737" s="199"/>
      <c r="H737" s="199"/>
      <c r="I737" s="199"/>
      <c r="J737" s="202"/>
      <c r="K737" s="202"/>
      <c r="L737" s="199"/>
      <c r="M737" s="199"/>
      <c r="N737" s="199"/>
      <c r="O737" s="199"/>
      <c r="P737" s="199"/>
      <c r="Q737" s="199"/>
      <c r="R737" s="199"/>
      <c r="S737" s="199"/>
      <c r="T737" s="199"/>
      <c r="U737" s="199"/>
      <c r="V737" s="199"/>
      <c r="W737" s="199"/>
      <c r="X737" s="199"/>
      <c r="Y737" s="199"/>
      <c r="Z737" s="199"/>
    </row>
    <row r="738">
      <c r="A738" s="199"/>
      <c r="B738" s="199"/>
      <c r="C738" s="199"/>
      <c r="D738" s="199"/>
      <c r="E738" s="202"/>
      <c r="F738" s="202"/>
      <c r="G738" s="199"/>
      <c r="H738" s="199"/>
      <c r="I738" s="199"/>
      <c r="J738" s="202"/>
      <c r="K738" s="202"/>
      <c r="L738" s="199"/>
      <c r="M738" s="199"/>
      <c r="N738" s="199"/>
      <c r="O738" s="199"/>
      <c r="P738" s="199"/>
      <c r="Q738" s="199"/>
      <c r="R738" s="199"/>
      <c r="S738" s="199"/>
      <c r="T738" s="199"/>
      <c r="U738" s="199"/>
      <c r="V738" s="199"/>
      <c r="W738" s="199"/>
      <c r="X738" s="199"/>
      <c r="Y738" s="199"/>
      <c r="Z738" s="199"/>
    </row>
    <row r="739">
      <c r="A739" s="199"/>
      <c r="B739" s="199"/>
      <c r="C739" s="199"/>
      <c r="D739" s="199"/>
      <c r="E739" s="202"/>
      <c r="F739" s="202"/>
      <c r="G739" s="199"/>
      <c r="H739" s="199"/>
      <c r="I739" s="199"/>
      <c r="J739" s="202"/>
      <c r="K739" s="202"/>
      <c r="L739" s="199"/>
      <c r="M739" s="199"/>
      <c r="N739" s="199"/>
      <c r="O739" s="199"/>
      <c r="P739" s="199"/>
      <c r="Q739" s="199"/>
      <c r="R739" s="199"/>
      <c r="S739" s="199"/>
      <c r="T739" s="199"/>
      <c r="U739" s="199"/>
      <c r="V739" s="199"/>
      <c r="W739" s="199"/>
      <c r="X739" s="199"/>
      <c r="Y739" s="199"/>
      <c r="Z739" s="199"/>
    </row>
    <row r="740">
      <c r="A740" s="199"/>
      <c r="B740" s="199"/>
      <c r="C740" s="199"/>
      <c r="D740" s="199"/>
      <c r="E740" s="202"/>
      <c r="F740" s="202"/>
      <c r="G740" s="199"/>
      <c r="H740" s="199"/>
      <c r="I740" s="199"/>
      <c r="J740" s="202"/>
      <c r="K740" s="202"/>
      <c r="L740" s="199"/>
      <c r="M740" s="199"/>
      <c r="N740" s="199"/>
      <c r="O740" s="199"/>
      <c r="P740" s="199"/>
      <c r="Q740" s="199"/>
      <c r="R740" s="199"/>
      <c r="S740" s="199"/>
      <c r="T740" s="199"/>
      <c r="U740" s="199"/>
      <c r="V740" s="199"/>
      <c r="W740" s="199"/>
      <c r="X740" s="199"/>
      <c r="Y740" s="199"/>
      <c r="Z740" s="199"/>
    </row>
    <row r="741">
      <c r="A741" s="199"/>
      <c r="B741" s="199"/>
      <c r="C741" s="199"/>
      <c r="D741" s="199"/>
      <c r="E741" s="202"/>
      <c r="F741" s="202"/>
      <c r="G741" s="199"/>
      <c r="H741" s="199"/>
      <c r="I741" s="199"/>
      <c r="J741" s="202"/>
      <c r="K741" s="202"/>
      <c r="L741" s="199"/>
      <c r="M741" s="199"/>
      <c r="N741" s="199"/>
      <c r="O741" s="199"/>
      <c r="P741" s="199"/>
      <c r="Q741" s="199"/>
      <c r="R741" s="199"/>
      <c r="S741" s="199"/>
      <c r="T741" s="199"/>
      <c r="U741" s="199"/>
      <c r="V741" s="199"/>
      <c r="W741" s="199"/>
      <c r="X741" s="199"/>
      <c r="Y741" s="199"/>
      <c r="Z741" s="199"/>
    </row>
    <row r="742">
      <c r="A742" s="199"/>
      <c r="B742" s="199"/>
      <c r="C742" s="199"/>
      <c r="D742" s="199"/>
      <c r="E742" s="202"/>
      <c r="F742" s="202"/>
      <c r="G742" s="199"/>
      <c r="H742" s="199"/>
      <c r="I742" s="199"/>
      <c r="J742" s="202"/>
      <c r="K742" s="202"/>
      <c r="L742" s="199"/>
      <c r="M742" s="199"/>
      <c r="N742" s="199"/>
      <c r="O742" s="199"/>
      <c r="P742" s="199"/>
      <c r="Q742" s="199"/>
      <c r="R742" s="199"/>
      <c r="S742" s="199"/>
      <c r="T742" s="199"/>
      <c r="U742" s="199"/>
      <c r="V742" s="199"/>
      <c r="W742" s="199"/>
      <c r="X742" s="199"/>
      <c r="Y742" s="199"/>
      <c r="Z742" s="199"/>
    </row>
    <row r="743">
      <c r="A743" s="199"/>
      <c r="B743" s="199"/>
      <c r="C743" s="199"/>
      <c r="D743" s="199"/>
      <c r="E743" s="202"/>
      <c r="F743" s="202"/>
      <c r="G743" s="199"/>
      <c r="H743" s="199"/>
      <c r="I743" s="199"/>
      <c r="J743" s="202"/>
      <c r="K743" s="202"/>
      <c r="L743" s="199"/>
      <c r="M743" s="199"/>
      <c r="N743" s="199"/>
      <c r="O743" s="199"/>
      <c r="P743" s="199"/>
      <c r="Q743" s="199"/>
      <c r="R743" s="199"/>
      <c r="S743" s="199"/>
      <c r="T743" s="199"/>
      <c r="U743" s="199"/>
      <c r="V743" s="199"/>
      <c r="W743" s="199"/>
      <c r="X743" s="199"/>
      <c r="Y743" s="199"/>
      <c r="Z743" s="199"/>
    </row>
    <row r="744">
      <c r="A744" s="199"/>
      <c r="B744" s="199"/>
      <c r="C744" s="199"/>
      <c r="D744" s="199"/>
      <c r="E744" s="202"/>
      <c r="F744" s="202"/>
      <c r="G744" s="199"/>
      <c r="H744" s="199"/>
      <c r="I744" s="199"/>
      <c r="J744" s="202"/>
      <c r="K744" s="202"/>
      <c r="L744" s="199"/>
      <c r="M744" s="199"/>
      <c r="N744" s="199"/>
      <c r="O744" s="199"/>
      <c r="P744" s="199"/>
      <c r="Q744" s="199"/>
      <c r="R744" s="199"/>
      <c r="S744" s="199"/>
      <c r="T744" s="199"/>
      <c r="U744" s="199"/>
      <c r="V744" s="199"/>
      <c r="W744" s="199"/>
      <c r="X744" s="199"/>
      <c r="Y744" s="199"/>
      <c r="Z744" s="199"/>
    </row>
    <row r="745">
      <c r="A745" s="199"/>
      <c r="B745" s="199"/>
      <c r="C745" s="199"/>
      <c r="D745" s="199"/>
      <c r="E745" s="202"/>
      <c r="F745" s="202"/>
      <c r="G745" s="199"/>
      <c r="H745" s="199"/>
      <c r="I745" s="199"/>
      <c r="J745" s="202"/>
      <c r="K745" s="202"/>
      <c r="L745" s="199"/>
      <c r="M745" s="199"/>
      <c r="N745" s="199"/>
      <c r="O745" s="199"/>
      <c r="P745" s="199"/>
      <c r="Q745" s="199"/>
      <c r="R745" s="199"/>
      <c r="S745" s="199"/>
      <c r="T745" s="199"/>
      <c r="U745" s="199"/>
      <c r="V745" s="199"/>
      <c r="W745" s="199"/>
      <c r="X745" s="199"/>
      <c r="Y745" s="199"/>
      <c r="Z745" s="199"/>
    </row>
    <row r="746">
      <c r="A746" s="199"/>
      <c r="B746" s="199"/>
      <c r="C746" s="199"/>
      <c r="D746" s="199"/>
      <c r="E746" s="202"/>
      <c r="F746" s="202"/>
      <c r="G746" s="199"/>
      <c r="H746" s="199"/>
      <c r="I746" s="199"/>
      <c r="J746" s="202"/>
      <c r="K746" s="202"/>
      <c r="L746" s="199"/>
      <c r="M746" s="199"/>
      <c r="N746" s="199"/>
      <c r="O746" s="199"/>
      <c r="P746" s="199"/>
      <c r="Q746" s="199"/>
      <c r="R746" s="199"/>
      <c r="S746" s="199"/>
      <c r="T746" s="199"/>
      <c r="U746" s="199"/>
      <c r="V746" s="199"/>
      <c r="W746" s="199"/>
      <c r="X746" s="199"/>
      <c r="Y746" s="199"/>
      <c r="Z746" s="199"/>
    </row>
    <row r="747">
      <c r="A747" s="199"/>
      <c r="B747" s="199"/>
      <c r="C747" s="199"/>
      <c r="D747" s="199"/>
      <c r="E747" s="202"/>
      <c r="F747" s="202"/>
      <c r="G747" s="199"/>
      <c r="H747" s="199"/>
      <c r="I747" s="199"/>
      <c r="J747" s="202"/>
      <c r="K747" s="202"/>
      <c r="L747" s="199"/>
      <c r="M747" s="199"/>
      <c r="N747" s="199"/>
      <c r="O747" s="199"/>
      <c r="P747" s="199"/>
      <c r="Q747" s="199"/>
      <c r="R747" s="199"/>
      <c r="S747" s="199"/>
      <c r="T747" s="199"/>
      <c r="U747" s="199"/>
      <c r="V747" s="199"/>
      <c r="W747" s="199"/>
      <c r="X747" s="199"/>
      <c r="Y747" s="199"/>
      <c r="Z747" s="199"/>
    </row>
    <row r="748">
      <c r="A748" s="199"/>
      <c r="B748" s="199"/>
      <c r="C748" s="199"/>
      <c r="D748" s="199"/>
      <c r="E748" s="202"/>
      <c r="F748" s="202"/>
      <c r="G748" s="199"/>
      <c r="H748" s="199"/>
      <c r="I748" s="199"/>
      <c r="J748" s="202"/>
      <c r="K748" s="202"/>
      <c r="L748" s="199"/>
      <c r="M748" s="199"/>
      <c r="N748" s="199"/>
      <c r="O748" s="199"/>
      <c r="P748" s="199"/>
      <c r="Q748" s="199"/>
      <c r="R748" s="199"/>
      <c r="S748" s="199"/>
      <c r="T748" s="199"/>
      <c r="U748" s="199"/>
      <c r="V748" s="199"/>
      <c r="W748" s="199"/>
      <c r="X748" s="199"/>
      <c r="Y748" s="199"/>
      <c r="Z748" s="199"/>
    </row>
    <row r="749">
      <c r="A749" s="199"/>
      <c r="B749" s="199"/>
      <c r="C749" s="199"/>
      <c r="D749" s="199"/>
      <c r="E749" s="202"/>
      <c r="F749" s="202"/>
      <c r="G749" s="199"/>
      <c r="H749" s="199"/>
      <c r="I749" s="199"/>
      <c r="J749" s="202"/>
      <c r="K749" s="202"/>
      <c r="L749" s="199"/>
      <c r="M749" s="199"/>
      <c r="N749" s="199"/>
      <c r="O749" s="199"/>
      <c r="P749" s="199"/>
      <c r="Q749" s="199"/>
      <c r="R749" s="199"/>
      <c r="S749" s="199"/>
      <c r="T749" s="199"/>
      <c r="U749" s="199"/>
      <c r="V749" s="199"/>
      <c r="W749" s="199"/>
      <c r="X749" s="199"/>
      <c r="Y749" s="199"/>
      <c r="Z749" s="199"/>
    </row>
    <row r="750">
      <c r="A750" s="199"/>
      <c r="B750" s="199"/>
      <c r="C750" s="199"/>
      <c r="D750" s="199"/>
      <c r="E750" s="202"/>
      <c r="F750" s="202"/>
      <c r="G750" s="199"/>
      <c r="H750" s="199"/>
      <c r="I750" s="199"/>
      <c r="J750" s="202"/>
      <c r="K750" s="202"/>
      <c r="L750" s="199"/>
      <c r="M750" s="199"/>
      <c r="N750" s="199"/>
      <c r="O750" s="199"/>
      <c r="P750" s="199"/>
      <c r="Q750" s="199"/>
      <c r="R750" s="199"/>
      <c r="S750" s="199"/>
      <c r="T750" s="199"/>
      <c r="U750" s="199"/>
      <c r="V750" s="199"/>
      <c r="W750" s="199"/>
      <c r="X750" s="199"/>
      <c r="Y750" s="199"/>
      <c r="Z750" s="199"/>
    </row>
    <row r="751">
      <c r="A751" s="199"/>
      <c r="B751" s="199"/>
      <c r="C751" s="199"/>
      <c r="D751" s="199"/>
      <c r="E751" s="202"/>
      <c r="F751" s="202"/>
      <c r="G751" s="199"/>
      <c r="H751" s="199"/>
      <c r="I751" s="199"/>
      <c r="J751" s="202"/>
      <c r="K751" s="202"/>
      <c r="L751" s="199"/>
      <c r="M751" s="199"/>
      <c r="N751" s="199"/>
      <c r="O751" s="199"/>
      <c r="P751" s="199"/>
      <c r="Q751" s="199"/>
      <c r="R751" s="199"/>
      <c r="S751" s="199"/>
      <c r="T751" s="199"/>
      <c r="U751" s="199"/>
      <c r="V751" s="199"/>
      <c r="W751" s="199"/>
      <c r="X751" s="199"/>
      <c r="Y751" s="199"/>
      <c r="Z751" s="199"/>
    </row>
    <row r="752">
      <c r="A752" s="199"/>
      <c r="B752" s="199"/>
      <c r="C752" s="199"/>
      <c r="D752" s="199"/>
      <c r="E752" s="202"/>
      <c r="F752" s="202"/>
      <c r="G752" s="199"/>
      <c r="H752" s="199"/>
      <c r="I752" s="199"/>
      <c r="J752" s="202"/>
      <c r="K752" s="202"/>
      <c r="L752" s="199"/>
      <c r="M752" s="199"/>
      <c r="N752" s="199"/>
      <c r="O752" s="199"/>
      <c r="P752" s="199"/>
      <c r="Q752" s="199"/>
      <c r="R752" s="199"/>
      <c r="S752" s="199"/>
      <c r="T752" s="199"/>
      <c r="U752" s="199"/>
      <c r="V752" s="199"/>
      <c r="W752" s="199"/>
      <c r="X752" s="199"/>
      <c r="Y752" s="199"/>
      <c r="Z752" s="199"/>
    </row>
    <row r="753">
      <c r="A753" s="199"/>
      <c r="B753" s="199"/>
      <c r="C753" s="199"/>
      <c r="D753" s="199"/>
      <c r="E753" s="202"/>
      <c r="F753" s="202"/>
      <c r="G753" s="199"/>
      <c r="H753" s="199"/>
      <c r="I753" s="199"/>
      <c r="J753" s="202"/>
      <c r="K753" s="202"/>
      <c r="L753" s="199"/>
      <c r="M753" s="199"/>
      <c r="N753" s="199"/>
      <c r="O753" s="199"/>
      <c r="P753" s="199"/>
      <c r="Q753" s="199"/>
      <c r="R753" s="199"/>
      <c r="S753" s="199"/>
      <c r="T753" s="199"/>
      <c r="U753" s="199"/>
      <c r="V753" s="199"/>
      <c r="W753" s="199"/>
      <c r="X753" s="199"/>
      <c r="Y753" s="199"/>
      <c r="Z753" s="199"/>
    </row>
    <row r="754">
      <c r="A754" s="199"/>
      <c r="B754" s="199"/>
      <c r="C754" s="199"/>
      <c r="D754" s="199"/>
      <c r="E754" s="202"/>
      <c r="F754" s="202"/>
      <c r="G754" s="199"/>
      <c r="H754" s="199"/>
      <c r="I754" s="199"/>
      <c r="J754" s="202"/>
      <c r="K754" s="202"/>
      <c r="L754" s="199"/>
      <c r="M754" s="199"/>
      <c r="N754" s="199"/>
      <c r="O754" s="199"/>
      <c r="P754" s="199"/>
      <c r="Q754" s="199"/>
      <c r="R754" s="199"/>
      <c r="S754" s="199"/>
      <c r="T754" s="199"/>
      <c r="U754" s="199"/>
      <c r="V754" s="199"/>
      <c r="W754" s="199"/>
      <c r="X754" s="199"/>
      <c r="Y754" s="199"/>
      <c r="Z754" s="199"/>
    </row>
    <row r="755">
      <c r="A755" s="199"/>
      <c r="B755" s="199"/>
      <c r="C755" s="199"/>
      <c r="D755" s="199"/>
      <c r="E755" s="202"/>
      <c r="F755" s="202"/>
      <c r="G755" s="199"/>
      <c r="H755" s="199"/>
      <c r="I755" s="199"/>
      <c r="J755" s="202"/>
      <c r="K755" s="202"/>
      <c r="L755" s="199"/>
      <c r="M755" s="199"/>
      <c r="N755" s="199"/>
      <c r="O755" s="199"/>
      <c r="P755" s="199"/>
      <c r="Q755" s="199"/>
      <c r="R755" s="199"/>
      <c r="S755" s="199"/>
      <c r="T755" s="199"/>
      <c r="U755" s="199"/>
      <c r="V755" s="199"/>
      <c r="W755" s="199"/>
      <c r="X755" s="199"/>
      <c r="Y755" s="199"/>
      <c r="Z755" s="199"/>
    </row>
    <row r="756">
      <c r="A756" s="199"/>
      <c r="B756" s="199"/>
      <c r="C756" s="199"/>
      <c r="D756" s="199"/>
      <c r="E756" s="202"/>
      <c r="F756" s="202"/>
      <c r="G756" s="199"/>
      <c r="H756" s="199"/>
      <c r="I756" s="199"/>
      <c r="J756" s="202"/>
      <c r="K756" s="202"/>
      <c r="L756" s="199"/>
      <c r="M756" s="199"/>
      <c r="N756" s="199"/>
      <c r="O756" s="199"/>
      <c r="P756" s="199"/>
      <c r="Q756" s="199"/>
      <c r="R756" s="199"/>
      <c r="S756" s="199"/>
      <c r="T756" s="199"/>
      <c r="U756" s="199"/>
      <c r="V756" s="199"/>
      <c r="W756" s="199"/>
      <c r="X756" s="199"/>
      <c r="Y756" s="199"/>
      <c r="Z756" s="199"/>
    </row>
    <row r="757">
      <c r="A757" s="199"/>
      <c r="B757" s="199"/>
      <c r="C757" s="199"/>
      <c r="D757" s="199"/>
      <c r="E757" s="202"/>
      <c r="F757" s="202"/>
      <c r="G757" s="199"/>
      <c r="H757" s="199"/>
      <c r="I757" s="199"/>
      <c r="J757" s="202"/>
      <c r="K757" s="202"/>
      <c r="L757" s="199"/>
      <c r="M757" s="199"/>
      <c r="N757" s="199"/>
      <c r="O757" s="199"/>
      <c r="P757" s="199"/>
      <c r="Q757" s="199"/>
      <c r="R757" s="199"/>
      <c r="S757" s="199"/>
      <c r="T757" s="199"/>
      <c r="U757" s="199"/>
      <c r="V757" s="199"/>
      <c r="W757" s="199"/>
      <c r="X757" s="199"/>
      <c r="Y757" s="199"/>
      <c r="Z757" s="199"/>
    </row>
    <row r="758">
      <c r="A758" s="199"/>
      <c r="B758" s="199"/>
      <c r="C758" s="199"/>
      <c r="D758" s="199"/>
      <c r="E758" s="202"/>
      <c r="F758" s="202"/>
      <c r="G758" s="199"/>
      <c r="H758" s="199"/>
      <c r="I758" s="199"/>
      <c r="J758" s="202"/>
      <c r="K758" s="202"/>
      <c r="L758" s="199"/>
      <c r="M758" s="199"/>
      <c r="N758" s="199"/>
      <c r="O758" s="199"/>
      <c r="P758" s="199"/>
      <c r="Q758" s="199"/>
      <c r="R758" s="199"/>
      <c r="S758" s="199"/>
      <c r="T758" s="199"/>
      <c r="U758" s="199"/>
      <c r="V758" s="199"/>
      <c r="W758" s="199"/>
      <c r="X758" s="199"/>
      <c r="Y758" s="199"/>
      <c r="Z758" s="199"/>
    </row>
    <row r="759">
      <c r="A759" s="199"/>
      <c r="B759" s="199"/>
      <c r="C759" s="199"/>
      <c r="D759" s="199"/>
      <c r="E759" s="202"/>
      <c r="F759" s="202"/>
      <c r="G759" s="199"/>
      <c r="H759" s="199"/>
      <c r="I759" s="199"/>
      <c r="J759" s="202"/>
      <c r="K759" s="202"/>
      <c r="L759" s="199"/>
      <c r="M759" s="199"/>
      <c r="N759" s="199"/>
      <c r="O759" s="199"/>
      <c r="P759" s="199"/>
      <c r="Q759" s="199"/>
      <c r="R759" s="199"/>
      <c r="S759" s="199"/>
      <c r="T759" s="199"/>
      <c r="U759" s="199"/>
      <c r="V759" s="199"/>
      <c r="W759" s="199"/>
      <c r="X759" s="199"/>
      <c r="Y759" s="199"/>
      <c r="Z759" s="199"/>
    </row>
    <row r="760">
      <c r="A760" s="199"/>
      <c r="B760" s="199"/>
      <c r="C760" s="199"/>
      <c r="D760" s="199"/>
      <c r="E760" s="202"/>
      <c r="F760" s="202"/>
      <c r="G760" s="199"/>
      <c r="H760" s="199"/>
      <c r="I760" s="199"/>
      <c r="J760" s="202"/>
      <c r="K760" s="202"/>
      <c r="L760" s="199"/>
      <c r="M760" s="199"/>
      <c r="N760" s="199"/>
      <c r="O760" s="199"/>
      <c r="P760" s="199"/>
      <c r="Q760" s="199"/>
      <c r="R760" s="199"/>
      <c r="S760" s="199"/>
      <c r="T760" s="199"/>
      <c r="U760" s="199"/>
      <c r="V760" s="199"/>
      <c r="W760" s="199"/>
      <c r="X760" s="199"/>
      <c r="Y760" s="199"/>
      <c r="Z760" s="199"/>
    </row>
    <row r="761">
      <c r="A761" s="199"/>
      <c r="B761" s="199"/>
      <c r="C761" s="199"/>
      <c r="D761" s="199"/>
      <c r="E761" s="202"/>
      <c r="F761" s="202"/>
      <c r="G761" s="199"/>
      <c r="H761" s="199"/>
      <c r="I761" s="199"/>
      <c r="J761" s="202"/>
      <c r="K761" s="202"/>
      <c r="L761" s="199"/>
      <c r="M761" s="199"/>
      <c r="N761" s="199"/>
      <c r="O761" s="199"/>
      <c r="P761" s="199"/>
      <c r="Q761" s="199"/>
      <c r="R761" s="199"/>
      <c r="S761" s="199"/>
      <c r="T761" s="199"/>
      <c r="U761" s="199"/>
      <c r="V761" s="199"/>
      <c r="W761" s="199"/>
      <c r="X761" s="199"/>
      <c r="Y761" s="199"/>
      <c r="Z761" s="199"/>
    </row>
    <row r="762">
      <c r="A762" s="199"/>
      <c r="B762" s="199"/>
      <c r="C762" s="199"/>
      <c r="D762" s="199"/>
      <c r="E762" s="202"/>
      <c r="F762" s="202"/>
      <c r="G762" s="199"/>
      <c r="H762" s="199"/>
      <c r="I762" s="199"/>
      <c r="J762" s="202"/>
      <c r="K762" s="202"/>
      <c r="L762" s="199"/>
      <c r="M762" s="199"/>
      <c r="N762" s="199"/>
      <c r="O762" s="199"/>
      <c r="P762" s="199"/>
      <c r="Q762" s="199"/>
      <c r="R762" s="199"/>
      <c r="S762" s="199"/>
      <c r="T762" s="199"/>
      <c r="U762" s="199"/>
      <c r="V762" s="199"/>
      <c r="W762" s="199"/>
      <c r="X762" s="199"/>
      <c r="Y762" s="199"/>
      <c r="Z762" s="199"/>
    </row>
    <row r="763">
      <c r="A763" s="199"/>
      <c r="B763" s="199"/>
      <c r="C763" s="199"/>
      <c r="D763" s="199"/>
      <c r="E763" s="202"/>
      <c r="F763" s="202"/>
      <c r="G763" s="199"/>
      <c r="H763" s="199"/>
      <c r="I763" s="199"/>
      <c r="J763" s="202"/>
      <c r="K763" s="202"/>
      <c r="L763" s="199"/>
      <c r="M763" s="199"/>
      <c r="N763" s="199"/>
      <c r="O763" s="199"/>
      <c r="P763" s="199"/>
      <c r="Q763" s="199"/>
      <c r="R763" s="199"/>
      <c r="S763" s="199"/>
      <c r="T763" s="199"/>
      <c r="U763" s="199"/>
      <c r="V763" s="199"/>
      <c r="W763" s="199"/>
      <c r="X763" s="199"/>
      <c r="Y763" s="199"/>
      <c r="Z763" s="199"/>
    </row>
    <row r="764">
      <c r="A764" s="199"/>
      <c r="B764" s="199"/>
      <c r="C764" s="199"/>
      <c r="D764" s="199"/>
      <c r="E764" s="202"/>
      <c r="F764" s="202"/>
      <c r="G764" s="199"/>
      <c r="H764" s="199"/>
      <c r="I764" s="199"/>
      <c r="J764" s="202"/>
      <c r="K764" s="202"/>
      <c r="L764" s="199"/>
      <c r="M764" s="199"/>
      <c r="N764" s="199"/>
      <c r="O764" s="199"/>
      <c r="P764" s="199"/>
      <c r="Q764" s="199"/>
      <c r="R764" s="199"/>
      <c r="S764" s="199"/>
      <c r="T764" s="199"/>
      <c r="U764" s="199"/>
      <c r="V764" s="199"/>
      <c r="W764" s="199"/>
      <c r="X764" s="199"/>
      <c r="Y764" s="199"/>
      <c r="Z764" s="199"/>
    </row>
    <row r="765">
      <c r="A765" s="199"/>
      <c r="B765" s="199"/>
      <c r="C765" s="199"/>
      <c r="D765" s="199"/>
      <c r="E765" s="202"/>
      <c r="F765" s="202"/>
      <c r="G765" s="199"/>
      <c r="H765" s="199"/>
      <c r="I765" s="199"/>
      <c r="J765" s="202"/>
      <c r="K765" s="202"/>
      <c r="L765" s="199"/>
      <c r="M765" s="199"/>
      <c r="N765" s="199"/>
      <c r="O765" s="199"/>
      <c r="P765" s="199"/>
      <c r="Q765" s="199"/>
      <c r="R765" s="199"/>
      <c r="S765" s="199"/>
      <c r="T765" s="199"/>
      <c r="U765" s="199"/>
      <c r="V765" s="199"/>
      <c r="W765" s="199"/>
      <c r="X765" s="199"/>
      <c r="Y765" s="199"/>
      <c r="Z765" s="199"/>
    </row>
    <row r="766">
      <c r="A766" s="199"/>
      <c r="B766" s="199"/>
      <c r="C766" s="199"/>
      <c r="D766" s="199"/>
      <c r="E766" s="202"/>
      <c r="F766" s="202"/>
      <c r="G766" s="199"/>
      <c r="H766" s="199"/>
      <c r="I766" s="199"/>
      <c r="J766" s="202"/>
      <c r="K766" s="202"/>
      <c r="L766" s="199"/>
      <c r="M766" s="199"/>
      <c r="N766" s="199"/>
      <c r="O766" s="199"/>
      <c r="P766" s="199"/>
      <c r="Q766" s="199"/>
      <c r="R766" s="199"/>
      <c r="S766" s="199"/>
      <c r="T766" s="199"/>
      <c r="U766" s="199"/>
      <c r="V766" s="199"/>
      <c r="W766" s="199"/>
      <c r="X766" s="199"/>
      <c r="Y766" s="199"/>
      <c r="Z766" s="199"/>
    </row>
    <row r="767">
      <c r="A767" s="199"/>
      <c r="B767" s="199"/>
      <c r="C767" s="199"/>
      <c r="D767" s="199"/>
      <c r="E767" s="202"/>
      <c r="F767" s="202"/>
      <c r="G767" s="199"/>
      <c r="H767" s="199"/>
      <c r="I767" s="199"/>
      <c r="J767" s="202"/>
      <c r="K767" s="202"/>
      <c r="L767" s="199"/>
      <c r="M767" s="199"/>
      <c r="N767" s="199"/>
      <c r="O767" s="199"/>
      <c r="P767" s="199"/>
      <c r="Q767" s="199"/>
      <c r="R767" s="199"/>
      <c r="S767" s="199"/>
      <c r="T767" s="199"/>
      <c r="U767" s="199"/>
      <c r="V767" s="199"/>
      <c r="W767" s="199"/>
      <c r="X767" s="199"/>
      <c r="Y767" s="199"/>
      <c r="Z767" s="199"/>
    </row>
    <row r="768">
      <c r="A768" s="199"/>
      <c r="B768" s="199"/>
      <c r="C768" s="199"/>
      <c r="D768" s="199"/>
      <c r="E768" s="202"/>
      <c r="F768" s="202"/>
      <c r="G768" s="199"/>
      <c r="H768" s="199"/>
      <c r="I768" s="199"/>
      <c r="J768" s="202"/>
      <c r="K768" s="202"/>
      <c r="L768" s="199"/>
      <c r="M768" s="199"/>
      <c r="N768" s="199"/>
      <c r="O768" s="199"/>
      <c r="P768" s="199"/>
      <c r="Q768" s="199"/>
      <c r="R768" s="199"/>
      <c r="S768" s="199"/>
      <c r="T768" s="199"/>
      <c r="U768" s="199"/>
      <c r="V768" s="199"/>
      <c r="W768" s="199"/>
      <c r="X768" s="199"/>
      <c r="Y768" s="199"/>
      <c r="Z768" s="199"/>
    </row>
    <row r="769">
      <c r="A769" s="199"/>
      <c r="B769" s="199"/>
      <c r="C769" s="199"/>
      <c r="D769" s="199"/>
      <c r="E769" s="202"/>
      <c r="F769" s="202"/>
      <c r="G769" s="199"/>
      <c r="H769" s="199"/>
      <c r="I769" s="199"/>
      <c r="J769" s="202"/>
      <c r="K769" s="202"/>
      <c r="L769" s="199"/>
      <c r="M769" s="199"/>
      <c r="N769" s="199"/>
      <c r="O769" s="199"/>
      <c r="P769" s="199"/>
      <c r="Q769" s="199"/>
      <c r="R769" s="199"/>
      <c r="S769" s="199"/>
      <c r="T769" s="199"/>
      <c r="U769" s="199"/>
      <c r="V769" s="199"/>
      <c r="W769" s="199"/>
      <c r="X769" s="199"/>
      <c r="Y769" s="199"/>
      <c r="Z769" s="199"/>
    </row>
    <row r="770">
      <c r="A770" s="199"/>
      <c r="B770" s="199"/>
      <c r="C770" s="199"/>
      <c r="D770" s="199"/>
      <c r="E770" s="202"/>
      <c r="F770" s="202"/>
      <c r="G770" s="199"/>
      <c r="H770" s="199"/>
      <c r="I770" s="199"/>
      <c r="J770" s="202"/>
      <c r="K770" s="202"/>
      <c r="L770" s="199"/>
      <c r="M770" s="199"/>
      <c r="N770" s="199"/>
      <c r="O770" s="199"/>
      <c r="P770" s="199"/>
      <c r="Q770" s="199"/>
      <c r="R770" s="199"/>
      <c r="S770" s="199"/>
      <c r="T770" s="199"/>
      <c r="U770" s="199"/>
      <c r="V770" s="199"/>
      <c r="W770" s="199"/>
      <c r="X770" s="199"/>
      <c r="Y770" s="199"/>
      <c r="Z770" s="199"/>
    </row>
    <row r="771">
      <c r="A771" s="199"/>
      <c r="B771" s="199"/>
      <c r="C771" s="199"/>
      <c r="D771" s="199"/>
      <c r="E771" s="202"/>
      <c r="F771" s="202"/>
      <c r="G771" s="199"/>
      <c r="H771" s="199"/>
      <c r="I771" s="199"/>
      <c r="J771" s="202"/>
      <c r="K771" s="202"/>
      <c r="L771" s="199"/>
      <c r="M771" s="199"/>
      <c r="N771" s="199"/>
      <c r="O771" s="199"/>
      <c r="P771" s="199"/>
      <c r="Q771" s="199"/>
      <c r="R771" s="199"/>
      <c r="S771" s="199"/>
      <c r="T771" s="199"/>
      <c r="U771" s="199"/>
      <c r="V771" s="199"/>
      <c r="W771" s="199"/>
      <c r="X771" s="199"/>
      <c r="Y771" s="199"/>
      <c r="Z771" s="199"/>
    </row>
    <row r="772">
      <c r="A772" s="199"/>
      <c r="B772" s="199"/>
      <c r="C772" s="199"/>
      <c r="D772" s="199"/>
      <c r="E772" s="202"/>
      <c r="F772" s="202"/>
      <c r="G772" s="199"/>
      <c r="H772" s="199"/>
      <c r="I772" s="199"/>
      <c r="J772" s="202"/>
      <c r="K772" s="202"/>
      <c r="L772" s="199"/>
      <c r="M772" s="199"/>
      <c r="N772" s="199"/>
      <c r="O772" s="199"/>
      <c r="P772" s="199"/>
      <c r="Q772" s="199"/>
      <c r="R772" s="199"/>
      <c r="S772" s="199"/>
      <c r="T772" s="199"/>
      <c r="U772" s="199"/>
      <c r="V772" s="199"/>
      <c r="W772" s="199"/>
      <c r="X772" s="199"/>
      <c r="Y772" s="199"/>
      <c r="Z772" s="199"/>
    </row>
    <row r="773">
      <c r="A773" s="199"/>
      <c r="B773" s="199"/>
      <c r="C773" s="199"/>
      <c r="D773" s="199"/>
      <c r="E773" s="202"/>
      <c r="F773" s="202"/>
      <c r="G773" s="199"/>
      <c r="H773" s="199"/>
      <c r="I773" s="199"/>
      <c r="J773" s="202"/>
      <c r="K773" s="202"/>
      <c r="L773" s="199"/>
      <c r="M773" s="199"/>
      <c r="N773" s="199"/>
      <c r="O773" s="199"/>
      <c r="P773" s="199"/>
      <c r="Q773" s="199"/>
      <c r="R773" s="199"/>
      <c r="S773" s="199"/>
      <c r="T773" s="199"/>
      <c r="U773" s="199"/>
      <c r="V773" s="199"/>
      <c r="W773" s="199"/>
      <c r="X773" s="199"/>
      <c r="Y773" s="199"/>
      <c r="Z773" s="199"/>
    </row>
    <row r="774">
      <c r="A774" s="199"/>
      <c r="B774" s="199"/>
      <c r="C774" s="199"/>
      <c r="D774" s="199"/>
      <c r="E774" s="202"/>
      <c r="F774" s="202"/>
      <c r="G774" s="199"/>
      <c r="H774" s="199"/>
      <c r="I774" s="199"/>
      <c r="J774" s="202"/>
      <c r="K774" s="202"/>
      <c r="L774" s="199"/>
      <c r="M774" s="199"/>
      <c r="N774" s="199"/>
      <c r="O774" s="199"/>
      <c r="P774" s="199"/>
      <c r="Q774" s="199"/>
      <c r="R774" s="199"/>
      <c r="S774" s="199"/>
      <c r="T774" s="199"/>
      <c r="U774" s="199"/>
      <c r="V774" s="199"/>
      <c r="W774" s="199"/>
      <c r="X774" s="199"/>
      <c r="Y774" s="199"/>
      <c r="Z774" s="199"/>
    </row>
    <row r="775">
      <c r="A775" s="199"/>
      <c r="B775" s="199"/>
      <c r="C775" s="199"/>
      <c r="D775" s="199"/>
      <c r="E775" s="202"/>
      <c r="F775" s="202"/>
      <c r="G775" s="199"/>
      <c r="H775" s="199"/>
      <c r="I775" s="199"/>
      <c r="J775" s="202"/>
      <c r="K775" s="202"/>
      <c r="L775" s="199"/>
      <c r="M775" s="199"/>
      <c r="N775" s="199"/>
      <c r="O775" s="199"/>
      <c r="P775" s="199"/>
      <c r="Q775" s="199"/>
      <c r="R775" s="199"/>
      <c r="S775" s="199"/>
      <c r="T775" s="199"/>
      <c r="U775" s="199"/>
      <c r="V775" s="199"/>
      <c r="W775" s="199"/>
      <c r="X775" s="199"/>
      <c r="Y775" s="199"/>
      <c r="Z775" s="199"/>
    </row>
    <row r="776">
      <c r="A776" s="199"/>
      <c r="B776" s="199"/>
      <c r="C776" s="199"/>
      <c r="D776" s="199"/>
      <c r="E776" s="202"/>
      <c r="F776" s="202"/>
      <c r="G776" s="199"/>
      <c r="H776" s="199"/>
      <c r="I776" s="199"/>
      <c r="J776" s="202"/>
      <c r="K776" s="202"/>
      <c r="L776" s="199"/>
      <c r="M776" s="199"/>
      <c r="N776" s="199"/>
      <c r="O776" s="199"/>
      <c r="P776" s="199"/>
      <c r="Q776" s="199"/>
      <c r="R776" s="199"/>
      <c r="S776" s="199"/>
      <c r="T776" s="199"/>
      <c r="U776" s="199"/>
      <c r="V776" s="199"/>
      <c r="W776" s="199"/>
      <c r="X776" s="199"/>
      <c r="Y776" s="199"/>
      <c r="Z776" s="199"/>
    </row>
    <row r="777">
      <c r="A777" s="199"/>
      <c r="B777" s="199"/>
      <c r="C777" s="199"/>
      <c r="D777" s="199"/>
      <c r="E777" s="202"/>
      <c r="F777" s="202"/>
      <c r="G777" s="199"/>
      <c r="H777" s="199"/>
      <c r="I777" s="199"/>
      <c r="J777" s="202"/>
      <c r="K777" s="202"/>
      <c r="L777" s="199"/>
      <c r="M777" s="199"/>
      <c r="N777" s="199"/>
      <c r="O777" s="199"/>
      <c r="P777" s="199"/>
      <c r="Q777" s="199"/>
      <c r="R777" s="199"/>
      <c r="S777" s="199"/>
      <c r="T777" s="199"/>
      <c r="U777" s="199"/>
      <c r="V777" s="199"/>
      <c r="W777" s="199"/>
      <c r="X777" s="199"/>
      <c r="Y777" s="199"/>
      <c r="Z777" s="199"/>
    </row>
    <row r="778">
      <c r="A778" s="199"/>
      <c r="B778" s="199"/>
      <c r="C778" s="199"/>
      <c r="D778" s="199"/>
      <c r="E778" s="202"/>
      <c r="F778" s="202"/>
      <c r="G778" s="199"/>
      <c r="H778" s="199"/>
      <c r="I778" s="199"/>
      <c r="J778" s="202"/>
      <c r="K778" s="202"/>
      <c r="L778" s="199"/>
      <c r="M778" s="199"/>
      <c r="N778" s="199"/>
      <c r="O778" s="199"/>
      <c r="P778" s="199"/>
      <c r="Q778" s="199"/>
      <c r="R778" s="199"/>
      <c r="S778" s="199"/>
      <c r="T778" s="199"/>
      <c r="U778" s="199"/>
      <c r="V778" s="199"/>
      <c r="W778" s="199"/>
      <c r="X778" s="199"/>
      <c r="Y778" s="199"/>
      <c r="Z778" s="199"/>
    </row>
    <row r="779">
      <c r="A779" s="199"/>
      <c r="B779" s="199"/>
      <c r="C779" s="199"/>
      <c r="D779" s="199"/>
      <c r="E779" s="202"/>
      <c r="F779" s="202"/>
      <c r="G779" s="199"/>
      <c r="H779" s="199"/>
      <c r="I779" s="199"/>
      <c r="J779" s="202"/>
      <c r="K779" s="202"/>
      <c r="L779" s="199"/>
      <c r="M779" s="199"/>
      <c r="N779" s="199"/>
      <c r="O779" s="199"/>
      <c r="P779" s="199"/>
      <c r="Q779" s="199"/>
      <c r="R779" s="199"/>
      <c r="S779" s="199"/>
      <c r="T779" s="199"/>
      <c r="U779" s="199"/>
      <c r="V779" s="199"/>
      <c r="W779" s="199"/>
      <c r="X779" s="199"/>
      <c r="Y779" s="199"/>
      <c r="Z779" s="199"/>
    </row>
    <row r="780">
      <c r="A780" s="199"/>
      <c r="B780" s="199"/>
      <c r="C780" s="199"/>
      <c r="D780" s="199"/>
      <c r="E780" s="202"/>
      <c r="F780" s="202"/>
      <c r="G780" s="199"/>
      <c r="H780" s="199"/>
      <c r="I780" s="199"/>
      <c r="J780" s="202"/>
      <c r="K780" s="202"/>
      <c r="L780" s="199"/>
      <c r="M780" s="199"/>
      <c r="N780" s="199"/>
      <c r="O780" s="199"/>
      <c r="P780" s="199"/>
      <c r="Q780" s="199"/>
      <c r="R780" s="199"/>
      <c r="S780" s="199"/>
      <c r="T780" s="199"/>
      <c r="U780" s="199"/>
      <c r="V780" s="199"/>
      <c r="W780" s="199"/>
      <c r="X780" s="199"/>
      <c r="Y780" s="199"/>
      <c r="Z780" s="199"/>
    </row>
    <row r="781">
      <c r="A781" s="199"/>
      <c r="B781" s="199"/>
      <c r="C781" s="199"/>
      <c r="D781" s="199"/>
      <c r="E781" s="202"/>
      <c r="F781" s="202"/>
      <c r="G781" s="199"/>
      <c r="H781" s="199"/>
      <c r="I781" s="199"/>
      <c r="J781" s="202"/>
      <c r="K781" s="202"/>
      <c r="L781" s="199"/>
      <c r="M781" s="199"/>
      <c r="N781" s="199"/>
      <c r="O781" s="199"/>
      <c r="P781" s="199"/>
      <c r="Q781" s="199"/>
      <c r="R781" s="199"/>
      <c r="S781" s="199"/>
      <c r="T781" s="199"/>
      <c r="U781" s="199"/>
      <c r="V781" s="199"/>
      <c r="W781" s="199"/>
      <c r="X781" s="199"/>
      <c r="Y781" s="199"/>
      <c r="Z781" s="199"/>
    </row>
    <row r="782">
      <c r="A782" s="199"/>
      <c r="B782" s="199"/>
      <c r="C782" s="199"/>
      <c r="D782" s="199"/>
      <c r="E782" s="202"/>
      <c r="F782" s="202"/>
      <c r="G782" s="199"/>
      <c r="H782" s="199"/>
      <c r="I782" s="199"/>
      <c r="J782" s="202"/>
      <c r="K782" s="202"/>
      <c r="L782" s="199"/>
      <c r="M782" s="199"/>
      <c r="N782" s="199"/>
      <c r="O782" s="199"/>
      <c r="P782" s="199"/>
      <c r="Q782" s="199"/>
      <c r="R782" s="199"/>
      <c r="S782" s="199"/>
      <c r="T782" s="199"/>
      <c r="U782" s="199"/>
      <c r="V782" s="199"/>
      <c r="W782" s="199"/>
      <c r="X782" s="199"/>
      <c r="Y782" s="199"/>
      <c r="Z782" s="199"/>
    </row>
    <row r="783">
      <c r="A783" s="199"/>
      <c r="B783" s="199"/>
      <c r="C783" s="199"/>
      <c r="D783" s="199"/>
      <c r="E783" s="202"/>
      <c r="F783" s="202"/>
      <c r="G783" s="199"/>
      <c r="H783" s="199"/>
      <c r="I783" s="199"/>
      <c r="J783" s="202"/>
      <c r="K783" s="202"/>
      <c r="L783" s="199"/>
      <c r="M783" s="199"/>
      <c r="N783" s="199"/>
      <c r="O783" s="199"/>
      <c r="P783" s="199"/>
      <c r="Q783" s="199"/>
      <c r="R783" s="199"/>
      <c r="S783" s="199"/>
      <c r="T783" s="199"/>
      <c r="U783" s="199"/>
      <c r="V783" s="199"/>
      <c r="W783" s="199"/>
      <c r="X783" s="199"/>
      <c r="Y783" s="199"/>
      <c r="Z783" s="199"/>
    </row>
    <row r="784">
      <c r="A784" s="199"/>
      <c r="B784" s="199"/>
      <c r="C784" s="199"/>
      <c r="D784" s="199"/>
      <c r="E784" s="202"/>
      <c r="F784" s="202"/>
      <c r="G784" s="199"/>
      <c r="H784" s="199"/>
      <c r="I784" s="199"/>
      <c r="J784" s="202"/>
      <c r="K784" s="202"/>
      <c r="L784" s="199"/>
      <c r="M784" s="199"/>
      <c r="N784" s="199"/>
      <c r="O784" s="199"/>
      <c r="P784" s="199"/>
      <c r="Q784" s="199"/>
      <c r="R784" s="199"/>
      <c r="S784" s="199"/>
      <c r="T784" s="199"/>
      <c r="U784" s="199"/>
      <c r="V784" s="199"/>
      <c r="W784" s="199"/>
      <c r="X784" s="199"/>
      <c r="Y784" s="199"/>
      <c r="Z784" s="199"/>
    </row>
    <row r="785">
      <c r="A785" s="199"/>
      <c r="B785" s="199"/>
      <c r="C785" s="199"/>
      <c r="D785" s="199"/>
      <c r="E785" s="202"/>
      <c r="F785" s="202"/>
      <c r="G785" s="199"/>
      <c r="H785" s="199"/>
      <c r="I785" s="199"/>
      <c r="J785" s="202"/>
      <c r="K785" s="202"/>
      <c r="L785" s="199"/>
      <c r="M785" s="199"/>
      <c r="N785" s="199"/>
      <c r="O785" s="199"/>
      <c r="P785" s="199"/>
      <c r="Q785" s="199"/>
      <c r="R785" s="199"/>
      <c r="S785" s="199"/>
      <c r="T785" s="199"/>
      <c r="U785" s="199"/>
      <c r="V785" s="199"/>
      <c r="W785" s="199"/>
      <c r="X785" s="199"/>
      <c r="Y785" s="199"/>
      <c r="Z785" s="199"/>
    </row>
    <row r="786">
      <c r="A786" s="199"/>
      <c r="B786" s="199"/>
      <c r="C786" s="199"/>
      <c r="D786" s="199"/>
      <c r="E786" s="202"/>
      <c r="F786" s="202"/>
      <c r="G786" s="199"/>
      <c r="H786" s="199"/>
      <c r="I786" s="199"/>
      <c r="J786" s="202"/>
      <c r="K786" s="202"/>
      <c r="L786" s="199"/>
      <c r="M786" s="199"/>
      <c r="N786" s="199"/>
      <c r="O786" s="199"/>
      <c r="P786" s="199"/>
      <c r="Q786" s="199"/>
      <c r="R786" s="199"/>
      <c r="S786" s="199"/>
      <c r="T786" s="199"/>
      <c r="U786" s="199"/>
      <c r="V786" s="199"/>
      <c r="W786" s="199"/>
      <c r="X786" s="199"/>
      <c r="Y786" s="199"/>
      <c r="Z786" s="199"/>
    </row>
    <row r="787">
      <c r="A787" s="199"/>
      <c r="B787" s="199"/>
      <c r="C787" s="199"/>
      <c r="D787" s="199"/>
      <c r="E787" s="202"/>
      <c r="F787" s="202"/>
      <c r="G787" s="199"/>
      <c r="H787" s="199"/>
      <c r="I787" s="199"/>
      <c r="J787" s="202"/>
      <c r="K787" s="202"/>
      <c r="L787" s="199"/>
      <c r="M787" s="199"/>
      <c r="N787" s="199"/>
      <c r="O787" s="199"/>
      <c r="P787" s="199"/>
      <c r="Q787" s="199"/>
      <c r="R787" s="199"/>
      <c r="S787" s="199"/>
      <c r="T787" s="199"/>
      <c r="U787" s="199"/>
      <c r="V787" s="199"/>
      <c r="W787" s="199"/>
      <c r="X787" s="199"/>
      <c r="Y787" s="199"/>
      <c r="Z787" s="199"/>
    </row>
    <row r="788">
      <c r="A788" s="199"/>
      <c r="B788" s="199"/>
      <c r="C788" s="199"/>
      <c r="D788" s="199"/>
      <c r="E788" s="202"/>
      <c r="F788" s="202"/>
      <c r="G788" s="199"/>
      <c r="H788" s="199"/>
      <c r="I788" s="199"/>
      <c r="J788" s="202"/>
      <c r="K788" s="202"/>
      <c r="L788" s="199"/>
      <c r="M788" s="199"/>
      <c r="N788" s="199"/>
      <c r="O788" s="199"/>
      <c r="P788" s="199"/>
      <c r="Q788" s="199"/>
      <c r="R788" s="199"/>
      <c r="S788" s="199"/>
      <c r="T788" s="199"/>
      <c r="U788" s="199"/>
      <c r="V788" s="199"/>
      <c r="W788" s="199"/>
      <c r="X788" s="199"/>
      <c r="Y788" s="199"/>
      <c r="Z788" s="199"/>
    </row>
    <row r="789">
      <c r="A789" s="199"/>
      <c r="B789" s="199"/>
      <c r="C789" s="199"/>
      <c r="D789" s="199"/>
      <c r="E789" s="202"/>
      <c r="F789" s="202"/>
      <c r="G789" s="199"/>
      <c r="H789" s="199"/>
      <c r="I789" s="199"/>
      <c r="J789" s="202"/>
      <c r="K789" s="202"/>
      <c r="L789" s="199"/>
      <c r="M789" s="199"/>
      <c r="N789" s="199"/>
      <c r="O789" s="199"/>
      <c r="P789" s="199"/>
      <c r="Q789" s="199"/>
      <c r="R789" s="199"/>
      <c r="S789" s="199"/>
      <c r="T789" s="199"/>
      <c r="U789" s="199"/>
      <c r="V789" s="199"/>
      <c r="W789" s="199"/>
      <c r="X789" s="199"/>
      <c r="Y789" s="199"/>
      <c r="Z789" s="199"/>
    </row>
    <row r="790">
      <c r="A790" s="199"/>
      <c r="B790" s="199"/>
      <c r="C790" s="199"/>
      <c r="D790" s="199"/>
      <c r="E790" s="202"/>
      <c r="F790" s="202"/>
      <c r="G790" s="199"/>
      <c r="H790" s="199"/>
      <c r="I790" s="199"/>
      <c r="J790" s="202"/>
      <c r="K790" s="202"/>
      <c r="L790" s="199"/>
      <c r="M790" s="199"/>
      <c r="N790" s="199"/>
      <c r="O790" s="199"/>
      <c r="P790" s="199"/>
      <c r="Q790" s="199"/>
      <c r="R790" s="199"/>
      <c r="S790" s="199"/>
      <c r="T790" s="199"/>
      <c r="U790" s="199"/>
      <c r="V790" s="199"/>
      <c r="W790" s="199"/>
      <c r="X790" s="199"/>
      <c r="Y790" s="199"/>
      <c r="Z790" s="199"/>
    </row>
    <row r="791">
      <c r="A791" s="199"/>
      <c r="B791" s="199"/>
      <c r="C791" s="199"/>
      <c r="D791" s="199"/>
      <c r="E791" s="202"/>
      <c r="F791" s="202"/>
      <c r="G791" s="199"/>
      <c r="H791" s="199"/>
      <c r="I791" s="199"/>
      <c r="J791" s="202"/>
      <c r="K791" s="202"/>
      <c r="L791" s="199"/>
      <c r="M791" s="199"/>
      <c r="N791" s="199"/>
      <c r="O791" s="199"/>
      <c r="P791" s="199"/>
      <c r="Q791" s="199"/>
      <c r="R791" s="199"/>
      <c r="S791" s="199"/>
      <c r="T791" s="199"/>
      <c r="U791" s="199"/>
      <c r="V791" s="199"/>
      <c r="W791" s="199"/>
      <c r="X791" s="199"/>
      <c r="Y791" s="199"/>
      <c r="Z791" s="199"/>
    </row>
    <row r="792">
      <c r="A792" s="199"/>
      <c r="B792" s="199"/>
      <c r="C792" s="199"/>
      <c r="D792" s="199"/>
      <c r="E792" s="202"/>
      <c r="F792" s="202"/>
      <c r="G792" s="199"/>
      <c r="H792" s="199"/>
      <c r="I792" s="199"/>
      <c r="J792" s="202"/>
      <c r="K792" s="202"/>
      <c r="L792" s="199"/>
      <c r="M792" s="199"/>
      <c r="N792" s="199"/>
      <c r="O792" s="199"/>
      <c r="P792" s="199"/>
      <c r="Q792" s="199"/>
      <c r="R792" s="199"/>
      <c r="S792" s="199"/>
      <c r="T792" s="199"/>
      <c r="U792" s="199"/>
      <c r="V792" s="199"/>
      <c r="W792" s="199"/>
      <c r="X792" s="199"/>
      <c r="Y792" s="199"/>
      <c r="Z792" s="199"/>
    </row>
    <row r="793">
      <c r="A793" s="199"/>
      <c r="B793" s="199"/>
      <c r="C793" s="199"/>
      <c r="D793" s="199"/>
      <c r="E793" s="202"/>
      <c r="F793" s="202"/>
      <c r="G793" s="199"/>
      <c r="H793" s="199"/>
      <c r="I793" s="199"/>
      <c r="J793" s="202"/>
      <c r="K793" s="202"/>
      <c r="L793" s="199"/>
      <c r="M793" s="199"/>
      <c r="N793" s="199"/>
      <c r="O793" s="199"/>
      <c r="P793" s="199"/>
      <c r="Q793" s="199"/>
      <c r="R793" s="199"/>
      <c r="S793" s="199"/>
      <c r="T793" s="199"/>
      <c r="U793" s="199"/>
      <c r="V793" s="199"/>
      <c r="W793" s="199"/>
      <c r="X793" s="199"/>
      <c r="Y793" s="199"/>
      <c r="Z793" s="199"/>
    </row>
    <row r="794">
      <c r="A794" s="199"/>
      <c r="B794" s="199"/>
      <c r="C794" s="199"/>
      <c r="D794" s="199"/>
      <c r="E794" s="202"/>
      <c r="F794" s="202"/>
      <c r="G794" s="199"/>
      <c r="H794" s="199"/>
      <c r="I794" s="199"/>
      <c r="J794" s="202"/>
      <c r="K794" s="202"/>
      <c r="L794" s="199"/>
      <c r="M794" s="199"/>
      <c r="N794" s="199"/>
      <c r="O794" s="199"/>
      <c r="P794" s="199"/>
      <c r="Q794" s="199"/>
      <c r="R794" s="199"/>
      <c r="S794" s="199"/>
      <c r="T794" s="199"/>
      <c r="U794" s="199"/>
      <c r="V794" s="199"/>
      <c r="W794" s="199"/>
      <c r="X794" s="199"/>
      <c r="Y794" s="199"/>
      <c r="Z794" s="199"/>
    </row>
    <row r="795">
      <c r="A795" s="199"/>
      <c r="B795" s="199"/>
      <c r="C795" s="199"/>
      <c r="D795" s="199"/>
      <c r="E795" s="202"/>
      <c r="F795" s="202"/>
      <c r="G795" s="199"/>
      <c r="H795" s="199"/>
      <c r="I795" s="199"/>
      <c r="J795" s="202"/>
      <c r="K795" s="202"/>
      <c r="L795" s="199"/>
      <c r="M795" s="199"/>
      <c r="N795" s="199"/>
      <c r="O795" s="199"/>
      <c r="P795" s="199"/>
      <c r="Q795" s="199"/>
      <c r="R795" s="199"/>
      <c r="S795" s="199"/>
      <c r="T795" s="199"/>
      <c r="U795" s="199"/>
      <c r="V795" s="199"/>
      <c r="W795" s="199"/>
      <c r="X795" s="199"/>
      <c r="Y795" s="199"/>
      <c r="Z795" s="199"/>
    </row>
    <row r="796">
      <c r="A796" s="199"/>
      <c r="B796" s="199"/>
      <c r="C796" s="199"/>
      <c r="D796" s="199"/>
      <c r="E796" s="202"/>
      <c r="F796" s="202"/>
      <c r="G796" s="199"/>
      <c r="H796" s="199"/>
      <c r="I796" s="199"/>
      <c r="J796" s="202"/>
      <c r="K796" s="202"/>
      <c r="L796" s="199"/>
      <c r="M796" s="199"/>
      <c r="N796" s="199"/>
      <c r="O796" s="199"/>
      <c r="P796" s="199"/>
      <c r="Q796" s="199"/>
      <c r="R796" s="199"/>
      <c r="S796" s="199"/>
      <c r="T796" s="199"/>
      <c r="U796" s="199"/>
      <c r="V796" s="199"/>
      <c r="W796" s="199"/>
      <c r="X796" s="199"/>
      <c r="Y796" s="199"/>
      <c r="Z796" s="199"/>
    </row>
    <row r="797">
      <c r="A797" s="199"/>
      <c r="B797" s="199"/>
      <c r="C797" s="199"/>
      <c r="D797" s="199"/>
      <c r="E797" s="202"/>
      <c r="F797" s="202"/>
      <c r="G797" s="199"/>
      <c r="H797" s="199"/>
      <c r="I797" s="199"/>
      <c r="J797" s="202"/>
      <c r="K797" s="202"/>
      <c r="L797" s="199"/>
      <c r="M797" s="199"/>
      <c r="N797" s="199"/>
      <c r="O797" s="199"/>
      <c r="P797" s="199"/>
      <c r="Q797" s="199"/>
      <c r="R797" s="199"/>
      <c r="S797" s="199"/>
      <c r="T797" s="199"/>
      <c r="U797" s="199"/>
      <c r="V797" s="199"/>
      <c r="W797" s="199"/>
      <c r="X797" s="199"/>
      <c r="Y797" s="199"/>
      <c r="Z797" s="199"/>
    </row>
    <row r="798">
      <c r="A798" s="199"/>
      <c r="B798" s="199"/>
      <c r="C798" s="199"/>
      <c r="D798" s="199"/>
      <c r="E798" s="202"/>
      <c r="F798" s="202"/>
      <c r="G798" s="199"/>
      <c r="H798" s="199"/>
      <c r="I798" s="199"/>
      <c r="J798" s="202"/>
      <c r="K798" s="202"/>
      <c r="L798" s="199"/>
      <c r="M798" s="199"/>
      <c r="N798" s="199"/>
      <c r="O798" s="199"/>
      <c r="P798" s="199"/>
      <c r="Q798" s="199"/>
      <c r="R798" s="199"/>
      <c r="S798" s="199"/>
      <c r="T798" s="199"/>
      <c r="U798" s="199"/>
      <c r="V798" s="199"/>
      <c r="W798" s="199"/>
      <c r="X798" s="199"/>
      <c r="Y798" s="199"/>
      <c r="Z798" s="199"/>
    </row>
    <row r="799">
      <c r="A799" s="199"/>
      <c r="B799" s="199"/>
      <c r="C799" s="199"/>
      <c r="D799" s="199"/>
      <c r="E799" s="202"/>
      <c r="F799" s="202"/>
      <c r="G799" s="199"/>
      <c r="H799" s="199"/>
      <c r="I799" s="199"/>
      <c r="J799" s="202"/>
      <c r="K799" s="202"/>
      <c r="L799" s="199"/>
      <c r="M799" s="199"/>
      <c r="N799" s="199"/>
      <c r="O799" s="199"/>
      <c r="P799" s="199"/>
      <c r="Q799" s="199"/>
      <c r="R799" s="199"/>
      <c r="S799" s="199"/>
      <c r="T799" s="199"/>
      <c r="U799" s="199"/>
      <c r="V799" s="199"/>
      <c r="W799" s="199"/>
      <c r="X799" s="199"/>
      <c r="Y799" s="199"/>
      <c r="Z799" s="199"/>
    </row>
    <row r="800">
      <c r="A800" s="199"/>
      <c r="B800" s="199"/>
      <c r="C800" s="199"/>
      <c r="D800" s="199"/>
      <c r="E800" s="202"/>
      <c r="F800" s="202"/>
      <c r="G800" s="199"/>
      <c r="H800" s="199"/>
      <c r="I800" s="199"/>
      <c r="J800" s="202"/>
      <c r="K800" s="202"/>
      <c r="L800" s="199"/>
      <c r="M800" s="199"/>
      <c r="N800" s="199"/>
      <c r="O800" s="199"/>
      <c r="P800" s="199"/>
      <c r="Q800" s="199"/>
      <c r="R800" s="199"/>
      <c r="S800" s="199"/>
      <c r="T800" s="199"/>
      <c r="U800" s="199"/>
      <c r="V800" s="199"/>
      <c r="W800" s="199"/>
      <c r="X800" s="199"/>
      <c r="Y800" s="199"/>
      <c r="Z800" s="199"/>
    </row>
    <row r="801">
      <c r="A801" s="199"/>
      <c r="B801" s="199"/>
      <c r="C801" s="199"/>
      <c r="D801" s="199"/>
      <c r="E801" s="202"/>
      <c r="F801" s="202"/>
      <c r="G801" s="199"/>
      <c r="H801" s="199"/>
      <c r="I801" s="199"/>
      <c r="J801" s="202"/>
      <c r="K801" s="202"/>
      <c r="L801" s="199"/>
      <c r="M801" s="199"/>
      <c r="N801" s="199"/>
      <c r="O801" s="199"/>
      <c r="P801" s="199"/>
      <c r="Q801" s="199"/>
      <c r="R801" s="199"/>
      <c r="S801" s="199"/>
      <c r="T801" s="199"/>
      <c r="U801" s="199"/>
      <c r="V801" s="199"/>
      <c r="W801" s="199"/>
      <c r="X801" s="199"/>
      <c r="Y801" s="199"/>
      <c r="Z801" s="199"/>
    </row>
    <row r="802">
      <c r="A802" s="199"/>
      <c r="B802" s="199"/>
      <c r="C802" s="199"/>
      <c r="D802" s="199"/>
      <c r="E802" s="202"/>
      <c r="F802" s="202"/>
      <c r="G802" s="199"/>
      <c r="H802" s="199"/>
      <c r="I802" s="199"/>
      <c r="J802" s="202"/>
      <c r="K802" s="202"/>
      <c r="L802" s="199"/>
      <c r="M802" s="199"/>
      <c r="N802" s="199"/>
      <c r="O802" s="199"/>
      <c r="P802" s="199"/>
      <c r="Q802" s="199"/>
      <c r="R802" s="199"/>
      <c r="S802" s="199"/>
      <c r="T802" s="199"/>
      <c r="U802" s="199"/>
      <c r="V802" s="199"/>
      <c r="W802" s="199"/>
      <c r="X802" s="199"/>
      <c r="Y802" s="199"/>
      <c r="Z802" s="199"/>
    </row>
    <row r="803">
      <c r="A803" s="199"/>
      <c r="B803" s="199"/>
      <c r="C803" s="199"/>
      <c r="D803" s="199"/>
      <c r="E803" s="202"/>
      <c r="F803" s="202"/>
      <c r="G803" s="199"/>
      <c r="H803" s="199"/>
      <c r="I803" s="199"/>
      <c r="J803" s="202"/>
      <c r="K803" s="202"/>
      <c r="L803" s="199"/>
      <c r="M803" s="199"/>
      <c r="N803" s="199"/>
      <c r="O803" s="199"/>
      <c r="P803" s="199"/>
      <c r="Q803" s="199"/>
      <c r="R803" s="199"/>
      <c r="S803" s="199"/>
      <c r="T803" s="199"/>
      <c r="U803" s="199"/>
      <c r="V803" s="199"/>
      <c r="W803" s="199"/>
      <c r="X803" s="199"/>
      <c r="Y803" s="199"/>
      <c r="Z803" s="199"/>
    </row>
    <row r="804">
      <c r="A804" s="199"/>
      <c r="B804" s="199"/>
      <c r="C804" s="199"/>
      <c r="D804" s="199"/>
      <c r="E804" s="202"/>
      <c r="F804" s="202"/>
      <c r="G804" s="199"/>
      <c r="H804" s="199"/>
      <c r="I804" s="199"/>
      <c r="J804" s="202"/>
      <c r="K804" s="202"/>
      <c r="L804" s="199"/>
      <c r="M804" s="199"/>
      <c r="N804" s="199"/>
      <c r="O804" s="199"/>
      <c r="P804" s="199"/>
      <c r="Q804" s="199"/>
      <c r="R804" s="199"/>
      <c r="S804" s="199"/>
      <c r="T804" s="199"/>
      <c r="U804" s="199"/>
      <c r="V804" s="199"/>
      <c r="W804" s="199"/>
      <c r="X804" s="199"/>
      <c r="Y804" s="199"/>
      <c r="Z804" s="199"/>
    </row>
    <row r="805">
      <c r="A805" s="199"/>
      <c r="B805" s="199"/>
      <c r="C805" s="199"/>
      <c r="D805" s="199"/>
      <c r="E805" s="202"/>
      <c r="F805" s="202"/>
      <c r="G805" s="199"/>
      <c r="H805" s="199"/>
      <c r="I805" s="199"/>
      <c r="J805" s="202"/>
      <c r="K805" s="202"/>
      <c r="L805" s="199"/>
      <c r="M805" s="199"/>
      <c r="N805" s="199"/>
      <c r="O805" s="199"/>
      <c r="P805" s="199"/>
      <c r="Q805" s="199"/>
      <c r="R805" s="199"/>
      <c r="S805" s="199"/>
      <c r="T805" s="199"/>
      <c r="U805" s="199"/>
      <c r="V805" s="199"/>
      <c r="W805" s="199"/>
      <c r="X805" s="199"/>
      <c r="Y805" s="199"/>
      <c r="Z805" s="199"/>
    </row>
    <row r="806">
      <c r="A806" s="199"/>
      <c r="B806" s="199"/>
      <c r="C806" s="199"/>
      <c r="D806" s="199"/>
      <c r="E806" s="202"/>
      <c r="F806" s="202"/>
      <c r="G806" s="199"/>
      <c r="H806" s="199"/>
      <c r="I806" s="199"/>
      <c r="J806" s="202"/>
      <c r="K806" s="202"/>
      <c r="L806" s="199"/>
      <c r="M806" s="199"/>
      <c r="N806" s="199"/>
      <c r="O806" s="199"/>
      <c r="P806" s="199"/>
      <c r="Q806" s="199"/>
      <c r="R806" s="199"/>
      <c r="S806" s="199"/>
      <c r="T806" s="199"/>
      <c r="U806" s="199"/>
      <c r="V806" s="199"/>
      <c r="W806" s="199"/>
      <c r="X806" s="199"/>
      <c r="Y806" s="199"/>
      <c r="Z806" s="199"/>
    </row>
    <row r="807">
      <c r="A807" s="199"/>
      <c r="B807" s="199"/>
      <c r="C807" s="199"/>
      <c r="D807" s="199"/>
      <c r="E807" s="202"/>
      <c r="F807" s="202"/>
      <c r="G807" s="199"/>
      <c r="H807" s="199"/>
      <c r="I807" s="199"/>
      <c r="J807" s="202"/>
      <c r="K807" s="202"/>
      <c r="L807" s="199"/>
      <c r="M807" s="199"/>
      <c r="N807" s="199"/>
      <c r="O807" s="199"/>
      <c r="P807" s="199"/>
      <c r="Q807" s="199"/>
      <c r="R807" s="199"/>
      <c r="S807" s="199"/>
      <c r="T807" s="199"/>
      <c r="U807" s="199"/>
      <c r="V807" s="199"/>
      <c r="W807" s="199"/>
      <c r="X807" s="199"/>
      <c r="Y807" s="199"/>
      <c r="Z807" s="199"/>
    </row>
    <row r="808">
      <c r="A808" s="199"/>
      <c r="B808" s="199"/>
      <c r="C808" s="199"/>
      <c r="D808" s="199"/>
      <c r="E808" s="202"/>
      <c r="F808" s="202"/>
      <c r="G808" s="199"/>
      <c r="H808" s="199"/>
      <c r="I808" s="199"/>
      <c r="J808" s="202"/>
      <c r="K808" s="202"/>
      <c r="L808" s="199"/>
      <c r="M808" s="199"/>
      <c r="N808" s="199"/>
      <c r="O808" s="199"/>
      <c r="P808" s="199"/>
      <c r="Q808" s="199"/>
      <c r="R808" s="199"/>
      <c r="S808" s="199"/>
      <c r="T808" s="199"/>
      <c r="U808" s="199"/>
      <c r="V808" s="199"/>
      <c r="W808" s="199"/>
      <c r="X808" s="199"/>
      <c r="Y808" s="199"/>
      <c r="Z808" s="199"/>
    </row>
    <row r="809">
      <c r="A809" s="199"/>
      <c r="B809" s="199"/>
      <c r="C809" s="199"/>
      <c r="D809" s="199"/>
      <c r="E809" s="202"/>
      <c r="F809" s="202"/>
      <c r="G809" s="199"/>
      <c r="H809" s="199"/>
      <c r="I809" s="199"/>
      <c r="J809" s="202"/>
      <c r="K809" s="202"/>
      <c r="L809" s="199"/>
      <c r="M809" s="199"/>
      <c r="N809" s="199"/>
      <c r="O809" s="199"/>
      <c r="P809" s="199"/>
      <c r="Q809" s="199"/>
      <c r="R809" s="199"/>
      <c r="S809" s="199"/>
      <c r="T809" s="199"/>
      <c r="U809" s="199"/>
      <c r="V809" s="199"/>
      <c r="W809" s="199"/>
      <c r="X809" s="199"/>
      <c r="Y809" s="199"/>
      <c r="Z809" s="199"/>
    </row>
    <row r="810">
      <c r="A810" s="199"/>
      <c r="B810" s="199"/>
      <c r="C810" s="199"/>
      <c r="D810" s="199"/>
      <c r="E810" s="202"/>
      <c r="F810" s="202"/>
      <c r="G810" s="199"/>
      <c r="H810" s="199"/>
      <c r="I810" s="199"/>
      <c r="J810" s="202"/>
      <c r="K810" s="202"/>
      <c r="L810" s="199"/>
      <c r="M810" s="199"/>
      <c r="N810" s="199"/>
      <c r="O810" s="199"/>
      <c r="P810" s="199"/>
      <c r="Q810" s="199"/>
      <c r="R810" s="199"/>
      <c r="S810" s="199"/>
      <c r="T810" s="199"/>
      <c r="U810" s="199"/>
      <c r="V810" s="199"/>
      <c r="W810" s="199"/>
      <c r="X810" s="199"/>
      <c r="Y810" s="199"/>
      <c r="Z810" s="199"/>
    </row>
    <row r="811">
      <c r="A811" s="199"/>
      <c r="B811" s="199"/>
      <c r="C811" s="199"/>
      <c r="D811" s="199"/>
      <c r="E811" s="202"/>
      <c r="F811" s="202"/>
      <c r="G811" s="199"/>
      <c r="H811" s="199"/>
      <c r="I811" s="199"/>
      <c r="J811" s="202"/>
      <c r="K811" s="202"/>
      <c r="L811" s="199"/>
      <c r="M811" s="199"/>
      <c r="N811" s="199"/>
      <c r="O811" s="199"/>
      <c r="P811" s="199"/>
      <c r="Q811" s="199"/>
      <c r="R811" s="199"/>
      <c r="S811" s="199"/>
      <c r="T811" s="199"/>
      <c r="U811" s="199"/>
      <c r="V811" s="199"/>
      <c r="W811" s="199"/>
      <c r="X811" s="199"/>
      <c r="Y811" s="199"/>
      <c r="Z811" s="199"/>
    </row>
    <row r="812">
      <c r="A812" s="199"/>
      <c r="B812" s="199"/>
      <c r="C812" s="199"/>
      <c r="D812" s="199"/>
      <c r="E812" s="202"/>
      <c r="F812" s="202"/>
      <c r="G812" s="199"/>
      <c r="H812" s="199"/>
      <c r="I812" s="199"/>
      <c r="J812" s="202"/>
      <c r="K812" s="202"/>
      <c r="L812" s="199"/>
      <c r="M812" s="199"/>
      <c r="N812" s="199"/>
      <c r="O812" s="199"/>
      <c r="P812" s="199"/>
      <c r="Q812" s="199"/>
      <c r="R812" s="199"/>
      <c r="S812" s="199"/>
      <c r="T812" s="199"/>
      <c r="U812" s="199"/>
      <c r="V812" s="199"/>
      <c r="W812" s="199"/>
      <c r="X812" s="199"/>
      <c r="Y812" s="199"/>
      <c r="Z812" s="199"/>
    </row>
    <row r="813">
      <c r="A813" s="199"/>
      <c r="B813" s="199"/>
      <c r="C813" s="199"/>
      <c r="D813" s="199"/>
      <c r="E813" s="202"/>
      <c r="F813" s="202"/>
      <c r="G813" s="199"/>
      <c r="H813" s="199"/>
      <c r="I813" s="199"/>
      <c r="J813" s="202"/>
      <c r="K813" s="202"/>
      <c r="L813" s="199"/>
      <c r="M813" s="199"/>
      <c r="N813" s="199"/>
      <c r="O813" s="199"/>
      <c r="P813" s="199"/>
      <c r="Q813" s="199"/>
      <c r="R813" s="199"/>
      <c r="S813" s="199"/>
      <c r="T813" s="199"/>
      <c r="U813" s="199"/>
      <c r="V813" s="199"/>
      <c r="W813" s="199"/>
      <c r="X813" s="199"/>
      <c r="Y813" s="199"/>
      <c r="Z813" s="199"/>
    </row>
    <row r="814">
      <c r="A814" s="199"/>
      <c r="B814" s="199"/>
      <c r="C814" s="199"/>
      <c r="D814" s="199"/>
      <c r="E814" s="202"/>
      <c r="F814" s="202"/>
      <c r="G814" s="199"/>
      <c r="H814" s="199"/>
      <c r="I814" s="199"/>
      <c r="J814" s="202"/>
      <c r="K814" s="202"/>
      <c r="L814" s="199"/>
      <c r="M814" s="199"/>
      <c r="N814" s="199"/>
      <c r="O814" s="199"/>
      <c r="P814" s="199"/>
      <c r="Q814" s="199"/>
      <c r="R814" s="199"/>
      <c r="S814" s="199"/>
      <c r="T814" s="199"/>
      <c r="U814" s="199"/>
      <c r="V814" s="199"/>
      <c r="W814" s="199"/>
      <c r="X814" s="199"/>
      <c r="Y814" s="199"/>
      <c r="Z814" s="199"/>
    </row>
    <row r="815">
      <c r="A815" s="199"/>
      <c r="B815" s="199"/>
      <c r="C815" s="199"/>
      <c r="D815" s="199"/>
      <c r="E815" s="202"/>
      <c r="F815" s="202"/>
      <c r="G815" s="199"/>
      <c r="H815" s="199"/>
      <c r="I815" s="199"/>
      <c r="J815" s="202"/>
      <c r="K815" s="202"/>
      <c r="L815" s="199"/>
      <c r="M815" s="199"/>
      <c r="N815" s="199"/>
      <c r="O815" s="199"/>
      <c r="P815" s="199"/>
      <c r="Q815" s="199"/>
      <c r="R815" s="199"/>
      <c r="S815" s="199"/>
      <c r="T815" s="199"/>
      <c r="U815" s="199"/>
      <c r="V815" s="199"/>
      <c r="W815" s="199"/>
      <c r="X815" s="199"/>
      <c r="Y815" s="199"/>
      <c r="Z815" s="199"/>
    </row>
    <row r="816">
      <c r="A816" s="199"/>
      <c r="B816" s="199"/>
      <c r="C816" s="199"/>
      <c r="D816" s="199"/>
      <c r="E816" s="202"/>
      <c r="F816" s="202"/>
      <c r="G816" s="199"/>
      <c r="H816" s="199"/>
      <c r="I816" s="199"/>
      <c r="J816" s="202"/>
      <c r="K816" s="202"/>
      <c r="L816" s="199"/>
      <c r="M816" s="199"/>
      <c r="N816" s="199"/>
      <c r="O816" s="199"/>
      <c r="P816" s="199"/>
      <c r="Q816" s="199"/>
      <c r="R816" s="199"/>
      <c r="S816" s="199"/>
      <c r="T816" s="199"/>
      <c r="U816" s="199"/>
      <c r="V816" s="199"/>
      <c r="W816" s="199"/>
      <c r="X816" s="199"/>
      <c r="Y816" s="199"/>
      <c r="Z816" s="199"/>
    </row>
    <row r="817">
      <c r="A817" s="199"/>
      <c r="B817" s="199"/>
      <c r="C817" s="199"/>
      <c r="D817" s="199"/>
      <c r="E817" s="202"/>
      <c r="F817" s="202"/>
      <c r="G817" s="199"/>
      <c r="H817" s="199"/>
      <c r="I817" s="199"/>
      <c r="J817" s="202"/>
      <c r="K817" s="202"/>
      <c r="L817" s="199"/>
      <c r="M817" s="199"/>
      <c r="N817" s="199"/>
      <c r="O817" s="199"/>
      <c r="P817" s="199"/>
      <c r="Q817" s="199"/>
      <c r="R817" s="199"/>
      <c r="S817" s="199"/>
      <c r="T817" s="199"/>
      <c r="U817" s="199"/>
      <c r="V817" s="199"/>
      <c r="W817" s="199"/>
      <c r="X817" s="199"/>
      <c r="Y817" s="199"/>
      <c r="Z817" s="199"/>
    </row>
    <row r="818">
      <c r="A818" s="199"/>
      <c r="B818" s="199"/>
      <c r="C818" s="199"/>
      <c r="D818" s="199"/>
      <c r="E818" s="202"/>
      <c r="F818" s="202"/>
      <c r="G818" s="199"/>
      <c r="H818" s="199"/>
      <c r="I818" s="199"/>
      <c r="J818" s="202"/>
      <c r="K818" s="202"/>
      <c r="L818" s="199"/>
      <c r="M818" s="199"/>
      <c r="N818" s="199"/>
      <c r="O818" s="199"/>
      <c r="P818" s="199"/>
      <c r="Q818" s="199"/>
      <c r="R818" s="199"/>
      <c r="S818" s="199"/>
      <c r="T818" s="199"/>
      <c r="U818" s="199"/>
      <c r="V818" s="199"/>
      <c r="W818" s="199"/>
      <c r="X818" s="199"/>
      <c r="Y818" s="199"/>
      <c r="Z818" s="199"/>
    </row>
    <row r="819">
      <c r="A819" s="199"/>
      <c r="B819" s="199"/>
      <c r="C819" s="199"/>
      <c r="D819" s="199"/>
      <c r="E819" s="202"/>
      <c r="F819" s="202"/>
      <c r="G819" s="199"/>
      <c r="H819" s="199"/>
      <c r="I819" s="199"/>
      <c r="J819" s="202"/>
      <c r="K819" s="202"/>
      <c r="L819" s="199"/>
      <c r="M819" s="199"/>
      <c r="N819" s="199"/>
      <c r="O819" s="199"/>
      <c r="P819" s="199"/>
      <c r="Q819" s="199"/>
      <c r="R819" s="199"/>
      <c r="S819" s="199"/>
      <c r="T819" s="199"/>
      <c r="U819" s="199"/>
      <c r="V819" s="199"/>
      <c r="W819" s="199"/>
      <c r="X819" s="199"/>
      <c r="Y819" s="199"/>
      <c r="Z819" s="199"/>
    </row>
    <row r="820">
      <c r="A820" s="199"/>
      <c r="B820" s="199"/>
      <c r="C820" s="199"/>
      <c r="D820" s="199"/>
      <c r="E820" s="202"/>
      <c r="F820" s="202"/>
      <c r="G820" s="199"/>
      <c r="H820" s="199"/>
      <c r="I820" s="199"/>
      <c r="J820" s="202"/>
      <c r="K820" s="202"/>
      <c r="L820" s="199"/>
      <c r="M820" s="199"/>
      <c r="N820" s="199"/>
      <c r="O820" s="199"/>
      <c r="P820" s="199"/>
      <c r="Q820" s="199"/>
      <c r="R820" s="199"/>
      <c r="S820" s="199"/>
      <c r="T820" s="199"/>
      <c r="U820" s="199"/>
      <c r="V820" s="199"/>
      <c r="W820" s="199"/>
      <c r="X820" s="199"/>
      <c r="Y820" s="199"/>
      <c r="Z820" s="199"/>
    </row>
    <row r="821">
      <c r="A821" s="199"/>
      <c r="B821" s="199"/>
      <c r="C821" s="199"/>
      <c r="D821" s="199"/>
      <c r="E821" s="202"/>
      <c r="F821" s="202"/>
      <c r="G821" s="199"/>
      <c r="H821" s="199"/>
      <c r="I821" s="199"/>
      <c r="J821" s="202"/>
      <c r="K821" s="202"/>
      <c r="L821" s="199"/>
      <c r="M821" s="199"/>
      <c r="N821" s="199"/>
      <c r="O821" s="199"/>
      <c r="P821" s="199"/>
      <c r="Q821" s="199"/>
      <c r="R821" s="199"/>
      <c r="S821" s="199"/>
      <c r="T821" s="199"/>
      <c r="U821" s="199"/>
      <c r="V821" s="199"/>
      <c r="W821" s="199"/>
      <c r="X821" s="199"/>
      <c r="Y821" s="199"/>
      <c r="Z821" s="199"/>
    </row>
    <row r="822">
      <c r="A822" s="199"/>
      <c r="B822" s="199"/>
      <c r="C822" s="199"/>
      <c r="D822" s="199"/>
      <c r="E822" s="202"/>
      <c r="F822" s="202"/>
      <c r="G822" s="199"/>
      <c r="H822" s="199"/>
      <c r="I822" s="199"/>
      <c r="J822" s="202"/>
      <c r="K822" s="202"/>
      <c r="L822" s="199"/>
      <c r="M822" s="199"/>
      <c r="N822" s="199"/>
      <c r="O822" s="199"/>
      <c r="P822" s="199"/>
      <c r="Q822" s="199"/>
      <c r="R822" s="199"/>
      <c r="S822" s="199"/>
      <c r="T822" s="199"/>
      <c r="U822" s="199"/>
      <c r="V822" s="199"/>
      <c r="W822" s="199"/>
      <c r="X822" s="199"/>
      <c r="Y822" s="199"/>
      <c r="Z822" s="199"/>
    </row>
    <row r="823">
      <c r="A823" s="199"/>
      <c r="B823" s="199"/>
      <c r="C823" s="199"/>
      <c r="D823" s="199"/>
      <c r="E823" s="202"/>
      <c r="F823" s="202"/>
      <c r="G823" s="199"/>
      <c r="H823" s="199"/>
      <c r="I823" s="199"/>
      <c r="J823" s="202"/>
      <c r="K823" s="202"/>
      <c r="L823" s="199"/>
      <c r="M823" s="199"/>
      <c r="N823" s="199"/>
      <c r="O823" s="199"/>
      <c r="P823" s="199"/>
      <c r="Q823" s="199"/>
      <c r="R823" s="199"/>
      <c r="S823" s="199"/>
      <c r="T823" s="199"/>
      <c r="U823" s="199"/>
      <c r="V823" s="199"/>
      <c r="W823" s="199"/>
      <c r="X823" s="199"/>
      <c r="Y823" s="199"/>
      <c r="Z823" s="199"/>
    </row>
    <row r="824">
      <c r="A824" s="199"/>
      <c r="B824" s="199"/>
      <c r="C824" s="199"/>
      <c r="D824" s="199"/>
      <c r="E824" s="202"/>
      <c r="F824" s="202"/>
      <c r="G824" s="199"/>
      <c r="H824" s="199"/>
      <c r="I824" s="199"/>
      <c r="J824" s="202"/>
      <c r="K824" s="202"/>
      <c r="L824" s="199"/>
      <c r="M824" s="199"/>
      <c r="N824" s="199"/>
      <c r="O824" s="199"/>
      <c r="P824" s="199"/>
      <c r="Q824" s="199"/>
      <c r="R824" s="199"/>
      <c r="S824" s="199"/>
      <c r="T824" s="199"/>
      <c r="U824" s="199"/>
      <c r="V824" s="199"/>
      <c r="W824" s="199"/>
      <c r="X824" s="199"/>
      <c r="Y824" s="199"/>
      <c r="Z824" s="199"/>
    </row>
    <row r="825">
      <c r="A825" s="199"/>
      <c r="B825" s="199"/>
      <c r="C825" s="199"/>
      <c r="D825" s="199"/>
      <c r="E825" s="202"/>
      <c r="F825" s="202"/>
      <c r="G825" s="199"/>
      <c r="H825" s="199"/>
      <c r="I825" s="199"/>
      <c r="J825" s="202"/>
      <c r="K825" s="202"/>
      <c r="L825" s="199"/>
      <c r="M825" s="199"/>
      <c r="N825" s="199"/>
      <c r="O825" s="199"/>
      <c r="P825" s="199"/>
      <c r="Q825" s="199"/>
      <c r="R825" s="199"/>
      <c r="S825" s="199"/>
      <c r="T825" s="199"/>
      <c r="U825" s="199"/>
      <c r="V825" s="199"/>
      <c r="W825" s="199"/>
      <c r="X825" s="199"/>
      <c r="Y825" s="199"/>
      <c r="Z825" s="199"/>
    </row>
    <row r="826">
      <c r="A826" s="199"/>
      <c r="B826" s="199"/>
      <c r="C826" s="199"/>
      <c r="D826" s="199"/>
      <c r="E826" s="202"/>
      <c r="F826" s="202"/>
      <c r="G826" s="199"/>
      <c r="H826" s="199"/>
      <c r="I826" s="199"/>
      <c r="J826" s="202"/>
      <c r="K826" s="202"/>
      <c r="L826" s="199"/>
      <c r="M826" s="199"/>
      <c r="N826" s="199"/>
      <c r="O826" s="199"/>
      <c r="P826" s="199"/>
      <c r="Q826" s="199"/>
      <c r="R826" s="199"/>
      <c r="S826" s="199"/>
      <c r="T826" s="199"/>
      <c r="U826" s="199"/>
      <c r="V826" s="199"/>
      <c r="W826" s="199"/>
      <c r="X826" s="199"/>
      <c r="Y826" s="199"/>
      <c r="Z826" s="199"/>
    </row>
    <row r="827">
      <c r="A827" s="199"/>
      <c r="B827" s="199"/>
      <c r="C827" s="199"/>
      <c r="D827" s="199"/>
      <c r="E827" s="202"/>
      <c r="F827" s="202"/>
      <c r="G827" s="199"/>
      <c r="H827" s="199"/>
      <c r="I827" s="199"/>
      <c r="J827" s="202"/>
      <c r="K827" s="202"/>
      <c r="L827" s="199"/>
      <c r="M827" s="199"/>
      <c r="N827" s="199"/>
      <c r="O827" s="199"/>
      <c r="P827" s="199"/>
      <c r="Q827" s="199"/>
      <c r="R827" s="199"/>
      <c r="S827" s="199"/>
      <c r="T827" s="199"/>
      <c r="U827" s="199"/>
      <c r="V827" s="199"/>
      <c r="W827" s="199"/>
      <c r="X827" s="199"/>
      <c r="Y827" s="199"/>
      <c r="Z827" s="199"/>
    </row>
    <row r="828">
      <c r="A828" s="199"/>
      <c r="B828" s="199"/>
      <c r="C828" s="199"/>
      <c r="D828" s="199"/>
      <c r="E828" s="202"/>
      <c r="F828" s="202"/>
      <c r="G828" s="199"/>
      <c r="H828" s="199"/>
      <c r="I828" s="199"/>
      <c r="J828" s="202"/>
      <c r="K828" s="202"/>
      <c r="L828" s="199"/>
      <c r="M828" s="199"/>
      <c r="N828" s="199"/>
      <c r="O828" s="199"/>
      <c r="P828" s="199"/>
      <c r="Q828" s="199"/>
      <c r="R828" s="199"/>
      <c r="S828" s="199"/>
      <c r="T828" s="199"/>
      <c r="U828" s="199"/>
      <c r="V828" s="199"/>
      <c r="W828" s="199"/>
      <c r="X828" s="199"/>
      <c r="Y828" s="199"/>
      <c r="Z828" s="199"/>
    </row>
    <row r="829">
      <c r="A829" s="199"/>
      <c r="B829" s="199"/>
      <c r="C829" s="199"/>
      <c r="D829" s="199"/>
      <c r="E829" s="202"/>
      <c r="F829" s="202"/>
      <c r="G829" s="199"/>
      <c r="H829" s="199"/>
      <c r="I829" s="199"/>
      <c r="J829" s="202"/>
      <c r="K829" s="202"/>
      <c r="L829" s="199"/>
      <c r="M829" s="199"/>
      <c r="N829" s="199"/>
      <c r="O829" s="199"/>
      <c r="P829" s="199"/>
      <c r="Q829" s="199"/>
      <c r="R829" s="199"/>
      <c r="S829" s="199"/>
      <c r="T829" s="199"/>
      <c r="U829" s="199"/>
      <c r="V829" s="199"/>
      <c r="W829" s="199"/>
      <c r="X829" s="199"/>
      <c r="Y829" s="199"/>
      <c r="Z829" s="199"/>
    </row>
    <row r="830">
      <c r="A830" s="199"/>
      <c r="B830" s="199"/>
      <c r="C830" s="199"/>
      <c r="D830" s="199"/>
      <c r="E830" s="202"/>
      <c r="F830" s="202"/>
      <c r="G830" s="199"/>
      <c r="H830" s="199"/>
      <c r="I830" s="199"/>
      <c r="J830" s="202"/>
      <c r="K830" s="202"/>
      <c r="L830" s="199"/>
      <c r="M830" s="199"/>
      <c r="N830" s="199"/>
      <c r="O830" s="199"/>
      <c r="P830" s="199"/>
      <c r="Q830" s="199"/>
      <c r="R830" s="199"/>
      <c r="S830" s="199"/>
      <c r="T830" s="199"/>
      <c r="U830" s="199"/>
      <c r="V830" s="199"/>
      <c r="W830" s="199"/>
      <c r="X830" s="199"/>
      <c r="Y830" s="199"/>
      <c r="Z830" s="199"/>
    </row>
    <row r="831">
      <c r="A831" s="199"/>
      <c r="B831" s="199"/>
      <c r="C831" s="199"/>
      <c r="D831" s="199"/>
      <c r="E831" s="202"/>
      <c r="F831" s="202"/>
      <c r="G831" s="199"/>
      <c r="H831" s="199"/>
      <c r="I831" s="199"/>
      <c r="J831" s="202"/>
      <c r="K831" s="202"/>
      <c r="L831" s="199"/>
      <c r="M831" s="199"/>
      <c r="N831" s="199"/>
      <c r="O831" s="199"/>
      <c r="P831" s="199"/>
      <c r="Q831" s="199"/>
      <c r="R831" s="199"/>
      <c r="S831" s="199"/>
      <c r="T831" s="199"/>
      <c r="U831" s="199"/>
      <c r="V831" s="199"/>
      <c r="W831" s="199"/>
      <c r="X831" s="199"/>
      <c r="Y831" s="199"/>
      <c r="Z831" s="199"/>
    </row>
    <row r="832">
      <c r="A832" s="199"/>
      <c r="B832" s="199"/>
      <c r="C832" s="199"/>
      <c r="D832" s="199"/>
      <c r="E832" s="202"/>
      <c r="F832" s="202"/>
      <c r="G832" s="199"/>
      <c r="H832" s="199"/>
      <c r="I832" s="199"/>
      <c r="J832" s="202"/>
      <c r="K832" s="202"/>
      <c r="L832" s="199"/>
      <c r="M832" s="199"/>
      <c r="N832" s="199"/>
      <c r="O832" s="199"/>
      <c r="P832" s="199"/>
      <c r="Q832" s="199"/>
      <c r="R832" s="199"/>
      <c r="S832" s="199"/>
      <c r="T832" s="199"/>
      <c r="U832" s="199"/>
      <c r="V832" s="199"/>
      <c r="W832" s="199"/>
      <c r="X832" s="199"/>
      <c r="Y832" s="199"/>
      <c r="Z832" s="199"/>
    </row>
    <row r="833">
      <c r="A833" s="199"/>
      <c r="B833" s="199"/>
      <c r="C833" s="199"/>
      <c r="D833" s="199"/>
      <c r="E833" s="202"/>
      <c r="F833" s="202"/>
      <c r="G833" s="199"/>
      <c r="H833" s="199"/>
      <c r="I833" s="199"/>
      <c r="J833" s="202"/>
      <c r="K833" s="202"/>
      <c r="L833" s="199"/>
      <c r="M833" s="199"/>
      <c r="N833" s="199"/>
      <c r="O833" s="199"/>
      <c r="P833" s="199"/>
      <c r="Q833" s="199"/>
      <c r="R833" s="199"/>
      <c r="S833" s="199"/>
      <c r="T833" s="199"/>
      <c r="U833" s="199"/>
      <c r="V833" s="199"/>
      <c r="W833" s="199"/>
      <c r="X833" s="199"/>
      <c r="Y833" s="199"/>
      <c r="Z833" s="199"/>
    </row>
    <row r="834">
      <c r="A834" s="199"/>
      <c r="B834" s="199"/>
      <c r="C834" s="199"/>
      <c r="D834" s="199"/>
      <c r="E834" s="202"/>
      <c r="F834" s="202"/>
      <c r="G834" s="199"/>
      <c r="H834" s="199"/>
      <c r="I834" s="199"/>
      <c r="J834" s="202"/>
      <c r="K834" s="202"/>
      <c r="L834" s="199"/>
      <c r="M834" s="199"/>
      <c r="N834" s="199"/>
      <c r="O834" s="199"/>
      <c r="P834" s="199"/>
      <c r="Q834" s="199"/>
      <c r="R834" s="199"/>
      <c r="S834" s="199"/>
      <c r="T834" s="199"/>
      <c r="U834" s="199"/>
      <c r="V834" s="199"/>
      <c r="W834" s="199"/>
      <c r="X834" s="199"/>
      <c r="Y834" s="199"/>
      <c r="Z834" s="199"/>
    </row>
    <row r="835">
      <c r="A835" s="199"/>
      <c r="B835" s="199"/>
      <c r="C835" s="199"/>
      <c r="D835" s="199"/>
      <c r="E835" s="202"/>
      <c r="F835" s="202"/>
      <c r="G835" s="199"/>
      <c r="H835" s="199"/>
      <c r="I835" s="199"/>
      <c r="J835" s="202"/>
      <c r="K835" s="202"/>
      <c r="L835" s="199"/>
      <c r="M835" s="199"/>
      <c r="N835" s="199"/>
      <c r="O835" s="199"/>
      <c r="P835" s="199"/>
      <c r="Q835" s="199"/>
      <c r="R835" s="199"/>
      <c r="S835" s="199"/>
      <c r="T835" s="199"/>
      <c r="U835" s="199"/>
      <c r="V835" s="199"/>
      <c r="W835" s="199"/>
      <c r="X835" s="199"/>
      <c r="Y835" s="199"/>
      <c r="Z835" s="199"/>
    </row>
    <row r="836">
      <c r="A836" s="199"/>
      <c r="B836" s="199"/>
      <c r="C836" s="199"/>
      <c r="D836" s="199"/>
      <c r="E836" s="202"/>
      <c r="F836" s="202"/>
      <c r="G836" s="199"/>
      <c r="H836" s="199"/>
      <c r="I836" s="199"/>
      <c r="J836" s="202"/>
      <c r="K836" s="202"/>
      <c r="L836" s="199"/>
      <c r="M836" s="199"/>
      <c r="N836" s="199"/>
      <c r="O836" s="199"/>
      <c r="P836" s="199"/>
      <c r="Q836" s="199"/>
      <c r="R836" s="199"/>
      <c r="S836" s="199"/>
      <c r="T836" s="199"/>
      <c r="U836" s="199"/>
      <c r="V836" s="199"/>
      <c r="W836" s="199"/>
      <c r="X836" s="199"/>
      <c r="Y836" s="199"/>
      <c r="Z836" s="199"/>
    </row>
    <row r="837">
      <c r="A837" s="199"/>
      <c r="B837" s="199"/>
      <c r="C837" s="199"/>
      <c r="D837" s="199"/>
      <c r="E837" s="202"/>
      <c r="F837" s="202"/>
      <c r="G837" s="199"/>
      <c r="H837" s="199"/>
      <c r="I837" s="199"/>
      <c r="J837" s="202"/>
      <c r="K837" s="202"/>
      <c r="L837" s="199"/>
      <c r="M837" s="199"/>
      <c r="N837" s="199"/>
      <c r="O837" s="199"/>
      <c r="P837" s="199"/>
      <c r="Q837" s="199"/>
      <c r="R837" s="199"/>
      <c r="S837" s="199"/>
      <c r="T837" s="199"/>
      <c r="U837" s="199"/>
      <c r="V837" s="199"/>
      <c r="W837" s="199"/>
      <c r="X837" s="199"/>
      <c r="Y837" s="199"/>
      <c r="Z837" s="199"/>
    </row>
    <row r="838">
      <c r="A838" s="199"/>
      <c r="B838" s="199"/>
      <c r="C838" s="199"/>
      <c r="D838" s="199"/>
      <c r="E838" s="202"/>
      <c r="F838" s="202"/>
      <c r="G838" s="199"/>
      <c r="H838" s="199"/>
      <c r="I838" s="199"/>
      <c r="J838" s="202"/>
      <c r="K838" s="202"/>
      <c r="L838" s="199"/>
      <c r="M838" s="199"/>
      <c r="N838" s="199"/>
      <c r="O838" s="199"/>
      <c r="P838" s="199"/>
      <c r="Q838" s="199"/>
      <c r="R838" s="199"/>
      <c r="S838" s="199"/>
      <c r="T838" s="199"/>
      <c r="U838" s="199"/>
      <c r="V838" s="199"/>
      <c r="W838" s="199"/>
      <c r="X838" s="199"/>
      <c r="Y838" s="199"/>
      <c r="Z838" s="199"/>
    </row>
    <row r="839">
      <c r="A839" s="199"/>
      <c r="B839" s="199"/>
      <c r="C839" s="199"/>
      <c r="D839" s="199"/>
      <c r="E839" s="202"/>
      <c r="F839" s="202"/>
      <c r="G839" s="199"/>
      <c r="H839" s="199"/>
      <c r="I839" s="199"/>
      <c r="J839" s="202"/>
      <c r="K839" s="202"/>
      <c r="L839" s="199"/>
      <c r="M839" s="199"/>
      <c r="N839" s="199"/>
      <c r="O839" s="199"/>
      <c r="P839" s="199"/>
      <c r="Q839" s="199"/>
      <c r="R839" s="199"/>
      <c r="S839" s="199"/>
      <c r="T839" s="199"/>
      <c r="U839" s="199"/>
      <c r="V839" s="199"/>
      <c r="W839" s="199"/>
      <c r="X839" s="199"/>
      <c r="Y839" s="199"/>
      <c r="Z839" s="199"/>
    </row>
    <row r="840">
      <c r="A840" s="199"/>
      <c r="B840" s="199"/>
      <c r="C840" s="199"/>
      <c r="D840" s="199"/>
      <c r="E840" s="202"/>
      <c r="F840" s="202"/>
      <c r="G840" s="199"/>
      <c r="H840" s="199"/>
      <c r="I840" s="199"/>
      <c r="J840" s="202"/>
      <c r="K840" s="202"/>
      <c r="L840" s="199"/>
      <c r="M840" s="199"/>
      <c r="N840" s="199"/>
      <c r="O840" s="199"/>
      <c r="P840" s="199"/>
      <c r="Q840" s="199"/>
      <c r="R840" s="199"/>
      <c r="S840" s="199"/>
      <c r="T840" s="199"/>
      <c r="U840" s="199"/>
      <c r="V840" s="199"/>
      <c r="W840" s="199"/>
      <c r="X840" s="199"/>
      <c r="Y840" s="199"/>
      <c r="Z840" s="199"/>
    </row>
    <row r="841">
      <c r="A841" s="199"/>
      <c r="B841" s="199"/>
      <c r="C841" s="199"/>
      <c r="D841" s="199"/>
      <c r="E841" s="202"/>
      <c r="F841" s="202"/>
      <c r="G841" s="199"/>
      <c r="H841" s="199"/>
      <c r="I841" s="199"/>
      <c r="J841" s="202"/>
      <c r="K841" s="202"/>
      <c r="L841" s="199"/>
      <c r="M841" s="199"/>
      <c r="N841" s="199"/>
      <c r="O841" s="199"/>
      <c r="P841" s="199"/>
      <c r="Q841" s="199"/>
      <c r="R841" s="199"/>
      <c r="S841" s="199"/>
      <c r="T841" s="199"/>
      <c r="U841" s="199"/>
      <c r="V841" s="199"/>
      <c r="W841" s="199"/>
      <c r="X841" s="199"/>
      <c r="Y841" s="199"/>
      <c r="Z841" s="199"/>
    </row>
    <row r="842">
      <c r="A842" s="199"/>
      <c r="B842" s="199"/>
      <c r="C842" s="199"/>
      <c r="D842" s="199"/>
      <c r="E842" s="202"/>
      <c r="F842" s="202"/>
      <c r="G842" s="199"/>
      <c r="H842" s="199"/>
      <c r="I842" s="199"/>
      <c r="J842" s="202"/>
      <c r="K842" s="202"/>
      <c r="L842" s="199"/>
      <c r="M842" s="199"/>
      <c r="N842" s="199"/>
      <c r="O842" s="199"/>
      <c r="P842" s="199"/>
      <c r="Q842" s="199"/>
      <c r="R842" s="199"/>
      <c r="S842" s="199"/>
      <c r="T842" s="199"/>
      <c r="U842" s="199"/>
      <c r="V842" s="199"/>
      <c r="W842" s="199"/>
      <c r="X842" s="199"/>
      <c r="Y842" s="199"/>
      <c r="Z842" s="199"/>
    </row>
    <row r="843">
      <c r="A843" s="199"/>
      <c r="B843" s="199"/>
      <c r="C843" s="199"/>
      <c r="D843" s="199"/>
      <c r="E843" s="202"/>
      <c r="F843" s="202"/>
      <c r="G843" s="199"/>
      <c r="H843" s="199"/>
      <c r="I843" s="199"/>
      <c r="J843" s="202"/>
      <c r="K843" s="202"/>
      <c r="L843" s="199"/>
      <c r="M843" s="199"/>
      <c r="N843" s="199"/>
      <c r="O843" s="199"/>
      <c r="P843" s="199"/>
      <c r="Q843" s="199"/>
      <c r="R843" s="199"/>
      <c r="S843" s="199"/>
      <c r="T843" s="199"/>
      <c r="U843" s="199"/>
      <c r="V843" s="199"/>
      <c r="W843" s="199"/>
      <c r="X843" s="199"/>
      <c r="Y843" s="199"/>
      <c r="Z843" s="199"/>
    </row>
    <row r="844">
      <c r="A844" s="199"/>
      <c r="B844" s="199"/>
      <c r="C844" s="199"/>
      <c r="D844" s="199"/>
      <c r="E844" s="202"/>
      <c r="F844" s="202"/>
      <c r="G844" s="199"/>
      <c r="H844" s="199"/>
      <c r="I844" s="199"/>
      <c r="J844" s="202"/>
      <c r="K844" s="202"/>
      <c r="L844" s="199"/>
      <c r="M844" s="199"/>
      <c r="N844" s="199"/>
      <c r="O844" s="199"/>
      <c r="P844" s="199"/>
      <c r="Q844" s="199"/>
      <c r="R844" s="199"/>
      <c r="S844" s="199"/>
      <c r="T844" s="199"/>
      <c r="U844" s="199"/>
      <c r="V844" s="199"/>
      <c r="W844" s="199"/>
      <c r="X844" s="199"/>
      <c r="Y844" s="199"/>
      <c r="Z844" s="199"/>
    </row>
    <row r="845">
      <c r="A845" s="199"/>
      <c r="B845" s="199"/>
      <c r="C845" s="199"/>
      <c r="D845" s="199"/>
      <c r="E845" s="202"/>
      <c r="F845" s="202"/>
      <c r="G845" s="199"/>
      <c r="H845" s="199"/>
      <c r="I845" s="199"/>
      <c r="J845" s="202"/>
      <c r="K845" s="202"/>
      <c r="L845" s="199"/>
      <c r="M845" s="199"/>
      <c r="N845" s="199"/>
      <c r="O845" s="199"/>
      <c r="P845" s="199"/>
      <c r="Q845" s="199"/>
      <c r="R845" s="199"/>
      <c r="S845" s="199"/>
      <c r="T845" s="199"/>
      <c r="U845" s="199"/>
      <c r="V845" s="199"/>
      <c r="W845" s="199"/>
      <c r="X845" s="199"/>
      <c r="Y845" s="199"/>
      <c r="Z845" s="199"/>
    </row>
    <row r="846">
      <c r="A846" s="199"/>
      <c r="B846" s="199"/>
      <c r="C846" s="199"/>
      <c r="D846" s="199"/>
      <c r="E846" s="202"/>
      <c r="F846" s="202"/>
      <c r="G846" s="199"/>
      <c r="H846" s="199"/>
      <c r="I846" s="199"/>
      <c r="J846" s="202"/>
      <c r="K846" s="202"/>
      <c r="L846" s="199"/>
      <c r="M846" s="199"/>
      <c r="N846" s="199"/>
      <c r="O846" s="199"/>
      <c r="P846" s="199"/>
      <c r="Q846" s="199"/>
      <c r="R846" s="199"/>
      <c r="S846" s="199"/>
      <c r="T846" s="199"/>
      <c r="U846" s="199"/>
      <c r="V846" s="199"/>
      <c r="W846" s="199"/>
      <c r="X846" s="199"/>
      <c r="Y846" s="199"/>
      <c r="Z846" s="199"/>
    </row>
    <row r="847">
      <c r="A847" s="199"/>
      <c r="B847" s="199"/>
      <c r="C847" s="199"/>
      <c r="D847" s="199"/>
      <c r="E847" s="202"/>
      <c r="F847" s="202"/>
      <c r="G847" s="199"/>
      <c r="H847" s="199"/>
      <c r="I847" s="199"/>
      <c r="J847" s="202"/>
      <c r="K847" s="202"/>
      <c r="L847" s="199"/>
      <c r="M847" s="199"/>
      <c r="N847" s="199"/>
      <c r="O847" s="199"/>
      <c r="P847" s="199"/>
      <c r="Q847" s="199"/>
      <c r="R847" s="199"/>
      <c r="S847" s="199"/>
      <c r="T847" s="199"/>
      <c r="U847" s="199"/>
      <c r="V847" s="199"/>
      <c r="W847" s="199"/>
      <c r="X847" s="199"/>
      <c r="Y847" s="199"/>
      <c r="Z847" s="199"/>
    </row>
    <row r="848">
      <c r="A848" s="199"/>
      <c r="B848" s="199"/>
      <c r="C848" s="199"/>
      <c r="D848" s="199"/>
      <c r="E848" s="202"/>
      <c r="F848" s="202"/>
      <c r="G848" s="199"/>
      <c r="H848" s="199"/>
      <c r="I848" s="199"/>
      <c r="J848" s="202"/>
      <c r="K848" s="202"/>
      <c r="L848" s="199"/>
      <c r="M848" s="199"/>
      <c r="N848" s="199"/>
      <c r="O848" s="199"/>
      <c r="P848" s="199"/>
      <c r="Q848" s="199"/>
      <c r="R848" s="199"/>
      <c r="S848" s="199"/>
      <c r="T848" s="199"/>
      <c r="U848" s="199"/>
      <c r="V848" s="199"/>
      <c r="W848" s="199"/>
      <c r="X848" s="199"/>
      <c r="Y848" s="199"/>
      <c r="Z848" s="199"/>
    </row>
    <row r="849">
      <c r="A849" s="199"/>
      <c r="B849" s="199"/>
      <c r="C849" s="199"/>
      <c r="D849" s="199"/>
      <c r="E849" s="202"/>
      <c r="F849" s="202"/>
      <c r="G849" s="199"/>
      <c r="H849" s="199"/>
      <c r="I849" s="199"/>
      <c r="J849" s="202"/>
      <c r="K849" s="202"/>
      <c r="L849" s="199"/>
      <c r="M849" s="199"/>
      <c r="N849" s="199"/>
      <c r="O849" s="199"/>
      <c r="P849" s="199"/>
      <c r="Q849" s="199"/>
      <c r="R849" s="199"/>
      <c r="S849" s="199"/>
      <c r="T849" s="199"/>
      <c r="U849" s="199"/>
      <c r="V849" s="199"/>
      <c r="W849" s="199"/>
      <c r="X849" s="199"/>
      <c r="Y849" s="199"/>
      <c r="Z849" s="199"/>
    </row>
    <row r="850">
      <c r="A850" s="199"/>
      <c r="B850" s="199"/>
      <c r="C850" s="199"/>
      <c r="D850" s="199"/>
      <c r="E850" s="202"/>
      <c r="F850" s="202"/>
      <c r="G850" s="199"/>
      <c r="H850" s="199"/>
      <c r="I850" s="199"/>
      <c r="J850" s="202"/>
      <c r="K850" s="202"/>
      <c r="L850" s="199"/>
      <c r="M850" s="199"/>
      <c r="N850" s="199"/>
      <c r="O850" s="199"/>
      <c r="P850" s="199"/>
      <c r="Q850" s="199"/>
      <c r="R850" s="199"/>
      <c r="S850" s="199"/>
      <c r="T850" s="199"/>
      <c r="U850" s="199"/>
      <c r="V850" s="199"/>
      <c r="W850" s="199"/>
      <c r="X850" s="199"/>
      <c r="Y850" s="199"/>
      <c r="Z850" s="199"/>
    </row>
    <row r="851">
      <c r="A851" s="199"/>
      <c r="B851" s="199"/>
      <c r="C851" s="199"/>
      <c r="D851" s="199"/>
      <c r="E851" s="202"/>
      <c r="F851" s="202"/>
      <c r="G851" s="199"/>
      <c r="H851" s="199"/>
      <c r="I851" s="199"/>
      <c r="J851" s="202"/>
      <c r="K851" s="202"/>
      <c r="L851" s="199"/>
      <c r="M851" s="199"/>
      <c r="N851" s="199"/>
      <c r="O851" s="199"/>
      <c r="P851" s="199"/>
      <c r="Q851" s="199"/>
      <c r="R851" s="199"/>
      <c r="S851" s="199"/>
      <c r="T851" s="199"/>
      <c r="U851" s="199"/>
      <c r="V851" s="199"/>
      <c r="W851" s="199"/>
      <c r="X851" s="199"/>
      <c r="Y851" s="199"/>
      <c r="Z851" s="199"/>
    </row>
    <row r="852">
      <c r="A852" s="199"/>
      <c r="B852" s="199"/>
      <c r="C852" s="199"/>
      <c r="D852" s="199"/>
      <c r="E852" s="202"/>
      <c r="F852" s="202"/>
      <c r="G852" s="199"/>
      <c r="H852" s="199"/>
      <c r="I852" s="199"/>
      <c r="J852" s="202"/>
      <c r="K852" s="202"/>
      <c r="L852" s="199"/>
      <c r="M852" s="199"/>
      <c r="N852" s="199"/>
      <c r="O852" s="199"/>
      <c r="P852" s="199"/>
      <c r="Q852" s="199"/>
      <c r="R852" s="199"/>
      <c r="S852" s="199"/>
      <c r="T852" s="199"/>
      <c r="U852" s="199"/>
      <c r="V852" s="199"/>
      <c r="W852" s="199"/>
      <c r="X852" s="199"/>
      <c r="Y852" s="199"/>
      <c r="Z852" s="199"/>
    </row>
    <row r="853">
      <c r="A853" s="199"/>
      <c r="B853" s="199"/>
      <c r="C853" s="199"/>
      <c r="D853" s="199"/>
      <c r="E853" s="202"/>
      <c r="F853" s="202"/>
      <c r="G853" s="199"/>
      <c r="H853" s="199"/>
      <c r="I853" s="199"/>
      <c r="J853" s="202"/>
      <c r="K853" s="202"/>
      <c r="L853" s="199"/>
      <c r="M853" s="199"/>
      <c r="N853" s="199"/>
      <c r="O853" s="199"/>
      <c r="P853" s="199"/>
      <c r="Q853" s="199"/>
      <c r="R853" s="199"/>
      <c r="S853" s="199"/>
      <c r="T853" s="199"/>
      <c r="U853" s="199"/>
      <c r="V853" s="199"/>
      <c r="W853" s="199"/>
      <c r="X853" s="199"/>
      <c r="Y853" s="199"/>
      <c r="Z853" s="199"/>
    </row>
    <row r="854">
      <c r="A854" s="199"/>
      <c r="B854" s="199"/>
      <c r="C854" s="199"/>
      <c r="D854" s="199"/>
      <c r="E854" s="202"/>
      <c r="F854" s="202"/>
      <c r="G854" s="199"/>
      <c r="H854" s="199"/>
      <c r="I854" s="199"/>
      <c r="J854" s="202"/>
      <c r="K854" s="202"/>
      <c r="L854" s="199"/>
      <c r="M854" s="199"/>
      <c r="N854" s="199"/>
      <c r="O854" s="199"/>
      <c r="P854" s="199"/>
      <c r="Q854" s="199"/>
      <c r="R854" s="199"/>
      <c r="S854" s="199"/>
      <c r="T854" s="199"/>
      <c r="U854" s="199"/>
      <c r="V854" s="199"/>
      <c r="W854" s="199"/>
      <c r="X854" s="199"/>
      <c r="Y854" s="199"/>
      <c r="Z854" s="199"/>
    </row>
    <row r="855">
      <c r="A855" s="199"/>
      <c r="B855" s="199"/>
      <c r="C855" s="199"/>
      <c r="D855" s="199"/>
      <c r="E855" s="202"/>
      <c r="F855" s="202"/>
      <c r="G855" s="199"/>
      <c r="H855" s="199"/>
      <c r="I855" s="199"/>
      <c r="J855" s="202"/>
      <c r="K855" s="202"/>
      <c r="L855" s="199"/>
      <c r="M855" s="199"/>
      <c r="N855" s="199"/>
      <c r="O855" s="199"/>
      <c r="P855" s="199"/>
      <c r="Q855" s="199"/>
      <c r="R855" s="199"/>
      <c r="S855" s="199"/>
      <c r="T855" s="199"/>
      <c r="U855" s="199"/>
      <c r="V855" s="199"/>
      <c r="W855" s="199"/>
      <c r="X855" s="199"/>
      <c r="Y855" s="199"/>
      <c r="Z855" s="199"/>
    </row>
    <row r="856">
      <c r="A856" s="199"/>
      <c r="B856" s="199"/>
      <c r="C856" s="199"/>
      <c r="D856" s="199"/>
      <c r="E856" s="202"/>
      <c r="F856" s="202"/>
      <c r="G856" s="199"/>
      <c r="H856" s="199"/>
      <c r="I856" s="199"/>
      <c r="J856" s="202"/>
      <c r="K856" s="202"/>
      <c r="L856" s="199"/>
      <c r="M856" s="199"/>
      <c r="N856" s="199"/>
      <c r="O856" s="199"/>
      <c r="P856" s="199"/>
      <c r="Q856" s="199"/>
      <c r="R856" s="199"/>
      <c r="S856" s="199"/>
      <c r="T856" s="199"/>
      <c r="U856" s="199"/>
      <c r="V856" s="199"/>
      <c r="W856" s="199"/>
      <c r="X856" s="199"/>
      <c r="Y856" s="199"/>
      <c r="Z856" s="199"/>
    </row>
    <row r="857">
      <c r="A857" s="199"/>
      <c r="B857" s="199"/>
      <c r="C857" s="199"/>
      <c r="D857" s="199"/>
      <c r="E857" s="202"/>
      <c r="F857" s="202"/>
      <c r="G857" s="199"/>
      <c r="H857" s="199"/>
      <c r="I857" s="199"/>
      <c r="J857" s="202"/>
      <c r="K857" s="202"/>
      <c r="L857" s="199"/>
      <c r="M857" s="199"/>
      <c r="N857" s="199"/>
      <c r="O857" s="199"/>
      <c r="P857" s="199"/>
      <c r="Q857" s="199"/>
      <c r="R857" s="199"/>
      <c r="S857" s="199"/>
      <c r="T857" s="199"/>
      <c r="U857" s="199"/>
      <c r="V857" s="199"/>
      <c r="W857" s="199"/>
      <c r="X857" s="199"/>
      <c r="Y857" s="199"/>
      <c r="Z857" s="199"/>
    </row>
    <row r="858">
      <c r="A858" s="199"/>
      <c r="B858" s="199"/>
      <c r="C858" s="199"/>
      <c r="D858" s="199"/>
      <c r="E858" s="202"/>
      <c r="F858" s="202"/>
      <c r="G858" s="199"/>
      <c r="H858" s="199"/>
      <c r="I858" s="199"/>
      <c r="J858" s="202"/>
      <c r="K858" s="202"/>
      <c r="L858" s="199"/>
      <c r="M858" s="199"/>
      <c r="N858" s="199"/>
      <c r="O858" s="199"/>
      <c r="P858" s="199"/>
      <c r="Q858" s="199"/>
      <c r="R858" s="199"/>
      <c r="S858" s="199"/>
      <c r="T858" s="199"/>
      <c r="U858" s="199"/>
      <c r="V858" s="199"/>
      <c r="W858" s="199"/>
      <c r="X858" s="199"/>
      <c r="Y858" s="199"/>
      <c r="Z858" s="199"/>
    </row>
    <row r="859">
      <c r="A859" s="199"/>
      <c r="B859" s="199"/>
      <c r="C859" s="199"/>
      <c r="D859" s="199"/>
      <c r="E859" s="202"/>
      <c r="F859" s="202"/>
      <c r="G859" s="199"/>
      <c r="H859" s="199"/>
      <c r="I859" s="199"/>
      <c r="J859" s="202"/>
      <c r="K859" s="202"/>
      <c r="L859" s="199"/>
      <c r="M859" s="199"/>
      <c r="N859" s="199"/>
      <c r="O859" s="199"/>
      <c r="P859" s="199"/>
      <c r="Q859" s="199"/>
      <c r="R859" s="199"/>
      <c r="S859" s="199"/>
      <c r="T859" s="199"/>
      <c r="U859" s="199"/>
      <c r="V859" s="199"/>
      <c r="W859" s="199"/>
      <c r="X859" s="199"/>
      <c r="Y859" s="199"/>
      <c r="Z859" s="199"/>
    </row>
    <row r="860">
      <c r="A860" s="199"/>
      <c r="B860" s="199"/>
      <c r="C860" s="199"/>
      <c r="D860" s="199"/>
      <c r="E860" s="202"/>
      <c r="F860" s="202"/>
      <c r="G860" s="199"/>
      <c r="H860" s="199"/>
      <c r="I860" s="199"/>
      <c r="J860" s="202"/>
      <c r="K860" s="202"/>
      <c r="L860" s="199"/>
      <c r="M860" s="199"/>
      <c r="N860" s="199"/>
      <c r="O860" s="199"/>
      <c r="P860" s="199"/>
      <c r="Q860" s="199"/>
      <c r="R860" s="199"/>
      <c r="S860" s="199"/>
      <c r="T860" s="199"/>
      <c r="U860" s="199"/>
      <c r="V860" s="199"/>
      <c r="W860" s="199"/>
      <c r="X860" s="199"/>
      <c r="Y860" s="199"/>
      <c r="Z860" s="199"/>
    </row>
    <row r="861">
      <c r="A861" s="199"/>
      <c r="B861" s="199"/>
      <c r="C861" s="199"/>
      <c r="D861" s="199"/>
      <c r="E861" s="202"/>
      <c r="F861" s="202"/>
      <c r="G861" s="199"/>
      <c r="H861" s="199"/>
      <c r="I861" s="199"/>
      <c r="J861" s="202"/>
      <c r="K861" s="202"/>
      <c r="L861" s="199"/>
      <c r="M861" s="199"/>
      <c r="N861" s="199"/>
      <c r="O861" s="199"/>
      <c r="P861" s="199"/>
      <c r="Q861" s="199"/>
      <c r="R861" s="199"/>
      <c r="S861" s="199"/>
      <c r="T861" s="199"/>
      <c r="U861" s="199"/>
      <c r="V861" s="199"/>
      <c r="W861" s="199"/>
      <c r="X861" s="199"/>
      <c r="Y861" s="199"/>
      <c r="Z861" s="199"/>
    </row>
    <row r="862">
      <c r="A862" s="199"/>
      <c r="B862" s="199"/>
      <c r="C862" s="199"/>
      <c r="D862" s="199"/>
      <c r="E862" s="202"/>
      <c r="F862" s="202"/>
      <c r="G862" s="199"/>
      <c r="H862" s="199"/>
      <c r="I862" s="199"/>
      <c r="J862" s="202"/>
      <c r="K862" s="202"/>
      <c r="L862" s="199"/>
      <c r="M862" s="199"/>
      <c r="N862" s="199"/>
      <c r="O862" s="199"/>
      <c r="P862" s="199"/>
      <c r="Q862" s="199"/>
      <c r="R862" s="199"/>
      <c r="S862" s="199"/>
      <c r="T862" s="199"/>
      <c r="U862" s="199"/>
      <c r="V862" s="199"/>
      <c r="W862" s="199"/>
      <c r="X862" s="199"/>
      <c r="Y862" s="199"/>
      <c r="Z862" s="199"/>
    </row>
    <row r="863">
      <c r="A863" s="199"/>
      <c r="B863" s="199"/>
      <c r="C863" s="199"/>
      <c r="D863" s="199"/>
      <c r="E863" s="202"/>
      <c r="F863" s="202"/>
      <c r="G863" s="199"/>
      <c r="H863" s="199"/>
      <c r="I863" s="199"/>
      <c r="J863" s="202"/>
      <c r="K863" s="202"/>
      <c r="L863" s="199"/>
      <c r="M863" s="199"/>
      <c r="N863" s="199"/>
      <c r="O863" s="199"/>
      <c r="P863" s="199"/>
      <c r="Q863" s="199"/>
      <c r="R863" s="199"/>
      <c r="S863" s="199"/>
      <c r="T863" s="199"/>
      <c r="U863" s="199"/>
      <c r="V863" s="199"/>
      <c r="W863" s="199"/>
      <c r="X863" s="199"/>
      <c r="Y863" s="199"/>
      <c r="Z863" s="199"/>
    </row>
    <row r="864">
      <c r="A864" s="199"/>
      <c r="B864" s="199"/>
      <c r="C864" s="199"/>
      <c r="D864" s="199"/>
      <c r="E864" s="202"/>
      <c r="F864" s="202"/>
      <c r="G864" s="199"/>
      <c r="H864" s="199"/>
      <c r="I864" s="199"/>
      <c r="J864" s="202"/>
      <c r="K864" s="202"/>
      <c r="L864" s="199"/>
      <c r="M864" s="199"/>
      <c r="N864" s="199"/>
      <c r="O864" s="199"/>
      <c r="P864" s="199"/>
      <c r="Q864" s="199"/>
      <c r="R864" s="199"/>
      <c r="S864" s="199"/>
      <c r="T864" s="199"/>
      <c r="U864" s="199"/>
      <c r="V864" s="199"/>
      <c r="W864" s="199"/>
      <c r="X864" s="199"/>
      <c r="Y864" s="199"/>
      <c r="Z864" s="199"/>
    </row>
    <row r="865">
      <c r="A865" s="199"/>
      <c r="B865" s="199"/>
      <c r="C865" s="199"/>
      <c r="D865" s="199"/>
      <c r="E865" s="202"/>
      <c r="F865" s="202"/>
      <c r="G865" s="199"/>
      <c r="H865" s="199"/>
      <c r="I865" s="199"/>
      <c r="J865" s="202"/>
      <c r="K865" s="202"/>
      <c r="L865" s="199"/>
      <c r="M865" s="199"/>
      <c r="N865" s="199"/>
      <c r="O865" s="199"/>
      <c r="P865" s="199"/>
      <c r="Q865" s="199"/>
      <c r="R865" s="199"/>
      <c r="S865" s="199"/>
      <c r="T865" s="199"/>
      <c r="U865" s="199"/>
      <c r="V865" s="199"/>
      <c r="W865" s="199"/>
      <c r="X865" s="199"/>
      <c r="Y865" s="199"/>
      <c r="Z865" s="199"/>
    </row>
    <row r="866">
      <c r="A866" s="199"/>
      <c r="B866" s="199"/>
      <c r="C866" s="199"/>
      <c r="D866" s="199"/>
      <c r="E866" s="202"/>
      <c r="F866" s="202"/>
      <c r="G866" s="199"/>
      <c r="H866" s="199"/>
      <c r="I866" s="199"/>
      <c r="J866" s="202"/>
      <c r="K866" s="202"/>
      <c r="L866" s="199"/>
      <c r="M866" s="199"/>
      <c r="N866" s="199"/>
      <c r="O866" s="199"/>
      <c r="P866" s="199"/>
      <c r="Q866" s="199"/>
      <c r="R866" s="199"/>
      <c r="S866" s="199"/>
      <c r="T866" s="199"/>
      <c r="U866" s="199"/>
      <c r="V866" s="199"/>
      <c r="W866" s="199"/>
      <c r="X866" s="199"/>
      <c r="Y866" s="199"/>
      <c r="Z866" s="199"/>
    </row>
    <row r="867">
      <c r="A867" s="199"/>
      <c r="B867" s="199"/>
      <c r="C867" s="199"/>
      <c r="D867" s="199"/>
      <c r="E867" s="202"/>
      <c r="F867" s="202"/>
      <c r="G867" s="199"/>
      <c r="H867" s="199"/>
      <c r="I867" s="199"/>
      <c r="J867" s="202"/>
      <c r="K867" s="202"/>
      <c r="L867" s="199"/>
      <c r="M867" s="199"/>
      <c r="N867" s="199"/>
      <c r="O867" s="199"/>
      <c r="P867" s="199"/>
      <c r="Q867" s="199"/>
      <c r="R867" s="199"/>
      <c r="S867" s="199"/>
      <c r="T867" s="199"/>
      <c r="U867" s="199"/>
      <c r="V867" s="199"/>
      <c r="W867" s="199"/>
      <c r="X867" s="199"/>
      <c r="Y867" s="199"/>
      <c r="Z867" s="199"/>
    </row>
    <row r="868">
      <c r="A868" s="199"/>
      <c r="B868" s="199"/>
      <c r="C868" s="199"/>
      <c r="D868" s="199"/>
      <c r="E868" s="202"/>
      <c r="F868" s="202"/>
      <c r="G868" s="199"/>
      <c r="H868" s="199"/>
      <c r="I868" s="199"/>
      <c r="J868" s="202"/>
      <c r="K868" s="202"/>
      <c r="L868" s="199"/>
      <c r="M868" s="199"/>
      <c r="N868" s="199"/>
      <c r="O868" s="199"/>
      <c r="P868" s="199"/>
      <c r="Q868" s="199"/>
      <c r="R868" s="199"/>
      <c r="S868" s="199"/>
      <c r="T868" s="199"/>
      <c r="U868" s="199"/>
      <c r="V868" s="199"/>
      <c r="W868" s="199"/>
      <c r="X868" s="199"/>
      <c r="Y868" s="199"/>
      <c r="Z868" s="199"/>
    </row>
    <row r="869">
      <c r="A869" s="199"/>
      <c r="B869" s="199"/>
      <c r="C869" s="199"/>
      <c r="D869" s="199"/>
      <c r="E869" s="202"/>
      <c r="F869" s="202"/>
      <c r="G869" s="199"/>
      <c r="H869" s="199"/>
      <c r="I869" s="199"/>
      <c r="J869" s="202"/>
      <c r="K869" s="202"/>
      <c r="L869" s="199"/>
      <c r="M869" s="199"/>
      <c r="N869" s="199"/>
      <c r="O869" s="199"/>
      <c r="P869" s="199"/>
      <c r="Q869" s="199"/>
      <c r="R869" s="199"/>
      <c r="S869" s="199"/>
      <c r="T869" s="199"/>
      <c r="U869" s="199"/>
      <c r="V869" s="199"/>
      <c r="W869" s="199"/>
      <c r="X869" s="199"/>
      <c r="Y869" s="199"/>
      <c r="Z869" s="199"/>
    </row>
    <row r="870">
      <c r="A870" s="199"/>
      <c r="B870" s="199"/>
      <c r="C870" s="199"/>
      <c r="D870" s="199"/>
      <c r="E870" s="202"/>
      <c r="F870" s="202"/>
      <c r="G870" s="199"/>
      <c r="H870" s="199"/>
      <c r="I870" s="199"/>
      <c r="J870" s="202"/>
      <c r="K870" s="202"/>
      <c r="L870" s="199"/>
      <c r="M870" s="199"/>
      <c r="N870" s="199"/>
      <c r="O870" s="199"/>
      <c r="P870" s="199"/>
      <c r="Q870" s="199"/>
      <c r="R870" s="199"/>
      <c r="S870" s="199"/>
      <c r="T870" s="199"/>
      <c r="U870" s="199"/>
      <c r="V870" s="199"/>
      <c r="W870" s="199"/>
      <c r="X870" s="199"/>
      <c r="Y870" s="199"/>
      <c r="Z870" s="199"/>
    </row>
    <row r="871">
      <c r="A871" s="199"/>
      <c r="B871" s="199"/>
      <c r="C871" s="199"/>
      <c r="D871" s="199"/>
      <c r="E871" s="202"/>
      <c r="F871" s="202"/>
      <c r="G871" s="199"/>
      <c r="H871" s="199"/>
      <c r="I871" s="199"/>
      <c r="J871" s="202"/>
      <c r="K871" s="202"/>
      <c r="L871" s="199"/>
      <c r="M871" s="199"/>
      <c r="N871" s="199"/>
      <c r="O871" s="199"/>
      <c r="P871" s="199"/>
      <c r="Q871" s="199"/>
      <c r="R871" s="199"/>
      <c r="S871" s="199"/>
      <c r="T871" s="199"/>
      <c r="U871" s="199"/>
      <c r="V871" s="199"/>
      <c r="W871" s="199"/>
      <c r="X871" s="199"/>
      <c r="Y871" s="199"/>
      <c r="Z871" s="199"/>
    </row>
    <row r="872">
      <c r="A872" s="199"/>
      <c r="B872" s="199"/>
      <c r="C872" s="199"/>
      <c r="D872" s="199"/>
      <c r="E872" s="202"/>
      <c r="F872" s="202"/>
      <c r="G872" s="199"/>
      <c r="H872" s="199"/>
      <c r="I872" s="199"/>
      <c r="J872" s="202"/>
      <c r="K872" s="202"/>
      <c r="L872" s="199"/>
      <c r="M872" s="199"/>
      <c r="N872" s="199"/>
      <c r="O872" s="199"/>
      <c r="P872" s="199"/>
      <c r="Q872" s="199"/>
      <c r="R872" s="199"/>
      <c r="S872" s="199"/>
      <c r="T872" s="199"/>
      <c r="U872" s="199"/>
      <c r="V872" s="199"/>
      <c r="W872" s="199"/>
      <c r="X872" s="199"/>
      <c r="Y872" s="199"/>
      <c r="Z872" s="199"/>
    </row>
    <row r="873">
      <c r="A873" s="199"/>
      <c r="B873" s="199"/>
      <c r="C873" s="199"/>
      <c r="D873" s="199"/>
      <c r="E873" s="202"/>
      <c r="F873" s="202"/>
      <c r="G873" s="199"/>
      <c r="H873" s="199"/>
      <c r="I873" s="199"/>
      <c r="J873" s="202"/>
      <c r="K873" s="202"/>
      <c r="L873" s="199"/>
      <c r="M873" s="199"/>
      <c r="N873" s="199"/>
      <c r="O873" s="199"/>
      <c r="P873" s="199"/>
      <c r="Q873" s="199"/>
      <c r="R873" s="199"/>
      <c r="S873" s="199"/>
      <c r="T873" s="199"/>
      <c r="U873" s="199"/>
      <c r="V873" s="199"/>
      <c r="W873" s="199"/>
      <c r="X873" s="199"/>
      <c r="Y873" s="199"/>
      <c r="Z873" s="199"/>
    </row>
    <row r="874">
      <c r="A874" s="199"/>
      <c r="B874" s="199"/>
      <c r="C874" s="199"/>
      <c r="D874" s="199"/>
      <c r="E874" s="202"/>
      <c r="F874" s="202"/>
      <c r="G874" s="199"/>
      <c r="H874" s="199"/>
      <c r="I874" s="199"/>
      <c r="J874" s="202"/>
      <c r="K874" s="202"/>
      <c r="L874" s="199"/>
      <c r="M874" s="199"/>
      <c r="N874" s="199"/>
      <c r="O874" s="199"/>
      <c r="P874" s="199"/>
      <c r="Q874" s="199"/>
      <c r="R874" s="199"/>
      <c r="S874" s="199"/>
      <c r="T874" s="199"/>
      <c r="U874" s="199"/>
      <c r="V874" s="199"/>
      <c r="W874" s="199"/>
      <c r="X874" s="199"/>
      <c r="Y874" s="199"/>
      <c r="Z874" s="199"/>
    </row>
    <row r="875">
      <c r="A875" s="199"/>
      <c r="B875" s="199"/>
      <c r="C875" s="199"/>
      <c r="D875" s="199"/>
      <c r="E875" s="202"/>
      <c r="F875" s="202"/>
      <c r="G875" s="199"/>
      <c r="H875" s="199"/>
      <c r="I875" s="199"/>
      <c r="J875" s="202"/>
      <c r="K875" s="202"/>
      <c r="L875" s="199"/>
      <c r="M875" s="199"/>
      <c r="N875" s="199"/>
      <c r="O875" s="199"/>
      <c r="P875" s="199"/>
      <c r="Q875" s="199"/>
      <c r="R875" s="199"/>
      <c r="S875" s="199"/>
      <c r="T875" s="199"/>
      <c r="U875" s="199"/>
      <c r="V875" s="199"/>
      <c r="W875" s="199"/>
      <c r="X875" s="199"/>
      <c r="Y875" s="199"/>
      <c r="Z875" s="199"/>
    </row>
    <row r="876">
      <c r="A876" s="199"/>
      <c r="B876" s="199"/>
      <c r="C876" s="199"/>
      <c r="D876" s="199"/>
      <c r="E876" s="202"/>
      <c r="F876" s="202"/>
      <c r="G876" s="199"/>
      <c r="H876" s="199"/>
      <c r="I876" s="199"/>
      <c r="J876" s="202"/>
      <c r="K876" s="202"/>
      <c r="L876" s="199"/>
      <c r="M876" s="199"/>
      <c r="N876" s="199"/>
      <c r="O876" s="199"/>
      <c r="P876" s="199"/>
      <c r="Q876" s="199"/>
      <c r="R876" s="199"/>
      <c r="S876" s="199"/>
      <c r="T876" s="199"/>
      <c r="U876" s="199"/>
      <c r="V876" s="199"/>
      <c r="W876" s="199"/>
      <c r="X876" s="199"/>
      <c r="Y876" s="199"/>
      <c r="Z876" s="199"/>
    </row>
    <row r="877">
      <c r="A877" s="199"/>
      <c r="B877" s="199"/>
      <c r="C877" s="199"/>
      <c r="D877" s="199"/>
      <c r="E877" s="202"/>
      <c r="F877" s="202"/>
      <c r="G877" s="199"/>
      <c r="H877" s="199"/>
      <c r="I877" s="199"/>
      <c r="J877" s="202"/>
      <c r="K877" s="202"/>
      <c r="L877" s="199"/>
      <c r="M877" s="199"/>
      <c r="N877" s="199"/>
      <c r="O877" s="199"/>
      <c r="P877" s="199"/>
      <c r="Q877" s="199"/>
      <c r="R877" s="199"/>
      <c r="S877" s="199"/>
      <c r="T877" s="199"/>
      <c r="U877" s="199"/>
      <c r="V877" s="199"/>
      <c r="W877" s="199"/>
      <c r="X877" s="199"/>
      <c r="Y877" s="199"/>
      <c r="Z877" s="199"/>
    </row>
    <row r="878">
      <c r="A878" s="199"/>
      <c r="B878" s="199"/>
      <c r="C878" s="199"/>
      <c r="D878" s="199"/>
      <c r="E878" s="202"/>
      <c r="F878" s="202"/>
      <c r="G878" s="199"/>
      <c r="H878" s="199"/>
      <c r="I878" s="199"/>
      <c r="J878" s="202"/>
      <c r="K878" s="202"/>
      <c r="L878" s="199"/>
      <c r="M878" s="199"/>
      <c r="N878" s="199"/>
      <c r="O878" s="199"/>
      <c r="P878" s="199"/>
      <c r="Q878" s="199"/>
      <c r="R878" s="199"/>
      <c r="S878" s="199"/>
      <c r="T878" s="199"/>
      <c r="U878" s="199"/>
      <c r="V878" s="199"/>
      <c r="W878" s="199"/>
      <c r="X878" s="199"/>
      <c r="Y878" s="199"/>
      <c r="Z878" s="199"/>
    </row>
    <row r="879">
      <c r="A879" s="199"/>
      <c r="B879" s="199"/>
      <c r="C879" s="199"/>
      <c r="D879" s="199"/>
      <c r="E879" s="202"/>
      <c r="F879" s="202"/>
      <c r="G879" s="199"/>
      <c r="H879" s="199"/>
      <c r="I879" s="199"/>
      <c r="J879" s="202"/>
      <c r="K879" s="202"/>
      <c r="L879" s="199"/>
      <c r="M879" s="199"/>
      <c r="N879" s="199"/>
      <c r="O879" s="199"/>
      <c r="P879" s="199"/>
      <c r="Q879" s="199"/>
      <c r="R879" s="199"/>
      <c r="S879" s="199"/>
      <c r="T879" s="199"/>
      <c r="U879" s="199"/>
      <c r="V879" s="199"/>
      <c r="W879" s="199"/>
      <c r="X879" s="199"/>
      <c r="Y879" s="199"/>
      <c r="Z879" s="199"/>
    </row>
    <row r="880">
      <c r="A880" s="199"/>
      <c r="B880" s="199"/>
      <c r="C880" s="199"/>
      <c r="D880" s="199"/>
      <c r="E880" s="202"/>
      <c r="F880" s="202"/>
      <c r="G880" s="199"/>
      <c r="H880" s="199"/>
      <c r="I880" s="199"/>
      <c r="J880" s="202"/>
      <c r="K880" s="202"/>
      <c r="L880" s="199"/>
      <c r="M880" s="199"/>
      <c r="N880" s="199"/>
      <c r="O880" s="199"/>
      <c r="P880" s="199"/>
      <c r="Q880" s="199"/>
      <c r="R880" s="199"/>
      <c r="S880" s="199"/>
      <c r="T880" s="199"/>
      <c r="U880" s="199"/>
      <c r="V880" s="199"/>
      <c r="W880" s="199"/>
      <c r="X880" s="199"/>
      <c r="Y880" s="199"/>
      <c r="Z880" s="199"/>
    </row>
    <row r="881">
      <c r="A881" s="199"/>
      <c r="B881" s="199"/>
      <c r="C881" s="199"/>
      <c r="D881" s="199"/>
      <c r="E881" s="202"/>
      <c r="F881" s="202"/>
      <c r="G881" s="199"/>
      <c r="H881" s="199"/>
      <c r="I881" s="199"/>
      <c r="J881" s="202"/>
      <c r="K881" s="202"/>
      <c r="L881" s="199"/>
      <c r="M881" s="199"/>
      <c r="N881" s="199"/>
      <c r="O881" s="199"/>
      <c r="P881" s="199"/>
      <c r="Q881" s="199"/>
      <c r="R881" s="199"/>
      <c r="S881" s="199"/>
      <c r="T881" s="199"/>
      <c r="U881" s="199"/>
      <c r="V881" s="199"/>
      <c r="W881" s="199"/>
      <c r="X881" s="199"/>
      <c r="Y881" s="199"/>
      <c r="Z881" s="199"/>
    </row>
    <row r="882">
      <c r="A882" s="199"/>
      <c r="B882" s="199"/>
      <c r="C882" s="199"/>
      <c r="D882" s="199"/>
      <c r="E882" s="202"/>
      <c r="F882" s="202"/>
      <c r="G882" s="199"/>
      <c r="H882" s="199"/>
      <c r="I882" s="199"/>
      <c r="J882" s="202"/>
      <c r="K882" s="202"/>
      <c r="L882" s="199"/>
      <c r="M882" s="199"/>
      <c r="N882" s="199"/>
      <c r="O882" s="199"/>
      <c r="P882" s="199"/>
      <c r="Q882" s="199"/>
      <c r="R882" s="199"/>
      <c r="S882" s="199"/>
      <c r="T882" s="199"/>
      <c r="U882" s="199"/>
      <c r="V882" s="199"/>
      <c r="W882" s="199"/>
      <c r="X882" s="199"/>
      <c r="Y882" s="199"/>
      <c r="Z882" s="199"/>
    </row>
    <row r="883">
      <c r="A883" s="199"/>
      <c r="B883" s="199"/>
      <c r="C883" s="199"/>
      <c r="D883" s="199"/>
      <c r="E883" s="202"/>
      <c r="F883" s="202"/>
      <c r="G883" s="199"/>
      <c r="H883" s="199"/>
      <c r="I883" s="199"/>
      <c r="J883" s="202"/>
      <c r="K883" s="202"/>
      <c r="L883" s="199"/>
      <c r="M883" s="199"/>
      <c r="N883" s="199"/>
      <c r="O883" s="199"/>
      <c r="P883" s="199"/>
      <c r="Q883" s="199"/>
      <c r="R883" s="199"/>
      <c r="S883" s="199"/>
      <c r="T883" s="199"/>
      <c r="U883" s="199"/>
      <c r="V883" s="199"/>
      <c r="W883" s="199"/>
      <c r="X883" s="199"/>
      <c r="Y883" s="199"/>
      <c r="Z883" s="199"/>
    </row>
    <row r="884">
      <c r="A884" s="199"/>
      <c r="B884" s="199"/>
      <c r="C884" s="199"/>
      <c r="D884" s="199"/>
      <c r="E884" s="202"/>
      <c r="F884" s="202"/>
      <c r="G884" s="199"/>
      <c r="H884" s="199"/>
      <c r="I884" s="199"/>
      <c r="J884" s="202"/>
      <c r="K884" s="202"/>
      <c r="L884" s="199"/>
      <c r="M884" s="199"/>
      <c r="N884" s="199"/>
      <c r="O884" s="199"/>
      <c r="P884" s="199"/>
      <c r="Q884" s="199"/>
      <c r="R884" s="199"/>
      <c r="S884" s="199"/>
      <c r="T884" s="199"/>
      <c r="U884" s="199"/>
      <c r="V884" s="199"/>
      <c r="W884" s="199"/>
      <c r="X884" s="199"/>
      <c r="Y884" s="199"/>
      <c r="Z884" s="199"/>
    </row>
    <row r="885">
      <c r="A885" s="199"/>
      <c r="B885" s="199"/>
      <c r="C885" s="199"/>
      <c r="D885" s="199"/>
      <c r="E885" s="202"/>
      <c r="F885" s="202"/>
      <c r="G885" s="199"/>
      <c r="H885" s="199"/>
      <c r="I885" s="199"/>
      <c r="J885" s="202"/>
      <c r="K885" s="202"/>
      <c r="L885" s="199"/>
      <c r="M885" s="199"/>
      <c r="N885" s="199"/>
      <c r="O885" s="199"/>
      <c r="P885" s="199"/>
      <c r="Q885" s="199"/>
      <c r="R885" s="199"/>
      <c r="S885" s="199"/>
      <c r="T885" s="199"/>
      <c r="U885" s="199"/>
      <c r="V885" s="199"/>
      <c r="W885" s="199"/>
      <c r="X885" s="199"/>
      <c r="Y885" s="199"/>
      <c r="Z885" s="199"/>
    </row>
    <row r="886">
      <c r="A886" s="199"/>
      <c r="B886" s="199"/>
      <c r="C886" s="199"/>
      <c r="D886" s="199"/>
      <c r="E886" s="202"/>
      <c r="F886" s="202"/>
      <c r="G886" s="199"/>
      <c r="H886" s="199"/>
      <c r="I886" s="199"/>
      <c r="J886" s="202"/>
      <c r="K886" s="202"/>
      <c r="L886" s="199"/>
      <c r="M886" s="199"/>
      <c r="N886" s="199"/>
      <c r="O886" s="199"/>
      <c r="P886" s="199"/>
      <c r="Q886" s="199"/>
      <c r="R886" s="199"/>
      <c r="S886" s="199"/>
      <c r="T886" s="199"/>
      <c r="U886" s="199"/>
      <c r="V886" s="199"/>
      <c r="W886" s="199"/>
      <c r="X886" s="199"/>
      <c r="Y886" s="199"/>
      <c r="Z886" s="199"/>
    </row>
    <row r="887">
      <c r="A887" s="199"/>
      <c r="B887" s="199"/>
      <c r="C887" s="199"/>
      <c r="D887" s="199"/>
      <c r="E887" s="202"/>
      <c r="F887" s="202"/>
      <c r="G887" s="199"/>
      <c r="H887" s="199"/>
      <c r="I887" s="199"/>
      <c r="J887" s="202"/>
      <c r="K887" s="202"/>
      <c r="L887" s="199"/>
      <c r="M887" s="199"/>
      <c r="N887" s="199"/>
      <c r="O887" s="199"/>
      <c r="P887" s="199"/>
      <c r="Q887" s="199"/>
      <c r="R887" s="199"/>
      <c r="S887" s="199"/>
      <c r="T887" s="199"/>
      <c r="U887" s="199"/>
      <c r="V887" s="199"/>
      <c r="W887" s="199"/>
      <c r="X887" s="199"/>
      <c r="Y887" s="199"/>
      <c r="Z887" s="199"/>
    </row>
    <row r="888">
      <c r="A888" s="199"/>
      <c r="B888" s="199"/>
      <c r="C888" s="199"/>
      <c r="D888" s="199"/>
      <c r="E888" s="202"/>
      <c r="F888" s="202"/>
      <c r="G888" s="199"/>
      <c r="H888" s="199"/>
      <c r="I888" s="199"/>
      <c r="J888" s="202"/>
      <c r="K888" s="202"/>
      <c r="L888" s="199"/>
      <c r="M888" s="199"/>
      <c r="N888" s="199"/>
      <c r="O888" s="199"/>
      <c r="P888" s="199"/>
      <c r="Q888" s="199"/>
      <c r="R888" s="199"/>
      <c r="S888" s="199"/>
      <c r="T888" s="199"/>
      <c r="U888" s="199"/>
      <c r="V888" s="199"/>
      <c r="W888" s="199"/>
      <c r="X888" s="199"/>
      <c r="Y888" s="199"/>
      <c r="Z888" s="199"/>
    </row>
    <row r="889">
      <c r="A889" s="199"/>
      <c r="B889" s="199"/>
      <c r="C889" s="199"/>
      <c r="D889" s="199"/>
      <c r="E889" s="202"/>
      <c r="F889" s="202"/>
      <c r="G889" s="199"/>
      <c r="H889" s="199"/>
      <c r="I889" s="199"/>
      <c r="J889" s="202"/>
      <c r="K889" s="202"/>
      <c r="L889" s="199"/>
      <c r="M889" s="199"/>
      <c r="N889" s="199"/>
      <c r="O889" s="199"/>
      <c r="P889" s="199"/>
      <c r="Q889" s="199"/>
      <c r="R889" s="199"/>
      <c r="S889" s="199"/>
      <c r="T889" s="199"/>
      <c r="U889" s="199"/>
      <c r="V889" s="199"/>
      <c r="W889" s="199"/>
      <c r="X889" s="199"/>
      <c r="Y889" s="199"/>
      <c r="Z889" s="199"/>
    </row>
    <row r="890">
      <c r="A890" s="199"/>
      <c r="B890" s="199"/>
      <c r="C890" s="199"/>
      <c r="D890" s="199"/>
      <c r="E890" s="202"/>
      <c r="F890" s="202"/>
      <c r="G890" s="199"/>
      <c r="H890" s="199"/>
      <c r="I890" s="199"/>
      <c r="J890" s="202"/>
      <c r="K890" s="202"/>
      <c r="L890" s="199"/>
      <c r="M890" s="199"/>
      <c r="N890" s="199"/>
      <c r="O890" s="199"/>
      <c r="P890" s="199"/>
      <c r="Q890" s="199"/>
      <c r="R890" s="199"/>
      <c r="S890" s="199"/>
      <c r="T890" s="199"/>
      <c r="U890" s="199"/>
      <c r="V890" s="199"/>
      <c r="W890" s="199"/>
      <c r="X890" s="199"/>
      <c r="Y890" s="199"/>
      <c r="Z890" s="199"/>
    </row>
    <row r="891">
      <c r="A891" s="199"/>
      <c r="B891" s="199"/>
      <c r="C891" s="199"/>
      <c r="D891" s="199"/>
      <c r="E891" s="202"/>
      <c r="F891" s="202"/>
      <c r="G891" s="199"/>
      <c r="H891" s="199"/>
      <c r="I891" s="199"/>
      <c r="J891" s="202"/>
      <c r="K891" s="202"/>
      <c r="L891" s="199"/>
      <c r="M891" s="199"/>
      <c r="N891" s="199"/>
      <c r="O891" s="199"/>
      <c r="P891" s="199"/>
      <c r="Q891" s="199"/>
      <c r="R891" s="199"/>
      <c r="S891" s="199"/>
      <c r="T891" s="199"/>
      <c r="U891" s="199"/>
      <c r="V891" s="199"/>
      <c r="W891" s="199"/>
      <c r="X891" s="199"/>
      <c r="Y891" s="199"/>
      <c r="Z891" s="199"/>
    </row>
    <row r="892">
      <c r="A892" s="199"/>
      <c r="B892" s="199"/>
      <c r="C892" s="199"/>
      <c r="D892" s="199"/>
      <c r="E892" s="202"/>
      <c r="F892" s="202"/>
      <c r="G892" s="199"/>
      <c r="H892" s="199"/>
      <c r="I892" s="199"/>
      <c r="J892" s="202"/>
      <c r="K892" s="202"/>
      <c r="L892" s="199"/>
      <c r="M892" s="199"/>
      <c r="N892" s="199"/>
      <c r="O892" s="199"/>
      <c r="P892" s="199"/>
      <c r="Q892" s="199"/>
      <c r="R892" s="199"/>
      <c r="S892" s="199"/>
      <c r="T892" s="199"/>
      <c r="U892" s="199"/>
      <c r="V892" s="199"/>
      <c r="W892" s="199"/>
      <c r="X892" s="199"/>
      <c r="Y892" s="199"/>
      <c r="Z892" s="199"/>
    </row>
    <row r="893">
      <c r="A893" s="199"/>
      <c r="B893" s="199"/>
      <c r="C893" s="199"/>
      <c r="D893" s="199"/>
      <c r="E893" s="202"/>
      <c r="F893" s="202"/>
      <c r="G893" s="199"/>
      <c r="H893" s="199"/>
      <c r="I893" s="199"/>
      <c r="J893" s="202"/>
      <c r="K893" s="202"/>
      <c r="L893" s="199"/>
      <c r="M893" s="199"/>
      <c r="N893" s="199"/>
      <c r="O893" s="199"/>
      <c r="P893" s="199"/>
      <c r="Q893" s="199"/>
      <c r="R893" s="199"/>
      <c r="S893" s="199"/>
      <c r="T893" s="199"/>
      <c r="U893" s="199"/>
      <c r="V893" s="199"/>
      <c r="W893" s="199"/>
      <c r="X893" s="199"/>
      <c r="Y893" s="199"/>
      <c r="Z893" s="199"/>
    </row>
    <row r="894">
      <c r="A894" s="199"/>
      <c r="B894" s="199"/>
      <c r="C894" s="199"/>
      <c r="D894" s="199"/>
      <c r="E894" s="202"/>
      <c r="F894" s="202"/>
      <c r="G894" s="199"/>
      <c r="H894" s="199"/>
      <c r="I894" s="199"/>
      <c r="J894" s="202"/>
      <c r="K894" s="202"/>
      <c r="L894" s="199"/>
      <c r="M894" s="199"/>
      <c r="N894" s="199"/>
      <c r="O894" s="199"/>
      <c r="P894" s="199"/>
      <c r="Q894" s="199"/>
      <c r="R894" s="199"/>
      <c r="S894" s="199"/>
      <c r="T894" s="199"/>
      <c r="U894" s="199"/>
      <c r="V894" s="199"/>
      <c r="W894" s="199"/>
      <c r="X894" s="199"/>
      <c r="Y894" s="199"/>
      <c r="Z894" s="199"/>
    </row>
    <row r="895">
      <c r="A895" s="199"/>
      <c r="B895" s="199"/>
      <c r="C895" s="199"/>
      <c r="D895" s="199"/>
      <c r="E895" s="202"/>
      <c r="F895" s="202"/>
      <c r="G895" s="199"/>
      <c r="H895" s="199"/>
      <c r="I895" s="199"/>
      <c r="J895" s="202"/>
      <c r="K895" s="202"/>
      <c r="L895" s="199"/>
      <c r="M895" s="199"/>
      <c r="N895" s="199"/>
      <c r="O895" s="199"/>
      <c r="P895" s="199"/>
      <c r="Q895" s="199"/>
      <c r="R895" s="199"/>
      <c r="S895" s="199"/>
      <c r="T895" s="199"/>
      <c r="U895" s="199"/>
      <c r="V895" s="199"/>
      <c r="W895" s="199"/>
      <c r="X895" s="199"/>
      <c r="Y895" s="199"/>
      <c r="Z895" s="199"/>
    </row>
    <row r="896">
      <c r="A896" s="199"/>
      <c r="B896" s="199"/>
      <c r="C896" s="199"/>
      <c r="D896" s="199"/>
      <c r="E896" s="202"/>
      <c r="F896" s="202"/>
      <c r="G896" s="199"/>
      <c r="H896" s="199"/>
      <c r="I896" s="199"/>
      <c r="J896" s="202"/>
      <c r="K896" s="202"/>
      <c r="L896" s="199"/>
      <c r="M896" s="199"/>
      <c r="N896" s="199"/>
      <c r="O896" s="199"/>
      <c r="P896" s="199"/>
      <c r="Q896" s="199"/>
      <c r="R896" s="199"/>
      <c r="S896" s="199"/>
      <c r="T896" s="199"/>
      <c r="U896" s="199"/>
      <c r="V896" s="199"/>
      <c r="W896" s="199"/>
      <c r="X896" s="199"/>
      <c r="Y896" s="199"/>
      <c r="Z896" s="199"/>
    </row>
    <row r="897">
      <c r="A897" s="199"/>
      <c r="B897" s="199"/>
      <c r="C897" s="199"/>
      <c r="D897" s="199"/>
      <c r="E897" s="202"/>
      <c r="F897" s="202"/>
      <c r="G897" s="199"/>
      <c r="H897" s="199"/>
      <c r="I897" s="199"/>
      <c r="J897" s="202"/>
      <c r="K897" s="202"/>
      <c r="L897" s="199"/>
      <c r="M897" s="199"/>
      <c r="N897" s="199"/>
      <c r="O897" s="199"/>
      <c r="P897" s="199"/>
      <c r="Q897" s="199"/>
      <c r="R897" s="199"/>
      <c r="S897" s="199"/>
      <c r="T897" s="199"/>
      <c r="U897" s="199"/>
      <c r="V897" s="199"/>
      <c r="W897" s="199"/>
      <c r="X897" s="199"/>
      <c r="Y897" s="199"/>
      <c r="Z897" s="199"/>
    </row>
    <row r="898">
      <c r="A898" s="199"/>
      <c r="B898" s="199"/>
      <c r="C898" s="199"/>
      <c r="D898" s="199"/>
      <c r="E898" s="202"/>
      <c r="F898" s="202"/>
      <c r="G898" s="199"/>
      <c r="H898" s="199"/>
      <c r="I898" s="199"/>
      <c r="J898" s="202"/>
      <c r="K898" s="202"/>
      <c r="L898" s="199"/>
      <c r="M898" s="199"/>
      <c r="N898" s="199"/>
      <c r="O898" s="199"/>
      <c r="P898" s="199"/>
      <c r="Q898" s="199"/>
      <c r="R898" s="199"/>
      <c r="S898" s="199"/>
      <c r="T898" s="199"/>
      <c r="U898" s="199"/>
      <c r="V898" s="199"/>
      <c r="W898" s="199"/>
      <c r="X898" s="199"/>
      <c r="Y898" s="199"/>
      <c r="Z898" s="199"/>
    </row>
    <row r="899">
      <c r="A899" s="199"/>
      <c r="B899" s="199"/>
      <c r="C899" s="199"/>
      <c r="D899" s="199"/>
      <c r="E899" s="202"/>
      <c r="F899" s="202"/>
      <c r="G899" s="199"/>
      <c r="H899" s="199"/>
      <c r="I899" s="199"/>
      <c r="J899" s="202"/>
      <c r="K899" s="202"/>
      <c r="L899" s="199"/>
      <c r="M899" s="199"/>
      <c r="N899" s="199"/>
      <c r="O899" s="199"/>
      <c r="P899" s="199"/>
      <c r="Q899" s="199"/>
      <c r="R899" s="199"/>
      <c r="S899" s="199"/>
      <c r="T899" s="199"/>
      <c r="U899" s="199"/>
      <c r="V899" s="199"/>
      <c r="W899" s="199"/>
      <c r="X899" s="199"/>
      <c r="Y899" s="199"/>
      <c r="Z899" s="199"/>
    </row>
    <row r="900">
      <c r="A900" s="199"/>
      <c r="B900" s="199"/>
      <c r="C900" s="199"/>
      <c r="D900" s="199"/>
      <c r="E900" s="202"/>
      <c r="F900" s="202"/>
      <c r="G900" s="199"/>
      <c r="H900" s="199"/>
      <c r="I900" s="199"/>
      <c r="J900" s="202"/>
      <c r="K900" s="202"/>
      <c r="L900" s="199"/>
      <c r="M900" s="199"/>
      <c r="N900" s="199"/>
      <c r="O900" s="199"/>
      <c r="P900" s="199"/>
      <c r="Q900" s="199"/>
      <c r="R900" s="199"/>
      <c r="S900" s="199"/>
      <c r="T900" s="199"/>
      <c r="U900" s="199"/>
      <c r="V900" s="199"/>
      <c r="W900" s="199"/>
      <c r="X900" s="199"/>
      <c r="Y900" s="199"/>
      <c r="Z900" s="199"/>
    </row>
    <row r="901">
      <c r="A901" s="199"/>
      <c r="B901" s="199"/>
      <c r="C901" s="199"/>
      <c r="D901" s="199"/>
      <c r="E901" s="202"/>
      <c r="F901" s="202"/>
      <c r="G901" s="199"/>
      <c r="H901" s="199"/>
      <c r="I901" s="199"/>
      <c r="J901" s="202"/>
      <c r="K901" s="202"/>
      <c r="L901" s="199"/>
      <c r="M901" s="199"/>
      <c r="N901" s="199"/>
      <c r="O901" s="199"/>
      <c r="P901" s="199"/>
      <c r="Q901" s="199"/>
      <c r="R901" s="199"/>
      <c r="S901" s="199"/>
      <c r="T901" s="199"/>
      <c r="U901" s="199"/>
      <c r="V901" s="199"/>
      <c r="W901" s="199"/>
      <c r="X901" s="199"/>
      <c r="Y901" s="199"/>
      <c r="Z901" s="199"/>
    </row>
    <row r="902">
      <c r="A902" s="199"/>
      <c r="B902" s="199"/>
      <c r="C902" s="199"/>
      <c r="D902" s="199"/>
      <c r="E902" s="202"/>
      <c r="F902" s="202"/>
      <c r="G902" s="199"/>
      <c r="H902" s="199"/>
      <c r="I902" s="199"/>
      <c r="J902" s="202"/>
      <c r="K902" s="202"/>
      <c r="L902" s="199"/>
      <c r="M902" s="199"/>
      <c r="N902" s="199"/>
      <c r="O902" s="199"/>
      <c r="P902" s="199"/>
      <c r="Q902" s="199"/>
      <c r="R902" s="199"/>
      <c r="S902" s="199"/>
      <c r="T902" s="199"/>
      <c r="U902" s="199"/>
      <c r="V902" s="199"/>
      <c r="W902" s="199"/>
      <c r="X902" s="199"/>
      <c r="Y902" s="199"/>
      <c r="Z902" s="199"/>
    </row>
    <row r="903">
      <c r="A903" s="199"/>
      <c r="B903" s="199"/>
      <c r="C903" s="199"/>
      <c r="D903" s="199"/>
      <c r="E903" s="202"/>
      <c r="F903" s="202"/>
      <c r="G903" s="199"/>
      <c r="H903" s="199"/>
      <c r="I903" s="199"/>
      <c r="J903" s="202"/>
      <c r="K903" s="202"/>
      <c r="L903" s="199"/>
      <c r="M903" s="199"/>
      <c r="N903" s="199"/>
      <c r="O903" s="199"/>
      <c r="P903" s="199"/>
      <c r="Q903" s="199"/>
      <c r="R903" s="199"/>
      <c r="S903" s="199"/>
      <c r="T903" s="199"/>
      <c r="U903" s="199"/>
      <c r="V903" s="199"/>
      <c r="W903" s="199"/>
      <c r="X903" s="199"/>
      <c r="Y903" s="199"/>
      <c r="Z903" s="199"/>
    </row>
    <row r="904">
      <c r="A904" s="199"/>
      <c r="B904" s="199"/>
      <c r="C904" s="199"/>
      <c r="D904" s="199"/>
      <c r="E904" s="202"/>
      <c r="F904" s="202"/>
      <c r="G904" s="199"/>
      <c r="H904" s="199"/>
      <c r="I904" s="199"/>
      <c r="J904" s="202"/>
      <c r="K904" s="202"/>
      <c r="L904" s="199"/>
      <c r="M904" s="199"/>
      <c r="N904" s="199"/>
      <c r="O904" s="199"/>
      <c r="P904" s="199"/>
      <c r="Q904" s="199"/>
      <c r="R904" s="199"/>
      <c r="S904" s="199"/>
      <c r="T904" s="199"/>
      <c r="U904" s="199"/>
      <c r="V904" s="199"/>
      <c r="W904" s="199"/>
      <c r="X904" s="199"/>
      <c r="Y904" s="199"/>
      <c r="Z904" s="199"/>
    </row>
    <row r="905">
      <c r="A905" s="199"/>
      <c r="B905" s="199"/>
      <c r="C905" s="199"/>
      <c r="D905" s="199"/>
      <c r="E905" s="202"/>
      <c r="F905" s="202"/>
      <c r="G905" s="199"/>
      <c r="H905" s="199"/>
      <c r="I905" s="199"/>
      <c r="J905" s="202"/>
      <c r="K905" s="202"/>
      <c r="L905" s="199"/>
      <c r="M905" s="199"/>
      <c r="N905" s="199"/>
      <c r="O905" s="199"/>
      <c r="P905" s="199"/>
      <c r="Q905" s="199"/>
      <c r="R905" s="199"/>
      <c r="S905" s="199"/>
      <c r="T905" s="199"/>
      <c r="U905" s="199"/>
      <c r="V905" s="199"/>
      <c r="W905" s="199"/>
      <c r="X905" s="199"/>
      <c r="Y905" s="199"/>
      <c r="Z905" s="199"/>
    </row>
    <row r="906">
      <c r="A906" s="199"/>
      <c r="B906" s="199"/>
      <c r="C906" s="199"/>
      <c r="D906" s="199"/>
      <c r="E906" s="202"/>
      <c r="F906" s="202"/>
      <c r="G906" s="199"/>
      <c r="H906" s="199"/>
      <c r="I906" s="199"/>
      <c r="J906" s="202"/>
      <c r="K906" s="202"/>
      <c r="L906" s="199"/>
      <c r="M906" s="199"/>
      <c r="N906" s="199"/>
      <c r="O906" s="199"/>
      <c r="P906" s="199"/>
      <c r="Q906" s="199"/>
      <c r="R906" s="199"/>
      <c r="S906" s="199"/>
      <c r="T906" s="199"/>
      <c r="U906" s="199"/>
      <c r="V906" s="199"/>
      <c r="W906" s="199"/>
      <c r="X906" s="199"/>
      <c r="Y906" s="199"/>
      <c r="Z906" s="199"/>
    </row>
    <row r="907">
      <c r="A907" s="199"/>
      <c r="B907" s="199"/>
      <c r="C907" s="199"/>
      <c r="D907" s="199"/>
      <c r="E907" s="202"/>
      <c r="F907" s="202"/>
      <c r="G907" s="199"/>
      <c r="H907" s="199"/>
      <c r="I907" s="199"/>
      <c r="J907" s="202"/>
      <c r="K907" s="202"/>
      <c r="L907" s="199"/>
      <c r="M907" s="199"/>
      <c r="N907" s="199"/>
      <c r="O907" s="199"/>
      <c r="P907" s="199"/>
      <c r="Q907" s="199"/>
      <c r="R907" s="199"/>
      <c r="S907" s="199"/>
      <c r="T907" s="199"/>
      <c r="U907" s="199"/>
      <c r="V907" s="199"/>
      <c r="W907" s="199"/>
      <c r="X907" s="199"/>
      <c r="Y907" s="199"/>
      <c r="Z907" s="199"/>
    </row>
    <row r="908">
      <c r="A908" s="199"/>
      <c r="B908" s="199"/>
      <c r="C908" s="199"/>
      <c r="D908" s="199"/>
      <c r="E908" s="202"/>
      <c r="F908" s="202"/>
      <c r="G908" s="199"/>
      <c r="H908" s="199"/>
      <c r="I908" s="199"/>
      <c r="J908" s="202"/>
      <c r="K908" s="202"/>
      <c r="L908" s="199"/>
      <c r="M908" s="199"/>
      <c r="N908" s="199"/>
      <c r="O908" s="199"/>
      <c r="P908" s="199"/>
      <c r="Q908" s="199"/>
      <c r="R908" s="199"/>
      <c r="S908" s="199"/>
      <c r="T908" s="199"/>
      <c r="U908" s="199"/>
      <c r="V908" s="199"/>
      <c r="W908" s="199"/>
      <c r="X908" s="199"/>
      <c r="Y908" s="199"/>
      <c r="Z908" s="199"/>
    </row>
    <row r="909">
      <c r="A909" s="199"/>
      <c r="B909" s="199"/>
      <c r="C909" s="199"/>
      <c r="D909" s="199"/>
      <c r="E909" s="202"/>
      <c r="F909" s="202"/>
      <c r="G909" s="199"/>
      <c r="H909" s="199"/>
      <c r="I909" s="199"/>
      <c r="J909" s="202"/>
      <c r="K909" s="202"/>
      <c r="L909" s="199"/>
      <c r="M909" s="199"/>
      <c r="N909" s="199"/>
      <c r="O909" s="199"/>
      <c r="P909" s="199"/>
      <c r="Q909" s="199"/>
      <c r="R909" s="199"/>
      <c r="S909" s="199"/>
      <c r="T909" s="199"/>
      <c r="U909" s="199"/>
      <c r="V909" s="199"/>
      <c r="W909" s="199"/>
      <c r="X909" s="199"/>
      <c r="Y909" s="199"/>
      <c r="Z909" s="199"/>
    </row>
    <row r="910">
      <c r="A910" s="199"/>
      <c r="B910" s="199"/>
      <c r="C910" s="199"/>
      <c r="D910" s="199"/>
      <c r="E910" s="202"/>
      <c r="F910" s="202"/>
      <c r="G910" s="199"/>
      <c r="H910" s="199"/>
      <c r="I910" s="199"/>
      <c r="J910" s="202"/>
      <c r="K910" s="202"/>
      <c r="L910" s="199"/>
      <c r="M910" s="199"/>
      <c r="N910" s="199"/>
      <c r="O910" s="199"/>
      <c r="P910" s="199"/>
      <c r="Q910" s="199"/>
      <c r="R910" s="199"/>
      <c r="S910" s="199"/>
      <c r="T910" s="199"/>
      <c r="U910" s="199"/>
      <c r="V910" s="199"/>
      <c r="W910" s="199"/>
      <c r="X910" s="199"/>
      <c r="Y910" s="199"/>
      <c r="Z910" s="199"/>
    </row>
    <row r="911">
      <c r="A911" s="199"/>
      <c r="B911" s="199"/>
      <c r="C911" s="199"/>
      <c r="D911" s="199"/>
      <c r="E911" s="202"/>
      <c r="F911" s="202"/>
      <c r="G911" s="199"/>
      <c r="H911" s="199"/>
      <c r="I911" s="199"/>
      <c r="J911" s="202"/>
      <c r="K911" s="202"/>
      <c r="L911" s="199"/>
      <c r="M911" s="199"/>
      <c r="N911" s="199"/>
      <c r="O911" s="199"/>
      <c r="P911" s="199"/>
      <c r="Q911" s="199"/>
      <c r="R911" s="199"/>
      <c r="S911" s="199"/>
      <c r="T911" s="199"/>
      <c r="U911" s="199"/>
      <c r="V911" s="199"/>
      <c r="W911" s="199"/>
      <c r="X911" s="199"/>
      <c r="Y911" s="199"/>
      <c r="Z911" s="199"/>
    </row>
    <row r="912">
      <c r="A912" s="199"/>
      <c r="B912" s="199"/>
      <c r="C912" s="199"/>
      <c r="D912" s="199"/>
      <c r="E912" s="202"/>
      <c r="F912" s="202"/>
      <c r="G912" s="199"/>
      <c r="H912" s="199"/>
      <c r="I912" s="199"/>
      <c r="J912" s="202"/>
      <c r="K912" s="202"/>
      <c r="L912" s="199"/>
      <c r="M912" s="199"/>
      <c r="N912" s="199"/>
      <c r="O912" s="199"/>
      <c r="P912" s="199"/>
      <c r="Q912" s="199"/>
      <c r="R912" s="199"/>
      <c r="S912" s="199"/>
      <c r="T912" s="199"/>
      <c r="U912" s="199"/>
      <c r="V912" s="199"/>
      <c r="W912" s="199"/>
      <c r="X912" s="199"/>
      <c r="Y912" s="199"/>
      <c r="Z912" s="199"/>
    </row>
    <row r="913">
      <c r="A913" s="199"/>
      <c r="B913" s="199"/>
      <c r="C913" s="199"/>
      <c r="D913" s="199"/>
      <c r="E913" s="202"/>
      <c r="F913" s="202"/>
      <c r="G913" s="199"/>
      <c r="H913" s="199"/>
      <c r="I913" s="199"/>
      <c r="J913" s="202"/>
      <c r="K913" s="202"/>
      <c r="L913" s="199"/>
      <c r="M913" s="199"/>
      <c r="N913" s="199"/>
      <c r="O913" s="199"/>
      <c r="P913" s="199"/>
      <c r="Q913" s="199"/>
      <c r="R913" s="199"/>
      <c r="S913" s="199"/>
      <c r="T913" s="199"/>
      <c r="U913" s="199"/>
      <c r="V913" s="199"/>
      <c r="W913" s="199"/>
      <c r="X913" s="199"/>
      <c r="Y913" s="199"/>
      <c r="Z913" s="199"/>
    </row>
    <row r="914">
      <c r="A914" s="199"/>
      <c r="B914" s="199"/>
      <c r="C914" s="199"/>
      <c r="D914" s="199"/>
      <c r="E914" s="202"/>
      <c r="F914" s="202"/>
      <c r="G914" s="199"/>
      <c r="H914" s="199"/>
      <c r="I914" s="199"/>
      <c r="J914" s="202"/>
      <c r="K914" s="202"/>
      <c r="L914" s="199"/>
      <c r="M914" s="199"/>
      <c r="N914" s="199"/>
      <c r="O914" s="199"/>
      <c r="P914" s="199"/>
      <c r="Q914" s="199"/>
      <c r="R914" s="199"/>
      <c r="S914" s="199"/>
      <c r="T914" s="199"/>
      <c r="U914" s="199"/>
      <c r="V914" s="199"/>
      <c r="W914" s="199"/>
      <c r="X914" s="199"/>
      <c r="Y914" s="199"/>
      <c r="Z914" s="199"/>
    </row>
    <row r="915">
      <c r="A915" s="199"/>
      <c r="B915" s="199"/>
      <c r="C915" s="199"/>
      <c r="D915" s="199"/>
      <c r="E915" s="202"/>
      <c r="F915" s="202"/>
      <c r="G915" s="199"/>
      <c r="H915" s="199"/>
      <c r="I915" s="199"/>
      <c r="J915" s="202"/>
      <c r="K915" s="202"/>
      <c r="L915" s="199"/>
      <c r="M915" s="199"/>
      <c r="N915" s="199"/>
      <c r="O915" s="199"/>
      <c r="P915" s="199"/>
      <c r="Q915" s="199"/>
      <c r="R915" s="199"/>
      <c r="S915" s="199"/>
      <c r="T915" s="199"/>
      <c r="U915" s="199"/>
      <c r="V915" s="199"/>
      <c r="W915" s="199"/>
      <c r="X915" s="199"/>
      <c r="Y915" s="199"/>
      <c r="Z915" s="199"/>
    </row>
    <row r="916">
      <c r="A916" s="199"/>
      <c r="B916" s="199"/>
      <c r="C916" s="199"/>
      <c r="D916" s="199"/>
      <c r="E916" s="202"/>
      <c r="F916" s="202"/>
      <c r="G916" s="199"/>
      <c r="H916" s="199"/>
      <c r="I916" s="199"/>
      <c r="J916" s="202"/>
      <c r="K916" s="202"/>
      <c r="L916" s="199"/>
      <c r="M916" s="199"/>
      <c r="N916" s="199"/>
      <c r="O916" s="199"/>
      <c r="P916" s="199"/>
      <c r="Q916" s="199"/>
      <c r="R916" s="199"/>
      <c r="S916" s="199"/>
      <c r="T916" s="199"/>
      <c r="U916" s="199"/>
      <c r="V916" s="199"/>
      <c r="W916" s="199"/>
      <c r="X916" s="199"/>
      <c r="Y916" s="199"/>
      <c r="Z916" s="199"/>
    </row>
    <row r="917">
      <c r="A917" s="199"/>
      <c r="B917" s="199"/>
      <c r="C917" s="199"/>
      <c r="D917" s="199"/>
      <c r="E917" s="202"/>
      <c r="F917" s="202"/>
      <c r="G917" s="199"/>
      <c r="H917" s="199"/>
      <c r="I917" s="199"/>
      <c r="J917" s="202"/>
      <c r="K917" s="202"/>
      <c r="L917" s="199"/>
      <c r="M917" s="199"/>
      <c r="N917" s="199"/>
      <c r="O917" s="199"/>
      <c r="P917" s="199"/>
      <c r="Q917" s="199"/>
      <c r="R917" s="199"/>
      <c r="S917" s="199"/>
      <c r="T917" s="199"/>
      <c r="U917" s="199"/>
      <c r="V917" s="199"/>
      <c r="W917" s="199"/>
      <c r="X917" s="199"/>
      <c r="Y917" s="199"/>
      <c r="Z917" s="199"/>
    </row>
    <row r="918">
      <c r="A918" s="199"/>
      <c r="B918" s="199"/>
      <c r="C918" s="199"/>
      <c r="D918" s="199"/>
      <c r="E918" s="202"/>
      <c r="F918" s="202"/>
      <c r="G918" s="199"/>
      <c r="H918" s="199"/>
      <c r="I918" s="199"/>
      <c r="J918" s="202"/>
      <c r="K918" s="202"/>
      <c r="L918" s="199"/>
      <c r="M918" s="199"/>
      <c r="N918" s="199"/>
      <c r="O918" s="199"/>
      <c r="P918" s="199"/>
      <c r="Q918" s="199"/>
      <c r="R918" s="199"/>
      <c r="S918" s="199"/>
      <c r="T918" s="199"/>
      <c r="U918" s="199"/>
      <c r="V918" s="199"/>
      <c r="W918" s="199"/>
      <c r="X918" s="199"/>
      <c r="Y918" s="199"/>
      <c r="Z918" s="199"/>
    </row>
    <row r="919">
      <c r="A919" s="199"/>
      <c r="B919" s="199"/>
      <c r="C919" s="199"/>
      <c r="D919" s="199"/>
      <c r="E919" s="202"/>
      <c r="F919" s="202"/>
      <c r="G919" s="199"/>
      <c r="H919" s="199"/>
      <c r="I919" s="199"/>
      <c r="J919" s="202"/>
      <c r="K919" s="202"/>
      <c r="L919" s="199"/>
      <c r="M919" s="199"/>
      <c r="N919" s="199"/>
      <c r="O919" s="199"/>
      <c r="P919" s="199"/>
      <c r="Q919" s="199"/>
      <c r="R919" s="199"/>
      <c r="S919" s="199"/>
      <c r="T919" s="199"/>
      <c r="U919" s="199"/>
      <c r="V919" s="199"/>
      <c r="W919" s="199"/>
      <c r="X919" s="199"/>
      <c r="Y919" s="199"/>
      <c r="Z919" s="199"/>
    </row>
    <row r="920">
      <c r="A920" s="199"/>
      <c r="B920" s="199"/>
      <c r="C920" s="199"/>
      <c r="D920" s="199"/>
      <c r="E920" s="202"/>
      <c r="F920" s="202"/>
      <c r="G920" s="199"/>
      <c r="H920" s="199"/>
      <c r="I920" s="199"/>
      <c r="J920" s="202"/>
      <c r="K920" s="202"/>
      <c r="L920" s="199"/>
      <c r="M920" s="199"/>
      <c r="N920" s="199"/>
      <c r="O920" s="199"/>
      <c r="P920" s="199"/>
      <c r="Q920" s="199"/>
      <c r="R920" s="199"/>
      <c r="S920" s="199"/>
      <c r="T920" s="199"/>
      <c r="U920" s="199"/>
      <c r="V920" s="199"/>
      <c r="W920" s="199"/>
      <c r="X920" s="199"/>
      <c r="Y920" s="199"/>
      <c r="Z920" s="199"/>
    </row>
    <row r="921">
      <c r="A921" s="199"/>
      <c r="B921" s="199"/>
      <c r="C921" s="199"/>
      <c r="D921" s="199"/>
      <c r="E921" s="202"/>
      <c r="F921" s="202"/>
      <c r="G921" s="199"/>
      <c r="H921" s="199"/>
      <c r="I921" s="199"/>
      <c r="J921" s="202"/>
      <c r="K921" s="202"/>
      <c r="L921" s="199"/>
      <c r="M921" s="199"/>
      <c r="N921" s="199"/>
      <c r="O921" s="199"/>
      <c r="P921" s="199"/>
      <c r="Q921" s="199"/>
      <c r="R921" s="199"/>
      <c r="S921" s="199"/>
      <c r="T921" s="199"/>
      <c r="U921" s="199"/>
      <c r="V921" s="199"/>
      <c r="W921" s="199"/>
      <c r="X921" s="199"/>
      <c r="Y921" s="199"/>
      <c r="Z921" s="199"/>
    </row>
    <row r="922">
      <c r="A922" s="199"/>
      <c r="B922" s="199"/>
      <c r="C922" s="199"/>
      <c r="D922" s="199"/>
      <c r="E922" s="202"/>
      <c r="F922" s="202"/>
      <c r="G922" s="199"/>
      <c r="H922" s="199"/>
      <c r="I922" s="199"/>
      <c r="J922" s="202"/>
      <c r="K922" s="202"/>
      <c r="L922" s="199"/>
      <c r="M922" s="199"/>
      <c r="N922" s="199"/>
      <c r="O922" s="199"/>
      <c r="P922" s="199"/>
      <c r="Q922" s="199"/>
      <c r="R922" s="199"/>
      <c r="S922" s="199"/>
      <c r="T922" s="199"/>
      <c r="U922" s="199"/>
      <c r="V922" s="199"/>
      <c r="W922" s="199"/>
      <c r="X922" s="199"/>
      <c r="Y922" s="199"/>
      <c r="Z922" s="199"/>
    </row>
    <row r="923">
      <c r="A923" s="199"/>
      <c r="B923" s="199"/>
      <c r="C923" s="199"/>
      <c r="D923" s="199"/>
      <c r="E923" s="202"/>
      <c r="F923" s="202"/>
      <c r="G923" s="199"/>
      <c r="H923" s="199"/>
      <c r="I923" s="199"/>
      <c r="J923" s="202"/>
      <c r="K923" s="202"/>
      <c r="L923" s="199"/>
      <c r="M923" s="199"/>
      <c r="N923" s="199"/>
      <c r="O923" s="199"/>
      <c r="P923" s="199"/>
      <c r="Q923" s="199"/>
      <c r="R923" s="199"/>
      <c r="S923" s="199"/>
      <c r="T923" s="199"/>
      <c r="U923" s="199"/>
      <c r="V923" s="199"/>
      <c r="W923" s="199"/>
      <c r="X923" s="199"/>
      <c r="Y923" s="199"/>
      <c r="Z923" s="199"/>
    </row>
    <row r="924">
      <c r="A924" s="199"/>
      <c r="B924" s="199"/>
      <c r="C924" s="199"/>
      <c r="D924" s="199"/>
      <c r="E924" s="202"/>
      <c r="F924" s="202"/>
      <c r="G924" s="199"/>
      <c r="H924" s="199"/>
      <c r="I924" s="199"/>
      <c r="J924" s="202"/>
      <c r="K924" s="202"/>
      <c r="L924" s="199"/>
      <c r="M924" s="199"/>
      <c r="N924" s="199"/>
      <c r="O924" s="199"/>
      <c r="P924" s="199"/>
      <c r="Q924" s="199"/>
      <c r="R924" s="199"/>
      <c r="S924" s="199"/>
      <c r="T924" s="199"/>
      <c r="U924" s="199"/>
      <c r="V924" s="199"/>
      <c r="W924" s="199"/>
      <c r="X924" s="199"/>
      <c r="Y924" s="199"/>
      <c r="Z924" s="199"/>
    </row>
    <row r="925">
      <c r="A925" s="199"/>
      <c r="B925" s="199"/>
      <c r="C925" s="199"/>
      <c r="D925" s="199"/>
      <c r="E925" s="202"/>
      <c r="F925" s="202"/>
      <c r="G925" s="199"/>
      <c r="H925" s="199"/>
      <c r="I925" s="199"/>
      <c r="J925" s="202"/>
      <c r="K925" s="202"/>
      <c r="L925" s="199"/>
      <c r="M925" s="199"/>
      <c r="N925" s="199"/>
      <c r="O925" s="199"/>
      <c r="P925" s="199"/>
      <c r="Q925" s="199"/>
      <c r="R925" s="199"/>
      <c r="S925" s="199"/>
      <c r="T925" s="199"/>
      <c r="U925" s="199"/>
      <c r="V925" s="199"/>
      <c r="W925" s="199"/>
      <c r="X925" s="199"/>
      <c r="Y925" s="199"/>
      <c r="Z925" s="199"/>
    </row>
    <row r="926">
      <c r="A926" s="199"/>
      <c r="B926" s="199"/>
      <c r="C926" s="199"/>
      <c r="D926" s="199"/>
      <c r="E926" s="202"/>
      <c r="F926" s="202"/>
      <c r="G926" s="199"/>
      <c r="H926" s="199"/>
      <c r="I926" s="199"/>
      <c r="J926" s="202"/>
      <c r="K926" s="202"/>
      <c r="L926" s="199"/>
      <c r="M926" s="199"/>
      <c r="N926" s="199"/>
      <c r="O926" s="199"/>
      <c r="P926" s="199"/>
      <c r="Q926" s="199"/>
      <c r="R926" s="199"/>
      <c r="S926" s="199"/>
      <c r="T926" s="199"/>
      <c r="U926" s="199"/>
      <c r="V926" s="199"/>
      <c r="W926" s="199"/>
      <c r="X926" s="199"/>
      <c r="Y926" s="199"/>
      <c r="Z926" s="199"/>
    </row>
    <row r="927">
      <c r="A927" s="199"/>
      <c r="B927" s="199"/>
      <c r="C927" s="199"/>
      <c r="D927" s="199"/>
      <c r="E927" s="202"/>
      <c r="F927" s="202"/>
      <c r="G927" s="199"/>
      <c r="H927" s="199"/>
      <c r="I927" s="199"/>
      <c r="J927" s="202"/>
      <c r="K927" s="202"/>
      <c r="L927" s="199"/>
      <c r="M927" s="199"/>
      <c r="N927" s="199"/>
      <c r="O927" s="199"/>
      <c r="P927" s="199"/>
      <c r="Q927" s="199"/>
      <c r="R927" s="199"/>
      <c r="S927" s="199"/>
      <c r="T927" s="199"/>
      <c r="U927" s="199"/>
      <c r="V927" s="199"/>
      <c r="W927" s="199"/>
      <c r="X927" s="199"/>
      <c r="Y927" s="199"/>
      <c r="Z927" s="199"/>
    </row>
    <row r="928">
      <c r="A928" s="199"/>
      <c r="B928" s="199"/>
      <c r="C928" s="199"/>
      <c r="D928" s="199"/>
      <c r="E928" s="202"/>
      <c r="F928" s="202"/>
      <c r="G928" s="199"/>
      <c r="H928" s="199"/>
      <c r="I928" s="199"/>
      <c r="J928" s="202"/>
      <c r="K928" s="202"/>
      <c r="L928" s="199"/>
      <c r="M928" s="199"/>
      <c r="N928" s="199"/>
      <c r="O928" s="199"/>
      <c r="P928" s="199"/>
      <c r="Q928" s="199"/>
      <c r="R928" s="199"/>
      <c r="S928" s="199"/>
      <c r="T928" s="199"/>
      <c r="U928" s="199"/>
      <c r="V928" s="199"/>
      <c r="W928" s="199"/>
      <c r="X928" s="199"/>
      <c r="Y928" s="199"/>
      <c r="Z928" s="199"/>
    </row>
    <row r="929">
      <c r="A929" s="199"/>
      <c r="B929" s="199"/>
      <c r="C929" s="199"/>
      <c r="D929" s="199"/>
      <c r="E929" s="202"/>
      <c r="F929" s="202"/>
      <c r="G929" s="199"/>
      <c r="H929" s="199"/>
      <c r="I929" s="199"/>
      <c r="J929" s="202"/>
      <c r="K929" s="202"/>
      <c r="L929" s="199"/>
      <c r="M929" s="199"/>
      <c r="N929" s="199"/>
      <c r="O929" s="199"/>
      <c r="P929" s="199"/>
      <c r="Q929" s="199"/>
      <c r="R929" s="199"/>
      <c r="S929" s="199"/>
      <c r="T929" s="199"/>
      <c r="U929" s="199"/>
      <c r="V929" s="199"/>
      <c r="W929" s="199"/>
      <c r="X929" s="199"/>
      <c r="Y929" s="199"/>
      <c r="Z929" s="199"/>
    </row>
    <row r="930">
      <c r="A930" s="199"/>
      <c r="B930" s="199"/>
      <c r="C930" s="199"/>
      <c r="D930" s="199"/>
      <c r="E930" s="202"/>
      <c r="F930" s="202"/>
      <c r="G930" s="199"/>
      <c r="H930" s="199"/>
      <c r="I930" s="199"/>
      <c r="J930" s="202"/>
      <c r="K930" s="202"/>
      <c r="L930" s="199"/>
      <c r="M930" s="199"/>
      <c r="N930" s="199"/>
      <c r="O930" s="199"/>
      <c r="P930" s="199"/>
      <c r="Q930" s="199"/>
      <c r="R930" s="199"/>
      <c r="S930" s="199"/>
      <c r="T930" s="199"/>
      <c r="U930" s="199"/>
      <c r="V930" s="199"/>
      <c r="W930" s="199"/>
      <c r="X930" s="199"/>
      <c r="Y930" s="199"/>
      <c r="Z930" s="199"/>
    </row>
    <row r="931">
      <c r="A931" s="199"/>
      <c r="B931" s="199"/>
      <c r="C931" s="199"/>
      <c r="D931" s="199"/>
      <c r="E931" s="202"/>
      <c r="F931" s="202"/>
      <c r="G931" s="199"/>
      <c r="H931" s="199"/>
      <c r="I931" s="199"/>
      <c r="J931" s="202"/>
      <c r="K931" s="202"/>
      <c r="L931" s="199"/>
      <c r="M931" s="199"/>
      <c r="N931" s="199"/>
      <c r="O931" s="199"/>
      <c r="P931" s="199"/>
      <c r="Q931" s="199"/>
      <c r="R931" s="199"/>
      <c r="S931" s="199"/>
      <c r="T931" s="199"/>
      <c r="U931" s="199"/>
      <c r="V931" s="199"/>
      <c r="W931" s="199"/>
      <c r="X931" s="199"/>
      <c r="Y931" s="199"/>
      <c r="Z931" s="199"/>
    </row>
    <row r="932">
      <c r="A932" s="199"/>
      <c r="B932" s="199"/>
      <c r="C932" s="199"/>
      <c r="D932" s="199"/>
      <c r="E932" s="202"/>
      <c r="F932" s="202"/>
      <c r="G932" s="199"/>
      <c r="H932" s="199"/>
      <c r="I932" s="199"/>
      <c r="J932" s="202"/>
      <c r="K932" s="202"/>
      <c r="L932" s="199"/>
      <c r="M932" s="199"/>
      <c r="N932" s="199"/>
      <c r="O932" s="199"/>
      <c r="P932" s="199"/>
      <c r="Q932" s="199"/>
      <c r="R932" s="199"/>
      <c r="S932" s="199"/>
      <c r="T932" s="199"/>
      <c r="U932" s="199"/>
      <c r="V932" s="199"/>
      <c r="W932" s="199"/>
      <c r="X932" s="199"/>
      <c r="Y932" s="199"/>
      <c r="Z932" s="199"/>
    </row>
    <row r="933">
      <c r="A933" s="199"/>
      <c r="B933" s="199"/>
      <c r="C933" s="199"/>
      <c r="D933" s="199"/>
      <c r="E933" s="202"/>
      <c r="F933" s="202"/>
      <c r="G933" s="199"/>
      <c r="H933" s="199"/>
      <c r="I933" s="199"/>
      <c r="J933" s="202"/>
      <c r="K933" s="202"/>
      <c r="L933" s="199"/>
      <c r="M933" s="199"/>
      <c r="N933" s="199"/>
      <c r="O933" s="199"/>
      <c r="P933" s="199"/>
      <c r="Q933" s="199"/>
      <c r="R933" s="199"/>
      <c r="S933" s="199"/>
      <c r="T933" s="199"/>
      <c r="U933" s="199"/>
      <c r="V933" s="199"/>
      <c r="W933" s="199"/>
      <c r="X933" s="199"/>
      <c r="Y933" s="199"/>
      <c r="Z933" s="199"/>
    </row>
    <row r="934">
      <c r="A934" s="199"/>
      <c r="B934" s="199"/>
      <c r="C934" s="199"/>
      <c r="D934" s="199"/>
      <c r="E934" s="202"/>
      <c r="F934" s="202"/>
      <c r="G934" s="199"/>
      <c r="H934" s="199"/>
      <c r="I934" s="199"/>
      <c r="J934" s="202"/>
      <c r="K934" s="202"/>
      <c r="L934" s="199"/>
      <c r="M934" s="199"/>
      <c r="N934" s="199"/>
      <c r="O934" s="199"/>
      <c r="P934" s="199"/>
      <c r="Q934" s="199"/>
      <c r="R934" s="199"/>
      <c r="S934" s="199"/>
      <c r="T934" s="199"/>
      <c r="U934" s="199"/>
      <c r="V934" s="199"/>
      <c r="W934" s="199"/>
      <c r="X934" s="199"/>
      <c r="Y934" s="199"/>
      <c r="Z934" s="199"/>
    </row>
    <row r="935">
      <c r="A935" s="199"/>
      <c r="B935" s="199"/>
      <c r="C935" s="199"/>
      <c r="D935" s="199"/>
      <c r="E935" s="202"/>
      <c r="F935" s="202"/>
      <c r="G935" s="199"/>
      <c r="H935" s="199"/>
      <c r="I935" s="199"/>
      <c r="J935" s="202"/>
      <c r="K935" s="202"/>
      <c r="L935" s="199"/>
      <c r="M935" s="199"/>
      <c r="N935" s="199"/>
      <c r="O935" s="199"/>
      <c r="P935" s="199"/>
      <c r="Q935" s="199"/>
      <c r="R935" s="199"/>
      <c r="S935" s="199"/>
      <c r="T935" s="199"/>
      <c r="U935" s="199"/>
      <c r="V935" s="199"/>
      <c r="W935" s="199"/>
      <c r="X935" s="199"/>
      <c r="Y935" s="199"/>
      <c r="Z935" s="199"/>
    </row>
    <row r="936">
      <c r="A936" s="199"/>
      <c r="B936" s="199"/>
      <c r="C936" s="199"/>
      <c r="D936" s="199"/>
      <c r="E936" s="202"/>
      <c r="F936" s="202"/>
      <c r="G936" s="199"/>
      <c r="H936" s="199"/>
      <c r="I936" s="199"/>
      <c r="J936" s="202"/>
      <c r="K936" s="202"/>
      <c r="L936" s="199"/>
      <c r="M936" s="199"/>
      <c r="N936" s="199"/>
      <c r="O936" s="199"/>
      <c r="P936" s="199"/>
      <c r="Q936" s="199"/>
      <c r="R936" s="199"/>
      <c r="S936" s="199"/>
      <c r="T936" s="199"/>
      <c r="U936" s="199"/>
      <c r="V936" s="199"/>
      <c r="W936" s="199"/>
      <c r="X936" s="199"/>
      <c r="Y936" s="199"/>
      <c r="Z936" s="199"/>
    </row>
    <row r="937">
      <c r="A937" s="199"/>
      <c r="B937" s="199"/>
      <c r="C937" s="199"/>
      <c r="D937" s="199"/>
      <c r="E937" s="202"/>
      <c r="F937" s="202"/>
      <c r="G937" s="199"/>
      <c r="H937" s="199"/>
      <c r="I937" s="199"/>
      <c r="J937" s="202"/>
      <c r="K937" s="202"/>
      <c r="L937" s="199"/>
      <c r="M937" s="199"/>
      <c r="N937" s="199"/>
      <c r="O937" s="199"/>
      <c r="P937" s="199"/>
      <c r="Q937" s="199"/>
      <c r="R937" s="199"/>
      <c r="S937" s="199"/>
      <c r="T937" s="199"/>
      <c r="U937" s="199"/>
      <c r="V937" s="199"/>
      <c r="W937" s="199"/>
      <c r="X937" s="199"/>
      <c r="Y937" s="199"/>
      <c r="Z937" s="199"/>
    </row>
    <row r="938">
      <c r="A938" s="199"/>
      <c r="B938" s="199"/>
      <c r="C938" s="199"/>
      <c r="D938" s="199"/>
      <c r="E938" s="202"/>
      <c r="F938" s="202"/>
      <c r="G938" s="199"/>
      <c r="H938" s="199"/>
      <c r="I938" s="199"/>
      <c r="J938" s="202"/>
      <c r="K938" s="202"/>
      <c r="L938" s="199"/>
      <c r="M938" s="199"/>
      <c r="N938" s="199"/>
      <c r="O938" s="199"/>
      <c r="P938" s="199"/>
      <c r="Q938" s="199"/>
      <c r="R938" s="199"/>
      <c r="S938" s="199"/>
      <c r="T938" s="199"/>
      <c r="U938" s="199"/>
      <c r="V938" s="199"/>
      <c r="W938" s="199"/>
      <c r="X938" s="199"/>
      <c r="Y938" s="199"/>
      <c r="Z938" s="199"/>
    </row>
    <row r="939">
      <c r="A939" s="199"/>
      <c r="B939" s="199"/>
      <c r="C939" s="199"/>
      <c r="D939" s="199"/>
      <c r="E939" s="202"/>
      <c r="F939" s="202"/>
      <c r="G939" s="199"/>
      <c r="H939" s="199"/>
      <c r="I939" s="199"/>
      <c r="J939" s="202"/>
      <c r="K939" s="202"/>
      <c r="L939" s="199"/>
      <c r="M939" s="199"/>
      <c r="N939" s="199"/>
      <c r="O939" s="199"/>
      <c r="P939" s="199"/>
      <c r="Q939" s="199"/>
      <c r="R939" s="199"/>
      <c r="S939" s="199"/>
      <c r="T939" s="199"/>
      <c r="U939" s="199"/>
      <c r="V939" s="199"/>
      <c r="W939" s="199"/>
      <c r="X939" s="199"/>
      <c r="Y939" s="199"/>
      <c r="Z939" s="199"/>
    </row>
    <row r="940">
      <c r="A940" s="199"/>
      <c r="B940" s="199"/>
      <c r="C940" s="199"/>
      <c r="D940" s="199"/>
      <c r="E940" s="202"/>
      <c r="F940" s="202"/>
      <c r="G940" s="199"/>
      <c r="H940" s="199"/>
      <c r="I940" s="199"/>
      <c r="J940" s="202"/>
      <c r="K940" s="202"/>
      <c r="L940" s="199"/>
      <c r="M940" s="199"/>
      <c r="N940" s="199"/>
      <c r="O940" s="199"/>
      <c r="P940" s="199"/>
      <c r="Q940" s="199"/>
      <c r="R940" s="199"/>
      <c r="S940" s="199"/>
      <c r="T940" s="199"/>
      <c r="U940" s="199"/>
      <c r="V940" s="199"/>
      <c r="W940" s="199"/>
      <c r="X940" s="199"/>
      <c r="Y940" s="199"/>
      <c r="Z940" s="199"/>
    </row>
    <row r="941">
      <c r="A941" s="199"/>
      <c r="B941" s="199"/>
      <c r="C941" s="199"/>
      <c r="D941" s="199"/>
      <c r="E941" s="202"/>
      <c r="F941" s="202"/>
      <c r="G941" s="199"/>
      <c r="H941" s="199"/>
      <c r="I941" s="199"/>
      <c r="J941" s="202"/>
      <c r="K941" s="202"/>
      <c r="L941" s="199"/>
      <c r="M941" s="199"/>
      <c r="N941" s="199"/>
      <c r="O941" s="199"/>
      <c r="P941" s="199"/>
      <c r="Q941" s="199"/>
      <c r="R941" s="199"/>
      <c r="S941" s="199"/>
      <c r="T941" s="199"/>
      <c r="U941" s="199"/>
      <c r="V941" s="199"/>
      <c r="W941" s="199"/>
      <c r="X941" s="199"/>
      <c r="Y941" s="199"/>
      <c r="Z941" s="199"/>
    </row>
    <row r="942">
      <c r="A942" s="199"/>
      <c r="B942" s="199"/>
      <c r="C942" s="199"/>
      <c r="D942" s="199"/>
      <c r="E942" s="202"/>
      <c r="F942" s="202"/>
      <c r="G942" s="199"/>
      <c r="H942" s="199"/>
      <c r="I942" s="199"/>
      <c r="J942" s="202"/>
      <c r="K942" s="202"/>
      <c r="L942" s="199"/>
      <c r="M942" s="199"/>
      <c r="N942" s="199"/>
      <c r="O942" s="199"/>
      <c r="P942" s="199"/>
      <c r="Q942" s="199"/>
      <c r="R942" s="199"/>
      <c r="S942" s="199"/>
      <c r="T942" s="199"/>
      <c r="U942" s="199"/>
      <c r="V942" s="199"/>
      <c r="W942" s="199"/>
      <c r="X942" s="199"/>
      <c r="Y942" s="199"/>
      <c r="Z942" s="199"/>
    </row>
    <row r="943">
      <c r="A943" s="199"/>
      <c r="B943" s="199"/>
      <c r="C943" s="199"/>
      <c r="D943" s="199"/>
      <c r="E943" s="202"/>
      <c r="F943" s="202"/>
      <c r="G943" s="199"/>
      <c r="H943" s="199"/>
      <c r="I943" s="199"/>
      <c r="J943" s="202"/>
      <c r="K943" s="202"/>
      <c r="L943" s="199"/>
      <c r="M943" s="199"/>
      <c r="N943" s="199"/>
      <c r="O943" s="199"/>
      <c r="P943" s="199"/>
      <c r="Q943" s="199"/>
      <c r="R943" s="199"/>
      <c r="S943" s="199"/>
      <c r="T943" s="199"/>
      <c r="U943" s="199"/>
      <c r="V943" s="199"/>
      <c r="W943" s="199"/>
      <c r="X943" s="199"/>
      <c r="Y943" s="199"/>
      <c r="Z943" s="199"/>
    </row>
    <row r="944">
      <c r="A944" s="199"/>
      <c r="B944" s="199"/>
      <c r="C944" s="199"/>
      <c r="D944" s="199"/>
      <c r="E944" s="202"/>
      <c r="F944" s="202"/>
      <c r="G944" s="199"/>
      <c r="H944" s="199"/>
      <c r="I944" s="199"/>
      <c r="J944" s="202"/>
      <c r="K944" s="202"/>
      <c r="L944" s="199"/>
      <c r="M944" s="199"/>
      <c r="N944" s="199"/>
      <c r="O944" s="199"/>
      <c r="P944" s="199"/>
      <c r="Q944" s="199"/>
      <c r="R944" s="199"/>
      <c r="S944" s="199"/>
      <c r="T944" s="199"/>
      <c r="U944" s="199"/>
      <c r="V944" s="199"/>
      <c r="W944" s="199"/>
      <c r="X944" s="199"/>
      <c r="Y944" s="199"/>
      <c r="Z944" s="199"/>
    </row>
    <row r="945">
      <c r="A945" s="199"/>
      <c r="B945" s="199"/>
      <c r="C945" s="199"/>
      <c r="D945" s="199"/>
      <c r="E945" s="202"/>
      <c r="F945" s="202"/>
      <c r="G945" s="199"/>
      <c r="H945" s="199"/>
      <c r="I945" s="199"/>
      <c r="J945" s="202"/>
      <c r="K945" s="202"/>
      <c r="L945" s="199"/>
      <c r="M945" s="199"/>
      <c r="N945" s="199"/>
      <c r="O945" s="199"/>
      <c r="P945" s="199"/>
      <c r="Q945" s="199"/>
      <c r="R945" s="199"/>
      <c r="S945" s="199"/>
      <c r="T945" s="199"/>
      <c r="U945" s="199"/>
      <c r="V945" s="199"/>
      <c r="W945" s="199"/>
      <c r="X945" s="199"/>
      <c r="Y945" s="199"/>
      <c r="Z945" s="199"/>
    </row>
    <row r="946">
      <c r="A946" s="199"/>
      <c r="B946" s="199"/>
      <c r="C946" s="199"/>
      <c r="D946" s="199"/>
      <c r="E946" s="202"/>
      <c r="F946" s="202"/>
      <c r="G946" s="199"/>
      <c r="H946" s="199"/>
      <c r="I946" s="199"/>
      <c r="J946" s="202"/>
      <c r="K946" s="202"/>
      <c r="L946" s="199"/>
      <c r="M946" s="199"/>
      <c r="N946" s="199"/>
      <c r="O946" s="199"/>
      <c r="P946" s="199"/>
      <c r="Q946" s="199"/>
      <c r="R946" s="199"/>
      <c r="S946" s="199"/>
      <c r="T946" s="199"/>
      <c r="U946" s="199"/>
      <c r="V946" s="199"/>
      <c r="W946" s="199"/>
      <c r="X946" s="199"/>
      <c r="Y946" s="199"/>
      <c r="Z946" s="199"/>
    </row>
    <row r="947">
      <c r="A947" s="199"/>
      <c r="B947" s="199"/>
      <c r="C947" s="199"/>
      <c r="D947" s="199"/>
      <c r="E947" s="202"/>
      <c r="F947" s="202"/>
      <c r="G947" s="199"/>
      <c r="H947" s="199"/>
      <c r="I947" s="199"/>
      <c r="J947" s="202"/>
      <c r="K947" s="202"/>
      <c r="L947" s="199"/>
      <c r="M947" s="199"/>
      <c r="N947" s="199"/>
      <c r="O947" s="199"/>
      <c r="P947" s="199"/>
      <c r="Q947" s="199"/>
      <c r="R947" s="199"/>
      <c r="S947" s="199"/>
      <c r="T947" s="199"/>
      <c r="U947" s="199"/>
      <c r="V947" s="199"/>
      <c r="W947" s="199"/>
      <c r="X947" s="199"/>
      <c r="Y947" s="199"/>
      <c r="Z947" s="199"/>
    </row>
    <row r="948">
      <c r="A948" s="199"/>
      <c r="B948" s="199"/>
      <c r="C948" s="199"/>
      <c r="D948" s="199"/>
      <c r="E948" s="202"/>
      <c r="F948" s="202"/>
      <c r="G948" s="199"/>
      <c r="H948" s="199"/>
      <c r="I948" s="199"/>
      <c r="J948" s="202"/>
      <c r="K948" s="202"/>
      <c r="L948" s="199"/>
      <c r="M948" s="199"/>
      <c r="N948" s="199"/>
      <c r="O948" s="199"/>
      <c r="P948" s="199"/>
      <c r="Q948" s="199"/>
      <c r="R948" s="199"/>
      <c r="S948" s="199"/>
      <c r="T948" s="199"/>
      <c r="U948" s="199"/>
      <c r="V948" s="199"/>
      <c r="W948" s="199"/>
      <c r="X948" s="199"/>
      <c r="Y948" s="199"/>
      <c r="Z948" s="199"/>
    </row>
    <row r="949">
      <c r="A949" s="199"/>
      <c r="B949" s="199"/>
      <c r="C949" s="199"/>
      <c r="D949" s="199"/>
      <c r="E949" s="202"/>
      <c r="F949" s="202"/>
      <c r="G949" s="199"/>
      <c r="H949" s="199"/>
      <c r="I949" s="199"/>
      <c r="J949" s="202"/>
      <c r="K949" s="202"/>
      <c r="L949" s="199"/>
      <c r="M949" s="199"/>
      <c r="N949" s="199"/>
      <c r="O949" s="199"/>
      <c r="P949" s="199"/>
      <c r="Q949" s="199"/>
      <c r="R949" s="199"/>
      <c r="S949" s="199"/>
      <c r="T949" s="199"/>
      <c r="U949" s="199"/>
      <c r="V949" s="199"/>
      <c r="W949" s="199"/>
      <c r="X949" s="199"/>
      <c r="Y949" s="199"/>
      <c r="Z949" s="199"/>
    </row>
    <row r="950">
      <c r="A950" s="199"/>
      <c r="B950" s="199"/>
      <c r="C950" s="199"/>
      <c r="D950" s="199"/>
      <c r="E950" s="202"/>
      <c r="F950" s="202"/>
      <c r="G950" s="199"/>
      <c r="H950" s="199"/>
      <c r="I950" s="199"/>
      <c r="J950" s="202"/>
      <c r="K950" s="202"/>
      <c r="L950" s="199"/>
      <c r="M950" s="199"/>
      <c r="N950" s="199"/>
      <c r="O950" s="199"/>
      <c r="P950" s="199"/>
      <c r="Q950" s="199"/>
      <c r="R950" s="199"/>
      <c r="S950" s="199"/>
      <c r="T950" s="199"/>
      <c r="U950" s="199"/>
      <c r="V950" s="199"/>
      <c r="W950" s="199"/>
      <c r="X950" s="199"/>
      <c r="Y950" s="199"/>
      <c r="Z950" s="199"/>
    </row>
    <row r="951">
      <c r="A951" s="199"/>
      <c r="B951" s="199"/>
      <c r="C951" s="199"/>
      <c r="D951" s="199"/>
      <c r="E951" s="202"/>
      <c r="F951" s="202"/>
      <c r="G951" s="199"/>
      <c r="H951" s="199"/>
      <c r="I951" s="199"/>
      <c r="J951" s="202"/>
      <c r="K951" s="202"/>
      <c r="L951" s="199"/>
      <c r="M951" s="199"/>
      <c r="N951" s="199"/>
      <c r="O951" s="199"/>
      <c r="P951" s="199"/>
      <c r="Q951" s="199"/>
      <c r="R951" s="199"/>
      <c r="S951" s="199"/>
      <c r="T951" s="199"/>
      <c r="U951" s="199"/>
      <c r="V951" s="199"/>
      <c r="W951" s="199"/>
      <c r="X951" s="199"/>
      <c r="Y951" s="199"/>
      <c r="Z951" s="199"/>
    </row>
    <row r="952">
      <c r="A952" s="199"/>
      <c r="B952" s="199"/>
      <c r="C952" s="199"/>
      <c r="D952" s="199"/>
      <c r="E952" s="202"/>
      <c r="F952" s="202"/>
      <c r="G952" s="199"/>
      <c r="H952" s="199"/>
      <c r="I952" s="199"/>
      <c r="J952" s="202"/>
      <c r="K952" s="202"/>
      <c r="L952" s="199"/>
      <c r="M952" s="199"/>
      <c r="N952" s="199"/>
      <c r="O952" s="199"/>
      <c r="P952" s="199"/>
      <c r="Q952" s="199"/>
      <c r="R952" s="199"/>
      <c r="S952" s="199"/>
      <c r="T952" s="199"/>
      <c r="U952" s="199"/>
      <c r="V952" s="199"/>
      <c r="W952" s="199"/>
      <c r="X952" s="199"/>
      <c r="Y952" s="199"/>
      <c r="Z952" s="199"/>
    </row>
    <row r="953">
      <c r="A953" s="199"/>
      <c r="B953" s="199"/>
      <c r="C953" s="199"/>
      <c r="D953" s="199"/>
      <c r="E953" s="202"/>
      <c r="F953" s="202"/>
      <c r="G953" s="199"/>
      <c r="H953" s="199"/>
      <c r="I953" s="199"/>
      <c r="J953" s="202"/>
      <c r="K953" s="202"/>
      <c r="L953" s="199"/>
      <c r="M953" s="199"/>
      <c r="N953" s="199"/>
      <c r="O953" s="199"/>
      <c r="P953" s="199"/>
      <c r="Q953" s="199"/>
      <c r="R953" s="199"/>
      <c r="S953" s="199"/>
      <c r="T953" s="199"/>
      <c r="U953" s="199"/>
      <c r="V953" s="199"/>
      <c r="W953" s="199"/>
      <c r="X953" s="199"/>
      <c r="Y953" s="199"/>
      <c r="Z953" s="199"/>
    </row>
    <row r="954">
      <c r="A954" s="199"/>
      <c r="B954" s="199"/>
      <c r="C954" s="199"/>
      <c r="D954" s="199"/>
      <c r="E954" s="202"/>
      <c r="F954" s="202"/>
      <c r="G954" s="199"/>
      <c r="H954" s="199"/>
      <c r="I954" s="199"/>
      <c r="J954" s="202"/>
      <c r="K954" s="202"/>
      <c r="L954" s="199"/>
      <c r="M954" s="199"/>
      <c r="N954" s="199"/>
      <c r="O954" s="199"/>
      <c r="P954" s="199"/>
      <c r="Q954" s="199"/>
      <c r="R954" s="199"/>
      <c r="S954" s="199"/>
      <c r="T954" s="199"/>
      <c r="U954" s="199"/>
      <c r="V954" s="199"/>
      <c r="W954" s="199"/>
      <c r="X954" s="199"/>
      <c r="Y954" s="199"/>
      <c r="Z954" s="199"/>
    </row>
    <row r="955">
      <c r="A955" s="199"/>
      <c r="B955" s="199"/>
      <c r="C955" s="199"/>
      <c r="D955" s="199"/>
      <c r="E955" s="202"/>
      <c r="F955" s="202"/>
      <c r="G955" s="199"/>
      <c r="H955" s="199"/>
      <c r="I955" s="199"/>
      <c r="J955" s="202"/>
      <c r="K955" s="202"/>
      <c r="L955" s="199"/>
      <c r="M955" s="199"/>
      <c r="N955" s="199"/>
      <c r="O955" s="199"/>
      <c r="P955" s="199"/>
      <c r="Q955" s="199"/>
      <c r="R955" s="199"/>
      <c r="S955" s="199"/>
      <c r="T955" s="199"/>
      <c r="U955" s="199"/>
      <c r="V955" s="199"/>
      <c r="W955" s="199"/>
      <c r="X955" s="199"/>
      <c r="Y955" s="199"/>
      <c r="Z955" s="199"/>
    </row>
    <row r="956">
      <c r="A956" s="199"/>
      <c r="B956" s="199"/>
      <c r="C956" s="199"/>
      <c r="D956" s="199"/>
      <c r="E956" s="202"/>
      <c r="F956" s="202"/>
      <c r="G956" s="199"/>
      <c r="H956" s="199"/>
      <c r="I956" s="199"/>
      <c r="J956" s="202"/>
      <c r="K956" s="202"/>
      <c r="L956" s="199"/>
      <c r="M956" s="199"/>
      <c r="N956" s="199"/>
      <c r="O956" s="199"/>
      <c r="P956" s="199"/>
      <c r="Q956" s="199"/>
      <c r="R956" s="199"/>
      <c r="S956" s="199"/>
      <c r="T956" s="199"/>
      <c r="U956" s="199"/>
      <c r="V956" s="199"/>
      <c r="W956" s="199"/>
      <c r="X956" s="199"/>
      <c r="Y956" s="199"/>
      <c r="Z956" s="199"/>
    </row>
    <row r="957">
      <c r="A957" s="199"/>
      <c r="B957" s="199"/>
      <c r="C957" s="199"/>
      <c r="D957" s="199"/>
      <c r="E957" s="202"/>
      <c r="F957" s="202"/>
      <c r="G957" s="199"/>
      <c r="H957" s="199"/>
      <c r="I957" s="199"/>
      <c r="J957" s="202"/>
      <c r="K957" s="202"/>
      <c r="L957" s="199"/>
      <c r="M957" s="199"/>
      <c r="N957" s="199"/>
      <c r="O957" s="199"/>
      <c r="P957" s="199"/>
      <c r="Q957" s="199"/>
      <c r="R957" s="199"/>
      <c r="S957" s="199"/>
      <c r="T957" s="199"/>
      <c r="U957" s="199"/>
      <c r="V957" s="199"/>
      <c r="W957" s="199"/>
      <c r="X957" s="199"/>
      <c r="Y957" s="199"/>
      <c r="Z957" s="199"/>
    </row>
    <row r="958">
      <c r="A958" s="199"/>
      <c r="B958" s="199"/>
      <c r="C958" s="199"/>
      <c r="D958" s="199"/>
      <c r="E958" s="202"/>
      <c r="F958" s="202"/>
      <c r="G958" s="199"/>
      <c r="H958" s="199"/>
      <c r="I958" s="199"/>
      <c r="J958" s="202"/>
      <c r="K958" s="202"/>
      <c r="L958" s="199"/>
      <c r="M958" s="199"/>
      <c r="N958" s="199"/>
      <c r="O958" s="199"/>
      <c r="P958" s="199"/>
      <c r="Q958" s="199"/>
      <c r="R958" s="199"/>
      <c r="S958" s="199"/>
      <c r="T958" s="199"/>
      <c r="U958" s="199"/>
      <c r="V958" s="199"/>
      <c r="W958" s="199"/>
      <c r="X958" s="199"/>
      <c r="Y958" s="199"/>
      <c r="Z958" s="199"/>
    </row>
    <row r="959">
      <c r="A959" s="199"/>
      <c r="B959" s="199"/>
      <c r="C959" s="199"/>
      <c r="D959" s="199"/>
      <c r="E959" s="202"/>
      <c r="F959" s="202"/>
      <c r="G959" s="199"/>
      <c r="H959" s="199"/>
      <c r="I959" s="199"/>
      <c r="J959" s="202"/>
      <c r="K959" s="202"/>
      <c r="L959" s="199"/>
      <c r="M959" s="199"/>
      <c r="N959" s="199"/>
      <c r="O959" s="199"/>
      <c r="P959" s="199"/>
      <c r="Q959" s="199"/>
      <c r="R959" s="199"/>
      <c r="S959" s="199"/>
      <c r="T959" s="199"/>
      <c r="U959" s="199"/>
      <c r="V959" s="199"/>
      <c r="W959" s="199"/>
      <c r="X959" s="199"/>
      <c r="Y959" s="199"/>
      <c r="Z959" s="199"/>
    </row>
    <row r="960">
      <c r="A960" s="199"/>
      <c r="B960" s="199"/>
      <c r="C960" s="199"/>
      <c r="D960" s="199"/>
      <c r="E960" s="202"/>
      <c r="F960" s="202"/>
      <c r="G960" s="199"/>
      <c r="H960" s="199"/>
      <c r="I960" s="199"/>
      <c r="J960" s="202"/>
      <c r="K960" s="202"/>
      <c r="L960" s="199"/>
      <c r="M960" s="199"/>
      <c r="N960" s="199"/>
      <c r="O960" s="199"/>
      <c r="P960" s="199"/>
      <c r="Q960" s="199"/>
      <c r="R960" s="199"/>
      <c r="S960" s="199"/>
      <c r="T960" s="199"/>
      <c r="U960" s="199"/>
      <c r="V960" s="199"/>
      <c r="W960" s="199"/>
      <c r="X960" s="199"/>
      <c r="Y960" s="199"/>
      <c r="Z960" s="199"/>
    </row>
    <row r="961">
      <c r="A961" s="199"/>
      <c r="B961" s="199"/>
      <c r="C961" s="199"/>
      <c r="D961" s="199"/>
      <c r="E961" s="202"/>
      <c r="F961" s="202"/>
      <c r="G961" s="199"/>
      <c r="H961" s="199"/>
      <c r="I961" s="199"/>
      <c r="J961" s="202"/>
      <c r="K961" s="202"/>
      <c r="L961" s="199"/>
      <c r="M961" s="199"/>
      <c r="N961" s="199"/>
      <c r="O961" s="199"/>
      <c r="P961" s="199"/>
      <c r="Q961" s="199"/>
      <c r="R961" s="199"/>
      <c r="S961" s="199"/>
      <c r="T961" s="199"/>
      <c r="U961" s="199"/>
      <c r="V961" s="199"/>
      <c r="W961" s="199"/>
      <c r="X961" s="199"/>
      <c r="Y961" s="199"/>
      <c r="Z961" s="199"/>
    </row>
    <row r="962">
      <c r="A962" s="199"/>
      <c r="B962" s="199"/>
      <c r="C962" s="199"/>
      <c r="D962" s="199"/>
      <c r="E962" s="202"/>
      <c r="F962" s="202"/>
      <c r="G962" s="199"/>
      <c r="H962" s="199"/>
      <c r="I962" s="199"/>
      <c r="J962" s="202"/>
      <c r="K962" s="202"/>
      <c r="L962" s="199"/>
      <c r="M962" s="199"/>
      <c r="N962" s="199"/>
      <c r="O962" s="199"/>
      <c r="P962" s="199"/>
      <c r="Q962" s="199"/>
      <c r="R962" s="199"/>
      <c r="S962" s="199"/>
      <c r="T962" s="199"/>
      <c r="U962" s="199"/>
      <c r="V962" s="199"/>
      <c r="W962" s="199"/>
      <c r="X962" s="199"/>
      <c r="Y962" s="199"/>
      <c r="Z962" s="199"/>
    </row>
    <row r="963">
      <c r="A963" s="199"/>
      <c r="B963" s="199"/>
      <c r="C963" s="199"/>
      <c r="D963" s="199"/>
      <c r="E963" s="202"/>
      <c r="F963" s="202"/>
      <c r="G963" s="199"/>
      <c r="H963" s="199"/>
      <c r="I963" s="199"/>
      <c r="J963" s="202"/>
      <c r="K963" s="202"/>
      <c r="L963" s="199"/>
      <c r="M963" s="199"/>
      <c r="N963" s="199"/>
      <c r="O963" s="199"/>
      <c r="P963" s="199"/>
      <c r="Q963" s="199"/>
      <c r="R963" s="199"/>
      <c r="S963" s="199"/>
      <c r="T963" s="199"/>
      <c r="U963" s="199"/>
      <c r="V963" s="199"/>
      <c r="W963" s="199"/>
      <c r="X963" s="199"/>
      <c r="Y963" s="199"/>
      <c r="Z963" s="199"/>
    </row>
    <row r="964">
      <c r="A964" s="199"/>
      <c r="B964" s="199"/>
      <c r="C964" s="199"/>
      <c r="D964" s="199"/>
      <c r="E964" s="202"/>
      <c r="F964" s="202"/>
      <c r="G964" s="199"/>
      <c r="H964" s="199"/>
      <c r="I964" s="199"/>
      <c r="J964" s="202"/>
      <c r="K964" s="202"/>
      <c r="L964" s="199"/>
      <c r="M964" s="199"/>
      <c r="N964" s="199"/>
      <c r="O964" s="199"/>
      <c r="P964" s="199"/>
      <c r="Q964" s="199"/>
      <c r="R964" s="199"/>
      <c r="S964" s="199"/>
      <c r="T964" s="199"/>
      <c r="U964" s="199"/>
      <c r="V964" s="199"/>
      <c r="W964" s="199"/>
      <c r="X964" s="199"/>
      <c r="Y964" s="199"/>
      <c r="Z964" s="199"/>
    </row>
    <row r="965">
      <c r="A965" s="199"/>
      <c r="B965" s="199"/>
      <c r="C965" s="199"/>
      <c r="D965" s="199"/>
      <c r="E965" s="202"/>
      <c r="F965" s="202"/>
      <c r="G965" s="199"/>
      <c r="H965" s="199"/>
      <c r="I965" s="199"/>
      <c r="J965" s="202"/>
      <c r="K965" s="202"/>
      <c r="L965" s="199"/>
      <c r="M965" s="199"/>
      <c r="N965" s="199"/>
      <c r="O965" s="199"/>
      <c r="P965" s="199"/>
      <c r="Q965" s="199"/>
      <c r="R965" s="199"/>
      <c r="S965" s="199"/>
      <c r="T965" s="199"/>
      <c r="U965" s="199"/>
      <c r="V965" s="199"/>
      <c r="W965" s="199"/>
      <c r="X965" s="199"/>
      <c r="Y965" s="199"/>
      <c r="Z965" s="199"/>
    </row>
    <row r="966">
      <c r="A966" s="199"/>
      <c r="B966" s="199"/>
      <c r="C966" s="199"/>
      <c r="D966" s="199"/>
      <c r="E966" s="202"/>
      <c r="F966" s="202"/>
      <c r="G966" s="199"/>
      <c r="H966" s="199"/>
      <c r="I966" s="199"/>
      <c r="J966" s="202"/>
      <c r="K966" s="202"/>
      <c r="L966" s="199"/>
      <c r="M966" s="199"/>
      <c r="N966" s="199"/>
      <c r="O966" s="199"/>
      <c r="P966" s="199"/>
      <c r="Q966" s="199"/>
      <c r="R966" s="199"/>
      <c r="S966" s="199"/>
      <c r="T966" s="199"/>
      <c r="U966" s="199"/>
      <c r="V966" s="199"/>
      <c r="W966" s="199"/>
      <c r="X966" s="199"/>
      <c r="Y966" s="199"/>
      <c r="Z966" s="199"/>
    </row>
    <row r="967">
      <c r="A967" s="199"/>
      <c r="B967" s="199"/>
      <c r="C967" s="199"/>
      <c r="D967" s="199"/>
      <c r="E967" s="202"/>
      <c r="F967" s="202"/>
      <c r="G967" s="199"/>
      <c r="H967" s="199"/>
      <c r="I967" s="199"/>
      <c r="J967" s="202"/>
      <c r="K967" s="202"/>
      <c r="L967" s="199"/>
      <c r="M967" s="199"/>
      <c r="N967" s="199"/>
      <c r="O967" s="199"/>
      <c r="P967" s="199"/>
      <c r="Q967" s="199"/>
      <c r="R967" s="199"/>
      <c r="S967" s="199"/>
      <c r="T967" s="199"/>
      <c r="U967" s="199"/>
      <c r="V967" s="199"/>
      <c r="W967" s="199"/>
      <c r="X967" s="199"/>
      <c r="Y967" s="199"/>
      <c r="Z967" s="199"/>
    </row>
    <row r="968">
      <c r="A968" s="199"/>
      <c r="B968" s="199"/>
      <c r="C968" s="199"/>
      <c r="D968" s="199"/>
      <c r="E968" s="202"/>
      <c r="F968" s="202"/>
      <c r="G968" s="199"/>
      <c r="H968" s="199"/>
      <c r="I968" s="199"/>
      <c r="J968" s="202"/>
      <c r="K968" s="202"/>
      <c r="L968" s="199"/>
      <c r="M968" s="199"/>
      <c r="N968" s="199"/>
      <c r="O968" s="199"/>
      <c r="P968" s="199"/>
      <c r="Q968" s="199"/>
      <c r="R968" s="199"/>
      <c r="S968" s="199"/>
      <c r="T968" s="199"/>
      <c r="U968" s="199"/>
      <c r="V968" s="199"/>
      <c r="W968" s="199"/>
      <c r="X968" s="199"/>
      <c r="Y968" s="199"/>
      <c r="Z968" s="199"/>
    </row>
    <row r="969">
      <c r="A969" s="199"/>
      <c r="B969" s="199"/>
      <c r="C969" s="199"/>
      <c r="D969" s="199"/>
      <c r="E969" s="202"/>
      <c r="F969" s="202"/>
      <c r="G969" s="199"/>
      <c r="H969" s="199"/>
      <c r="I969" s="199"/>
      <c r="J969" s="202"/>
      <c r="K969" s="202"/>
      <c r="L969" s="199"/>
      <c r="M969" s="199"/>
      <c r="N969" s="199"/>
      <c r="O969" s="199"/>
      <c r="P969" s="199"/>
      <c r="Q969" s="199"/>
      <c r="R969" s="199"/>
      <c r="S969" s="199"/>
      <c r="T969" s="199"/>
      <c r="U969" s="199"/>
      <c r="V969" s="199"/>
      <c r="W969" s="199"/>
      <c r="X969" s="199"/>
      <c r="Y969" s="199"/>
      <c r="Z969" s="199"/>
    </row>
    <row r="970">
      <c r="A970" s="199"/>
      <c r="B970" s="199"/>
      <c r="C970" s="199"/>
      <c r="D970" s="199"/>
      <c r="E970" s="202"/>
      <c r="F970" s="202"/>
      <c r="G970" s="199"/>
      <c r="H970" s="199"/>
      <c r="I970" s="199"/>
      <c r="J970" s="202"/>
      <c r="K970" s="202"/>
      <c r="L970" s="199"/>
      <c r="M970" s="199"/>
      <c r="N970" s="199"/>
      <c r="O970" s="199"/>
      <c r="P970" s="199"/>
      <c r="Q970" s="199"/>
      <c r="R970" s="199"/>
      <c r="S970" s="199"/>
      <c r="T970" s="199"/>
      <c r="U970" s="199"/>
      <c r="V970" s="199"/>
      <c r="W970" s="199"/>
      <c r="X970" s="199"/>
      <c r="Y970" s="199"/>
      <c r="Z970" s="199"/>
    </row>
    <row r="971">
      <c r="A971" s="199"/>
      <c r="B971" s="199"/>
      <c r="C971" s="199"/>
      <c r="D971" s="199"/>
      <c r="E971" s="202"/>
      <c r="F971" s="202"/>
      <c r="G971" s="199"/>
      <c r="H971" s="199"/>
      <c r="I971" s="199"/>
      <c r="J971" s="202"/>
      <c r="K971" s="202"/>
      <c r="L971" s="199"/>
      <c r="M971" s="199"/>
      <c r="N971" s="199"/>
      <c r="O971" s="199"/>
      <c r="P971" s="199"/>
      <c r="Q971" s="199"/>
      <c r="R971" s="199"/>
      <c r="S971" s="199"/>
      <c r="T971" s="199"/>
      <c r="U971" s="199"/>
      <c r="V971" s="199"/>
      <c r="W971" s="199"/>
      <c r="X971" s="199"/>
      <c r="Y971" s="199"/>
      <c r="Z971" s="199"/>
    </row>
    <row r="972">
      <c r="A972" s="199"/>
      <c r="B972" s="199"/>
      <c r="C972" s="199"/>
      <c r="D972" s="199"/>
      <c r="E972" s="202"/>
      <c r="F972" s="202"/>
      <c r="G972" s="199"/>
      <c r="H972" s="199"/>
      <c r="I972" s="199"/>
      <c r="J972" s="202"/>
      <c r="K972" s="202"/>
      <c r="L972" s="199"/>
      <c r="M972" s="199"/>
      <c r="N972" s="199"/>
      <c r="O972" s="199"/>
      <c r="P972" s="199"/>
      <c r="Q972" s="199"/>
      <c r="R972" s="199"/>
      <c r="S972" s="199"/>
      <c r="T972" s="199"/>
      <c r="U972" s="199"/>
      <c r="V972" s="199"/>
      <c r="W972" s="199"/>
      <c r="X972" s="199"/>
      <c r="Y972" s="199"/>
      <c r="Z972" s="199"/>
    </row>
    <row r="973">
      <c r="A973" s="199"/>
      <c r="B973" s="199"/>
      <c r="C973" s="199"/>
      <c r="D973" s="199"/>
      <c r="E973" s="202"/>
      <c r="F973" s="202"/>
      <c r="G973" s="199"/>
      <c r="H973" s="199"/>
      <c r="I973" s="199"/>
      <c r="J973" s="202"/>
      <c r="K973" s="202"/>
      <c r="L973" s="199"/>
      <c r="M973" s="199"/>
      <c r="N973" s="199"/>
      <c r="O973" s="199"/>
      <c r="P973" s="199"/>
      <c r="Q973" s="199"/>
      <c r="R973" s="199"/>
      <c r="S973" s="199"/>
      <c r="T973" s="199"/>
      <c r="U973" s="199"/>
      <c r="V973" s="199"/>
      <c r="W973" s="199"/>
      <c r="X973" s="199"/>
      <c r="Y973" s="199"/>
      <c r="Z973" s="199"/>
    </row>
    <row r="974">
      <c r="A974" s="199"/>
      <c r="B974" s="199"/>
      <c r="C974" s="199"/>
      <c r="D974" s="199"/>
      <c r="E974" s="202"/>
      <c r="F974" s="202"/>
      <c r="G974" s="199"/>
      <c r="H974" s="199"/>
      <c r="I974" s="199"/>
      <c r="J974" s="202"/>
      <c r="K974" s="202"/>
      <c r="L974" s="199"/>
      <c r="M974" s="199"/>
      <c r="N974" s="199"/>
      <c r="O974" s="199"/>
      <c r="P974" s="199"/>
      <c r="Q974" s="199"/>
      <c r="R974" s="199"/>
      <c r="S974" s="199"/>
      <c r="T974" s="199"/>
      <c r="U974" s="199"/>
      <c r="V974" s="199"/>
      <c r="W974" s="199"/>
      <c r="X974" s="199"/>
      <c r="Y974" s="199"/>
      <c r="Z974" s="199"/>
    </row>
    <row r="975">
      <c r="A975" s="199"/>
      <c r="B975" s="199"/>
      <c r="C975" s="199"/>
      <c r="D975" s="199"/>
      <c r="E975" s="202"/>
      <c r="F975" s="202"/>
      <c r="G975" s="199"/>
      <c r="H975" s="199"/>
      <c r="I975" s="199"/>
      <c r="J975" s="202"/>
      <c r="K975" s="202"/>
      <c r="L975" s="199"/>
      <c r="M975" s="199"/>
      <c r="N975" s="199"/>
      <c r="O975" s="199"/>
      <c r="P975" s="199"/>
      <c r="Q975" s="199"/>
      <c r="R975" s="199"/>
      <c r="S975" s="199"/>
      <c r="T975" s="199"/>
      <c r="U975" s="199"/>
      <c r="V975" s="199"/>
      <c r="W975" s="199"/>
      <c r="X975" s="199"/>
      <c r="Y975" s="199"/>
      <c r="Z975" s="199"/>
    </row>
    <row r="976">
      <c r="A976" s="199"/>
      <c r="B976" s="199"/>
      <c r="C976" s="199"/>
      <c r="D976" s="199"/>
      <c r="E976" s="202"/>
      <c r="F976" s="202"/>
      <c r="G976" s="199"/>
      <c r="H976" s="199"/>
      <c r="I976" s="199"/>
      <c r="J976" s="202"/>
      <c r="K976" s="202"/>
      <c r="L976" s="199"/>
      <c r="M976" s="199"/>
      <c r="N976" s="199"/>
      <c r="O976" s="199"/>
      <c r="P976" s="199"/>
      <c r="Q976" s="199"/>
      <c r="R976" s="199"/>
      <c r="S976" s="199"/>
      <c r="T976" s="199"/>
      <c r="U976" s="199"/>
      <c r="V976" s="199"/>
      <c r="W976" s="199"/>
      <c r="X976" s="199"/>
      <c r="Y976" s="199"/>
      <c r="Z976" s="199"/>
    </row>
    <row r="977">
      <c r="A977" s="199"/>
      <c r="B977" s="199"/>
      <c r="C977" s="199"/>
      <c r="D977" s="199"/>
      <c r="E977" s="202"/>
      <c r="F977" s="202"/>
      <c r="G977" s="199"/>
      <c r="H977" s="199"/>
      <c r="I977" s="199"/>
      <c r="J977" s="202"/>
      <c r="K977" s="202"/>
      <c r="L977" s="199"/>
      <c r="M977" s="199"/>
      <c r="N977" s="199"/>
      <c r="O977" s="199"/>
      <c r="P977" s="199"/>
      <c r="Q977" s="199"/>
      <c r="R977" s="199"/>
      <c r="S977" s="199"/>
      <c r="T977" s="199"/>
      <c r="U977" s="199"/>
      <c r="V977" s="199"/>
      <c r="W977" s="199"/>
      <c r="X977" s="199"/>
      <c r="Y977" s="199"/>
      <c r="Z977" s="199"/>
    </row>
    <row r="978">
      <c r="A978" s="199"/>
      <c r="B978" s="199"/>
      <c r="C978" s="199"/>
      <c r="D978" s="199"/>
      <c r="E978" s="202"/>
      <c r="F978" s="202"/>
      <c r="G978" s="199"/>
      <c r="H978" s="199"/>
      <c r="I978" s="199"/>
      <c r="J978" s="202"/>
      <c r="K978" s="202"/>
      <c r="L978" s="199"/>
      <c r="M978" s="199"/>
      <c r="N978" s="199"/>
      <c r="O978" s="199"/>
      <c r="P978" s="199"/>
      <c r="Q978" s="199"/>
      <c r="R978" s="199"/>
      <c r="S978" s="199"/>
      <c r="T978" s="199"/>
      <c r="U978" s="199"/>
      <c r="V978" s="199"/>
      <c r="W978" s="199"/>
      <c r="X978" s="199"/>
      <c r="Y978" s="199"/>
      <c r="Z978" s="199"/>
    </row>
    <row r="979">
      <c r="A979" s="199"/>
      <c r="B979" s="199"/>
      <c r="C979" s="199"/>
      <c r="D979" s="199"/>
      <c r="E979" s="202"/>
      <c r="F979" s="202"/>
      <c r="G979" s="199"/>
      <c r="H979" s="199"/>
      <c r="I979" s="199"/>
      <c r="J979" s="202"/>
      <c r="K979" s="202"/>
      <c r="L979" s="199"/>
      <c r="M979" s="199"/>
      <c r="N979" s="199"/>
      <c r="O979" s="199"/>
      <c r="P979" s="199"/>
      <c r="Q979" s="199"/>
      <c r="R979" s="199"/>
      <c r="S979" s="199"/>
      <c r="T979" s="199"/>
      <c r="U979" s="199"/>
      <c r="V979" s="199"/>
      <c r="W979" s="199"/>
      <c r="X979" s="199"/>
      <c r="Y979" s="199"/>
      <c r="Z979" s="199"/>
    </row>
    <row r="980">
      <c r="A980" s="199"/>
      <c r="B980" s="199"/>
      <c r="C980" s="199"/>
      <c r="D980" s="199"/>
      <c r="E980" s="202"/>
      <c r="F980" s="202"/>
      <c r="G980" s="199"/>
      <c r="H980" s="199"/>
      <c r="I980" s="199"/>
      <c r="J980" s="202"/>
      <c r="K980" s="202"/>
      <c r="L980" s="199"/>
      <c r="M980" s="199"/>
      <c r="N980" s="199"/>
      <c r="O980" s="199"/>
      <c r="P980" s="199"/>
      <c r="Q980" s="199"/>
      <c r="R980" s="199"/>
      <c r="S980" s="199"/>
      <c r="T980" s="199"/>
      <c r="U980" s="199"/>
      <c r="V980" s="199"/>
      <c r="W980" s="199"/>
      <c r="X980" s="199"/>
      <c r="Y980" s="199"/>
      <c r="Z980" s="199"/>
    </row>
    <row r="981">
      <c r="A981" s="199"/>
      <c r="B981" s="199"/>
      <c r="C981" s="199"/>
      <c r="D981" s="199"/>
      <c r="E981" s="202"/>
      <c r="F981" s="202"/>
      <c r="G981" s="199"/>
      <c r="H981" s="199"/>
      <c r="I981" s="199"/>
      <c r="J981" s="202"/>
      <c r="K981" s="202"/>
      <c r="L981" s="199"/>
      <c r="M981" s="199"/>
      <c r="N981" s="199"/>
      <c r="O981" s="199"/>
      <c r="P981" s="199"/>
      <c r="Q981" s="199"/>
      <c r="R981" s="199"/>
      <c r="S981" s="199"/>
      <c r="T981" s="199"/>
      <c r="U981" s="199"/>
      <c r="V981" s="199"/>
      <c r="W981" s="199"/>
      <c r="X981" s="199"/>
      <c r="Y981" s="199"/>
      <c r="Z981" s="199"/>
    </row>
    <row r="982">
      <c r="A982" s="199"/>
      <c r="B982" s="199"/>
      <c r="C982" s="199"/>
      <c r="D982" s="199"/>
      <c r="E982" s="202"/>
      <c r="F982" s="202"/>
      <c r="G982" s="199"/>
      <c r="H982" s="199"/>
      <c r="I982" s="199"/>
      <c r="J982" s="202"/>
      <c r="K982" s="202"/>
      <c r="L982" s="199"/>
      <c r="M982" s="199"/>
      <c r="N982" s="199"/>
      <c r="O982" s="199"/>
      <c r="P982" s="199"/>
      <c r="Q982" s="199"/>
      <c r="R982" s="199"/>
      <c r="S982" s="199"/>
      <c r="T982" s="199"/>
      <c r="U982" s="199"/>
      <c r="V982" s="199"/>
      <c r="W982" s="199"/>
      <c r="X982" s="199"/>
      <c r="Y982" s="199"/>
      <c r="Z982" s="199"/>
    </row>
    <row r="983">
      <c r="A983" s="199"/>
      <c r="B983" s="199"/>
      <c r="C983" s="199"/>
      <c r="D983" s="199"/>
      <c r="E983" s="202"/>
      <c r="F983" s="202"/>
      <c r="G983" s="199"/>
      <c r="H983" s="199"/>
      <c r="I983" s="199"/>
      <c r="J983" s="202"/>
      <c r="K983" s="202"/>
      <c r="L983" s="199"/>
      <c r="M983" s="199"/>
      <c r="N983" s="199"/>
      <c r="O983" s="199"/>
      <c r="P983" s="199"/>
      <c r="Q983" s="199"/>
      <c r="R983" s="199"/>
      <c r="S983" s="199"/>
      <c r="T983" s="199"/>
      <c r="U983" s="199"/>
      <c r="V983" s="199"/>
      <c r="W983" s="199"/>
      <c r="X983" s="199"/>
      <c r="Y983" s="199"/>
      <c r="Z983" s="199"/>
    </row>
    <row r="984">
      <c r="A984" s="199"/>
      <c r="B984" s="199"/>
      <c r="C984" s="199"/>
      <c r="D984" s="199"/>
      <c r="E984" s="202"/>
      <c r="F984" s="202"/>
      <c r="G984" s="199"/>
      <c r="H984" s="199"/>
      <c r="I984" s="199"/>
      <c r="J984" s="202"/>
      <c r="K984" s="202"/>
      <c r="L984" s="199"/>
      <c r="M984" s="199"/>
      <c r="N984" s="199"/>
      <c r="O984" s="199"/>
      <c r="P984" s="199"/>
      <c r="Q984" s="199"/>
      <c r="R984" s="199"/>
      <c r="S984" s="199"/>
      <c r="T984" s="199"/>
      <c r="U984" s="199"/>
      <c r="V984" s="199"/>
      <c r="W984" s="199"/>
      <c r="X984" s="199"/>
      <c r="Y984" s="199"/>
      <c r="Z984" s="199"/>
    </row>
    <row r="985">
      <c r="A985" s="199"/>
      <c r="B985" s="199"/>
      <c r="C985" s="199"/>
      <c r="D985" s="199"/>
      <c r="E985" s="202"/>
      <c r="F985" s="202"/>
      <c r="G985" s="199"/>
      <c r="H985" s="199"/>
      <c r="I985" s="199"/>
      <c r="J985" s="202"/>
      <c r="K985" s="202"/>
      <c r="L985" s="199"/>
      <c r="M985" s="199"/>
      <c r="N985" s="199"/>
      <c r="O985" s="199"/>
      <c r="P985" s="199"/>
      <c r="Q985" s="199"/>
      <c r="R985" s="199"/>
      <c r="S985" s="199"/>
      <c r="T985" s="199"/>
      <c r="U985" s="199"/>
      <c r="V985" s="199"/>
      <c r="W985" s="199"/>
      <c r="X985" s="199"/>
      <c r="Y985" s="199"/>
      <c r="Z985" s="199"/>
    </row>
    <row r="986">
      <c r="A986" s="199"/>
      <c r="B986" s="199"/>
      <c r="C986" s="199"/>
      <c r="D986" s="199"/>
      <c r="E986" s="202"/>
      <c r="F986" s="202"/>
      <c r="G986" s="199"/>
      <c r="H986" s="199"/>
      <c r="I986" s="199"/>
      <c r="J986" s="202"/>
      <c r="K986" s="202"/>
      <c r="L986" s="199"/>
      <c r="M986" s="199"/>
      <c r="N986" s="199"/>
      <c r="O986" s="199"/>
      <c r="P986" s="199"/>
      <c r="Q986" s="199"/>
      <c r="R986" s="199"/>
      <c r="S986" s="199"/>
      <c r="T986" s="199"/>
      <c r="U986" s="199"/>
      <c r="V986" s="199"/>
      <c r="W986" s="199"/>
      <c r="X986" s="199"/>
      <c r="Y986" s="199"/>
      <c r="Z986" s="199"/>
    </row>
    <row r="987">
      <c r="A987" s="199"/>
      <c r="B987" s="199"/>
      <c r="C987" s="199"/>
      <c r="D987" s="199"/>
      <c r="E987" s="202"/>
      <c r="F987" s="202"/>
      <c r="G987" s="199"/>
      <c r="H987" s="199"/>
      <c r="I987" s="199"/>
      <c r="J987" s="202"/>
      <c r="K987" s="202"/>
      <c r="L987" s="199"/>
      <c r="M987" s="199"/>
      <c r="N987" s="199"/>
      <c r="O987" s="199"/>
      <c r="P987" s="199"/>
      <c r="Q987" s="199"/>
      <c r="R987" s="199"/>
      <c r="S987" s="199"/>
      <c r="T987" s="199"/>
      <c r="U987" s="199"/>
      <c r="V987" s="199"/>
      <c r="W987" s="199"/>
      <c r="X987" s="199"/>
      <c r="Y987" s="199"/>
      <c r="Z987" s="199"/>
    </row>
    <row r="988">
      <c r="A988" s="199"/>
      <c r="B988" s="199"/>
      <c r="C988" s="199"/>
      <c r="D988" s="199"/>
      <c r="E988" s="202"/>
      <c r="F988" s="202"/>
      <c r="G988" s="199"/>
      <c r="H988" s="199"/>
      <c r="I988" s="199"/>
      <c r="J988" s="202"/>
      <c r="K988" s="202"/>
      <c r="L988" s="199"/>
      <c r="M988" s="199"/>
      <c r="N988" s="199"/>
      <c r="O988" s="199"/>
      <c r="P988" s="199"/>
      <c r="Q988" s="199"/>
      <c r="R988" s="199"/>
      <c r="S988" s="199"/>
      <c r="T988" s="199"/>
      <c r="U988" s="199"/>
      <c r="V988" s="199"/>
      <c r="W988" s="199"/>
      <c r="X988" s="199"/>
      <c r="Y988" s="199"/>
      <c r="Z988" s="199"/>
    </row>
    <row r="989">
      <c r="A989" s="199"/>
      <c r="B989" s="199"/>
      <c r="C989" s="199"/>
      <c r="D989" s="199"/>
      <c r="E989" s="202"/>
      <c r="F989" s="202"/>
      <c r="G989" s="199"/>
      <c r="H989" s="199"/>
      <c r="I989" s="199"/>
      <c r="J989" s="202"/>
      <c r="K989" s="202"/>
      <c r="L989" s="199"/>
      <c r="M989" s="199"/>
      <c r="N989" s="199"/>
      <c r="O989" s="199"/>
      <c r="P989" s="199"/>
      <c r="Q989" s="199"/>
      <c r="R989" s="199"/>
      <c r="S989" s="199"/>
      <c r="T989" s="199"/>
      <c r="U989" s="199"/>
      <c r="V989" s="199"/>
      <c r="W989" s="199"/>
      <c r="X989" s="199"/>
      <c r="Y989" s="199"/>
      <c r="Z989" s="199"/>
    </row>
    <row r="990">
      <c r="A990" s="199"/>
      <c r="B990" s="199"/>
      <c r="C990" s="199"/>
      <c r="D990" s="199"/>
      <c r="E990" s="202"/>
      <c r="F990" s="202"/>
      <c r="G990" s="199"/>
      <c r="H990" s="199"/>
      <c r="I990" s="199"/>
      <c r="J990" s="202"/>
      <c r="K990" s="202"/>
      <c r="L990" s="199"/>
      <c r="M990" s="199"/>
      <c r="N990" s="199"/>
      <c r="O990" s="199"/>
      <c r="P990" s="199"/>
      <c r="Q990" s="199"/>
      <c r="R990" s="199"/>
      <c r="S990" s="199"/>
      <c r="T990" s="199"/>
      <c r="U990" s="199"/>
      <c r="V990" s="199"/>
      <c r="W990" s="199"/>
      <c r="X990" s="199"/>
      <c r="Y990" s="199"/>
      <c r="Z990" s="199"/>
    </row>
    <row r="991">
      <c r="A991" s="199"/>
      <c r="B991" s="199"/>
      <c r="C991" s="199"/>
      <c r="D991" s="199"/>
      <c r="E991" s="202"/>
      <c r="F991" s="202"/>
      <c r="G991" s="199"/>
      <c r="H991" s="199"/>
      <c r="I991" s="199"/>
      <c r="J991" s="202"/>
      <c r="K991" s="202"/>
      <c r="L991" s="199"/>
      <c r="M991" s="199"/>
      <c r="N991" s="199"/>
      <c r="O991" s="199"/>
      <c r="P991" s="199"/>
      <c r="Q991" s="199"/>
      <c r="R991" s="199"/>
      <c r="S991" s="199"/>
      <c r="T991" s="199"/>
      <c r="U991" s="199"/>
      <c r="V991" s="199"/>
      <c r="W991" s="199"/>
      <c r="X991" s="199"/>
      <c r="Y991" s="199"/>
      <c r="Z991" s="199"/>
    </row>
    <row r="992">
      <c r="A992" s="199"/>
      <c r="B992" s="199"/>
      <c r="C992" s="199"/>
      <c r="D992" s="199"/>
      <c r="E992" s="202"/>
      <c r="F992" s="202"/>
      <c r="G992" s="199"/>
      <c r="H992" s="199"/>
      <c r="I992" s="199"/>
      <c r="J992" s="202"/>
      <c r="K992" s="202"/>
      <c r="L992" s="199"/>
      <c r="M992" s="199"/>
      <c r="N992" s="199"/>
      <c r="O992" s="199"/>
      <c r="P992" s="199"/>
      <c r="Q992" s="199"/>
      <c r="R992" s="199"/>
      <c r="S992" s="199"/>
      <c r="T992" s="199"/>
      <c r="U992" s="199"/>
      <c r="V992" s="199"/>
      <c r="W992" s="199"/>
      <c r="X992" s="199"/>
      <c r="Y992" s="199"/>
      <c r="Z992" s="199"/>
    </row>
    <row r="993">
      <c r="A993" s="199"/>
      <c r="B993" s="199"/>
      <c r="C993" s="199"/>
      <c r="D993" s="199"/>
      <c r="E993" s="202"/>
      <c r="F993" s="202"/>
      <c r="G993" s="199"/>
      <c r="H993" s="199"/>
      <c r="I993" s="199"/>
      <c r="J993" s="202"/>
      <c r="K993" s="202"/>
      <c r="L993" s="199"/>
      <c r="M993" s="199"/>
      <c r="N993" s="199"/>
      <c r="O993" s="199"/>
      <c r="P993" s="199"/>
      <c r="Q993" s="199"/>
      <c r="R993" s="199"/>
      <c r="S993" s="199"/>
      <c r="T993" s="199"/>
      <c r="U993" s="199"/>
      <c r="V993" s="199"/>
      <c r="W993" s="199"/>
      <c r="X993" s="199"/>
      <c r="Y993" s="199"/>
      <c r="Z993" s="199"/>
    </row>
    <row r="994">
      <c r="A994" s="199"/>
      <c r="B994" s="199"/>
      <c r="C994" s="199"/>
      <c r="D994" s="199"/>
      <c r="E994" s="202"/>
      <c r="F994" s="202"/>
      <c r="G994" s="199"/>
      <c r="H994" s="199"/>
      <c r="I994" s="199"/>
      <c r="J994" s="202"/>
      <c r="K994" s="202"/>
      <c r="L994" s="199"/>
      <c r="M994" s="199"/>
      <c r="N994" s="199"/>
      <c r="O994" s="199"/>
      <c r="P994" s="199"/>
      <c r="Q994" s="199"/>
      <c r="R994" s="199"/>
      <c r="S994" s="199"/>
      <c r="T994" s="199"/>
      <c r="U994" s="199"/>
      <c r="V994" s="199"/>
      <c r="W994" s="199"/>
      <c r="X994" s="199"/>
      <c r="Y994" s="199"/>
      <c r="Z994" s="199"/>
    </row>
    <row r="995">
      <c r="A995" s="199"/>
      <c r="B995" s="199"/>
      <c r="C995" s="199"/>
      <c r="D995" s="199"/>
      <c r="E995" s="202"/>
      <c r="F995" s="202"/>
      <c r="G995" s="199"/>
      <c r="H995" s="199"/>
      <c r="I995" s="199"/>
      <c r="J995" s="202"/>
      <c r="K995" s="202"/>
      <c r="L995" s="199"/>
      <c r="M995" s="199"/>
      <c r="N995" s="199"/>
      <c r="O995" s="199"/>
      <c r="P995" s="199"/>
      <c r="Q995" s="199"/>
      <c r="R995" s="199"/>
      <c r="S995" s="199"/>
      <c r="T995" s="199"/>
      <c r="U995" s="199"/>
      <c r="V995" s="199"/>
      <c r="W995" s="199"/>
      <c r="X995" s="199"/>
      <c r="Y995" s="199"/>
      <c r="Z995" s="199"/>
    </row>
    <row r="996">
      <c r="A996" s="199"/>
      <c r="B996" s="199"/>
      <c r="C996" s="199"/>
      <c r="D996" s="199"/>
      <c r="E996" s="202"/>
      <c r="F996" s="202"/>
      <c r="G996" s="199"/>
      <c r="H996" s="199"/>
      <c r="I996" s="199"/>
      <c r="J996" s="202"/>
      <c r="K996" s="202"/>
      <c r="L996" s="199"/>
      <c r="M996" s="199"/>
      <c r="N996" s="199"/>
      <c r="O996" s="199"/>
      <c r="P996" s="199"/>
      <c r="Q996" s="199"/>
      <c r="R996" s="199"/>
      <c r="S996" s="199"/>
      <c r="T996" s="199"/>
      <c r="U996" s="199"/>
      <c r="V996" s="199"/>
      <c r="W996" s="199"/>
      <c r="X996" s="199"/>
      <c r="Y996" s="199"/>
      <c r="Z996" s="199"/>
    </row>
    <row r="997">
      <c r="A997" s="199"/>
      <c r="B997" s="199"/>
      <c r="C997" s="199"/>
      <c r="D997" s="199"/>
      <c r="E997" s="202"/>
      <c r="F997" s="202"/>
      <c r="G997" s="199"/>
      <c r="H997" s="199"/>
      <c r="I997" s="199"/>
      <c r="J997" s="202"/>
      <c r="K997" s="202"/>
      <c r="L997" s="199"/>
      <c r="M997" s="199"/>
      <c r="N997" s="199"/>
      <c r="O997" s="199"/>
      <c r="P997" s="199"/>
      <c r="Q997" s="199"/>
      <c r="R997" s="199"/>
      <c r="S997" s="199"/>
      <c r="T997" s="199"/>
      <c r="U997" s="199"/>
      <c r="V997" s="199"/>
      <c r="W997" s="199"/>
      <c r="X997" s="199"/>
      <c r="Y997" s="199"/>
      <c r="Z997" s="199"/>
    </row>
    <row r="998">
      <c r="A998" s="199"/>
      <c r="B998" s="199"/>
      <c r="C998" s="199"/>
      <c r="D998" s="199"/>
      <c r="E998" s="202"/>
      <c r="F998" s="202"/>
      <c r="G998" s="199"/>
      <c r="H998" s="199"/>
      <c r="I998" s="199"/>
      <c r="J998" s="202"/>
      <c r="K998" s="202"/>
      <c r="L998" s="199"/>
      <c r="M998" s="199"/>
      <c r="N998" s="199"/>
      <c r="O998" s="199"/>
      <c r="P998" s="199"/>
      <c r="Q998" s="199"/>
      <c r="R998" s="199"/>
      <c r="S998" s="199"/>
      <c r="T998" s="199"/>
      <c r="U998" s="199"/>
      <c r="V998" s="199"/>
      <c r="W998" s="199"/>
      <c r="X998" s="199"/>
      <c r="Y998" s="199"/>
      <c r="Z998" s="199"/>
    </row>
    <row r="999">
      <c r="A999" s="199"/>
      <c r="B999" s="199"/>
      <c r="C999" s="199"/>
      <c r="D999" s="199"/>
      <c r="E999" s="202"/>
      <c r="F999" s="202"/>
      <c r="G999" s="199"/>
      <c r="H999" s="199"/>
      <c r="I999" s="199"/>
      <c r="J999" s="202"/>
      <c r="K999" s="202"/>
      <c r="L999" s="199"/>
      <c r="M999" s="199"/>
      <c r="N999" s="199"/>
      <c r="O999" s="199"/>
      <c r="P999" s="199"/>
      <c r="Q999" s="199"/>
      <c r="R999" s="199"/>
      <c r="S999" s="199"/>
      <c r="T999" s="199"/>
      <c r="U999" s="199"/>
      <c r="V999" s="199"/>
      <c r="W999" s="199"/>
      <c r="X999" s="199"/>
      <c r="Y999" s="199"/>
      <c r="Z999" s="199"/>
    </row>
  </sheetData>
  <dataValidations>
    <dataValidation type="list" allowBlank="1" showErrorMessage="1" sqref="G3:G999">
      <formula1>'Overhead KEY'!$F$3:$F$1000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cols>
    <col customWidth="1" min="12" max="12" width="27.13"/>
  </cols>
  <sheetData>
    <row r="1">
      <c r="A1" s="201"/>
      <c r="B1" s="201"/>
      <c r="C1" s="201"/>
      <c r="D1" s="201"/>
      <c r="E1" s="201"/>
      <c r="F1" s="201"/>
      <c r="G1" s="201"/>
      <c r="H1" s="209"/>
      <c r="I1" s="209"/>
      <c r="J1" s="201"/>
      <c r="K1" s="201"/>
      <c r="L1" s="201"/>
      <c r="M1" s="201"/>
      <c r="N1" s="201"/>
      <c r="O1" s="201"/>
      <c r="P1" s="201"/>
      <c r="Q1" s="201"/>
      <c r="R1" s="201"/>
      <c r="S1" s="201"/>
      <c r="T1" s="201"/>
      <c r="U1" s="201"/>
      <c r="V1" s="201"/>
      <c r="W1" s="201"/>
      <c r="X1" s="201"/>
      <c r="Y1" s="201"/>
      <c r="Z1" s="201"/>
      <c r="AA1" s="201"/>
    </row>
    <row r="2">
      <c r="A2" s="210" t="s">
        <v>0</v>
      </c>
      <c r="B2" s="210" t="s">
        <v>8578</v>
      </c>
      <c r="C2" s="210" t="s">
        <v>3562</v>
      </c>
      <c r="D2" s="210" t="s">
        <v>8579</v>
      </c>
      <c r="E2" s="210" t="s">
        <v>8580</v>
      </c>
      <c r="F2" s="210" t="s">
        <v>8581</v>
      </c>
      <c r="G2" s="210" t="s">
        <v>8582</v>
      </c>
      <c r="H2" s="211" t="s">
        <v>8583</v>
      </c>
      <c r="I2" s="211" t="s">
        <v>8584</v>
      </c>
      <c r="J2" s="210" t="s">
        <v>1035</v>
      </c>
      <c r="K2" s="210" t="s">
        <v>8585</v>
      </c>
      <c r="L2" s="210" t="s">
        <v>14</v>
      </c>
      <c r="M2" s="201"/>
      <c r="N2" s="201"/>
      <c r="O2" s="201"/>
      <c r="P2" s="201"/>
      <c r="Q2" s="201"/>
      <c r="R2" s="201"/>
      <c r="S2" s="201"/>
      <c r="T2" s="201"/>
      <c r="U2" s="201"/>
      <c r="V2" s="201"/>
      <c r="W2" s="201"/>
      <c r="X2" s="201"/>
      <c r="Y2" s="201"/>
      <c r="Z2" s="201"/>
      <c r="AA2" s="201"/>
    </row>
    <row r="3">
      <c r="A3" s="212">
        <v>46004.0</v>
      </c>
      <c r="B3" s="210" t="s">
        <v>2864</v>
      </c>
      <c r="C3" s="210" t="s">
        <v>8586</v>
      </c>
      <c r="D3" s="210" t="s">
        <v>8587</v>
      </c>
      <c r="E3" s="210" t="s">
        <v>8588</v>
      </c>
      <c r="F3" s="210" t="s">
        <v>8589</v>
      </c>
      <c r="G3" s="210" t="s">
        <v>8590</v>
      </c>
      <c r="H3" s="209">
        <f>IF($A3="","",$A3 + IFERROR(VLOOKUP($D3,'Fertilizer Key'!$A:$D,3,FALSE),""))</f>
        <v>46011</v>
      </c>
      <c r="I3" s="209">
        <f>IF($A3="","",$A3 + IFERROR(VLOOKUP($D3,'Fertilizer Key'!$A:$D,4,FALSE),""))</f>
        <v>46018</v>
      </c>
      <c r="J3" s="201"/>
      <c r="K3" s="210" t="s">
        <v>8591</v>
      </c>
      <c r="L3" s="21" t="s">
        <v>22</v>
      </c>
      <c r="M3" s="201"/>
      <c r="N3" s="201"/>
      <c r="O3" s="201"/>
      <c r="P3" s="201"/>
      <c r="Q3" s="201"/>
      <c r="R3" s="201"/>
      <c r="S3" s="201"/>
      <c r="T3" s="201"/>
      <c r="U3" s="201"/>
      <c r="V3" s="201"/>
      <c r="W3" s="201"/>
      <c r="X3" s="201"/>
      <c r="Y3" s="201"/>
      <c r="Z3" s="201"/>
      <c r="AA3" s="201"/>
    </row>
    <row r="4">
      <c r="A4" s="212">
        <v>46004.0</v>
      </c>
      <c r="B4" s="210" t="s">
        <v>2416</v>
      </c>
      <c r="C4" s="210" t="s">
        <v>8586</v>
      </c>
      <c r="D4" s="210" t="s">
        <v>8587</v>
      </c>
      <c r="E4" s="210" t="s">
        <v>8588</v>
      </c>
      <c r="F4" s="210" t="s">
        <v>8589</v>
      </c>
      <c r="G4" s="210" t="s">
        <v>8590</v>
      </c>
      <c r="H4" s="209">
        <f>IF($A4="","",$A4 + IFERROR(VLOOKUP($D4,'Fertilizer Key'!$A:$D,3,FALSE),""))</f>
        <v>46011</v>
      </c>
      <c r="I4" s="209">
        <f>IF($A4="","",$A4 + IFERROR(VLOOKUP($D4,'Fertilizer Key'!$A:$D,4,FALSE),""))</f>
        <v>46018</v>
      </c>
      <c r="J4" s="201"/>
      <c r="K4" s="210" t="s">
        <v>8592</v>
      </c>
      <c r="L4" s="21" t="s">
        <v>22</v>
      </c>
      <c r="M4" s="201"/>
      <c r="N4" s="201"/>
      <c r="O4" s="201"/>
      <c r="P4" s="201"/>
      <c r="Q4" s="201"/>
      <c r="R4" s="201"/>
      <c r="S4" s="201"/>
      <c r="T4" s="201"/>
      <c r="U4" s="201"/>
      <c r="V4" s="201"/>
      <c r="W4" s="201"/>
      <c r="X4" s="201"/>
      <c r="Y4" s="201"/>
      <c r="Z4" s="201"/>
      <c r="AA4" s="201"/>
    </row>
    <row r="5">
      <c r="A5" s="212">
        <v>46004.0</v>
      </c>
      <c r="B5" s="210" t="s">
        <v>2902</v>
      </c>
      <c r="C5" s="210" t="s">
        <v>8586</v>
      </c>
      <c r="D5" s="210" t="s">
        <v>8587</v>
      </c>
      <c r="E5" s="210" t="s">
        <v>8588</v>
      </c>
      <c r="F5" s="210" t="s">
        <v>8589</v>
      </c>
      <c r="G5" s="210" t="s">
        <v>8590</v>
      </c>
      <c r="H5" s="209">
        <f>IF($A5="","",$A5 + IFERROR(VLOOKUP($D5,'Fertilizer Key'!$A:$D,3,FALSE),""))</f>
        <v>46011</v>
      </c>
      <c r="I5" s="209">
        <f>IF($A5="","",$A5 + IFERROR(VLOOKUP($D5,'Fertilizer Key'!$A:$D,4,FALSE),""))</f>
        <v>46018</v>
      </c>
      <c r="J5" s="201"/>
      <c r="K5" s="210" t="s">
        <v>8593</v>
      </c>
      <c r="L5" s="21" t="s">
        <v>22</v>
      </c>
      <c r="M5" s="201"/>
      <c r="N5" s="201"/>
      <c r="O5" s="201"/>
      <c r="P5" s="201"/>
      <c r="Q5" s="201"/>
      <c r="R5" s="201"/>
      <c r="S5" s="201"/>
      <c r="T5" s="201"/>
      <c r="U5" s="201"/>
      <c r="V5" s="201"/>
      <c r="W5" s="201"/>
      <c r="X5" s="201"/>
      <c r="Y5" s="201"/>
      <c r="Z5" s="201"/>
      <c r="AA5" s="201"/>
    </row>
    <row r="6">
      <c r="A6" s="212">
        <v>46004.0</v>
      </c>
      <c r="B6" s="210" t="s">
        <v>2868</v>
      </c>
      <c r="C6" s="210" t="s">
        <v>8586</v>
      </c>
      <c r="D6" s="210" t="s">
        <v>8587</v>
      </c>
      <c r="E6" s="210" t="s">
        <v>8588</v>
      </c>
      <c r="F6" s="210" t="s">
        <v>8589</v>
      </c>
      <c r="G6" s="210" t="s">
        <v>8590</v>
      </c>
      <c r="H6" s="209">
        <f>IF($A6="","",$A6 + IFERROR(VLOOKUP($D6,'Fertilizer Key'!$A:$D,3,FALSE),""))</f>
        <v>46011</v>
      </c>
      <c r="I6" s="209">
        <f>IF($A6="","",$A6 + IFERROR(VLOOKUP($D6,'Fertilizer Key'!$A:$D,4,FALSE),""))</f>
        <v>46018</v>
      </c>
      <c r="J6" s="201"/>
      <c r="K6" s="210" t="s">
        <v>8594</v>
      </c>
      <c r="L6" s="21" t="s">
        <v>22</v>
      </c>
      <c r="M6" s="201"/>
      <c r="N6" s="201"/>
      <c r="O6" s="201"/>
      <c r="P6" s="201"/>
      <c r="Q6" s="201"/>
      <c r="R6" s="201"/>
      <c r="S6" s="201"/>
      <c r="T6" s="201"/>
      <c r="U6" s="201"/>
      <c r="V6" s="201"/>
      <c r="W6" s="201"/>
      <c r="X6" s="201"/>
      <c r="Y6" s="201"/>
      <c r="Z6" s="201"/>
      <c r="AA6" s="201"/>
    </row>
    <row r="7">
      <c r="A7" s="212">
        <v>46004.0</v>
      </c>
      <c r="B7" s="210" t="s">
        <v>2866</v>
      </c>
      <c r="C7" s="210" t="s">
        <v>8586</v>
      </c>
      <c r="D7" s="210" t="s">
        <v>8587</v>
      </c>
      <c r="E7" s="210" t="s">
        <v>8588</v>
      </c>
      <c r="F7" s="210" t="s">
        <v>8589</v>
      </c>
      <c r="G7" s="210" t="s">
        <v>8590</v>
      </c>
      <c r="H7" s="209">
        <f>IF($A7="","",$A7 + IFERROR(VLOOKUP($D7,'Fertilizer Key'!$A:$D,3,FALSE),""))</f>
        <v>46011</v>
      </c>
      <c r="I7" s="209">
        <f>IF($A7="","",$A7 + IFERROR(VLOOKUP($D7,'Fertilizer Key'!$A:$D,4,FALSE),""))</f>
        <v>46018</v>
      </c>
      <c r="J7" s="201"/>
      <c r="K7" s="210" t="s">
        <v>8595</v>
      </c>
      <c r="L7" s="21" t="s">
        <v>22</v>
      </c>
      <c r="M7" s="201"/>
      <c r="N7" s="201"/>
      <c r="O7" s="201"/>
      <c r="P7" s="201"/>
      <c r="Q7" s="201"/>
      <c r="R7" s="201"/>
      <c r="S7" s="201"/>
      <c r="T7" s="201"/>
      <c r="U7" s="201"/>
      <c r="V7" s="201"/>
      <c r="W7" s="201"/>
      <c r="X7" s="201"/>
      <c r="Y7" s="201"/>
      <c r="Z7" s="201"/>
      <c r="AA7" s="201"/>
    </row>
    <row r="8">
      <c r="A8" s="212">
        <v>46004.0</v>
      </c>
      <c r="B8" s="210" t="s">
        <v>1709</v>
      </c>
      <c r="C8" s="210" t="s">
        <v>8586</v>
      </c>
      <c r="D8" s="210" t="s">
        <v>8596</v>
      </c>
      <c r="E8" s="210" t="s">
        <v>8597</v>
      </c>
      <c r="F8" s="210" t="s">
        <v>8598</v>
      </c>
      <c r="G8" s="210" t="s">
        <v>8599</v>
      </c>
      <c r="H8" s="209">
        <f>IF($A8="","",$A8 + IFERROR(VLOOKUP($D8,'Fertilizer Key'!$A:$D,3,FALSE),""))</f>
        <v>46011</v>
      </c>
      <c r="I8" s="209">
        <f>IF($A8="","",$A8 + IFERROR(VLOOKUP($D8,'Fertilizer Key'!$A:$D,4,FALSE),""))</f>
        <v>46018</v>
      </c>
      <c r="J8" s="201"/>
      <c r="K8" s="210" t="s">
        <v>8600</v>
      </c>
      <c r="L8" s="21" t="s">
        <v>22</v>
      </c>
      <c r="M8" s="201"/>
      <c r="N8" s="201"/>
      <c r="O8" s="201"/>
      <c r="P8" s="201"/>
      <c r="Q8" s="201"/>
      <c r="R8" s="201"/>
      <c r="S8" s="201"/>
      <c r="T8" s="201"/>
      <c r="U8" s="201"/>
      <c r="V8" s="201"/>
      <c r="W8" s="201"/>
      <c r="X8" s="201"/>
      <c r="Y8" s="201"/>
      <c r="Z8" s="201"/>
      <c r="AA8" s="201"/>
    </row>
    <row r="9">
      <c r="A9" s="212">
        <v>46004.0</v>
      </c>
      <c r="B9" s="210" t="s">
        <v>3490</v>
      </c>
      <c r="C9" s="210" t="s">
        <v>8586</v>
      </c>
      <c r="D9" s="210" t="s">
        <v>8596</v>
      </c>
      <c r="E9" s="210" t="s">
        <v>8597</v>
      </c>
      <c r="F9" s="210" t="s">
        <v>8598</v>
      </c>
      <c r="G9" s="210" t="s">
        <v>8599</v>
      </c>
      <c r="H9" s="209">
        <f>IF($A9="","",$A9 + IFERROR(VLOOKUP($D9,'Fertilizer Key'!$A:$D,3,FALSE),""))</f>
        <v>46011</v>
      </c>
      <c r="I9" s="209">
        <f>IF($A9="","",$A9 + IFERROR(VLOOKUP($D9,'Fertilizer Key'!$A:$D,4,FALSE),""))</f>
        <v>46018</v>
      </c>
      <c r="J9" s="201"/>
      <c r="K9" s="210" t="s">
        <v>8601</v>
      </c>
      <c r="L9" s="21" t="s">
        <v>22</v>
      </c>
      <c r="M9" s="201"/>
      <c r="N9" s="201"/>
      <c r="O9" s="201"/>
      <c r="P9" s="201"/>
      <c r="Q9" s="201"/>
      <c r="R9" s="201"/>
      <c r="S9" s="201"/>
      <c r="T9" s="201"/>
      <c r="U9" s="201"/>
      <c r="V9" s="201"/>
      <c r="W9" s="201"/>
      <c r="X9" s="201"/>
      <c r="Y9" s="201"/>
      <c r="Z9" s="201"/>
      <c r="AA9" s="201"/>
    </row>
    <row r="10">
      <c r="A10" s="212">
        <v>46004.0</v>
      </c>
      <c r="B10" s="210" t="s">
        <v>3498</v>
      </c>
      <c r="C10" s="210" t="s">
        <v>8586</v>
      </c>
      <c r="D10" s="210" t="s">
        <v>8596</v>
      </c>
      <c r="E10" s="210" t="s">
        <v>8597</v>
      </c>
      <c r="F10" s="210" t="s">
        <v>8598</v>
      </c>
      <c r="G10" s="210" t="s">
        <v>8599</v>
      </c>
      <c r="H10" s="209">
        <f>IF($A10="","",$A10 + IFERROR(VLOOKUP($D10,'Fertilizer Key'!$A:$D,3,FALSE),""))</f>
        <v>46011</v>
      </c>
      <c r="I10" s="209">
        <f>IF($A10="","",$A10 + IFERROR(VLOOKUP($D10,'Fertilizer Key'!$A:$D,4,FALSE),""))</f>
        <v>46018</v>
      </c>
      <c r="J10" s="201"/>
      <c r="K10" s="210" t="s">
        <v>8602</v>
      </c>
      <c r="L10" s="21" t="s">
        <v>22</v>
      </c>
      <c r="M10" s="201"/>
      <c r="N10" s="201"/>
      <c r="O10" s="201"/>
      <c r="P10" s="201"/>
      <c r="Q10" s="201"/>
      <c r="R10" s="201"/>
      <c r="S10" s="201"/>
      <c r="T10" s="201"/>
      <c r="U10" s="201"/>
      <c r="V10" s="201"/>
      <c r="W10" s="201"/>
      <c r="X10" s="201"/>
      <c r="Y10" s="201"/>
      <c r="Z10" s="201"/>
      <c r="AA10" s="201"/>
    </row>
    <row r="11">
      <c r="A11" s="212">
        <v>46004.0</v>
      </c>
      <c r="B11" s="210" t="s">
        <v>1932</v>
      </c>
      <c r="C11" s="210" t="s">
        <v>8586</v>
      </c>
      <c r="D11" s="210" t="s">
        <v>8596</v>
      </c>
      <c r="E11" s="210" t="s">
        <v>8597</v>
      </c>
      <c r="F11" s="210" t="s">
        <v>8598</v>
      </c>
      <c r="G11" s="210" t="s">
        <v>8599</v>
      </c>
      <c r="H11" s="209">
        <f>IF($A11="","",$A11 + IFERROR(VLOOKUP($D11,'Fertilizer Key'!$A:$D,3,FALSE),""))</f>
        <v>46011</v>
      </c>
      <c r="I11" s="209">
        <f>IF($A11="","",$A11 + IFERROR(VLOOKUP($D11,'Fertilizer Key'!$A:$D,4,FALSE),""))</f>
        <v>46018</v>
      </c>
      <c r="J11" s="201"/>
      <c r="K11" s="210" t="s">
        <v>8603</v>
      </c>
      <c r="L11" s="21" t="s">
        <v>22</v>
      </c>
      <c r="M11" s="201"/>
      <c r="N11" s="201"/>
      <c r="O11" s="201"/>
      <c r="P11" s="201"/>
      <c r="Q11" s="201"/>
      <c r="R11" s="201"/>
      <c r="S11" s="201"/>
      <c r="T11" s="201"/>
      <c r="U11" s="201"/>
      <c r="V11" s="201"/>
      <c r="W11" s="201"/>
      <c r="X11" s="201"/>
      <c r="Y11" s="201"/>
      <c r="Z11" s="201"/>
      <c r="AA11" s="201"/>
    </row>
    <row r="12">
      <c r="A12" s="212">
        <v>46004.0</v>
      </c>
      <c r="B12" s="210" t="s">
        <v>3496</v>
      </c>
      <c r="C12" s="210" t="s">
        <v>8586</v>
      </c>
      <c r="D12" s="210" t="s">
        <v>8596</v>
      </c>
      <c r="E12" s="210" t="s">
        <v>8597</v>
      </c>
      <c r="F12" s="210" t="s">
        <v>8598</v>
      </c>
      <c r="G12" s="210" t="s">
        <v>8599</v>
      </c>
      <c r="H12" s="209">
        <f>IF($A12="","",$A12 + IFERROR(VLOOKUP($D12,'Fertilizer Key'!$A:$D,3,FALSE),""))</f>
        <v>46011</v>
      </c>
      <c r="I12" s="209">
        <f>IF($A12="","",$A12 + IFERROR(VLOOKUP($D12,'Fertilizer Key'!$A:$D,4,FALSE),""))</f>
        <v>46018</v>
      </c>
      <c r="J12" s="201"/>
      <c r="K12" s="210" t="s">
        <v>8604</v>
      </c>
      <c r="L12" s="21" t="s">
        <v>22</v>
      </c>
      <c r="M12" s="201"/>
      <c r="N12" s="201"/>
      <c r="O12" s="201"/>
      <c r="P12" s="201"/>
      <c r="Q12" s="201"/>
      <c r="R12" s="201"/>
      <c r="S12" s="201"/>
      <c r="T12" s="201"/>
      <c r="U12" s="201"/>
      <c r="V12" s="201"/>
      <c r="W12" s="201"/>
      <c r="X12" s="201"/>
      <c r="Y12" s="201"/>
      <c r="Z12" s="201"/>
      <c r="AA12" s="201"/>
    </row>
    <row r="13">
      <c r="A13" s="212">
        <v>46004.0</v>
      </c>
      <c r="B13" s="210" t="s">
        <v>2047</v>
      </c>
      <c r="C13" s="210" t="s">
        <v>8586</v>
      </c>
      <c r="D13" s="210" t="s">
        <v>8596</v>
      </c>
      <c r="E13" s="210" t="s">
        <v>8597</v>
      </c>
      <c r="F13" s="210" t="s">
        <v>8598</v>
      </c>
      <c r="G13" s="210" t="s">
        <v>8599</v>
      </c>
      <c r="H13" s="209">
        <f>IF($A13="","",$A13 + IFERROR(VLOOKUP($D13,'Fertilizer Key'!$A:$D,3,FALSE),""))</f>
        <v>46011</v>
      </c>
      <c r="I13" s="209">
        <f>IF($A13="","",$A13 + IFERROR(VLOOKUP($D13,'Fertilizer Key'!$A:$D,4,FALSE),""))</f>
        <v>46018</v>
      </c>
      <c r="J13" s="201"/>
      <c r="K13" s="210" t="s">
        <v>8605</v>
      </c>
      <c r="L13" s="21" t="s">
        <v>22</v>
      </c>
      <c r="M13" s="201"/>
      <c r="N13" s="201"/>
      <c r="O13" s="201"/>
      <c r="P13" s="201"/>
      <c r="Q13" s="201"/>
      <c r="R13" s="201"/>
      <c r="S13" s="201"/>
      <c r="T13" s="201"/>
      <c r="U13" s="201"/>
      <c r="V13" s="201"/>
      <c r="W13" s="201"/>
      <c r="X13" s="201"/>
      <c r="Y13" s="201"/>
      <c r="Z13" s="201"/>
      <c r="AA13" s="201"/>
    </row>
    <row r="14">
      <c r="A14" s="212">
        <v>46004.0</v>
      </c>
      <c r="B14" s="210" t="s">
        <v>2516</v>
      </c>
      <c r="C14" s="210" t="s">
        <v>8586</v>
      </c>
      <c r="D14" s="210" t="s">
        <v>8596</v>
      </c>
      <c r="E14" s="210" t="s">
        <v>8597</v>
      </c>
      <c r="F14" s="210" t="s">
        <v>8598</v>
      </c>
      <c r="G14" s="210" t="s">
        <v>8599</v>
      </c>
      <c r="H14" s="209">
        <f>IF($A14="","",$A14 + IFERROR(VLOOKUP($D14,'Fertilizer Key'!$A:$D,3,FALSE),""))</f>
        <v>46011</v>
      </c>
      <c r="I14" s="209">
        <f>IF($A14="","",$A14 + IFERROR(VLOOKUP($D14,'Fertilizer Key'!$A:$D,4,FALSE),""))</f>
        <v>46018</v>
      </c>
      <c r="J14" s="201"/>
      <c r="K14" s="210" t="s">
        <v>8606</v>
      </c>
      <c r="L14" s="21" t="s">
        <v>22</v>
      </c>
      <c r="M14" s="201"/>
      <c r="N14" s="201"/>
      <c r="O14" s="201"/>
      <c r="P14" s="201"/>
      <c r="Q14" s="201"/>
      <c r="R14" s="201"/>
      <c r="S14" s="201"/>
      <c r="T14" s="201"/>
      <c r="U14" s="201"/>
      <c r="V14" s="201"/>
      <c r="W14" s="201"/>
      <c r="X14" s="201"/>
      <c r="Y14" s="201"/>
      <c r="Z14" s="201"/>
      <c r="AA14" s="201"/>
    </row>
    <row r="15">
      <c r="A15" s="212">
        <v>46004.0</v>
      </c>
      <c r="B15" s="210" t="s">
        <v>1764</v>
      </c>
      <c r="C15" s="210" t="s">
        <v>8586</v>
      </c>
      <c r="D15" s="210" t="s">
        <v>8596</v>
      </c>
      <c r="E15" s="210" t="s">
        <v>8597</v>
      </c>
      <c r="F15" s="210" t="s">
        <v>8598</v>
      </c>
      <c r="G15" s="210" t="s">
        <v>8599</v>
      </c>
      <c r="H15" s="209">
        <f>IF($A15="","",$A15 + IFERROR(VLOOKUP($D15,'Fertilizer Key'!$A:$D,3,FALSE),""))</f>
        <v>46011</v>
      </c>
      <c r="I15" s="209">
        <f>IF($A15="","",$A15 + IFERROR(VLOOKUP($D15,'Fertilizer Key'!$A:$D,4,FALSE),""))</f>
        <v>46018</v>
      </c>
      <c r="J15" s="201"/>
      <c r="K15" s="210" t="s">
        <v>8607</v>
      </c>
      <c r="L15" s="21" t="s">
        <v>22</v>
      </c>
      <c r="M15" s="201"/>
      <c r="N15" s="201"/>
      <c r="O15" s="201"/>
      <c r="P15" s="201"/>
      <c r="Q15" s="201"/>
      <c r="R15" s="201"/>
      <c r="S15" s="201"/>
      <c r="T15" s="201"/>
      <c r="U15" s="201"/>
      <c r="V15" s="201"/>
      <c r="W15" s="201"/>
      <c r="X15" s="201"/>
      <c r="Y15" s="201"/>
      <c r="Z15" s="201"/>
      <c r="AA15" s="201"/>
    </row>
    <row r="16">
      <c r="A16" s="212">
        <v>46004.0</v>
      </c>
      <c r="B16" s="210" t="s">
        <v>2782</v>
      </c>
      <c r="C16" s="210" t="s">
        <v>8352</v>
      </c>
      <c r="D16" s="210" t="s">
        <v>8596</v>
      </c>
      <c r="E16" s="210" t="s">
        <v>8597</v>
      </c>
      <c r="F16" s="210" t="s">
        <v>8598</v>
      </c>
      <c r="G16" s="210" t="s">
        <v>8599</v>
      </c>
      <c r="H16" s="209">
        <f>IF($A16="","",$A16 + IFERROR(VLOOKUP($D16,'Fertilizer Key'!$A:$D,3,FALSE),""))</f>
        <v>46011</v>
      </c>
      <c r="I16" s="209">
        <f>IF($A16="","",$A16 + IFERROR(VLOOKUP($D16,'Fertilizer Key'!$A:$D,4,FALSE),""))</f>
        <v>46018</v>
      </c>
      <c r="J16" s="201"/>
      <c r="K16" s="210" t="s">
        <v>8608</v>
      </c>
      <c r="L16" s="21" t="s">
        <v>22</v>
      </c>
      <c r="M16" s="201"/>
      <c r="N16" s="201"/>
      <c r="O16" s="201"/>
      <c r="P16" s="201"/>
      <c r="Q16" s="201"/>
      <c r="R16" s="201"/>
      <c r="S16" s="201"/>
      <c r="T16" s="201"/>
      <c r="U16" s="201"/>
      <c r="V16" s="201"/>
      <c r="W16" s="201"/>
      <c r="X16" s="201"/>
      <c r="Y16" s="201"/>
      <c r="Z16" s="201"/>
      <c r="AA16" s="201"/>
    </row>
    <row r="17">
      <c r="A17" s="212">
        <v>46004.0</v>
      </c>
      <c r="B17" s="210" t="s">
        <v>1489</v>
      </c>
      <c r="C17" s="210" t="s">
        <v>5970</v>
      </c>
      <c r="D17" s="210" t="s">
        <v>8587</v>
      </c>
      <c r="E17" s="210" t="s">
        <v>8588</v>
      </c>
      <c r="F17" s="210" t="s">
        <v>8589</v>
      </c>
      <c r="G17" s="210" t="s">
        <v>8590</v>
      </c>
      <c r="H17" s="209">
        <f>IF($A17="","",$A17 + IFERROR(VLOOKUP($D17,'Fertilizer Key'!$A:$D,3,FALSE),""))</f>
        <v>46011</v>
      </c>
      <c r="I17" s="209">
        <f>IF($A17="","",$A17 + IFERROR(VLOOKUP($D17,'Fertilizer Key'!$A:$D,4,FALSE),""))</f>
        <v>46018</v>
      </c>
      <c r="J17" s="201"/>
      <c r="K17" s="210" t="s">
        <v>8609</v>
      </c>
      <c r="L17" s="21" t="s">
        <v>22</v>
      </c>
      <c r="M17" s="201"/>
      <c r="N17" s="201"/>
      <c r="O17" s="201"/>
      <c r="P17" s="201"/>
      <c r="Q17" s="201"/>
      <c r="R17" s="201"/>
      <c r="S17" s="201"/>
      <c r="T17" s="201"/>
      <c r="U17" s="201"/>
      <c r="V17" s="201"/>
      <c r="W17" s="201"/>
      <c r="X17" s="201"/>
      <c r="Y17" s="201"/>
      <c r="Z17" s="201"/>
      <c r="AA17" s="201"/>
    </row>
    <row r="18">
      <c r="A18" s="212">
        <v>46004.0</v>
      </c>
      <c r="B18" s="210" t="s">
        <v>1853</v>
      </c>
      <c r="C18" s="210" t="s">
        <v>8352</v>
      </c>
      <c r="D18" s="210" t="s">
        <v>8596</v>
      </c>
      <c r="E18" s="210" t="s">
        <v>8597</v>
      </c>
      <c r="F18" s="210" t="s">
        <v>8598</v>
      </c>
      <c r="G18" s="210" t="s">
        <v>8599</v>
      </c>
      <c r="H18" s="209">
        <f>IF($A18="","",$A18 + IFERROR(VLOOKUP($D18,'Fertilizer Key'!$A:$D,3,FALSE),""))</f>
        <v>46011</v>
      </c>
      <c r="I18" s="209">
        <f>IF($A18="","",$A18 + IFERROR(VLOOKUP($D18,'Fertilizer Key'!$A:$D,4,FALSE),""))</f>
        <v>46018</v>
      </c>
      <c r="J18" s="201"/>
      <c r="K18" s="210" t="s">
        <v>8610</v>
      </c>
      <c r="L18" s="21" t="s">
        <v>22</v>
      </c>
      <c r="M18" s="201"/>
      <c r="N18" s="201"/>
      <c r="O18" s="201"/>
      <c r="P18" s="201"/>
      <c r="Q18" s="201"/>
      <c r="R18" s="201"/>
      <c r="S18" s="201"/>
      <c r="T18" s="201"/>
      <c r="U18" s="201"/>
      <c r="V18" s="201"/>
      <c r="W18" s="201"/>
      <c r="X18" s="201"/>
      <c r="Y18" s="201"/>
      <c r="Z18" s="201"/>
      <c r="AA18" s="201"/>
    </row>
    <row r="19">
      <c r="A19" s="212">
        <v>46004.0</v>
      </c>
      <c r="B19" s="210" t="s">
        <v>2586</v>
      </c>
      <c r="C19" s="210" t="s">
        <v>5974</v>
      </c>
      <c r="D19" s="210" t="s">
        <v>8587</v>
      </c>
      <c r="E19" s="210" t="s">
        <v>8611</v>
      </c>
      <c r="F19" s="210" t="s">
        <v>8589</v>
      </c>
      <c r="G19" s="210" t="s">
        <v>8590</v>
      </c>
      <c r="H19" s="209">
        <f>IF($A19="","",$A19 + IFERROR(VLOOKUP($D19,'Fertilizer Key'!$A:$D,3,FALSE),""))</f>
        <v>46011</v>
      </c>
      <c r="I19" s="209">
        <f>IF($A19="","",$A19 + IFERROR(VLOOKUP($D19,'Fertilizer Key'!$A:$D,4,FALSE),""))</f>
        <v>46018</v>
      </c>
      <c r="J19" s="201"/>
      <c r="K19" s="210" t="s">
        <v>8612</v>
      </c>
      <c r="L19" s="21" t="s">
        <v>22</v>
      </c>
      <c r="M19" s="201"/>
      <c r="N19" s="201"/>
      <c r="O19" s="201"/>
      <c r="P19" s="201"/>
      <c r="Q19" s="201"/>
      <c r="R19" s="201"/>
      <c r="S19" s="201"/>
      <c r="T19" s="201"/>
      <c r="U19" s="201"/>
      <c r="V19" s="201"/>
      <c r="W19" s="201"/>
      <c r="X19" s="201"/>
      <c r="Y19" s="201"/>
      <c r="Z19" s="201"/>
      <c r="AA19" s="201"/>
    </row>
    <row r="20">
      <c r="A20" s="212">
        <v>46004.0</v>
      </c>
      <c r="B20" s="210" t="s">
        <v>2861</v>
      </c>
      <c r="C20" s="210" t="s">
        <v>5956</v>
      </c>
      <c r="D20" s="210" t="s">
        <v>8596</v>
      </c>
      <c r="E20" s="210" t="s">
        <v>8597</v>
      </c>
      <c r="F20" s="210" t="s">
        <v>8598</v>
      </c>
      <c r="G20" s="210" t="s">
        <v>8599</v>
      </c>
      <c r="H20" s="209">
        <f>IF($A20="","",$A20 + IFERROR(VLOOKUP($D20,'Fertilizer Key'!$A:$D,3,FALSE),""))</f>
        <v>46011</v>
      </c>
      <c r="I20" s="209">
        <f>IF($A20="","",$A20 + IFERROR(VLOOKUP($D20,'Fertilizer Key'!$A:$D,4,FALSE),""))</f>
        <v>46018</v>
      </c>
      <c r="J20" s="201"/>
      <c r="K20" s="210" t="s">
        <v>8613</v>
      </c>
      <c r="L20" s="21" t="s">
        <v>22</v>
      </c>
      <c r="M20" s="201"/>
      <c r="N20" s="201"/>
      <c r="O20" s="201"/>
      <c r="P20" s="201"/>
      <c r="Q20" s="201"/>
      <c r="R20" s="201"/>
      <c r="S20" s="201"/>
      <c r="T20" s="201"/>
      <c r="U20" s="201"/>
      <c r="V20" s="201"/>
      <c r="W20" s="201"/>
      <c r="X20" s="201"/>
      <c r="Y20" s="201"/>
      <c r="Z20" s="201"/>
      <c r="AA20" s="201"/>
    </row>
    <row r="21">
      <c r="A21" s="212">
        <v>46004.0</v>
      </c>
      <c r="B21" s="210" t="s">
        <v>2270</v>
      </c>
      <c r="C21" s="210" t="s">
        <v>5956</v>
      </c>
      <c r="D21" s="210" t="s">
        <v>8596</v>
      </c>
      <c r="E21" s="210" t="s">
        <v>8597</v>
      </c>
      <c r="F21" s="210" t="s">
        <v>8598</v>
      </c>
      <c r="G21" s="210" t="s">
        <v>8599</v>
      </c>
      <c r="H21" s="209">
        <f>IF($A21="","",$A21 + IFERROR(VLOOKUP($D21,'Fertilizer Key'!$A:$D,3,FALSE),""))</f>
        <v>46011</v>
      </c>
      <c r="I21" s="209">
        <f>IF($A21="","",$A21 + IFERROR(VLOOKUP($D21,'Fertilizer Key'!$A:$D,4,FALSE),""))</f>
        <v>46018</v>
      </c>
      <c r="J21" s="201"/>
      <c r="K21" s="210" t="s">
        <v>8614</v>
      </c>
      <c r="L21" s="21" t="s">
        <v>22</v>
      </c>
      <c r="M21" s="201"/>
      <c r="N21" s="201"/>
      <c r="O21" s="201"/>
      <c r="P21" s="201"/>
      <c r="Q21" s="201"/>
      <c r="R21" s="201"/>
      <c r="S21" s="201"/>
      <c r="T21" s="201"/>
      <c r="U21" s="201"/>
      <c r="V21" s="201"/>
      <c r="W21" s="201"/>
      <c r="X21" s="201"/>
      <c r="Y21" s="201"/>
      <c r="Z21" s="201"/>
      <c r="AA21" s="201"/>
    </row>
    <row r="22">
      <c r="A22" s="212">
        <v>46004.0</v>
      </c>
      <c r="B22" s="210" t="s">
        <v>3557</v>
      </c>
      <c r="C22" s="210" t="s">
        <v>5956</v>
      </c>
      <c r="D22" s="210" t="s">
        <v>8596</v>
      </c>
      <c r="E22" s="210" t="s">
        <v>8597</v>
      </c>
      <c r="F22" s="210" t="s">
        <v>8598</v>
      </c>
      <c r="G22" s="210" t="s">
        <v>8599</v>
      </c>
      <c r="H22" s="209">
        <f>IF($A22="","",$A22 + IFERROR(VLOOKUP($D22,'Fertilizer Key'!$A:$D,3,FALSE),""))</f>
        <v>46011</v>
      </c>
      <c r="I22" s="209">
        <f>IF($A22="","",$A22 + IFERROR(VLOOKUP($D22,'Fertilizer Key'!$A:$D,4,FALSE),""))</f>
        <v>46018</v>
      </c>
      <c r="J22" s="201"/>
      <c r="K22" s="210" t="s">
        <v>8615</v>
      </c>
      <c r="L22" s="21" t="s">
        <v>22</v>
      </c>
      <c r="M22" s="201"/>
      <c r="N22" s="201"/>
      <c r="O22" s="201"/>
      <c r="P22" s="201"/>
      <c r="Q22" s="201"/>
      <c r="R22" s="201"/>
      <c r="S22" s="201"/>
      <c r="T22" s="201"/>
      <c r="U22" s="201"/>
      <c r="V22" s="201"/>
      <c r="W22" s="201"/>
      <c r="X22" s="201"/>
      <c r="Y22" s="201"/>
      <c r="Z22" s="201"/>
      <c r="AA22" s="201"/>
    </row>
    <row r="23">
      <c r="A23" s="212">
        <v>46004.0</v>
      </c>
      <c r="B23" s="210" t="s">
        <v>2274</v>
      </c>
      <c r="C23" s="210" t="s">
        <v>5956</v>
      </c>
      <c r="D23" s="210" t="s">
        <v>8596</v>
      </c>
      <c r="E23" s="210" t="s">
        <v>8597</v>
      </c>
      <c r="F23" s="210" t="s">
        <v>8598</v>
      </c>
      <c r="G23" s="210" t="s">
        <v>8599</v>
      </c>
      <c r="H23" s="209">
        <f>IF($A23="","",$A23 + IFERROR(VLOOKUP($D23,'Fertilizer Key'!$A:$D,3,FALSE),""))</f>
        <v>46011</v>
      </c>
      <c r="I23" s="209">
        <f>IF($A23="","",$A23 + IFERROR(VLOOKUP($D23,'Fertilizer Key'!$A:$D,4,FALSE),""))</f>
        <v>46018</v>
      </c>
      <c r="J23" s="201"/>
      <c r="K23" s="210" t="s">
        <v>8616</v>
      </c>
      <c r="L23" s="21" t="s">
        <v>22</v>
      </c>
      <c r="M23" s="201"/>
      <c r="N23" s="201"/>
      <c r="O23" s="201"/>
      <c r="P23" s="201"/>
      <c r="Q23" s="201"/>
      <c r="R23" s="201"/>
      <c r="S23" s="201"/>
      <c r="T23" s="201"/>
      <c r="U23" s="201"/>
      <c r="V23" s="201"/>
      <c r="W23" s="201"/>
      <c r="X23" s="201"/>
      <c r="Y23" s="201"/>
      <c r="Z23" s="201"/>
      <c r="AA23" s="201"/>
    </row>
    <row r="24">
      <c r="A24" s="212">
        <v>46004.0</v>
      </c>
      <c r="B24" s="210" t="s">
        <v>2521</v>
      </c>
      <c r="C24" s="210" t="s">
        <v>5956</v>
      </c>
      <c r="D24" s="210" t="s">
        <v>8596</v>
      </c>
      <c r="E24" s="210" t="s">
        <v>8597</v>
      </c>
      <c r="F24" s="210" t="s">
        <v>8598</v>
      </c>
      <c r="G24" s="210" t="s">
        <v>8599</v>
      </c>
      <c r="H24" s="209">
        <f>IF($A24="","",$A24 + IFERROR(VLOOKUP($D24,'Fertilizer Key'!$A:$D,3,FALSE),""))</f>
        <v>46011</v>
      </c>
      <c r="I24" s="209">
        <f>IF($A24="","",$A24 + IFERROR(VLOOKUP($D24,'Fertilizer Key'!$A:$D,4,FALSE),""))</f>
        <v>46018</v>
      </c>
      <c r="J24" s="201"/>
      <c r="K24" s="210" t="s">
        <v>8617</v>
      </c>
      <c r="L24" s="21" t="s">
        <v>22</v>
      </c>
      <c r="M24" s="201"/>
      <c r="N24" s="201"/>
      <c r="O24" s="201"/>
      <c r="P24" s="201"/>
      <c r="Q24" s="201"/>
      <c r="R24" s="201"/>
      <c r="S24" s="201"/>
      <c r="T24" s="201"/>
      <c r="U24" s="201"/>
      <c r="V24" s="201"/>
      <c r="W24" s="201"/>
      <c r="X24" s="201"/>
      <c r="Y24" s="201"/>
      <c r="Z24" s="201"/>
      <c r="AA24" s="201"/>
    </row>
    <row r="25">
      <c r="A25" s="212">
        <v>46004.0</v>
      </c>
      <c r="B25" s="210" t="s">
        <v>2053</v>
      </c>
      <c r="C25" s="210" t="s">
        <v>5956</v>
      </c>
      <c r="D25" s="210" t="s">
        <v>8596</v>
      </c>
      <c r="E25" s="210" t="s">
        <v>8597</v>
      </c>
      <c r="F25" s="210" t="s">
        <v>8598</v>
      </c>
      <c r="G25" s="210" t="s">
        <v>8599</v>
      </c>
      <c r="H25" s="209">
        <f>IF($A25="","",$A25 + IFERROR(VLOOKUP($D25,'Fertilizer Key'!$A:$D,3,FALSE),""))</f>
        <v>46011</v>
      </c>
      <c r="I25" s="209">
        <f>IF($A25="","",$A25 + IFERROR(VLOOKUP($D25,'Fertilizer Key'!$A:$D,4,FALSE),""))</f>
        <v>46018</v>
      </c>
      <c r="J25" s="201"/>
      <c r="K25" s="210" t="s">
        <v>8618</v>
      </c>
      <c r="L25" s="21" t="s">
        <v>22</v>
      </c>
      <c r="M25" s="201"/>
      <c r="N25" s="201"/>
      <c r="O25" s="201"/>
      <c r="P25" s="201"/>
      <c r="Q25" s="201"/>
      <c r="R25" s="201"/>
      <c r="S25" s="201"/>
      <c r="T25" s="201"/>
      <c r="U25" s="201"/>
      <c r="V25" s="201"/>
      <c r="W25" s="201"/>
      <c r="X25" s="201"/>
      <c r="Y25" s="201"/>
      <c r="Z25" s="201"/>
      <c r="AA25" s="201"/>
    </row>
    <row r="26">
      <c r="A26" s="212">
        <v>46005.0</v>
      </c>
      <c r="B26" s="210" t="s">
        <v>3305</v>
      </c>
      <c r="C26" s="210" t="s">
        <v>8352</v>
      </c>
      <c r="D26" s="210" t="s">
        <v>8596</v>
      </c>
      <c r="E26" s="210" t="s">
        <v>8597</v>
      </c>
      <c r="F26" s="210" t="s">
        <v>8598</v>
      </c>
      <c r="G26" s="210" t="s">
        <v>8599</v>
      </c>
      <c r="H26" s="209">
        <f>IF($A26="","",$A26 + IFERROR(VLOOKUP($D26,'Fertilizer Key'!$A:$D,3,FALSE),""))</f>
        <v>46012</v>
      </c>
      <c r="I26" s="209">
        <f>IF($A26="","",$A26 + IFERROR(VLOOKUP($D26,'Fertilizer Key'!$A:$D,4,FALSE),""))</f>
        <v>46019</v>
      </c>
      <c r="J26" s="201"/>
      <c r="K26" s="210" t="s">
        <v>8619</v>
      </c>
      <c r="L26" s="21" t="s">
        <v>22</v>
      </c>
      <c r="M26" s="201"/>
      <c r="N26" s="201"/>
      <c r="O26" s="201"/>
      <c r="P26" s="201"/>
      <c r="Q26" s="201"/>
      <c r="R26" s="201"/>
      <c r="S26" s="201"/>
      <c r="T26" s="201"/>
      <c r="U26" s="201"/>
      <c r="V26" s="201"/>
      <c r="W26" s="201"/>
      <c r="X26" s="201"/>
      <c r="Y26" s="201"/>
      <c r="Z26" s="201"/>
      <c r="AA26" s="201"/>
    </row>
    <row r="27">
      <c r="A27" s="212">
        <v>46005.0</v>
      </c>
      <c r="B27" s="210" t="s">
        <v>2469</v>
      </c>
      <c r="C27" s="210" t="s">
        <v>5970</v>
      </c>
      <c r="D27" s="210" t="s">
        <v>8596</v>
      </c>
      <c r="E27" s="210" t="s">
        <v>8611</v>
      </c>
      <c r="F27" s="210" t="s">
        <v>8598</v>
      </c>
      <c r="G27" s="210" t="s">
        <v>8599</v>
      </c>
      <c r="H27" s="209">
        <f>IF($A27="","",$A27 + IFERROR(VLOOKUP($D27,'Fertilizer Key'!$A:$D,3,FALSE),""))</f>
        <v>46012</v>
      </c>
      <c r="I27" s="209">
        <f>IF($A27="","",$A27 + IFERROR(VLOOKUP($D27,'Fertilizer Key'!$A:$D,4,FALSE),""))</f>
        <v>46019</v>
      </c>
      <c r="J27" s="201"/>
      <c r="K27" s="210" t="s">
        <v>8620</v>
      </c>
      <c r="L27" s="21" t="s">
        <v>22</v>
      </c>
      <c r="M27" s="201"/>
      <c r="N27" s="201"/>
      <c r="O27" s="201"/>
      <c r="P27" s="201"/>
      <c r="Q27" s="201"/>
      <c r="R27" s="201"/>
      <c r="S27" s="201"/>
      <c r="T27" s="201"/>
      <c r="U27" s="201"/>
      <c r="V27" s="201"/>
      <c r="W27" s="201"/>
      <c r="X27" s="201"/>
      <c r="Y27" s="201"/>
      <c r="Z27" s="201"/>
      <c r="AA27" s="201"/>
    </row>
    <row r="28">
      <c r="A28" s="212">
        <v>46005.0</v>
      </c>
      <c r="B28" s="210" t="s">
        <v>3426</v>
      </c>
      <c r="C28" s="210" t="s">
        <v>5956</v>
      </c>
      <c r="D28" s="210" t="s">
        <v>8596</v>
      </c>
      <c r="E28" s="210" t="s">
        <v>8611</v>
      </c>
      <c r="F28" s="210" t="s">
        <v>8598</v>
      </c>
      <c r="G28" s="210" t="s">
        <v>8599</v>
      </c>
      <c r="H28" s="209">
        <f>IF($A28="","",$A28 + IFERROR(VLOOKUP($D28,'Fertilizer Key'!$A:$D,3,FALSE),""))</f>
        <v>46012</v>
      </c>
      <c r="I28" s="209">
        <f>IF($A28="","",$A28 + IFERROR(VLOOKUP($D28,'Fertilizer Key'!$A:$D,4,FALSE),""))</f>
        <v>46019</v>
      </c>
      <c r="J28" s="201"/>
      <c r="K28" s="210" t="s">
        <v>8621</v>
      </c>
      <c r="L28" s="21" t="s">
        <v>22</v>
      </c>
      <c r="M28" s="201"/>
      <c r="N28" s="201"/>
      <c r="O28" s="201"/>
      <c r="P28" s="201"/>
      <c r="Q28" s="201"/>
      <c r="R28" s="201"/>
      <c r="S28" s="201"/>
      <c r="T28" s="201"/>
      <c r="U28" s="201"/>
      <c r="V28" s="201"/>
      <c r="W28" s="201"/>
      <c r="X28" s="201"/>
      <c r="Y28" s="201"/>
      <c r="Z28" s="201"/>
      <c r="AA28" s="201"/>
    </row>
    <row r="29">
      <c r="A29" s="212">
        <v>46005.0</v>
      </c>
      <c r="B29" s="210" t="s">
        <v>2381</v>
      </c>
      <c r="C29" s="210" t="s">
        <v>5956</v>
      </c>
      <c r="D29" s="210" t="s">
        <v>8596</v>
      </c>
      <c r="E29" s="210" t="s">
        <v>8611</v>
      </c>
      <c r="F29" s="210" t="s">
        <v>8598</v>
      </c>
      <c r="G29" s="210" t="s">
        <v>8599</v>
      </c>
      <c r="H29" s="209">
        <f>IF($A29="","",$A29 + IFERROR(VLOOKUP($D29,'Fertilizer Key'!$A:$D,3,FALSE),""))</f>
        <v>46012</v>
      </c>
      <c r="I29" s="209">
        <f>IF($A29="","",$A29 + IFERROR(VLOOKUP($D29,'Fertilizer Key'!$A:$D,4,FALSE),""))</f>
        <v>46019</v>
      </c>
      <c r="J29" s="201"/>
      <c r="K29" s="210" t="s">
        <v>8622</v>
      </c>
      <c r="L29" s="21" t="s">
        <v>22</v>
      </c>
      <c r="M29" s="201"/>
      <c r="N29" s="201"/>
      <c r="O29" s="201"/>
      <c r="P29" s="201"/>
      <c r="Q29" s="201"/>
      <c r="R29" s="201"/>
      <c r="S29" s="201"/>
      <c r="T29" s="201"/>
      <c r="U29" s="201"/>
      <c r="V29" s="201"/>
      <c r="W29" s="201"/>
      <c r="X29" s="201"/>
      <c r="Y29" s="201"/>
      <c r="Z29" s="201"/>
      <c r="AA29" s="201"/>
    </row>
    <row r="30">
      <c r="A30" s="212">
        <v>46005.0</v>
      </c>
      <c r="B30" s="210" t="s">
        <v>2255</v>
      </c>
      <c r="C30" s="210" t="s">
        <v>8586</v>
      </c>
      <c r="D30" s="210" t="s">
        <v>8596</v>
      </c>
      <c r="E30" s="210" t="s">
        <v>8611</v>
      </c>
      <c r="F30" s="210" t="s">
        <v>8598</v>
      </c>
      <c r="G30" s="210" t="s">
        <v>8599</v>
      </c>
      <c r="H30" s="209">
        <f>IF($A30="","",$A30 + IFERROR(VLOOKUP($D30,'Fertilizer Key'!$A:$D,3,FALSE),""))</f>
        <v>46012</v>
      </c>
      <c r="I30" s="209">
        <f>IF($A30="","",$A30 + IFERROR(VLOOKUP($D30,'Fertilizer Key'!$A:$D,4,FALSE),""))</f>
        <v>46019</v>
      </c>
      <c r="J30" s="201"/>
      <c r="K30" s="210" t="s">
        <v>8623</v>
      </c>
      <c r="L30" s="21" t="s">
        <v>22</v>
      </c>
      <c r="M30" s="201"/>
      <c r="N30" s="201"/>
      <c r="O30" s="201"/>
      <c r="P30" s="201"/>
      <c r="Q30" s="201"/>
      <c r="R30" s="201"/>
      <c r="S30" s="201"/>
      <c r="T30" s="201"/>
      <c r="U30" s="201"/>
      <c r="V30" s="201"/>
      <c r="W30" s="201"/>
      <c r="X30" s="201"/>
      <c r="Y30" s="201"/>
      <c r="Z30" s="201"/>
      <c r="AA30" s="201"/>
    </row>
    <row r="31">
      <c r="A31" s="212">
        <v>46005.0</v>
      </c>
      <c r="B31" s="210" t="s">
        <v>3047</v>
      </c>
      <c r="C31" s="210" t="s">
        <v>8586</v>
      </c>
      <c r="D31" s="210" t="s">
        <v>8596</v>
      </c>
      <c r="E31" s="210" t="s">
        <v>8611</v>
      </c>
      <c r="F31" s="210" t="s">
        <v>8598</v>
      </c>
      <c r="G31" s="210" t="s">
        <v>8599</v>
      </c>
      <c r="H31" s="209">
        <f>IF($A31="","",$A31 + IFERROR(VLOOKUP($D31,'Fertilizer Key'!$A:$D,3,FALSE),""))</f>
        <v>46012</v>
      </c>
      <c r="I31" s="209">
        <f>IF($A31="","",$A31 + IFERROR(VLOOKUP($D31,'Fertilizer Key'!$A:$D,4,FALSE),""))</f>
        <v>46019</v>
      </c>
      <c r="J31" s="201"/>
      <c r="K31" s="210" t="s">
        <v>8624</v>
      </c>
      <c r="L31" s="21" t="s">
        <v>22</v>
      </c>
      <c r="M31" s="201"/>
      <c r="N31" s="201"/>
      <c r="O31" s="201"/>
      <c r="P31" s="201"/>
      <c r="Q31" s="201"/>
      <c r="R31" s="201"/>
      <c r="S31" s="201"/>
      <c r="T31" s="201"/>
      <c r="U31" s="201"/>
      <c r="V31" s="201"/>
      <c r="W31" s="201"/>
      <c r="X31" s="201"/>
      <c r="Y31" s="201"/>
      <c r="Z31" s="201"/>
      <c r="AA31" s="201"/>
    </row>
    <row r="32">
      <c r="A32" s="212">
        <v>46005.0</v>
      </c>
      <c r="B32" s="210" t="s">
        <v>2471</v>
      </c>
      <c r="C32" s="210" t="s">
        <v>8586</v>
      </c>
      <c r="D32" s="210" t="s">
        <v>8596</v>
      </c>
      <c r="E32" s="210" t="s">
        <v>8611</v>
      </c>
      <c r="F32" s="210" t="s">
        <v>8598</v>
      </c>
      <c r="G32" s="210" t="s">
        <v>8599</v>
      </c>
      <c r="H32" s="209">
        <f>IF($A32="","",$A32 + IFERROR(VLOOKUP($D32,'Fertilizer Key'!$A:$D,3,FALSE),""))</f>
        <v>46012</v>
      </c>
      <c r="I32" s="209">
        <f>IF($A32="","",$A32 + IFERROR(VLOOKUP($D32,'Fertilizer Key'!$A:$D,4,FALSE),""))</f>
        <v>46019</v>
      </c>
      <c r="J32" s="201"/>
      <c r="K32" s="210" t="s">
        <v>8625</v>
      </c>
      <c r="L32" s="21" t="s">
        <v>22</v>
      </c>
      <c r="M32" s="201"/>
      <c r="N32" s="201"/>
      <c r="O32" s="201"/>
      <c r="P32" s="201"/>
      <c r="Q32" s="201"/>
      <c r="R32" s="201"/>
      <c r="S32" s="201"/>
      <c r="T32" s="201"/>
      <c r="U32" s="201"/>
      <c r="V32" s="201"/>
      <c r="W32" s="201"/>
      <c r="X32" s="201"/>
      <c r="Y32" s="201"/>
      <c r="Z32" s="201"/>
      <c r="AA32" s="201"/>
    </row>
    <row r="33">
      <c r="A33" s="212">
        <v>46005.0</v>
      </c>
      <c r="B33" s="210" t="s">
        <v>3166</v>
      </c>
      <c r="C33" s="210" t="s">
        <v>5956</v>
      </c>
      <c r="D33" s="210" t="s">
        <v>8596</v>
      </c>
      <c r="E33" s="210" t="s">
        <v>8588</v>
      </c>
      <c r="F33" s="210" t="s">
        <v>8598</v>
      </c>
      <c r="G33" s="210" t="s">
        <v>8599</v>
      </c>
      <c r="H33" s="209">
        <f>IF($A33="","",$A33 + IFERROR(VLOOKUP($D33,'Fertilizer Key'!$A:$D,3,FALSE),""))</f>
        <v>46012</v>
      </c>
      <c r="I33" s="209">
        <f>IF($A33="","",$A33 + IFERROR(VLOOKUP($D33,'Fertilizer Key'!$A:$D,4,FALSE),""))</f>
        <v>46019</v>
      </c>
      <c r="J33" s="201"/>
      <c r="K33" s="210" t="s">
        <v>8626</v>
      </c>
      <c r="L33" s="21" t="s">
        <v>22</v>
      </c>
      <c r="M33" s="201"/>
      <c r="N33" s="201"/>
      <c r="O33" s="201"/>
      <c r="P33" s="201"/>
      <c r="Q33" s="201"/>
      <c r="R33" s="201"/>
      <c r="S33" s="201"/>
      <c r="T33" s="201"/>
      <c r="U33" s="201"/>
      <c r="V33" s="201"/>
      <c r="W33" s="201"/>
      <c r="X33" s="201"/>
      <c r="Y33" s="201"/>
      <c r="Z33" s="201"/>
      <c r="AA33" s="201"/>
    </row>
    <row r="34">
      <c r="A34" s="212">
        <v>46005.0</v>
      </c>
      <c r="B34" s="210" t="s">
        <v>1670</v>
      </c>
      <c r="C34" s="210" t="s">
        <v>8352</v>
      </c>
      <c r="D34" s="210" t="s">
        <v>8596</v>
      </c>
      <c r="E34" s="210" t="s">
        <v>8597</v>
      </c>
      <c r="F34" s="210" t="s">
        <v>8598</v>
      </c>
      <c r="G34" s="210" t="s">
        <v>8599</v>
      </c>
      <c r="H34" s="209">
        <f>IF($A34="","",$A34 + IFERROR(VLOOKUP($D34,'Fertilizer Key'!$A:$D,3,FALSE),""))</f>
        <v>46012</v>
      </c>
      <c r="I34" s="209">
        <f>IF($A34="","",$A34 + IFERROR(VLOOKUP($D34,'Fertilizer Key'!$A:$D,4,FALSE),""))</f>
        <v>46019</v>
      </c>
      <c r="J34" s="201"/>
      <c r="K34" s="210" t="s">
        <v>8627</v>
      </c>
      <c r="L34" s="21" t="s">
        <v>22</v>
      </c>
      <c r="M34" s="201"/>
      <c r="N34" s="201"/>
      <c r="O34" s="201"/>
      <c r="P34" s="201"/>
      <c r="Q34" s="201"/>
      <c r="R34" s="201"/>
      <c r="S34" s="201"/>
      <c r="T34" s="201"/>
      <c r="U34" s="201"/>
      <c r="V34" s="201"/>
      <c r="W34" s="201"/>
      <c r="X34" s="201"/>
      <c r="Y34" s="201"/>
      <c r="Z34" s="201"/>
      <c r="AA34" s="201"/>
    </row>
    <row r="35">
      <c r="A35" s="212">
        <v>46005.0</v>
      </c>
      <c r="B35" s="210" t="s">
        <v>2056</v>
      </c>
      <c r="C35" s="210" t="s">
        <v>8586</v>
      </c>
      <c r="D35" s="210" t="s">
        <v>8596</v>
      </c>
      <c r="E35" s="210" t="s">
        <v>8597</v>
      </c>
      <c r="F35" s="210" t="s">
        <v>8598</v>
      </c>
      <c r="G35" s="210" t="s">
        <v>8599</v>
      </c>
      <c r="H35" s="209">
        <f>IF($A35="","",$A35 + IFERROR(VLOOKUP($D35,'Fertilizer Key'!$A:$D,3,FALSE),""))</f>
        <v>46012</v>
      </c>
      <c r="I35" s="209">
        <f>IF($A35="","",$A35 + IFERROR(VLOOKUP($D35,'Fertilizer Key'!$A:$D,4,FALSE),""))</f>
        <v>46019</v>
      </c>
      <c r="J35" s="201"/>
      <c r="K35" s="210" t="s">
        <v>8628</v>
      </c>
      <c r="L35" s="21" t="s">
        <v>22</v>
      </c>
      <c r="M35" s="201"/>
      <c r="N35" s="201"/>
      <c r="O35" s="201"/>
      <c r="P35" s="201"/>
      <c r="Q35" s="201"/>
      <c r="R35" s="201"/>
      <c r="S35" s="201"/>
      <c r="T35" s="201"/>
      <c r="U35" s="201"/>
      <c r="V35" s="201"/>
      <c r="W35" s="201"/>
      <c r="X35" s="201"/>
      <c r="Y35" s="201"/>
      <c r="Z35" s="201"/>
      <c r="AA35" s="201"/>
    </row>
    <row r="36">
      <c r="A36" s="212">
        <v>46005.0</v>
      </c>
      <c r="B36" s="210" t="s">
        <v>3201</v>
      </c>
      <c r="C36" s="210" t="s">
        <v>8586</v>
      </c>
      <c r="D36" s="210" t="s">
        <v>8596</v>
      </c>
      <c r="E36" s="210" t="s">
        <v>8611</v>
      </c>
      <c r="F36" s="210" t="s">
        <v>8598</v>
      </c>
      <c r="G36" s="210" t="s">
        <v>8599</v>
      </c>
      <c r="H36" s="209">
        <f>IF($A36="","",$A36 + IFERROR(VLOOKUP($D36,'Fertilizer Key'!$A:$D,3,FALSE),""))</f>
        <v>46012</v>
      </c>
      <c r="I36" s="209">
        <f>IF($A36="","",$A36 + IFERROR(VLOOKUP($D36,'Fertilizer Key'!$A:$D,4,FALSE),""))</f>
        <v>46019</v>
      </c>
      <c r="J36" s="201"/>
      <c r="K36" s="210" t="s">
        <v>8629</v>
      </c>
      <c r="L36" s="21" t="s">
        <v>22</v>
      </c>
      <c r="M36" s="201"/>
      <c r="N36" s="201"/>
      <c r="O36" s="201"/>
      <c r="P36" s="201"/>
      <c r="Q36" s="201"/>
      <c r="R36" s="201"/>
      <c r="S36" s="201"/>
      <c r="T36" s="201"/>
      <c r="U36" s="201"/>
      <c r="V36" s="201"/>
      <c r="W36" s="201"/>
      <c r="X36" s="201"/>
      <c r="Y36" s="201"/>
      <c r="Z36" s="201"/>
      <c r="AA36" s="201"/>
    </row>
    <row r="37">
      <c r="A37" s="212">
        <v>46005.0</v>
      </c>
      <c r="B37" s="210" t="s">
        <v>1868</v>
      </c>
      <c r="C37" s="210" t="s">
        <v>5967</v>
      </c>
      <c r="D37" s="210" t="s">
        <v>8596</v>
      </c>
      <c r="E37" s="210" t="s">
        <v>8588</v>
      </c>
      <c r="F37" s="210" t="s">
        <v>8598</v>
      </c>
      <c r="G37" s="210" t="s">
        <v>8599</v>
      </c>
      <c r="H37" s="209">
        <f>IF($A37="","",$A37 + IFERROR(VLOOKUP($D37,'Fertilizer Key'!$A:$D,3,FALSE),""))</f>
        <v>46012</v>
      </c>
      <c r="I37" s="209">
        <f>IF($A37="","",$A37 + IFERROR(VLOOKUP($D37,'Fertilizer Key'!$A:$D,4,FALSE),""))</f>
        <v>46019</v>
      </c>
      <c r="J37" s="201"/>
      <c r="K37" s="210" t="s">
        <v>8630</v>
      </c>
      <c r="L37" s="21" t="s">
        <v>22</v>
      </c>
      <c r="M37" s="201"/>
      <c r="N37" s="201"/>
      <c r="O37" s="201"/>
      <c r="P37" s="201"/>
      <c r="Q37" s="201"/>
      <c r="R37" s="201"/>
      <c r="S37" s="201"/>
      <c r="T37" s="201"/>
      <c r="U37" s="201"/>
      <c r="V37" s="201"/>
      <c r="W37" s="201"/>
      <c r="X37" s="201"/>
      <c r="Y37" s="201"/>
      <c r="Z37" s="201"/>
      <c r="AA37" s="201"/>
    </row>
    <row r="38">
      <c r="A38" s="212">
        <v>46005.0</v>
      </c>
      <c r="B38" s="210" t="s">
        <v>3076</v>
      </c>
      <c r="C38" s="210" t="s">
        <v>5967</v>
      </c>
      <c r="D38" s="210" t="s">
        <v>8596</v>
      </c>
      <c r="E38" s="210" t="s">
        <v>8588</v>
      </c>
      <c r="F38" s="210" t="s">
        <v>8598</v>
      </c>
      <c r="G38" s="210" t="s">
        <v>8599</v>
      </c>
      <c r="H38" s="209">
        <f>IF($A38="","",$A38 + IFERROR(VLOOKUP($D38,'Fertilizer Key'!$A:$D,3,FALSE),""))</f>
        <v>46012</v>
      </c>
      <c r="I38" s="209">
        <f>IF($A38="","",$A38 + IFERROR(VLOOKUP($D38,'Fertilizer Key'!$A:$D,4,FALSE),""))</f>
        <v>46019</v>
      </c>
      <c r="J38" s="201"/>
      <c r="K38" s="210" t="s">
        <v>8631</v>
      </c>
      <c r="L38" s="21" t="s">
        <v>22</v>
      </c>
      <c r="M38" s="201"/>
      <c r="N38" s="201"/>
      <c r="O38" s="201"/>
      <c r="P38" s="201"/>
      <c r="Q38" s="201"/>
      <c r="R38" s="201"/>
      <c r="S38" s="201"/>
      <c r="T38" s="201"/>
      <c r="U38" s="201"/>
      <c r="V38" s="201"/>
      <c r="W38" s="201"/>
      <c r="X38" s="201"/>
      <c r="Y38" s="201"/>
      <c r="Z38" s="201"/>
      <c r="AA38" s="201"/>
    </row>
    <row r="39">
      <c r="A39" s="212">
        <v>46005.0</v>
      </c>
      <c r="B39" s="210" t="s">
        <v>2889</v>
      </c>
      <c r="C39" s="210" t="s">
        <v>8586</v>
      </c>
      <c r="D39" s="210" t="s">
        <v>8596</v>
      </c>
      <c r="E39" s="210" t="s">
        <v>8611</v>
      </c>
      <c r="F39" s="210" t="s">
        <v>8598</v>
      </c>
      <c r="G39" s="210" t="s">
        <v>8599</v>
      </c>
      <c r="H39" s="209">
        <f>IF($A39="","",$A39 + IFERROR(VLOOKUP($D39,'Fertilizer Key'!$A:$D,3,FALSE),""))</f>
        <v>46012</v>
      </c>
      <c r="I39" s="209">
        <f>IF($A39="","",$A39 + IFERROR(VLOOKUP($D39,'Fertilizer Key'!$A:$D,4,FALSE),""))</f>
        <v>46019</v>
      </c>
      <c r="J39" s="201"/>
      <c r="K39" s="210" t="s">
        <v>8632</v>
      </c>
      <c r="L39" s="21" t="s">
        <v>22</v>
      </c>
      <c r="M39" s="201"/>
      <c r="N39" s="201"/>
      <c r="O39" s="201"/>
      <c r="P39" s="201"/>
      <c r="Q39" s="201"/>
      <c r="R39" s="201"/>
      <c r="S39" s="201"/>
      <c r="T39" s="201"/>
      <c r="U39" s="201"/>
      <c r="V39" s="201"/>
      <c r="W39" s="201"/>
      <c r="X39" s="201"/>
      <c r="Y39" s="201"/>
      <c r="Z39" s="201"/>
      <c r="AA39" s="201"/>
    </row>
    <row r="40">
      <c r="A40" s="212">
        <v>46007.0</v>
      </c>
      <c r="B40" s="210" t="s">
        <v>2480</v>
      </c>
      <c r="C40" s="210" t="s">
        <v>5970</v>
      </c>
      <c r="D40" s="210" t="s">
        <v>8596</v>
      </c>
      <c r="E40" s="210" t="s">
        <v>8611</v>
      </c>
      <c r="F40" s="210" t="s">
        <v>8598</v>
      </c>
      <c r="G40" s="210" t="s">
        <v>8599</v>
      </c>
      <c r="H40" s="209">
        <f>IF($A40="","",$A40 + IFERROR(VLOOKUP($D40,'Fertilizer Key'!$A:$D,3,FALSE),""))</f>
        <v>46014</v>
      </c>
      <c r="I40" s="209">
        <f>IF($A40="","",$A40 + IFERROR(VLOOKUP($D40,'Fertilizer Key'!$A:$D,4,FALSE),""))</f>
        <v>46021</v>
      </c>
      <c r="J40" s="201"/>
      <c r="K40" s="213" t="s">
        <v>8633</v>
      </c>
      <c r="L40" s="21" t="s">
        <v>22</v>
      </c>
      <c r="M40" s="201"/>
      <c r="N40" s="201"/>
      <c r="O40" s="201"/>
      <c r="P40" s="201"/>
      <c r="Q40" s="201"/>
      <c r="R40" s="201"/>
      <c r="S40" s="201"/>
      <c r="T40" s="201"/>
      <c r="U40" s="201"/>
      <c r="V40" s="201"/>
      <c r="W40" s="201"/>
      <c r="X40" s="201"/>
      <c r="Y40" s="201"/>
      <c r="Z40" s="201"/>
      <c r="AA40" s="201"/>
    </row>
    <row r="41">
      <c r="A41" s="212">
        <v>46007.0</v>
      </c>
      <c r="B41" s="210" t="s">
        <v>1499</v>
      </c>
      <c r="C41" s="210" t="s">
        <v>8586</v>
      </c>
      <c r="D41" s="210" t="s">
        <v>8596</v>
      </c>
      <c r="E41" s="210" t="s">
        <v>8611</v>
      </c>
      <c r="F41" s="210" t="s">
        <v>8598</v>
      </c>
      <c r="G41" s="210" t="s">
        <v>8599</v>
      </c>
      <c r="H41" s="209">
        <f>IF($A41="","",$A41 + IFERROR(VLOOKUP($D41,'Fertilizer Key'!$A:$D,3,FALSE),""))</f>
        <v>46014</v>
      </c>
      <c r="I41" s="209">
        <f>IF($A41="","",$A41 + IFERROR(VLOOKUP($D41,'Fertilizer Key'!$A:$D,4,FALSE),""))</f>
        <v>46021</v>
      </c>
      <c r="J41" s="201"/>
      <c r="K41" s="210" t="s">
        <v>8634</v>
      </c>
      <c r="L41" s="21" t="s">
        <v>22</v>
      </c>
      <c r="M41" s="201"/>
      <c r="N41" s="201"/>
      <c r="O41" s="201"/>
      <c r="P41" s="201"/>
      <c r="Q41" s="201"/>
      <c r="R41" s="201"/>
      <c r="S41" s="201"/>
      <c r="T41" s="201"/>
      <c r="U41" s="201"/>
      <c r="V41" s="201"/>
      <c r="W41" s="201"/>
      <c r="X41" s="201"/>
      <c r="Y41" s="201"/>
      <c r="Z41" s="201"/>
      <c r="AA41" s="201"/>
    </row>
    <row r="42">
      <c r="A42" s="212">
        <v>46007.0</v>
      </c>
      <c r="B42" s="210" t="s">
        <v>2795</v>
      </c>
      <c r="C42" s="210" t="s">
        <v>8586</v>
      </c>
      <c r="D42" s="210" t="s">
        <v>8596</v>
      </c>
      <c r="E42" s="210" t="s">
        <v>8611</v>
      </c>
      <c r="F42" s="210" t="s">
        <v>8598</v>
      </c>
      <c r="G42" s="210" t="s">
        <v>8599</v>
      </c>
      <c r="H42" s="209">
        <f>IF($A42="","",$A42 + IFERROR(VLOOKUP($D42,'Fertilizer Key'!$A:$D,3,FALSE),""))</f>
        <v>46014</v>
      </c>
      <c r="I42" s="209">
        <f>IF($A42="","",$A42 + IFERROR(VLOOKUP($D42,'Fertilizer Key'!$A:$D,4,FALSE),""))</f>
        <v>46021</v>
      </c>
      <c r="J42" s="201"/>
      <c r="K42" s="210" t="s">
        <v>8635</v>
      </c>
      <c r="L42" s="21" t="s">
        <v>22</v>
      </c>
      <c r="M42" s="201"/>
      <c r="N42" s="201"/>
      <c r="O42" s="201"/>
      <c r="P42" s="201"/>
      <c r="Q42" s="201"/>
      <c r="R42" s="201"/>
      <c r="S42" s="201"/>
      <c r="T42" s="201"/>
      <c r="U42" s="201"/>
      <c r="V42" s="201"/>
      <c r="W42" s="201"/>
      <c r="X42" s="201"/>
      <c r="Y42" s="201"/>
      <c r="Z42" s="201"/>
      <c r="AA42" s="201"/>
    </row>
    <row r="43">
      <c r="A43" s="212">
        <v>46007.0</v>
      </c>
      <c r="B43" s="210" t="s">
        <v>3146</v>
      </c>
      <c r="C43" s="210" t="s">
        <v>8586</v>
      </c>
      <c r="D43" s="210" t="s">
        <v>8596</v>
      </c>
      <c r="E43" s="210" t="s">
        <v>8611</v>
      </c>
      <c r="F43" s="210" t="s">
        <v>8598</v>
      </c>
      <c r="G43" s="210" t="s">
        <v>8599</v>
      </c>
      <c r="H43" s="209">
        <f>IF($A43="","",$A43 + IFERROR(VLOOKUP($D43,'Fertilizer Key'!$A:$D,3,FALSE),""))</f>
        <v>46014</v>
      </c>
      <c r="I43" s="209">
        <f>IF($A43="","",$A43 + IFERROR(VLOOKUP($D43,'Fertilizer Key'!$A:$D,4,FALSE),""))</f>
        <v>46021</v>
      </c>
      <c r="J43" s="201"/>
      <c r="K43" s="210" t="s">
        <v>8636</v>
      </c>
      <c r="L43" s="21" t="s">
        <v>22</v>
      </c>
      <c r="M43" s="201"/>
      <c r="N43" s="201"/>
      <c r="O43" s="201"/>
      <c r="P43" s="201"/>
      <c r="Q43" s="201"/>
      <c r="R43" s="201"/>
      <c r="S43" s="201"/>
      <c r="T43" s="201"/>
      <c r="U43" s="201"/>
      <c r="V43" s="201"/>
      <c r="W43" s="201"/>
      <c r="X43" s="201"/>
      <c r="Y43" s="201"/>
      <c r="Z43" s="201"/>
      <c r="AA43" s="201"/>
    </row>
    <row r="44">
      <c r="A44" s="212">
        <v>46007.0</v>
      </c>
      <c r="B44" s="210" t="s">
        <v>2050</v>
      </c>
      <c r="C44" s="210" t="s">
        <v>8586</v>
      </c>
      <c r="D44" s="210" t="s">
        <v>8596</v>
      </c>
      <c r="E44" s="210" t="s">
        <v>8597</v>
      </c>
      <c r="F44" s="210" t="s">
        <v>8598</v>
      </c>
      <c r="G44" s="210" t="s">
        <v>8599</v>
      </c>
      <c r="H44" s="209">
        <f>IF($A44="","",$A44 + IFERROR(VLOOKUP($D44,'Fertilizer Key'!$A:$D,3,FALSE),""))</f>
        <v>46014</v>
      </c>
      <c r="I44" s="209">
        <f>IF($A44="","",$A44 + IFERROR(VLOOKUP($D44,'Fertilizer Key'!$A:$D,4,FALSE),""))</f>
        <v>46021</v>
      </c>
      <c r="J44" s="201"/>
      <c r="K44" s="210" t="s">
        <v>8637</v>
      </c>
      <c r="L44" s="21" t="s">
        <v>22</v>
      </c>
      <c r="M44" s="201"/>
      <c r="N44" s="201"/>
      <c r="O44" s="201"/>
      <c r="P44" s="201"/>
      <c r="Q44" s="201"/>
      <c r="R44" s="201"/>
      <c r="S44" s="201"/>
      <c r="T44" s="201"/>
      <c r="U44" s="201"/>
      <c r="V44" s="201"/>
      <c r="W44" s="201"/>
      <c r="X44" s="201"/>
      <c r="Y44" s="201"/>
      <c r="Z44" s="201"/>
      <c r="AA44" s="201"/>
    </row>
    <row r="45">
      <c r="A45" s="212">
        <v>46007.0</v>
      </c>
      <c r="B45" s="210" t="s">
        <v>2473</v>
      </c>
      <c r="C45" s="210" t="s">
        <v>5970</v>
      </c>
      <c r="D45" s="210" t="s">
        <v>8596</v>
      </c>
      <c r="E45" s="210" t="s">
        <v>8611</v>
      </c>
      <c r="F45" s="210" t="s">
        <v>8598</v>
      </c>
      <c r="G45" s="210" t="s">
        <v>8599</v>
      </c>
      <c r="H45" s="209">
        <f>IF($A45="","",$A45 + IFERROR(VLOOKUP($D45,'Fertilizer Key'!$A:$D,3,FALSE),""))</f>
        <v>46014</v>
      </c>
      <c r="I45" s="209">
        <f>IF($A45="","",$A45 + IFERROR(VLOOKUP($D45,'Fertilizer Key'!$A:$D,4,FALSE),""))</f>
        <v>46021</v>
      </c>
      <c r="J45" s="201"/>
      <c r="K45" s="210" t="s">
        <v>8638</v>
      </c>
      <c r="L45" s="21" t="s">
        <v>22</v>
      </c>
      <c r="M45" s="201"/>
      <c r="N45" s="201"/>
      <c r="O45" s="201"/>
      <c r="P45" s="201"/>
      <c r="Q45" s="201"/>
      <c r="R45" s="201"/>
      <c r="S45" s="201"/>
      <c r="T45" s="201"/>
      <c r="U45" s="201"/>
      <c r="V45" s="201"/>
      <c r="W45" s="201"/>
      <c r="X45" s="201"/>
      <c r="Y45" s="201"/>
      <c r="Z45" s="201"/>
      <c r="AA45" s="201"/>
    </row>
    <row r="46">
      <c r="A46" s="212">
        <v>46007.0</v>
      </c>
      <c r="B46" s="210" t="s">
        <v>2294</v>
      </c>
      <c r="C46" s="210" t="s">
        <v>8586</v>
      </c>
      <c r="D46" s="210" t="s">
        <v>8596</v>
      </c>
      <c r="E46" s="210" t="s">
        <v>8611</v>
      </c>
      <c r="F46" s="210" t="s">
        <v>8598</v>
      </c>
      <c r="G46" s="210" t="s">
        <v>8599</v>
      </c>
      <c r="H46" s="209">
        <f>IF($A46="","",$A46 + IFERROR(VLOOKUP($D46,'Fertilizer Key'!$A:$D,3,FALSE),""))</f>
        <v>46014</v>
      </c>
      <c r="I46" s="209">
        <f>IF($A46="","",$A46 + IFERROR(VLOOKUP($D46,'Fertilizer Key'!$A:$D,4,FALSE),""))</f>
        <v>46021</v>
      </c>
      <c r="J46" s="201"/>
      <c r="K46" s="210" t="s">
        <v>8639</v>
      </c>
      <c r="L46" s="21" t="s">
        <v>22</v>
      </c>
      <c r="M46" s="201"/>
      <c r="N46" s="201"/>
      <c r="O46" s="201"/>
      <c r="P46" s="201"/>
      <c r="Q46" s="201"/>
      <c r="R46" s="201"/>
      <c r="S46" s="201"/>
      <c r="T46" s="201"/>
      <c r="U46" s="201"/>
      <c r="V46" s="201"/>
      <c r="W46" s="201"/>
      <c r="X46" s="201"/>
      <c r="Y46" s="201"/>
      <c r="Z46" s="201"/>
      <c r="AA46" s="201"/>
    </row>
    <row r="47">
      <c r="A47" s="212">
        <v>46008.0</v>
      </c>
      <c r="B47" s="210" t="s">
        <v>3409</v>
      </c>
      <c r="C47" s="210" t="s">
        <v>8352</v>
      </c>
      <c r="D47" s="210" t="s">
        <v>8596</v>
      </c>
      <c r="E47" s="210" t="s">
        <v>8597</v>
      </c>
      <c r="F47" s="210" t="s">
        <v>8598</v>
      </c>
      <c r="G47" s="210" t="s">
        <v>8599</v>
      </c>
      <c r="H47" s="209">
        <f>IF($A47="","",$A47 + IFERROR(VLOOKUP($D47,'Fertilizer Key'!$A:$D,3,FALSE),""))</f>
        <v>46015</v>
      </c>
      <c r="I47" s="209">
        <f>IF($A47="","",$A47 + IFERROR(VLOOKUP($D47,'Fertilizer Key'!$A:$D,4,FALSE),""))</f>
        <v>46022</v>
      </c>
      <c r="J47" s="201"/>
      <c r="K47" s="210" t="s">
        <v>8640</v>
      </c>
      <c r="L47" s="21" t="s">
        <v>22</v>
      </c>
      <c r="M47" s="201"/>
      <c r="N47" s="201"/>
      <c r="O47" s="201"/>
      <c r="P47" s="201"/>
      <c r="Q47" s="201"/>
      <c r="R47" s="201"/>
      <c r="S47" s="201"/>
      <c r="T47" s="201"/>
      <c r="U47" s="201"/>
      <c r="V47" s="201"/>
      <c r="W47" s="201"/>
      <c r="X47" s="201"/>
      <c r="Y47" s="201"/>
      <c r="Z47" s="201"/>
      <c r="AA47" s="201"/>
    </row>
    <row r="48">
      <c r="A48" s="212">
        <v>46008.0</v>
      </c>
      <c r="B48" s="210" t="s">
        <v>2905</v>
      </c>
      <c r="C48" s="210" t="s">
        <v>8352</v>
      </c>
      <c r="D48" s="210" t="s">
        <v>8596</v>
      </c>
      <c r="E48" s="210" t="s">
        <v>8597</v>
      </c>
      <c r="F48" s="210" t="s">
        <v>8598</v>
      </c>
      <c r="G48" s="210" t="s">
        <v>8599</v>
      </c>
      <c r="H48" s="209">
        <f>IF($A48="","",$A48 + IFERROR(VLOOKUP($D48,'Fertilizer Key'!$A:$D,3,FALSE),""))</f>
        <v>46015</v>
      </c>
      <c r="I48" s="209">
        <f>IF($A48="","",$A48 + IFERROR(VLOOKUP($D48,'Fertilizer Key'!$A:$D,4,FALSE),""))</f>
        <v>46022</v>
      </c>
      <c r="J48" s="201"/>
      <c r="K48" s="210" t="s">
        <v>8641</v>
      </c>
      <c r="L48" s="21" t="s">
        <v>22</v>
      </c>
      <c r="M48" s="201"/>
      <c r="N48" s="201"/>
      <c r="O48" s="201"/>
      <c r="P48" s="201"/>
      <c r="Q48" s="201"/>
      <c r="R48" s="201"/>
      <c r="S48" s="201"/>
      <c r="T48" s="201"/>
      <c r="U48" s="201"/>
      <c r="V48" s="201"/>
      <c r="W48" s="201"/>
      <c r="X48" s="201"/>
      <c r="Y48" s="201"/>
      <c r="Z48" s="201"/>
      <c r="AA48" s="201"/>
    </row>
    <row r="49">
      <c r="A49" s="212">
        <v>46009.0</v>
      </c>
      <c r="B49" s="210" t="s">
        <v>3069</v>
      </c>
      <c r="C49" s="210" t="s">
        <v>5970</v>
      </c>
      <c r="D49" s="210" t="s">
        <v>8596</v>
      </c>
      <c r="E49" s="210" t="s">
        <v>8611</v>
      </c>
      <c r="F49" s="210" t="s">
        <v>8598</v>
      </c>
      <c r="G49" s="210" t="s">
        <v>8599</v>
      </c>
      <c r="H49" s="209">
        <f>IF($A49="","",$A49 + IFERROR(VLOOKUP($D49,'Fertilizer Key'!$A:$D,3,FALSE),""))</f>
        <v>46016</v>
      </c>
      <c r="I49" s="209">
        <f>IF($A49="","",$A49 + IFERROR(VLOOKUP($D49,'Fertilizer Key'!$A:$D,4,FALSE),""))</f>
        <v>46023</v>
      </c>
      <c r="J49" s="201"/>
      <c r="K49" s="210" t="s">
        <v>8642</v>
      </c>
      <c r="L49" s="21" t="s">
        <v>22</v>
      </c>
      <c r="M49" s="201"/>
      <c r="N49" s="201"/>
      <c r="O49" s="201"/>
      <c r="P49" s="201"/>
      <c r="Q49" s="201"/>
      <c r="R49" s="201"/>
      <c r="S49" s="201"/>
      <c r="T49" s="201"/>
      <c r="U49" s="201"/>
      <c r="V49" s="201"/>
      <c r="W49" s="201"/>
      <c r="X49" s="201"/>
      <c r="Y49" s="201"/>
      <c r="Z49" s="201"/>
      <c r="AA49" s="201"/>
    </row>
    <row r="50">
      <c r="A50" s="212">
        <v>46009.0</v>
      </c>
      <c r="B50" s="210" t="s">
        <v>2920</v>
      </c>
      <c r="C50" s="210" t="s">
        <v>5970</v>
      </c>
      <c r="D50" s="210" t="s">
        <v>8596</v>
      </c>
      <c r="E50" s="210" t="s">
        <v>8611</v>
      </c>
      <c r="F50" s="210" t="s">
        <v>8598</v>
      </c>
      <c r="G50" s="210" t="s">
        <v>8599</v>
      </c>
      <c r="H50" s="209">
        <f>IF($A50="","",$A50 + IFERROR(VLOOKUP($D50,'Fertilizer Key'!$A:$D,3,FALSE),""))</f>
        <v>46016</v>
      </c>
      <c r="I50" s="209">
        <f>IF($A50="","",$A50 + IFERROR(VLOOKUP($D50,'Fertilizer Key'!$A:$D,4,FALSE),""))</f>
        <v>46023</v>
      </c>
      <c r="J50" s="201"/>
      <c r="K50" s="210" t="s">
        <v>8643</v>
      </c>
      <c r="L50" s="21" t="s">
        <v>22</v>
      </c>
      <c r="M50" s="201"/>
      <c r="N50" s="201"/>
      <c r="O50" s="201"/>
      <c r="P50" s="201"/>
      <c r="Q50" s="201"/>
      <c r="R50" s="201"/>
      <c r="S50" s="201"/>
      <c r="T50" s="201"/>
      <c r="U50" s="201"/>
      <c r="V50" s="201"/>
      <c r="W50" s="201"/>
      <c r="X50" s="201"/>
      <c r="Y50" s="201"/>
      <c r="Z50" s="201"/>
      <c r="AA50" s="201"/>
    </row>
    <row r="51">
      <c r="A51" s="212">
        <v>46009.0</v>
      </c>
      <c r="B51" s="210" t="s">
        <v>3517</v>
      </c>
      <c r="C51" s="210" t="s">
        <v>5970</v>
      </c>
      <c r="D51" s="210" t="s">
        <v>8596</v>
      </c>
      <c r="E51" s="210" t="s">
        <v>8611</v>
      </c>
      <c r="F51" s="210" t="s">
        <v>8598</v>
      </c>
      <c r="G51" s="210" t="s">
        <v>8599</v>
      </c>
      <c r="H51" s="209">
        <f>IF($A51="","",$A51 + IFERROR(VLOOKUP($D51,'Fertilizer Key'!$A:$D,3,FALSE),""))</f>
        <v>46016</v>
      </c>
      <c r="I51" s="209">
        <f>IF($A51="","",$A51 + IFERROR(VLOOKUP($D51,'Fertilizer Key'!$A:$D,4,FALSE),""))</f>
        <v>46023</v>
      </c>
      <c r="J51" s="201"/>
      <c r="K51" s="210" t="s">
        <v>8644</v>
      </c>
      <c r="L51" s="21" t="s">
        <v>22</v>
      </c>
      <c r="M51" s="201"/>
      <c r="N51" s="201"/>
      <c r="O51" s="201"/>
      <c r="P51" s="201"/>
      <c r="Q51" s="201"/>
      <c r="R51" s="201"/>
      <c r="S51" s="201"/>
      <c r="T51" s="201"/>
      <c r="U51" s="201"/>
      <c r="V51" s="201"/>
      <c r="W51" s="201"/>
      <c r="X51" s="201"/>
      <c r="Y51" s="201"/>
      <c r="Z51" s="201"/>
      <c r="AA51" s="201"/>
    </row>
    <row r="52">
      <c r="A52" s="212">
        <v>46009.0</v>
      </c>
      <c r="B52" s="210" t="s">
        <v>1783</v>
      </c>
      <c r="C52" s="210" t="s">
        <v>5970</v>
      </c>
      <c r="D52" s="210" t="s">
        <v>8596</v>
      </c>
      <c r="E52" s="210" t="s">
        <v>8588</v>
      </c>
      <c r="F52" s="210" t="s">
        <v>8598</v>
      </c>
      <c r="G52" s="210" t="s">
        <v>8599</v>
      </c>
      <c r="H52" s="209">
        <f>IF($A52="","",$A52 + IFERROR(VLOOKUP($D52,'Fertilizer Key'!$A:$D,3,FALSE),""))</f>
        <v>46016</v>
      </c>
      <c r="I52" s="209">
        <f>IF($A52="","",$A52 + IFERROR(VLOOKUP($D52,'Fertilizer Key'!$A:$D,4,FALSE),""))</f>
        <v>46023</v>
      </c>
      <c r="J52" s="201"/>
      <c r="K52" s="210" t="s">
        <v>8645</v>
      </c>
      <c r="L52" s="21" t="s">
        <v>22</v>
      </c>
      <c r="M52" s="201"/>
      <c r="N52" s="201"/>
      <c r="O52" s="201"/>
      <c r="P52" s="201"/>
      <c r="Q52" s="201"/>
      <c r="R52" s="201"/>
      <c r="S52" s="201"/>
      <c r="T52" s="201"/>
      <c r="U52" s="201"/>
      <c r="V52" s="201"/>
      <c r="W52" s="201"/>
      <c r="X52" s="201"/>
      <c r="Y52" s="201"/>
      <c r="Z52" s="201"/>
      <c r="AA52" s="201"/>
    </row>
    <row r="53">
      <c r="A53" s="212">
        <v>46009.0</v>
      </c>
      <c r="B53" s="210" t="s">
        <v>3149</v>
      </c>
      <c r="C53" s="210" t="s">
        <v>5974</v>
      </c>
      <c r="D53" s="210" t="s">
        <v>8596</v>
      </c>
      <c r="E53" s="210" t="s">
        <v>8588</v>
      </c>
      <c r="F53" s="210" t="s">
        <v>8598</v>
      </c>
      <c r="G53" s="210" t="s">
        <v>8599</v>
      </c>
      <c r="H53" s="209">
        <f>IF($A53="","",$A53 + IFERROR(VLOOKUP($D53,'Fertilizer Key'!$A:$D,3,FALSE),""))</f>
        <v>46016</v>
      </c>
      <c r="I53" s="209">
        <f>IF($A53="","",$A53 + IFERROR(VLOOKUP($D53,'Fertilizer Key'!$A:$D,4,FALSE),""))</f>
        <v>46023</v>
      </c>
      <c r="J53" s="201"/>
      <c r="K53" s="210" t="s">
        <v>8646</v>
      </c>
      <c r="L53" s="21" t="s">
        <v>22</v>
      </c>
      <c r="M53" s="201"/>
      <c r="N53" s="201"/>
      <c r="O53" s="201"/>
      <c r="P53" s="201"/>
      <c r="Q53" s="201"/>
      <c r="R53" s="201"/>
      <c r="S53" s="201"/>
      <c r="T53" s="201"/>
      <c r="U53" s="201"/>
      <c r="V53" s="201"/>
      <c r="W53" s="201"/>
      <c r="X53" s="201"/>
      <c r="Y53" s="201"/>
      <c r="Z53" s="201"/>
      <c r="AA53" s="201"/>
    </row>
    <row r="54">
      <c r="A54" s="212">
        <v>46009.0</v>
      </c>
      <c r="B54" s="210" t="s">
        <v>1804</v>
      </c>
      <c r="C54" s="210" t="s">
        <v>5970</v>
      </c>
      <c r="D54" s="210" t="s">
        <v>8596</v>
      </c>
      <c r="E54" s="210" t="s">
        <v>8588</v>
      </c>
      <c r="F54" s="210" t="s">
        <v>8598</v>
      </c>
      <c r="G54" s="210" t="s">
        <v>8599</v>
      </c>
      <c r="H54" s="209">
        <f>IF($A54="","",$A54 + IFERROR(VLOOKUP($D54,'Fertilizer Key'!$A:$D,3,FALSE),""))</f>
        <v>46016</v>
      </c>
      <c r="I54" s="209">
        <f>IF($A54="","",$A54 + IFERROR(VLOOKUP($D54,'Fertilizer Key'!$A:$D,4,FALSE),""))</f>
        <v>46023</v>
      </c>
      <c r="J54" s="201"/>
      <c r="K54" s="210" t="s">
        <v>8647</v>
      </c>
      <c r="L54" s="21" t="s">
        <v>22</v>
      </c>
      <c r="M54" s="201"/>
      <c r="N54" s="201"/>
      <c r="O54" s="201"/>
      <c r="P54" s="201"/>
      <c r="Q54" s="201"/>
      <c r="R54" s="201"/>
      <c r="S54" s="201"/>
      <c r="T54" s="201"/>
      <c r="U54" s="201"/>
      <c r="V54" s="201"/>
      <c r="W54" s="201"/>
      <c r="X54" s="201"/>
      <c r="Y54" s="201"/>
      <c r="Z54" s="201"/>
      <c r="AA54" s="201"/>
    </row>
    <row r="55">
      <c r="A55" s="212">
        <v>46009.0</v>
      </c>
      <c r="B55" s="210" t="s">
        <v>1807</v>
      </c>
      <c r="C55" s="210" t="s">
        <v>5974</v>
      </c>
      <c r="D55" s="210" t="s">
        <v>8596</v>
      </c>
      <c r="E55" s="210" t="s">
        <v>8588</v>
      </c>
      <c r="F55" s="210" t="s">
        <v>8598</v>
      </c>
      <c r="G55" s="210" t="s">
        <v>8599</v>
      </c>
      <c r="H55" s="209">
        <f>IF($A55="","",$A55 + IFERROR(VLOOKUP($D55,'Fertilizer Key'!$A:$D,3,FALSE),""))</f>
        <v>46016</v>
      </c>
      <c r="I55" s="209">
        <f>IF($A55="","",$A55 + IFERROR(VLOOKUP($D55,'Fertilizer Key'!$A:$D,4,FALSE),""))</f>
        <v>46023</v>
      </c>
      <c r="J55" s="201"/>
      <c r="K55" s="210" t="s">
        <v>8648</v>
      </c>
      <c r="L55" s="21" t="s">
        <v>22</v>
      </c>
      <c r="M55" s="201"/>
      <c r="N55" s="201"/>
      <c r="O55" s="201"/>
      <c r="P55" s="201"/>
      <c r="Q55" s="201"/>
      <c r="R55" s="201"/>
      <c r="S55" s="201"/>
      <c r="T55" s="201"/>
      <c r="U55" s="201"/>
      <c r="V55" s="201"/>
      <c r="W55" s="201"/>
      <c r="X55" s="201"/>
      <c r="Y55" s="201"/>
      <c r="Z55" s="201"/>
      <c r="AA55" s="201"/>
    </row>
    <row r="56">
      <c r="A56" s="212">
        <v>46009.0</v>
      </c>
      <c r="B56" s="210" t="s">
        <v>2403</v>
      </c>
      <c r="C56" s="210" t="s">
        <v>8586</v>
      </c>
      <c r="D56" s="210" t="s">
        <v>8596</v>
      </c>
      <c r="E56" s="210" t="s">
        <v>8588</v>
      </c>
      <c r="F56" s="210" t="s">
        <v>8598</v>
      </c>
      <c r="G56" s="210" t="s">
        <v>8599</v>
      </c>
      <c r="H56" s="209">
        <f>IF($A56="","",$A56 + IFERROR(VLOOKUP($D56,'Fertilizer Key'!$A:$D,3,FALSE),""))</f>
        <v>46016</v>
      </c>
      <c r="I56" s="209">
        <f>IF($A56="","",$A56 + IFERROR(VLOOKUP($D56,'Fertilizer Key'!$A:$D,4,FALSE),""))</f>
        <v>46023</v>
      </c>
      <c r="J56" s="201"/>
      <c r="K56" s="210" t="s">
        <v>8649</v>
      </c>
      <c r="L56" s="21" t="s">
        <v>22</v>
      </c>
      <c r="M56" s="201"/>
      <c r="N56" s="201"/>
      <c r="O56" s="201"/>
      <c r="P56" s="201"/>
      <c r="Q56" s="201"/>
      <c r="R56" s="201"/>
      <c r="S56" s="201"/>
      <c r="T56" s="201"/>
      <c r="U56" s="201"/>
      <c r="V56" s="201"/>
      <c r="W56" s="201"/>
      <c r="X56" s="201"/>
      <c r="Y56" s="201"/>
      <c r="Z56" s="201"/>
      <c r="AA56" s="201"/>
    </row>
    <row r="57">
      <c r="A57" s="212">
        <v>46009.0</v>
      </c>
      <c r="B57" s="210" t="s">
        <v>2681</v>
      </c>
      <c r="C57" s="210" t="s">
        <v>8586</v>
      </c>
      <c r="D57" s="210" t="s">
        <v>8596</v>
      </c>
      <c r="E57" s="210" t="s">
        <v>8588</v>
      </c>
      <c r="F57" s="210" t="s">
        <v>8598</v>
      </c>
      <c r="G57" s="210" t="s">
        <v>8599</v>
      </c>
      <c r="H57" s="209">
        <f>IF($A57="","",$A57 + IFERROR(VLOOKUP($D57,'Fertilizer Key'!$A:$D,3,FALSE),""))</f>
        <v>46016</v>
      </c>
      <c r="I57" s="209">
        <f>IF($A57="","",$A57 + IFERROR(VLOOKUP($D57,'Fertilizer Key'!$A:$D,4,FALSE),""))</f>
        <v>46023</v>
      </c>
      <c r="J57" s="201"/>
      <c r="K57" s="210" t="s">
        <v>8650</v>
      </c>
      <c r="L57" s="21" t="s">
        <v>22</v>
      </c>
      <c r="M57" s="201"/>
      <c r="N57" s="201"/>
      <c r="O57" s="201"/>
      <c r="P57" s="201"/>
      <c r="Q57" s="201"/>
      <c r="R57" s="201"/>
      <c r="S57" s="201"/>
      <c r="T57" s="201"/>
      <c r="U57" s="201"/>
      <c r="V57" s="201"/>
      <c r="W57" s="201"/>
      <c r="X57" s="201"/>
      <c r="Y57" s="201"/>
      <c r="Z57" s="201"/>
      <c r="AA57" s="201"/>
    </row>
    <row r="58">
      <c r="A58" s="212">
        <v>46009.0</v>
      </c>
      <c r="B58" s="210" t="s">
        <v>3039</v>
      </c>
      <c r="C58" s="210" t="s">
        <v>8586</v>
      </c>
      <c r="D58" s="210" t="s">
        <v>8596</v>
      </c>
      <c r="E58" s="210" t="s">
        <v>8588</v>
      </c>
      <c r="F58" s="210" t="s">
        <v>8598</v>
      </c>
      <c r="G58" s="210" t="s">
        <v>8599</v>
      </c>
      <c r="H58" s="209">
        <f>IF($A58="","",$A58 + IFERROR(VLOOKUP($D58,'Fertilizer Key'!$A:$D,3,FALSE),""))</f>
        <v>46016</v>
      </c>
      <c r="I58" s="209">
        <f>IF($A58="","",$A58 + IFERROR(VLOOKUP($D58,'Fertilizer Key'!$A:$D,4,FALSE),""))</f>
        <v>46023</v>
      </c>
      <c r="J58" s="201"/>
      <c r="K58" s="210" t="s">
        <v>8651</v>
      </c>
      <c r="L58" s="21" t="s">
        <v>22</v>
      </c>
      <c r="M58" s="201"/>
      <c r="N58" s="201"/>
      <c r="O58" s="201"/>
      <c r="P58" s="201"/>
      <c r="Q58" s="201"/>
      <c r="R58" s="201"/>
      <c r="S58" s="201"/>
      <c r="T58" s="201"/>
      <c r="U58" s="201"/>
      <c r="V58" s="201"/>
      <c r="W58" s="201"/>
      <c r="X58" s="201"/>
      <c r="Y58" s="201"/>
      <c r="Z58" s="201"/>
      <c r="AA58" s="201"/>
    </row>
    <row r="59">
      <c r="A59" s="212">
        <v>46009.0</v>
      </c>
      <c r="B59" s="210" t="s">
        <v>2711</v>
      </c>
      <c r="C59" s="210" t="s">
        <v>8586</v>
      </c>
      <c r="D59" s="210" t="s">
        <v>8596</v>
      </c>
      <c r="E59" s="210" t="s">
        <v>8588</v>
      </c>
      <c r="F59" s="210" t="s">
        <v>8598</v>
      </c>
      <c r="G59" s="210" t="s">
        <v>8599</v>
      </c>
      <c r="H59" s="209">
        <f>IF($A59="","",$A59 + IFERROR(VLOOKUP($D59,'Fertilizer Key'!$A:$D,3,FALSE),""))</f>
        <v>46016</v>
      </c>
      <c r="I59" s="209">
        <f>IF($A59="","",$A59 + IFERROR(VLOOKUP($D59,'Fertilizer Key'!$A:$D,4,FALSE),""))</f>
        <v>46023</v>
      </c>
      <c r="J59" s="201"/>
      <c r="K59" s="210" t="s">
        <v>8652</v>
      </c>
      <c r="L59" s="21" t="s">
        <v>22</v>
      </c>
      <c r="M59" s="201"/>
      <c r="N59" s="201"/>
      <c r="O59" s="201"/>
      <c r="P59" s="201"/>
      <c r="Q59" s="201"/>
      <c r="R59" s="201"/>
      <c r="S59" s="201"/>
      <c r="T59" s="201"/>
      <c r="U59" s="201"/>
      <c r="V59" s="201"/>
      <c r="W59" s="201"/>
      <c r="X59" s="201"/>
      <c r="Y59" s="201"/>
      <c r="Z59" s="201"/>
      <c r="AA59" s="201"/>
    </row>
    <row r="60">
      <c r="A60" s="212">
        <v>46009.0</v>
      </c>
      <c r="B60" s="210" t="s">
        <v>2405</v>
      </c>
      <c r="C60" s="210" t="s">
        <v>8586</v>
      </c>
      <c r="D60" s="210" t="s">
        <v>8596</v>
      </c>
      <c r="E60" s="210" t="s">
        <v>8588</v>
      </c>
      <c r="F60" s="210" t="s">
        <v>8598</v>
      </c>
      <c r="G60" s="210" t="s">
        <v>8599</v>
      </c>
      <c r="H60" s="209">
        <f>IF($A60="","",$A60 + IFERROR(VLOOKUP($D60,'Fertilizer Key'!$A:$D,3,FALSE),""))</f>
        <v>46016</v>
      </c>
      <c r="I60" s="209">
        <f>IF($A60="","",$A60 + IFERROR(VLOOKUP($D60,'Fertilizer Key'!$A:$D,4,FALSE),""))</f>
        <v>46023</v>
      </c>
      <c r="J60" s="201"/>
      <c r="K60" s="210" t="s">
        <v>8653</v>
      </c>
      <c r="L60" s="21" t="s">
        <v>22</v>
      </c>
      <c r="M60" s="201"/>
      <c r="N60" s="201"/>
      <c r="O60" s="201"/>
      <c r="P60" s="201"/>
      <c r="Q60" s="201"/>
      <c r="R60" s="201"/>
      <c r="S60" s="201"/>
      <c r="T60" s="201"/>
      <c r="U60" s="201"/>
      <c r="V60" s="201"/>
      <c r="W60" s="201"/>
      <c r="X60" s="201"/>
      <c r="Y60" s="201"/>
      <c r="Z60" s="201"/>
      <c r="AA60" s="201"/>
    </row>
    <row r="61">
      <c r="A61" s="212">
        <v>46009.0</v>
      </c>
      <c r="B61" s="210" t="s">
        <v>3158</v>
      </c>
      <c r="C61" s="210" t="s">
        <v>8586</v>
      </c>
      <c r="D61" s="210" t="s">
        <v>8596</v>
      </c>
      <c r="E61" s="210" t="s">
        <v>8588</v>
      </c>
      <c r="F61" s="210" t="s">
        <v>8598</v>
      </c>
      <c r="G61" s="210" t="s">
        <v>8599</v>
      </c>
      <c r="H61" s="209">
        <f>IF($A61="","",$A61 + IFERROR(VLOOKUP($D61,'Fertilizer Key'!$A:$D,3,FALSE),""))</f>
        <v>46016</v>
      </c>
      <c r="I61" s="209">
        <f>IF($A61="","",$A61 + IFERROR(VLOOKUP($D61,'Fertilizer Key'!$A:$D,4,FALSE),""))</f>
        <v>46023</v>
      </c>
      <c r="J61" s="201"/>
      <c r="K61" s="210" t="s">
        <v>8654</v>
      </c>
      <c r="L61" s="21" t="s">
        <v>22</v>
      </c>
      <c r="M61" s="201"/>
      <c r="N61" s="201"/>
      <c r="O61" s="201"/>
      <c r="P61" s="201"/>
      <c r="Q61" s="201"/>
      <c r="R61" s="201"/>
      <c r="S61" s="201"/>
      <c r="T61" s="201"/>
      <c r="U61" s="201"/>
      <c r="V61" s="201"/>
      <c r="W61" s="201"/>
      <c r="X61" s="201"/>
      <c r="Y61" s="201"/>
      <c r="Z61" s="201"/>
      <c r="AA61" s="201"/>
    </row>
    <row r="62">
      <c r="A62" s="212">
        <v>46009.0</v>
      </c>
      <c r="B62" s="210" t="s">
        <v>3204</v>
      </c>
      <c r="C62" s="210" t="s">
        <v>8586</v>
      </c>
      <c r="D62" s="210" t="s">
        <v>8596</v>
      </c>
      <c r="E62" s="210" t="s">
        <v>8588</v>
      </c>
      <c r="F62" s="210" t="s">
        <v>8598</v>
      </c>
      <c r="G62" s="210" t="s">
        <v>8599</v>
      </c>
      <c r="H62" s="209">
        <f>IF($A62="","",$A62 + IFERROR(VLOOKUP($D62,'Fertilizer Key'!$A:$D,3,FALSE),""))</f>
        <v>46016</v>
      </c>
      <c r="I62" s="209">
        <f>IF($A62="","",$A62 + IFERROR(VLOOKUP($D62,'Fertilizer Key'!$A:$D,4,FALSE),""))</f>
        <v>46023</v>
      </c>
      <c r="J62" s="201"/>
      <c r="K62" s="210" t="s">
        <v>8655</v>
      </c>
      <c r="L62" s="21" t="s">
        <v>22</v>
      </c>
      <c r="M62" s="201"/>
      <c r="N62" s="201"/>
      <c r="O62" s="201"/>
      <c r="P62" s="201"/>
      <c r="Q62" s="201"/>
      <c r="R62" s="201"/>
      <c r="S62" s="201"/>
      <c r="T62" s="201"/>
      <c r="U62" s="201"/>
      <c r="V62" s="201"/>
      <c r="W62" s="201"/>
      <c r="X62" s="201"/>
      <c r="Y62" s="201"/>
      <c r="Z62" s="201"/>
      <c r="AA62" s="201"/>
    </row>
    <row r="63">
      <c r="A63" s="212">
        <v>46009.0</v>
      </c>
      <c r="B63" s="210" t="s">
        <v>2078</v>
      </c>
      <c r="C63" s="210" t="s">
        <v>8586</v>
      </c>
      <c r="D63" s="210" t="s">
        <v>8596</v>
      </c>
      <c r="E63" s="210" t="s">
        <v>8588</v>
      </c>
      <c r="F63" s="210" t="s">
        <v>8598</v>
      </c>
      <c r="G63" s="210" t="s">
        <v>8599</v>
      </c>
      <c r="H63" s="209">
        <f>IF($A63="","",$A63 + IFERROR(VLOOKUP($D63,'Fertilizer Key'!$A:$D,3,FALSE),""))</f>
        <v>46016</v>
      </c>
      <c r="I63" s="209">
        <f>IF($A63="","",$A63 + IFERROR(VLOOKUP($D63,'Fertilizer Key'!$A:$D,4,FALSE),""))</f>
        <v>46023</v>
      </c>
      <c r="J63" s="201"/>
      <c r="K63" s="213" t="s">
        <v>8656</v>
      </c>
      <c r="L63" s="21" t="s">
        <v>22</v>
      </c>
      <c r="M63" s="201"/>
      <c r="N63" s="201"/>
      <c r="O63" s="201"/>
      <c r="P63" s="201"/>
      <c r="Q63" s="201"/>
      <c r="R63" s="201"/>
      <c r="S63" s="201"/>
      <c r="T63" s="201"/>
      <c r="U63" s="201"/>
      <c r="V63" s="201"/>
      <c r="W63" s="201"/>
      <c r="X63" s="201"/>
      <c r="Y63" s="201"/>
      <c r="Z63" s="201"/>
      <c r="AA63" s="201"/>
    </row>
    <row r="64">
      <c r="A64" s="212">
        <v>46009.0</v>
      </c>
      <c r="B64" s="210" t="s">
        <v>1628</v>
      </c>
      <c r="C64" s="210" t="s">
        <v>8586</v>
      </c>
      <c r="D64" s="210" t="s">
        <v>8596</v>
      </c>
      <c r="E64" s="210" t="s">
        <v>8588</v>
      </c>
      <c r="F64" s="210" t="s">
        <v>8598</v>
      </c>
      <c r="G64" s="210" t="s">
        <v>8599</v>
      </c>
      <c r="H64" s="209">
        <f>IF($A64="","",$A64 + IFERROR(VLOOKUP($D64,'Fertilizer Key'!$A:$D,3,FALSE),""))</f>
        <v>46016</v>
      </c>
      <c r="I64" s="209">
        <f>IF($A64="","",$A64 + IFERROR(VLOOKUP($D64,'Fertilizer Key'!$A:$D,4,FALSE),""))</f>
        <v>46023</v>
      </c>
      <c r="J64" s="201"/>
      <c r="K64" s="210" t="s">
        <v>8657</v>
      </c>
      <c r="L64" s="21" t="s">
        <v>22</v>
      </c>
      <c r="M64" s="201"/>
      <c r="N64" s="201"/>
      <c r="O64" s="201"/>
      <c r="P64" s="201"/>
      <c r="Q64" s="201"/>
      <c r="R64" s="201"/>
      <c r="S64" s="201"/>
      <c r="T64" s="201"/>
      <c r="U64" s="201"/>
      <c r="V64" s="201"/>
      <c r="W64" s="201"/>
      <c r="X64" s="201"/>
      <c r="Y64" s="201"/>
      <c r="Z64" s="201"/>
      <c r="AA64" s="201"/>
    </row>
    <row r="65">
      <c r="A65" s="212">
        <v>46009.0</v>
      </c>
      <c r="B65" s="210" t="s">
        <v>1649</v>
      </c>
      <c r="C65" s="210" t="s">
        <v>8586</v>
      </c>
      <c r="D65" s="210" t="s">
        <v>8596</v>
      </c>
      <c r="E65" s="210" t="s">
        <v>8588</v>
      </c>
      <c r="F65" s="210" t="s">
        <v>8598</v>
      </c>
      <c r="G65" s="210" t="s">
        <v>8599</v>
      </c>
      <c r="H65" s="209">
        <f>IF($A65="","",$A65 + IFERROR(VLOOKUP($D65,'Fertilizer Key'!$A:$D,3,FALSE),""))</f>
        <v>46016</v>
      </c>
      <c r="I65" s="209">
        <f>IF($A65="","",$A65 + IFERROR(VLOOKUP($D65,'Fertilizer Key'!$A:$D,4,FALSE),""))</f>
        <v>46023</v>
      </c>
      <c r="J65" s="201"/>
      <c r="K65" s="210" t="s">
        <v>8658</v>
      </c>
      <c r="L65" s="21" t="s">
        <v>22</v>
      </c>
      <c r="M65" s="201"/>
      <c r="N65" s="201"/>
      <c r="O65" s="201"/>
      <c r="P65" s="201"/>
      <c r="Q65" s="201"/>
      <c r="R65" s="201"/>
      <c r="S65" s="201"/>
      <c r="T65" s="201"/>
      <c r="U65" s="201"/>
      <c r="V65" s="201"/>
      <c r="W65" s="201"/>
      <c r="X65" s="201"/>
      <c r="Y65" s="201"/>
      <c r="Z65" s="201"/>
      <c r="AA65" s="201"/>
    </row>
    <row r="66">
      <c r="A66" s="212">
        <v>46009.0</v>
      </c>
      <c r="B66" s="210" t="s">
        <v>1544</v>
      </c>
      <c r="C66" s="210" t="s">
        <v>8586</v>
      </c>
      <c r="D66" s="210" t="s">
        <v>8596</v>
      </c>
      <c r="E66" s="210" t="s">
        <v>8588</v>
      </c>
      <c r="F66" s="210" t="s">
        <v>8598</v>
      </c>
      <c r="G66" s="210" t="s">
        <v>8599</v>
      </c>
      <c r="H66" s="209">
        <f>IF($A66="","",$A66 + IFERROR(VLOOKUP($D66,'Fertilizer Key'!$A:$D,3,FALSE),""))</f>
        <v>46016</v>
      </c>
      <c r="I66" s="209">
        <f>IF($A66="","",$A66 + IFERROR(VLOOKUP($D66,'Fertilizer Key'!$A:$D,4,FALSE),""))</f>
        <v>46023</v>
      </c>
      <c r="J66" s="201"/>
      <c r="K66" s="210" t="s">
        <v>8659</v>
      </c>
      <c r="L66" s="21" t="s">
        <v>22</v>
      </c>
      <c r="M66" s="201"/>
      <c r="N66" s="201"/>
      <c r="O66" s="201"/>
      <c r="P66" s="201"/>
      <c r="Q66" s="201"/>
      <c r="R66" s="201"/>
      <c r="S66" s="201"/>
      <c r="T66" s="201"/>
      <c r="U66" s="201"/>
      <c r="V66" s="201"/>
      <c r="W66" s="201"/>
      <c r="X66" s="201"/>
      <c r="Y66" s="201"/>
      <c r="Z66" s="201"/>
      <c r="AA66" s="201"/>
    </row>
    <row r="67">
      <c r="A67" s="212">
        <v>46009.0</v>
      </c>
      <c r="B67" s="210" t="s">
        <v>2857</v>
      </c>
      <c r="C67" s="210" t="s">
        <v>5970</v>
      </c>
      <c r="D67" s="210" t="s">
        <v>8596</v>
      </c>
      <c r="E67" s="210" t="s">
        <v>8588</v>
      </c>
      <c r="F67" s="210" t="s">
        <v>8598</v>
      </c>
      <c r="G67" s="210" t="s">
        <v>8599</v>
      </c>
      <c r="H67" s="209">
        <f>IF($A67="","",$A67 + IFERROR(VLOOKUP($D67,'Fertilizer Key'!$A:$D,3,FALSE),""))</f>
        <v>46016</v>
      </c>
      <c r="I67" s="209">
        <f>IF($A67="","",$A67 + IFERROR(VLOOKUP($D67,'Fertilizer Key'!$A:$D,4,FALSE),""))</f>
        <v>46023</v>
      </c>
      <c r="J67" s="201"/>
      <c r="K67" s="210" t="s">
        <v>8660</v>
      </c>
      <c r="L67" s="21" t="s">
        <v>22</v>
      </c>
      <c r="M67" s="201"/>
      <c r="N67" s="201"/>
      <c r="O67" s="201"/>
      <c r="P67" s="201"/>
      <c r="Q67" s="201"/>
      <c r="R67" s="201"/>
      <c r="S67" s="201"/>
      <c r="T67" s="201"/>
      <c r="U67" s="201"/>
      <c r="V67" s="201"/>
      <c r="W67" s="201"/>
      <c r="X67" s="201"/>
      <c r="Y67" s="201"/>
      <c r="Z67" s="201"/>
      <c r="AA67" s="201"/>
    </row>
    <row r="68">
      <c r="A68" s="212">
        <v>46009.0</v>
      </c>
      <c r="B68" s="210" t="s">
        <v>2407</v>
      </c>
      <c r="C68" s="210" t="s">
        <v>8586</v>
      </c>
      <c r="D68" s="210" t="s">
        <v>8596</v>
      </c>
      <c r="E68" s="210" t="s">
        <v>8588</v>
      </c>
      <c r="F68" s="210" t="s">
        <v>8598</v>
      </c>
      <c r="G68" s="210" t="s">
        <v>8599</v>
      </c>
      <c r="H68" s="209">
        <f>IF($A68="","",$A68 + IFERROR(VLOOKUP($D68,'Fertilizer Key'!$A:$D,3,FALSE),""))</f>
        <v>46016</v>
      </c>
      <c r="I68" s="209">
        <f>IF($A68="","",$A68 + IFERROR(VLOOKUP($D68,'Fertilizer Key'!$A:$D,4,FALSE),""))</f>
        <v>46023</v>
      </c>
      <c r="J68" s="201"/>
      <c r="K68" s="210" t="s">
        <v>8661</v>
      </c>
      <c r="L68" s="21" t="s">
        <v>22</v>
      </c>
      <c r="M68" s="201"/>
      <c r="N68" s="201"/>
      <c r="O68" s="201"/>
      <c r="P68" s="201"/>
      <c r="Q68" s="201"/>
      <c r="R68" s="201"/>
      <c r="S68" s="201"/>
      <c r="T68" s="201"/>
      <c r="U68" s="201"/>
      <c r="V68" s="201"/>
      <c r="W68" s="201"/>
      <c r="X68" s="201"/>
      <c r="Y68" s="201"/>
      <c r="Z68" s="201"/>
      <c r="AA68" s="201"/>
    </row>
    <row r="69">
      <c r="A69" s="212">
        <v>46009.0</v>
      </c>
      <c r="B69" s="210" t="s">
        <v>2446</v>
      </c>
      <c r="C69" s="210" t="s">
        <v>8586</v>
      </c>
      <c r="D69" s="210" t="s">
        <v>8596</v>
      </c>
      <c r="E69" s="210" t="s">
        <v>8588</v>
      </c>
      <c r="F69" s="210" t="s">
        <v>8598</v>
      </c>
      <c r="G69" s="210" t="s">
        <v>8599</v>
      </c>
      <c r="H69" s="209">
        <f>IF($A69="","",$A69 + IFERROR(VLOOKUP($D69,'Fertilizer Key'!$A:$D,3,FALSE),""))</f>
        <v>46016</v>
      </c>
      <c r="I69" s="209">
        <f>IF($A69="","",$A69 + IFERROR(VLOOKUP($D69,'Fertilizer Key'!$A:$D,4,FALSE),""))</f>
        <v>46023</v>
      </c>
      <c r="J69" s="201"/>
      <c r="K69" s="210" t="s">
        <v>8662</v>
      </c>
      <c r="L69" s="21" t="s">
        <v>22</v>
      </c>
      <c r="M69" s="201"/>
      <c r="N69" s="201"/>
      <c r="O69" s="201"/>
      <c r="P69" s="201"/>
      <c r="Q69" s="201"/>
      <c r="R69" s="201"/>
      <c r="S69" s="201"/>
      <c r="T69" s="201"/>
      <c r="U69" s="201"/>
      <c r="V69" s="201"/>
      <c r="W69" s="201"/>
      <c r="X69" s="201"/>
      <c r="Y69" s="201"/>
      <c r="Z69" s="201"/>
      <c r="AA69" s="201"/>
    </row>
    <row r="70">
      <c r="A70" s="212">
        <v>46009.0</v>
      </c>
      <c r="B70" s="210" t="s">
        <v>1575</v>
      </c>
      <c r="C70" s="210" t="s">
        <v>8586</v>
      </c>
      <c r="D70" s="210" t="s">
        <v>8596</v>
      </c>
      <c r="E70" s="210" t="s">
        <v>8588</v>
      </c>
      <c r="F70" s="210" t="s">
        <v>8598</v>
      </c>
      <c r="G70" s="210" t="s">
        <v>8599</v>
      </c>
      <c r="H70" s="209">
        <f>IF($A70="","",$A70 + IFERROR(VLOOKUP($D70,'Fertilizer Key'!$A:$D,3,FALSE),""))</f>
        <v>46016</v>
      </c>
      <c r="I70" s="209">
        <f>IF($A70="","",$A70 + IFERROR(VLOOKUP($D70,'Fertilizer Key'!$A:$D,4,FALSE),""))</f>
        <v>46023</v>
      </c>
      <c r="J70" s="201"/>
      <c r="K70" s="210" t="s">
        <v>8663</v>
      </c>
      <c r="L70" s="21" t="s">
        <v>22</v>
      </c>
      <c r="M70" s="201"/>
      <c r="N70" s="201"/>
      <c r="O70" s="201"/>
      <c r="P70" s="201"/>
      <c r="Q70" s="201"/>
      <c r="R70" s="201"/>
      <c r="S70" s="201"/>
      <c r="T70" s="201"/>
      <c r="U70" s="201"/>
      <c r="V70" s="201"/>
      <c r="W70" s="201"/>
      <c r="X70" s="201"/>
      <c r="Y70" s="201"/>
      <c r="Z70" s="201"/>
      <c r="AA70" s="201"/>
    </row>
    <row r="71">
      <c r="A71" s="212">
        <v>46009.0</v>
      </c>
      <c r="B71" s="210" t="s">
        <v>2787</v>
      </c>
      <c r="C71" s="210" t="s">
        <v>5974</v>
      </c>
      <c r="D71" s="210" t="s">
        <v>8596</v>
      </c>
      <c r="E71" s="210" t="s">
        <v>8588</v>
      </c>
      <c r="F71" s="210" t="s">
        <v>8598</v>
      </c>
      <c r="G71" s="210" t="s">
        <v>8599</v>
      </c>
      <c r="H71" s="209">
        <f>IF($A71="","",$A71 + IFERROR(VLOOKUP($D71,'Fertilizer Key'!$A:$D,3,FALSE),""))</f>
        <v>46016</v>
      </c>
      <c r="I71" s="209">
        <f>IF($A71="","",$A71 + IFERROR(VLOOKUP($D71,'Fertilizer Key'!$A:$D,4,FALSE),""))</f>
        <v>46023</v>
      </c>
      <c r="J71" s="201"/>
      <c r="K71" s="210" t="s">
        <v>8664</v>
      </c>
      <c r="L71" s="21" t="s">
        <v>22</v>
      </c>
      <c r="M71" s="201"/>
      <c r="N71" s="201"/>
      <c r="O71" s="201"/>
      <c r="P71" s="201"/>
      <c r="Q71" s="201"/>
      <c r="R71" s="201"/>
      <c r="S71" s="201"/>
      <c r="T71" s="201"/>
      <c r="U71" s="201"/>
      <c r="V71" s="201"/>
      <c r="W71" s="201"/>
      <c r="X71" s="201"/>
      <c r="Y71" s="201"/>
      <c r="Z71" s="201"/>
      <c r="AA71" s="201"/>
    </row>
    <row r="72">
      <c r="A72" s="212">
        <v>46009.0</v>
      </c>
      <c r="B72" s="210" t="s">
        <v>1726</v>
      </c>
      <c r="C72" s="210" t="s">
        <v>8586</v>
      </c>
      <c r="D72" s="210" t="s">
        <v>8596</v>
      </c>
      <c r="E72" s="210" t="s">
        <v>8588</v>
      </c>
      <c r="F72" s="210" t="s">
        <v>8598</v>
      </c>
      <c r="G72" s="210" t="s">
        <v>8599</v>
      </c>
      <c r="H72" s="209">
        <f>IF($A72="","",$A72 + IFERROR(VLOOKUP($D72,'Fertilizer Key'!$A:$D,3,FALSE),""))</f>
        <v>46016</v>
      </c>
      <c r="I72" s="209">
        <f>IF($A72="","",$A72 + IFERROR(VLOOKUP($D72,'Fertilizer Key'!$A:$D,4,FALSE),""))</f>
        <v>46023</v>
      </c>
      <c r="J72" s="201"/>
      <c r="K72" s="210" t="s">
        <v>8665</v>
      </c>
      <c r="L72" s="21" t="s">
        <v>22</v>
      </c>
      <c r="M72" s="201"/>
      <c r="N72" s="201"/>
      <c r="O72" s="201"/>
      <c r="P72" s="201"/>
      <c r="Q72" s="201"/>
      <c r="R72" s="201"/>
      <c r="S72" s="201"/>
      <c r="T72" s="201"/>
      <c r="U72" s="201"/>
      <c r="V72" s="201"/>
      <c r="W72" s="201"/>
      <c r="X72" s="201"/>
      <c r="Y72" s="201"/>
      <c r="Z72" s="201"/>
      <c r="AA72" s="201"/>
    </row>
    <row r="73">
      <c r="A73" s="212">
        <v>46009.0</v>
      </c>
      <c r="B73" s="210" t="s">
        <v>1507</v>
      </c>
      <c r="C73" s="210" t="s">
        <v>5970</v>
      </c>
      <c r="D73" s="210" t="s">
        <v>8596</v>
      </c>
      <c r="E73" s="210" t="s">
        <v>8588</v>
      </c>
      <c r="F73" s="210" t="s">
        <v>8598</v>
      </c>
      <c r="G73" s="210" t="s">
        <v>8599</v>
      </c>
      <c r="H73" s="209">
        <f>IF($A73="","",$A73 + IFERROR(VLOOKUP($D73,'Fertilizer Key'!$A:$D,3,FALSE),""))</f>
        <v>46016</v>
      </c>
      <c r="I73" s="209">
        <f>IF($A73="","",$A73 + IFERROR(VLOOKUP($D73,'Fertilizer Key'!$A:$D,4,FALSE),""))</f>
        <v>46023</v>
      </c>
      <c r="J73" s="201"/>
      <c r="K73" s="210" t="s">
        <v>8666</v>
      </c>
      <c r="L73" s="21" t="s">
        <v>22</v>
      </c>
      <c r="M73" s="201"/>
      <c r="N73" s="201"/>
      <c r="O73" s="201"/>
      <c r="P73" s="201"/>
      <c r="Q73" s="201"/>
      <c r="R73" s="201"/>
      <c r="S73" s="201"/>
      <c r="T73" s="201"/>
      <c r="U73" s="201"/>
      <c r="V73" s="201"/>
      <c r="W73" s="201"/>
      <c r="X73" s="201"/>
      <c r="Y73" s="201"/>
      <c r="Z73" s="201"/>
      <c r="AA73" s="201"/>
    </row>
    <row r="74">
      <c r="A74" s="212">
        <v>46009.0</v>
      </c>
      <c r="B74" s="210" t="s">
        <v>2907</v>
      </c>
      <c r="C74" s="210" t="s">
        <v>8586</v>
      </c>
      <c r="D74" s="210" t="s">
        <v>8596</v>
      </c>
      <c r="E74" s="210" t="s">
        <v>8588</v>
      </c>
      <c r="F74" s="210" t="s">
        <v>8598</v>
      </c>
      <c r="G74" s="210" t="s">
        <v>8599</v>
      </c>
      <c r="H74" s="209">
        <f>IF($A74="","",$A74 + IFERROR(VLOOKUP($D74,'Fertilizer Key'!$A:$D,3,FALSE),""))</f>
        <v>46016</v>
      </c>
      <c r="I74" s="209">
        <f>IF($A74="","",$A74 + IFERROR(VLOOKUP($D74,'Fertilizer Key'!$A:$D,4,FALSE),""))</f>
        <v>46023</v>
      </c>
      <c r="J74" s="201"/>
      <c r="K74" s="210" t="s">
        <v>8667</v>
      </c>
      <c r="L74" s="21" t="s">
        <v>22</v>
      </c>
      <c r="M74" s="201"/>
      <c r="N74" s="201"/>
      <c r="O74" s="201"/>
      <c r="P74" s="201"/>
      <c r="Q74" s="201"/>
      <c r="R74" s="201"/>
      <c r="S74" s="201"/>
      <c r="T74" s="201"/>
      <c r="U74" s="201"/>
      <c r="V74" s="201"/>
      <c r="W74" s="201"/>
      <c r="X74" s="201"/>
      <c r="Y74" s="201"/>
      <c r="Z74" s="201"/>
      <c r="AA74" s="201"/>
    </row>
    <row r="75">
      <c r="A75" s="212">
        <v>46009.0</v>
      </c>
      <c r="B75" s="210" t="s">
        <v>2791</v>
      </c>
      <c r="C75" s="210" t="s">
        <v>5974</v>
      </c>
      <c r="D75" s="210" t="s">
        <v>8596</v>
      </c>
      <c r="E75" s="210" t="s">
        <v>8588</v>
      </c>
      <c r="F75" s="210" t="s">
        <v>8598</v>
      </c>
      <c r="G75" s="210" t="s">
        <v>8599</v>
      </c>
      <c r="H75" s="209">
        <f>IF($A75="","",$A75 + IFERROR(VLOOKUP($D75,'Fertilizer Key'!$A:$D,3,FALSE),""))</f>
        <v>46016</v>
      </c>
      <c r="I75" s="209">
        <f>IF($A75="","",$A75 + IFERROR(VLOOKUP($D75,'Fertilizer Key'!$A:$D,4,FALSE),""))</f>
        <v>46023</v>
      </c>
      <c r="J75" s="201"/>
      <c r="K75" s="210" t="s">
        <v>8668</v>
      </c>
      <c r="L75" s="21" t="s">
        <v>22</v>
      </c>
      <c r="M75" s="201"/>
      <c r="N75" s="201"/>
      <c r="O75" s="201"/>
      <c r="P75" s="201"/>
      <c r="Q75" s="201"/>
      <c r="R75" s="201"/>
      <c r="S75" s="201"/>
      <c r="T75" s="201"/>
      <c r="U75" s="201"/>
      <c r="V75" s="201"/>
      <c r="W75" s="201"/>
      <c r="X75" s="201"/>
      <c r="Y75" s="201"/>
      <c r="Z75" s="201"/>
      <c r="AA75" s="201"/>
    </row>
    <row r="76">
      <c r="A76" s="212">
        <v>46009.0</v>
      </c>
      <c r="B76" s="210" t="s">
        <v>3045</v>
      </c>
      <c r="C76" s="210" t="s">
        <v>8586</v>
      </c>
      <c r="D76" s="210" t="s">
        <v>8596</v>
      </c>
      <c r="E76" s="210" t="s">
        <v>8588</v>
      </c>
      <c r="F76" s="210" t="s">
        <v>8598</v>
      </c>
      <c r="G76" s="210" t="s">
        <v>8599</v>
      </c>
      <c r="H76" s="209">
        <f>IF($A76="","",$A76 + IFERROR(VLOOKUP($D76,'Fertilizer Key'!$A:$D,3,FALSE),""))</f>
        <v>46016</v>
      </c>
      <c r="I76" s="209">
        <f>IF($A76="","",$A76 + IFERROR(VLOOKUP($D76,'Fertilizer Key'!$A:$D,4,FALSE),""))</f>
        <v>46023</v>
      </c>
      <c r="J76" s="201"/>
      <c r="K76" s="210" t="s">
        <v>8669</v>
      </c>
      <c r="L76" s="21" t="s">
        <v>22</v>
      </c>
      <c r="M76" s="201"/>
      <c r="N76" s="201"/>
      <c r="O76" s="201"/>
      <c r="P76" s="201"/>
      <c r="Q76" s="201"/>
      <c r="R76" s="201"/>
      <c r="S76" s="201"/>
      <c r="T76" s="201"/>
      <c r="U76" s="201"/>
      <c r="V76" s="201"/>
      <c r="W76" s="201"/>
      <c r="X76" s="201"/>
      <c r="Y76" s="201"/>
      <c r="Z76" s="201"/>
      <c r="AA76" s="201"/>
    </row>
    <row r="77">
      <c r="A77" s="212">
        <v>46009.0</v>
      </c>
      <c r="B77" s="210" t="s">
        <v>2726</v>
      </c>
      <c r="C77" s="210" t="s">
        <v>8586</v>
      </c>
      <c r="D77" s="210" t="s">
        <v>8596</v>
      </c>
      <c r="E77" s="210" t="s">
        <v>8588</v>
      </c>
      <c r="F77" s="210" t="s">
        <v>8598</v>
      </c>
      <c r="G77" s="210" t="s">
        <v>8599</v>
      </c>
      <c r="H77" s="209">
        <f>IF($A77="","",$A77 + IFERROR(VLOOKUP($D77,'Fertilizer Key'!$A:$D,3,FALSE),""))</f>
        <v>46016</v>
      </c>
      <c r="I77" s="209">
        <f>IF($A77="","",$A77 + IFERROR(VLOOKUP($D77,'Fertilizer Key'!$A:$D,4,FALSE),""))</f>
        <v>46023</v>
      </c>
      <c r="J77" s="201"/>
      <c r="K77" s="210" t="s">
        <v>8670</v>
      </c>
      <c r="L77" s="21" t="s">
        <v>22</v>
      </c>
      <c r="M77" s="201"/>
      <c r="N77" s="201"/>
      <c r="O77" s="201"/>
      <c r="P77" s="201"/>
      <c r="Q77" s="201"/>
      <c r="R77" s="201"/>
      <c r="S77" s="201"/>
      <c r="T77" s="201"/>
      <c r="U77" s="201"/>
      <c r="V77" s="201"/>
      <c r="W77" s="201"/>
      <c r="X77" s="201"/>
      <c r="Y77" s="201"/>
      <c r="Z77" s="201"/>
      <c r="AA77" s="201"/>
    </row>
    <row r="78">
      <c r="A78" s="212">
        <v>46009.0</v>
      </c>
      <c r="B78" s="210" t="s">
        <v>2395</v>
      </c>
      <c r="C78" s="210" t="s">
        <v>8586</v>
      </c>
      <c r="D78" s="210" t="s">
        <v>8596</v>
      </c>
      <c r="E78" s="210" t="s">
        <v>8588</v>
      </c>
      <c r="F78" s="210" t="s">
        <v>8598</v>
      </c>
      <c r="G78" s="210" t="s">
        <v>8599</v>
      </c>
      <c r="H78" s="209">
        <f>IF($A78="","",$A78 + IFERROR(VLOOKUP($D78,'Fertilizer Key'!$A:$D,3,FALSE),""))</f>
        <v>46016</v>
      </c>
      <c r="I78" s="209">
        <f>IF($A78="","",$A78 + IFERROR(VLOOKUP($D78,'Fertilizer Key'!$A:$D,4,FALSE),""))</f>
        <v>46023</v>
      </c>
      <c r="J78" s="201"/>
      <c r="K78" s="210" t="s">
        <v>8671</v>
      </c>
      <c r="L78" s="21" t="s">
        <v>22</v>
      </c>
      <c r="M78" s="201"/>
      <c r="N78" s="201"/>
      <c r="O78" s="201"/>
      <c r="P78" s="201"/>
      <c r="Q78" s="201"/>
      <c r="R78" s="201"/>
      <c r="S78" s="201"/>
      <c r="T78" s="201"/>
      <c r="U78" s="201"/>
      <c r="V78" s="201"/>
      <c r="W78" s="201"/>
      <c r="X78" s="201"/>
      <c r="Y78" s="201"/>
      <c r="Z78" s="201"/>
      <c r="AA78" s="201"/>
    </row>
    <row r="79">
      <c r="A79" s="212">
        <v>46009.0</v>
      </c>
      <c r="B79" s="210" t="s">
        <v>2392</v>
      </c>
      <c r="C79" s="210" t="s">
        <v>8586</v>
      </c>
      <c r="D79" s="210" t="s">
        <v>8596</v>
      </c>
      <c r="E79" s="210" t="s">
        <v>8588</v>
      </c>
      <c r="F79" s="210" t="s">
        <v>8598</v>
      </c>
      <c r="G79" s="210" t="s">
        <v>8599</v>
      </c>
      <c r="H79" s="209">
        <f>IF($A79="","",$A79 + IFERROR(VLOOKUP($D79,'Fertilizer Key'!$A:$D,3,FALSE),""))</f>
        <v>46016</v>
      </c>
      <c r="I79" s="209">
        <f>IF($A79="","",$A79 + IFERROR(VLOOKUP($D79,'Fertilizer Key'!$A:$D,4,FALSE),""))</f>
        <v>46023</v>
      </c>
      <c r="J79" s="201"/>
      <c r="K79" s="210" t="s">
        <v>8672</v>
      </c>
      <c r="L79" s="21" t="s">
        <v>22</v>
      </c>
      <c r="M79" s="201"/>
      <c r="N79" s="201"/>
      <c r="O79" s="201"/>
      <c r="P79" s="201"/>
      <c r="Q79" s="201"/>
      <c r="R79" s="201"/>
      <c r="S79" s="201"/>
      <c r="T79" s="201"/>
      <c r="U79" s="201"/>
      <c r="V79" s="201"/>
      <c r="W79" s="201"/>
      <c r="X79" s="201"/>
      <c r="Y79" s="201"/>
      <c r="Z79" s="201"/>
      <c r="AA79" s="201"/>
    </row>
    <row r="80">
      <c r="A80" s="212">
        <v>46009.0</v>
      </c>
      <c r="B80" s="210" t="s">
        <v>1859</v>
      </c>
      <c r="C80" s="210" t="s">
        <v>8586</v>
      </c>
      <c r="D80" s="210" t="s">
        <v>8596</v>
      </c>
      <c r="E80" s="210" t="s">
        <v>8611</v>
      </c>
      <c r="F80" s="210" t="s">
        <v>8598</v>
      </c>
      <c r="G80" s="210" t="s">
        <v>8599</v>
      </c>
      <c r="H80" s="209">
        <f>IF($A80="","",$A80 + IFERROR(VLOOKUP($D80,'Fertilizer Key'!$A:$D,3,FALSE),""))</f>
        <v>46016</v>
      </c>
      <c r="I80" s="209">
        <f>IF($A80="","",$A80 + IFERROR(VLOOKUP($D80,'Fertilizer Key'!$A:$D,4,FALSE),""))</f>
        <v>46023</v>
      </c>
      <c r="J80" s="201"/>
      <c r="K80" s="210" t="s">
        <v>8673</v>
      </c>
      <c r="L80" s="21" t="s">
        <v>22</v>
      </c>
      <c r="M80" s="201"/>
      <c r="N80" s="201"/>
      <c r="O80" s="201"/>
      <c r="P80" s="201"/>
      <c r="Q80" s="201"/>
      <c r="R80" s="201"/>
      <c r="S80" s="201"/>
      <c r="T80" s="201"/>
      <c r="U80" s="201"/>
      <c r="V80" s="201"/>
      <c r="W80" s="201"/>
      <c r="X80" s="201"/>
      <c r="Y80" s="201"/>
      <c r="Z80" s="201"/>
      <c r="AA80" s="201"/>
    </row>
    <row r="81">
      <c r="A81" s="212">
        <v>46009.0</v>
      </c>
      <c r="B81" s="210" t="s">
        <v>3050</v>
      </c>
      <c r="C81" s="210" t="s">
        <v>8674</v>
      </c>
      <c r="D81" s="210" t="s">
        <v>8596</v>
      </c>
      <c r="E81" s="210" t="s">
        <v>8611</v>
      </c>
      <c r="F81" s="210" t="s">
        <v>8598</v>
      </c>
      <c r="G81" s="210" t="s">
        <v>8599</v>
      </c>
      <c r="H81" s="209">
        <f>IF($A81="","",$A81 + IFERROR(VLOOKUP($D81,'Fertilizer Key'!$A:$D,3,FALSE),""))</f>
        <v>46016</v>
      </c>
      <c r="I81" s="209">
        <f>IF($A81="","",$A81 + IFERROR(VLOOKUP($D81,'Fertilizer Key'!$A:$D,4,FALSE),""))</f>
        <v>46023</v>
      </c>
      <c r="J81" s="201"/>
      <c r="K81" s="210" t="s">
        <v>8675</v>
      </c>
      <c r="L81" s="21" t="s">
        <v>22</v>
      </c>
      <c r="M81" s="201"/>
      <c r="N81" s="201"/>
      <c r="O81" s="201"/>
      <c r="P81" s="201"/>
      <c r="Q81" s="201"/>
      <c r="R81" s="201"/>
      <c r="S81" s="201"/>
      <c r="T81" s="201"/>
      <c r="U81" s="201"/>
      <c r="V81" s="201"/>
      <c r="W81" s="201"/>
      <c r="X81" s="201"/>
      <c r="Y81" s="201"/>
      <c r="Z81" s="201"/>
      <c r="AA81" s="201"/>
    </row>
    <row r="82">
      <c r="A82" s="212">
        <v>46009.0</v>
      </c>
      <c r="B82" s="210" t="s">
        <v>1769</v>
      </c>
      <c r="C82" s="210" t="s">
        <v>8586</v>
      </c>
      <c r="D82" s="210" t="s">
        <v>8596</v>
      </c>
      <c r="E82" s="210" t="s">
        <v>8588</v>
      </c>
      <c r="F82" s="210" t="s">
        <v>8598</v>
      </c>
      <c r="G82" s="210" t="s">
        <v>8599</v>
      </c>
      <c r="H82" s="209">
        <f>IF($A82="","",$A82 + IFERROR(VLOOKUP($D82,'Fertilizer Key'!$A:$D,3,FALSE),""))</f>
        <v>46016</v>
      </c>
      <c r="I82" s="209">
        <f>IF($A82="","",$A82 + IFERROR(VLOOKUP($D82,'Fertilizer Key'!$A:$D,4,FALSE),""))</f>
        <v>46023</v>
      </c>
      <c r="J82" s="201"/>
      <c r="K82" s="210" t="s">
        <v>8676</v>
      </c>
      <c r="L82" s="21" t="s">
        <v>22</v>
      </c>
      <c r="M82" s="201"/>
      <c r="N82" s="201"/>
      <c r="O82" s="201"/>
      <c r="P82" s="201"/>
      <c r="Q82" s="201"/>
      <c r="R82" s="201"/>
      <c r="S82" s="201"/>
      <c r="T82" s="201"/>
      <c r="U82" s="201"/>
      <c r="V82" s="201"/>
      <c r="W82" s="201"/>
      <c r="X82" s="201"/>
      <c r="Y82" s="201"/>
      <c r="Z82" s="201"/>
      <c r="AA82" s="201"/>
    </row>
    <row r="83">
      <c r="A83" s="212">
        <v>46009.0</v>
      </c>
      <c r="B83" s="210" t="s">
        <v>2861</v>
      </c>
      <c r="C83" s="210" t="s">
        <v>8586</v>
      </c>
      <c r="D83" s="210" t="s">
        <v>8596</v>
      </c>
      <c r="E83" s="210" t="s">
        <v>8588</v>
      </c>
      <c r="F83" s="210" t="s">
        <v>8598</v>
      </c>
      <c r="G83" s="210" t="s">
        <v>8599</v>
      </c>
      <c r="H83" s="209">
        <f>IF($A83="","",$A83 + IFERROR(VLOOKUP($D83,'Fertilizer Key'!$A:$D,3,FALSE),""))</f>
        <v>46016</v>
      </c>
      <c r="I83" s="209">
        <f>IF($A83="","",$A83 + IFERROR(VLOOKUP($D83,'Fertilizer Key'!$A:$D,4,FALSE),""))</f>
        <v>46023</v>
      </c>
      <c r="J83" s="201"/>
      <c r="K83" s="210" t="s">
        <v>8677</v>
      </c>
      <c r="L83" s="21" t="s">
        <v>22</v>
      </c>
      <c r="M83" s="201"/>
      <c r="N83" s="201"/>
      <c r="O83" s="201"/>
      <c r="P83" s="201"/>
      <c r="Q83" s="201"/>
      <c r="R83" s="201"/>
      <c r="S83" s="201"/>
      <c r="T83" s="201"/>
      <c r="U83" s="201"/>
      <c r="V83" s="201"/>
      <c r="W83" s="201"/>
      <c r="X83" s="201"/>
      <c r="Y83" s="201"/>
      <c r="Z83" s="201"/>
      <c r="AA83" s="201"/>
    </row>
    <row r="84">
      <c r="A84" s="212">
        <v>46009.0</v>
      </c>
      <c r="B84" s="210" t="s">
        <v>2939</v>
      </c>
      <c r="C84" s="210" t="s">
        <v>5956</v>
      </c>
      <c r="D84" s="210" t="s">
        <v>8596</v>
      </c>
      <c r="E84" s="210" t="s">
        <v>8588</v>
      </c>
      <c r="F84" s="210" t="s">
        <v>8598</v>
      </c>
      <c r="G84" s="210" t="s">
        <v>8599</v>
      </c>
      <c r="H84" s="209">
        <f>IF($A84="","",$A84 + IFERROR(VLOOKUP($D84,'Fertilizer Key'!$A:$D,3,FALSE),""))</f>
        <v>46016</v>
      </c>
      <c r="I84" s="209">
        <f>IF($A84="","",$A84 + IFERROR(VLOOKUP($D84,'Fertilizer Key'!$A:$D,4,FALSE),""))</f>
        <v>46023</v>
      </c>
      <c r="J84" s="201"/>
      <c r="K84" s="210" t="s">
        <v>8678</v>
      </c>
      <c r="L84" s="21" t="s">
        <v>22</v>
      </c>
      <c r="M84" s="201"/>
      <c r="N84" s="201"/>
      <c r="O84" s="201"/>
      <c r="P84" s="201"/>
      <c r="Q84" s="201"/>
      <c r="R84" s="201"/>
      <c r="S84" s="201"/>
      <c r="T84" s="201"/>
      <c r="U84" s="201"/>
      <c r="V84" s="201"/>
      <c r="W84" s="201"/>
      <c r="X84" s="201"/>
      <c r="Y84" s="201"/>
      <c r="Z84" s="201"/>
      <c r="AA84" s="201"/>
    </row>
    <row r="85">
      <c r="A85" s="212">
        <v>46009.0</v>
      </c>
      <c r="B85" s="210" t="s">
        <v>2936</v>
      </c>
      <c r="C85" s="210" t="s">
        <v>8586</v>
      </c>
      <c r="D85" s="210" t="s">
        <v>8596</v>
      </c>
      <c r="E85" s="210" t="s">
        <v>8588</v>
      </c>
      <c r="F85" s="210" t="s">
        <v>8598</v>
      </c>
      <c r="G85" s="210" t="s">
        <v>8599</v>
      </c>
      <c r="H85" s="209">
        <f>IF($A85="","",$A85 + IFERROR(VLOOKUP($D85,'Fertilizer Key'!$A:$D,3,FALSE),""))</f>
        <v>46016</v>
      </c>
      <c r="I85" s="209">
        <f>IF($A85="","",$A85 + IFERROR(VLOOKUP($D85,'Fertilizer Key'!$A:$D,4,FALSE),""))</f>
        <v>46023</v>
      </c>
      <c r="J85" s="201"/>
      <c r="K85" s="210" t="s">
        <v>8679</v>
      </c>
      <c r="L85" s="21" t="s">
        <v>22</v>
      </c>
      <c r="M85" s="201"/>
      <c r="N85" s="201"/>
      <c r="O85" s="201"/>
      <c r="P85" s="201"/>
      <c r="Q85" s="201"/>
      <c r="R85" s="201"/>
      <c r="S85" s="201"/>
      <c r="T85" s="201"/>
      <c r="U85" s="201"/>
      <c r="V85" s="201"/>
      <c r="W85" s="201"/>
      <c r="X85" s="201"/>
      <c r="Y85" s="201"/>
      <c r="Z85" s="201"/>
      <c r="AA85" s="201"/>
    </row>
    <row r="86">
      <c r="A86" s="212">
        <v>46009.0</v>
      </c>
      <c r="B86" s="210" t="s">
        <v>1814</v>
      </c>
      <c r="C86" s="210" t="s">
        <v>8586</v>
      </c>
      <c r="D86" s="210" t="s">
        <v>8596</v>
      </c>
      <c r="E86" s="210" t="s">
        <v>8588</v>
      </c>
      <c r="F86" s="210" t="s">
        <v>8598</v>
      </c>
      <c r="G86" s="210" t="s">
        <v>8599</v>
      </c>
      <c r="H86" s="209">
        <f>IF($A86="","",$A86 + IFERROR(VLOOKUP($D86,'Fertilizer Key'!$A:$D,3,FALSE),""))</f>
        <v>46016</v>
      </c>
      <c r="I86" s="209">
        <f>IF($A86="","",$A86 + IFERROR(VLOOKUP($D86,'Fertilizer Key'!$A:$D,4,FALSE),""))</f>
        <v>46023</v>
      </c>
      <c r="J86" s="201"/>
      <c r="K86" s="210" t="s">
        <v>8680</v>
      </c>
      <c r="L86" s="21" t="s">
        <v>22</v>
      </c>
      <c r="M86" s="201"/>
      <c r="N86" s="201"/>
      <c r="O86" s="201"/>
      <c r="P86" s="201"/>
      <c r="Q86" s="201"/>
      <c r="R86" s="201"/>
      <c r="S86" s="201"/>
      <c r="T86" s="201"/>
      <c r="U86" s="201"/>
      <c r="V86" s="201"/>
      <c r="W86" s="201"/>
      <c r="X86" s="201"/>
      <c r="Y86" s="201"/>
      <c r="Z86" s="201"/>
      <c r="AA86" s="201"/>
    </row>
    <row r="87">
      <c r="A87" s="212">
        <v>46009.0</v>
      </c>
      <c r="B87" s="210" t="s">
        <v>1816</v>
      </c>
      <c r="C87" s="210" t="s">
        <v>8586</v>
      </c>
      <c r="D87" s="210" t="s">
        <v>8596</v>
      </c>
      <c r="E87" s="210" t="s">
        <v>8588</v>
      </c>
      <c r="F87" s="210" t="s">
        <v>8598</v>
      </c>
      <c r="G87" s="210" t="s">
        <v>8599</v>
      </c>
      <c r="H87" s="209">
        <f>IF($A87="","",$A87 + IFERROR(VLOOKUP($D87,'Fertilizer Key'!$A:$D,3,FALSE),""))</f>
        <v>46016</v>
      </c>
      <c r="I87" s="209">
        <f>IF($A87="","",$A87 + IFERROR(VLOOKUP($D87,'Fertilizer Key'!$A:$D,4,FALSE),""))</f>
        <v>46023</v>
      </c>
      <c r="J87" s="201"/>
      <c r="K87" s="210" t="s">
        <v>8681</v>
      </c>
      <c r="L87" s="21" t="s">
        <v>22</v>
      </c>
      <c r="M87" s="201"/>
      <c r="N87" s="201"/>
      <c r="O87" s="201"/>
      <c r="P87" s="201"/>
      <c r="Q87" s="201"/>
      <c r="R87" s="201"/>
      <c r="S87" s="201"/>
      <c r="T87" s="201"/>
      <c r="U87" s="201"/>
      <c r="V87" s="201"/>
      <c r="W87" s="201"/>
      <c r="X87" s="201"/>
      <c r="Y87" s="201"/>
      <c r="Z87" s="201"/>
      <c r="AA87" s="201"/>
    </row>
    <row r="88">
      <c r="A88" s="212">
        <v>46009.0</v>
      </c>
      <c r="B88" s="210" t="s">
        <v>1818</v>
      </c>
      <c r="C88" s="210" t="s">
        <v>8586</v>
      </c>
      <c r="D88" s="210" t="s">
        <v>8596</v>
      </c>
      <c r="E88" s="210" t="s">
        <v>8588</v>
      </c>
      <c r="F88" s="210" t="s">
        <v>8598</v>
      </c>
      <c r="G88" s="210" t="s">
        <v>8599</v>
      </c>
      <c r="H88" s="209">
        <f>IF($A88="","",$A88 + IFERROR(VLOOKUP($D88,'Fertilizer Key'!$A:$D,3,FALSE),""))</f>
        <v>46016</v>
      </c>
      <c r="I88" s="209">
        <f>IF($A88="","",$A88 + IFERROR(VLOOKUP($D88,'Fertilizer Key'!$A:$D,4,FALSE),""))</f>
        <v>46023</v>
      </c>
      <c r="J88" s="201"/>
      <c r="K88" s="210" t="s">
        <v>8682</v>
      </c>
      <c r="L88" s="21" t="s">
        <v>22</v>
      </c>
      <c r="M88" s="201"/>
      <c r="N88" s="201"/>
      <c r="O88" s="201"/>
      <c r="P88" s="201"/>
      <c r="Q88" s="201"/>
      <c r="R88" s="201"/>
      <c r="S88" s="201"/>
      <c r="T88" s="201"/>
      <c r="U88" s="201"/>
      <c r="V88" s="201"/>
      <c r="W88" s="201"/>
      <c r="X88" s="201"/>
      <c r="Y88" s="201"/>
      <c r="Z88" s="201"/>
      <c r="AA88" s="201"/>
    </row>
    <row r="89">
      <c r="A89" s="212">
        <v>46009.0</v>
      </c>
      <c r="B89" s="210" t="s">
        <v>3169</v>
      </c>
      <c r="C89" s="210" t="s">
        <v>8586</v>
      </c>
      <c r="D89" s="210" t="s">
        <v>8596</v>
      </c>
      <c r="E89" s="210" t="s">
        <v>8588</v>
      </c>
      <c r="F89" s="210" t="s">
        <v>8598</v>
      </c>
      <c r="G89" s="210" t="s">
        <v>8599</v>
      </c>
      <c r="H89" s="209">
        <f>IF($A89="","",$A89 + IFERROR(VLOOKUP($D89,'Fertilizer Key'!$A:$D,3,FALSE),""))</f>
        <v>46016</v>
      </c>
      <c r="I89" s="209">
        <f>IF($A89="","",$A89 + IFERROR(VLOOKUP($D89,'Fertilizer Key'!$A:$D,4,FALSE),""))</f>
        <v>46023</v>
      </c>
      <c r="J89" s="201"/>
      <c r="K89" s="210" t="s">
        <v>8683</v>
      </c>
      <c r="L89" s="21" t="s">
        <v>22</v>
      </c>
      <c r="M89" s="201"/>
      <c r="N89" s="201"/>
      <c r="O89" s="201"/>
      <c r="P89" s="201"/>
      <c r="Q89" s="201"/>
      <c r="R89" s="201"/>
      <c r="S89" s="201"/>
      <c r="T89" s="201"/>
      <c r="U89" s="201"/>
      <c r="V89" s="201"/>
      <c r="W89" s="201"/>
      <c r="X89" s="201"/>
      <c r="Y89" s="201"/>
      <c r="Z89" s="201"/>
      <c r="AA89" s="201"/>
    </row>
    <row r="90">
      <c r="A90" s="212">
        <v>46009.0</v>
      </c>
      <c r="B90" s="210" t="s">
        <v>3423</v>
      </c>
      <c r="C90" s="210" t="s">
        <v>8586</v>
      </c>
      <c r="D90" s="210" t="s">
        <v>8596</v>
      </c>
      <c r="E90" s="210" t="s">
        <v>8588</v>
      </c>
      <c r="F90" s="210" t="s">
        <v>8598</v>
      </c>
      <c r="G90" s="210" t="s">
        <v>8599</v>
      </c>
      <c r="H90" s="209">
        <f>IF($A90="","",$A90 + IFERROR(VLOOKUP($D90,'Fertilizer Key'!$A:$D,3,FALSE),""))</f>
        <v>46016</v>
      </c>
      <c r="I90" s="209">
        <f>IF($A90="","",$A90 + IFERROR(VLOOKUP($D90,'Fertilizer Key'!$A:$D,4,FALSE),""))</f>
        <v>46023</v>
      </c>
      <c r="J90" s="201"/>
      <c r="K90" s="210" t="s">
        <v>8684</v>
      </c>
      <c r="L90" s="21" t="s">
        <v>22</v>
      </c>
      <c r="M90" s="201"/>
      <c r="N90" s="201"/>
      <c r="O90" s="201"/>
      <c r="P90" s="201"/>
      <c r="Q90" s="201"/>
      <c r="R90" s="201"/>
      <c r="S90" s="201"/>
      <c r="T90" s="201"/>
      <c r="U90" s="201"/>
      <c r="V90" s="201"/>
      <c r="W90" s="201"/>
      <c r="X90" s="201"/>
      <c r="Y90" s="201"/>
      <c r="Z90" s="201"/>
      <c r="AA90" s="201"/>
    </row>
    <row r="91">
      <c r="A91" s="212">
        <v>46010.0</v>
      </c>
      <c r="B91" s="210" t="s">
        <v>2390</v>
      </c>
      <c r="C91" s="210" t="s">
        <v>8586</v>
      </c>
      <c r="D91" s="210" t="s">
        <v>8596</v>
      </c>
      <c r="E91" s="210" t="s">
        <v>8588</v>
      </c>
      <c r="F91" s="210" t="s">
        <v>8598</v>
      </c>
      <c r="G91" s="210" t="s">
        <v>8599</v>
      </c>
      <c r="H91" s="209">
        <f>IF($A91="","",$A91 + IFERROR(VLOOKUP($D91,'Fertilizer Key'!$A:$D,3,FALSE),""))</f>
        <v>46017</v>
      </c>
      <c r="I91" s="209">
        <f>IF($A91="","",$A91 + IFERROR(VLOOKUP($D91,'Fertilizer Key'!$A:$D,4,FALSE),""))</f>
        <v>46024</v>
      </c>
      <c r="J91" s="201"/>
      <c r="K91" s="210" t="s">
        <v>8685</v>
      </c>
      <c r="L91" s="21" t="s">
        <v>22</v>
      </c>
      <c r="M91" s="201"/>
      <c r="N91" s="201"/>
      <c r="O91" s="201"/>
      <c r="P91" s="201"/>
      <c r="Q91" s="201"/>
      <c r="R91" s="201"/>
      <c r="S91" s="201"/>
      <c r="T91" s="201"/>
      <c r="U91" s="201"/>
      <c r="V91" s="201"/>
      <c r="W91" s="201"/>
      <c r="X91" s="201"/>
      <c r="Y91" s="201"/>
      <c r="Z91" s="201"/>
      <c r="AA91" s="201"/>
    </row>
    <row r="92">
      <c r="A92" s="212">
        <v>46010.0</v>
      </c>
      <c r="B92" s="210" t="s">
        <v>2951</v>
      </c>
      <c r="C92" s="210" t="s">
        <v>8586</v>
      </c>
      <c r="D92" s="210" t="s">
        <v>8596</v>
      </c>
      <c r="E92" s="210" t="s">
        <v>8588</v>
      </c>
      <c r="F92" s="210" t="s">
        <v>8598</v>
      </c>
      <c r="G92" s="210" t="s">
        <v>8599</v>
      </c>
      <c r="H92" s="209">
        <f>IF($A92="","",$A92 + IFERROR(VLOOKUP($D92,'Fertilizer Key'!$A:$D,3,FALSE),""))</f>
        <v>46017</v>
      </c>
      <c r="I92" s="209">
        <f>IF($A92="","",$A92 + IFERROR(VLOOKUP($D92,'Fertilizer Key'!$A:$D,4,FALSE),""))</f>
        <v>46024</v>
      </c>
      <c r="J92" s="201"/>
      <c r="K92" s="210" t="s">
        <v>8686</v>
      </c>
      <c r="L92" s="21" t="s">
        <v>22</v>
      </c>
      <c r="M92" s="201"/>
      <c r="N92" s="201"/>
      <c r="O92" s="201"/>
      <c r="P92" s="201"/>
      <c r="Q92" s="201"/>
      <c r="R92" s="201"/>
      <c r="S92" s="201"/>
      <c r="T92" s="201"/>
      <c r="U92" s="201"/>
      <c r="V92" s="201"/>
      <c r="W92" s="201"/>
      <c r="X92" s="201"/>
      <c r="Y92" s="201"/>
      <c r="Z92" s="201"/>
      <c r="AA92" s="201"/>
    </row>
    <row r="93">
      <c r="A93" s="212">
        <v>46010.0</v>
      </c>
      <c r="B93" s="210" t="s">
        <v>2388</v>
      </c>
      <c r="C93" s="210" t="s">
        <v>8586</v>
      </c>
      <c r="D93" s="210" t="s">
        <v>8596</v>
      </c>
      <c r="E93" s="210" t="s">
        <v>8588</v>
      </c>
      <c r="F93" s="210" t="s">
        <v>8598</v>
      </c>
      <c r="G93" s="210" t="s">
        <v>8599</v>
      </c>
      <c r="H93" s="209">
        <f>IF($A93="","",$A93 + IFERROR(VLOOKUP($D93,'Fertilizer Key'!$A:$D,3,FALSE),""))</f>
        <v>46017</v>
      </c>
      <c r="I93" s="209">
        <f>IF($A93="","",$A93 + IFERROR(VLOOKUP($D93,'Fertilizer Key'!$A:$D,4,FALSE),""))</f>
        <v>46024</v>
      </c>
      <c r="J93" s="201"/>
      <c r="K93" s="210" t="s">
        <v>8687</v>
      </c>
      <c r="L93" s="21" t="s">
        <v>22</v>
      </c>
      <c r="M93" s="201"/>
      <c r="N93" s="201"/>
      <c r="O93" s="201"/>
      <c r="P93" s="201"/>
      <c r="Q93" s="201"/>
      <c r="R93" s="201"/>
      <c r="S93" s="201"/>
      <c r="T93" s="201"/>
      <c r="U93" s="201"/>
      <c r="V93" s="201"/>
      <c r="W93" s="201"/>
      <c r="X93" s="201"/>
      <c r="Y93" s="201"/>
      <c r="Z93" s="201"/>
      <c r="AA93" s="201"/>
    </row>
    <row r="94">
      <c r="A94" s="212">
        <v>46010.0</v>
      </c>
      <c r="B94" s="210" t="s">
        <v>2748</v>
      </c>
      <c r="C94" s="210" t="s">
        <v>8586</v>
      </c>
      <c r="D94" s="210" t="s">
        <v>8596</v>
      </c>
      <c r="E94" s="210" t="s">
        <v>8588</v>
      </c>
      <c r="F94" s="210" t="s">
        <v>8598</v>
      </c>
      <c r="G94" s="210" t="s">
        <v>8599</v>
      </c>
      <c r="H94" s="209">
        <f>IF($A94="","",$A94 + IFERROR(VLOOKUP($D94,'Fertilizer Key'!$A:$D,3,FALSE),""))</f>
        <v>46017</v>
      </c>
      <c r="I94" s="209">
        <f>IF($A94="","",$A94 + IFERROR(VLOOKUP($D94,'Fertilizer Key'!$A:$D,4,FALSE),""))</f>
        <v>46024</v>
      </c>
      <c r="J94" s="201"/>
      <c r="K94" s="210" t="s">
        <v>8688</v>
      </c>
      <c r="L94" s="21" t="s">
        <v>22</v>
      </c>
      <c r="M94" s="201"/>
      <c r="N94" s="201"/>
      <c r="O94" s="201"/>
      <c r="P94" s="201"/>
      <c r="Q94" s="201"/>
      <c r="R94" s="201"/>
      <c r="S94" s="201"/>
      <c r="T94" s="201"/>
      <c r="U94" s="201"/>
      <c r="V94" s="201"/>
      <c r="W94" s="201"/>
      <c r="X94" s="201"/>
      <c r="Y94" s="201"/>
      <c r="Z94" s="201"/>
      <c r="AA94" s="201"/>
    </row>
    <row r="95">
      <c r="A95" s="212">
        <v>46010.0</v>
      </c>
      <c r="B95" s="210" t="s">
        <v>2463</v>
      </c>
      <c r="C95" s="210" t="s">
        <v>8586</v>
      </c>
      <c r="D95" s="210" t="s">
        <v>8596</v>
      </c>
      <c r="E95" s="210" t="s">
        <v>8588</v>
      </c>
      <c r="F95" s="210" t="s">
        <v>8598</v>
      </c>
      <c r="G95" s="210" t="s">
        <v>8599</v>
      </c>
      <c r="H95" s="209">
        <f>IF($A95="","",$A95 + IFERROR(VLOOKUP($D95,'Fertilizer Key'!$A:$D,3,FALSE),""))</f>
        <v>46017</v>
      </c>
      <c r="I95" s="209">
        <f>IF($A95="","",$A95 + IFERROR(VLOOKUP($D95,'Fertilizer Key'!$A:$D,4,FALSE),""))</f>
        <v>46024</v>
      </c>
      <c r="J95" s="201"/>
      <c r="K95" s="210" t="s">
        <v>8689</v>
      </c>
      <c r="L95" s="21" t="s">
        <v>22</v>
      </c>
      <c r="M95" s="201"/>
      <c r="N95" s="201"/>
      <c r="O95" s="201"/>
      <c r="P95" s="201"/>
      <c r="Q95" s="201"/>
      <c r="R95" s="201"/>
      <c r="S95" s="201"/>
      <c r="T95" s="201"/>
      <c r="U95" s="201"/>
      <c r="V95" s="201"/>
      <c r="W95" s="201"/>
      <c r="X95" s="201"/>
      <c r="Y95" s="201"/>
      <c r="Z95" s="201"/>
      <c r="AA95" s="201"/>
    </row>
    <row r="96">
      <c r="A96" s="212">
        <v>46010.0</v>
      </c>
      <c r="B96" s="210" t="s">
        <v>2386</v>
      </c>
      <c r="C96" s="210" t="s">
        <v>8586</v>
      </c>
      <c r="D96" s="210" t="s">
        <v>8596</v>
      </c>
      <c r="E96" s="210" t="s">
        <v>8588</v>
      </c>
      <c r="F96" s="210" t="s">
        <v>8598</v>
      </c>
      <c r="G96" s="210" t="s">
        <v>8599</v>
      </c>
      <c r="H96" s="209">
        <f>IF($A96="","",$A96 + IFERROR(VLOOKUP($D96,'Fertilizer Key'!$A:$D,3,FALSE),""))</f>
        <v>46017</v>
      </c>
      <c r="I96" s="209">
        <f>IF($A96="","",$A96 + IFERROR(VLOOKUP($D96,'Fertilizer Key'!$A:$D,4,FALSE),""))</f>
        <v>46024</v>
      </c>
      <c r="J96" s="201"/>
      <c r="K96" s="210" t="s">
        <v>8690</v>
      </c>
      <c r="L96" s="21" t="s">
        <v>22</v>
      </c>
      <c r="M96" s="201"/>
      <c r="N96" s="201"/>
      <c r="O96" s="201"/>
      <c r="P96" s="201"/>
      <c r="Q96" s="201"/>
      <c r="R96" s="201"/>
      <c r="S96" s="201"/>
      <c r="T96" s="201"/>
      <c r="U96" s="201"/>
      <c r="V96" s="201"/>
      <c r="W96" s="201"/>
      <c r="X96" s="201"/>
      <c r="Y96" s="201"/>
      <c r="Z96" s="201"/>
      <c r="AA96" s="201"/>
    </row>
    <row r="97">
      <c r="A97" s="212">
        <v>46010.0</v>
      </c>
      <c r="B97" s="210" t="s">
        <v>2461</v>
      </c>
      <c r="C97" s="210" t="s">
        <v>8586</v>
      </c>
      <c r="D97" s="210" t="s">
        <v>8596</v>
      </c>
      <c r="E97" s="210" t="s">
        <v>8588</v>
      </c>
      <c r="F97" s="210" t="s">
        <v>8598</v>
      </c>
      <c r="G97" s="210" t="s">
        <v>8599</v>
      </c>
      <c r="H97" s="209">
        <f>IF($A97="","",$A97 + IFERROR(VLOOKUP($D97,'Fertilizer Key'!$A:$D,3,FALSE),""))</f>
        <v>46017</v>
      </c>
      <c r="I97" s="209">
        <f>IF($A97="","",$A97 + IFERROR(VLOOKUP($D97,'Fertilizer Key'!$A:$D,4,FALSE),""))</f>
        <v>46024</v>
      </c>
      <c r="J97" s="201"/>
      <c r="K97" s="210" t="s">
        <v>8691</v>
      </c>
      <c r="L97" s="21" t="s">
        <v>22</v>
      </c>
      <c r="M97" s="201"/>
      <c r="N97" s="201"/>
      <c r="O97" s="201"/>
      <c r="P97" s="201"/>
      <c r="Q97" s="201"/>
      <c r="R97" s="201"/>
      <c r="S97" s="201"/>
      <c r="T97" s="201"/>
      <c r="U97" s="201"/>
      <c r="V97" s="201"/>
      <c r="W97" s="201"/>
      <c r="X97" s="201"/>
      <c r="Y97" s="201"/>
      <c r="Z97" s="201"/>
      <c r="AA97" s="201"/>
    </row>
    <row r="98">
      <c r="A98" s="212">
        <v>46010.0</v>
      </c>
      <c r="B98" s="210" t="s">
        <v>2843</v>
      </c>
      <c r="C98" s="210" t="s">
        <v>8586</v>
      </c>
      <c r="D98" s="210" t="s">
        <v>8596</v>
      </c>
      <c r="E98" s="210" t="s">
        <v>8588</v>
      </c>
      <c r="F98" s="210" t="s">
        <v>8598</v>
      </c>
      <c r="G98" s="210" t="s">
        <v>8599</v>
      </c>
      <c r="H98" s="209">
        <f>IF($A98="","",$A98 + IFERROR(VLOOKUP($D98,'Fertilizer Key'!$A:$D,3,FALSE),""))</f>
        <v>46017</v>
      </c>
      <c r="I98" s="209">
        <f>IF($A98="","",$A98 + IFERROR(VLOOKUP($D98,'Fertilizer Key'!$A:$D,4,FALSE),""))</f>
        <v>46024</v>
      </c>
      <c r="J98" s="201"/>
      <c r="K98" s="210" t="s">
        <v>8692</v>
      </c>
      <c r="L98" s="21" t="s">
        <v>22</v>
      </c>
      <c r="M98" s="201"/>
      <c r="N98" s="201"/>
      <c r="O98" s="201"/>
      <c r="P98" s="201"/>
      <c r="Q98" s="201"/>
      <c r="R98" s="201"/>
      <c r="S98" s="201"/>
      <c r="T98" s="201"/>
      <c r="U98" s="201"/>
      <c r="V98" s="201"/>
      <c r="W98" s="201"/>
      <c r="X98" s="201"/>
      <c r="Y98" s="201"/>
      <c r="Z98" s="201"/>
      <c r="AA98" s="201"/>
    </row>
    <row r="99">
      <c r="A99" s="212">
        <v>46010.0</v>
      </c>
      <c r="B99" s="210" t="s">
        <v>2457</v>
      </c>
      <c r="C99" s="210" t="s">
        <v>8586</v>
      </c>
      <c r="D99" s="210" t="s">
        <v>8596</v>
      </c>
      <c r="E99" s="210" t="s">
        <v>8588</v>
      </c>
      <c r="F99" s="210" t="s">
        <v>8598</v>
      </c>
      <c r="G99" s="210" t="s">
        <v>8599</v>
      </c>
      <c r="H99" s="209">
        <f>IF($A99="","",$A99 + IFERROR(VLOOKUP($D99,'Fertilizer Key'!$A:$D,3,FALSE),""))</f>
        <v>46017</v>
      </c>
      <c r="I99" s="209">
        <f>IF($A99="","",$A99 + IFERROR(VLOOKUP($D99,'Fertilizer Key'!$A:$D,4,FALSE),""))</f>
        <v>46024</v>
      </c>
      <c r="J99" s="201"/>
      <c r="K99" s="210" t="s">
        <v>8693</v>
      </c>
      <c r="L99" s="21" t="s">
        <v>22</v>
      </c>
      <c r="M99" s="201"/>
      <c r="N99" s="201"/>
      <c r="O99" s="201"/>
      <c r="P99" s="201"/>
      <c r="Q99" s="201"/>
      <c r="R99" s="201"/>
      <c r="S99" s="201"/>
      <c r="T99" s="201"/>
      <c r="U99" s="201"/>
      <c r="V99" s="201"/>
      <c r="W99" s="201"/>
      <c r="X99" s="201"/>
      <c r="Y99" s="201"/>
      <c r="Z99" s="201"/>
      <c r="AA99" s="201"/>
    </row>
    <row r="100">
      <c r="A100" s="212">
        <v>46010.0</v>
      </c>
      <c r="B100" s="210" t="s">
        <v>2454</v>
      </c>
      <c r="C100" s="210" t="s">
        <v>8586</v>
      </c>
      <c r="D100" s="210" t="s">
        <v>8596</v>
      </c>
      <c r="E100" s="210" t="s">
        <v>8588</v>
      </c>
      <c r="F100" s="210" t="s">
        <v>8598</v>
      </c>
      <c r="G100" s="210" t="s">
        <v>8599</v>
      </c>
      <c r="H100" s="209">
        <f>IF($A100="","",$A100 + IFERROR(VLOOKUP($D100,'Fertilizer Key'!$A:$D,3,FALSE),""))</f>
        <v>46017</v>
      </c>
      <c r="I100" s="209">
        <f>IF($A100="","",$A100 + IFERROR(VLOOKUP($D100,'Fertilizer Key'!$A:$D,4,FALSE),""))</f>
        <v>46024</v>
      </c>
      <c r="J100" s="201"/>
      <c r="K100" s="210" t="s">
        <v>8694</v>
      </c>
      <c r="L100" s="21" t="s">
        <v>22</v>
      </c>
      <c r="M100" s="201"/>
      <c r="N100" s="201"/>
      <c r="O100" s="201"/>
      <c r="P100" s="201"/>
      <c r="Q100" s="201"/>
      <c r="R100" s="201"/>
      <c r="S100" s="201"/>
      <c r="T100" s="201"/>
      <c r="U100" s="201"/>
      <c r="V100" s="201"/>
      <c r="W100" s="201"/>
      <c r="X100" s="201"/>
      <c r="Y100" s="201"/>
      <c r="Z100" s="201"/>
      <c r="AA100" s="201"/>
    </row>
    <row r="101">
      <c r="A101" s="212">
        <v>46010.0</v>
      </c>
      <c r="B101" s="210" t="s">
        <v>2841</v>
      </c>
      <c r="C101" s="210" t="s">
        <v>8586</v>
      </c>
      <c r="D101" s="210" t="s">
        <v>8596</v>
      </c>
      <c r="E101" s="210" t="s">
        <v>8588</v>
      </c>
      <c r="F101" s="210" t="s">
        <v>8598</v>
      </c>
      <c r="G101" s="210" t="s">
        <v>8599</v>
      </c>
      <c r="H101" s="209">
        <f>IF($A101="","",$A101 + IFERROR(VLOOKUP($D101,'Fertilizer Key'!$A:$D,3,FALSE),""))</f>
        <v>46017</v>
      </c>
      <c r="I101" s="209">
        <f>IF($A101="","",$A101 + IFERROR(VLOOKUP($D101,'Fertilizer Key'!$A:$D,4,FALSE),""))</f>
        <v>46024</v>
      </c>
      <c r="J101" s="201"/>
      <c r="K101" s="210" t="s">
        <v>8695</v>
      </c>
      <c r="L101" s="21" t="s">
        <v>22</v>
      </c>
      <c r="M101" s="201"/>
      <c r="N101" s="201"/>
      <c r="O101" s="201"/>
      <c r="P101" s="201"/>
      <c r="Q101" s="201"/>
      <c r="R101" s="201"/>
      <c r="S101" s="201"/>
      <c r="T101" s="201"/>
      <c r="U101" s="201"/>
      <c r="V101" s="201"/>
      <c r="W101" s="201"/>
      <c r="X101" s="201"/>
      <c r="Y101" s="201"/>
      <c r="Z101" s="201"/>
      <c r="AA101" s="201"/>
    </row>
    <row r="102">
      <c r="A102" s="212">
        <v>46010.0</v>
      </c>
      <c r="B102" s="210" t="s">
        <v>2414</v>
      </c>
      <c r="C102" s="210" t="s">
        <v>8586</v>
      </c>
      <c r="D102" s="210" t="s">
        <v>8596</v>
      </c>
      <c r="E102" s="210" t="s">
        <v>8588</v>
      </c>
      <c r="F102" s="210" t="s">
        <v>8598</v>
      </c>
      <c r="G102" s="210" t="s">
        <v>8599</v>
      </c>
      <c r="H102" s="209">
        <f>IF($A102="","",$A102 + IFERROR(VLOOKUP($D102,'Fertilizer Key'!$A:$D,3,FALSE),""))</f>
        <v>46017</v>
      </c>
      <c r="I102" s="209">
        <f>IF($A102="","",$A102 + IFERROR(VLOOKUP($D102,'Fertilizer Key'!$A:$D,4,FALSE),""))</f>
        <v>46024</v>
      </c>
      <c r="J102" s="201"/>
      <c r="K102" s="210" t="s">
        <v>8696</v>
      </c>
      <c r="L102" s="21" t="s">
        <v>22</v>
      </c>
      <c r="M102" s="201"/>
      <c r="N102" s="201"/>
      <c r="O102" s="201"/>
      <c r="P102" s="201"/>
      <c r="Q102" s="201"/>
      <c r="R102" s="201"/>
      <c r="S102" s="201"/>
      <c r="T102" s="201"/>
      <c r="U102" s="201"/>
      <c r="V102" s="201"/>
      <c r="W102" s="201"/>
      <c r="X102" s="201"/>
      <c r="Y102" s="201"/>
      <c r="Z102" s="201"/>
      <c r="AA102" s="201"/>
    </row>
    <row r="103">
      <c r="A103" s="212">
        <v>46010.0</v>
      </c>
      <c r="B103" s="210" t="s">
        <v>2839</v>
      </c>
      <c r="C103" s="210" t="s">
        <v>8586</v>
      </c>
      <c r="D103" s="210" t="s">
        <v>8596</v>
      </c>
      <c r="E103" s="210" t="s">
        <v>8588</v>
      </c>
      <c r="F103" s="210" t="s">
        <v>8598</v>
      </c>
      <c r="G103" s="210" t="s">
        <v>8599</v>
      </c>
      <c r="H103" s="209">
        <f>IF($A103="","",$A103 + IFERROR(VLOOKUP($D103,'Fertilizer Key'!$A:$D,3,FALSE),""))</f>
        <v>46017</v>
      </c>
      <c r="I103" s="209">
        <f>IF($A103="","",$A103 + IFERROR(VLOOKUP($D103,'Fertilizer Key'!$A:$D,4,FALSE),""))</f>
        <v>46024</v>
      </c>
      <c r="J103" s="201"/>
      <c r="K103" s="210" t="s">
        <v>8697</v>
      </c>
      <c r="L103" s="21" t="s">
        <v>22</v>
      </c>
      <c r="M103" s="201"/>
      <c r="N103" s="201"/>
      <c r="O103" s="201"/>
      <c r="P103" s="201"/>
      <c r="Q103" s="201"/>
      <c r="R103" s="201"/>
      <c r="S103" s="201"/>
      <c r="T103" s="201"/>
      <c r="U103" s="201"/>
      <c r="V103" s="201"/>
      <c r="W103" s="201"/>
      <c r="X103" s="201"/>
      <c r="Y103" s="201"/>
      <c r="Z103" s="201"/>
      <c r="AA103" s="201"/>
    </row>
    <row r="104">
      <c r="A104" s="212">
        <v>46010.0</v>
      </c>
      <c r="B104" s="210" t="s">
        <v>2659</v>
      </c>
      <c r="C104" s="210" t="s">
        <v>8586</v>
      </c>
      <c r="D104" s="210" t="s">
        <v>8596</v>
      </c>
      <c r="E104" s="210" t="s">
        <v>8588</v>
      </c>
      <c r="F104" s="210" t="s">
        <v>8598</v>
      </c>
      <c r="G104" s="210" t="s">
        <v>8599</v>
      </c>
      <c r="H104" s="209">
        <f>IF($A104="","",$A104 + IFERROR(VLOOKUP($D104,'Fertilizer Key'!$A:$D,3,FALSE),""))</f>
        <v>46017</v>
      </c>
      <c r="I104" s="209">
        <f>IF($A104="","",$A104 + IFERROR(VLOOKUP($D104,'Fertilizer Key'!$A:$D,4,FALSE),""))</f>
        <v>46024</v>
      </c>
      <c r="J104" s="201"/>
      <c r="K104" s="210" t="s">
        <v>8698</v>
      </c>
      <c r="L104" s="21" t="s">
        <v>22</v>
      </c>
      <c r="M104" s="201"/>
      <c r="N104" s="201"/>
      <c r="O104" s="201"/>
      <c r="P104" s="201"/>
      <c r="Q104" s="201"/>
      <c r="R104" s="201"/>
      <c r="S104" s="201"/>
      <c r="T104" s="201"/>
      <c r="U104" s="201"/>
      <c r="V104" s="201"/>
      <c r="W104" s="201"/>
      <c r="X104" s="201"/>
      <c r="Y104" s="201"/>
      <c r="Z104" s="201"/>
      <c r="AA104" s="201"/>
    </row>
    <row r="105">
      <c r="A105" s="212">
        <v>46010.0</v>
      </c>
      <c r="B105" s="210" t="s">
        <v>2448</v>
      </c>
      <c r="C105" s="210" t="s">
        <v>8586</v>
      </c>
      <c r="D105" s="210" t="s">
        <v>8596</v>
      </c>
      <c r="E105" s="210" t="s">
        <v>8588</v>
      </c>
      <c r="F105" s="210" t="s">
        <v>8598</v>
      </c>
      <c r="G105" s="210" t="s">
        <v>8599</v>
      </c>
      <c r="H105" s="209">
        <f>IF($A105="","",$A105 + IFERROR(VLOOKUP($D105,'Fertilizer Key'!$A:$D,3,FALSE),""))</f>
        <v>46017</v>
      </c>
      <c r="I105" s="209">
        <f>IF($A105="","",$A105 + IFERROR(VLOOKUP($D105,'Fertilizer Key'!$A:$D,4,FALSE),""))</f>
        <v>46024</v>
      </c>
      <c r="J105" s="201"/>
      <c r="K105" s="210" t="s">
        <v>8699</v>
      </c>
      <c r="L105" s="21" t="s">
        <v>22</v>
      </c>
      <c r="M105" s="201"/>
      <c r="N105" s="201"/>
      <c r="O105" s="201"/>
      <c r="P105" s="201"/>
      <c r="Q105" s="201"/>
      <c r="R105" s="201"/>
      <c r="S105" s="201"/>
      <c r="T105" s="201"/>
      <c r="U105" s="201"/>
      <c r="V105" s="201"/>
      <c r="W105" s="201"/>
      <c r="X105" s="201"/>
      <c r="Y105" s="201"/>
      <c r="Z105" s="201"/>
      <c r="AA105" s="201"/>
    </row>
    <row r="106">
      <c r="A106" s="212">
        <v>46010.0</v>
      </c>
      <c r="B106" s="210" t="s">
        <v>3137</v>
      </c>
      <c r="C106" s="210" t="s">
        <v>8586</v>
      </c>
      <c r="D106" s="210" t="s">
        <v>8596</v>
      </c>
      <c r="E106" s="210" t="s">
        <v>8588</v>
      </c>
      <c r="F106" s="210" t="s">
        <v>8598</v>
      </c>
      <c r="G106" s="210" t="s">
        <v>8599</v>
      </c>
      <c r="H106" s="209">
        <f>IF($A106="","",$A106 + IFERROR(VLOOKUP($D106,'Fertilizer Key'!$A:$D,3,FALSE),""))</f>
        <v>46017</v>
      </c>
      <c r="I106" s="209">
        <f>IF($A106="","",$A106 + IFERROR(VLOOKUP($D106,'Fertilizer Key'!$A:$D,4,FALSE),""))</f>
        <v>46024</v>
      </c>
      <c r="J106" s="201"/>
      <c r="K106" s="210" t="s">
        <v>8700</v>
      </c>
      <c r="L106" s="21" t="s">
        <v>22</v>
      </c>
      <c r="M106" s="201"/>
      <c r="N106" s="201"/>
      <c r="O106" s="201"/>
      <c r="P106" s="201"/>
      <c r="Q106" s="201"/>
      <c r="R106" s="201"/>
      <c r="S106" s="201"/>
      <c r="T106" s="201"/>
      <c r="U106" s="201"/>
      <c r="V106" s="201"/>
      <c r="W106" s="201"/>
      <c r="X106" s="201"/>
      <c r="Y106" s="201"/>
      <c r="Z106" s="201"/>
      <c r="AA106" s="201"/>
    </row>
    <row r="107">
      <c r="A107" s="212">
        <v>46010.0</v>
      </c>
      <c r="B107" s="210" t="s">
        <v>2194</v>
      </c>
      <c r="C107" s="210" t="s">
        <v>5967</v>
      </c>
      <c r="D107" s="210" t="s">
        <v>8596</v>
      </c>
      <c r="E107" s="210" t="s">
        <v>8588</v>
      </c>
      <c r="F107" s="210" t="s">
        <v>8598</v>
      </c>
      <c r="G107" s="210" t="s">
        <v>8599</v>
      </c>
      <c r="H107" s="209">
        <f>IF($A107="","",$A107 + IFERROR(VLOOKUP($D107,'Fertilizer Key'!$A:$D,3,FALSE),""))</f>
        <v>46017</v>
      </c>
      <c r="I107" s="209">
        <f>IF($A107="","",$A107 + IFERROR(VLOOKUP($D107,'Fertilizer Key'!$A:$D,4,FALSE),""))</f>
        <v>46024</v>
      </c>
      <c r="J107" s="201"/>
      <c r="K107" s="210" t="s">
        <v>8701</v>
      </c>
      <c r="L107" s="21" t="s">
        <v>22</v>
      </c>
      <c r="M107" s="201"/>
      <c r="N107" s="201"/>
      <c r="O107" s="201"/>
      <c r="P107" s="201"/>
      <c r="Q107" s="201"/>
      <c r="R107" s="201"/>
      <c r="S107" s="201"/>
      <c r="T107" s="201"/>
      <c r="U107" s="201"/>
      <c r="V107" s="201"/>
      <c r="W107" s="201"/>
      <c r="X107" s="201"/>
      <c r="Y107" s="201"/>
      <c r="Z107" s="201"/>
      <c r="AA107" s="201"/>
    </row>
    <row r="108">
      <c r="A108" s="212">
        <v>46010.0</v>
      </c>
      <c r="B108" s="210" t="s">
        <v>2196</v>
      </c>
      <c r="C108" s="210" t="s">
        <v>5967</v>
      </c>
      <c r="D108" s="210" t="s">
        <v>8596</v>
      </c>
      <c r="E108" s="210" t="s">
        <v>8588</v>
      </c>
      <c r="F108" s="210" t="s">
        <v>8598</v>
      </c>
      <c r="G108" s="210" t="s">
        <v>8599</v>
      </c>
      <c r="H108" s="209">
        <f>IF($A108="","",$A108 + IFERROR(VLOOKUP($D108,'Fertilizer Key'!$A:$D,3,FALSE),""))</f>
        <v>46017</v>
      </c>
      <c r="I108" s="209">
        <f>IF($A108="","",$A108 + IFERROR(VLOOKUP($D108,'Fertilizer Key'!$A:$D,4,FALSE),""))</f>
        <v>46024</v>
      </c>
      <c r="J108" s="201"/>
      <c r="K108" s="210" t="s">
        <v>8702</v>
      </c>
      <c r="L108" s="21" t="s">
        <v>22</v>
      </c>
      <c r="M108" s="201"/>
      <c r="N108" s="201"/>
      <c r="O108" s="201"/>
      <c r="P108" s="201"/>
      <c r="Q108" s="201"/>
      <c r="R108" s="201"/>
      <c r="S108" s="201"/>
      <c r="T108" s="201"/>
      <c r="U108" s="201"/>
      <c r="V108" s="201"/>
      <c r="W108" s="201"/>
      <c r="X108" s="201"/>
      <c r="Y108" s="201"/>
      <c r="Z108" s="201"/>
      <c r="AA108" s="201"/>
    </row>
    <row r="109">
      <c r="A109" s="212">
        <v>46010.0</v>
      </c>
      <c r="B109" s="210" t="s">
        <v>1833</v>
      </c>
      <c r="C109" s="210" t="s">
        <v>8586</v>
      </c>
      <c r="D109" s="210" t="s">
        <v>8596</v>
      </c>
      <c r="E109" s="210" t="s">
        <v>8588</v>
      </c>
      <c r="F109" s="210" t="s">
        <v>8598</v>
      </c>
      <c r="G109" s="210" t="s">
        <v>8599</v>
      </c>
      <c r="H109" s="209">
        <f>IF($A109="","",$A109 + IFERROR(VLOOKUP($D109,'Fertilizer Key'!$A:$D,3,FALSE),""))</f>
        <v>46017</v>
      </c>
      <c r="I109" s="209">
        <f>IF($A109="","",$A109 + IFERROR(VLOOKUP($D109,'Fertilizer Key'!$A:$D,4,FALSE),""))</f>
        <v>46024</v>
      </c>
      <c r="J109" s="201"/>
      <c r="K109" s="210" t="s">
        <v>8703</v>
      </c>
      <c r="L109" s="21" t="s">
        <v>22</v>
      </c>
      <c r="M109" s="201"/>
      <c r="N109" s="201"/>
      <c r="O109" s="201"/>
      <c r="P109" s="201"/>
      <c r="Q109" s="201"/>
      <c r="R109" s="201"/>
      <c r="S109" s="201"/>
      <c r="T109" s="201"/>
      <c r="U109" s="201"/>
      <c r="V109" s="201"/>
      <c r="W109" s="201"/>
      <c r="X109" s="201"/>
      <c r="Y109" s="201"/>
      <c r="Z109" s="201"/>
      <c r="AA109" s="201"/>
    </row>
    <row r="110">
      <c r="A110" s="212">
        <v>46010.0</v>
      </c>
      <c r="B110" s="210" t="s">
        <v>1830</v>
      </c>
      <c r="C110" s="210" t="s">
        <v>8586</v>
      </c>
      <c r="D110" s="210" t="s">
        <v>8596</v>
      </c>
      <c r="E110" s="210" t="s">
        <v>8588</v>
      </c>
      <c r="F110" s="210" t="s">
        <v>8598</v>
      </c>
      <c r="G110" s="210" t="s">
        <v>8599</v>
      </c>
      <c r="H110" s="209">
        <f>IF($A110="","",$A110 + IFERROR(VLOOKUP($D110,'Fertilizer Key'!$A:$D,3,FALSE),""))</f>
        <v>46017</v>
      </c>
      <c r="I110" s="209">
        <f>IF($A110="","",$A110 + IFERROR(VLOOKUP($D110,'Fertilizer Key'!$A:$D,4,FALSE),""))</f>
        <v>46024</v>
      </c>
      <c r="J110" s="201"/>
      <c r="K110" s="210" t="s">
        <v>8704</v>
      </c>
      <c r="L110" s="21" t="s">
        <v>22</v>
      </c>
      <c r="M110" s="201"/>
      <c r="N110" s="201"/>
      <c r="O110" s="201"/>
      <c r="P110" s="201"/>
      <c r="Q110" s="201"/>
      <c r="R110" s="201"/>
      <c r="S110" s="201"/>
      <c r="T110" s="201"/>
      <c r="U110" s="201"/>
      <c r="V110" s="201"/>
      <c r="W110" s="201"/>
      <c r="X110" s="201"/>
      <c r="Y110" s="201"/>
      <c r="Z110" s="201"/>
      <c r="AA110" s="201"/>
    </row>
    <row r="111">
      <c r="A111" s="212">
        <v>46010.0</v>
      </c>
      <c r="B111" s="210" t="s">
        <v>2799</v>
      </c>
      <c r="C111" s="210" t="s">
        <v>8586</v>
      </c>
      <c r="D111" s="210" t="s">
        <v>8596</v>
      </c>
      <c r="E111" s="210" t="s">
        <v>8588</v>
      </c>
      <c r="F111" s="210" t="s">
        <v>8598</v>
      </c>
      <c r="G111" s="210" t="s">
        <v>8599</v>
      </c>
      <c r="H111" s="209">
        <f>IF($A111="","",$A111 + IFERROR(VLOOKUP($D111,'Fertilizer Key'!$A:$D,3,FALSE),""))</f>
        <v>46017</v>
      </c>
      <c r="I111" s="209">
        <f>IF($A111="","",$A111 + IFERROR(VLOOKUP($D111,'Fertilizer Key'!$A:$D,4,FALSE),""))</f>
        <v>46024</v>
      </c>
      <c r="J111" s="201"/>
      <c r="K111" s="210" t="s">
        <v>8705</v>
      </c>
      <c r="L111" s="21" t="s">
        <v>22</v>
      </c>
      <c r="M111" s="201"/>
      <c r="N111" s="201"/>
      <c r="O111" s="201"/>
      <c r="P111" s="201"/>
      <c r="Q111" s="201"/>
      <c r="R111" s="201"/>
      <c r="S111" s="201"/>
      <c r="T111" s="201"/>
      <c r="U111" s="201"/>
      <c r="V111" s="201"/>
      <c r="W111" s="201"/>
      <c r="X111" s="201"/>
      <c r="Y111" s="201"/>
      <c r="Z111" s="201"/>
      <c r="AA111" s="201"/>
    </row>
    <row r="112">
      <c r="A112" s="212">
        <v>46011.0</v>
      </c>
      <c r="B112" s="210" t="s">
        <v>2266</v>
      </c>
      <c r="C112" s="210" t="s">
        <v>8586</v>
      </c>
      <c r="D112" s="210" t="s">
        <v>8596</v>
      </c>
      <c r="E112" s="210" t="s">
        <v>8611</v>
      </c>
      <c r="F112" s="210" t="s">
        <v>8598</v>
      </c>
      <c r="G112" s="210" t="s">
        <v>8599</v>
      </c>
      <c r="H112" s="209">
        <f>IF($A112="","",$A112 + IFERROR(VLOOKUP($D112,'Fertilizer Key'!$A:$D,3,FALSE),""))</f>
        <v>46018</v>
      </c>
      <c r="I112" s="209">
        <f>IF($A112="","",$A112 + IFERROR(VLOOKUP($D112,'Fertilizer Key'!$A:$D,4,FALSE),""))</f>
        <v>46025</v>
      </c>
      <c r="J112" s="201"/>
      <c r="K112" s="210" t="s">
        <v>8706</v>
      </c>
      <c r="L112" s="21" t="s">
        <v>22</v>
      </c>
      <c r="M112" s="201"/>
      <c r="N112" s="201"/>
      <c r="O112" s="201"/>
      <c r="P112" s="201"/>
      <c r="Q112" s="201"/>
      <c r="R112" s="201"/>
      <c r="S112" s="201"/>
      <c r="T112" s="201"/>
      <c r="U112" s="201"/>
      <c r="V112" s="201"/>
      <c r="W112" s="201"/>
      <c r="X112" s="201"/>
      <c r="Y112" s="201"/>
      <c r="Z112" s="201"/>
      <c r="AA112" s="201"/>
    </row>
    <row r="113">
      <c r="A113" s="212">
        <v>46011.0</v>
      </c>
      <c r="B113" s="210" t="s">
        <v>2678</v>
      </c>
      <c r="C113" s="210" t="s">
        <v>5956</v>
      </c>
      <c r="D113" s="210" t="s">
        <v>8596</v>
      </c>
      <c r="E113" s="210" t="s">
        <v>8707</v>
      </c>
      <c r="F113" s="210" t="s">
        <v>8598</v>
      </c>
      <c r="G113" s="210" t="s">
        <v>8599</v>
      </c>
      <c r="H113" s="209">
        <f>IF($A113="","",$A113 + IFERROR(VLOOKUP($D113,'Fertilizer Key'!$A:$D,3,FALSE),""))</f>
        <v>46018</v>
      </c>
      <c r="I113" s="209">
        <f>IF($A113="","",$A113 + IFERROR(VLOOKUP($D113,'Fertilizer Key'!$A:$D,4,FALSE),""))</f>
        <v>46025</v>
      </c>
      <c r="J113" s="201"/>
      <c r="K113" s="210" t="s">
        <v>8708</v>
      </c>
      <c r="L113" s="21" t="s">
        <v>22</v>
      </c>
      <c r="M113" s="201"/>
      <c r="N113" s="201"/>
      <c r="O113" s="201"/>
      <c r="P113" s="201"/>
      <c r="Q113" s="201"/>
      <c r="R113" s="201"/>
      <c r="S113" s="201"/>
      <c r="T113" s="201"/>
      <c r="U113" s="201"/>
      <c r="V113" s="201"/>
      <c r="W113" s="201"/>
      <c r="X113" s="201"/>
      <c r="Y113" s="201"/>
      <c r="Z113" s="201"/>
      <c r="AA113" s="201"/>
    </row>
    <row r="114">
      <c r="A114" s="212">
        <v>46011.0</v>
      </c>
      <c r="B114" s="210" t="s">
        <v>2683</v>
      </c>
      <c r="C114" s="210" t="s">
        <v>5956</v>
      </c>
      <c r="D114" s="210" t="s">
        <v>8596</v>
      </c>
      <c r="E114" s="210" t="s">
        <v>8707</v>
      </c>
      <c r="F114" s="210" t="s">
        <v>8598</v>
      </c>
      <c r="G114" s="210" t="s">
        <v>8599</v>
      </c>
      <c r="H114" s="209">
        <f>IF($A114="","",$A114 + IFERROR(VLOOKUP($D114,'Fertilizer Key'!$A:$D,3,FALSE),""))</f>
        <v>46018</v>
      </c>
      <c r="I114" s="209">
        <f>IF($A114="","",$A114 + IFERROR(VLOOKUP($D114,'Fertilizer Key'!$A:$D,4,FALSE),""))</f>
        <v>46025</v>
      </c>
      <c r="J114" s="201"/>
      <c r="K114" s="210" t="s">
        <v>8709</v>
      </c>
      <c r="L114" s="21" t="s">
        <v>22</v>
      </c>
      <c r="M114" s="201"/>
      <c r="N114" s="201"/>
      <c r="O114" s="201"/>
      <c r="P114" s="201"/>
      <c r="Q114" s="201"/>
      <c r="R114" s="201"/>
      <c r="S114" s="201"/>
      <c r="T114" s="201"/>
      <c r="U114" s="201"/>
      <c r="V114" s="201"/>
      <c r="W114" s="201"/>
      <c r="X114" s="201"/>
      <c r="Y114" s="201"/>
      <c r="Z114" s="201"/>
      <c r="AA114" s="201"/>
    </row>
    <row r="115">
      <c r="A115" s="212">
        <v>46011.0</v>
      </c>
      <c r="B115" s="210" t="s">
        <v>2845</v>
      </c>
      <c r="C115" s="210" t="s">
        <v>8586</v>
      </c>
      <c r="D115" s="210" t="s">
        <v>8596</v>
      </c>
      <c r="E115" s="210" t="s">
        <v>8611</v>
      </c>
      <c r="F115" s="210" t="s">
        <v>8598</v>
      </c>
      <c r="G115" s="210" t="s">
        <v>8599</v>
      </c>
      <c r="H115" s="209">
        <f>IF($A115="","",$A115 + IFERROR(VLOOKUP($D115,'Fertilizer Key'!$A:$D,3,FALSE),""))</f>
        <v>46018</v>
      </c>
      <c r="I115" s="209">
        <f>IF($A115="","",$A115 + IFERROR(VLOOKUP($D115,'Fertilizer Key'!$A:$D,4,FALSE),""))</f>
        <v>46025</v>
      </c>
      <c r="J115" s="201"/>
      <c r="K115" s="210" t="s">
        <v>8710</v>
      </c>
      <c r="L115" s="21" t="s">
        <v>22</v>
      </c>
      <c r="M115" s="201"/>
      <c r="N115" s="201"/>
      <c r="O115" s="201"/>
      <c r="P115" s="201"/>
      <c r="Q115" s="201"/>
      <c r="R115" s="201"/>
      <c r="S115" s="201"/>
      <c r="T115" s="201"/>
      <c r="U115" s="201"/>
      <c r="V115" s="201"/>
      <c r="W115" s="201"/>
      <c r="X115" s="201"/>
      <c r="Y115" s="201"/>
      <c r="Z115" s="201"/>
      <c r="AA115" s="201"/>
    </row>
    <row r="116">
      <c r="A116" s="212">
        <v>46011.0</v>
      </c>
      <c r="B116" s="210" t="s">
        <v>2891</v>
      </c>
      <c r="C116" s="210" t="s">
        <v>8586</v>
      </c>
      <c r="D116" s="210" t="s">
        <v>8596</v>
      </c>
      <c r="E116" s="210" t="s">
        <v>8611</v>
      </c>
      <c r="F116" s="210" t="s">
        <v>8598</v>
      </c>
      <c r="G116" s="210" t="s">
        <v>8599</v>
      </c>
      <c r="H116" s="209">
        <f>IF($A116="","",$A116 + IFERROR(VLOOKUP($D116,'Fertilizer Key'!$A:$D,3,FALSE),""))</f>
        <v>46018</v>
      </c>
      <c r="I116" s="209">
        <f>IF($A116="","",$A116 + IFERROR(VLOOKUP($D116,'Fertilizer Key'!$A:$D,4,FALSE),""))</f>
        <v>46025</v>
      </c>
      <c r="J116" s="201"/>
      <c r="K116" s="210" t="s">
        <v>8711</v>
      </c>
      <c r="L116" s="21" t="s">
        <v>22</v>
      </c>
      <c r="M116" s="201"/>
      <c r="N116" s="201"/>
      <c r="O116" s="201"/>
      <c r="P116" s="201"/>
      <c r="Q116" s="201"/>
      <c r="R116" s="201"/>
      <c r="S116" s="201"/>
      <c r="T116" s="201"/>
      <c r="U116" s="201"/>
      <c r="V116" s="201"/>
      <c r="W116" s="201"/>
      <c r="X116" s="201"/>
      <c r="Y116" s="201"/>
      <c r="Z116" s="201"/>
      <c r="AA116" s="201"/>
    </row>
    <row r="117">
      <c r="A117" s="212">
        <v>46011.0</v>
      </c>
      <c r="B117" s="210" t="s">
        <v>3435</v>
      </c>
      <c r="C117" s="210" t="s">
        <v>8586</v>
      </c>
      <c r="D117" s="210" t="s">
        <v>8596</v>
      </c>
      <c r="E117" s="210" t="s">
        <v>8611</v>
      </c>
      <c r="F117" s="210" t="s">
        <v>8598</v>
      </c>
      <c r="G117" s="210" t="s">
        <v>8599</v>
      </c>
      <c r="H117" s="209">
        <f>IF($A117="","",$A117 + IFERROR(VLOOKUP($D117,'Fertilizer Key'!$A:$D,3,FALSE),""))</f>
        <v>46018</v>
      </c>
      <c r="I117" s="209">
        <f>IF($A117="","",$A117 + IFERROR(VLOOKUP($D117,'Fertilizer Key'!$A:$D,4,FALSE),""))</f>
        <v>46025</v>
      </c>
      <c r="J117" s="201"/>
      <c r="K117" s="210" t="s">
        <v>8712</v>
      </c>
      <c r="L117" s="21" t="s">
        <v>22</v>
      </c>
      <c r="M117" s="201"/>
      <c r="N117" s="201"/>
      <c r="O117" s="201"/>
      <c r="P117" s="201"/>
      <c r="Q117" s="201"/>
      <c r="R117" s="201"/>
      <c r="S117" s="201"/>
      <c r="T117" s="201"/>
      <c r="U117" s="201"/>
      <c r="V117" s="201"/>
      <c r="W117" s="201"/>
      <c r="X117" s="201"/>
      <c r="Y117" s="201"/>
      <c r="Z117" s="201"/>
      <c r="AA117" s="201"/>
    </row>
    <row r="118">
      <c r="A118" s="212">
        <v>46011.0</v>
      </c>
      <c r="B118" s="210" t="s">
        <v>3514</v>
      </c>
      <c r="C118" s="210" t="s">
        <v>5970</v>
      </c>
      <c r="D118" s="210" t="s">
        <v>8596</v>
      </c>
      <c r="E118" s="210" t="s">
        <v>8611</v>
      </c>
      <c r="F118" s="210" t="s">
        <v>8598</v>
      </c>
      <c r="G118" s="210" t="s">
        <v>8599</v>
      </c>
      <c r="H118" s="209">
        <f>IF($A118="","",$A118 + IFERROR(VLOOKUP($D118,'Fertilizer Key'!$A:$D,3,FALSE),""))</f>
        <v>46018</v>
      </c>
      <c r="I118" s="209">
        <f>IF($A118="","",$A118 + IFERROR(VLOOKUP($D118,'Fertilizer Key'!$A:$D,4,FALSE),""))</f>
        <v>46025</v>
      </c>
      <c r="J118" s="201"/>
      <c r="K118" s="210" t="s">
        <v>8713</v>
      </c>
      <c r="L118" s="21" t="s">
        <v>22</v>
      </c>
      <c r="M118" s="201"/>
      <c r="N118" s="201"/>
      <c r="O118" s="201"/>
      <c r="P118" s="201"/>
      <c r="Q118" s="201"/>
      <c r="R118" s="201"/>
      <c r="S118" s="201"/>
      <c r="T118" s="201"/>
      <c r="U118" s="201"/>
      <c r="V118" s="201"/>
      <c r="W118" s="201"/>
      <c r="X118" s="201"/>
      <c r="Y118" s="201"/>
      <c r="Z118" s="201"/>
      <c r="AA118" s="201"/>
    </row>
    <row r="119">
      <c r="A119" s="212">
        <v>46012.0</v>
      </c>
      <c r="B119" s="210" t="s">
        <v>1774</v>
      </c>
      <c r="C119" s="210" t="s">
        <v>5956</v>
      </c>
      <c r="D119" s="210" t="s">
        <v>8596</v>
      </c>
      <c r="E119" s="210" t="s">
        <v>8707</v>
      </c>
      <c r="F119" s="210" t="s">
        <v>8598</v>
      </c>
      <c r="G119" s="210" t="s">
        <v>8599</v>
      </c>
      <c r="H119" s="209">
        <f>IF($A119="","",$A119 + IFERROR(VLOOKUP($D119,'Fertilizer Key'!$A:$D,3,FALSE),""))</f>
        <v>46019</v>
      </c>
      <c r="I119" s="209">
        <f>IF($A119="","",$A119 + IFERROR(VLOOKUP($D119,'Fertilizer Key'!$A:$D,4,FALSE),""))</f>
        <v>46026</v>
      </c>
      <c r="J119" s="201"/>
      <c r="K119" s="210" t="s">
        <v>8714</v>
      </c>
      <c r="L119" s="21" t="s">
        <v>22</v>
      </c>
      <c r="M119" s="201"/>
      <c r="N119" s="201"/>
      <c r="O119" s="201"/>
      <c r="P119" s="201"/>
      <c r="Q119" s="201"/>
      <c r="R119" s="201"/>
      <c r="S119" s="201"/>
      <c r="T119" s="201"/>
      <c r="U119" s="201"/>
      <c r="V119" s="201"/>
      <c r="W119" s="201"/>
      <c r="X119" s="201"/>
      <c r="Y119" s="201"/>
      <c r="Z119" s="201"/>
      <c r="AA119" s="201"/>
    </row>
    <row r="120">
      <c r="A120" s="212">
        <v>46012.0</v>
      </c>
      <c r="B120" s="210" t="s">
        <v>2503</v>
      </c>
      <c r="C120" s="210" t="s">
        <v>8586</v>
      </c>
      <c r="D120" s="210" t="s">
        <v>8596</v>
      </c>
      <c r="E120" s="210" t="s">
        <v>8611</v>
      </c>
      <c r="F120" s="210" t="s">
        <v>8598</v>
      </c>
      <c r="G120" s="210" t="s">
        <v>8599</v>
      </c>
      <c r="H120" s="209">
        <f>IF($A120="","",$A120 + IFERROR(VLOOKUP($D120,'Fertilizer Key'!$A:$D,3,FALSE),""))</f>
        <v>46019</v>
      </c>
      <c r="I120" s="209">
        <f>IF($A120="","",$A120 + IFERROR(VLOOKUP($D120,'Fertilizer Key'!$A:$D,4,FALSE),""))</f>
        <v>46026</v>
      </c>
      <c r="J120" s="201"/>
      <c r="K120" s="210" t="s">
        <v>8715</v>
      </c>
      <c r="L120" s="21" t="s">
        <v>22</v>
      </c>
      <c r="M120" s="201"/>
      <c r="N120" s="201"/>
      <c r="O120" s="201"/>
      <c r="P120" s="201"/>
      <c r="Q120" s="201"/>
      <c r="R120" s="201"/>
      <c r="S120" s="201"/>
      <c r="T120" s="201"/>
      <c r="U120" s="201"/>
      <c r="V120" s="201"/>
      <c r="W120" s="201"/>
      <c r="X120" s="201"/>
      <c r="Y120" s="201"/>
      <c r="Z120" s="201"/>
      <c r="AA120" s="201"/>
    </row>
    <row r="121">
      <c r="A121" s="212">
        <v>46012.0</v>
      </c>
      <c r="B121" s="210" t="s">
        <v>2304</v>
      </c>
      <c r="C121" s="210" t="s">
        <v>8586</v>
      </c>
      <c r="D121" s="210" t="s">
        <v>8596</v>
      </c>
      <c r="E121" s="210" t="s">
        <v>8611</v>
      </c>
      <c r="F121" s="210" t="s">
        <v>8598</v>
      </c>
      <c r="G121" s="210" t="s">
        <v>8599</v>
      </c>
      <c r="H121" s="209">
        <f>IF($A121="","",$A121 + IFERROR(VLOOKUP($D121,'Fertilizer Key'!$A:$D,3,FALSE),""))</f>
        <v>46019</v>
      </c>
      <c r="I121" s="209">
        <f>IF($A121="","",$A121 + IFERROR(VLOOKUP($D121,'Fertilizer Key'!$A:$D,4,FALSE),""))</f>
        <v>46026</v>
      </c>
      <c r="J121" s="201"/>
      <c r="K121" s="210" t="s">
        <v>8716</v>
      </c>
      <c r="L121" s="21" t="s">
        <v>22</v>
      </c>
      <c r="M121" s="201"/>
      <c r="N121" s="201"/>
      <c r="O121" s="201"/>
      <c r="P121" s="201"/>
      <c r="Q121" s="201"/>
      <c r="R121" s="201"/>
      <c r="S121" s="201"/>
      <c r="T121" s="201"/>
      <c r="U121" s="201"/>
      <c r="V121" s="201"/>
      <c r="W121" s="201"/>
      <c r="X121" s="201"/>
      <c r="Y121" s="201"/>
      <c r="Z121" s="201"/>
      <c r="AA121" s="201"/>
    </row>
    <row r="122">
      <c r="A122" s="212">
        <v>46012.0</v>
      </c>
      <c r="B122" s="210" t="s">
        <v>2465</v>
      </c>
      <c r="C122" s="210" t="s">
        <v>5970</v>
      </c>
      <c r="D122" s="210" t="s">
        <v>8596</v>
      </c>
      <c r="E122" s="210" t="s">
        <v>8611</v>
      </c>
      <c r="F122" s="210" t="s">
        <v>8598</v>
      </c>
      <c r="G122" s="210" t="s">
        <v>8599</v>
      </c>
      <c r="H122" s="209">
        <f>IF($A122="","",$A122 + IFERROR(VLOOKUP($D122,'Fertilizer Key'!$A:$D,3,FALSE),""))</f>
        <v>46019</v>
      </c>
      <c r="I122" s="209">
        <f>IF($A122="","",$A122 + IFERROR(VLOOKUP($D122,'Fertilizer Key'!$A:$D,4,FALSE),""))</f>
        <v>46026</v>
      </c>
      <c r="J122" s="201"/>
      <c r="K122" s="210" t="s">
        <v>8717</v>
      </c>
      <c r="L122" s="21" t="s">
        <v>22</v>
      </c>
      <c r="M122" s="201"/>
      <c r="N122" s="201"/>
      <c r="O122" s="201"/>
      <c r="P122" s="201"/>
      <c r="Q122" s="201"/>
      <c r="R122" s="201"/>
      <c r="S122" s="201"/>
      <c r="T122" s="201"/>
      <c r="U122" s="201"/>
      <c r="V122" s="201"/>
      <c r="W122" s="201"/>
      <c r="X122" s="201"/>
      <c r="Y122" s="201"/>
      <c r="Z122" s="201"/>
      <c r="AA122" s="201"/>
    </row>
    <row r="123">
      <c r="A123" s="212">
        <v>46012.0</v>
      </c>
      <c r="B123" s="210" t="s">
        <v>2467</v>
      </c>
      <c r="C123" s="210" t="s">
        <v>5970</v>
      </c>
      <c r="D123" s="210" t="s">
        <v>8596</v>
      </c>
      <c r="E123" s="210" t="s">
        <v>8611</v>
      </c>
      <c r="F123" s="210" t="s">
        <v>8598</v>
      </c>
      <c r="G123" s="210" t="s">
        <v>8599</v>
      </c>
      <c r="H123" s="209">
        <f>IF($A123="","",$A123 + IFERROR(VLOOKUP($D123,'Fertilizer Key'!$A:$D,3,FALSE),""))</f>
        <v>46019</v>
      </c>
      <c r="I123" s="209">
        <f>IF($A123="","",$A123 + IFERROR(VLOOKUP($D123,'Fertilizer Key'!$A:$D,4,FALSE),""))</f>
        <v>46026</v>
      </c>
      <c r="J123" s="201"/>
      <c r="K123" s="210" t="s">
        <v>8718</v>
      </c>
      <c r="L123" s="21" t="s">
        <v>22</v>
      </c>
      <c r="M123" s="201"/>
      <c r="N123" s="201"/>
      <c r="O123" s="201"/>
      <c r="P123" s="201"/>
      <c r="Q123" s="201"/>
      <c r="R123" s="201"/>
      <c r="S123" s="201"/>
      <c r="T123" s="201"/>
      <c r="U123" s="201"/>
      <c r="V123" s="201"/>
      <c r="W123" s="201"/>
      <c r="X123" s="201"/>
      <c r="Y123" s="201"/>
      <c r="Z123" s="201"/>
      <c r="AA123" s="201"/>
    </row>
    <row r="124">
      <c r="A124" s="212">
        <v>46012.0</v>
      </c>
      <c r="B124" s="210" t="s">
        <v>3066</v>
      </c>
      <c r="C124" s="210" t="s">
        <v>5970</v>
      </c>
      <c r="D124" s="210" t="s">
        <v>8596</v>
      </c>
      <c r="E124" s="210" t="s">
        <v>8611</v>
      </c>
      <c r="F124" s="210" t="s">
        <v>8598</v>
      </c>
      <c r="G124" s="210" t="s">
        <v>8599</v>
      </c>
      <c r="H124" s="209">
        <f>IF($A124="","",$A124 + IFERROR(VLOOKUP($D124,'Fertilizer Key'!$A:$D,3,FALSE),""))</f>
        <v>46019</v>
      </c>
      <c r="I124" s="209">
        <f>IF($A124="","",$A124 + IFERROR(VLOOKUP($D124,'Fertilizer Key'!$A:$D,4,FALSE),""))</f>
        <v>46026</v>
      </c>
      <c r="J124" s="201"/>
      <c r="K124" s="210" t="s">
        <v>8719</v>
      </c>
      <c r="L124" s="21" t="s">
        <v>22</v>
      </c>
      <c r="M124" s="201"/>
      <c r="N124" s="201"/>
      <c r="O124" s="201"/>
      <c r="P124" s="201"/>
      <c r="Q124" s="201"/>
      <c r="R124" s="201"/>
      <c r="S124" s="201"/>
      <c r="T124" s="201"/>
      <c r="U124" s="201"/>
      <c r="V124" s="201"/>
      <c r="W124" s="201"/>
      <c r="X124" s="201"/>
      <c r="Y124" s="201"/>
      <c r="Z124" s="201"/>
      <c r="AA124" s="201"/>
    </row>
    <row r="125">
      <c r="A125" s="212">
        <v>46102.0</v>
      </c>
      <c r="B125" s="210" t="s">
        <v>2752</v>
      </c>
      <c r="C125" s="210" t="s">
        <v>8720</v>
      </c>
      <c r="D125" s="210" t="s">
        <v>8596</v>
      </c>
      <c r="E125" s="210" t="s">
        <v>8597</v>
      </c>
      <c r="F125" s="210" t="s">
        <v>8598</v>
      </c>
      <c r="G125" s="210" t="s">
        <v>8599</v>
      </c>
      <c r="H125" s="209">
        <f>IF($A125="","",$A125 + IFERROR(VLOOKUP($D125,'Fertilizer Key'!$A:$D,3,FALSE),""))</f>
        <v>46109</v>
      </c>
      <c r="I125" s="209">
        <f>IF($A125="","",$A125 + IFERROR(VLOOKUP($D125,'Fertilizer Key'!$A:$D,4,FALSE),""))</f>
        <v>46116</v>
      </c>
      <c r="J125" s="201"/>
      <c r="K125" s="210" t="s">
        <v>8721</v>
      </c>
      <c r="L125" s="21" t="s">
        <v>22</v>
      </c>
      <c r="M125" s="201"/>
      <c r="N125" s="201"/>
      <c r="O125" s="201"/>
      <c r="P125" s="201"/>
      <c r="Q125" s="201"/>
      <c r="R125" s="201"/>
      <c r="S125" s="201"/>
      <c r="T125" s="201"/>
      <c r="U125" s="201"/>
      <c r="V125" s="201"/>
      <c r="W125" s="201"/>
      <c r="X125" s="201"/>
      <c r="Y125" s="201"/>
      <c r="Z125" s="201"/>
      <c r="AA125" s="201"/>
    </row>
    <row r="126">
      <c r="A126" s="212">
        <v>46102.0</v>
      </c>
      <c r="B126" s="210" t="s">
        <v>2697</v>
      </c>
      <c r="C126" s="210" t="s">
        <v>5956</v>
      </c>
      <c r="D126" s="210" t="s">
        <v>8596</v>
      </c>
      <c r="E126" s="210" t="s">
        <v>8597</v>
      </c>
      <c r="F126" s="210" t="s">
        <v>8598</v>
      </c>
      <c r="G126" s="210" t="s">
        <v>8599</v>
      </c>
      <c r="H126" s="209">
        <f>IF($A126="","",$A126 + IFERROR(VLOOKUP($D126,'Fertilizer Key'!$A:$D,3,FALSE),""))</f>
        <v>46109</v>
      </c>
      <c r="I126" s="209">
        <f>IF($A126="","",$A126 + IFERROR(VLOOKUP($D126,'Fertilizer Key'!$A:$D,4,FALSE),""))</f>
        <v>46116</v>
      </c>
      <c r="J126" s="201"/>
      <c r="K126" s="210" t="s">
        <v>8722</v>
      </c>
      <c r="L126" s="21" t="s">
        <v>22</v>
      </c>
      <c r="M126" s="201"/>
      <c r="N126" s="201"/>
      <c r="O126" s="201"/>
      <c r="P126" s="201"/>
      <c r="Q126" s="201"/>
      <c r="R126" s="201"/>
      <c r="S126" s="201"/>
      <c r="T126" s="201"/>
      <c r="U126" s="201"/>
      <c r="V126" s="201"/>
      <c r="W126" s="201"/>
      <c r="X126" s="201"/>
      <c r="Y126" s="201"/>
      <c r="Z126" s="201"/>
      <c r="AA126" s="201"/>
    </row>
    <row r="127">
      <c r="A127" s="212">
        <v>46102.0</v>
      </c>
      <c r="B127" s="210" t="s">
        <v>2793</v>
      </c>
      <c r="C127" s="210" t="s">
        <v>8720</v>
      </c>
      <c r="D127" s="210" t="s">
        <v>8596</v>
      </c>
      <c r="E127" s="210" t="s">
        <v>8597</v>
      </c>
      <c r="F127" s="210" t="s">
        <v>8598</v>
      </c>
      <c r="G127" s="210" t="s">
        <v>8599</v>
      </c>
      <c r="H127" s="209">
        <f>IF($A127="","",$A127 + IFERROR(VLOOKUP($D127,'Fertilizer Key'!$A:$D,3,FALSE),""))</f>
        <v>46109</v>
      </c>
      <c r="I127" s="209">
        <f>IF($A127="","",$A127 + IFERROR(VLOOKUP($D127,'Fertilizer Key'!$A:$D,4,FALSE),""))</f>
        <v>46116</v>
      </c>
      <c r="J127" s="201"/>
      <c r="K127" s="210" t="s">
        <v>8723</v>
      </c>
      <c r="L127" s="21" t="s">
        <v>22</v>
      </c>
      <c r="M127" s="201"/>
      <c r="N127" s="201"/>
      <c r="O127" s="201"/>
      <c r="P127" s="201"/>
      <c r="Q127" s="201"/>
      <c r="R127" s="201"/>
      <c r="S127" s="201"/>
      <c r="T127" s="201"/>
      <c r="U127" s="201"/>
      <c r="V127" s="201"/>
      <c r="W127" s="201"/>
      <c r="X127" s="201"/>
      <c r="Y127" s="201"/>
      <c r="Z127" s="201"/>
      <c r="AA127" s="201"/>
    </row>
    <row r="128">
      <c r="A128" s="212">
        <v>46102.0</v>
      </c>
      <c r="B128" s="210" t="s">
        <v>2695</v>
      </c>
      <c r="C128" s="210" t="s">
        <v>5956</v>
      </c>
      <c r="D128" s="210" t="s">
        <v>8596</v>
      </c>
      <c r="E128" s="210" t="s">
        <v>8597</v>
      </c>
      <c r="F128" s="210" t="s">
        <v>8598</v>
      </c>
      <c r="G128" s="210" t="s">
        <v>8599</v>
      </c>
      <c r="H128" s="209">
        <f>IF($A128="","",$A128 + IFERROR(VLOOKUP($D128,'Fertilizer Key'!$A:$D,3,FALSE),""))</f>
        <v>46109</v>
      </c>
      <c r="I128" s="209">
        <f>IF($A128="","",$A128 + IFERROR(VLOOKUP($D128,'Fertilizer Key'!$A:$D,4,FALSE),""))</f>
        <v>46116</v>
      </c>
      <c r="J128" s="201"/>
      <c r="K128" s="210" t="s">
        <v>8724</v>
      </c>
      <c r="L128" s="21" t="s">
        <v>22</v>
      </c>
      <c r="M128" s="201"/>
      <c r="N128" s="201"/>
      <c r="O128" s="201"/>
      <c r="P128" s="201"/>
      <c r="Q128" s="201"/>
      <c r="R128" s="201"/>
      <c r="S128" s="201"/>
      <c r="T128" s="201"/>
      <c r="U128" s="201"/>
      <c r="V128" s="201"/>
      <c r="W128" s="201"/>
      <c r="X128" s="201"/>
      <c r="Y128" s="201"/>
      <c r="Z128" s="201"/>
      <c r="AA128" s="201"/>
    </row>
    <row r="129">
      <c r="A129" s="212">
        <v>46102.0</v>
      </c>
      <c r="B129" s="210" t="s">
        <v>2784</v>
      </c>
      <c r="C129" s="210" t="s">
        <v>8352</v>
      </c>
      <c r="D129" s="210" t="s">
        <v>8596</v>
      </c>
      <c r="E129" s="210" t="s">
        <v>8597</v>
      </c>
      <c r="F129" s="210" t="s">
        <v>8598</v>
      </c>
      <c r="G129" s="210" t="s">
        <v>8599</v>
      </c>
      <c r="H129" s="209">
        <f>IF($A129="","",$A129 + IFERROR(VLOOKUP($D129,'Fertilizer Key'!$A:$D,3,FALSE),""))</f>
        <v>46109</v>
      </c>
      <c r="I129" s="209">
        <f>IF($A129="","",$A129 + IFERROR(VLOOKUP($D129,'Fertilizer Key'!$A:$D,4,FALSE),""))</f>
        <v>46116</v>
      </c>
      <c r="J129" s="201"/>
      <c r="K129" s="210" t="s">
        <v>8725</v>
      </c>
      <c r="L129" s="21" t="s">
        <v>22</v>
      </c>
      <c r="M129" s="201"/>
      <c r="N129" s="201"/>
      <c r="O129" s="201"/>
      <c r="P129" s="201"/>
      <c r="Q129" s="201"/>
      <c r="R129" s="201"/>
      <c r="S129" s="201"/>
      <c r="T129" s="201"/>
      <c r="U129" s="201"/>
      <c r="V129" s="201"/>
      <c r="W129" s="201"/>
      <c r="X129" s="201"/>
      <c r="Y129" s="201"/>
      <c r="Z129" s="201"/>
      <c r="AA129" s="201"/>
    </row>
    <row r="130">
      <c r="A130" s="212">
        <v>46102.0</v>
      </c>
      <c r="B130" s="210" t="s">
        <v>2702</v>
      </c>
      <c r="C130" s="210" t="s">
        <v>8720</v>
      </c>
      <c r="D130" s="210" t="s">
        <v>8596</v>
      </c>
      <c r="E130" s="210" t="s">
        <v>8597</v>
      </c>
      <c r="F130" s="210" t="s">
        <v>8598</v>
      </c>
      <c r="G130" s="210" t="s">
        <v>8599</v>
      </c>
      <c r="H130" s="209">
        <f>IF($A130="","",$A130 + IFERROR(VLOOKUP($D130,'Fertilizer Key'!$A:$D,3,FALSE),""))</f>
        <v>46109</v>
      </c>
      <c r="I130" s="209">
        <f>IF($A130="","",$A130 + IFERROR(VLOOKUP($D130,'Fertilizer Key'!$A:$D,4,FALSE),""))</f>
        <v>46116</v>
      </c>
      <c r="J130" s="201"/>
      <c r="K130" s="210" t="s">
        <v>8726</v>
      </c>
      <c r="L130" s="21" t="s">
        <v>22</v>
      </c>
      <c r="M130" s="201"/>
      <c r="N130" s="201"/>
      <c r="O130" s="201"/>
      <c r="P130" s="201"/>
      <c r="Q130" s="201"/>
      <c r="R130" s="201"/>
      <c r="S130" s="201"/>
      <c r="T130" s="201"/>
      <c r="U130" s="201"/>
      <c r="V130" s="201"/>
      <c r="W130" s="201"/>
      <c r="X130" s="201"/>
      <c r="Y130" s="201"/>
      <c r="Z130" s="201"/>
      <c r="AA130" s="201"/>
    </row>
    <row r="131">
      <c r="A131" s="212">
        <v>46102.0</v>
      </c>
      <c r="B131" s="210" t="s">
        <v>2780</v>
      </c>
      <c r="C131" s="210" t="s">
        <v>5956</v>
      </c>
      <c r="D131" s="210" t="s">
        <v>8596</v>
      </c>
      <c r="E131" s="210" t="s">
        <v>8597</v>
      </c>
      <c r="F131" s="210" t="s">
        <v>8598</v>
      </c>
      <c r="G131" s="210" t="s">
        <v>8599</v>
      </c>
      <c r="H131" s="209">
        <f>IF($A131="","",$A131 + IFERROR(VLOOKUP($D131,'Fertilizer Key'!$A:$D,3,FALSE),""))</f>
        <v>46109</v>
      </c>
      <c r="I131" s="209">
        <f>IF($A131="","",$A131 + IFERROR(VLOOKUP($D131,'Fertilizer Key'!$A:$D,4,FALSE),""))</f>
        <v>46116</v>
      </c>
      <c r="J131" s="201"/>
      <c r="K131" s="213" t="s">
        <v>8727</v>
      </c>
      <c r="L131" s="21" t="s">
        <v>22</v>
      </c>
      <c r="M131" s="201"/>
      <c r="N131" s="201"/>
      <c r="O131" s="201"/>
      <c r="P131" s="201"/>
      <c r="Q131" s="201"/>
      <c r="R131" s="201"/>
      <c r="S131" s="201"/>
      <c r="T131" s="201"/>
      <c r="U131" s="201"/>
      <c r="V131" s="201"/>
      <c r="W131" s="201"/>
      <c r="X131" s="201"/>
      <c r="Y131" s="201"/>
      <c r="Z131" s="201"/>
      <c r="AA131" s="201"/>
    </row>
    <row r="132">
      <c r="A132" s="212">
        <v>46102.0</v>
      </c>
      <c r="B132" s="210" t="s">
        <v>2728</v>
      </c>
      <c r="C132" s="210" t="s">
        <v>8720</v>
      </c>
      <c r="D132" s="210" t="s">
        <v>8596</v>
      </c>
      <c r="E132" s="210" t="s">
        <v>8597</v>
      </c>
      <c r="F132" s="210" t="s">
        <v>8598</v>
      </c>
      <c r="G132" s="210" t="s">
        <v>8599</v>
      </c>
      <c r="H132" s="209">
        <f>IF($A132="","",$A132 + IFERROR(VLOOKUP($D132,'Fertilizer Key'!$A:$D,3,FALSE),""))</f>
        <v>46109</v>
      </c>
      <c r="I132" s="209">
        <f>IF($A132="","",$A132 + IFERROR(VLOOKUP($D132,'Fertilizer Key'!$A:$D,4,FALSE),""))</f>
        <v>46116</v>
      </c>
      <c r="J132" s="201"/>
      <c r="K132" s="210" t="s">
        <v>8728</v>
      </c>
      <c r="L132" s="21" t="s">
        <v>22</v>
      </c>
      <c r="M132" s="201"/>
      <c r="N132" s="201"/>
      <c r="O132" s="201"/>
      <c r="P132" s="201"/>
      <c r="Q132" s="201"/>
      <c r="R132" s="201"/>
      <c r="S132" s="201"/>
      <c r="T132" s="201"/>
      <c r="U132" s="201"/>
      <c r="V132" s="201"/>
      <c r="W132" s="201"/>
      <c r="X132" s="201"/>
      <c r="Y132" s="201"/>
      <c r="Z132" s="201"/>
      <c r="AA132" s="201"/>
    </row>
    <row r="133">
      <c r="A133" s="212">
        <v>46102.0</v>
      </c>
      <c r="B133" s="210" t="s">
        <v>1789</v>
      </c>
      <c r="C133" s="210" t="s">
        <v>8720</v>
      </c>
      <c r="D133" s="210" t="s">
        <v>8596</v>
      </c>
      <c r="E133" s="210" t="s">
        <v>8597</v>
      </c>
      <c r="F133" s="210" t="s">
        <v>8598</v>
      </c>
      <c r="G133" s="210" t="s">
        <v>8599</v>
      </c>
      <c r="H133" s="209">
        <f>IF($A133="","",$A133 + IFERROR(VLOOKUP($D133,'Fertilizer Key'!$A:$D,3,FALSE),""))</f>
        <v>46109</v>
      </c>
      <c r="I133" s="209">
        <f>IF($A133="","",$A133 + IFERROR(VLOOKUP($D133,'Fertilizer Key'!$A:$D,4,FALSE),""))</f>
        <v>46116</v>
      </c>
      <c r="J133" s="201"/>
      <c r="K133" s="210" t="s">
        <v>8729</v>
      </c>
      <c r="L133" s="21" t="s">
        <v>22</v>
      </c>
      <c r="M133" s="201"/>
      <c r="N133" s="201"/>
      <c r="O133" s="201"/>
      <c r="P133" s="201"/>
      <c r="Q133" s="201"/>
      <c r="R133" s="201"/>
      <c r="S133" s="201"/>
      <c r="T133" s="201"/>
      <c r="U133" s="201"/>
      <c r="V133" s="201"/>
      <c r="W133" s="201"/>
      <c r="X133" s="201"/>
      <c r="Y133" s="201"/>
      <c r="Z133" s="201"/>
      <c r="AA133" s="201"/>
    </row>
    <row r="134">
      <c r="A134" s="212">
        <v>46102.0</v>
      </c>
      <c r="B134" s="210" t="s">
        <v>8730</v>
      </c>
      <c r="C134" s="210" t="s">
        <v>8352</v>
      </c>
      <c r="D134" s="210" t="s">
        <v>8596</v>
      </c>
      <c r="E134" s="210" t="s">
        <v>8597</v>
      </c>
      <c r="F134" s="210" t="s">
        <v>8598</v>
      </c>
      <c r="G134" s="210" t="s">
        <v>8599</v>
      </c>
      <c r="H134" s="209">
        <f>IF($A134="","",$A134 + IFERROR(VLOOKUP($D134,'Fertilizer Key'!$A:$D,3,FALSE),""))</f>
        <v>46109</v>
      </c>
      <c r="I134" s="209">
        <f>IF($A134="","",$A134 + IFERROR(VLOOKUP($D134,'Fertilizer Key'!$A:$D,4,FALSE),""))</f>
        <v>46116</v>
      </c>
      <c r="J134" s="201"/>
      <c r="K134" s="210" t="s">
        <v>8731</v>
      </c>
      <c r="L134" s="21" t="s">
        <v>22</v>
      </c>
      <c r="M134" s="201"/>
      <c r="N134" s="201"/>
      <c r="O134" s="201"/>
      <c r="P134" s="201"/>
      <c r="Q134" s="201"/>
      <c r="R134" s="201"/>
      <c r="S134" s="201"/>
      <c r="T134" s="201"/>
      <c r="U134" s="201"/>
      <c r="V134" s="201"/>
      <c r="W134" s="201"/>
      <c r="X134" s="201"/>
      <c r="Y134" s="201"/>
      <c r="Z134" s="201"/>
      <c r="AA134" s="201"/>
    </row>
    <row r="135">
      <c r="A135" s="212">
        <v>46102.0</v>
      </c>
      <c r="B135" s="210" t="s">
        <v>2750</v>
      </c>
      <c r="C135" s="210" t="s">
        <v>8352</v>
      </c>
      <c r="D135" s="210" t="s">
        <v>8596</v>
      </c>
      <c r="E135" s="210" t="s">
        <v>8597</v>
      </c>
      <c r="F135" s="210" t="s">
        <v>8598</v>
      </c>
      <c r="G135" s="210" t="s">
        <v>8599</v>
      </c>
      <c r="H135" s="209">
        <f>IF($A135="","",$A135 + IFERROR(VLOOKUP($D135,'Fertilizer Key'!$A:$D,3,FALSE),""))</f>
        <v>46109</v>
      </c>
      <c r="I135" s="209">
        <f>IF($A135="","",$A135 + IFERROR(VLOOKUP($D135,'Fertilizer Key'!$A:$D,4,FALSE),""))</f>
        <v>46116</v>
      </c>
      <c r="J135" s="201"/>
      <c r="K135" s="210" t="s">
        <v>8732</v>
      </c>
      <c r="L135" s="21" t="s">
        <v>22</v>
      </c>
      <c r="M135" s="201"/>
      <c r="N135" s="201"/>
      <c r="O135" s="201"/>
      <c r="P135" s="201"/>
      <c r="Q135" s="201"/>
      <c r="R135" s="201"/>
      <c r="S135" s="201"/>
      <c r="T135" s="201"/>
      <c r="U135" s="201"/>
      <c r="V135" s="201"/>
      <c r="W135" s="201"/>
      <c r="X135" s="201"/>
      <c r="Y135" s="201"/>
      <c r="Z135" s="201"/>
      <c r="AA135" s="201"/>
    </row>
    <row r="136">
      <c r="A136" s="212">
        <v>46102.0</v>
      </c>
      <c r="B136" s="210" t="s">
        <v>2693</v>
      </c>
      <c r="C136" s="210" t="s">
        <v>5956</v>
      </c>
      <c r="D136" s="210" t="s">
        <v>8596</v>
      </c>
      <c r="E136" s="210" t="s">
        <v>8597</v>
      </c>
      <c r="F136" s="210" t="s">
        <v>8598</v>
      </c>
      <c r="G136" s="210" t="s">
        <v>8599</v>
      </c>
      <c r="H136" s="209">
        <f>IF($A136="","",$A136 + IFERROR(VLOOKUP($D136,'Fertilizer Key'!$A:$D,3,FALSE),""))</f>
        <v>46109</v>
      </c>
      <c r="I136" s="209">
        <f>IF($A136="","",$A136 + IFERROR(VLOOKUP($D136,'Fertilizer Key'!$A:$D,4,FALSE),""))</f>
        <v>46116</v>
      </c>
      <c r="J136" s="201"/>
      <c r="K136" s="210" t="s">
        <v>8733</v>
      </c>
      <c r="L136" s="21" t="s">
        <v>22</v>
      </c>
      <c r="M136" s="201"/>
      <c r="N136" s="201"/>
      <c r="O136" s="201"/>
      <c r="P136" s="201"/>
      <c r="Q136" s="201"/>
      <c r="R136" s="201"/>
      <c r="S136" s="201"/>
      <c r="T136" s="201"/>
      <c r="U136" s="201"/>
      <c r="V136" s="201"/>
      <c r="W136" s="201"/>
      <c r="X136" s="201"/>
      <c r="Y136" s="201"/>
      <c r="Z136" s="201"/>
      <c r="AA136" s="201"/>
    </row>
    <row r="137">
      <c r="A137" s="212">
        <v>46102.0</v>
      </c>
      <c r="B137" s="210" t="s">
        <v>2916</v>
      </c>
      <c r="C137" s="210" t="s">
        <v>8352</v>
      </c>
      <c r="D137" s="210" t="s">
        <v>8596</v>
      </c>
      <c r="E137" s="210" t="s">
        <v>8597</v>
      </c>
      <c r="F137" s="210" t="s">
        <v>8598</v>
      </c>
      <c r="G137" s="210" t="s">
        <v>8599</v>
      </c>
      <c r="H137" s="209">
        <f>IF($A137="","",$A137 + IFERROR(VLOOKUP($D137,'Fertilizer Key'!$A:$D,3,FALSE),""))</f>
        <v>46109</v>
      </c>
      <c r="I137" s="209">
        <f>IF($A137="","",$A137 + IFERROR(VLOOKUP($D137,'Fertilizer Key'!$A:$D,4,FALSE),""))</f>
        <v>46116</v>
      </c>
      <c r="J137" s="201"/>
      <c r="K137" s="210" t="s">
        <v>8734</v>
      </c>
      <c r="L137" s="21" t="s">
        <v>22</v>
      </c>
      <c r="M137" s="201"/>
      <c r="N137" s="201"/>
      <c r="O137" s="201"/>
      <c r="P137" s="201"/>
      <c r="Q137" s="201"/>
      <c r="R137" s="201"/>
      <c r="S137" s="201"/>
      <c r="T137" s="201"/>
      <c r="U137" s="201"/>
      <c r="V137" s="201"/>
      <c r="W137" s="201"/>
      <c r="X137" s="201"/>
      <c r="Y137" s="201"/>
      <c r="Z137" s="201"/>
      <c r="AA137" s="201"/>
    </row>
    <row r="138">
      <c r="A138" s="212">
        <v>46102.0</v>
      </c>
      <c r="B138" s="210" t="s">
        <v>2719</v>
      </c>
      <c r="C138" s="210" t="s">
        <v>5956</v>
      </c>
      <c r="D138" s="210" t="s">
        <v>8596</v>
      </c>
      <c r="E138" s="210" t="s">
        <v>8597</v>
      </c>
      <c r="F138" s="210" t="s">
        <v>8598</v>
      </c>
      <c r="G138" s="210" t="s">
        <v>8599</v>
      </c>
      <c r="H138" s="209">
        <f>IF($A138="","",$A138 + IFERROR(VLOOKUP($D138,'Fertilizer Key'!$A:$D,3,FALSE),""))</f>
        <v>46109</v>
      </c>
      <c r="I138" s="209">
        <f>IF($A138="","",$A138 + IFERROR(VLOOKUP($D138,'Fertilizer Key'!$A:$D,4,FALSE),""))</f>
        <v>46116</v>
      </c>
      <c r="J138" s="201"/>
      <c r="K138" s="210" t="s">
        <v>8735</v>
      </c>
      <c r="L138" s="21" t="s">
        <v>22</v>
      </c>
      <c r="M138" s="201"/>
      <c r="N138" s="201"/>
      <c r="O138" s="201"/>
      <c r="P138" s="201"/>
      <c r="Q138" s="201"/>
      <c r="R138" s="201"/>
      <c r="S138" s="201"/>
      <c r="T138" s="201"/>
      <c r="U138" s="201"/>
      <c r="V138" s="201"/>
      <c r="W138" s="201"/>
      <c r="X138" s="201"/>
      <c r="Y138" s="201"/>
      <c r="Z138" s="201"/>
      <c r="AA138" s="201"/>
    </row>
    <row r="139">
      <c r="A139" s="212">
        <v>46102.0</v>
      </c>
      <c r="B139" s="210" t="s">
        <v>2667</v>
      </c>
      <c r="C139" s="210" t="s">
        <v>8352</v>
      </c>
      <c r="D139" s="210" t="s">
        <v>8596</v>
      </c>
      <c r="E139" s="210" t="s">
        <v>8597</v>
      </c>
      <c r="F139" s="210" t="s">
        <v>8598</v>
      </c>
      <c r="G139" s="210" t="s">
        <v>8599</v>
      </c>
      <c r="H139" s="209">
        <f>IF($A139="","",$A139 + IFERROR(VLOOKUP($D139,'Fertilizer Key'!$A:$D,3,FALSE),""))</f>
        <v>46109</v>
      </c>
      <c r="I139" s="209">
        <f>IF($A139="","",$A139 + IFERROR(VLOOKUP($D139,'Fertilizer Key'!$A:$D,4,FALSE),""))</f>
        <v>46116</v>
      </c>
      <c r="J139" s="201"/>
      <c r="K139" s="210" t="s">
        <v>8736</v>
      </c>
      <c r="L139" s="21" t="s">
        <v>22</v>
      </c>
      <c r="M139" s="201"/>
      <c r="N139" s="201"/>
      <c r="O139" s="201"/>
      <c r="P139" s="201"/>
      <c r="Q139" s="201"/>
      <c r="R139" s="201"/>
      <c r="S139" s="201"/>
      <c r="T139" s="201"/>
      <c r="U139" s="201"/>
      <c r="V139" s="201"/>
      <c r="W139" s="201"/>
      <c r="X139" s="201"/>
      <c r="Y139" s="201"/>
      <c r="Z139" s="201"/>
      <c r="AA139" s="201"/>
    </row>
    <row r="140">
      <c r="A140" s="201"/>
      <c r="B140" s="201"/>
      <c r="C140" s="201"/>
      <c r="D140" s="201"/>
      <c r="E140" s="201"/>
      <c r="F140" s="201"/>
      <c r="G140" s="201"/>
      <c r="H140" s="209"/>
      <c r="I140" s="209"/>
      <c r="J140" s="201"/>
      <c r="K140" s="210" t="s">
        <v>39</v>
      </c>
      <c r="L140" s="21"/>
      <c r="M140" s="201"/>
      <c r="N140" s="201"/>
      <c r="O140" s="201"/>
      <c r="P140" s="201"/>
      <c r="Q140" s="201"/>
      <c r="R140" s="201"/>
      <c r="S140" s="201"/>
      <c r="T140" s="201"/>
      <c r="U140" s="201"/>
      <c r="V140" s="201"/>
      <c r="W140" s="201"/>
      <c r="X140" s="201"/>
      <c r="Y140" s="201"/>
      <c r="Z140" s="201"/>
      <c r="AA140" s="201"/>
    </row>
    <row r="141">
      <c r="A141" s="201"/>
      <c r="B141" s="201"/>
      <c r="C141" s="201"/>
      <c r="D141" s="201"/>
      <c r="E141" s="201"/>
      <c r="F141" s="201"/>
      <c r="G141" s="201"/>
      <c r="H141" s="209"/>
      <c r="I141" s="209"/>
      <c r="J141" s="201"/>
      <c r="K141" s="210" t="s">
        <v>39</v>
      </c>
      <c r="L141" s="21"/>
      <c r="M141" s="201"/>
      <c r="N141" s="201"/>
      <c r="O141" s="201"/>
      <c r="P141" s="201"/>
      <c r="Q141" s="201"/>
      <c r="R141" s="201"/>
      <c r="S141" s="201"/>
      <c r="T141" s="201"/>
      <c r="U141" s="201"/>
      <c r="V141" s="201"/>
      <c r="W141" s="201"/>
      <c r="X141" s="201"/>
      <c r="Y141" s="201"/>
      <c r="Z141" s="201"/>
      <c r="AA141" s="201"/>
    </row>
    <row r="142">
      <c r="A142" s="201"/>
      <c r="B142" s="201"/>
      <c r="C142" s="201"/>
      <c r="D142" s="201"/>
      <c r="E142" s="201"/>
      <c r="F142" s="201"/>
      <c r="G142" s="201"/>
      <c r="H142" s="209"/>
      <c r="I142" s="209"/>
      <c r="J142" s="201"/>
      <c r="K142" s="210" t="s">
        <v>39</v>
      </c>
      <c r="L142" s="21"/>
      <c r="M142" s="201"/>
      <c r="N142" s="201"/>
      <c r="O142" s="201"/>
      <c r="P142" s="201"/>
      <c r="Q142" s="201"/>
      <c r="R142" s="201"/>
      <c r="S142" s="201"/>
      <c r="T142" s="201"/>
      <c r="U142" s="201"/>
      <c r="V142" s="201"/>
      <c r="W142" s="201"/>
      <c r="X142" s="201"/>
      <c r="Y142" s="201"/>
      <c r="Z142" s="201"/>
      <c r="AA142" s="201"/>
    </row>
    <row r="143">
      <c r="A143" s="201"/>
      <c r="B143" s="201"/>
      <c r="C143" s="201"/>
      <c r="D143" s="201"/>
      <c r="E143" s="201"/>
      <c r="F143" s="201"/>
      <c r="G143" s="201"/>
      <c r="H143" s="209"/>
      <c r="I143" s="209"/>
      <c r="J143" s="201"/>
      <c r="K143" s="210" t="s">
        <v>39</v>
      </c>
      <c r="L143" s="21"/>
      <c r="M143" s="201"/>
      <c r="N143" s="201"/>
      <c r="O143" s="201"/>
      <c r="P143" s="201"/>
      <c r="Q143" s="201"/>
      <c r="R143" s="201"/>
      <c r="S143" s="201"/>
      <c r="T143" s="201"/>
      <c r="U143" s="201"/>
      <c r="V143" s="201"/>
      <c r="W143" s="201"/>
      <c r="X143" s="201"/>
      <c r="Y143" s="201"/>
      <c r="Z143" s="201"/>
      <c r="AA143" s="201"/>
    </row>
    <row r="144">
      <c r="A144" s="201"/>
      <c r="B144" s="201"/>
      <c r="C144" s="201"/>
      <c r="D144" s="201"/>
      <c r="E144" s="201"/>
      <c r="F144" s="201"/>
      <c r="G144" s="201"/>
      <c r="H144" s="209"/>
      <c r="I144" s="209"/>
      <c r="J144" s="201"/>
      <c r="K144" s="210" t="s">
        <v>39</v>
      </c>
      <c r="L144" s="21"/>
      <c r="M144" s="201"/>
      <c r="N144" s="201"/>
      <c r="O144" s="201"/>
      <c r="P144" s="201"/>
      <c r="Q144" s="201"/>
      <c r="R144" s="201"/>
      <c r="S144" s="201"/>
      <c r="T144" s="201"/>
      <c r="U144" s="201"/>
      <c r="V144" s="201"/>
      <c r="W144" s="201"/>
      <c r="X144" s="201"/>
      <c r="Y144" s="201"/>
      <c r="Z144" s="201"/>
      <c r="AA144" s="201"/>
    </row>
    <row r="145">
      <c r="A145" s="201"/>
      <c r="B145" s="201"/>
      <c r="C145" s="201"/>
      <c r="D145" s="201"/>
      <c r="E145" s="201"/>
      <c r="F145" s="201"/>
      <c r="G145" s="201"/>
      <c r="H145" s="209"/>
      <c r="I145" s="209"/>
      <c r="J145" s="201"/>
      <c r="K145" s="210" t="s">
        <v>39</v>
      </c>
      <c r="L145" s="21"/>
      <c r="M145" s="201"/>
      <c r="N145" s="201"/>
      <c r="O145" s="201"/>
      <c r="P145" s="201"/>
      <c r="Q145" s="201"/>
      <c r="R145" s="201"/>
      <c r="S145" s="201"/>
      <c r="T145" s="201"/>
      <c r="U145" s="201"/>
      <c r="V145" s="201"/>
      <c r="W145" s="201"/>
      <c r="X145" s="201"/>
      <c r="Y145" s="201"/>
      <c r="Z145" s="201"/>
      <c r="AA145" s="201"/>
    </row>
    <row r="146">
      <c r="A146" s="201"/>
      <c r="B146" s="201"/>
      <c r="C146" s="201"/>
      <c r="D146" s="201"/>
      <c r="E146" s="201"/>
      <c r="F146" s="201"/>
      <c r="G146" s="201"/>
      <c r="H146" s="209"/>
      <c r="I146" s="209"/>
      <c r="J146" s="201"/>
      <c r="K146" s="210" t="s">
        <v>39</v>
      </c>
      <c r="L146" s="21"/>
      <c r="M146" s="201"/>
      <c r="N146" s="201"/>
      <c r="O146" s="201"/>
      <c r="P146" s="201"/>
      <c r="Q146" s="201"/>
      <c r="R146" s="201"/>
      <c r="S146" s="201"/>
      <c r="T146" s="201"/>
      <c r="U146" s="201"/>
      <c r="V146" s="201"/>
      <c r="W146" s="201"/>
      <c r="X146" s="201"/>
      <c r="Y146" s="201"/>
      <c r="Z146" s="201"/>
      <c r="AA146" s="201"/>
    </row>
    <row r="147">
      <c r="A147" s="201"/>
      <c r="B147" s="201"/>
      <c r="C147" s="201"/>
      <c r="D147" s="201"/>
      <c r="E147" s="201"/>
      <c r="F147" s="201"/>
      <c r="G147" s="201"/>
      <c r="H147" s="209"/>
      <c r="I147" s="209"/>
      <c r="J147" s="201"/>
      <c r="K147" s="210" t="s">
        <v>39</v>
      </c>
      <c r="L147" s="21"/>
      <c r="M147" s="201"/>
      <c r="N147" s="201"/>
      <c r="O147" s="201"/>
      <c r="P147" s="201"/>
      <c r="Q147" s="201"/>
      <c r="R147" s="201"/>
      <c r="S147" s="201"/>
      <c r="T147" s="201"/>
      <c r="U147" s="201"/>
      <c r="V147" s="201"/>
      <c r="W147" s="201"/>
      <c r="X147" s="201"/>
      <c r="Y147" s="201"/>
      <c r="Z147" s="201"/>
      <c r="AA147" s="201"/>
    </row>
    <row r="148">
      <c r="A148" s="201"/>
      <c r="B148" s="201"/>
      <c r="C148" s="201"/>
      <c r="D148" s="201"/>
      <c r="E148" s="201"/>
      <c r="F148" s="201"/>
      <c r="G148" s="201"/>
      <c r="H148" s="209"/>
      <c r="I148" s="209"/>
      <c r="J148" s="201"/>
      <c r="K148" s="210" t="s">
        <v>39</v>
      </c>
      <c r="L148" s="21"/>
      <c r="M148" s="201"/>
      <c r="N148" s="201"/>
      <c r="O148" s="201"/>
      <c r="P148" s="201"/>
      <c r="Q148" s="201"/>
      <c r="R148" s="201"/>
      <c r="S148" s="201"/>
      <c r="T148" s="201"/>
      <c r="U148" s="201"/>
      <c r="V148" s="201"/>
      <c r="W148" s="201"/>
      <c r="X148" s="201"/>
      <c r="Y148" s="201"/>
      <c r="Z148" s="201"/>
      <c r="AA148" s="201"/>
    </row>
    <row r="149">
      <c r="A149" s="201"/>
      <c r="B149" s="201"/>
      <c r="C149" s="201"/>
      <c r="D149" s="201"/>
      <c r="E149" s="201"/>
      <c r="F149" s="201"/>
      <c r="G149" s="201"/>
      <c r="H149" s="209"/>
      <c r="I149" s="209"/>
      <c r="J149" s="201"/>
      <c r="K149" s="210" t="s">
        <v>39</v>
      </c>
      <c r="L149" s="21"/>
      <c r="M149" s="201"/>
      <c r="N149" s="201"/>
      <c r="O149" s="201"/>
      <c r="P149" s="201"/>
      <c r="Q149" s="201"/>
      <c r="R149" s="201"/>
      <c r="S149" s="201"/>
      <c r="T149" s="201"/>
      <c r="U149" s="201"/>
      <c r="V149" s="201"/>
      <c r="W149" s="201"/>
      <c r="X149" s="201"/>
      <c r="Y149" s="201"/>
      <c r="Z149" s="201"/>
      <c r="AA149" s="201"/>
    </row>
    <row r="150">
      <c r="A150" s="201"/>
      <c r="B150" s="201"/>
      <c r="C150" s="201"/>
      <c r="D150" s="201"/>
      <c r="E150" s="201"/>
      <c r="F150" s="201"/>
      <c r="G150" s="201"/>
      <c r="H150" s="209"/>
      <c r="I150" s="209"/>
      <c r="J150" s="201"/>
      <c r="K150" s="210" t="s">
        <v>39</v>
      </c>
      <c r="L150" s="21"/>
      <c r="M150" s="201"/>
      <c r="N150" s="201"/>
      <c r="O150" s="201"/>
      <c r="P150" s="201"/>
      <c r="Q150" s="201"/>
      <c r="R150" s="201"/>
      <c r="S150" s="201"/>
      <c r="T150" s="201"/>
      <c r="U150" s="201"/>
      <c r="V150" s="201"/>
      <c r="W150" s="201"/>
      <c r="X150" s="201"/>
      <c r="Y150" s="201"/>
      <c r="Z150" s="201"/>
      <c r="AA150" s="201"/>
    </row>
    <row r="151">
      <c r="A151" s="201"/>
      <c r="B151" s="201"/>
      <c r="C151" s="201"/>
      <c r="D151" s="201"/>
      <c r="E151" s="201"/>
      <c r="F151" s="201"/>
      <c r="G151" s="201"/>
      <c r="H151" s="209"/>
      <c r="I151" s="209"/>
      <c r="J151" s="201"/>
      <c r="K151" s="210" t="s">
        <v>39</v>
      </c>
      <c r="L151" s="21"/>
      <c r="M151" s="201"/>
      <c r="N151" s="201"/>
      <c r="O151" s="201"/>
      <c r="P151" s="201"/>
      <c r="Q151" s="201"/>
      <c r="R151" s="201"/>
      <c r="S151" s="201"/>
      <c r="T151" s="201"/>
      <c r="U151" s="201"/>
      <c r="V151" s="201"/>
      <c r="W151" s="201"/>
      <c r="X151" s="201"/>
      <c r="Y151" s="201"/>
      <c r="Z151" s="201"/>
      <c r="AA151" s="201"/>
    </row>
    <row r="152">
      <c r="A152" s="201"/>
      <c r="B152" s="201"/>
      <c r="C152" s="201"/>
      <c r="D152" s="201"/>
      <c r="E152" s="201"/>
      <c r="F152" s="201"/>
      <c r="G152" s="201"/>
      <c r="H152" s="209"/>
      <c r="I152" s="209"/>
      <c r="J152" s="201"/>
      <c r="K152" s="210" t="s">
        <v>39</v>
      </c>
      <c r="L152" s="21"/>
      <c r="M152" s="201"/>
      <c r="N152" s="201"/>
      <c r="O152" s="201"/>
      <c r="P152" s="201"/>
      <c r="Q152" s="201"/>
      <c r="R152" s="201"/>
      <c r="S152" s="201"/>
      <c r="T152" s="201"/>
      <c r="U152" s="201"/>
      <c r="V152" s="201"/>
      <c r="W152" s="201"/>
      <c r="X152" s="201"/>
      <c r="Y152" s="201"/>
      <c r="Z152" s="201"/>
      <c r="AA152" s="201"/>
    </row>
    <row r="153">
      <c r="A153" s="201"/>
      <c r="B153" s="201"/>
      <c r="C153" s="201"/>
      <c r="D153" s="201"/>
      <c r="E153" s="201"/>
      <c r="F153" s="201"/>
      <c r="G153" s="201"/>
      <c r="H153" s="209"/>
      <c r="I153" s="209"/>
      <c r="J153" s="201"/>
      <c r="K153" s="210" t="s">
        <v>39</v>
      </c>
      <c r="L153" s="21"/>
      <c r="M153" s="201"/>
      <c r="N153" s="201"/>
      <c r="O153" s="201"/>
      <c r="P153" s="201"/>
      <c r="Q153" s="201"/>
      <c r="R153" s="201"/>
      <c r="S153" s="201"/>
      <c r="T153" s="201"/>
      <c r="U153" s="201"/>
      <c r="V153" s="201"/>
      <c r="W153" s="201"/>
      <c r="X153" s="201"/>
      <c r="Y153" s="201"/>
      <c r="Z153" s="201"/>
      <c r="AA153" s="201"/>
    </row>
    <row r="154">
      <c r="A154" s="201"/>
      <c r="B154" s="201"/>
      <c r="C154" s="201"/>
      <c r="D154" s="201"/>
      <c r="E154" s="201"/>
      <c r="F154" s="201"/>
      <c r="G154" s="201"/>
      <c r="H154" s="209"/>
      <c r="I154" s="209"/>
      <c r="J154" s="201"/>
      <c r="K154" s="210" t="s">
        <v>39</v>
      </c>
      <c r="L154" s="21"/>
      <c r="M154" s="201"/>
      <c r="N154" s="201"/>
      <c r="O154" s="201"/>
      <c r="P154" s="201"/>
      <c r="Q154" s="201"/>
      <c r="R154" s="201"/>
      <c r="S154" s="201"/>
      <c r="T154" s="201"/>
      <c r="U154" s="201"/>
      <c r="V154" s="201"/>
      <c r="W154" s="201"/>
      <c r="X154" s="201"/>
      <c r="Y154" s="201"/>
      <c r="Z154" s="201"/>
      <c r="AA154" s="201"/>
    </row>
    <row r="155">
      <c r="A155" s="201"/>
      <c r="B155" s="201"/>
      <c r="C155" s="201"/>
      <c r="D155" s="201"/>
      <c r="E155" s="201"/>
      <c r="F155" s="201"/>
      <c r="G155" s="201"/>
      <c r="H155" s="209"/>
      <c r="I155" s="209"/>
      <c r="J155" s="201"/>
      <c r="K155" s="210" t="s">
        <v>39</v>
      </c>
      <c r="L155" s="21"/>
      <c r="M155" s="201"/>
      <c r="N155" s="201"/>
      <c r="O155" s="201"/>
      <c r="P155" s="201"/>
      <c r="Q155" s="201"/>
      <c r="R155" s="201"/>
      <c r="S155" s="201"/>
      <c r="T155" s="201"/>
      <c r="U155" s="201"/>
      <c r="V155" s="201"/>
      <c r="W155" s="201"/>
      <c r="X155" s="201"/>
      <c r="Y155" s="201"/>
      <c r="Z155" s="201"/>
      <c r="AA155" s="201"/>
    </row>
    <row r="156">
      <c r="A156" s="201"/>
      <c r="B156" s="201"/>
      <c r="C156" s="201"/>
      <c r="D156" s="201"/>
      <c r="E156" s="201"/>
      <c r="F156" s="201"/>
      <c r="G156" s="201"/>
      <c r="H156" s="209"/>
      <c r="I156" s="209"/>
      <c r="J156" s="201"/>
      <c r="K156" s="210" t="s">
        <v>39</v>
      </c>
      <c r="L156" s="21"/>
      <c r="M156" s="201"/>
      <c r="N156" s="201"/>
      <c r="O156" s="201"/>
      <c r="P156" s="201"/>
      <c r="Q156" s="201"/>
      <c r="R156" s="201"/>
      <c r="S156" s="201"/>
      <c r="T156" s="201"/>
      <c r="U156" s="201"/>
      <c r="V156" s="201"/>
      <c r="W156" s="201"/>
      <c r="X156" s="201"/>
      <c r="Y156" s="201"/>
      <c r="Z156" s="201"/>
      <c r="AA156" s="201"/>
    </row>
    <row r="157">
      <c r="A157" s="201"/>
      <c r="B157" s="201"/>
      <c r="C157" s="201"/>
      <c r="D157" s="201"/>
      <c r="E157" s="201"/>
      <c r="F157" s="201"/>
      <c r="G157" s="201"/>
      <c r="H157" s="209"/>
      <c r="I157" s="209"/>
      <c r="J157" s="201"/>
      <c r="K157" s="210" t="s">
        <v>39</v>
      </c>
      <c r="L157" s="21"/>
      <c r="M157" s="201"/>
      <c r="N157" s="201"/>
      <c r="O157" s="201"/>
      <c r="P157" s="201"/>
      <c r="Q157" s="201"/>
      <c r="R157" s="201"/>
      <c r="S157" s="201"/>
      <c r="T157" s="201"/>
      <c r="U157" s="201"/>
      <c r="V157" s="201"/>
      <c r="W157" s="201"/>
      <c r="X157" s="201"/>
      <c r="Y157" s="201"/>
      <c r="Z157" s="201"/>
      <c r="AA157" s="201"/>
    </row>
    <row r="158">
      <c r="A158" s="201"/>
      <c r="B158" s="201"/>
      <c r="C158" s="201"/>
      <c r="D158" s="201"/>
      <c r="E158" s="201"/>
      <c r="F158" s="201"/>
      <c r="G158" s="201"/>
      <c r="H158" s="209"/>
      <c r="I158" s="209"/>
      <c r="J158" s="201"/>
      <c r="K158" s="210" t="s">
        <v>39</v>
      </c>
      <c r="L158" s="21"/>
      <c r="M158" s="201"/>
      <c r="N158" s="201"/>
      <c r="O158" s="201"/>
      <c r="P158" s="201"/>
      <c r="Q158" s="201"/>
      <c r="R158" s="201"/>
      <c r="S158" s="201"/>
      <c r="T158" s="201"/>
      <c r="U158" s="201"/>
      <c r="V158" s="201"/>
      <c r="W158" s="201"/>
      <c r="X158" s="201"/>
      <c r="Y158" s="201"/>
      <c r="Z158" s="201"/>
      <c r="AA158" s="201"/>
    </row>
    <row r="159">
      <c r="A159" s="201"/>
      <c r="B159" s="201"/>
      <c r="C159" s="201"/>
      <c r="D159" s="201"/>
      <c r="E159" s="201"/>
      <c r="F159" s="201"/>
      <c r="G159" s="201"/>
      <c r="H159" s="209"/>
      <c r="I159" s="209"/>
      <c r="J159" s="201"/>
      <c r="K159" s="210" t="s">
        <v>39</v>
      </c>
      <c r="L159" s="21"/>
      <c r="M159" s="201"/>
      <c r="N159" s="201"/>
      <c r="O159" s="201"/>
      <c r="P159" s="201"/>
      <c r="Q159" s="201"/>
      <c r="R159" s="201"/>
      <c r="S159" s="201"/>
      <c r="T159" s="201"/>
      <c r="U159" s="201"/>
      <c r="V159" s="201"/>
      <c r="W159" s="201"/>
      <c r="X159" s="201"/>
      <c r="Y159" s="201"/>
      <c r="Z159" s="201"/>
      <c r="AA159" s="201"/>
    </row>
    <row r="160">
      <c r="A160" s="201"/>
      <c r="B160" s="201"/>
      <c r="C160" s="201"/>
      <c r="D160" s="201"/>
      <c r="E160" s="201"/>
      <c r="F160" s="201"/>
      <c r="G160" s="201"/>
      <c r="H160" s="209"/>
      <c r="I160" s="209"/>
      <c r="J160" s="201"/>
      <c r="K160" s="210" t="s">
        <v>39</v>
      </c>
      <c r="L160" s="21"/>
      <c r="M160" s="201"/>
      <c r="N160" s="201"/>
      <c r="O160" s="201"/>
      <c r="P160" s="201"/>
      <c r="Q160" s="201"/>
      <c r="R160" s="201"/>
      <c r="S160" s="201"/>
      <c r="T160" s="201"/>
      <c r="U160" s="201"/>
      <c r="V160" s="201"/>
      <c r="W160" s="201"/>
      <c r="X160" s="201"/>
      <c r="Y160" s="201"/>
      <c r="Z160" s="201"/>
      <c r="AA160" s="201"/>
    </row>
    <row r="161">
      <c r="A161" s="201"/>
      <c r="B161" s="201"/>
      <c r="C161" s="201"/>
      <c r="D161" s="201"/>
      <c r="E161" s="201"/>
      <c r="F161" s="201"/>
      <c r="G161" s="201"/>
      <c r="H161" s="209"/>
      <c r="I161" s="209"/>
      <c r="J161" s="201"/>
      <c r="K161" s="210" t="s">
        <v>39</v>
      </c>
      <c r="L161" s="21"/>
      <c r="M161" s="201"/>
      <c r="N161" s="201"/>
      <c r="O161" s="201"/>
      <c r="P161" s="201"/>
      <c r="Q161" s="201"/>
      <c r="R161" s="201"/>
      <c r="S161" s="201"/>
      <c r="T161" s="201"/>
      <c r="U161" s="201"/>
      <c r="V161" s="201"/>
      <c r="W161" s="201"/>
      <c r="X161" s="201"/>
      <c r="Y161" s="201"/>
      <c r="Z161" s="201"/>
      <c r="AA161" s="201"/>
    </row>
    <row r="162">
      <c r="A162" s="201"/>
      <c r="B162" s="201"/>
      <c r="C162" s="201"/>
      <c r="D162" s="201"/>
      <c r="E162" s="201"/>
      <c r="F162" s="201"/>
      <c r="G162" s="201"/>
      <c r="H162" s="209"/>
      <c r="I162" s="209"/>
      <c r="J162" s="201"/>
      <c r="K162" s="210" t="s">
        <v>39</v>
      </c>
      <c r="L162" s="21"/>
      <c r="M162" s="201"/>
      <c r="N162" s="201"/>
      <c r="O162" s="201"/>
      <c r="P162" s="201"/>
      <c r="Q162" s="201"/>
      <c r="R162" s="201"/>
      <c r="S162" s="201"/>
      <c r="T162" s="201"/>
      <c r="U162" s="201"/>
      <c r="V162" s="201"/>
      <c r="W162" s="201"/>
      <c r="X162" s="201"/>
      <c r="Y162" s="201"/>
      <c r="Z162" s="201"/>
      <c r="AA162" s="201"/>
    </row>
    <row r="163">
      <c r="A163" s="201"/>
      <c r="B163" s="201"/>
      <c r="C163" s="201"/>
      <c r="D163" s="201"/>
      <c r="E163" s="201"/>
      <c r="F163" s="201"/>
      <c r="G163" s="201"/>
      <c r="H163" s="209"/>
      <c r="I163" s="209"/>
      <c r="J163" s="201"/>
      <c r="K163" s="210" t="s">
        <v>39</v>
      </c>
      <c r="L163" s="21"/>
      <c r="M163" s="201"/>
      <c r="N163" s="201"/>
      <c r="O163" s="201"/>
      <c r="P163" s="201"/>
      <c r="Q163" s="201"/>
      <c r="R163" s="201"/>
      <c r="S163" s="201"/>
      <c r="T163" s="201"/>
      <c r="U163" s="201"/>
      <c r="V163" s="201"/>
      <c r="W163" s="201"/>
      <c r="X163" s="201"/>
      <c r="Y163" s="201"/>
      <c r="Z163" s="201"/>
      <c r="AA163" s="201"/>
    </row>
    <row r="164">
      <c r="A164" s="201"/>
      <c r="B164" s="201"/>
      <c r="C164" s="201"/>
      <c r="D164" s="201"/>
      <c r="E164" s="201"/>
      <c r="F164" s="201"/>
      <c r="G164" s="201"/>
      <c r="H164" s="209"/>
      <c r="I164" s="209"/>
      <c r="J164" s="201"/>
      <c r="K164" s="210" t="s">
        <v>39</v>
      </c>
      <c r="L164" s="21"/>
      <c r="M164" s="201"/>
      <c r="N164" s="201"/>
      <c r="O164" s="201"/>
      <c r="P164" s="201"/>
      <c r="Q164" s="201"/>
      <c r="R164" s="201"/>
      <c r="S164" s="201"/>
      <c r="T164" s="201"/>
      <c r="U164" s="201"/>
      <c r="V164" s="201"/>
      <c r="W164" s="201"/>
      <c r="X164" s="201"/>
      <c r="Y164" s="201"/>
      <c r="Z164" s="201"/>
      <c r="AA164" s="201"/>
    </row>
    <row r="165">
      <c r="A165" s="201"/>
      <c r="B165" s="201"/>
      <c r="C165" s="201"/>
      <c r="D165" s="201"/>
      <c r="E165" s="201"/>
      <c r="F165" s="201"/>
      <c r="G165" s="201"/>
      <c r="H165" s="209"/>
      <c r="I165" s="209"/>
      <c r="J165" s="201"/>
      <c r="K165" s="210" t="s">
        <v>39</v>
      </c>
      <c r="L165" s="21"/>
      <c r="M165" s="201"/>
      <c r="N165" s="201"/>
      <c r="O165" s="201"/>
      <c r="P165" s="201"/>
      <c r="Q165" s="201"/>
      <c r="R165" s="201"/>
      <c r="S165" s="201"/>
      <c r="T165" s="201"/>
      <c r="U165" s="201"/>
      <c r="V165" s="201"/>
      <c r="W165" s="201"/>
      <c r="X165" s="201"/>
      <c r="Y165" s="201"/>
      <c r="Z165" s="201"/>
      <c r="AA165" s="201"/>
    </row>
    <row r="166">
      <c r="A166" s="201"/>
      <c r="B166" s="201"/>
      <c r="C166" s="201"/>
      <c r="D166" s="201"/>
      <c r="E166" s="201"/>
      <c r="F166" s="201"/>
      <c r="G166" s="201"/>
      <c r="H166" s="209"/>
      <c r="I166" s="209"/>
      <c r="J166" s="201"/>
      <c r="K166" s="210" t="s">
        <v>39</v>
      </c>
      <c r="L166" s="21"/>
      <c r="M166" s="201"/>
      <c r="N166" s="201"/>
      <c r="O166" s="201"/>
      <c r="P166" s="201"/>
      <c r="Q166" s="201"/>
      <c r="R166" s="201"/>
      <c r="S166" s="201"/>
      <c r="T166" s="201"/>
      <c r="U166" s="201"/>
      <c r="V166" s="201"/>
      <c r="W166" s="201"/>
      <c r="X166" s="201"/>
      <c r="Y166" s="201"/>
      <c r="Z166" s="201"/>
      <c r="AA166" s="201"/>
    </row>
    <row r="167">
      <c r="A167" s="201"/>
      <c r="B167" s="201"/>
      <c r="C167" s="201"/>
      <c r="D167" s="201"/>
      <c r="E167" s="201"/>
      <c r="F167" s="201"/>
      <c r="G167" s="201"/>
      <c r="H167" s="209"/>
      <c r="I167" s="209"/>
      <c r="J167" s="201"/>
      <c r="K167" s="210" t="s">
        <v>39</v>
      </c>
      <c r="L167" s="21"/>
      <c r="M167" s="201"/>
      <c r="N167" s="201"/>
      <c r="O167" s="201"/>
      <c r="P167" s="201"/>
      <c r="Q167" s="201"/>
      <c r="R167" s="201"/>
      <c r="S167" s="201"/>
      <c r="T167" s="201"/>
      <c r="U167" s="201"/>
      <c r="V167" s="201"/>
      <c r="W167" s="201"/>
      <c r="X167" s="201"/>
      <c r="Y167" s="201"/>
      <c r="Z167" s="201"/>
      <c r="AA167" s="201"/>
    </row>
    <row r="168">
      <c r="A168" s="201"/>
      <c r="B168" s="201"/>
      <c r="C168" s="201"/>
      <c r="D168" s="201"/>
      <c r="E168" s="201"/>
      <c r="F168" s="201"/>
      <c r="G168" s="201"/>
      <c r="H168" s="209"/>
      <c r="I168" s="209"/>
      <c r="J168" s="201"/>
      <c r="K168" s="210" t="s">
        <v>39</v>
      </c>
      <c r="L168" s="21"/>
      <c r="M168" s="201"/>
      <c r="N168" s="201"/>
      <c r="O168" s="201"/>
      <c r="P168" s="201"/>
      <c r="Q168" s="201"/>
      <c r="R168" s="201"/>
      <c r="S168" s="201"/>
      <c r="T168" s="201"/>
      <c r="U168" s="201"/>
      <c r="V168" s="201"/>
      <c r="W168" s="201"/>
      <c r="X168" s="201"/>
      <c r="Y168" s="201"/>
      <c r="Z168" s="201"/>
      <c r="AA168" s="201"/>
    </row>
    <row r="169">
      <c r="A169" s="201"/>
      <c r="B169" s="201"/>
      <c r="C169" s="201"/>
      <c r="D169" s="201"/>
      <c r="E169" s="201"/>
      <c r="F169" s="201"/>
      <c r="G169" s="201"/>
      <c r="H169" s="209"/>
      <c r="I169" s="209"/>
      <c r="J169" s="201"/>
      <c r="K169" s="210" t="s">
        <v>39</v>
      </c>
      <c r="L169" s="21"/>
      <c r="M169" s="201"/>
      <c r="N169" s="201"/>
      <c r="O169" s="201"/>
      <c r="P169" s="201"/>
      <c r="Q169" s="201"/>
      <c r="R169" s="201"/>
      <c r="S169" s="201"/>
      <c r="T169" s="201"/>
      <c r="U169" s="201"/>
      <c r="V169" s="201"/>
      <c r="W169" s="201"/>
      <c r="X169" s="201"/>
      <c r="Y169" s="201"/>
      <c r="Z169" s="201"/>
      <c r="AA169" s="201"/>
    </row>
    <row r="170">
      <c r="A170" s="201"/>
      <c r="B170" s="201"/>
      <c r="C170" s="201"/>
      <c r="D170" s="201"/>
      <c r="E170" s="201"/>
      <c r="F170" s="201"/>
      <c r="G170" s="201"/>
      <c r="H170" s="209"/>
      <c r="I170" s="209"/>
      <c r="J170" s="201"/>
      <c r="K170" s="210" t="s">
        <v>39</v>
      </c>
      <c r="L170" s="21"/>
      <c r="M170" s="201"/>
      <c r="N170" s="201"/>
      <c r="O170" s="201"/>
      <c r="P170" s="201"/>
      <c r="Q170" s="201"/>
      <c r="R170" s="201"/>
      <c r="S170" s="201"/>
      <c r="T170" s="201"/>
      <c r="U170" s="201"/>
      <c r="V170" s="201"/>
      <c r="W170" s="201"/>
      <c r="X170" s="201"/>
      <c r="Y170" s="201"/>
      <c r="Z170" s="201"/>
      <c r="AA170" s="201"/>
    </row>
    <row r="171">
      <c r="A171" s="201"/>
      <c r="B171" s="201"/>
      <c r="C171" s="201"/>
      <c r="D171" s="201"/>
      <c r="E171" s="201"/>
      <c r="F171" s="201"/>
      <c r="G171" s="201"/>
      <c r="H171" s="209"/>
      <c r="I171" s="209"/>
      <c r="J171" s="201"/>
      <c r="K171" s="210" t="s">
        <v>39</v>
      </c>
      <c r="L171" s="21"/>
      <c r="M171" s="201"/>
      <c r="N171" s="201"/>
      <c r="O171" s="201"/>
      <c r="P171" s="201"/>
      <c r="Q171" s="201"/>
      <c r="R171" s="201"/>
      <c r="S171" s="201"/>
      <c r="T171" s="201"/>
      <c r="U171" s="201"/>
      <c r="V171" s="201"/>
      <c r="W171" s="201"/>
      <c r="X171" s="201"/>
      <c r="Y171" s="201"/>
      <c r="Z171" s="201"/>
      <c r="AA171" s="201"/>
    </row>
    <row r="172">
      <c r="A172" s="201"/>
      <c r="B172" s="201"/>
      <c r="C172" s="201"/>
      <c r="D172" s="201"/>
      <c r="E172" s="201"/>
      <c r="F172" s="201"/>
      <c r="G172" s="201"/>
      <c r="H172" s="209"/>
      <c r="I172" s="209"/>
      <c r="J172" s="201"/>
      <c r="K172" s="210" t="s">
        <v>39</v>
      </c>
      <c r="L172" s="21"/>
      <c r="M172" s="201"/>
      <c r="N172" s="201"/>
      <c r="O172" s="201"/>
      <c r="P172" s="201"/>
      <c r="Q172" s="201"/>
      <c r="R172" s="201"/>
      <c r="S172" s="201"/>
      <c r="T172" s="201"/>
      <c r="U172" s="201"/>
      <c r="V172" s="201"/>
      <c r="W172" s="201"/>
      <c r="X172" s="201"/>
      <c r="Y172" s="201"/>
      <c r="Z172" s="201"/>
      <c r="AA172" s="201"/>
    </row>
    <row r="173">
      <c r="A173" s="201"/>
      <c r="B173" s="201"/>
      <c r="C173" s="201"/>
      <c r="D173" s="201"/>
      <c r="E173" s="201"/>
      <c r="F173" s="201"/>
      <c r="G173" s="201"/>
      <c r="H173" s="209"/>
      <c r="I173" s="209"/>
      <c r="J173" s="201"/>
      <c r="K173" s="210" t="s">
        <v>39</v>
      </c>
      <c r="L173" s="21"/>
      <c r="M173" s="201"/>
      <c r="N173" s="201"/>
      <c r="O173" s="201"/>
      <c r="P173" s="201"/>
      <c r="Q173" s="201"/>
      <c r="R173" s="201"/>
      <c r="S173" s="201"/>
      <c r="T173" s="201"/>
      <c r="U173" s="201"/>
      <c r="V173" s="201"/>
      <c r="W173" s="201"/>
      <c r="X173" s="201"/>
      <c r="Y173" s="201"/>
      <c r="Z173" s="201"/>
      <c r="AA173" s="201"/>
    </row>
    <row r="174">
      <c r="A174" s="201"/>
      <c r="B174" s="201"/>
      <c r="C174" s="201"/>
      <c r="D174" s="201"/>
      <c r="E174" s="201"/>
      <c r="F174" s="201"/>
      <c r="G174" s="201"/>
      <c r="H174" s="209"/>
      <c r="I174" s="209"/>
      <c r="J174" s="201"/>
      <c r="K174" s="210" t="s">
        <v>39</v>
      </c>
      <c r="L174" s="21"/>
      <c r="M174" s="201"/>
      <c r="N174" s="201"/>
      <c r="O174" s="201"/>
      <c r="P174" s="201"/>
      <c r="Q174" s="201"/>
      <c r="R174" s="201"/>
      <c r="S174" s="201"/>
      <c r="T174" s="201"/>
      <c r="U174" s="201"/>
      <c r="V174" s="201"/>
      <c r="W174" s="201"/>
      <c r="X174" s="201"/>
      <c r="Y174" s="201"/>
      <c r="Z174" s="201"/>
      <c r="AA174" s="201"/>
    </row>
    <row r="175">
      <c r="A175" s="201"/>
      <c r="B175" s="201"/>
      <c r="C175" s="201"/>
      <c r="D175" s="201"/>
      <c r="E175" s="201"/>
      <c r="F175" s="201"/>
      <c r="G175" s="201"/>
      <c r="H175" s="209"/>
      <c r="I175" s="209"/>
      <c r="J175" s="201"/>
      <c r="K175" s="210" t="s">
        <v>39</v>
      </c>
      <c r="L175" s="21"/>
      <c r="M175" s="201"/>
      <c r="N175" s="201"/>
      <c r="O175" s="201"/>
      <c r="P175" s="201"/>
      <c r="Q175" s="201"/>
      <c r="R175" s="201"/>
      <c r="S175" s="201"/>
      <c r="T175" s="201"/>
      <c r="U175" s="201"/>
      <c r="V175" s="201"/>
      <c r="W175" s="201"/>
      <c r="X175" s="201"/>
      <c r="Y175" s="201"/>
      <c r="Z175" s="201"/>
      <c r="AA175" s="201"/>
    </row>
    <row r="176">
      <c r="A176" s="201"/>
      <c r="B176" s="201"/>
      <c r="C176" s="201"/>
      <c r="D176" s="201"/>
      <c r="E176" s="201"/>
      <c r="F176" s="201"/>
      <c r="G176" s="201"/>
      <c r="H176" s="209"/>
      <c r="I176" s="209"/>
      <c r="J176" s="201"/>
      <c r="K176" s="210" t="s">
        <v>39</v>
      </c>
      <c r="L176" s="21"/>
      <c r="M176" s="201"/>
      <c r="N176" s="201"/>
      <c r="O176" s="201"/>
      <c r="P176" s="201"/>
      <c r="Q176" s="201"/>
      <c r="R176" s="201"/>
      <c r="S176" s="201"/>
      <c r="T176" s="201"/>
      <c r="U176" s="201"/>
      <c r="V176" s="201"/>
      <c r="W176" s="201"/>
      <c r="X176" s="201"/>
      <c r="Y176" s="201"/>
      <c r="Z176" s="201"/>
      <c r="AA176" s="201"/>
    </row>
    <row r="177">
      <c r="A177" s="201"/>
      <c r="B177" s="201"/>
      <c r="C177" s="201"/>
      <c r="D177" s="201"/>
      <c r="E177" s="201"/>
      <c r="F177" s="201"/>
      <c r="G177" s="201"/>
      <c r="H177" s="209"/>
      <c r="I177" s="209"/>
      <c r="J177" s="201"/>
      <c r="K177" s="210" t="s">
        <v>39</v>
      </c>
      <c r="L177" s="21"/>
      <c r="M177" s="201"/>
      <c r="N177" s="201"/>
      <c r="O177" s="201"/>
      <c r="P177" s="201"/>
      <c r="Q177" s="201"/>
      <c r="R177" s="201"/>
      <c r="S177" s="201"/>
      <c r="T177" s="201"/>
      <c r="U177" s="201"/>
      <c r="V177" s="201"/>
      <c r="W177" s="201"/>
      <c r="X177" s="201"/>
      <c r="Y177" s="201"/>
      <c r="Z177" s="201"/>
      <c r="AA177" s="201"/>
    </row>
    <row r="178">
      <c r="A178" s="201"/>
      <c r="B178" s="201"/>
      <c r="C178" s="201"/>
      <c r="D178" s="201"/>
      <c r="E178" s="201"/>
      <c r="F178" s="201"/>
      <c r="G178" s="201"/>
      <c r="H178" s="209"/>
      <c r="I178" s="209"/>
      <c r="J178" s="201"/>
      <c r="K178" s="210" t="s">
        <v>39</v>
      </c>
      <c r="L178" s="21"/>
      <c r="M178" s="201"/>
      <c r="N178" s="201"/>
      <c r="O178" s="201"/>
      <c r="P178" s="201"/>
      <c r="Q178" s="201"/>
      <c r="R178" s="201"/>
      <c r="S178" s="201"/>
      <c r="T178" s="201"/>
      <c r="U178" s="201"/>
      <c r="V178" s="201"/>
      <c r="W178" s="201"/>
      <c r="X178" s="201"/>
      <c r="Y178" s="201"/>
      <c r="Z178" s="201"/>
      <c r="AA178" s="201"/>
    </row>
    <row r="179">
      <c r="A179" s="201"/>
      <c r="B179" s="201"/>
      <c r="C179" s="201"/>
      <c r="D179" s="201"/>
      <c r="E179" s="201"/>
      <c r="F179" s="201"/>
      <c r="G179" s="201"/>
      <c r="H179" s="209"/>
      <c r="I179" s="209"/>
      <c r="J179" s="201"/>
      <c r="K179" s="210" t="s">
        <v>39</v>
      </c>
      <c r="L179" s="21"/>
      <c r="M179" s="201"/>
      <c r="N179" s="201"/>
      <c r="O179" s="201"/>
      <c r="P179" s="201"/>
      <c r="Q179" s="201"/>
      <c r="R179" s="201"/>
      <c r="S179" s="201"/>
      <c r="T179" s="201"/>
      <c r="U179" s="201"/>
      <c r="V179" s="201"/>
      <c r="W179" s="201"/>
      <c r="X179" s="201"/>
      <c r="Y179" s="201"/>
      <c r="Z179" s="201"/>
      <c r="AA179" s="201"/>
    </row>
    <row r="180">
      <c r="A180" s="201"/>
      <c r="B180" s="201"/>
      <c r="C180" s="201"/>
      <c r="D180" s="201"/>
      <c r="E180" s="201"/>
      <c r="F180" s="201"/>
      <c r="G180" s="201"/>
      <c r="H180" s="209"/>
      <c r="I180" s="209"/>
      <c r="J180" s="201"/>
      <c r="K180" s="210" t="s">
        <v>39</v>
      </c>
      <c r="L180" s="21"/>
      <c r="M180" s="201"/>
      <c r="N180" s="201"/>
      <c r="O180" s="201"/>
      <c r="P180" s="201"/>
      <c r="Q180" s="201"/>
      <c r="R180" s="201"/>
      <c r="S180" s="201"/>
      <c r="T180" s="201"/>
      <c r="U180" s="201"/>
      <c r="V180" s="201"/>
      <c r="W180" s="201"/>
      <c r="X180" s="201"/>
      <c r="Y180" s="201"/>
      <c r="Z180" s="201"/>
      <c r="AA180" s="201"/>
    </row>
    <row r="181">
      <c r="A181" s="201"/>
      <c r="B181" s="201"/>
      <c r="C181" s="201"/>
      <c r="D181" s="201"/>
      <c r="E181" s="201"/>
      <c r="F181" s="201"/>
      <c r="G181" s="201"/>
      <c r="H181" s="209"/>
      <c r="I181" s="209"/>
      <c r="J181" s="201"/>
      <c r="K181" s="210" t="s">
        <v>39</v>
      </c>
      <c r="L181" s="21"/>
      <c r="M181" s="201"/>
      <c r="N181" s="201"/>
      <c r="O181" s="201"/>
      <c r="P181" s="201"/>
      <c r="Q181" s="201"/>
      <c r="R181" s="201"/>
      <c r="S181" s="201"/>
      <c r="T181" s="201"/>
      <c r="U181" s="201"/>
      <c r="V181" s="201"/>
      <c r="W181" s="201"/>
      <c r="X181" s="201"/>
      <c r="Y181" s="201"/>
      <c r="Z181" s="201"/>
      <c r="AA181" s="201"/>
    </row>
    <row r="182">
      <c r="A182" s="201"/>
      <c r="B182" s="201"/>
      <c r="C182" s="201"/>
      <c r="D182" s="201"/>
      <c r="E182" s="201"/>
      <c r="F182" s="201"/>
      <c r="G182" s="201"/>
      <c r="H182" s="209"/>
      <c r="I182" s="209"/>
      <c r="J182" s="201"/>
      <c r="K182" s="210" t="s">
        <v>39</v>
      </c>
      <c r="L182" s="21"/>
      <c r="M182" s="201"/>
      <c r="N182" s="201"/>
      <c r="O182" s="201"/>
      <c r="P182" s="201"/>
      <c r="Q182" s="201"/>
      <c r="R182" s="201"/>
      <c r="S182" s="201"/>
      <c r="T182" s="201"/>
      <c r="U182" s="201"/>
      <c r="V182" s="201"/>
      <c r="W182" s="201"/>
      <c r="X182" s="201"/>
      <c r="Y182" s="201"/>
      <c r="Z182" s="201"/>
      <c r="AA182" s="201"/>
    </row>
    <row r="183">
      <c r="A183" s="201"/>
      <c r="B183" s="201"/>
      <c r="C183" s="201"/>
      <c r="D183" s="201"/>
      <c r="E183" s="201"/>
      <c r="F183" s="201"/>
      <c r="G183" s="201"/>
      <c r="H183" s="209"/>
      <c r="I183" s="209"/>
      <c r="J183" s="201"/>
      <c r="K183" s="210" t="s">
        <v>39</v>
      </c>
      <c r="L183" s="21"/>
      <c r="M183" s="201"/>
      <c r="N183" s="201"/>
      <c r="O183" s="201"/>
      <c r="P183" s="201"/>
      <c r="Q183" s="201"/>
      <c r="R183" s="201"/>
      <c r="S183" s="201"/>
      <c r="T183" s="201"/>
      <c r="U183" s="201"/>
      <c r="V183" s="201"/>
      <c r="W183" s="201"/>
      <c r="X183" s="201"/>
      <c r="Y183" s="201"/>
      <c r="Z183" s="201"/>
      <c r="AA183" s="201"/>
    </row>
    <row r="184">
      <c r="A184" s="201"/>
      <c r="B184" s="201"/>
      <c r="C184" s="201"/>
      <c r="D184" s="201"/>
      <c r="E184" s="201"/>
      <c r="F184" s="201"/>
      <c r="G184" s="201"/>
      <c r="H184" s="209"/>
      <c r="I184" s="209"/>
      <c r="J184" s="201"/>
      <c r="K184" s="210" t="s">
        <v>39</v>
      </c>
      <c r="L184" s="21"/>
      <c r="M184" s="201"/>
      <c r="N184" s="201"/>
      <c r="O184" s="201"/>
      <c r="P184" s="201"/>
      <c r="Q184" s="201"/>
      <c r="R184" s="201"/>
      <c r="S184" s="201"/>
      <c r="T184" s="201"/>
      <c r="U184" s="201"/>
      <c r="V184" s="201"/>
      <c r="W184" s="201"/>
      <c r="X184" s="201"/>
      <c r="Y184" s="201"/>
      <c r="Z184" s="201"/>
      <c r="AA184" s="201"/>
    </row>
    <row r="185">
      <c r="A185" s="201"/>
      <c r="B185" s="201"/>
      <c r="C185" s="201"/>
      <c r="D185" s="201"/>
      <c r="E185" s="201"/>
      <c r="F185" s="201"/>
      <c r="G185" s="201"/>
      <c r="H185" s="209"/>
      <c r="I185" s="209"/>
      <c r="J185" s="201"/>
      <c r="K185" s="210" t="s">
        <v>39</v>
      </c>
      <c r="L185" s="21"/>
      <c r="M185" s="201"/>
      <c r="N185" s="201"/>
      <c r="O185" s="201"/>
      <c r="P185" s="201"/>
      <c r="Q185" s="201"/>
      <c r="R185" s="201"/>
      <c r="S185" s="201"/>
      <c r="T185" s="201"/>
      <c r="U185" s="201"/>
      <c r="V185" s="201"/>
      <c r="W185" s="201"/>
      <c r="X185" s="201"/>
      <c r="Y185" s="201"/>
      <c r="Z185" s="201"/>
      <c r="AA185" s="201"/>
    </row>
    <row r="186">
      <c r="A186" s="201"/>
      <c r="B186" s="201"/>
      <c r="C186" s="201"/>
      <c r="D186" s="201"/>
      <c r="E186" s="201"/>
      <c r="F186" s="201"/>
      <c r="G186" s="201"/>
      <c r="H186" s="209"/>
      <c r="I186" s="209"/>
      <c r="J186" s="201"/>
      <c r="K186" s="210" t="s">
        <v>39</v>
      </c>
      <c r="L186" s="21"/>
      <c r="M186" s="201"/>
      <c r="N186" s="201"/>
      <c r="O186" s="201"/>
      <c r="P186" s="201"/>
      <c r="Q186" s="201"/>
      <c r="R186" s="201"/>
      <c r="S186" s="201"/>
      <c r="T186" s="201"/>
      <c r="U186" s="201"/>
      <c r="V186" s="201"/>
      <c r="W186" s="201"/>
      <c r="X186" s="201"/>
      <c r="Y186" s="201"/>
      <c r="Z186" s="201"/>
      <c r="AA186" s="201"/>
    </row>
    <row r="187">
      <c r="A187" s="201"/>
      <c r="B187" s="201"/>
      <c r="C187" s="201"/>
      <c r="D187" s="201"/>
      <c r="E187" s="201"/>
      <c r="F187" s="201"/>
      <c r="G187" s="201"/>
      <c r="H187" s="209"/>
      <c r="I187" s="209"/>
      <c r="J187" s="201"/>
      <c r="K187" s="210" t="s">
        <v>39</v>
      </c>
      <c r="L187" s="21"/>
      <c r="M187" s="201"/>
      <c r="N187" s="201"/>
      <c r="O187" s="201"/>
      <c r="P187" s="201"/>
      <c r="Q187" s="201"/>
      <c r="R187" s="201"/>
      <c r="S187" s="201"/>
      <c r="T187" s="201"/>
      <c r="U187" s="201"/>
      <c r="V187" s="201"/>
      <c r="W187" s="201"/>
      <c r="X187" s="201"/>
      <c r="Y187" s="201"/>
      <c r="Z187" s="201"/>
      <c r="AA187" s="201"/>
    </row>
    <row r="188">
      <c r="A188" s="201"/>
      <c r="B188" s="201"/>
      <c r="C188" s="201"/>
      <c r="D188" s="201"/>
      <c r="E188" s="201"/>
      <c r="F188" s="201"/>
      <c r="G188" s="201"/>
      <c r="H188" s="209"/>
      <c r="I188" s="209"/>
      <c r="J188" s="201"/>
      <c r="K188" s="210" t="s">
        <v>39</v>
      </c>
      <c r="L188" s="21"/>
      <c r="M188" s="201"/>
      <c r="N188" s="201"/>
      <c r="O188" s="201"/>
      <c r="P188" s="201"/>
      <c r="Q188" s="201"/>
      <c r="R188" s="201"/>
      <c r="S188" s="201"/>
      <c r="T188" s="201"/>
      <c r="U188" s="201"/>
      <c r="V188" s="201"/>
      <c r="W188" s="201"/>
      <c r="X188" s="201"/>
      <c r="Y188" s="201"/>
      <c r="Z188" s="201"/>
      <c r="AA188" s="201"/>
    </row>
    <row r="189">
      <c r="A189" s="201"/>
      <c r="B189" s="201"/>
      <c r="C189" s="201"/>
      <c r="D189" s="201"/>
      <c r="E189" s="201"/>
      <c r="F189" s="201"/>
      <c r="G189" s="201"/>
      <c r="H189" s="209"/>
      <c r="I189" s="209"/>
      <c r="J189" s="201"/>
      <c r="K189" s="210" t="s">
        <v>39</v>
      </c>
      <c r="L189" s="21"/>
      <c r="M189" s="201"/>
      <c r="N189" s="201"/>
      <c r="O189" s="201"/>
      <c r="P189" s="201"/>
      <c r="Q189" s="201"/>
      <c r="R189" s="201"/>
      <c r="S189" s="201"/>
      <c r="T189" s="201"/>
      <c r="U189" s="201"/>
      <c r="V189" s="201"/>
      <c r="W189" s="201"/>
      <c r="X189" s="201"/>
      <c r="Y189" s="201"/>
      <c r="Z189" s="201"/>
      <c r="AA189" s="201"/>
    </row>
    <row r="190">
      <c r="A190" s="201"/>
      <c r="B190" s="201"/>
      <c r="C190" s="201"/>
      <c r="D190" s="201"/>
      <c r="E190" s="201"/>
      <c r="F190" s="201"/>
      <c r="G190" s="201"/>
      <c r="H190" s="209"/>
      <c r="I190" s="209"/>
      <c r="J190" s="201"/>
      <c r="K190" s="210" t="s">
        <v>39</v>
      </c>
      <c r="L190" s="21"/>
      <c r="M190" s="201"/>
      <c r="N190" s="201"/>
      <c r="O190" s="201"/>
      <c r="P190" s="201"/>
      <c r="Q190" s="201"/>
      <c r="R190" s="201"/>
      <c r="S190" s="201"/>
      <c r="T190" s="201"/>
      <c r="U190" s="201"/>
      <c r="V190" s="201"/>
      <c r="W190" s="201"/>
      <c r="X190" s="201"/>
      <c r="Y190" s="201"/>
      <c r="Z190" s="201"/>
      <c r="AA190" s="201"/>
    </row>
    <row r="191">
      <c r="A191" s="201"/>
      <c r="B191" s="201"/>
      <c r="C191" s="201"/>
      <c r="D191" s="201"/>
      <c r="E191" s="201"/>
      <c r="F191" s="201"/>
      <c r="G191" s="201"/>
      <c r="H191" s="209"/>
      <c r="I191" s="209"/>
      <c r="J191" s="201"/>
      <c r="K191" s="210" t="s">
        <v>39</v>
      </c>
      <c r="L191" s="21"/>
      <c r="M191" s="201"/>
      <c r="N191" s="201"/>
      <c r="O191" s="201"/>
      <c r="P191" s="201"/>
      <c r="Q191" s="201"/>
      <c r="R191" s="201"/>
      <c r="S191" s="201"/>
      <c r="T191" s="201"/>
      <c r="U191" s="201"/>
      <c r="V191" s="201"/>
      <c r="W191" s="201"/>
      <c r="X191" s="201"/>
      <c r="Y191" s="201"/>
      <c r="Z191" s="201"/>
      <c r="AA191" s="201"/>
    </row>
    <row r="192">
      <c r="A192" s="201"/>
      <c r="B192" s="201"/>
      <c r="C192" s="201"/>
      <c r="D192" s="201"/>
      <c r="E192" s="201"/>
      <c r="F192" s="201"/>
      <c r="G192" s="201"/>
      <c r="H192" s="209"/>
      <c r="I192" s="209"/>
      <c r="J192" s="201"/>
      <c r="K192" s="210" t="s">
        <v>39</v>
      </c>
      <c r="L192" s="21"/>
      <c r="M192" s="201"/>
      <c r="N192" s="201"/>
      <c r="O192" s="201"/>
      <c r="P192" s="201"/>
      <c r="Q192" s="201"/>
      <c r="R192" s="201"/>
      <c r="S192" s="201"/>
      <c r="T192" s="201"/>
      <c r="U192" s="201"/>
      <c r="V192" s="201"/>
      <c r="W192" s="201"/>
      <c r="X192" s="201"/>
      <c r="Y192" s="201"/>
      <c r="Z192" s="201"/>
      <c r="AA192" s="201"/>
    </row>
    <row r="193">
      <c r="A193" s="201"/>
      <c r="B193" s="201"/>
      <c r="C193" s="201"/>
      <c r="D193" s="201"/>
      <c r="E193" s="201"/>
      <c r="F193" s="201"/>
      <c r="G193" s="201"/>
      <c r="H193" s="209"/>
      <c r="I193" s="209"/>
      <c r="J193" s="201"/>
      <c r="K193" s="210" t="s">
        <v>39</v>
      </c>
      <c r="L193" s="21"/>
      <c r="M193" s="201"/>
      <c r="N193" s="201"/>
      <c r="O193" s="201"/>
      <c r="P193" s="201"/>
      <c r="Q193" s="201"/>
      <c r="R193" s="201"/>
      <c r="S193" s="201"/>
      <c r="T193" s="201"/>
      <c r="U193" s="201"/>
      <c r="V193" s="201"/>
      <c r="W193" s="201"/>
      <c r="X193" s="201"/>
      <c r="Y193" s="201"/>
      <c r="Z193" s="201"/>
      <c r="AA193" s="201"/>
    </row>
    <row r="194">
      <c r="A194" s="201"/>
      <c r="B194" s="201"/>
      <c r="C194" s="201"/>
      <c r="D194" s="201"/>
      <c r="E194" s="201"/>
      <c r="F194" s="201"/>
      <c r="G194" s="201"/>
      <c r="H194" s="209"/>
      <c r="I194" s="209"/>
      <c r="J194" s="201"/>
      <c r="K194" s="210" t="s">
        <v>39</v>
      </c>
      <c r="L194" s="21"/>
      <c r="M194" s="201"/>
      <c r="N194" s="201"/>
      <c r="O194" s="201"/>
      <c r="P194" s="201"/>
      <c r="Q194" s="201"/>
      <c r="R194" s="201"/>
      <c r="S194" s="201"/>
      <c r="T194" s="201"/>
      <c r="U194" s="201"/>
      <c r="V194" s="201"/>
      <c r="W194" s="201"/>
      <c r="X194" s="201"/>
      <c r="Y194" s="201"/>
      <c r="Z194" s="201"/>
      <c r="AA194" s="201"/>
    </row>
    <row r="195">
      <c r="A195" s="201"/>
      <c r="B195" s="201"/>
      <c r="C195" s="201"/>
      <c r="D195" s="201"/>
      <c r="E195" s="201"/>
      <c r="F195" s="201"/>
      <c r="G195" s="201"/>
      <c r="H195" s="209"/>
      <c r="I195" s="209"/>
      <c r="J195" s="201"/>
      <c r="K195" s="210" t="s">
        <v>39</v>
      </c>
      <c r="L195" s="21"/>
      <c r="M195" s="201"/>
      <c r="N195" s="201"/>
      <c r="O195" s="201"/>
      <c r="P195" s="201"/>
      <c r="Q195" s="201"/>
      <c r="R195" s="201"/>
      <c r="S195" s="201"/>
      <c r="T195" s="201"/>
      <c r="U195" s="201"/>
      <c r="V195" s="201"/>
      <c r="W195" s="201"/>
      <c r="X195" s="201"/>
      <c r="Y195" s="201"/>
      <c r="Z195" s="201"/>
      <c r="AA195" s="201"/>
    </row>
    <row r="196">
      <c r="A196" s="201"/>
      <c r="B196" s="201"/>
      <c r="C196" s="201"/>
      <c r="D196" s="201"/>
      <c r="E196" s="201"/>
      <c r="F196" s="201"/>
      <c r="G196" s="201"/>
      <c r="H196" s="209"/>
      <c r="I196" s="209"/>
      <c r="J196" s="201"/>
      <c r="K196" s="210" t="s">
        <v>39</v>
      </c>
      <c r="L196" s="21"/>
      <c r="M196" s="201"/>
      <c r="N196" s="201"/>
      <c r="O196" s="201"/>
      <c r="P196" s="201"/>
      <c r="Q196" s="201"/>
      <c r="R196" s="201"/>
      <c r="S196" s="201"/>
      <c r="T196" s="201"/>
      <c r="U196" s="201"/>
      <c r="V196" s="201"/>
      <c r="W196" s="201"/>
      <c r="X196" s="201"/>
      <c r="Y196" s="201"/>
      <c r="Z196" s="201"/>
      <c r="AA196" s="201"/>
    </row>
    <row r="197">
      <c r="A197" s="201"/>
      <c r="B197" s="201"/>
      <c r="C197" s="201"/>
      <c r="D197" s="201"/>
      <c r="E197" s="201"/>
      <c r="F197" s="201"/>
      <c r="G197" s="201"/>
      <c r="H197" s="209"/>
      <c r="I197" s="209"/>
      <c r="J197" s="201"/>
      <c r="K197" s="210" t="s">
        <v>39</v>
      </c>
      <c r="L197" s="21"/>
      <c r="M197" s="201"/>
      <c r="N197" s="201"/>
      <c r="O197" s="201"/>
      <c r="P197" s="201"/>
      <c r="Q197" s="201"/>
      <c r="R197" s="201"/>
      <c r="S197" s="201"/>
      <c r="T197" s="201"/>
      <c r="U197" s="201"/>
      <c r="V197" s="201"/>
      <c r="W197" s="201"/>
      <c r="X197" s="201"/>
      <c r="Y197" s="201"/>
      <c r="Z197" s="201"/>
      <c r="AA197" s="201"/>
    </row>
    <row r="198">
      <c r="A198" s="201"/>
      <c r="B198" s="201"/>
      <c r="C198" s="201"/>
      <c r="D198" s="201"/>
      <c r="E198" s="201"/>
      <c r="F198" s="201"/>
      <c r="G198" s="201"/>
      <c r="H198" s="209"/>
      <c r="I198" s="209"/>
      <c r="J198" s="201"/>
      <c r="K198" s="210" t="s">
        <v>39</v>
      </c>
      <c r="L198" s="21"/>
      <c r="M198" s="201"/>
      <c r="N198" s="201"/>
      <c r="O198" s="201"/>
      <c r="P198" s="201"/>
      <c r="Q198" s="201"/>
      <c r="R198" s="201"/>
      <c r="S198" s="201"/>
      <c r="T198" s="201"/>
      <c r="U198" s="201"/>
      <c r="V198" s="201"/>
      <c r="W198" s="201"/>
      <c r="X198" s="201"/>
      <c r="Y198" s="201"/>
      <c r="Z198" s="201"/>
      <c r="AA198" s="201"/>
    </row>
    <row r="199">
      <c r="A199" s="201"/>
      <c r="B199" s="201"/>
      <c r="C199" s="201"/>
      <c r="D199" s="201"/>
      <c r="E199" s="201"/>
      <c r="F199" s="201"/>
      <c r="G199" s="201"/>
      <c r="H199" s="209"/>
      <c r="I199" s="209"/>
      <c r="J199" s="201"/>
      <c r="K199" s="210" t="s">
        <v>39</v>
      </c>
      <c r="L199" s="21"/>
      <c r="M199" s="201"/>
      <c r="N199" s="201"/>
      <c r="O199" s="201"/>
      <c r="P199" s="201"/>
      <c r="Q199" s="201"/>
      <c r="R199" s="201"/>
      <c r="S199" s="201"/>
      <c r="T199" s="201"/>
      <c r="U199" s="201"/>
      <c r="V199" s="201"/>
      <c r="W199" s="201"/>
      <c r="X199" s="201"/>
      <c r="Y199" s="201"/>
      <c r="Z199" s="201"/>
      <c r="AA199" s="201"/>
    </row>
    <row r="200">
      <c r="A200" s="201"/>
      <c r="B200" s="201"/>
      <c r="C200" s="201"/>
      <c r="D200" s="201"/>
      <c r="E200" s="201"/>
      <c r="F200" s="201"/>
      <c r="G200" s="201"/>
      <c r="H200" s="209"/>
      <c r="I200" s="209"/>
      <c r="J200" s="201"/>
      <c r="K200" s="210" t="s">
        <v>39</v>
      </c>
      <c r="L200" s="21"/>
      <c r="M200" s="201"/>
      <c r="N200" s="201"/>
      <c r="O200" s="201"/>
      <c r="P200" s="201"/>
      <c r="Q200" s="201"/>
      <c r="R200" s="201"/>
      <c r="S200" s="201"/>
      <c r="T200" s="201"/>
      <c r="U200" s="201"/>
      <c r="V200" s="201"/>
      <c r="W200" s="201"/>
      <c r="X200" s="201"/>
      <c r="Y200" s="201"/>
      <c r="Z200" s="201"/>
      <c r="AA200" s="201"/>
    </row>
    <row r="201">
      <c r="A201" s="201"/>
      <c r="B201" s="201"/>
      <c r="C201" s="201"/>
      <c r="D201" s="201"/>
      <c r="E201" s="201"/>
      <c r="F201" s="201"/>
      <c r="G201" s="201"/>
      <c r="H201" s="209"/>
      <c r="I201" s="209"/>
      <c r="J201" s="201"/>
      <c r="K201" s="210" t="s">
        <v>39</v>
      </c>
      <c r="L201" s="21"/>
      <c r="M201" s="201"/>
      <c r="N201" s="201"/>
      <c r="O201" s="201"/>
      <c r="P201" s="201"/>
      <c r="Q201" s="201"/>
      <c r="R201" s="201"/>
      <c r="S201" s="201"/>
      <c r="T201" s="201"/>
      <c r="U201" s="201"/>
      <c r="V201" s="201"/>
      <c r="W201" s="201"/>
      <c r="X201" s="201"/>
      <c r="Y201" s="201"/>
      <c r="Z201" s="201"/>
      <c r="AA201" s="201"/>
    </row>
    <row r="202">
      <c r="A202" s="201"/>
      <c r="B202" s="201"/>
      <c r="C202" s="201"/>
      <c r="D202" s="201"/>
      <c r="E202" s="201"/>
      <c r="F202" s="201"/>
      <c r="G202" s="201"/>
      <c r="H202" s="209"/>
      <c r="I202" s="209"/>
      <c r="J202" s="201"/>
      <c r="K202" s="210" t="s">
        <v>39</v>
      </c>
      <c r="L202" s="21"/>
      <c r="M202" s="201"/>
      <c r="N202" s="201"/>
      <c r="O202" s="201"/>
      <c r="P202" s="201"/>
      <c r="Q202" s="201"/>
      <c r="R202" s="201"/>
      <c r="S202" s="201"/>
      <c r="T202" s="201"/>
      <c r="U202" s="201"/>
      <c r="V202" s="201"/>
      <c r="W202" s="201"/>
      <c r="X202" s="201"/>
      <c r="Y202" s="201"/>
      <c r="Z202" s="201"/>
      <c r="AA202" s="201"/>
    </row>
    <row r="203">
      <c r="A203" s="201"/>
      <c r="B203" s="201"/>
      <c r="C203" s="201"/>
      <c r="D203" s="201"/>
      <c r="E203" s="201"/>
      <c r="F203" s="201"/>
      <c r="G203" s="201"/>
      <c r="H203" s="209"/>
      <c r="I203" s="209"/>
      <c r="J203" s="201"/>
      <c r="K203" s="210" t="s">
        <v>39</v>
      </c>
      <c r="L203" s="21"/>
      <c r="M203" s="201"/>
      <c r="N203" s="201"/>
      <c r="O203" s="201"/>
      <c r="P203" s="201"/>
      <c r="Q203" s="201"/>
      <c r="R203" s="201"/>
      <c r="S203" s="201"/>
      <c r="T203" s="201"/>
      <c r="U203" s="201"/>
      <c r="V203" s="201"/>
      <c r="W203" s="201"/>
      <c r="X203" s="201"/>
      <c r="Y203" s="201"/>
      <c r="Z203" s="201"/>
      <c r="AA203" s="201"/>
    </row>
    <row r="204">
      <c r="A204" s="201"/>
      <c r="B204" s="201"/>
      <c r="C204" s="201"/>
      <c r="D204" s="201"/>
      <c r="E204" s="201"/>
      <c r="F204" s="201"/>
      <c r="G204" s="201"/>
      <c r="H204" s="209"/>
      <c r="I204" s="209"/>
      <c r="J204" s="201"/>
      <c r="K204" s="210" t="s">
        <v>39</v>
      </c>
      <c r="L204" s="21"/>
      <c r="M204" s="201"/>
      <c r="N204" s="201"/>
      <c r="O204" s="201"/>
      <c r="P204" s="201"/>
      <c r="Q204" s="201"/>
      <c r="R204" s="201"/>
      <c r="S204" s="201"/>
      <c r="T204" s="201"/>
      <c r="U204" s="201"/>
      <c r="V204" s="201"/>
      <c r="W204" s="201"/>
      <c r="X204" s="201"/>
      <c r="Y204" s="201"/>
      <c r="Z204" s="201"/>
      <c r="AA204" s="201"/>
    </row>
    <row r="205">
      <c r="A205" s="201"/>
      <c r="B205" s="201"/>
      <c r="C205" s="201"/>
      <c r="D205" s="201"/>
      <c r="E205" s="201"/>
      <c r="F205" s="201"/>
      <c r="G205" s="201"/>
      <c r="H205" s="209"/>
      <c r="I205" s="209"/>
      <c r="J205" s="201"/>
      <c r="K205" s="210" t="s">
        <v>39</v>
      </c>
      <c r="L205" s="21"/>
      <c r="M205" s="201"/>
      <c r="N205" s="201"/>
      <c r="O205" s="201"/>
      <c r="P205" s="201"/>
      <c r="Q205" s="201"/>
      <c r="R205" s="201"/>
      <c r="S205" s="201"/>
      <c r="T205" s="201"/>
      <c r="U205" s="201"/>
      <c r="V205" s="201"/>
      <c r="W205" s="201"/>
      <c r="X205" s="201"/>
      <c r="Y205" s="201"/>
      <c r="Z205" s="201"/>
      <c r="AA205" s="201"/>
    </row>
    <row r="206">
      <c r="A206" s="201"/>
      <c r="B206" s="201"/>
      <c r="C206" s="201"/>
      <c r="D206" s="201"/>
      <c r="E206" s="201"/>
      <c r="F206" s="201"/>
      <c r="G206" s="201"/>
      <c r="H206" s="209"/>
      <c r="I206" s="209"/>
      <c r="J206" s="201"/>
      <c r="K206" s="210" t="s">
        <v>39</v>
      </c>
      <c r="L206" s="21"/>
      <c r="M206" s="201"/>
      <c r="N206" s="201"/>
      <c r="O206" s="201"/>
      <c r="P206" s="201"/>
      <c r="Q206" s="201"/>
      <c r="R206" s="201"/>
      <c r="S206" s="201"/>
      <c r="T206" s="201"/>
      <c r="U206" s="201"/>
      <c r="V206" s="201"/>
      <c r="W206" s="201"/>
      <c r="X206" s="201"/>
      <c r="Y206" s="201"/>
      <c r="Z206" s="201"/>
      <c r="AA206" s="201"/>
    </row>
    <row r="207">
      <c r="A207" s="201"/>
      <c r="B207" s="201"/>
      <c r="C207" s="201"/>
      <c r="D207" s="201"/>
      <c r="E207" s="201"/>
      <c r="F207" s="201"/>
      <c r="G207" s="201"/>
      <c r="H207" s="209"/>
      <c r="I207" s="209"/>
      <c r="J207" s="201"/>
      <c r="K207" s="210" t="s">
        <v>39</v>
      </c>
      <c r="L207" s="21"/>
      <c r="M207" s="201"/>
      <c r="N207" s="201"/>
      <c r="O207" s="201"/>
      <c r="P207" s="201"/>
      <c r="Q207" s="201"/>
      <c r="R207" s="201"/>
      <c r="S207" s="201"/>
      <c r="T207" s="201"/>
      <c r="U207" s="201"/>
      <c r="V207" s="201"/>
      <c r="W207" s="201"/>
      <c r="X207" s="201"/>
      <c r="Y207" s="201"/>
      <c r="Z207" s="201"/>
      <c r="AA207" s="201"/>
    </row>
    <row r="208">
      <c r="A208" s="201"/>
      <c r="B208" s="201"/>
      <c r="C208" s="201"/>
      <c r="D208" s="201"/>
      <c r="E208" s="201"/>
      <c r="F208" s="201"/>
      <c r="G208" s="201"/>
      <c r="H208" s="209"/>
      <c r="I208" s="209"/>
      <c r="J208" s="201"/>
      <c r="K208" s="210" t="s">
        <v>39</v>
      </c>
      <c r="L208" s="21"/>
      <c r="M208" s="201"/>
      <c r="N208" s="201"/>
      <c r="O208" s="201"/>
      <c r="P208" s="201"/>
      <c r="Q208" s="201"/>
      <c r="R208" s="201"/>
      <c r="S208" s="201"/>
      <c r="T208" s="201"/>
      <c r="U208" s="201"/>
      <c r="V208" s="201"/>
      <c r="W208" s="201"/>
      <c r="X208" s="201"/>
      <c r="Y208" s="201"/>
      <c r="Z208" s="201"/>
      <c r="AA208" s="201"/>
    </row>
    <row r="209">
      <c r="A209" s="201"/>
      <c r="B209" s="201"/>
      <c r="C209" s="201"/>
      <c r="D209" s="201"/>
      <c r="E209" s="201"/>
      <c r="F209" s="201"/>
      <c r="G209" s="201"/>
      <c r="H209" s="209"/>
      <c r="I209" s="209"/>
      <c r="J209" s="201"/>
      <c r="K209" s="210" t="s">
        <v>39</v>
      </c>
      <c r="L209" s="21"/>
      <c r="M209" s="201"/>
      <c r="N209" s="201"/>
      <c r="O209" s="201"/>
      <c r="P209" s="201"/>
      <c r="Q209" s="201"/>
      <c r="R209" s="201"/>
      <c r="S209" s="201"/>
      <c r="T209" s="201"/>
      <c r="U209" s="201"/>
      <c r="V209" s="201"/>
      <c r="W209" s="201"/>
      <c r="X209" s="201"/>
      <c r="Y209" s="201"/>
      <c r="Z209" s="201"/>
      <c r="AA209" s="201"/>
    </row>
    <row r="210">
      <c r="A210" s="201"/>
      <c r="B210" s="201"/>
      <c r="C210" s="201"/>
      <c r="D210" s="201"/>
      <c r="E210" s="201"/>
      <c r="F210" s="201"/>
      <c r="G210" s="201"/>
      <c r="H210" s="209"/>
      <c r="I210" s="209"/>
      <c r="J210" s="201"/>
      <c r="K210" s="210" t="s">
        <v>39</v>
      </c>
      <c r="L210" s="21"/>
      <c r="M210" s="201"/>
      <c r="N210" s="201"/>
      <c r="O210" s="201"/>
      <c r="P210" s="201"/>
      <c r="Q210" s="201"/>
      <c r="R210" s="201"/>
      <c r="S210" s="201"/>
      <c r="T210" s="201"/>
      <c r="U210" s="201"/>
      <c r="V210" s="201"/>
      <c r="W210" s="201"/>
      <c r="X210" s="201"/>
      <c r="Y210" s="201"/>
      <c r="Z210" s="201"/>
      <c r="AA210" s="201"/>
    </row>
    <row r="211">
      <c r="A211" s="201"/>
      <c r="B211" s="201"/>
      <c r="C211" s="201"/>
      <c r="D211" s="201"/>
      <c r="E211" s="201"/>
      <c r="F211" s="201"/>
      <c r="G211" s="201"/>
      <c r="H211" s="209"/>
      <c r="I211" s="209"/>
      <c r="J211" s="201"/>
      <c r="K211" s="210" t="s">
        <v>39</v>
      </c>
      <c r="L211" s="21"/>
      <c r="M211" s="201"/>
      <c r="N211" s="201"/>
      <c r="O211" s="201"/>
      <c r="P211" s="201"/>
      <c r="Q211" s="201"/>
      <c r="R211" s="201"/>
      <c r="S211" s="201"/>
      <c r="T211" s="201"/>
      <c r="U211" s="201"/>
      <c r="V211" s="201"/>
      <c r="W211" s="201"/>
      <c r="X211" s="201"/>
      <c r="Y211" s="201"/>
      <c r="Z211" s="201"/>
      <c r="AA211" s="201"/>
    </row>
    <row r="212">
      <c r="A212" s="201"/>
      <c r="B212" s="201"/>
      <c r="C212" s="201"/>
      <c r="D212" s="201"/>
      <c r="E212" s="201"/>
      <c r="F212" s="201"/>
      <c r="G212" s="201"/>
      <c r="H212" s="209"/>
      <c r="I212" s="209"/>
      <c r="J212" s="201"/>
      <c r="K212" s="210" t="s">
        <v>39</v>
      </c>
      <c r="L212" s="21"/>
      <c r="M212" s="201"/>
      <c r="N212" s="201"/>
      <c r="O212" s="201"/>
      <c r="P212" s="201"/>
      <c r="Q212" s="201"/>
      <c r="R212" s="201"/>
      <c r="S212" s="201"/>
      <c r="T212" s="201"/>
      <c r="U212" s="201"/>
      <c r="V212" s="201"/>
      <c r="W212" s="201"/>
      <c r="X212" s="201"/>
      <c r="Y212" s="201"/>
      <c r="Z212" s="201"/>
      <c r="AA212" s="201"/>
    </row>
    <row r="213">
      <c r="A213" s="201"/>
      <c r="B213" s="201"/>
      <c r="C213" s="201"/>
      <c r="D213" s="201"/>
      <c r="E213" s="201"/>
      <c r="F213" s="201"/>
      <c r="G213" s="201"/>
      <c r="H213" s="209"/>
      <c r="I213" s="209"/>
      <c r="J213" s="201"/>
      <c r="K213" s="210" t="s">
        <v>39</v>
      </c>
      <c r="L213" s="21"/>
      <c r="M213" s="201"/>
      <c r="N213" s="201"/>
      <c r="O213" s="201"/>
      <c r="P213" s="201"/>
      <c r="Q213" s="201"/>
      <c r="R213" s="201"/>
      <c r="S213" s="201"/>
      <c r="T213" s="201"/>
      <c r="U213" s="201"/>
      <c r="V213" s="201"/>
      <c r="W213" s="201"/>
      <c r="X213" s="201"/>
      <c r="Y213" s="201"/>
      <c r="Z213" s="201"/>
      <c r="AA213" s="201"/>
    </row>
    <row r="214">
      <c r="A214" s="201"/>
      <c r="B214" s="201"/>
      <c r="C214" s="201"/>
      <c r="D214" s="201"/>
      <c r="E214" s="201"/>
      <c r="F214" s="201"/>
      <c r="G214" s="201"/>
      <c r="H214" s="209"/>
      <c r="I214" s="209"/>
      <c r="J214" s="201"/>
      <c r="K214" s="210" t="s">
        <v>39</v>
      </c>
      <c r="L214" s="21"/>
      <c r="M214" s="201"/>
      <c r="N214" s="201"/>
      <c r="O214" s="201"/>
      <c r="P214" s="201"/>
      <c r="Q214" s="201"/>
      <c r="R214" s="201"/>
      <c r="S214" s="201"/>
      <c r="T214" s="201"/>
      <c r="U214" s="201"/>
      <c r="V214" s="201"/>
      <c r="W214" s="201"/>
      <c r="X214" s="201"/>
      <c r="Y214" s="201"/>
      <c r="Z214" s="201"/>
      <c r="AA214" s="201"/>
    </row>
    <row r="215">
      <c r="A215" s="201"/>
      <c r="B215" s="201"/>
      <c r="C215" s="201"/>
      <c r="D215" s="201"/>
      <c r="E215" s="201"/>
      <c r="F215" s="201"/>
      <c r="G215" s="201"/>
      <c r="H215" s="209"/>
      <c r="I215" s="209"/>
      <c r="J215" s="201"/>
      <c r="K215" s="210" t="s">
        <v>39</v>
      </c>
      <c r="L215" s="21"/>
      <c r="M215" s="201"/>
      <c r="N215" s="201"/>
      <c r="O215" s="201"/>
      <c r="P215" s="201"/>
      <c r="Q215" s="201"/>
      <c r="R215" s="201"/>
      <c r="S215" s="201"/>
      <c r="T215" s="201"/>
      <c r="U215" s="201"/>
      <c r="V215" s="201"/>
      <c r="W215" s="201"/>
      <c r="X215" s="201"/>
      <c r="Y215" s="201"/>
      <c r="Z215" s="201"/>
      <c r="AA215" s="201"/>
    </row>
    <row r="216">
      <c r="A216" s="201"/>
      <c r="B216" s="201"/>
      <c r="C216" s="201"/>
      <c r="D216" s="201"/>
      <c r="E216" s="201"/>
      <c r="F216" s="201"/>
      <c r="G216" s="201"/>
      <c r="H216" s="209"/>
      <c r="I216" s="209"/>
      <c r="J216" s="201"/>
      <c r="K216" s="210" t="s">
        <v>39</v>
      </c>
      <c r="L216" s="21"/>
      <c r="M216" s="201"/>
      <c r="N216" s="201"/>
      <c r="O216" s="201"/>
      <c r="P216" s="201"/>
      <c r="Q216" s="201"/>
      <c r="R216" s="201"/>
      <c r="S216" s="201"/>
      <c r="T216" s="201"/>
      <c r="U216" s="201"/>
      <c r="V216" s="201"/>
      <c r="W216" s="201"/>
      <c r="X216" s="201"/>
      <c r="Y216" s="201"/>
      <c r="Z216" s="201"/>
      <c r="AA216" s="201"/>
    </row>
    <row r="217">
      <c r="A217" s="201"/>
      <c r="B217" s="201"/>
      <c r="C217" s="201"/>
      <c r="D217" s="201"/>
      <c r="E217" s="201"/>
      <c r="F217" s="201"/>
      <c r="G217" s="201"/>
      <c r="H217" s="209"/>
      <c r="I217" s="209"/>
      <c r="J217" s="201"/>
      <c r="K217" s="210" t="s">
        <v>39</v>
      </c>
      <c r="L217" s="21"/>
      <c r="M217" s="201"/>
      <c r="N217" s="201"/>
      <c r="O217" s="201"/>
      <c r="P217" s="201"/>
      <c r="Q217" s="201"/>
      <c r="R217" s="201"/>
      <c r="S217" s="201"/>
      <c r="T217" s="201"/>
      <c r="U217" s="201"/>
      <c r="V217" s="201"/>
      <c r="W217" s="201"/>
      <c r="X217" s="201"/>
      <c r="Y217" s="201"/>
      <c r="Z217" s="201"/>
      <c r="AA217" s="201"/>
    </row>
    <row r="218">
      <c r="A218" s="201"/>
      <c r="B218" s="201"/>
      <c r="C218" s="201"/>
      <c r="D218" s="201"/>
      <c r="E218" s="201"/>
      <c r="F218" s="201"/>
      <c r="G218" s="201"/>
      <c r="H218" s="209"/>
      <c r="I218" s="209"/>
      <c r="J218" s="201"/>
      <c r="K218" s="210" t="s">
        <v>39</v>
      </c>
      <c r="L218" s="21"/>
      <c r="M218" s="201"/>
      <c r="N218" s="201"/>
      <c r="O218" s="201"/>
      <c r="P218" s="201"/>
      <c r="Q218" s="201"/>
      <c r="R218" s="201"/>
      <c r="S218" s="201"/>
      <c r="T218" s="201"/>
      <c r="U218" s="201"/>
      <c r="V218" s="201"/>
      <c r="W218" s="201"/>
      <c r="X218" s="201"/>
      <c r="Y218" s="201"/>
      <c r="Z218" s="201"/>
      <c r="AA218" s="201"/>
    </row>
    <row r="219">
      <c r="A219" s="201"/>
      <c r="B219" s="201"/>
      <c r="C219" s="201"/>
      <c r="D219" s="201"/>
      <c r="E219" s="201"/>
      <c r="F219" s="201"/>
      <c r="G219" s="201"/>
      <c r="H219" s="209"/>
      <c r="I219" s="209"/>
      <c r="J219" s="201"/>
      <c r="K219" s="210" t="s">
        <v>39</v>
      </c>
      <c r="L219" s="21"/>
      <c r="M219" s="201"/>
      <c r="N219" s="201"/>
      <c r="O219" s="201"/>
      <c r="P219" s="201"/>
      <c r="Q219" s="201"/>
      <c r="R219" s="201"/>
      <c r="S219" s="201"/>
      <c r="T219" s="201"/>
      <c r="U219" s="201"/>
      <c r="V219" s="201"/>
      <c r="W219" s="201"/>
      <c r="X219" s="201"/>
      <c r="Y219" s="201"/>
      <c r="Z219" s="201"/>
      <c r="AA219" s="201"/>
    </row>
    <row r="220">
      <c r="A220" s="201"/>
      <c r="B220" s="201"/>
      <c r="C220" s="201"/>
      <c r="D220" s="201"/>
      <c r="E220" s="201"/>
      <c r="F220" s="201"/>
      <c r="G220" s="201"/>
      <c r="H220" s="209"/>
      <c r="I220" s="209"/>
      <c r="J220" s="201"/>
      <c r="K220" s="210" t="s">
        <v>39</v>
      </c>
      <c r="L220" s="21"/>
      <c r="M220" s="201"/>
      <c r="N220" s="201"/>
      <c r="O220" s="201"/>
      <c r="P220" s="201"/>
      <c r="Q220" s="201"/>
      <c r="R220" s="201"/>
      <c r="S220" s="201"/>
      <c r="T220" s="201"/>
      <c r="U220" s="201"/>
      <c r="V220" s="201"/>
      <c r="W220" s="201"/>
      <c r="X220" s="201"/>
      <c r="Y220" s="201"/>
      <c r="Z220" s="201"/>
      <c r="AA220" s="201"/>
    </row>
    <row r="221">
      <c r="A221" s="201"/>
      <c r="B221" s="201"/>
      <c r="C221" s="201"/>
      <c r="D221" s="201"/>
      <c r="E221" s="201"/>
      <c r="F221" s="201"/>
      <c r="G221" s="201"/>
      <c r="H221" s="209"/>
      <c r="I221" s="209"/>
      <c r="J221" s="201"/>
      <c r="K221" s="210" t="s">
        <v>39</v>
      </c>
      <c r="L221" s="21"/>
      <c r="M221" s="201"/>
      <c r="N221" s="201"/>
      <c r="O221" s="201"/>
      <c r="P221" s="201"/>
      <c r="Q221" s="201"/>
      <c r="R221" s="201"/>
      <c r="S221" s="201"/>
      <c r="T221" s="201"/>
      <c r="U221" s="201"/>
      <c r="V221" s="201"/>
      <c r="W221" s="201"/>
      <c r="X221" s="201"/>
      <c r="Y221" s="201"/>
      <c r="Z221" s="201"/>
      <c r="AA221" s="201"/>
    </row>
    <row r="222">
      <c r="A222" s="201"/>
      <c r="B222" s="201"/>
      <c r="C222" s="201"/>
      <c r="D222" s="201"/>
      <c r="E222" s="201"/>
      <c r="F222" s="201"/>
      <c r="G222" s="201"/>
      <c r="H222" s="209"/>
      <c r="I222" s="209"/>
      <c r="J222" s="201"/>
      <c r="K222" s="210" t="s">
        <v>39</v>
      </c>
      <c r="L222" s="21"/>
      <c r="M222" s="201"/>
      <c r="N222" s="201"/>
      <c r="O222" s="201"/>
      <c r="P222" s="201"/>
      <c r="Q222" s="201"/>
      <c r="R222" s="201"/>
      <c r="S222" s="201"/>
      <c r="T222" s="201"/>
      <c r="U222" s="201"/>
      <c r="V222" s="201"/>
      <c r="W222" s="201"/>
      <c r="X222" s="201"/>
      <c r="Y222" s="201"/>
      <c r="Z222" s="201"/>
      <c r="AA222" s="201"/>
    </row>
    <row r="223">
      <c r="A223" s="201"/>
      <c r="B223" s="201"/>
      <c r="C223" s="201"/>
      <c r="D223" s="201"/>
      <c r="E223" s="201"/>
      <c r="F223" s="201"/>
      <c r="G223" s="201"/>
      <c r="H223" s="209"/>
      <c r="I223" s="209"/>
      <c r="J223" s="201"/>
      <c r="K223" s="210" t="s">
        <v>39</v>
      </c>
      <c r="L223" s="21"/>
      <c r="M223" s="201"/>
      <c r="N223" s="201"/>
      <c r="O223" s="201"/>
      <c r="P223" s="201"/>
      <c r="Q223" s="201"/>
      <c r="R223" s="201"/>
      <c r="S223" s="201"/>
      <c r="T223" s="201"/>
      <c r="U223" s="201"/>
      <c r="V223" s="201"/>
      <c r="W223" s="201"/>
      <c r="X223" s="201"/>
      <c r="Y223" s="201"/>
      <c r="Z223" s="201"/>
      <c r="AA223" s="201"/>
    </row>
    <row r="224">
      <c r="A224" s="201"/>
      <c r="B224" s="201"/>
      <c r="C224" s="201"/>
      <c r="D224" s="201"/>
      <c r="E224" s="201"/>
      <c r="F224" s="201"/>
      <c r="G224" s="201"/>
      <c r="H224" s="209"/>
      <c r="I224" s="209"/>
      <c r="J224" s="201"/>
      <c r="K224" s="210" t="s">
        <v>39</v>
      </c>
      <c r="L224" s="21"/>
      <c r="M224" s="201"/>
      <c r="N224" s="201"/>
      <c r="O224" s="201"/>
      <c r="P224" s="201"/>
      <c r="Q224" s="201"/>
      <c r="R224" s="201"/>
      <c r="S224" s="201"/>
      <c r="T224" s="201"/>
      <c r="U224" s="201"/>
      <c r="V224" s="201"/>
      <c r="W224" s="201"/>
      <c r="X224" s="201"/>
      <c r="Y224" s="201"/>
      <c r="Z224" s="201"/>
      <c r="AA224" s="201"/>
    </row>
    <row r="225">
      <c r="A225" s="201"/>
      <c r="B225" s="201"/>
      <c r="C225" s="201"/>
      <c r="D225" s="201"/>
      <c r="E225" s="201"/>
      <c r="F225" s="201"/>
      <c r="G225" s="201"/>
      <c r="H225" s="209"/>
      <c r="I225" s="209"/>
      <c r="J225" s="201"/>
      <c r="K225" s="210" t="s">
        <v>39</v>
      </c>
      <c r="L225" s="21"/>
      <c r="M225" s="201"/>
      <c r="N225" s="201"/>
      <c r="O225" s="201"/>
      <c r="P225" s="201"/>
      <c r="Q225" s="201"/>
      <c r="R225" s="201"/>
      <c r="S225" s="201"/>
      <c r="T225" s="201"/>
      <c r="U225" s="201"/>
      <c r="V225" s="201"/>
      <c r="W225" s="201"/>
      <c r="X225" s="201"/>
      <c r="Y225" s="201"/>
      <c r="Z225" s="201"/>
      <c r="AA225" s="201"/>
    </row>
    <row r="226">
      <c r="A226" s="201"/>
      <c r="B226" s="201"/>
      <c r="C226" s="201"/>
      <c r="D226" s="201"/>
      <c r="E226" s="201"/>
      <c r="F226" s="201"/>
      <c r="G226" s="201"/>
      <c r="H226" s="209"/>
      <c r="I226" s="209"/>
      <c r="J226" s="201"/>
      <c r="K226" s="210" t="s">
        <v>39</v>
      </c>
      <c r="L226" s="21"/>
      <c r="M226" s="201"/>
      <c r="N226" s="201"/>
      <c r="O226" s="201"/>
      <c r="P226" s="201"/>
      <c r="Q226" s="201"/>
      <c r="R226" s="201"/>
      <c r="S226" s="201"/>
      <c r="T226" s="201"/>
      <c r="U226" s="201"/>
      <c r="V226" s="201"/>
      <c r="W226" s="201"/>
      <c r="X226" s="201"/>
      <c r="Y226" s="201"/>
      <c r="Z226" s="201"/>
      <c r="AA226" s="201"/>
    </row>
    <row r="227">
      <c r="A227" s="201"/>
      <c r="B227" s="201"/>
      <c r="C227" s="201"/>
      <c r="D227" s="201"/>
      <c r="E227" s="201"/>
      <c r="F227" s="201"/>
      <c r="G227" s="201"/>
      <c r="H227" s="209"/>
      <c r="I227" s="209"/>
      <c r="J227" s="201"/>
      <c r="K227" s="210" t="s">
        <v>39</v>
      </c>
      <c r="L227" s="21"/>
      <c r="M227" s="201"/>
      <c r="N227" s="201"/>
      <c r="O227" s="201"/>
      <c r="P227" s="201"/>
      <c r="Q227" s="201"/>
      <c r="R227" s="201"/>
      <c r="S227" s="201"/>
      <c r="T227" s="201"/>
      <c r="U227" s="201"/>
      <c r="V227" s="201"/>
      <c r="W227" s="201"/>
      <c r="X227" s="201"/>
      <c r="Y227" s="201"/>
      <c r="Z227" s="201"/>
      <c r="AA227" s="201"/>
    </row>
    <row r="228">
      <c r="A228" s="201"/>
      <c r="B228" s="201"/>
      <c r="C228" s="201"/>
      <c r="D228" s="201"/>
      <c r="E228" s="201"/>
      <c r="F228" s="201"/>
      <c r="G228" s="201"/>
      <c r="H228" s="209"/>
      <c r="I228" s="209"/>
      <c r="J228" s="201"/>
      <c r="K228" s="210" t="s">
        <v>39</v>
      </c>
      <c r="L228" s="21"/>
      <c r="M228" s="201"/>
      <c r="N228" s="201"/>
      <c r="O228" s="201"/>
      <c r="P228" s="201"/>
      <c r="Q228" s="201"/>
      <c r="R228" s="201"/>
      <c r="S228" s="201"/>
      <c r="T228" s="201"/>
      <c r="U228" s="201"/>
      <c r="V228" s="201"/>
      <c r="W228" s="201"/>
      <c r="X228" s="201"/>
      <c r="Y228" s="201"/>
      <c r="Z228" s="201"/>
      <c r="AA228" s="201"/>
    </row>
    <row r="229">
      <c r="A229" s="201"/>
      <c r="B229" s="201"/>
      <c r="C229" s="201"/>
      <c r="D229" s="201"/>
      <c r="E229" s="201"/>
      <c r="F229" s="201"/>
      <c r="G229" s="201"/>
      <c r="H229" s="209"/>
      <c r="I229" s="209"/>
      <c r="J229" s="201"/>
      <c r="K229" s="210" t="s">
        <v>39</v>
      </c>
      <c r="L229" s="21"/>
      <c r="M229" s="201"/>
      <c r="N229" s="201"/>
      <c r="O229" s="201"/>
      <c r="P229" s="201"/>
      <c r="Q229" s="201"/>
      <c r="R229" s="201"/>
      <c r="S229" s="201"/>
      <c r="T229" s="201"/>
      <c r="U229" s="201"/>
      <c r="V229" s="201"/>
      <c r="W229" s="201"/>
      <c r="X229" s="201"/>
      <c r="Y229" s="201"/>
      <c r="Z229" s="201"/>
      <c r="AA229" s="201"/>
    </row>
    <row r="230">
      <c r="A230" s="201"/>
      <c r="B230" s="201"/>
      <c r="C230" s="201"/>
      <c r="D230" s="201"/>
      <c r="E230" s="201"/>
      <c r="F230" s="201"/>
      <c r="G230" s="201"/>
      <c r="H230" s="209"/>
      <c r="I230" s="209"/>
      <c r="J230" s="201"/>
      <c r="K230" s="210" t="s">
        <v>39</v>
      </c>
      <c r="L230" s="21"/>
      <c r="M230" s="201"/>
      <c r="N230" s="201"/>
      <c r="O230" s="201"/>
      <c r="P230" s="201"/>
      <c r="Q230" s="201"/>
      <c r="R230" s="201"/>
      <c r="S230" s="201"/>
      <c r="T230" s="201"/>
      <c r="U230" s="201"/>
      <c r="V230" s="201"/>
      <c r="W230" s="201"/>
      <c r="X230" s="201"/>
      <c r="Y230" s="201"/>
      <c r="Z230" s="201"/>
      <c r="AA230" s="201"/>
    </row>
    <row r="231">
      <c r="A231" s="201"/>
      <c r="B231" s="201"/>
      <c r="C231" s="201"/>
      <c r="D231" s="201"/>
      <c r="E231" s="201"/>
      <c r="F231" s="201"/>
      <c r="G231" s="201"/>
      <c r="H231" s="209"/>
      <c r="I231" s="209"/>
      <c r="J231" s="201"/>
      <c r="K231" s="210" t="s">
        <v>39</v>
      </c>
      <c r="L231" s="21"/>
      <c r="M231" s="201"/>
      <c r="N231" s="201"/>
      <c r="O231" s="201"/>
      <c r="P231" s="201"/>
      <c r="Q231" s="201"/>
      <c r="R231" s="201"/>
      <c r="S231" s="201"/>
      <c r="T231" s="201"/>
      <c r="U231" s="201"/>
      <c r="V231" s="201"/>
      <c r="W231" s="201"/>
      <c r="X231" s="201"/>
      <c r="Y231" s="201"/>
      <c r="Z231" s="201"/>
      <c r="AA231" s="201"/>
    </row>
    <row r="232">
      <c r="A232" s="201"/>
      <c r="B232" s="201"/>
      <c r="C232" s="201"/>
      <c r="D232" s="201"/>
      <c r="E232" s="201"/>
      <c r="F232" s="201"/>
      <c r="G232" s="201"/>
      <c r="H232" s="209"/>
      <c r="I232" s="209"/>
      <c r="J232" s="201"/>
      <c r="K232" s="210" t="s">
        <v>39</v>
      </c>
      <c r="L232" s="21"/>
      <c r="M232" s="201"/>
      <c r="N232" s="201"/>
      <c r="O232" s="201"/>
      <c r="P232" s="201"/>
      <c r="Q232" s="201"/>
      <c r="R232" s="201"/>
      <c r="S232" s="201"/>
      <c r="T232" s="201"/>
      <c r="U232" s="201"/>
      <c r="V232" s="201"/>
      <c r="W232" s="201"/>
      <c r="X232" s="201"/>
      <c r="Y232" s="201"/>
      <c r="Z232" s="201"/>
      <c r="AA232" s="201"/>
    </row>
    <row r="233">
      <c r="A233" s="201"/>
      <c r="B233" s="201"/>
      <c r="C233" s="201"/>
      <c r="D233" s="201"/>
      <c r="E233" s="201"/>
      <c r="F233" s="201"/>
      <c r="G233" s="201"/>
      <c r="H233" s="209"/>
      <c r="I233" s="209"/>
      <c r="J233" s="201"/>
      <c r="K233" s="210" t="s">
        <v>39</v>
      </c>
      <c r="L233" s="21"/>
      <c r="M233" s="201"/>
      <c r="N233" s="201"/>
      <c r="O233" s="201"/>
      <c r="P233" s="201"/>
      <c r="Q233" s="201"/>
      <c r="R233" s="201"/>
      <c r="S233" s="201"/>
      <c r="T233" s="201"/>
      <c r="U233" s="201"/>
      <c r="V233" s="201"/>
      <c r="W233" s="201"/>
      <c r="X233" s="201"/>
      <c r="Y233" s="201"/>
      <c r="Z233" s="201"/>
      <c r="AA233" s="201"/>
    </row>
    <row r="234">
      <c r="A234" s="201"/>
      <c r="B234" s="201"/>
      <c r="C234" s="201"/>
      <c r="D234" s="201"/>
      <c r="E234" s="201"/>
      <c r="F234" s="201"/>
      <c r="G234" s="201"/>
      <c r="H234" s="209"/>
      <c r="I234" s="209"/>
      <c r="J234" s="201"/>
      <c r="K234" s="210" t="s">
        <v>39</v>
      </c>
      <c r="L234" s="21"/>
      <c r="M234" s="201"/>
      <c r="N234" s="201"/>
      <c r="O234" s="201"/>
      <c r="P234" s="201"/>
      <c r="Q234" s="201"/>
      <c r="R234" s="201"/>
      <c r="S234" s="201"/>
      <c r="T234" s="201"/>
      <c r="U234" s="201"/>
      <c r="V234" s="201"/>
      <c r="W234" s="201"/>
      <c r="X234" s="201"/>
      <c r="Y234" s="201"/>
      <c r="Z234" s="201"/>
      <c r="AA234" s="201"/>
    </row>
    <row r="235">
      <c r="A235" s="201"/>
      <c r="B235" s="201"/>
      <c r="C235" s="201"/>
      <c r="D235" s="201"/>
      <c r="E235" s="201"/>
      <c r="F235" s="201"/>
      <c r="G235" s="201"/>
      <c r="H235" s="209"/>
      <c r="I235" s="209"/>
      <c r="J235" s="201"/>
      <c r="K235" s="210" t="s">
        <v>39</v>
      </c>
      <c r="L235" s="21"/>
      <c r="M235" s="201"/>
      <c r="N235" s="201"/>
      <c r="O235" s="201"/>
      <c r="P235" s="201"/>
      <c r="Q235" s="201"/>
      <c r="R235" s="201"/>
      <c r="S235" s="201"/>
      <c r="T235" s="201"/>
      <c r="U235" s="201"/>
      <c r="V235" s="201"/>
      <c r="W235" s="201"/>
      <c r="X235" s="201"/>
      <c r="Y235" s="201"/>
      <c r="Z235" s="201"/>
      <c r="AA235" s="201"/>
    </row>
    <row r="236">
      <c r="A236" s="201"/>
      <c r="B236" s="201"/>
      <c r="C236" s="201"/>
      <c r="D236" s="201"/>
      <c r="E236" s="201"/>
      <c r="F236" s="201"/>
      <c r="G236" s="201"/>
      <c r="H236" s="209"/>
      <c r="I236" s="209"/>
      <c r="J236" s="201"/>
      <c r="K236" s="210" t="s">
        <v>39</v>
      </c>
      <c r="L236" s="21"/>
      <c r="M236" s="201"/>
      <c r="N236" s="201"/>
      <c r="O236" s="201"/>
      <c r="P236" s="201"/>
      <c r="Q236" s="201"/>
      <c r="R236" s="201"/>
      <c r="S236" s="201"/>
      <c r="T236" s="201"/>
      <c r="U236" s="201"/>
      <c r="V236" s="201"/>
      <c r="W236" s="201"/>
      <c r="X236" s="201"/>
      <c r="Y236" s="201"/>
      <c r="Z236" s="201"/>
      <c r="AA236" s="201"/>
    </row>
    <row r="237">
      <c r="A237" s="201"/>
      <c r="B237" s="201"/>
      <c r="C237" s="201"/>
      <c r="D237" s="201"/>
      <c r="E237" s="201"/>
      <c r="F237" s="201"/>
      <c r="G237" s="201"/>
      <c r="H237" s="209"/>
      <c r="I237" s="209"/>
      <c r="J237" s="201"/>
      <c r="K237" s="210" t="s">
        <v>39</v>
      </c>
      <c r="L237" s="21"/>
      <c r="M237" s="201"/>
      <c r="N237" s="201"/>
      <c r="O237" s="201"/>
      <c r="P237" s="201"/>
      <c r="Q237" s="201"/>
      <c r="R237" s="201"/>
      <c r="S237" s="201"/>
      <c r="T237" s="201"/>
      <c r="U237" s="201"/>
      <c r="V237" s="201"/>
      <c r="W237" s="201"/>
      <c r="X237" s="201"/>
      <c r="Y237" s="201"/>
      <c r="Z237" s="201"/>
      <c r="AA237" s="201"/>
    </row>
    <row r="238">
      <c r="A238" s="201"/>
      <c r="B238" s="201"/>
      <c r="C238" s="201"/>
      <c r="D238" s="201"/>
      <c r="E238" s="201"/>
      <c r="F238" s="201"/>
      <c r="G238" s="201"/>
      <c r="H238" s="209"/>
      <c r="I238" s="209"/>
      <c r="J238" s="201"/>
      <c r="K238" s="210" t="s">
        <v>39</v>
      </c>
      <c r="L238" s="21"/>
      <c r="M238" s="201"/>
      <c r="N238" s="201"/>
      <c r="O238" s="201"/>
      <c r="P238" s="201"/>
      <c r="Q238" s="201"/>
      <c r="R238" s="201"/>
      <c r="S238" s="201"/>
      <c r="T238" s="201"/>
      <c r="U238" s="201"/>
      <c r="V238" s="201"/>
      <c r="W238" s="201"/>
      <c r="X238" s="201"/>
      <c r="Y238" s="201"/>
      <c r="Z238" s="201"/>
      <c r="AA238" s="201"/>
    </row>
    <row r="239">
      <c r="A239" s="201"/>
      <c r="B239" s="201"/>
      <c r="C239" s="201"/>
      <c r="D239" s="201"/>
      <c r="E239" s="201"/>
      <c r="F239" s="201"/>
      <c r="G239" s="201"/>
      <c r="H239" s="209"/>
      <c r="I239" s="209"/>
      <c r="J239" s="201"/>
      <c r="K239" s="210" t="s">
        <v>39</v>
      </c>
      <c r="L239" s="21"/>
      <c r="M239" s="201"/>
      <c r="N239" s="201"/>
      <c r="O239" s="201"/>
      <c r="P239" s="201"/>
      <c r="Q239" s="201"/>
      <c r="R239" s="201"/>
      <c r="S239" s="201"/>
      <c r="T239" s="201"/>
      <c r="U239" s="201"/>
      <c r="V239" s="201"/>
      <c r="W239" s="201"/>
      <c r="X239" s="201"/>
      <c r="Y239" s="201"/>
      <c r="Z239" s="201"/>
      <c r="AA239" s="201"/>
    </row>
    <row r="240">
      <c r="A240" s="201"/>
      <c r="B240" s="201"/>
      <c r="C240" s="201"/>
      <c r="D240" s="201"/>
      <c r="E240" s="201"/>
      <c r="F240" s="201"/>
      <c r="G240" s="201"/>
      <c r="H240" s="209"/>
      <c r="I240" s="209"/>
      <c r="J240" s="201"/>
      <c r="K240" s="210" t="s">
        <v>39</v>
      </c>
      <c r="L240" s="21"/>
      <c r="M240" s="201"/>
      <c r="N240" s="201"/>
      <c r="O240" s="201"/>
      <c r="P240" s="201"/>
      <c r="Q240" s="201"/>
      <c r="R240" s="201"/>
      <c r="S240" s="201"/>
      <c r="T240" s="201"/>
      <c r="U240" s="201"/>
      <c r="V240" s="201"/>
      <c r="W240" s="201"/>
      <c r="X240" s="201"/>
      <c r="Y240" s="201"/>
      <c r="Z240" s="201"/>
      <c r="AA240" s="201"/>
    </row>
    <row r="241">
      <c r="A241" s="201"/>
      <c r="B241" s="201"/>
      <c r="C241" s="201"/>
      <c r="D241" s="201"/>
      <c r="E241" s="201"/>
      <c r="F241" s="201"/>
      <c r="G241" s="201"/>
      <c r="H241" s="209"/>
      <c r="I241" s="209"/>
      <c r="J241" s="201"/>
      <c r="K241" s="210" t="s">
        <v>39</v>
      </c>
      <c r="L241" s="21"/>
      <c r="M241" s="201"/>
      <c r="N241" s="201"/>
      <c r="O241" s="201"/>
      <c r="P241" s="201"/>
      <c r="Q241" s="201"/>
      <c r="R241" s="201"/>
      <c r="S241" s="201"/>
      <c r="T241" s="201"/>
      <c r="U241" s="201"/>
      <c r="V241" s="201"/>
      <c r="W241" s="201"/>
      <c r="X241" s="201"/>
      <c r="Y241" s="201"/>
      <c r="Z241" s="201"/>
      <c r="AA241" s="201"/>
    </row>
    <row r="242">
      <c r="A242" s="201"/>
      <c r="B242" s="201"/>
      <c r="C242" s="201"/>
      <c r="D242" s="201"/>
      <c r="E242" s="201"/>
      <c r="F242" s="201"/>
      <c r="G242" s="201"/>
      <c r="H242" s="209"/>
      <c r="I242" s="209"/>
      <c r="J242" s="201"/>
      <c r="K242" s="210" t="s">
        <v>39</v>
      </c>
      <c r="L242" s="21"/>
      <c r="M242" s="201"/>
      <c r="N242" s="201"/>
      <c r="O242" s="201"/>
      <c r="P242" s="201"/>
      <c r="Q242" s="201"/>
      <c r="R242" s="201"/>
      <c r="S242" s="201"/>
      <c r="T242" s="201"/>
      <c r="U242" s="201"/>
      <c r="V242" s="201"/>
      <c r="W242" s="201"/>
      <c r="X242" s="201"/>
      <c r="Y242" s="201"/>
      <c r="Z242" s="201"/>
      <c r="AA242" s="201"/>
    </row>
    <row r="243">
      <c r="A243" s="201"/>
      <c r="B243" s="201"/>
      <c r="C243" s="201"/>
      <c r="D243" s="201"/>
      <c r="E243" s="201"/>
      <c r="F243" s="201"/>
      <c r="G243" s="201"/>
      <c r="H243" s="209"/>
      <c r="I243" s="209"/>
      <c r="J243" s="201"/>
      <c r="K243" s="210" t="s">
        <v>39</v>
      </c>
      <c r="L243" s="21"/>
      <c r="M243" s="201"/>
      <c r="N243" s="201"/>
      <c r="O243" s="201"/>
      <c r="P243" s="201"/>
      <c r="Q243" s="201"/>
      <c r="R243" s="201"/>
      <c r="S243" s="201"/>
      <c r="T243" s="201"/>
      <c r="U243" s="201"/>
      <c r="V243" s="201"/>
      <c r="W243" s="201"/>
      <c r="X243" s="201"/>
      <c r="Y243" s="201"/>
      <c r="Z243" s="201"/>
      <c r="AA243" s="201"/>
    </row>
    <row r="244">
      <c r="A244" s="201"/>
      <c r="B244" s="201"/>
      <c r="C244" s="201"/>
      <c r="D244" s="201"/>
      <c r="E244" s="201"/>
      <c r="F244" s="201"/>
      <c r="G244" s="201"/>
      <c r="H244" s="209"/>
      <c r="I244" s="209"/>
      <c r="J244" s="201"/>
      <c r="K244" s="210" t="s">
        <v>39</v>
      </c>
      <c r="L244" s="21"/>
      <c r="M244" s="201"/>
      <c r="N244" s="201"/>
      <c r="O244" s="201"/>
      <c r="P244" s="201"/>
      <c r="Q244" s="201"/>
      <c r="R244" s="201"/>
      <c r="S244" s="201"/>
      <c r="T244" s="201"/>
      <c r="U244" s="201"/>
      <c r="V244" s="201"/>
      <c r="W244" s="201"/>
      <c r="X244" s="201"/>
      <c r="Y244" s="201"/>
      <c r="Z244" s="201"/>
      <c r="AA244" s="201"/>
    </row>
    <row r="245">
      <c r="A245" s="201"/>
      <c r="B245" s="201"/>
      <c r="C245" s="201"/>
      <c r="D245" s="201"/>
      <c r="E245" s="201"/>
      <c r="F245" s="201"/>
      <c r="G245" s="201"/>
      <c r="H245" s="209"/>
      <c r="I245" s="209"/>
      <c r="J245" s="201"/>
      <c r="K245" s="210" t="s">
        <v>39</v>
      </c>
      <c r="L245" s="21"/>
      <c r="M245" s="201"/>
      <c r="N245" s="201"/>
      <c r="O245" s="201"/>
      <c r="P245" s="201"/>
      <c r="Q245" s="201"/>
      <c r="R245" s="201"/>
      <c r="S245" s="201"/>
      <c r="T245" s="201"/>
      <c r="U245" s="201"/>
      <c r="V245" s="201"/>
      <c r="W245" s="201"/>
      <c r="X245" s="201"/>
      <c r="Y245" s="201"/>
      <c r="Z245" s="201"/>
      <c r="AA245" s="201"/>
    </row>
    <row r="246">
      <c r="A246" s="201"/>
      <c r="B246" s="201"/>
      <c r="C246" s="201"/>
      <c r="D246" s="201"/>
      <c r="E246" s="201"/>
      <c r="F246" s="201"/>
      <c r="G246" s="201"/>
      <c r="H246" s="209"/>
      <c r="I246" s="209"/>
      <c r="J246" s="201"/>
      <c r="K246" s="210" t="s">
        <v>39</v>
      </c>
      <c r="L246" s="21"/>
      <c r="M246" s="201"/>
      <c r="N246" s="201"/>
      <c r="O246" s="201"/>
      <c r="P246" s="201"/>
      <c r="Q246" s="201"/>
      <c r="R246" s="201"/>
      <c r="S246" s="201"/>
      <c r="T246" s="201"/>
      <c r="U246" s="201"/>
      <c r="V246" s="201"/>
      <c r="W246" s="201"/>
      <c r="X246" s="201"/>
      <c r="Y246" s="201"/>
      <c r="Z246" s="201"/>
      <c r="AA246" s="201"/>
    </row>
    <row r="247">
      <c r="A247" s="201"/>
      <c r="B247" s="201"/>
      <c r="C247" s="201"/>
      <c r="D247" s="201"/>
      <c r="E247" s="201"/>
      <c r="F247" s="201"/>
      <c r="G247" s="201"/>
      <c r="H247" s="209"/>
      <c r="I247" s="209"/>
      <c r="J247" s="201"/>
      <c r="K247" s="210" t="s">
        <v>39</v>
      </c>
      <c r="L247" s="21"/>
      <c r="M247" s="201"/>
      <c r="N247" s="201"/>
      <c r="O247" s="201"/>
      <c r="P247" s="201"/>
      <c r="Q247" s="201"/>
      <c r="R247" s="201"/>
      <c r="S247" s="201"/>
      <c r="T247" s="201"/>
      <c r="U247" s="201"/>
      <c r="V247" s="201"/>
      <c r="W247" s="201"/>
      <c r="X247" s="201"/>
      <c r="Y247" s="201"/>
      <c r="Z247" s="201"/>
      <c r="AA247" s="201"/>
    </row>
    <row r="248">
      <c r="A248" s="201"/>
      <c r="B248" s="201"/>
      <c r="C248" s="201"/>
      <c r="D248" s="201"/>
      <c r="E248" s="201"/>
      <c r="F248" s="201"/>
      <c r="G248" s="201"/>
      <c r="H248" s="209"/>
      <c r="I248" s="209"/>
      <c r="J248" s="201"/>
      <c r="K248" s="210" t="s">
        <v>39</v>
      </c>
      <c r="L248" s="21"/>
      <c r="M248" s="201"/>
      <c r="N248" s="201"/>
      <c r="O248" s="201"/>
      <c r="P248" s="201"/>
      <c r="Q248" s="201"/>
      <c r="R248" s="201"/>
      <c r="S248" s="201"/>
      <c r="T248" s="201"/>
      <c r="U248" s="201"/>
      <c r="V248" s="201"/>
      <c r="W248" s="201"/>
      <c r="X248" s="201"/>
      <c r="Y248" s="201"/>
      <c r="Z248" s="201"/>
      <c r="AA248" s="201"/>
    </row>
    <row r="249">
      <c r="A249" s="201"/>
      <c r="B249" s="201"/>
      <c r="C249" s="201"/>
      <c r="D249" s="201"/>
      <c r="E249" s="201"/>
      <c r="F249" s="201"/>
      <c r="G249" s="201"/>
      <c r="H249" s="209"/>
      <c r="I249" s="209"/>
      <c r="J249" s="201"/>
      <c r="K249" s="210" t="s">
        <v>39</v>
      </c>
      <c r="L249" s="21"/>
      <c r="M249" s="201"/>
      <c r="N249" s="201"/>
      <c r="O249" s="201"/>
      <c r="P249" s="201"/>
      <c r="Q249" s="201"/>
      <c r="R249" s="201"/>
      <c r="S249" s="201"/>
      <c r="T249" s="201"/>
      <c r="U249" s="201"/>
      <c r="V249" s="201"/>
      <c r="W249" s="201"/>
      <c r="X249" s="201"/>
      <c r="Y249" s="201"/>
      <c r="Z249" s="201"/>
      <c r="AA249" s="201"/>
    </row>
    <row r="250">
      <c r="A250" s="201"/>
      <c r="B250" s="201"/>
      <c r="C250" s="201"/>
      <c r="D250" s="201"/>
      <c r="E250" s="201"/>
      <c r="F250" s="201"/>
      <c r="G250" s="201"/>
      <c r="H250" s="209"/>
      <c r="I250" s="209"/>
      <c r="J250" s="201"/>
      <c r="K250" s="210" t="s">
        <v>39</v>
      </c>
      <c r="L250" s="21"/>
      <c r="M250" s="201"/>
      <c r="N250" s="201"/>
      <c r="O250" s="201"/>
      <c r="P250" s="201"/>
      <c r="Q250" s="201"/>
      <c r="R250" s="201"/>
      <c r="S250" s="201"/>
      <c r="T250" s="201"/>
      <c r="U250" s="201"/>
      <c r="V250" s="201"/>
      <c r="W250" s="201"/>
      <c r="X250" s="201"/>
      <c r="Y250" s="201"/>
      <c r="Z250" s="201"/>
      <c r="AA250" s="201"/>
    </row>
    <row r="251">
      <c r="A251" s="201"/>
      <c r="B251" s="201"/>
      <c r="C251" s="201"/>
      <c r="D251" s="201"/>
      <c r="E251" s="201"/>
      <c r="F251" s="201"/>
      <c r="G251" s="201"/>
      <c r="H251" s="209"/>
      <c r="I251" s="209"/>
      <c r="J251" s="201"/>
      <c r="K251" s="210" t="s">
        <v>39</v>
      </c>
      <c r="L251" s="21"/>
      <c r="M251" s="201"/>
      <c r="N251" s="201"/>
      <c r="O251" s="201"/>
      <c r="P251" s="201"/>
      <c r="Q251" s="201"/>
      <c r="R251" s="201"/>
      <c r="S251" s="201"/>
      <c r="T251" s="201"/>
      <c r="U251" s="201"/>
      <c r="V251" s="201"/>
      <c r="W251" s="201"/>
      <c r="X251" s="201"/>
      <c r="Y251" s="201"/>
      <c r="Z251" s="201"/>
      <c r="AA251" s="201"/>
    </row>
    <row r="252">
      <c r="A252" s="201"/>
      <c r="B252" s="201"/>
      <c r="C252" s="201"/>
      <c r="D252" s="201"/>
      <c r="E252" s="201"/>
      <c r="F252" s="201"/>
      <c r="G252" s="201"/>
      <c r="H252" s="209"/>
      <c r="I252" s="209"/>
      <c r="J252" s="201"/>
      <c r="K252" s="210" t="s">
        <v>39</v>
      </c>
      <c r="L252" s="21"/>
      <c r="M252" s="201"/>
      <c r="N252" s="201"/>
      <c r="O252" s="201"/>
      <c r="P252" s="201"/>
      <c r="Q252" s="201"/>
      <c r="R252" s="201"/>
      <c r="S252" s="201"/>
      <c r="T252" s="201"/>
      <c r="U252" s="201"/>
      <c r="V252" s="201"/>
      <c r="W252" s="201"/>
      <c r="X252" s="201"/>
      <c r="Y252" s="201"/>
      <c r="Z252" s="201"/>
      <c r="AA252" s="201"/>
    </row>
    <row r="253">
      <c r="A253" s="201"/>
      <c r="B253" s="201"/>
      <c r="C253" s="201"/>
      <c r="D253" s="201"/>
      <c r="E253" s="201"/>
      <c r="F253" s="201"/>
      <c r="G253" s="201"/>
      <c r="H253" s="209"/>
      <c r="I253" s="209"/>
      <c r="J253" s="201"/>
      <c r="K253" s="210" t="s">
        <v>39</v>
      </c>
      <c r="L253" s="21"/>
      <c r="M253" s="201"/>
      <c r="N253" s="201"/>
      <c r="O253" s="201"/>
      <c r="P253" s="201"/>
      <c r="Q253" s="201"/>
      <c r="R253" s="201"/>
      <c r="S253" s="201"/>
      <c r="T253" s="201"/>
      <c r="U253" s="201"/>
      <c r="V253" s="201"/>
      <c r="W253" s="201"/>
      <c r="X253" s="201"/>
      <c r="Y253" s="201"/>
      <c r="Z253" s="201"/>
      <c r="AA253" s="201"/>
    </row>
    <row r="254">
      <c r="A254" s="201"/>
      <c r="B254" s="201"/>
      <c r="C254" s="201"/>
      <c r="D254" s="201"/>
      <c r="E254" s="201"/>
      <c r="F254" s="201"/>
      <c r="G254" s="201"/>
      <c r="H254" s="209"/>
      <c r="I254" s="209"/>
      <c r="J254" s="201"/>
      <c r="K254" s="210" t="s">
        <v>39</v>
      </c>
      <c r="L254" s="21"/>
      <c r="M254" s="201"/>
      <c r="N254" s="201"/>
      <c r="O254" s="201"/>
      <c r="P254" s="201"/>
      <c r="Q254" s="201"/>
      <c r="R254" s="201"/>
      <c r="S254" s="201"/>
      <c r="T254" s="201"/>
      <c r="U254" s="201"/>
      <c r="V254" s="201"/>
      <c r="W254" s="201"/>
      <c r="X254" s="201"/>
      <c r="Y254" s="201"/>
      <c r="Z254" s="201"/>
      <c r="AA254" s="201"/>
    </row>
    <row r="255">
      <c r="A255" s="201"/>
      <c r="B255" s="201"/>
      <c r="C255" s="201"/>
      <c r="D255" s="201"/>
      <c r="E255" s="201"/>
      <c r="F255" s="201"/>
      <c r="G255" s="201"/>
      <c r="H255" s="209"/>
      <c r="I255" s="209"/>
      <c r="J255" s="201"/>
      <c r="K255" s="210" t="s">
        <v>39</v>
      </c>
      <c r="L255" s="21"/>
      <c r="M255" s="201"/>
      <c r="N255" s="201"/>
      <c r="O255" s="201"/>
      <c r="P255" s="201"/>
      <c r="Q255" s="201"/>
      <c r="R255" s="201"/>
      <c r="S255" s="201"/>
      <c r="T255" s="201"/>
      <c r="U255" s="201"/>
      <c r="V255" s="201"/>
      <c r="W255" s="201"/>
      <c r="X255" s="201"/>
      <c r="Y255" s="201"/>
      <c r="Z255" s="201"/>
      <c r="AA255" s="201"/>
    </row>
    <row r="256">
      <c r="A256" s="201"/>
      <c r="B256" s="201"/>
      <c r="C256" s="201"/>
      <c r="D256" s="201"/>
      <c r="E256" s="201"/>
      <c r="F256" s="201"/>
      <c r="G256" s="201"/>
      <c r="H256" s="209"/>
      <c r="I256" s="209"/>
      <c r="J256" s="201"/>
      <c r="K256" s="210" t="s">
        <v>39</v>
      </c>
      <c r="L256" s="21"/>
      <c r="M256" s="201"/>
      <c r="N256" s="201"/>
      <c r="O256" s="201"/>
      <c r="P256" s="201"/>
      <c r="Q256" s="201"/>
      <c r="R256" s="201"/>
      <c r="S256" s="201"/>
      <c r="T256" s="201"/>
      <c r="U256" s="201"/>
      <c r="V256" s="201"/>
      <c r="W256" s="201"/>
      <c r="X256" s="201"/>
      <c r="Y256" s="201"/>
      <c r="Z256" s="201"/>
      <c r="AA256" s="201"/>
    </row>
    <row r="257">
      <c r="A257" s="201"/>
      <c r="B257" s="201"/>
      <c r="C257" s="201"/>
      <c r="D257" s="201"/>
      <c r="E257" s="201"/>
      <c r="F257" s="201"/>
      <c r="G257" s="201"/>
      <c r="H257" s="209"/>
      <c r="I257" s="209"/>
      <c r="J257" s="201"/>
      <c r="K257" s="210" t="s">
        <v>39</v>
      </c>
      <c r="L257" s="21"/>
      <c r="M257" s="201"/>
      <c r="N257" s="201"/>
      <c r="O257" s="201"/>
      <c r="P257" s="201"/>
      <c r="Q257" s="201"/>
      <c r="R257" s="201"/>
      <c r="S257" s="201"/>
      <c r="T257" s="201"/>
      <c r="U257" s="201"/>
      <c r="V257" s="201"/>
      <c r="W257" s="201"/>
      <c r="X257" s="201"/>
      <c r="Y257" s="201"/>
      <c r="Z257" s="201"/>
      <c r="AA257" s="201"/>
    </row>
    <row r="258">
      <c r="A258" s="201"/>
      <c r="B258" s="201"/>
      <c r="C258" s="201"/>
      <c r="D258" s="201"/>
      <c r="E258" s="201"/>
      <c r="F258" s="201"/>
      <c r="G258" s="201"/>
      <c r="H258" s="209"/>
      <c r="I258" s="209"/>
      <c r="J258" s="201"/>
      <c r="K258" s="210" t="s">
        <v>39</v>
      </c>
      <c r="L258" s="21"/>
      <c r="M258" s="201"/>
      <c r="N258" s="201"/>
      <c r="O258" s="201"/>
      <c r="P258" s="201"/>
      <c r="Q258" s="201"/>
      <c r="R258" s="201"/>
      <c r="S258" s="201"/>
      <c r="T258" s="201"/>
      <c r="U258" s="201"/>
      <c r="V258" s="201"/>
      <c r="W258" s="201"/>
      <c r="X258" s="201"/>
      <c r="Y258" s="201"/>
      <c r="Z258" s="201"/>
      <c r="AA258" s="201"/>
    </row>
    <row r="259">
      <c r="A259" s="201"/>
      <c r="B259" s="201"/>
      <c r="C259" s="201"/>
      <c r="D259" s="201"/>
      <c r="E259" s="201"/>
      <c r="F259" s="201"/>
      <c r="G259" s="201"/>
      <c r="H259" s="209"/>
      <c r="I259" s="209"/>
      <c r="J259" s="201"/>
      <c r="K259" s="210" t="s">
        <v>39</v>
      </c>
      <c r="L259" s="21"/>
      <c r="M259" s="201"/>
      <c r="N259" s="201"/>
      <c r="O259" s="201"/>
      <c r="P259" s="201"/>
      <c r="Q259" s="201"/>
      <c r="R259" s="201"/>
      <c r="S259" s="201"/>
      <c r="T259" s="201"/>
      <c r="U259" s="201"/>
      <c r="V259" s="201"/>
      <c r="W259" s="201"/>
      <c r="X259" s="201"/>
      <c r="Y259" s="201"/>
      <c r="Z259" s="201"/>
      <c r="AA259" s="201"/>
    </row>
    <row r="260">
      <c r="A260" s="201"/>
      <c r="B260" s="201"/>
      <c r="C260" s="201"/>
      <c r="D260" s="201"/>
      <c r="E260" s="201"/>
      <c r="F260" s="201"/>
      <c r="G260" s="201"/>
      <c r="H260" s="209"/>
      <c r="I260" s="209"/>
      <c r="J260" s="201"/>
      <c r="K260" s="210" t="s">
        <v>39</v>
      </c>
      <c r="L260" s="21"/>
      <c r="M260" s="201"/>
      <c r="N260" s="201"/>
      <c r="O260" s="201"/>
      <c r="P260" s="201"/>
      <c r="Q260" s="201"/>
      <c r="R260" s="201"/>
      <c r="S260" s="201"/>
      <c r="T260" s="201"/>
      <c r="U260" s="201"/>
      <c r="V260" s="201"/>
      <c r="W260" s="201"/>
      <c r="X260" s="201"/>
      <c r="Y260" s="201"/>
      <c r="Z260" s="201"/>
      <c r="AA260" s="201"/>
    </row>
    <row r="261">
      <c r="A261" s="201"/>
      <c r="B261" s="201"/>
      <c r="C261" s="201"/>
      <c r="D261" s="201"/>
      <c r="E261" s="201"/>
      <c r="F261" s="201"/>
      <c r="G261" s="201"/>
      <c r="H261" s="209"/>
      <c r="I261" s="209"/>
      <c r="J261" s="201"/>
      <c r="K261" s="210" t="s">
        <v>39</v>
      </c>
      <c r="L261" s="21"/>
      <c r="M261" s="201"/>
      <c r="N261" s="201"/>
      <c r="O261" s="201"/>
      <c r="P261" s="201"/>
      <c r="Q261" s="201"/>
      <c r="R261" s="201"/>
      <c r="S261" s="201"/>
      <c r="T261" s="201"/>
      <c r="U261" s="201"/>
      <c r="V261" s="201"/>
      <c r="W261" s="201"/>
      <c r="X261" s="201"/>
      <c r="Y261" s="201"/>
      <c r="Z261" s="201"/>
      <c r="AA261" s="201"/>
    </row>
    <row r="262">
      <c r="A262" s="201"/>
      <c r="B262" s="201"/>
      <c r="C262" s="201"/>
      <c r="D262" s="201"/>
      <c r="E262" s="201"/>
      <c r="F262" s="201"/>
      <c r="G262" s="201"/>
      <c r="H262" s="209"/>
      <c r="I262" s="209"/>
      <c r="J262" s="201"/>
      <c r="K262" s="210" t="s">
        <v>39</v>
      </c>
      <c r="L262" s="21"/>
      <c r="M262" s="201"/>
      <c r="N262" s="201"/>
      <c r="O262" s="201"/>
      <c r="P262" s="201"/>
      <c r="Q262" s="201"/>
      <c r="R262" s="201"/>
      <c r="S262" s="201"/>
      <c r="T262" s="201"/>
      <c r="U262" s="201"/>
      <c r="V262" s="201"/>
      <c r="W262" s="201"/>
      <c r="X262" s="201"/>
      <c r="Y262" s="201"/>
      <c r="Z262" s="201"/>
      <c r="AA262" s="201"/>
    </row>
    <row r="263">
      <c r="A263" s="201"/>
      <c r="B263" s="201"/>
      <c r="C263" s="201"/>
      <c r="D263" s="201"/>
      <c r="E263" s="201"/>
      <c r="F263" s="201"/>
      <c r="G263" s="201"/>
      <c r="H263" s="209"/>
      <c r="I263" s="209"/>
      <c r="J263" s="201"/>
      <c r="K263" s="210" t="s">
        <v>39</v>
      </c>
      <c r="L263" s="21"/>
      <c r="M263" s="201"/>
      <c r="N263" s="201"/>
      <c r="O263" s="201"/>
      <c r="P263" s="201"/>
      <c r="Q263" s="201"/>
      <c r="R263" s="201"/>
      <c r="S263" s="201"/>
      <c r="T263" s="201"/>
      <c r="U263" s="201"/>
      <c r="V263" s="201"/>
      <c r="W263" s="201"/>
      <c r="X263" s="201"/>
      <c r="Y263" s="201"/>
      <c r="Z263" s="201"/>
      <c r="AA263" s="201"/>
    </row>
    <row r="264">
      <c r="A264" s="201"/>
      <c r="B264" s="201"/>
      <c r="C264" s="201"/>
      <c r="D264" s="201"/>
      <c r="E264" s="201"/>
      <c r="F264" s="201"/>
      <c r="G264" s="201"/>
      <c r="H264" s="209"/>
      <c r="I264" s="209"/>
      <c r="J264" s="201"/>
      <c r="K264" s="210" t="s">
        <v>39</v>
      </c>
      <c r="L264" s="21"/>
      <c r="M264" s="201"/>
      <c r="N264" s="201"/>
      <c r="O264" s="201"/>
      <c r="P264" s="201"/>
      <c r="Q264" s="201"/>
      <c r="R264" s="201"/>
      <c r="S264" s="201"/>
      <c r="T264" s="201"/>
      <c r="U264" s="201"/>
      <c r="V264" s="201"/>
      <c r="W264" s="201"/>
      <c r="X264" s="201"/>
      <c r="Y264" s="201"/>
      <c r="Z264" s="201"/>
      <c r="AA264" s="201"/>
    </row>
    <row r="265">
      <c r="A265" s="201"/>
      <c r="B265" s="201"/>
      <c r="C265" s="201"/>
      <c r="D265" s="201"/>
      <c r="E265" s="201"/>
      <c r="F265" s="201"/>
      <c r="G265" s="201"/>
      <c r="H265" s="209"/>
      <c r="I265" s="209"/>
      <c r="J265" s="201"/>
      <c r="K265" s="210" t="s">
        <v>39</v>
      </c>
      <c r="L265" s="21"/>
      <c r="M265" s="201"/>
      <c r="N265" s="201"/>
      <c r="O265" s="201"/>
      <c r="P265" s="201"/>
      <c r="Q265" s="201"/>
      <c r="R265" s="201"/>
      <c r="S265" s="201"/>
      <c r="T265" s="201"/>
      <c r="U265" s="201"/>
      <c r="V265" s="201"/>
      <c r="W265" s="201"/>
      <c r="X265" s="201"/>
      <c r="Y265" s="201"/>
      <c r="Z265" s="201"/>
      <c r="AA265" s="201"/>
    </row>
    <row r="266">
      <c r="A266" s="201"/>
      <c r="B266" s="201"/>
      <c r="C266" s="201"/>
      <c r="D266" s="201"/>
      <c r="E266" s="201"/>
      <c r="F266" s="201"/>
      <c r="G266" s="201"/>
      <c r="H266" s="209"/>
      <c r="I266" s="209"/>
      <c r="J266" s="201"/>
      <c r="K266" s="210" t="s">
        <v>39</v>
      </c>
      <c r="L266" s="21"/>
      <c r="M266" s="201"/>
      <c r="N266" s="201"/>
      <c r="O266" s="201"/>
      <c r="P266" s="201"/>
      <c r="Q266" s="201"/>
      <c r="R266" s="201"/>
      <c r="S266" s="201"/>
      <c r="T266" s="201"/>
      <c r="U266" s="201"/>
      <c r="V266" s="201"/>
      <c r="W266" s="201"/>
      <c r="X266" s="201"/>
      <c r="Y266" s="201"/>
      <c r="Z266" s="201"/>
      <c r="AA266" s="201"/>
    </row>
    <row r="267">
      <c r="A267" s="201"/>
      <c r="B267" s="201"/>
      <c r="C267" s="201"/>
      <c r="D267" s="201"/>
      <c r="E267" s="201"/>
      <c r="F267" s="201"/>
      <c r="G267" s="201"/>
      <c r="H267" s="209"/>
      <c r="I267" s="209"/>
      <c r="J267" s="201"/>
      <c r="K267" s="210" t="s">
        <v>39</v>
      </c>
      <c r="L267" s="21"/>
      <c r="M267" s="201"/>
      <c r="N267" s="201"/>
      <c r="O267" s="201"/>
      <c r="P267" s="201"/>
      <c r="Q267" s="201"/>
      <c r="R267" s="201"/>
      <c r="S267" s="201"/>
      <c r="T267" s="201"/>
      <c r="U267" s="201"/>
      <c r="V267" s="201"/>
      <c r="W267" s="201"/>
      <c r="X267" s="201"/>
      <c r="Y267" s="201"/>
      <c r="Z267" s="201"/>
      <c r="AA267" s="201"/>
    </row>
    <row r="268">
      <c r="A268" s="201"/>
      <c r="B268" s="201"/>
      <c r="C268" s="201"/>
      <c r="D268" s="201"/>
      <c r="E268" s="201"/>
      <c r="F268" s="201"/>
      <c r="G268" s="201"/>
      <c r="H268" s="209"/>
      <c r="I268" s="209"/>
      <c r="J268" s="201"/>
      <c r="K268" s="210" t="s">
        <v>39</v>
      </c>
      <c r="L268" s="21"/>
      <c r="M268" s="201"/>
      <c r="N268" s="201"/>
      <c r="O268" s="201"/>
      <c r="P268" s="201"/>
      <c r="Q268" s="201"/>
      <c r="R268" s="201"/>
      <c r="S268" s="201"/>
      <c r="T268" s="201"/>
      <c r="U268" s="201"/>
      <c r="V268" s="201"/>
      <c r="W268" s="201"/>
      <c r="X268" s="201"/>
      <c r="Y268" s="201"/>
      <c r="Z268" s="201"/>
      <c r="AA268" s="201"/>
    </row>
    <row r="269">
      <c r="A269" s="201"/>
      <c r="B269" s="201"/>
      <c r="C269" s="201"/>
      <c r="D269" s="201"/>
      <c r="E269" s="201"/>
      <c r="F269" s="201"/>
      <c r="G269" s="201"/>
      <c r="H269" s="209"/>
      <c r="I269" s="209"/>
      <c r="J269" s="201"/>
      <c r="K269" s="210" t="s">
        <v>39</v>
      </c>
      <c r="L269" s="21"/>
      <c r="M269" s="201"/>
      <c r="N269" s="201"/>
      <c r="O269" s="201"/>
      <c r="P269" s="201"/>
      <c r="Q269" s="201"/>
      <c r="R269" s="201"/>
      <c r="S269" s="201"/>
      <c r="T269" s="201"/>
      <c r="U269" s="201"/>
      <c r="V269" s="201"/>
      <c r="W269" s="201"/>
      <c r="X269" s="201"/>
      <c r="Y269" s="201"/>
      <c r="Z269" s="201"/>
      <c r="AA269" s="201"/>
    </row>
    <row r="270">
      <c r="A270" s="201"/>
      <c r="B270" s="201"/>
      <c r="C270" s="201"/>
      <c r="D270" s="201"/>
      <c r="E270" s="201"/>
      <c r="F270" s="201"/>
      <c r="G270" s="201"/>
      <c r="H270" s="209"/>
      <c r="I270" s="209"/>
      <c r="J270" s="201"/>
      <c r="K270" s="210" t="s">
        <v>39</v>
      </c>
      <c r="L270" s="21"/>
      <c r="M270" s="201"/>
      <c r="N270" s="201"/>
      <c r="O270" s="201"/>
      <c r="P270" s="201"/>
      <c r="Q270" s="201"/>
      <c r="R270" s="201"/>
      <c r="S270" s="201"/>
      <c r="T270" s="201"/>
      <c r="U270" s="201"/>
      <c r="V270" s="201"/>
      <c r="W270" s="201"/>
      <c r="X270" s="201"/>
      <c r="Y270" s="201"/>
      <c r="Z270" s="201"/>
      <c r="AA270" s="201"/>
    </row>
    <row r="271">
      <c r="A271" s="201"/>
      <c r="B271" s="201"/>
      <c r="C271" s="201"/>
      <c r="D271" s="201"/>
      <c r="E271" s="201"/>
      <c r="F271" s="201"/>
      <c r="G271" s="201"/>
      <c r="H271" s="209"/>
      <c r="I271" s="209"/>
      <c r="J271" s="201"/>
      <c r="K271" s="210" t="s">
        <v>39</v>
      </c>
      <c r="L271" s="21"/>
      <c r="M271" s="201"/>
      <c r="N271" s="201"/>
      <c r="O271" s="201"/>
      <c r="P271" s="201"/>
      <c r="Q271" s="201"/>
      <c r="R271" s="201"/>
      <c r="S271" s="201"/>
      <c r="T271" s="201"/>
      <c r="U271" s="201"/>
      <c r="V271" s="201"/>
      <c r="W271" s="201"/>
      <c r="X271" s="201"/>
      <c r="Y271" s="201"/>
      <c r="Z271" s="201"/>
      <c r="AA271" s="201"/>
    </row>
    <row r="272">
      <c r="A272" s="201"/>
      <c r="B272" s="201"/>
      <c r="C272" s="201"/>
      <c r="D272" s="201"/>
      <c r="E272" s="201"/>
      <c r="F272" s="201"/>
      <c r="G272" s="201"/>
      <c r="H272" s="209"/>
      <c r="I272" s="209"/>
      <c r="J272" s="201"/>
      <c r="K272" s="210" t="s">
        <v>39</v>
      </c>
      <c r="L272" s="21"/>
      <c r="M272" s="201"/>
      <c r="N272" s="201"/>
      <c r="O272" s="201"/>
      <c r="P272" s="201"/>
      <c r="Q272" s="201"/>
      <c r="R272" s="201"/>
      <c r="S272" s="201"/>
      <c r="T272" s="201"/>
      <c r="U272" s="201"/>
      <c r="V272" s="201"/>
      <c r="W272" s="201"/>
      <c r="X272" s="201"/>
      <c r="Y272" s="201"/>
      <c r="Z272" s="201"/>
      <c r="AA272" s="201"/>
    </row>
    <row r="273">
      <c r="A273" s="201"/>
      <c r="B273" s="201"/>
      <c r="C273" s="201"/>
      <c r="D273" s="201"/>
      <c r="E273" s="201"/>
      <c r="F273" s="201"/>
      <c r="G273" s="201"/>
      <c r="H273" s="209"/>
      <c r="I273" s="209"/>
      <c r="J273" s="201"/>
      <c r="K273" s="210" t="s">
        <v>39</v>
      </c>
      <c r="L273" s="21"/>
      <c r="M273" s="201"/>
      <c r="N273" s="201"/>
      <c r="O273" s="201"/>
      <c r="P273" s="201"/>
      <c r="Q273" s="201"/>
      <c r="R273" s="201"/>
      <c r="S273" s="201"/>
      <c r="T273" s="201"/>
      <c r="U273" s="201"/>
      <c r="V273" s="201"/>
      <c r="W273" s="201"/>
      <c r="X273" s="201"/>
      <c r="Y273" s="201"/>
      <c r="Z273" s="201"/>
      <c r="AA273" s="201"/>
    </row>
    <row r="274">
      <c r="A274" s="201"/>
      <c r="B274" s="201"/>
      <c r="C274" s="201"/>
      <c r="D274" s="201"/>
      <c r="E274" s="201"/>
      <c r="F274" s="201"/>
      <c r="G274" s="201"/>
      <c r="H274" s="209"/>
      <c r="I274" s="209"/>
      <c r="J274" s="201"/>
      <c r="K274" s="210" t="s">
        <v>39</v>
      </c>
      <c r="L274" s="21"/>
      <c r="M274" s="201"/>
      <c r="N274" s="201"/>
      <c r="O274" s="201"/>
      <c r="P274" s="201"/>
      <c r="Q274" s="201"/>
      <c r="R274" s="201"/>
      <c r="S274" s="201"/>
      <c r="T274" s="201"/>
      <c r="U274" s="201"/>
      <c r="V274" s="201"/>
      <c r="W274" s="201"/>
      <c r="X274" s="201"/>
      <c r="Y274" s="201"/>
      <c r="Z274" s="201"/>
      <c r="AA274" s="201"/>
    </row>
    <row r="275">
      <c r="A275" s="201"/>
      <c r="B275" s="201"/>
      <c r="C275" s="201"/>
      <c r="D275" s="201"/>
      <c r="E275" s="201"/>
      <c r="F275" s="201"/>
      <c r="G275" s="201"/>
      <c r="H275" s="209"/>
      <c r="I275" s="209"/>
      <c r="J275" s="201"/>
      <c r="K275" s="210" t="s">
        <v>39</v>
      </c>
      <c r="L275" s="21"/>
      <c r="M275" s="201"/>
      <c r="N275" s="201"/>
      <c r="O275" s="201"/>
      <c r="P275" s="201"/>
      <c r="Q275" s="201"/>
      <c r="R275" s="201"/>
      <c r="S275" s="201"/>
      <c r="T275" s="201"/>
      <c r="U275" s="201"/>
      <c r="V275" s="201"/>
      <c r="W275" s="201"/>
      <c r="X275" s="201"/>
      <c r="Y275" s="201"/>
      <c r="Z275" s="201"/>
      <c r="AA275" s="201"/>
    </row>
    <row r="276">
      <c r="A276" s="201"/>
      <c r="B276" s="201"/>
      <c r="C276" s="201"/>
      <c r="D276" s="201"/>
      <c r="E276" s="201"/>
      <c r="F276" s="201"/>
      <c r="G276" s="201"/>
      <c r="H276" s="209"/>
      <c r="I276" s="209"/>
      <c r="J276" s="201"/>
      <c r="K276" s="210" t="s">
        <v>39</v>
      </c>
      <c r="L276" s="21"/>
      <c r="M276" s="201"/>
      <c r="N276" s="201"/>
      <c r="O276" s="201"/>
      <c r="P276" s="201"/>
      <c r="Q276" s="201"/>
      <c r="R276" s="201"/>
      <c r="S276" s="201"/>
      <c r="T276" s="201"/>
      <c r="U276" s="201"/>
      <c r="V276" s="201"/>
      <c r="W276" s="201"/>
      <c r="X276" s="201"/>
      <c r="Y276" s="201"/>
      <c r="Z276" s="201"/>
      <c r="AA276" s="201"/>
    </row>
    <row r="277">
      <c r="A277" s="201"/>
      <c r="B277" s="201"/>
      <c r="C277" s="201"/>
      <c r="D277" s="201"/>
      <c r="E277" s="201"/>
      <c r="F277" s="201"/>
      <c r="G277" s="201"/>
      <c r="H277" s="209"/>
      <c r="I277" s="209"/>
      <c r="J277" s="201"/>
      <c r="K277" s="210" t="s">
        <v>39</v>
      </c>
      <c r="L277" s="21"/>
      <c r="M277" s="201"/>
      <c r="N277" s="201"/>
      <c r="O277" s="201"/>
      <c r="P277" s="201"/>
      <c r="Q277" s="201"/>
      <c r="R277" s="201"/>
      <c r="S277" s="201"/>
      <c r="T277" s="201"/>
      <c r="U277" s="201"/>
      <c r="V277" s="201"/>
      <c r="W277" s="201"/>
      <c r="X277" s="201"/>
      <c r="Y277" s="201"/>
      <c r="Z277" s="201"/>
      <c r="AA277" s="201"/>
    </row>
    <row r="278">
      <c r="A278" s="201"/>
      <c r="B278" s="201"/>
      <c r="C278" s="201"/>
      <c r="D278" s="201"/>
      <c r="E278" s="201"/>
      <c r="F278" s="201"/>
      <c r="G278" s="201"/>
      <c r="H278" s="209"/>
      <c r="I278" s="209"/>
      <c r="J278" s="201"/>
      <c r="K278" s="210" t="s">
        <v>39</v>
      </c>
      <c r="L278" s="21"/>
      <c r="M278" s="201"/>
      <c r="N278" s="201"/>
      <c r="O278" s="201"/>
      <c r="P278" s="201"/>
      <c r="Q278" s="201"/>
      <c r="R278" s="201"/>
      <c r="S278" s="201"/>
      <c r="T278" s="201"/>
      <c r="U278" s="201"/>
      <c r="V278" s="201"/>
      <c r="W278" s="201"/>
      <c r="X278" s="201"/>
      <c r="Y278" s="201"/>
      <c r="Z278" s="201"/>
      <c r="AA278" s="201"/>
    </row>
    <row r="279">
      <c r="A279" s="201"/>
      <c r="B279" s="201"/>
      <c r="C279" s="201"/>
      <c r="D279" s="201"/>
      <c r="E279" s="201"/>
      <c r="F279" s="201"/>
      <c r="G279" s="201"/>
      <c r="H279" s="209"/>
      <c r="I279" s="209"/>
      <c r="J279" s="201"/>
      <c r="K279" s="210" t="s">
        <v>39</v>
      </c>
      <c r="L279" s="21"/>
      <c r="M279" s="201"/>
      <c r="N279" s="201"/>
      <c r="O279" s="201"/>
      <c r="P279" s="201"/>
      <c r="Q279" s="201"/>
      <c r="R279" s="201"/>
      <c r="S279" s="201"/>
      <c r="T279" s="201"/>
      <c r="U279" s="201"/>
      <c r="V279" s="201"/>
      <c r="W279" s="201"/>
      <c r="X279" s="201"/>
      <c r="Y279" s="201"/>
      <c r="Z279" s="201"/>
      <c r="AA279" s="201"/>
    </row>
    <row r="280">
      <c r="A280" s="201"/>
      <c r="B280" s="201"/>
      <c r="C280" s="201"/>
      <c r="D280" s="201"/>
      <c r="E280" s="201"/>
      <c r="F280" s="201"/>
      <c r="G280" s="201"/>
      <c r="H280" s="209"/>
      <c r="I280" s="209"/>
      <c r="J280" s="201"/>
      <c r="K280" s="210" t="s">
        <v>39</v>
      </c>
      <c r="L280" s="21"/>
      <c r="M280" s="201"/>
      <c r="N280" s="201"/>
      <c r="O280" s="201"/>
      <c r="P280" s="201"/>
      <c r="Q280" s="201"/>
      <c r="R280" s="201"/>
      <c r="S280" s="201"/>
      <c r="T280" s="201"/>
      <c r="U280" s="201"/>
      <c r="V280" s="201"/>
      <c r="W280" s="201"/>
      <c r="X280" s="201"/>
      <c r="Y280" s="201"/>
      <c r="Z280" s="201"/>
      <c r="AA280" s="201"/>
    </row>
    <row r="281">
      <c r="A281" s="201"/>
      <c r="B281" s="201"/>
      <c r="C281" s="201"/>
      <c r="D281" s="201"/>
      <c r="E281" s="201"/>
      <c r="F281" s="201"/>
      <c r="G281" s="201"/>
      <c r="H281" s="209"/>
      <c r="I281" s="209"/>
      <c r="J281" s="201"/>
      <c r="K281" s="210" t="s">
        <v>39</v>
      </c>
      <c r="L281" s="21"/>
      <c r="M281" s="201"/>
      <c r="N281" s="201"/>
      <c r="O281" s="201"/>
      <c r="P281" s="201"/>
      <c r="Q281" s="201"/>
      <c r="R281" s="201"/>
      <c r="S281" s="201"/>
      <c r="T281" s="201"/>
      <c r="U281" s="201"/>
      <c r="V281" s="201"/>
      <c r="W281" s="201"/>
      <c r="X281" s="201"/>
      <c r="Y281" s="201"/>
      <c r="Z281" s="201"/>
      <c r="AA281" s="201"/>
    </row>
    <row r="282">
      <c r="A282" s="201"/>
      <c r="B282" s="201"/>
      <c r="C282" s="201"/>
      <c r="D282" s="201"/>
      <c r="E282" s="201"/>
      <c r="F282" s="201"/>
      <c r="G282" s="201"/>
      <c r="H282" s="209"/>
      <c r="I282" s="209"/>
      <c r="J282" s="201"/>
      <c r="K282" s="210" t="s">
        <v>39</v>
      </c>
      <c r="L282" s="21"/>
      <c r="M282" s="201"/>
      <c r="N282" s="201"/>
      <c r="O282" s="201"/>
      <c r="P282" s="201"/>
      <c r="Q282" s="201"/>
      <c r="R282" s="201"/>
      <c r="S282" s="201"/>
      <c r="T282" s="201"/>
      <c r="U282" s="201"/>
      <c r="V282" s="201"/>
      <c r="W282" s="201"/>
      <c r="X282" s="201"/>
      <c r="Y282" s="201"/>
      <c r="Z282" s="201"/>
      <c r="AA282" s="201"/>
    </row>
    <row r="283">
      <c r="A283" s="201"/>
      <c r="B283" s="201"/>
      <c r="C283" s="201"/>
      <c r="D283" s="201"/>
      <c r="E283" s="201"/>
      <c r="F283" s="201"/>
      <c r="G283" s="201"/>
      <c r="H283" s="209"/>
      <c r="I283" s="209"/>
      <c r="J283" s="201"/>
      <c r="K283" s="210" t="s">
        <v>39</v>
      </c>
      <c r="L283" s="21"/>
      <c r="M283" s="201"/>
      <c r="N283" s="201"/>
      <c r="O283" s="201"/>
      <c r="P283" s="201"/>
      <c r="Q283" s="201"/>
      <c r="R283" s="201"/>
      <c r="S283" s="201"/>
      <c r="T283" s="201"/>
      <c r="U283" s="201"/>
      <c r="V283" s="201"/>
      <c r="W283" s="201"/>
      <c r="X283" s="201"/>
      <c r="Y283" s="201"/>
      <c r="Z283" s="201"/>
      <c r="AA283" s="201"/>
    </row>
    <row r="284">
      <c r="A284" s="201"/>
      <c r="B284" s="201"/>
      <c r="C284" s="201"/>
      <c r="D284" s="201"/>
      <c r="E284" s="201"/>
      <c r="F284" s="201"/>
      <c r="G284" s="201"/>
      <c r="H284" s="209"/>
      <c r="I284" s="209"/>
      <c r="J284" s="201"/>
      <c r="K284" s="210" t="s">
        <v>39</v>
      </c>
      <c r="L284" s="21"/>
      <c r="M284" s="201"/>
      <c r="N284" s="201"/>
      <c r="O284" s="201"/>
      <c r="P284" s="201"/>
      <c r="Q284" s="201"/>
      <c r="R284" s="201"/>
      <c r="S284" s="201"/>
      <c r="T284" s="201"/>
      <c r="U284" s="201"/>
      <c r="V284" s="201"/>
      <c r="W284" s="201"/>
      <c r="X284" s="201"/>
      <c r="Y284" s="201"/>
      <c r="Z284" s="201"/>
      <c r="AA284" s="201"/>
    </row>
    <row r="285">
      <c r="A285" s="201"/>
      <c r="B285" s="201"/>
      <c r="C285" s="201"/>
      <c r="D285" s="201"/>
      <c r="E285" s="201"/>
      <c r="F285" s="201"/>
      <c r="G285" s="201"/>
      <c r="H285" s="209"/>
      <c r="I285" s="209"/>
      <c r="J285" s="201"/>
      <c r="K285" s="210" t="s">
        <v>39</v>
      </c>
      <c r="L285" s="21"/>
      <c r="M285" s="201"/>
      <c r="N285" s="201"/>
      <c r="O285" s="201"/>
      <c r="P285" s="201"/>
      <c r="Q285" s="201"/>
      <c r="R285" s="201"/>
      <c r="S285" s="201"/>
      <c r="T285" s="201"/>
      <c r="U285" s="201"/>
      <c r="V285" s="201"/>
      <c r="W285" s="201"/>
      <c r="X285" s="201"/>
      <c r="Y285" s="201"/>
      <c r="Z285" s="201"/>
      <c r="AA285" s="201"/>
    </row>
    <row r="286">
      <c r="A286" s="201"/>
      <c r="B286" s="201"/>
      <c r="C286" s="201"/>
      <c r="D286" s="201"/>
      <c r="E286" s="201"/>
      <c r="F286" s="201"/>
      <c r="G286" s="201"/>
      <c r="H286" s="209"/>
      <c r="I286" s="209"/>
      <c r="J286" s="201"/>
      <c r="K286" s="210" t="s">
        <v>39</v>
      </c>
      <c r="L286" s="21"/>
      <c r="M286" s="201"/>
      <c r="N286" s="201"/>
      <c r="O286" s="201"/>
      <c r="P286" s="201"/>
      <c r="Q286" s="201"/>
      <c r="R286" s="201"/>
      <c r="S286" s="201"/>
      <c r="T286" s="201"/>
      <c r="U286" s="201"/>
      <c r="V286" s="201"/>
      <c r="W286" s="201"/>
      <c r="X286" s="201"/>
      <c r="Y286" s="201"/>
      <c r="Z286" s="201"/>
      <c r="AA286" s="201"/>
    </row>
    <row r="287">
      <c r="A287" s="201"/>
      <c r="B287" s="201"/>
      <c r="C287" s="201"/>
      <c r="D287" s="201"/>
      <c r="E287" s="201"/>
      <c r="F287" s="201"/>
      <c r="G287" s="201"/>
      <c r="H287" s="209"/>
      <c r="I287" s="209"/>
      <c r="J287" s="201"/>
      <c r="K287" s="210" t="s">
        <v>39</v>
      </c>
      <c r="L287" s="21"/>
      <c r="M287" s="201"/>
      <c r="N287" s="201"/>
      <c r="O287" s="201"/>
      <c r="P287" s="201"/>
      <c r="Q287" s="201"/>
      <c r="R287" s="201"/>
      <c r="S287" s="201"/>
      <c r="T287" s="201"/>
      <c r="U287" s="201"/>
      <c r="V287" s="201"/>
      <c r="W287" s="201"/>
      <c r="X287" s="201"/>
      <c r="Y287" s="201"/>
      <c r="Z287" s="201"/>
      <c r="AA287" s="201"/>
    </row>
    <row r="288">
      <c r="A288" s="201"/>
      <c r="B288" s="201"/>
      <c r="C288" s="201"/>
      <c r="D288" s="201"/>
      <c r="E288" s="201"/>
      <c r="F288" s="201"/>
      <c r="G288" s="201"/>
      <c r="H288" s="209"/>
      <c r="I288" s="209"/>
      <c r="J288" s="201"/>
      <c r="K288" s="210" t="s">
        <v>39</v>
      </c>
      <c r="L288" s="21"/>
      <c r="M288" s="201"/>
      <c r="N288" s="201"/>
      <c r="O288" s="201"/>
      <c r="P288" s="201"/>
      <c r="Q288" s="201"/>
      <c r="R288" s="201"/>
      <c r="S288" s="201"/>
      <c r="T288" s="201"/>
      <c r="U288" s="201"/>
      <c r="V288" s="201"/>
      <c r="W288" s="201"/>
      <c r="X288" s="201"/>
      <c r="Y288" s="201"/>
      <c r="Z288" s="201"/>
      <c r="AA288" s="201"/>
    </row>
    <row r="289">
      <c r="A289" s="201"/>
      <c r="B289" s="201"/>
      <c r="C289" s="201"/>
      <c r="D289" s="201"/>
      <c r="E289" s="201"/>
      <c r="F289" s="201"/>
      <c r="G289" s="201"/>
      <c r="H289" s="209"/>
      <c r="I289" s="209"/>
      <c r="J289" s="201"/>
      <c r="K289" s="210" t="s">
        <v>39</v>
      </c>
      <c r="L289" s="21"/>
      <c r="M289" s="201"/>
      <c r="N289" s="201"/>
      <c r="O289" s="201"/>
      <c r="P289" s="201"/>
      <c r="Q289" s="201"/>
      <c r="R289" s="201"/>
      <c r="S289" s="201"/>
      <c r="T289" s="201"/>
      <c r="U289" s="201"/>
      <c r="V289" s="201"/>
      <c r="W289" s="201"/>
      <c r="X289" s="201"/>
      <c r="Y289" s="201"/>
      <c r="Z289" s="201"/>
      <c r="AA289" s="201"/>
    </row>
    <row r="290">
      <c r="A290" s="201"/>
      <c r="B290" s="201"/>
      <c r="C290" s="201"/>
      <c r="D290" s="201"/>
      <c r="E290" s="201"/>
      <c r="F290" s="201"/>
      <c r="G290" s="201"/>
      <c r="H290" s="209"/>
      <c r="I290" s="209"/>
      <c r="J290" s="201"/>
      <c r="K290" s="210" t="s">
        <v>39</v>
      </c>
      <c r="L290" s="21"/>
      <c r="M290" s="201"/>
      <c r="N290" s="201"/>
      <c r="O290" s="201"/>
      <c r="P290" s="201"/>
      <c r="Q290" s="201"/>
      <c r="R290" s="201"/>
      <c r="S290" s="201"/>
      <c r="T290" s="201"/>
      <c r="U290" s="201"/>
      <c r="V290" s="201"/>
      <c r="W290" s="201"/>
      <c r="X290" s="201"/>
      <c r="Y290" s="201"/>
      <c r="Z290" s="201"/>
      <c r="AA290" s="201"/>
    </row>
    <row r="291">
      <c r="A291" s="201"/>
      <c r="B291" s="201"/>
      <c r="C291" s="201"/>
      <c r="D291" s="201"/>
      <c r="E291" s="201"/>
      <c r="F291" s="201"/>
      <c r="G291" s="201"/>
      <c r="H291" s="209"/>
      <c r="I291" s="209"/>
      <c r="J291" s="201"/>
      <c r="K291" s="210" t="s">
        <v>39</v>
      </c>
      <c r="L291" s="21"/>
      <c r="M291" s="201"/>
      <c r="N291" s="201"/>
      <c r="O291" s="201"/>
      <c r="P291" s="201"/>
      <c r="Q291" s="201"/>
      <c r="R291" s="201"/>
      <c r="S291" s="201"/>
      <c r="T291" s="201"/>
      <c r="U291" s="201"/>
      <c r="V291" s="201"/>
      <c r="W291" s="201"/>
      <c r="X291" s="201"/>
      <c r="Y291" s="201"/>
      <c r="Z291" s="201"/>
      <c r="AA291" s="201"/>
    </row>
    <row r="292">
      <c r="A292" s="201"/>
      <c r="B292" s="201"/>
      <c r="C292" s="201"/>
      <c r="D292" s="201"/>
      <c r="E292" s="201"/>
      <c r="F292" s="201"/>
      <c r="G292" s="201"/>
      <c r="H292" s="209"/>
      <c r="I292" s="209"/>
      <c r="J292" s="201"/>
      <c r="K292" s="210" t="s">
        <v>39</v>
      </c>
      <c r="L292" s="21"/>
      <c r="M292" s="201"/>
      <c r="N292" s="201"/>
      <c r="O292" s="201"/>
      <c r="P292" s="201"/>
      <c r="Q292" s="201"/>
      <c r="R292" s="201"/>
      <c r="S292" s="201"/>
      <c r="T292" s="201"/>
      <c r="U292" s="201"/>
      <c r="V292" s="201"/>
      <c r="W292" s="201"/>
      <c r="X292" s="201"/>
      <c r="Y292" s="201"/>
      <c r="Z292" s="201"/>
      <c r="AA292" s="201"/>
    </row>
    <row r="293">
      <c r="A293" s="201"/>
      <c r="B293" s="201"/>
      <c r="C293" s="201"/>
      <c r="D293" s="201"/>
      <c r="E293" s="201"/>
      <c r="F293" s="201"/>
      <c r="G293" s="201"/>
      <c r="H293" s="209"/>
      <c r="I293" s="209"/>
      <c r="J293" s="201"/>
      <c r="K293" s="210" t="s">
        <v>39</v>
      </c>
      <c r="L293" s="21"/>
      <c r="M293" s="201"/>
      <c r="N293" s="201"/>
      <c r="O293" s="201"/>
      <c r="P293" s="201"/>
      <c r="Q293" s="201"/>
      <c r="R293" s="201"/>
      <c r="S293" s="201"/>
      <c r="T293" s="201"/>
      <c r="U293" s="201"/>
      <c r="V293" s="201"/>
      <c r="W293" s="201"/>
      <c r="X293" s="201"/>
      <c r="Y293" s="201"/>
      <c r="Z293" s="201"/>
      <c r="AA293" s="201"/>
    </row>
    <row r="294">
      <c r="A294" s="201"/>
      <c r="B294" s="201"/>
      <c r="C294" s="201"/>
      <c r="D294" s="201"/>
      <c r="E294" s="201"/>
      <c r="F294" s="201"/>
      <c r="G294" s="201"/>
      <c r="H294" s="209"/>
      <c r="I294" s="209"/>
      <c r="J294" s="201"/>
      <c r="K294" s="210" t="s">
        <v>39</v>
      </c>
      <c r="L294" s="21"/>
      <c r="M294" s="201"/>
      <c r="N294" s="201"/>
      <c r="O294" s="201"/>
      <c r="P294" s="201"/>
      <c r="Q294" s="201"/>
      <c r="R294" s="201"/>
      <c r="S294" s="201"/>
      <c r="T294" s="201"/>
      <c r="U294" s="201"/>
      <c r="V294" s="201"/>
      <c r="W294" s="201"/>
      <c r="X294" s="201"/>
      <c r="Y294" s="201"/>
      <c r="Z294" s="201"/>
      <c r="AA294" s="201"/>
    </row>
    <row r="295">
      <c r="A295" s="201"/>
      <c r="B295" s="201"/>
      <c r="C295" s="201"/>
      <c r="D295" s="201"/>
      <c r="E295" s="201"/>
      <c r="F295" s="201"/>
      <c r="G295" s="201"/>
      <c r="H295" s="209"/>
      <c r="I295" s="209"/>
      <c r="J295" s="201"/>
      <c r="K295" s="210" t="s">
        <v>39</v>
      </c>
      <c r="L295" s="21"/>
      <c r="M295" s="201"/>
      <c r="N295" s="201"/>
      <c r="O295" s="201"/>
      <c r="P295" s="201"/>
      <c r="Q295" s="201"/>
      <c r="R295" s="201"/>
      <c r="S295" s="201"/>
      <c r="T295" s="201"/>
      <c r="U295" s="201"/>
      <c r="V295" s="201"/>
      <c r="W295" s="201"/>
      <c r="X295" s="201"/>
      <c r="Y295" s="201"/>
      <c r="Z295" s="201"/>
      <c r="AA295" s="201"/>
    </row>
    <row r="296">
      <c r="A296" s="201"/>
      <c r="B296" s="201"/>
      <c r="C296" s="201"/>
      <c r="D296" s="201"/>
      <c r="E296" s="201"/>
      <c r="F296" s="201"/>
      <c r="G296" s="201"/>
      <c r="H296" s="209"/>
      <c r="I296" s="209"/>
      <c r="J296" s="201"/>
      <c r="K296" s="210" t="s">
        <v>39</v>
      </c>
      <c r="L296" s="21"/>
      <c r="M296" s="201"/>
      <c r="N296" s="201"/>
      <c r="O296" s="201"/>
      <c r="P296" s="201"/>
      <c r="Q296" s="201"/>
      <c r="R296" s="201"/>
      <c r="S296" s="201"/>
      <c r="T296" s="201"/>
      <c r="U296" s="201"/>
      <c r="V296" s="201"/>
      <c r="W296" s="201"/>
      <c r="X296" s="201"/>
      <c r="Y296" s="201"/>
      <c r="Z296" s="201"/>
      <c r="AA296" s="201"/>
    </row>
    <row r="297">
      <c r="A297" s="201"/>
      <c r="B297" s="201"/>
      <c r="C297" s="201"/>
      <c r="D297" s="201"/>
      <c r="E297" s="201"/>
      <c r="F297" s="201"/>
      <c r="G297" s="201"/>
      <c r="H297" s="209"/>
      <c r="I297" s="209"/>
      <c r="J297" s="201"/>
      <c r="K297" s="210" t="s">
        <v>39</v>
      </c>
      <c r="L297" s="21"/>
      <c r="M297" s="201"/>
      <c r="N297" s="201"/>
      <c r="O297" s="201"/>
      <c r="P297" s="201"/>
      <c r="Q297" s="201"/>
      <c r="R297" s="201"/>
      <c r="S297" s="201"/>
      <c r="T297" s="201"/>
      <c r="U297" s="201"/>
      <c r="V297" s="201"/>
      <c r="W297" s="201"/>
      <c r="X297" s="201"/>
      <c r="Y297" s="201"/>
      <c r="Z297" s="201"/>
      <c r="AA297" s="201"/>
    </row>
    <row r="298">
      <c r="A298" s="201"/>
      <c r="B298" s="201"/>
      <c r="C298" s="201"/>
      <c r="D298" s="201"/>
      <c r="E298" s="201"/>
      <c r="F298" s="201"/>
      <c r="G298" s="201"/>
      <c r="H298" s="209"/>
      <c r="I298" s="209"/>
      <c r="J298" s="201"/>
      <c r="K298" s="210" t="s">
        <v>39</v>
      </c>
      <c r="L298" s="21"/>
      <c r="M298" s="201"/>
      <c r="N298" s="201"/>
      <c r="O298" s="201"/>
      <c r="P298" s="201"/>
      <c r="Q298" s="201"/>
      <c r="R298" s="201"/>
      <c r="S298" s="201"/>
      <c r="T298" s="201"/>
      <c r="U298" s="201"/>
      <c r="V298" s="201"/>
      <c r="W298" s="201"/>
      <c r="X298" s="201"/>
      <c r="Y298" s="201"/>
      <c r="Z298" s="201"/>
      <c r="AA298" s="201"/>
    </row>
    <row r="299">
      <c r="A299" s="201"/>
      <c r="B299" s="201"/>
      <c r="C299" s="201"/>
      <c r="D299" s="201"/>
      <c r="E299" s="201"/>
      <c r="F299" s="201"/>
      <c r="G299" s="201"/>
      <c r="H299" s="209"/>
      <c r="I299" s="209"/>
      <c r="J299" s="201"/>
      <c r="K299" s="210" t="s">
        <v>39</v>
      </c>
      <c r="L299" s="21"/>
      <c r="M299" s="201"/>
      <c r="N299" s="201"/>
      <c r="O299" s="201"/>
      <c r="P299" s="201"/>
      <c r="Q299" s="201"/>
      <c r="R299" s="201"/>
      <c r="S299" s="201"/>
      <c r="T299" s="201"/>
      <c r="U299" s="201"/>
      <c r="V299" s="201"/>
      <c r="W299" s="201"/>
      <c r="X299" s="201"/>
      <c r="Y299" s="201"/>
      <c r="Z299" s="201"/>
      <c r="AA299" s="201"/>
    </row>
    <row r="300">
      <c r="A300" s="201"/>
      <c r="B300" s="201"/>
      <c r="C300" s="201"/>
      <c r="D300" s="201"/>
      <c r="E300" s="201"/>
      <c r="F300" s="201"/>
      <c r="G300" s="201"/>
      <c r="H300" s="209"/>
      <c r="I300" s="209"/>
      <c r="J300" s="201"/>
      <c r="K300" s="210" t="s">
        <v>39</v>
      </c>
      <c r="L300" s="21"/>
      <c r="M300" s="201"/>
      <c r="N300" s="201"/>
      <c r="O300" s="201"/>
      <c r="P300" s="201"/>
      <c r="Q300" s="201"/>
      <c r="R300" s="201"/>
      <c r="S300" s="201"/>
      <c r="T300" s="201"/>
      <c r="U300" s="201"/>
      <c r="V300" s="201"/>
      <c r="W300" s="201"/>
      <c r="X300" s="201"/>
      <c r="Y300" s="201"/>
      <c r="Z300" s="201"/>
      <c r="AA300" s="201"/>
    </row>
    <row r="301">
      <c r="A301" s="201"/>
      <c r="B301" s="201"/>
      <c r="C301" s="201"/>
      <c r="D301" s="201"/>
      <c r="E301" s="201"/>
      <c r="F301" s="201"/>
      <c r="G301" s="201"/>
      <c r="H301" s="209"/>
      <c r="I301" s="209"/>
      <c r="J301" s="201"/>
      <c r="K301" s="210" t="s">
        <v>39</v>
      </c>
      <c r="L301" s="21"/>
      <c r="M301" s="201"/>
      <c r="N301" s="201"/>
      <c r="O301" s="201"/>
      <c r="P301" s="201"/>
      <c r="Q301" s="201"/>
      <c r="R301" s="201"/>
      <c r="S301" s="201"/>
      <c r="T301" s="201"/>
      <c r="U301" s="201"/>
      <c r="V301" s="201"/>
      <c r="W301" s="201"/>
      <c r="X301" s="201"/>
      <c r="Y301" s="201"/>
      <c r="Z301" s="201"/>
      <c r="AA301" s="201"/>
    </row>
    <row r="302">
      <c r="A302" s="201"/>
      <c r="B302" s="201"/>
      <c r="C302" s="201"/>
      <c r="D302" s="201"/>
      <c r="E302" s="201"/>
      <c r="F302" s="201"/>
      <c r="G302" s="201"/>
      <c r="H302" s="209"/>
      <c r="I302" s="209"/>
      <c r="J302" s="201"/>
      <c r="K302" s="210" t="s">
        <v>39</v>
      </c>
      <c r="L302" s="21"/>
      <c r="M302" s="201"/>
      <c r="N302" s="201"/>
      <c r="O302" s="201"/>
      <c r="P302" s="201"/>
      <c r="Q302" s="201"/>
      <c r="R302" s="201"/>
      <c r="S302" s="201"/>
      <c r="T302" s="201"/>
      <c r="U302" s="201"/>
      <c r="V302" s="201"/>
      <c r="W302" s="201"/>
      <c r="X302" s="201"/>
      <c r="Y302" s="201"/>
      <c r="Z302" s="201"/>
      <c r="AA302" s="201"/>
    </row>
    <row r="303">
      <c r="A303" s="201"/>
      <c r="B303" s="201"/>
      <c r="C303" s="201"/>
      <c r="D303" s="201"/>
      <c r="E303" s="201"/>
      <c r="F303" s="201"/>
      <c r="G303" s="201"/>
      <c r="H303" s="209"/>
      <c r="I303" s="209"/>
      <c r="J303" s="201"/>
      <c r="K303" s="210" t="s">
        <v>39</v>
      </c>
      <c r="L303" s="21"/>
      <c r="M303" s="201"/>
      <c r="N303" s="201"/>
      <c r="O303" s="201"/>
      <c r="P303" s="201"/>
      <c r="Q303" s="201"/>
      <c r="R303" s="201"/>
      <c r="S303" s="201"/>
      <c r="T303" s="201"/>
      <c r="U303" s="201"/>
      <c r="V303" s="201"/>
      <c r="W303" s="201"/>
      <c r="X303" s="201"/>
      <c r="Y303" s="201"/>
      <c r="Z303" s="201"/>
      <c r="AA303" s="201"/>
    </row>
    <row r="304">
      <c r="A304" s="201"/>
      <c r="B304" s="201"/>
      <c r="C304" s="201"/>
      <c r="D304" s="201"/>
      <c r="E304" s="201"/>
      <c r="F304" s="201"/>
      <c r="G304" s="201"/>
      <c r="H304" s="209"/>
      <c r="I304" s="209"/>
      <c r="J304" s="201"/>
      <c r="K304" s="210" t="s">
        <v>39</v>
      </c>
      <c r="L304" s="21"/>
      <c r="M304" s="201"/>
      <c r="N304" s="201"/>
      <c r="O304" s="201"/>
      <c r="P304" s="201"/>
      <c r="Q304" s="201"/>
      <c r="R304" s="201"/>
      <c r="S304" s="201"/>
      <c r="T304" s="201"/>
      <c r="U304" s="201"/>
      <c r="V304" s="201"/>
      <c r="W304" s="201"/>
      <c r="X304" s="201"/>
      <c r="Y304" s="201"/>
      <c r="Z304" s="201"/>
      <c r="AA304" s="201"/>
    </row>
    <row r="305">
      <c r="A305" s="201"/>
      <c r="B305" s="201"/>
      <c r="C305" s="201"/>
      <c r="D305" s="201"/>
      <c r="E305" s="201"/>
      <c r="F305" s="201"/>
      <c r="G305" s="201"/>
      <c r="H305" s="209"/>
      <c r="I305" s="209"/>
      <c r="J305" s="201"/>
      <c r="K305" s="210" t="s">
        <v>39</v>
      </c>
      <c r="L305" s="21"/>
      <c r="M305" s="201"/>
      <c r="N305" s="201"/>
      <c r="O305" s="201"/>
      <c r="P305" s="201"/>
      <c r="Q305" s="201"/>
      <c r="R305" s="201"/>
      <c r="S305" s="201"/>
      <c r="T305" s="201"/>
      <c r="U305" s="201"/>
      <c r="V305" s="201"/>
      <c r="W305" s="201"/>
      <c r="X305" s="201"/>
      <c r="Y305" s="201"/>
      <c r="Z305" s="201"/>
      <c r="AA305" s="201"/>
    </row>
    <row r="306">
      <c r="A306" s="201"/>
      <c r="B306" s="201"/>
      <c r="C306" s="201"/>
      <c r="D306" s="201"/>
      <c r="E306" s="201"/>
      <c r="F306" s="201"/>
      <c r="G306" s="201"/>
      <c r="H306" s="209"/>
      <c r="I306" s="209"/>
      <c r="J306" s="201"/>
      <c r="K306" s="210" t="s">
        <v>39</v>
      </c>
      <c r="L306" s="21"/>
      <c r="M306" s="201"/>
      <c r="N306" s="201"/>
      <c r="O306" s="201"/>
      <c r="P306" s="201"/>
      <c r="Q306" s="201"/>
      <c r="R306" s="201"/>
      <c r="S306" s="201"/>
      <c r="T306" s="201"/>
      <c r="U306" s="201"/>
      <c r="V306" s="201"/>
      <c r="W306" s="201"/>
      <c r="X306" s="201"/>
      <c r="Y306" s="201"/>
      <c r="Z306" s="201"/>
      <c r="AA306" s="201"/>
    </row>
    <row r="307">
      <c r="A307" s="201"/>
      <c r="B307" s="201"/>
      <c r="C307" s="201"/>
      <c r="D307" s="201"/>
      <c r="E307" s="201"/>
      <c r="F307" s="201"/>
      <c r="G307" s="201"/>
      <c r="H307" s="209"/>
      <c r="I307" s="209"/>
      <c r="J307" s="201"/>
      <c r="K307" s="210" t="s">
        <v>39</v>
      </c>
      <c r="L307" s="21"/>
      <c r="M307" s="201"/>
      <c r="N307" s="201"/>
      <c r="O307" s="201"/>
      <c r="P307" s="201"/>
      <c r="Q307" s="201"/>
      <c r="R307" s="201"/>
      <c r="S307" s="201"/>
      <c r="T307" s="201"/>
      <c r="U307" s="201"/>
      <c r="V307" s="201"/>
      <c r="W307" s="201"/>
      <c r="X307" s="201"/>
      <c r="Y307" s="201"/>
      <c r="Z307" s="201"/>
      <c r="AA307" s="201"/>
    </row>
    <row r="308">
      <c r="A308" s="201"/>
      <c r="B308" s="201"/>
      <c r="C308" s="201"/>
      <c r="D308" s="201"/>
      <c r="E308" s="201"/>
      <c r="F308" s="201"/>
      <c r="G308" s="201"/>
      <c r="H308" s="209"/>
      <c r="I308" s="209"/>
      <c r="J308" s="201"/>
      <c r="K308" s="210" t="s">
        <v>39</v>
      </c>
      <c r="L308" s="21"/>
      <c r="M308" s="201"/>
      <c r="N308" s="201"/>
      <c r="O308" s="201"/>
      <c r="P308" s="201"/>
      <c r="Q308" s="201"/>
      <c r="R308" s="201"/>
      <c r="S308" s="201"/>
      <c r="T308" s="201"/>
      <c r="U308" s="201"/>
      <c r="V308" s="201"/>
      <c r="W308" s="201"/>
      <c r="X308" s="201"/>
      <c r="Y308" s="201"/>
      <c r="Z308" s="201"/>
      <c r="AA308" s="201"/>
    </row>
    <row r="309">
      <c r="A309" s="201"/>
      <c r="B309" s="201"/>
      <c r="C309" s="201"/>
      <c r="D309" s="201"/>
      <c r="E309" s="201"/>
      <c r="F309" s="201"/>
      <c r="G309" s="201"/>
      <c r="H309" s="209"/>
      <c r="I309" s="209"/>
      <c r="J309" s="201"/>
      <c r="K309" s="210" t="s">
        <v>39</v>
      </c>
      <c r="L309" s="21"/>
      <c r="M309" s="201"/>
      <c r="N309" s="201"/>
      <c r="O309" s="201"/>
      <c r="P309" s="201"/>
      <c r="Q309" s="201"/>
      <c r="R309" s="201"/>
      <c r="S309" s="201"/>
      <c r="T309" s="201"/>
      <c r="U309" s="201"/>
      <c r="V309" s="201"/>
      <c r="W309" s="201"/>
      <c r="X309" s="201"/>
      <c r="Y309" s="201"/>
      <c r="Z309" s="201"/>
      <c r="AA309" s="201"/>
    </row>
    <row r="310">
      <c r="A310" s="201"/>
      <c r="B310" s="201"/>
      <c r="C310" s="201"/>
      <c r="D310" s="201"/>
      <c r="E310" s="201"/>
      <c r="F310" s="201"/>
      <c r="G310" s="201"/>
      <c r="H310" s="209"/>
      <c r="I310" s="209"/>
      <c r="J310" s="201"/>
      <c r="K310" s="210" t="s">
        <v>39</v>
      </c>
      <c r="L310" s="21"/>
      <c r="M310" s="201"/>
      <c r="N310" s="201"/>
      <c r="O310" s="201"/>
      <c r="P310" s="201"/>
      <c r="Q310" s="201"/>
      <c r="R310" s="201"/>
      <c r="S310" s="201"/>
      <c r="T310" s="201"/>
      <c r="U310" s="201"/>
      <c r="V310" s="201"/>
      <c r="W310" s="201"/>
      <c r="X310" s="201"/>
      <c r="Y310" s="201"/>
      <c r="Z310" s="201"/>
      <c r="AA310" s="201"/>
    </row>
    <row r="311">
      <c r="A311" s="201"/>
      <c r="B311" s="201"/>
      <c r="C311" s="201"/>
      <c r="D311" s="201"/>
      <c r="E311" s="201"/>
      <c r="F311" s="201"/>
      <c r="G311" s="201"/>
      <c r="H311" s="209"/>
      <c r="I311" s="209"/>
      <c r="J311" s="201"/>
      <c r="K311" s="210" t="s">
        <v>39</v>
      </c>
      <c r="L311" s="21"/>
      <c r="M311" s="201"/>
      <c r="N311" s="201"/>
      <c r="O311" s="201"/>
      <c r="P311" s="201"/>
      <c r="Q311" s="201"/>
      <c r="R311" s="201"/>
      <c r="S311" s="201"/>
      <c r="T311" s="201"/>
      <c r="U311" s="201"/>
      <c r="V311" s="201"/>
      <c r="W311" s="201"/>
      <c r="X311" s="201"/>
      <c r="Y311" s="201"/>
      <c r="Z311" s="201"/>
      <c r="AA311" s="201"/>
    </row>
    <row r="312">
      <c r="A312" s="201"/>
      <c r="B312" s="201"/>
      <c r="C312" s="201"/>
      <c r="D312" s="201"/>
      <c r="E312" s="201"/>
      <c r="F312" s="201"/>
      <c r="G312" s="201"/>
      <c r="H312" s="209"/>
      <c r="I312" s="209"/>
      <c r="J312" s="201"/>
      <c r="K312" s="210" t="s">
        <v>39</v>
      </c>
      <c r="L312" s="21"/>
      <c r="M312" s="201"/>
      <c r="N312" s="201"/>
      <c r="O312" s="201"/>
      <c r="P312" s="201"/>
      <c r="Q312" s="201"/>
      <c r="R312" s="201"/>
      <c r="S312" s="201"/>
      <c r="T312" s="201"/>
      <c r="U312" s="201"/>
      <c r="V312" s="201"/>
      <c r="W312" s="201"/>
      <c r="X312" s="201"/>
      <c r="Y312" s="201"/>
      <c r="Z312" s="201"/>
      <c r="AA312" s="201"/>
    </row>
    <row r="313">
      <c r="A313" s="201"/>
      <c r="B313" s="201"/>
      <c r="C313" s="201"/>
      <c r="D313" s="201"/>
      <c r="E313" s="201"/>
      <c r="F313" s="201"/>
      <c r="G313" s="201"/>
      <c r="H313" s="209"/>
      <c r="I313" s="209"/>
      <c r="J313" s="201"/>
      <c r="K313" s="210" t="s">
        <v>39</v>
      </c>
      <c r="L313" s="21"/>
      <c r="M313" s="201"/>
      <c r="N313" s="201"/>
      <c r="O313" s="201"/>
      <c r="P313" s="201"/>
      <c r="Q313" s="201"/>
      <c r="R313" s="201"/>
      <c r="S313" s="201"/>
      <c r="T313" s="201"/>
      <c r="U313" s="201"/>
      <c r="V313" s="201"/>
      <c r="W313" s="201"/>
      <c r="X313" s="201"/>
      <c r="Y313" s="201"/>
      <c r="Z313" s="201"/>
      <c r="AA313" s="201"/>
    </row>
    <row r="314">
      <c r="A314" s="201"/>
      <c r="B314" s="201"/>
      <c r="C314" s="201"/>
      <c r="D314" s="201"/>
      <c r="E314" s="201"/>
      <c r="F314" s="201"/>
      <c r="G314" s="201"/>
      <c r="H314" s="209"/>
      <c r="I314" s="209"/>
      <c r="J314" s="201"/>
      <c r="K314" s="210" t="s">
        <v>39</v>
      </c>
      <c r="L314" s="21"/>
      <c r="M314" s="201"/>
      <c r="N314" s="201"/>
      <c r="O314" s="201"/>
      <c r="P314" s="201"/>
      <c r="Q314" s="201"/>
      <c r="R314" s="201"/>
      <c r="S314" s="201"/>
      <c r="T314" s="201"/>
      <c r="U314" s="201"/>
      <c r="V314" s="201"/>
      <c r="W314" s="201"/>
      <c r="X314" s="201"/>
      <c r="Y314" s="201"/>
      <c r="Z314" s="201"/>
      <c r="AA314" s="201"/>
    </row>
    <row r="315">
      <c r="A315" s="201"/>
      <c r="B315" s="201"/>
      <c r="C315" s="201"/>
      <c r="D315" s="201"/>
      <c r="E315" s="201"/>
      <c r="F315" s="201"/>
      <c r="G315" s="201"/>
      <c r="H315" s="209"/>
      <c r="I315" s="209"/>
      <c r="J315" s="201"/>
      <c r="K315" s="210" t="s">
        <v>39</v>
      </c>
      <c r="L315" s="21"/>
      <c r="M315" s="201"/>
      <c r="N315" s="201"/>
      <c r="O315" s="201"/>
      <c r="P315" s="201"/>
      <c r="Q315" s="201"/>
      <c r="R315" s="201"/>
      <c r="S315" s="201"/>
      <c r="T315" s="201"/>
      <c r="U315" s="201"/>
      <c r="V315" s="201"/>
      <c r="W315" s="201"/>
      <c r="X315" s="201"/>
      <c r="Y315" s="201"/>
      <c r="Z315" s="201"/>
      <c r="AA315" s="201"/>
    </row>
    <row r="316">
      <c r="A316" s="201"/>
      <c r="B316" s="201"/>
      <c r="C316" s="201"/>
      <c r="D316" s="201"/>
      <c r="E316" s="201"/>
      <c r="F316" s="201"/>
      <c r="G316" s="201"/>
      <c r="H316" s="209"/>
      <c r="I316" s="209"/>
      <c r="J316" s="201"/>
      <c r="K316" s="210" t="s">
        <v>39</v>
      </c>
      <c r="L316" s="21"/>
      <c r="M316" s="201"/>
      <c r="N316" s="201"/>
      <c r="O316" s="201"/>
      <c r="P316" s="201"/>
      <c r="Q316" s="201"/>
      <c r="R316" s="201"/>
      <c r="S316" s="201"/>
      <c r="T316" s="201"/>
      <c r="U316" s="201"/>
      <c r="V316" s="201"/>
      <c r="W316" s="201"/>
      <c r="X316" s="201"/>
      <c r="Y316" s="201"/>
      <c r="Z316" s="201"/>
      <c r="AA316" s="201"/>
    </row>
    <row r="317">
      <c r="A317" s="201"/>
      <c r="B317" s="201"/>
      <c r="C317" s="201"/>
      <c r="D317" s="201"/>
      <c r="E317" s="201"/>
      <c r="F317" s="201"/>
      <c r="G317" s="201"/>
      <c r="H317" s="209"/>
      <c r="I317" s="209"/>
      <c r="J317" s="201"/>
      <c r="K317" s="210" t="s">
        <v>39</v>
      </c>
      <c r="L317" s="21"/>
      <c r="M317" s="201"/>
      <c r="N317" s="201"/>
      <c r="O317" s="201"/>
      <c r="P317" s="201"/>
      <c r="Q317" s="201"/>
      <c r="R317" s="201"/>
      <c r="S317" s="201"/>
      <c r="T317" s="201"/>
      <c r="U317" s="201"/>
      <c r="V317" s="201"/>
      <c r="W317" s="201"/>
      <c r="X317" s="201"/>
      <c r="Y317" s="201"/>
      <c r="Z317" s="201"/>
      <c r="AA317" s="201"/>
    </row>
    <row r="318">
      <c r="A318" s="201"/>
      <c r="B318" s="201"/>
      <c r="C318" s="201"/>
      <c r="D318" s="201"/>
      <c r="E318" s="201"/>
      <c r="F318" s="201"/>
      <c r="G318" s="201"/>
      <c r="H318" s="209"/>
      <c r="I318" s="209"/>
      <c r="J318" s="201"/>
      <c r="K318" s="210" t="s">
        <v>39</v>
      </c>
      <c r="L318" s="21"/>
      <c r="M318" s="201"/>
      <c r="N318" s="201"/>
      <c r="O318" s="201"/>
      <c r="P318" s="201"/>
      <c r="Q318" s="201"/>
      <c r="R318" s="201"/>
      <c r="S318" s="201"/>
      <c r="T318" s="201"/>
      <c r="U318" s="201"/>
      <c r="V318" s="201"/>
      <c r="W318" s="201"/>
      <c r="X318" s="201"/>
      <c r="Y318" s="201"/>
      <c r="Z318" s="201"/>
      <c r="AA318" s="201"/>
    </row>
    <row r="319">
      <c r="A319" s="201"/>
      <c r="B319" s="201"/>
      <c r="C319" s="201"/>
      <c r="D319" s="201"/>
      <c r="E319" s="201"/>
      <c r="F319" s="201"/>
      <c r="G319" s="201"/>
      <c r="H319" s="209"/>
      <c r="I319" s="209"/>
      <c r="J319" s="201"/>
      <c r="K319" s="210" t="s">
        <v>39</v>
      </c>
      <c r="L319" s="21"/>
      <c r="M319" s="201"/>
      <c r="N319" s="201"/>
      <c r="O319" s="201"/>
      <c r="P319" s="201"/>
      <c r="Q319" s="201"/>
      <c r="R319" s="201"/>
      <c r="S319" s="201"/>
      <c r="T319" s="201"/>
      <c r="U319" s="201"/>
      <c r="V319" s="201"/>
      <c r="W319" s="201"/>
      <c r="X319" s="201"/>
      <c r="Y319" s="201"/>
      <c r="Z319" s="201"/>
      <c r="AA319" s="201"/>
    </row>
    <row r="320">
      <c r="A320" s="201"/>
      <c r="B320" s="201"/>
      <c r="C320" s="201"/>
      <c r="D320" s="201"/>
      <c r="E320" s="201"/>
      <c r="F320" s="201"/>
      <c r="G320" s="201"/>
      <c r="H320" s="209"/>
      <c r="I320" s="209"/>
      <c r="J320" s="201"/>
      <c r="K320" s="210" t="s">
        <v>39</v>
      </c>
      <c r="L320" s="21"/>
      <c r="M320" s="201"/>
      <c r="N320" s="201"/>
      <c r="O320" s="201"/>
      <c r="P320" s="201"/>
      <c r="Q320" s="201"/>
      <c r="R320" s="201"/>
      <c r="S320" s="201"/>
      <c r="T320" s="201"/>
      <c r="U320" s="201"/>
      <c r="V320" s="201"/>
      <c r="W320" s="201"/>
      <c r="X320" s="201"/>
      <c r="Y320" s="201"/>
      <c r="Z320" s="201"/>
      <c r="AA320" s="201"/>
    </row>
    <row r="321">
      <c r="A321" s="201"/>
      <c r="B321" s="201"/>
      <c r="C321" s="201"/>
      <c r="D321" s="201"/>
      <c r="E321" s="201"/>
      <c r="F321" s="201"/>
      <c r="G321" s="201"/>
      <c r="H321" s="209"/>
      <c r="I321" s="209"/>
      <c r="J321" s="201"/>
      <c r="K321" s="210" t="s">
        <v>39</v>
      </c>
      <c r="L321" s="21"/>
      <c r="M321" s="201"/>
      <c r="N321" s="201"/>
      <c r="O321" s="201"/>
      <c r="P321" s="201"/>
      <c r="Q321" s="201"/>
      <c r="R321" s="201"/>
      <c r="S321" s="201"/>
      <c r="T321" s="201"/>
      <c r="U321" s="201"/>
      <c r="V321" s="201"/>
      <c r="W321" s="201"/>
      <c r="X321" s="201"/>
      <c r="Y321" s="201"/>
      <c r="Z321" s="201"/>
      <c r="AA321" s="201"/>
    </row>
    <row r="322">
      <c r="A322" s="201"/>
      <c r="B322" s="201"/>
      <c r="C322" s="201"/>
      <c r="D322" s="201"/>
      <c r="E322" s="201"/>
      <c r="F322" s="201"/>
      <c r="G322" s="201"/>
      <c r="H322" s="209"/>
      <c r="I322" s="209"/>
      <c r="J322" s="201"/>
      <c r="K322" s="210" t="s">
        <v>39</v>
      </c>
      <c r="L322" s="21"/>
      <c r="M322" s="201"/>
      <c r="N322" s="201"/>
      <c r="O322" s="201"/>
      <c r="P322" s="201"/>
      <c r="Q322" s="201"/>
      <c r="R322" s="201"/>
      <c r="S322" s="201"/>
      <c r="T322" s="201"/>
      <c r="U322" s="201"/>
      <c r="V322" s="201"/>
      <c r="W322" s="201"/>
      <c r="X322" s="201"/>
      <c r="Y322" s="201"/>
      <c r="Z322" s="201"/>
      <c r="AA322" s="201"/>
    </row>
    <row r="323">
      <c r="A323" s="201"/>
      <c r="B323" s="201"/>
      <c r="C323" s="201"/>
      <c r="D323" s="201"/>
      <c r="E323" s="201"/>
      <c r="F323" s="201"/>
      <c r="G323" s="201"/>
      <c r="H323" s="209"/>
      <c r="I323" s="209"/>
      <c r="J323" s="201"/>
      <c r="K323" s="210" t="s">
        <v>39</v>
      </c>
      <c r="L323" s="21"/>
      <c r="M323" s="201"/>
      <c r="N323" s="201"/>
      <c r="O323" s="201"/>
      <c r="P323" s="201"/>
      <c r="Q323" s="201"/>
      <c r="R323" s="201"/>
      <c r="S323" s="201"/>
      <c r="T323" s="201"/>
      <c r="U323" s="201"/>
      <c r="V323" s="201"/>
      <c r="W323" s="201"/>
      <c r="X323" s="201"/>
      <c r="Y323" s="201"/>
      <c r="Z323" s="201"/>
      <c r="AA323" s="201"/>
    </row>
    <row r="324">
      <c r="A324" s="201"/>
      <c r="B324" s="201"/>
      <c r="C324" s="201"/>
      <c r="D324" s="201"/>
      <c r="E324" s="201"/>
      <c r="F324" s="201"/>
      <c r="G324" s="201"/>
      <c r="H324" s="209"/>
      <c r="I324" s="209"/>
      <c r="J324" s="201"/>
      <c r="K324" s="210" t="s">
        <v>39</v>
      </c>
      <c r="L324" s="21"/>
      <c r="M324" s="201"/>
      <c r="N324" s="201"/>
      <c r="O324" s="201"/>
      <c r="P324" s="201"/>
      <c r="Q324" s="201"/>
      <c r="R324" s="201"/>
      <c r="S324" s="201"/>
      <c r="T324" s="201"/>
      <c r="U324" s="201"/>
      <c r="V324" s="201"/>
      <c r="W324" s="201"/>
      <c r="X324" s="201"/>
      <c r="Y324" s="201"/>
      <c r="Z324" s="201"/>
      <c r="AA324" s="201"/>
    </row>
    <row r="325">
      <c r="A325" s="201"/>
      <c r="B325" s="201"/>
      <c r="C325" s="201"/>
      <c r="D325" s="201"/>
      <c r="E325" s="201"/>
      <c r="F325" s="201"/>
      <c r="G325" s="201"/>
      <c r="H325" s="209"/>
      <c r="I325" s="209"/>
      <c r="J325" s="201"/>
      <c r="K325" s="210" t="s">
        <v>39</v>
      </c>
      <c r="L325" s="21"/>
      <c r="M325" s="201"/>
      <c r="N325" s="201"/>
      <c r="O325" s="201"/>
      <c r="P325" s="201"/>
      <c r="Q325" s="201"/>
      <c r="R325" s="201"/>
      <c r="S325" s="201"/>
      <c r="T325" s="201"/>
      <c r="U325" s="201"/>
      <c r="V325" s="201"/>
      <c r="W325" s="201"/>
      <c r="X325" s="201"/>
      <c r="Y325" s="201"/>
      <c r="Z325" s="201"/>
      <c r="AA325" s="201"/>
    </row>
    <row r="326">
      <c r="A326" s="201"/>
      <c r="B326" s="201"/>
      <c r="C326" s="201"/>
      <c r="D326" s="201"/>
      <c r="E326" s="201"/>
      <c r="F326" s="201"/>
      <c r="G326" s="201"/>
      <c r="H326" s="209"/>
      <c r="I326" s="209"/>
      <c r="J326" s="201"/>
      <c r="K326" s="210" t="s">
        <v>39</v>
      </c>
      <c r="L326" s="21"/>
      <c r="M326" s="201"/>
      <c r="N326" s="201"/>
      <c r="O326" s="201"/>
      <c r="P326" s="201"/>
      <c r="Q326" s="201"/>
      <c r="R326" s="201"/>
      <c r="S326" s="201"/>
      <c r="T326" s="201"/>
      <c r="U326" s="201"/>
      <c r="V326" s="201"/>
      <c r="W326" s="201"/>
      <c r="X326" s="201"/>
      <c r="Y326" s="201"/>
      <c r="Z326" s="201"/>
      <c r="AA326" s="201"/>
    </row>
    <row r="327">
      <c r="A327" s="201"/>
      <c r="B327" s="201"/>
      <c r="C327" s="201"/>
      <c r="D327" s="201"/>
      <c r="E327" s="201"/>
      <c r="F327" s="201"/>
      <c r="G327" s="201"/>
      <c r="H327" s="209"/>
      <c r="I327" s="209"/>
      <c r="J327" s="201"/>
      <c r="K327" s="210" t="s">
        <v>39</v>
      </c>
      <c r="L327" s="21"/>
      <c r="M327" s="201"/>
      <c r="N327" s="201"/>
      <c r="O327" s="201"/>
      <c r="P327" s="201"/>
      <c r="Q327" s="201"/>
      <c r="R327" s="201"/>
      <c r="S327" s="201"/>
      <c r="T327" s="201"/>
      <c r="U327" s="201"/>
      <c r="V327" s="201"/>
      <c r="W327" s="201"/>
      <c r="X327" s="201"/>
      <c r="Y327" s="201"/>
      <c r="Z327" s="201"/>
      <c r="AA327" s="201"/>
    </row>
    <row r="328">
      <c r="A328" s="201"/>
      <c r="B328" s="201"/>
      <c r="C328" s="201"/>
      <c r="D328" s="201"/>
      <c r="E328" s="201"/>
      <c r="F328" s="201"/>
      <c r="G328" s="201"/>
      <c r="H328" s="209"/>
      <c r="I328" s="209"/>
      <c r="J328" s="201"/>
      <c r="K328" s="210" t="s">
        <v>39</v>
      </c>
      <c r="L328" s="21"/>
      <c r="M328" s="201"/>
      <c r="N328" s="201"/>
      <c r="O328" s="201"/>
      <c r="P328" s="201"/>
      <c r="Q328" s="201"/>
      <c r="R328" s="201"/>
      <c r="S328" s="201"/>
      <c r="T328" s="201"/>
      <c r="U328" s="201"/>
      <c r="V328" s="201"/>
      <c r="W328" s="201"/>
      <c r="X328" s="201"/>
      <c r="Y328" s="201"/>
      <c r="Z328" s="201"/>
      <c r="AA328" s="201"/>
    </row>
    <row r="329">
      <c r="A329" s="201"/>
      <c r="B329" s="201"/>
      <c r="C329" s="201"/>
      <c r="D329" s="201"/>
      <c r="E329" s="201"/>
      <c r="F329" s="201"/>
      <c r="G329" s="201"/>
      <c r="H329" s="209"/>
      <c r="I329" s="209"/>
      <c r="J329" s="201"/>
      <c r="K329" s="210" t="s">
        <v>39</v>
      </c>
      <c r="L329" s="21"/>
      <c r="M329" s="201"/>
      <c r="N329" s="201"/>
      <c r="O329" s="201"/>
      <c r="P329" s="201"/>
      <c r="Q329" s="201"/>
      <c r="R329" s="201"/>
      <c r="S329" s="201"/>
      <c r="T329" s="201"/>
      <c r="U329" s="201"/>
      <c r="V329" s="201"/>
      <c r="W329" s="201"/>
      <c r="X329" s="201"/>
      <c r="Y329" s="201"/>
      <c r="Z329" s="201"/>
      <c r="AA329" s="201"/>
    </row>
    <row r="330">
      <c r="A330" s="201"/>
      <c r="B330" s="201"/>
      <c r="C330" s="201"/>
      <c r="D330" s="201"/>
      <c r="E330" s="201"/>
      <c r="F330" s="201"/>
      <c r="G330" s="201"/>
      <c r="H330" s="209"/>
      <c r="I330" s="209"/>
      <c r="J330" s="201"/>
      <c r="K330" s="210" t="s">
        <v>39</v>
      </c>
      <c r="L330" s="21"/>
      <c r="M330" s="201"/>
      <c r="N330" s="201"/>
      <c r="O330" s="201"/>
      <c r="P330" s="201"/>
      <c r="Q330" s="201"/>
      <c r="R330" s="201"/>
      <c r="S330" s="201"/>
      <c r="T330" s="201"/>
      <c r="U330" s="201"/>
      <c r="V330" s="201"/>
      <c r="W330" s="201"/>
      <c r="X330" s="201"/>
      <c r="Y330" s="201"/>
      <c r="Z330" s="201"/>
      <c r="AA330" s="201"/>
    </row>
    <row r="331">
      <c r="A331" s="201"/>
      <c r="B331" s="201"/>
      <c r="C331" s="201"/>
      <c r="D331" s="201"/>
      <c r="E331" s="201"/>
      <c r="F331" s="201"/>
      <c r="G331" s="201"/>
      <c r="H331" s="209"/>
      <c r="I331" s="209"/>
      <c r="J331" s="201"/>
      <c r="K331" s="210" t="s">
        <v>39</v>
      </c>
      <c r="L331" s="21"/>
      <c r="M331" s="201"/>
      <c r="N331" s="201"/>
      <c r="O331" s="201"/>
      <c r="P331" s="201"/>
      <c r="Q331" s="201"/>
      <c r="R331" s="201"/>
      <c r="S331" s="201"/>
      <c r="T331" s="201"/>
      <c r="U331" s="201"/>
      <c r="V331" s="201"/>
      <c r="W331" s="201"/>
      <c r="X331" s="201"/>
      <c r="Y331" s="201"/>
      <c r="Z331" s="201"/>
      <c r="AA331" s="201"/>
    </row>
    <row r="332">
      <c r="A332" s="201"/>
      <c r="B332" s="201"/>
      <c r="C332" s="201"/>
      <c r="D332" s="201"/>
      <c r="E332" s="201"/>
      <c r="F332" s="201"/>
      <c r="G332" s="201"/>
      <c r="H332" s="209"/>
      <c r="I332" s="209"/>
      <c r="J332" s="201"/>
      <c r="K332" s="210" t="s">
        <v>39</v>
      </c>
      <c r="L332" s="21"/>
      <c r="M332" s="201"/>
      <c r="N332" s="201"/>
      <c r="O332" s="201"/>
      <c r="P332" s="201"/>
      <c r="Q332" s="201"/>
      <c r="R332" s="201"/>
      <c r="S332" s="201"/>
      <c r="T332" s="201"/>
      <c r="U332" s="201"/>
      <c r="V332" s="201"/>
      <c r="W332" s="201"/>
      <c r="X332" s="201"/>
      <c r="Y332" s="201"/>
      <c r="Z332" s="201"/>
      <c r="AA332" s="201"/>
    </row>
    <row r="333">
      <c r="A333" s="201"/>
      <c r="B333" s="201"/>
      <c r="C333" s="201"/>
      <c r="D333" s="201"/>
      <c r="E333" s="201"/>
      <c r="F333" s="201"/>
      <c r="G333" s="201"/>
      <c r="H333" s="209"/>
      <c r="I333" s="209"/>
      <c r="J333" s="201"/>
      <c r="K333" s="210" t="s">
        <v>39</v>
      </c>
      <c r="L333" s="21"/>
      <c r="M333" s="201"/>
      <c r="N333" s="201"/>
      <c r="O333" s="201"/>
      <c r="P333" s="201"/>
      <c r="Q333" s="201"/>
      <c r="R333" s="201"/>
      <c r="S333" s="201"/>
      <c r="T333" s="201"/>
      <c r="U333" s="201"/>
      <c r="V333" s="201"/>
      <c r="W333" s="201"/>
      <c r="X333" s="201"/>
      <c r="Y333" s="201"/>
      <c r="Z333" s="201"/>
      <c r="AA333" s="201"/>
    </row>
    <row r="334">
      <c r="A334" s="201"/>
      <c r="B334" s="201"/>
      <c r="C334" s="201"/>
      <c r="D334" s="201"/>
      <c r="E334" s="201"/>
      <c r="F334" s="201"/>
      <c r="G334" s="201"/>
      <c r="H334" s="209"/>
      <c r="I334" s="209"/>
      <c r="J334" s="201"/>
      <c r="K334" s="210" t="s">
        <v>39</v>
      </c>
      <c r="L334" s="21"/>
      <c r="M334" s="201"/>
      <c r="N334" s="201"/>
      <c r="O334" s="201"/>
      <c r="P334" s="201"/>
      <c r="Q334" s="201"/>
      <c r="R334" s="201"/>
      <c r="S334" s="201"/>
      <c r="T334" s="201"/>
      <c r="U334" s="201"/>
      <c r="V334" s="201"/>
      <c r="W334" s="201"/>
      <c r="X334" s="201"/>
      <c r="Y334" s="201"/>
      <c r="Z334" s="201"/>
      <c r="AA334" s="201"/>
    </row>
    <row r="335">
      <c r="A335" s="201"/>
      <c r="B335" s="201"/>
      <c r="C335" s="201"/>
      <c r="D335" s="201"/>
      <c r="E335" s="201"/>
      <c r="F335" s="201"/>
      <c r="G335" s="201"/>
      <c r="H335" s="209"/>
      <c r="I335" s="209"/>
      <c r="J335" s="201"/>
      <c r="K335" s="210" t="s">
        <v>39</v>
      </c>
      <c r="L335" s="21"/>
      <c r="M335" s="201"/>
      <c r="N335" s="201"/>
      <c r="O335" s="201"/>
      <c r="P335" s="201"/>
      <c r="Q335" s="201"/>
      <c r="R335" s="201"/>
      <c r="S335" s="201"/>
      <c r="T335" s="201"/>
      <c r="U335" s="201"/>
      <c r="V335" s="201"/>
      <c r="W335" s="201"/>
      <c r="X335" s="201"/>
      <c r="Y335" s="201"/>
      <c r="Z335" s="201"/>
      <c r="AA335" s="201"/>
    </row>
    <row r="336">
      <c r="A336" s="201"/>
      <c r="B336" s="201"/>
      <c r="C336" s="201"/>
      <c r="D336" s="201"/>
      <c r="E336" s="201"/>
      <c r="F336" s="201"/>
      <c r="G336" s="201"/>
      <c r="H336" s="209"/>
      <c r="I336" s="209"/>
      <c r="J336" s="201"/>
      <c r="K336" s="210" t="s">
        <v>39</v>
      </c>
      <c r="L336" s="21"/>
      <c r="M336" s="201"/>
      <c r="N336" s="201"/>
      <c r="O336" s="201"/>
      <c r="P336" s="201"/>
      <c r="Q336" s="201"/>
      <c r="R336" s="201"/>
      <c r="S336" s="201"/>
      <c r="T336" s="201"/>
      <c r="U336" s="201"/>
      <c r="V336" s="201"/>
      <c r="W336" s="201"/>
      <c r="X336" s="201"/>
      <c r="Y336" s="201"/>
      <c r="Z336" s="201"/>
      <c r="AA336" s="201"/>
    </row>
    <row r="337">
      <c r="A337" s="201"/>
      <c r="B337" s="201"/>
      <c r="C337" s="201"/>
      <c r="D337" s="201"/>
      <c r="E337" s="201"/>
      <c r="F337" s="201"/>
      <c r="G337" s="201"/>
      <c r="H337" s="209"/>
      <c r="I337" s="209"/>
      <c r="J337" s="201"/>
      <c r="K337" s="210" t="s">
        <v>39</v>
      </c>
      <c r="L337" s="21"/>
      <c r="M337" s="201"/>
      <c r="N337" s="201"/>
      <c r="O337" s="201"/>
      <c r="P337" s="201"/>
      <c r="Q337" s="201"/>
      <c r="R337" s="201"/>
      <c r="S337" s="201"/>
      <c r="T337" s="201"/>
      <c r="U337" s="201"/>
      <c r="V337" s="201"/>
      <c r="W337" s="201"/>
      <c r="X337" s="201"/>
      <c r="Y337" s="201"/>
      <c r="Z337" s="201"/>
      <c r="AA337" s="201"/>
    </row>
    <row r="338">
      <c r="A338" s="201"/>
      <c r="B338" s="201"/>
      <c r="C338" s="201"/>
      <c r="D338" s="201"/>
      <c r="E338" s="201"/>
      <c r="F338" s="201"/>
      <c r="G338" s="201"/>
      <c r="H338" s="209"/>
      <c r="I338" s="209"/>
      <c r="J338" s="201"/>
      <c r="K338" s="210" t="s">
        <v>39</v>
      </c>
      <c r="L338" s="21"/>
      <c r="M338" s="201"/>
      <c r="N338" s="201"/>
      <c r="O338" s="201"/>
      <c r="P338" s="201"/>
      <c r="Q338" s="201"/>
      <c r="R338" s="201"/>
      <c r="S338" s="201"/>
      <c r="T338" s="201"/>
      <c r="U338" s="201"/>
      <c r="V338" s="201"/>
      <c r="W338" s="201"/>
      <c r="X338" s="201"/>
      <c r="Y338" s="201"/>
      <c r="Z338" s="201"/>
      <c r="AA338" s="201"/>
    </row>
    <row r="339">
      <c r="A339" s="201"/>
      <c r="B339" s="201"/>
      <c r="C339" s="201"/>
      <c r="D339" s="201"/>
      <c r="E339" s="201"/>
      <c r="F339" s="201"/>
      <c r="G339" s="201"/>
      <c r="H339" s="209"/>
      <c r="I339" s="209"/>
      <c r="J339" s="201"/>
      <c r="K339" s="210" t="s">
        <v>39</v>
      </c>
      <c r="L339" s="21"/>
      <c r="M339" s="201"/>
      <c r="N339" s="201"/>
      <c r="O339" s="201"/>
      <c r="P339" s="201"/>
      <c r="Q339" s="201"/>
      <c r="R339" s="201"/>
      <c r="S339" s="201"/>
      <c r="T339" s="201"/>
      <c r="U339" s="201"/>
      <c r="V339" s="201"/>
      <c r="W339" s="201"/>
      <c r="X339" s="201"/>
      <c r="Y339" s="201"/>
      <c r="Z339" s="201"/>
      <c r="AA339" s="201"/>
    </row>
    <row r="340">
      <c r="A340" s="201"/>
      <c r="B340" s="201"/>
      <c r="C340" s="201"/>
      <c r="D340" s="201"/>
      <c r="E340" s="201"/>
      <c r="F340" s="201"/>
      <c r="G340" s="201"/>
      <c r="H340" s="209"/>
      <c r="I340" s="209"/>
      <c r="J340" s="201"/>
      <c r="K340" s="210" t="s">
        <v>39</v>
      </c>
      <c r="L340" s="21"/>
      <c r="M340" s="201"/>
      <c r="N340" s="201"/>
      <c r="O340" s="201"/>
      <c r="P340" s="201"/>
      <c r="Q340" s="201"/>
      <c r="R340" s="201"/>
      <c r="S340" s="201"/>
      <c r="T340" s="201"/>
      <c r="U340" s="201"/>
      <c r="V340" s="201"/>
      <c r="W340" s="201"/>
      <c r="X340" s="201"/>
      <c r="Y340" s="201"/>
      <c r="Z340" s="201"/>
      <c r="AA340" s="201"/>
    </row>
    <row r="341">
      <c r="A341" s="201"/>
      <c r="B341" s="201"/>
      <c r="C341" s="201"/>
      <c r="D341" s="201"/>
      <c r="E341" s="201"/>
      <c r="F341" s="201"/>
      <c r="G341" s="201"/>
      <c r="H341" s="209"/>
      <c r="I341" s="209"/>
      <c r="J341" s="201"/>
      <c r="K341" s="210" t="s">
        <v>39</v>
      </c>
      <c r="L341" s="21"/>
      <c r="M341" s="201"/>
      <c r="N341" s="201"/>
      <c r="O341" s="201"/>
      <c r="P341" s="201"/>
      <c r="Q341" s="201"/>
      <c r="R341" s="201"/>
      <c r="S341" s="201"/>
      <c r="T341" s="201"/>
      <c r="U341" s="201"/>
      <c r="V341" s="201"/>
      <c r="W341" s="201"/>
      <c r="X341" s="201"/>
      <c r="Y341" s="201"/>
      <c r="Z341" s="201"/>
      <c r="AA341" s="201"/>
    </row>
    <row r="342">
      <c r="A342" s="201"/>
      <c r="B342" s="201"/>
      <c r="C342" s="201"/>
      <c r="D342" s="201"/>
      <c r="E342" s="201"/>
      <c r="F342" s="201"/>
      <c r="G342" s="201"/>
      <c r="H342" s="209"/>
      <c r="I342" s="209"/>
      <c r="J342" s="201"/>
      <c r="K342" s="210" t="s">
        <v>39</v>
      </c>
      <c r="L342" s="21"/>
      <c r="M342" s="201"/>
      <c r="N342" s="201"/>
      <c r="O342" s="201"/>
      <c r="P342" s="201"/>
      <c r="Q342" s="201"/>
      <c r="R342" s="201"/>
      <c r="S342" s="201"/>
      <c r="T342" s="201"/>
      <c r="U342" s="201"/>
      <c r="V342" s="201"/>
      <c r="W342" s="201"/>
      <c r="X342" s="201"/>
      <c r="Y342" s="201"/>
      <c r="Z342" s="201"/>
      <c r="AA342" s="201"/>
    </row>
    <row r="343">
      <c r="A343" s="201"/>
      <c r="B343" s="201"/>
      <c r="C343" s="201"/>
      <c r="D343" s="201"/>
      <c r="E343" s="201"/>
      <c r="F343" s="201"/>
      <c r="G343" s="201"/>
      <c r="H343" s="209"/>
      <c r="I343" s="209"/>
      <c r="J343" s="201"/>
      <c r="K343" s="210" t="s">
        <v>39</v>
      </c>
      <c r="L343" s="21"/>
      <c r="M343" s="201"/>
      <c r="N343" s="201"/>
      <c r="O343" s="201"/>
      <c r="P343" s="201"/>
      <c r="Q343" s="201"/>
      <c r="R343" s="201"/>
      <c r="S343" s="201"/>
      <c r="T343" s="201"/>
      <c r="U343" s="201"/>
      <c r="V343" s="201"/>
      <c r="W343" s="201"/>
      <c r="X343" s="201"/>
      <c r="Y343" s="201"/>
      <c r="Z343" s="201"/>
      <c r="AA343" s="201"/>
    </row>
    <row r="344">
      <c r="A344" s="201"/>
      <c r="B344" s="201"/>
      <c r="C344" s="201"/>
      <c r="D344" s="201"/>
      <c r="E344" s="201"/>
      <c r="F344" s="201"/>
      <c r="G344" s="201"/>
      <c r="H344" s="209"/>
      <c r="I344" s="209"/>
      <c r="J344" s="201"/>
      <c r="K344" s="210" t="s">
        <v>39</v>
      </c>
      <c r="L344" s="21"/>
      <c r="M344" s="201"/>
      <c r="N344" s="201"/>
      <c r="O344" s="201"/>
      <c r="P344" s="201"/>
      <c r="Q344" s="201"/>
      <c r="R344" s="201"/>
      <c r="S344" s="201"/>
      <c r="T344" s="201"/>
      <c r="U344" s="201"/>
      <c r="V344" s="201"/>
      <c r="W344" s="201"/>
      <c r="X344" s="201"/>
      <c r="Y344" s="201"/>
      <c r="Z344" s="201"/>
      <c r="AA344" s="201"/>
    </row>
    <row r="345">
      <c r="A345" s="201"/>
      <c r="B345" s="201"/>
      <c r="C345" s="201"/>
      <c r="D345" s="201"/>
      <c r="E345" s="201"/>
      <c r="F345" s="201"/>
      <c r="G345" s="201"/>
      <c r="H345" s="209"/>
      <c r="I345" s="209"/>
      <c r="J345" s="201"/>
      <c r="K345" s="210" t="s">
        <v>39</v>
      </c>
      <c r="L345" s="21"/>
      <c r="M345" s="201"/>
      <c r="N345" s="201"/>
      <c r="O345" s="201"/>
      <c r="P345" s="201"/>
      <c r="Q345" s="201"/>
      <c r="R345" s="201"/>
      <c r="S345" s="201"/>
      <c r="T345" s="201"/>
      <c r="U345" s="201"/>
      <c r="V345" s="201"/>
      <c r="W345" s="201"/>
      <c r="X345" s="201"/>
      <c r="Y345" s="201"/>
      <c r="Z345" s="201"/>
      <c r="AA345" s="201"/>
    </row>
    <row r="346">
      <c r="A346" s="201"/>
      <c r="B346" s="201"/>
      <c r="C346" s="201"/>
      <c r="D346" s="201"/>
      <c r="E346" s="201"/>
      <c r="F346" s="201"/>
      <c r="G346" s="201"/>
      <c r="H346" s="209"/>
      <c r="I346" s="209"/>
      <c r="J346" s="201"/>
      <c r="K346" s="210" t="s">
        <v>39</v>
      </c>
      <c r="L346" s="21"/>
      <c r="M346" s="201"/>
      <c r="N346" s="201"/>
      <c r="O346" s="201"/>
      <c r="P346" s="201"/>
      <c r="Q346" s="201"/>
      <c r="R346" s="201"/>
      <c r="S346" s="201"/>
      <c r="T346" s="201"/>
      <c r="U346" s="201"/>
      <c r="V346" s="201"/>
      <c r="W346" s="201"/>
      <c r="X346" s="201"/>
      <c r="Y346" s="201"/>
      <c r="Z346" s="201"/>
      <c r="AA346" s="201"/>
    </row>
    <row r="347">
      <c r="A347" s="201"/>
      <c r="B347" s="201"/>
      <c r="C347" s="201"/>
      <c r="D347" s="201"/>
      <c r="E347" s="201"/>
      <c r="F347" s="201"/>
      <c r="G347" s="201"/>
      <c r="H347" s="209"/>
      <c r="I347" s="209"/>
      <c r="J347" s="201"/>
      <c r="K347" s="210" t="s">
        <v>39</v>
      </c>
      <c r="L347" s="21"/>
      <c r="M347" s="201"/>
      <c r="N347" s="201"/>
      <c r="O347" s="201"/>
      <c r="P347" s="201"/>
      <c r="Q347" s="201"/>
      <c r="R347" s="201"/>
      <c r="S347" s="201"/>
      <c r="T347" s="201"/>
      <c r="U347" s="201"/>
      <c r="V347" s="201"/>
      <c r="W347" s="201"/>
      <c r="X347" s="201"/>
      <c r="Y347" s="201"/>
      <c r="Z347" s="201"/>
      <c r="AA347" s="201"/>
    </row>
    <row r="348">
      <c r="A348" s="201"/>
      <c r="B348" s="201"/>
      <c r="C348" s="201"/>
      <c r="D348" s="201"/>
      <c r="E348" s="201"/>
      <c r="F348" s="201"/>
      <c r="G348" s="201"/>
      <c r="H348" s="209"/>
      <c r="I348" s="209"/>
      <c r="J348" s="201"/>
      <c r="K348" s="210" t="s">
        <v>39</v>
      </c>
      <c r="L348" s="21"/>
      <c r="M348" s="201"/>
      <c r="N348" s="201"/>
      <c r="O348" s="201"/>
      <c r="P348" s="201"/>
      <c r="Q348" s="201"/>
      <c r="R348" s="201"/>
      <c r="S348" s="201"/>
      <c r="T348" s="201"/>
      <c r="U348" s="201"/>
      <c r="V348" s="201"/>
      <c r="W348" s="201"/>
      <c r="X348" s="201"/>
      <c r="Y348" s="201"/>
      <c r="Z348" s="201"/>
      <c r="AA348" s="201"/>
    </row>
    <row r="349">
      <c r="A349" s="201"/>
      <c r="B349" s="201"/>
      <c r="C349" s="201"/>
      <c r="D349" s="201"/>
      <c r="E349" s="201"/>
      <c r="F349" s="201"/>
      <c r="G349" s="201"/>
      <c r="H349" s="209"/>
      <c r="I349" s="209"/>
      <c r="J349" s="201"/>
      <c r="K349" s="210" t="s">
        <v>39</v>
      </c>
      <c r="L349" s="21"/>
      <c r="M349" s="201"/>
      <c r="N349" s="201"/>
      <c r="O349" s="201"/>
      <c r="P349" s="201"/>
      <c r="Q349" s="201"/>
      <c r="R349" s="201"/>
      <c r="S349" s="201"/>
      <c r="T349" s="201"/>
      <c r="U349" s="201"/>
      <c r="V349" s="201"/>
      <c r="W349" s="201"/>
      <c r="X349" s="201"/>
      <c r="Y349" s="201"/>
      <c r="Z349" s="201"/>
      <c r="AA349" s="201"/>
    </row>
    <row r="350">
      <c r="A350" s="201"/>
      <c r="B350" s="201"/>
      <c r="C350" s="201"/>
      <c r="D350" s="201"/>
      <c r="E350" s="201"/>
      <c r="F350" s="201"/>
      <c r="G350" s="201"/>
      <c r="H350" s="209"/>
      <c r="I350" s="209"/>
      <c r="J350" s="201"/>
      <c r="K350" s="210" t="s">
        <v>39</v>
      </c>
      <c r="L350" s="21"/>
      <c r="M350" s="201"/>
      <c r="N350" s="201"/>
      <c r="O350" s="201"/>
      <c r="P350" s="201"/>
      <c r="Q350" s="201"/>
      <c r="R350" s="201"/>
      <c r="S350" s="201"/>
      <c r="T350" s="201"/>
      <c r="U350" s="201"/>
      <c r="V350" s="201"/>
      <c r="W350" s="201"/>
      <c r="X350" s="201"/>
      <c r="Y350" s="201"/>
      <c r="Z350" s="201"/>
      <c r="AA350" s="201"/>
    </row>
    <row r="351">
      <c r="A351" s="201"/>
      <c r="B351" s="201"/>
      <c r="C351" s="201"/>
      <c r="D351" s="201"/>
      <c r="E351" s="201"/>
      <c r="F351" s="201"/>
      <c r="G351" s="201"/>
      <c r="H351" s="209"/>
      <c r="I351" s="209"/>
      <c r="J351" s="201"/>
      <c r="K351" s="210" t="s">
        <v>39</v>
      </c>
      <c r="L351" s="21"/>
      <c r="M351" s="201"/>
      <c r="N351" s="201"/>
      <c r="O351" s="201"/>
      <c r="P351" s="201"/>
      <c r="Q351" s="201"/>
      <c r="R351" s="201"/>
      <c r="S351" s="201"/>
      <c r="T351" s="201"/>
      <c r="U351" s="201"/>
      <c r="V351" s="201"/>
      <c r="W351" s="201"/>
      <c r="X351" s="201"/>
      <c r="Y351" s="201"/>
      <c r="Z351" s="201"/>
      <c r="AA351" s="201"/>
    </row>
    <row r="352">
      <c r="A352" s="201"/>
      <c r="B352" s="201"/>
      <c r="C352" s="201"/>
      <c r="D352" s="201"/>
      <c r="E352" s="201"/>
      <c r="F352" s="201"/>
      <c r="G352" s="201"/>
      <c r="H352" s="209"/>
      <c r="I352" s="209"/>
      <c r="J352" s="201"/>
      <c r="K352" s="210" t="s">
        <v>39</v>
      </c>
      <c r="L352" s="21"/>
      <c r="M352" s="201"/>
      <c r="N352" s="201"/>
      <c r="O352" s="201"/>
      <c r="P352" s="201"/>
      <c r="Q352" s="201"/>
      <c r="R352" s="201"/>
      <c r="S352" s="201"/>
      <c r="T352" s="201"/>
      <c r="U352" s="201"/>
      <c r="V352" s="201"/>
      <c r="W352" s="201"/>
      <c r="X352" s="201"/>
      <c r="Y352" s="201"/>
      <c r="Z352" s="201"/>
      <c r="AA352" s="201"/>
    </row>
    <row r="353">
      <c r="A353" s="201"/>
      <c r="B353" s="201"/>
      <c r="C353" s="201"/>
      <c r="D353" s="201"/>
      <c r="E353" s="201"/>
      <c r="F353" s="201"/>
      <c r="G353" s="201"/>
      <c r="H353" s="209"/>
      <c r="I353" s="209"/>
      <c r="J353" s="201"/>
      <c r="K353" s="210" t="s">
        <v>39</v>
      </c>
      <c r="L353" s="21"/>
      <c r="M353" s="201"/>
      <c r="N353" s="201"/>
      <c r="O353" s="201"/>
      <c r="P353" s="201"/>
      <c r="Q353" s="201"/>
      <c r="R353" s="201"/>
      <c r="S353" s="201"/>
      <c r="T353" s="201"/>
      <c r="U353" s="201"/>
      <c r="V353" s="201"/>
      <c r="W353" s="201"/>
      <c r="X353" s="201"/>
      <c r="Y353" s="201"/>
      <c r="Z353" s="201"/>
      <c r="AA353" s="201"/>
    </row>
    <row r="354">
      <c r="A354" s="201"/>
      <c r="B354" s="201"/>
      <c r="C354" s="201"/>
      <c r="D354" s="201"/>
      <c r="E354" s="201"/>
      <c r="F354" s="201"/>
      <c r="G354" s="201"/>
      <c r="H354" s="209"/>
      <c r="I354" s="209"/>
      <c r="J354" s="201"/>
      <c r="K354" s="210" t="s">
        <v>39</v>
      </c>
      <c r="L354" s="21"/>
      <c r="M354" s="201"/>
      <c r="N354" s="201"/>
      <c r="O354" s="201"/>
      <c r="P354" s="201"/>
      <c r="Q354" s="201"/>
      <c r="R354" s="201"/>
      <c r="S354" s="201"/>
      <c r="T354" s="201"/>
      <c r="U354" s="201"/>
      <c r="V354" s="201"/>
      <c r="W354" s="201"/>
      <c r="X354" s="201"/>
      <c r="Y354" s="201"/>
      <c r="Z354" s="201"/>
      <c r="AA354" s="201"/>
    </row>
    <row r="355">
      <c r="A355" s="201"/>
      <c r="B355" s="201"/>
      <c r="C355" s="201"/>
      <c r="D355" s="201"/>
      <c r="E355" s="201"/>
      <c r="F355" s="201"/>
      <c r="G355" s="201"/>
      <c r="H355" s="209"/>
      <c r="I355" s="209"/>
      <c r="J355" s="201"/>
      <c r="K355" s="210" t="s">
        <v>39</v>
      </c>
      <c r="L355" s="21"/>
      <c r="M355" s="201"/>
      <c r="N355" s="201"/>
      <c r="O355" s="201"/>
      <c r="P355" s="201"/>
      <c r="Q355" s="201"/>
      <c r="R355" s="201"/>
      <c r="S355" s="201"/>
      <c r="T355" s="201"/>
      <c r="U355" s="201"/>
      <c r="V355" s="201"/>
      <c r="W355" s="201"/>
      <c r="X355" s="201"/>
      <c r="Y355" s="201"/>
      <c r="Z355" s="201"/>
      <c r="AA355" s="201"/>
    </row>
    <row r="356">
      <c r="A356" s="201"/>
      <c r="B356" s="201"/>
      <c r="C356" s="201"/>
      <c r="D356" s="201"/>
      <c r="E356" s="201"/>
      <c r="F356" s="201"/>
      <c r="G356" s="201"/>
      <c r="H356" s="209"/>
      <c r="I356" s="209"/>
      <c r="J356" s="201"/>
      <c r="K356" s="210" t="s">
        <v>39</v>
      </c>
      <c r="L356" s="21"/>
      <c r="M356" s="201"/>
      <c r="N356" s="201"/>
      <c r="O356" s="201"/>
      <c r="P356" s="201"/>
      <c r="Q356" s="201"/>
      <c r="R356" s="201"/>
      <c r="S356" s="201"/>
      <c r="T356" s="201"/>
      <c r="U356" s="201"/>
      <c r="V356" s="201"/>
      <c r="W356" s="201"/>
      <c r="X356" s="201"/>
      <c r="Y356" s="201"/>
      <c r="Z356" s="201"/>
      <c r="AA356" s="201"/>
    </row>
    <row r="357">
      <c r="A357" s="201"/>
      <c r="B357" s="201"/>
      <c r="C357" s="201"/>
      <c r="D357" s="201"/>
      <c r="E357" s="201"/>
      <c r="F357" s="201"/>
      <c r="G357" s="201"/>
      <c r="H357" s="209"/>
      <c r="I357" s="209"/>
      <c r="J357" s="201"/>
      <c r="K357" s="210" t="s">
        <v>39</v>
      </c>
      <c r="L357" s="21"/>
      <c r="M357" s="201"/>
      <c r="N357" s="201"/>
      <c r="O357" s="201"/>
      <c r="P357" s="201"/>
      <c r="Q357" s="201"/>
      <c r="R357" s="201"/>
      <c r="S357" s="201"/>
      <c r="T357" s="201"/>
      <c r="U357" s="201"/>
      <c r="V357" s="201"/>
      <c r="W357" s="201"/>
      <c r="X357" s="201"/>
      <c r="Y357" s="201"/>
      <c r="Z357" s="201"/>
      <c r="AA357" s="201"/>
    </row>
    <row r="358">
      <c r="A358" s="201"/>
      <c r="B358" s="201"/>
      <c r="C358" s="201"/>
      <c r="D358" s="201"/>
      <c r="E358" s="201"/>
      <c r="F358" s="201"/>
      <c r="G358" s="201"/>
      <c r="H358" s="209"/>
      <c r="I358" s="209"/>
      <c r="J358" s="201"/>
      <c r="K358" s="210" t="s">
        <v>39</v>
      </c>
      <c r="L358" s="21"/>
      <c r="M358" s="201"/>
      <c r="N358" s="201"/>
      <c r="O358" s="201"/>
      <c r="P358" s="201"/>
      <c r="Q358" s="201"/>
      <c r="R358" s="201"/>
      <c r="S358" s="201"/>
      <c r="T358" s="201"/>
      <c r="U358" s="201"/>
      <c r="V358" s="201"/>
      <c r="W358" s="201"/>
      <c r="X358" s="201"/>
      <c r="Y358" s="201"/>
      <c r="Z358" s="201"/>
      <c r="AA358" s="201"/>
    </row>
    <row r="359">
      <c r="A359" s="201"/>
      <c r="B359" s="201"/>
      <c r="C359" s="201"/>
      <c r="D359" s="201"/>
      <c r="E359" s="201"/>
      <c r="F359" s="201"/>
      <c r="G359" s="201"/>
      <c r="H359" s="209"/>
      <c r="I359" s="209"/>
      <c r="J359" s="201"/>
      <c r="K359" s="210" t="s">
        <v>39</v>
      </c>
      <c r="L359" s="21"/>
      <c r="M359" s="201"/>
      <c r="N359" s="201"/>
      <c r="O359" s="201"/>
      <c r="P359" s="201"/>
      <c r="Q359" s="201"/>
      <c r="R359" s="201"/>
      <c r="S359" s="201"/>
      <c r="T359" s="201"/>
      <c r="U359" s="201"/>
      <c r="V359" s="201"/>
      <c r="W359" s="201"/>
      <c r="X359" s="201"/>
      <c r="Y359" s="201"/>
      <c r="Z359" s="201"/>
      <c r="AA359" s="201"/>
    </row>
    <row r="360">
      <c r="A360" s="201"/>
      <c r="B360" s="201"/>
      <c r="C360" s="201"/>
      <c r="D360" s="201"/>
      <c r="E360" s="201"/>
      <c r="F360" s="201"/>
      <c r="G360" s="201"/>
      <c r="H360" s="209"/>
      <c r="I360" s="209"/>
      <c r="J360" s="201"/>
      <c r="K360" s="210" t="s">
        <v>39</v>
      </c>
      <c r="L360" s="21"/>
      <c r="M360" s="201"/>
      <c r="N360" s="201"/>
      <c r="O360" s="201"/>
      <c r="P360" s="201"/>
      <c r="Q360" s="201"/>
      <c r="R360" s="201"/>
      <c r="S360" s="201"/>
      <c r="T360" s="201"/>
      <c r="U360" s="201"/>
      <c r="V360" s="201"/>
      <c r="W360" s="201"/>
      <c r="X360" s="201"/>
      <c r="Y360" s="201"/>
      <c r="Z360" s="201"/>
      <c r="AA360" s="201"/>
    </row>
    <row r="361">
      <c r="A361" s="201"/>
      <c r="B361" s="201"/>
      <c r="C361" s="201"/>
      <c r="D361" s="201"/>
      <c r="E361" s="201"/>
      <c r="F361" s="201"/>
      <c r="G361" s="201"/>
      <c r="H361" s="209"/>
      <c r="I361" s="209"/>
      <c r="J361" s="201"/>
      <c r="K361" s="210" t="s">
        <v>39</v>
      </c>
      <c r="L361" s="21"/>
      <c r="M361" s="201"/>
      <c r="N361" s="201"/>
      <c r="O361" s="201"/>
      <c r="P361" s="201"/>
      <c r="Q361" s="201"/>
      <c r="R361" s="201"/>
      <c r="S361" s="201"/>
      <c r="T361" s="201"/>
      <c r="U361" s="201"/>
      <c r="V361" s="201"/>
      <c r="W361" s="201"/>
      <c r="X361" s="201"/>
      <c r="Y361" s="201"/>
      <c r="Z361" s="201"/>
      <c r="AA361" s="201"/>
    </row>
    <row r="362">
      <c r="A362" s="201"/>
      <c r="B362" s="201"/>
      <c r="C362" s="201"/>
      <c r="D362" s="201"/>
      <c r="E362" s="201"/>
      <c r="F362" s="201"/>
      <c r="G362" s="201"/>
      <c r="H362" s="209"/>
      <c r="I362" s="209"/>
      <c r="J362" s="201"/>
      <c r="K362" s="210" t="s">
        <v>39</v>
      </c>
      <c r="L362" s="21"/>
      <c r="M362" s="201"/>
      <c r="N362" s="201"/>
      <c r="O362" s="201"/>
      <c r="P362" s="201"/>
      <c r="Q362" s="201"/>
      <c r="R362" s="201"/>
      <c r="S362" s="201"/>
      <c r="T362" s="201"/>
      <c r="U362" s="201"/>
      <c r="V362" s="201"/>
      <c r="W362" s="201"/>
      <c r="X362" s="201"/>
      <c r="Y362" s="201"/>
      <c r="Z362" s="201"/>
      <c r="AA362" s="201"/>
    </row>
    <row r="363">
      <c r="A363" s="201"/>
      <c r="B363" s="201"/>
      <c r="C363" s="201"/>
      <c r="D363" s="201"/>
      <c r="E363" s="201"/>
      <c r="F363" s="201"/>
      <c r="G363" s="201"/>
      <c r="H363" s="209"/>
      <c r="I363" s="209"/>
      <c r="J363" s="201"/>
      <c r="K363" s="210" t="s">
        <v>39</v>
      </c>
      <c r="L363" s="21"/>
      <c r="M363" s="201"/>
      <c r="N363" s="201"/>
      <c r="O363" s="201"/>
      <c r="P363" s="201"/>
      <c r="Q363" s="201"/>
      <c r="R363" s="201"/>
      <c r="S363" s="201"/>
      <c r="T363" s="201"/>
      <c r="U363" s="201"/>
      <c r="V363" s="201"/>
      <c r="W363" s="201"/>
      <c r="X363" s="201"/>
      <c r="Y363" s="201"/>
      <c r="Z363" s="201"/>
      <c r="AA363" s="201"/>
    </row>
    <row r="364">
      <c r="A364" s="201"/>
      <c r="B364" s="201"/>
      <c r="C364" s="201"/>
      <c r="D364" s="201"/>
      <c r="E364" s="201"/>
      <c r="F364" s="201"/>
      <c r="G364" s="201"/>
      <c r="H364" s="209"/>
      <c r="I364" s="209"/>
      <c r="J364" s="201"/>
      <c r="K364" s="210" t="s">
        <v>39</v>
      </c>
      <c r="L364" s="21"/>
      <c r="M364" s="201"/>
      <c r="N364" s="201"/>
      <c r="O364" s="201"/>
      <c r="P364" s="201"/>
      <c r="Q364" s="201"/>
      <c r="R364" s="201"/>
      <c r="S364" s="201"/>
      <c r="T364" s="201"/>
      <c r="U364" s="201"/>
      <c r="V364" s="201"/>
      <c r="W364" s="201"/>
      <c r="X364" s="201"/>
      <c r="Y364" s="201"/>
      <c r="Z364" s="201"/>
      <c r="AA364" s="201"/>
    </row>
    <row r="365">
      <c r="A365" s="201"/>
      <c r="B365" s="201"/>
      <c r="C365" s="201"/>
      <c r="D365" s="201"/>
      <c r="E365" s="201"/>
      <c r="F365" s="201"/>
      <c r="G365" s="201"/>
      <c r="H365" s="209"/>
      <c r="I365" s="209"/>
      <c r="J365" s="201"/>
      <c r="K365" s="210" t="s">
        <v>39</v>
      </c>
      <c r="L365" s="21"/>
      <c r="M365" s="201"/>
      <c r="N365" s="201"/>
      <c r="O365" s="201"/>
      <c r="P365" s="201"/>
      <c r="Q365" s="201"/>
      <c r="R365" s="201"/>
      <c r="S365" s="201"/>
      <c r="T365" s="201"/>
      <c r="U365" s="201"/>
      <c r="V365" s="201"/>
      <c r="W365" s="201"/>
      <c r="X365" s="201"/>
      <c r="Y365" s="201"/>
      <c r="Z365" s="201"/>
      <c r="AA365" s="201"/>
    </row>
    <row r="366">
      <c r="A366" s="201"/>
      <c r="B366" s="201"/>
      <c r="C366" s="201"/>
      <c r="D366" s="201"/>
      <c r="E366" s="201"/>
      <c r="F366" s="201"/>
      <c r="G366" s="201"/>
      <c r="H366" s="209"/>
      <c r="I366" s="209"/>
      <c r="J366" s="201"/>
      <c r="K366" s="210" t="s">
        <v>39</v>
      </c>
      <c r="L366" s="21"/>
      <c r="M366" s="201"/>
      <c r="N366" s="201"/>
      <c r="O366" s="201"/>
      <c r="P366" s="201"/>
      <c r="Q366" s="201"/>
      <c r="R366" s="201"/>
      <c r="S366" s="201"/>
      <c r="T366" s="201"/>
      <c r="U366" s="201"/>
      <c r="V366" s="201"/>
      <c r="W366" s="201"/>
      <c r="X366" s="201"/>
      <c r="Y366" s="201"/>
      <c r="Z366" s="201"/>
      <c r="AA366" s="201"/>
    </row>
    <row r="367">
      <c r="A367" s="201"/>
      <c r="B367" s="201"/>
      <c r="C367" s="201"/>
      <c r="D367" s="201"/>
      <c r="E367" s="201"/>
      <c r="F367" s="201"/>
      <c r="G367" s="201"/>
      <c r="H367" s="209"/>
      <c r="I367" s="209"/>
      <c r="J367" s="201"/>
      <c r="K367" s="210" t="s">
        <v>39</v>
      </c>
      <c r="L367" s="21"/>
      <c r="M367" s="201"/>
      <c r="N367" s="201"/>
      <c r="O367" s="201"/>
      <c r="P367" s="201"/>
      <c r="Q367" s="201"/>
      <c r="R367" s="201"/>
      <c r="S367" s="201"/>
      <c r="T367" s="201"/>
      <c r="U367" s="201"/>
      <c r="V367" s="201"/>
      <c r="W367" s="201"/>
      <c r="X367" s="201"/>
      <c r="Y367" s="201"/>
      <c r="Z367" s="201"/>
      <c r="AA367" s="201"/>
    </row>
    <row r="368">
      <c r="A368" s="201"/>
      <c r="B368" s="201"/>
      <c r="C368" s="201"/>
      <c r="D368" s="201"/>
      <c r="E368" s="201"/>
      <c r="F368" s="201"/>
      <c r="G368" s="201"/>
      <c r="H368" s="209"/>
      <c r="I368" s="209"/>
      <c r="J368" s="201"/>
      <c r="K368" s="210" t="s">
        <v>39</v>
      </c>
      <c r="L368" s="21"/>
      <c r="M368" s="201"/>
      <c r="N368" s="201"/>
      <c r="O368" s="201"/>
      <c r="P368" s="201"/>
      <c r="Q368" s="201"/>
      <c r="R368" s="201"/>
      <c r="S368" s="201"/>
      <c r="T368" s="201"/>
      <c r="U368" s="201"/>
      <c r="V368" s="201"/>
      <c r="W368" s="201"/>
      <c r="X368" s="201"/>
      <c r="Y368" s="201"/>
      <c r="Z368" s="201"/>
      <c r="AA368" s="201"/>
    </row>
    <row r="369">
      <c r="A369" s="201"/>
      <c r="B369" s="201"/>
      <c r="C369" s="201"/>
      <c r="D369" s="201"/>
      <c r="E369" s="201"/>
      <c r="F369" s="201"/>
      <c r="G369" s="201"/>
      <c r="H369" s="209"/>
      <c r="I369" s="209"/>
      <c r="J369" s="201"/>
      <c r="K369" s="210" t="s">
        <v>39</v>
      </c>
      <c r="L369" s="21"/>
      <c r="M369" s="201"/>
      <c r="N369" s="201"/>
      <c r="O369" s="201"/>
      <c r="P369" s="201"/>
      <c r="Q369" s="201"/>
      <c r="R369" s="201"/>
      <c r="S369" s="201"/>
      <c r="T369" s="201"/>
      <c r="U369" s="201"/>
      <c r="V369" s="201"/>
      <c r="W369" s="201"/>
      <c r="X369" s="201"/>
      <c r="Y369" s="201"/>
      <c r="Z369" s="201"/>
      <c r="AA369" s="201"/>
    </row>
    <row r="370">
      <c r="A370" s="201"/>
      <c r="B370" s="201"/>
      <c r="C370" s="201"/>
      <c r="D370" s="201"/>
      <c r="E370" s="201"/>
      <c r="F370" s="201"/>
      <c r="G370" s="201"/>
      <c r="H370" s="209"/>
      <c r="I370" s="209"/>
      <c r="J370" s="201"/>
      <c r="K370" s="210" t="s">
        <v>39</v>
      </c>
      <c r="L370" s="21"/>
      <c r="M370" s="201"/>
      <c r="N370" s="201"/>
      <c r="O370" s="201"/>
      <c r="P370" s="201"/>
      <c r="Q370" s="201"/>
      <c r="R370" s="201"/>
      <c r="S370" s="201"/>
      <c r="T370" s="201"/>
      <c r="U370" s="201"/>
      <c r="V370" s="201"/>
      <c r="W370" s="201"/>
      <c r="X370" s="201"/>
      <c r="Y370" s="201"/>
      <c r="Z370" s="201"/>
      <c r="AA370" s="201"/>
    </row>
    <row r="371">
      <c r="A371" s="201"/>
      <c r="B371" s="201"/>
      <c r="C371" s="201"/>
      <c r="D371" s="201"/>
      <c r="E371" s="201"/>
      <c r="F371" s="201"/>
      <c r="G371" s="201"/>
      <c r="H371" s="209"/>
      <c r="I371" s="209"/>
      <c r="J371" s="201"/>
      <c r="K371" s="210" t="s">
        <v>39</v>
      </c>
      <c r="L371" s="21"/>
      <c r="M371" s="201"/>
      <c r="N371" s="201"/>
      <c r="O371" s="201"/>
      <c r="P371" s="201"/>
      <c r="Q371" s="201"/>
      <c r="R371" s="201"/>
      <c r="S371" s="201"/>
      <c r="T371" s="201"/>
      <c r="U371" s="201"/>
      <c r="V371" s="201"/>
      <c r="W371" s="201"/>
      <c r="X371" s="201"/>
      <c r="Y371" s="201"/>
      <c r="Z371" s="201"/>
      <c r="AA371" s="201"/>
    </row>
    <row r="372">
      <c r="A372" s="201"/>
      <c r="B372" s="201"/>
      <c r="C372" s="201"/>
      <c r="D372" s="201"/>
      <c r="E372" s="201"/>
      <c r="F372" s="201"/>
      <c r="G372" s="201"/>
      <c r="H372" s="209"/>
      <c r="I372" s="209"/>
      <c r="J372" s="201"/>
      <c r="K372" s="210" t="s">
        <v>39</v>
      </c>
      <c r="L372" s="21"/>
      <c r="M372" s="201"/>
      <c r="N372" s="201"/>
      <c r="O372" s="201"/>
      <c r="P372" s="201"/>
      <c r="Q372" s="201"/>
      <c r="R372" s="201"/>
      <c r="S372" s="201"/>
      <c r="T372" s="201"/>
      <c r="U372" s="201"/>
      <c r="V372" s="201"/>
      <c r="W372" s="201"/>
      <c r="X372" s="201"/>
      <c r="Y372" s="201"/>
      <c r="Z372" s="201"/>
      <c r="AA372" s="201"/>
    </row>
    <row r="373">
      <c r="A373" s="201"/>
      <c r="B373" s="201"/>
      <c r="C373" s="201"/>
      <c r="D373" s="201"/>
      <c r="E373" s="201"/>
      <c r="F373" s="201"/>
      <c r="G373" s="201"/>
      <c r="H373" s="209"/>
      <c r="I373" s="209"/>
      <c r="J373" s="201"/>
      <c r="K373" s="210" t="s">
        <v>39</v>
      </c>
      <c r="L373" s="21"/>
      <c r="M373" s="201"/>
      <c r="N373" s="201"/>
      <c r="O373" s="201"/>
      <c r="P373" s="201"/>
      <c r="Q373" s="201"/>
      <c r="R373" s="201"/>
      <c r="S373" s="201"/>
      <c r="T373" s="201"/>
      <c r="U373" s="201"/>
      <c r="V373" s="201"/>
      <c r="W373" s="201"/>
      <c r="X373" s="201"/>
      <c r="Y373" s="201"/>
      <c r="Z373" s="201"/>
      <c r="AA373" s="201"/>
    </row>
    <row r="374">
      <c r="A374" s="201"/>
      <c r="B374" s="201"/>
      <c r="C374" s="201"/>
      <c r="D374" s="201"/>
      <c r="E374" s="201"/>
      <c r="F374" s="201"/>
      <c r="G374" s="201"/>
      <c r="H374" s="209"/>
      <c r="I374" s="209"/>
      <c r="J374" s="201"/>
      <c r="K374" s="210" t="s">
        <v>39</v>
      </c>
      <c r="L374" s="21"/>
      <c r="M374" s="201"/>
      <c r="N374" s="201"/>
      <c r="O374" s="201"/>
      <c r="P374" s="201"/>
      <c r="Q374" s="201"/>
      <c r="R374" s="201"/>
      <c r="S374" s="201"/>
      <c r="T374" s="201"/>
      <c r="U374" s="201"/>
      <c r="V374" s="201"/>
      <c r="W374" s="201"/>
      <c r="X374" s="201"/>
      <c r="Y374" s="201"/>
      <c r="Z374" s="201"/>
      <c r="AA374" s="201"/>
    </row>
    <row r="375">
      <c r="A375" s="201"/>
      <c r="B375" s="201"/>
      <c r="C375" s="201"/>
      <c r="D375" s="201"/>
      <c r="E375" s="201"/>
      <c r="F375" s="201"/>
      <c r="G375" s="201"/>
      <c r="H375" s="209"/>
      <c r="I375" s="209"/>
      <c r="J375" s="201"/>
      <c r="K375" s="210" t="s">
        <v>39</v>
      </c>
      <c r="L375" s="21"/>
      <c r="M375" s="201"/>
      <c r="N375" s="201"/>
      <c r="O375" s="201"/>
      <c r="P375" s="201"/>
      <c r="Q375" s="201"/>
      <c r="R375" s="201"/>
      <c r="S375" s="201"/>
      <c r="T375" s="201"/>
      <c r="U375" s="201"/>
      <c r="V375" s="201"/>
      <c r="W375" s="201"/>
      <c r="X375" s="201"/>
      <c r="Y375" s="201"/>
      <c r="Z375" s="201"/>
      <c r="AA375" s="201"/>
    </row>
    <row r="376">
      <c r="A376" s="201"/>
      <c r="B376" s="201"/>
      <c r="C376" s="201"/>
      <c r="D376" s="201"/>
      <c r="E376" s="201"/>
      <c r="F376" s="201"/>
      <c r="G376" s="201"/>
      <c r="H376" s="209"/>
      <c r="I376" s="209"/>
      <c r="J376" s="201"/>
      <c r="K376" s="210" t="s">
        <v>39</v>
      </c>
      <c r="L376" s="21"/>
      <c r="M376" s="201"/>
      <c r="N376" s="201"/>
      <c r="O376" s="201"/>
      <c r="P376" s="201"/>
      <c r="Q376" s="201"/>
      <c r="R376" s="201"/>
      <c r="S376" s="201"/>
      <c r="T376" s="201"/>
      <c r="U376" s="201"/>
      <c r="V376" s="201"/>
      <c r="W376" s="201"/>
      <c r="X376" s="201"/>
      <c r="Y376" s="201"/>
      <c r="Z376" s="201"/>
      <c r="AA376" s="201"/>
    </row>
    <row r="377">
      <c r="A377" s="201"/>
      <c r="B377" s="201"/>
      <c r="C377" s="201"/>
      <c r="D377" s="201"/>
      <c r="E377" s="201"/>
      <c r="F377" s="201"/>
      <c r="G377" s="201"/>
      <c r="H377" s="209"/>
      <c r="I377" s="209"/>
      <c r="J377" s="201"/>
      <c r="K377" s="210" t="s">
        <v>39</v>
      </c>
      <c r="L377" s="21"/>
      <c r="M377" s="201"/>
      <c r="N377" s="201"/>
      <c r="O377" s="201"/>
      <c r="P377" s="201"/>
      <c r="Q377" s="201"/>
      <c r="R377" s="201"/>
      <c r="S377" s="201"/>
      <c r="T377" s="201"/>
      <c r="U377" s="201"/>
      <c r="V377" s="201"/>
      <c r="W377" s="201"/>
      <c r="X377" s="201"/>
      <c r="Y377" s="201"/>
      <c r="Z377" s="201"/>
      <c r="AA377" s="201"/>
    </row>
    <row r="378">
      <c r="A378" s="201"/>
      <c r="B378" s="201"/>
      <c r="C378" s="201"/>
      <c r="D378" s="201"/>
      <c r="E378" s="201"/>
      <c r="F378" s="201"/>
      <c r="G378" s="201"/>
      <c r="H378" s="209"/>
      <c r="I378" s="209"/>
      <c r="J378" s="201"/>
      <c r="K378" s="210" t="s">
        <v>39</v>
      </c>
      <c r="L378" s="21"/>
      <c r="M378" s="201"/>
      <c r="N378" s="201"/>
      <c r="O378" s="201"/>
      <c r="P378" s="201"/>
      <c r="Q378" s="201"/>
      <c r="R378" s="201"/>
      <c r="S378" s="201"/>
      <c r="T378" s="201"/>
      <c r="U378" s="201"/>
      <c r="V378" s="201"/>
      <c r="W378" s="201"/>
      <c r="X378" s="201"/>
      <c r="Y378" s="201"/>
      <c r="Z378" s="201"/>
      <c r="AA378" s="201"/>
    </row>
    <row r="379">
      <c r="A379" s="201"/>
      <c r="B379" s="201"/>
      <c r="C379" s="201"/>
      <c r="D379" s="201"/>
      <c r="E379" s="201"/>
      <c r="F379" s="201"/>
      <c r="G379" s="201"/>
      <c r="H379" s="209"/>
      <c r="I379" s="209"/>
      <c r="J379" s="201"/>
      <c r="K379" s="210" t="s">
        <v>39</v>
      </c>
      <c r="L379" s="21"/>
      <c r="M379" s="201"/>
      <c r="N379" s="201"/>
      <c r="O379" s="201"/>
      <c r="P379" s="201"/>
      <c r="Q379" s="201"/>
      <c r="R379" s="201"/>
      <c r="S379" s="201"/>
      <c r="T379" s="201"/>
      <c r="U379" s="201"/>
      <c r="V379" s="201"/>
      <c r="W379" s="201"/>
      <c r="X379" s="201"/>
      <c r="Y379" s="201"/>
      <c r="Z379" s="201"/>
      <c r="AA379" s="201"/>
    </row>
    <row r="380">
      <c r="A380" s="201"/>
      <c r="B380" s="201"/>
      <c r="C380" s="201"/>
      <c r="D380" s="201"/>
      <c r="E380" s="201"/>
      <c r="F380" s="201"/>
      <c r="G380" s="201"/>
      <c r="H380" s="209"/>
      <c r="I380" s="209"/>
      <c r="J380" s="201"/>
      <c r="K380" s="210" t="s">
        <v>39</v>
      </c>
      <c r="L380" s="21"/>
      <c r="M380" s="201"/>
      <c r="N380" s="201"/>
      <c r="O380" s="201"/>
      <c r="P380" s="201"/>
      <c r="Q380" s="201"/>
      <c r="R380" s="201"/>
      <c r="S380" s="201"/>
      <c r="T380" s="201"/>
      <c r="U380" s="201"/>
      <c r="V380" s="201"/>
      <c r="W380" s="201"/>
      <c r="X380" s="201"/>
      <c r="Y380" s="201"/>
      <c r="Z380" s="201"/>
      <c r="AA380" s="201"/>
    </row>
    <row r="381">
      <c r="A381" s="201"/>
      <c r="B381" s="201"/>
      <c r="C381" s="201"/>
      <c r="D381" s="201"/>
      <c r="E381" s="201"/>
      <c r="F381" s="201"/>
      <c r="G381" s="201"/>
      <c r="H381" s="209"/>
      <c r="I381" s="209"/>
      <c r="J381" s="201"/>
      <c r="K381" s="210" t="s">
        <v>39</v>
      </c>
      <c r="L381" s="21"/>
      <c r="M381" s="201"/>
      <c r="N381" s="201"/>
      <c r="O381" s="201"/>
      <c r="P381" s="201"/>
      <c r="Q381" s="201"/>
      <c r="R381" s="201"/>
      <c r="S381" s="201"/>
      <c r="T381" s="201"/>
      <c r="U381" s="201"/>
      <c r="V381" s="201"/>
      <c r="W381" s="201"/>
      <c r="X381" s="201"/>
      <c r="Y381" s="201"/>
      <c r="Z381" s="201"/>
      <c r="AA381" s="201"/>
    </row>
    <row r="382">
      <c r="A382" s="201"/>
      <c r="B382" s="201"/>
      <c r="C382" s="201"/>
      <c r="D382" s="201"/>
      <c r="E382" s="201"/>
      <c r="F382" s="201"/>
      <c r="G382" s="201"/>
      <c r="H382" s="209"/>
      <c r="I382" s="209"/>
      <c r="J382" s="201"/>
      <c r="K382" s="210" t="s">
        <v>39</v>
      </c>
      <c r="L382" s="21"/>
      <c r="M382" s="201"/>
      <c r="N382" s="201"/>
      <c r="O382" s="201"/>
      <c r="P382" s="201"/>
      <c r="Q382" s="201"/>
      <c r="R382" s="201"/>
      <c r="S382" s="201"/>
      <c r="T382" s="201"/>
      <c r="U382" s="201"/>
      <c r="V382" s="201"/>
      <c r="W382" s="201"/>
      <c r="X382" s="201"/>
      <c r="Y382" s="201"/>
      <c r="Z382" s="201"/>
      <c r="AA382" s="201"/>
    </row>
    <row r="383">
      <c r="A383" s="201"/>
      <c r="B383" s="201"/>
      <c r="C383" s="201"/>
      <c r="D383" s="201"/>
      <c r="E383" s="201"/>
      <c r="F383" s="201"/>
      <c r="G383" s="201"/>
      <c r="H383" s="209"/>
      <c r="I383" s="209"/>
      <c r="J383" s="201"/>
      <c r="K383" s="210" t="s">
        <v>39</v>
      </c>
      <c r="L383" s="21"/>
      <c r="M383" s="201"/>
      <c r="N383" s="201"/>
      <c r="O383" s="201"/>
      <c r="P383" s="201"/>
      <c r="Q383" s="201"/>
      <c r="R383" s="201"/>
      <c r="S383" s="201"/>
      <c r="T383" s="201"/>
      <c r="U383" s="201"/>
      <c r="V383" s="201"/>
      <c r="W383" s="201"/>
      <c r="X383" s="201"/>
      <c r="Y383" s="201"/>
      <c r="Z383" s="201"/>
      <c r="AA383" s="201"/>
    </row>
    <row r="384">
      <c r="A384" s="201"/>
      <c r="B384" s="201"/>
      <c r="C384" s="201"/>
      <c r="D384" s="201"/>
      <c r="E384" s="201"/>
      <c r="F384" s="201"/>
      <c r="G384" s="201"/>
      <c r="H384" s="209"/>
      <c r="I384" s="209"/>
      <c r="J384" s="201"/>
      <c r="K384" s="210" t="s">
        <v>39</v>
      </c>
      <c r="L384" s="21"/>
      <c r="M384" s="201"/>
      <c r="N384" s="201"/>
      <c r="O384" s="201"/>
      <c r="P384" s="201"/>
      <c r="Q384" s="201"/>
      <c r="R384" s="201"/>
      <c r="S384" s="201"/>
      <c r="T384" s="201"/>
      <c r="U384" s="201"/>
      <c r="V384" s="201"/>
      <c r="W384" s="201"/>
      <c r="X384" s="201"/>
      <c r="Y384" s="201"/>
      <c r="Z384" s="201"/>
      <c r="AA384" s="201"/>
    </row>
    <row r="385">
      <c r="A385" s="201"/>
      <c r="B385" s="201"/>
      <c r="C385" s="201"/>
      <c r="D385" s="201"/>
      <c r="E385" s="201"/>
      <c r="F385" s="201"/>
      <c r="G385" s="201"/>
      <c r="H385" s="209"/>
      <c r="I385" s="209"/>
      <c r="J385" s="201"/>
      <c r="K385" s="210" t="s">
        <v>39</v>
      </c>
      <c r="L385" s="21"/>
      <c r="M385" s="201"/>
      <c r="N385" s="201"/>
      <c r="O385" s="201"/>
      <c r="P385" s="201"/>
      <c r="Q385" s="201"/>
      <c r="R385" s="201"/>
      <c r="S385" s="201"/>
      <c r="T385" s="201"/>
      <c r="U385" s="201"/>
      <c r="V385" s="201"/>
      <c r="W385" s="201"/>
      <c r="X385" s="201"/>
      <c r="Y385" s="201"/>
      <c r="Z385" s="201"/>
      <c r="AA385" s="201"/>
    </row>
    <row r="386">
      <c r="A386" s="201"/>
      <c r="B386" s="201"/>
      <c r="C386" s="201"/>
      <c r="D386" s="201"/>
      <c r="E386" s="201"/>
      <c r="F386" s="201"/>
      <c r="G386" s="201"/>
      <c r="H386" s="209"/>
      <c r="I386" s="209"/>
      <c r="J386" s="201"/>
      <c r="K386" s="210" t="s">
        <v>39</v>
      </c>
      <c r="L386" s="21"/>
      <c r="M386" s="201"/>
      <c r="N386" s="201"/>
      <c r="O386" s="201"/>
      <c r="P386" s="201"/>
      <c r="Q386" s="201"/>
      <c r="R386" s="201"/>
      <c r="S386" s="201"/>
      <c r="T386" s="201"/>
      <c r="U386" s="201"/>
      <c r="V386" s="201"/>
      <c r="W386" s="201"/>
      <c r="X386" s="201"/>
      <c r="Y386" s="201"/>
      <c r="Z386" s="201"/>
      <c r="AA386" s="201"/>
    </row>
    <row r="387">
      <c r="A387" s="201"/>
      <c r="B387" s="201"/>
      <c r="C387" s="201"/>
      <c r="D387" s="201"/>
      <c r="E387" s="201"/>
      <c r="F387" s="201"/>
      <c r="G387" s="201"/>
      <c r="H387" s="209"/>
      <c r="I387" s="209"/>
      <c r="J387" s="201"/>
      <c r="K387" s="210" t="s">
        <v>39</v>
      </c>
      <c r="L387" s="21"/>
      <c r="M387" s="201"/>
      <c r="N387" s="201"/>
      <c r="O387" s="201"/>
      <c r="P387" s="201"/>
      <c r="Q387" s="201"/>
      <c r="R387" s="201"/>
      <c r="S387" s="201"/>
      <c r="T387" s="201"/>
      <c r="U387" s="201"/>
      <c r="V387" s="201"/>
      <c r="W387" s="201"/>
      <c r="X387" s="201"/>
      <c r="Y387" s="201"/>
      <c r="Z387" s="201"/>
      <c r="AA387" s="201"/>
    </row>
    <row r="388">
      <c r="A388" s="201"/>
      <c r="B388" s="201"/>
      <c r="C388" s="201"/>
      <c r="D388" s="201"/>
      <c r="E388" s="201"/>
      <c r="F388" s="201"/>
      <c r="G388" s="201"/>
      <c r="H388" s="209"/>
      <c r="I388" s="209"/>
      <c r="J388" s="201"/>
      <c r="K388" s="210" t="s">
        <v>39</v>
      </c>
      <c r="L388" s="21"/>
      <c r="M388" s="201"/>
      <c r="N388" s="201"/>
      <c r="O388" s="201"/>
      <c r="P388" s="201"/>
      <c r="Q388" s="201"/>
      <c r="R388" s="201"/>
      <c r="S388" s="201"/>
      <c r="T388" s="201"/>
      <c r="U388" s="201"/>
      <c r="V388" s="201"/>
      <c r="W388" s="201"/>
      <c r="X388" s="201"/>
      <c r="Y388" s="201"/>
      <c r="Z388" s="201"/>
      <c r="AA388" s="201"/>
    </row>
    <row r="389">
      <c r="A389" s="201"/>
      <c r="B389" s="201"/>
      <c r="C389" s="201"/>
      <c r="D389" s="201"/>
      <c r="E389" s="201"/>
      <c r="F389" s="201"/>
      <c r="G389" s="201"/>
      <c r="H389" s="209"/>
      <c r="I389" s="209"/>
      <c r="J389" s="201"/>
      <c r="K389" s="210" t="s">
        <v>39</v>
      </c>
      <c r="L389" s="21"/>
      <c r="M389" s="201"/>
      <c r="N389" s="201"/>
      <c r="O389" s="201"/>
      <c r="P389" s="201"/>
      <c r="Q389" s="201"/>
      <c r="R389" s="201"/>
      <c r="S389" s="201"/>
      <c r="T389" s="201"/>
      <c r="U389" s="201"/>
      <c r="V389" s="201"/>
      <c r="W389" s="201"/>
      <c r="X389" s="201"/>
      <c r="Y389" s="201"/>
      <c r="Z389" s="201"/>
      <c r="AA389" s="201"/>
    </row>
    <row r="390">
      <c r="A390" s="201"/>
      <c r="B390" s="201"/>
      <c r="C390" s="201"/>
      <c r="D390" s="201"/>
      <c r="E390" s="201"/>
      <c r="F390" s="201"/>
      <c r="G390" s="201"/>
      <c r="H390" s="209"/>
      <c r="I390" s="209"/>
      <c r="J390" s="201"/>
      <c r="K390" s="210" t="s">
        <v>39</v>
      </c>
      <c r="L390" s="21"/>
      <c r="M390" s="201"/>
      <c r="N390" s="201"/>
      <c r="O390" s="201"/>
      <c r="P390" s="201"/>
      <c r="Q390" s="201"/>
      <c r="R390" s="201"/>
      <c r="S390" s="201"/>
      <c r="T390" s="201"/>
      <c r="U390" s="201"/>
      <c r="V390" s="201"/>
      <c r="W390" s="201"/>
      <c r="X390" s="201"/>
      <c r="Y390" s="201"/>
      <c r="Z390" s="201"/>
      <c r="AA390" s="201"/>
    </row>
    <row r="391">
      <c r="A391" s="201"/>
      <c r="B391" s="201"/>
      <c r="C391" s="201"/>
      <c r="D391" s="201"/>
      <c r="E391" s="201"/>
      <c r="F391" s="201"/>
      <c r="G391" s="201"/>
      <c r="H391" s="209"/>
      <c r="I391" s="209"/>
      <c r="J391" s="201"/>
      <c r="K391" s="210" t="s">
        <v>39</v>
      </c>
      <c r="L391" s="21"/>
      <c r="M391" s="201"/>
      <c r="N391" s="201"/>
      <c r="O391" s="201"/>
      <c r="P391" s="201"/>
      <c r="Q391" s="201"/>
      <c r="R391" s="201"/>
      <c r="S391" s="201"/>
      <c r="T391" s="201"/>
      <c r="U391" s="201"/>
      <c r="V391" s="201"/>
      <c r="W391" s="201"/>
      <c r="X391" s="201"/>
      <c r="Y391" s="201"/>
      <c r="Z391" s="201"/>
      <c r="AA391" s="201"/>
    </row>
    <row r="392">
      <c r="A392" s="201"/>
      <c r="B392" s="201"/>
      <c r="C392" s="201"/>
      <c r="D392" s="201"/>
      <c r="E392" s="201"/>
      <c r="F392" s="201"/>
      <c r="G392" s="201"/>
      <c r="H392" s="209"/>
      <c r="I392" s="209"/>
      <c r="J392" s="201"/>
      <c r="K392" s="210" t="s">
        <v>39</v>
      </c>
      <c r="L392" s="21"/>
      <c r="M392" s="201"/>
      <c r="N392" s="201"/>
      <c r="O392" s="201"/>
      <c r="P392" s="201"/>
      <c r="Q392" s="201"/>
      <c r="R392" s="201"/>
      <c r="S392" s="201"/>
      <c r="T392" s="201"/>
      <c r="U392" s="201"/>
      <c r="V392" s="201"/>
      <c r="W392" s="201"/>
      <c r="X392" s="201"/>
      <c r="Y392" s="201"/>
      <c r="Z392" s="201"/>
      <c r="AA392" s="201"/>
    </row>
    <row r="393">
      <c r="A393" s="201"/>
      <c r="B393" s="201"/>
      <c r="C393" s="201"/>
      <c r="D393" s="201"/>
      <c r="E393" s="201"/>
      <c r="F393" s="201"/>
      <c r="G393" s="201"/>
      <c r="H393" s="209"/>
      <c r="I393" s="209"/>
      <c r="J393" s="201"/>
      <c r="K393" s="210" t="s">
        <v>39</v>
      </c>
      <c r="L393" s="21"/>
      <c r="M393" s="201"/>
      <c r="N393" s="201"/>
      <c r="O393" s="201"/>
      <c r="P393" s="201"/>
      <c r="Q393" s="201"/>
      <c r="R393" s="201"/>
      <c r="S393" s="201"/>
      <c r="T393" s="201"/>
      <c r="U393" s="201"/>
      <c r="V393" s="201"/>
      <c r="W393" s="201"/>
      <c r="X393" s="201"/>
      <c r="Y393" s="201"/>
      <c r="Z393" s="201"/>
      <c r="AA393" s="201"/>
    </row>
    <row r="394">
      <c r="A394" s="201"/>
      <c r="B394" s="201"/>
      <c r="C394" s="201"/>
      <c r="D394" s="201"/>
      <c r="E394" s="201"/>
      <c r="F394" s="201"/>
      <c r="G394" s="201"/>
      <c r="H394" s="209"/>
      <c r="I394" s="209"/>
      <c r="J394" s="201"/>
      <c r="K394" s="210" t="s">
        <v>39</v>
      </c>
      <c r="L394" s="21"/>
      <c r="M394" s="201"/>
      <c r="N394" s="201"/>
      <c r="O394" s="201"/>
      <c r="P394" s="201"/>
      <c r="Q394" s="201"/>
      <c r="R394" s="201"/>
      <c r="S394" s="201"/>
      <c r="T394" s="201"/>
      <c r="U394" s="201"/>
      <c r="V394" s="201"/>
      <c r="W394" s="201"/>
      <c r="X394" s="201"/>
      <c r="Y394" s="201"/>
      <c r="Z394" s="201"/>
      <c r="AA394" s="201"/>
    </row>
    <row r="395">
      <c r="A395" s="201"/>
      <c r="B395" s="201"/>
      <c r="C395" s="201"/>
      <c r="D395" s="201"/>
      <c r="E395" s="201"/>
      <c r="F395" s="201"/>
      <c r="G395" s="201"/>
      <c r="H395" s="209"/>
      <c r="I395" s="209"/>
      <c r="J395" s="201"/>
      <c r="K395" s="210" t="s">
        <v>39</v>
      </c>
      <c r="L395" s="21"/>
      <c r="M395" s="201"/>
      <c r="N395" s="201"/>
      <c r="O395" s="201"/>
      <c r="P395" s="201"/>
      <c r="Q395" s="201"/>
      <c r="R395" s="201"/>
      <c r="S395" s="201"/>
      <c r="T395" s="201"/>
      <c r="U395" s="201"/>
      <c r="V395" s="201"/>
      <c r="W395" s="201"/>
      <c r="X395" s="201"/>
      <c r="Y395" s="201"/>
      <c r="Z395" s="201"/>
      <c r="AA395" s="201"/>
    </row>
    <row r="396">
      <c r="A396" s="201"/>
      <c r="B396" s="201"/>
      <c r="C396" s="201"/>
      <c r="D396" s="201"/>
      <c r="E396" s="201"/>
      <c r="F396" s="201"/>
      <c r="G396" s="201"/>
      <c r="H396" s="209"/>
      <c r="I396" s="209"/>
      <c r="J396" s="201"/>
      <c r="K396" s="210" t="s">
        <v>39</v>
      </c>
      <c r="L396" s="21"/>
      <c r="M396" s="201"/>
      <c r="N396" s="201"/>
      <c r="O396" s="201"/>
      <c r="P396" s="201"/>
      <c r="Q396" s="201"/>
      <c r="R396" s="201"/>
      <c r="S396" s="201"/>
      <c r="T396" s="201"/>
      <c r="U396" s="201"/>
      <c r="V396" s="201"/>
      <c r="W396" s="201"/>
      <c r="X396" s="201"/>
      <c r="Y396" s="201"/>
      <c r="Z396" s="201"/>
      <c r="AA396" s="201"/>
    </row>
    <row r="397">
      <c r="A397" s="201"/>
      <c r="B397" s="201"/>
      <c r="C397" s="201"/>
      <c r="D397" s="201"/>
      <c r="E397" s="201"/>
      <c r="F397" s="201"/>
      <c r="G397" s="201"/>
      <c r="H397" s="209"/>
      <c r="I397" s="209"/>
      <c r="J397" s="201"/>
      <c r="K397" s="210" t="s">
        <v>39</v>
      </c>
      <c r="L397" s="21"/>
      <c r="M397" s="201"/>
      <c r="N397" s="201"/>
      <c r="O397" s="201"/>
      <c r="P397" s="201"/>
      <c r="Q397" s="201"/>
      <c r="R397" s="201"/>
      <c r="S397" s="201"/>
      <c r="T397" s="201"/>
      <c r="U397" s="201"/>
      <c r="V397" s="201"/>
      <c r="W397" s="201"/>
      <c r="X397" s="201"/>
      <c r="Y397" s="201"/>
      <c r="Z397" s="201"/>
      <c r="AA397" s="201"/>
    </row>
    <row r="398">
      <c r="A398" s="201"/>
      <c r="B398" s="201"/>
      <c r="C398" s="201"/>
      <c r="D398" s="201"/>
      <c r="E398" s="201"/>
      <c r="F398" s="201"/>
      <c r="G398" s="201"/>
      <c r="H398" s="209"/>
      <c r="I398" s="209"/>
      <c r="J398" s="201"/>
      <c r="K398" s="210" t="s">
        <v>39</v>
      </c>
      <c r="L398" s="21"/>
      <c r="M398" s="201"/>
      <c r="N398" s="201"/>
      <c r="O398" s="201"/>
      <c r="P398" s="201"/>
      <c r="Q398" s="201"/>
      <c r="R398" s="201"/>
      <c r="S398" s="201"/>
      <c r="T398" s="201"/>
      <c r="U398" s="201"/>
      <c r="V398" s="201"/>
      <c r="W398" s="201"/>
      <c r="X398" s="201"/>
      <c r="Y398" s="201"/>
      <c r="Z398" s="201"/>
      <c r="AA398" s="201"/>
    </row>
    <row r="399">
      <c r="A399" s="201"/>
      <c r="B399" s="201"/>
      <c r="C399" s="201"/>
      <c r="D399" s="201"/>
      <c r="E399" s="201"/>
      <c r="F399" s="201"/>
      <c r="G399" s="201"/>
      <c r="H399" s="209"/>
      <c r="I399" s="209"/>
      <c r="J399" s="201"/>
      <c r="K399" s="210" t="s">
        <v>39</v>
      </c>
      <c r="L399" s="21"/>
      <c r="M399" s="201"/>
      <c r="N399" s="201"/>
      <c r="O399" s="201"/>
      <c r="P399" s="201"/>
      <c r="Q399" s="201"/>
      <c r="R399" s="201"/>
      <c r="S399" s="201"/>
      <c r="T399" s="201"/>
      <c r="U399" s="201"/>
      <c r="V399" s="201"/>
      <c r="W399" s="201"/>
      <c r="X399" s="201"/>
      <c r="Y399" s="201"/>
      <c r="Z399" s="201"/>
      <c r="AA399" s="201"/>
    </row>
    <row r="400">
      <c r="A400" s="201"/>
      <c r="B400" s="201"/>
      <c r="C400" s="201"/>
      <c r="D400" s="201"/>
      <c r="E400" s="201"/>
      <c r="F400" s="201"/>
      <c r="G400" s="201"/>
      <c r="H400" s="209"/>
      <c r="I400" s="209"/>
      <c r="J400" s="201"/>
      <c r="K400" s="210" t="s">
        <v>39</v>
      </c>
      <c r="L400" s="21"/>
      <c r="M400" s="201"/>
      <c r="N400" s="201"/>
      <c r="O400" s="201"/>
      <c r="P400" s="201"/>
      <c r="Q400" s="201"/>
      <c r="R400" s="201"/>
      <c r="S400" s="201"/>
      <c r="T400" s="201"/>
      <c r="U400" s="201"/>
      <c r="V400" s="201"/>
      <c r="W400" s="201"/>
      <c r="X400" s="201"/>
      <c r="Y400" s="201"/>
      <c r="Z400" s="201"/>
      <c r="AA400" s="201"/>
    </row>
    <row r="401">
      <c r="A401" s="201"/>
      <c r="B401" s="201"/>
      <c r="C401" s="201"/>
      <c r="D401" s="201"/>
      <c r="E401" s="201"/>
      <c r="F401" s="201"/>
      <c r="G401" s="201"/>
      <c r="H401" s="209"/>
      <c r="I401" s="209"/>
      <c r="J401" s="201"/>
      <c r="K401" s="210" t="s">
        <v>39</v>
      </c>
      <c r="L401" s="21"/>
      <c r="M401" s="201"/>
      <c r="N401" s="201"/>
      <c r="O401" s="201"/>
      <c r="P401" s="201"/>
      <c r="Q401" s="201"/>
      <c r="R401" s="201"/>
      <c r="S401" s="201"/>
      <c r="T401" s="201"/>
      <c r="U401" s="201"/>
      <c r="V401" s="201"/>
      <c r="W401" s="201"/>
      <c r="X401" s="201"/>
      <c r="Y401" s="201"/>
      <c r="Z401" s="201"/>
      <c r="AA401" s="201"/>
    </row>
    <row r="402">
      <c r="A402" s="201"/>
      <c r="B402" s="201"/>
      <c r="C402" s="201"/>
      <c r="D402" s="201"/>
      <c r="E402" s="201"/>
      <c r="F402" s="201"/>
      <c r="G402" s="201"/>
      <c r="H402" s="209"/>
      <c r="I402" s="209"/>
      <c r="J402" s="201"/>
      <c r="K402" s="210" t="s">
        <v>39</v>
      </c>
      <c r="L402" s="21"/>
      <c r="M402" s="201"/>
      <c r="N402" s="201"/>
      <c r="O402" s="201"/>
      <c r="P402" s="201"/>
      <c r="Q402" s="201"/>
      <c r="R402" s="201"/>
      <c r="S402" s="201"/>
      <c r="T402" s="201"/>
      <c r="U402" s="201"/>
      <c r="V402" s="201"/>
      <c r="W402" s="201"/>
      <c r="X402" s="201"/>
      <c r="Y402" s="201"/>
      <c r="Z402" s="201"/>
      <c r="AA402" s="201"/>
    </row>
    <row r="403">
      <c r="A403" s="201"/>
      <c r="B403" s="201"/>
      <c r="C403" s="201"/>
      <c r="D403" s="201"/>
      <c r="E403" s="201"/>
      <c r="F403" s="201"/>
      <c r="G403" s="201"/>
      <c r="H403" s="209"/>
      <c r="I403" s="209"/>
      <c r="J403" s="201"/>
      <c r="K403" s="210" t="s">
        <v>39</v>
      </c>
      <c r="L403" s="21"/>
      <c r="M403" s="201"/>
      <c r="N403" s="201"/>
      <c r="O403" s="201"/>
      <c r="P403" s="201"/>
      <c r="Q403" s="201"/>
      <c r="R403" s="201"/>
      <c r="S403" s="201"/>
      <c r="T403" s="201"/>
      <c r="U403" s="201"/>
      <c r="V403" s="201"/>
      <c r="W403" s="201"/>
      <c r="X403" s="201"/>
      <c r="Y403" s="201"/>
      <c r="Z403" s="201"/>
      <c r="AA403" s="201"/>
    </row>
    <row r="404">
      <c r="A404" s="201"/>
      <c r="B404" s="201"/>
      <c r="C404" s="201"/>
      <c r="D404" s="201"/>
      <c r="E404" s="201"/>
      <c r="F404" s="201"/>
      <c r="G404" s="201"/>
      <c r="H404" s="209"/>
      <c r="I404" s="209"/>
      <c r="J404" s="201"/>
      <c r="K404" s="210" t="s">
        <v>39</v>
      </c>
      <c r="L404" s="21"/>
      <c r="M404" s="201"/>
      <c r="N404" s="201"/>
      <c r="O404" s="201"/>
      <c r="P404" s="201"/>
      <c r="Q404" s="201"/>
      <c r="R404" s="201"/>
      <c r="S404" s="201"/>
      <c r="T404" s="201"/>
      <c r="U404" s="201"/>
      <c r="V404" s="201"/>
      <c r="W404" s="201"/>
      <c r="X404" s="201"/>
      <c r="Y404" s="201"/>
      <c r="Z404" s="201"/>
      <c r="AA404" s="201"/>
    </row>
    <row r="405">
      <c r="A405" s="201"/>
      <c r="B405" s="201"/>
      <c r="C405" s="201"/>
      <c r="D405" s="201"/>
      <c r="E405" s="201"/>
      <c r="F405" s="201"/>
      <c r="G405" s="201"/>
      <c r="H405" s="209"/>
      <c r="I405" s="209"/>
      <c r="J405" s="201"/>
      <c r="K405" s="210" t="s">
        <v>39</v>
      </c>
      <c r="L405" s="21"/>
      <c r="M405" s="201"/>
      <c r="N405" s="201"/>
      <c r="O405" s="201"/>
      <c r="P405" s="201"/>
      <c r="Q405" s="201"/>
      <c r="R405" s="201"/>
      <c r="S405" s="201"/>
      <c r="T405" s="201"/>
      <c r="U405" s="201"/>
      <c r="V405" s="201"/>
      <c r="W405" s="201"/>
      <c r="X405" s="201"/>
      <c r="Y405" s="201"/>
      <c r="Z405" s="201"/>
      <c r="AA405" s="201"/>
    </row>
    <row r="406">
      <c r="A406" s="201"/>
      <c r="B406" s="201"/>
      <c r="C406" s="201"/>
      <c r="D406" s="201"/>
      <c r="E406" s="201"/>
      <c r="F406" s="201"/>
      <c r="G406" s="201"/>
      <c r="H406" s="209"/>
      <c r="I406" s="209"/>
      <c r="J406" s="201"/>
      <c r="K406" s="210" t="s">
        <v>39</v>
      </c>
      <c r="L406" s="21"/>
      <c r="M406" s="201"/>
      <c r="N406" s="201"/>
      <c r="O406" s="201"/>
      <c r="P406" s="201"/>
      <c r="Q406" s="201"/>
      <c r="R406" s="201"/>
      <c r="S406" s="201"/>
      <c r="T406" s="201"/>
      <c r="U406" s="201"/>
      <c r="V406" s="201"/>
      <c r="W406" s="201"/>
      <c r="X406" s="201"/>
      <c r="Y406" s="201"/>
      <c r="Z406" s="201"/>
      <c r="AA406" s="201"/>
    </row>
    <row r="407">
      <c r="A407" s="201"/>
      <c r="B407" s="201"/>
      <c r="C407" s="201"/>
      <c r="D407" s="201"/>
      <c r="E407" s="201"/>
      <c r="F407" s="201"/>
      <c r="G407" s="201"/>
      <c r="H407" s="209"/>
      <c r="I407" s="209"/>
      <c r="J407" s="201"/>
      <c r="K407" s="210" t="s">
        <v>39</v>
      </c>
      <c r="L407" s="21"/>
      <c r="M407" s="201"/>
      <c r="N407" s="201"/>
      <c r="O407" s="201"/>
      <c r="P407" s="201"/>
      <c r="Q407" s="201"/>
      <c r="R407" s="201"/>
      <c r="S407" s="201"/>
      <c r="T407" s="201"/>
      <c r="U407" s="201"/>
      <c r="V407" s="201"/>
      <c r="W407" s="201"/>
      <c r="X407" s="201"/>
      <c r="Y407" s="201"/>
      <c r="Z407" s="201"/>
      <c r="AA407" s="201"/>
    </row>
    <row r="408">
      <c r="A408" s="201"/>
      <c r="B408" s="201"/>
      <c r="C408" s="201"/>
      <c r="D408" s="201"/>
      <c r="E408" s="201"/>
      <c r="F408" s="201"/>
      <c r="G408" s="201"/>
      <c r="H408" s="209"/>
      <c r="I408" s="209"/>
      <c r="J408" s="201"/>
      <c r="K408" s="210" t="s">
        <v>39</v>
      </c>
      <c r="L408" s="21"/>
      <c r="M408" s="201"/>
      <c r="N408" s="201"/>
      <c r="O408" s="201"/>
      <c r="P408" s="201"/>
      <c r="Q408" s="201"/>
      <c r="R408" s="201"/>
      <c r="S408" s="201"/>
      <c r="T408" s="201"/>
      <c r="U408" s="201"/>
      <c r="V408" s="201"/>
      <c r="W408" s="201"/>
      <c r="X408" s="201"/>
      <c r="Y408" s="201"/>
      <c r="Z408" s="201"/>
      <c r="AA408" s="201"/>
    </row>
    <row r="409">
      <c r="A409" s="201"/>
      <c r="B409" s="201"/>
      <c r="C409" s="201"/>
      <c r="D409" s="201"/>
      <c r="E409" s="201"/>
      <c r="F409" s="201"/>
      <c r="G409" s="201"/>
      <c r="H409" s="209"/>
      <c r="I409" s="209"/>
      <c r="J409" s="201"/>
      <c r="K409" s="210" t="s">
        <v>39</v>
      </c>
      <c r="L409" s="21"/>
      <c r="M409" s="201"/>
      <c r="N409" s="201"/>
      <c r="O409" s="201"/>
      <c r="P409" s="201"/>
      <c r="Q409" s="201"/>
      <c r="R409" s="201"/>
      <c r="S409" s="201"/>
      <c r="T409" s="201"/>
      <c r="U409" s="201"/>
      <c r="V409" s="201"/>
      <c r="W409" s="201"/>
      <c r="X409" s="201"/>
      <c r="Y409" s="201"/>
      <c r="Z409" s="201"/>
      <c r="AA409" s="201"/>
    </row>
    <row r="410">
      <c r="A410" s="201"/>
      <c r="B410" s="201"/>
      <c r="C410" s="201"/>
      <c r="D410" s="201"/>
      <c r="E410" s="201"/>
      <c r="F410" s="201"/>
      <c r="G410" s="201"/>
      <c r="H410" s="209"/>
      <c r="I410" s="209"/>
      <c r="J410" s="201"/>
      <c r="K410" s="210" t="s">
        <v>39</v>
      </c>
      <c r="L410" s="21"/>
      <c r="M410" s="201"/>
      <c r="N410" s="201"/>
      <c r="O410" s="201"/>
      <c r="P410" s="201"/>
      <c r="Q410" s="201"/>
      <c r="R410" s="201"/>
      <c r="S410" s="201"/>
      <c r="T410" s="201"/>
      <c r="U410" s="201"/>
      <c r="V410" s="201"/>
      <c r="W410" s="201"/>
      <c r="X410" s="201"/>
      <c r="Y410" s="201"/>
      <c r="Z410" s="201"/>
      <c r="AA410" s="201"/>
    </row>
    <row r="411">
      <c r="A411" s="201"/>
      <c r="B411" s="201"/>
      <c r="C411" s="201"/>
      <c r="D411" s="201"/>
      <c r="E411" s="201"/>
      <c r="F411" s="201"/>
      <c r="G411" s="201"/>
      <c r="H411" s="209"/>
      <c r="I411" s="209"/>
      <c r="J411" s="201"/>
      <c r="K411" s="210" t="s">
        <v>39</v>
      </c>
      <c r="L411" s="21"/>
      <c r="M411" s="201"/>
      <c r="N411" s="201"/>
      <c r="O411" s="201"/>
      <c r="P411" s="201"/>
      <c r="Q411" s="201"/>
      <c r="R411" s="201"/>
      <c r="S411" s="201"/>
      <c r="T411" s="201"/>
      <c r="U411" s="201"/>
      <c r="V411" s="201"/>
      <c r="W411" s="201"/>
      <c r="X411" s="201"/>
      <c r="Y411" s="201"/>
      <c r="Z411" s="201"/>
      <c r="AA411" s="201"/>
    </row>
    <row r="412">
      <c r="A412" s="201"/>
      <c r="B412" s="201"/>
      <c r="C412" s="201"/>
      <c r="D412" s="201"/>
      <c r="E412" s="201"/>
      <c r="F412" s="201"/>
      <c r="G412" s="201"/>
      <c r="H412" s="209"/>
      <c r="I412" s="209"/>
      <c r="J412" s="201"/>
      <c r="K412" s="210" t="s">
        <v>39</v>
      </c>
      <c r="L412" s="21"/>
      <c r="M412" s="201"/>
      <c r="N412" s="201"/>
      <c r="O412" s="201"/>
      <c r="P412" s="201"/>
      <c r="Q412" s="201"/>
      <c r="R412" s="201"/>
      <c r="S412" s="201"/>
      <c r="T412" s="201"/>
      <c r="U412" s="201"/>
      <c r="V412" s="201"/>
      <c r="W412" s="201"/>
      <c r="X412" s="201"/>
      <c r="Y412" s="201"/>
      <c r="Z412" s="201"/>
      <c r="AA412" s="201"/>
    </row>
    <row r="413">
      <c r="A413" s="201"/>
      <c r="B413" s="201"/>
      <c r="C413" s="201"/>
      <c r="D413" s="201"/>
      <c r="E413" s="201"/>
      <c r="F413" s="201"/>
      <c r="G413" s="201"/>
      <c r="H413" s="209"/>
      <c r="I413" s="209"/>
      <c r="J413" s="201"/>
      <c r="K413" s="210" t="s">
        <v>39</v>
      </c>
      <c r="L413" s="21"/>
      <c r="M413" s="201"/>
      <c r="N413" s="201"/>
      <c r="O413" s="201"/>
      <c r="P413" s="201"/>
      <c r="Q413" s="201"/>
      <c r="R413" s="201"/>
      <c r="S413" s="201"/>
      <c r="T413" s="201"/>
      <c r="U413" s="201"/>
      <c r="V413" s="201"/>
      <c r="W413" s="201"/>
      <c r="X413" s="201"/>
      <c r="Y413" s="201"/>
      <c r="Z413" s="201"/>
      <c r="AA413" s="201"/>
    </row>
    <row r="414">
      <c r="A414" s="201"/>
      <c r="B414" s="201"/>
      <c r="C414" s="201"/>
      <c r="D414" s="201"/>
      <c r="E414" s="201"/>
      <c r="F414" s="201"/>
      <c r="G414" s="201"/>
      <c r="H414" s="209"/>
      <c r="I414" s="209"/>
      <c r="J414" s="201"/>
      <c r="K414" s="210" t="s">
        <v>39</v>
      </c>
      <c r="L414" s="21"/>
      <c r="M414" s="201"/>
      <c r="N414" s="201"/>
      <c r="O414" s="201"/>
      <c r="P414" s="201"/>
      <c r="Q414" s="201"/>
      <c r="R414" s="201"/>
      <c r="S414" s="201"/>
      <c r="T414" s="201"/>
      <c r="U414" s="201"/>
      <c r="V414" s="201"/>
      <c r="W414" s="201"/>
      <c r="X414" s="201"/>
      <c r="Y414" s="201"/>
      <c r="Z414" s="201"/>
      <c r="AA414" s="201"/>
    </row>
    <row r="415">
      <c r="A415" s="201"/>
      <c r="B415" s="201"/>
      <c r="C415" s="201"/>
      <c r="D415" s="201"/>
      <c r="E415" s="201"/>
      <c r="F415" s="201"/>
      <c r="G415" s="201"/>
      <c r="H415" s="209"/>
      <c r="I415" s="209"/>
      <c r="J415" s="201"/>
      <c r="K415" s="210" t="s">
        <v>39</v>
      </c>
      <c r="L415" s="21"/>
      <c r="M415" s="201"/>
      <c r="N415" s="201"/>
      <c r="O415" s="201"/>
      <c r="P415" s="201"/>
      <c r="Q415" s="201"/>
      <c r="R415" s="201"/>
      <c r="S415" s="201"/>
      <c r="T415" s="201"/>
      <c r="U415" s="201"/>
      <c r="V415" s="201"/>
      <c r="W415" s="201"/>
      <c r="X415" s="201"/>
      <c r="Y415" s="201"/>
      <c r="Z415" s="201"/>
      <c r="AA415" s="201"/>
    </row>
    <row r="416">
      <c r="A416" s="201"/>
      <c r="B416" s="201"/>
      <c r="C416" s="201"/>
      <c r="D416" s="201"/>
      <c r="E416" s="201"/>
      <c r="F416" s="201"/>
      <c r="G416" s="201"/>
      <c r="H416" s="209"/>
      <c r="I416" s="209"/>
      <c r="J416" s="201"/>
      <c r="K416" s="210" t="s">
        <v>39</v>
      </c>
      <c r="L416" s="21"/>
      <c r="M416" s="201"/>
      <c r="N416" s="201"/>
      <c r="O416" s="201"/>
      <c r="P416" s="201"/>
      <c r="Q416" s="201"/>
      <c r="R416" s="201"/>
      <c r="S416" s="201"/>
      <c r="T416" s="201"/>
      <c r="U416" s="201"/>
      <c r="V416" s="201"/>
      <c r="W416" s="201"/>
      <c r="X416" s="201"/>
      <c r="Y416" s="201"/>
      <c r="Z416" s="201"/>
      <c r="AA416" s="201"/>
    </row>
    <row r="417">
      <c r="A417" s="201"/>
      <c r="B417" s="201"/>
      <c r="C417" s="201"/>
      <c r="D417" s="201"/>
      <c r="E417" s="201"/>
      <c r="F417" s="201"/>
      <c r="G417" s="201"/>
      <c r="H417" s="209"/>
      <c r="I417" s="209"/>
      <c r="J417" s="201"/>
      <c r="K417" s="210" t="s">
        <v>39</v>
      </c>
      <c r="L417" s="21"/>
      <c r="M417" s="201"/>
      <c r="N417" s="201"/>
      <c r="O417" s="201"/>
      <c r="P417" s="201"/>
      <c r="Q417" s="201"/>
      <c r="R417" s="201"/>
      <c r="S417" s="201"/>
      <c r="T417" s="201"/>
      <c r="U417" s="201"/>
      <c r="V417" s="201"/>
      <c r="W417" s="201"/>
      <c r="X417" s="201"/>
      <c r="Y417" s="201"/>
      <c r="Z417" s="201"/>
      <c r="AA417" s="201"/>
    </row>
    <row r="418">
      <c r="A418" s="201"/>
      <c r="B418" s="201"/>
      <c r="C418" s="201"/>
      <c r="D418" s="201"/>
      <c r="E418" s="201"/>
      <c r="F418" s="201"/>
      <c r="G418" s="201"/>
      <c r="H418" s="209"/>
      <c r="I418" s="209"/>
      <c r="J418" s="201"/>
      <c r="K418" s="210" t="s">
        <v>39</v>
      </c>
      <c r="L418" s="21"/>
      <c r="M418" s="201"/>
      <c r="N418" s="201"/>
      <c r="O418" s="201"/>
      <c r="P418" s="201"/>
      <c r="Q418" s="201"/>
      <c r="R418" s="201"/>
      <c r="S418" s="201"/>
      <c r="T418" s="201"/>
      <c r="U418" s="201"/>
      <c r="V418" s="201"/>
      <c r="W418" s="201"/>
      <c r="X418" s="201"/>
      <c r="Y418" s="201"/>
      <c r="Z418" s="201"/>
      <c r="AA418" s="201"/>
    </row>
    <row r="419">
      <c r="A419" s="201"/>
      <c r="B419" s="201"/>
      <c r="C419" s="201"/>
      <c r="D419" s="201"/>
      <c r="E419" s="201"/>
      <c r="F419" s="201"/>
      <c r="G419" s="201"/>
      <c r="H419" s="209"/>
      <c r="I419" s="209"/>
      <c r="J419" s="201"/>
      <c r="K419" s="210" t="s">
        <v>39</v>
      </c>
      <c r="L419" s="21"/>
      <c r="M419" s="201"/>
      <c r="N419" s="201"/>
      <c r="O419" s="201"/>
      <c r="P419" s="201"/>
      <c r="Q419" s="201"/>
      <c r="R419" s="201"/>
      <c r="S419" s="201"/>
      <c r="T419" s="201"/>
      <c r="U419" s="201"/>
      <c r="V419" s="201"/>
      <c r="W419" s="201"/>
      <c r="X419" s="201"/>
      <c r="Y419" s="201"/>
      <c r="Z419" s="201"/>
      <c r="AA419" s="201"/>
    </row>
    <row r="420">
      <c r="A420" s="201"/>
      <c r="B420" s="201"/>
      <c r="C420" s="201"/>
      <c r="D420" s="201"/>
      <c r="E420" s="201"/>
      <c r="F420" s="201"/>
      <c r="G420" s="201"/>
      <c r="H420" s="209"/>
      <c r="I420" s="209"/>
      <c r="J420" s="201"/>
      <c r="K420" s="210" t="s">
        <v>39</v>
      </c>
      <c r="L420" s="21"/>
      <c r="M420" s="201"/>
      <c r="N420" s="201"/>
      <c r="O420" s="201"/>
      <c r="P420" s="201"/>
      <c r="Q420" s="201"/>
      <c r="R420" s="201"/>
      <c r="S420" s="201"/>
      <c r="T420" s="201"/>
      <c r="U420" s="201"/>
      <c r="V420" s="201"/>
      <c r="W420" s="201"/>
      <c r="X420" s="201"/>
      <c r="Y420" s="201"/>
      <c r="Z420" s="201"/>
      <c r="AA420" s="201"/>
    </row>
    <row r="421">
      <c r="A421" s="201"/>
      <c r="B421" s="201"/>
      <c r="C421" s="201"/>
      <c r="D421" s="201"/>
      <c r="E421" s="201"/>
      <c r="F421" s="201"/>
      <c r="G421" s="201"/>
      <c r="H421" s="209"/>
      <c r="I421" s="209"/>
      <c r="J421" s="201"/>
      <c r="K421" s="210" t="s">
        <v>39</v>
      </c>
      <c r="L421" s="21"/>
      <c r="M421" s="201"/>
      <c r="N421" s="201"/>
      <c r="O421" s="201"/>
      <c r="P421" s="201"/>
      <c r="Q421" s="201"/>
      <c r="R421" s="201"/>
      <c r="S421" s="201"/>
      <c r="T421" s="201"/>
      <c r="U421" s="201"/>
      <c r="V421" s="201"/>
      <c r="W421" s="201"/>
      <c r="X421" s="201"/>
      <c r="Y421" s="201"/>
      <c r="Z421" s="201"/>
      <c r="AA421" s="201"/>
    </row>
    <row r="422">
      <c r="A422" s="201"/>
      <c r="B422" s="201"/>
      <c r="C422" s="201"/>
      <c r="D422" s="201"/>
      <c r="E422" s="201"/>
      <c r="F422" s="201"/>
      <c r="G422" s="201"/>
      <c r="H422" s="209"/>
      <c r="I422" s="209"/>
      <c r="J422" s="201"/>
      <c r="K422" s="210" t="s">
        <v>39</v>
      </c>
      <c r="L422" s="21"/>
      <c r="M422" s="201"/>
      <c r="N422" s="201"/>
      <c r="O422" s="201"/>
      <c r="P422" s="201"/>
      <c r="Q422" s="201"/>
      <c r="R422" s="201"/>
      <c r="S422" s="201"/>
      <c r="T422" s="201"/>
      <c r="U422" s="201"/>
      <c r="V422" s="201"/>
      <c r="W422" s="201"/>
      <c r="X422" s="201"/>
      <c r="Y422" s="201"/>
      <c r="Z422" s="201"/>
      <c r="AA422" s="201"/>
    </row>
    <row r="423">
      <c r="A423" s="201"/>
      <c r="B423" s="201"/>
      <c r="C423" s="201"/>
      <c r="D423" s="201"/>
      <c r="E423" s="201"/>
      <c r="F423" s="201"/>
      <c r="G423" s="201"/>
      <c r="H423" s="209"/>
      <c r="I423" s="209"/>
      <c r="J423" s="201"/>
      <c r="K423" s="210" t="s">
        <v>39</v>
      </c>
      <c r="L423" s="21"/>
      <c r="M423" s="201"/>
      <c r="N423" s="201"/>
      <c r="O423" s="201"/>
      <c r="P423" s="201"/>
      <c r="Q423" s="201"/>
      <c r="R423" s="201"/>
      <c r="S423" s="201"/>
      <c r="T423" s="201"/>
      <c r="U423" s="201"/>
      <c r="V423" s="201"/>
      <c r="W423" s="201"/>
      <c r="X423" s="201"/>
      <c r="Y423" s="201"/>
      <c r="Z423" s="201"/>
      <c r="AA423" s="201"/>
    </row>
    <row r="424">
      <c r="A424" s="201"/>
      <c r="B424" s="201"/>
      <c r="C424" s="201"/>
      <c r="D424" s="201"/>
      <c r="E424" s="201"/>
      <c r="F424" s="201"/>
      <c r="G424" s="201"/>
      <c r="H424" s="209"/>
      <c r="I424" s="209"/>
      <c r="J424" s="201"/>
      <c r="K424" s="210" t="s">
        <v>39</v>
      </c>
      <c r="L424" s="21"/>
      <c r="M424" s="201"/>
      <c r="N424" s="201"/>
      <c r="O424" s="201"/>
      <c r="P424" s="201"/>
      <c r="Q424" s="201"/>
      <c r="R424" s="201"/>
      <c r="S424" s="201"/>
      <c r="T424" s="201"/>
      <c r="U424" s="201"/>
      <c r="V424" s="201"/>
      <c r="W424" s="201"/>
      <c r="X424" s="201"/>
      <c r="Y424" s="201"/>
      <c r="Z424" s="201"/>
      <c r="AA424" s="201"/>
    </row>
    <row r="425">
      <c r="A425" s="201"/>
      <c r="B425" s="201"/>
      <c r="C425" s="201"/>
      <c r="D425" s="201"/>
      <c r="E425" s="201"/>
      <c r="F425" s="201"/>
      <c r="G425" s="201"/>
      <c r="H425" s="209"/>
      <c r="I425" s="209"/>
      <c r="J425" s="201"/>
      <c r="K425" s="210" t="s">
        <v>39</v>
      </c>
      <c r="L425" s="21"/>
      <c r="M425" s="201"/>
      <c r="N425" s="201"/>
      <c r="O425" s="201"/>
      <c r="P425" s="201"/>
      <c r="Q425" s="201"/>
      <c r="R425" s="201"/>
      <c r="S425" s="201"/>
      <c r="T425" s="201"/>
      <c r="U425" s="201"/>
      <c r="V425" s="201"/>
      <c r="W425" s="201"/>
      <c r="X425" s="201"/>
      <c r="Y425" s="201"/>
      <c r="Z425" s="201"/>
      <c r="AA425" s="201"/>
    </row>
    <row r="426">
      <c r="A426" s="201"/>
      <c r="B426" s="201"/>
      <c r="C426" s="201"/>
      <c r="D426" s="201"/>
      <c r="E426" s="201"/>
      <c r="F426" s="201"/>
      <c r="G426" s="201"/>
      <c r="H426" s="209"/>
      <c r="I426" s="209"/>
      <c r="J426" s="201"/>
      <c r="K426" s="210" t="s">
        <v>39</v>
      </c>
      <c r="L426" s="21"/>
      <c r="M426" s="201"/>
      <c r="N426" s="201"/>
      <c r="O426" s="201"/>
      <c r="P426" s="201"/>
      <c r="Q426" s="201"/>
      <c r="R426" s="201"/>
      <c r="S426" s="201"/>
      <c r="T426" s="201"/>
      <c r="U426" s="201"/>
      <c r="V426" s="201"/>
      <c r="W426" s="201"/>
      <c r="X426" s="201"/>
      <c r="Y426" s="201"/>
      <c r="Z426" s="201"/>
      <c r="AA426" s="201"/>
    </row>
    <row r="427">
      <c r="A427" s="201"/>
      <c r="B427" s="201"/>
      <c r="C427" s="201"/>
      <c r="D427" s="201"/>
      <c r="E427" s="201"/>
      <c r="F427" s="201"/>
      <c r="G427" s="201"/>
      <c r="H427" s="209"/>
      <c r="I427" s="209"/>
      <c r="J427" s="201"/>
      <c r="K427" s="210" t="s">
        <v>39</v>
      </c>
      <c r="L427" s="21"/>
      <c r="M427" s="201"/>
      <c r="N427" s="201"/>
      <c r="O427" s="201"/>
      <c r="P427" s="201"/>
      <c r="Q427" s="201"/>
      <c r="R427" s="201"/>
      <c r="S427" s="201"/>
      <c r="T427" s="201"/>
      <c r="U427" s="201"/>
      <c r="V427" s="201"/>
      <c r="W427" s="201"/>
      <c r="X427" s="201"/>
      <c r="Y427" s="201"/>
      <c r="Z427" s="201"/>
      <c r="AA427" s="201"/>
    </row>
    <row r="428">
      <c r="A428" s="201"/>
      <c r="B428" s="201"/>
      <c r="C428" s="201"/>
      <c r="D428" s="201"/>
      <c r="E428" s="201"/>
      <c r="F428" s="201"/>
      <c r="G428" s="201"/>
      <c r="H428" s="209"/>
      <c r="I428" s="209"/>
      <c r="J428" s="201"/>
      <c r="K428" s="210" t="s">
        <v>39</v>
      </c>
      <c r="L428" s="21"/>
      <c r="M428" s="201"/>
      <c r="N428" s="201"/>
      <c r="O428" s="201"/>
      <c r="P428" s="201"/>
      <c r="Q428" s="201"/>
      <c r="R428" s="201"/>
      <c r="S428" s="201"/>
      <c r="T428" s="201"/>
      <c r="U428" s="201"/>
      <c r="V428" s="201"/>
      <c r="W428" s="201"/>
      <c r="X428" s="201"/>
      <c r="Y428" s="201"/>
      <c r="Z428" s="201"/>
      <c r="AA428" s="201"/>
    </row>
    <row r="429">
      <c r="A429" s="201"/>
      <c r="B429" s="201"/>
      <c r="C429" s="201"/>
      <c r="D429" s="201"/>
      <c r="E429" s="201"/>
      <c r="F429" s="201"/>
      <c r="G429" s="201"/>
      <c r="H429" s="209"/>
      <c r="I429" s="209"/>
      <c r="J429" s="201"/>
      <c r="K429" s="210" t="s">
        <v>39</v>
      </c>
      <c r="L429" s="21"/>
      <c r="M429" s="201"/>
      <c r="N429" s="201"/>
      <c r="O429" s="201"/>
      <c r="P429" s="201"/>
      <c r="Q429" s="201"/>
      <c r="R429" s="201"/>
      <c r="S429" s="201"/>
      <c r="T429" s="201"/>
      <c r="U429" s="201"/>
      <c r="V429" s="201"/>
      <c r="W429" s="201"/>
      <c r="X429" s="201"/>
      <c r="Y429" s="201"/>
      <c r="Z429" s="201"/>
      <c r="AA429" s="201"/>
    </row>
    <row r="430">
      <c r="A430" s="201"/>
      <c r="B430" s="201"/>
      <c r="C430" s="201"/>
      <c r="D430" s="201"/>
      <c r="E430" s="201"/>
      <c r="F430" s="201"/>
      <c r="G430" s="201"/>
      <c r="H430" s="209"/>
      <c r="I430" s="209"/>
      <c r="J430" s="201"/>
      <c r="K430" s="210" t="s">
        <v>39</v>
      </c>
      <c r="L430" s="21"/>
      <c r="M430" s="201"/>
      <c r="N430" s="201"/>
      <c r="O430" s="201"/>
      <c r="P430" s="201"/>
      <c r="Q430" s="201"/>
      <c r="R430" s="201"/>
      <c r="S430" s="201"/>
      <c r="T430" s="201"/>
      <c r="U430" s="201"/>
      <c r="V430" s="201"/>
      <c r="W430" s="201"/>
      <c r="X430" s="201"/>
      <c r="Y430" s="201"/>
      <c r="Z430" s="201"/>
      <c r="AA430" s="201"/>
    </row>
    <row r="431">
      <c r="A431" s="201"/>
      <c r="B431" s="201"/>
      <c r="C431" s="201"/>
      <c r="D431" s="201"/>
      <c r="E431" s="201"/>
      <c r="F431" s="201"/>
      <c r="G431" s="201"/>
      <c r="H431" s="209"/>
      <c r="I431" s="209"/>
      <c r="J431" s="201"/>
      <c r="K431" s="210" t="s">
        <v>39</v>
      </c>
      <c r="L431" s="21"/>
      <c r="M431" s="201"/>
      <c r="N431" s="201"/>
      <c r="O431" s="201"/>
      <c r="P431" s="201"/>
      <c r="Q431" s="201"/>
      <c r="R431" s="201"/>
      <c r="S431" s="201"/>
      <c r="T431" s="201"/>
      <c r="U431" s="201"/>
      <c r="V431" s="201"/>
      <c r="W431" s="201"/>
      <c r="X431" s="201"/>
      <c r="Y431" s="201"/>
      <c r="Z431" s="201"/>
      <c r="AA431" s="201"/>
    </row>
    <row r="432">
      <c r="A432" s="201"/>
      <c r="B432" s="201"/>
      <c r="C432" s="201"/>
      <c r="D432" s="201"/>
      <c r="E432" s="201"/>
      <c r="F432" s="201"/>
      <c r="G432" s="201"/>
      <c r="H432" s="209"/>
      <c r="I432" s="209"/>
      <c r="J432" s="201"/>
      <c r="K432" s="210" t="s">
        <v>39</v>
      </c>
      <c r="L432" s="21"/>
      <c r="M432" s="201"/>
      <c r="N432" s="201"/>
      <c r="O432" s="201"/>
      <c r="P432" s="201"/>
      <c r="Q432" s="201"/>
      <c r="R432" s="201"/>
      <c r="S432" s="201"/>
      <c r="T432" s="201"/>
      <c r="U432" s="201"/>
      <c r="V432" s="201"/>
      <c r="W432" s="201"/>
      <c r="X432" s="201"/>
      <c r="Y432" s="201"/>
      <c r="Z432" s="201"/>
      <c r="AA432" s="201"/>
    </row>
    <row r="433">
      <c r="A433" s="201"/>
      <c r="B433" s="201"/>
      <c r="C433" s="201"/>
      <c r="D433" s="201"/>
      <c r="E433" s="201"/>
      <c r="F433" s="201"/>
      <c r="G433" s="201"/>
      <c r="H433" s="209"/>
      <c r="I433" s="209"/>
      <c r="J433" s="201"/>
      <c r="K433" s="210" t="s">
        <v>39</v>
      </c>
      <c r="L433" s="21"/>
      <c r="M433" s="201"/>
      <c r="N433" s="201"/>
      <c r="O433" s="201"/>
      <c r="P433" s="201"/>
      <c r="Q433" s="201"/>
      <c r="R433" s="201"/>
      <c r="S433" s="201"/>
      <c r="T433" s="201"/>
      <c r="U433" s="201"/>
      <c r="V433" s="201"/>
      <c r="W433" s="201"/>
      <c r="X433" s="201"/>
      <c r="Y433" s="201"/>
      <c r="Z433" s="201"/>
      <c r="AA433" s="201"/>
    </row>
    <row r="434">
      <c r="A434" s="201"/>
      <c r="B434" s="201"/>
      <c r="C434" s="201"/>
      <c r="D434" s="201"/>
      <c r="E434" s="201"/>
      <c r="F434" s="201"/>
      <c r="G434" s="201"/>
      <c r="H434" s="209"/>
      <c r="I434" s="209"/>
      <c r="J434" s="201"/>
      <c r="K434" s="210" t="s">
        <v>39</v>
      </c>
      <c r="L434" s="21"/>
      <c r="M434" s="201"/>
      <c r="N434" s="201"/>
      <c r="O434" s="201"/>
      <c r="P434" s="201"/>
      <c r="Q434" s="201"/>
      <c r="R434" s="201"/>
      <c r="S434" s="201"/>
      <c r="T434" s="201"/>
      <c r="U434" s="201"/>
      <c r="V434" s="201"/>
      <c r="W434" s="201"/>
      <c r="X434" s="201"/>
      <c r="Y434" s="201"/>
      <c r="Z434" s="201"/>
      <c r="AA434" s="201"/>
    </row>
    <row r="435">
      <c r="A435" s="201"/>
      <c r="B435" s="201"/>
      <c r="C435" s="201"/>
      <c r="D435" s="201"/>
      <c r="E435" s="201"/>
      <c r="F435" s="201"/>
      <c r="G435" s="201"/>
      <c r="H435" s="209"/>
      <c r="I435" s="209"/>
      <c r="J435" s="201"/>
      <c r="K435" s="210" t="s">
        <v>39</v>
      </c>
      <c r="L435" s="21"/>
      <c r="M435" s="201"/>
      <c r="N435" s="201"/>
      <c r="O435" s="201"/>
      <c r="P435" s="201"/>
      <c r="Q435" s="201"/>
      <c r="R435" s="201"/>
      <c r="S435" s="201"/>
      <c r="T435" s="201"/>
      <c r="U435" s="201"/>
      <c r="V435" s="201"/>
      <c r="W435" s="201"/>
      <c r="X435" s="201"/>
      <c r="Y435" s="201"/>
      <c r="Z435" s="201"/>
      <c r="AA435" s="201"/>
    </row>
    <row r="436">
      <c r="A436" s="201"/>
      <c r="B436" s="201"/>
      <c r="C436" s="201"/>
      <c r="D436" s="201"/>
      <c r="E436" s="201"/>
      <c r="F436" s="201"/>
      <c r="G436" s="201"/>
      <c r="H436" s="209"/>
      <c r="I436" s="209"/>
      <c r="J436" s="201"/>
      <c r="K436" s="210" t="s">
        <v>39</v>
      </c>
      <c r="L436" s="21"/>
      <c r="M436" s="201"/>
      <c r="N436" s="201"/>
      <c r="O436" s="201"/>
      <c r="P436" s="201"/>
      <c r="Q436" s="201"/>
      <c r="R436" s="201"/>
      <c r="S436" s="201"/>
      <c r="T436" s="201"/>
      <c r="U436" s="201"/>
      <c r="V436" s="201"/>
      <c r="W436" s="201"/>
      <c r="X436" s="201"/>
      <c r="Y436" s="201"/>
      <c r="Z436" s="201"/>
      <c r="AA436" s="201"/>
    </row>
    <row r="437">
      <c r="A437" s="201"/>
      <c r="B437" s="201"/>
      <c r="C437" s="201"/>
      <c r="D437" s="201"/>
      <c r="E437" s="201"/>
      <c r="F437" s="201"/>
      <c r="G437" s="201"/>
      <c r="H437" s="209"/>
      <c r="I437" s="209"/>
      <c r="J437" s="201"/>
      <c r="K437" s="210" t="s">
        <v>39</v>
      </c>
      <c r="L437" s="21"/>
      <c r="M437" s="201"/>
      <c r="N437" s="201"/>
      <c r="O437" s="201"/>
      <c r="P437" s="201"/>
      <c r="Q437" s="201"/>
      <c r="R437" s="201"/>
      <c r="S437" s="201"/>
      <c r="T437" s="201"/>
      <c r="U437" s="201"/>
      <c r="V437" s="201"/>
      <c r="W437" s="201"/>
      <c r="X437" s="201"/>
      <c r="Y437" s="201"/>
      <c r="Z437" s="201"/>
      <c r="AA437" s="201"/>
    </row>
    <row r="438">
      <c r="A438" s="201"/>
      <c r="B438" s="201"/>
      <c r="C438" s="201"/>
      <c r="D438" s="201"/>
      <c r="E438" s="201"/>
      <c r="F438" s="201"/>
      <c r="G438" s="201"/>
      <c r="H438" s="209"/>
      <c r="I438" s="209"/>
      <c r="J438" s="201"/>
      <c r="K438" s="210" t="s">
        <v>39</v>
      </c>
      <c r="L438" s="21"/>
      <c r="M438" s="201"/>
      <c r="N438" s="201"/>
      <c r="O438" s="201"/>
      <c r="P438" s="201"/>
      <c r="Q438" s="201"/>
      <c r="R438" s="201"/>
      <c r="S438" s="201"/>
      <c r="T438" s="201"/>
      <c r="U438" s="201"/>
      <c r="V438" s="201"/>
      <c r="W438" s="201"/>
      <c r="X438" s="201"/>
      <c r="Y438" s="201"/>
      <c r="Z438" s="201"/>
      <c r="AA438" s="201"/>
    </row>
    <row r="439">
      <c r="A439" s="201"/>
      <c r="B439" s="201"/>
      <c r="C439" s="201"/>
      <c r="D439" s="201"/>
      <c r="E439" s="201"/>
      <c r="F439" s="201"/>
      <c r="G439" s="201"/>
      <c r="H439" s="209"/>
      <c r="I439" s="209"/>
      <c r="J439" s="201"/>
      <c r="K439" s="210" t="s">
        <v>39</v>
      </c>
      <c r="L439" s="21"/>
      <c r="M439" s="201"/>
      <c r="N439" s="201"/>
      <c r="O439" s="201"/>
      <c r="P439" s="201"/>
      <c r="Q439" s="201"/>
      <c r="R439" s="201"/>
      <c r="S439" s="201"/>
      <c r="T439" s="201"/>
      <c r="U439" s="201"/>
      <c r="V439" s="201"/>
      <c r="W439" s="201"/>
      <c r="X439" s="201"/>
      <c r="Y439" s="201"/>
      <c r="Z439" s="201"/>
      <c r="AA439" s="201"/>
    </row>
    <row r="440">
      <c r="A440" s="201"/>
      <c r="B440" s="201"/>
      <c r="C440" s="201"/>
      <c r="D440" s="201"/>
      <c r="E440" s="201"/>
      <c r="F440" s="201"/>
      <c r="G440" s="201"/>
      <c r="H440" s="209"/>
      <c r="I440" s="209"/>
      <c r="J440" s="201"/>
      <c r="K440" s="210" t="s">
        <v>39</v>
      </c>
      <c r="L440" s="21"/>
      <c r="M440" s="201"/>
      <c r="N440" s="201"/>
      <c r="O440" s="201"/>
      <c r="P440" s="201"/>
      <c r="Q440" s="201"/>
      <c r="R440" s="201"/>
      <c r="S440" s="201"/>
      <c r="T440" s="201"/>
      <c r="U440" s="201"/>
      <c r="V440" s="201"/>
      <c r="W440" s="201"/>
      <c r="X440" s="201"/>
      <c r="Y440" s="201"/>
      <c r="Z440" s="201"/>
      <c r="AA440" s="201"/>
    </row>
    <row r="441">
      <c r="A441" s="201"/>
      <c r="B441" s="201"/>
      <c r="C441" s="201"/>
      <c r="D441" s="201"/>
      <c r="E441" s="201"/>
      <c r="F441" s="201"/>
      <c r="G441" s="201"/>
      <c r="H441" s="209"/>
      <c r="I441" s="209"/>
      <c r="J441" s="201"/>
      <c r="K441" s="210" t="s">
        <v>39</v>
      </c>
      <c r="L441" s="21"/>
      <c r="M441" s="201"/>
      <c r="N441" s="201"/>
      <c r="O441" s="201"/>
      <c r="P441" s="201"/>
      <c r="Q441" s="201"/>
      <c r="R441" s="201"/>
      <c r="S441" s="201"/>
      <c r="T441" s="201"/>
      <c r="U441" s="201"/>
      <c r="V441" s="201"/>
      <c r="W441" s="201"/>
      <c r="X441" s="201"/>
      <c r="Y441" s="201"/>
      <c r="Z441" s="201"/>
      <c r="AA441" s="201"/>
    </row>
    <row r="442">
      <c r="A442" s="201"/>
      <c r="B442" s="201"/>
      <c r="C442" s="201"/>
      <c r="D442" s="201"/>
      <c r="E442" s="201"/>
      <c r="F442" s="201"/>
      <c r="G442" s="201"/>
      <c r="H442" s="209"/>
      <c r="I442" s="209"/>
      <c r="J442" s="201"/>
      <c r="K442" s="210" t="s">
        <v>39</v>
      </c>
      <c r="L442" s="21"/>
      <c r="M442" s="201"/>
      <c r="N442" s="201"/>
      <c r="O442" s="201"/>
      <c r="P442" s="201"/>
      <c r="Q442" s="201"/>
      <c r="R442" s="201"/>
      <c r="S442" s="201"/>
      <c r="T442" s="201"/>
      <c r="U442" s="201"/>
      <c r="V442" s="201"/>
      <c r="W442" s="201"/>
      <c r="X442" s="201"/>
      <c r="Y442" s="201"/>
      <c r="Z442" s="201"/>
      <c r="AA442" s="201"/>
    </row>
    <row r="443">
      <c r="A443" s="201"/>
      <c r="B443" s="201"/>
      <c r="C443" s="201"/>
      <c r="D443" s="201"/>
      <c r="E443" s="201"/>
      <c r="F443" s="201"/>
      <c r="G443" s="201"/>
      <c r="H443" s="209"/>
      <c r="I443" s="209"/>
      <c r="J443" s="201"/>
      <c r="K443" s="210" t="s">
        <v>39</v>
      </c>
      <c r="L443" s="21"/>
      <c r="M443" s="201"/>
      <c r="N443" s="201"/>
      <c r="O443" s="201"/>
      <c r="P443" s="201"/>
      <c r="Q443" s="201"/>
      <c r="R443" s="201"/>
      <c r="S443" s="201"/>
      <c r="T443" s="201"/>
      <c r="U443" s="201"/>
      <c r="V443" s="201"/>
      <c r="W443" s="201"/>
      <c r="X443" s="201"/>
      <c r="Y443" s="201"/>
      <c r="Z443" s="201"/>
      <c r="AA443" s="201"/>
    </row>
    <row r="444">
      <c r="A444" s="201"/>
      <c r="B444" s="201"/>
      <c r="C444" s="201"/>
      <c r="D444" s="201"/>
      <c r="E444" s="201"/>
      <c r="F444" s="201"/>
      <c r="G444" s="201"/>
      <c r="H444" s="209"/>
      <c r="I444" s="209"/>
      <c r="J444" s="201"/>
      <c r="K444" s="210" t="s">
        <v>39</v>
      </c>
      <c r="L444" s="21"/>
      <c r="M444" s="201"/>
      <c r="N444" s="201"/>
      <c r="O444" s="201"/>
      <c r="P444" s="201"/>
      <c r="Q444" s="201"/>
      <c r="R444" s="201"/>
      <c r="S444" s="201"/>
      <c r="T444" s="201"/>
      <c r="U444" s="201"/>
      <c r="V444" s="201"/>
      <c r="W444" s="201"/>
      <c r="X444" s="201"/>
      <c r="Y444" s="201"/>
      <c r="Z444" s="201"/>
      <c r="AA444" s="201"/>
    </row>
    <row r="445">
      <c r="A445" s="201"/>
      <c r="B445" s="201"/>
      <c r="C445" s="201"/>
      <c r="D445" s="201"/>
      <c r="E445" s="201"/>
      <c r="F445" s="201"/>
      <c r="G445" s="201"/>
      <c r="H445" s="209"/>
      <c r="I445" s="209"/>
      <c r="J445" s="201"/>
      <c r="K445" s="210" t="s">
        <v>39</v>
      </c>
      <c r="L445" s="21"/>
      <c r="M445" s="201"/>
      <c r="N445" s="201"/>
      <c r="O445" s="201"/>
      <c r="P445" s="201"/>
      <c r="Q445" s="201"/>
      <c r="R445" s="201"/>
      <c r="S445" s="201"/>
      <c r="T445" s="201"/>
      <c r="U445" s="201"/>
      <c r="V445" s="201"/>
      <c r="W445" s="201"/>
      <c r="X445" s="201"/>
      <c r="Y445" s="201"/>
      <c r="Z445" s="201"/>
      <c r="AA445" s="201"/>
    </row>
    <row r="446">
      <c r="A446" s="201"/>
      <c r="B446" s="201"/>
      <c r="C446" s="201"/>
      <c r="D446" s="201"/>
      <c r="E446" s="201"/>
      <c r="F446" s="201"/>
      <c r="G446" s="201"/>
      <c r="H446" s="209"/>
      <c r="I446" s="209"/>
      <c r="J446" s="201"/>
      <c r="K446" s="210" t="s">
        <v>39</v>
      </c>
      <c r="L446" s="21"/>
      <c r="M446" s="201"/>
      <c r="N446" s="201"/>
      <c r="O446" s="201"/>
      <c r="P446" s="201"/>
      <c r="Q446" s="201"/>
      <c r="R446" s="201"/>
      <c r="S446" s="201"/>
      <c r="T446" s="201"/>
      <c r="U446" s="201"/>
      <c r="V446" s="201"/>
      <c r="W446" s="201"/>
      <c r="X446" s="201"/>
      <c r="Y446" s="201"/>
      <c r="Z446" s="201"/>
      <c r="AA446" s="201"/>
    </row>
    <row r="447">
      <c r="A447" s="201"/>
      <c r="B447" s="201"/>
      <c r="C447" s="201"/>
      <c r="D447" s="201"/>
      <c r="E447" s="201"/>
      <c r="F447" s="201"/>
      <c r="G447" s="201"/>
      <c r="H447" s="209"/>
      <c r="I447" s="209"/>
      <c r="J447" s="201"/>
      <c r="K447" s="210" t="s">
        <v>39</v>
      </c>
      <c r="L447" s="21"/>
      <c r="M447" s="201"/>
      <c r="N447" s="201"/>
      <c r="O447" s="201"/>
      <c r="P447" s="201"/>
      <c r="Q447" s="201"/>
      <c r="R447" s="201"/>
      <c r="S447" s="201"/>
      <c r="T447" s="201"/>
      <c r="U447" s="201"/>
      <c r="V447" s="201"/>
      <c r="W447" s="201"/>
      <c r="X447" s="201"/>
      <c r="Y447" s="201"/>
      <c r="Z447" s="201"/>
      <c r="AA447" s="201"/>
    </row>
    <row r="448">
      <c r="A448" s="201"/>
      <c r="B448" s="201"/>
      <c r="C448" s="201"/>
      <c r="D448" s="201"/>
      <c r="E448" s="201"/>
      <c r="F448" s="201"/>
      <c r="G448" s="201"/>
      <c r="H448" s="209"/>
      <c r="I448" s="209"/>
      <c r="J448" s="201"/>
      <c r="K448" s="210" t="s">
        <v>39</v>
      </c>
      <c r="L448" s="21"/>
      <c r="M448" s="201"/>
      <c r="N448" s="201"/>
      <c r="O448" s="201"/>
      <c r="P448" s="201"/>
      <c r="Q448" s="201"/>
      <c r="R448" s="201"/>
      <c r="S448" s="201"/>
      <c r="T448" s="201"/>
      <c r="U448" s="201"/>
      <c r="V448" s="201"/>
      <c r="W448" s="201"/>
      <c r="X448" s="201"/>
      <c r="Y448" s="201"/>
      <c r="Z448" s="201"/>
      <c r="AA448" s="201"/>
    </row>
    <row r="449">
      <c r="A449" s="201"/>
      <c r="B449" s="201"/>
      <c r="C449" s="201"/>
      <c r="D449" s="201"/>
      <c r="E449" s="201"/>
      <c r="F449" s="201"/>
      <c r="G449" s="201"/>
      <c r="H449" s="209"/>
      <c r="I449" s="209"/>
      <c r="J449" s="201"/>
      <c r="K449" s="210" t="s">
        <v>39</v>
      </c>
      <c r="L449" s="21"/>
      <c r="M449" s="201"/>
      <c r="N449" s="201"/>
      <c r="O449" s="201"/>
      <c r="P449" s="201"/>
      <c r="Q449" s="201"/>
      <c r="R449" s="201"/>
      <c r="S449" s="201"/>
      <c r="T449" s="201"/>
      <c r="U449" s="201"/>
      <c r="V449" s="201"/>
      <c r="W449" s="201"/>
      <c r="X449" s="201"/>
      <c r="Y449" s="201"/>
      <c r="Z449" s="201"/>
      <c r="AA449" s="201"/>
    </row>
    <row r="450">
      <c r="A450" s="201"/>
      <c r="B450" s="201"/>
      <c r="C450" s="201"/>
      <c r="D450" s="201"/>
      <c r="E450" s="201"/>
      <c r="F450" s="201"/>
      <c r="G450" s="201"/>
      <c r="H450" s="209"/>
      <c r="I450" s="209"/>
      <c r="J450" s="201"/>
      <c r="K450" s="210" t="s">
        <v>39</v>
      </c>
      <c r="L450" s="21"/>
      <c r="M450" s="201"/>
      <c r="N450" s="201"/>
      <c r="O450" s="201"/>
      <c r="P450" s="201"/>
      <c r="Q450" s="201"/>
      <c r="R450" s="201"/>
      <c r="S450" s="201"/>
      <c r="T450" s="201"/>
      <c r="U450" s="201"/>
      <c r="V450" s="201"/>
      <c r="W450" s="201"/>
      <c r="X450" s="201"/>
      <c r="Y450" s="201"/>
      <c r="Z450" s="201"/>
      <c r="AA450" s="201"/>
    </row>
    <row r="451">
      <c r="A451" s="201"/>
      <c r="B451" s="201"/>
      <c r="C451" s="201"/>
      <c r="D451" s="201"/>
      <c r="E451" s="201"/>
      <c r="F451" s="201"/>
      <c r="G451" s="201"/>
      <c r="H451" s="209"/>
      <c r="I451" s="209"/>
      <c r="J451" s="201"/>
      <c r="K451" s="210" t="s">
        <v>39</v>
      </c>
      <c r="L451" s="21"/>
      <c r="M451" s="201"/>
      <c r="N451" s="201"/>
      <c r="O451" s="201"/>
      <c r="P451" s="201"/>
      <c r="Q451" s="201"/>
      <c r="R451" s="201"/>
      <c r="S451" s="201"/>
      <c r="T451" s="201"/>
      <c r="U451" s="201"/>
      <c r="V451" s="201"/>
      <c r="W451" s="201"/>
      <c r="X451" s="201"/>
      <c r="Y451" s="201"/>
      <c r="Z451" s="201"/>
      <c r="AA451" s="201"/>
    </row>
    <row r="452">
      <c r="A452" s="201"/>
      <c r="B452" s="201"/>
      <c r="C452" s="201"/>
      <c r="D452" s="201"/>
      <c r="E452" s="201"/>
      <c r="F452" s="201"/>
      <c r="G452" s="201"/>
      <c r="H452" s="209"/>
      <c r="I452" s="209"/>
      <c r="J452" s="201"/>
      <c r="K452" s="210" t="s">
        <v>39</v>
      </c>
      <c r="L452" s="21"/>
      <c r="M452" s="201"/>
      <c r="N452" s="201"/>
      <c r="O452" s="201"/>
      <c r="P452" s="201"/>
      <c r="Q452" s="201"/>
      <c r="R452" s="201"/>
      <c r="S452" s="201"/>
      <c r="T452" s="201"/>
      <c r="U452" s="201"/>
      <c r="V452" s="201"/>
      <c r="W452" s="201"/>
      <c r="X452" s="201"/>
      <c r="Y452" s="201"/>
      <c r="Z452" s="201"/>
      <c r="AA452" s="201"/>
    </row>
    <row r="453">
      <c r="A453" s="201"/>
      <c r="B453" s="201"/>
      <c r="C453" s="201"/>
      <c r="D453" s="201"/>
      <c r="E453" s="201"/>
      <c r="F453" s="201"/>
      <c r="G453" s="201"/>
      <c r="H453" s="209"/>
      <c r="I453" s="209"/>
      <c r="J453" s="201"/>
      <c r="K453" s="210" t="s">
        <v>39</v>
      </c>
      <c r="L453" s="21"/>
      <c r="M453" s="201"/>
      <c r="N453" s="201"/>
      <c r="O453" s="201"/>
      <c r="P453" s="201"/>
      <c r="Q453" s="201"/>
      <c r="R453" s="201"/>
      <c r="S453" s="201"/>
      <c r="T453" s="201"/>
      <c r="U453" s="201"/>
      <c r="V453" s="201"/>
      <c r="W453" s="201"/>
      <c r="X453" s="201"/>
      <c r="Y453" s="201"/>
      <c r="Z453" s="201"/>
      <c r="AA453" s="201"/>
    </row>
    <row r="454">
      <c r="A454" s="201"/>
      <c r="B454" s="201"/>
      <c r="C454" s="201"/>
      <c r="D454" s="201"/>
      <c r="E454" s="201"/>
      <c r="F454" s="201"/>
      <c r="G454" s="201"/>
      <c r="H454" s="209"/>
      <c r="I454" s="209"/>
      <c r="J454" s="201"/>
      <c r="K454" s="210" t="s">
        <v>39</v>
      </c>
      <c r="L454" s="21"/>
      <c r="M454" s="201"/>
      <c r="N454" s="201"/>
      <c r="O454" s="201"/>
      <c r="P454" s="201"/>
      <c r="Q454" s="201"/>
      <c r="R454" s="201"/>
      <c r="S454" s="201"/>
      <c r="T454" s="201"/>
      <c r="U454" s="201"/>
      <c r="V454" s="201"/>
      <c r="W454" s="201"/>
      <c r="X454" s="201"/>
      <c r="Y454" s="201"/>
      <c r="Z454" s="201"/>
      <c r="AA454" s="201"/>
    </row>
    <row r="455">
      <c r="A455" s="201"/>
      <c r="B455" s="201"/>
      <c r="C455" s="201"/>
      <c r="D455" s="201"/>
      <c r="E455" s="201"/>
      <c r="F455" s="201"/>
      <c r="G455" s="201"/>
      <c r="H455" s="209"/>
      <c r="I455" s="209"/>
      <c r="J455" s="201"/>
      <c r="K455" s="210" t="s">
        <v>39</v>
      </c>
      <c r="L455" s="21"/>
      <c r="M455" s="201"/>
      <c r="N455" s="201"/>
      <c r="O455" s="201"/>
      <c r="P455" s="201"/>
      <c r="Q455" s="201"/>
      <c r="R455" s="201"/>
      <c r="S455" s="201"/>
      <c r="T455" s="201"/>
      <c r="U455" s="201"/>
      <c r="V455" s="201"/>
      <c r="W455" s="201"/>
      <c r="X455" s="201"/>
      <c r="Y455" s="201"/>
      <c r="Z455" s="201"/>
      <c r="AA455" s="201"/>
    </row>
    <row r="456">
      <c r="A456" s="201"/>
      <c r="B456" s="201"/>
      <c r="C456" s="201"/>
      <c r="D456" s="201"/>
      <c r="E456" s="201"/>
      <c r="F456" s="201"/>
      <c r="G456" s="201"/>
      <c r="H456" s="209"/>
      <c r="I456" s="209"/>
      <c r="J456" s="201"/>
      <c r="K456" s="210" t="s">
        <v>39</v>
      </c>
      <c r="L456" s="21"/>
      <c r="M456" s="201"/>
      <c r="N456" s="201"/>
      <c r="O456" s="201"/>
      <c r="P456" s="201"/>
      <c r="Q456" s="201"/>
      <c r="R456" s="201"/>
      <c r="S456" s="201"/>
      <c r="T456" s="201"/>
      <c r="U456" s="201"/>
      <c r="V456" s="201"/>
      <c r="W456" s="201"/>
      <c r="X456" s="201"/>
      <c r="Y456" s="201"/>
      <c r="Z456" s="201"/>
      <c r="AA456" s="201"/>
    </row>
    <row r="457">
      <c r="A457" s="201"/>
      <c r="B457" s="201"/>
      <c r="C457" s="201"/>
      <c r="D457" s="201"/>
      <c r="E457" s="201"/>
      <c r="F457" s="201"/>
      <c r="G457" s="201"/>
      <c r="H457" s="209"/>
      <c r="I457" s="209"/>
      <c r="J457" s="201"/>
      <c r="K457" s="210" t="s">
        <v>39</v>
      </c>
      <c r="L457" s="21"/>
      <c r="M457" s="201"/>
      <c r="N457" s="201"/>
      <c r="O457" s="201"/>
      <c r="P457" s="201"/>
      <c r="Q457" s="201"/>
      <c r="R457" s="201"/>
      <c r="S457" s="201"/>
      <c r="T457" s="201"/>
      <c r="U457" s="201"/>
      <c r="V457" s="201"/>
      <c r="W457" s="201"/>
      <c r="X457" s="201"/>
      <c r="Y457" s="201"/>
      <c r="Z457" s="201"/>
      <c r="AA457" s="201"/>
    </row>
    <row r="458">
      <c r="A458" s="201"/>
      <c r="B458" s="201"/>
      <c r="C458" s="201"/>
      <c r="D458" s="201"/>
      <c r="E458" s="201"/>
      <c r="F458" s="201"/>
      <c r="G458" s="201"/>
      <c r="H458" s="209"/>
      <c r="I458" s="209"/>
      <c r="J458" s="201"/>
      <c r="K458" s="210" t="s">
        <v>39</v>
      </c>
      <c r="L458" s="21"/>
      <c r="M458" s="201"/>
      <c r="N458" s="201"/>
      <c r="O458" s="201"/>
      <c r="P458" s="201"/>
      <c r="Q458" s="201"/>
      <c r="R458" s="201"/>
      <c r="S458" s="201"/>
      <c r="T458" s="201"/>
      <c r="U458" s="201"/>
      <c r="V458" s="201"/>
      <c r="W458" s="201"/>
      <c r="X458" s="201"/>
      <c r="Y458" s="201"/>
      <c r="Z458" s="201"/>
      <c r="AA458" s="201"/>
    </row>
    <row r="459">
      <c r="A459" s="201"/>
      <c r="B459" s="201"/>
      <c r="C459" s="201"/>
      <c r="D459" s="201"/>
      <c r="E459" s="201"/>
      <c r="F459" s="201"/>
      <c r="G459" s="201"/>
      <c r="H459" s="209"/>
      <c r="I459" s="209"/>
      <c r="J459" s="201"/>
      <c r="K459" s="210" t="s">
        <v>39</v>
      </c>
      <c r="L459" s="21"/>
      <c r="M459" s="201"/>
      <c r="N459" s="201"/>
      <c r="O459" s="201"/>
      <c r="P459" s="201"/>
      <c r="Q459" s="201"/>
      <c r="R459" s="201"/>
      <c r="S459" s="201"/>
      <c r="T459" s="201"/>
      <c r="U459" s="201"/>
      <c r="V459" s="201"/>
      <c r="W459" s="201"/>
      <c r="X459" s="201"/>
      <c r="Y459" s="201"/>
      <c r="Z459" s="201"/>
      <c r="AA459" s="201"/>
    </row>
    <row r="460">
      <c r="A460" s="201"/>
      <c r="B460" s="201"/>
      <c r="C460" s="201"/>
      <c r="D460" s="201"/>
      <c r="E460" s="201"/>
      <c r="F460" s="201"/>
      <c r="G460" s="201"/>
      <c r="H460" s="209"/>
      <c r="I460" s="209"/>
      <c r="J460" s="201"/>
      <c r="K460" s="210" t="s">
        <v>39</v>
      </c>
      <c r="L460" s="21"/>
      <c r="M460" s="201"/>
      <c r="N460" s="201"/>
      <c r="O460" s="201"/>
      <c r="P460" s="201"/>
      <c r="Q460" s="201"/>
      <c r="R460" s="201"/>
      <c r="S460" s="201"/>
      <c r="T460" s="201"/>
      <c r="U460" s="201"/>
      <c r="V460" s="201"/>
      <c r="W460" s="201"/>
      <c r="X460" s="201"/>
      <c r="Y460" s="201"/>
      <c r="Z460" s="201"/>
      <c r="AA460" s="201"/>
    </row>
    <row r="461">
      <c r="A461" s="201"/>
      <c r="B461" s="201"/>
      <c r="C461" s="201"/>
      <c r="D461" s="201"/>
      <c r="E461" s="201"/>
      <c r="F461" s="201"/>
      <c r="G461" s="201"/>
      <c r="H461" s="209"/>
      <c r="I461" s="209"/>
      <c r="J461" s="201"/>
      <c r="K461" s="210" t="s">
        <v>39</v>
      </c>
      <c r="L461" s="21"/>
      <c r="M461" s="201"/>
      <c r="N461" s="201"/>
      <c r="O461" s="201"/>
      <c r="P461" s="201"/>
      <c r="Q461" s="201"/>
      <c r="R461" s="201"/>
      <c r="S461" s="201"/>
      <c r="T461" s="201"/>
      <c r="U461" s="201"/>
      <c r="V461" s="201"/>
      <c r="W461" s="201"/>
      <c r="X461" s="201"/>
      <c r="Y461" s="201"/>
      <c r="Z461" s="201"/>
      <c r="AA461" s="201"/>
    </row>
    <row r="462">
      <c r="A462" s="201"/>
      <c r="B462" s="201"/>
      <c r="C462" s="201"/>
      <c r="D462" s="201"/>
      <c r="E462" s="201"/>
      <c r="F462" s="201"/>
      <c r="G462" s="201"/>
      <c r="H462" s="209"/>
      <c r="I462" s="209"/>
      <c r="J462" s="201"/>
      <c r="K462" s="210" t="s">
        <v>39</v>
      </c>
      <c r="L462" s="21"/>
      <c r="M462" s="201"/>
      <c r="N462" s="201"/>
      <c r="O462" s="201"/>
      <c r="P462" s="201"/>
      <c r="Q462" s="201"/>
      <c r="R462" s="201"/>
      <c r="S462" s="201"/>
      <c r="T462" s="201"/>
      <c r="U462" s="201"/>
      <c r="V462" s="201"/>
      <c r="W462" s="201"/>
      <c r="X462" s="201"/>
      <c r="Y462" s="201"/>
      <c r="Z462" s="201"/>
      <c r="AA462" s="201"/>
    </row>
    <row r="463">
      <c r="A463" s="201"/>
      <c r="B463" s="201"/>
      <c r="C463" s="201"/>
      <c r="D463" s="201"/>
      <c r="E463" s="201"/>
      <c r="F463" s="201"/>
      <c r="G463" s="201"/>
      <c r="H463" s="209"/>
      <c r="I463" s="209"/>
      <c r="J463" s="201"/>
      <c r="K463" s="210" t="s">
        <v>39</v>
      </c>
      <c r="L463" s="21"/>
      <c r="M463" s="201"/>
      <c r="N463" s="201"/>
      <c r="O463" s="201"/>
      <c r="P463" s="201"/>
      <c r="Q463" s="201"/>
      <c r="R463" s="201"/>
      <c r="S463" s="201"/>
      <c r="T463" s="201"/>
      <c r="U463" s="201"/>
      <c r="V463" s="201"/>
      <c r="W463" s="201"/>
      <c r="X463" s="201"/>
      <c r="Y463" s="201"/>
      <c r="Z463" s="201"/>
      <c r="AA463" s="201"/>
    </row>
    <row r="464">
      <c r="A464" s="201"/>
      <c r="B464" s="201"/>
      <c r="C464" s="201"/>
      <c r="D464" s="201"/>
      <c r="E464" s="201"/>
      <c r="F464" s="201"/>
      <c r="G464" s="201"/>
      <c r="H464" s="209"/>
      <c r="I464" s="209"/>
      <c r="J464" s="201"/>
      <c r="K464" s="210" t="s">
        <v>39</v>
      </c>
      <c r="L464" s="21"/>
      <c r="M464" s="201"/>
      <c r="N464" s="201"/>
      <c r="O464" s="201"/>
      <c r="P464" s="201"/>
      <c r="Q464" s="201"/>
      <c r="R464" s="201"/>
      <c r="S464" s="201"/>
      <c r="T464" s="201"/>
      <c r="U464" s="201"/>
      <c r="V464" s="201"/>
      <c r="W464" s="201"/>
      <c r="X464" s="201"/>
      <c r="Y464" s="201"/>
      <c r="Z464" s="201"/>
      <c r="AA464" s="201"/>
    </row>
    <row r="465">
      <c r="A465" s="201"/>
      <c r="B465" s="201"/>
      <c r="C465" s="201"/>
      <c r="D465" s="201"/>
      <c r="E465" s="201"/>
      <c r="F465" s="201"/>
      <c r="G465" s="201"/>
      <c r="H465" s="209"/>
      <c r="I465" s="209"/>
      <c r="J465" s="201"/>
      <c r="K465" s="210" t="s">
        <v>39</v>
      </c>
      <c r="L465" s="21"/>
      <c r="M465" s="201"/>
      <c r="N465" s="201"/>
      <c r="O465" s="201"/>
      <c r="P465" s="201"/>
      <c r="Q465" s="201"/>
      <c r="R465" s="201"/>
      <c r="S465" s="201"/>
      <c r="T465" s="201"/>
      <c r="U465" s="201"/>
      <c r="V465" s="201"/>
      <c r="W465" s="201"/>
      <c r="X465" s="201"/>
      <c r="Y465" s="201"/>
      <c r="Z465" s="201"/>
      <c r="AA465" s="201"/>
    </row>
    <row r="466">
      <c r="A466" s="201"/>
      <c r="B466" s="201"/>
      <c r="C466" s="201"/>
      <c r="D466" s="201"/>
      <c r="E466" s="201"/>
      <c r="F466" s="201"/>
      <c r="G466" s="201"/>
      <c r="H466" s="209"/>
      <c r="I466" s="209"/>
      <c r="J466" s="201"/>
      <c r="K466" s="210" t="s">
        <v>39</v>
      </c>
      <c r="L466" s="21"/>
      <c r="M466" s="201"/>
      <c r="N466" s="201"/>
      <c r="O466" s="201"/>
      <c r="P466" s="201"/>
      <c r="Q466" s="201"/>
      <c r="R466" s="201"/>
      <c r="S466" s="201"/>
      <c r="T466" s="201"/>
      <c r="U466" s="201"/>
      <c r="V466" s="201"/>
      <c r="W466" s="201"/>
      <c r="X466" s="201"/>
      <c r="Y466" s="201"/>
      <c r="Z466" s="201"/>
      <c r="AA466" s="201"/>
    </row>
    <row r="467">
      <c r="A467" s="201"/>
      <c r="B467" s="201"/>
      <c r="C467" s="201"/>
      <c r="D467" s="201"/>
      <c r="E467" s="201"/>
      <c r="F467" s="201"/>
      <c r="G467" s="201"/>
      <c r="H467" s="209"/>
      <c r="I467" s="209"/>
      <c r="J467" s="201"/>
      <c r="K467" s="210" t="s">
        <v>39</v>
      </c>
      <c r="L467" s="21"/>
      <c r="M467" s="201"/>
      <c r="N467" s="201"/>
      <c r="O467" s="201"/>
      <c r="P467" s="201"/>
      <c r="Q467" s="201"/>
      <c r="R467" s="201"/>
      <c r="S467" s="201"/>
      <c r="T467" s="201"/>
      <c r="U467" s="201"/>
      <c r="V467" s="201"/>
      <c r="W467" s="201"/>
      <c r="X467" s="201"/>
      <c r="Y467" s="201"/>
      <c r="Z467" s="201"/>
      <c r="AA467" s="201"/>
    </row>
    <row r="468">
      <c r="A468" s="201"/>
      <c r="B468" s="201"/>
      <c r="C468" s="201"/>
      <c r="D468" s="201"/>
      <c r="E468" s="201"/>
      <c r="F468" s="201"/>
      <c r="G468" s="201"/>
      <c r="H468" s="209"/>
      <c r="I468" s="209"/>
      <c r="J468" s="201"/>
      <c r="K468" s="210" t="s">
        <v>39</v>
      </c>
      <c r="L468" s="21"/>
      <c r="M468" s="201"/>
      <c r="N468" s="201"/>
      <c r="O468" s="201"/>
      <c r="P468" s="201"/>
      <c r="Q468" s="201"/>
      <c r="R468" s="201"/>
      <c r="S468" s="201"/>
      <c r="T468" s="201"/>
      <c r="U468" s="201"/>
      <c r="V468" s="201"/>
      <c r="W468" s="201"/>
      <c r="X468" s="201"/>
      <c r="Y468" s="201"/>
      <c r="Z468" s="201"/>
      <c r="AA468" s="201"/>
    </row>
    <row r="469">
      <c r="A469" s="201"/>
      <c r="B469" s="201"/>
      <c r="C469" s="201"/>
      <c r="D469" s="201"/>
      <c r="E469" s="201"/>
      <c r="F469" s="201"/>
      <c r="G469" s="201"/>
      <c r="H469" s="209"/>
      <c r="I469" s="209"/>
      <c r="J469" s="201"/>
      <c r="K469" s="210" t="s">
        <v>39</v>
      </c>
      <c r="L469" s="21"/>
      <c r="M469" s="201"/>
      <c r="N469" s="201"/>
      <c r="O469" s="201"/>
      <c r="P469" s="201"/>
      <c r="Q469" s="201"/>
      <c r="R469" s="201"/>
      <c r="S469" s="201"/>
      <c r="T469" s="201"/>
      <c r="U469" s="201"/>
      <c r="V469" s="201"/>
      <c r="W469" s="201"/>
      <c r="X469" s="201"/>
      <c r="Y469" s="201"/>
      <c r="Z469" s="201"/>
      <c r="AA469" s="201"/>
    </row>
    <row r="470">
      <c r="A470" s="201"/>
      <c r="B470" s="201"/>
      <c r="C470" s="201"/>
      <c r="D470" s="201"/>
      <c r="E470" s="201"/>
      <c r="F470" s="201"/>
      <c r="G470" s="201"/>
      <c r="H470" s="209"/>
      <c r="I470" s="209"/>
      <c r="J470" s="201"/>
      <c r="K470" s="210" t="s">
        <v>39</v>
      </c>
      <c r="L470" s="21"/>
      <c r="M470" s="201"/>
      <c r="N470" s="201"/>
      <c r="O470" s="201"/>
      <c r="P470" s="201"/>
      <c r="Q470" s="201"/>
      <c r="R470" s="201"/>
      <c r="S470" s="201"/>
      <c r="T470" s="201"/>
      <c r="U470" s="201"/>
      <c r="V470" s="201"/>
      <c r="W470" s="201"/>
      <c r="X470" s="201"/>
      <c r="Y470" s="201"/>
      <c r="Z470" s="201"/>
      <c r="AA470" s="201"/>
    </row>
    <row r="471">
      <c r="A471" s="201"/>
      <c r="B471" s="201"/>
      <c r="C471" s="201"/>
      <c r="D471" s="201"/>
      <c r="E471" s="201"/>
      <c r="F471" s="201"/>
      <c r="G471" s="201"/>
      <c r="H471" s="209"/>
      <c r="I471" s="209"/>
      <c r="J471" s="201"/>
      <c r="K471" s="210" t="s">
        <v>39</v>
      </c>
      <c r="L471" s="21"/>
      <c r="M471" s="201"/>
      <c r="N471" s="201"/>
      <c r="O471" s="201"/>
      <c r="P471" s="201"/>
      <c r="Q471" s="201"/>
      <c r="R471" s="201"/>
      <c r="S471" s="201"/>
      <c r="T471" s="201"/>
      <c r="U471" s="201"/>
      <c r="V471" s="201"/>
      <c r="W471" s="201"/>
      <c r="X471" s="201"/>
      <c r="Y471" s="201"/>
      <c r="Z471" s="201"/>
      <c r="AA471" s="201"/>
    </row>
    <row r="472">
      <c r="A472" s="201"/>
      <c r="B472" s="201"/>
      <c r="C472" s="201"/>
      <c r="D472" s="201"/>
      <c r="E472" s="201"/>
      <c r="F472" s="201"/>
      <c r="G472" s="201"/>
      <c r="H472" s="209"/>
      <c r="I472" s="209"/>
      <c r="J472" s="201"/>
      <c r="K472" s="210" t="s">
        <v>39</v>
      </c>
      <c r="L472" s="21"/>
      <c r="M472" s="201"/>
      <c r="N472" s="201"/>
      <c r="O472" s="201"/>
      <c r="P472" s="201"/>
      <c r="Q472" s="201"/>
      <c r="R472" s="201"/>
      <c r="S472" s="201"/>
      <c r="T472" s="201"/>
      <c r="U472" s="201"/>
      <c r="V472" s="201"/>
      <c r="W472" s="201"/>
      <c r="X472" s="201"/>
      <c r="Y472" s="201"/>
      <c r="Z472" s="201"/>
      <c r="AA472" s="201"/>
    </row>
    <row r="473">
      <c r="A473" s="201"/>
      <c r="B473" s="201"/>
      <c r="C473" s="201"/>
      <c r="D473" s="201"/>
      <c r="E473" s="201"/>
      <c r="F473" s="201"/>
      <c r="G473" s="201"/>
      <c r="H473" s="209"/>
      <c r="I473" s="209"/>
      <c r="J473" s="201"/>
      <c r="K473" s="210" t="s">
        <v>39</v>
      </c>
      <c r="L473" s="21"/>
      <c r="M473" s="201"/>
      <c r="N473" s="201"/>
      <c r="O473" s="201"/>
      <c r="P473" s="201"/>
      <c r="Q473" s="201"/>
      <c r="R473" s="201"/>
      <c r="S473" s="201"/>
      <c r="T473" s="201"/>
      <c r="U473" s="201"/>
      <c r="V473" s="201"/>
      <c r="W473" s="201"/>
      <c r="X473" s="201"/>
      <c r="Y473" s="201"/>
      <c r="Z473" s="201"/>
      <c r="AA473" s="201"/>
    </row>
    <row r="474">
      <c r="A474" s="201"/>
      <c r="B474" s="201"/>
      <c r="C474" s="201"/>
      <c r="D474" s="201"/>
      <c r="E474" s="201"/>
      <c r="F474" s="201"/>
      <c r="G474" s="201"/>
      <c r="H474" s="209"/>
      <c r="I474" s="209"/>
      <c r="J474" s="201"/>
      <c r="K474" s="210" t="s">
        <v>39</v>
      </c>
      <c r="L474" s="21"/>
      <c r="M474" s="201"/>
      <c r="N474" s="201"/>
      <c r="O474" s="201"/>
      <c r="P474" s="201"/>
      <c r="Q474" s="201"/>
      <c r="R474" s="201"/>
      <c r="S474" s="201"/>
      <c r="T474" s="201"/>
      <c r="U474" s="201"/>
      <c r="V474" s="201"/>
      <c r="W474" s="201"/>
      <c r="X474" s="201"/>
      <c r="Y474" s="201"/>
      <c r="Z474" s="201"/>
      <c r="AA474" s="201"/>
    </row>
    <row r="475">
      <c r="A475" s="201"/>
      <c r="B475" s="201"/>
      <c r="C475" s="201"/>
      <c r="D475" s="201"/>
      <c r="E475" s="201"/>
      <c r="F475" s="201"/>
      <c r="G475" s="201"/>
      <c r="H475" s="209"/>
      <c r="I475" s="209"/>
      <c r="J475" s="201"/>
      <c r="K475" s="210" t="s">
        <v>39</v>
      </c>
      <c r="L475" s="21"/>
      <c r="M475" s="201"/>
      <c r="N475" s="201"/>
      <c r="O475" s="201"/>
      <c r="P475" s="201"/>
      <c r="Q475" s="201"/>
      <c r="R475" s="201"/>
      <c r="S475" s="201"/>
      <c r="T475" s="201"/>
      <c r="U475" s="201"/>
      <c r="V475" s="201"/>
      <c r="W475" s="201"/>
      <c r="X475" s="201"/>
      <c r="Y475" s="201"/>
      <c r="Z475" s="201"/>
      <c r="AA475" s="201"/>
    </row>
    <row r="476">
      <c r="A476" s="201"/>
      <c r="B476" s="201"/>
      <c r="C476" s="201"/>
      <c r="D476" s="201"/>
      <c r="E476" s="201"/>
      <c r="F476" s="201"/>
      <c r="G476" s="201"/>
      <c r="H476" s="209"/>
      <c r="I476" s="209"/>
      <c r="J476" s="201"/>
      <c r="K476" s="210" t="s">
        <v>39</v>
      </c>
      <c r="L476" s="21"/>
      <c r="M476" s="201"/>
      <c r="N476" s="201"/>
      <c r="O476" s="201"/>
      <c r="P476" s="201"/>
      <c r="Q476" s="201"/>
      <c r="R476" s="201"/>
      <c r="S476" s="201"/>
      <c r="T476" s="201"/>
      <c r="U476" s="201"/>
      <c r="V476" s="201"/>
      <c r="W476" s="201"/>
      <c r="X476" s="201"/>
      <c r="Y476" s="201"/>
      <c r="Z476" s="201"/>
      <c r="AA476" s="201"/>
    </row>
    <row r="477">
      <c r="A477" s="201"/>
      <c r="B477" s="201"/>
      <c r="C477" s="201"/>
      <c r="D477" s="201"/>
      <c r="E477" s="201"/>
      <c r="F477" s="201"/>
      <c r="G477" s="201"/>
      <c r="H477" s="209"/>
      <c r="I477" s="209"/>
      <c r="J477" s="201"/>
      <c r="K477" s="210" t="s">
        <v>39</v>
      </c>
      <c r="L477" s="21"/>
      <c r="M477" s="201"/>
      <c r="N477" s="201"/>
      <c r="O477" s="201"/>
      <c r="P477" s="201"/>
      <c r="Q477" s="201"/>
      <c r="R477" s="201"/>
      <c r="S477" s="201"/>
      <c r="T477" s="201"/>
      <c r="U477" s="201"/>
      <c r="V477" s="201"/>
      <c r="W477" s="201"/>
      <c r="X477" s="201"/>
      <c r="Y477" s="201"/>
      <c r="Z477" s="201"/>
      <c r="AA477" s="201"/>
    </row>
    <row r="478">
      <c r="A478" s="201"/>
      <c r="B478" s="201"/>
      <c r="C478" s="201"/>
      <c r="D478" s="201"/>
      <c r="E478" s="201"/>
      <c r="F478" s="201"/>
      <c r="G478" s="201"/>
      <c r="H478" s="209"/>
      <c r="I478" s="209"/>
      <c r="J478" s="201"/>
      <c r="K478" s="210" t="s">
        <v>39</v>
      </c>
      <c r="L478" s="21"/>
      <c r="M478" s="201"/>
      <c r="N478" s="201"/>
      <c r="O478" s="201"/>
      <c r="P478" s="201"/>
      <c r="Q478" s="201"/>
      <c r="R478" s="201"/>
      <c r="S478" s="201"/>
      <c r="T478" s="201"/>
      <c r="U478" s="201"/>
      <c r="V478" s="201"/>
      <c r="W478" s="201"/>
      <c r="X478" s="201"/>
      <c r="Y478" s="201"/>
      <c r="Z478" s="201"/>
      <c r="AA478" s="201"/>
    </row>
    <row r="479">
      <c r="A479" s="201"/>
      <c r="B479" s="201"/>
      <c r="C479" s="201"/>
      <c r="D479" s="201"/>
      <c r="E479" s="201"/>
      <c r="F479" s="201"/>
      <c r="G479" s="201"/>
      <c r="H479" s="209"/>
      <c r="I479" s="209"/>
      <c r="J479" s="201"/>
      <c r="K479" s="210" t="s">
        <v>39</v>
      </c>
      <c r="L479" s="21"/>
      <c r="M479" s="201"/>
      <c r="N479" s="201"/>
      <c r="O479" s="201"/>
      <c r="P479" s="201"/>
      <c r="Q479" s="201"/>
      <c r="R479" s="201"/>
      <c r="S479" s="201"/>
      <c r="T479" s="201"/>
      <c r="U479" s="201"/>
      <c r="V479" s="201"/>
      <c r="W479" s="201"/>
      <c r="X479" s="201"/>
      <c r="Y479" s="201"/>
      <c r="Z479" s="201"/>
      <c r="AA479" s="201"/>
    </row>
    <row r="480">
      <c r="A480" s="201"/>
      <c r="B480" s="201"/>
      <c r="C480" s="201"/>
      <c r="D480" s="201"/>
      <c r="E480" s="201"/>
      <c r="F480" s="201"/>
      <c r="G480" s="201"/>
      <c r="H480" s="209"/>
      <c r="I480" s="209"/>
      <c r="J480" s="201"/>
      <c r="K480" s="210" t="s">
        <v>39</v>
      </c>
      <c r="L480" s="21"/>
      <c r="M480" s="201"/>
      <c r="N480" s="201"/>
      <c r="O480" s="201"/>
      <c r="P480" s="201"/>
      <c r="Q480" s="201"/>
      <c r="R480" s="201"/>
      <c r="S480" s="201"/>
      <c r="T480" s="201"/>
      <c r="U480" s="201"/>
      <c r="V480" s="201"/>
      <c r="W480" s="201"/>
      <c r="X480" s="201"/>
      <c r="Y480" s="201"/>
      <c r="Z480" s="201"/>
      <c r="AA480" s="201"/>
    </row>
    <row r="481">
      <c r="A481" s="201"/>
      <c r="B481" s="201"/>
      <c r="C481" s="201"/>
      <c r="D481" s="201"/>
      <c r="E481" s="201"/>
      <c r="F481" s="201"/>
      <c r="G481" s="201"/>
      <c r="H481" s="209"/>
      <c r="I481" s="209"/>
      <c r="J481" s="201"/>
      <c r="K481" s="210" t="s">
        <v>39</v>
      </c>
      <c r="L481" s="21"/>
      <c r="M481" s="201"/>
      <c r="N481" s="201"/>
      <c r="O481" s="201"/>
      <c r="P481" s="201"/>
      <c r="Q481" s="201"/>
      <c r="R481" s="201"/>
      <c r="S481" s="201"/>
      <c r="T481" s="201"/>
      <c r="U481" s="201"/>
      <c r="V481" s="201"/>
      <c r="W481" s="201"/>
      <c r="X481" s="201"/>
      <c r="Y481" s="201"/>
      <c r="Z481" s="201"/>
      <c r="AA481" s="201"/>
    </row>
    <row r="482">
      <c r="A482" s="201"/>
      <c r="B482" s="201"/>
      <c r="C482" s="201"/>
      <c r="D482" s="201"/>
      <c r="E482" s="201"/>
      <c r="F482" s="201"/>
      <c r="G482" s="201"/>
      <c r="H482" s="209"/>
      <c r="I482" s="209"/>
      <c r="J482" s="201"/>
      <c r="K482" s="210" t="s">
        <v>39</v>
      </c>
      <c r="L482" s="21"/>
      <c r="M482" s="201"/>
      <c r="N482" s="201"/>
      <c r="O482" s="201"/>
      <c r="P482" s="201"/>
      <c r="Q482" s="201"/>
      <c r="R482" s="201"/>
      <c r="S482" s="201"/>
      <c r="T482" s="201"/>
      <c r="U482" s="201"/>
      <c r="V482" s="201"/>
      <c r="W482" s="201"/>
      <c r="X482" s="201"/>
      <c r="Y482" s="201"/>
      <c r="Z482" s="201"/>
      <c r="AA482" s="201"/>
    </row>
    <row r="483">
      <c r="A483" s="201"/>
      <c r="B483" s="201"/>
      <c r="C483" s="201"/>
      <c r="D483" s="201"/>
      <c r="E483" s="201"/>
      <c r="F483" s="201"/>
      <c r="G483" s="201"/>
      <c r="H483" s="209"/>
      <c r="I483" s="209"/>
      <c r="J483" s="201"/>
      <c r="K483" s="210" t="s">
        <v>39</v>
      </c>
      <c r="L483" s="21"/>
      <c r="M483" s="201"/>
      <c r="N483" s="201"/>
      <c r="O483" s="201"/>
      <c r="P483" s="201"/>
      <c r="Q483" s="201"/>
      <c r="R483" s="201"/>
      <c r="S483" s="201"/>
      <c r="T483" s="201"/>
      <c r="U483" s="201"/>
      <c r="V483" s="201"/>
      <c r="W483" s="201"/>
      <c r="X483" s="201"/>
      <c r="Y483" s="201"/>
      <c r="Z483" s="201"/>
      <c r="AA483" s="201"/>
    </row>
    <row r="484">
      <c r="A484" s="201"/>
      <c r="B484" s="201"/>
      <c r="C484" s="201"/>
      <c r="D484" s="201"/>
      <c r="E484" s="201"/>
      <c r="F484" s="201"/>
      <c r="G484" s="201"/>
      <c r="H484" s="209"/>
      <c r="I484" s="209"/>
      <c r="J484" s="201"/>
      <c r="K484" s="210" t="s">
        <v>39</v>
      </c>
      <c r="L484" s="21"/>
      <c r="M484" s="201"/>
      <c r="N484" s="201"/>
      <c r="O484" s="201"/>
      <c r="P484" s="201"/>
      <c r="Q484" s="201"/>
      <c r="R484" s="201"/>
      <c r="S484" s="201"/>
      <c r="T484" s="201"/>
      <c r="U484" s="201"/>
      <c r="V484" s="201"/>
      <c r="W484" s="201"/>
      <c r="X484" s="201"/>
      <c r="Y484" s="201"/>
      <c r="Z484" s="201"/>
      <c r="AA484" s="201"/>
    </row>
    <row r="485">
      <c r="A485" s="201"/>
      <c r="B485" s="201"/>
      <c r="C485" s="201"/>
      <c r="D485" s="201"/>
      <c r="E485" s="201"/>
      <c r="F485" s="201"/>
      <c r="G485" s="201"/>
      <c r="H485" s="209"/>
      <c r="I485" s="209"/>
      <c r="J485" s="201"/>
      <c r="K485" s="210" t="s">
        <v>39</v>
      </c>
      <c r="L485" s="21"/>
      <c r="M485" s="201"/>
      <c r="N485" s="201"/>
      <c r="O485" s="201"/>
      <c r="P485" s="201"/>
      <c r="Q485" s="201"/>
      <c r="R485" s="201"/>
      <c r="S485" s="201"/>
      <c r="T485" s="201"/>
      <c r="U485" s="201"/>
      <c r="V485" s="201"/>
      <c r="W485" s="201"/>
      <c r="X485" s="201"/>
      <c r="Y485" s="201"/>
      <c r="Z485" s="201"/>
      <c r="AA485" s="201"/>
    </row>
    <row r="486">
      <c r="A486" s="201"/>
      <c r="B486" s="201"/>
      <c r="C486" s="201"/>
      <c r="D486" s="201"/>
      <c r="E486" s="201"/>
      <c r="F486" s="201"/>
      <c r="G486" s="201"/>
      <c r="H486" s="209"/>
      <c r="I486" s="209"/>
      <c r="J486" s="201"/>
      <c r="K486" s="210" t="s">
        <v>39</v>
      </c>
      <c r="L486" s="21"/>
      <c r="M486" s="201"/>
      <c r="N486" s="201"/>
      <c r="O486" s="201"/>
      <c r="P486" s="201"/>
      <c r="Q486" s="201"/>
      <c r="R486" s="201"/>
      <c r="S486" s="201"/>
      <c r="T486" s="201"/>
      <c r="U486" s="201"/>
      <c r="V486" s="201"/>
      <c r="W486" s="201"/>
      <c r="X486" s="201"/>
      <c r="Y486" s="201"/>
      <c r="Z486" s="201"/>
      <c r="AA486" s="201"/>
    </row>
    <row r="487">
      <c r="A487" s="201"/>
      <c r="B487" s="201"/>
      <c r="C487" s="201"/>
      <c r="D487" s="201"/>
      <c r="E487" s="201"/>
      <c r="F487" s="201"/>
      <c r="G487" s="201"/>
      <c r="H487" s="209"/>
      <c r="I487" s="209"/>
      <c r="J487" s="201"/>
      <c r="K487" s="210" t="s">
        <v>39</v>
      </c>
      <c r="L487" s="21"/>
      <c r="M487" s="201"/>
      <c r="N487" s="201"/>
      <c r="O487" s="201"/>
      <c r="P487" s="201"/>
      <c r="Q487" s="201"/>
      <c r="R487" s="201"/>
      <c r="S487" s="201"/>
      <c r="T487" s="201"/>
      <c r="U487" s="201"/>
      <c r="V487" s="201"/>
      <c r="W487" s="201"/>
      <c r="X487" s="201"/>
      <c r="Y487" s="201"/>
      <c r="Z487" s="201"/>
      <c r="AA487" s="201"/>
    </row>
    <row r="488">
      <c r="A488" s="201"/>
      <c r="B488" s="201"/>
      <c r="C488" s="201"/>
      <c r="D488" s="201"/>
      <c r="E488" s="201"/>
      <c r="F488" s="201"/>
      <c r="G488" s="201"/>
      <c r="H488" s="209"/>
      <c r="I488" s="209"/>
      <c r="J488" s="201"/>
      <c r="K488" s="210" t="s">
        <v>39</v>
      </c>
      <c r="L488" s="21"/>
      <c r="M488" s="201"/>
      <c r="N488" s="201"/>
      <c r="O488" s="201"/>
      <c r="P488" s="201"/>
      <c r="Q488" s="201"/>
      <c r="R488" s="201"/>
      <c r="S488" s="201"/>
      <c r="T488" s="201"/>
      <c r="U488" s="201"/>
      <c r="V488" s="201"/>
      <c r="W488" s="201"/>
      <c r="X488" s="201"/>
      <c r="Y488" s="201"/>
      <c r="Z488" s="201"/>
      <c r="AA488" s="201"/>
    </row>
    <row r="489">
      <c r="A489" s="201"/>
      <c r="B489" s="201"/>
      <c r="C489" s="201"/>
      <c r="D489" s="201"/>
      <c r="E489" s="201"/>
      <c r="F489" s="201"/>
      <c r="G489" s="201"/>
      <c r="H489" s="209"/>
      <c r="I489" s="209"/>
      <c r="J489" s="201"/>
      <c r="K489" s="210" t="s">
        <v>39</v>
      </c>
      <c r="L489" s="21"/>
      <c r="M489" s="201"/>
      <c r="N489" s="201"/>
      <c r="O489" s="201"/>
      <c r="P489" s="201"/>
      <c r="Q489" s="201"/>
      <c r="R489" s="201"/>
      <c r="S489" s="201"/>
      <c r="T489" s="201"/>
      <c r="U489" s="201"/>
      <c r="V489" s="201"/>
      <c r="W489" s="201"/>
      <c r="X489" s="201"/>
      <c r="Y489" s="201"/>
      <c r="Z489" s="201"/>
      <c r="AA489" s="201"/>
    </row>
    <row r="490">
      <c r="A490" s="201"/>
      <c r="B490" s="201"/>
      <c r="C490" s="201"/>
      <c r="D490" s="201"/>
      <c r="E490" s="201"/>
      <c r="F490" s="201"/>
      <c r="G490" s="201"/>
      <c r="H490" s="209"/>
      <c r="I490" s="209"/>
      <c r="J490" s="201"/>
      <c r="K490" s="210" t="s">
        <v>39</v>
      </c>
      <c r="L490" s="21"/>
      <c r="M490" s="201"/>
      <c r="N490" s="201"/>
      <c r="O490" s="201"/>
      <c r="P490" s="201"/>
      <c r="Q490" s="201"/>
      <c r="R490" s="201"/>
      <c r="S490" s="201"/>
      <c r="T490" s="201"/>
      <c r="U490" s="201"/>
      <c r="V490" s="201"/>
      <c r="W490" s="201"/>
      <c r="X490" s="201"/>
      <c r="Y490" s="201"/>
      <c r="Z490" s="201"/>
      <c r="AA490" s="201"/>
    </row>
    <row r="491">
      <c r="A491" s="201"/>
      <c r="B491" s="201"/>
      <c r="C491" s="201"/>
      <c r="D491" s="201"/>
      <c r="E491" s="201"/>
      <c r="F491" s="201"/>
      <c r="G491" s="201"/>
      <c r="H491" s="209"/>
      <c r="I491" s="209"/>
      <c r="J491" s="201"/>
      <c r="K491" s="210" t="s">
        <v>39</v>
      </c>
      <c r="L491" s="21"/>
      <c r="M491" s="201"/>
      <c r="N491" s="201"/>
      <c r="O491" s="201"/>
      <c r="P491" s="201"/>
      <c r="Q491" s="201"/>
      <c r="R491" s="201"/>
      <c r="S491" s="201"/>
      <c r="T491" s="201"/>
      <c r="U491" s="201"/>
      <c r="V491" s="201"/>
      <c r="W491" s="201"/>
      <c r="X491" s="201"/>
      <c r="Y491" s="201"/>
      <c r="Z491" s="201"/>
      <c r="AA491" s="201"/>
    </row>
    <row r="492">
      <c r="A492" s="201"/>
      <c r="B492" s="201"/>
      <c r="C492" s="201"/>
      <c r="D492" s="201"/>
      <c r="E492" s="201"/>
      <c r="F492" s="201"/>
      <c r="G492" s="201"/>
      <c r="H492" s="209"/>
      <c r="I492" s="209"/>
      <c r="J492" s="201"/>
      <c r="K492" s="210" t="s">
        <v>39</v>
      </c>
      <c r="L492" s="21"/>
      <c r="M492" s="201"/>
      <c r="N492" s="201"/>
      <c r="O492" s="201"/>
      <c r="P492" s="201"/>
      <c r="Q492" s="201"/>
      <c r="R492" s="201"/>
      <c r="S492" s="201"/>
      <c r="T492" s="201"/>
      <c r="U492" s="201"/>
      <c r="V492" s="201"/>
      <c r="W492" s="201"/>
      <c r="X492" s="201"/>
      <c r="Y492" s="201"/>
      <c r="Z492" s="201"/>
      <c r="AA492" s="201"/>
    </row>
    <row r="493">
      <c r="A493" s="201"/>
      <c r="B493" s="201"/>
      <c r="C493" s="201"/>
      <c r="D493" s="201"/>
      <c r="E493" s="201"/>
      <c r="F493" s="201"/>
      <c r="G493" s="201"/>
      <c r="H493" s="209"/>
      <c r="I493" s="209"/>
      <c r="J493" s="201"/>
      <c r="K493" s="210" t="s">
        <v>39</v>
      </c>
      <c r="L493" s="21"/>
      <c r="M493" s="201"/>
      <c r="N493" s="201"/>
      <c r="O493" s="201"/>
      <c r="P493" s="201"/>
      <c r="Q493" s="201"/>
      <c r="R493" s="201"/>
      <c r="S493" s="201"/>
      <c r="T493" s="201"/>
      <c r="U493" s="201"/>
      <c r="V493" s="201"/>
      <c r="W493" s="201"/>
      <c r="X493" s="201"/>
      <c r="Y493" s="201"/>
      <c r="Z493" s="201"/>
      <c r="AA493" s="201"/>
    </row>
    <row r="494">
      <c r="A494" s="201"/>
      <c r="B494" s="201"/>
      <c r="C494" s="201"/>
      <c r="D494" s="201"/>
      <c r="E494" s="201"/>
      <c r="F494" s="201"/>
      <c r="G494" s="201"/>
      <c r="H494" s="209"/>
      <c r="I494" s="209"/>
      <c r="J494" s="201"/>
      <c r="K494" s="210" t="s">
        <v>39</v>
      </c>
      <c r="L494" s="21"/>
      <c r="M494" s="201"/>
      <c r="N494" s="201"/>
      <c r="O494" s="201"/>
      <c r="P494" s="201"/>
      <c r="Q494" s="201"/>
      <c r="R494" s="201"/>
      <c r="S494" s="201"/>
      <c r="T494" s="201"/>
      <c r="U494" s="201"/>
      <c r="V494" s="201"/>
      <c r="W494" s="201"/>
      <c r="X494" s="201"/>
      <c r="Y494" s="201"/>
      <c r="Z494" s="201"/>
      <c r="AA494" s="201"/>
    </row>
    <row r="495">
      <c r="A495" s="201"/>
      <c r="B495" s="201"/>
      <c r="C495" s="201"/>
      <c r="D495" s="201"/>
      <c r="E495" s="201"/>
      <c r="F495" s="201"/>
      <c r="G495" s="201"/>
      <c r="H495" s="209"/>
      <c r="I495" s="209"/>
      <c r="J495" s="201"/>
      <c r="K495" s="210" t="s">
        <v>39</v>
      </c>
      <c r="L495" s="21"/>
      <c r="M495" s="201"/>
      <c r="N495" s="201"/>
      <c r="O495" s="201"/>
      <c r="P495" s="201"/>
      <c r="Q495" s="201"/>
      <c r="R495" s="201"/>
      <c r="S495" s="201"/>
      <c r="T495" s="201"/>
      <c r="U495" s="201"/>
      <c r="V495" s="201"/>
      <c r="W495" s="201"/>
      <c r="X495" s="201"/>
      <c r="Y495" s="201"/>
      <c r="Z495" s="201"/>
      <c r="AA495" s="201"/>
    </row>
    <row r="496">
      <c r="A496" s="201"/>
      <c r="B496" s="201"/>
      <c r="C496" s="201"/>
      <c r="D496" s="201"/>
      <c r="E496" s="201"/>
      <c r="F496" s="201"/>
      <c r="G496" s="201"/>
      <c r="H496" s="209"/>
      <c r="I496" s="209"/>
      <c r="J496" s="201"/>
      <c r="K496" s="210" t="s">
        <v>39</v>
      </c>
      <c r="L496" s="21"/>
      <c r="M496" s="201"/>
      <c r="N496" s="201"/>
      <c r="O496" s="201"/>
      <c r="P496" s="201"/>
      <c r="Q496" s="201"/>
      <c r="R496" s="201"/>
      <c r="S496" s="201"/>
      <c r="T496" s="201"/>
      <c r="U496" s="201"/>
      <c r="V496" s="201"/>
      <c r="W496" s="201"/>
      <c r="X496" s="201"/>
      <c r="Y496" s="201"/>
      <c r="Z496" s="201"/>
      <c r="AA496" s="201"/>
    </row>
    <row r="497">
      <c r="A497" s="201"/>
      <c r="B497" s="201"/>
      <c r="C497" s="201"/>
      <c r="D497" s="201"/>
      <c r="E497" s="201"/>
      <c r="F497" s="201"/>
      <c r="G497" s="201"/>
      <c r="H497" s="209"/>
      <c r="I497" s="209"/>
      <c r="J497" s="201"/>
      <c r="K497" s="210" t="s">
        <v>39</v>
      </c>
      <c r="L497" s="21"/>
      <c r="M497" s="201"/>
      <c r="N497" s="201"/>
      <c r="O497" s="201"/>
      <c r="P497" s="201"/>
      <c r="Q497" s="201"/>
      <c r="R497" s="201"/>
      <c r="S497" s="201"/>
      <c r="T497" s="201"/>
      <c r="U497" s="201"/>
      <c r="V497" s="201"/>
      <c r="W497" s="201"/>
      <c r="X497" s="201"/>
      <c r="Y497" s="201"/>
      <c r="Z497" s="201"/>
      <c r="AA497" s="201"/>
    </row>
    <row r="498">
      <c r="A498" s="201"/>
      <c r="B498" s="201"/>
      <c r="C498" s="201"/>
      <c r="D498" s="201"/>
      <c r="E498" s="201"/>
      <c r="F498" s="201"/>
      <c r="G498" s="201"/>
      <c r="H498" s="209"/>
      <c r="I498" s="209"/>
      <c r="J498" s="201"/>
      <c r="K498" s="210" t="s">
        <v>39</v>
      </c>
      <c r="L498" s="21"/>
      <c r="M498" s="201"/>
      <c r="N498" s="201"/>
      <c r="O498" s="201"/>
      <c r="P498" s="201"/>
      <c r="Q498" s="201"/>
      <c r="R498" s="201"/>
      <c r="S498" s="201"/>
      <c r="T498" s="201"/>
      <c r="U498" s="201"/>
      <c r="V498" s="201"/>
      <c r="W498" s="201"/>
      <c r="X498" s="201"/>
      <c r="Y498" s="201"/>
      <c r="Z498" s="201"/>
      <c r="AA498" s="201"/>
    </row>
    <row r="499">
      <c r="A499" s="201"/>
      <c r="B499" s="201"/>
      <c r="C499" s="201"/>
      <c r="D499" s="201"/>
      <c r="E499" s="201"/>
      <c r="F499" s="201"/>
      <c r="G499" s="201"/>
      <c r="H499" s="209"/>
      <c r="I499" s="209"/>
      <c r="J499" s="201"/>
      <c r="K499" s="210" t="s">
        <v>39</v>
      </c>
      <c r="L499" s="21"/>
      <c r="M499" s="201"/>
      <c r="N499" s="201"/>
      <c r="O499" s="201"/>
      <c r="P499" s="201"/>
      <c r="Q499" s="201"/>
      <c r="R499" s="201"/>
      <c r="S499" s="201"/>
      <c r="T499" s="201"/>
      <c r="U499" s="201"/>
      <c r="V499" s="201"/>
      <c r="W499" s="201"/>
      <c r="X499" s="201"/>
      <c r="Y499" s="201"/>
      <c r="Z499" s="201"/>
      <c r="AA499" s="201"/>
    </row>
    <row r="500">
      <c r="A500" s="201"/>
      <c r="B500" s="201"/>
      <c r="C500" s="201"/>
      <c r="D500" s="201"/>
      <c r="E500" s="201"/>
      <c r="F500" s="201"/>
      <c r="G500" s="201"/>
      <c r="H500" s="209"/>
      <c r="I500" s="209"/>
      <c r="J500" s="201"/>
      <c r="K500" s="210" t="s">
        <v>39</v>
      </c>
      <c r="L500" s="21"/>
      <c r="M500" s="201"/>
      <c r="N500" s="201"/>
      <c r="O500" s="201"/>
      <c r="P500" s="201"/>
      <c r="Q500" s="201"/>
      <c r="R500" s="201"/>
      <c r="S500" s="201"/>
      <c r="T500" s="201"/>
      <c r="U500" s="201"/>
      <c r="V500" s="201"/>
      <c r="W500" s="201"/>
      <c r="X500" s="201"/>
      <c r="Y500" s="201"/>
      <c r="Z500" s="201"/>
      <c r="AA500" s="201"/>
    </row>
    <row r="501">
      <c r="A501" s="201"/>
      <c r="B501" s="201"/>
      <c r="C501" s="201"/>
      <c r="D501" s="201"/>
      <c r="E501" s="201"/>
      <c r="F501" s="201"/>
      <c r="G501" s="201"/>
      <c r="H501" s="209"/>
      <c r="I501" s="209"/>
      <c r="J501" s="201"/>
      <c r="K501" s="210" t="s">
        <v>39</v>
      </c>
      <c r="L501" s="21"/>
      <c r="M501" s="201"/>
      <c r="N501" s="201"/>
      <c r="O501" s="201"/>
      <c r="P501" s="201"/>
      <c r="Q501" s="201"/>
      <c r="R501" s="201"/>
      <c r="S501" s="201"/>
      <c r="T501" s="201"/>
      <c r="U501" s="201"/>
      <c r="V501" s="201"/>
      <c r="W501" s="201"/>
      <c r="X501" s="201"/>
      <c r="Y501" s="201"/>
      <c r="Z501" s="201"/>
      <c r="AA501" s="201"/>
    </row>
    <row r="502">
      <c r="A502" s="201"/>
      <c r="B502" s="201"/>
      <c r="C502" s="201"/>
      <c r="D502" s="201"/>
      <c r="E502" s="201"/>
      <c r="F502" s="201"/>
      <c r="G502" s="201"/>
      <c r="H502" s="209"/>
      <c r="I502" s="209"/>
      <c r="J502" s="201"/>
      <c r="K502" s="210" t="s">
        <v>39</v>
      </c>
      <c r="L502" s="21"/>
      <c r="M502" s="201"/>
      <c r="N502" s="201"/>
      <c r="O502" s="201"/>
      <c r="P502" s="201"/>
      <c r="Q502" s="201"/>
      <c r="R502" s="201"/>
      <c r="S502" s="201"/>
      <c r="T502" s="201"/>
      <c r="U502" s="201"/>
      <c r="V502" s="201"/>
      <c r="W502" s="201"/>
      <c r="X502" s="201"/>
      <c r="Y502" s="201"/>
      <c r="Z502" s="201"/>
      <c r="AA502" s="201"/>
    </row>
    <row r="503">
      <c r="A503" s="201"/>
      <c r="B503" s="201"/>
      <c r="C503" s="201"/>
      <c r="D503" s="201"/>
      <c r="E503" s="201"/>
      <c r="F503" s="201"/>
      <c r="G503" s="201"/>
      <c r="H503" s="209"/>
      <c r="I503" s="209"/>
      <c r="J503" s="201"/>
      <c r="K503" s="210" t="s">
        <v>39</v>
      </c>
      <c r="L503" s="21"/>
      <c r="M503" s="201"/>
      <c r="N503" s="201"/>
      <c r="O503" s="201"/>
      <c r="P503" s="201"/>
      <c r="Q503" s="201"/>
      <c r="R503" s="201"/>
      <c r="S503" s="201"/>
      <c r="T503" s="201"/>
      <c r="U503" s="201"/>
      <c r="V503" s="201"/>
      <c r="W503" s="201"/>
      <c r="X503" s="201"/>
      <c r="Y503" s="201"/>
      <c r="Z503" s="201"/>
      <c r="AA503" s="201"/>
    </row>
    <row r="504">
      <c r="A504" s="201"/>
      <c r="B504" s="201"/>
      <c r="C504" s="201"/>
      <c r="D504" s="201"/>
      <c r="E504" s="201"/>
      <c r="F504" s="201"/>
      <c r="G504" s="201"/>
      <c r="H504" s="209"/>
      <c r="I504" s="209"/>
      <c r="J504" s="201"/>
      <c r="K504" s="210" t="s">
        <v>39</v>
      </c>
      <c r="L504" s="21"/>
      <c r="M504" s="201"/>
      <c r="N504" s="201"/>
      <c r="O504" s="201"/>
      <c r="P504" s="201"/>
      <c r="Q504" s="201"/>
      <c r="R504" s="201"/>
      <c r="S504" s="201"/>
      <c r="T504" s="201"/>
      <c r="U504" s="201"/>
      <c r="V504" s="201"/>
      <c r="W504" s="201"/>
      <c r="X504" s="201"/>
      <c r="Y504" s="201"/>
      <c r="Z504" s="201"/>
      <c r="AA504" s="201"/>
    </row>
    <row r="505">
      <c r="A505" s="201"/>
      <c r="B505" s="201"/>
      <c r="C505" s="201"/>
      <c r="D505" s="201"/>
      <c r="E505" s="201"/>
      <c r="F505" s="201"/>
      <c r="G505" s="201"/>
      <c r="H505" s="209"/>
      <c r="I505" s="209"/>
      <c r="J505" s="201"/>
      <c r="K505" s="210" t="s">
        <v>39</v>
      </c>
      <c r="L505" s="21"/>
      <c r="M505" s="201"/>
      <c r="N505" s="201"/>
      <c r="O505" s="201"/>
      <c r="P505" s="201"/>
      <c r="Q505" s="201"/>
      <c r="R505" s="201"/>
      <c r="S505" s="201"/>
      <c r="T505" s="201"/>
      <c r="U505" s="201"/>
      <c r="V505" s="201"/>
      <c r="W505" s="201"/>
      <c r="X505" s="201"/>
      <c r="Y505" s="201"/>
      <c r="Z505" s="201"/>
      <c r="AA505" s="201"/>
    </row>
    <row r="506">
      <c r="A506" s="201"/>
      <c r="B506" s="201"/>
      <c r="C506" s="201"/>
      <c r="D506" s="201"/>
      <c r="E506" s="201"/>
      <c r="F506" s="201"/>
      <c r="G506" s="201"/>
      <c r="H506" s="209"/>
      <c r="I506" s="209"/>
      <c r="J506" s="201"/>
      <c r="K506" s="210" t="s">
        <v>39</v>
      </c>
      <c r="L506" s="21"/>
      <c r="M506" s="201"/>
      <c r="N506" s="201"/>
      <c r="O506" s="201"/>
      <c r="P506" s="201"/>
      <c r="Q506" s="201"/>
      <c r="R506" s="201"/>
      <c r="S506" s="201"/>
      <c r="T506" s="201"/>
      <c r="U506" s="201"/>
      <c r="V506" s="201"/>
      <c r="W506" s="201"/>
      <c r="X506" s="201"/>
      <c r="Y506" s="201"/>
      <c r="Z506" s="201"/>
      <c r="AA506" s="201"/>
    </row>
    <row r="507">
      <c r="A507" s="201"/>
      <c r="B507" s="201"/>
      <c r="C507" s="201"/>
      <c r="D507" s="201"/>
      <c r="E507" s="201"/>
      <c r="F507" s="201"/>
      <c r="G507" s="201"/>
      <c r="H507" s="209"/>
      <c r="I507" s="209"/>
      <c r="J507" s="201"/>
      <c r="K507" s="210" t="s">
        <v>39</v>
      </c>
      <c r="L507" s="21"/>
      <c r="M507" s="201"/>
      <c r="N507" s="201"/>
      <c r="O507" s="201"/>
      <c r="P507" s="201"/>
      <c r="Q507" s="201"/>
      <c r="R507" s="201"/>
      <c r="S507" s="201"/>
      <c r="T507" s="201"/>
      <c r="U507" s="201"/>
      <c r="V507" s="201"/>
      <c r="W507" s="201"/>
      <c r="X507" s="201"/>
      <c r="Y507" s="201"/>
      <c r="Z507" s="201"/>
      <c r="AA507" s="201"/>
    </row>
    <row r="508">
      <c r="A508" s="201"/>
      <c r="B508" s="201"/>
      <c r="C508" s="201"/>
      <c r="D508" s="201"/>
      <c r="E508" s="201"/>
      <c r="F508" s="201"/>
      <c r="G508" s="201"/>
      <c r="H508" s="209"/>
      <c r="I508" s="209"/>
      <c r="J508" s="201"/>
      <c r="K508" s="210" t="s">
        <v>39</v>
      </c>
      <c r="L508" s="21"/>
      <c r="M508" s="201"/>
      <c r="N508" s="201"/>
      <c r="O508" s="201"/>
      <c r="P508" s="201"/>
      <c r="Q508" s="201"/>
      <c r="R508" s="201"/>
      <c r="S508" s="201"/>
      <c r="T508" s="201"/>
      <c r="U508" s="201"/>
      <c r="V508" s="201"/>
      <c r="W508" s="201"/>
      <c r="X508" s="201"/>
      <c r="Y508" s="201"/>
      <c r="Z508" s="201"/>
      <c r="AA508" s="201"/>
    </row>
    <row r="509">
      <c r="A509" s="201"/>
      <c r="B509" s="201"/>
      <c r="C509" s="201"/>
      <c r="D509" s="201"/>
      <c r="E509" s="201"/>
      <c r="F509" s="201"/>
      <c r="G509" s="201"/>
      <c r="H509" s="209"/>
      <c r="I509" s="209"/>
      <c r="J509" s="201"/>
      <c r="K509" s="210" t="s">
        <v>39</v>
      </c>
      <c r="L509" s="21"/>
      <c r="M509" s="201"/>
      <c r="N509" s="201"/>
      <c r="O509" s="201"/>
      <c r="P509" s="201"/>
      <c r="Q509" s="201"/>
      <c r="R509" s="201"/>
      <c r="S509" s="201"/>
      <c r="T509" s="201"/>
      <c r="U509" s="201"/>
      <c r="V509" s="201"/>
      <c r="W509" s="201"/>
      <c r="X509" s="201"/>
      <c r="Y509" s="201"/>
      <c r="Z509" s="201"/>
      <c r="AA509" s="201"/>
    </row>
    <row r="510">
      <c r="A510" s="201"/>
      <c r="B510" s="201"/>
      <c r="C510" s="201"/>
      <c r="D510" s="201"/>
      <c r="E510" s="201"/>
      <c r="F510" s="201"/>
      <c r="G510" s="201"/>
      <c r="H510" s="209"/>
      <c r="I510" s="209"/>
      <c r="J510" s="201"/>
      <c r="K510" s="210" t="s">
        <v>39</v>
      </c>
      <c r="L510" s="21"/>
      <c r="M510" s="201"/>
      <c r="N510" s="201"/>
      <c r="O510" s="201"/>
      <c r="P510" s="201"/>
      <c r="Q510" s="201"/>
      <c r="R510" s="201"/>
      <c r="S510" s="201"/>
      <c r="T510" s="201"/>
      <c r="U510" s="201"/>
      <c r="V510" s="201"/>
      <c r="W510" s="201"/>
      <c r="X510" s="201"/>
      <c r="Y510" s="201"/>
      <c r="Z510" s="201"/>
      <c r="AA510" s="201"/>
    </row>
    <row r="511">
      <c r="A511" s="201"/>
      <c r="B511" s="201"/>
      <c r="C511" s="201"/>
      <c r="D511" s="201"/>
      <c r="E511" s="201"/>
      <c r="F511" s="201"/>
      <c r="G511" s="201"/>
      <c r="H511" s="209"/>
      <c r="I511" s="209"/>
      <c r="J511" s="201"/>
      <c r="K511" s="210" t="s">
        <v>39</v>
      </c>
      <c r="L511" s="21"/>
      <c r="M511" s="201"/>
      <c r="N511" s="201"/>
      <c r="O511" s="201"/>
      <c r="P511" s="201"/>
      <c r="Q511" s="201"/>
      <c r="R511" s="201"/>
      <c r="S511" s="201"/>
      <c r="T511" s="201"/>
      <c r="U511" s="201"/>
      <c r="V511" s="201"/>
      <c r="W511" s="201"/>
      <c r="X511" s="201"/>
      <c r="Y511" s="201"/>
      <c r="Z511" s="201"/>
      <c r="AA511" s="201"/>
    </row>
    <row r="512">
      <c r="A512" s="201"/>
      <c r="B512" s="201"/>
      <c r="C512" s="201"/>
      <c r="D512" s="201"/>
      <c r="E512" s="201"/>
      <c r="F512" s="201"/>
      <c r="G512" s="201"/>
      <c r="H512" s="209"/>
      <c r="I512" s="209"/>
      <c r="J512" s="201"/>
      <c r="K512" s="210" t="s">
        <v>39</v>
      </c>
      <c r="L512" s="21"/>
      <c r="M512" s="201"/>
      <c r="N512" s="201"/>
      <c r="O512" s="201"/>
      <c r="P512" s="201"/>
      <c r="Q512" s="201"/>
      <c r="R512" s="201"/>
      <c r="S512" s="201"/>
      <c r="T512" s="201"/>
      <c r="U512" s="201"/>
      <c r="V512" s="201"/>
      <c r="W512" s="201"/>
      <c r="X512" s="201"/>
      <c r="Y512" s="201"/>
      <c r="Z512" s="201"/>
      <c r="AA512" s="201"/>
    </row>
    <row r="513">
      <c r="A513" s="201"/>
      <c r="B513" s="201"/>
      <c r="C513" s="201"/>
      <c r="D513" s="201"/>
      <c r="E513" s="201"/>
      <c r="F513" s="201"/>
      <c r="G513" s="201"/>
      <c r="H513" s="209"/>
      <c r="I513" s="209"/>
      <c r="J513" s="201"/>
      <c r="K513" s="210" t="s">
        <v>39</v>
      </c>
      <c r="L513" s="21"/>
      <c r="M513" s="201"/>
      <c r="N513" s="201"/>
      <c r="O513" s="201"/>
      <c r="P513" s="201"/>
      <c r="Q513" s="201"/>
      <c r="R513" s="201"/>
      <c r="S513" s="201"/>
      <c r="T513" s="201"/>
      <c r="U513" s="201"/>
      <c r="V513" s="201"/>
      <c r="W513" s="201"/>
      <c r="X513" s="201"/>
      <c r="Y513" s="201"/>
      <c r="Z513" s="201"/>
      <c r="AA513" s="201"/>
    </row>
    <row r="514">
      <c r="A514" s="201"/>
      <c r="B514" s="201"/>
      <c r="C514" s="201"/>
      <c r="D514" s="201"/>
      <c r="E514" s="201"/>
      <c r="F514" s="201"/>
      <c r="G514" s="201"/>
      <c r="H514" s="209"/>
      <c r="I514" s="209"/>
      <c r="J514" s="201"/>
      <c r="K514" s="210" t="s">
        <v>39</v>
      </c>
      <c r="L514" s="21"/>
      <c r="M514" s="201"/>
      <c r="N514" s="201"/>
      <c r="O514" s="201"/>
      <c r="P514" s="201"/>
      <c r="Q514" s="201"/>
      <c r="R514" s="201"/>
      <c r="S514" s="201"/>
      <c r="T514" s="201"/>
      <c r="U514" s="201"/>
      <c r="V514" s="201"/>
      <c r="W514" s="201"/>
      <c r="X514" s="201"/>
      <c r="Y514" s="201"/>
      <c r="Z514" s="201"/>
      <c r="AA514" s="201"/>
    </row>
    <row r="515">
      <c r="A515" s="201"/>
      <c r="B515" s="201"/>
      <c r="C515" s="201"/>
      <c r="D515" s="201"/>
      <c r="E515" s="201"/>
      <c r="F515" s="201"/>
      <c r="G515" s="201"/>
      <c r="H515" s="209"/>
      <c r="I515" s="209"/>
      <c r="J515" s="201"/>
      <c r="K515" s="210" t="s">
        <v>39</v>
      </c>
      <c r="L515" s="21"/>
      <c r="M515" s="201"/>
      <c r="N515" s="201"/>
      <c r="O515" s="201"/>
      <c r="P515" s="201"/>
      <c r="Q515" s="201"/>
      <c r="R515" s="201"/>
      <c r="S515" s="201"/>
      <c r="T515" s="201"/>
      <c r="U515" s="201"/>
      <c r="V515" s="201"/>
      <c r="W515" s="201"/>
      <c r="X515" s="201"/>
      <c r="Y515" s="201"/>
      <c r="Z515" s="201"/>
      <c r="AA515" s="201"/>
    </row>
    <row r="516">
      <c r="A516" s="201"/>
      <c r="B516" s="201"/>
      <c r="C516" s="201"/>
      <c r="D516" s="201"/>
      <c r="E516" s="201"/>
      <c r="F516" s="201"/>
      <c r="G516" s="201"/>
      <c r="H516" s="209"/>
      <c r="I516" s="209"/>
      <c r="J516" s="201"/>
      <c r="K516" s="210" t="s">
        <v>39</v>
      </c>
      <c r="L516" s="21"/>
      <c r="M516" s="201"/>
      <c r="N516" s="201"/>
      <c r="O516" s="201"/>
      <c r="P516" s="201"/>
      <c r="Q516" s="201"/>
      <c r="R516" s="201"/>
      <c r="S516" s="201"/>
      <c r="T516" s="201"/>
      <c r="U516" s="201"/>
      <c r="V516" s="201"/>
      <c r="W516" s="201"/>
      <c r="X516" s="201"/>
      <c r="Y516" s="201"/>
      <c r="Z516" s="201"/>
      <c r="AA516" s="201"/>
    </row>
    <row r="517">
      <c r="A517" s="201"/>
      <c r="B517" s="201"/>
      <c r="C517" s="201"/>
      <c r="D517" s="201"/>
      <c r="E517" s="201"/>
      <c r="F517" s="201"/>
      <c r="G517" s="201"/>
      <c r="H517" s="209"/>
      <c r="I517" s="209"/>
      <c r="J517" s="201"/>
      <c r="K517" s="210" t="s">
        <v>39</v>
      </c>
      <c r="L517" s="21"/>
      <c r="M517" s="201"/>
      <c r="N517" s="201"/>
      <c r="O517" s="201"/>
      <c r="P517" s="201"/>
      <c r="Q517" s="201"/>
      <c r="R517" s="201"/>
      <c r="S517" s="201"/>
      <c r="T517" s="201"/>
      <c r="U517" s="201"/>
      <c r="V517" s="201"/>
      <c r="W517" s="201"/>
      <c r="X517" s="201"/>
      <c r="Y517" s="201"/>
      <c r="Z517" s="201"/>
      <c r="AA517" s="201"/>
    </row>
    <row r="518">
      <c r="A518" s="201"/>
      <c r="B518" s="201"/>
      <c r="C518" s="201"/>
      <c r="D518" s="201"/>
      <c r="E518" s="201"/>
      <c r="F518" s="201"/>
      <c r="G518" s="201"/>
      <c r="H518" s="209"/>
      <c r="I518" s="209"/>
      <c r="J518" s="201"/>
      <c r="K518" s="210" t="s">
        <v>39</v>
      </c>
      <c r="L518" s="21"/>
      <c r="M518" s="201"/>
      <c r="N518" s="201"/>
      <c r="O518" s="201"/>
      <c r="P518" s="201"/>
      <c r="Q518" s="201"/>
      <c r="R518" s="201"/>
      <c r="S518" s="201"/>
      <c r="T518" s="201"/>
      <c r="U518" s="201"/>
      <c r="V518" s="201"/>
      <c r="W518" s="201"/>
      <c r="X518" s="201"/>
      <c r="Y518" s="201"/>
      <c r="Z518" s="201"/>
      <c r="AA518" s="201"/>
    </row>
    <row r="519">
      <c r="A519" s="201"/>
      <c r="B519" s="201"/>
      <c r="C519" s="201"/>
      <c r="D519" s="201"/>
      <c r="E519" s="201"/>
      <c r="F519" s="201"/>
      <c r="G519" s="201"/>
      <c r="H519" s="209"/>
      <c r="I519" s="209"/>
      <c r="J519" s="201"/>
      <c r="K519" s="210" t="s">
        <v>39</v>
      </c>
      <c r="L519" s="21"/>
      <c r="M519" s="201"/>
      <c r="N519" s="201"/>
      <c r="O519" s="201"/>
      <c r="P519" s="201"/>
      <c r="Q519" s="201"/>
      <c r="R519" s="201"/>
      <c r="S519" s="201"/>
      <c r="T519" s="201"/>
      <c r="U519" s="201"/>
      <c r="V519" s="201"/>
      <c r="W519" s="201"/>
      <c r="X519" s="201"/>
      <c r="Y519" s="201"/>
      <c r="Z519" s="201"/>
      <c r="AA519" s="201"/>
    </row>
    <row r="520">
      <c r="A520" s="201"/>
      <c r="B520" s="201"/>
      <c r="C520" s="201"/>
      <c r="D520" s="201"/>
      <c r="E520" s="201"/>
      <c r="F520" s="201"/>
      <c r="G520" s="201"/>
      <c r="H520" s="209"/>
      <c r="I520" s="209"/>
      <c r="J520" s="201"/>
      <c r="K520" s="210" t="s">
        <v>39</v>
      </c>
      <c r="L520" s="21"/>
      <c r="M520" s="201"/>
      <c r="N520" s="201"/>
      <c r="O520" s="201"/>
      <c r="P520" s="201"/>
      <c r="Q520" s="201"/>
      <c r="R520" s="201"/>
      <c r="S520" s="201"/>
      <c r="T520" s="201"/>
      <c r="U520" s="201"/>
      <c r="V520" s="201"/>
      <c r="W520" s="201"/>
      <c r="X520" s="201"/>
      <c r="Y520" s="201"/>
      <c r="Z520" s="201"/>
      <c r="AA520" s="201"/>
    </row>
    <row r="521">
      <c r="A521" s="201"/>
      <c r="B521" s="201"/>
      <c r="C521" s="201"/>
      <c r="D521" s="201"/>
      <c r="E521" s="201"/>
      <c r="F521" s="201"/>
      <c r="G521" s="201"/>
      <c r="H521" s="209"/>
      <c r="I521" s="209"/>
      <c r="J521" s="201"/>
      <c r="K521" s="210" t="s">
        <v>39</v>
      </c>
      <c r="L521" s="21"/>
      <c r="M521" s="201"/>
      <c r="N521" s="201"/>
      <c r="O521" s="201"/>
      <c r="P521" s="201"/>
      <c r="Q521" s="201"/>
      <c r="R521" s="201"/>
      <c r="S521" s="201"/>
      <c r="T521" s="201"/>
      <c r="U521" s="201"/>
      <c r="V521" s="201"/>
      <c r="W521" s="201"/>
      <c r="X521" s="201"/>
      <c r="Y521" s="201"/>
      <c r="Z521" s="201"/>
      <c r="AA521" s="201"/>
    </row>
    <row r="522">
      <c r="A522" s="201"/>
      <c r="B522" s="201"/>
      <c r="C522" s="201"/>
      <c r="D522" s="201"/>
      <c r="E522" s="201"/>
      <c r="F522" s="201"/>
      <c r="G522" s="201"/>
      <c r="H522" s="209"/>
      <c r="I522" s="209"/>
      <c r="J522" s="201"/>
      <c r="K522" s="210" t="s">
        <v>39</v>
      </c>
      <c r="L522" s="21"/>
      <c r="M522" s="201"/>
      <c r="N522" s="201"/>
      <c r="O522" s="201"/>
      <c r="P522" s="201"/>
      <c r="Q522" s="201"/>
      <c r="R522" s="201"/>
      <c r="S522" s="201"/>
      <c r="T522" s="201"/>
      <c r="U522" s="201"/>
      <c r="V522" s="201"/>
      <c r="W522" s="201"/>
      <c r="X522" s="201"/>
      <c r="Y522" s="201"/>
      <c r="Z522" s="201"/>
      <c r="AA522" s="201"/>
    </row>
    <row r="523">
      <c r="A523" s="201"/>
      <c r="B523" s="201"/>
      <c r="C523" s="201"/>
      <c r="D523" s="201"/>
      <c r="E523" s="201"/>
      <c r="F523" s="201"/>
      <c r="G523" s="201"/>
      <c r="H523" s="209"/>
      <c r="I523" s="209"/>
      <c r="J523" s="201"/>
      <c r="K523" s="210" t="s">
        <v>39</v>
      </c>
      <c r="L523" s="21"/>
      <c r="M523" s="201"/>
      <c r="N523" s="201"/>
      <c r="O523" s="201"/>
      <c r="P523" s="201"/>
      <c r="Q523" s="201"/>
      <c r="R523" s="201"/>
      <c r="S523" s="201"/>
      <c r="T523" s="201"/>
      <c r="U523" s="201"/>
      <c r="V523" s="201"/>
      <c r="W523" s="201"/>
      <c r="X523" s="201"/>
      <c r="Y523" s="201"/>
      <c r="Z523" s="201"/>
      <c r="AA523" s="201"/>
    </row>
    <row r="524">
      <c r="A524" s="201"/>
      <c r="B524" s="201"/>
      <c r="C524" s="201"/>
      <c r="D524" s="201"/>
      <c r="E524" s="201"/>
      <c r="F524" s="201"/>
      <c r="G524" s="201"/>
      <c r="H524" s="209"/>
      <c r="I524" s="209"/>
      <c r="J524" s="201"/>
      <c r="K524" s="210" t="s">
        <v>39</v>
      </c>
      <c r="L524" s="21"/>
      <c r="M524" s="201"/>
      <c r="N524" s="201"/>
      <c r="O524" s="201"/>
      <c r="P524" s="201"/>
      <c r="Q524" s="201"/>
      <c r="R524" s="201"/>
      <c r="S524" s="201"/>
      <c r="T524" s="201"/>
      <c r="U524" s="201"/>
      <c r="V524" s="201"/>
      <c r="W524" s="201"/>
      <c r="X524" s="201"/>
      <c r="Y524" s="201"/>
      <c r="Z524" s="201"/>
      <c r="AA524" s="201"/>
    </row>
    <row r="525">
      <c r="A525" s="201"/>
      <c r="B525" s="201"/>
      <c r="C525" s="201"/>
      <c r="D525" s="201"/>
      <c r="E525" s="201"/>
      <c r="F525" s="201"/>
      <c r="G525" s="201"/>
      <c r="H525" s="209"/>
      <c r="I525" s="209"/>
      <c r="J525" s="201"/>
      <c r="K525" s="210" t="s">
        <v>39</v>
      </c>
      <c r="L525" s="21"/>
      <c r="M525" s="201"/>
      <c r="N525" s="201"/>
      <c r="O525" s="201"/>
      <c r="P525" s="201"/>
      <c r="Q525" s="201"/>
      <c r="R525" s="201"/>
      <c r="S525" s="201"/>
      <c r="T525" s="201"/>
      <c r="U525" s="201"/>
      <c r="V525" s="201"/>
      <c r="W525" s="201"/>
      <c r="X525" s="201"/>
      <c r="Y525" s="201"/>
      <c r="Z525" s="201"/>
      <c r="AA525" s="201"/>
    </row>
    <row r="526">
      <c r="A526" s="201"/>
      <c r="B526" s="201"/>
      <c r="C526" s="201"/>
      <c r="D526" s="201"/>
      <c r="E526" s="201"/>
      <c r="F526" s="201"/>
      <c r="G526" s="201"/>
      <c r="H526" s="209"/>
      <c r="I526" s="209"/>
      <c r="J526" s="201"/>
      <c r="K526" s="210" t="s">
        <v>39</v>
      </c>
      <c r="L526" s="21"/>
      <c r="M526" s="201"/>
      <c r="N526" s="201"/>
      <c r="O526" s="201"/>
      <c r="P526" s="201"/>
      <c r="Q526" s="201"/>
      <c r="R526" s="201"/>
      <c r="S526" s="201"/>
      <c r="T526" s="201"/>
      <c r="U526" s="201"/>
      <c r="V526" s="201"/>
      <c r="W526" s="201"/>
      <c r="X526" s="201"/>
      <c r="Y526" s="201"/>
      <c r="Z526" s="201"/>
      <c r="AA526" s="201"/>
    </row>
    <row r="527">
      <c r="A527" s="201"/>
      <c r="B527" s="201"/>
      <c r="C527" s="201"/>
      <c r="D527" s="201"/>
      <c r="E527" s="201"/>
      <c r="F527" s="201"/>
      <c r="G527" s="201"/>
      <c r="H527" s="209"/>
      <c r="I527" s="209"/>
      <c r="J527" s="201"/>
      <c r="K527" s="210" t="s">
        <v>39</v>
      </c>
      <c r="L527" s="21"/>
      <c r="M527" s="201"/>
      <c r="N527" s="201"/>
      <c r="O527" s="201"/>
      <c r="P527" s="201"/>
      <c r="Q527" s="201"/>
      <c r="R527" s="201"/>
      <c r="S527" s="201"/>
      <c r="T527" s="201"/>
      <c r="U527" s="201"/>
      <c r="V527" s="201"/>
      <c r="W527" s="201"/>
      <c r="X527" s="201"/>
      <c r="Y527" s="201"/>
      <c r="Z527" s="201"/>
      <c r="AA527" s="201"/>
    </row>
    <row r="528">
      <c r="A528" s="201"/>
      <c r="B528" s="201"/>
      <c r="C528" s="201"/>
      <c r="D528" s="201"/>
      <c r="E528" s="201"/>
      <c r="F528" s="201"/>
      <c r="G528" s="201"/>
      <c r="H528" s="209"/>
      <c r="I528" s="209"/>
      <c r="J528" s="201"/>
      <c r="K528" s="210" t="s">
        <v>39</v>
      </c>
      <c r="L528" s="21"/>
      <c r="M528" s="201"/>
      <c r="N528" s="201"/>
      <c r="O528" s="201"/>
      <c r="P528" s="201"/>
      <c r="Q528" s="201"/>
      <c r="R528" s="201"/>
      <c r="S528" s="201"/>
      <c r="T528" s="201"/>
      <c r="U528" s="201"/>
      <c r="V528" s="201"/>
      <c r="W528" s="201"/>
      <c r="X528" s="201"/>
      <c r="Y528" s="201"/>
      <c r="Z528" s="201"/>
      <c r="AA528" s="201"/>
    </row>
    <row r="529">
      <c r="A529" s="201"/>
      <c r="B529" s="201"/>
      <c r="C529" s="201"/>
      <c r="D529" s="201"/>
      <c r="E529" s="201"/>
      <c r="F529" s="201"/>
      <c r="G529" s="201"/>
      <c r="H529" s="209"/>
      <c r="I529" s="209"/>
      <c r="J529" s="201"/>
      <c r="K529" s="210" t="s">
        <v>39</v>
      </c>
      <c r="L529" s="21"/>
      <c r="M529" s="201"/>
      <c r="N529" s="201"/>
      <c r="O529" s="201"/>
      <c r="P529" s="201"/>
      <c r="Q529" s="201"/>
      <c r="R529" s="201"/>
      <c r="S529" s="201"/>
      <c r="T529" s="201"/>
      <c r="U529" s="201"/>
      <c r="V529" s="201"/>
      <c r="W529" s="201"/>
      <c r="X529" s="201"/>
      <c r="Y529" s="201"/>
      <c r="Z529" s="201"/>
      <c r="AA529" s="201"/>
    </row>
    <row r="530">
      <c r="A530" s="201"/>
      <c r="B530" s="201"/>
      <c r="C530" s="201"/>
      <c r="D530" s="201"/>
      <c r="E530" s="201"/>
      <c r="F530" s="201"/>
      <c r="G530" s="201"/>
      <c r="H530" s="209"/>
      <c r="I530" s="209"/>
      <c r="J530" s="201"/>
      <c r="K530" s="210" t="s">
        <v>39</v>
      </c>
      <c r="L530" s="21"/>
      <c r="M530" s="201"/>
      <c r="N530" s="201"/>
      <c r="O530" s="201"/>
      <c r="P530" s="201"/>
      <c r="Q530" s="201"/>
      <c r="R530" s="201"/>
      <c r="S530" s="201"/>
      <c r="T530" s="201"/>
      <c r="U530" s="201"/>
      <c r="V530" s="201"/>
      <c r="W530" s="201"/>
      <c r="X530" s="201"/>
      <c r="Y530" s="201"/>
      <c r="Z530" s="201"/>
      <c r="AA530" s="201"/>
    </row>
    <row r="531">
      <c r="A531" s="201"/>
      <c r="B531" s="201"/>
      <c r="C531" s="201"/>
      <c r="D531" s="201"/>
      <c r="E531" s="201"/>
      <c r="F531" s="201"/>
      <c r="G531" s="201"/>
      <c r="H531" s="209"/>
      <c r="I531" s="209"/>
      <c r="J531" s="201"/>
      <c r="K531" s="210" t="s">
        <v>39</v>
      </c>
      <c r="L531" s="21"/>
      <c r="M531" s="201"/>
      <c r="N531" s="201"/>
      <c r="O531" s="201"/>
      <c r="P531" s="201"/>
      <c r="Q531" s="201"/>
      <c r="R531" s="201"/>
      <c r="S531" s="201"/>
      <c r="T531" s="201"/>
      <c r="U531" s="201"/>
      <c r="V531" s="201"/>
      <c r="W531" s="201"/>
      <c r="X531" s="201"/>
      <c r="Y531" s="201"/>
      <c r="Z531" s="201"/>
      <c r="AA531" s="201"/>
    </row>
    <row r="532">
      <c r="A532" s="201"/>
      <c r="B532" s="201"/>
      <c r="C532" s="201"/>
      <c r="D532" s="201"/>
      <c r="E532" s="201"/>
      <c r="F532" s="201"/>
      <c r="G532" s="201"/>
      <c r="H532" s="209"/>
      <c r="I532" s="209"/>
      <c r="J532" s="201"/>
      <c r="K532" s="210" t="s">
        <v>39</v>
      </c>
      <c r="L532" s="21"/>
      <c r="M532" s="201"/>
      <c r="N532" s="201"/>
      <c r="O532" s="201"/>
      <c r="P532" s="201"/>
      <c r="Q532" s="201"/>
      <c r="R532" s="201"/>
      <c r="S532" s="201"/>
      <c r="T532" s="201"/>
      <c r="U532" s="201"/>
      <c r="V532" s="201"/>
      <c r="W532" s="201"/>
      <c r="X532" s="201"/>
      <c r="Y532" s="201"/>
      <c r="Z532" s="201"/>
      <c r="AA532" s="201"/>
    </row>
    <row r="533">
      <c r="A533" s="201"/>
      <c r="B533" s="201"/>
      <c r="C533" s="201"/>
      <c r="D533" s="201"/>
      <c r="E533" s="201"/>
      <c r="F533" s="201"/>
      <c r="G533" s="201"/>
      <c r="H533" s="209"/>
      <c r="I533" s="209"/>
      <c r="J533" s="201"/>
      <c r="K533" s="210" t="s">
        <v>39</v>
      </c>
      <c r="L533" s="21"/>
      <c r="M533" s="201"/>
      <c r="N533" s="201"/>
      <c r="O533" s="201"/>
      <c r="P533" s="201"/>
      <c r="Q533" s="201"/>
      <c r="R533" s="201"/>
      <c r="S533" s="201"/>
      <c r="T533" s="201"/>
      <c r="U533" s="201"/>
      <c r="V533" s="201"/>
      <c r="W533" s="201"/>
      <c r="X533" s="201"/>
      <c r="Y533" s="201"/>
      <c r="Z533" s="201"/>
      <c r="AA533" s="201"/>
    </row>
    <row r="534">
      <c r="A534" s="201"/>
      <c r="B534" s="201"/>
      <c r="C534" s="201"/>
      <c r="D534" s="201"/>
      <c r="E534" s="201"/>
      <c r="F534" s="201"/>
      <c r="G534" s="201"/>
      <c r="H534" s="209"/>
      <c r="I534" s="209"/>
      <c r="J534" s="201"/>
      <c r="K534" s="210" t="s">
        <v>39</v>
      </c>
      <c r="L534" s="21"/>
      <c r="M534" s="201"/>
      <c r="N534" s="201"/>
      <c r="O534" s="201"/>
      <c r="P534" s="201"/>
      <c r="Q534" s="201"/>
      <c r="R534" s="201"/>
      <c r="S534" s="201"/>
      <c r="T534" s="201"/>
      <c r="U534" s="201"/>
      <c r="V534" s="201"/>
      <c r="W534" s="201"/>
      <c r="X534" s="201"/>
      <c r="Y534" s="201"/>
      <c r="Z534" s="201"/>
      <c r="AA534" s="201"/>
    </row>
    <row r="535">
      <c r="A535" s="201"/>
      <c r="B535" s="201"/>
      <c r="C535" s="201"/>
      <c r="D535" s="201"/>
      <c r="E535" s="201"/>
      <c r="F535" s="201"/>
      <c r="G535" s="201"/>
      <c r="H535" s="209"/>
      <c r="I535" s="209"/>
      <c r="J535" s="201"/>
      <c r="K535" s="210" t="s">
        <v>39</v>
      </c>
      <c r="L535" s="21"/>
      <c r="M535" s="201"/>
      <c r="N535" s="201"/>
      <c r="O535" s="201"/>
      <c r="P535" s="201"/>
      <c r="Q535" s="201"/>
      <c r="R535" s="201"/>
      <c r="S535" s="201"/>
      <c r="T535" s="201"/>
      <c r="U535" s="201"/>
      <c r="V535" s="201"/>
      <c r="W535" s="201"/>
      <c r="X535" s="201"/>
      <c r="Y535" s="201"/>
      <c r="Z535" s="201"/>
      <c r="AA535" s="201"/>
    </row>
    <row r="536">
      <c r="A536" s="201"/>
      <c r="B536" s="201"/>
      <c r="C536" s="201"/>
      <c r="D536" s="201"/>
      <c r="E536" s="201"/>
      <c r="F536" s="201"/>
      <c r="G536" s="201"/>
      <c r="H536" s="209"/>
      <c r="I536" s="209"/>
      <c r="J536" s="201"/>
      <c r="K536" s="210" t="s">
        <v>39</v>
      </c>
      <c r="L536" s="21"/>
      <c r="M536" s="201"/>
      <c r="N536" s="201"/>
      <c r="O536" s="201"/>
      <c r="P536" s="201"/>
      <c r="Q536" s="201"/>
      <c r="R536" s="201"/>
      <c r="S536" s="201"/>
      <c r="T536" s="201"/>
      <c r="U536" s="201"/>
      <c r="V536" s="201"/>
      <c r="W536" s="201"/>
      <c r="X536" s="201"/>
      <c r="Y536" s="201"/>
      <c r="Z536" s="201"/>
      <c r="AA536" s="201"/>
    </row>
    <row r="537">
      <c r="A537" s="201"/>
      <c r="B537" s="201"/>
      <c r="C537" s="201"/>
      <c r="D537" s="201"/>
      <c r="E537" s="201"/>
      <c r="F537" s="201"/>
      <c r="G537" s="201"/>
      <c r="H537" s="209"/>
      <c r="I537" s="209"/>
      <c r="J537" s="201"/>
      <c r="K537" s="210" t="s">
        <v>39</v>
      </c>
      <c r="L537" s="21"/>
      <c r="M537" s="201"/>
      <c r="N537" s="201"/>
      <c r="O537" s="201"/>
      <c r="P537" s="201"/>
      <c r="Q537" s="201"/>
      <c r="R537" s="201"/>
      <c r="S537" s="201"/>
      <c r="T537" s="201"/>
      <c r="U537" s="201"/>
      <c r="V537" s="201"/>
      <c r="W537" s="201"/>
      <c r="X537" s="201"/>
      <c r="Y537" s="201"/>
      <c r="Z537" s="201"/>
      <c r="AA537" s="201"/>
    </row>
    <row r="538">
      <c r="A538" s="201"/>
      <c r="B538" s="201"/>
      <c r="C538" s="201"/>
      <c r="D538" s="201"/>
      <c r="E538" s="201"/>
      <c r="F538" s="201"/>
      <c r="G538" s="201"/>
      <c r="H538" s="209"/>
      <c r="I538" s="209"/>
      <c r="J538" s="201"/>
      <c r="K538" s="210" t="s">
        <v>39</v>
      </c>
      <c r="L538" s="21"/>
      <c r="M538" s="201"/>
      <c r="N538" s="201"/>
      <c r="O538" s="201"/>
      <c r="P538" s="201"/>
      <c r="Q538" s="201"/>
      <c r="R538" s="201"/>
      <c r="S538" s="201"/>
      <c r="T538" s="201"/>
      <c r="U538" s="201"/>
      <c r="V538" s="201"/>
      <c r="W538" s="201"/>
      <c r="X538" s="201"/>
      <c r="Y538" s="201"/>
      <c r="Z538" s="201"/>
      <c r="AA538" s="201"/>
    </row>
    <row r="539">
      <c r="A539" s="201"/>
      <c r="B539" s="201"/>
      <c r="C539" s="201"/>
      <c r="D539" s="201"/>
      <c r="E539" s="201"/>
      <c r="F539" s="201"/>
      <c r="G539" s="201"/>
      <c r="H539" s="209"/>
      <c r="I539" s="209"/>
      <c r="J539" s="201"/>
      <c r="K539" s="210" t="s">
        <v>39</v>
      </c>
      <c r="L539" s="21"/>
      <c r="M539" s="201"/>
      <c r="N539" s="201"/>
      <c r="O539" s="201"/>
      <c r="P539" s="201"/>
      <c r="Q539" s="201"/>
      <c r="R539" s="201"/>
      <c r="S539" s="201"/>
      <c r="T539" s="201"/>
      <c r="U539" s="201"/>
      <c r="V539" s="201"/>
      <c r="W539" s="201"/>
      <c r="X539" s="201"/>
      <c r="Y539" s="201"/>
      <c r="Z539" s="201"/>
      <c r="AA539" s="201"/>
    </row>
    <row r="540">
      <c r="A540" s="201"/>
      <c r="B540" s="201"/>
      <c r="C540" s="201"/>
      <c r="D540" s="201"/>
      <c r="E540" s="201"/>
      <c r="F540" s="201"/>
      <c r="G540" s="201"/>
      <c r="H540" s="209"/>
      <c r="I540" s="209"/>
      <c r="J540" s="201"/>
      <c r="K540" s="210" t="s">
        <v>39</v>
      </c>
      <c r="L540" s="21"/>
      <c r="M540" s="201"/>
      <c r="N540" s="201"/>
      <c r="O540" s="201"/>
      <c r="P540" s="201"/>
      <c r="Q540" s="201"/>
      <c r="R540" s="201"/>
      <c r="S540" s="201"/>
      <c r="T540" s="201"/>
      <c r="U540" s="201"/>
      <c r="V540" s="201"/>
      <c r="W540" s="201"/>
      <c r="X540" s="201"/>
      <c r="Y540" s="201"/>
      <c r="Z540" s="201"/>
      <c r="AA540" s="201"/>
    </row>
    <row r="541">
      <c r="A541" s="201"/>
      <c r="B541" s="201"/>
      <c r="C541" s="201"/>
      <c r="D541" s="201"/>
      <c r="E541" s="201"/>
      <c r="F541" s="201"/>
      <c r="G541" s="201"/>
      <c r="H541" s="209"/>
      <c r="I541" s="209"/>
      <c r="J541" s="201"/>
      <c r="K541" s="210" t="s">
        <v>39</v>
      </c>
      <c r="L541" s="21"/>
      <c r="M541" s="201"/>
      <c r="N541" s="201"/>
      <c r="O541" s="201"/>
      <c r="P541" s="201"/>
      <c r="Q541" s="201"/>
      <c r="R541" s="201"/>
      <c r="S541" s="201"/>
      <c r="T541" s="201"/>
      <c r="U541" s="201"/>
      <c r="V541" s="201"/>
      <c r="W541" s="201"/>
      <c r="X541" s="201"/>
      <c r="Y541" s="201"/>
      <c r="Z541" s="201"/>
      <c r="AA541" s="201"/>
    </row>
    <row r="542">
      <c r="A542" s="201"/>
      <c r="B542" s="201"/>
      <c r="C542" s="201"/>
      <c r="D542" s="201"/>
      <c r="E542" s="201"/>
      <c r="F542" s="201"/>
      <c r="G542" s="201"/>
      <c r="H542" s="209"/>
      <c r="I542" s="209"/>
      <c r="J542" s="201"/>
      <c r="K542" s="210" t="s">
        <v>39</v>
      </c>
      <c r="L542" s="21"/>
      <c r="M542" s="201"/>
      <c r="N542" s="201"/>
      <c r="O542" s="201"/>
      <c r="P542" s="201"/>
      <c r="Q542" s="201"/>
      <c r="R542" s="201"/>
      <c r="S542" s="201"/>
      <c r="T542" s="201"/>
      <c r="U542" s="201"/>
      <c r="V542" s="201"/>
      <c r="W542" s="201"/>
      <c r="X542" s="201"/>
      <c r="Y542" s="201"/>
      <c r="Z542" s="201"/>
      <c r="AA542" s="201"/>
    </row>
    <row r="543">
      <c r="A543" s="201"/>
      <c r="B543" s="201"/>
      <c r="C543" s="201"/>
      <c r="D543" s="201"/>
      <c r="E543" s="201"/>
      <c r="F543" s="201"/>
      <c r="G543" s="201"/>
      <c r="H543" s="209"/>
      <c r="I543" s="209"/>
      <c r="J543" s="201"/>
      <c r="K543" s="210" t="s">
        <v>39</v>
      </c>
      <c r="L543" s="21"/>
      <c r="M543" s="201"/>
      <c r="N543" s="201"/>
      <c r="O543" s="201"/>
      <c r="P543" s="201"/>
      <c r="Q543" s="201"/>
      <c r="R543" s="201"/>
      <c r="S543" s="201"/>
      <c r="T543" s="201"/>
      <c r="U543" s="201"/>
      <c r="V543" s="201"/>
      <c r="W543" s="201"/>
      <c r="X543" s="201"/>
      <c r="Y543" s="201"/>
      <c r="Z543" s="201"/>
      <c r="AA543" s="201"/>
    </row>
    <row r="544">
      <c r="A544" s="201"/>
      <c r="B544" s="201"/>
      <c r="C544" s="201"/>
      <c r="D544" s="201"/>
      <c r="E544" s="201"/>
      <c r="F544" s="201"/>
      <c r="G544" s="201"/>
      <c r="H544" s="209"/>
      <c r="I544" s="209"/>
      <c r="J544" s="201"/>
      <c r="K544" s="210" t="s">
        <v>39</v>
      </c>
      <c r="L544" s="21"/>
      <c r="M544" s="201"/>
      <c r="N544" s="201"/>
      <c r="O544" s="201"/>
      <c r="P544" s="201"/>
      <c r="Q544" s="201"/>
      <c r="R544" s="201"/>
      <c r="S544" s="201"/>
      <c r="T544" s="201"/>
      <c r="U544" s="201"/>
      <c r="V544" s="201"/>
      <c r="W544" s="201"/>
      <c r="X544" s="201"/>
      <c r="Y544" s="201"/>
      <c r="Z544" s="201"/>
      <c r="AA544" s="201"/>
    </row>
    <row r="545">
      <c r="A545" s="201"/>
      <c r="B545" s="201"/>
      <c r="C545" s="201"/>
      <c r="D545" s="201"/>
      <c r="E545" s="201"/>
      <c r="F545" s="201"/>
      <c r="G545" s="201"/>
      <c r="H545" s="209"/>
      <c r="I545" s="209"/>
      <c r="J545" s="201"/>
      <c r="K545" s="210" t="s">
        <v>39</v>
      </c>
      <c r="L545" s="21"/>
      <c r="M545" s="201"/>
      <c r="N545" s="201"/>
      <c r="O545" s="201"/>
      <c r="P545" s="201"/>
      <c r="Q545" s="201"/>
      <c r="R545" s="201"/>
      <c r="S545" s="201"/>
      <c r="T545" s="201"/>
      <c r="U545" s="201"/>
      <c r="V545" s="201"/>
      <c r="W545" s="201"/>
      <c r="X545" s="201"/>
      <c r="Y545" s="201"/>
      <c r="Z545" s="201"/>
      <c r="AA545" s="201"/>
    </row>
    <row r="546">
      <c r="A546" s="201"/>
      <c r="B546" s="201"/>
      <c r="C546" s="201"/>
      <c r="D546" s="201"/>
      <c r="E546" s="201"/>
      <c r="F546" s="201"/>
      <c r="G546" s="201"/>
      <c r="H546" s="209"/>
      <c r="I546" s="209"/>
      <c r="J546" s="201"/>
      <c r="K546" s="210" t="s">
        <v>39</v>
      </c>
      <c r="L546" s="21"/>
      <c r="M546" s="201"/>
      <c r="N546" s="201"/>
      <c r="O546" s="201"/>
      <c r="P546" s="201"/>
      <c r="Q546" s="201"/>
      <c r="R546" s="201"/>
      <c r="S546" s="201"/>
      <c r="T546" s="201"/>
      <c r="U546" s="201"/>
      <c r="V546" s="201"/>
      <c r="W546" s="201"/>
      <c r="X546" s="201"/>
      <c r="Y546" s="201"/>
      <c r="Z546" s="201"/>
      <c r="AA546" s="201"/>
    </row>
    <row r="547">
      <c r="A547" s="201"/>
      <c r="B547" s="201"/>
      <c r="C547" s="201"/>
      <c r="D547" s="201"/>
      <c r="E547" s="201"/>
      <c r="F547" s="201"/>
      <c r="G547" s="201"/>
      <c r="H547" s="209"/>
      <c r="I547" s="209"/>
      <c r="J547" s="201"/>
      <c r="K547" s="210" t="s">
        <v>39</v>
      </c>
      <c r="L547" s="21"/>
      <c r="M547" s="201"/>
      <c r="N547" s="201"/>
      <c r="O547" s="201"/>
      <c r="P547" s="201"/>
      <c r="Q547" s="201"/>
      <c r="R547" s="201"/>
      <c r="S547" s="201"/>
      <c r="T547" s="201"/>
      <c r="U547" s="201"/>
      <c r="V547" s="201"/>
      <c r="W547" s="201"/>
      <c r="X547" s="201"/>
      <c r="Y547" s="201"/>
      <c r="Z547" s="201"/>
      <c r="AA547" s="201"/>
    </row>
    <row r="548">
      <c r="A548" s="201"/>
      <c r="B548" s="201"/>
      <c r="C548" s="201"/>
      <c r="D548" s="201"/>
      <c r="E548" s="201"/>
      <c r="F548" s="201"/>
      <c r="G548" s="201"/>
      <c r="H548" s="209"/>
      <c r="I548" s="209"/>
      <c r="J548" s="201"/>
      <c r="K548" s="210" t="s">
        <v>39</v>
      </c>
      <c r="L548" s="21"/>
      <c r="M548" s="201"/>
      <c r="N548" s="201"/>
      <c r="O548" s="201"/>
      <c r="P548" s="201"/>
      <c r="Q548" s="201"/>
      <c r="R548" s="201"/>
      <c r="S548" s="201"/>
      <c r="T548" s="201"/>
      <c r="U548" s="201"/>
      <c r="V548" s="201"/>
      <c r="W548" s="201"/>
      <c r="X548" s="201"/>
      <c r="Y548" s="201"/>
      <c r="Z548" s="201"/>
      <c r="AA548" s="201"/>
    </row>
    <row r="549">
      <c r="A549" s="201"/>
      <c r="B549" s="201"/>
      <c r="C549" s="201"/>
      <c r="D549" s="201"/>
      <c r="E549" s="201"/>
      <c r="F549" s="201"/>
      <c r="G549" s="201"/>
      <c r="H549" s="209"/>
      <c r="I549" s="209"/>
      <c r="J549" s="201"/>
      <c r="K549" s="210" t="s">
        <v>39</v>
      </c>
      <c r="L549" s="21"/>
      <c r="M549" s="201"/>
      <c r="N549" s="201"/>
      <c r="O549" s="201"/>
      <c r="P549" s="201"/>
      <c r="Q549" s="201"/>
      <c r="R549" s="201"/>
      <c r="S549" s="201"/>
      <c r="T549" s="201"/>
      <c r="U549" s="201"/>
      <c r="V549" s="201"/>
      <c r="W549" s="201"/>
      <c r="X549" s="201"/>
      <c r="Y549" s="201"/>
      <c r="Z549" s="201"/>
      <c r="AA549" s="201"/>
    </row>
    <row r="550">
      <c r="A550" s="201"/>
      <c r="B550" s="201"/>
      <c r="C550" s="201"/>
      <c r="D550" s="201"/>
      <c r="E550" s="201"/>
      <c r="F550" s="201"/>
      <c r="G550" s="201"/>
      <c r="H550" s="209"/>
      <c r="I550" s="209"/>
      <c r="J550" s="201"/>
      <c r="K550" s="210" t="s">
        <v>39</v>
      </c>
      <c r="L550" s="21"/>
      <c r="M550" s="201"/>
      <c r="N550" s="201"/>
      <c r="O550" s="201"/>
      <c r="P550" s="201"/>
      <c r="Q550" s="201"/>
      <c r="R550" s="201"/>
      <c r="S550" s="201"/>
      <c r="T550" s="201"/>
      <c r="U550" s="201"/>
      <c r="V550" s="201"/>
      <c r="W550" s="201"/>
      <c r="X550" s="201"/>
      <c r="Y550" s="201"/>
      <c r="Z550" s="201"/>
      <c r="AA550" s="201"/>
    </row>
    <row r="551">
      <c r="A551" s="201"/>
      <c r="B551" s="201"/>
      <c r="C551" s="201"/>
      <c r="D551" s="201"/>
      <c r="E551" s="201"/>
      <c r="F551" s="201"/>
      <c r="G551" s="201"/>
      <c r="H551" s="209"/>
      <c r="I551" s="209"/>
      <c r="J551" s="201"/>
      <c r="K551" s="210" t="s">
        <v>39</v>
      </c>
      <c r="L551" s="21"/>
      <c r="M551" s="201"/>
      <c r="N551" s="201"/>
      <c r="O551" s="201"/>
      <c r="P551" s="201"/>
      <c r="Q551" s="201"/>
      <c r="R551" s="201"/>
      <c r="S551" s="201"/>
      <c r="T551" s="201"/>
      <c r="U551" s="201"/>
      <c r="V551" s="201"/>
      <c r="W551" s="201"/>
      <c r="X551" s="201"/>
      <c r="Y551" s="201"/>
      <c r="Z551" s="201"/>
      <c r="AA551" s="201"/>
    </row>
    <row r="552">
      <c r="A552" s="201"/>
      <c r="B552" s="201"/>
      <c r="C552" s="201"/>
      <c r="D552" s="201"/>
      <c r="E552" s="201"/>
      <c r="F552" s="201"/>
      <c r="G552" s="201"/>
      <c r="H552" s="209"/>
      <c r="I552" s="209"/>
      <c r="J552" s="201"/>
      <c r="K552" s="210" t="s">
        <v>39</v>
      </c>
      <c r="L552" s="21"/>
      <c r="M552" s="201"/>
      <c r="N552" s="201"/>
      <c r="O552" s="201"/>
      <c r="P552" s="201"/>
      <c r="Q552" s="201"/>
      <c r="R552" s="201"/>
      <c r="S552" s="201"/>
      <c r="T552" s="201"/>
      <c r="U552" s="201"/>
      <c r="V552" s="201"/>
      <c r="W552" s="201"/>
      <c r="X552" s="201"/>
      <c r="Y552" s="201"/>
      <c r="Z552" s="201"/>
      <c r="AA552" s="201"/>
    </row>
    <row r="553">
      <c r="A553" s="201"/>
      <c r="B553" s="201"/>
      <c r="C553" s="201"/>
      <c r="D553" s="201"/>
      <c r="E553" s="201"/>
      <c r="F553" s="201"/>
      <c r="G553" s="201"/>
      <c r="H553" s="209"/>
      <c r="I553" s="209"/>
      <c r="J553" s="201"/>
      <c r="K553" s="210" t="s">
        <v>39</v>
      </c>
      <c r="L553" s="21"/>
      <c r="M553" s="201"/>
      <c r="N553" s="201"/>
      <c r="O553" s="201"/>
      <c r="P553" s="201"/>
      <c r="Q553" s="201"/>
      <c r="R553" s="201"/>
      <c r="S553" s="201"/>
      <c r="T553" s="201"/>
      <c r="U553" s="201"/>
      <c r="V553" s="201"/>
      <c r="W553" s="201"/>
      <c r="X553" s="201"/>
      <c r="Y553" s="201"/>
      <c r="Z553" s="201"/>
      <c r="AA553" s="201"/>
    </row>
    <row r="554">
      <c r="A554" s="201"/>
      <c r="B554" s="201"/>
      <c r="C554" s="201"/>
      <c r="D554" s="201"/>
      <c r="E554" s="201"/>
      <c r="F554" s="201"/>
      <c r="G554" s="201"/>
      <c r="H554" s="209"/>
      <c r="I554" s="209"/>
      <c r="J554" s="201"/>
      <c r="K554" s="210" t="s">
        <v>39</v>
      </c>
      <c r="L554" s="21"/>
      <c r="M554" s="201"/>
      <c r="N554" s="201"/>
      <c r="O554" s="201"/>
      <c r="P554" s="201"/>
      <c r="Q554" s="201"/>
      <c r="R554" s="201"/>
      <c r="S554" s="201"/>
      <c r="T554" s="201"/>
      <c r="U554" s="201"/>
      <c r="V554" s="201"/>
      <c r="W554" s="201"/>
      <c r="X554" s="201"/>
      <c r="Y554" s="201"/>
      <c r="Z554" s="201"/>
      <c r="AA554" s="201"/>
    </row>
    <row r="555">
      <c r="A555" s="201"/>
      <c r="B555" s="201"/>
      <c r="C555" s="201"/>
      <c r="D555" s="201"/>
      <c r="E555" s="201"/>
      <c r="F555" s="201"/>
      <c r="G555" s="201"/>
      <c r="H555" s="209"/>
      <c r="I555" s="209"/>
      <c r="J555" s="201"/>
      <c r="K555" s="210" t="s">
        <v>39</v>
      </c>
      <c r="L555" s="21"/>
      <c r="M555" s="201"/>
      <c r="N555" s="201"/>
      <c r="O555" s="201"/>
      <c r="P555" s="201"/>
      <c r="Q555" s="201"/>
      <c r="R555" s="201"/>
      <c r="S555" s="201"/>
      <c r="T555" s="201"/>
      <c r="U555" s="201"/>
      <c r="V555" s="201"/>
      <c r="W555" s="201"/>
      <c r="X555" s="201"/>
      <c r="Y555" s="201"/>
      <c r="Z555" s="201"/>
      <c r="AA555" s="201"/>
    </row>
    <row r="556">
      <c r="A556" s="201"/>
      <c r="B556" s="201"/>
      <c r="C556" s="201"/>
      <c r="D556" s="201"/>
      <c r="E556" s="201"/>
      <c r="F556" s="201"/>
      <c r="G556" s="201"/>
      <c r="H556" s="209"/>
      <c r="I556" s="209"/>
      <c r="J556" s="201"/>
      <c r="K556" s="210" t="s">
        <v>39</v>
      </c>
      <c r="L556" s="21"/>
      <c r="M556" s="201"/>
      <c r="N556" s="201"/>
      <c r="O556" s="201"/>
      <c r="P556" s="201"/>
      <c r="Q556" s="201"/>
      <c r="R556" s="201"/>
      <c r="S556" s="201"/>
      <c r="T556" s="201"/>
      <c r="U556" s="201"/>
      <c r="V556" s="201"/>
      <c r="W556" s="201"/>
      <c r="X556" s="201"/>
      <c r="Y556" s="201"/>
      <c r="Z556" s="201"/>
      <c r="AA556" s="201"/>
    </row>
    <row r="557">
      <c r="A557" s="201"/>
      <c r="B557" s="201"/>
      <c r="C557" s="201"/>
      <c r="D557" s="201"/>
      <c r="E557" s="201"/>
      <c r="F557" s="201"/>
      <c r="G557" s="201"/>
      <c r="H557" s="209"/>
      <c r="I557" s="209"/>
      <c r="J557" s="201"/>
      <c r="K557" s="210" t="s">
        <v>39</v>
      </c>
      <c r="L557" s="21"/>
      <c r="M557" s="201"/>
      <c r="N557" s="201"/>
      <c r="O557" s="201"/>
      <c r="P557" s="201"/>
      <c r="Q557" s="201"/>
      <c r="R557" s="201"/>
      <c r="S557" s="201"/>
      <c r="T557" s="201"/>
      <c r="U557" s="201"/>
      <c r="V557" s="201"/>
      <c r="W557" s="201"/>
      <c r="X557" s="201"/>
      <c r="Y557" s="201"/>
      <c r="Z557" s="201"/>
      <c r="AA557" s="201"/>
    </row>
    <row r="558">
      <c r="A558" s="201"/>
      <c r="B558" s="201"/>
      <c r="C558" s="201"/>
      <c r="D558" s="201"/>
      <c r="E558" s="201"/>
      <c r="F558" s="201"/>
      <c r="G558" s="201"/>
      <c r="H558" s="209"/>
      <c r="I558" s="209"/>
      <c r="J558" s="201"/>
      <c r="K558" s="210" t="s">
        <v>39</v>
      </c>
      <c r="L558" s="21"/>
      <c r="M558" s="201"/>
      <c r="N558" s="201"/>
      <c r="O558" s="201"/>
      <c r="P558" s="201"/>
      <c r="Q558" s="201"/>
      <c r="R558" s="201"/>
      <c r="S558" s="201"/>
      <c r="T558" s="201"/>
      <c r="U558" s="201"/>
      <c r="V558" s="201"/>
      <c r="W558" s="201"/>
      <c r="X558" s="201"/>
      <c r="Y558" s="201"/>
      <c r="Z558" s="201"/>
      <c r="AA558" s="201"/>
    </row>
    <row r="559">
      <c r="A559" s="201"/>
      <c r="B559" s="201"/>
      <c r="C559" s="201"/>
      <c r="D559" s="201"/>
      <c r="E559" s="201"/>
      <c r="F559" s="201"/>
      <c r="G559" s="201"/>
      <c r="H559" s="209"/>
      <c r="I559" s="209"/>
      <c r="J559" s="201"/>
      <c r="K559" s="210" t="s">
        <v>39</v>
      </c>
      <c r="L559" s="21"/>
      <c r="M559" s="201"/>
      <c r="N559" s="201"/>
      <c r="O559" s="201"/>
      <c r="P559" s="201"/>
      <c r="Q559" s="201"/>
      <c r="R559" s="201"/>
      <c r="S559" s="201"/>
      <c r="T559" s="201"/>
      <c r="U559" s="201"/>
      <c r="V559" s="201"/>
      <c r="W559" s="201"/>
      <c r="X559" s="201"/>
      <c r="Y559" s="201"/>
      <c r="Z559" s="201"/>
      <c r="AA559" s="201"/>
    </row>
    <row r="560">
      <c r="A560" s="201"/>
      <c r="B560" s="201"/>
      <c r="C560" s="201"/>
      <c r="D560" s="201"/>
      <c r="E560" s="201"/>
      <c r="F560" s="201"/>
      <c r="G560" s="201"/>
      <c r="H560" s="209"/>
      <c r="I560" s="209"/>
      <c r="J560" s="201"/>
      <c r="K560" s="210" t="s">
        <v>39</v>
      </c>
      <c r="L560" s="21"/>
      <c r="M560" s="201"/>
      <c r="N560" s="201"/>
      <c r="O560" s="201"/>
      <c r="P560" s="201"/>
      <c r="Q560" s="201"/>
      <c r="R560" s="201"/>
      <c r="S560" s="201"/>
      <c r="T560" s="201"/>
      <c r="U560" s="201"/>
      <c r="V560" s="201"/>
      <c r="W560" s="201"/>
      <c r="X560" s="201"/>
      <c r="Y560" s="201"/>
      <c r="Z560" s="201"/>
      <c r="AA560" s="201"/>
    </row>
    <row r="561">
      <c r="A561" s="201"/>
      <c r="B561" s="201"/>
      <c r="C561" s="201"/>
      <c r="D561" s="201"/>
      <c r="E561" s="201"/>
      <c r="F561" s="201"/>
      <c r="G561" s="201"/>
      <c r="H561" s="209"/>
      <c r="I561" s="209"/>
      <c r="J561" s="201"/>
      <c r="K561" s="210" t="s">
        <v>39</v>
      </c>
      <c r="L561" s="21"/>
      <c r="M561" s="201"/>
      <c r="N561" s="201"/>
      <c r="O561" s="201"/>
      <c r="P561" s="201"/>
      <c r="Q561" s="201"/>
      <c r="R561" s="201"/>
      <c r="S561" s="201"/>
      <c r="T561" s="201"/>
      <c r="U561" s="201"/>
      <c r="V561" s="201"/>
      <c r="W561" s="201"/>
      <c r="X561" s="201"/>
      <c r="Y561" s="201"/>
      <c r="Z561" s="201"/>
      <c r="AA561" s="201"/>
    </row>
    <row r="562">
      <c r="A562" s="201"/>
      <c r="B562" s="201"/>
      <c r="C562" s="201"/>
      <c r="D562" s="201"/>
      <c r="E562" s="201"/>
      <c r="F562" s="201"/>
      <c r="G562" s="201"/>
      <c r="H562" s="209"/>
      <c r="I562" s="209"/>
      <c r="J562" s="201"/>
      <c r="K562" s="210" t="s">
        <v>39</v>
      </c>
      <c r="L562" s="21"/>
      <c r="M562" s="201"/>
      <c r="N562" s="201"/>
      <c r="O562" s="201"/>
      <c r="P562" s="201"/>
      <c r="Q562" s="201"/>
      <c r="R562" s="201"/>
      <c r="S562" s="201"/>
      <c r="T562" s="201"/>
      <c r="U562" s="201"/>
      <c r="V562" s="201"/>
      <c r="W562" s="201"/>
      <c r="X562" s="201"/>
      <c r="Y562" s="201"/>
      <c r="Z562" s="201"/>
      <c r="AA562" s="201"/>
    </row>
    <row r="563">
      <c r="A563" s="201"/>
      <c r="B563" s="201"/>
      <c r="C563" s="201"/>
      <c r="D563" s="201"/>
      <c r="E563" s="201"/>
      <c r="F563" s="201"/>
      <c r="G563" s="201"/>
      <c r="H563" s="209"/>
      <c r="I563" s="209"/>
      <c r="J563" s="201"/>
      <c r="K563" s="210" t="s">
        <v>39</v>
      </c>
      <c r="L563" s="21"/>
      <c r="M563" s="201"/>
      <c r="N563" s="201"/>
      <c r="O563" s="201"/>
      <c r="P563" s="201"/>
      <c r="Q563" s="201"/>
      <c r="R563" s="201"/>
      <c r="S563" s="201"/>
      <c r="T563" s="201"/>
      <c r="U563" s="201"/>
      <c r="V563" s="201"/>
      <c r="W563" s="201"/>
      <c r="X563" s="201"/>
      <c r="Y563" s="201"/>
      <c r="Z563" s="201"/>
      <c r="AA563" s="201"/>
    </row>
    <row r="564">
      <c r="A564" s="201"/>
      <c r="B564" s="201"/>
      <c r="C564" s="201"/>
      <c r="D564" s="201"/>
      <c r="E564" s="201"/>
      <c r="F564" s="201"/>
      <c r="G564" s="201"/>
      <c r="H564" s="209"/>
      <c r="I564" s="209"/>
      <c r="J564" s="201"/>
      <c r="K564" s="210" t="s">
        <v>39</v>
      </c>
      <c r="L564" s="21"/>
      <c r="M564" s="201"/>
      <c r="N564" s="201"/>
      <c r="O564" s="201"/>
      <c r="P564" s="201"/>
      <c r="Q564" s="201"/>
      <c r="R564" s="201"/>
      <c r="S564" s="201"/>
      <c r="T564" s="201"/>
      <c r="U564" s="201"/>
      <c r="V564" s="201"/>
      <c r="W564" s="201"/>
      <c r="X564" s="201"/>
      <c r="Y564" s="201"/>
      <c r="Z564" s="201"/>
      <c r="AA564" s="201"/>
    </row>
    <row r="565">
      <c r="A565" s="201"/>
      <c r="B565" s="201"/>
      <c r="C565" s="201"/>
      <c r="D565" s="201"/>
      <c r="E565" s="201"/>
      <c r="F565" s="201"/>
      <c r="G565" s="201"/>
      <c r="H565" s="209"/>
      <c r="I565" s="209"/>
      <c r="J565" s="201"/>
      <c r="K565" s="210" t="s">
        <v>39</v>
      </c>
      <c r="L565" s="21"/>
      <c r="M565" s="201"/>
      <c r="N565" s="201"/>
      <c r="O565" s="201"/>
      <c r="P565" s="201"/>
      <c r="Q565" s="201"/>
      <c r="R565" s="201"/>
      <c r="S565" s="201"/>
      <c r="T565" s="201"/>
      <c r="U565" s="201"/>
      <c r="V565" s="201"/>
      <c r="W565" s="201"/>
      <c r="X565" s="201"/>
      <c r="Y565" s="201"/>
      <c r="Z565" s="201"/>
      <c r="AA565" s="201"/>
    </row>
    <row r="566">
      <c r="A566" s="201"/>
      <c r="B566" s="201"/>
      <c r="C566" s="201"/>
      <c r="D566" s="201"/>
      <c r="E566" s="201"/>
      <c r="F566" s="201"/>
      <c r="G566" s="201"/>
      <c r="H566" s="209"/>
      <c r="I566" s="209"/>
      <c r="J566" s="201"/>
      <c r="K566" s="210" t="s">
        <v>39</v>
      </c>
      <c r="L566" s="21"/>
      <c r="M566" s="201"/>
      <c r="N566" s="201"/>
      <c r="O566" s="201"/>
      <c r="P566" s="201"/>
      <c r="Q566" s="201"/>
      <c r="R566" s="201"/>
      <c r="S566" s="201"/>
      <c r="T566" s="201"/>
      <c r="U566" s="201"/>
      <c r="V566" s="201"/>
      <c r="W566" s="201"/>
      <c r="X566" s="201"/>
      <c r="Y566" s="201"/>
      <c r="Z566" s="201"/>
      <c r="AA566" s="201"/>
    </row>
    <row r="567">
      <c r="A567" s="201"/>
      <c r="B567" s="201"/>
      <c r="C567" s="201"/>
      <c r="D567" s="201"/>
      <c r="E567" s="201"/>
      <c r="F567" s="201"/>
      <c r="G567" s="201"/>
      <c r="H567" s="209"/>
      <c r="I567" s="209"/>
      <c r="J567" s="201"/>
      <c r="K567" s="210" t="s">
        <v>39</v>
      </c>
      <c r="L567" s="21"/>
      <c r="M567" s="201"/>
      <c r="N567" s="201"/>
      <c r="O567" s="201"/>
      <c r="P567" s="201"/>
      <c r="Q567" s="201"/>
      <c r="R567" s="201"/>
      <c r="S567" s="201"/>
      <c r="T567" s="201"/>
      <c r="U567" s="201"/>
      <c r="V567" s="201"/>
      <c r="W567" s="201"/>
      <c r="X567" s="201"/>
      <c r="Y567" s="201"/>
      <c r="Z567" s="201"/>
      <c r="AA567" s="201"/>
    </row>
    <row r="568">
      <c r="A568" s="201"/>
      <c r="B568" s="201"/>
      <c r="C568" s="201"/>
      <c r="D568" s="201"/>
      <c r="E568" s="201"/>
      <c r="F568" s="201"/>
      <c r="G568" s="201"/>
      <c r="H568" s="209"/>
      <c r="I568" s="209"/>
      <c r="J568" s="201"/>
      <c r="K568" s="210" t="s">
        <v>39</v>
      </c>
      <c r="L568" s="21"/>
      <c r="M568" s="201"/>
      <c r="N568" s="201"/>
      <c r="O568" s="201"/>
      <c r="P568" s="201"/>
      <c r="Q568" s="201"/>
      <c r="R568" s="201"/>
      <c r="S568" s="201"/>
      <c r="T568" s="201"/>
      <c r="U568" s="201"/>
      <c r="V568" s="201"/>
      <c r="W568" s="201"/>
      <c r="X568" s="201"/>
      <c r="Y568" s="201"/>
      <c r="Z568" s="201"/>
      <c r="AA568" s="201"/>
    </row>
    <row r="569">
      <c r="A569" s="201"/>
      <c r="B569" s="201"/>
      <c r="C569" s="201"/>
      <c r="D569" s="201"/>
      <c r="E569" s="201"/>
      <c r="F569" s="201"/>
      <c r="G569" s="201"/>
      <c r="H569" s="209"/>
      <c r="I569" s="209"/>
      <c r="J569" s="201"/>
      <c r="K569" s="210" t="s">
        <v>39</v>
      </c>
      <c r="L569" s="21"/>
      <c r="M569" s="201"/>
      <c r="N569" s="201"/>
      <c r="O569" s="201"/>
      <c r="P569" s="201"/>
      <c r="Q569" s="201"/>
      <c r="R569" s="201"/>
      <c r="S569" s="201"/>
      <c r="T569" s="201"/>
      <c r="U569" s="201"/>
      <c r="V569" s="201"/>
      <c r="W569" s="201"/>
      <c r="X569" s="201"/>
      <c r="Y569" s="201"/>
      <c r="Z569" s="201"/>
      <c r="AA569" s="201"/>
    </row>
    <row r="570">
      <c r="A570" s="201"/>
      <c r="B570" s="201"/>
      <c r="C570" s="201"/>
      <c r="D570" s="201"/>
      <c r="E570" s="201"/>
      <c r="F570" s="201"/>
      <c r="G570" s="201"/>
      <c r="H570" s="209"/>
      <c r="I570" s="209"/>
      <c r="J570" s="201"/>
      <c r="K570" s="210" t="s">
        <v>39</v>
      </c>
      <c r="L570" s="21"/>
      <c r="M570" s="201"/>
      <c r="N570" s="201"/>
      <c r="O570" s="201"/>
      <c r="P570" s="201"/>
      <c r="Q570" s="201"/>
      <c r="R570" s="201"/>
      <c r="S570" s="201"/>
      <c r="T570" s="201"/>
      <c r="U570" s="201"/>
      <c r="V570" s="201"/>
      <c r="W570" s="201"/>
      <c r="X570" s="201"/>
      <c r="Y570" s="201"/>
      <c r="Z570" s="201"/>
      <c r="AA570" s="201"/>
    </row>
    <row r="571">
      <c r="A571" s="201"/>
      <c r="B571" s="201"/>
      <c r="C571" s="201"/>
      <c r="D571" s="201"/>
      <c r="E571" s="201"/>
      <c r="F571" s="201"/>
      <c r="G571" s="201"/>
      <c r="H571" s="209"/>
      <c r="I571" s="209"/>
      <c r="J571" s="201"/>
      <c r="K571" s="210" t="s">
        <v>39</v>
      </c>
      <c r="L571" s="21"/>
      <c r="M571" s="201"/>
      <c r="N571" s="201"/>
      <c r="O571" s="201"/>
      <c r="P571" s="201"/>
      <c r="Q571" s="201"/>
      <c r="R571" s="201"/>
      <c r="S571" s="201"/>
      <c r="T571" s="201"/>
      <c r="U571" s="201"/>
      <c r="V571" s="201"/>
      <c r="W571" s="201"/>
      <c r="X571" s="201"/>
      <c r="Y571" s="201"/>
      <c r="Z571" s="201"/>
      <c r="AA571" s="201"/>
    </row>
    <row r="572">
      <c r="A572" s="201"/>
      <c r="B572" s="201"/>
      <c r="C572" s="201"/>
      <c r="D572" s="201"/>
      <c r="E572" s="201"/>
      <c r="F572" s="201"/>
      <c r="G572" s="201"/>
      <c r="H572" s="209"/>
      <c r="I572" s="209"/>
      <c r="J572" s="201"/>
      <c r="K572" s="210" t="s">
        <v>39</v>
      </c>
      <c r="L572" s="21"/>
      <c r="M572" s="201"/>
      <c r="N572" s="201"/>
      <c r="O572" s="201"/>
      <c r="P572" s="201"/>
      <c r="Q572" s="201"/>
      <c r="R572" s="201"/>
      <c r="S572" s="201"/>
      <c r="T572" s="201"/>
      <c r="U572" s="201"/>
      <c r="V572" s="201"/>
      <c r="W572" s="201"/>
      <c r="X572" s="201"/>
      <c r="Y572" s="201"/>
      <c r="Z572" s="201"/>
      <c r="AA572" s="201"/>
    </row>
    <row r="573">
      <c r="A573" s="201"/>
      <c r="B573" s="201"/>
      <c r="C573" s="201"/>
      <c r="D573" s="201"/>
      <c r="E573" s="201"/>
      <c r="F573" s="201"/>
      <c r="G573" s="201"/>
      <c r="H573" s="209"/>
      <c r="I573" s="209"/>
      <c r="J573" s="201"/>
      <c r="K573" s="210" t="s">
        <v>39</v>
      </c>
      <c r="L573" s="201"/>
      <c r="M573" s="201"/>
      <c r="N573" s="201"/>
      <c r="O573" s="201"/>
      <c r="P573" s="201"/>
      <c r="Q573" s="201"/>
      <c r="R573" s="201"/>
      <c r="S573" s="201"/>
      <c r="T573" s="201"/>
      <c r="U573" s="201"/>
      <c r="V573" s="201"/>
      <c r="W573" s="201"/>
      <c r="X573" s="201"/>
      <c r="Y573" s="201"/>
      <c r="Z573" s="201"/>
      <c r="AA573" s="201"/>
    </row>
    <row r="574">
      <c r="A574" s="201"/>
      <c r="B574" s="201"/>
      <c r="C574" s="201"/>
      <c r="D574" s="201"/>
      <c r="E574" s="201"/>
      <c r="F574" s="201"/>
      <c r="G574" s="201"/>
      <c r="H574" s="209"/>
      <c r="I574" s="209"/>
      <c r="J574" s="201"/>
      <c r="K574" s="210" t="s">
        <v>39</v>
      </c>
      <c r="L574" s="201"/>
      <c r="M574" s="201"/>
      <c r="N574" s="201"/>
      <c r="O574" s="201"/>
      <c r="P574" s="201"/>
      <c r="Q574" s="201"/>
      <c r="R574" s="201"/>
      <c r="S574" s="201"/>
      <c r="T574" s="201"/>
      <c r="U574" s="201"/>
      <c r="V574" s="201"/>
      <c r="W574" s="201"/>
      <c r="X574" s="201"/>
      <c r="Y574" s="201"/>
      <c r="Z574" s="201"/>
      <c r="AA574" s="201"/>
    </row>
    <row r="575">
      <c r="A575" s="201"/>
      <c r="B575" s="201"/>
      <c r="C575" s="201"/>
      <c r="D575" s="201"/>
      <c r="E575" s="201"/>
      <c r="F575" s="201"/>
      <c r="G575" s="201"/>
      <c r="H575" s="209"/>
      <c r="I575" s="209"/>
      <c r="J575" s="201"/>
      <c r="K575" s="210" t="s">
        <v>39</v>
      </c>
      <c r="L575" s="201"/>
      <c r="M575" s="201"/>
      <c r="N575" s="201"/>
      <c r="O575" s="201"/>
      <c r="P575" s="201"/>
      <c r="Q575" s="201"/>
      <c r="R575" s="201"/>
      <c r="S575" s="201"/>
      <c r="T575" s="201"/>
      <c r="U575" s="201"/>
      <c r="V575" s="201"/>
      <c r="W575" s="201"/>
      <c r="X575" s="201"/>
      <c r="Y575" s="201"/>
      <c r="Z575" s="201"/>
      <c r="AA575" s="201"/>
    </row>
    <row r="576">
      <c r="A576" s="201"/>
      <c r="B576" s="201"/>
      <c r="C576" s="201"/>
      <c r="D576" s="201"/>
      <c r="E576" s="201"/>
      <c r="F576" s="201"/>
      <c r="G576" s="201"/>
      <c r="H576" s="209"/>
      <c r="I576" s="209"/>
      <c r="J576" s="201"/>
      <c r="K576" s="210" t="s">
        <v>39</v>
      </c>
      <c r="L576" s="201"/>
      <c r="M576" s="201"/>
      <c r="N576" s="201"/>
      <c r="O576" s="201"/>
      <c r="P576" s="201"/>
      <c r="Q576" s="201"/>
      <c r="R576" s="201"/>
      <c r="S576" s="201"/>
      <c r="T576" s="201"/>
      <c r="U576" s="201"/>
      <c r="V576" s="201"/>
      <c r="W576" s="201"/>
      <c r="X576" s="201"/>
      <c r="Y576" s="201"/>
      <c r="Z576" s="201"/>
      <c r="AA576" s="201"/>
    </row>
    <row r="577">
      <c r="A577" s="201"/>
      <c r="B577" s="201"/>
      <c r="C577" s="201"/>
      <c r="D577" s="201"/>
      <c r="E577" s="201"/>
      <c r="F577" s="201"/>
      <c r="G577" s="201"/>
      <c r="H577" s="209"/>
      <c r="I577" s="209"/>
      <c r="J577" s="201"/>
      <c r="K577" s="210" t="s">
        <v>39</v>
      </c>
      <c r="L577" s="201"/>
      <c r="M577" s="201"/>
      <c r="N577" s="201"/>
      <c r="O577" s="201"/>
      <c r="P577" s="201"/>
      <c r="Q577" s="201"/>
      <c r="R577" s="201"/>
      <c r="S577" s="201"/>
      <c r="T577" s="201"/>
      <c r="U577" s="201"/>
      <c r="V577" s="201"/>
      <c r="W577" s="201"/>
      <c r="X577" s="201"/>
      <c r="Y577" s="201"/>
      <c r="Z577" s="201"/>
      <c r="AA577" s="201"/>
    </row>
    <row r="578">
      <c r="A578" s="201"/>
      <c r="B578" s="201"/>
      <c r="C578" s="201"/>
      <c r="D578" s="201"/>
      <c r="E578" s="201"/>
      <c r="F578" s="201"/>
      <c r="G578" s="201"/>
      <c r="H578" s="209"/>
      <c r="I578" s="209"/>
      <c r="J578" s="201"/>
      <c r="K578" s="210" t="s">
        <v>39</v>
      </c>
      <c r="L578" s="201"/>
      <c r="M578" s="201"/>
      <c r="N578" s="201"/>
      <c r="O578" s="201"/>
      <c r="P578" s="201"/>
      <c r="Q578" s="201"/>
      <c r="R578" s="201"/>
      <c r="S578" s="201"/>
      <c r="T578" s="201"/>
      <c r="U578" s="201"/>
      <c r="V578" s="201"/>
      <c r="W578" s="201"/>
      <c r="X578" s="201"/>
      <c r="Y578" s="201"/>
      <c r="Z578" s="201"/>
      <c r="AA578" s="201"/>
    </row>
    <row r="579">
      <c r="A579" s="201"/>
      <c r="B579" s="201"/>
      <c r="C579" s="201"/>
      <c r="D579" s="201"/>
      <c r="E579" s="201"/>
      <c r="F579" s="201"/>
      <c r="G579" s="201"/>
      <c r="H579" s="209"/>
      <c r="I579" s="209"/>
      <c r="J579" s="201"/>
      <c r="K579" s="210" t="s">
        <v>39</v>
      </c>
      <c r="L579" s="201"/>
      <c r="M579" s="201"/>
      <c r="N579" s="201"/>
      <c r="O579" s="201"/>
      <c r="P579" s="201"/>
      <c r="Q579" s="201"/>
      <c r="R579" s="201"/>
      <c r="S579" s="201"/>
      <c r="T579" s="201"/>
      <c r="U579" s="201"/>
      <c r="V579" s="201"/>
      <c r="W579" s="201"/>
      <c r="X579" s="201"/>
      <c r="Y579" s="201"/>
      <c r="Z579" s="201"/>
      <c r="AA579" s="201"/>
    </row>
    <row r="580">
      <c r="A580" s="201"/>
      <c r="B580" s="201"/>
      <c r="C580" s="201"/>
      <c r="D580" s="201"/>
      <c r="E580" s="201"/>
      <c r="F580" s="201"/>
      <c r="G580" s="201"/>
      <c r="H580" s="209"/>
      <c r="I580" s="209"/>
      <c r="J580" s="201"/>
      <c r="K580" s="210" t="s">
        <v>39</v>
      </c>
      <c r="L580" s="201"/>
      <c r="M580" s="201"/>
      <c r="N580" s="201"/>
      <c r="O580" s="201"/>
      <c r="P580" s="201"/>
      <c r="Q580" s="201"/>
      <c r="R580" s="201"/>
      <c r="S580" s="201"/>
      <c r="T580" s="201"/>
      <c r="U580" s="201"/>
      <c r="V580" s="201"/>
      <c r="W580" s="201"/>
      <c r="X580" s="201"/>
      <c r="Y580" s="201"/>
      <c r="Z580" s="201"/>
      <c r="AA580" s="201"/>
    </row>
    <row r="581">
      <c r="A581" s="201"/>
      <c r="B581" s="201"/>
      <c r="C581" s="201"/>
      <c r="D581" s="201"/>
      <c r="E581" s="201"/>
      <c r="F581" s="201"/>
      <c r="G581" s="201"/>
      <c r="H581" s="209"/>
      <c r="I581" s="209"/>
      <c r="J581" s="201"/>
      <c r="K581" s="210" t="s">
        <v>39</v>
      </c>
      <c r="L581" s="201"/>
      <c r="M581" s="201"/>
      <c r="N581" s="201"/>
      <c r="O581" s="201"/>
      <c r="P581" s="201"/>
      <c r="Q581" s="201"/>
      <c r="R581" s="201"/>
      <c r="S581" s="201"/>
      <c r="T581" s="201"/>
      <c r="U581" s="201"/>
      <c r="V581" s="201"/>
      <c r="W581" s="201"/>
      <c r="X581" s="201"/>
      <c r="Y581" s="201"/>
      <c r="Z581" s="201"/>
      <c r="AA581" s="201"/>
    </row>
    <row r="582">
      <c r="A582" s="201"/>
      <c r="B582" s="201"/>
      <c r="C582" s="201"/>
      <c r="D582" s="201"/>
      <c r="E582" s="201"/>
      <c r="F582" s="201"/>
      <c r="G582" s="201"/>
      <c r="H582" s="209"/>
      <c r="I582" s="209"/>
      <c r="J582" s="201"/>
      <c r="K582" s="210" t="s">
        <v>39</v>
      </c>
      <c r="L582" s="201"/>
      <c r="M582" s="201"/>
      <c r="N582" s="201"/>
      <c r="O582" s="201"/>
      <c r="P582" s="201"/>
      <c r="Q582" s="201"/>
      <c r="R582" s="201"/>
      <c r="S582" s="201"/>
      <c r="T582" s="201"/>
      <c r="U582" s="201"/>
      <c r="V582" s="201"/>
      <c r="W582" s="201"/>
      <c r="X582" s="201"/>
      <c r="Y582" s="201"/>
      <c r="Z582" s="201"/>
      <c r="AA582" s="201"/>
    </row>
    <row r="583">
      <c r="A583" s="201"/>
      <c r="B583" s="201"/>
      <c r="C583" s="201"/>
      <c r="D583" s="201"/>
      <c r="E583" s="201"/>
      <c r="F583" s="201"/>
      <c r="G583" s="201"/>
      <c r="H583" s="209"/>
      <c r="I583" s="209"/>
      <c r="J583" s="201"/>
      <c r="K583" s="210" t="s">
        <v>39</v>
      </c>
      <c r="L583" s="201"/>
      <c r="M583" s="201"/>
      <c r="N583" s="201"/>
      <c r="O583" s="201"/>
      <c r="P583" s="201"/>
      <c r="Q583" s="201"/>
      <c r="R583" s="201"/>
      <c r="S583" s="201"/>
      <c r="T583" s="201"/>
      <c r="U583" s="201"/>
      <c r="V583" s="201"/>
      <c r="W583" s="201"/>
      <c r="X583" s="201"/>
      <c r="Y583" s="201"/>
      <c r="Z583" s="201"/>
      <c r="AA583" s="201"/>
    </row>
    <row r="584">
      <c r="A584" s="201"/>
      <c r="B584" s="201"/>
      <c r="C584" s="201"/>
      <c r="D584" s="201"/>
      <c r="E584" s="201"/>
      <c r="F584" s="201"/>
      <c r="G584" s="201"/>
      <c r="H584" s="209"/>
      <c r="I584" s="209"/>
      <c r="J584" s="201"/>
      <c r="K584" s="210" t="s">
        <v>39</v>
      </c>
      <c r="L584" s="201"/>
      <c r="M584" s="201"/>
      <c r="N584" s="201"/>
      <c r="O584" s="201"/>
      <c r="P584" s="201"/>
      <c r="Q584" s="201"/>
      <c r="R584" s="201"/>
      <c r="S584" s="201"/>
      <c r="T584" s="201"/>
      <c r="U584" s="201"/>
      <c r="V584" s="201"/>
      <c r="W584" s="201"/>
      <c r="X584" s="201"/>
      <c r="Y584" s="201"/>
      <c r="Z584" s="201"/>
      <c r="AA584" s="201"/>
    </row>
    <row r="585">
      <c r="A585" s="201"/>
      <c r="B585" s="201"/>
      <c r="C585" s="201"/>
      <c r="D585" s="201"/>
      <c r="E585" s="201"/>
      <c r="F585" s="201"/>
      <c r="G585" s="201"/>
      <c r="H585" s="209"/>
      <c r="I585" s="209"/>
      <c r="J585" s="201"/>
      <c r="K585" s="210" t="s">
        <v>39</v>
      </c>
      <c r="L585" s="201"/>
      <c r="M585" s="201"/>
      <c r="N585" s="201"/>
      <c r="O585" s="201"/>
      <c r="P585" s="201"/>
      <c r="Q585" s="201"/>
      <c r="R585" s="201"/>
      <c r="S585" s="201"/>
      <c r="T585" s="201"/>
      <c r="U585" s="201"/>
      <c r="V585" s="201"/>
      <c r="W585" s="201"/>
      <c r="X585" s="201"/>
      <c r="Y585" s="201"/>
      <c r="Z585" s="201"/>
      <c r="AA585" s="201"/>
    </row>
    <row r="586">
      <c r="A586" s="201"/>
      <c r="B586" s="201"/>
      <c r="C586" s="201"/>
      <c r="D586" s="201"/>
      <c r="E586" s="201"/>
      <c r="F586" s="201"/>
      <c r="G586" s="201"/>
      <c r="H586" s="209"/>
      <c r="I586" s="209"/>
      <c r="J586" s="201"/>
      <c r="K586" s="210" t="s">
        <v>39</v>
      </c>
      <c r="L586" s="201"/>
      <c r="M586" s="201"/>
      <c r="N586" s="201"/>
      <c r="O586" s="201"/>
      <c r="P586" s="201"/>
      <c r="Q586" s="201"/>
      <c r="R586" s="201"/>
      <c r="S586" s="201"/>
      <c r="T586" s="201"/>
      <c r="U586" s="201"/>
      <c r="V586" s="201"/>
      <c r="W586" s="201"/>
      <c r="X586" s="201"/>
      <c r="Y586" s="201"/>
      <c r="Z586" s="201"/>
      <c r="AA586" s="201"/>
    </row>
    <row r="587">
      <c r="A587" s="201"/>
      <c r="B587" s="201"/>
      <c r="C587" s="201"/>
      <c r="D587" s="201"/>
      <c r="E587" s="201"/>
      <c r="F587" s="201"/>
      <c r="G587" s="201"/>
      <c r="H587" s="209"/>
      <c r="I587" s="209"/>
      <c r="J587" s="201"/>
      <c r="K587" s="210" t="s">
        <v>39</v>
      </c>
      <c r="L587" s="201"/>
      <c r="M587" s="201"/>
      <c r="N587" s="201"/>
      <c r="O587" s="201"/>
      <c r="P587" s="201"/>
      <c r="Q587" s="201"/>
      <c r="R587" s="201"/>
      <c r="S587" s="201"/>
      <c r="T587" s="201"/>
      <c r="U587" s="201"/>
      <c r="V587" s="201"/>
      <c r="W587" s="201"/>
      <c r="X587" s="201"/>
      <c r="Y587" s="201"/>
      <c r="Z587" s="201"/>
      <c r="AA587" s="201"/>
    </row>
    <row r="588">
      <c r="A588" s="201"/>
      <c r="B588" s="201"/>
      <c r="C588" s="201"/>
      <c r="D588" s="201"/>
      <c r="E588" s="201"/>
      <c r="F588" s="201"/>
      <c r="G588" s="201"/>
      <c r="H588" s="209"/>
      <c r="I588" s="209"/>
      <c r="J588" s="201"/>
      <c r="K588" s="210" t="s">
        <v>39</v>
      </c>
      <c r="L588" s="201"/>
      <c r="M588" s="201"/>
      <c r="N588" s="201"/>
      <c r="O588" s="201"/>
      <c r="P588" s="201"/>
      <c r="Q588" s="201"/>
      <c r="R588" s="201"/>
      <c r="S588" s="201"/>
      <c r="T588" s="201"/>
      <c r="U588" s="201"/>
      <c r="V588" s="201"/>
      <c r="W588" s="201"/>
      <c r="X588" s="201"/>
      <c r="Y588" s="201"/>
      <c r="Z588" s="201"/>
      <c r="AA588" s="201"/>
    </row>
    <row r="589">
      <c r="A589" s="201"/>
      <c r="B589" s="201"/>
      <c r="C589" s="201"/>
      <c r="D589" s="201"/>
      <c r="E589" s="201"/>
      <c r="F589" s="201"/>
      <c r="G589" s="201"/>
      <c r="H589" s="209"/>
      <c r="I589" s="209"/>
      <c r="J589" s="201"/>
      <c r="K589" s="210" t="s">
        <v>39</v>
      </c>
      <c r="L589" s="201"/>
      <c r="M589" s="201"/>
      <c r="N589" s="201"/>
      <c r="O589" s="201"/>
      <c r="P589" s="201"/>
      <c r="Q589" s="201"/>
      <c r="R589" s="201"/>
      <c r="S589" s="201"/>
      <c r="T589" s="201"/>
      <c r="U589" s="201"/>
      <c r="V589" s="201"/>
      <c r="W589" s="201"/>
      <c r="X589" s="201"/>
      <c r="Y589" s="201"/>
      <c r="Z589" s="201"/>
      <c r="AA589" s="201"/>
    </row>
    <row r="590">
      <c r="A590" s="201"/>
      <c r="B590" s="201"/>
      <c r="C590" s="201"/>
      <c r="D590" s="201"/>
      <c r="E590" s="201"/>
      <c r="F590" s="201"/>
      <c r="G590" s="201"/>
      <c r="H590" s="209"/>
      <c r="I590" s="209"/>
      <c r="J590" s="201"/>
      <c r="K590" s="210" t="s">
        <v>39</v>
      </c>
      <c r="L590" s="201"/>
      <c r="M590" s="201"/>
      <c r="N590" s="201"/>
      <c r="O590" s="201"/>
      <c r="P590" s="201"/>
      <c r="Q590" s="201"/>
      <c r="R590" s="201"/>
      <c r="S590" s="201"/>
      <c r="T590" s="201"/>
      <c r="U590" s="201"/>
      <c r="V590" s="201"/>
      <c r="W590" s="201"/>
      <c r="X590" s="201"/>
      <c r="Y590" s="201"/>
      <c r="Z590" s="201"/>
      <c r="AA590" s="201"/>
    </row>
    <row r="591">
      <c r="A591" s="201"/>
      <c r="B591" s="201"/>
      <c r="C591" s="201"/>
      <c r="D591" s="201"/>
      <c r="E591" s="201"/>
      <c r="F591" s="201"/>
      <c r="G591" s="201"/>
      <c r="H591" s="209"/>
      <c r="I591" s="209"/>
      <c r="J591" s="201"/>
      <c r="K591" s="210" t="s">
        <v>39</v>
      </c>
      <c r="L591" s="201"/>
      <c r="M591" s="201"/>
      <c r="N591" s="201"/>
      <c r="O591" s="201"/>
      <c r="P591" s="201"/>
      <c r="Q591" s="201"/>
      <c r="R591" s="201"/>
      <c r="S591" s="201"/>
      <c r="T591" s="201"/>
      <c r="U591" s="201"/>
      <c r="V591" s="201"/>
      <c r="W591" s="201"/>
      <c r="X591" s="201"/>
      <c r="Y591" s="201"/>
      <c r="Z591" s="201"/>
      <c r="AA591" s="201"/>
    </row>
    <row r="592">
      <c r="A592" s="201"/>
      <c r="B592" s="201"/>
      <c r="C592" s="201"/>
      <c r="D592" s="201"/>
      <c r="E592" s="201"/>
      <c r="F592" s="201"/>
      <c r="G592" s="201"/>
      <c r="H592" s="209"/>
      <c r="I592" s="209"/>
      <c r="J592" s="201"/>
      <c r="K592" s="210" t="s">
        <v>39</v>
      </c>
      <c r="L592" s="201"/>
      <c r="M592" s="201"/>
      <c r="N592" s="201"/>
      <c r="O592" s="201"/>
      <c r="P592" s="201"/>
      <c r="Q592" s="201"/>
      <c r="R592" s="201"/>
      <c r="S592" s="201"/>
      <c r="T592" s="201"/>
      <c r="U592" s="201"/>
      <c r="V592" s="201"/>
      <c r="W592" s="201"/>
      <c r="X592" s="201"/>
      <c r="Y592" s="201"/>
      <c r="Z592" s="201"/>
      <c r="AA592" s="201"/>
    </row>
    <row r="593">
      <c r="A593" s="201"/>
      <c r="B593" s="201"/>
      <c r="C593" s="201"/>
      <c r="D593" s="201"/>
      <c r="E593" s="201"/>
      <c r="F593" s="201"/>
      <c r="G593" s="201"/>
      <c r="H593" s="209"/>
      <c r="I593" s="209"/>
      <c r="J593" s="201"/>
      <c r="K593" s="210" t="s">
        <v>39</v>
      </c>
      <c r="L593" s="201"/>
      <c r="M593" s="201"/>
      <c r="N593" s="201"/>
      <c r="O593" s="201"/>
      <c r="P593" s="201"/>
      <c r="Q593" s="201"/>
      <c r="R593" s="201"/>
      <c r="S593" s="201"/>
      <c r="T593" s="201"/>
      <c r="U593" s="201"/>
      <c r="V593" s="201"/>
      <c r="W593" s="201"/>
      <c r="X593" s="201"/>
      <c r="Y593" s="201"/>
      <c r="Z593" s="201"/>
      <c r="AA593" s="201"/>
    </row>
    <row r="594">
      <c r="A594" s="201"/>
      <c r="B594" s="201"/>
      <c r="C594" s="201"/>
      <c r="D594" s="201"/>
      <c r="E594" s="201"/>
      <c r="F594" s="201"/>
      <c r="G594" s="201"/>
      <c r="H594" s="209"/>
      <c r="I594" s="209"/>
      <c r="J594" s="201"/>
      <c r="K594" s="210" t="s">
        <v>39</v>
      </c>
      <c r="L594" s="201"/>
      <c r="M594" s="201"/>
      <c r="N594" s="201"/>
      <c r="O594" s="201"/>
      <c r="P594" s="201"/>
      <c r="Q594" s="201"/>
      <c r="R594" s="201"/>
      <c r="S594" s="201"/>
      <c r="T594" s="201"/>
      <c r="U594" s="201"/>
      <c r="V594" s="201"/>
      <c r="W594" s="201"/>
      <c r="X594" s="201"/>
      <c r="Y594" s="201"/>
      <c r="Z594" s="201"/>
      <c r="AA594" s="201"/>
    </row>
    <row r="595">
      <c r="A595" s="201"/>
      <c r="B595" s="201"/>
      <c r="C595" s="201"/>
      <c r="D595" s="201"/>
      <c r="E595" s="201"/>
      <c r="F595" s="201"/>
      <c r="G595" s="201"/>
      <c r="H595" s="209"/>
      <c r="I595" s="209"/>
      <c r="J595" s="201"/>
      <c r="K595" s="210" t="s">
        <v>39</v>
      </c>
      <c r="L595" s="201"/>
      <c r="M595" s="201"/>
      <c r="N595" s="201"/>
      <c r="O595" s="201"/>
      <c r="P595" s="201"/>
      <c r="Q595" s="201"/>
      <c r="R595" s="201"/>
      <c r="S595" s="201"/>
      <c r="T595" s="201"/>
      <c r="U595" s="201"/>
      <c r="V595" s="201"/>
      <c r="W595" s="201"/>
      <c r="X595" s="201"/>
      <c r="Y595" s="201"/>
      <c r="Z595" s="201"/>
      <c r="AA595" s="201"/>
    </row>
    <row r="596">
      <c r="A596" s="201"/>
      <c r="B596" s="201"/>
      <c r="C596" s="201"/>
      <c r="D596" s="201"/>
      <c r="E596" s="201"/>
      <c r="F596" s="201"/>
      <c r="G596" s="201"/>
      <c r="H596" s="209"/>
      <c r="I596" s="209"/>
      <c r="J596" s="201"/>
      <c r="K596" s="210" t="s">
        <v>39</v>
      </c>
      <c r="L596" s="201"/>
      <c r="M596" s="201"/>
      <c r="N596" s="201"/>
      <c r="O596" s="201"/>
      <c r="P596" s="201"/>
      <c r="Q596" s="201"/>
      <c r="R596" s="201"/>
      <c r="S596" s="201"/>
      <c r="T596" s="201"/>
      <c r="U596" s="201"/>
      <c r="V596" s="201"/>
      <c r="W596" s="201"/>
      <c r="X596" s="201"/>
      <c r="Y596" s="201"/>
      <c r="Z596" s="201"/>
      <c r="AA596" s="201"/>
    </row>
    <row r="597">
      <c r="A597" s="201"/>
      <c r="B597" s="201"/>
      <c r="C597" s="201"/>
      <c r="D597" s="201"/>
      <c r="E597" s="201"/>
      <c r="F597" s="201"/>
      <c r="G597" s="201"/>
      <c r="H597" s="209"/>
      <c r="I597" s="209"/>
      <c r="J597" s="201"/>
      <c r="K597" s="210" t="s">
        <v>39</v>
      </c>
      <c r="L597" s="201"/>
      <c r="M597" s="201"/>
      <c r="N597" s="201"/>
      <c r="O597" s="201"/>
      <c r="P597" s="201"/>
      <c r="Q597" s="201"/>
      <c r="R597" s="201"/>
      <c r="S597" s="201"/>
      <c r="T597" s="201"/>
      <c r="U597" s="201"/>
      <c r="V597" s="201"/>
      <c r="W597" s="201"/>
      <c r="X597" s="201"/>
      <c r="Y597" s="201"/>
      <c r="Z597" s="201"/>
      <c r="AA597" s="201"/>
    </row>
    <row r="598">
      <c r="A598" s="201"/>
      <c r="B598" s="201"/>
      <c r="C598" s="201"/>
      <c r="D598" s="201"/>
      <c r="E598" s="201"/>
      <c r="F598" s="201"/>
      <c r="G598" s="201"/>
      <c r="H598" s="209"/>
      <c r="I598" s="209"/>
      <c r="J598" s="201"/>
      <c r="K598" s="210" t="s">
        <v>39</v>
      </c>
      <c r="L598" s="201"/>
      <c r="M598" s="201"/>
      <c r="N598" s="201"/>
      <c r="O598" s="201"/>
      <c r="P598" s="201"/>
      <c r="Q598" s="201"/>
      <c r="R598" s="201"/>
      <c r="S598" s="201"/>
      <c r="T598" s="201"/>
      <c r="U598" s="201"/>
      <c r="V598" s="201"/>
      <c r="W598" s="201"/>
      <c r="X598" s="201"/>
      <c r="Y598" s="201"/>
      <c r="Z598" s="201"/>
      <c r="AA598" s="201"/>
    </row>
    <row r="599">
      <c r="A599" s="201"/>
      <c r="B599" s="201"/>
      <c r="C599" s="201"/>
      <c r="D599" s="201"/>
      <c r="E599" s="201"/>
      <c r="F599" s="201"/>
      <c r="G599" s="201"/>
      <c r="H599" s="209"/>
      <c r="I599" s="209"/>
      <c r="J599" s="201"/>
      <c r="K599" s="210" t="s">
        <v>39</v>
      </c>
      <c r="L599" s="201"/>
      <c r="M599" s="201"/>
      <c r="N599" s="201"/>
      <c r="O599" s="201"/>
      <c r="P599" s="201"/>
      <c r="Q599" s="201"/>
      <c r="R599" s="201"/>
      <c r="S599" s="201"/>
      <c r="T599" s="201"/>
      <c r="U599" s="201"/>
      <c r="V599" s="201"/>
      <c r="W599" s="201"/>
      <c r="X599" s="201"/>
      <c r="Y599" s="201"/>
      <c r="Z599" s="201"/>
      <c r="AA599" s="201"/>
    </row>
    <row r="600">
      <c r="A600" s="201"/>
      <c r="B600" s="201"/>
      <c r="C600" s="201"/>
      <c r="D600" s="201"/>
      <c r="E600" s="201"/>
      <c r="F600" s="201"/>
      <c r="G600" s="201"/>
      <c r="H600" s="209"/>
      <c r="I600" s="209"/>
      <c r="J600" s="201"/>
      <c r="K600" s="210" t="s">
        <v>39</v>
      </c>
      <c r="L600" s="201"/>
      <c r="M600" s="201"/>
      <c r="N600" s="201"/>
      <c r="O600" s="201"/>
      <c r="P600" s="201"/>
      <c r="Q600" s="201"/>
      <c r="R600" s="201"/>
      <c r="S600" s="201"/>
      <c r="T600" s="201"/>
      <c r="U600" s="201"/>
      <c r="V600" s="201"/>
      <c r="W600" s="201"/>
      <c r="X600" s="201"/>
      <c r="Y600" s="201"/>
      <c r="Z600" s="201"/>
      <c r="AA600" s="201"/>
    </row>
    <row r="601">
      <c r="A601" s="201"/>
      <c r="B601" s="201"/>
      <c r="C601" s="201"/>
      <c r="D601" s="201"/>
      <c r="E601" s="201"/>
      <c r="F601" s="201"/>
      <c r="G601" s="201"/>
      <c r="H601" s="209"/>
      <c r="I601" s="209"/>
      <c r="J601" s="201"/>
      <c r="K601" s="210" t="s">
        <v>39</v>
      </c>
      <c r="L601" s="201"/>
      <c r="M601" s="201"/>
      <c r="N601" s="201"/>
      <c r="O601" s="201"/>
      <c r="P601" s="201"/>
      <c r="Q601" s="201"/>
      <c r="R601" s="201"/>
      <c r="S601" s="201"/>
      <c r="T601" s="201"/>
      <c r="U601" s="201"/>
      <c r="V601" s="201"/>
      <c r="W601" s="201"/>
      <c r="X601" s="201"/>
      <c r="Y601" s="201"/>
      <c r="Z601" s="201"/>
      <c r="AA601" s="201"/>
    </row>
    <row r="602">
      <c r="A602" s="201"/>
      <c r="B602" s="201"/>
      <c r="C602" s="201"/>
      <c r="D602" s="201"/>
      <c r="E602" s="201"/>
      <c r="F602" s="201"/>
      <c r="G602" s="201"/>
      <c r="H602" s="209"/>
      <c r="I602" s="209"/>
      <c r="J602" s="201"/>
      <c r="K602" s="210" t="s">
        <v>39</v>
      </c>
      <c r="L602" s="201"/>
      <c r="M602" s="201"/>
      <c r="N602" s="201"/>
      <c r="O602" s="201"/>
      <c r="P602" s="201"/>
      <c r="Q602" s="201"/>
      <c r="R602" s="201"/>
      <c r="S602" s="201"/>
      <c r="T602" s="201"/>
      <c r="U602" s="201"/>
      <c r="V602" s="201"/>
      <c r="W602" s="201"/>
      <c r="X602" s="201"/>
      <c r="Y602" s="201"/>
      <c r="Z602" s="201"/>
      <c r="AA602" s="201"/>
    </row>
    <row r="603">
      <c r="A603" s="201"/>
      <c r="B603" s="201"/>
      <c r="C603" s="201"/>
      <c r="D603" s="201"/>
      <c r="E603" s="201"/>
      <c r="F603" s="201"/>
      <c r="G603" s="201"/>
      <c r="H603" s="209"/>
      <c r="I603" s="209"/>
      <c r="J603" s="201"/>
      <c r="K603" s="210" t="s">
        <v>39</v>
      </c>
      <c r="L603" s="201"/>
      <c r="M603" s="201"/>
      <c r="N603" s="201"/>
      <c r="O603" s="201"/>
      <c r="P603" s="201"/>
      <c r="Q603" s="201"/>
      <c r="R603" s="201"/>
      <c r="S603" s="201"/>
      <c r="T603" s="201"/>
      <c r="U603" s="201"/>
      <c r="V603" s="201"/>
      <c r="W603" s="201"/>
      <c r="X603" s="201"/>
      <c r="Y603" s="201"/>
      <c r="Z603" s="201"/>
      <c r="AA603" s="201"/>
    </row>
    <row r="604">
      <c r="A604" s="201"/>
      <c r="B604" s="201"/>
      <c r="C604" s="201"/>
      <c r="D604" s="201"/>
      <c r="E604" s="201"/>
      <c r="F604" s="201"/>
      <c r="G604" s="201"/>
      <c r="H604" s="209"/>
      <c r="I604" s="209"/>
      <c r="J604" s="201"/>
      <c r="K604" s="210" t="s">
        <v>39</v>
      </c>
      <c r="L604" s="201"/>
      <c r="M604" s="201"/>
      <c r="N604" s="201"/>
      <c r="O604" s="201"/>
      <c r="P604" s="201"/>
      <c r="Q604" s="201"/>
      <c r="R604" s="201"/>
      <c r="S604" s="201"/>
      <c r="T604" s="201"/>
      <c r="U604" s="201"/>
      <c r="V604" s="201"/>
      <c r="W604" s="201"/>
      <c r="X604" s="201"/>
      <c r="Y604" s="201"/>
      <c r="Z604" s="201"/>
      <c r="AA604" s="201"/>
    </row>
    <row r="605">
      <c r="A605" s="201"/>
      <c r="B605" s="201"/>
      <c r="C605" s="201"/>
      <c r="D605" s="201"/>
      <c r="E605" s="201"/>
      <c r="F605" s="201"/>
      <c r="G605" s="201"/>
      <c r="H605" s="209"/>
      <c r="I605" s="209"/>
      <c r="J605" s="201"/>
      <c r="K605" s="210" t="s">
        <v>39</v>
      </c>
      <c r="L605" s="201"/>
      <c r="M605" s="201"/>
      <c r="N605" s="201"/>
      <c r="O605" s="201"/>
      <c r="P605" s="201"/>
      <c r="Q605" s="201"/>
      <c r="R605" s="201"/>
      <c r="S605" s="201"/>
      <c r="T605" s="201"/>
      <c r="U605" s="201"/>
      <c r="V605" s="201"/>
      <c r="W605" s="201"/>
      <c r="X605" s="201"/>
      <c r="Y605" s="201"/>
      <c r="Z605" s="201"/>
      <c r="AA605" s="201"/>
    </row>
    <row r="606">
      <c r="A606" s="201"/>
      <c r="B606" s="201"/>
      <c r="C606" s="201"/>
      <c r="D606" s="201"/>
      <c r="E606" s="201"/>
      <c r="F606" s="201"/>
      <c r="G606" s="201"/>
      <c r="H606" s="209"/>
      <c r="I606" s="209"/>
      <c r="J606" s="201"/>
      <c r="K606" s="210" t="s">
        <v>39</v>
      </c>
      <c r="L606" s="201"/>
      <c r="M606" s="201"/>
      <c r="N606" s="201"/>
      <c r="O606" s="201"/>
      <c r="P606" s="201"/>
      <c r="Q606" s="201"/>
      <c r="R606" s="201"/>
      <c r="S606" s="201"/>
      <c r="T606" s="201"/>
      <c r="U606" s="201"/>
      <c r="V606" s="201"/>
      <c r="W606" s="201"/>
      <c r="X606" s="201"/>
      <c r="Y606" s="201"/>
      <c r="Z606" s="201"/>
      <c r="AA606" s="201"/>
    </row>
    <row r="607">
      <c r="A607" s="201"/>
      <c r="B607" s="201"/>
      <c r="C607" s="201"/>
      <c r="D607" s="201"/>
      <c r="E607" s="201"/>
      <c r="F607" s="201"/>
      <c r="G607" s="201"/>
      <c r="H607" s="209"/>
      <c r="I607" s="209"/>
      <c r="J607" s="201"/>
      <c r="K607" s="210" t="s">
        <v>39</v>
      </c>
      <c r="L607" s="201"/>
      <c r="M607" s="201"/>
      <c r="N607" s="201"/>
      <c r="O607" s="201"/>
      <c r="P607" s="201"/>
      <c r="Q607" s="201"/>
      <c r="R607" s="201"/>
      <c r="S607" s="201"/>
      <c r="T607" s="201"/>
      <c r="U607" s="201"/>
      <c r="V607" s="201"/>
      <c r="W607" s="201"/>
      <c r="X607" s="201"/>
      <c r="Y607" s="201"/>
      <c r="Z607" s="201"/>
      <c r="AA607" s="201"/>
    </row>
    <row r="608">
      <c r="A608" s="201"/>
      <c r="B608" s="201"/>
      <c r="C608" s="201"/>
      <c r="D608" s="201"/>
      <c r="E608" s="201"/>
      <c r="F608" s="201"/>
      <c r="G608" s="201"/>
      <c r="H608" s="209"/>
      <c r="I608" s="209"/>
      <c r="J608" s="201"/>
      <c r="K608" s="210" t="s">
        <v>39</v>
      </c>
      <c r="L608" s="201"/>
      <c r="M608" s="201"/>
      <c r="N608" s="201"/>
      <c r="O608" s="201"/>
      <c r="P608" s="201"/>
      <c r="Q608" s="201"/>
      <c r="R608" s="201"/>
      <c r="S608" s="201"/>
      <c r="T608" s="201"/>
      <c r="U608" s="201"/>
      <c r="V608" s="201"/>
      <c r="W608" s="201"/>
      <c r="X608" s="201"/>
      <c r="Y608" s="201"/>
      <c r="Z608" s="201"/>
      <c r="AA608" s="201"/>
    </row>
    <row r="609">
      <c r="A609" s="201"/>
      <c r="B609" s="201"/>
      <c r="C609" s="201"/>
      <c r="D609" s="201"/>
      <c r="E609" s="201"/>
      <c r="F609" s="201"/>
      <c r="G609" s="201"/>
      <c r="H609" s="209"/>
      <c r="I609" s="209"/>
      <c r="J609" s="201"/>
      <c r="K609" s="210" t="s">
        <v>39</v>
      </c>
      <c r="L609" s="201"/>
      <c r="M609" s="201"/>
      <c r="N609" s="201"/>
      <c r="O609" s="201"/>
      <c r="P609" s="201"/>
      <c r="Q609" s="201"/>
      <c r="R609" s="201"/>
      <c r="S609" s="201"/>
      <c r="T609" s="201"/>
      <c r="U609" s="201"/>
      <c r="V609" s="201"/>
      <c r="W609" s="201"/>
      <c r="X609" s="201"/>
      <c r="Y609" s="201"/>
      <c r="Z609" s="201"/>
      <c r="AA609" s="201"/>
    </row>
    <row r="610">
      <c r="A610" s="201"/>
      <c r="B610" s="201"/>
      <c r="C610" s="201"/>
      <c r="D610" s="201"/>
      <c r="E610" s="201"/>
      <c r="F610" s="201"/>
      <c r="G610" s="201"/>
      <c r="H610" s="209"/>
      <c r="I610" s="209"/>
      <c r="J610" s="201"/>
      <c r="K610" s="210" t="s">
        <v>39</v>
      </c>
      <c r="L610" s="201"/>
      <c r="M610" s="201"/>
      <c r="N610" s="201"/>
      <c r="O610" s="201"/>
      <c r="P610" s="201"/>
      <c r="Q610" s="201"/>
      <c r="R610" s="201"/>
      <c r="S610" s="201"/>
      <c r="T610" s="201"/>
      <c r="U610" s="201"/>
      <c r="V610" s="201"/>
      <c r="W610" s="201"/>
      <c r="X610" s="201"/>
      <c r="Y610" s="201"/>
      <c r="Z610" s="201"/>
      <c r="AA610" s="201"/>
    </row>
    <row r="611">
      <c r="A611" s="201"/>
      <c r="B611" s="201"/>
      <c r="C611" s="201"/>
      <c r="D611" s="201"/>
      <c r="E611" s="201"/>
      <c r="F611" s="201"/>
      <c r="G611" s="201"/>
      <c r="H611" s="209"/>
      <c r="I611" s="209"/>
      <c r="J611" s="201"/>
      <c r="K611" s="210" t="s">
        <v>39</v>
      </c>
      <c r="L611" s="201"/>
      <c r="M611" s="201"/>
      <c r="N611" s="201"/>
      <c r="O611" s="201"/>
      <c r="P611" s="201"/>
      <c r="Q611" s="201"/>
      <c r="R611" s="201"/>
      <c r="S611" s="201"/>
      <c r="T611" s="201"/>
      <c r="U611" s="201"/>
      <c r="V611" s="201"/>
      <c r="W611" s="201"/>
      <c r="X611" s="201"/>
      <c r="Y611" s="201"/>
      <c r="Z611" s="201"/>
      <c r="AA611" s="201"/>
    </row>
    <row r="612">
      <c r="A612" s="201"/>
      <c r="B612" s="201"/>
      <c r="C612" s="201"/>
      <c r="D612" s="201"/>
      <c r="E612" s="201"/>
      <c r="F612" s="201"/>
      <c r="G612" s="201"/>
      <c r="H612" s="209"/>
      <c r="I612" s="209"/>
      <c r="J612" s="201"/>
      <c r="K612" s="210" t="s">
        <v>39</v>
      </c>
      <c r="L612" s="201"/>
      <c r="M612" s="201"/>
      <c r="N612" s="201"/>
      <c r="O612" s="201"/>
      <c r="P612" s="201"/>
      <c r="Q612" s="201"/>
      <c r="R612" s="201"/>
      <c r="S612" s="201"/>
      <c r="T612" s="201"/>
      <c r="U612" s="201"/>
      <c r="V612" s="201"/>
      <c r="W612" s="201"/>
      <c r="X612" s="201"/>
      <c r="Y612" s="201"/>
      <c r="Z612" s="201"/>
      <c r="AA612" s="201"/>
    </row>
    <row r="613">
      <c r="A613" s="201"/>
      <c r="B613" s="201"/>
      <c r="C613" s="201"/>
      <c r="D613" s="201"/>
      <c r="E613" s="201"/>
      <c r="F613" s="201"/>
      <c r="G613" s="201"/>
      <c r="H613" s="209"/>
      <c r="I613" s="209"/>
      <c r="J613" s="201"/>
      <c r="K613" s="210" t="s">
        <v>39</v>
      </c>
      <c r="L613" s="201"/>
      <c r="M613" s="201"/>
      <c r="N613" s="201"/>
      <c r="O613" s="201"/>
      <c r="P613" s="201"/>
      <c r="Q613" s="201"/>
      <c r="R613" s="201"/>
      <c r="S613" s="201"/>
      <c r="T613" s="201"/>
      <c r="U613" s="201"/>
      <c r="V613" s="201"/>
      <c r="W613" s="201"/>
      <c r="X613" s="201"/>
      <c r="Y613" s="201"/>
      <c r="Z613" s="201"/>
      <c r="AA613" s="201"/>
    </row>
    <row r="614">
      <c r="A614" s="201"/>
      <c r="B614" s="201"/>
      <c r="C614" s="201"/>
      <c r="D614" s="201"/>
      <c r="E614" s="201"/>
      <c r="F614" s="201"/>
      <c r="G614" s="201"/>
      <c r="H614" s="209"/>
      <c r="I614" s="209"/>
      <c r="J614" s="201"/>
      <c r="K614" s="210" t="s">
        <v>39</v>
      </c>
      <c r="L614" s="201"/>
      <c r="M614" s="201"/>
      <c r="N614" s="201"/>
      <c r="O614" s="201"/>
      <c r="P614" s="201"/>
      <c r="Q614" s="201"/>
      <c r="R614" s="201"/>
      <c r="S614" s="201"/>
      <c r="T614" s="201"/>
      <c r="U614" s="201"/>
      <c r="V614" s="201"/>
      <c r="W614" s="201"/>
      <c r="X614" s="201"/>
      <c r="Y614" s="201"/>
      <c r="Z614" s="201"/>
      <c r="AA614" s="201"/>
    </row>
    <row r="615">
      <c r="A615" s="201"/>
      <c r="B615" s="201"/>
      <c r="C615" s="201"/>
      <c r="D615" s="201"/>
      <c r="E615" s="201"/>
      <c r="F615" s="201"/>
      <c r="G615" s="201"/>
      <c r="H615" s="209"/>
      <c r="I615" s="209"/>
      <c r="J615" s="201"/>
      <c r="K615" s="210" t="s">
        <v>39</v>
      </c>
      <c r="L615" s="201"/>
      <c r="M615" s="201"/>
      <c r="N615" s="201"/>
      <c r="O615" s="201"/>
      <c r="P615" s="201"/>
      <c r="Q615" s="201"/>
      <c r="R615" s="201"/>
      <c r="S615" s="201"/>
      <c r="T615" s="201"/>
      <c r="U615" s="201"/>
      <c r="V615" s="201"/>
      <c r="W615" s="201"/>
      <c r="X615" s="201"/>
      <c r="Y615" s="201"/>
      <c r="Z615" s="201"/>
      <c r="AA615" s="201"/>
    </row>
    <row r="616">
      <c r="A616" s="201"/>
      <c r="B616" s="201"/>
      <c r="C616" s="201"/>
      <c r="D616" s="201"/>
      <c r="E616" s="201"/>
      <c r="F616" s="201"/>
      <c r="G616" s="201"/>
      <c r="H616" s="209"/>
      <c r="I616" s="209"/>
      <c r="J616" s="201"/>
      <c r="K616" s="210" t="s">
        <v>39</v>
      </c>
      <c r="L616" s="201"/>
      <c r="M616" s="201"/>
      <c r="N616" s="201"/>
      <c r="O616" s="201"/>
      <c r="P616" s="201"/>
      <c r="Q616" s="201"/>
      <c r="R616" s="201"/>
      <c r="S616" s="201"/>
      <c r="T616" s="201"/>
      <c r="U616" s="201"/>
      <c r="V616" s="201"/>
      <c r="W616" s="201"/>
      <c r="X616" s="201"/>
      <c r="Y616" s="201"/>
      <c r="Z616" s="201"/>
      <c r="AA616" s="201"/>
    </row>
    <row r="617">
      <c r="A617" s="201"/>
      <c r="B617" s="201"/>
      <c r="C617" s="201"/>
      <c r="D617" s="201"/>
      <c r="E617" s="201"/>
      <c r="F617" s="201"/>
      <c r="G617" s="201"/>
      <c r="H617" s="209"/>
      <c r="I617" s="209"/>
      <c r="J617" s="201"/>
      <c r="K617" s="210" t="s">
        <v>39</v>
      </c>
      <c r="L617" s="201"/>
      <c r="M617" s="201"/>
      <c r="N617" s="201"/>
      <c r="O617" s="201"/>
      <c r="P617" s="201"/>
      <c r="Q617" s="201"/>
      <c r="R617" s="201"/>
      <c r="S617" s="201"/>
      <c r="T617" s="201"/>
      <c r="U617" s="201"/>
      <c r="V617" s="201"/>
      <c r="W617" s="201"/>
      <c r="X617" s="201"/>
      <c r="Y617" s="201"/>
      <c r="Z617" s="201"/>
      <c r="AA617" s="201"/>
    </row>
    <row r="618">
      <c r="A618" s="201"/>
      <c r="B618" s="201"/>
      <c r="C618" s="201"/>
      <c r="D618" s="201"/>
      <c r="E618" s="201"/>
      <c r="F618" s="201"/>
      <c r="G618" s="201"/>
      <c r="H618" s="209"/>
      <c r="I618" s="209"/>
      <c r="J618" s="201"/>
      <c r="K618" s="210" t="s">
        <v>39</v>
      </c>
      <c r="L618" s="201"/>
      <c r="M618" s="201"/>
      <c r="N618" s="201"/>
      <c r="O618" s="201"/>
      <c r="P618" s="201"/>
      <c r="Q618" s="201"/>
      <c r="R618" s="201"/>
      <c r="S618" s="201"/>
      <c r="T618" s="201"/>
      <c r="U618" s="201"/>
      <c r="V618" s="201"/>
      <c r="W618" s="201"/>
      <c r="X618" s="201"/>
      <c r="Y618" s="201"/>
      <c r="Z618" s="201"/>
      <c r="AA618" s="201"/>
    </row>
    <row r="619">
      <c r="A619" s="201"/>
      <c r="B619" s="201"/>
      <c r="C619" s="201"/>
      <c r="D619" s="201"/>
      <c r="E619" s="201"/>
      <c r="F619" s="201"/>
      <c r="G619" s="201"/>
      <c r="H619" s="209"/>
      <c r="I619" s="209"/>
      <c r="J619" s="201"/>
      <c r="K619" s="210" t="s">
        <v>39</v>
      </c>
      <c r="L619" s="201"/>
      <c r="M619" s="201"/>
      <c r="N619" s="201"/>
      <c r="O619" s="201"/>
      <c r="P619" s="201"/>
      <c r="Q619" s="201"/>
      <c r="R619" s="201"/>
      <c r="S619" s="201"/>
      <c r="T619" s="201"/>
      <c r="U619" s="201"/>
      <c r="V619" s="201"/>
      <c r="W619" s="201"/>
      <c r="X619" s="201"/>
      <c r="Y619" s="201"/>
      <c r="Z619" s="201"/>
      <c r="AA619" s="201"/>
    </row>
    <row r="620">
      <c r="A620" s="201"/>
      <c r="B620" s="201"/>
      <c r="C620" s="201"/>
      <c r="D620" s="201"/>
      <c r="E620" s="201"/>
      <c r="F620" s="201"/>
      <c r="G620" s="201"/>
      <c r="H620" s="209"/>
      <c r="I620" s="209"/>
      <c r="J620" s="201"/>
      <c r="K620" s="210" t="s">
        <v>39</v>
      </c>
      <c r="L620" s="201"/>
      <c r="M620" s="201"/>
      <c r="N620" s="201"/>
      <c r="O620" s="201"/>
      <c r="P620" s="201"/>
      <c r="Q620" s="201"/>
      <c r="R620" s="201"/>
      <c r="S620" s="201"/>
      <c r="T620" s="201"/>
      <c r="U620" s="201"/>
      <c r="V620" s="201"/>
      <c r="W620" s="201"/>
      <c r="X620" s="201"/>
      <c r="Y620" s="201"/>
      <c r="Z620" s="201"/>
      <c r="AA620" s="201"/>
    </row>
    <row r="621">
      <c r="A621" s="201"/>
      <c r="B621" s="201"/>
      <c r="C621" s="201"/>
      <c r="D621" s="201"/>
      <c r="E621" s="201"/>
      <c r="F621" s="201"/>
      <c r="G621" s="201"/>
      <c r="H621" s="209"/>
      <c r="I621" s="209"/>
      <c r="J621" s="201"/>
      <c r="K621" s="210" t="s">
        <v>39</v>
      </c>
      <c r="L621" s="201"/>
      <c r="M621" s="201"/>
      <c r="N621" s="201"/>
      <c r="O621" s="201"/>
      <c r="P621" s="201"/>
      <c r="Q621" s="201"/>
      <c r="R621" s="201"/>
      <c r="S621" s="201"/>
      <c r="T621" s="201"/>
      <c r="U621" s="201"/>
      <c r="V621" s="201"/>
      <c r="W621" s="201"/>
      <c r="X621" s="201"/>
      <c r="Y621" s="201"/>
      <c r="Z621" s="201"/>
      <c r="AA621" s="201"/>
    </row>
    <row r="622">
      <c r="A622" s="201"/>
      <c r="B622" s="201"/>
      <c r="C622" s="201"/>
      <c r="D622" s="201"/>
      <c r="E622" s="201"/>
      <c r="F622" s="201"/>
      <c r="G622" s="201"/>
      <c r="H622" s="209"/>
      <c r="I622" s="209"/>
      <c r="J622" s="201"/>
      <c r="K622" s="210" t="s">
        <v>39</v>
      </c>
      <c r="L622" s="201"/>
      <c r="M622" s="201"/>
      <c r="N622" s="201"/>
      <c r="O622" s="201"/>
      <c r="P622" s="201"/>
      <c r="Q622" s="201"/>
      <c r="R622" s="201"/>
      <c r="S622" s="201"/>
      <c r="T622" s="201"/>
      <c r="U622" s="201"/>
      <c r="V622" s="201"/>
      <c r="W622" s="201"/>
      <c r="X622" s="201"/>
      <c r="Y622" s="201"/>
      <c r="Z622" s="201"/>
      <c r="AA622" s="201"/>
    </row>
    <row r="623">
      <c r="A623" s="201"/>
      <c r="B623" s="201"/>
      <c r="C623" s="201"/>
      <c r="D623" s="201"/>
      <c r="E623" s="201"/>
      <c r="F623" s="201"/>
      <c r="G623" s="201"/>
      <c r="H623" s="209"/>
      <c r="I623" s="209"/>
      <c r="J623" s="201"/>
      <c r="K623" s="210" t="s">
        <v>39</v>
      </c>
      <c r="L623" s="201"/>
      <c r="M623" s="201"/>
      <c r="N623" s="201"/>
      <c r="O623" s="201"/>
      <c r="P623" s="201"/>
      <c r="Q623" s="201"/>
      <c r="R623" s="201"/>
      <c r="S623" s="201"/>
      <c r="T623" s="201"/>
      <c r="U623" s="201"/>
      <c r="V623" s="201"/>
      <c r="W623" s="201"/>
      <c r="X623" s="201"/>
      <c r="Y623" s="201"/>
      <c r="Z623" s="201"/>
      <c r="AA623" s="201"/>
    </row>
    <row r="624">
      <c r="A624" s="201"/>
      <c r="B624" s="201"/>
      <c r="C624" s="201"/>
      <c r="D624" s="201"/>
      <c r="E624" s="201"/>
      <c r="F624" s="201"/>
      <c r="G624" s="201"/>
      <c r="H624" s="209"/>
      <c r="I624" s="209"/>
      <c r="J624" s="201"/>
      <c r="K624" s="210" t="s">
        <v>39</v>
      </c>
      <c r="L624" s="201"/>
      <c r="M624" s="201"/>
      <c r="N624" s="201"/>
      <c r="O624" s="201"/>
      <c r="P624" s="201"/>
      <c r="Q624" s="201"/>
      <c r="R624" s="201"/>
      <c r="S624" s="201"/>
      <c r="T624" s="201"/>
      <c r="U624" s="201"/>
      <c r="V624" s="201"/>
      <c r="W624" s="201"/>
      <c r="X624" s="201"/>
      <c r="Y624" s="201"/>
      <c r="Z624" s="201"/>
      <c r="AA624" s="201"/>
    </row>
    <row r="625">
      <c r="A625" s="201"/>
      <c r="B625" s="201"/>
      <c r="C625" s="201"/>
      <c r="D625" s="201"/>
      <c r="E625" s="201"/>
      <c r="F625" s="201"/>
      <c r="G625" s="201"/>
      <c r="H625" s="209"/>
      <c r="I625" s="209"/>
      <c r="J625" s="201"/>
      <c r="K625" s="210" t="s">
        <v>39</v>
      </c>
      <c r="L625" s="201"/>
      <c r="M625" s="201"/>
      <c r="N625" s="201"/>
      <c r="O625" s="201"/>
      <c r="P625" s="201"/>
      <c r="Q625" s="201"/>
      <c r="R625" s="201"/>
      <c r="S625" s="201"/>
      <c r="T625" s="201"/>
      <c r="U625" s="201"/>
      <c r="V625" s="201"/>
      <c r="W625" s="201"/>
      <c r="X625" s="201"/>
      <c r="Y625" s="201"/>
      <c r="Z625" s="201"/>
      <c r="AA625" s="201"/>
    </row>
    <row r="626">
      <c r="A626" s="201"/>
      <c r="B626" s="201"/>
      <c r="C626" s="201"/>
      <c r="D626" s="201"/>
      <c r="E626" s="201"/>
      <c r="F626" s="201"/>
      <c r="G626" s="201"/>
      <c r="H626" s="209"/>
      <c r="I626" s="209"/>
      <c r="J626" s="201"/>
      <c r="K626" s="210" t="s">
        <v>39</v>
      </c>
      <c r="L626" s="201"/>
      <c r="M626" s="201"/>
      <c r="N626" s="201"/>
      <c r="O626" s="201"/>
      <c r="P626" s="201"/>
      <c r="Q626" s="201"/>
      <c r="R626" s="201"/>
      <c r="S626" s="201"/>
      <c r="T626" s="201"/>
      <c r="U626" s="201"/>
      <c r="V626" s="201"/>
      <c r="W626" s="201"/>
      <c r="X626" s="201"/>
      <c r="Y626" s="201"/>
      <c r="Z626" s="201"/>
      <c r="AA626" s="201"/>
    </row>
    <row r="627">
      <c r="A627" s="201"/>
      <c r="B627" s="201"/>
      <c r="C627" s="201"/>
      <c r="D627" s="201"/>
      <c r="E627" s="201"/>
      <c r="F627" s="201"/>
      <c r="G627" s="201"/>
      <c r="H627" s="209"/>
      <c r="I627" s="209"/>
      <c r="J627" s="201"/>
      <c r="K627" s="210" t="s">
        <v>39</v>
      </c>
      <c r="L627" s="201"/>
      <c r="M627" s="201"/>
      <c r="N627" s="201"/>
      <c r="O627" s="201"/>
      <c r="P627" s="201"/>
      <c r="Q627" s="201"/>
      <c r="R627" s="201"/>
      <c r="S627" s="201"/>
      <c r="T627" s="201"/>
      <c r="U627" s="201"/>
      <c r="V627" s="201"/>
      <c r="W627" s="201"/>
      <c r="X627" s="201"/>
      <c r="Y627" s="201"/>
      <c r="Z627" s="201"/>
      <c r="AA627" s="201"/>
    </row>
    <row r="628">
      <c r="A628" s="201"/>
      <c r="B628" s="201"/>
      <c r="C628" s="201"/>
      <c r="D628" s="201"/>
      <c r="E628" s="201"/>
      <c r="F628" s="201"/>
      <c r="G628" s="201"/>
      <c r="H628" s="209"/>
      <c r="I628" s="209"/>
      <c r="J628" s="201"/>
      <c r="K628" s="210" t="s">
        <v>39</v>
      </c>
      <c r="L628" s="201"/>
      <c r="M628" s="201"/>
      <c r="N628" s="201"/>
      <c r="O628" s="201"/>
      <c r="P628" s="201"/>
      <c r="Q628" s="201"/>
      <c r="R628" s="201"/>
      <c r="S628" s="201"/>
      <c r="T628" s="201"/>
      <c r="U628" s="201"/>
      <c r="V628" s="201"/>
      <c r="W628" s="201"/>
      <c r="X628" s="201"/>
      <c r="Y628" s="201"/>
      <c r="Z628" s="201"/>
      <c r="AA628" s="201"/>
    </row>
    <row r="629">
      <c r="A629" s="201"/>
      <c r="B629" s="201"/>
      <c r="C629" s="201"/>
      <c r="D629" s="201"/>
      <c r="E629" s="201"/>
      <c r="F629" s="201"/>
      <c r="G629" s="201"/>
      <c r="H629" s="209"/>
      <c r="I629" s="209"/>
      <c r="J629" s="201"/>
      <c r="K629" s="210" t="s">
        <v>39</v>
      </c>
      <c r="L629" s="201"/>
      <c r="M629" s="201"/>
      <c r="N629" s="201"/>
      <c r="O629" s="201"/>
      <c r="P629" s="201"/>
      <c r="Q629" s="201"/>
      <c r="R629" s="201"/>
      <c r="S629" s="201"/>
      <c r="T629" s="201"/>
      <c r="U629" s="201"/>
      <c r="V629" s="201"/>
      <c r="W629" s="201"/>
      <c r="X629" s="201"/>
      <c r="Y629" s="201"/>
      <c r="Z629" s="201"/>
      <c r="AA629" s="201"/>
    </row>
    <row r="630">
      <c r="A630" s="201"/>
      <c r="B630" s="201"/>
      <c r="C630" s="201"/>
      <c r="D630" s="201"/>
      <c r="E630" s="201"/>
      <c r="F630" s="201"/>
      <c r="G630" s="201"/>
      <c r="H630" s="209"/>
      <c r="I630" s="209"/>
      <c r="J630" s="201"/>
      <c r="K630" s="210" t="s">
        <v>39</v>
      </c>
      <c r="L630" s="201"/>
      <c r="M630" s="201"/>
      <c r="N630" s="201"/>
      <c r="O630" s="201"/>
      <c r="P630" s="201"/>
      <c r="Q630" s="201"/>
      <c r="R630" s="201"/>
      <c r="S630" s="201"/>
      <c r="T630" s="201"/>
      <c r="U630" s="201"/>
      <c r="V630" s="201"/>
      <c r="W630" s="201"/>
      <c r="X630" s="201"/>
      <c r="Y630" s="201"/>
      <c r="Z630" s="201"/>
      <c r="AA630" s="201"/>
    </row>
    <row r="631">
      <c r="A631" s="201"/>
      <c r="B631" s="201"/>
      <c r="C631" s="201"/>
      <c r="D631" s="201"/>
      <c r="E631" s="201"/>
      <c r="F631" s="201"/>
      <c r="G631" s="201"/>
      <c r="H631" s="209"/>
      <c r="I631" s="209"/>
      <c r="J631" s="201"/>
      <c r="K631" s="210" t="s">
        <v>39</v>
      </c>
      <c r="L631" s="201"/>
      <c r="M631" s="201"/>
      <c r="N631" s="201"/>
      <c r="O631" s="201"/>
      <c r="P631" s="201"/>
      <c r="Q631" s="201"/>
      <c r="R631" s="201"/>
      <c r="S631" s="201"/>
      <c r="T631" s="201"/>
      <c r="U631" s="201"/>
      <c r="V631" s="201"/>
      <c r="W631" s="201"/>
      <c r="X631" s="201"/>
      <c r="Y631" s="201"/>
      <c r="Z631" s="201"/>
      <c r="AA631" s="201"/>
    </row>
    <row r="632">
      <c r="A632" s="201"/>
      <c r="B632" s="201"/>
      <c r="C632" s="201"/>
      <c r="D632" s="201"/>
      <c r="E632" s="201"/>
      <c r="F632" s="201"/>
      <c r="G632" s="201"/>
      <c r="H632" s="209"/>
      <c r="I632" s="209"/>
      <c r="J632" s="201"/>
      <c r="K632" s="210" t="s">
        <v>39</v>
      </c>
      <c r="L632" s="201"/>
      <c r="M632" s="201"/>
      <c r="N632" s="201"/>
      <c r="O632" s="201"/>
      <c r="P632" s="201"/>
      <c r="Q632" s="201"/>
      <c r="R632" s="201"/>
      <c r="S632" s="201"/>
      <c r="T632" s="201"/>
      <c r="U632" s="201"/>
      <c r="V632" s="201"/>
      <c r="W632" s="201"/>
      <c r="X632" s="201"/>
      <c r="Y632" s="201"/>
      <c r="Z632" s="201"/>
      <c r="AA632" s="201"/>
    </row>
    <row r="633">
      <c r="A633" s="201"/>
      <c r="B633" s="201"/>
      <c r="C633" s="201"/>
      <c r="D633" s="201"/>
      <c r="E633" s="201"/>
      <c r="F633" s="201"/>
      <c r="G633" s="201"/>
      <c r="H633" s="209"/>
      <c r="I633" s="209"/>
      <c r="J633" s="201"/>
      <c r="K633" s="210" t="s">
        <v>39</v>
      </c>
      <c r="L633" s="201"/>
      <c r="M633" s="201"/>
      <c r="N633" s="201"/>
      <c r="O633" s="201"/>
      <c r="P633" s="201"/>
      <c r="Q633" s="201"/>
      <c r="R633" s="201"/>
      <c r="S633" s="201"/>
      <c r="T633" s="201"/>
      <c r="U633" s="201"/>
      <c r="V633" s="201"/>
      <c r="W633" s="201"/>
      <c r="X633" s="201"/>
      <c r="Y633" s="201"/>
      <c r="Z633" s="201"/>
      <c r="AA633" s="201"/>
    </row>
    <row r="634">
      <c r="A634" s="201"/>
      <c r="B634" s="201"/>
      <c r="C634" s="201"/>
      <c r="D634" s="201"/>
      <c r="E634" s="201"/>
      <c r="F634" s="201"/>
      <c r="G634" s="201"/>
      <c r="H634" s="209"/>
      <c r="I634" s="209"/>
      <c r="J634" s="201"/>
      <c r="K634" s="210" t="s">
        <v>39</v>
      </c>
      <c r="L634" s="201"/>
      <c r="M634" s="201"/>
      <c r="N634" s="201"/>
      <c r="O634" s="201"/>
      <c r="P634" s="201"/>
      <c r="Q634" s="201"/>
      <c r="R634" s="201"/>
      <c r="S634" s="201"/>
      <c r="T634" s="201"/>
      <c r="U634" s="201"/>
      <c r="V634" s="201"/>
      <c r="W634" s="201"/>
      <c r="X634" s="201"/>
      <c r="Y634" s="201"/>
      <c r="Z634" s="201"/>
      <c r="AA634" s="201"/>
    </row>
    <row r="635">
      <c r="A635" s="201"/>
      <c r="B635" s="201"/>
      <c r="C635" s="201"/>
      <c r="D635" s="201"/>
      <c r="E635" s="201"/>
      <c r="F635" s="201"/>
      <c r="G635" s="201"/>
      <c r="H635" s="209"/>
      <c r="I635" s="209"/>
      <c r="J635" s="201"/>
      <c r="K635" s="210" t="s">
        <v>39</v>
      </c>
      <c r="L635" s="201"/>
      <c r="M635" s="201"/>
      <c r="N635" s="201"/>
      <c r="O635" s="201"/>
      <c r="P635" s="201"/>
      <c r="Q635" s="201"/>
      <c r="R635" s="201"/>
      <c r="S635" s="201"/>
      <c r="T635" s="201"/>
      <c r="U635" s="201"/>
      <c r="V635" s="201"/>
      <c r="W635" s="201"/>
      <c r="X635" s="201"/>
      <c r="Y635" s="201"/>
      <c r="Z635" s="201"/>
      <c r="AA635" s="201"/>
    </row>
    <row r="636">
      <c r="A636" s="201"/>
      <c r="B636" s="201"/>
      <c r="C636" s="201"/>
      <c r="D636" s="201"/>
      <c r="E636" s="201"/>
      <c r="F636" s="201"/>
      <c r="G636" s="201"/>
      <c r="H636" s="209"/>
      <c r="I636" s="209"/>
      <c r="J636" s="201"/>
      <c r="K636" s="210" t="s">
        <v>39</v>
      </c>
      <c r="L636" s="201"/>
      <c r="M636" s="201"/>
      <c r="N636" s="201"/>
      <c r="O636" s="201"/>
      <c r="P636" s="201"/>
      <c r="Q636" s="201"/>
      <c r="R636" s="201"/>
      <c r="S636" s="201"/>
      <c r="T636" s="201"/>
      <c r="U636" s="201"/>
      <c r="V636" s="201"/>
      <c r="W636" s="201"/>
      <c r="X636" s="201"/>
      <c r="Y636" s="201"/>
      <c r="Z636" s="201"/>
      <c r="AA636" s="201"/>
    </row>
    <row r="637">
      <c r="A637" s="201"/>
      <c r="B637" s="201"/>
      <c r="C637" s="201"/>
      <c r="D637" s="201"/>
      <c r="E637" s="201"/>
      <c r="F637" s="201"/>
      <c r="G637" s="201"/>
      <c r="H637" s="209"/>
      <c r="I637" s="209"/>
      <c r="J637" s="201"/>
      <c r="K637" s="210" t="s">
        <v>39</v>
      </c>
      <c r="L637" s="201"/>
      <c r="M637" s="201"/>
      <c r="N637" s="201"/>
      <c r="O637" s="201"/>
      <c r="P637" s="201"/>
      <c r="Q637" s="201"/>
      <c r="R637" s="201"/>
      <c r="S637" s="201"/>
      <c r="T637" s="201"/>
      <c r="U637" s="201"/>
      <c r="V637" s="201"/>
      <c r="W637" s="201"/>
      <c r="X637" s="201"/>
      <c r="Y637" s="201"/>
      <c r="Z637" s="201"/>
      <c r="AA637" s="201"/>
    </row>
    <row r="638">
      <c r="A638" s="201"/>
      <c r="B638" s="201"/>
      <c r="C638" s="201"/>
      <c r="D638" s="201"/>
      <c r="E638" s="201"/>
      <c r="F638" s="201"/>
      <c r="G638" s="201"/>
      <c r="H638" s="209"/>
      <c r="I638" s="209"/>
      <c r="J638" s="201"/>
      <c r="K638" s="210" t="s">
        <v>39</v>
      </c>
      <c r="L638" s="201"/>
      <c r="M638" s="201"/>
      <c r="N638" s="201"/>
      <c r="O638" s="201"/>
      <c r="P638" s="201"/>
      <c r="Q638" s="201"/>
      <c r="R638" s="201"/>
      <c r="S638" s="201"/>
      <c r="T638" s="201"/>
      <c r="U638" s="201"/>
      <c r="V638" s="201"/>
      <c r="W638" s="201"/>
      <c r="X638" s="201"/>
      <c r="Y638" s="201"/>
      <c r="Z638" s="201"/>
      <c r="AA638" s="201"/>
    </row>
    <row r="639">
      <c r="A639" s="201"/>
      <c r="B639" s="201"/>
      <c r="C639" s="201"/>
      <c r="D639" s="201"/>
      <c r="E639" s="201"/>
      <c r="F639" s="201"/>
      <c r="G639" s="201"/>
      <c r="H639" s="209"/>
      <c r="I639" s="209"/>
      <c r="J639" s="201"/>
      <c r="K639" s="210" t="s">
        <v>39</v>
      </c>
      <c r="L639" s="201"/>
      <c r="M639" s="201"/>
      <c r="N639" s="201"/>
      <c r="O639" s="201"/>
      <c r="P639" s="201"/>
      <c r="Q639" s="201"/>
      <c r="R639" s="201"/>
      <c r="S639" s="201"/>
      <c r="T639" s="201"/>
      <c r="U639" s="201"/>
      <c r="V639" s="201"/>
      <c r="W639" s="201"/>
      <c r="X639" s="201"/>
      <c r="Y639" s="201"/>
      <c r="Z639" s="201"/>
      <c r="AA639" s="201"/>
    </row>
    <row r="640">
      <c r="A640" s="201"/>
      <c r="B640" s="201"/>
      <c r="C640" s="201"/>
      <c r="D640" s="201"/>
      <c r="E640" s="201"/>
      <c r="F640" s="201"/>
      <c r="G640" s="201"/>
      <c r="H640" s="209"/>
      <c r="I640" s="209"/>
      <c r="J640" s="201"/>
      <c r="K640" s="210" t="s">
        <v>39</v>
      </c>
      <c r="L640" s="201"/>
      <c r="M640" s="201"/>
      <c r="N640" s="201"/>
      <c r="O640" s="201"/>
      <c r="P640" s="201"/>
      <c r="Q640" s="201"/>
      <c r="R640" s="201"/>
      <c r="S640" s="201"/>
      <c r="T640" s="201"/>
      <c r="U640" s="201"/>
      <c r="V640" s="201"/>
      <c r="W640" s="201"/>
      <c r="X640" s="201"/>
      <c r="Y640" s="201"/>
      <c r="Z640" s="201"/>
      <c r="AA640" s="201"/>
    </row>
    <row r="641">
      <c r="A641" s="201"/>
      <c r="B641" s="201"/>
      <c r="C641" s="201"/>
      <c r="D641" s="201"/>
      <c r="E641" s="201"/>
      <c r="F641" s="201"/>
      <c r="G641" s="201"/>
      <c r="H641" s="209"/>
      <c r="I641" s="209"/>
      <c r="J641" s="201"/>
      <c r="K641" s="210" t="s">
        <v>39</v>
      </c>
      <c r="L641" s="201"/>
      <c r="M641" s="201"/>
      <c r="N641" s="201"/>
      <c r="O641" s="201"/>
      <c r="P641" s="201"/>
      <c r="Q641" s="201"/>
      <c r="R641" s="201"/>
      <c r="S641" s="201"/>
      <c r="T641" s="201"/>
      <c r="U641" s="201"/>
      <c r="V641" s="201"/>
      <c r="W641" s="201"/>
      <c r="X641" s="201"/>
      <c r="Y641" s="201"/>
      <c r="Z641" s="201"/>
      <c r="AA641" s="201"/>
    </row>
    <row r="642">
      <c r="A642" s="201"/>
      <c r="B642" s="201"/>
      <c r="C642" s="201"/>
      <c r="D642" s="201"/>
      <c r="E642" s="201"/>
      <c r="F642" s="201"/>
      <c r="G642" s="201"/>
      <c r="H642" s="209"/>
      <c r="I642" s="209"/>
      <c r="J642" s="201"/>
      <c r="K642" s="210" t="s">
        <v>39</v>
      </c>
      <c r="L642" s="201"/>
      <c r="M642" s="201"/>
      <c r="N642" s="201"/>
      <c r="O642" s="201"/>
      <c r="P642" s="201"/>
      <c r="Q642" s="201"/>
      <c r="R642" s="201"/>
      <c r="S642" s="201"/>
      <c r="T642" s="201"/>
      <c r="U642" s="201"/>
      <c r="V642" s="201"/>
      <c r="W642" s="201"/>
      <c r="X642" s="201"/>
      <c r="Y642" s="201"/>
      <c r="Z642" s="201"/>
      <c r="AA642" s="201"/>
    </row>
    <row r="643">
      <c r="A643" s="201"/>
      <c r="B643" s="201"/>
      <c r="C643" s="201"/>
      <c r="D643" s="201"/>
      <c r="E643" s="201"/>
      <c r="F643" s="201"/>
      <c r="G643" s="201"/>
      <c r="H643" s="209"/>
      <c r="I643" s="209"/>
      <c r="J643" s="201"/>
      <c r="K643" s="210" t="s">
        <v>39</v>
      </c>
      <c r="L643" s="201"/>
      <c r="M643" s="201"/>
      <c r="N643" s="201"/>
      <c r="O643" s="201"/>
      <c r="P643" s="201"/>
      <c r="Q643" s="201"/>
      <c r="R643" s="201"/>
      <c r="S643" s="201"/>
      <c r="T643" s="201"/>
      <c r="U643" s="201"/>
      <c r="V643" s="201"/>
      <c r="W643" s="201"/>
      <c r="X643" s="201"/>
      <c r="Y643" s="201"/>
      <c r="Z643" s="201"/>
      <c r="AA643" s="201"/>
    </row>
    <row r="644">
      <c r="A644" s="201"/>
      <c r="B644" s="201"/>
      <c r="C644" s="201"/>
      <c r="D644" s="201"/>
      <c r="E644" s="201"/>
      <c r="F644" s="201"/>
      <c r="G644" s="201"/>
      <c r="H644" s="209"/>
      <c r="I644" s="209"/>
      <c r="J644" s="201"/>
      <c r="K644" s="210" t="s">
        <v>39</v>
      </c>
      <c r="L644" s="201"/>
      <c r="M644" s="201"/>
      <c r="N644" s="201"/>
      <c r="O644" s="201"/>
      <c r="P644" s="201"/>
      <c r="Q644" s="201"/>
      <c r="R644" s="201"/>
      <c r="S644" s="201"/>
      <c r="T644" s="201"/>
      <c r="U644" s="201"/>
      <c r="V644" s="201"/>
      <c r="W644" s="201"/>
      <c r="X644" s="201"/>
      <c r="Y644" s="201"/>
      <c r="Z644" s="201"/>
      <c r="AA644" s="201"/>
    </row>
    <row r="645">
      <c r="A645" s="201"/>
      <c r="B645" s="201"/>
      <c r="C645" s="201"/>
      <c r="D645" s="201"/>
      <c r="E645" s="201"/>
      <c r="F645" s="201"/>
      <c r="G645" s="201"/>
      <c r="H645" s="209"/>
      <c r="I645" s="209"/>
      <c r="J645" s="201"/>
      <c r="K645" s="210" t="s">
        <v>39</v>
      </c>
      <c r="L645" s="201"/>
      <c r="M645" s="201"/>
      <c r="N645" s="201"/>
      <c r="O645" s="201"/>
      <c r="P645" s="201"/>
      <c r="Q645" s="201"/>
      <c r="R645" s="201"/>
      <c r="S645" s="201"/>
      <c r="T645" s="201"/>
      <c r="U645" s="201"/>
      <c r="V645" s="201"/>
      <c r="W645" s="201"/>
      <c r="X645" s="201"/>
      <c r="Y645" s="201"/>
      <c r="Z645" s="201"/>
      <c r="AA645" s="201"/>
    </row>
    <row r="646">
      <c r="A646" s="201"/>
      <c r="B646" s="201"/>
      <c r="C646" s="201"/>
      <c r="D646" s="201"/>
      <c r="E646" s="201"/>
      <c r="F646" s="201"/>
      <c r="G646" s="201"/>
      <c r="H646" s="209"/>
      <c r="I646" s="209"/>
      <c r="J646" s="201"/>
      <c r="K646" s="210" t="s">
        <v>39</v>
      </c>
      <c r="L646" s="201"/>
      <c r="M646" s="201"/>
      <c r="N646" s="201"/>
      <c r="O646" s="201"/>
      <c r="P646" s="201"/>
      <c r="Q646" s="201"/>
      <c r="R646" s="201"/>
      <c r="S646" s="201"/>
      <c r="T646" s="201"/>
      <c r="U646" s="201"/>
      <c r="V646" s="201"/>
      <c r="W646" s="201"/>
      <c r="X646" s="201"/>
      <c r="Y646" s="201"/>
      <c r="Z646" s="201"/>
      <c r="AA646" s="201"/>
    </row>
    <row r="647">
      <c r="A647" s="201"/>
      <c r="B647" s="201"/>
      <c r="C647" s="201"/>
      <c r="D647" s="201"/>
      <c r="E647" s="201"/>
      <c r="F647" s="201"/>
      <c r="G647" s="201"/>
      <c r="H647" s="209"/>
      <c r="I647" s="209"/>
      <c r="J647" s="201"/>
      <c r="K647" s="210" t="s">
        <v>39</v>
      </c>
      <c r="L647" s="201"/>
      <c r="M647" s="201"/>
      <c r="N647" s="201"/>
      <c r="O647" s="201"/>
      <c r="P647" s="201"/>
      <c r="Q647" s="201"/>
      <c r="R647" s="201"/>
      <c r="S647" s="201"/>
      <c r="T647" s="201"/>
      <c r="U647" s="201"/>
      <c r="V647" s="201"/>
      <c r="W647" s="201"/>
      <c r="X647" s="201"/>
      <c r="Y647" s="201"/>
      <c r="Z647" s="201"/>
      <c r="AA647" s="201"/>
    </row>
    <row r="648">
      <c r="A648" s="201"/>
      <c r="B648" s="201"/>
      <c r="C648" s="201"/>
      <c r="D648" s="201"/>
      <c r="E648" s="201"/>
      <c r="F648" s="201"/>
      <c r="G648" s="201"/>
      <c r="H648" s="209"/>
      <c r="I648" s="209"/>
      <c r="J648" s="201"/>
      <c r="K648" s="210" t="s">
        <v>39</v>
      </c>
      <c r="L648" s="201"/>
      <c r="M648" s="201"/>
      <c r="N648" s="201"/>
      <c r="O648" s="201"/>
      <c r="P648" s="201"/>
      <c r="Q648" s="201"/>
      <c r="R648" s="201"/>
      <c r="S648" s="201"/>
      <c r="T648" s="201"/>
      <c r="U648" s="201"/>
      <c r="V648" s="201"/>
      <c r="W648" s="201"/>
      <c r="X648" s="201"/>
      <c r="Y648" s="201"/>
      <c r="Z648" s="201"/>
      <c r="AA648" s="201"/>
    </row>
    <row r="649">
      <c r="A649" s="201"/>
      <c r="B649" s="201"/>
      <c r="C649" s="201"/>
      <c r="D649" s="201"/>
      <c r="E649" s="201"/>
      <c r="F649" s="201"/>
      <c r="G649" s="201"/>
      <c r="H649" s="209"/>
      <c r="I649" s="209"/>
      <c r="J649" s="201"/>
      <c r="K649" s="210" t="s">
        <v>39</v>
      </c>
      <c r="L649" s="201"/>
      <c r="M649" s="201"/>
      <c r="N649" s="201"/>
      <c r="O649" s="201"/>
      <c r="P649" s="201"/>
      <c r="Q649" s="201"/>
      <c r="R649" s="201"/>
      <c r="S649" s="201"/>
      <c r="T649" s="201"/>
      <c r="U649" s="201"/>
      <c r="V649" s="201"/>
      <c r="W649" s="201"/>
      <c r="X649" s="201"/>
      <c r="Y649" s="201"/>
      <c r="Z649" s="201"/>
      <c r="AA649" s="201"/>
    </row>
    <row r="650">
      <c r="A650" s="201"/>
      <c r="B650" s="201"/>
      <c r="C650" s="201"/>
      <c r="D650" s="201"/>
      <c r="E650" s="201"/>
      <c r="F650" s="201"/>
      <c r="G650" s="201"/>
      <c r="H650" s="209"/>
      <c r="I650" s="209"/>
      <c r="J650" s="201"/>
      <c r="K650" s="210" t="s">
        <v>39</v>
      </c>
      <c r="L650" s="201"/>
      <c r="M650" s="201"/>
      <c r="N650" s="201"/>
      <c r="O650" s="201"/>
      <c r="P650" s="201"/>
      <c r="Q650" s="201"/>
      <c r="R650" s="201"/>
      <c r="S650" s="201"/>
      <c r="T650" s="201"/>
      <c r="U650" s="201"/>
      <c r="V650" s="201"/>
      <c r="W650" s="201"/>
      <c r="X650" s="201"/>
      <c r="Y650" s="201"/>
      <c r="Z650" s="201"/>
      <c r="AA650" s="201"/>
    </row>
    <row r="651">
      <c r="A651" s="201"/>
      <c r="B651" s="201"/>
      <c r="C651" s="201"/>
      <c r="D651" s="201"/>
      <c r="E651" s="201"/>
      <c r="F651" s="201"/>
      <c r="G651" s="201"/>
      <c r="H651" s="209"/>
      <c r="I651" s="209"/>
      <c r="J651" s="201"/>
      <c r="K651" s="210" t="s">
        <v>39</v>
      </c>
      <c r="L651" s="201"/>
      <c r="M651" s="201"/>
      <c r="N651" s="201"/>
      <c r="O651" s="201"/>
      <c r="P651" s="201"/>
      <c r="Q651" s="201"/>
      <c r="R651" s="201"/>
      <c r="S651" s="201"/>
      <c r="T651" s="201"/>
      <c r="U651" s="201"/>
      <c r="V651" s="201"/>
      <c r="W651" s="201"/>
      <c r="X651" s="201"/>
      <c r="Y651" s="201"/>
      <c r="Z651" s="201"/>
      <c r="AA651" s="201"/>
    </row>
    <row r="652">
      <c r="A652" s="201"/>
      <c r="B652" s="201"/>
      <c r="C652" s="201"/>
      <c r="D652" s="201"/>
      <c r="E652" s="201"/>
      <c r="F652" s="201"/>
      <c r="G652" s="201"/>
      <c r="H652" s="209"/>
      <c r="I652" s="209"/>
      <c r="J652" s="201"/>
      <c r="K652" s="210" t="s">
        <v>39</v>
      </c>
      <c r="L652" s="201"/>
      <c r="M652" s="201"/>
      <c r="N652" s="201"/>
      <c r="O652" s="201"/>
      <c r="P652" s="201"/>
      <c r="Q652" s="201"/>
      <c r="R652" s="201"/>
      <c r="S652" s="201"/>
      <c r="T652" s="201"/>
      <c r="U652" s="201"/>
      <c r="V652" s="201"/>
      <c r="W652" s="201"/>
      <c r="X652" s="201"/>
      <c r="Y652" s="201"/>
      <c r="Z652" s="201"/>
      <c r="AA652" s="201"/>
    </row>
    <row r="653">
      <c r="A653" s="201"/>
      <c r="B653" s="201"/>
      <c r="C653" s="201"/>
      <c r="D653" s="201"/>
      <c r="E653" s="201"/>
      <c r="F653" s="201"/>
      <c r="G653" s="201"/>
      <c r="H653" s="209"/>
      <c r="I653" s="209"/>
      <c r="J653" s="201"/>
      <c r="K653" s="210" t="s">
        <v>39</v>
      </c>
      <c r="L653" s="201"/>
      <c r="M653" s="201"/>
      <c r="N653" s="201"/>
      <c r="O653" s="201"/>
      <c r="P653" s="201"/>
      <c r="Q653" s="201"/>
      <c r="R653" s="201"/>
      <c r="S653" s="201"/>
      <c r="T653" s="201"/>
      <c r="U653" s="201"/>
      <c r="V653" s="201"/>
      <c r="W653" s="201"/>
      <c r="X653" s="201"/>
      <c r="Y653" s="201"/>
      <c r="Z653" s="201"/>
      <c r="AA653" s="201"/>
    </row>
    <row r="654">
      <c r="A654" s="201"/>
      <c r="B654" s="201"/>
      <c r="C654" s="201"/>
      <c r="D654" s="201"/>
      <c r="E654" s="201"/>
      <c r="F654" s="201"/>
      <c r="G654" s="201"/>
      <c r="H654" s="209"/>
      <c r="I654" s="209"/>
      <c r="J654" s="201"/>
      <c r="K654" s="210" t="s">
        <v>39</v>
      </c>
      <c r="L654" s="201"/>
      <c r="M654" s="201"/>
      <c r="N654" s="201"/>
      <c r="O654" s="201"/>
      <c r="P654" s="201"/>
      <c r="Q654" s="201"/>
      <c r="R654" s="201"/>
      <c r="S654" s="201"/>
      <c r="T654" s="201"/>
      <c r="U654" s="201"/>
      <c r="V654" s="201"/>
      <c r="W654" s="201"/>
      <c r="X654" s="201"/>
      <c r="Y654" s="201"/>
      <c r="Z654" s="201"/>
      <c r="AA654" s="201"/>
    </row>
    <row r="655">
      <c r="A655" s="201"/>
      <c r="B655" s="201"/>
      <c r="C655" s="201"/>
      <c r="D655" s="201"/>
      <c r="E655" s="201"/>
      <c r="F655" s="201"/>
      <c r="G655" s="201"/>
      <c r="H655" s="209"/>
      <c r="I655" s="209"/>
      <c r="J655" s="201"/>
      <c r="K655" s="210" t="s">
        <v>39</v>
      </c>
      <c r="L655" s="201"/>
      <c r="M655" s="201"/>
      <c r="N655" s="201"/>
      <c r="O655" s="201"/>
      <c r="P655" s="201"/>
      <c r="Q655" s="201"/>
      <c r="R655" s="201"/>
      <c r="S655" s="201"/>
      <c r="T655" s="201"/>
      <c r="U655" s="201"/>
      <c r="V655" s="201"/>
      <c r="W655" s="201"/>
      <c r="X655" s="201"/>
      <c r="Y655" s="201"/>
      <c r="Z655" s="201"/>
      <c r="AA655" s="201"/>
    </row>
    <row r="656">
      <c r="A656" s="201"/>
      <c r="B656" s="201"/>
      <c r="C656" s="201"/>
      <c r="D656" s="201"/>
      <c r="E656" s="201"/>
      <c r="F656" s="201"/>
      <c r="G656" s="201"/>
      <c r="H656" s="209"/>
      <c r="I656" s="209"/>
      <c r="J656" s="201"/>
      <c r="K656" s="210" t="s">
        <v>39</v>
      </c>
      <c r="L656" s="201"/>
      <c r="M656" s="201"/>
      <c r="N656" s="201"/>
      <c r="O656" s="201"/>
      <c r="P656" s="201"/>
      <c r="Q656" s="201"/>
      <c r="R656" s="201"/>
      <c r="S656" s="201"/>
      <c r="T656" s="201"/>
      <c r="U656" s="201"/>
      <c r="V656" s="201"/>
      <c r="W656" s="201"/>
      <c r="X656" s="201"/>
      <c r="Y656" s="201"/>
      <c r="Z656" s="201"/>
      <c r="AA656" s="201"/>
    </row>
    <row r="657">
      <c r="A657" s="201"/>
      <c r="B657" s="201"/>
      <c r="C657" s="201"/>
      <c r="D657" s="201"/>
      <c r="E657" s="201"/>
      <c r="F657" s="201"/>
      <c r="G657" s="201"/>
      <c r="H657" s="209"/>
      <c r="I657" s="209"/>
      <c r="J657" s="201"/>
      <c r="K657" s="210" t="s">
        <v>39</v>
      </c>
      <c r="L657" s="201"/>
      <c r="M657" s="201"/>
      <c r="N657" s="201"/>
      <c r="O657" s="201"/>
      <c r="P657" s="201"/>
      <c r="Q657" s="201"/>
      <c r="R657" s="201"/>
      <c r="S657" s="201"/>
      <c r="T657" s="201"/>
      <c r="U657" s="201"/>
      <c r="V657" s="201"/>
      <c r="W657" s="201"/>
      <c r="X657" s="201"/>
      <c r="Y657" s="201"/>
      <c r="Z657" s="201"/>
      <c r="AA657" s="201"/>
    </row>
    <row r="658">
      <c r="A658" s="201"/>
      <c r="B658" s="201"/>
      <c r="C658" s="201"/>
      <c r="D658" s="201"/>
      <c r="E658" s="201"/>
      <c r="F658" s="201"/>
      <c r="G658" s="201"/>
      <c r="H658" s="209"/>
      <c r="I658" s="209"/>
      <c r="J658" s="201"/>
      <c r="K658" s="210" t="s">
        <v>39</v>
      </c>
      <c r="L658" s="201"/>
      <c r="M658" s="201"/>
      <c r="N658" s="201"/>
      <c r="O658" s="201"/>
      <c r="P658" s="201"/>
      <c r="Q658" s="201"/>
      <c r="R658" s="201"/>
      <c r="S658" s="201"/>
      <c r="T658" s="201"/>
      <c r="U658" s="201"/>
      <c r="V658" s="201"/>
      <c r="W658" s="201"/>
      <c r="X658" s="201"/>
      <c r="Y658" s="201"/>
      <c r="Z658" s="201"/>
      <c r="AA658" s="201"/>
    </row>
    <row r="659">
      <c r="A659" s="201"/>
      <c r="B659" s="201"/>
      <c r="C659" s="201"/>
      <c r="D659" s="201"/>
      <c r="E659" s="201"/>
      <c r="F659" s="201"/>
      <c r="G659" s="201"/>
      <c r="H659" s="209"/>
      <c r="I659" s="209"/>
      <c r="J659" s="201"/>
      <c r="K659" s="210" t="s">
        <v>39</v>
      </c>
      <c r="L659" s="201"/>
      <c r="M659" s="201"/>
      <c r="N659" s="201"/>
      <c r="O659" s="201"/>
      <c r="P659" s="201"/>
      <c r="Q659" s="201"/>
      <c r="R659" s="201"/>
      <c r="S659" s="201"/>
      <c r="T659" s="201"/>
      <c r="U659" s="201"/>
      <c r="V659" s="201"/>
      <c r="W659" s="201"/>
      <c r="X659" s="201"/>
      <c r="Y659" s="201"/>
      <c r="Z659" s="201"/>
      <c r="AA659" s="201"/>
    </row>
    <row r="660">
      <c r="A660" s="201"/>
      <c r="B660" s="201"/>
      <c r="C660" s="201"/>
      <c r="D660" s="201"/>
      <c r="E660" s="201"/>
      <c r="F660" s="201"/>
      <c r="G660" s="201"/>
      <c r="H660" s="209"/>
      <c r="I660" s="209"/>
      <c r="J660" s="201"/>
      <c r="K660" s="210" t="s">
        <v>39</v>
      </c>
      <c r="L660" s="201"/>
      <c r="M660" s="201"/>
      <c r="N660" s="201"/>
      <c r="O660" s="201"/>
      <c r="P660" s="201"/>
      <c r="Q660" s="201"/>
      <c r="R660" s="201"/>
      <c r="S660" s="201"/>
      <c r="T660" s="201"/>
      <c r="U660" s="201"/>
      <c r="V660" s="201"/>
      <c r="W660" s="201"/>
      <c r="X660" s="201"/>
      <c r="Y660" s="201"/>
      <c r="Z660" s="201"/>
      <c r="AA660" s="201"/>
    </row>
    <row r="661">
      <c r="A661" s="201"/>
      <c r="B661" s="201"/>
      <c r="C661" s="201"/>
      <c r="D661" s="201"/>
      <c r="E661" s="201"/>
      <c r="F661" s="201"/>
      <c r="G661" s="201"/>
      <c r="H661" s="209"/>
      <c r="I661" s="209"/>
      <c r="J661" s="201"/>
      <c r="K661" s="210" t="s">
        <v>39</v>
      </c>
      <c r="L661" s="201"/>
      <c r="M661" s="201"/>
      <c r="N661" s="201"/>
      <c r="O661" s="201"/>
      <c r="P661" s="201"/>
      <c r="Q661" s="201"/>
      <c r="R661" s="201"/>
      <c r="S661" s="201"/>
      <c r="T661" s="201"/>
      <c r="U661" s="201"/>
      <c r="V661" s="201"/>
      <c r="W661" s="201"/>
      <c r="X661" s="201"/>
      <c r="Y661" s="201"/>
      <c r="Z661" s="201"/>
      <c r="AA661" s="201"/>
    </row>
    <row r="662">
      <c r="A662" s="201"/>
      <c r="B662" s="201"/>
      <c r="C662" s="201"/>
      <c r="D662" s="201"/>
      <c r="E662" s="201"/>
      <c r="F662" s="201"/>
      <c r="G662" s="201"/>
      <c r="H662" s="209"/>
      <c r="I662" s="209"/>
      <c r="J662" s="201"/>
      <c r="K662" s="210" t="s">
        <v>39</v>
      </c>
      <c r="L662" s="201"/>
      <c r="M662" s="201"/>
      <c r="N662" s="201"/>
      <c r="O662" s="201"/>
      <c r="P662" s="201"/>
      <c r="Q662" s="201"/>
      <c r="R662" s="201"/>
      <c r="S662" s="201"/>
      <c r="T662" s="201"/>
      <c r="U662" s="201"/>
      <c r="V662" s="201"/>
      <c r="W662" s="201"/>
      <c r="X662" s="201"/>
      <c r="Y662" s="201"/>
      <c r="Z662" s="201"/>
      <c r="AA662" s="201"/>
    </row>
    <row r="663">
      <c r="A663" s="201"/>
      <c r="B663" s="201"/>
      <c r="C663" s="201"/>
      <c r="D663" s="201"/>
      <c r="E663" s="201"/>
      <c r="F663" s="201"/>
      <c r="G663" s="201"/>
      <c r="H663" s="209"/>
      <c r="I663" s="209"/>
      <c r="J663" s="201"/>
      <c r="K663" s="210" t="s">
        <v>39</v>
      </c>
      <c r="L663" s="201"/>
      <c r="M663" s="201"/>
      <c r="N663" s="201"/>
      <c r="O663" s="201"/>
      <c r="P663" s="201"/>
      <c r="Q663" s="201"/>
      <c r="R663" s="201"/>
      <c r="S663" s="201"/>
      <c r="T663" s="201"/>
      <c r="U663" s="201"/>
      <c r="V663" s="201"/>
      <c r="W663" s="201"/>
      <c r="X663" s="201"/>
      <c r="Y663" s="201"/>
      <c r="Z663" s="201"/>
      <c r="AA663" s="201"/>
    </row>
    <row r="664">
      <c r="A664" s="201"/>
      <c r="B664" s="201"/>
      <c r="C664" s="201"/>
      <c r="D664" s="201"/>
      <c r="E664" s="201"/>
      <c r="F664" s="201"/>
      <c r="G664" s="201"/>
      <c r="H664" s="209"/>
      <c r="I664" s="209"/>
      <c r="J664" s="201"/>
      <c r="K664" s="210" t="s">
        <v>39</v>
      </c>
      <c r="L664" s="201"/>
      <c r="M664" s="201"/>
      <c r="N664" s="201"/>
      <c r="O664" s="201"/>
      <c r="P664" s="201"/>
      <c r="Q664" s="201"/>
      <c r="R664" s="201"/>
      <c r="S664" s="201"/>
      <c r="T664" s="201"/>
      <c r="U664" s="201"/>
      <c r="V664" s="201"/>
      <c r="W664" s="201"/>
      <c r="X664" s="201"/>
      <c r="Y664" s="201"/>
      <c r="Z664" s="201"/>
      <c r="AA664" s="201"/>
    </row>
    <row r="665">
      <c r="A665" s="201"/>
      <c r="B665" s="201"/>
      <c r="C665" s="201"/>
      <c r="D665" s="201"/>
      <c r="E665" s="201"/>
      <c r="F665" s="201"/>
      <c r="G665" s="201"/>
      <c r="H665" s="209"/>
      <c r="I665" s="209"/>
      <c r="J665" s="201"/>
      <c r="K665" s="210" t="s">
        <v>39</v>
      </c>
      <c r="L665" s="201"/>
      <c r="M665" s="201"/>
      <c r="N665" s="201"/>
      <c r="O665" s="201"/>
      <c r="P665" s="201"/>
      <c r="Q665" s="201"/>
      <c r="R665" s="201"/>
      <c r="S665" s="201"/>
      <c r="T665" s="201"/>
      <c r="U665" s="201"/>
      <c r="V665" s="201"/>
      <c r="W665" s="201"/>
      <c r="X665" s="201"/>
      <c r="Y665" s="201"/>
      <c r="Z665" s="201"/>
      <c r="AA665" s="201"/>
    </row>
    <row r="666">
      <c r="A666" s="201"/>
      <c r="B666" s="201"/>
      <c r="C666" s="201"/>
      <c r="D666" s="201"/>
      <c r="E666" s="201"/>
      <c r="F666" s="201"/>
      <c r="G666" s="201"/>
      <c r="H666" s="209"/>
      <c r="I666" s="209"/>
      <c r="J666" s="201"/>
      <c r="K666" s="210" t="s">
        <v>39</v>
      </c>
      <c r="L666" s="201"/>
      <c r="M666" s="201"/>
      <c r="N666" s="201"/>
      <c r="O666" s="201"/>
      <c r="P666" s="201"/>
      <c r="Q666" s="201"/>
      <c r="R666" s="201"/>
      <c r="S666" s="201"/>
      <c r="T666" s="201"/>
      <c r="U666" s="201"/>
      <c r="V666" s="201"/>
      <c r="W666" s="201"/>
      <c r="X666" s="201"/>
      <c r="Y666" s="201"/>
      <c r="Z666" s="201"/>
      <c r="AA666" s="201"/>
    </row>
    <row r="667">
      <c r="A667" s="201"/>
      <c r="B667" s="201"/>
      <c r="C667" s="201"/>
      <c r="D667" s="201"/>
      <c r="E667" s="201"/>
      <c r="F667" s="201"/>
      <c r="G667" s="201"/>
      <c r="H667" s="209"/>
      <c r="I667" s="209"/>
      <c r="J667" s="201"/>
      <c r="K667" s="210" t="s">
        <v>39</v>
      </c>
      <c r="L667" s="201"/>
      <c r="M667" s="201"/>
      <c r="N667" s="201"/>
      <c r="O667" s="201"/>
      <c r="P667" s="201"/>
      <c r="Q667" s="201"/>
      <c r="R667" s="201"/>
      <c r="S667" s="201"/>
      <c r="T667" s="201"/>
      <c r="U667" s="201"/>
      <c r="V667" s="201"/>
      <c r="W667" s="201"/>
      <c r="X667" s="201"/>
      <c r="Y667" s="201"/>
      <c r="Z667" s="201"/>
      <c r="AA667" s="201"/>
    </row>
    <row r="668">
      <c r="A668" s="201"/>
      <c r="B668" s="201"/>
      <c r="C668" s="201"/>
      <c r="D668" s="201"/>
      <c r="E668" s="201"/>
      <c r="F668" s="201"/>
      <c r="G668" s="201"/>
      <c r="H668" s="209"/>
      <c r="I668" s="209"/>
      <c r="J668" s="201"/>
      <c r="K668" s="210" t="s">
        <v>39</v>
      </c>
      <c r="L668" s="201"/>
      <c r="M668" s="201"/>
      <c r="N668" s="201"/>
      <c r="O668" s="201"/>
      <c r="P668" s="201"/>
      <c r="Q668" s="201"/>
      <c r="R668" s="201"/>
      <c r="S668" s="201"/>
      <c r="T668" s="201"/>
      <c r="U668" s="201"/>
      <c r="V668" s="201"/>
      <c r="W668" s="201"/>
      <c r="X668" s="201"/>
      <c r="Y668" s="201"/>
      <c r="Z668" s="201"/>
      <c r="AA668" s="201"/>
    </row>
    <row r="669">
      <c r="A669" s="201"/>
      <c r="B669" s="201"/>
      <c r="C669" s="201"/>
      <c r="D669" s="201"/>
      <c r="E669" s="201"/>
      <c r="F669" s="201"/>
      <c r="G669" s="201"/>
      <c r="H669" s="209"/>
      <c r="I669" s="209"/>
      <c r="J669" s="201"/>
      <c r="K669" s="210" t="s">
        <v>39</v>
      </c>
      <c r="L669" s="201"/>
      <c r="M669" s="201"/>
      <c r="N669" s="201"/>
      <c r="O669" s="201"/>
      <c r="P669" s="201"/>
      <c r="Q669" s="201"/>
      <c r="R669" s="201"/>
      <c r="S669" s="201"/>
      <c r="T669" s="201"/>
      <c r="U669" s="201"/>
      <c r="V669" s="201"/>
      <c r="W669" s="201"/>
      <c r="X669" s="201"/>
      <c r="Y669" s="201"/>
      <c r="Z669" s="201"/>
      <c r="AA669" s="201"/>
    </row>
    <row r="670">
      <c r="A670" s="201"/>
      <c r="B670" s="201"/>
      <c r="C670" s="201"/>
      <c r="D670" s="201"/>
      <c r="E670" s="201"/>
      <c r="F670" s="201"/>
      <c r="G670" s="201"/>
      <c r="H670" s="209"/>
      <c r="I670" s="209"/>
      <c r="J670" s="201"/>
      <c r="K670" s="210" t="s">
        <v>39</v>
      </c>
      <c r="L670" s="201"/>
      <c r="M670" s="201"/>
      <c r="N670" s="201"/>
      <c r="O670" s="201"/>
      <c r="P670" s="201"/>
      <c r="Q670" s="201"/>
      <c r="R670" s="201"/>
      <c r="S670" s="201"/>
      <c r="T670" s="201"/>
      <c r="U670" s="201"/>
      <c r="V670" s="201"/>
      <c r="W670" s="201"/>
      <c r="X670" s="201"/>
      <c r="Y670" s="201"/>
      <c r="Z670" s="201"/>
      <c r="AA670" s="201"/>
    </row>
    <row r="671">
      <c r="A671" s="201"/>
      <c r="B671" s="201"/>
      <c r="C671" s="201"/>
      <c r="D671" s="201"/>
      <c r="E671" s="201"/>
      <c r="F671" s="201"/>
      <c r="G671" s="201"/>
      <c r="H671" s="209"/>
      <c r="I671" s="209"/>
      <c r="J671" s="201"/>
      <c r="K671" s="210" t="s">
        <v>39</v>
      </c>
      <c r="L671" s="201"/>
      <c r="M671" s="201"/>
      <c r="N671" s="201"/>
      <c r="O671" s="201"/>
      <c r="P671" s="201"/>
      <c r="Q671" s="201"/>
      <c r="R671" s="201"/>
      <c r="S671" s="201"/>
      <c r="T671" s="201"/>
      <c r="U671" s="201"/>
      <c r="V671" s="201"/>
      <c r="W671" s="201"/>
      <c r="X671" s="201"/>
      <c r="Y671" s="201"/>
      <c r="Z671" s="201"/>
      <c r="AA671" s="201"/>
    </row>
    <row r="672">
      <c r="A672" s="201"/>
      <c r="B672" s="201"/>
      <c r="C672" s="201"/>
      <c r="D672" s="201"/>
      <c r="E672" s="201"/>
      <c r="F672" s="201"/>
      <c r="G672" s="201"/>
      <c r="H672" s="209"/>
      <c r="I672" s="209"/>
      <c r="J672" s="201"/>
      <c r="K672" s="210" t="s">
        <v>39</v>
      </c>
      <c r="L672" s="201"/>
      <c r="M672" s="201"/>
      <c r="N672" s="201"/>
      <c r="O672" s="201"/>
      <c r="P672" s="201"/>
      <c r="Q672" s="201"/>
      <c r="R672" s="201"/>
      <c r="S672" s="201"/>
      <c r="T672" s="201"/>
      <c r="U672" s="201"/>
      <c r="V672" s="201"/>
      <c r="W672" s="201"/>
      <c r="X672" s="201"/>
      <c r="Y672" s="201"/>
      <c r="Z672" s="201"/>
      <c r="AA672" s="201"/>
    </row>
    <row r="673">
      <c r="A673" s="201"/>
      <c r="B673" s="201"/>
      <c r="C673" s="201"/>
      <c r="D673" s="201"/>
      <c r="E673" s="201"/>
      <c r="F673" s="201"/>
      <c r="G673" s="201"/>
      <c r="H673" s="209"/>
      <c r="I673" s="209"/>
      <c r="J673" s="201"/>
      <c r="K673" s="210" t="s">
        <v>39</v>
      </c>
      <c r="L673" s="201"/>
      <c r="M673" s="201"/>
      <c r="N673" s="201"/>
      <c r="O673" s="201"/>
      <c r="P673" s="201"/>
      <c r="Q673" s="201"/>
      <c r="R673" s="201"/>
      <c r="S673" s="201"/>
      <c r="T673" s="201"/>
      <c r="U673" s="201"/>
      <c r="V673" s="201"/>
      <c r="W673" s="201"/>
      <c r="X673" s="201"/>
      <c r="Y673" s="201"/>
      <c r="Z673" s="201"/>
      <c r="AA673" s="201"/>
    </row>
    <row r="674">
      <c r="A674" s="201"/>
      <c r="B674" s="201"/>
      <c r="C674" s="201"/>
      <c r="D674" s="201"/>
      <c r="E674" s="201"/>
      <c r="F674" s="201"/>
      <c r="G674" s="201"/>
      <c r="H674" s="209"/>
      <c r="I674" s="209"/>
      <c r="J674" s="201"/>
      <c r="K674" s="210" t="s">
        <v>39</v>
      </c>
      <c r="L674" s="201"/>
      <c r="M674" s="201"/>
      <c r="N674" s="201"/>
      <c r="O674" s="201"/>
      <c r="P674" s="201"/>
      <c r="Q674" s="201"/>
      <c r="R674" s="201"/>
      <c r="S674" s="201"/>
      <c r="T674" s="201"/>
      <c r="U674" s="201"/>
      <c r="V674" s="201"/>
      <c r="W674" s="201"/>
      <c r="X674" s="201"/>
      <c r="Y674" s="201"/>
      <c r="Z674" s="201"/>
      <c r="AA674" s="201"/>
    </row>
    <row r="675">
      <c r="A675" s="201"/>
      <c r="B675" s="201"/>
      <c r="C675" s="201"/>
      <c r="D675" s="201"/>
      <c r="E675" s="201"/>
      <c r="F675" s="201"/>
      <c r="G675" s="201"/>
      <c r="H675" s="209"/>
      <c r="I675" s="209"/>
      <c r="J675" s="201"/>
      <c r="K675" s="210" t="s">
        <v>39</v>
      </c>
      <c r="L675" s="201"/>
      <c r="M675" s="201"/>
      <c r="N675" s="201"/>
      <c r="O675" s="201"/>
      <c r="P675" s="201"/>
      <c r="Q675" s="201"/>
      <c r="R675" s="201"/>
      <c r="S675" s="201"/>
      <c r="T675" s="201"/>
      <c r="U675" s="201"/>
      <c r="V675" s="201"/>
      <c r="W675" s="201"/>
      <c r="X675" s="201"/>
      <c r="Y675" s="201"/>
      <c r="Z675" s="201"/>
      <c r="AA675" s="201"/>
    </row>
    <row r="676">
      <c r="A676" s="201"/>
      <c r="B676" s="201"/>
      <c r="C676" s="201"/>
      <c r="D676" s="201"/>
      <c r="E676" s="201"/>
      <c r="F676" s="201"/>
      <c r="G676" s="201"/>
      <c r="H676" s="209"/>
      <c r="I676" s="209"/>
      <c r="J676" s="201"/>
      <c r="K676" s="210" t="s">
        <v>39</v>
      </c>
      <c r="L676" s="201"/>
      <c r="M676" s="201"/>
      <c r="N676" s="201"/>
      <c r="O676" s="201"/>
      <c r="P676" s="201"/>
      <c r="Q676" s="201"/>
      <c r="R676" s="201"/>
      <c r="S676" s="201"/>
      <c r="T676" s="201"/>
      <c r="U676" s="201"/>
      <c r="V676" s="201"/>
      <c r="W676" s="201"/>
      <c r="X676" s="201"/>
      <c r="Y676" s="201"/>
      <c r="Z676" s="201"/>
      <c r="AA676" s="201"/>
    </row>
    <row r="677">
      <c r="A677" s="201"/>
      <c r="B677" s="201"/>
      <c r="C677" s="201"/>
      <c r="D677" s="201"/>
      <c r="E677" s="201"/>
      <c r="F677" s="201"/>
      <c r="G677" s="201"/>
      <c r="H677" s="209"/>
      <c r="I677" s="209"/>
      <c r="J677" s="201"/>
      <c r="K677" s="210" t="s">
        <v>39</v>
      </c>
      <c r="L677" s="201"/>
      <c r="M677" s="201"/>
      <c r="N677" s="201"/>
      <c r="O677" s="201"/>
      <c r="P677" s="201"/>
      <c r="Q677" s="201"/>
      <c r="R677" s="201"/>
      <c r="S677" s="201"/>
      <c r="T677" s="201"/>
      <c r="U677" s="201"/>
      <c r="V677" s="201"/>
      <c r="W677" s="201"/>
      <c r="X677" s="201"/>
      <c r="Y677" s="201"/>
      <c r="Z677" s="201"/>
      <c r="AA677" s="201"/>
    </row>
    <row r="678">
      <c r="A678" s="201"/>
      <c r="B678" s="201"/>
      <c r="C678" s="201"/>
      <c r="D678" s="201"/>
      <c r="E678" s="201"/>
      <c r="F678" s="201"/>
      <c r="G678" s="201"/>
      <c r="H678" s="209"/>
      <c r="I678" s="209"/>
      <c r="J678" s="201"/>
      <c r="K678" s="210" t="s">
        <v>39</v>
      </c>
      <c r="L678" s="201"/>
      <c r="M678" s="201"/>
      <c r="N678" s="201"/>
      <c r="O678" s="201"/>
      <c r="P678" s="201"/>
      <c r="Q678" s="201"/>
      <c r="R678" s="201"/>
      <c r="S678" s="201"/>
      <c r="T678" s="201"/>
      <c r="U678" s="201"/>
      <c r="V678" s="201"/>
      <c r="W678" s="201"/>
      <c r="X678" s="201"/>
      <c r="Y678" s="201"/>
      <c r="Z678" s="201"/>
      <c r="AA678" s="201"/>
    </row>
    <row r="679">
      <c r="A679" s="201"/>
      <c r="B679" s="201"/>
      <c r="C679" s="201"/>
      <c r="D679" s="201"/>
      <c r="E679" s="201"/>
      <c r="F679" s="201"/>
      <c r="G679" s="201"/>
      <c r="H679" s="209"/>
      <c r="I679" s="209"/>
      <c r="J679" s="201"/>
      <c r="K679" s="210" t="s">
        <v>39</v>
      </c>
      <c r="L679" s="201"/>
      <c r="M679" s="201"/>
      <c r="N679" s="201"/>
      <c r="O679" s="201"/>
      <c r="P679" s="201"/>
      <c r="Q679" s="201"/>
      <c r="R679" s="201"/>
      <c r="S679" s="201"/>
      <c r="T679" s="201"/>
      <c r="U679" s="201"/>
      <c r="V679" s="201"/>
      <c r="W679" s="201"/>
      <c r="X679" s="201"/>
      <c r="Y679" s="201"/>
      <c r="Z679" s="201"/>
      <c r="AA679" s="201"/>
    </row>
    <row r="680">
      <c r="A680" s="201"/>
      <c r="B680" s="201"/>
      <c r="C680" s="201"/>
      <c r="D680" s="201"/>
      <c r="E680" s="201"/>
      <c r="F680" s="201"/>
      <c r="G680" s="201"/>
      <c r="H680" s="209"/>
      <c r="I680" s="209"/>
      <c r="J680" s="201"/>
      <c r="K680" s="210" t="s">
        <v>39</v>
      </c>
      <c r="L680" s="201"/>
      <c r="M680" s="201"/>
      <c r="N680" s="201"/>
      <c r="O680" s="201"/>
      <c r="P680" s="201"/>
      <c r="Q680" s="201"/>
      <c r="R680" s="201"/>
      <c r="S680" s="201"/>
      <c r="T680" s="201"/>
      <c r="U680" s="201"/>
      <c r="V680" s="201"/>
      <c r="W680" s="201"/>
      <c r="X680" s="201"/>
      <c r="Y680" s="201"/>
      <c r="Z680" s="201"/>
      <c r="AA680" s="201"/>
    </row>
    <row r="681">
      <c r="A681" s="201"/>
      <c r="B681" s="201"/>
      <c r="C681" s="201"/>
      <c r="D681" s="201"/>
      <c r="E681" s="201"/>
      <c r="F681" s="201"/>
      <c r="G681" s="201"/>
      <c r="H681" s="209"/>
      <c r="I681" s="209"/>
      <c r="J681" s="201"/>
      <c r="K681" s="210" t="s">
        <v>39</v>
      </c>
      <c r="L681" s="201"/>
      <c r="M681" s="201"/>
      <c r="N681" s="201"/>
      <c r="O681" s="201"/>
      <c r="P681" s="201"/>
      <c r="Q681" s="201"/>
      <c r="R681" s="201"/>
      <c r="S681" s="201"/>
      <c r="T681" s="201"/>
      <c r="U681" s="201"/>
      <c r="V681" s="201"/>
      <c r="W681" s="201"/>
      <c r="X681" s="201"/>
      <c r="Y681" s="201"/>
      <c r="Z681" s="201"/>
      <c r="AA681" s="201"/>
    </row>
    <row r="682">
      <c r="A682" s="201"/>
      <c r="B682" s="201"/>
      <c r="C682" s="201"/>
      <c r="D682" s="201"/>
      <c r="E682" s="201"/>
      <c r="F682" s="201"/>
      <c r="G682" s="201"/>
      <c r="H682" s="209"/>
      <c r="I682" s="209"/>
      <c r="J682" s="201"/>
      <c r="K682" s="210" t="s">
        <v>39</v>
      </c>
      <c r="L682" s="201"/>
      <c r="M682" s="201"/>
      <c r="N682" s="201"/>
      <c r="O682" s="201"/>
      <c r="P682" s="201"/>
      <c r="Q682" s="201"/>
      <c r="R682" s="201"/>
      <c r="S682" s="201"/>
      <c r="T682" s="201"/>
      <c r="U682" s="201"/>
      <c r="V682" s="201"/>
      <c r="W682" s="201"/>
      <c r="X682" s="201"/>
      <c r="Y682" s="201"/>
      <c r="Z682" s="201"/>
      <c r="AA682" s="201"/>
    </row>
    <row r="683">
      <c r="A683" s="201"/>
      <c r="B683" s="201"/>
      <c r="C683" s="201"/>
      <c r="D683" s="201"/>
      <c r="E683" s="201"/>
      <c r="F683" s="201"/>
      <c r="G683" s="201"/>
      <c r="H683" s="209"/>
      <c r="I683" s="209"/>
      <c r="J683" s="201"/>
      <c r="K683" s="210" t="s">
        <v>39</v>
      </c>
      <c r="L683" s="201"/>
      <c r="M683" s="201"/>
      <c r="N683" s="201"/>
      <c r="O683" s="201"/>
      <c r="P683" s="201"/>
      <c r="Q683" s="201"/>
      <c r="R683" s="201"/>
      <c r="S683" s="201"/>
      <c r="T683" s="201"/>
      <c r="U683" s="201"/>
      <c r="V683" s="201"/>
      <c r="W683" s="201"/>
      <c r="X683" s="201"/>
      <c r="Y683" s="201"/>
      <c r="Z683" s="201"/>
      <c r="AA683" s="201"/>
    </row>
    <row r="684">
      <c r="A684" s="201"/>
      <c r="B684" s="201"/>
      <c r="C684" s="201"/>
      <c r="D684" s="201"/>
      <c r="E684" s="201"/>
      <c r="F684" s="201"/>
      <c r="G684" s="201"/>
      <c r="H684" s="209"/>
      <c r="I684" s="209"/>
      <c r="J684" s="201"/>
      <c r="K684" s="210" t="s">
        <v>39</v>
      </c>
      <c r="L684" s="201"/>
      <c r="M684" s="201"/>
      <c r="N684" s="201"/>
      <c r="O684" s="201"/>
      <c r="P684" s="201"/>
      <c r="Q684" s="201"/>
      <c r="R684" s="201"/>
      <c r="S684" s="201"/>
      <c r="T684" s="201"/>
      <c r="U684" s="201"/>
      <c r="V684" s="201"/>
      <c r="W684" s="201"/>
      <c r="X684" s="201"/>
      <c r="Y684" s="201"/>
      <c r="Z684" s="201"/>
      <c r="AA684" s="201"/>
    </row>
    <row r="685">
      <c r="A685" s="201"/>
      <c r="B685" s="201"/>
      <c r="C685" s="201"/>
      <c r="D685" s="201"/>
      <c r="E685" s="201"/>
      <c r="F685" s="201"/>
      <c r="G685" s="201"/>
      <c r="H685" s="209"/>
      <c r="I685" s="209"/>
      <c r="J685" s="201"/>
      <c r="K685" s="210" t="s">
        <v>39</v>
      </c>
      <c r="L685" s="201"/>
      <c r="M685" s="201"/>
      <c r="N685" s="201"/>
      <c r="O685" s="201"/>
      <c r="P685" s="201"/>
      <c r="Q685" s="201"/>
      <c r="R685" s="201"/>
      <c r="S685" s="201"/>
      <c r="T685" s="201"/>
      <c r="U685" s="201"/>
      <c r="V685" s="201"/>
      <c r="W685" s="201"/>
      <c r="X685" s="201"/>
      <c r="Y685" s="201"/>
      <c r="Z685" s="201"/>
      <c r="AA685" s="201"/>
    </row>
    <row r="686">
      <c r="A686" s="201"/>
      <c r="B686" s="201"/>
      <c r="C686" s="201"/>
      <c r="D686" s="201"/>
      <c r="E686" s="201"/>
      <c r="F686" s="201"/>
      <c r="G686" s="201"/>
      <c r="H686" s="209"/>
      <c r="I686" s="209"/>
      <c r="J686" s="201"/>
      <c r="K686" s="210" t="s">
        <v>39</v>
      </c>
      <c r="L686" s="201"/>
      <c r="M686" s="201"/>
      <c r="N686" s="201"/>
      <c r="O686" s="201"/>
      <c r="P686" s="201"/>
      <c r="Q686" s="201"/>
      <c r="R686" s="201"/>
      <c r="S686" s="201"/>
      <c r="T686" s="201"/>
      <c r="U686" s="201"/>
      <c r="V686" s="201"/>
      <c r="W686" s="201"/>
      <c r="X686" s="201"/>
      <c r="Y686" s="201"/>
      <c r="Z686" s="201"/>
      <c r="AA686" s="201"/>
    </row>
    <row r="687">
      <c r="A687" s="201"/>
      <c r="B687" s="201"/>
      <c r="C687" s="201"/>
      <c r="D687" s="201"/>
      <c r="E687" s="201"/>
      <c r="F687" s="201"/>
      <c r="G687" s="201"/>
      <c r="H687" s="209"/>
      <c r="I687" s="209"/>
      <c r="J687" s="201"/>
      <c r="K687" s="210" t="s">
        <v>39</v>
      </c>
      <c r="L687" s="201"/>
      <c r="M687" s="201"/>
      <c r="N687" s="201"/>
      <c r="O687" s="201"/>
      <c r="P687" s="201"/>
      <c r="Q687" s="201"/>
      <c r="R687" s="201"/>
      <c r="S687" s="201"/>
      <c r="T687" s="201"/>
      <c r="U687" s="201"/>
      <c r="V687" s="201"/>
      <c r="W687" s="201"/>
      <c r="X687" s="201"/>
      <c r="Y687" s="201"/>
      <c r="Z687" s="201"/>
      <c r="AA687" s="201"/>
    </row>
    <row r="688">
      <c r="A688" s="201"/>
      <c r="B688" s="201"/>
      <c r="C688" s="201"/>
      <c r="D688" s="201"/>
      <c r="E688" s="201"/>
      <c r="F688" s="201"/>
      <c r="G688" s="201"/>
      <c r="H688" s="209"/>
      <c r="I688" s="209"/>
      <c r="J688" s="201"/>
      <c r="K688" s="210" t="s">
        <v>39</v>
      </c>
      <c r="L688" s="201"/>
      <c r="M688" s="201"/>
      <c r="N688" s="201"/>
      <c r="O688" s="201"/>
      <c r="P688" s="201"/>
      <c r="Q688" s="201"/>
      <c r="R688" s="201"/>
      <c r="S688" s="201"/>
      <c r="T688" s="201"/>
      <c r="U688" s="201"/>
      <c r="V688" s="201"/>
      <c r="W688" s="201"/>
      <c r="X688" s="201"/>
      <c r="Y688" s="201"/>
      <c r="Z688" s="201"/>
      <c r="AA688" s="201"/>
    </row>
    <row r="689">
      <c r="A689" s="201"/>
      <c r="B689" s="201"/>
      <c r="C689" s="201"/>
      <c r="D689" s="201"/>
      <c r="E689" s="201"/>
      <c r="F689" s="201"/>
      <c r="G689" s="201"/>
      <c r="H689" s="209"/>
      <c r="I689" s="209"/>
      <c r="J689" s="201"/>
      <c r="K689" s="210" t="s">
        <v>39</v>
      </c>
      <c r="L689" s="201"/>
      <c r="M689" s="201"/>
      <c r="N689" s="201"/>
      <c r="O689" s="201"/>
      <c r="P689" s="201"/>
      <c r="Q689" s="201"/>
      <c r="R689" s="201"/>
      <c r="S689" s="201"/>
      <c r="T689" s="201"/>
      <c r="U689" s="201"/>
      <c r="V689" s="201"/>
      <c r="W689" s="201"/>
      <c r="X689" s="201"/>
      <c r="Y689" s="201"/>
      <c r="Z689" s="201"/>
      <c r="AA689" s="201"/>
    </row>
    <row r="690">
      <c r="A690" s="201"/>
      <c r="B690" s="201"/>
      <c r="C690" s="201"/>
      <c r="D690" s="201"/>
      <c r="E690" s="201"/>
      <c r="F690" s="201"/>
      <c r="G690" s="201"/>
      <c r="H690" s="209"/>
      <c r="I690" s="209"/>
      <c r="J690" s="201"/>
      <c r="K690" s="210" t="s">
        <v>39</v>
      </c>
      <c r="L690" s="201"/>
      <c r="M690" s="201"/>
      <c r="N690" s="201"/>
      <c r="O690" s="201"/>
      <c r="P690" s="201"/>
      <c r="Q690" s="201"/>
      <c r="R690" s="201"/>
      <c r="S690" s="201"/>
      <c r="T690" s="201"/>
      <c r="U690" s="201"/>
      <c r="V690" s="201"/>
      <c r="W690" s="201"/>
      <c r="X690" s="201"/>
      <c r="Y690" s="201"/>
      <c r="Z690" s="201"/>
      <c r="AA690" s="201"/>
    </row>
    <row r="691">
      <c r="A691" s="201"/>
      <c r="B691" s="201"/>
      <c r="C691" s="201"/>
      <c r="D691" s="201"/>
      <c r="E691" s="201"/>
      <c r="F691" s="201"/>
      <c r="G691" s="201"/>
      <c r="H691" s="209"/>
      <c r="I691" s="209"/>
      <c r="J691" s="201"/>
      <c r="K691" s="210" t="s">
        <v>39</v>
      </c>
      <c r="L691" s="201"/>
      <c r="M691" s="201"/>
      <c r="N691" s="201"/>
      <c r="O691" s="201"/>
      <c r="P691" s="201"/>
      <c r="Q691" s="201"/>
      <c r="R691" s="201"/>
      <c r="S691" s="201"/>
      <c r="T691" s="201"/>
      <c r="U691" s="201"/>
      <c r="V691" s="201"/>
      <c r="W691" s="201"/>
      <c r="X691" s="201"/>
      <c r="Y691" s="201"/>
      <c r="Z691" s="201"/>
      <c r="AA691" s="201"/>
    </row>
    <row r="692">
      <c r="A692" s="201"/>
      <c r="B692" s="201"/>
      <c r="C692" s="201"/>
      <c r="D692" s="201"/>
      <c r="E692" s="201"/>
      <c r="F692" s="201"/>
      <c r="G692" s="201"/>
      <c r="H692" s="209"/>
      <c r="I692" s="209"/>
      <c r="J692" s="201"/>
      <c r="K692" s="210" t="s">
        <v>39</v>
      </c>
      <c r="L692" s="201"/>
      <c r="M692" s="201"/>
      <c r="N692" s="201"/>
      <c r="O692" s="201"/>
      <c r="P692" s="201"/>
      <c r="Q692" s="201"/>
      <c r="R692" s="201"/>
      <c r="S692" s="201"/>
      <c r="T692" s="201"/>
      <c r="U692" s="201"/>
      <c r="V692" s="201"/>
      <c r="W692" s="201"/>
      <c r="X692" s="201"/>
      <c r="Y692" s="201"/>
      <c r="Z692" s="201"/>
      <c r="AA692" s="201"/>
    </row>
    <row r="693">
      <c r="A693" s="201"/>
      <c r="B693" s="201"/>
      <c r="C693" s="201"/>
      <c r="D693" s="201"/>
      <c r="E693" s="201"/>
      <c r="F693" s="201"/>
      <c r="G693" s="201"/>
      <c r="H693" s="209"/>
      <c r="I693" s="209"/>
      <c r="J693" s="201"/>
      <c r="K693" s="210" t="s">
        <v>39</v>
      </c>
      <c r="L693" s="201"/>
      <c r="M693" s="201"/>
      <c r="N693" s="201"/>
      <c r="O693" s="201"/>
      <c r="P693" s="201"/>
      <c r="Q693" s="201"/>
      <c r="R693" s="201"/>
      <c r="S693" s="201"/>
      <c r="T693" s="201"/>
      <c r="U693" s="201"/>
      <c r="V693" s="201"/>
      <c r="W693" s="201"/>
      <c r="X693" s="201"/>
      <c r="Y693" s="201"/>
      <c r="Z693" s="201"/>
      <c r="AA693" s="201"/>
    </row>
    <row r="694">
      <c r="A694" s="201"/>
      <c r="B694" s="201"/>
      <c r="C694" s="201"/>
      <c r="D694" s="201"/>
      <c r="E694" s="201"/>
      <c r="F694" s="201"/>
      <c r="G694" s="201"/>
      <c r="H694" s="209"/>
      <c r="I694" s="209"/>
      <c r="J694" s="201"/>
      <c r="K694" s="210" t="s">
        <v>39</v>
      </c>
      <c r="L694" s="201"/>
      <c r="M694" s="201"/>
      <c r="N694" s="201"/>
      <c r="O694" s="201"/>
      <c r="P694" s="201"/>
      <c r="Q694" s="201"/>
      <c r="R694" s="201"/>
      <c r="S694" s="201"/>
      <c r="T694" s="201"/>
      <c r="U694" s="201"/>
      <c r="V694" s="201"/>
      <c r="W694" s="201"/>
      <c r="X694" s="201"/>
      <c r="Y694" s="201"/>
      <c r="Z694" s="201"/>
      <c r="AA694" s="201"/>
    </row>
    <row r="695">
      <c r="A695" s="201"/>
      <c r="B695" s="201"/>
      <c r="C695" s="201"/>
      <c r="D695" s="201"/>
      <c r="E695" s="201"/>
      <c r="F695" s="201"/>
      <c r="G695" s="201"/>
      <c r="H695" s="209"/>
      <c r="I695" s="209"/>
      <c r="J695" s="201"/>
      <c r="K695" s="210" t="s">
        <v>39</v>
      </c>
      <c r="L695" s="201"/>
      <c r="M695" s="201"/>
      <c r="N695" s="201"/>
      <c r="O695" s="201"/>
      <c r="P695" s="201"/>
      <c r="Q695" s="201"/>
      <c r="R695" s="201"/>
      <c r="S695" s="201"/>
      <c r="T695" s="201"/>
      <c r="U695" s="201"/>
      <c r="V695" s="201"/>
      <c r="W695" s="201"/>
      <c r="X695" s="201"/>
      <c r="Y695" s="201"/>
      <c r="Z695" s="201"/>
      <c r="AA695" s="201"/>
    </row>
    <row r="696">
      <c r="A696" s="201"/>
      <c r="B696" s="201"/>
      <c r="C696" s="201"/>
      <c r="D696" s="201"/>
      <c r="E696" s="201"/>
      <c r="F696" s="201"/>
      <c r="G696" s="201"/>
      <c r="H696" s="209"/>
      <c r="I696" s="209"/>
      <c r="J696" s="201"/>
      <c r="K696" s="210" t="s">
        <v>39</v>
      </c>
      <c r="L696" s="201"/>
      <c r="M696" s="201"/>
      <c r="N696" s="201"/>
      <c r="O696" s="201"/>
      <c r="P696" s="201"/>
      <c r="Q696" s="201"/>
      <c r="R696" s="201"/>
      <c r="S696" s="201"/>
      <c r="T696" s="201"/>
      <c r="U696" s="201"/>
      <c r="V696" s="201"/>
      <c r="W696" s="201"/>
      <c r="X696" s="201"/>
      <c r="Y696" s="201"/>
      <c r="Z696" s="201"/>
      <c r="AA696" s="201"/>
    </row>
    <row r="697">
      <c r="A697" s="201"/>
      <c r="B697" s="201"/>
      <c r="C697" s="201"/>
      <c r="D697" s="201"/>
      <c r="E697" s="201"/>
      <c r="F697" s="201"/>
      <c r="G697" s="201"/>
      <c r="H697" s="209"/>
      <c r="I697" s="209"/>
      <c r="J697" s="201"/>
      <c r="K697" s="210" t="s">
        <v>39</v>
      </c>
      <c r="L697" s="201"/>
      <c r="M697" s="201"/>
      <c r="N697" s="201"/>
      <c r="O697" s="201"/>
      <c r="P697" s="201"/>
      <c r="Q697" s="201"/>
      <c r="R697" s="201"/>
      <c r="S697" s="201"/>
      <c r="T697" s="201"/>
      <c r="U697" s="201"/>
      <c r="V697" s="201"/>
      <c r="W697" s="201"/>
      <c r="X697" s="201"/>
      <c r="Y697" s="201"/>
      <c r="Z697" s="201"/>
      <c r="AA697" s="201"/>
    </row>
    <row r="698">
      <c r="A698" s="201"/>
      <c r="B698" s="201"/>
      <c r="C698" s="201"/>
      <c r="D698" s="201"/>
      <c r="E698" s="201"/>
      <c r="F698" s="201"/>
      <c r="G698" s="201"/>
      <c r="H698" s="209"/>
      <c r="I698" s="209"/>
      <c r="J698" s="201"/>
      <c r="K698" s="210" t="s">
        <v>39</v>
      </c>
      <c r="L698" s="201"/>
      <c r="M698" s="201"/>
      <c r="N698" s="201"/>
      <c r="O698" s="201"/>
      <c r="P698" s="201"/>
      <c r="Q698" s="201"/>
      <c r="R698" s="201"/>
      <c r="S698" s="201"/>
      <c r="T698" s="201"/>
      <c r="U698" s="201"/>
      <c r="V698" s="201"/>
      <c r="W698" s="201"/>
      <c r="X698" s="201"/>
      <c r="Y698" s="201"/>
      <c r="Z698" s="201"/>
      <c r="AA698" s="201"/>
    </row>
    <row r="699">
      <c r="A699" s="201"/>
      <c r="B699" s="201"/>
      <c r="C699" s="201"/>
      <c r="D699" s="201"/>
      <c r="E699" s="201"/>
      <c r="F699" s="201"/>
      <c r="G699" s="201"/>
      <c r="H699" s="209"/>
      <c r="I699" s="209"/>
      <c r="J699" s="201"/>
      <c r="K699" s="210" t="s">
        <v>39</v>
      </c>
      <c r="L699" s="201"/>
      <c r="M699" s="201"/>
      <c r="N699" s="201"/>
      <c r="O699" s="201"/>
      <c r="P699" s="201"/>
      <c r="Q699" s="201"/>
      <c r="R699" s="201"/>
      <c r="S699" s="201"/>
      <c r="T699" s="201"/>
      <c r="U699" s="201"/>
      <c r="V699" s="201"/>
      <c r="W699" s="201"/>
      <c r="X699" s="201"/>
      <c r="Y699" s="201"/>
      <c r="Z699" s="201"/>
      <c r="AA699" s="201"/>
    </row>
    <row r="700">
      <c r="A700" s="201"/>
      <c r="B700" s="201"/>
      <c r="C700" s="201"/>
      <c r="D700" s="201"/>
      <c r="E700" s="201"/>
      <c r="F700" s="201"/>
      <c r="G700" s="201"/>
      <c r="H700" s="209"/>
      <c r="I700" s="209"/>
      <c r="J700" s="201"/>
      <c r="K700" s="210" t="s">
        <v>39</v>
      </c>
      <c r="L700" s="201"/>
      <c r="M700" s="201"/>
      <c r="N700" s="201"/>
      <c r="O700" s="201"/>
      <c r="P700" s="201"/>
      <c r="Q700" s="201"/>
      <c r="R700" s="201"/>
      <c r="S700" s="201"/>
      <c r="T700" s="201"/>
      <c r="U700" s="201"/>
      <c r="V700" s="201"/>
      <c r="W700" s="201"/>
      <c r="X700" s="201"/>
      <c r="Y700" s="201"/>
      <c r="Z700" s="201"/>
      <c r="AA700" s="201"/>
    </row>
    <row r="701">
      <c r="A701" s="201"/>
      <c r="B701" s="201"/>
      <c r="C701" s="201"/>
      <c r="D701" s="201"/>
      <c r="E701" s="201"/>
      <c r="F701" s="201"/>
      <c r="G701" s="201"/>
      <c r="H701" s="209"/>
      <c r="I701" s="209"/>
      <c r="J701" s="201"/>
      <c r="K701" s="210" t="s">
        <v>39</v>
      </c>
      <c r="L701" s="201"/>
      <c r="M701" s="201"/>
      <c r="N701" s="201"/>
      <c r="O701" s="201"/>
      <c r="P701" s="201"/>
      <c r="Q701" s="201"/>
      <c r="R701" s="201"/>
      <c r="S701" s="201"/>
      <c r="T701" s="201"/>
      <c r="U701" s="201"/>
      <c r="V701" s="201"/>
      <c r="W701" s="201"/>
      <c r="X701" s="201"/>
      <c r="Y701" s="201"/>
      <c r="Z701" s="201"/>
      <c r="AA701" s="201"/>
    </row>
    <row r="702">
      <c r="A702" s="201"/>
      <c r="B702" s="201"/>
      <c r="C702" s="201"/>
      <c r="D702" s="201"/>
      <c r="E702" s="201"/>
      <c r="F702" s="201"/>
      <c r="G702" s="201"/>
      <c r="H702" s="209"/>
      <c r="I702" s="209"/>
      <c r="J702" s="201"/>
      <c r="K702" s="210" t="s">
        <v>39</v>
      </c>
      <c r="L702" s="201"/>
      <c r="M702" s="201"/>
      <c r="N702" s="201"/>
      <c r="O702" s="201"/>
      <c r="P702" s="201"/>
      <c r="Q702" s="201"/>
      <c r="R702" s="201"/>
      <c r="S702" s="201"/>
      <c r="T702" s="201"/>
      <c r="U702" s="201"/>
      <c r="V702" s="201"/>
      <c r="W702" s="201"/>
      <c r="X702" s="201"/>
      <c r="Y702" s="201"/>
      <c r="Z702" s="201"/>
      <c r="AA702" s="201"/>
    </row>
    <row r="703">
      <c r="A703" s="201"/>
      <c r="B703" s="201"/>
      <c r="C703" s="201"/>
      <c r="D703" s="201"/>
      <c r="E703" s="201"/>
      <c r="F703" s="201"/>
      <c r="G703" s="201"/>
      <c r="H703" s="209"/>
      <c r="I703" s="209"/>
      <c r="J703" s="201"/>
      <c r="K703" s="210" t="s">
        <v>39</v>
      </c>
      <c r="L703" s="201"/>
      <c r="M703" s="201"/>
      <c r="N703" s="201"/>
      <c r="O703" s="201"/>
      <c r="P703" s="201"/>
      <c r="Q703" s="201"/>
      <c r="R703" s="201"/>
      <c r="S703" s="201"/>
      <c r="T703" s="201"/>
      <c r="U703" s="201"/>
      <c r="V703" s="201"/>
      <c r="W703" s="201"/>
      <c r="X703" s="201"/>
      <c r="Y703" s="201"/>
      <c r="Z703" s="201"/>
      <c r="AA703" s="201"/>
    </row>
    <row r="704">
      <c r="A704" s="201"/>
      <c r="B704" s="201"/>
      <c r="C704" s="201"/>
      <c r="D704" s="201"/>
      <c r="E704" s="201"/>
      <c r="F704" s="201"/>
      <c r="G704" s="201"/>
      <c r="H704" s="209"/>
      <c r="I704" s="209"/>
      <c r="J704" s="201"/>
      <c r="K704" s="210" t="s">
        <v>39</v>
      </c>
      <c r="L704" s="201"/>
      <c r="M704" s="201"/>
      <c r="N704" s="201"/>
      <c r="O704" s="201"/>
      <c r="P704" s="201"/>
      <c r="Q704" s="201"/>
      <c r="R704" s="201"/>
      <c r="S704" s="201"/>
      <c r="T704" s="201"/>
      <c r="U704" s="201"/>
      <c r="V704" s="201"/>
      <c r="W704" s="201"/>
      <c r="X704" s="201"/>
      <c r="Y704" s="201"/>
      <c r="Z704" s="201"/>
      <c r="AA704" s="201"/>
    </row>
    <row r="705">
      <c r="A705" s="201"/>
      <c r="B705" s="201"/>
      <c r="C705" s="201"/>
      <c r="D705" s="201"/>
      <c r="E705" s="201"/>
      <c r="F705" s="201"/>
      <c r="G705" s="201"/>
      <c r="H705" s="209"/>
      <c r="I705" s="209"/>
      <c r="J705" s="201"/>
      <c r="K705" s="210" t="s">
        <v>39</v>
      </c>
      <c r="L705" s="201"/>
      <c r="M705" s="201"/>
      <c r="N705" s="201"/>
      <c r="O705" s="201"/>
      <c r="P705" s="201"/>
      <c r="Q705" s="201"/>
      <c r="R705" s="201"/>
      <c r="S705" s="201"/>
      <c r="T705" s="201"/>
      <c r="U705" s="201"/>
      <c r="V705" s="201"/>
      <c r="W705" s="201"/>
      <c r="X705" s="201"/>
      <c r="Y705" s="201"/>
      <c r="Z705" s="201"/>
      <c r="AA705" s="201"/>
    </row>
    <row r="706">
      <c r="A706" s="201"/>
      <c r="B706" s="201"/>
      <c r="C706" s="201"/>
      <c r="D706" s="201"/>
      <c r="E706" s="201"/>
      <c r="F706" s="201"/>
      <c r="G706" s="201"/>
      <c r="H706" s="209"/>
      <c r="I706" s="209"/>
      <c r="J706" s="201"/>
      <c r="K706" s="210" t="s">
        <v>39</v>
      </c>
      <c r="L706" s="201"/>
      <c r="M706" s="201"/>
      <c r="N706" s="201"/>
      <c r="O706" s="201"/>
      <c r="P706" s="201"/>
      <c r="Q706" s="201"/>
      <c r="R706" s="201"/>
      <c r="S706" s="201"/>
      <c r="T706" s="201"/>
      <c r="U706" s="201"/>
      <c r="V706" s="201"/>
      <c r="W706" s="201"/>
      <c r="X706" s="201"/>
      <c r="Y706" s="201"/>
      <c r="Z706" s="201"/>
      <c r="AA706" s="201"/>
    </row>
    <row r="707">
      <c r="A707" s="201"/>
      <c r="B707" s="201"/>
      <c r="C707" s="201"/>
      <c r="D707" s="201"/>
      <c r="E707" s="201"/>
      <c r="F707" s="201"/>
      <c r="G707" s="201"/>
      <c r="H707" s="209"/>
      <c r="I707" s="209"/>
      <c r="J707" s="201"/>
      <c r="K707" s="210" t="s">
        <v>39</v>
      </c>
      <c r="L707" s="201"/>
      <c r="M707" s="201"/>
      <c r="N707" s="201"/>
      <c r="O707" s="201"/>
      <c r="P707" s="201"/>
      <c r="Q707" s="201"/>
      <c r="R707" s="201"/>
      <c r="S707" s="201"/>
      <c r="T707" s="201"/>
      <c r="U707" s="201"/>
      <c r="V707" s="201"/>
      <c r="W707" s="201"/>
      <c r="X707" s="201"/>
      <c r="Y707" s="201"/>
      <c r="Z707" s="201"/>
      <c r="AA707" s="201"/>
    </row>
    <row r="708">
      <c r="A708" s="201"/>
      <c r="B708" s="201"/>
      <c r="C708" s="201"/>
      <c r="D708" s="201"/>
      <c r="E708" s="201"/>
      <c r="F708" s="201"/>
      <c r="G708" s="201"/>
      <c r="H708" s="209"/>
      <c r="I708" s="209"/>
      <c r="J708" s="201"/>
      <c r="K708" s="210" t="s">
        <v>39</v>
      </c>
      <c r="L708" s="201"/>
      <c r="M708" s="201"/>
      <c r="N708" s="201"/>
      <c r="O708" s="201"/>
      <c r="P708" s="201"/>
      <c r="Q708" s="201"/>
      <c r="R708" s="201"/>
      <c r="S708" s="201"/>
      <c r="T708" s="201"/>
      <c r="U708" s="201"/>
      <c r="V708" s="201"/>
      <c r="W708" s="201"/>
      <c r="X708" s="201"/>
      <c r="Y708" s="201"/>
      <c r="Z708" s="201"/>
      <c r="AA708" s="201"/>
    </row>
    <row r="709">
      <c r="A709" s="201"/>
      <c r="B709" s="201"/>
      <c r="C709" s="201"/>
      <c r="D709" s="201"/>
      <c r="E709" s="201"/>
      <c r="F709" s="201"/>
      <c r="G709" s="201"/>
      <c r="H709" s="209"/>
      <c r="I709" s="209"/>
      <c r="J709" s="201"/>
      <c r="K709" s="210" t="s">
        <v>39</v>
      </c>
      <c r="L709" s="201"/>
      <c r="M709" s="201"/>
      <c r="N709" s="201"/>
      <c r="O709" s="201"/>
      <c r="P709" s="201"/>
      <c r="Q709" s="201"/>
      <c r="R709" s="201"/>
      <c r="S709" s="201"/>
      <c r="T709" s="201"/>
      <c r="U709" s="201"/>
      <c r="V709" s="201"/>
      <c r="W709" s="201"/>
      <c r="X709" s="201"/>
      <c r="Y709" s="201"/>
      <c r="Z709" s="201"/>
      <c r="AA709" s="201"/>
    </row>
    <row r="710">
      <c r="A710" s="201"/>
      <c r="B710" s="201"/>
      <c r="C710" s="201"/>
      <c r="D710" s="201"/>
      <c r="E710" s="201"/>
      <c r="F710" s="201"/>
      <c r="G710" s="201"/>
      <c r="H710" s="209"/>
      <c r="I710" s="209"/>
      <c r="J710" s="201"/>
      <c r="K710" s="210" t="s">
        <v>39</v>
      </c>
      <c r="L710" s="201"/>
      <c r="M710" s="201"/>
      <c r="N710" s="201"/>
      <c r="O710" s="201"/>
      <c r="P710" s="201"/>
      <c r="Q710" s="201"/>
      <c r="R710" s="201"/>
      <c r="S710" s="201"/>
      <c r="T710" s="201"/>
      <c r="U710" s="201"/>
      <c r="V710" s="201"/>
      <c r="W710" s="201"/>
      <c r="X710" s="201"/>
      <c r="Y710" s="201"/>
      <c r="Z710" s="201"/>
      <c r="AA710" s="201"/>
    </row>
    <row r="711">
      <c r="A711" s="201"/>
      <c r="B711" s="201"/>
      <c r="C711" s="201"/>
      <c r="D711" s="201"/>
      <c r="E711" s="201"/>
      <c r="F711" s="201"/>
      <c r="G711" s="201"/>
      <c r="H711" s="209"/>
      <c r="I711" s="209"/>
      <c r="J711" s="201"/>
      <c r="K711" s="210" t="s">
        <v>39</v>
      </c>
      <c r="L711" s="201"/>
      <c r="M711" s="201"/>
      <c r="N711" s="201"/>
      <c r="O711" s="201"/>
      <c r="P711" s="201"/>
      <c r="Q711" s="201"/>
      <c r="R711" s="201"/>
      <c r="S711" s="201"/>
      <c r="T711" s="201"/>
      <c r="U711" s="201"/>
      <c r="V711" s="201"/>
      <c r="W711" s="201"/>
      <c r="X711" s="201"/>
      <c r="Y711" s="201"/>
      <c r="Z711" s="201"/>
      <c r="AA711" s="201"/>
    </row>
    <row r="712">
      <c r="A712" s="201"/>
      <c r="B712" s="201"/>
      <c r="C712" s="201"/>
      <c r="D712" s="201"/>
      <c r="E712" s="201"/>
      <c r="F712" s="201"/>
      <c r="G712" s="201"/>
      <c r="H712" s="209"/>
      <c r="I712" s="209"/>
      <c r="J712" s="201"/>
      <c r="K712" s="210" t="s">
        <v>39</v>
      </c>
      <c r="L712" s="201"/>
      <c r="M712" s="201"/>
      <c r="N712" s="201"/>
      <c r="O712" s="201"/>
      <c r="P712" s="201"/>
      <c r="Q712" s="201"/>
      <c r="R712" s="201"/>
      <c r="S712" s="201"/>
      <c r="T712" s="201"/>
      <c r="U712" s="201"/>
      <c r="V712" s="201"/>
      <c r="W712" s="201"/>
      <c r="X712" s="201"/>
      <c r="Y712" s="201"/>
      <c r="Z712" s="201"/>
      <c r="AA712" s="201"/>
    </row>
    <row r="713">
      <c r="A713" s="201"/>
      <c r="B713" s="201"/>
      <c r="C713" s="201"/>
      <c r="D713" s="201"/>
      <c r="E713" s="201"/>
      <c r="F713" s="201"/>
      <c r="G713" s="201"/>
      <c r="H713" s="209"/>
      <c r="I713" s="209"/>
      <c r="J713" s="201"/>
      <c r="K713" s="210" t="s">
        <v>39</v>
      </c>
      <c r="L713" s="201"/>
      <c r="M713" s="201"/>
      <c r="N713" s="201"/>
      <c r="O713" s="201"/>
      <c r="P713" s="201"/>
      <c r="Q713" s="201"/>
      <c r="R713" s="201"/>
      <c r="S713" s="201"/>
      <c r="T713" s="201"/>
      <c r="U713" s="201"/>
      <c r="V713" s="201"/>
      <c r="W713" s="201"/>
      <c r="X713" s="201"/>
      <c r="Y713" s="201"/>
      <c r="Z713" s="201"/>
      <c r="AA713" s="201"/>
    </row>
    <row r="714">
      <c r="A714" s="201"/>
      <c r="B714" s="201"/>
      <c r="C714" s="201"/>
      <c r="D714" s="201"/>
      <c r="E714" s="201"/>
      <c r="F714" s="201"/>
      <c r="G714" s="201"/>
      <c r="H714" s="209"/>
      <c r="I714" s="209"/>
      <c r="J714" s="201"/>
      <c r="K714" s="210" t="s">
        <v>39</v>
      </c>
      <c r="L714" s="201"/>
      <c r="M714" s="201"/>
      <c r="N714" s="201"/>
      <c r="O714" s="201"/>
      <c r="P714" s="201"/>
      <c r="Q714" s="201"/>
      <c r="R714" s="201"/>
      <c r="S714" s="201"/>
      <c r="T714" s="201"/>
      <c r="U714" s="201"/>
      <c r="V714" s="201"/>
      <c r="W714" s="201"/>
      <c r="X714" s="201"/>
      <c r="Y714" s="201"/>
      <c r="Z714" s="201"/>
      <c r="AA714" s="201"/>
    </row>
    <row r="715">
      <c r="A715" s="201"/>
      <c r="B715" s="201"/>
      <c r="C715" s="201"/>
      <c r="D715" s="201"/>
      <c r="E715" s="201"/>
      <c r="F715" s="201"/>
      <c r="G715" s="201"/>
      <c r="H715" s="209"/>
      <c r="I715" s="209"/>
      <c r="J715" s="201"/>
      <c r="K715" s="210" t="s">
        <v>39</v>
      </c>
      <c r="L715" s="201"/>
      <c r="M715" s="201"/>
      <c r="N715" s="201"/>
      <c r="O715" s="201"/>
      <c r="P715" s="201"/>
      <c r="Q715" s="201"/>
      <c r="R715" s="201"/>
      <c r="S715" s="201"/>
      <c r="T715" s="201"/>
      <c r="U715" s="201"/>
      <c r="V715" s="201"/>
      <c r="W715" s="201"/>
      <c r="X715" s="201"/>
      <c r="Y715" s="201"/>
      <c r="Z715" s="201"/>
      <c r="AA715" s="201"/>
    </row>
    <row r="716">
      <c r="A716" s="201"/>
      <c r="B716" s="201"/>
      <c r="C716" s="201"/>
      <c r="D716" s="201"/>
      <c r="E716" s="201"/>
      <c r="F716" s="201"/>
      <c r="G716" s="201"/>
      <c r="H716" s="209"/>
      <c r="I716" s="209"/>
      <c r="J716" s="201"/>
      <c r="K716" s="210" t="s">
        <v>39</v>
      </c>
      <c r="L716" s="201"/>
      <c r="M716" s="201"/>
      <c r="N716" s="201"/>
      <c r="O716" s="201"/>
      <c r="P716" s="201"/>
      <c r="Q716" s="201"/>
      <c r="R716" s="201"/>
      <c r="S716" s="201"/>
      <c r="T716" s="201"/>
      <c r="U716" s="201"/>
      <c r="V716" s="201"/>
      <c r="W716" s="201"/>
      <c r="X716" s="201"/>
      <c r="Y716" s="201"/>
      <c r="Z716" s="201"/>
      <c r="AA716" s="201"/>
    </row>
    <row r="717">
      <c r="A717" s="201"/>
      <c r="B717" s="201"/>
      <c r="C717" s="201"/>
      <c r="D717" s="201"/>
      <c r="E717" s="201"/>
      <c r="F717" s="201"/>
      <c r="G717" s="201"/>
      <c r="H717" s="209"/>
      <c r="I717" s="209"/>
      <c r="J717" s="201"/>
      <c r="K717" s="210" t="s">
        <v>39</v>
      </c>
      <c r="L717" s="201"/>
      <c r="M717" s="201"/>
      <c r="N717" s="201"/>
      <c r="O717" s="201"/>
      <c r="P717" s="201"/>
      <c r="Q717" s="201"/>
      <c r="R717" s="201"/>
      <c r="S717" s="201"/>
      <c r="T717" s="201"/>
      <c r="U717" s="201"/>
      <c r="V717" s="201"/>
      <c r="W717" s="201"/>
      <c r="X717" s="201"/>
      <c r="Y717" s="201"/>
      <c r="Z717" s="201"/>
      <c r="AA717" s="201"/>
    </row>
    <row r="718">
      <c r="A718" s="201"/>
      <c r="B718" s="201"/>
      <c r="C718" s="201"/>
      <c r="D718" s="201"/>
      <c r="E718" s="201"/>
      <c r="F718" s="201"/>
      <c r="G718" s="201"/>
      <c r="H718" s="209"/>
      <c r="I718" s="209"/>
      <c r="J718" s="201"/>
      <c r="K718" s="210" t="s">
        <v>39</v>
      </c>
      <c r="L718" s="201"/>
      <c r="M718" s="201"/>
      <c r="N718" s="201"/>
      <c r="O718" s="201"/>
      <c r="P718" s="201"/>
      <c r="Q718" s="201"/>
      <c r="R718" s="201"/>
      <c r="S718" s="201"/>
      <c r="T718" s="201"/>
      <c r="U718" s="201"/>
      <c r="V718" s="201"/>
      <c r="W718" s="201"/>
      <c r="X718" s="201"/>
      <c r="Y718" s="201"/>
      <c r="Z718" s="201"/>
      <c r="AA718" s="201"/>
    </row>
    <row r="719">
      <c r="A719" s="201"/>
      <c r="B719" s="201"/>
      <c r="C719" s="201"/>
      <c r="D719" s="201"/>
      <c r="E719" s="201"/>
      <c r="F719" s="201"/>
      <c r="G719" s="201"/>
      <c r="H719" s="209"/>
      <c r="I719" s="209"/>
      <c r="J719" s="201"/>
      <c r="K719" s="210" t="s">
        <v>39</v>
      </c>
      <c r="L719" s="201"/>
      <c r="M719" s="201"/>
      <c r="N719" s="201"/>
      <c r="O719" s="201"/>
      <c r="P719" s="201"/>
      <c r="Q719" s="201"/>
      <c r="R719" s="201"/>
      <c r="S719" s="201"/>
      <c r="T719" s="201"/>
      <c r="U719" s="201"/>
      <c r="V719" s="201"/>
      <c r="W719" s="201"/>
      <c r="X719" s="201"/>
      <c r="Y719" s="201"/>
      <c r="Z719" s="201"/>
      <c r="AA719" s="201"/>
    </row>
    <row r="720">
      <c r="A720" s="201"/>
      <c r="B720" s="201"/>
      <c r="C720" s="201"/>
      <c r="D720" s="201"/>
      <c r="E720" s="201"/>
      <c r="F720" s="201"/>
      <c r="G720" s="201"/>
      <c r="H720" s="209"/>
      <c r="I720" s="209"/>
      <c r="J720" s="201"/>
      <c r="K720" s="210" t="s">
        <v>39</v>
      </c>
      <c r="L720" s="201"/>
      <c r="M720" s="201"/>
      <c r="N720" s="201"/>
      <c r="O720" s="201"/>
      <c r="P720" s="201"/>
      <c r="Q720" s="201"/>
      <c r="R720" s="201"/>
      <c r="S720" s="201"/>
      <c r="T720" s="201"/>
      <c r="U720" s="201"/>
      <c r="V720" s="201"/>
      <c r="W720" s="201"/>
      <c r="X720" s="201"/>
      <c r="Y720" s="201"/>
      <c r="Z720" s="201"/>
      <c r="AA720" s="201"/>
    </row>
    <row r="721">
      <c r="A721" s="201"/>
      <c r="B721" s="201"/>
      <c r="C721" s="201"/>
      <c r="D721" s="201"/>
      <c r="E721" s="201"/>
      <c r="F721" s="201"/>
      <c r="G721" s="201"/>
      <c r="H721" s="209"/>
      <c r="I721" s="209"/>
      <c r="J721" s="201"/>
      <c r="K721" s="210" t="s">
        <v>39</v>
      </c>
      <c r="L721" s="201"/>
      <c r="M721" s="201"/>
      <c r="N721" s="201"/>
      <c r="O721" s="201"/>
      <c r="P721" s="201"/>
      <c r="Q721" s="201"/>
      <c r="R721" s="201"/>
      <c r="S721" s="201"/>
      <c r="T721" s="201"/>
      <c r="U721" s="201"/>
      <c r="V721" s="201"/>
      <c r="W721" s="201"/>
      <c r="X721" s="201"/>
      <c r="Y721" s="201"/>
      <c r="Z721" s="201"/>
      <c r="AA721" s="201"/>
    </row>
    <row r="722">
      <c r="A722" s="201"/>
      <c r="B722" s="201"/>
      <c r="C722" s="201"/>
      <c r="D722" s="201"/>
      <c r="E722" s="201"/>
      <c r="F722" s="201"/>
      <c r="G722" s="201"/>
      <c r="H722" s="209"/>
      <c r="I722" s="209"/>
      <c r="J722" s="201"/>
      <c r="K722" s="210" t="s">
        <v>39</v>
      </c>
      <c r="L722" s="201"/>
      <c r="M722" s="201"/>
      <c r="N722" s="201"/>
      <c r="O722" s="201"/>
      <c r="P722" s="201"/>
      <c r="Q722" s="201"/>
      <c r="R722" s="201"/>
      <c r="S722" s="201"/>
      <c r="T722" s="201"/>
      <c r="U722" s="201"/>
      <c r="V722" s="201"/>
      <c r="W722" s="201"/>
      <c r="X722" s="201"/>
      <c r="Y722" s="201"/>
      <c r="Z722" s="201"/>
      <c r="AA722" s="201"/>
    </row>
    <row r="723">
      <c r="A723" s="201"/>
      <c r="B723" s="201"/>
      <c r="C723" s="201"/>
      <c r="D723" s="201"/>
      <c r="E723" s="201"/>
      <c r="F723" s="201"/>
      <c r="G723" s="201"/>
      <c r="H723" s="209"/>
      <c r="I723" s="209"/>
      <c r="J723" s="201"/>
      <c r="K723" s="210" t="s">
        <v>39</v>
      </c>
      <c r="L723" s="201"/>
      <c r="M723" s="201"/>
      <c r="N723" s="201"/>
      <c r="O723" s="201"/>
      <c r="P723" s="201"/>
      <c r="Q723" s="201"/>
      <c r="R723" s="201"/>
      <c r="S723" s="201"/>
      <c r="T723" s="201"/>
      <c r="U723" s="201"/>
      <c r="V723" s="201"/>
      <c r="W723" s="201"/>
      <c r="X723" s="201"/>
      <c r="Y723" s="201"/>
      <c r="Z723" s="201"/>
      <c r="AA723" s="201"/>
    </row>
    <row r="724">
      <c r="A724" s="201"/>
      <c r="B724" s="201"/>
      <c r="C724" s="201"/>
      <c r="D724" s="201"/>
      <c r="E724" s="201"/>
      <c r="F724" s="201"/>
      <c r="G724" s="201"/>
      <c r="H724" s="209"/>
      <c r="I724" s="209"/>
      <c r="J724" s="201"/>
      <c r="K724" s="210" t="s">
        <v>39</v>
      </c>
      <c r="L724" s="201"/>
      <c r="M724" s="201"/>
      <c r="N724" s="201"/>
      <c r="O724" s="201"/>
      <c r="P724" s="201"/>
      <c r="Q724" s="201"/>
      <c r="R724" s="201"/>
      <c r="S724" s="201"/>
      <c r="T724" s="201"/>
      <c r="U724" s="201"/>
      <c r="V724" s="201"/>
      <c r="W724" s="201"/>
      <c r="X724" s="201"/>
      <c r="Y724" s="201"/>
      <c r="Z724" s="201"/>
      <c r="AA724" s="201"/>
    </row>
    <row r="725">
      <c r="A725" s="201"/>
      <c r="B725" s="201"/>
      <c r="C725" s="201"/>
      <c r="D725" s="201"/>
      <c r="E725" s="201"/>
      <c r="F725" s="201"/>
      <c r="G725" s="201"/>
      <c r="H725" s="209"/>
      <c r="I725" s="209"/>
      <c r="J725" s="201"/>
      <c r="K725" s="210" t="s">
        <v>39</v>
      </c>
      <c r="L725" s="201"/>
      <c r="M725" s="201"/>
      <c r="N725" s="201"/>
      <c r="O725" s="201"/>
      <c r="P725" s="201"/>
      <c r="Q725" s="201"/>
      <c r="R725" s="201"/>
      <c r="S725" s="201"/>
      <c r="T725" s="201"/>
      <c r="U725" s="201"/>
      <c r="V725" s="201"/>
      <c r="W725" s="201"/>
      <c r="X725" s="201"/>
      <c r="Y725" s="201"/>
      <c r="Z725" s="201"/>
      <c r="AA725" s="201"/>
    </row>
    <row r="726">
      <c r="A726" s="201"/>
      <c r="B726" s="201"/>
      <c r="C726" s="201"/>
      <c r="D726" s="201"/>
      <c r="E726" s="201"/>
      <c r="F726" s="201"/>
      <c r="G726" s="201"/>
      <c r="H726" s="209"/>
      <c r="I726" s="209"/>
      <c r="J726" s="201"/>
      <c r="K726" s="210" t="s">
        <v>39</v>
      </c>
      <c r="L726" s="201"/>
      <c r="M726" s="201"/>
      <c r="N726" s="201"/>
      <c r="O726" s="201"/>
      <c r="P726" s="201"/>
      <c r="Q726" s="201"/>
      <c r="R726" s="201"/>
      <c r="S726" s="201"/>
      <c r="T726" s="201"/>
      <c r="U726" s="201"/>
      <c r="V726" s="201"/>
      <c r="W726" s="201"/>
      <c r="X726" s="201"/>
      <c r="Y726" s="201"/>
      <c r="Z726" s="201"/>
      <c r="AA726" s="201"/>
    </row>
    <row r="727">
      <c r="A727" s="201"/>
      <c r="B727" s="201"/>
      <c r="C727" s="201"/>
      <c r="D727" s="201"/>
      <c r="E727" s="201"/>
      <c r="F727" s="201"/>
      <c r="G727" s="201"/>
      <c r="H727" s="209"/>
      <c r="I727" s="209"/>
      <c r="J727" s="201"/>
      <c r="K727" s="210" t="s">
        <v>39</v>
      </c>
      <c r="L727" s="201"/>
      <c r="M727" s="201"/>
      <c r="N727" s="201"/>
      <c r="O727" s="201"/>
      <c r="P727" s="201"/>
      <c r="Q727" s="201"/>
      <c r="R727" s="201"/>
      <c r="S727" s="201"/>
      <c r="T727" s="201"/>
      <c r="U727" s="201"/>
      <c r="V727" s="201"/>
      <c r="W727" s="201"/>
      <c r="X727" s="201"/>
      <c r="Y727" s="201"/>
      <c r="Z727" s="201"/>
      <c r="AA727" s="201"/>
    </row>
    <row r="728">
      <c r="A728" s="201"/>
      <c r="B728" s="201"/>
      <c r="C728" s="201"/>
      <c r="D728" s="201"/>
      <c r="E728" s="201"/>
      <c r="F728" s="201"/>
      <c r="G728" s="201"/>
      <c r="H728" s="209"/>
      <c r="I728" s="209"/>
      <c r="J728" s="201"/>
      <c r="K728" s="210" t="s">
        <v>39</v>
      </c>
      <c r="L728" s="201"/>
      <c r="M728" s="201"/>
      <c r="N728" s="201"/>
      <c r="O728" s="201"/>
      <c r="P728" s="201"/>
      <c r="Q728" s="201"/>
      <c r="R728" s="201"/>
      <c r="S728" s="201"/>
      <c r="T728" s="201"/>
      <c r="U728" s="201"/>
      <c r="V728" s="201"/>
      <c r="W728" s="201"/>
      <c r="X728" s="201"/>
      <c r="Y728" s="201"/>
      <c r="Z728" s="201"/>
      <c r="AA728" s="201"/>
    </row>
    <row r="729">
      <c r="A729" s="201"/>
      <c r="B729" s="201"/>
      <c r="C729" s="201"/>
      <c r="D729" s="201"/>
      <c r="E729" s="201"/>
      <c r="F729" s="201"/>
      <c r="G729" s="201"/>
      <c r="H729" s="209"/>
      <c r="I729" s="209"/>
      <c r="J729" s="201"/>
      <c r="K729" s="210" t="s">
        <v>39</v>
      </c>
      <c r="L729" s="201"/>
      <c r="M729" s="201"/>
      <c r="N729" s="201"/>
      <c r="O729" s="201"/>
      <c r="P729" s="201"/>
      <c r="Q729" s="201"/>
      <c r="R729" s="201"/>
      <c r="S729" s="201"/>
      <c r="T729" s="201"/>
      <c r="U729" s="201"/>
      <c r="V729" s="201"/>
      <c r="W729" s="201"/>
      <c r="X729" s="201"/>
      <c r="Y729" s="201"/>
      <c r="Z729" s="201"/>
      <c r="AA729" s="201"/>
    </row>
    <row r="730">
      <c r="A730" s="201"/>
      <c r="B730" s="201"/>
      <c r="C730" s="201"/>
      <c r="D730" s="201"/>
      <c r="E730" s="201"/>
      <c r="F730" s="201"/>
      <c r="G730" s="201"/>
      <c r="H730" s="209"/>
      <c r="I730" s="209"/>
      <c r="J730" s="201"/>
      <c r="K730" s="210" t="s">
        <v>39</v>
      </c>
      <c r="L730" s="201"/>
      <c r="M730" s="201"/>
      <c r="N730" s="201"/>
      <c r="O730" s="201"/>
      <c r="P730" s="201"/>
      <c r="Q730" s="201"/>
      <c r="R730" s="201"/>
      <c r="S730" s="201"/>
      <c r="T730" s="201"/>
      <c r="U730" s="201"/>
      <c r="V730" s="201"/>
      <c r="W730" s="201"/>
      <c r="X730" s="201"/>
      <c r="Y730" s="201"/>
      <c r="Z730" s="201"/>
      <c r="AA730" s="201"/>
    </row>
    <row r="731">
      <c r="A731" s="201"/>
      <c r="B731" s="201"/>
      <c r="C731" s="201"/>
      <c r="D731" s="201"/>
      <c r="E731" s="201"/>
      <c r="F731" s="201"/>
      <c r="G731" s="201"/>
      <c r="H731" s="209"/>
      <c r="I731" s="209"/>
      <c r="J731" s="201"/>
      <c r="K731" s="210" t="s">
        <v>39</v>
      </c>
      <c r="L731" s="201"/>
      <c r="M731" s="201"/>
      <c r="N731" s="201"/>
      <c r="O731" s="201"/>
      <c r="P731" s="201"/>
      <c r="Q731" s="201"/>
      <c r="R731" s="201"/>
      <c r="S731" s="201"/>
      <c r="T731" s="201"/>
      <c r="U731" s="201"/>
      <c r="V731" s="201"/>
      <c r="W731" s="201"/>
      <c r="X731" s="201"/>
      <c r="Y731" s="201"/>
      <c r="Z731" s="201"/>
      <c r="AA731" s="201"/>
    </row>
    <row r="732">
      <c r="A732" s="201"/>
      <c r="B732" s="201"/>
      <c r="C732" s="201"/>
      <c r="D732" s="201"/>
      <c r="E732" s="201"/>
      <c r="F732" s="201"/>
      <c r="G732" s="201"/>
      <c r="H732" s="209"/>
      <c r="I732" s="209"/>
      <c r="J732" s="201"/>
      <c r="K732" s="210" t="s">
        <v>39</v>
      </c>
      <c r="L732" s="201"/>
      <c r="M732" s="201"/>
      <c r="N732" s="201"/>
      <c r="O732" s="201"/>
      <c r="P732" s="201"/>
      <c r="Q732" s="201"/>
      <c r="R732" s="201"/>
      <c r="S732" s="201"/>
      <c r="T732" s="201"/>
      <c r="U732" s="201"/>
      <c r="V732" s="201"/>
      <c r="W732" s="201"/>
      <c r="X732" s="201"/>
      <c r="Y732" s="201"/>
      <c r="Z732" s="201"/>
      <c r="AA732" s="201"/>
    </row>
    <row r="733">
      <c r="A733" s="201"/>
      <c r="B733" s="201"/>
      <c r="C733" s="201"/>
      <c r="D733" s="201"/>
      <c r="E733" s="201"/>
      <c r="F733" s="201"/>
      <c r="G733" s="201"/>
      <c r="H733" s="209"/>
      <c r="I733" s="209"/>
      <c r="J733" s="201"/>
      <c r="K733" s="210" t="s">
        <v>39</v>
      </c>
      <c r="L733" s="201"/>
      <c r="M733" s="201"/>
      <c r="N733" s="201"/>
      <c r="O733" s="201"/>
      <c r="P733" s="201"/>
      <c r="Q733" s="201"/>
      <c r="R733" s="201"/>
      <c r="S733" s="201"/>
      <c r="T733" s="201"/>
      <c r="U733" s="201"/>
      <c r="V733" s="201"/>
      <c r="W733" s="201"/>
      <c r="X733" s="201"/>
      <c r="Y733" s="201"/>
      <c r="Z733" s="201"/>
      <c r="AA733" s="201"/>
    </row>
    <row r="734">
      <c r="A734" s="201"/>
      <c r="B734" s="201"/>
      <c r="C734" s="201"/>
      <c r="D734" s="201"/>
      <c r="E734" s="201"/>
      <c r="F734" s="201"/>
      <c r="G734" s="201"/>
      <c r="H734" s="209"/>
      <c r="I734" s="209"/>
      <c r="J734" s="201"/>
      <c r="K734" s="210" t="s">
        <v>39</v>
      </c>
      <c r="L734" s="201"/>
      <c r="M734" s="201"/>
      <c r="N734" s="201"/>
      <c r="O734" s="201"/>
      <c r="P734" s="201"/>
      <c r="Q734" s="201"/>
      <c r="R734" s="201"/>
      <c r="S734" s="201"/>
      <c r="T734" s="201"/>
      <c r="U734" s="201"/>
      <c r="V734" s="201"/>
      <c r="W734" s="201"/>
      <c r="X734" s="201"/>
      <c r="Y734" s="201"/>
      <c r="Z734" s="201"/>
      <c r="AA734" s="201"/>
    </row>
    <row r="735">
      <c r="A735" s="201"/>
      <c r="B735" s="201"/>
      <c r="C735" s="201"/>
      <c r="D735" s="201"/>
      <c r="E735" s="201"/>
      <c r="F735" s="201"/>
      <c r="G735" s="201"/>
      <c r="H735" s="209"/>
      <c r="I735" s="209"/>
      <c r="J735" s="201"/>
      <c r="K735" s="210" t="s">
        <v>39</v>
      </c>
      <c r="L735" s="201"/>
      <c r="M735" s="201"/>
      <c r="N735" s="201"/>
      <c r="O735" s="201"/>
      <c r="P735" s="201"/>
      <c r="Q735" s="201"/>
      <c r="R735" s="201"/>
      <c r="S735" s="201"/>
      <c r="T735" s="201"/>
      <c r="U735" s="201"/>
      <c r="V735" s="201"/>
      <c r="W735" s="201"/>
      <c r="X735" s="201"/>
      <c r="Y735" s="201"/>
      <c r="Z735" s="201"/>
      <c r="AA735" s="201"/>
    </row>
    <row r="736">
      <c r="A736" s="201"/>
      <c r="B736" s="201"/>
      <c r="C736" s="201"/>
      <c r="D736" s="201"/>
      <c r="E736" s="201"/>
      <c r="F736" s="201"/>
      <c r="G736" s="201"/>
      <c r="H736" s="209"/>
      <c r="I736" s="209"/>
      <c r="J736" s="201"/>
      <c r="K736" s="210" t="s">
        <v>39</v>
      </c>
      <c r="L736" s="201"/>
      <c r="M736" s="201"/>
      <c r="N736" s="201"/>
      <c r="O736" s="201"/>
      <c r="P736" s="201"/>
      <c r="Q736" s="201"/>
      <c r="R736" s="201"/>
      <c r="S736" s="201"/>
      <c r="T736" s="201"/>
      <c r="U736" s="201"/>
      <c r="V736" s="201"/>
      <c r="W736" s="201"/>
      <c r="X736" s="201"/>
      <c r="Y736" s="201"/>
      <c r="Z736" s="201"/>
      <c r="AA736" s="201"/>
    </row>
    <row r="737">
      <c r="A737" s="201"/>
      <c r="B737" s="201"/>
      <c r="C737" s="201"/>
      <c r="D737" s="201"/>
      <c r="E737" s="201"/>
      <c r="F737" s="201"/>
      <c r="G737" s="201"/>
      <c r="H737" s="209"/>
      <c r="I737" s="209"/>
      <c r="J737" s="201"/>
      <c r="K737" s="210" t="s">
        <v>39</v>
      </c>
      <c r="L737" s="201"/>
      <c r="M737" s="201"/>
      <c r="N737" s="201"/>
      <c r="O737" s="201"/>
      <c r="P737" s="201"/>
      <c r="Q737" s="201"/>
      <c r="R737" s="201"/>
      <c r="S737" s="201"/>
      <c r="T737" s="201"/>
      <c r="U737" s="201"/>
      <c r="V737" s="201"/>
      <c r="W737" s="201"/>
      <c r="X737" s="201"/>
      <c r="Y737" s="201"/>
      <c r="Z737" s="201"/>
      <c r="AA737" s="201"/>
    </row>
    <row r="738">
      <c r="A738" s="201"/>
      <c r="B738" s="201"/>
      <c r="C738" s="201"/>
      <c r="D738" s="201"/>
      <c r="E738" s="201"/>
      <c r="F738" s="201"/>
      <c r="G738" s="201"/>
      <c r="H738" s="209"/>
      <c r="I738" s="209"/>
      <c r="J738" s="201"/>
      <c r="K738" s="210" t="s">
        <v>39</v>
      </c>
      <c r="L738" s="201"/>
      <c r="M738" s="201"/>
      <c r="N738" s="201"/>
      <c r="O738" s="201"/>
      <c r="P738" s="201"/>
      <c r="Q738" s="201"/>
      <c r="R738" s="201"/>
      <c r="S738" s="201"/>
      <c r="T738" s="201"/>
      <c r="U738" s="201"/>
      <c r="V738" s="201"/>
      <c r="W738" s="201"/>
      <c r="X738" s="201"/>
      <c r="Y738" s="201"/>
      <c r="Z738" s="201"/>
      <c r="AA738" s="201"/>
    </row>
    <row r="739">
      <c r="A739" s="201"/>
      <c r="B739" s="201"/>
      <c r="C739" s="201"/>
      <c r="D739" s="201"/>
      <c r="E739" s="201"/>
      <c r="F739" s="201"/>
      <c r="G739" s="201"/>
      <c r="H739" s="209"/>
      <c r="I739" s="209"/>
      <c r="J739" s="201"/>
      <c r="K739" s="210" t="s">
        <v>39</v>
      </c>
      <c r="L739" s="201"/>
      <c r="M739" s="201"/>
      <c r="N739" s="201"/>
      <c r="O739" s="201"/>
      <c r="P739" s="201"/>
      <c r="Q739" s="201"/>
      <c r="R739" s="201"/>
      <c r="S739" s="201"/>
      <c r="T739" s="201"/>
      <c r="U739" s="201"/>
      <c r="V739" s="201"/>
      <c r="W739" s="201"/>
      <c r="X739" s="201"/>
      <c r="Y739" s="201"/>
      <c r="Z739" s="201"/>
      <c r="AA739" s="201"/>
    </row>
    <row r="740">
      <c r="A740" s="201"/>
      <c r="B740" s="201"/>
      <c r="C740" s="201"/>
      <c r="D740" s="201"/>
      <c r="E740" s="201"/>
      <c r="F740" s="201"/>
      <c r="G740" s="201"/>
      <c r="H740" s="209"/>
      <c r="I740" s="209"/>
      <c r="J740" s="201"/>
      <c r="K740" s="210" t="s">
        <v>39</v>
      </c>
      <c r="L740" s="201"/>
      <c r="M740" s="201"/>
      <c r="N740" s="201"/>
      <c r="O740" s="201"/>
      <c r="P740" s="201"/>
      <c r="Q740" s="201"/>
      <c r="R740" s="201"/>
      <c r="S740" s="201"/>
      <c r="T740" s="201"/>
      <c r="U740" s="201"/>
      <c r="V740" s="201"/>
      <c r="W740" s="201"/>
      <c r="X740" s="201"/>
      <c r="Y740" s="201"/>
      <c r="Z740" s="201"/>
      <c r="AA740" s="201"/>
    </row>
    <row r="741">
      <c r="A741" s="201"/>
      <c r="B741" s="201"/>
      <c r="C741" s="201"/>
      <c r="D741" s="201"/>
      <c r="E741" s="201"/>
      <c r="F741" s="201"/>
      <c r="G741" s="201"/>
      <c r="H741" s="209"/>
      <c r="I741" s="209"/>
      <c r="J741" s="201"/>
      <c r="K741" s="210" t="s">
        <v>39</v>
      </c>
      <c r="L741" s="201"/>
      <c r="M741" s="201"/>
      <c r="N741" s="201"/>
      <c r="O741" s="201"/>
      <c r="P741" s="201"/>
      <c r="Q741" s="201"/>
      <c r="R741" s="201"/>
      <c r="S741" s="201"/>
      <c r="T741" s="201"/>
      <c r="U741" s="201"/>
      <c r="V741" s="201"/>
      <c r="W741" s="201"/>
      <c r="X741" s="201"/>
      <c r="Y741" s="201"/>
      <c r="Z741" s="201"/>
      <c r="AA741" s="201"/>
    </row>
    <row r="742">
      <c r="A742" s="201"/>
      <c r="B742" s="201"/>
      <c r="C742" s="201"/>
      <c r="D742" s="201"/>
      <c r="E742" s="201"/>
      <c r="F742" s="201"/>
      <c r="G742" s="201"/>
      <c r="H742" s="209"/>
      <c r="I742" s="209"/>
      <c r="J742" s="201"/>
      <c r="K742" s="210" t="s">
        <v>39</v>
      </c>
      <c r="L742" s="201"/>
      <c r="M742" s="201"/>
      <c r="N742" s="201"/>
      <c r="O742" s="201"/>
      <c r="P742" s="201"/>
      <c r="Q742" s="201"/>
      <c r="R742" s="201"/>
      <c r="S742" s="201"/>
      <c r="T742" s="201"/>
      <c r="U742" s="201"/>
      <c r="V742" s="201"/>
      <c r="W742" s="201"/>
      <c r="X742" s="201"/>
      <c r="Y742" s="201"/>
      <c r="Z742" s="201"/>
      <c r="AA742" s="201"/>
    </row>
    <row r="743">
      <c r="A743" s="201"/>
      <c r="B743" s="201"/>
      <c r="C743" s="201"/>
      <c r="D743" s="201"/>
      <c r="E743" s="201"/>
      <c r="F743" s="201"/>
      <c r="G743" s="201"/>
      <c r="H743" s="209"/>
      <c r="I743" s="209"/>
      <c r="J743" s="201"/>
      <c r="K743" s="210" t="s">
        <v>39</v>
      </c>
      <c r="L743" s="201"/>
      <c r="M743" s="201"/>
      <c r="N743" s="201"/>
      <c r="O743" s="201"/>
      <c r="P743" s="201"/>
      <c r="Q743" s="201"/>
      <c r="R743" s="201"/>
      <c r="S743" s="201"/>
      <c r="T743" s="201"/>
      <c r="U743" s="201"/>
      <c r="V743" s="201"/>
      <c r="W743" s="201"/>
      <c r="X743" s="201"/>
      <c r="Y743" s="201"/>
      <c r="Z743" s="201"/>
      <c r="AA743" s="201"/>
    </row>
    <row r="744">
      <c r="A744" s="201"/>
      <c r="B744" s="201"/>
      <c r="C744" s="201"/>
      <c r="D744" s="201"/>
      <c r="E744" s="201"/>
      <c r="F744" s="201"/>
      <c r="G744" s="201"/>
      <c r="H744" s="209"/>
      <c r="I744" s="209"/>
      <c r="J744" s="201"/>
      <c r="K744" s="210" t="s">
        <v>39</v>
      </c>
      <c r="L744" s="201"/>
      <c r="M744" s="201"/>
      <c r="N744" s="201"/>
      <c r="O744" s="201"/>
      <c r="P744" s="201"/>
      <c r="Q744" s="201"/>
      <c r="R744" s="201"/>
      <c r="S744" s="201"/>
      <c r="T744" s="201"/>
      <c r="U744" s="201"/>
      <c r="V744" s="201"/>
      <c r="W744" s="201"/>
      <c r="X744" s="201"/>
      <c r="Y744" s="201"/>
      <c r="Z744" s="201"/>
      <c r="AA744" s="201"/>
    </row>
    <row r="745">
      <c r="A745" s="201"/>
      <c r="B745" s="201"/>
      <c r="C745" s="201"/>
      <c r="D745" s="201"/>
      <c r="E745" s="201"/>
      <c r="F745" s="201"/>
      <c r="G745" s="201"/>
      <c r="H745" s="209"/>
      <c r="I745" s="209"/>
      <c r="J745" s="201"/>
      <c r="K745" s="210" t="s">
        <v>39</v>
      </c>
      <c r="L745" s="201"/>
      <c r="M745" s="201"/>
      <c r="N745" s="201"/>
      <c r="O745" s="201"/>
      <c r="P745" s="201"/>
      <c r="Q745" s="201"/>
      <c r="R745" s="201"/>
      <c r="S745" s="201"/>
      <c r="T745" s="201"/>
      <c r="U745" s="201"/>
      <c r="V745" s="201"/>
      <c r="W745" s="201"/>
      <c r="X745" s="201"/>
      <c r="Y745" s="201"/>
      <c r="Z745" s="201"/>
      <c r="AA745" s="201"/>
    </row>
    <row r="746">
      <c r="A746" s="201"/>
      <c r="B746" s="201"/>
      <c r="C746" s="201"/>
      <c r="D746" s="201"/>
      <c r="E746" s="201"/>
      <c r="F746" s="201"/>
      <c r="G746" s="201"/>
      <c r="H746" s="209"/>
      <c r="I746" s="209"/>
      <c r="J746" s="201"/>
      <c r="K746" s="210" t="s">
        <v>39</v>
      </c>
      <c r="L746" s="201"/>
      <c r="M746" s="201"/>
      <c r="N746" s="201"/>
      <c r="O746" s="201"/>
      <c r="P746" s="201"/>
      <c r="Q746" s="201"/>
      <c r="R746" s="201"/>
      <c r="S746" s="201"/>
      <c r="T746" s="201"/>
      <c r="U746" s="201"/>
      <c r="V746" s="201"/>
      <c r="W746" s="201"/>
      <c r="X746" s="201"/>
      <c r="Y746" s="201"/>
      <c r="Z746" s="201"/>
      <c r="AA746" s="201"/>
    </row>
    <row r="747">
      <c r="A747" s="201"/>
      <c r="B747" s="201"/>
      <c r="C747" s="201"/>
      <c r="D747" s="201"/>
      <c r="E747" s="201"/>
      <c r="F747" s="201"/>
      <c r="G747" s="201"/>
      <c r="H747" s="209"/>
      <c r="I747" s="209"/>
      <c r="J747" s="201"/>
      <c r="K747" s="210" t="s">
        <v>39</v>
      </c>
      <c r="L747" s="201"/>
      <c r="M747" s="201"/>
      <c r="N747" s="201"/>
      <c r="O747" s="201"/>
      <c r="P747" s="201"/>
      <c r="Q747" s="201"/>
      <c r="R747" s="201"/>
      <c r="S747" s="201"/>
      <c r="T747" s="201"/>
      <c r="U747" s="201"/>
      <c r="V747" s="201"/>
      <c r="W747" s="201"/>
      <c r="X747" s="201"/>
      <c r="Y747" s="201"/>
      <c r="Z747" s="201"/>
      <c r="AA747" s="201"/>
    </row>
    <row r="748">
      <c r="A748" s="201"/>
      <c r="B748" s="201"/>
      <c r="C748" s="201"/>
      <c r="D748" s="201"/>
      <c r="E748" s="201"/>
      <c r="F748" s="201"/>
      <c r="G748" s="201"/>
      <c r="H748" s="209"/>
      <c r="I748" s="209"/>
      <c r="J748" s="201"/>
      <c r="K748" s="210" t="s">
        <v>39</v>
      </c>
      <c r="L748" s="201"/>
      <c r="M748" s="201"/>
      <c r="N748" s="201"/>
      <c r="O748" s="201"/>
      <c r="P748" s="201"/>
      <c r="Q748" s="201"/>
      <c r="R748" s="201"/>
      <c r="S748" s="201"/>
      <c r="T748" s="201"/>
      <c r="U748" s="201"/>
      <c r="V748" s="201"/>
      <c r="W748" s="201"/>
      <c r="X748" s="201"/>
      <c r="Y748" s="201"/>
      <c r="Z748" s="201"/>
      <c r="AA748" s="201"/>
    </row>
    <row r="749">
      <c r="A749" s="201"/>
      <c r="B749" s="201"/>
      <c r="C749" s="201"/>
      <c r="D749" s="201"/>
      <c r="E749" s="201"/>
      <c r="F749" s="201"/>
      <c r="G749" s="201"/>
      <c r="H749" s="209"/>
      <c r="I749" s="209"/>
      <c r="J749" s="201"/>
      <c r="K749" s="210" t="s">
        <v>39</v>
      </c>
      <c r="L749" s="201"/>
      <c r="M749" s="201"/>
      <c r="N749" s="201"/>
      <c r="O749" s="201"/>
      <c r="P749" s="201"/>
      <c r="Q749" s="201"/>
      <c r="R749" s="201"/>
      <c r="S749" s="201"/>
      <c r="T749" s="201"/>
      <c r="U749" s="201"/>
      <c r="V749" s="201"/>
      <c r="W749" s="201"/>
      <c r="X749" s="201"/>
      <c r="Y749" s="201"/>
      <c r="Z749" s="201"/>
      <c r="AA749" s="201"/>
    </row>
    <row r="750">
      <c r="A750" s="201"/>
      <c r="B750" s="201"/>
      <c r="C750" s="201"/>
      <c r="D750" s="201"/>
      <c r="E750" s="201"/>
      <c r="F750" s="201"/>
      <c r="G750" s="201"/>
      <c r="H750" s="209"/>
      <c r="I750" s="209"/>
      <c r="J750" s="201"/>
      <c r="K750" s="210" t="s">
        <v>39</v>
      </c>
      <c r="L750" s="201"/>
      <c r="M750" s="201"/>
      <c r="N750" s="201"/>
      <c r="O750" s="201"/>
      <c r="P750" s="201"/>
      <c r="Q750" s="201"/>
      <c r="R750" s="201"/>
      <c r="S750" s="201"/>
      <c r="T750" s="201"/>
      <c r="U750" s="201"/>
      <c r="V750" s="201"/>
      <c r="W750" s="201"/>
      <c r="X750" s="201"/>
      <c r="Y750" s="201"/>
      <c r="Z750" s="201"/>
      <c r="AA750" s="201"/>
    </row>
    <row r="751">
      <c r="A751" s="201"/>
      <c r="B751" s="201"/>
      <c r="C751" s="201"/>
      <c r="D751" s="201"/>
      <c r="E751" s="201"/>
      <c r="F751" s="201"/>
      <c r="G751" s="201"/>
      <c r="H751" s="209"/>
      <c r="I751" s="209"/>
      <c r="J751" s="201"/>
      <c r="K751" s="210" t="s">
        <v>39</v>
      </c>
      <c r="L751" s="201"/>
      <c r="M751" s="201"/>
      <c r="N751" s="201"/>
      <c r="O751" s="201"/>
      <c r="P751" s="201"/>
      <c r="Q751" s="201"/>
      <c r="R751" s="201"/>
      <c r="S751" s="201"/>
      <c r="T751" s="201"/>
      <c r="U751" s="201"/>
      <c r="V751" s="201"/>
      <c r="W751" s="201"/>
      <c r="X751" s="201"/>
      <c r="Y751" s="201"/>
      <c r="Z751" s="201"/>
      <c r="AA751" s="201"/>
    </row>
    <row r="752">
      <c r="A752" s="201"/>
      <c r="B752" s="201"/>
      <c r="C752" s="201"/>
      <c r="D752" s="201"/>
      <c r="E752" s="201"/>
      <c r="F752" s="201"/>
      <c r="G752" s="201"/>
      <c r="H752" s="209"/>
      <c r="I752" s="209"/>
      <c r="J752" s="201"/>
      <c r="K752" s="210" t="s">
        <v>39</v>
      </c>
      <c r="L752" s="201"/>
      <c r="M752" s="201"/>
      <c r="N752" s="201"/>
      <c r="O752" s="201"/>
      <c r="P752" s="201"/>
      <c r="Q752" s="201"/>
      <c r="R752" s="201"/>
      <c r="S752" s="201"/>
      <c r="T752" s="201"/>
      <c r="U752" s="201"/>
      <c r="V752" s="201"/>
      <c r="W752" s="201"/>
      <c r="X752" s="201"/>
      <c r="Y752" s="201"/>
      <c r="Z752" s="201"/>
      <c r="AA752" s="201"/>
    </row>
    <row r="753">
      <c r="A753" s="201"/>
      <c r="B753" s="201"/>
      <c r="C753" s="201"/>
      <c r="D753" s="201"/>
      <c r="E753" s="201"/>
      <c r="F753" s="201"/>
      <c r="G753" s="201"/>
      <c r="H753" s="209"/>
      <c r="I753" s="209"/>
      <c r="J753" s="201"/>
      <c r="K753" s="210" t="s">
        <v>39</v>
      </c>
      <c r="L753" s="201"/>
      <c r="M753" s="201"/>
      <c r="N753" s="201"/>
      <c r="O753" s="201"/>
      <c r="P753" s="201"/>
      <c r="Q753" s="201"/>
      <c r="R753" s="201"/>
      <c r="S753" s="201"/>
      <c r="T753" s="201"/>
      <c r="U753" s="201"/>
      <c r="V753" s="201"/>
      <c r="W753" s="201"/>
      <c r="X753" s="201"/>
      <c r="Y753" s="201"/>
      <c r="Z753" s="201"/>
      <c r="AA753" s="201"/>
    </row>
    <row r="754">
      <c r="A754" s="201"/>
      <c r="B754" s="201"/>
      <c r="C754" s="201"/>
      <c r="D754" s="201"/>
      <c r="E754" s="201"/>
      <c r="F754" s="201"/>
      <c r="G754" s="201"/>
      <c r="H754" s="209"/>
      <c r="I754" s="209"/>
      <c r="J754" s="201"/>
      <c r="K754" s="210" t="s">
        <v>39</v>
      </c>
      <c r="L754" s="201"/>
      <c r="M754" s="201"/>
      <c r="N754" s="201"/>
      <c r="O754" s="201"/>
      <c r="P754" s="201"/>
      <c r="Q754" s="201"/>
      <c r="R754" s="201"/>
      <c r="S754" s="201"/>
      <c r="T754" s="201"/>
      <c r="U754" s="201"/>
      <c r="V754" s="201"/>
      <c r="W754" s="201"/>
      <c r="X754" s="201"/>
      <c r="Y754" s="201"/>
      <c r="Z754" s="201"/>
      <c r="AA754" s="201"/>
    </row>
    <row r="755">
      <c r="A755" s="201"/>
      <c r="B755" s="201"/>
      <c r="C755" s="201"/>
      <c r="D755" s="201"/>
      <c r="E755" s="201"/>
      <c r="F755" s="201"/>
      <c r="G755" s="201"/>
      <c r="H755" s="209"/>
      <c r="I755" s="209"/>
      <c r="J755" s="201"/>
      <c r="K755" s="210" t="s">
        <v>39</v>
      </c>
      <c r="L755" s="201"/>
      <c r="M755" s="201"/>
      <c r="N755" s="201"/>
      <c r="O755" s="201"/>
      <c r="P755" s="201"/>
      <c r="Q755" s="201"/>
      <c r="R755" s="201"/>
      <c r="S755" s="201"/>
      <c r="T755" s="201"/>
      <c r="U755" s="201"/>
      <c r="V755" s="201"/>
      <c r="W755" s="201"/>
      <c r="X755" s="201"/>
      <c r="Y755" s="201"/>
      <c r="Z755" s="201"/>
      <c r="AA755" s="201"/>
    </row>
    <row r="756">
      <c r="A756" s="201"/>
      <c r="B756" s="201"/>
      <c r="C756" s="201"/>
      <c r="D756" s="201"/>
      <c r="E756" s="201"/>
      <c r="F756" s="201"/>
      <c r="G756" s="201"/>
      <c r="H756" s="209"/>
      <c r="I756" s="209"/>
      <c r="J756" s="201"/>
      <c r="K756" s="210" t="s">
        <v>39</v>
      </c>
      <c r="L756" s="201"/>
      <c r="M756" s="201"/>
      <c r="N756" s="201"/>
      <c r="O756" s="201"/>
      <c r="P756" s="201"/>
      <c r="Q756" s="201"/>
      <c r="R756" s="201"/>
      <c r="S756" s="201"/>
      <c r="T756" s="201"/>
      <c r="U756" s="201"/>
      <c r="V756" s="201"/>
      <c r="W756" s="201"/>
      <c r="X756" s="201"/>
      <c r="Y756" s="201"/>
      <c r="Z756" s="201"/>
      <c r="AA756" s="201"/>
    </row>
    <row r="757">
      <c r="A757" s="201"/>
      <c r="B757" s="201"/>
      <c r="C757" s="201"/>
      <c r="D757" s="201"/>
      <c r="E757" s="201"/>
      <c r="F757" s="201"/>
      <c r="G757" s="201"/>
      <c r="H757" s="209"/>
      <c r="I757" s="209"/>
      <c r="J757" s="201"/>
      <c r="K757" s="210" t="s">
        <v>39</v>
      </c>
      <c r="L757" s="201"/>
      <c r="M757" s="201"/>
      <c r="N757" s="201"/>
      <c r="O757" s="201"/>
      <c r="P757" s="201"/>
      <c r="Q757" s="201"/>
      <c r="R757" s="201"/>
      <c r="S757" s="201"/>
      <c r="T757" s="201"/>
      <c r="U757" s="201"/>
      <c r="V757" s="201"/>
      <c r="W757" s="201"/>
      <c r="X757" s="201"/>
      <c r="Y757" s="201"/>
      <c r="Z757" s="201"/>
      <c r="AA757" s="201"/>
    </row>
    <row r="758">
      <c r="A758" s="201"/>
      <c r="B758" s="201"/>
      <c r="C758" s="201"/>
      <c r="D758" s="201"/>
      <c r="E758" s="201"/>
      <c r="F758" s="201"/>
      <c r="G758" s="201"/>
      <c r="H758" s="209"/>
      <c r="I758" s="209"/>
      <c r="J758" s="201"/>
      <c r="K758" s="210" t="s">
        <v>39</v>
      </c>
      <c r="L758" s="201"/>
      <c r="M758" s="201"/>
      <c r="N758" s="201"/>
      <c r="O758" s="201"/>
      <c r="P758" s="201"/>
      <c r="Q758" s="201"/>
      <c r="R758" s="201"/>
      <c r="S758" s="201"/>
      <c r="T758" s="201"/>
      <c r="U758" s="201"/>
      <c r="V758" s="201"/>
      <c r="W758" s="201"/>
      <c r="X758" s="201"/>
      <c r="Y758" s="201"/>
      <c r="Z758" s="201"/>
      <c r="AA758" s="201"/>
    </row>
    <row r="759">
      <c r="A759" s="201"/>
      <c r="B759" s="201"/>
      <c r="C759" s="201"/>
      <c r="D759" s="201"/>
      <c r="E759" s="201"/>
      <c r="F759" s="201"/>
      <c r="G759" s="201"/>
      <c r="H759" s="209"/>
      <c r="I759" s="209"/>
      <c r="J759" s="201"/>
      <c r="K759" s="210" t="s">
        <v>39</v>
      </c>
      <c r="L759" s="201"/>
      <c r="M759" s="201"/>
      <c r="N759" s="201"/>
      <c r="O759" s="201"/>
      <c r="P759" s="201"/>
      <c r="Q759" s="201"/>
      <c r="R759" s="201"/>
      <c r="S759" s="201"/>
      <c r="T759" s="201"/>
      <c r="U759" s="201"/>
      <c r="V759" s="201"/>
      <c r="W759" s="201"/>
      <c r="X759" s="201"/>
      <c r="Y759" s="201"/>
      <c r="Z759" s="201"/>
      <c r="AA759" s="201"/>
    </row>
    <row r="760">
      <c r="A760" s="201"/>
      <c r="B760" s="201"/>
      <c r="C760" s="201"/>
      <c r="D760" s="201"/>
      <c r="E760" s="201"/>
      <c r="F760" s="201"/>
      <c r="G760" s="201"/>
      <c r="H760" s="209"/>
      <c r="I760" s="209"/>
      <c r="J760" s="201"/>
      <c r="K760" s="210" t="s">
        <v>39</v>
      </c>
      <c r="L760" s="201"/>
      <c r="M760" s="201"/>
      <c r="N760" s="201"/>
      <c r="O760" s="201"/>
      <c r="P760" s="201"/>
      <c r="Q760" s="201"/>
      <c r="R760" s="201"/>
      <c r="S760" s="201"/>
      <c r="T760" s="201"/>
      <c r="U760" s="201"/>
      <c r="V760" s="201"/>
      <c r="W760" s="201"/>
      <c r="X760" s="201"/>
      <c r="Y760" s="201"/>
      <c r="Z760" s="201"/>
      <c r="AA760" s="201"/>
    </row>
    <row r="761">
      <c r="A761" s="201"/>
      <c r="B761" s="201"/>
      <c r="C761" s="201"/>
      <c r="D761" s="201"/>
      <c r="E761" s="201"/>
      <c r="F761" s="201"/>
      <c r="G761" s="201"/>
      <c r="H761" s="209"/>
      <c r="I761" s="209"/>
      <c r="J761" s="201"/>
      <c r="K761" s="210" t="s">
        <v>39</v>
      </c>
      <c r="L761" s="201"/>
      <c r="M761" s="201"/>
      <c r="N761" s="201"/>
      <c r="O761" s="201"/>
      <c r="P761" s="201"/>
      <c r="Q761" s="201"/>
      <c r="R761" s="201"/>
      <c r="S761" s="201"/>
      <c r="T761" s="201"/>
      <c r="U761" s="201"/>
      <c r="V761" s="201"/>
      <c r="W761" s="201"/>
      <c r="X761" s="201"/>
      <c r="Y761" s="201"/>
      <c r="Z761" s="201"/>
      <c r="AA761" s="201"/>
    </row>
    <row r="762">
      <c r="A762" s="201"/>
      <c r="B762" s="201"/>
      <c r="C762" s="201"/>
      <c r="D762" s="201"/>
      <c r="E762" s="201"/>
      <c r="F762" s="201"/>
      <c r="G762" s="201"/>
      <c r="H762" s="209"/>
      <c r="I762" s="209"/>
      <c r="J762" s="201"/>
      <c r="K762" s="210" t="s">
        <v>39</v>
      </c>
      <c r="L762" s="201"/>
      <c r="M762" s="201"/>
      <c r="N762" s="201"/>
      <c r="O762" s="201"/>
      <c r="P762" s="201"/>
      <c r="Q762" s="201"/>
      <c r="R762" s="201"/>
      <c r="S762" s="201"/>
      <c r="T762" s="201"/>
      <c r="U762" s="201"/>
      <c r="V762" s="201"/>
      <c r="W762" s="201"/>
      <c r="X762" s="201"/>
      <c r="Y762" s="201"/>
      <c r="Z762" s="201"/>
      <c r="AA762" s="201"/>
    </row>
    <row r="763">
      <c r="A763" s="201"/>
      <c r="B763" s="201"/>
      <c r="C763" s="201"/>
      <c r="D763" s="201"/>
      <c r="E763" s="201"/>
      <c r="F763" s="201"/>
      <c r="G763" s="201"/>
      <c r="H763" s="209"/>
      <c r="I763" s="209"/>
      <c r="J763" s="201"/>
      <c r="K763" s="210" t="s">
        <v>39</v>
      </c>
      <c r="L763" s="201"/>
      <c r="M763" s="201"/>
      <c r="N763" s="201"/>
      <c r="O763" s="201"/>
      <c r="P763" s="201"/>
      <c r="Q763" s="201"/>
      <c r="R763" s="201"/>
      <c r="S763" s="201"/>
      <c r="T763" s="201"/>
      <c r="U763" s="201"/>
      <c r="V763" s="201"/>
      <c r="W763" s="201"/>
      <c r="X763" s="201"/>
      <c r="Y763" s="201"/>
      <c r="Z763" s="201"/>
      <c r="AA763" s="201"/>
    </row>
    <row r="764">
      <c r="A764" s="201"/>
      <c r="B764" s="201"/>
      <c r="C764" s="201"/>
      <c r="D764" s="201"/>
      <c r="E764" s="201"/>
      <c r="F764" s="201"/>
      <c r="G764" s="201"/>
      <c r="H764" s="209"/>
      <c r="I764" s="209"/>
      <c r="J764" s="201"/>
      <c r="K764" s="210" t="s">
        <v>39</v>
      </c>
      <c r="L764" s="201"/>
      <c r="M764" s="201"/>
      <c r="N764" s="201"/>
      <c r="O764" s="201"/>
      <c r="P764" s="201"/>
      <c r="Q764" s="201"/>
      <c r="R764" s="201"/>
      <c r="S764" s="201"/>
      <c r="T764" s="201"/>
      <c r="U764" s="201"/>
      <c r="V764" s="201"/>
      <c r="W764" s="201"/>
      <c r="X764" s="201"/>
      <c r="Y764" s="201"/>
      <c r="Z764" s="201"/>
      <c r="AA764" s="201"/>
    </row>
    <row r="765">
      <c r="A765" s="201"/>
      <c r="B765" s="201"/>
      <c r="C765" s="201"/>
      <c r="D765" s="201"/>
      <c r="E765" s="201"/>
      <c r="F765" s="201"/>
      <c r="G765" s="201"/>
      <c r="H765" s="209"/>
      <c r="I765" s="209"/>
      <c r="J765" s="201"/>
      <c r="K765" s="210" t="s">
        <v>39</v>
      </c>
      <c r="L765" s="201"/>
      <c r="M765" s="201"/>
      <c r="N765" s="201"/>
      <c r="O765" s="201"/>
      <c r="P765" s="201"/>
      <c r="Q765" s="201"/>
      <c r="R765" s="201"/>
      <c r="S765" s="201"/>
      <c r="T765" s="201"/>
      <c r="U765" s="201"/>
      <c r="V765" s="201"/>
      <c r="W765" s="201"/>
      <c r="X765" s="201"/>
      <c r="Y765" s="201"/>
      <c r="Z765" s="201"/>
      <c r="AA765" s="201"/>
    </row>
    <row r="766">
      <c r="A766" s="201"/>
      <c r="B766" s="201"/>
      <c r="C766" s="201"/>
      <c r="D766" s="201"/>
      <c r="E766" s="201"/>
      <c r="F766" s="201"/>
      <c r="G766" s="201"/>
      <c r="H766" s="209"/>
      <c r="I766" s="209"/>
      <c r="J766" s="201"/>
      <c r="K766" s="210" t="s">
        <v>39</v>
      </c>
      <c r="L766" s="201"/>
      <c r="M766" s="201"/>
      <c r="N766" s="201"/>
      <c r="O766" s="201"/>
      <c r="P766" s="201"/>
      <c r="Q766" s="201"/>
      <c r="R766" s="201"/>
      <c r="S766" s="201"/>
      <c r="T766" s="201"/>
      <c r="U766" s="201"/>
      <c r="V766" s="201"/>
      <c r="W766" s="201"/>
      <c r="X766" s="201"/>
      <c r="Y766" s="201"/>
      <c r="Z766" s="201"/>
      <c r="AA766" s="201"/>
    </row>
    <row r="767">
      <c r="A767" s="201"/>
      <c r="B767" s="201"/>
      <c r="C767" s="201"/>
      <c r="D767" s="201"/>
      <c r="E767" s="201"/>
      <c r="F767" s="201"/>
      <c r="G767" s="201"/>
      <c r="H767" s="209"/>
      <c r="I767" s="209"/>
      <c r="J767" s="201"/>
      <c r="K767" s="210" t="s">
        <v>39</v>
      </c>
      <c r="L767" s="201"/>
      <c r="M767" s="201"/>
      <c r="N767" s="201"/>
      <c r="O767" s="201"/>
      <c r="P767" s="201"/>
      <c r="Q767" s="201"/>
      <c r="R767" s="201"/>
      <c r="S767" s="201"/>
      <c r="T767" s="201"/>
      <c r="U767" s="201"/>
      <c r="V767" s="201"/>
      <c r="W767" s="201"/>
      <c r="X767" s="201"/>
      <c r="Y767" s="201"/>
      <c r="Z767" s="201"/>
      <c r="AA767" s="201"/>
    </row>
    <row r="768">
      <c r="A768" s="201"/>
      <c r="B768" s="201"/>
      <c r="C768" s="201"/>
      <c r="D768" s="201"/>
      <c r="E768" s="201"/>
      <c r="F768" s="201"/>
      <c r="G768" s="201"/>
      <c r="H768" s="209"/>
      <c r="I768" s="209"/>
      <c r="J768" s="201"/>
      <c r="K768" s="210" t="s">
        <v>39</v>
      </c>
      <c r="L768" s="201"/>
      <c r="M768" s="201"/>
      <c r="N768" s="201"/>
      <c r="O768" s="201"/>
      <c r="P768" s="201"/>
      <c r="Q768" s="201"/>
      <c r="R768" s="201"/>
      <c r="S768" s="201"/>
      <c r="T768" s="201"/>
      <c r="U768" s="201"/>
      <c r="V768" s="201"/>
      <c r="W768" s="201"/>
      <c r="X768" s="201"/>
      <c r="Y768" s="201"/>
      <c r="Z768" s="201"/>
      <c r="AA768" s="201"/>
    </row>
    <row r="769">
      <c r="A769" s="201"/>
      <c r="B769" s="201"/>
      <c r="C769" s="201"/>
      <c r="D769" s="201"/>
      <c r="E769" s="201"/>
      <c r="F769" s="201"/>
      <c r="G769" s="201"/>
      <c r="H769" s="209"/>
      <c r="I769" s="209"/>
      <c r="J769" s="201"/>
      <c r="K769" s="210" t="s">
        <v>39</v>
      </c>
      <c r="L769" s="201"/>
      <c r="M769" s="201"/>
      <c r="N769" s="201"/>
      <c r="O769" s="201"/>
      <c r="P769" s="201"/>
      <c r="Q769" s="201"/>
      <c r="R769" s="201"/>
      <c r="S769" s="201"/>
      <c r="T769" s="201"/>
      <c r="U769" s="201"/>
      <c r="V769" s="201"/>
      <c r="W769" s="201"/>
      <c r="X769" s="201"/>
      <c r="Y769" s="201"/>
      <c r="Z769" s="201"/>
      <c r="AA769" s="201"/>
    </row>
    <row r="770">
      <c r="A770" s="201"/>
      <c r="B770" s="201"/>
      <c r="C770" s="201"/>
      <c r="D770" s="201"/>
      <c r="E770" s="201"/>
      <c r="F770" s="201"/>
      <c r="G770" s="201"/>
      <c r="H770" s="209"/>
      <c r="I770" s="209"/>
      <c r="J770" s="201"/>
      <c r="K770" s="210" t="s">
        <v>39</v>
      </c>
      <c r="L770" s="201"/>
      <c r="M770" s="201"/>
      <c r="N770" s="201"/>
      <c r="O770" s="201"/>
      <c r="P770" s="201"/>
      <c r="Q770" s="201"/>
      <c r="R770" s="201"/>
      <c r="S770" s="201"/>
      <c r="T770" s="201"/>
      <c r="U770" s="201"/>
      <c r="V770" s="201"/>
      <c r="W770" s="201"/>
      <c r="X770" s="201"/>
      <c r="Y770" s="201"/>
      <c r="Z770" s="201"/>
      <c r="AA770" s="201"/>
    </row>
    <row r="771">
      <c r="A771" s="201"/>
      <c r="B771" s="201"/>
      <c r="C771" s="201"/>
      <c r="D771" s="201"/>
      <c r="E771" s="201"/>
      <c r="F771" s="201"/>
      <c r="G771" s="201"/>
      <c r="H771" s="209"/>
      <c r="I771" s="209"/>
      <c r="J771" s="201"/>
      <c r="K771" s="210" t="s">
        <v>39</v>
      </c>
      <c r="L771" s="201"/>
      <c r="M771" s="201"/>
      <c r="N771" s="201"/>
      <c r="O771" s="201"/>
      <c r="P771" s="201"/>
      <c r="Q771" s="201"/>
      <c r="R771" s="201"/>
      <c r="S771" s="201"/>
      <c r="T771" s="201"/>
      <c r="U771" s="201"/>
      <c r="V771" s="201"/>
      <c r="W771" s="201"/>
      <c r="X771" s="201"/>
      <c r="Y771" s="201"/>
      <c r="Z771" s="201"/>
      <c r="AA771" s="201"/>
    </row>
    <row r="772">
      <c r="A772" s="201"/>
      <c r="B772" s="201"/>
      <c r="C772" s="201"/>
      <c r="D772" s="201"/>
      <c r="E772" s="201"/>
      <c r="F772" s="201"/>
      <c r="G772" s="201"/>
      <c r="H772" s="209"/>
      <c r="I772" s="209"/>
      <c r="J772" s="201"/>
      <c r="K772" s="210" t="s">
        <v>39</v>
      </c>
      <c r="L772" s="201"/>
      <c r="M772" s="201"/>
      <c r="N772" s="201"/>
      <c r="O772" s="201"/>
      <c r="P772" s="201"/>
      <c r="Q772" s="201"/>
      <c r="R772" s="201"/>
      <c r="S772" s="201"/>
      <c r="T772" s="201"/>
      <c r="U772" s="201"/>
      <c r="V772" s="201"/>
      <c r="W772" s="201"/>
      <c r="X772" s="201"/>
      <c r="Y772" s="201"/>
      <c r="Z772" s="201"/>
      <c r="AA772" s="201"/>
    </row>
    <row r="773">
      <c r="A773" s="201"/>
      <c r="B773" s="201"/>
      <c r="C773" s="201"/>
      <c r="D773" s="201"/>
      <c r="E773" s="201"/>
      <c r="F773" s="201"/>
      <c r="G773" s="201"/>
      <c r="H773" s="209"/>
      <c r="I773" s="209"/>
      <c r="J773" s="201"/>
      <c r="K773" s="210" t="s">
        <v>39</v>
      </c>
      <c r="L773" s="201"/>
      <c r="M773" s="201"/>
      <c r="N773" s="201"/>
      <c r="O773" s="201"/>
      <c r="P773" s="201"/>
      <c r="Q773" s="201"/>
      <c r="R773" s="201"/>
      <c r="S773" s="201"/>
      <c r="T773" s="201"/>
      <c r="U773" s="201"/>
      <c r="V773" s="201"/>
      <c r="W773" s="201"/>
      <c r="X773" s="201"/>
      <c r="Y773" s="201"/>
      <c r="Z773" s="201"/>
      <c r="AA773" s="201"/>
    </row>
    <row r="774">
      <c r="A774" s="201"/>
      <c r="B774" s="201"/>
      <c r="C774" s="201"/>
      <c r="D774" s="201"/>
      <c r="E774" s="201"/>
      <c r="F774" s="201"/>
      <c r="G774" s="201"/>
      <c r="H774" s="209"/>
      <c r="I774" s="209"/>
      <c r="J774" s="201"/>
      <c r="K774" s="210" t="s">
        <v>39</v>
      </c>
      <c r="L774" s="201"/>
      <c r="M774" s="201"/>
      <c r="N774" s="201"/>
      <c r="O774" s="201"/>
      <c r="P774" s="201"/>
      <c r="Q774" s="201"/>
      <c r="R774" s="201"/>
      <c r="S774" s="201"/>
      <c r="T774" s="201"/>
      <c r="U774" s="201"/>
      <c r="V774" s="201"/>
      <c r="W774" s="201"/>
      <c r="X774" s="201"/>
      <c r="Y774" s="201"/>
      <c r="Z774" s="201"/>
      <c r="AA774" s="201"/>
    </row>
    <row r="775">
      <c r="A775" s="201"/>
      <c r="B775" s="201"/>
      <c r="C775" s="201"/>
      <c r="D775" s="201"/>
      <c r="E775" s="201"/>
      <c r="F775" s="201"/>
      <c r="G775" s="201"/>
      <c r="H775" s="209"/>
      <c r="I775" s="209"/>
      <c r="J775" s="201"/>
      <c r="K775" s="210" t="s">
        <v>39</v>
      </c>
      <c r="L775" s="201"/>
      <c r="M775" s="201"/>
      <c r="N775" s="201"/>
      <c r="O775" s="201"/>
      <c r="P775" s="201"/>
      <c r="Q775" s="201"/>
      <c r="R775" s="201"/>
      <c r="S775" s="201"/>
      <c r="T775" s="201"/>
      <c r="U775" s="201"/>
      <c r="V775" s="201"/>
      <c r="W775" s="201"/>
      <c r="X775" s="201"/>
      <c r="Y775" s="201"/>
      <c r="Z775" s="201"/>
      <c r="AA775" s="201"/>
    </row>
    <row r="776">
      <c r="A776" s="201"/>
      <c r="B776" s="201"/>
      <c r="C776" s="201"/>
      <c r="D776" s="201"/>
      <c r="E776" s="201"/>
      <c r="F776" s="201"/>
      <c r="G776" s="201"/>
      <c r="H776" s="209"/>
      <c r="I776" s="209"/>
      <c r="J776" s="201"/>
      <c r="K776" s="210" t="s">
        <v>39</v>
      </c>
      <c r="L776" s="201"/>
      <c r="M776" s="201"/>
      <c r="N776" s="201"/>
      <c r="O776" s="201"/>
      <c r="P776" s="201"/>
      <c r="Q776" s="201"/>
      <c r="R776" s="201"/>
      <c r="S776" s="201"/>
      <c r="T776" s="201"/>
      <c r="U776" s="201"/>
      <c r="V776" s="201"/>
      <c r="W776" s="201"/>
      <c r="X776" s="201"/>
      <c r="Y776" s="201"/>
      <c r="Z776" s="201"/>
      <c r="AA776" s="201"/>
    </row>
    <row r="777">
      <c r="A777" s="201"/>
      <c r="B777" s="201"/>
      <c r="C777" s="201"/>
      <c r="D777" s="201"/>
      <c r="E777" s="201"/>
      <c r="F777" s="201"/>
      <c r="G777" s="201"/>
      <c r="H777" s="209"/>
      <c r="I777" s="209"/>
      <c r="J777" s="201"/>
      <c r="K777" s="210" t="s">
        <v>39</v>
      </c>
      <c r="L777" s="201"/>
      <c r="M777" s="201"/>
      <c r="N777" s="201"/>
      <c r="O777" s="201"/>
      <c r="P777" s="201"/>
      <c r="Q777" s="201"/>
      <c r="R777" s="201"/>
      <c r="S777" s="201"/>
      <c r="T777" s="201"/>
      <c r="U777" s="201"/>
      <c r="V777" s="201"/>
      <c r="W777" s="201"/>
      <c r="X777" s="201"/>
      <c r="Y777" s="201"/>
      <c r="Z777" s="201"/>
      <c r="AA777" s="201"/>
    </row>
    <row r="778">
      <c r="A778" s="201"/>
      <c r="B778" s="201"/>
      <c r="C778" s="201"/>
      <c r="D778" s="201"/>
      <c r="E778" s="201"/>
      <c r="F778" s="201"/>
      <c r="G778" s="201"/>
      <c r="H778" s="209"/>
      <c r="I778" s="209"/>
      <c r="J778" s="201"/>
      <c r="K778" s="210" t="s">
        <v>39</v>
      </c>
      <c r="L778" s="201"/>
      <c r="M778" s="201"/>
      <c r="N778" s="201"/>
      <c r="O778" s="201"/>
      <c r="P778" s="201"/>
      <c r="Q778" s="201"/>
      <c r="R778" s="201"/>
      <c r="S778" s="201"/>
      <c r="T778" s="201"/>
      <c r="U778" s="201"/>
      <c r="V778" s="201"/>
      <c r="W778" s="201"/>
      <c r="X778" s="201"/>
      <c r="Y778" s="201"/>
      <c r="Z778" s="201"/>
      <c r="AA778" s="201"/>
    </row>
    <row r="779">
      <c r="A779" s="201"/>
      <c r="B779" s="201"/>
      <c r="C779" s="201"/>
      <c r="D779" s="201"/>
      <c r="E779" s="201"/>
      <c r="F779" s="201"/>
      <c r="G779" s="201"/>
      <c r="H779" s="209"/>
      <c r="I779" s="209"/>
      <c r="J779" s="201"/>
      <c r="K779" s="210" t="s">
        <v>39</v>
      </c>
      <c r="L779" s="201"/>
      <c r="M779" s="201"/>
      <c r="N779" s="201"/>
      <c r="O779" s="201"/>
      <c r="P779" s="201"/>
      <c r="Q779" s="201"/>
      <c r="R779" s="201"/>
      <c r="S779" s="201"/>
      <c r="T779" s="201"/>
      <c r="U779" s="201"/>
      <c r="V779" s="201"/>
      <c r="W779" s="201"/>
      <c r="X779" s="201"/>
      <c r="Y779" s="201"/>
      <c r="Z779" s="201"/>
      <c r="AA779" s="201"/>
    </row>
    <row r="780">
      <c r="A780" s="201"/>
      <c r="B780" s="201"/>
      <c r="C780" s="201"/>
      <c r="D780" s="201"/>
      <c r="E780" s="201"/>
      <c r="F780" s="201"/>
      <c r="G780" s="201"/>
      <c r="H780" s="209"/>
      <c r="I780" s="209"/>
      <c r="J780" s="201"/>
      <c r="K780" s="210" t="s">
        <v>39</v>
      </c>
      <c r="L780" s="201"/>
      <c r="M780" s="201"/>
      <c r="N780" s="201"/>
      <c r="O780" s="201"/>
      <c r="P780" s="201"/>
      <c r="Q780" s="201"/>
      <c r="R780" s="201"/>
      <c r="S780" s="201"/>
      <c r="T780" s="201"/>
      <c r="U780" s="201"/>
      <c r="V780" s="201"/>
      <c r="W780" s="201"/>
      <c r="X780" s="201"/>
      <c r="Y780" s="201"/>
      <c r="Z780" s="201"/>
      <c r="AA780" s="201"/>
    </row>
    <row r="781">
      <c r="A781" s="201"/>
      <c r="B781" s="201"/>
      <c r="C781" s="201"/>
      <c r="D781" s="201"/>
      <c r="E781" s="201"/>
      <c r="F781" s="201"/>
      <c r="G781" s="201"/>
      <c r="H781" s="209"/>
      <c r="I781" s="209"/>
      <c r="J781" s="201"/>
      <c r="K781" s="210" t="s">
        <v>39</v>
      </c>
      <c r="L781" s="201"/>
      <c r="M781" s="201"/>
      <c r="N781" s="201"/>
      <c r="O781" s="201"/>
      <c r="P781" s="201"/>
      <c r="Q781" s="201"/>
      <c r="R781" s="201"/>
      <c r="S781" s="201"/>
      <c r="T781" s="201"/>
      <c r="U781" s="201"/>
      <c r="V781" s="201"/>
      <c r="W781" s="201"/>
      <c r="X781" s="201"/>
      <c r="Y781" s="201"/>
      <c r="Z781" s="201"/>
      <c r="AA781" s="201"/>
    </row>
    <row r="782">
      <c r="A782" s="201"/>
      <c r="B782" s="201"/>
      <c r="C782" s="201"/>
      <c r="D782" s="201"/>
      <c r="E782" s="201"/>
      <c r="F782" s="201"/>
      <c r="G782" s="201"/>
      <c r="H782" s="209"/>
      <c r="I782" s="209"/>
      <c r="J782" s="201"/>
      <c r="K782" s="210" t="s">
        <v>39</v>
      </c>
      <c r="L782" s="201"/>
      <c r="M782" s="201"/>
      <c r="N782" s="201"/>
      <c r="O782" s="201"/>
      <c r="P782" s="201"/>
      <c r="Q782" s="201"/>
      <c r="R782" s="201"/>
      <c r="S782" s="201"/>
      <c r="T782" s="201"/>
      <c r="U782" s="201"/>
      <c r="V782" s="201"/>
      <c r="W782" s="201"/>
      <c r="X782" s="201"/>
      <c r="Y782" s="201"/>
      <c r="Z782" s="201"/>
      <c r="AA782" s="201"/>
    </row>
    <row r="783">
      <c r="A783" s="201"/>
      <c r="B783" s="201"/>
      <c r="C783" s="201"/>
      <c r="D783" s="201"/>
      <c r="E783" s="201"/>
      <c r="F783" s="201"/>
      <c r="G783" s="201"/>
      <c r="H783" s="209"/>
      <c r="I783" s="209"/>
      <c r="J783" s="201"/>
      <c r="K783" s="210" t="s">
        <v>39</v>
      </c>
      <c r="L783" s="201"/>
      <c r="M783" s="201"/>
      <c r="N783" s="201"/>
      <c r="O783" s="201"/>
      <c r="P783" s="201"/>
      <c r="Q783" s="201"/>
      <c r="R783" s="201"/>
      <c r="S783" s="201"/>
      <c r="T783" s="201"/>
      <c r="U783" s="201"/>
      <c r="V783" s="201"/>
      <c r="W783" s="201"/>
      <c r="X783" s="201"/>
      <c r="Y783" s="201"/>
      <c r="Z783" s="201"/>
      <c r="AA783" s="201"/>
    </row>
    <row r="784">
      <c r="A784" s="201"/>
      <c r="B784" s="201"/>
      <c r="C784" s="201"/>
      <c r="D784" s="201"/>
      <c r="E784" s="201"/>
      <c r="F784" s="201"/>
      <c r="G784" s="201"/>
      <c r="H784" s="209"/>
      <c r="I784" s="209"/>
      <c r="J784" s="201"/>
      <c r="K784" s="210" t="s">
        <v>39</v>
      </c>
      <c r="L784" s="201"/>
      <c r="M784" s="201"/>
      <c r="N784" s="201"/>
      <c r="O784" s="201"/>
      <c r="P784" s="201"/>
      <c r="Q784" s="201"/>
      <c r="R784" s="201"/>
      <c r="S784" s="201"/>
      <c r="T784" s="201"/>
      <c r="U784" s="201"/>
      <c r="V784" s="201"/>
      <c r="W784" s="201"/>
      <c r="X784" s="201"/>
      <c r="Y784" s="201"/>
      <c r="Z784" s="201"/>
      <c r="AA784" s="201"/>
    </row>
    <row r="785">
      <c r="A785" s="201"/>
      <c r="B785" s="201"/>
      <c r="C785" s="201"/>
      <c r="D785" s="201"/>
      <c r="E785" s="201"/>
      <c r="F785" s="201"/>
      <c r="G785" s="201"/>
      <c r="H785" s="209"/>
      <c r="I785" s="209"/>
      <c r="J785" s="201"/>
      <c r="K785" s="210" t="s">
        <v>39</v>
      </c>
      <c r="L785" s="201"/>
      <c r="M785" s="201"/>
      <c r="N785" s="201"/>
      <c r="O785" s="201"/>
      <c r="P785" s="201"/>
      <c r="Q785" s="201"/>
      <c r="R785" s="201"/>
      <c r="S785" s="201"/>
      <c r="T785" s="201"/>
      <c r="U785" s="201"/>
      <c r="V785" s="201"/>
      <c r="W785" s="201"/>
      <c r="X785" s="201"/>
      <c r="Y785" s="201"/>
      <c r="Z785" s="201"/>
      <c r="AA785" s="201"/>
    </row>
    <row r="786">
      <c r="A786" s="201"/>
      <c r="B786" s="201"/>
      <c r="C786" s="201"/>
      <c r="D786" s="201"/>
      <c r="E786" s="201"/>
      <c r="F786" s="201"/>
      <c r="G786" s="201"/>
      <c r="H786" s="209"/>
      <c r="I786" s="209"/>
      <c r="J786" s="201"/>
      <c r="K786" s="210" t="s">
        <v>39</v>
      </c>
      <c r="L786" s="201"/>
      <c r="M786" s="201"/>
      <c r="N786" s="201"/>
      <c r="O786" s="201"/>
      <c r="P786" s="201"/>
      <c r="Q786" s="201"/>
      <c r="R786" s="201"/>
      <c r="S786" s="201"/>
      <c r="T786" s="201"/>
      <c r="U786" s="201"/>
      <c r="V786" s="201"/>
      <c r="W786" s="201"/>
      <c r="X786" s="201"/>
      <c r="Y786" s="201"/>
      <c r="Z786" s="201"/>
      <c r="AA786" s="201"/>
    </row>
    <row r="787">
      <c r="A787" s="201"/>
      <c r="B787" s="201"/>
      <c r="C787" s="201"/>
      <c r="D787" s="201"/>
      <c r="E787" s="201"/>
      <c r="F787" s="201"/>
      <c r="G787" s="201"/>
      <c r="H787" s="209"/>
      <c r="I787" s="209"/>
      <c r="J787" s="201"/>
      <c r="K787" s="210" t="s">
        <v>39</v>
      </c>
      <c r="L787" s="201"/>
      <c r="M787" s="201"/>
      <c r="N787" s="201"/>
      <c r="O787" s="201"/>
      <c r="P787" s="201"/>
      <c r="Q787" s="201"/>
      <c r="R787" s="201"/>
      <c r="S787" s="201"/>
      <c r="T787" s="201"/>
      <c r="U787" s="201"/>
      <c r="V787" s="201"/>
      <c r="W787" s="201"/>
      <c r="X787" s="201"/>
      <c r="Y787" s="201"/>
      <c r="Z787" s="201"/>
      <c r="AA787" s="201"/>
    </row>
    <row r="788">
      <c r="A788" s="201"/>
      <c r="B788" s="201"/>
      <c r="C788" s="201"/>
      <c r="D788" s="201"/>
      <c r="E788" s="201"/>
      <c r="F788" s="201"/>
      <c r="G788" s="201"/>
      <c r="H788" s="209"/>
      <c r="I788" s="209"/>
      <c r="J788" s="201"/>
      <c r="K788" s="210" t="s">
        <v>39</v>
      </c>
      <c r="L788" s="201"/>
      <c r="M788" s="201"/>
      <c r="N788" s="201"/>
      <c r="O788" s="201"/>
      <c r="P788" s="201"/>
      <c r="Q788" s="201"/>
      <c r="R788" s="201"/>
      <c r="S788" s="201"/>
      <c r="T788" s="201"/>
      <c r="U788" s="201"/>
      <c r="V788" s="201"/>
      <c r="W788" s="201"/>
      <c r="X788" s="201"/>
      <c r="Y788" s="201"/>
      <c r="Z788" s="201"/>
      <c r="AA788" s="201"/>
    </row>
    <row r="789">
      <c r="A789" s="201"/>
      <c r="B789" s="201"/>
      <c r="C789" s="201"/>
      <c r="D789" s="201"/>
      <c r="E789" s="201"/>
      <c r="F789" s="201"/>
      <c r="G789" s="201"/>
      <c r="H789" s="209"/>
      <c r="I789" s="209"/>
      <c r="J789" s="201"/>
      <c r="K789" s="210" t="s">
        <v>39</v>
      </c>
      <c r="L789" s="201"/>
      <c r="M789" s="201"/>
      <c r="N789" s="201"/>
      <c r="O789" s="201"/>
      <c r="P789" s="201"/>
      <c r="Q789" s="201"/>
      <c r="R789" s="201"/>
      <c r="S789" s="201"/>
      <c r="T789" s="201"/>
      <c r="U789" s="201"/>
      <c r="V789" s="201"/>
      <c r="W789" s="201"/>
      <c r="X789" s="201"/>
      <c r="Y789" s="201"/>
      <c r="Z789" s="201"/>
      <c r="AA789" s="201"/>
    </row>
    <row r="790">
      <c r="A790" s="201"/>
      <c r="B790" s="201"/>
      <c r="C790" s="201"/>
      <c r="D790" s="201"/>
      <c r="E790" s="201"/>
      <c r="F790" s="201"/>
      <c r="G790" s="201"/>
      <c r="H790" s="209"/>
      <c r="I790" s="209"/>
      <c r="J790" s="201"/>
      <c r="K790" s="210" t="s">
        <v>39</v>
      </c>
      <c r="L790" s="201"/>
      <c r="M790" s="201"/>
      <c r="N790" s="201"/>
      <c r="O790" s="201"/>
      <c r="P790" s="201"/>
      <c r="Q790" s="201"/>
      <c r="R790" s="201"/>
      <c r="S790" s="201"/>
      <c r="T790" s="201"/>
      <c r="U790" s="201"/>
      <c r="V790" s="201"/>
      <c r="W790" s="201"/>
      <c r="X790" s="201"/>
      <c r="Y790" s="201"/>
      <c r="Z790" s="201"/>
      <c r="AA790" s="201"/>
    </row>
    <row r="791">
      <c r="A791" s="201"/>
      <c r="B791" s="201"/>
      <c r="C791" s="201"/>
      <c r="D791" s="201"/>
      <c r="E791" s="201"/>
      <c r="F791" s="201"/>
      <c r="G791" s="201"/>
      <c r="H791" s="209"/>
      <c r="I791" s="209"/>
      <c r="J791" s="201"/>
      <c r="K791" s="210" t="s">
        <v>39</v>
      </c>
      <c r="L791" s="201"/>
      <c r="M791" s="201"/>
      <c r="N791" s="201"/>
      <c r="O791" s="201"/>
      <c r="P791" s="201"/>
      <c r="Q791" s="201"/>
      <c r="R791" s="201"/>
      <c r="S791" s="201"/>
      <c r="T791" s="201"/>
      <c r="U791" s="201"/>
      <c r="V791" s="201"/>
      <c r="W791" s="201"/>
      <c r="X791" s="201"/>
      <c r="Y791" s="201"/>
      <c r="Z791" s="201"/>
      <c r="AA791" s="201"/>
    </row>
    <row r="792">
      <c r="A792" s="201"/>
      <c r="B792" s="201"/>
      <c r="C792" s="201"/>
      <c r="D792" s="201"/>
      <c r="E792" s="201"/>
      <c r="F792" s="201"/>
      <c r="G792" s="201"/>
      <c r="H792" s="209"/>
      <c r="I792" s="209"/>
      <c r="J792" s="201"/>
      <c r="K792" s="210" t="s">
        <v>39</v>
      </c>
      <c r="L792" s="201"/>
      <c r="M792" s="201"/>
      <c r="N792" s="201"/>
      <c r="O792" s="201"/>
      <c r="P792" s="201"/>
      <c r="Q792" s="201"/>
      <c r="R792" s="201"/>
      <c r="S792" s="201"/>
      <c r="T792" s="201"/>
      <c r="U792" s="201"/>
      <c r="V792" s="201"/>
      <c r="W792" s="201"/>
      <c r="X792" s="201"/>
      <c r="Y792" s="201"/>
      <c r="Z792" s="201"/>
      <c r="AA792" s="201"/>
    </row>
    <row r="793">
      <c r="A793" s="201"/>
      <c r="B793" s="201"/>
      <c r="C793" s="201"/>
      <c r="D793" s="201"/>
      <c r="E793" s="201"/>
      <c r="F793" s="201"/>
      <c r="G793" s="201"/>
      <c r="H793" s="209"/>
      <c r="I793" s="209"/>
      <c r="J793" s="201"/>
      <c r="K793" s="210" t="s">
        <v>39</v>
      </c>
      <c r="L793" s="201"/>
      <c r="M793" s="201"/>
      <c r="N793" s="201"/>
      <c r="O793" s="201"/>
      <c r="P793" s="201"/>
      <c r="Q793" s="201"/>
      <c r="R793" s="201"/>
      <c r="S793" s="201"/>
      <c r="T793" s="201"/>
      <c r="U793" s="201"/>
      <c r="V793" s="201"/>
      <c r="W793" s="201"/>
      <c r="X793" s="201"/>
      <c r="Y793" s="201"/>
      <c r="Z793" s="201"/>
      <c r="AA793" s="201"/>
    </row>
    <row r="794">
      <c r="A794" s="201"/>
      <c r="B794" s="201"/>
      <c r="C794" s="201"/>
      <c r="D794" s="201"/>
      <c r="E794" s="201"/>
      <c r="F794" s="201"/>
      <c r="G794" s="201"/>
      <c r="H794" s="209"/>
      <c r="I794" s="209"/>
      <c r="J794" s="201"/>
      <c r="K794" s="210" t="s">
        <v>39</v>
      </c>
      <c r="L794" s="201"/>
      <c r="M794" s="201"/>
      <c r="N794" s="201"/>
      <c r="O794" s="201"/>
      <c r="P794" s="201"/>
      <c r="Q794" s="201"/>
      <c r="R794" s="201"/>
      <c r="S794" s="201"/>
      <c r="T794" s="201"/>
      <c r="U794" s="201"/>
      <c r="V794" s="201"/>
      <c r="W794" s="201"/>
      <c r="X794" s="201"/>
      <c r="Y794" s="201"/>
      <c r="Z794" s="201"/>
      <c r="AA794" s="201"/>
    </row>
    <row r="795">
      <c r="A795" s="201"/>
      <c r="B795" s="201"/>
      <c r="C795" s="201"/>
      <c r="D795" s="201"/>
      <c r="E795" s="201"/>
      <c r="F795" s="201"/>
      <c r="G795" s="201"/>
      <c r="H795" s="209"/>
      <c r="I795" s="209"/>
      <c r="J795" s="201"/>
      <c r="K795" s="210" t="s">
        <v>39</v>
      </c>
      <c r="L795" s="201"/>
      <c r="M795" s="201"/>
      <c r="N795" s="201"/>
      <c r="O795" s="201"/>
      <c r="P795" s="201"/>
      <c r="Q795" s="201"/>
      <c r="R795" s="201"/>
      <c r="S795" s="201"/>
      <c r="T795" s="201"/>
      <c r="U795" s="201"/>
      <c r="V795" s="201"/>
      <c r="W795" s="201"/>
      <c r="X795" s="201"/>
      <c r="Y795" s="201"/>
      <c r="Z795" s="201"/>
      <c r="AA795" s="201"/>
    </row>
    <row r="796">
      <c r="A796" s="201"/>
      <c r="B796" s="201"/>
      <c r="C796" s="201"/>
      <c r="D796" s="201"/>
      <c r="E796" s="201"/>
      <c r="F796" s="201"/>
      <c r="G796" s="201"/>
      <c r="H796" s="209"/>
      <c r="I796" s="209"/>
      <c r="J796" s="201"/>
      <c r="K796" s="210" t="s">
        <v>39</v>
      </c>
      <c r="L796" s="201"/>
      <c r="M796" s="201"/>
      <c r="N796" s="201"/>
      <c r="O796" s="201"/>
      <c r="P796" s="201"/>
      <c r="Q796" s="201"/>
      <c r="R796" s="201"/>
      <c r="S796" s="201"/>
      <c r="T796" s="201"/>
      <c r="U796" s="201"/>
      <c r="V796" s="201"/>
      <c r="W796" s="201"/>
      <c r="X796" s="201"/>
      <c r="Y796" s="201"/>
      <c r="Z796" s="201"/>
      <c r="AA796" s="201"/>
    </row>
    <row r="797">
      <c r="A797" s="201"/>
      <c r="B797" s="201"/>
      <c r="C797" s="201"/>
      <c r="D797" s="201"/>
      <c r="E797" s="201"/>
      <c r="F797" s="201"/>
      <c r="G797" s="201"/>
      <c r="H797" s="209"/>
      <c r="I797" s="209"/>
      <c r="J797" s="201"/>
      <c r="K797" s="210" t="s">
        <v>39</v>
      </c>
      <c r="L797" s="201"/>
      <c r="M797" s="201"/>
      <c r="N797" s="201"/>
      <c r="O797" s="201"/>
      <c r="P797" s="201"/>
      <c r="Q797" s="201"/>
      <c r="R797" s="201"/>
      <c r="S797" s="201"/>
      <c r="T797" s="201"/>
      <c r="U797" s="201"/>
      <c r="V797" s="201"/>
      <c r="W797" s="201"/>
      <c r="X797" s="201"/>
      <c r="Y797" s="201"/>
      <c r="Z797" s="201"/>
      <c r="AA797" s="201"/>
    </row>
    <row r="798">
      <c r="A798" s="201"/>
      <c r="B798" s="201"/>
      <c r="C798" s="201"/>
      <c r="D798" s="201"/>
      <c r="E798" s="201"/>
      <c r="F798" s="201"/>
      <c r="G798" s="201"/>
      <c r="H798" s="209"/>
      <c r="I798" s="209"/>
      <c r="J798" s="201"/>
      <c r="K798" s="210" t="s">
        <v>39</v>
      </c>
      <c r="L798" s="201"/>
      <c r="M798" s="201"/>
      <c r="N798" s="201"/>
      <c r="O798" s="201"/>
      <c r="P798" s="201"/>
      <c r="Q798" s="201"/>
      <c r="R798" s="201"/>
      <c r="S798" s="201"/>
      <c r="T798" s="201"/>
      <c r="U798" s="201"/>
      <c r="V798" s="201"/>
      <c r="W798" s="201"/>
      <c r="X798" s="201"/>
      <c r="Y798" s="201"/>
      <c r="Z798" s="201"/>
      <c r="AA798" s="201"/>
    </row>
    <row r="799">
      <c r="A799" s="201"/>
      <c r="B799" s="201"/>
      <c r="C799" s="201"/>
      <c r="D799" s="201"/>
      <c r="E799" s="201"/>
      <c r="F799" s="201"/>
      <c r="G799" s="201"/>
      <c r="H799" s="209"/>
      <c r="I799" s="209"/>
      <c r="J799" s="201"/>
      <c r="K799" s="210" t="s">
        <v>39</v>
      </c>
      <c r="L799" s="201"/>
      <c r="M799" s="201"/>
      <c r="N799" s="201"/>
      <c r="O799" s="201"/>
      <c r="P799" s="201"/>
      <c r="Q799" s="201"/>
      <c r="R799" s="201"/>
      <c r="S799" s="201"/>
      <c r="T799" s="201"/>
      <c r="U799" s="201"/>
      <c r="V799" s="201"/>
      <c r="W799" s="201"/>
      <c r="X799" s="201"/>
      <c r="Y799" s="201"/>
      <c r="Z799" s="201"/>
      <c r="AA799" s="201"/>
    </row>
    <row r="800">
      <c r="A800" s="201"/>
      <c r="B800" s="201"/>
      <c r="C800" s="201"/>
      <c r="D800" s="201"/>
      <c r="E800" s="201"/>
      <c r="F800" s="201"/>
      <c r="G800" s="201"/>
      <c r="H800" s="209"/>
      <c r="I800" s="209"/>
      <c r="J800" s="201"/>
      <c r="K800" s="210" t="s">
        <v>39</v>
      </c>
      <c r="L800" s="201"/>
      <c r="M800" s="201"/>
      <c r="N800" s="201"/>
      <c r="O800" s="201"/>
      <c r="P800" s="201"/>
      <c r="Q800" s="201"/>
      <c r="R800" s="201"/>
      <c r="S800" s="201"/>
      <c r="T800" s="201"/>
      <c r="U800" s="201"/>
      <c r="V800" s="201"/>
      <c r="W800" s="201"/>
      <c r="X800" s="201"/>
      <c r="Y800" s="201"/>
      <c r="Z800" s="201"/>
      <c r="AA800" s="201"/>
    </row>
    <row r="801">
      <c r="A801" s="201"/>
      <c r="B801" s="201"/>
      <c r="C801" s="201"/>
      <c r="D801" s="201"/>
      <c r="E801" s="201"/>
      <c r="F801" s="201"/>
      <c r="G801" s="201"/>
      <c r="H801" s="209"/>
      <c r="I801" s="209"/>
      <c r="J801" s="201"/>
      <c r="K801" s="210" t="s">
        <v>39</v>
      </c>
      <c r="L801" s="201"/>
      <c r="M801" s="201"/>
      <c r="N801" s="201"/>
      <c r="O801" s="201"/>
      <c r="P801" s="201"/>
      <c r="Q801" s="201"/>
      <c r="R801" s="201"/>
      <c r="S801" s="201"/>
      <c r="T801" s="201"/>
      <c r="U801" s="201"/>
      <c r="V801" s="201"/>
      <c r="W801" s="201"/>
      <c r="X801" s="201"/>
      <c r="Y801" s="201"/>
      <c r="Z801" s="201"/>
      <c r="AA801" s="201"/>
    </row>
    <row r="802">
      <c r="A802" s="201"/>
      <c r="B802" s="201"/>
      <c r="C802" s="201"/>
      <c r="D802" s="201"/>
      <c r="E802" s="201"/>
      <c r="F802" s="201"/>
      <c r="G802" s="201"/>
      <c r="H802" s="209"/>
      <c r="I802" s="209"/>
      <c r="J802" s="201"/>
      <c r="K802" s="210" t="s">
        <v>39</v>
      </c>
      <c r="L802" s="201"/>
      <c r="M802" s="201"/>
      <c r="N802" s="201"/>
      <c r="O802" s="201"/>
      <c r="P802" s="201"/>
      <c r="Q802" s="201"/>
      <c r="R802" s="201"/>
      <c r="S802" s="201"/>
      <c r="T802" s="201"/>
      <c r="U802" s="201"/>
      <c r="V802" s="201"/>
      <c r="W802" s="201"/>
      <c r="X802" s="201"/>
      <c r="Y802" s="201"/>
      <c r="Z802" s="201"/>
      <c r="AA802" s="201"/>
    </row>
    <row r="803">
      <c r="A803" s="201"/>
      <c r="B803" s="201"/>
      <c r="C803" s="201"/>
      <c r="D803" s="201"/>
      <c r="E803" s="201"/>
      <c r="F803" s="201"/>
      <c r="G803" s="201"/>
      <c r="H803" s="209"/>
      <c r="I803" s="209"/>
      <c r="J803" s="201"/>
      <c r="K803" s="210" t="s">
        <v>39</v>
      </c>
      <c r="L803" s="201"/>
      <c r="M803" s="201"/>
      <c r="N803" s="201"/>
      <c r="O803" s="201"/>
      <c r="P803" s="201"/>
      <c r="Q803" s="201"/>
      <c r="R803" s="201"/>
      <c r="S803" s="201"/>
      <c r="T803" s="201"/>
      <c r="U803" s="201"/>
      <c r="V803" s="201"/>
      <c r="W803" s="201"/>
      <c r="X803" s="201"/>
      <c r="Y803" s="201"/>
      <c r="Z803" s="201"/>
      <c r="AA803" s="201"/>
    </row>
    <row r="804">
      <c r="A804" s="201"/>
      <c r="B804" s="201"/>
      <c r="C804" s="201"/>
      <c r="D804" s="201"/>
      <c r="E804" s="201"/>
      <c r="F804" s="201"/>
      <c r="G804" s="201"/>
      <c r="H804" s="209"/>
      <c r="I804" s="209"/>
      <c r="J804" s="201"/>
      <c r="K804" s="210" t="s">
        <v>39</v>
      </c>
      <c r="L804" s="201"/>
      <c r="M804" s="201"/>
      <c r="N804" s="201"/>
      <c r="O804" s="201"/>
      <c r="P804" s="201"/>
      <c r="Q804" s="201"/>
      <c r="R804" s="201"/>
      <c r="S804" s="201"/>
      <c r="T804" s="201"/>
      <c r="U804" s="201"/>
      <c r="V804" s="201"/>
      <c r="W804" s="201"/>
      <c r="X804" s="201"/>
      <c r="Y804" s="201"/>
      <c r="Z804" s="201"/>
      <c r="AA804" s="201"/>
    </row>
    <row r="805">
      <c r="A805" s="201"/>
      <c r="B805" s="201"/>
      <c r="C805" s="201"/>
      <c r="D805" s="201"/>
      <c r="E805" s="201"/>
      <c r="F805" s="201"/>
      <c r="G805" s="201"/>
      <c r="H805" s="209"/>
      <c r="I805" s="209"/>
      <c r="J805" s="201"/>
      <c r="K805" s="210" t="s">
        <v>39</v>
      </c>
      <c r="L805" s="201"/>
      <c r="M805" s="201"/>
      <c r="N805" s="201"/>
      <c r="O805" s="201"/>
      <c r="P805" s="201"/>
      <c r="Q805" s="201"/>
      <c r="R805" s="201"/>
      <c r="S805" s="201"/>
      <c r="T805" s="201"/>
      <c r="U805" s="201"/>
      <c r="V805" s="201"/>
      <c r="W805" s="201"/>
      <c r="X805" s="201"/>
      <c r="Y805" s="201"/>
      <c r="Z805" s="201"/>
      <c r="AA805" s="201"/>
    </row>
    <row r="806">
      <c r="A806" s="201"/>
      <c r="B806" s="201"/>
      <c r="C806" s="201"/>
      <c r="D806" s="201"/>
      <c r="E806" s="201"/>
      <c r="F806" s="201"/>
      <c r="G806" s="201"/>
      <c r="H806" s="209"/>
      <c r="I806" s="209"/>
      <c r="J806" s="201"/>
      <c r="K806" s="210" t="s">
        <v>39</v>
      </c>
      <c r="L806" s="201"/>
      <c r="M806" s="201"/>
      <c r="N806" s="201"/>
      <c r="O806" s="201"/>
      <c r="P806" s="201"/>
      <c r="Q806" s="201"/>
      <c r="R806" s="201"/>
      <c r="S806" s="201"/>
      <c r="T806" s="201"/>
      <c r="U806" s="201"/>
      <c r="V806" s="201"/>
      <c r="W806" s="201"/>
      <c r="X806" s="201"/>
      <c r="Y806" s="201"/>
      <c r="Z806" s="201"/>
      <c r="AA806" s="201"/>
    </row>
    <row r="807">
      <c r="A807" s="201"/>
      <c r="B807" s="201"/>
      <c r="C807" s="201"/>
      <c r="D807" s="201"/>
      <c r="E807" s="201"/>
      <c r="F807" s="201"/>
      <c r="G807" s="201"/>
      <c r="H807" s="209"/>
      <c r="I807" s="209"/>
      <c r="J807" s="201"/>
      <c r="K807" s="210" t="s">
        <v>39</v>
      </c>
      <c r="L807" s="201"/>
      <c r="M807" s="201"/>
      <c r="N807" s="201"/>
      <c r="O807" s="201"/>
      <c r="P807" s="201"/>
      <c r="Q807" s="201"/>
      <c r="R807" s="201"/>
      <c r="S807" s="201"/>
      <c r="T807" s="201"/>
      <c r="U807" s="201"/>
      <c r="V807" s="201"/>
      <c r="W807" s="201"/>
      <c r="X807" s="201"/>
      <c r="Y807" s="201"/>
      <c r="Z807" s="201"/>
      <c r="AA807" s="201"/>
    </row>
    <row r="808">
      <c r="A808" s="201"/>
      <c r="B808" s="201"/>
      <c r="C808" s="201"/>
      <c r="D808" s="201"/>
      <c r="E808" s="201"/>
      <c r="F808" s="201"/>
      <c r="G808" s="201"/>
      <c r="H808" s="209"/>
      <c r="I808" s="209"/>
      <c r="J808" s="201"/>
      <c r="K808" s="210" t="s">
        <v>39</v>
      </c>
      <c r="L808" s="201"/>
      <c r="M808" s="201"/>
      <c r="N808" s="201"/>
      <c r="O808" s="201"/>
      <c r="P808" s="201"/>
      <c r="Q808" s="201"/>
      <c r="R808" s="201"/>
      <c r="S808" s="201"/>
      <c r="T808" s="201"/>
      <c r="U808" s="201"/>
      <c r="V808" s="201"/>
      <c r="W808" s="201"/>
      <c r="X808" s="201"/>
      <c r="Y808" s="201"/>
      <c r="Z808" s="201"/>
      <c r="AA808" s="201"/>
    </row>
    <row r="809">
      <c r="A809" s="201"/>
      <c r="B809" s="201"/>
      <c r="C809" s="201"/>
      <c r="D809" s="201"/>
      <c r="E809" s="201"/>
      <c r="F809" s="201"/>
      <c r="G809" s="201"/>
      <c r="H809" s="209"/>
      <c r="I809" s="209"/>
      <c r="J809" s="201"/>
      <c r="K809" s="210" t="s">
        <v>39</v>
      </c>
      <c r="L809" s="201"/>
      <c r="M809" s="201"/>
      <c r="N809" s="201"/>
      <c r="O809" s="201"/>
      <c r="P809" s="201"/>
      <c r="Q809" s="201"/>
      <c r="R809" s="201"/>
      <c r="S809" s="201"/>
      <c r="T809" s="201"/>
      <c r="U809" s="201"/>
      <c r="V809" s="201"/>
      <c r="W809" s="201"/>
      <c r="X809" s="201"/>
      <c r="Y809" s="201"/>
      <c r="Z809" s="201"/>
      <c r="AA809" s="201"/>
    </row>
    <row r="810">
      <c r="A810" s="201"/>
      <c r="B810" s="201"/>
      <c r="C810" s="201"/>
      <c r="D810" s="201"/>
      <c r="E810" s="201"/>
      <c r="F810" s="201"/>
      <c r="G810" s="201"/>
      <c r="H810" s="209"/>
      <c r="I810" s="209"/>
      <c r="J810" s="201"/>
      <c r="K810" s="210" t="s">
        <v>39</v>
      </c>
      <c r="L810" s="201"/>
      <c r="M810" s="201"/>
      <c r="N810" s="201"/>
      <c r="O810" s="201"/>
      <c r="P810" s="201"/>
      <c r="Q810" s="201"/>
      <c r="R810" s="201"/>
      <c r="S810" s="201"/>
      <c r="T810" s="201"/>
      <c r="U810" s="201"/>
      <c r="V810" s="201"/>
      <c r="W810" s="201"/>
      <c r="X810" s="201"/>
      <c r="Y810" s="201"/>
      <c r="Z810" s="201"/>
      <c r="AA810" s="201"/>
    </row>
    <row r="811">
      <c r="A811" s="201"/>
      <c r="B811" s="201"/>
      <c r="C811" s="201"/>
      <c r="D811" s="201"/>
      <c r="E811" s="201"/>
      <c r="F811" s="201"/>
      <c r="G811" s="201"/>
      <c r="H811" s="209"/>
      <c r="I811" s="209"/>
      <c r="J811" s="201"/>
      <c r="K811" s="210" t="s">
        <v>39</v>
      </c>
      <c r="L811" s="201"/>
      <c r="M811" s="201"/>
      <c r="N811" s="201"/>
      <c r="O811" s="201"/>
      <c r="P811" s="201"/>
      <c r="Q811" s="201"/>
      <c r="R811" s="201"/>
      <c r="S811" s="201"/>
      <c r="T811" s="201"/>
      <c r="U811" s="201"/>
      <c r="V811" s="201"/>
      <c r="W811" s="201"/>
      <c r="X811" s="201"/>
      <c r="Y811" s="201"/>
      <c r="Z811" s="201"/>
      <c r="AA811" s="201"/>
    </row>
    <row r="812">
      <c r="A812" s="201"/>
      <c r="B812" s="201"/>
      <c r="C812" s="201"/>
      <c r="D812" s="201"/>
      <c r="E812" s="201"/>
      <c r="F812" s="201"/>
      <c r="G812" s="201"/>
      <c r="H812" s="209"/>
      <c r="I812" s="209"/>
      <c r="J812" s="201"/>
      <c r="K812" s="210" t="s">
        <v>39</v>
      </c>
      <c r="L812" s="201"/>
      <c r="M812" s="201"/>
      <c r="N812" s="201"/>
      <c r="O812" s="201"/>
      <c r="P812" s="201"/>
      <c r="Q812" s="201"/>
      <c r="R812" s="201"/>
      <c r="S812" s="201"/>
      <c r="T812" s="201"/>
      <c r="U812" s="201"/>
      <c r="V812" s="201"/>
      <c r="W812" s="201"/>
      <c r="X812" s="201"/>
      <c r="Y812" s="201"/>
      <c r="Z812" s="201"/>
      <c r="AA812" s="201"/>
    </row>
    <row r="813">
      <c r="A813" s="201"/>
      <c r="B813" s="201"/>
      <c r="C813" s="201"/>
      <c r="D813" s="201"/>
      <c r="E813" s="201"/>
      <c r="F813" s="201"/>
      <c r="G813" s="201"/>
      <c r="H813" s="209"/>
      <c r="I813" s="209"/>
      <c r="J813" s="201"/>
      <c r="K813" s="210" t="s">
        <v>39</v>
      </c>
      <c r="L813" s="201"/>
      <c r="M813" s="201"/>
      <c r="N813" s="201"/>
      <c r="O813" s="201"/>
      <c r="P813" s="201"/>
      <c r="Q813" s="201"/>
      <c r="R813" s="201"/>
      <c r="S813" s="201"/>
      <c r="T813" s="201"/>
      <c r="U813" s="201"/>
      <c r="V813" s="201"/>
      <c r="W813" s="201"/>
      <c r="X813" s="201"/>
      <c r="Y813" s="201"/>
      <c r="Z813" s="201"/>
      <c r="AA813" s="201"/>
    </row>
    <row r="814">
      <c r="A814" s="201"/>
      <c r="B814" s="201"/>
      <c r="C814" s="201"/>
      <c r="D814" s="201"/>
      <c r="E814" s="201"/>
      <c r="F814" s="201"/>
      <c r="G814" s="201"/>
      <c r="H814" s="209"/>
      <c r="I814" s="209"/>
      <c r="J814" s="201"/>
      <c r="K814" s="210" t="s">
        <v>39</v>
      </c>
      <c r="L814" s="201"/>
      <c r="M814" s="201"/>
      <c r="N814" s="201"/>
      <c r="O814" s="201"/>
      <c r="P814" s="201"/>
      <c r="Q814" s="201"/>
      <c r="R814" s="201"/>
      <c r="S814" s="201"/>
      <c r="T814" s="201"/>
      <c r="U814" s="201"/>
      <c r="V814" s="201"/>
      <c r="W814" s="201"/>
      <c r="X814" s="201"/>
      <c r="Y814" s="201"/>
      <c r="Z814" s="201"/>
      <c r="AA814" s="201"/>
    </row>
    <row r="815">
      <c r="A815" s="201"/>
      <c r="B815" s="201"/>
      <c r="C815" s="201"/>
      <c r="D815" s="201"/>
      <c r="E815" s="201"/>
      <c r="F815" s="201"/>
      <c r="G815" s="201"/>
      <c r="H815" s="209"/>
      <c r="I815" s="209"/>
      <c r="J815" s="201"/>
      <c r="K815" s="210" t="s">
        <v>39</v>
      </c>
      <c r="L815" s="201"/>
      <c r="M815" s="201"/>
      <c r="N815" s="201"/>
      <c r="O815" s="201"/>
      <c r="P815" s="201"/>
      <c r="Q815" s="201"/>
      <c r="R815" s="201"/>
      <c r="S815" s="201"/>
      <c r="T815" s="201"/>
      <c r="U815" s="201"/>
      <c r="V815" s="201"/>
      <c r="W815" s="201"/>
      <c r="X815" s="201"/>
      <c r="Y815" s="201"/>
      <c r="Z815" s="201"/>
      <c r="AA815" s="201"/>
    </row>
    <row r="816">
      <c r="A816" s="201"/>
      <c r="B816" s="201"/>
      <c r="C816" s="201"/>
      <c r="D816" s="201"/>
      <c r="E816" s="201"/>
      <c r="F816" s="201"/>
      <c r="G816" s="201"/>
      <c r="H816" s="209"/>
      <c r="I816" s="209"/>
      <c r="J816" s="201"/>
      <c r="K816" s="210" t="s">
        <v>39</v>
      </c>
      <c r="L816" s="201"/>
      <c r="M816" s="201"/>
      <c r="N816" s="201"/>
      <c r="O816" s="201"/>
      <c r="P816" s="201"/>
      <c r="Q816" s="201"/>
      <c r="R816" s="201"/>
      <c r="S816" s="201"/>
      <c r="T816" s="201"/>
      <c r="U816" s="201"/>
      <c r="V816" s="201"/>
      <c r="W816" s="201"/>
      <c r="X816" s="201"/>
      <c r="Y816" s="201"/>
      <c r="Z816" s="201"/>
      <c r="AA816" s="201"/>
    </row>
    <row r="817">
      <c r="A817" s="201"/>
      <c r="B817" s="201"/>
      <c r="C817" s="201"/>
      <c r="D817" s="201"/>
      <c r="E817" s="201"/>
      <c r="F817" s="201"/>
      <c r="G817" s="201"/>
      <c r="H817" s="209"/>
      <c r="I817" s="209"/>
      <c r="J817" s="201"/>
      <c r="K817" s="210" t="s">
        <v>39</v>
      </c>
      <c r="L817" s="201"/>
      <c r="M817" s="201"/>
      <c r="N817" s="201"/>
      <c r="O817" s="201"/>
      <c r="P817" s="201"/>
      <c r="Q817" s="201"/>
      <c r="R817" s="201"/>
      <c r="S817" s="201"/>
      <c r="T817" s="201"/>
      <c r="U817" s="201"/>
      <c r="V817" s="201"/>
      <c r="W817" s="201"/>
      <c r="X817" s="201"/>
      <c r="Y817" s="201"/>
      <c r="Z817" s="201"/>
      <c r="AA817" s="201"/>
    </row>
    <row r="818">
      <c r="A818" s="201"/>
      <c r="B818" s="201"/>
      <c r="C818" s="201"/>
      <c r="D818" s="201"/>
      <c r="E818" s="201"/>
      <c r="F818" s="201"/>
      <c r="G818" s="201"/>
      <c r="H818" s="209"/>
      <c r="I818" s="209"/>
      <c r="J818" s="201"/>
      <c r="K818" s="210" t="s">
        <v>39</v>
      </c>
      <c r="L818" s="201"/>
      <c r="M818" s="201"/>
      <c r="N818" s="201"/>
      <c r="O818" s="201"/>
      <c r="P818" s="201"/>
      <c r="Q818" s="201"/>
      <c r="R818" s="201"/>
      <c r="S818" s="201"/>
      <c r="T818" s="201"/>
      <c r="U818" s="201"/>
      <c r="V818" s="201"/>
      <c r="W818" s="201"/>
      <c r="X818" s="201"/>
      <c r="Y818" s="201"/>
      <c r="Z818" s="201"/>
      <c r="AA818" s="201"/>
    </row>
    <row r="819">
      <c r="A819" s="201"/>
      <c r="B819" s="201"/>
      <c r="C819" s="201"/>
      <c r="D819" s="201"/>
      <c r="E819" s="201"/>
      <c r="F819" s="201"/>
      <c r="G819" s="201"/>
      <c r="H819" s="209"/>
      <c r="I819" s="209"/>
      <c r="J819" s="201"/>
      <c r="K819" s="210" t="s">
        <v>39</v>
      </c>
      <c r="L819" s="201"/>
      <c r="M819" s="201"/>
      <c r="N819" s="201"/>
      <c r="O819" s="201"/>
      <c r="P819" s="201"/>
      <c r="Q819" s="201"/>
      <c r="R819" s="201"/>
      <c r="S819" s="201"/>
      <c r="T819" s="201"/>
      <c r="U819" s="201"/>
      <c r="V819" s="201"/>
      <c r="W819" s="201"/>
      <c r="X819" s="201"/>
      <c r="Y819" s="201"/>
      <c r="Z819" s="201"/>
      <c r="AA819" s="201"/>
    </row>
    <row r="820">
      <c r="A820" s="201"/>
      <c r="B820" s="201"/>
      <c r="C820" s="201"/>
      <c r="D820" s="201"/>
      <c r="E820" s="201"/>
      <c r="F820" s="201"/>
      <c r="G820" s="201"/>
      <c r="H820" s="209"/>
      <c r="I820" s="209"/>
      <c r="J820" s="201"/>
      <c r="K820" s="210" t="s">
        <v>39</v>
      </c>
      <c r="L820" s="201"/>
      <c r="M820" s="201"/>
      <c r="N820" s="201"/>
      <c r="O820" s="201"/>
      <c r="P820" s="201"/>
      <c r="Q820" s="201"/>
      <c r="R820" s="201"/>
      <c r="S820" s="201"/>
      <c r="T820" s="201"/>
      <c r="U820" s="201"/>
      <c r="V820" s="201"/>
      <c r="W820" s="201"/>
      <c r="X820" s="201"/>
      <c r="Y820" s="201"/>
      <c r="Z820" s="201"/>
      <c r="AA820" s="201"/>
    </row>
    <row r="821">
      <c r="A821" s="201"/>
      <c r="B821" s="201"/>
      <c r="C821" s="201"/>
      <c r="D821" s="201"/>
      <c r="E821" s="201"/>
      <c r="F821" s="201"/>
      <c r="G821" s="201"/>
      <c r="H821" s="209"/>
      <c r="I821" s="209"/>
      <c r="J821" s="201"/>
      <c r="K821" s="210" t="s">
        <v>39</v>
      </c>
      <c r="L821" s="201"/>
      <c r="M821" s="201"/>
      <c r="N821" s="201"/>
      <c r="O821" s="201"/>
      <c r="P821" s="201"/>
      <c r="Q821" s="201"/>
      <c r="R821" s="201"/>
      <c r="S821" s="201"/>
      <c r="T821" s="201"/>
      <c r="U821" s="201"/>
      <c r="V821" s="201"/>
      <c r="W821" s="201"/>
      <c r="X821" s="201"/>
      <c r="Y821" s="201"/>
      <c r="Z821" s="201"/>
      <c r="AA821" s="201"/>
    </row>
    <row r="822">
      <c r="A822" s="201"/>
      <c r="B822" s="201"/>
      <c r="C822" s="201"/>
      <c r="D822" s="201"/>
      <c r="E822" s="201"/>
      <c r="F822" s="201"/>
      <c r="G822" s="201"/>
      <c r="H822" s="209"/>
      <c r="I822" s="209"/>
      <c r="J822" s="201"/>
      <c r="K822" s="210" t="s">
        <v>39</v>
      </c>
      <c r="L822" s="201"/>
      <c r="M822" s="201"/>
      <c r="N822" s="201"/>
      <c r="O822" s="201"/>
      <c r="P822" s="201"/>
      <c r="Q822" s="201"/>
      <c r="R822" s="201"/>
      <c r="S822" s="201"/>
      <c r="T822" s="201"/>
      <c r="U822" s="201"/>
      <c r="V822" s="201"/>
      <c r="W822" s="201"/>
      <c r="X822" s="201"/>
      <c r="Y822" s="201"/>
      <c r="Z822" s="201"/>
      <c r="AA822" s="201"/>
    </row>
    <row r="823">
      <c r="A823" s="201"/>
      <c r="B823" s="201"/>
      <c r="C823" s="201"/>
      <c r="D823" s="201"/>
      <c r="E823" s="201"/>
      <c r="F823" s="201"/>
      <c r="G823" s="201"/>
      <c r="H823" s="209"/>
      <c r="I823" s="209"/>
      <c r="J823" s="201"/>
      <c r="K823" s="210" t="s">
        <v>39</v>
      </c>
      <c r="L823" s="201"/>
      <c r="M823" s="201"/>
      <c r="N823" s="201"/>
      <c r="O823" s="201"/>
      <c r="P823" s="201"/>
      <c r="Q823" s="201"/>
      <c r="R823" s="201"/>
      <c r="S823" s="201"/>
      <c r="T823" s="201"/>
      <c r="U823" s="201"/>
      <c r="V823" s="201"/>
      <c r="W823" s="201"/>
      <c r="X823" s="201"/>
      <c r="Y823" s="201"/>
      <c r="Z823" s="201"/>
      <c r="AA823" s="201"/>
    </row>
    <row r="824">
      <c r="A824" s="201"/>
      <c r="B824" s="201"/>
      <c r="C824" s="201"/>
      <c r="D824" s="201"/>
      <c r="E824" s="201"/>
      <c r="F824" s="201"/>
      <c r="G824" s="201"/>
      <c r="H824" s="209"/>
      <c r="I824" s="209"/>
      <c r="J824" s="201"/>
      <c r="K824" s="210" t="s">
        <v>39</v>
      </c>
      <c r="L824" s="201"/>
      <c r="M824" s="201"/>
      <c r="N824" s="201"/>
      <c r="O824" s="201"/>
      <c r="P824" s="201"/>
      <c r="Q824" s="201"/>
      <c r="R824" s="201"/>
      <c r="S824" s="201"/>
      <c r="T824" s="201"/>
      <c r="U824" s="201"/>
      <c r="V824" s="201"/>
      <c r="W824" s="201"/>
      <c r="X824" s="201"/>
      <c r="Y824" s="201"/>
      <c r="Z824" s="201"/>
      <c r="AA824" s="201"/>
    </row>
    <row r="825">
      <c r="A825" s="201"/>
      <c r="B825" s="201"/>
      <c r="C825" s="201"/>
      <c r="D825" s="201"/>
      <c r="E825" s="201"/>
      <c r="F825" s="201"/>
      <c r="G825" s="201"/>
      <c r="H825" s="209"/>
      <c r="I825" s="209"/>
      <c r="J825" s="201"/>
      <c r="K825" s="210" t="s">
        <v>39</v>
      </c>
      <c r="L825" s="201"/>
      <c r="M825" s="201"/>
      <c r="N825" s="201"/>
      <c r="O825" s="201"/>
      <c r="P825" s="201"/>
      <c r="Q825" s="201"/>
      <c r="R825" s="201"/>
      <c r="S825" s="201"/>
      <c r="T825" s="201"/>
      <c r="U825" s="201"/>
      <c r="V825" s="201"/>
      <c r="W825" s="201"/>
      <c r="X825" s="201"/>
      <c r="Y825" s="201"/>
      <c r="Z825" s="201"/>
      <c r="AA825" s="201"/>
    </row>
    <row r="826">
      <c r="A826" s="201"/>
      <c r="B826" s="201"/>
      <c r="C826" s="201"/>
      <c r="D826" s="201"/>
      <c r="E826" s="201"/>
      <c r="F826" s="201"/>
      <c r="G826" s="201"/>
      <c r="H826" s="209"/>
      <c r="I826" s="209"/>
      <c r="J826" s="201"/>
      <c r="K826" s="210" t="s">
        <v>39</v>
      </c>
      <c r="L826" s="201"/>
      <c r="M826" s="201"/>
      <c r="N826" s="201"/>
      <c r="O826" s="201"/>
      <c r="P826" s="201"/>
      <c r="Q826" s="201"/>
      <c r="R826" s="201"/>
      <c r="S826" s="201"/>
      <c r="T826" s="201"/>
      <c r="U826" s="201"/>
      <c r="V826" s="201"/>
      <c r="W826" s="201"/>
      <c r="X826" s="201"/>
      <c r="Y826" s="201"/>
      <c r="Z826" s="201"/>
      <c r="AA826" s="201"/>
    </row>
    <row r="827">
      <c r="A827" s="201"/>
      <c r="B827" s="201"/>
      <c r="C827" s="201"/>
      <c r="D827" s="201"/>
      <c r="E827" s="201"/>
      <c r="F827" s="201"/>
      <c r="G827" s="201"/>
      <c r="H827" s="209"/>
      <c r="I827" s="209"/>
      <c r="J827" s="201"/>
      <c r="K827" s="210" t="s">
        <v>39</v>
      </c>
      <c r="L827" s="201"/>
      <c r="M827" s="201"/>
      <c r="N827" s="201"/>
      <c r="O827" s="201"/>
      <c r="P827" s="201"/>
      <c r="Q827" s="201"/>
      <c r="R827" s="201"/>
      <c r="S827" s="201"/>
      <c r="T827" s="201"/>
      <c r="U827" s="201"/>
      <c r="V827" s="201"/>
      <c r="W827" s="201"/>
      <c r="X827" s="201"/>
      <c r="Y827" s="201"/>
      <c r="Z827" s="201"/>
      <c r="AA827" s="201"/>
    </row>
    <row r="828">
      <c r="A828" s="201"/>
      <c r="B828" s="201"/>
      <c r="C828" s="201"/>
      <c r="D828" s="201"/>
      <c r="E828" s="201"/>
      <c r="F828" s="201"/>
      <c r="G828" s="201"/>
      <c r="H828" s="209"/>
      <c r="I828" s="209"/>
      <c r="J828" s="201"/>
      <c r="K828" s="210" t="s">
        <v>39</v>
      </c>
      <c r="L828" s="201"/>
      <c r="M828" s="201"/>
      <c r="N828" s="201"/>
      <c r="O828" s="201"/>
      <c r="P828" s="201"/>
      <c r="Q828" s="201"/>
      <c r="R828" s="201"/>
      <c r="S828" s="201"/>
      <c r="T828" s="201"/>
      <c r="U828" s="201"/>
      <c r="V828" s="201"/>
      <c r="W828" s="201"/>
      <c r="X828" s="201"/>
      <c r="Y828" s="201"/>
      <c r="Z828" s="201"/>
      <c r="AA828" s="201"/>
    </row>
    <row r="829">
      <c r="A829" s="201"/>
      <c r="B829" s="201"/>
      <c r="C829" s="201"/>
      <c r="D829" s="201"/>
      <c r="E829" s="201"/>
      <c r="F829" s="201"/>
      <c r="G829" s="201"/>
      <c r="H829" s="209"/>
      <c r="I829" s="209"/>
      <c r="J829" s="201"/>
      <c r="K829" s="210" t="s">
        <v>39</v>
      </c>
      <c r="L829" s="201"/>
      <c r="M829" s="201"/>
      <c r="N829" s="201"/>
      <c r="O829" s="201"/>
      <c r="P829" s="201"/>
      <c r="Q829" s="201"/>
      <c r="R829" s="201"/>
      <c r="S829" s="201"/>
      <c r="T829" s="201"/>
      <c r="U829" s="201"/>
      <c r="V829" s="201"/>
      <c r="W829" s="201"/>
      <c r="X829" s="201"/>
      <c r="Y829" s="201"/>
      <c r="Z829" s="201"/>
      <c r="AA829" s="201"/>
    </row>
    <row r="830">
      <c r="A830" s="201"/>
      <c r="B830" s="201"/>
      <c r="C830" s="201"/>
      <c r="D830" s="201"/>
      <c r="E830" s="201"/>
      <c r="F830" s="201"/>
      <c r="G830" s="201"/>
      <c r="H830" s="209"/>
      <c r="I830" s="209"/>
      <c r="J830" s="201"/>
      <c r="K830" s="210" t="s">
        <v>39</v>
      </c>
      <c r="L830" s="201"/>
      <c r="M830" s="201"/>
      <c r="N830" s="201"/>
      <c r="O830" s="201"/>
      <c r="P830" s="201"/>
      <c r="Q830" s="201"/>
      <c r="R830" s="201"/>
      <c r="S830" s="201"/>
      <c r="T830" s="201"/>
      <c r="U830" s="201"/>
      <c r="V830" s="201"/>
      <c r="W830" s="201"/>
      <c r="X830" s="201"/>
      <c r="Y830" s="201"/>
      <c r="Z830" s="201"/>
      <c r="AA830" s="201"/>
    </row>
    <row r="831">
      <c r="A831" s="201"/>
      <c r="B831" s="201"/>
      <c r="C831" s="201"/>
      <c r="D831" s="201"/>
      <c r="E831" s="201"/>
      <c r="F831" s="201"/>
      <c r="G831" s="201"/>
      <c r="H831" s="209"/>
      <c r="I831" s="209"/>
      <c r="J831" s="201"/>
      <c r="K831" s="210" t="s">
        <v>39</v>
      </c>
      <c r="L831" s="201"/>
      <c r="M831" s="201"/>
      <c r="N831" s="201"/>
      <c r="O831" s="201"/>
      <c r="P831" s="201"/>
      <c r="Q831" s="201"/>
      <c r="R831" s="201"/>
      <c r="S831" s="201"/>
      <c r="T831" s="201"/>
      <c r="U831" s="201"/>
      <c r="V831" s="201"/>
      <c r="W831" s="201"/>
      <c r="X831" s="201"/>
      <c r="Y831" s="201"/>
      <c r="Z831" s="201"/>
      <c r="AA831" s="201"/>
    </row>
    <row r="832">
      <c r="A832" s="201"/>
      <c r="B832" s="201"/>
      <c r="C832" s="201"/>
      <c r="D832" s="201"/>
      <c r="E832" s="201"/>
      <c r="F832" s="201"/>
      <c r="G832" s="201"/>
      <c r="H832" s="209"/>
      <c r="I832" s="209"/>
      <c r="J832" s="201"/>
      <c r="K832" s="210" t="s">
        <v>39</v>
      </c>
      <c r="L832" s="201"/>
      <c r="M832" s="201"/>
      <c r="N832" s="201"/>
      <c r="O832" s="201"/>
      <c r="P832" s="201"/>
      <c r="Q832" s="201"/>
      <c r="R832" s="201"/>
      <c r="S832" s="201"/>
      <c r="T832" s="201"/>
      <c r="U832" s="201"/>
      <c r="V832" s="201"/>
      <c r="W832" s="201"/>
      <c r="X832" s="201"/>
      <c r="Y832" s="201"/>
      <c r="Z832" s="201"/>
      <c r="AA832" s="201"/>
    </row>
    <row r="833">
      <c r="A833" s="201"/>
      <c r="B833" s="201"/>
      <c r="C833" s="201"/>
      <c r="D833" s="201"/>
      <c r="E833" s="201"/>
      <c r="F833" s="201"/>
      <c r="G833" s="201"/>
      <c r="H833" s="209"/>
      <c r="I833" s="209"/>
      <c r="J833" s="201"/>
      <c r="K833" s="210" t="s">
        <v>39</v>
      </c>
      <c r="L833" s="201"/>
      <c r="M833" s="201"/>
      <c r="N833" s="201"/>
      <c r="O833" s="201"/>
      <c r="P833" s="201"/>
      <c r="Q833" s="201"/>
      <c r="R833" s="201"/>
      <c r="S833" s="201"/>
      <c r="T833" s="201"/>
      <c r="U833" s="201"/>
      <c r="V833" s="201"/>
      <c r="W833" s="201"/>
      <c r="X833" s="201"/>
      <c r="Y833" s="201"/>
      <c r="Z833" s="201"/>
      <c r="AA833" s="201"/>
    </row>
    <row r="834">
      <c r="A834" s="201"/>
      <c r="B834" s="201"/>
      <c r="C834" s="201"/>
      <c r="D834" s="201"/>
      <c r="E834" s="201"/>
      <c r="F834" s="201"/>
      <c r="G834" s="201"/>
      <c r="H834" s="209"/>
      <c r="I834" s="209"/>
      <c r="J834" s="201"/>
      <c r="K834" s="210" t="s">
        <v>39</v>
      </c>
      <c r="L834" s="201"/>
      <c r="M834" s="201"/>
      <c r="N834" s="201"/>
      <c r="O834" s="201"/>
      <c r="P834" s="201"/>
      <c r="Q834" s="201"/>
      <c r="R834" s="201"/>
      <c r="S834" s="201"/>
      <c r="T834" s="201"/>
      <c r="U834" s="201"/>
      <c r="V834" s="201"/>
      <c r="W834" s="201"/>
      <c r="X834" s="201"/>
      <c r="Y834" s="201"/>
      <c r="Z834" s="201"/>
      <c r="AA834" s="201"/>
    </row>
    <row r="835">
      <c r="A835" s="201"/>
      <c r="B835" s="201"/>
      <c r="C835" s="201"/>
      <c r="D835" s="201"/>
      <c r="E835" s="201"/>
      <c r="F835" s="201"/>
      <c r="G835" s="201"/>
      <c r="H835" s="209"/>
      <c r="I835" s="209"/>
      <c r="J835" s="201"/>
      <c r="K835" s="210" t="s">
        <v>39</v>
      </c>
      <c r="L835" s="201"/>
      <c r="M835" s="201"/>
      <c r="N835" s="201"/>
      <c r="O835" s="201"/>
      <c r="P835" s="201"/>
      <c r="Q835" s="201"/>
      <c r="R835" s="201"/>
      <c r="S835" s="201"/>
      <c r="T835" s="201"/>
      <c r="U835" s="201"/>
      <c r="V835" s="201"/>
      <c r="W835" s="201"/>
      <c r="X835" s="201"/>
      <c r="Y835" s="201"/>
      <c r="Z835" s="201"/>
      <c r="AA835" s="201"/>
    </row>
    <row r="836">
      <c r="A836" s="201"/>
      <c r="B836" s="201"/>
      <c r="C836" s="201"/>
      <c r="D836" s="201"/>
      <c r="E836" s="201"/>
      <c r="F836" s="201"/>
      <c r="G836" s="201"/>
      <c r="H836" s="209"/>
      <c r="I836" s="209"/>
      <c r="J836" s="201"/>
      <c r="K836" s="210" t="s">
        <v>39</v>
      </c>
      <c r="L836" s="201"/>
      <c r="M836" s="201"/>
      <c r="N836" s="201"/>
      <c r="O836" s="201"/>
      <c r="P836" s="201"/>
      <c r="Q836" s="201"/>
      <c r="R836" s="201"/>
      <c r="S836" s="201"/>
      <c r="T836" s="201"/>
      <c r="U836" s="201"/>
      <c r="V836" s="201"/>
      <c r="W836" s="201"/>
      <c r="X836" s="201"/>
      <c r="Y836" s="201"/>
      <c r="Z836" s="201"/>
      <c r="AA836" s="201"/>
    </row>
    <row r="837">
      <c r="A837" s="201"/>
      <c r="B837" s="201"/>
      <c r="C837" s="201"/>
      <c r="D837" s="201"/>
      <c r="E837" s="201"/>
      <c r="F837" s="201"/>
      <c r="G837" s="201"/>
      <c r="H837" s="209"/>
      <c r="I837" s="209"/>
      <c r="J837" s="201"/>
      <c r="K837" s="210" t="s">
        <v>39</v>
      </c>
      <c r="L837" s="201"/>
      <c r="M837" s="201"/>
      <c r="N837" s="201"/>
      <c r="O837" s="201"/>
      <c r="P837" s="201"/>
      <c r="Q837" s="201"/>
      <c r="R837" s="201"/>
      <c r="S837" s="201"/>
      <c r="T837" s="201"/>
      <c r="U837" s="201"/>
      <c r="V837" s="201"/>
      <c r="W837" s="201"/>
      <c r="X837" s="201"/>
      <c r="Y837" s="201"/>
      <c r="Z837" s="201"/>
      <c r="AA837" s="201"/>
    </row>
    <row r="838">
      <c r="A838" s="201"/>
      <c r="B838" s="201"/>
      <c r="C838" s="201"/>
      <c r="D838" s="201"/>
      <c r="E838" s="201"/>
      <c r="F838" s="201"/>
      <c r="G838" s="201"/>
      <c r="H838" s="209"/>
      <c r="I838" s="209"/>
      <c r="J838" s="201"/>
      <c r="K838" s="210" t="s">
        <v>39</v>
      </c>
      <c r="L838" s="201"/>
      <c r="M838" s="201"/>
      <c r="N838" s="201"/>
      <c r="O838" s="201"/>
      <c r="P838" s="201"/>
      <c r="Q838" s="201"/>
      <c r="R838" s="201"/>
      <c r="S838" s="201"/>
      <c r="T838" s="201"/>
      <c r="U838" s="201"/>
      <c r="V838" s="201"/>
      <c r="W838" s="201"/>
      <c r="X838" s="201"/>
      <c r="Y838" s="201"/>
      <c r="Z838" s="201"/>
      <c r="AA838" s="201"/>
    </row>
    <row r="839">
      <c r="A839" s="201"/>
      <c r="B839" s="201"/>
      <c r="C839" s="201"/>
      <c r="D839" s="201"/>
      <c r="E839" s="201"/>
      <c r="F839" s="201"/>
      <c r="G839" s="201"/>
      <c r="H839" s="209"/>
      <c r="I839" s="209"/>
      <c r="J839" s="201"/>
      <c r="K839" s="210" t="s">
        <v>39</v>
      </c>
      <c r="L839" s="201"/>
      <c r="M839" s="201"/>
      <c r="N839" s="201"/>
      <c r="O839" s="201"/>
      <c r="P839" s="201"/>
      <c r="Q839" s="201"/>
      <c r="R839" s="201"/>
      <c r="S839" s="201"/>
      <c r="T839" s="201"/>
      <c r="U839" s="201"/>
      <c r="V839" s="201"/>
      <c r="W839" s="201"/>
      <c r="X839" s="201"/>
      <c r="Y839" s="201"/>
      <c r="Z839" s="201"/>
      <c r="AA839" s="201"/>
    </row>
    <row r="840">
      <c r="A840" s="201"/>
      <c r="B840" s="201"/>
      <c r="C840" s="201"/>
      <c r="D840" s="201"/>
      <c r="E840" s="201"/>
      <c r="F840" s="201"/>
      <c r="G840" s="201"/>
      <c r="H840" s="209"/>
      <c r="I840" s="209"/>
      <c r="J840" s="201"/>
      <c r="K840" s="210" t="s">
        <v>39</v>
      </c>
      <c r="L840" s="201"/>
      <c r="M840" s="201"/>
      <c r="N840" s="201"/>
      <c r="O840" s="201"/>
      <c r="P840" s="201"/>
      <c r="Q840" s="201"/>
      <c r="R840" s="201"/>
      <c r="S840" s="201"/>
      <c r="T840" s="201"/>
      <c r="U840" s="201"/>
      <c r="V840" s="201"/>
      <c r="W840" s="201"/>
      <c r="X840" s="201"/>
      <c r="Y840" s="201"/>
      <c r="Z840" s="201"/>
      <c r="AA840" s="201"/>
    </row>
    <row r="841">
      <c r="A841" s="201"/>
      <c r="B841" s="201"/>
      <c r="C841" s="201"/>
      <c r="D841" s="201"/>
      <c r="E841" s="201"/>
      <c r="F841" s="201"/>
      <c r="G841" s="201"/>
      <c r="H841" s="209"/>
      <c r="I841" s="209"/>
      <c r="J841" s="201"/>
      <c r="K841" s="210" t="s">
        <v>39</v>
      </c>
      <c r="L841" s="201"/>
      <c r="M841" s="201"/>
      <c r="N841" s="201"/>
      <c r="O841" s="201"/>
      <c r="P841" s="201"/>
      <c r="Q841" s="201"/>
      <c r="R841" s="201"/>
      <c r="S841" s="201"/>
      <c r="T841" s="201"/>
      <c r="U841" s="201"/>
      <c r="V841" s="201"/>
      <c r="W841" s="201"/>
      <c r="X841" s="201"/>
      <c r="Y841" s="201"/>
      <c r="Z841" s="201"/>
      <c r="AA841" s="201"/>
    </row>
    <row r="842">
      <c r="A842" s="201"/>
      <c r="B842" s="201"/>
      <c r="C842" s="201"/>
      <c r="D842" s="201"/>
      <c r="E842" s="201"/>
      <c r="F842" s="201"/>
      <c r="G842" s="201"/>
      <c r="H842" s="209"/>
      <c r="I842" s="209"/>
      <c r="J842" s="201"/>
      <c r="K842" s="210" t="s">
        <v>39</v>
      </c>
      <c r="L842" s="201"/>
      <c r="M842" s="201"/>
      <c r="N842" s="201"/>
      <c r="O842" s="201"/>
      <c r="P842" s="201"/>
      <c r="Q842" s="201"/>
      <c r="R842" s="201"/>
      <c r="S842" s="201"/>
      <c r="T842" s="201"/>
      <c r="U842" s="201"/>
      <c r="V842" s="201"/>
      <c r="W842" s="201"/>
      <c r="X842" s="201"/>
      <c r="Y842" s="201"/>
      <c r="Z842" s="201"/>
      <c r="AA842" s="201"/>
    </row>
    <row r="843">
      <c r="A843" s="201"/>
      <c r="B843" s="201"/>
      <c r="C843" s="201"/>
      <c r="D843" s="201"/>
      <c r="E843" s="201"/>
      <c r="F843" s="201"/>
      <c r="G843" s="201"/>
      <c r="H843" s="209"/>
      <c r="I843" s="209"/>
      <c r="J843" s="201"/>
      <c r="K843" s="210" t="s">
        <v>39</v>
      </c>
      <c r="L843" s="201"/>
      <c r="M843" s="201"/>
      <c r="N843" s="201"/>
      <c r="O843" s="201"/>
      <c r="P843" s="201"/>
      <c r="Q843" s="201"/>
      <c r="R843" s="201"/>
      <c r="S843" s="201"/>
      <c r="T843" s="201"/>
      <c r="U843" s="201"/>
      <c r="V843" s="201"/>
      <c r="W843" s="201"/>
      <c r="X843" s="201"/>
      <c r="Y843" s="201"/>
      <c r="Z843" s="201"/>
      <c r="AA843" s="201"/>
    </row>
    <row r="844">
      <c r="A844" s="201"/>
      <c r="B844" s="201"/>
      <c r="C844" s="201"/>
      <c r="D844" s="201"/>
      <c r="E844" s="201"/>
      <c r="F844" s="201"/>
      <c r="G844" s="201"/>
      <c r="H844" s="209"/>
      <c r="I844" s="209"/>
      <c r="J844" s="201"/>
      <c r="K844" s="210" t="s">
        <v>39</v>
      </c>
      <c r="L844" s="201"/>
      <c r="M844" s="201"/>
      <c r="N844" s="201"/>
      <c r="O844" s="201"/>
      <c r="P844" s="201"/>
      <c r="Q844" s="201"/>
      <c r="R844" s="201"/>
      <c r="S844" s="201"/>
      <c r="T844" s="201"/>
      <c r="U844" s="201"/>
      <c r="V844" s="201"/>
      <c r="W844" s="201"/>
      <c r="X844" s="201"/>
      <c r="Y844" s="201"/>
      <c r="Z844" s="201"/>
      <c r="AA844" s="201"/>
    </row>
    <row r="845">
      <c r="A845" s="201"/>
      <c r="B845" s="201"/>
      <c r="C845" s="201"/>
      <c r="D845" s="201"/>
      <c r="E845" s="201"/>
      <c r="F845" s="201"/>
      <c r="G845" s="201"/>
      <c r="H845" s="209"/>
      <c r="I845" s="209"/>
      <c r="J845" s="201"/>
      <c r="K845" s="210" t="s">
        <v>39</v>
      </c>
      <c r="L845" s="201"/>
      <c r="M845" s="201"/>
      <c r="N845" s="201"/>
      <c r="O845" s="201"/>
      <c r="P845" s="201"/>
      <c r="Q845" s="201"/>
      <c r="R845" s="201"/>
      <c r="S845" s="201"/>
      <c r="T845" s="201"/>
      <c r="U845" s="201"/>
      <c r="V845" s="201"/>
      <c r="W845" s="201"/>
      <c r="X845" s="201"/>
      <c r="Y845" s="201"/>
      <c r="Z845" s="201"/>
      <c r="AA845" s="201"/>
    </row>
    <row r="846">
      <c r="A846" s="201"/>
      <c r="B846" s="201"/>
      <c r="C846" s="201"/>
      <c r="D846" s="201"/>
      <c r="E846" s="201"/>
      <c r="F846" s="201"/>
      <c r="G846" s="201"/>
      <c r="H846" s="209"/>
      <c r="I846" s="209"/>
      <c r="J846" s="201"/>
      <c r="K846" s="210" t="s">
        <v>39</v>
      </c>
      <c r="L846" s="201"/>
      <c r="M846" s="201"/>
      <c r="N846" s="201"/>
      <c r="O846" s="201"/>
      <c r="P846" s="201"/>
      <c r="Q846" s="201"/>
      <c r="R846" s="201"/>
      <c r="S846" s="201"/>
      <c r="T846" s="201"/>
      <c r="U846" s="201"/>
      <c r="V846" s="201"/>
      <c r="W846" s="201"/>
      <c r="X846" s="201"/>
      <c r="Y846" s="201"/>
      <c r="Z846" s="201"/>
      <c r="AA846" s="201"/>
    </row>
    <row r="847">
      <c r="A847" s="201"/>
      <c r="B847" s="201"/>
      <c r="C847" s="201"/>
      <c r="D847" s="201"/>
      <c r="E847" s="201"/>
      <c r="F847" s="201"/>
      <c r="G847" s="201"/>
      <c r="H847" s="209"/>
      <c r="I847" s="209"/>
      <c r="J847" s="201"/>
      <c r="K847" s="210" t="s">
        <v>39</v>
      </c>
      <c r="L847" s="201"/>
      <c r="M847" s="201"/>
      <c r="N847" s="201"/>
      <c r="O847" s="201"/>
      <c r="P847" s="201"/>
      <c r="Q847" s="201"/>
      <c r="R847" s="201"/>
      <c r="S847" s="201"/>
      <c r="T847" s="201"/>
      <c r="U847" s="201"/>
      <c r="V847" s="201"/>
      <c r="W847" s="201"/>
      <c r="X847" s="201"/>
      <c r="Y847" s="201"/>
      <c r="Z847" s="201"/>
      <c r="AA847" s="201"/>
    </row>
    <row r="848">
      <c r="A848" s="201"/>
      <c r="B848" s="201"/>
      <c r="C848" s="201"/>
      <c r="D848" s="201"/>
      <c r="E848" s="201"/>
      <c r="F848" s="201"/>
      <c r="G848" s="201"/>
      <c r="H848" s="209"/>
      <c r="I848" s="209"/>
      <c r="J848" s="201"/>
      <c r="K848" s="210" t="s">
        <v>39</v>
      </c>
      <c r="L848" s="201"/>
      <c r="M848" s="201"/>
      <c r="N848" s="201"/>
      <c r="O848" s="201"/>
      <c r="P848" s="201"/>
      <c r="Q848" s="201"/>
      <c r="R848" s="201"/>
      <c r="S848" s="201"/>
      <c r="T848" s="201"/>
      <c r="U848" s="201"/>
      <c r="V848" s="201"/>
      <c r="W848" s="201"/>
      <c r="X848" s="201"/>
      <c r="Y848" s="201"/>
      <c r="Z848" s="201"/>
      <c r="AA848" s="201"/>
    </row>
    <row r="849">
      <c r="A849" s="201"/>
      <c r="B849" s="201"/>
      <c r="C849" s="201"/>
      <c r="D849" s="201"/>
      <c r="E849" s="201"/>
      <c r="F849" s="201"/>
      <c r="G849" s="201"/>
      <c r="H849" s="209"/>
      <c r="I849" s="209"/>
      <c r="J849" s="201"/>
      <c r="K849" s="210" t="s">
        <v>39</v>
      </c>
      <c r="L849" s="201"/>
      <c r="M849" s="201"/>
      <c r="N849" s="201"/>
      <c r="O849" s="201"/>
      <c r="P849" s="201"/>
      <c r="Q849" s="201"/>
      <c r="R849" s="201"/>
      <c r="S849" s="201"/>
      <c r="T849" s="201"/>
      <c r="U849" s="201"/>
      <c r="V849" s="201"/>
      <c r="W849" s="201"/>
      <c r="X849" s="201"/>
      <c r="Y849" s="201"/>
      <c r="Z849" s="201"/>
      <c r="AA849" s="201"/>
    </row>
    <row r="850">
      <c r="A850" s="201"/>
      <c r="B850" s="201"/>
      <c r="C850" s="201"/>
      <c r="D850" s="201"/>
      <c r="E850" s="201"/>
      <c r="F850" s="201"/>
      <c r="G850" s="201"/>
      <c r="H850" s="209"/>
      <c r="I850" s="209"/>
      <c r="J850" s="201"/>
      <c r="K850" s="210" t="s">
        <v>39</v>
      </c>
      <c r="L850" s="201"/>
      <c r="M850" s="201"/>
      <c r="N850" s="201"/>
      <c r="O850" s="201"/>
      <c r="P850" s="201"/>
      <c r="Q850" s="201"/>
      <c r="R850" s="201"/>
      <c r="S850" s="201"/>
      <c r="T850" s="201"/>
      <c r="U850" s="201"/>
      <c r="V850" s="201"/>
      <c r="W850" s="201"/>
      <c r="X850" s="201"/>
      <c r="Y850" s="201"/>
      <c r="Z850" s="201"/>
      <c r="AA850" s="201"/>
    </row>
    <row r="851">
      <c r="A851" s="201"/>
      <c r="B851" s="201"/>
      <c r="C851" s="201"/>
      <c r="D851" s="201"/>
      <c r="E851" s="201"/>
      <c r="F851" s="201"/>
      <c r="G851" s="201"/>
      <c r="H851" s="209"/>
      <c r="I851" s="209"/>
      <c r="J851" s="201"/>
      <c r="K851" s="210" t="s">
        <v>39</v>
      </c>
      <c r="L851" s="201"/>
      <c r="M851" s="201"/>
      <c r="N851" s="201"/>
      <c r="O851" s="201"/>
      <c r="P851" s="201"/>
      <c r="Q851" s="201"/>
      <c r="R851" s="201"/>
      <c r="S851" s="201"/>
      <c r="T851" s="201"/>
      <c r="U851" s="201"/>
      <c r="V851" s="201"/>
      <c r="W851" s="201"/>
      <c r="X851" s="201"/>
      <c r="Y851" s="201"/>
      <c r="Z851" s="201"/>
      <c r="AA851" s="201"/>
    </row>
    <row r="852">
      <c r="A852" s="201"/>
      <c r="B852" s="201"/>
      <c r="C852" s="201"/>
      <c r="D852" s="201"/>
      <c r="E852" s="201"/>
      <c r="F852" s="201"/>
      <c r="G852" s="201"/>
      <c r="H852" s="209"/>
      <c r="I852" s="209"/>
      <c r="J852" s="201"/>
      <c r="K852" s="210" t="s">
        <v>39</v>
      </c>
      <c r="L852" s="201"/>
      <c r="M852" s="201"/>
      <c r="N852" s="201"/>
      <c r="O852" s="201"/>
      <c r="P852" s="201"/>
      <c r="Q852" s="201"/>
      <c r="R852" s="201"/>
      <c r="S852" s="201"/>
      <c r="T852" s="201"/>
      <c r="U852" s="201"/>
      <c r="V852" s="201"/>
      <c r="W852" s="201"/>
      <c r="X852" s="201"/>
      <c r="Y852" s="201"/>
      <c r="Z852" s="201"/>
      <c r="AA852" s="201"/>
    </row>
    <row r="853">
      <c r="A853" s="201"/>
      <c r="B853" s="201"/>
      <c r="C853" s="201"/>
      <c r="D853" s="201"/>
      <c r="E853" s="201"/>
      <c r="F853" s="201"/>
      <c r="G853" s="201"/>
      <c r="H853" s="209"/>
      <c r="I853" s="209"/>
      <c r="J853" s="201"/>
      <c r="K853" s="210" t="s">
        <v>39</v>
      </c>
      <c r="L853" s="201"/>
      <c r="M853" s="201"/>
      <c r="N853" s="201"/>
      <c r="O853" s="201"/>
      <c r="P853" s="201"/>
      <c r="Q853" s="201"/>
      <c r="R853" s="201"/>
      <c r="S853" s="201"/>
      <c r="T853" s="201"/>
      <c r="U853" s="201"/>
      <c r="V853" s="201"/>
      <c r="W853" s="201"/>
      <c r="X853" s="201"/>
      <c r="Y853" s="201"/>
      <c r="Z853" s="201"/>
      <c r="AA853" s="201"/>
    </row>
    <row r="854">
      <c r="A854" s="201"/>
      <c r="B854" s="201"/>
      <c r="C854" s="201"/>
      <c r="D854" s="201"/>
      <c r="E854" s="201"/>
      <c r="F854" s="201"/>
      <c r="G854" s="201"/>
      <c r="H854" s="209"/>
      <c r="I854" s="209"/>
      <c r="J854" s="201"/>
      <c r="K854" s="210" t="s">
        <v>39</v>
      </c>
      <c r="L854" s="201"/>
      <c r="M854" s="201"/>
      <c r="N854" s="201"/>
      <c r="O854" s="201"/>
      <c r="P854" s="201"/>
      <c r="Q854" s="201"/>
      <c r="R854" s="201"/>
      <c r="S854" s="201"/>
      <c r="T854" s="201"/>
      <c r="U854" s="201"/>
      <c r="V854" s="201"/>
      <c r="W854" s="201"/>
      <c r="X854" s="201"/>
      <c r="Y854" s="201"/>
      <c r="Z854" s="201"/>
      <c r="AA854" s="201"/>
    </row>
    <row r="855">
      <c r="A855" s="201"/>
      <c r="B855" s="201"/>
      <c r="C855" s="201"/>
      <c r="D855" s="201"/>
      <c r="E855" s="201"/>
      <c r="F855" s="201"/>
      <c r="G855" s="201"/>
      <c r="H855" s="209"/>
      <c r="I855" s="209"/>
      <c r="J855" s="201"/>
      <c r="K855" s="210" t="s">
        <v>39</v>
      </c>
      <c r="L855" s="201"/>
      <c r="M855" s="201"/>
      <c r="N855" s="201"/>
      <c r="O855" s="201"/>
      <c r="P855" s="201"/>
      <c r="Q855" s="201"/>
      <c r="R855" s="201"/>
      <c r="S855" s="201"/>
      <c r="T855" s="201"/>
      <c r="U855" s="201"/>
      <c r="V855" s="201"/>
      <c r="W855" s="201"/>
      <c r="X855" s="201"/>
      <c r="Y855" s="201"/>
      <c r="Z855" s="201"/>
      <c r="AA855" s="201"/>
    </row>
    <row r="856">
      <c r="A856" s="201"/>
      <c r="B856" s="201"/>
      <c r="C856" s="201"/>
      <c r="D856" s="201"/>
      <c r="E856" s="201"/>
      <c r="F856" s="201"/>
      <c r="G856" s="201"/>
      <c r="H856" s="209"/>
      <c r="I856" s="209"/>
      <c r="J856" s="201"/>
      <c r="K856" s="210" t="s">
        <v>39</v>
      </c>
      <c r="L856" s="201"/>
      <c r="M856" s="201"/>
      <c r="N856" s="201"/>
      <c r="O856" s="201"/>
      <c r="P856" s="201"/>
      <c r="Q856" s="201"/>
      <c r="R856" s="201"/>
      <c r="S856" s="201"/>
      <c r="T856" s="201"/>
      <c r="U856" s="201"/>
      <c r="V856" s="201"/>
      <c r="W856" s="201"/>
      <c r="X856" s="201"/>
      <c r="Y856" s="201"/>
      <c r="Z856" s="201"/>
      <c r="AA856" s="201"/>
    </row>
    <row r="857">
      <c r="A857" s="201"/>
      <c r="B857" s="201"/>
      <c r="C857" s="201"/>
      <c r="D857" s="201"/>
      <c r="E857" s="201"/>
      <c r="F857" s="201"/>
      <c r="G857" s="201"/>
      <c r="H857" s="209"/>
      <c r="I857" s="209"/>
      <c r="J857" s="201"/>
      <c r="K857" s="210" t="s">
        <v>39</v>
      </c>
      <c r="L857" s="201"/>
      <c r="M857" s="201"/>
      <c r="N857" s="201"/>
      <c r="O857" s="201"/>
      <c r="P857" s="201"/>
      <c r="Q857" s="201"/>
      <c r="R857" s="201"/>
      <c r="S857" s="201"/>
      <c r="T857" s="201"/>
      <c r="U857" s="201"/>
      <c r="V857" s="201"/>
      <c r="W857" s="201"/>
      <c r="X857" s="201"/>
      <c r="Y857" s="201"/>
      <c r="Z857" s="201"/>
      <c r="AA857" s="201"/>
    </row>
    <row r="858">
      <c r="A858" s="201"/>
      <c r="B858" s="201"/>
      <c r="C858" s="201"/>
      <c r="D858" s="201"/>
      <c r="E858" s="201"/>
      <c r="F858" s="201"/>
      <c r="G858" s="201"/>
      <c r="H858" s="209"/>
      <c r="I858" s="209"/>
      <c r="J858" s="201"/>
      <c r="K858" s="210" t="s">
        <v>39</v>
      </c>
      <c r="L858" s="201"/>
      <c r="M858" s="201"/>
      <c r="N858" s="201"/>
      <c r="O858" s="201"/>
      <c r="P858" s="201"/>
      <c r="Q858" s="201"/>
      <c r="R858" s="201"/>
      <c r="S858" s="201"/>
      <c r="T858" s="201"/>
      <c r="U858" s="201"/>
      <c r="V858" s="201"/>
      <c r="W858" s="201"/>
      <c r="X858" s="201"/>
      <c r="Y858" s="201"/>
      <c r="Z858" s="201"/>
      <c r="AA858" s="201"/>
    </row>
    <row r="859">
      <c r="A859" s="201"/>
      <c r="B859" s="201"/>
      <c r="C859" s="201"/>
      <c r="D859" s="201"/>
      <c r="E859" s="201"/>
      <c r="F859" s="201"/>
      <c r="G859" s="201"/>
      <c r="H859" s="209"/>
      <c r="I859" s="209"/>
      <c r="J859" s="201"/>
      <c r="K859" s="210" t="s">
        <v>39</v>
      </c>
      <c r="L859" s="201"/>
      <c r="M859" s="201"/>
      <c r="N859" s="201"/>
      <c r="O859" s="201"/>
      <c r="P859" s="201"/>
      <c r="Q859" s="201"/>
      <c r="R859" s="201"/>
      <c r="S859" s="201"/>
      <c r="T859" s="201"/>
      <c r="U859" s="201"/>
      <c r="V859" s="201"/>
      <c r="W859" s="201"/>
      <c r="X859" s="201"/>
      <c r="Y859" s="201"/>
      <c r="Z859" s="201"/>
      <c r="AA859" s="201"/>
    </row>
    <row r="860">
      <c r="A860" s="201"/>
      <c r="B860" s="201"/>
      <c r="C860" s="201"/>
      <c r="D860" s="201"/>
      <c r="E860" s="201"/>
      <c r="F860" s="201"/>
      <c r="G860" s="201"/>
      <c r="H860" s="209"/>
      <c r="I860" s="209"/>
      <c r="J860" s="201"/>
      <c r="K860" s="210" t="s">
        <v>39</v>
      </c>
      <c r="L860" s="201"/>
      <c r="M860" s="201"/>
      <c r="N860" s="201"/>
      <c r="O860" s="201"/>
      <c r="P860" s="201"/>
      <c r="Q860" s="201"/>
      <c r="R860" s="201"/>
      <c r="S860" s="201"/>
      <c r="T860" s="201"/>
      <c r="U860" s="201"/>
      <c r="V860" s="201"/>
      <c r="W860" s="201"/>
      <c r="X860" s="201"/>
      <c r="Y860" s="201"/>
      <c r="Z860" s="201"/>
      <c r="AA860" s="201"/>
    </row>
    <row r="861">
      <c r="A861" s="201"/>
      <c r="B861" s="201"/>
      <c r="C861" s="201"/>
      <c r="D861" s="201"/>
      <c r="E861" s="201"/>
      <c r="F861" s="201"/>
      <c r="G861" s="201"/>
      <c r="H861" s="209"/>
      <c r="I861" s="209"/>
      <c r="J861" s="201"/>
      <c r="K861" s="210" t="s">
        <v>39</v>
      </c>
      <c r="L861" s="201"/>
      <c r="M861" s="201"/>
      <c r="N861" s="201"/>
      <c r="O861" s="201"/>
      <c r="P861" s="201"/>
      <c r="Q861" s="201"/>
      <c r="R861" s="201"/>
      <c r="S861" s="201"/>
      <c r="T861" s="201"/>
      <c r="U861" s="201"/>
      <c r="V861" s="201"/>
      <c r="W861" s="201"/>
      <c r="X861" s="201"/>
      <c r="Y861" s="201"/>
      <c r="Z861" s="201"/>
      <c r="AA861" s="201"/>
    </row>
    <row r="862">
      <c r="A862" s="201"/>
      <c r="B862" s="201"/>
      <c r="C862" s="201"/>
      <c r="D862" s="201"/>
      <c r="E862" s="201"/>
      <c r="F862" s="201"/>
      <c r="G862" s="201"/>
      <c r="H862" s="209"/>
      <c r="I862" s="209"/>
      <c r="J862" s="201"/>
      <c r="K862" s="210" t="s">
        <v>39</v>
      </c>
      <c r="L862" s="201"/>
      <c r="M862" s="201"/>
      <c r="N862" s="201"/>
      <c r="O862" s="201"/>
      <c r="P862" s="201"/>
      <c r="Q862" s="201"/>
      <c r="R862" s="201"/>
      <c r="S862" s="201"/>
      <c r="T862" s="201"/>
      <c r="U862" s="201"/>
      <c r="V862" s="201"/>
      <c r="W862" s="201"/>
      <c r="X862" s="201"/>
      <c r="Y862" s="201"/>
      <c r="Z862" s="201"/>
      <c r="AA862" s="201"/>
    </row>
    <row r="863">
      <c r="A863" s="201"/>
      <c r="B863" s="201"/>
      <c r="C863" s="201"/>
      <c r="D863" s="201"/>
      <c r="E863" s="201"/>
      <c r="F863" s="201"/>
      <c r="G863" s="201"/>
      <c r="H863" s="209"/>
      <c r="I863" s="209"/>
      <c r="J863" s="201"/>
      <c r="K863" s="210" t="s">
        <v>39</v>
      </c>
      <c r="L863" s="201"/>
      <c r="M863" s="201"/>
      <c r="N863" s="201"/>
      <c r="O863" s="201"/>
      <c r="P863" s="201"/>
      <c r="Q863" s="201"/>
      <c r="R863" s="201"/>
      <c r="S863" s="201"/>
      <c r="T863" s="201"/>
      <c r="U863" s="201"/>
      <c r="V863" s="201"/>
      <c r="W863" s="201"/>
      <c r="X863" s="201"/>
      <c r="Y863" s="201"/>
      <c r="Z863" s="201"/>
      <c r="AA863" s="201"/>
    </row>
    <row r="864">
      <c r="A864" s="201"/>
      <c r="B864" s="201"/>
      <c r="C864" s="201"/>
      <c r="D864" s="201"/>
      <c r="E864" s="201"/>
      <c r="F864" s="201"/>
      <c r="G864" s="201"/>
      <c r="H864" s="209"/>
      <c r="I864" s="209"/>
      <c r="J864" s="201"/>
      <c r="K864" s="210" t="s">
        <v>39</v>
      </c>
      <c r="L864" s="201"/>
      <c r="M864" s="201"/>
      <c r="N864" s="201"/>
      <c r="O864" s="201"/>
      <c r="P864" s="201"/>
      <c r="Q864" s="201"/>
      <c r="R864" s="201"/>
      <c r="S864" s="201"/>
      <c r="T864" s="201"/>
      <c r="U864" s="201"/>
      <c r="V864" s="201"/>
      <c r="W864" s="201"/>
      <c r="X864" s="201"/>
      <c r="Y864" s="201"/>
      <c r="Z864" s="201"/>
      <c r="AA864" s="201"/>
    </row>
    <row r="865">
      <c r="A865" s="201"/>
      <c r="B865" s="201"/>
      <c r="C865" s="201"/>
      <c r="D865" s="201"/>
      <c r="E865" s="201"/>
      <c r="F865" s="201"/>
      <c r="G865" s="201"/>
      <c r="H865" s="209"/>
      <c r="I865" s="209"/>
      <c r="J865" s="201"/>
      <c r="K865" s="210" t="s">
        <v>39</v>
      </c>
      <c r="L865" s="201"/>
      <c r="M865" s="201"/>
      <c r="N865" s="201"/>
      <c r="O865" s="201"/>
      <c r="P865" s="201"/>
      <c r="Q865" s="201"/>
      <c r="R865" s="201"/>
      <c r="S865" s="201"/>
      <c r="T865" s="201"/>
      <c r="U865" s="201"/>
      <c r="V865" s="201"/>
      <c r="W865" s="201"/>
      <c r="X865" s="201"/>
      <c r="Y865" s="201"/>
      <c r="Z865" s="201"/>
      <c r="AA865" s="201"/>
    </row>
    <row r="866">
      <c r="A866" s="201"/>
      <c r="B866" s="201"/>
      <c r="C866" s="201"/>
      <c r="D866" s="201"/>
      <c r="E866" s="201"/>
      <c r="F866" s="201"/>
      <c r="G866" s="201"/>
      <c r="H866" s="209"/>
      <c r="I866" s="209"/>
      <c r="J866" s="201"/>
      <c r="K866" s="210" t="s">
        <v>39</v>
      </c>
      <c r="L866" s="201"/>
      <c r="M866" s="201"/>
      <c r="N866" s="201"/>
      <c r="O866" s="201"/>
      <c r="P866" s="201"/>
      <c r="Q866" s="201"/>
      <c r="R866" s="201"/>
      <c r="S866" s="201"/>
      <c r="T866" s="201"/>
      <c r="U866" s="201"/>
      <c r="V866" s="201"/>
      <c r="W866" s="201"/>
      <c r="X866" s="201"/>
      <c r="Y866" s="201"/>
      <c r="Z866" s="201"/>
      <c r="AA866" s="201"/>
    </row>
    <row r="867">
      <c r="A867" s="201"/>
      <c r="B867" s="201"/>
      <c r="C867" s="201"/>
      <c r="D867" s="201"/>
      <c r="E867" s="201"/>
      <c r="F867" s="201"/>
      <c r="G867" s="201"/>
      <c r="H867" s="209"/>
      <c r="I867" s="209"/>
      <c r="J867" s="201"/>
      <c r="K867" s="210" t="s">
        <v>39</v>
      </c>
      <c r="L867" s="201"/>
      <c r="M867" s="201"/>
      <c r="N867" s="201"/>
      <c r="O867" s="201"/>
      <c r="P867" s="201"/>
      <c r="Q867" s="201"/>
      <c r="R867" s="201"/>
      <c r="S867" s="201"/>
      <c r="T867" s="201"/>
      <c r="U867" s="201"/>
      <c r="V867" s="201"/>
      <c r="W867" s="201"/>
      <c r="X867" s="201"/>
      <c r="Y867" s="201"/>
      <c r="Z867" s="201"/>
      <c r="AA867" s="201"/>
    </row>
    <row r="868">
      <c r="A868" s="201"/>
      <c r="B868" s="201"/>
      <c r="C868" s="201"/>
      <c r="D868" s="201"/>
      <c r="E868" s="201"/>
      <c r="F868" s="201"/>
      <c r="G868" s="201"/>
      <c r="H868" s="209"/>
      <c r="I868" s="209"/>
      <c r="J868" s="201"/>
      <c r="K868" s="210" t="s">
        <v>39</v>
      </c>
      <c r="L868" s="201"/>
      <c r="M868" s="201"/>
      <c r="N868" s="201"/>
      <c r="O868" s="201"/>
      <c r="P868" s="201"/>
      <c r="Q868" s="201"/>
      <c r="R868" s="201"/>
      <c r="S868" s="201"/>
      <c r="T868" s="201"/>
      <c r="U868" s="201"/>
      <c r="V868" s="201"/>
      <c r="W868" s="201"/>
      <c r="X868" s="201"/>
      <c r="Y868" s="201"/>
      <c r="Z868" s="201"/>
      <c r="AA868" s="201"/>
    </row>
    <row r="869">
      <c r="A869" s="201"/>
      <c r="B869" s="201"/>
      <c r="C869" s="201"/>
      <c r="D869" s="201"/>
      <c r="E869" s="201"/>
      <c r="F869" s="201"/>
      <c r="G869" s="201"/>
      <c r="H869" s="209"/>
      <c r="I869" s="209"/>
      <c r="J869" s="201"/>
      <c r="K869" s="210" t="s">
        <v>39</v>
      </c>
      <c r="L869" s="201"/>
      <c r="M869" s="201"/>
      <c r="N869" s="201"/>
      <c r="O869" s="201"/>
      <c r="P869" s="201"/>
      <c r="Q869" s="201"/>
      <c r="R869" s="201"/>
      <c r="S869" s="201"/>
      <c r="T869" s="201"/>
      <c r="U869" s="201"/>
      <c r="V869" s="201"/>
      <c r="W869" s="201"/>
      <c r="X869" s="201"/>
      <c r="Y869" s="201"/>
      <c r="Z869" s="201"/>
      <c r="AA869" s="201"/>
    </row>
    <row r="870">
      <c r="A870" s="201"/>
      <c r="B870" s="201"/>
      <c r="C870" s="201"/>
      <c r="D870" s="201"/>
      <c r="E870" s="201"/>
      <c r="F870" s="201"/>
      <c r="G870" s="201"/>
      <c r="H870" s="209"/>
      <c r="I870" s="209"/>
      <c r="J870" s="201"/>
      <c r="K870" s="210" t="s">
        <v>39</v>
      </c>
      <c r="L870" s="201"/>
      <c r="M870" s="201"/>
      <c r="N870" s="201"/>
      <c r="O870" s="201"/>
      <c r="P870" s="201"/>
      <c r="Q870" s="201"/>
      <c r="R870" s="201"/>
      <c r="S870" s="201"/>
      <c r="T870" s="201"/>
      <c r="U870" s="201"/>
      <c r="V870" s="201"/>
      <c r="W870" s="201"/>
      <c r="X870" s="201"/>
      <c r="Y870" s="201"/>
      <c r="Z870" s="201"/>
      <c r="AA870" s="201"/>
    </row>
    <row r="871">
      <c r="A871" s="201"/>
      <c r="B871" s="201"/>
      <c r="C871" s="201"/>
      <c r="D871" s="201"/>
      <c r="E871" s="201"/>
      <c r="F871" s="201"/>
      <c r="G871" s="201"/>
      <c r="H871" s="209"/>
      <c r="I871" s="209"/>
      <c r="J871" s="201"/>
      <c r="K871" s="210" t="s">
        <v>39</v>
      </c>
      <c r="L871" s="201"/>
      <c r="M871" s="201"/>
      <c r="N871" s="201"/>
      <c r="O871" s="201"/>
      <c r="P871" s="201"/>
      <c r="Q871" s="201"/>
      <c r="R871" s="201"/>
      <c r="S871" s="201"/>
      <c r="T871" s="201"/>
      <c r="U871" s="201"/>
      <c r="V871" s="201"/>
      <c r="W871" s="201"/>
      <c r="X871" s="201"/>
      <c r="Y871" s="201"/>
      <c r="Z871" s="201"/>
      <c r="AA871" s="201"/>
    </row>
    <row r="872">
      <c r="A872" s="201"/>
      <c r="B872" s="201"/>
      <c r="C872" s="201"/>
      <c r="D872" s="201"/>
      <c r="E872" s="201"/>
      <c r="F872" s="201"/>
      <c r="G872" s="201"/>
      <c r="H872" s="209"/>
      <c r="I872" s="209"/>
      <c r="J872" s="201"/>
      <c r="K872" s="210" t="s">
        <v>39</v>
      </c>
      <c r="L872" s="201"/>
      <c r="M872" s="201"/>
      <c r="N872" s="201"/>
      <c r="O872" s="201"/>
      <c r="P872" s="201"/>
      <c r="Q872" s="201"/>
      <c r="R872" s="201"/>
      <c r="S872" s="201"/>
      <c r="T872" s="201"/>
      <c r="U872" s="201"/>
      <c r="V872" s="201"/>
      <c r="W872" s="201"/>
      <c r="X872" s="201"/>
      <c r="Y872" s="201"/>
      <c r="Z872" s="201"/>
      <c r="AA872" s="201"/>
    </row>
    <row r="873">
      <c r="A873" s="201"/>
      <c r="B873" s="201"/>
      <c r="C873" s="201"/>
      <c r="D873" s="201"/>
      <c r="E873" s="201"/>
      <c r="F873" s="201"/>
      <c r="G873" s="201"/>
      <c r="H873" s="209"/>
      <c r="I873" s="209"/>
      <c r="J873" s="201"/>
      <c r="K873" s="210" t="s">
        <v>39</v>
      </c>
      <c r="L873" s="201"/>
      <c r="M873" s="201"/>
      <c r="N873" s="201"/>
      <c r="O873" s="201"/>
      <c r="P873" s="201"/>
      <c r="Q873" s="201"/>
      <c r="R873" s="201"/>
      <c r="S873" s="201"/>
      <c r="T873" s="201"/>
      <c r="U873" s="201"/>
      <c r="V873" s="201"/>
      <c r="W873" s="201"/>
      <c r="X873" s="201"/>
      <c r="Y873" s="201"/>
      <c r="Z873" s="201"/>
      <c r="AA873" s="201"/>
    </row>
    <row r="874">
      <c r="A874" s="201"/>
      <c r="B874" s="201"/>
      <c r="C874" s="201"/>
      <c r="D874" s="201"/>
      <c r="E874" s="201"/>
      <c r="F874" s="201"/>
      <c r="G874" s="201"/>
      <c r="H874" s="209"/>
      <c r="I874" s="209"/>
      <c r="J874" s="201"/>
      <c r="K874" s="210" t="s">
        <v>39</v>
      </c>
      <c r="L874" s="201"/>
      <c r="M874" s="201"/>
      <c r="N874" s="201"/>
      <c r="O874" s="201"/>
      <c r="P874" s="201"/>
      <c r="Q874" s="201"/>
      <c r="R874" s="201"/>
      <c r="S874" s="201"/>
      <c r="T874" s="201"/>
      <c r="U874" s="201"/>
      <c r="V874" s="201"/>
      <c r="W874" s="201"/>
      <c r="X874" s="201"/>
      <c r="Y874" s="201"/>
      <c r="Z874" s="201"/>
      <c r="AA874" s="201"/>
    </row>
    <row r="875">
      <c r="A875" s="201"/>
      <c r="B875" s="201"/>
      <c r="C875" s="201"/>
      <c r="D875" s="201"/>
      <c r="E875" s="201"/>
      <c r="F875" s="201"/>
      <c r="G875" s="201"/>
      <c r="H875" s="209"/>
      <c r="I875" s="209"/>
      <c r="J875" s="201"/>
      <c r="K875" s="210" t="s">
        <v>39</v>
      </c>
      <c r="L875" s="201"/>
      <c r="M875" s="201"/>
      <c r="N875" s="201"/>
      <c r="O875" s="201"/>
      <c r="P875" s="201"/>
      <c r="Q875" s="201"/>
      <c r="R875" s="201"/>
      <c r="S875" s="201"/>
      <c r="T875" s="201"/>
      <c r="U875" s="201"/>
      <c r="V875" s="201"/>
      <c r="W875" s="201"/>
      <c r="X875" s="201"/>
      <c r="Y875" s="201"/>
      <c r="Z875" s="201"/>
      <c r="AA875" s="201"/>
    </row>
    <row r="876">
      <c r="A876" s="201"/>
      <c r="B876" s="201"/>
      <c r="C876" s="201"/>
      <c r="D876" s="201"/>
      <c r="E876" s="201"/>
      <c r="F876" s="201"/>
      <c r="G876" s="201"/>
      <c r="H876" s="209"/>
      <c r="I876" s="209"/>
      <c r="J876" s="201"/>
      <c r="K876" s="210" t="s">
        <v>39</v>
      </c>
      <c r="L876" s="201"/>
      <c r="M876" s="201"/>
      <c r="N876" s="201"/>
      <c r="O876" s="201"/>
      <c r="P876" s="201"/>
      <c r="Q876" s="201"/>
      <c r="R876" s="201"/>
      <c r="S876" s="201"/>
      <c r="T876" s="201"/>
      <c r="U876" s="201"/>
      <c r="V876" s="201"/>
      <c r="W876" s="201"/>
      <c r="X876" s="201"/>
      <c r="Y876" s="201"/>
      <c r="Z876" s="201"/>
      <c r="AA876" s="201"/>
    </row>
    <row r="877">
      <c r="A877" s="201"/>
      <c r="B877" s="201"/>
      <c r="C877" s="201"/>
      <c r="D877" s="201"/>
      <c r="E877" s="201"/>
      <c r="F877" s="201"/>
      <c r="G877" s="201"/>
      <c r="H877" s="209"/>
      <c r="I877" s="209"/>
      <c r="J877" s="201"/>
      <c r="K877" s="210" t="s">
        <v>39</v>
      </c>
      <c r="L877" s="201"/>
      <c r="M877" s="201"/>
      <c r="N877" s="201"/>
      <c r="O877" s="201"/>
      <c r="P877" s="201"/>
      <c r="Q877" s="201"/>
      <c r="R877" s="201"/>
      <c r="S877" s="201"/>
      <c r="T877" s="201"/>
      <c r="U877" s="201"/>
      <c r="V877" s="201"/>
      <c r="W877" s="201"/>
      <c r="X877" s="201"/>
      <c r="Y877" s="201"/>
      <c r="Z877" s="201"/>
      <c r="AA877" s="201"/>
    </row>
    <row r="878">
      <c r="A878" s="201"/>
      <c r="B878" s="201"/>
      <c r="C878" s="201"/>
      <c r="D878" s="201"/>
      <c r="E878" s="201"/>
      <c r="F878" s="201"/>
      <c r="G878" s="201"/>
      <c r="H878" s="209"/>
      <c r="I878" s="209"/>
      <c r="J878" s="201"/>
      <c r="K878" s="210" t="s">
        <v>39</v>
      </c>
      <c r="L878" s="201"/>
      <c r="M878" s="201"/>
      <c r="N878" s="201"/>
      <c r="O878" s="201"/>
      <c r="P878" s="201"/>
      <c r="Q878" s="201"/>
      <c r="R878" s="201"/>
      <c r="S878" s="201"/>
      <c r="T878" s="201"/>
      <c r="U878" s="201"/>
      <c r="V878" s="201"/>
      <c r="W878" s="201"/>
      <c r="X878" s="201"/>
      <c r="Y878" s="201"/>
      <c r="Z878" s="201"/>
      <c r="AA878" s="201"/>
    </row>
    <row r="879">
      <c r="A879" s="201"/>
      <c r="B879" s="201"/>
      <c r="C879" s="201"/>
      <c r="D879" s="201"/>
      <c r="E879" s="201"/>
      <c r="F879" s="201"/>
      <c r="G879" s="201"/>
      <c r="H879" s="209"/>
      <c r="I879" s="209"/>
      <c r="J879" s="201"/>
      <c r="K879" s="210" t="s">
        <v>39</v>
      </c>
      <c r="L879" s="201"/>
      <c r="M879" s="201"/>
      <c r="N879" s="201"/>
      <c r="O879" s="201"/>
      <c r="P879" s="201"/>
      <c r="Q879" s="201"/>
      <c r="R879" s="201"/>
      <c r="S879" s="201"/>
      <c r="T879" s="201"/>
      <c r="U879" s="201"/>
      <c r="V879" s="201"/>
      <c r="W879" s="201"/>
      <c r="X879" s="201"/>
      <c r="Y879" s="201"/>
      <c r="Z879" s="201"/>
      <c r="AA879" s="201"/>
    </row>
    <row r="880">
      <c r="A880" s="201"/>
      <c r="B880" s="201"/>
      <c r="C880" s="201"/>
      <c r="D880" s="201"/>
      <c r="E880" s="201"/>
      <c r="F880" s="201"/>
      <c r="G880" s="201"/>
      <c r="H880" s="209"/>
      <c r="I880" s="209"/>
      <c r="J880" s="201"/>
      <c r="K880" s="210" t="s">
        <v>39</v>
      </c>
      <c r="L880" s="201"/>
      <c r="M880" s="201"/>
      <c r="N880" s="201"/>
      <c r="O880" s="201"/>
      <c r="P880" s="201"/>
      <c r="Q880" s="201"/>
      <c r="R880" s="201"/>
      <c r="S880" s="201"/>
      <c r="T880" s="201"/>
      <c r="U880" s="201"/>
      <c r="V880" s="201"/>
      <c r="W880" s="201"/>
      <c r="X880" s="201"/>
      <c r="Y880" s="201"/>
      <c r="Z880" s="201"/>
      <c r="AA880" s="201"/>
    </row>
    <row r="881">
      <c r="A881" s="201"/>
      <c r="B881" s="201"/>
      <c r="C881" s="201"/>
      <c r="D881" s="201"/>
      <c r="E881" s="201"/>
      <c r="F881" s="201"/>
      <c r="G881" s="201"/>
      <c r="H881" s="209"/>
      <c r="I881" s="209"/>
      <c r="J881" s="201"/>
      <c r="K881" s="210" t="s">
        <v>39</v>
      </c>
      <c r="L881" s="201"/>
      <c r="M881" s="201"/>
      <c r="N881" s="201"/>
      <c r="O881" s="201"/>
      <c r="P881" s="201"/>
      <c r="Q881" s="201"/>
      <c r="R881" s="201"/>
      <c r="S881" s="201"/>
      <c r="T881" s="201"/>
      <c r="U881" s="201"/>
      <c r="V881" s="201"/>
      <c r="W881" s="201"/>
      <c r="X881" s="201"/>
      <c r="Y881" s="201"/>
      <c r="Z881" s="201"/>
      <c r="AA881" s="201"/>
    </row>
    <row r="882">
      <c r="A882" s="201"/>
      <c r="B882" s="201"/>
      <c r="C882" s="201"/>
      <c r="D882" s="201"/>
      <c r="E882" s="201"/>
      <c r="F882" s="201"/>
      <c r="G882" s="201"/>
      <c r="H882" s="209"/>
      <c r="I882" s="209"/>
      <c r="J882" s="201"/>
      <c r="K882" s="210" t="s">
        <v>39</v>
      </c>
      <c r="L882" s="201"/>
      <c r="M882" s="201"/>
      <c r="N882" s="201"/>
      <c r="O882" s="201"/>
      <c r="P882" s="201"/>
      <c r="Q882" s="201"/>
      <c r="R882" s="201"/>
      <c r="S882" s="201"/>
      <c r="T882" s="201"/>
      <c r="U882" s="201"/>
      <c r="V882" s="201"/>
      <c r="W882" s="201"/>
      <c r="X882" s="201"/>
      <c r="Y882" s="201"/>
      <c r="Z882" s="201"/>
      <c r="AA882" s="201"/>
    </row>
    <row r="883">
      <c r="A883" s="201"/>
      <c r="B883" s="201"/>
      <c r="C883" s="201"/>
      <c r="D883" s="201"/>
      <c r="E883" s="201"/>
      <c r="F883" s="201"/>
      <c r="G883" s="201"/>
      <c r="H883" s="209"/>
      <c r="I883" s="209"/>
      <c r="J883" s="201"/>
      <c r="K883" s="210" t="s">
        <v>39</v>
      </c>
      <c r="L883" s="201"/>
      <c r="M883" s="201"/>
      <c r="N883" s="201"/>
      <c r="O883" s="201"/>
      <c r="P883" s="201"/>
      <c r="Q883" s="201"/>
      <c r="R883" s="201"/>
      <c r="S883" s="201"/>
      <c r="T883" s="201"/>
      <c r="U883" s="201"/>
      <c r="V883" s="201"/>
      <c r="W883" s="201"/>
      <c r="X883" s="201"/>
      <c r="Y883" s="201"/>
      <c r="Z883" s="201"/>
      <c r="AA883" s="201"/>
    </row>
    <row r="884">
      <c r="A884" s="201"/>
      <c r="B884" s="201"/>
      <c r="C884" s="201"/>
      <c r="D884" s="201"/>
      <c r="E884" s="201"/>
      <c r="F884" s="201"/>
      <c r="G884" s="201"/>
      <c r="H884" s="209"/>
      <c r="I884" s="209"/>
      <c r="J884" s="201"/>
      <c r="K884" s="210" t="s">
        <v>39</v>
      </c>
      <c r="L884" s="201"/>
      <c r="M884" s="201"/>
      <c r="N884" s="201"/>
      <c r="O884" s="201"/>
      <c r="P884" s="201"/>
      <c r="Q884" s="201"/>
      <c r="R884" s="201"/>
      <c r="S884" s="201"/>
      <c r="T884" s="201"/>
      <c r="U884" s="201"/>
      <c r="V884" s="201"/>
      <c r="W884" s="201"/>
      <c r="X884" s="201"/>
      <c r="Y884" s="201"/>
      <c r="Z884" s="201"/>
      <c r="AA884" s="201"/>
    </row>
    <row r="885">
      <c r="A885" s="201"/>
      <c r="B885" s="201"/>
      <c r="C885" s="201"/>
      <c r="D885" s="201"/>
      <c r="E885" s="201"/>
      <c r="F885" s="201"/>
      <c r="G885" s="201"/>
      <c r="H885" s="209"/>
      <c r="I885" s="209"/>
      <c r="J885" s="201"/>
      <c r="K885" s="210" t="s">
        <v>39</v>
      </c>
      <c r="L885" s="201"/>
      <c r="M885" s="201"/>
      <c r="N885" s="201"/>
      <c r="O885" s="201"/>
      <c r="P885" s="201"/>
      <c r="Q885" s="201"/>
      <c r="R885" s="201"/>
      <c r="S885" s="201"/>
      <c r="T885" s="201"/>
      <c r="U885" s="201"/>
      <c r="V885" s="201"/>
      <c r="W885" s="201"/>
      <c r="X885" s="201"/>
      <c r="Y885" s="201"/>
      <c r="Z885" s="201"/>
      <c r="AA885" s="201"/>
    </row>
    <row r="886">
      <c r="A886" s="201"/>
      <c r="B886" s="201"/>
      <c r="C886" s="201"/>
      <c r="D886" s="201"/>
      <c r="E886" s="201"/>
      <c r="F886" s="201"/>
      <c r="G886" s="201"/>
      <c r="H886" s="209"/>
      <c r="I886" s="209"/>
      <c r="J886" s="201"/>
      <c r="K886" s="210" t="s">
        <v>39</v>
      </c>
      <c r="L886" s="201"/>
      <c r="M886" s="201"/>
      <c r="N886" s="201"/>
      <c r="O886" s="201"/>
      <c r="P886" s="201"/>
      <c r="Q886" s="201"/>
      <c r="R886" s="201"/>
      <c r="S886" s="201"/>
      <c r="T886" s="201"/>
      <c r="U886" s="201"/>
      <c r="V886" s="201"/>
      <c r="W886" s="201"/>
      <c r="X886" s="201"/>
      <c r="Y886" s="201"/>
      <c r="Z886" s="201"/>
      <c r="AA886" s="201"/>
    </row>
    <row r="887">
      <c r="A887" s="201"/>
      <c r="B887" s="201"/>
      <c r="C887" s="201"/>
      <c r="D887" s="201"/>
      <c r="E887" s="201"/>
      <c r="F887" s="201"/>
      <c r="G887" s="201"/>
      <c r="H887" s="209"/>
      <c r="I887" s="209"/>
      <c r="J887" s="201"/>
      <c r="K887" s="210" t="s">
        <v>39</v>
      </c>
      <c r="L887" s="201"/>
      <c r="M887" s="201"/>
      <c r="N887" s="201"/>
      <c r="O887" s="201"/>
      <c r="P887" s="201"/>
      <c r="Q887" s="201"/>
      <c r="R887" s="201"/>
      <c r="S887" s="201"/>
      <c r="T887" s="201"/>
      <c r="U887" s="201"/>
      <c r="V887" s="201"/>
      <c r="W887" s="201"/>
      <c r="X887" s="201"/>
      <c r="Y887" s="201"/>
      <c r="Z887" s="201"/>
      <c r="AA887" s="201"/>
    </row>
    <row r="888">
      <c r="A888" s="201"/>
      <c r="B888" s="201"/>
      <c r="C888" s="201"/>
      <c r="D888" s="201"/>
      <c r="E888" s="201"/>
      <c r="F888" s="201"/>
      <c r="G888" s="201"/>
      <c r="H888" s="209"/>
      <c r="I888" s="209"/>
      <c r="J888" s="201"/>
      <c r="K888" s="210" t="s">
        <v>39</v>
      </c>
      <c r="L888" s="201"/>
      <c r="M888" s="201"/>
      <c r="N888" s="201"/>
      <c r="O888" s="201"/>
      <c r="P888" s="201"/>
      <c r="Q888" s="201"/>
      <c r="R888" s="201"/>
      <c r="S888" s="201"/>
      <c r="T888" s="201"/>
      <c r="U888" s="201"/>
      <c r="V888" s="201"/>
      <c r="W888" s="201"/>
      <c r="X888" s="201"/>
      <c r="Y888" s="201"/>
      <c r="Z888" s="201"/>
      <c r="AA888" s="201"/>
    </row>
    <row r="889">
      <c r="A889" s="201"/>
      <c r="B889" s="201"/>
      <c r="C889" s="201"/>
      <c r="D889" s="201"/>
      <c r="E889" s="201"/>
      <c r="F889" s="201"/>
      <c r="G889" s="201"/>
      <c r="H889" s="209"/>
      <c r="I889" s="209"/>
      <c r="J889" s="201"/>
      <c r="K889" s="210" t="s">
        <v>39</v>
      </c>
      <c r="L889" s="201"/>
      <c r="M889" s="201"/>
      <c r="N889" s="201"/>
      <c r="O889" s="201"/>
      <c r="P889" s="201"/>
      <c r="Q889" s="201"/>
      <c r="R889" s="201"/>
      <c r="S889" s="201"/>
      <c r="T889" s="201"/>
      <c r="U889" s="201"/>
      <c r="V889" s="201"/>
      <c r="W889" s="201"/>
      <c r="X889" s="201"/>
      <c r="Y889" s="201"/>
      <c r="Z889" s="201"/>
      <c r="AA889" s="201"/>
    </row>
    <row r="890">
      <c r="A890" s="201"/>
      <c r="B890" s="201"/>
      <c r="C890" s="201"/>
      <c r="D890" s="201"/>
      <c r="E890" s="201"/>
      <c r="F890" s="201"/>
      <c r="G890" s="201"/>
      <c r="H890" s="209"/>
      <c r="I890" s="209"/>
      <c r="J890" s="201"/>
      <c r="K890" s="210" t="s">
        <v>39</v>
      </c>
      <c r="L890" s="201"/>
      <c r="M890" s="201"/>
      <c r="N890" s="201"/>
      <c r="O890" s="201"/>
      <c r="P890" s="201"/>
      <c r="Q890" s="201"/>
      <c r="R890" s="201"/>
      <c r="S890" s="201"/>
      <c r="T890" s="201"/>
      <c r="U890" s="201"/>
      <c r="V890" s="201"/>
      <c r="W890" s="201"/>
      <c r="X890" s="201"/>
      <c r="Y890" s="201"/>
      <c r="Z890" s="201"/>
      <c r="AA890" s="201"/>
    </row>
    <row r="891">
      <c r="A891" s="201"/>
      <c r="B891" s="201"/>
      <c r="C891" s="201"/>
      <c r="D891" s="201"/>
      <c r="E891" s="201"/>
      <c r="F891" s="201"/>
      <c r="G891" s="201"/>
      <c r="H891" s="209"/>
      <c r="I891" s="209"/>
      <c r="J891" s="201"/>
      <c r="K891" s="210" t="s">
        <v>39</v>
      </c>
      <c r="L891" s="201"/>
      <c r="M891" s="201"/>
      <c r="N891" s="201"/>
      <c r="O891" s="201"/>
      <c r="P891" s="201"/>
      <c r="Q891" s="201"/>
      <c r="R891" s="201"/>
      <c r="S891" s="201"/>
      <c r="T891" s="201"/>
      <c r="U891" s="201"/>
      <c r="V891" s="201"/>
      <c r="W891" s="201"/>
      <c r="X891" s="201"/>
      <c r="Y891" s="201"/>
      <c r="Z891" s="201"/>
      <c r="AA891" s="201"/>
    </row>
    <row r="892">
      <c r="A892" s="201"/>
      <c r="B892" s="201"/>
      <c r="C892" s="201"/>
      <c r="D892" s="201"/>
      <c r="E892" s="201"/>
      <c r="F892" s="201"/>
      <c r="G892" s="201"/>
      <c r="H892" s="209"/>
      <c r="I892" s="209"/>
      <c r="J892" s="201"/>
      <c r="K892" s="210" t="s">
        <v>39</v>
      </c>
      <c r="L892" s="201"/>
      <c r="M892" s="201"/>
      <c r="N892" s="201"/>
      <c r="O892" s="201"/>
      <c r="P892" s="201"/>
      <c r="Q892" s="201"/>
      <c r="R892" s="201"/>
      <c r="S892" s="201"/>
      <c r="T892" s="201"/>
      <c r="U892" s="201"/>
      <c r="V892" s="201"/>
      <c r="W892" s="201"/>
      <c r="X892" s="201"/>
      <c r="Y892" s="201"/>
      <c r="Z892" s="201"/>
      <c r="AA892" s="201"/>
    </row>
    <row r="893">
      <c r="A893" s="201"/>
      <c r="B893" s="201"/>
      <c r="C893" s="201"/>
      <c r="D893" s="201"/>
      <c r="E893" s="201"/>
      <c r="F893" s="201"/>
      <c r="G893" s="201"/>
      <c r="H893" s="209"/>
      <c r="I893" s="209"/>
      <c r="J893" s="201"/>
      <c r="K893" s="210" t="s">
        <v>39</v>
      </c>
      <c r="L893" s="201"/>
      <c r="M893" s="201"/>
      <c r="N893" s="201"/>
      <c r="O893" s="201"/>
      <c r="P893" s="201"/>
      <c r="Q893" s="201"/>
      <c r="R893" s="201"/>
      <c r="S893" s="201"/>
      <c r="T893" s="201"/>
      <c r="U893" s="201"/>
      <c r="V893" s="201"/>
      <c r="W893" s="201"/>
      <c r="X893" s="201"/>
      <c r="Y893" s="201"/>
      <c r="Z893" s="201"/>
      <c r="AA893" s="201"/>
    </row>
    <row r="894">
      <c r="A894" s="201"/>
      <c r="B894" s="201"/>
      <c r="C894" s="201"/>
      <c r="D894" s="201"/>
      <c r="E894" s="201"/>
      <c r="F894" s="201"/>
      <c r="G894" s="201"/>
      <c r="H894" s="209"/>
      <c r="I894" s="209"/>
      <c r="J894" s="201"/>
      <c r="K894" s="210" t="s">
        <v>39</v>
      </c>
      <c r="L894" s="201"/>
      <c r="M894" s="201"/>
      <c r="N894" s="201"/>
      <c r="O894" s="201"/>
      <c r="P894" s="201"/>
      <c r="Q894" s="201"/>
      <c r="R894" s="201"/>
      <c r="S894" s="201"/>
      <c r="T894" s="201"/>
      <c r="U894" s="201"/>
      <c r="V894" s="201"/>
      <c r="W894" s="201"/>
      <c r="X894" s="201"/>
      <c r="Y894" s="201"/>
      <c r="Z894" s="201"/>
      <c r="AA894" s="201"/>
    </row>
    <row r="895">
      <c r="A895" s="201"/>
      <c r="B895" s="201"/>
      <c r="C895" s="201"/>
      <c r="D895" s="201"/>
      <c r="E895" s="201"/>
      <c r="F895" s="201"/>
      <c r="G895" s="201"/>
      <c r="H895" s="209"/>
      <c r="I895" s="209"/>
      <c r="J895" s="201"/>
      <c r="K895" s="210" t="s">
        <v>39</v>
      </c>
      <c r="L895" s="201"/>
      <c r="M895" s="201"/>
      <c r="N895" s="201"/>
      <c r="O895" s="201"/>
      <c r="P895" s="201"/>
      <c r="Q895" s="201"/>
      <c r="R895" s="201"/>
      <c r="S895" s="201"/>
      <c r="T895" s="201"/>
      <c r="U895" s="201"/>
      <c r="V895" s="201"/>
      <c r="W895" s="201"/>
      <c r="X895" s="201"/>
      <c r="Y895" s="201"/>
      <c r="Z895" s="201"/>
      <c r="AA895" s="201"/>
    </row>
    <row r="896">
      <c r="A896" s="201"/>
      <c r="B896" s="201"/>
      <c r="C896" s="201"/>
      <c r="D896" s="201"/>
      <c r="E896" s="201"/>
      <c r="F896" s="201"/>
      <c r="G896" s="201"/>
      <c r="H896" s="209"/>
      <c r="I896" s="209"/>
      <c r="J896" s="201"/>
      <c r="K896" s="210" t="s">
        <v>39</v>
      </c>
      <c r="L896" s="201"/>
      <c r="M896" s="201"/>
      <c r="N896" s="201"/>
      <c r="O896" s="201"/>
      <c r="P896" s="201"/>
      <c r="Q896" s="201"/>
      <c r="R896" s="201"/>
      <c r="S896" s="201"/>
      <c r="T896" s="201"/>
      <c r="U896" s="201"/>
      <c r="V896" s="201"/>
      <c r="W896" s="201"/>
      <c r="X896" s="201"/>
      <c r="Y896" s="201"/>
      <c r="Z896" s="201"/>
      <c r="AA896" s="201"/>
    </row>
    <row r="897">
      <c r="A897" s="201"/>
      <c r="B897" s="201"/>
      <c r="C897" s="201"/>
      <c r="D897" s="201"/>
      <c r="E897" s="201"/>
      <c r="F897" s="201"/>
      <c r="G897" s="201"/>
      <c r="H897" s="209"/>
      <c r="I897" s="209"/>
      <c r="J897" s="201"/>
      <c r="K897" s="210" t="s">
        <v>39</v>
      </c>
      <c r="L897" s="201"/>
      <c r="M897" s="201"/>
      <c r="N897" s="201"/>
      <c r="O897" s="201"/>
      <c r="P897" s="201"/>
      <c r="Q897" s="201"/>
      <c r="R897" s="201"/>
      <c r="S897" s="201"/>
      <c r="T897" s="201"/>
      <c r="U897" s="201"/>
      <c r="V897" s="201"/>
      <c r="W897" s="201"/>
      <c r="X897" s="201"/>
      <c r="Y897" s="201"/>
      <c r="Z897" s="201"/>
      <c r="AA897" s="201"/>
    </row>
    <row r="898">
      <c r="A898" s="201"/>
      <c r="B898" s="201"/>
      <c r="C898" s="201"/>
      <c r="D898" s="201"/>
      <c r="E898" s="201"/>
      <c r="F898" s="201"/>
      <c r="G898" s="201"/>
      <c r="H898" s="209"/>
      <c r="I898" s="209"/>
      <c r="J898" s="201"/>
      <c r="K898" s="210" t="s">
        <v>39</v>
      </c>
      <c r="L898" s="201"/>
      <c r="M898" s="201"/>
      <c r="N898" s="201"/>
      <c r="O898" s="201"/>
      <c r="P898" s="201"/>
      <c r="Q898" s="201"/>
      <c r="R898" s="201"/>
      <c r="S898" s="201"/>
      <c r="T898" s="201"/>
      <c r="U898" s="201"/>
      <c r="V898" s="201"/>
      <c r="W898" s="201"/>
      <c r="X898" s="201"/>
      <c r="Y898" s="201"/>
      <c r="Z898" s="201"/>
      <c r="AA898" s="201"/>
    </row>
    <row r="899">
      <c r="A899" s="201"/>
      <c r="B899" s="201"/>
      <c r="C899" s="201"/>
      <c r="D899" s="201"/>
      <c r="E899" s="201"/>
      <c r="F899" s="201"/>
      <c r="G899" s="201"/>
      <c r="H899" s="209"/>
      <c r="I899" s="209"/>
      <c r="J899" s="201"/>
      <c r="K899" s="210" t="s">
        <v>39</v>
      </c>
      <c r="L899" s="201"/>
      <c r="M899" s="201"/>
      <c r="N899" s="201"/>
      <c r="O899" s="201"/>
      <c r="P899" s="201"/>
      <c r="Q899" s="201"/>
      <c r="R899" s="201"/>
      <c r="S899" s="201"/>
      <c r="T899" s="201"/>
      <c r="U899" s="201"/>
      <c r="V899" s="201"/>
      <c r="W899" s="201"/>
      <c r="X899" s="201"/>
      <c r="Y899" s="201"/>
      <c r="Z899" s="201"/>
      <c r="AA899" s="201"/>
    </row>
    <row r="900">
      <c r="A900" s="201"/>
      <c r="B900" s="201"/>
      <c r="C900" s="201"/>
      <c r="D900" s="201"/>
      <c r="E900" s="201"/>
      <c r="F900" s="201"/>
      <c r="G900" s="201"/>
      <c r="H900" s="209"/>
      <c r="I900" s="209"/>
      <c r="J900" s="201"/>
      <c r="K900" s="210" t="s">
        <v>39</v>
      </c>
      <c r="L900" s="201"/>
      <c r="M900" s="201"/>
      <c r="N900" s="201"/>
      <c r="O900" s="201"/>
      <c r="P900" s="201"/>
      <c r="Q900" s="201"/>
      <c r="R900" s="201"/>
      <c r="S900" s="201"/>
      <c r="T900" s="201"/>
      <c r="U900" s="201"/>
      <c r="V900" s="201"/>
      <c r="W900" s="201"/>
      <c r="X900" s="201"/>
      <c r="Y900" s="201"/>
      <c r="Z900" s="201"/>
      <c r="AA900" s="201"/>
    </row>
    <row r="901">
      <c r="A901" s="201"/>
      <c r="B901" s="201"/>
      <c r="C901" s="201"/>
      <c r="D901" s="201"/>
      <c r="E901" s="201"/>
      <c r="F901" s="201"/>
      <c r="G901" s="201"/>
      <c r="H901" s="209"/>
      <c r="I901" s="209"/>
      <c r="J901" s="201"/>
      <c r="K901" s="210" t="s">
        <v>39</v>
      </c>
      <c r="L901" s="201"/>
      <c r="M901" s="201"/>
      <c r="N901" s="201"/>
      <c r="O901" s="201"/>
      <c r="P901" s="201"/>
      <c r="Q901" s="201"/>
      <c r="R901" s="201"/>
      <c r="S901" s="201"/>
      <c r="T901" s="201"/>
      <c r="U901" s="201"/>
      <c r="V901" s="201"/>
      <c r="W901" s="201"/>
      <c r="X901" s="201"/>
      <c r="Y901" s="201"/>
      <c r="Z901" s="201"/>
      <c r="AA901" s="201"/>
    </row>
    <row r="902">
      <c r="A902" s="201"/>
      <c r="B902" s="201"/>
      <c r="C902" s="201"/>
      <c r="D902" s="201"/>
      <c r="E902" s="201"/>
      <c r="F902" s="201"/>
      <c r="G902" s="201"/>
      <c r="H902" s="209"/>
      <c r="I902" s="209"/>
      <c r="J902" s="201"/>
      <c r="K902" s="210" t="s">
        <v>39</v>
      </c>
      <c r="L902" s="201"/>
      <c r="M902" s="201"/>
      <c r="N902" s="201"/>
      <c r="O902" s="201"/>
      <c r="P902" s="201"/>
      <c r="Q902" s="201"/>
      <c r="R902" s="201"/>
      <c r="S902" s="201"/>
      <c r="T902" s="201"/>
      <c r="U902" s="201"/>
      <c r="V902" s="201"/>
      <c r="W902" s="201"/>
      <c r="X902" s="201"/>
      <c r="Y902" s="201"/>
      <c r="Z902" s="201"/>
      <c r="AA902" s="201"/>
    </row>
    <row r="903">
      <c r="A903" s="201"/>
      <c r="B903" s="201"/>
      <c r="C903" s="201"/>
      <c r="D903" s="201"/>
      <c r="E903" s="201"/>
      <c r="F903" s="201"/>
      <c r="G903" s="201"/>
      <c r="H903" s="209"/>
      <c r="I903" s="209"/>
      <c r="J903" s="201"/>
      <c r="K903" s="210" t="s">
        <v>39</v>
      </c>
      <c r="L903" s="201"/>
      <c r="M903" s="201"/>
      <c r="N903" s="201"/>
      <c r="O903" s="201"/>
      <c r="P903" s="201"/>
      <c r="Q903" s="201"/>
      <c r="R903" s="201"/>
      <c r="S903" s="201"/>
      <c r="T903" s="201"/>
      <c r="U903" s="201"/>
      <c r="V903" s="201"/>
      <c r="W903" s="201"/>
      <c r="X903" s="201"/>
      <c r="Y903" s="201"/>
      <c r="Z903" s="201"/>
      <c r="AA903" s="201"/>
    </row>
    <row r="904">
      <c r="A904" s="201"/>
      <c r="B904" s="201"/>
      <c r="C904" s="201"/>
      <c r="D904" s="201"/>
      <c r="E904" s="201"/>
      <c r="F904" s="201"/>
      <c r="G904" s="201"/>
      <c r="H904" s="209"/>
      <c r="I904" s="209"/>
      <c r="J904" s="201"/>
      <c r="K904" s="210" t="s">
        <v>39</v>
      </c>
      <c r="L904" s="201"/>
      <c r="M904" s="201"/>
      <c r="N904" s="201"/>
      <c r="O904" s="201"/>
      <c r="P904" s="201"/>
      <c r="Q904" s="201"/>
      <c r="R904" s="201"/>
      <c r="S904" s="201"/>
      <c r="T904" s="201"/>
      <c r="U904" s="201"/>
      <c r="V904" s="201"/>
      <c r="W904" s="201"/>
      <c r="X904" s="201"/>
      <c r="Y904" s="201"/>
      <c r="Z904" s="201"/>
      <c r="AA904" s="201"/>
    </row>
    <row r="905">
      <c r="A905" s="201"/>
      <c r="B905" s="201"/>
      <c r="C905" s="201"/>
      <c r="D905" s="201"/>
      <c r="E905" s="201"/>
      <c r="F905" s="201"/>
      <c r="G905" s="201"/>
      <c r="H905" s="209"/>
      <c r="I905" s="209"/>
      <c r="J905" s="201"/>
      <c r="K905" s="210" t="s">
        <v>39</v>
      </c>
      <c r="L905" s="201"/>
      <c r="M905" s="201"/>
      <c r="N905" s="201"/>
      <c r="O905" s="201"/>
      <c r="P905" s="201"/>
      <c r="Q905" s="201"/>
      <c r="R905" s="201"/>
      <c r="S905" s="201"/>
      <c r="T905" s="201"/>
      <c r="U905" s="201"/>
      <c r="V905" s="201"/>
      <c r="W905" s="201"/>
      <c r="X905" s="201"/>
      <c r="Y905" s="201"/>
      <c r="Z905" s="201"/>
      <c r="AA905" s="201"/>
    </row>
    <row r="906">
      <c r="A906" s="201"/>
      <c r="B906" s="201"/>
      <c r="C906" s="201"/>
      <c r="D906" s="201"/>
      <c r="E906" s="201"/>
      <c r="F906" s="201"/>
      <c r="G906" s="201"/>
      <c r="H906" s="209"/>
      <c r="I906" s="209"/>
      <c r="J906" s="201"/>
      <c r="K906" s="210" t="s">
        <v>39</v>
      </c>
      <c r="L906" s="201"/>
      <c r="M906" s="201"/>
      <c r="N906" s="201"/>
      <c r="O906" s="201"/>
      <c r="P906" s="201"/>
      <c r="Q906" s="201"/>
      <c r="R906" s="201"/>
      <c r="S906" s="201"/>
      <c r="T906" s="201"/>
      <c r="U906" s="201"/>
      <c r="V906" s="201"/>
      <c r="W906" s="201"/>
      <c r="X906" s="201"/>
      <c r="Y906" s="201"/>
      <c r="Z906" s="201"/>
      <c r="AA906" s="201"/>
    </row>
    <row r="907">
      <c r="A907" s="201"/>
      <c r="B907" s="201"/>
      <c r="C907" s="201"/>
      <c r="D907" s="201"/>
      <c r="E907" s="201"/>
      <c r="F907" s="201"/>
      <c r="G907" s="201"/>
      <c r="H907" s="209"/>
      <c r="I907" s="209"/>
      <c r="J907" s="201"/>
      <c r="K907" s="210" t="s">
        <v>39</v>
      </c>
      <c r="L907" s="201"/>
      <c r="M907" s="201"/>
      <c r="N907" s="201"/>
      <c r="O907" s="201"/>
      <c r="P907" s="201"/>
      <c r="Q907" s="201"/>
      <c r="R907" s="201"/>
      <c r="S907" s="201"/>
      <c r="T907" s="201"/>
      <c r="U907" s="201"/>
      <c r="V907" s="201"/>
      <c r="W907" s="201"/>
      <c r="X907" s="201"/>
      <c r="Y907" s="201"/>
      <c r="Z907" s="201"/>
      <c r="AA907" s="201"/>
    </row>
    <row r="908">
      <c r="A908" s="201"/>
      <c r="B908" s="201"/>
      <c r="C908" s="201"/>
      <c r="D908" s="201"/>
      <c r="E908" s="201"/>
      <c r="F908" s="201"/>
      <c r="G908" s="201"/>
      <c r="H908" s="209"/>
      <c r="I908" s="209"/>
      <c r="J908" s="201"/>
      <c r="K908" s="210" t="s">
        <v>39</v>
      </c>
      <c r="L908" s="201"/>
      <c r="M908" s="201"/>
      <c r="N908" s="201"/>
      <c r="O908" s="201"/>
      <c r="P908" s="201"/>
      <c r="Q908" s="201"/>
      <c r="R908" s="201"/>
      <c r="S908" s="201"/>
      <c r="T908" s="201"/>
      <c r="U908" s="201"/>
      <c r="V908" s="201"/>
      <c r="W908" s="201"/>
      <c r="X908" s="201"/>
      <c r="Y908" s="201"/>
      <c r="Z908" s="201"/>
      <c r="AA908" s="201"/>
    </row>
    <row r="909">
      <c r="A909" s="201"/>
      <c r="B909" s="201"/>
      <c r="C909" s="201"/>
      <c r="D909" s="201"/>
      <c r="E909" s="201"/>
      <c r="F909" s="201"/>
      <c r="G909" s="201"/>
      <c r="H909" s="209"/>
      <c r="I909" s="209"/>
      <c r="J909" s="201"/>
      <c r="K909" s="210" t="s">
        <v>39</v>
      </c>
      <c r="L909" s="201"/>
      <c r="M909" s="201"/>
      <c r="N909" s="201"/>
      <c r="O909" s="201"/>
      <c r="P909" s="201"/>
      <c r="Q909" s="201"/>
      <c r="R909" s="201"/>
      <c r="S909" s="201"/>
      <c r="T909" s="201"/>
      <c r="U909" s="201"/>
      <c r="V909" s="201"/>
      <c r="W909" s="201"/>
      <c r="X909" s="201"/>
      <c r="Y909" s="201"/>
      <c r="Z909" s="201"/>
      <c r="AA909" s="201"/>
    </row>
    <row r="910">
      <c r="A910" s="201"/>
      <c r="B910" s="201"/>
      <c r="C910" s="201"/>
      <c r="D910" s="201"/>
      <c r="E910" s="201"/>
      <c r="F910" s="201"/>
      <c r="G910" s="201"/>
      <c r="H910" s="209"/>
      <c r="I910" s="209"/>
      <c r="J910" s="201"/>
      <c r="K910" s="210" t="s">
        <v>39</v>
      </c>
      <c r="L910" s="201"/>
      <c r="M910" s="201"/>
      <c r="N910" s="201"/>
      <c r="O910" s="201"/>
      <c r="P910" s="201"/>
      <c r="Q910" s="201"/>
      <c r="R910" s="201"/>
      <c r="S910" s="201"/>
      <c r="T910" s="201"/>
      <c r="U910" s="201"/>
      <c r="V910" s="201"/>
      <c r="W910" s="201"/>
      <c r="X910" s="201"/>
      <c r="Y910" s="201"/>
      <c r="Z910" s="201"/>
      <c r="AA910" s="201"/>
    </row>
    <row r="911">
      <c r="A911" s="201"/>
      <c r="B911" s="201"/>
      <c r="C911" s="201"/>
      <c r="D911" s="201"/>
      <c r="E911" s="201"/>
      <c r="F911" s="201"/>
      <c r="G911" s="201"/>
      <c r="H911" s="209"/>
      <c r="I911" s="209"/>
      <c r="J911" s="201"/>
      <c r="K911" s="210" t="s">
        <v>39</v>
      </c>
      <c r="L911" s="201"/>
      <c r="M911" s="201"/>
      <c r="N911" s="201"/>
      <c r="O911" s="201"/>
      <c r="P911" s="201"/>
      <c r="Q911" s="201"/>
      <c r="R911" s="201"/>
      <c r="S911" s="201"/>
      <c r="T911" s="201"/>
      <c r="U911" s="201"/>
      <c r="V911" s="201"/>
      <c r="W911" s="201"/>
      <c r="X911" s="201"/>
      <c r="Y911" s="201"/>
      <c r="Z911" s="201"/>
      <c r="AA911" s="201"/>
    </row>
    <row r="912">
      <c r="A912" s="201"/>
      <c r="B912" s="201"/>
      <c r="C912" s="201"/>
      <c r="D912" s="201"/>
      <c r="E912" s="201"/>
      <c r="F912" s="201"/>
      <c r="G912" s="201"/>
      <c r="H912" s="209"/>
      <c r="I912" s="209"/>
      <c r="J912" s="201"/>
      <c r="K912" s="210" t="s">
        <v>39</v>
      </c>
      <c r="L912" s="201"/>
      <c r="M912" s="201"/>
      <c r="N912" s="201"/>
      <c r="O912" s="201"/>
      <c r="P912" s="201"/>
      <c r="Q912" s="201"/>
      <c r="R912" s="201"/>
      <c r="S912" s="201"/>
      <c r="T912" s="201"/>
      <c r="U912" s="201"/>
      <c r="V912" s="201"/>
      <c r="W912" s="201"/>
      <c r="X912" s="201"/>
      <c r="Y912" s="201"/>
      <c r="Z912" s="201"/>
      <c r="AA912" s="201"/>
    </row>
    <row r="913">
      <c r="A913" s="201"/>
      <c r="B913" s="201"/>
      <c r="C913" s="201"/>
      <c r="D913" s="201"/>
      <c r="E913" s="201"/>
      <c r="F913" s="201"/>
      <c r="G913" s="201"/>
      <c r="H913" s="209"/>
      <c r="I913" s="209"/>
      <c r="J913" s="201"/>
      <c r="K913" s="210" t="s">
        <v>39</v>
      </c>
      <c r="L913" s="201"/>
      <c r="M913" s="201"/>
      <c r="N913" s="201"/>
      <c r="O913" s="201"/>
      <c r="P913" s="201"/>
      <c r="Q913" s="201"/>
      <c r="R913" s="201"/>
      <c r="S913" s="201"/>
      <c r="T913" s="201"/>
      <c r="U913" s="201"/>
      <c r="V913" s="201"/>
      <c r="W913" s="201"/>
      <c r="X913" s="201"/>
      <c r="Y913" s="201"/>
      <c r="Z913" s="201"/>
      <c r="AA913" s="201"/>
    </row>
    <row r="914">
      <c r="A914" s="201"/>
      <c r="B914" s="201"/>
      <c r="C914" s="201"/>
      <c r="D914" s="201"/>
      <c r="E914" s="201"/>
      <c r="F914" s="201"/>
      <c r="G914" s="201"/>
      <c r="H914" s="209"/>
      <c r="I914" s="209"/>
      <c r="J914" s="201"/>
      <c r="K914" s="210" t="s">
        <v>39</v>
      </c>
      <c r="L914" s="201"/>
      <c r="M914" s="201"/>
      <c r="N914" s="201"/>
      <c r="O914" s="201"/>
      <c r="P914" s="201"/>
      <c r="Q914" s="201"/>
      <c r="R914" s="201"/>
      <c r="S914" s="201"/>
      <c r="T914" s="201"/>
      <c r="U914" s="201"/>
      <c r="V914" s="201"/>
      <c r="W914" s="201"/>
      <c r="X914" s="201"/>
      <c r="Y914" s="201"/>
      <c r="Z914" s="201"/>
      <c r="AA914" s="201"/>
    </row>
    <row r="915">
      <c r="A915" s="201"/>
      <c r="B915" s="201"/>
      <c r="C915" s="201"/>
      <c r="D915" s="201"/>
      <c r="E915" s="201"/>
      <c r="F915" s="201"/>
      <c r="G915" s="201"/>
      <c r="H915" s="209"/>
      <c r="I915" s="209"/>
      <c r="J915" s="201"/>
      <c r="K915" s="210" t="s">
        <v>39</v>
      </c>
      <c r="L915" s="201"/>
      <c r="M915" s="201"/>
      <c r="N915" s="201"/>
      <c r="O915" s="201"/>
      <c r="P915" s="201"/>
      <c r="Q915" s="201"/>
      <c r="R915" s="201"/>
      <c r="S915" s="201"/>
      <c r="T915" s="201"/>
      <c r="U915" s="201"/>
      <c r="V915" s="201"/>
      <c r="W915" s="201"/>
      <c r="X915" s="201"/>
      <c r="Y915" s="201"/>
      <c r="Z915" s="201"/>
      <c r="AA915" s="201"/>
    </row>
    <row r="916">
      <c r="A916" s="201"/>
      <c r="B916" s="201"/>
      <c r="C916" s="201"/>
      <c r="D916" s="201"/>
      <c r="E916" s="201"/>
      <c r="F916" s="201"/>
      <c r="G916" s="201"/>
      <c r="H916" s="209"/>
      <c r="I916" s="209"/>
      <c r="J916" s="201"/>
      <c r="K916" s="210" t="s">
        <v>39</v>
      </c>
      <c r="L916" s="201"/>
      <c r="M916" s="201"/>
      <c r="N916" s="201"/>
      <c r="O916" s="201"/>
      <c r="P916" s="201"/>
      <c r="Q916" s="201"/>
      <c r="R916" s="201"/>
      <c r="S916" s="201"/>
      <c r="T916" s="201"/>
      <c r="U916" s="201"/>
      <c r="V916" s="201"/>
      <c r="W916" s="201"/>
      <c r="X916" s="201"/>
      <c r="Y916" s="201"/>
      <c r="Z916" s="201"/>
      <c r="AA916" s="201"/>
    </row>
    <row r="917">
      <c r="A917" s="201"/>
      <c r="B917" s="201"/>
      <c r="C917" s="201"/>
      <c r="D917" s="201"/>
      <c r="E917" s="201"/>
      <c r="F917" s="201"/>
      <c r="G917" s="201"/>
      <c r="H917" s="209"/>
      <c r="I917" s="209"/>
      <c r="J917" s="201"/>
      <c r="K917" s="210" t="s">
        <v>39</v>
      </c>
      <c r="L917" s="201"/>
      <c r="M917" s="201"/>
      <c r="N917" s="201"/>
      <c r="O917" s="201"/>
      <c r="P917" s="201"/>
      <c r="Q917" s="201"/>
      <c r="R917" s="201"/>
      <c r="S917" s="201"/>
      <c r="T917" s="201"/>
      <c r="U917" s="201"/>
      <c r="V917" s="201"/>
      <c r="W917" s="201"/>
      <c r="X917" s="201"/>
      <c r="Y917" s="201"/>
      <c r="Z917" s="201"/>
      <c r="AA917" s="201"/>
    </row>
    <row r="918">
      <c r="A918" s="201"/>
      <c r="B918" s="201"/>
      <c r="C918" s="201"/>
      <c r="D918" s="201"/>
      <c r="E918" s="201"/>
      <c r="F918" s="201"/>
      <c r="G918" s="201"/>
      <c r="H918" s="209"/>
      <c r="I918" s="209"/>
      <c r="J918" s="201"/>
      <c r="K918" s="210" t="s">
        <v>39</v>
      </c>
      <c r="L918" s="201"/>
      <c r="M918" s="201"/>
      <c r="N918" s="201"/>
      <c r="O918" s="201"/>
      <c r="P918" s="201"/>
      <c r="Q918" s="201"/>
      <c r="R918" s="201"/>
      <c r="S918" s="201"/>
      <c r="T918" s="201"/>
      <c r="U918" s="201"/>
      <c r="V918" s="201"/>
      <c r="W918" s="201"/>
      <c r="X918" s="201"/>
      <c r="Y918" s="201"/>
      <c r="Z918" s="201"/>
      <c r="AA918" s="201"/>
    </row>
    <row r="919">
      <c r="A919" s="201"/>
      <c r="B919" s="201"/>
      <c r="C919" s="201"/>
      <c r="D919" s="201"/>
      <c r="E919" s="201"/>
      <c r="F919" s="201"/>
      <c r="G919" s="201"/>
      <c r="H919" s="209"/>
      <c r="I919" s="209"/>
      <c r="J919" s="201"/>
      <c r="K919" s="210" t="s">
        <v>39</v>
      </c>
      <c r="L919" s="201"/>
      <c r="M919" s="201"/>
      <c r="N919" s="201"/>
      <c r="O919" s="201"/>
      <c r="P919" s="201"/>
      <c r="Q919" s="201"/>
      <c r="R919" s="201"/>
      <c r="S919" s="201"/>
      <c r="T919" s="201"/>
      <c r="U919" s="201"/>
      <c r="V919" s="201"/>
      <c r="W919" s="201"/>
      <c r="X919" s="201"/>
      <c r="Y919" s="201"/>
      <c r="Z919" s="201"/>
      <c r="AA919" s="201"/>
    </row>
    <row r="920">
      <c r="A920" s="201"/>
      <c r="B920" s="201"/>
      <c r="C920" s="201"/>
      <c r="D920" s="201"/>
      <c r="E920" s="201"/>
      <c r="F920" s="201"/>
      <c r="G920" s="201"/>
      <c r="H920" s="209"/>
      <c r="I920" s="209"/>
      <c r="J920" s="201"/>
      <c r="K920" s="210" t="s">
        <v>39</v>
      </c>
      <c r="L920" s="201"/>
      <c r="M920" s="201"/>
      <c r="N920" s="201"/>
      <c r="O920" s="201"/>
      <c r="P920" s="201"/>
      <c r="Q920" s="201"/>
      <c r="R920" s="201"/>
      <c r="S920" s="201"/>
      <c r="T920" s="201"/>
      <c r="U920" s="201"/>
      <c r="V920" s="201"/>
      <c r="W920" s="201"/>
      <c r="X920" s="201"/>
      <c r="Y920" s="201"/>
      <c r="Z920" s="201"/>
      <c r="AA920" s="201"/>
    </row>
    <row r="921">
      <c r="A921" s="201"/>
      <c r="B921" s="201"/>
      <c r="C921" s="201"/>
      <c r="D921" s="201"/>
      <c r="E921" s="201"/>
      <c r="F921" s="201"/>
      <c r="G921" s="201"/>
      <c r="H921" s="209"/>
      <c r="I921" s="209"/>
      <c r="J921" s="201"/>
      <c r="K921" s="210" t="s">
        <v>39</v>
      </c>
      <c r="L921" s="201"/>
      <c r="M921" s="201"/>
      <c r="N921" s="201"/>
      <c r="O921" s="201"/>
      <c r="P921" s="201"/>
      <c r="Q921" s="201"/>
      <c r="R921" s="201"/>
      <c r="S921" s="201"/>
      <c r="T921" s="201"/>
      <c r="U921" s="201"/>
      <c r="V921" s="201"/>
      <c r="W921" s="201"/>
      <c r="X921" s="201"/>
      <c r="Y921" s="201"/>
      <c r="Z921" s="201"/>
      <c r="AA921" s="201"/>
    </row>
    <row r="922">
      <c r="A922" s="201"/>
      <c r="B922" s="201"/>
      <c r="C922" s="201"/>
      <c r="D922" s="201"/>
      <c r="E922" s="201"/>
      <c r="F922" s="201"/>
      <c r="G922" s="201"/>
      <c r="H922" s="209"/>
      <c r="I922" s="209"/>
      <c r="J922" s="201"/>
      <c r="K922" s="210" t="s">
        <v>39</v>
      </c>
      <c r="L922" s="201"/>
      <c r="M922" s="201"/>
      <c r="N922" s="201"/>
      <c r="O922" s="201"/>
      <c r="P922" s="201"/>
      <c r="Q922" s="201"/>
      <c r="R922" s="201"/>
      <c r="S922" s="201"/>
      <c r="T922" s="201"/>
      <c r="U922" s="201"/>
      <c r="V922" s="201"/>
      <c r="W922" s="201"/>
      <c r="X922" s="201"/>
      <c r="Y922" s="201"/>
      <c r="Z922" s="201"/>
      <c r="AA922" s="201"/>
    </row>
    <row r="923">
      <c r="A923" s="201"/>
      <c r="B923" s="201"/>
      <c r="C923" s="201"/>
      <c r="D923" s="201"/>
      <c r="E923" s="201"/>
      <c r="F923" s="201"/>
      <c r="G923" s="201"/>
      <c r="H923" s="209"/>
      <c r="I923" s="209"/>
      <c r="J923" s="201"/>
      <c r="K923" s="210" t="s">
        <v>39</v>
      </c>
      <c r="L923" s="201"/>
      <c r="M923" s="201"/>
      <c r="N923" s="201"/>
      <c r="O923" s="201"/>
      <c r="P923" s="201"/>
      <c r="Q923" s="201"/>
      <c r="R923" s="201"/>
      <c r="S923" s="201"/>
      <c r="T923" s="201"/>
      <c r="U923" s="201"/>
      <c r="V923" s="201"/>
      <c r="W923" s="201"/>
      <c r="X923" s="201"/>
      <c r="Y923" s="201"/>
      <c r="Z923" s="201"/>
      <c r="AA923" s="201"/>
    </row>
    <row r="924">
      <c r="A924" s="201"/>
      <c r="B924" s="201"/>
      <c r="C924" s="201"/>
      <c r="D924" s="201"/>
      <c r="E924" s="201"/>
      <c r="F924" s="201"/>
      <c r="G924" s="201"/>
      <c r="H924" s="209"/>
      <c r="I924" s="209"/>
      <c r="J924" s="201"/>
      <c r="K924" s="210" t="s">
        <v>39</v>
      </c>
      <c r="L924" s="201"/>
      <c r="M924" s="201"/>
      <c r="N924" s="201"/>
      <c r="O924" s="201"/>
      <c r="P924" s="201"/>
      <c r="Q924" s="201"/>
      <c r="R924" s="201"/>
      <c r="S924" s="201"/>
      <c r="T924" s="201"/>
      <c r="U924" s="201"/>
      <c r="V924" s="201"/>
      <c r="W924" s="201"/>
      <c r="X924" s="201"/>
      <c r="Y924" s="201"/>
      <c r="Z924" s="201"/>
      <c r="AA924" s="201"/>
    </row>
    <row r="925">
      <c r="A925" s="201"/>
      <c r="B925" s="201"/>
      <c r="C925" s="201"/>
      <c r="D925" s="201"/>
      <c r="E925" s="201"/>
      <c r="F925" s="201"/>
      <c r="G925" s="201"/>
      <c r="H925" s="209"/>
      <c r="I925" s="209"/>
      <c r="J925" s="201"/>
      <c r="K925" s="210" t="s">
        <v>39</v>
      </c>
      <c r="L925" s="201"/>
      <c r="M925" s="201"/>
      <c r="N925" s="201"/>
      <c r="O925" s="201"/>
      <c r="P925" s="201"/>
      <c r="Q925" s="201"/>
      <c r="R925" s="201"/>
      <c r="S925" s="201"/>
      <c r="T925" s="201"/>
      <c r="U925" s="201"/>
      <c r="V925" s="201"/>
      <c r="W925" s="201"/>
      <c r="X925" s="201"/>
      <c r="Y925" s="201"/>
      <c r="Z925" s="201"/>
      <c r="AA925" s="201"/>
    </row>
    <row r="926">
      <c r="A926" s="201"/>
      <c r="B926" s="201"/>
      <c r="C926" s="201"/>
      <c r="D926" s="201"/>
      <c r="E926" s="201"/>
      <c r="F926" s="201"/>
      <c r="G926" s="201"/>
      <c r="H926" s="209"/>
      <c r="I926" s="209"/>
      <c r="J926" s="201"/>
      <c r="K926" s="210" t="s">
        <v>39</v>
      </c>
      <c r="L926" s="201"/>
      <c r="M926" s="201"/>
      <c r="N926" s="201"/>
      <c r="O926" s="201"/>
      <c r="P926" s="201"/>
      <c r="Q926" s="201"/>
      <c r="R926" s="201"/>
      <c r="S926" s="201"/>
      <c r="T926" s="201"/>
      <c r="U926" s="201"/>
      <c r="V926" s="201"/>
      <c r="W926" s="201"/>
      <c r="X926" s="201"/>
      <c r="Y926" s="201"/>
      <c r="Z926" s="201"/>
      <c r="AA926" s="201"/>
    </row>
    <row r="927">
      <c r="A927" s="201"/>
      <c r="B927" s="201"/>
      <c r="C927" s="201"/>
      <c r="D927" s="201"/>
      <c r="E927" s="201"/>
      <c r="F927" s="201"/>
      <c r="G927" s="201"/>
      <c r="H927" s="209"/>
      <c r="I927" s="209"/>
      <c r="J927" s="201"/>
      <c r="K927" s="210" t="s">
        <v>39</v>
      </c>
      <c r="L927" s="201"/>
      <c r="M927" s="201"/>
      <c r="N927" s="201"/>
      <c r="O927" s="201"/>
      <c r="P927" s="201"/>
      <c r="Q927" s="201"/>
      <c r="R927" s="201"/>
      <c r="S927" s="201"/>
      <c r="T927" s="201"/>
      <c r="U927" s="201"/>
      <c r="V927" s="201"/>
      <c r="W927" s="201"/>
      <c r="X927" s="201"/>
      <c r="Y927" s="201"/>
      <c r="Z927" s="201"/>
      <c r="AA927" s="201"/>
    </row>
    <row r="928">
      <c r="A928" s="201"/>
      <c r="B928" s="201"/>
      <c r="C928" s="201"/>
      <c r="D928" s="201"/>
      <c r="E928" s="201"/>
      <c r="F928" s="201"/>
      <c r="G928" s="201"/>
      <c r="H928" s="209"/>
      <c r="I928" s="209"/>
      <c r="J928" s="201"/>
      <c r="K928" s="210" t="s">
        <v>39</v>
      </c>
      <c r="L928" s="201"/>
      <c r="M928" s="201"/>
      <c r="N928" s="201"/>
      <c r="O928" s="201"/>
      <c r="P928" s="201"/>
      <c r="Q928" s="201"/>
      <c r="R928" s="201"/>
      <c r="S928" s="201"/>
      <c r="T928" s="201"/>
      <c r="U928" s="201"/>
      <c r="V928" s="201"/>
      <c r="W928" s="201"/>
      <c r="X928" s="201"/>
      <c r="Y928" s="201"/>
      <c r="Z928" s="201"/>
      <c r="AA928" s="201"/>
    </row>
    <row r="929">
      <c r="A929" s="201"/>
      <c r="B929" s="201"/>
      <c r="C929" s="201"/>
      <c r="D929" s="201"/>
      <c r="E929" s="201"/>
      <c r="F929" s="201"/>
      <c r="G929" s="201"/>
      <c r="H929" s="209"/>
      <c r="I929" s="209"/>
      <c r="J929" s="201"/>
      <c r="K929" s="210" t="s">
        <v>39</v>
      </c>
      <c r="L929" s="201"/>
      <c r="M929" s="201"/>
      <c r="N929" s="201"/>
      <c r="O929" s="201"/>
      <c r="P929" s="201"/>
      <c r="Q929" s="201"/>
      <c r="R929" s="201"/>
      <c r="S929" s="201"/>
      <c r="T929" s="201"/>
      <c r="U929" s="201"/>
      <c r="V929" s="201"/>
      <c r="W929" s="201"/>
      <c r="X929" s="201"/>
      <c r="Y929" s="201"/>
      <c r="Z929" s="201"/>
      <c r="AA929" s="201"/>
    </row>
    <row r="930">
      <c r="A930" s="201"/>
      <c r="B930" s="201"/>
      <c r="C930" s="201"/>
      <c r="D930" s="201"/>
      <c r="E930" s="201"/>
      <c r="F930" s="201"/>
      <c r="G930" s="201"/>
      <c r="H930" s="209"/>
      <c r="I930" s="209"/>
      <c r="J930" s="201"/>
      <c r="K930" s="210" t="s">
        <v>39</v>
      </c>
      <c r="L930" s="201"/>
      <c r="M930" s="201"/>
      <c r="N930" s="201"/>
      <c r="O930" s="201"/>
      <c r="P930" s="201"/>
      <c r="Q930" s="201"/>
      <c r="R930" s="201"/>
      <c r="S930" s="201"/>
      <c r="T930" s="201"/>
      <c r="U930" s="201"/>
      <c r="V930" s="201"/>
      <c r="W930" s="201"/>
      <c r="X930" s="201"/>
      <c r="Y930" s="201"/>
      <c r="Z930" s="201"/>
      <c r="AA930" s="201"/>
    </row>
    <row r="931">
      <c r="A931" s="201"/>
      <c r="B931" s="201"/>
      <c r="C931" s="201"/>
      <c r="D931" s="201"/>
      <c r="E931" s="201"/>
      <c r="F931" s="201"/>
      <c r="G931" s="201"/>
      <c r="H931" s="209"/>
      <c r="I931" s="209"/>
      <c r="J931" s="201"/>
      <c r="K931" s="210" t="s">
        <v>39</v>
      </c>
      <c r="L931" s="201"/>
      <c r="M931" s="201"/>
      <c r="N931" s="201"/>
      <c r="O931" s="201"/>
      <c r="P931" s="201"/>
      <c r="Q931" s="201"/>
      <c r="R931" s="201"/>
      <c r="S931" s="201"/>
      <c r="T931" s="201"/>
      <c r="U931" s="201"/>
      <c r="V931" s="201"/>
      <c r="W931" s="201"/>
      <c r="X931" s="201"/>
      <c r="Y931" s="201"/>
      <c r="Z931" s="201"/>
      <c r="AA931" s="201"/>
    </row>
    <row r="932">
      <c r="A932" s="201"/>
      <c r="B932" s="201"/>
      <c r="C932" s="201"/>
      <c r="D932" s="201"/>
      <c r="E932" s="201"/>
      <c r="F932" s="201"/>
      <c r="G932" s="201"/>
      <c r="H932" s="209"/>
      <c r="I932" s="209"/>
      <c r="J932" s="201"/>
      <c r="K932" s="210" t="s">
        <v>39</v>
      </c>
      <c r="L932" s="201"/>
      <c r="M932" s="201"/>
      <c r="N932" s="201"/>
      <c r="O932" s="201"/>
      <c r="P932" s="201"/>
      <c r="Q932" s="201"/>
      <c r="R932" s="201"/>
      <c r="S932" s="201"/>
      <c r="T932" s="201"/>
      <c r="U932" s="201"/>
      <c r="V932" s="201"/>
      <c r="W932" s="201"/>
      <c r="X932" s="201"/>
      <c r="Y932" s="201"/>
      <c r="Z932" s="201"/>
      <c r="AA932" s="201"/>
    </row>
    <row r="933">
      <c r="A933" s="201"/>
      <c r="B933" s="201"/>
      <c r="C933" s="201"/>
      <c r="D933" s="201"/>
      <c r="E933" s="201"/>
      <c r="F933" s="201"/>
      <c r="G933" s="201"/>
      <c r="H933" s="209"/>
      <c r="I933" s="209"/>
      <c r="J933" s="201"/>
      <c r="K933" s="210" t="s">
        <v>39</v>
      </c>
      <c r="L933" s="201"/>
      <c r="M933" s="201"/>
      <c r="N933" s="201"/>
      <c r="O933" s="201"/>
      <c r="P933" s="201"/>
      <c r="Q933" s="201"/>
      <c r="R933" s="201"/>
      <c r="S933" s="201"/>
      <c r="T933" s="201"/>
      <c r="U933" s="201"/>
      <c r="V933" s="201"/>
      <c r="W933" s="201"/>
      <c r="X933" s="201"/>
      <c r="Y933" s="201"/>
      <c r="Z933" s="201"/>
      <c r="AA933" s="201"/>
    </row>
    <row r="934">
      <c r="A934" s="201"/>
      <c r="B934" s="201"/>
      <c r="C934" s="201"/>
      <c r="D934" s="201"/>
      <c r="E934" s="201"/>
      <c r="F934" s="201"/>
      <c r="G934" s="201"/>
      <c r="H934" s="209"/>
      <c r="I934" s="209"/>
      <c r="J934" s="201"/>
      <c r="K934" s="210" t="s">
        <v>39</v>
      </c>
      <c r="L934" s="201"/>
      <c r="M934" s="201"/>
      <c r="N934" s="201"/>
      <c r="O934" s="201"/>
      <c r="P934" s="201"/>
      <c r="Q934" s="201"/>
      <c r="R934" s="201"/>
      <c r="S934" s="201"/>
      <c r="T934" s="201"/>
      <c r="U934" s="201"/>
      <c r="V934" s="201"/>
      <c r="W934" s="201"/>
      <c r="X934" s="201"/>
      <c r="Y934" s="201"/>
      <c r="Z934" s="201"/>
      <c r="AA934" s="201"/>
    </row>
    <row r="935">
      <c r="A935" s="201"/>
      <c r="B935" s="201"/>
      <c r="C935" s="201"/>
      <c r="D935" s="201"/>
      <c r="E935" s="201"/>
      <c r="F935" s="201"/>
      <c r="G935" s="201"/>
      <c r="H935" s="209"/>
      <c r="I935" s="209"/>
      <c r="J935" s="201"/>
      <c r="K935" s="210" t="s">
        <v>39</v>
      </c>
      <c r="L935" s="201"/>
      <c r="M935" s="201"/>
      <c r="N935" s="201"/>
      <c r="O935" s="201"/>
      <c r="P935" s="201"/>
      <c r="Q935" s="201"/>
      <c r="R935" s="201"/>
      <c r="S935" s="201"/>
      <c r="T935" s="201"/>
      <c r="U935" s="201"/>
      <c r="V935" s="201"/>
      <c r="W935" s="201"/>
      <c r="X935" s="201"/>
      <c r="Y935" s="201"/>
      <c r="Z935" s="201"/>
      <c r="AA935" s="201"/>
    </row>
    <row r="936">
      <c r="A936" s="201"/>
      <c r="B936" s="201"/>
      <c r="C936" s="201"/>
      <c r="D936" s="201"/>
      <c r="E936" s="201"/>
      <c r="F936" s="201"/>
      <c r="G936" s="201"/>
      <c r="H936" s="209"/>
      <c r="I936" s="209"/>
      <c r="J936" s="201"/>
      <c r="K936" s="210" t="s">
        <v>39</v>
      </c>
      <c r="L936" s="201"/>
      <c r="M936" s="201"/>
      <c r="N936" s="201"/>
      <c r="O936" s="201"/>
      <c r="P936" s="201"/>
      <c r="Q936" s="201"/>
      <c r="R936" s="201"/>
      <c r="S936" s="201"/>
      <c r="T936" s="201"/>
      <c r="U936" s="201"/>
      <c r="V936" s="201"/>
      <c r="W936" s="201"/>
      <c r="X936" s="201"/>
      <c r="Y936" s="201"/>
      <c r="Z936" s="201"/>
      <c r="AA936" s="201"/>
    </row>
    <row r="937">
      <c r="A937" s="201"/>
      <c r="B937" s="201"/>
      <c r="C937" s="201"/>
      <c r="D937" s="201"/>
      <c r="E937" s="201"/>
      <c r="F937" s="201"/>
      <c r="G937" s="201"/>
      <c r="H937" s="209"/>
      <c r="I937" s="209"/>
      <c r="J937" s="201"/>
      <c r="K937" s="210" t="s">
        <v>39</v>
      </c>
      <c r="L937" s="201"/>
      <c r="M937" s="201"/>
      <c r="N937" s="201"/>
      <c r="O937" s="201"/>
      <c r="P937" s="201"/>
      <c r="Q937" s="201"/>
      <c r="R937" s="201"/>
      <c r="S937" s="201"/>
      <c r="T937" s="201"/>
      <c r="U937" s="201"/>
      <c r="V937" s="201"/>
      <c r="W937" s="201"/>
      <c r="X937" s="201"/>
      <c r="Y937" s="201"/>
      <c r="Z937" s="201"/>
      <c r="AA937" s="201"/>
    </row>
    <row r="938">
      <c r="A938" s="201"/>
      <c r="B938" s="201"/>
      <c r="C938" s="201"/>
      <c r="D938" s="201"/>
      <c r="E938" s="201"/>
      <c r="F938" s="201"/>
      <c r="G938" s="201"/>
      <c r="H938" s="209"/>
      <c r="I938" s="209"/>
      <c r="J938" s="201"/>
      <c r="K938" s="210" t="s">
        <v>39</v>
      </c>
      <c r="L938" s="201"/>
      <c r="M938" s="201"/>
      <c r="N938" s="201"/>
      <c r="O938" s="201"/>
      <c r="P938" s="201"/>
      <c r="Q938" s="201"/>
      <c r="R938" s="201"/>
      <c r="S938" s="201"/>
      <c r="T938" s="201"/>
      <c r="U938" s="201"/>
      <c r="V938" s="201"/>
      <c r="W938" s="201"/>
      <c r="X938" s="201"/>
      <c r="Y938" s="201"/>
      <c r="Z938" s="201"/>
      <c r="AA938" s="201"/>
    </row>
    <row r="939">
      <c r="A939" s="201"/>
      <c r="B939" s="201"/>
      <c r="C939" s="201"/>
      <c r="D939" s="201"/>
      <c r="E939" s="201"/>
      <c r="F939" s="201"/>
      <c r="G939" s="201"/>
      <c r="H939" s="209"/>
      <c r="I939" s="209"/>
      <c r="J939" s="201"/>
      <c r="K939" s="210" t="s">
        <v>39</v>
      </c>
      <c r="L939" s="201"/>
      <c r="M939" s="201"/>
      <c r="N939" s="201"/>
      <c r="O939" s="201"/>
      <c r="P939" s="201"/>
      <c r="Q939" s="201"/>
      <c r="R939" s="201"/>
      <c r="S939" s="201"/>
      <c r="T939" s="201"/>
      <c r="U939" s="201"/>
      <c r="V939" s="201"/>
      <c r="W939" s="201"/>
      <c r="X939" s="201"/>
      <c r="Y939" s="201"/>
      <c r="Z939" s="201"/>
      <c r="AA939" s="201"/>
    </row>
    <row r="940">
      <c r="A940" s="201"/>
      <c r="B940" s="201"/>
      <c r="C940" s="201"/>
      <c r="D940" s="201"/>
      <c r="E940" s="201"/>
      <c r="F940" s="201"/>
      <c r="G940" s="201"/>
      <c r="H940" s="209"/>
      <c r="I940" s="209"/>
      <c r="J940" s="201"/>
      <c r="K940" s="210" t="s">
        <v>39</v>
      </c>
      <c r="L940" s="201"/>
      <c r="M940" s="201"/>
      <c r="N940" s="201"/>
      <c r="O940" s="201"/>
      <c r="P940" s="201"/>
      <c r="Q940" s="201"/>
      <c r="R940" s="201"/>
      <c r="S940" s="201"/>
      <c r="T940" s="201"/>
      <c r="U940" s="201"/>
      <c r="V940" s="201"/>
      <c r="W940" s="201"/>
      <c r="X940" s="201"/>
      <c r="Y940" s="201"/>
      <c r="Z940" s="201"/>
      <c r="AA940" s="201"/>
    </row>
    <row r="941">
      <c r="A941" s="201"/>
      <c r="B941" s="201"/>
      <c r="C941" s="201"/>
      <c r="D941" s="201"/>
      <c r="E941" s="201"/>
      <c r="F941" s="201"/>
      <c r="G941" s="201"/>
      <c r="H941" s="209"/>
      <c r="I941" s="209"/>
      <c r="J941" s="201"/>
      <c r="K941" s="210" t="s">
        <v>39</v>
      </c>
      <c r="L941" s="201"/>
      <c r="M941" s="201"/>
      <c r="N941" s="201"/>
      <c r="O941" s="201"/>
      <c r="P941" s="201"/>
      <c r="Q941" s="201"/>
      <c r="R941" s="201"/>
      <c r="S941" s="201"/>
      <c r="T941" s="201"/>
      <c r="U941" s="201"/>
      <c r="V941" s="201"/>
      <c r="W941" s="201"/>
      <c r="X941" s="201"/>
      <c r="Y941" s="201"/>
      <c r="Z941" s="201"/>
      <c r="AA941" s="201"/>
    </row>
    <row r="942">
      <c r="A942" s="201"/>
      <c r="B942" s="201"/>
      <c r="C942" s="201"/>
      <c r="D942" s="201"/>
      <c r="E942" s="201"/>
      <c r="F942" s="201"/>
      <c r="G942" s="201"/>
      <c r="H942" s="209"/>
      <c r="I942" s="209"/>
      <c r="J942" s="201"/>
      <c r="K942" s="210" t="s">
        <v>39</v>
      </c>
      <c r="L942" s="201"/>
      <c r="M942" s="201"/>
      <c r="N942" s="201"/>
      <c r="O942" s="201"/>
      <c r="P942" s="201"/>
      <c r="Q942" s="201"/>
      <c r="R942" s="201"/>
      <c r="S942" s="201"/>
      <c r="T942" s="201"/>
      <c r="U942" s="201"/>
      <c r="V942" s="201"/>
      <c r="W942" s="201"/>
      <c r="X942" s="201"/>
      <c r="Y942" s="201"/>
      <c r="Z942" s="201"/>
      <c r="AA942" s="201"/>
    </row>
    <row r="943">
      <c r="A943" s="201"/>
      <c r="B943" s="201"/>
      <c r="C943" s="201"/>
      <c r="D943" s="201"/>
      <c r="E943" s="201"/>
      <c r="F943" s="201"/>
      <c r="G943" s="201"/>
      <c r="H943" s="209"/>
      <c r="I943" s="209"/>
      <c r="J943" s="201"/>
      <c r="K943" s="210" t="s">
        <v>39</v>
      </c>
      <c r="L943" s="201"/>
      <c r="M943" s="201"/>
      <c r="N943" s="201"/>
      <c r="O943" s="201"/>
      <c r="P943" s="201"/>
      <c r="Q943" s="201"/>
      <c r="R943" s="201"/>
      <c r="S943" s="201"/>
      <c r="T943" s="201"/>
      <c r="U943" s="201"/>
      <c r="V943" s="201"/>
      <c r="W943" s="201"/>
      <c r="X943" s="201"/>
      <c r="Y943" s="201"/>
      <c r="Z943" s="201"/>
      <c r="AA943" s="201"/>
    </row>
    <row r="944">
      <c r="A944" s="201"/>
      <c r="B944" s="201"/>
      <c r="C944" s="201"/>
      <c r="D944" s="201"/>
      <c r="E944" s="201"/>
      <c r="F944" s="201"/>
      <c r="G944" s="201"/>
      <c r="H944" s="209"/>
      <c r="I944" s="209"/>
      <c r="J944" s="201"/>
      <c r="K944" s="210" t="s">
        <v>39</v>
      </c>
      <c r="L944" s="201"/>
      <c r="M944" s="201"/>
      <c r="N944" s="201"/>
      <c r="O944" s="201"/>
      <c r="P944" s="201"/>
      <c r="Q944" s="201"/>
      <c r="R944" s="201"/>
      <c r="S944" s="201"/>
      <c r="T944" s="201"/>
      <c r="U944" s="201"/>
      <c r="V944" s="201"/>
      <c r="W944" s="201"/>
      <c r="X944" s="201"/>
      <c r="Y944" s="201"/>
      <c r="Z944" s="201"/>
      <c r="AA944" s="201"/>
    </row>
    <row r="945">
      <c r="A945" s="201"/>
      <c r="B945" s="201"/>
      <c r="C945" s="201"/>
      <c r="D945" s="201"/>
      <c r="E945" s="201"/>
      <c r="F945" s="201"/>
      <c r="G945" s="201"/>
      <c r="H945" s="209"/>
      <c r="I945" s="209"/>
      <c r="J945" s="201"/>
      <c r="K945" s="210" t="s">
        <v>39</v>
      </c>
      <c r="L945" s="201"/>
      <c r="M945" s="201"/>
      <c r="N945" s="201"/>
      <c r="O945" s="201"/>
      <c r="P945" s="201"/>
      <c r="Q945" s="201"/>
      <c r="R945" s="201"/>
      <c r="S945" s="201"/>
      <c r="T945" s="201"/>
      <c r="U945" s="201"/>
      <c r="V945" s="201"/>
      <c r="W945" s="201"/>
      <c r="X945" s="201"/>
      <c r="Y945" s="201"/>
      <c r="Z945" s="201"/>
      <c r="AA945" s="201"/>
    </row>
    <row r="946">
      <c r="A946" s="201"/>
      <c r="B946" s="201"/>
      <c r="C946" s="201"/>
      <c r="D946" s="201"/>
      <c r="E946" s="201"/>
      <c r="F946" s="201"/>
      <c r="G946" s="201"/>
      <c r="H946" s="209"/>
      <c r="I946" s="209"/>
      <c r="J946" s="201"/>
      <c r="K946" s="210" t="s">
        <v>39</v>
      </c>
      <c r="L946" s="201"/>
      <c r="M946" s="201"/>
      <c r="N946" s="201"/>
      <c r="O946" s="201"/>
      <c r="P946" s="201"/>
      <c r="Q946" s="201"/>
      <c r="R946" s="201"/>
      <c r="S946" s="201"/>
      <c r="T946" s="201"/>
      <c r="U946" s="201"/>
      <c r="V946" s="201"/>
      <c r="W946" s="201"/>
      <c r="X946" s="201"/>
      <c r="Y946" s="201"/>
      <c r="Z946" s="201"/>
      <c r="AA946" s="201"/>
    </row>
    <row r="947">
      <c r="A947" s="201"/>
      <c r="B947" s="201"/>
      <c r="C947" s="201"/>
      <c r="D947" s="201"/>
      <c r="E947" s="201"/>
      <c r="F947" s="201"/>
      <c r="G947" s="201"/>
      <c r="H947" s="209"/>
      <c r="I947" s="209"/>
      <c r="J947" s="201"/>
      <c r="K947" s="210" t="s">
        <v>39</v>
      </c>
      <c r="L947" s="201"/>
      <c r="M947" s="201"/>
      <c r="N947" s="201"/>
      <c r="O947" s="201"/>
      <c r="P947" s="201"/>
      <c r="Q947" s="201"/>
      <c r="R947" s="201"/>
      <c r="S947" s="201"/>
      <c r="T947" s="201"/>
      <c r="U947" s="201"/>
      <c r="V947" s="201"/>
      <c r="W947" s="201"/>
      <c r="X947" s="201"/>
      <c r="Y947" s="201"/>
      <c r="Z947" s="201"/>
      <c r="AA947" s="201"/>
    </row>
    <row r="948">
      <c r="A948" s="201"/>
      <c r="B948" s="201"/>
      <c r="C948" s="201"/>
      <c r="D948" s="201"/>
      <c r="E948" s="201"/>
      <c r="F948" s="201"/>
      <c r="G948" s="201"/>
      <c r="H948" s="209"/>
      <c r="I948" s="209"/>
      <c r="J948" s="201"/>
      <c r="K948" s="210" t="s">
        <v>39</v>
      </c>
      <c r="L948" s="201"/>
      <c r="M948" s="201"/>
      <c r="N948" s="201"/>
      <c r="O948" s="201"/>
      <c r="P948" s="201"/>
      <c r="Q948" s="201"/>
      <c r="R948" s="201"/>
      <c r="S948" s="201"/>
      <c r="T948" s="201"/>
      <c r="U948" s="201"/>
      <c r="V948" s="201"/>
      <c r="W948" s="201"/>
      <c r="X948" s="201"/>
      <c r="Y948" s="201"/>
      <c r="Z948" s="201"/>
      <c r="AA948" s="201"/>
    </row>
    <row r="949">
      <c r="A949" s="201"/>
      <c r="B949" s="201"/>
      <c r="C949" s="201"/>
      <c r="D949" s="201"/>
      <c r="E949" s="201"/>
      <c r="F949" s="201"/>
      <c r="G949" s="201"/>
      <c r="H949" s="209"/>
      <c r="I949" s="209"/>
      <c r="J949" s="201"/>
      <c r="K949" s="210" t="s">
        <v>39</v>
      </c>
      <c r="L949" s="201"/>
      <c r="M949" s="201"/>
      <c r="N949" s="201"/>
      <c r="O949" s="201"/>
      <c r="P949" s="201"/>
      <c r="Q949" s="201"/>
      <c r="R949" s="201"/>
      <c r="S949" s="201"/>
      <c r="T949" s="201"/>
      <c r="U949" s="201"/>
      <c r="V949" s="201"/>
      <c r="W949" s="201"/>
      <c r="X949" s="201"/>
      <c r="Y949" s="201"/>
      <c r="Z949" s="201"/>
      <c r="AA949" s="201"/>
    </row>
    <row r="950">
      <c r="A950" s="201"/>
      <c r="B950" s="201"/>
      <c r="C950" s="201"/>
      <c r="D950" s="201"/>
      <c r="E950" s="201"/>
      <c r="F950" s="201"/>
      <c r="G950" s="201"/>
      <c r="H950" s="209"/>
      <c r="I950" s="209"/>
      <c r="J950" s="201"/>
      <c r="K950" s="210" t="s">
        <v>39</v>
      </c>
      <c r="L950" s="201"/>
      <c r="M950" s="201"/>
      <c r="N950" s="201"/>
      <c r="O950" s="201"/>
      <c r="P950" s="201"/>
      <c r="Q950" s="201"/>
      <c r="R950" s="201"/>
      <c r="S950" s="201"/>
      <c r="T950" s="201"/>
      <c r="U950" s="201"/>
      <c r="V950" s="201"/>
      <c r="W950" s="201"/>
      <c r="X950" s="201"/>
      <c r="Y950" s="201"/>
      <c r="Z950" s="201"/>
      <c r="AA950" s="201"/>
    </row>
    <row r="951">
      <c r="A951" s="201"/>
      <c r="B951" s="201"/>
      <c r="C951" s="201"/>
      <c r="D951" s="201"/>
      <c r="E951" s="201"/>
      <c r="F951" s="201"/>
      <c r="G951" s="201"/>
      <c r="H951" s="209"/>
      <c r="I951" s="209"/>
      <c r="J951" s="201"/>
      <c r="K951" s="210" t="s">
        <v>39</v>
      </c>
      <c r="L951" s="201"/>
      <c r="M951" s="201"/>
      <c r="N951" s="201"/>
      <c r="O951" s="201"/>
      <c r="P951" s="201"/>
      <c r="Q951" s="201"/>
      <c r="R951" s="201"/>
      <c r="S951" s="201"/>
      <c r="T951" s="201"/>
      <c r="U951" s="201"/>
      <c r="V951" s="201"/>
      <c r="W951" s="201"/>
      <c r="X951" s="201"/>
      <c r="Y951" s="201"/>
      <c r="Z951" s="201"/>
      <c r="AA951" s="201"/>
    </row>
    <row r="952">
      <c r="A952" s="201"/>
      <c r="B952" s="201"/>
      <c r="C952" s="201"/>
      <c r="D952" s="201"/>
      <c r="E952" s="201"/>
      <c r="F952" s="201"/>
      <c r="G952" s="201"/>
      <c r="H952" s="209"/>
      <c r="I952" s="209"/>
      <c r="J952" s="201"/>
      <c r="K952" s="210" t="s">
        <v>39</v>
      </c>
      <c r="L952" s="201"/>
      <c r="M952" s="201"/>
      <c r="N952" s="201"/>
      <c r="O952" s="201"/>
      <c r="P952" s="201"/>
      <c r="Q952" s="201"/>
      <c r="R952" s="201"/>
      <c r="S952" s="201"/>
      <c r="T952" s="201"/>
      <c r="U952" s="201"/>
      <c r="V952" s="201"/>
      <c r="W952" s="201"/>
      <c r="X952" s="201"/>
      <c r="Y952" s="201"/>
      <c r="Z952" s="201"/>
      <c r="AA952" s="201"/>
    </row>
    <row r="953">
      <c r="A953" s="201"/>
      <c r="B953" s="201"/>
      <c r="C953" s="201"/>
      <c r="D953" s="201"/>
      <c r="E953" s="201"/>
      <c r="F953" s="201"/>
      <c r="G953" s="201"/>
      <c r="H953" s="209"/>
      <c r="I953" s="209"/>
      <c r="J953" s="201"/>
      <c r="K953" s="210" t="s">
        <v>39</v>
      </c>
      <c r="L953" s="201"/>
      <c r="M953" s="201"/>
      <c r="N953" s="201"/>
      <c r="O953" s="201"/>
      <c r="P953" s="201"/>
      <c r="Q953" s="201"/>
      <c r="R953" s="201"/>
      <c r="S953" s="201"/>
      <c r="T953" s="201"/>
      <c r="U953" s="201"/>
      <c r="V953" s="201"/>
      <c r="W953" s="201"/>
      <c r="X953" s="201"/>
      <c r="Y953" s="201"/>
      <c r="Z953" s="201"/>
      <c r="AA953" s="201"/>
    </row>
    <row r="954">
      <c r="A954" s="201"/>
      <c r="B954" s="201"/>
      <c r="C954" s="201"/>
      <c r="D954" s="201"/>
      <c r="E954" s="201"/>
      <c r="F954" s="201"/>
      <c r="G954" s="201"/>
      <c r="H954" s="209"/>
      <c r="I954" s="209"/>
      <c r="J954" s="201"/>
      <c r="K954" s="210" t="s">
        <v>39</v>
      </c>
      <c r="L954" s="201"/>
      <c r="M954" s="201"/>
      <c r="N954" s="201"/>
      <c r="O954" s="201"/>
      <c r="P954" s="201"/>
      <c r="Q954" s="201"/>
      <c r="R954" s="201"/>
      <c r="S954" s="201"/>
      <c r="T954" s="201"/>
      <c r="U954" s="201"/>
      <c r="V954" s="201"/>
      <c r="W954" s="201"/>
      <c r="X954" s="201"/>
      <c r="Y954" s="201"/>
      <c r="Z954" s="201"/>
      <c r="AA954" s="201"/>
    </row>
    <row r="955">
      <c r="A955" s="201"/>
      <c r="B955" s="201"/>
      <c r="C955" s="201"/>
      <c r="D955" s="201"/>
      <c r="E955" s="201"/>
      <c r="F955" s="201"/>
      <c r="G955" s="201"/>
      <c r="H955" s="209"/>
      <c r="I955" s="209"/>
      <c r="J955" s="201"/>
      <c r="K955" s="210" t="s">
        <v>39</v>
      </c>
      <c r="L955" s="201"/>
      <c r="M955" s="201"/>
      <c r="N955" s="201"/>
      <c r="O955" s="201"/>
      <c r="P955" s="201"/>
      <c r="Q955" s="201"/>
      <c r="R955" s="201"/>
      <c r="S955" s="201"/>
      <c r="T955" s="201"/>
      <c r="U955" s="201"/>
      <c r="V955" s="201"/>
      <c r="W955" s="201"/>
      <c r="X955" s="201"/>
      <c r="Y955" s="201"/>
      <c r="Z955" s="201"/>
      <c r="AA955" s="201"/>
    </row>
    <row r="956">
      <c r="A956" s="201"/>
      <c r="B956" s="201"/>
      <c r="C956" s="201"/>
      <c r="D956" s="201"/>
      <c r="E956" s="201"/>
      <c r="F956" s="201"/>
      <c r="G956" s="201"/>
      <c r="H956" s="209"/>
      <c r="I956" s="209"/>
      <c r="J956" s="201"/>
      <c r="K956" s="210" t="s">
        <v>39</v>
      </c>
      <c r="L956" s="201"/>
      <c r="M956" s="201"/>
      <c r="N956" s="201"/>
      <c r="O956" s="201"/>
      <c r="P956" s="201"/>
      <c r="Q956" s="201"/>
      <c r="R956" s="201"/>
      <c r="S956" s="201"/>
      <c r="T956" s="201"/>
      <c r="U956" s="201"/>
      <c r="V956" s="201"/>
      <c r="W956" s="201"/>
      <c r="X956" s="201"/>
      <c r="Y956" s="201"/>
      <c r="Z956" s="201"/>
      <c r="AA956" s="201"/>
    </row>
    <row r="957">
      <c r="A957" s="201"/>
      <c r="B957" s="201"/>
      <c r="C957" s="201"/>
      <c r="D957" s="201"/>
      <c r="E957" s="201"/>
      <c r="F957" s="201"/>
      <c r="G957" s="201"/>
      <c r="H957" s="209"/>
      <c r="I957" s="209"/>
      <c r="J957" s="201"/>
      <c r="K957" s="210" t="s">
        <v>39</v>
      </c>
      <c r="L957" s="201"/>
      <c r="M957" s="201"/>
      <c r="N957" s="201"/>
      <c r="O957" s="201"/>
      <c r="P957" s="201"/>
      <c r="Q957" s="201"/>
      <c r="R957" s="201"/>
      <c r="S957" s="201"/>
      <c r="T957" s="201"/>
      <c r="U957" s="201"/>
      <c r="V957" s="201"/>
      <c r="W957" s="201"/>
      <c r="X957" s="201"/>
      <c r="Y957" s="201"/>
      <c r="Z957" s="201"/>
      <c r="AA957" s="201"/>
    </row>
    <row r="958">
      <c r="A958" s="201"/>
      <c r="B958" s="201"/>
      <c r="C958" s="201"/>
      <c r="D958" s="201"/>
      <c r="E958" s="201"/>
      <c r="F958" s="201"/>
      <c r="G958" s="201"/>
      <c r="H958" s="209"/>
      <c r="I958" s="209"/>
      <c r="J958" s="201"/>
      <c r="K958" s="210" t="s">
        <v>39</v>
      </c>
      <c r="L958" s="201"/>
      <c r="M958" s="201"/>
      <c r="N958" s="201"/>
      <c r="O958" s="201"/>
      <c r="P958" s="201"/>
      <c r="Q958" s="201"/>
      <c r="R958" s="201"/>
      <c r="S958" s="201"/>
      <c r="T958" s="201"/>
      <c r="U958" s="201"/>
      <c r="V958" s="201"/>
      <c r="W958" s="201"/>
      <c r="X958" s="201"/>
      <c r="Y958" s="201"/>
      <c r="Z958" s="201"/>
      <c r="AA958" s="201"/>
    </row>
    <row r="959">
      <c r="A959" s="201"/>
      <c r="B959" s="201"/>
      <c r="C959" s="201"/>
      <c r="D959" s="201"/>
      <c r="E959" s="201"/>
      <c r="F959" s="201"/>
      <c r="G959" s="201"/>
      <c r="H959" s="209"/>
      <c r="I959" s="209"/>
      <c r="J959" s="201"/>
      <c r="K959" s="210" t="s">
        <v>39</v>
      </c>
      <c r="L959" s="201"/>
      <c r="M959" s="201"/>
      <c r="N959" s="201"/>
      <c r="O959" s="201"/>
      <c r="P959" s="201"/>
      <c r="Q959" s="201"/>
      <c r="R959" s="201"/>
      <c r="S959" s="201"/>
      <c r="T959" s="201"/>
      <c r="U959" s="201"/>
      <c r="V959" s="201"/>
      <c r="W959" s="201"/>
      <c r="X959" s="201"/>
      <c r="Y959" s="201"/>
      <c r="Z959" s="201"/>
      <c r="AA959" s="201"/>
    </row>
    <row r="960">
      <c r="A960" s="201"/>
      <c r="B960" s="201"/>
      <c r="C960" s="201"/>
      <c r="D960" s="201"/>
      <c r="E960" s="201"/>
      <c r="F960" s="201"/>
      <c r="G960" s="201"/>
      <c r="H960" s="209"/>
      <c r="I960" s="209"/>
      <c r="J960" s="201"/>
      <c r="K960" s="210" t="s">
        <v>39</v>
      </c>
      <c r="L960" s="201"/>
      <c r="M960" s="201"/>
      <c r="N960" s="201"/>
      <c r="O960" s="201"/>
      <c r="P960" s="201"/>
      <c r="Q960" s="201"/>
      <c r="R960" s="201"/>
      <c r="S960" s="201"/>
      <c r="T960" s="201"/>
      <c r="U960" s="201"/>
      <c r="V960" s="201"/>
      <c r="W960" s="201"/>
      <c r="X960" s="201"/>
      <c r="Y960" s="201"/>
      <c r="Z960" s="201"/>
      <c r="AA960" s="201"/>
    </row>
    <row r="961">
      <c r="A961" s="201"/>
      <c r="B961" s="201"/>
      <c r="C961" s="201"/>
      <c r="D961" s="201"/>
      <c r="E961" s="201"/>
      <c r="F961" s="201"/>
      <c r="G961" s="201"/>
      <c r="H961" s="209"/>
      <c r="I961" s="209"/>
      <c r="J961" s="201"/>
      <c r="K961" s="210" t="s">
        <v>39</v>
      </c>
      <c r="L961" s="201"/>
      <c r="M961" s="201"/>
      <c r="N961" s="201"/>
      <c r="O961" s="201"/>
      <c r="P961" s="201"/>
      <c r="Q961" s="201"/>
      <c r="R961" s="201"/>
      <c r="S961" s="201"/>
      <c r="T961" s="201"/>
      <c r="U961" s="201"/>
      <c r="V961" s="201"/>
      <c r="W961" s="201"/>
      <c r="X961" s="201"/>
      <c r="Y961" s="201"/>
      <c r="Z961" s="201"/>
      <c r="AA961" s="201"/>
    </row>
    <row r="962">
      <c r="A962" s="201"/>
      <c r="B962" s="201"/>
      <c r="C962" s="201"/>
      <c r="D962" s="201"/>
      <c r="E962" s="201"/>
      <c r="F962" s="201"/>
      <c r="G962" s="201"/>
      <c r="H962" s="209"/>
      <c r="I962" s="209"/>
      <c r="J962" s="201"/>
      <c r="K962" s="210" t="s">
        <v>39</v>
      </c>
      <c r="L962" s="201"/>
      <c r="M962" s="201"/>
      <c r="N962" s="201"/>
      <c r="O962" s="201"/>
      <c r="P962" s="201"/>
      <c r="Q962" s="201"/>
      <c r="R962" s="201"/>
      <c r="S962" s="201"/>
      <c r="T962" s="201"/>
      <c r="U962" s="201"/>
      <c r="V962" s="201"/>
      <c r="W962" s="201"/>
      <c r="X962" s="201"/>
      <c r="Y962" s="201"/>
      <c r="Z962" s="201"/>
      <c r="AA962" s="201"/>
    </row>
    <row r="963">
      <c r="A963" s="201"/>
      <c r="B963" s="201"/>
      <c r="C963" s="201"/>
      <c r="D963" s="201"/>
      <c r="E963" s="201"/>
      <c r="F963" s="201"/>
      <c r="G963" s="201"/>
      <c r="H963" s="209"/>
      <c r="I963" s="209"/>
      <c r="J963" s="201"/>
      <c r="K963" s="210" t="s">
        <v>39</v>
      </c>
      <c r="L963" s="201"/>
      <c r="M963" s="201"/>
      <c r="N963" s="201"/>
      <c r="O963" s="201"/>
      <c r="P963" s="201"/>
      <c r="Q963" s="201"/>
      <c r="R963" s="201"/>
      <c r="S963" s="201"/>
      <c r="T963" s="201"/>
      <c r="U963" s="201"/>
      <c r="V963" s="201"/>
      <c r="W963" s="201"/>
      <c r="X963" s="201"/>
      <c r="Y963" s="201"/>
      <c r="Z963" s="201"/>
      <c r="AA963" s="201"/>
    </row>
    <row r="964">
      <c r="A964" s="201"/>
      <c r="B964" s="201"/>
      <c r="C964" s="201"/>
      <c r="D964" s="201"/>
      <c r="E964" s="201"/>
      <c r="F964" s="201"/>
      <c r="G964" s="201"/>
      <c r="H964" s="209"/>
      <c r="I964" s="209"/>
      <c r="J964" s="201"/>
      <c r="K964" s="210" t="s">
        <v>39</v>
      </c>
      <c r="L964" s="201"/>
      <c r="M964" s="201"/>
      <c r="N964" s="201"/>
      <c r="O964" s="201"/>
      <c r="P964" s="201"/>
      <c r="Q964" s="201"/>
      <c r="R964" s="201"/>
      <c r="S964" s="201"/>
      <c r="T964" s="201"/>
      <c r="U964" s="201"/>
      <c r="V964" s="201"/>
      <c r="W964" s="201"/>
      <c r="X964" s="201"/>
      <c r="Y964" s="201"/>
      <c r="Z964" s="201"/>
      <c r="AA964" s="201"/>
    </row>
    <row r="965">
      <c r="A965" s="201"/>
      <c r="B965" s="201"/>
      <c r="C965" s="201"/>
      <c r="D965" s="201"/>
      <c r="E965" s="201"/>
      <c r="F965" s="201"/>
      <c r="G965" s="201"/>
      <c r="H965" s="209"/>
      <c r="I965" s="209"/>
      <c r="J965" s="201"/>
      <c r="K965" s="210" t="s">
        <v>39</v>
      </c>
      <c r="L965" s="201"/>
      <c r="M965" s="201"/>
      <c r="N965" s="201"/>
      <c r="O965" s="201"/>
      <c r="P965" s="201"/>
      <c r="Q965" s="201"/>
      <c r="R965" s="201"/>
      <c r="S965" s="201"/>
      <c r="T965" s="201"/>
      <c r="U965" s="201"/>
      <c r="V965" s="201"/>
      <c r="W965" s="201"/>
      <c r="X965" s="201"/>
      <c r="Y965" s="201"/>
      <c r="Z965" s="201"/>
      <c r="AA965" s="201"/>
    </row>
    <row r="966">
      <c r="A966" s="201"/>
      <c r="B966" s="201"/>
      <c r="C966" s="201"/>
      <c r="D966" s="201"/>
      <c r="E966" s="201"/>
      <c r="F966" s="201"/>
      <c r="G966" s="201"/>
      <c r="H966" s="209"/>
      <c r="I966" s="209"/>
      <c r="J966" s="201"/>
      <c r="K966" s="210" t="s">
        <v>39</v>
      </c>
      <c r="L966" s="201"/>
      <c r="M966" s="201"/>
      <c r="N966" s="201"/>
      <c r="O966" s="201"/>
      <c r="P966" s="201"/>
      <c r="Q966" s="201"/>
      <c r="R966" s="201"/>
      <c r="S966" s="201"/>
      <c r="T966" s="201"/>
      <c r="U966" s="201"/>
      <c r="V966" s="201"/>
      <c r="W966" s="201"/>
      <c r="X966" s="201"/>
      <c r="Y966" s="201"/>
      <c r="Z966" s="201"/>
      <c r="AA966" s="201"/>
    </row>
    <row r="967">
      <c r="A967" s="201"/>
      <c r="B967" s="201"/>
      <c r="C967" s="201"/>
      <c r="D967" s="201"/>
      <c r="E967" s="201"/>
      <c r="F967" s="201"/>
      <c r="G967" s="201"/>
      <c r="H967" s="209"/>
      <c r="I967" s="209"/>
      <c r="J967" s="201"/>
      <c r="K967" s="210" t="s">
        <v>39</v>
      </c>
      <c r="L967" s="201"/>
      <c r="M967" s="201"/>
      <c r="N967" s="201"/>
      <c r="O967" s="201"/>
      <c r="P967" s="201"/>
      <c r="Q967" s="201"/>
      <c r="R967" s="201"/>
      <c r="S967" s="201"/>
      <c r="T967" s="201"/>
      <c r="U967" s="201"/>
      <c r="V967" s="201"/>
      <c r="W967" s="201"/>
      <c r="X967" s="201"/>
      <c r="Y967" s="201"/>
      <c r="Z967" s="201"/>
      <c r="AA967" s="201"/>
    </row>
    <row r="968">
      <c r="A968" s="201"/>
      <c r="B968" s="201"/>
      <c r="C968" s="201"/>
      <c r="D968" s="201"/>
      <c r="E968" s="201"/>
      <c r="F968" s="201"/>
      <c r="G968" s="201"/>
      <c r="H968" s="209"/>
      <c r="I968" s="209"/>
      <c r="J968" s="201"/>
      <c r="K968" s="210" t="s">
        <v>39</v>
      </c>
      <c r="L968" s="201"/>
      <c r="M968" s="201"/>
      <c r="N968" s="201"/>
      <c r="O968" s="201"/>
      <c r="P968" s="201"/>
      <c r="Q968" s="201"/>
      <c r="R968" s="201"/>
      <c r="S968" s="201"/>
      <c r="T968" s="201"/>
      <c r="U968" s="201"/>
      <c r="V968" s="201"/>
      <c r="W968" s="201"/>
      <c r="X968" s="201"/>
      <c r="Y968" s="201"/>
      <c r="Z968" s="201"/>
      <c r="AA968" s="201"/>
    </row>
    <row r="969">
      <c r="A969" s="201"/>
      <c r="B969" s="201"/>
      <c r="C969" s="201"/>
      <c r="D969" s="201"/>
      <c r="E969" s="201"/>
      <c r="F969" s="201"/>
      <c r="G969" s="201"/>
      <c r="H969" s="209"/>
      <c r="I969" s="209"/>
      <c r="J969" s="201"/>
      <c r="K969" s="210" t="s">
        <v>39</v>
      </c>
      <c r="L969" s="201"/>
      <c r="M969" s="201"/>
      <c r="N969" s="201"/>
      <c r="O969" s="201"/>
      <c r="P969" s="201"/>
      <c r="Q969" s="201"/>
      <c r="R969" s="201"/>
      <c r="S969" s="201"/>
      <c r="T969" s="201"/>
      <c r="U969" s="201"/>
      <c r="V969" s="201"/>
      <c r="W969" s="201"/>
      <c r="X969" s="201"/>
      <c r="Y969" s="201"/>
      <c r="Z969" s="201"/>
      <c r="AA969" s="201"/>
    </row>
    <row r="970">
      <c r="A970" s="201"/>
      <c r="B970" s="201"/>
      <c r="C970" s="201"/>
      <c r="D970" s="201"/>
      <c r="E970" s="201"/>
      <c r="F970" s="201"/>
      <c r="G970" s="201"/>
      <c r="H970" s="209"/>
      <c r="I970" s="209"/>
      <c r="J970" s="201"/>
      <c r="K970" s="210" t="s">
        <v>39</v>
      </c>
      <c r="L970" s="201"/>
      <c r="M970" s="201"/>
      <c r="N970" s="201"/>
      <c r="O970" s="201"/>
      <c r="P970" s="201"/>
      <c r="Q970" s="201"/>
      <c r="R970" s="201"/>
      <c r="S970" s="201"/>
      <c r="T970" s="201"/>
      <c r="U970" s="201"/>
      <c r="V970" s="201"/>
      <c r="W970" s="201"/>
      <c r="X970" s="201"/>
      <c r="Y970" s="201"/>
      <c r="Z970" s="201"/>
      <c r="AA970" s="201"/>
    </row>
    <row r="971">
      <c r="A971" s="201"/>
      <c r="B971" s="201"/>
      <c r="C971" s="201"/>
      <c r="D971" s="201"/>
      <c r="E971" s="201"/>
      <c r="F971" s="201"/>
      <c r="G971" s="201"/>
      <c r="H971" s="209"/>
      <c r="I971" s="209"/>
      <c r="J971" s="201"/>
      <c r="K971" s="210" t="s">
        <v>39</v>
      </c>
      <c r="L971" s="201"/>
      <c r="M971" s="201"/>
      <c r="N971" s="201"/>
      <c r="O971" s="201"/>
      <c r="P971" s="201"/>
      <c r="Q971" s="201"/>
      <c r="R971" s="201"/>
      <c r="S971" s="201"/>
      <c r="T971" s="201"/>
      <c r="U971" s="201"/>
      <c r="V971" s="201"/>
      <c r="W971" s="201"/>
      <c r="X971" s="201"/>
      <c r="Y971" s="201"/>
      <c r="Z971" s="201"/>
      <c r="AA971" s="201"/>
    </row>
    <row r="972">
      <c r="A972" s="201"/>
      <c r="B972" s="201"/>
      <c r="C972" s="201"/>
      <c r="D972" s="201"/>
      <c r="E972" s="201"/>
      <c r="F972" s="201"/>
      <c r="G972" s="201"/>
      <c r="H972" s="209"/>
      <c r="I972" s="209"/>
      <c r="J972" s="201"/>
      <c r="K972" s="210" t="s">
        <v>39</v>
      </c>
      <c r="L972" s="201"/>
      <c r="M972" s="201"/>
      <c r="N972" s="201"/>
      <c r="O972" s="201"/>
      <c r="P972" s="201"/>
      <c r="Q972" s="201"/>
      <c r="R972" s="201"/>
      <c r="S972" s="201"/>
      <c r="T972" s="201"/>
      <c r="U972" s="201"/>
      <c r="V972" s="201"/>
      <c r="W972" s="201"/>
      <c r="X972" s="201"/>
      <c r="Y972" s="201"/>
      <c r="Z972" s="201"/>
      <c r="AA972" s="201"/>
    </row>
    <row r="973">
      <c r="A973" s="201"/>
      <c r="B973" s="201"/>
      <c r="C973" s="201"/>
      <c r="D973" s="201"/>
      <c r="E973" s="201"/>
      <c r="F973" s="201"/>
      <c r="G973" s="201"/>
      <c r="H973" s="209"/>
      <c r="I973" s="209"/>
      <c r="J973" s="201"/>
      <c r="K973" s="210" t="s">
        <v>39</v>
      </c>
      <c r="L973" s="201"/>
      <c r="M973" s="201"/>
      <c r="N973" s="201"/>
      <c r="O973" s="201"/>
      <c r="P973" s="201"/>
      <c r="Q973" s="201"/>
      <c r="R973" s="201"/>
      <c r="S973" s="201"/>
      <c r="T973" s="201"/>
      <c r="U973" s="201"/>
      <c r="V973" s="201"/>
      <c r="W973" s="201"/>
      <c r="X973" s="201"/>
      <c r="Y973" s="201"/>
      <c r="Z973" s="201"/>
      <c r="AA973" s="201"/>
    </row>
    <row r="974">
      <c r="A974" s="201"/>
      <c r="B974" s="201"/>
      <c r="C974" s="201"/>
      <c r="D974" s="201"/>
      <c r="E974" s="201"/>
      <c r="F974" s="201"/>
      <c r="G974" s="201"/>
      <c r="H974" s="209"/>
      <c r="I974" s="209"/>
      <c r="J974" s="201"/>
      <c r="K974" s="210" t="s">
        <v>39</v>
      </c>
      <c r="L974" s="201"/>
      <c r="M974" s="201"/>
      <c r="N974" s="201"/>
      <c r="O974" s="201"/>
      <c r="P974" s="201"/>
      <c r="Q974" s="201"/>
      <c r="R974" s="201"/>
      <c r="S974" s="201"/>
      <c r="T974" s="201"/>
      <c r="U974" s="201"/>
      <c r="V974" s="201"/>
      <c r="W974" s="201"/>
      <c r="X974" s="201"/>
      <c r="Y974" s="201"/>
      <c r="Z974" s="201"/>
      <c r="AA974" s="201"/>
    </row>
    <row r="975">
      <c r="A975" s="201"/>
      <c r="B975" s="201"/>
      <c r="C975" s="201"/>
      <c r="D975" s="201"/>
      <c r="E975" s="201"/>
      <c r="F975" s="201"/>
      <c r="G975" s="201"/>
      <c r="H975" s="209"/>
      <c r="I975" s="209"/>
      <c r="J975" s="201"/>
      <c r="K975" s="210" t="s">
        <v>39</v>
      </c>
      <c r="L975" s="201"/>
      <c r="M975" s="201"/>
      <c r="N975" s="201"/>
      <c r="O975" s="201"/>
      <c r="P975" s="201"/>
      <c r="Q975" s="201"/>
      <c r="R975" s="201"/>
      <c r="S975" s="201"/>
      <c r="T975" s="201"/>
      <c r="U975" s="201"/>
      <c r="V975" s="201"/>
      <c r="W975" s="201"/>
      <c r="X975" s="201"/>
      <c r="Y975" s="201"/>
      <c r="Z975" s="201"/>
      <c r="AA975" s="201"/>
    </row>
    <row r="976">
      <c r="A976" s="201"/>
      <c r="B976" s="201"/>
      <c r="C976" s="201"/>
      <c r="D976" s="201"/>
      <c r="E976" s="201"/>
      <c r="F976" s="201"/>
      <c r="G976" s="201"/>
      <c r="H976" s="209"/>
      <c r="I976" s="209"/>
      <c r="J976" s="201"/>
      <c r="K976" s="210" t="s">
        <v>39</v>
      </c>
      <c r="L976" s="201"/>
      <c r="M976" s="201"/>
      <c r="N976" s="201"/>
      <c r="O976" s="201"/>
      <c r="P976" s="201"/>
      <c r="Q976" s="201"/>
      <c r="R976" s="201"/>
      <c r="S976" s="201"/>
      <c r="T976" s="201"/>
      <c r="U976" s="201"/>
      <c r="V976" s="201"/>
      <c r="W976" s="201"/>
      <c r="X976" s="201"/>
      <c r="Y976" s="201"/>
      <c r="Z976" s="201"/>
      <c r="AA976" s="201"/>
    </row>
    <row r="977">
      <c r="A977" s="201"/>
      <c r="B977" s="201"/>
      <c r="C977" s="201"/>
      <c r="D977" s="201"/>
      <c r="E977" s="201"/>
      <c r="F977" s="201"/>
      <c r="G977" s="201"/>
      <c r="H977" s="209"/>
      <c r="I977" s="209"/>
      <c r="J977" s="201"/>
      <c r="K977" s="210" t="s">
        <v>39</v>
      </c>
      <c r="L977" s="201"/>
      <c r="M977" s="201"/>
      <c r="N977" s="201"/>
      <c r="O977" s="201"/>
      <c r="P977" s="201"/>
      <c r="Q977" s="201"/>
      <c r="R977" s="201"/>
      <c r="S977" s="201"/>
      <c r="T977" s="201"/>
      <c r="U977" s="201"/>
      <c r="V977" s="201"/>
      <c r="W977" s="201"/>
      <c r="X977" s="201"/>
      <c r="Y977" s="201"/>
      <c r="Z977" s="201"/>
      <c r="AA977" s="201"/>
    </row>
    <row r="978">
      <c r="A978" s="201"/>
      <c r="B978" s="201"/>
      <c r="C978" s="201"/>
      <c r="D978" s="201"/>
      <c r="E978" s="201"/>
      <c r="F978" s="201"/>
      <c r="G978" s="201"/>
      <c r="H978" s="209"/>
      <c r="I978" s="209"/>
      <c r="J978" s="201"/>
      <c r="K978" s="210" t="s">
        <v>39</v>
      </c>
      <c r="L978" s="201"/>
      <c r="M978" s="201"/>
      <c r="N978" s="201"/>
      <c r="O978" s="201"/>
      <c r="P978" s="201"/>
      <c r="Q978" s="201"/>
      <c r="R978" s="201"/>
      <c r="S978" s="201"/>
      <c r="T978" s="201"/>
      <c r="U978" s="201"/>
      <c r="V978" s="201"/>
      <c r="W978" s="201"/>
      <c r="X978" s="201"/>
      <c r="Y978" s="201"/>
      <c r="Z978" s="201"/>
      <c r="AA978" s="201"/>
    </row>
    <row r="979">
      <c r="A979" s="201"/>
      <c r="B979" s="201"/>
      <c r="C979" s="201"/>
      <c r="D979" s="201"/>
      <c r="E979" s="201"/>
      <c r="F979" s="201"/>
      <c r="G979" s="201"/>
      <c r="H979" s="209"/>
      <c r="I979" s="209"/>
      <c r="J979" s="201"/>
      <c r="K979" s="210" t="s">
        <v>39</v>
      </c>
      <c r="L979" s="201"/>
      <c r="M979" s="201"/>
      <c r="N979" s="201"/>
      <c r="O979" s="201"/>
      <c r="P979" s="201"/>
      <c r="Q979" s="201"/>
      <c r="R979" s="201"/>
      <c r="S979" s="201"/>
      <c r="T979" s="201"/>
      <c r="U979" s="201"/>
      <c r="V979" s="201"/>
      <c r="W979" s="201"/>
      <c r="X979" s="201"/>
      <c r="Y979" s="201"/>
      <c r="Z979" s="201"/>
      <c r="AA979" s="201"/>
    </row>
    <row r="980">
      <c r="A980" s="201"/>
      <c r="B980" s="201"/>
      <c r="C980" s="201"/>
      <c r="D980" s="201"/>
      <c r="E980" s="201"/>
      <c r="F980" s="201"/>
      <c r="G980" s="201"/>
      <c r="H980" s="209"/>
      <c r="I980" s="209"/>
      <c r="J980" s="201"/>
      <c r="K980" s="210" t="s">
        <v>39</v>
      </c>
      <c r="L980" s="201"/>
      <c r="M980" s="201"/>
      <c r="N980" s="201"/>
      <c r="O980" s="201"/>
      <c r="P980" s="201"/>
      <c r="Q980" s="201"/>
      <c r="R980" s="201"/>
      <c r="S980" s="201"/>
      <c r="T980" s="201"/>
      <c r="U980" s="201"/>
      <c r="V980" s="201"/>
      <c r="W980" s="201"/>
      <c r="X980" s="201"/>
      <c r="Y980" s="201"/>
      <c r="Z980" s="201"/>
      <c r="AA980" s="201"/>
    </row>
    <row r="981">
      <c r="A981" s="201"/>
      <c r="B981" s="201"/>
      <c r="C981" s="201"/>
      <c r="D981" s="201"/>
      <c r="E981" s="201"/>
      <c r="F981" s="201"/>
      <c r="G981" s="201"/>
      <c r="H981" s="209"/>
      <c r="I981" s="209"/>
      <c r="J981" s="201"/>
      <c r="K981" s="210" t="s">
        <v>39</v>
      </c>
      <c r="L981" s="201"/>
      <c r="M981" s="201"/>
      <c r="N981" s="201"/>
      <c r="O981" s="201"/>
      <c r="P981" s="201"/>
      <c r="Q981" s="201"/>
      <c r="R981" s="201"/>
      <c r="S981" s="201"/>
      <c r="T981" s="201"/>
      <c r="U981" s="201"/>
      <c r="V981" s="201"/>
      <c r="W981" s="201"/>
      <c r="X981" s="201"/>
      <c r="Y981" s="201"/>
      <c r="Z981" s="201"/>
      <c r="AA981" s="201"/>
    </row>
    <row r="982">
      <c r="A982" s="201"/>
      <c r="B982" s="201"/>
      <c r="C982" s="201"/>
      <c r="D982" s="201"/>
      <c r="E982" s="201"/>
      <c r="F982" s="201"/>
      <c r="G982" s="201"/>
      <c r="H982" s="209"/>
      <c r="I982" s="209"/>
      <c r="J982" s="201"/>
      <c r="K982" s="210" t="s">
        <v>39</v>
      </c>
      <c r="L982" s="201"/>
      <c r="M982" s="201"/>
      <c r="N982" s="201"/>
      <c r="O982" s="201"/>
      <c r="P982" s="201"/>
      <c r="Q982" s="201"/>
      <c r="R982" s="201"/>
      <c r="S982" s="201"/>
      <c r="T982" s="201"/>
      <c r="U982" s="201"/>
      <c r="V982" s="201"/>
      <c r="W982" s="201"/>
      <c r="X982" s="201"/>
      <c r="Y982" s="201"/>
      <c r="Z982" s="201"/>
      <c r="AA982" s="201"/>
    </row>
    <row r="983">
      <c r="A983" s="201"/>
      <c r="B983" s="201"/>
      <c r="C983" s="201"/>
      <c r="D983" s="201"/>
      <c r="E983" s="201"/>
      <c r="F983" s="201"/>
      <c r="G983" s="201"/>
      <c r="H983" s="209"/>
      <c r="I983" s="209"/>
      <c r="J983" s="201"/>
      <c r="K983" s="210" t="s">
        <v>39</v>
      </c>
      <c r="L983" s="201"/>
      <c r="M983" s="201"/>
      <c r="N983" s="201"/>
      <c r="O983" s="201"/>
      <c r="P983" s="201"/>
      <c r="Q983" s="201"/>
      <c r="R983" s="201"/>
      <c r="S983" s="201"/>
      <c r="T983" s="201"/>
      <c r="U983" s="201"/>
      <c r="V983" s="201"/>
      <c r="W983" s="201"/>
      <c r="X983" s="201"/>
      <c r="Y983" s="201"/>
      <c r="Z983" s="201"/>
      <c r="AA983" s="201"/>
    </row>
    <row r="984">
      <c r="A984" s="201"/>
      <c r="B984" s="201"/>
      <c r="C984" s="201"/>
      <c r="D984" s="201"/>
      <c r="E984" s="201"/>
      <c r="F984" s="201"/>
      <c r="G984" s="201"/>
      <c r="H984" s="209"/>
      <c r="I984" s="209"/>
      <c r="J984" s="201"/>
      <c r="K984" s="210" t="s">
        <v>39</v>
      </c>
      <c r="L984" s="201"/>
      <c r="M984" s="201"/>
      <c r="N984" s="201"/>
      <c r="O984" s="201"/>
      <c r="P984" s="201"/>
      <c r="Q984" s="201"/>
      <c r="R984" s="201"/>
      <c r="S984" s="201"/>
      <c r="T984" s="201"/>
      <c r="U984" s="201"/>
      <c r="V984" s="201"/>
      <c r="W984" s="201"/>
      <c r="X984" s="201"/>
      <c r="Y984" s="201"/>
      <c r="Z984" s="201"/>
      <c r="AA984" s="201"/>
    </row>
    <row r="985">
      <c r="A985" s="201"/>
      <c r="B985" s="201"/>
      <c r="C985" s="201"/>
      <c r="D985" s="201"/>
      <c r="E985" s="201"/>
      <c r="F985" s="201"/>
      <c r="G985" s="201"/>
      <c r="H985" s="209"/>
      <c r="I985" s="209"/>
      <c r="J985" s="201"/>
      <c r="K985" s="210" t="s">
        <v>39</v>
      </c>
      <c r="L985" s="201"/>
      <c r="M985" s="201"/>
      <c r="N985" s="201"/>
      <c r="O985" s="201"/>
      <c r="P985" s="201"/>
      <c r="Q985" s="201"/>
      <c r="R985" s="201"/>
      <c r="S985" s="201"/>
      <c r="T985" s="201"/>
      <c r="U985" s="201"/>
      <c r="V985" s="201"/>
      <c r="W985" s="201"/>
      <c r="X985" s="201"/>
      <c r="Y985" s="201"/>
      <c r="Z985" s="201"/>
      <c r="AA985" s="201"/>
    </row>
    <row r="986">
      <c r="A986" s="201"/>
      <c r="B986" s="201"/>
      <c r="C986" s="201"/>
      <c r="D986" s="201"/>
      <c r="E986" s="201"/>
      <c r="F986" s="201"/>
      <c r="G986" s="201"/>
      <c r="H986" s="209"/>
      <c r="I986" s="209"/>
      <c r="J986" s="201"/>
      <c r="K986" s="210" t="s">
        <v>39</v>
      </c>
      <c r="L986" s="201"/>
      <c r="M986" s="201"/>
      <c r="N986" s="201"/>
      <c r="O986" s="201"/>
      <c r="P986" s="201"/>
      <c r="Q986" s="201"/>
      <c r="R986" s="201"/>
      <c r="S986" s="201"/>
      <c r="T986" s="201"/>
      <c r="U986" s="201"/>
      <c r="V986" s="201"/>
      <c r="W986" s="201"/>
      <c r="X986" s="201"/>
      <c r="Y986" s="201"/>
      <c r="Z986" s="201"/>
      <c r="AA986" s="201"/>
    </row>
    <row r="987">
      <c r="A987" s="201"/>
      <c r="B987" s="201"/>
      <c r="C987" s="201"/>
      <c r="D987" s="201"/>
      <c r="E987" s="201"/>
      <c r="F987" s="201"/>
      <c r="G987" s="201"/>
      <c r="H987" s="209"/>
      <c r="I987" s="209"/>
      <c r="J987" s="201"/>
      <c r="K987" s="210" t="s">
        <v>39</v>
      </c>
      <c r="L987" s="201"/>
      <c r="M987" s="201"/>
      <c r="N987" s="201"/>
      <c r="O987" s="201"/>
      <c r="P987" s="201"/>
      <c r="Q987" s="201"/>
      <c r="R987" s="201"/>
      <c r="S987" s="201"/>
      <c r="T987" s="201"/>
      <c r="U987" s="201"/>
      <c r="V987" s="201"/>
      <c r="W987" s="201"/>
      <c r="X987" s="201"/>
      <c r="Y987" s="201"/>
      <c r="Z987" s="201"/>
      <c r="AA987" s="201"/>
    </row>
    <row r="988">
      <c r="A988" s="201"/>
      <c r="B988" s="201"/>
      <c r="C988" s="201"/>
      <c r="D988" s="201"/>
      <c r="E988" s="201"/>
      <c r="F988" s="201"/>
      <c r="G988" s="201"/>
      <c r="H988" s="209"/>
      <c r="I988" s="209"/>
      <c r="J988" s="201"/>
      <c r="K988" s="210" t="s">
        <v>39</v>
      </c>
      <c r="L988" s="201"/>
      <c r="M988" s="201"/>
      <c r="N988" s="201"/>
      <c r="O988" s="201"/>
      <c r="P988" s="201"/>
      <c r="Q988" s="201"/>
      <c r="R988" s="201"/>
      <c r="S988" s="201"/>
      <c r="T988" s="201"/>
      <c r="U988" s="201"/>
      <c r="V988" s="201"/>
      <c r="W988" s="201"/>
      <c r="X988" s="201"/>
      <c r="Y988" s="201"/>
      <c r="Z988" s="201"/>
      <c r="AA988" s="201"/>
    </row>
    <row r="989">
      <c r="A989" s="201"/>
      <c r="B989" s="201"/>
      <c r="C989" s="201"/>
      <c r="D989" s="201"/>
      <c r="E989" s="201"/>
      <c r="F989" s="201"/>
      <c r="G989" s="201"/>
      <c r="H989" s="209"/>
      <c r="I989" s="209"/>
      <c r="J989" s="201"/>
      <c r="K989" s="210" t="s">
        <v>39</v>
      </c>
      <c r="L989" s="201"/>
      <c r="M989" s="201"/>
      <c r="N989" s="201"/>
      <c r="O989" s="201"/>
      <c r="P989" s="201"/>
      <c r="Q989" s="201"/>
      <c r="R989" s="201"/>
      <c r="S989" s="201"/>
      <c r="T989" s="201"/>
      <c r="U989" s="201"/>
      <c r="V989" s="201"/>
      <c r="W989" s="201"/>
      <c r="X989" s="201"/>
      <c r="Y989" s="201"/>
      <c r="Z989" s="201"/>
      <c r="AA989" s="201"/>
    </row>
    <row r="990">
      <c r="A990" s="201"/>
      <c r="B990" s="201"/>
      <c r="C990" s="201"/>
      <c r="D990" s="201"/>
      <c r="E990" s="201"/>
      <c r="F990" s="201"/>
      <c r="G990" s="201"/>
      <c r="H990" s="209"/>
      <c r="I990" s="209"/>
      <c r="J990" s="201"/>
      <c r="K990" s="210" t="s">
        <v>39</v>
      </c>
      <c r="L990" s="201"/>
      <c r="M990" s="201"/>
      <c r="N990" s="201"/>
      <c r="O990" s="201"/>
      <c r="P990" s="201"/>
      <c r="Q990" s="201"/>
      <c r="R990" s="201"/>
      <c r="S990" s="201"/>
      <c r="T990" s="201"/>
      <c r="U990" s="201"/>
      <c r="V990" s="201"/>
      <c r="W990" s="201"/>
      <c r="X990" s="201"/>
      <c r="Y990" s="201"/>
      <c r="Z990" s="201"/>
      <c r="AA990" s="201"/>
    </row>
    <row r="991">
      <c r="A991" s="201"/>
      <c r="B991" s="201"/>
      <c r="C991" s="201"/>
      <c r="D991" s="201"/>
      <c r="E991" s="201"/>
      <c r="F991" s="201"/>
      <c r="G991" s="201"/>
      <c r="H991" s="209"/>
      <c r="I991" s="209"/>
      <c r="J991" s="201"/>
      <c r="K991" s="210" t="s">
        <v>39</v>
      </c>
      <c r="L991" s="201"/>
      <c r="M991" s="201"/>
      <c r="N991" s="201"/>
      <c r="O991" s="201"/>
      <c r="P991" s="201"/>
      <c r="Q991" s="201"/>
      <c r="R991" s="201"/>
      <c r="S991" s="201"/>
      <c r="T991" s="201"/>
      <c r="U991" s="201"/>
      <c r="V991" s="201"/>
      <c r="W991" s="201"/>
      <c r="X991" s="201"/>
      <c r="Y991" s="201"/>
      <c r="Z991" s="201"/>
      <c r="AA991" s="201"/>
    </row>
    <row r="992">
      <c r="A992" s="201"/>
      <c r="B992" s="201"/>
      <c r="C992" s="201"/>
      <c r="D992" s="201"/>
      <c r="E992" s="201"/>
      <c r="F992" s="201"/>
      <c r="G992" s="201"/>
      <c r="H992" s="209"/>
      <c r="I992" s="209"/>
      <c r="J992" s="201"/>
      <c r="K992" s="210" t="s">
        <v>39</v>
      </c>
      <c r="L992" s="201"/>
      <c r="M992" s="201"/>
      <c r="N992" s="201"/>
      <c r="O992" s="201"/>
      <c r="P992" s="201"/>
      <c r="Q992" s="201"/>
      <c r="R992" s="201"/>
      <c r="S992" s="201"/>
      <c r="T992" s="201"/>
      <c r="U992" s="201"/>
      <c r="V992" s="201"/>
      <c r="W992" s="201"/>
      <c r="X992" s="201"/>
      <c r="Y992" s="201"/>
      <c r="Z992" s="201"/>
      <c r="AA992" s="201"/>
    </row>
    <row r="993">
      <c r="A993" s="201"/>
      <c r="B993" s="201"/>
      <c r="C993" s="201"/>
      <c r="D993" s="201"/>
      <c r="E993" s="201"/>
      <c r="F993" s="201"/>
      <c r="G993" s="201"/>
      <c r="H993" s="209"/>
      <c r="I993" s="209"/>
      <c r="J993" s="201"/>
      <c r="K993" s="210" t="s">
        <v>39</v>
      </c>
      <c r="L993" s="201"/>
      <c r="M993" s="201"/>
      <c r="N993" s="201"/>
      <c r="O993" s="201"/>
      <c r="P993" s="201"/>
      <c r="Q993" s="201"/>
      <c r="R993" s="201"/>
      <c r="S993" s="201"/>
      <c r="T993" s="201"/>
      <c r="U993" s="201"/>
      <c r="V993" s="201"/>
      <c r="W993" s="201"/>
      <c r="X993" s="201"/>
      <c r="Y993" s="201"/>
      <c r="Z993" s="201"/>
      <c r="AA993" s="201"/>
    </row>
    <row r="994">
      <c r="A994" s="201"/>
      <c r="B994" s="201"/>
      <c r="C994" s="201"/>
      <c r="D994" s="201"/>
      <c r="E994" s="201"/>
      <c r="F994" s="201"/>
      <c r="G994" s="201"/>
      <c r="H994" s="209"/>
      <c r="I994" s="209"/>
      <c r="J994" s="201"/>
      <c r="K994" s="210" t="s">
        <v>39</v>
      </c>
      <c r="L994" s="201"/>
      <c r="M994" s="201"/>
      <c r="N994" s="201"/>
      <c r="O994" s="201"/>
      <c r="P994" s="201"/>
      <c r="Q994" s="201"/>
      <c r="R994" s="201"/>
      <c r="S994" s="201"/>
      <c r="T994" s="201"/>
      <c r="U994" s="201"/>
      <c r="V994" s="201"/>
      <c r="W994" s="201"/>
      <c r="X994" s="201"/>
      <c r="Y994" s="201"/>
      <c r="Z994" s="201"/>
      <c r="AA994" s="201"/>
    </row>
    <row r="995">
      <c r="A995" s="201"/>
      <c r="B995" s="201"/>
      <c r="C995" s="201"/>
      <c r="D995" s="201"/>
      <c r="E995" s="201"/>
      <c r="F995" s="201"/>
      <c r="G995" s="201"/>
      <c r="H995" s="209"/>
      <c r="I995" s="209"/>
      <c r="J995" s="201"/>
      <c r="K995" s="210" t="s">
        <v>39</v>
      </c>
      <c r="L995" s="201"/>
      <c r="M995" s="201"/>
      <c r="N995" s="201"/>
      <c r="O995" s="201"/>
      <c r="P995" s="201"/>
      <c r="Q995" s="201"/>
      <c r="R995" s="201"/>
      <c r="S995" s="201"/>
      <c r="T995" s="201"/>
      <c r="U995" s="201"/>
      <c r="V995" s="201"/>
      <c r="W995" s="201"/>
      <c r="X995" s="201"/>
      <c r="Y995" s="201"/>
      <c r="Z995" s="201"/>
      <c r="AA995" s="201"/>
    </row>
    <row r="996">
      <c r="A996" s="201"/>
      <c r="B996" s="201"/>
      <c r="C996" s="201"/>
      <c r="D996" s="201"/>
      <c r="E996" s="201"/>
      <c r="F996" s="201"/>
      <c r="G996" s="201"/>
      <c r="H996" s="209"/>
      <c r="I996" s="209"/>
      <c r="J996" s="201"/>
      <c r="K996" s="210" t="s">
        <v>39</v>
      </c>
      <c r="L996" s="201"/>
      <c r="M996" s="201"/>
      <c r="N996" s="201"/>
      <c r="O996" s="201"/>
      <c r="P996" s="201"/>
      <c r="Q996" s="201"/>
      <c r="R996" s="201"/>
      <c r="S996" s="201"/>
      <c r="T996" s="201"/>
      <c r="U996" s="201"/>
      <c r="V996" s="201"/>
      <c r="W996" s="201"/>
      <c r="X996" s="201"/>
      <c r="Y996" s="201"/>
      <c r="Z996" s="201"/>
      <c r="AA996" s="201"/>
    </row>
    <row r="997">
      <c r="A997" s="201"/>
      <c r="B997" s="201"/>
      <c r="C997" s="201"/>
      <c r="D997" s="201"/>
      <c r="E997" s="201"/>
      <c r="F997" s="201"/>
      <c r="G997" s="201"/>
      <c r="H997" s="209"/>
      <c r="I997" s="209"/>
      <c r="J997" s="201"/>
      <c r="K997" s="210" t="s">
        <v>39</v>
      </c>
      <c r="L997" s="201"/>
      <c r="M997" s="201"/>
      <c r="N997" s="201"/>
      <c r="O997" s="201"/>
      <c r="P997" s="201"/>
      <c r="Q997" s="201"/>
      <c r="R997" s="201"/>
      <c r="S997" s="201"/>
      <c r="T997" s="201"/>
      <c r="U997" s="201"/>
      <c r="V997" s="201"/>
      <c r="W997" s="201"/>
      <c r="X997" s="201"/>
      <c r="Y997" s="201"/>
      <c r="Z997" s="201"/>
      <c r="AA997" s="201"/>
    </row>
    <row r="998">
      <c r="A998" s="201"/>
      <c r="B998" s="201"/>
      <c r="C998" s="201"/>
      <c r="D998" s="201"/>
      <c r="E998" s="201"/>
      <c r="F998" s="201"/>
      <c r="G998" s="201"/>
      <c r="H998" s="209"/>
      <c r="I998" s="209"/>
      <c r="J998" s="201"/>
      <c r="K998" s="210" t="s">
        <v>39</v>
      </c>
      <c r="L998" s="201"/>
      <c r="M998" s="201"/>
      <c r="N998" s="201"/>
      <c r="O998" s="201"/>
      <c r="P998" s="201"/>
      <c r="Q998" s="201"/>
      <c r="R998" s="201"/>
      <c r="S998" s="201"/>
      <c r="T998" s="201"/>
      <c r="U998" s="201"/>
      <c r="V998" s="201"/>
      <c r="W998" s="201"/>
      <c r="X998" s="201"/>
      <c r="Y998" s="201"/>
      <c r="Z998" s="201"/>
      <c r="AA998" s="201"/>
    </row>
    <row r="999">
      <c r="A999" s="201"/>
      <c r="B999" s="201"/>
      <c r="C999" s="201"/>
      <c r="D999" s="201"/>
      <c r="E999" s="201"/>
      <c r="F999" s="201"/>
      <c r="G999" s="201"/>
      <c r="H999" s="209"/>
      <c r="I999" s="209"/>
      <c r="J999" s="201"/>
      <c r="K999" s="210" t="s">
        <v>39</v>
      </c>
      <c r="L999" s="201"/>
      <c r="M999" s="201"/>
      <c r="N999" s="201"/>
      <c r="O999" s="201"/>
      <c r="P999" s="201"/>
      <c r="Q999" s="201"/>
      <c r="R999" s="201"/>
      <c r="S999" s="201"/>
      <c r="T999" s="201"/>
      <c r="U999" s="201"/>
      <c r="V999" s="201"/>
      <c r="W999" s="201"/>
      <c r="X999" s="201"/>
      <c r="Y999" s="201"/>
      <c r="Z999" s="201"/>
      <c r="AA999" s="201"/>
    </row>
    <row r="1000">
      <c r="A1000" s="201"/>
      <c r="B1000" s="201"/>
      <c r="C1000" s="201"/>
      <c r="D1000" s="201"/>
      <c r="E1000" s="201"/>
      <c r="F1000" s="201"/>
      <c r="G1000" s="201"/>
      <c r="H1000" s="209"/>
      <c r="I1000" s="209"/>
      <c r="J1000" s="201"/>
      <c r="K1000" s="210" t="s">
        <v>39</v>
      </c>
      <c r="L1000" s="201"/>
      <c r="M1000" s="201"/>
      <c r="N1000" s="201"/>
      <c r="O1000" s="201"/>
      <c r="P1000" s="201"/>
      <c r="Q1000" s="201"/>
      <c r="R1000" s="201"/>
      <c r="S1000" s="201"/>
      <c r="T1000" s="201"/>
      <c r="U1000" s="201"/>
      <c r="V1000" s="201"/>
      <c r="W1000" s="201"/>
      <c r="X1000" s="201"/>
      <c r="Y1000" s="201"/>
      <c r="Z1000" s="201"/>
      <c r="AA1000" s="20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sheetData>
    <row r="1">
      <c r="A1" s="67"/>
      <c r="B1" s="67"/>
      <c r="C1" s="67"/>
      <c r="D1" s="67"/>
      <c r="E1" s="67"/>
      <c r="F1" s="67"/>
      <c r="G1" s="67"/>
      <c r="H1" s="67"/>
      <c r="I1" s="67"/>
      <c r="J1" s="67"/>
      <c r="K1" s="67"/>
      <c r="L1" s="67"/>
      <c r="M1" s="67"/>
      <c r="N1" s="67"/>
      <c r="O1" s="67"/>
      <c r="P1" s="67"/>
      <c r="Q1" s="67"/>
      <c r="R1" s="67"/>
      <c r="S1" s="67"/>
      <c r="T1" s="67"/>
      <c r="U1" s="67"/>
      <c r="V1" s="67"/>
      <c r="W1" s="67"/>
      <c r="X1" s="67"/>
      <c r="Y1" s="67"/>
      <c r="Z1" s="67"/>
    </row>
    <row r="2">
      <c r="A2" s="70" t="s">
        <v>1436</v>
      </c>
      <c r="B2" s="70" t="s">
        <v>8737</v>
      </c>
      <c r="C2" s="70" t="s">
        <v>8738</v>
      </c>
      <c r="D2" s="70" t="s">
        <v>8739</v>
      </c>
      <c r="E2" s="67"/>
      <c r="F2" s="67"/>
      <c r="G2" s="67"/>
      <c r="H2" s="67"/>
      <c r="I2" s="67"/>
      <c r="J2" s="67"/>
      <c r="K2" s="67"/>
      <c r="L2" s="67"/>
      <c r="M2" s="67"/>
      <c r="N2" s="67"/>
      <c r="O2" s="67"/>
      <c r="P2" s="67"/>
      <c r="Q2" s="67"/>
      <c r="R2" s="67"/>
      <c r="S2" s="67"/>
      <c r="T2" s="67"/>
      <c r="U2" s="67"/>
      <c r="V2" s="67"/>
      <c r="W2" s="67"/>
      <c r="X2" s="67"/>
      <c r="Y2" s="67"/>
      <c r="Z2" s="67"/>
    </row>
    <row r="3">
      <c r="A3" s="70" t="s">
        <v>8596</v>
      </c>
      <c r="B3" s="214">
        <v>40461.0</v>
      </c>
      <c r="C3" s="70">
        <v>7.0</v>
      </c>
      <c r="D3" s="70">
        <v>14.0</v>
      </c>
      <c r="E3" s="67"/>
      <c r="F3" s="67"/>
      <c r="G3" s="67"/>
      <c r="H3" s="67"/>
      <c r="I3" s="67"/>
      <c r="J3" s="67"/>
      <c r="K3" s="67"/>
      <c r="L3" s="67"/>
      <c r="M3" s="67"/>
      <c r="N3" s="67"/>
      <c r="O3" s="67"/>
      <c r="P3" s="67"/>
      <c r="Q3" s="67"/>
      <c r="R3" s="67"/>
      <c r="S3" s="67"/>
      <c r="T3" s="67"/>
      <c r="U3" s="67"/>
      <c r="V3" s="67"/>
      <c r="W3" s="67"/>
      <c r="X3" s="67"/>
      <c r="Y3" s="67"/>
      <c r="Z3" s="67"/>
    </row>
    <row r="4">
      <c r="A4" s="70" t="s">
        <v>8587</v>
      </c>
      <c r="B4" s="215">
        <v>36952.0</v>
      </c>
      <c r="C4" s="70">
        <v>7.0</v>
      </c>
      <c r="D4" s="70">
        <v>14.0</v>
      </c>
      <c r="E4" s="67"/>
      <c r="F4" s="67"/>
      <c r="G4" s="67"/>
      <c r="H4" s="67"/>
      <c r="I4" s="67"/>
      <c r="J4" s="67"/>
      <c r="K4" s="67"/>
      <c r="L4" s="67"/>
      <c r="M4" s="67"/>
      <c r="N4" s="67"/>
      <c r="O4" s="67"/>
      <c r="P4" s="67"/>
      <c r="Q4" s="67"/>
      <c r="R4" s="67"/>
      <c r="S4" s="67"/>
      <c r="T4" s="67"/>
      <c r="U4" s="67"/>
      <c r="V4" s="67"/>
      <c r="W4" s="67"/>
      <c r="X4" s="67"/>
      <c r="Y4" s="67"/>
      <c r="Z4" s="67"/>
    </row>
    <row r="5">
      <c r="A5" s="67"/>
      <c r="B5" s="67"/>
      <c r="C5" s="67"/>
      <c r="D5" s="67"/>
      <c r="E5" s="67"/>
      <c r="F5" s="67"/>
      <c r="G5" s="67"/>
      <c r="H5" s="67"/>
      <c r="I5" s="67"/>
      <c r="J5" s="67"/>
      <c r="K5" s="67"/>
      <c r="L5" s="67"/>
      <c r="M5" s="67"/>
      <c r="N5" s="67"/>
      <c r="O5" s="67"/>
      <c r="P5" s="67"/>
      <c r="Q5" s="67"/>
      <c r="R5" s="67"/>
      <c r="S5" s="67"/>
      <c r="T5" s="67"/>
      <c r="U5" s="67"/>
      <c r="V5" s="67"/>
      <c r="W5" s="67"/>
      <c r="X5" s="67"/>
      <c r="Y5" s="67"/>
      <c r="Z5" s="67"/>
    </row>
    <row r="6">
      <c r="A6" s="67"/>
      <c r="B6" s="67"/>
      <c r="C6" s="67"/>
      <c r="D6" s="67"/>
      <c r="E6" s="67"/>
      <c r="F6" s="67"/>
      <c r="G6" s="67"/>
      <c r="H6" s="67"/>
      <c r="I6" s="67"/>
      <c r="J6" s="67"/>
      <c r="K6" s="67"/>
      <c r="L6" s="67"/>
      <c r="M6" s="67"/>
      <c r="N6" s="67"/>
      <c r="O6" s="67"/>
      <c r="P6" s="67"/>
      <c r="Q6" s="67"/>
      <c r="R6" s="67"/>
      <c r="S6" s="67"/>
      <c r="T6" s="67"/>
      <c r="U6" s="67"/>
      <c r="V6" s="67"/>
      <c r="W6" s="67"/>
      <c r="X6" s="67"/>
      <c r="Y6" s="67"/>
      <c r="Z6" s="67"/>
    </row>
    <row r="7">
      <c r="A7" s="67"/>
      <c r="B7" s="67"/>
      <c r="C7" s="67"/>
      <c r="D7" s="67"/>
      <c r="E7" s="67"/>
      <c r="F7" s="67"/>
      <c r="G7" s="67"/>
      <c r="H7" s="67"/>
      <c r="I7" s="67"/>
      <c r="J7" s="67"/>
      <c r="K7" s="67"/>
      <c r="L7" s="67"/>
      <c r="M7" s="67"/>
      <c r="N7" s="67"/>
      <c r="O7" s="67"/>
      <c r="P7" s="67"/>
      <c r="Q7" s="67"/>
      <c r="R7" s="67"/>
      <c r="S7" s="67"/>
      <c r="T7" s="67"/>
      <c r="U7" s="67"/>
      <c r="V7" s="67"/>
      <c r="W7" s="67"/>
      <c r="X7" s="67"/>
      <c r="Y7" s="67"/>
      <c r="Z7" s="67"/>
    </row>
    <row r="8">
      <c r="A8" s="67"/>
      <c r="B8" s="67"/>
      <c r="C8" s="67"/>
      <c r="D8" s="67"/>
      <c r="E8" s="67"/>
      <c r="F8" s="67"/>
      <c r="G8" s="67"/>
      <c r="H8" s="67"/>
      <c r="I8" s="67"/>
      <c r="J8" s="67"/>
      <c r="K8" s="67"/>
      <c r="L8" s="67"/>
      <c r="M8" s="67"/>
      <c r="N8" s="67"/>
      <c r="O8" s="67"/>
      <c r="P8" s="67"/>
      <c r="Q8" s="67"/>
      <c r="R8" s="67"/>
      <c r="S8" s="67"/>
      <c r="T8" s="67"/>
      <c r="U8" s="67"/>
      <c r="V8" s="67"/>
      <c r="W8" s="67"/>
      <c r="X8" s="67"/>
      <c r="Y8" s="67"/>
      <c r="Z8" s="67"/>
    </row>
    <row r="9">
      <c r="A9" s="67"/>
      <c r="B9" s="67"/>
      <c r="C9" s="67"/>
      <c r="D9" s="67"/>
      <c r="E9" s="67"/>
      <c r="F9" s="67"/>
      <c r="G9" s="67"/>
      <c r="H9" s="67"/>
      <c r="I9" s="67"/>
      <c r="J9" s="67"/>
      <c r="K9" s="67"/>
      <c r="L9" s="67"/>
      <c r="M9" s="67"/>
      <c r="N9" s="67"/>
      <c r="O9" s="67"/>
      <c r="P9" s="67"/>
      <c r="Q9" s="67"/>
      <c r="R9" s="67"/>
      <c r="S9" s="67"/>
      <c r="T9" s="67"/>
      <c r="U9" s="67"/>
      <c r="V9" s="67"/>
      <c r="W9" s="67"/>
      <c r="X9" s="67"/>
      <c r="Y9" s="67"/>
      <c r="Z9" s="67"/>
    </row>
    <row r="10">
      <c r="A10" s="67"/>
      <c r="B10" s="67"/>
      <c r="C10" s="67"/>
      <c r="D10" s="67"/>
      <c r="E10" s="67"/>
      <c r="F10" s="67"/>
      <c r="G10" s="67"/>
      <c r="H10" s="67"/>
      <c r="I10" s="67"/>
      <c r="J10" s="67"/>
      <c r="K10" s="67"/>
      <c r="L10" s="67"/>
      <c r="M10" s="67"/>
      <c r="N10" s="67"/>
      <c r="O10" s="67"/>
      <c r="P10" s="67"/>
      <c r="Q10" s="67"/>
      <c r="R10" s="67"/>
      <c r="S10" s="67"/>
      <c r="T10" s="67"/>
      <c r="U10" s="67"/>
      <c r="V10" s="67"/>
      <c r="W10" s="67"/>
      <c r="X10" s="67"/>
      <c r="Y10" s="67"/>
      <c r="Z10" s="67"/>
    </row>
    <row r="11">
      <c r="A11" s="67"/>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row>
    <row r="14">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row>
    <row r="15">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2" width="14.0"/>
    <col customWidth="1" min="3" max="3" width="19.5"/>
    <col customWidth="1" min="4" max="4" width="20.0"/>
    <col customWidth="1" min="5" max="5" width="10.5"/>
    <col customWidth="1" min="6" max="6" width="22.0"/>
    <col customWidth="1" min="7" max="7" width="8.5"/>
    <col customWidth="1" min="8" max="8" width="7.0"/>
    <col customWidth="1" min="9" max="9" width="16.75"/>
    <col customWidth="1" min="10" max="10" width="11.25"/>
    <col customWidth="1" min="11" max="11" width="12.38"/>
    <col customWidth="1" min="12" max="13" width="15.75"/>
    <col customWidth="1" min="14" max="14" width="12.13"/>
    <col customWidth="1" min="15" max="15" width="29.75"/>
    <col customWidth="1" min="16" max="16" width="12.0"/>
    <col customWidth="1" min="17" max="17" width="11.13"/>
    <col customWidth="1" min="18" max="18" width="21.13"/>
    <col customWidth="1" min="19" max="19" width="16.63"/>
    <col customWidth="1" min="20" max="24" width="7.63"/>
  </cols>
  <sheetData>
    <row r="1">
      <c r="A1" s="216"/>
      <c r="B1" s="217"/>
      <c r="C1" s="217"/>
      <c r="D1" s="217"/>
      <c r="E1" s="217"/>
      <c r="F1" s="217"/>
      <c r="G1" s="217"/>
      <c r="H1" s="217">
        <f>SUM(H3:H997)</f>
        <v>2118.6</v>
      </c>
      <c r="I1" s="217"/>
      <c r="J1" s="218">
        <f>SUM( J3:J993 )</f>
        <v>2878.77</v>
      </c>
      <c r="K1" s="219"/>
      <c r="L1" s="217"/>
      <c r="M1" s="217"/>
      <c r="N1" s="217"/>
      <c r="O1" s="217"/>
      <c r="P1" s="217"/>
      <c r="Q1" s="217"/>
      <c r="R1" s="217"/>
      <c r="S1" s="217"/>
      <c r="T1" s="217"/>
      <c r="U1" s="217"/>
      <c r="V1" s="217"/>
      <c r="W1" s="217"/>
      <c r="X1" s="217"/>
    </row>
    <row r="2">
      <c r="A2" s="220" t="s">
        <v>0</v>
      </c>
      <c r="B2" s="221" t="s">
        <v>1074</v>
      </c>
      <c r="C2" s="221" t="s">
        <v>1</v>
      </c>
      <c r="D2" s="221" t="s">
        <v>1076</v>
      </c>
      <c r="E2" s="221" t="s">
        <v>8740</v>
      </c>
      <c r="F2" s="221" t="s">
        <v>8741</v>
      </c>
      <c r="G2" s="221" t="s">
        <v>8742</v>
      </c>
      <c r="H2" s="221" t="s">
        <v>1078</v>
      </c>
      <c r="I2" s="221" t="s">
        <v>8743</v>
      </c>
      <c r="J2" s="222" t="s">
        <v>8744</v>
      </c>
      <c r="K2" s="223" t="s">
        <v>13</v>
      </c>
      <c r="L2" s="221" t="s">
        <v>8745</v>
      </c>
      <c r="M2" s="224" t="s">
        <v>1085</v>
      </c>
      <c r="N2" s="221" t="s">
        <v>1086</v>
      </c>
      <c r="O2" s="221" t="s">
        <v>8746</v>
      </c>
      <c r="P2" s="224" t="s">
        <v>9</v>
      </c>
      <c r="Q2" s="224" t="s">
        <v>10</v>
      </c>
      <c r="R2" s="224" t="s">
        <v>14</v>
      </c>
      <c r="S2" s="224" t="s">
        <v>15</v>
      </c>
      <c r="T2" s="221"/>
      <c r="U2" s="221"/>
      <c r="V2" s="221"/>
      <c r="W2" s="221"/>
      <c r="X2" s="225"/>
    </row>
    <row r="3">
      <c r="A3" s="216">
        <v>45881.0</v>
      </c>
      <c r="B3" s="124" t="s">
        <v>117</v>
      </c>
      <c r="C3" s="124" t="s">
        <v>8747</v>
      </c>
      <c r="D3" s="124" t="s">
        <v>8748</v>
      </c>
      <c r="E3" s="124" t="s">
        <v>5958</v>
      </c>
      <c r="F3" s="124" t="s">
        <v>8749</v>
      </c>
      <c r="G3" s="226">
        <v>1.0</v>
      </c>
      <c r="H3" s="124">
        <v>10.0</v>
      </c>
      <c r="I3" s="217" t="str">
        <f>IFERROR(__xludf.DUMMYFUNCTION("ARRAYFORMULA(
IFERROR(
  MAP(
    INDEX($A$3:$Z1000,,MATCH(""Source"",$A$2:$Z$2,0)),
    INDEX($A$3:$Z1000,,MATCH(""Category"",$A$2:$Z$2,0)),
    INDEX($A$3:$Z1000,,MATCH(""Size"",$A$2:$Z$2,0)),
    INDEX($A$3:$Z1000,,MATCH(""Style"",$A$2:$Z$2,0)),
    IN"&amp;"DEX($A$3:$Z1000,,MATCH(""Pur #"",$A$2:$Z$2,0)),
    INDEX($A$3:$Z1000,,MATCH(""Qty"",$A$2:$Z$2,0)),
    LAMBDA(src,cat,size,sty,pur,qty,
      LET(
        src, TRIM(src),
        cat, UPPER(TRIM(cat)),
        size, SUBSTITUTE(TRIM(size),"""""""",""""),
"&amp;"        sty, TRIM(sty),
        pur, TRIM(pur&amp;""""),
        qty, TRIM(qty&amp;""""),
        genCode, LAMBDA(t,
          LET(
            clean, REGEXREPLACE(UPPER(TRIM(t)),""[^A-Z ]"",""""),
            w, FILTER(SPLIT(clean,"" ""), SPLIT(clean,"" "")&lt;&gt;"""&amp;"""),
            n, COUNTA(w),
            IF(n=0,"""",
              IF(n=1, LEFT(INDEX(w,1),2),
                IF(n=2, LEFT(INDEX(w,1),1)&amp;LEFT(INDEX(w,2),1),
                  LEFT(INDEX(w,1),1)&amp;LEFT(INDEX(w,2),1)&amp;LEFT(INDEX(w,3),1)
                )
 "&amp;"             )
            )
          )
        ),
        srcCode, IFERROR(
          VLOOKUP(UPPER(src), {UPPER(TRIM('Product KEY'!B:B)), UPPER(TRIM('Product KEY'!C:C))}, 2, FALSE),
          genCode(src)
        ),
        catCode, IFERROR(
        "&amp;"  VLOOKUP(UPPER(TRIM(cat)), {UPPER(TRIM('Product KEY'!D:D)), UPPER(TRIM('Product KEY'!E:E))}, 2, FALSE),
          genCode(cat)
        ),
        styCode, IFERROR(
          VLOOKUP(UPPER(sty), {UPPER(TRIM('Product KEY'!H:H)), UPPER(TRIM('Product KEY'!I"&amp;":I))}, 2, FALSE),
          genCode(sty)
        ),
        suffix, IF(cat=""POT"", pur, IF(cat=""SOIL"", pur, qty)),
        IF(src="""","""",
          IF(OR(cat=""POT"", cat=""PLANT SUPPORT""),
            srcCode&amp;""-""&amp;catCode&amp;""-""&amp;size&amp;""-""&amp;styCo"&amp;"de&amp;""-""&amp;suffix,
            srcCode&amp;""-""&amp;catCode&amp;""-""&amp;styCode&amp;""-""&amp;suffix
          )
        )
      )
    )
  ),
"""")
)
"),"EB-PO-4-DO-1")</f>
        <v>EB-PO-4-DO-1</v>
      </c>
      <c r="J3" s="219">
        <v>17.49</v>
      </c>
      <c r="K3" s="219">
        <f t="array" ref="K3:K1000">IF( (LEN(J3:J1000)=0) + (LEN(H3:H1000)=0) + (H3:H1000=0),
        ,
        ROUND(J3:J1000 / H3:H1000, 2)
    )</f>
        <v>1.75</v>
      </c>
      <c r="L3" s="124"/>
      <c r="M3" s="124"/>
      <c r="N3" s="124"/>
      <c r="O3" s="124"/>
      <c r="P3" s="124" t="s">
        <v>4716</v>
      </c>
      <c r="Q3" s="226">
        <v>3.0</v>
      </c>
      <c r="R3" s="21" t="s">
        <v>22</v>
      </c>
      <c r="S3" s="124"/>
      <c r="T3" s="124"/>
      <c r="U3" s="124"/>
      <c r="V3" s="124"/>
      <c r="W3" s="124"/>
      <c r="X3" s="124"/>
    </row>
    <row r="4">
      <c r="A4" s="216">
        <v>45881.0</v>
      </c>
      <c r="B4" s="124" t="s">
        <v>117</v>
      </c>
      <c r="C4" s="124" t="s">
        <v>8750</v>
      </c>
      <c r="D4" s="124" t="s">
        <v>8748</v>
      </c>
      <c r="E4" s="124" t="s">
        <v>5967</v>
      </c>
      <c r="F4" s="124" t="s">
        <v>6705</v>
      </c>
      <c r="G4" s="226">
        <v>1.0</v>
      </c>
      <c r="H4" s="124">
        <v>24.0</v>
      </c>
      <c r="I4" s="217" t="str">
        <f>IFERROR(__xludf.DUMMYFUNCTION("""COMPUTED_VALUE"""),"DV-PO-2-WH-1")</f>
        <v>DV-PO-2-WH-1</v>
      </c>
      <c r="J4" s="219">
        <v>21.99</v>
      </c>
      <c r="K4" s="219">
        <v>0.92</v>
      </c>
      <c r="L4" s="124"/>
      <c r="M4" s="124"/>
      <c r="N4" s="124"/>
      <c r="O4" s="124"/>
      <c r="P4" s="124" t="s">
        <v>4718</v>
      </c>
      <c r="Q4" s="124"/>
      <c r="R4" s="21" t="s">
        <v>22</v>
      </c>
      <c r="S4" s="124"/>
      <c r="T4" s="124"/>
      <c r="U4" s="124"/>
      <c r="V4" s="124"/>
      <c r="W4" s="124"/>
      <c r="X4" s="124"/>
    </row>
    <row r="5">
      <c r="A5" s="227">
        <v>45880.0</v>
      </c>
      <c r="B5" s="124" t="s">
        <v>117</v>
      </c>
      <c r="C5" s="124" t="s">
        <v>8751</v>
      </c>
      <c r="D5" s="124" t="s">
        <v>8748</v>
      </c>
      <c r="E5" s="124" t="s">
        <v>5956</v>
      </c>
      <c r="F5" s="124" t="s">
        <v>8752</v>
      </c>
      <c r="G5" s="226">
        <v>1.0</v>
      </c>
      <c r="H5" s="226">
        <v>48.0</v>
      </c>
      <c r="I5" s="217" t="str">
        <f>IFERROR(__xludf.DUMMYFUNCTION("""COMPUTED_VALUE"""),"AN-PO-3-MU-1")</f>
        <v>AN-PO-3-MU-1</v>
      </c>
      <c r="J5" s="228">
        <v>13.98</v>
      </c>
      <c r="K5" s="219">
        <v>0.29</v>
      </c>
      <c r="L5" s="226" t="s">
        <v>8753</v>
      </c>
      <c r="M5" s="229" t="s">
        <v>93</v>
      </c>
      <c r="N5" s="124"/>
      <c r="O5" s="124"/>
      <c r="P5" s="124" t="s">
        <v>4720</v>
      </c>
      <c r="Q5" s="124"/>
      <c r="R5" s="21" t="s">
        <v>22</v>
      </c>
      <c r="S5" s="124"/>
      <c r="T5" s="124"/>
      <c r="U5" s="124"/>
      <c r="V5" s="124"/>
      <c r="W5" s="124"/>
      <c r="X5" s="124"/>
    </row>
    <row r="6">
      <c r="A6" s="227">
        <v>45880.0</v>
      </c>
      <c r="B6" s="124" t="s">
        <v>117</v>
      </c>
      <c r="C6" s="124" t="s">
        <v>8754</v>
      </c>
      <c r="D6" s="124" t="s">
        <v>8748</v>
      </c>
      <c r="E6" s="124" t="s">
        <v>5967</v>
      </c>
      <c r="F6" s="226" t="s">
        <v>6750</v>
      </c>
      <c r="G6" s="226">
        <v>1.0</v>
      </c>
      <c r="H6" s="226">
        <v>200.0</v>
      </c>
      <c r="I6" s="217" t="str">
        <f>IFERROR(__xludf.DUMMYFUNCTION("""COMPUTED_VALUE"""),"YA-PO-2-CL-1")</f>
        <v>YA-PO-2-CL-1</v>
      </c>
      <c r="J6" s="228">
        <v>26.99</v>
      </c>
      <c r="K6" s="219">
        <v>0.13</v>
      </c>
      <c r="L6" s="124"/>
      <c r="M6" s="124"/>
      <c r="N6" s="124"/>
      <c r="O6" s="124"/>
      <c r="P6" s="124" t="s">
        <v>4722</v>
      </c>
      <c r="Q6" s="124"/>
      <c r="R6" s="21" t="s">
        <v>22</v>
      </c>
      <c r="S6" s="124"/>
      <c r="T6" s="124"/>
      <c r="U6" s="124"/>
      <c r="V6" s="124"/>
      <c r="W6" s="124"/>
      <c r="X6" s="124"/>
    </row>
    <row r="7">
      <c r="A7" s="227">
        <v>45880.0</v>
      </c>
      <c r="B7" s="226" t="s">
        <v>117</v>
      </c>
      <c r="C7" s="226" t="s">
        <v>8755</v>
      </c>
      <c r="D7" s="226" t="s">
        <v>8748</v>
      </c>
      <c r="E7" s="226" t="s">
        <v>5956</v>
      </c>
      <c r="F7" s="226" t="s">
        <v>8749</v>
      </c>
      <c r="G7" s="226">
        <v>1.0</v>
      </c>
      <c r="H7" s="226">
        <v>30.0</v>
      </c>
      <c r="I7" s="217" t="str">
        <f>IFERROR(__xludf.DUMMYFUNCTION("""COMPUTED_VALUE"""),"HY-PO-3-DO-1")</f>
        <v>HY-PO-3-DO-1</v>
      </c>
      <c r="J7" s="228">
        <v>19.99</v>
      </c>
      <c r="K7" s="219">
        <v>0.67</v>
      </c>
      <c r="L7" s="124"/>
      <c r="M7" s="124"/>
      <c r="N7" s="124"/>
      <c r="O7" s="124"/>
      <c r="P7" s="124" t="s">
        <v>4724</v>
      </c>
      <c r="Q7" s="124"/>
      <c r="R7" s="21" t="s">
        <v>22</v>
      </c>
      <c r="S7" s="124"/>
      <c r="T7" s="124"/>
      <c r="U7" s="124"/>
      <c r="V7" s="124"/>
      <c r="W7" s="124"/>
      <c r="X7" s="124"/>
    </row>
    <row r="8">
      <c r="A8" s="227">
        <v>45880.0</v>
      </c>
      <c r="B8" s="226" t="s">
        <v>117</v>
      </c>
      <c r="C8" s="226" t="s">
        <v>8756</v>
      </c>
      <c r="D8" s="226" t="s">
        <v>8748</v>
      </c>
      <c r="E8" s="226" t="s">
        <v>5958</v>
      </c>
      <c r="F8" s="226" t="s">
        <v>8757</v>
      </c>
      <c r="G8" s="226">
        <v>1.0</v>
      </c>
      <c r="H8" s="226">
        <v>16.0</v>
      </c>
      <c r="I8" s="217" t="str">
        <f>IFERROR(__xludf.DUMMYFUNCTION("""COMPUTED_VALUE"""),"ZO-PO-4-WL-1")</f>
        <v>ZO-PO-4-WL-1</v>
      </c>
      <c r="J8" s="228">
        <v>16.99</v>
      </c>
      <c r="K8" s="219">
        <v>1.06</v>
      </c>
      <c r="L8" s="124"/>
      <c r="M8" s="124"/>
      <c r="N8" s="124"/>
      <c r="O8" s="124"/>
      <c r="P8" s="124" t="s">
        <v>4726</v>
      </c>
      <c r="Q8" s="226">
        <v>5.0</v>
      </c>
      <c r="R8" s="21" t="s">
        <v>22</v>
      </c>
      <c r="S8" s="124"/>
      <c r="T8" s="124"/>
      <c r="U8" s="124"/>
      <c r="V8" s="124"/>
      <c r="W8" s="124"/>
      <c r="X8" s="124"/>
    </row>
    <row r="9">
      <c r="A9" s="227">
        <v>45880.0</v>
      </c>
      <c r="B9" s="226" t="s">
        <v>117</v>
      </c>
      <c r="C9" s="226" t="s">
        <v>8758</v>
      </c>
      <c r="D9" s="226" t="s">
        <v>8748</v>
      </c>
      <c r="E9" s="226" t="s">
        <v>5963</v>
      </c>
      <c r="F9" s="226" t="s">
        <v>8759</v>
      </c>
      <c r="G9" s="226">
        <v>1.0</v>
      </c>
      <c r="H9" s="226">
        <v>6.0</v>
      </c>
      <c r="I9" s="217" t="str">
        <f>IFERROR(__xludf.DUMMYFUNCTION("""COMPUTED_VALUE"""),"EL-PO-4.3-CM-1")</f>
        <v>EL-PO-4.3-CM-1</v>
      </c>
      <c r="J9" s="228">
        <v>23.98</v>
      </c>
      <c r="K9" s="219">
        <v>4.0</v>
      </c>
      <c r="L9" s="124"/>
      <c r="M9" s="124"/>
      <c r="N9" s="124"/>
      <c r="O9" s="124"/>
      <c r="P9" s="124" t="s">
        <v>4728</v>
      </c>
      <c r="Q9" s="226">
        <v>8.0</v>
      </c>
      <c r="R9" s="21" t="s">
        <v>22</v>
      </c>
      <c r="S9" s="124"/>
      <c r="T9" s="124"/>
      <c r="U9" s="124"/>
      <c r="V9" s="124"/>
      <c r="W9" s="124"/>
      <c r="X9" s="124"/>
    </row>
    <row r="10">
      <c r="A10" s="227">
        <v>45880.0</v>
      </c>
      <c r="B10" s="226" t="s">
        <v>117</v>
      </c>
      <c r="C10" s="226" t="s">
        <v>8760</v>
      </c>
      <c r="D10" s="226" t="s">
        <v>8748</v>
      </c>
      <c r="E10" s="226" t="s">
        <v>5970</v>
      </c>
      <c r="F10" s="226" t="s">
        <v>8752</v>
      </c>
      <c r="G10" s="226">
        <v>1.0</v>
      </c>
      <c r="H10" s="226">
        <v>20.0</v>
      </c>
      <c r="I10" s="217" t="str">
        <f>IFERROR(__xludf.DUMMYFUNCTION("""COMPUTED_VALUE"""),"GA-PO-6-MU-1")</f>
        <v>GA-PO-6-MU-1</v>
      </c>
      <c r="J10" s="228">
        <v>26.99</v>
      </c>
      <c r="K10" s="219">
        <v>1.35</v>
      </c>
      <c r="L10" s="124"/>
      <c r="M10" s="124"/>
      <c r="N10" s="124"/>
      <c r="O10" s="124"/>
      <c r="P10" s="124" t="s">
        <v>4730</v>
      </c>
      <c r="Q10" s="124"/>
      <c r="R10" s="21" t="s">
        <v>22</v>
      </c>
      <c r="S10" s="124"/>
      <c r="T10" s="124"/>
      <c r="U10" s="124"/>
      <c r="V10" s="124"/>
      <c r="W10" s="124"/>
      <c r="X10" s="124"/>
    </row>
    <row r="11">
      <c r="A11" s="227">
        <v>45880.0</v>
      </c>
      <c r="B11" s="226" t="s">
        <v>117</v>
      </c>
      <c r="C11" s="226" t="s">
        <v>8761</v>
      </c>
      <c r="D11" s="226" t="s">
        <v>8748</v>
      </c>
      <c r="E11" s="226" t="s">
        <v>5970</v>
      </c>
      <c r="F11" s="226" t="s">
        <v>6705</v>
      </c>
      <c r="G11" s="226">
        <v>1.0</v>
      </c>
      <c r="H11" s="226">
        <v>16.0</v>
      </c>
      <c r="I11" s="217" t="str">
        <f>IFERROR(__xludf.DUMMYFUNCTION("""COMPUTED_VALUE"""),"WO-PO-6-WH-1")</f>
        <v>WO-PO-6-WH-1</v>
      </c>
      <c r="J11" s="228">
        <v>21.65</v>
      </c>
      <c r="K11" s="219">
        <v>1.35</v>
      </c>
      <c r="L11" s="124"/>
      <c r="M11" s="124"/>
      <c r="N11" s="124"/>
      <c r="O11" s="124"/>
      <c r="P11" s="124" t="s">
        <v>4732</v>
      </c>
      <c r="Q11" s="124"/>
      <c r="R11" s="21" t="s">
        <v>22</v>
      </c>
      <c r="S11" s="124"/>
      <c r="T11" s="124"/>
      <c r="U11" s="124"/>
      <c r="V11" s="124"/>
      <c r="W11" s="124"/>
      <c r="X11" s="124"/>
    </row>
    <row r="12">
      <c r="A12" s="227">
        <v>45880.0</v>
      </c>
      <c r="B12" s="226" t="s">
        <v>117</v>
      </c>
      <c r="C12" s="226" t="s">
        <v>8762</v>
      </c>
      <c r="D12" s="226" t="s">
        <v>8748</v>
      </c>
      <c r="E12" s="226" t="s">
        <v>5958</v>
      </c>
      <c r="F12" s="226" t="s">
        <v>8752</v>
      </c>
      <c r="G12" s="226">
        <v>1.0</v>
      </c>
      <c r="H12" s="226">
        <v>50.0</v>
      </c>
      <c r="I12" s="217" t="str">
        <f>IFERROR(__xludf.DUMMYFUNCTION("""COMPUTED_VALUE"""),"TE-PO-4-MU-1")</f>
        <v>TE-PO-4-MU-1</v>
      </c>
      <c r="J12" s="228">
        <v>24.99</v>
      </c>
      <c r="K12" s="219">
        <v>0.5</v>
      </c>
      <c r="L12" s="124"/>
      <c r="M12" s="124"/>
      <c r="N12" s="124"/>
      <c r="O12" s="124"/>
      <c r="P12" s="124" t="s">
        <v>4734</v>
      </c>
      <c r="Q12" s="226">
        <v>5.0</v>
      </c>
      <c r="R12" s="21" t="s">
        <v>22</v>
      </c>
      <c r="S12" s="124"/>
      <c r="T12" s="124"/>
      <c r="U12" s="124"/>
      <c r="V12" s="124"/>
      <c r="W12" s="124"/>
      <c r="X12" s="124"/>
    </row>
    <row r="13">
      <c r="A13" s="227">
        <v>45893.0</v>
      </c>
      <c r="B13" s="226" t="s">
        <v>117</v>
      </c>
      <c r="C13" s="226" t="s">
        <v>8763</v>
      </c>
      <c r="D13" s="226" t="s">
        <v>8748</v>
      </c>
      <c r="E13" s="226" t="s">
        <v>5978</v>
      </c>
      <c r="F13" s="226" t="s">
        <v>8764</v>
      </c>
      <c r="G13" s="226">
        <v>1.0</v>
      </c>
      <c r="H13" s="226">
        <v>6.0</v>
      </c>
      <c r="I13" s="217" t="str">
        <f>IFERROR(__xludf.DUMMYFUNCTION("""COMPUTED_VALUE"""),"LO-PO-3.7-CD-1")</f>
        <v>LO-PO-3.7-CD-1</v>
      </c>
      <c r="J13" s="228">
        <v>26.99</v>
      </c>
      <c r="K13" s="219">
        <v>4.5</v>
      </c>
      <c r="L13" s="124"/>
      <c r="M13" s="124"/>
      <c r="N13" s="124"/>
      <c r="O13" s="124"/>
      <c r="P13" s="124" t="s">
        <v>4736</v>
      </c>
      <c r="Q13" s="124"/>
      <c r="R13" s="21" t="s">
        <v>22</v>
      </c>
      <c r="S13" s="124"/>
      <c r="T13" s="124"/>
      <c r="U13" s="124"/>
      <c r="V13" s="124"/>
      <c r="W13" s="124"/>
      <c r="X13" s="124"/>
    </row>
    <row r="14">
      <c r="A14" s="227">
        <v>45893.0</v>
      </c>
      <c r="B14" s="226" t="s">
        <v>117</v>
      </c>
      <c r="C14" s="226" t="s">
        <v>8765</v>
      </c>
      <c r="D14" s="226" t="s">
        <v>8748</v>
      </c>
      <c r="E14" s="226" t="s">
        <v>5974</v>
      </c>
      <c r="F14" s="226" t="s">
        <v>8752</v>
      </c>
      <c r="G14" s="226">
        <v>1.0</v>
      </c>
      <c r="H14" s="226">
        <v>33.0</v>
      </c>
      <c r="I14" s="217" t="str">
        <f>IFERROR(__xludf.DUMMYFUNCTION("""COMPUTED_VALUE"""),"PS-PO-5.5-MU-1")</f>
        <v>PS-PO-5.5-MU-1</v>
      </c>
      <c r="J14" s="228">
        <v>30.99</v>
      </c>
      <c r="K14" s="219">
        <v>0.94</v>
      </c>
      <c r="L14" s="124"/>
      <c r="M14" s="124"/>
      <c r="N14" s="124"/>
      <c r="O14" s="124"/>
      <c r="P14" s="124" t="s">
        <v>4738</v>
      </c>
      <c r="Q14" s="124"/>
      <c r="R14" s="21" t="s">
        <v>22</v>
      </c>
      <c r="S14" s="124"/>
      <c r="T14" s="124"/>
      <c r="U14" s="124"/>
      <c r="V14" s="124"/>
      <c r="W14" s="124"/>
      <c r="X14" s="124"/>
    </row>
    <row r="15">
      <c r="A15" s="227">
        <v>45892.0</v>
      </c>
      <c r="B15" s="226" t="s">
        <v>117</v>
      </c>
      <c r="C15" s="226" t="s">
        <v>8761</v>
      </c>
      <c r="D15" s="226" t="s">
        <v>8748</v>
      </c>
      <c r="E15" s="226" t="s">
        <v>5970</v>
      </c>
      <c r="F15" s="226" t="s">
        <v>8752</v>
      </c>
      <c r="G15" s="226">
        <v>1.0</v>
      </c>
      <c r="H15" s="226">
        <v>16.0</v>
      </c>
      <c r="I15" s="217" t="str">
        <f>IFERROR(__xludf.DUMMYFUNCTION("""COMPUTED_VALUE"""),"WO-PO-6-MU-1")</f>
        <v>WO-PO-6-MU-1</v>
      </c>
      <c r="J15" s="228">
        <v>22.79</v>
      </c>
      <c r="K15" s="219">
        <v>1.42</v>
      </c>
      <c r="L15" s="124"/>
      <c r="M15" s="124"/>
      <c r="N15" s="124"/>
      <c r="O15" s="124"/>
      <c r="P15" s="124" t="s">
        <v>4740</v>
      </c>
      <c r="Q15" s="124"/>
      <c r="R15" s="21" t="s">
        <v>22</v>
      </c>
      <c r="S15" s="124"/>
      <c r="T15" s="124"/>
      <c r="U15" s="124"/>
      <c r="V15" s="124"/>
      <c r="W15" s="124"/>
      <c r="X15" s="124"/>
    </row>
    <row r="16">
      <c r="A16" s="227">
        <v>45892.0</v>
      </c>
      <c r="B16" s="226" t="s">
        <v>117</v>
      </c>
      <c r="C16" s="226" t="s">
        <v>8762</v>
      </c>
      <c r="D16" s="226" t="s">
        <v>8748</v>
      </c>
      <c r="E16" s="226" t="s">
        <v>5958</v>
      </c>
      <c r="F16" s="226" t="s">
        <v>8752</v>
      </c>
      <c r="G16" s="226">
        <v>2.0</v>
      </c>
      <c r="H16" s="226">
        <v>50.0</v>
      </c>
      <c r="I16" s="217" t="str">
        <f>IFERROR(__xludf.DUMMYFUNCTION("""COMPUTED_VALUE"""),"TE-PO-4-MU-2")</f>
        <v>TE-PO-4-MU-2</v>
      </c>
      <c r="J16" s="228">
        <v>22.79</v>
      </c>
      <c r="K16" s="219">
        <v>0.46</v>
      </c>
      <c r="L16" s="124"/>
      <c r="M16" s="124"/>
      <c r="N16" s="124"/>
      <c r="O16" s="124"/>
      <c r="P16" s="124" t="s">
        <v>4742</v>
      </c>
      <c r="Q16" s="226">
        <v>5.0</v>
      </c>
      <c r="R16" s="21" t="s">
        <v>22</v>
      </c>
      <c r="S16" s="124"/>
      <c r="T16" s="124"/>
      <c r="U16" s="124"/>
      <c r="V16" s="124"/>
      <c r="W16" s="124"/>
      <c r="X16" s="124"/>
    </row>
    <row r="17">
      <c r="A17" s="227">
        <v>45892.0</v>
      </c>
      <c r="B17" s="226" t="s">
        <v>117</v>
      </c>
      <c r="C17" s="226" t="s">
        <v>8760</v>
      </c>
      <c r="D17" s="226" t="s">
        <v>8748</v>
      </c>
      <c r="E17" s="226" t="s">
        <v>5970</v>
      </c>
      <c r="F17" s="226" t="s">
        <v>6705</v>
      </c>
      <c r="G17" s="226">
        <v>2.0</v>
      </c>
      <c r="H17" s="226">
        <v>16.0</v>
      </c>
      <c r="I17" s="217" t="str">
        <f>IFERROR(__xludf.DUMMYFUNCTION("""COMPUTED_VALUE"""),"GA-PO-6-WH-2")</f>
        <v>GA-PO-6-WH-2</v>
      </c>
      <c r="J17" s="228">
        <v>24.99</v>
      </c>
      <c r="K17" s="219">
        <v>1.56</v>
      </c>
      <c r="L17" s="226" t="s">
        <v>46</v>
      </c>
      <c r="M17" s="226" t="s">
        <v>46</v>
      </c>
      <c r="N17" s="124"/>
      <c r="O17" s="124"/>
      <c r="P17" s="124" t="s">
        <v>4744</v>
      </c>
      <c r="Q17" s="124"/>
      <c r="R17" s="21" t="s">
        <v>22</v>
      </c>
      <c r="S17" s="124"/>
      <c r="T17" s="124"/>
      <c r="U17" s="124"/>
      <c r="V17" s="124"/>
      <c r="W17" s="124"/>
      <c r="X17" s="124"/>
    </row>
    <row r="18">
      <c r="A18" s="227">
        <v>45892.0</v>
      </c>
      <c r="B18" s="226" t="s">
        <v>117</v>
      </c>
      <c r="C18" s="226" t="s">
        <v>8766</v>
      </c>
      <c r="D18" s="226" t="s">
        <v>8748</v>
      </c>
      <c r="E18" s="226" t="s">
        <v>5958</v>
      </c>
      <c r="F18" s="226" t="s">
        <v>8767</v>
      </c>
      <c r="G18" s="226">
        <v>1.0</v>
      </c>
      <c r="H18" s="226">
        <v>4.0</v>
      </c>
      <c r="I18" s="217" t="str">
        <f>IFERROR(__xludf.DUMMYFUNCTION("""COMPUTED_VALUE"""),"OM-PO-4-CR-1")</f>
        <v>OM-PO-4-CR-1</v>
      </c>
      <c r="J18" s="228">
        <v>13.22</v>
      </c>
      <c r="K18" s="219">
        <v>3.31</v>
      </c>
      <c r="L18" s="124"/>
      <c r="M18" s="124"/>
      <c r="N18" s="124"/>
      <c r="O18" s="124"/>
      <c r="P18" s="124" t="s">
        <v>4746</v>
      </c>
      <c r="Q18" s="226">
        <v>7.0</v>
      </c>
      <c r="R18" s="21" t="s">
        <v>22</v>
      </c>
      <c r="S18" s="124"/>
      <c r="T18" s="124"/>
      <c r="U18" s="124"/>
      <c r="V18" s="124"/>
      <c r="W18" s="124"/>
      <c r="X18" s="124"/>
    </row>
    <row r="19">
      <c r="A19" s="227">
        <v>45892.0</v>
      </c>
      <c r="B19" s="226" t="s">
        <v>117</v>
      </c>
      <c r="C19" s="226" t="s">
        <v>8762</v>
      </c>
      <c r="D19" s="226" t="s">
        <v>8748</v>
      </c>
      <c r="E19" s="226" t="s">
        <v>5958</v>
      </c>
      <c r="F19" s="226" t="s">
        <v>8752</v>
      </c>
      <c r="G19" s="226">
        <v>3.0</v>
      </c>
      <c r="H19" s="226">
        <v>50.0</v>
      </c>
      <c r="I19" s="217" t="str">
        <f>IFERROR(__xludf.DUMMYFUNCTION("""COMPUTED_VALUE"""),"TE-PO-4-MU-3")</f>
        <v>TE-PO-4-MU-3</v>
      </c>
      <c r="J19" s="228">
        <v>24.99</v>
      </c>
      <c r="K19" s="219">
        <v>0.5</v>
      </c>
      <c r="L19" s="124"/>
      <c r="M19" s="124"/>
      <c r="N19" s="124"/>
      <c r="O19" s="124"/>
      <c r="P19" s="124" t="s">
        <v>4748</v>
      </c>
      <c r="Q19" s="226">
        <v>5.0</v>
      </c>
      <c r="R19" s="21" t="s">
        <v>22</v>
      </c>
      <c r="S19" s="124"/>
      <c r="T19" s="124"/>
      <c r="U19" s="124"/>
      <c r="V19" s="124"/>
      <c r="W19" s="124"/>
      <c r="X19" s="124"/>
    </row>
    <row r="20">
      <c r="A20" s="227">
        <v>45932.0</v>
      </c>
      <c r="B20" s="226" t="s">
        <v>117</v>
      </c>
      <c r="C20" s="226" t="s">
        <v>8768</v>
      </c>
      <c r="D20" s="226" t="s">
        <v>8748</v>
      </c>
      <c r="E20" s="226" t="s">
        <v>5958</v>
      </c>
      <c r="F20" s="226" t="s">
        <v>8752</v>
      </c>
      <c r="G20" s="226">
        <v>1.0</v>
      </c>
      <c r="H20" s="226">
        <v>24.0</v>
      </c>
      <c r="I20" s="217" t="str">
        <f>IFERROR(__xludf.DUMMYFUNCTION("""COMPUTED_VALUE"""),"TO-PO-4-MU-1")</f>
        <v>TO-PO-4-MU-1</v>
      </c>
      <c r="J20" s="228">
        <v>11.99</v>
      </c>
      <c r="K20" s="219">
        <v>0.5</v>
      </c>
      <c r="L20" s="124"/>
      <c r="M20" s="124"/>
      <c r="N20" s="124"/>
      <c r="O20" s="124"/>
      <c r="P20" s="124" t="s">
        <v>4750</v>
      </c>
      <c r="Q20" s="226">
        <v>5.0</v>
      </c>
      <c r="R20" s="21" t="s">
        <v>22</v>
      </c>
      <c r="S20" s="124"/>
      <c r="T20" s="124"/>
      <c r="U20" s="124"/>
      <c r="V20" s="124"/>
      <c r="W20" s="124"/>
      <c r="X20" s="124"/>
    </row>
    <row r="21">
      <c r="A21" s="227">
        <v>45915.0</v>
      </c>
      <c r="B21" s="226" t="s">
        <v>117</v>
      </c>
      <c r="C21" s="226" t="s">
        <v>8769</v>
      </c>
      <c r="D21" s="226" t="s">
        <v>8748</v>
      </c>
      <c r="E21" s="226" t="s">
        <v>5958</v>
      </c>
      <c r="F21" s="226" t="s">
        <v>6705</v>
      </c>
      <c r="G21" s="226">
        <v>1.0</v>
      </c>
      <c r="H21" s="226">
        <v>54.0</v>
      </c>
      <c r="I21" s="217" t="str">
        <f>IFERROR(__xludf.DUMMYFUNCTION("""COMPUTED_VALUE"""),"MU-PO-4-WH-1")</f>
        <v>MU-PO-4-WH-1</v>
      </c>
      <c r="J21" s="228">
        <v>32.69</v>
      </c>
      <c r="K21" s="219">
        <v>0.61</v>
      </c>
      <c r="L21" s="124"/>
      <c r="M21" s="124"/>
      <c r="N21" s="124"/>
      <c r="O21" s="124"/>
      <c r="P21" s="124" t="s">
        <v>4752</v>
      </c>
      <c r="Q21" s="226">
        <v>5.0</v>
      </c>
      <c r="R21" s="21" t="s">
        <v>22</v>
      </c>
      <c r="S21" s="124"/>
      <c r="T21" s="124"/>
      <c r="U21" s="124"/>
      <c r="V21" s="124"/>
      <c r="W21" s="124"/>
      <c r="X21" s="124"/>
    </row>
    <row r="22">
      <c r="A22" s="227">
        <v>45924.0</v>
      </c>
      <c r="B22" s="226" t="s">
        <v>117</v>
      </c>
      <c r="C22" s="226" t="s">
        <v>8760</v>
      </c>
      <c r="D22" s="226" t="s">
        <v>8748</v>
      </c>
      <c r="E22" s="226" t="s">
        <v>5958</v>
      </c>
      <c r="F22" s="226" t="s">
        <v>6705</v>
      </c>
      <c r="G22" s="226">
        <v>1.0</v>
      </c>
      <c r="H22" s="226">
        <v>20.0</v>
      </c>
      <c r="I22" s="217" t="str">
        <f>IFERROR(__xludf.DUMMYFUNCTION("""COMPUTED_VALUE"""),"GA-PO-4-WH-1")</f>
        <v>GA-PO-4-WH-1</v>
      </c>
      <c r="J22" s="228">
        <v>19.99</v>
      </c>
      <c r="K22" s="219">
        <v>1.0</v>
      </c>
      <c r="L22" s="124"/>
      <c r="M22" s="124"/>
      <c r="N22" s="124"/>
      <c r="O22" s="124"/>
      <c r="P22" s="124" t="s">
        <v>4754</v>
      </c>
      <c r="Q22" s="226">
        <v>5.0</v>
      </c>
      <c r="R22" s="21" t="s">
        <v>22</v>
      </c>
      <c r="S22" s="124"/>
      <c r="T22" s="124"/>
      <c r="U22" s="124"/>
      <c r="V22" s="124"/>
      <c r="W22" s="124"/>
      <c r="X22" s="124"/>
    </row>
    <row r="23">
      <c r="A23" s="227">
        <v>45924.0</v>
      </c>
      <c r="B23" s="226" t="s">
        <v>117</v>
      </c>
      <c r="C23" s="226" t="s">
        <v>8760</v>
      </c>
      <c r="D23" s="226" t="s">
        <v>8748</v>
      </c>
      <c r="E23" s="226" t="s">
        <v>5970</v>
      </c>
      <c r="F23" s="226" t="s">
        <v>6735</v>
      </c>
      <c r="G23" s="226">
        <v>1.0</v>
      </c>
      <c r="H23" s="226">
        <v>20.0</v>
      </c>
      <c r="I23" s="217" t="str">
        <f>IFERROR(__xludf.DUMMYFUNCTION("""COMPUTED_VALUE"""),"GA-PO-6-BL-1")</f>
        <v>GA-PO-6-BL-1</v>
      </c>
      <c r="J23" s="228">
        <v>25.99</v>
      </c>
      <c r="K23" s="219">
        <v>1.3</v>
      </c>
      <c r="L23" s="124"/>
      <c r="M23" s="124"/>
      <c r="N23" s="124"/>
      <c r="O23" s="124"/>
      <c r="P23" s="124" t="s">
        <v>4756</v>
      </c>
      <c r="Q23" s="124"/>
      <c r="R23" s="21" t="s">
        <v>22</v>
      </c>
      <c r="S23" s="124"/>
      <c r="T23" s="124"/>
      <c r="U23" s="124"/>
      <c r="V23" s="124"/>
      <c r="W23" s="124"/>
      <c r="X23" s="124"/>
    </row>
    <row r="24">
      <c r="A24" s="227">
        <v>45925.0</v>
      </c>
      <c r="B24" s="226" t="s">
        <v>117</v>
      </c>
      <c r="C24" s="226" t="s">
        <v>8760</v>
      </c>
      <c r="D24" s="226" t="s">
        <v>8748</v>
      </c>
      <c r="E24" s="226" t="s">
        <v>5970</v>
      </c>
      <c r="F24" s="226" t="s">
        <v>6705</v>
      </c>
      <c r="G24" s="226">
        <v>1.0</v>
      </c>
      <c r="H24" s="226">
        <v>20.0</v>
      </c>
      <c r="I24" s="217" t="str">
        <f>IFERROR(__xludf.DUMMYFUNCTION("""COMPUTED_VALUE"""),"GA-PO-6-WH-1")</f>
        <v>GA-PO-6-WH-1</v>
      </c>
      <c r="J24" s="228">
        <v>25.99</v>
      </c>
      <c r="K24" s="219">
        <v>1.3</v>
      </c>
      <c r="L24" s="124"/>
      <c r="M24" s="124"/>
      <c r="N24" s="124"/>
      <c r="O24" s="124"/>
      <c r="P24" s="124" t="s">
        <v>4758</v>
      </c>
      <c r="Q24" s="124"/>
      <c r="R24" s="21" t="s">
        <v>22</v>
      </c>
      <c r="S24" s="124"/>
      <c r="T24" s="124"/>
      <c r="U24" s="124"/>
      <c r="V24" s="124"/>
      <c r="W24" s="124"/>
      <c r="X24" s="124"/>
    </row>
    <row r="25">
      <c r="A25" s="227">
        <v>45924.0</v>
      </c>
      <c r="B25" s="226" t="s">
        <v>117</v>
      </c>
      <c r="C25" s="226" t="s">
        <v>8760</v>
      </c>
      <c r="D25" s="226" t="s">
        <v>8748</v>
      </c>
      <c r="E25" s="226" t="s">
        <v>5958</v>
      </c>
      <c r="F25" s="226" t="s">
        <v>6735</v>
      </c>
      <c r="G25" s="226">
        <v>1.0</v>
      </c>
      <c r="H25" s="226">
        <v>20.0</v>
      </c>
      <c r="I25" s="217" t="str">
        <f>IFERROR(__xludf.DUMMYFUNCTION("""COMPUTED_VALUE"""),"GA-PO-4-BL-1")</f>
        <v>GA-PO-4-BL-1</v>
      </c>
      <c r="J25" s="228">
        <v>19.99</v>
      </c>
      <c r="K25" s="219">
        <v>1.0</v>
      </c>
      <c r="L25" s="124"/>
      <c r="M25" s="124"/>
      <c r="N25" s="124"/>
      <c r="O25" s="124"/>
      <c r="P25" s="124" t="s">
        <v>4760</v>
      </c>
      <c r="Q25" s="226">
        <v>5.0</v>
      </c>
      <c r="R25" s="21" t="s">
        <v>22</v>
      </c>
      <c r="S25" s="124"/>
      <c r="T25" s="124"/>
      <c r="U25" s="124"/>
      <c r="V25" s="124"/>
      <c r="W25" s="124"/>
      <c r="X25" s="124"/>
    </row>
    <row r="26">
      <c r="A26" s="227">
        <v>45924.0</v>
      </c>
      <c r="B26" s="226" t="s">
        <v>117</v>
      </c>
      <c r="C26" s="226" t="s">
        <v>8770</v>
      </c>
      <c r="D26" s="226" t="s">
        <v>8748</v>
      </c>
      <c r="E26" s="226" t="s">
        <v>8352</v>
      </c>
      <c r="F26" s="226" t="s">
        <v>8771</v>
      </c>
      <c r="G26" s="226">
        <v>1.0</v>
      </c>
      <c r="H26" s="226">
        <v>14.0</v>
      </c>
      <c r="I26" s="217" t="str">
        <f>IFERROR(__xludf.DUMMYFUNCTION("""COMPUTED_VALUE"""),"EC-PO-5-SW-1")</f>
        <v>EC-PO-5-SW-1</v>
      </c>
      <c r="J26" s="228">
        <v>31.99</v>
      </c>
      <c r="K26" s="219">
        <v>2.29</v>
      </c>
      <c r="L26" s="124"/>
      <c r="M26" s="124"/>
      <c r="N26" s="124"/>
      <c r="O26" s="124"/>
      <c r="P26" s="124" t="s">
        <v>4762</v>
      </c>
      <c r="Q26" s="124"/>
      <c r="R26" s="21" t="s">
        <v>22</v>
      </c>
      <c r="S26" s="124"/>
      <c r="T26" s="124"/>
      <c r="U26" s="124"/>
      <c r="V26" s="124"/>
      <c r="W26" s="124"/>
      <c r="X26" s="124"/>
    </row>
    <row r="27">
      <c r="A27" s="227">
        <v>45930.0</v>
      </c>
      <c r="B27" s="226" t="s">
        <v>117</v>
      </c>
      <c r="C27" s="226" t="s">
        <v>8772</v>
      </c>
      <c r="D27" s="226" t="s">
        <v>8748</v>
      </c>
      <c r="E27" s="226" t="s">
        <v>5958</v>
      </c>
      <c r="F27" s="226" t="s">
        <v>8771</v>
      </c>
      <c r="G27" s="226">
        <v>1.0</v>
      </c>
      <c r="H27" s="226">
        <v>20.0</v>
      </c>
      <c r="I27" s="217" t="str">
        <f>IFERROR(__xludf.DUMMYFUNCTION("""COMPUTED_VALUE"""),"ME-PO-4-SW-1")</f>
        <v>ME-PO-4-SW-1</v>
      </c>
      <c r="J27" s="228">
        <v>61.98</v>
      </c>
      <c r="K27" s="219">
        <v>3.1</v>
      </c>
      <c r="L27" s="226" t="s">
        <v>8753</v>
      </c>
      <c r="M27" s="229" t="s">
        <v>1148</v>
      </c>
      <c r="N27" s="124"/>
      <c r="O27" s="124"/>
      <c r="P27" s="124" t="s">
        <v>4764</v>
      </c>
      <c r="Q27" s="226">
        <v>6.0</v>
      </c>
      <c r="R27" s="21" t="s">
        <v>22</v>
      </c>
      <c r="S27" s="124"/>
      <c r="T27" s="124"/>
      <c r="U27" s="124"/>
      <c r="V27" s="124"/>
      <c r="W27" s="124"/>
      <c r="X27" s="124"/>
    </row>
    <row r="28">
      <c r="A28" s="227">
        <v>45930.0</v>
      </c>
      <c r="B28" s="226" t="s">
        <v>117</v>
      </c>
      <c r="C28" s="226" t="s">
        <v>8770</v>
      </c>
      <c r="D28" s="226" t="s">
        <v>8748</v>
      </c>
      <c r="E28" s="226" t="s">
        <v>8352</v>
      </c>
      <c r="F28" s="226" t="s">
        <v>8771</v>
      </c>
      <c r="G28" s="226">
        <v>2.0</v>
      </c>
      <c r="H28" s="226">
        <v>28.0</v>
      </c>
      <c r="I28" s="217" t="str">
        <f>IFERROR(__xludf.DUMMYFUNCTION("""COMPUTED_VALUE"""),"EC-PO-5-SW-2")</f>
        <v>EC-PO-5-SW-2</v>
      </c>
      <c r="J28" s="228">
        <v>31.99</v>
      </c>
      <c r="K28" s="219">
        <v>1.14</v>
      </c>
      <c r="L28" s="226" t="s">
        <v>8753</v>
      </c>
      <c r="M28" s="229" t="s">
        <v>1148</v>
      </c>
      <c r="N28" s="229" t="s">
        <v>8773</v>
      </c>
      <c r="O28" s="124"/>
      <c r="P28" s="124" t="s">
        <v>4766</v>
      </c>
      <c r="Q28" s="124"/>
      <c r="R28" s="21" t="s">
        <v>22</v>
      </c>
      <c r="S28" s="124"/>
      <c r="T28" s="124"/>
      <c r="U28" s="124"/>
      <c r="V28" s="124"/>
      <c r="W28" s="124"/>
      <c r="X28" s="124"/>
    </row>
    <row r="29">
      <c r="A29" s="227">
        <v>45930.0</v>
      </c>
      <c r="B29" s="226" t="s">
        <v>6266</v>
      </c>
      <c r="C29" s="226" t="s">
        <v>8774</v>
      </c>
      <c r="D29" s="226" t="s">
        <v>8748</v>
      </c>
      <c r="E29" s="226" t="s">
        <v>8352</v>
      </c>
      <c r="F29" s="226" t="s">
        <v>8771</v>
      </c>
      <c r="G29" s="226">
        <v>1.0</v>
      </c>
      <c r="H29" s="226">
        <v>14.0</v>
      </c>
      <c r="I29" s="217" t="str">
        <f>IFERROR(__xludf.DUMMYFUNCTION("""COMPUTED_VALUE"""),"PC-PO-5-SW-1")</f>
        <v>PC-PO-5-SW-1</v>
      </c>
      <c r="J29" s="228">
        <v>22.17</v>
      </c>
      <c r="K29" s="219">
        <v>1.58</v>
      </c>
      <c r="L29" s="124"/>
      <c r="M29" s="124"/>
      <c r="N29" s="124"/>
      <c r="O29" s="124"/>
      <c r="P29" s="124" t="s">
        <v>4768</v>
      </c>
      <c r="Q29" s="124"/>
      <c r="R29" s="21" t="s">
        <v>22</v>
      </c>
      <c r="S29" s="124"/>
      <c r="T29" s="124"/>
      <c r="U29" s="124"/>
      <c r="V29" s="124"/>
      <c r="W29" s="124"/>
      <c r="X29" s="124"/>
    </row>
    <row r="30">
      <c r="A30" s="227">
        <v>45933.0</v>
      </c>
      <c r="B30" s="226" t="s">
        <v>6266</v>
      </c>
      <c r="C30" s="226" t="s">
        <v>8775</v>
      </c>
      <c r="D30" s="226" t="s">
        <v>8748</v>
      </c>
      <c r="E30" s="226" t="s">
        <v>8352</v>
      </c>
      <c r="F30" s="226" t="s">
        <v>8771</v>
      </c>
      <c r="G30" s="226">
        <v>1.0</v>
      </c>
      <c r="H30" s="226">
        <v>6.0</v>
      </c>
      <c r="I30" s="217" t="str">
        <f>IFERROR(__xludf.DUMMYFUNCTION("""COMPUTED_VALUE"""),"MA-PO-5-SW-1")</f>
        <v>MA-PO-5-SW-1</v>
      </c>
      <c r="J30" s="228">
        <v>9.47</v>
      </c>
      <c r="K30" s="219">
        <v>1.58</v>
      </c>
      <c r="L30" s="124"/>
      <c r="M30" s="124"/>
      <c r="N30" s="124"/>
      <c r="O30" s="124"/>
      <c r="P30" s="124" t="s">
        <v>4770</v>
      </c>
      <c r="Q30" s="124"/>
      <c r="R30" s="21" t="s">
        <v>22</v>
      </c>
      <c r="S30" s="124"/>
      <c r="T30" s="124"/>
      <c r="U30" s="124"/>
      <c r="V30" s="124"/>
      <c r="W30" s="124"/>
      <c r="X30" s="124"/>
    </row>
    <row r="31">
      <c r="A31" s="227">
        <v>45933.0</v>
      </c>
      <c r="B31" s="226" t="s">
        <v>6266</v>
      </c>
      <c r="C31" s="226" t="s">
        <v>8775</v>
      </c>
      <c r="D31" s="226" t="s">
        <v>8748</v>
      </c>
      <c r="E31" s="226" t="s">
        <v>5958</v>
      </c>
      <c r="F31" s="226" t="s">
        <v>8771</v>
      </c>
      <c r="G31" s="226">
        <v>1.0</v>
      </c>
      <c r="H31" s="226">
        <v>6.0</v>
      </c>
      <c r="I31" s="217" t="str">
        <f>IFERROR(__xludf.DUMMYFUNCTION("""COMPUTED_VALUE"""),"MA-PO-4-SW-1")</f>
        <v>MA-PO-4-SW-1</v>
      </c>
      <c r="J31" s="228">
        <v>9.47</v>
      </c>
      <c r="K31" s="219">
        <v>1.58</v>
      </c>
      <c r="L31" s="124"/>
      <c r="M31" s="124"/>
      <c r="N31" s="124"/>
      <c r="O31" s="124"/>
      <c r="P31" s="124" t="s">
        <v>4772</v>
      </c>
      <c r="Q31" s="226">
        <v>6.0</v>
      </c>
      <c r="R31" s="21" t="s">
        <v>22</v>
      </c>
      <c r="S31" s="124"/>
      <c r="T31" s="124"/>
      <c r="U31" s="124"/>
      <c r="V31" s="124"/>
      <c r="W31" s="124"/>
      <c r="X31" s="124"/>
    </row>
    <row r="32">
      <c r="A32" s="227">
        <v>45933.0</v>
      </c>
      <c r="B32" s="226" t="s">
        <v>6266</v>
      </c>
      <c r="C32" s="226" t="s">
        <v>8775</v>
      </c>
      <c r="D32" s="226" t="s">
        <v>8748</v>
      </c>
      <c r="E32" s="226" t="s">
        <v>5956</v>
      </c>
      <c r="F32" s="226" t="s">
        <v>8771</v>
      </c>
      <c r="G32" s="226">
        <v>1.0</v>
      </c>
      <c r="H32" s="226">
        <v>6.0</v>
      </c>
      <c r="I32" s="217" t="str">
        <f>IFERROR(__xludf.DUMMYFUNCTION("""COMPUTED_VALUE"""),"MA-PO-3-SW-1")</f>
        <v>MA-PO-3-SW-1</v>
      </c>
      <c r="J32" s="228">
        <v>9.47</v>
      </c>
      <c r="K32" s="219">
        <v>1.58</v>
      </c>
      <c r="L32" s="124"/>
      <c r="M32" s="124"/>
      <c r="N32" s="124"/>
      <c r="O32" s="124"/>
      <c r="P32" s="124" t="s">
        <v>4774</v>
      </c>
      <c r="Q32" s="124"/>
      <c r="R32" s="21" t="s">
        <v>22</v>
      </c>
      <c r="S32" s="124"/>
      <c r="T32" s="124"/>
      <c r="U32" s="124"/>
      <c r="V32" s="124"/>
      <c r="W32" s="124"/>
      <c r="X32" s="124"/>
    </row>
    <row r="33">
      <c r="A33" s="227">
        <v>45920.0</v>
      </c>
      <c r="B33" s="226" t="s">
        <v>6068</v>
      </c>
      <c r="C33" s="226" t="s">
        <v>6085</v>
      </c>
      <c r="D33" s="226" t="s">
        <v>8776</v>
      </c>
      <c r="E33" s="226" t="s">
        <v>8777</v>
      </c>
      <c r="F33" s="226" t="s">
        <v>8778</v>
      </c>
      <c r="G33" s="226">
        <v>1.0</v>
      </c>
      <c r="H33" s="226">
        <v>6.0</v>
      </c>
      <c r="I33" s="217" t="str">
        <f>IFERROR(__xludf.DUMMYFUNCTION("""COMPUTED_VALUE"""),"JC-PL-EL-6")</f>
        <v>JC-PL-EL-6</v>
      </c>
      <c r="J33" s="228">
        <v>48.0</v>
      </c>
      <c r="K33" s="219">
        <v>8.0</v>
      </c>
      <c r="L33" s="124"/>
      <c r="M33" s="124"/>
      <c r="N33" s="124"/>
      <c r="O33" s="124"/>
      <c r="P33" s="124" t="s">
        <v>4776</v>
      </c>
      <c r="Q33" s="124"/>
      <c r="R33" s="21" t="s">
        <v>22</v>
      </c>
      <c r="S33" s="124"/>
      <c r="T33" s="124"/>
      <c r="U33" s="124"/>
      <c r="V33" s="124"/>
      <c r="W33" s="124"/>
      <c r="X33" s="124"/>
    </row>
    <row r="34">
      <c r="A34" s="227">
        <v>45920.0</v>
      </c>
      <c r="B34" s="226" t="s">
        <v>6068</v>
      </c>
      <c r="C34" s="226" t="s">
        <v>6085</v>
      </c>
      <c r="D34" s="226" t="s">
        <v>8776</v>
      </c>
      <c r="E34" s="226" t="s">
        <v>8779</v>
      </c>
      <c r="F34" s="226" t="s">
        <v>8780</v>
      </c>
      <c r="G34" s="226">
        <v>1.0</v>
      </c>
      <c r="H34" s="226">
        <v>6.0</v>
      </c>
      <c r="I34" s="217" t="str">
        <f>IFERROR(__xludf.DUMMYFUNCTION("""COMPUTED_VALUE"""),"JC-PL-SS-6")</f>
        <v>JC-PL-SS-6</v>
      </c>
      <c r="J34" s="228">
        <v>66.0</v>
      </c>
      <c r="K34" s="219">
        <v>11.0</v>
      </c>
      <c r="L34" s="124"/>
      <c r="M34" s="124"/>
      <c r="N34" s="124"/>
      <c r="O34" s="124"/>
      <c r="P34" s="124" t="s">
        <v>4778</v>
      </c>
      <c r="Q34" s="124"/>
      <c r="R34" s="21" t="s">
        <v>22</v>
      </c>
      <c r="S34" s="124"/>
      <c r="T34" s="124"/>
      <c r="U34" s="124"/>
      <c r="V34" s="124"/>
      <c r="W34" s="124"/>
      <c r="X34" s="124"/>
    </row>
    <row r="35">
      <c r="A35" s="227">
        <v>45920.0</v>
      </c>
      <c r="B35" s="226" t="s">
        <v>6068</v>
      </c>
      <c r="C35" s="226" t="s">
        <v>6085</v>
      </c>
      <c r="D35" s="226" t="s">
        <v>8776</v>
      </c>
      <c r="E35" s="226" t="s">
        <v>8781</v>
      </c>
      <c r="F35" s="226" t="s">
        <v>8782</v>
      </c>
      <c r="G35" s="226">
        <v>1.0</v>
      </c>
      <c r="H35" s="226">
        <v>6.0</v>
      </c>
      <c r="I35" s="217" t="str">
        <f>IFERROR(__xludf.DUMMYFUNCTION("""COMPUTED_VALUE"""),"JC-PL-SN-6")</f>
        <v>JC-PL-SN-6</v>
      </c>
      <c r="J35" s="228">
        <v>48.0</v>
      </c>
      <c r="K35" s="219">
        <v>8.0</v>
      </c>
      <c r="L35" s="124"/>
      <c r="M35" s="124"/>
      <c r="N35" s="124"/>
      <c r="O35" s="124"/>
      <c r="P35" s="124" t="s">
        <v>4780</v>
      </c>
      <c r="Q35" s="124"/>
      <c r="R35" s="21" t="s">
        <v>22</v>
      </c>
      <c r="S35" s="124"/>
      <c r="T35" s="124"/>
      <c r="U35" s="124"/>
      <c r="V35" s="124"/>
      <c r="W35" s="124"/>
      <c r="X35" s="124"/>
    </row>
    <row r="36">
      <c r="A36" s="227">
        <v>45920.0</v>
      </c>
      <c r="B36" s="226" t="s">
        <v>6068</v>
      </c>
      <c r="C36" s="226" t="s">
        <v>6085</v>
      </c>
      <c r="D36" s="226" t="s">
        <v>8776</v>
      </c>
      <c r="E36" s="226" t="s">
        <v>8777</v>
      </c>
      <c r="F36" s="226" t="s">
        <v>8783</v>
      </c>
      <c r="G36" s="226">
        <v>1.0</v>
      </c>
      <c r="H36" s="226">
        <v>6.0</v>
      </c>
      <c r="I36" s="217" t="str">
        <f>IFERROR(__xludf.DUMMYFUNCTION("""COMPUTED_VALUE"""),"JC-PL-TU-6")</f>
        <v>JC-PL-TU-6</v>
      </c>
      <c r="J36" s="228">
        <v>42.0</v>
      </c>
      <c r="K36" s="219">
        <v>7.0</v>
      </c>
      <c r="L36" s="124"/>
      <c r="M36" s="124"/>
      <c r="N36" s="124"/>
      <c r="O36" s="124"/>
      <c r="P36" s="124" t="s">
        <v>4782</v>
      </c>
      <c r="Q36" s="124"/>
      <c r="R36" s="21" t="s">
        <v>22</v>
      </c>
      <c r="S36" s="124"/>
      <c r="T36" s="124"/>
      <c r="U36" s="124"/>
      <c r="V36" s="124"/>
      <c r="W36" s="124"/>
      <c r="X36" s="124"/>
    </row>
    <row r="37">
      <c r="A37" s="227">
        <v>45925.0</v>
      </c>
      <c r="B37" s="226" t="s">
        <v>6068</v>
      </c>
      <c r="C37" s="226" t="s">
        <v>6111</v>
      </c>
      <c r="D37" s="226" t="s">
        <v>8784</v>
      </c>
      <c r="E37" s="124"/>
      <c r="F37" s="226" t="s">
        <v>8785</v>
      </c>
      <c r="G37" s="226">
        <v>1.0</v>
      </c>
      <c r="H37" s="226">
        <v>5.0</v>
      </c>
      <c r="I37" s="217" t="str">
        <f>IFERROR(__xludf.DUMMYFUNCTION("""COMPUTED_VALUE"""),"TPM-ST-GI-5")</f>
        <v>TPM-ST-GI-5</v>
      </c>
      <c r="J37" s="228">
        <v>20.0</v>
      </c>
      <c r="K37" s="219">
        <v>4.0</v>
      </c>
      <c r="L37" s="124"/>
      <c r="M37" s="124"/>
      <c r="N37" s="124"/>
      <c r="O37" s="124"/>
      <c r="P37" s="124" t="s">
        <v>4784</v>
      </c>
      <c r="Q37" s="124"/>
      <c r="R37" s="21" t="s">
        <v>22</v>
      </c>
      <c r="S37" s="124"/>
      <c r="T37" s="124"/>
      <c r="U37" s="124"/>
      <c r="V37" s="124"/>
      <c r="W37" s="124"/>
      <c r="X37" s="124"/>
    </row>
    <row r="38">
      <c r="A38" s="227">
        <v>45925.0</v>
      </c>
      <c r="B38" s="226" t="s">
        <v>6068</v>
      </c>
      <c r="C38" s="226" t="s">
        <v>6111</v>
      </c>
      <c r="D38" s="226" t="s">
        <v>8784</v>
      </c>
      <c r="E38" s="124"/>
      <c r="F38" s="226" t="s">
        <v>8786</v>
      </c>
      <c r="G38" s="226">
        <v>1.0</v>
      </c>
      <c r="H38" s="226">
        <v>10.0</v>
      </c>
      <c r="I38" s="217" t="str">
        <f>IFERROR(__xludf.DUMMYFUNCTION("""COMPUTED_VALUE"""),"TPM-ST-LIS-10")</f>
        <v>TPM-ST-LIS-10</v>
      </c>
      <c r="J38" s="228">
        <v>7.5</v>
      </c>
      <c r="K38" s="219">
        <v>0.75</v>
      </c>
      <c r="L38" s="124"/>
      <c r="M38" s="124"/>
      <c r="N38" s="124"/>
      <c r="O38" s="124"/>
      <c r="P38" s="124" t="s">
        <v>4786</v>
      </c>
      <c r="Q38" s="124"/>
      <c r="R38" s="21" t="s">
        <v>22</v>
      </c>
      <c r="S38" s="124"/>
      <c r="T38" s="124"/>
      <c r="U38" s="124"/>
      <c r="V38" s="124"/>
      <c r="W38" s="124"/>
      <c r="X38" s="124"/>
    </row>
    <row r="39">
      <c r="A39" s="227">
        <v>45925.0</v>
      </c>
      <c r="B39" s="226" t="s">
        <v>6068</v>
      </c>
      <c r="C39" s="226" t="s">
        <v>6111</v>
      </c>
      <c r="D39" s="226" t="s">
        <v>8784</v>
      </c>
      <c r="E39" s="124"/>
      <c r="F39" s="226" t="s">
        <v>8787</v>
      </c>
      <c r="G39" s="226">
        <v>1.0</v>
      </c>
      <c r="H39" s="226">
        <v>5.0</v>
      </c>
      <c r="I39" s="217" t="str">
        <f>IFERROR(__xludf.DUMMYFUNCTION("""COMPUTED_VALUE"""),"TPM-ST-PL-5")</f>
        <v>TPM-ST-PL-5</v>
      </c>
      <c r="J39" s="228">
        <v>7.5</v>
      </c>
      <c r="K39" s="219">
        <v>1.5</v>
      </c>
      <c r="L39" s="124"/>
      <c r="M39" s="124"/>
      <c r="N39" s="124"/>
      <c r="O39" s="124"/>
      <c r="P39" s="124" t="s">
        <v>4788</v>
      </c>
      <c r="Q39" s="124"/>
      <c r="R39" s="21" t="s">
        <v>22</v>
      </c>
      <c r="S39" s="124"/>
      <c r="T39" s="124"/>
      <c r="U39" s="124"/>
      <c r="V39" s="124"/>
      <c r="W39" s="124"/>
      <c r="X39" s="124"/>
    </row>
    <row r="40">
      <c r="A40" s="227">
        <v>45925.0</v>
      </c>
      <c r="B40" s="226" t="s">
        <v>6068</v>
      </c>
      <c r="C40" s="226" t="s">
        <v>6111</v>
      </c>
      <c r="D40" s="226" t="s">
        <v>8784</v>
      </c>
      <c r="E40" s="124"/>
      <c r="F40" s="226" t="s">
        <v>8788</v>
      </c>
      <c r="G40" s="226">
        <v>1.0</v>
      </c>
      <c r="H40" s="226">
        <v>5.0</v>
      </c>
      <c r="I40" s="217" t="str">
        <f>IFERROR(__xludf.DUMMYFUNCTION("""COMPUTED_VALUE"""),"TPM-ST-JO-5")</f>
        <v>TPM-ST-JO-5</v>
      </c>
      <c r="J40" s="228">
        <v>7.5</v>
      </c>
      <c r="K40" s="219">
        <v>1.5</v>
      </c>
      <c r="L40" s="124"/>
      <c r="M40" s="124"/>
      <c r="N40" s="124"/>
      <c r="O40" s="124"/>
      <c r="P40" s="124" t="s">
        <v>4790</v>
      </c>
      <c r="Q40" s="124"/>
      <c r="R40" s="21" t="s">
        <v>22</v>
      </c>
      <c r="S40" s="124"/>
      <c r="T40" s="124"/>
      <c r="U40" s="124"/>
      <c r="V40" s="124"/>
      <c r="W40" s="124"/>
      <c r="X40" s="124"/>
    </row>
    <row r="41">
      <c r="A41" s="227">
        <v>45925.0</v>
      </c>
      <c r="B41" s="226" t="s">
        <v>6068</v>
      </c>
      <c r="C41" s="226" t="s">
        <v>6111</v>
      </c>
      <c r="D41" s="226" t="s">
        <v>8784</v>
      </c>
      <c r="E41" s="124"/>
      <c r="F41" s="226" t="s">
        <v>8789</v>
      </c>
      <c r="G41" s="226">
        <v>1.0</v>
      </c>
      <c r="H41" s="226">
        <v>5.0</v>
      </c>
      <c r="I41" s="217" t="str">
        <f>IFERROR(__xludf.DUMMYFUNCTION("""COMPUTED_VALUE"""),"TPM-ST-MD-5")</f>
        <v>TPM-ST-MD-5</v>
      </c>
      <c r="J41" s="228">
        <v>7.5</v>
      </c>
      <c r="K41" s="219">
        <v>1.5</v>
      </c>
      <c r="L41" s="124"/>
      <c r="M41" s="124"/>
      <c r="N41" s="124"/>
      <c r="O41" s="124"/>
      <c r="P41" s="124" t="s">
        <v>4792</v>
      </c>
      <c r="Q41" s="124"/>
      <c r="R41" s="21" t="s">
        <v>22</v>
      </c>
      <c r="S41" s="124"/>
      <c r="T41" s="124"/>
      <c r="U41" s="124"/>
      <c r="V41" s="124"/>
      <c r="W41" s="124"/>
      <c r="X41" s="124"/>
    </row>
    <row r="42">
      <c r="A42" s="227">
        <v>45925.0</v>
      </c>
      <c r="B42" s="226" t="s">
        <v>6068</v>
      </c>
      <c r="C42" s="226" t="s">
        <v>6111</v>
      </c>
      <c r="D42" s="226" t="s">
        <v>8784</v>
      </c>
      <c r="E42" s="124"/>
      <c r="F42" s="226" t="s">
        <v>8790</v>
      </c>
      <c r="G42" s="226">
        <v>1.0</v>
      </c>
      <c r="H42" s="226">
        <v>5.0</v>
      </c>
      <c r="I42" s="217" t="str">
        <f>IFERROR(__xludf.DUMMYFUNCTION("""COMPUTED_VALUE"""),"TPM-ST-ED-5")</f>
        <v>TPM-ST-ED-5</v>
      </c>
      <c r="J42" s="228">
        <v>7.5</v>
      </c>
      <c r="K42" s="219">
        <v>1.5</v>
      </c>
      <c r="L42" s="124"/>
      <c r="M42" s="124"/>
      <c r="N42" s="124"/>
      <c r="O42" s="124"/>
      <c r="P42" s="124" t="s">
        <v>4794</v>
      </c>
      <c r="Q42" s="124"/>
      <c r="R42" s="21" t="s">
        <v>22</v>
      </c>
      <c r="S42" s="124"/>
      <c r="T42" s="124"/>
      <c r="U42" s="124"/>
      <c r="V42" s="124"/>
      <c r="W42" s="124"/>
      <c r="X42" s="124"/>
    </row>
    <row r="43">
      <c r="A43" s="227">
        <v>45925.0</v>
      </c>
      <c r="B43" s="226" t="s">
        <v>6068</v>
      </c>
      <c r="C43" s="226" t="s">
        <v>6111</v>
      </c>
      <c r="D43" s="226" t="s">
        <v>8784</v>
      </c>
      <c r="E43" s="124"/>
      <c r="F43" s="226" t="s">
        <v>8791</v>
      </c>
      <c r="G43" s="226">
        <v>1.0</v>
      </c>
      <c r="H43" s="226">
        <v>5.0</v>
      </c>
      <c r="I43" s="217" t="str">
        <f>IFERROR(__xludf.DUMMYFUNCTION("""COMPUTED_VALUE"""),"TPM-ST-PPP-5")</f>
        <v>TPM-ST-PPP-5</v>
      </c>
      <c r="J43" s="228">
        <v>7.5</v>
      </c>
      <c r="K43" s="219">
        <v>1.5</v>
      </c>
      <c r="L43" s="124"/>
      <c r="M43" s="124"/>
      <c r="N43" s="124"/>
      <c r="O43" s="124"/>
      <c r="P43" s="124" t="s">
        <v>4796</v>
      </c>
      <c r="Q43" s="124"/>
      <c r="R43" s="21" t="s">
        <v>22</v>
      </c>
      <c r="S43" s="124"/>
      <c r="T43" s="124"/>
      <c r="U43" s="124"/>
      <c r="V43" s="124"/>
      <c r="W43" s="124"/>
      <c r="X43" s="124"/>
    </row>
    <row r="44">
      <c r="A44" s="227">
        <v>45925.0</v>
      </c>
      <c r="B44" s="226" t="s">
        <v>6068</v>
      </c>
      <c r="C44" s="226" t="s">
        <v>6111</v>
      </c>
      <c r="D44" s="226" t="s">
        <v>8784</v>
      </c>
      <c r="E44" s="124"/>
      <c r="F44" s="226" t="s">
        <v>8792</v>
      </c>
      <c r="G44" s="226">
        <v>1.0</v>
      </c>
      <c r="H44" s="226">
        <v>5.0</v>
      </c>
      <c r="I44" s="217" t="str">
        <f>IFERROR(__xludf.DUMMYFUNCTION("""COMPUTED_VALUE"""),"TPM-ST-ACP-5")</f>
        <v>TPM-ST-ACP-5</v>
      </c>
      <c r="J44" s="228">
        <v>7.5</v>
      </c>
      <c r="K44" s="219">
        <v>1.5</v>
      </c>
      <c r="L44" s="124"/>
      <c r="M44" s="124"/>
      <c r="N44" s="124"/>
      <c r="O44" s="124"/>
      <c r="P44" s="124" t="s">
        <v>4798</v>
      </c>
      <c r="Q44" s="124"/>
      <c r="R44" s="21" t="s">
        <v>22</v>
      </c>
      <c r="S44" s="124"/>
      <c r="T44" s="124"/>
      <c r="U44" s="124"/>
      <c r="V44" s="124"/>
      <c r="W44" s="124"/>
      <c r="X44" s="124"/>
    </row>
    <row r="45">
      <c r="A45" s="227">
        <v>45925.0</v>
      </c>
      <c r="B45" s="226" t="s">
        <v>6068</v>
      </c>
      <c r="C45" s="226" t="s">
        <v>6111</v>
      </c>
      <c r="D45" s="226" t="s">
        <v>8784</v>
      </c>
      <c r="E45" s="124"/>
      <c r="F45" s="226" t="s">
        <v>8793</v>
      </c>
      <c r="G45" s="226">
        <v>1.0</v>
      </c>
      <c r="H45" s="226">
        <v>5.0</v>
      </c>
      <c r="I45" s="217" t="str">
        <f>IFERROR(__xludf.DUMMYFUNCTION("""COMPUTED_VALUE"""),"TPM-ST-MAP-5")</f>
        <v>TPM-ST-MAP-5</v>
      </c>
      <c r="J45" s="228">
        <v>7.5</v>
      </c>
      <c r="K45" s="219">
        <v>1.5</v>
      </c>
      <c r="L45" s="124"/>
      <c r="M45" s="124"/>
      <c r="N45" s="124"/>
      <c r="O45" s="124"/>
      <c r="P45" s="124" t="s">
        <v>4800</v>
      </c>
      <c r="Q45" s="124"/>
      <c r="R45" s="21" t="s">
        <v>22</v>
      </c>
      <c r="S45" s="124"/>
      <c r="T45" s="124"/>
      <c r="U45" s="124"/>
      <c r="V45" s="124"/>
      <c r="W45" s="124"/>
      <c r="X45" s="124"/>
    </row>
    <row r="46">
      <c r="A46" s="227">
        <v>45925.0</v>
      </c>
      <c r="B46" s="226" t="s">
        <v>6068</v>
      </c>
      <c r="C46" s="226" t="s">
        <v>6098</v>
      </c>
      <c r="D46" s="226" t="s">
        <v>8794</v>
      </c>
      <c r="E46" s="124"/>
      <c r="F46" s="226" t="s">
        <v>8795</v>
      </c>
      <c r="G46" s="226">
        <v>1.0</v>
      </c>
      <c r="H46" s="226">
        <v>3.0</v>
      </c>
      <c r="I46" s="217" t="str">
        <f>IFERROR(__xludf.DUMMYFUNCTION("""COMPUTED_VALUE"""),"AS-EA-SS-3")</f>
        <v>AS-EA-SS-3</v>
      </c>
      <c r="J46" s="228">
        <v>24.0</v>
      </c>
      <c r="K46" s="219">
        <v>8.0</v>
      </c>
      <c r="L46" s="124"/>
      <c r="M46" s="124"/>
      <c r="N46" s="124"/>
      <c r="O46" s="124"/>
      <c r="P46" s="124" t="s">
        <v>4802</v>
      </c>
      <c r="Q46" s="124"/>
      <c r="R46" s="21" t="s">
        <v>22</v>
      </c>
      <c r="S46" s="124"/>
      <c r="T46" s="124"/>
      <c r="U46" s="124"/>
      <c r="V46" s="124"/>
      <c r="W46" s="124"/>
      <c r="X46" s="124"/>
    </row>
    <row r="47">
      <c r="A47" s="227">
        <v>45925.0</v>
      </c>
      <c r="B47" s="226" t="s">
        <v>6068</v>
      </c>
      <c r="C47" s="226" t="s">
        <v>6098</v>
      </c>
      <c r="D47" s="226" t="s">
        <v>8794</v>
      </c>
      <c r="E47" s="124"/>
      <c r="F47" s="226" t="s">
        <v>8796</v>
      </c>
      <c r="G47" s="226">
        <v>1.0</v>
      </c>
      <c r="H47" s="226">
        <v>4.0</v>
      </c>
      <c r="I47" s="217" t="str">
        <f>IFERROR(__xludf.DUMMYFUNCTION("""COMPUTED_VALUE"""),"AS-EA-MD-4")</f>
        <v>AS-EA-MD-4</v>
      </c>
      <c r="J47" s="228">
        <v>51.0</v>
      </c>
      <c r="K47" s="219">
        <v>12.75</v>
      </c>
      <c r="L47" s="124"/>
      <c r="M47" s="124"/>
      <c r="N47" s="124"/>
      <c r="O47" s="124"/>
      <c r="P47" s="124" t="s">
        <v>4804</v>
      </c>
      <c r="Q47" s="124"/>
      <c r="R47" s="21" t="s">
        <v>22</v>
      </c>
      <c r="S47" s="124"/>
      <c r="T47" s="124"/>
      <c r="U47" s="124"/>
      <c r="V47" s="124"/>
      <c r="W47" s="124"/>
      <c r="X47" s="124"/>
    </row>
    <row r="48">
      <c r="A48" s="227">
        <v>45925.0</v>
      </c>
      <c r="B48" s="226" t="s">
        <v>6068</v>
      </c>
      <c r="C48" s="226" t="s">
        <v>6098</v>
      </c>
      <c r="D48" s="226" t="s">
        <v>8794</v>
      </c>
      <c r="E48" s="124"/>
      <c r="F48" s="226" t="s">
        <v>8797</v>
      </c>
      <c r="G48" s="226">
        <v>1.0</v>
      </c>
      <c r="H48" s="226">
        <v>2.0</v>
      </c>
      <c r="I48" s="217" t="str">
        <f>IFERROR(__xludf.DUMMYFUNCTION("""COMPUTED_VALUE"""),"AS-EA-SC-2")</f>
        <v>AS-EA-SC-2</v>
      </c>
      <c r="J48" s="228">
        <v>24.0</v>
      </c>
      <c r="K48" s="219">
        <v>12.0</v>
      </c>
      <c r="L48" s="124"/>
      <c r="M48" s="124"/>
      <c r="N48" s="124"/>
      <c r="O48" s="124"/>
      <c r="P48" s="124" t="s">
        <v>4806</v>
      </c>
      <c r="Q48" s="124"/>
      <c r="R48" s="21" t="s">
        <v>22</v>
      </c>
      <c r="S48" s="124"/>
      <c r="T48" s="124"/>
      <c r="U48" s="124"/>
      <c r="V48" s="124"/>
      <c r="W48" s="124"/>
      <c r="X48" s="124"/>
    </row>
    <row r="49">
      <c r="A49" s="227">
        <v>45925.0</v>
      </c>
      <c r="B49" s="226" t="s">
        <v>6068</v>
      </c>
      <c r="C49" s="226" t="s">
        <v>6098</v>
      </c>
      <c r="D49" s="226" t="s">
        <v>8798</v>
      </c>
      <c r="E49" s="124"/>
      <c r="F49" s="226" t="s">
        <v>8797</v>
      </c>
      <c r="G49" s="226">
        <v>1.0</v>
      </c>
      <c r="H49" s="226">
        <v>2.0</v>
      </c>
      <c r="I49" s="217" t="str">
        <f>IFERROR(__xludf.DUMMYFUNCTION("""COMPUTED_VALUE"""),"AS-NE-SC-2")</f>
        <v>AS-NE-SC-2</v>
      </c>
      <c r="J49" s="228">
        <v>24.0</v>
      </c>
      <c r="K49" s="219">
        <v>12.0</v>
      </c>
      <c r="L49" s="124"/>
      <c r="M49" s="124"/>
      <c r="N49" s="124"/>
      <c r="O49" s="124"/>
      <c r="P49" s="124" t="s">
        <v>4808</v>
      </c>
      <c r="Q49" s="124"/>
      <c r="R49" s="21" t="s">
        <v>22</v>
      </c>
      <c r="S49" s="124"/>
      <c r="T49" s="124"/>
      <c r="U49" s="124"/>
      <c r="V49" s="124"/>
      <c r="W49" s="124"/>
      <c r="X49" s="124"/>
    </row>
    <row r="50">
      <c r="A50" s="227">
        <v>45925.0</v>
      </c>
      <c r="B50" s="226" t="s">
        <v>6068</v>
      </c>
      <c r="C50" s="226" t="s">
        <v>6098</v>
      </c>
      <c r="D50" s="226" t="s">
        <v>8798</v>
      </c>
      <c r="E50" s="124"/>
      <c r="F50" s="226" t="s">
        <v>8799</v>
      </c>
      <c r="G50" s="226">
        <v>1.0</v>
      </c>
      <c r="H50" s="226">
        <v>4.0</v>
      </c>
      <c r="I50" s="217" t="str">
        <f>IFERROR(__xludf.DUMMYFUNCTION("""COMPUTED_VALUE"""),"AS-NE-ML-4")</f>
        <v>AS-NE-ML-4</v>
      </c>
      <c r="J50" s="228">
        <v>54.0</v>
      </c>
      <c r="K50" s="219">
        <v>13.5</v>
      </c>
      <c r="L50" s="124"/>
      <c r="M50" s="124"/>
      <c r="N50" s="124"/>
      <c r="O50" s="124"/>
      <c r="P50" s="124" t="s">
        <v>4810</v>
      </c>
      <c r="Q50" s="124"/>
      <c r="R50" s="21" t="s">
        <v>22</v>
      </c>
      <c r="S50" s="124"/>
      <c r="T50" s="124"/>
      <c r="U50" s="124"/>
      <c r="V50" s="124"/>
      <c r="W50" s="124"/>
      <c r="X50" s="124"/>
    </row>
    <row r="51">
      <c r="A51" s="227">
        <v>45931.0</v>
      </c>
      <c r="B51" s="226" t="s">
        <v>6068</v>
      </c>
      <c r="C51" s="226" t="s">
        <v>6105</v>
      </c>
      <c r="D51" s="226" t="s">
        <v>8784</v>
      </c>
      <c r="E51" s="124"/>
      <c r="F51" s="226" t="s">
        <v>8790</v>
      </c>
      <c r="G51" s="226">
        <v>1.0</v>
      </c>
      <c r="H51" s="226">
        <v>10.0</v>
      </c>
      <c r="I51" s="217" t="str">
        <f>IFERROR(__xludf.DUMMYFUNCTION("""COMPUTED_VALUE"""),"ARC-ST-ED-10")</f>
        <v>ARC-ST-ED-10</v>
      </c>
      <c r="J51" s="228">
        <v>17.5</v>
      </c>
      <c r="K51" s="219">
        <v>1.75</v>
      </c>
      <c r="L51" s="124"/>
      <c r="M51" s="124"/>
      <c r="N51" s="124"/>
      <c r="O51" s="124"/>
      <c r="P51" s="124" t="s">
        <v>4812</v>
      </c>
      <c r="Q51" s="124"/>
      <c r="R51" s="21" t="s">
        <v>22</v>
      </c>
      <c r="S51" s="124"/>
      <c r="T51" s="124"/>
      <c r="U51" s="124"/>
      <c r="V51" s="124"/>
      <c r="W51" s="124"/>
      <c r="X51" s="124"/>
    </row>
    <row r="52">
      <c r="A52" s="227">
        <v>45931.0</v>
      </c>
      <c r="B52" s="226" t="s">
        <v>6068</v>
      </c>
      <c r="C52" s="226" t="s">
        <v>6105</v>
      </c>
      <c r="D52" s="226" t="s">
        <v>8784</v>
      </c>
      <c r="E52" s="124"/>
      <c r="F52" s="226" t="s">
        <v>8800</v>
      </c>
      <c r="G52" s="226">
        <v>1.0</v>
      </c>
      <c r="H52" s="226">
        <v>10.0</v>
      </c>
      <c r="I52" s="217" t="str">
        <f>IFERROR(__xludf.DUMMYFUNCTION("""COMPUTED_VALUE"""),"ARC-ST-PL-10")</f>
        <v>ARC-ST-PL-10</v>
      </c>
      <c r="J52" s="228">
        <v>10.0</v>
      </c>
      <c r="K52" s="219">
        <v>1.0</v>
      </c>
      <c r="L52" s="124"/>
      <c r="M52" s="124"/>
      <c r="N52" s="124"/>
      <c r="O52" s="124"/>
      <c r="P52" s="124" t="s">
        <v>4814</v>
      </c>
      <c r="Q52" s="124"/>
      <c r="R52" s="21" t="s">
        <v>22</v>
      </c>
      <c r="S52" s="124"/>
      <c r="T52" s="124"/>
      <c r="U52" s="124"/>
      <c r="V52" s="124"/>
      <c r="W52" s="124"/>
      <c r="X52" s="124"/>
    </row>
    <row r="53">
      <c r="A53" s="227">
        <v>45931.0</v>
      </c>
      <c r="B53" s="226" t="s">
        <v>6068</v>
      </c>
      <c r="C53" s="226" t="s">
        <v>6105</v>
      </c>
      <c r="D53" s="226" t="s">
        <v>4049</v>
      </c>
      <c r="E53" s="124"/>
      <c r="F53" s="226" t="s">
        <v>8801</v>
      </c>
      <c r="G53" s="226">
        <v>1.0</v>
      </c>
      <c r="H53" s="226">
        <v>10.0</v>
      </c>
      <c r="I53" s="217" t="str">
        <f>IFERROR(__xludf.DUMMYFUNCTION("""COMPUTED_VALUE"""),"ARC-KC-NEP-10")</f>
        <v>ARC-KC-NEP-10</v>
      </c>
      <c r="J53" s="228">
        <v>25.0</v>
      </c>
      <c r="K53" s="219">
        <v>2.5</v>
      </c>
      <c r="L53" s="124"/>
      <c r="M53" s="124"/>
      <c r="N53" s="124"/>
      <c r="O53" s="124"/>
      <c r="P53" s="124" t="s">
        <v>4816</v>
      </c>
      <c r="Q53" s="124"/>
      <c r="R53" s="21" t="s">
        <v>22</v>
      </c>
      <c r="S53" s="124"/>
      <c r="T53" s="124"/>
      <c r="U53" s="124"/>
      <c r="V53" s="124"/>
      <c r="W53" s="124"/>
      <c r="X53" s="124"/>
    </row>
    <row r="54">
      <c r="A54" s="227">
        <v>45931.0</v>
      </c>
      <c r="B54" s="226" t="s">
        <v>6068</v>
      </c>
      <c r="C54" s="226" t="s">
        <v>6105</v>
      </c>
      <c r="D54" s="226" t="s">
        <v>8802</v>
      </c>
      <c r="E54" s="124"/>
      <c r="F54" s="226" t="s">
        <v>8803</v>
      </c>
      <c r="G54" s="226">
        <v>1.0</v>
      </c>
      <c r="H54" s="226">
        <v>5.0</v>
      </c>
      <c r="I54" s="217" t="str">
        <f>IFERROR(__xludf.DUMMYFUNCTION("""COMPUTED_VALUE"""),"ARC-TB-PA-5")</f>
        <v>ARC-TB-PA-5</v>
      </c>
      <c r="J54" s="228">
        <v>35.6</v>
      </c>
      <c r="K54" s="219">
        <v>7.12</v>
      </c>
      <c r="L54" s="124"/>
      <c r="M54" s="124"/>
      <c r="N54" s="124"/>
      <c r="O54" s="124"/>
      <c r="P54" s="124" t="s">
        <v>4818</v>
      </c>
      <c r="Q54" s="124"/>
      <c r="R54" s="21" t="s">
        <v>22</v>
      </c>
      <c r="S54" s="124"/>
      <c r="T54" s="124"/>
      <c r="U54" s="124"/>
      <c r="V54" s="124"/>
      <c r="W54" s="124"/>
      <c r="X54" s="124"/>
    </row>
    <row r="55">
      <c r="A55" s="227">
        <v>45931.0</v>
      </c>
      <c r="B55" s="226" t="s">
        <v>6068</v>
      </c>
      <c r="C55" s="226" t="s">
        <v>6105</v>
      </c>
      <c r="D55" s="226" t="s">
        <v>8802</v>
      </c>
      <c r="E55" s="124"/>
      <c r="F55" s="226" t="s">
        <v>8804</v>
      </c>
      <c r="G55" s="226">
        <v>1.0</v>
      </c>
      <c r="H55" s="226">
        <v>3.0</v>
      </c>
      <c r="I55" s="217" t="str">
        <f>IFERROR(__xludf.DUMMYFUNCTION("""COMPUTED_VALUE"""),"ARC-TB-DH-3")</f>
        <v>ARC-TB-DH-3</v>
      </c>
      <c r="J55" s="228">
        <v>21.36</v>
      </c>
      <c r="K55" s="219">
        <v>7.12</v>
      </c>
      <c r="L55" s="124"/>
      <c r="M55" s="124"/>
      <c r="N55" s="124"/>
      <c r="O55" s="124"/>
      <c r="P55" s="124" t="s">
        <v>4820</v>
      </c>
      <c r="Q55" s="124"/>
      <c r="R55" s="21" t="s">
        <v>22</v>
      </c>
      <c r="S55" s="124"/>
      <c r="T55" s="124"/>
      <c r="U55" s="124"/>
      <c r="V55" s="124"/>
      <c r="W55" s="124"/>
      <c r="X55" s="124"/>
    </row>
    <row r="56">
      <c r="A56" s="227">
        <v>45933.0</v>
      </c>
      <c r="B56" s="226" t="s">
        <v>6266</v>
      </c>
      <c r="C56" s="226" t="s">
        <v>8805</v>
      </c>
      <c r="D56" s="226" t="s">
        <v>4049</v>
      </c>
      <c r="E56" s="124"/>
      <c r="F56" s="226" t="s">
        <v>8806</v>
      </c>
      <c r="G56" s="226">
        <v>1.0</v>
      </c>
      <c r="H56" s="226">
        <v>8.0</v>
      </c>
      <c r="I56" s="217" t="str">
        <f>IFERROR(__xludf.DUMMYFUNCTION("""COMPUTED_VALUE"""),"AD-KC-PLE-8")</f>
        <v>AD-KC-PLE-8</v>
      </c>
      <c r="J56" s="228">
        <v>6.44</v>
      </c>
      <c r="K56" s="219">
        <v>0.81</v>
      </c>
      <c r="L56" s="124"/>
      <c r="M56" s="124"/>
      <c r="N56" s="124"/>
      <c r="O56" s="124"/>
      <c r="P56" s="124" t="s">
        <v>4822</v>
      </c>
      <c r="Q56" s="124"/>
      <c r="R56" s="21" t="s">
        <v>22</v>
      </c>
      <c r="S56" s="124"/>
      <c r="T56" s="124"/>
      <c r="U56" s="124"/>
      <c r="V56" s="124"/>
      <c r="W56" s="124"/>
      <c r="X56" s="124"/>
    </row>
    <row r="57">
      <c r="A57" s="227">
        <v>45828.0</v>
      </c>
      <c r="B57" s="226" t="s">
        <v>117</v>
      </c>
      <c r="C57" s="226" t="s">
        <v>8807</v>
      </c>
      <c r="D57" s="226" t="s">
        <v>8748</v>
      </c>
      <c r="E57" s="226" t="s">
        <v>5958</v>
      </c>
      <c r="F57" s="226" t="s">
        <v>6750</v>
      </c>
      <c r="G57" s="226">
        <v>2.0</v>
      </c>
      <c r="H57" s="226">
        <v>100.0</v>
      </c>
      <c r="I57" s="217" t="str">
        <f>IFERROR(__xludf.DUMMYFUNCTION("""COMPUTED_VALUE"""),"RO-PO-4-CL-2")</f>
        <v>RO-PO-4-CL-2</v>
      </c>
      <c r="J57" s="228">
        <v>23.99</v>
      </c>
      <c r="K57" s="219">
        <v>0.24</v>
      </c>
      <c r="L57" s="124"/>
      <c r="M57" s="124"/>
      <c r="N57" s="124"/>
      <c r="O57" s="124"/>
      <c r="P57" s="124" t="s">
        <v>4824</v>
      </c>
      <c r="Q57" s="226">
        <v>1.0</v>
      </c>
      <c r="R57" s="21" t="s">
        <v>22</v>
      </c>
      <c r="S57" s="124"/>
      <c r="T57" s="124"/>
      <c r="U57" s="124"/>
      <c r="V57" s="124"/>
      <c r="W57" s="124"/>
      <c r="X57" s="124"/>
    </row>
    <row r="58">
      <c r="A58" s="227">
        <v>45938.0</v>
      </c>
      <c r="B58" s="226" t="s">
        <v>46</v>
      </c>
      <c r="C58" s="226" t="s">
        <v>8808</v>
      </c>
      <c r="D58" s="226" t="s">
        <v>8748</v>
      </c>
      <c r="E58" s="229" t="s">
        <v>8809</v>
      </c>
      <c r="F58" s="226" t="s">
        <v>4052</v>
      </c>
      <c r="G58" s="229" t="s">
        <v>6195</v>
      </c>
      <c r="H58" s="226">
        <v>1.0</v>
      </c>
      <c r="I58" s="217" t="str">
        <f>IFERROR(__xludf.DUMMYFUNCTION("""COMPUTED_VALUE"""),"ST-PO-0-CU-1")</f>
        <v>ST-PO-0-CU-1</v>
      </c>
      <c r="J58" s="228">
        <v>0.0</v>
      </c>
      <c r="K58" s="219">
        <v>0.0</v>
      </c>
      <c r="L58" s="226" t="s">
        <v>46</v>
      </c>
      <c r="M58" s="226" t="s">
        <v>46</v>
      </c>
      <c r="N58" s="124"/>
      <c r="O58" s="124"/>
      <c r="P58" s="124" t="s">
        <v>4826</v>
      </c>
      <c r="Q58" s="124"/>
      <c r="R58" s="21" t="s">
        <v>22</v>
      </c>
      <c r="S58" s="124"/>
      <c r="T58" s="124"/>
      <c r="U58" s="124"/>
      <c r="V58" s="124"/>
      <c r="W58" s="124"/>
      <c r="X58" s="124"/>
    </row>
    <row r="59">
      <c r="A59" s="227">
        <v>45938.0</v>
      </c>
      <c r="B59" s="226" t="s">
        <v>46</v>
      </c>
      <c r="C59" s="226" t="s">
        <v>8808</v>
      </c>
      <c r="D59" s="226" t="s">
        <v>8748</v>
      </c>
      <c r="E59" s="226" t="s">
        <v>5958</v>
      </c>
      <c r="F59" s="226" t="s">
        <v>8810</v>
      </c>
      <c r="G59" s="229" t="s">
        <v>6195</v>
      </c>
      <c r="H59" s="226">
        <v>1.0</v>
      </c>
      <c r="I59" s="217" t="str">
        <f>IFERROR(__xludf.DUMMYFUNCTION("""COMPUTED_VALUE"""),"ST-PO-4-NU-1")</f>
        <v>ST-PO-4-NU-1</v>
      </c>
      <c r="J59" s="228">
        <v>0.0</v>
      </c>
      <c r="K59" s="219">
        <v>0.0</v>
      </c>
      <c r="L59" s="124"/>
      <c r="M59" s="124"/>
      <c r="N59" s="124"/>
      <c r="O59" s="124"/>
      <c r="P59" s="124" t="s">
        <v>4828</v>
      </c>
      <c r="Q59" s="226">
        <v>0.25</v>
      </c>
      <c r="R59" s="21" t="s">
        <v>22</v>
      </c>
      <c r="S59" s="124"/>
      <c r="T59" s="124"/>
      <c r="U59" s="124"/>
      <c r="V59" s="124"/>
      <c r="W59" s="124"/>
      <c r="X59" s="124"/>
    </row>
    <row r="60">
      <c r="A60" s="227">
        <v>45938.0</v>
      </c>
      <c r="B60" s="226" t="s">
        <v>46</v>
      </c>
      <c r="C60" s="226" t="s">
        <v>8808</v>
      </c>
      <c r="D60" s="226" t="s">
        <v>8748</v>
      </c>
      <c r="E60" s="226" t="s">
        <v>5956</v>
      </c>
      <c r="F60" s="226" t="s">
        <v>8810</v>
      </c>
      <c r="G60" s="229" t="s">
        <v>6195</v>
      </c>
      <c r="H60" s="226">
        <v>1.0</v>
      </c>
      <c r="I60" s="217" t="str">
        <f>IFERROR(__xludf.DUMMYFUNCTION("""COMPUTED_VALUE"""),"ST-PO-3-NU-1")</f>
        <v>ST-PO-3-NU-1</v>
      </c>
      <c r="J60" s="228">
        <v>0.0</v>
      </c>
      <c r="K60" s="219">
        <v>0.0</v>
      </c>
      <c r="L60" s="226" t="s">
        <v>46</v>
      </c>
      <c r="M60" s="226" t="s">
        <v>46</v>
      </c>
      <c r="N60" s="124"/>
      <c r="O60" s="124"/>
      <c r="P60" s="124" t="s">
        <v>4830</v>
      </c>
      <c r="Q60" s="124"/>
      <c r="R60" s="21" t="s">
        <v>22</v>
      </c>
      <c r="S60" s="124"/>
      <c r="T60" s="124"/>
      <c r="U60" s="124"/>
      <c r="V60" s="124"/>
      <c r="W60" s="124"/>
      <c r="X60" s="124"/>
    </row>
    <row r="61">
      <c r="A61" s="227">
        <v>45938.0</v>
      </c>
      <c r="B61" s="226" t="s">
        <v>46</v>
      </c>
      <c r="C61" s="226" t="s">
        <v>8808</v>
      </c>
      <c r="D61" s="226" t="s">
        <v>8748</v>
      </c>
      <c r="E61" s="226" t="s">
        <v>5970</v>
      </c>
      <c r="F61" s="226" t="s">
        <v>8810</v>
      </c>
      <c r="G61" s="229" t="s">
        <v>6195</v>
      </c>
      <c r="H61" s="226">
        <v>1.0</v>
      </c>
      <c r="I61" s="217" t="str">
        <f>IFERROR(__xludf.DUMMYFUNCTION("""COMPUTED_VALUE"""),"ST-PO-6-NU-1")</f>
        <v>ST-PO-6-NU-1</v>
      </c>
      <c r="J61" s="228">
        <v>0.0</v>
      </c>
      <c r="K61" s="219">
        <v>0.0</v>
      </c>
      <c r="L61" s="124"/>
      <c r="M61" s="124"/>
      <c r="N61" s="124"/>
      <c r="O61" s="124"/>
      <c r="P61" s="124" t="s">
        <v>4832</v>
      </c>
      <c r="Q61" s="124"/>
      <c r="R61" s="21" t="s">
        <v>22</v>
      </c>
      <c r="S61" s="124"/>
      <c r="T61" s="124"/>
      <c r="U61" s="124"/>
      <c r="V61" s="124"/>
      <c r="W61" s="124"/>
      <c r="X61" s="124"/>
    </row>
    <row r="62">
      <c r="A62" s="227">
        <v>45938.0</v>
      </c>
      <c r="B62" s="226" t="s">
        <v>46</v>
      </c>
      <c r="C62" s="226" t="s">
        <v>8808</v>
      </c>
      <c r="D62" s="226" t="s">
        <v>8748</v>
      </c>
      <c r="E62" s="226" t="s">
        <v>5967</v>
      </c>
      <c r="F62" s="226" t="s">
        <v>8810</v>
      </c>
      <c r="G62" s="229" t="s">
        <v>6195</v>
      </c>
      <c r="H62" s="226">
        <v>1.0</v>
      </c>
      <c r="I62" s="217" t="str">
        <f>IFERROR(__xludf.DUMMYFUNCTION("""COMPUTED_VALUE"""),"ST-PO-2-NU-1")</f>
        <v>ST-PO-2-NU-1</v>
      </c>
      <c r="J62" s="228">
        <v>0.0</v>
      </c>
      <c r="K62" s="219">
        <v>0.0</v>
      </c>
      <c r="L62" s="124"/>
      <c r="M62" s="124"/>
      <c r="N62" s="124"/>
      <c r="O62" s="124"/>
      <c r="P62" s="124" t="s">
        <v>4834</v>
      </c>
      <c r="Q62" s="124"/>
      <c r="R62" s="21" t="s">
        <v>22</v>
      </c>
      <c r="S62" s="124"/>
      <c r="T62" s="124"/>
      <c r="U62" s="124"/>
      <c r="V62" s="124"/>
      <c r="W62" s="124"/>
      <c r="X62" s="124"/>
    </row>
    <row r="63">
      <c r="A63" s="227">
        <v>45938.0</v>
      </c>
      <c r="B63" s="226" t="s">
        <v>46</v>
      </c>
      <c r="C63" s="226" t="s">
        <v>8808</v>
      </c>
      <c r="D63" s="226" t="s">
        <v>8748</v>
      </c>
      <c r="E63" s="229" t="s">
        <v>8809</v>
      </c>
      <c r="F63" s="226" t="s">
        <v>8811</v>
      </c>
      <c r="G63" s="229" t="s">
        <v>6195</v>
      </c>
      <c r="H63" s="226">
        <v>1.0</v>
      </c>
      <c r="I63" s="217" t="str">
        <f>IFERROR(__xludf.DUMMYFUNCTION("""COMPUTED_VALUE"""),"ST-PO-0-PL-1")</f>
        <v>ST-PO-0-PL-1</v>
      </c>
      <c r="J63" s="228">
        <v>0.0</v>
      </c>
      <c r="K63" s="219">
        <v>0.0</v>
      </c>
      <c r="L63" s="226" t="s">
        <v>46</v>
      </c>
      <c r="M63" s="226" t="s">
        <v>46</v>
      </c>
      <c r="N63" s="124"/>
      <c r="O63" s="124"/>
      <c r="P63" s="124" t="s">
        <v>4836</v>
      </c>
      <c r="Q63" s="124"/>
      <c r="R63" s="21" t="s">
        <v>22</v>
      </c>
      <c r="S63" s="124"/>
      <c r="T63" s="124"/>
      <c r="U63" s="124"/>
      <c r="V63" s="124"/>
      <c r="W63" s="124"/>
      <c r="X63" s="124"/>
    </row>
    <row r="64">
      <c r="A64" s="227">
        <v>45938.0</v>
      </c>
      <c r="B64" s="226" t="s">
        <v>46</v>
      </c>
      <c r="C64" s="226" t="s">
        <v>8808</v>
      </c>
      <c r="D64" s="226" t="s">
        <v>8748</v>
      </c>
      <c r="E64" s="226" t="s">
        <v>5970</v>
      </c>
      <c r="F64" s="226" t="s">
        <v>8812</v>
      </c>
      <c r="G64" s="229" t="s">
        <v>6195</v>
      </c>
      <c r="H64" s="226">
        <v>1.0</v>
      </c>
      <c r="I64" s="217" t="str">
        <f>IFERROR(__xludf.DUMMYFUNCTION("""COMPUTED_VALUE"""),"ST-PO-6-HA-1")</f>
        <v>ST-PO-6-HA-1</v>
      </c>
      <c r="J64" s="228">
        <v>0.0</v>
      </c>
      <c r="K64" s="219">
        <v>0.0</v>
      </c>
      <c r="L64" s="124"/>
      <c r="M64" s="124"/>
      <c r="N64" s="124"/>
      <c r="O64" s="124"/>
      <c r="P64" s="124" t="s">
        <v>4838</v>
      </c>
      <c r="Q64" s="124"/>
      <c r="R64" s="21" t="s">
        <v>22</v>
      </c>
      <c r="S64" s="124"/>
      <c r="T64" s="124"/>
      <c r="U64" s="124"/>
      <c r="V64" s="124"/>
      <c r="W64" s="124"/>
      <c r="X64" s="124"/>
    </row>
    <row r="65">
      <c r="A65" s="227">
        <v>45938.0</v>
      </c>
      <c r="B65" s="226" t="s">
        <v>46</v>
      </c>
      <c r="C65" s="226" t="s">
        <v>8808</v>
      </c>
      <c r="D65" s="226" t="s">
        <v>8748</v>
      </c>
      <c r="E65" s="229" t="s">
        <v>8809</v>
      </c>
      <c r="F65" s="226" t="s">
        <v>8813</v>
      </c>
      <c r="G65" s="226">
        <v>1.0</v>
      </c>
      <c r="H65" s="226">
        <v>1.0</v>
      </c>
      <c r="I65" s="217" t="str">
        <f>IFERROR(__xludf.DUMMYFUNCTION("""COMPUTED_VALUE"""),"ST-PO-0-STA-1")</f>
        <v>ST-PO-0-STA-1</v>
      </c>
      <c r="J65" s="228">
        <v>0.0</v>
      </c>
      <c r="K65" s="219">
        <v>0.0</v>
      </c>
      <c r="L65" s="226" t="s">
        <v>46</v>
      </c>
      <c r="M65" s="226" t="s">
        <v>46</v>
      </c>
      <c r="N65" s="124"/>
      <c r="O65" s="124"/>
      <c r="P65" s="124" t="s">
        <v>4840</v>
      </c>
      <c r="Q65" s="124"/>
      <c r="R65" s="21" t="s">
        <v>22</v>
      </c>
      <c r="S65" s="124"/>
      <c r="T65" s="124"/>
      <c r="U65" s="124"/>
      <c r="V65" s="124"/>
      <c r="W65" s="124"/>
      <c r="X65" s="124"/>
    </row>
    <row r="66">
      <c r="A66" s="227">
        <v>45928.0</v>
      </c>
      <c r="B66" s="226" t="s">
        <v>6266</v>
      </c>
      <c r="C66" s="226" t="s">
        <v>8814</v>
      </c>
      <c r="D66" s="226" t="s">
        <v>8794</v>
      </c>
      <c r="E66" s="124"/>
      <c r="F66" s="226" t="s">
        <v>1111</v>
      </c>
      <c r="G66" s="229" t="s">
        <v>6195</v>
      </c>
      <c r="H66" s="226">
        <v>6.0</v>
      </c>
      <c r="I66" s="217" t="str">
        <f>IFERROR(__xludf.DUMMYFUNCTION("""COMPUTED_VALUE"""),"FL-EA-PLA-6")</f>
        <v>FL-EA-PLA-6</v>
      </c>
      <c r="J66" s="228">
        <v>5.73</v>
      </c>
      <c r="K66" s="219">
        <v>0.96</v>
      </c>
      <c r="L66" s="226" t="s">
        <v>8815</v>
      </c>
      <c r="M66" s="226"/>
      <c r="N66" s="124"/>
      <c r="O66" s="124"/>
      <c r="P66" s="226" t="s">
        <v>4842</v>
      </c>
      <c r="Q66" s="124"/>
      <c r="R66" s="21" t="s">
        <v>22</v>
      </c>
      <c r="S66" s="124"/>
      <c r="T66" s="124"/>
      <c r="U66" s="124"/>
      <c r="V66" s="124"/>
      <c r="W66" s="124"/>
      <c r="X66" s="124"/>
    </row>
    <row r="67">
      <c r="A67" s="227">
        <v>45928.0</v>
      </c>
      <c r="B67" s="226" t="s">
        <v>6266</v>
      </c>
      <c r="C67" s="226" t="s">
        <v>8816</v>
      </c>
      <c r="D67" s="226" t="s">
        <v>8794</v>
      </c>
      <c r="E67" s="124"/>
      <c r="F67" s="226" t="s">
        <v>8800</v>
      </c>
      <c r="G67" s="229" t="s">
        <v>6195</v>
      </c>
      <c r="H67" s="226">
        <v>7.0</v>
      </c>
      <c r="I67" s="217" t="str">
        <f>IFERROR(__xludf.DUMMYFUNCTION("""COMPUTED_VALUE"""),"YY-EA-PL-7")</f>
        <v>YY-EA-PL-7</v>
      </c>
      <c r="J67" s="228">
        <v>3.38</v>
      </c>
      <c r="K67" s="219">
        <v>0.48</v>
      </c>
      <c r="L67" s="226" t="s">
        <v>8815</v>
      </c>
      <c r="M67" s="226"/>
      <c r="N67" s="124"/>
      <c r="O67" s="124"/>
      <c r="P67" s="229" t="s">
        <v>4844</v>
      </c>
      <c r="Q67" s="124"/>
      <c r="R67" s="21" t="s">
        <v>22</v>
      </c>
      <c r="S67" s="124"/>
      <c r="T67" s="124"/>
      <c r="U67" s="124"/>
      <c r="V67" s="124"/>
      <c r="W67" s="124"/>
      <c r="X67" s="124"/>
    </row>
    <row r="68">
      <c r="A68" s="227"/>
      <c r="B68" s="226"/>
      <c r="C68" s="226"/>
      <c r="D68" s="226"/>
      <c r="E68" s="226"/>
      <c r="F68" s="226"/>
      <c r="G68" s="226"/>
      <c r="H68" s="226"/>
      <c r="I68" s="217" t="str">
        <f>IFERROR(__xludf.DUMMYFUNCTION("""COMPUTED_VALUE"""),"")</f>
        <v/>
      </c>
      <c r="J68" s="228"/>
      <c r="K68" s="219"/>
      <c r="L68" s="226"/>
      <c r="M68" s="226"/>
      <c r="N68" s="124"/>
      <c r="O68" s="124"/>
      <c r="P68" s="226"/>
      <c r="Q68" s="124"/>
      <c r="R68" s="21" t="s">
        <v>22</v>
      </c>
      <c r="S68" s="124"/>
      <c r="T68" s="124"/>
      <c r="U68" s="124"/>
      <c r="V68" s="124"/>
      <c r="W68" s="124"/>
      <c r="X68" s="124"/>
    </row>
    <row r="69">
      <c r="A69" s="227">
        <v>45958.0</v>
      </c>
      <c r="B69" s="226" t="s">
        <v>6266</v>
      </c>
      <c r="C69" s="226" t="s">
        <v>8817</v>
      </c>
      <c r="D69" s="226" t="s">
        <v>8784</v>
      </c>
      <c r="E69" s="226"/>
      <c r="F69" s="226" t="s">
        <v>8800</v>
      </c>
      <c r="G69" s="229" t="s">
        <v>6195</v>
      </c>
      <c r="H69" s="226">
        <v>100.0</v>
      </c>
      <c r="I69" s="217" t="str">
        <f>IFERROR(__xludf.DUMMYFUNCTION("""COMPUTED_VALUE"""),"AS-ST-PL-100")</f>
        <v>AS-ST-PL-100</v>
      </c>
      <c r="J69" s="228">
        <v>4.33</v>
      </c>
      <c r="K69" s="219">
        <v>0.04</v>
      </c>
      <c r="L69" s="226" t="s">
        <v>8815</v>
      </c>
      <c r="M69" s="226"/>
      <c r="N69" s="124"/>
      <c r="O69" s="124"/>
      <c r="P69" s="226" t="s">
        <v>4846</v>
      </c>
      <c r="Q69" s="124"/>
      <c r="R69" s="21" t="s">
        <v>22</v>
      </c>
      <c r="S69" s="124"/>
      <c r="T69" s="124"/>
      <c r="U69" s="124"/>
      <c r="V69" s="124"/>
      <c r="W69" s="124"/>
      <c r="X69" s="124"/>
    </row>
    <row r="70">
      <c r="A70" s="227">
        <v>45958.0</v>
      </c>
      <c r="B70" s="226" t="s">
        <v>6266</v>
      </c>
      <c r="C70" s="226" t="s">
        <v>8818</v>
      </c>
      <c r="D70" s="226" t="s">
        <v>8784</v>
      </c>
      <c r="E70" s="226"/>
      <c r="F70" s="226" t="s">
        <v>8800</v>
      </c>
      <c r="G70" s="229" t="s">
        <v>6195</v>
      </c>
      <c r="H70" s="226">
        <v>100.0</v>
      </c>
      <c r="I70" s="217" t="str">
        <f>IFERROR(__xludf.DUMMYFUNCTION("""COMPUTED_VALUE"""),"ZX-ST-PL-100")</f>
        <v>ZX-ST-PL-100</v>
      </c>
      <c r="J70" s="228">
        <v>2.54</v>
      </c>
      <c r="K70" s="219">
        <v>0.03</v>
      </c>
      <c r="L70" s="226" t="s">
        <v>8815</v>
      </c>
      <c r="M70" s="226"/>
      <c r="N70" s="124"/>
      <c r="O70" s="124"/>
      <c r="P70" s="226" t="s">
        <v>4848</v>
      </c>
      <c r="Q70" s="124"/>
      <c r="R70" s="21" t="s">
        <v>22</v>
      </c>
      <c r="S70" s="124"/>
      <c r="T70" s="124"/>
      <c r="U70" s="124"/>
      <c r="V70" s="124"/>
      <c r="W70" s="124"/>
      <c r="X70" s="124"/>
    </row>
    <row r="71">
      <c r="A71" s="227">
        <v>45958.0</v>
      </c>
      <c r="B71" s="226" t="s">
        <v>6266</v>
      </c>
      <c r="C71" s="226" t="s">
        <v>8819</v>
      </c>
      <c r="D71" s="226" t="s">
        <v>8784</v>
      </c>
      <c r="E71" s="226"/>
      <c r="F71" s="226" t="s">
        <v>1111</v>
      </c>
      <c r="G71" s="229" t="s">
        <v>6195</v>
      </c>
      <c r="H71" s="226">
        <v>100.0</v>
      </c>
      <c r="I71" s="217" t="str">
        <f>IFERROR(__xludf.DUMMYFUNCTION("""COMPUTED_VALUE"""),"ZW-ST-PLA-100")</f>
        <v>ZW-ST-PLA-100</v>
      </c>
      <c r="J71" s="228">
        <v>2.45</v>
      </c>
      <c r="K71" s="219">
        <v>0.02</v>
      </c>
      <c r="L71" s="226" t="s">
        <v>8815</v>
      </c>
      <c r="M71" s="226"/>
      <c r="N71" s="124"/>
      <c r="O71" s="124"/>
      <c r="P71" s="226" t="s">
        <v>4850</v>
      </c>
      <c r="Q71" s="124"/>
      <c r="R71" s="21" t="s">
        <v>22</v>
      </c>
      <c r="S71" s="124"/>
      <c r="T71" s="124"/>
      <c r="U71" s="124"/>
      <c r="V71" s="124"/>
      <c r="W71" s="124"/>
      <c r="X71" s="124"/>
    </row>
    <row r="72">
      <c r="A72" s="227">
        <v>45958.0</v>
      </c>
      <c r="B72" s="226" t="s">
        <v>6266</v>
      </c>
      <c r="C72" s="226" t="s">
        <v>8820</v>
      </c>
      <c r="D72" s="226" t="s">
        <v>4049</v>
      </c>
      <c r="E72" s="124"/>
      <c r="F72" s="226" t="s">
        <v>1111</v>
      </c>
      <c r="G72" s="229" t="s">
        <v>6195</v>
      </c>
      <c r="H72" s="226">
        <v>7.0</v>
      </c>
      <c r="I72" s="217" t="str">
        <f>IFERROR(__xludf.DUMMYFUNCTION("""COMPUTED_VALUE"""),"FS-KC-PLA-7")</f>
        <v>FS-KC-PLA-7</v>
      </c>
      <c r="J72" s="228">
        <v>3.96</v>
      </c>
      <c r="K72" s="219">
        <v>0.57</v>
      </c>
      <c r="L72" s="226" t="s">
        <v>8815</v>
      </c>
      <c r="M72" s="229" t="s">
        <v>691</v>
      </c>
      <c r="N72" s="124"/>
      <c r="O72" s="124"/>
      <c r="P72" s="226" t="s">
        <v>4852</v>
      </c>
      <c r="Q72" s="124"/>
      <c r="R72" s="21" t="s">
        <v>22</v>
      </c>
      <c r="S72" s="124"/>
      <c r="T72" s="124"/>
      <c r="U72" s="124"/>
      <c r="V72" s="124"/>
      <c r="W72" s="124"/>
      <c r="X72" s="124"/>
    </row>
    <row r="73">
      <c r="A73" s="227">
        <v>45958.0</v>
      </c>
      <c r="B73" s="226" t="s">
        <v>6266</v>
      </c>
      <c r="C73" s="226" t="s">
        <v>8821</v>
      </c>
      <c r="D73" s="226" t="s">
        <v>8822</v>
      </c>
      <c r="E73" s="124"/>
      <c r="F73" s="226" t="s">
        <v>1111</v>
      </c>
      <c r="G73" s="229" t="s">
        <v>6195</v>
      </c>
      <c r="H73" s="226">
        <v>12.0</v>
      </c>
      <c r="I73" s="217" t="str">
        <f>IFERROR(__xludf.DUMMYFUNCTION("""COMPUTED_VALUE"""),"AN-DE-PLA-12")</f>
        <v>AN-DE-PLA-12</v>
      </c>
      <c r="J73" s="228">
        <v>4.72</v>
      </c>
      <c r="K73" s="219">
        <v>0.39</v>
      </c>
      <c r="L73" s="226" t="s">
        <v>8815</v>
      </c>
      <c r="M73" s="226"/>
      <c r="N73" s="124"/>
      <c r="O73" s="124"/>
      <c r="P73" s="226" t="s">
        <v>4854</v>
      </c>
      <c r="Q73" s="124"/>
      <c r="R73" s="21" t="s">
        <v>22</v>
      </c>
      <c r="S73" s="124"/>
      <c r="T73" s="124"/>
      <c r="U73" s="124"/>
      <c r="V73" s="124"/>
      <c r="W73" s="124"/>
      <c r="X73" s="124"/>
    </row>
    <row r="74">
      <c r="A74" s="227">
        <v>45928.0</v>
      </c>
      <c r="B74" s="226" t="s">
        <v>6266</v>
      </c>
      <c r="C74" s="226" t="s">
        <v>8823</v>
      </c>
      <c r="D74" s="226" t="s">
        <v>8824</v>
      </c>
      <c r="E74" s="124"/>
      <c r="F74" s="226" t="s">
        <v>8800</v>
      </c>
      <c r="G74" s="229" t="s">
        <v>6195</v>
      </c>
      <c r="H74" s="226">
        <v>1.0</v>
      </c>
      <c r="I74" s="217" t="str">
        <f>IFERROR(__xludf.DUMMYFUNCTION("""COMPUTED_VALUE"""),"CM-CK-PL-1")</f>
        <v>CM-CK-PL-1</v>
      </c>
      <c r="J74" s="228">
        <v>10.8</v>
      </c>
      <c r="K74" s="219">
        <v>10.8</v>
      </c>
      <c r="L74" s="226" t="s">
        <v>8815</v>
      </c>
      <c r="M74" s="226"/>
      <c r="N74" s="124"/>
      <c r="O74" s="124"/>
      <c r="P74" s="226" t="s">
        <v>4856</v>
      </c>
      <c r="Q74" s="124"/>
      <c r="R74" s="21" t="s">
        <v>22</v>
      </c>
      <c r="S74" s="124"/>
      <c r="T74" s="124"/>
      <c r="U74" s="124"/>
      <c r="V74" s="124"/>
      <c r="W74" s="124"/>
      <c r="X74" s="124"/>
    </row>
    <row r="75">
      <c r="A75" s="227">
        <v>45951.0</v>
      </c>
      <c r="B75" s="226" t="s">
        <v>6266</v>
      </c>
      <c r="C75" s="226" t="s">
        <v>8825</v>
      </c>
      <c r="D75" s="226" t="s">
        <v>8824</v>
      </c>
      <c r="E75" s="124"/>
      <c r="F75" s="226" t="s">
        <v>1111</v>
      </c>
      <c r="G75" s="229" t="s">
        <v>6195</v>
      </c>
      <c r="H75" s="226">
        <v>1.0</v>
      </c>
      <c r="I75" s="217" t="str">
        <f>IFERROR(__xludf.DUMMYFUNCTION("""COMPUTED_VALUE"""),"YCS-CK-PLA-1")</f>
        <v>YCS-CK-PLA-1</v>
      </c>
      <c r="J75" s="228">
        <v>51.2</v>
      </c>
      <c r="K75" s="219">
        <v>51.2</v>
      </c>
      <c r="L75" s="226" t="s">
        <v>8815</v>
      </c>
      <c r="M75" s="226"/>
      <c r="N75" s="124"/>
      <c r="O75" s="124"/>
      <c r="P75" s="226" t="s">
        <v>4858</v>
      </c>
      <c r="Q75" s="124"/>
      <c r="R75" s="21" t="s">
        <v>22</v>
      </c>
      <c r="S75" s="124"/>
      <c r="T75" s="124"/>
      <c r="U75" s="124"/>
      <c r="V75" s="124"/>
      <c r="W75" s="124"/>
      <c r="X75" s="124"/>
    </row>
    <row r="76">
      <c r="A76" s="227"/>
      <c r="B76" s="226"/>
      <c r="C76" s="226"/>
      <c r="D76" s="226"/>
      <c r="E76" s="226"/>
      <c r="F76" s="226"/>
      <c r="G76" s="226"/>
      <c r="H76" s="226"/>
      <c r="I76" s="217" t="str">
        <f>IFERROR(__xludf.DUMMYFUNCTION("""COMPUTED_VALUE"""),"")</f>
        <v/>
      </c>
      <c r="J76" s="228"/>
      <c r="K76" s="219"/>
      <c r="L76" s="226"/>
      <c r="M76" s="226"/>
      <c r="N76" s="124"/>
      <c r="O76" s="124"/>
      <c r="P76" s="226"/>
      <c r="Q76" s="124"/>
      <c r="R76" s="21" t="s">
        <v>22</v>
      </c>
      <c r="S76" s="124"/>
      <c r="T76" s="124"/>
      <c r="U76" s="124"/>
      <c r="V76" s="124"/>
      <c r="W76" s="124"/>
      <c r="X76" s="124"/>
    </row>
    <row r="77">
      <c r="A77" s="227">
        <v>45964.0</v>
      </c>
      <c r="B77" s="226" t="s">
        <v>117</v>
      </c>
      <c r="C77" s="226" t="s">
        <v>8826</v>
      </c>
      <c r="D77" s="226" t="s">
        <v>8827</v>
      </c>
      <c r="E77" s="124"/>
      <c r="F77" s="226" t="s">
        <v>8828</v>
      </c>
      <c r="G77" s="229" t="s">
        <v>6195</v>
      </c>
      <c r="H77" s="226">
        <v>3.0</v>
      </c>
      <c r="I77" s="217" t="str">
        <f>IFERROR(__xludf.DUMMYFUNCTION("""COMPUTED_VALUE"""),"UN-PA-HPA-3")</f>
        <v>UN-PA-HPA-3</v>
      </c>
      <c r="J77" s="228">
        <v>16.99</v>
      </c>
      <c r="K77" s="219">
        <v>5.66</v>
      </c>
      <c r="L77" s="226" t="s">
        <v>8753</v>
      </c>
      <c r="M77" s="229" t="s">
        <v>1152</v>
      </c>
      <c r="N77" s="124"/>
      <c r="O77" s="124"/>
      <c r="P77" s="226" t="s">
        <v>4860</v>
      </c>
      <c r="Q77" s="124"/>
      <c r="R77" s="21" t="s">
        <v>22</v>
      </c>
      <c r="S77" s="124"/>
      <c r="T77" s="124"/>
      <c r="U77" s="124"/>
      <c r="V77" s="124"/>
      <c r="W77" s="124"/>
      <c r="X77" s="124"/>
    </row>
    <row r="78">
      <c r="A78" s="227">
        <v>45928.0</v>
      </c>
      <c r="B78" s="226" t="s">
        <v>6266</v>
      </c>
      <c r="C78" s="226" t="s">
        <v>8829</v>
      </c>
      <c r="D78" s="226" t="s">
        <v>8748</v>
      </c>
      <c r="E78" s="226" t="s">
        <v>5956</v>
      </c>
      <c r="F78" s="226" t="s">
        <v>8752</v>
      </c>
      <c r="G78" s="229" t="s">
        <v>6195</v>
      </c>
      <c r="H78" s="226">
        <v>50.0</v>
      </c>
      <c r="I78" s="217" t="str">
        <f>IFERROR(__xludf.DUMMYFUNCTION("""COMPUTED_VALUE"""),"MU-PO-3-MU-1")</f>
        <v>MU-PO-3-MU-1</v>
      </c>
      <c r="J78" s="228">
        <v>23.73</v>
      </c>
      <c r="K78" s="219">
        <v>0.47</v>
      </c>
      <c r="L78" s="226" t="s">
        <v>8815</v>
      </c>
      <c r="M78" s="229" t="s">
        <v>691</v>
      </c>
      <c r="N78" s="226"/>
      <c r="O78" s="124"/>
      <c r="P78" s="226" t="s">
        <v>4862</v>
      </c>
      <c r="Q78" s="124"/>
      <c r="R78" s="21" t="s">
        <v>22</v>
      </c>
      <c r="S78" s="124"/>
      <c r="T78" s="124"/>
      <c r="U78" s="124"/>
      <c r="V78" s="124"/>
      <c r="W78" s="124"/>
      <c r="X78" s="124"/>
    </row>
    <row r="79">
      <c r="A79" s="227">
        <v>45938.0</v>
      </c>
      <c r="B79" s="226" t="s">
        <v>46</v>
      </c>
      <c r="C79" s="226" t="s">
        <v>8808</v>
      </c>
      <c r="D79" s="226" t="s">
        <v>8748</v>
      </c>
      <c r="E79" s="226" t="s">
        <v>8352</v>
      </c>
      <c r="F79" s="226" t="s">
        <v>8810</v>
      </c>
      <c r="G79" s="229" t="s">
        <v>6195</v>
      </c>
      <c r="H79" s="226">
        <v>1.0</v>
      </c>
      <c r="I79" s="217" t="str">
        <f>IFERROR(__xludf.DUMMYFUNCTION("""COMPUTED_VALUE"""),"ST-PO-5-NU-1")</f>
        <v>ST-PO-5-NU-1</v>
      </c>
      <c r="J79" s="228">
        <v>0.0</v>
      </c>
      <c r="K79" s="219">
        <v>0.0</v>
      </c>
      <c r="L79" s="226" t="s">
        <v>46</v>
      </c>
      <c r="M79" s="226" t="s">
        <v>46</v>
      </c>
      <c r="N79" s="124"/>
      <c r="O79" s="124"/>
      <c r="P79" s="226" t="s">
        <v>4864</v>
      </c>
      <c r="Q79" s="124"/>
      <c r="R79" s="21" t="s">
        <v>22</v>
      </c>
      <c r="S79" s="124"/>
      <c r="T79" s="124"/>
      <c r="U79" s="124"/>
      <c r="V79" s="124"/>
      <c r="W79" s="124"/>
      <c r="X79" s="124"/>
    </row>
    <row r="80">
      <c r="A80" s="227">
        <v>45986.0</v>
      </c>
      <c r="B80" s="226" t="s">
        <v>6068</v>
      </c>
      <c r="C80" s="226" t="s">
        <v>8826</v>
      </c>
      <c r="D80" s="226" t="s">
        <v>8827</v>
      </c>
      <c r="E80" s="124"/>
      <c r="F80" s="226" t="s">
        <v>8828</v>
      </c>
      <c r="G80" s="229" t="s">
        <v>6195</v>
      </c>
      <c r="H80" s="226">
        <v>10.0</v>
      </c>
      <c r="I80" s="217" t="str">
        <f>IFERROR(__xludf.DUMMYFUNCTION("""COMPUTED_VALUE"""),"UN-PA-HPA-10")</f>
        <v>UN-PA-HPA-10</v>
      </c>
      <c r="J80" s="228">
        <v>19.0</v>
      </c>
      <c r="K80" s="219">
        <v>1.9</v>
      </c>
      <c r="L80" s="226" t="s">
        <v>8815</v>
      </c>
      <c r="M80" s="229" t="s">
        <v>691</v>
      </c>
      <c r="N80" s="124"/>
      <c r="O80" s="124"/>
      <c r="P80" s="226" t="s">
        <v>4866</v>
      </c>
      <c r="Q80" s="124"/>
      <c r="R80" s="21" t="s">
        <v>22</v>
      </c>
      <c r="S80" s="124"/>
      <c r="T80" s="124"/>
      <c r="U80" s="124"/>
      <c r="V80" s="124"/>
      <c r="W80" s="124"/>
      <c r="X80" s="124"/>
    </row>
    <row r="81">
      <c r="A81" s="227"/>
      <c r="B81" s="226"/>
      <c r="C81" s="226"/>
      <c r="D81" s="226"/>
      <c r="E81" s="226"/>
      <c r="F81" s="226"/>
      <c r="G81" s="226"/>
      <c r="H81" s="226"/>
      <c r="I81" s="217" t="str">
        <f>IFERROR(__xludf.DUMMYFUNCTION("""COMPUTED_VALUE"""),"")</f>
        <v/>
      </c>
      <c r="J81" s="228"/>
      <c r="K81" s="219"/>
      <c r="L81" s="226"/>
      <c r="M81" s="226"/>
      <c r="N81" s="226"/>
      <c r="O81" s="124"/>
      <c r="P81" s="226"/>
      <c r="Q81" s="124"/>
      <c r="R81" s="21" t="s">
        <v>22</v>
      </c>
      <c r="S81" s="124"/>
      <c r="T81" s="124"/>
      <c r="U81" s="124"/>
      <c r="V81" s="124"/>
      <c r="W81" s="124"/>
      <c r="X81" s="124"/>
    </row>
    <row r="82">
      <c r="A82" s="227"/>
      <c r="B82" s="226"/>
      <c r="C82" s="226"/>
      <c r="D82" s="226"/>
      <c r="E82" s="226"/>
      <c r="F82" s="226"/>
      <c r="G82" s="226"/>
      <c r="H82" s="226"/>
      <c r="I82" s="217" t="str">
        <f>IFERROR(__xludf.DUMMYFUNCTION("""COMPUTED_VALUE"""),"")</f>
        <v/>
      </c>
      <c r="J82" s="228"/>
      <c r="K82" s="219"/>
      <c r="L82" s="226"/>
      <c r="M82" s="226"/>
      <c r="N82" s="124"/>
      <c r="O82" s="124"/>
      <c r="P82" s="226"/>
      <c r="Q82" s="124"/>
      <c r="R82" s="21" t="s">
        <v>22</v>
      </c>
      <c r="S82" s="124"/>
      <c r="T82" s="124"/>
      <c r="U82" s="124"/>
      <c r="V82" s="124"/>
      <c r="W82" s="124"/>
      <c r="X82" s="124"/>
    </row>
    <row r="83">
      <c r="A83" s="227"/>
      <c r="B83" s="226"/>
      <c r="C83" s="226"/>
      <c r="D83" s="226"/>
      <c r="E83" s="226"/>
      <c r="F83" s="226"/>
      <c r="G83" s="226"/>
      <c r="H83" s="226"/>
      <c r="I83" s="217" t="str">
        <f>IFERROR(__xludf.DUMMYFUNCTION("""COMPUTED_VALUE"""),"")</f>
        <v/>
      </c>
      <c r="J83" s="228"/>
      <c r="K83" s="219"/>
      <c r="L83" s="226"/>
      <c r="M83" s="226"/>
      <c r="N83" s="124"/>
      <c r="O83" s="124"/>
      <c r="P83" s="226"/>
      <c r="Q83" s="124"/>
      <c r="R83" s="21" t="s">
        <v>22</v>
      </c>
      <c r="S83" s="124"/>
      <c r="T83" s="124"/>
      <c r="U83" s="124"/>
      <c r="V83" s="124"/>
      <c r="W83" s="124"/>
      <c r="X83" s="124"/>
    </row>
    <row r="84">
      <c r="A84" s="227">
        <v>45958.0</v>
      </c>
      <c r="B84" s="226" t="s">
        <v>6266</v>
      </c>
      <c r="C84" s="226" t="s">
        <v>8830</v>
      </c>
      <c r="D84" s="226" t="s">
        <v>8784</v>
      </c>
      <c r="E84" s="124"/>
      <c r="F84" s="226" t="s">
        <v>8800</v>
      </c>
      <c r="G84" s="229" t="s">
        <v>6195</v>
      </c>
      <c r="H84" s="226">
        <v>50.0</v>
      </c>
      <c r="I84" s="217" t="str">
        <f>IFERROR(__xludf.DUMMYFUNCTION("""COMPUTED_VALUE"""),"PS-ST-PL-50")</f>
        <v>PS-ST-PL-50</v>
      </c>
      <c r="J84" s="228">
        <v>2.06</v>
      </c>
      <c r="K84" s="219">
        <v>0.04</v>
      </c>
      <c r="L84" s="226" t="s">
        <v>8815</v>
      </c>
      <c r="M84" s="229" t="s">
        <v>691</v>
      </c>
      <c r="N84" s="124"/>
      <c r="O84" s="124"/>
      <c r="P84" s="226" t="s">
        <v>4868</v>
      </c>
      <c r="Q84" s="124"/>
      <c r="R84" s="21" t="s">
        <v>22</v>
      </c>
      <c r="S84" s="124"/>
      <c r="T84" s="124"/>
      <c r="U84" s="124"/>
      <c r="V84" s="124"/>
      <c r="W84" s="124"/>
      <c r="X84" s="124"/>
    </row>
    <row r="85">
      <c r="A85" s="227"/>
      <c r="B85" s="226"/>
      <c r="C85" s="226"/>
      <c r="D85" s="226"/>
      <c r="E85" s="124"/>
      <c r="F85" s="226"/>
      <c r="G85" s="226"/>
      <c r="H85" s="226"/>
      <c r="I85" s="217" t="str">
        <f>IFERROR(__xludf.DUMMYFUNCTION("""COMPUTED_VALUE"""),"")</f>
        <v/>
      </c>
      <c r="J85" s="228"/>
      <c r="K85" s="219"/>
      <c r="L85" s="226"/>
      <c r="M85" s="226"/>
      <c r="N85" s="124"/>
      <c r="O85" s="124"/>
      <c r="P85" s="226"/>
      <c r="Q85" s="124"/>
      <c r="R85" s="21" t="s">
        <v>22</v>
      </c>
      <c r="S85" s="124"/>
      <c r="T85" s="124"/>
      <c r="U85" s="124"/>
      <c r="V85" s="124"/>
      <c r="W85" s="124"/>
      <c r="X85" s="124"/>
    </row>
    <row r="86">
      <c r="A86" s="227"/>
      <c r="B86" s="226"/>
      <c r="C86" s="226"/>
      <c r="D86" s="226"/>
      <c r="E86" s="124"/>
      <c r="F86" s="226"/>
      <c r="G86" s="226"/>
      <c r="H86" s="226"/>
      <c r="I86" s="217" t="str">
        <f>IFERROR(__xludf.DUMMYFUNCTION("""COMPUTED_VALUE"""),"")</f>
        <v/>
      </c>
      <c r="J86" s="228"/>
      <c r="K86" s="219"/>
      <c r="L86" s="226"/>
      <c r="M86" s="226"/>
      <c r="N86" s="124"/>
      <c r="O86" s="124"/>
      <c r="P86" s="226"/>
      <c r="Q86" s="124"/>
      <c r="R86" s="21" t="s">
        <v>22</v>
      </c>
      <c r="S86" s="124"/>
      <c r="T86" s="124"/>
      <c r="U86" s="124"/>
      <c r="V86" s="124"/>
      <c r="W86" s="124"/>
      <c r="X86" s="124"/>
    </row>
    <row r="87">
      <c r="A87" s="227">
        <v>46004.0</v>
      </c>
      <c r="B87" s="226" t="s">
        <v>6102</v>
      </c>
      <c r="C87" s="226" t="s">
        <v>6102</v>
      </c>
      <c r="D87" s="226" t="s">
        <v>6601</v>
      </c>
      <c r="E87" s="124"/>
      <c r="F87" s="226" t="s">
        <v>111</v>
      </c>
      <c r="G87" s="229" t="s">
        <v>6195</v>
      </c>
      <c r="H87" s="226">
        <v>4.0</v>
      </c>
      <c r="I87" s="217" t="str">
        <f>IFERROR(__xludf.DUMMYFUNCTION("""COMPUTED_VALUE"""),"BS-SO-HO-1")</f>
        <v>BS-SO-HO-1</v>
      </c>
      <c r="J87" s="228">
        <v>16.66</v>
      </c>
      <c r="K87" s="219">
        <v>4.17</v>
      </c>
      <c r="L87" s="226" t="s">
        <v>46</v>
      </c>
      <c r="M87" s="226" t="s">
        <v>46</v>
      </c>
      <c r="N87" s="124"/>
      <c r="O87" s="124"/>
      <c r="P87" s="226" t="s">
        <v>4870</v>
      </c>
      <c r="Q87" s="226">
        <v>16.0</v>
      </c>
      <c r="R87" s="21" t="s">
        <v>22</v>
      </c>
      <c r="S87" s="124"/>
      <c r="T87" s="124"/>
      <c r="U87" s="124"/>
      <c r="V87" s="124"/>
      <c r="W87" s="124"/>
      <c r="X87" s="124"/>
    </row>
    <row r="88">
      <c r="A88" s="227">
        <v>46004.0</v>
      </c>
      <c r="B88" s="226" t="s">
        <v>6102</v>
      </c>
      <c r="C88" s="226" t="s">
        <v>6102</v>
      </c>
      <c r="D88" s="226" t="s">
        <v>6601</v>
      </c>
      <c r="E88" s="124"/>
      <c r="F88" s="226" t="s">
        <v>8831</v>
      </c>
      <c r="G88" s="229" t="s">
        <v>6195</v>
      </c>
      <c r="H88" s="226">
        <v>4.5</v>
      </c>
      <c r="I88" s="217" t="str">
        <f>IFERROR(__xludf.DUMMYFUNCTION("""COMPUTED_VALUE"""),"BS-SO-ACM-1")</f>
        <v>BS-SO-ACM-1</v>
      </c>
      <c r="J88" s="228">
        <v>30.65</v>
      </c>
      <c r="K88" s="219">
        <v>6.81</v>
      </c>
      <c r="L88" s="226" t="s">
        <v>46</v>
      </c>
      <c r="M88" s="226" t="s">
        <v>46</v>
      </c>
      <c r="N88" s="124"/>
      <c r="O88" s="124"/>
      <c r="P88" s="226" t="s">
        <v>4872</v>
      </c>
      <c r="Q88" s="226">
        <v>22.0</v>
      </c>
      <c r="R88" s="21" t="s">
        <v>22</v>
      </c>
      <c r="S88" s="124"/>
      <c r="T88" s="124"/>
      <c r="U88" s="124"/>
      <c r="V88" s="124"/>
      <c r="W88" s="124"/>
      <c r="X88" s="124"/>
    </row>
    <row r="89">
      <c r="A89" s="227">
        <v>46004.0</v>
      </c>
      <c r="B89" s="226" t="s">
        <v>6102</v>
      </c>
      <c r="C89" s="226" t="s">
        <v>6102</v>
      </c>
      <c r="D89" s="226" t="s">
        <v>6601</v>
      </c>
      <c r="E89" s="124"/>
      <c r="F89" s="226" t="s">
        <v>64</v>
      </c>
      <c r="G89" s="229" t="s">
        <v>6195</v>
      </c>
      <c r="H89" s="226">
        <v>6.0</v>
      </c>
      <c r="I89" s="217" t="str">
        <f>IFERROR(__xludf.DUMMYFUNCTION("""COMPUTED_VALUE"""),"BS-SO-AL-1")</f>
        <v>BS-SO-AL-1</v>
      </c>
      <c r="J89" s="228">
        <v>27.25</v>
      </c>
      <c r="K89" s="219">
        <v>4.54</v>
      </c>
      <c r="L89" s="226" t="s">
        <v>46</v>
      </c>
      <c r="M89" s="226" t="s">
        <v>46</v>
      </c>
      <c r="N89" s="124"/>
      <c r="O89" s="124"/>
      <c r="P89" s="226" t="s">
        <v>4874</v>
      </c>
      <c r="Q89" s="226">
        <v>18.0</v>
      </c>
      <c r="R89" s="21" t="s">
        <v>22</v>
      </c>
      <c r="S89" s="124"/>
      <c r="T89" s="124"/>
      <c r="U89" s="124"/>
      <c r="V89" s="124"/>
      <c r="W89" s="124"/>
      <c r="X89" s="124"/>
    </row>
    <row r="90">
      <c r="A90" s="227">
        <v>46004.0</v>
      </c>
      <c r="B90" s="226" t="s">
        <v>6102</v>
      </c>
      <c r="C90" s="226" t="s">
        <v>6102</v>
      </c>
      <c r="D90" s="226" t="s">
        <v>6601</v>
      </c>
      <c r="E90" s="124"/>
      <c r="F90" s="226" t="s">
        <v>8832</v>
      </c>
      <c r="G90" s="229" t="s">
        <v>6195</v>
      </c>
      <c r="H90" s="226">
        <v>3.75</v>
      </c>
      <c r="I90" s="217" t="str">
        <f>IFERROR(__xludf.DUMMYFUNCTION("""COMPUTED_VALUE"""),"BS-SO-CA-1")</f>
        <v>BS-SO-CA-1</v>
      </c>
      <c r="J90" s="228">
        <v>23.61</v>
      </c>
      <c r="K90" s="219">
        <v>6.3</v>
      </c>
      <c r="L90" s="226" t="s">
        <v>46</v>
      </c>
      <c r="M90" s="226" t="s">
        <v>46</v>
      </c>
      <c r="N90" s="124"/>
      <c r="O90" s="124"/>
      <c r="P90" s="226" t="s">
        <v>4876</v>
      </c>
      <c r="Q90" s="226">
        <v>18.0</v>
      </c>
      <c r="R90" s="21" t="s">
        <v>22</v>
      </c>
      <c r="S90" s="124"/>
      <c r="T90" s="124"/>
      <c r="U90" s="124"/>
      <c r="V90" s="124"/>
      <c r="W90" s="124"/>
      <c r="X90" s="124"/>
    </row>
    <row r="91">
      <c r="A91" s="227">
        <v>46004.0</v>
      </c>
      <c r="B91" s="226" t="s">
        <v>6102</v>
      </c>
      <c r="C91" s="226" t="s">
        <v>6102</v>
      </c>
      <c r="D91" s="226" t="s">
        <v>6601</v>
      </c>
      <c r="E91" s="124"/>
      <c r="F91" s="226" t="s">
        <v>8833</v>
      </c>
      <c r="G91" s="229" t="s">
        <v>6195</v>
      </c>
      <c r="H91" s="226">
        <v>5.5</v>
      </c>
      <c r="I91" s="217" t="str">
        <f>IFERROR(__xludf.DUMMYFUNCTION("""COMPUTED_VALUE"""),"BS-SO-FRM-1")</f>
        <v>BS-SO-FRM-1</v>
      </c>
      <c r="J91" s="228">
        <v>30.58</v>
      </c>
      <c r="K91" s="219">
        <v>5.56</v>
      </c>
      <c r="L91" s="226" t="s">
        <v>46</v>
      </c>
      <c r="M91" s="226" t="s">
        <v>46</v>
      </c>
      <c r="N91" s="124"/>
      <c r="O91" s="124"/>
      <c r="P91" s="226" t="s">
        <v>4878</v>
      </c>
      <c r="Q91" s="226">
        <v>20.0</v>
      </c>
      <c r="R91" s="21" t="s">
        <v>22</v>
      </c>
      <c r="S91" s="124"/>
      <c r="T91" s="124"/>
      <c r="U91" s="124"/>
      <c r="V91" s="124"/>
      <c r="W91" s="124"/>
      <c r="X91" s="124"/>
    </row>
    <row r="92">
      <c r="A92" s="227">
        <v>46009.0</v>
      </c>
      <c r="B92" s="226" t="s">
        <v>6068</v>
      </c>
      <c r="C92" s="226" t="s">
        <v>8834</v>
      </c>
      <c r="D92" s="226" t="s">
        <v>4049</v>
      </c>
      <c r="E92" s="124"/>
      <c r="F92" s="226" t="s">
        <v>991</v>
      </c>
      <c r="G92" s="229" t="s">
        <v>6195</v>
      </c>
      <c r="H92" s="226">
        <v>1.0</v>
      </c>
      <c r="I92" s="217" t="str">
        <f>IFERROR(__xludf.DUMMYFUNCTION("""COMPUTED_VALUE"""),"SDW-KC-BU-1")</f>
        <v>SDW-KC-BU-1</v>
      </c>
      <c r="J92" s="228">
        <v>2.49</v>
      </c>
      <c r="K92" s="219">
        <v>2.49</v>
      </c>
      <c r="L92" s="226" t="s">
        <v>8753</v>
      </c>
      <c r="M92" s="229" t="s">
        <v>93</v>
      </c>
      <c r="N92" s="226"/>
      <c r="O92" s="124"/>
      <c r="P92" s="226" t="s">
        <v>4880</v>
      </c>
      <c r="Q92" s="226">
        <v>5.39</v>
      </c>
      <c r="R92" s="21" t="s">
        <v>22</v>
      </c>
      <c r="S92" s="124"/>
      <c r="T92" s="124"/>
      <c r="U92" s="124"/>
      <c r="V92" s="124"/>
      <c r="W92" s="124"/>
      <c r="X92" s="124"/>
    </row>
    <row r="93">
      <c r="A93" s="227">
        <v>46009.0</v>
      </c>
      <c r="B93" s="226" t="s">
        <v>6068</v>
      </c>
      <c r="C93" s="226" t="s">
        <v>8834</v>
      </c>
      <c r="D93" s="226" t="s">
        <v>4049</v>
      </c>
      <c r="E93" s="124"/>
      <c r="F93" s="226" t="s">
        <v>8835</v>
      </c>
      <c r="G93" s="229" t="s">
        <v>6195</v>
      </c>
      <c r="H93" s="226">
        <v>4.0</v>
      </c>
      <c r="I93" s="217" t="str">
        <f>IFERROR(__xludf.DUMMYFUNCTION("""COMPUTED_VALUE"""),"SDW-KC-LT-4")</f>
        <v>SDW-KC-LT-4</v>
      </c>
      <c r="J93" s="228">
        <v>10.28</v>
      </c>
      <c r="K93" s="219">
        <v>2.57</v>
      </c>
      <c r="L93" s="226" t="s">
        <v>8753</v>
      </c>
      <c r="M93" s="229" t="s">
        <v>93</v>
      </c>
      <c r="N93" s="226"/>
      <c r="O93" s="124"/>
      <c r="P93" s="226" t="s">
        <v>4882</v>
      </c>
      <c r="Q93" s="226">
        <v>5.39</v>
      </c>
      <c r="R93" s="21" t="s">
        <v>22</v>
      </c>
      <c r="S93" s="124"/>
      <c r="T93" s="124"/>
      <c r="U93" s="124"/>
      <c r="V93" s="124"/>
      <c r="W93" s="124"/>
      <c r="X93" s="124"/>
    </row>
    <row r="94">
      <c r="A94" s="227">
        <v>46009.0</v>
      </c>
      <c r="B94" s="226" t="s">
        <v>6068</v>
      </c>
      <c r="C94" s="226" t="s">
        <v>8834</v>
      </c>
      <c r="D94" s="226" t="s">
        <v>4049</v>
      </c>
      <c r="E94" s="124"/>
      <c r="F94" s="226" t="s">
        <v>8836</v>
      </c>
      <c r="G94" s="229" t="s">
        <v>6195</v>
      </c>
      <c r="H94" s="226">
        <v>5.0</v>
      </c>
      <c r="I94" s="217" t="str">
        <f>IFERROR(__xludf.DUMMYFUNCTION("""COMPUTED_VALUE"""),"SDW-KC-LM-5")</f>
        <v>SDW-KC-LM-5</v>
      </c>
      <c r="J94" s="228">
        <v>15.7</v>
      </c>
      <c r="K94" s="219">
        <v>3.14</v>
      </c>
      <c r="L94" s="226" t="s">
        <v>8753</v>
      </c>
      <c r="M94" s="229" t="s">
        <v>93</v>
      </c>
      <c r="N94" s="226"/>
      <c r="O94" s="124"/>
      <c r="P94" s="229" t="s">
        <v>4884</v>
      </c>
      <c r="Q94" s="226">
        <v>6.74</v>
      </c>
      <c r="R94" s="21" t="s">
        <v>22</v>
      </c>
      <c r="S94" s="124"/>
      <c r="T94" s="124"/>
      <c r="U94" s="124"/>
      <c r="V94" s="124"/>
      <c r="W94" s="124"/>
      <c r="X94" s="124"/>
    </row>
    <row r="95">
      <c r="A95" s="227">
        <v>46009.0</v>
      </c>
      <c r="B95" s="226" t="s">
        <v>6068</v>
      </c>
      <c r="C95" s="226" t="s">
        <v>8834</v>
      </c>
      <c r="D95" s="226" t="s">
        <v>4049</v>
      </c>
      <c r="E95" s="124"/>
      <c r="F95" s="226" t="s">
        <v>8837</v>
      </c>
      <c r="G95" s="229" t="s">
        <v>6195</v>
      </c>
      <c r="H95" s="226">
        <v>5.0</v>
      </c>
      <c r="I95" s="217" t="str">
        <f>IFERROR(__xludf.DUMMYFUNCTION("""COMPUTED_VALUE"""),"SDW-KC-QB-5")</f>
        <v>SDW-KC-QB-5</v>
      </c>
      <c r="J95" s="228">
        <v>12.85</v>
      </c>
      <c r="K95" s="219">
        <v>2.57</v>
      </c>
      <c r="L95" s="226" t="s">
        <v>8753</v>
      </c>
      <c r="M95" s="229" t="s">
        <v>93</v>
      </c>
      <c r="N95" s="124"/>
      <c r="O95" s="124"/>
      <c r="P95" s="226" t="s">
        <v>4886</v>
      </c>
      <c r="Q95" s="226">
        <v>6.74</v>
      </c>
      <c r="R95" s="21" t="s">
        <v>22</v>
      </c>
      <c r="S95" s="124"/>
      <c r="T95" s="124"/>
      <c r="U95" s="124"/>
      <c r="V95" s="124"/>
      <c r="W95" s="124"/>
      <c r="X95" s="124"/>
    </row>
    <row r="96">
      <c r="A96" s="227">
        <v>46009.0</v>
      </c>
      <c r="B96" s="226" t="s">
        <v>6068</v>
      </c>
      <c r="C96" s="226" t="s">
        <v>8834</v>
      </c>
      <c r="D96" s="226" t="s">
        <v>4049</v>
      </c>
      <c r="E96" s="124"/>
      <c r="F96" s="226" t="s">
        <v>8838</v>
      </c>
      <c r="G96" s="229" t="s">
        <v>6195</v>
      </c>
      <c r="H96" s="226">
        <v>5.0</v>
      </c>
      <c r="I96" s="217" t="str">
        <f>IFERROR(__xludf.DUMMYFUNCTION("""COMPUTED_VALUE"""),"SDW-KC-LF-5")</f>
        <v>SDW-KC-LF-5</v>
      </c>
      <c r="J96" s="228">
        <v>12.85</v>
      </c>
      <c r="K96" s="219">
        <v>2.57</v>
      </c>
      <c r="L96" s="226" t="s">
        <v>8753</v>
      </c>
      <c r="M96" s="229" t="s">
        <v>93</v>
      </c>
      <c r="N96" s="124"/>
      <c r="O96" s="124"/>
      <c r="P96" s="226" t="s">
        <v>4888</v>
      </c>
      <c r="Q96" s="226">
        <v>5.39</v>
      </c>
      <c r="R96" s="21" t="s">
        <v>22</v>
      </c>
      <c r="S96" s="124"/>
      <c r="T96" s="124"/>
      <c r="U96" s="124"/>
      <c r="V96" s="124"/>
      <c r="W96" s="124"/>
      <c r="X96" s="124"/>
    </row>
    <row r="97">
      <c r="A97" s="227">
        <v>46009.0</v>
      </c>
      <c r="B97" s="226" t="s">
        <v>6068</v>
      </c>
      <c r="C97" s="226" t="s">
        <v>8834</v>
      </c>
      <c r="D97" s="226" t="s">
        <v>4049</v>
      </c>
      <c r="E97" s="124"/>
      <c r="F97" s="226" t="s">
        <v>8839</v>
      </c>
      <c r="G97" s="229" t="s">
        <v>6195</v>
      </c>
      <c r="H97" s="226">
        <v>5.0</v>
      </c>
      <c r="I97" s="217" t="str">
        <f>IFERROR(__xludf.DUMMYFUNCTION("""COMPUTED_VALUE"""),"SDW-KC-RO-5")</f>
        <v>SDW-KC-RO-5</v>
      </c>
      <c r="J97" s="228">
        <v>15.7</v>
      </c>
      <c r="K97" s="219">
        <v>3.14</v>
      </c>
      <c r="L97" s="226" t="s">
        <v>8753</v>
      </c>
      <c r="M97" s="229" t="s">
        <v>93</v>
      </c>
      <c r="N97" s="124"/>
      <c r="O97" s="124"/>
      <c r="P97" s="226" t="s">
        <v>4890</v>
      </c>
      <c r="Q97" s="226">
        <v>6.74</v>
      </c>
      <c r="R97" s="21" t="s">
        <v>22</v>
      </c>
      <c r="S97" s="124"/>
      <c r="T97" s="124"/>
      <c r="U97" s="124"/>
      <c r="V97" s="124"/>
      <c r="W97" s="124"/>
      <c r="X97" s="124"/>
    </row>
    <row r="98">
      <c r="A98" s="227">
        <v>46009.0</v>
      </c>
      <c r="B98" s="226" t="s">
        <v>6068</v>
      </c>
      <c r="C98" s="226" t="s">
        <v>8834</v>
      </c>
      <c r="D98" s="226" t="s">
        <v>8840</v>
      </c>
      <c r="E98" s="124"/>
      <c r="F98" s="226" t="s">
        <v>7184</v>
      </c>
      <c r="G98" s="229" t="s">
        <v>6195</v>
      </c>
      <c r="H98" s="226">
        <v>5.0</v>
      </c>
      <c r="I98" s="217" t="str">
        <f>IFERROR(__xludf.DUMMYFUNCTION("""COMPUTED_VALUE"""),"SDW-PM-GL-5")</f>
        <v>SDW-PM-GL-5</v>
      </c>
      <c r="J98" s="228">
        <v>18.9</v>
      </c>
      <c r="K98" s="219">
        <v>3.78</v>
      </c>
      <c r="L98" s="226" t="s">
        <v>8753</v>
      </c>
      <c r="M98" s="229" t="s">
        <v>93</v>
      </c>
      <c r="N98" s="124"/>
      <c r="O98" s="124"/>
      <c r="P98" s="226" t="s">
        <v>4892</v>
      </c>
      <c r="Q98" s="124"/>
      <c r="R98" s="21" t="s">
        <v>22</v>
      </c>
      <c r="S98" s="124"/>
      <c r="T98" s="124"/>
      <c r="U98" s="124"/>
      <c r="V98" s="124"/>
      <c r="W98" s="124"/>
      <c r="X98" s="124"/>
    </row>
    <row r="99">
      <c r="A99" s="227">
        <v>46009.0</v>
      </c>
      <c r="B99" s="226" t="s">
        <v>6068</v>
      </c>
      <c r="C99" s="226" t="s">
        <v>8834</v>
      </c>
      <c r="D99" s="226" t="s">
        <v>8748</v>
      </c>
      <c r="E99" s="226" t="s">
        <v>5963</v>
      </c>
      <c r="F99" s="226" t="s">
        <v>8841</v>
      </c>
      <c r="G99" s="229" t="s">
        <v>6195</v>
      </c>
      <c r="H99" s="226">
        <v>3.0</v>
      </c>
      <c r="I99" s="217" t="str">
        <f>IFERROR(__xludf.DUMMYFUNCTION("""COMPUTED_VALUE"""),"SDW-PO-4.3-DF-1")</f>
        <v>SDW-PO-4.3-DF-1</v>
      </c>
      <c r="J99" s="228">
        <v>19.11</v>
      </c>
      <c r="K99" s="219">
        <v>6.37</v>
      </c>
      <c r="L99" s="226" t="s">
        <v>8753</v>
      </c>
      <c r="M99" s="229" t="s">
        <v>93</v>
      </c>
      <c r="N99" s="124"/>
      <c r="O99" s="124"/>
      <c r="P99" s="226" t="s">
        <v>4894</v>
      </c>
      <c r="Q99" s="226">
        <v>15.0</v>
      </c>
      <c r="R99" s="21" t="s">
        <v>22</v>
      </c>
      <c r="S99" s="124"/>
      <c r="T99" s="124"/>
      <c r="U99" s="124"/>
      <c r="V99" s="124"/>
      <c r="W99" s="124"/>
      <c r="X99" s="124"/>
    </row>
    <row r="100">
      <c r="A100" s="227">
        <v>46009.0</v>
      </c>
      <c r="B100" s="226" t="s">
        <v>6068</v>
      </c>
      <c r="C100" s="226" t="s">
        <v>8834</v>
      </c>
      <c r="D100" s="226" t="s">
        <v>8842</v>
      </c>
      <c r="E100" s="124"/>
      <c r="F100" s="226" t="s">
        <v>8843</v>
      </c>
      <c r="G100" s="229" t="s">
        <v>6195</v>
      </c>
      <c r="H100" s="226">
        <v>18.0</v>
      </c>
      <c r="I100" s="217" t="str">
        <f>IFERROR(__xludf.DUMMYFUNCTION("""COMPUTED_VALUE"""),"SDW-WS-WTW-18")</f>
        <v>SDW-WS-WTW-18</v>
      </c>
      <c r="J100" s="228">
        <v>15.84</v>
      </c>
      <c r="K100" s="219">
        <v>0.88</v>
      </c>
      <c r="L100" s="226" t="s">
        <v>8753</v>
      </c>
      <c r="M100" s="229" t="s">
        <v>93</v>
      </c>
      <c r="N100" s="124"/>
      <c r="O100" s="124"/>
      <c r="P100" s="226" t="s">
        <v>4896</v>
      </c>
      <c r="Q100" s="124"/>
      <c r="R100" s="21" t="s">
        <v>22</v>
      </c>
      <c r="S100" s="124"/>
      <c r="T100" s="124"/>
      <c r="U100" s="124"/>
      <c r="V100" s="124"/>
      <c r="W100" s="124"/>
      <c r="X100" s="124"/>
    </row>
    <row r="101">
      <c r="A101" s="227">
        <v>46021.0</v>
      </c>
      <c r="B101" s="226" t="s">
        <v>8844</v>
      </c>
      <c r="C101" s="226" t="s">
        <v>8844</v>
      </c>
      <c r="D101" s="226" t="s">
        <v>8748</v>
      </c>
      <c r="E101" s="226" t="s">
        <v>8352</v>
      </c>
      <c r="F101" s="226" t="s">
        <v>8845</v>
      </c>
      <c r="G101" s="229" t="s">
        <v>6195</v>
      </c>
      <c r="H101" s="226">
        <v>8.0</v>
      </c>
      <c r="I101" s="217" t="str">
        <f>IFERROR(__xludf.DUMMYFUNCTION("""COMPUTED_VALUE"""),"NR-PO-5-BP-1")</f>
        <v>NR-PO-5-BP-1</v>
      </c>
      <c r="J101" s="228">
        <v>43.46</v>
      </c>
      <c r="K101" s="219">
        <v>5.43</v>
      </c>
      <c r="L101" s="226" t="s">
        <v>8815</v>
      </c>
      <c r="M101" s="229" t="s">
        <v>691</v>
      </c>
      <c r="N101" s="124"/>
      <c r="O101" s="124"/>
      <c r="P101" s="226" t="s">
        <v>4898</v>
      </c>
      <c r="Q101" s="226">
        <v>15.0</v>
      </c>
      <c r="R101" s="21" t="s">
        <v>22</v>
      </c>
      <c r="S101" s="124"/>
      <c r="T101" s="124"/>
      <c r="U101" s="124"/>
      <c r="V101" s="124"/>
      <c r="W101" s="124"/>
      <c r="X101" s="124"/>
    </row>
    <row r="102">
      <c r="A102" s="227">
        <v>46021.0</v>
      </c>
      <c r="B102" s="226" t="s">
        <v>8844</v>
      </c>
      <c r="C102" s="226" t="s">
        <v>8844</v>
      </c>
      <c r="D102" s="226" t="s">
        <v>8748</v>
      </c>
      <c r="E102" s="226" t="s">
        <v>5956</v>
      </c>
      <c r="F102" s="226" t="s">
        <v>8845</v>
      </c>
      <c r="G102" s="229" t="s">
        <v>6195</v>
      </c>
      <c r="H102" s="226">
        <v>12.0</v>
      </c>
      <c r="I102" s="217" t="str">
        <f>IFERROR(__xludf.DUMMYFUNCTION("""COMPUTED_VALUE"""),"NR-PO-3-BP-1")</f>
        <v>NR-PO-3-BP-1</v>
      </c>
      <c r="J102" s="228">
        <v>54.32</v>
      </c>
      <c r="K102" s="219">
        <v>4.53</v>
      </c>
      <c r="L102" s="226" t="s">
        <v>8815</v>
      </c>
      <c r="M102" s="229" t="s">
        <v>691</v>
      </c>
      <c r="N102" s="124"/>
      <c r="O102" s="124"/>
      <c r="P102" s="226" t="s">
        <v>4900</v>
      </c>
      <c r="Q102" s="226">
        <v>10.0</v>
      </c>
      <c r="R102" s="21" t="s">
        <v>22</v>
      </c>
      <c r="S102" s="124"/>
      <c r="T102" s="124"/>
      <c r="U102" s="124"/>
      <c r="V102" s="124"/>
      <c r="W102" s="124"/>
      <c r="X102" s="124"/>
    </row>
    <row r="103">
      <c r="A103" s="227">
        <v>46021.0</v>
      </c>
      <c r="B103" s="226" t="s">
        <v>8844</v>
      </c>
      <c r="C103" s="226" t="s">
        <v>8844</v>
      </c>
      <c r="D103" s="226" t="s">
        <v>8748</v>
      </c>
      <c r="E103" s="226" t="s">
        <v>8354</v>
      </c>
      <c r="F103" s="226" t="s">
        <v>8845</v>
      </c>
      <c r="G103" s="229" t="s">
        <v>6195</v>
      </c>
      <c r="H103" s="226">
        <v>8.0</v>
      </c>
      <c r="I103" s="217" t="str">
        <f>IFERROR(__xludf.DUMMYFUNCTION("""COMPUTED_VALUE"""),"NR-PO-8-BP-1")</f>
        <v>NR-PO-8-BP-1</v>
      </c>
      <c r="J103" s="228">
        <v>90.32</v>
      </c>
      <c r="K103" s="219">
        <v>11.29</v>
      </c>
      <c r="L103" s="226" t="s">
        <v>8815</v>
      </c>
      <c r="M103" s="229" t="s">
        <v>691</v>
      </c>
      <c r="N103" s="124"/>
      <c r="O103" s="124"/>
      <c r="P103" s="226" t="s">
        <v>4902</v>
      </c>
      <c r="Q103" s="226">
        <v>25.0</v>
      </c>
      <c r="R103" s="21" t="s">
        <v>22</v>
      </c>
      <c r="S103" s="124"/>
      <c r="T103" s="124"/>
      <c r="U103" s="124"/>
      <c r="V103" s="124"/>
      <c r="W103" s="124"/>
      <c r="X103" s="124"/>
    </row>
    <row r="104">
      <c r="A104" s="227">
        <v>46087.0</v>
      </c>
      <c r="B104" s="226" t="s">
        <v>6102</v>
      </c>
      <c r="C104" s="226" t="s">
        <v>6102</v>
      </c>
      <c r="D104" s="226" t="s">
        <v>6601</v>
      </c>
      <c r="E104" s="226"/>
      <c r="F104" s="226" t="s">
        <v>8846</v>
      </c>
      <c r="G104" s="229" t="s">
        <v>6195</v>
      </c>
      <c r="H104" s="226">
        <v>6.25</v>
      </c>
      <c r="I104" s="217" t="str">
        <f>IFERROR(__xludf.DUMMYFUNCTION("""COMPUTED_VALUE"""),"BS-SO-SS-1")</f>
        <v>BS-SO-SS-1</v>
      </c>
      <c r="J104" s="228">
        <v>26.75</v>
      </c>
      <c r="K104" s="219">
        <v>4.28</v>
      </c>
      <c r="L104" s="226" t="s">
        <v>8815</v>
      </c>
      <c r="M104" s="229" t="s">
        <v>691</v>
      </c>
      <c r="N104" s="124"/>
      <c r="O104" s="124"/>
      <c r="P104" s="226" t="s">
        <v>4904</v>
      </c>
      <c r="Q104" s="226">
        <v>12.0</v>
      </c>
      <c r="R104" s="21" t="s">
        <v>22</v>
      </c>
      <c r="S104" s="124"/>
      <c r="T104" s="124"/>
      <c r="U104" s="124"/>
      <c r="V104" s="124"/>
      <c r="W104" s="124"/>
      <c r="X104" s="124"/>
    </row>
    <row r="105">
      <c r="A105" s="227"/>
      <c r="B105" s="226"/>
      <c r="C105" s="226"/>
      <c r="D105" s="226"/>
      <c r="E105" s="124"/>
      <c r="F105" s="226"/>
      <c r="G105" s="226"/>
      <c r="H105" s="226"/>
      <c r="I105" s="217" t="str">
        <f>IFERROR(__xludf.DUMMYFUNCTION("""COMPUTED_VALUE"""),"")</f>
        <v/>
      </c>
      <c r="J105" s="228"/>
      <c r="K105" s="219"/>
      <c r="L105" s="226"/>
      <c r="M105" s="226"/>
      <c r="N105" s="226"/>
      <c r="O105" s="124"/>
      <c r="P105" s="226"/>
      <c r="Q105" s="124"/>
      <c r="R105" s="21"/>
      <c r="S105" s="124"/>
      <c r="T105" s="124"/>
      <c r="U105" s="124"/>
      <c r="V105" s="124"/>
      <c r="W105" s="124"/>
      <c r="X105" s="124"/>
    </row>
    <row r="106">
      <c r="A106" s="227"/>
      <c r="B106" s="226"/>
      <c r="C106" s="226"/>
      <c r="D106" s="226"/>
      <c r="E106" s="124"/>
      <c r="F106" s="226"/>
      <c r="G106" s="226"/>
      <c r="H106" s="226"/>
      <c r="I106" s="217" t="str">
        <f>IFERROR(__xludf.DUMMYFUNCTION("""COMPUTED_VALUE"""),"")</f>
        <v/>
      </c>
      <c r="J106" s="228"/>
      <c r="K106" s="219"/>
      <c r="L106" s="226"/>
      <c r="M106" s="226"/>
      <c r="N106" s="226"/>
      <c r="O106" s="124"/>
      <c r="P106" s="226"/>
      <c r="Q106" s="124"/>
      <c r="R106" s="21"/>
      <c r="S106" s="124"/>
      <c r="T106" s="124"/>
      <c r="U106" s="124"/>
      <c r="V106" s="124"/>
      <c r="W106" s="124"/>
      <c r="X106" s="124"/>
    </row>
    <row r="107">
      <c r="A107" s="227"/>
      <c r="B107" s="226"/>
      <c r="C107" s="226"/>
      <c r="D107" s="226"/>
      <c r="E107" s="226"/>
      <c r="F107" s="226"/>
      <c r="G107" s="226"/>
      <c r="H107" s="226"/>
      <c r="I107" s="217" t="str">
        <f>IFERROR(__xludf.DUMMYFUNCTION("""COMPUTED_VALUE"""),"")</f>
        <v/>
      </c>
      <c r="J107" s="228"/>
      <c r="K107" s="219"/>
      <c r="L107" s="226"/>
      <c r="M107" s="226"/>
      <c r="N107" s="226"/>
      <c r="O107" s="124"/>
      <c r="P107" s="226"/>
      <c r="Q107" s="124"/>
      <c r="R107" s="21"/>
      <c r="S107" s="124"/>
      <c r="T107" s="124"/>
      <c r="U107" s="124"/>
      <c r="V107" s="124"/>
      <c r="W107" s="124"/>
      <c r="X107" s="124"/>
    </row>
    <row r="108">
      <c r="A108" s="227">
        <v>46097.0</v>
      </c>
      <c r="B108" s="226" t="s">
        <v>117</v>
      </c>
      <c r="C108" s="226" t="s">
        <v>8847</v>
      </c>
      <c r="D108" s="226" t="s">
        <v>8848</v>
      </c>
      <c r="E108" s="226" t="s">
        <v>8849</v>
      </c>
      <c r="F108" s="226" t="s">
        <v>8850</v>
      </c>
      <c r="G108" s="229" t="s">
        <v>6195</v>
      </c>
      <c r="H108" s="226">
        <v>6.0</v>
      </c>
      <c r="I108" s="217" t="str">
        <f>IFERROR(__xludf.DUMMYFUNCTION("""COMPUTED_VALUE"""),"SU-PS-12-MS-6")</f>
        <v>SU-PS-12-MS-6</v>
      </c>
      <c r="J108" s="228">
        <v>15.01</v>
      </c>
      <c r="K108" s="219">
        <v>2.5</v>
      </c>
      <c r="L108" s="226" t="s">
        <v>1140</v>
      </c>
      <c r="M108" s="229" t="s">
        <v>6553</v>
      </c>
      <c r="N108" s="124"/>
      <c r="O108" s="124"/>
      <c r="P108" s="226" t="s">
        <v>4906</v>
      </c>
      <c r="Q108" s="124"/>
      <c r="R108" s="21" t="s">
        <v>22</v>
      </c>
      <c r="S108" s="124"/>
      <c r="T108" s="124"/>
      <c r="U108" s="124"/>
      <c r="V108" s="124"/>
      <c r="W108" s="124"/>
      <c r="X108" s="124"/>
    </row>
    <row r="109">
      <c r="A109" s="227">
        <v>46086.0</v>
      </c>
      <c r="B109" s="226" t="s">
        <v>8851</v>
      </c>
      <c r="C109" s="226" t="s">
        <v>8847</v>
      </c>
      <c r="D109" s="226" t="s">
        <v>8848</v>
      </c>
      <c r="E109" s="226" t="s">
        <v>8852</v>
      </c>
      <c r="F109" s="226" t="s">
        <v>8853</v>
      </c>
      <c r="G109" s="229" t="s">
        <v>8854</v>
      </c>
      <c r="H109" s="226">
        <v>3.0</v>
      </c>
      <c r="I109" s="217" t="str">
        <f>IFERROR(__xludf.DUMMYFUNCTION("""COMPUTED_VALUE"""),"SU-PS-16-MP-3")</f>
        <v>SU-PS-16-MP-3</v>
      </c>
      <c r="J109" s="228">
        <v>53.97</v>
      </c>
      <c r="K109" s="219">
        <v>17.99</v>
      </c>
      <c r="L109" s="226" t="s">
        <v>8815</v>
      </c>
      <c r="M109" s="229" t="s">
        <v>691</v>
      </c>
      <c r="N109" s="124"/>
      <c r="O109" s="124"/>
      <c r="P109" s="226" t="s">
        <v>4908</v>
      </c>
      <c r="Q109" s="124"/>
      <c r="R109" s="21" t="s">
        <v>22</v>
      </c>
      <c r="S109" s="124"/>
      <c r="T109" s="124"/>
      <c r="U109" s="124"/>
      <c r="V109" s="124"/>
      <c r="W109" s="124"/>
      <c r="X109" s="124"/>
    </row>
    <row r="110">
      <c r="A110" s="227">
        <v>46099.0</v>
      </c>
      <c r="B110" s="226" t="s">
        <v>8844</v>
      </c>
      <c r="C110" s="226" t="s">
        <v>8844</v>
      </c>
      <c r="D110" s="226" t="s">
        <v>8748</v>
      </c>
      <c r="E110" s="226" t="s">
        <v>5956</v>
      </c>
      <c r="F110" s="226" t="s">
        <v>8855</v>
      </c>
      <c r="G110" s="229" t="s">
        <v>6195</v>
      </c>
      <c r="H110" s="226">
        <v>12.0</v>
      </c>
      <c r="I110" s="217" t="str">
        <f>IFERROR(__xludf.DUMMYFUNCTION("""COMPUTED_VALUE"""),"NR-PO-3-TBP-1")</f>
        <v>NR-PO-3-TBP-1</v>
      </c>
      <c r="J110" s="228">
        <v>57.6</v>
      </c>
      <c r="K110" s="219">
        <v>4.8</v>
      </c>
      <c r="L110" s="226" t="s">
        <v>8815</v>
      </c>
      <c r="M110" s="229" t="s">
        <v>691</v>
      </c>
      <c r="N110" s="226" t="s">
        <v>8856</v>
      </c>
      <c r="O110" s="124"/>
      <c r="P110" s="226" t="s">
        <v>4910</v>
      </c>
      <c r="Q110" s="226">
        <v>10.0</v>
      </c>
      <c r="R110" s="21" t="s">
        <v>22</v>
      </c>
      <c r="S110" s="124"/>
      <c r="T110" s="124"/>
      <c r="U110" s="124"/>
      <c r="V110" s="124"/>
      <c r="W110" s="124"/>
      <c r="X110" s="124"/>
    </row>
    <row r="111">
      <c r="A111" s="227">
        <v>46099.0</v>
      </c>
      <c r="B111" s="226" t="s">
        <v>8844</v>
      </c>
      <c r="C111" s="226" t="s">
        <v>8844</v>
      </c>
      <c r="D111" s="226" t="s">
        <v>8748</v>
      </c>
      <c r="E111" s="226" t="s">
        <v>8352</v>
      </c>
      <c r="F111" s="226" t="s">
        <v>8855</v>
      </c>
      <c r="G111" s="229" t="s">
        <v>6195</v>
      </c>
      <c r="H111" s="226">
        <v>8.0</v>
      </c>
      <c r="I111" s="217" t="str">
        <f>IFERROR(__xludf.DUMMYFUNCTION("""COMPUTED_VALUE"""),"NR-PO-5-TBP-1")</f>
        <v>NR-PO-5-TBP-1</v>
      </c>
      <c r="J111" s="228">
        <v>46.4</v>
      </c>
      <c r="K111" s="219">
        <v>5.8</v>
      </c>
      <c r="L111" s="226" t="s">
        <v>8815</v>
      </c>
      <c r="M111" s="229" t="s">
        <v>691</v>
      </c>
      <c r="N111" s="124"/>
      <c r="O111" s="124"/>
      <c r="P111" s="226" t="s">
        <v>4912</v>
      </c>
      <c r="Q111" s="226">
        <v>15.0</v>
      </c>
      <c r="R111" s="21" t="s">
        <v>22</v>
      </c>
      <c r="S111" s="124"/>
      <c r="T111" s="124"/>
      <c r="U111" s="124"/>
      <c r="V111" s="124"/>
      <c r="W111" s="124"/>
      <c r="X111" s="124"/>
    </row>
    <row r="112">
      <c r="A112" s="227">
        <v>46099.0</v>
      </c>
      <c r="B112" s="226" t="s">
        <v>8844</v>
      </c>
      <c r="C112" s="226" t="s">
        <v>8844</v>
      </c>
      <c r="D112" s="226" t="s">
        <v>8748</v>
      </c>
      <c r="E112" s="226" t="s">
        <v>8354</v>
      </c>
      <c r="F112" s="226" t="s">
        <v>8855</v>
      </c>
      <c r="G112" s="229" t="s">
        <v>6195</v>
      </c>
      <c r="H112" s="226">
        <v>8.0</v>
      </c>
      <c r="I112" s="217" t="str">
        <f>IFERROR(__xludf.DUMMYFUNCTION("""COMPUTED_VALUE"""),"NR-PO-8-TBP-1")</f>
        <v>NR-PO-8-TBP-1</v>
      </c>
      <c r="J112" s="228">
        <v>93.6</v>
      </c>
      <c r="K112" s="219">
        <v>11.7</v>
      </c>
      <c r="L112" s="226" t="s">
        <v>8815</v>
      </c>
      <c r="M112" s="229" t="s">
        <v>691</v>
      </c>
      <c r="N112" s="124"/>
      <c r="O112" s="124"/>
      <c r="P112" s="226" t="s">
        <v>4914</v>
      </c>
      <c r="Q112" s="226">
        <v>25.0</v>
      </c>
      <c r="R112" s="21" t="s">
        <v>22</v>
      </c>
      <c r="S112" s="124"/>
      <c r="T112" s="124"/>
      <c r="U112" s="124"/>
      <c r="V112" s="124"/>
      <c r="W112" s="124"/>
      <c r="X112" s="124"/>
    </row>
    <row r="113">
      <c r="A113" s="227">
        <v>46099.0</v>
      </c>
      <c r="B113" s="226" t="s">
        <v>8844</v>
      </c>
      <c r="C113" s="226" t="s">
        <v>8844</v>
      </c>
      <c r="D113" s="226" t="s">
        <v>8748</v>
      </c>
      <c r="E113" s="226" t="s">
        <v>5956</v>
      </c>
      <c r="F113" s="226" t="s">
        <v>8857</v>
      </c>
      <c r="G113" s="229" t="s">
        <v>6195</v>
      </c>
      <c r="H113" s="226">
        <v>12.0</v>
      </c>
      <c r="I113" s="217" t="str">
        <f>IFERROR(__xludf.DUMMYFUNCTION("""COMPUTED_VALUE"""),"NR-PO-3-PBP-1")</f>
        <v>NR-PO-3-PBP-1</v>
      </c>
      <c r="J113" s="228">
        <v>54.32</v>
      </c>
      <c r="K113" s="219">
        <v>4.53</v>
      </c>
      <c r="L113" s="226" t="s">
        <v>8815</v>
      </c>
      <c r="M113" s="229" t="s">
        <v>691</v>
      </c>
      <c r="N113" s="124"/>
      <c r="O113" s="124"/>
      <c r="P113" s="226" t="s">
        <v>4916</v>
      </c>
      <c r="Q113" s="226">
        <v>10.0</v>
      </c>
      <c r="R113" s="21" t="s">
        <v>22</v>
      </c>
      <c r="S113" s="124"/>
      <c r="T113" s="124"/>
      <c r="U113" s="124"/>
      <c r="V113" s="124"/>
      <c r="W113" s="124"/>
      <c r="X113" s="124"/>
    </row>
    <row r="114">
      <c r="A114" s="227">
        <v>46099.0</v>
      </c>
      <c r="B114" s="226" t="s">
        <v>8844</v>
      </c>
      <c r="C114" s="226" t="s">
        <v>8844</v>
      </c>
      <c r="D114" s="226" t="s">
        <v>8748</v>
      </c>
      <c r="E114" s="226" t="s">
        <v>8352</v>
      </c>
      <c r="F114" s="226" t="s">
        <v>8857</v>
      </c>
      <c r="G114" s="229" t="s">
        <v>6195</v>
      </c>
      <c r="H114" s="226">
        <v>8.0</v>
      </c>
      <c r="I114" s="217" t="str">
        <f>IFERROR(__xludf.DUMMYFUNCTION("""COMPUTED_VALUE"""),"NR-PO-5-PBP-1")</f>
        <v>NR-PO-5-PBP-1</v>
      </c>
      <c r="J114" s="228">
        <v>43.36</v>
      </c>
      <c r="K114" s="219">
        <v>5.42</v>
      </c>
      <c r="L114" s="226" t="s">
        <v>8815</v>
      </c>
      <c r="M114" s="229" t="s">
        <v>691</v>
      </c>
      <c r="N114" s="124"/>
      <c r="O114" s="124"/>
      <c r="P114" s="226" t="s">
        <v>4918</v>
      </c>
      <c r="Q114" s="226">
        <v>15.0</v>
      </c>
      <c r="R114" s="21" t="s">
        <v>22</v>
      </c>
      <c r="S114" s="124"/>
      <c r="T114" s="124"/>
      <c r="U114" s="124"/>
      <c r="V114" s="124"/>
      <c r="W114" s="124"/>
      <c r="X114" s="124"/>
    </row>
    <row r="115">
      <c r="A115" s="227">
        <v>46099.0</v>
      </c>
      <c r="B115" s="226" t="s">
        <v>8844</v>
      </c>
      <c r="C115" s="226" t="s">
        <v>8844</v>
      </c>
      <c r="D115" s="226" t="s">
        <v>8748</v>
      </c>
      <c r="E115" s="226" t="s">
        <v>8354</v>
      </c>
      <c r="F115" s="226" t="s">
        <v>8857</v>
      </c>
      <c r="G115" s="229" t="s">
        <v>6195</v>
      </c>
      <c r="H115" s="226">
        <v>8.0</v>
      </c>
      <c r="I115" s="217" t="str">
        <f>IFERROR(__xludf.DUMMYFUNCTION("""COMPUTED_VALUE"""),"NR-PO-8-PBP-1")</f>
        <v>NR-PO-8-PBP-1</v>
      </c>
      <c r="J115" s="228">
        <v>90.32</v>
      </c>
      <c r="K115" s="219">
        <v>11.29</v>
      </c>
      <c r="L115" s="226" t="s">
        <v>8815</v>
      </c>
      <c r="M115" s="229" t="s">
        <v>691</v>
      </c>
      <c r="N115" s="124"/>
      <c r="O115" s="124"/>
      <c r="P115" s="226" t="s">
        <v>4920</v>
      </c>
      <c r="Q115" s="226">
        <v>25.0</v>
      </c>
      <c r="R115" s="21" t="s">
        <v>22</v>
      </c>
      <c r="S115" s="124"/>
      <c r="T115" s="124"/>
      <c r="U115" s="124"/>
      <c r="V115" s="124"/>
      <c r="W115" s="124"/>
      <c r="X115" s="124"/>
    </row>
    <row r="116">
      <c r="A116" s="227">
        <v>46099.0</v>
      </c>
      <c r="B116" s="226" t="s">
        <v>46</v>
      </c>
      <c r="C116" s="226" t="s">
        <v>6102</v>
      </c>
      <c r="D116" s="226" t="s">
        <v>8748</v>
      </c>
      <c r="E116" s="226" t="s">
        <v>5967</v>
      </c>
      <c r="F116" s="226" t="s">
        <v>7184</v>
      </c>
      <c r="G116" s="229" t="s">
        <v>6195</v>
      </c>
      <c r="H116" s="226">
        <v>1.0</v>
      </c>
      <c r="I116" s="217" t="str">
        <f>IFERROR(__xludf.DUMMYFUNCTION("""COMPUTED_VALUE"""),"BS-PO-2-GL-1")</f>
        <v>BS-PO-2-GL-1</v>
      </c>
      <c r="J116" s="228">
        <v>0.0</v>
      </c>
      <c r="K116" s="219">
        <v>0.0</v>
      </c>
      <c r="L116" s="226" t="s">
        <v>46</v>
      </c>
      <c r="M116" s="226" t="s">
        <v>46</v>
      </c>
      <c r="N116" s="124"/>
      <c r="O116" s="124"/>
      <c r="P116" s="226" t="s">
        <v>4922</v>
      </c>
      <c r="Q116" s="124"/>
      <c r="R116" s="21" t="s">
        <v>22</v>
      </c>
      <c r="S116" s="124"/>
      <c r="T116" s="124"/>
      <c r="U116" s="124"/>
      <c r="V116" s="124"/>
      <c r="W116" s="124"/>
      <c r="X116" s="124"/>
    </row>
    <row r="117">
      <c r="A117" s="227">
        <v>46021.0</v>
      </c>
      <c r="B117" s="226" t="s">
        <v>8844</v>
      </c>
      <c r="C117" s="226" t="s">
        <v>8844</v>
      </c>
      <c r="D117" s="226" t="s">
        <v>8748</v>
      </c>
      <c r="E117" s="226" t="s">
        <v>8352</v>
      </c>
      <c r="F117" s="226" t="s">
        <v>8858</v>
      </c>
      <c r="G117" s="229" t="s">
        <v>6195</v>
      </c>
      <c r="H117" s="226">
        <v>1.0</v>
      </c>
      <c r="I117" s="217" t="str">
        <f>IFERROR(__xludf.DUMMYFUNCTION("""COMPUTED_VALUE"""),"NR-PO-5-SNB-1")</f>
        <v>NR-PO-5-SNB-1</v>
      </c>
      <c r="J117" s="228">
        <v>0.0</v>
      </c>
      <c r="K117" s="219">
        <v>0.0</v>
      </c>
      <c r="L117" s="226" t="s">
        <v>46</v>
      </c>
      <c r="M117" s="226" t="s">
        <v>46</v>
      </c>
      <c r="N117" s="124"/>
      <c r="O117" s="124"/>
      <c r="P117" s="226" t="s">
        <v>4924</v>
      </c>
      <c r="Q117" s="226">
        <v>15.0</v>
      </c>
      <c r="R117" s="21" t="s">
        <v>22</v>
      </c>
      <c r="S117" s="124"/>
      <c r="T117" s="124"/>
      <c r="U117" s="124"/>
      <c r="V117" s="124"/>
      <c r="W117" s="124"/>
      <c r="X117" s="124"/>
    </row>
    <row r="118">
      <c r="A118" s="227">
        <v>46104.0</v>
      </c>
      <c r="B118" s="226" t="s">
        <v>8844</v>
      </c>
      <c r="C118" s="226" t="s">
        <v>8844</v>
      </c>
      <c r="D118" s="226" t="s">
        <v>8748</v>
      </c>
      <c r="E118" s="226" t="s">
        <v>5956</v>
      </c>
      <c r="F118" s="226" t="s">
        <v>8858</v>
      </c>
      <c r="G118" s="229" t="s">
        <v>6195</v>
      </c>
      <c r="H118" s="226">
        <v>1.0</v>
      </c>
      <c r="I118" s="217" t="str">
        <f>IFERROR(__xludf.DUMMYFUNCTION("""COMPUTED_VALUE"""),"NR-PO-3-SNB-1")</f>
        <v>NR-PO-3-SNB-1</v>
      </c>
      <c r="J118" s="228">
        <v>0.0</v>
      </c>
      <c r="K118" s="219">
        <v>0.0</v>
      </c>
      <c r="L118" s="226" t="s">
        <v>46</v>
      </c>
      <c r="M118" s="226" t="s">
        <v>46</v>
      </c>
      <c r="N118" s="124"/>
      <c r="O118" s="124"/>
      <c r="P118" s="226" t="s">
        <v>4926</v>
      </c>
      <c r="Q118" s="226">
        <v>10.0</v>
      </c>
      <c r="R118" s="21" t="s">
        <v>22</v>
      </c>
      <c r="S118" s="124"/>
      <c r="T118" s="124"/>
      <c r="U118" s="124"/>
      <c r="V118" s="124"/>
      <c r="W118" s="124"/>
      <c r="X118" s="124"/>
    </row>
    <row r="119">
      <c r="A119" s="227">
        <v>46087.0</v>
      </c>
      <c r="B119" s="226" t="s">
        <v>6102</v>
      </c>
      <c r="C119" s="226" t="s">
        <v>6102</v>
      </c>
      <c r="D119" s="226" t="s">
        <v>8748</v>
      </c>
      <c r="E119" s="226" t="s">
        <v>8779</v>
      </c>
      <c r="F119" s="226" t="s">
        <v>8859</v>
      </c>
      <c r="G119" s="229" t="s">
        <v>6195</v>
      </c>
      <c r="H119" s="226">
        <v>1.0</v>
      </c>
      <c r="I119" s="217" t="str">
        <f>IFERROR(__xludf.DUMMYFUNCTION("""COMPUTED_VALUE"""),"BS-PO-LG-PB-1")</f>
        <v>BS-PO-LG-PB-1</v>
      </c>
      <c r="J119" s="228">
        <v>0.0</v>
      </c>
      <c r="K119" s="219">
        <v>0.0</v>
      </c>
      <c r="L119" s="226" t="s">
        <v>46</v>
      </c>
      <c r="M119" s="226" t="s">
        <v>46</v>
      </c>
      <c r="N119" s="124"/>
      <c r="O119" s="124"/>
      <c r="P119" s="226" t="s">
        <v>4928</v>
      </c>
      <c r="Q119" s="124"/>
      <c r="R119" s="21" t="s">
        <v>22</v>
      </c>
      <c r="S119" s="124"/>
      <c r="T119" s="124"/>
      <c r="U119" s="124"/>
      <c r="V119" s="124"/>
      <c r="W119" s="124"/>
      <c r="X119" s="124"/>
    </row>
    <row r="120">
      <c r="A120" s="227">
        <v>46105.0</v>
      </c>
      <c r="B120" s="226" t="s">
        <v>8860</v>
      </c>
      <c r="C120" s="226" t="s">
        <v>8860</v>
      </c>
      <c r="D120" s="226" t="s">
        <v>8748</v>
      </c>
      <c r="E120" s="226" t="s">
        <v>5956</v>
      </c>
      <c r="F120" s="226" t="s">
        <v>7184</v>
      </c>
      <c r="G120" s="229" t="s">
        <v>6195</v>
      </c>
      <c r="H120" s="226">
        <v>2.0</v>
      </c>
      <c r="I120" s="217" t="str">
        <f>IFERROR(__xludf.DUMMYFUNCTION("""COMPUTED_VALUE"""),"DT-PO-3-GL-1")</f>
        <v>DT-PO-3-GL-1</v>
      </c>
      <c r="J120" s="228">
        <v>2.5</v>
      </c>
      <c r="K120" s="219">
        <v>1.25</v>
      </c>
      <c r="L120" s="226" t="s">
        <v>1153</v>
      </c>
      <c r="M120" s="229" t="s">
        <v>8861</v>
      </c>
      <c r="N120" s="124"/>
      <c r="O120" s="124"/>
      <c r="P120" s="226" t="s">
        <v>4930</v>
      </c>
      <c r="Q120" s="229" t="s">
        <v>8862</v>
      </c>
      <c r="R120" s="21" t="s">
        <v>22</v>
      </c>
      <c r="S120" s="226" t="s">
        <v>8863</v>
      </c>
      <c r="T120" s="124"/>
      <c r="U120" s="124"/>
      <c r="V120" s="124"/>
      <c r="W120" s="124"/>
      <c r="X120" s="124"/>
    </row>
    <row r="121">
      <c r="A121" s="227">
        <v>46105.0</v>
      </c>
      <c r="B121" s="226" t="s">
        <v>8860</v>
      </c>
      <c r="C121" s="226" t="s">
        <v>8860</v>
      </c>
      <c r="D121" s="226" t="s">
        <v>8748</v>
      </c>
      <c r="E121" s="226" t="s">
        <v>5956</v>
      </c>
      <c r="F121" s="226" t="s">
        <v>7184</v>
      </c>
      <c r="G121" s="229" t="s">
        <v>6195</v>
      </c>
      <c r="H121" s="226">
        <v>2.0</v>
      </c>
      <c r="I121" s="217" t="str">
        <f>IFERROR(__xludf.DUMMYFUNCTION("""COMPUTED_VALUE"""),"DT-PO-3-GL-1")</f>
        <v>DT-PO-3-GL-1</v>
      </c>
      <c r="J121" s="228">
        <v>4.75</v>
      </c>
      <c r="K121" s="219">
        <v>2.38</v>
      </c>
      <c r="L121" s="226" t="s">
        <v>1153</v>
      </c>
      <c r="M121" s="229" t="s">
        <v>8861</v>
      </c>
      <c r="N121" s="124"/>
      <c r="O121" s="124"/>
      <c r="P121" s="226" t="s">
        <v>8864</v>
      </c>
      <c r="Q121" s="229" t="s">
        <v>8862</v>
      </c>
      <c r="R121" s="21" t="s">
        <v>22</v>
      </c>
      <c r="S121" s="226" t="s">
        <v>8865</v>
      </c>
      <c r="T121" s="124"/>
      <c r="U121" s="124"/>
      <c r="V121" s="124"/>
      <c r="W121" s="124"/>
      <c r="X121" s="124"/>
    </row>
    <row r="122">
      <c r="A122" s="227">
        <v>46105.0</v>
      </c>
      <c r="B122" s="226" t="s">
        <v>8860</v>
      </c>
      <c r="C122" s="226" t="s">
        <v>8860</v>
      </c>
      <c r="D122" s="226" t="s">
        <v>8748</v>
      </c>
      <c r="E122" s="226" t="s">
        <v>5970</v>
      </c>
      <c r="F122" s="226" t="s">
        <v>7184</v>
      </c>
      <c r="G122" s="229" t="s">
        <v>6195</v>
      </c>
      <c r="H122" s="226">
        <v>2.0</v>
      </c>
      <c r="I122" s="217" t="str">
        <f>IFERROR(__xludf.DUMMYFUNCTION("""COMPUTED_VALUE"""),"DT-PO-6-GL-1")</f>
        <v>DT-PO-6-GL-1</v>
      </c>
      <c r="J122" s="228">
        <v>10.0</v>
      </c>
      <c r="K122" s="219">
        <v>5.0</v>
      </c>
      <c r="L122" s="226" t="s">
        <v>1153</v>
      </c>
      <c r="M122" s="229" t="s">
        <v>8861</v>
      </c>
      <c r="N122" s="124"/>
      <c r="O122" s="124"/>
      <c r="P122" s="226" t="s">
        <v>4932</v>
      </c>
      <c r="Q122" s="229" t="s">
        <v>8866</v>
      </c>
      <c r="R122" s="21" t="s">
        <v>22</v>
      </c>
      <c r="S122" s="226" t="s">
        <v>8867</v>
      </c>
      <c r="T122" s="124"/>
      <c r="U122" s="124"/>
      <c r="V122" s="124"/>
      <c r="W122" s="124"/>
      <c r="X122" s="124"/>
    </row>
    <row r="123">
      <c r="A123" s="227">
        <v>46086.0</v>
      </c>
      <c r="B123" s="226" t="s">
        <v>6102</v>
      </c>
      <c r="C123" s="226" t="s">
        <v>6102</v>
      </c>
      <c r="D123" s="226" t="s">
        <v>6601</v>
      </c>
      <c r="E123" s="124"/>
      <c r="F123" s="226" t="s">
        <v>8831</v>
      </c>
      <c r="G123" s="229" t="s">
        <v>8854</v>
      </c>
      <c r="H123" s="226">
        <v>4.5</v>
      </c>
      <c r="I123" s="217" t="str">
        <f>IFERROR(__xludf.DUMMYFUNCTION("""COMPUTED_VALUE"""),"BS-SO-ACM-2")</f>
        <v>BS-SO-ACM-2</v>
      </c>
      <c r="J123" s="228">
        <v>17.51</v>
      </c>
      <c r="K123" s="219">
        <v>3.89</v>
      </c>
      <c r="L123" s="226" t="s">
        <v>8815</v>
      </c>
      <c r="M123" s="229" t="s">
        <v>691</v>
      </c>
      <c r="N123" s="124"/>
      <c r="O123" s="124"/>
      <c r="P123" s="226" t="s">
        <v>4934</v>
      </c>
      <c r="Q123" s="226">
        <v>22.0</v>
      </c>
      <c r="R123" s="21" t="s">
        <v>22</v>
      </c>
      <c r="S123" s="124"/>
      <c r="T123" s="124"/>
      <c r="U123" s="124"/>
      <c r="V123" s="124"/>
      <c r="W123" s="124"/>
      <c r="X123" s="124"/>
    </row>
    <row r="124">
      <c r="A124" s="227">
        <v>46100.0</v>
      </c>
      <c r="B124" s="226" t="s">
        <v>6102</v>
      </c>
      <c r="C124" s="226" t="s">
        <v>6102</v>
      </c>
      <c r="D124" s="226" t="s">
        <v>6601</v>
      </c>
      <c r="E124" s="124"/>
      <c r="F124" s="226" t="s">
        <v>8831</v>
      </c>
      <c r="G124" s="229" t="s">
        <v>8868</v>
      </c>
      <c r="H124" s="226">
        <v>9.0</v>
      </c>
      <c r="I124" s="217" t="str">
        <f>IFERROR(__xludf.DUMMYFUNCTION("""COMPUTED_VALUE"""),"BS-SO-ACM-4")</f>
        <v>BS-SO-ACM-4</v>
      </c>
      <c r="J124" s="228">
        <v>35.01</v>
      </c>
      <c r="K124" s="219">
        <v>3.89</v>
      </c>
      <c r="L124" s="226" t="s">
        <v>8815</v>
      </c>
      <c r="M124" s="229" t="s">
        <v>691</v>
      </c>
      <c r="N124" s="124"/>
      <c r="O124" s="124"/>
      <c r="P124" s="226" t="s">
        <v>4936</v>
      </c>
      <c r="Q124" s="226">
        <v>22.0</v>
      </c>
      <c r="R124" s="21" t="s">
        <v>22</v>
      </c>
      <c r="S124" s="124"/>
      <c r="T124" s="124"/>
      <c r="U124" s="124"/>
      <c r="V124" s="124"/>
      <c r="W124" s="124"/>
      <c r="X124" s="124"/>
    </row>
    <row r="125">
      <c r="A125" s="227"/>
      <c r="B125" s="226"/>
      <c r="C125" s="226"/>
      <c r="D125" s="226"/>
      <c r="E125" s="124"/>
      <c r="F125" s="226"/>
      <c r="G125" s="226"/>
      <c r="H125" s="226"/>
      <c r="I125" s="217" t="str">
        <f>IFERROR(__xludf.DUMMYFUNCTION("""COMPUTED_VALUE"""),"")</f>
        <v/>
      </c>
      <c r="J125" s="228"/>
      <c r="K125" s="219"/>
      <c r="L125" s="226"/>
      <c r="M125" s="226"/>
      <c r="N125" s="124"/>
      <c r="O125" s="124"/>
      <c r="P125" s="226"/>
      <c r="Q125" s="226"/>
      <c r="R125" s="21"/>
      <c r="S125" s="124"/>
      <c r="T125" s="124"/>
      <c r="U125" s="124"/>
      <c r="V125" s="124"/>
      <c r="W125" s="124"/>
      <c r="X125" s="124"/>
    </row>
    <row r="126">
      <c r="A126" s="227">
        <v>46106.0</v>
      </c>
      <c r="B126" s="226" t="s">
        <v>6102</v>
      </c>
      <c r="C126" s="226" t="s">
        <v>6102</v>
      </c>
      <c r="D126" s="226" t="s">
        <v>6601</v>
      </c>
      <c r="E126" s="124"/>
      <c r="F126" s="226" t="s">
        <v>8833</v>
      </c>
      <c r="G126" s="229" t="s">
        <v>8854</v>
      </c>
      <c r="H126" s="226">
        <v>11.0</v>
      </c>
      <c r="I126" s="217" t="str">
        <f>IFERROR(__xludf.DUMMYFUNCTION("""COMPUTED_VALUE"""),"BS-SO-FRM-2")</f>
        <v>BS-SO-FRM-2</v>
      </c>
      <c r="J126" s="228">
        <v>47.64</v>
      </c>
      <c r="K126" s="219">
        <v>4.33</v>
      </c>
      <c r="L126" s="226" t="s">
        <v>8815</v>
      </c>
      <c r="M126" s="229" t="s">
        <v>691</v>
      </c>
      <c r="N126" s="124"/>
      <c r="O126" s="124"/>
      <c r="P126" s="226" t="s">
        <v>4938</v>
      </c>
      <c r="Q126" s="226">
        <v>20.0</v>
      </c>
      <c r="R126" s="21" t="s">
        <v>22</v>
      </c>
      <c r="S126" s="124"/>
      <c r="T126" s="124"/>
      <c r="U126" s="124"/>
      <c r="V126" s="124"/>
      <c r="W126" s="124"/>
      <c r="X126" s="124"/>
    </row>
    <row r="127">
      <c r="A127" s="227">
        <v>46099.0</v>
      </c>
      <c r="B127" s="226" t="s">
        <v>6102</v>
      </c>
      <c r="C127" s="226" t="s">
        <v>6102</v>
      </c>
      <c r="D127" s="226" t="s">
        <v>6601</v>
      </c>
      <c r="E127" s="124"/>
      <c r="F127" s="226" t="s">
        <v>8831</v>
      </c>
      <c r="G127" s="229" t="s">
        <v>8869</v>
      </c>
      <c r="H127" s="226">
        <v>9.0</v>
      </c>
      <c r="I127" s="217" t="str">
        <f>IFERROR(__xludf.DUMMYFUNCTION("""COMPUTED_VALUE"""),"BS-SO-ACM-3")</f>
        <v>BS-SO-ACM-3</v>
      </c>
      <c r="J127" s="228">
        <v>35.01</v>
      </c>
      <c r="K127" s="219">
        <v>3.89</v>
      </c>
      <c r="L127" s="226" t="s">
        <v>8815</v>
      </c>
      <c r="M127" s="229" t="s">
        <v>691</v>
      </c>
      <c r="N127" s="124"/>
      <c r="O127" s="124"/>
      <c r="P127" s="226" t="s">
        <v>4940</v>
      </c>
      <c r="Q127" s="226">
        <v>22.0</v>
      </c>
      <c r="R127" s="21" t="s">
        <v>22</v>
      </c>
      <c r="S127" s="124"/>
      <c r="T127" s="124"/>
      <c r="U127" s="124"/>
      <c r="V127" s="124"/>
      <c r="W127" s="124"/>
      <c r="X127" s="124"/>
    </row>
    <row r="128">
      <c r="A128" s="227">
        <v>46107.0</v>
      </c>
      <c r="B128" s="226" t="s">
        <v>6102</v>
      </c>
      <c r="C128" s="226" t="s">
        <v>6102</v>
      </c>
      <c r="D128" s="226" t="s">
        <v>6601</v>
      </c>
      <c r="E128" s="124"/>
      <c r="F128" s="226" t="s">
        <v>8831</v>
      </c>
      <c r="G128" s="229" t="s">
        <v>8870</v>
      </c>
      <c r="H128" s="226">
        <v>9.0</v>
      </c>
      <c r="I128" s="217" t="str">
        <f>IFERROR(__xludf.DUMMYFUNCTION("""COMPUTED_VALUE"""),"BS-SO-ACM-5")</f>
        <v>BS-SO-ACM-5</v>
      </c>
      <c r="J128" s="228">
        <v>35.01</v>
      </c>
      <c r="K128" s="219">
        <v>3.89</v>
      </c>
      <c r="L128" s="226" t="s">
        <v>8815</v>
      </c>
      <c r="M128" s="229" t="s">
        <v>691</v>
      </c>
      <c r="N128" s="124"/>
      <c r="O128" s="124"/>
      <c r="P128" s="226" t="s">
        <v>4942</v>
      </c>
      <c r="Q128" s="226">
        <v>22.0</v>
      </c>
      <c r="R128" s="21" t="s">
        <v>22</v>
      </c>
      <c r="S128" s="124"/>
      <c r="T128" s="124"/>
      <c r="U128" s="124"/>
      <c r="V128" s="124"/>
      <c r="W128" s="124"/>
      <c r="X128" s="124"/>
    </row>
    <row r="129">
      <c r="A129" s="227">
        <v>46107.0</v>
      </c>
      <c r="B129" s="226" t="s">
        <v>6398</v>
      </c>
      <c r="C129" s="226" t="s">
        <v>8871</v>
      </c>
      <c r="D129" s="226" t="s">
        <v>8748</v>
      </c>
      <c r="E129" s="226" t="s">
        <v>5967</v>
      </c>
      <c r="F129" s="226" t="s">
        <v>7184</v>
      </c>
      <c r="G129" s="229" t="s">
        <v>6195</v>
      </c>
      <c r="H129" s="226">
        <v>4.0</v>
      </c>
      <c r="I129" s="217" t="str">
        <f>IFERROR(__xludf.DUMMYFUNCTION("""COMPUTED_VALUE"""),"TL-PO-2-GL-1")</f>
        <v>TL-PO-2-GL-1</v>
      </c>
      <c r="J129" s="228">
        <v>4.0</v>
      </c>
      <c r="K129" s="219">
        <v>1.0</v>
      </c>
      <c r="L129" s="226" t="s">
        <v>1153</v>
      </c>
      <c r="M129" s="229" t="s">
        <v>8861</v>
      </c>
      <c r="N129" s="124"/>
      <c r="O129" s="124"/>
      <c r="P129" s="226" t="s">
        <v>4944</v>
      </c>
      <c r="Q129" s="226">
        <v>8.0</v>
      </c>
      <c r="R129" s="21" t="s">
        <v>22</v>
      </c>
      <c r="S129" s="124"/>
      <c r="T129" s="124"/>
      <c r="U129" s="124"/>
      <c r="V129" s="124"/>
      <c r="W129" s="124"/>
      <c r="X129" s="124"/>
    </row>
    <row r="130">
      <c r="A130" s="227">
        <v>46108.0</v>
      </c>
      <c r="B130" s="226" t="s">
        <v>6102</v>
      </c>
      <c r="C130" s="226" t="s">
        <v>6102</v>
      </c>
      <c r="D130" s="226" t="s">
        <v>6601</v>
      </c>
      <c r="E130" s="124"/>
      <c r="F130" s="226" t="s">
        <v>111</v>
      </c>
      <c r="G130" s="229" t="s">
        <v>8854</v>
      </c>
      <c r="H130" s="226">
        <v>4.0</v>
      </c>
      <c r="I130" s="217" t="str">
        <f>IFERROR(__xludf.DUMMYFUNCTION("""COMPUTED_VALUE"""),"BS-SO-HO-2")</f>
        <v>BS-SO-HO-2</v>
      </c>
      <c r="J130" s="228">
        <v>16.66</v>
      </c>
      <c r="K130" s="219">
        <v>4.17</v>
      </c>
      <c r="L130" s="226" t="s">
        <v>46</v>
      </c>
      <c r="M130" s="226" t="s">
        <v>46</v>
      </c>
      <c r="N130" s="124"/>
      <c r="O130" s="124"/>
      <c r="P130" s="226" t="s">
        <v>4946</v>
      </c>
      <c r="Q130" s="226">
        <v>16.0</v>
      </c>
      <c r="R130" s="21" t="s">
        <v>22</v>
      </c>
      <c r="S130" s="124"/>
      <c r="T130" s="124"/>
      <c r="U130" s="124"/>
      <c r="V130" s="124"/>
      <c r="W130" s="124"/>
      <c r="X130" s="124"/>
    </row>
    <row r="131">
      <c r="A131" s="227">
        <v>46110.0</v>
      </c>
      <c r="B131" s="226" t="s">
        <v>6576</v>
      </c>
      <c r="C131" s="226" t="s">
        <v>8872</v>
      </c>
      <c r="D131" s="226" t="s">
        <v>8873</v>
      </c>
      <c r="E131" s="124"/>
      <c r="F131" s="226" t="s">
        <v>8874</v>
      </c>
      <c r="G131" s="229" t="s">
        <v>6195</v>
      </c>
      <c r="H131" s="226">
        <v>8.0</v>
      </c>
      <c r="I131" s="217" t="str">
        <f>IFERROR(__xludf.DUMMYFUNCTION("""COMPUTED_VALUE"""),"TR-SB-MSB-8")</f>
        <v>TR-SB-MSB-8</v>
      </c>
      <c r="J131" s="228">
        <v>20.0</v>
      </c>
      <c r="K131" s="219">
        <v>2.5</v>
      </c>
      <c r="L131" s="226" t="s">
        <v>8815</v>
      </c>
      <c r="M131" s="229" t="s">
        <v>1160</v>
      </c>
      <c r="N131" s="124"/>
      <c r="O131" s="124"/>
      <c r="P131" s="226" t="s">
        <v>4948</v>
      </c>
      <c r="Q131" s="226">
        <v>5.0</v>
      </c>
      <c r="R131" s="21" t="s">
        <v>22</v>
      </c>
      <c r="S131" s="124"/>
      <c r="T131" s="124"/>
      <c r="U131" s="124"/>
      <c r="V131" s="124"/>
      <c r="W131" s="124"/>
      <c r="X131" s="124"/>
    </row>
    <row r="132">
      <c r="A132" s="227">
        <v>46111.0</v>
      </c>
      <c r="B132" s="226" t="s">
        <v>6102</v>
      </c>
      <c r="C132" s="226" t="s">
        <v>6102</v>
      </c>
      <c r="D132" s="226" t="s">
        <v>6601</v>
      </c>
      <c r="E132" s="124"/>
      <c r="F132" s="226" t="s">
        <v>64</v>
      </c>
      <c r="G132" s="229" t="s">
        <v>8854</v>
      </c>
      <c r="H132" s="226">
        <v>10.0</v>
      </c>
      <c r="I132" s="217" t="str">
        <f>IFERROR(__xludf.DUMMYFUNCTION("""COMPUTED_VALUE"""),"BS-SO-AL-2")</f>
        <v>BS-SO-AL-2</v>
      </c>
      <c r="J132" s="228">
        <v>47.46</v>
      </c>
      <c r="K132" s="219">
        <v>4.75</v>
      </c>
      <c r="L132" s="226" t="s">
        <v>46</v>
      </c>
      <c r="M132" s="226" t="s">
        <v>46</v>
      </c>
      <c r="N132" s="124"/>
      <c r="O132" s="124"/>
      <c r="P132" s="226" t="s">
        <v>4950</v>
      </c>
      <c r="Q132" s="226">
        <v>18.0</v>
      </c>
      <c r="R132" s="21" t="s">
        <v>22</v>
      </c>
      <c r="S132" s="124"/>
      <c r="T132" s="124"/>
      <c r="U132" s="124"/>
      <c r="V132" s="124"/>
      <c r="W132" s="124"/>
      <c r="X132" s="124"/>
    </row>
    <row r="133">
      <c r="A133" s="227">
        <v>46137.0</v>
      </c>
      <c r="B133" s="226" t="s">
        <v>8875</v>
      </c>
      <c r="C133" s="226" t="s">
        <v>8808</v>
      </c>
      <c r="D133" s="226" t="s">
        <v>8748</v>
      </c>
      <c r="E133" s="226" t="s">
        <v>5970</v>
      </c>
      <c r="F133" s="226" t="s">
        <v>8876</v>
      </c>
      <c r="G133" s="229" t="s">
        <v>6195</v>
      </c>
      <c r="H133" s="226">
        <v>1.0</v>
      </c>
      <c r="I133" s="217" t="str">
        <f>IFERROR(__xludf.DUMMYFUNCTION("""COMPUTED_VALUE"""),"ST-PO-6-COP-1")</f>
        <v>ST-PO-6-COP-1</v>
      </c>
      <c r="J133" s="228">
        <v>0.0</v>
      </c>
      <c r="K133" s="219">
        <v>0.0</v>
      </c>
      <c r="L133" s="226" t="s">
        <v>46</v>
      </c>
      <c r="M133" s="226" t="s">
        <v>46</v>
      </c>
      <c r="N133" s="124"/>
      <c r="O133" s="124"/>
      <c r="P133" s="226" t="s">
        <v>4952</v>
      </c>
      <c r="Q133" s="226">
        <v>0.0</v>
      </c>
      <c r="R133" s="21" t="s">
        <v>22</v>
      </c>
      <c r="S133" s="124"/>
      <c r="T133" s="124"/>
      <c r="U133" s="124"/>
      <c r="V133" s="124"/>
      <c r="W133" s="124"/>
      <c r="X133" s="124"/>
    </row>
    <row r="134">
      <c r="A134" s="227">
        <v>46137.0</v>
      </c>
      <c r="B134" s="226" t="s">
        <v>8875</v>
      </c>
      <c r="C134" s="226" t="s">
        <v>8808</v>
      </c>
      <c r="D134" s="226" t="s">
        <v>8748</v>
      </c>
      <c r="E134" s="226" t="s">
        <v>5958</v>
      </c>
      <c r="F134" s="226" t="s">
        <v>8876</v>
      </c>
      <c r="G134" s="229" t="s">
        <v>6195</v>
      </c>
      <c r="H134" s="226">
        <v>1.0</v>
      </c>
      <c r="I134" s="217" t="str">
        <f>IFERROR(__xludf.DUMMYFUNCTION("""COMPUTED_VALUE"""),"ST-PO-4-COP-1")</f>
        <v>ST-PO-4-COP-1</v>
      </c>
      <c r="J134" s="228">
        <v>0.0</v>
      </c>
      <c r="K134" s="219">
        <v>0.0</v>
      </c>
      <c r="L134" s="226" t="s">
        <v>46</v>
      </c>
      <c r="M134" s="226" t="s">
        <v>46</v>
      </c>
      <c r="N134" s="124"/>
      <c r="O134" s="124"/>
      <c r="P134" s="229" t="s">
        <v>4954</v>
      </c>
      <c r="Q134" s="226">
        <v>0.0</v>
      </c>
      <c r="R134" s="21" t="s">
        <v>22</v>
      </c>
      <c r="S134" s="124"/>
      <c r="T134" s="124"/>
      <c r="U134" s="124"/>
      <c r="V134" s="124"/>
      <c r="W134" s="124"/>
      <c r="X134" s="124"/>
    </row>
    <row r="135">
      <c r="A135" s="227">
        <v>46144.0</v>
      </c>
      <c r="B135" s="226" t="s">
        <v>6102</v>
      </c>
      <c r="C135" s="226" t="s">
        <v>6102</v>
      </c>
      <c r="D135" s="226" t="s">
        <v>6601</v>
      </c>
      <c r="E135" s="124"/>
      <c r="F135" s="226" t="s">
        <v>8831</v>
      </c>
      <c r="G135" s="229" t="s">
        <v>8877</v>
      </c>
      <c r="H135" s="226">
        <v>18.0</v>
      </c>
      <c r="I135" s="217" t="str">
        <f>IFERROR(__xludf.DUMMYFUNCTION("""COMPUTED_VALUE"""),"BS-SO-ACM-6")</f>
        <v>BS-SO-ACM-6</v>
      </c>
      <c r="J135" s="228">
        <v>34.2</v>
      </c>
      <c r="K135" s="219">
        <v>1.9</v>
      </c>
      <c r="L135" s="226" t="s">
        <v>46</v>
      </c>
      <c r="M135" s="226" t="s">
        <v>46</v>
      </c>
      <c r="N135" s="124"/>
      <c r="O135" s="124"/>
      <c r="P135" s="226" t="s">
        <v>4956</v>
      </c>
      <c r="Q135" s="226">
        <v>22.0</v>
      </c>
      <c r="R135" s="21" t="s">
        <v>22</v>
      </c>
      <c r="S135" s="226" t="s">
        <v>8878</v>
      </c>
      <c r="T135" s="124"/>
      <c r="U135" s="124"/>
      <c r="V135" s="124"/>
      <c r="W135" s="124"/>
      <c r="X135" s="124"/>
    </row>
    <row r="136">
      <c r="A136" s="227">
        <v>46145.0</v>
      </c>
      <c r="B136" s="226" t="s">
        <v>6102</v>
      </c>
      <c r="C136" s="226" t="s">
        <v>6102</v>
      </c>
      <c r="D136" s="226" t="s">
        <v>6601</v>
      </c>
      <c r="E136" s="124"/>
      <c r="F136" s="226" t="s">
        <v>8879</v>
      </c>
      <c r="G136" s="229" t="s">
        <v>6195</v>
      </c>
      <c r="H136" s="226">
        <v>4.0</v>
      </c>
      <c r="I136" s="217" t="str">
        <f>IFERROR(__xludf.DUMMYFUNCTION("""COMPUTED_VALUE"""),"BS-SO-SU-1")</f>
        <v>BS-SO-SU-1</v>
      </c>
      <c r="J136" s="228">
        <v>15.71</v>
      </c>
      <c r="K136" s="219">
        <v>3.93</v>
      </c>
      <c r="L136" s="226" t="s">
        <v>46</v>
      </c>
      <c r="M136" s="226" t="s">
        <v>46</v>
      </c>
      <c r="N136" s="124"/>
      <c r="O136" s="124"/>
      <c r="P136" s="226" t="s">
        <v>4958</v>
      </c>
      <c r="Q136" s="226">
        <v>18.0</v>
      </c>
      <c r="R136" s="21" t="s">
        <v>22</v>
      </c>
      <c r="S136" s="124"/>
      <c r="T136" s="124"/>
      <c r="U136" s="124"/>
      <c r="V136" s="124"/>
      <c r="W136" s="124"/>
      <c r="X136" s="124"/>
    </row>
    <row r="137">
      <c r="A137" s="227">
        <v>46145.0</v>
      </c>
      <c r="B137" s="226" t="s">
        <v>6102</v>
      </c>
      <c r="C137" s="226" t="s">
        <v>6102</v>
      </c>
      <c r="D137" s="226" t="s">
        <v>6601</v>
      </c>
      <c r="E137" s="124"/>
      <c r="F137" s="226" t="s">
        <v>8880</v>
      </c>
      <c r="G137" s="229" t="s">
        <v>6195</v>
      </c>
      <c r="H137" s="226">
        <v>1.0</v>
      </c>
      <c r="I137" s="217" t="str">
        <f>IFERROR(__xludf.DUMMYFUNCTION("""COMPUTED_VALUE"""),"BS-SO-RE-1")</f>
        <v>BS-SO-RE-1</v>
      </c>
      <c r="J137" s="228">
        <v>0.0</v>
      </c>
      <c r="K137" s="219">
        <v>0.0</v>
      </c>
      <c r="L137" s="226" t="s">
        <v>46</v>
      </c>
      <c r="M137" s="226" t="s">
        <v>46</v>
      </c>
      <c r="N137" s="124"/>
      <c r="O137" s="124"/>
      <c r="P137" s="226" t="s">
        <v>4960</v>
      </c>
      <c r="Q137" s="226">
        <v>0.0</v>
      </c>
      <c r="R137" s="21" t="s">
        <v>22</v>
      </c>
      <c r="S137" s="124"/>
      <c r="T137" s="124"/>
      <c r="U137" s="124"/>
      <c r="V137" s="124"/>
      <c r="W137" s="124"/>
      <c r="X137" s="124"/>
    </row>
    <row r="138">
      <c r="A138" s="227">
        <v>46146.0</v>
      </c>
      <c r="B138" s="226" t="s">
        <v>208</v>
      </c>
      <c r="C138" s="226" t="s">
        <v>311</v>
      </c>
      <c r="D138" s="226" t="s">
        <v>8748</v>
      </c>
      <c r="E138" s="226" t="s">
        <v>5958</v>
      </c>
      <c r="F138" s="226" t="s">
        <v>8881</v>
      </c>
      <c r="G138" s="229" t="s">
        <v>6195</v>
      </c>
      <c r="H138" s="226">
        <v>250.0</v>
      </c>
      <c r="I138" s="217" t="str">
        <f>IFERROR(__xludf.DUMMYFUNCTION("""COMPUTED_VALUE"""),"AGP-PO-4-BN-1")</f>
        <v>AGP-PO-4-BN-1</v>
      </c>
      <c r="J138" s="228">
        <v>65.97</v>
      </c>
      <c r="K138" s="219">
        <v>0.26</v>
      </c>
      <c r="L138" s="226" t="s">
        <v>8753</v>
      </c>
      <c r="M138" s="229" t="s">
        <v>8882</v>
      </c>
      <c r="N138" s="124"/>
      <c r="O138" s="124"/>
      <c r="P138" s="226" t="s">
        <v>4962</v>
      </c>
      <c r="Q138" s="226">
        <v>2.0</v>
      </c>
      <c r="R138" s="21" t="s">
        <v>22</v>
      </c>
      <c r="S138" s="124"/>
      <c r="T138" s="124"/>
      <c r="U138" s="124"/>
      <c r="V138" s="124"/>
      <c r="W138" s="124"/>
      <c r="X138" s="124"/>
    </row>
    <row r="139">
      <c r="A139" s="227">
        <v>46146.0</v>
      </c>
      <c r="B139" s="226" t="s">
        <v>6102</v>
      </c>
      <c r="C139" s="226" t="s">
        <v>6102</v>
      </c>
      <c r="D139" s="226" t="s">
        <v>8848</v>
      </c>
      <c r="E139" s="226" t="s">
        <v>8883</v>
      </c>
      <c r="F139" s="226" t="s">
        <v>8884</v>
      </c>
      <c r="G139" s="229" t="s">
        <v>6195</v>
      </c>
      <c r="H139" s="226">
        <v>1.0</v>
      </c>
      <c r="I139" s="217" t="str">
        <f>IFERROR(__xludf.DUMMYFUNCTION("""COMPUTED_VALUE"""),"BS-PS-24-BA-1")</f>
        <v>BS-PS-24-BA-1</v>
      </c>
      <c r="J139" s="228">
        <v>0.0</v>
      </c>
      <c r="K139" s="219">
        <v>0.0</v>
      </c>
      <c r="L139" s="226" t="s">
        <v>46</v>
      </c>
      <c r="M139" s="226" t="s">
        <v>46</v>
      </c>
      <c r="N139" s="124"/>
      <c r="O139" s="124"/>
      <c r="P139" s="226" t="s">
        <v>4964</v>
      </c>
      <c r="Q139" s="226">
        <v>2.0</v>
      </c>
      <c r="R139" s="21" t="s">
        <v>22</v>
      </c>
      <c r="S139" s="124"/>
      <c r="T139" s="124"/>
      <c r="U139" s="124"/>
      <c r="V139" s="124"/>
      <c r="W139" s="124"/>
      <c r="X139" s="124"/>
    </row>
    <row r="140">
      <c r="A140" s="227">
        <v>46146.0</v>
      </c>
      <c r="B140" s="226" t="s">
        <v>6102</v>
      </c>
      <c r="C140" s="226" t="s">
        <v>6102</v>
      </c>
      <c r="D140" s="226" t="s">
        <v>8848</v>
      </c>
      <c r="E140" s="226" t="s">
        <v>8885</v>
      </c>
      <c r="F140" s="226" t="s">
        <v>8884</v>
      </c>
      <c r="G140" s="229" t="s">
        <v>6195</v>
      </c>
      <c r="H140" s="226">
        <v>1.0</v>
      </c>
      <c r="I140" s="217" t="str">
        <f>IFERROR(__xludf.DUMMYFUNCTION("""COMPUTED_VALUE"""),"BS-PS-18-BA-1")</f>
        <v>BS-PS-18-BA-1</v>
      </c>
      <c r="J140" s="228">
        <v>0.0</v>
      </c>
      <c r="K140" s="219">
        <v>0.0</v>
      </c>
      <c r="L140" s="226" t="s">
        <v>46</v>
      </c>
      <c r="M140" s="226" t="s">
        <v>46</v>
      </c>
      <c r="N140" s="124"/>
      <c r="O140" s="124"/>
      <c r="P140" s="226" t="s">
        <v>4966</v>
      </c>
      <c r="Q140" s="226">
        <v>1.0</v>
      </c>
      <c r="R140" s="21" t="s">
        <v>22</v>
      </c>
      <c r="S140" s="124"/>
      <c r="T140" s="124"/>
      <c r="U140" s="124"/>
      <c r="V140" s="124"/>
      <c r="W140" s="124"/>
      <c r="X140" s="124"/>
    </row>
    <row r="141">
      <c r="A141" s="227">
        <v>46146.0</v>
      </c>
      <c r="B141" s="226" t="s">
        <v>6102</v>
      </c>
      <c r="C141" s="226" t="s">
        <v>6102</v>
      </c>
      <c r="D141" s="226" t="s">
        <v>8848</v>
      </c>
      <c r="E141" s="226" t="s">
        <v>8849</v>
      </c>
      <c r="F141" s="226" t="s">
        <v>8884</v>
      </c>
      <c r="G141" s="229" t="s">
        <v>6195</v>
      </c>
      <c r="H141" s="226">
        <v>1.0</v>
      </c>
      <c r="I141" s="217" t="str">
        <f>IFERROR(__xludf.DUMMYFUNCTION("""COMPUTED_VALUE"""),"BS-PS-12-BA-1")</f>
        <v>BS-PS-12-BA-1</v>
      </c>
      <c r="J141" s="228">
        <v>0.0</v>
      </c>
      <c r="K141" s="219">
        <v>0.0</v>
      </c>
      <c r="L141" s="226" t="s">
        <v>46</v>
      </c>
      <c r="M141" s="226" t="s">
        <v>46</v>
      </c>
      <c r="N141" s="124"/>
      <c r="O141" s="124"/>
      <c r="P141" s="226" t="s">
        <v>4968</v>
      </c>
      <c r="Q141" s="226">
        <v>1.0</v>
      </c>
      <c r="R141" s="21" t="s">
        <v>22</v>
      </c>
      <c r="S141" s="124"/>
      <c r="T141" s="124"/>
      <c r="U141" s="124"/>
      <c r="V141" s="124"/>
      <c r="W141" s="124"/>
      <c r="X141" s="124"/>
    </row>
    <row r="142">
      <c r="A142" s="227">
        <v>46148.0</v>
      </c>
      <c r="B142" s="226" t="s">
        <v>6102</v>
      </c>
      <c r="C142" s="226" t="s">
        <v>6102</v>
      </c>
      <c r="D142" s="226" t="s">
        <v>8848</v>
      </c>
      <c r="E142" s="226" t="s">
        <v>8852</v>
      </c>
      <c r="F142" s="226" t="s">
        <v>8884</v>
      </c>
      <c r="G142" s="229" t="s">
        <v>6195</v>
      </c>
      <c r="H142" s="226">
        <v>1.0</v>
      </c>
      <c r="I142" s="217" t="str">
        <f>IFERROR(__xludf.DUMMYFUNCTION("""COMPUTED_VALUE"""),"BS-PS-16-BA-1")</f>
        <v>BS-PS-16-BA-1</v>
      </c>
      <c r="J142" s="228">
        <v>0.0</v>
      </c>
      <c r="K142" s="219">
        <v>0.0</v>
      </c>
      <c r="L142" s="226" t="s">
        <v>46</v>
      </c>
      <c r="M142" s="226" t="s">
        <v>46</v>
      </c>
      <c r="N142" s="124"/>
      <c r="O142" s="124"/>
      <c r="P142" s="226" t="s">
        <v>4970</v>
      </c>
      <c r="Q142" s="226">
        <v>1.0</v>
      </c>
      <c r="R142" s="21" t="s">
        <v>22</v>
      </c>
      <c r="S142" s="124"/>
      <c r="T142" s="124"/>
      <c r="U142" s="124"/>
      <c r="V142" s="124"/>
      <c r="W142" s="124"/>
      <c r="X142" s="124"/>
    </row>
    <row r="143">
      <c r="A143" s="227">
        <v>46150.0</v>
      </c>
      <c r="B143" s="226" t="s">
        <v>6102</v>
      </c>
      <c r="C143" s="226" t="s">
        <v>6102</v>
      </c>
      <c r="D143" s="226" t="s">
        <v>6601</v>
      </c>
      <c r="E143" s="124"/>
      <c r="F143" s="226" t="s">
        <v>8833</v>
      </c>
      <c r="G143" s="229" t="s">
        <v>8869</v>
      </c>
      <c r="H143" s="226">
        <v>23.0</v>
      </c>
      <c r="I143" s="217" t="str">
        <f>IFERROR(__xludf.DUMMYFUNCTION("""COMPUTED_VALUE"""),"BS-SO-FRM-3")</f>
        <v>BS-SO-FRM-3</v>
      </c>
      <c r="J143" s="228">
        <v>54.16</v>
      </c>
      <c r="K143" s="219">
        <v>2.35</v>
      </c>
      <c r="L143" s="226" t="s">
        <v>1153</v>
      </c>
      <c r="M143" s="229" t="s">
        <v>8861</v>
      </c>
      <c r="N143" s="124"/>
      <c r="O143" s="124"/>
      <c r="P143" s="226" t="s">
        <v>4972</v>
      </c>
      <c r="Q143" s="226">
        <v>20.0</v>
      </c>
      <c r="R143" s="21" t="s">
        <v>22</v>
      </c>
      <c r="S143" s="124"/>
      <c r="T143" s="124"/>
      <c r="U143" s="124"/>
      <c r="V143" s="124"/>
      <c r="W143" s="124"/>
      <c r="X143" s="124"/>
    </row>
    <row r="144">
      <c r="A144" s="227">
        <v>46150.0</v>
      </c>
      <c r="B144" s="226" t="s">
        <v>6102</v>
      </c>
      <c r="C144" s="226" t="s">
        <v>6102</v>
      </c>
      <c r="D144" s="226" t="s">
        <v>6601</v>
      </c>
      <c r="E144" s="124"/>
      <c r="F144" s="226" t="s">
        <v>8831</v>
      </c>
      <c r="G144" s="229" t="s">
        <v>8886</v>
      </c>
      <c r="H144" s="226">
        <v>18.6</v>
      </c>
      <c r="I144" s="217" t="str">
        <f>IFERROR(__xludf.DUMMYFUNCTION("""COMPUTED_VALUE"""),"BS-SO-ACM-7")</f>
        <v>BS-SO-ACM-7</v>
      </c>
      <c r="J144" s="228">
        <v>48.14</v>
      </c>
      <c r="K144" s="219">
        <v>2.59</v>
      </c>
      <c r="L144" s="226" t="s">
        <v>1153</v>
      </c>
      <c r="M144" s="229" t="s">
        <v>8861</v>
      </c>
      <c r="N144" s="124"/>
      <c r="O144" s="124"/>
      <c r="P144" s="226" t="s">
        <v>4974</v>
      </c>
      <c r="Q144" s="226">
        <v>22.0</v>
      </c>
      <c r="R144" s="21" t="s">
        <v>22</v>
      </c>
      <c r="S144" s="124"/>
      <c r="T144" s="124"/>
      <c r="U144" s="124"/>
      <c r="V144" s="124"/>
      <c r="W144" s="124"/>
      <c r="X144" s="124"/>
    </row>
    <row r="145">
      <c r="A145" s="227">
        <v>46152.0</v>
      </c>
      <c r="B145" s="226" t="s">
        <v>6102</v>
      </c>
      <c r="C145" s="226" t="s">
        <v>6102</v>
      </c>
      <c r="D145" s="226" t="s">
        <v>6601</v>
      </c>
      <c r="E145" s="124"/>
      <c r="F145" s="226" t="s">
        <v>8887</v>
      </c>
      <c r="G145" s="229" t="s">
        <v>6195</v>
      </c>
      <c r="H145" s="226">
        <v>6.5</v>
      </c>
      <c r="I145" s="217" t="str">
        <f>IFERROR(__xludf.DUMMYFUNCTION("""COMPUTED_VALUE"""),"BS-SO-VM-1")</f>
        <v>BS-SO-VM-1</v>
      </c>
      <c r="J145" s="228">
        <v>16.38</v>
      </c>
      <c r="K145" s="219">
        <v>2.52</v>
      </c>
      <c r="L145" s="226" t="s">
        <v>46</v>
      </c>
      <c r="M145" s="226" t="s">
        <v>46</v>
      </c>
      <c r="N145" s="124"/>
      <c r="O145" s="124"/>
      <c r="P145" s="226" t="s">
        <v>4976</v>
      </c>
      <c r="Q145" s="226">
        <v>10.0</v>
      </c>
      <c r="R145" s="21" t="s">
        <v>22</v>
      </c>
      <c r="S145" s="226" t="s">
        <v>8888</v>
      </c>
      <c r="T145" s="124"/>
      <c r="U145" s="124"/>
      <c r="V145" s="124"/>
      <c r="W145" s="124"/>
      <c r="X145" s="124"/>
    </row>
    <row r="146">
      <c r="A146" s="227">
        <v>46158.0</v>
      </c>
      <c r="B146" s="226" t="s">
        <v>46</v>
      </c>
      <c r="C146" s="226" t="s">
        <v>8808</v>
      </c>
      <c r="D146" s="226" t="s">
        <v>8748</v>
      </c>
      <c r="E146" s="229" t="s">
        <v>8809</v>
      </c>
      <c r="F146" s="226" t="s">
        <v>8889</v>
      </c>
      <c r="G146" s="229" t="s">
        <v>6195</v>
      </c>
      <c r="H146" s="226">
        <v>1.0</v>
      </c>
      <c r="I146" s="217" t="str">
        <f>IFERROR(__xludf.DUMMYFUNCTION("""COMPUTED_VALUE"""),"ST-PO-0-BR-1")</f>
        <v>ST-PO-0-BR-1</v>
      </c>
      <c r="J146" s="228">
        <v>0.0</v>
      </c>
      <c r="K146" s="219">
        <v>0.0</v>
      </c>
      <c r="L146" s="226" t="s">
        <v>46</v>
      </c>
      <c r="M146" s="226" t="s">
        <v>46</v>
      </c>
      <c r="N146" s="124"/>
      <c r="O146" s="124"/>
      <c r="P146" s="226" t="s">
        <v>4978</v>
      </c>
      <c r="Q146" s="226">
        <v>0.0</v>
      </c>
      <c r="R146" s="21" t="s">
        <v>22</v>
      </c>
      <c r="S146" s="124"/>
      <c r="T146" s="124"/>
      <c r="U146" s="124"/>
      <c r="V146" s="124"/>
      <c r="W146" s="124"/>
      <c r="X146" s="124"/>
    </row>
    <row r="147">
      <c r="A147" s="216"/>
      <c r="B147" s="124"/>
      <c r="C147" s="124"/>
      <c r="D147" s="124"/>
      <c r="E147" s="124"/>
      <c r="F147" s="124"/>
      <c r="G147" s="124"/>
      <c r="H147" s="124"/>
      <c r="I147" s="217" t="str">
        <f>IFERROR(__xludf.DUMMYFUNCTION("""COMPUTED_VALUE"""),"")</f>
        <v/>
      </c>
      <c r="J147" s="219"/>
      <c r="K147" s="219"/>
      <c r="L147" s="124"/>
      <c r="M147" s="124"/>
      <c r="N147" s="124"/>
      <c r="O147" s="124"/>
      <c r="P147" s="124"/>
      <c r="Q147" s="124"/>
      <c r="R147" s="21"/>
      <c r="S147" s="124"/>
      <c r="T147" s="124"/>
      <c r="U147" s="124"/>
      <c r="V147" s="124"/>
      <c r="W147" s="124"/>
      <c r="X147" s="124"/>
    </row>
    <row r="148">
      <c r="A148" s="216"/>
      <c r="B148" s="124"/>
      <c r="C148" s="124"/>
      <c r="D148" s="124"/>
      <c r="E148" s="124"/>
      <c r="F148" s="124"/>
      <c r="G148" s="124"/>
      <c r="H148" s="124"/>
      <c r="I148" s="217" t="str">
        <f>IFERROR(__xludf.DUMMYFUNCTION("""COMPUTED_VALUE"""),"")</f>
        <v/>
      </c>
      <c r="J148" s="219"/>
      <c r="K148" s="219"/>
      <c r="L148" s="124"/>
      <c r="M148" s="124"/>
      <c r="N148" s="124"/>
      <c r="O148" s="124"/>
      <c r="P148" s="124"/>
      <c r="Q148" s="124"/>
      <c r="R148" s="21"/>
      <c r="S148" s="124"/>
      <c r="T148" s="124"/>
      <c r="U148" s="124"/>
      <c r="V148" s="124"/>
      <c r="W148" s="124"/>
      <c r="X148" s="124"/>
    </row>
    <row r="149">
      <c r="A149" s="216"/>
      <c r="B149" s="124"/>
      <c r="C149" s="124"/>
      <c r="D149" s="124"/>
      <c r="E149" s="124"/>
      <c r="F149" s="124"/>
      <c r="G149" s="124"/>
      <c r="H149" s="124"/>
      <c r="I149" s="217" t="str">
        <f>IFERROR(__xludf.DUMMYFUNCTION("""COMPUTED_VALUE"""),"")</f>
        <v/>
      </c>
      <c r="J149" s="219"/>
      <c r="K149" s="219"/>
      <c r="L149" s="124"/>
      <c r="M149" s="124"/>
      <c r="N149" s="124"/>
      <c r="O149" s="124"/>
      <c r="P149" s="124"/>
      <c r="Q149" s="124"/>
      <c r="R149" s="21"/>
      <c r="S149" s="124"/>
      <c r="T149" s="124"/>
      <c r="U149" s="124"/>
      <c r="V149" s="124"/>
      <c r="W149" s="124"/>
      <c r="X149" s="124"/>
    </row>
    <row r="150">
      <c r="A150" s="216"/>
      <c r="B150" s="124"/>
      <c r="C150" s="124"/>
      <c r="D150" s="124"/>
      <c r="E150" s="124"/>
      <c r="F150" s="124"/>
      <c r="G150" s="124"/>
      <c r="H150" s="124"/>
      <c r="I150" s="217" t="str">
        <f>IFERROR(__xludf.DUMMYFUNCTION("""COMPUTED_VALUE"""),"")</f>
        <v/>
      </c>
      <c r="J150" s="219"/>
      <c r="K150" s="219"/>
      <c r="L150" s="124"/>
      <c r="M150" s="124"/>
      <c r="N150" s="124"/>
      <c r="O150" s="124"/>
      <c r="P150" s="124"/>
      <c r="Q150" s="124"/>
      <c r="R150" s="21"/>
      <c r="S150" s="124"/>
      <c r="T150" s="124"/>
      <c r="U150" s="124"/>
      <c r="V150" s="124"/>
      <c r="W150" s="124"/>
      <c r="X150" s="124"/>
    </row>
    <row r="151">
      <c r="A151" s="216"/>
      <c r="B151" s="124"/>
      <c r="C151" s="124"/>
      <c r="D151" s="124"/>
      <c r="E151" s="124"/>
      <c r="F151" s="124"/>
      <c r="G151" s="124"/>
      <c r="H151" s="124"/>
      <c r="I151" s="217" t="str">
        <f>IFERROR(__xludf.DUMMYFUNCTION("""COMPUTED_VALUE"""),"")</f>
        <v/>
      </c>
      <c r="J151" s="219"/>
      <c r="K151" s="219"/>
      <c r="L151" s="124"/>
      <c r="M151" s="124"/>
      <c r="N151" s="124"/>
      <c r="O151" s="124"/>
      <c r="P151" s="124"/>
      <c r="Q151" s="124"/>
      <c r="R151" s="21"/>
      <c r="S151" s="124"/>
      <c r="T151" s="124"/>
      <c r="U151" s="124"/>
      <c r="V151" s="124"/>
      <c r="W151" s="124"/>
      <c r="X151" s="124"/>
    </row>
    <row r="152">
      <c r="A152" s="216"/>
      <c r="B152" s="124"/>
      <c r="C152" s="124"/>
      <c r="D152" s="124"/>
      <c r="E152" s="124"/>
      <c r="F152" s="124"/>
      <c r="G152" s="124"/>
      <c r="H152" s="124"/>
      <c r="I152" s="217" t="str">
        <f>IFERROR(__xludf.DUMMYFUNCTION("""COMPUTED_VALUE"""),"")</f>
        <v/>
      </c>
      <c r="J152" s="219"/>
      <c r="K152" s="219"/>
      <c r="L152" s="124"/>
      <c r="M152" s="124"/>
      <c r="N152" s="124"/>
      <c r="O152" s="124"/>
      <c r="P152" s="124"/>
      <c r="Q152" s="124"/>
      <c r="R152" s="21"/>
      <c r="S152" s="124"/>
      <c r="T152" s="124"/>
      <c r="U152" s="124"/>
      <c r="V152" s="124"/>
      <c r="W152" s="124"/>
      <c r="X152" s="124"/>
    </row>
    <row r="153">
      <c r="A153" s="216"/>
      <c r="B153" s="124"/>
      <c r="C153" s="124"/>
      <c r="D153" s="124"/>
      <c r="E153" s="124"/>
      <c r="F153" s="124"/>
      <c r="G153" s="124"/>
      <c r="H153" s="124"/>
      <c r="I153" s="217" t="str">
        <f>IFERROR(__xludf.DUMMYFUNCTION("""COMPUTED_VALUE"""),"")</f>
        <v/>
      </c>
      <c r="J153" s="219"/>
      <c r="K153" s="219"/>
      <c r="L153" s="124"/>
      <c r="M153" s="124"/>
      <c r="N153" s="124"/>
      <c r="O153" s="124"/>
      <c r="P153" s="124"/>
      <c r="Q153" s="124"/>
      <c r="R153" s="21"/>
      <c r="S153" s="124"/>
      <c r="T153" s="124"/>
      <c r="U153" s="124"/>
      <c r="V153" s="124"/>
      <c r="W153" s="124"/>
      <c r="X153" s="124"/>
    </row>
    <row r="154">
      <c r="A154" s="216"/>
      <c r="B154" s="124"/>
      <c r="C154" s="124"/>
      <c r="D154" s="124"/>
      <c r="E154" s="124"/>
      <c r="F154" s="124"/>
      <c r="G154" s="124"/>
      <c r="H154" s="124"/>
      <c r="I154" s="217" t="str">
        <f>IFERROR(__xludf.DUMMYFUNCTION("""COMPUTED_VALUE"""),"")</f>
        <v/>
      </c>
      <c r="J154" s="219"/>
      <c r="K154" s="219"/>
      <c r="L154" s="124"/>
      <c r="M154" s="124"/>
      <c r="N154" s="124"/>
      <c r="O154" s="124"/>
      <c r="P154" s="124"/>
      <c r="Q154" s="124"/>
      <c r="R154" s="21"/>
      <c r="S154" s="124"/>
      <c r="T154" s="124"/>
      <c r="U154" s="124"/>
      <c r="V154" s="124"/>
      <c r="W154" s="124"/>
      <c r="X154" s="124"/>
    </row>
    <row r="155">
      <c r="A155" s="216"/>
      <c r="B155" s="124"/>
      <c r="C155" s="124"/>
      <c r="D155" s="124"/>
      <c r="E155" s="124"/>
      <c r="F155" s="124"/>
      <c r="G155" s="124"/>
      <c r="H155" s="124"/>
      <c r="I155" s="217" t="str">
        <f>IFERROR(__xludf.DUMMYFUNCTION("""COMPUTED_VALUE"""),"")</f>
        <v/>
      </c>
      <c r="J155" s="219"/>
      <c r="K155" s="219"/>
      <c r="L155" s="124"/>
      <c r="M155" s="124"/>
      <c r="N155" s="124"/>
      <c r="O155" s="124"/>
      <c r="P155" s="124"/>
      <c r="Q155" s="124"/>
      <c r="R155" s="21"/>
      <c r="S155" s="124"/>
      <c r="T155" s="124"/>
      <c r="U155" s="124"/>
      <c r="V155" s="124"/>
      <c r="W155" s="124"/>
      <c r="X155" s="124"/>
    </row>
    <row r="156">
      <c r="A156" s="216"/>
      <c r="B156" s="124"/>
      <c r="C156" s="124"/>
      <c r="D156" s="124"/>
      <c r="E156" s="124"/>
      <c r="F156" s="124"/>
      <c r="G156" s="124"/>
      <c r="H156" s="124"/>
      <c r="I156" s="217" t="str">
        <f>IFERROR(__xludf.DUMMYFUNCTION("""COMPUTED_VALUE"""),"")</f>
        <v/>
      </c>
      <c r="J156" s="219"/>
      <c r="K156" s="219"/>
      <c r="L156" s="124"/>
      <c r="M156" s="124"/>
      <c r="N156" s="124"/>
      <c r="O156" s="124"/>
      <c r="P156" s="124"/>
      <c r="Q156" s="124"/>
      <c r="R156" s="21"/>
      <c r="S156" s="124"/>
      <c r="T156" s="124"/>
      <c r="U156" s="124"/>
      <c r="V156" s="124"/>
      <c r="W156" s="124"/>
      <c r="X156" s="124"/>
    </row>
    <row r="157">
      <c r="A157" s="216"/>
      <c r="B157" s="124"/>
      <c r="C157" s="124"/>
      <c r="D157" s="124"/>
      <c r="E157" s="124"/>
      <c r="F157" s="124"/>
      <c r="G157" s="124"/>
      <c r="H157" s="124"/>
      <c r="I157" s="217" t="str">
        <f>IFERROR(__xludf.DUMMYFUNCTION("""COMPUTED_VALUE"""),"")</f>
        <v/>
      </c>
      <c r="J157" s="219"/>
      <c r="K157" s="219"/>
      <c r="L157" s="124"/>
      <c r="M157" s="124"/>
      <c r="N157" s="124"/>
      <c r="O157" s="124"/>
      <c r="P157" s="124"/>
      <c r="Q157" s="124"/>
      <c r="R157" s="21"/>
      <c r="S157" s="124"/>
      <c r="T157" s="124"/>
      <c r="U157" s="124"/>
      <c r="V157" s="124"/>
      <c r="W157" s="124"/>
      <c r="X157" s="124"/>
    </row>
    <row r="158">
      <c r="A158" s="216"/>
      <c r="B158" s="124"/>
      <c r="C158" s="124"/>
      <c r="D158" s="124"/>
      <c r="E158" s="124"/>
      <c r="F158" s="124"/>
      <c r="G158" s="124"/>
      <c r="H158" s="124"/>
      <c r="I158" s="217" t="str">
        <f>IFERROR(__xludf.DUMMYFUNCTION("""COMPUTED_VALUE"""),"")</f>
        <v/>
      </c>
      <c r="J158" s="219"/>
      <c r="K158" s="219"/>
      <c r="L158" s="124"/>
      <c r="M158" s="124"/>
      <c r="N158" s="124"/>
      <c r="O158" s="124"/>
      <c r="P158" s="124"/>
      <c r="Q158" s="124"/>
      <c r="R158" s="21"/>
      <c r="S158" s="124"/>
      <c r="T158" s="124"/>
      <c r="U158" s="124"/>
      <c r="V158" s="124"/>
      <c r="W158" s="124"/>
      <c r="X158" s="124"/>
    </row>
    <row r="159">
      <c r="A159" s="216"/>
      <c r="B159" s="124"/>
      <c r="C159" s="124"/>
      <c r="D159" s="124"/>
      <c r="E159" s="124"/>
      <c r="F159" s="124"/>
      <c r="G159" s="124"/>
      <c r="H159" s="124"/>
      <c r="I159" s="217" t="str">
        <f>IFERROR(__xludf.DUMMYFUNCTION("""COMPUTED_VALUE"""),"")</f>
        <v/>
      </c>
      <c r="J159" s="219"/>
      <c r="K159" s="219"/>
      <c r="L159" s="124"/>
      <c r="M159" s="124"/>
      <c r="N159" s="124"/>
      <c r="O159" s="124"/>
      <c r="P159" s="124"/>
      <c r="Q159" s="124"/>
      <c r="R159" s="21"/>
      <c r="S159" s="124"/>
      <c r="T159" s="124"/>
      <c r="U159" s="124"/>
      <c r="V159" s="124"/>
      <c r="W159" s="124"/>
      <c r="X159" s="124"/>
    </row>
    <row r="160">
      <c r="A160" s="216"/>
      <c r="B160" s="124"/>
      <c r="C160" s="124"/>
      <c r="D160" s="124"/>
      <c r="E160" s="124"/>
      <c r="F160" s="124"/>
      <c r="G160" s="124"/>
      <c r="H160" s="124"/>
      <c r="I160" s="217" t="str">
        <f>IFERROR(__xludf.DUMMYFUNCTION("""COMPUTED_VALUE"""),"")</f>
        <v/>
      </c>
      <c r="J160" s="219"/>
      <c r="K160" s="219"/>
      <c r="L160" s="124"/>
      <c r="M160" s="124"/>
      <c r="N160" s="124"/>
      <c r="O160" s="124"/>
      <c r="P160" s="124"/>
      <c r="Q160" s="124"/>
      <c r="R160" s="21"/>
      <c r="S160" s="124"/>
      <c r="T160" s="124"/>
      <c r="U160" s="124"/>
      <c r="V160" s="124"/>
      <c r="W160" s="124"/>
      <c r="X160" s="124"/>
    </row>
    <row r="161">
      <c r="A161" s="216"/>
      <c r="B161" s="124"/>
      <c r="C161" s="124"/>
      <c r="D161" s="124"/>
      <c r="E161" s="124"/>
      <c r="F161" s="124"/>
      <c r="G161" s="124"/>
      <c r="H161" s="124"/>
      <c r="I161" s="217" t="str">
        <f>IFERROR(__xludf.DUMMYFUNCTION("""COMPUTED_VALUE"""),"")</f>
        <v/>
      </c>
      <c r="J161" s="219"/>
      <c r="K161" s="219"/>
      <c r="L161" s="124"/>
      <c r="M161" s="124"/>
      <c r="N161" s="124"/>
      <c r="O161" s="124"/>
      <c r="P161" s="124"/>
      <c r="Q161" s="124"/>
      <c r="R161" s="21"/>
      <c r="S161" s="124"/>
      <c r="T161" s="124"/>
      <c r="U161" s="124"/>
      <c r="V161" s="124"/>
      <c r="W161" s="124"/>
      <c r="X161" s="124"/>
    </row>
    <row r="162">
      <c r="A162" s="216"/>
      <c r="B162" s="124"/>
      <c r="C162" s="124"/>
      <c r="D162" s="124"/>
      <c r="E162" s="124"/>
      <c r="F162" s="124"/>
      <c r="G162" s="124"/>
      <c r="H162" s="124"/>
      <c r="I162" s="217" t="str">
        <f>IFERROR(__xludf.DUMMYFUNCTION("""COMPUTED_VALUE"""),"")</f>
        <v/>
      </c>
      <c r="J162" s="219"/>
      <c r="K162" s="219"/>
      <c r="L162" s="124"/>
      <c r="M162" s="124"/>
      <c r="N162" s="124"/>
      <c r="O162" s="124"/>
      <c r="P162" s="124"/>
      <c r="Q162" s="124"/>
      <c r="R162" s="21"/>
      <c r="S162" s="124"/>
      <c r="T162" s="124"/>
      <c r="U162" s="124"/>
      <c r="V162" s="124"/>
      <c r="W162" s="124"/>
      <c r="X162" s="124"/>
    </row>
    <row r="163">
      <c r="A163" s="216"/>
      <c r="B163" s="124"/>
      <c r="C163" s="124"/>
      <c r="D163" s="124"/>
      <c r="E163" s="124"/>
      <c r="F163" s="124"/>
      <c r="G163" s="124"/>
      <c r="H163" s="124"/>
      <c r="I163" s="217" t="str">
        <f>IFERROR(__xludf.DUMMYFUNCTION("""COMPUTED_VALUE"""),"")</f>
        <v/>
      </c>
      <c r="J163" s="219"/>
      <c r="K163" s="219"/>
      <c r="L163" s="124"/>
      <c r="M163" s="124"/>
      <c r="N163" s="124"/>
      <c r="O163" s="124"/>
      <c r="P163" s="124"/>
      <c r="Q163" s="124"/>
      <c r="R163" s="21"/>
      <c r="S163" s="124"/>
      <c r="T163" s="124"/>
      <c r="U163" s="124"/>
      <c r="V163" s="124"/>
      <c r="W163" s="124"/>
      <c r="X163" s="124"/>
    </row>
    <row r="164">
      <c r="A164" s="216"/>
      <c r="B164" s="124"/>
      <c r="C164" s="124"/>
      <c r="D164" s="124"/>
      <c r="E164" s="124"/>
      <c r="F164" s="124"/>
      <c r="G164" s="124"/>
      <c r="H164" s="124"/>
      <c r="I164" s="217" t="str">
        <f>IFERROR(__xludf.DUMMYFUNCTION("""COMPUTED_VALUE"""),"")</f>
        <v/>
      </c>
      <c r="J164" s="219"/>
      <c r="K164" s="219"/>
      <c r="L164" s="124"/>
      <c r="M164" s="124"/>
      <c r="N164" s="124"/>
      <c r="O164" s="124"/>
      <c r="P164" s="124"/>
      <c r="Q164" s="124"/>
      <c r="R164" s="21"/>
      <c r="S164" s="124"/>
      <c r="T164" s="124"/>
      <c r="U164" s="124"/>
      <c r="V164" s="124"/>
      <c r="W164" s="124"/>
      <c r="X164" s="124"/>
    </row>
    <row r="165">
      <c r="A165" s="216"/>
      <c r="B165" s="124"/>
      <c r="C165" s="124"/>
      <c r="D165" s="124"/>
      <c r="E165" s="124"/>
      <c r="F165" s="124"/>
      <c r="G165" s="124"/>
      <c r="H165" s="124"/>
      <c r="I165" s="217" t="str">
        <f>IFERROR(__xludf.DUMMYFUNCTION("""COMPUTED_VALUE"""),"")</f>
        <v/>
      </c>
      <c r="J165" s="219"/>
      <c r="K165" s="219"/>
      <c r="L165" s="124"/>
      <c r="M165" s="124"/>
      <c r="N165" s="124"/>
      <c r="O165" s="124"/>
      <c r="P165" s="124"/>
      <c r="Q165" s="124"/>
      <c r="R165" s="21"/>
      <c r="S165" s="124"/>
      <c r="T165" s="124"/>
      <c r="U165" s="124"/>
      <c r="V165" s="124"/>
      <c r="W165" s="124"/>
      <c r="X165" s="124"/>
    </row>
    <row r="166">
      <c r="A166" s="216"/>
      <c r="B166" s="124"/>
      <c r="C166" s="124"/>
      <c r="D166" s="124"/>
      <c r="E166" s="124"/>
      <c r="F166" s="124"/>
      <c r="G166" s="124"/>
      <c r="H166" s="124"/>
      <c r="I166" s="217" t="str">
        <f>IFERROR(__xludf.DUMMYFUNCTION("""COMPUTED_VALUE"""),"")</f>
        <v/>
      </c>
      <c r="J166" s="219"/>
      <c r="K166" s="219"/>
      <c r="L166" s="124"/>
      <c r="M166" s="124"/>
      <c r="N166" s="124"/>
      <c r="O166" s="124"/>
      <c r="P166" s="124"/>
      <c r="Q166" s="124"/>
      <c r="R166" s="21"/>
      <c r="S166" s="124"/>
      <c r="T166" s="124"/>
      <c r="U166" s="124"/>
      <c r="V166" s="124"/>
      <c r="W166" s="124"/>
      <c r="X166" s="124"/>
    </row>
    <row r="167">
      <c r="A167" s="216"/>
      <c r="B167" s="124"/>
      <c r="C167" s="124"/>
      <c r="D167" s="124"/>
      <c r="E167" s="124"/>
      <c r="F167" s="124"/>
      <c r="G167" s="124"/>
      <c r="H167" s="124"/>
      <c r="I167" s="217" t="str">
        <f>IFERROR(__xludf.DUMMYFUNCTION("""COMPUTED_VALUE"""),"")</f>
        <v/>
      </c>
      <c r="J167" s="219"/>
      <c r="K167" s="219"/>
      <c r="L167" s="124"/>
      <c r="M167" s="124"/>
      <c r="N167" s="124"/>
      <c r="O167" s="124"/>
      <c r="P167" s="124"/>
      <c r="Q167" s="124"/>
      <c r="R167" s="21"/>
      <c r="S167" s="124"/>
      <c r="T167" s="124"/>
      <c r="U167" s="124"/>
      <c r="V167" s="124"/>
      <c r="W167" s="124"/>
      <c r="X167" s="124"/>
    </row>
    <row r="168">
      <c r="A168" s="216"/>
      <c r="B168" s="124"/>
      <c r="C168" s="124"/>
      <c r="D168" s="124"/>
      <c r="E168" s="124"/>
      <c r="F168" s="124"/>
      <c r="G168" s="124"/>
      <c r="H168" s="124"/>
      <c r="I168" s="217" t="str">
        <f>IFERROR(__xludf.DUMMYFUNCTION("""COMPUTED_VALUE"""),"")</f>
        <v/>
      </c>
      <c r="J168" s="219"/>
      <c r="K168" s="219"/>
      <c r="L168" s="124"/>
      <c r="M168" s="124"/>
      <c r="N168" s="124"/>
      <c r="O168" s="124"/>
      <c r="P168" s="124"/>
      <c r="Q168" s="124"/>
      <c r="R168" s="21"/>
      <c r="S168" s="124"/>
      <c r="T168" s="124"/>
      <c r="U168" s="124"/>
      <c r="V168" s="124"/>
      <c r="W168" s="124"/>
      <c r="X168" s="124"/>
    </row>
    <row r="169">
      <c r="A169" s="216"/>
      <c r="B169" s="124"/>
      <c r="C169" s="124"/>
      <c r="D169" s="124"/>
      <c r="E169" s="124"/>
      <c r="F169" s="124"/>
      <c r="G169" s="124"/>
      <c r="H169" s="124"/>
      <c r="I169" s="217" t="str">
        <f>IFERROR(__xludf.DUMMYFUNCTION("""COMPUTED_VALUE"""),"")</f>
        <v/>
      </c>
      <c r="J169" s="219"/>
      <c r="K169" s="219"/>
      <c r="L169" s="124"/>
      <c r="M169" s="124"/>
      <c r="N169" s="124"/>
      <c r="O169" s="124"/>
      <c r="P169" s="124"/>
      <c r="Q169" s="124"/>
      <c r="R169" s="21"/>
      <c r="S169" s="124"/>
      <c r="T169" s="124"/>
      <c r="U169" s="124"/>
      <c r="V169" s="124"/>
      <c r="W169" s="124"/>
      <c r="X169" s="124"/>
    </row>
    <row r="170">
      <c r="A170" s="216"/>
      <c r="B170" s="124"/>
      <c r="C170" s="124"/>
      <c r="D170" s="124"/>
      <c r="E170" s="124"/>
      <c r="F170" s="124"/>
      <c r="G170" s="124"/>
      <c r="H170" s="124"/>
      <c r="I170" s="217" t="str">
        <f>IFERROR(__xludf.DUMMYFUNCTION("""COMPUTED_VALUE"""),"")</f>
        <v/>
      </c>
      <c r="J170" s="219"/>
      <c r="K170" s="219"/>
      <c r="L170" s="124"/>
      <c r="M170" s="124"/>
      <c r="N170" s="124"/>
      <c r="O170" s="124"/>
      <c r="P170" s="124"/>
      <c r="Q170" s="124"/>
      <c r="R170" s="21"/>
      <c r="S170" s="124"/>
      <c r="T170" s="124"/>
      <c r="U170" s="124"/>
      <c r="V170" s="124"/>
      <c r="W170" s="124"/>
      <c r="X170" s="124"/>
    </row>
    <row r="171">
      <c r="A171" s="216"/>
      <c r="B171" s="124"/>
      <c r="C171" s="124"/>
      <c r="D171" s="124"/>
      <c r="E171" s="124"/>
      <c r="F171" s="124"/>
      <c r="G171" s="124"/>
      <c r="H171" s="124"/>
      <c r="I171" s="217" t="str">
        <f>IFERROR(__xludf.DUMMYFUNCTION("""COMPUTED_VALUE"""),"")</f>
        <v/>
      </c>
      <c r="J171" s="219"/>
      <c r="K171" s="219"/>
      <c r="L171" s="124"/>
      <c r="M171" s="124"/>
      <c r="N171" s="124"/>
      <c r="O171" s="124"/>
      <c r="P171" s="124"/>
      <c r="Q171" s="124"/>
      <c r="R171" s="21"/>
      <c r="S171" s="124"/>
      <c r="T171" s="124"/>
      <c r="U171" s="124"/>
      <c r="V171" s="124"/>
      <c r="W171" s="124"/>
      <c r="X171" s="124"/>
    </row>
    <row r="172">
      <c r="A172" s="216"/>
      <c r="B172" s="124"/>
      <c r="C172" s="124"/>
      <c r="D172" s="124"/>
      <c r="E172" s="124"/>
      <c r="F172" s="124"/>
      <c r="G172" s="124"/>
      <c r="H172" s="124"/>
      <c r="I172" s="217" t="str">
        <f>IFERROR(__xludf.DUMMYFUNCTION("""COMPUTED_VALUE"""),"")</f>
        <v/>
      </c>
      <c r="J172" s="219"/>
      <c r="K172" s="219"/>
      <c r="L172" s="124"/>
      <c r="M172" s="124"/>
      <c r="N172" s="124"/>
      <c r="O172" s="124"/>
      <c r="P172" s="124"/>
      <c r="Q172" s="124"/>
      <c r="R172" s="21"/>
      <c r="S172" s="124"/>
      <c r="T172" s="124"/>
      <c r="U172" s="124"/>
      <c r="V172" s="124"/>
      <c r="W172" s="124"/>
      <c r="X172" s="124"/>
    </row>
    <row r="173">
      <c r="A173" s="216"/>
      <c r="B173" s="124"/>
      <c r="C173" s="124"/>
      <c r="D173" s="124"/>
      <c r="E173" s="124"/>
      <c r="F173" s="124"/>
      <c r="G173" s="124"/>
      <c r="H173" s="124"/>
      <c r="I173" s="217" t="str">
        <f>IFERROR(__xludf.DUMMYFUNCTION("""COMPUTED_VALUE"""),"")</f>
        <v/>
      </c>
      <c r="J173" s="219"/>
      <c r="K173" s="219"/>
      <c r="L173" s="124"/>
      <c r="M173" s="124"/>
      <c r="N173" s="124"/>
      <c r="O173" s="124"/>
      <c r="P173" s="124"/>
      <c r="Q173" s="124"/>
      <c r="R173" s="21"/>
      <c r="S173" s="124"/>
      <c r="T173" s="124"/>
      <c r="U173" s="124"/>
      <c r="V173" s="124"/>
      <c r="W173" s="124"/>
      <c r="X173" s="124"/>
    </row>
    <row r="174">
      <c r="A174" s="216"/>
      <c r="B174" s="124"/>
      <c r="C174" s="124"/>
      <c r="D174" s="124"/>
      <c r="E174" s="124"/>
      <c r="F174" s="124"/>
      <c r="G174" s="124"/>
      <c r="H174" s="124"/>
      <c r="I174" s="217" t="str">
        <f>IFERROR(__xludf.DUMMYFUNCTION("""COMPUTED_VALUE"""),"")</f>
        <v/>
      </c>
      <c r="J174" s="219"/>
      <c r="K174" s="219"/>
      <c r="L174" s="124"/>
      <c r="M174" s="124"/>
      <c r="N174" s="124"/>
      <c r="O174" s="124"/>
      <c r="P174" s="124"/>
      <c r="Q174" s="124"/>
      <c r="R174" s="21"/>
      <c r="S174" s="124"/>
      <c r="T174" s="124"/>
      <c r="U174" s="124"/>
      <c r="V174" s="124"/>
      <c r="W174" s="124"/>
      <c r="X174" s="124"/>
    </row>
    <row r="175">
      <c r="A175" s="216"/>
      <c r="B175" s="124"/>
      <c r="C175" s="124"/>
      <c r="D175" s="124"/>
      <c r="E175" s="124"/>
      <c r="F175" s="124"/>
      <c r="G175" s="124"/>
      <c r="H175" s="124"/>
      <c r="I175" s="217" t="str">
        <f>IFERROR(__xludf.DUMMYFUNCTION("""COMPUTED_VALUE"""),"")</f>
        <v/>
      </c>
      <c r="J175" s="219"/>
      <c r="K175" s="219"/>
      <c r="L175" s="124"/>
      <c r="M175" s="124"/>
      <c r="N175" s="124"/>
      <c r="O175" s="124"/>
      <c r="P175" s="124"/>
      <c r="Q175" s="124"/>
      <c r="R175" s="21"/>
      <c r="S175" s="124"/>
      <c r="T175" s="124"/>
      <c r="U175" s="124"/>
      <c r="V175" s="124"/>
      <c r="W175" s="124"/>
      <c r="X175" s="124"/>
    </row>
    <row r="176">
      <c r="A176" s="216"/>
      <c r="B176" s="124"/>
      <c r="C176" s="124"/>
      <c r="D176" s="124"/>
      <c r="E176" s="124"/>
      <c r="F176" s="124"/>
      <c r="G176" s="124"/>
      <c r="H176" s="124"/>
      <c r="I176" s="217" t="str">
        <f>IFERROR(__xludf.DUMMYFUNCTION("""COMPUTED_VALUE"""),"")</f>
        <v/>
      </c>
      <c r="J176" s="219"/>
      <c r="K176" s="219"/>
      <c r="L176" s="124"/>
      <c r="M176" s="124"/>
      <c r="N176" s="124"/>
      <c r="O176" s="124"/>
      <c r="P176" s="124"/>
      <c r="Q176" s="124"/>
      <c r="R176" s="21"/>
      <c r="S176" s="124"/>
      <c r="T176" s="124"/>
      <c r="U176" s="124"/>
      <c r="V176" s="124"/>
      <c r="W176" s="124"/>
      <c r="X176" s="124"/>
    </row>
    <row r="177">
      <c r="A177" s="216"/>
      <c r="B177" s="124"/>
      <c r="C177" s="124"/>
      <c r="D177" s="124"/>
      <c r="E177" s="124"/>
      <c r="F177" s="124"/>
      <c r="G177" s="124"/>
      <c r="H177" s="124"/>
      <c r="I177" s="217" t="str">
        <f>IFERROR(__xludf.DUMMYFUNCTION("""COMPUTED_VALUE"""),"")</f>
        <v/>
      </c>
      <c r="J177" s="219"/>
      <c r="K177" s="219"/>
      <c r="L177" s="124"/>
      <c r="M177" s="124"/>
      <c r="N177" s="124"/>
      <c r="O177" s="124"/>
      <c r="P177" s="124"/>
      <c r="Q177" s="124"/>
      <c r="R177" s="21"/>
      <c r="S177" s="124"/>
      <c r="T177" s="124"/>
      <c r="U177" s="124"/>
      <c r="V177" s="124"/>
      <c r="W177" s="124"/>
      <c r="X177" s="124"/>
    </row>
    <row r="178">
      <c r="A178" s="216"/>
      <c r="B178" s="124"/>
      <c r="C178" s="124"/>
      <c r="D178" s="124"/>
      <c r="E178" s="124"/>
      <c r="F178" s="124"/>
      <c r="G178" s="124"/>
      <c r="H178" s="124"/>
      <c r="I178" s="217" t="str">
        <f>IFERROR(__xludf.DUMMYFUNCTION("""COMPUTED_VALUE"""),"")</f>
        <v/>
      </c>
      <c r="J178" s="219"/>
      <c r="K178" s="219"/>
      <c r="L178" s="124"/>
      <c r="M178" s="124"/>
      <c r="N178" s="124"/>
      <c r="O178" s="124"/>
      <c r="P178" s="124"/>
      <c r="Q178" s="124"/>
      <c r="R178" s="21"/>
      <c r="S178" s="124"/>
      <c r="T178" s="124"/>
      <c r="U178" s="124"/>
      <c r="V178" s="124"/>
      <c r="W178" s="124"/>
      <c r="X178" s="124"/>
    </row>
    <row r="179">
      <c r="A179" s="216"/>
      <c r="B179" s="124"/>
      <c r="C179" s="124"/>
      <c r="D179" s="124"/>
      <c r="E179" s="124"/>
      <c r="F179" s="124"/>
      <c r="G179" s="124"/>
      <c r="H179" s="124"/>
      <c r="I179" s="217" t="str">
        <f>IFERROR(__xludf.DUMMYFUNCTION("""COMPUTED_VALUE"""),"")</f>
        <v/>
      </c>
      <c r="J179" s="219"/>
      <c r="K179" s="219"/>
      <c r="L179" s="124"/>
      <c r="M179" s="124"/>
      <c r="N179" s="124"/>
      <c r="O179" s="124"/>
      <c r="P179" s="124"/>
      <c r="Q179" s="124"/>
      <c r="R179" s="21"/>
      <c r="S179" s="124"/>
      <c r="T179" s="124"/>
      <c r="U179" s="124"/>
      <c r="V179" s="124"/>
      <c r="W179" s="124"/>
      <c r="X179" s="124"/>
    </row>
    <row r="180">
      <c r="A180" s="216"/>
      <c r="B180" s="124"/>
      <c r="C180" s="124"/>
      <c r="D180" s="124"/>
      <c r="E180" s="124"/>
      <c r="F180" s="124"/>
      <c r="G180" s="124"/>
      <c r="H180" s="124"/>
      <c r="I180" s="217" t="str">
        <f>IFERROR(__xludf.DUMMYFUNCTION("""COMPUTED_VALUE"""),"")</f>
        <v/>
      </c>
      <c r="J180" s="219"/>
      <c r="K180" s="219"/>
      <c r="L180" s="124"/>
      <c r="M180" s="124"/>
      <c r="N180" s="124"/>
      <c r="O180" s="124"/>
      <c r="P180" s="124"/>
      <c r="Q180" s="124"/>
      <c r="R180" s="21"/>
      <c r="S180" s="124"/>
      <c r="T180" s="124"/>
      <c r="U180" s="124"/>
      <c r="V180" s="124"/>
      <c r="W180" s="124"/>
      <c r="X180" s="124"/>
    </row>
    <row r="181">
      <c r="A181" s="216"/>
      <c r="B181" s="124"/>
      <c r="C181" s="124"/>
      <c r="D181" s="124"/>
      <c r="E181" s="124"/>
      <c r="F181" s="124"/>
      <c r="G181" s="124"/>
      <c r="H181" s="124"/>
      <c r="I181" s="217" t="str">
        <f>IFERROR(__xludf.DUMMYFUNCTION("""COMPUTED_VALUE"""),"")</f>
        <v/>
      </c>
      <c r="J181" s="219"/>
      <c r="K181" s="219"/>
      <c r="L181" s="124"/>
      <c r="M181" s="124"/>
      <c r="N181" s="124"/>
      <c r="O181" s="124"/>
      <c r="P181" s="124"/>
      <c r="Q181" s="124"/>
      <c r="R181" s="21"/>
      <c r="S181" s="124"/>
      <c r="T181" s="124"/>
      <c r="U181" s="124"/>
      <c r="V181" s="124"/>
      <c r="W181" s="124"/>
      <c r="X181" s="124"/>
    </row>
    <row r="182">
      <c r="A182" s="216"/>
      <c r="B182" s="124"/>
      <c r="C182" s="124"/>
      <c r="D182" s="124"/>
      <c r="E182" s="124"/>
      <c r="F182" s="124"/>
      <c r="G182" s="124"/>
      <c r="H182" s="124"/>
      <c r="I182" s="217" t="str">
        <f>IFERROR(__xludf.DUMMYFUNCTION("""COMPUTED_VALUE"""),"")</f>
        <v/>
      </c>
      <c r="J182" s="219"/>
      <c r="K182" s="219"/>
      <c r="L182" s="124"/>
      <c r="M182" s="124"/>
      <c r="N182" s="124"/>
      <c r="O182" s="124"/>
      <c r="P182" s="124"/>
      <c r="Q182" s="124"/>
      <c r="R182" s="21"/>
      <c r="S182" s="124"/>
      <c r="T182" s="124"/>
      <c r="U182" s="124"/>
      <c r="V182" s="124"/>
      <c r="W182" s="124"/>
      <c r="X182" s="124"/>
    </row>
    <row r="183">
      <c r="A183" s="216"/>
      <c r="B183" s="124"/>
      <c r="C183" s="124"/>
      <c r="D183" s="124"/>
      <c r="E183" s="124"/>
      <c r="F183" s="124"/>
      <c r="G183" s="124"/>
      <c r="H183" s="124"/>
      <c r="I183" s="217" t="str">
        <f>IFERROR(__xludf.DUMMYFUNCTION("""COMPUTED_VALUE"""),"")</f>
        <v/>
      </c>
      <c r="J183" s="219"/>
      <c r="K183" s="219"/>
      <c r="L183" s="124"/>
      <c r="M183" s="124"/>
      <c r="N183" s="124"/>
      <c r="O183" s="124"/>
      <c r="P183" s="124"/>
      <c r="Q183" s="124"/>
      <c r="R183" s="21"/>
      <c r="S183" s="124"/>
      <c r="T183" s="124"/>
      <c r="U183" s="124"/>
      <c r="V183" s="124"/>
      <c r="W183" s="124"/>
      <c r="X183" s="124"/>
    </row>
    <row r="184">
      <c r="A184" s="216"/>
      <c r="B184" s="124"/>
      <c r="C184" s="124"/>
      <c r="D184" s="124"/>
      <c r="E184" s="124"/>
      <c r="F184" s="124"/>
      <c r="G184" s="124"/>
      <c r="H184" s="124"/>
      <c r="I184" s="217" t="str">
        <f>IFERROR(__xludf.DUMMYFUNCTION("""COMPUTED_VALUE"""),"")</f>
        <v/>
      </c>
      <c r="J184" s="219"/>
      <c r="K184" s="219"/>
      <c r="L184" s="124"/>
      <c r="M184" s="124"/>
      <c r="N184" s="124"/>
      <c r="O184" s="124"/>
      <c r="P184" s="124"/>
      <c r="Q184" s="124"/>
      <c r="R184" s="21"/>
      <c r="S184" s="124"/>
      <c r="T184" s="124"/>
      <c r="U184" s="124"/>
      <c r="V184" s="124"/>
      <c r="W184" s="124"/>
      <c r="X184" s="124"/>
    </row>
    <row r="185">
      <c r="A185" s="216"/>
      <c r="B185" s="124"/>
      <c r="C185" s="124"/>
      <c r="D185" s="124"/>
      <c r="E185" s="124"/>
      <c r="F185" s="124"/>
      <c r="G185" s="124"/>
      <c r="H185" s="124"/>
      <c r="I185" s="217" t="str">
        <f>IFERROR(__xludf.DUMMYFUNCTION("""COMPUTED_VALUE"""),"")</f>
        <v/>
      </c>
      <c r="J185" s="219"/>
      <c r="K185" s="219"/>
      <c r="L185" s="124"/>
      <c r="M185" s="124"/>
      <c r="N185" s="124"/>
      <c r="O185" s="124"/>
      <c r="P185" s="124"/>
      <c r="Q185" s="124"/>
      <c r="R185" s="21"/>
      <c r="S185" s="124"/>
      <c r="T185" s="124"/>
      <c r="U185" s="124"/>
      <c r="V185" s="124"/>
      <c r="W185" s="124"/>
      <c r="X185" s="124"/>
    </row>
    <row r="186">
      <c r="A186" s="216"/>
      <c r="B186" s="124"/>
      <c r="C186" s="124"/>
      <c r="D186" s="124"/>
      <c r="E186" s="124"/>
      <c r="F186" s="124"/>
      <c r="G186" s="124"/>
      <c r="H186" s="124"/>
      <c r="I186" s="217" t="str">
        <f>IFERROR(__xludf.DUMMYFUNCTION("""COMPUTED_VALUE"""),"")</f>
        <v/>
      </c>
      <c r="J186" s="219"/>
      <c r="K186" s="219"/>
      <c r="L186" s="124"/>
      <c r="M186" s="124"/>
      <c r="N186" s="124"/>
      <c r="O186" s="124"/>
      <c r="P186" s="124"/>
      <c r="Q186" s="124"/>
      <c r="R186" s="21"/>
      <c r="S186" s="124"/>
      <c r="T186" s="124"/>
      <c r="U186" s="124"/>
      <c r="V186" s="124"/>
      <c r="W186" s="124"/>
      <c r="X186" s="124"/>
    </row>
    <row r="187">
      <c r="A187" s="216"/>
      <c r="B187" s="124"/>
      <c r="C187" s="124"/>
      <c r="D187" s="124"/>
      <c r="E187" s="124"/>
      <c r="F187" s="124"/>
      <c r="G187" s="124"/>
      <c r="H187" s="124"/>
      <c r="I187" s="217" t="str">
        <f>IFERROR(__xludf.DUMMYFUNCTION("""COMPUTED_VALUE"""),"")</f>
        <v/>
      </c>
      <c r="J187" s="219"/>
      <c r="K187" s="219"/>
      <c r="L187" s="124"/>
      <c r="M187" s="124"/>
      <c r="N187" s="124"/>
      <c r="O187" s="124"/>
      <c r="P187" s="124"/>
      <c r="Q187" s="124"/>
      <c r="R187" s="21"/>
      <c r="S187" s="124"/>
      <c r="T187" s="124"/>
      <c r="U187" s="124"/>
      <c r="V187" s="124"/>
      <c r="W187" s="124"/>
      <c r="X187" s="124"/>
    </row>
    <row r="188">
      <c r="A188" s="216"/>
      <c r="B188" s="124"/>
      <c r="C188" s="124"/>
      <c r="D188" s="124"/>
      <c r="E188" s="124"/>
      <c r="F188" s="124"/>
      <c r="G188" s="124"/>
      <c r="H188" s="124"/>
      <c r="I188" s="217" t="str">
        <f>IFERROR(__xludf.DUMMYFUNCTION("""COMPUTED_VALUE"""),"")</f>
        <v/>
      </c>
      <c r="J188" s="219"/>
      <c r="K188" s="219"/>
      <c r="L188" s="124"/>
      <c r="M188" s="124"/>
      <c r="N188" s="124"/>
      <c r="O188" s="124"/>
      <c r="P188" s="124"/>
      <c r="Q188" s="124"/>
      <c r="R188" s="21"/>
      <c r="S188" s="124"/>
      <c r="T188" s="124"/>
      <c r="U188" s="124"/>
      <c r="V188" s="124"/>
      <c r="W188" s="124"/>
      <c r="X188" s="124"/>
    </row>
    <row r="189">
      <c r="A189" s="216"/>
      <c r="B189" s="124"/>
      <c r="C189" s="124"/>
      <c r="D189" s="124"/>
      <c r="E189" s="124"/>
      <c r="F189" s="124"/>
      <c r="G189" s="124"/>
      <c r="H189" s="124"/>
      <c r="I189" s="217" t="str">
        <f>IFERROR(__xludf.DUMMYFUNCTION("""COMPUTED_VALUE"""),"")</f>
        <v/>
      </c>
      <c r="J189" s="219"/>
      <c r="K189" s="219"/>
      <c r="L189" s="124"/>
      <c r="M189" s="124"/>
      <c r="N189" s="124"/>
      <c r="O189" s="124"/>
      <c r="P189" s="124"/>
      <c r="Q189" s="124"/>
      <c r="R189" s="21"/>
      <c r="S189" s="124"/>
      <c r="T189" s="124"/>
      <c r="U189" s="124"/>
      <c r="V189" s="124"/>
      <c r="W189" s="124"/>
      <c r="X189" s="124"/>
    </row>
    <row r="190">
      <c r="A190" s="216"/>
      <c r="B190" s="124"/>
      <c r="C190" s="124"/>
      <c r="D190" s="124"/>
      <c r="E190" s="124"/>
      <c r="F190" s="124"/>
      <c r="G190" s="124"/>
      <c r="H190" s="124"/>
      <c r="I190" s="217" t="str">
        <f>IFERROR(__xludf.DUMMYFUNCTION("""COMPUTED_VALUE"""),"")</f>
        <v/>
      </c>
      <c r="J190" s="219"/>
      <c r="K190" s="219"/>
      <c r="L190" s="124"/>
      <c r="M190" s="124"/>
      <c r="N190" s="124"/>
      <c r="O190" s="124"/>
      <c r="P190" s="124"/>
      <c r="Q190" s="124"/>
      <c r="R190" s="21"/>
      <c r="S190" s="124"/>
      <c r="T190" s="124"/>
      <c r="U190" s="124"/>
      <c r="V190" s="124"/>
      <c r="W190" s="124"/>
      <c r="X190" s="124"/>
    </row>
    <row r="191">
      <c r="A191" s="216"/>
      <c r="B191" s="124"/>
      <c r="C191" s="124"/>
      <c r="D191" s="124"/>
      <c r="E191" s="124"/>
      <c r="F191" s="124"/>
      <c r="G191" s="124"/>
      <c r="H191" s="124"/>
      <c r="I191" s="217" t="str">
        <f>IFERROR(__xludf.DUMMYFUNCTION("""COMPUTED_VALUE"""),"")</f>
        <v/>
      </c>
      <c r="J191" s="219"/>
      <c r="K191" s="219"/>
      <c r="L191" s="124"/>
      <c r="M191" s="124"/>
      <c r="N191" s="124"/>
      <c r="O191" s="124"/>
      <c r="P191" s="124"/>
      <c r="Q191" s="124"/>
      <c r="R191" s="21"/>
      <c r="S191" s="124"/>
      <c r="T191" s="124"/>
      <c r="U191" s="124"/>
      <c r="V191" s="124"/>
      <c r="W191" s="124"/>
      <c r="X191" s="124"/>
    </row>
    <row r="192">
      <c r="A192" s="216"/>
      <c r="B192" s="124"/>
      <c r="C192" s="124"/>
      <c r="D192" s="124"/>
      <c r="E192" s="124"/>
      <c r="F192" s="124"/>
      <c r="G192" s="124"/>
      <c r="H192" s="124"/>
      <c r="I192" s="217" t="str">
        <f>IFERROR(__xludf.DUMMYFUNCTION("""COMPUTED_VALUE"""),"")</f>
        <v/>
      </c>
      <c r="J192" s="219"/>
      <c r="K192" s="219"/>
      <c r="L192" s="124"/>
      <c r="M192" s="124"/>
      <c r="N192" s="124"/>
      <c r="O192" s="124"/>
      <c r="P192" s="124"/>
      <c r="Q192" s="124"/>
      <c r="R192" s="21"/>
      <c r="S192" s="124"/>
      <c r="T192" s="124"/>
      <c r="U192" s="124"/>
      <c r="V192" s="124"/>
      <c r="W192" s="124"/>
      <c r="X192" s="124"/>
    </row>
    <row r="193">
      <c r="A193" s="216"/>
      <c r="B193" s="124"/>
      <c r="C193" s="124"/>
      <c r="D193" s="124"/>
      <c r="E193" s="124"/>
      <c r="F193" s="124"/>
      <c r="G193" s="124"/>
      <c r="H193" s="124"/>
      <c r="I193" s="217" t="str">
        <f>IFERROR(__xludf.DUMMYFUNCTION("""COMPUTED_VALUE"""),"")</f>
        <v/>
      </c>
      <c r="J193" s="219"/>
      <c r="K193" s="219"/>
      <c r="L193" s="124"/>
      <c r="M193" s="124"/>
      <c r="N193" s="124"/>
      <c r="O193" s="124"/>
      <c r="P193" s="124"/>
      <c r="Q193" s="124"/>
      <c r="R193" s="21"/>
      <c r="S193" s="124"/>
      <c r="T193" s="124"/>
      <c r="U193" s="124"/>
      <c r="V193" s="124"/>
      <c r="W193" s="124"/>
      <c r="X193" s="124"/>
    </row>
    <row r="194">
      <c r="A194" s="216"/>
      <c r="B194" s="124"/>
      <c r="C194" s="124"/>
      <c r="D194" s="124"/>
      <c r="E194" s="124"/>
      <c r="F194" s="124"/>
      <c r="G194" s="124"/>
      <c r="H194" s="124"/>
      <c r="I194" s="217" t="str">
        <f>IFERROR(__xludf.DUMMYFUNCTION("""COMPUTED_VALUE"""),"")</f>
        <v/>
      </c>
      <c r="J194" s="219"/>
      <c r="K194" s="219"/>
      <c r="L194" s="124"/>
      <c r="M194" s="124"/>
      <c r="N194" s="124"/>
      <c r="O194" s="124"/>
      <c r="P194" s="124"/>
      <c r="Q194" s="124"/>
      <c r="R194" s="21"/>
      <c r="S194" s="124"/>
      <c r="T194" s="124"/>
      <c r="U194" s="124"/>
      <c r="V194" s="124"/>
      <c r="W194" s="124"/>
      <c r="X194" s="124"/>
    </row>
    <row r="195">
      <c r="A195" s="216"/>
      <c r="B195" s="124"/>
      <c r="C195" s="124"/>
      <c r="D195" s="124"/>
      <c r="E195" s="124"/>
      <c r="F195" s="124"/>
      <c r="G195" s="124"/>
      <c r="H195" s="124"/>
      <c r="I195" s="217" t="str">
        <f>IFERROR(__xludf.DUMMYFUNCTION("""COMPUTED_VALUE"""),"")</f>
        <v/>
      </c>
      <c r="J195" s="219"/>
      <c r="K195" s="219"/>
      <c r="L195" s="124"/>
      <c r="M195" s="124"/>
      <c r="N195" s="124"/>
      <c r="O195" s="124"/>
      <c r="P195" s="124"/>
      <c r="Q195" s="124"/>
      <c r="R195" s="21"/>
      <c r="S195" s="124"/>
      <c r="T195" s="124"/>
      <c r="U195" s="124"/>
      <c r="V195" s="124"/>
      <c r="W195" s="124"/>
      <c r="X195" s="124"/>
    </row>
    <row r="196">
      <c r="A196" s="216"/>
      <c r="B196" s="124"/>
      <c r="C196" s="124"/>
      <c r="D196" s="124"/>
      <c r="E196" s="124"/>
      <c r="F196" s="124"/>
      <c r="G196" s="124"/>
      <c r="H196" s="124"/>
      <c r="I196" s="217" t="str">
        <f>IFERROR(__xludf.DUMMYFUNCTION("""COMPUTED_VALUE"""),"")</f>
        <v/>
      </c>
      <c r="J196" s="219"/>
      <c r="K196" s="219"/>
      <c r="L196" s="124"/>
      <c r="M196" s="124"/>
      <c r="N196" s="124"/>
      <c r="O196" s="124"/>
      <c r="P196" s="124"/>
      <c r="Q196" s="124"/>
      <c r="R196" s="21"/>
      <c r="S196" s="124"/>
      <c r="T196" s="124"/>
      <c r="U196" s="124"/>
      <c r="V196" s="124"/>
      <c r="W196" s="124"/>
      <c r="X196" s="124"/>
    </row>
    <row r="197">
      <c r="A197" s="216"/>
      <c r="B197" s="124"/>
      <c r="C197" s="124"/>
      <c r="D197" s="124"/>
      <c r="E197" s="124"/>
      <c r="F197" s="124"/>
      <c r="G197" s="124"/>
      <c r="H197" s="124"/>
      <c r="I197" s="217" t="str">
        <f>IFERROR(__xludf.DUMMYFUNCTION("""COMPUTED_VALUE"""),"")</f>
        <v/>
      </c>
      <c r="J197" s="219"/>
      <c r="K197" s="219"/>
      <c r="L197" s="124"/>
      <c r="M197" s="124"/>
      <c r="N197" s="124"/>
      <c r="O197" s="124"/>
      <c r="P197" s="124"/>
      <c r="Q197" s="124"/>
      <c r="R197" s="21"/>
      <c r="S197" s="124"/>
      <c r="T197" s="124"/>
      <c r="U197" s="124"/>
      <c r="V197" s="124"/>
      <c r="W197" s="124"/>
      <c r="X197" s="124"/>
    </row>
    <row r="198">
      <c r="A198" s="216"/>
      <c r="B198" s="124"/>
      <c r="C198" s="124"/>
      <c r="D198" s="124"/>
      <c r="E198" s="124"/>
      <c r="F198" s="124"/>
      <c r="G198" s="124"/>
      <c r="H198" s="124"/>
      <c r="I198" s="217" t="str">
        <f>IFERROR(__xludf.DUMMYFUNCTION("""COMPUTED_VALUE"""),"")</f>
        <v/>
      </c>
      <c r="J198" s="219"/>
      <c r="K198" s="219"/>
      <c r="L198" s="124"/>
      <c r="M198" s="124"/>
      <c r="N198" s="124"/>
      <c r="O198" s="124"/>
      <c r="P198" s="124"/>
      <c r="Q198" s="124"/>
      <c r="R198" s="21"/>
      <c r="S198" s="124"/>
      <c r="T198" s="124"/>
      <c r="U198" s="124"/>
      <c r="V198" s="124"/>
      <c r="W198" s="124"/>
      <c r="X198" s="124"/>
    </row>
    <row r="199">
      <c r="A199" s="216"/>
      <c r="B199" s="124"/>
      <c r="C199" s="124"/>
      <c r="D199" s="124"/>
      <c r="E199" s="124"/>
      <c r="F199" s="124"/>
      <c r="G199" s="124"/>
      <c r="H199" s="124"/>
      <c r="I199" s="217" t="str">
        <f>IFERROR(__xludf.DUMMYFUNCTION("""COMPUTED_VALUE"""),"")</f>
        <v/>
      </c>
      <c r="J199" s="219"/>
      <c r="K199" s="219"/>
      <c r="L199" s="124"/>
      <c r="M199" s="124"/>
      <c r="N199" s="124"/>
      <c r="O199" s="124"/>
      <c r="P199" s="124"/>
      <c r="Q199" s="124"/>
      <c r="R199" s="21"/>
      <c r="S199" s="124"/>
      <c r="T199" s="124"/>
      <c r="U199" s="124"/>
      <c r="V199" s="124"/>
      <c r="W199" s="124"/>
      <c r="X199" s="124"/>
    </row>
    <row r="200">
      <c r="A200" s="216"/>
      <c r="B200" s="124"/>
      <c r="C200" s="124"/>
      <c r="D200" s="124"/>
      <c r="E200" s="124"/>
      <c r="F200" s="124"/>
      <c r="G200" s="124"/>
      <c r="H200" s="124"/>
      <c r="I200" s="217" t="str">
        <f>IFERROR(__xludf.DUMMYFUNCTION("""COMPUTED_VALUE"""),"")</f>
        <v/>
      </c>
      <c r="J200" s="219"/>
      <c r="K200" s="219"/>
      <c r="L200" s="124"/>
      <c r="M200" s="124"/>
      <c r="N200" s="124"/>
      <c r="O200" s="124"/>
      <c r="P200" s="124"/>
      <c r="Q200" s="124"/>
      <c r="R200" s="21"/>
      <c r="S200" s="124"/>
      <c r="T200" s="124"/>
      <c r="U200" s="124"/>
      <c r="V200" s="124"/>
      <c r="W200" s="124"/>
      <c r="X200" s="124"/>
    </row>
    <row r="201">
      <c r="A201" s="216"/>
      <c r="B201" s="124"/>
      <c r="C201" s="124"/>
      <c r="D201" s="124"/>
      <c r="E201" s="124"/>
      <c r="F201" s="124"/>
      <c r="G201" s="124"/>
      <c r="H201" s="124"/>
      <c r="I201" s="217" t="str">
        <f>IFERROR(__xludf.DUMMYFUNCTION("""COMPUTED_VALUE"""),"")</f>
        <v/>
      </c>
      <c r="J201" s="219"/>
      <c r="K201" s="219"/>
      <c r="L201" s="124"/>
      <c r="M201" s="124"/>
      <c r="N201" s="124"/>
      <c r="O201" s="124"/>
      <c r="P201" s="124"/>
      <c r="Q201" s="124"/>
      <c r="R201" s="21"/>
      <c r="S201" s="124"/>
      <c r="T201" s="124"/>
      <c r="U201" s="124"/>
      <c r="V201" s="124"/>
      <c r="W201" s="124"/>
      <c r="X201" s="124"/>
    </row>
    <row r="202">
      <c r="A202" s="216"/>
      <c r="B202" s="124"/>
      <c r="C202" s="124"/>
      <c r="D202" s="124"/>
      <c r="E202" s="124"/>
      <c r="F202" s="124"/>
      <c r="G202" s="124"/>
      <c r="H202" s="124"/>
      <c r="I202" s="217" t="str">
        <f>IFERROR(__xludf.DUMMYFUNCTION("""COMPUTED_VALUE"""),"")</f>
        <v/>
      </c>
      <c r="J202" s="219"/>
      <c r="K202" s="219"/>
      <c r="L202" s="124"/>
      <c r="M202" s="124"/>
      <c r="N202" s="124"/>
      <c r="O202" s="124"/>
      <c r="P202" s="124"/>
      <c r="Q202" s="124"/>
      <c r="R202" s="21"/>
      <c r="S202" s="124"/>
      <c r="T202" s="124"/>
      <c r="U202" s="124"/>
      <c r="V202" s="124"/>
      <c r="W202" s="124"/>
      <c r="X202" s="124"/>
    </row>
    <row r="203">
      <c r="A203" s="216"/>
      <c r="B203" s="124"/>
      <c r="C203" s="124"/>
      <c r="D203" s="124"/>
      <c r="E203" s="124"/>
      <c r="F203" s="124"/>
      <c r="G203" s="124"/>
      <c r="H203" s="124"/>
      <c r="I203" s="217" t="str">
        <f>IFERROR(__xludf.DUMMYFUNCTION("""COMPUTED_VALUE"""),"")</f>
        <v/>
      </c>
      <c r="J203" s="219"/>
      <c r="K203" s="219"/>
      <c r="L203" s="124"/>
      <c r="M203" s="124"/>
      <c r="N203" s="124"/>
      <c r="O203" s="124"/>
      <c r="P203" s="124"/>
      <c r="Q203" s="124"/>
      <c r="R203" s="21"/>
      <c r="S203" s="124"/>
      <c r="T203" s="124"/>
      <c r="U203" s="124"/>
      <c r="V203" s="124"/>
      <c r="W203" s="124"/>
      <c r="X203" s="124"/>
    </row>
    <row r="204">
      <c r="A204" s="216"/>
      <c r="B204" s="124"/>
      <c r="C204" s="124"/>
      <c r="D204" s="124"/>
      <c r="E204" s="124"/>
      <c r="F204" s="124"/>
      <c r="G204" s="124"/>
      <c r="H204" s="124"/>
      <c r="I204" s="217" t="str">
        <f>IFERROR(__xludf.DUMMYFUNCTION("""COMPUTED_VALUE"""),"")</f>
        <v/>
      </c>
      <c r="J204" s="219"/>
      <c r="K204" s="219"/>
      <c r="L204" s="124"/>
      <c r="M204" s="124"/>
      <c r="N204" s="124"/>
      <c r="O204" s="124"/>
      <c r="P204" s="124"/>
      <c r="Q204" s="124"/>
      <c r="R204" s="21"/>
      <c r="S204" s="124"/>
      <c r="T204" s="124"/>
      <c r="U204" s="124"/>
      <c r="V204" s="124"/>
      <c r="W204" s="124"/>
      <c r="X204" s="124"/>
    </row>
    <row r="205">
      <c r="A205" s="216"/>
      <c r="B205" s="124"/>
      <c r="C205" s="124"/>
      <c r="D205" s="124"/>
      <c r="E205" s="124"/>
      <c r="F205" s="124"/>
      <c r="G205" s="124"/>
      <c r="H205" s="124"/>
      <c r="I205" s="217" t="str">
        <f>IFERROR(__xludf.DUMMYFUNCTION("""COMPUTED_VALUE"""),"")</f>
        <v/>
      </c>
      <c r="J205" s="219"/>
      <c r="K205" s="219"/>
      <c r="L205" s="124"/>
      <c r="M205" s="124"/>
      <c r="N205" s="124"/>
      <c r="O205" s="124"/>
      <c r="P205" s="124"/>
      <c r="Q205" s="124"/>
      <c r="R205" s="21"/>
      <c r="S205" s="124"/>
      <c r="T205" s="124"/>
      <c r="U205" s="124"/>
      <c r="V205" s="124"/>
      <c r="W205" s="124"/>
      <c r="X205" s="124"/>
    </row>
    <row r="206">
      <c r="A206" s="216"/>
      <c r="B206" s="124"/>
      <c r="C206" s="124"/>
      <c r="D206" s="124"/>
      <c r="E206" s="124"/>
      <c r="F206" s="124"/>
      <c r="G206" s="124"/>
      <c r="H206" s="124"/>
      <c r="I206" s="217" t="str">
        <f>IFERROR(__xludf.DUMMYFUNCTION("""COMPUTED_VALUE"""),"")</f>
        <v/>
      </c>
      <c r="J206" s="219"/>
      <c r="K206" s="219"/>
      <c r="L206" s="124"/>
      <c r="M206" s="124"/>
      <c r="N206" s="124"/>
      <c r="O206" s="124"/>
      <c r="P206" s="124"/>
      <c r="Q206" s="124"/>
      <c r="R206" s="21"/>
      <c r="S206" s="124"/>
      <c r="T206" s="124"/>
      <c r="U206" s="124"/>
      <c r="V206" s="124"/>
      <c r="W206" s="124"/>
      <c r="X206" s="124"/>
    </row>
    <row r="207">
      <c r="A207" s="216"/>
      <c r="B207" s="124"/>
      <c r="C207" s="124"/>
      <c r="D207" s="124"/>
      <c r="E207" s="124"/>
      <c r="F207" s="124"/>
      <c r="G207" s="124"/>
      <c r="H207" s="124"/>
      <c r="I207" s="217" t="str">
        <f>IFERROR(__xludf.DUMMYFUNCTION("""COMPUTED_VALUE"""),"")</f>
        <v/>
      </c>
      <c r="J207" s="219"/>
      <c r="K207" s="219"/>
      <c r="L207" s="124"/>
      <c r="M207" s="124"/>
      <c r="N207" s="124"/>
      <c r="O207" s="124"/>
      <c r="P207" s="124"/>
      <c r="Q207" s="124"/>
      <c r="R207" s="21"/>
      <c r="S207" s="124"/>
      <c r="T207" s="124"/>
      <c r="U207" s="124"/>
      <c r="V207" s="124"/>
      <c r="W207" s="124"/>
      <c r="X207" s="124"/>
    </row>
    <row r="208">
      <c r="A208" s="216"/>
      <c r="B208" s="124"/>
      <c r="C208" s="124"/>
      <c r="D208" s="124"/>
      <c r="E208" s="124"/>
      <c r="F208" s="124"/>
      <c r="G208" s="124"/>
      <c r="H208" s="124"/>
      <c r="I208" s="217" t="str">
        <f>IFERROR(__xludf.DUMMYFUNCTION("""COMPUTED_VALUE"""),"")</f>
        <v/>
      </c>
      <c r="J208" s="219"/>
      <c r="K208" s="219"/>
      <c r="L208" s="124"/>
      <c r="M208" s="124"/>
      <c r="N208" s="124"/>
      <c r="O208" s="124"/>
      <c r="P208" s="124"/>
      <c r="Q208" s="124"/>
      <c r="R208" s="21"/>
      <c r="S208" s="124"/>
      <c r="T208" s="124"/>
      <c r="U208" s="124"/>
      <c r="V208" s="124"/>
      <c r="W208" s="124"/>
      <c r="X208" s="124"/>
    </row>
    <row r="209">
      <c r="A209" s="216"/>
      <c r="B209" s="124"/>
      <c r="C209" s="124"/>
      <c r="D209" s="124"/>
      <c r="E209" s="124"/>
      <c r="F209" s="124"/>
      <c r="G209" s="124"/>
      <c r="H209" s="124"/>
      <c r="I209" s="217" t="str">
        <f>IFERROR(__xludf.DUMMYFUNCTION("""COMPUTED_VALUE"""),"")</f>
        <v/>
      </c>
      <c r="J209" s="219"/>
      <c r="K209" s="219"/>
      <c r="L209" s="124"/>
      <c r="M209" s="124"/>
      <c r="N209" s="124"/>
      <c r="O209" s="124"/>
      <c r="P209" s="124"/>
      <c r="Q209" s="124"/>
      <c r="R209" s="21"/>
      <c r="S209" s="124"/>
      <c r="T209" s="124"/>
      <c r="U209" s="124"/>
      <c r="V209" s="124"/>
      <c r="W209" s="124"/>
      <c r="X209" s="124"/>
    </row>
    <row r="210">
      <c r="A210" s="216"/>
      <c r="B210" s="124"/>
      <c r="C210" s="124"/>
      <c r="D210" s="124"/>
      <c r="E210" s="124"/>
      <c r="F210" s="124"/>
      <c r="G210" s="124"/>
      <c r="H210" s="124"/>
      <c r="I210" s="217" t="str">
        <f>IFERROR(__xludf.DUMMYFUNCTION("""COMPUTED_VALUE"""),"")</f>
        <v/>
      </c>
      <c r="J210" s="219"/>
      <c r="K210" s="219"/>
      <c r="L210" s="124"/>
      <c r="M210" s="124"/>
      <c r="N210" s="124"/>
      <c r="O210" s="124"/>
      <c r="P210" s="124"/>
      <c r="Q210" s="124"/>
      <c r="R210" s="21"/>
      <c r="S210" s="124"/>
      <c r="T210" s="124"/>
      <c r="U210" s="124"/>
      <c r="V210" s="124"/>
      <c r="W210" s="124"/>
      <c r="X210" s="124"/>
    </row>
    <row r="211">
      <c r="A211" s="216"/>
      <c r="B211" s="124"/>
      <c r="C211" s="124"/>
      <c r="D211" s="124"/>
      <c r="E211" s="124"/>
      <c r="F211" s="124"/>
      <c r="G211" s="124"/>
      <c r="H211" s="124"/>
      <c r="I211" s="217" t="str">
        <f>IFERROR(__xludf.DUMMYFUNCTION("""COMPUTED_VALUE"""),"")</f>
        <v/>
      </c>
      <c r="J211" s="219"/>
      <c r="K211" s="219"/>
      <c r="L211" s="124"/>
      <c r="M211" s="124"/>
      <c r="N211" s="124"/>
      <c r="O211" s="124"/>
      <c r="P211" s="124"/>
      <c r="Q211" s="124"/>
      <c r="R211" s="21"/>
      <c r="S211" s="124"/>
      <c r="T211" s="124"/>
      <c r="U211" s="124"/>
      <c r="V211" s="124"/>
      <c r="W211" s="124"/>
      <c r="X211" s="124"/>
    </row>
    <row r="212">
      <c r="A212" s="216"/>
      <c r="B212" s="124"/>
      <c r="C212" s="124"/>
      <c r="D212" s="124"/>
      <c r="E212" s="124"/>
      <c r="F212" s="124"/>
      <c r="G212" s="124"/>
      <c r="H212" s="124"/>
      <c r="I212" s="217" t="str">
        <f>IFERROR(__xludf.DUMMYFUNCTION("""COMPUTED_VALUE"""),"")</f>
        <v/>
      </c>
      <c r="J212" s="219"/>
      <c r="K212" s="219"/>
      <c r="L212" s="124"/>
      <c r="M212" s="124"/>
      <c r="N212" s="124"/>
      <c r="O212" s="124"/>
      <c r="P212" s="124"/>
      <c r="Q212" s="124"/>
      <c r="R212" s="21"/>
      <c r="S212" s="124"/>
      <c r="T212" s="124"/>
      <c r="U212" s="124"/>
      <c r="V212" s="124"/>
      <c r="W212" s="124"/>
      <c r="X212" s="124"/>
    </row>
    <row r="213">
      <c r="A213" s="216"/>
      <c r="B213" s="124"/>
      <c r="C213" s="124"/>
      <c r="D213" s="124"/>
      <c r="E213" s="124"/>
      <c r="F213" s="124"/>
      <c r="G213" s="124"/>
      <c r="H213" s="124"/>
      <c r="I213" s="217" t="str">
        <f>IFERROR(__xludf.DUMMYFUNCTION("""COMPUTED_VALUE"""),"")</f>
        <v/>
      </c>
      <c r="J213" s="219"/>
      <c r="K213" s="219"/>
      <c r="L213" s="124"/>
      <c r="M213" s="124"/>
      <c r="N213" s="124"/>
      <c r="O213" s="124"/>
      <c r="P213" s="124"/>
      <c r="Q213" s="124"/>
      <c r="R213" s="21"/>
      <c r="S213" s="124"/>
      <c r="T213" s="124"/>
      <c r="U213" s="124"/>
      <c r="V213" s="124"/>
      <c r="W213" s="124"/>
      <c r="X213" s="124"/>
    </row>
    <row r="214">
      <c r="A214" s="216"/>
      <c r="B214" s="124"/>
      <c r="C214" s="124"/>
      <c r="D214" s="124"/>
      <c r="E214" s="124"/>
      <c r="F214" s="124"/>
      <c r="G214" s="124"/>
      <c r="H214" s="124"/>
      <c r="I214" s="217" t="str">
        <f>IFERROR(__xludf.DUMMYFUNCTION("""COMPUTED_VALUE"""),"")</f>
        <v/>
      </c>
      <c r="J214" s="219"/>
      <c r="K214" s="219"/>
      <c r="L214" s="124"/>
      <c r="M214" s="124"/>
      <c r="N214" s="124"/>
      <c r="O214" s="124"/>
      <c r="P214" s="124"/>
      <c r="Q214" s="124"/>
      <c r="R214" s="21"/>
      <c r="S214" s="124"/>
      <c r="T214" s="124"/>
      <c r="U214" s="124"/>
      <c r="V214" s="124"/>
      <c r="W214" s="124"/>
      <c r="X214" s="124"/>
    </row>
    <row r="215">
      <c r="A215" s="216"/>
      <c r="B215" s="124"/>
      <c r="C215" s="124"/>
      <c r="D215" s="124"/>
      <c r="E215" s="124"/>
      <c r="F215" s="124"/>
      <c r="G215" s="124"/>
      <c r="H215" s="124"/>
      <c r="I215" s="217" t="str">
        <f>IFERROR(__xludf.DUMMYFUNCTION("""COMPUTED_VALUE"""),"")</f>
        <v/>
      </c>
      <c r="J215" s="219"/>
      <c r="K215" s="219"/>
      <c r="L215" s="124"/>
      <c r="M215" s="124"/>
      <c r="N215" s="124"/>
      <c r="O215" s="124"/>
      <c r="P215" s="124"/>
      <c r="Q215" s="124"/>
      <c r="R215" s="21"/>
      <c r="S215" s="124"/>
      <c r="T215" s="124"/>
      <c r="U215" s="124"/>
      <c r="V215" s="124"/>
      <c r="W215" s="124"/>
      <c r="X215" s="124"/>
    </row>
    <row r="216">
      <c r="A216" s="216"/>
      <c r="B216" s="124"/>
      <c r="C216" s="124"/>
      <c r="D216" s="124"/>
      <c r="E216" s="124"/>
      <c r="F216" s="124"/>
      <c r="G216" s="124"/>
      <c r="H216" s="124"/>
      <c r="I216" s="217" t="str">
        <f>IFERROR(__xludf.DUMMYFUNCTION("""COMPUTED_VALUE"""),"")</f>
        <v/>
      </c>
      <c r="J216" s="219"/>
      <c r="K216" s="219"/>
      <c r="L216" s="124"/>
      <c r="M216" s="124"/>
      <c r="N216" s="124"/>
      <c r="O216" s="124"/>
      <c r="P216" s="124"/>
      <c r="Q216" s="124"/>
      <c r="R216" s="21"/>
      <c r="S216" s="124"/>
      <c r="T216" s="124"/>
      <c r="U216" s="124"/>
      <c r="V216" s="124"/>
      <c r="W216" s="124"/>
      <c r="X216" s="124"/>
    </row>
    <row r="217">
      <c r="A217" s="216"/>
      <c r="B217" s="124"/>
      <c r="C217" s="124"/>
      <c r="D217" s="124"/>
      <c r="E217" s="124"/>
      <c r="F217" s="124"/>
      <c r="G217" s="124"/>
      <c r="H217" s="124"/>
      <c r="I217" s="217" t="str">
        <f>IFERROR(__xludf.DUMMYFUNCTION("""COMPUTED_VALUE"""),"")</f>
        <v/>
      </c>
      <c r="J217" s="219"/>
      <c r="K217" s="219"/>
      <c r="L217" s="124"/>
      <c r="M217" s="124"/>
      <c r="N217" s="124"/>
      <c r="O217" s="124"/>
      <c r="P217" s="124"/>
      <c r="Q217" s="124"/>
      <c r="R217" s="21"/>
      <c r="S217" s="124"/>
      <c r="T217" s="124"/>
      <c r="U217" s="124"/>
      <c r="V217" s="124"/>
      <c r="W217" s="124"/>
      <c r="X217" s="124"/>
    </row>
    <row r="218">
      <c r="A218" s="216"/>
      <c r="B218" s="124"/>
      <c r="C218" s="124"/>
      <c r="D218" s="124"/>
      <c r="E218" s="124"/>
      <c r="F218" s="124"/>
      <c r="G218" s="124"/>
      <c r="H218" s="124"/>
      <c r="I218" s="217" t="str">
        <f>IFERROR(__xludf.DUMMYFUNCTION("""COMPUTED_VALUE"""),"")</f>
        <v/>
      </c>
      <c r="J218" s="219"/>
      <c r="K218" s="219"/>
      <c r="L218" s="124"/>
      <c r="M218" s="124"/>
      <c r="N218" s="124"/>
      <c r="O218" s="124"/>
      <c r="P218" s="124"/>
      <c r="Q218" s="124"/>
      <c r="R218" s="21"/>
      <c r="S218" s="124"/>
      <c r="T218" s="124"/>
      <c r="U218" s="124"/>
      <c r="V218" s="124"/>
      <c r="W218" s="124"/>
      <c r="X218" s="124"/>
    </row>
    <row r="219">
      <c r="A219" s="216"/>
      <c r="B219" s="124"/>
      <c r="C219" s="124"/>
      <c r="D219" s="124"/>
      <c r="E219" s="124"/>
      <c r="F219" s="124"/>
      <c r="G219" s="124"/>
      <c r="H219" s="124"/>
      <c r="I219" s="217" t="str">
        <f>IFERROR(__xludf.DUMMYFUNCTION("""COMPUTED_VALUE"""),"")</f>
        <v/>
      </c>
      <c r="J219" s="219"/>
      <c r="K219" s="219"/>
      <c r="L219" s="124"/>
      <c r="M219" s="124"/>
      <c r="N219" s="124"/>
      <c r="O219" s="124"/>
      <c r="P219" s="124"/>
      <c r="Q219" s="124"/>
      <c r="R219" s="21"/>
      <c r="S219" s="124"/>
      <c r="T219" s="124"/>
      <c r="U219" s="124"/>
      <c r="V219" s="124"/>
      <c r="W219" s="124"/>
      <c r="X219" s="124"/>
    </row>
    <row r="220">
      <c r="A220" s="216"/>
      <c r="B220" s="124"/>
      <c r="C220" s="124"/>
      <c r="D220" s="124"/>
      <c r="E220" s="124"/>
      <c r="F220" s="124"/>
      <c r="G220" s="124"/>
      <c r="H220" s="124"/>
      <c r="I220" s="217" t="str">
        <f>IFERROR(__xludf.DUMMYFUNCTION("""COMPUTED_VALUE"""),"")</f>
        <v/>
      </c>
      <c r="J220" s="219"/>
      <c r="K220" s="219"/>
      <c r="L220" s="124"/>
      <c r="M220" s="124"/>
      <c r="N220" s="124"/>
      <c r="O220" s="124"/>
      <c r="P220" s="124"/>
      <c r="Q220" s="124"/>
      <c r="R220" s="21"/>
      <c r="S220" s="124"/>
      <c r="T220" s="124"/>
      <c r="U220" s="124"/>
      <c r="V220" s="124"/>
      <c r="W220" s="124"/>
      <c r="X220" s="124"/>
    </row>
    <row r="221">
      <c r="A221" s="216"/>
      <c r="B221" s="124"/>
      <c r="C221" s="124"/>
      <c r="D221" s="124"/>
      <c r="E221" s="124"/>
      <c r="F221" s="124"/>
      <c r="G221" s="124"/>
      <c r="H221" s="124"/>
      <c r="I221" s="217" t="str">
        <f>IFERROR(__xludf.DUMMYFUNCTION("""COMPUTED_VALUE"""),"")</f>
        <v/>
      </c>
      <c r="J221" s="219"/>
      <c r="K221" s="219"/>
      <c r="L221" s="124"/>
      <c r="M221" s="124"/>
      <c r="N221" s="124"/>
      <c r="O221" s="124"/>
      <c r="P221" s="124"/>
      <c r="Q221" s="124"/>
      <c r="R221" s="21"/>
      <c r="S221" s="124"/>
      <c r="T221" s="124"/>
      <c r="U221" s="124"/>
      <c r="V221" s="124"/>
      <c r="W221" s="124"/>
      <c r="X221" s="124"/>
    </row>
    <row r="222">
      <c r="A222" s="216"/>
      <c r="B222" s="124"/>
      <c r="C222" s="124"/>
      <c r="D222" s="124"/>
      <c r="E222" s="124"/>
      <c r="F222" s="124"/>
      <c r="G222" s="124"/>
      <c r="H222" s="124"/>
      <c r="I222" s="217" t="str">
        <f>IFERROR(__xludf.DUMMYFUNCTION("""COMPUTED_VALUE"""),"")</f>
        <v/>
      </c>
      <c r="J222" s="219"/>
      <c r="K222" s="219"/>
      <c r="L222" s="124"/>
      <c r="M222" s="124"/>
      <c r="N222" s="124"/>
      <c r="O222" s="124"/>
      <c r="P222" s="124"/>
      <c r="Q222" s="124"/>
      <c r="R222" s="21"/>
      <c r="S222" s="124"/>
      <c r="T222" s="124"/>
      <c r="U222" s="124"/>
      <c r="V222" s="124"/>
      <c r="W222" s="124"/>
      <c r="X222" s="124"/>
    </row>
    <row r="223">
      <c r="A223" s="216"/>
      <c r="B223" s="124"/>
      <c r="C223" s="124"/>
      <c r="D223" s="124"/>
      <c r="E223" s="124"/>
      <c r="F223" s="124"/>
      <c r="G223" s="124"/>
      <c r="H223" s="124"/>
      <c r="I223" s="217" t="str">
        <f>IFERROR(__xludf.DUMMYFUNCTION("""COMPUTED_VALUE"""),"")</f>
        <v/>
      </c>
      <c r="J223" s="219"/>
      <c r="K223" s="219"/>
      <c r="L223" s="124"/>
      <c r="M223" s="124"/>
      <c r="N223" s="124"/>
      <c r="O223" s="124"/>
      <c r="P223" s="124"/>
      <c r="Q223" s="124"/>
      <c r="R223" s="21"/>
      <c r="S223" s="124"/>
      <c r="T223" s="124"/>
      <c r="U223" s="124"/>
      <c r="V223" s="124"/>
      <c r="W223" s="124"/>
      <c r="X223" s="124"/>
    </row>
    <row r="224">
      <c r="A224" s="216"/>
      <c r="B224" s="124"/>
      <c r="C224" s="124"/>
      <c r="D224" s="124"/>
      <c r="E224" s="124"/>
      <c r="F224" s="124"/>
      <c r="G224" s="124"/>
      <c r="H224" s="124"/>
      <c r="I224" s="217" t="str">
        <f>IFERROR(__xludf.DUMMYFUNCTION("""COMPUTED_VALUE"""),"")</f>
        <v/>
      </c>
      <c r="J224" s="219"/>
      <c r="K224" s="219"/>
      <c r="L224" s="124"/>
      <c r="M224" s="124"/>
      <c r="N224" s="124"/>
      <c r="O224" s="124"/>
      <c r="P224" s="124"/>
      <c r="Q224" s="124"/>
      <c r="R224" s="21"/>
      <c r="S224" s="124"/>
      <c r="T224" s="124"/>
      <c r="U224" s="124"/>
      <c r="V224" s="124"/>
      <c r="W224" s="124"/>
      <c r="X224" s="124"/>
    </row>
    <row r="225">
      <c r="A225" s="216"/>
      <c r="B225" s="124"/>
      <c r="C225" s="124"/>
      <c r="D225" s="124"/>
      <c r="E225" s="124"/>
      <c r="F225" s="124"/>
      <c r="G225" s="124"/>
      <c r="H225" s="124"/>
      <c r="I225" s="217" t="str">
        <f>IFERROR(__xludf.DUMMYFUNCTION("""COMPUTED_VALUE"""),"")</f>
        <v/>
      </c>
      <c r="J225" s="219"/>
      <c r="K225" s="219"/>
      <c r="L225" s="124"/>
      <c r="M225" s="124"/>
      <c r="N225" s="124"/>
      <c r="O225" s="124"/>
      <c r="P225" s="124"/>
      <c r="Q225" s="124"/>
      <c r="R225" s="21"/>
      <c r="S225" s="124"/>
      <c r="T225" s="124"/>
      <c r="U225" s="124"/>
      <c r="V225" s="124"/>
      <c r="W225" s="124"/>
      <c r="X225" s="124"/>
    </row>
    <row r="226">
      <c r="A226" s="216"/>
      <c r="B226" s="124"/>
      <c r="C226" s="124"/>
      <c r="D226" s="124"/>
      <c r="E226" s="124"/>
      <c r="F226" s="124"/>
      <c r="G226" s="124"/>
      <c r="H226" s="124"/>
      <c r="I226" s="217" t="str">
        <f>IFERROR(__xludf.DUMMYFUNCTION("""COMPUTED_VALUE"""),"")</f>
        <v/>
      </c>
      <c r="J226" s="219"/>
      <c r="K226" s="219"/>
      <c r="L226" s="124"/>
      <c r="M226" s="124"/>
      <c r="N226" s="124"/>
      <c r="O226" s="124"/>
      <c r="P226" s="124"/>
      <c r="Q226" s="124"/>
      <c r="R226" s="21"/>
      <c r="S226" s="124"/>
      <c r="T226" s="124"/>
      <c r="U226" s="124"/>
      <c r="V226" s="124"/>
      <c r="W226" s="124"/>
      <c r="X226" s="124"/>
    </row>
    <row r="227">
      <c r="A227" s="216"/>
      <c r="B227" s="124"/>
      <c r="C227" s="124"/>
      <c r="D227" s="124"/>
      <c r="E227" s="124"/>
      <c r="F227" s="124"/>
      <c r="G227" s="124"/>
      <c r="H227" s="124"/>
      <c r="I227" s="217" t="str">
        <f>IFERROR(__xludf.DUMMYFUNCTION("""COMPUTED_VALUE"""),"")</f>
        <v/>
      </c>
      <c r="J227" s="219"/>
      <c r="K227" s="219"/>
      <c r="L227" s="124"/>
      <c r="M227" s="124"/>
      <c r="N227" s="124"/>
      <c r="O227" s="124"/>
      <c r="P227" s="124"/>
      <c r="Q227" s="124"/>
      <c r="R227" s="21"/>
      <c r="S227" s="124"/>
      <c r="T227" s="124"/>
      <c r="U227" s="124"/>
      <c r="V227" s="124"/>
      <c r="W227" s="124"/>
      <c r="X227" s="124"/>
    </row>
    <row r="228">
      <c r="A228" s="216"/>
      <c r="B228" s="124"/>
      <c r="C228" s="124"/>
      <c r="D228" s="124"/>
      <c r="E228" s="124"/>
      <c r="F228" s="124"/>
      <c r="G228" s="124"/>
      <c r="H228" s="124"/>
      <c r="I228" s="217" t="str">
        <f>IFERROR(__xludf.DUMMYFUNCTION("""COMPUTED_VALUE"""),"")</f>
        <v/>
      </c>
      <c r="J228" s="219"/>
      <c r="K228" s="219"/>
      <c r="L228" s="124"/>
      <c r="M228" s="124"/>
      <c r="N228" s="124"/>
      <c r="O228" s="124"/>
      <c r="P228" s="124"/>
      <c r="Q228" s="124"/>
      <c r="R228" s="21"/>
      <c r="S228" s="124"/>
      <c r="T228" s="124"/>
      <c r="U228" s="124"/>
      <c r="V228" s="124"/>
      <c r="W228" s="124"/>
      <c r="X228" s="124"/>
    </row>
    <row r="229">
      <c r="A229" s="216"/>
      <c r="B229" s="124"/>
      <c r="C229" s="124"/>
      <c r="D229" s="124"/>
      <c r="E229" s="124"/>
      <c r="F229" s="124"/>
      <c r="G229" s="124"/>
      <c r="H229" s="124"/>
      <c r="I229" s="217" t="str">
        <f>IFERROR(__xludf.DUMMYFUNCTION("""COMPUTED_VALUE"""),"")</f>
        <v/>
      </c>
      <c r="J229" s="219"/>
      <c r="K229" s="219"/>
      <c r="L229" s="124"/>
      <c r="M229" s="124"/>
      <c r="N229" s="124"/>
      <c r="O229" s="124"/>
      <c r="P229" s="124"/>
      <c r="Q229" s="124"/>
      <c r="R229" s="21"/>
      <c r="S229" s="124"/>
      <c r="T229" s="124"/>
      <c r="U229" s="124"/>
      <c r="V229" s="124"/>
      <c r="W229" s="124"/>
      <c r="X229" s="124"/>
    </row>
    <row r="230">
      <c r="A230" s="216"/>
      <c r="B230" s="124"/>
      <c r="C230" s="124"/>
      <c r="D230" s="124"/>
      <c r="E230" s="124"/>
      <c r="F230" s="124"/>
      <c r="G230" s="124"/>
      <c r="H230" s="124"/>
      <c r="I230" s="217" t="str">
        <f>IFERROR(__xludf.DUMMYFUNCTION("""COMPUTED_VALUE"""),"")</f>
        <v/>
      </c>
      <c r="J230" s="219"/>
      <c r="K230" s="219"/>
      <c r="L230" s="124"/>
      <c r="M230" s="124"/>
      <c r="N230" s="124"/>
      <c r="O230" s="124"/>
      <c r="P230" s="124"/>
      <c r="Q230" s="124"/>
      <c r="R230" s="21"/>
      <c r="S230" s="124"/>
      <c r="T230" s="124"/>
      <c r="U230" s="124"/>
      <c r="V230" s="124"/>
      <c r="W230" s="124"/>
      <c r="X230" s="124"/>
    </row>
    <row r="231">
      <c r="A231" s="216"/>
      <c r="B231" s="124"/>
      <c r="C231" s="124"/>
      <c r="D231" s="124"/>
      <c r="E231" s="124"/>
      <c r="F231" s="124"/>
      <c r="G231" s="124"/>
      <c r="H231" s="124"/>
      <c r="I231" s="217" t="str">
        <f>IFERROR(__xludf.DUMMYFUNCTION("""COMPUTED_VALUE"""),"")</f>
        <v/>
      </c>
      <c r="J231" s="219"/>
      <c r="K231" s="219"/>
      <c r="L231" s="124"/>
      <c r="M231" s="124"/>
      <c r="N231" s="124"/>
      <c r="O231" s="124"/>
      <c r="P231" s="124"/>
      <c r="Q231" s="124"/>
      <c r="R231" s="21"/>
      <c r="S231" s="124"/>
      <c r="T231" s="124"/>
      <c r="U231" s="124"/>
      <c r="V231" s="124"/>
      <c r="W231" s="124"/>
      <c r="X231" s="124"/>
    </row>
    <row r="232">
      <c r="A232" s="216"/>
      <c r="B232" s="124"/>
      <c r="C232" s="124"/>
      <c r="D232" s="124"/>
      <c r="E232" s="124"/>
      <c r="F232" s="124"/>
      <c r="G232" s="124"/>
      <c r="H232" s="124"/>
      <c r="I232" s="217" t="str">
        <f>IFERROR(__xludf.DUMMYFUNCTION("""COMPUTED_VALUE"""),"")</f>
        <v/>
      </c>
      <c r="J232" s="219"/>
      <c r="K232" s="219"/>
      <c r="L232" s="124"/>
      <c r="M232" s="124"/>
      <c r="N232" s="124"/>
      <c r="O232" s="124"/>
      <c r="P232" s="124"/>
      <c r="Q232" s="124"/>
      <c r="R232" s="21"/>
      <c r="S232" s="124"/>
      <c r="T232" s="124"/>
      <c r="U232" s="124"/>
      <c r="V232" s="124"/>
      <c r="W232" s="124"/>
      <c r="X232" s="124"/>
    </row>
    <row r="233">
      <c r="A233" s="216"/>
      <c r="B233" s="124"/>
      <c r="C233" s="124"/>
      <c r="D233" s="124"/>
      <c r="E233" s="124"/>
      <c r="F233" s="124"/>
      <c r="G233" s="124"/>
      <c r="H233" s="124"/>
      <c r="I233" s="217" t="str">
        <f>IFERROR(__xludf.DUMMYFUNCTION("""COMPUTED_VALUE"""),"")</f>
        <v/>
      </c>
      <c r="J233" s="219"/>
      <c r="K233" s="219"/>
      <c r="L233" s="124"/>
      <c r="M233" s="124"/>
      <c r="N233" s="124"/>
      <c r="O233" s="124"/>
      <c r="P233" s="124"/>
      <c r="Q233" s="124"/>
      <c r="R233" s="21"/>
      <c r="S233" s="124"/>
      <c r="T233" s="124"/>
      <c r="U233" s="124"/>
      <c r="V233" s="124"/>
      <c r="W233" s="124"/>
      <c r="X233" s="124"/>
    </row>
    <row r="234">
      <c r="A234" s="216"/>
      <c r="B234" s="124"/>
      <c r="C234" s="124"/>
      <c r="D234" s="124"/>
      <c r="E234" s="124"/>
      <c r="F234" s="124"/>
      <c r="G234" s="124"/>
      <c r="H234" s="124"/>
      <c r="I234" s="217" t="str">
        <f>IFERROR(__xludf.DUMMYFUNCTION("""COMPUTED_VALUE"""),"")</f>
        <v/>
      </c>
      <c r="J234" s="219"/>
      <c r="K234" s="219"/>
      <c r="L234" s="124"/>
      <c r="M234" s="124"/>
      <c r="N234" s="124"/>
      <c r="O234" s="124"/>
      <c r="P234" s="124"/>
      <c r="Q234" s="124"/>
      <c r="R234" s="21"/>
      <c r="S234" s="124"/>
      <c r="T234" s="124"/>
      <c r="U234" s="124"/>
      <c r="V234" s="124"/>
      <c r="W234" s="124"/>
      <c r="X234" s="124"/>
    </row>
    <row r="235">
      <c r="A235" s="216"/>
      <c r="B235" s="124"/>
      <c r="C235" s="124"/>
      <c r="D235" s="124"/>
      <c r="E235" s="124"/>
      <c r="F235" s="124"/>
      <c r="G235" s="124"/>
      <c r="H235" s="124"/>
      <c r="I235" s="217" t="str">
        <f>IFERROR(__xludf.DUMMYFUNCTION("""COMPUTED_VALUE"""),"")</f>
        <v/>
      </c>
      <c r="J235" s="219"/>
      <c r="K235" s="219"/>
      <c r="L235" s="124"/>
      <c r="M235" s="124"/>
      <c r="N235" s="124"/>
      <c r="O235" s="124"/>
      <c r="P235" s="124"/>
      <c r="Q235" s="124"/>
      <c r="R235" s="21"/>
      <c r="S235" s="124"/>
      <c r="T235" s="124"/>
      <c r="U235" s="124"/>
      <c r="V235" s="124"/>
      <c r="W235" s="124"/>
      <c r="X235" s="124"/>
    </row>
    <row r="236">
      <c r="A236" s="216"/>
      <c r="B236" s="124"/>
      <c r="C236" s="124"/>
      <c r="D236" s="124"/>
      <c r="E236" s="124"/>
      <c r="F236" s="124"/>
      <c r="G236" s="124"/>
      <c r="H236" s="124"/>
      <c r="I236" s="217" t="str">
        <f>IFERROR(__xludf.DUMMYFUNCTION("""COMPUTED_VALUE"""),"")</f>
        <v/>
      </c>
      <c r="J236" s="219"/>
      <c r="K236" s="219"/>
      <c r="L236" s="124"/>
      <c r="M236" s="124"/>
      <c r="N236" s="124"/>
      <c r="O236" s="124"/>
      <c r="P236" s="124"/>
      <c r="Q236" s="124"/>
      <c r="R236" s="21"/>
      <c r="S236" s="124"/>
      <c r="T236" s="124"/>
      <c r="U236" s="124"/>
      <c r="V236" s="124"/>
      <c r="W236" s="124"/>
      <c r="X236" s="124"/>
    </row>
    <row r="237">
      <c r="A237" s="216"/>
      <c r="B237" s="124"/>
      <c r="C237" s="124"/>
      <c r="D237" s="124"/>
      <c r="E237" s="124"/>
      <c r="F237" s="124"/>
      <c r="G237" s="124"/>
      <c r="H237" s="124"/>
      <c r="I237" s="217" t="str">
        <f>IFERROR(__xludf.DUMMYFUNCTION("""COMPUTED_VALUE"""),"")</f>
        <v/>
      </c>
      <c r="J237" s="219"/>
      <c r="K237" s="219"/>
      <c r="L237" s="124"/>
      <c r="M237" s="124"/>
      <c r="N237" s="124"/>
      <c r="O237" s="124"/>
      <c r="P237" s="124"/>
      <c r="Q237" s="124"/>
      <c r="R237" s="21"/>
      <c r="S237" s="124"/>
      <c r="T237" s="124"/>
      <c r="U237" s="124"/>
      <c r="V237" s="124"/>
      <c r="W237" s="124"/>
      <c r="X237" s="124"/>
    </row>
    <row r="238">
      <c r="A238" s="216"/>
      <c r="B238" s="124"/>
      <c r="C238" s="124"/>
      <c r="D238" s="124"/>
      <c r="E238" s="124"/>
      <c r="F238" s="124"/>
      <c r="G238" s="124"/>
      <c r="H238" s="124"/>
      <c r="I238" s="217" t="str">
        <f>IFERROR(__xludf.DUMMYFUNCTION("""COMPUTED_VALUE"""),"")</f>
        <v/>
      </c>
      <c r="J238" s="219"/>
      <c r="K238" s="219"/>
      <c r="L238" s="124"/>
      <c r="M238" s="124"/>
      <c r="N238" s="124"/>
      <c r="O238" s="124"/>
      <c r="P238" s="124"/>
      <c r="Q238" s="124"/>
      <c r="R238" s="21"/>
      <c r="S238" s="124"/>
      <c r="T238" s="124"/>
      <c r="U238" s="124"/>
      <c r="V238" s="124"/>
      <c r="W238" s="124"/>
      <c r="X238" s="124"/>
    </row>
    <row r="239">
      <c r="A239" s="216"/>
      <c r="B239" s="124"/>
      <c r="C239" s="124"/>
      <c r="D239" s="124"/>
      <c r="E239" s="124"/>
      <c r="F239" s="124"/>
      <c r="G239" s="124"/>
      <c r="H239" s="124"/>
      <c r="I239" s="217" t="str">
        <f>IFERROR(__xludf.DUMMYFUNCTION("""COMPUTED_VALUE"""),"")</f>
        <v/>
      </c>
      <c r="J239" s="219"/>
      <c r="K239" s="219"/>
      <c r="L239" s="124"/>
      <c r="M239" s="124"/>
      <c r="N239" s="124"/>
      <c r="O239" s="124"/>
      <c r="P239" s="124"/>
      <c r="Q239" s="124"/>
      <c r="R239" s="21"/>
      <c r="S239" s="124"/>
      <c r="T239" s="124"/>
      <c r="U239" s="124"/>
      <c r="V239" s="124"/>
      <c r="W239" s="124"/>
      <c r="X239" s="124"/>
    </row>
    <row r="240">
      <c r="A240" s="216"/>
      <c r="B240" s="124"/>
      <c r="C240" s="124"/>
      <c r="D240" s="124"/>
      <c r="E240" s="124"/>
      <c r="F240" s="124"/>
      <c r="G240" s="124"/>
      <c r="H240" s="124"/>
      <c r="I240" s="217" t="str">
        <f>IFERROR(__xludf.DUMMYFUNCTION("""COMPUTED_VALUE"""),"")</f>
        <v/>
      </c>
      <c r="J240" s="219"/>
      <c r="K240" s="219"/>
      <c r="L240" s="124"/>
      <c r="M240" s="124"/>
      <c r="N240" s="124"/>
      <c r="O240" s="124"/>
      <c r="P240" s="124"/>
      <c r="Q240" s="124"/>
      <c r="R240" s="21"/>
      <c r="S240" s="124"/>
      <c r="T240" s="124"/>
      <c r="U240" s="124"/>
      <c r="V240" s="124"/>
      <c r="W240" s="124"/>
      <c r="X240" s="124"/>
    </row>
    <row r="241">
      <c r="A241" s="216"/>
      <c r="B241" s="124"/>
      <c r="C241" s="124"/>
      <c r="D241" s="124"/>
      <c r="E241" s="124"/>
      <c r="F241" s="124"/>
      <c r="G241" s="124"/>
      <c r="H241" s="124"/>
      <c r="I241" s="217" t="str">
        <f>IFERROR(__xludf.DUMMYFUNCTION("""COMPUTED_VALUE"""),"")</f>
        <v/>
      </c>
      <c r="J241" s="219"/>
      <c r="K241" s="219"/>
      <c r="L241" s="124"/>
      <c r="M241" s="124"/>
      <c r="N241" s="124"/>
      <c r="O241" s="124"/>
      <c r="P241" s="124"/>
      <c r="Q241" s="124"/>
      <c r="R241" s="21"/>
      <c r="S241" s="124"/>
      <c r="T241" s="124"/>
      <c r="U241" s="124"/>
      <c r="V241" s="124"/>
      <c r="W241" s="124"/>
      <c r="X241" s="124"/>
    </row>
    <row r="242">
      <c r="A242" s="216"/>
      <c r="B242" s="124"/>
      <c r="C242" s="124"/>
      <c r="D242" s="124"/>
      <c r="E242" s="124"/>
      <c r="F242" s="124"/>
      <c r="G242" s="124"/>
      <c r="H242" s="124"/>
      <c r="I242" s="217" t="str">
        <f>IFERROR(__xludf.DUMMYFUNCTION("""COMPUTED_VALUE"""),"")</f>
        <v/>
      </c>
      <c r="J242" s="219"/>
      <c r="K242" s="219"/>
      <c r="L242" s="124"/>
      <c r="M242" s="124"/>
      <c r="N242" s="124"/>
      <c r="O242" s="124"/>
      <c r="P242" s="124"/>
      <c r="Q242" s="124"/>
      <c r="R242" s="21"/>
      <c r="S242" s="124"/>
      <c r="T242" s="124"/>
      <c r="U242" s="124"/>
      <c r="V242" s="124"/>
      <c r="W242" s="124"/>
      <c r="X242" s="124"/>
    </row>
    <row r="243">
      <c r="A243" s="216"/>
      <c r="B243" s="124"/>
      <c r="C243" s="124"/>
      <c r="D243" s="124"/>
      <c r="E243" s="124"/>
      <c r="F243" s="124"/>
      <c r="G243" s="124"/>
      <c r="H243" s="124"/>
      <c r="I243" s="217" t="str">
        <f>IFERROR(__xludf.DUMMYFUNCTION("""COMPUTED_VALUE"""),"")</f>
        <v/>
      </c>
      <c r="J243" s="219"/>
      <c r="K243" s="219"/>
      <c r="L243" s="124"/>
      <c r="M243" s="124"/>
      <c r="N243" s="124"/>
      <c r="O243" s="124"/>
      <c r="P243" s="124"/>
      <c r="Q243" s="124"/>
      <c r="R243" s="21"/>
      <c r="S243" s="124"/>
      <c r="T243" s="124"/>
      <c r="U243" s="124"/>
      <c r="V243" s="124"/>
      <c r="W243" s="124"/>
      <c r="X243" s="124"/>
    </row>
    <row r="244">
      <c r="A244" s="216"/>
      <c r="B244" s="124"/>
      <c r="C244" s="124"/>
      <c r="D244" s="124"/>
      <c r="E244" s="124"/>
      <c r="F244" s="124"/>
      <c r="G244" s="124"/>
      <c r="H244" s="124"/>
      <c r="I244" s="217" t="str">
        <f>IFERROR(__xludf.DUMMYFUNCTION("""COMPUTED_VALUE"""),"")</f>
        <v/>
      </c>
      <c r="J244" s="219"/>
      <c r="K244" s="219"/>
      <c r="L244" s="124"/>
      <c r="M244" s="124"/>
      <c r="N244" s="124"/>
      <c r="O244" s="124"/>
      <c r="P244" s="124"/>
      <c r="Q244" s="124"/>
      <c r="R244" s="21"/>
      <c r="S244" s="124"/>
      <c r="T244" s="124"/>
      <c r="U244" s="124"/>
      <c r="V244" s="124"/>
      <c r="W244" s="124"/>
      <c r="X244" s="124"/>
    </row>
    <row r="245">
      <c r="A245" s="216"/>
      <c r="B245" s="124"/>
      <c r="C245" s="124"/>
      <c r="D245" s="124"/>
      <c r="E245" s="124"/>
      <c r="F245" s="124"/>
      <c r="G245" s="124"/>
      <c r="H245" s="124"/>
      <c r="I245" s="217" t="str">
        <f>IFERROR(__xludf.DUMMYFUNCTION("""COMPUTED_VALUE"""),"")</f>
        <v/>
      </c>
      <c r="J245" s="219"/>
      <c r="K245" s="219"/>
      <c r="L245" s="124"/>
      <c r="M245" s="124"/>
      <c r="N245" s="124"/>
      <c r="O245" s="124"/>
      <c r="P245" s="124"/>
      <c r="Q245" s="124"/>
      <c r="R245" s="21"/>
      <c r="S245" s="124"/>
      <c r="T245" s="124"/>
      <c r="U245" s="124"/>
      <c r="V245" s="124"/>
      <c r="W245" s="124"/>
      <c r="X245" s="124"/>
    </row>
    <row r="246">
      <c r="A246" s="216"/>
      <c r="B246" s="124"/>
      <c r="C246" s="124"/>
      <c r="D246" s="124"/>
      <c r="E246" s="124"/>
      <c r="F246" s="124"/>
      <c r="G246" s="124"/>
      <c r="H246" s="124"/>
      <c r="I246" s="217" t="str">
        <f>IFERROR(__xludf.DUMMYFUNCTION("""COMPUTED_VALUE"""),"")</f>
        <v/>
      </c>
      <c r="J246" s="219"/>
      <c r="K246" s="219"/>
      <c r="L246" s="124"/>
      <c r="M246" s="124"/>
      <c r="N246" s="124"/>
      <c r="O246" s="124"/>
      <c r="P246" s="124"/>
      <c r="Q246" s="124"/>
      <c r="R246" s="21"/>
      <c r="S246" s="124"/>
      <c r="T246" s="124"/>
      <c r="U246" s="124"/>
      <c r="V246" s="124"/>
      <c r="W246" s="124"/>
      <c r="X246" s="124"/>
    </row>
    <row r="247">
      <c r="A247" s="216"/>
      <c r="B247" s="124"/>
      <c r="C247" s="124"/>
      <c r="D247" s="124"/>
      <c r="E247" s="124"/>
      <c r="F247" s="124"/>
      <c r="G247" s="124"/>
      <c r="H247" s="124"/>
      <c r="I247" s="217" t="str">
        <f>IFERROR(__xludf.DUMMYFUNCTION("""COMPUTED_VALUE"""),"")</f>
        <v/>
      </c>
      <c r="J247" s="219"/>
      <c r="K247" s="219"/>
      <c r="L247" s="124"/>
      <c r="M247" s="124"/>
      <c r="N247" s="124"/>
      <c r="O247" s="124"/>
      <c r="P247" s="124"/>
      <c r="Q247" s="124"/>
      <c r="R247" s="21"/>
      <c r="S247" s="124"/>
      <c r="T247" s="124"/>
      <c r="U247" s="124"/>
      <c r="V247" s="124"/>
      <c r="W247" s="124"/>
      <c r="X247" s="124"/>
    </row>
    <row r="248">
      <c r="A248" s="216"/>
      <c r="B248" s="124"/>
      <c r="C248" s="124"/>
      <c r="D248" s="124"/>
      <c r="E248" s="124"/>
      <c r="F248" s="124"/>
      <c r="G248" s="124"/>
      <c r="H248" s="124"/>
      <c r="I248" s="217" t="str">
        <f>IFERROR(__xludf.DUMMYFUNCTION("""COMPUTED_VALUE"""),"")</f>
        <v/>
      </c>
      <c r="J248" s="219"/>
      <c r="K248" s="219"/>
      <c r="L248" s="124"/>
      <c r="M248" s="124"/>
      <c r="N248" s="124"/>
      <c r="O248" s="124"/>
      <c r="P248" s="124"/>
      <c r="Q248" s="124"/>
      <c r="R248" s="21"/>
      <c r="S248" s="124"/>
      <c r="T248" s="124"/>
      <c r="U248" s="124"/>
      <c r="V248" s="124"/>
      <c r="W248" s="124"/>
      <c r="X248" s="124"/>
    </row>
    <row r="249">
      <c r="A249" s="216"/>
      <c r="B249" s="124"/>
      <c r="C249" s="124"/>
      <c r="D249" s="124"/>
      <c r="E249" s="124"/>
      <c r="F249" s="124"/>
      <c r="G249" s="124"/>
      <c r="H249" s="124"/>
      <c r="I249" s="217" t="str">
        <f>IFERROR(__xludf.DUMMYFUNCTION("""COMPUTED_VALUE"""),"")</f>
        <v/>
      </c>
      <c r="J249" s="219"/>
      <c r="K249" s="219"/>
      <c r="L249" s="124"/>
      <c r="M249" s="124"/>
      <c r="N249" s="124"/>
      <c r="O249" s="124"/>
      <c r="P249" s="124"/>
      <c r="Q249" s="124"/>
      <c r="R249" s="21"/>
      <c r="S249" s="124"/>
      <c r="T249" s="124"/>
      <c r="U249" s="124"/>
      <c r="V249" s="124"/>
      <c r="W249" s="124"/>
      <c r="X249" s="124"/>
    </row>
    <row r="250">
      <c r="A250" s="216"/>
      <c r="B250" s="124"/>
      <c r="C250" s="124"/>
      <c r="D250" s="124"/>
      <c r="E250" s="124"/>
      <c r="F250" s="124"/>
      <c r="G250" s="124"/>
      <c r="H250" s="124"/>
      <c r="I250" s="217" t="str">
        <f>IFERROR(__xludf.DUMMYFUNCTION("""COMPUTED_VALUE"""),"")</f>
        <v/>
      </c>
      <c r="J250" s="219"/>
      <c r="K250" s="219"/>
      <c r="L250" s="124"/>
      <c r="M250" s="124"/>
      <c r="N250" s="124"/>
      <c r="O250" s="124"/>
      <c r="P250" s="124"/>
      <c r="Q250" s="124"/>
      <c r="R250" s="21"/>
      <c r="S250" s="124"/>
      <c r="T250" s="124"/>
      <c r="U250" s="124"/>
      <c r="V250" s="124"/>
      <c r="W250" s="124"/>
      <c r="X250" s="124"/>
    </row>
    <row r="251">
      <c r="A251" s="216"/>
      <c r="B251" s="124"/>
      <c r="C251" s="124"/>
      <c r="D251" s="124"/>
      <c r="E251" s="124"/>
      <c r="F251" s="124"/>
      <c r="G251" s="124"/>
      <c r="H251" s="124"/>
      <c r="I251" s="217" t="str">
        <f>IFERROR(__xludf.DUMMYFUNCTION("""COMPUTED_VALUE"""),"")</f>
        <v/>
      </c>
      <c r="J251" s="219"/>
      <c r="K251" s="219"/>
      <c r="L251" s="124"/>
      <c r="M251" s="124"/>
      <c r="N251" s="124"/>
      <c r="O251" s="124"/>
      <c r="P251" s="124"/>
      <c r="Q251" s="124"/>
      <c r="R251" s="21"/>
      <c r="S251" s="124"/>
      <c r="T251" s="124"/>
      <c r="U251" s="124"/>
      <c r="V251" s="124"/>
      <c r="W251" s="124"/>
      <c r="X251" s="124"/>
    </row>
    <row r="252">
      <c r="A252" s="216"/>
      <c r="B252" s="124"/>
      <c r="C252" s="124"/>
      <c r="D252" s="124"/>
      <c r="E252" s="124"/>
      <c r="F252" s="124"/>
      <c r="G252" s="124"/>
      <c r="H252" s="124"/>
      <c r="I252" s="217" t="str">
        <f>IFERROR(__xludf.DUMMYFUNCTION("""COMPUTED_VALUE"""),"")</f>
        <v/>
      </c>
      <c r="J252" s="219"/>
      <c r="K252" s="219"/>
      <c r="L252" s="124"/>
      <c r="M252" s="124"/>
      <c r="N252" s="124"/>
      <c r="O252" s="124"/>
      <c r="P252" s="124"/>
      <c r="Q252" s="124"/>
      <c r="R252" s="21"/>
      <c r="S252" s="124"/>
      <c r="T252" s="124"/>
      <c r="U252" s="124"/>
      <c r="V252" s="124"/>
      <c r="W252" s="124"/>
      <c r="X252" s="124"/>
    </row>
    <row r="253">
      <c r="A253" s="216"/>
      <c r="B253" s="124"/>
      <c r="C253" s="124"/>
      <c r="D253" s="124"/>
      <c r="E253" s="124"/>
      <c r="F253" s="124"/>
      <c r="G253" s="124"/>
      <c r="H253" s="124"/>
      <c r="I253" s="217" t="str">
        <f>IFERROR(__xludf.DUMMYFUNCTION("""COMPUTED_VALUE"""),"")</f>
        <v/>
      </c>
      <c r="J253" s="219"/>
      <c r="K253" s="219"/>
      <c r="L253" s="124"/>
      <c r="M253" s="124"/>
      <c r="N253" s="124"/>
      <c r="O253" s="124"/>
      <c r="P253" s="124"/>
      <c r="Q253" s="124"/>
      <c r="R253" s="21"/>
      <c r="S253" s="124"/>
      <c r="T253" s="124"/>
      <c r="U253" s="124"/>
      <c r="V253" s="124"/>
      <c r="W253" s="124"/>
      <c r="X253" s="124"/>
    </row>
    <row r="254">
      <c r="A254" s="216"/>
      <c r="B254" s="124"/>
      <c r="C254" s="124"/>
      <c r="D254" s="124"/>
      <c r="E254" s="124"/>
      <c r="F254" s="124"/>
      <c r="G254" s="124"/>
      <c r="H254" s="124"/>
      <c r="I254" s="217" t="str">
        <f>IFERROR(__xludf.DUMMYFUNCTION("""COMPUTED_VALUE"""),"")</f>
        <v/>
      </c>
      <c r="J254" s="219"/>
      <c r="K254" s="219"/>
      <c r="L254" s="124"/>
      <c r="M254" s="124"/>
      <c r="N254" s="124"/>
      <c r="O254" s="124"/>
      <c r="P254" s="124"/>
      <c r="Q254" s="124"/>
      <c r="R254" s="21"/>
      <c r="S254" s="124"/>
      <c r="T254" s="124"/>
      <c r="U254" s="124"/>
      <c r="V254" s="124"/>
      <c r="W254" s="124"/>
      <c r="X254" s="124"/>
    </row>
    <row r="255">
      <c r="A255" s="216"/>
      <c r="B255" s="124"/>
      <c r="C255" s="124"/>
      <c r="D255" s="124"/>
      <c r="E255" s="124"/>
      <c r="F255" s="124"/>
      <c r="G255" s="124"/>
      <c r="H255" s="124"/>
      <c r="I255" s="217" t="str">
        <f>IFERROR(__xludf.DUMMYFUNCTION("""COMPUTED_VALUE"""),"")</f>
        <v/>
      </c>
      <c r="J255" s="219"/>
      <c r="K255" s="219"/>
      <c r="L255" s="124"/>
      <c r="M255" s="124"/>
      <c r="N255" s="124"/>
      <c r="O255" s="124"/>
      <c r="P255" s="124"/>
      <c r="Q255" s="124"/>
      <c r="R255" s="21"/>
      <c r="S255" s="124"/>
      <c r="T255" s="124"/>
      <c r="U255" s="124"/>
      <c r="V255" s="124"/>
      <c r="W255" s="124"/>
      <c r="X255" s="124"/>
    </row>
    <row r="256">
      <c r="A256" s="216"/>
      <c r="B256" s="124"/>
      <c r="C256" s="124"/>
      <c r="D256" s="124"/>
      <c r="E256" s="124"/>
      <c r="F256" s="124"/>
      <c r="G256" s="124"/>
      <c r="H256" s="124"/>
      <c r="I256" s="217" t="str">
        <f>IFERROR(__xludf.DUMMYFUNCTION("""COMPUTED_VALUE"""),"")</f>
        <v/>
      </c>
      <c r="J256" s="219"/>
      <c r="K256" s="219"/>
      <c r="L256" s="124"/>
      <c r="M256" s="124"/>
      <c r="N256" s="124"/>
      <c r="O256" s="124"/>
      <c r="P256" s="124"/>
      <c r="Q256" s="124"/>
      <c r="R256" s="21"/>
      <c r="S256" s="124"/>
      <c r="T256" s="124"/>
      <c r="U256" s="124"/>
      <c r="V256" s="124"/>
      <c r="W256" s="124"/>
      <c r="X256" s="124"/>
    </row>
    <row r="257">
      <c r="A257" s="216"/>
      <c r="B257" s="124"/>
      <c r="C257" s="124"/>
      <c r="D257" s="124"/>
      <c r="E257" s="124"/>
      <c r="F257" s="124"/>
      <c r="G257" s="124"/>
      <c r="H257" s="124"/>
      <c r="I257" s="217" t="str">
        <f>IFERROR(__xludf.DUMMYFUNCTION("""COMPUTED_VALUE"""),"")</f>
        <v/>
      </c>
      <c r="J257" s="219"/>
      <c r="K257" s="219"/>
      <c r="L257" s="124"/>
      <c r="M257" s="124"/>
      <c r="N257" s="124"/>
      <c r="O257" s="124"/>
      <c r="P257" s="124"/>
      <c r="Q257" s="124"/>
      <c r="R257" s="21"/>
      <c r="S257" s="124"/>
      <c r="T257" s="124"/>
      <c r="U257" s="124"/>
      <c r="V257" s="124"/>
      <c r="W257" s="124"/>
      <c r="X257" s="124"/>
    </row>
    <row r="258">
      <c r="A258" s="216"/>
      <c r="B258" s="124"/>
      <c r="C258" s="124"/>
      <c r="D258" s="124"/>
      <c r="E258" s="124"/>
      <c r="F258" s="124"/>
      <c r="G258" s="124"/>
      <c r="H258" s="124"/>
      <c r="I258" s="217" t="str">
        <f>IFERROR(__xludf.DUMMYFUNCTION("""COMPUTED_VALUE"""),"")</f>
        <v/>
      </c>
      <c r="J258" s="219"/>
      <c r="K258" s="219"/>
      <c r="L258" s="124"/>
      <c r="M258" s="124"/>
      <c r="N258" s="124"/>
      <c r="O258" s="124"/>
      <c r="P258" s="124"/>
      <c r="Q258" s="124"/>
      <c r="R258" s="21"/>
      <c r="S258" s="124"/>
      <c r="T258" s="124"/>
      <c r="U258" s="124"/>
      <c r="V258" s="124"/>
      <c r="W258" s="124"/>
      <c r="X258" s="124"/>
    </row>
    <row r="259">
      <c r="A259" s="216"/>
      <c r="B259" s="124"/>
      <c r="C259" s="124"/>
      <c r="D259" s="124"/>
      <c r="E259" s="124"/>
      <c r="F259" s="124"/>
      <c r="G259" s="124"/>
      <c r="H259" s="124"/>
      <c r="I259" s="217" t="str">
        <f>IFERROR(__xludf.DUMMYFUNCTION("""COMPUTED_VALUE"""),"")</f>
        <v/>
      </c>
      <c r="J259" s="219"/>
      <c r="K259" s="219"/>
      <c r="L259" s="124"/>
      <c r="M259" s="124"/>
      <c r="N259" s="124"/>
      <c r="O259" s="124"/>
      <c r="P259" s="124"/>
      <c r="Q259" s="124"/>
      <c r="R259" s="21"/>
      <c r="S259" s="124"/>
      <c r="T259" s="124"/>
      <c r="U259" s="124"/>
      <c r="V259" s="124"/>
      <c r="W259" s="124"/>
      <c r="X259" s="124"/>
    </row>
    <row r="260">
      <c r="A260" s="216"/>
      <c r="B260" s="124"/>
      <c r="C260" s="124"/>
      <c r="D260" s="124"/>
      <c r="E260" s="124"/>
      <c r="F260" s="124"/>
      <c r="G260" s="124"/>
      <c r="H260" s="124"/>
      <c r="I260" s="217" t="str">
        <f>IFERROR(__xludf.DUMMYFUNCTION("""COMPUTED_VALUE"""),"")</f>
        <v/>
      </c>
      <c r="J260" s="219"/>
      <c r="K260" s="219"/>
      <c r="L260" s="124"/>
      <c r="M260" s="124"/>
      <c r="N260" s="124"/>
      <c r="O260" s="124"/>
      <c r="P260" s="124"/>
      <c r="Q260" s="124"/>
      <c r="R260" s="21"/>
      <c r="S260" s="124"/>
      <c r="T260" s="124"/>
      <c r="U260" s="124"/>
      <c r="V260" s="124"/>
      <c r="W260" s="124"/>
      <c r="X260" s="124"/>
    </row>
    <row r="261">
      <c r="A261" s="216"/>
      <c r="B261" s="124"/>
      <c r="C261" s="124"/>
      <c r="D261" s="124"/>
      <c r="E261" s="124"/>
      <c r="F261" s="124"/>
      <c r="G261" s="124"/>
      <c r="H261" s="124"/>
      <c r="I261" s="217" t="str">
        <f>IFERROR(__xludf.DUMMYFUNCTION("""COMPUTED_VALUE"""),"")</f>
        <v/>
      </c>
      <c r="J261" s="219"/>
      <c r="K261" s="219"/>
      <c r="L261" s="124"/>
      <c r="M261" s="124"/>
      <c r="N261" s="124"/>
      <c r="O261" s="124"/>
      <c r="P261" s="124"/>
      <c r="Q261" s="124"/>
      <c r="R261" s="21"/>
      <c r="S261" s="124"/>
      <c r="T261" s="124"/>
      <c r="U261" s="124"/>
      <c r="V261" s="124"/>
      <c r="W261" s="124"/>
      <c r="X261" s="124"/>
    </row>
    <row r="262">
      <c r="A262" s="216"/>
      <c r="B262" s="124"/>
      <c r="C262" s="124"/>
      <c r="D262" s="124"/>
      <c r="E262" s="124"/>
      <c r="F262" s="124"/>
      <c r="G262" s="124"/>
      <c r="H262" s="124"/>
      <c r="I262" s="217" t="str">
        <f>IFERROR(__xludf.DUMMYFUNCTION("""COMPUTED_VALUE"""),"")</f>
        <v/>
      </c>
      <c r="J262" s="219"/>
      <c r="K262" s="219"/>
      <c r="L262" s="124"/>
      <c r="M262" s="124"/>
      <c r="N262" s="124"/>
      <c r="O262" s="124"/>
      <c r="P262" s="124"/>
      <c r="Q262" s="124"/>
      <c r="R262" s="21"/>
      <c r="S262" s="124"/>
      <c r="T262" s="124"/>
      <c r="U262" s="124"/>
      <c r="V262" s="124"/>
      <c r="W262" s="124"/>
      <c r="X262" s="124"/>
    </row>
    <row r="263">
      <c r="A263" s="216"/>
      <c r="B263" s="124"/>
      <c r="C263" s="124"/>
      <c r="D263" s="124"/>
      <c r="E263" s="124"/>
      <c r="F263" s="124"/>
      <c r="G263" s="124"/>
      <c r="H263" s="124"/>
      <c r="I263" s="217" t="str">
        <f>IFERROR(__xludf.DUMMYFUNCTION("""COMPUTED_VALUE"""),"")</f>
        <v/>
      </c>
      <c r="J263" s="219"/>
      <c r="K263" s="219"/>
      <c r="L263" s="124"/>
      <c r="M263" s="124"/>
      <c r="N263" s="124"/>
      <c r="O263" s="124"/>
      <c r="P263" s="124"/>
      <c r="Q263" s="124"/>
      <c r="R263" s="21"/>
      <c r="S263" s="124"/>
      <c r="T263" s="124"/>
      <c r="U263" s="124"/>
      <c r="V263" s="124"/>
      <c r="W263" s="124"/>
      <c r="X263" s="124"/>
    </row>
    <row r="264">
      <c r="A264" s="216"/>
      <c r="B264" s="124"/>
      <c r="C264" s="124"/>
      <c r="D264" s="124"/>
      <c r="E264" s="124"/>
      <c r="F264" s="124"/>
      <c r="G264" s="124"/>
      <c r="H264" s="124"/>
      <c r="I264" s="217" t="str">
        <f>IFERROR(__xludf.DUMMYFUNCTION("""COMPUTED_VALUE"""),"")</f>
        <v/>
      </c>
      <c r="J264" s="219"/>
      <c r="K264" s="219"/>
      <c r="L264" s="124"/>
      <c r="M264" s="124"/>
      <c r="N264" s="124"/>
      <c r="O264" s="124"/>
      <c r="P264" s="124"/>
      <c r="Q264" s="124"/>
      <c r="R264" s="21"/>
      <c r="S264" s="124"/>
      <c r="T264" s="124"/>
      <c r="U264" s="124"/>
      <c r="V264" s="124"/>
      <c r="W264" s="124"/>
      <c r="X264" s="124"/>
    </row>
    <row r="265">
      <c r="A265" s="216"/>
      <c r="B265" s="124"/>
      <c r="C265" s="124"/>
      <c r="D265" s="124"/>
      <c r="E265" s="124"/>
      <c r="F265" s="124"/>
      <c r="G265" s="124"/>
      <c r="H265" s="124"/>
      <c r="I265" s="217" t="str">
        <f>IFERROR(__xludf.DUMMYFUNCTION("""COMPUTED_VALUE"""),"")</f>
        <v/>
      </c>
      <c r="J265" s="219"/>
      <c r="K265" s="219"/>
      <c r="L265" s="124"/>
      <c r="M265" s="124"/>
      <c r="N265" s="124"/>
      <c r="O265" s="124"/>
      <c r="P265" s="124"/>
      <c r="Q265" s="124"/>
      <c r="R265" s="21"/>
      <c r="S265" s="124"/>
      <c r="T265" s="124"/>
      <c r="U265" s="124"/>
      <c r="V265" s="124"/>
      <c r="W265" s="124"/>
      <c r="X265" s="124"/>
    </row>
    <row r="266">
      <c r="A266" s="216"/>
      <c r="B266" s="124"/>
      <c r="C266" s="124"/>
      <c r="D266" s="124"/>
      <c r="E266" s="124"/>
      <c r="F266" s="124"/>
      <c r="G266" s="124"/>
      <c r="H266" s="124"/>
      <c r="I266" s="217" t="str">
        <f>IFERROR(__xludf.DUMMYFUNCTION("""COMPUTED_VALUE"""),"")</f>
        <v/>
      </c>
      <c r="J266" s="219"/>
      <c r="K266" s="219"/>
      <c r="L266" s="124"/>
      <c r="M266" s="124"/>
      <c r="N266" s="124"/>
      <c r="O266" s="124"/>
      <c r="P266" s="124"/>
      <c r="Q266" s="124"/>
      <c r="R266" s="21"/>
      <c r="S266" s="124"/>
      <c r="T266" s="124"/>
      <c r="U266" s="124"/>
      <c r="V266" s="124"/>
      <c r="W266" s="124"/>
      <c r="X266" s="124"/>
    </row>
    <row r="267">
      <c r="A267" s="216"/>
      <c r="B267" s="124"/>
      <c r="C267" s="124"/>
      <c r="D267" s="124"/>
      <c r="E267" s="124"/>
      <c r="F267" s="124"/>
      <c r="G267" s="124"/>
      <c r="H267" s="124"/>
      <c r="I267" s="217" t="str">
        <f>IFERROR(__xludf.DUMMYFUNCTION("""COMPUTED_VALUE"""),"")</f>
        <v/>
      </c>
      <c r="J267" s="219"/>
      <c r="K267" s="219"/>
      <c r="L267" s="124"/>
      <c r="M267" s="124"/>
      <c r="N267" s="124"/>
      <c r="O267" s="124"/>
      <c r="P267" s="124"/>
      <c r="Q267" s="124"/>
      <c r="R267" s="21"/>
      <c r="S267" s="124"/>
      <c r="T267" s="124"/>
      <c r="U267" s="124"/>
      <c r="V267" s="124"/>
      <c r="W267" s="124"/>
      <c r="X267" s="124"/>
    </row>
    <row r="268">
      <c r="A268" s="216"/>
      <c r="B268" s="124"/>
      <c r="C268" s="124"/>
      <c r="D268" s="124"/>
      <c r="E268" s="124"/>
      <c r="F268" s="124"/>
      <c r="G268" s="124"/>
      <c r="H268" s="124"/>
      <c r="I268" s="217" t="str">
        <f>IFERROR(__xludf.DUMMYFUNCTION("""COMPUTED_VALUE"""),"")</f>
        <v/>
      </c>
      <c r="J268" s="219"/>
      <c r="K268" s="219"/>
      <c r="L268" s="124"/>
      <c r="M268" s="124"/>
      <c r="N268" s="124"/>
      <c r="O268" s="124"/>
      <c r="P268" s="124"/>
      <c r="Q268" s="124"/>
      <c r="R268" s="21"/>
      <c r="S268" s="124"/>
      <c r="T268" s="124"/>
      <c r="U268" s="124"/>
      <c r="V268" s="124"/>
      <c r="W268" s="124"/>
      <c r="X268" s="124"/>
    </row>
    <row r="269">
      <c r="A269" s="216"/>
      <c r="B269" s="124"/>
      <c r="C269" s="124"/>
      <c r="D269" s="124"/>
      <c r="E269" s="124"/>
      <c r="F269" s="124"/>
      <c r="G269" s="124"/>
      <c r="H269" s="124"/>
      <c r="I269" s="217" t="str">
        <f>IFERROR(__xludf.DUMMYFUNCTION("""COMPUTED_VALUE"""),"")</f>
        <v/>
      </c>
      <c r="J269" s="219"/>
      <c r="K269" s="219"/>
      <c r="L269" s="124"/>
      <c r="M269" s="124"/>
      <c r="N269" s="124"/>
      <c r="O269" s="124"/>
      <c r="P269" s="124"/>
      <c r="Q269" s="124"/>
      <c r="R269" s="21"/>
      <c r="S269" s="124"/>
      <c r="T269" s="124"/>
      <c r="U269" s="124"/>
      <c r="V269" s="124"/>
      <c r="W269" s="124"/>
      <c r="X269" s="124"/>
    </row>
    <row r="270">
      <c r="A270" s="216"/>
      <c r="B270" s="124"/>
      <c r="C270" s="124"/>
      <c r="D270" s="124"/>
      <c r="E270" s="124"/>
      <c r="F270" s="124"/>
      <c r="G270" s="124"/>
      <c r="H270" s="124"/>
      <c r="I270" s="217" t="str">
        <f>IFERROR(__xludf.DUMMYFUNCTION("""COMPUTED_VALUE"""),"")</f>
        <v/>
      </c>
      <c r="J270" s="219"/>
      <c r="K270" s="219"/>
      <c r="L270" s="124"/>
      <c r="M270" s="124"/>
      <c r="N270" s="124"/>
      <c r="O270" s="124"/>
      <c r="P270" s="124"/>
      <c r="Q270" s="124"/>
      <c r="R270" s="21"/>
      <c r="S270" s="124"/>
      <c r="T270" s="124"/>
      <c r="U270" s="124"/>
      <c r="V270" s="124"/>
      <c r="W270" s="124"/>
      <c r="X270" s="124"/>
    </row>
    <row r="271">
      <c r="A271" s="216"/>
      <c r="B271" s="124"/>
      <c r="C271" s="124"/>
      <c r="D271" s="124"/>
      <c r="E271" s="124"/>
      <c r="F271" s="124"/>
      <c r="G271" s="124"/>
      <c r="H271" s="124"/>
      <c r="I271" s="217" t="str">
        <f>IFERROR(__xludf.DUMMYFUNCTION("""COMPUTED_VALUE"""),"")</f>
        <v/>
      </c>
      <c r="J271" s="219"/>
      <c r="K271" s="219"/>
      <c r="L271" s="124"/>
      <c r="M271" s="124"/>
      <c r="N271" s="124"/>
      <c r="O271" s="124"/>
      <c r="P271" s="124"/>
      <c r="Q271" s="124"/>
      <c r="R271" s="21"/>
      <c r="S271" s="124"/>
      <c r="T271" s="124"/>
      <c r="U271" s="124"/>
      <c r="V271" s="124"/>
      <c r="W271" s="124"/>
      <c r="X271" s="124"/>
    </row>
    <row r="272">
      <c r="A272" s="216"/>
      <c r="B272" s="124"/>
      <c r="C272" s="124"/>
      <c r="D272" s="124"/>
      <c r="E272" s="124"/>
      <c r="F272" s="124"/>
      <c r="G272" s="124"/>
      <c r="H272" s="124"/>
      <c r="I272" s="217" t="str">
        <f>IFERROR(__xludf.DUMMYFUNCTION("""COMPUTED_VALUE"""),"")</f>
        <v/>
      </c>
      <c r="J272" s="219"/>
      <c r="K272" s="219"/>
      <c r="L272" s="124"/>
      <c r="M272" s="124"/>
      <c r="N272" s="124"/>
      <c r="O272" s="124"/>
      <c r="P272" s="124"/>
      <c r="Q272" s="124"/>
      <c r="R272" s="21"/>
      <c r="S272" s="124"/>
      <c r="T272" s="124"/>
      <c r="U272" s="124"/>
      <c r="V272" s="124"/>
      <c r="W272" s="124"/>
      <c r="X272" s="124"/>
    </row>
    <row r="273">
      <c r="A273" s="216"/>
      <c r="B273" s="124"/>
      <c r="C273" s="124"/>
      <c r="D273" s="124"/>
      <c r="E273" s="124"/>
      <c r="F273" s="124"/>
      <c r="G273" s="124"/>
      <c r="H273" s="124"/>
      <c r="I273" s="217" t="str">
        <f>IFERROR(__xludf.DUMMYFUNCTION("""COMPUTED_VALUE"""),"")</f>
        <v/>
      </c>
      <c r="J273" s="219"/>
      <c r="K273" s="219"/>
      <c r="L273" s="124"/>
      <c r="M273" s="124"/>
      <c r="N273" s="124"/>
      <c r="O273" s="124"/>
      <c r="P273" s="124"/>
      <c r="Q273" s="124"/>
      <c r="R273" s="21"/>
      <c r="S273" s="124"/>
      <c r="T273" s="124"/>
      <c r="U273" s="124"/>
      <c r="V273" s="124"/>
      <c r="W273" s="124"/>
      <c r="X273" s="124"/>
    </row>
    <row r="274">
      <c r="A274" s="216"/>
      <c r="B274" s="124"/>
      <c r="C274" s="124"/>
      <c r="D274" s="124"/>
      <c r="E274" s="124"/>
      <c r="F274" s="124"/>
      <c r="G274" s="124"/>
      <c r="H274" s="124"/>
      <c r="I274" s="217" t="str">
        <f>IFERROR(__xludf.DUMMYFUNCTION("""COMPUTED_VALUE"""),"")</f>
        <v/>
      </c>
      <c r="J274" s="219"/>
      <c r="K274" s="219"/>
      <c r="L274" s="124"/>
      <c r="M274" s="124"/>
      <c r="N274" s="124"/>
      <c r="O274" s="124"/>
      <c r="P274" s="124"/>
      <c r="Q274" s="124"/>
      <c r="R274" s="21"/>
      <c r="S274" s="124"/>
      <c r="T274" s="124"/>
      <c r="U274" s="124"/>
      <c r="V274" s="124"/>
      <c r="W274" s="124"/>
      <c r="X274" s="124"/>
    </row>
    <row r="275">
      <c r="A275" s="216"/>
      <c r="B275" s="124"/>
      <c r="C275" s="124"/>
      <c r="D275" s="124"/>
      <c r="E275" s="124"/>
      <c r="F275" s="124"/>
      <c r="G275" s="124"/>
      <c r="H275" s="124"/>
      <c r="I275" s="217" t="str">
        <f>IFERROR(__xludf.DUMMYFUNCTION("""COMPUTED_VALUE"""),"")</f>
        <v/>
      </c>
      <c r="J275" s="219"/>
      <c r="K275" s="219"/>
      <c r="L275" s="124"/>
      <c r="M275" s="124"/>
      <c r="N275" s="124"/>
      <c r="O275" s="124"/>
      <c r="P275" s="124"/>
      <c r="Q275" s="124"/>
      <c r="R275" s="21"/>
      <c r="S275" s="124"/>
      <c r="T275" s="124"/>
      <c r="U275" s="124"/>
      <c r="V275" s="124"/>
      <c r="W275" s="124"/>
      <c r="X275" s="124"/>
    </row>
    <row r="276">
      <c r="A276" s="216"/>
      <c r="B276" s="124"/>
      <c r="C276" s="124"/>
      <c r="D276" s="124"/>
      <c r="E276" s="124"/>
      <c r="F276" s="124"/>
      <c r="G276" s="124"/>
      <c r="H276" s="124"/>
      <c r="I276" s="217" t="str">
        <f>IFERROR(__xludf.DUMMYFUNCTION("""COMPUTED_VALUE"""),"")</f>
        <v/>
      </c>
      <c r="J276" s="219"/>
      <c r="K276" s="219"/>
      <c r="L276" s="124"/>
      <c r="M276" s="124"/>
      <c r="N276" s="124"/>
      <c r="O276" s="124"/>
      <c r="P276" s="124"/>
      <c r="Q276" s="124"/>
      <c r="R276" s="21"/>
      <c r="S276" s="124"/>
      <c r="T276" s="124"/>
      <c r="U276" s="124"/>
      <c r="V276" s="124"/>
      <c r="W276" s="124"/>
      <c r="X276" s="124"/>
    </row>
    <row r="277">
      <c r="A277" s="216"/>
      <c r="B277" s="124"/>
      <c r="C277" s="124"/>
      <c r="D277" s="124"/>
      <c r="E277" s="124"/>
      <c r="F277" s="124"/>
      <c r="G277" s="124"/>
      <c r="H277" s="124"/>
      <c r="I277" s="217" t="str">
        <f>IFERROR(__xludf.DUMMYFUNCTION("""COMPUTED_VALUE"""),"")</f>
        <v/>
      </c>
      <c r="J277" s="219"/>
      <c r="K277" s="219"/>
      <c r="L277" s="124"/>
      <c r="M277" s="124"/>
      <c r="N277" s="124"/>
      <c r="O277" s="124"/>
      <c r="P277" s="124"/>
      <c r="Q277" s="124"/>
      <c r="R277" s="21"/>
      <c r="S277" s="124"/>
      <c r="T277" s="124"/>
      <c r="U277" s="124"/>
      <c r="V277" s="124"/>
      <c r="W277" s="124"/>
      <c r="X277" s="124"/>
    </row>
    <row r="278">
      <c r="A278" s="216"/>
      <c r="B278" s="124"/>
      <c r="C278" s="124"/>
      <c r="D278" s="124"/>
      <c r="E278" s="124"/>
      <c r="F278" s="124"/>
      <c r="G278" s="124"/>
      <c r="H278" s="124"/>
      <c r="I278" s="217" t="str">
        <f>IFERROR(__xludf.DUMMYFUNCTION("""COMPUTED_VALUE"""),"")</f>
        <v/>
      </c>
      <c r="J278" s="219"/>
      <c r="K278" s="219"/>
      <c r="L278" s="124"/>
      <c r="M278" s="124"/>
      <c r="N278" s="124"/>
      <c r="O278" s="124"/>
      <c r="P278" s="124"/>
      <c r="Q278" s="124"/>
      <c r="R278" s="21"/>
      <c r="S278" s="124"/>
      <c r="T278" s="124"/>
      <c r="U278" s="124"/>
      <c r="V278" s="124"/>
      <c r="W278" s="124"/>
      <c r="X278" s="124"/>
    </row>
    <row r="279">
      <c r="A279" s="216"/>
      <c r="B279" s="124"/>
      <c r="C279" s="124"/>
      <c r="D279" s="124"/>
      <c r="E279" s="124"/>
      <c r="F279" s="124"/>
      <c r="G279" s="124"/>
      <c r="H279" s="124"/>
      <c r="I279" s="217" t="str">
        <f>IFERROR(__xludf.DUMMYFUNCTION("""COMPUTED_VALUE"""),"")</f>
        <v/>
      </c>
      <c r="J279" s="219"/>
      <c r="K279" s="219"/>
      <c r="L279" s="124"/>
      <c r="M279" s="124"/>
      <c r="N279" s="124"/>
      <c r="O279" s="124"/>
      <c r="P279" s="124"/>
      <c r="Q279" s="124"/>
      <c r="R279" s="21"/>
      <c r="S279" s="124"/>
      <c r="T279" s="124"/>
      <c r="U279" s="124"/>
      <c r="V279" s="124"/>
      <c r="W279" s="124"/>
      <c r="X279" s="124"/>
    </row>
    <row r="280">
      <c r="A280" s="216"/>
      <c r="B280" s="124"/>
      <c r="C280" s="124"/>
      <c r="D280" s="124"/>
      <c r="E280" s="124"/>
      <c r="F280" s="124"/>
      <c r="G280" s="124"/>
      <c r="H280" s="124"/>
      <c r="I280" s="217" t="str">
        <f>IFERROR(__xludf.DUMMYFUNCTION("""COMPUTED_VALUE"""),"")</f>
        <v/>
      </c>
      <c r="J280" s="219"/>
      <c r="K280" s="219"/>
      <c r="L280" s="124"/>
      <c r="M280" s="124"/>
      <c r="N280" s="124"/>
      <c r="O280" s="124"/>
      <c r="P280" s="124"/>
      <c r="Q280" s="124"/>
      <c r="R280" s="21"/>
      <c r="S280" s="124"/>
      <c r="T280" s="124"/>
      <c r="U280" s="124"/>
      <c r="V280" s="124"/>
      <c r="W280" s="124"/>
      <c r="X280" s="124"/>
    </row>
    <row r="281">
      <c r="A281" s="216"/>
      <c r="B281" s="124"/>
      <c r="C281" s="124"/>
      <c r="D281" s="124"/>
      <c r="E281" s="124"/>
      <c r="F281" s="124"/>
      <c r="G281" s="124"/>
      <c r="H281" s="124"/>
      <c r="I281" s="217" t="str">
        <f>IFERROR(__xludf.DUMMYFUNCTION("""COMPUTED_VALUE"""),"")</f>
        <v/>
      </c>
      <c r="J281" s="219"/>
      <c r="K281" s="219"/>
      <c r="L281" s="124"/>
      <c r="M281" s="124"/>
      <c r="N281" s="124"/>
      <c r="O281" s="124"/>
      <c r="P281" s="124"/>
      <c r="Q281" s="124"/>
      <c r="R281" s="21"/>
      <c r="S281" s="124"/>
      <c r="T281" s="124"/>
      <c r="U281" s="124"/>
      <c r="V281" s="124"/>
      <c r="W281" s="124"/>
      <c r="X281" s="124"/>
    </row>
    <row r="282">
      <c r="A282" s="216"/>
      <c r="B282" s="124"/>
      <c r="C282" s="124"/>
      <c r="D282" s="124"/>
      <c r="E282" s="124"/>
      <c r="F282" s="124"/>
      <c r="G282" s="124"/>
      <c r="H282" s="124"/>
      <c r="I282" s="217" t="str">
        <f>IFERROR(__xludf.DUMMYFUNCTION("""COMPUTED_VALUE"""),"")</f>
        <v/>
      </c>
      <c r="J282" s="219"/>
      <c r="K282" s="219"/>
      <c r="L282" s="124"/>
      <c r="M282" s="124"/>
      <c r="N282" s="124"/>
      <c r="O282" s="124"/>
      <c r="P282" s="124"/>
      <c r="Q282" s="124"/>
      <c r="R282" s="21"/>
      <c r="S282" s="124"/>
      <c r="T282" s="124"/>
      <c r="U282" s="124"/>
      <c r="V282" s="124"/>
      <c r="W282" s="124"/>
      <c r="X282" s="124"/>
    </row>
    <row r="283">
      <c r="A283" s="216"/>
      <c r="B283" s="124"/>
      <c r="C283" s="124"/>
      <c r="D283" s="124"/>
      <c r="E283" s="124"/>
      <c r="F283" s="124"/>
      <c r="G283" s="124"/>
      <c r="H283" s="124"/>
      <c r="I283" s="217" t="str">
        <f>IFERROR(__xludf.DUMMYFUNCTION("""COMPUTED_VALUE"""),"")</f>
        <v/>
      </c>
      <c r="J283" s="219"/>
      <c r="K283" s="219"/>
      <c r="L283" s="124"/>
      <c r="M283" s="124"/>
      <c r="N283" s="124"/>
      <c r="O283" s="124"/>
      <c r="P283" s="124"/>
      <c r="Q283" s="124"/>
      <c r="R283" s="21"/>
      <c r="S283" s="124"/>
      <c r="T283" s="124"/>
      <c r="U283" s="124"/>
      <c r="V283" s="124"/>
      <c r="W283" s="124"/>
      <c r="X283" s="124"/>
    </row>
    <row r="284">
      <c r="A284" s="216"/>
      <c r="B284" s="124"/>
      <c r="C284" s="124"/>
      <c r="D284" s="124"/>
      <c r="E284" s="124"/>
      <c r="F284" s="124"/>
      <c r="G284" s="124"/>
      <c r="H284" s="124"/>
      <c r="I284" s="217" t="str">
        <f>IFERROR(__xludf.DUMMYFUNCTION("""COMPUTED_VALUE"""),"")</f>
        <v/>
      </c>
      <c r="J284" s="219"/>
      <c r="K284" s="219"/>
      <c r="L284" s="124"/>
      <c r="M284" s="124"/>
      <c r="N284" s="124"/>
      <c r="O284" s="124"/>
      <c r="P284" s="124"/>
      <c r="Q284" s="124"/>
      <c r="R284" s="21"/>
      <c r="S284" s="124"/>
      <c r="T284" s="124"/>
      <c r="U284" s="124"/>
      <c r="V284" s="124"/>
      <c r="W284" s="124"/>
      <c r="X284" s="124"/>
    </row>
    <row r="285">
      <c r="A285" s="216"/>
      <c r="B285" s="124"/>
      <c r="C285" s="124"/>
      <c r="D285" s="124"/>
      <c r="E285" s="124"/>
      <c r="F285" s="124"/>
      <c r="G285" s="124"/>
      <c r="H285" s="124"/>
      <c r="I285" s="217" t="str">
        <f>IFERROR(__xludf.DUMMYFUNCTION("""COMPUTED_VALUE"""),"")</f>
        <v/>
      </c>
      <c r="J285" s="219"/>
      <c r="K285" s="219"/>
      <c r="L285" s="124"/>
      <c r="M285" s="124"/>
      <c r="N285" s="124"/>
      <c r="O285" s="124"/>
      <c r="P285" s="124"/>
      <c r="Q285" s="124"/>
      <c r="R285" s="21"/>
      <c r="S285" s="124"/>
      <c r="T285" s="124"/>
      <c r="U285" s="124"/>
      <c r="V285" s="124"/>
      <c r="W285" s="124"/>
      <c r="X285" s="124"/>
    </row>
    <row r="286">
      <c r="A286" s="216"/>
      <c r="B286" s="124"/>
      <c r="C286" s="124"/>
      <c r="D286" s="124"/>
      <c r="E286" s="124"/>
      <c r="F286" s="124"/>
      <c r="G286" s="124"/>
      <c r="H286" s="124"/>
      <c r="I286" s="217" t="str">
        <f>IFERROR(__xludf.DUMMYFUNCTION("""COMPUTED_VALUE"""),"")</f>
        <v/>
      </c>
      <c r="J286" s="219"/>
      <c r="K286" s="219"/>
      <c r="L286" s="124"/>
      <c r="M286" s="124"/>
      <c r="N286" s="124"/>
      <c r="O286" s="124"/>
      <c r="P286" s="124"/>
      <c r="Q286" s="124"/>
      <c r="R286" s="21"/>
      <c r="S286" s="124"/>
      <c r="T286" s="124"/>
      <c r="U286" s="124"/>
      <c r="V286" s="124"/>
      <c r="W286" s="124"/>
      <c r="X286" s="124"/>
    </row>
    <row r="287">
      <c r="A287" s="216"/>
      <c r="B287" s="124"/>
      <c r="C287" s="124"/>
      <c r="D287" s="124"/>
      <c r="E287" s="124"/>
      <c r="F287" s="124"/>
      <c r="G287" s="124"/>
      <c r="H287" s="124"/>
      <c r="I287" s="217" t="str">
        <f>IFERROR(__xludf.DUMMYFUNCTION("""COMPUTED_VALUE"""),"")</f>
        <v/>
      </c>
      <c r="J287" s="219"/>
      <c r="K287" s="219"/>
      <c r="L287" s="124"/>
      <c r="M287" s="124"/>
      <c r="N287" s="124"/>
      <c r="O287" s="124"/>
      <c r="P287" s="124"/>
      <c r="Q287" s="124"/>
      <c r="R287" s="21"/>
      <c r="S287" s="124"/>
      <c r="T287" s="124"/>
      <c r="U287" s="124"/>
      <c r="V287" s="124"/>
      <c r="W287" s="124"/>
      <c r="X287" s="124"/>
    </row>
    <row r="288">
      <c r="A288" s="216"/>
      <c r="B288" s="124"/>
      <c r="C288" s="124"/>
      <c r="D288" s="124"/>
      <c r="E288" s="124"/>
      <c r="F288" s="124"/>
      <c r="G288" s="124"/>
      <c r="H288" s="124"/>
      <c r="I288" s="217" t="str">
        <f>IFERROR(__xludf.DUMMYFUNCTION("""COMPUTED_VALUE"""),"")</f>
        <v/>
      </c>
      <c r="J288" s="219"/>
      <c r="K288" s="219"/>
      <c r="L288" s="124"/>
      <c r="M288" s="124"/>
      <c r="N288" s="124"/>
      <c r="O288" s="124"/>
      <c r="P288" s="124"/>
      <c r="Q288" s="124"/>
      <c r="R288" s="21"/>
      <c r="S288" s="124"/>
      <c r="T288" s="124"/>
      <c r="U288" s="124"/>
      <c r="V288" s="124"/>
      <c r="W288" s="124"/>
      <c r="X288" s="124"/>
    </row>
    <row r="289">
      <c r="A289" s="216"/>
      <c r="B289" s="124"/>
      <c r="C289" s="124"/>
      <c r="D289" s="124"/>
      <c r="E289" s="124"/>
      <c r="F289" s="124"/>
      <c r="G289" s="124"/>
      <c r="H289" s="124"/>
      <c r="I289" s="217" t="str">
        <f>IFERROR(__xludf.DUMMYFUNCTION("""COMPUTED_VALUE"""),"")</f>
        <v/>
      </c>
      <c r="J289" s="219"/>
      <c r="K289" s="219"/>
      <c r="L289" s="124"/>
      <c r="M289" s="124"/>
      <c r="N289" s="124"/>
      <c r="O289" s="124"/>
      <c r="P289" s="124"/>
      <c r="Q289" s="124"/>
      <c r="R289" s="21"/>
      <c r="S289" s="124"/>
      <c r="T289" s="124"/>
      <c r="U289" s="124"/>
      <c r="V289" s="124"/>
      <c r="W289" s="124"/>
      <c r="X289" s="124"/>
    </row>
    <row r="290">
      <c r="A290" s="216"/>
      <c r="B290" s="124"/>
      <c r="C290" s="124"/>
      <c r="D290" s="124"/>
      <c r="E290" s="124"/>
      <c r="F290" s="124"/>
      <c r="G290" s="124"/>
      <c r="H290" s="124"/>
      <c r="I290" s="217" t="str">
        <f>IFERROR(__xludf.DUMMYFUNCTION("""COMPUTED_VALUE"""),"")</f>
        <v/>
      </c>
      <c r="J290" s="219"/>
      <c r="K290" s="219"/>
      <c r="L290" s="124"/>
      <c r="M290" s="124"/>
      <c r="N290" s="124"/>
      <c r="O290" s="124"/>
      <c r="P290" s="124"/>
      <c r="Q290" s="124"/>
      <c r="R290" s="21"/>
      <c r="S290" s="124"/>
      <c r="T290" s="124"/>
      <c r="U290" s="124"/>
      <c r="V290" s="124"/>
      <c r="W290" s="124"/>
      <c r="X290" s="124"/>
    </row>
    <row r="291">
      <c r="A291" s="216"/>
      <c r="B291" s="124"/>
      <c r="C291" s="124"/>
      <c r="D291" s="124"/>
      <c r="E291" s="124"/>
      <c r="F291" s="124"/>
      <c r="G291" s="124"/>
      <c r="H291" s="124"/>
      <c r="I291" s="217" t="str">
        <f>IFERROR(__xludf.DUMMYFUNCTION("""COMPUTED_VALUE"""),"")</f>
        <v/>
      </c>
      <c r="J291" s="219"/>
      <c r="K291" s="219"/>
      <c r="L291" s="124"/>
      <c r="M291" s="124"/>
      <c r="N291" s="124"/>
      <c r="O291" s="124"/>
      <c r="P291" s="124"/>
      <c r="Q291" s="124"/>
      <c r="R291" s="21"/>
      <c r="S291" s="124"/>
      <c r="T291" s="124"/>
      <c r="U291" s="124"/>
      <c r="V291" s="124"/>
      <c r="W291" s="124"/>
      <c r="X291" s="124"/>
    </row>
    <row r="292">
      <c r="A292" s="216"/>
      <c r="B292" s="124"/>
      <c r="C292" s="124"/>
      <c r="D292" s="124"/>
      <c r="E292" s="124"/>
      <c r="F292" s="124"/>
      <c r="G292" s="124"/>
      <c r="H292" s="124"/>
      <c r="I292" s="217" t="str">
        <f>IFERROR(__xludf.DUMMYFUNCTION("""COMPUTED_VALUE"""),"")</f>
        <v/>
      </c>
      <c r="J292" s="219"/>
      <c r="K292" s="219"/>
      <c r="L292" s="124"/>
      <c r="M292" s="124"/>
      <c r="N292" s="124"/>
      <c r="O292" s="124"/>
      <c r="P292" s="124"/>
      <c r="Q292" s="124"/>
      <c r="R292" s="21"/>
      <c r="S292" s="124"/>
      <c r="T292" s="124"/>
      <c r="U292" s="124"/>
      <c r="V292" s="124"/>
      <c r="W292" s="124"/>
      <c r="X292" s="124"/>
    </row>
    <row r="293">
      <c r="A293" s="216"/>
      <c r="B293" s="124"/>
      <c r="C293" s="124"/>
      <c r="D293" s="124"/>
      <c r="E293" s="124"/>
      <c r="F293" s="124"/>
      <c r="G293" s="124"/>
      <c r="H293" s="124"/>
      <c r="I293" s="217" t="str">
        <f>IFERROR(__xludf.DUMMYFUNCTION("""COMPUTED_VALUE"""),"")</f>
        <v/>
      </c>
      <c r="J293" s="219"/>
      <c r="K293" s="219"/>
      <c r="L293" s="124"/>
      <c r="M293" s="124"/>
      <c r="N293" s="124"/>
      <c r="O293" s="124"/>
      <c r="P293" s="124"/>
      <c r="Q293" s="124"/>
      <c r="R293" s="21"/>
      <c r="S293" s="124"/>
      <c r="T293" s="124"/>
      <c r="U293" s="124"/>
      <c r="V293" s="124"/>
      <c r="W293" s="124"/>
      <c r="X293" s="124"/>
    </row>
    <row r="294">
      <c r="A294" s="216"/>
      <c r="B294" s="124"/>
      <c r="C294" s="124"/>
      <c r="D294" s="124"/>
      <c r="E294" s="124"/>
      <c r="F294" s="124"/>
      <c r="G294" s="124"/>
      <c r="H294" s="124"/>
      <c r="I294" s="217" t="str">
        <f>IFERROR(__xludf.DUMMYFUNCTION("""COMPUTED_VALUE"""),"")</f>
        <v/>
      </c>
      <c r="J294" s="219"/>
      <c r="K294" s="219"/>
      <c r="L294" s="124"/>
      <c r="M294" s="124"/>
      <c r="N294" s="124"/>
      <c r="O294" s="124"/>
      <c r="P294" s="124"/>
      <c r="Q294" s="124"/>
      <c r="R294" s="21"/>
      <c r="S294" s="124"/>
      <c r="T294" s="124"/>
      <c r="U294" s="124"/>
      <c r="V294" s="124"/>
      <c r="W294" s="124"/>
      <c r="X294" s="124"/>
    </row>
    <row r="295">
      <c r="A295" s="216"/>
      <c r="B295" s="124"/>
      <c r="C295" s="124"/>
      <c r="D295" s="124"/>
      <c r="E295" s="124"/>
      <c r="F295" s="124"/>
      <c r="G295" s="124"/>
      <c r="H295" s="124"/>
      <c r="I295" s="217" t="str">
        <f>IFERROR(__xludf.DUMMYFUNCTION("""COMPUTED_VALUE"""),"")</f>
        <v/>
      </c>
      <c r="J295" s="219"/>
      <c r="K295" s="219"/>
      <c r="L295" s="124"/>
      <c r="M295" s="124"/>
      <c r="N295" s="124"/>
      <c r="O295" s="124"/>
      <c r="P295" s="124"/>
      <c r="Q295" s="124"/>
      <c r="R295" s="21"/>
      <c r="S295" s="124"/>
      <c r="T295" s="124"/>
      <c r="U295" s="124"/>
      <c r="V295" s="124"/>
      <c r="W295" s="124"/>
      <c r="X295" s="124"/>
    </row>
    <row r="296">
      <c r="A296" s="216"/>
      <c r="B296" s="124"/>
      <c r="C296" s="124"/>
      <c r="D296" s="124"/>
      <c r="E296" s="124"/>
      <c r="F296" s="124"/>
      <c r="G296" s="124"/>
      <c r="H296" s="124"/>
      <c r="I296" s="217" t="str">
        <f>IFERROR(__xludf.DUMMYFUNCTION("""COMPUTED_VALUE"""),"")</f>
        <v/>
      </c>
      <c r="J296" s="219"/>
      <c r="K296" s="219"/>
      <c r="L296" s="124"/>
      <c r="M296" s="124"/>
      <c r="N296" s="124"/>
      <c r="O296" s="124"/>
      <c r="P296" s="124"/>
      <c r="Q296" s="124"/>
      <c r="R296" s="21"/>
      <c r="S296" s="124"/>
      <c r="T296" s="124"/>
      <c r="U296" s="124"/>
      <c r="V296" s="124"/>
      <c r="W296" s="124"/>
      <c r="X296" s="124"/>
    </row>
    <row r="297">
      <c r="A297" s="216"/>
      <c r="B297" s="124"/>
      <c r="C297" s="124"/>
      <c r="D297" s="124"/>
      <c r="E297" s="124"/>
      <c r="F297" s="124"/>
      <c r="G297" s="124"/>
      <c r="H297" s="124"/>
      <c r="I297" s="217" t="str">
        <f>IFERROR(__xludf.DUMMYFUNCTION("""COMPUTED_VALUE"""),"")</f>
        <v/>
      </c>
      <c r="J297" s="219"/>
      <c r="K297" s="219"/>
      <c r="L297" s="124"/>
      <c r="M297" s="124"/>
      <c r="N297" s="124"/>
      <c r="O297" s="124"/>
      <c r="P297" s="124"/>
      <c r="Q297" s="124"/>
      <c r="R297" s="21"/>
      <c r="S297" s="124"/>
      <c r="T297" s="124"/>
      <c r="U297" s="124"/>
      <c r="V297" s="124"/>
      <c r="W297" s="124"/>
      <c r="X297" s="124"/>
    </row>
    <row r="298">
      <c r="A298" s="216"/>
      <c r="B298" s="124"/>
      <c r="C298" s="124"/>
      <c r="D298" s="124"/>
      <c r="E298" s="124"/>
      <c r="F298" s="124"/>
      <c r="G298" s="124"/>
      <c r="H298" s="124"/>
      <c r="I298" s="217" t="str">
        <f>IFERROR(__xludf.DUMMYFUNCTION("""COMPUTED_VALUE"""),"")</f>
        <v/>
      </c>
      <c r="J298" s="219"/>
      <c r="K298" s="219"/>
      <c r="L298" s="124"/>
      <c r="M298" s="124"/>
      <c r="N298" s="124"/>
      <c r="O298" s="124"/>
      <c r="P298" s="124"/>
      <c r="Q298" s="124"/>
      <c r="R298" s="21"/>
      <c r="S298" s="124"/>
      <c r="T298" s="124"/>
      <c r="U298" s="124"/>
      <c r="V298" s="124"/>
      <c r="W298" s="124"/>
      <c r="X298" s="124"/>
    </row>
    <row r="299">
      <c r="A299" s="216"/>
      <c r="B299" s="124"/>
      <c r="C299" s="124"/>
      <c r="D299" s="124"/>
      <c r="E299" s="124"/>
      <c r="F299" s="124"/>
      <c r="G299" s="124"/>
      <c r="H299" s="124"/>
      <c r="I299" s="217" t="str">
        <f>IFERROR(__xludf.DUMMYFUNCTION("""COMPUTED_VALUE"""),"")</f>
        <v/>
      </c>
      <c r="J299" s="219"/>
      <c r="K299" s="219"/>
      <c r="L299" s="124"/>
      <c r="M299" s="124"/>
      <c r="N299" s="124"/>
      <c r="O299" s="124"/>
      <c r="P299" s="124"/>
      <c r="Q299" s="124"/>
      <c r="R299" s="21"/>
      <c r="S299" s="124"/>
      <c r="T299" s="124"/>
      <c r="U299" s="124"/>
      <c r="V299" s="124"/>
      <c r="W299" s="124"/>
      <c r="X299" s="124"/>
    </row>
    <row r="300">
      <c r="A300" s="216"/>
      <c r="B300" s="124"/>
      <c r="C300" s="124"/>
      <c r="D300" s="124"/>
      <c r="E300" s="124"/>
      <c r="F300" s="124"/>
      <c r="G300" s="124"/>
      <c r="H300" s="124"/>
      <c r="I300" s="217" t="str">
        <f>IFERROR(__xludf.DUMMYFUNCTION("""COMPUTED_VALUE"""),"")</f>
        <v/>
      </c>
      <c r="J300" s="219"/>
      <c r="K300" s="219"/>
      <c r="L300" s="124"/>
      <c r="M300" s="124"/>
      <c r="N300" s="124"/>
      <c r="O300" s="124"/>
      <c r="P300" s="124"/>
      <c r="Q300" s="124"/>
      <c r="R300" s="21"/>
      <c r="S300" s="124"/>
      <c r="T300" s="124"/>
      <c r="U300" s="124"/>
      <c r="V300" s="124"/>
      <c r="W300" s="124"/>
      <c r="X300" s="124"/>
    </row>
    <row r="301">
      <c r="A301" s="216"/>
      <c r="B301" s="124"/>
      <c r="C301" s="124"/>
      <c r="D301" s="124"/>
      <c r="E301" s="124"/>
      <c r="F301" s="124"/>
      <c r="G301" s="124"/>
      <c r="H301" s="124"/>
      <c r="I301" s="217" t="str">
        <f>IFERROR(__xludf.DUMMYFUNCTION("""COMPUTED_VALUE"""),"")</f>
        <v/>
      </c>
      <c r="J301" s="219"/>
      <c r="K301" s="219"/>
      <c r="L301" s="124"/>
      <c r="M301" s="124"/>
      <c r="N301" s="124"/>
      <c r="O301" s="124"/>
      <c r="P301" s="124"/>
      <c r="Q301" s="124"/>
      <c r="R301" s="21"/>
      <c r="S301" s="124"/>
      <c r="T301" s="124"/>
      <c r="U301" s="124"/>
      <c r="V301" s="124"/>
      <c r="W301" s="124"/>
      <c r="X301" s="124"/>
    </row>
    <row r="302">
      <c r="A302" s="216"/>
      <c r="B302" s="124"/>
      <c r="C302" s="124"/>
      <c r="D302" s="124"/>
      <c r="E302" s="124"/>
      <c r="F302" s="124"/>
      <c r="G302" s="124"/>
      <c r="H302" s="124"/>
      <c r="I302" s="217" t="str">
        <f>IFERROR(__xludf.DUMMYFUNCTION("""COMPUTED_VALUE"""),"")</f>
        <v/>
      </c>
      <c r="J302" s="219"/>
      <c r="K302" s="219"/>
      <c r="L302" s="124"/>
      <c r="M302" s="124"/>
      <c r="N302" s="124"/>
      <c r="O302" s="124"/>
      <c r="P302" s="124"/>
      <c r="Q302" s="124"/>
      <c r="R302" s="21"/>
      <c r="S302" s="124"/>
      <c r="T302" s="124"/>
      <c r="U302" s="124"/>
      <c r="V302" s="124"/>
      <c r="W302" s="124"/>
      <c r="X302" s="124"/>
    </row>
    <row r="303">
      <c r="A303" s="216"/>
      <c r="B303" s="124"/>
      <c r="C303" s="124"/>
      <c r="D303" s="124"/>
      <c r="E303" s="124"/>
      <c r="F303" s="124"/>
      <c r="G303" s="124"/>
      <c r="H303" s="124"/>
      <c r="I303" s="217" t="str">
        <f>IFERROR(__xludf.DUMMYFUNCTION("""COMPUTED_VALUE"""),"")</f>
        <v/>
      </c>
      <c r="J303" s="219"/>
      <c r="K303" s="219"/>
      <c r="L303" s="124"/>
      <c r="M303" s="124"/>
      <c r="N303" s="124"/>
      <c r="O303" s="124"/>
      <c r="P303" s="124"/>
      <c r="Q303" s="124"/>
      <c r="R303" s="21"/>
      <c r="S303" s="124"/>
      <c r="T303" s="124"/>
      <c r="U303" s="124"/>
      <c r="V303" s="124"/>
      <c r="W303" s="124"/>
      <c r="X303" s="124"/>
    </row>
    <row r="304">
      <c r="A304" s="216"/>
      <c r="B304" s="124"/>
      <c r="C304" s="124"/>
      <c r="D304" s="124"/>
      <c r="E304" s="124"/>
      <c r="F304" s="124"/>
      <c r="G304" s="124"/>
      <c r="H304" s="124"/>
      <c r="I304" s="217" t="str">
        <f>IFERROR(__xludf.DUMMYFUNCTION("""COMPUTED_VALUE"""),"")</f>
        <v/>
      </c>
      <c r="J304" s="219"/>
      <c r="K304" s="219"/>
      <c r="L304" s="124"/>
      <c r="M304" s="124"/>
      <c r="N304" s="124"/>
      <c r="O304" s="124"/>
      <c r="P304" s="124"/>
      <c r="Q304" s="124"/>
      <c r="R304" s="21"/>
      <c r="S304" s="124"/>
      <c r="T304" s="124"/>
      <c r="U304" s="124"/>
      <c r="V304" s="124"/>
      <c r="W304" s="124"/>
      <c r="X304" s="124"/>
    </row>
    <row r="305">
      <c r="A305" s="216"/>
      <c r="B305" s="124"/>
      <c r="C305" s="124"/>
      <c r="D305" s="124"/>
      <c r="E305" s="124"/>
      <c r="F305" s="124"/>
      <c r="G305" s="124"/>
      <c r="H305" s="124"/>
      <c r="I305" s="217" t="str">
        <f>IFERROR(__xludf.DUMMYFUNCTION("""COMPUTED_VALUE"""),"")</f>
        <v/>
      </c>
      <c r="J305" s="219"/>
      <c r="K305" s="219"/>
      <c r="L305" s="124"/>
      <c r="M305" s="124"/>
      <c r="N305" s="124"/>
      <c r="O305" s="124"/>
      <c r="P305" s="124"/>
      <c r="Q305" s="124"/>
      <c r="R305" s="21"/>
      <c r="S305" s="124"/>
      <c r="T305" s="124"/>
      <c r="U305" s="124"/>
      <c r="V305" s="124"/>
      <c r="W305" s="124"/>
      <c r="X305" s="124"/>
    </row>
    <row r="306">
      <c r="A306" s="216"/>
      <c r="B306" s="124"/>
      <c r="C306" s="124"/>
      <c r="D306" s="124"/>
      <c r="E306" s="124"/>
      <c r="F306" s="124"/>
      <c r="G306" s="124"/>
      <c r="H306" s="124"/>
      <c r="I306" s="217" t="str">
        <f>IFERROR(__xludf.DUMMYFUNCTION("""COMPUTED_VALUE"""),"")</f>
        <v/>
      </c>
      <c r="J306" s="219"/>
      <c r="K306" s="219"/>
      <c r="L306" s="124"/>
      <c r="M306" s="124"/>
      <c r="N306" s="124"/>
      <c r="O306" s="124"/>
      <c r="P306" s="124"/>
      <c r="Q306" s="124"/>
      <c r="R306" s="21"/>
      <c r="S306" s="124"/>
      <c r="T306" s="124"/>
      <c r="U306" s="124"/>
      <c r="V306" s="124"/>
      <c r="W306" s="124"/>
      <c r="X306" s="124"/>
    </row>
    <row r="307">
      <c r="A307" s="216"/>
      <c r="B307" s="124"/>
      <c r="C307" s="124"/>
      <c r="D307" s="124"/>
      <c r="E307" s="124"/>
      <c r="F307" s="124"/>
      <c r="G307" s="124"/>
      <c r="H307" s="124"/>
      <c r="I307" s="217" t="str">
        <f>IFERROR(__xludf.DUMMYFUNCTION("""COMPUTED_VALUE"""),"")</f>
        <v/>
      </c>
      <c r="J307" s="219"/>
      <c r="K307" s="219"/>
      <c r="L307" s="124"/>
      <c r="M307" s="124"/>
      <c r="N307" s="124"/>
      <c r="O307" s="124"/>
      <c r="P307" s="124"/>
      <c r="Q307" s="124"/>
      <c r="R307" s="21"/>
      <c r="S307" s="124"/>
      <c r="T307" s="124"/>
      <c r="U307" s="124"/>
      <c r="V307" s="124"/>
      <c r="W307" s="124"/>
      <c r="X307" s="124"/>
    </row>
    <row r="308">
      <c r="A308" s="216"/>
      <c r="B308" s="124"/>
      <c r="C308" s="124"/>
      <c r="D308" s="124"/>
      <c r="E308" s="124"/>
      <c r="F308" s="124"/>
      <c r="G308" s="124"/>
      <c r="H308" s="124"/>
      <c r="I308" s="217" t="str">
        <f>IFERROR(__xludf.DUMMYFUNCTION("""COMPUTED_VALUE"""),"")</f>
        <v/>
      </c>
      <c r="J308" s="219"/>
      <c r="K308" s="219"/>
      <c r="L308" s="124"/>
      <c r="M308" s="124"/>
      <c r="N308" s="124"/>
      <c r="O308" s="124"/>
      <c r="P308" s="124"/>
      <c r="Q308" s="124"/>
      <c r="R308" s="21"/>
      <c r="S308" s="124"/>
      <c r="T308" s="124"/>
      <c r="U308" s="124"/>
      <c r="V308" s="124"/>
      <c r="W308" s="124"/>
      <c r="X308" s="124"/>
    </row>
    <row r="309">
      <c r="A309" s="216"/>
      <c r="B309" s="124"/>
      <c r="C309" s="124"/>
      <c r="D309" s="124"/>
      <c r="E309" s="124"/>
      <c r="F309" s="124"/>
      <c r="G309" s="124"/>
      <c r="H309" s="124"/>
      <c r="I309" s="217" t="str">
        <f>IFERROR(__xludf.DUMMYFUNCTION("""COMPUTED_VALUE"""),"")</f>
        <v/>
      </c>
      <c r="J309" s="219"/>
      <c r="K309" s="219"/>
      <c r="L309" s="124"/>
      <c r="M309" s="124"/>
      <c r="N309" s="124"/>
      <c r="O309" s="124"/>
      <c r="P309" s="124"/>
      <c r="Q309" s="124"/>
      <c r="R309" s="21"/>
      <c r="S309" s="124"/>
      <c r="T309" s="124"/>
      <c r="U309" s="124"/>
      <c r="V309" s="124"/>
      <c r="W309" s="124"/>
      <c r="X309" s="124"/>
    </row>
    <row r="310">
      <c r="A310" s="216"/>
      <c r="B310" s="124"/>
      <c r="C310" s="124"/>
      <c r="D310" s="124"/>
      <c r="E310" s="124"/>
      <c r="F310" s="124"/>
      <c r="G310" s="124"/>
      <c r="H310" s="124"/>
      <c r="I310" s="217" t="str">
        <f>IFERROR(__xludf.DUMMYFUNCTION("""COMPUTED_VALUE"""),"")</f>
        <v/>
      </c>
      <c r="J310" s="219"/>
      <c r="K310" s="219"/>
      <c r="L310" s="124"/>
      <c r="M310" s="124"/>
      <c r="N310" s="124"/>
      <c r="O310" s="124"/>
      <c r="P310" s="124"/>
      <c r="Q310" s="124"/>
      <c r="R310" s="21"/>
      <c r="S310" s="124"/>
      <c r="T310" s="124"/>
      <c r="U310" s="124"/>
      <c r="V310" s="124"/>
      <c r="W310" s="124"/>
      <c r="X310" s="124"/>
    </row>
    <row r="311">
      <c r="A311" s="216"/>
      <c r="B311" s="124"/>
      <c r="C311" s="124"/>
      <c r="D311" s="124"/>
      <c r="E311" s="124"/>
      <c r="F311" s="124"/>
      <c r="G311" s="124"/>
      <c r="H311" s="124"/>
      <c r="I311" s="217" t="str">
        <f>IFERROR(__xludf.DUMMYFUNCTION("""COMPUTED_VALUE"""),"")</f>
        <v/>
      </c>
      <c r="J311" s="219"/>
      <c r="K311" s="219"/>
      <c r="L311" s="124"/>
      <c r="M311" s="124"/>
      <c r="N311" s="124"/>
      <c r="O311" s="124"/>
      <c r="P311" s="124"/>
      <c r="Q311" s="124"/>
      <c r="R311" s="21"/>
      <c r="S311" s="124"/>
      <c r="T311" s="124"/>
      <c r="U311" s="124"/>
      <c r="V311" s="124"/>
      <c r="W311" s="124"/>
      <c r="X311" s="124"/>
    </row>
    <row r="312">
      <c r="A312" s="216"/>
      <c r="B312" s="124"/>
      <c r="C312" s="124"/>
      <c r="D312" s="124"/>
      <c r="E312" s="124"/>
      <c r="F312" s="124"/>
      <c r="G312" s="124"/>
      <c r="H312" s="124"/>
      <c r="I312" s="217" t="str">
        <f>IFERROR(__xludf.DUMMYFUNCTION("""COMPUTED_VALUE"""),"")</f>
        <v/>
      </c>
      <c r="J312" s="219"/>
      <c r="K312" s="219"/>
      <c r="L312" s="124"/>
      <c r="M312" s="124"/>
      <c r="N312" s="124"/>
      <c r="O312" s="124"/>
      <c r="P312" s="124"/>
      <c r="Q312" s="124"/>
      <c r="R312" s="21"/>
      <c r="S312" s="124"/>
      <c r="T312" s="124"/>
      <c r="U312" s="124"/>
      <c r="V312" s="124"/>
      <c r="W312" s="124"/>
      <c r="X312" s="124"/>
    </row>
    <row r="313">
      <c r="A313" s="216"/>
      <c r="B313" s="124"/>
      <c r="C313" s="124"/>
      <c r="D313" s="124"/>
      <c r="E313" s="124"/>
      <c r="F313" s="124"/>
      <c r="G313" s="124"/>
      <c r="H313" s="124"/>
      <c r="I313" s="217" t="str">
        <f>IFERROR(__xludf.DUMMYFUNCTION("""COMPUTED_VALUE"""),"")</f>
        <v/>
      </c>
      <c r="J313" s="219"/>
      <c r="K313" s="219"/>
      <c r="L313" s="124"/>
      <c r="M313" s="124"/>
      <c r="N313" s="124"/>
      <c r="O313" s="124"/>
      <c r="P313" s="124"/>
      <c r="Q313" s="124"/>
      <c r="R313" s="21"/>
      <c r="S313" s="124"/>
      <c r="T313" s="124"/>
      <c r="U313" s="124"/>
      <c r="V313" s="124"/>
      <c r="W313" s="124"/>
      <c r="X313" s="124"/>
    </row>
    <row r="314">
      <c r="A314" s="216"/>
      <c r="B314" s="124"/>
      <c r="C314" s="124"/>
      <c r="D314" s="124"/>
      <c r="E314" s="124"/>
      <c r="F314" s="124"/>
      <c r="G314" s="124"/>
      <c r="H314" s="124"/>
      <c r="I314" s="217" t="str">
        <f>IFERROR(__xludf.DUMMYFUNCTION("""COMPUTED_VALUE"""),"")</f>
        <v/>
      </c>
      <c r="J314" s="219"/>
      <c r="K314" s="219"/>
      <c r="L314" s="124"/>
      <c r="M314" s="124"/>
      <c r="N314" s="124"/>
      <c r="O314" s="124"/>
      <c r="P314" s="124"/>
      <c r="Q314" s="124"/>
      <c r="R314" s="21"/>
      <c r="S314" s="124"/>
      <c r="T314" s="124"/>
      <c r="U314" s="124"/>
      <c r="V314" s="124"/>
      <c r="W314" s="124"/>
      <c r="X314" s="124"/>
    </row>
    <row r="315">
      <c r="A315" s="216"/>
      <c r="B315" s="124"/>
      <c r="C315" s="124"/>
      <c r="D315" s="124"/>
      <c r="E315" s="124"/>
      <c r="F315" s="124"/>
      <c r="G315" s="124"/>
      <c r="H315" s="124"/>
      <c r="I315" s="217" t="str">
        <f>IFERROR(__xludf.DUMMYFUNCTION("""COMPUTED_VALUE"""),"")</f>
        <v/>
      </c>
      <c r="J315" s="219"/>
      <c r="K315" s="219"/>
      <c r="L315" s="124"/>
      <c r="M315" s="124"/>
      <c r="N315" s="124"/>
      <c r="O315" s="124"/>
      <c r="P315" s="124"/>
      <c r="Q315" s="124"/>
      <c r="R315" s="21"/>
      <c r="S315" s="124"/>
      <c r="T315" s="124"/>
      <c r="U315" s="124"/>
      <c r="V315" s="124"/>
      <c r="W315" s="124"/>
      <c r="X315" s="124"/>
    </row>
    <row r="316">
      <c r="A316" s="216"/>
      <c r="B316" s="124"/>
      <c r="C316" s="124"/>
      <c r="D316" s="124"/>
      <c r="E316" s="124"/>
      <c r="F316" s="124"/>
      <c r="G316" s="124"/>
      <c r="H316" s="124"/>
      <c r="I316" s="217" t="str">
        <f>IFERROR(__xludf.DUMMYFUNCTION("""COMPUTED_VALUE"""),"")</f>
        <v/>
      </c>
      <c r="J316" s="219"/>
      <c r="K316" s="219"/>
      <c r="L316" s="124"/>
      <c r="M316" s="124"/>
      <c r="N316" s="124"/>
      <c r="O316" s="124"/>
      <c r="P316" s="124"/>
      <c r="Q316" s="124"/>
      <c r="R316" s="21"/>
      <c r="S316" s="124"/>
      <c r="T316" s="124"/>
      <c r="U316" s="124"/>
      <c r="V316" s="124"/>
      <c r="W316" s="124"/>
      <c r="X316" s="124"/>
    </row>
    <row r="317">
      <c r="A317" s="216"/>
      <c r="B317" s="124"/>
      <c r="C317" s="124"/>
      <c r="D317" s="124"/>
      <c r="E317" s="124"/>
      <c r="F317" s="124"/>
      <c r="G317" s="124"/>
      <c r="H317" s="124"/>
      <c r="I317" s="217" t="str">
        <f>IFERROR(__xludf.DUMMYFUNCTION("""COMPUTED_VALUE"""),"")</f>
        <v/>
      </c>
      <c r="J317" s="219"/>
      <c r="K317" s="219"/>
      <c r="L317" s="124"/>
      <c r="M317" s="124"/>
      <c r="N317" s="124"/>
      <c r="O317" s="124"/>
      <c r="P317" s="124"/>
      <c r="Q317" s="124"/>
      <c r="R317" s="21"/>
      <c r="S317" s="124"/>
      <c r="T317" s="124"/>
      <c r="U317" s="124"/>
      <c r="V317" s="124"/>
      <c r="W317" s="124"/>
      <c r="X317" s="124"/>
    </row>
    <row r="318">
      <c r="A318" s="216"/>
      <c r="B318" s="124"/>
      <c r="C318" s="124"/>
      <c r="D318" s="124"/>
      <c r="E318" s="124"/>
      <c r="F318" s="124"/>
      <c r="G318" s="124"/>
      <c r="H318" s="124"/>
      <c r="I318" s="217" t="str">
        <f>IFERROR(__xludf.DUMMYFUNCTION("""COMPUTED_VALUE"""),"")</f>
        <v/>
      </c>
      <c r="J318" s="219"/>
      <c r="K318" s="219"/>
      <c r="L318" s="124"/>
      <c r="M318" s="124"/>
      <c r="N318" s="124"/>
      <c r="O318" s="124"/>
      <c r="P318" s="124"/>
      <c r="Q318" s="124"/>
      <c r="R318" s="21"/>
      <c r="S318" s="124"/>
      <c r="T318" s="124"/>
      <c r="U318" s="124"/>
      <c r="V318" s="124"/>
      <c r="W318" s="124"/>
      <c r="X318" s="124"/>
    </row>
    <row r="319">
      <c r="A319" s="216"/>
      <c r="B319" s="124"/>
      <c r="C319" s="124"/>
      <c r="D319" s="124"/>
      <c r="E319" s="124"/>
      <c r="F319" s="124"/>
      <c r="G319" s="124"/>
      <c r="H319" s="124"/>
      <c r="I319" s="217" t="str">
        <f>IFERROR(__xludf.DUMMYFUNCTION("""COMPUTED_VALUE"""),"")</f>
        <v/>
      </c>
      <c r="J319" s="219"/>
      <c r="K319" s="219"/>
      <c r="L319" s="124"/>
      <c r="M319" s="124"/>
      <c r="N319" s="124"/>
      <c r="O319" s="124"/>
      <c r="P319" s="124"/>
      <c r="Q319" s="124"/>
      <c r="R319" s="21"/>
      <c r="S319" s="124"/>
      <c r="T319" s="124"/>
      <c r="U319" s="124"/>
      <c r="V319" s="124"/>
      <c r="W319" s="124"/>
      <c r="X319" s="124"/>
    </row>
    <row r="320">
      <c r="A320" s="216"/>
      <c r="B320" s="124"/>
      <c r="C320" s="124"/>
      <c r="D320" s="124"/>
      <c r="E320" s="124"/>
      <c r="F320" s="124"/>
      <c r="G320" s="124"/>
      <c r="H320" s="124"/>
      <c r="I320" s="217" t="str">
        <f>IFERROR(__xludf.DUMMYFUNCTION("""COMPUTED_VALUE"""),"")</f>
        <v/>
      </c>
      <c r="J320" s="219"/>
      <c r="K320" s="219"/>
      <c r="L320" s="124"/>
      <c r="M320" s="124"/>
      <c r="N320" s="124"/>
      <c r="O320" s="124"/>
      <c r="P320" s="124"/>
      <c r="Q320" s="124"/>
      <c r="R320" s="21"/>
      <c r="S320" s="124"/>
      <c r="T320" s="124"/>
      <c r="U320" s="124"/>
      <c r="V320" s="124"/>
      <c r="W320" s="124"/>
      <c r="X320" s="124"/>
    </row>
    <row r="321">
      <c r="A321" s="216"/>
      <c r="B321" s="124"/>
      <c r="C321" s="124"/>
      <c r="D321" s="124"/>
      <c r="E321" s="124"/>
      <c r="F321" s="124"/>
      <c r="G321" s="124"/>
      <c r="H321" s="124"/>
      <c r="I321" s="217" t="str">
        <f>IFERROR(__xludf.DUMMYFUNCTION("""COMPUTED_VALUE"""),"")</f>
        <v/>
      </c>
      <c r="J321" s="219"/>
      <c r="K321" s="219"/>
      <c r="L321" s="124"/>
      <c r="M321" s="124"/>
      <c r="N321" s="124"/>
      <c r="O321" s="124"/>
      <c r="P321" s="124"/>
      <c r="Q321" s="124"/>
      <c r="R321" s="21"/>
      <c r="S321" s="124"/>
      <c r="T321" s="124"/>
      <c r="U321" s="124"/>
      <c r="V321" s="124"/>
      <c r="W321" s="124"/>
      <c r="X321" s="124"/>
    </row>
    <row r="322">
      <c r="A322" s="216"/>
      <c r="B322" s="124"/>
      <c r="C322" s="124"/>
      <c r="D322" s="124"/>
      <c r="E322" s="124"/>
      <c r="F322" s="124"/>
      <c r="G322" s="124"/>
      <c r="H322" s="124"/>
      <c r="I322" s="217" t="str">
        <f>IFERROR(__xludf.DUMMYFUNCTION("""COMPUTED_VALUE"""),"")</f>
        <v/>
      </c>
      <c r="J322" s="219"/>
      <c r="K322" s="219"/>
      <c r="L322" s="124"/>
      <c r="M322" s="124"/>
      <c r="N322" s="124"/>
      <c r="O322" s="124"/>
      <c r="P322" s="124"/>
      <c r="Q322" s="124"/>
      <c r="R322" s="21"/>
      <c r="S322" s="124"/>
      <c r="T322" s="124"/>
      <c r="U322" s="124"/>
      <c r="V322" s="124"/>
      <c r="W322" s="124"/>
      <c r="X322" s="124"/>
    </row>
    <row r="323">
      <c r="A323" s="216"/>
      <c r="B323" s="124"/>
      <c r="C323" s="124"/>
      <c r="D323" s="124"/>
      <c r="E323" s="124"/>
      <c r="F323" s="124"/>
      <c r="G323" s="124"/>
      <c r="H323" s="124"/>
      <c r="I323" s="217" t="str">
        <f>IFERROR(__xludf.DUMMYFUNCTION("""COMPUTED_VALUE"""),"")</f>
        <v/>
      </c>
      <c r="J323" s="219"/>
      <c r="K323" s="219"/>
      <c r="L323" s="124"/>
      <c r="M323" s="124"/>
      <c r="N323" s="124"/>
      <c r="O323" s="124"/>
      <c r="P323" s="124"/>
      <c r="Q323" s="124"/>
      <c r="R323" s="21"/>
      <c r="S323" s="124"/>
      <c r="T323" s="124"/>
      <c r="U323" s="124"/>
      <c r="V323" s="124"/>
      <c r="W323" s="124"/>
      <c r="X323" s="124"/>
    </row>
    <row r="324">
      <c r="A324" s="216"/>
      <c r="B324" s="124"/>
      <c r="C324" s="124"/>
      <c r="D324" s="124"/>
      <c r="E324" s="124"/>
      <c r="F324" s="124"/>
      <c r="G324" s="124"/>
      <c r="H324" s="124"/>
      <c r="I324" s="217" t="str">
        <f>IFERROR(__xludf.DUMMYFUNCTION("""COMPUTED_VALUE"""),"")</f>
        <v/>
      </c>
      <c r="J324" s="219"/>
      <c r="K324" s="219"/>
      <c r="L324" s="124"/>
      <c r="M324" s="124"/>
      <c r="N324" s="124"/>
      <c r="O324" s="124"/>
      <c r="P324" s="124"/>
      <c r="Q324" s="124"/>
      <c r="R324" s="21"/>
      <c r="S324" s="124"/>
      <c r="T324" s="124"/>
      <c r="U324" s="124"/>
      <c r="V324" s="124"/>
      <c r="W324" s="124"/>
      <c r="X324" s="124"/>
    </row>
    <row r="325">
      <c r="A325" s="216"/>
      <c r="B325" s="124"/>
      <c r="C325" s="124"/>
      <c r="D325" s="124"/>
      <c r="E325" s="124"/>
      <c r="F325" s="124"/>
      <c r="G325" s="124"/>
      <c r="H325" s="124"/>
      <c r="I325" s="217" t="str">
        <f>IFERROR(__xludf.DUMMYFUNCTION("""COMPUTED_VALUE"""),"")</f>
        <v/>
      </c>
      <c r="J325" s="219"/>
      <c r="K325" s="219"/>
      <c r="L325" s="124"/>
      <c r="M325" s="124"/>
      <c r="N325" s="124"/>
      <c r="O325" s="124"/>
      <c r="P325" s="124"/>
      <c r="Q325" s="124"/>
      <c r="R325" s="21"/>
      <c r="S325" s="124"/>
      <c r="T325" s="124"/>
      <c r="U325" s="124"/>
      <c r="V325" s="124"/>
      <c r="W325" s="124"/>
      <c r="X325" s="124"/>
    </row>
    <row r="326">
      <c r="A326" s="216"/>
      <c r="B326" s="124"/>
      <c r="C326" s="124"/>
      <c r="D326" s="124"/>
      <c r="E326" s="124"/>
      <c r="F326" s="124"/>
      <c r="G326" s="124"/>
      <c r="H326" s="124"/>
      <c r="I326" s="217" t="str">
        <f>IFERROR(__xludf.DUMMYFUNCTION("""COMPUTED_VALUE"""),"")</f>
        <v/>
      </c>
      <c r="J326" s="219"/>
      <c r="K326" s="219"/>
      <c r="L326" s="124"/>
      <c r="M326" s="124"/>
      <c r="N326" s="124"/>
      <c r="O326" s="124"/>
      <c r="P326" s="124"/>
      <c r="Q326" s="124"/>
      <c r="R326" s="21"/>
      <c r="S326" s="124"/>
      <c r="T326" s="124"/>
      <c r="U326" s="124"/>
      <c r="V326" s="124"/>
      <c r="W326" s="124"/>
      <c r="X326" s="124"/>
    </row>
    <row r="327">
      <c r="A327" s="216"/>
      <c r="B327" s="124"/>
      <c r="C327" s="124"/>
      <c r="D327" s="124"/>
      <c r="E327" s="124"/>
      <c r="F327" s="124"/>
      <c r="G327" s="124"/>
      <c r="H327" s="124"/>
      <c r="I327" s="217" t="str">
        <f>IFERROR(__xludf.DUMMYFUNCTION("""COMPUTED_VALUE"""),"")</f>
        <v/>
      </c>
      <c r="J327" s="219"/>
      <c r="K327" s="219"/>
      <c r="L327" s="124"/>
      <c r="M327" s="124"/>
      <c r="N327" s="124"/>
      <c r="O327" s="124"/>
      <c r="P327" s="124"/>
      <c r="Q327" s="124"/>
      <c r="R327" s="21"/>
      <c r="S327" s="124"/>
      <c r="T327" s="124"/>
      <c r="U327" s="124"/>
      <c r="V327" s="124"/>
      <c r="W327" s="124"/>
      <c r="X327" s="124"/>
    </row>
    <row r="328">
      <c r="A328" s="216"/>
      <c r="B328" s="124"/>
      <c r="C328" s="124"/>
      <c r="D328" s="124"/>
      <c r="E328" s="124"/>
      <c r="F328" s="124"/>
      <c r="G328" s="124"/>
      <c r="H328" s="124"/>
      <c r="I328" s="217" t="str">
        <f>IFERROR(__xludf.DUMMYFUNCTION("""COMPUTED_VALUE"""),"")</f>
        <v/>
      </c>
      <c r="J328" s="219"/>
      <c r="K328" s="219"/>
      <c r="L328" s="124"/>
      <c r="M328" s="124"/>
      <c r="N328" s="124"/>
      <c r="O328" s="124"/>
      <c r="P328" s="124"/>
      <c r="Q328" s="124"/>
      <c r="R328" s="21"/>
      <c r="S328" s="124"/>
      <c r="T328" s="124"/>
      <c r="U328" s="124"/>
      <c r="V328" s="124"/>
      <c r="W328" s="124"/>
      <c r="X328" s="124"/>
    </row>
    <row r="329">
      <c r="A329" s="216"/>
      <c r="B329" s="124"/>
      <c r="C329" s="124"/>
      <c r="D329" s="124"/>
      <c r="E329" s="124"/>
      <c r="F329" s="124"/>
      <c r="G329" s="124"/>
      <c r="H329" s="124"/>
      <c r="I329" s="217" t="str">
        <f>IFERROR(__xludf.DUMMYFUNCTION("""COMPUTED_VALUE"""),"")</f>
        <v/>
      </c>
      <c r="J329" s="219"/>
      <c r="K329" s="219"/>
      <c r="L329" s="124"/>
      <c r="M329" s="124"/>
      <c r="N329" s="124"/>
      <c r="O329" s="124"/>
      <c r="P329" s="124"/>
      <c r="Q329" s="124"/>
      <c r="R329" s="21"/>
      <c r="S329" s="124"/>
      <c r="T329" s="124"/>
      <c r="U329" s="124"/>
      <c r="V329" s="124"/>
      <c r="W329" s="124"/>
      <c r="X329" s="124"/>
    </row>
    <row r="330">
      <c r="A330" s="216"/>
      <c r="B330" s="124"/>
      <c r="C330" s="124"/>
      <c r="D330" s="124"/>
      <c r="E330" s="124"/>
      <c r="F330" s="124"/>
      <c r="G330" s="124"/>
      <c r="H330" s="124"/>
      <c r="I330" s="217" t="str">
        <f>IFERROR(__xludf.DUMMYFUNCTION("""COMPUTED_VALUE"""),"")</f>
        <v/>
      </c>
      <c r="J330" s="219"/>
      <c r="K330" s="219"/>
      <c r="L330" s="124"/>
      <c r="M330" s="124"/>
      <c r="N330" s="124"/>
      <c r="O330" s="124"/>
      <c r="P330" s="124"/>
      <c r="Q330" s="124"/>
      <c r="R330" s="21"/>
      <c r="S330" s="124"/>
      <c r="T330" s="124"/>
      <c r="U330" s="124"/>
      <c r="V330" s="124"/>
      <c r="W330" s="124"/>
      <c r="X330" s="124"/>
    </row>
    <row r="331">
      <c r="A331" s="216"/>
      <c r="B331" s="124"/>
      <c r="C331" s="124"/>
      <c r="D331" s="124"/>
      <c r="E331" s="124"/>
      <c r="F331" s="124"/>
      <c r="G331" s="124"/>
      <c r="H331" s="124"/>
      <c r="I331" s="217" t="str">
        <f>IFERROR(__xludf.DUMMYFUNCTION("""COMPUTED_VALUE"""),"")</f>
        <v/>
      </c>
      <c r="J331" s="219"/>
      <c r="K331" s="219"/>
      <c r="L331" s="124"/>
      <c r="M331" s="124"/>
      <c r="N331" s="124"/>
      <c r="O331" s="124"/>
      <c r="P331" s="124"/>
      <c r="Q331" s="124"/>
      <c r="R331" s="21"/>
      <c r="S331" s="124"/>
      <c r="T331" s="124"/>
      <c r="U331" s="124"/>
      <c r="V331" s="124"/>
      <c r="W331" s="124"/>
      <c r="X331" s="124"/>
    </row>
    <row r="332">
      <c r="A332" s="216"/>
      <c r="B332" s="124"/>
      <c r="C332" s="124"/>
      <c r="D332" s="124"/>
      <c r="E332" s="124"/>
      <c r="F332" s="124"/>
      <c r="G332" s="124"/>
      <c r="H332" s="124"/>
      <c r="I332" s="217" t="str">
        <f>IFERROR(__xludf.DUMMYFUNCTION("""COMPUTED_VALUE"""),"")</f>
        <v/>
      </c>
      <c r="J332" s="219"/>
      <c r="K332" s="219"/>
      <c r="L332" s="124"/>
      <c r="M332" s="124"/>
      <c r="N332" s="124"/>
      <c r="O332" s="124"/>
      <c r="P332" s="124"/>
      <c r="Q332" s="124"/>
      <c r="R332" s="21"/>
      <c r="S332" s="124"/>
      <c r="T332" s="124"/>
      <c r="U332" s="124"/>
      <c r="V332" s="124"/>
      <c r="W332" s="124"/>
      <c r="X332" s="124"/>
    </row>
    <row r="333">
      <c r="A333" s="216"/>
      <c r="B333" s="124"/>
      <c r="C333" s="124"/>
      <c r="D333" s="124"/>
      <c r="E333" s="124"/>
      <c r="F333" s="124"/>
      <c r="G333" s="124"/>
      <c r="H333" s="124"/>
      <c r="I333" s="217" t="str">
        <f>IFERROR(__xludf.DUMMYFUNCTION("""COMPUTED_VALUE"""),"")</f>
        <v/>
      </c>
      <c r="J333" s="219"/>
      <c r="K333" s="219"/>
      <c r="L333" s="124"/>
      <c r="M333" s="124"/>
      <c r="N333" s="124"/>
      <c r="O333" s="124"/>
      <c r="P333" s="124"/>
      <c r="Q333" s="124"/>
      <c r="R333" s="21"/>
      <c r="S333" s="124"/>
      <c r="T333" s="124"/>
      <c r="U333" s="124"/>
      <c r="V333" s="124"/>
      <c r="W333" s="124"/>
      <c r="X333" s="124"/>
    </row>
    <row r="334">
      <c r="A334" s="216"/>
      <c r="B334" s="124"/>
      <c r="C334" s="124"/>
      <c r="D334" s="124"/>
      <c r="E334" s="124"/>
      <c r="F334" s="124"/>
      <c r="G334" s="124"/>
      <c r="H334" s="124"/>
      <c r="I334" s="217" t="str">
        <f>IFERROR(__xludf.DUMMYFUNCTION("""COMPUTED_VALUE"""),"")</f>
        <v/>
      </c>
      <c r="J334" s="219"/>
      <c r="K334" s="219"/>
      <c r="L334" s="124"/>
      <c r="M334" s="124"/>
      <c r="N334" s="124"/>
      <c r="O334" s="124"/>
      <c r="P334" s="124"/>
      <c r="Q334" s="124"/>
      <c r="R334" s="21"/>
      <c r="S334" s="124"/>
      <c r="T334" s="124"/>
      <c r="U334" s="124"/>
      <c r="V334" s="124"/>
      <c r="W334" s="124"/>
      <c r="X334" s="124"/>
    </row>
    <row r="335">
      <c r="A335" s="216"/>
      <c r="B335" s="124"/>
      <c r="C335" s="124"/>
      <c r="D335" s="124"/>
      <c r="E335" s="124"/>
      <c r="F335" s="124"/>
      <c r="G335" s="124"/>
      <c r="H335" s="124"/>
      <c r="I335" s="217" t="str">
        <f>IFERROR(__xludf.DUMMYFUNCTION("""COMPUTED_VALUE"""),"")</f>
        <v/>
      </c>
      <c r="J335" s="219"/>
      <c r="K335" s="219"/>
      <c r="L335" s="124"/>
      <c r="M335" s="124"/>
      <c r="N335" s="124"/>
      <c r="O335" s="124"/>
      <c r="P335" s="124"/>
      <c r="Q335" s="124"/>
      <c r="R335" s="21"/>
      <c r="S335" s="124"/>
      <c r="T335" s="124"/>
      <c r="U335" s="124"/>
      <c r="V335" s="124"/>
      <c r="W335" s="124"/>
      <c r="X335" s="124"/>
    </row>
    <row r="336">
      <c r="A336" s="216"/>
      <c r="B336" s="124"/>
      <c r="C336" s="124"/>
      <c r="D336" s="124"/>
      <c r="E336" s="124"/>
      <c r="F336" s="124"/>
      <c r="G336" s="124"/>
      <c r="H336" s="124"/>
      <c r="I336" s="217" t="str">
        <f>IFERROR(__xludf.DUMMYFUNCTION("""COMPUTED_VALUE"""),"")</f>
        <v/>
      </c>
      <c r="J336" s="219"/>
      <c r="K336" s="219"/>
      <c r="L336" s="124"/>
      <c r="M336" s="124"/>
      <c r="N336" s="124"/>
      <c r="O336" s="124"/>
      <c r="P336" s="124"/>
      <c r="Q336" s="124"/>
      <c r="R336" s="21"/>
      <c r="S336" s="124"/>
      <c r="T336" s="124"/>
      <c r="U336" s="124"/>
      <c r="V336" s="124"/>
      <c r="W336" s="124"/>
      <c r="X336" s="124"/>
    </row>
    <row r="337">
      <c r="A337" s="216"/>
      <c r="B337" s="124"/>
      <c r="C337" s="124"/>
      <c r="D337" s="124"/>
      <c r="E337" s="124"/>
      <c r="F337" s="124"/>
      <c r="G337" s="124"/>
      <c r="H337" s="124"/>
      <c r="I337" s="217" t="str">
        <f>IFERROR(__xludf.DUMMYFUNCTION("""COMPUTED_VALUE"""),"")</f>
        <v/>
      </c>
      <c r="J337" s="219"/>
      <c r="K337" s="219"/>
      <c r="L337" s="124"/>
      <c r="M337" s="124"/>
      <c r="N337" s="124"/>
      <c r="O337" s="124"/>
      <c r="P337" s="124"/>
      <c r="Q337" s="124"/>
      <c r="R337" s="21"/>
      <c r="S337" s="124"/>
      <c r="T337" s="124"/>
      <c r="U337" s="124"/>
      <c r="V337" s="124"/>
      <c r="W337" s="124"/>
      <c r="X337" s="124"/>
    </row>
    <row r="338">
      <c r="A338" s="216"/>
      <c r="B338" s="124"/>
      <c r="C338" s="124"/>
      <c r="D338" s="124"/>
      <c r="E338" s="124"/>
      <c r="F338" s="124"/>
      <c r="G338" s="124"/>
      <c r="H338" s="124"/>
      <c r="I338" s="217" t="str">
        <f>IFERROR(__xludf.DUMMYFUNCTION("""COMPUTED_VALUE"""),"")</f>
        <v/>
      </c>
      <c r="J338" s="219"/>
      <c r="K338" s="219"/>
      <c r="L338" s="124"/>
      <c r="M338" s="124"/>
      <c r="N338" s="124"/>
      <c r="O338" s="124"/>
      <c r="P338" s="124"/>
      <c r="Q338" s="124"/>
      <c r="R338" s="21"/>
      <c r="S338" s="124"/>
      <c r="T338" s="124"/>
      <c r="U338" s="124"/>
      <c r="V338" s="124"/>
      <c r="W338" s="124"/>
      <c r="X338" s="124"/>
    </row>
    <row r="339">
      <c r="A339" s="216"/>
      <c r="B339" s="124"/>
      <c r="C339" s="124"/>
      <c r="D339" s="124"/>
      <c r="E339" s="124"/>
      <c r="F339" s="124"/>
      <c r="G339" s="124"/>
      <c r="H339" s="124"/>
      <c r="I339" s="217" t="str">
        <f>IFERROR(__xludf.DUMMYFUNCTION("""COMPUTED_VALUE"""),"")</f>
        <v/>
      </c>
      <c r="J339" s="219"/>
      <c r="K339" s="219"/>
      <c r="L339" s="124"/>
      <c r="M339" s="124"/>
      <c r="N339" s="124"/>
      <c r="O339" s="124"/>
      <c r="P339" s="124"/>
      <c r="Q339" s="124"/>
      <c r="R339" s="21"/>
      <c r="S339" s="124"/>
      <c r="T339" s="124"/>
      <c r="U339" s="124"/>
      <c r="V339" s="124"/>
      <c r="W339" s="124"/>
      <c r="X339" s="124"/>
    </row>
    <row r="340">
      <c r="A340" s="216"/>
      <c r="B340" s="124"/>
      <c r="C340" s="124"/>
      <c r="D340" s="124"/>
      <c r="E340" s="124"/>
      <c r="F340" s="124"/>
      <c r="G340" s="124"/>
      <c r="H340" s="124"/>
      <c r="I340" s="217" t="str">
        <f>IFERROR(__xludf.DUMMYFUNCTION("""COMPUTED_VALUE"""),"")</f>
        <v/>
      </c>
      <c r="J340" s="219"/>
      <c r="K340" s="219"/>
      <c r="L340" s="124"/>
      <c r="M340" s="124"/>
      <c r="N340" s="124"/>
      <c r="O340" s="124"/>
      <c r="P340" s="124"/>
      <c r="Q340" s="124"/>
      <c r="R340" s="21"/>
      <c r="S340" s="124"/>
      <c r="T340" s="124"/>
      <c r="U340" s="124"/>
      <c r="V340" s="124"/>
      <c r="W340" s="124"/>
      <c r="X340" s="124"/>
    </row>
    <row r="341">
      <c r="A341" s="216"/>
      <c r="B341" s="124"/>
      <c r="C341" s="124"/>
      <c r="D341" s="124"/>
      <c r="E341" s="124"/>
      <c r="F341" s="124"/>
      <c r="G341" s="124"/>
      <c r="H341" s="124"/>
      <c r="I341" s="217" t="str">
        <f>IFERROR(__xludf.DUMMYFUNCTION("""COMPUTED_VALUE"""),"")</f>
        <v/>
      </c>
      <c r="J341" s="219"/>
      <c r="K341" s="219"/>
      <c r="L341" s="124"/>
      <c r="M341" s="124"/>
      <c r="N341" s="124"/>
      <c r="O341" s="124"/>
      <c r="P341" s="124"/>
      <c r="Q341" s="124"/>
      <c r="R341" s="21"/>
      <c r="S341" s="124"/>
      <c r="T341" s="124"/>
      <c r="U341" s="124"/>
      <c r="V341" s="124"/>
      <c r="W341" s="124"/>
      <c r="X341" s="124"/>
    </row>
    <row r="342">
      <c r="A342" s="216"/>
      <c r="B342" s="124"/>
      <c r="C342" s="124"/>
      <c r="D342" s="124"/>
      <c r="E342" s="124"/>
      <c r="F342" s="124"/>
      <c r="G342" s="124"/>
      <c r="H342" s="124"/>
      <c r="I342" s="217" t="str">
        <f>IFERROR(__xludf.DUMMYFUNCTION("""COMPUTED_VALUE"""),"")</f>
        <v/>
      </c>
      <c r="J342" s="219"/>
      <c r="K342" s="219"/>
      <c r="L342" s="124"/>
      <c r="M342" s="124"/>
      <c r="N342" s="124"/>
      <c r="O342" s="124"/>
      <c r="P342" s="124"/>
      <c r="Q342" s="124"/>
      <c r="R342" s="21"/>
      <c r="S342" s="124"/>
      <c r="T342" s="124"/>
      <c r="U342" s="124"/>
      <c r="V342" s="124"/>
      <c r="W342" s="124"/>
      <c r="X342" s="124"/>
    </row>
    <row r="343">
      <c r="A343" s="216"/>
      <c r="B343" s="124"/>
      <c r="C343" s="124"/>
      <c r="D343" s="124"/>
      <c r="E343" s="124"/>
      <c r="F343" s="124"/>
      <c r="G343" s="124"/>
      <c r="H343" s="124"/>
      <c r="I343" s="217" t="str">
        <f>IFERROR(__xludf.DUMMYFUNCTION("""COMPUTED_VALUE"""),"")</f>
        <v/>
      </c>
      <c r="J343" s="219"/>
      <c r="K343" s="219"/>
      <c r="L343" s="124"/>
      <c r="M343" s="124"/>
      <c r="N343" s="124"/>
      <c r="O343" s="124"/>
      <c r="P343" s="124"/>
      <c r="Q343" s="124"/>
      <c r="R343" s="21"/>
      <c r="S343" s="124"/>
      <c r="T343" s="124"/>
      <c r="U343" s="124"/>
      <c r="V343" s="124"/>
      <c r="W343" s="124"/>
      <c r="X343" s="124"/>
    </row>
    <row r="344">
      <c r="A344" s="216"/>
      <c r="B344" s="124"/>
      <c r="C344" s="124"/>
      <c r="D344" s="124"/>
      <c r="E344" s="124"/>
      <c r="F344" s="124"/>
      <c r="G344" s="124"/>
      <c r="H344" s="124"/>
      <c r="I344" s="217" t="str">
        <f>IFERROR(__xludf.DUMMYFUNCTION("""COMPUTED_VALUE"""),"")</f>
        <v/>
      </c>
      <c r="J344" s="219"/>
      <c r="K344" s="219"/>
      <c r="L344" s="124"/>
      <c r="M344" s="124"/>
      <c r="N344" s="124"/>
      <c r="O344" s="124"/>
      <c r="P344" s="124"/>
      <c r="Q344" s="124"/>
      <c r="R344" s="21"/>
      <c r="S344" s="124"/>
      <c r="T344" s="124"/>
      <c r="U344" s="124"/>
      <c r="V344" s="124"/>
      <c r="W344" s="124"/>
      <c r="X344" s="124"/>
    </row>
    <row r="345">
      <c r="A345" s="216"/>
      <c r="B345" s="124"/>
      <c r="C345" s="124"/>
      <c r="D345" s="124"/>
      <c r="E345" s="124"/>
      <c r="F345" s="124"/>
      <c r="G345" s="124"/>
      <c r="H345" s="124"/>
      <c r="I345" s="217" t="str">
        <f>IFERROR(__xludf.DUMMYFUNCTION("""COMPUTED_VALUE"""),"")</f>
        <v/>
      </c>
      <c r="J345" s="219"/>
      <c r="K345" s="219"/>
      <c r="L345" s="124"/>
      <c r="M345" s="124"/>
      <c r="N345" s="124"/>
      <c r="O345" s="124"/>
      <c r="P345" s="124"/>
      <c r="Q345" s="124"/>
      <c r="R345" s="21"/>
      <c r="S345" s="124"/>
      <c r="T345" s="124"/>
      <c r="U345" s="124"/>
      <c r="V345" s="124"/>
      <c r="W345" s="124"/>
      <c r="X345" s="124"/>
    </row>
    <row r="346">
      <c r="A346" s="216"/>
      <c r="B346" s="124"/>
      <c r="C346" s="124"/>
      <c r="D346" s="124"/>
      <c r="E346" s="124"/>
      <c r="F346" s="124"/>
      <c r="G346" s="124"/>
      <c r="H346" s="124"/>
      <c r="I346" s="217" t="str">
        <f>IFERROR(__xludf.DUMMYFUNCTION("""COMPUTED_VALUE"""),"")</f>
        <v/>
      </c>
      <c r="J346" s="219"/>
      <c r="K346" s="219"/>
      <c r="L346" s="124"/>
      <c r="M346" s="124"/>
      <c r="N346" s="124"/>
      <c r="O346" s="124"/>
      <c r="P346" s="124"/>
      <c r="Q346" s="124"/>
      <c r="R346" s="21"/>
      <c r="S346" s="124"/>
      <c r="T346" s="124"/>
      <c r="U346" s="124"/>
      <c r="V346" s="124"/>
      <c r="W346" s="124"/>
      <c r="X346" s="124"/>
    </row>
    <row r="347">
      <c r="A347" s="216"/>
      <c r="B347" s="124"/>
      <c r="C347" s="124"/>
      <c r="D347" s="124"/>
      <c r="E347" s="124"/>
      <c r="F347" s="124"/>
      <c r="G347" s="124"/>
      <c r="H347" s="124"/>
      <c r="I347" s="217" t="str">
        <f>IFERROR(__xludf.DUMMYFUNCTION("""COMPUTED_VALUE"""),"")</f>
        <v/>
      </c>
      <c r="J347" s="219"/>
      <c r="K347" s="219"/>
      <c r="L347" s="124"/>
      <c r="M347" s="124"/>
      <c r="N347" s="124"/>
      <c r="O347" s="124"/>
      <c r="P347" s="124"/>
      <c r="Q347" s="124"/>
      <c r="R347" s="21"/>
      <c r="S347" s="124"/>
      <c r="T347" s="124"/>
      <c r="U347" s="124"/>
      <c r="V347" s="124"/>
      <c r="W347" s="124"/>
      <c r="X347" s="124"/>
    </row>
    <row r="348">
      <c r="A348" s="216"/>
      <c r="B348" s="124"/>
      <c r="C348" s="124"/>
      <c r="D348" s="124"/>
      <c r="E348" s="124"/>
      <c r="F348" s="124"/>
      <c r="G348" s="124"/>
      <c r="H348" s="124"/>
      <c r="I348" s="217" t="str">
        <f>IFERROR(__xludf.DUMMYFUNCTION("""COMPUTED_VALUE"""),"")</f>
        <v/>
      </c>
      <c r="J348" s="219"/>
      <c r="K348" s="219"/>
      <c r="L348" s="124"/>
      <c r="M348" s="124"/>
      <c r="N348" s="124"/>
      <c r="O348" s="124"/>
      <c r="P348" s="124"/>
      <c r="Q348" s="124"/>
      <c r="R348" s="21"/>
      <c r="S348" s="124"/>
      <c r="T348" s="124"/>
      <c r="U348" s="124"/>
      <c r="V348" s="124"/>
      <c r="W348" s="124"/>
      <c r="X348" s="124"/>
    </row>
    <row r="349">
      <c r="A349" s="216"/>
      <c r="B349" s="124"/>
      <c r="C349" s="124"/>
      <c r="D349" s="124"/>
      <c r="E349" s="124"/>
      <c r="F349" s="124"/>
      <c r="G349" s="124"/>
      <c r="H349" s="124"/>
      <c r="I349" s="217" t="str">
        <f>IFERROR(__xludf.DUMMYFUNCTION("""COMPUTED_VALUE"""),"")</f>
        <v/>
      </c>
      <c r="J349" s="219"/>
      <c r="K349" s="219"/>
      <c r="L349" s="124"/>
      <c r="M349" s="124"/>
      <c r="N349" s="124"/>
      <c r="O349" s="124"/>
      <c r="P349" s="124"/>
      <c r="Q349" s="124"/>
      <c r="R349" s="21"/>
      <c r="S349" s="124"/>
      <c r="T349" s="124"/>
      <c r="U349" s="124"/>
      <c r="V349" s="124"/>
      <c r="W349" s="124"/>
      <c r="X349" s="124"/>
    </row>
    <row r="350">
      <c r="A350" s="216"/>
      <c r="B350" s="124"/>
      <c r="C350" s="124"/>
      <c r="D350" s="124"/>
      <c r="E350" s="124"/>
      <c r="F350" s="124"/>
      <c r="G350" s="124"/>
      <c r="H350" s="124"/>
      <c r="I350" s="217" t="str">
        <f>IFERROR(__xludf.DUMMYFUNCTION("""COMPUTED_VALUE"""),"")</f>
        <v/>
      </c>
      <c r="J350" s="219"/>
      <c r="K350" s="219"/>
      <c r="L350" s="124"/>
      <c r="M350" s="124"/>
      <c r="N350" s="124"/>
      <c r="O350" s="124"/>
      <c r="P350" s="124"/>
      <c r="Q350" s="124"/>
      <c r="R350" s="21"/>
      <c r="S350" s="124"/>
      <c r="T350" s="124"/>
      <c r="U350" s="124"/>
      <c r="V350" s="124"/>
      <c r="W350" s="124"/>
      <c r="X350" s="124"/>
    </row>
    <row r="351">
      <c r="A351" s="216"/>
      <c r="B351" s="124"/>
      <c r="C351" s="124"/>
      <c r="D351" s="124"/>
      <c r="E351" s="124"/>
      <c r="F351" s="124"/>
      <c r="G351" s="124"/>
      <c r="H351" s="124"/>
      <c r="I351" s="217" t="str">
        <f>IFERROR(__xludf.DUMMYFUNCTION("""COMPUTED_VALUE"""),"")</f>
        <v/>
      </c>
      <c r="J351" s="219"/>
      <c r="K351" s="219"/>
      <c r="L351" s="124"/>
      <c r="M351" s="124"/>
      <c r="N351" s="124"/>
      <c r="O351" s="124"/>
      <c r="P351" s="124"/>
      <c r="Q351" s="124"/>
      <c r="R351" s="21"/>
      <c r="S351" s="124"/>
      <c r="T351" s="124"/>
      <c r="U351" s="124"/>
      <c r="V351" s="124"/>
      <c r="W351" s="124"/>
      <c r="X351" s="124"/>
    </row>
    <row r="352">
      <c r="A352" s="216"/>
      <c r="B352" s="124"/>
      <c r="C352" s="124"/>
      <c r="D352" s="124"/>
      <c r="E352" s="124"/>
      <c r="F352" s="124"/>
      <c r="G352" s="124"/>
      <c r="H352" s="124"/>
      <c r="I352" s="217" t="str">
        <f>IFERROR(__xludf.DUMMYFUNCTION("""COMPUTED_VALUE"""),"")</f>
        <v/>
      </c>
      <c r="J352" s="219"/>
      <c r="K352" s="219"/>
      <c r="L352" s="124"/>
      <c r="M352" s="124"/>
      <c r="N352" s="124"/>
      <c r="O352" s="124"/>
      <c r="P352" s="124"/>
      <c r="Q352" s="124"/>
      <c r="R352" s="21"/>
      <c r="S352" s="124"/>
      <c r="T352" s="124"/>
      <c r="U352" s="124"/>
      <c r="V352" s="124"/>
      <c r="W352" s="124"/>
      <c r="X352" s="124"/>
    </row>
    <row r="353">
      <c r="A353" s="216"/>
      <c r="B353" s="124"/>
      <c r="C353" s="124"/>
      <c r="D353" s="124"/>
      <c r="E353" s="124"/>
      <c r="F353" s="124"/>
      <c r="G353" s="124"/>
      <c r="H353" s="124"/>
      <c r="I353" s="217" t="str">
        <f>IFERROR(__xludf.DUMMYFUNCTION("""COMPUTED_VALUE"""),"")</f>
        <v/>
      </c>
      <c r="J353" s="219"/>
      <c r="K353" s="219"/>
      <c r="L353" s="124"/>
      <c r="M353" s="124"/>
      <c r="N353" s="124"/>
      <c r="O353" s="124"/>
      <c r="P353" s="124"/>
      <c r="Q353" s="124"/>
      <c r="R353" s="21"/>
      <c r="S353" s="124"/>
      <c r="T353" s="124"/>
      <c r="U353" s="124"/>
      <c r="V353" s="124"/>
      <c r="W353" s="124"/>
      <c r="X353" s="124"/>
    </row>
    <row r="354">
      <c r="A354" s="216"/>
      <c r="B354" s="124"/>
      <c r="C354" s="124"/>
      <c r="D354" s="124"/>
      <c r="E354" s="124"/>
      <c r="F354" s="124"/>
      <c r="G354" s="124"/>
      <c r="H354" s="124"/>
      <c r="I354" s="217" t="str">
        <f>IFERROR(__xludf.DUMMYFUNCTION("""COMPUTED_VALUE"""),"")</f>
        <v/>
      </c>
      <c r="J354" s="219"/>
      <c r="K354" s="219"/>
      <c r="L354" s="124"/>
      <c r="M354" s="124"/>
      <c r="N354" s="124"/>
      <c r="O354" s="124"/>
      <c r="P354" s="124"/>
      <c r="Q354" s="124"/>
      <c r="R354" s="21"/>
      <c r="S354" s="124"/>
      <c r="T354" s="124"/>
      <c r="U354" s="124"/>
      <c r="V354" s="124"/>
      <c r="W354" s="124"/>
      <c r="X354" s="124"/>
    </row>
    <row r="355">
      <c r="A355" s="216"/>
      <c r="B355" s="124"/>
      <c r="C355" s="124"/>
      <c r="D355" s="124"/>
      <c r="E355" s="124"/>
      <c r="F355" s="124"/>
      <c r="G355" s="124"/>
      <c r="H355" s="124"/>
      <c r="I355" s="217" t="str">
        <f>IFERROR(__xludf.DUMMYFUNCTION("""COMPUTED_VALUE"""),"")</f>
        <v/>
      </c>
      <c r="J355" s="219"/>
      <c r="K355" s="219"/>
      <c r="L355" s="124"/>
      <c r="M355" s="124"/>
      <c r="N355" s="124"/>
      <c r="O355" s="124"/>
      <c r="P355" s="124"/>
      <c r="Q355" s="124"/>
      <c r="R355" s="21"/>
      <c r="S355" s="124"/>
      <c r="T355" s="124"/>
      <c r="U355" s="124"/>
      <c r="V355" s="124"/>
      <c r="W355" s="124"/>
      <c r="X355" s="124"/>
    </row>
    <row r="356">
      <c r="A356" s="216"/>
      <c r="B356" s="124"/>
      <c r="C356" s="124"/>
      <c r="D356" s="124"/>
      <c r="E356" s="124"/>
      <c r="F356" s="124"/>
      <c r="G356" s="124"/>
      <c r="H356" s="124"/>
      <c r="I356" s="217" t="str">
        <f>IFERROR(__xludf.DUMMYFUNCTION("""COMPUTED_VALUE"""),"")</f>
        <v/>
      </c>
      <c r="J356" s="219"/>
      <c r="K356" s="219"/>
      <c r="L356" s="124"/>
      <c r="M356" s="124"/>
      <c r="N356" s="124"/>
      <c r="O356" s="124"/>
      <c r="P356" s="124"/>
      <c r="Q356" s="124"/>
      <c r="R356" s="21"/>
      <c r="S356" s="124"/>
      <c r="T356" s="124"/>
      <c r="U356" s="124"/>
      <c r="V356" s="124"/>
      <c r="W356" s="124"/>
      <c r="X356" s="124"/>
    </row>
    <row r="357">
      <c r="A357" s="216"/>
      <c r="B357" s="124"/>
      <c r="C357" s="124"/>
      <c r="D357" s="124"/>
      <c r="E357" s="124"/>
      <c r="F357" s="124"/>
      <c r="G357" s="124"/>
      <c r="H357" s="124"/>
      <c r="I357" s="217" t="str">
        <f>IFERROR(__xludf.DUMMYFUNCTION("""COMPUTED_VALUE"""),"")</f>
        <v/>
      </c>
      <c r="J357" s="219"/>
      <c r="K357" s="219"/>
      <c r="L357" s="124"/>
      <c r="M357" s="124"/>
      <c r="N357" s="124"/>
      <c r="O357" s="124"/>
      <c r="P357" s="124"/>
      <c r="Q357" s="124"/>
      <c r="R357" s="21"/>
      <c r="S357" s="124"/>
      <c r="T357" s="124"/>
      <c r="U357" s="124"/>
      <c r="V357" s="124"/>
      <c r="W357" s="124"/>
      <c r="X357" s="124"/>
    </row>
    <row r="358">
      <c r="A358" s="216"/>
      <c r="B358" s="124"/>
      <c r="C358" s="124"/>
      <c r="D358" s="124"/>
      <c r="E358" s="124"/>
      <c r="F358" s="124"/>
      <c r="G358" s="124"/>
      <c r="H358" s="124"/>
      <c r="I358" s="217" t="str">
        <f>IFERROR(__xludf.DUMMYFUNCTION("""COMPUTED_VALUE"""),"")</f>
        <v/>
      </c>
      <c r="J358" s="219"/>
      <c r="K358" s="219"/>
      <c r="L358" s="124"/>
      <c r="M358" s="124"/>
      <c r="N358" s="124"/>
      <c r="O358" s="124"/>
      <c r="P358" s="124"/>
      <c r="Q358" s="124"/>
      <c r="R358" s="21"/>
      <c r="S358" s="124"/>
      <c r="T358" s="124"/>
      <c r="U358" s="124"/>
      <c r="V358" s="124"/>
      <c r="W358" s="124"/>
      <c r="X358" s="124"/>
    </row>
    <row r="359">
      <c r="A359" s="216"/>
      <c r="B359" s="124"/>
      <c r="C359" s="124"/>
      <c r="D359" s="124"/>
      <c r="E359" s="124"/>
      <c r="F359" s="124"/>
      <c r="G359" s="124"/>
      <c r="H359" s="124"/>
      <c r="I359" s="217" t="str">
        <f>IFERROR(__xludf.DUMMYFUNCTION("""COMPUTED_VALUE"""),"")</f>
        <v/>
      </c>
      <c r="J359" s="219"/>
      <c r="K359" s="219"/>
      <c r="L359" s="124"/>
      <c r="M359" s="124"/>
      <c r="N359" s="124"/>
      <c r="O359" s="124"/>
      <c r="P359" s="124"/>
      <c r="Q359" s="124"/>
      <c r="R359" s="21"/>
      <c r="S359" s="124"/>
      <c r="T359" s="124"/>
      <c r="U359" s="124"/>
      <c r="V359" s="124"/>
      <c r="W359" s="124"/>
      <c r="X359" s="124"/>
    </row>
    <row r="360">
      <c r="A360" s="216"/>
      <c r="B360" s="124"/>
      <c r="C360" s="124"/>
      <c r="D360" s="124"/>
      <c r="E360" s="124"/>
      <c r="F360" s="124"/>
      <c r="G360" s="124"/>
      <c r="H360" s="124"/>
      <c r="I360" s="217" t="str">
        <f>IFERROR(__xludf.DUMMYFUNCTION("""COMPUTED_VALUE"""),"")</f>
        <v/>
      </c>
      <c r="J360" s="219"/>
      <c r="K360" s="219"/>
      <c r="L360" s="124"/>
      <c r="M360" s="124"/>
      <c r="N360" s="124"/>
      <c r="O360" s="124"/>
      <c r="P360" s="124"/>
      <c r="Q360" s="124"/>
      <c r="R360" s="21"/>
      <c r="S360" s="124"/>
      <c r="T360" s="124"/>
      <c r="U360" s="124"/>
      <c r="V360" s="124"/>
      <c r="W360" s="124"/>
      <c r="X360" s="124"/>
    </row>
    <row r="361">
      <c r="A361" s="216"/>
      <c r="B361" s="124"/>
      <c r="C361" s="124"/>
      <c r="D361" s="124"/>
      <c r="E361" s="124"/>
      <c r="F361" s="124"/>
      <c r="G361" s="124"/>
      <c r="H361" s="124"/>
      <c r="I361" s="217" t="str">
        <f>IFERROR(__xludf.DUMMYFUNCTION("""COMPUTED_VALUE"""),"")</f>
        <v/>
      </c>
      <c r="J361" s="219"/>
      <c r="K361" s="219"/>
      <c r="L361" s="124"/>
      <c r="M361" s="124"/>
      <c r="N361" s="124"/>
      <c r="O361" s="124"/>
      <c r="P361" s="124"/>
      <c r="Q361" s="124"/>
      <c r="R361" s="21"/>
      <c r="S361" s="124"/>
      <c r="T361" s="124"/>
      <c r="U361" s="124"/>
      <c r="V361" s="124"/>
      <c r="W361" s="124"/>
      <c r="X361" s="124"/>
    </row>
    <row r="362">
      <c r="A362" s="216"/>
      <c r="B362" s="124"/>
      <c r="C362" s="124"/>
      <c r="D362" s="124"/>
      <c r="E362" s="124"/>
      <c r="F362" s="124"/>
      <c r="G362" s="124"/>
      <c r="H362" s="124"/>
      <c r="I362" s="217" t="str">
        <f>IFERROR(__xludf.DUMMYFUNCTION("""COMPUTED_VALUE"""),"")</f>
        <v/>
      </c>
      <c r="J362" s="219"/>
      <c r="K362" s="219"/>
      <c r="L362" s="124"/>
      <c r="M362" s="124"/>
      <c r="N362" s="124"/>
      <c r="O362" s="124"/>
      <c r="P362" s="124"/>
      <c r="Q362" s="124"/>
      <c r="R362" s="21"/>
      <c r="S362" s="124"/>
      <c r="T362" s="124"/>
      <c r="U362" s="124"/>
      <c r="V362" s="124"/>
      <c r="W362" s="124"/>
      <c r="X362" s="124"/>
    </row>
    <row r="363">
      <c r="A363" s="216"/>
      <c r="B363" s="124"/>
      <c r="C363" s="124"/>
      <c r="D363" s="124"/>
      <c r="E363" s="124"/>
      <c r="F363" s="124"/>
      <c r="G363" s="124"/>
      <c r="H363" s="124"/>
      <c r="I363" s="217" t="str">
        <f>IFERROR(__xludf.DUMMYFUNCTION("""COMPUTED_VALUE"""),"")</f>
        <v/>
      </c>
      <c r="J363" s="219"/>
      <c r="K363" s="219"/>
      <c r="L363" s="124"/>
      <c r="M363" s="124"/>
      <c r="N363" s="124"/>
      <c r="O363" s="124"/>
      <c r="P363" s="124"/>
      <c r="Q363" s="124"/>
      <c r="R363" s="21"/>
      <c r="S363" s="124"/>
      <c r="T363" s="124"/>
      <c r="U363" s="124"/>
      <c r="V363" s="124"/>
      <c r="W363" s="124"/>
      <c r="X363" s="124"/>
    </row>
    <row r="364">
      <c r="A364" s="216"/>
      <c r="B364" s="124"/>
      <c r="C364" s="124"/>
      <c r="D364" s="124"/>
      <c r="E364" s="124"/>
      <c r="F364" s="124"/>
      <c r="G364" s="124"/>
      <c r="H364" s="124"/>
      <c r="I364" s="217" t="str">
        <f>IFERROR(__xludf.DUMMYFUNCTION("""COMPUTED_VALUE"""),"")</f>
        <v/>
      </c>
      <c r="J364" s="219"/>
      <c r="K364" s="219"/>
      <c r="L364" s="124"/>
      <c r="M364" s="124"/>
      <c r="N364" s="124"/>
      <c r="O364" s="124"/>
      <c r="P364" s="124"/>
      <c r="Q364" s="124"/>
      <c r="R364" s="21"/>
      <c r="S364" s="124"/>
      <c r="T364" s="124"/>
      <c r="U364" s="124"/>
      <c r="V364" s="124"/>
      <c r="W364" s="124"/>
      <c r="X364" s="124"/>
    </row>
    <row r="365">
      <c r="A365" s="216"/>
      <c r="B365" s="124"/>
      <c r="C365" s="124"/>
      <c r="D365" s="124"/>
      <c r="E365" s="124"/>
      <c r="F365" s="124"/>
      <c r="G365" s="124"/>
      <c r="H365" s="124"/>
      <c r="I365" s="217" t="str">
        <f>IFERROR(__xludf.DUMMYFUNCTION("""COMPUTED_VALUE"""),"")</f>
        <v/>
      </c>
      <c r="J365" s="219"/>
      <c r="K365" s="219"/>
      <c r="L365" s="124"/>
      <c r="M365" s="124"/>
      <c r="N365" s="124"/>
      <c r="O365" s="124"/>
      <c r="P365" s="124"/>
      <c r="Q365" s="124"/>
      <c r="R365" s="21"/>
      <c r="S365" s="124"/>
      <c r="T365" s="124"/>
      <c r="U365" s="124"/>
      <c r="V365" s="124"/>
      <c r="W365" s="124"/>
      <c r="X365" s="124"/>
    </row>
    <row r="366">
      <c r="A366" s="216"/>
      <c r="B366" s="124"/>
      <c r="C366" s="124"/>
      <c r="D366" s="124"/>
      <c r="E366" s="124"/>
      <c r="F366" s="124"/>
      <c r="G366" s="124"/>
      <c r="H366" s="124"/>
      <c r="I366" s="217" t="str">
        <f>IFERROR(__xludf.DUMMYFUNCTION("""COMPUTED_VALUE"""),"")</f>
        <v/>
      </c>
      <c r="J366" s="219"/>
      <c r="K366" s="219"/>
      <c r="L366" s="124"/>
      <c r="M366" s="124"/>
      <c r="N366" s="124"/>
      <c r="O366" s="124"/>
      <c r="P366" s="124"/>
      <c r="Q366" s="124"/>
      <c r="R366" s="21"/>
      <c r="S366" s="124"/>
      <c r="T366" s="124"/>
      <c r="U366" s="124"/>
      <c r="V366" s="124"/>
      <c r="W366" s="124"/>
      <c r="X366" s="124"/>
    </row>
    <row r="367">
      <c r="A367" s="216"/>
      <c r="B367" s="124"/>
      <c r="C367" s="124"/>
      <c r="D367" s="124"/>
      <c r="E367" s="124"/>
      <c r="F367" s="124"/>
      <c r="G367" s="124"/>
      <c r="H367" s="124"/>
      <c r="I367" s="217" t="str">
        <f>IFERROR(__xludf.DUMMYFUNCTION("""COMPUTED_VALUE"""),"")</f>
        <v/>
      </c>
      <c r="J367" s="219"/>
      <c r="K367" s="219"/>
      <c r="L367" s="124"/>
      <c r="M367" s="124"/>
      <c r="N367" s="124"/>
      <c r="O367" s="124"/>
      <c r="P367" s="124"/>
      <c r="Q367" s="124"/>
      <c r="R367" s="21"/>
      <c r="S367" s="124"/>
      <c r="T367" s="124"/>
      <c r="U367" s="124"/>
      <c r="V367" s="124"/>
      <c r="W367" s="124"/>
      <c r="X367" s="124"/>
    </row>
    <row r="368">
      <c r="A368" s="216"/>
      <c r="B368" s="124"/>
      <c r="C368" s="124"/>
      <c r="D368" s="124"/>
      <c r="E368" s="124"/>
      <c r="F368" s="124"/>
      <c r="G368" s="124"/>
      <c r="H368" s="124"/>
      <c r="I368" s="217" t="str">
        <f>IFERROR(__xludf.DUMMYFUNCTION("""COMPUTED_VALUE"""),"")</f>
        <v/>
      </c>
      <c r="J368" s="219"/>
      <c r="K368" s="219"/>
      <c r="L368" s="124"/>
      <c r="M368" s="124"/>
      <c r="N368" s="124"/>
      <c r="O368" s="124"/>
      <c r="P368" s="124"/>
      <c r="Q368" s="124"/>
      <c r="R368" s="21"/>
      <c r="S368" s="124"/>
      <c r="T368" s="124"/>
      <c r="U368" s="124"/>
      <c r="V368" s="124"/>
      <c r="W368" s="124"/>
      <c r="X368" s="124"/>
    </row>
    <row r="369">
      <c r="A369" s="216"/>
      <c r="B369" s="124"/>
      <c r="C369" s="124"/>
      <c r="D369" s="124"/>
      <c r="E369" s="124"/>
      <c r="F369" s="124"/>
      <c r="G369" s="124"/>
      <c r="H369" s="124"/>
      <c r="I369" s="217" t="str">
        <f>IFERROR(__xludf.DUMMYFUNCTION("""COMPUTED_VALUE"""),"")</f>
        <v/>
      </c>
      <c r="J369" s="219"/>
      <c r="K369" s="219"/>
      <c r="L369" s="124"/>
      <c r="M369" s="124"/>
      <c r="N369" s="124"/>
      <c r="O369" s="124"/>
      <c r="P369" s="124"/>
      <c r="Q369" s="124"/>
      <c r="R369" s="21"/>
      <c r="S369" s="124"/>
      <c r="T369" s="124"/>
      <c r="U369" s="124"/>
      <c r="V369" s="124"/>
      <c r="W369" s="124"/>
      <c r="X369" s="124"/>
    </row>
    <row r="370">
      <c r="A370" s="216"/>
      <c r="B370" s="124"/>
      <c r="C370" s="124"/>
      <c r="D370" s="124"/>
      <c r="E370" s="124"/>
      <c r="F370" s="124"/>
      <c r="G370" s="124"/>
      <c r="H370" s="124"/>
      <c r="I370" s="217" t="str">
        <f>IFERROR(__xludf.DUMMYFUNCTION("""COMPUTED_VALUE"""),"")</f>
        <v/>
      </c>
      <c r="J370" s="219"/>
      <c r="K370" s="219"/>
      <c r="L370" s="124"/>
      <c r="M370" s="124"/>
      <c r="N370" s="124"/>
      <c r="O370" s="124"/>
      <c r="P370" s="124"/>
      <c r="Q370" s="124"/>
      <c r="R370" s="21"/>
      <c r="S370" s="124"/>
      <c r="T370" s="124"/>
      <c r="U370" s="124"/>
      <c r="V370" s="124"/>
      <c r="W370" s="124"/>
      <c r="X370" s="124"/>
    </row>
    <row r="371">
      <c r="A371" s="216"/>
      <c r="B371" s="124"/>
      <c r="C371" s="124"/>
      <c r="D371" s="124"/>
      <c r="E371" s="124"/>
      <c r="F371" s="124"/>
      <c r="G371" s="124"/>
      <c r="H371" s="124"/>
      <c r="I371" s="217" t="str">
        <f>IFERROR(__xludf.DUMMYFUNCTION("""COMPUTED_VALUE"""),"")</f>
        <v/>
      </c>
      <c r="J371" s="219"/>
      <c r="K371" s="219"/>
      <c r="L371" s="124"/>
      <c r="M371" s="124"/>
      <c r="N371" s="124"/>
      <c r="O371" s="124"/>
      <c r="P371" s="124"/>
      <c r="Q371" s="124"/>
      <c r="R371" s="21"/>
      <c r="S371" s="124"/>
      <c r="T371" s="124"/>
      <c r="U371" s="124"/>
      <c r="V371" s="124"/>
      <c r="W371" s="124"/>
      <c r="X371" s="124"/>
    </row>
    <row r="372">
      <c r="A372" s="216"/>
      <c r="B372" s="124"/>
      <c r="C372" s="124"/>
      <c r="D372" s="124"/>
      <c r="E372" s="124"/>
      <c r="F372" s="124"/>
      <c r="G372" s="124"/>
      <c r="H372" s="124"/>
      <c r="I372" s="217" t="str">
        <f>IFERROR(__xludf.DUMMYFUNCTION("""COMPUTED_VALUE"""),"")</f>
        <v/>
      </c>
      <c r="J372" s="219"/>
      <c r="K372" s="219"/>
      <c r="L372" s="124"/>
      <c r="M372" s="124"/>
      <c r="N372" s="124"/>
      <c r="O372" s="124"/>
      <c r="P372" s="124"/>
      <c r="Q372" s="124"/>
      <c r="R372" s="21"/>
      <c r="S372" s="124"/>
      <c r="T372" s="124"/>
      <c r="U372" s="124"/>
      <c r="V372" s="124"/>
      <c r="W372" s="124"/>
      <c r="X372" s="124"/>
    </row>
    <row r="373">
      <c r="A373" s="216"/>
      <c r="B373" s="124"/>
      <c r="C373" s="124"/>
      <c r="D373" s="124"/>
      <c r="E373" s="124"/>
      <c r="F373" s="124"/>
      <c r="G373" s="124"/>
      <c r="H373" s="124"/>
      <c r="I373" s="217" t="str">
        <f>IFERROR(__xludf.DUMMYFUNCTION("""COMPUTED_VALUE"""),"")</f>
        <v/>
      </c>
      <c r="J373" s="219"/>
      <c r="K373" s="219"/>
      <c r="L373" s="124"/>
      <c r="M373" s="124"/>
      <c r="N373" s="124"/>
      <c r="O373" s="124"/>
      <c r="P373" s="124"/>
      <c r="Q373" s="124"/>
      <c r="R373" s="21"/>
      <c r="S373" s="124"/>
      <c r="T373" s="124"/>
      <c r="U373" s="124"/>
      <c r="V373" s="124"/>
      <c r="W373" s="124"/>
      <c r="X373" s="124"/>
    </row>
    <row r="374">
      <c r="A374" s="216"/>
      <c r="B374" s="124"/>
      <c r="C374" s="124"/>
      <c r="D374" s="124"/>
      <c r="E374" s="124"/>
      <c r="F374" s="124"/>
      <c r="G374" s="124"/>
      <c r="H374" s="124"/>
      <c r="I374" s="217" t="str">
        <f>IFERROR(__xludf.DUMMYFUNCTION("""COMPUTED_VALUE"""),"")</f>
        <v/>
      </c>
      <c r="J374" s="219"/>
      <c r="K374" s="219"/>
      <c r="L374" s="124"/>
      <c r="M374" s="124"/>
      <c r="N374" s="124"/>
      <c r="O374" s="124"/>
      <c r="P374" s="124"/>
      <c r="Q374" s="124"/>
      <c r="R374" s="21"/>
      <c r="S374" s="124"/>
      <c r="T374" s="124"/>
      <c r="U374" s="124"/>
      <c r="V374" s="124"/>
      <c r="W374" s="124"/>
      <c r="X374" s="124"/>
    </row>
    <row r="375">
      <c r="A375" s="216"/>
      <c r="B375" s="124"/>
      <c r="C375" s="124"/>
      <c r="D375" s="124"/>
      <c r="E375" s="124"/>
      <c r="F375" s="124"/>
      <c r="G375" s="124"/>
      <c r="H375" s="124"/>
      <c r="I375" s="217" t="str">
        <f>IFERROR(__xludf.DUMMYFUNCTION("""COMPUTED_VALUE"""),"")</f>
        <v/>
      </c>
      <c r="J375" s="219"/>
      <c r="K375" s="219"/>
      <c r="L375" s="124"/>
      <c r="M375" s="124"/>
      <c r="N375" s="124"/>
      <c r="O375" s="124"/>
      <c r="P375" s="124"/>
      <c r="Q375" s="124"/>
      <c r="R375" s="21"/>
      <c r="S375" s="124"/>
      <c r="T375" s="124"/>
      <c r="U375" s="124"/>
      <c r="V375" s="124"/>
      <c r="W375" s="124"/>
      <c r="X375" s="124"/>
    </row>
    <row r="376">
      <c r="A376" s="216"/>
      <c r="B376" s="124"/>
      <c r="C376" s="124"/>
      <c r="D376" s="124"/>
      <c r="E376" s="124"/>
      <c r="F376" s="124"/>
      <c r="G376" s="124"/>
      <c r="H376" s="124"/>
      <c r="I376" s="217" t="str">
        <f>IFERROR(__xludf.DUMMYFUNCTION("""COMPUTED_VALUE"""),"")</f>
        <v/>
      </c>
      <c r="J376" s="219"/>
      <c r="K376" s="219"/>
      <c r="L376" s="124"/>
      <c r="M376" s="124"/>
      <c r="N376" s="124"/>
      <c r="O376" s="124"/>
      <c r="P376" s="124"/>
      <c r="Q376" s="124"/>
      <c r="R376" s="21"/>
      <c r="S376" s="124"/>
      <c r="T376" s="124"/>
      <c r="U376" s="124"/>
      <c r="V376" s="124"/>
      <c r="W376" s="124"/>
      <c r="X376" s="124"/>
    </row>
    <row r="377">
      <c r="A377" s="216"/>
      <c r="B377" s="124"/>
      <c r="C377" s="124"/>
      <c r="D377" s="124"/>
      <c r="E377" s="124"/>
      <c r="F377" s="124"/>
      <c r="G377" s="124"/>
      <c r="H377" s="124"/>
      <c r="I377" s="217" t="str">
        <f>IFERROR(__xludf.DUMMYFUNCTION("""COMPUTED_VALUE"""),"")</f>
        <v/>
      </c>
      <c r="J377" s="219"/>
      <c r="K377" s="219"/>
      <c r="L377" s="124"/>
      <c r="M377" s="124"/>
      <c r="N377" s="124"/>
      <c r="O377" s="124"/>
      <c r="P377" s="124"/>
      <c r="Q377" s="124"/>
      <c r="R377" s="21"/>
      <c r="S377" s="124"/>
      <c r="T377" s="124"/>
      <c r="U377" s="124"/>
      <c r="V377" s="124"/>
      <c r="W377" s="124"/>
      <c r="X377" s="124"/>
    </row>
    <row r="378">
      <c r="A378" s="216"/>
      <c r="B378" s="124"/>
      <c r="C378" s="124"/>
      <c r="D378" s="124"/>
      <c r="E378" s="124"/>
      <c r="F378" s="124"/>
      <c r="G378" s="124"/>
      <c r="H378" s="124"/>
      <c r="I378" s="217" t="str">
        <f>IFERROR(__xludf.DUMMYFUNCTION("""COMPUTED_VALUE"""),"")</f>
        <v/>
      </c>
      <c r="J378" s="219"/>
      <c r="K378" s="219"/>
      <c r="L378" s="124"/>
      <c r="M378" s="124"/>
      <c r="N378" s="124"/>
      <c r="O378" s="124"/>
      <c r="P378" s="124"/>
      <c r="Q378" s="124"/>
      <c r="R378" s="21"/>
      <c r="S378" s="124"/>
      <c r="T378" s="124"/>
      <c r="U378" s="124"/>
      <c r="V378" s="124"/>
      <c r="W378" s="124"/>
      <c r="X378" s="124"/>
    </row>
    <row r="379">
      <c r="A379" s="216"/>
      <c r="B379" s="124"/>
      <c r="C379" s="124"/>
      <c r="D379" s="124"/>
      <c r="E379" s="124"/>
      <c r="F379" s="124"/>
      <c r="G379" s="124"/>
      <c r="H379" s="124"/>
      <c r="I379" s="217" t="str">
        <f>IFERROR(__xludf.DUMMYFUNCTION("""COMPUTED_VALUE"""),"")</f>
        <v/>
      </c>
      <c r="J379" s="219"/>
      <c r="K379" s="219"/>
      <c r="L379" s="124"/>
      <c r="M379" s="124"/>
      <c r="N379" s="124"/>
      <c r="O379" s="124"/>
      <c r="P379" s="124"/>
      <c r="Q379" s="124"/>
      <c r="R379" s="21"/>
      <c r="S379" s="124"/>
      <c r="T379" s="124"/>
      <c r="U379" s="124"/>
      <c r="V379" s="124"/>
      <c r="W379" s="124"/>
      <c r="X379" s="124"/>
    </row>
    <row r="380">
      <c r="A380" s="216"/>
      <c r="B380" s="124"/>
      <c r="C380" s="124"/>
      <c r="D380" s="124"/>
      <c r="E380" s="124"/>
      <c r="F380" s="124"/>
      <c r="G380" s="124"/>
      <c r="H380" s="124"/>
      <c r="I380" s="217" t="str">
        <f>IFERROR(__xludf.DUMMYFUNCTION("""COMPUTED_VALUE"""),"")</f>
        <v/>
      </c>
      <c r="J380" s="219"/>
      <c r="K380" s="219"/>
      <c r="L380" s="124"/>
      <c r="M380" s="124"/>
      <c r="N380" s="124"/>
      <c r="O380" s="124"/>
      <c r="P380" s="124"/>
      <c r="Q380" s="124"/>
      <c r="R380" s="21"/>
      <c r="S380" s="124"/>
      <c r="T380" s="124"/>
      <c r="U380" s="124"/>
      <c r="V380" s="124"/>
      <c r="W380" s="124"/>
      <c r="X380" s="124"/>
    </row>
    <row r="381">
      <c r="A381" s="216"/>
      <c r="B381" s="124"/>
      <c r="C381" s="124"/>
      <c r="D381" s="124"/>
      <c r="E381" s="124"/>
      <c r="F381" s="124"/>
      <c r="G381" s="124"/>
      <c r="H381" s="124"/>
      <c r="I381" s="217" t="str">
        <f>IFERROR(__xludf.DUMMYFUNCTION("""COMPUTED_VALUE"""),"")</f>
        <v/>
      </c>
      <c r="J381" s="219"/>
      <c r="K381" s="219"/>
      <c r="L381" s="124"/>
      <c r="M381" s="124"/>
      <c r="N381" s="124"/>
      <c r="O381" s="124"/>
      <c r="P381" s="124"/>
      <c r="Q381" s="124"/>
      <c r="R381" s="21"/>
      <c r="S381" s="124"/>
      <c r="T381" s="124"/>
      <c r="U381" s="124"/>
      <c r="V381" s="124"/>
      <c r="W381" s="124"/>
      <c r="X381" s="124"/>
    </row>
    <row r="382">
      <c r="A382" s="216"/>
      <c r="B382" s="124"/>
      <c r="C382" s="124"/>
      <c r="D382" s="124"/>
      <c r="E382" s="124"/>
      <c r="F382" s="124"/>
      <c r="G382" s="124"/>
      <c r="H382" s="124"/>
      <c r="I382" s="217" t="str">
        <f>IFERROR(__xludf.DUMMYFUNCTION("""COMPUTED_VALUE"""),"")</f>
        <v/>
      </c>
      <c r="J382" s="219"/>
      <c r="K382" s="219"/>
      <c r="L382" s="124"/>
      <c r="M382" s="124"/>
      <c r="N382" s="124"/>
      <c r="O382" s="124"/>
      <c r="P382" s="124"/>
      <c r="Q382" s="124"/>
      <c r="R382" s="21"/>
      <c r="S382" s="124"/>
      <c r="T382" s="124"/>
      <c r="U382" s="124"/>
      <c r="V382" s="124"/>
      <c r="W382" s="124"/>
      <c r="X382" s="124"/>
    </row>
    <row r="383">
      <c r="A383" s="216"/>
      <c r="B383" s="124"/>
      <c r="C383" s="124"/>
      <c r="D383" s="124"/>
      <c r="E383" s="124"/>
      <c r="F383" s="124"/>
      <c r="G383" s="124"/>
      <c r="H383" s="124"/>
      <c r="I383" s="217" t="str">
        <f>IFERROR(__xludf.DUMMYFUNCTION("""COMPUTED_VALUE"""),"")</f>
        <v/>
      </c>
      <c r="J383" s="219"/>
      <c r="K383" s="219"/>
      <c r="L383" s="124"/>
      <c r="M383" s="124"/>
      <c r="N383" s="124"/>
      <c r="O383" s="124"/>
      <c r="P383" s="124"/>
      <c r="Q383" s="124"/>
      <c r="R383" s="21"/>
      <c r="S383" s="124"/>
      <c r="T383" s="124"/>
      <c r="U383" s="124"/>
      <c r="V383" s="124"/>
      <c r="W383" s="124"/>
      <c r="X383" s="124"/>
    </row>
    <row r="384">
      <c r="A384" s="216"/>
      <c r="B384" s="124"/>
      <c r="C384" s="124"/>
      <c r="D384" s="124"/>
      <c r="E384" s="124"/>
      <c r="F384" s="124"/>
      <c r="G384" s="124"/>
      <c r="H384" s="124"/>
      <c r="I384" s="217" t="str">
        <f>IFERROR(__xludf.DUMMYFUNCTION("""COMPUTED_VALUE"""),"")</f>
        <v/>
      </c>
      <c r="J384" s="219"/>
      <c r="K384" s="219"/>
      <c r="L384" s="124"/>
      <c r="M384" s="124"/>
      <c r="N384" s="124"/>
      <c r="O384" s="124"/>
      <c r="P384" s="124"/>
      <c r="Q384" s="124"/>
      <c r="R384" s="21"/>
      <c r="S384" s="124"/>
      <c r="T384" s="124"/>
      <c r="U384" s="124"/>
      <c r="V384" s="124"/>
      <c r="W384" s="124"/>
      <c r="X384" s="124"/>
    </row>
    <row r="385">
      <c r="A385" s="216"/>
      <c r="B385" s="124"/>
      <c r="C385" s="124"/>
      <c r="D385" s="124"/>
      <c r="E385" s="124"/>
      <c r="F385" s="124"/>
      <c r="G385" s="124"/>
      <c r="H385" s="124"/>
      <c r="I385" s="217" t="str">
        <f>IFERROR(__xludf.DUMMYFUNCTION("""COMPUTED_VALUE"""),"")</f>
        <v/>
      </c>
      <c r="J385" s="219"/>
      <c r="K385" s="219"/>
      <c r="L385" s="124"/>
      <c r="M385" s="124"/>
      <c r="N385" s="124"/>
      <c r="O385" s="124"/>
      <c r="P385" s="124"/>
      <c r="Q385" s="124"/>
      <c r="R385" s="21"/>
      <c r="S385" s="124"/>
      <c r="T385" s="124"/>
      <c r="U385" s="124"/>
      <c r="V385" s="124"/>
      <c r="W385" s="124"/>
      <c r="X385" s="124"/>
    </row>
    <row r="386">
      <c r="A386" s="216"/>
      <c r="B386" s="124"/>
      <c r="C386" s="124"/>
      <c r="D386" s="124"/>
      <c r="E386" s="124"/>
      <c r="F386" s="124"/>
      <c r="G386" s="124"/>
      <c r="H386" s="124"/>
      <c r="I386" s="217" t="str">
        <f>IFERROR(__xludf.DUMMYFUNCTION("""COMPUTED_VALUE"""),"")</f>
        <v/>
      </c>
      <c r="J386" s="219"/>
      <c r="K386" s="219"/>
      <c r="L386" s="124"/>
      <c r="M386" s="124"/>
      <c r="N386" s="124"/>
      <c r="O386" s="124"/>
      <c r="P386" s="124"/>
      <c r="Q386" s="124"/>
      <c r="R386" s="21"/>
      <c r="S386" s="124"/>
      <c r="T386" s="124"/>
      <c r="U386" s="124"/>
      <c r="V386" s="124"/>
      <c r="W386" s="124"/>
      <c r="X386" s="124"/>
    </row>
    <row r="387">
      <c r="A387" s="216"/>
      <c r="B387" s="124"/>
      <c r="C387" s="124"/>
      <c r="D387" s="124"/>
      <c r="E387" s="124"/>
      <c r="F387" s="124"/>
      <c r="G387" s="124"/>
      <c r="H387" s="124"/>
      <c r="I387" s="217" t="str">
        <f>IFERROR(__xludf.DUMMYFUNCTION("""COMPUTED_VALUE"""),"")</f>
        <v/>
      </c>
      <c r="J387" s="219"/>
      <c r="K387" s="219"/>
      <c r="L387" s="124"/>
      <c r="M387" s="124"/>
      <c r="N387" s="124"/>
      <c r="O387" s="124"/>
      <c r="P387" s="124"/>
      <c r="Q387" s="124"/>
      <c r="R387" s="21"/>
      <c r="S387" s="124"/>
      <c r="T387" s="124"/>
      <c r="U387" s="124"/>
      <c r="V387" s="124"/>
      <c r="W387" s="124"/>
      <c r="X387" s="124"/>
    </row>
    <row r="388">
      <c r="A388" s="216"/>
      <c r="B388" s="124"/>
      <c r="C388" s="124"/>
      <c r="D388" s="124"/>
      <c r="E388" s="124"/>
      <c r="F388" s="124"/>
      <c r="G388" s="124"/>
      <c r="H388" s="124"/>
      <c r="I388" s="217" t="str">
        <f>IFERROR(__xludf.DUMMYFUNCTION("""COMPUTED_VALUE"""),"")</f>
        <v/>
      </c>
      <c r="J388" s="219"/>
      <c r="K388" s="219"/>
      <c r="L388" s="124"/>
      <c r="M388" s="124"/>
      <c r="N388" s="124"/>
      <c r="O388" s="124"/>
      <c r="P388" s="124"/>
      <c r="Q388" s="124"/>
      <c r="R388" s="21"/>
      <c r="S388" s="124"/>
      <c r="T388" s="124"/>
      <c r="U388" s="124"/>
      <c r="V388" s="124"/>
      <c r="W388" s="124"/>
      <c r="X388" s="124"/>
    </row>
    <row r="389">
      <c r="A389" s="216"/>
      <c r="B389" s="124"/>
      <c r="C389" s="124"/>
      <c r="D389" s="124"/>
      <c r="E389" s="124"/>
      <c r="F389" s="124"/>
      <c r="G389" s="124"/>
      <c r="H389" s="124"/>
      <c r="I389" s="217" t="str">
        <f>IFERROR(__xludf.DUMMYFUNCTION("""COMPUTED_VALUE"""),"")</f>
        <v/>
      </c>
      <c r="J389" s="219"/>
      <c r="K389" s="219"/>
      <c r="L389" s="124"/>
      <c r="M389" s="124"/>
      <c r="N389" s="124"/>
      <c r="O389" s="124"/>
      <c r="P389" s="124"/>
      <c r="Q389" s="124"/>
      <c r="R389" s="21"/>
      <c r="S389" s="124"/>
      <c r="T389" s="124"/>
      <c r="U389" s="124"/>
      <c r="V389" s="124"/>
      <c r="W389" s="124"/>
      <c r="X389" s="124"/>
    </row>
    <row r="390">
      <c r="A390" s="216"/>
      <c r="B390" s="124"/>
      <c r="C390" s="124"/>
      <c r="D390" s="124"/>
      <c r="E390" s="124"/>
      <c r="F390" s="124"/>
      <c r="G390" s="124"/>
      <c r="H390" s="124"/>
      <c r="I390" s="217" t="str">
        <f>IFERROR(__xludf.DUMMYFUNCTION("""COMPUTED_VALUE"""),"")</f>
        <v/>
      </c>
      <c r="J390" s="219"/>
      <c r="K390" s="219"/>
      <c r="L390" s="124"/>
      <c r="M390" s="124"/>
      <c r="N390" s="124"/>
      <c r="O390" s="124"/>
      <c r="P390" s="124"/>
      <c r="Q390" s="124"/>
      <c r="R390" s="21"/>
      <c r="S390" s="124"/>
      <c r="T390" s="124"/>
      <c r="U390" s="124"/>
      <c r="V390" s="124"/>
      <c r="W390" s="124"/>
      <c r="X390" s="124"/>
    </row>
    <row r="391">
      <c r="A391" s="216"/>
      <c r="B391" s="124"/>
      <c r="C391" s="124"/>
      <c r="D391" s="124"/>
      <c r="E391" s="124"/>
      <c r="F391" s="124"/>
      <c r="G391" s="124"/>
      <c r="H391" s="124"/>
      <c r="I391" s="217" t="str">
        <f>IFERROR(__xludf.DUMMYFUNCTION("""COMPUTED_VALUE"""),"")</f>
        <v/>
      </c>
      <c r="J391" s="219"/>
      <c r="K391" s="219"/>
      <c r="L391" s="124"/>
      <c r="M391" s="124"/>
      <c r="N391" s="124"/>
      <c r="O391" s="124"/>
      <c r="P391" s="124"/>
      <c r="Q391" s="124"/>
      <c r="R391" s="21"/>
      <c r="S391" s="124"/>
      <c r="T391" s="124"/>
      <c r="U391" s="124"/>
      <c r="V391" s="124"/>
      <c r="W391" s="124"/>
      <c r="X391" s="124"/>
    </row>
    <row r="392">
      <c r="A392" s="216"/>
      <c r="B392" s="124"/>
      <c r="C392" s="124"/>
      <c r="D392" s="124"/>
      <c r="E392" s="124"/>
      <c r="F392" s="124"/>
      <c r="G392" s="124"/>
      <c r="H392" s="124"/>
      <c r="I392" s="217" t="str">
        <f>IFERROR(__xludf.DUMMYFUNCTION("""COMPUTED_VALUE"""),"")</f>
        <v/>
      </c>
      <c r="J392" s="219"/>
      <c r="K392" s="219"/>
      <c r="L392" s="124"/>
      <c r="M392" s="124"/>
      <c r="N392" s="124"/>
      <c r="O392" s="124"/>
      <c r="P392" s="124"/>
      <c r="Q392" s="124"/>
      <c r="R392" s="21"/>
      <c r="S392" s="124"/>
      <c r="T392" s="124"/>
      <c r="U392" s="124"/>
      <c r="V392" s="124"/>
      <c r="W392" s="124"/>
      <c r="X392" s="124"/>
    </row>
    <row r="393">
      <c r="A393" s="216"/>
      <c r="B393" s="124"/>
      <c r="C393" s="124"/>
      <c r="D393" s="124"/>
      <c r="E393" s="124"/>
      <c r="F393" s="124"/>
      <c r="G393" s="124"/>
      <c r="H393" s="124"/>
      <c r="I393" s="217" t="str">
        <f>IFERROR(__xludf.DUMMYFUNCTION("""COMPUTED_VALUE"""),"")</f>
        <v/>
      </c>
      <c r="J393" s="219"/>
      <c r="K393" s="219"/>
      <c r="L393" s="124"/>
      <c r="M393" s="124"/>
      <c r="N393" s="124"/>
      <c r="O393" s="124"/>
      <c r="P393" s="124"/>
      <c r="Q393" s="124"/>
      <c r="R393" s="21"/>
      <c r="S393" s="124"/>
      <c r="T393" s="124"/>
      <c r="U393" s="124"/>
      <c r="V393" s="124"/>
      <c r="W393" s="124"/>
      <c r="X393" s="124"/>
    </row>
    <row r="394">
      <c r="A394" s="216"/>
      <c r="B394" s="124"/>
      <c r="C394" s="124"/>
      <c r="D394" s="124"/>
      <c r="E394" s="124"/>
      <c r="F394" s="124"/>
      <c r="G394" s="124"/>
      <c r="H394" s="124"/>
      <c r="I394" s="217" t="str">
        <f>IFERROR(__xludf.DUMMYFUNCTION("""COMPUTED_VALUE"""),"")</f>
        <v/>
      </c>
      <c r="J394" s="219"/>
      <c r="K394" s="219"/>
      <c r="L394" s="124"/>
      <c r="M394" s="124"/>
      <c r="N394" s="124"/>
      <c r="O394" s="124"/>
      <c r="P394" s="124"/>
      <c r="Q394" s="124"/>
      <c r="R394" s="21"/>
      <c r="S394" s="124"/>
      <c r="T394" s="124"/>
      <c r="U394" s="124"/>
      <c r="V394" s="124"/>
      <c r="W394" s="124"/>
      <c r="X394" s="124"/>
    </row>
    <row r="395">
      <c r="A395" s="216"/>
      <c r="B395" s="124"/>
      <c r="C395" s="124"/>
      <c r="D395" s="124"/>
      <c r="E395" s="124"/>
      <c r="F395" s="124"/>
      <c r="G395" s="124"/>
      <c r="H395" s="124"/>
      <c r="I395" s="217" t="str">
        <f>IFERROR(__xludf.DUMMYFUNCTION("""COMPUTED_VALUE"""),"")</f>
        <v/>
      </c>
      <c r="J395" s="219"/>
      <c r="K395" s="219"/>
      <c r="L395" s="124"/>
      <c r="M395" s="124"/>
      <c r="N395" s="124"/>
      <c r="O395" s="124"/>
      <c r="P395" s="124"/>
      <c r="Q395" s="124"/>
      <c r="R395" s="21"/>
      <c r="S395" s="124"/>
      <c r="T395" s="124"/>
      <c r="U395" s="124"/>
      <c r="V395" s="124"/>
      <c r="W395" s="124"/>
      <c r="X395" s="124"/>
    </row>
    <row r="396">
      <c r="A396" s="216"/>
      <c r="B396" s="124"/>
      <c r="C396" s="124"/>
      <c r="D396" s="124"/>
      <c r="E396" s="124"/>
      <c r="F396" s="124"/>
      <c r="G396" s="124"/>
      <c r="H396" s="124"/>
      <c r="I396" s="217" t="str">
        <f>IFERROR(__xludf.DUMMYFUNCTION("""COMPUTED_VALUE"""),"")</f>
        <v/>
      </c>
      <c r="J396" s="219"/>
      <c r="K396" s="219"/>
      <c r="L396" s="124"/>
      <c r="M396" s="124"/>
      <c r="N396" s="124"/>
      <c r="O396" s="124"/>
      <c r="P396" s="124"/>
      <c r="Q396" s="124"/>
      <c r="R396" s="21"/>
      <c r="S396" s="124"/>
      <c r="T396" s="124"/>
      <c r="U396" s="124"/>
      <c r="V396" s="124"/>
      <c r="W396" s="124"/>
      <c r="X396" s="124"/>
    </row>
    <row r="397">
      <c r="A397" s="216"/>
      <c r="B397" s="124"/>
      <c r="C397" s="124"/>
      <c r="D397" s="124"/>
      <c r="E397" s="124"/>
      <c r="F397" s="124"/>
      <c r="G397" s="124"/>
      <c r="H397" s="124"/>
      <c r="I397" s="217" t="str">
        <f>IFERROR(__xludf.DUMMYFUNCTION("""COMPUTED_VALUE"""),"")</f>
        <v/>
      </c>
      <c r="J397" s="219"/>
      <c r="K397" s="219"/>
      <c r="L397" s="124"/>
      <c r="M397" s="124"/>
      <c r="N397" s="124"/>
      <c r="O397" s="124"/>
      <c r="P397" s="124"/>
      <c r="Q397" s="124"/>
      <c r="R397" s="21"/>
      <c r="S397" s="124"/>
      <c r="T397" s="124"/>
      <c r="U397" s="124"/>
      <c r="V397" s="124"/>
      <c r="W397" s="124"/>
      <c r="X397" s="124"/>
    </row>
    <row r="398">
      <c r="A398" s="216"/>
      <c r="B398" s="124"/>
      <c r="C398" s="124"/>
      <c r="D398" s="124"/>
      <c r="E398" s="124"/>
      <c r="F398" s="124"/>
      <c r="G398" s="124"/>
      <c r="H398" s="124"/>
      <c r="I398" s="217" t="str">
        <f>IFERROR(__xludf.DUMMYFUNCTION("""COMPUTED_VALUE"""),"")</f>
        <v/>
      </c>
      <c r="J398" s="219"/>
      <c r="K398" s="219"/>
      <c r="L398" s="124"/>
      <c r="M398" s="124"/>
      <c r="N398" s="124"/>
      <c r="O398" s="124"/>
      <c r="P398" s="124"/>
      <c r="Q398" s="124"/>
      <c r="R398" s="21"/>
      <c r="S398" s="124"/>
      <c r="T398" s="124"/>
      <c r="U398" s="124"/>
      <c r="V398" s="124"/>
      <c r="W398" s="124"/>
      <c r="X398" s="124"/>
    </row>
    <row r="399">
      <c r="A399" s="216"/>
      <c r="B399" s="124"/>
      <c r="C399" s="124"/>
      <c r="D399" s="124"/>
      <c r="E399" s="124"/>
      <c r="F399" s="124"/>
      <c r="G399" s="124"/>
      <c r="H399" s="124"/>
      <c r="I399" s="217" t="str">
        <f>IFERROR(__xludf.DUMMYFUNCTION("""COMPUTED_VALUE"""),"")</f>
        <v/>
      </c>
      <c r="J399" s="219"/>
      <c r="K399" s="219"/>
      <c r="L399" s="124"/>
      <c r="M399" s="124"/>
      <c r="N399" s="124"/>
      <c r="O399" s="124"/>
      <c r="P399" s="124"/>
      <c r="Q399" s="124"/>
      <c r="R399" s="21"/>
      <c r="S399" s="124"/>
      <c r="T399" s="124"/>
      <c r="U399" s="124"/>
      <c r="V399" s="124"/>
      <c r="W399" s="124"/>
      <c r="X399" s="124"/>
    </row>
    <row r="400">
      <c r="A400" s="216"/>
      <c r="B400" s="124"/>
      <c r="C400" s="124"/>
      <c r="D400" s="124"/>
      <c r="E400" s="124"/>
      <c r="F400" s="124"/>
      <c r="G400" s="124"/>
      <c r="H400" s="124"/>
      <c r="I400" s="217" t="str">
        <f>IFERROR(__xludf.DUMMYFUNCTION("""COMPUTED_VALUE"""),"")</f>
        <v/>
      </c>
      <c r="J400" s="219"/>
      <c r="K400" s="219"/>
      <c r="L400" s="124"/>
      <c r="M400" s="124"/>
      <c r="N400" s="124"/>
      <c r="O400" s="124"/>
      <c r="P400" s="124"/>
      <c r="Q400" s="124"/>
      <c r="R400" s="21"/>
      <c r="S400" s="124"/>
      <c r="T400" s="124"/>
      <c r="U400" s="124"/>
      <c r="V400" s="124"/>
      <c r="W400" s="124"/>
      <c r="X400" s="124"/>
    </row>
    <row r="401">
      <c r="A401" s="216"/>
      <c r="B401" s="124"/>
      <c r="C401" s="124"/>
      <c r="D401" s="124"/>
      <c r="E401" s="124"/>
      <c r="F401" s="124"/>
      <c r="G401" s="124"/>
      <c r="H401" s="124"/>
      <c r="I401" s="217" t="str">
        <f>IFERROR(__xludf.DUMMYFUNCTION("""COMPUTED_VALUE"""),"")</f>
        <v/>
      </c>
      <c r="J401" s="219"/>
      <c r="K401" s="219"/>
      <c r="L401" s="124"/>
      <c r="M401" s="124"/>
      <c r="N401" s="124"/>
      <c r="O401" s="124"/>
      <c r="P401" s="124"/>
      <c r="Q401" s="124"/>
      <c r="R401" s="21"/>
      <c r="S401" s="124"/>
      <c r="T401" s="124"/>
      <c r="U401" s="124"/>
      <c r="V401" s="124"/>
      <c r="W401" s="124"/>
      <c r="X401" s="124"/>
    </row>
    <row r="402">
      <c r="A402" s="216"/>
      <c r="B402" s="124"/>
      <c r="C402" s="124"/>
      <c r="D402" s="124"/>
      <c r="E402" s="124"/>
      <c r="F402" s="124"/>
      <c r="G402" s="124"/>
      <c r="H402" s="124"/>
      <c r="I402" s="217" t="str">
        <f>IFERROR(__xludf.DUMMYFUNCTION("""COMPUTED_VALUE"""),"")</f>
        <v/>
      </c>
      <c r="J402" s="219"/>
      <c r="K402" s="219"/>
      <c r="L402" s="124"/>
      <c r="M402" s="124"/>
      <c r="N402" s="124"/>
      <c r="O402" s="124"/>
      <c r="P402" s="124"/>
      <c r="Q402" s="124"/>
      <c r="R402" s="21"/>
      <c r="S402" s="124"/>
      <c r="T402" s="124"/>
      <c r="U402" s="124"/>
      <c r="V402" s="124"/>
      <c r="W402" s="124"/>
      <c r="X402" s="124"/>
    </row>
    <row r="403">
      <c r="A403" s="216"/>
      <c r="B403" s="124"/>
      <c r="C403" s="124"/>
      <c r="D403" s="124"/>
      <c r="E403" s="124"/>
      <c r="F403" s="124"/>
      <c r="G403" s="124"/>
      <c r="H403" s="124"/>
      <c r="I403" s="217" t="str">
        <f>IFERROR(__xludf.DUMMYFUNCTION("""COMPUTED_VALUE"""),"")</f>
        <v/>
      </c>
      <c r="J403" s="219"/>
      <c r="K403" s="219"/>
      <c r="L403" s="124"/>
      <c r="M403" s="124"/>
      <c r="N403" s="124"/>
      <c r="O403" s="124"/>
      <c r="P403" s="124"/>
      <c r="Q403" s="124"/>
      <c r="R403" s="21"/>
      <c r="S403" s="124"/>
      <c r="T403" s="124"/>
      <c r="U403" s="124"/>
      <c r="V403" s="124"/>
      <c r="W403" s="124"/>
      <c r="X403" s="124"/>
    </row>
    <row r="404">
      <c r="A404" s="216"/>
      <c r="B404" s="124"/>
      <c r="C404" s="124"/>
      <c r="D404" s="124"/>
      <c r="E404" s="124"/>
      <c r="F404" s="124"/>
      <c r="G404" s="124"/>
      <c r="H404" s="124"/>
      <c r="I404" s="217" t="str">
        <f>IFERROR(__xludf.DUMMYFUNCTION("""COMPUTED_VALUE"""),"")</f>
        <v/>
      </c>
      <c r="J404" s="219"/>
      <c r="K404" s="219"/>
      <c r="L404" s="124"/>
      <c r="M404" s="124"/>
      <c r="N404" s="124"/>
      <c r="O404" s="124"/>
      <c r="P404" s="124"/>
      <c r="Q404" s="124"/>
      <c r="R404" s="21"/>
      <c r="S404" s="124"/>
      <c r="T404" s="124"/>
      <c r="U404" s="124"/>
      <c r="V404" s="124"/>
      <c r="W404" s="124"/>
      <c r="X404" s="124"/>
    </row>
    <row r="405">
      <c r="A405" s="216"/>
      <c r="B405" s="124"/>
      <c r="C405" s="124"/>
      <c r="D405" s="124"/>
      <c r="E405" s="124"/>
      <c r="F405" s="124"/>
      <c r="G405" s="124"/>
      <c r="H405" s="124"/>
      <c r="I405" s="217" t="str">
        <f>IFERROR(__xludf.DUMMYFUNCTION("""COMPUTED_VALUE"""),"")</f>
        <v/>
      </c>
      <c r="J405" s="219"/>
      <c r="K405" s="219"/>
      <c r="L405" s="124"/>
      <c r="M405" s="124"/>
      <c r="N405" s="124"/>
      <c r="O405" s="124"/>
      <c r="P405" s="124"/>
      <c r="Q405" s="124"/>
      <c r="R405" s="21"/>
      <c r="S405" s="124"/>
      <c r="T405" s="124"/>
      <c r="U405" s="124"/>
      <c r="V405" s="124"/>
      <c r="W405" s="124"/>
      <c r="X405" s="124"/>
    </row>
    <row r="406">
      <c r="A406" s="216"/>
      <c r="B406" s="124"/>
      <c r="C406" s="124"/>
      <c r="D406" s="124"/>
      <c r="E406" s="124"/>
      <c r="F406" s="124"/>
      <c r="G406" s="124"/>
      <c r="H406" s="124"/>
      <c r="I406" s="217" t="str">
        <f>IFERROR(__xludf.DUMMYFUNCTION("""COMPUTED_VALUE"""),"")</f>
        <v/>
      </c>
      <c r="J406" s="219"/>
      <c r="K406" s="219"/>
      <c r="L406" s="124"/>
      <c r="M406" s="124"/>
      <c r="N406" s="124"/>
      <c r="O406" s="124"/>
      <c r="P406" s="124"/>
      <c r="Q406" s="124"/>
      <c r="R406" s="21"/>
      <c r="S406" s="124"/>
      <c r="T406" s="124"/>
      <c r="U406" s="124"/>
      <c r="V406" s="124"/>
      <c r="W406" s="124"/>
      <c r="X406" s="124"/>
    </row>
    <row r="407">
      <c r="A407" s="216"/>
      <c r="B407" s="124"/>
      <c r="C407" s="124"/>
      <c r="D407" s="124"/>
      <c r="E407" s="124"/>
      <c r="F407" s="124"/>
      <c r="G407" s="124"/>
      <c r="H407" s="124"/>
      <c r="I407" s="217" t="str">
        <f>IFERROR(__xludf.DUMMYFUNCTION("""COMPUTED_VALUE"""),"")</f>
        <v/>
      </c>
      <c r="J407" s="219"/>
      <c r="K407" s="219"/>
      <c r="L407" s="124"/>
      <c r="M407" s="124"/>
      <c r="N407" s="124"/>
      <c r="O407" s="124"/>
      <c r="P407" s="124"/>
      <c r="Q407" s="124"/>
      <c r="R407" s="21"/>
      <c r="S407" s="124"/>
      <c r="T407" s="124"/>
      <c r="U407" s="124"/>
      <c r="V407" s="124"/>
      <c r="W407" s="124"/>
      <c r="X407" s="124"/>
    </row>
    <row r="408">
      <c r="A408" s="216"/>
      <c r="B408" s="124"/>
      <c r="C408" s="124"/>
      <c r="D408" s="124"/>
      <c r="E408" s="124"/>
      <c r="F408" s="124"/>
      <c r="G408" s="124"/>
      <c r="H408" s="124"/>
      <c r="I408" s="217" t="str">
        <f>IFERROR(__xludf.DUMMYFUNCTION("""COMPUTED_VALUE"""),"")</f>
        <v/>
      </c>
      <c r="J408" s="219"/>
      <c r="K408" s="219"/>
      <c r="L408" s="124"/>
      <c r="M408" s="124"/>
      <c r="N408" s="124"/>
      <c r="O408" s="124"/>
      <c r="P408" s="124"/>
      <c r="Q408" s="124"/>
      <c r="R408" s="21"/>
      <c r="S408" s="124"/>
      <c r="T408" s="124"/>
      <c r="U408" s="124"/>
      <c r="V408" s="124"/>
      <c r="W408" s="124"/>
      <c r="X408" s="124"/>
    </row>
    <row r="409">
      <c r="A409" s="216"/>
      <c r="B409" s="124"/>
      <c r="C409" s="124"/>
      <c r="D409" s="124"/>
      <c r="E409" s="124"/>
      <c r="F409" s="124"/>
      <c r="G409" s="124"/>
      <c r="H409" s="124"/>
      <c r="I409" s="217" t="str">
        <f>IFERROR(__xludf.DUMMYFUNCTION("""COMPUTED_VALUE"""),"")</f>
        <v/>
      </c>
      <c r="J409" s="219"/>
      <c r="K409" s="219"/>
      <c r="L409" s="124"/>
      <c r="M409" s="124"/>
      <c r="N409" s="124"/>
      <c r="O409" s="124"/>
      <c r="P409" s="124"/>
      <c r="Q409" s="124"/>
      <c r="R409" s="21"/>
      <c r="S409" s="124"/>
      <c r="T409" s="124"/>
      <c r="U409" s="124"/>
      <c r="V409" s="124"/>
      <c r="W409" s="124"/>
      <c r="X409" s="124"/>
    </row>
    <row r="410">
      <c r="A410" s="216"/>
      <c r="B410" s="124"/>
      <c r="C410" s="124"/>
      <c r="D410" s="124"/>
      <c r="E410" s="124"/>
      <c r="F410" s="124"/>
      <c r="G410" s="124"/>
      <c r="H410" s="124"/>
      <c r="I410" s="217" t="str">
        <f>IFERROR(__xludf.DUMMYFUNCTION("""COMPUTED_VALUE"""),"")</f>
        <v/>
      </c>
      <c r="J410" s="219"/>
      <c r="K410" s="219"/>
      <c r="L410" s="124"/>
      <c r="M410" s="124"/>
      <c r="N410" s="124"/>
      <c r="O410" s="124"/>
      <c r="P410" s="124"/>
      <c r="Q410" s="124"/>
      <c r="R410" s="21"/>
      <c r="S410" s="124"/>
      <c r="T410" s="124"/>
      <c r="U410" s="124"/>
      <c r="V410" s="124"/>
      <c r="W410" s="124"/>
      <c r="X410" s="124"/>
    </row>
    <row r="411">
      <c r="A411" s="216"/>
      <c r="B411" s="124"/>
      <c r="C411" s="124"/>
      <c r="D411" s="124"/>
      <c r="E411" s="124"/>
      <c r="F411" s="124"/>
      <c r="G411" s="124"/>
      <c r="H411" s="124"/>
      <c r="I411" s="217" t="str">
        <f>IFERROR(__xludf.DUMMYFUNCTION("""COMPUTED_VALUE"""),"")</f>
        <v/>
      </c>
      <c r="J411" s="219"/>
      <c r="K411" s="219"/>
      <c r="L411" s="124"/>
      <c r="M411" s="124"/>
      <c r="N411" s="124"/>
      <c r="O411" s="124"/>
      <c r="P411" s="124"/>
      <c r="Q411" s="124"/>
      <c r="R411" s="21"/>
      <c r="S411" s="124"/>
      <c r="T411" s="124"/>
      <c r="U411" s="124"/>
      <c r="V411" s="124"/>
      <c r="W411" s="124"/>
      <c r="X411" s="124"/>
    </row>
    <row r="412">
      <c r="A412" s="216"/>
      <c r="B412" s="124"/>
      <c r="C412" s="124"/>
      <c r="D412" s="124"/>
      <c r="E412" s="124"/>
      <c r="F412" s="124"/>
      <c r="G412" s="124"/>
      <c r="H412" s="124"/>
      <c r="I412" s="217" t="str">
        <f>IFERROR(__xludf.DUMMYFUNCTION("""COMPUTED_VALUE"""),"")</f>
        <v/>
      </c>
      <c r="J412" s="219"/>
      <c r="K412" s="219"/>
      <c r="L412" s="124"/>
      <c r="M412" s="124"/>
      <c r="N412" s="124"/>
      <c r="O412" s="124"/>
      <c r="P412" s="124"/>
      <c r="Q412" s="124"/>
      <c r="R412" s="21"/>
      <c r="S412" s="124"/>
      <c r="T412" s="124"/>
      <c r="U412" s="124"/>
      <c r="V412" s="124"/>
      <c r="W412" s="124"/>
      <c r="X412" s="124"/>
    </row>
    <row r="413">
      <c r="A413" s="216"/>
      <c r="B413" s="124"/>
      <c r="C413" s="124"/>
      <c r="D413" s="124"/>
      <c r="E413" s="124"/>
      <c r="F413" s="124"/>
      <c r="G413" s="124"/>
      <c r="H413" s="124"/>
      <c r="I413" s="217" t="str">
        <f>IFERROR(__xludf.DUMMYFUNCTION("""COMPUTED_VALUE"""),"")</f>
        <v/>
      </c>
      <c r="J413" s="219"/>
      <c r="K413" s="219"/>
      <c r="L413" s="124"/>
      <c r="M413" s="124"/>
      <c r="N413" s="124"/>
      <c r="O413" s="124"/>
      <c r="P413" s="124"/>
      <c r="Q413" s="124"/>
      <c r="R413" s="21"/>
      <c r="S413" s="124"/>
      <c r="T413" s="124"/>
      <c r="U413" s="124"/>
      <c r="V413" s="124"/>
      <c r="W413" s="124"/>
      <c r="X413" s="124"/>
    </row>
    <row r="414">
      <c r="A414" s="216"/>
      <c r="B414" s="124"/>
      <c r="C414" s="124"/>
      <c r="D414" s="124"/>
      <c r="E414" s="124"/>
      <c r="F414" s="124"/>
      <c r="G414" s="124"/>
      <c r="H414" s="124"/>
      <c r="I414" s="217" t="str">
        <f>IFERROR(__xludf.DUMMYFUNCTION("""COMPUTED_VALUE"""),"")</f>
        <v/>
      </c>
      <c r="J414" s="219"/>
      <c r="K414" s="219"/>
      <c r="L414" s="124"/>
      <c r="M414" s="124"/>
      <c r="N414" s="124"/>
      <c r="O414" s="124"/>
      <c r="P414" s="124"/>
      <c r="Q414" s="124"/>
      <c r="R414" s="21"/>
      <c r="S414" s="124"/>
      <c r="T414" s="124"/>
      <c r="U414" s="124"/>
      <c r="V414" s="124"/>
      <c r="W414" s="124"/>
      <c r="X414" s="124"/>
    </row>
    <row r="415">
      <c r="A415" s="216"/>
      <c r="B415" s="124"/>
      <c r="C415" s="124"/>
      <c r="D415" s="124"/>
      <c r="E415" s="124"/>
      <c r="F415" s="124"/>
      <c r="G415" s="124"/>
      <c r="H415" s="124"/>
      <c r="I415" s="217" t="str">
        <f>IFERROR(__xludf.DUMMYFUNCTION("""COMPUTED_VALUE"""),"")</f>
        <v/>
      </c>
      <c r="J415" s="219"/>
      <c r="K415" s="219"/>
      <c r="L415" s="124"/>
      <c r="M415" s="124"/>
      <c r="N415" s="124"/>
      <c r="O415" s="124"/>
      <c r="P415" s="124"/>
      <c r="Q415" s="124"/>
      <c r="R415" s="21"/>
      <c r="S415" s="124"/>
      <c r="T415" s="124"/>
      <c r="U415" s="124"/>
      <c r="V415" s="124"/>
      <c r="W415" s="124"/>
      <c r="X415" s="124"/>
    </row>
    <row r="416">
      <c r="A416" s="216"/>
      <c r="B416" s="124"/>
      <c r="C416" s="124"/>
      <c r="D416" s="124"/>
      <c r="E416" s="124"/>
      <c r="F416" s="124"/>
      <c r="G416" s="124"/>
      <c r="H416" s="124"/>
      <c r="I416" s="217" t="str">
        <f>IFERROR(__xludf.DUMMYFUNCTION("""COMPUTED_VALUE"""),"")</f>
        <v/>
      </c>
      <c r="J416" s="219"/>
      <c r="K416" s="219"/>
      <c r="L416" s="124"/>
      <c r="M416" s="124"/>
      <c r="N416" s="124"/>
      <c r="O416" s="124"/>
      <c r="P416" s="124"/>
      <c r="Q416" s="124"/>
      <c r="R416" s="21"/>
      <c r="S416" s="124"/>
      <c r="T416" s="124"/>
      <c r="U416" s="124"/>
      <c r="V416" s="124"/>
      <c r="W416" s="124"/>
      <c r="X416" s="124"/>
    </row>
    <row r="417">
      <c r="A417" s="216"/>
      <c r="B417" s="124"/>
      <c r="C417" s="124"/>
      <c r="D417" s="124"/>
      <c r="E417" s="124"/>
      <c r="F417" s="124"/>
      <c r="G417" s="124"/>
      <c r="H417" s="124"/>
      <c r="I417" s="217" t="str">
        <f>IFERROR(__xludf.DUMMYFUNCTION("""COMPUTED_VALUE"""),"")</f>
        <v/>
      </c>
      <c r="J417" s="219"/>
      <c r="K417" s="219"/>
      <c r="L417" s="124"/>
      <c r="M417" s="124"/>
      <c r="N417" s="124"/>
      <c r="O417" s="124"/>
      <c r="P417" s="124"/>
      <c r="Q417" s="124"/>
      <c r="R417" s="21"/>
      <c r="S417" s="124"/>
      <c r="T417" s="124"/>
      <c r="U417" s="124"/>
      <c r="V417" s="124"/>
      <c r="W417" s="124"/>
      <c r="X417" s="124"/>
    </row>
    <row r="418">
      <c r="A418" s="216"/>
      <c r="B418" s="124"/>
      <c r="C418" s="124"/>
      <c r="D418" s="124"/>
      <c r="E418" s="124"/>
      <c r="F418" s="124"/>
      <c r="G418" s="124"/>
      <c r="H418" s="124"/>
      <c r="I418" s="217" t="str">
        <f>IFERROR(__xludf.DUMMYFUNCTION("""COMPUTED_VALUE"""),"")</f>
        <v/>
      </c>
      <c r="J418" s="219"/>
      <c r="K418" s="219"/>
      <c r="L418" s="124"/>
      <c r="M418" s="124"/>
      <c r="N418" s="124"/>
      <c r="O418" s="124"/>
      <c r="P418" s="124"/>
      <c r="Q418" s="124"/>
      <c r="R418" s="21"/>
      <c r="S418" s="124"/>
      <c r="T418" s="124"/>
      <c r="U418" s="124"/>
      <c r="V418" s="124"/>
      <c r="W418" s="124"/>
      <c r="X418" s="124"/>
    </row>
    <row r="419">
      <c r="A419" s="216"/>
      <c r="B419" s="124"/>
      <c r="C419" s="124"/>
      <c r="D419" s="124"/>
      <c r="E419" s="124"/>
      <c r="F419" s="124"/>
      <c r="G419" s="124"/>
      <c r="H419" s="124"/>
      <c r="I419" s="217" t="str">
        <f>IFERROR(__xludf.DUMMYFUNCTION("""COMPUTED_VALUE"""),"")</f>
        <v/>
      </c>
      <c r="J419" s="219"/>
      <c r="K419" s="219"/>
      <c r="L419" s="124"/>
      <c r="M419" s="124"/>
      <c r="N419" s="124"/>
      <c r="O419" s="124"/>
      <c r="P419" s="124"/>
      <c r="Q419" s="124"/>
      <c r="R419" s="21"/>
      <c r="S419" s="124"/>
      <c r="T419" s="124"/>
      <c r="U419" s="124"/>
      <c r="V419" s="124"/>
      <c r="W419" s="124"/>
      <c r="X419" s="124"/>
    </row>
    <row r="420">
      <c r="A420" s="216"/>
      <c r="B420" s="124"/>
      <c r="C420" s="124"/>
      <c r="D420" s="124"/>
      <c r="E420" s="124"/>
      <c r="F420" s="124"/>
      <c r="G420" s="124"/>
      <c r="H420" s="124"/>
      <c r="I420" s="217" t="str">
        <f>IFERROR(__xludf.DUMMYFUNCTION("""COMPUTED_VALUE"""),"")</f>
        <v/>
      </c>
      <c r="J420" s="219"/>
      <c r="K420" s="219"/>
      <c r="L420" s="124"/>
      <c r="M420" s="124"/>
      <c r="N420" s="124"/>
      <c r="O420" s="124"/>
      <c r="P420" s="124"/>
      <c r="Q420" s="124"/>
      <c r="R420" s="21"/>
      <c r="S420" s="124"/>
      <c r="T420" s="124"/>
      <c r="U420" s="124"/>
      <c r="V420" s="124"/>
      <c r="W420" s="124"/>
      <c r="X420" s="124"/>
    </row>
    <row r="421">
      <c r="A421" s="216"/>
      <c r="B421" s="124"/>
      <c r="C421" s="124"/>
      <c r="D421" s="124"/>
      <c r="E421" s="124"/>
      <c r="F421" s="124"/>
      <c r="G421" s="124"/>
      <c r="H421" s="124"/>
      <c r="I421" s="217" t="str">
        <f>IFERROR(__xludf.DUMMYFUNCTION("""COMPUTED_VALUE"""),"")</f>
        <v/>
      </c>
      <c r="J421" s="219"/>
      <c r="K421" s="219"/>
      <c r="L421" s="124"/>
      <c r="M421" s="124"/>
      <c r="N421" s="124"/>
      <c r="O421" s="124"/>
      <c r="P421" s="124"/>
      <c r="Q421" s="124"/>
      <c r="R421" s="21"/>
      <c r="S421" s="124"/>
      <c r="T421" s="124"/>
      <c r="U421" s="124"/>
      <c r="V421" s="124"/>
      <c r="W421" s="124"/>
      <c r="X421" s="124"/>
    </row>
    <row r="422">
      <c r="A422" s="216"/>
      <c r="B422" s="124"/>
      <c r="C422" s="124"/>
      <c r="D422" s="124"/>
      <c r="E422" s="124"/>
      <c r="F422" s="124"/>
      <c r="G422" s="124"/>
      <c r="H422" s="124"/>
      <c r="I422" s="217" t="str">
        <f>IFERROR(__xludf.DUMMYFUNCTION("""COMPUTED_VALUE"""),"")</f>
        <v/>
      </c>
      <c r="J422" s="219"/>
      <c r="K422" s="219"/>
      <c r="L422" s="124"/>
      <c r="M422" s="124"/>
      <c r="N422" s="124"/>
      <c r="O422" s="124"/>
      <c r="P422" s="124"/>
      <c r="Q422" s="124"/>
      <c r="R422" s="21"/>
      <c r="S422" s="124"/>
      <c r="T422" s="124"/>
      <c r="U422" s="124"/>
      <c r="V422" s="124"/>
      <c r="W422" s="124"/>
      <c r="X422" s="124"/>
    </row>
    <row r="423">
      <c r="A423" s="216"/>
      <c r="B423" s="124"/>
      <c r="C423" s="124"/>
      <c r="D423" s="124"/>
      <c r="E423" s="124"/>
      <c r="F423" s="124"/>
      <c r="G423" s="124"/>
      <c r="H423" s="124"/>
      <c r="I423" s="217" t="str">
        <f>IFERROR(__xludf.DUMMYFUNCTION("""COMPUTED_VALUE"""),"")</f>
        <v/>
      </c>
      <c r="J423" s="219"/>
      <c r="K423" s="219"/>
      <c r="L423" s="124"/>
      <c r="M423" s="124"/>
      <c r="N423" s="124"/>
      <c r="O423" s="124"/>
      <c r="P423" s="124"/>
      <c r="Q423" s="124"/>
      <c r="R423" s="21"/>
      <c r="S423" s="124"/>
      <c r="T423" s="124"/>
      <c r="U423" s="124"/>
      <c r="V423" s="124"/>
      <c r="W423" s="124"/>
      <c r="X423" s="124"/>
    </row>
    <row r="424">
      <c r="A424" s="216"/>
      <c r="B424" s="124"/>
      <c r="C424" s="124"/>
      <c r="D424" s="124"/>
      <c r="E424" s="124"/>
      <c r="F424" s="124"/>
      <c r="G424" s="124"/>
      <c r="H424" s="124"/>
      <c r="I424" s="217" t="str">
        <f>IFERROR(__xludf.DUMMYFUNCTION("""COMPUTED_VALUE"""),"")</f>
        <v/>
      </c>
      <c r="J424" s="219"/>
      <c r="K424" s="219"/>
      <c r="L424" s="124"/>
      <c r="M424" s="124"/>
      <c r="N424" s="124"/>
      <c r="O424" s="124"/>
      <c r="P424" s="124"/>
      <c r="Q424" s="124"/>
      <c r="R424" s="21"/>
      <c r="S424" s="124"/>
      <c r="T424" s="124"/>
      <c r="U424" s="124"/>
      <c r="V424" s="124"/>
      <c r="W424" s="124"/>
      <c r="X424" s="124"/>
    </row>
    <row r="425">
      <c r="A425" s="216"/>
      <c r="B425" s="124"/>
      <c r="C425" s="124"/>
      <c r="D425" s="124"/>
      <c r="E425" s="124"/>
      <c r="F425" s="124"/>
      <c r="G425" s="124"/>
      <c r="H425" s="124"/>
      <c r="I425" s="217" t="str">
        <f>IFERROR(__xludf.DUMMYFUNCTION("""COMPUTED_VALUE"""),"")</f>
        <v/>
      </c>
      <c r="J425" s="219"/>
      <c r="K425" s="219"/>
      <c r="L425" s="124"/>
      <c r="M425" s="124"/>
      <c r="N425" s="124"/>
      <c r="O425" s="124"/>
      <c r="P425" s="124"/>
      <c r="Q425" s="124"/>
      <c r="R425" s="21"/>
      <c r="S425" s="124"/>
      <c r="T425" s="124"/>
      <c r="U425" s="124"/>
      <c r="V425" s="124"/>
      <c r="W425" s="124"/>
      <c r="X425" s="124"/>
    </row>
    <row r="426">
      <c r="A426" s="216"/>
      <c r="B426" s="124"/>
      <c r="C426" s="124"/>
      <c r="D426" s="124"/>
      <c r="E426" s="124"/>
      <c r="F426" s="124"/>
      <c r="G426" s="124"/>
      <c r="H426" s="124"/>
      <c r="I426" s="217" t="str">
        <f>IFERROR(__xludf.DUMMYFUNCTION("""COMPUTED_VALUE"""),"")</f>
        <v/>
      </c>
      <c r="J426" s="219"/>
      <c r="K426" s="219"/>
      <c r="L426" s="124"/>
      <c r="M426" s="124"/>
      <c r="N426" s="124"/>
      <c r="O426" s="124"/>
      <c r="P426" s="124"/>
      <c r="Q426" s="124"/>
      <c r="R426" s="21"/>
      <c r="S426" s="124"/>
      <c r="T426" s="124"/>
      <c r="U426" s="124"/>
      <c r="V426" s="124"/>
      <c r="W426" s="124"/>
      <c r="X426" s="124"/>
    </row>
    <row r="427">
      <c r="A427" s="216"/>
      <c r="B427" s="124"/>
      <c r="C427" s="124"/>
      <c r="D427" s="124"/>
      <c r="E427" s="124"/>
      <c r="F427" s="124"/>
      <c r="G427" s="124"/>
      <c r="H427" s="124"/>
      <c r="I427" s="217" t="str">
        <f>IFERROR(__xludf.DUMMYFUNCTION("""COMPUTED_VALUE"""),"")</f>
        <v/>
      </c>
      <c r="J427" s="219"/>
      <c r="K427" s="219"/>
      <c r="L427" s="124"/>
      <c r="M427" s="124"/>
      <c r="N427" s="124"/>
      <c r="O427" s="124"/>
      <c r="P427" s="124"/>
      <c r="Q427" s="124"/>
      <c r="R427" s="21"/>
      <c r="S427" s="124"/>
      <c r="T427" s="124"/>
      <c r="U427" s="124"/>
      <c r="V427" s="124"/>
      <c r="W427" s="124"/>
      <c r="X427" s="124"/>
    </row>
    <row r="428">
      <c r="A428" s="216"/>
      <c r="B428" s="124"/>
      <c r="C428" s="124"/>
      <c r="D428" s="124"/>
      <c r="E428" s="124"/>
      <c r="F428" s="124"/>
      <c r="G428" s="124"/>
      <c r="H428" s="124"/>
      <c r="I428" s="217" t="str">
        <f>IFERROR(__xludf.DUMMYFUNCTION("""COMPUTED_VALUE"""),"")</f>
        <v/>
      </c>
      <c r="J428" s="219"/>
      <c r="K428" s="219"/>
      <c r="L428" s="124"/>
      <c r="M428" s="124"/>
      <c r="N428" s="124"/>
      <c r="O428" s="124"/>
      <c r="P428" s="124"/>
      <c r="Q428" s="124"/>
      <c r="R428" s="21"/>
      <c r="S428" s="124"/>
      <c r="T428" s="124"/>
      <c r="U428" s="124"/>
      <c r="V428" s="124"/>
      <c r="W428" s="124"/>
      <c r="X428" s="124"/>
    </row>
    <row r="429">
      <c r="A429" s="216"/>
      <c r="B429" s="124"/>
      <c r="C429" s="124"/>
      <c r="D429" s="124"/>
      <c r="E429" s="124"/>
      <c r="F429" s="124"/>
      <c r="G429" s="124"/>
      <c r="H429" s="124"/>
      <c r="I429" s="217" t="str">
        <f>IFERROR(__xludf.DUMMYFUNCTION("""COMPUTED_VALUE"""),"")</f>
        <v/>
      </c>
      <c r="J429" s="219"/>
      <c r="K429" s="219"/>
      <c r="L429" s="124"/>
      <c r="M429" s="124"/>
      <c r="N429" s="124"/>
      <c r="O429" s="124"/>
      <c r="P429" s="124"/>
      <c r="Q429" s="124"/>
      <c r="R429" s="21"/>
      <c r="S429" s="124"/>
      <c r="T429" s="124"/>
      <c r="U429" s="124"/>
      <c r="V429" s="124"/>
      <c r="W429" s="124"/>
      <c r="X429" s="124"/>
    </row>
    <row r="430">
      <c r="A430" s="216"/>
      <c r="B430" s="124"/>
      <c r="C430" s="124"/>
      <c r="D430" s="124"/>
      <c r="E430" s="124"/>
      <c r="F430" s="124"/>
      <c r="G430" s="124"/>
      <c r="H430" s="124"/>
      <c r="I430" s="217" t="str">
        <f>IFERROR(__xludf.DUMMYFUNCTION("""COMPUTED_VALUE"""),"")</f>
        <v/>
      </c>
      <c r="J430" s="219"/>
      <c r="K430" s="219"/>
      <c r="L430" s="124"/>
      <c r="M430" s="124"/>
      <c r="N430" s="124"/>
      <c r="O430" s="124"/>
      <c r="P430" s="124"/>
      <c r="Q430" s="124"/>
      <c r="R430" s="21"/>
      <c r="S430" s="124"/>
      <c r="T430" s="124"/>
      <c r="U430" s="124"/>
      <c r="V430" s="124"/>
      <c r="W430" s="124"/>
      <c r="X430" s="124"/>
    </row>
    <row r="431">
      <c r="A431" s="216"/>
      <c r="B431" s="124"/>
      <c r="C431" s="124"/>
      <c r="D431" s="124"/>
      <c r="E431" s="124"/>
      <c r="F431" s="124"/>
      <c r="G431" s="124"/>
      <c r="H431" s="124"/>
      <c r="I431" s="217" t="str">
        <f>IFERROR(__xludf.DUMMYFUNCTION("""COMPUTED_VALUE"""),"")</f>
        <v/>
      </c>
      <c r="J431" s="219"/>
      <c r="K431" s="219"/>
      <c r="L431" s="124"/>
      <c r="M431" s="124"/>
      <c r="N431" s="124"/>
      <c r="O431" s="124"/>
      <c r="P431" s="124"/>
      <c r="Q431" s="124"/>
      <c r="R431" s="21"/>
      <c r="S431" s="124"/>
      <c r="T431" s="124"/>
      <c r="U431" s="124"/>
      <c r="V431" s="124"/>
      <c r="W431" s="124"/>
      <c r="X431" s="124"/>
    </row>
    <row r="432">
      <c r="A432" s="216"/>
      <c r="B432" s="124"/>
      <c r="C432" s="124"/>
      <c r="D432" s="124"/>
      <c r="E432" s="124"/>
      <c r="F432" s="124"/>
      <c r="G432" s="124"/>
      <c r="H432" s="124"/>
      <c r="I432" s="217" t="str">
        <f>IFERROR(__xludf.DUMMYFUNCTION("""COMPUTED_VALUE"""),"")</f>
        <v/>
      </c>
      <c r="J432" s="219"/>
      <c r="K432" s="219"/>
      <c r="L432" s="124"/>
      <c r="M432" s="124"/>
      <c r="N432" s="124"/>
      <c r="O432" s="124"/>
      <c r="P432" s="124"/>
      <c r="Q432" s="124"/>
      <c r="R432" s="21"/>
      <c r="S432" s="124"/>
      <c r="T432" s="124"/>
      <c r="U432" s="124"/>
      <c r="V432" s="124"/>
      <c r="W432" s="124"/>
      <c r="X432" s="124"/>
    </row>
    <row r="433">
      <c r="A433" s="216"/>
      <c r="B433" s="124"/>
      <c r="C433" s="124"/>
      <c r="D433" s="124"/>
      <c r="E433" s="124"/>
      <c r="F433" s="124"/>
      <c r="G433" s="124"/>
      <c r="H433" s="124"/>
      <c r="I433" s="217" t="str">
        <f>IFERROR(__xludf.DUMMYFUNCTION("""COMPUTED_VALUE"""),"")</f>
        <v/>
      </c>
      <c r="J433" s="219"/>
      <c r="K433" s="219"/>
      <c r="L433" s="124"/>
      <c r="M433" s="124"/>
      <c r="N433" s="124"/>
      <c r="O433" s="124"/>
      <c r="P433" s="124"/>
      <c r="Q433" s="124"/>
      <c r="R433" s="21"/>
      <c r="S433" s="124"/>
      <c r="T433" s="124"/>
      <c r="U433" s="124"/>
      <c r="V433" s="124"/>
      <c r="W433" s="124"/>
      <c r="X433" s="124"/>
    </row>
    <row r="434">
      <c r="A434" s="216"/>
      <c r="B434" s="124"/>
      <c r="C434" s="124"/>
      <c r="D434" s="124"/>
      <c r="E434" s="124"/>
      <c r="F434" s="124"/>
      <c r="G434" s="124"/>
      <c r="H434" s="124"/>
      <c r="I434" s="217" t="str">
        <f>IFERROR(__xludf.DUMMYFUNCTION("""COMPUTED_VALUE"""),"")</f>
        <v/>
      </c>
      <c r="J434" s="219"/>
      <c r="K434" s="219"/>
      <c r="L434" s="124"/>
      <c r="M434" s="124"/>
      <c r="N434" s="124"/>
      <c r="O434" s="124"/>
      <c r="P434" s="124"/>
      <c r="Q434" s="124"/>
      <c r="R434" s="21"/>
      <c r="S434" s="124"/>
      <c r="T434" s="124"/>
      <c r="U434" s="124"/>
      <c r="V434" s="124"/>
      <c r="W434" s="124"/>
      <c r="X434" s="124"/>
    </row>
    <row r="435">
      <c r="A435" s="216"/>
      <c r="B435" s="124"/>
      <c r="C435" s="124"/>
      <c r="D435" s="124"/>
      <c r="E435" s="124"/>
      <c r="F435" s="124"/>
      <c r="G435" s="124"/>
      <c r="H435" s="124"/>
      <c r="I435" s="217" t="str">
        <f>IFERROR(__xludf.DUMMYFUNCTION("""COMPUTED_VALUE"""),"")</f>
        <v/>
      </c>
      <c r="J435" s="219"/>
      <c r="K435" s="219"/>
      <c r="L435" s="124"/>
      <c r="M435" s="124"/>
      <c r="N435" s="124"/>
      <c r="O435" s="124"/>
      <c r="P435" s="124"/>
      <c r="Q435" s="124"/>
      <c r="R435" s="21"/>
      <c r="S435" s="124"/>
      <c r="T435" s="124"/>
      <c r="U435" s="124"/>
      <c r="V435" s="124"/>
      <c r="W435" s="124"/>
      <c r="X435" s="124"/>
    </row>
    <row r="436">
      <c r="A436" s="216"/>
      <c r="B436" s="124"/>
      <c r="C436" s="124"/>
      <c r="D436" s="124"/>
      <c r="E436" s="124"/>
      <c r="F436" s="124"/>
      <c r="G436" s="124"/>
      <c r="H436" s="124"/>
      <c r="I436" s="217" t="str">
        <f>IFERROR(__xludf.DUMMYFUNCTION("""COMPUTED_VALUE"""),"")</f>
        <v/>
      </c>
      <c r="J436" s="219"/>
      <c r="K436" s="219"/>
      <c r="L436" s="124"/>
      <c r="M436" s="124"/>
      <c r="N436" s="124"/>
      <c r="O436" s="124"/>
      <c r="P436" s="124"/>
      <c r="Q436" s="124"/>
      <c r="R436" s="21"/>
      <c r="S436" s="124"/>
      <c r="T436" s="124"/>
      <c r="U436" s="124"/>
      <c r="V436" s="124"/>
      <c r="W436" s="124"/>
      <c r="X436" s="124"/>
    </row>
    <row r="437">
      <c r="A437" s="216"/>
      <c r="B437" s="124"/>
      <c r="C437" s="124"/>
      <c r="D437" s="124"/>
      <c r="E437" s="124"/>
      <c r="F437" s="124"/>
      <c r="G437" s="124"/>
      <c r="H437" s="124"/>
      <c r="I437" s="217" t="str">
        <f>IFERROR(__xludf.DUMMYFUNCTION("""COMPUTED_VALUE"""),"")</f>
        <v/>
      </c>
      <c r="J437" s="219"/>
      <c r="K437" s="219"/>
      <c r="L437" s="124"/>
      <c r="M437" s="124"/>
      <c r="N437" s="124"/>
      <c r="O437" s="124"/>
      <c r="P437" s="124"/>
      <c r="Q437" s="124"/>
      <c r="R437" s="21"/>
      <c r="S437" s="124"/>
      <c r="T437" s="124"/>
      <c r="U437" s="124"/>
      <c r="V437" s="124"/>
      <c r="W437" s="124"/>
      <c r="X437" s="124"/>
    </row>
    <row r="438">
      <c r="A438" s="216"/>
      <c r="B438" s="124"/>
      <c r="C438" s="124"/>
      <c r="D438" s="124"/>
      <c r="E438" s="124"/>
      <c r="F438" s="124"/>
      <c r="G438" s="124"/>
      <c r="H438" s="124"/>
      <c r="I438" s="217" t="str">
        <f>IFERROR(__xludf.DUMMYFUNCTION("""COMPUTED_VALUE"""),"")</f>
        <v/>
      </c>
      <c r="J438" s="219"/>
      <c r="K438" s="219"/>
      <c r="L438" s="124"/>
      <c r="M438" s="124"/>
      <c r="N438" s="124"/>
      <c r="O438" s="124"/>
      <c r="P438" s="124"/>
      <c r="Q438" s="124"/>
      <c r="R438" s="21"/>
      <c r="S438" s="124"/>
      <c r="T438" s="124"/>
      <c r="U438" s="124"/>
      <c r="V438" s="124"/>
      <c r="W438" s="124"/>
      <c r="X438" s="124"/>
    </row>
    <row r="439">
      <c r="A439" s="216"/>
      <c r="B439" s="124"/>
      <c r="C439" s="124"/>
      <c r="D439" s="124"/>
      <c r="E439" s="124"/>
      <c r="F439" s="124"/>
      <c r="G439" s="124"/>
      <c r="H439" s="124"/>
      <c r="I439" s="217" t="str">
        <f>IFERROR(__xludf.DUMMYFUNCTION("""COMPUTED_VALUE"""),"")</f>
        <v/>
      </c>
      <c r="J439" s="219"/>
      <c r="K439" s="219"/>
      <c r="L439" s="124"/>
      <c r="M439" s="124"/>
      <c r="N439" s="124"/>
      <c r="O439" s="124"/>
      <c r="P439" s="124"/>
      <c r="Q439" s="124"/>
      <c r="R439" s="21"/>
      <c r="S439" s="124"/>
      <c r="T439" s="124"/>
      <c r="U439" s="124"/>
      <c r="V439" s="124"/>
      <c r="W439" s="124"/>
      <c r="X439" s="124"/>
    </row>
    <row r="440">
      <c r="A440" s="216"/>
      <c r="B440" s="124"/>
      <c r="C440" s="124"/>
      <c r="D440" s="124"/>
      <c r="E440" s="124"/>
      <c r="F440" s="124"/>
      <c r="G440" s="124"/>
      <c r="H440" s="124"/>
      <c r="I440" s="217" t="str">
        <f>IFERROR(__xludf.DUMMYFUNCTION("""COMPUTED_VALUE"""),"")</f>
        <v/>
      </c>
      <c r="J440" s="219"/>
      <c r="K440" s="219"/>
      <c r="L440" s="124"/>
      <c r="M440" s="124"/>
      <c r="N440" s="124"/>
      <c r="O440" s="124"/>
      <c r="P440" s="124"/>
      <c r="Q440" s="124"/>
      <c r="R440" s="21"/>
      <c r="S440" s="124"/>
      <c r="T440" s="124"/>
      <c r="U440" s="124"/>
      <c r="V440" s="124"/>
      <c r="W440" s="124"/>
      <c r="X440" s="124"/>
    </row>
    <row r="441">
      <c r="A441" s="216"/>
      <c r="B441" s="124"/>
      <c r="C441" s="124"/>
      <c r="D441" s="124"/>
      <c r="E441" s="124"/>
      <c r="F441" s="124"/>
      <c r="G441" s="124"/>
      <c r="H441" s="124"/>
      <c r="I441" s="217" t="str">
        <f>IFERROR(__xludf.DUMMYFUNCTION("""COMPUTED_VALUE"""),"")</f>
        <v/>
      </c>
      <c r="J441" s="219"/>
      <c r="K441" s="219"/>
      <c r="L441" s="124"/>
      <c r="M441" s="124"/>
      <c r="N441" s="124"/>
      <c r="O441" s="124"/>
      <c r="P441" s="124"/>
      <c r="Q441" s="124"/>
      <c r="R441" s="21"/>
      <c r="S441" s="124"/>
      <c r="T441" s="124"/>
      <c r="U441" s="124"/>
      <c r="V441" s="124"/>
      <c r="W441" s="124"/>
      <c r="X441" s="124"/>
    </row>
    <row r="442">
      <c r="A442" s="216"/>
      <c r="B442" s="124"/>
      <c r="C442" s="124"/>
      <c r="D442" s="124"/>
      <c r="E442" s="124"/>
      <c r="F442" s="124"/>
      <c r="G442" s="124"/>
      <c r="H442" s="124"/>
      <c r="I442" s="217" t="str">
        <f>IFERROR(__xludf.DUMMYFUNCTION("""COMPUTED_VALUE"""),"")</f>
        <v/>
      </c>
      <c r="J442" s="219"/>
      <c r="K442" s="219"/>
      <c r="L442" s="124"/>
      <c r="M442" s="124"/>
      <c r="N442" s="124"/>
      <c r="O442" s="124"/>
      <c r="P442" s="124"/>
      <c r="Q442" s="124"/>
      <c r="R442" s="21"/>
      <c r="S442" s="124"/>
      <c r="T442" s="124"/>
      <c r="U442" s="124"/>
      <c r="V442" s="124"/>
      <c r="W442" s="124"/>
      <c r="X442" s="124"/>
    </row>
    <row r="443">
      <c r="A443" s="216"/>
      <c r="B443" s="124"/>
      <c r="C443" s="124"/>
      <c r="D443" s="124"/>
      <c r="E443" s="124"/>
      <c r="F443" s="124"/>
      <c r="G443" s="124"/>
      <c r="H443" s="124"/>
      <c r="I443" s="217" t="str">
        <f>IFERROR(__xludf.DUMMYFUNCTION("""COMPUTED_VALUE"""),"")</f>
        <v/>
      </c>
      <c r="J443" s="219"/>
      <c r="K443" s="219"/>
      <c r="L443" s="124"/>
      <c r="M443" s="124"/>
      <c r="N443" s="124"/>
      <c r="O443" s="124"/>
      <c r="P443" s="124"/>
      <c r="Q443" s="124"/>
      <c r="R443" s="21"/>
      <c r="S443" s="124"/>
      <c r="T443" s="124"/>
      <c r="U443" s="124"/>
      <c r="V443" s="124"/>
      <c r="W443" s="124"/>
      <c r="X443" s="124"/>
    </row>
    <row r="444">
      <c r="A444" s="216"/>
      <c r="B444" s="124"/>
      <c r="C444" s="124"/>
      <c r="D444" s="124"/>
      <c r="E444" s="124"/>
      <c r="F444" s="124"/>
      <c r="G444" s="124"/>
      <c r="H444" s="124"/>
      <c r="I444" s="217" t="str">
        <f>IFERROR(__xludf.DUMMYFUNCTION("""COMPUTED_VALUE"""),"")</f>
        <v/>
      </c>
      <c r="J444" s="219"/>
      <c r="K444" s="219"/>
      <c r="L444" s="124"/>
      <c r="M444" s="124"/>
      <c r="N444" s="124"/>
      <c r="O444" s="124"/>
      <c r="P444" s="124"/>
      <c r="Q444" s="124"/>
      <c r="R444" s="21"/>
      <c r="S444" s="124"/>
      <c r="T444" s="124"/>
      <c r="U444" s="124"/>
      <c r="V444" s="124"/>
      <c r="W444" s="124"/>
      <c r="X444" s="124"/>
    </row>
    <row r="445">
      <c r="A445" s="216"/>
      <c r="B445" s="124"/>
      <c r="C445" s="124"/>
      <c r="D445" s="124"/>
      <c r="E445" s="124"/>
      <c r="F445" s="124"/>
      <c r="G445" s="124"/>
      <c r="H445" s="124"/>
      <c r="I445" s="217" t="str">
        <f>IFERROR(__xludf.DUMMYFUNCTION("""COMPUTED_VALUE"""),"")</f>
        <v/>
      </c>
      <c r="J445" s="219"/>
      <c r="K445" s="219"/>
      <c r="L445" s="124"/>
      <c r="M445" s="124"/>
      <c r="N445" s="124"/>
      <c r="O445" s="124"/>
      <c r="P445" s="124"/>
      <c r="Q445" s="124"/>
      <c r="R445" s="21"/>
      <c r="S445" s="124"/>
      <c r="T445" s="124"/>
      <c r="U445" s="124"/>
      <c r="V445" s="124"/>
      <c r="W445" s="124"/>
      <c r="X445" s="124"/>
    </row>
    <row r="446">
      <c r="A446" s="216"/>
      <c r="B446" s="124"/>
      <c r="C446" s="124"/>
      <c r="D446" s="124"/>
      <c r="E446" s="124"/>
      <c r="F446" s="124"/>
      <c r="G446" s="124"/>
      <c r="H446" s="124"/>
      <c r="I446" s="217" t="str">
        <f>IFERROR(__xludf.DUMMYFUNCTION("""COMPUTED_VALUE"""),"")</f>
        <v/>
      </c>
      <c r="J446" s="219"/>
      <c r="K446" s="219"/>
      <c r="L446" s="124"/>
      <c r="M446" s="124"/>
      <c r="N446" s="124"/>
      <c r="O446" s="124"/>
      <c r="P446" s="124"/>
      <c r="Q446" s="124"/>
      <c r="R446" s="21"/>
      <c r="S446" s="124"/>
      <c r="T446" s="124"/>
      <c r="U446" s="124"/>
      <c r="V446" s="124"/>
      <c r="W446" s="124"/>
      <c r="X446" s="124"/>
    </row>
    <row r="447">
      <c r="A447" s="216"/>
      <c r="B447" s="124"/>
      <c r="C447" s="124"/>
      <c r="D447" s="124"/>
      <c r="E447" s="124"/>
      <c r="F447" s="124"/>
      <c r="G447" s="124"/>
      <c r="H447" s="124"/>
      <c r="I447" s="217" t="str">
        <f>IFERROR(__xludf.DUMMYFUNCTION("""COMPUTED_VALUE"""),"")</f>
        <v/>
      </c>
      <c r="J447" s="219"/>
      <c r="K447" s="219"/>
      <c r="L447" s="124"/>
      <c r="M447" s="124"/>
      <c r="N447" s="124"/>
      <c r="O447" s="124"/>
      <c r="P447" s="124"/>
      <c r="Q447" s="124"/>
      <c r="R447" s="21"/>
      <c r="S447" s="124"/>
      <c r="T447" s="124"/>
      <c r="U447" s="124"/>
      <c r="V447" s="124"/>
      <c r="W447" s="124"/>
      <c r="X447" s="124"/>
    </row>
    <row r="448">
      <c r="A448" s="216"/>
      <c r="B448" s="124"/>
      <c r="C448" s="124"/>
      <c r="D448" s="124"/>
      <c r="E448" s="124"/>
      <c r="F448" s="124"/>
      <c r="G448" s="124"/>
      <c r="H448" s="124"/>
      <c r="I448" s="217" t="str">
        <f>IFERROR(__xludf.DUMMYFUNCTION("""COMPUTED_VALUE"""),"")</f>
        <v/>
      </c>
      <c r="J448" s="219"/>
      <c r="K448" s="219"/>
      <c r="L448" s="124"/>
      <c r="M448" s="124"/>
      <c r="N448" s="124"/>
      <c r="O448" s="124"/>
      <c r="P448" s="124"/>
      <c r="Q448" s="124"/>
      <c r="R448" s="21"/>
      <c r="S448" s="124"/>
      <c r="T448" s="124"/>
      <c r="U448" s="124"/>
      <c r="V448" s="124"/>
      <c r="W448" s="124"/>
      <c r="X448" s="124"/>
    </row>
    <row r="449">
      <c r="A449" s="216"/>
      <c r="B449" s="124"/>
      <c r="C449" s="124"/>
      <c r="D449" s="124"/>
      <c r="E449" s="124"/>
      <c r="F449" s="124"/>
      <c r="G449" s="124"/>
      <c r="H449" s="124"/>
      <c r="I449" s="217" t="str">
        <f>IFERROR(__xludf.DUMMYFUNCTION("""COMPUTED_VALUE"""),"")</f>
        <v/>
      </c>
      <c r="J449" s="219"/>
      <c r="K449" s="219"/>
      <c r="L449" s="124"/>
      <c r="M449" s="124"/>
      <c r="N449" s="124"/>
      <c r="O449" s="124"/>
      <c r="P449" s="124"/>
      <c r="Q449" s="124"/>
      <c r="R449" s="21"/>
      <c r="S449" s="124"/>
      <c r="T449" s="124"/>
      <c r="U449" s="124"/>
      <c r="V449" s="124"/>
      <c r="W449" s="124"/>
      <c r="X449" s="124"/>
    </row>
    <row r="450">
      <c r="A450" s="216"/>
      <c r="B450" s="124"/>
      <c r="C450" s="124"/>
      <c r="D450" s="124"/>
      <c r="E450" s="124"/>
      <c r="F450" s="124"/>
      <c r="G450" s="124"/>
      <c r="H450" s="124"/>
      <c r="I450" s="217" t="str">
        <f>IFERROR(__xludf.DUMMYFUNCTION("""COMPUTED_VALUE"""),"")</f>
        <v/>
      </c>
      <c r="J450" s="219"/>
      <c r="K450" s="219"/>
      <c r="L450" s="124"/>
      <c r="M450" s="124"/>
      <c r="N450" s="124"/>
      <c r="O450" s="124"/>
      <c r="P450" s="124"/>
      <c r="Q450" s="124"/>
      <c r="R450" s="21"/>
      <c r="S450" s="124"/>
      <c r="T450" s="124"/>
      <c r="U450" s="124"/>
      <c r="V450" s="124"/>
      <c r="W450" s="124"/>
      <c r="X450" s="124"/>
    </row>
    <row r="451">
      <c r="A451" s="216"/>
      <c r="B451" s="124"/>
      <c r="C451" s="124"/>
      <c r="D451" s="124"/>
      <c r="E451" s="124"/>
      <c r="F451" s="124"/>
      <c r="G451" s="124"/>
      <c r="H451" s="124"/>
      <c r="I451" s="217" t="str">
        <f>IFERROR(__xludf.DUMMYFUNCTION("""COMPUTED_VALUE"""),"")</f>
        <v/>
      </c>
      <c r="J451" s="219"/>
      <c r="K451" s="219"/>
      <c r="L451" s="124"/>
      <c r="M451" s="124"/>
      <c r="N451" s="124"/>
      <c r="O451" s="124"/>
      <c r="P451" s="124"/>
      <c r="Q451" s="124"/>
      <c r="R451" s="21"/>
      <c r="S451" s="124"/>
      <c r="T451" s="124"/>
      <c r="U451" s="124"/>
      <c r="V451" s="124"/>
      <c r="W451" s="124"/>
      <c r="X451" s="124"/>
    </row>
    <row r="452">
      <c r="A452" s="216"/>
      <c r="B452" s="124"/>
      <c r="C452" s="124"/>
      <c r="D452" s="124"/>
      <c r="E452" s="124"/>
      <c r="F452" s="124"/>
      <c r="G452" s="124"/>
      <c r="H452" s="124"/>
      <c r="I452" s="217" t="str">
        <f>IFERROR(__xludf.DUMMYFUNCTION("""COMPUTED_VALUE"""),"")</f>
        <v/>
      </c>
      <c r="J452" s="219"/>
      <c r="K452" s="219"/>
      <c r="L452" s="124"/>
      <c r="M452" s="124"/>
      <c r="N452" s="124"/>
      <c r="O452" s="124"/>
      <c r="P452" s="124"/>
      <c r="Q452" s="124"/>
      <c r="R452" s="21"/>
      <c r="S452" s="124"/>
      <c r="T452" s="124"/>
      <c r="U452" s="124"/>
      <c r="V452" s="124"/>
      <c r="W452" s="124"/>
      <c r="X452" s="124"/>
    </row>
    <row r="453">
      <c r="A453" s="216"/>
      <c r="B453" s="124"/>
      <c r="C453" s="124"/>
      <c r="D453" s="124"/>
      <c r="E453" s="124"/>
      <c r="F453" s="124"/>
      <c r="G453" s="124"/>
      <c r="H453" s="124"/>
      <c r="I453" s="217" t="str">
        <f>IFERROR(__xludf.DUMMYFUNCTION("""COMPUTED_VALUE"""),"")</f>
        <v/>
      </c>
      <c r="J453" s="219"/>
      <c r="K453" s="219"/>
      <c r="L453" s="124"/>
      <c r="M453" s="124"/>
      <c r="N453" s="124"/>
      <c r="O453" s="124"/>
      <c r="P453" s="124"/>
      <c r="Q453" s="124"/>
      <c r="R453" s="21"/>
      <c r="S453" s="124"/>
      <c r="T453" s="124"/>
      <c r="U453" s="124"/>
      <c r="V453" s="124"/>
      <c r="W453" s="124"/>
      <c r="X453" s="124"/>
    </row>
    <row r="454">
      <c r="A454" s="216"/>
      <c r="B454" s="124"/>
      <c r="C454" s="124"/>
      <c r="D454" s="124"/>
      <c r="E454" s="124"/>
      <c r="F454" s="124"/>
      <c r="G454" s="124"/>
      <c r="H454" s="124"/>
      <c r="I454" s="217" t="str">
        <f>IFERROR(__xludf.DUMMYFUNCTION("""COMPUTED_VALUE"""),"")</f>
        <v/>
      </c>
      <c r="J454" s="219"/>
      <c r="K454" s="219"/>
      <c r="L454" s="124"/>
      <c r="M454" s="124"/>
      <c r="N454" s="124"/>
      <c r="O454" s="124"/>
      <c r="P454" s="124"/>
      <c r="Q454" s="124"/>
      <c r="R454" s="21"/>
      <c r="S454" s="124"/>
      <c r="T454" s="124"/>
      <c r="U454" s="124"/>
      <c r="V454" s="124"/>
      <c r="W454" s="124"/>
      <c r="X454" s="124"/>
    </row>
    <row r="455">
      <c r="A455" s="216"/>
      <c r="B455" s="124"/>
      <c r="C455" s="124"/>
      <c r="D455" s="124"/>
      <c r="E455" s="124"/>
      <c r="F455" s="124"/>
      <c r="G455" s="124"/>
      <c r="H455" s="124"/>
      <c r="I455" s="217" t="str">
        <f>IFERROR(__xludf.DUMMYFUNCTION("""COMPUTED_VALUE"""),"")</f>
        <v/>
      </c>
      <c r="J455" s="219"/>
      <c r="K455" s="219"/>
      <c r="L455" s="124"/>
      <c r="M455" s="124"/>
      <c r="N455" s="124"/>
      <c r="O455" s="124"/>
      <c r="P455" s="124"/>
      <c r="Q455" s="124"/>
      <c r="R455" s="21"/>
      <c r="S455" s="124"/>
      <c r="T455" s="124"/>
      <c r="U455" s="124"/>
      <c r="V455" s="124"/>
      <c r="W455" s="124"/>
      <c r="X455" s="124"/>
    </row>
    <row r="456">
      <c r="A456" s="216"/>
      <c r="B456" s="124"/>
      <c r="C456" s="124"/>
      <c r="D456" s="124"/>
      <c r="E456" s="124"/>
      <c r="F456" s="124"/>
      <c r="G456" s="124"/>
      <c r="H456" s="124"/>
      <c r="I456" s="217" t="str">
        <f>IFERROR(__xludf.DUMMYFUNCTION("""COMPUTED_VALUE"""),"")</f>
        <v/>
      </c>
      <c r="J456" s="219"/>
      <c r="K456" s="219"/>
      <c r="L456" s="124"/>
      <c r="M456" s="124"/>
      <c r="N456" s="124"/>
      <c r="O456" s="124"/>
      <c r="P456" s="124"/>
      <c r="Q456" s="124"/>
      <c r="R456" s="21"/>
      <c r="S456" s="124"/>
      <c r="T456" s="124"/>
      <c r="U456" s="124"/>
      <c r="V456" s="124"/>
      <c r="W456" s="124"/>
      <c r="X456" s="124"/>
    </row>
    <row r="457">
      <c r="A457" s="216"/>
      <c r="B457" s="124"/>
      <c r="C457" s="124"/>
      <c r="D457" s="124"/>
      <c r="E457" s="124"/>
      <c r="F457" s="124"/>
      <c r="G457" s="124"/>
      <c r="H457" s="124"/>
      <c r="I457" s="217" t="str">
        <f>IFERROR(__xludf.DUMMYFUNCTION("""COMPUTED_VALUE"""),"")</f>
        <v/>
      </c>
      <c r="J457" s="219"/>
      <c r="K457" s="219"/>
      <c r="L457" s="124"/>
      <c r="M457" s="124"/>
      <c r="N457" s="124"/>
      <c r="O457" s="124"/>
      <c r="P457" s="124"/>
      <c r="Q457" s="124"/>
      <c r="R457" s="21"/>
      <c r="S457" s="124"/>
      <c r="T457" s="124"/>
      <c r="U457" s="124"/>
      <c r="V457" s="124"/>
      <c r="W457" s="124"/>
      <c r="X457" s="124"/>
    </row>
    <row r="458">
      <c r="A458" s="216"/>
      <c r="B458" s="124"/>
      <c r="C458" s="124"/>
      <c r="D458" s="124"/>
      <c r="E458" s="124"/>
      <c r="F458" s="124"/>
      <c r="G458" s="124"/>
      <c r="H458" s="124"/>
      <c r="I458" s="217" t="str">
        <f>IFERROR(__xludf.DUMMYFUNCTION("""COMPUTED_VALUE"""),"")</f>
        <v/>
      </c>
      <c r="J458" s="219"/>
      <c r="K458" s="219"/>
      <c r="L458" s="124"/>
      <c r="M458" s="124"/>
      <c r="N458" s="124"/>
      <c r="O458" s="124"/>
      <c r="P458" s="124"/>
      <c r="Q458" s="124"/>
      <c r="R458" s="21"/>
      <c r="S458" s="124"/>
      <c r="T458" s="124"/>
      <c r="U458" s="124"/>
      <c r="V458" s="124"/>
      <c r="W458" s="124"/>
      <c r="X458" s="124"/>
    </row>
    <row r="459">
      <c r="A459" s="216"/>
      <c r="B459" s="124"/>
      <c r="C459" s="124"/>
      <c r="D459" s="124"/>
      <c r="E459" s="124"/>
      <c r="F459" s="124"/>
      <c r="G459" s="124"/>
      <c r="H459" s="124"/>
      <c r="I459" s="217" t="str">
        <f>IFERROR(__xludf.DUMMYFUNCTION("""COMPUTED_VALUE"""),"")</f>
        <v/>
      </c>
      <c r="J459" s="219"/>
      <c r="K459" s="219"/>
      <c r="L459" s="124"/>
      <c r="M459" s="124"/>
      <c r="N459" s="124"/>
      <c r="O459" s="124"/>
      <c r="P459" s="124"/>
      <c r="Q459" s="124"/>
      <c r="R459" s="21"/>
      <c r="S459" s="124"/>
      <c r="T459" s="124"/>
      <c r="U459" s="124"/>
      <c r="V459" s="124"/>
      <c r="W459" s="124"/>
      <c r="X459" s="124"/>
    </row>
    <row r="460">
      <c r="A460" s="216"/>
      <c r="B460" s="124"/>
      <c r="C460" s="124"/>
      <c r="D460" s="124"/>
      <c r="E460" s="124"/>
      <c r="F460" s="124"/>
      <c r="G460" s="124"/>
      <c r="H460" s="124"/>
      <c r="I460" s="217" t="str">
        <f>IFERROR(__xludf.DUMMYFUNCTION("""COMPUTED_VALUE"""),"")</f>
        <v/>
      </c>
      <c r="J460" s="219"/>
      <c r="K460" s="219"/>
      <c r="L460" s="124"/>
      <c r="M460" s="124"/>
      <c r="N460" s="124"/>
      <c r="O460" s="124"/>
      <c r="P460" s="124"/>
      <c r="Q460" s="124"/>
      <c r="R460" s="21"/>
      <c r="S460" s="124"/>
      <c r="T460" s="124"/>
      <c r="U460" s="124"/>
      <c r="V460" s="124"/>
      <c r="W460" s="124"/>
      <c r="X460" s="124"/>
    </row>
    <row r="461">
      <c r="A461" s="216"/>
      <c r="B461" s="124"/>
      <c r="C461" s="124"/>
      <c r="D461" s="124"/>
      <c r="E461" s="124"/>
      <c r="F461" s="124"/>
      <c r="G461" s="124"/>
      <c r="H461" s="124"/>
      <c r="I461" s="217" t="str">
        <f>IFERROR(__xludf.DUMMYFUNCTION("""COMPUTED_VALUE"""),"")</f>
        <v/>
      </c>
      <c r="J461" s="219"/>
      <c r="K461" s="219"/>
      <c r="L461" s="124"/>
      <c r="M461" s="124"/>
      <c r="N461" s="124"/>
      <c r="O461" s="124"/>
      <c r="P461" s="124"/>
      <c r="Q461" s="124"/>
      <c r="R461" s="21"/>
      <c r="S461" s="124"/>
      <c r="T461" s="124"/>
      <c r="U461" s="124"/>
      <c r="V461" s="124"/>
      <c r="W461" s="124"/>
      <c r="X461" s="124"/>
    </row>
    <row r="462">
      <c r="A462" s="216"/>
      <c r="B462" s="124"/>
      <c r="C462" s="124"/>
      <c r="D462" s="124"/>
      <c r="E462" s="124"/>
      <c r="F462" s="124"/>
      <c r="G462" s="124"/>
      <c r="H462" s="124"/>
      <c r="I462" s="217" t="str">
        <f>IFERROR(__xludf.DUMMYFUNCTION("""COMPUTED_VALUE"""),"")</f>
        <v/>
      </c>
      <c r="J462" s="219"/>
      <c r="K462" s="219"/>
      <c r="L462" s="124"/>
      <c r="M462" s="124"/>
      <c r="N462" s="124"/>
      <c r="O462" s="124"/>
      <c r="P462" s="124"/>
      <c r="Q462" s="124"/>
      <c r="R462" s="21"/>
      <c r="S462" s="124"/>
      <c r="T462" s="124"/>
      <c r="U462" s="124"/>
      <c r="V462" s="124"/>
      <c r="W462" s="124"/>
      <c r="X462" s="124"/>
    </row>
    <row r="463">
      <c r="A463" s="216"/>
      <c r="B463" s="124"/>
      <c r="C463" s="124"/>
      <c r="D463" s="124"/>
      <c r="E463" s="124"/>
      <c r="F463" s="124"/>
      <c r="G463" s="124"/>
      <c r="H463" s="124"/>
      <c r="I463" s="217" t="str">
        <f>IFERROR(__xludf.DUMMYFUNCTION("""COMPUTED_VALUE"""),"")</f>
        <v/>
      </c>
      <c r="J463" s="219"/>
      <c r="K463" s="219"/>
      <c r="L463" s="124"/>
      <c r="M463" s="124"/>
      <c r="N463" s="124"/>
      <c r="O463" s="124"/>
      <c r="P463" s="124"/>
      <c r="Q463" s="124"/>
      <c r="R463" s="21"/>
      <c r="S463" s="124"/>
      <c r="T463" s="124"/>
      <c r="U463" s="124"/>
      <c r="V463" s="124"/>
      <c r="W463" s="124"/>
      <c r="X463" s="124"/>
    </row>
    <row r="464">
      <c r="A464" s="216"/>
      <c r="B464" s="124"/>
      <c r="C464" s="124"/>
      <c r="D464" s="124"/>
      <c r="E464" s="124"/>
      <c r="F464" s="124"/>
      <c r="G464" s="124"/>
      <c r="H464" s="124"/>
      <c r="I464" s="217" t="str">
        <f>IFERROR(__xludf.DUMMYFUNCTION("""COMPUTED_VALUE"""),"")</f>
        <v/>
      </c>
      <c r="J464" s="219"/>
      <c r="K464" s="219"/>
      <c r="L464" s="124"/>
      <c r="M464" s="124"/>
      <c r="N464" s="124"/>
      <c r="O464" s="124"/>
      <c r="P464" s="124"/>
      <c r="Q464" s="124"/>
      <c r="R464" s="21"/>
      <c r="S464" s="124"/>
      <c r="T464" s="124"/>
      <c r="U464" s="124"/>
      <c r="V464" s="124"/>
      <c r="W464" s="124"/>
      <c r="X464" s="124"/>
    </row>
    <row r="465">
      <c r="A465" s="216"/>
      <c r="B465" s="124"/>
      <c r="C465" s="124"/>
      <c r="D465" s="124"/>
      <c r="E465" s="124"/>
      <c r="F465" s="124"/>
      <c r="G465" s="124"/>
      <c r="H465" s="124"/>
      <c r="I465" s="217" t="str">
        <f>IFERROR(__xludf.DUMMYFUNCTION("""COMPUTED_VALUE"""),"")</f>
        <v/>
      </c>
      <c r="J465" s="219"/>
      <c r="K465" s="219"/>
      <c r="L465" s="124"/>
      <c r="M465" s="124"/>
      <c r="N465" s="124"/>
      <c r="O465" s="124"/>
      <c r="P465" s="124"/>
      <c r="Q465" s="124"/>
      <c r="R465" s="21"/>
      <c r="S465" s="124"/>
      <c r="T465" s="124"/>
      <c r="U465" s="124"/>
      <c r="V465" s="124"/>
      <c r="W465" s="124"/>
      <c r="X465" s="124"/>
    </row>
    <row r="466">
      <c r="A466" s="216"/>
      <c r="B466" s="124"/>
      <c r="C466" s="124"/>
      <c r="D466" s="124"/>
      <c r="E466" s="124"/>
      <c r="F466" s="124"/>
      <c r="G466" s="124"/>
      <c r="H466" s="124"/>
      <c r="I466" s="217" t="str">
        <f>IFERROR(__xludf.DUMMYFUNCTION("""COMPUTED_VALUE"""),"")</f>
        <v/>
      </c>
      <c r="J466" s="219"/>
      <c r="K466" s="219"/>
      <c r="L466" s="124"/>
      <c r="M466" s="124"/>
      <c r="N466" s="124"/>
      <c r="O466" s="124"/>
      <c r="P466" s="124"/>
      <c r="Q466" s="124"/>
      <c r="R466" s="21"/>
      <c r="S466" s="124"/>
      <c r="T466" s="124"/>
      <c r="U466" s="124"/>
      <c r="V466" s="124"/>
      <c r="W466" s="124"/>
      <c r="X466" s="124"/>
    </row>
    <row r="467">
      <c r="A467" s="216"/>
      <c r="B467" s="124"/>
      <c r="C467" s="124"/>
      <c r="D467" s="124"/>
      <c r="E467" s="124"/>
      <c r="F467" s="124"/>
      <c r="G467" s="124"/>
      <c r="H467" s="124"/>
      <c r="I467" s="217" t="str">
        <f>IFERROR(__xludf.DUMMYFUNCTION("""COMPUTED_VALUE"""),"")</f>
        <v/>
      </c>
      <c r="J467" s="219"/>
      <c r="K467" s="219"/>
      <c r="L467" s="124"/>
      <c r="M467" s="124"/>
      <c r="N467" s="124"/>
      <c r="O467" s="124"/>
      <c r="P467" s="124"/>
      <c r="Q467" s="124"/>
      <c r="R467" s="21"/>
      <c r="S467" s="124"/>
      <c r="T467" s="124"/>
      <c r="U467" s="124"/>
      <c r="V467" s="124"/>
      <c r="W467" s="124"/>
      <c r="X467" s="124"/>
    </row>
    <row r="468">
      <c r="A468" s="216"/>
      <c r="B468" s="124"/>
      <c r="C468" s="124"/>
      <c r="D468" s="124"/>
      <c r="E468" s="124"/>
      <c r="F468" s="124"/>
      <c r="G468" s="124"/>
      <c r="H468" s="124"/>
      <c r="I468" s="217" t="str">
        <f>IFERROR(__xludf.DUMMYFUNCTION("""COMPUTED_VALUE"""),"")</f>
        <v/>
      </c>
      <c r="J468" s="219"/>
      <c r="K468" s="219"/>
      <c r="L468" s="124"/>
      <c r="M468" s="124"/>
      <c r="N468" s="124"/>
      <c r="O468" s="124"/>
      <c r="P468" s="124"/>
      <c r="Q468" s="124"/>
      <c r="R468" s="21"/>
      <c r="S468" s="124"/>
      <c r="T468" s="124"/>
      <c r="U468" s="124"/>
      <c r="V468" s="124"/>
      <c r="W468" s="124"/>
      <c r="X468" s="124"/>
    </row>
    <row r="469">
      <c r="A469" s="216"/>
      <c r="B469" s="124"/>
      <c r="C469" s="124"/>
      <c r="D469" s="124"/>
      <c r="E469" s="124"/>
      <c r="F469" s="124"/>
      <c r="G469" s="124"/>
      <c r="H469" s="124"/>
      <c r="I469" s="217" t="str">
        <f>IFERROR(__xludf.DUMMYFUNCTION("""COMPUTED_VALUE"""),"")</f>
        <v/>
      </c>
      <c r="J469" s="219"/>
      <c r="K469" s="219"/>
      <c r="L469" s="124"/>
      <c r="M469" s="124"/>
      <c r="N469" s="124"/>
      <c r="O469" s="124"/>
      <c r="P469" s="124"/>
      <c r="Q469" s="124"/>
      <c r="R469" s="21"/>
      <c r="S469" s="124"/>
      <c r="T469" s="124"/>
      <c r="U469" s="124"/>
      <c r="V469" s="124"/>
      <c r="W469" s="124"/>
      <c r="X469" s="124"/>
    </row>
    <row r="470">
      <c r="A470" s="216"/>
      <c r="B470" s="124"/>
      <c r="C470" s="124"/>
      <c r="D470" s="124"/>
      <c r="E470" s="124"/>
      <c r="F470" s="124"/>
      <c r="G470" s="124"/>
      <c r="H470" s="124"/>
      <c r="I470" s="217" t="str">
        <f>IFERROR(__xludf.DUMMYFUNCTION("""COMPUTED_VALUE"""),"")</f>
        <v/>
      </c>
      <c r="J470" s="219"/>
      <c r="K470" s="219"/>
      <c r="L470" s="124"/>
      <c r="M470" s="124"/>
      <c r="N470" s="124"/>
      <c r="O470" s="124"/>
      <c r="P470" s="124"/>
      <c r="Q470" s="124"/>
      <c r="R470" s="21"/>
      <c r="S470" s="124"/>
      <c r="T470" s="124"/>
      <c r="U470" s="124"/>
      <c r="V470" s="124"/>
      <c r="W470" s="124"/>
      <c r="X470" s="124"/>
    </row>
    <row r="471">
      <c r="A471" s="216"/>
      <c r="B471" s="124"/>
      <c r="C471" s="124"/>
      <c r="D471" s="124"/>
      <c r="E471" s="124"/>
      <c r="F471" s="124"/>
      <c r="G471" s="124"/>
      <c r="H471" s="124"/>
      <c r="I471" s="217" t="str">
        <f>IFERROR(__xludf.DUMMYFUNCTION("""COMPUTED_VALUE"""),"")</f>
        <v/>
      </c>
      <c r="J471" s="219"/>
      <c r="K471" s="219"/>
      <c r="L471" s="124"/>
      <c r="M471" s="124"/>
      <c r="N471" s="124"/>
      <c r="O471" s="124"/>
      <c r="P471" s="124"/>
      <c r="Q471" s="124"/>
      <c r="R471" s="21"/>
      <c r="S471" s="124"/>
      <c r="T471" s="124"/>
      <c r="U471" s="124"/>
      <c r="V471" s="124"/>
      <c r="W471" s="124"/>
      <c r="X471" s="124"/>
    </row>
    <row r="472">
      <c r="A472" s="216"/>
      <c r="B472" s="124"/>
      <c r="C472" s="124"/>
      <c r="D472" s="124"/>
      <c r="E472" s="124"/>
      <c r="F472" s="124"/>
      <c r="G472" s="124"/>
      <c r="H472" s="124"/>
      <c r="I472" s="217" t="str">
        <f>IFERROR(__xludf.DUMMYFUNCTION("""COMPUTED_VALUE"""),"")</f>
        <v/>
      </c>
      <c r="J472" s="219"/>
      <c r="K472" s="219"/>
      <c r="L472" s="124"/>
      <c r="M472" s="124"/>
      <c r="N472" s="124"/>
      <c r="O472" s="124"/>
      <c r="P472" s="124"/>
      <c r="Q472" s="124"/>
      <c r="R472" s="21"/>
      <c r="S472" s="124"/>
      <c r="T472" s="124"/>
      <c r="U472" s="124"/>
      <c r="V472" s="124"/>
      <c r="W472" s="124"/>
      <c r="X472" s="124"/>
    </row>
    <row r="473">
      <c r="A473" s="216"/>
      <c r="B473" s="124"/>
      <c r="C473" s="124"/>
      <c r="D473" s="124"/>
      <c r="E473" s="124"/>
      <c r="F473" s="124"/>
      <c r="G473" s="124"/>
      <c r="H473" s="124"/>
      <c r="I473" s="217" t="str">
        <f>IFERROR(__xludf.DUMMYFUNCTION("""COMPUTED_VALUE"""),"")</f>
        <v/>
      </c>
      <c r="J473" s="219"/>
      <c r="K473" s="219"/>
      <c r="L473" s="124"/>
      <c r="M473" s="124"/>
      <c r="N473" s="124"/>
      <c r="O473" s="124"/>
      <c r="P473" s="124"/>
      <c r="Q473" s="124"/>
      <c r="R473" s="21"/>
      <c r="S473" s="124"/>
      <c r="T473" s="124"/>
      <c r="U473" s="124"/>
      <c r="V473" s="124"/>
      <c r="W473" s="124"/>
      <c r="X473" s="124"/>
    </row>
    <row r="474">
      <c r="A474" s="216"/>
      <c r="B474" s="124"/>
      <c r="C474" s="124"/>
      <c r="D474" s="124"/>
      <c r="E474" s="124"/>
      <c r="F474" s="124"/>
      <c r="G474" s="124"/>
      <c r="H474" s="124"/>
      <c r="I474" s="217" t="str">
        <f>IFERROR(__xludf.DUMMYFUNCTION("""COMPUTED_VALUE"""),"")</f>
        <v/>
      </c>
      <c r="J474" s="219"/>
      <c r="K474" s="219"/>
      <c r="L474" s="124"/>
      <c r="M474" s="124"/>
      <c r="N474" s="124"/>
      <c r="O474" s="124"/>
      <c r="P474" s="124"/>
      <c r="Q474" s="124"/>
      <c r="R474" s="21"/>
      <c r="S474" s="124"/>
      <c r="T474" s="124"/>
      <c r="U474" s="124"/>
      <c r="V474" s="124"/>
      <c r="W474" s="124"/>
      <c r="X474" s="124"/>
    </row>
    <row r="475">
      <c r="A475" s="216"/>
      <c r="B475" s="124"/>
      <c r="C475" s="124"/>
      <c r="D475" s="124"/>
      <c r="E475" s="124"/>
      <c r="F475" s="124"/>
      <c r="G475" s="124"/>
      <c r="H475" s="124"/>
      <c r="I475" s="217" t="str">
        <f>IFERROR(__xludf.DUMMYFUNCTION("""COMPUTED_VALUE"""),"")</f>
        <v/>
      </c>
      <c r="J475" s="219"/>
      <c r="K475" s="219"/>
      <c r="L475" s="124"/>
      <c r="M475" s="124"/>
      <c r="N475" s="124"/>
      <c r="O475" s="124"/>
      <c r="P475" s="124"/>
      <c r="Q475" s="124"/>
      <c r="R475" s="21"/>
      <c r="S475" s="124"/>
      <c r="T475" s="124"/>
      <c r="U475" s="124"/>
      <c r="V475" s="124"/>
      <c r="W475" s="124"/>
      <c r="X475" s="124"/>
    </row>
    <row r="476">
      <c r="A476" s="216"/>
      <c r="B476" s="124"/>
      <c r="C476" s="124"/>
      <c r="D476" s="124"/>
      <c r="E476" s="124"/>
      <c r="F476" s="124"/>
      <c r="G476" s="124"/>
      <c r="H476" s="124"/>
      <c r="I476" s="217" t="str">
        <f>IFERROR(__xludf.DUMMYFUNCTION("""COMPUTED_VALUE"""),"")</f>
        <v/>
      </c>
      <c r="J476" s="219"/>
      <c r="K476" s="219"/>
      <c r="L476" s="124"/>
      <c r="M476" s="124"/>
      <c r="N476" s="124"/>
      <c r="O476" s="124"/>
      <c r="P476" s="124"/>
      <c r="Q476" s="124"/>
      <c r="R476" s="21"/>
      <c r="S476" s="124"/>
      <c r="T476" s="124"/>
      <c r="U476" s="124"/>
      <c r="V476" s="124"/>
      <c r="W476" s="124"/>
      <c r="X476" s="124"/>
    </row>
    <row r="477">
      <c r="A477" s="216"/>
      <c r="B477" s="124"/>
      <c r="C477" s="124"/>
      <c r="D477" s="124"/>
      <c r="E477" s="124"/>
      <c r="F477" s="124"/>
      <c r="G477" s="124"/>
      <c r="H477" s="124"/>
      <c r="I477" s="217" t="str">
        <f>IFERROR(__xludf.DUMMYFUNCTION("""COMPUTED_VALUE"""),"")</f>
        <v/>
      </c>
      <c r="J477" s="219"/>
      <c r="K477" s="219"/>
      <c r="L477" s="124"/>
      <c r="M477" s="124"/>
      <c r="N477" s="124"/>
      <c r="O477" s="124"/>
      <c r="P477" s="124"/>
      <c r="Q477" s="124"/>
      <c r="R477" s="21"/>
      <c r="S477" s="124"/>
      <c r="T477" s="124"/>
      <c r="U477" s="124"/>
      <c r="V477" s="124"/>
      <c r="W477" s="124"/>
      <c r="X477" s="124"/>
    </row>
    <row r="478">
      <c r="A478" s="216"/>
      <c r="B478" s="124"/>
      <c r="C478" s="124"/>
      <c r="D478" s="124"/>
      <c r="E478" s="124"/>
      <c r="F478" s="124"/>
      <c r="G478" s="124"/>
      <c r="H478" s="124"/>
      <c r="I478" s="217" t="str">
        <f>IFERROR(__xludf.DUMMYFUNCTION("""COMPUTED_VALUE"""),"")</f>
        <v/>
      </c>
      <c r="J478" s="219"/>
      <c r="K478" s="219"/>
      <c r="L478" s="124"/>
      <c r="M478" s="124"/>
      <c r="N478" s="124"/>
      <c r="O478" s="124"/>
      <c r="P478" s="124"/>
      <c r="Q478" s="124"/>
      <c r="R478" s="21"/>
      <c r="S478" s="124"/>
      <c r="T478" s="124"/>
      <c r="U478" s="124"/>
      <c r="V478" s="124"/>
      <c r="W478" s="124"/>
      <c r="X478" s="124"/>
    </row>
    <row r="479">
      <c r="A479" s="216"/>
      <c r="B479" s="124"/>
      <c r="C479" s="124"/>
      <c r="D479" s="124"/>
      <c r="E479" s="124"/>
      <c r="F479" s="124"/>
      <c r="G479" s="124"/>
      <c r="H479" s="124"/>
      <c r="I479" s="217" t="str">
        <f>IFERROR(__xludf.DUMMYFUNCTION("""COMPUTED_VALUE"""),"")</f>
        <v/>
      </c>
      <c r="J479" s="219"/>
      <c r="K479" s="219"/>
      <c r="L479" s="124"/>
      <c r="M479" s="124"/>
      <c r="N479" s="124"/>
      <c r="O479" s="124"/>
      <c r="P479" s="124"/>
      <c r="Q479" s="124"/>
      <c r="R479" s="21"/>
      <c r="S479" s="124"/>
      <c r="T479" s="124"/>
      <c r="U479" s="124"/>
      <c r="V479" s="124"/>
      <c r="W479" s="124"/>
      <c r="X479" s="124"/>
    </row>
    <row r="480">
      <c r="A480" s="216"/>
      <c r="B480" s="124"/>
      <c r="C480" s="124"/>
      <c r="D480" s="124"/>
      <c r="E480" s="124"/>
      <c r="F480" s="124"/>
      <c r="G480" s="124"/>
      <c r="H480" s="124"/>
      <c r="I480" s="217" t="str">
        <f>IFERROR(__xludf.DUMMYFUNCTION("""COMPUTED_VALUE"""),"")</f>
        <v/>
      </c>
      <c r="J480" s="219"/>
      <c r="K480" s="219"/>
      <c r="L480" s="124"/>
      <c r="M480" s="124"/>
      <c r="N480" s="124"/>
      <c r="O480" s="124"/>
      <c r="P480" s="124"/>
      <c r="Q480" s="124"/>
      <c r="R480" s="21"/>
      <c r="S480" s="124"/>
      <c r="T480" s="124"/>
      <c r="U480" s="124"/>
      <c r="V480" s="124"/>
      <c r="W480" s="124"/>
      <c r="X480" s="124"/>
    </row>
    <row r="481">
      <c r="A481" s="216"/>
      <c r="B481" s="124"/>
      <c r="C481" s="124"/>
      <c r="D481" s="124"/>
      <c r="E481" s="124"/>
      <c r="F481" s="124"/>
      <c r="G481" s="124"/>
      <c r="H481" s="124"/>
      <c r="I481" s="217" t="str">
        <f>IFERROR(__xludf.DUMMYFUNCTION("""COMPUTED_VALUE"""),"")</f>
        <v/>
      </c>
      <c r="J481" s="219"/>
      <c r="K481" s="219"/>
      <c r="L481" s="124"/>
      <c r="M481" s="124"/>
      <c r="N481" s="124"/>
      <c r="O481" s="124"/>
      <c r="P481" s="124"/>
      <c r="Q481" s="124"/>
      <c r="R481" s="21"/>
      <c r="S481" s="124"/>
      <c r="T481" s="124"/>
      <c r="U481" s="124"/>
      <c r="V481" s="124"/>
      <c r="W481" s="124"/>
      <c r="X481" s="124"/>
    </row>
    <row r="482">
      <c r="A482" s="216"/>
      <c r="B482" s="124"/>
      <c r="C482" s="124"/>
      <c r="D482" s="124"/>
      <c r="E482" s="124"/>
      <c r="F482" s="124"/>
      <c r="G482" s="124"/>
      <c r="H482" s="124"/>
      <c r="I482" s="217" t="str">
        <f>IFERROR(__xludf.DUMMYFUNCTION("""COMPUTED_VALUE"""),"")</f>
        <v/>
      </c>
      <c r="J482" s="219"/>
      <c r="K482" s="219"/>
      <c r="L482" s="124"/>
      <c r="M482" s="124"/>
      <c r="N482" s="124"/>
      <c r="O482" s="124"/>
      <c r="P482" s="124"/>
      <c r="Q482" s="124"/>
      <c r="R482" s="21"/>
      <c r="S482" s="124"/>
      <c r="T482" s="124"/>
      <c r="U482" s="124"/>
      <c r="V482" s="124"/>
      <c r="W482" s="124"/>
      <c r="X482" s="124"/>
    </row>
    <row r="483">
      <c r="A483" s="216"/>
      <c r="B483" s="124"/>
      <c r="C483" s="124"/>
      <c r="D483" s="124"/>
      <c r="E483" s="124"/>
      <c r="F483" s="124"/>
      <c r="G483" s="124"/>
      <c r="H483" s="124"/>
      <c r="I483" s="217" t="str">
        <f>IFERROR(__xludf.DUMMYFUNCTION("""COMPUTED_VALUE"""),"")</f>
        <v/>
      </c>
      <c r="J483" s="219"/>
      <c r="K483" s="219"/>
      <c r="L483" s="124"/>
      <c r="M483" s="124"/>
      <c r="N483" s="124"/>
      <c r="O483" s="124"/>
      <c r="P483" s="124"/>
      <c r="Q483" s="124"/>
      <c r="R483" s="21"/>
      <c r="S483" s="124"/>
      <c r="T483" s="124"/>
      <c r="U483" s="124"/>
      <c r="V483" s="124"/>
      <c r="W483" s="124"/>
      <c r="X483" s="124"/>
    </row>
    <row r="484">
      <c r="A484" s="216"/>
      <c r="B484" s="124"/>
      <c r="C484" s="124"/>
      <c r="D484" s="124"/>
      <c r="E484" s="124"/>
      <c r="F484" s="124"/>
      <c r="G484" s="124"/>
      <c r="H484" s="124"/>
      <c r="I484" s="217" t="str">
        <f>IFERROR(__xludf.DUMMYFUNCTION("""COMPUTED_VALUE"""),"")</f>
        <v/>
      </c>
      <c r="J484" s="219"/>
      <c r="K484" s="219"/>
      <c r="L484" s="124"/>
      <c r="M484" s="124"/>
      <c r="N484" s="124"/>
      <c r="O484" s="124"/>
      <c r="P484" s="124"/>
      <c r="Q484" s="124"/>
      <c r="R484" s="21"/>
      <c r="S484" s="124"/>
      <c r="T484" s="124"/>
      <c r="U484" s="124"/>
      <c r="V484" s="124"/>
      <c r="W484" s="124"/>
      <c r="X484" s="124"/>
    </row>
    <row r="485">
      <c r="A485" s="216"/>
      <c r="B485" s="124"/>
      <c r="C485" s="124"/>
      <c r="D485" s="124"/>
      <c r="E485" s="124"/>
      <c r="F485" s="124"/>
      <c r="G485" s="124"/>
      <c r="H485" s="124"/>
      <c r="I485" s="217" t="str">
        <f>IFERROR(__xludf.DUMMYFUNCTION("""COMPUTED_VALUE"""),"")</f>
        <v/>
      </c>
      <c r="J485" s="219"/>
      <c r="K485" s="219"/>
      <c r="L485" s="124"/>
      <c r="M485" s="124"/>
      <c r="N485" s="124"/>
      <c r="O485" s="124"/>
      <c r="P485" s="124"/>
      <c r="Q485" s="124"/>
      <c r="R485" s="21"/>
      <c r="S485" s="124"/>
      <c r="T485" s="124"/>
      <c r="U485" s="124"/>
      <c r="V485" s="124"/>
      <c r="W485" s="124"/>
      <c r="X485" s="124"/>
    </row>
    <row r="486">
      <c r="A486" s="216"/>
      <c r="B486" s="124"/>
      <c r="C486" s="124"/>
      <c r="D486" s="124"/>
      <c r="E486" s="124"/>
      <c r="F486" s="124"/>
      <c r="G486" s="124"/>
      <c r="H486" s="124"/>
      <c r="I486" s="217" t="str">
        <f>IFERROR(__xludf.DUMMYFUNCTION("""COMPUTED_VALUE"""),"")</f>
        <v/>
      </c>
      <c r="J486" s="219"/>
      <c r="K486" s="219"/>
      <c r="L486" s="124"/>
      <c r="M486" s="124"/>
      <c r="N486" s="124"/>
      <c r="O486" s="124"/>
      <c r="P486" s="124"/>
      <c r="Q486" s="124"/>
      <c r="R486" s="21"/>
      <c r="S486" s="124"/>
      <c r="T486" s="124"/>
      <c r="U486" s="124"/>
      <c r="V486" s="124"/>
      <c r="W486" s="124"/>
      <c r="X486" s="124"/>
    </row>
    <row r="487">
      <c r="A487" s="216"/>
      <c r="B487" s="124"/>
      <c r="C487" s="124"/>
      <c r="D487" s="124"/>
      <c r="E487" s="124"/>
      <c r="F487" s="124"/>
      <c r="G487" s="124"/>
      <c r="H487" s="124"/>
      <c r="I487" s="217" t="str">
        <f>IFERROR(__xludf.DUMMYFUNCTION("""COMPUTED_VALUE"""),"")</f>
        <v/>
      </c>
      <c r="J487" s="219"/>
      <c r="K487" s="219"/>
      <c r="L487" s="124"/>
      <c r="M487" s="124"/>
      <c r="N487" s="124"/>
      <c r="O487" s="124"/>
      <c r="P487" s="124"/>
      <c r="Q487" s="124"/>
      <c r="R487" s="21"/>
      <c r="S487" s="124"/>
      <c r="T487" s="124"/>
      <c r="U487" s="124"/>
      <c r="V487" s="124"/>
      <c r="W487" s="124"/>
      <c r="X487" s="124"/>
    </row>
    <row r="488">
      <c r="A488" s="216"/>
      <c r="B488" s="124"/>
      <c r="C488" s="124"/>
      <c r="D488" s="124"/>
      <c r="E488" s="124"/>
      <c r="F488" s="124"/>
      <c r="G488" s="124"/>
      <c r="H488" s="124"/>
      <c r="I488" s="217" t="str">
        <f>IFERROR(__xludf.DUMMYFUNCTION("""COMPUTED_VALUE"""),"")</f>
        <v/>
      </c>
      <c r="J488" s="219"/>
      <c r="K488" s="219"/>
      <c r="L488" s="124"/>
      <c r="M488" s="124"/>
      <c r="N488" s="124"/>
      <c r="O488" s="124"/>
      <c r="P488" s="124"/>
      <c r="Q488" s="124"/>
      <c r="R488" s="21"/>
      <c r="S488" s="124"/>
      <c r="T488" s="124"/>
      <c r="U488" s="124"/>
      <c r="V488" s="124"/>
      <c r="W488" s="124"/>
      <c r="X488" s="124"/>
    </row>
    <row r="489">
      <c r="A489" s="216"/>
      <c r="B489" s="124"/>
      <c r="C489" s="124"/>
      <c r="D489" s="124"/>
      <c r="E489" s="124"/>
      <c r="F489" s="124"/>
      <c r="G489" s="124"/>
      <c r="H489" s="124"/>
      <c r="I489" s="217" t="str">
        <f>IFERROR(__xludf.DUMMYFUNCTION("""COMPUTED_VALUE"""),"")</f>
        <v/>
      </c>
      <c r="J489" s="219"/>
      <c r="K489" s="219"/>
      <c r="L489" s="124"/>
      <c r="M489" s="124"/>
      <c r="N489" s="124"/>
      <c r="O489" s="124"/>
      <c r="P489" s="124"/>
      <c r="Q489" s="124"/>
      <c r="R489" s="21"/>
      <c r="S489" s="124"/>
      <c r="T489" s="124"/>
      <c r="U489" s="124"/>
      <c r="V489" s="124"/>
      <c r="W489" s="124"/>
      <c r="X489" s="124"/>
    </row>
    <row r="490">
      <c r="A490" s="216"/>
      <c r="B490" s="124"/>
      <c r="C490" s="124"/>
      <c r="D490" s="124"/>
      <c r="E490" s="124"/>
      <c r="F490" s="124"/>
      <c r="G490" s="124"/>
      <c r="H490" s="124"/>
      <c r="I490" s="217" t="str">
        <f>IFERROR(__xludf.DUMMYFUNCTION("""COMPUTED_VALUE"""),"")</f>
        <v/>
      </c>
      <c r="J490" s="219"/>
      <c r="K490" s="219"/>
      <c r="L490" s="124"/>
      <c r="M490" s="124"/>
      <c r="N490" s="124"/>
      <c r="O490" s="124"/>
      <c r="P490" s="124"/>
      <c r="Q490" s="124"/>
      <c r="R490" s="21"/>
      <c r="S490" s="124"/>
      <c r="T490" s="124"/>
      <c r="U490" s="124"/>
      <c r="V490" s="124"/>
      <c r="W490" s="124"/>
      <c r="X490" s="124"/>
    </row>
    <row r="491">
      <c r="A491" s="216"/>
      <c r="B491" s="124"/>
      <c r="C491" s="124"/>
      <c r="D491" s="124"/>
      <c r="E491" s="124"/>
      <c r="F491" s="124"/>
      <c r="G491" s="124"/>
      <c r="H491" s="124"/>
      <c r="I491" s="217" t="str">
        <f>IFERROR(__xludf.DUMMYFUNCTION("""COMPUTED_VALUE"""),"")</f>
        <v/>
      </c>
      <c r="J491" s="219"/>
      <c r="K491" s="219"/>
      <c r="L491" s="124"/>
      <c r="M491" s="124"/>
      <c r="N491" s="124"/>
      <c r="O491" s="124"/>
      <c r="P491" s="124"/>
      <c r="Q491" s="124"/>
      <c r="R491" s="21"/>
      <c r="S491" s="124"/>
      <c r="T491" s="124"/>
      <c r="U491" s="124"/>
      <c r="V491" s="124"/>
      <c r="W491" s="124"/>
      <c r="X491" s="124"/>
    </row>
    <row r="492">
      <c r="A492" s="216"/>
      <c r="B492" s="124"/>
      <c r="C492" s="124"/>
      <c r="D492" s="124"/>
      <c r="E492" s="124"/>
      <c r="F492" s="124"/>
      <c r="G492" s="124"/>
      <c r="H492" s="124"/>
      <c r="I492" s="217" t="str">
        <f>IFERROR(__xludf.DUMMYFUNCTION("""COMPUTED_VALUE"""),"")</f>
        <v/>
      </c>
      <c r="J492" s="219"/>
      <c r="K492" s="219"/>
      <c r="L492" s="124"/>
      <c r="M492" s="124"/>
      <c r="N492" s="124"/>
      <c r="O492" s="124"/>
      <c r="P492" s="124"/>
      <c r="Q492" s="124"/>
      <c r="R492" s="21"/>
      <c r="S492" s="124"/>
      <c r="T492" s="124"/>
      <c r="U492" s="124"/>
      <c r="V492" s="124"/>
      <c r="W492" s="124"/>
      <c r="X492" s="124"/>
    </row>
    <row r="493">
      <c r="A493" s="216"/>
      <c r="B493" s="124"/>
      <c r="C493" s="124"/>
      <c r="D493" s="124"/>
      <c r="E493" s="124"/>
      <c r="F493" s="124"/>
      <c r="G493" s="124"/>
      <c r="H493" s="124"/>
      <c r="I493" s="217" t="str">
        <f>IFERROR(__xludf.DUMMYFUNCTION("""COMPUTED_VALUE"""),"")</f>
        <v/>
      </c>
      <c r="J493" s="219"/>
      <c r="K493" s="219"/>
      <c r="L493" s="124"/>
      <c r="M493" s="124"/>
      <c r="N493" s="124"/>
      <c r="O493" s="124"/>
      <c r="P493" s="124"/>
      <c r="Q493" s="124"/>
      <c r="R493" s="21"/>
      <c r="S493" s="124"/>
      <c r="T493" s="124"/>
      <c r="U493" s="124"/>
      <c r="V493" s="124"/>
      <c r="W493" s="124"/>
      <c r="X493" s="124"/>
    </row>
    <row r="494">
      <c r="A494" s="216"/>
      <c r="B494" s="124"/>
      <c r="C494" s="124"/>
      <c r="D494" s="124"/>
      <c r="E494" s="124"/>
      <c r="F494" s="124"/>
      <c r="G494" s="124"/>
      <c r="H494" s="124"/>
      <c r="I494" s="217" t="str">
        <f>IFERROR(__xludf.DUMMYFUNCTION("""COMPUTED_VALUE"""),"")</f>
        <v/>
      </c>
      <c r="J494" s="219"/>
      <c r="K494" s="219"/>
      <c r="L494" s="124"/>
      <c r="M494" s="124"/>
      <c r="N494" s="124"/>
      <c r="O494" s="124"/>
      <c r="P494" s="124"/>
      <c r="Q494" s="124"/>
      <c r="R494" s="21"/>
      <c r="S494" s="124"/>
      <c r="T494" s="124"/>
      <c r="U494" s="124"/>
      <c r="V494" s="124"/>
      <c r="W494" s="124"/>
      <c r="X494" s="124"/>
    </row>
    <row r="495">
      <c r="A495" s="216"/>
      <c r="B495" s="124"/>
      <c r="C495" s="124"/>
      <c r="D495" s="124"/>
      <c r="E495" s="124"/>
      <c r="F495" s="124"/>
      <c r="G495" s="124"/>
      <c r="H495" s="124"/>
      <c r="I495" s="217" t="str">
        <f>IFERROR(__xludf.DUMMYFUNCTION("""COMPUTED_VALUE"""),"")</f>
        <v/>
      </c>
      <c r="J495" s="219"/>
      <c r="K495" s="219"/>
      <c r="L495" s="124"/>
      <c r="M495" s="124"/>
      <c r="N495" s="124"/>
      <c r="O495" s="124"/>
      <c r="P495" s="124"/>
      <c r="Q495" s="124"/>
      <c r="R495" s="21"/>
      <c r="S495" s="124"/>
      <c r="T495" s="124"/>
      <c r="U495" s="124"/>
      <c r="V495" s="124"/>
      <c r="W495" s="124"/>
      <c r="X495" s="124"/>
    </row>
    <row r="496">
      <c r="A496" s="216"/>
      <c r="B496" s="124"/>
      <c r="C496" s="124"/>
      <c r="D496" s="124"/>
      <c r="E496" s="124"/>
      <c r="F496" s="124"/>
      <c r="G496" s="124"/>
      <c r="H496" s="124"/>
      <c r="I496" s="217" t="str">
        <f>IFERROR(__xludf.DUMMYFUNCTION("""COMPUTED_VALUE"""),"")</f>
        <v/>
      </c>
      <c r="J496" s="219"/>
      <c r="K496" s="219"/>
      <c r="L496" s="124"/>
      <c r="M496" s="124"/>
      <c r="N496" s="124"/>
      <c r="O496" s="124"/>
      <c r="P496" s="124"/>
      <c r="Q496" s="124"/>
      <c r="R496" s="21"/>
      <c r="S496" s="124"/>
      <c r="T496" s="124"/>
      <c r="U496" s="124"/>
      <c r="V496" s="124"/>
      <c r="W496" s="124"/>
      <c r="X496" s="124"/>
    </row>
    <row r="497">
      <c r="A497" s="216"/>
      <c r="B497" s="124"/>
      <c r="C497" s="124"/>
      <c r="D497" s="124"/>
      <c r="E497" s="124"/>
      <c r="F497" s="124"/>
      <c r="G497" s="124"/>
      <c r="H497" s="124"/>
      <c r="I497" s="217" t="str">
        <f>IFERROR(__xludf.DUMMYFUNCTION("""COMPUTED_VALUE"""),"")</f>
        <v/>
      </c>
      <c r="J497" s="219"/>
      <c r="K497" s="219"/>
      <c r="L497" s="124"/>
      <c r="M497" s="124"/>
      <c r="N497" s="124"/>
      <c r="O497" s="124"/>
      <c r="P497" s="124"/>
      <c r="Q497" s="124"/>
      <c r="R497" s="21"/>
      <c r="S497" s="124"/>
      <c r="T497" s="124"/>
      <c r="U497" s="124"/>
      <c r="V497" s="124"/>
      <c r="W497" s="124"/>
      <c r="X497" s="124"/>
    </row>
    <row r="498">
      <c r="A498" s="216"/>
      <c r="B498" s="124"/>
      <c r="C498" s="124"/>
      <c r="D498" s="124"/>
      <c r="E498" s="124"/>
      <c r="F498" s="124"/>
      <c r="G498" s="124"/>
      <c r="H498" s="124"/>
      <c r="I498" s="217" t="str">
        <f>IFERROR(__xludf.DUMMYFUNCTION("""COMPUTED_VALUE"""),"")</f>
        <v/>
      </c>
      <c r="J498" s="219"/>
      <c r="K498" s="219"/>
      <c r="L498" s="124"/>
      <c r="M498" s="124"/>
      <c r="N498" s="124"/>
      <c r="O498" s="124"/>
      <c r="P498" s="124"/>
      <c r="Q498" s="124"/>
      <c r="R498" s="21"/>
      <c r="S498" s="124"/>
      <c r="T498" s="124"/>
      <c r="U498" s="124"/>
      <c r="V498" s="124"/>
      <c r="W498" s="124"/>
      <c r="X498" s="124"/>
    </row>
    <row r="499">
      <c r="A499" s="216"/>
      <c r="B499" s="124"/>
      <c r="C499" s="124"/>
      <c r="D499" s="124"/>
      <c r="E499" s="124"/>
      <c r="F499" s="124"/>
      <c r="G499" s="124"/>
      <c r="H499" s="124"/>
      <c r="I499" s="217" t="str">
        <f>IFERROR(__xludf.DUMMYFUNCTION("""COMPUTED_VALUE"""),"")</f>
        <v/>
      </c>
      <c r="J499" s="219"/>
      <c r="K499" s="219"/>
      <c r="L499" s="124"/>
      <c r="M499" s="124"/>
      <c r="N499" s="124"/>
      <c r="O499" s="124"/>
      <c r="P499" s="124"/>
      <c r="Q499" s="124"/>
      <c r="R499" s="21"/>
      <c r="S499" s="124"/>
      <c r="T499" s="124"/>
      <c r="U499" s="124"/>
      <c r="V499" s="124"/>
      <c r="W499" s="124"/>
      <c r="X499" s="124"/>
    </row>
    <row r="500">
      <c r="A500" s="216"/>
      <c r="B500" s="124"/>
      <c r="C500" s="124"/>
      <c r="D500" s="124"/>
      <c r="E500" s="124"/>
      <c r="F500" s="124"/>
      <c r="G500" s="124"/>
      <c r="H500" s="124"/>
      <c r="I500" s="217" t="str">
        <f>IFERROR(__xludf.DUMMYFUNCTION("""COMPUTED_VALUE"""),"")</f>
        <v/>
      </c>
      <c r="J500" s="219"/>
      <c r="K500" s="219"/>
      <c r="L500" s="124"/>
      <c r="M500" s="124"/>
      <c r="N500" s="124"/>
      <c r="O500" s="124"/>
      <c r="P500" s="124"/>
      <c r="Q500" s="124"/>
      <c r="R500" s="21"/>
      <c r="S500" s="124"/>
      <c r="T500" s="124"/>
      <c r="U500" s="124"/>
      <c r="V500" s="124"/>
      <c r="W500" s="124"/>
      <c r="X500" s="124"/>
    </row>
    <row r="501">
      <c r="A501" s="216"/>
      <c r="B501" s="124"/>
      <c r="C501" s="124"/>
      <c r="D501" s="124"/>
      <c r="E501" s="124"/>
      <c r="F501" s="124"/>
      <c r="G501" s="124"/>
      <c r="H501" s="124"/>
      <c r="I501" s="217" t="str">
        <f>IFERROR(__xludf.DUMMYFUNCTION("""COMPUTED_VALUE"""),"")</f>
        <v/>
      </c>
      <c r="J501" s="219"/>
      <c r="K501" s="219"/>
      <c r="L501" s="124"/>
      <c r="M501" s="124"/>
      <c r="N501" s="124"/>
      <c r="O501" s="124"/>
      <c r="P501" s="124"/>
      <c r="Q501" s="124"/>
      <c r="R501" s="21"/>
      <c r="S501" s="124"/>
      <c r="T501" s="124"/>
      <c r="U501" s="124"/>
      <c r="V501" s="124"/>
      <c r="W501" s="124"/>
      <c r="X501" s="124"/>
    </row>
    <row r="502">
      <c r="A502" s="216"/>
      <c r="B502" s="124"/>
      <c r="C502" s="124"/>
      <c r="D502" s="124"/>
      <c r="E502" s="124"/>
      <c r="F502" s="124"/>
      <c r="G502" s="124"/>
      <c r="H502" s="124"/>
      <c r="I502" s="217" t="str">
        <f>IFERROR(__xludf.DUMMYFUNCTION("""COMPUTED_VALUE"""),"")</f>
        <v/>
      </c>
      <c r="J502" s="219"/>
      <c r="K502" s="219"/>
      <c r="L502" s="124"/>
      <c r="M502" s="124"/>
      <c r="N502" s="124"/>
      <c r="O502" s="124"/>
      <c r="P502" s="124"/>
      <c r="Q502" s="124"/>
      <c r="R502" s="21"/>
      <c r="S502" s="124"/>
      <c r="T502" s="124"/>
      <c r="U502" s="124"/>
      <c r="V502" s="124"/>
      <c r="W502" s="124"/>
      <c r="X502" s="124"/>
    </row>
    <row r="503">
      <c r="A503" s="216"/>
      <c r="B503" s="124"/>
      <c r="C503" s="124"/>
      <c r="D503" s="124"/>
      <c r="E503" s="124"/>
      <c r="F503" s="124"/>
      <c r="G503" s="124"/>
      <c r="H503" s="124"/>
      <c r="I503" s="217" t="str">
        <f>IFERROR(__xludf.DUMMYFUNCTION("""COMPUTED_VALUE"""),"")</f>
        <v/>
      </c>
      <c r="J503" s="219"/>
      <c r="K503" s="219"/>
      <c r="L503" s="124"/>
      <c r="M503" s="124"/>
      <c r="N503" s="124"/>
      <c r="O503" s="124"/>
      <c r="P503" s="124"/>
      <c r="Q503" s="124"/>
      <c r="R503" s="21"/>
      <c r="S503" s="124"/>
      <c r="T503" s="124"/>
      <c r="U503" s="124"/>
      <c r="V503" s="124"/>
      <c r="W503" s="124"/>
      <c r="X503" s="124"/>
    </row>
    <row r="504">
      <c r="A504" s="216"/>
      <c r="B504" s="124"/>
      <c r="C504" s="124"/>
      <c r="D504" s="124"/>
      <c r="E504" s="124"/>
      <c r="F504" s="124"/>
      <c r="G504" s="124"/>
      <c r="H504" s="124"/>
      <c r="I504" s="217" t="str">
        <f>IFERROR(__xludf.DUMMYFUNCTION("""COMPUTED_VALUE"""),"")</f>
        <v/>
      </c>
      <c r="J504" s="219"/>
      <c r="K504" s="219"/>
      <c r="L504" s="124"/>
      <c r="M504" s="124"/>
      <c r="N504" s="124"/>
      <c r="O504" s="124"/>
      <c r="P504" s="124"/>
      <c r="Q504" s="124"/>
      <c r="R504" s="21"/>
      <c r="S504" s="124"/>
      <c r="T504" s="124"/>
      <c r="U504" s="124"/>
      <c r="V504" s="124"/>
      <c r="W504" s="124"/>
      <c r="X504" s="124"/>
    </row>
    <row r="505">
      <c r="A505" s="216"/>
      <c r="B505" s="124"/>
      <c r="C505" s="124"/>
      <c r="D505" s="124"/>
      <c r="E505" s="124"/>
      <c r="F505" s="124"/>
      <c r="G505" s="124"/>
      <c r="H505" s="124"/>
      <c r="I505" s="217" t="str">
        <f>IFERROR(__xludf.DUMMYFUNCTION("""COMPUTED_VALUE"""),"")</f>
        <v/>
      </c>
      <c r="J505" s="219"/>
      <c r="K505" s="219"/>
      <c r="L505" s="124"/>
      <c r="M505" s="124"/>
      <c r="N505" s="124"/>
      <c r="O505" s="124"/>
      <c r="P505" s="124"/>
      <c r="Q505" s="124"/>
      <c r="R505" s="21"/>
      <c r="S505" s="124"/>
      <c r="T505" s="124"/>
      <c r="U505" s="124"/>
      <c r="V505" s="124"/>
      <c r="W505" s="124"/>
      <c r="X505" s="124"/>
    </row>
    <row r="506">
      <c r="A506" s="216"/>
      <c r="B506" s="124"/>
      <c r="C506" s="124"/>
      <c r="D506" s="124"/>
      <c r="E506" s="124"/>
      <c r="F506" s="124"/>
      <c r="G506" s="124"/>
      <c r="H506" s="124"/>
      <c r="I506" s="217" t="str">
        <f>IFERROR(__xludf.DUMMYFUNCTION("""COMPUTED_VALUE"""),"")</f>
        <v/>
      </c>
      <c r="J506" s="219"/>
      <c r="K506" s="219"/>
      <c r="L506" s="124"/>
      <c r="M506" s="124"/>
      <c r="N506" s="124"/>
      <c r="O506" s="124"/>
      <c r="P506" s="124"/>
      <c r="Q506" s="124"/>
      <c r="R506" s="21"/>
      <c r="S506" s="124"/>
      <c r="T506" s="124"/>
      <c r="U506" s="124"/>
      <c r="V506" s="124"/>
      <c r="W506" s="124"/>
      <c r="X506" s="124"/>
    </row>
    <row r="507">
      <c r="A507" s="216"/>
      <c r="B507" s="124"/>
      <c r="C507" s="124"/>
      <c r="D507" s="124"/>
      <c r="E507" s="124"/>
      <c r="F507" s="124"/>
      <c r="G507" s="124"/>
      <c r="H507" s="124"/>
      <c r="I507" s="217" t="str">
        <f>IFERROR(__xludf.DUMMYFUNCTION("""COMPUTED_VALUE"""),"")</f>
        <v/>
      </c>
      <c r="J507" s="219"/>
      <c r="K507" s="219"/>
      <c r="L507" s="124"/>
      <c r="M507" s="124"/>
      <c r="N507" s="124"/>
      <c r="O507" s="124"/>
      <c r="P507" s="124"/>
      <c r="Q507" s="124"/>
      <c r="R507" s="21"/>
      <c r="S507" s="124"/>
      <c r="T507" s="124"/>
      <c r="U507" s="124"/>
      <c r="V507" s="124"/>
      <c r="W507" s="124"/>
      <c r="X507" s="124"/>
    </row>
    <row r="508">
      <c r="A508" s="216"/>
      <c r="B508" s="124"/>
      <c r="C508" s="124"/>
      <c r="D508" s="124"/>
      <c r="E508" s="124"/>
      <c r="F508" s="124"/>
      <c r="G508" s="124"/>
      <c r="H508" s="124"/>
      <c r="I508" s="217" t="str">
        <f>IFERROR(__xludf.DUMMYFUNCTION("""COMPUTED_VALUE"""),"")</f>
        <v/>
      </c>
      <c r="J508" s="219"/>
      <c r="K508" s="219"/>
      <c r="L508" s="124"/>
      <c r="M508" s="124"/>
      <c r="N508" s="124"/>
      <c r="O508" s="124"/>
      <c r="P508" s="124"/>
      <c r="Q508" s="124"/>
      <c r="R508" s="21"/>
      <c r="S508" s="124"/>
      <c r="T508" s="124"/>
      <c r="U508" s="124"/>
      <c r="V508" s="124"/>
      <c r="W508" s="124"/>
      <c r="X508" s="124"/>
    </row>
    <row r="509">
      <c r="A509" s="216"/>
      <c r="B509" s="124"/>
      <c r="C509" s="124"/>
      <c r="D509" s="124"/>
      <c r="E509" s="124"/>
      <c r="F509" s="124"/>
      <c r="G509" s="124"/>
      <c r="H509" s="124"/>
      <c r="I509" s="217" t="str">
        <f>IFERROR(__xludf.DUMMYFUNCTION("""COMPUTED_VALUE"""),"")</f>
        <v/>
      </c>
      <c r="J509" s="219"/>
      <c r="K509" s="219"/>
      <c r="L509" s="124"/>
      <c r="M509" s="124"/>
      <c r="N509" s="124"/>
      <c r="O509" s="124"/>
      <c r="P509" s="124"/>
      <c r="Q509" s="124"/>
      <c r="R509" s="21"/>
      <c r="S509" s="124"/>
      <c r="T509" s="124"/>
      <c r="U509" s="124"/>
      <c r="V509" s="124"/>
      <c r="W509" s="124"/>
      <c r="X509" s="124"/>
    </row>
    <row r="510">
      <c r="A510" s="216"/>
      <c r="B510" s="124"/>
      <c r="C510" s="124"/>
      <c r="D510" s="124"/>
      <c r="E510" s="124"/>
      <c r="F510" s="124"/>
      <c r="G510" s="124"/>
      <c r="H510" s="124"/>
      <c r="I510" s="217" t="str">
        <f>IFERROR(__xludf.DUMMYFUNCTION("""COMPUTED_VALUE"""),"")</f>
        <v/>
      </c>
      <c r="J510" s="219"/>
      <c r="K510" s="219"/>
      <c r="L510" s="124"/>
      <c r="M510" s="124"/>
      <c r="N510" s="124"/>
      <c r="O510" s="124"/>
      <c r="P510" s="124"/>
      <c r="Q510" s="124"/>
      <c r="R510" s="21"/>
      <c r="S510" s="124"/>
      <c r="T510" s="124"/>
      <c r="U510" s="124"/>
      <c r="V510" s="124"/>
      <c r="W510" s="124"/>
      <c r="X510" s="124"/>
    </row>
    <row r="511">
      <c r="A511" s="216"/>
      <c r="B511" s="124"/>
      <c r="C511" s="124"/>
      <c r="D511" s="124"/>
      <c r="E511" s="124"/>
      <c r="F511" s="124"/>
      <c r="G511" s="124"/>
      <c r="H511" s="124"/>
      <c r="I511" s="217" t="str">
        <f>IFERROR(__xludf.DUMMYFUNCTION("""COMPUTED_VALUE"""),"")</f>
        <v/>
      </c>
      <c r="J511" s="219"/>
      <c r="K511" s="219"/>
      <c r="L511" s="124"/>
      <c r="M511" s="124"/>
      <c r="N511" s="124"/>
      <c r="O511" s="124"/>
      <c r="P511" s="124"/>
      <c r="Q511" s="124"/>
      <c r="R511" s="21"/>
      <c r="S511" s="124"/>
      <c r="T511" s="124"/>
      <c r="U511" s="124"/>
      <c r="V511" s="124"/>
      <c r="W511" s="124"/>
      <c r="X511" s="124"/>
    </row>
    <row r="512">
      <c r="A512" s="216"/>
      <c r="B512" s="124"/>
      <c r="C512" s="124"/>
      <c r="D512" s="124"/>
      <c r="E512" s="124"/>
      <c r="F512" s="124"/>
      <c r="G512" s="124"/>
      <c r="H512" s="124"/>
      <c r="I512" s="217" t="str">
        <f>IFERROR(__xludf.DUMMYFUNCTION("""COMPUTED_VALUE"""),"")</f>
        <v/>
      </c>
      <c r="J512" s="219"/>
      <c r="K512" s="219"/>
      <c r="L512" s="124"/>
      <c r="M512" s="124"/>
      <c r="N512" s="124"/>
      <c r="O512" s="124"/>
      <c r="P512" s="124"/>
      <c r="Q512" s="124"/>
      <c r="R512" s="21"/>
      <c r="S512" s="124"/>
      <c r="T512" s="124"/>
      <c r="U512" s="124"/>
      <c r="V512" s="124"/>
      <c r="W512" s="124"/>
      <c r="X512" s="124"/>
    </row>
    <row r="513">
      <c r="A513" s="216"/>
      <c r="B513" s="124"/>
      <c r="C513" s="124"/>
      <c r="D513" s="124"/>
      <c r="E513" s="124"/>
      <c r="F513" s="124"/>
      <c r="G513" s="124"/>
      <c r="H513" s="124"/>
      <c r="I513" s="217" t="str">
        <f>IFERROR(__xludf.DUMMYFUNCTION("""COMPUTED_VALUE"""),"")</f>
        <v/>
      </c>
      <c r="J513" s="219"/>
      <c r="K513" s="219"/>
      <c r="L513" s="124"/>
      <c r="M513" s="124"/>
      <c r="N513" s="124"/>
      <c r="O513" s="124"/>
      <c r="P513" s="124"/>
      <c r="Q513" s="124"/>
      <c r="R513" s="21"/>
      <c r="S513" s="124"/>
      <c r="T513" s="124"/>
      <c r="U513" s="124"/>
      <c r="V513" s="124"/>
      <c r="W513" s="124"/>
      <c r="X513" s="124"/>
    </row>
    <row r="514">
      <c r="A514" s="216"/>
      <c r="B514" s="124"/>
      <c r="C514" s="124"/>
      <c r="D514" s="124"/>
      <c r="E514" s="124"/>
      <c r="F514" s="124"/>
      <c r="G514" s="124"/>
      <c r="H514" s="124"/>
      <c r="I514" s="217" t="str">
        <f>IFERROR(__xludf.DUMMYFUNCTION("""COMPUTED_VALUE"""),"")</f>
        <v/>
      </c>
      <c r="J514" s="219"/>
      <c r="K514" s="219"/>
      <c r="L514" s="124"/>
      <c r="M514" s="124"/>
      <c r="N514" s="124"/>
      <c r="O514" s="124"/>
      <c r="P514" s="124"/>
      <c r="Q514" s="124"/>
      <c r="R514" s="21"/>
      <c r="S514" s="124"/>
      <c r="T514" s="124"/>
      <c r="U514" s="124"/>
      <c r="V514" s="124"/>
      <c r="W514" s="124"/>
      <c r="X514" s="124"/>
    </row>
    <row r="515">
      <c r="A515" s="216"/>
      <c r="B515" s="124"/>
      <c r="C515" s="124"/>
      <c r="D515" s="124"/>
      <c r="E515" s="124"/>
      <c r="F515" s="124"/>
      <c r="G515" s="124"/>
      <c r="H515" s="124"/>
      <c r="I515" s="217" t="str">
        <f>IFERROR(__xludf.DUMMYFUNCTION("""COMPUTED_VALUE"""),"")</f>
        <v/>
      </c>
      <c r="J515" s="219"/>
      <c r="K515" s="219"/>
      <c r="L515" s="124"/>
      <c r="M515" s="124"/>
      <c r="N515" s="124"/>
      <c r="O515" s="124"/>
      <c r="P515" s="124"/>
      <c r="Q515" s="124"/>
      <c r="R515" s="21"/>
      <c r="S515" s="124"/>
      <c r="T515" s="124"/>
      <c r="U515" s="124"/>
      <c r="V515" s="124"/>
      <c r="W515" s="124"/>
      <c r="X515" s="124"/>
    </row>
    <row r="516">
      <c r="A516" s="216"/>
      <c r="B516" s="124"/>
      <c r="C516" s="124"/>
      <c r="D516" s="124"/>
      <c r="E516" s="124"/>
      <c r="F516" s="124"/>
      <c r="G516" s="124"/>
      <c r="H516" s="124"/>
      <c r="I516" s="217" t="str">
        <f>IFERROR(__xludf.DUMMYFUNCTION("""COMPUTED_VALUE"""),"")</f>
        <v/>
      </c>
      <c r="J516" s="219"/>
      <c r="K516" s="219"/>
      <c r="L516" s="124"/>
      <c r="M516" s="124"/>
      <c r="N516" s="124"/>
      <c r="O516" s="124"/>
      <c r="P516" s="124"/>
      <c r="Q516" s="124"/>
      <c r="R516" s="21"/>
      <c r="S516" s="124"/>
      <c r="T516" s="124"/>
      <c r="U516" s="124"/>
      <c r="V516" s="124"/>
      <c r="W516" s="124"/>
      <c r="X516" s="124"/>
    </row>
    <row r="517">
      <c r="A517" s="216"/>
      <c r="B517" s="124"/>
      <c r="C517" s="124"/>
      <c r="D517" s="124"/>
      <c r="E517" s="124"/>
      <c r="F517" s="124"/>
      <c r="G517" s="124"/>
      <c r="H517" s="124"/>
      <c r="I517" s="217" t="str">
        <f>IFERROR(__xludf.DUMMYFUNCTION("""COMPUTED_VALUE"""),"")</f>
        <v/>
      </c>
      <c r="J517" s="219"/>
      <c r="K517" s="219"/>
      <c r="L517" s="124"/>
      <c r="M517" s="124"/>
      <c r="N517" s="124"/>
      <c r="O517" s="124"/>
      <c r="P517" s="124"/>
      <c r="Q517" s="124"/>
      <c r="R517" s="21"/>
      <c r="S517" s="124"/>
      <c r="T517" s="124"/>
      <c r="U517" s="124"/>
      <c r="V517" s="124"/>
      <c r="W517" s="124"/>
      <c r="X517" s="124"/>
    </row>
    <row r="518">
      <c r="A518" s="216"/>
      <c r="B518" s="124"/>
      <c r="C518" s="124"/>
      <c r="D518" s="124"/>
      <c r="E518" s="124"/>
      <c r="F518" s="124"/>
      <c r="G518" s="124"/>
      <c r="H518" s="124"/>
      <c r="I518" s="217" t="str">
        <f>IFERROR(__xludf.DUMMYFUNCTION("""COMPUTED_VALUE"""),"")</f>
        <v/>
      </c>
      <c r="J518" s="219"/>
      <c r="K518" s="219"/>
      <c r="L518" s="124"/>
      <c r="M518" s="124"/>
      <c r="N518" s="124"/>
      <c r="O518" s="124"/>
      <c r="P518" s="124"/>
      <c r="Q518" s="124"/>
      <c r="R518" s="21"/>
      <c r="S518" s="124"/>
      <c r="T518" s="124"/>
      <c r="U518" s="124"/>
      <c r="V518" s="124"/>
      <c r="W518" s="124"/>
      <c r="X518" s="124"/>
    </row>
    <row r="519">
      <c r="A519" s="216"/>
      <c r="B519" s="124"/>
      <c r="C519" s="124"/>
      <c r="D519" s="124"/>
      <c r="E519" s="124"/>
      <c r="F519" s="124"/>
      <c r="G519" s="124"/>
      <c r="H519" s="124"/>
      <c r="I519" s="217" t="str">
        <f>IFERROR(__xludf.DUMMYFUNCTION("""COMPUTED_VALUE"""),"")</f>
        <v/>
      </c>
      <c r="J519" s="219"/>
      <c r="K519" s="219"/>
      <c r="L519" s="124"/>
      <c r="M519" s="124"/>
      <c r="N519" s="124"/>
      <c r="O519" s="124"/>
      <c r="P519" s="124"/>
      <c r="Q519" s="124"/>
      <c r="R519" s="21"/>
      <c r="S519" s="124"/>
      <c r="T519" s="124"/>
      <c r="U519" s="124"/>
      <c r="V519" s="124"/>
      <c r="W519" s="124"/>
      <c r="X519" s="124"/>
    </row>
    <row r="520">
      <c r="A520" s="216"/>
      <c r="B520" s="124"/>
      <c r="C520" s="124"/>
      <c r="D520" s="124"/>
      <c r="E520" s="124"/>
      <c r="F520" s="124"/>
      <c r="G520" s="124"/>
      <c r="H520" s="124"/>
      <c r="I520" s="217" t="str">
        <f>IFERROR(__xludf.DUMMYFUNCTION("""COMPUTED_VALUE"""),"")</f>
        <v/>
      </c>
      <c r="J520" s="219"/>
      <c r="K520" s="219"/>
      <c r="L520" s="124"/>
      <c r="M520" s="124"/>
      <c r="N520" s="124"/>
      <c r="O520" s="124"/>
      <c r="P520" s="124"/>
      <c r="Q520" s="124"/>
      <c r="R520" s="21"/>
      <c r="S520" s="124"/>
      <c r="T520" s="124"/>
      <c r="U520" s="124"/>
      <c r="V520" s="124"/>
      <c r="W520" s="124"/>
      <c r="X520" s="124"/>
    </row>
    <row r="521">
      <c r="A521" s="216"/>
      <c r="B521" s="124"/>
      <c r="C521" s="124"/>
      <c r="D521" s="124"/>
      <c r="E521" s="124"/>
      <c r="F521" s="124"/>
      <c r="G521" s="124"/>
      <c r="H521" s="124"/>
      <c r="I521" s="217" t="str">
        <f>IFERROR(__xludf.DUMMYFUNCTION("""COMPUTED_VALUE"""),"")</f>
        <v/>
      </c>
      <c r="J521" s="219"/>
      <c r="K521" s="219"/>
      <c r="L521" s="124"/>
      <c r="M521" s="124"/>
      <c r="N521" s="124"/>
      <c r="O521" s="124"/>
      <c r="P521" s="124"/>
      <c r="Q521" s="124"/>
      <c r="R521" s="21"/>
      <c r="S521" s="124"/>
      <c r="T521" s="124"/>
      <c r="U521" s="124"/>
      <c r="V521" s="124"/>
      <c r="W521" s="124"/>
      <c r="X521" s="124"/>
    </row>
    <row r="522">
      <c r="A522" s="216"/>
      <c r="B522" s="124"/>
      <c r="C522" s="124"/>
      <c r="D522" s="124"/>
      <c r="E522" s="124"/>
      <c r="F522" s="124"/>
      <c r="G522" s="124"/>
      <c r="H522" s="124"/>
      <c r="I522" s="217" t="str">
        <f>IFERROR(__xludf.DUMMYFUNCTION("""COMPUTED_VALUE"""),"")</f>
        <v/>
      </c>
      <c r="J522" s="219"/>
      <c r="K522" s="219"/>
      <c r="L522" s="124"/>
      <c r="M522" s="124"/>
      <c r="N522" s="124"/>
      <c r="O522" s="124"/>
      <c r="P522" s="124"/>
      <c r="Q522" s="124"/>
      <c r="R522" s="21"/>
      <c r="S522" s="124"/>
      <c r="T522" s="124"/>
      <c r="U522" s="124"/>
      <c r="V522" s="124"/>
      <c r="W522" s="124"/>
      <c r="X522" s="124"/>
    </row>
    <row r="523">
      <c r="A523" s="216"/>
      <c r="B523" s="124"/>
      <c r="C523" s="124"/>
      <c r="D523" s="124"/>
      <c r="E523" s="124"/>
      <c r="F523" s="124"/>
      <c r="G523" s="124"/>
      <c r="H523" s="124"/>
      <c r="I523" s="217" t="str">
        <f>IFERROR(__xludf.DUMMYFUNCTION("""COMPUTED_VALUE"""),"")</f>
        <v/>
      </c>
      <c r="J523" s="219"/>
      <c r="K523" s="219"/>
      <c r="L523" s="124"/>
      <c r="M523" s="124"/>
      <c r="N523" s="124"/>
      <c r="O523" s="124"/>
      <c r="P523" s="124"/>
      <c r="Q523" s="124"/>
      <c r="R523" s="21"/>
      <c r="S523" s="124"/>
      <c r="T523" s="124"/>
      <c r="U523" s="124"/>
      <c r="V523" s="124"/>
      <c r="W523" s="124"/>
      <c r="X523" s="124"/>
    </row>
    <row r="524">
      <c r="A524" s="216"/>
      <c r="B524" s="124"/>
      <c r="C524" s="124"/>
      <c r="D524" s="124"/>
      <c r="E524" s="124"/>
      <c r="F524" s="124"/>
      <c r="G524" s="124"/>
      <c r="H524" s="124"/>
      <c r="I524" s="217" t="str">
        <f>IFERROR(__xludf.DUMMYFUNCTION("""COMPUTED_VALUE"""),"")</f>
        <v/>
      </c>
      <c r="J524" s="219"/>
      <c r="K524" s="219"/>
      <c r="L524" s="124"/>
      <c r="M524" s="124"/>
      <c r="N524" s="124"/>
      <c r="O524" s="124"/>
      <c r="P524" s="124"/>
      <c r="Q524" s="124"/>
      <c r="R524" s="21"/>
      <c r="S524" s="124"/>
      <c r="T524" s="124"/>
      <c r="U524" s="124"/>
      <c r="V524" s="124"/>
      <c r="W524" s="124"/>
      <c r="X524" s="124"/>
    </row>
    <row r="525">
      <c r="A525" s="216"/>
      <c r="B525" s="124"/>
      <c r="C525" s="124"/>
      <c r="D525" s="124"/>
      <c r="E525" s="124"/>
      <c r="F525" s="124"/>
      <c r="G525" s="124"/>
      <c r="H525" s="124"/>
      <c r="I525" s="217" t="str">
        <f>IFERROR(__xludf.DUMMYFUNCTION("""COMPUTED_VALUE"""),"")</f>
        <v/>
      </c>
      <c r="J525" s="219"/>
      <c r="K525" s="219"/>
      <c r="L525" s="124"/>
      <c r="M525" s="124"/>
      <c r="N525" s="124"/>
      <c r="O525" s="124"/>
      <c r="P525" s="124"/>
      <c r="Q525" s="124"/>
      <c r="R525" s="21"/>
      <c r="S525" s="124"/>
      <c r="T525" s="124"/>
      <c r="U525" s="124"/>
      <c r="V525" s="124"/>
      <c r="W525" s="124"/>
      <c r="X525" s="124"/>
    </row>
    <row r="526">
      <c r="A526" s="216"/>
      <c r="B526" s="124"/>
      <c r="C526" s="124"/>
      <c r="D526" s="124"/>
      <c r="E526" s="124"/>
      <c r="F526" s="124"/>
      <c r="G526" s="124"/>
      <c r="H526" s="124"/>
      <c r="I526" s="217" t="str">
        <f>IFERROR(__xludf.DUMMYFUNCTION("""COMPUTED_VALUE"""),"")</f>
        <v/>
      </c>
      <c r="J526" s="219"/>
      <c r="K526" s="219"/>
      <c r="L526" s="124"/>
      <c r="M526" s="124"/>
      <c r="N526" s="124"/>
      <c r="O526" s="124"/>
      <c r="P526" s="124"/>
      <c r="Q526" s="124"/>
      <c r="R526" s="21"/>
      <c r="S526" s="124"/>
      <c r="T526" s="124"/>
      <c r="U526" s="124"/>
      <c r="V526" s="124"/>
      <c r="W526" s="124"/>
      <c r="X526" s="124"/>
    </row>
    <row r="527">
      <c r="A527" s="216"/>
      <c r="B527" s="124"/>
      <c r="C527" s="124"/>
      <c r="D527" s="124"/>
      <c r="E527" s="124"/>
      <c r="F527" s="124"/>
      <c r="G527" s="124"/>
      <c r="H527" s="124"/>
      <c r="I527" s="217" t="str">
        <f>IFERROR(__xludf.DUMMYFUNCTION("""COMPUTED_VALUE"""),"")</f>
        <v/>
      </c>
      <c r="J527" s="219"/>
      <c r="K527" s="219"/>
      <c r="L527" s="124"/>
      <c r="M527" s="124"/>
      <c r="N527" s="124"/>
      <c r="O527" s="124"/>
      <c r="P527" s="124"/>
      <c r="Q527" s="124"/>
      <c r="R527" s="21"/>
      <c r="S527" s="124"/>
      <c r="T527" s="124"/>
      <c r="U527" s="124"/>
      <c r="V527" s="124"/>
      <c r="W527" s="124"/>
      <c r="X527" s="124"/>
    </row>
    <row r="528">
      <c r="A528" s="216"/>
      <c r="B528" s="124"/>
      <c r="C528" s="124"/>
      <c r="D528" s="124"/>
      <c r="E528" s="124"/>
      <c r="F528" s="124"/>
      <c r="G528" s="124"/>
      <c r="H528" s="124"/>
      <c r="I528" s="217" t="str">
        <f>IFERROR(__xludf.DUMMYFUNCTION("""COMPUTED_VALUE"""),"")</f>
        <v/>
      </c>
      <c r="J528" s="219"/>
      <c r="K528" s="219"/>
      <c r="L528" s="124"/>
      <c r="M528" s="124"/>
      <c r="N528" s="124"/>
      <c r="O528" s="124"/>
      <c r="P528" s="124"/>
      <c r="Q528" s="124"/>
      <c r="R528" s="21"/>
      <c r="S528" s="124"/>
      <c r="T528" s="124"/>
      <c r="U528" s="124"/>
      <c r="V528" s="124"/>
      <c r="W528" s="124"/>
      <c r="X528" s="124"/>
    </row>
    <row r="529">
      <c r="A529" s="216"/>
      <c r="B529" s="124"/>
      <c r="C529" s="124"/>
      <c r="D529" s="124"/>
      <c r="E529" s="124"/>
      <c r="F529" s="124"/>
      <c r="G529" s="124"/>
      <c r="H529" s="124"/>
      <c r="I529" s="217" t="str">
        <f>IFERROR(__xludf.DUMMYFUNCTION("""COMPUTED_VALUE"""),"")</f>
        <v/>
      </c>
      <c r="J529" s="219"/>
      <c r="K529" s="219"/>
      <c r="L529" s="124"/>
      <c r="M529" s="124"/>
      <c r="N529" s="124"/>
      <c r="O529" s="124"/>
      <c r="P529" s="124"/>
      <c r="Q529" s="124"/>
      <c r="R529" s="21"/>
      <c r="S529" s="124"/>
      <c r="T529" s="124"/>
      <c r="U529" s="124"/>
      <c r="V529" s="124"/>
      <c r="W529" s="124"/>
      <c r="X529" s="124"/>
    </row>
    <row r="530">
      <c r="A530" s="216"/>
      <c r="B530" s="124"/>
      <c r="C530" s="124"/>
      <c r="D530" s="124"/>
      <c r="E530" s="124"/>
      <c r="F530" s="124"/>
      <c r="G530" s="124"/>
      <c r="H530" s="124"/>
      <c r="I530" s="217" t="str">
        <f>IFERROR(__xludf.DUMMYFUNCTION("""COMPUTED_VALUE"""),"")</f>
        <v/>
      </c>
      <c r="J530" s="219"/>
      <c r="K530" s="219"/>
      <c r="L530" s="124"/>
      <c r="M530" s="124"/>
      <c r="N530" s="124"/>
      <c r="O530" s="124"/>
      <c r="P530" s="124"/>
      <c r="Q530" s="124"/>
      <c r="R530" s="21"/>
      <c r="S530" s="124"/>
      <c r="T530" s="124"/>
      <c r="U530" s="124"/>
      <c r="V530" s="124"/>
      <c r="W530" s="124"/>
      <c r="X530" s="124"/>
    </row>
    <row r="531">
      <c r="A531" s="216"/>
      <c r="B531" s="124"/>
      <c r="C531" s="124"/>
      <c r="D531" s="124"/>
      <c r="E531" s="124"/>
      <c r="F531" s="124"/>
      <c r="G531" s="124"/>
      <c r="H531" s="124"/>
      <c r="I531" s="217" t="str">
        <f>IFERROR(__xludf.DUMMYFUNCTION("""COMPUTED_VALUE"""),"")</f>
        <v/>
      </c>
      <c r="J531" s="219"/>
      <c r="K531" s="219"/>
      <c r="L531" s="124"/>
      <c r="M531" s="124"/>
      <c r="N531" s="124"/>
      <c r="O531" s="124"/>
      <c r="P531" s="124"/>
      <c r="Q531" s="124"/>
      <c r="R531" s="21"/>
      <c r="S531" s="124"/>
      <c r="T531" s="124"/>
      <c r="U531" s="124"/>
      <c r="V531" s="124"/>
      <c r="W531" s="124"/>
      <c r="X531" s="124"/>
    </row>
    <row r="532">
      <c r="A532" s="216"/>
      <c r="B532" s="124"/>
      <c r="C532" s="124"/>
      <c r="D532" s="124"/>
      <c r="E532" s="124"/>
      <c r="F532" s="124"/>
      <c r="G532" s="124"/>
      <c r="H532" s="124"/>
      <c r="I532" s="217" t="str">
        <f>IFERROR(__xludf.DUMMYFUNCTION("""COMPUTED_VALUE"""),"")</f>
        <v/>
      </c>
      <c r="J532" s="219"/>
      <c r="K532" s="219"/>
      <c r="L532" s="124"/>
      <c r="M532" s="124"/>
      <c r="N532" s="124"/>
      <c r="O532" s="124"/>
      <c r="P532" s="124"/>
      <c r="Q532" s="124"/>
      <c r="R532" s="21"/>
      <c r="S532" s="124"/>
      <c r="T532" s="124"/>
      <c r="U532" s="124"/>
      <c r="V532" s="124"/>
      <c r="W532" s="124"/>
      <c r="X532" s="124"/>
    </row>
    <row r="533">
      <c r="A533" s="216"/>
      <c r="B533" s="124"/>
      <c r="C533" s="124"/>
      <c r="D533" s="124"/>
      <c r="E533" s="124"/>
      <c r="F533" s="124"/>
      <c r="G533" s="124"/>
      <c r="H533" s="124"/>
      <c r="I533" s="217" t="str">
        <f>IFERROR(__xludf.DUMMYFUNCTION("""COMPUTED_VALUE"""),"")</f>
        <v/>
      </c>
      <c r="J533" s="219"/>
      <c r="K533" s="219"/>
      <c r="L533" s="124"/>
      <c r="M533" s="124"/>
      <c r="N533" s="124"/>
      <c r="O533" s="124"/>
      <c r="P533" s="124"/>
      <c r="Q533" s="124"/>
      <c r="R533" s="21"/>
      <c r="S533" s="124"/>
      <c r="T533" s="124"/>
      <c r="U533" s="124"/>
      <c r="V533" s="124"/>
      <c r="W533" s="124"/>
      <c r="X533" s="124"/>
    </row>
    <row r="534">
      <c r="A534" s="216"/>
      <c r="B534" s="124"/>
      <c r="C534" s="124"/>
      <c r="D534" s="124"/>
      <c r="E534" s="124"/>
      <c r="F534" s="124"/>
      <c r="G534" s="124"/>
      <c r="H534" s="124"/>
      <c r="I534" s="217" t="str">
        <f>IFERROR(__xludf.DUMMYFUNCTION("""COMPUTED_VALUE"""),"")</f>
        <v/>
      </c>
      <c r="J534" s="219"/>
      <c r="K534" s="219"/>
      <c r="L534" s="124"/>
      <c r="M534" s="124"/>
      <c r="N534" s="124"/>
      <c r="O534" s="124"/>
      <c r="P534" s="124"/>
      <c r="Q534" s="124"/>
      <c r="R534" s="21"/>
      <c r="S534" s="124"/>
      <c r="T534" s="124"/>
      <c r="U534" s="124"/>
      <c r="V534" s="124"/>
      <c r="W534" s="124"/>
      <c r="X534" s="124"/>
    </row>
    <row r="535">
      <c r="A535" s="216"/>
      <c r="B535" s="124"/>
      <c r="C535" s="124"/>
      <c r="D535" s="124"/>
      <c r="E535" s="124"/>
      <c r="F535" s="124"/>
      <c r="G535" s="124"/>
      <c r="H535" s="124"/>
      <c r="I535" s="217" t="str">
        <f>IFERROR(__xludf.DUMMYFUNCTION("""COMPUTED_VALUE"""),"")</f>
        <v/>
      </c>
      <c r="J535" s="219"/>
      <c r="K535" s="219"/>
      <c r="L535" s="124"/>
      <c r="M535" s="124"/>
      <c r="N535" s="124"/>
      <c r="O535" s="124"/>
      <c r="P535" s="124"/>
      <c r="Q535" s="124"/>
      <c r="R535" s="21"/>
      <c r="S535" s="124"/>
      <c r="T535" s="124"/>
      <c r="U535" s="124"/>
      <c r="V535" s="124"/>
      <c r="W535" s="124"/>
      <c r="X535" s="124"/>
    </row>
    <row r="536">
      <c r="A536" s="216"/>
      <c r="B536" s="124"/>
      <c r="C536" s="124"/>
      <c r="D536" s="124"/>
      <c r="E536" s="124"/>
      <c r="F536" s="124"/>
      <c r="G536" s="124"/>
      <c r="H536" s="124"/>
      <c r="I536" s="217" t="str">
        <f>IFERROR(__xludf.DUMMYFUNCTION("""COMPUTED_VALUE"""),"")</f>
        <v/>
      </c>
      <c r="J536" s="219"/>
      <c r="K536" s="219"/>
      <c r="L536" s="124"/>
      <c r="M536" s="124"/>
      <c r="N536" s="124"/>
      <c r="O536" s="124"/>
      <c r="P536" s="124"/>
      <c r="Q536" s="124"/>
      <c r="R536" s="21"/>
      <c r="S536" s="124"/>
      <c r="T536" s="124"/>
      <c r="U536" s="124"/>
      <c r="V536" s="124"/>
      <c r="W536" s="124"/>
      <c r="X536" s="124"/>
    </row>
    <row r="537">
      <c r="A537" s="216"/>
      <c r="B537" s="124"/>
      <c r="C537" s="124"/>
      <c r="D537" s="124"/>
      <c r="E537" s="124"/>
      <c r="F537" s="124"/>
      <c r="G537" s="124"/>
      <c r="H537" s="124"/>
      <c r="I537" s="217" t="str">
        <f>IFERROR(__xludf.DUMMYFUNCTION("""COMPUTED_VALUE"""),"")</f>
        <v/>
      </c>
      <c r="J537" s="219"/>
      <c r="K537" s="219"/>
      <c r="L537" s="124"/>
      <c r="M537" s="124"/>
      <c r="N537" s="124"/>
      <c r="O537" s="124"/>
      <c r="P537" s="124"/>
      <c r="Q537" s="124"/>
      <c r="R537" s="21"/>
      <c r="S537" s="124"/>
      <c r="T537" s="124"/>
      <c r="U537" s="124"/>
      <c r="V537" s="124"/>
      <c r="W537" s="124"/>
      <c r="X537" s="124"/>
    </row>
    <row r="538">
      <c r="A538" s="216"/>
      <c r="B538" s="124"/>
      <c r="C538" s="124"/>
      <c r="D538" s="124"/>
      <c r="E538" s="124"/>
      <c r="F538" s="124"/>
      <c r="G538" s="124"/>
      <c r="H538" s="124"/>
      <c r="I538" s="217" t="str">
        <f>IFERROR(__xludf.DUMMYFUNCTION("""COMPUTED_VALUE"""),"")</f>
        <v/>
      </c>
      <c r="J538" s="219"/>
      <c r="K538" s="219"/>
      <c r="L538" s="124"/>
      <c r="M538" s="124"/>
      <c r="N538" s="124"/>
      <c r="O538" s="124"/>
      <c r="P538" s="124"/>
      <c r="Q538" s="124"/>
      <c r="R538" s="21"/>
      <c r="S538" s="124"/>
      <c r="T538" s="124"/>
      <c r="U538" s="124"/>
      <c r="V538" s="124"/>
      <c r="W538" s="124"/>
      <c r="X538" s="124"/>
    </row>
    <row r="539">
      <c r="A539" s="216"/>
      <c r="B539" s="124"/>
      <c r="C539" s="124"/>
      <c r="D539" s="124"/>
      <c r="E539" s="124"/>
      <c r="F539" s="124"/>
      <c r="G539" s="124"/>
      <c r="H539" s="124"/>
      <c r="I539" s="217" t="str">
        <f>IFERROR(__xludf.DUMMYFUNCTION("""COMPUTED_VALUE"""),"")</f>
        <v/>
      </c>
      <c r="J539" s="219"/>
      <c r="K539" s="219"/>
      <c r="L539" s="124"/>
      <c r="M539" s="124"/>
      <c r="N539" s="124"/>
      <c r="O539" s="124"/>
      <c r="P539" s="124"/>
      <c r="Q539" s="124"/>
      <c r="R539" s="21"/>
      <c r="S539" s="124"/>
      <c r="T539" s="124"/>
      <c r="U539" s="124"/>
      <c r="V539" s="124"/>
      <c r="W539" s="124"/>
      <c r="X539" s="124"/>
    </row>
    <row r="540">
      <c r="A540" s="216"/>
      <c r="B540" s="124"/>
      <c r="C540" s="124"/>
      <c r="D540" s="124"/>
      <c r="E540" s="124"/>
      <c r="F540" s="124"/>
      <c r="G540" s="124"/>
      <c r="H540" s="124"/>
      <c r="I540" s="217" t="str">
        <f>IFERROR(__xludf.DUMMYFUNCTION("""COMPUTED_VALUE"""),"")</f>
        <v/>
      </c>
      <c r="J540" s="219"/>
      <c r="K540" s="219"/>
      <c r="L540" s="124"/>
      <c r="M540" s="124"/>
      <c r="N540" s="124"/>
      <c r="O540" s="124"/>
      <c r="P540" s="124"/>
      <c r="Q540" s="124"/>
      <c r="R540" s="21"/>
      <c r="S540" s="124"/>
      <c r="T540" s="124"/>
      <c r="U540" s="124"/>
      <c r="V540" s="124"/>
      <c r="W540" s="124"/>
      <c r="X540" s="124"/>
    </row>
    <row r="541">
      <c r="A541" s="216"/>
      <c r="B541" s="124"/>
      <c r="C541" s="124"/>
      <c r="D541" s="124"/>
      <c r="E541" s="124"/>
      <c r="F541" s="124"/>
      <c r="G541" s="124"/>
      <c r="H541" s="124"/>
      <c r="I541" s="217" t="str">
        <f>IFERROR(__xludf.DUMMYFUNCTION("""COMPUTED_VALUE"""),"")</f>
        <v/>
      </c>
      <c r="J541" s="219"/>
      <c r="K541" s="219"/>
      <c r="L541" s="124"/>
      <c r="M541" s="124"/>
      <c r="N541" s="124"/>
      <c r="O541" s="124"/>
      <c r="P541" s="124"/>
      <c r="Q541" s="124"/>
      <c r="R541" s="21"/>
      <c r="S541" s="124"/>
      <c r="T541" s="124"/>
      <c r="U541" s="124"/>
      <c r="V541" s="124"/>
      <c r="W541" s="124"/>
      <c r="X541" s="124"/>
    </row>
    <row r="542">
      <c r="A542" s="216"/>
      <c r="B542" s="124"/>
      <c r="C542" s="124"/>
      <c r="D542" s="124"/>
      <c r="E542" s="124"/>
      <c r="F542" s="124"/>
      <c r="G542" s="124"/>
      <c r="H542" s="124"/>
      <c r="I542" s="217" t="str">
        <f>IFERROR(__xludf.DUMMYFUNCTION("""COMPUTED_VALUE"""),"")</f>
        <v/>
      </c>
      <c r="J542" s="219"/>
      <c r="K542" s="219"/>
      <c r="L542" s="124"/>
      <c r="M542" s="124"/>
      <c r="N542" s="124"/>
      <c r="O542" s="124"/>
      <c r="P542" s="124"/>
      <c r="Q542" s="124"/>
      <c r="R542" s="21"/>
      <c r="S542" s="124"/>
      <c r="T542" s="124"/>
      <c r="U542" s="124"/>
      <c r="V542" s="124"/>
      <c r="W542" s="124"/>
      <c r="X542" s="124"/>
    </row>
    <row r="543">
      <c r="A543" s="216"/>
      <c r="B543" s="124"/>
      <c r="C543" s="124"/>
      <c r="D543" s="124"/>
      <c r="E543" s="124"/>
      <c r="F543" s="124"/>
      <c r="G543" s="124"/>
      <c r="H543" s="124"/>
      <c r="I543" s="217" t="str">
        <f>IFERROR(__xludf.DUMMYFUNCTION("""COMPUTED_VALUE"""),"")</f>
        <v/>
      </c>
      <c r="J543" s="219"/>
      <c r="K543" s="219"/>
      <c r="L543" s="124"/>
      <c r="M543" s="124"/>
      <c r="N543" s="124"/>
      <c r="O543" s="124"/>
      <c r="P543" s="124"/>
      <c r="Q543" s="124"/>
      <c r="R543" s="21"/>
      <c r="S543" s="124"/>
      <c r="T543" s="124"/>
      <c r="U543" s="124"/>
      <c r="V543" s="124"/>
      <c r="W543" s="124"/>
      <c r="X543" s="124"/>
    </row>
    <row r="544">
      <c r="A544" s="216"/>
      <c r="B544" s="124"/>
      <c r="C544" s="124"/>
      <c r="D544" s="124"/>
      <c r="E544" s="124"/>
      <c r="F544" s="124"/>
      <c r="G544" s="124"/>
      <c r="H544" s="124"/>
      <c r="I544" s="217" t="str">
        <f>IFERROR(__xludf.DUMMYFUNCTION("""COMPUTED_VALUE"""),"")</f>
        <v/>
      </c>
      <c r="J544" s="219"/>
      <c r="K544" s="219"/>
      <c r="L544" s="124"/>
      <c r="M544" s="124"/>
      <c r="N544" s="124"/>
      <c r="O544" s="124"/>
      <c r="P544" s="124"/>
      <c r="Q544" s="124"/>
      <c r="R544" s="21"/>
      <c r="S544" s="124"/>
      <c r="T544" s="124"/>
      <c r="U544" s="124"/>
      <c r="V544" s="124"/>
      <c r="W544" s="124"/>
      <c r="X544" s="124"/>
    </row>
    <row r="545">
      <c r="A545" s="216"/>
      <c r="B545" s="124"/>
      <c r="C545" s="124"/>
      <c r="D545" s="124"/>
      <c r="E545" s="124"/>
      <c r="F545" s="124"/>
      <c r="G545" s="124"/>
      <c r="H545" s="124"/>
      <c r="I545" s="217" t="str">
        <f>IFERROR(__xludf.DUMMYFUNCTION("""COMPUTED_VALUE"""),"")</f>
        <v/>
      </c>
      <c r="J545" s="219"/>
      <c r="K545" s="219"/>
      <c r="L545" s="124"/>
      <c r="M545" s="124"/>
      <c r="N545" s="124"/>
      <c r="O545" s="124"/>
      <c r="P545" s="124"/>
      <c r="Q545" s="124"/>
      <c r="R545" s="21"/>
      <c r="S545" s="124"/>
      <c r="T545" s="124"/>
      <c r="U545" s="124"/>
      <c r="V545" s="124"/>
      <c r="W545" s="124"/>
      <c r="X545" s="124"/>
    </row>
    <row r="546">
      <c r="A546" s="216"/>
      <c r="B546" s="124"/>
      <c r="C546" s="124"/>
      <c r="D546" s="124"/>
      <c r="E546" s="124"/>
      <c r="F546" s="124"/>
      <c r="G546" s="124"/>
      <c r="H546" s="124"/>
      <c r="I546" s="217" t="str">
        <f>IFERROR(__xludf.DUMMYFUNCTION("""COMPUTED_VALUE"""),"")</f>
        <v/>
      </c>
      <c r="J546" s="219"/>
      <c r="K546" s="219"/>
      <c r="L546" s="124"/>
      <c r="M546" s="124"/>
      <c r="N546" s="124"/>
      <c r="O546" s="124"/>
      <c r="P546" s="124"/>
      <c r="Q546" s="124"/>
      <c r="R546" s="21"/>
      <c r="S546" s="124"/>
      <c r="T546" s="124"/>
      <c r="U546" s="124"/>
      <c r="V546" s="124"/>
      <c r="W546" s="124"/>
      <c r="X546" s="124"/>
    </row>
    <row r="547">
      <c r="A547" s="216"/>
      <c r="B547" s="124"/>
      <c r="C547" s="124"/>
      <c r="D547" s="124"/>
      <c r="E547" s="124"/>
      <c r="F547" s="124"/>
      <c r="G547" s="124"/>
      <c r="H547" s="124"/>
      <c r="I547" s="217" t="str">
        <f>IFERROR(__xludf.DUMMYFUNCTION("""COMPUTED_VALUE"""),"")</f>
        <v/>
      </c>
      <c r="J547" s="219"/>
      <c r="K547" s="219"/>
      <c r="L547" s="124"/>
      <c r="M547" s="124"/>
      <c r="N547" s="124"/>
      <c r="O547" s="124"/>
      <c r="P547" s="124"/>
      <c r="Q547" s="124"/>
      <c r="R547" s="21"/>
      <c r="S547" s="124"/>
      <c r="T547" s="124"/>
      <c r="U547" s="124"/>
      <c r="V547" s="124"/>
      <c r="W547" s="124"/>
      <c r="X547" s="124"/>
    </row>
    <row r="548">
      <c r="A548" s="216"/>
      <c r="B548" s="124"/>
      <c r="C548" s="124"/>
      <c r="D548" s="124"/>
      <c r="E548" s="124"/>
      <c r="F548" s="124"/>
      <c r="G548" s="124"/>
      <c r="H548" s="124"/>
      <c r="I548" s="217" t="str">
        <f>IFERROR(__xludf.DUMMYFUNCTION("""COMPUTED_VALUE"""),"")</f>
        <v/>
      </c>
      <c r="J548" s="219"/>
      <c r="K548" s="219"/>
      <c r="L548" s="124"/>
      <c r="M548" s="124"/>
      <c r="N548" s="124"/>
      <c r="O548" s="124"/>
      <c r="P548" s="124"/>
      <c r="Q548" s="124"/>
      <c r="R548" s="21"/>
      <c r="S548" s="124"/>
      <c r="T548" s="124"/>
      <c r="U548" s="124"/>
      <c r="V548" s="124"/>
      <c r="W548" s="124"/>
      <c r="X548" s="124"/>
    </row>
    <row r="549">
      <c r="A549" s="216"/>
      <c r="B549" s="124"/>
      <c r="C549" s="124"/>
      <c r="D549" s="124"/>
      <c r="E549" s="124"/>
      <c r="F549" s="124"/>
      <c r="G549" s="124"/>
      <c r="H549" s="124"/>
      <c r="I549" s="217" t="str">
        <f>IFERROR(__xludf.DUMMYFUNCTION("""COMPUTED_VALUE"""),"")</f>
        <v/>
      </c>
      <c r="J549" s="219"/>
      <c r="K549" s="219"/>
      <c r="L549" s="124"/>
      <c r="M549" s="124"/>
      <c r="N549" s="124"/>
      <c r="O549" s="124"/>
      <c r="P549" s="124"/>
      <c r="Q549" s="124"/>
      <c r="R549" s="21"/>
      <c r="S549" s="124"/>
      <c r="T549" s="124"/>
      <c r="U549" s="124"/>
      <c r="V549" s="124"/>
      <c r="W549" s="124"/>
      <c r="X549" s="124"/>
    </row>
    <row r="550">
      <c r="A550" s="216"/>
      <c r="B550" s="124"/>
      <c r="C550" s="124"/>
      <c r="D550" s="124"/>
      <c r="E550" s="124"/>
      <c r="F550" s="124"/>
      <c r="G550" s="124"/>
      <c r="H550" s="124"/>
      <c r="I550" s="217" t="str">
        <f>IFERROR(__xludf.DUMMYFUNCTION("""COMPUTED_VALUE"""),"")</f>
        <v/>
      </c>
      <c r="J550" s="219"/>
      <c r="K550" s="219"/>
      <c r="L550" s="124"/>
      <c r="M550" s="124"/>
      <c r="N550" s="124"/>
      <c r="O550" s="124"/>
      <c r="P550" s="124"/>
      <c r="Q550" s="124"/>
      <c r="R550" s="21"/>
      <c r="S550" s="124"/>
      <c r="T550" s="124"/>
      <c r="U550" s="124"/>
      <c r="V550" s="124"/>
      <c r="W550" s="124"/>
      <c r="X550" s="124"/>
    </row>
    <row r="551">
      <c r="A551" s="216"/>
      <c r="B551" s="124"/>
      <c r="C551" s="124"/>
      <c r="D551" s="124"/>
      <c r="E551" s="124"/>
      <c r="F551" s="124"/>
      <c r="G551" s="124"/>
      <c r="H551" s="124"/>
      <c r="I551" s="217" t="str">
        <f>IFERROR(__xludf.DUMMYFUNCTION("""COMPUTED_VALUE"""),"")</f>
        <v/>
      </c>
      <c r="J551" s="219"/>
      <c r="K551" s="219"/>
      <c r="L551" s="124"/>
      <c r="M551" s="124"/>
      <c r="N551" s="124"/>
      <c r="O551" s="124"/>
      <c r="P551" s="124"/>
      <c r="Q551" s="124"/>
      <c r="R551" s="21"/>
      <c r="S551" s="124"/>
      <c r="T551" s="124"/>
      <c r="U551" s="124"/>
      <c r="V551" s="124"/>
      <c r="W551" s="124"/>
      <c r="X551" s="124"/>
    </row>
    <row r="552">
      <c r="A552" s="216"/>
      <c r="B552" s="124"/>
      <c r="C552" s="124"/>
      <c r="D552" s="124"/>
      <c r="E552" s="124"/>
      <c r="F552" s="124"/>
      <c r="G552" s="124"/>
      <c r="H552" s="124"/>
      <c r="I552" s="217" t="str">
        <f>IFERROR(__xludf.DUMMYFUNCTION("""COMPUTED_VALUE"""),"")</f>
        <v/>
      </c>
      <c r="J552" s="219"/>
      <c r="K552" s="219"/>
      <c r="L552" s="124"/>
      <c r="M552" s="124"/>
      <c r="N552" s="124"/>
      <c r="O552" s="124"/>
      <c r="P552" s="124"/>
      <c r="Q552" s="124"/>
      <c r="R552" s="21"/>
      <c r="S552" s="124"/>
      <c r="T552" s="124"/>
      <c r="U552" s="124"/>
      <c r="V552" s="124"/>
      <c r="W552" s="124"/>
      <c r="X552" s="124"/>
    </row>
    <row r="553">
      <c r="A553" s="216"/>
      <c r="B553" s="124"/>
      <c r="C553" s="124"/>
      <c r="D553" s="124"/>
      <c r="E553" s="124"/>
      <c r="F553" s="124"/>
      <c r="G553" s="124"/>
      <c r="H553" s="124"/>
      <c r="I553" s="217" t="str">
        <f>IFERROR(__xludf.DUMMYFUNCTION("""COMPUTED_VALUE"""),"")</f>
        <v/>
      </c>
      <c r="J553" s="219"/>
      <c r="K553" s="219"/>
      <c r="L553" s="124"/>
      <c r="M553" s="124"/>
      <c r="N553" s="124"/>
      <c r="O553" s="124"/>
      <c r="P553" s="124"/>
      <c r="Q553" s="124"/>
      <c r="R553" s="21"/>
      <c r="S553" s="124"/>
      <c r="T553" s="124"/>
      <c r="U553" s="124"/>
      <c r="V553" s="124"/>
      <c r="W553" s="124"/>
      <c r="X553" s="124"/>
    </row>
    <row r="554">
      <c r="A554" s="216"/>
      <c r="B554" s="124"/>
      <c r="C554" s="124"/>
      <c r="D554" s="124"/>
      <c r="E554" s="124"/>
      <c r="F554" s="124"/>
      <c r="G554" s="124"/>
      <c r="H554" s="124"/>
      <c r="I554" s="217" t="str">
        <f>IFERROR(__xludf.DUMMYFUNCTION("""COMPUTED_VALUE"""),"")</f>
        <v/>
      </c>
      <c r="J554" s="219"/>
      <c r="K554" s="219"/>
      <c r="L554" s="124"/>
      <c r="M554" s="124"/>
      <c r="N554" s="124"/>
      <c r="O554" s="124"/>
      <c r="P554" s="124"/>
      <c r="Q554" s="124"/>
      <c r="R554" s="21"/>
      <c r="S554" s="124"/>
      <c r="T554" s="124"/>
      <c r="U554" s="124"/>
      <c r="V554" s="124"/>
      <c r="W554" s="124"/>
      <c r="X554" s="124"/>
    </row>
    <row r="555">
      <c r="A555" s="216"/>
      <c r="B555" s="124"/>
      <c r="C555" s="124"/>
      <c r="D555" s="124"/>
      <c r="E555" s="124"/>
      <c r="F555" s="124"/>
      <c r="G555" s="124"/>
      <c r="H555" s="124"/>
      <c r="I555" s="217" t="str">
        <f>IFERROR(__xludf.DUMMYFUNCTION("""COMPUTED_VALUE"""),"")</f>
        <v/>
      </c>
      <c r="J555" s="219"/>
      <c r="K555" s="219"/>
      <c r="L555" s="124"/>
      <c r="M555" s="124"/>
      <c r="N555" s="124"/>
      <c r="O555" s="124"/>
      <c r="P555" s="124"/>
      <c r="Q555" s="124"/>
      <c r="R555" s="21"/>
      <c r="S555" s="124"/>
      <c r="T555" s="124"/>
      <c r="U555" s="124"/>
      <c r="V555" s="124"/>
      <c r="W555" s="124"/>
      <c r="X555" s="124"/>
    </row>
    <row r="556">
      <c r="A556" s="216"/>
      <c r="B556" s="124"/>
      <c r="C556" s="124"/>
      <c r="D556" s="124"/>
      <c r="E556" s="124"/>
      <c r="F556" s="124"/>
      <c r="G556" s="124"/>
      <c r="H556" s="124"/>
      <c r="I556" s="217" t="str">
        <f>IFERROR(__xludf.DUMMYFUNCTION("""COMPUTED_VALUE"""),"")</f>
        <v/>
      </c>
      <c r="J556" s="219"/>
      <c r="K556" s="219"/>
      <c r="L556" s="124"/>
      <c r="M556" s="124"/>
      <c r="N556" s="124"/>
      <c r="O556" s="124"/>
      <c r="P556" s="124"/>
      <c r="Q556" s="124"/>
      <c r="R556" s="21"/>
      <c r="S556" s="124"/>
      <c r="T556" s="124"/>
      <c r="U556" s="124"/>
      <c r="V556" s="124"/>
      <c r="W556" s="124"/>
      <c r="X556" s="124"/>
    </row>
    <row r="557">
      <c r="A557" s="216"/>
      <c r="B557" s="124"/>
      <c r="C557" s="124"/>
      <c r="D557" s="124"/>
      <c r="E557" s="124"/>
      <c r="F557" s="124"/>
      <c r="G557" s="124"/>
      <c r="H557" s="124"/>
      <c r="I557" s="217" t="str">
        <f>IFERROR(__xludf.DUMMYFUNCTION("""COMPUTED_VALUE"""),"")</f>
        <v/>
      </c>
      <c r="J557" s="219"/>
      <c r="K557" s="219"/>
      <c r="L557" s="124"/>
      <c r="M557" s="124"/>
      <c r="N557" s="124"/>
      <c r="O557" s="124"/>
      <c r="P557" s="124"/>
      <c r="Q557" s="124"/>
      <c r="R557" s="21"/>
      <c r="S557" s="124"/>
      <c r="T557" s="124"/>
      <c r="U557" s="124"/>
      <c r="V557" s="124"/>
      <c r="W557" s="124"/>
      <c r="X557" s="124"/>
    </row>
    <row r="558">
      <c r="A558" s="216"/>
      <c r="B558" s="124"/>
      <c r="C558" s="124"/>
      <c r="D558" s="124"/>
      <c r="E558" s="124"/>
      <c r="F558" s="124"/>
      <c r="G558" s="124"/>
      <c r="H558" s="124"/>
      <c r="I558" s="217" t="str">
        <f>IFERROR(__xludf.DUMMYFUNCTION("""COMPUTED_VALUE"""),"")</f>
        <v/>
      </c>
      <c r="J558" s="219"/>
      <c r="K558" s="219"/>
      <c r="L558" s="124"/>
      <c r="M558" s="124"/>
      <c r="N558" s="124"/>
      <c r="O558" s="124"/>
      <c r="P558" s="124"/>
      <c r="Q558" s="124"/>
      <c r="R558" s="21"/>
      <c r="S558" s="124"/>
      <c r="T558" s="124"/>
      <c r="U558" s="124"/>
      <c r="V558" s="124"/>
      <c r="W558" s="124"/>
      <c r="X558" s="124"/>
    </row>
    <row r="559">
      <c r="A559" s="216"/>
      <c r="B559" s="124"/>
      <c r="C559" s="124"/>
      <c r="D559" s="124"/>
      <c r="E559" s="124"/>
      <c r="F559" s="124"/>
      <c r="G559" s="124"/>
      <c r="H559" s="124"/>
      <c r="I559" s="217" t="str">
        <f>IFERROR(__xludf.DUMMYFUNCTION("""COMPUTED_VALUE"""),"")</f>
        <v/>
      </c>
      <c r="J559" s="219"/>
      <c r="K559" s="219"/>
      <c r="L559" s="124"/>
      <c r="M559" s="124"/>
      <c r="N559" s="124"/>
      <c r="O559" s="124"/>
      <c r="P559" s="124"/>
      <c r="Q559" s="124"/>
      <c r="R559" s="21"/>
      <c r="S559" s="124"/>
      <c r="T559" s="124"/>
      <c r="U559" s="124"/>
      <c r="V559" s="124"/>
      <c r="W559" s="124"/>
      <c r="X559" s="124"/>
    </row>
    <row r="560">
      <c r="A560" s="216"/>
      <c r="B560" s="124"/>
      <c r="C560" s="124"/>
      <c r="D560" s="124"/>
      <c r="E560" s="124"/>
      <c r="F560" s="124"/>
      <c r="G560" s="124"/>
      <c r="H560" s="124"/>
      <c r="I560" s="217" t="str">
        <f>IFERROR(__xludf.DUMMYFUNCTION("""COMPUTED_VALUE"""),"")</f>
        <v/>
      </c>
      <c r="J560" s="219"/>
      <c r="K560" s="219"/>
      <c r="L560" s="124"/>
      <c r="M560" s="124"/>
      <c r="N560" s="124"/>
      <c r="O560" s="124"/>
      <c r="P560" s="124"/>
      <c r="Q560" s="124"/>
      <c r="R560" s="21"/>
      <c r="S560" s="124"/>
      <c r="T560" s="124"/>
      <c r="U560" s="124"/>
      <c r="V560" s="124"/>
      <c r="W560" s="124"/>
      <c r="X560" s="124"/>
    </row>
    <row r="561">
      <c r="A561" s="216"/>
      <c r="B561" s="124"/>
      <c r="C561" s="124"/>
      <c r="D561" s="124"/>
      <c r="E561" s="124"/>
      <c r="F561" s="124"/>
      <c r="G561" s="124"/>
      <c r="H561" s="124"/>
      <c r="I561" s="217" t="str">
        <f>IFERROR(__xludf.DUMMYFUNCTION("""COMPUTED_VALUE"""),"")</f>
        <v/>
      </c>
      <c r="J561" s="219"/>
      <c r="K561" s="219"/>
      <c r="L561" s="124"/>
      <c r="M561" s="124"/>
      <c r="N561" s="124"/>
      <c r="O561" s="124"/>
      <c r="P561" s="124"/>
      <c r="Q561" s="124"/>
      <c r="R561" s="21"/>
      <c r="S561" s="124"/>
      <c r="T561" s="124"/>
      <c r="U561" s="124"/>
      <c r="V561" s="124"/>
      <c r="W561" s="124"/>
      <c r="X561" s="124"/>
    </row>
    <row r="562">
      <c r="A562" s="216"/>
      <c r="B562" s="124"/>
      <c r="C562" s="124"/>
      <c r="D562" s="124"/>
      <c r="E562" s="124"/>
      <c r="F562" s="124"/>
      <c r="G562" s="124"/>
      <c r="H562" s="124"/>
      <c r="I562" s="217" t="str">
        <f>IFERROR(__xludf.DUMMYFUNCTION("""COMPUTED_VALUE"""),"")</f>
        <v/>
      </c>
      <c r="J562" s="219"/>
      <c r="K562" s="219"/>
      <c r="L562" s="124"/>
      <c r="M562" s="124"/>
      <c r="N562" s="124"/>
      <c r="O562" s="124"/>
      <c r="P562" s="124"/>
      <c r="Q562" s="124"/>
      <c r="R562" s="21"/>
      <c r="S562" s="124"/>
      <c r="T562" s="124"/>
      <c r="U562" s="124"/>
      <c r="V562" s="124"/>
      <c r="W562" s="124"/>
      <c r="X562" s="124"/>
    </row>
    <row r="563">
      <c r="A563" s="216"/>
      <c r="B563" s="124"/>
      <c r="C563" s="124"/>
      <c r="D563" s="124"/>
      <c r="E563" s="124"/>
      <c r="F563" s="124"/>
      <c r="G563" s="124"/>
      <c r="H563" s="124"/>
      <c r="I563" s="217" t="str">
        <f>IFERROR(__xludf.DUMMYFUNCTION("""COMPUTED_VALUE"""),"")</f>
        <v/>
      </c>
      <c r="J563" s="219"/>
      <c r="K563" s="219"/>
      <c r="L563" s="124"/>
      <c r="M563" s="124"/>
      <c r="N563" s="124"/>
      <c r="O563" s="124"/>
      <c r="P563" s="124"/>
      <c r="Q563" s="124"/>
      <c r="R563" s="21"/>
      <c r="S563" s="124"/>
      <c r="T563" s="124"/>
      <c r="U563" s="124"/>
      <c r="V563" s="124"/>
      <c r="W563" s="124"/>
      <c r="X563" s="124"/>
    </row>
    <row r="564">
      <c r="A564" s="216"/>
      <c r="B564" s="124"/>
      <c r="C564" s="124"/>
      <c r="D564" s="124"/>
      <c r="E564" s="124"/>
      <c r="F564" s="124"/>
      <c r="G564" s="124"/>
      <c r="H564" s="124"/>
      <c r="I564" s="217" t="str">
        <f>IFERROR(__xludf.DUMMYFUNCTION("""COMPUTED_VALUE"""),"")</f>
        <v/>
      </c>
      <c r="J564" s="219"/>
      <c r="K564" s="219"/>
      <c r="L564" s="124"/>
      <c r="M564" s="124"/>
      <c r="N564" s="124"/>
      <c r="O564" s="124"/>
      <c r="P564" s="124"/>
      <c r="Q564" s="124"/>
      <c r="R564" s="21"/>
      <c r="S564" s="124"/>
      <c r="T564" s="124"/>
      <c r="U564" s="124"/>
      <c r="V564" s="124"/>
      <c r="W564" s="124"/>
      <c r="X564" s="124"/>
    </row>
    <row r="565">
      <c r="A565" s="216"/>
      <c r="B565" s="124"/>
      <c r="C565" s="124"/>
      <c r="D565" s="124"/>
      <c r="E565" s="124"/>
      <c r="F565" s="124"/>
      <c r="G565" s="124"/>
      <c r="H565" s="124"/>
      <c r="I565" s="217" t="str">
        <f>IFERROR(__xludf.DUMMYFUNCTION("""COMPUTED_VALUE"""),"")</f>
        <v/>
      </c>
      <c r="J565" s="219"/>
      <c r="K565" s="219"/>
      <c r="L565" s="124"/>
      <c r="M565" s="124"/>
      <c r="N565" s="124"/>
      <c r="O565" s="124"/>
      <c r="P565" s="124"/>
      <c r="Q565" s="124"/>
      <c r="R565" s="21"/>
      <c r="S565" s="124"/>
      <c r="T565" s="124"/>
      <c r="U565" s="124"/>
      <c r="V565" s="124"/>
      <c r="W565" s="124"/>
      <c r="X565" s="124"/>
    </row>
    <row r="566">
      <c r="A566" s="216"/>
      <c r="B566" s="124"/>
      <c r="C566" s="124"/>
      <c r="D566" s="124"/>
      <c r="E566" s="124"/>
      <c r="F566" s="124"/>
      <c r="G566" s="124"/>
      <c r="H566" s="124"/>
      <c r="I566" s="217" t="str">
        <f>IFERROR(__xludf.DUMMYFUNCTION("""COMPUTED_VALUE"""),"")</f>
        <v/>
      </c>
      <c r="J566" s="219"/>
      <c r="K566" s="219"/>
      <c r="L566" s="124"/>
      <c r="M566" s="124"/>
      <c r="N566" s="124"/>
      <c r="O566" s="124"/>
      <c r="P566" s="124"/>
      <c r="Q566" s="124"/>
      <c r="R566" s="21"/>
      <c r="S566" s="124"/>
      <c r="T566" s="124"/>
      <c r="U566" s="124"/>
      <c r="V566" s="124"/>
      <c r="W566" s="124"/>
      <c r="X566" s="124"/>
    </row>
    <row r="567">
      <c r="A567" s="216"/>
      <c r="B567" s="124"/>
      <c r="C567" s="124"/>
      <c r="D567" s="124"/>
      <c r="E567" s="124"/>
      <c r="F567" s="124"/>
      <c r="G567" s="124"/>
      <c r="H567" s="124"/>
      <c r="I567" s="217" t="str">
        <f>IFERROR(__xludf.DUMMYFUNCTION("""COMPUTED_VALUE"""),"")</f>
        <v/>
      </c>
      <c r="J567" s="219"/>
      <c r="K567" s="219"/>
      <c r="L567" s="124"/>
      <c r="M567" s="124"/>
      <c r="N567" s="124"/>
      <c r="O567" s="124"/>
      <c r="P567" s="124"/>
      <c r="Q567" s="124"/>
      <c r="R567" s="21"/>
      <c r="S567" s="124"/>
      <c r="T567" s="124"/>
      <c r="U567" s="124"/>
      <c r="V567" s="124"/>
      <c r="W567" s="124"/>
      <c r="X567" s="124"/>
    </row>
    <row r="568">
      <c r="A568" s="216"/>
      <c r="B568" s="124"/>
      <c r="C568" s="124"/>
      <c r="D568" s="124"/>
      <c r="E568" s="124"/>
      <c r="F568" s="124"/>
      <c r="G568" s="124"/>
      <c r="H568" s="124"/>
      <c r="I568" s="217" t="str">
        <f>IFERROR(__xludf.DUMMYFUNCTION("""COMPUTED_VALUE"""),"")</f>
        <v/>
      </c>
      <c r="J568" s="219"/>
      <c r="K568" s="219"/>
      <c r="L568" s="124"/>
      <c r="M568" s="124"/>
      <c r="N568" s="124"/>
      <c r="O568" s="124"/>
      <c r="P568" s="124"/>
      <c r="Q568" s="124"/>
      <c r="R568" s="21"/>
      <c r="S568" s="124"/>
      <c r="T568" s="124"/>
      <c r="U568" s="124"/>
      <c r="V568" s="124"/>
      <c r="W568" s="124"/>
      <c r="X568" s="124"/>
    </row>
    <row r="569">
      <c r="A569" s="216"/>
      <c r="B569" s="124"/>
      <c r="C569" s="124"/>
      <c r="D569" s="124"/>
      <c r="E569" s="124"/>
      <c r="F569" s="124"/>
      <c r="G569" s="124"/>
      <c r="H569" s="124"/>
      <c r="I569" s="217" t="str">
        <f>IFERROR(__xludf.DUMMYFUNCTION("""COMPUTED_VALUE"""),"")</f>
        <v/>
      </c>
      <c r="J569" s="219"/>
      <c r="K569" s="219"/>
      <c r="L569" s="124"/>
      <c r="M569" s="124"/>
      <c r="N569" s="124"/>
      <c r="O569" s="124"/>
      <c r="P569" s="124"/>
      <c r="Q569" s="124"/>
      <c r="R569" s="21"/>
      <c r="S569" s="124"/>
      <c r="T569" s="124"/>
      <c r="U569" s="124"/>
      <c r="V569" s="124"/>
      <c r="W569" s="124"/>
      <c r="X569" s="124"/>
    </row>
    <row r="570">
      <c r="A570" s="216"/>
      <c r="B570" s="124"/>
      <c r="C570" s="124"/>
      <c r="D570" s="124"/>
      <c r="E570" s="124"/>
      <c r="F570" s="124"/>
      <c r="G570" s="124"/>
      <c r="H570" s="124"/>
      <c r="I570" s="217" t="str">
        <f>IFERROR(__xludf.DUMMYFUNCTION("""COMPUTED_VALUE"""),"")</f>
        <v/>
      </c>
      <c r="J570" s="219"/>
      <c r="K570" s="219"/>
      <c r="L570" s="124"/>
      <c r="M570" s="124"/>
      <c r="N570" s="124"/>
      <c r="O570" s="124"/>
      <c r="P570" s="124"/>
      <c r="Q570" s="124"/>
      <c r="R570" s="21"/>
      <c r="S570" s="124"/>
      <c r="T570" s="124"/>
      <c r="U570" s="124"/>
      <c r="V570" s="124"/>
      <c r="W570" s="124"/>
      <c r="X570" s="124"/>
    </row>
    <row r="571">
      <c r="A571" s="216"/>
      <c r="B571" s="124"/>
      <c r="C571" s="124"/>
      <c r="D571" s="124"/>
      <c r="E571" s="124"/>
      <c r="F571" s="124"/>
      <c r="G571" s="124"/>
      <c r="H571" s="124"/>
      <c r="I571" s="217" t="str">
        <f>IFERROR(__xludf.DUMMYFUNCTION("""COMPUTED_VALUE"""),"")</f>
        <v/>
      </c>
      <c r="J571" s="219"/>
      <c r="K571" s="219"/>
      <c r="L571" s="124"/>
      <c r="M571" s="124"/>
      <c r="N571" s="124"/>
      <c r="O571" s="124"/>
      <c r="P571" s="124"/>
      <c r="Q571" s="124"/>
      <c r="R571" s="21"/>
      <c r="S571" s="124"/>
      <c r="T571" s="124"/>
      <c r="U571" s="124"/>
      <c r="V571" s="124"/>
      <c r="W571" s="124"/>
      <c r="X571" s="124"/>
    </row>
    <row r="572">
      <c r="A572" s="216"/>
      <c r="B572" s="124"/>
      <c r="C572" s="124"/>
      <c r="D572" s="124"/>
      <c r="E572" s="124"/>
      <c r="F572" s="124"/>
      <c r="G572" s="124"/>
      <c r="H572" s="124"/>
      <c r="I572" s="217" t="str">
        <f>IFERROR(__xludf.DUMMYFUNCTION("""COMPUTED_VALUE"""),"")</f>
        <v/>
      </c>
      <c r="J572" s="219"/>
      <c r="K572" s="219"/>
      <c r="L572" s="124"/>
      <c r="M572" s="124"/>
      <c r="N572" s="124"/>
      <c r="O572" s="124"/>
      <c r="P572" s="124"/>
      <c r="Q572" s="124"/>
      <c r="R572" s="21"/>
      <c r="S572" s="124"/>
      <c r="T572" s="124"/>
      <c r="U572" s="124"/>
      <c r="V572" s="124"/>
      <c r="W572" s="124"/>
      <c r="X572" s="124"/>
    </row>
    <row r="573">
      <c r="A573" s="216"/>
      <c r="B573" s="124"/>
      <c r="C573" s="124"/>
      <c r="D573" s="124"/>
      <c r="E573" s="124"/>
      <c r="F573" s="124"/>
      <c r="G573" s="124"/>
      <c r="H573" s="124"/>
      <c r="I573" s="217" t="str">
        <f>IFERROR(__xludf.DUMMYFUNCTION("""COMPUTED_VALUE"""),"")</f>
        <v/>
      </c>
      <c r="J573" s="219"/>
      <c r="K573" s="219"/>
      <c r="L573" s="124"/>
      <c r="M573" s="124"/>
      <c r="N573" s="124"/>
      <c r="O573" s="124"/>
      <c r="P573" s="124"/>
      <c r="Q573" s="124"/>
      <c r="R573" s="124"/>
      <c r="S573" s="124"/>
      <c r="T573" s="124"/>
      <c r="U573" s="124"/>
      <c r="V573" s="124"/>
      <c r="W573" s="124"/>
      <c r="X573" s="124"/>
    </row>
    <row r="574">
      <c r="A574" s="216"/>
      <c r="B574" s="124"/>
      <c r="C574" s="124"/>
      <c r="D574" s="124"/>
      <c r="E574" s="124"/>
      <c r="F574" s="124"/>
      <c r="G574" s="124"/>
      <c r="H574" s="124"/>
      <c r="I574" s="217" t="str">
        <f>IFERROR(__xludf.DUMMYFUNCTION("""COMPUTED_VALUE"""),"")</f>
        <v/>
      </c>
      <c r="J574" s="219"/>
      <c r="K574" s="219"/>
      <c r="L574" s="124"/>
      <c r="M574" s="124"/>
      <c r="N574" s="124"/>
      <c r="O574" s="124"/>
      <c r="P574" s="124"/>
      <c r="Q574" s="124"/>
      <c r="R574" s="124"/>
      <c r="S574" s="124"/>
      <c r="T574" s="124"/>
      <c r="U574" s="124"/>
      <c r="V574" s="124"/>
      <c r="W574" s="124"/>
      <c r="X574" s="124"/>
    </row>
    <row r="575">
      <c r="A575" s="216"/>
      <c r="B575" s="124"/>
      <c r="C575" s="124"/>
      <c r="D575" s="124"/>
      <c r="E575" s="124"/>
      <c r="F575" s="124"/>
      <c r="G575" s="124"/>
      <c r="H575" s="124"/>
      <c r="I575" s="217" t="str">
        <f>IFERROR(__xludf.DUMMYFUNCTION("""COMPUTED_VALUE"""),"")</f>
        <v/>
      </c>
      <c r="J575" s="219"/>
      <c r="K575" s="219"/>
      <c r="L575" s="124"/>
      <c r="M575" s="124"/>
      <c r="N575" s="124"/>
      <c r="O575" s="124"/>
      <c r="P575" s="124"/>
      <c r="Q575" s="124"/>
      <c r="R575" s="124"/>
      <c r="S575" s="124"/>
      <c r="T575" s="124"/>
      <c r="U575" s="124"/>
      <c r="V575" s="124"/>
      <c r="W575" s="124"/>
      <c r="X575" s="124"/>
    </row>
    <row r="576">
      <c r="A576" s="216"/>
      <c r="B576" s="124"/>
      <c r="C576" s="124"/>
      <c r="D576" s="124"/>
      <c r="E576" s="124"/>
      <c r="F576" s="124"/>
      <c r="G576" s="124"/>
      <c r="H576" s="124"/>
      <c r="I576" s="217" t="str">
        <f>IFERROR(__xludf.DUMMYFUNCTION("""COMPUTED_VALUE"""),"")</f>
        <v/>
      </c>
      <c r="J576" s="219"/>
      <c r="K576" s="219"/>
      <c r="L576" s="124"/>
      <c r="M576" s="124"/>
      <c r="N576" s="124"/>
      <c r="O576" s="124"/>
      <c r="P576" s="124"/>
      <c r="Q576" s="124"/>
      <c r="R576" s="124"/>
      <c r="S576" s="124"/>
      <c r="T576" s="124"/>
      <c r="U576" s="124"/>
      <c r="V576" s="124"/>
      <c r="W576" s="124"/>
      <c r="X576" s="124"/>
    </row>
    <row r="577">
      <c r="A577" s="216"/>
      <c r="B577" s="124"/>
      <c r="C577" s="124"/>
      <c r="D577" s="124"/>
      <c r="E577" s="124"/>
      <c r="F577" s="124"/>
      <c r="G577" s="124"/>
      <c r="H577" s="124"/>
      <c r="I577" s="217" t="str">
        <f>IFERROR(__xludf.DUMMYFUNCTION("""COMPUTED_VALUE"""),"")</f>
        <v/>
      </c>
      <c r="J577" s="219"/>
      <c r="K577" s="219"/>
      <c r="L577" s="124"/>
      <c r="M577" s="124"/>
      <c r="N577" s="124"/>
      <c r="O577" s="124"/>
      <c r="P577" s="124"/>
      <c r="Q577" s="124"/>
      <c r="R577" s="124"/>
      <c r="S577" s="124"/>
      <c r="T577" s="124"/>
      <c r="U577" s="124"/>
      <c r="V577" s="124"/>
      <c r="W577" s="124"/>
      <c r="X577" s="124"/>
    </row>
    <row r="578">
      <c r="A578" s="216"/>
      <c r="B578" s="124"/>
      <c r="C578" s="124"/>
      <c r="D578" s="124"/>
      <c r="E578" s="124"/>
      <c r="F578" s="124"/>
      <c r="G578" s="124"/>
      <c r="H578" s="124"/>
      <c r="I578" s="217" t="str">
        <f>IFERROR(__xludf.DUMMYFUNCTION("""COMPUTED_VALUE"""),"")</f>
        <v/>
      </c>
      <c r="J578" s="219"/>
      <c r="K578" s="219"/>
      <c r="L578" s="124"/>
      <c r="M578" s="124"/>
      <c r="N578" s="124"/>
      <c r="O578" s="124"/>
      <c r="P578" s="124"/>
      <c r="Q578" s="124"/>
      <c r="R578" s="124"/>
      <c r="S578" s="124"/>
      <c r="T578" s="124"/>
      <c r="U578" s="124"/>
      <c r="V578" s="124"/>
      <c r="W578" s="124"/>
      <c r="X578" s="124"/>
    </row>
    <row r="579">
      <c r="A579" s="216"/>
      <c r="B579" s="124"/>
      <c r="C579" s="124"/>
      <c r="D579" s="124"/>
      <c r="E579" s="124"/>
      <c r="F579" s="124"/>
      <c r="G579" s="124"/>
      <c r="H579" s="124"/>
      <c r="I579" s="217" t="str">
        <f>IFERROR(__xludf.DUMMYFUNCTION("""COMPUTED_VALUE"""),"")</f>
        <v/>
      </c>
      <c r="J579" s="219"/>
      <c r="K579" s="219"/>
      <c r="L579" s="124"/>
      <c r="M579" s="124"/>
      <c r="N579" s="124"/>
      <c r="O579" s="124"/>
      <c r="P579" s="124"/>
      <c r="Q579" s="124"/>
      <c r="R579" s="124"/>
      <c r="S579" s="124"/>
      <c r="T579" s="124"/>
      <c r="U579" s="124"/>
      <c r="V579" s="124"/>
      <c r="W579" s="124"/>
      <c r="X579" s="124"/>
    </row>
    <row r="580">
      <c r="A580" s="216"/>
      <c r="B580" s="124"/>
      <c r="C580" s="124"/>
      <c r="D580" s="124"/>
      <c r="E580" s="124"/>
      <c r="F580" s="124"/>
      <c r="G580" s="124"/>
      <c r="H580" s="124"/>
      <c r="I580" s="217" t="str">
        <f>IFERROR(__xludf.DUMMYFUNCTION("""COMPUTED_VALUE"""),"")</f>
        <v/>
      </c>
      <c r="J580" s="219"/>
      <c r="K580" s="219"/>
      <c r="L580" s="124"/>
      <c r="M580" s="124"/>
      <c r="N580" s="124"/>
      <c r="O580" s="124"/>
      <c r="P580" s="124"/>
      <c r="Q580" s="124"/>
      <c r="R580" s="124"/>
      <c r="S580" s="124"/>
      <c r="T580" s="124"/>
      <c r="U580" s="124"/>
      <c r="V580" s="124"/>
      <c r="W580" s="124"/>
      <c r="X580" s="124"/>
    </row>
    <row r="581">
      <c r="A581" s="216"/>
      <c r="B581" s="124"/>
      <c r="C581" s="124"/>
      <c r="D581" s="124"/>
      <c r="E581" s="124"/>
      <c r="F581" s="124"/>
      <c r="G581" s="124"/>
      <c r="H581" s="124"/>
      <c r="I581" s="217" t="str">
        <f>IFERROR(__xludf.DUMMYFUNCTION("""COMPUTED_VALUE"""),"")</f>
        <v/>
      </c>
      <c r="J581" s="219"/>
      <c r="K581" s="219"/>
      <c r="L581" s="124"/>
      <c r="M581" s="124"/>
      <c r="N581" s="124"/>
      <c r="O581" s="124"/>
      <c r="P581" s="124"/>
      <c r="Q581" s="124"/>
      <c r="R581" s="124"/>
      <c r="S581" s="124"/>
      <c r="T581" s="124"/>
      <c r="U581" s="124"/>
      <c r="V581" s="124"/>
      <c r="W581" s="124"/>
      <c r="X581" s="124"/>
    </row>
    <row r="582">
      <c r="A582" s="216"/>
      <c r="B582" s="124"/>
      <c r="C582" s="124"/>
      <c r="D582" s="124"/>
      <c r="E582" s="124"/>
      <c r="F582" s="124"/>
      <c r="G582" s="124"/>
      <c r="H582" s="124"/>
      <c r="I582" s="217" t="str">
        <f>IFERROR(__xludf.DUMMYFUNCTION("""COMPUTED_VALUE"""),"")</f>
        <v/>
      </c>
      <c r="J582" s="219"/>
      <c r="K582" s="219"/>
      <c r="L582" s="124"/>
      <c r="M582" s="124"/>
      <c r="N582" s="124"/>
      <c r="O582" s="124"/>
      <c r="P582" s="124"/>
      <c r="Q582" s="124"/>
      <c r="R582" s="124"/>
      <c r="S582" s="124"/>
      <c r="T582" s="124"/>
      <c r="U582" s="124"/>
      <c r="V582" s="124"/>
      <c r="W582" s="124"/>
      <c r="X582" s="124"/>
    </row>
    <row r="583">
      <c r="A583" s="216"/>
      <c r="B583" s="124"/>
      <c r="C583" s="124"/>
      <c r="D583" s="124"/>
      <c r="E583" s="124"/>
      <c r="F583" s="124"/>
      <c r="G583" s="124"/>
      <c r="H583" s="124"/>
      <c r="I583" s="217" t="str">
        <f>IFERROR(__xludf.DUMMYFUNCTION("""COMPUTED_VALUE"""),"")</f>
        <v/>
      </c>
      <c r="J583" s="219"/>
      <c r="K583" s="219"/>
      <c r="L583" s="124"/>
      <c r="M583" s="124"/>
      <c r="N583" s="124"/>
      <c r="O583" s="124"/>
      <c r="P583" s="124"/>
      <c r="Q583" s="124"/>
      <c r="R583" s="124"/>
      <c r="S583" s="124"/>
      <c r="T583" s="124"/>
      <c r="U583" s="124"/>
      <c r="V583" s="124"/>
      <c r="W583" s="124"/>
      <c r="X583" s="124"/>
    </row>
    <row r="584">
      <c r="A584" s="216"/>
      <c r="B584" s="124"/>
      <c r="C584" s="124"/>
      <c r="D584" s="124"/>
      <c r="E584" s="124"/>
      <c r="F584" s="124"/>
      <c r="G584" s="124"/>
      <c r="H584" s="124"/>
      <c r="I584" s="217" t="str">
        <f>IFERROR(__xludf.DUMMYFUNCTION("""COMPUTED_VALUE"""),"")</f>
        <v/>
      </c>
      <c r="J584" s="219"/>
      <c r="K584" s="219"/>
      <c r="L584" s="124"/>
      <c r="M584" s="124"/>
      <c r="N584" s="124"/>
      <c r="O584" s="124"/>
      <c r="P584" s="124"/>
      <c r="Q584" s="124"/>
      <c r="R584" s="124"/>
      <c r="S584" s="124"/>
      <c r="T584" s="124"/>
      <c r="U584" s="124"/>
      <c r="V584" s="124"/>
      <c r="W584" s="124"/>
      <c r="X584" s="124"/>
    </row>
    <row r="585">
      <c r="A585" s="216"/>
      <c r="B585" s="124"/>
      <c r="C585" s="124"/>
      <c r="D585" s="124"/>
      <c r="E585" s="124"/>
      <c r="F585" s="124"/>
      <c r="G585" s="124"/>
      <c r="H585" s="124"/>
      <c r="I585" s="217" t="str">
        <f>IFERROR(__xludf.DUMMYFUNCTION("""COMPUTED_VALUE"""),"")</f>
        <v/>
      </c>
      <c r="J585" s="219"/>
      <c r="K585" s="219"/>
      <c r="L585" s="124"/>
      <c r="M585" s="124"/>
      <c r="N585" s="124"/>
      <c r="O585" s="124"/>
      <c r="P585" s="124"/>
      <c r="Q585" s="124"/>
      <c r="R585" s="124"/>
      <c r="S585" s="124"/>
      <c r="T585" s="124"/>
      <c r="U585" s="124"/>
      <c r="V585" s="124"/>
      <c r="W585" s="124"/>
      <c r="X585" s="124"/>
    </row>
    <row r="586">
      <c r="A586" s="216"/>
      <c r="B586" s="124"/>
      <c r="C586" s="124"/>
      <c r="D586" s="124"/>
      <c r="E586" s="124"/>
      <c r="F586" s="124"/>
      <c r="G586" s="124"/>
      <c r="H586" s="124"/>
      <c r="I586" s="217" t="str">
        <f>IFERROR(__xludf.DUMMYFUNCTION("""COMPUTED_VALUE"""),"")</f>
        <v/>
      </c>
      <c r="J586" s="219"/>
      <c r="K586" s="219"/>
      <c r="L586" s="124"/>
      <c r="M586" s="124"/>
      <c r="N586" s="124"/>
      <c r="O586" s="124"/>
      <c r="P586" s="124"/>
      <c r="Q586" s="124"/>
      <c r="R586" s="124"/>
      <c r="S586" s="124"/>
      <c r="T586" s="124"/>
      <c r="U586" s="124"/>
      <c r="V586" s="124"/>
      <c r="W586" s="124"/>
      <c r="X586" s="124"/>
    </row>
    <row r="587">
      <c r="A587" s="216"/>
      <c r="B587" s="124"/>
      <c r="C587" s="124"/>
      <c r="D587" s="124"/>
      <c r="E587" s="124"/>
      <c r="F587" s="124"/>
      <c r="G587" s="124"/>
      <c r="H587" s="124"/>
      <c r="I587" s="217" t="str">
        <f>IFERROR(__xludf.DUMMYFUNCTION("""COMPUTED_VALUE"""),"")</f>
        <v/>
      </c>
      <c r="J587" s="219"/>
      <c r="K587" s="219"/>
      <c r="L587" s="124"/>
      <c r="M587" s="124"/>
      <c r="N587" s="124"/>
      <c r="O587" s="124"/>
      <c r="P587" s="124"/>
      <c r="Q587" s="124"/>
      <c r="R587" s="124"/>
      <c r="S587" s="124"/>
      <c r="T587" s="124"/>
      <c r="U587" s="124"/>
      <c r="V587" s="124"/>
      <c r="W587" s="124"/>
      <c r="X587" s="124"/>
    </row>
    <row r="588">
      <c r="A588" s="216"/>
      <c r="B588" s="124"/>
      <c r="C588" s="124"/>
      <c r="D588" s="124"/>
      <c r="E588" s="124"/>
      <c r="F588" s="124"/>
      <c r="G588" s="124"/>
      <c r="H588" s="124"/>
      <c r="I588" s="217" t="str">
        <f>IFERROR(__xludf.DUMMYFUNCTION("""COMPUTED_VALUE"""),"")</f>
        <v/>
      </c>
      <c r="J588" s="219"/>
      <c r="K588" s="219"/>
      <c r="L588" s="124"/>
      <c r="M588" s="124"/>
      <c r="N588" s="124"/>
      <c r="O588" s="124"/>
      <c r="P588" s="124"/>
      <c r="Q588" s="124"/>
      <c r="R588" s="124"/>
      <c r="S588" s="124"/>
      <c r="T588" s="124"/>
      <c r="U588" s="124"/>
      <c r="V588" s="124"/>
      <c r="W588" s="124"/>
      <c r="X588" s="124"/>
    </row>
    <row r="589">
      <c r="A589" s="216"/>
      <c r="B589" s="124"/>
      <c r="C589" s="124"/>
      <c r="D589" s="124"/>
      <c r="E589" s="124"/>
      <c r="F589" s="124"/>
      <c r="G589" s="124"/>
      <c r="H589" s="124"/>
      <c r="I589" s="217" t="str">
        <f>IFERROR(__xludf.DUMMYFUNCTION("""COMPUTED_VALUE"""),"")</f>
        <v/>
      </c>
      <c r="J589" s="219"/>
      <c r="K589" s="219"/>
      <c r="L589" s="124"/>
      <c r="M589" s="124"/>
      <c r="N589" s="124"/>
      <c r="O589" s="124"/>
      <c r="P589" s="124"/>
      <c r="Q589" s="124"/>
      <c r="R589" s="124"/>
      <c r="S589" s="124"/>
      <c r="T589" s="124"/>
      <c r="U589" s="124"/>
      <c r="V589" s="124"/>
      <c r="W589" s="124"/>
      <c r="X589" s="124"/>
    </row>
    <row r="590">
      <c r="A590" s="216"/>
      <c r="B590" s="124"/>
      <c r="C590" s="124"/>
      <c r="D590" s="124"/>
      <c r="E590" s="124"/>
      <c r="F590" s="124"/>
      <c r="G590" s="124"/>
      <c r="H590" s="124"/>
      <c r="I590" s="217" t="str">
        <f>IFERROR(__xludf.DUMMYFUNCTION("""COMPUTED_VALUE"""),"")</f>
        <v/>
      </c>
      <c r="J590" s="219"/>
      <c r="K590" s="219"/>
      <c r="L590" s="124"/>
      <c r="M590" s="124"/>
      <c r="N590" s="124"/>
      <c r="O590" s="124"/>
      <c r="P590" s="124"/>
      <c r="Q590" s="124"/>
      <c r="R590" s="124"/>
      <c r="S590" s="124"/>
      <c r="T590" s="124"/>
      <c r="U590" s="124"/>
      <c r="V590" s="124"/>
      <c r="W590" s="124"/>
      <c r="X590" s="124"/>
    </row>
    <row r="591">
      <c r="A591" s="216"/>
      <c r="B591" s="124"/>
      <c r="C591" s="124"/>
      <c r="D591" s="124"/>
      <c r="E591" s="124"/>
      <c r="F591" s="124"/>
      <c r="G591" s="124"/>
      <c r="H591" s="124"/>
      <c r="I591" s="217" t="str">
        <f>IFERROR(__xludf.DUMMYFUNCTION("""COMPUTED_VALUE"""),"")</f>
        <v/>
      </c>
      <c r="J591" s="219"/>
      <c r="K591" s="219"/>
      <c r="L591" s="124"/>
      <c r="M591" s="124"/>
      <c r="N591" s="124"/>
      <c r="O591" s="124"/>
      <c r="P591" s="124"/>
      <c r="Q591" s="124"/>
      <c r="R591" s="124"/>
      <c r="S591" s="124"/>
      <c r="T591" s="124"/>
      <c r="U591" s="124"/>
      <c r="V591" s="124"/>
      <c r="W591" s="124"/>
      <c r="X591" s="124"/>
    </row>
    <row r="592">
      <c r="A592" s="216"/>
      <c r="B592" s="124"/>
      <c r="C592" s="124"/>
      <c r="D592" s="124"/>
      <c r="E592" s="124"/>
      <c r="F592" s="124"/>
      <c r="G592" s="124"/>
      <c r="H592" s="124"/>
      <c r="I592" s="217" t="str">
        <f>IFERROR(__xludf.DUMMYFUNCTION("""COMPUTED_VALUE"""),"")</f>
        <v/>
      </c>
      <c r="J592" s="219"/>
      <c r="K592" s="219"/>
      <c r="L592" s="124"/>
      <c r="M592" s="124"/>
      <c r="N592" s="124"/>
      <c r="O592" s="124"/>
      <c r="P592" s="124"/>
      <c r="Q592" s="124"/>
      <c r="R592" s="124"/>
      <c r="S592" s="124"/>
      <c r="T592" s="124"/>
      <c r="U592" s="124"/>
      <c r="V592" s="124"/>
      <c r="W592" s="124"/>
      <c r="X592" s="124"/>
    </row>
    <row r="593">
      <c r="A593" s="216"/>
      <c r="B593" s="124"/>
      <c r="C593" s="124"/>
      <c r="D593" s="124"/>
      <c r="E593" s="124"/>
      <c r="F593" s="124"/>
      <c r="G593" s="124"/>
      <c r="H593" s="124"/>
      <c r="I593" s="217" t="str">
        <f>IFERROR(__xludf.DUMMYFUNCTION("""COMPUTED_VALUE"""),"")</f>
        <v/>
      </c>
      <c r="J593" s="219"/>
      <c r="K593" s="219"/>
      <c r="L593" s="124"/>
      <c r="M593" s="124"/>
      <c r="N593" s="124"/>
      <c r="O593" s="124"/>
      <c r="P593" s="124"/>
      <c r="Q593" s="124"/>
      <c r="R593" s="124"/>
      <c r="S593" s="124"/>
      <c r="T593" s="124"/>
      <c r="U593" s="124"/>
      <c r="V593" s="124"/>
      <c r="W593" s="124"/>
      <c r="X593" s="124"/>
    </row>
    <row r="594">
      <c r="A594" s="216"/>
      <c r="B594" s="124"/>
      <c r="C594" s="124"/>
      <c r="D594" s="124"/>
      <c r="E594" s="124"/>
      <c r="F594" s="124"/>
      <c r="G594" s="124"/>
      <c r="H594" s="124"/>
      <c r="I594" s="217" t="str">
        <f>IFERROR(__xludf.DUMMYFUNCTION("""COMPUTED_VALUE"""),"")</f>
        <v/>
      </c>
      <c r="J594" s="219"/>
      <c r="K594" s="219"/>
      <c r="L594" s="124"/>
      <c r="M594" s="124"/>
      <c r="N594" s="124"/>
      <c r="O594" s="124"/>
      <c r="P594" s="124"/>
      <c r="Q594" s="124"/>
      <c r="R594" s="124"/>
      <c r="S594" s="124"/>
      <c r="T594" s="124"/>
      <c r="U594" s="124"/>
      <c r="V594" s="124"/>
      <c r="W594" s="124"/>
      <c r="X594" s="124"/>
    </row>
    <row r="595">
      <c r="A595" s="216"/>
      <c r="B595" s="124"/>
      <c r="C595" s="124"/>
      <c r="D595" s="124"/>
      <c r="E595" s="124"/>
      <c r="F595" s="124"/>
      <c r="G595" s="124"/>
      <c r="H595" s="124"/>
      <c r="I595" s="217" t="str">
        <f>IFERROR(__xludf.DUMMYFUNCTION("""COMPUTED_VALUE"""),"")</f>
        <v/>
      </c>
      <c r="J595" s="219"/>
      <c r="K595" s="219"/>
      <c r="L595" s="124"/>
      <c r="M595" s="124"/>
      <c r="N595" s="124"/>
      <c r="O595" s="124"/>
      <c r="P595" s="124"/>
      <c r="Q595" s="124"/>
      <c r="R595" s="124"/>
      <c r="S595" s="124"/>
      <c r="T595" s="124"/>
      <c r="U595" s="124"/>
      <c r="V595" s="124"/>
      <c r="W595" s="124"/>
      <c r="X595" s="124"/>
    </row>
    <row r="596">
      <c r="A596" s="216"/>
      <c r="B596" s="124"/>
      <c r="C596" s="124"/>
      <c r="D596" s="124"/>
      <c r="E596" s="124"/>
      <c r="F596" s="124"/>
      <c r="G596" s="124"/>
      <c r="H596" s="124"/>
      <c r="I596" s="217" t="str">
        <f>IFERROR(__xludf.DUMMYFUNCTION("""COMPUTED_VALUE"""),"")</f>
        <v/>
      </c>
      <c r="J596" s="219"/>
      <c r="K596" s="219"/>
      <c r="L596" s="124"/>
      <c r="M596" s="124"/>
      <c r="N596" s="124"/>
      <c r="O596" s="124"/>
      <c r="P596" s="124"/>
      <c r="Q596" s="124"/>
      <c r="R596" s="124"/>
      <c r="S596" s="124"/>
      <c r="T596" s="124"/>
      <c r="U596" s="124"/>
      <c r="V596" s="124"/>
      <c r="W596" s="124"/>
      <c r="X596" s="124"/>
    </row>
    <row r="597">
      <c r="A597" s="216"/>
      <c r="B597" s="124"/>
      <c r="C597" s="124"/>
      <c r="D597" s="124"/>
      <c r="E597" s="124"/>
      <c r="F597" s="124"/>
      <c r="G597" s="124"/>
      <c r="H597" s="124"/>
      <c r="I597" s="217" t="str">
        <f>IFERROR(__xludf.DUMMYFUNCTION("""COMPUTED_VALUE"""),"")</f>
        <v/>
      </c>
      <c r="J597" s="219"/>
      <c r="K597" s="219"/>
      <c r="L597" s="124"/>
      <c r="M597" s="124"/>
      <c r="N597" s="124"/>
      <c r="O597" s="124"/>
      <c r="P597" s="124"/>
      <c r="Q597" s="124"/>
      <c r="R597" s="124"/>
      <c r="S597" s="124"/>
      <c r="T597" s="124"/>
      <c r="U597" s="124"/>
      <c r="V597" s="124"/>
      <c r="W597" s="124"/>
      <c r="X597" s="124"/>
    </row>
    <row r="598">
      <c r="A598" s="216"/>
      <c r="B598" s="124"/>
      <c r="C598" s="124"/>
      <c r="D598" s="124"/>
      <c r="E598" s="124"/>
      <c r="F598" s="124"/>
      <c r="G598" s="124"/>
      <c r="H598" s="124"/>
      <c r="I598" s="217" t="str">
        <f>IFERROR(__xludf.DUMMYFUNCTION("""COMPUTED_VALUE"""),"")</f>
        <v/>
      </c>
      <c r="J598" s="219"/>
      <c r="K598" s="219"/>
      <c r="L598" s="124"/>
      <c r="M598" s="124"/>
      <c r="N598" s="124"/>
      <c r="O598" s="124"/>
      <c r="P598" s="124"/>
      <c r="Q598" s="124"/>
      <c r="R598" s="124"/>
      <c r="S598" s="124"/>
      <c r="T598" s="124"/>
      <c r="U598" s="124"/>
      <c r="V598" s="124"/>
      <c r="W598" s="124"/>
      <c r="X598" s="124"/>
    </row>
    <row r="599">
      <c r="A599" s="216"/>
      <c r="B599" s="124"/>
      <c r="C599" s="124"/>
      <c r="D599" s="124"/>
      <c r="E599" s="124"/>
      <c r="F599" s="124"/>
      <c r="G599" s="124"/>
      <c r="H599" s="124"/>
      <c r="I599" s="217" t="str">
        <f>IFERROR(__xludf.DUMMYFUNCTION("""COMPUTED_VALUE"""),"")</f>
        <v/>
      </c>
      <c r="J599" s="219"/>
      <c r="K599" s="219"/>
      <c r="L599" s="124"/>
      <c r="M599" s="124"/>
      <c r="N599" s="124"/>
      <c r="O599" s="124"/>
      <c r="P599" s="124"/>
      <c r="Q599" s="124"/>
      <c r="R599" s="124"/>
      <c r="S599" s="124"/>
      <c r="T599" s="124"/>
      <c r="U599" s="124"/>
      <c r="V599" s="124"/>
      <c r="W599" s="124"/>
      <c r="X599" s="124"/>
    </row>
    <row r="600">
      <c r="A600" s="216"/>
      <c r="B600" s="124"/>
      <c r="C600" s="124"/>
      <c r="D600" s="124"/>
      <c r="E600" s="124"/>
      <c r="F600" s="124"/>
      <c r="G600" s="124"/>
      <c r="H600" s="124"/>
      <c r="I600" s="217" t="str">
        <f>IFERROR(__xludf.DUMMYFUNCTION("""COMPUTED_VALUE"""),"")</f>
        <v/>
      </c>
      <c r="J600" s="219"/>
      <c r="K600" s="219"/>
      <c r="L600" s="124"/>
      <c r="M600" s="124"/>
      <c r="N600" s="124"/>
      <c r="O600" s="124"/>
      <c r="P600" s="124"/>
      <c r="Q600" s="124"/>
      <c r="R600" s="124"/>
      <c r="S600" s="124"/>
      <c r="T600" s="124"/>
      <c r="U600" s="124"/>
      <c r="V600" s="124"/>
      <c r="W600" s="124"/>
      <c r="X600" s="124"/>
    </row>
    <row r="601">
      <c r="A601" s="216"/>
      <c r="B601" s="124"/>
      <c r="C601" s="124"/>
      <c r="D601" s="124"/>
      <c r="E601" s="124"/>
      <c r="F601" s="124"/>
      <c r="G601" s="124"/>
      <c r="H601" s="124"/>
      <c r="I601" s="217" t="str">
        <f>IFERROR(__xludf.DUMMYFUNCTION("""COMPUTED_VALUE"""),"")</f>
        <v/>
      </c>
      <c r="J601" s="219"/>
      <c r="K601" s="219"/>
      <c r="L601" s="124"/>
      <c r="M601" s="124"/>
      <c r="N601" s="124"/>
      <c r="O601" s="124"/>
      <c r="P601" s="124"/>
      <c r="Q601" s="124"/>
      <c r="R601" s="124"/>
      <c r="S601" s="124"/>
      <c r="T601" s="124"/>
      <c r="U601" s="124"/>
      <c r="V601" s="124"/>
      <c r="W601" s="124"/>
      <c r="X601" s="124"/>
    </row>
    <row r="602">
      <c r="A602" s="216"/>
      <c r="B602" s="124"/>
      <c r="C602" s="124"/>
      <c r="D602" s="124"/>
      <c r="E602" s="124"/>
      <c r="F602" s="124"/>
      <c r="G602" s="124"/>
      <c r="H602" s="124"/>
      <c r="I602" s="217" t="str">
        <f>IFERROR(__xludf.DUMMYFUNCTION("""COMPUTED_VALUE"""),"")</f>
        <v/>
      </c>
      <c r="J602" s="219"/>
      <c r="K602" s="219"/>
      <c r="L602" s="124"/>
      <c r="M602" s="124"/>
      <c r="N602" s="124"/>
      <c r="O602" s="124"/>
      <c r="P602" s="124"/>
      <c r="Q602" s="124"/>
      <c r="R602" s="124"/>
      <c r="S602" s="124"/>
      <c r="T602" s="124"/>
      <c r="U602" s="124"/>
      <c r="V602" s="124"/>
      <c r="W602" s="124"/>
      <c r="X602" s="124"/>
    </row>
    <row r="603">
      <c r="A603" s="216"/>
      <c r="B603" s="124"/>
      <c r="C603" s="124"/>
      <c r="D603" s="124"/>
      <c r="E603" s="124"/>
      <c r="F603" s="124"/>
      <c r="G603" s="124"/>
      <c r="H603" s="124"/>
      <c r="I603" s="217" t="str">
        <f>IFERROR(__xludf.DUMMYFUNCTION("""COMPUTED_VALUE"""),"")</f>
        <v/>
      </c>
      <c r="J603" s="219"/>
      <c r="K603" s="219"/>
      <c r="L603" s="124"/>
      <c r="M603" s="124"/>
      <c r="N603" s="124"/>
      <c r="O603" s="124"/>
      <c r="P603" s="124"/>
      <c r="Q603" s="124"/>
      <c r="R603" s="124"/>
      <c r="S603" s="124"/>
      <c r="T603" s="124"/>
      <c r="U603" s="124"/>
      <c r="V603" s="124"/>
      <c r="W603" s="124"/>
      <c r="X603" s="124"/>
    </row>
    <row r="604">
      <c r="A604" s="216"/>
      <c r="B604" s="124"/>
      <c r="C604" s="124"/>
      <c r="D604" s="124"/>
      <c r="E604" s="124"/>
      <c r="F604" s="124"/>
      <c r="G604" s="124"/>
      <c r="H604" s="124"/>
      <c r="I604" s="217" t="str">
        <f>IFERROR(__xludf.DUMMYFUNCTION("""COMPUTED_VALUE"""),"")</f>
        <v/>
      </c>
      <c r="J604" s="219"/>
      <c r="K604" s="219"/>
      <c r="L604" s="124"/>
      <c r="M604" s="124"/>
      <c r="N604" s="124"/>
      <c r="O604" s="124"/>
      <c r="P604" s="124"/>
      <c r="Q604" s="124"/>
      <c r="R604" s="124"/>
      <c r="S604" s="124"/>
      <c r="T604" s="124"/>
      <c r="U604" s="124"/>
      <c r="V604" s="124"/>
      <c r="W604" s="124"/>
      <c r="X604" s="124"/>
    </row>
    <row r="605">
      <c r="A605" s="216"/>
      <c r="B605" s="124"/>
      <c r="C605" s="124"/>
      <c r="D605" s="124"/>
      <c r="E605" s="124"/>
      <c r="F605" s="124"/>
      <c r="G605" s="124"/>
      <c r="H605" s="124"/>
      <c r="I605" s="217" t="str">
        <f>IFERROR(__xludf.DUMMYFUNCTION("""COMPUTED_VALUE"""),"")</f>
        <v/>
      </c>
      <c r="J605" s="219"/>
      <c r="K605" s="219"/>
      <c r="L605" s="124"/>
      <c r="M605" s="124"/>
      <c r="N605" s="124"/>
      <c r="O605" s="124"/>
      <c r="P605" s="124"/>
      <c r="Q605" s="124"/>
      <c r="R605" s="124"/>
      <c r="S605" s="124"/>
      <c r="T605" s="124"/>
      <c r="U605" s="124"/>
      <c r="V605" s="124"/>
      <c r="W605" s="124"/>
      <c r="X605" s="124"/>
    </row>
    <row r="606">
      <c r="A606" s="216"/>
      <c r="B606" s="124"/>
      <c r="C606" s="124"/>
      <c r="D606" s="124"/>
      <c r="E606" s="124"/>
      <c r="F606" s="124"/>
      <c r="G606" s="124"/>
      <c r="H606" s="124"/>
      <c r="I606" s="217" t="str">
        <f>IFERROR(__xludf.DUMMYFUNCTION("""COMPUTED_VALUE"""),"")</f>
        <v/>
      </c>
      <c r="J606" s="219"/>
      <c r="K606" s="219"/>
      <c r="L606" s="124"/>
      <c r="M606" s="124"/>
      <c r="N606" s="124"/>
      <c r="O606" s="124"/>
      <c r="P606" s="124"/>
      <c r="Q606" s="124"/>
      <c r="R606" s="124"/>
      <c r="S606" s="124"/>
      <c r="T606" s="124"/>
      <c r="U606" s="124"/>
      <c r="V606" s="124"/>
      <c r="W606" s="124"/>
      <c r="X606" s="124"/>
    </row>
    <row r="607">
      <c r="A607" s="216"/>
      <c r="B607" s="124"/>
      <c r="C607" s="124"/>
      <c r="D607" s="124"/>
      <c r="E607" s="124"/>
      <c r="F607" s="124"/>
      <c r="G607" s="124"/>
      <c r="H607" s="124"/>
      <c r="I607" s="217" t="str">
        <f>IFERROR(__xludf.DUMMYFUNCTION("""COMPUTED_VALUE"""),"")</f>
        <v/>
      </c>
      <c r="J607" s="219"/>
      <c r="K607" s="219"/>
      <c r="L607" s="124"/>
      <c r="M607" s="124"/>
      <c r="N607" s="124"/>
      <c r="O607" s="124"/>
      <c r="P607" s="124"/>
      <c r="Q607" s="124"/>
      <c r="R607" s="124"/>
      <c r="S607" s="124"/>
      <c r="T607" s="124"/>
      <c r="U607" s="124"/>
      <c r="V607" s="124"/>
      <c r="W607" s="124"/>
      <c r="X607" s="124"/>
    </row>
    <row r="608">
      <c r="A608" s="216"/>
      <c r="B608" s="124"/>
      <c r="C608" s="124"/>
      <c r="D608" s="124"/>
      <c r="E608" s="124"/>
      <c r="F608" s="124"/>
      <c r="G608" s="124"/>
      <c r="H608" s="124"/>
      <c r="I608" s="217" t="str">
        <f>IFERROR(__xludf.DUMMYFUNCTION("""COMPUTED_VALUE"""),"")</f>
        <v/>
      </c>
      <c r="J608" s="219"/>
      <c r="K608" s="219"/>
      <c r="L608" s="124"/>
      <c r="M608" s="124"/>
      <c r="N608" s="124"/>
      <c r="O608" s="124"/>
      <c r="P608" s="124"/>
      <c r="Q608" s="124"/>
      <c r="R608" s="124"/>
      <c r="S608" s="124"/>
      <c r="T608" s="124"/>
      <c r="U608" s="124"/>
      <c r="V608" s="124"/>
      <c r="W608" s="124"/>
      <c r="X608" s="124"/>
    </row>
    <row r="609">
      <c r="A609" s="216"/>
      <c r="B609" s="124"/>
      <c r="C609" s="124"/>
      <c r="D609" s="124"/>
      <c r="E609" s="124"/>
      <c r="F609" s="124"/>
      <c r="G609" s="124"/>
      <c r="H609" s="124"/>
      <c r="I609" s="217" t="str">
        <f>IFERROR(__xludf.DUMMYFUNCTION("""COMPUTED_VALUE"""),"")</f>
        <v/>
      </c>
      <c r="J609" s="219"/>
      <c r="K609" s="219"/>
      <c r="L609" s="124"/>
      <c r="M609" s="124"/>
      <c r="N609" s="124"/>
      <c r="O609" s="124"/>
      <c r="P609" s="124"/>
      <c r="Q609" s="124"/>
      <c r="R609" s="124"/>
      <c r="S609" s="124"/>
      <c r="T609" s="124"/>
      <c r="U609" s="124"/>
      <c r="V609" s="124"/>
      <c r="W609" s="124"/>
      <c r="X609" s="124"/>
    </row>
    <row r="610">
      <c r="A610" s="216"/>
      <c r="B610" s="124"/>
      <c r="C610" s="124"/>
      <c r="D610" s="124"/>
      <c r="E610" s="124"/>
      <c r="F610" s="124"/>
      <c r="G610" s="124"/>
      <c r="H610" s="124"/>
      <c r="I610" s="217" t="str">
        <f>IFERROR(__xludf.DUMMYFUNCTION("""COMPUTED_VALUE"""),"")</f>
        <v/>
      </c>
      <c r="J610" s="219"/>
      <c r="K610" s="219"/>
      <c r="L610" s="124"/>
      <c r="M610" s="124"/>
      <c r="N610" s="124"/>
      <c r="O610" s="124"/>
      <c r="P610" s="124"/>
      <c r="Q610" s="124"/>
      <c r="R610" s="124"/>
      <c r="S610" s="124"/>
      <c r="T610" s="124"/>
      <c r="U610" s="124"/>
      <c r="V610" s="124"/>
      <c r="W610" s="124"/>
      <c r="X610" s="124"/>
    </row>
    <row r="611">
      <c r="A611" s="216"/>
      <c r="B611" s="124"/>
      <c r="C611" s="124"/>
      <c r="D611" s="124"/>
      <c r="E611" s="124"/>
      <c r="F611" s="124"/>
      <c r="G611" s="124"/>
      <c r="H611" s="124"/>
      <c r="I611" s="217" t="str">
        <f>IFERROR(__xludf.DUMMYFUNCTION("""COMPUTED_VALUE"""),"")</f>
        <v/>
      </c>
      <c r="J611" s="219"/>
      <c r="K611" s="219"/>
      <c r="L611" s="124"/>
      <c r="M611" s="124"/>
      <c r="N611" s="124"/>
      <c r="O611" s="124"/>
      <c r="P611" s="124"/>
      <c r="Q611" s="124"/>
      <c r="R611" s="124"/>
      <c r="S611" s="124"/>
      <c r="T611" s="124"/>
      <c r="U611" s="124"/>
      <c r="V611" s="124"/>
      <c r="W611" s="124"/>
      <c r="X611" s="124"/>
    </row>
    <row r="612">
      <c r="A612" s="216"/>
      <c r="B612" s="124"/>
      <c r="C612" s="124"/>
      <c r="D612" s="124"/>
      <c r="E612" s="124"/>
      <c r="F612" s="124"/>
      <c r="G612" s="124"/>
      <c r="H612" s="124"/>
      <c r="I612" s="217" t="str">
        <f>IFERROR(__xludf.DUMMYFUNCTION("""COMPUTED_VALUE"""),"")</f>
        <v/>
      </c>
      <c r="J612" s="219"/>
      <c r="K612" s="219"/>
      <c r="L612" s="124"/>
      <c r="M612" s="124"/>
      <c r="N612" s="124"/>
      <c r="O612" s="124"/>
      <c r="P612" s="124"/>
      <c r="Q612" s="124"/>
      <c r="R612" s="124"/>
      <c r="S612" s="124"/>
      <c r="T612" s="124"/>
      <c r="U612" s="124"/>
      <c r="V612" s="124"/>
      <c r="W612" s="124"/>
      <c r="X612" s="124"/>
    </row>
    <row r="613">
      <c r="A613" s="216"/>
      <c r="B613" s="124"/>
      <c r="C613" s="124"/>
      <c r="D613" s="124"/>
      <c r="E613" s="124"/>
      <c r="F613" s="124"/>
      <c r="G613" s="124"/>
      <c r="H613" s="124"/>
      <c r="I613" s="217" t="str">
        <f>IFERROR(__xludf.DUMMYFUNCTION("""COMPUTED_VALUE"""),"")</f>
        <v/>
      </c>
      <c r="J613" s="219"/>
      <c r="K613" s="219"/>
      <c r="L613" s="124"/>
      <c r="M613" s="124"/>
      <c r="N613" s="124"/>
      <c r="O613" s="124"/>
      <c r="P613" s="124"/>
      <c r="Q613" s="124"/>
      <c r="R613" s="124"/>
      <c r="S613" s="124"/>
      <c r="T613" s="124"/>
      <c r="U613" s="124"/>
      <c r="V613" s="124"/>
      <c r="W613" s="124"/>
      <c r="X613" s="124"/>
    </row>
    <row r="614">
      <c r="A614" s="216"/>
      <c r="B614" s="124"/>
      <c r="C614" s="124"/>
      <c r="D614" s="124"/>
      <c r="E614" s="124"/>
      <c r="F614" s="124"/>
      <c r="G614" s="124"/>
      <c r="H614" s="124"/>
      <c r="I614" s="217" t="str">
        <f>IFERROR(__xludf.DUMMYFUNCTION("""COMPUTED_VALUE"""),"")</f>
        <v/>
      </c>
      <c r="J614" s="219"/>
      <c r="K614" s="219"/>
      <c r="L614" s="124"/>
      <c r="M614" s="124"/>
      <c r="N614" s="124"/>
      <c r="O614" s="124"/>
      <c r="P614" s="124"/>
      <c r="Q614" s="124"/>
      <c r="R614" s="124"/>
      <c r="S614" s="124"/>
      <c r="T614" s="124"/>
      <c r="U614" s="124"/>
      <c r="V614" s="124"/>
      <c r="W614" s="124"/>
      <c r="X614" s="124"/>
    </row>
    <row r="615">
      <c r="A615" s="216"/>
      <c r="B615" s="124"/>
      <c r="C615" s="124"/>
      <c r="D615" s="124"/>
      <c r="E615" s="124"/>
      <c r="F615" s="124"/>
      <c r="G615" s="124"/>
      <c r="H615" s="124"/>
      <c r="I615" s="217" t="str">
        <f>IFERROR(__xludf.DUMMYFUNCTION("""COMPUTED_VALUE"""),"")</f>
        <v/>
      </c>
      <c r="J615" s="219"/>
      <c r="K615" s="219"/>
      <c r="L615" s="124"/>
      <c r="M615" s="124"/>
      <c r="N615" s="124"/>
      <c r="O615" s="124"/>
      <c r="P615" s="124"/>
      <c r="Q615" s="124"/>
      <c r="R615" s="124"/>
      <c r="S615" s="124"/>
      <c r="T615" s="124"/>
      <c r="U615" s="124"/>
      <c r="V615" s="124"/>
      <c r="W615" s="124"/>
      <c r="X615" s="124"/>
    </row>
    <row r="616">
      <c r="A616" s="216"/>
      <c r="B616" s="124"/>
      <c r="C616" s="124"/>
      <c r="D616" s="124"/>
      <c r="E616" s="124"/>
      <c r="F616" s="124"/>
      <c r="G616" s="124"/>
      <c r="H616" s="124"/>
      <c r="I616" s="217" t="str">
        <f>IFERROR(__xludf.DUMMYFUNCTION("""COMPUTED_VALUE"""),"")</f>
        <v/>
      </c>
      <c r="J616" s="219"/>
      <c r="K616" s="219"/>
      <c r="L616" s="124"/>
      <c r="M616" s="124"/>
      <c r="N616" s="124"/>
      <c r="O616" s="124"/>
      <c r="P616" s="124"/>
      <c r="Q616" s="124"/>
      <c r="R616" s="124"/>
      <c r="S616" s="124"/>
      <c r="T616" s="124"/>
      <c r="U616" s="124"/>
      <c r="V616" s="124"/>
      <c r="W616" s="124"/>
      <c r="X616" s="124"/>
    </row>
    <row r="617">
      <c r="A617" s="216"/>
      <c r="B617" s="124"/>
      <c r="C617" s="124"/>
      <c r="D617" s="124"/>
      <c r="E617" s="124"/>
      <c r="F617" s="124"/>
      <c r="G617" s="124"/>
      <c r="H617" s="124"/>
      <c r="I617" s="217" t="str">
        <f>IFERROR(__xludf.DUMMYFUNCTION("""COMPUTED_VALUE"""),"")</f>
        <v/>
      </c>
      <c r="J617" s="219"/>
      <c r="K617" s="219"/>
      <c r="L617" s="124"/>
      <c r="M617" s="124"/>
      <c r="N617" s="124"/>
      <c r="O617" s="124"/>
      <c r="P617" s="124"/>
      <c r="Q617" s="124"/>
      <c r="R617" s="124"/>
      <c r="S617" s="124"/>
      <c r="T617" s="124"/>
      <c r="U617" s="124"/>
      <c r="V617" s="124"/>
      <c r="W617" s="124"/>
      <c r="X617" s="124"/>
    </row>
    <row r="618">
      <c r="A618" s="216"/>
      <c r="B618" s="124"/>
      <c r="C618" s="124"/>
      <c r="D618" s="124"/>
      <c r="E618" s="124"/>
      <c r="F618" s="124"/>
      <c r="G618" s="124"/>
      <c r="H618" s="124"/>
      <c r="I618" s="217" t="str">
        <f>IFERROR(__xludf.DUMMYFUNCTION("""COMPUTED_VALUE"""),"")</f>
        <v/>
      </c>
      <c r="J618" s="219"/>
      <c r="K618" s="219"/>
      <c r="L618" s="124"/>
      <c r="M618" s="124"/>
      <c r="N618" s="124"/>
      <c r="O618" s="124"/>
      <c r="P618" s="124"/>
      <c r="Q618" s="124"/>
      <c r="R618" s="124"/>
      <c r="S618" s="124"/>
      <c r="T618" s="124"/>
      <c r="U618" s="124"/>
      <c r="V618" s="124"/>
      <c r="W618" s="124"/>
      <c r="X618" s="124"/>
    </row>
    <row r="619">
      <c r="A619" s="216"/>
      <c r="B619" s="124"/>
      <c r="C619" s="124"/>
      <c r="D619" s="124"/>
      <c r="E619" s="124"/>
      <c r="F619" s="124"/>
      <c r="G619" s="124"/>
      <c r="H619" s="124"/>
      <c r="I619" s="217" t="str">
        <f>IFERROR(__xludf.DUMMYFUNCTION("""COMPUTED_VALUE"""),"")</f>
        <v/>
      </c>
      <c r="J619" s="219"/>
      <c r="K619" s="219"/>
      <c r="L619" s="124"/>
      <c r="M619" s="124"/>
      <c r="N619" s="124"/>
      <c r="O619" s="124"/>
      <c r="P619" s="124"/>
      <c r="Q619" s="124"/>
      <c r="R619" s="124"/>
      <c r="S619" s="124"/>
      <c r="T619" s="124"/>
      <c r="U619" s="124"/>
      <c r="V619" s="124"/>
      <c r="W619" s="124"/>
      <c r="X619" s="124"/>
    </row>
    <row r="620">
      <c r="A620" s="216"/>
      <c r="B620" s="124"/>
      <c r="C620" s="124"/>
      <c r="D620" s="124"/>
      <c r="E620" s="124"/>
      <c r="F620" s="124"/>
      <c r="G620" s="124"/>
      <c r="H620" s="124"/>
      <c r="I620" s="217" t="str">
        <f>IFERROR(__xludf.DUMMYFUNCTION("""COMPUTED_VALUE"""),"")</f>
        <v/>
      </c>
      <c r="J620" s="219"/>
      <c r="K620" s="219"/>
      <c r="L620" s="124"/>
      <c r="M620" s="124"/>
      <c r="N620" s="124"/>
      <c r="O620" s="124"/>
      <c r="P620" s="124"/>
      <c r="Q620" s="124"/>
      <c r="R620" s="124"/>
      <c r="S620" s="124"/>
      <c r="T620" s="124"/>
      <c r="U620" s="124"/>
      <c r="V620" s="124"/>
      <c r="W620" s="124"/>
      <c r="X620" s="124"/>
    </row>
    <row r="621">
      <c r="A621" s="216"/>
      <c r="B621" s="124"/>
      <c r="C621" s="124"/>
      <c r="D621" s="124"/>
      <c r="E621" s="124"/>
      <c r="F621" s="124"/>
      <c r="G621" s="124"/>
      <c r="H621" s="124"/>
      <c r="I621" s="217" t="str">
        <f>IFERROR(__xludf.DUMMYFUNCTION("""COMPUTED_VALUE"""),"")</f>
        <v/>
      </c>
      <c r="J621" s="219"/>
      <c r="K621" s="219"/>
      <c r="L621" s="124"/>
      <c r="M621" s="124"/>
      <c r="N621" s="124"/>
      <c r="O621" s="124"/>
      <c r="P621" s="124"/>
      <c r="Q621" s="124"/>
      <c r="R621" s="124"/>
      <c r="S621" s="124"/>
      <c r="T621" s="124"/>
      <c r="U621" s="124"/>
      <c r="V621" s="124"/>
      <c r="W621" s="124"/>
      <c r="X621" s="124"/>
    </row>
    <row r="622">
      <c r="A622" s="216"/>
      <c r="B622" s="124"/>
      <c r="C622" s="124"/>
      <c r="D622" s="124"/>
      <c r="E622" s="124"/>
      <c r="F622" s="124"/>
      <c r="G622" s="124"/>
      <c r="H622" s="124"/>
      <c r="I622" s="217" t="str">
        <f>IFERROR(__xludf.DUMMYFUNCTION("""COMPUTED_VALUE"""),"")</f>
        <v/>
      </c>
      <c r="J622" s="219"/>
      <c r="K622" s="219"/>
      <c r="L622" s="124"/>
      <c r="M622" s="124"/>
      <c r="N622" s="124"/>
      <c r="O622" s="124"/>
      <c r="P622" s="124"/>
      <c r="Q622" s="124"/>
      <c r="R622" s="124"/>
      <c r="S622" s="124"/>
      <c r="T622" s="124"/>
      <c r="U622" s="124"/>
      <c r="V622" s="124"/>
      <c r="W622" s="124"/>
      <c r="X622" s="124"/>
    </row>
    <row r="623">
      <c r="A623" s="216"/>
      <c r="B623" s="124"/>
      <c r="C623" s="124"/>
      <c r="D623" s="124"/>
      <c r="E623" s="124"/>
      <c r="F623" s="124"/>
      <c r="G623" s="124"/>
      <c r="H623" s="124"/>
      <c r="I623" s="217" t="str">
        <f>IFERROR(__xludf.DUMMYFUNCTION("""COMPUTED_VALUE"""),"")</f>
        <v/>
      </c>
      <c r="J623" s="219"/>
      <c r="K623" s="219"/>
      <c r="L623" s="124"/>
      <c r="M623" s="124"/>
      <c r="N623" s="124"/>
      <c r="O623" s="124"/>
      <c r="P623" s="124"/>
      <c r="Q623" s="124"/>
      <c r="R623" s="124"/>
      <c r="S623" s="124"/>
      <c r="T623" s="124"/>
      <c r="U623" s="124"/>
      <c r="V623" s="124"/>
      <c r="W623" s="124"/>
      <c r="X623" s="124"/>
    </row>
    <row r="624">
      <c r="A624" s="216"/>
      <c r="B624" s="124"/>
      <c r="C624" s="124"/>
      <c r="D624" s="124"/>
      <c r="E624" s="124"/>
      <c r="F624" s="124"/>
      <c r="G624" s="124"/>
      <c r="H624" s="124"/>
      <c r="I624" s="217" t="str">
        <f>IFERROR(__xludf.DUMMYFUNCTION("""COMPUTED_VALUE"""),"")</f>
        <v/>
      </c>
      <c r="J624" s="219"/>
      <c r="K624" s="219"/>
      <c r="L624" s="124"/>
      <c r="M624" s="124"/>
      <c r="N624" s="124"/>
      <c r="O624" s="124"/>
      <c r="P624" s="124"/>
      <c r="Q624" s="124"/>
      <c r="R624" s="124"/>
      <c r="S624" s="124"/>
      <c r="T624" s="124"/>
      <c r="U624" s="124"/>
      <c r="V624" s="124"/>
      <c r="W624" s="124"/>
      <c r="X624" s="124"/>
    </row>
    <row r="625">
      <c r="A625" s="216"/>
      <c r="B625" s="124"/>
      <c r="C625" s="124"/>
      <c r="D625" s="124"/>
      <c r="E625" s="124"/>
      <c r="F625" s="124"/>
      <c r="G625" s="124"/>
      <c r="H625" s="124"/>
      <c r="I625" s="217" t="str">
        <f>IFERROR(__xludf.DUMMYFUNCTION("""COMPUTED_VALUE"""),"")</f>
        <v/>
      </c>
      <c r="J625" s="219"/>
      <c r="K625" s="219"/>
      <c r="L625" s="124"/>
      <c r="M625" s="124"/>
      <c r="N625" s="124"/>
      <c r="O625" s="124"/>
      <c r="P625" s="124"/>
      <c r="Q625" s="124"/>
      <c r="R625" s="124"/>
      <c r="S625" s="124"/>
      <c r="T625" s="124"/>
      <c r="U625" s="124"/>
      <c r="V625" s="124"/>
      <c r="W625" s="124"/>
      <c r="X625" s="124"/>
    </row>
    <row r="626">
      <c r="A626" s="216"/>
      <c r="B626" s="124"/>
      <c r="C626" s="124"/>
      <c r="D626" s="124"/>
      <c r="E626" s="124"/>
      <c r="F626" s="124"/>
      <c r="G626" s="124"/>
      <c r="H626" s="124"/>
      <c r="I626" s="217" t="str">
        <f>IFERROR(__xludf.DUMMYFUNCTION("""COMPUTED_VALUE"""),"")</f>
        <v/>
      </c>
      <c r="J626" s="219"/>
      <c r="K626" s="219"/>
      <c r="L626" s="124"/>
      <c r="M626" s="124"/>
      <c r="N626" s="124"/>
      <c r="O626" s="124"/>
      <c r="P626" s="124"/>
      <c r="Q626" s="124"/>
      <c r="R626" s="124"/>
      <c r="S626" s="124"/>
      <c r="T626" s="124"/>
      <c r="U626" s="124"/>
      <c r="V626" s="124"/>
      <c r="W626" s="124"/>
      <c r="X626" s="124"/>
    </row>
    <row r="627">
      <c r="A627" s="216"/>
      <c r="B627" s="124"/>
      <c r="C627" s="124"/>
      <c r="D627" s="124"/>
      <c r="E627" s="124"/>
      <c r="F627" s="124"/>
      <c r="G627" s="124"/>
      <c r="H627" s="124"/>
      <c r="I627" s="217" t="str">
        <f>IFERROR(__xludf.DUMMYFUNCTION("""COMPUTED_VALUE"""),"")</f>
        <v/>
      </c>
      <c r="J627" s="219"/>
      <c r="K627" s="219"/>
      <c r="L627" s="124"/>
      <c r="M627" s="124"/>
      <c r="N627" s="124"/>
      <c r="O627" s="124"/>
      <c r="P627" s="124"/>
      <c r="Q627" s="124"/>
      <c r="R627" s="124"/>
      <c r="S627" s="124"/>
      <c r="T627" s="124"/>
      <c r="U627" s="124"/>
      <c r="V627" s="124"/>
      <c r="W627" s="124"/>
      <c r="X627" s="124"/>
    </row>
    <row r="628">
      <c r="A628" s="216"/>
      <c r="B628" s="124"/>
      <c r="C628" s="124"/>
      <c r="D628" s="124"/>
      <c r="E628" s="124"/>
      <c r="F628" s="124"/>
      <c r="G628" s="124"/>
      <c r="H628" s="124"/>
      <c r="I628" s="217" t="str">
        <f>IFERROR(__xludf.DUMMYFUNCTION("""COMPUTED_VALUE"""),"")</f>
        <v/>
      </c>
      <c r="J628" s="219"/>
      <c r="K628" s="219"/>
      <c r="L628" s="124"/>
      <c r="M628" s="124"/>
      <c r="N628" s="124"/>
      <c r="O628" s="124"/>
      <c r="P628" s="124"/>
      <c r="Q628" s="124"/>
      <c r="R628" s="124"/>
      <c r="S628" s="124"/>
      <c r="T628" s="124"/>
      <c r="U628" s="124"/>
      <c r="V628" s="124"/>
      <c r="W628" s="124"/>
      <c r="X628" s="124"/>
    </row>
    <row r="629">
      <c r="A629" s="216"/>
      <c r="B629" s="124"/>
      <c r="C629" s="124"/>
      <c r="D629" s="124"/>
      <c r="E629" s="124"/>
      <c r="F629" s="124"/>
      <c r="G629" s="124"/>
      <c r="H629" s="124"/>
      <c r="I629" s="217" t="str">
        <f>IFERROR(__xludf.DUMMYFUNCTION("""COMPUTED_VALUE"""),"")</f>
        <v/>
      </c>
      <c r="J629" s="219"/>
      <c r="K629" s="219"/>
      <c r="L629" s="124"/>
      <c r="M629" s="124"/>
      <c r="N629" s="124"/>
      <c r="O629" s="124"/>
      <c r="P629" s="124"/>
      <c r="Q629" s="124"/>
      <c r="R629" s="124"/>
      <c r="S629" s="124"/>
      <c r="T629" s="124"/>
      <c r="U629" s="124"/>
      <c r="V629" s="124"/>
      <c r="W629" s="124"/>
      <c r="X629" s="124"/>
    </row>
    <row r="630">
      <c r="A630" s="216"/>
      <c r="B630" s="124"/>
      <c r="C630" s="124"/>
      <c r="D630" s="124"/>
      <c r="E630" s="124"/>
      <c r="F630" s="124"/>
      <c r="G630" s="124"/>
      <c r="H630" s="124"/>
      <c r="I630" s="217" t="str">
        <f>IFERROR(__xludf.DUMMYFUNCTION("""COMPUTED_VALUE"""),"")</f>
        <v/>
      </c>
      <c r="J630" s="219"/>
      <c r="K630" s="219"/>
      <c r="L630" s="124"/>
      <c r="M630" s="124"/>
      <c r="N630" s="124"/>
      <c r="O630" s="124"/>
      <c r="P630" s="124"/>
      <c r="Q630" s="124"/>
      <c r="R630" s="124"/>
      <c r="S630" s="124"/>
      <c r="T630" s="124"/>
      <c r="U630" s="124"/>
      <c r="V630" s="124"/>
      <c r="W630" s="124"/>
      <c r="X630" s="124"/>
    </row>
    <row r="631">
      <c r="A631" s="216"/>
      <c r="B631" s="124"/>
      <c r="C631" s="124"/>
      <c r="D631" s="124"/>
      <c r="E631" s="124"/>
      <c r="F631" s="124"/>
      <c r="G631" s="124"/>
      <c r="H631" s="124"/>
      <c r="I631" s="217" t="str">
        <f>IFERROR(__xludf.DUMMYFUNCTION("""COMPUTED_VALUE"""),"")</f>
        <v/>
      </c>
      <c r="J631" s="219"/>
      <c r="K631" s="219"/>
      <c r="L631" s="124"/>
      <c r="M631" s="124"/>
      <c r="N631" s="124"/>
      <c r="O631" s="124"/>
      <c r="P631" s="124"/>
      <c r="Q631" s="124"/>
      <c r="R631" s="124"/>
      <c r="S631" s="124"/>
      <c r="T631" s="124"/>
      <c r="U631" s="124"/>
      <c r="V631" s="124"/>
      <c r="W631" s="124"/>
      <c r="X631" s="124"/>
    </row>
    <row r="632">
      <c r="A632" s="216"/>
      <c r="B632" s="124"/>
      <c r="C632" s="124"/>
      <c r="D632" s="124"/>
      <c r="E632" s="124"/>
      <c r="F632" s="124"/>
      <c r="G632" s="124"/>
      <c r="H632" s="124"/>
      <c r="I632" s="217" t="str">
        <f>IFERROR(__xludf.DUMMYFUNCTION("""COMPUTED_VALUE"""),"")</f>
        <v/>
      </c>
      <c r="J632" s="219"/>
      <c r="K632" s="219"/>
      <c r="L632" s="124"/>
      <c r="M632" s="124"/>
      <c r="N632" s="124"/>
      <c r="O632" s="124"/>
      <c r="P632" s="124"/>
      <c r="Q632" s="124"/>
      <c r="R632" s="124"/>
      <c r="S632" s="124"/>
      <c r="T632" s="124"/>
      <c r="U632" s="124"/>
      <c r="V632" s="124"/>
      <c r="W632" s="124"/>
      <c r="X632" s="124"/>
    </row>
    <row r="633">
      <c r="A633" s="216"/>
      <c r="B633" s="124"/>
      <c r="C633" s="124"/>
      <c r="D633" s="124"/>
      <c r="E633" s="124"/>
      <c r="F633" s="124"/>
      <c r="G633" s="124"/>
      <c r="H633" s="124"/>
      <c r="I633" s="217" t="str">
        <f>IFERROR(__xludf.DUMMYFUNCTION("""COMPUTED_VALUE"""),"")</f>
        <v/>
      </c>
      <c r="J633" s="219"/>
      <c r="K633" s="219"/>
      <c r="L633" s="124"/>
      <c r="M633" s="124"/>
      <c r="N633" s="124"/>
      <c r="O633" s="124"/>
      <c r="P633" s="124"/>
      <c r="Q633" s="124"/>
      <c r="R633" s="124"/>
      <c r="S633" s="124"/>
      <c r="T633" s="124"/>
      <c r="U633" s="124"/>
      <c r="V633" s="124"/>
      <c r="W633" s="124"/>
      <c r="X633" s="124"/>
    </row>
    <row r="634">
      <c r="A634" s="216"/>
      <c r="B634" s="124"/>
      <c r="C634" s="124"/>
      <c r="D634" s="124"/>
      <c r="E634" s="124"/>
      <c r="F634" s="124"/>
      <c r="G634" s="124"/>
      <c r="H634" s="124"/>
      <c r="I634" s="217" t="str">
        <f>IFERROR(__xludf.DUMMYFUNCTION("""COMPUTED_VALUE"""),"")</f>
        <v/>
      </c>
      <c r="J634" s="219"/>
      <c r="K634" s="219"/>
      <c r="L634" s="124"/>
      <c r="M634" s="124"/>
      <c r="N634" s="124"/>
      <c r="O634" s="124"/>
      <c r="P634" s="124"/>
      <c r="Q634" s="124"/>
      <c r="R634" s="124"/>
      <c r="S634" s="124"/>
      <c r="T634" s="124"/>
      <c r="U634" s="124"/>
      <c r="V634" s="124"/>
      <c r="W634" s="124"/>
      <c r="X634" s="124"/>
    </row>
    <row r="635">
      <c r="A635" s="216"/>
      <c r="B635" s="124"/>
      <c r="C635" s="124"/>
      <c r="D635" s="124"/>
      <c r="E635" s="124"/>
      <c r="F635" s="124"/>
      <c r="G635" s="124"/>
      <c r="H635" s="124"/>
      <c r="I635" s="217" t="str">
        <f>IFERROR(__xludf.DUMMYFUNCTION("""COMPUTED_VALUE"""),"")</f>
        <v/>
      </c>
      <c r="J635" s="219"/>
      <c r="K635" s="219"/>
      <c r="L635" s="124"/>
      <c r="M635" s="124"/>
      <c r="N635" s="124"/>
      <c r="O635" s="124"/>
      <c r="P635" s="124"/>
      <c r="Q635" s="124"/>
      <c r="R635" s="124"/>
      <c r="S635" s="124"/>
      <c r="T635" s="124"/>
      <c r="U635" s="124"/>
      <c r="V635" s="124"/>
      <c r="W635" s="124"/>
      <c r="X635" s="124"/>
    </row>
    <row r="636">
      <c r="A636" s="216"/>
      <c r="B636" s="124"/>
      <c r="C636" s="124"/>
      <c r="D636" s="124"/>
      <c r="E636" s="124"/>
      <c r="F636" s="124"/>
      <c r="G636" s="124"/>
      <c r="H636" s="124"/>
      <c r="I636" s="217" t="str">
        <f>IFERROR(__xludf.DUMMYFUNCTION("""COMPUTED_VALUE"""),"")</f>
        <v/>
      </c>
      <c r="J636" s="219"/>
      <c r="K636" s="219"/>
      <c r="L636" s="124"/>
      <c r="M636" s="124"/>
      <c r="N636" s="124"/>
      <c r="O636" s="124"/>
      <c r="P636" s="124"/>
      <c r="Q636" s="124"/>
      <c r="R636" s="124"/>
      <c r="S636" s="124"/>
      <c r="T636" s="124"/>
      <c r="U636" s="124"/>
      <c r="V636" s="124"/>
      <c r="W636" s="124"/>
      <c r="X636" s="124"/>
    </row>
    <row r="637">
      <c r="A637" s="216"/>
      <c r="B637" s="124"/>
      <c r="C637" s="124"/>
      <c r="D637" s="124"/>
      <c r="E637" s="124"/>
      <c r="F637" s="124"/>
      <c r="G637" s="124"/>
      <c r="H637" s="124"/>
      <c r="I637" s="217" t="str">
        <f>IFERROR(__xludf.DUMMYFUNCTION("""COMPUTED_VALUE"""),"")</f>
        <v/>
      </c>
      <c r="J637" s="219"/>
      <c r="K637" s="219"/>
      <c r="L637" s="124"/>
      <c r="M637" s="124"/>
      <c r="N637" s="124"/>
      <c r="O637" s="124"/>
      <c r="P637" s="124"/>
      <c r="Q637" s="124"/>
      <c r="R637" s="124"/>
      <c r="S637" s="124"/>
      <c r="T637" s="124"/>
      <c r="U637" s="124"/>
      <c r="V637" s="124"/>
      <c r="W637" s="124"/>
      <c r="X637" s="124"/>
    </row>
    <row r="638">
      <c r="A638" s="216"/>
      <c r="B638" s="124"/>
      <c r="C638" s="124"/>
      <c r="D638" s="124"/>
      <c r="E638" s="124"/>
      <c r="F638" s="124"/>
      <c r="G638" s="124"/>
      <c r="H638" s="124"/>
      <c r="I638" s="217" t="str">
        <f>IFERROR(__xludf.DUMMYFUNCTION("""COMPUTED_VALUE"""),"")</f>
        <v/>
      </c>
      <c r="J638" s="219"/>
      <c r="K638" s="219"/>
      <c r="L638" s="124"/>
      <c r="M638" s="124"/>
      <c r="N638" s="124"/>
      <c r="O638" s="124"/>
      <c r="P638" s="124"/>
      <c r="Q638" s="124"/>
      <c r="R638" s="124"/>
      <c r="S638" s="124"/>
      <c r="T638" s="124"/>
      <c r="U638" s="124"/>
      <c r="V638" s="124"/>
      <c r="W638" s="124"/>
      <c r="X638" s="124"/>
    </row>
    <row r="639">
      <c r="A639" s="216"/>
      <c r="B639" s="124"/>
      <c r="C639" s="124"/>
      <c r="D639" s="124"/>
      <c r="E639" s="124"/>
      <c r="F639" s="124"/>
      <c r="G639" s="124"/>
      <c r="H639" s="124"/>
      <c r="I639" s="217" t="str">
        <f>IFERROR(__xludf.DUMMYFUNCTION("""COMPUTED_VALUE"""),"")</f>
        <v/>
      </c>
      <c r="J639" s="219"/>
      <c r="K639" s="219"/>
      <c r="L639" s="124"/>
      <c r="M639" s="124"/>
      <c r="N639" s="124"/>
      <c r="O639" s="124"/>
      <c r="P639" s="124"/>
      <c r="Q639" s="124"/>
      <c r="R639" s="124"/>
      <c r="S639" s="124"/>
      <c r="T639" s="124"/>
      <c r="U639" s="124"/>
      <c r="V639" s="124"/>
      <c r="W639" s="124"/>
      <c r="X639" s="124"/>
    </row>
    <row r="640">
      <c r="A640" s="216"/>
      <c r="B640" s="124"/>
      <c r="C640" s="124"/>
      <c r="D640" s="124"/>
      <c r="E640" s="124"/>
      <c r="F640" s="124"/>
      <c r="G640" s="124"/>
      <c r="H640" s="124"/>
      <c r="I640" s="217" t="str">
        <f>IFERROR(__xludf.DUMMYFUNCTION("""COMPUTED_VALUE"""),"")</f>
        <v/>
      </c>
      <c r="J640" s="219"/>
      <c r="K640" s="219"/>
      <c r="L640" s="124"/>
      <c r="M640" s="124"/>
      <c r="N640" s="124"/>
      <c r="O640" s="124"/>
      <c r="P640" s="124"/>
      <c r="Q640" s="124"/>
      <c r="R640" s="124"/>
      <c r="S640" s="124"/>
      <c r="T640" s="124"/>
      <c r="U640" s="124"/>
      <c r="V640" s="124"/>
      <c r="W640" s="124"/>
      <c r="X640" s="124"/>
    </row>
    <row r="641">
      <c r="A641" s="216"/>
      <c r="B641" s="124"/>
      <c r="C641" s="124"/>
      <c r="D641" s="124"/>
      <c r="E641" s="124"/>
      <c r="F641" s="124"/>
      <c r="G641" s="124"/>
      <c r="H641" s="124"/>
      <c r="I641" s="217" t="str">
        <f>IFERROR(__xludf.DUMMYFUNCTION("""COMPUTED_VALUE"""),"")</f>
        <v/>
      </c>
      <c r="J641" s="219"/>
      <c r="K641" s="219"/>
      <c r="L641" s="124"/>
      <c r="M641" s="124"/>
      <c r="N641" s="124"/>
      <c r="O641" s="124"/>
      <c r="P641" s="124"/>
      <c r="Q641" s="124"/>
      <c r="R641" s="124"/>
      <c r="S641" s="124"/>
      <c r="T641" s="124"/>
      <c r="U641" s="124"/>
      <c r="V641" s="124"/>
      <c r="W641" s="124"/>
      <c r="X641" s="124"/>
    </row>
    <row r="642">
      <c r="A642" s="216"/>
      <c r="B642" s="124"/>
      <c r="C642" s="124"/>
      <c r="D642" s="124"/>
      <c r="E642" s="124"/>
      <c r="F642" s="124"/>
      <c r="G642" s="124"/>
      <c r="H642" s="124"/>
      <c r="I642" s="217" t="str">
        <f>IFERROR(__xludf.DUMMYFUNCTION("""COMPUTED_VALUE"""),"")</f>
        <v/>
      </c>
      <c r="J642" s="219"/>
      <c r="K642" s="219"/>
      <c r="L642" s="124"/>
      <c r="M642" s="124"/>
      <c r="N642" s="124"/>
      <c r="O642" s="124"/>
      <c r="P642" s="124"/>
      <c r="Q642" s="124"/>
      <c r="R642" s="124"/>
      <c r="S642" s="124"/>
      <c r="T642" s="124"/>
      <c r="U642" s="124"/>
      <c r="V642" s="124"/>
      <c r="W642" s="124"/>
      <c r="X642" s="124"/>
    </row>
    <row r="643">
      <c r="A643" s="216"/>
      <c r="B643" s="124"/>
      <c r="C643" s="124"/>
      <c r="D643" s="124"/>
      <c r="E643" s="124"/>
      <c r="F643" s="124"/>
      <c r="G643" s="124"/>
      <c r="H643" s="124"/>
      <c r="I643" s="217" t="str">
        <f>IFERROR(__xludf.DUMMYFUNCTION("""COMPUTED_VALUE"""),"")</f>
        <v/>
      </c>
      <c r="J643" s="219"/>
      <c r="K643" s="219"/>
      <c r="L643" s="124"/>
      <c r="M643" s="124"/>
      <c r="N643" s="124"/>
      <c r="O643" s="124"/>
      <c r="P643" s="124"/>
      <c r="Q643" s="124"/>
      <c r="R643" s="124"/>
      <c r="S643" s="124"/>
      <c r="T643" s="124"/>
      <c r="U643" s="124"/>
      <c r="V643" s="124"/>
      <c r="W643" s="124"/>
      <c r="X643" s="124"/>
    </row>
    <row r="644">
      <c r="A644" s="216"/>
      <c r="B644" s="124"/>
      <c r="C644" s="124"/>
      <c r="D644" s="124"/>
      <c r="E644" s="124"/>
      <c r="F644" s="124"/>
      <c r="G644" s="124"/>
      <c r="H644" s="124"/>
      <c r="I644" s="217" t="str">
        <f>IFERROR(__xludf.DUMMYFUNCTION("""COMPUTED_VALUE"""),"")</f>
        <v/>
      </c>
      <c r="J644" s="219"/>
      <c r="K644" s="219"/>
      <c r="L644" s="124"/>
      <c r="M644" s="124"/>
      <c r="N644" s="124"/>
      <c r="O644" s="124"/>
      <c r="P644" s="124"/>
      <c r="Q644" s="124"/>
      <c r="R644" s="124"/>
      <c r="S644" s="124"/>
      <c r="T644" s="124"/>
      <c r="U644" s="124"/>
      <c r="V644" s="124"/>
      <c r="W644" s="124"/>
      <c r="X644" s="124"/>
    </row>
    <row r="645">
      <c r="A645" s="216"/>
      <c r="B645" s="124"/>
      <c r="C645" s="124"/>
      <c r="D645" s="124"/>
      <c r="E645" s="124"/>
      <c r="F645" s="124"/>
      <c r="G645" s="124"/>
      <c r="H645" s="124"/>
      <c r="I645" s="217" t="str">
        <f>IFERROR(__xludf.DUMMYFUNCTION("""COMPUTED_VALUE"""),"")</f>
        <v/>
      </c>
      <c r="J645" s="219"/>
      <c r="K645" s="219"/>
      <c r="L645" s="124"/>
      <c r="M645" s="124"/>
      <c r="N645" s="124"/>
      <c r="O645" s="124"/>
      <c r="P645" s="124"/>
      <c r="Q645" s="124"/>
      <c r="R645" s="124"/>
      <c r="S645" s="124"/>
      <c r="T645" s="124"/>
      <c r="U645" s="124"/>
      <c r="V645" s="124"/>
      <c r="W645" s="124"/>
      <c r="X645" s="124"/>
    </row>
    <row r="646">
      <c r="A646" s="216"/>
      <c r="B646" s="124"/>
      <c r="C646" s="124"/>
      <c r="D646" s="124"/>
      <c r="E646" s="124"/>
      <c r="F646" s="124"/>
      <c r="G646" s="124"/>
      <c r="H646" s="124"/>
      <c r="I646" s="217" t="str">
        <f>IFERROR(__xludf.DUMMYFUNCTION("""COMPUTED_VALUE"""),"")</f>
        <v/>
      </c>
      <c r="J646" s="219"/>
      <c r="K646" s="219"/>
      <c r="L646" s="124"/>
      <c r="M646" s="124"/>
      <c r="N646" s="124"/>
      <c r="O646" s="124"/>
      <c r="P646" s="124"/>
      <c r="Q646" s="124"/>
      <c r="R646" s="124"/>
      <c r="S646" s="124"/>
      <c r="T646" s="124"/>
      <c r="U646" s="124"/>
      <c r="V646" s="124"/>
      <c r="W646" s="124"/>
      <c r="X646" s="124"/>
    </row>
    <row r="647">
      <c r="A647" s="216"/>
      <c r="B647" s="124"/>
      <c r="C647" s="124"/>
      <c r="D647" s="124"/>
      <c r="E647" s="124"/>
      <c r="F647" s="124"/>
      <c r="G647" s="124"/>
      <c r="H647" s="124"/>
      <c r="I647" s="217" t="str">
        <f>IFERROR(__xludf.DUMMYFUNCTION("""COMPUTED_VALUE"""),"")</f>
        <v/>
      </c>
      <c r="J647" s="219"/>
      <c r="K647" s="219"/>
      <c r="L647" s="124"/>
      <c r="M647" s="124"/>
      <c r="N647" s="124"/>
      <c r="O647" s="124"/>
      <c r="P647" s="124"/>
      <c r="Q647" s="124"/>
      <c r="R647" s="124"/>
      <c r="S647" s="124"/>
      <c r="T647" s="124"/>
      <c r="U647" s="124"/>
      <c r="V647" s="124"/>
      <c r="W647" s="124"/>
      <c r="X647" s="124"/>
    </row>
    <row r="648">
      <c r="A648" s="216"/>
      <c r="B648" s="124"/>
      <c r="C648" s="124"/>
      <c r="D648" s="124"/>
      <c r="E648" s="124"/>
      <c r="F648" s="124"/>
      <c r="G648" s="124"/>
      <c r="H648" s="124"/>
      <c r="I648" s="217" t="str">
        <f>IFERROR(__xludf.DUMMYFUNCTION("""COMPUTED_VALUE"""),"")</f>
        <v/>
      </c>
      <c r="J648" s="219"/>
      <c r="K648" s="219"/>
      <c r="L648" s="124"/>
      <c r="M648" s="124"/>
      <c r="N648" s="124"/>
      <c r="O648" s="124"/>
      <c r="P648" s="124"/>
      <c r="Q648" s="124"/>
      <c r="R648" s="124"/>
      <c r="S648" s="124"/>
      <c r="T648" s="124"/>
      <c r="U648" s="124"/>
      <c r="V648" s="124"/>
      <c r="W648" s="124"/>
      <c r="X648" s="124"/>
    </row>
    <row r="649">
      <c r="A649" s="216"/>
      <c r="B649" s="124"/>
      <c r="C649" s="124"/>
      <c r="D649" s="124"/>
      <c r="E649" s="124"/>
      <c r="F649" s="124"/>
      <c r="G649" s="124"/>
      <c r="H649" s="124"/>
      <c r="I649" s="217" t="str">
        <f>IFERROR(__xludf.DUMMYFUNCTION("""COMPUTED_VALUE"""),"")</f>
        <v/>
      </c>
      <c r="J649" s="219"/>
      <c r="K649" s="219"/>
      <c r="L649" s="124"/>
      <c r="M649" s="124"/>
      <c r="N649" s="124"/>
      <c r="O649" s="124"/>
      <c r="P649" s="124"/>
      <c r="Q649" s="124"/>
      <c r="R649" s="124"/>
      <c r="S649" s="124"/>
      <c r="T649" s="124"/>
      <c r="U649" s="124"/>
      <c r="V649" s="124"/>
      <c r="W649" s="124"/>
      <c r="X649" s="124"/>
    </row>
    <row r="650">
      <c r="A650" s="216"/>
      <c r="B650" s="124"/>
      <c r="C650" s="124"/>
      <c r="D650" s="124"/>
      <c r="E650" s="124"/>
      <c r="F650" s="124"/>
      <c r="G650" s="124"/>
      <c r="H650" s="124"/>
      <c r="I650" s="217" t="str">
        <f>IFERROR(__xludf.DUMMYFUNCTION("""COMPUTED_VALUE"""),"")</f>
        <v/>
      </c>
      <c r="J650" s="219"/>
      <c r="K650" s="219"/>
      <c r="L650" s="124"/>
      <c r="M650" s="124"/>
      <c r="N650" s="124"/>
      <c r="O650" s="124"/>
      <c r="P650" s="124"/>
      <c r="Q650" s="124"/>
      <c r="R650" s="124"/>
      <c r="S650" s="124"/>
      <c r="T650" s="124"/>
      <c r="U650" s="124"/>
      <c r="V650" s="124"/>
      <c r="W650" s="124"/>
      <c r="X650" s="124"/>
    </row>
    <row r="651">
      <c r="A651" s="216"/>
      <c r="B651" s="124"/>
      <c r="C651" s="124"/>
      <c r="D651" s="124"/>
      <c r="E651" s="124"/>
      <c r="F651" s="124"/>
      <c r="G651" s="124"/>
      <c r="H651" s="124"/>
      <c r="I651" s="217" t="str">
        <f>IFERROR(__xludf.DUMMYFUNCTION("""COMPUTED_VALUE"""),"")</f>
        <v/>
      </c>
      <c r="J651" s="219"/>
      <c r="K651" s="219"/>
      <c r="L651" s="124"/>
      <c r="M651" s="124"/>
      <c r="N651" s="124"/>
      <c r="O651" s="124"/>
      <c r="P651" s="124"/>
      <c r="Q651" s="124"/>
      <c r="R651" s="124"/>
      <c r="S651" s="124"/>
      <c r="T651" s="124"/>
      <c r="U651" s="124"/>
      <c r="V651" s="124"/>
      <c r="W651" s="124"/>
      <c r="X651" s="124"/>
    </row>
    <row r="652">
      <c r="A652" s="216"/>
      <c r="B652" s="124"/>
      <c r="C652" s="124"/>
      <c r="D652" s="124"/>
      <c r="E652" s="124"/>
      <c r="F652" s="124"/>
      <c r="G652" s="124"/>
      <c r="H652" s="124"/>
      <c r="I652" s="217" t="str">
        <f>IFERROR(__xludf.DUMMYFUNCTION("""COMPUTED_VALUE"""),"")</f>
        <v/>
      </c>
      <c r="J652" s="219"/>
      <c r="K652" s="219"/>
      <c r="L652" s="124"/>
      <c r="M652" s="124"/>
      <c r="N652" s="124"/>
      <c r="O652" s="124"/>
      <c r="P652" s="124"/>
      <c r="Q652" s="124"/>
      <c r="R652" s="124"/>
      <c r="S652" s="124"/>
      <c r="T652" s="124"/>
      <c r="U652" s="124"/>
      <c r="V652" s="124"/>
      <c r="W652" s="124"/>
      <c r="X652" s="124"/>
    </row>
    <row r="653">
      <c r="A653" s="216"/>
      <c r="B653" s="124"/>
      <c r="C653" s="124"/>
      <c r="D653" s="124"/>
      <c r="E653" s="124"/>
      <c r="F653" s="124"/>
      <c r="G653" s="124"/>
      <c r="H653" s="124"/>
      <c r="I653" s="217" t="str">
        <f>IFERROR(__xludf.DUMMYFUNCTION("""COMPUTED_VALUE"""),"")</f>
        <v/>
      </c>
      <c r="J653" s="219"/>
      <c r="K653" s="219"/>
      <c r="L653" s="124"/>
      <c r="M653" s="124"/>
      <c r="N653" s="124"/>
      <c r="O653" s="124"/>
      <c r="P653" s="124"/>
      <c r="Q653" s="124"/>
      <c r="R653" s="124"/>
      <c r="S653" s="124"/>
      <c r="T653" s="124"/>
      <c r="U653" s="124"/>
      <c r="V653" s="124"/>
      <c r="W653" s="124"/>
      <c r="X653" s="124"/>
    </row>
    <row r="654">
      <c r="A654" s="216"/>
      <c r="B654" s="124"/>
      <c r="C654" s="124"/>
      <c r="D654" s="124"/>
      <c r="E654" s="124"/>
      <c r="F654" s="124"/>
      <c r="G654" s="124"/>
      <c r="H654" s="124"/>
      <c r="I654" s="217" t="str">
        <f>IFERROR(__xludf.DUMMYFUNCTION("""COMPUTED_VALUE"""),"")</f>
        <v/>
      </c>
      <c r="J654" s="219"/>
      <c r="K654" s="219"/>
      <c r="L654" s="124"/>
      <c r="M654" s="124"/>
      <c r="N654" s="124"/>
      <c r="O654" s="124"/>
      <c r="P654" s="124"/>
      <c r="Q654" s="124"/>
      <c r="R654" s="124"/>
      <c r="S654" s="124"/>
      <c r="T654" s="124"/>
      <c r="U654" s="124"/>
      <c r="V654" s="124"/>
      <c r="W654" s="124"/>
      <c r="X654" s="124"/>
    </row>
    <row r="655">
      <c r="A655" s="216"/>
      <c r="B655" s="124"/>
      <c r="C655" s="124"/>
      <c r="D655" s="124"/>
      <c r="E655" s="124"/>
      <c r="F655" s="124"/>
      <c r="G655" s="124"/>
      <c r="H655" s="124"/>
      <c r="I655" s="217" t="str">
        <f>IFERROR(__xludf.DUMMYFUNCTION("""COMPUTED_VALUE"""),"")</f>
        <v/>
      </c>
      <c r="J655" s="219"/>
      <c r="K655" s="219"/>
      <c r="L655" s="124"/>
      <c r="M655" s="124"/>
      <c r="N655" s="124"/>
      <c r="O655" s="124"/>
      <c r="P655" s="124"/>
      <c r="Q655" s="124"/>
      <c r="R655" s="124"/>
      <c r="S655" s="124"/>
      <c r="T655" s="124"/>
      <c r="U655" s="124"/>
      <c r="V655" s="124"/>
      <c r="W655" s="124"/>
      <c r="X655" s="124"/>
    </row>
    <row r="656">
      <c r="A656" s="216"/>
      <c r="B656" s="124"/>
      <c r="C656" s="124"/>
      <c r="D656" s="124"/>
      <c r="E656" s="124"/>
      <c r="F656" s="124"/>
      <c r="G656" s="124"/>
      <c r="H656" s="124"/>
      <c r="I656" s="217" t="str">
        <f>IFERROR(__xludf.DUMMYFUNCTION("""COMPUTED_VALUE"""),"")</f>
        <v/>
      </c>
      <c r="J656" s="219"/>
      <c r="K656" s="219"/>
      <c r="L656" s="124"/>
      <c r="M656" s="124"/>
      <c r="N656" s="124"/>
      <c r="O656" s="124"/>
      <c r="P656" s="124"/>
      <c r="Q656" s="124"/>
      <c r="R656" s="124"/>
      <c r="S656" s="124"/>
      <c r="T656" s="124"/>
      <c r="U656" s="124"/>
      <c r="V656" s="124"/>
      <c r="W656" s="124"/>
      <c r="X656" s="124"/>
    </row>
    <row r="657">
      <c r="A657" s="216"/>
      <c r="B657" s="124"/>
      <c r="C657" s="124"/>
      <c r="D657" s="124"/>
      <c r="E657" s="124"/>
      <c r="F657" s="124"/>
      <c r="G657" s="124"/>
      <c r="H657" s="124"/>
      <c r="I657" s="217" t="str">
        <f>IFERROR(__xludf.DUMMYFUNCTION("""COMPUTED_VALUE"""),"")</f>
        <v/>
      </c>
      <c r="J657" s="219"/>
      <c r="K657" s="219"/>
      <c r="L657" s="124"/>
      <c r="M657" s="124"/>
      <c r="N657" s="124"/>
      <c r="O657" s="124"/>
      <c r="P657" s="124"/>
      <c r="Q657" s="124"/>
      <c r="R657" s="124"/>
      <c r="S657" s="124"/>
      <c r="T657" s="124"/>
      <c r="U657" s="124"/>
      <c r="V657" s="124"/>
      <c r="W657" s="124"/>
      <c r="X657" s="124"/>
    </row>
    <row r="658">
      <c r="A658" s="216"/>
      <c r="B658" s="124"/>
      <c r="C658" s="124"/>
      <c r="D658" s="124"/>
      <c r="E658" s="124"/>
      <c r="F658" s="124"/>
      <c r="G658" s="124"/>
      <c r="H658" s="124"/>
      <c r="I658" s="217" t="str">
        <f>IFERROR(__xludf.DUMMYFUNCTION("""COMPUTED_VALUE"""),"")</f>
        <v/>
      </c>
      <c r="J658" s="219"/>
      <c r="K658" s="219"/>
      <c r="L658" s="124"/>
      <c r="M658" s="124"/>
      <c r="N658" s="124"/>
      <c r="O658" s="124"/>
      <c r="P658" s="124"/>
      <c r="Q658" s="124"/>
      <c r="R658" s="124"/>
      <c r="S658" s="124"/>
      <c r="T658" s="124"/>
      <c r="U658" s="124"/>
      <c r="V658" s="124"/>
      <c r="W658" s="124"/>
      <c r="X658" s="124"/>
    </row>
    <row r="659">
      <c r="A659" s="216"/>
      <c r="B659" s="124"/>
      <c r="C659" s="124"/>
      <c r="D659" s="124"/>
      <c r="E659" s="124"/>
      <c r="F659" s="124"/>
      <c r="G659" s="124"/>
      <c r="H659" s="124"/>
      <c r="I659" s="217" t="str">
        <f>IFERROR(__xludf.DUMMYFUNCTION("""COMPUTED_VALUE"""),"")</f>
        <v/>
      </c>
      <c r="J659" s="219"/>
      <c r="K659" s="219"/>
      <c r="L659" s="124"/>
      <c r="M659" s="124"/>
      <c r="N659" s="124"/>
      <c r="O659" s="124"/>
      <c r="P659" s="124"/>
      <c r="Q659" s="124"/>
      <c r="R659" s="124"/>
      <c r="S659" s="124"/>
      <c r="T659" s="124"/>
      <c r="U659" s="124"/>
      <c r="V659" s="124"/>
      <c r="W659" s="124"/>
      <c r="X659" s="124"/>
    </row>
    <row r="660">
      <c r="A660" s="216"/>
      <c r="B660" s="124"/>
      <c r="C660" s="124"/>
      <c r="D660" s="124"/>
      <c r="E660" s="124"/>
      <c r="F660" s="124"/>
      <c r="G660" s="124"/>
      <c r="H660" s="124"/>
      <c r="I660" s="217" t="str">
        <f>IFERROR(__xludf.DUMMYFUNCTION("""COMPUTED_VALUE"""),"")</f>
        <v/>
      </c>
      <c r="J660" s="219"/>
      <c r="K660" s="219"/>
      <c r="L660" s="124"/>
      <c r="M660" s="124"/>
      <c r="N660" s="124"/>
      <c r="O660" s="124"/>
      <c r="P660" s="124"/>
      <c r="Q660" s="124"/>
      <c r="R660" s="124"/>
      <c r="S660" s="124"/>
      <c r="T660" s="124"/>
      <c r="U660" s="124"/>
      <c r="V660" s="124"/>
      <c r="W660" s="124"/>
      <c r="X660" s="124"/>
    </row>
    <row r="661">
      <c r="A661" s="216"/>
      <c r="B661" s="124"/>
      <c r="C661" s="124"/>
      <c r="D661" s="124"/>
      <c r="E661" s="124"/>
      <c r="F661" s="124"/>
      <c r="G661" s="124"/>
      <c r="H661" s="124"/>
      <c r="I661" s="217" t="str">
        <f>IFERROR(__xludf.DUMMYFUNCTION("""COMPUTED_VALUE"""),"")</f>
        <v/>
      </c>
      <c r="J661" s="219"/>
      <c r="K661" s="219"/>
      <c r="L661" s="124"/>
      <c r="M661" s="124"/>
      <c r="N661" s="124"/>
      <c r="O661" s="124"/>
      <c r="P661" s="124"/>
      <c r="Q661" s="124"/>
      <c r="R661" s="124"/>
      <c r="S661" s="124"/>
      <c r="T661" s="124"/>
      <c r="U661" s="124"/>
      <c r="V661" s="124"/>
      <c r="W661" s="124"/>
      <c r="X661" s="124"/>
    </row>
    <row r="662">
      <c r="A662" s="216"/>
      <c r="B662" s="124"/>
      <c r="C662" s="124"/>
      <c r="D662" s="124"/>
      <c r="E662" s="124"/>
      <c r="F662" s="124"/>
      <c r="G662" s="124"/>
      <c r="H662" s="124"/>
      <c r="I662" s="217" t="str">
        <f>IFERROR(__xludf.DUMMYFUNCTION("""COMPUTED_VALUE"""),"")</f>
        <v/>
      </c>
      <c r="J662" s="219"/>
      <c r="K662" s="219"/>
      <c r="L662" s="124"/>
      <c r="M662" s="124"/>
      <c r="N662" s="124"/>
      <c r="O662" s="124"/>
      <c r="P662" s="124"/>
      <c r="Q662" s="124"/>
      <c r="R662" s="124"/>
      <c r="S662" s="124"/>
      <c r="T662" s="124"/>
      <c r="U662" s="124"/>
      <c r="V662" s="124"/>
      <c r="W662" s="124"/>
      <c r="X662" s="124"/>
    </row>
    <row r="663">
      <c r="A663" s="216"/>
      <c r="B663" s="124"/>
      <c r="C663" s="124"/>
      <c r="D663" s="124"/>
      <c r="E663" s="124"/>
      <c r="F663" s="124"/>
      <c r="G663" s="124"/>
      <c r="H663" s="124"/>
      <c r="I663" s="217" t="str">
        <f>IFERROR(__xludf.DUMMYFUNCTION("""COMPUTED_VALUE"""),"")</f>
        <v/>
      </c>
      <c r="J663" s="219"/>
      <c r="K663" s="219"/>
      <c r="L663" s="124"/>
      <c r="M663" s="124"/>
      <c r="N663" s="124"/>
      <c r="O663" s="124"/>
      <c r="P663" s="124"/>
      <c r="Q663" s="124"/>
      <c r="R663" s="124"/>
      <c r="S663" s="124"/>
      <c r="T663" s="124"/>
      <c r="U663" s="124"/>
      <c r="V663" s="124"/>
      <c r="W663" s="124"/>
      <c r="X663" s="124"/>
    </row>
    <row r="664">
      <c r="A664" s="216"/>
      <c r="B664" s="124"/>
      <c r="C664" s="124"/>
      <c r="D664" s="124"/>
      <c r="E664" s="124"/>
      <c r="F664" s="124"/>
      <c r="G664" s="124"/>
      <c r="H664" s="124"/>
      <c r="I664" s="217" t="str">
        <f>IFERROR(__xludf.DUMMYFUNCTION("""COMPUTED_VALUE"""),"")</f>
        <v/>
      </c>
      <c r="J664" s="219"/>
      <c r="K664" s="219"/>
      <c r="L664" s="124"/>
      <c r="M664" s="124"/>
      <c r="N664" s="124"/>
      <c r="O664" s="124"/>
      <c r="P664" s="124"/>
      <c r="Q664" s="124"/>
      <c r="R664" s="124"/>
      <c r="S664" s="124"/>
      <c r="T664" s="124"/>
      <c r="U664" s="124"/>
      <c r="V664" s="124"/>
      <c r="W664" s="124"/>
      <c r="X664" s="124"/>
    </row>
    <row r="665">
      <c r="A665" s="216"/>
      <c r="B665" s="124"/>
      <c r="C665" s="124"/>
      <c r="D665" s="124"/>
      <c r="E665" s="124"/>
      <c r="F665" s="124"/>
      <c r="G665" s="124"/>
      <c r="H665" s="124"/>
      <c r="I665" s="217" t="str">
        <f>IFERROR(__xludf.DUMMYFUNCTION("""COMPUTED_VALUE"""),"")</f>
        <v/>
      </c>
      <c r="J665" s="219"/>
      <c r="K665" s="219"/>
      <c r="L665" s="124"/>
      <c r="M665" s="124"/>
      <c r="N665" s="124"/>
      <c r="O665" s="124"/>
      <c r="P665" s="124"/>
      <c r="Q665" s="124"/>
      <c r="R665" s="124"/>
      <c r="S665" s="124"/>
      <c r="T665" s="124"/>
      <c r="U665" s="124"/>
      <c r="V665" s="124"/>
      <c r="W665" s="124"/>
      <c r="X665" s="124"/>
    </row>
    <row r="666">
      <c r="A666" s="216"/>
      <c r="B666" s="124"/>
      <c r="C666" s="124"/>
      <c r="D666" s="124"/>
      <c r="E666" s="124"/>
      <c r="F666" s="124"/>
      <c r="G666" s="124"/>
      <c r="H666" s="124"/>
      <c r="I666" s="217" t="str">
        <f>IFERROR(__xludf.DUMMYFUNCTION("""COMPUTED_VALUE"""),"")</f>
        <v/>
      </c>
      <c r="J666" s="219"/>
      <c r="K666" s="219"/>
      <c r="L666" s="124"/>
      <c r="M666" s="124"/>
      <c r="N666" s="124"/>
      <c r="O666" s="124"/>
      <c r="P666" s="124"/>
      <c r="Q666" s="124"/>
      <c r="R666" s="124"/>
      <c r="S666" s="124"/>
      <c r="T666" s="124"/>
      <c r="U666" s="124"/>
      <c r="V666" s="124"/>
      <c r="W666" s="124"/>
      <c r="X666" s="124"/>
    </row>
    <row r="667">
      <c r="A667" s="216"/>
      <c r="B667" s="124"/>
      <c r="C667" s="124"/>
      <c r="D667" s="124"/>
      <c r="E667" s="124"/>
      <c r="F667" s="124"/>
      <c r="G667" s="124"/>
      <c r="H667" s="124"/>
      <c r="I667" s="217" t="str">
        <f>IFERROR(__xludf.DUMMYFUNCTION("""COMPUTED_VALUE"""),"")</f>
        <v/>
      </c>
      <c r="J667" s="219"/>
      <c r="K667" s="219"/>
      <c r="L667" s="124"/>
      <c r="M667" s="124"/>
      <c r="N667" s="124"/>
      <c r="O667" s="124"/>
      <c r="P667" s="124"/>
      <c r="Q667" s="124"/>
      <c r="R667" s="124"/>
      <c r="S667" s="124"/>
      <c r="T667" s="124"/>
      <c r="U667" s="124"/>
      <c r="V667" s="124"/>
      <c r="W667" s="124"/>
      <c r="X667" s="124"/>
    </row>
    <row r="668">
      <c r="A668" s="216"/>
      <c r="B668" s="124"/>
      <c r="C668" s="124"/>
      <c r="D668" s="124"/>
      <c r="E668" s="124"/>
      <c r="F668" s="124"/>
      <c r="G668" s="124"/>
      <c r="H668" s="124"/>
      <c r="I668" s="217" t="str">
        <f>IFERROR(__xludf.DUMMYFUNCTION("""COMPUTED_VALUE"""),"")</f>
        <v/>
      </c>
      <c r="J668" s="219"/>
      <c r="K668" s="219"/>
      <c r="L668" s="124"/>
      <c r="M668" s="124"/>
      <c r="N668" s="124"/>
      <c r="O668" s="124"/>
      <c r="P668" s="124"/>
      <c r="Q668" s="124"/>
      <c r="R668" s="124"/>
      <c r="S668" s="124"/>
      <c r="T668" s="124"/>
      <c r="U668" s="124"/>
      <c r="V668" s="124"/>
      <c r="W668" s="124"/>
      <c r="X668" s="124"/>
    </row>
    <row r="669">
      <c r="A669" s="216"/>
      <c r="B669" s="124"/>
      <c r="C669" s="124"/>
      <c r="D669" s="124"/>
      <c r="E669" s="124"/>
      <c r="F669" s="124"/>
      <c r="G669" s="124"/>
      <c r="H669" s="124"/>
      <c r="I669" s="217" t="str">
        <f>IFERROR(__xludf.DUMMYFUNCTION("""COMPUTED_VALUE"""),"")</f>
        <v/>
      </c>
      <c r="J669" s="219"/>
      <c r="K669" s="219"/>
      <c r="L669" s="124"/>
      <c r="M669" s="124"/>
      <c r="N669" s="124"/>
      <c r="O669" s="124"/>
      <c r="P669" s="124"/>
      <c r="Q669" s="124"/>
      <c r="R669" s="124"/>
      <c r="S669" s="124"/>
      <c r="T669" s="124"/>
      <c r="U669" s="124"/>
      <c r="V669" s="124"/>
      <c r="W669" s="124"/>
      <c r="X669" s="124"/>
    </row>
    <row r="670">
      <c r="A670" s="216"/>
      <c r="B670" s="124"/>
      <c r="C670" s="124"/>
      <c r="D670" s="124"/>
      <c r="E670" s="124"/>
      <c r="F670" s="124"/>
      <c r="G670" s="124"/>
      <c r="H670" s="124"/>
      <c r="I670" s="217" t="str">
        <f>IFERROR(__xludf.DUMMYFUNCTION("""COMPUTED_VALUE"""),"")</f>
        <v/>
      </c>
      <c r="J670" s="219"/>
      <c r="K670" s="219"/>
      <c r="L670" s="124"/>
      <c r="M670" s="124"/>
      <c r="N670" s="124"/>
      <c r="O670" s="124"/>
      <c r="P670" s="124"/>
      <c r="Q670" s="124"/>
      <c r="R670" s="124"/>
      <c r="S670" s="124"/>
      <c r="T670" s="124"/>
      <c r="U670" s="124"/>
      <c r="V670" s="124"/>
      <c r="W670" s="124"/>
      <c r="X670" s="124"/>
    </row>
    <row r="671">
      <c r="A671" s="216"/>
      <c r="B671" s="124"/>
      <c r="C671" s="124"/>
      <c r="D671" s="124"/>
      <c r="E671" s="124"/>
      <c r="F671" s="124"/>
      <c r="G671" s="124"/>
      <c r="H671" s="124"/>
      <c r="I671" s="217" t="str">
        <f>IFERROR(__xludf.DUMMYFUNCTION("""COMPUTED_VALUE"""),"")</f>
        <v/>
      </c>
      <c r="J671" s="219"/>
      <c r="K671" s="219"/>
      <c r="L671" s="124"/>
      <c r="M671" s="124"/>
      <c r="N671" s="124"/>
      <c r="O671" s="124"/>
      <c r="P671" s="124"/>
      <c r="Q671" s="124"/>
      <c r="R671" s="124"/>
      <c r="S671" s="124"/>
      <c r="T671" s="124"/>
      <c r="U671" s="124"/>
      <c r="V671" s="124"/>
      <c r="W671" s="124"/>
      <c r="X671" s="124"/>
    </row>
    <row r="672">
      <c r="A672" s="216"/>
      <c r="B672" s="124"/>
      <c r="C672" s="124"/>
      <c r="D672" s="124"/>
      <c r="E672" s="124"/>
      <c r="F672" s="124"/>
      <c r="G672" s="124"/>
      <c r="H672" s="124"/>
      <c r="I672" s="217" t="str">
        <f>IFERROR(__xludf.DUMMYFUNCTION("""COMPUTED_VALUE"""),"")</f>
        <v/>
      </c>
      <c r="J672" s="219"/>
      <c r="K672" s="219"/>
      <c r="L672" s="124"/>
      <c r="M672" s="124"/>
      <c r="N672" s="124"/>
      <c r="O672" s="124"/>
      <c r="P672" s="124"/>
      <c r="Q672" s="124"/>
      <c r="R672" s="124"/>
      <c r="S672" s="124"/>
      <c r="T672" s="124"/>
      <c r="U672" s="124"/>
      <c r="V672" s="124"/>
      <c r="W672" s="124"/>
      <c r="X672" s="124"/>
    </row>
    <row r="673">
      <c r="A673" s="216"/>
      <c r="B673" s="124"/>
      <c r="C673" s="124"/>
      <c r="D673" s="124"/>
      <c r="E673" s="124"/>
      <c r="F673" s="124"/>
      <c r="G673" s="124"/>
      <c r="H673" s="124"/>
      <c r="I673" s="217" t="str">
        <f>IFERROR(__xludf.DUMMYFUNCTION("""COMPUTED_VALUE"""),"")</f>
        <v/>
      </c>
      <c r="J673" s="219"/>
      <c r="K673" s="219"/>
      <c r="L673" s="124"/>
      <c r="M673" s="124"/>
      <c r="N673" s="124"/>
      <c r="O673" s="124"/>
      <c r="P673" s="124"/>
      <c r="Q673" s="124"/>
      <c r="R673" s="124"/>
      <c r="S673" s="124"/>
      <c r="T673" s="124"/>
      <c r="U673" s="124"/>
      <c r="V673" s="124"/>
      <c r="W673" s="124"/>
      <c r="X673" s="124"/>
    </row>
    <row r="674">
      <c r="A674" s="216"/>
      <c r="B674" s="124"/>
      <c r="C674" s="124"/>
      <c r="D674" s="124"/>
      <c r="E674" s="124"/>
      <c r="F674" s="124"/>
      <c r="G674" s="124"/>
      <c r="H674" s="124"/>
      <c r="I674" s="217" t="str">
        <f>IFERROR(__xludf.DUMMYFUNCTION("""COMPUTED_VALUE"""),"")</f>
        <v/>
      </c>
      <c r="J674" s="219"/>
      <c r="K674" s="219"/>
      <c r="L674" s="124"/>
      <c r="M674" s="124"/>
      <c r="N674" s="124"/>
      <c r="O674" s="124"/>
      <c r="P674" s="124"/>
      <c r="Q674" s="124"/>
      <c r="R674" s="124"/>
      <c r="S674" s="124"/>
      <c r="T674" s="124"/>
      <c r="U674" s="124"/>
      <c r="V674" s="124"/>
      <c r="W674" s="124"/>
      <c r="X674" s="124"/>
    </row>
    <row r="675">
      <c r="A675" s="216"/>
      <c r="B675" s="124"/>
      <c r="C675" s="124"/>
      <c r="D675" s="124"/>
      <c r="E675" s="124"/>
      <c r="F675" s="124"/>
      <c r="G675" s="124"/>
      <c r="H675" s="124"/>
      <c r="I675" s="217" t="str">
        <f>IFERROR(__xludf.DUMMYFUNCTION("""COMPUTED_VALUE"""),"")</f>
        <v/>
      </c>
      <c r="J675" s="219"/>
      <c r="K675" s="219"/>
      <c r="L675" s="124"/>
      <c r="M675" s="124"/>
      <c r="N675" s="124"/>
      <c r="O675" s="124"/>
      <c r="P675" s="124"/>
      <c r="Q675" s="124"/>
      <c r="R675" s="124"/>
      <c r="S675" s="124"/>
      <c r="T675" s="124"/>
      <c r="U675" s="124"/>
      <c r="V675" s="124"/>
      <c r="W675" s="124"/>
      <c r="X675" s="124"/>
    </row>
    <row r="676">
      <c r="A676" s="216"/>
      <c r="B676" s="124"/>
      <c r="C676" s="124"/>
      <c r="D676" s="124"/>
      <c r="E676" s="124"/>
      <c r="F676" s="124"/>
      <c r="G676" s="124"/>
      <c r="H676" s="124"/>
      <c r="I676" s="217" t="str">
        <f>IFERROR(__xludf.DUMMYFUNCTION("""COMPUTED_VALUE"""),"")</f>
        <v/>
      </c>
      <c r="J676" s="219"/>
      <c r="K676" s="219"/>
      <c r="L676" s="124"/>
      <c r="M676" s="124"/>
      <c r="N676" s="124"/>
      <c r="O676" s="124"/>
      <c r="P676" s="124"/>
      <c r="Q676" s="124"/>
      <c r="R676" s="124"/>
      <c r="S676" s="124"/>
      <c r="T676" s="124"/>
      <c r="U676" s="124"/>
      <c r="V676" s="124"/>
      <c r="W676" s="124"/>
      <c r="X676" s="124"/>
    </row>
    <row r="677">
      <c r="A677" s="216"/>
      <c r="B677" s="124"/>
      <c r="C677" s="124"/>
      <c r="D677" s="124"/>
      <c r="E677" s="124"/>
      <c r="F677" s="124"/>
      <c r="G677" s="124"/>
      <c r="H677" s="124"/>
      <c r="I677" s="217" t="str">
        <f>IFERROR(__xludf.DUMMYFUNCTION("""COMPUTED_VALUE"""),"")</f>
        <v/>
      </c>
      <c r="J677" s="219"/>
      <c r="K677" s="219"/>
      <c r="L677" s="124"/>
      <c r="M677" s="124"/>
      <c r="N677" s="124"/>
      <c r="O677" s="124"/>
      <c r="P677" s="124"/>
      <c r="Q677" s="124"/>
      <c r="R677" s="124"/>
      <c r="S677" s="124"/>
      <c r="T677" s="124"/>
      <c r="U677" s="124"/>
      <c r="V677" s="124"/>
      <c r="W677" s="124"/>
      <c r="X677" s="124"/>
    </row>
    <row r="678">
      <c r="A678" s="216"/>
      <c r="B678" s="124"/>
      <c r="C678" s="124"/>
      <c r="D678" s="124"/>
      <c r="E678" s="124"/>
      <c r="F678" s="124"/>
      <c r="G678" s="124"/>
      <c r="H678" s="124"/>
      <c r="I678" s="217" t="str">
        <f>IFERROR(__xludf.DUMMYFUNCTION("""COMPUTED_VALUE"""),"")</f>
        <v/>
      </c>
      <c r="J678" s="219"/>
      <c r="K678" s="219"/>
      <c r="L678" s="124"/>
      <c r="M678" s="124"/>
      <c r="N678" s="124"/>
      <c r="O678" s="124"/>
      <c r="P678" s="124"/>
      <c r="Q678" s="124"/>
      <c r="R678" s="124"/>
      <c r="S678" s="124"/>
      <c r="T678" s="124"/>
      <c r="U678" s="124"/>
      <c r="V678" s="124"/>
      <c r="W678" s="124"/>
      <c r="X678" s="124"/>
    </row>
    <row r="679">
      <c r="A679" s="216"/>
      <c r="B679" s="124"/>
      <c r="C679" s="124"/>
      <c r="D679" s="124"/>
      <c r="E679" s="124"/>
      <c r="F679" s="124"/>
      <c r="G679" s="124"/>
      <c r="H679" s="124"/>
      <c r="I679" s="217" t="str">
        <f>IFERROR(__xludf.DUMMYFUNCTION("""COMPUTED_VALUE"""),"")</f>
        <v/>
      </c>
      <c r="J679" s="219"/>
      <c r="K679" s="219"/>
      <c r="L679" s="124"/>
      <c r="M679" s="124"/>
      <c r="N679" s="124"/>
      <c r="O679" s="124"/>
      <c r="P679" s="124"/>
      <c r="Q679" s="124"/>
      <c r="R679" s="124"/>
      <c r="S679" s="124"/>
      <c r="T679" s="124"/>
      <c r="U679" s="124"/>
      <c r="V679" s="124"/>
      <c r="W679" s="124"/>
      <c r="X679" s="124"/>
    </row>
    <row r="680">
      <c r="A680" s="216"/>
      <c r="B680" s="124"/>
      <c r="C680" s="124"/>
      <c r="D680" s="124"/>
      <c r="E680" s="124"/>
      <c r="F680" s="124"/>
      <c r="G680" s="124"/>
      <c r="H680" s="124"/>
      <c r="I680" s="217" t="str">
        <f>IFERROR(__xludf.DUMMYFUNCTION("""COMPUTED_VALUE"""),"")</f>
        <v/>
      </c>
      <c r="J680" s="219"/>
      <c r="K680" s="219"/>
      <c r="L680" s="124"/>
      <c r="M680" s="124"/>
      <c r="N680" s="124"/>
      <c r="O680" s="124"/>
      <c r="P680" s="124"/>
      <c r="Q680" s="124"/>
      <c r="R680" s="124"/>
      <c r="S680" s="124"/>
      <c r="T680" s="124"/>
      <c r="U680" s="124"/>
      <c r="V680" s="124"/>
      <c r="W680" s="124"/>
      <c r="X680" s="124"/>
    </row>
    <row r="681">
      <c r="A681" s="216"/>
      <c r="B681" s="124"/>
      <c r="C681" s="124"/>
      <c r="D681" s="124"/>
      <c r="E681" s="124"/>
      <c r="F681" s="124"/>
      <c r="G681" s="124"/>
      <c r="H681" s="124"/>
      <c r="I681" s="217" t="str">
        <f>IFERROR(__xludf.DUMMYFUNCTION("""COMPUTED_VALUE"""),"")</f>
        <v/>
      </c>
      <c r="J681" s="219"/>
      <c r="K681" s="219"/>
      <c r="L681" s="124"/>
      <c r="M681" s="124"/>
      <c r="N681" s="124"/>
      <c r="O681" s="124"/>
      <c r="P681" s="124"/>
      <c r="Q681" s="124"/>
      <c r="R681" s="124"/>
      <c r="S681" s="124"/>
      <c r="T681" s="124"/>
      <c r="U681" s="124"/>
      <c r="V681" s="124"/>
      <c r="W681" s="124"/>
      <c r="X681" s="124"/>
    </row>
    <row r="682">
      <c r="A682" s="216"/>
      <c r="B682" s="124"/>
      <c r="C682" s="124"/>
      <c r="D682" s="124"/>
      <c r="E682" s="124"/>
      <c r="F682" s="124"/>
      <c r="G682" s="124"/>
      <c r="H682" s="124"/>
      <c r="I682" s="217" t="str">
        <f>IFERROR(__xludf.DUMMYFUNCTION("""COMPUTED_VALUE"""),"")</f>
        <v/>
      </c>
      <c r="J682" s="219"/>
      <c r="K682" s="219"/>
      <c r="L682" s="124"/>
      <c r="M682" s="124"/>
      <c r="N682" s="124"/>
      <c r="O682" s="124"/>
      <c r="P682" s="124"/>
      <c r="Q682" s="124"/>
      <c r="R682" s="124"/>
      <c r="S682" s="124"/>
      <c r="T682" s="124"/>
      <c r="U682" s="124"/>
      <c r="V682" s="124"/>
      <c r="W682" s="124"/>
      <c r="X682" s="124"/>
    </row>
    <row r="683">
      <c r="A683" s="216"/>
      <c r="B683" s="124"/>
      <c r="C683" s="124"/>
      <c r="D683" s="124"/>
      <c r="E683" s="124"/>
      <c r="F683" s="124"/>
      <c r="G683" s="124"/>
      <c r="H683" s="124"/>
      <c r="I683" s="217" t="str">
        <f>IFERROR(__xludf.DUMMYFUNCTION("""COMPUTED_VALUE"""),"")</f>
        <v/>
      </c>
      <c r="J683" s="219"/>
      <c r="K683" s="219"/>
      <c r="L683" s="124"/>
      <c r="M683" s="124"/>
      <c r="N683" s="124"/>
      <c r="O683" s="124"/>
      <c r="P683" s="124"/>
      <c r="Q683" s="124"/>
      <c r="R683" s="124"/>
      <c r="S683" s="124"/>
      <c r="T683" s="124"/>
      <c r="U683" s="124"/>
      <c r="V683" s="124"/>
      <c r="W683" s="124"/>
      <c r="X683" s="124"/>
    </row>
    <row r="684">
      <c r="A684" s="216"/>
      <c r="B684" s="124"/>
      <c r="C684" s="124"/>
      <c r="D684" s="124"/>
      <c r="E684" s="124"/>
      <c r="F684" s="124"/>
      <c r="G684" s="124"/>
      <c r="H684" s="124"/>
      <c r="I684" s="217" t="str">
        <f>IFERROR(__xludf.DUMMYFUNCTION("""COMPUTED_VALUE"""),"")</f>
        <v/>
      </c>
      <c r="J684" s="219"/>
      <c r="K684" s="219"/>
      <c r="L684" s="124"/>
      <c r="M684" s="124"/>
      <c r="N684" s="124"/>
      <c r="O684" s="124"/>
      <c r="P684" s="124"/>
      <c r="Q684" s="124"/>
      <c r="R684" s="124"/>
      <c r="S684" s="124"/>
      <c r="T684" s="124"/>
      <c r="U684" s="124"/>
      <c r="V684" s="124"/>
      <c r="W684" s="124"/>
      <c r="X684" s="124"/>
    </row>
    <row r="685">
      <c r="A685" s="216"/>
      <c r="B685" s="124"/>
      <c r="C685" s="124"/>
      <c r="D685" s="124"/>
      <c r="E685" s="124"/>
      <c r="F685" s="124"/>
      <c r="G685" s="124"/>
      <c r="H685" s="124"/>
      <c r="I685" s="217" t="str">
        <f>IFERROR(__xludf.DUMMYFUNCTION("""COMPUTED_VALUE"""),"")</f>
        <v/>
      </c>
      <c r="J685" s="219"/>
      <c r="K685" s="219"/>
      <c r="L685" s="124"/>
      <c r="M685" s="124"/>
      <c r="N685" s="124"/>
      <c r="O685" s="124"/>
      <c r="P685" s="124"/>
      <c r="Q685" s="124"/>
      <c r="R685" s="124"/>
      <c r="S685" s="124"/>
      <c r="T685" s="124"/>
      <c r="U685" s="124"/>
      <c r="V685" s="124"/>
      <c r="W685" s="124"/>
      <c r="X685" s="124"/>
    </row>
    <row r="686">
      <c r="A686" s="216"/>
      <c r="B686" s="124"/>
      <c r="C686" s="124"/>
      <c r="D686" s="124"/>
      <c r="E686" s="124"/>
      <c r="F686" s="124"/>
      <c r="G686" s="124"/>
      <c r="H686" s="124"/>
      <c r="I686" s="217" t="str">
        <f>IFERROR(__xludf.DUMMYFUNCTION("""COMPUTED_VALUE"""),"")</f>
        <v/>
      </c>
      <c r="J686" s="219"/>
      <c r="K686" s="219"/>
      <c r="L686" s="124"/>
      <c r="M686" s="124"/>
      <c r="N686" s="124"/>
      <c r="O686" s="124"/>
      <c r="P686" s="124"/>
      <c r="Q686" s="124"/>
      <c r="R686" s="124"/>
      <c r="S686" s="124"/>
      <c r="T686" s="124"/>
      <c r="U686" s="124"/>
      <c r="V686" s="124"/>
      <c r="W686" s="124"/>
      <c r="X686" s="124"/>
    </row>
    <row r="687">
      <c r="A687" s="216"/>
      <c r="B687" s="124"/>
      <c r="C687" s="124"/>
      <c r="D687" s="124"/>
      <c r="E687" s="124"/>
      <c r="F687" s="124"/>
      <c r="G687" s="124"/>
      <c r="H687" s="124"/>
      <c r="I687" s="217" t="str">
        <f>IFERROR(__xludf.DUMMYFUNCTION("""COMPUTED_VALUE"""),"")</f>
        <v/>
      </c>
      <c r="J687" s="219"/>
      <c r="K687" s="219"/>
      <c r="L687" s="124"/>
      <c r="M687" s="124"/>
      <c r="N687" s="124"/>
      <c r="O687" s="124"/>
      <c r="P687" s="124"/>
      <c r="Q687" s="124"/>
      <c r="R687" s="124"/>
      <c r="S687" s="124"/>
      <c r="T687" s="124"/>
      <c r="U687" s="124"/>
      <c r="V687" s="124"/>
      <c r="W687" s="124"/>
      <c r="X687" s="124"/>
    </row>
    <row r="688">
      <c r="A688" s="216"/>
      <c r="B688" s="124"/>
      <c r="C688" s="124"/>
      <c r="D688" s="124"/>
      <c r="E688" s="124"/>
      <c r="F688" s="124"/>
      <c r="G688" s="124"/>
      <c r="H688" s="124"/>
      <c r="I688" s="217" t="str">
        <f>IFERROR(__xludf.DUMMYFUNCTION("""COMPUTED_VALUE"""),"")</f>
        <v/>
      </c>
      <c r="J688" s="219"/>
      <c r="K688" s="219"/>
      <c r="L688" s="124"/>
      <c r="M688" s="124"/>
      <c r="N688" s="124"/>
      <c r="O688" s="124"/>
      <c r="P688" s="124"/>
      <c r="Q688" s="124"/>
      <c r="R688" s="124"/>
      <c r="S688" s="124"/>
      <c r="T688" s="124"/>
      <c r="U688" s="124"/>
      <c r="V688" s="124"/>
      <c r="W688" s="124"/>
      <c r="X688" s="124"/>
    </row>
    <row r="689">
      <c r="A689" s="216"/>
      <c r="B689" s="124"/>
      <c r="C689" s="124"/>
      <c r="D689" s="124"/>
      <c r="E689" s="124"/>
      <c r="F689" s="124"/>
      <c r="G689" s="124"/>
      <c r="H689" s="124"/>
      <c r="I689" s="217" t="str">
        <f>IFERROR(__xludf.DUMMYFUNCTION("""COMPUTED_VALUE"""),"")</f>
        <v/>
      </c>
      <c r="J689" s="219"/>
      <c r="K689" s="219"/>
      <c r="L689" s="124"/>
      <c r="M689" s="124"/>
      <c r="N689" s="124"/>
      <c r="O689" s="124"/>
      <c r="P689" s="124"/>
      <c r="Q689" s="124"/>
      <c r="R689" s="124"/>
      <c r="S689" s="124"/>
      <c r="T689" s="124"/>
      <c r="U689" s="124"/>
      <c r="V689" s="124"/>
      <c r="W689" s="124"/>
      <c r="X689" s="124"/>
    </row>
    <row r="690">
      <c r="A690" s="216"/>
      <c r="B690" s="124"/>
      <c r="C690" s="124"/>
      <c r="D690" s="124"/>
      <c r="E690" s="124"/>
      <c r="F690" s="124"/>
      <c r="G690" s="124"/>
      <c r="H690" s="124"/>
      <c r="I690" s="217" t="str">
        <f>IFERROR(__xludf.DUMMYFUNCTION("""COMPUTED_VALUE"""),"")</f>
        <v/>
      </c>
      <c r="J690" s="219"/>
      <c r="K690" s="219"/>
      <c r="L690" s="124"/>
      <c r="M690" s="124"/>
      <c r="N690" s="124"/>
      <c r="O690" s="124"/>
      <c r="P690" s="124"/>
      <c r="Q690" s="124"/>
      <c r="R690" s="124"/>
      <c r="S690" s="124"/>
      <c r="T690" s="124"/>
      <c r="U690" s="124"/>
      <c r="V690" s="124"/>
      <c r="W690" s="124"/>
      <c r="X690" s="124"/>
    </row>
    <row r="691">
      <c r="A691" s="216"/>
      <c r="B691" s="124"/>
      <c r="C691" s="124"/>
      <c r="D691" s="124"/>
      <c r="E691" s="124"/>
      <c r="F691" s="124"/>
      <c r="G691" s="124"/>
      <c r="H691" s="124"/>
      <c r="I691" s="217" t="str">
        <f>IFERROR(__xludf.DUMMYFUNCTION("""COMPUTED_VALUE"""),"")</f>
        <v/>
      </c>
      <c r="J691" s="219"/>
      <c r="K691" s="219"/>
      <c r="L691" s="124"/>
      <c r="M691" s="124"/>
      <c r="N691" s="124"/>
      <c r="O691" s="124"/>
      <c r="P691" s="124"/>
      <c r="Q691" s="124"/>
      <c r="R691" s="124"/>
      <c r="S691" s="124"/>
      <c r="T691" s="124"/>
      <c r="U691" s="124"/>
      <c r="V691" s="124"/>
      <c r="W691" s="124"/>
      <c r="X691" s="124"/>
    </row>
    <row r="692">
      <c r="A692" s="216"/>
      <c r="B692" s="124"/>
      <c r="C692" s="124"/>
      <c r="D692" s="124"/>
      <c r="E692" s="124"/>
      <c r="F692" s="124"/>
      <c r="G692" s="124"/>
      <c r="H692" s="124"/>
      <c r="I692" s="217" t="str">
        <f>IFERROR(__xludf.DUMMYFUNCTION("""COMPUTED_VALUE"""),"")</f>
        <v/>
      </c>
      <c r="J692" s="219"/>
      <c r="K692" s="219"/>
      <c r="L692" s="124"/>
      <c r="M692" s="124"/>
      <c r="N692" s="124"/>
      <c r="O692" s="124"/>
      <c r="P692" s="124"/>
      <c r="Q692" s="124"/>
      <c r="R692" s="124"/>
      <c r="S692" s="124"/>
      <c r="T692" s="124"/>
      <c r="U692" s="124"/>
      <c r="V692" s="124"/>
      <c r="W692" s="124"/>
      <c r="X692" s="124"/>
    </row>
    <row r="693">
      <c r="A693" s="216"/>
      <c r="B693" s="124"/>
      <c r="C693" s="124"/>
      <c r="D693" s="124"/>
      <c r="E693" s="124"/>
      <c r="F693" s="124"/>
      <c r="G693" s="124"/>
      <c r="H693" s="124"/>
      <c r="I693" s="217" t="str">
        <f>IFERROR(__xludf.DUMMYFUNCTION("""COMPUTED_VALUE"""),"")</f>
        <v/>
      </c>
      <c r="J693" s="219"/>
      <c r="K693" s="219"/>
      <c r="L693" s="124"/>
      <c r="M693" s="124"/>
      <c r="N693" s="124"/>
      <c r="O693" s="124"/>
      <c r="P693" s="124"/>
      <c r="Q693" s="124"/>
      <c r="R693" s="124"/>
      <c r="S693" s="124"/>
      <c r="T693" s="124"/>
      <c r="U693" s="124"/>
      <c r="V693" s="124"/>
      <c r="W693" s="124"/>
      <c r="X693" s="124"/>
    </row>
    <row r="694">
      <c r="A694" s="216"/>
      <c r="B694" s="124"/>
      <c r="C694" s="124"/>
      <c r="D694" s="124"/>
      <c r="E694" s="124"/>
      <c r="F694" s="124"/>
      <c r="G694" s="124"/>
      <c r="H694" s="124"/>
      <c r="I694" s="217" t="str">
        <f>IFERROR(__xludf.DUMMYFUNCTION("""COMPUTED_VALUE"""),"")</f>
        <v/>
      </c>
      <c r="J694" s="219"/>
      <c r="K694" s="219"/>
      <c r="L694" s="124"/>
      <c r="M694" s="124"/>
      <c r="N694" s="124"/>
      <c r="O694" s="124"/>
      <c r="P694" s="124"/>
      <c r="Q694" s="124"/>
      <c r="R694" s="124"/>
      <c r="S694" s="124"/>
      <c r="T694" s="124"/>
      <c r="U694" s="124"/>
      <c r="V694" s="124"/>
      <c r="W694" s="124"/>
      <c r="X694" s="124"/>
    </row>
    <row r="695">
      <c r="A695" s="216"/>
      <c r="B695" s="124"/>
      <c r="C695" s="124"/>
      <c r="D695" s="124"/>
      <c r="E695" s="124"/>
      <c r="F695" s="124"/>
      <c r="G695" s="124"/>
      <c r="H695" s="124"/>
      <c r="I695" s="217" t="str">
        <f>IFERROR(__xludf.DUMMYFUNCTION("""COMPUTED_VALUE"""),"")</f>
        <v/>
      </c>
      <c r="J695" s="219"/>
      <c r="K695" s="219"/>
      <c r="L695" s="124"/>
      <c r="M695" s="124"/>
      <c r="N695" s="124"/>
      <c r="O695" s="124"/>
      <c r="P695" s="124"/>
      <c r="Q695" s="124"/>
      <c r="R695" s="124"/>
      <c r="S695" s="124"/>
      <c r="T695" s="124"/>
      <c r="U695" s="124"/>
      <c r="V695" s="124"/>
      <c r="W695" s="124"/>
      <c r="X695" s="124"/>
    </row>
    <row r="696">
      <c r="A696" s="216"/>
      <c r="B696" s="124"/>
      <c r="C696" s="124"/>
      <c r="D696" s="124"/>
      <c r="E696" s="124"/>
      <c r="F696" s="124"/>
      <c r="G696" s="124"/>
      <c r="H696" s="124"/>
      <c r="I696" s="217" t="str">
        <f>IFERROR(__xludf.DUMMYFUNCTION("""COMPUTED_VALUE"""),"")</f>
        <v/>
      </c>
      <c r="J696" s="219"/>
      <c r="K696" s="219"/>
      <c r="L696" s="124"/>
      <c r="M696" s="124"/>
      <c r="N696" s="124"/>
      <c r="O696" s="124"/>
      <c r="P696" s="124"/>
      <c r="Q696" s="124"/>
      <c r="R696" s="124"/>
      <c r="S696" s="124"/>
      <c r="T696" s="124"/>
      <c r="U696" s="124"/>
      <c r="V696" s="124"/>
      <c r="W696" s="124"/>
      <c r="X696" s="124"/>
    </row>
    <row r="697">
      <c r="A697" s="216"/>
      <c r="B697" s="124"/>
      <c r="C697" s="124"/>
      <c r="D697" s="124"/>
      <c r="E697" s="124"/>
      <c r="F697" s="124"/>
      <c r="G697" s="124"/>
      <c r="H697" s="124"/>
      <c r="I697" s="217" t="str">
        <f>IFERROR(__xludf.DUMMYFUNCTION("""COMPUTED_VALUE"""),"")</f>
        <v/>
      </c>
      <c r="J697" s="219"/>
      <c r="K697" s="219"/>
      <c r="L697" s="124"/>
      <c r="M697" s="124"/>
      <c r="N697" s="124"/>
      <c r="O697" s="124"/>
      <c r="P697" s="124"/>
      <c r="Q697" s="124"/>
      <c r="R697" s="124"/>
      <c r="S697" s="124"/>
      <c r="T697" s="124"/>
      <c r="U697" s="124"/>
      <c r="V697" s="124"/>
      <c r="W697" s="124"/>
      <c r="X697" s="124"/>
    </row>
    <row r="698">
      <c r="A698" s="216"/>
      <c r="B698" s="124"/>
      <c r="C698" s="124"/>
      <c r="D698" s="124"/>
      <c r="E698" s="124"/>
      <c r="F698" s="124"/>
      <c r="G698" s="124"/>
      <c r="H698" s="124"/>
      <c r="I698" s="217" t="str">
        <f>IFERROR(__xludf.DUMMYFUNCTION("""COMPUTED_VALUE"""),"")</f>
        <v/>
      </c>
      <c r="J698" s="219"/>
      <c r="K698" s="219"/>
      <c r="L698" s="124"/>
      <c r="M698" s="124"/>
      <c r="N698" s="124"/>
      <c r="O698" s="124"/>
      <c r="P698" s="124"/>
      <c r="Q698" s="124"/>
      <c r="R698" s="124"/>
      <c r="S698" s="124"/>
      <c r="T698" s="124"/>
      <c r="U698" s="124"/>
      <c r="V698" s="124"/>
      <c r="W698" s="124"/>
      <c r="X698" s="124"/>
    </row>
    <row r="699">
      <c r="A699" s="216"/>
      <c r="B699" s="124"/>
      <c r="C699" s="124"/>
      <c r="D699" s="124"/>
      <c r="E699" s="124"/>
      <c r="F699" s="124"/>
      <c r="G699" s="124"/>
      <c r="H699" s="124"/>
      <c r="I699" s="217" t="str">
        <f>IFERROR(__xludf.DUMMYFUNCTION("""COMPUTED_VALUE"""),"")</f>
        <v/>
      </c>
      <c r="J699" s="219"/>
      <c r="K699" s="219"/>
      <c r="L699" s="124"/>
      <c r="M699" s="124"/>
      <c r="N699" s="124"/>
      <c r="O699" s="124"/>
      <c r="P699" s="124"/>
      <c r="Q699" s="124"/>
      <c r="R699" s="124"/>
      <c r="S699" s="124"/>
      <c r="T699" s="124"/>
      <c r="U699" s="124"/>
      <c r="V699" s="124"/>
      <c r="W699" s="124"/>
      <c r="X699" s="124"/>
    </row>
    <row r="700">
      <c r="A700" s="216"/>
      <c r="B700" s="124"/>
      <c r="C700" s="124"/>
      <c r="D700" s="124"/>
      <c r="E700" s="124"/>
      <c r="F700" s="124"/>
      <c r="G700" s="124"/>
      <c r="H700" s="124"/>
      <c r="I700" s="217" t="str">
        <f>IFERROR(__xludf.DUMMYFUNCTION("""COMPUTED_VALUE"""),"")</f>
        <v/>
      </c>
      <c r="J700" s="219"/>
      <c r="K700" s="219"/>
      <c r="L700" s="124"/>
      <c r="M700" s="124"/>
      <c r="N700" s="124"/>
      <c r="O700" s="124"/>
      <c r="P700" s="124"/>
      <c r="Q700" s="124"/>
      <c r="R700" s="124"/>
      <c r="S700" s="124"/>
      <c r="T700" s="124"/>
      <c r="U700" s="124"/>
      <c r="V700" s="124"/>
      <c r="W700" s="124"/>
      <c r="X700" s="124"/>
    </row>
    <row r="701">
      <c r="A701" s="216"/>
      <c r="B701" s="124"/>
      <c r="C701" s="124"/>
      <c r="D701" s="124"/>
      <c r="E701" s="124"/>
      <c r="F701" s="124"/>
      <c r="G701" s="124"/>
      <c r="H701" s="124"/>
      <c r="I701" s="217" t="str">
        <f>IFERROR(__xludf.DUMMYFUNCTION("""COMPUTED_VALUE"""),"")</f>
        <v/>
      </c>
      <c r="J701" s="219"/>
      <c r="K701" s="219"/>
      <c r="L701" s="124"/>
      <c r="M701" s="124"/>
      <c r="N701" s="124"/>
      <c r="O701" s="124"/>
      <c r="P701" s="124"/>
      <c r="Q701" s="124"/>
      <c r="R701" s="124"/>
      <c r="S701" s="124"/>
      <c r="T701" s="124"/>
      <c r="U701" s="124"/>
      <c r="V701" s="124"/>
      <c r="W701" s="124"/>
      <c r="X701" s="124"/>
    </row>
    <row r="702">
      <c r="A702" s="216"/>
      <c r="B702" s="124"/>
      <c r="C702" s="124"/>
      <c r="D702" s="124"/>
      <c r="E702" s="124"/>
      <c r="F702" s="124"/>
      <c r="G702" s="124"/>
      <c r="H702" s="124"/>
      <c r="I702" s="217" t="str">
        <f>IFERROR(__xludf.DUMMYFUNCTION("""COMPUTED_VALUE"""),"")</f>
        <v/>
      </c>
      <c r="J702" s="219"/>
      <c r="K702" s="219"/>
      <c r="L702" s="124"/>
      <c r="M702" s="124"/>
      <c r="N702" s="124"/>
      <c r="O702" s="124"/>
      <c r="P702" s="124"/>
      <c r="Q702" s="124"/>
      <c r="R702" s="124"/>
      <c r="S702" s="124"/>
      <c r="T702" s="124"/>
      <c r="U702" s="124"/>
      <c r="V702" s="124"/>
      <c r="W702" s="124"/>
      <c r="X702" s="124"/>
    </row>
    <row r="703">
      <c r="A703" s="216"/>
      <c r="B703" s="124"/>
      <c r="C703" s="124"/>
      <c r="D703" s="124"/>
      <c r="E703" s="124"/>
      <c r="F703" s="124"/>
      <c r="G703" s="124"/>
      <c r="H703" s="124"/>
      <c r="I703" s="217" t="str">
        <f>IFERROR(__xludf.DUMMYFUNCTION("""COMPUTED_VALUE"""),"")</f>
        <v/>
      </c>
      <c r="J703" s="219"/>
      <c r="K703" s="219"/>
      <c r="L703" s="124"/>
      <c r="M703" s="124"/>
      <c r="N703" s="124"/>
      <c r="O703" s="124"/>
      <c r="P703" s="124"/>
      <c r="Q703" s="124"/>
      <c r="R703" s="124"/>
      <c r="S703" s="124"/>
      <c r="T703" s="124"/>
      <c r="U703" s="124"/>
      <c r="V703" s="124"/>
      <c r="W703" s="124"/>
      <c r="X703" s="124"/>
    </row>
    <row r="704">
      <c r="A704" s="216"/>
      <c r="B704" s="124"/>
      <c r="C704" s="124"/>
      <c r="D704" s="124"/>
      <c r="E704" s="124"/>
      <c r="F704" s="124"/>
      <c r="G704" s="124"/>
      <c r="H704" s="124"/>
      <c r="I704" s="217" t="str">
        <f>IFERROR(__xludf.DUMMYFUNCTION("""COMPUTED_VALUE"""),"")</f>
        <v/>
      </c>
      <c r="J704" s="219"/>
      <c r="K704" s="219"/>
      <c r="L704" s="124"/>
      <c r="M704" s="124"/>
      <c r="N704" s="124"/>
      <c r="O704" s="124"/>
      <c r="P704" s="124"/>
      <c r="Q704" s="124"/>
      <c r="R704" s="124"/>
      <c r="S704" s="124"/>
      <c r="T704" s="124"/>
      <c r="U704" s="124"/>
      <c r="V704" s="124"/>
      <c r="W704" s="124"/>
      <c r="X704" s="124"/>
    </row>
    <row r="705">
      <c r="A705" s="216"/>
      <c r="B705" s="124"/>
      <c r="C705" s="124"/>
      <c r="D705" s="124"/>
      <c r="E705" s="124"/>
      <c r="F705" s="124"/>
      <c r="G705" s="124"/>
      <c r="H705" s="124"/>
      <c r="I705" s="217" t="str">
        <f>IFERROR(__xludf.DUMMYFUNCTION("""COMPUTED_VALUE"""),"")</f>
        <v/>
      </c>
      <c r="J705" s="219"/>
      <c r="K705" s="219"/>
      <c r="L705" s="124"/>
      <c r="M705" s="124"/>
      <c r="N705" s="124"/>
      <c r="O705" s="124"/>
      <c r="P705" s="124"/>
      <c r="Q705" s="124"/>
      <c r="R705" s="124"/>
      <c r="S705" s="124"/>
      <c r="T705" s="124"/>
      <c r="U705" s="124"/>
      <c r="V705" s="124"/>
      <c r="W705" s="124"/>
      <c r="X705" s="124"/>
    </row>
    <row r="706">
      <c r="A706" s="216"/>
      <c r="B706" s="124"/>
      <c r="C706" s="124"/>
      <c r="D706" s="124"/>
      <c r="E706" s="124"/>
      <c r="F706" s="124"/>
      <c r="G706" s="124"/>
      <c r="H706" s="124"/>
      <c r="I706" s="217" t="str">
        <f>IFERROR(__xludf.DUMMYFUNCTION("""COMPUTED_VALUE"""),"")</f>
        <v/>
      </c>
      <c r="J706" s="219"/>
      <c r="K706" s="219"/>
      <c r="L706" s="124"/>
      <c r="M706" s="124"/>
      <c r="N706" s="124"/>
      <c r="O706" s="124"/>
      <c r="P706" s="124"/>
      <c r="Q706" s="124"/>
      <c r="R706" s="124"/>
      <c r="S706" s="124"/>
      <c r="T706" s="124"/>
      <c r="U706" s="124"/>
      <c r="V706" s="124"/>
      <c r="W706" s="124"/>
      <c r="X706" s="124"/>
    </row>
    <row r="707">
      <c r="A707" s="216"/>
      <c r="B707" s="124"/>
      <c r="C707" s="124"/>
      <c r="D707" s="124"/>
      <c r="E707" s="124"/>
      <c r="F707" s="124"/>
      <c r="G707" s="124"/>
      <c r="H707" s="124"/>
      <c r="I707" s="217" t="str">
        <f>IFERROR(__xludf.DUMMYFUNCTION("""COMPUTED_VALUE"""),"")</f>
        <v/>
      </c>
      <c r="J707" s="219"/>
      <c r="K707" s="219"/>
      <c r="L707" s="124"/>
      <c r="M707" s="124"/>
      <c r="N707" s="124"/>
      <c r="O707" s="124"/>
      <c r="P707" s="124"/>
      <c r="Q707" s="124"/>
      <c r="R707" s="124"/>
      <c r="S707" s="124"/>
      <c r="T707" s="124"/>
      <c r="U707" s="124"/>
      <c r="V707" s="124"/>
      <c r="W707" s="124"/>
      <c r="X707" s="124"/>
    </row>
    <row r="708">
      <c r="A708" s="216"/>
      <c r="B708" s="124"/>
      <c r="C708" s="124"/>
      <c r="D708" s="124"/>
      <c r="E708" s="124"/>
      <c r="F708" s="124"/>
      <c r="G708" s="124"/>
      <c r="H708" s="124"/>
      <c r="I708" s="217" t="str">
        <f>IFERROR(__xludf.DUMMYFUNCTION("""COMPUTED_VALUE"""),"")</f>
        <v/>
      </c>
      <c r="J708" s="219"/>
      <c r="K708" s="219"/>
      <c r="L708" s="124"/>
      <c r="M708" s="124"/>
      <c r="N708" s="124"/>
      <c r="O708" s="124"/>
      <c r="P708" s="124"/>
      <c r="Q708" s="124"/>
      <c r="R708" s="124"/>
      <c r="S708" s="124"/>
      <c r="T708" s="124"/>
      <c r="U708" s="124"/>
      <c r="V708" s="124"/>
      <c r="W708" s="124"/>
      <c r="X708" s="124"/>
    </row>
    <row r="709">
      <c r="A709" s="216"/>
      <c r="B709" s="124"/>
      <c r="C709" s="124"/>
      <c r="D709" s="124"/>
      <c r="E709" s="124"/>
      <c r="F709" s="124"/>
      <c r="G709" s="124"/>
      <c r="H709" s="124"/>
      <c r="I709" s="217" t="str">
        <f>IFERROR(__xludf.DUMMYFUNCTION("""COMPUTED_VALUE"""),"")</f>
        <v/>
      </c>
      <c r="J709" s="219"/>
      <c r="K709" s="219"/>
      <c r="L709" s="124"/>
      <c r="M709" s="124"/>
      <c r="N709" s="124"/>
      <c r="O709" s="124"/>
      <c r="P709" s="124"/>
      <c r="Q709" s="124"/>
      <c r="R709" s="124"/>
      <c r="S709" s="124"/>
      <c r="T709" s="124"/>
      <c r="U709" s="124"/>
      <c r="V709" s="124"/>
      <c r="W709" s="124"/>
      <c r="X709" s="124"/>
    </row>
    <row r="710">
      <c r="A710" s="216"/>
      <c r="B710" s="124"/>
      <c r="C710" s="124"/>
      <c r="D710" s="124"/>
      <c r="E710" s="124"/>
      <c r="F710" s="124"/>
      <c r="G710" s="124"/>
      <c r="H710" s="124"/>
      <c r="I710" s="217" t="str">
        <f>IFERROR(__xludf.DUMMYFUNCTION("""COMPUTED_VALUE"""),"")</f>
        <v/>
      </c>
      <c r="J710" s="219"/>
      <c r="K710" s="219"/>
      <c r="L710" s="124"/>
      <c r="M710" s="124"/>
      <c r="N710" s="124"/>
      <c r="O710" s="124"/>
      <c r="P710" s="124"/>
      <c r="Q710" s="124"/>
      <c r="R710" s="124"/>
      <c r="S710" s="124"/>
      <c r="T710" s="124"/>
      <c r="U710" s="124"/>
      <c r="V710" s="124"/>
      <c r="W710" s="124"/>
      <c r="X710" s="124"/>
    </row>
    <row r="711">
      <c r="A711" s="216"/>
      <c r="B711" s="124"/>
      <c r="C711" s="124"/>
      <c r="D711" s="124"/>
      <c r="E711" s="124"/>
      <c r="F711" s="124"/>
      <c r="G711" s="124"/>
      <c r="H711" s="124"/>
      <c r="I711" s="217" t="str">
        <f>IFERROR(__xludf.DUMMYFUNCTION("""COMPUTED_VALUE"""),"")</f>
        <v/>
      </c>
      <c r="J711" s="219"/>
      <c r="K711" s="219"/>
      <c r="L711" s="124"/>
      <c r="M711" s="124"/>
      <c r="N711" s="124"/>
      <c r="O711" s="124"/>
      <c r="P711" s="124"/>
      <c r="Q711" s="124"/>
      <c r="R711" s="124"/>
      <c r="S711" s="124"/>
      <c r="T711" s="124"/>
      <c r="U711" s="124"/>
      <c r="V711" s="124"/>
      <c r="W711" s="124"/>
      <c r="X711" s="124"/>
    </row>
    <row r="712">
      <c r="A712" s="216"/>
      <c r="B712" s="124"/>
      <c r="C712" s="124"/>
      <c r="D712" s="124"/>
      <c r="E712" s="124"/>
      <c r="F712" s="124"/>
      <c r="G712" s="124"/>
      <c r="H712" s="124"/>
      <c r="I712" s="217" t="str">
        <f>IFERROR(__xludf.DUMMYFUNCTION("""COMPUTED_VALUE"""),"")</f>
        <v/>
      </c>
      <c r="J712" s="219"/>
      <c r="K712" s="219"/>
      <c r="L712" s="124"/>
      <c r="M712" s="124"/>
      <c r="N712" s="124"/>
      <c r="O712" s="124"/>
      <c r="P712" s="124"/>
      <c r="Q712" s="124"/>
      <c r="R712" s="124"/>
      <c r="S712" s="124"/>
      <c r="T712" s="124"/>
      <c r="U712" s="124"/>
      <c r="V712" s="124"/>
      <c r="W712" s="124"/>
      <c r="X712" s="124"/>
    </row>
    <row r="713">
      <c r="A713" s="216"/>
      <c r="B713" s="124"/>
      <c r="C713" s="124"/>
      <c r="D713" s="124"/>
      <c r="E713" s="124"/>
      <c r="F713" s="124"/>
      <c r="G713" s="124"/>
      <c r="H713" s="124"/>
      <c r="I713" s="217" t="str">
        <f>IFERROR(__xludf.DUMMYFUNCTION("""COMPUTED_VALUE"""),"")</f>
        <v/>
      </c>
      <c r="J713" s="219"/>
      <c r="K713" s="219"/>
      <c r="L713" s="124"/>
      <c r="M713" s="124"/>
      <c r="N713" s="124"/>
      <c r="O713" s="124"/>
      <c r="P713" s="124"/>
      <c r="Q713" s="124"/>
      <c r="R713" s="124"/>
      <c r="S713" s="124"/>
      <c r="T713" s="124"/>
      <c r="U713" s="124"/>
      <c r="V713" s="124"/>
      <c r="W713" s="124"/>
      <c r="X713" s="124"/>
    </row>
    <row r="714">
      <c r="A714" s="216"/>
      <c r="B714" s="124"/>
      <c r="C714" s="124"/>
      <c r="D714" s="124"/>
      <c r="E714" s="124"/>
      <c r="F714" s="124"/>
      <c r="G714" s="124"/>
      <c r="H714" s="124"/>
      <c r="I714" s="217" t="str">
        <f>IFERROR(__xludf.DUMMYFUNCTION("""COMPUTED_VALUE"""),"")</f>
        <v/>
      </c>
      <c r="J714" s="219"/>
      <c r="K714" s="219"/>
      <c r="L714" s="124"/>
      <c r="M714" s="124"/>
      <c r="N714" s="124"/>
      <c r="O714" s="124"/>
      <c r="P714" s="124"/>
      <c r="Q714" s="124"/>
      <c r="R714" s="124"/>
      <c r="S714" s="124"/>
      <c r="T714" s="124"/>
      <c r="U714" s="124"/>
      <c r="V714" s="124"/>
      <c r="W714" s="124"/>
      <c r="X714" s="124"/>
    </row>
    <row r="715">
      <c r="A715" s="216"/>
      <c r="B715" s="124"/>
      <c r="C715" s="124"/>
      <c r="D715" s="124"/>
      <c r="E715" s="124"/>
      <c r="F715" s="124"/>
      <c r="G715" s="124"/>
      <c r="H715" s="124"/>
      <c r="I715" s="217" t="str">
        <f>IFERROR(__xludf.DUMMYFUNCTION("""COMPUTED_VALUE"""),"")</f>
        <v/>
      </c>
      <c r="J715" s="219"/>
      <c r="K715" s="219"/>
      <c r="L715" s="124"/>
      <c r="M715" s="124"/>
      <c r="N715" s="124"/>
      <c r="O715" s="124"/>
      <c r="P715" s="124"/>
      <c r="Q715" s="124"/>
      <c r="R715" s="124"/>
      <c r="S715" s="124"/>
      <c r="T715" s="124"/>
      <c r="U715" s="124"/>
      <c r="V715" s="124"/>
      <c r="W715" s="124"/>
      <c r="X715" s="124"/>
    </row>
    <row r="716">
      <c r="A716" s="216"/>
      <c r="B716" s="124"/>
      <c r="C716" s="124"/>
      <c r="D716" s="124"/>
      <c r="E716" s="124"/>
      <c r="F716" s="124"/>
      <c r="G716" s="124"/>
      <c r="H716" s="124"/>
      <c r="I716" s="217" t="str">
        <f>IFERROR(__xludf.DUMMYFUNCTION("""COMPUTED_VALUE"""),"")</f>
        <v/>
      </c>
      <c r="J716" s="219"/>
      <c r="K716" s="219"/>
      <c r="L716" s="124"/>
      <c r="M716" s="124"/>
      <c r="N716" s="124"/>
      <c r="O716" s="124"/>
      <c r="P716" s="124"/>
      <c r="Q716" s="124"/>
      <c r="R716" s="124"/>
      <c r="S716" s="124"/>
      <c r="T716" s="124"/>
      <c r="U716" s="124"/>
      <c r="V716" s="124"/>
      <c r="W716" s="124"/>
      <c r="X716" s="124"/>
    </row>
    <row r="717">
      <c r="A717" s="216"/>
      <c r="B717" s="124"/>
      <c r="C717" s="124"/>
      <c r="D717" s="124"/>
      <c r="E717" s="124"/>
      <c r="F717" s="124"/>
      <c r="G717" s="124"/>
      <c r="H717" s="124"/>
      <c r="I717" s="217" t="str">
        <f>IFERROR(__xludf.DUMMYFUNCTION("""COMPUTED_VALUE"""),"")</f>
        <v/>
      </c>
      <c r="J717" s="219"/>
      <c r="K717" s="219"/>
      <c r="L717" s="124"/>
      <c r="M717" s="124"/>
      <c r="N717" s="124"/>
      <c r="O717" s="124"/>
      <c r="P717" s="124"/>
      <c r="Q717" s="124"/>
      <c r="R717" s="124"/>
      <c r="S717" s="124"/>
      <c r="T717" s="124"/>
      <c r="U717" s="124"/>
      <c r="V717" s="124"/>
      <c r="W717" s="124"/>
      <c r="X717" s="124"/>
    </row>
    <row r="718">
      <c r="A718" s="216"/>
      <c r="B718" s="124"/>
      <c r="C718" s="124"/>
      <c r="D718" s="124"/>
      <c r="E718" s="124"/>
      <c r="F718" s="124"/>
      <c r="G718" s="124"/>
      <c r="H718" s="124"/>
      <c r="I718" s="217" t="str">
        <f>IFERROR(__xludf.DUMMYFUNCTION("""COMPUTED_VALUE"""),"")</f>
        <v/>
      </c>
      <c r="J718" s="219"/>
      <c r="K718" s="219"/>
      <c r="L718" s="124"/>
      <c r="M718" s="124"/>
      <c r="N718" s="124"/>
      <c r="O718" s="124"/>
      <c r="P718" s="124"/>
      <c r="Q718" s="124"/>
      <c r="R718" s="124"/>
      <c r="S718" s="124"/>
      <c r="T718" s="124"/>
      <c r="U718" s="124"/>
      <c r="V718" s="124"/>
      <c r="W718" s="124"/>
      <c r="X718" s="124"/>
    </row>
    <row r="719">
      <c r="A719" s="216"/>
      <c r="B719" s="124"/>
      <c r="C719" s="124"/>
      <c r="D719" s="124"/>
      <c r="E719" s="124"/>
      <c r="F719" s="124"/>
      <c r="G719" s="124"/>
      <c r="H719" s="124"/>
      <c r="I719" s="217" t="str">
        <f>IFERROR(__xludf.DUMMYFUNCTION("""COMPUTED_VALUE"""),"")</f>
        <v/>
      </c>
      <c r="J719" s="219"/>
      <c r="K719" s="219"/>
      <c r="L719" s="124"/>
      <c r="M719" s="124"/>
      <c r="N719" s="124"/>
      <c r="O719" s="124"/>
      <c r="P719" s="124"/>
      <c r="Q719" s="124"/>
      <c r="R719" s="124"/>
      <c r="S719" s="124"/>
      <c r="T719" s="124"/>
      <c r="U719" s="124"/>
      <c r="V719" s="124"/>
      <c r="W719" s="124"/>
      <c r="X719" s="124"/>
    </row>
    <row r="720">
      <c r="A720" s="216"/>
      <c r="B720" s="124"/>
      <c r="C720" s="124"/>
      <c r="D720" s="124"/>
      <c r="E720" s="124"/>
      <c r="F720" s="124"/>
      <c r="G720" s="124"/>
      <c r="H720" s="124"/>
      <c r="I720" s="217" t="str">
        <f>IFERROR(__xludf.DUMMYFUNCTION("""COMPUTED_VALUE"""),"")</f>
        <v/>
      </c>
      <c r="J720" s="219"/>
      <c r="K720" s="219"/>
      <c r="L720" s="124"/>
      <c r="M720" s="124"/>
      <c r="N720" s="124"/>
      <c r="O720" s="124"/>
      <c r="P720" s="124"/>
      <c r="Q720" s="124"/>
      <c r="R720" s="124"/>
      <c r="S720" s="124"/>
      <c r="T720" s="124"/>
      <c r="U720" s="124"/>
      <c r="V720" s="124"/>
      <c r="W720" s="124"/>
      <c r="X720" s="124"/>
    </row>
    <row r="721">
      <c r="A721" s="216"/>
      <c r="B721" s="124"/>
      <c r="C721" s="124"/>
      <c r="D721" s="124"/>
      <c r="E721" s="124"/>
      <c r="F721" s="124"/>
      <c r="G721" s="124"/>
      <c r="H721" s="124"/>
      <c r="I721" s="217" t="str">
        <f>IFERROR(__xludf.DUMMYFUNCTION("""COMPUTED_VALUE"""),"")</f>
        <v/>
      </c>
      <c r="J721" s="219"/>
      <c r="K721" s="219"/>
      <c r="L721" s="124"/>
      <c r="M721" s="124"/>
      <c r="N721" s="124"/>
      <c r="O721" s="124"/>
      <c r="P721" s="124"/>
      <c r="Q721" s="124"/>
      <c r="R721" s="124"/>
      <c r="S721" s="124"/>
      <c r="T721" s="124"/>
      <c r="U721" s="124"/>
      <c r="V721" s="124"/>
      <c r="W721" s="124"/>
      <c r="X721" s="124"/>
    </row>
    <row r="722">
      <c r="A722" s="216"/>
      <c r="B722" s="124"/>
      <c r="C722" s="124"/>
      <c r="D722" s="124"/>
      <c r="E722" s="124"/>
      <c r="F722" s="124"/>
      <c r="G722" s="124"/>
      <c r="H722" s="124"/>
      <c r="I722" s="217" t="str">
        <f>IFERROR(__xludf.DUMMYFUNCTION("""COMPUTED_VALUE"""),"")</f>
        <v/>
      </c>
      <c r="J722" s="219"/>
      <c r="K722" s="219"/>
      <c r="L722" s="124"/>
      <c r="M722" s="124"/>
      <c r="N722" s="124"/>
      <c r="O722" s="124"/>
      <c r="P722" s="124"/>
      <c r="Q722" s="124"/>
      <c r="R722" s="124"/>
      <c r="S722" s="124"/>
      <c r="T722" s="124"/>
      <c r="U722" s="124"/>
      <c r="V722" s="124"/>
      <c r="W722" s="124"/>
      <c r="X722" s="124"/>
    </row>
    <row r="723">
      <c r="A723" s="216"/>
      <c r="B723" s="124"/>
      <c r="C723" s="124"/>
      <c r="D723" s="124"/>
      <c r="E723" s="124"/>
      <c r="F723" s="124"/>
      <c r="G723" s="124"/>
      <c r="H723" s="124"/>
      <c r="I723" s="217" t="str">
        <f>IFERROR(__xludf.DUMMYFUNCTION("""COMPUTED_VALUE"""),"")</f>
        <v/>
      </c>
      <c r="J723" s="219"/>
      <c r="K723" s="219"/>
      <c r="L723" s="124"/>
      <c r="M723" s="124"/>
      <c r="N723" s="124"/>
      <c r="O723" s="124"/>
      <c r="P723" s="124"/>
      <c r="Q723" s="124"/>
      <c r="R723" s="124"/>
      <c r="S723" s="124"/>
      <c r="T723" s="124"/>
      <c r="U723" s="124"/>
      <c r="V723" s="124"/>
      <c r="W723" s="124"/>
      <c r="X723" s="124"/>
    </row>
    <row r="724">
      <c r="A724" s="216"/>
      <c r="B724" s="124"/>
      <c r="C724" s="124"/>
      <c r="D724" s="124"/>
      <c r="E724" s="124"/>
      <c r="F724" s="124"/>
      <c r="G724" s="124"/>
      <c r="H724" s="124"/>
      <c r="I724" s="217" t="str">
        <f>IFERROR(__xludf.DUMMYFUNCTION("""COMPUTED_VALUE"""),"")</f>
        <v/>
      </c>
      <c r="J724" s="219"/>
      <c r="K724" s="219"/>
      <c r="L724" s="124"/>
      <c r="M724" s="124"/>
      <c r="N724" s="124"/>
      <c r="O724" s="124"/>
      <c r="P724" s="124"/>
      <c r="Q724" s="124"/>
      <c r="R724" s="124"/>
      <c r="S724" s="124"/>
      <c r="T724" s="124"/>
      <c r="U724" s="124"/>
      <c r="V724" s="124"/>
      <c r="W724" s="124"/>
      <c r="X724" s="124"/>
    </row>
    <row r="725">
      <c r="A725" s="216"/>
      <c r="B725" s="124"/>
      <c r="C725" s="124"/>
      <c r="D725" s="124"/>
      <c r="E725" s="124"/>
      <c r="F725" s="124"/>
      <c r="G725" s="124"/>
      <c r="H725" s="124"/>
      <c r="I725" s="217" t="str">
        <f>IFERROR(__xludf.DUMMYFUNCTION("""COMPUTED_VALUE"""),"")</f>
        <v/>
      </c>
      <c r="J725" s="219"/>
      <c r="K725" s="219"/>
      <c r="L725" s="124"/>
      <c r="M725" s="124"/>
      <c r="N725" s="124"/>
      <c r="O725" s="124"/>
      <c r="P725" s="124"/>
      <c r="Q725" s="124"/>
      <c r="R725" s="124"/>
      <c r="S725" s="124"/>
      <c r="T725" s="124"/>
      <c r="U725" s="124"/>
      <c r="V725" s="124"/>
      <c r="W725" s="124"/>
      <c r="X725" s="124"/>
    </row>
    <row r="726">
      <c r="A726" s="216"/>
      <c r="B726" s="124"/>
      <c r="C726" s="124"/>
      <c r="D726" s="124"/>
      <c r="E726" s="124"/>
      <c r="F726" s="124"/>
      <c r="G726" s="124"/>
      <c r="H726" s="124"/>
      <c r="I726" s="217" t="str">
        <f>IFERROR(__xludf.DUMMYFUNCTION("""COMPUTED_VALUE"""),"")</f>
        <v/>
      </c>
      <c r="J726" s="219"/>
      <c r="K726" s="219"/>
      <c r="L726" s="124"/>
      <c r="M726" s="124"/>
      <c r="N726" s="124"/>
      <c r="O726" s="124"/>
      <c r="P726" s="124"/>
      <c r="Q726" s="124"/>
      <c r="R726" s="124"/>
      <c r="S726" s="124"/>
      <c r="T726" s="124"/>
      <c r="U726" s="124"/>
      <c r="V726" s="124"/>
      <c r="W726" s="124"/>
      <c r="X726" s="124"/>
    </row>
    <row r="727">
      <c r="A727" s="216"/>
      <c r="B727" s="124"/>
      <c r="C727" s="124"/>
      <c r="D727" s="124"/>
      <c r="E727" s="124"/>
      <c r="F727" s="124"/>
      <c r="G727" s="124"/>
      <c r="H727" s="124"/>
      <c r="I727" s="217" t="str">
        <f>IFERROR(__xludf.DUMMYFUNCTION("""COMPUTED_VALUE"""),"")</f>
        <v/>
      </c>
      <c r="J727" s="219"/>
      <c r="K727" s="219"/>
      <c r="L727" s="124"/>
      <c r="M727" s="124"/>
      <c r="N727" s="124"/>
      <c r="O727" s="124"/>
      <c r="P727" s="124"/>
      <c r="Q727" s="124"/>
      <c r="R727" s="124"/>
      <c r="S727" s="124"/>
      <c r="T727" s="124"/>
      <c r="U727" s="124"/>
      <c r="V727" s="124"/>
      <c r="W727" s="124"/>
      <c r="X727" s="124"/>
    </row>
    <row r="728">
      <c r="A728" s="216"/>
      <c r="B728" s="124"/>
      <c r="C728" s="124"/>
      <c r="D728" s="124"/>
      <c r="E728" s="124"/>
      <c r="F728" s="124"/>
      <c r="G728" s="124"/>
      <c r="H728" s="124"/>
      <c r="I728" s="217" t="str">
        <f>IFERROR(__xludf.DUMMYFUNCTION("""COMPUTED_VALUE"""),"")</f>
        <v/>
      </c>
      <c r="J728" s="219"/>
      <c r="K728" s="219"/>
      <c r="L728" s="124"/>
      <c r="M728" s="124"/>
      <c r="N728" s="124"/>
      <c r="O728" s="124"/>
      <c r="P728" s="124"/>
      <c r="Q728" s="124"/>
      <c r="R728" s="124"/>
      <c r="S728" s="124"/>
      <c r="T728" s="124"/>
      <c r="U728" s="124"/>
      <c r="V728" s="124"/>
      <c r="W728" s="124"/>
      <c r="X728" s="124"/>
    </row>
    <row r="729">
      <c r="A729" s="216"/>
      <c r="B729" s="124"/>
      <c r="C729" s="124"/>
      <c r="D729" s="124"/>
      <c r="E729" s="124"/>
      <c r="F729" s="124"/>
      <c r="G729" s="124"/>
      <c r="H729" s="124"/>
      <c r="I729" s="217" t="str">
        <f>IFERROR(__xludf.DUMMYFUNCTION("""COMPUTED_VALUE"""),"")</f>
        <v/>
      </c>
      <c r="J729" s="219"/>
      <c r="K729" s="219"/>
      <c r="L729" s="124"/>
      <c r="M729" s="124"/>
      <c r="N729" s="124"/>
      <c r="O729" s="124"/>
      <c r="P729" s="124"/>
      <c r="Q729" s="124"/>
      <c r="R729" s="124"/>
      <c r="S729" s="124"/>
      <c r="T729" s="124"/>
      <c r="U729" s="124"/>
      <c r="V729" s="124"/>
      <c r="W729" s="124"/>
      <c r="X729" s="124"/>
    </row>
    <row r="730">
      <c r="A730" s="216"/>
      <c r="B730" s="124"/>
      <c r="C730" s="124"/>
      <c r="D730" s="124"/>
      <c r="E730" s="124"/>
      <c r="F730" s="124"/>
      <c r="G730" s="124"/>
      <c r="H730" s="124"/>
      <c r="I730" s="217" t="str">
        <f>IFERROR(__xludf.DUMMYFUNCTION("""COMPUTED_VALUE"""),"")</f>
        <v/>
      </c>
      <c r="J730" s="219"/>
      <c r="K730" s="219"/>
      <c r="L730" s="124"/>
      <c r="M730" s="124"/>
      <c r="N730" s="124"/>
      <c r="O730" s="124"/>
      <c r="P730" s="124"/>
      <c r="Q730" s="124"/>
      <c r="R730" s="124"/>
      <c r="S730" s="124"/>
      <c r="T730" s="124"/>
      <c r="U730" s="124"/>
      <c r="V730" s="124"/>
      <c r="W730" s="124"/>
      <c r="X730" s="124"/>
    </row>
    <row r="731">
      <c r="A731" s="216"/>
      <c r="B731" s="124"/>
      <c r="C731" s="124"/>
      <c r="D731" s="124"/>
      <c r="E731" s="124"/>
      <c r="F731" s="124"/>
      <c r="G731" s="124"/>
      <c r="H731" s="124"/>
      <c r="I731" s="217" t="str">
        <f>IFERROR(__xludf.DUMMYFUNCTION("""COMPUTED_VALUE"""),"")</f>
        <v/>
      </c>
      <c r="J731" s="219"/>
      <c r="K731" s="219"/>
      <c r="L731" s="124"/>
      <c r="M731" s="124"/>
      <c r="N731" s="124"/>
      <c r="O731" s="124"/>
      <c r="P731" s="124"/>
      <c r="Q731" s="124"/>
      <c r="R731" s="124"/>
      <c r="S731" s="124"/>
      <c r="T731" s="124"/>
      <c r="U731" s="124"/>
      <c r="V731" s="124"/>
      <c r="W731" s="124"/>
      <c r="X731" s="124"/>
    </row>
    <row r="732">
      <c r="A732" s="216"/>
      <c r="B732" s="124"/>
      <c r="C732" s="124"/>
      <c r="D732" s="124"/>
      <c r="E732" s="124"/>
      <c r="F732" s="124"/>
      <c r="G732" s="124"/>
      <c r="H732" s="124"/>
      <c r="I732" s="217" t="str">
        <f>IFERROR(__xludf.DUMMYFUNCTION("""COMPUTED_VALUE"""),"")</f>
        <v/>
      </c>
      <c r="J732" s="219"/>
      <c r="K732" s="219"/>
      <c r="L732" s="124"/>
      <c r="M732" s="124"/>
      <c r="N732" s="124"/>
      <c r="O732" s="124"/>
      <c r="P732" s="124"/>
      <c r="Q732" s="124"/>
      <c r="R732" s="124"/>
      <c r="S732" s="124"/>
      <c r="T732" s="124"/>
      <c r="U732" s="124"/>
      <c r="V732" s="124"/>
      <c r="W732" s="124"/>
      <c r="X732" s="124"/>
    </row>
    <row r="733">
      <c r="A733" s="216"/>
      <c r="B733" s="124"/>
      <c r="C733" s="124"/>
      <c r="D733" s="124"/>
      <c r="E733" s="124"/>
      <c r="F733" s="124"/>
      <c r="G733" s="124"/>
      <c r="H733" s="124"/>
      <c r="I733" s="217" t="str">
        <f>IFERROR(__xludf.DUMMYFUNCTION("""COMPUTED_VALUE"""),"")</f>
        <v/>
      </c>
      <c r="J733" s="219"/>
      <c r="K733" s="219"/>
      <c r="L733" s="124"/>
      <c r="M733" s="124"/>
      <c r="N733" s="124"/>
      <c r="O733" s="124"/>
      <c r="P733" s="124"/>
      <c r="Q733" s="124"/>
      <c r="R733" s="124"/>
      <c r="S733" s="124"/>
      <c r="T733" s="124"/>
      <c r="U733" s="124"/>
      <c r="V733" s="124"/>
      <c r="W733" s="124"/>
      <c r="X733" s="124"/>
    </row>
    <row r="734">
      <c r="A734" s="216"/>
      <c r="B734" s="124"/>
      <c r="C734" s="124"/>
      <c r="D734" s="124"/>
      <c r="E734" s="124"/>
      <c r="F734" s="124"/>
      <c r="G734" s="124"/>
      <c r="H734" s="124"/>
      <c r="I734" s="217" t="str">
        <f>IFERROR(__xludf.DUMMYFUNCTION("""COMPUTED_VALUE"""),"")</f>
        <v/>
      </c>
      <c r="J734" s="219"/>
      <c r="K734" s="219"/>
      <c r="L734" s="124"/>
      <c r="M734" s="124"/>
      <c r="N734" s="124"/>
      <c r="O734" s="124"/>
      <c r="P734" s="124"/>
      <c r="Q734" s="124"/>
      <c r="R734" s="124"/>
      <c r="S734" s="124"/>
      <c r="T734" s="124"/>
      <c r="U734" s="124"/>
      <c r="V734" s="124"/>
      <c r="W734" s="124"/>
      <c r="X734" s="124"/>
    </row>
    <row r="735">
      <c r="A735" s="216"/>
      <c r="B735" s="124"/>
      <c r="C735" s="124"/>
      <c r="D735" s="124"/>
      <c r="E735" s="124"/>
      <c r="F735" s="124"/>
      <c r="G735" s="124"/>
      <c r="H735" s="124"/>
      <c r="I735" s="217" t="str">
        <f>IFERROR(__xludf.DUMMYFUNCTION("""COMPUTED_VALUE"""),"")</f>
        <v/>
      </c>
      <c r="J735" s="219"/>
      <c r="K735" s="219"/>
      <c r="L735" s="124"/>
      <c r="M735" s="124"/>
      <c r="N735" s="124"/>
      <c r="O735" s="124"/>
      <c r="P735" s="124"/>
      <c r="Q735" s="124"/>
      <c r="R735" s="124"/>
      <c r="S735" s="124"/>
      <c r="T735" s="124"/>
      <c r="U735" s="124"/>
      <c r="V735" s="124"/>
      <c r="W735" s="124"/>
      <c r="X735" s="124"/>
    </row>
    <row r="736">
      <c r="A736" s="216"/>
      <c r="B736" s="124"/>
      <c r="C736" s="124"/>
      <c r="D736" s="124"/>
      <c r="E736" s="124"/>
      <c r="F736" s="124"/>
      <c r="G736" s="124"/>
      <c r="H736" s="124"/>
      <c r="I736" s="217" t="str">
        <f>IFERROR(__xludf.DUMMYFUNCTION("""COMPUTED_VALUE"""),"")</f>
        <v/>
      </c>
      <c r="J736" s="219"/>
      <c r="K736" s="219"/>
      <c r="L736" s="124"/>
      <c r="M736" s="124"/>
      <c r="N736" s="124"/>
      <c r="O736" s="124"/>
      <c r="P736" s="124"/>
      <c r="Q736" s="124"/>
      <c r="R736" s="124"/>
      <c r="S736" s="124"/>
      <c r="T736" s="124"/>
      <c r="U736" s="124"/>
      <c r="V736" s="124"/>
      <c r="W736" s="124"/>
      <c r="X736" s="124"/>
    </row>
    <row r="737">
      <c r="A737" s="216"/>
      <c r="B737" s="124"/>
      <c r="C737" s="124"/>
      <c r="D737" s="124"/>
      <c r="E737" s="124"/>
      <c r="F737" s="124"/>
      <c r="G737" s="124"/>
      <c r="H737" s="124"/>
      <c r="I737" s="217" t="str">
        <f>IFERROR(__xludf.DUMMYFUNCTION("""COMPUTED_VALUE"""),"")</f>
        <v/>
      </c>
      <c r="J737" s="219"/>
      <c r="K737" s="219"/>
      <c r="L737" s="124"/>
      <c r="M737" s="124"/>
      <c r="N737" s="124"/>
      <c r="O737" s="124"/>
      <c r="P737" s="124"/>
      <c r="Q737" s="124"/>
      <c r="R737" s="124"/>
      <c r="S737" s="124"/>
      <c r="T737" s="124"/>
      <c r="U737" s="124"/>
      <c r="V737" s="124"/>
      <c r="W737" s="124"/>
      <c r="X737" s="124"/>
    </row>
    <row r="738">
      <c r="A738" s="216"/>
      <c r="B738" s="124"/>
      <c r="C738" s="124"/>
      <c r="D738" s="124"/>
      <c r="E738" s="124"/>
      <c r="F738" s="124"/>
      <c r="G738" s="124"/>
      <c r="H738" s="124"/>
      <c r="I738" s="217" t="str">
        <f>IFERROR(__xludf.DUMMYFUNCTION("""COMPUTED_VALUE"""),"")</f>
        <v/>
      </c>
      <c r="J738" s="219"/>
      <c r="K738" s="219"/>
      <c r="L738" s="124"/>
      <c r="M738" s="124"/>
      <c r="N738" s="124"/>
      <c r="O738" s="124"/>
      <c r="P738" s="124"/>
      <c r="Q738" s="124"/>
      <c r="R738" s="124"/>
      <c r="S738" s="124"/>
      <c r="T738" s="124"/>
      <c r="U738" s="124"/>
      <c r="V738" s="124"/>
      <c r="W738" s="124"/>
      <c r="X738" s="124"/>
    </row>
    <row r="739">
      <c r="A739" s="216"/>
      <c r="B739" s="124"/>
      <c r="C739" s="124"/>
      <c r="D739" s="124"/>
      <c r="E739" s="124"/>
      <c r="F739" s="124"/>
      <c r="G739" s="124"/>
      <c r="H739" s="124"/>
      <c r="I739" s="217" t="str">
        <f>IFERROR(__xludf.DUMMYFUNCTION("""COMPUTED_VALUE"""),"")</f>
        <v/>
      </c>
      <c r="J739" s="219"/>
      <c r="K739" s="219"/>
      <c r="L739" s="124"/>
      <c r="M739" s="124"/>
      <c r="N739" s="124"/>
      <c r="O739" s="124"/>
      <c r="P739" s="124"/>
      <c r="Q739" s="124"/>
      <c r="R739" s="124"/>
      <c r="S739" s="124"/>
      <c r="T739" s="124"/>
      <c r="U739" s="124"/>
      <c r="V739" s="124"/>
      <c r="W739" s="124"/>
      <c r="X739" s="124"/>
    </row>
    <row r="740">
      <c r="A740" s="216"/>
      <c r="B740" s="124"/>
      <c r="C740" s="124"/>
      <c r="D740" s="124"/>
      <c r="E740" s="124"/>
      <c r="F740" s="124"/>
      <c r="G740" s="124"/>
      <c r="H740" s="124"/>
      <c r="I740" s="217" t="str">
        <f>IFERROR(__xludf.DUMMYFUNCTION("""COMPUTED_VALUE"""),"")</f>
        <v/>
      </c>
      <c r="J740" s="219"/>
      <c r="K740" s="219"/>
      <c r="L740" s="124"/>
      <c r="M740" s="124"/>
      <c r="N740" s="124"/>
      <c r="O740" s="124"/>
      <c r="P740" s="124"/>
      <c r="Q740" s="124"/>
      <c r="R740" s="124"/>
      <c r="S740" s="124"/>
      <c r="T740" s="124"/>
      <c r="U740" s="124"/>
      <c r="V740" s="124"/>
      <c r="W740" s="124"/>
      <c r="X740" s="124"/>
    </row>
    <row r="741">
      <c r="A741" s="216"/>
      <c r="B741" s="124"/>
      <c r="C741" s="124"/>
      <c r="D741" s="124"/>
      <c r="E741" s="124"/>
      <c r="F741" s="124"/>
      <c r="G741" s="124"/>
      <c r="H741" s="124"/>
      <c r="I741" s="217" t="str">
        <f>IFERROR(__xludf.DUMMYFUNCTION("""COMPUTED_VALUE"""),"")</f>
        <v/>
      </c>
      <c r="J741" s="219"/>
      <c r="K741" s="219"/>
      <c r="L741" s="124"/>
      <c r="M741" s="124"/>
      <c r="N741" s="124"/>
      <c r="O741" s="124"/>
      <c r="P741" s="124"/>
      <c r="Q741" s="124"/>
      <c r="R741" s="124"/>
      <c r="S741" s="124"/>
      <c r="T741" s="124"/>
      <c r="U741" s="124"/>
      <c r="V741" s="124"/>
      <c r="W741" s="124"/>
      <c r="X741" s="124"/>
    </row>
    <row r="742">
      <c r="A742" s="216"/>
      <c r="B742" s="124"/>
      <c r="C742" s="124"/>
      <c r="D742" s="124"/>
      <c r="E742" s="124"/>
      <c r="F742" s="124"/>
      <c r="G742" s="124"/>
      <c r="H742" s="124"/>
      <c r="I742" s="217" t="str">
        <f>IFERROR(__xludf.DUMMYFUNCTION("""COMPUTED_VALUE"""),"")</f>
        <v/>
      </c>
      <c r="J742" s="219"/>
      <c r="K742" s="219"/>
      <c r="L742" s="124"/>
      <c r="M742" s="124"/>
      <c r="N742" s="124"/>
      <c r="O742" s="124"/>
      <c r="P742" s="124"/>
      <c r="Q742" s="124"/>
      <c r="R742" s="124"/>
      <c r="S742" s="124"/>
      <c r="T742" s="124"/>
      <c r="U742" s="124"/>
      <c r="V742" s="124"/>
      <c r="W742" s="124"/>
      <c r="X742" s="124"/>
    </row>
    <row r="743">
      <c r="A743" s="216"/>
      <c r="B743" s="124"/>
      <c r="C743" s="124"/>
      <c r="D743" s="124"/>
      <c r="E743" s="124"/>
      <c r="F743" s="124"/>
      <c r="G743" s="124"/>
      <c r="H743" s="124"/>
      <c r="I743" s="217" t="str">
        <f>IFERROR(__xludf.DUMMYFUNCTION("""COMPUTED_VALUE"""),"")</f>
        <v/>
      </c>
      <c r="J743" s="219"/>
      <c r="K743" s="219"/>
      <c r="L743" s="124"/>
      <c r="M743" s="124"/>
      <c r="N743" s="124"/>
      <c r="O743" s="124"/>
      <c r="P743" s="124"/>
      <c r="Q743" s="124"/>
      <c r="R743" s="124"/>
      <c r="S743" s="124"/>
      <c r="T743" s="124"/>
      <c r="U743" s="124"/>
      <c r="V743" s="124"/>
      <c r="W743" s="124"/>
      <c r="X743" s="124"/>
    </row>
    <row r="744">
      <c r="A744" s="216"/>
      <c r="B744" s="124"/>
      <c r="C744" s="124"/>
      <c r="D744" s="124"/>
      <c r="E744" s="124"/>
      <c r="F744" s="124"/>
      <c r="G744" s="124"/>
      <c r="H744" s="124"/>
      <c r="I744" s="217" t="str">
        <f>IFERROR(__xludf.DUMMYFUNCTION("""COMPUTED_VALUE"""),"")</f>
        <v/>
      </c>
      <c r="J744" s="219"/>
      <c r="K744" s="219"/>
      <c r="L744" s="124"/>
      <c r="M744" s="124"/>
      <c r="N744" s="124"/>
      <c r="O744" s="124"/>
      <c r="P744" s="124"/>
      <c r="Q744" s="124"/>
      <c r="R744" s="124"/>
      <c r="S744" s="124"/>
      <c r="T744" s="124"/>
      <c r="U744" s="124"/>
      <c r="V744" s="124"/>
      <c r="W744" s="124"/>
      <c r="X744" s="124"/>
    </row>
    <row r="745">
      <c r="A745" s="216"/>
      <c r="B745" s="124"/>
      <c r="C745" s="124"/>
      <c r="D745" s="124"/>
      <c r="E745" s="124"/>
      <c r="F745" s="124"/>
      <c r="G745" s="124"/>
      <c r="H745" s="124"/>
      <c r="I745" s="217" t="str">
        <f>IFERROR(__xludf.DUMMYFUNCTION("""COMPUTED_VALUE"""),"")</f>
        <v/>
      </c>
      <c r="J745" s="219"/>
      <c r="K745" s="219"/>
      <c r="L745" s="124"/>
      <c r="M745" s="124"/>
      <c r="N745" s="124"/>
      <c r="O745" s="124"/>
      <c r="P745" s="124"/>
      <c r="Q745" s="124"/>
      <c r="R745" s="124"/>
      <c r="S745" s="124"/>
      <c r="T745" s="124"/>
      <c r="U745" s="124"/>
      <c r="V745" s="124"/>
      <c r="W745" s="124"/>
      <c r="X745" s="124"/>
    </row>
    <row r="746">
      <c r="A746" s="216"/>
      <c r="B746" s="124"/>
      <c r="C746" s="124"/>
      <c r="D746" s="124"/>
      <c r="E746" s="124"/>
      <c r="F746" s="124"/>
      <c r="G746" s="124"/>
      <c r="H746" s="124"/>
      <c r="I746" s="217" t="str">
        <f>IFERROR(__xludf.DUMMYFUNCTION("""COMPUTED_VALUE"""),"")</f>
        <v/>
      </c>
      <c r="J746" s="219"/>
      <c r="K746" s="219"/>
      <c r="L746" s="124"/>
      <c r="M746" s="124"/>
      <c r="N746" s="124"/>
      <c r="O746" s="124"/>
      <c r="P746" s="124"/>
      <c r="Q746" s="124"/>
      <c r="R746" s="124"/>
      <c r="S746" s="124"/>
      <c r="T746" s="124"/>
      <c r="U746" s="124"/>
      <c r="V746" s="124"/>
      <c r="W746" s="124"/>
      <c r="X746" s="124"/>
    </row>
    <row r="747">
      <c r="A747" s="216"/>
      <c r="B747" s="124"/>
      <c r="C747" s="124"/>
      <c r="D747" s="124"/>
      <c r="E747" s="124"/>
      <c r="F747" s="124"/>
      <c r="G747" s="124"/>
      <c r="H747" s="124"/>
      <c r="I747" s="217" t="str">
        <f>IFERROR(__xludf.DUMMYFUNCTION("""COMPUTED_VALUE"""),"")</f>
        <v/>
      </c>
      <c r="J747" s="219"/>
      <c r="K747" s="219"/>
      <c r="L747" s="124"/>
      <c r="M747" s="124"/>
      <c r="N747" s="124"/>
      <c r="O747" s="124"/>
      <c r="P747" s="124"/>
      <c r="Q747" s="124"/>
      <c r="R747" s="124"/>
      <c r="S747" s="124"/>
      <c r="T747" s="124"/>
      <c r="U747" s="124"/>
      <c r="V747" s="124"/>
      <c r="W747" s="124"/>
      <c r="X747" s="124"/>
    </row>
    <row r="748">
      <c r="A748" s="216"/>
      <c r="B748" s="124"/>
      <c r="C748" s="124"/>
      <c r="D748" s="124"/>
      <c r="E748" s="124"/>
      <c r="F748" s="124"/>
      <c r="G748" s="124"/>
      <c r="H748" s="124"/>
      <c r="I748" s="217" t="str">
        <f>IFERROR(__xludf.DUMMYFUNCTION("""COMPUTED_VALUE"""),"")</f>
        <v/>
      </c>
      <c r="J748" s="219"/>
      <c r="K748" s="219"/>
      <c r="L748" s="124"/>
      <c r="M748" s="124"/>
      <c r="N748" s="124"/>
      <c r="O748" s="124"/>
      <c r="P748" s="124"/>
      <c r="Q748" s="124"/>
      <c r="R748" s="124"/>
      <c r="S748" s="124"/>
      <c r="T748" s="124"/>
      <c r="U748" s="124"/>
      <c r="V748" s="124"/>
      <c r="W748" s="124"/>
      <c r="X748" s="124"/>
    </row>
    <row r="749">
      <c r="A749" s="216"/>
      <c r="B749" s="124"/>
      <c r="C749" s="124"/>
      <c r="D749" s="124"/>
      <c r="E749" s="124"/>
      <c r="F749" s="124"/>
      <c r="G749" s="124"/>
      <c r="H749" s="124"/>
      <c r="I749" s="217" t="str">
        <f>IFERROR(__xludf.DUMMYFUNCTION("""COMPUTED_VALUE"""),"")</f>
        <v/>
      </c>
      <c r="J749" s="219"/>
      <c r="K749" s="219"/>
      <c r="L749" s="124"/>
      <c r="M749" s="124"/>
      <c r="N749" s="124"/>
      <c r="O749" s="124"/>
      <c r="P749" s="124"/>
      <c r="Q749" s="124"/>
      <c r="R749" s="124"/>
      <c r="S749" s="124"/>
      <c r="T749" s="124"/>
      <c r="U749" s="124"/>
      <c r="V749" s="124"/>
      <c r="W749" s="124"/>
      <c r="X749" s="124"/>
    </row>
    <row r="750">
      <c r="A750" s="216"/>
      <c r="B750" s="124"/>
      <c r="C750" s="124"/>
      <c r="D750" s="124"/>
      <c r="E750" s="124"/>
      <c r="F750" s="124"/>
      <c r="G750" s="124"/>
      <c r="H750" s="124"/>
      <c r="I750" s="217" t="str">
        <f>IFERROR(__xludf.DUMMYFUNCTION("""COMPUTED_VALUE"""),"")</f>
        <v/>
      </c>
      <c r="J750" s="219"/>
      <c r="K750" s="219"/>
      <c r="L750" s="124"/>
      <c r="M750" s="124"/>
      <c r="N750" s="124"/>
      <c r="O750" s="124"/>
      <c r="P750" s="124"/>
      <c r="Q750" s="124"/>
      <c r="R750" s="124"/>
      <c r="S750" s="124"/>
      <c r="T750" s="124"/>
      <c r="U750" s="124"/>
      <c r="V750" s="124"/>
      <c r="W750" s="124"/>
      <c r="X750" s="124"/>
    </row>
    <row r="751">
      <c r="A751" s="216"/>
      <c r="B751" s="124"/>
      <c r="C751" s="124"/>
      <c r="D751" s="124"/>
      <c r="E751" s="124"/>
      <c r="F751" s="124"/>
      <c r="G751" s="124"/>
      <c r="H751" s="124"/>
      <c r="I751" s="217" t="str">
        <f>IFERROR(__xludf.DUMMYFUNCTION("""COMPUTED_VALUE"""),"")</f>
        <v/>
      </c>
      <c r="J751" s="219"/>
      <c r="K751" s="219"/>
      <c r="L751" s="124"/>
      <c r="M751" s="124"/>
      <c r="N751" s="124"/>
      <c r="O751" s="124"/>
      <c r="P751" s="124"/>
      <c r="Q751" s="124"/>
      <c r="R751" s="124"/>
      <c r="S751" s="124"/>
      <c r="T751" s="124"/>
      <c r="U751" s="124"/>
      <c r="V751" s="124"/>
      <c r="W751" s="124"/>
      <c r="X751" s="124"/>
    </row>
    <row r="752">
      <c r="A752" s="216"/>
      <c r="B752" s="124"/>
      <c r="C752" s="124"/>
      <c r="D752" s="124"/>
      <c r="E752" s="124"/>
      <c r="F752" s="124"/>
      <c r="G752" s="124"/>
      <c r="H752" s="124"/>
      <c r="I752" s="217" t="str">
        <f>IFERROR(__xludf.DUMMYFUNCTION("""COMPUTED_VALUE"""),"")</f>
        <v/>
      </c>
      <c r="J752" s="219"/>
      <c r="K752" s="219"/>
      <c r="L752" s="124"/>
      <c r="M752" s="124"/>
      <c r="N752" s="124"/>
      <c r="O752" s="124"/>
      <c r="P752" s="124"/>
      <c r="Q752" s="124"/>
      <c r="R752" s="124"/>
      <c r="S752" s="124"/>
      <c r="T752" s="124"/>
      <c r="U752" s="124"/>
      <c r="V752" s="124"/>
      <c r="W752" s="124"/>
      <c r="X752" s="124"/>
    </row>
    <row r="753">
      <c r="A753" s="216"/>
      <c r="B753" s="124"/>
      <c r="C753" s="124"/>
      <c r="D753" s="124"/>
      <c r="E753" s="124"/>
      <c r="F753" s="124"/>
      <c r="G753" s="124"/>
      <c r="H753" s="124"/>
      <c r="I753" s="217" t="str">
        <f>IFERROR(__xludf.DUMMYFUNCTION("""COMPUTED_VALUE"""),"")</f>
        <v/>
      </c>
      <c r="J753" s="219"/>
      <c r="K753" s="219"/>
      <c r="L753" s="124"/>
      <c r="M753" s="124"/>
      <c r="N753" s="124"/>
      <c r="O753" s="124"/>
      <c r="P753" s="124"/>
      <c r="Q753" s="124"/>
      <c r="R753" s="124"/>
      <c r="S753" s="124"/>
      <c r="T753" s="124"/>
      <c r="U753" s="124"/>
      <c r="V753" s="124"/>
      <c r="W753" s="124"/>
      <c r="X753" s="124"/>
    </row>
    <row r="754">
      <c r="A754" s="216"/>
      <c r="B754" s="124"/>
      <c r="C754" s="124"/>
      <c r="D754" s="124"/>
      <c r="E754" s="124"/>
      <c r="F754" s="124"/>
      <c r="G754" s="124"/>
      <c r="H754" s="124"/>
      <c r="I754" s="217" t="str">
        <f>IFERROR(__xludf.DUMMYFUNCTION("""COMPUTED_VALUE"""),"")</f>
        <v/>
      </c>
      <c r="J754" s="219"/>
      <c r="K754" s="219"/>
      <c r="L754" s="124"/>
      <c r="M754" s="124"/>
      <c r="N754" s="124"/>
      <c r="O754" s="124"/>
      <c r="P754" s="124"/>
      <c r="Q754" s="124"/>
      <c r="R754" s="124"/>
      <c r="S754" s="124"/>
      <c r="T754" s="124"/>
      <c r="U754" s="124"/>
      <c r="V754" s="124"/>
      <c r="W754" s="124"/>
      <c r="X754" s="124"/>
    </row>
    <row r="755">
      <c r="A755" s="216"/>
      <c r="B755" s="124"/>
      <c r="C755" s="124"/>
      <c r="D755" s="124"/>
      <c r="E755" s="124"/>
      <c r="F755" s="124"/>
      <c r="G755" s="124"/>
      <c r="H755" s="124"/>
      <c r="I755" s="217" t="str">
        <f>IFERROR(__xludf.DUMMYFUNCTION("""COMPUTED_VALUE"""),"")</f>
        <v/>
      </c>
      <c r="J755" s="219"/>
      <c r="K755" s="219"/>
      <c r="L755" s="124"/>
      <c r="M755" s="124"/>
      <c r="N755" s="124"/>
      <c r="O755" s="124"/>
      <c r="P755" s="124"/>
      <c r="Q755" s="124"/>
      <c r="R755" s="124"/>
      <c r="S755" s="124"/>
      <c r="T755" s="124"/>
      <c r="U755" s="124"/>
      <c r="V755" s="124"/>
      <c r="W755" s="124"/>
      <c r="X755" s="124"/>
    </row>
    <row r="756">
      <c r="A756" s="216"/>
      <c r="B756" s="124"/>
      <c r="C756" s="124"/>
      <c r="D756" s="124"/>
      <c r="E756" s="124"/>
      <c r="F756" s="124"/>
      <c r="G756" s="124"/>
      <c r="H756" s="124"/>
      <c r="I756" s="217" t="str">
        <f>IFERROR(__xludf.DUMMYFUNCTION("""COMPUTED_VALUE"""),"")</f>
        <v/>
      </c>
      <c r="J756" s="219"/>
      <c r="K756" s="219"/>
      <c r="L756" s="124"/>
      <c r="M756" s="124"/>
      <c r="N756" s="124"/>
      <c r="O756" s="124"/>
      <c r="P756" s="124"/>
      <c r="Q756" s="124"/>
      <c r="R756" s="124"/>
      <c r="S756" s="124"/>
      <c r="T756" s="124"/>
      <c r="U756" s="124"/>
      <c r="V756" s="124"/>
      <c r="W756" s="124"/>
      <c r="X756" s="124"/>
    </row>
    <row r="757">
      <c r="A757" s="216"/>
      <c r="B757" s="124"/>
      <c r="C757" s="124"/>
      <c r="D757" s="124"/>
      <c r="E757" s="124"/>
      <c r="F757" s="124"/>
      <c r="G757" s="124"/>
      <c r="H757" s="124"/>
      <c r="I757" s="217" t="str">
        <f>IFERROR(__xludf.DUMMYFUNCTION("""COMPUTED_VALUE"""),"")</f>
        <v/>
      </c>
      <c r="J757" s="219"/>
      <c r="K757" s="219"/>
      <c r="L757" s="124"/>
      <c r="M757" s="124"/>
      <c r="N757" s="124"/>
      <c r="O757" s="124"/>
      <c r="P757" s="124"/>
      <c r="Q757" s="124"/>
      <c r="R757" s="124"/>
      <c r="S757" s="124"/>
      <c r="T757" s="124"/>
      <c r="U757" s="124"/>
      <c r="V757" s="124"/>
      <c r="W757" s="124"/>
      <c r="X757" s="124"/>
    </row>
    <row r="758">
      <c r="A758" s="216"/>
      <c r="B758" s="124"/>
      <c r="C758" s="124"/>
      <c r="D758" s="124"/>
      <c r="E758" s="124"/>
      <c r="F758" s="124"/>
      <c r="G758" s="124"/>
      <c r="H758" s="124"/>
      <c r="I758" s="217" t="str">
        <f>IFERROR(__xludf.DUMMYFUNCTION("""COMPUTED_VALUE"""),"")</f>
        <v/>
      </c>
      <c r="J758" s="219"/>
      <c r="K758" s="219"/>
      <c r="L758" s="124"/>
      <c r="M758" s="124"/>
      <c r="N758" s="124"/>
      <c r="O758" s="124"/>
      <c r="P758" s="124"/>
      <c r="Q758" s="124"/>
      <c r="R758" s="124"/>
      <c r="S758" s="124"/>
      <c r="T758" s="124"/>
      <c r="U758" s="124"/>
      <c r="V758" s="124"/>
      <c r="W758" s="124"/>
      <c r="X758" s="124"/>
    </row>
    <row r="759">
      <c r="A759" s="216"/>
      <c r="B759" s="124"/>
      <c r="C759" s="124"/>
      <c r="D759" s="124"/>
      <c r="E759" s="124"/>
      <c r="F759" s="124"/>
      <c r="G759" s="124"/>
      <c r="H759" s="124"/>
      <c r="I759" s="217" t="str">
        <f>IFERROR(__xludf.DUMMYFUNCTION("""COMPUTED_VALUE"""),"")</f>
        <v/>
      </c>
      <c r="J759" s="219"/>
      <c r="K759" s="219"/>
      <c r="L759" s="124"/>
      <c r="M759" s="124"/>
      <c r="N759" s="124"/>
      <c r="O759" s="124"/>
      <c r="P759" s="124"/>
      <c r="Q759" s="124"/>
      <c r="R759" s="124"/>
      <c r="S759" s="124"/>
      <c r="T759" s="124"/>
      <c r="U759" s="124"/>
      <c r="V759" s="124"/>
      <c r="W759" s="124"/>
      <c r="X759" s="124"/>
    </row>
    <row r="760">
      <c r="A760" s="216"/>
      <c r="B760" s="124"/>
      <c r="C760" s="124"/>
      <c r="D760" s="124"/>
      <c r="E760" s="124"/>
      <c r="F760" s="124"/>
      <c r="G760" s="124"/>
      <c r="H760" s="124"/>
      <c r="I760" s="217" t="str">
        <f>IFERROR(__xludf.DUMMYFUNCTION("""COMPUTED_VALUE"""),"")</f>
        <v/>
      </c>
      <c r="J760" s="219"/>
      <c r="K760" s="219"/>
      <c r="L760" s="124"/>
      <c r="M760" s="124"/>
      <c r="N760" s="124"/>
      <c r="O760" s="124"/>
      <c r="P760" s="124"/>
      <c r="Q760" s="124"/>
      <c r="R760" s="124"/>
      <c r="S760" s="124"/>
      <c r="T760" s="124"/>
      <c r="U760" s="124"/>
      <c r="V760" s="124"/>
      <c r="W760" s="124"/>
      <c r="X760" s="124"/>
    </row>
    <row r="761">
      <c r="A761" s="216"/>
      <c r="B761" s="124"/>
      <c r="C761" s="124"/>
      <c r="D761" s="124"/>
      <c r="E761" s="124"/>
      <c r="F761" s="124"/>
      <c r="G761" s="124"/>
      <c r="H761" s="124"/>
      <c r="I761" s="217" t="str">
        <f>IFERROR(__xludf.DUMMYFUNCTION("""COMPUTED_VALUE"""),"")</f>
        <v/>
      </c>
      <c r="J761" s="219"/>
      <c r="K761" s="219"/>
      <c r="L761" s="124"/>
      <c r="M761" s="124"/>
      <c r="N761" s="124"/>
      <c r="O761" s="124"/>
      <c r="P761" s="124"/>
      <c r="Q761" s="124"/>
      <c r="R761" s="124"/>
      <c r="S761" s="124"/>
      <c r="T761" s="124"/>
      <c r="U761" s="124"/>
      <c r="V761" s="124"/>
      <c r="W761" s="124"/>
      <c r="X761" s="124"/>
    </row>
    <row r="762">
      <c r="A762" s="216"/>
      <c r="B762" s="124"/>
      <c r="C762" s="124"/>
      <c r="D762" s="124"/>
      <c r="E762" s="124"/>
      <c r="F762" s="124"/>
      <c r="G762" s="124"/>
      <c r="H762" s="124"/>
      <c r="I762" s="217" t="str">
        <f>IFERROR(__xludf.DUMMYFUNCTION("""COMPUTED_VALUE"""),"")</f>
        <v/>
      </c>
      <c r="J762" s="219"/>
      <c r="K762" s="219"/>
      <c r="L762" s="124"/>
      <c r="M762" s="124"/>
      <c r="N762" s="124"/>
      <c r="O762" s="124"/>
      <c r="P762" s="124"/>
      <c r="Q762" s="124"/>
      <c r="R762" s="124"/>
      <c r="S762" s="124"/>
      <c r="T762" s="124"/>
      <c r="U762" s="124"/>
      <c r="V762" s="124"/>
      <c r="W762" s="124"/>
      <c r="X762" s="124"/>
    </row>
    <row r="763">
      <c r="A763" s="216"/>
      <c r="B763" s="124"/>
      <c r="C763" s="124"/>
      <c r="D763" s="124"/>
      <c r="E763" s="124"/>
      <c r="F763" s="124"/>
      <c r="G763" s="124"/>
      <c r="H763" s="124"/>
      <c r="I763" s="217" t="str">
        <f>IFERROR(__xludf.DUMMYFUNCTION("""COMPUTED_VALUE"""),"")</f>
        <v/>
      </c>
      <c r="J763" s="219"/>
      <c r="K763" s="219"/>
      <c r="L763" s="124"/>
      <c r="M763" s="124"/>
      <c r="N763" s="124"/>
      <c r="O763" s="124"/>
      <c r="P763" s="124"/>
      <c r="Q763" s="124"/>
      <c r="R763" s="124"/>
      <c r="S763" s="124"/>
      <c r="T763" s="124"/>
      <c r="U763" s="124"/>
      <c r="V763" s="124"/>
      <c r="W763" s="124"/>
      <c r="X763" s="124"/>
    </row>
    <row r="764">
      <c r="A764" s="216"/>
      <c r="B764" s="124"/>
      <c r="C764" s="124"/>
      <c r="D764" s="124"/>
      <c r="E764" s="124"/>
      <c r="F764" s="124"/>
      <c r="G764" s="124"/>
      <c r="H764" s="124"/>
      <c r="I764" s="217" t="str">
        <f>IFERROR(__xludf.DUMMYFUNCTION("""COMPUTED_VALUE"""),"")</f>
        <v/>
      </c>
      <c r="J764" s="219"/>
      <c r="K764" s="219"/>
      <c r="L764" s="124"/>
      <c r="M764" s="124"/>
      <c r="N764" s="124"/>
      <c r="O764" s="124"/>
      <c r="P764" s="124"/>
      <c r="Q764" s="124"/>
      <c r="R764" s="124"/>
      <c r="S764" s="124"/>
      <c r="T764" s="124"/>
      <c r="U764" s="124"/>
      <c r="V764" s="124"/>
      <c r="W764" s="124"/>
      <c r="X764" s="124"/>
    </row>
    <row r="765">
      <c r="A765" s="216"/>
      <c r="B765" s="124"/>
      <c r="C765" s="124"/>
      <c r="D765" s="124"/>
      <c r="E765" s="124"/>
      <c r="F765" s="124"/>
      <c r="G765" s="124"/>
      <c r="H765" s="124"/>
      <c r="I765" s="217" t="str">
        <f>IFERROR(__xludf.DUMMYFUNCTION("""COMPUTED_VALUE"""),"")</f>
        <v/>
      </c>
      <c r="J765" s="219"/>
      <c r="K765" s="219"/>
      <c r="L765" s="124"/>
      <c r="M765" s="124"/>
      <c r="N765" s="124"/>
      <c r="O765" s="124"/>
      <c r="P765" s="124"/>
      <c r="Q765" s="124"/>
      <c r="R765" s="124"/>
      <c r="S765" s="124"/>
      <c r="T765" s="124"/>
      <c r="U765" s="124"/>
      <c r="V765" s="124"/>
      <c r="W765" s="124"/>
      <c r="X765" s="124"/>
    </row>
    <row r="766">
      <c r="A766" s="216"/>
      <c r="B766" s="124"/>
      <c r="C766" s="124"/>
      <c r="D766" s="124"/>
      <c r="E766" s="124"/>
      <c r="F766" s="124"/>
      <c r="G766" s="124"/>
      <c r="H766" s="124"/>
      <c r="I766" s="217" t="str">
        <f>IFERROR(__xludf.DUMMYFUNCTION("""COMPUTED_VALUE"""),"")</f>
        <v/>
      </c>
      <c r="J766" s="219"/>
      <c r="K766" s="219"/>
      <c r="L766" s="124"/>
      <c r="M766" s="124"/>
      <c r="N766" s="124"/>
      <c r="O766" s="124"/>
      <c r="P766" s="124"/>
      <c r="Q766" s="124"/>
      <c r="R766" s="124"/>
      <c r="S766" s="124"/>
      <c r="T766" s="124"/>
      <c r="U766" s="124"/>
      <c r="V766" s="124"/>
      <c r="W766" s="124"/>
      <c r="X766" s="124"/>
    </row>
    <row r="767">
      <c r="A767" s="216"/>
      <c r="B767" s="124"/>
      <c r="C767" s="124"/>
      <c r="D767" s="124"/>
      <c r="E767" s="124"/>
      <c r="F767" s="124"/>
      <c r="G767" s="124"/>
      <c r="H767" s="124"/>
      <c r="I767" s="217" t="str">
        <f>IFERROR(__xludf.DUMMYFUNCTION("""COMPUTED_VALUE"""),"")</f>
        <v/>
      </c>
      <c r="J767" s="219"/>
      <c r="K767" s="219"/>
      <c r="L767" s="124"/>
      <c r="M767" s="124"/>
      <c r="N767" s="124"/>
      <c r="O767" s="124"/>
      <c r="P767" s="124"/>
      <c r="Q767" s="124"/>
      <c r="R767" s="124"/>
      <c r="S767" s="124"/>
      <c r="T767" s="124"/>
      <c r="U767" s="124"/>
      <c r="V767" s="124"/>
      <c r="W767" s="124"/>
      <c r="X767" s="124"/>
    </row>
    <row r="768">
      <c r="A768" s="216"/>
      <c r="B768" s="124"/>
      <c r="C768" s="124"/>
      <c r="D768" s="124"/>
      <c r="E768" s="124"/>
      <c r="F768" s="124"/>
      <c r="G768" s="124"/>
      <c r="H768" s="124"/>
      <c r="I768" s="217" t="str">
        <f>IFERROR(__xludf.DUMMYFUNCTION("""COMPUTED_VALUE"""),"")</f>
        <v/>
      </c>
      <c r="J768" s="219"/>
      <c r="K768" s="219"/>
      <c r="L768" s="124"/>
      <c r="M768" s="124"/>
      <c r="N768" s="124"/>
      <c r="O768" s="124"/>
      <c r="P768" s="124"/>
      <c r="Q768" s="124"/>
      <c r="R768" s="124"/>
      <c r="S768" s="124"/>
      <c r="T768" s="124"/>
      <c r="U768" s="124"/>
      <c r="V768" s="124"/>
      <c r="W768" s="124"/>
      <c r="X768" s="124"/>
    </row>
    <row r="769">
      <c r="A769" s="216"/>
      <c r="B769" s="124"/>
      <c r="C769" s="124"/>
      <c r="D769" s="124"/>
      <c r="E769" s="124"/>
      <c r="F769" s="124"/>
      <c r="G769" s="124"/>
      <c r="H769" s="124"/>
      <c r="I769" s="217" t="str">
        <f>IFERROR(__xludf.DUMMYFUNCTION("""COMPUTED_VALUE"""),"")</f>
        <v/>
      </c>
      <c r="J769" s="219"/>
      <c r="K769" s="219"/>
      <c r="L769" s="124"/>
      <c r="M769" s="124"/>
      <c r="N769" s="124"/>
      <c r="O769" s="124"/>
      <c r="P769" s="124"/>
      <c r="Q769" s="124"/>
      <c r="R769" s="124"/>
      <c r="S769" s="124"/>
      <c r="T769" s="124"/>
      <c r="U769" s="124"/>
      <c r="V769" s="124"/>
      <c r="W769" s="124"/>
      <c r="X769" s="124"/>
    </row>
    <row r="770">
      <c r="A770" s="216"/>
      <c r="B770" s="124"/>
      <c r="C770" s="124"/>
      <c r="D770" s="124"/>
      <c r="E770" s="124"/>
      <c r="F770" s="124"/>
      <c r="G770" s="124"/>
      <c r="H770" s="124"/>
      <c r="I770" s="217" t="str">
        <f>IFERROR(__xludf.DUMMYFUNCTION("""COMPUTED_VALUE"""),"")</f>
        <v/>
      </c>
      <c r="J770" s="219"/>
      <c r="K770" s="219"/>
      <c r="L770" s="124"/>
      <c r="M770" s="124"/>
      <c r="N770" s="124"/>
      <c r="O770" s="124"/>
      <c r="P770" s="124"/>
      <c r="Q770" s="124"/>
      <c r="R770" s="124"/>
      <c r="S770" s="124"/>
      <c r="T770" s="124"/>
      <c r="U770" s="124"/>
      <c r="V770" s="124"/>
      <c r="W770" s="124"/>
      <c r="X770" s="124"/>
    </row>
    <row r="771">
      <c r="A771" s="216"/>
      <c r="B771" s="124"/>
      <c r="C771" s="124"/>
      <c r="D771" s="124"/>
      <c r="E771" s="124"/>
      <c r="F771" s="124"/>
      <c r="G771" s="124"/>
      <c r="H771" s="124"/>
      <c r="I771" s="217" t="str">
        <f>IFERROR(__xludf.DUMMYFUNCTION("""COMPUTED_VALUE"""),"")</f>
        <v/>
      </c>
      <c r="J771" s="219"/>
      <c r="K771" s="219"/>
      <c r="L771" s="124"/>
      <c r="M771" s="124"/>
      <c r="N771" s="124"/>
      <c r="O771" s="124"/>
      <c r="P771" s="124"/>
      <c r="Q771" s="124"/>
      <c r="R771" s="124"/>
      <c r="S771" s="124"/>
      <c r="T771" s="124"/>
      <c r="U771" s="124"/>
      <c r="V771" s="124"/>
      <c r="W771" s="124"/>
      <c r="X771" s="124"/>
    </row>
    <row r="772">
      <c r="A772" s="216"/>
      <c r="B772" s="124"/>
      <c r="C772" s="124"/>
      <c r="D772" s="124"/>
      <c r="E772" s="124"/>
      <c r="F772" s="124"/>
      <c r="G772" s="124"/>
      <c r="H772" s="124"/>
      <c r="I772" s="217" t="str">
        <f>IFERROR(__xludf.DUMMYFUNCTION("""COMPUTED_VALUE"""),"")</f>
        <v/>
      </c>
      <c r="J772" s="219"/>
      <c r="K772" s="219"/>
      <c r="L772" s="124"/>
      <c r="M772" s="124"/>
      <c r="N772" s="124"/>
      <c r="O772" s="124"/>
      <c r="P772" s="124"/>
      <c r="Q772" s="124"/>
      <c r="R772" s="124"/>
      <c r="S772" s="124"/>
      <c r="T772" s="124"/>
      <c r="U772" s="124"/>
      <c r="V772" s="124"/>
      <c r="W772" s="124"/>
      <c r="X772" s="124"/>
    </row>
    <row r="773">
      <c r="A773" s="216"/>
      <c r="B773" s="124"/>
      <c r="C773" s="124"/>
      <c r="D773" s="124"/>
      <c r="E773" s="124"/>
      <c r="F773" s="124"/>
      <c r="G773" s="124"/>
      <c r="H773" s="124"/>
      <c r="I773" s="217" t="str">
        <f>IFERROR(__xludf.DUMMYFUNCTION("""COMPUTED_VALUE"""),"")</f>
        <v/>
      </c>
      <c r="J773" s="219"/>
      <c r="K773" s="219"/>
      <c r="L773" s="124"/>
      <c r="M773" s="124"/>
      <c r="N773" s="124"/>
      <c r="O773" s="124"/>
      <c r="P773" s="124"/>
      <c r="Q773" s="124"/>
      <c r="R773" s="124"/>
      <c r="S773" s="124"/>
      <c r="T773" s="124"/>
      <c r="U773" s="124"/>
      <c r="V773" s="124"/>
      <c r="W773" s="124"/>
      <c r="X773" s="124"/>
    </row>
    <row r="774">
      <c r="A774" s="216"/>
      <c r="B774" s="124"/>
      <c r="C774" s="124"/>
      <c r="D774" s="124"/>
      <c r="E774" s="124"/>
      <c r="F774" s="124"/>
      <c r="G774" s="124"/>
      <c r="H774" s="124"/>
      <c r="I774" s="217" t="str">
        <f>IFERROR(__xludf.DUMMYFUNCTION("""COMPUTED_VALUE"""),"")</f>
        <v/>
      </c>
      <c r="J774" s="219"/>
      <c r="K774" s="219"/>
      <c r="L774" s="124"/>
      <c r="M774" s="124"/>
      <c r="N774" s="124"/>
      <c r="O774" s="124"/>
      <c r="P774" s="124"/>
      <c r="Q774" s="124"/>
      <c r="R774" s="124"/>
      <c r="S774" s="124"/>
      <c r="T774" s="124"/>
      <c r="U774" s="124"/>
      <c r="V774" s="124"/>
      <c r="W774" s="124"/>
      <c r="X774" s="124"/>
    </row>
    <row r="775">
      <c r="A775" s="216"/>
      <c r="B775" s="124"/>
      <c r="C775" s="124"/>
      <c r="D775" s="124"/>
      <c r="E775" s="124"/>
      <c r="F775" s="124"/>
      <c r="G775" s="124"/>
      <c r="H775" s="124"/>
      <c r="I775" s="217" t="str">
        <f>IFERROR(__xludf.DUMMYFUNCTION("""COMPUTED_VALUE"""),"")</f>
        <v/>
      </c>
      <c r="J775" s="219"/>
      <c r="K775" s="219"/>
      <c r="L775" s="124"/>
      <c r="M775" s="124"/>
      <c r="N775" s="124"/>
      <c r="O775" s="124"/>
      <c r="P775" s="124"/>
      <c r="Q775" s="124"/>
      <c r="R775" s="124"/>
      <c r="S775" s="124"/>
      <c r="T775" s="124"/>
      <c r="U775" s="124"/>
      <c r="V775" s="124"/>
      <c r="W775" s="124"/>
      <c r="X775" s="124"/>
    </row>
    <row r="776">
      <c r="A776" s="216"/>
      <c r="B776" s="124"/>
      <c r="C776" s="124"/>
      <c r="D776" s="124"/>
      <c r="E776" s="124"/>
      <c r="F776" s="124"/>
      <c r="G776" s="124"/>
      <c r="H776" s="124"/>
      <c r="I776" s="217" t="str">
        <f>IFERROR(__xludf.DUMMYFUNCTION("""COMPUTED_VALUE"""),"")</f>
        <v/>
      </c>
      <c r="J776" s="219"/>
      <c r="K776" s="219"/>
      <c r="L776" s="124"/>
      <c r="M776" s="124"/>
      <c r="N776" s="124"/>
      <c r="O776" s="124"/>
      <c r="P776" s="124"/>
      <c r="Q776" s="124"/>
      <c r="R776" s="124"/>
      <c r="S776" s="124"/>
      <c r="T776" s="124"/>
      <c r="U776" s="124"/>
      <c r="V776" s="124"/>
      <c r="W776" s="124"/>
      <c r="X776" s="124"/>
    </row>
    <row r="777">
      <c r="A777" s="216"/>
      <c r="B777" s="124"/>
      <c r="C777" s="124"/>
      <c r="D777" s="124"/>
      <c r="E777" s="124"/>
      <c r="F777" s="124"/>
      <c r="G777" s="124"/>
      <c r="H777" s="124"/>
      <c r="I777" s="217" t="str">
        <f>IFERROR(__xludf.DUMMYFUNCTION("""COMPUTED_VALUE"""),"")</f>
        <v/>
      </c>
      <c r="J777" s="219"/>
      <c r="K777" s="219"/>
      <c r="L777" s="124"/>
      <c r="M777" s="124"/>
      <c r="N777" s="124"/>
      <c r="O777" s="124"/>
      <c r="P777" s="124"/>
      <c r="Q777" s="124"/>
      <c r="R777" s="124"/>
      <c r="S777" s="124"/>
      <c r="T777" s="124"/>
      <c r="U777" s="124"/>
      <c r="V777" s="124"/>
      <c r="W777" s="124"/>
      <c r="X777" s="124"/>
    </row>
    <row r="778">
      <c r="A778" s="216"/>
      <c r="B778" s="124"/>
      <c r="C778" s="124"/>
      <c r="D778" s="124"/>
      <c r="E778" s="124"/>
      <c r="F778" s="124"/>
      <c r="G778" s="124"/>
      <c r="H778" s="124"/>
      <c r="I778" s="217" t="str">
        <f>IFERROR(__xludf.DUMMYFUNCTION("""COMPUTED_VALUE"""),"")</f>
        <v/>
      </c>
      <c r="J778" s="219"/>
      <c r="K778" s="219"/>
      <c r="L778" s="124"/>
      <c r="M778" s="124"/>
      <c r="N778" s="124"/>
      <c r="O778" s="124"/>
      <c r="P778" s="124"/>
      <c r="Q778" s="124"/>
      <c r="R778" s="124"/>
      <c r="S778" s="124"/>
      <c r="T778" s="124"/>
      <c r="U778" s="124"/>
      <c r="V778" s="124"/>
      <c r="W778" s="124"/>
      <c r="X778" s="124"/>
    </row>
    <row r="779">
      <c r="A779" s="216"/>
      <c r="B779" s="124"/>
      <c r="C779" s="124"/>
      <c r="D779" s="124"/>
      <c r="E779" s="124"/>
      <c r="F779" s="124"/>
      <c r="G779" s="124"/>
      <c r="H779" s="124"/>
      <c r="I779" s="217" t="str">
        <f>IFERROR(__xludf.DUMMYFUNCTION("""COMPUTED_VALUE"""),"")</f>
        <v/>
      </c>
      <c r="J779" s="219"/>
      <c r="K779" s="219"/>
      <c r="L779" s="124"/>
      <c r="M779" s="124"/>
      <c r="N779" s="124"/>
      <c r="O779" s="124"/>
      <c r="P779" s="124"/>
      <c r="Q779" s="124"/>
      <c r="R779" s="124"/>
      <c r="S779" s="124"/>
      <c r="T779" s="124"/>
      <c r="U779" s="124"/>
      <c r="V779" s="124"/>
      <c r="W779" s="124"/>
      <c r="X779" s="124"/>
    </row>
    <row r="780">
      <c r="A780" s="216"/>
      <c r="B780" s="124"/>
      <c r="C780" s="124"/>
      <c r="D780" s="124"/>
      <c r="E780" s="124"/>
      <c r="F780" s="124"/>
      <c r="G780" s="124"/>
      <c r="H780" s="124"/>
      <c r="I780" s="217" t="str">
        <f>IFERROR(__xludf.DUMMYFUNCTION("""COMPUTED_VALUE"""),"")</f>
        <v/>
      </c>
      <c r="J780" s="219"/>
      <c r="K780" s="219"/>
      <c r="L780" s="124"/>
      <c r="M780" s="124"/>
      <c r="N780" s="124"/>
      <c r="O780" s="124"/>
      <c r="P780" s="124"/>
      <c r="Q780" s="124"/>
      <c r="R780" s="124"/>
      <c r="S780" s="124"/>
      <c r="T780" s="124"/>
      <c r="U780" s="124"/>
      <c r="V780" s="124"/>
      <c r="W780" s="124"/>
      <c r="X780" s="124"/>
    </row>
    <row r="781">
      <c r="A781" s="216"/>
      <c r="B781" s="124"/>
      <c r="C781" s="124"/>
      <c r="D781" s="124"/>
      <c r="E781" s="124"/>
      <c r="F781" s="124"/>
      <c r="G781" s="124"/>
      <c r="H781" s="124"/>
      <c r="I781" s="217" t="str">
        <f>IFERROR(__xludf.DUMMYFUNCTION("""COMPUTED_VALUE"""),"")</f>
        <v/>
      </c>
      <c r="J781" s="219"/>
      <c r="K781" s="219"/>
      <c r="L781" s="124"/>
      <c r="M781" s="124"/>
      <c r="N781" s="124"/>
      <c r="O781" s="124"/>
      <c r="P781" s="124"/>
      <c r="Q781" s="124"/>
      <c r="R781" s="124"/>
      <c r="S781" s="124"/>
      <c r="T781" s="124"/>
      <c r="U781" s="124"/>
      <c r="V781" s="124"/>
      <c r="W781" s="124"/>
      <c r="X781" s="124"/>
    </row>
    <row r="782">
      <c r="A782" s="216"/>
      <c r="B782" s="124"/>
      <c r="C782" s="124"/>
      <c r="D782" s="124"/>
      <c r="E782" s="124"/>
      <c r="F782" s="124"/>
      <c r="G782" s="124"/>
      <c r="H782" s="124"/>
      <c r="I782" s="217" t="str">
        <f>IFERROR(__xludf.DUMMYFUNCTION("""COMPUTED_VALUE"""),"")</f>
        <v/>
      </c>
      <c r="J782" s="219"/>
      <c r="K782" s="219"/>
      <c r="L782" s="124"/>
      <c r="M782" s="124"/>
      <c r="N782" s="124"/>
      <c r="O782" s="124"/>
      <c r="P782" s="124"/>
      <c r="Q782" s="124"/>
      <c r="R782" s="124"/>
      <c r="S782" s="124"/>
      <c r="T782" s="124"/>
      <c r="U782" s="124"/>
      <c r="V782" s="124"/>
      <c r="W782" s="124"/>
      <c r="X782" s="124"/>
    </row>
    <row r="783">
      <c r="A783" s="216"/>
      <c r="B783" s="124"/>
      <c r="C783" s="124"/>
      <c r="D783" s="124"/>
      <c r="E783" s="124"/>
      <c r="F783" s="124"/>
      <c r="G783" s="124"/>
      <c r="H783" s="124"/>
      <c r="I783" s="217" t="str">
        <f>IFERROR(__xludf.DUMMYFUNCTION("""COMPUTED_VALUE"""),"")</f>
        <v/>
      </c>
      <c r="J783" s="219"/>
      <c r="K783" s="219"/>
      <c r="L783" s="124"/>
      <c r="M783" s="124"/>
      <c r="N783" s="124"/>
      <c r="O783" s="124"/>
      <c r="P783" s="124"/>
      <c r="Q783" s="124"/>
      <c r="R783" s="124"/>
      <c r="S783" s="124"/>
      <c r="T783" s="124"/>
      <c r="U783" s="124"/>
      <c r="V783" s="124"/>
      <c r="W783" s="124"/>
      <c r="X783" s="124"/>
    </row>
    <row r="784">
      <c r="A784" s="216"/>
      <c r="B784" s="124"/>
      <c r="C784" s="124"/>
      <c r="D784" s="124"/>
      <c r="E784" s="124"/>
      <c r="F784" s="124"/>
      <c r="G784" s="124"/>
      <c r="H784" s="124"/>
      <c r="I784" s="217" t="str">
        <f>IFERROR(__xludf.DUMMYFUNCTION("""COMPUTED_VALUE"""),"")</f>
        <v/>
      </c>
      <c r="J784" s="219"/>
      <c r="K784" s="219"/>
      <c r="L784" s="124"/>
      <c r="M784" s="124"/>
      <c r="N784" s="124"/>
      <c r="O784" s="124"/>
      <c r="P784" s="124"/>
      <c r="Q784" s="124"/>
      <c r="R784" s="124"/>
      <c r="S784" s="124"/>
      <c r="T784" s="124"/>
      <c r="U784" s="124"/>
      <c r="V784" s="124"/>
      <c r="W784" s="124"/>
      <c r="X784" s="124"/>
    </row>
    <row r="785">
      <c r="A785" s="216"/>
      <c r="B785" s="124"/>
      <c r="C785" s="124"/>
      <c r="D785" s="124"/>
      <c r="E785" s="124"/>
      <c r="F785" s="124"/>
      <c r="G785" s="124"/>
      <c r="H785" s="124"/>
      <c r="I785" s="217" t="str">
        <f>IFERROR(__xludf.DUMMYFUNCTION("""COMPUTED_VALUE"""),"")</f>
        <v/>
      </c>
      <c r="J785" s="219"/>
      <c r="K785" s="219"/>
      <c r="L785" s="124"/>
      <c r="M785" s="124"/>
      <c r="N785" s="124"/>
      <c r="O785" s="124"/>
      <c r="P785" s="124"/>
      <c r="Q785" s="124"/>
      <c r="R785" s="124"/>
      <c r="S785" s="124"/>
      <c r="T785" s="124"/>
      <c r="U785" s="124"/>
      <c r="V785" s="124"/>
      <c r="W785" s="124"/>
      <c r="X785" s="124"/>
    </row>
    <row r="786">
      <c r="A786" s="216"/>
      <c r="B786" s="124"/>
      <c r="C786" s="124"/>
      <c r="D786" s="124"/>
      <c r="E786" s="124"/>
      <c r="F786" s="124"/>
      <c r="G786" s="124"/>
      <c r="H786" s="124"/>
      <c r="I786" s="217" t="str">
        <f>IFERROR(__xludf.DUMMYFUNCTION("""COMPUTED_VALUE"""),"")</f>
        <v/>
      </c>
      <c r="J786" s="219"/>
      <c r="K786" s="219"/>
      <c r="L786" s="124"/>
      <c r="M786" s="124"/>
      <c r="N786" s="124"/>
      <c r="O786" s="124"/>
      <c r="P786" s="124"/>
      <c r="Q786" s="124"/>
      <c r="R786" s="124"/>
      <c r="S786" s="124"/>
      <c r="T786" s="124"/>
      <c r="U786" s="124"/>
      <c r="V786" s="124"/>
      <c r="W786" s="124"/>
      <c r="X786" s="124"/>
    </row>
    <row r="787">
      <c r="A787" s="216"/>
      <c r="B787" s="124"/>
      <c r="C787" s="124"/>
      <c r="D787" s="124"/>
      <c r="E787" s="124"/>
      <c r="F787" s="124"/>
      <c r="G787" s="124"/>
      <c r="H787" s="124"/>
      <c r="I787" s="217" t="str">
        <f>IFERROR(__xludf.DUMMYFUNCTION("""COMPUTED_VALUE"""),"")</f>
        <v/>
      </c>
      <c r="J787" s="219"/>
      <c r="K787" s="219"/>
      <c r="L787" s="124"/>
      <c r="M787" s="124"/>
      <c r="N787" s="124"/>
      <c r="O787" s="124"/>
      <c r="P787" s="124"/>
      <c r="Q787" s="124"/>
      <c r="R787" s="124"/>
      <c r="S787" s="124"/>
      <c r="T787" s="124"/>
      <c r="U787" s="124"/>
      <c r="V787" s="124"/>
      <c r="W787" s="124"/>
      <c r="X787" s="124"/>
    </row>
    <row r="788">
      <c r="A788" s="216"/>
      <c r="B788" s="124"/>
      <c r="C788" s="124"/>
      <c r="D788" s="124"/>
      <c r="E788" s="124"/>
      <c r="F788" s="124"/>
      <c r="G788" s="124"/>
      <c r="H788" s="124"/>
      <c r="I788" s="217" t="str">
        <f>IFERROR(__xludf.DUMMYFUNCTION("""COMPUTED_VALUE"""),"")</f>
        <v/>
      </c>
      <c r="J788" s="219"/>
      <c r="K788" s="219"/>
      <c r="L788" s="124"/>
      <c r="M788" s="124"/>
      <c r="N788" s="124"/>
      <c r="O788" s="124"/>
      <c r="P788" s="124"/>
      <c r="Q788" s="124"/>
      <c r="R788" s="124"/>
      <c r="S788" s="124"/>
      <c r="T788" s="124"/>
      <c r="U788" s="124"/>
      <c r="V788" s="124"/>
      <c r="W788" s="124"/>
      <c r="X788" s="124"/>
    </row>
    <row r="789">
      <c r="A789" s="216"/>
      <c r="B789" s="124"/>
      <c r="C789" s="124"/>
      <c r="D789" s="124"/>
      <c r="E789" s="124"/>
      <c r="F789" s="124"/>
      <c r="G789" s="124"/>
      <c r="H789" s="124"/>
      <c r="I789" s="217" t="str">
        <f>IFERROR(__xludf.DUMMYFUNCTION("""COMPUTED_VALUE"""),"")</f>
        <v/>
      </c>
      <c r="J789" s="219"/>
      <c r="K789" s="219"/>
      <c r="L789" s="124"/>
      <c r="M789" s="124"/>
      <c r="N789" s="124"/>
      <c r="O789" s="124"/>
      <c r="P789" s="124"/>
      <c r="Q789" s="124"/>
      <c r="R789" s="124"/>
      <c r="S789" s="124"/>
      <c r="T789" s="124"/>
      <c r="U789" s="124"/>
      <c r="V789" s="124"/>
      <c r="W789" s="124"/>
      <c r="X789" s="124"/>
    </row>
    <row r="790">
      <c r="A790" s="216"/>
      <c r="B790" s="124"/>
      <c r="C790" s="124"/>
      <c r="D790" s="124"/>
      <c r="E790" s="124"/>
      <c r="F790" s="124"/>
      <c r="G790" s="124"/>
      <c r="H790" s="124"/>
      <c r="I790" s="217" t="str">
        <f>IFERROR(__xludf.DUMMYFUNCTION("""COMPUTED_VALUE"""),"")</f>
        <v/>
      </c>
      <c r="J790" s="219"/>
      <c r="K790" s="219"/>
      <c r="L790" s="124"/>
      <c r="M790" s="124"/>
      <c r="N790" s="124"/>
      <c r="O790" s="124"/>
      <c r="P790" s="124"/>
      <c r="Q790" s="124"/>
      <c r="R790" s="124"/>
      <c r="S790" s="124"/>
      <c r="T790" s="124"/>
      <c r="U790" s="124"/>
      <c r="V790" s="124"/>
      <c r="W790" s="124"/>
      <c r="X790" s="124"/>
    </row>
    <row r="791">
      <c r="A791" s="216"/>
      <c r="B791" s="124"/>
      <c r="C791" s="124"/>
      <c r="D791" s="124"/>
      <c r="E791" s="124"/>
      <c r="F791" s="124"/>
      <c r="G791" s="124"/>
      <c r="H791" s="124"/>
      <c r="I791" s="217" t="str">
        <f>IFERROR(__xludf.DUMMYFUNCTION("""COMPUTED_VALUE"""),"")</f>
        <v/>
      </c>
      <c r="J791" s="219"/>
      <c r="K791" s="219"/>
      <c r="L791" s="124"/>
      <c r="M791" s="124"/>
      <c r="N791" s="124"/>
      <c r="O791" s="124"/>
      <c r="P791" s="124"/>
      <c r="Q791" s="124"/>
      <c r="R791" s="124"/>
      <c r="S791" s="124"/>
      <c r="T791" s="124"/>
      <c r="U791" s="124"/>
      <c r="V791" s="124"/>
      <c r="W791" s="124"/>
      <c r="X791" s="124"/>
    </row>
    <row r="792">
      <c r="A792" s="216"/>
      <c r="B792" s="124"/>
      <c r="C792" s="124"/>
      <c r="D792" s="124"/>
      <c r="E792" s="124"/>
      <c r="F792" s="124"/>
      <c r="G792" s="124"/>
      <c r="H792" s="124"/>
      <c r="I792" s="217" t="str">
        <f>IFERROR(__xludf.DUMMYFUNCTION("""COMPUTED_VALUE"""),"")</f>
        <v/>
      </c>
      <c r="J792" s="219"/>
      <c r="K792" s="219"/>
      <c r="L792" s="124"/>
      <c r="M792" s="124"/>
      <c r="N792" s="124"/>
      <c r="O792" s="124"/>
      <c r="P792" s="124"/>
      <c r="Q792" s="124"/>
      <c r="R792" s="124"/>
      <c r="S792" s="124"/>
      <c r="T792" s="124"/>
      <c r="U792" s="124"/>
      <c r="V792" s="124"/>
      <c r="W792" s="124"/>
      <c r="X792" s="124"/>
    </row>
    <row r="793">
      <c r="A793" s="216"/>
      <c r="B793" s="124"/>
      <c r="C793" s="124"/>
      <c r="D793" s="124"/>
      <c r="E793" s="124"/>
      <c r="F793" s="124"/>
      <c r="G793" s="124"/>
      <c r="H793" s="124"/>
      <c r="I793" s="217" t="str">
        <f>IFERROR(__xludf.DUMMYFUNCTION("""COMPUTED_VALUE"""),"")</f>
        <v/>
      </c>
      <c r="J793" s="219"/>
      <c r="K793" s="219"/>
      <c r="L793" s="124"/>
      <c r="M793" s="124"/>
      <c r="N793" s="124"/>
      <c r="O793" s="124"/>
      <c r="P793" s="124"/>
      <c r="Q793" s="124"/>
      <c r="R793" s="124"/>
      <c r="S793" s="124"/>
      <c r="T793" s="124"/>
      <c r="U793" s="124"/>
      <c r="V793" s="124"/>
      <c r="W793" s="124"/>
      <c r="X793" s="124"/>
    </row>
    <row r="794">
      <c r="A794" s="216"/>
      <c r="B794" s="124"/>
      <c r="C794" s="124"/>
      <c r="D794" s="124"/>
      <c r="E794" s="124"/>
      <c r="F794" s="124"/>
      <c r="G794" s="124"/>
      <c r="H794" s="124"/>
      <c r="I794" s="217" t="str">
        <f>IFERROR(__xludf.DUMMYFUNCTION("""COMPUTED_VALUE"""),"")</f>
        <v/>
      </c>
      <c r="J794" s="219"/>
      <c r="K794" s="219"/>
      <c r="L794" s="124"/>
      <c r="M794" s="124"/>
      <c r="N794" s="124"/>
      <c r="O794" s="124"/>
      <c r="P794" s="124"/>
      <c r="Q794" s="124"/>
      <c r="R794" s="124"/>
      <c r="S794" s="124"/>
      <c r="T794" s="124"/>
      <c r="U794" s="124"/>
      <c r="V794" s="124"/>
      <c r="W794" s="124"/>
      <c r="X794" s="124"/>
    </row>
    <row r="795">
      <c r="A795" s="216"/>
      <c r="B795" s="124"/>
      <c r="C795" s="124"/>
      <c r="D795" s="124"/>
      <c r="E795" s="124"/>
      <c r="F795" s="124"/>
      <c r="G795" s="124"/>
      <c r="H795" s="124"/>
      <c r="I795" s="217" t="str">
        <f>IFERROR(__xludf.DUMMYFUNCTION("""COMPUTED_VALUE"""),"")</f>
        <v/>
      </c>
      <c r="J795" s="219"/>
      <c r="K795" s="219"/>
      <c r="L795" s="124"/>
      <c r="M795" s="124"/>
      <c r="N795" s="124"/>
      <c r="O795" s="124"/>
      <c r="P795" s="124"/>
      <c r="Q795" s="124"/>
      <c r="R795" s="124"/>
      <c r="S795" s="124"/>
      <c r="T795" s="124"/>
      <c r="U795" s="124"/>
      <c r="V795" s="124"/>
      <c r="W795" s="124"/>
      <c r="X795" s="124"/>
    </row>
    <row r="796">
      <c r="A796" s="216"/>
      <c r="B796" s="124"/>
      <c r="C796" s="124"/>
      <c r="D796" s="124"/>
      <c r="E796" s="124"/>
      <c r="F796" s="124"/>
      <c r="G796" s="124"/>
      <c r="H796" s="124"/>
      <c r="I796" s="217" t="str">
        <f>IFERROR(__xludf.DUMMYFUNCTION("""COMPUTED_VALUE"""),"")</f>
        <v/>
      </c>
      <c r="J796" s="219"/>
      <c r="K796" s="219"/>
      <c r="L796" s="124"/>
      <c r="M796" s="124"/>
      <c r="N796" s="124"/>
      <c r="O796" s="124"/>
      <c r="P796" s="124"/>
      <c r="Q796" s="124"/>
      <c r="R796" s="124"/>
      <c r="S796" s="124"/>
      <c r="T796" s="124"/>
      <c r="U796" s="124"/>
      <c r="V796" s="124"/>
      <c r="W796" s="124"/>
      <c r="X796" s="124"/>
    </row>
    <row r="797">
      <c r="A797" s="216"/>
      <c r="B797" s="124"/>
      <c r="C797" s="124"/>
      <c r="D797" s="124"/>
      <c r="E797" s="124"/>
      <c r="F797" s="124"/>
      <c r="G797" s="124"/>
      <c r="H797" s="124"/>
      <c r="I797" s="217" t="str">
        <f>IFERROR(__xludf.DUMMYFUNCTION("""COMPUTED_VALUE"""),"")</f>
        <v/>
      </c>
      <c r="J797" s="219"/>
      <c r="K797" s="219"/>
      <c r="L797" s="124"/>
      <c r="M797" s="124"/>
      <c r="N797" s="124"/>
      <c r="O797" s="124"/>
      <c r="P797" s="124"/>
      <c r="Q797" s="124"/>
      <c r="R797" s="124"/>
      <c r="S797" s="124"/>
      <c r="T797" s="124"/>
      <c r="U797" s="124"/>
      <c r="V797" s="124"/>
      <c r="W797" s="124"/>
      <c r="X797" s="124"/>
    </row>
    <row r="798">
      <c r="A798" s="216"/>
      <c r="B798" s="124"/>
      <c r="C798" s="124"/>
      <c r="D798" s="124"/>
      <c r="E798" s="124"/>
      <c r="F798" s="124"/>
      <c r="G798" s="124"/>
      <c r="H798" s="124"/>
      <c r="I798" s="217" t="str">
        <f>IFERROR(__xludf.DUMMYFUNCTION("""COMPUTED_VALUE"""),"")</f>
        <v/>
      </c>
      <c r="J798" s="219"/>
      <c r="K798" s="219"/>
      <c r="L798" s="124"/>
      <c r="M798" s="124"/>
      <c r="N798" s="124"/>
      <c r="O798" s="124"/>
      <c r="P798" s="124"/>
      <c r="Q798" s="124"/>
      <c r="R798" s="124"/>
      <c r="S798" s="124"/>
      <c r="T798" s="124"/>
      <c r="U798" s="124"/>
      <c r="V798" s="124"/>
      <c r="W798" s="124"/>
      <c r="X798" s="124"/>
    </row>
    <row r="799">
      <c r="A799" s="216"/>
      <c r="B799" s="124"/>
      <c r="C799" s="124"/>
      <c r="D799" s="124"/>
      <c r="E799" s="124"/>
      <c r="F799" s="124"/>
      <c r="G799" s="124"/>
      <c r="H799" s="124"/>
      <c r="I799" s="217" t="str">
        <f>IFERROR(__xludf.DUMMYFUNCTION("""COMPUTED_VALUE"""),"")</f>
        <v/>
      </c>
      <c r="J799" s="219"/>
      <c r="K799" s="219"/>
      <c r="L799" s="124"/>
      <c r="M799" s="124"/>
      <c r="N799" s="124"/>
      <c r="O799" s="124"/>
      <c r="P799" s="124"/>
      <c r="Q799" s="124"/>
      <c r="R799" s="124"/>
      <c r="S799" s="124"/>
      <c r="T799" s="124"/>
      <c r="U799" s="124"/>
      <c r="V799" s="124"/>
      <c r="W799" s="124"/>
      <c r="X799" s="124"/>
    </row>
    <row r="800">
      <c r="A800" s="216"/>
      <c r="B800" s="124"/>
      <c r="C800" s="124"/>
      <c r="D800" s="124"/>
      <c r="E800" s="124"/>
      <c r="F800" s="124"/>
      <c r="G800" s="124"/>
      <c r="H800" s="124"/>
      <c r="I800" s="217" t="str">
        <f>IFERROR(__xludf.DUMMYFUNCTION("""COMPUTED_VALUE"""),"")</f>
        <v/>
      </c>
      <c r="J800" s="219"/>
      <c r="K800" s="219"/>
      <c r="L800" s="124"/>
      <c r="M800" s="124"/>
      <c r="N800" s="124"/>
      <c r="O800" s="124"/>
      <c r="P800" s="124"/>
      <c r="Q800" s="124"/>
      <c r="R800" s="124"/>
      <c r="S800" s="124"/>
      <c r="T800" s="124"/>
      <c r="U800" s="124"/>
      <c r="V800" s="124"/>
      <c r="W800" s="124"/>
      <c r="X800" s="124"/>
    </row>
    <row r="801">
      <c r="A801" s="216"/>
      <c r="B801" s="124"/>
      <c r="C801" s="124"/>
      <c r="D801" s="124"/>
      <c r="E801" s="124"/>
      <c r="F801" s="124"/>
      <c r="G801" s="124"/>
      <c r="H801" s="124"/>
      <c r="I801" s="217" t="str">
        <f>IFERROR(__xludf.DUMMYFUNCTION("""COMPUTED_VALUE"""),"")</f>
        <v/>
      </c>
      <c r="J801" s="219"/>
      <c r="K801" s="219"/>
      <c r="L801" s="124"/>
      <c r="M801" s="124"/>
      <c r="N801" s="124"/>
      <c r="O801" s="124"/>
      <c r="P801" s="124"/>
      <c r="Q801" s="124"/>
      <c r="R801" s="124"/>
      <c r="S801" s="124"/>
      <c r="T801" s="124"/>
      <c r="U801" s="124"/>
      <c r="V801" s="124"/>
      <c r="W801" s="124"/>
      <c r="X801" s="124"/>
    </row>
    <row r="802">
      <c r="A802" s="216"/>
      <c r="B802" s="124"/>
      <c r="C802" s="124"/>
      <c r="D802" s="124"/>
      <c r="E802" s="124"/>
      <c r="F802" s="124"/>
      <c r="G802" s="124"/>
      <c r="H802" s="124"/>
      <c r="I802" s="217" t="str">
        <f>IFERROR(__xludf.DUMMYFUNCTION("""COMPUTED_VALUE"""),"")</f>
        <v/>
      </c>
      <c r="J802" s="219"/>
      <c r="K802" s="219"/>
      <c r="L802" s="124"/>
      <c r="M802" s="124"/>
      <c r="N802" s="124"/>
      <c r="O802" s="124"/>
      <c r="P802" s="124"/>
      <c r="Q802" s="124"/>
      <c r="R802" s="124"/>
      <c r="S802" s="124"/>
      <c r="T802" s="124"/>
      <c r="U802" s="124"/>
      <c r="V802" s="124"/>
      <c r="W802" s="124"/>
      <c r="X802" s="124"/>
    </row>
    <row r="803">
      <c r="A803" s="216"/>
      <c r="B803" s="124"/>
      <c r="C803" s="124"/>
      <c r="D803" s="124"/>
      <c r="E803" s="124"/>
      <c r="F803" s="124"/>
      <c r="G803" s="124"/>
      <c r="H803" s="124"/>
      <c r="I803" s="217" t="str">
        <f>IFERROR(__xludf.DUMMYFUNCTION("""COMPUTED_VALUE"""),"")</f>
        <v/>
      </c>
      <c r="J803" s="219"/>
      <c r="K803" s="219"/>
      <c r="L803" s="124"/>
      <c r="M803" s="124"/>
      <c r="N803" s="124"/>
      <c r="O803" s="124"/>
      <c r="P803" s="124"/>
      <c r="Q803" s="124"/>
      <c r="R803" s="124"/>
      <c r="S803" s="124"/>
      <c r="T803" s="124"/>
      <c r="U803" s="124"/>
      <c r="V803" s="124"/>
      <c r="W803" s="124"/>
      <c r="X803" s="124"/>
    </row>
    <row r="804">
      <c r="A804" s="216"/>
      <c r="B804" s="124"/>
      <c r="C804" s="124"/>
      <c r="D804" s="124"/>
      <c r="E804" s="124"/>
      <c r="F804" s="124"/>
      <c r="G804" s="124"/>
      <c r="H804" s="124"/>
      <c r="I804" s="217" t="str">
        <f>IFERROR(__xludf.DUMMYFUNCTION("""COMPUTED_VALUE"""),"")</f>
        <v/>
      </c>
      <c r="J804" s="219"/>
      <c r="K804" s="219"/>
      <c r="L804" s="124"/>
      <c r="M804" s="124"/>
      <c r="N804" s="124"/>
      <c r="O804" s="124"/>
      <c r="P804" s="124"/>
      <c r="Q804" s="124"/>
      <c r="R804" s="124"/>
      <c r="S804" s="124"/>
      <c r="T804" s="124"/>
      <c r="U804" s="124"/>
      <c r="V804" s="124"/>
      <c r="W804" s="124"/>
      <c r="X804" s="124"/>
    </row>
    <row r="805">
      <c r="A805" s="216"/>
      <c r="B805" s="124"/>
      <c r="C805" s="124"/>
      <c r="D805" s="124"/>
      <c r="E805" s="124"/>
      <c r="F805" s="124"/>
      <c r="G805" s="124"/>
      <c r="H805" s="124"/>
      <c r="I805" s="217" t="str">
        <f>IFERROR(__xludf.DUMMYFUNCTION("""COMPUTED_VALUE"""),"")</f>
        <v/>
      </c>
      <c r="J805" s="219"/>
      <c r="K805" s="219"/>
      <c r="L805" s="124"/>
      <c r="M805" s="124"/>
      <c r="N805" s="124"/>
      <c r="O805" s="124"/>
      <c r="P805" s="124"/>
      <c r="Q805" s="124"/>
      <c r="R805" s="124"/>
      <c r="S805" s="124"/>
      <c r="T805" s="124"/>
      <c r="U805" s="124"/>
      <c r="V805" s="124"/>
      <c r="W805" s="124"/>
      <c r="X805" s="124"/>
    </row>
    <row r="806">
      <c r="A806" s="216"/>
      <c r="B806" s="124"/>
      <c r="C806" s="124"/>
      <c r="D806" s="124"/>
      <c r="E806" s="124"/>
      <c r="F806" s="124"/>
      <c r="G806" s="124"/>
      <c r="H806" s="124"/>
      <c r="I806" s="217" t="str">
        <f>IFERROR(__xludf.DUMMYFUNCTION("""COMPUTED_VALUE"""),"")</f>
        <v/>
      </c>
      <c r="J806" s="219"/>
      <c r="K806" s="219"/>
      <c r="L806" s="124"/>
      <c r="M806" s="124"/>
      <c r="N806" s="124"/>
      <c r="O806" s="124"/>
      <c r="P806" s="124"/>
      <c r="Q806" s="124"/>
      <c r="R806" s="124"/>
      <c r="S806" s="124"/>
      <c r="T806" s="124"/>
      <c r="U806" s="124"/>
      <c r="V806" s="124"/>
      <c r="W806" s="124"/>
      <c r="X806" s="124"/>
    </row>
    <row r="807">
      <c r="A807" s="216"/>
      <c r="B807" s="124"/>
      <c r="C807" s="124"/>
      <c r="D807" s="124"/>
      <c r="E807" s="124"/>
      <c r="F807" s="124"/>
      <c r="G807" s="124"/>
      <c r="H807" s="124"/>
      <c r="I807" s="217" t="str">
        <f>IFERROR(__xludf.DUMMYFUNCTION("""COMPUTED_VALUE"""),"")</f>
        <v/>
      </c>
      <c r="J807" s="219"/>
      <c r="K807" s="219"/>
      <c r="L807" s="124"/>
      <c r="M807" s="124"/>
      <c r="N807" s="124"/>
      <c r="O807" s="124"/>
      <c r="P807" s="124"/>
      <c r="Q807" s="124"/>
      <c r="R807" s="124"/>
      <c r="S807" s="124"/>
      <c r="T807" s="124"/>
      <c r="U807" s="124"/>
      <c r="V807" s="124"/>
      <c r="W807" s="124"/>
      <c r="X807" s="124"/>
    </row>
    <row r="808">
      <c r="A808" s="216"/>
      <c r="B808" s="124"/>
      <c r="C808" s="124"/>
      <c r="D808" s="124"/>
      <c r="E808" s="124"/>
      <c r="F808" s="124"/>
      <c r="G808" s="124"/>
      <c r="H808" s="124"/>
      <c r="I808" s="217" t="str">
        <f>IFERROR(__xludf.DUMMYFUNCTION("""COMPUTED_VALUE"""),"")</f>
        <v/>
      </c>
      <c r="J808" s="219"/>
      <c r="K808" s="219"/>
      <c r="L808" s="124"/>
      <c r="M808" s="124"/>
      <c r="N808" s="124"/>
      <c r="O808" s="124"/>
      <c r="P808" s="124"/>
      <c r="Q808" s="124"/>
      <c r="R808" s="124"/>
      <c r="S808" s="124"/>
      <c r="T808" s="124"/>
      <c r="U808" s="124"/>
      <c r="V808" s="124"/>
      <c r="W808" s="124"/>
      <c r="X808" s="124"/>
    </row>
    <row r="809">
      <c r="A809" s="216"/>
      <c r="B809" s="124"/>
      <c r="C809" s="124"/>
      <c r="D809" s="124"/>
      <c r="E809" s="124"/>
      <c r="F809" s="124"/>
      <c r="G809" s="124"/>
      <c r="H809" s="124"/>
      <c r="I809" s="217" t="str">
        <f>IFERROR(__xludf.DUMMYFUNCTION("""COMPUTED_VALUE"""),"")</f>
        <v/>
      </c>
      <c r="J809" s="219"/>
      <c r="K809" s="219"/>
      <c r="L809" s="124"/>
      <c r="M809" s="124"/>
      <c r="N809" s="124"/>
      <c r="O809" s="124"/>
      <c r="P809" s="124"/>
      <c r="Q809" s="124"/>
      <c r="R809" s="124"/>
      <c r="S809" s="124"/>
      <c r="T809" s="124"/>
      <c r="U809" s="124"/>
      <c r="V809" s="124"/>
      <c r="W809" s="124"/>
      <c r="X809" s="124"/>
    </row>
    <row r="810">
      <c r="A810" s="216"/>
      <c r="B810" s="124"/>
      <c r="C810" s="124"/>
      <c r="D810" s="124"/>
      <c r="E810" s="124"/>
      <c r="F810" s="124"/>
      <c r="G810" s="124"/>
      <c r="H810" s="124"/>
      <c r="I810" s="217" t="str">
        <f>IFERROR(__xludf.DUMMYFUNCTION("""COMPUTED_VALUE"""),"")</f>
        <v/>
      </c>
      <c r="J810" s="219"/>
      <c r="K810" s="219"/>
      <c r="L810" s="124"/>
      <c r="M810" s="124"/>
      <c r="N810" s="124"/>
      <c r="O810" s="124"/>
      <c r="P810" s="124"/>
      <c r="Q810" s="124"/>
      <c r="R810" s="124"/>
      <c r="S810" s="124"/>
      <c r="T810" s="124"/>
      <c r="U810" s="124"/>
      <c r="V810" s="124"/>
      <c r="W810" s="124"/>
      <c r="X810" s="124"/>
    </row>
    <row r="811">
      <c r="A811" s="216"/>
      <c r="B811" s="124"/>
      <c r="C811" s="124"/>
      <c r="D811" s="124"/>
      <c r="E811" s="124"/>
      <c r="F811" s="124"/>
      <c r="G811" s="124"/>
      <c r="H811" s="124"/>
      <c r="I811" s="217" t="str">
        <f>IFERROR(__xludf.DUMMYFUNCTION("""COMPUTED_VALUE"""),"")</f>
        <v/>
      </c>
      <c r="J811" s="219"/>
      <c r="K811" s="219"/>
      <c r="L811" s="124"/>
      <c r="M811" s="124"/>
      <c r="N811" s="124"/>
      <c r="O811" s="124"/>
      <c r="P811" s="124"/>
      <c r="Q811" s="124"/>
      <c r="R811" s="124"/>
      <c r="S811" s="124"/>
      <c r="T811" s="124"/>
      <c r="U811" s="124"/>
      <c r="V811" s="124"/>
      <c r="W811" s="124"/>
      <c r="X811" s="124"/>
    </row>
    <row r="812">
      <c r="A812" s="216"/>
      <c r="B812" s="124"/>
      <c r="C812" s="124"/>
      <c r="D812" s="124"/>
      <c r="E812" s="124"/>
      <c r="F812" s="124"/>
      <c r="G812" s="124"/>
      <c r="H812" s="124"/>
      <c r="I812" s="217" t="str">
        <f>IFERROR(__xludf.DUMMYFUNCTION("""COMPUTED_VALUE"""),"")</f>
        <v/>
      </c>
      <c r="J812" s="219"/>
      <c r="K812" s="219"/>
      <c r="L812" s="124"/>
      <c r="M812" s="124"/>
      <c r="N812" s="124"/>
      <c r="O812" s="124"/>
      <c r="P812" s="124"/>
      <c r="Q812" s="124"/>
      <c r="R812" s="124"/>
      <c r="S812" s="124"/>
      <c r="T812" s="124"/>
      <c r="U812" s="124"/>
      <c r="V812" s="124"/>
      <c r="W812" s="124"/>
      <c r="X812" s="124"/>
    </row>
    <row r="813">
      <c r="A813" s="216"/>
      <c r="B813" s="124"/>
      <c r="C813" s="124"/>
      <c r="D813" s="124"/>
      <c r="E813" s="124"/>
      <c r="F813" s="124"/>
      <c r="G813" s="124"/>
      <c r="H813" s="124"/>
      <c r="I813" s="217" t="str">
        <f>IFERROR(__xludf.DUMMYFUNCTION("""COMPUTED_VALUE"""),"")</f>
        <v/>
      </c>
      <c r="J813" s="219"/>
      <c r="K813" s="219"/>
      <c r="L813" s="124"/>
      <c r="M813" s="124"/>
      <c r="N813" s="124"/>
      <c r="O813" s="124"/>
      <c r="P813" s="124"/>
      <c r="Q813" s="124"/>
      <c r="R813" s="124"/>
      <c r="S813" s="124"/>
      <c r="T813" s="124"/>
      <c r="U813" s="124"/>
      <c r="V813" s="124"/>
      <c r="W813" s="124"/>
      <c r="X813" s="124"/>
    </row>
    <row r="814">
      <c r="A814" s="216"/>
      <c r="B814" s="124"/>
      <c r="C814" s="124"/>
      <c r="D814" s="124"/>
      <c r="E814" s="124"/>
      <c r="F814" s="124"/>
      <c r="G814" s="124"/>
      <c r="H814" s="124"/>
      <c r="I814" s="217" t="str">
        <f>IFERROR(__xludf.DUMMYFUNCTION("""COMPUTED_VALUE"""),"")</f>
        <v/>
      </c>
      <c r="J814" s="219"/>
      <c r="K814" s="219"/>
      <c r="L814" s="124"/>
      <c r="M814" s="124"/>
      <c r="N814" s="124"/>
      <c r="O814" s="124"/>
      <c r="P814" s="124"/>
      <c r="Q814" s="124"/>
      <c r="R814" s="124"/>
      <c r="S814" s="124"/>
      <c r="T814" s="124"/>
      <c r="U814" s="124"/>
      <c r="V814" s="124"/>
      <c r="W814" s="124"/>
      <c r="X814" s="124"/>
    </row>
    <row r="815">
      <c r="A815" s="216"/>
      <c r="B815" s="124"/>
      <c r="C815" s="124"/>
      <c r="D815" s="124"/>
      <c r="E815" s="124"/>
      <c r="F815" s="124"/>
      <c r="G815" s="124"/>
      <c r="H815" s="124"/>
      <c r="I815" s="217" t="str">
        <f>IFERROR(__xludf.DUMMYFUNCTION("""COMPUTED_VALUE"""),"")</f>
        <v/>
      </c>
      <c r="J815" s="219"/>
      <c r="K815" s="219"/>
      <c r="L815" s="124"/>
      <c r="M815" s="124"/>
      <c r="N815" s="124"/>
      <c r="O815" s="124"/>
      <c r="P815" s="124"/>
      <c r="Q815" s="124"/>
      <c r="R815" s="124"/>
      <c r="S815" s="124"/>
      <c r="T815" s="124"/>
      <c r="U815" s="124"/>
      <c r="V815" s="124"/>
      <c r="W815" s="124"/>
      <c r="X815" s="124"/>
    </row>
    <row r="816">
      <c r="A816" s="216"/>
      <c r="B816" s="124"/>
      <c r="C816" s="124"/>
      <c r="D816" s="124"/>
      <c r="E816" s="124"/>
      <c r="F816" s="124"/>
      <c r="G816" s="124"/>
      <c r="H816" s="124"/>
      <c r="I816" s="217" t="str">
        <f>IFERROR(__xludf.DUMMYFUNCTION("""COMPUTED_VALUE"""),"")</f>
        <v/>
      </c>
      <c r="J816" s="219"/>
      <c r="K816" s="219"/>
      <c r="L816" s="124"/>
      <c r="M816" s="124"/>
      <c r="N816" s="124"/>
      <c r="O816" s="124"/>
      <c r="P816" s="124"/>
      <c r="Q816" s="124"/>
      <c r="R816" s="124"/>
      <c r="S816" s="124"/>
      <c r="T816" s="124"/>
      <c r="U816" s="124"/>
      <c r="V816" s="124"/>
      <c r="W816" s="124"/>
      <c r="X816" s="124"/>
    </row>
    <row r="817">
      <c r="A817" s="216"/>
      <c r="B817" s="124"/>
      <c r="C817" s="124"/>
      <c r="D817" s="124"/>
      <c r="E817" s="124"/>
      <c r="F817" s="124"/>
      <c r="G817" s="124"/>
      <c r="H817" s="124"/>
      <c r="I817" s="217" t="str">
        <f>IFERROR(__xludf.DUMMYFUNCTION("""COMPUTED_VALUE"""),"")</f>
        <v/>
      </c>
      <c r="J817" s="219"/>
      <c r="K817" s="219"/>
      <c r="L817" s="124"/>
      <c r="M817" s="124"/>
      <c r="N817" s="124"/>
      <c r="O817" s="124"/>
      <c r="P817" s="124"/>
      <c r="Q817" s="124"/>
      <c r="R817" s="124"/>
      <c r="S817" s="124"/>
      <c r="T817" s="124"/>
      <c r="U817" s="124"/>
      <c r="V817" s="124"/>
      <c r="W817" s="124"/>
      <c r="X817" s="124"/>
    </row>
    <row r="818">
      <c r="A818" s="216"/>
      <c r="B818" s="124"/>
      <c r="C818" s="124"/>
      <c r="D818" s="124"/>
      <c r="E818" s="124"/>
      <c r="F818" s="124"/>
      <c r="G818" s="124"/>
      <c r="H818" s="124"/>
      <c r="I818" s="217" t="str">
        <f>IFERROR(__xludf.DUMMYFUNCTION("""COMPUTED_VALUE"""),"")</f>
        <v/>
      </c>
      <c r="J818" s="219"/>
      <c r="K818" s="219"/>
      <c r="L818" s="124"/>
      <c r="M818" s="124"/>
      <c r="N818" s="124"/>
      <c r="O818" s="124"/>
      <c r="P818" s="124"/>
      <c r="Q818" s="124"/>
      <c r="R818" s="124"/>
      <c r="S818" s="124"/>
      <c r="T818" s="124"/>
      <c r="U818" s="124"/>
      <c r="V818" s="124"/>
      <c r="W818" s="124"/>
      <c r="X818" s="124"/>
    </row>
    <row r="819">
      <c r="A819" s="216"/>
      <c r="B819" s="124"/>
      <c r="C819" s="124"/>
      <c r="D819" s="124"/>
      <c r="E819" s="124"/>
      <c r="F819" s="124"/>
      <c r="G819" s="124"/>
      <c r="H819" s="124"/>
      <c r="I819" s="217" t="str">
        <f>IFERROR(__xludf.DUMMYFUNCTION("""COMPUTED_VALUE"""),"")</f>
        <v/>
      </c>
      <c r="J819" s="219"/>
      <c r="K819" s="219"/>
      <c r="L819" s="124"/>
      <c r="M819" s="124"/>
      <c r="N819" s="124"/>
      <c r="O819" s="124"/>
      <c r="P819" s="124"/>
      <c r="Q819" s="124"/>
      <c r="R819" s="124"/>
      <c r="S819" s="124"/>
      <c r="T819" s="124"/>
      <c r="U819" s="124"/>
      <c r="V819" s="124"/>
      <c r="W819" s="124"/>
      <c r="X819" s="124"/>
    </row>
    <row r="820">
      <c r="A820" s="216"/>
      <c r="B820" s="124"/>
      <c r="C820" s="124"/>
      <c r="D820" s="124"/>
      <c r="E820" s="124"/>
      <c r="F820" s="124"/>
      <c r="G820" s="124"/>
      <c r="H820" s="124"/>
      <c r="I820" s="217" t="str">
        <f>IFERROR(__xludf.DUMMYFUNCTION("""COMPUTED_VALUE"""),"")</f>
        <v/>
      </c>
      <c r="J820" s="219"/>
      <c r="K820" s="219"/>
      <c r="L820" s="124"/>
      <c r="M820" s="124"/>
      <c r="N820" s="124"/>
      <c r="O820" s="124"/>
      <c r="P820" s="124"/>
      <c r="Q820" s="124"/>
      <c r="R820" s="124"/>
      <c r="S820" s="124"/>
      <c r="T820" s="124"/>
      <c r="U820" s="124"/>
      <c r="V820" s="124"/>
      <c r="W820" s="124"/>
      <c r="X820" s="124"/>
    </row>
    <row r="821">
      <c r="A821" s="216"/>
      <c r="B821" s="124"/>
      <c r="C821" s="124"/>
      <c r="D821" s="124"/>
      <c r="E821" s="124"/>
      <c r="F821" s="124"/>
      <c r="G821" s="124"/>
      <c r="H821" s="124"/>
      <c r="I821" s="217" t="str">
        <f>IFERROR(__xludf.DUMMYFUNCTION("""COMPUTED_VALUE"""),"")</f>
        <v/>
      </c>
      <c r="J821" s="219"/>
      <c r="K821" s="219"/>
      <c r="L821" s="124"/>
      <c r="M821" s="124"/>
      <c r="N821" s="124"/>
      <c r="O821" s="124"/>
      <c r="P821" s="124"/>
      <c r="Q821" s="124"/>
      <c r="R821" s="124"/>
      <c r="S821" s="124"/>
      <c r="T821" s="124"/>
      <c r="U821" s="124"/>
      <c r="V821" s="124"/>
      <c r="W821" s="124"/>
      <c r="X821" s="124"/>
    </row>
    <row r="822">
      <c r="A822" s="216"/>
      <c r="B822" s="124"/>
      <c r="C822" s="124"/>
      <c r="D822" s="124"/>
      <c r="E822" s="124"/>
      <c r="F822" s="124"/>
      <c r="G822" s="124"/>
      <c r="H822" s="124"/>
      <c r="I822" s="217" t="str">
        <f>IFERROR(__xludf.DUMMYFUNCTION("""COMPUTED_VALUE"""),"")</f>
        <v/>
      </c>
      <c r="J822" s="219"/>
      <c r="K822" s="219"/>
      <c r="L822" s="124"/>
      <c r="M822" s="124"/>
      <c r="N822" s="124"/>
      <c r="O822" s="124"/>
      <c r="P822" s="124"/>
      <c r="Q822" s="124"/>
      <c r="R822" s="124"/>
      <c r="S822" s="124"/>
      <c r="T822" s="124"/>
      <c r="U822" s="124"/>
      <c r="V822" s="124"/>
      <c r="W822" s="124"/>
      <c r="X822" s="124"/>
    </row>
    <row r="823">
      <c r="A823" s="216"/>
      <c r="B823" s="124"/>
      <c r="C823" s="124"/>
      <c r="D823" s="124"/>
      <c r="E823" s="124"/>
      <c r="F823" s="124"/>
      <c r="G823" s="124"/>
      <c r="H823" s="124"/>
      <c r="I823" s="217" t="str">
        <f>IFERROR(__xludf.DUMMYFUNCTION("""COMPUTED_VALUE"""),"")</f>
        <v/>
      </c>
      <c r="J823" s="219"/>
      <c r="K823" s="219"/>
      <c r="L823" s="124"/>
      <c r="M823" s="124"/>
      <c r="N823" s="124"/>
      <c r="O823" s="124"/>
      <c r="P823" s="124"/>
      <c r="Q823" s="124"/>
      <c r="R823" s="124"/>
      <c r="S823" s="124"/>
      <c r="T823" s="124"/>
      <c r="U823" s="124"/>
      <c r="V823" s="124"/>
      <c r="W823" s="124"/>
      <c r="X823" s="124"/>
    </row>
    <row r="824">
      <c r="A824" s="216"/>
      <c r="B824" s="124"/>
      <c r="C824" s="124"/>
      <c r="D824" s="124"/>
      <c r="E824" s="124"/>
      <c r="F824" s="124"/>
      <c r="G824" s="124"/>
      <c r="H824" s="124"/>
      <c r="I824" s="217" t="str">
        <f>IFERROR(__xludf.DUMMYFUNCTION("""COMPUTED_VALUE"""),"")</f>
        <v/>
      </c>
      <c r="J824" s="219"/>
      <c r="K824" s="219"/>
      <c r="L824" s="124"/>
      <c r="M824" s="124"/>
      <c r="N824" s="124"/>
      <c r="O824" s="124"/>
      <c r="P824" s="124"/>
      <c r="Q824" s="124"/>
      <c r="R824" s="124"/>
      <c r="S824" s="124"/>
      <c r="T824" s="124"/>
      <c r="U824" s="124"/>
      <c r="V824" s="124"/>
      <c r="W824" s="124"/>
      <c r="X824" s="124"/>
    </row>
    <row r="825">
      <c r="A825" s="216"/>
      <c r="B825" s="124"/>
      <c r="C825" s="124"/>
      <c r="D825" s="124"/>
      <c r="E825" s="124"/>
      <c r="F825" s="124"/>
      <c r="G825" s="124"/>
      <c r="H825" s="124"/>
      <c r="I825" s="217" t="str">
        <f>IFERROR(__xludf.DUMMYFUNCTION("""COMPUTED_VALUE"""),"")</f>
        <v/>
      </c>
      <c r="J825" s="219"/>
      <c r="K825" s="219"/>
      <c r="L825" s="124"/>
      <c r="M825" s="124"/>
      <c r="N825" s="124"/>
      <c r="O825" s="124"/>
      <c r="P825" s="124"/>
      <c r="Q825" s="124"/>
      <c r="R825" s="124"/>
      <c r="S825" s="124"/>
      <c r="T825" s="124"/>
      <c r="U825" s="124"/>
      <c r="V825" s="124"/>
      <c r="W825" s="124"/>
      <c r="X825" s="124"/>
    </row>
    <row r="826">
      <c r="A826" s="216"/>
      <c r="B826" s="124"/>
      <c r="C826" s="124"/>
      <c r="D826" s="124"/>
      <c r="E826" s="124"/>
      <c r="F826" s="124"/>
      <c r="G826" s="124"/>
      <c r="H826" s="124"/>
      <c r="I826" s="217" t="str">
        <f>IFERROR(__xludf.DUMMYFUNCTION("""COMPUTED_VALUE"""),"")</f>
        <v/>
      </c>
      <c r="J826" s="219"/>
      <c r="K826" s="219"/>
      <c r="L826" s="124"/>
      <c r="M826" s="124"/>
      <c r="N826" s="124"/>
      <c r="O826" s="124"/>
      <c r="P826" s="124"/>
      <c r="Q826" s="124"/>
      <c r="R826" s="124"/>
      <c r="S826" s="124"/>
      <c r="T826" s="124"/>
      <c r="U826" s="124"/>
      <c r="V826" s="124"/>
      <c r="W826" s="124"/>
      <c r="X826" s="124"/>
    </row>
    <row r="827">
      <c r="A827" s="216"/>
      <c r="B827" s="124"/>
      <c r="C827" s="124"/>
      <c r="D827" s="124"/>
      <c r="E827" s="124"/>
      <c r="F827" s="124"/>
      <c r="G827" s="124"/>
      <c r="H827" s="124"/>
      <c r="I827" s="217" t="str">
        <f>IFERROR(__xludf.DUMMYFUNCTION("""COMPUTED_VALUE"""),"")</f>
        <v/>
      </c>
      <c r="J827" s="219"/>
      <c r="K827" s="219"/>
      <c r="L827" s="124"/>
      <c r="M827" s="124"/>
      <c r="N827" s="124"/>
      <c r="O827" s="124"/>
      <c r="P827" s="124"/>
      <c r="Q827" s="124"/>
      <c r="R827" s="124"/>
      <c r="S827" s="124"/>
      <c r="T827" s="124"/>
      <c r="U827" s="124"/>
      <c r="V827" s="124"/>
      <c r="W827" s="124"/>
      <c r="X827" s="124"/>
    </row>
    <row r="828">
      <c r="A828" s="216"/>
      <c r="B828" s="124"/>
      <c r="C828" s="124"/>
      <c r="D828" s="124"/>
      <c r="E828" s="124"/>
      <c r="F828" s="124"/>
      <c r="G828" s="124"/>
      <c r="H828" s="124"/>
      <c r="I828" s="217" t="str">
        <f>IFERROR(__xludf.DUMMYFUNCTION("""COMPUTED_VALUE"""),"")</f>
        <v/>
      </c>
      <c r="J828" s="219"/>
      <c r="K828" s="219"/>
      <c r="L828" s="124"/>
      <c r="M828" s="124"/>
      <c r="N828" s="124"/>
      <c r="O828" s="124"/>
      <c r="P828" s="124"/>
      <c r="Q828" s="124"/>
      <c r="R828" s="124"/>
      <c r="S828" s="124"/>
      <c r="T828" s="124"/>
      <c r="U828" s="124"/>
      <c r="V828" s="124"/>
      <c r="W828" s="124"/>
      <c r="X828" s="124"/>
    </row>
    <row r="829">
      <c r="A829" s="216"/>
      <c r="B829" s="124"/>
      <c r="C829" s="124"/>
      <c r="D829" s="124"/>
      <c r="E829" s="124"/>
      <c r="F829" s="124"/>
      <c r="G829" s="124"/>
      <c r="H829" s="124"/>
      <c r="I829" s="217" t="str">
        <f>IFERROR(__xludf.DUMMYFUNCTION("""COMPUTED_VALUE"""),"")</f>
        <v/>
      </c>
      <c r="J829" s="219"/>
      <c r="K829" s="219"/>
      <c r="L829" s="124"/>
      <c r="M829" s="124"/>
      <c r="N829" s="124"/>
      <c r="O829" s="124"/>
      <c r="P829" s="124"/>
      <c r="Q829" s="124"/>
      <c r="R829" s="124"/>
      <c r="S829" s="124"/>
      <c r="T829" s="124"/>
      <c r="U829" s="124"/>
      <c r="V829" s="124"/>
      <c r="W829" s="124"/>
      <c r="X829" s="124"/>
    </row>
    <row r="830">
      <c r="A830" s="216"/>
      <c r="B830" s="124"/>
      <c r="C830" s="124"/>
      <c r="D830" s="124"/>
      <c r="E830" s="124"/>
      <c r="F830" s="124"/>
      <c r="G830" s="124"/>
      <c r="H830" s="124"/>
      <c r="I830" s="217" t="str">
        <f>IFERROR(__xludf.DUMMYFUNCTION("""COMPUTED_VALUE"""),"")</f>
        <v/>
      </c>
      <c r="J830" s="219"/>
      <c r="K830" s="219"/>
      <c r="L830" s="124"/>
      <c r="M830" s="124"/>
      <c r="N830" s="124"/>
      <c r="O830" s="124"/>
      <c r="P830" s="124"/>
      <c r="Q830" s="124"/>
      <c r="R830" s="124"/>
      <c r="S830" s="124"/>
      <c r="T830" s="124"/>
      <c r="U830" s="124"/>
      <c r="V830" s="124"/>
      <c r="W830" s="124"/>
      <c r="X830" s="124"/>
    </row>
    <row r="831">
      <c r="A831" s="216"/>
      <c r="B831" s="124"/>
      <c r="C831" s="124"/>
      <c r="D831" s="124"/>
      <c r="E831" s="124"/>
      <c r="F831" s="124"/>
      <c r="G831" s="124"/>
      <c r="H831" s="124"/>
      <c r="I831" s="217" t="str">
        <f>IFERROR(__xludf.DUMMYFUNCTION("""COMPUTED_VALUE"""),"")</f>
        <v/>
      </c>
      <c r="J831" s="219"/>
      <c r="K831" s="219"/>
      <c r="L831" s="124"/>
      <c r="M831" s="124"/>
      <c r="N831" s="124"/>
      <c r="O831" s="124"/>
      <c r="P831" s="124"/>
      <c r="Q831" s="124"/>
      <c r="R831" s="124"/>
      <c r="S831" s="124"/>
      <c r="T831" s="124"/>
      <c r="U831" s="124"/>
      <c r="V831" s="124"/>
      <c r="W831" s="124"/>
      <c r="X831" s="124"/>
    </row>
    <row r="832">
      <c r="A832" s="216"/>
      <c r="B832" s="124"/>
      <c r="C832" s="124"/>
      <c r="D832" s="124"/>
      <c r="E832" s="124"/>
      <c r="F832" s="124"/>
      <c r="G832" s="124"/>
      <c r="H832" s="124"/>
      <c r="I832" s="217" t="str">
        <f>IFERROR(__xludf.DUMMYFUNCTION("""COMPUTED_VALUE"""),"")</f>
        <v/>
      </c>
      <c r="J832" s="219"/>
      <c r="K832" s="219"/>
      <c r="L832" s="124"/>
      <c r="M832" s="124"/>
      <c r="N832" s="124"/>
      <c r="O832" s="124"/>
      <c r="P832" s="124"/>
      <c r="Q832" s="124"/>
      <c r="R832" s="124"/>
      <c r="S832" s="124"/>
      <c r="T832" s="124"/>
      <c r="U832" s="124"/>
      <c r="V832" s="124"/>
      <c r="W832" s="124"/>
      <c r="X832" s="124"/>
    </row>
    <row r="833">
      <c r="A833" s="216"/>
      <c r="B833" s="124"/>
      <c r="C833" s="124"/>
      <c r="D833" s="124"/>
      <c r="E833" s="124"/>
      <c r="F833" s="124"/>
      <c r="G833" s="124"/>
      <c r="H833" s="124"/>
      <c r="I833" s="217" t="str">
        <f>IFERROR(__xludf.DUMMYFUNCTION("""COMPUTED_VALUE"""),"")</f>
        <v/>
      </c>
      <c r="J833" s="219"/>
      <c r="K833" s="219"/>
      <c r="L833" s="124"/>
      <c r="M833" s="124"/>
      <c r="N833" s="124"/>
      <c r="O833" s="124"/>
      <c r="P833" s="124"/>
      <c r="Q833" s="124"/>
      <c r="R833" s="124"/>
      <c r="S833" s="124"/>
      <c r="T833" s="124"/>
      <c r="U833" s="124"/>
      <c r="V833" s="124"/>
      <c r="W833" s="124"/>
      <c r="X833" s="124"/>
    </row>
    <row r="834">
      <c r="A834" s="216"/>
      <c r="B834" s="124"/>
      <c r="C834" s="124"/>
      <c r="D834" s="124"/>
      <c r="E834" s="124"/>
      <c r="F834" s="124"/>
      <c r="G834" s="124"/>
      <c r="H834" s="124"/>
      <c r="I834" s="217" t="str">
        <f>IFERROR(__xludf.DUMMYFUNCTION("""COMPUTED_VALUE"""),"")</f>
        <v/>
      </c>
      <c r="J834" s="219"/>
      <c r="K834" s="219"/>
      <c r="L834" s="124"/>
      <c r="M834" s="124"/>
      <c r="N834" s="124"/>
      <c r="O834" s="124"/>
      <c r="P834" s="124"/>
      <c r="Q834" s="124"/>
      <c r="R834" s="124"/>
      <c r="S834" s="124"/>
      <c r="T834" s="124"/>
      <c r="U834" s="124"/>
      <c r="V834" s="124"/>
      <c r="W834" s="124"/>
      <c r="X834" s="124"/>
    </row>
    <row r="835">
      <c r="A835" s="216"/>
      <c r="B835" s="124"/>
      <c r="C835" s="124"/>
      <c r="D835" s="124"/>
      <c r="E835" s="124"/>
      <c r="F835" s="124"/>
      <c r="G835" s="124"/>
      <c r="H835" s="124"/>
      <c r="I835" s="217" t="str">
        <f>IFERROR(__xludf.DUMMYFUNCTION("""COMPUTED_VALUE"""),"")</f>
        <v/>
      </c>
      <c r="J835" s="219"/>
      <c r="K835" s="219"/>
      <c r="L835" s="124"/>
      <c r="M835" s="124"/>
      <c r="N835" s="124"/>
      <c r="O835" s="124"/>
      <c r="P835" s="124"/>
      <c r="Q835" s="124"/>
      <c r="R835" s="124"/>
      <c r="S835" s="124"/>
      <c r="T835" s="124"/>
      <c r="U835" s="124"/>
      <c r="V835" s="124"/>
      <c r="W835" s="124"/>
      <c r="X835" s="124"/>
    </row>
    <row r="836">
      <c r="A836" s="216"/>
      <c r="B836" s="124"/>
      <c r="C836" s="124"/>
      <c r="D836" s="124"/>
      <c r="E836" s="124"/>
      <c r="F836" s="124"/>
      <c r="G836" s="124"/>
      <c r="H836" s="124"/>
      <c r="I836" s="217" t="str">
        <f>IFERROR(__xludf.DUMMYFUNCTION("""COMPUTED_VALUE"""),"")</f>
        <v/>
      </c>
      <c r="J836" s="219"/>
      <c r="K836" s="219"/>
      <c r="L836" s="124"/>
      <c r="M836" s="124"/>
      <c r="N836" s="124"/>
      <c r="O836" s="124"/>
      <c r="P836" s="124"/>
      <c r="Q836" s="124"/>
      <c r="R836" s="124"/>
      <c r="S836" s="124"/>
      <c r="T836" s="124"/>
      <c r="U836" s="124"/>
      <c r="V836" s="124"/>
      <c r="W836" s="124"/>
      <c r="X836" s="124"/>
    </row>
    <row r="837">
      <c r="A837" s="216"/>
      <c r="B837" s="124"/>
      <c r="C837" s="124"/>
      <c r="D837" s="124"/>
      <c r="E837" s="124"/>
      <c r="F837" s="124"/>
      <c r="G837" s="124"/>
      <c r="H837" s="124"/>
      <c r="I837" s="217" t="str">
        <f>IFERROR(__xludf.DUMMYFUNCTION("""COMPUTED_VALUE"""),"")</f>
        <v/>
      </c>
      <c r="J837" s="219"/>
      <c r="K837" s="219"/>
      <c r="L837" s="124"/>
      <c r="M837" s="124"/>
      <c r="N837" s="124"/>
      <c r="O837" s="124"/>
      <c r="P837" s="124"/>
      <c r="Q837" s="124"/>
      <c r="R837" s="124"/>
      <c r="S837" s="124"/>
      <c r="T837" s="124"/>
      <c r="U837" s="124"/>
      <c r="V837" s="124"/>
      <c r="W837" s="124"/>
      <c r="X837" s="124"/>
    </row>
    <row r="838">
      <c r="A838" s="216"/>
      <c r="B838" s="124"/>
      <c r="C838" s="124"/>
      <c r="D838" s="124"/>
      <c r="E838" s="124"/>
      <c r="F838" s="124"/>
      <c r="G838" s="124"/>
      <c r="H838" s="124"/>
      <c r="I838" s="217" t="str">
        <f>IFERROR(__xludf.DUMMYFUNCTION("""COMPUTED_VALUE"""),"")</f>
        <v/>
      </c>
      <c r="J838" s="219"/>
      <c r="K838" s="219"/>
      <c r="L838" s="124"/>
      <c r="M838" s="124"/>
      <c r="N838" s="124"/>
      <c r="O838" s="124"/>
      <c r="P838" s="124"/>
      <c r="Q838" s="124"/>
      <c r="R838" s="124"/>
      <c r="S838" s="124"/>
      <c r="T838" s="124"/>
      <c r="U838" s="124"/>
      <c r="V838" s="124"/>
      <c r="W838" s="124"/>
      <c r="X838" s="124"/>
    </row>
    <row r="839">
      <c r="A839" s="216"/>
      <c r="B839" s="124"/>
      <c r="C839" s="124"/>
      <c r="D839" s="124"/>
      <c r="E839" s="124"/>
      <c r="F839" s="124"/>
      <c r="G839" s="124"/>
      <c r="H839" s="124"/>
      <c r="I839" s="217" t="str">
        <f>IFERROR(__xludf.DUMMYFUNCTION("""COMPUTED_VALUE"""),"")</f>
        <v/>
      </c>
      <c r="J839" s="219"/>
      <c r="K839" s="219"/>
      <c r="L839" s="124"/>
      <c r="M839" s="124"/>
      <c r="N839" s="124"/>
      <c r="O839" s="124"/>
      <c r="P839" s="124"/>
      <c r="Q839" s="124"/>
      <c r="R839" s="124"/>
      <c r="S839" s="124"/>
      <c r="T839" s="124"/>
      <c r="U839" s="124"/>
      <c r="V839" s="124"/>
      <c r="W839" s="124"/>
      <c r="X839" s="124"/>
    </row>
    <row r="840">
      <c r="A840" s="216"/>
      <c r="B840" s="124"/>
      <c r="C840" s="124"/>
      <c r="D840" s="124"/>
      <c r="E840" s="124"/>
      <c r="F840" s="124"/>
      <c r="G840" s="124"/>
      <c r="H840" s="124"/>
      <c r="I840" s="217" t="str">
        <f>IFERROR(__xludf.DUMMYFUNCTION("""COMPUTED_VALUE"""),"")</f>
        <v/>
      </c>
      <c r="J840" s="219"/>
      <c r="K840" s="219"/>
      <c r="L840" s="124"/>
      <c r="M840" s="124"/>
      <c r="N840" s="124"/>
      <c r="O840" s="124"/>
      <c r="P840" s="124"/>
      <c r="Q840" s="124"/>
      <c r="R840" s="124"/>
      <c r="S840" s="124"/>
      <c r="T840" s="124"/>
      <c r="U840" s="124"/>
      <c r="V840" s="124"/>
      <c r="W840" s="124"/>
      <c r="X840" s="124"/>
    </row>
    <row r="841">
      <c r="A841" s="216"/>
      <c r="B841" s="124"/>
      <c r="C841" s="124"/>
      <c r="D841" s="124"/>
      <c r="E841" s="124"/>
      <c r="F841" s="124"/>
      <c r="G841" s="124"/>
      <c r="H841" s="124"/>
      <c r="I841" s="217" t="str">
        <f>IFERROR(__xludf.DUMMYFUNCTION("""COMPUTED_VALUE"""),"")</f>
        <v/>
      </c>
      <c r="J841" s="219"/>
      <c r="K841" s="219"/>
      <c r="L841" s="124"/>
      <c r="M841" s="124"/>
      <c r="N841" s="124"/>
      <c r="O841" s="124"/>
      <c r="P841" s="124"/>
      <c r="Q841" s="124"/>
      <c r="R841" s="124"/>
      <c r="S841" s="124"/>
      <c r="T841" s="124"/>
      <c r="U841" s="124"/>
      <c r="V841" s="124"/>
      <c r="W841" s="124"/>
      <c r="X841" s="124"/>
    </row>
    <row r="842">
      <c r="A842" s="216"/>
      <c r="B842" s="124"/>
      <c r="C842" s="124"/>
      <c r="D842" s="124"/>
      <c r="E842" s="124"/>
      <c r="F842" s="124"/>
      <c r="G842" s="124"/>
      <c r="H842" s="124"/>
      <c r="I842" s="217" t="str">
        <f>IFERROR(__xludf.DUMMYFUNCTION("""COMPUTED_VALUE"""),"")</f>
        <v/>
      </c>
      <c r="J842" s="219"/>
      <c r="K842" s="219"/>
      <c r="L842" s="124"/>
      <c r="M842" s="124"/>
      <c r="N842" s="124"/>
      <c r="O842" s="124"/>
      <c r="P842" s="124"/>
      <c r="Q842" s="124"/>
      <c r="R842" s="124"/>
      <c r="S842" s="124"/>
      <c r="T842" s="124"/>
      <c r="U842" s="124"/>
      <c r="V842" s="124"/>
      <c r="W842" s="124"/>
      <c r="X842" s="124"/>
    </row>
    <row r="843">
      <c r="A843" s="216"/>
      <c r="B843" s="124"/>
      <c r="C843" s="124"/>
      <c r="D843" s="124"/>
      <c r="E843" s="124"/>
      <c r="F843" s="124"/>
      <c r="G843" s="124"/>
      <c r="H843" s="124"/>
      <c r="I843" s="217" t="str">
        <f>IFERROR(__xludf.DUMMYFUNCTION("""COMPUTED_VALUE"""),"")</f>
        <v/>
      </c>
      <c r="J843" s="219"/>
      <c r="K843" s="219"/>
      <c r="L843" s="124"/>
      <c r="M843" s="124"/>
      <c r="N843" s="124"/>
      <c r="O843" s="124"/>
      <c r="P843" s="124"/>
      <c r="Q843" s="124"/>
      <c r="R843" s="124"/>
      <c r="S843" s="124"/>
      <c r="T843" s="124"/>
      <c r="U843" s="124"/>
      <c r="V843" s="124"/>
      <c r="W843" s="124"/>
      <c r="X843" s="124"/>
    </row>
    <row r="844">
      <c r="A844" s="216"/>
      <c r="B844" s="124"/>
      <c r="C844" s="124"/>
      <c r="D844" s="124"/>
      <c r="E844" s="124"/>
      <c r="F844" s="124"/>
      <c r="G844" s="124"/>
      <c r="H844" s="124"/>
      <c r="I844" s="217" t="str">
        <f>IFERROR(__xludf.DUMMYFUNCTION("""COMPUTED_VALUE"""),"")</f>
        <v/>
      </c>
      <c r="J844" s="219"/>
      <c r="K844" s="219"/>
      <c r="L844" s="124"/>
      <c r="M844" s="124"/>
      <c r="N844" s="124"/>
      <c r="O844" s="124"/>
      <c r="P844" s="124"/>
      <c r="Q844" s="124"/>
      <c r="R844" s="124"/>
      <c r="S844" s="124"/>
      <c r="T844" s="124"/>
      <c r="U844" s="124"/>
      <c r="V844" s="124"/>
      <c r="W844" s="124"/>
      <c r="X844" s="124"/>
    </row>
    <row r="845">
      <c r="A845" s="216"/>
      <c r="B845" s="124"/>
      <c r="C845" s="124"/>
      <c r="D845" s="124"/>
      <c r="E845" s="124"/>
      <c r="F845" s="124"/>
      <c r="G845" s="124"/>
      <c r="H845" s="124"/>
      <c r="I845" s="217" t="str">
        <f>IFERROR(__xludf.DUMMYFUNCTION("""COMPUTED_VALUE"""),"")</f>
        <v/>
      </c>
      <c r="J845" s="219"/>
      <c r="K845" s="219"/>
      <c r="L845" s="124"/>
      <c r="M845" s="124"/>
      <c r="N845" s="124"/>
      <c r="O845" s="124"/>
      <c r="P845" s="124"/>
      <c r="Q845" s="124"/>
      <c r="R845" s="124"/>
      <c r="S845" s="124"/>
      <c r="T845" s="124"/>
      <c r="U845" s="124"/>
      <c r="V845" s="124"/>
      <c r="W845" s="124"/>
      <c r="X845" s="124"/>
    </row>
    <row r="846">
      <c r="A846" s="216"/>
      <c r="B846" s="124"/>
      <c r="C846" s="124"/>
      <c r="D846" s="124"/>
      <c r="E846" s="124"/>
      <c r="F846" s="124"/>
      <c r="G846" s="124"/>
      <c r="H846" s="124"/>
      <c r="I846" s="217" t="str">
        <f>IFERROR(__xludf.DUMMYFUNCTION("""COMPUTED_VALUE"""),"")</f>
        <v/>
      </c>
      <c r="J846" s="219"/>
      <c r="K846" s="219"/>
      <c r="L846" s="124"/>
      <c r="M846" s="124"/>
      <c r="N846" s="124"/>
      <c r="O846" s="124"/>
      <c r="P846" s="124"/>
      <c r="Q846" s="124"/>
      <c r="R846" s="124"/>
      <c r="S846" s="124"/>
      <c r="T846" s="124"/>
      <c r="U846" s="124"/>
      <c r="V846" s="124"/>
      <c r="W846" s="124"/>
      <c r="X846" s="124"/>
    </row>
    <row r="847">
      <c r="A847" s="216"/>
      <c r="B847" s="124"/>
      <c r="C847" s="124"/>
      <c r="D847" s="124"/>
      <c r="E847" s="124"/>
      <c r="F847" s="124"/>
      <c r="G847" s="124"/>
      <c r="H847" s="124"/>
      <c r="I847" s="217" t="str">
        <f>IFERROR(__xludf.DUMMYFUNCTION("""COMPUTED_VALUE"""),"")</f>
        <v/>
      </c>
      <c r="J847" s="219"/>
      <c r="K847" s="219"/>
      <c r="L847" s="124"/>
      <c r="M847" s="124"/>
      <c r="N847" s="124"/>
      <c r="O847" s="124"/>
      <c r="P847" s="124"/>
      <c r="Q847" s="124"/>
      <c r="R847" s="124"/>
      <c r="S847" s="124"/>
      <c r="T847" s="124"/>
      <c r="U847" s="124"/>
      <c r="V847" s="124"/>
      <c r="W847" s="124"/>
      <c r="X847" s="124"/>
    </row>
    <row r="848">
      <c r="A848" s="216"/>
      <c r="B848" s="124"/>
      <c r="C848" s="124"/>
      <c r="D848" s="124"/>
      <c r="E848" s="124"/>
      <c r="F848" s="124"/>
      <c r="G848" s="124"/>
      <c r="H848" s="124"/>
      <c r="I848" s="217" t="str">
        <f>IFERROR(__xludf.DUMMYFUNCTION("""COMPUTED_VALUE"""),"")</f>
        <v/>
      </c>
      <c r="J848" s="219"/>
      <c r="K848" s="219"/>
      <c r="L848" s="124"/>
      <c r="M848" s="124"/>
      <c r="N848" s="124"/>
      <c r="O848" s="124"/>
      <c r="P848" s="124"/>
      <c r="Q848" s="124"/>
      <c r="R848" s="124"/>
      <c r="S848" s="124"/>
      <c r="T848" s="124"/>
      <c r="U848" s="124"/>
      <c r="V848" s="124"/>
      <c r="W848" s="124"/>
      <c r="X848" s="124"/>
    </row>
    <row r="849">
      <c r="A849" s="216"/>
      <c r="B849" s="124"/>
      <c r="C849" s="124"/>
      <c r="D849" s="124"/>
      <c r="E849" s="124"/>
      <c r="F849" s="124"/>
      <c r="G849" s="124"/>
      <c r="H849" s="124"/>
      <c r="I849" s="217" t="str">
        <f>IFERROR(__xludf.DUMMYFUNCTION("""COMPUTED_VALUE"""),"")</f>
        <v/>
      </c>
      <c r="J849" s="219"/>
      <c r="K849" s="219"/>
      <c r="L849" s="124"/>
      <c r="M849" s="124"/>
      <c r="N849" s="124"/>
      <c r="O849" s="124"/>
      <c r="P849" s="124"/>
      <c r="Q849" s="124"/>
      <c r="R849" s="124"/>
      <c r="S849" s="124"/>
      <c r="T849" s="124"/>
      <c r="U849" s="124"/>
      <c r="V849" s="124"/>
      <c r="W849" s="124"/>
      <c r="X849" s="124"/>
    </row>
    <row r="850">
      <c r="A850" s="216"/>
      <c r="B850" s="124"/>
      <c r="C850" s="124"/>
      <c r="D850" s="124"/>
      <c r="E850" s="124"/>
      <c r="F850" s="124"/>
      <c r="G850" s="124"/>
      <c r="H850" s="124"/>
      <c r="I850" s="217" t="str">
        <f>IFERROR(__xludf.DUMMYFUNCTION("""COMPUTED_VALUE"""),"")</f>
        <v/>
      </c>
      <c r="J850" s="219"/>
      <c r="K850" s="219"/>
      <c r="L850" s="124"/>
      <c r="M850" s="124"/>
      <c r="N850" s="124"/>
      <c r="O850" s="124"/>
      <c r="P850" s="124"/>
      <c r="Q850" s="124"/>
      <c r="R850" s="124"/>
      <c r="S850" s="124"/>
      <c r="T850" s="124"/>
      <c r="U850" s="124"/>
      <c r="V850" s="124"/>
      <c r="W850" s="124"/>
      <c r="X850" s="124"/>
    </row>
    <row r="851">
      <c r="A851" s="216"/>
      <c r="B851" s="124"/>
      <c r="C851" s="124"/>
      <c r="D851" s="124"/>
      <c r="E851" s="124"/>
      <c r="F851" s="124"/>
      <c r="G851" s="124"/>
      <c r="H851" s="124"/>
      <c r="I851" s="217" t="str">
        <f>IFERROR(__xludf.DUMMYFUNCTION("""COMPUTED_VALUE"""),"")</f>
        <v/>
      </c>
      <c r="J851" s="219"/>
      <c r="K851" s="219"/>
      <c r="L851" s="124"/>
      <c r="M851" s="124"/>
      <c r="N851" s="124"/>
      <c r="O851" s="124"/>
      <c r="P851" s="124"/>
      <c r="Q851" s="124"/>
      <c r="R851" s="124"/>
      <c r="S851" s="124"/>
      <c r="T851" s="124"/>
      <c r="U851" s="124"/>
      <c r="V851" s="124"/>
      <c r="W851" s="124"/>
      <c r="X851" s="124"/>
    </row>
    <row r="852">
      <c r="A852" s="216"/>
      <c r="B852" s="124"/>
      <c r="C852" s="124"/>
      <c r="D852" s="124"/>
      <c r="E852" s="124"/>
      <c r="F852" s="124"/>
      <c r="G852" s="124"/>
      <c r="H852" s="124"/>
      <c r="I852" s="217" t="str">
        <f>IFERROR(__xludf.DUMMYFUNCTION("""COMPUTED_VALUE"""),"")</f>
        <v/>
      </c>
      <c r="J852" s="219"/>
      <c r="K852" s="219"/>
      <c r="L852" s="124"/>
      <c r="M852" s="124"/>
      <c r="N852" s="124"/>
      <c r="O852" s="124"/>
      <c r="P852" s="124"/>
      <c r="Q852" s="124"/>
      <c r="R852" s="124"/>
      <c r="S852" s="124"/>
      <c r="T852" s="124"/>
      <c r="U852" s="124"/>
      <c r="V852" s="124"/>
      <c r="W852" s="124"/>
      <c r="X852" s="124"/>
    </row>
    <row r="853">
      <c r="A853" s="216"/>
      <c r="B853" s="124"/>
      <c r="C853" s="124"/>
      <c r="D853" s="124"/>
      <c r="E853" s="124"/>
      <c r="F853" s="124"/>
      <c r="G853" s="124"/>
      <c r="H853" s="124"/>
      <c r="I853" s="217" t="str">
        <f>IFERROR(__xludf.DUMMYFUNCTION("""COMPUTED_VALUE"""),"")</f>
        <v/>
      </c>
      <c r="J853" s="219"/>
      <c r="K853" s="219"/>
      <c r="L853" s="124"/>
      <c r="M853" s="124"/>
      <c r="N853" s="124"/>
      <c r="O853" s="124"/>
      <c r="P853" s="124"/>
      <c r="Q853" s="124"/>
      <c r="R853" s="124"/>
      <c r="S853" s="124"/>
      <c r="T853" s="124"/>
      <c r="U853" s="124"/>
      <c r="V853" s="124"/>
      <c r="W853" s="124"/>
      <c r="X853" s="124"/>
    </row>
    <row r="854">
      <c r="A854" s="216"/>
      <c r="B854" s="124"/>
      <c r="C854" s="124"/>
      <c r="D854" s="124"/>
      <c r="E854" s="124"/>
      <c r="F854" s="124"/>
      <c r="G854" s="124"/>
      <c r="H854" s="124"/>
      <c r="I854" s="217" t="str">
        <f>IFERROR(__xludf.DUMMYFUNCTION("""COMPUTED_VALUE"""),"")</f>
        <v/>
      </c>
      <c r="J854" s="219"/>
      <c r="K854" s="219"/>
      <c r="L854" s="124"/>
      <c r="M854" s="124"/>
      <c r="N854" s="124"/>
      <c r="O854" s="124"/>
      <c r="P854" s="124"/>
      <c r="Q854" s="124"/>
      <c r="R854" s="124"/>
      <c r="S854" s="124"/>
      <c r="T854" s="124"/>
      <c r="U854" s="124"/>
      <c r="V854" s="124"/>
      <c r="W854" s="124"/>
      <c r="X854" s="124"/>
    </row>
    <row r="855">
      <c r="A855" s="216"/>
      <c r="B855" s="124"/>
      <c r="C855" s="124"/>
      <c r="D855" s="124"/>
      <c r="E855" s="124"/>
      <c r="F855" s="124"/>
      <c r="G855" s="124"/>
      <c r="H855" s="124"/>
      <c r="I855" s="217" t="str">
        <f>IFERROR(__xludf.DUMMYFUNCTION("""COMPUTED_VALUE"""),"")</f>
        <v/>
      </c>
      <c r="J855" s="219"/>
      <c r="K855" s="219"/>
      <c r="L855" s="124"/>
      <c r="M855" s="124"/>
      <c r="N855" s="124"/>
      <c r="O855" s="124"/>
      <c r="P855" s="124"/>
      <c r="Q855" s="124"/>
      <c r="R855" s="124"/>
      <c r="S855" s="124"/>
      <c r="T855" s="124"/>
      <c r="U855" s="124"/>
      <c r="V855" s="124"/>
      <c r="W855" s="124"/>
      <c r="X855" s="124"/>
    </row>
    <row r="856">
      <c r="A856" s="216"/>
      <c r="B856" s="124"/>
      <c r="C856" s="124"/>
      <c r="D856" s="124"/>
      <c r="E856" s="124"/>
      <c r="F856" s="124"/>
      <c r="G856" s="124"/>
      <c r="H856" s="124"/>
      <c r="I856" s="217" t="str">
        <f>IFERROR(__xludf.DUMMYFUNCTION("""COMPUTED_VALUE"""),"")</f>
        <v/>
      </c>
      <c r="J856" s="219"/>
      <c r="K856" s="219"/>
      <c r="L856" s="124"/>
      <c r="M856" s="124"/>
      <c r="N856" s="124"/>
      <c r="O856" s="124"/>
      <c r="P856" s="124"/>
      <c r="Q856" s="124"/>
      <c r="R856" s="124"/>
      <c r="S856" s="124"/>
      <c r="T856" s="124"/>
      <c r="U856" s="124"/>
      <c r="V856" s="124"/>
      <c r="W856" s="124"/>
      <c r="X856" s="124"/>
    </row>
    <row r="857">
      <c r="A857" s="216"/>
      <c r="B857" s="124"/>
      <c r="C857" s="124"/>
      <c r="D857" s="124"/>
      <c r="E857" s="124"/>
      <c r="F857" s="124"/>
      <c r="G857" s="124"/>
      <c r="H857" s="124"/>
      <c r="I857" s="217" t="str">
        <f>IFERROR(__xludf.DUMMYFUNCTION("""COMPUTED_VALUE"""),"")</f>
        <v/>
      </c>
      <c r="J857" s="219"/>
      <c r="K857" s="219"/>
      <c r="L857" s="124"/>
      <c r="M857" s="124"/>
      <c r="N857" s="124"/>
      <c r="O857" s="124"/>
      <c r="P857" s="124"/>
      <c r="Q857" s="124"/>
      <c r="R857" s="124"/>
      <c r="S857" s="124"/>
      <c r="T857" s="124"/>
      <c r="U857" s="124"/>
      <c r="V857" s="124"/>
      <c r="W857" s="124"/>
      <c r="X857" s="124"/>
    </row>
    <row r="858">
      <c r="A858" s="216"/>
      <c r="B858" s="124"/>
      <c r="C858" s="124"/>
      <c r="D858" s="124"/>
      <c r="E858" s="124"/>
      <c r="F858" s="124"/>
      <c r="G858" s="124"/>
      <c r="H858" s="124"/>
      <c r="I858" s="217" t="str">
        <f>IFERROR(__xludf.DUMMYFUNCTION("""COMPUTED_VALUE"""),"")</f>
        <v/>
      </c>
      <c r="J858" s="219"/>
      <c r="K858" s="219"/>
      <c r="L858" s="124"/>
      <c r="M858" s="124"/>
      <c r="N858" s="124"/>
      <c r="O858" s="124"/>
      <c r="P858" s="124"/>
      <c r="Q858" s="124"/>
      <c r="R858" s="124"/>
      <c r="S858" s="124"/>
      <c r="T858" s="124"/>
      <c r="U858" s="124"/>
      <c r="V858" s="124"/>
      <c r="W858" s="124"/>
      <c r="X858" s="124"/>
    </row>
    <row r="859">
      <c r="A859" s="216"/>
      <c r="B859" s="124"/>
      <c r="C859" s="124"/>
      <c r="D859" s="124"/>
      <c r="E859" s="124"/>
      <c r="F859" s="124"/>
      <c r="G859" s="124"/>
      <c r="H859" s="124"/>
      <c r="I859" s="217" t="str">
        <f>IFERROR(__xludf.DUMMYFUNCTION("""COMPUTED_VALUE"""),"")</f>
        <v/>
      </c>
      <c r="J859" s="219"/>
      <c r="K859" s="219"/>
      <c r="L859" s="124"/>
      <c r="M859" s="124"/>
      <c r="N859" s="124"/>
      <c r="O859" s="124"/>
      <c r="P859" s="124"/>
      <c r="Q859" s="124"/>
      <c r="R859" s="124"/>
      <c r="S859" s="124"/>
      <c r="T859" s="124"/>
      <c r="U859" s="124"/>
      <c r="V859" s="124"/>
      <c r="W859" s="124"/>
      <c r="X859" s="124"/>
    </row>
    <row r="860">
      <c r="A860" s="216"/>
      <c r="B860" s="124"/>
      <c r="C860" s="124"/>
      <c r="D860" s="124"/>
      <c r="E860" s="124"/>
      <c r="F860" s="124"/>
      <c r="G860" s="124"/>
      <c r="H860" s="124"/>
      <c r="I860" s="217" t="str">
        <f>IFERROR(__xludf.DUMMYFUNCTION("""COMPUTED_VALUE"""),"")</f>
        <v/>
      </c>
      <c r="J860" s="219"/>
      <c r="K860" s="219"/>
      <c r="L860" s="124"/>
      <c r="M860" s="124"/>
      <c r="N860" s="124"/>
      <c r="O860" s="124"/>
      <c r="P860" s="124"/>
      <c r="Q860" s="124"/>
      <c r="R860" s="124"/>
      <c r="S860" s="124"/>
      <c r="T860" s="124"/>
      <c r="U860" s="124"/>
      <c r="V860" s="124"/>
      <c r="W860" s="124"/>
      <c r="X860" s="124"/>
    </row>
    <row r="861">
      <c r="A861" s="216"/>
      <c r="B861" s="124"/>
      <c r="C861" s="124"/>
      <c r="D861" s="124"/>
      <c r="E861" s="124"/>
      <c r="F861" s="124"/>
      <c r="G861" s="124"/>
      <c r="H861" s="124"/>
      <c r="I861" s="217" t="str">
        <f>IFERROR(__xludf.DUMMYFUNCTION("""COMPUTED_VALUE"""),"")</f>
        <v/>
      </c>
      <c r="J861" s="219"/>
      <c r="K861" s="219"/>
      <c r="L861" s="124"/>
      <c r="M861" s="124"/>
      <c r="N861" s="124"/>
      <c r="O861" s="124"/>
      <c r="P861" s="124"/>
      <c r="Q861" s="124"/>
      <c r="R861" s="124"/>
      <c r="S861" s="124"/>
      <c r="T861" s="124"/>
      <c r="U861" s="124"/>
      <c r="V861" s="124"/>
      <c r="W861" s="124"/>
      <c r="X861" s="124"/>
    </row>
    <row r="862">
      <c r="A862" s="216"/>
      <c r="B862" s="124"/>
      <c r="C862" s="124"/>
      <c r="D862" s="124"/>
      <c r="E862" s="124"/>
      <c r="F862" s="124"/>
      <c r="G862" s="124"/>
      <c r="H862" s="124"/>
      <c r="I862" s="217" t="str">
        <f>IFERROR(__xludf.DUMMYFUNCTION("""COMPUTED_VALUE"""),"")</f>
        <v/>
      </c>
      <c r="J862" s="219"/>
      <c r="K862" s="219"/>
      <c r="L862" s="124"/>
      <c r="M862" s="124"/>
      <c r="N862" s="124"/>
      <c r="O862" s="124"/>
      <c r="P862" s="124"/>
      <c r="Q862" s="124"/>
      <c r="R862" s="124"/>
      <c r="S862" s="124"/>
      <c r="T862" s="124"/>
      <c r="U862" s="124"/>
      <c r="V862" s="124"/>
      <c r="W862" s="124"/>
      <c r="X862" s="124"/>
    </row>
    <row r="863">
      <c r="A863" s="216"/>
      <c r="B863" s="124"/>
      <c r="C863" s="124"/>
      <c r="D863" s="124"/>
      <c r="E863" s="124"/>
      <c r="F863" s="124"/>
      <c r="G863" s="124"/>
      <c r="H863" s="124"/>
      <c r="I863" s="217" t="str">
        <f>IFERROR(__xludf.DUMMYFUNCTION("""COMPUTED_VALUE"""),"")</f>
        <v/>
      </c>
      <c r="J863" s="219"/>
      <c r="K863" s="219"/>
      <c r="L863" s="124"/>
      <c r="M863" s="124"/>
      <c r="N863" s="124"/>
      <c r="O863" s="124"/>
      <c r="P863" s="124"/>
      <c r="Q863" s="124"/>
      <c r="R863" s="124"/>
      <c r="S863" s="124"/>
      <c r="T863" s="124"/>
      <c r="U863" s="124"/>
      <c r="V863" s="124"/>
      <c r="W863" s="124"/>
      <c r="X863" s="124"/>
    </row>
    <row r="864">
      <c r="A864" s="216"/>
      <c r="B864" s="124"/>
      <c r="C864" s="124"/>
      <c r="D864" s="124"/>
      <c r="E864" s="124"/>
      <c r="F864" s="124"/>
      <c r="G864" s="124"/>
      <c r="H864" s="124"/>
      <c r="I864" s="217" t="str">
        <f>IFERROR(__xludf.DUMMYFUNCTION("""COMPUTED_VALUE"""),"")</f>
        <v/>
      </c>
      <c r="J864" s="219"/>
      <c r="K864" s="219"/>
      <c r="L864" s="124"/>
      <c r="M864" s="124"/>
      <c r="N864" s="124"/>
      <c r="O864" s="124"/>
      <c r="P864" s="124"/>
      <c r="Q864" s="124"/>
      <c r="R864" s="124"/>
      <c r="S864" s="124"/>
      <c r="T864" s="124"/>
      <c r="U864" s="124"/>
      <c r="V864" s="124"/>
      <c r="W864" s="124"/>
      <c r="X864" s="124"/>
    </row>
    <row r="865">
      <c r="A865" s="216"/>
      <c r="B865" s="124"/>
      <c r="C865" s="124"/>
      <c r="D865" s="124"/>
      <c r="E865" s="124"/>
      <c r="F865" s="124"/>
      <c r="G865" s="124"/>
      <c r="H865" s="124"/>
      <c r="I865" s="217" t="str">
        <f>IFERROR(__xludf.DUMMYFUNCTION("""COMPUTED_VALUE"""),"")</f>
        <v/>
      </c>
      <c r="J865" s="219"/>
      <c r="K865" s="219"/>
      <c r="L865" s="124"/>
      <c r="M865" s="124"/>
      <c r="N865" s="124"/>
      <c r="O865" s="124"/>
      <c r="P865" s="124"/>
      <c r="Q865" s="124"/>
      <c r="R865" s="124"/>
      <c r="S865" s="124"/>
      <c r="T865" s="124"/>
      <c r="U865" s="124"/>
      <c r="V865" s="124"/>
      <c r="W865" s="124"/>
      <c r="X865" s="124"/>
    </row>
    <row r="866">
      <c r="A866" s="216"/>
      <c r="B866" s="124"/>
      <c r="C866" s="124"/>
      <c r="D866" s="124"/>
      <c r="E866" s="124"/>
      <c r="F866" s="124"/>
      <c r="G866" s="124"/>
      <c r="H866" s="124"/>
      <c r="I866" s="217" t="str">
        <f>IFERROR(__xludf.DUMMYFUNCTION("""COMPUTED_VALUE"""),"")</f>
        <v/>
      </c>
      <c r="J866" s="219"/>
      <c r="K866" s="219"/>
      <c r="L866" s="124"/>
      <c r="M866" s="124"/>
      <c r="N866" s="124"/>
      <c r="O866" s="124"/>
      <c r="P866" s="124"/>
      <c r="Q866" s="124"/>
      <c r="R866" s="124"/>
      <c r="S866" s="124"/>
      <c r="T866" s="124"/>
      <c r="U866" s="124"/>
      <c r="V866" s="124"/>
      <c r="W866" s="124"/>
      <c r="X866" s="124"/>
    </row>
    <row r="867">
      <c r="A867" s="216"/>
      <c r="B867" s="124"/>
      <c r="C867" s="124"/>
      <c r="D867" s="124"/>
      <c r="E867" s="124"/>
      <c r="F867" s="124"/>
      <c r="G867" s="124"/>
      <c r="H867" s="124"/>
      <c r="I867" s="217" t="str">
        <f>IFERROR(__xludf.DUMMYFUNCTION("""COMPUTED_VALUE"""),"")</f>
        <v/>
      </c>
      <c r="J867" s="219"/>
      <c r="K867" s="219"/>
      <c r="L867" s="124"/>
      <c r="M867" s="124"/>
      <c r="N867" s="124"/>
      <c r="O867" s="124"/>
      <c r="P867" s="124"/>
      <c r="Q867" s="124"/>
      <c r="R867" s="124"/>
      <c r="S867" s="124"/>
      <c r="T867" s="124"/>
      <c r="U867" s="124"/>
      <c r="V867" s="124"/>
      <c r="W867" s="124"/>
      <c r="X867" s="124"/>
    </row>
    <row r="868">
      <c r="A868" s="216"/>
      <c r="B868" s="124"/>
      <c r="C868" s="124"/>
      <c r="D868" s="124"/>
      <c r="E868" s="124"/>
      <c r="F868" s="124"/>
      <c r="G868" s="124"/>
      <c r="H868" s="124"/>
      <c r="I868" s="217" t="str">
        <f>IFERROR(__xludf.DUMMYFUNCTION("""COMPUTED_VALUE"""),"")</f>
        <v/>
      </c>
      <c r="J868" s="219"/>
      <c r="K868" s="219"/>
      <c r="L868" s="124"/>
      <c r="M868" s="124"/>
      <c r="N868" s="124"/>
      <c r="O868" s="124"/>
      <c r="P868" s="124"/>
      <c r="Q868" s="124"/>
      <c r="R868" s="124"/>
      <c r="S868" s="124"/>
      <c r="T868" s="124"/>
      <c r="U868" s="124"/>
      <c r="V868" s="124"/>
      <c r="W868" s="124"/>
      <c r="X868" s="124"/>
    </row>
    <row r="869">
      <c r="A869" s="216"/>
      <c r="B869" s="124"/>
      <c r="C869" s="124"/>
      <c r="D869" s="124"/>
      <c r="E869" s="124"/>
      <c r="F869" s="124"/>
      <c r="G869" s="124"/>
      <c r="H869" s="124"/>
      <c r="I869" s="217" t="str">
        <f>IFERROR(__xludf.DUMMYFUNCTION("""COMPUTED_VALUE"""),"")</f>
        <v/>
      </c>
      <c r="J869" s="219"/>
      <c r="K869" s="219"/>
      <c r="L869" s="124"/>
      <c r="M869" s="124"/>
      <c r="N869" s="124"/>
      <c r="O869" s="124"/>
      <c r="P869" s="124"/>
      <c r="Q869" s="124"/>
      <c r="R869" s="124"/>
      <c r="S869" s="124"/>
      <c r="T869" s="124"/>
      <c r="U869" s="124"/>
      <c r="V869" s="124"/>
      <c r="W869" s="124"/>
      <c r="X869" s="124"/>
    </row>
    <row r="870">
      <c r="A870" s="216"/>
      <c r="B870" s="124"/>
      <c r="C870" s="124"/>
      <c r="D870" s="124"/>
      <c r="E870" s="124"/>
      <c r="F870" s="124"/>
      <c r="G870" s="124"/>
      <c r="H870" s="124"/>
      <c r="I870" s="217" t="str">
        <f>IFERROR(__xludf.DUMMYFUNCTION("""COMPUTED_VALUE"""),"")</f>
        <v/>
      </c>
      <c r="J870" s="219"/>
      <c r="K870" s="219"/>
      <c r="L870" s="124"/>
      <c r="M870" s="124"/>
      <c r="N870" s="124"/>
      <c r="O870" s="124"/>
      <c r="P870" s="124"/>
      <c r="Q870" s="124"/>
      <c r="R870" s="124"/>
      <c r="S870" s="124"/>
      <c r="T870" s="124"/>
      <c r="U870" s="124"/>
      <c r="V870" s="124"/>
      <c r="W870" s="124"/>
      <c r="X870" s="124"/>
    </row>
    <row r="871">
      <c r="A871" s="216"/>
      <c r="B871" s="124"/>
      <c r="C871" s="124"/>
      <c r="D871" s="124"/>
      <c r="E871" s="124"/>
      <c r="F871" s="124"/>
      <c r="G871" s="124"/>
      <c r="H871" s="124"/>
      <c r="I871" s="217" t="str">
        <f>IFERROR(__xludf.DUMMYFUNCTION("""COMPUTED_VALUE"""),"")</f>
        <v/>
      </c>
      <c r="J871" s="219"/>
      <c r="K871" s="219"/>
      <c r="L871" s="124"/>
      <c r="M871" s="124"/>
      <c r="N871" s="124"/>
      <c r="O871" s="124"/>
      <c r="P871" s="124"/>
      <c r="Q871" s="124"/>
      <c r="R871" s="124"/>
      <c r="S871" s="124"/>
      <c r="T871" s="124"/>
      <c r="U871" s="124"/>
      <c r="V871" s="124"/>
      <c r="W871" s="124"/>
      <c r="X871" s="124"/>
    </row>
    <row r="872">
      <c r="A872" s="216"/>
      <c r="B872" s="124"/>
      <c r="C872" s="124"/>
      <c r="D872" s="124"/>
      <c r="E872" s="124"/>
      <c r="F872" s="124"/>
      <c r="G872" s="124"/>
      <c r="H872" s="124"/>
      <c r="I872" s="217" t="str">
        <f>IFERROR(__xludf.DUMMYFUNCTION("""COMPUTED_VALUE"""),"")</f>
        <v/>
      </c>
      <c r="J872" s="219"/>
      <c r="K872" s="219"/>
      <c r="L872" s="124"/>
      <c r="M872" s="124"/>
      <c r="N872" s="124"/>
      <c r="O872" s="124"/>
      <c r="P872" s="124"/>
      <c r="Q872" s="124"/>
      <c r="R872" s="124"/>
      <c r="S872" s="124"/>
      <c r="T872" s="124"/>
      <c r="U872" s="124"/>
      <c r="V872" s="124"/>
      <c r="W872" s="124"/>
      <c r="X872" s="124"/>
    </row>
    <row r="873">
      <c r="A873" s="216"/>
      <c r="B873" s="124"/>
      <c r="C873" s="124"/>
      <c r="D873" s="124"/>
      <c r="E873" s="124"/>
      <c r="F873" s="124"/>
      <c r="G873" s="124"/>
      <c r="H873" s="124"/>
      <c r="I873" s="217" t="str">
        <f>IFERROR(__xludf.DUMMYFUNCTION("""COMPUTED_VALUE"""),"")</f>
        <v/>
      </c>
      <c r="J873" s="219"/>
      <c r="K873" s="219"/>
      <c r="L873" s="124"/>
      <c r="M873" s="124"/>
      <c r="N873" s="124"/>
      <c r="O873" s="124"/>
      <c r="P873" s="124"/>
      <c r="Q873" s="124"/>
      <c r="R873" s="124"/>
      <c r="S873" s="124"/>
      <c r="T873" s="124"/>
      <c r="U873" s="124"/>
      <c r="V873" s="124"/>
      <c r="W873" s="124"/>
      <c r="X873" s="124"/>
    </row>
    <row r="874">
      <c r="A874" s="216"/>
      <c r="B874" s="124"/>
      <c r="C874" s="124"/>
      <c r="D874" s="124"/>
      <c r="E874" s="124"/>
      <c r="F874" s="124"/>
      <c r="G874" s="124"/>
      <c r="H874" s="124"/>
      <c r="I874" s="217" t="str">
        <f>IFERROR(__xludf.DUMMYFUNCTION("""COMPUTED_VALUE"""),"")</f>
        <v/>
      </c>
      <c r="J874" s="219"/>
      <c r="K874" s="219"/>
      <c r="L874" s="124"/>
      <c r="M874" s="124"/>
      <c r="N874" s="124"/>
      <c r="O874" s="124"/>
      <c r="P874" s="124"/>
      <c r="Q874" s="124"/>
      <c r="R874" s="124"/>
      <c r="S874" s="124"/>
      <c r="T874" s="124"/>
      <c r="U874" s="124"/>
      <c r="V874" s="124"/>
      <c r="W874" s="124"/>
      <c r="X874" s="124"/>
    </row>
    <row r="875">
      <c r="A875" s="216"/>
      <c r="B875" s="124"/>
      <c r="C875" s="124"/>
      <c r="D875" s="124"/>
      <c r="E875" s="124"/>
      <c r="F875" s="124"/>
      <c r="G875" s="124"/>
      <c r="H875" s="124"/>
      <c r="I875" s="217" t="str">
        <f>IFERROR(__xludf.DUMMYFUNCTION("""COMPUTED_VALUE"""),"")</f>
        <v/>
      </c>
      <c r="J875" s="219"/>
      <c r="K875" s="219"/>
      <c r="L875" s="124"/>
      <c r="M875" s="124"/>
      <c r="N875" s="124"/>
      <c r="O875" s="124"/>
      <c r="P875" s="124"/>
      <c r="Q875" s="124"/>
      <c r="R875" s="124"/>
      <c r="S875" s="124"/>
      <c r="T875" s="124"/>
      <c r="U875" s="124"/>
      <c r="V875" s="124"/>
      <c r="W875" s="124"/>
      <c r="X875" s="124"/>
    </row>
    <row r="876">
      <c r="A876" s="216"/>
      <c r="B876" s="124"/>
      <c r="C876" s="124"/>
      <c r="D876" s="124"/>
      <c r="E876" s="124"/>
      <c r="F876" s="124"/>
      <c r="G876" s="124"/>
      <c r="H876" s="124"/>
      <c r="I876" s="217" t="str">
        <f>IFERROR(__xludf.DUMMYFUNCTION("""COMPUTED_VALUE"""),"")</f>
        <v/>
      </c>
      <c r="J876" s="219"/>
      <c r="K876" s="219"/>
      <c r="L876" s="124"/>
      <c r="M876" s="124"/>
      <c r="N876" s="124"/>
      <c r="O876" s="124"/>
      <c r="P876" s="124"/>
      <c r="Q876" s="124"/>
      <c r="R876" s="124"/>
      <c r="S876" s="124"/>
      <c r="T876" s="124"/>
      <c r="U876" s="124"/>
      <c r="V876" s="124"/>
      <c r="W876" s="124"/>
      <c r="X876" s="124"/>
    </row>
    <row r="877">
      <c r="A877" s="216"/>
      <c r="B877" s="124"/>
      <c r="C877" s="124"/>
      <c r="D877" s="124"/>
      <c r="E877" s="124"/>
      <c r="F877" s="124"/>
      <c r="G877" s="124"/>
      <c r="H877" s="124"/>
      <c r="I877" s="217" t="str">
        <f>IFERROR(__xludf.DUMMYFUNCTION("""COMPUTED_VALUE"""),"")</f>
        <v/>
      </c>
      <c r="J877" s="219"/>
      <c r="K877" s="219"/>
      <c r="L877" s="124"/>
      <c r="M877" s="124"/>
      <c r="N877" s="124"/>
      <c r="O877" s="124"/>
      <c r="P877" s="124"/>
      <c r="Q877" s="124"/>
      <c r="R877" s="124"/>
      <c r="S877" s="124"/>
      <c r="T877" s="124"/>
      <c r="U877" s="124"/>
      <c r="V877" s="124"/>
      <c r="W877" s="124"/>
      <c r="X877" s="124"/>
    </row>
    <row r="878">
      <c r="A878" s="216"/>
      <c r="B878" s="124"/>
      <c r="C878" s="124"/>
      <c r="D878" s="124"/>
      <c r="E878" s="124"/>
      <c r="F878" s="124"/>
      <c r="G878" s="124"/>
      <c r="H878" s="124"/>
      <c r="I878" s="217" t="str">
        <f>IFERROR(__xludf.DUMMYFUNCTION("""COMPUTED_VALUE"""),"")</f>
        <v/>
      </c>
      <c r="J878" s="219"/>
      <c r="K878" s="219"/>
      <c r="L878" s="124"/>
      <c r="M878" s="124"/>
      <c r="N878" s="124"/>
      <c r="O878" s="124"/>
      <c r="P878" s="124"/>
      <c r="Q878" s="124"/>
      <c r="R878" s="124"/>
      <c r="S878" s="124"/>
      <c r="T878" s="124"/>
      <c r="U878" s="124"/>
      <c r="V878" s="124"/>
      <c r="W878" s="124"/>
      <c r="X878" s="124"/>
    </row>
    <row r="879">
      <c r="A879" s="216"/>
      <c r="B879" s="124"/>
      <c r="C879" s="124"/>
      <c r="D879" s="124"/>
      <c r="E879" s="124"/>
      <c r="F879" s="124"/>
      <c r="G879" s="124"/>
      <c r="H879" s="124"/>
      <c r="I879" s="217" t="str">
        <f>IFERROR(__xludf.DUMMYFUNCTION("""COMPUTED_VALUE"""),"")</f>
        <v/>
      </c>
      <c r="J879" s="219"/>
      <c r="K879" s="219"/>
      <c r="L879" s="124"/>
      <c r="M879" s="124"/>
      <c r="N879" s="124"/>
      <c r="O879" s="124"/>
      <c r="P879" s="124"/>
      <c r="Q879" s="124"/>
      <c r="R879" s="124"/>
      <c r="S879" s="124"/>
      <c r="T879" s="124"/>
      <c r="U879" s="124"/>
      <c r="V879" s="124"/>
      <c r="W879" s="124"/>
      <c r="X879" s="124"/>
    </row>
    <row r="880">
      <c r="A880" s="216"/>
      <c r="B880" s="124"/>
      <c r="C880" s="124"/>
      <c r="D880" s="124"/>
      <c r="E880" s="124"/>
      <c r="F880" s="124"/>
      <c r="G880" s="124"/>
      <c r="H880" s="124"/>
      <c r="I880" s="217" t="str">
        <f>IFERROR(__xludf.DUMMYFUNCTION("""COMPUTED_VALUE"""),"")</f>
        <v/>
      </c>
      <c r="J880" s="219"/>
      <c r="K880" s="219"/>
      <c r="L880" s="124"/>
      <c r="M880" s="124"/>
      <c r="N880" s="124"/>
      <c r="O880" s="124"/>
      <c r="P880" s="124"/>
      <c r="Q880" s="124"/>
      <c r="R880" s="124"/>
      <c r="S880" s="124"/>
      <c r="T880" s="124"/>
      <c r="U880" s="124"/>
      <c r="V880" s="124"/>
      <c r="W880" s="124"/>
      <c r="X880" s="124"/>
    </row>
    <row r="881">
      <c r="A881" s="216"/>
      <c r="B881" s="124"/>
      <c r="C881" s="124"/>
      <c r="D881" s="124"/>
      <c r="E881" s="124"/>
      <c r="F881" s="124"/>
      <c r="G881" s="124"/>
      <c r="H881" s="124"/>
      <c r="I881" s="217" t="str">
        <f>IFERROR(__xludf.DUMMYFUNCTION("""COMPUTED_VALUE"""),"")</f>
        <v/>
      </c>
      <c r="J881" s="219"/>
      <c r="K881" s="219"/>
      <c r="L881" s="124"/>
      <c r="M881" s="124"/>
      <c r="N881" s="124"/>
      <c r="O881" s="124"/>
      <c r="P881" s="124"/>
      <c r="Q881" s="124"/>
      <c r="R881" s="124"/>
      <c r="S881" s="124"/>
      <c r="T881" s="124"/>
      <c r="U881" s="124"/>
      <c r="V881" s="124"/>
      <c r="W881" s="124"/>
      <c r="X881" s="124"/>
    </row>
    <row r="882">
      <c r="A882" s="216"/>
      <c r="B882" s="124"/>
      <c r="C882" s="124"/>
      <c r="D882" s="124"/>
      <c r="E882" s="124"/>
      <c r="F882" s="124"/>
      <c r="G882" s="124"/>
      <c r="H882" s="124"/>
      <c r="I882" s="217" t="str">
        <f>IFERROR(__xludf.DUMMYFUNCTION("""COMPUTED_VALUE"""),"")</f>
        <v/>
      </c>
      <c r="J882" s="219"/>
      <c r="K882" s="219"/>
      <c r="L882" s="124"/>
      <c r="M882" s="124"/>
      <c r="N882" s="124"/>
      <c r="O882" s="124"/>
      <c r="P882" s="124"/>
      <c r="Q882" s="124"/>
      <c r="R882" s="124"/>
      <c r="S882" s="124"/>
      <c r="T882" s="124"/>
      <c r="U882" s="124"/>
      <c r="V882" s="124"/>
      <c r="W882" s="124"/>
      <c r="X882" s="124"/>
    </row>
    <row r="883">
      <c r="A883" s="216"/>
      <c r="B883" s="124"/>
      <c r="C883" s="124"/>
      <c r="D883" s="124"/>
      <c r="E883" s="124"/>
      <c r="F883" s="124"/>
      <c r="G883" s="124"/>
      <c r="H883" s="124"/>
      <c r="I883" s="217" t="str">
        <f>IFERROR(__xludf.DUMMYFUNCTION("""COMPUTED_VALUE"""),"")</f>
        <v/>
      </c>
      <c r="J883" s="219"/>
      <c r="K883" s="219"/>
      <c r="L883" s="124"/>
      <c r="M883" s="124"/>
      <c r="N883" s="124"/>
      <c r="O883" s="124"/>
      <c r="P883" s="124"/>
      <c r="Q883" s="124"/>
      <c r="R883" s="124"/>
      <c r="S883" s="124"/>
      <c r="T883" s="124"/>
      <c r="U883" s="124"/>
      <c r="V883" s="124"/>
      <c r="W883" s="124"/>
      <c r="X883" s="124"/>
    </row>
    <row r="884">
      <c r="A884" s="216"/>
      <c r="B884" s="124"/>
      <c r="C884" s="124"/>
      <c r="D884" s="124"/>
      <c r="E884" s="124"/>
      <c r="F884" s="124"/>
      <c r="G884" s="124"/>
      <c r="H884" s="124"/>
      <c r="I884" s="217" t="str">
        <f>IFERROR(__xludf.DUMMYFUNCTION("""COMPUTED_VALUE"""),"")</f>
        <v/>
      </c>
      <c r="J884" s="219"/>
      <c r="K884" s="219"/>
      <c r="L884" s="124"/>
      <c r="M884" s="124"/>
      <c r="N884" s="124"/>
      <c r="O884" s="124"/>
      <c r="P884" s="124"/>
      <c r="Q884" s="124"/>
      <c r="R884" s="124"/>
      <c r="S884" s="124"/>
      <c r="T884" s="124"/>
      <c r="U884" s="124"/>
      <c r="V884" s="124"/>
      <c r="W884" s="124"/>
      <c r="X884" s="124"/>
    </row>
    <row r="885">
      <c r="A885" s="216"/>
      <c r="B885" s="124"/>
      <c r="C885" s="124"/>
      <c r="D885" s="124"/>
      <c r="E885" s="124"/>
      <c r="F885" s="124"/>
      <c r="G885" s="124"/>
      <c r="H885" s="124"/>
      <c r="I885" s="217" t="str">
        <f>IFERROR(__xludf.DUMMYFUNCTION("""COMPUTED_VALUE"""),"")</f>
        <v/>
      </c>
      <c r="J885" s="219"/>
      <c r="K885" s="219"/>
      <c r="L885" s="124"/>
      <c r="M885" s="124"/>
      <c r="N885" s="124"/>
      <c r="O885" s="124"/>
      <c r="P885" s="124"/>
      <c r="Q885" s="124"/>
      <c r="R885" s="124"/>
      <c r="S885" s="124"/>
      <c r="T885" s="124"/>
      <c r="U885" s="124"/>
      <c r="V885" s="124"/>
      <c r="W885" s="124"/>
      <c r="X885" s="124"/>
    </row>
    <row r="886">
      <c r="A886" s="216"/>
      <c r="B886" s="124"/>
      <c r="C886" s="124"/>
      <c r="D886" s="124"/>
      <c r="E886" s="124"/>
      <c r="F886" s="124"/>
      <c r="G886" s="124"/>
      <c r="H886" s="124"/>
      <c r="I886" s="217" t="str">
        <f>IFERROR(__xludf.DUMMYFUNCTION("""COMPUTED_VALUE"""),"")</f>
        <v/>
      </c>
      <c r="J886" s="219"/>
      <c r="K886" s="219"/>
      <c r="L886" s="124"/>
      <c r="M886" s="124"/>
      <c r="N886" s="124"/>
      <c r="O886" s="124"/>
      <c r="P886" s="124"/>
      <c r="Q886" s="124"/>
      <c r="R886" s="124"/>
      <c r="S886" s="124"/>
      <c r="T886" s="124"/>
      <c r="U886" s="124"/>
      <c r="V886" s="124"/>
      <c r="W886" s="124"/>
      <c r="X886" s="124"/>
    </row>
    <row r="887">
      <c r="A887" s="216"/>
      <c r="B887" s="124"/>
      <c r="C887" s="124"/>
      <c r="D887" s="124"/>
      <c r="E887" s="124"/>
      <c r="F887" s="124"/>
      <c r="G887" s="124"/>
      <c r="H887" s="124"/>
      <c r="I887" s="217" t="str">
        <f>IFERROR(__xludf.DUMMYFUNCTION("""COMPUTED_VALUE"""),"")</f>
        <v/>
      </c>
      <c r="J887" s="219"/>
      <c r="K887" s="219"/>
      <c r="L887" s="124"/>
      <c r="M887" s="124"/>
      <c r="N887" s="124"/>
      <c r="O887" s="124"/>
      <c r="P887" s="124"/>
      <c r="Q887" s="124"/>
      <c r="R887" s="124"/>
      <c r="S887" s="124"/>
      <c r="T887" s="124"/>
      <c r="U887" s="124"/>
      <c r="V887" s="124"/>
      <c r="W887" s="124"/>
      <c r="X887" s="124"/>
    </row>
    <row r="888">
      <c r="A888" s="216"/>
      <c r="B888" s="124"/>
      <c r="C888" s="124"/>
      <c r="D888" s="124"/>
      <c r="E888" s="124"/>
      <c r="F888" s="124"/>
      <c r="G888" s="124"/>
      <c r="H888" s="124"/>
      <c r="I888" s="217" t="str">
        <f>IFERROR(__xludf.DUMMYFUNCTION("""COMPUTED_VALUE"""),"")</f>
        <v/>
      </c>
      <c r="J888" s="219"/>
      <c r="K888" s="219"/>
      <c r="L888" s="124"/>
      <c r="M888" s="124"/>
      <c r="N888" s="124"/>
      <c r="O888" s="124"/>
      <c r="P888" s="124"/>
      <c r="Q888" s="124"/>
      <c r="R888" s="124"/>
      <c r="S888" s="124"/>
      <c r="T888" s="124"/>
      <c r="U888" s="124"/>
      <c r="V888" s="124"/>
      <c r="W888" s="124"/>
      <c r="X888" s="124"/>
    </row>
    <row r="889">
      <c r="A889" s="216"/>
      <c r="B889" s="124"/>
      <c r="C889" s="124"/>
      <c r="D889" s="124"/>
      <c r="E889" s="124"/>
      <c r="F889" s="124"/>
      <c r="G889" s="124"/>
      <c r="H889" s="124"/>
      <c r="I889" s="217" t="str">
        <f>IFERROR(__xludf.DUMMYFUNCTION("""COMPUTED_VALUE"""),"")</f>
        <v/>
      </c>
      <c r="J889" s="219"/>
      <c r="K889" s="219"/>
      <c r="L889" s="124"/>
      <c r="M889" s="124"/>
      <c r="N889" s="124"/>
      <c r="O889" s="124"/>
      <c r="P889" s="124"/>
      <c r="Q889" s="124"/>
      <c r="R889" s="124"/>
      <c r="S889" s="124"/>
      <c r="T889" s="124"/>
      <c r="U889" s="124"/>
      <c r="V889" s="124"/>
      <c r="W889" s="124"/>
      <c r="X889" s="124"/>
    </row>
    <row r="890">
      <c r="A890" s="216"/>
      <c r="B890" s="124"/>
      <c r="C890" s="124"/>
      <c r="D890" s="124"/>
      <c r="E890" s="124"/>
      <c r="F890" s="124"/>
      <c r="G890" s="124"/>
      <c r="H890" s="124"/>
      <c r="I890" s="217" t="str">
        <f>IFERROR(__xludf.DUMMYFUNCTION("""COMPUTED_VALUE"""),"")</f>
        <v/>
      </c>
      <c r="J890" s="219"/>
      <c r="K890" s="219"/>
      <c r="L890" s="124"/>
      <c r="M890" s="124"/>
      <c r="N890" s="124"/>
      <c r="O890" s="124"/>
      <c r="P890" s="124"/>
      <c r="Q890" s="124"/>
      <c r="R890" s="124"/>
      <c r="S890" s="124"/>
      <c r="T890" s="124"/>
      <c r="U890" s="124"/>
      <c r="V890" s="124"/>
      <c r="W890" s="124"/>
      <c r="X890" s="124"/>
    </row>
    <row r="891">
      <c r="A891" s="216"/>
      <c r="B891" s="124"/>
      <c r="C891" s="124"/>
      <c r="D891" s="124"/>
      <c r="E891" s="124"/>
      <c r="F891" s="124"/>
      <c r="G891" s="124"/>
      <c r="H891" s="124"/>
      <c r="I891" s="217" t="str">
        <f>IFERROR(__xludf.DUMMYFUNCTION("""COMPUTED_VALUE"""),"")</f>
        <v/>
      </c>
      <c r="J891" s="219"/>
      <c r="K891" s="219"/>
      <c r="L891" s="124"/>
      <c r="M891" s="124"/>
      <c r="N891" s="124"/>
      <c r="O891" s="124"/>
      <c r="P891" s="124"/>
      <c r="Q891" s="124"/>
      <c r="R891" s="124"/>
      <c r="S891" s="124"/>
      <c r="T891" s="124"/>
      <c r="U891" s="124"/>
      <c r="V891" s="124"/>
      <c r="W891" s="124"/>
      <c r="X891" s="124"/>
    </row>
    <row r="892">
      <c r="A892" s="216"/>
      <c r="B892" s="124"/>
      <c r="C892" s="124"/>
      <c r="D892" s="124"/>
      <c r="E892" s="124"/>
      <c r="F892" s="124"/>
      <c r="G892" s="124"/>
      <c r="H892" s="124"/>
      <c r="I892" s="217" t="str">
        <f>IFERROR(__xludf.DUMMYFUNCTION("""COMPUTED_VALUE"""),"")</f>
        <v/>
      </c>
      <c r="J892" s="219"/>
      <c r="K892" s="219"/>
      <c r="L892" s="124"/>
      <c r="M892" s="124"/>
      <c r="N892" s="124"/>
      <c r="O892" s="124"/>
      <c r="P892" s="124"/>
      <c r="Q892" s="124"/>
      <c r="R892" s="124"/>
      <c r="S892" s="124"/>
      <c r="T892" s="124"/>
      <c r="U892" s="124"/>
      <c r="V892" s="124"/>
      <c r="W892" s="124"/>
      <c r="X892" s="124"/>
    </row>
    <row r="893">
      <c r="A893" s="216"/>
      <c r="B893" s="124"/>
      <c r="C893" s="124"/>
      <c r="D893" s="124"/>
      <c r="E893" s="124"/>
      <c r="F893" s="124"/>
      <c r="G893" s="124"/>
      <c r="H893" s="124"/>
      <c r="I893" s="217" t="str">
        <f>IFERROR(__xludf.DUMMYFUNCTION("""COMPUTED_VALUE"""),"")</f>
        <v/>
      </c>
      <c r="J893" s="219"/>
      <c r="K893" s="219"/>
      <c r="L893" s="124"/>
      <c r="M893" s="124"/>
      <c r="N893" s="124"/>
      <c r="O893" s="124"/>
      <c r="P893" s="124"/>
      <c r="Q893" s="124"/>
      <c r="R893" s="124"/>
      <c r="S893" s="124"/>
      <c r="T893" s="124"/>
      <c r="U893" s="124"/>
      <c r="V893" s="124"/>
      <c r="W893" s="124"/>
      <c r="X893" s="124"/>
    </row>
    <row r="894">
      <c r="A894" s="216"/>
      <c r="B894" s="124"/>
      <c r="C894" s="124"/>
      <c r="D894" s="124"/>
      <c r="E894" s="124"/>
      <c r="F894" s="124"/>
      <c r="G894" s="124"/>
      <c r="H894" s="124"/>
      <c r="I894" s="217" t="str">
        <f>IFERROR(__xludf.DUMMYFUNCTION("""COMPUTED_VALUE"""),"")</f>
        <v/>
      </c>
      <c r="J894" s="219"/>
      <c r="K894" s="219"/>
      <c r="L894" s="124"/>
      <c r="M894" s="124"/>
      <c r="N894" s="124"/>
      <c r="O894" s="124"/>
      <c r="P894" s="124"/>
      <c r="Q894" s="124"/>
      <c r="R894" s="124"/>
      <c r="S894" s="124"/>
      <c r="T894" s="124"/>
      <c r="U894" s="124"/>
      <c r="V894" s="124"/>
      <c r="W894" s="124"/>
      <c r="X894" s="124"/>
    </row>
    <row r="895">
      <c r="A895" s="216"/>
      <c r="B895" s="124"/>
      <c r="C895" s="124"/>
      <c r="D895" s="124"/>
      <c r="E895" s="124"/>
      <c r="F895" s="124"/>
      <c r="G895" s="124"/>
      <c r="H895" s="124"/>
      <c r="I895" s="217" t="str">
        <f>IFERROR(__xludf.DUMMYFUNCTION("""COMPUTED_VALUE"""),"")</f>
        <v/>
      </c>
      <c r="J895" s="219"/>
      <c r="K895" s="219"/>
      <c r="L895" s="124"/>
      <c r="M895" s="124"/>
      <c r="N895" s="124"/>
      <c r="O895" s="124"/>
      <c r="P895" s="124"/>
      <c r="Q895" s="124"/>
      <c r="R895" s="124"/>
      <c r="S895" s="124"/>
      <c r="T895" s="124"/>
      <c r="U895" s="124"/>
      <c r="V895" s="124"/>
      <c r="W895" s="124"/>
      <c r="X895" s="124"/>
    </row>
    <row r="896">
      <c r="A896" s="216"/>
      <c r="B896" s="124"/>
      <c r="C896" s="124"/>
      <c r="D896" s="124"/>
      <c r="E896" s="124"/>
      <c r="F896" s="124"/>
      <c r="G896" s="124"/>
      <c r="H896" s="124"/>
      <c r="I896" s="217" t="str">
        <f>IFERROR(__xludf.DUMMYFUNCTION("""COMPUTED_VALUE"""),"")</f>
        <v/>
      </c>
      <c r="J896" s="219"/>
      <c r="K896" s="219"/>
      <c r="L896" s="124"/>
      <c r="M896" s="124"/>
      <c r="N896" s="124"/>
      <c r="O896" s="124"/>
      <c r="P896" s="124"/>
      <c r="Q896" s="124"/>
      <c r="R896" s="124"/>
      <c r="S896" s="124"/>
      <c r="T896" s="124"/>
      <c r="U896" s="124"/>
      <c r="V896" s="124"/>
      <c r="W896" s="124"/>
      <c r="X896" s="124"/>
    </row>
    <row r="897">
      <c r="A897" s="216"/>
      <c r="B897" s="124"/>
      <c r="C897" s="124"/>
      <c r="D897" s="124"/>
      <c r="E897" s="124"/>
      <c r="F897" s="124"/>
      <c r="G897" s="124"/>
      <c r="H897" s="124"/>
      <c r="I897" s="217" t="str">
        <f>IFERROR(__xludf.DUMMYFUNCTION("""COMPUTED_VALUE"""),"")</f>
        <v/>
      </c>
      <c r="J897" s="219"/>
      <c r="K897" s="219"/>
      <c r="L897" s="124"/>
      <c r="M897" s="124"/>
      <c r="N897" s="124"/>
      <c r="O897" s="124"/>
      <c r="P897" s="124"/>
      <c r="Q897" s="124"/>
      <c r="R897" s="124"/>
      <c r="S897" s="124"/>
      <c r="T897" s="124"/>
      <c r="U897" s="124"/>
      <c r="V897" s="124"/>
      <c r="W897" s="124"/>
      <c r="X897" s="124"/>
    </row>
    <row r="898">
      <c r="A898" s="216"/>
      <c r="B898" s="124"/>
      <c r="C898" s="124"/>
      <c r="D898" s="124"/>
      <c r="E898" s="124"/>
      <c r="F898" s="124"/>
      <c r="G898" s="124"/>
      <c r="H898" s="124"/>
      <c r="I898" s="217" t="str">
        <f>IFERROR(__xludf.DUMMYFUNCTION("""COMPUTED_VALUE"""),"")</f>
        <v/>
      </c>
      <c r="J898" s="219"/>
      <c r="K898" s="219"/>
      <c r="L898" s="124"/>
      <c r="M898" s="124"/>
      <c r="N898" s="124"/>
      <c r="O898" s="124"/>
      <c r="P898" s="124"/>
      <c r="Q898" s="124"/>
      <c r="R898" s="124"/>
      <c r="S898" s="124"/>
      <c r="T898" s="124"/>
      <c r="U898" s="124"/>
      <c r="V898" s="124"/>
      <c r="W898" s="124"/>
      <c r="X898" s="124"/>
    </row>
    <row r="899">
      <c r="A899" s="216"/>
      <c r="B899" s="124"/>
      <c r="C899" s="124"/>
      <c r="D899" s="124"/>
      <c r="E899" s="124"/>
      <c r="F899" s="124"/>
      <c r="G899" s="124"/>
      <c r="H899" s="124"/>
      <c r="I899" s="217" t="str">
        <f>IFERROR(__xludf.DUMMYFUNCTION("""COMPUTED_VALUE"""),"")</f>
        <v/>
      </c>
      <c r="J899" s="219"/>
      <c r="K899" s="219"/>
      <c r="L899" s="124"/>
      <c r="M899" s="124"/>
      <c r="N899" s="124"/>
      <c r="O899" s="124"/>
      <c r="P899" s="124"/>
      <c r="Q899" s="124"/>
      <c r="R899" s="124"/>
      <c r="S899" s="124"/>
      <c r="T899" s="124"/>
      <c r="U899" s="124"/>
      <c r="V899" s="124"/>
      <c r="W899" s="124"/>
      <c r="X899" s="124"/>
    </row>
    <row r="900">
      <c r="A900" s="216"/>
      <c r="B900" s="124"/>
      <c r="C900" s="124"/>
      <c r="D900" s="124"/>
      <c r="E900" s="124"/>
      <c r="F900" s="124"/>
      <c r="G900" s="124"/>
      <c r="H900" s="124"/>
      <c r="I900" s="217" t="str">
        <f>IFERROR(__xludf.DUMMYFUNCTION("""COMPUTED_VALUE"""),"")</f>
        <v/>
      </c>
      <c r="J900" s="219"/>
      <c r="K900" s="219"/>
      <c r="L900" s="124"/>
      <c r="M900" s="124"/>
      <c r="N900" s="124"/>
      <c r="O900" s="124"/>
      <c r="P900" s="124"/>
      <c r="Q900" s="124"/>
      <c r="R900" s="124"/>
      <c r="S900" s="124"/>
      <c r="T900" s="124"/>
      <c r="U900" s="124"/>
      <c r="V900" s="124"/>
      <c r="W900" s="124"/>
      <c r="X900" s="124"/>
    </row>
    <row r="901">
      <c r="A901" s="216"/>
      <c r="B901" s="124"/>
      <c r="C901" s="124"/>
      <c r="D901" s="124"/>
      <c r="E901" s="124"/>
      <c r="F901" s="124"/>
      <c r="G901" s="124"/>
      <c r="H901" s="124"/>
      <c r="I901" s="217" t="str">
        <f>IFERROR(__xludf.DUMMYFUNCTION("""COMPUTED_VALUE"""),"")</f>
        <v/>
      </c>
      <c r="J901" s="219"/>
      <c r="K901" s="219"/>
      <c r="L901" s="124"/>
      <c r="M901" s="124"/>
      <c r="N901" s="124"/>
      <c r="O901" s="124"/>
      <c r="P901" s="124"/>
      <c r="Q901" s="124"/>
      <c r="R901" s="124"/>
      <c r="S901" s="124"/>
      <c r="T901" s="124"/>
      <c r="U901" s="124"/>
      <c r="V901" s="124"/>
      <c r="W901" s="124"/>
      <c r="X901" s="124"/>
    </row>
    <row r="902">
      <c r="A902" s="216"/>
      <c r="B902" s="124"/>
      <c r="C902" s="124"/>
      <c r="D902" s="124"/>
      <c r="E902" s="124"/>
      <c r="F902" s="124"/>
      <c r="G902" s="124"/>
      <c r="H902" s="124"/>
      <c r="I902" s="217" t="str">
        <f>IFERROR(__xludf.DUMMYFUNCTION("""COMPUTED_VALUE"""),"")</f>
        <v/>
      </c>
      <c r="J902" s="219"/>
      <c r="K902" s="219"/>
      <c r="L902" s="124"/>
      <c r="M902" s="124"/>
      <c r="N902" s="124"/>
      <c r="O902" s="124"/>
      <c r="P902" s="124"/>
      <c r="Q902" s="124"/>
      <c r="R902" s="124"/>
      <c r="S902" s="124"/>
      <c r="T902" s="124"/>
      <c r="U902" s="124"/>
      <c r="V902" s="124"/>
      <c r="W902" s="124"/>
      <c r="X902" s="124"/>
    </row>
    <row r="903">
      <c r="A903" s="216"/>
      <c r="B903" s="124"/>
      <c r="C903" s="124"/>
      <c r="D903" s="124"/>
      <c r="E903" s="124"/>
      <c r="F903" s="124"/>
      <c r="G903" s="124"/>
      <c r="H903" s="124"/>
      <c r="I903" s="217" t="str">
        <f>IFERROR(__xludf.DUMMYFUNCTION("""COMPUTED_VALUE"""),"")</f>
        <v/>
      </c>
      <c r="J903" s="219"/>
      <c r="K903" s="219"/>
      <c r="L903" s="124"/>
      <c r="M903" s="124"/>
      <c r="N903" s="124"/>
      <c r="O903" s="124"/>
      <c r="P903" s="124"/>
      <c r="Q903" s="124"/>
      <c r="R903" s="124"/>
      <c r="S903" s="124"/>
      <c r="T903" s="124"/>
      <c r="U903" s="124"/>
      <c r="V903" s="124"/>
      <c r="W903" s="124"/>
      <c r="X903" s="124"/>
    </row>
    <row r="904">
      <c r="A904" s="216"/>
      <c r="B904" s="124"/>
      <c r="C904" s="124"/>
      <c r="D904" s="124"/>
      <c r="E904" s="124"/>
      <c r="F904" s="124"/>
      <c r="G904" s="124"/>
      <c r="H904" s="124"/>
      <c r="I904" s="217" t="str">
        <f>IFERROR(__xludf.DUMMYFUNCTION("""COMPUTED_VALUE"""),"")</f>
        <v/>
      </c>
      <c r="J904" s="219"/>
      <c r="K904" s="219"/>
      <c r="L904" s="124"/>
      <c r="M904" s="124"/>
      <c r="N904" s="124"/>
      <c r="O904" s="124"/>
      <c r="P904" s="124"/>
      <c r="Q904" s="124"/>
      <c r="R904" s="124"/>
      <c r="S904" s="124"/>
      <c r="T904" s="124"/>
      <c r="U904" s="124"/>
      <c r="V904" s="124"/>
      <c r="W904" s="124"/>
      <c r="X904" s="124"/>
    </row>
    <row r="905">
      <c r="A905" s="216"/>
      <c r="B905" s="124"/>
      <c r="C905" s="124"/>
      <c r="D905" s="124"/>
      <c r="E905" s="124"/>
      <c r="F905" s="124"/>
      <c r="G905" s="124"/>
      <c r="H905" s="124"/>
      <c r="I905" s="217" t="str">
        <f>IFERROR(__xludf.DUMMYFUNCTION("""COMPUTED_VALUE"""),"")</f>
        <v/>
      </c>
      <c r="J905" s="219"/>
      <c r="K905" s="219"/>
      <c r="L905" s="124"/>
      <c r="M905" s="124"/>
      <c r="N905" s="124"/>
      <c r="O905" s="124"/>
      <c r="P905" s="124"/>
      <c r="Q905" s="124"/>
      <c r="R905" s="124"/>
      <c r="S905" s="124"/>
      <c r="T905" s="124"/>
      <c r="U905" s="124"/>
      <c r="V905" s="124"/>
      <c r="W905" s="124"/>
      <c r="X905" s="124"/>
    </row>
    <row r="906">
      <c r="A906" s="216"/>
      <c r="B906" s="124"/>
      <c r="C906" s="124"/>
      <c r="D906" s="124"/>
      <c r="E906" s="124"/>
      <c r="F906" s="124"/>
      <c r="G906" s="124"/>
      <c r="H906" s="124"/>
      <c r="I906" s="217" t="str">
        <f>IFERROR(__xludf.DUMMYFUNCTION("""COMPUTED_VALUE"""),"")</f>
        <v/>
      </c>
      <c r="J906" s="219"/>
      <c r="K906" s="219"/>
      <c r="L906" s="124"/>
      <c r="M906" s="124"/>
      <c r="N906" s="124"/>
      <c r="O906" s="124"/>
      <c r="P906" s="124"/>
      <c r="Q906" s="124"/>
      <c r="R906" s="124"/>
      <c r="S906" s="124"/>
      <c r="T906" s="124"/>
      <c r="U906" s="124"/>
      <c r="V906" s="124"/>
      <c r="W906" s="124"/>
      <c r="X906" s="124"/>
    </row>
    <row r="907">
      <c r="A907" s="216"/>
      <c r="B907" s="124"/>
      <c r="C907" s="124"/>
      <c r="D907" s="124"/>
      <c r="E907" s="124"/>
      <c r="F907" s="124"/>
      <c r="G907" s="124"/>
      <c r="H907" s="124"/>
      <c r="I907" s="217" t="str">
        <f>IFERROR(__xludf.DUMMYFUNCTION("""COMPUTED_VALUE"""),"")</f>
        <v/>
      </c>
      <c r="J907" s="219"/>
      <c r="K907" s="219"/>
      <c r="L907" s="124"/>
      <c r="M907" s="124"/>
      <c r="N907" s="124"/>
      <c r="O907" s="124"/>
      <c r="P907" s="124"/>
      <c r="Q907" s="124"/>
      <c r="R907" s="124"/>
      <c r="S907" s="124"/>
      <c r="T907" s="124"/>
      <c r="U907" s="124"/>
      <c r="V907" s="124"/>
      <c r="W907" s="124"/>
      <c r="X907" s="124"/>
    </row>
    <row r="908">
      <c r="A908" s="216"/>
      <c r="B908" s="124"/>
      <c r="C908" s="124"/>
      <c r="D908" s="124"/>
      <c r="E908" s="124"/>
      <c r="F908" s="124"/>
      <c r="G908" s="124"/>
      <c r="H908" s="124"/>
      <c r="I908" s="217" t="str">
        <f>IFERROR(__xludf.DUMMYFUNCTION("""COMPUTED_VALUE"""),"")</f>
        <v/>
      </c>
      <c r="J908" s="219"/>
      <c r="K908" s="219"/>
      <c r="L908" s="124"/>
      <c r="M908" s="124"/>
      <c r="N908" s="124"/>
      <c r="O908" s="124"/>
      <c r="P908" s="124"/>
      <c r="Q908" s="124"/>
      <c r="R908" s="124"/>
      <c r="S908" s="124"/>
      <c r="T908" s="124"/>
      <c r="U908" s="124"/>
      <c r="V908" s="124"/>
      <c r="W908" s="124"/>
      <c r="X908" s="124"/>
    </row>
    <row r="909">
      <c r="A909" s="216"/>
      <c r="B909" s="124"/>
      <c r="C909" s="124"/>
      <c r="D909" s="124"/>
      <c r="E909" s="124"/>
      <c r="F909" s="124"/>
      <c r="G909" s="124"/>
      <c r="H909" s="124"/>
      <c r="I909" s="217" t="str">
        <f>IFERROR(__xludf.DUMMYFUNCTION("""COMPUTED_VALUE"""),"")</f>
        <v/>
      </c>
      <c r="J909" s="219"/>
      <c r="K909" s="219"/>
      <c r="L909" s="124"/>
      <c r="M909" s="124"/>
      <c r="N909" s="124"/>
      <c r="O909" s="124"/>
      <c r="P909" s="124"/>
      <c r="Q909" s="124"/>
      <c r="R909" s="124"/>
      <c r="S909" s="124"/>
      <c r="T909" s="124"/>
      <c r="U909" s="124"/>
      <c r="V909" s="124"/>
      <c r="W909" s="124"/>
      <c r="X909" s="124"/>
    </row>
    <row r="910">
      <c r="A910" s="216"/>
      <c r="B910" s="124"/>
      <c r="C910" s="124"/>
      <c r="D910" s="124"/>
      <c r="E910" s="124"/>
      <c r="F910" s="124"/>
      <c r="G910" s="124"/>
      <c r="H910" s="124"/>
      <c r="I910" s="217" t="str">
        <f>IFERROR(__xludf.DUMMYFUNCTION("""COMPUTED_VALUE"""),"")</f>
        <v/>
      </c>
      <c r="J910" s="219"/>
      <c r="K910" s="219"/>
      <c r="L910" s="124"/>
      <c r="M910" s="124"/>
      <c r="N910" s="124"/>
      <c r="O910" s="124"/>
      <c r="P910" s="124"/>
      <c r="Q910" s="124"/>
      <c r="R910" s="124"/>
      <c r="S910" s="124"/>
      <c r="T910" s="124"/>
      <c r="U910" s="124"/>
      <c r="V910" s="124"/>
      <c r="W910" s="124"/>
      <c r="X910" s="124"/>
    </row>
    <row r="911">
      <c r="A911" s="216"/>
      <c r="B911" s="124"/>
      <c r="C911" s="124"/>
      <c r="D911" s="124"/>
      <c r="E911" s="124"/>
      <c r="F911" s="124"/>
      <c r="G911" s="124"/>
      <c r="H911" s="124"/>
      <c r="I911" s="217" t="str">
        <f>IFERROR(__xludf.DUMMYFUNCTION("""COMPUTED_VALUE"""),"")</f>
        <v/>
      </c>
      <c r="J911" s="219"/>
      <c r="K911" s="219"/>
      <c r="L911" s="124"/>
      <c r="M911" s="124"/>
      <c r="N911" s="124"/>
      <c r="O911" s="124"/>
      <c r="P911" s="124"/>
      <c r="Q911" s="124"/>
      <c r="R911" s="124"/>
      <c r="S911" s="124"/>
      <c r="T911" s="124"/>
      <c r="U911" s="124"/>
      <c r="V911" s="124"/>
      <c r="W911" s="124"/>
      <c r="X911" s="124"/>
    </row>
    <row r="912">
      <c r="A912" s="216"/>
      <c r="B912" s="124"/>
      <c r="C912" s="124"/>
      <c r="D912" s="124"/>
      <c r="E912" s="124"/>
      <c r="F912" s="124"/>
      <c r="G912" s="124"/>
      <c r="H912" s="124"/>
      <c r="I912" s="217" t="str">
        <f>IFERROR(__xludf.DUMMYFUNCTION("""COMPUTED_VALUE"""),"")</f>
        <v/>
      </c>
      <c r="J912" s="219"/>
      <c r="K912" s="219"/>
      <c r="L912" s="124"/>
      <c r="M912" s="124"/>
      <c r="N912" s="124"/>
      <c r="O912" s="124"/>
      <c r="P912" s="124"/>
      <c r="Q912" s="124"/>
      <c r="R912" s="124"/>
      <c r="S912" s="124"/>
      <c r="T912" s="124"/>
      <c r="U912" s="124"/>
      <c r="V912" s="124"/>
      <c r="W912" s="124"/>
      <c r="X912" s="124"/>
    </row>
    <row r="913">
      <c r="A913" s="216"/>
      <c r="B913" s="124"/>
      <c r="C913" s="124"/>
      <c r="D913" s="124"/>
      <c r="E913" s="124"/>
      <c r="F913" s="124"/>
      <c r="G913" s="124"/>
      <c r="H913" s="124"/>
      <c r="I913" s="217" t="str">
        <f>IFERROR(__xludf.DUMMYFUNCTION("""COMPUTED_VALUE"""),"")</f>
        <v/>
      </c>
      <c r="J913" s="219"/>
      <c r="K913" s="219"/>
      <c r="L913" s="124"/>
      <c r="M913" s="124"/>
      <c r="N913" s="124"/>
      <c r="O913" s="124"/>
      <c r="P913" s="124"/>
      <c r="Q913" s="124"/>
      <c r="R913" s="124"/>
      <c r="S913" s="124"/>
      <c r="T913" s="124"/>
      <c r="U913" s="124"/>
      <c r="V913" s="124"/>
      <c r="W913" s="124"/>
      <c r="X913" s="124"/>
    </row>
    <row r="914">
      <c r="A914" s="216"/>
      <c r="B914" s="124"/>
      <c r="C914" s="124"/>
      <c r="D914" s="124"/>
      <c r="E914" s="124"/>
      <c r="F914" s="124"/>
      <c r="G914" s="124"/>
      <c r="H914" s="124"/>
      <c r="I914" s="217" t="str">
        <f>IFERROR(__xludf.DUMMYFUNCTION("""COMPUTED_VALUE"""),"")</f>
        <v/>
      </c>
      <c r="J914" s="219"/>
      <c r="K914" s="219"/>
      <c r="L914" s="124"/>
      <c r="M914" s="124"/>
      <c r="N914" s="124"/>
      <c r="O914" s="124"/>
      <c r="P914" s="124"/>
      <c r="Q914" s="124"/>
      <c r="R914" s="124"/>
      <c r="S914" s="124"/>
      <c r="T914" s="124"/>
      <c r="U914" s="124"/>
      <c r="V914" s="124"/>
      <c r="W914" s="124"/>
      <c r="X914" s="124"/>
    </row>
    <row r="915">
      <c r="A915" s="216"/>
      <c r="B915" s="124"/>
      <c r="C915" s="124"/>
      <c r="D915" s="124"/>
      <c r="E915" s="124"/>
      <c r="F915" s="124"/>
      <c r="G915" s="124"/>
      <c r="H915" s="124"/>
      <c r="I915" s="217" t="str">
        <f>IFERROR(__xludf.DUMMYFUNCTION("""COMPUTED_VALUE"""),"")</f>
        <v/>
      </c>
      <c r="J915" s="219"/>
      <c r="K915" s="219"/>
      <c r="L915" s="124"/>
      <c r="M915" s="124"/>
      <c r="N915" s="124"/>
      <c r="O915" s="124"/>
      <c r="P915" s="124"/>
      <c r="Q915" s="124"/>
      <c r="R915" s="124"/>
      <c r="S915" s="124"/>
      <c r="T915" s="124"/>
      <c r="U915" s="124"/>
      <c r="V915" s="124"/>
      <c r="W915" s="124"/>
      <c r="X915" s="124"/>
    </row>
    <row r="916">
      <c r="A916" s="216"/>
      <c r="B916" s="124"/>
      <c r="C916" s="124"/>
      <c r="D916" s="124"/>
      <c r="E916" s="124"/>
      <c r="F916" s="124"/>
      <c r="G916" s="124"/>
      <c r="H916" s="124"/>
      <c r="I916" s="217" t="str">
        <f>IFERROR(__xludf.DUMMYFUNCTION("""COMPUTED_VALUE"""),"")</f>
        <v/>
      </c>
      <c r="J916" s="219"/>
      <c r="K916" s="219"/>
      <c r="L916" s="124"/>
      <c r="M916" s="124"/>
      <c r="N916" s="124"/>
      <c r="O916" s="124"/>
      <c r="P916" s="124"/>
      <c r="Q916" s="124"/>
      <c r="R916" s="124"/>
      <c r="S916" s="124"/>
      <c r="T916" s="124"/>
      <c r="U916" s="124"/>
      <c r="V916" s="124"/>
      <c r="W916" s="124"/>
      <c r="X916" s="124"/>
    </row>
    <row r="917">
      <c r="A917" s="216"/>
      <c r="B917" s="124"/>
      <c r="C917" s="124"/>
      <c r="D917" s="124"/>
      <c r="E917" s="124"/>
      <c r="F917" s="124"/>
      <c r="G917" s="124"/>
      <c r="H917" s="124"/>
      <c r="I917" s="217" t="str">
        <f>IFERROR(__xludf.DUMMYFUNCTION("""COMPUTED_VALUE"""),"")</f>
        <v/>
      </c>
      <c r="J917" s="219"/>
      <c r="K917" s="219"/>
      <c r="L917" s="124"/>
      <c r="M917" s="124"/>
      <c r="N917" s="124"/>
      <c r="O917" s="124"/>
      <c r="P917" s="124"/>
      <c r="Q917" s="124"/>
      <c r="R917" s="124"/>
      <c r="S917" s="124"/>
      <c r="T917" s="124"/>
      <c r="U917" s="124"/>
      <c r="V917" s="124"/>
      <c r="W917" s="124"/>
      <c r="X917" s="124"/>
    </row>
    <row r="918">
      <c r="A918" s="216"/>
      <c r="B918" s="124"/>
      <c r="C918" s="124"/>
      <c r="D918" s="124"/>
      <c r="E918" s="124"/>
      <c r="F918" s="124"/>
      <c r="G918" s="124"/>
      <c r="H918" s="124"/>
      <c r="I918" s="217" t="str">
        <f>IFERROR(__xludf.DUMMYFUNCTION("""COMPUTED_VALUE"""),"")</f>
        <v/>
      </c>
      <c r="J918" s="219"/>
      <c r="K918" s="219"/>
      <c r="L918" s="124"/>
      <c r="M918" s="124"/>
      <c r="N918" s="124"/>
      <c r="O918" s="124"/>
      <c r="P918" s="124"/>
      <c r="Q918" s="124"/>
      <c r="R918" s="124"/>
      <c r="S918" s="124"/>
      <c r="T918" s="124"/>
      <c r="U918" s="124"/>
      <c r="V918" s="124"/>
      <c r="W918" s="124"/>
      <c r="X918" s="124"/>
    </row>
    <row r="919">
      <c r="A919" s="216"/>
      <c r="B919" s="124"/>
      <c r="C919" s="124"/>
      <c r="D919" s="124"/>
      <c r="E919" s="124"/>
      <c r="F919" s="124"/>
      <c r="G919" s="124"/>
      <c r="H919" s="124"/>
      <c r="I919" s="217" t="str">
        <f>IFERROR(__xludf.DUMMYFUNCTION("""COMPUTED_VALUE"""),"")</f>
        <v/>
      </c>
      <c r="J919" s="219"/>
      <c r="K919" s="219"/>
      <c r="L919" s="124"/>
      <c r="M919" s="124"/>
      <c r="N919" s="124"/>
      <c r="O919" s="124"/>
      <c r="P919" s="124"/>
      <c r="Q919" s="124"/>
      <c r="R919" s="124"/>
      <c r="S919" s="124"/>
      <c r="T919" s="124"/>
      <c r="U919" s="124"/>
      <c r="V919" s="124"/>
      <c r="W919" s="124"/>
      <c r="X919" s="124"/>
    </row>
    <row r="920">
      <c r="A920" s="216"/>
      <c r="B920" s="124"/>
      <c r="C920" s="124"/>
      <c r="D920" s="124"/>
      <c r="E920" s="124"/>
      <c r="F920" s="124"/>
      <c r="G920" s="124"/>
      <c r="H920" s="124"/>
      <c r="I920" s="217" t="str">
        <f>IFERROR(__xludf.DUMMYFUNCTION("""COMPUTED_VALUE"""),"")</f>
        <v/>
      </c>
      <c r="J920" s="219"/>
      <c r="K920" s="219"/>
      <c r="L920" s="124"/>
      <c r="M920" s="124"/>
      <c r="N920" s="124"/>
      <c r="O920" s="124"/>
      <c r="P920" s="124"/>
      <c r="Q920" s="124"/>
      <c r="R920" s="124"/>
      <c r="S920" s="124"/>
      <c r="T920" s="124"/>
      <c r="U920" s="124"/>
      <c r="V920" s="124"/>
      <c r="W920" s="124"/>
      <c r="X920" s="124"/>
    </row>
    <row r="921">
      <c r="A921" s="216"/>
      <c r="B921" s="124"/>
      <c r="C921" s="124"/>
      <c r="D921" s="124"/>
      <c r="E921" s="124"/>
      <c r="F921" s="124"/>
      <c r="G921" s="124"/>
      <c r="H921" s="124"/>
      <c r="I921" s="217" t="str">
        <f>IFERROR(__xludf.DUMMYFUNCTION("""COMPUTED_VALUE"""),"")</f>
        <v/>
      </c>
      <c r="J921" s="219"/>
      <c r="K921" s="219"/>
      <c r="L921" s="124"/>
      <c r="M921" s="124"/>
      <c r="N921" s="124"/>
      <c r="O921" s="124"/>
      <c r="P921" s="124"/>
      <c r="Q921" s="124"/>
      <c r="R921" s="124"/>
      <c r="S921" s="124"/>
      <c r="T921" s="124"/>
      <c r="U921" s="124"/>
      <c r="V921" s="124"/>
      <c r="W921" s="124"/>
      <c r="X921" s="124"/>
    </row>
    <row r="922">
      <c r="A922" s="216"/>
      <c r="B922" s="124"/>
      <c r="C922" s="124"/>
      <c r="D922" s="124"/>
      <c r="E922" s="124"/>
      <c r="F922" s="124"/>
      <c r="G922" s="124"/>
      <c r="H922" s="124"/>
      <c r="I922" s="217" t="str">
        <f>IFERROR(__xludf.DUMMYFUNCTION("""COMPUTED_VALUE"""),"")</f>
        <v/>
      </c>
      <c r="J922" s="219"/>
      <c r="K922" s="219"/>
      <c r="L922" s="124"/>
      <c r="M922" s="124"/>
      <c r="N922" s="124"/>
      <c r="O922" s="124"/>
      <c r="P922" s="124"/>
      <c r="Q922" s="124"/>
      <c r="R922" s="124"/>
      <c r="S922" s="124"/>
      <c r="T922" s="124"/>
      <c r="U922" s="124"/>
      <c r="V922" s="124"/>
      <c r="W922" s="124"/>
      <c r="X922" s="124"/>
    </row>
    <row r="923">
      <c r="A923" s="216"/>
      <c r="B923" s="124"/>
      <c r="C923" s="124"/>
      <c r="D923" s="124"/>
      <c r="E923" s="124"/>
      <c r="F923" s="124"/>
      <c r="G923" s="124"/>
      <c r="H923" s="124"/>
      <c r="I923" s="217" t="str">
        <f>IFERROR(__xludf.DUMMYFUNCTION("""COMPUTED_VALUE"""),"")</f>
        <v/>
      </c>
      <c r="J923" s="219"/>
      <c r="K923" s="219"/>
      <c r="L923" s="124"/>
      <c r="M923" s="124"/>
      <c r="N923" s="124"/>
      <c r="O923" s="124"/>
      <c r="P923" s="124"/>
      <c r="Q923" s="124"/>
      <c r="R923" s="124"/>
      <c r="S923" s="124"/>
      <c r="T923" s="124"/>
      <c r="U923" s="124"/>
      <c r="V923" s="124"/>
      <c r="W923" s="124"/>
      <c r="X923" s="124"/>
    </row>
    <row r="924">
      <c r="A924" s="216"/>
      <c r="B924" s="124"/>
      <c r="C924" s="124"/>
      <c r="D924" s="124"/>
      <c r="E924" s="124"/>
      <c r="F924" s="124"/>
      <c r="G924" s="124"/>
      <c r="H924" s="124"/>
      <c r="I924" s="217" t="str">
        <f>IFERROR(__xludf.DUMMYFUNCTION("""COMPUTED_VALUE"""),"")</f>
        <v/>
      </c>
      <c r="J924" s="219"/>
      <c r="K924" s="219"/>
      <c r="L924" s="124"/>
      <c r="M924" s="124"/>
      <c r="N924" s="124"/>
      <c r="O924" s="124"/>
      <c r="P924" s="124"/>
      <c r="Q924" s="124"/>
      <c r="R924" s="124"/>
      <c r="S924" s="124"/>
      <c r="T924" s="124"/>
      <c r="U924" s="124"/>
      <c r="V924" s="124"/>
      <c r="W924" s="124"/>
      <c r="X924" s="124"/>
    </row>
    <row r="925">
      <c r="A925" s="216"/>
      <c r="B925" s="124"/>
      <c r="C925" s="124"/>
      <c r="D925" s="124"/>
      <c r="E925" s="124"/>
      <c r="F925" s="124"/>
      <c r="G925" s="124"/>
      <c r="H925" s="124"/>
      <c r="I925" s="217" t="str">
        <f>IFERROR(__xludf.DUMMYFUNCTION("""COMPUTED_VALUE"""),"")</f>
        <v/>
      </c>
      <c r="J925" s="219"/>
      <c r="K925" s="219"/>
      <c r="L925" s="124"/>
      <c r="M925" s="124"/>
      <c r="N925" s="124"/>
      <c r="O925" s="124"/>
      <c r="P925" s="124"/>
      <c r="Q925" s="124"/>
      <c r="R925" s="124"/>
      <c r="S925" s="124"/>
      <c r="T925" s="124"/>
      <c r="U925" s="124"/>
      <c r="V925" s="124"/>
      <c r="W925" s="124"/>
      <c r="X925" s="124"/>
    </row>
    <row r="926">
      <c r="A926" s="216"/>
      <c r="B926" s="124"/>
      <c r="C926" s="124"/>
      <c r="D926" s="124"/>
      <c r="E926" s="124"/>
      <c r="F926" s="124"/>
      <c r="G926" s="124"/>
      <c r="H926" s="124"/>
      <c r="I926" s="217" t="str">
        <f>IFERROR(__xludf.DUMMYFUNCTION("""COMPUTED_VALUE"""),"")</f>
        <v/>
      </c>
      <c r="J926" s="219"/>
      <c r="K926" s="219"/>
      <c r="L926" s="124"/>
      <c r="M926" s="124"/>
      <c r="N926" s="124"/>
      <c r="O926" s="124"/>
      <c r="P926" s="124"/>
      <c r="Q926" s="124"/>
      <c r="R926" s="124"/>
      <c r="S926" s="124"/>
      <c r="T926" s="124"/>
      <c r="U926" s="124"/>
      <c r="V926" s="124"/>
      <c r="W926" s="124"/>
      <c r="X926" s="124"/>
    </row>
    <row r="927">
      <c r="A927" s="216"/>
      <c r="B927" s="124"/>
      <c r="C927" s="124"/>
      <c r="D927" s="124"/>
      <c r="E927" s="124"/>
      <c r="F927" s="124"/>
      <c r="G927" s="124"/>
      <c r="H927" s="124"/>
      <c r="I927" s="217" t="str">
        <f>IFERROR(__xludf.DUMMYFUNCTION("""COMPUTED_VALUE"""),"")</f>
        <v/>
      </c>
      <c r="J927" s="219"/>
      <c r="K927" s="219"/>
      <c r="L927" s="124"/>
      <c r="M927" s="124"/>
      <c r="N927" s="124"/>
      <c r="O927" s="124"/>
      <c r="P927" s="124"/>
      <c r="Q927" s="124"/>
      <c r="R927" s="124"/>
      <c r="S927" s="124"/>
      <c r="T927" s="124"/>
      <c r="U927" s="124"/>
      <c r="V927" s="124"/>
      <c r="W927" s="124"/>
      <c r="X927" s="124"/>
    </row>
    <row r="928">
      <c r="A928" s="216"/>
      <c r="B928" s="124"/>
      <c r="C928" s="124"/>
      <c r="D928" s="124"/>
      <c r="E928" s="124"/>
      <c r="F928" s="124"/>
      <c r="G928" s="124"/>
      <c r="H928" s="124"/>
      <c r="I928" s="217" t="str">
        <f>IFERROR(__xludf.DUMMYFUNCTION("""COMPUTED_VALUE"""),"")</f>
        <v/>
      </c>
      <c r="J928" s="219"/>
      <c r="K928" s="219"/>
      <c r="L928" s="124"/>
      <c r="M928" s="124"/>
      <c r="N928" s="124"/>
      <c r="O928" s="124"/>
      <c r="P928" s="124"/>
      <c r="Q928" s="124"/>
      <c r="R928" s="124"/>
      <c r="S928" s="124"/>
      <c r="T928" s="124"/>
      <c r="U928" s="124"/>
      <c r="V928" s="124"/>
      <c r="W928" s="124"/>
      <c r="X928" s="124"/>
    </row>
    <row r="929">
      <c r="A929" s="216"/>
      <c r="B929" s="124"/>
      <c r="C929" s="124"/>
      <c r="D929" s="124"/>
      <c r="E929" s="124"/>
      <c r="F929" s="124"/>
      <c r="G929" s="124"/>
      <c r="H929" s="124"/>
      <c r="I929" s="217" t="str">
        <f>IFERROR(__xludf.DUMMYFUNCTION("""COMPUTED_VALUE"""),"")</f>
        <v/>
      </c>
      <c r="J929" s="219"/>
      <c r="K929" s="219"/>
      <c r="L929" s="124"/>
      <c r="M929" s="124"/>
      <c r="N929" s="124"/>
      <c r="O929" s="124"/>
      <c r="P929" s="124"/>
      <c r="Q929" s="124"/>
      <c r="R929" s="124"/>
      <c r="S929" s="124"/>
      <c r="T929" s="124"/>
      <c r="U929" s="124"/>
      <c r="V929" s="124"/>
      <c r="W929" s="124"/>
      <c r="X929" s="124"/>
    </row>
    <row r="930">
      <c r="A930" s="216"/>
      <c r="B930" s="124"/>
      <c r="C930" s="124"/>
      <c r="D930" s="124"/>
      <c r="E930" s="124"/>
      <c r="F930" s="124"/>
      <c r="G930" s="124"/>
      <c r="H930" s="124"/>
      <c r="I930" s="217" t="str">
        <f>IFERROR(__xludf.DUMMYFUNCTION("""COMPUTED_VALUE"""),"")</f>
        <v/>
      </c>
      <c r="J930" s="219"/>
      <c r="K930" s="219"/>
      <c r="L930" s="124"/>
      <c r="M930" s="124"/>
      <c r="N930" s="124"/>
      <c r="O930" s="124"/>
      <c r="P930" s="124"/>
      <c r="Q930" s="124"/>
      <c r="R930" s="124"/>
      <c r="S930" s="124"/>
      <c r="T930" s="124"/>
      <c r="U930" s="124"/>
      <c r="V930" s="124"/>
      <c r="W930" s="124"/>
      <c r="X930" s="124"/>
    </row>
    <row r="931">
      <c r="A931" s="216"/>
      <c r="B931" s="124"/>
      <c r="C931" s="124"/>
      <c r="D931" s="124"/>
      <c r="E931" s="124"/>
      <c r="F931" s="124"/>
      <c r="G931" s="124"/>
      <c r="H931" s="124"/>
      <c r="I931" s="217" t="str">
        <f>IFERROR(__xludf.DUMMYFUNCTION("""COMPUTED_VALUE"""),"")</f>
        <v/>
      </c>
      <c r="J931" s="219"/>
      <c r="K931" s="219"/>
      <c r="L931" s="124"/>
      <c r="M931" s="124"/>
      <c r="N931" s="124"/>
      <c r="O931" s="124"/>
      <c r="P931" s="124"/>
      <c r="Q931" s="124"/>
      <c r="R931" s="124"/>
      <c r="S931" s="124"/>
      <c r="T931" s="124"/>
      <c r="U931" s="124"/>
      <c r="V931" s="124"/>
      <c r="W931" s="124"/>
      <c r="X931" s="124"/>
    </row>
    <row r="932">
      <c r="A932" s="216"/>
      <c r="B932" s="124"/>
      <c r="C932" s="124"/>
      <c r="D932" s="124"/>
      <c r="E932" s="124"/>
      <c r="F932" s="124"/>
      <c r="G932" s="124"/>
      <c r="H932" s="124"/>
      <c r="I932" s="217" t="str">
        <f>IFERROR(__xludf.DUMMYFUNCTION("""COMPUTED_VALUE"""),"")</f>
        <v/>
      </c>
      <c r="J932" s="219"/>
      <c r="K932" s="219"/>
      <c r="L932" s="124"/>
      <c r="M932" s="124"/>
      <c r="N932" s="124"/>
      <c r="O932" s="124"/>
      <c r="P932" s="124"/>
      <c r="Q932" s="124"/>
      <c r="R932" s="124"/>
      <c r="S932" s="124"/>
      <c r="T932" s="124"/>
      <c r="U932" s="124"/>
      <c r="V932" s="124"/>
      <c r="W932" s="124"/>
      <c r="X932" s="124"/>
    </row>
    <row r="933">
      <c r="A933" s="216"/>
      <c r="B933" s="124"/>
      <c r="C933" s="124"/>
      <c r="D933" s="124"/>
      <c r="E933" s="124"/>
      <c r="F933" s="124"/>
      <c r="G933" s="124"/>
      <c r="H933" s="124"/>
      <c r="I933" s="217" t="str">
        <f>IFERROR(__xludf.DUMMYFUNCTION("""COMPUTED_VALUE"""),"")</f>
        <v/>
      </c>
      <c r="J933" s="219"/>
      <c r="K933" s="219"/>
      <c r="L933" s="124"/>
      <c r="M933" s="124"/>
      <c r="N933" s="124"/>
      <c r="O933" s="124"/>
      <c r="P933" s="124"/>
      <c r="Q933" s="124"/>
      <c r="R933" s="124"/>
      <c r="S933" s="124"/>
      <c r="T933" s="124"/>
      <c r="U933" s="124"/>
      <c r="V933" s="124"/>
      <c r="W933" s="124"/>
      <c r="X933" s="124"/>
    </row>
    <row r="934">
      <c r="A934" s="216"/>
      <c r="B934" s="124"/>
      <c r="C934" s="124"/>
      <c r="D934" s="124"/>
      <c r="E934" s="124"/>
      <c r="F934" s="124"/>
      <c r="G934" s="124"/>
      <c r="H934" s="124"/>
      <c r="I934" s="217" t="str">
        <f>IFERROR(__xludf.DUMMYFUNCTION("""COMPUTED_VALUE"""),"")</f>
        <v/>
      </c>
      <c r="J934" s="219"/>
      <c r="K934" s="219"/>
      <c r="L934" s="124"/>
      <c r="M934" s="124"/>
      <c r="N934" s="124"/>
      <c r="O934" s="124"/>
      <c r="P934" s="124"/>
      <c r="Q934" s="124"/>
      <c r="R934" s="124"/>
      <c r="S934" s="124"/>
      <c r="T934" s="124"/>
      <c r="U934" s="124"/>
      <c r="V934" s="124"/>
      <c r="W934" s="124"/>
      <c r="X934" s="124"/>
    </row>
    <row r="935">
      <c r="A935" s="216"/>
      <c r="B935" s="124"/>
      <c r="C935" s="124"/>
      <c r="D935" s="124"/>
      <c r="E935" s="124"/>
      <c r="F935" s="124"/>
      <c r="G935" s="124"/>
      <c r="H935" s="124"/>
      <c r="I935" s="217" t="str">
        <f>IFERROR(__xludf.DUMMYFUNCTION("""COMPUTED_VALUE"""),"")</f>
        <v/>
      </c>
      <c r="J935" s="219"/>
      <c r="K935" s="219"/>
      <c r="L935" s="124"/>
      <c r="M935" s="124"/>
      <c r="N935" s="124"/>
      <c r="O935" s="124"/>
      <c r="P935" s="124"/>
      <c r="Q935" s="124"/>
      <c r="R935" s="124"/>
      <c r="S935" s="124"/>
      <c r="T935" s="124"/>
      <c r="U935" s="124"/>
      <c r="V935" s="124"/>
      <c r="W935" s="124"/>
      <c r="X935" s="124"/>
    </row>
    <row r="936">
      <c r="A936" s="216"/>
      <c r="B936" s="124"/>
      <c r="C936" s="124"/>
      <c r="D936" s="124"/>
      <c r="E936" s="124"/>
      <c r="F936" s="124"/>
      <c r="G936" s="124"/>
      <c r="H936" s="124"/>
      <c r="I936" s="217" t="str">
        <f>IFERROR(__xludf.DUMMYFUNCTION("""COMPUTED_VALUE"""),"")</f>
        <v/>
      </c>
      <c r="J936" s="219"/>
      <c r="K936" s="219"/>
      <c r="L936" s="124"/>
      <c r="M936" s="124"/>
      <c r="N936" s="124"/>
      <c r="O936" s="124"/>
      <c r="P936" s="124"/>
      <c r="Q936" s="124"/>
      <c r="R936" s="124"/>
      <c r="S936" s="124"/>
      <c r="T936" s="124"/>
      <c r="U936" s="124"/>
      <c r="V936" s="124"/>
      <c r="W936" s="124"/>
      <c r="X936" s="124"/>
    </row>
    <row r="937">
      <c r="A937" s="216"/>
      <c r="B937" s="124"/>
      <c r="C937" s="124"/>
      <c r="D937" s="124"/>
      <c r="E937" s="124"/>
      <c r="F937" s="124"/>
      <c r="G937" s="124"/>
      <c r="H937" s="124"/>
      <c r="I937" s="217" t="str">
        <f>IFERROR(__xludf.DUMMYFUNCTION("""COMPUTED_VALUE"""),"")</f>
        <v/>
      </c>
      <c r="J937" s="219"/>
      <c r="K937" s="219"/>
      <c r="L937" s="124"/>
      <c r="M937" s="124"/>
      <c r="N937" s="124"/>
      <c r="O937" s="124"/>
      <c r="P937" s="124"/>
      <c r="Q937" s="124"/>
      <c r="R937" s="124"/>
      <c r="S937" s="124"/>
      <c r="T937" s="124"/>
      <c r="U937" s="124"/>
      <c r="V937" s="124"/>
      <c r="W937" s="124"/>
      <c r="X937" s="124"/>
    </row>
    <row r="938">
      <c r="A938" s="216"/>
      <c r="B938" s="124"/>
      <c r="C938" s="124"/>
      <c r="D938" s="124"/>
      <c r="E938" s="124"/>
      <c r="F938" s="124"/>
      <c r="G938" s="124"/>
      <c r="H938" s="124"/>
      <c r="I938" s="217" t="str">
        <f>IFERROR(__xludf.DUMMYFUNCTION("""COMPUTED_VALUE"""),"")</f>
        <v/>
      </c>
      <c r="J938" s="219"/>
      <c r="K938" s="219"/>
      <c r="L938" s="124"/>
      <c r="M938" s="124"/>
      <c r="N938" s="124"/>
      <c r="O938" s="124"/>
      <c r="P938" s="124"/>
      <c r="Q938" s="124"/>
      <c r="R938" s="124"/>
      <c r="S938" s="124"/>
      <c r="T938" s="124"/>
      <c r="U938" s="124"/>
      <c r="V938" s="124"/>
      <c r="W938" s="124"/>
      <c r="X938" s="124"/>
    </row>
    <row r="939">
      <c r="A939" s="216"/>
      <c r="B939" s="124"/>
      <c r="C939" s="124"/>
      <c r="D939" s="124"/>
      <c r="E939" s="124"/>
      <c r="F939" s="124"/>
      <c r="G939" s="124"/>
      <c r="H939" s="124"/>
      <c r="I939" s="217" t="str">
        <f>IFERROR(__xludf.DUMMYFUNCTION("""COMPUTED_VALUE"""),"")</f>
        <v/>
      </c>
      <c r="J939" s="219"/>
      <c r="K939" s="219"/>
      <c r="L939" s="124"/>
      <c r="M939" s="124"/>
      <c r="N939" s="124"/>
      <c r="O939" s="124"/>
      <c r="P939" s="124"/>
      <c r="Q939" s="124"/>
      <c r="R939" s="124"/>
      <c r="S939" s="124"/>
      <c r="T939" s="124"/>
      <c r="U939" s="124"/>
      <c r="V939" s="124"/>
      <c r="W939" s="124"/>
      <c r="X939" s="124"/>
    </row>
    <row r="940">
      <c r="A940" s="216"/>
      <c r="B940" s="124"/>
      <c r="C940" s="124"/>
      <c r="D940" s="124"/>
      <c r="E940" s="124"/>
      <c r="F940" s="124"/>
      <c r="G940" s="124"/>
      <c r="H940" s="124"/>
      <c r="I940" s="217" t="str">
        <f>IFERROR(__xludf.DUMMYFUNCTION("""COMPUTED_VALUE"""),"")</f>
        <v/>
      </c>
      <c r="J940" s="219"/>
      <c r="K940" s="219"/>
      <c r="L940" s="124"/>
      <c r="M940" s="124"/>
      <c r="N940" s="124"/>
      <c r="O940" s="124"/>
      <c r="P940" s="124"/>
      <c r="Q940" s="124"/>
      <c r="R940" s="124"/>
      <c r="S940" s="124"/>
      <c r="T940" s="124"/>
      <c r="U940" s="124"/>
      <c r="V940" s="124"/>
      <c r="W940" s="124"/>
      <c r="X940" s="124"/>
    </row>
    <row r="941">
      <c r="A941" s="216"/>
      <c r="B941" s="124"/>
      <c r="C941" s="124"/>
      <c r="D941" s="124"/>
      <c r="E941" s="124"/>
      <c r="F941" s="124"/>
      <c r="G941" s="124"/>
      <c r="H941" s="124"/>
      <c r="I941" s="217" t="str">
        <f>IFERROR(__xludf.DUMMYFUNCTION("""COMPUTED_VALUE"""),"")</f>
        <v/>
      </c>
      <c r="J941" s="219"/>
      <c r="K941" s="219"/>
      <c r="L941" s="124"/>
      <c r="M941" s="124"/>
      <c r="N941" s="124"/>
      <c r="O941" s="124"/>
      <c r="P941" s="124"/>
      <c r="Q941" s="124"/>
      <c r="R941" s="124"/>
      <c r="S941" s="124"/>
      <c r="T941" s="124"/>
      <c r="U941" s="124"/>
      <c r="V941" s="124"/>
      <c r="W941" s="124"/>
      <c r="X941" s="124"/>
    </row>
    <row r="942">
      <c r="A942" s="216"/>
      <c r="B942" s="124"/>
      <c r="C942" s="124"/>
      <c r="D942" s="124"/>
      <c r="E942" s="124"/>
      <c r="F942" s="124"/>
      <c r="G942" s="124"/>
      <c r="H942" s="124"/>
      <c r="I942" s="217" t="str">
        <f>IFERROR(__xludf.DUMMYFUNCTION("""COMPUTED_VALUE"""),"")</f>
        <v/>
      </c>
      <c r="J942" s="219"/>
      <c r="K942" s="219"/>
      <c r="L942" s="124"/>
      <c r="M942" s="124"/>
      <c r="N942" s="124"/>
      <c r="O942" s="124"/>
      <c r="P942" s="124"/>
      <c r="Q942" s="124"/>
      <c r="R942" s="124"/>
      <c r="S942" s="124"/>
      <c r="T942" s="124"/>
      <c r="U942" s="124"/>
      <c r="V942" s="124"/>
      <c r="W942" s="124"/>
      <c r="X942" s="124"/>
    </row>
    <row r="943">
      <c r="A943" s="216"/>
      <c r="B943" s="124"/>
      <c r="C943" s="124"/>
      <c r="D943" s="124"/>
      <c r="E943" s="124"/>
      <c r="F943" s="124"/>
      <c r="G943" s="124"/>
      <c r="H943" s="124"/>
      <c r="I943" s="217" t="str">
        <f>IFERROR(__xludf.DUMMYFUNCTION("""COMPUTED_VALUE"""),"")</f>
        <v/>
      </c>
      <c r="J943" s="219"/>
      <c r="K943" s="219"/>
      <c r="L943" s="124"/>
      <c r="M943" s="124"/>
      <c r="N943" s="124"/>
      <c r="O943" s="124"/>
      <c r="P943" s="124"/>
      <c r="Q943" s="124"/>
      <c r="R943" s="124"/>
      <c r="S943" s="124"/>
      <c r="T943" s="124"/>
      <c r="U943" s="124"/>
      <c r="V943" s="124"/>
      <c r="W943" s="124"/>
      <c r="X943" s="124"/>
    </row>
    <row r="944">
      <c r="A944" s="216"/>
      <c r="B944" s="124"/>
      <c r="C944" s="124"/>
      <c r="D944" s="124"/>
      <c r="E944" s="124"/>
      <c r="F944" s="124"/>
      <c r="G944" s="124"/>
      <c r="H944" s="124"/>
      <c r="I944" s="217" t="str">
        <f>IFERROR(__xludf.DUMMYFUNCTION("""COMPUTED_VALUE"""),"")</f>
        <v/>
      </c>
      <c r="J944" s="219"/>
      <c r="K944" s="219"/>
      <c r="L944" s="124"/>
      <c r="M944" s="124"/>
      <c r="N944" s="124"/>
      <c r="O944" s="124"/>
      <c r="P944" s="124"/>
      <c r="Q944" s="124"/>
      <c r="R944" s="124"/>
      <c r="S944" s="124"/>
      <c r="T944" s="124"/>
      <c r="U944" s="124"/>
      <c r="V944" s="124"/>
      <c r="W944" s="124"/>
      <c r="X944" s="124"/>
    </row>
    <row r="945">
      <c r="A945" s="216"/>
      <c r="B945" s="124"/>
      <c r="C945" s="124"/>
      <c r="D945" s="124"/>
      <c r="E945" s="124"/>
      <c r="F945" s="124"/>
      <c r="G945" s="124"/>
      <c r="H945" s="124"/>
      <c r="I945" s="217" t="str">
        <f>IFERROR(__xludf.DUMMYFUNCTION("""COMPUTED_VALUE"""),"")</f>
        <v/>
      </c>
      <c r="J945" s="219"/>
      <c r="K945" s="219"/>
      <c r="L945" s="124"/>
      <c r="M945" s="124"/>
      <c r="N945" s="124"/>
      <c r="O945" s="124"/>
      <c r="P945" s="124"/>
      <c r="Q945" s="124"/>
      <c r="R945" s="124"/>
      <c r="S945" s="124"/>
      <c r="T945" s="124"/>
      <c r="U945" s="124"/>
      <c r="V945" s="124"/>
      <c r="W945" s="124"/>
      <c r="X945" s="124"/>
    </row>
    <row r="946">
      <c r="A946" s="216"/>
      <c r="B946" s="124"/>
      <c r="C946" s="124"/>
      <c r="D946" s="124"/>
      <c r="E946" s="124"/>
      <c r="F946" s="124"/>
      <c r="G946" s="124"/>
      <c r="H946" s="124"/>
      <c r="I946" s="217" t="str">
        <f>IFERROR(__xludf.DUMMYFUNCTION("""COMPUTED_VALUE"""),"")</f>
        <v/>
      </c>
      <c r="J946" s="219"/>
      <c r="K946" s="219"/>
      <c r="L946" s="124"/>
      <c r="M946" s="124"/>
      <c r="N946" s="124"/>
      <c r="O946" s="124"/>
      <c r="P946" s="124"/>
      <c r="Q946" s="124"/>
      <c r="R946" s="124"/>
      <c r="S946" s="124"/>
      <c r="T946" s="124"/>
      <c r="U946" s="124"/>
      <c r="V946" s="124"/>
      <c r="W946" s="124"/>
      <c r="X946" s="124"/>
    </row>
    <row r="947">
      <c r="A947" s="216"/>
      <c r="B947" s="124"/>
      <c r="C947" s="124"/>
      <c r="D947" s="124"/>
      <c r="E947" s="124"/>
      <c r="F947" s="124"/>
      <c r="G947" s="124"/>
      <c r="H947" s="124"/>
      <c r="I947" s="217" t="str">
        <f>IFERROR(__xludf.DUMMYFUNCTION("""COMPUTED_VALUE"""),"")</f>
        <v/>
      </c>
      <c r="J947" s="219"/>
      <c r="K947" s="219"/>
      <c r="L947" s="124"/>
      <c r="M947" s="124"/>
      <c r="N947" s="124"/>
      <c r="O947" s="124"/>
      <c r="P947" s="124"/>
      <c r="Q947" s="124"/>
      <c r="R947" s="124"/>
      <c r="S947" s="124"/>
      <c r="T947" s="124"/>
      <c r="U947" s="124"/>
      <c r="V947" s="124"/>
      <c r="W947" s="124"/>
      <c r="X947" s="124"/>
    </row>
    <row r="948">
      <c r="A948" s="216"/>
      <c r="B948" s="124"/>
      <c r="C948" s="124"/>
      <c r="D948" s="124"/>
      <c r="E948" s="124"/>
      <c r="F948" s="124"/>
      <c r="G948" s="124"/>
      <c r="H948" s="124"/>
      <c r="I948" s="217" t="str">
        <f>IFERROR(__xludf.DUMMYFUNCTION("""COMPUTED_VALUE"""),"")</f>
        <v/>
      </c>
      <c r="J948" s="219"/>
      <c r="K948" s="219"/>
      <c r="L948" s="124"/>
      <c r="M948" s="124"/>
      <c r="N948" s="124"/>
      <c r="O948" s="124"/>
      <c r="P948" s="124"/>
      <c r="Q948" s="124"/>
      <c r="R948" s="124"/>
      <c r="S948" s="124"/>
      <c r="T948" s="124"/>
      <c r="U948" s="124"/>
      <c r="V948" s="124"/>
      <c r="W948" s="124"/>
      <c r="X948" s="124"/>
    </row>
    <row r="949">
      <c r="A949" s="216"/>
      <c r="B949" s="124"/>
      <c r="C949" s="124"/>
      <c r="D949" s="124"/>
      <c r="E949" s="124"/>
      <c r="F949" s="124"/>
      <c r="G949" s="124"/>
      <c r="H949" s="124"/>
      <c r="I949" s="217" t="str">
        <f>IFERROR(__xludf.DUMMYFUNCTION("""COMPUTED_VALUE"""),"")</f>
        <v/>
      </c>
      <c r="J949" s="219"/>
      <c r="K949" s="219"/>
      <c r="L949" s="124"/>
      <c r="M949" s="124"/>
      <c r="N949" s="124"/>
      <c r="O949" s="124"/>
      <c r="P949" s="124"/>
      <c r="Q949" s="124"/>
      <c r="R949" s="124"/>
      <c r="S949" s="124"/>
      <c r="T949" s="124"/>
      <c r="U949" s="124"/>
      <c r="V949" s="124"/>
      <c r="W949" s="124"/>
      <c r="X949" s="124"/>
    </row>
    <row r="950">
      <c r="A950" s="216"/>
      <c r="B950" s="124"/>
      <c r="C950" s="124"/>
      <c r="D950" s="124"/>
      <c r="E950" s="124"/>
      <c r="F950" s="124"/>
      <c r="G950" s="124"/>
      <c r="H950" s="124"/>
      <c r="I950" s="217" t="str">
        <f>IFERROR(__xludf.DUMMYFUNCTION("""COMPUTED_VALUE"""),"")</f>
        <v/>
      </c>
      <c r="J950" s="219"/>
      <c r="K950" s="219"/>
      <c r="L950" s="124"/>
      <c r="M950" s="124"/>
      <c r="N950" s="124"/>
      <c r="O950" s="124"/>
      <c r="P950" s="124"/>
      <c r="Q950" s="124"/>
      <c r="R950" s="124"/>
      <c r="S950" s="124"/>
      <c r="T950" s="124"/>
      <c r="U950" s="124"/>
      <c r="V950" s="124"/>
      <c r="W950" s="124"/>
      <c r="X950" s="124"/>
    </row>
    <row r="951">
      <c r="A951" s="216"/>
      <c r="B951" s="124"/>
      <c r="C951" s="124"/>
      <c r="D951" s="124"/>
      <c r="E951" s="124"/>
      <c r="F951" s="124"/>
      <c r="G951" s="124"/>
      <c r="H951" s="124"/>
      <c r="I951" s="217" t="str">
        <f>IFERROR(__xludf.DUMMYFUNCTION("""COMPUTED_VALUE"""),"")</f>
        <v/>
      </c>
      <c r="J951" s="219"/>
      <c r="K951" s="219"/>
      <c r="L951" s="124"/>
      <c r="M951" s="124"/>
      <c r="N951" s="124"/>
      <c r="O951" s="124"/>
      <c r="P951" s="124"/>
      <c r="Q951" s="124"/>
      <c r="R951" s="124"/>
      <c r="S951" s="124"/>
      <c r="T951" s="124"/>
      <c r="U951" s="124"/>
      <c r="V951" s="124"/>
      <c r="W951" s="124"/>
      <c r="X951" s="124"/>
    </row>
    <row r="952">
      <c r="A952" s="216"/>
      <c r="B952" s="124"/>
      <c r="C952" s="124"/>
      <c r="D952" s="124"/>
      <c r="E952" s="124"/>
      <c r="F952" s="124"/>
      <c r="G952" s="124"/>
      <c r="H952" s="124"/>
      <c r="I952" s="217" t="str">
        <f>IFERROR(__xludf.DUMMYFUNCTION("""COMPUTED_VALUE"""),"")</f>
        <v/>
      </c>
      <c r="J952" s="219"/>
      <c r="K952" s="219"/>
      <c r="L952" s="124"/>
      <c r="M952" s="124"/>
      <c r="N952" s="124"/>
      <c r="O952" s="124"/>
      <c r="P952" s="124"/>
      <c r="Q952" s="124"/>
      <c r="R952" s="124"/>
      <c r="S952" s="124"/>
      <c r="T952" s="124"/>
      <c r="U952" s="124"/>
      <c r="V952" s="124"/>
      <c r="W952" s="124"/>
      <c r="X952" s="124"/>
    </row>
    <row r="953">
      <c r="A953" s="216"/>
      <c r="B953" s="124"/>
      <c r="C953" s="124"/>
      <c r="D953" s="124"/>
      <c r="E953" s="124"/>
      <c r="F953" s="124"/>
      <c r="G953" s="124"/>
      <c r="H953" s="124"/>
      <c r="I953" s="217" t="str">
        <f>IFERROR(__xludf.DUMMYFUNCTION("""COMPUTED_VALUE"""),"")</f>
        <v/>
      </c>
      <c r="J953" s="219"/>
      <c r="K953" s="219"/>
      <c r="L953" s="124"/>
      <c r="M953" s="124"/>
      <c r="N953" s="124"/>
      <c r="O953" s="124"/>
      <c r="P953" s="124"/>
      <c r="Q953" s="124"/>
      <c r="R953" s="124"/>
      <c r="S953" s="124"/>
      <c r="T953" s="124"/>
      <c r="U953" s="124"/>
      <c r="V953" s="124"/>
      <c r="W953" s="124"/>
      <c r="X953" s="124"/>
    </row>
    <row r="954">
      <c r="A954" s="216"/>
      <c r="B954" s="124"/>
      <c r="C954" s="124"/>
      <c r="D954" s="124"/>
      <c r="E954" s="124"/>
      <c r="F954" s="124"/>
      <c r="G954" s="124"/>
      <c r="H954" s="124"/>
      <c r="I954" s="217" t="str">
        <f>IFERROR(__xludf.DUMMYFUNCTION("""COMPUTED_VALUE"""),"")</f>
        <v/>
      </c>
      <c r="J954" s="219"/>
      <c r="K954" s="219"/>
      <c r="L954" s="124"/>
      <c r="M954" s="124"/>
      <c r="N954" s="124"/>
      <c r="O954" s="124"/>
      <c r="P954" s="124"/>
      <c r="Q954" s="124"/>
      <c r="R954" s="124"/>
      <c r="S954" s="124"/>
      <c r="T954" s="124"/>
      <c r="U954" s="124"/>
      <c r="V954" s="124"/>
      <c r="W954" s="124"/>
      <c r="X954" s="124"/>
    </row>
    <row r="955">
      <c r="A955" s="216"/>
      <c r="B955" s="124"/>
      <c r="C955" s="124"/>
      <c r="D955" s="124"/>
      <c r="E955" s="124"/>
      <c r="F955" s="124"/>
      <c r="G955" s="124"/>
      <c r="H955" s="124"/>
      <c r="I955" s="217" t="str">
        <f>IFERROR(__xludf.DUMMYFUNCTION("""COMPUTED_VALUE"""),"")</f>
        <v/>
      </c>
      <c r="J955" s="219"/>
      <c r="K955" s="219"/>
      <c r="L955" s="124"/>
      <c r="M955" s="124"/>
      <c r="N955" s="124"/>
      <c r="O955" s="124"/>
      <c r="P955" s="124"/>
      <c r="Q955" s="124"/>
      <c r="R955" s="124"/>
      <c r="S955" s="124"/>
      <c r="T955" s="124"/>
      <c r="U955" s="124"/>
      <c r="V955" s="124"/>
      <c r="W955" s="124"/>
      <c r="X955" s="124"/>
    </row>
    <row r="956">
      <c r="A956" s="216"/>
      <c r="B956" s="124"/>
      <c r="C956" s="124"/>
      <c r="D956" s="124"/>
      <c r="E956" s="124"/>
      <c r="F956" s="124"/>
      <c r="G956" s="124"/>
      <c r="H956" s="124"/>
      <c r="I956" s="217" t="str">
        <f>IFERROR(__xludf.DUMMYFUNCTION("""COMPUTED_VALUE"""),"")</f>
        <v/>
      </c>
      <c r="J956" s="219"/>
      <c r="K956" s="219"/>
      <c r="L956" s="124"/>
      <c r="M956" s="124"/>
      <c r="N956" s="124"/>
      <c r="O956" s="124"/>
      <c r="P956" s="124"/>
      <c r="Q956" s="124"/>
      <c r="R956" s="124"/>
      <c r="S956" s="124"/>
      <c r="T956" s="124"/>
      <c r="U956" s="124"/>
      <c r="V956" s="124"/>
      <c r="W956" s="124"/>
      <c r="X956" s="124"/>
    </row>
    <row r="957">
      <c r="A957" s="216"/>
      <c r="B957" s="124"/>
      <c r="C957" s="124"/>
      <c r="D957" s="124"/>
      <c r="E957" s="124"/>
      <c r="F957" s="124"/>
      <c r="G957" s="124"/>
      <c r="H957" s="124"/>
      <c r="I957" s="217" t="str">
        <f>IFERROR(__xludf.DUMMYFUNCTION("""COMPUTED_VALUE"""),"")</f>
        <v/>
      </c>
      <c r="J957" s="219"/>
      <c r="K957" s="219"/>
      <c r="L957" s="124"/>
      <c r="M957" s="124"/>
      <c r="N957" s="124"/>
      <c r="O957" s="124"/>
      <c r="P957" s="124"/>
      <c r="Q957" s="124"/>
      <c r="R957" s="124"/>
      <c r="S957" s="124"/>
      <c r="T957" s="124"/>
      <c r="U957" s="124"/>
      <c r="V957" s="124"/>
      <c r="W957" s="124"/>
      <c r="X957" s="124"/>
    </row>
    <row r="958">
      <c r="A958" s="216"/>
      <c r="B958" s="124"/>
      <c r="C958" s="124"/>
      <c r="D958" s="124"/>
      <c r="E958" s="124"/>
      <c r="F958" s="124"/>
      <c r="G958" s="124"/>
      <c r="H958" s="124"/>
      <c r="I958" s="217" t="str">
        <f>IFERROR(__xludf.DUMMYFUNCTION("""COMPUTED_VALUE"""),"")</f>
        <v/>
      </c>
      <c r="J958" s="219"/>
      <c r="K958" s="219"/>
      <c r="L958" s="124"/>
      <c r="M958" s="124"/>
      <c r="N958" s="124"/>
      <c r="O958" s="124"/>
      <c r="P958" s="124"/>
      <c r="Q958" s="124"/>
      <c r="R958" s="124"/>
      <c r="S958" s="124"/>
      <c r="T958" s="124"/>
      <c r="U958" s="124"/>
      <c r="V958" s="124"/>
      <c r="W958" s="124"/>
      <c r="X958" s="124"/>
    </row>
    <row r="959">
      <c r="A959" s="216"/>
      <c r="B959" s="124"/>
      <c r="C959" s="124"/>
      <c r="D959" s="124"/>
      <c r="E959" s="124"/>
      <c r="F959" s="124"/>
      <c r="G959" s="124"/>
      <c r="H959" s="124"/>
      <c r="I959" s="217" t="str">
        <f>IFERROR(__xludf.DUMMYFUNCTION("""COMPUTED_VALUE"""),"")</f>
        <v/>
      </c>
      <c r="J959" s="219"/>
      <c r="K959" s="219"/>
      <c r="L959" s="124"/>
      <c r="M959" s="124"/>
      <c r="N959" s="124"/>
      <c r="O959" s="124"/>
      <c r="P959" s="124"/>
      <c r="Q959" s="124"/>
      <c r="R959" s="124"/>
      <c r="S959" s="124"/>
      <c r="T959" s="124"/>
      <c r="U959" s="124"/>
      <c r="V959" s="124"/>
      <c r="W959" s="124"/>
      <c r="X959" s="124"/>
    </row>
    <row r="960">
      <c r="A960" s="216"/>
      <c r="B960" s="124"/>
      <c r="C960" s="124"/>
      <c r="D960" s="124"/>
      <c r="E960" s="124"/>
      <c r="F960" s="124"/>
      <c r="G960" s="124"/>
      <c r="H960" s="124"/>
      <c r="I960" s="217" t="str">
        <f>IFERROR(__xludf.DUMMYFUNCTION("""COMPUTED_VALUE"""),"")</f>
        <v/>
      </c>
      <c r="J960" s="219"/>
      <c r="K960" s="219"/>
      <c r="L960" s="124"/>
      <c r="M960" s="124"/>
      <c r="N960" s="124"/>
      <c r="O960" s="124"/>
      <c r="P960" s="124"/>
      <c r="Q960" s="124"/>
      <c r="R960" s="124"/>
      <c r="S960" s="124"/>
      <c r="T960" s="124"/>
      <c r="U960" s="124"/>
      <c r="V960" s="124"/>
      <c r="W960" s="124"/>
      <c r="X960" s="124"/>
    </row>
    <row r="961">
      <c r="A961" s="216"/>
      <c r="B961" s="124"/>
      <c r="C961" s="124"/>
      <c r="D961" s="124"/>
      <c r="E961" s="124"/>
      <c r="F961" s="124"/>
      <c r="G961" s="124"/>
      <c r="H961" s="124"/>
      <c r="I961" s="217" t="str">
        <f>IFERROR(__xludf.DUMMYFUNCTION("""COMPUTED_VALUE"""),"")</f>
        <v/>
      </c>
      <c r="J961" s="219"/>
      <c r="K961" s="219"/>
      <c r="L961" s="124"/>
      <c r="M961" s="124"/>
      <c r="N961" s="124"/>
      <c r="O961" s="124"/>
      <c r="P961" s="124"/>
      <c r="Q961" s="124"/>
      <c r="R961" s="124"/>
      <c r="S961" s="124"/>
      <c r="T961" s="124"/>
      <c r="U961" s="124"/>
      <c r="V961" s="124"/>
      <c r="W961" s="124"/>
      <c r="X961" s="124"/>
    </row>
    <row r="962">
      <c r="A962" s="216"/>
      <c r="B962" s="124"/>
      <c r="C962" s="124"/>
      <c r="D962" s="124"/>
      <c r="E962" s="124"/>
      <c r="F962" s="124"/>
      <c r="G962" s="124"/>
      <c r="H962" s="124"/>
      <c r="I962" s="217" t="str">
        <f>IFERROR(__xludf.DUMMYFUNCTION("""COMPUTED_VALUE"""),"")</f>
        <v/>
      </c>
      <c r="J962" s="219"/>
      <c r="K962" s="219"/>
      <c r="L962" s="124"/>
      <c r="M962" s="124"/>
      <c r="N962" s="124"/>
      <c r="O962" s="124"/>
      <c r="P962" s="124"/>
      <c r="Q962" s="124"/>
      <c r="R962" s="124"/>
      <c r="S962" s="124"/>
      <c r="T962" s="124"/>
      <c r="U962" s="124"/>
      <c r="V962" s="124"/>
      <c r="W962" s="124"/>
      <c r="X962" s="124"/>
    </row>
    <row r="963">
      <c r="A963" s="216"/>
      <c r="B963" s="124"/>
      <c r="C963" s="124"/>
      <c r="D963" s="124"/>
      <c r="E963" s="124"/>
      <c r="F963" s="124"/>
      <c r="G963" s="124"/>
      <c r="H963" s="124"/>
      <c r="I963" s="217" t="str">
        <f>IFERROR(__xludf.DUMMYFUNCTION("""COMPUTED_VALUE"""),"")</f>
        <v/>
      </c>
      <c r="J963" s="219"/>
      <c r="K963" s="219"/>
      <c r="L963" s="124"/>
      <c r="M963" s="124"/>
      <c r="N963" s="124"/>
      <c r="O963" s="124"/>
      <c r="P963" s="124"/>
      <c r="Q963" s="124"/>
      <c r="R963" s="124"/>
      <c r="S963" s="124"/>
      <c r="T963" s="124"/>
      <c r="U963" s="124"/>
      <c r="V963" s="124"/>
      <c r="W963" s="124"/>
      <c r="X963" s="124"/>
    </row>
    <row r="964">
      <c r="A964" s="216"/>
      <c r="B964" s="124"/>
      <c r="C964" s="124"/>
      <c r="D964" s="124"/>
      <c r="E964" s="124"/>
      <c r="F964" s="124"/>
      <c r="G964" s="124"/>
      <c r="H964" s="124"/>
      <c r="I964" s="217" t="str">
        <f>IFERROR(__xludf.DUMMYFUNCTION("""COMPUTED_VALUE"""),"")</f>
        <v/>
      </c>
      <c r="J964" s="219"/>
      <c r="K964" s="219"/>
      <c r="L964" s="124"/>
      <c r="M964" s="124"/>
      <c r="N964" s="124"/>
      <c r="O964" s="124"/>
      <c r="P964" s="124"/>
      <c r="Q964" s="124"/>
      <c r="R964" s="124"/>
      <c r="S964" s="124"/>
      <c r="T964" s="124"/>
      <c r="U964" s="124"/>
      <c r="V964" s="124"/>
      <c r="W964" s="124"/>
      <c r="X964" s="124"/>
    </row>
    <row r="965">
      <c r="A965" s="216"/>
      <c r="B965" s="124"/>
      <c r="C965" s="124"/>
      <c r="D965" s="124"/>
      <c r="E965" s="124"/>
      <c r="F965" s="124"/>
      <c r="G965" s="124"/>
      <c r="H965" s="124"/>
      <c r="I965" s="217" t="str">
        <f>IFERROR(__xludf.DUMMYFUNCTION("""COMPUTED_VALUE"""),"")</f>
        <v/>
      </c>
      <c r="J965" s="219"/>
      <c r="K965" s="219"/>
      <c r="L965" s="124"/>
      <c r="M965" s="124"/>
      <c r="N965" s="124"/>
      <c r="O965" s="124"/>
      <c r="P965" s="124"/>
      <c r="Q965" s="124"/>
      <c r="R965" s="124"/>
      <c r="S965" s="124"/>
      <c r="T965" s="124"/>
      <c r="U965" s="124"/>
      <c r="V965" s="124"/>
      <c r="W965" s="124"/>
      <c r="X965" s="124"/>
    </row>
    <row r="966">
      <c r="A966" s="216"/>
      <c r="B966" s="124"/>
      <c r="C966" s="124"/>
      <c r="D966" s="124"/>
      <c r="E966" s="124"/>
      <c r="F966" s="124"/>
      <c r="G966" s="124"/>
      <c r="H966" s="124"/>
      <c r="I966" s="217" t="str">
        <f>IFERROR(__xludf.DUMMYFUNCTION("""COMPUTED_VALUE"""),"")</f>
        <v/>
      </c>
      <c r="J966" s="219"/>
      <c r="K966" s="219"/>
      <c r="L966" s="124"/>
      <c r="M966" s="124"/>
      <c r="N966" s="124"/>
      <c r="O966" s="124"/>
      <c r="P966" s="124"/>
      <c r="Q966" s="124"/>
      <c r="R966" s="124"/>
      <c r="S966" s="124"/>
      <c r="T966" s="124"/>
      <c r="U966" s="124"/>
      <c r="V966" s="124"/>
      <c r="W966" s="124"/>
      <c r="X966" s="124"/>
    </row>
    <row r="967">
      <c r="A967" s="216"/>
      <c r="B967" s="124"/>
      <c r="C967" s="124"/>
      <c r="D967" s="124"/>
      <c r="E967" s="124"/>
      <c r="F967" s="124"/>
      <c r="G967" s="124"/>
      <c r="H967" s="124"/>
      <c r="I967" s="217" t="str">
        <f>IFERROR(__xludf.DUMMYFUNCTION("""COMPUTED_VALUE"""),"")</f>
        <v/>
      </c>
      <c r="J967" s="219"/>
      <c r="K967" s="219"/>
      <c r="L967" s="124"/>
      <c r="M967" s="124"/>
      <c r="N967" s="124"/>
      <c r="O967" s="124"/>
      <c r="P967" s="124"/>
      <c r="Q967" s="124"/>
      <c r="R967" s="124"/>
      <c r="S967" s="124"/>
      <c r="T967" s="124"/>
      <c r="U967" s="124"/>
      <c r="V967" s="124"/>
      <c r="W967" s="124"/>
      <c r="X967" s="124"/>
    </row>
    <row r="968">
      <c r="A968" s="216"/>
      <c r="B968" s="124"/>
      <c r="C968" s="124"/>
      <c r="D968" s="124"/>
      <c r="E968" s="124"/>
      <c r="F968" s="124"/>
      <c r="G968" s="124"/>
      <c r="H968" s="124"/>
      <c r="I968" s="217" t="str">
        <f>IFERROR(__xludf.DUMMYFUNCTION("""COMPUTED_VALUE"""),"")</f>
        <v/>
      </c>
      <c r="J968" s="219"/>
      <c r="K968" s="219"/>
      <c r="L968" s="124"/>
      <c r="M968" s="124"/>
      <c r="N968" s="124"/>
      <c r="O968" s="124"/>
      <c r="P968" s="124"/>
      <c r="Q968" s="124"/>
      <c r="R968" s="124"/>
      <c r="S968" s="124"/>
      <c r="T968" s="124"/>
      <c r="U968" s="124"/>
      <c r="V968" s="124"/>
      <c r="W968" s="124"/>
      <c r="X968" s="124"/>
    </row>
    <row r="969">
      <c r="A969" s="216"/>
      <c r="B969" s="124"/>
      <c r="C969" s="124"/>
      <c r="D969" s="124"/>
      <c r="E969" s="124"/>
      <c r="F969" s="124"/>
      <c r="G969" s="124"/>
      <c r="H969" s="124"/>
      <c r="I969" s="217" t="str">
        <f>IFERROR(__xludf.DUMMYFUNCTION("""COMPUTED_VALUE"""),"")</f>
        <v/>
      </c>
      <c r="J969" s="219"/>
      <c r="K969" s="219"/>
      <c r="L969" s="124"/>
      <c r="M969" s="124"/>
      <c r="N969" s="124"/>
      <c r="O969" s="124"/>
      <c r="P969" s="124"/>
      <c r="Q969" s="124"/>
      <c r="R969" s="124"/>
      <c r="S969" s="124"/>
      <c r="T969" s="124"/>
      <c r="U969" s="124"/>
      <c r="V969" s="124"/>
      <c r="W969" s="124"/>
      <c r="X969" s="124"/>
    </row>
    <row r="970">
      <c r="A970" s="216"/>
      <c r="B970" s="124"/>
      <c r="C970" s="124"/>
      <c r="D970" s="124"/>
      <c r="E970" s="124"/>
      <c r="F970" s="124"/>
      <c r="G970" s="124"/>
      <c r="H970" s="124"/>
      <c r="I970" s="217" t="str">
        <f>IFERROR(__xludf.DUMMYFUNCTION("""COMPUTED_VALUE"""),"")</f>
        <v/>
      </c>
      <c r="J970" s="219"/>
      <c r="K970" s="219"/>
      <c r="L970" s="124"/>
      <c r="M970" s="124"/>
      <c r="N970" s="124"/>
      <c r="O970" s="124"/>
      <c r="P970" s="124"/>
      <c r="Q970" s="124"/>
      <c r="R970" s="124"/>
      <c r="S970" s="124"/>
      <c r="T970" s="124"/>
      <c r="U970" s="124"/>
      <c r="V970" s="124"/>
      <c r="W970" s="124"/>
      <c r="X970" s="124"/>
    </row>
    <row r="971">
      <c r="A971" s="216"/>
      <c r="B971" s="124"/>
      <c r="C971" s="124"/>
      <c r="D971" s="124"/>
      <c r="E971" s="124"/>
      <c r="F971" s="124"/>
      <c r="G971" s="124"/>
      <c r="H971" s="124"/>
      <c r="I971" s="217" t="str">
        <f>IFERROR(__xludf.DUMMYFUNCTION("""COMPUTED_VALUE"""),"")</f>
        <v/>
      </c>
      <c r="J971" s="219"/>
      <c r="K971" s="219"/>
      <c r="L971" s="124"/>
      <c r="M971" s="124"/>
      <c r="N971" s="124"/>
      <c r="O971" s="124"/>
      <c r="P971" s="124"/>
      <c r="Q971" s="124"/>
      <c r="R971" s="124"/>
      <c r="S971" s="124"/>
      <c r="T971" s="124"/>
      <c r="U971" s="124"/>
      <c r="V971" s="124"/>
      <c r="W971" s="124"/>
      <c r="X971" s="124"/>
    </row>
    <row r="972">
      <c r="A972" s="216"/>
      <c r="B972" s="124"/>
      <c r="C972" s="124"/>
      <c r="D972" s="124"/>
      <c r="E972" s="124"/>
      <c r="F972" s="124"/>
      <c r="G972" s="124"/>
      <c r="H972" s="124"/>
      <c r="I972" s="217" t="str">
        <f>IFERROR(__xludf.DUMMYFUNCTION("""COMPUTED_VALUE"""),"")</f>
        <v/>
      </c>
      <c r="J972" s="219"/>
      <c r="K972" s="219"/>
      <c r="L972" s="124"/>
      <c r="M972" s="124"/>
      <c r="N972" s="124"/>
      <c r="O972" s="124"/>
      <c r="P972" s="124"/>
      <c r="Q972" s="124"/>
      <c r="R972" s="124"/>
      <c r="S972" s="124"/>
      <c r="T972" s="124"/>
      <c r="U972" s="124"/>
      <c r="V972" s="124"/>
      <c r="W972" s="124"/>
      <c r="X972" s="124"/>
    </row>
    <row r="973">
      <c r="A973" s="216"/>
      <c r="B973" s="124"/>
      <c r="C973" s="124"/>
      <c r="D973" s="124"/>
      <c r="E973" s="124"/>
      <c r="F973" s="124"/>
      <c r="G973" s="124"/>
      <c r="H973" s="124"/>
      <c r="I973" s="217" t="str">
        <f>IFERROR(__xludf.DUMMYFUNCTION("""COMPUTED_VALUE"""),"")</f>
        <v/>
      </c>
      <c r="J973" s="219"/>
      <c r="K973" s="219"/>
      <c r="L973" s="124"/>
      <c r="M973" s="124"/>
      <c r="N973" s="124"/>
      <c r="O973" s="124"/>
      <c r="P973" s="124"/>
      <c r="Q973" s="124"/>
      <c r="R973" s="124"/>
      <c r="S973" s="124"/>
      <c r="T973" s="124"/>
      <c r="U973" s="124"/>
      <c r="V973" s="124"/>
      <c r="W973" s="124"/>
      <c r="X973" s="124"/>
    </row>
    <row r="974">
      <c r="A974" s="216"/>
      <c r="B974" s="124"/>
      <c r="C974" s="124"/>
      <c r="D974" s="124"/>
      <c r="E974" s="124"/>
      <c r="F974" s="124"/>
      <c r="G974" s="124"/>
      <c r="H974" s="124"/>
      <c r="I974" s="217" t="str">
        <f>IFERROR(__xludf.DUMMYFUNCTION("""COMPUTED_VALUE"""),"")</f>
        <v/>
      </c>
      <c r="J974" s="219"/>
      <c r="K974" s="219"/>
      <c r="L974" s="124"/>
      <c r="M974" s="124"/>
      <c r="N974" s="124"/>
      <c r="O974" s="124"/>
      <c r="P974" s="124"/>
      <c r="Q974" s="124"/>
      <c r="R974" s="124"/>
      <c r="S974" s="124"/>
      <c r="T974" s="124"/>
      <c r="U974" s="124"/>
      <c r="V974" s="124"/>
      <c r="W974" s="124"/>
      <c r="X974" s="124"/>
    </row>
    <row r="975">
      <c r="A975" s="216"/>
      <c r="B975" s="124"/>
      <c r="C975" s="124"/>
      <c r="D975" s="124"/>
      <c r="E975" s="124"/>
      <c r="F975" s="124"/>
      <c r="G975" s="124"/>
      <c r="H975" s="124"/>
      <c r="I975" s="217" t="str">
        <f>IFERROR(__xludf.DUMMYFUNCTION("""COMPUTED_VALUE"""),"")</f>
        <v/>
      </c>
      <c r="J975" s="219"/>
      <c r="K975" s="219"/>
      <c r="L975" s="124"/>
      <c r="M975" s="124"/>
      <c r="N975" s="124"/>
      <c r="O975" s="124"/>
      <c r="P975" s="124"/>
      <c r="Q975" s="124"/>
      <c r="R975" s="124"/>
      <c r="S975" s="124"/>
      <c r="T975" s="124"/>
      <c r="U975" s="124"/>
      <c r="V975" s="124"/>
      <c r="W975" s="124"/>
      <c r="X975" s="124"/>
    </row>
    <row r="976">
      <c r="A976" s="216"/>
      <c r="B976" s="124"/>
      <c r="C976" s="124"/>
      <c r="D976" s="124"/>
      <c r="E976" s="124"/>
      <c r="F976" s="124"/>
      <c r="G976" s="124"/>
      <c r="H976" s="124"/>
      <c r="I976" s="217" t="str">
        <f>IFERROR(__xludf.DUMMYFUNCTION("""COMPUTED_VALUE"""),"")</f>
        <v/>
      </c>
      <c r="J976" s="219"/>
      <c r="K976" s="219"/>
      <c r="L976" s="124"/>
      <c r="M976" s="124"/>
      <c r="N976" s="124"/>
      <c r="O976" s="124"/>
      <c r="P976" s="124"/>
      <c r="Q976" s="124"/>
      <c r="R976" s="124"/>
      <c r="S976" s="124"/>
      <c r="T976" s="124"/>
      <c r="U976" s="124"/>
      <c r="V976" s="124"/>
      <c r="W976" s="124"/>
      <c r="X976" s="124"/>
    </row>
    <row r="977">
      <c r="A977" s="216"/>
      <c r="B977" s="124"/>
      <c r="C977" s="124"/>
      <c r="D977" s="124"/>
      <c r="E977" s="124"/>
      <c r="F977" s="124"/>
      <c r="G977" s="124"/>
      <c r="H977" s="124"/>
      <c r="I977" s="217" t="str">
        <f>IFERROR(__xludf.DUMMYFUNCTION("""COMPUTED_VALUE"""),"")</f>
        <v/>
      </c>
      <c r="J977" s="219"/>
      <c r="K977" s="219"/>
      <c r="L977" s="124"/>
      <c r="M977" s="124"/>
      <c r="N977" s="124"/>
      <c r="O977" s="124"/>
      <c r="P977" s="124"/>
      <c r="Q977" s="124"/>
      <c r="R977" s="124"/>
      <c r="S977" s="124"/>
      <c r="T977" s="124"/>
      <c r="U977" s="124"/>
      <c r="V977" s="124"/>
      <c r="W977" s="124"/>
      <c r="X977" s="124"/>
    </row>
    <row r="978">
      <c r="A978" s="216"/>
      <c r="B978" s="124"/>
      <c r="C978" s="124"/>
      <c r="D978" s="124"/>
      <c r="E978" s="124"/>
      <c r="F978" s="124"/>
      <c r="G978" s="124"/>
      <c r="H978" s="124"/>
      <c r="I978" s="217" t="str">
        <f>IFERROR(__xludf.DUMMYFUNCTION("""COMPUTED_VALUE"""),"")</f>
        <v/>
      </c>
      <c r="J978" s="219"/>
      <c r="K978" s="219"/>
      <c r="L978" s="124"/>
      <c r="M978" s="124"/>
      <c r="N978" s="124"/>
      <c r="O978" s="124"/>
      <c r="P978" s="124"/>
      <c r="Q978" s="124"/>
      <c r="R978" s="124"/>
      <c r="S978" s="124"/>
      <c r="T978" s="124"/>
      <c r="U978" s="124"/>
      <c r="V978" s="124"/>
      <c r="W978" s="124"/>
      <c r="X978" s="124"/>
    </row>
    <row r="979">
      <c r="A979" s="216"/>
      <c r="B979" s="124"/>
      <c r="C979" s="124"/>
      <c r="D979" s="124"/>
      <c r="E979" s="124"/>
      <c r="F979" s="124"/>
      <c r="G979" s="124"/>
      <c r="H979" s="124"/>
      <c r="I979" s="217" t="str">
        <f>IFERROR(__xludf.DUMMYFUNCTION("""COMPUTED_VALUE"""),"")</f>
        <v/>
      </c>
      <c r="J979" s="219"/>
      <c r="K979" s="219"/>
      <c r="L979" s="124"/>
      <c r="M979" s="124"/>
      <c r="N979" s="124"/>
      <c r="O979" s="124"/>
      <c r="P979" s="124"/>
      <c r="Q979" s="124"/>
      <c r="R979" s="124"/>
      <c r="S979" s="124"/>
      <c r="T979" s="124"/>
      <c r="U979" s="124"/>
      <c r="V979" s="124"/>
      <c r="W979" s="124"/>
      <c r="X979" s="124"/>
    </row>
    <row r="980">
      <c r="A980" s="216"/>
      <c r="B980" s="124"/>
      <c r="C980" s="124"/>
      <c r="D980" s="124"/>
      <c r="E980" s="124"/>
      <c r="F980" s="124"/>
      <c r="G980" s="124"/>
      <c r="H980" s="124"/>
      <c r="I980" s="217" t="str">
        <f>IFERROR(__xludf.DUMMYFUNCTION("""COMPUTED_VALUE"""),"")</f>
        <v/>
      </c>
      <c r="J980" s="219"/>
      <c r="K980" s="219"/>
      <c r="L980" s="124"/>
      <c r="M980" s="124"/>
      <c r="N980" s="124"/>
      <c r="O980" s="124"/>
      <c r="P980" s="124"/>
      <c r="Q980" s="124"/>
      <c r="R980" s="124"/>
      <c r="S980" s="124"/>
      <c r="T980" s="124"/>
      <c r="U980" s="124"/>
      <c r="V980" s="124"/>
      <c r="W980" s="124"/>
      <c r="X980" s="124"/>
    </row>
    <row r="981">
      <c r="A981" s="216"/>
      <c r="B981" s="124"/>
      <c r="C981" s="124"/>
      <c r="D981" s="124"/>
      <c r="E981" s="124"/>
      <c r="F981" s="124"/>
      <c r="G981" s="124"/>
      <c r="H981" s="124"/>
      <c r="I981" s="217" t="str">
        <f>IFERROR(__xludf.DUMMYFUNCTION("""COMPUTED_VALUE"""),"")</f>
        <v/>
      </c>
      <c r="J981" s="219"/>
      <c r="K981" s="219"/>
      <c r="L981" s="124"/>
      <c r="M981" s="124"/>
      <c r="N981" s="124"/>
      <c r="O981" s="124"/>
      <c r="P981" s="124"/>
      <c r="Q981" s="124"/>
      <c r="R981" s="124"/>
      <c r="S981" s="124"/>
      <c r="T981" s="124"/>
      <c r="U981" s="124"/>
      <c r="V981" s="124"/>
      <c r="W981" s="124"/>
      <c r="X981" s="124"/>
    </row>
    <row r="982">
      <c r="A982" s="216"/>
      <c r="B982" s="124"/>
      <c r="C982" s="124"/>
      <c r="D982" s="124"/>
      <c r="E982" s="124"/>
      <c r="F982" s="124"/>
      <c r="G982" s="124"/>
      <c r="H982" s="124"/>
      <c r="I982" s="217" t="str">
        <f>IFERROR(__xludf.DUMMYFUNCTION("""COMPUTED_VALUE"""),"")</f>
        <v/>
      </c>
      <c r="J982" s="219"/>
      <c r="K982" s="219"/>
      <c r="L982" s="124"/>
      <c r="M982" s="124"/>
      <c r="N982" s="124"/>
      <c r="O982" s="124"/>
      <c r="P982" s="124"/>
      <c r="Q982" s="124"/>
      <c r="R982" s="124"/>
      <c r="S982" s="124"/>
      <c r="T982" s="124"/>
      <c r="U982" s="124"/>
      <c r="V982" s="124"/>
      <c r="W982" s="124"/>
      <c r="X982" s="124"/>
    </row>
    <row r="983">
      <c r="A983" s="216"/>
      <c r="B983" s="124"/>
      <c r="C983" s="124"/>
      <c r="D983" s="124"/>
      <c r="E983" s="124"/>
      <c r="F983" s="124"/>
      <c r="G983" s="124"/>
      <c r="H983" s="124"/>
      <c r="I983" s="217" t="str">
        <f>IFERROR(__xludf.DUMMYFUNCTION("""COMPUTED_VALUE"""),"")</f>
        <v/>
      </c>
      <c r="J983" s="219"/>
      <c r="K983" s="219"/>
      <c r="L983" s="124"/>
      <c r="M983" s="124"/>
      <c r="N983" s="124"/>
      <c r="O983" s="124"/>
      <c r="P983" s="124"/>
      <c r="Q983" s="124"/>
      <c r="R983" s="124"/>
      <c r="S983" s="124"/>
      <c r="T983" s="124"/>
      <c r="U983" s="124"/>
      <c r="V983" s="124"/>
      <c r="W983" s="124"/>
      <c r="X983" s="124"/>
    </row>
    <row r="984">
      <c r="A984" s="216"/>
      <c r="B984" s="124"/>
      <c r="C984" s="124"/>
      <c r="D984" s="124"/>
      <c r="E984" s="124"/>
      <c r="F984" s="124"/>
      <c r="G984" s="124"/>
      <c r="H984" s="124"/>
      <c r="I984" s="217" t="str">
        <f>IFERROR(__xludf.DUMMYFUNCTION("""COMPUTED_VALUE"""),"")</f>
        <v/>
      </c>
      <c r="J984" s="219"/>
      <c r="K984" s="219"/>
      <c r="L984" s="124"/>
      <c r="M984" s="124"/>
      <c r="N984" s="124"/>
      <c r="O984" s="124"/>
      <c r="P984" s="124"/>
      <c r="Q984" s="124"/>
      <c r="R984" s="124"/>
      <c r="S984" s="124"/>
      <c r="T984" s="124"/>
      <c r="U984" s="124"/>
      <c r="V984" s="124"/>
      <c r="W984" s="124"/>
      <c r="X984" s="124"/>
    </row>
    <row r="985">
      <c r="A985" s="216"/>
      <c r="B985" s="124"/>
      <c r="C985" s="124"/>
      <c r="D985" s="124"/>
      <c r="E985" s="124"/>
      <c r="F985" s="124"/>
      <c r="G985" s="124"/>
      <c r="H985" s="124"/>
      <c r="I985" s="217" t="str">
        <f>IFERROR(__xludf.DUMMYFUNCTION("""COMPUTED_VALUE"""),"")</f>
        <v/>
      </c>
      <c r="J985" s="219"/>
      <c r="K985" s="219"/>
      <c r="L985" s="124"/>
      <c r="M985" s="124"/>
      <c r="N985" s="124"/>
      <c r="O985" s="124"/>
      <c r="P985" s="124"/>
      <c r="Q985" s="124"/>
      <c r="R985" s="124"/>
      <c r="S985" s="124"/>
      <c r="T985" s="124"/>
      <c r="U985" s="124"/>
      <c r="V985" s="124"/>
      <c r="W985" s="124"/>
      <c r="X985" s="124"/>
    </row>
    <row r="986">
      <c r="A986" s="216"/>
      <c r="B986" s="124"/>
      <c r="C986" s="124"/>
      <c r="D986" s="124"/>
      <c r="E986" s="124"/>
      <c r="F986" s="124"/>
      <c r="G986" s="124"/>
      <c r="H986" s="124"/>
      <c r="I986" s="217" t="str">
        <f>IFERROR(__xludf.DUMMYFUNCTION("""COMPUTED_VALUE"""),"")</f>
        <v/>
      </c>
      <c r="J986" s="219"/>
      <c r="K986" s="219"/>
      <c r="L986" s="124"/>
      <c r="M986" s="124"/>
      <c r="N986" s="124"/>
      <c r="O986" s="124"/>
      <c r="P986" s="124"/>
      <c r="Q986" s="124"/>
      <c r="R986" s="124"/>
      <c r="S986" s="124"/>
      <c r="T986" s="124"/>
      <c r="U986" s="124"/>
      <c r="V986" s="124"/>
      <c r="W986" s="124"/>
      <c r="X986" s="124"/>
    </row>
    <row r="987">
      <c r="A987" s="216"/>
      <c r="B987" s="124"/>
      <c r="C987" s="124"/>
      <c r="D987" s="124"/>
      <c r="E987" s="124"/>
      <c r="F987" s="124"/>
      <c r="G987" s="124"/>
      <c r="H987" s="124"/>
      <c r="I987" s="217" t="str">
        <f>IFERROR(__xludf.DUMMYFUNCTION("""COMPUTED_VALUE"""),"")</f>
        <v/>
      </c>
      <c r="J987" s="219"/>
      <c r="K987" s="219"/>
      <c r="L987" s="124"/>
      <c r="M987" s="124"/>
      <c r="N987" s="124"/>
      <c r="O987" s="124"/>
      <c r="P987" s="124"/>
      <c r="Q987" s="124"/>
      <c r="R987" s="124"/>
      <c r="S987" s="124"/>
      <c r="T987" s="124"/>
      <c r="U987" s="124"/>
      <c r="V987" s="124"/>
      <c r="W987" s="124"/>
      <c r="X987" s="124"/>
    </row>
    <row r="988">
      <c r="A988" s="216"/>
      <c r="B988" s="124"/>
      <c r="C988" s="124"/>
      <c r="D988" s="124"/>
      <c r="E988" s="124"/>
      <c r="F988" s="124"/>
      <c r="G988" s="124"/>
      <c r="H988" s="124"/>
      <c r="I988" s="217" t="str">
        <f>IFERROR(__xludf.DUMMYFUNCTION("""COMPUTED_VALUE"""),"")</f>
        <v/>
      </c>
      <c r="J988" s="219"/>
      <c r="K988" s="219"/>
      <c r="L988" s="124"/>
      <c r="M988" s="124"/>
      <c r="N988" s="124"/>
      <c r="O988" s="124"/>
      <c r="P988" s="124"/>
      <c r="Q988" s="124"/>
      <c r="R988" s="124"/>
      <c r="S988" s="124"/>
      <c r="T988" s="124"/>
      <c r="U988" s="124"/>
      <c r="V988" s="124"/>
      <c r="W988" s="124"/>
      <c r="X988" s="124"/>
    </row>
    <row r="989">
      <c r="A989" s="216"/>
      <c r="B989" s="124"/>
      <c r="C989" s="124"/>
      <c r="D989" s="124"/>
      <c r="E989" s="124"/>
      <c r="F989" s="124"/>
      <c r="G989" s="124"/>
      <c r="H989" s="124"/>
      <c r="I989" s="217" t="str">
        <f>IFERROR(__xludf.DUMMYFUNCTION("""COMPUTED_VALUE"""),"")</f>
        <v/>
      </c>
      <c r="J989" s="219"/>
      <c r="K989" s="219"/>
      <c r="L989" s="124"/>
      <c r="M989" s="124"/>
      <c r="N989" s="124"/>
      <c r="O989" s="124"/>
      <c r="P989" s="124"/>
      <c r="Q989" s="124"/>
      <c r="R989" s="124"/>
      <c r="S989" s="124"/>
      <c r="T989" s="124"/>
      <c r="U989" s="124"/>
      <c r="V989" s="124"/>
      <c r="W989" s="124"/>
      <c r="X989" s="124"/>
    </row>
    <row r="990">
      <c r="A990" s="216"/>
      <c r="B990" s="124"/>
      <c r="C990" s="124"/>
      <c r="D990" s="124"/>
      <c r="E990" s="124"/>
      <c r="F990" s="124"/>
      <c r="G990" s="124"/>
      <c r="H990" s="124"/>
      <c r="I990" s="217" t="str">
        <f>IFERROR(__xludf.DUMMYFUNCTION("""COMPUTED_VALUE"""),"")</f>
        <v/>
      </c>
      <c r="J990" s="219"/>
      <c r="K990" s="219"/>
      <c r="L990" s="124"/>
      <c r="M990" s="124"/>
      <c r="N990" s="124"/>
      <c r="O990" s="124"/>
      <c r="P990" s="124"/>
      <c r="Q990" s="124"/>
      <c r="R990" s="124"/>
      <c r="S990" s="124"/>
      <c r="T990" s="124"/>
      <c r="U990" s="124"/>
      <c r="V990" s="124"/>
      <c r="W990" s="124"/>
      <c r="X990" s="124"/>
    </row>
    <row r="991">
      <c r="A991" s="216"/>
      <c r="B991" s="124"/>
      <c r="C991" s="124"/>
      <c r="D991" s="124"/>
      <c r="E991" s="124"/>
      <c r="F991" s="124"/>
      <c r="G991" s="124"/>
      <c r="H991" s="124"/>
      <c r="I991" s="217" t="str">
        <f>IFERROR(__xludf.DUMMYFUNCTION("""COMPUTED_VALUE"""),"")</f>
        <v/>
      </c>
      <c r="J991" s="219"/>
      <c r="K991" s="219"/>
      <c r="L991" s="124"/>
      <c r="M991" s="124"/>
      <c r="N991" s="124"/>
      <c r="O991" s="124"/>
      <c r="P991" s="124"/>
      <c r="Q991" s="124"/>
      <c r="R991" s="124"/>
      <c r="S991" s="124"/>
      <c r="T991" s="124"/>
      <c r="U991" s="124"/>
      <c r="V991" s="124"/>
      <c r="W991" s="124"/>
      <c r="X991" s="124"/>
    </row>
    <row r="992">
      <c r="A992" s="216"/>
      <c r="B992" s="124"/>
      <c r="C992" s="124"/>
      <c r="D992" s="124"/>
      <c r="E992" s="124"/>
      <c r="F992" s="124"/>
      <c r="G992" s="124"/>
      <c r="H992" s="124"/>
      <c r="I992" s="217" t="str">
        <f>IFERROR(__xludf.DUMMYFUNCTION("""COMPUTED_VALUE"""),"")</f>
        <v/>
      </c>
      <c r="J992" s="219"/>
      <c r="K992" s="219"/>
      <c r="L992" s="124"/>
      <c r="M992" s="124"/>
      <c r="N992" s="124"/>
      <c r="O992" s="124"/>
      <c r="P992" s="124"/>
      <c r="Q992" s="124"/>
      <c r="R992" s="124"/>
      <c r="S992" s="124"/>
      <c r="T992" s="124"/>
      <c r="U992" s="124"/>
      <c r="V992" s="124"/>
      <c r="W992" s="124"/>
      <c r="X992" s="124"/>
    </row>
    <row r="993">
      <c r="A993" s="216"/>
      <c r="B993" s="124"/>
      <c r="C993" s="124"/>
      <c r="D993" s="124"/>
      <c r="E993" s="124"/>
      <c r="F993" s="124"/>
      <c r="G993" s="124"/>
      <c r="H993" s="124"/>
      <c r="I993" s="217" t="str">
        <f>IFERROR(__xludf.DUMMYFUNCTION("""COMPUTED_VALUE"""),"")</f>
        <v/>
      </c>
      <c r="J993" s="219"/>
      <c r="K993" s="219"/>
      <c r="L993" s="124"/>
      <c r="M993" s="124"/>
      <c r="N993" s="124"/>
      <c r="O993" s="124"/>
      <c r="P993" s="124"/>
      <c r="Q993" s="124"/>
      <c r="R993" s="124"/>
      <c r="S993" s="124"/>
      <c r="T993" s="124"/>
      <c r="U993" s="124"/>
      <c r="V993" s="124"/>
      <c r="W993" s="124"/>
      <c r="X993" s="124"/>
    </row>
    <row r="994">
      <c r="A994" s="216"/>
      <c r="B994" s="124"/>
      <c r="C994" s="124"/>
      <c r="D994" s="124"/>
      <c r="E994" s="124"/>
      <c r="F994" s="124"/>
      <c r="G994" s="124"/>
      <c r="H994" s="124"/>
      <c r="I994" s="217" t="str">
        <f>IFERROR(__xludf.DUMMYFUNCTION("""COMPUTED_VALUE"""),"")</f>
        <v/>
      </c>
      <c r="J994" s="219"/>
      <c r="K994" s="219"/>
      <c r="L994" s="124"/>
      <c r="M994" s="124"/>
      <c r="N994" s="124"/>
      <c r="O994" s="124"/>
      <c r="P994" s="124"/>
      <c r="Q994" s="124"/>
      <c r="R994" s="124"/>
      <c r="S994" s="124"/>
      <c r="T994" s="124"/>
      <c r="U994" s="124"/>
      <c r="V994" s="124"/>
      <c r="W994" s="124"/>
      <c r="X994" s="124"/>
    </row>
    <row r="995">
      <c r="A995" s="216"/>
      <c r="B995" s="124"/>
      <c r="C995" s="124"/>
      <c r="D995" s="124"/>
      <c r="E995" s="124"/>
      <c r="F995" s="124"/>
      <c r="G995" s="124"/>
      <c r="H995" s="124"/>
      <c r="I995" s="217" t="str">
        <f>IFERROR(__xludf.DUMMYFUNCTION("""COMPUTED_VALUE"""),"")</f>
        <v/>
      </c>
      <c r="J995" s="219"/>
      <c r="K995" s="219"/>
      <c r="L995" s="124"/>
      <c r="M995" s="124"/>
      <c r="N995" s="124"/>
      <c r="O995" s="124"/>
      <c r="P995" s="124"/>
      <c r="Q995" s="124"/>
      <c r="R995" s="124"/>
      <c r="S995" s="124"/>
      <c r="T995" s="124"/>
      <c r="U995" s="124"/>
      <c r="V995" s="124"/>
      <c r="W995" s="124"/>
      <c r="X995" s="124"/>
    </row>
    <row r="996">
      <c r="A996" s="216"/>
      <c r="B996" s="124"/>
      <c r="C996" s="124"/>
      <c r="D996" s="124"/>
      <c r="E996" s="124"/>
      <c r="F996" s="124"/>
      <c r="G996" s="124"/>
      <c r="H996" s="124"/>
      <c r="I996" s="217" t="str">
        <f>IFERROR(__xludf.DUMMYFUNCTION("""COMPUTED_VALUE"""),"")</f>
        <v/>
      </c>
      <c r="J996" s="219"/>
      <c r="K996" s="219"/>
      <c r="L996" s="124"/>
      <c r="M996" s="124"/>
      <c r="N996" s="124"/>
      <c r="O996" s="124"/>
      <c r="P996" s="124"/>
      <c r="Q996" s="124"/>
      <c r="R996" s="124"/>
      <c r="S996" s="124"/>
      <c r="T996" s="124"/>
      <c r="U996" s="124"/>
      <c r="V996" s="124"/>
      <c r="W996" s="124"/>
      <c r="X996" s="124"/>
    </row>
    <row r="997">
      <c r="A997" s="216"/>
      <c r="B997" s="124"/>
      <c r="C997" s="124"/>
      <c r="D997" s="124"/>
      <c r="E997" s="124"/>
      <c r="F997" s="124"/>
      <c r="G997" s="124"/>
      <c r="H997" s="124"/>
      <c r="I997" s="217" t="str">
        <f>IFERROR(__xludf.DUMMYFUNCTION("""COMPUTED_VALUE"""),"")</f>
        <v/>
      </c>
      <c r="J997" s="219"/>
      <c r="K997" s="219"/>
      <c r="L997" s="124"/>
      <c r="M997" s="124"/>
      <c r="N997" s="124"/>
      <c r="O997" s="124"/>
      <c r="P997" s="124"/>
      <c r="Q997" s="124"/>
      <c r="R997" s="124"/>
      <c r="S997" s="124"/>
      <c r="T997" s="124"/>
      <c r="U997" s="124"/>
      <c r="V997" s="124"/>
      <c r="W997" s="124"/>
      <c r="X997" s="124"/>
    </row>
    <row r="998">
      <c r="A998" s="216"/>
      <c r="B998" s="124"/>
      <c r="C998" s="124"/>
      <c r="D998" s="124"/>
      <c r="E998" s="124"/>
      <c r="F998" s="124"/>
      <c r="G998" s="124"/>
      <c r="H998" s="124"/>
      <c r="I998" s="217" t="str">
        <f>IFERROR(__xludf.DUMMYFUNCTION("""COMPUTED_VALUE"""),"")</f>
        <v/>
      </c>
      <c r="J998" s="219"/>
      <c r="K998" s="219"/>
      <c r="L998" s="124"/>
      <c r="M998" s="124"/>
      <c r="N998" s="124"/>
      <c r="O998" s="124"/>
      <c r="P998" s="124"/>
      <c r="Q998" s="124"/>
      <c r="R998" s="124"/>
      <c r="S998" s="124"/>
      <c r="T998" s="124"/>
      <c r="U998" s="124"/>
      <c r="V998" s="124"/>
      <c r="W998" s="124"/>
      <c r="X998" s="124"/>
    </row>
    <row r="999">
      <c r="A999" s="216"/>
      <c r="B999" s="124"/>
      <c r="C999" s="124"/>
      <c r="D999" s="124"/>
      <c r="E999" s="124"/>
      <c r="F999" s="124"/>
      <c r="G999" s="124"/>
      <c r="H999" s="124"/>
      <c r="I999" s="217" t="str">
        <f>IFERROR(__xludf.DUMMYFUNCTION("""COMPUTED_VALUE"""),"")</f>
        <v/>
      </c>
      <c r="J999" s="219"/>
      <c r="K999" s="219"/>
      <c r="L999" s="124"/>
      <c r="M999" s="124"/>
      <c r="N999" s="124"/>
      <c r="O999" s="124"/>
      <c r="P999" s="124"/>
      <c r="Q999" s="124"/>
      <c r="R999" s="124"/>
      <c r="S999" s="124"/>
      <c r="T999" s="124"/>
      <c r="U999" s="124"/>
      <c r="V999" s="124"/>
      <c r="W999" s="124"/>
      <c r="X999" s="124"/>
    </row>
    <row r="1000">
      <c r="A1000" s="216"/>
      <c r="B1000" s="124"/>
      <c r="C1000" s="124"/>
      <c r="D1000" s="124"/>
      <c r="E1000" s="124"/>
      <c r="F1000" s="124"/>
      <c r="G1000" s="124"/>
      <c r="H1000" s="124"/>
      <c r="I1000" s="217" t="str">
        <f>IFERROR(__xludf.DUMMYFUNCTION("""COMPUTED_VALUE"""),"")</f>
        <v/>
      </c>
      <c r="J1000" s="219"/>
      <c r="K1000" s="219"/>
      <c r="L1000" s="124"/>
      <c r="M1000" s="124"/>
      <c r="N1000" s="124"/>
      <c r="O1000" s="124"/>
      <c r="P1000" s="124"/>
      <c r="Q1000" s="124"/>
      <c r="R1000" s="124"/>
      <c r="S1000" s="124"/>
      <c r="T1000" s="124"/>
      <c r="U1000" s="124"/>
      <c r="V1000" s="124"/>
      <c r="W1000" s="124"/>
      <c r="X1000" s="124"/>
    </row>
  </sheetData>
  <autoFilter ref="$A$2:$X$55"/>
  <dataValidations>
    <dataValidation type="list" allowBlank="1" sqref="D57:D1000">
      <formula1>'Product KEY'!$D$2:$D1063</formula1>
    </dataValidation>
    <dataValidation type="list" allowBlank="1" sqref="G3">
      <formula1>'Product KEY'!$J$2:$J1000</formula1>
    </dataValidation>
    <dataValidation type="list" allowBlank="1" sqref="F3">
      <formula1>'Product KEY'!$H$2:$H1000</formula1>
    </dataValidation>
    <dataValidation type="list" allowBlank="1" sqref="F13:F32">
      <formula1>'Product KEY'!$H$2:$H1016</formula1>
    </dataValidation>
    <dataValidation type="list" allowBlank="1" sqref="G13:G32">
      <formula1>'Product KEY'!$J$2:$J1016</formula1>
    </dataValidation>
    <dataValidation type="list" allowBlank="1" sqref="F57:F1000">
      <formula1>'Product KEY'!$H$2:$H1063</formula1>
    </dataValidation>
    <dataValidation type="list" allowBlank="1" sqref="G33:G56">
      <formula1>'Product KEY'!$J$2:$J1038</formula1>
    </dataValidation>
    <dataValidation type="list" allowBlank="1" sqref="G4:G12">
      <formula1>'Product KEY'!$J$2:$J1003</formula1>
    </dataValidation>
    <dataValidation type="list" allowBlank="1" sqref="C12">
      <formula1>'Product KEY'!$B$2:$B941</formula1>
    </dataValidation>
    <dataValidation type="list" allowBlank="1" sqref="D13:D32">
      <formula1>'Product KEY'!$D$2:$D1016</formula1>
    </dataValidation>
    <dataValidation type="list" allowBlank="1" sqref="D4:D12">
      <formula1>'Product KEY'!$D$2:$D1003</formula1>
    </dataValidation>
    <dataValidation type="list" allowBlank="1" sqref="B33:B56">
      <formula1>'Product KEY'!$A$2:$A1038</formula1>
    </dataValidation>
    <dataValidation type="list" allowBlank="1" sqref="B13:B32">
      <formula1>'Product KEY'!$A$2:$A1016</formula1>
    </dataValidation>
    <dataValidation type="list" allowBlank="1" sqref="F33:F56">
      <formula1>'Product KEY'!$H$2:$H1038</formula1>
    </dataValidation>
    <dataValidation type="list" allowBlank="1" sqref="G57:G1000">
      <formula1>'Product KEY'!$J$2:$J1063</formula1>
    </dataValidation>
    <dataValidation type="list" allowBlank="1" sqref="C13:C18">
      <formula1>'Product KEY'!$B$2:$B946</formula1>
    </dataValidation>
    <dataValidation type="list" allowBlank="1" sqref="D33:D56">
      <formula1>'Product KEY'!$D$2:$D1038</formula1>
    </dataValidation>
    <dataValidation type="list" allowBlank="1" sqref="E4:E12">
      <formula1>'Product KEY'!$F$2:$F1003</formula1>
    </dataValidation>
    <dataValidation type="list" allowBlank="1" sqref="E13:E32">
      <formula1>'Product KEY'!$F$2:$F1016</formula1>
    </dataValidation>
    <dataValidation type="list" allowBlank="1" sqref="C3:C4">
      <formula1>'Product KEY'!$B$2:$B916</formula1>
    </dataValidation>
    <dataValidation type="list" allowBlank="1" sqref="D3">
      <formula1>'Product KEY'!$D$2:$D1000</formula1>
    </dataValidation>
    <dataValidation type="list" allowBlank="1" sqref="C19:C32">
      <formula1>'Product KEY'!$B$2:$B1022</formula1>
    </dataValidation>
    <dataValidation type="list" allowBlank="1" sqref="C57:C1000">
      <formula1>'Product KEY'!$B$2:$B1063</formula1>
    </dataValidation>
    <dataValidation type="list" allowBlank="1" sqref="B57:B1000">
      <formula1>'Product KEY'!$A$2:$A1063</formula1>
    </dataValidation>
    <dataValidation type="list" allowBlank="1" sqref="E57:E1000">
      <formula1>'Product KEY'!$F$2:$F1063</formula1>
    </dataValidation>
    <dataValidation type="list" allowBlank="1" sqref="B3">
      <formula1>'Product KEY'!$A$2:$A1000</formula1>
    </dataValidation>
    <dataValidation type="list" allowBlank="1" sqref="F4:F12">
      <formula1>'Product KEY'!$H$2:$H1003</formula1>
    </dataValidation>
    <dataValidation type="list" allowBlank="1" sqref="E33:E56">
      <formula1>'Product KEY'!$F$2:$F1038</formula1>
    </dataValidation>
    <dataValidation type="list" allowBlank="1" sqref="E3">
      <formula1>'Product KEY'!$F$2:$F1000</formula1>
    </dataValidation>
    <dataValidation type="list" allowBlank="1" sqref="C7:C11">
      <formula1>'Product KEY'!$B$2:$B927</formula1>
    </dataValidation>
    <dataValidation type="list" allowBlank="1" sqref="C33:C56">
      <formula1>'Product KEY'!$B$2:$B1038</formula1>
    </dataValidation>
    <dataValidation type="list" allowBlank="1" sqref="C5:C6">
      <formula1>'Product KEY'!$B$2:$B919</formula1>
    </dataValidation>
  </dataValidation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0.5"/>
    <col customWidth="1" min="3" max="3" width="10.75"/>
    <col customWidth="1" min="4" max="4" width="14.38"/>
    <col customWidth="1" min="5" max="5" width="8.75"/>
    <col customWidth="1" min="6" max="6" width="7.5"/>
    <col customWidth="1" min="7" max="7" width="6.63"/>
    <col customWidth="1" min="8" max="8" width="20.63"/>
    <col customWidth="1" min="9" max="9" width="8.25"/>
    <col customWidth="1" min="10" max="10" width="7.63"/>
    <col customWidth="1" min="11" max="11" width="14.63"/>
    <col customWidth="1" min="12" max="12" width="13.25"/>
    <col customWidth="1" min="13" max="13" width="10.63"/>
    <col customWidth="1" min="14" max="14" width="10.75"/>
    <col customWidth="1" min="15" max="15" width="19.88"/>
    <col customWidth="1" min="16" max="16" width="9.5"/>
    <col customWidth="1" min="17" max="27" width="7.63"/>
  </cols>
  <sheetData>
    <row r="1">
      <c r="A1" s="230" t="s">
        <v>8890</v>
      </c>
      <c r="B1" s="231" t="s">
        <v>1</v>
      </c>
      <c r="C1" s="232" t="s">
        <v>1132</v>
      </c>
      <c r="D1" s="230" t="s">
        <v>1076</v>
      </c>
      <c r="E1" s="230" t="s">
        <v>1132</v>
      </c>
      <c r="F1" s="230" t="s">
        <v>8740</v>
      </c>
      <c r="G1" s="230" t="s">
        <v>1132</v>
      </c>
      <c r="H1" s="230" t="s">
        <v>8891</v>
      </c>
      <c r="I1" s="230" t="s">
        <v>1132</v>
      </c>
      <c r="J1" s="232" t="s">
        <v>8742</v>
      </c>
      <c r="K1" s="233" t="s">
        <v>8745</v>
      </c>
      <c r="L1" s="234" t="s">
        <v>8892</v>
      </c>
      <c r="M1" s="235" t="s">
        <v>6646</v>
      </c>
      <c r="N1" s="235" t="s">
        <v>1085</v>
      </c>
      <c r="O1" s="235"/>
      <c r="P1" s="230"/>
      <c r="Q1" s="230"/>
      <c r="R1" s="230"/>
      <c r="S1" s="230"/>
      <c r="T1" s="230"/>
      <c r="U1" s="230"/>
      <c r="V1" s="230"/>
      <c r="W1" s="230"/>
      <c r="X1" s="230"/>
      <c r="Y1" s="230"/>
      <c r="Z1" s="230"/>
      <c r="AA1" s="230"/>
    </row>
    <row r="2">
      <c r="A2" s="236" t="s">
        <v>117</v>
      </c>
      <c r="B2" s="237" t="s">
        <v>6098</v>
      </c>
      <c r="C2" s="234" t="s">
        <v>8893</v>
      </c>
      <c r="D2" s="236" t="s">
        <v>8794</v>
      </c>
      <c r="E2" s="230" t="s">
        <v>8894</v>
      </c>
      <c r="F2" s="230" t="s">
        <v>5967</v>
      </c>
      <c r="G2" s="236" t="s">
        <v>8854</v>
      </c>
      <c r="H2" s="236" t="s">
        <v>8764</v>
      </c>
      <c r="I2" s="230" t="s">
        <v>8895</v>
      </c>
      <c r="J2" s="238">
        <v>1.0</v>
      </c>
      <c r="K2" s="239" t="s">
        <v>1170</v>
      </c>
      <c r="L2" s="238" t="s">
        <v>6705</v>
      </c>
      <c r="M2" s="54" t="s">
        <v>1140</v>
      </c>
      <c r="N2" s="52" t="s">
        <v>1170</v>
      </c>
      <c r="O2" s="21"/>
      <c r="P2" s="236"/>
      <c r="Q2" s="236"/>
      <c r="R2" s="236"/>
      <c r="S2" s="236"/>
      <c r="T2" s="236"/>
      <c r="U2" s="236"/>
      <c r="V2" s="236"/>
      <c r="W2" s="236"/>
      <c r="X2" s="236"/>
      <c r="Y2" s="236"/>
      <c r="Z2" s="236"/>
      <c r="AA2" s="236"/>
    </row>
    <row r="3">
      <c r="A3" s="236" t="s">
        <v>6068</v>
      </c>
      <c r="B3" s="237" t="s">
        <v>8751</v>
      </c>
      <c r="C3" s="234" t="s">
        <v>1189</v>
      </c>
      <c r="D3" s="240" t="s">
        <v>8798</v>
      </c>
      <c r="E3" s="235" t="s">
        <v>1198</v>
      </c>
      <c r="F3" s="230" t="s">
        <v>5956</v>
      </c>
      <c r="G3" s="236" t="s">
        <v>8869</v>
      </c>
      <c r="H3" s="236" t="s">
        <v>8759</v>
      </c>
      <c r="I3" s="235" t="s">
        <v>8896</v>
      </c>
      <c r="J3" s="238">
        <v>2.0</v>
      </c>
      <c r="K3" s="239" t="s">
        <v>1139</v>
      </c>
      <c r="L3" s="238" t="s">
        <v>6727</v>
      </c>
      <c r="M3" s="54" t="s">
        <v>80</v>
      </c>
      <c r="N3" s="52" t="s">
        <v>1139</v>
      </c>
      <c r="O3" s="21"/>
      <c r="P3" s="236"/>
      <c r="Q3" s="236"/>
      <c r="R3" s="236"/>
      <c r="S3" s="236"/>
      <c r="T3" s="236"/>
      <c r="U3" s="236"/>
      <c r="V3" s="236"/>
      <c r="W3" s="236"/>
      <c r="X3" s="236"/>
      <c r="Y3" s="236"/>
      <c r="Z3" s="236"/>
      <c r="AA3" s="236"/>
    </row>
    <row r="4">
      <c r="A4" s="240" t="s">
        <v>6266</v>
      </c>
      <c r="B4" s="237" t="s">
        <v>6105</v>
      </c>
      <c r="C4" s="234" t="s">
        <v>8897</v>
      </c>
      <c r="D4" s="236" t="s">
        <v>8776</v>
      </c>
      <c r="E4" s="230" t="s">
        <v>1314</v>
      </c>
      <c r="F4" s="230" t="s">
        <v>5958</v>
      </c>
      <c r="G4" s="236" t="s">
        <v>8868</v>
      </c>
      <c r="H4" s="236" t="s">
        <v>6750</v>
      </c>
      <c r="I4" s="235" t="s">
        <v>1183</v>
      </c>
      <c r="J4" s="238">
        <v>3.0</v>
      </c>
      <c r="K4" s="239" t="s">
        <v>691</v>
      </c>
      <c r="L4" s="238" t="s">
        <v>6735</v>
      </c>
      <c r="M4" s="54" t="s">
        <v>45</v>
      </c>
      <c r="N4" s="55" t="s">
        <v>93</v>
      </c>
      <c r="O4" s="21"/>
      <c r="P4" s="236"/>
      <c r="Q4" s="236"/>
      <c r="R4" s="236"/>
      <c r="S4" s="236"/>
      <c r="T4" s="236"/>
      <c r="U4" s="236"/>
      <c r="V4" s="236"/>
      <c r="W4" s="236"/>
      <c r="X4" s="236"/>
      <c r="Y4" s="236"/>
      <c r="Z4" s="236"/>
      <c r="AA4" s="236"/>
    </row>
    <row r="5">
      <c r="A5" s="240" t="s">
        <v>1074</v>
      </c>
      <c r="B5" s="237" t="s">
        <v>8750</v>
      </c>
      <c r="C5" s="232" t="s">
        <v>8898</v>
      </c>
      <c r="D5" s="236" t="s">
        <v>8748</v>
      </c>
      <c r="E5" s="230" t="s">
        <v>1270</v>
      </c>
      <c r="F5" s="230" t="s">
        <v>5963</v>
      </c>
      <c r="G5" s="236" t="s">
        <v>8899</v>
      </c>
      <c r="H5" s="236" t="s">
        <v>8749</v>
      </c>
      <c r="I5" s="230" t="s">
        <v>1202</v>
      </c>
      <c r="J5" s="238">
        <v>4.0</v>
      </c>
      <c r="K5" s="239" t="s">
        <v>1152</v>
      </c>
      <c r="L5" s="238" t="s">
        <v>6723</v>
      </c>
      <c r="M5" s="54" t="s">
        <v>1153</v>
      </c>
      <c r="N5" s="52" t="s">
        <v>1148</v>
      </c>
      <c r="O5" s="21"/>
      <c r="P5" s="236"/>
      <c r="Q5" s="236"/>
      <c r="R5" s="236"/>
      <c r="S5" s="236"/>
      <c r="T5" s="236"/>
      <c r="U5" s="236"/>
      <c r="V5" s="236"/>
      <c r="W5" s="236"/>
      <c r="X5" s="236"/>
      <c r="Y5" s="236"/>
      <c r="Z5" s="236"/>
      <c r="AA5" s="236"/>
    </row>
    <row r="6">
      <c r="A6" s="236"/>
      <c r="B6" s="237" t="s">
        <v>8747</v>
      </c>
      <c r="C6" s="232" t="s">
        <v>8900</v>
      </c>
      <c r="D6" s="236" t="s">
        <v>8784</v>
      </c>
      <c r="E6" s="230" t="s">
        <v>1286</v>
      </c>
      <c r="F6" s="230" t="s">
        <v>5974</v>
      </c>
      <c r="G6" s="236" t="s">
        <v>8901</v>
      </c>
      <c r="H6" s="236" t="s">
        <v>8790</v>
      </c>
      <c r="I6" s="230" t="s">
        <v>8902</v>
      </c>
      <c r="J6" s="238">
        <v>5.0</v>
      </c>
      <c r="K6" s="241" t="s">
        <v>93</v>
      </c>
      <c r="L6" s="238" t="s">
        <v>6708</v>
      </c>
      <c r="M6" s="54" t="s">
        <v>779</v>
      </c>
      <c r="N6" s="52" t="s">
        <v>1152</v>
      </c>
      <c r="O6" s="21"/>
      <c r="P6" s="236"/>
      <c r="Q6" s="236"/>
      <c r="R6" s="236"/>
      <c r="S6" s="236"/>
      <c r="T6" s="236"/>
      <c r="U6" s="236"/>
      <c r="V6" s="236"/>
      <c r="W6" s="236"/>
      <c r="X6" s="236"/>
      <c r="Y6" s="236"/>
      <c r="Z6" s="236"/>
      <c r="AA6" s="236"/>
    </row>
    <row r="7">
      <c r="A7" s="236"/>
      <c r="B7" s="237" t="s">
        <v>8758</v>
      </c>
      <c r="C7" s="232" t="s">
        <v>1209</v>
      </c>
      <c r="D7" s="240" t="s">
        <v>8903</v>
      </c>
      <c r="E7" s="235" t="s">
        <v>8904</v>
      </c>
      <c r="F7" s="230" t="s">
        <v>5970</v>
      </c>
      <c r="G7" s="236" t="s">
        <v>8877</v>
      </c>
      <c r="H7" s="236" t="s">
        <v>8778</v>
      </c>
      <c r="I7" s="230" t="s">
        <v>1209</v>
      </c>
      <c r="J7" s="238">
        <v>6.0</v>
      </c>
      <c r="K7" s="239" t="s">
        <v>1148</v>
      </c>
      <c r="L7" s="238" t="s">
        <v>6737</v>
      </c>
      <c r="M7" s="54" t="s">
        <v>1161</v>
      </c>
      <c r="N7" s="52" t="s">
        <v>691</v>
      </c>
      <c r="O7" s="21"/>
      <c r="P7" s="236"/>
      <c r="Q7" s="236"/>
      <c r="R7" s="236"/>
      <c r="S7" s="236"/>
      <c r="T7" s="236"/>
      <c r="U7" s="236"/>
      <c r="V7" s="236"/>
      <c r="W7" s="236"/>
      <c r="X7" s="236"/>
      <c r="Y7" s="236"/>
      <c r="Z7" s="236"/>
      <c r="AA7" s="236"/>
    </row>
    <row r="8">
      <c r="A8" s="236"/>
      <c r="B8" s="237" t="s">
        <v>8760</v>
      </c>
      <c r="C8" s="232" t="s">
        <v>8905</v>
      </c>
      <c r="D8" s="240" t="s">
        <v>8802</v>
      </c>
      <c r="E8" s="235" t="s">
        <v>8906</v>
      </c>
      <c r="F8" s="230" t="s">
        <v>5978</v>
      </c>
      <c r="G8" s="236" t="s">
        <v>8907</v>
      </c>
      <c r="H8" s="236" t="s">
        <v>8785</v>
      </c>
      <c r="I8" s="230" t="s">
        <v>1396</v>
      </c>
      <c r="J8" s="238">
        <v>7.0</v>
      </c>
      <c r="K8" s="239" t="s">
        <v>1160</v>
      </c>
      <c r="L8" s="238" t="s">
        <v>6739</v>
      </c>
      <c r="M8" s="54" t="s">
        <v>1166</v>
      </c>
      <c r="N8" s="52" t="s">
        <v>1160</v>
      </c>
      <c r="O8" s="21"/>
      <c r="P8" s="236"/>
      <c r="Q8" s="236"/>
      <c r="R8" s="236"/>
      <c r="S8" s="236"/>
      <c r="T8" s="236"/>
      <c r="U8" s="236"/>
      <c r="V8" s="236"/>
      <c r="W8" s="236"/>
      <c r="X8" s="236"/>
      <c r="Y8" s="236"/>
      <c r="Z8" s="236"/>
      <c r="AA8" s="236"/>
    </row>
    <row r="9">
      <c r="A9" s="236"/>
      <c r="B9" s="237" t="s">
        <v>8755</v>
      </c>
      <c r="C9" s="232" t="s">
        <v>1240</v>
      </c>
      <c r="D9" s="240" t="s">
        <v>4049</v>
      </c>
      <c r="E9" s="235" t="s">
        <v>8908</v>
      </c>
      <c r="F9" s="235" t="s">
        <v>8352</v>
      </c>
      <c r="G9" s="240">
        <v>5.0</v>
      </c>
      <c r="H9" s="236" t="s">
        <v>8788</v>
      </c>
      <c r="I9" s="230" t="s">
        <v>1400</v>
      </c>
      <c r="J9" s="238">
        <v>8.0</v>
      </c>
      <c r="K9" s="233"/>
      <c r="L9" s="238" t="s">
        <v>6705</v>
      </c>
      <c r="M9" s="54" t="s">
        <v>1171</v>
      </c>
      <c r="N9" s="52" t="s">
        <v>1165</v>
      </c>
      <c r="O9" s="21"/>
      <c r="P9" s="236"/>
      <c r="Q9" s="236"/>
      <c r="R9" s="236"/>
      <c r="S9" s="236"/>
      <c r="T9" s="236"/>
      <c r="U9" s="236"/>
      <c r="V9" s="236"/>
      <c r="W9" s="236"/>
      <c r="X9" s="236"/>
      <c r="Y9" s="236"/>
      <c r="Z9" s="236"/>
      <c r="AA9" s="236"/>
    </row>
    <row r="10">
      <c r="A10" s="236"/>
      <c r="B10" s="237" t="s">
        <v>6085</v>
      </c>
      <c r="C10" s="232" t="s">
        <v>8909</v>
      </c>
      <c r="D10" s="240" t="s">
        <v>8811</v>
      </c>
      <c r="E10" s="235" t="s">
        <v>8910</v>
      </c>
      <c r="F10" s="235" t="s">
        <v>8781</v>
      </c>
      <c r="G10" s="240" t="s">
        <v>8781</v>
      </c>
      <c r="H10" s="236" t="s">
        <v>8789</v>
      </c>
      <c r="I10" s="230" t="s">
        <v>8911</v>
      </c>
      <c r="J10" s="242" t="s">
        <v>19</v>
      </c>
      <c r="K10" s="233"/>
      <c r="L10" s="238" t="s">
        <v>6711</v>
      </c>
      <c r="M10" s="54" t="s">
        <v>1175</v>
      </c>
      <c r="N10" s="55"/>
      <c r="O10" s="21"/>
      <c r="P10" s="236"/>
      <c r="Q10" s="236"/>
      <c r="R10" s="236"/>
      <c r="S10" s="236"/>
      <c r="T10" s="236"/>
      <c r="U10" s="236"/>
      <c r="V10" s="236"/>
      <c r="W10" s="236"/>
      <c r="X10" s="236"/>
      <c r="Y10" s="236"/>
      <c r="Z10" s="236"/>
      <c r="AA10" s="236"/>
    </row>
    <row r="11">
      <c r="A11" s="236"/>
      <c r="B11" s="237" t="s">
        <v>8763</v>
      </c>
      <c r="C11" s="232" t="s">
        <v>1284</v>
      </c>
      <c r="D11" s="240" t="s">
        <v>4052</v>
      </c>
      <c r="E11" s="235" t="s">
        <v>1390</v>
      </c>
      <c r="F11" s="235" t="s">
        <v>8777</v>
      </c>
      <c r="G11" s="240" t="s">
        <v>8777</v>
      </c>
      <c r="H11" s="240" t="s">
        <v>8912</v>
      </c>
      <c r="I11" s="235" t="s">
        <v>8913</v>
      </c>
      <c r="J11" s="242" t="s">
        <v>348</v>
      </c>
      <c r="K11" s="233"/>
      <c r="L11" s="238" t="s">
        <v>6719</v>
      </c>
      <c r="M11" s="54" t="s">
        <v>1179</v>
      </c>
      <c r="N11" s="55"/>
      <c r="O11" s="21"/>
      <c r="P11" s="236"/>
      <c r="Q11" s="236"/>
      <c r="R11" s="236"/>
      <c r="S11" s="236"/>
      <c r="T11" s="236"/>
      <c r="U11" s="236"/>
      <c r="V11" s="236"/>
      <c r="W11" s="236"/>
      <c r="X11" s="236"/>
      <c r="Y11" s="236"/>
      <c r="Z11" s="236"/>
      <c r="AA11" s="236"/>
    </row>
    <row r="12">
      <c r="A12" s="236"/>
      <c r="B12" s="237" t="s">
        <v>8762</v>
      </c>
      <c r="C12" s="232" t="s">
        <v>1354</v>
      </c>
      <c r="D12" s="236"/>
      <c r="E12" s="230"/>
      <c r="F12" s="235" t="s">
        <v>8779</v>
      </c>
      <c r="G12" s="240" t="s">
        <v>8779</v>
      </c>
      <c r="H12" s="236" t="s">
        <v>8787</v>
      </c>
      <c r="I12" s="230" t="s">
        <v>1314</v>
      </c>
      <c r="J12" s="242" t="s">
        <v>1001</v>
      </c>
      <c r="K12" s="233"/>
      <c r="L12" s="238" t="s">
        <v>6725</v>
      </c>
      <c r="M12" s="54" t="s">
        <v>1184</v>
      </c>
      <c r="N12" s="55"/>
      <c r="O12" s="21"/>
      <c r="P12" s="236"/>
      <c r="Q12" s="236"/>
      <c r="R12" s="236"/>
      <c r="S12" s="236"/>
      <c r="T12" s="236"/>
      <c r="U12" s="236"/>
      <c r="V12" s="236"/>
      <c r="W12" s="236"/>
      <c r="X12" s="236"/>
      <c r="Y12" s="236"/>
      <c r="Z12" s="236"/>
      <c r="AA12" s="236"/>
    </row>
    <row r="13">
      <c r="A13" s="236"/>
      <c r="B13" s="237" t="s">
        <v>6111</v>
      </c>
      <c r="C13" s="232" t="s">
        <v>8914</v>
      </c>
      <c r="D13" s="236"/>
      <c r="E13" s="230"/>
      <c r="F13" s="230"/>
      <c r="G13" s="236"/>
      <c r="H13" s="236" t="s">
        <v>8780</v>
      </c>
      <c r="I13" s="235" t="s">
        <v>1180</v>
      </c>
      <c r="J13" s="242" t="s">
        <v>8915</v>
      </c>
      <c r="K13" s="233"/>
      <c r="L13" s="238" t="s">
        <v>6759</v>
      </c>
      <c r="M13" s="54" t="s">
        <v>508</v>
      </c>
      <c r="N13" s="55"/>
      <c r="O13" s="21"/>
      <c r="P13" s="236"/>
      <c r="Q13" s="236"/>
      <c r="R13" s="236"/>
      <c r="S13" s="236"/>
      <c r="T13" s="236"/>
      <c r="U13" s="236"/>
      <c r="V13" s="236"/>
      <c r="W13" s="236"/>
      <c r="X13" s="236"/>
      <c r="Y13" s="236"/>
      <c r="Z13" s="236"/>
      <c r="AA13" s="236"/>
    </row>
    <row r="14">
      <c r="A14" s="236"/>
      <c r="B14" s="237" t="s">
        <v>8761</v>
      </c>
      <c r="C14" s="232" t="s">
        <v>8916</v>
      </c>
      <c r="D14" s="236"/>
      <c r="E14" s="230"/>
      <c r="F14" s="230"/>
      <c r="G14" s="236"/>
      <c r="H14" s="236" t="s">
        <v>8782</v>
      </c>
      <c r="I14" s="235" t="s">
        <v>8917</v>
      </c>
      <c r="J14" s="242" t="s">
        <v>8918</v>
      </c>
      <c r="K14" s="233"/>
      <c r="L14" s="238" t="s">
        <v>6750</v>
      </c>
      <c r="M14" s="54" t="s">
        <v>509</v>
      </c>
      <c r="N14" s="55"/>
      <c r="O14" s="21"/>
      <c r="P14" s="236"/>
      <c r="Q14" s="236"/>
      <c r="R14" s="236"/>
      <c r="S14" s="236"/>
      <c r="T14" s="236"/>
      <c r="U14" s="236"/>
      <c r="V14" s="236"/>
      <c r="W14" s="236"/>
      <c r="X14" s="236"/>
      <c r="Y14" s="236"/>
      <c r="Z14" s="236"/>
      <c r="AA14" s="236"/>
    </row>
    <row r="15">
      <c r="A15" s="236"/>
      <c r="B15" s="237" t="s">
        <v>8754</v>
      </c>
      <c r="C15" s="232" t="s">
        <v>8919</v>
      </c>
      <c r="D15" s="236"/>
      <c r="E15" s="230"/>
      <c r="F15" s="230"/>
      <c r="G15" s="236"/>
      <c r="H15" s="236" t="s">
        <v>8783</v>
      </c>
      <c r="I15" s="230" t="s">
        <v>8920</v>
      </c>
      <c r="J15" s="242"/>
      <c r="K15" s="233"/>
      <c r="L15" s="238" t="s">
        <v>380</v>
      </c>
      <c r="M15" s="154"/>
      <c r="N15" s="55"/>
      <c r="O15" s="21"/>
      <c r="P15" s="236"/>
      <c r="Q15" s="236"/>
      <c r="R15" s="236"/>
      <c r="S15" s="236"/>
      <c r="T15" s="236"/>
      <c r="U15" s="236"/>
      <c r="V15" s="236"/>
      <c r="W15" s="236"/>
      <c r="X15" s="236"/>
      <c r="Y15" s="236"/>
      <c r="Z15" s="236"/>
      <c r="AA15" s="236"/>
    </row>
    <row r="16">
      <c r="A16" s="236"/>
      <c r="B16" s="237" t="s">
        <v>8756</v>
      </c>
      <c r="C16" s="232" t="s">
        <v>8921</v>
      </c>
      <c r="D16" s="236"/>
      <c r="E16" s="230"/>
      <c r="F16" s="230"/>
      <c r="G16" s="236"/>
      <c r="H16" s="236" t="s">
        <v>8757</v>
      </c>
      <c r="I16" s="235" t="s">
        <v>8922</v>
      </c>
      <c r="J16" s="242"/>
      <c r="K16" s="233"/>
      <c r="L16" s="238" t="s">
        <v>6793</v>
      </c>
      <c r="M16" s="154"/>
      <c r="N16" s="55"/>
      <c r="O16" s="21"/>
      <c r="P16" s="236"/>
      <c r="Q16" s="236"/>
      <c r="R16" s="236"/>
      <c r="S16" s="236"/>
      <c r="T16" s="236"/>
      <c r="U16" s="236"/>
      <c r="V16" s="236"/>
      <c r="W16" s="236"/>
      <c r="X16" s="236"/>
      <c r="Y16" s="236"/>
      <c r="Z16" s="236"/>
      <c r="AA16" s="236"/>
    </row>
    <row r="17">
      <c r="A17" s="236"/>
      <c r="B17" s="243" t="s">
        <v>8808</v>
      </c>
      <c r="C17" s="234" t="s">
        <v>1286</v>
      </c>
      <c r="D17" s="236"/>
      <c r="E17" s="230"/>
      <c r="F17" s="230"/>
      <c r="G17" s="236"/>
      <c r="H17" s="236" t="s">
        <v>6705</v>
      </c>
      <c r="I17" s="235" t="s">
        <v>8923</v>
      </c>
      <c r="J17" s="242"/>
      <c r="K17" s="233"/>
      <c r="L17" s="238" t="s">
        <v>6792</v>
      </c>
      <c r="M17" s="154"/>
      <c r="N17" s="55"/>
      <c r="O17" s="21"/>
      <c r="P17" s="236"/>
      <c r="Q17" s="236"/>
      <c r="R17" s="236"/>
      <c r="S17" s="236"/>
      <c r="T17" s="236"/>
      <c r="U17" s="236"/>
      <c r="V17" s="236"/>
      <c r="W17" s="236"/>
      <c r="X17" s="236"/>
      <c r="Y17" s="236"/>
      <c r="Z17" s="236"/>
      <c r="AA17" s="236"/>
    </row>
    <row r="18">
      <c r="A18" s="236"/>
      <c r="B18" s="243" t="s">
        <v>8765</v>
      </c>
      <c r="C18" s="234" t="s">
        <v>1222</v>
      </c>
      <c r="D18" s="236"/>
      <c r="E18" s="230"/>
      <c r="F18" s="230"/>
      <c r="G18" s="236"/>
      <c r="H18" s="240" t="s">
        <v>8810</v>
      </c>
      <c r="I18" s="235" t="s">
        <v>8924</v>
      </c>
      <c r="J18" s="242"/>
      <c r="K18" s="233"/>
      <c r="L18" s="238" t="s">
        <v>6795</v>
      </c>
      <c r="M18" s="154"/>
      <c r="N18" s="55"/>
      <c r="O18" s="21"/>
      <c r="P18" s="236"/>
      <c r="Q18" s="236"/>
      <c r="R18" s="236"/>
      <c r="S18" s="236"/>
      <c r="T18" s="236"/>
      <c r="U18" s="236"/>
      <c r="V18" s="236"/>
      <c r="W18" s="236"/>
      <c r="X18" s="236"/>
      <c r="Y18" s="236"/>
      <c r="Z18" s="236"/>
      <c r="AA18" s="236"/>
    </row>
    <row r="19">
      <c r="A19" s="236"/>
      <c r="B19" s="243" t="s">
        <v>8766</v>
      </c>
      <c r="C19" s="234" t="s">
        <v>1312</v>
      </c>
      <c r="D19" s="236"/>
      <c r="E19" s="230"/>
      <c r="F19" s="230"/>
      <c r="G19" s="236"/>
      <c r="H19" s="240" t="s">
        <v>6735</v>
      </c>
      <c r="I19" s="235" t="s">
        <v>1145</v>
      </c>
      <c r="J19" s="242"/>
      <c r="K19" s="233"/>
      <c r="L19" s="238" t="s">
        <v>6796</v>
      </c>
      <c r="M19" s="154"/>
      <c r="N19" s="55"/>
      <c r="O19" s="21"/>
      <c r="P19" s="236"/>
      <c r="Q19" s="236"/>
      <c r="R19" s="236"/>
      <c r="S19" s="236"/>
      <c r="T19" s="236"/>
      <c r="U19" s="236"/>
      <c r="V19" s="236"/>
      <c r="W19" s="236"/>
      <c r="X19" s="236"/>
      <c r="Y19" s="236"/>
      <c r="Z19" s="236"/>
      <c r="AA19" s="236"/>
    </row>
    <row r="20">
      <c r="A20" s="236"/>
      <c r="B20" s="243" t="s">
        <v>8768</v>
      </c>
      <c r="C20" s="234" t="s">
        <v>1223</v>
      </c>
      <c r="D20" s="236"/>
      <c r="E20" s="230"/>
      <c r="F20" s="230"/>
      <c r="G20" s="236"/>
      <c r="H20" s="240" t="s">
        <v>8771</v>
      </c>
      <c r="I20" s="235" t="s">
        <v>8925</v>
      </c>
      <c r="J20" s="242"/>
      <c r="K20" s="233"/>
      <c r="L20" s="238" t="s">
        <v>6804</v>
      </c>
      <c r="M20" s="154"/>
      <c r="N20" s="55"/>
      <c r="O20" s="21"/>
      <c r="P20" s="236"/>
      <c r="Q20" s="236"/>
      <c r="R20" s="236"/>
      <c r="S20" s="236"/>
      <c r="T20" s="236"/>
      <c r="U20" s="236"/>
      <c r="V20" s="236"/>
      <c r="W20" s="236"/>
      <c r="X20" s="236"/>
      <c r="Y20" s="236"/>
      <c r="Z20" s="236"/>
      <c r="AA20" s="236"/>
    </row>
    <row r="21">
      <c r="A21" s="236"/>
      <c r="B21" s="243" t="s">
        <v>8769</v>
      </c>
      <c r="C21" s="234" t="s">
        <v>8913</v>
      </c>
      <c r="D21" s="236"/>
      <c r="E21" s="230"/>
      <c r="F21" s="230"/>
      <c r="G21" s="236"/>
      <c r="H21" s="240" t="s">
        <v>8926</v>
      </c>
      <c r="I21" s="235" t="s">
        <v>1185</v>
      </c>
      <c r="J21" s="242"/>
      <c r="K21" s="233"/>
      <c r="L21" s="238" t="s">
        <v>6827</v>
      </c>
      <c r="M21" s="154"/>
      <c r="N21" s="55"/>
      <c r="O21" s="21"/>
      <c r="P21" s="236"/>
      <c r="Q21" s="236"/>
      <c r="R21" s="236"/>
      <c r="S21" s="236"/>
      <c r="T21" s="236"/>
      <c r="U21" s="236"/>
      <c r="V21" s="236"/>
      <c r="W21" s="236"/>
      <c r="X21" s="236"/>
      <c r="Y21" s="236"/>
      <c r="Z21" s="236"/>
      <c r="AA21" s="236"/>
    </row>
    <row r="22">
      <c r="A22" s="236"/>
      <c r="B22" s="243" t="s">
        <v>6202</v>
      </c>
      <c r="C22" s="234" t="s">
        <v>8927</v>
      </c>
      <c r="D22" s="236"/>
      <c r="E22" s="230"/>
      <c r="F22" s="230"/>
      <c r="G22" s="236"/>
      <c r="H22" s="240" t="s">
        <v>8767</v>
      </c>
      <c r="I22" s="235" t="s">
        <v>1190</v>
      </c>
      <c r="J22" s="242"/>
      <c r="K22" s="233"/>
      <c r="L22" s="238" t="s">
        <v>6830</v>
      </c>
      <c r="M22" s="154"/>
      <c r="N22" s="55"/>
      <c r="O22" s="21"/>
      <c r="P22" s="236"/>
      <c r="Q22" s="236"/>
      <c r="R22" s="236"/>
      <c r="S22" s="236"/>
      <c r="T22" s="236"/>
      <c r="U22" s="236"/>
      <c r="V22" s="236"/>
      <c r="W22" s="236"/>
      <c r="X22" s="236"/>
      <c r="Y22" s="236"/>
      <c r="Z22" s="236"/>
      <c r="AA22" s="236"/>
    </row>
    <row r="23">
      <c r="A23" s="236"/>
      <c r="B23" s="243" t="s">
        <v>8928</v>
      </c>
      <c r="C23" s="234" t="s">
        <v>8929</v>
      </c>
      <c r="D23" s="236"/>
      <c r="E23" s="230"/>
      <c r="F23" s="230"/>
      <c r="G23" s="236"/>
      <c r="H23" s="240" t="s">
        <v>8930</v>
      </c>
      <c r="I23" s="235" t="s">
        <v>8931</v>
      </c>
      <c r="J23" s="242"/>
      <c r="K23" s="233"/>
      <c r="L23" s="242"/>
      <c r="M23" s="154"/>
      <c r="N23" s="55"/>
      <c r="O23" s="21"/>
      <c r="P23" s="236"/>
      <c r="Q23" s="236"/>
      <c r="R23" s="236"/>
      <c r="S23" s="236"/>
      <c r="T23" s="236"/>
      <c r="U23" s="236"/>
      <c r="V23" s="236"/>
      <c r="W23" s="236"/>
      <c r="X23" s="236"/>
      <c r="Y23" s="236"/>
      <c r="Z23" s="236"/>
      <c r="AA23" s="236"/>
    </row>
    <row r="24">
      <c r="A24" s="236"/>
      <c r="B24" s="243" t="s">
        <v>8770</v>
      </c>
      <c r="C24" s="234" t="s">
        <v>1393</v>
      </c>
      <c r="D24" s="236"/>
      <c r="E24" s="230"/>
      <c r="F24" s="230"/>
      <c r="G24" s="236"/>
      <c r="H24" s="240" t="s">
        <v>8804</v>
      </c>
      <c r="I24" s="235" t="s">
        <v>8932</v>
      </c>
      <c r="J24" s="242"/>
      <c r="K24" s="233"/>
      <c r="L24" s="242"/>
      <c r="M24" s="154"/>
      <c r="N24" s="55"/>
      <c r="O24" s="21"/>
      <c r="P24" s="236"/>
      <c r="Q24" s="236"/>
      <c r="R24" s="236"/>
      <c r="S24" s="236"/>
      <c r="T24" s="236"/>
      <c r="U24" s="236"/>
      <c r="V24" s="236"/>
      <c r="W24" s="236"/>
      <c r="X24" s="236"/>
      <c r="Y24" s="236"/>
      <c r="Z24" s="236"/>
      <c r="AA24" s="236"/>
    </row>
    <row r="25">
      <c r="A25" s="236"/>
      <c r="B25" s="243" t="s">
        <v>8774</v>
      </c>
      <c r="C25" s="234" t="s">
        <v>1333</v>
      </c>
      <c r="D25" s="236"/>
      <c r="E25" s="230"/>
      <c r="F25" s="230"/>
      <c r="G25" s="236"/>
      <c r="H25" s="240" t="s">
        <v>8786</v>
      </c>
      <c r="I25" s="235" t="s">
        <v>8933</v>
      </c>
      <c r="J25" s="242"/>
      <c r="K25" s="233"/>
      <c r="L25" s="242"/>
      <c r="M25" s="154"/>
      <c r="N25" s="55"/>
      <c r="O25" s="21"/>
      <c r="P25" s="236"/>
      <c r="Q25" s="236"/>
      <c r="R25" s="236"/>
      <c r="S25" s="236"/>
      <c r="T25" s="236"/>
      <c r="U25" s="236"/>
      <c r="V25" s="236"/>
      <c r="W25" s="236"/>
      <c r="X25" s="236"/>
      <c r="Y25" s="236"/>
      <c r="Z25" s="236"/>
      <c r="AA25" s="236"/>
    </row>
    <row r="26">
      <c r="A26" s="236"/>
      <c r="B26" s="243" t="s">
        <v>8775</v>
      </c>
      <c r="C26" s="234" t="s">
        <v>1249</v>
      </c>
      <c r="D26" s="236"/>
      <c r="E26" s="230"/>
      <c r="F26" s="230"/>
      <c r="G26" s="236"/>
      <c r="H26" s="240" t="s">
        <v>8791</v>
      </c>
      <c r="I26" s="235" t="s">
        <v>8934</v>
      </c>
      <c r="J26" s="242"/>
      <c r="K26" s="233"/>
      <c r="L26" s="242"/>
      <c r="M26" s="154"/>
      <c r="N26" s="55"/>
      <c r="O26" s="21"/>
      <c r="P26" s="236"/>
      <c r="Q26" s="236"/>
      <c r="R26" s="236"/>
      <c r="S26" s="236"/>
      <c r="T26" s="236"/>
      <c r="U26" s="236"/>
      <c r="V26" s="236"/>
      <c r="W26" s="236"/>
      <c r="X26" s="236"/>
      <c r="Y26" s="236"/>
      <c r="Z26" s="236"/>
      <c r="AA26" s="236"/>
    </row>
    <row r="27">
      <c r="A27" s="236"/>
      <c r="B27" s="243" t="s">
        <v>8772</v>
      </c>
      <c r="C27" s="234" t="s">
        <v>8777</v>
      </c>
      <c r="D27" s="236"/>
      <c r="E27" s="230"/>
      <c r="F27" s="230"/>
      <c r="G27" s="236"/>
      <c r="H27" s="240" t="s">
        <v>8792</v>
      </c>
      <c r="I27" s="235" t="s">
        <v>8935</v>
      </c>
      <c r="J27" s="242"/>
      <c r="K27" s="233"/>
      <c r="L27" s="242"/>
      <c r="M27" s="154"/>
      <c r="N27" s="55"/>
      <c r="O27" s="21"/>
      <c r="P27" s="236"/>
      <c r="Q27" s="236"/>
      <c r="R27" s="236"/>
      <c r="S27" s="236"/>
      <c r="T27" s="236"/>
      <c r="U27" s="236"/>
      <c r="V27" s="236"/>
      <c r="W27" s="236"/>
      <c r="X27" s="236"/>
      <c r="Y27" s="236"/>
      <c r="Z27" s="236"/>
      <c r="AA27" s="236"/>
    </row>
    <row r="28">
      <c r="A28" s="236"/>
      <c r="B28" s="243" t="s">
        <v>8805</v>
      </c>
      <c r="C28" s="234" t="s">
        <v>1138</v>
      </c>
      <c r="D28" s="236"/>
      <c r="E28" s="230"/>
      <c r="F28" s="230"/>
      <c r="G28" s="236"/>
      <c r="H28" s="240" t="s">
        <v>8793</v>
      </c>
      <c r="I28" s="235" t="s">
        <v>8936</v>
      </c>
      <c r="J28" s="242"/>
      <c r="K28" s="233"/>
      <c r="L28" s="242"/>
      <c r="M28" s="154"/>
      <c r="N28" s="55"/>
      <c r="O28" s="21"/>
      <c r="P28" s="236"/>
      <c r="Q28" s="236"/>
      <c r="R28" s="236"/>
      <c r="S28" s="236"/>
      <c r="T28" s="236"/>
      <c r="U28" s="236"/>
      <c r="V28" s="236"/>
      <c r="W28" s="236"/>
      <c r="X28" s="236"/>
      <c r="Y28" s="236"/>
      <c r="Z28" s="236"/>
      <c r="AA28" s="236"/>
    </row>
    <row r="29">
      <c r="A29" s="236"/>
      <c r="B29" s="243" t="s">
        <v>8807</v>
      </c>
      <c r="C29" s="234" t="s">
        <v>1416</v>
      </c>
      <c r="D29" s="236"/>
      <c r="E29" s="230"/>
      <c r="F29" s="230"/>
      <c r="G29" s="236"/>
      <c r="H29" s="240" t="s">
        <v>8795</v>
      </c>
      <c r="I29" s="235" t="s">
        <v>1180</v>
      </c>
      <c r="J29" s="242"/>
      <c r="K29" s="233"/>
      <c r="L29" s="242"/>
      <c r="M29" s="154"/>
      <c r="N29" s="55"/>
      <c r="O29" s="21"/>
      <c r="P29" s="236"/>
      <c r="Q29" s="236"/>
      <c r="R29" s="236"/>
      <c r="S29" s="236"/>
      <c r="T29" s="236"/>
      <c r="U29" s="236"/>
      <c r="V29" s="236"/>
      <c r="W29" s="236"/>
      <c r="X29" s="236"/>
      <c r="Y29" s="236"/>
      <c r="Z29" s="236"/>
      <c r="AA29" s="236"/>
    </row>
    <row r="30">
      <c r="A30" s="236"/>
      <c r="B30" s="244"/>
      <c r="C30" s="234"/>
      <c r="D30" s="236"/>
      <c r="E30" s="230"/>
      <c r="F30" s="230"/>
      <c r="G30" s="236"/>
      <c r="H30" s="240" t="s">
        <v>8799</v>
      </c>
      <c r="I30" s="235" t="s">
        <v>8937</v>
      </c>
      <c r="J30" s="242"/>
      <c r="K30" s="233"/>
      <c r="L30" s="242"/>
      <c r="M30" s="154"/>
      <c r="N30" s="55"/>
      <c r="O30" s="21"/>
      <c r="P30" s="236"/>
      <c r="Q30" s="236"/>
      <c r="R30" s="236"/>
      <c r="S30" s="236"/>
      <c r="T30" s="236"/>
      <c r="U30" s="236"/>
      <c r="V30" s="236"/>
      <c r="W30" s="236"/>
      <c r="X30" s="236"/>
      <c r="Y30" s="236"/>
      <c r="Z30" s="236"/>
      <c r="AA30" s="236"/>
    </row>
    <row r="31">
      <c r="A31" s="236"/>
      <c r="B31" s="244"/>
      <c r="C31" s="234"/>
      <c r="D31" s="236"/>
      <c r="E31" s="230"/>
      <c r="F31" s="230"/>
      <c r="G31" s="236"/>
      <c r="H31" s="240" t="s">
        <v>8797</v>
      </c>
      <c r="I31" s="235" t="s">
        <v>1274</v>
      </c>
      <c r="J31" s="242"/>
      <c r="K31" s="233"/>
      <c r="L31" s="242"/>
      <c r="M31" s="154"/>
      <c r="N31" s="55"/>
      <c r="O31" s="21"/>
      <c r="P31" s="236"/>
      <c r="Q31" s="236"/>
      <c r="R31" s="236"/>
      <c r="S31" s="236"/>
      <c r="T31" s="236"/>
      <c r="U31" s="236"/>
      <c r="V31" s="236"/>
      <c r="W31" s="236"/>
      <c r="X31" s="236"/>
      <c r="Y31" s="236"/>
      <c r="Z31" s="236"/>
      <c r="AA31" s="236"/>
    </row>
    <row r="32">
      <c r="A32" s="236"/>
      <c r="B32" s="244"/>
      <c r="C32" s="234"/>
      <c r="D32" s="236"/>
      <c r="E32" s="230"/>
      <c r="F32" s="230"/>
      <c r="G32" s="236"/>
      <c r="H32" s="240" t="s">
        <v>8796</v>
      </c>
      <c r="I32" s="235" t="s">
        <v>8911</v>
      </c>
      <c r="J32" s="242"/>
      <c r="K32" s="233"/>
      <c r="L32" s="242"/>
      <c r="M32" s="154"/>
      <c r="N32" s="55"/>
      <c r="O32" s="21"/>
      <c r="P32" s="236"/>
      <c r="Q32" s="236"/>
      <c r="R32" s="236"/>
      <c r="S32" s="236"/>
      <c r="T32" s="236"/>
      <c r="U32" s="236"/>
      <c r="V32" s="236"/>
      <c r="W32" s="236"/>
      <c r="X32" s="236"/>
      <c r="Y32" s="236"/>
      <c r="Z32" s="236"/>
      <c r="AA32" s="236"/>
    </row>
    <row r="33">
      <c r="A33" s="236"/>
      <c r="B33" s="244"/>
      <c r="C33" s="234"/>
      <c r="D33" s="236"/>
      <c r="E33" s="230"/>
      <c r="F33" s="230"/>
      <c r="G33" s="236"/>
      <c r="H33" s="240" t="s">
        <v>8800</v>
      </c>
      <c r="I33" s="235" t="s">
        <v>1314</v>
      </c>
      <c r="J33" s="242"/>
      <c r="K33" s="233"/>
      <c r="L33" s="242"/>
      <c r="M33" s="154"/>
      <c r="N33" s="55"/>
      <c r="O33" s="21"/>
      <c r="P33" s="236"/>
      <c r="Q33" s="236"/>
      <c r="R33" s="236"/>
      <c r="S33" s="236"/>
      <c r="T33" s="236"/>
      <c r="U33" s="236"/>
      <c r="V33" s="236"/>
      <c r="W33" s="236"/>
      <c r="X33" s="236"/>
      <c r="Y33" s="236"/>
      <c r="Z33" s="236"/>
      <c r="AA33" s="236"/>
    </row>
    <row r="34">
      <c r="A34" s="236"/>
      <c r="B34" s="244"/>
      <c r="C34" s="234"/>
      <c r="D34" s="236"/>
      <c r="E34" s="230"/>
      <c r="F34" s="230"/>
      <c r="G34" s="236"/>
      <c r="H34" s="240" t="s">
        <v>8801</v>
      </c>
      <c r="I34" s="235" t="s">
        <v>8938</v>
      </c>
      <c r="J34" s="242"/>
      <c r="K34" s="233"/>
      <c r="L34" s="242"/>
      <c r="M34" s="154"/>
      <c r="N34" s="55"/>
      <c r="O34" s="21"/>
      <c r="P34" s="236"/>
      <c r="Q34" s="236"/>
      <c r="R34" s="236"/>
      <c r="S34" s="236"/>
      <c r="T34" s="236"/>
      <c r="U34" s="236"/>
      <c r="V34" s="236"/>
      <c r="W34" s="236"/>
      <c r="X34" s="236"/>
      <c r="Y34" s="236"/>
      <c r="Z34" s="236"/>
      <c r="AA34" s="236"/>
    </row>
    <row r="35">
      <c r="A35" s="236"/>
      <c r="B35" s="244"/>
      <c r="C35" s="234"/>
      <c r="D35" s="236"/>
      <c r="E35" s="230"/>
      <c r="F35" s="230"/>
      <c r="G35" s="236"/>
      <c r="H35" s="240" t="s">
        <v>8803</v>
      </c>
      <c r="I35" s="235" t="s">
        <v>1317</v>
      </c>
      <c r="J35" s="242"/>
      <c r="K35" s="233"/>
      <c r="L35" s="242"/>
      <c r="M35" s="154"/>
      <c r="N35" s="55"/>
      <c r="O35" s="21"/>
      <c r="P35" s="236"/>
      <c r="Q35" s="236"/>
      <c r="R35" s="236"/>
      <c r="S35" s="236"/>
      <c r="T35" s="236"/>
      <c r="U35" s="236"/>
      <c r="V35" s="236"/>
      <c r="W35" s="236"/>
      <c r="X35" s="236"/>
      <c r="Y35" s="236"/>
      <c r="Z35" s="236"/>
      <c r="AA35" s="236"/>
    </row>
    <row r="36">
      <c r="A36" s="236"/>
      <c r="B36" s="244"/>
      <c r="C36" s="234"/>
      <c r="D36" s="236"/>
      <c r="E36" s="230"/>
      <c r="F36" s="230"/>
      <c r="G36" s="236"/>
      <c r="H36" s="240" t="s">
        <v>8806</v>
      </c>
      <c r="I36" s="235" t="s">
        <v>8939</v>
      </c>
      <c r="J36" s="242"/>
      <c r="K36" s="233"/>
      <c r="L36" s="242"/>
      <c r="M36" s="154"/>
      <c r="N36" s="55"/>
      <c r="O36" s="21"/>
      <c r="P36" s="236"/>
      <c r="Q36" s="236"/>
      <c r="R36" s="236"/>
      <c r="S36" s="236"/>
      <c r="T36" s="236"/>
      <c r="U36" s="236"/>
      <c r="V36" s="236"/>
      <c r="W36" s="236"/>
      <c r="X36" s="236"/>
      <c r="Y36" s="236"/>
      <c r="Z36" s="236"/>
      <c r="AA36" s="236"/>
    </row>
    <row r="37">
      <c r="A37" s="236"/>
      <c r="B37" s="244"/>
      <c r="C37" s="234"/>
      <c r="D37" s="236"/>
      <c r="E37" s="230"/>
      <c r="F37" s="230"/>
      <c r="G37" s="236"/>
      <c r="H37" s="240" t="s">
        <v>8813</v>
      </c>
      <c r="I37" s="235" t="s">
        <v>8940</v>
      </c>
      <c r="J37" s="242"/>
      <c r="K37" s="233"/>
      <c r="L37" s="242"/>
      <c r="M37" s="154"/>
      <c r="N37" s="55"/>
      <c r="O37" s="21"/>
      <c r="P37" s="236"/>
      <c r="Q37" s="236"/>
      <c r="R37" s="236"/>
      <c r="S37" s="236"/>
      <c r="T37" s="236"/>
      <c r="U37" s="236"/>
      <c r="V37" s="236"/>
      <c r="W37" s="236"/>
      <c r="X37" s="236"/>
      <c r="Y37" s="236"/>
      <c r="Z37" s="236"/>
      <c r="AA37" s="236"/>
    </row>
    <row r="38">
      <c r="A38" s="236"/>
      <c r="B38" s="244"/>
      <c r="C38" s="234"/>
      <c r="D38" s="236"/>
      <c r="E38" s="230"/>
      <c r="F38" s="230"/>
      <c r="G38" s="236"/>
      <c r="H38" s="240" t="s">
        <v>8812</v>
      </c>
      <c r="I38" s="235" t="s">
        <v>1254</v>
      </c>
      <c r="J38" s="242"/>
      <c r="K38" s="233"/>
      <c r="L38" s="242"/>
      <c r="M38" s="154"/>
      <c r="N38" s="55"/>
      <c r="O38" s="21"/>
      <c r="P38" s="236"/>
      <c r="Q38" s="236"/>
      <c r="R38" s="236"/>
      <c r="S38" s="236"/>
      <c r="T38" s="236"/>
      <c r="U38" s="236"/>
      <c r="V38" s="236"/>
      <c r="W38" s="236"/>
      <c r="X38" s="236"/>
      <c r="Y38" s="236"/>
      <c r="Z38" s="236"/>
      <c r="AA38" s="236"/>
    </row>
    <row r="39">
      <c r="A39" s="236"/>
      <c r="B39" s="244"/>
      <c r="C39" s="234"/>
      <c r="D39" s="236"/>
      <c r="E39" s="230"/>
      <c r="F39" s="230"/>
      <c r="G39" s="236"/>
      <c r="H39" s="240" t="s">
        <v>8941</v>
      </c>
      <c r="I39" s="235" t="s">
        <v>1364</v>
      </c>
      <c r="J39" s="242"/>
      <c r="K39" s="233"/>
      <c r="L39" s="242"/>
      <c r="M39" s="154"/>
      <c r="N39" s="55"/>
      <c r="O39" s="21"/>
      <c r="P39" s="236"/>
      <c r="Q39" s="236"/>
      <c r="R39" s="236"/>
      <c r="S39" s="236"/>
      <c r="T39" s="236"/>
      <c r="U39" s="236"/>
      <c r="V39" s="236"/>
      <c r="W39" s="236"/>
      <c r="X39" s="236"/>
      <c r="Y39" s="236"/>
      <c r="Z39" s="236"/>
      <c r="AA39" s="236"/>
    </row>
    <row r="40">
      <c r="A40" s="236"/>
      <c r="B40" s="244"/>
      <c r="C40" s="234"/>
      <c r="D40" s="236"/>
      <c r="E40" s="230"/>
      <c r="F40" s="230"/>
      <c r="G40" s="236"/>
      <c r="H40" s="240" t="s">
        <v>8942</v>
      </c>
      <c r="I40" s="235" t="s">
        <v>8943</v>
      </c>
      <c r="J40" s="242"/>
      <c r="K40" s="233"/>
      <c r="L40" s="242"/>
      <c r="M40" s="154"/>
      <c r="N40" s="55"/>
      <c r="O40" s="21"/>
      <c r="P40" s="236"/>
      <c r="Q40" s="236"/>
      <c r="R40" s="236"/>
      <c r="S40" s="236"/>
      <c r="T40" s="236"/>
      <c r="U40" s="236"/>
      <c r="V40" s="236"/>
      <c r="W40" s="236"/>
      <c r="X40" s="236"/>
      <c r="Y40" s="236"/>
      <c r="Z40" s="236"/>
      <c r="AA40" s="236"/>
    </row>
    <row r="41">
      <c r="A41" s="236"/>
      <c r="B41" s="244"/>
      <c r="C41" s="234"/>
      <c r="D41" s="236"/>
      <c r="E41" s="230"/>
      <c r="F41" s="230"/>
      <c r="G41" s="236"/>
      <c r="H41" s="240" t="s">
        <v>8828</v>
      </c>
      <c r="I41" s="235" t="s">
        <v>8944</v>
      </c>
      <c r="J41" s="242"/>
      <c r="K41" s="233"/>
      <c r="L41" s="242"/>
      <c r="M41" s="154"/>
      <c r="N41" s="55"/>
      <c r="O41" s="21"/>
      <c r="P41" s="236"/>
      <c r="Q41" s="236"/>
      <c r="R41" s="236"/>
      <c r="S41" s="236"/>
      <c r="T41" s="236"/>
      <c r="U41" s="236"/>
      <c r="V41" s="236"/>
      <c r="W41" s="236"/>
      <c r="X41" s="236"/>
      <c r="Y41" s="236"/>
      <c r="Z41" s="236"/>
      <c r="AA41" s="236"/>
    </row>
    <row r="42">
      <c r="A42" s="236"/>
      <c r="B42" s="244"/>
      <c r="C42" s="234"/>
      <c r="D42" s="236"/>
      <c r="E42" s="230"/>
      <c r="F42" s="230"/>
      <c r="G42" s="236"/>
      <c r="H42" s="240" t="s">
        <v>1111</v>
      </c>
      <c r="I42" s="235" t="s">
        <v>8945</v>
      </c>
      <c r="J42" s="242"/>
      <c r="K42" s="233"/>
      <c r="L42" s="242"/>
      <c r="M42" s="154"/>
      <c r="N42" s="55"/>
      <c r="O42" s="21"/>
      <c r="P42" s="236"/>
      <c r="Q42" s="236"/>
      <c r="R42" s="236"/>
      <c r="S42" s="236"/>
      <c r="T42" s="236"/>
      <c r="U42" s="236"/>
      <c r="V42" s="236"/>
      <c r="W42" s="236"/>
      <c r="X42" s="236"/>
      <c r="Y42" s="236"/>
      <c r="Z42" s="236"/>
      <c r="AA42" s="236"/>
    </row>
    <row r="43">
      <c r="A43" s="236"/>
      <c r="B43" s="244"/>
      <c r="C43" s="234"/>
      <c r="D43" s="236"/>
      <c r="E43" s="230"/>
      <c r="F43" s="230"/>
      <c r="G43" s="236"/>
      <c r="H43" s="236"/>
      <c r="I43" s="230"/>
      <c r="J43" s="242"/>
      <c r="K43" s="233"/>
      <c r="L43" s="242"/>
      <c r="M43" s="154"/>
      <c r="N43" s="55"/>
      <c r="O43" s="21"/>
      <c r="P43" s="236"/>
      <c r="Q43" s="236"/>
      <c r="R43" s="236"/>
      <c r="S43" s="236"/>
      <c r="T43" s="236"/>
      <c r="U43" s="236"/>
      <c r="V43" s="236"/>
      <c r="W43" s="236"/>
      <c r="X43" s="236"/>
      <c r="Y43" s="236"/>
      <c r="Z43" s="236"/>
      <c r="AA43" s="236"/>
    </row>
    <row r="44">
      <c r="A44" s="236"/>
      <c r="B44" s="244"/>
      <c r="C44" s="234"/>
      <c r="D44" s="236"/>
      <c r="E44" s="230"/>
      <c r="F44" s="230"/>
      <c r="G44" s="236"/>
      <c r="H44" s="236"/>
      <c r="I44" s="230"/>
      <c r="J44" s="242"/>
      <c r="K44" s="233"/>
      <c r="L44" s="242"/>
      <c r="M44" s="154"/>
      <c r="N44" s="55"/>
      <c r="O44" s="21"/>
      <c r="P44" s="236"/>
      <c r="Q44" s="236"/>
      <c r="R44" s="236"/>
      <c r="S44" s="236"/>
      <c r="T44" s="236"/>
      <c r="U44" s="236"/>
      <c r="V44" s="236"/>
      <c r="W44" s="236"/>
      <c r="X44" s="236"/>
      <c r="Y44" s="236"/>
      <c r="Z44" s="236"/>
      <c r="AA44" s="236"/>
    </row>
    <row r="45">
      <c r="A45" s="236"/>
      <c r="B45" s="244"/>
      <c r="C45" s="234"/>
      <c r="D45" s="236"/>
      <c r="E45" s="230"/>
      <c r="F45" s="230"/>
      <c r="G45" s="236"/>
      <c r="H45" s="236"/>
      <c r="I45" s="230"/>
      <c r="J45" s="242"/>
      <c r="K45" s="233"/>
      <c r="L45" s="242"/>
      <c r="M45" s="154"/>
      <c r="N45" s="55"/>
      <c r="O45" s="21"/>
      <c r="P45" s="236"/>
      <c r="Q45" s="236"/>
      <c r="R45" s="236"/>
      <c r="S45" s="236"/>
      <c r="T45" s="236"/>
      <c r="U45" s="236"/>
      <c r="V45" s="236"/>
      <c r="W45" s="236"/>
      <c r="X45" s="236"/>
      <c r="Y45" s="236"/>
      <c r="Z45" s="236"/>
      <c r="AA45" s="236"/>
    </row>
    <row r="46">
      <c r="A46" s="236"/>
      <c r="B46" s="244"/>
      <c r="C46" s="234"/>
      <c r="D46" s="236"/>
      <c r="E46" s="230"/>
      <c r="F46" s="230"/>
      <c r="G46" s="236"/>
      <c r="H46" s="236"/>
      <c r="I46" s="230"/>
      <c r="J46" s="242"/>
      <c r="K46" s="233"/>
      <c r="L46" s="242"/>
      <c r="M46" s="154"/>
      <c r="N46" s="55"/>
      <c r="O46" s="21"/>
      <c r="P46" s="236"/>
      <c r="Q46" s="236"/>
      <c r="R46" s="236"/>
      <c r="S46" s="236"/>
      <c r="T46" s="236"/>
      <c r="U46" s="236"/>
      <c r="V46" s="236"/>
      <c r="W46" s="236"/>
      <c r="X46" s="236"/>
      <c r="Y46" s="236"/>
      <c r="Z46" s="236"/>
      <c r="AA46" s="236"/>
    </row>
    <row r="47">
      <c r="A47" s="236"/>
      <c r="B47" s="244"/>
      <c r="C47" s="234"/>
      <c r="D47" s="236"/>
      <c r="E47" s="230"/>
      <c r="F47" s="230"/>
      <c r="G47" s="236"/>
      <c r="H47" s="236"/>
      <c r="I47" s="230"/>
      <c r="J47" s="242"/>
      <c r="K47" s="233"/>
      <c r="L47" s="242"/>
      <c r="M47" s="154"/>
      <c r="N47" s="55"/>
      <c r="O47" s="21"/>
      <c r="P47" s="236"/>
      <c r="Q47" s="236"/>
      <c r="R47" s="236"/>
      <c r="S47" s="236"/>
      <c r="T47" s="236"/>
      <c r="U47" s="236"/>
      <c r="V47" s="236"/>
      <c r="W47" s="236"/>
      <c r="X47" s="236"/>
      <c r="Y47" s="236"/>
      <c r="Z47" s="236"/>
      <c r="AA47" s="236"/>
    </row>
    <row r="48">
      <c r="A48" s="236"/>
      <c r="B48" s="244"/>
      <c r="C48" s="234"/>
      <c r="D48" s="236"/>
      <c r="E48" s="230"/>
      <c r="F48" s="230"/>
      <c r="G48" s="236"/>
      <c r="H48" s="236"/>
      <c r="I48" s="230"/>
      <c r="J48" s="242"/>
      <c r="K48" s="233"/>
      <c r="L48" s="242"/>
      <c r="M48" s="154"/>
      <c r="N48" s="55"/>
      <c r="O48" s="21"/>
      <c r="P48" s="236"/>
      <c r="Q48" s="236"/>
      <c r="R48" s="236"/>
      <c r="S48" s="236"/>
      <c r="T48" s="236"/>
      <c r="U48" s="236"/>
      <c r="V48" s="236"/>
      <c r="W48" s="236"/>
      <c r="X48" s="236"/>
      <c r="Y48" s="236"/>
      <c r="Z48" s="236"/>
      <c r="AA48" s="236"/>
    </row>
    <row r="49">
      <c r="A49" s="236"/>
      <c r="B49" s="244"/>
      <c r="C49" s="234"/>
      <c r="D49" s="236"/>
      <c r="E49" s="230"/>
      <c r="F49" s="230"/>
      <c r="G49" s="236"/>
      <c r="H49" s="236"/>
      <c r="I49" s="230"/>
      <c r="J49" s="242"/>
      <c r="K49" s="233"/>
      <c r="L49" s="242"/>
      <c r="M49" s="154"/>
      <c r="N49" s="55"/>
      <c r="O49" s="21"/>
      <c r="P49" s="236"/>
      <c r="Q49" s="236"/>
      <c r="R49" s="236"/>
      <c r="S49" s="236"/>
      <c r="T49" s="236"/>
      <c r="U49" s="236"/>
      <c r="V49" s="236"/>
      <c r="W49" s="236"/>
      <c r="X49" s="236"/>
      <c r="Y49" s="236"/>
      <c r="Z49" s="236"/>
      <c r="AA49" s="236"/>
    </row>
    <row r="50">
      <c r="A50" s="236"/>
      <c r="B50" s="244"/>
      <c r="C50" s="234"/>
      <c r="D50" s="236"/>
      <c r="E50" s="230"/>
      <c r="F50" s="230"/>
      <c r="G50" s="236"/>
      <c r="H50" s="236"/>
      <c r="I50" s="230"/>
      <c r="J50" s="242"/>
      <c r="K50" s="233"/>
      <c r="L50" s="242"/>
      <c r="M50" s="154"/>
      <c r="N50" s="55"/>
      <c r="O50" s="21"/>
      <c r="P50" s="236"/>
      <c r="Q50" s="236"/>
      <c r="R50" s="236"/>
      <c r="S50" s="236"/>
      <c r="T50" s="236"/>
      <c r="U50" s="236"/>
      <c r="V50" s="236"/>
      <c r="W50" s="236"/>
      <c r="X50" s="236"/>
      <c r="Y50" s="236"/>
      <c r="Z50" s="236"/>
      <c r="AA50" s="236"/>
    </row>
    <row r="51">
      <c r="A51" s="236"/>
      <c r="B51" s="244"/>
      <c r="C51" s="234"/>
      <c r="D51" s="236"/>
      <c r="E51" s="230"/>
      <c r="F51" s="230"/>
      <c r="G51" s="236"/>
      <c r="H51" s="236"/>
      <c r="I51" s="230"/>
      <c r="J51" s="242"/>
      <c r="K51" s="233"/>
      <c r="L51" s="242"/>
      <c r="M51" s="154"/>
      <c r="N51" s="55"/>
      <c r="O51" s="21"/>
      <c r="P51" s="236"/>
      <c r="Q51" s="236"/>
      <c r="R51" s="236"/>
      <c r="S51" s="236"/>
      <c r="T51" s="236"/>
      <c r="U51" s="236"/>
      <c r="V51" s="236"/>
      <c r="W51" s="236"/>
      <c r="X51" s="236"/>
      <c r="Y51" s="236"/>
      <c r="Z51" s="236"/>
      <c r="AA51" s="236"/>
    </row>
    <row r="52">
      <c r="A52" s="236"/>
      <c r="B52" s="244"/>
      <c r="C52" s="234"/>
      <c r="D52" s="236"/>
      <c r="E52" s="230"/>
      <c r="F52" s="230"/>
      <c r="G52" s="236"/>
      <c r="H52" s="236"/>
      <c r="I52" s="230"/>
      <c r="J52" s="242"/>
      <c r="K52" s="233"/>
      <c r="L52" s="242"/>
      <c r="M52" s="154"/>
      <c r="N52" s="55"/>
      <c r="O52" s="21"/>
      <c r="P52" s="236"/>
      <c r="Q52" s="236"/>
      <c r="R52" s="236"/>
      <c r="S52" s="236"/>
      <c r="T52" s="236"/>
      <c r="U52" s="236"/>
      <c r="V52" s="236"/>
      <c r="W52" s="236"/>
      <c r="X52" s="236"/>
      <c r="Y52" s="236"/>
      <c r="Z52" s="236"/>
      <c r="AA52" s="236"/>
    </row>
    <row r="53">
      <c r="A53" s="236"/>
      <c r="B53" s="244"/>
      <c r="C53" s="234"/>
      <c r="D53" s="236"/>
      <c r="E53" s="230"/>
      <c r="F53" s="230"/>
      <c r="G53" s="236"/>
      <c r="H53" s="236"/>
      <c r="I53" s="230"/>
      <c r="J53" s="242"/>
      <c r="K53" s="233"/>
      <c r="L53" s="242"/>
      <c r="M53" s="154"/>
      <c r="N53" s="55"/>
      <c r="O53" s="21"/>
      <c r="P53" s="236"/>
      <c r="Q53" s="236"/>
      <c r="R53" s="236"/>
      <c r="S53" s="236"/>
      <c r="T53" s="236"/>
      <c r="U53" s="236"/>
      <c r="V53" s="236"/>
      <c r="W53" s="236"/>
      <c r="X53" s="236"/>
      <c r="Y53" s="236"/>
      <c r="Z53" s="236"/>
      <c r="AA53" s="236"/>
    </row>
    <row r="54">
      <c r="A54" s="236"/>
      <c r="B54" s="244"/>
      <c r="C54" s="234"/>
      <c r="D54" s="236"/>
      <c r="E54" s="230"/>
      <c r="F54" s="230"/>
      <c r="G54" s="236"/>
      <c r="H54" s="236"/>
      <c r="I54" s="230"/>
      <c r="J54" s="242"/>
      <c r="K54" s="233"/>
      <c r="L54" s="242"/>
      <c r="M54" s="154"/>
      <c r="N54" s="55"/>
      <c r="O54" s="21"/>
      <c r="P54" s="236"/>
      <c r="Q54" s="236"/>
      <c r="R54" s="236"/>
      <c r="S54" s="236"/>
      <c r="T54" s="236"/>
      <c r="U54" s="236"/>
      <c r="V54" s="236"/>
      <c r="W54" s="236"/>
      <c r="X54" s="236"/>
      <c r="Y54" s="236"/>
      <c r="Z54" s="236"/>
      <c r="AA54" s="236"/>
    </row>
    <row r="55">
      <c r="A55" s="236"/>
      <c r="B55" s="244"/>
      <c r="C55" s="234"/>
      <c r="D55" s="236"/>
      <c r="E55" s="230"/>
      <c r="F55" s="230"/>
      <c r="G55" s="236"/>
      <c r="H55" s="236"/>
      <c r="I55" s="230"/>
      <c r="J55" s="242"/>
      <c r="K55" s="233"/>
      <c r="L55" s="242"/>
      <c r="M55" s="154"/>
      <c r="N55" s="55"/>
      <c r="O55" s="21"/>
      <c r="P55" s="236"/>
      <c r="Q55" s="236"/>
      <c r="R55" s="236"/>
      <c r="S55" s="236"/>
      <c r="T55" s="236"/>
      <c r="U55" s="236"/>
      <c r="V55" s="236"/>
      <c r="W55" s="236"/>
      <c r="X55" s="236"/>
      <c r="Y55" s="236"/>
      <c r="Z55" s="236"/>
      <c r="AA55" s="236"/>
    </row>
    <row r="56">
      <c r="A56" s="236"/>
      <c r="B56" s="244"/>
      <c r="C56" s="234"/>
      <c r="D56" s="236"/>
      <c r="E56" s="230"/>
      <c r="F56" s="230"/>
      <c r="G56" s="236"/>
      <c r="H56" s="236"/>
      <c r="I56" s="230"/>
      <c r="J56" s="242"/>
      <c r="K56" s="233"/>
      <c r="L56" s="242"/>
      <c r="M56" s="154"/>
      <c r="N56" s="55"/>
      <c r="O56" s="21"/>
      <c r="P56" s="236"/>
      <c r="Q56" s="236"/>
      <c r="R56" s="236"/>
      <c r="S56" s="236"/>
      <c r="T56" s="236"/>
      <c r="U56" s="236"/>
      <c r="V56" s="236"/>
      <c r="W56" s="236"/>
      <c r="X56" s="236"/>
      <c r="Y56" s="236"/>
      <c r="Z56" s="236"/>
      <c r="AA56" s="236"/>
    </row>
    <row r="57">
      <c r="A57" s="236"/>
      <c r="B57" s="244"/>
      <c r="C57" s="234"/>
      <c r="D57" s="236"/>
      <c r="E57" s="230"/>
      <c r="F57" s="230"/>
      <c r="G57" s="236"/>
      <c r="H57" s="236"/>
      <c r="I57" s="230"/>
      <c r="J57" s="242"/>
      <c r="K57" s="233"/>
      <c r="L57" s="242"/>
      <c r="M57" s="154"/>
      <c r="N57" s="55"/>
      <c r="O57" s="21"/>
      <c r="P57" s="236"/>
      <c r="Q57" s="236"/>
      <c r="R57" s="236"/>
      <c r="S57" s="236"/>
      <c r="T57" s="236"/>
      <c r="U57" s="236"/>
      <c r="V57" s="236"/>
      <c r="W57" s="236"/>
      <c r="X57" s="236"/>
      <c r="Y57" s="236"/>
      <c r="Z57" s="236"/>
      <c r="AA57" s="236"/>
    </row>
    <row r="58">
      <c r="A58" s="236"/>
      <c r="B58" s="244"/>
      <c r="C58" s="234"/>
      <c r="D58" s="236"/>
      <c r="E58" s="230"/>
      <c r="F58" s="230"/>
      <c r="G58" s="236"/>
      <c r="H58" s="236"/>
      <c r="I58" s="230"/>
      <c r="J58" s="242"/>
      <c r="K58" s="233"/>
      <c r="L58" s="242"/>
      <c r="M58" s="154"/>
      <c r="N58" s="55"/>
      <c r="O58" s="21"/>
      <c r="P58" s="236"/>
      <c r="Q58" s="236"/>
      <c r="R58" s="236"/>
      <c r="S58" s="236"/>
      <c r="T58" s="236"/>
      <c r="U58" s="236"/>
      <c r="V58" s="236"/>
      <c r="W58" s="236"/>
      <c r="X58" s="236"/>
      <c r="Y58" s="236"/>
      <c r="Z58" s="236"/>
      <c r="AA58" s="236"/>
    </row>
    <row r="59">
      <c r="A59" s="236"/>
      <c r="B59" s="244"/>
      <c r="C59" s="234"/>
      <c r="D59" s="236"/>
      <c r="E59" s="230"/>
      <c r="F59" s="230"/>
      <c r="G59" s="236"/>
      <c r="H59" s="236"/>
      <c r="I59" s="230"/>
      <c r="J59" s="242"/>
      <c r="K59" s="233"/>
      <c r="L59" s="242"/>
      <c r="M59" s="154"/>
      <c r="N59" s="55"/>
      <c r="O59" s="21"/>
      <c r="P59" s="236"/>
      <c r="Q59" s="236"/>
      <c r="R59" s="236"/>
      <c r="S59" s="236"/>
      <c r="T59" s="236"/>
      <c r="U59" s="236"/>
      <c r="V59" s="236"/>
      <c r="W59" s="236"/>
      <c r="X59" s="236"/>
      <c r="Y59" s="236"/>
      <c r="Z59" s="236"/>
      <c r="AA59" s="236"/>
    </row>
    <row r="60">
      <c r="A60" s="236"/>
      <c r="B60" s="244"/>
      <c r="C60" s="234"/>
      <c r="D60" s="236"/>
      <c r="E60" s="230"/>
      <c r="F60" s="230"/>
      <c r="G60" s="236"/>
      <c r="H60" s="236"/>
      <c r="I60" s="230"/>
      <c r="J60" s="242"/>
      <c r="K60" s="233"/>
      <c r="L60" s="242"/>
      <c r="M60" s="154"/>
      <c r="N60" s="55"/>
      <c r="O60" s="21"/>
      <c r="P60" s="236"/>
      <c r="Q60" s="236"/>
      <c r="R60" s="236"/>
      <c r="S60" s="236"/>
      <c r="T60" s="236"/>
      <c r="U60" s="236"/>
      <c r="V60" s="236"/>
      <c r="W60" s="236"/>
      <c r="X60" s="236"/>
      <c r="Y60" s="236"/>
      <c r="Z60" s="236"/>
      <c r="AA60" s="236"/>
    </row>
    <row r="61">
      <c r="A61" s="236"/>
      <c r="B61" s="244"/>
      <c r="C61" s="234"/>
      <c r="D61" s="236"/>
      <c r="E61" s="230"/>
      <c r="F61" s="230"/>
      <c r="G61" s="236"/>
      <c r="H61" s="236"/>
      <c r="I61" s="230"/>
      <c r="J61" s="242"/>
      <c r="K61" s="233"/>
      <c r="L61" s="242"/>
      <c r="M61" s="154"/>
      <c r="N61" s="55"/>
      <c r="O61" s="21"/>
      <c r="P61" s="236"/>
      <c r="Q61" s="236"/>
      <c r="R61" s="236"/>
      <c r="S61" s="236"/>
      <c r="T61" s="236"/>
      <c r="U61" s="236"/>
      <c r="V61" s="236"/>
      <c r="W61" s="236"/>
      <c r="X61" s="236"/>
      <c r="Y61" s="236"/>
      <c r="Z61" s="236"/>
      <c r="AA61" s="236"/>
    </row>
    <row r="62">
      <c r="A62" s="236"/>
      <c r="B62" s="244"/>
      <c r="C62" s="234"/>
      <c r="D62" s="236"/>
      <c r="E62" s="230"/>
      <c r="F62" s="230"/>
      <c r="G62" s="236"/>
      <c r="H62" s="236"/>
      <c r="I62" s="230"/>
      <c r="J62" s="242"/>
      <c r="K62" s="233"/>
      <c r="L62" s="242"/>
      <c r="M62" s="154"/>
      <c r="N62" s="55"/>
      <c r="O62" s="21"/>
      <c r="P62" s="236"/>
      <c r="Q62" s="236"/>
      <c r="R62" s="236"/>
      <c r="S62" s="236"/>
      <c r="T62" s="236"/>
      <c r="U62" s="236"/>
      <c r="V62" s="236"/>
      <c r="W62" s="236"/>
      <c r="X62" s="236"/>
      <c r="Y62" s="236"/>
      <c r="Z62" s="236"/>
      <c r="AA62" s="236"/>
    </row>
    <row r="63">
      <c r="A63" s="236"/>
      <c r="B63" s="244"/>
      <c r="C63" s="234"/>
      <c r="D63" s="236"/>
      <c r="E63" s="230"/>
      <c r="F63" s="230"/>
      <c r="G63" s="236"/>
      <c r="H63" s="236"/>
      <c r="I63" s="230"/>
      <c r="J63" s="242"/>
      <c r="K63" s="233"/>
      <c r="L63" s="242"/>
      <c r="M63" s="154"/>
      <c r="N63" s="55"/>
      <c r="O63" s="21"/>
      <c r="P63" s="236"/>
      <c r="Q63" s="236"/>
      <c r="R63" s="236"/>
      <c r="S63" s="236"/>
      <c r="T63" s="236"/>
      <c r="U63" s="236"/>
      <c r="V63" s="236"/>
      <c r="W63" s="236"/>
      <c r="X63" s="236"/>
      <c r="Y63" s="236"/>
      <c r="Z63" s="236"/>
      <c r="AA63" s="236"/>
    </row>
    <row r="64">
      <c r="A64" s="236"/>
      <c r="B64" s="244"/>
      <c r="C64" s="234"/>
      <c r="D64" s="236"/>
      <c r="E64" s="230"/>
      <c r="F64" s="230"/>
      <c r="G64" s="236"/>
      <c r="H64" s="236"/>
      <c r="I64" s="230"/>
      <c r="J64" s="242"/>
      <c r="K64" s="233"/>
      <c r="L64" s="242"/>
      <c r="M64" s="154"/>
      <c r="N64" s="55"/>
      <c r="O64" s="21"/>
      <c r="P64" s="236"/>
      <c r="Q64" s="236"/>
      <c r="R64" s="236"/>
      <c r="S64" s="236"/>
      <c r="T64" s="236"/>
      <c r="U64" s="236"/>
      <c r="V64" s="236"/>
      <c r="W64" s="236"/>
      <c r="X64" s="236"/>
      <c r="Y64" s="236"/>
      <c r="Z64" s="236"/>
      <c r="AA64" s="236"/>
    </row>
    <row r="65">
      <c r="A65" s="236"/>
      <c r="B65" s="244"/>
      <c r="C65" s="234"/>
      <c r="D65" s="236"/>
      <c r="E65" s="230"/>
      <c r="F65" s="230"/>
      <c r="G65" s="236"/>
      <c r="H65" s="236"/>
      <c r="I65" s="230"/>
      <c r="J65" s="242"/>
      <c r="K65" s="233"/>
      <c r="L65" s="242"/>
      <c r="M65" s="154"/>
      <c r="N65" s="55"/>
      <c r="O65" s="21"/>
      <c r="P65" s="236"/>
      <c r="Q65" s="236"/>
      <c r="R65" s="236"/>
      <c r="S65" s="236"/>
      <c r="T65" s="236"/>
      <c r="U65" s="236"/>
      <c r="V65" s="236"/>
      <c r="W65" s="236"/>
      <c r="X65" s="236"/>
      <c r="Y65" s="236"/>
      <c r="Z65" s="236"/>
      <c r="AA65" s="236"/>
    </row>
    <row r="66">
      <c r="A66" s="236"/>
      <c r="B66" s="244"/>
      <c r="C66" s="234"/>
      <c r="D66" s="236"/>
      <c r="E66" s="230"/>
      <c r="F66" s="230"/>
      <c r="G66" s="236"/>
      <c r="H66" s="236"/>
      <c r="I66" s="230"/>
      <c r="J66" s="242"/>
      <c r="K66" s="233"/>
      <c r="L66" s="242"/>
      <c r="M66" s="154"/>
      <c r="N66" s="55"/>
      <c r="O66" s="21"/>
      <c r="P66" s="236"/>
      <c r="Q66" s="236"/>
      <c r="R66" s="236"/>
      <c r="S66" s="236"/>
      <c r="T66" s="236"/>
      <c r="U66" s="236"/>
      <c r="V66" s="236"/>
      <c r="W66" s="236"/>
      <c r="X66" s="236"/>
      <c r="Y66" s="236"/>
      <c r="Z66" s="236"/>
      <c r="AA66" s="236"/>
    </row>
    <row r="67">
      <c r="A67" s="236"/>
      <c r="B67" s="244"/>
      <c r="C67" s="234"/>
      <c r="D67" s="236"/>
      <c r="E67" s="230"/>
      <c r="F67" s="230"/>
      <c r="G67" s="236"/>
      <c r="H67" s="236"/>
      <c r="I67" s="230"/>
      <c r="J67" s="242"/>
      <c r="K67" s="233"/>
      <c r="L67" s="242"/>
      <c r="M67" s="154"/>
      <c r="N67" s="55"/>
      <c r="O67" s="21"/>
      <c r="P67" s="236"/>
      <c r="Q67" s="236"/>
      <c r="R67" s="236"/>
      <c r="S67" s="236"/>
      <c r="T67" s="236"/>
      <c r="U67" s="236"/>
      <c r="V67" s="236"/>
      <c r="W67" s="236"/>
      <c r="X67" s="236"/>
      <c r="Y67" s="236"/>
      <c r="Z67" s="236"/>
      <c r="AA67" s="236"/>
    </row>
    <row r="68">
      <c r="A68" s="236"/>
      <c r="B68" s="244"/>
      <c r="C68" s="234"/>
      <c r="D68" s="236"/>
      <c r="E68" s="230"/>
      <c r="F68" s="230"/>
      <c r="G68" s="236"/>
      <c r="H68" s="236"/>
      <c r="I68" s="230"/>
      <c r="J68" s="242"/>
      <c r="K68" s="233"/>
      <c r="L68" s="242"/>
      <c r="M68" s="154"/>
      <c r="N68" s="55"/>
      <c r="O68" s="21"/>
      <c r="P68" s="236"/>
      <c r="Q68" s="236"/>
      <c r="R68" s="236"/>
      <c r="S68" s="236"/>
      <c r="T68" s="236"/>
      <c r="U68" s="236"/>
      <c r="V68" s="236"/>
      <c r="W68" s="236"/>
      <c r="X68" s="236"/>
      <c r="Y68" s="236"/>
      <c r="Z68" s="236"/>
      <c r="AA68" s="236"/>
    </row>
    <row r="69">
      <c r="A69" s="236"/>
      <c r="B69" s="244"/>
      <c r="C69" s="234"/>
      <c r="D69" s="236"/>
      <c r="E69" s="230"/>
      <c r="F69" s="230"/>
      <c r="G69" s="236"/>
      <c r="H69" s="236"/>
      <c r="I69" s="230"/>
      <c r="J69" s="242"/>
      <c r="K69" s="233"/>
      <c r="L69" s="242"/>
      <c r="M69" s="154"/>
      <c r="N69" s="55"/>
      <c r="O69" s="21"/>
      <c r="P69" s="236"/>
      <c r="Q69" s="236"/>
      <c r="R69" s="236"/>
      <c r="S69" s="236"/>
      <c r="T69" s="236"/>
      <c r="U69" s="236"/>
      <c r="V69" s="236"/>
      <c r="W69" s="236"/>
      <c r="X69" s="236"/>
      <c r="Y69" s="236"/>
      <c r="Z69" s="236"/>
      <c r="AA69" s="236"/>
    </row>
    <row r="70">
      <c r="A70" s="236"/>
      <c r="B70" s="244"/>
      <c r="C70" s="234"/>
      <c r="D70" s="236"/>
      <c r="E70" s="230"/>
      <c r="F70" s="230"/>
      <c r="G70" s="236"/>
      <c r="H70" s="236"/>
      <c r="I70" s="230"/>
      <c r="J70" s="242"/>
      <c r="K70" s="233"/>
      <c r="L70" s="242"/>
      <c r="M70" s="154"/>
      <c r="N70" s="55"/>
      <c r="O70" s="21"/>
      <c r="P70" s="236"/>
      <c r="Q70" s="236"/>
      <c r="R70" s="236"/>
      <c r="S70" s="236"/>
      <c r="T70" s="236"/>
      <c r="U70" s="236"/>
      <c r="V70" s="236"/>
      <c r="W70" s="236"/>
      <c r="X70" s="236"/>
      <c r="Y70" s="236"/>
      <c r="Z70" s="236"/>
      <c r="AA70" s="236"/>
    </row>
    <row r="71">
      <c r="A71" s="236"/>
      <c r="B71" s="244"/>
      <c r="C71" s="234"/>
      <c r="D71" s="236"/>
      <c r="E71" s="230"/>
      <c r="F71" s="230"/>
      <c r="G71" s="236"/>
      <c r="H71" s="236"/>
      <c r="I71" s="230"/>
      <c r="J71" s="242"/>
      <c r="K71" s="233"/>
      <c r="L71" s="242"/>
      <c r="M71" s="154"/>
      <c r="N71" s="55"/>
      <c r="O71" s="21"/>
      <c r="P71" s="236"/>
      <c r="Q71" s="236"/>
      <c r="R71" s="236"/>
      <c r="S71" s="236"/>
      <c r="T71" s="236"/>
      <c r="U71" s="236"/>
      <c r="V71" s="236"/>
      <c r="W71" s="236"/>
      <c r="X71" s="236"/>
      <c r="Y71" s="236"/>
      <c r="Z71" s="236"/>
      <c r="AA71" s="236"/>
    </row>
    <row r="72">
      <c r="A72" s="236"/>
      <c r="B72" s="244"/>
      <c r="C72" s="234"/>
      <c r="D72" s="236"/>
      <c r="E72" s="230"/>
      <c r="F72" s="230"/>
      <c r="G72" s="236"/>
      <c r="H72" s="236"/>
      <c r="I72" s="230"/>
      <c r="J72" s="242"/>
      <c r="K72" s="233"/>
      <c r="L72" s="242"/>
      <c r="M72" s="154"/>
      <c r="N72" s="55"/>
      <c r="O72" s="21"/>
      <c r="P72" s="236"/>
      <c r="Q72" s="236"/>
      <c r="R72" s="236"/>
      <c r="S72" s="236"/>
      <c r="T72" s="236"/>
      <c r="U72" s="236"/>
      <c r="V72" s="236"/>
      <c r="W72" s="236"/>
      <c r="X72" s="236"/>
      <c r="Y72" s="236"/>
      <c r="Z72" s="236"/>
      <c r="AA72" s="236"/>
    </row>
    <row r="73">
      <c r="A73" s="236"/>
      <c r="B73" s="244"/>
      <c r="C73" s="234"/>
      <c r="D73" s="236"/>
      <c r="E73" s="230"/>
      <c r="F73" s="230"/>
      <c r="G73" s="236"/>
      <c r="H73" s="236"/>
      <c r="I73" s="230"/>
      <c r="J73" s="242"/>
      <c r="K73" s="233"/>
      <c r="L73" s="242"/>
      <c r="M73" s="154"/>
      <c r="N73" s="55"/>
      <c r="O73" s="21"/>
      <c r="P73" s="236"/>
      <c r="Q73" s="236"/>
      <c r="R73" s="236"/>
      <c r="S73" s="236"/>
      <c r="T73" s="236"/>
      <c r="U73" s="236"/>
      <c r="V73" s="236"/>
      <c r="W73" s="236"/>
      <c r="X73" s="236"/>
      <c r="Y73" s="236"/>
      <c r="Z73" s="236"/>
      <c r="AA73" s="236"/>
    </row>
    <row r="74">
      <c r="A74" s="236"/>
      <c r="B74" s="244"/>
      <c r="C74" s="234"/>
      <c r="D74" s="236"/>
      <c r="E74" s="230"/>
      <c r="F74" s="230"/>
      <c r="G74" s="236"/>
      <c r="H74" s="236"/>
      <c r="I74" s="230"/>
      <c r="J74" s="242"/>
      <c r="K74" s="233"/>
      <c r="L74" s="242"/>
      <c r="M74" s="154"/>
      <c r="N74" s="55"/>
      <c r="O74" s="21"/>
      <c r="P74" s="236"/>
      <c r="Q74" s="236"/>
      <c r="R74" s="236"/>
      <c r="S74" s="236"/>
      <c r="T74" s="236"/>
      <c r="U74" s="236"/>
      <c r="V74" s="236"/>
      <c r="W74" s="236"/>
      <c r="X74" s="236"/>
      <c r="Y74" s="236"/>
      <c r="Z74" s="236"/>
      <c r="AA74" s="236"/>
    </row>
    <row r="75">
      <c r="A75" s="236"/>
      <c r="B75" s="244"/>
      <c r="C75" s="234"/>
      <c r="D75" s="236"/>
      <c r="E75" s="230"/>
      <c r="F75" s="230"/>
      <c r="G75" s="236"/>
      <c r="H75" s="236"/>
      <c r="I75" s="230"/>
      <c r="J75" s="242"/>
      <c r="K75" s="233"/>
      <c r="L75" s="242"/>
      <c r="M75" s="154"/>
      <c r="N75" s="55"/>
      <c r="O75" s="21"/>
      <c r="P75" s="236"/>
      <c r="Q75" s="236"/>
      <c r="R75" s="236"/>
      <c r="S75" s="236"/>
      <c r="T75" s="236"/>
      <c r="U75" s="236"/>
      <c r="V75" s="236"/>
      <c r="W75" s="236"/>
      <c r="X75" s="236"/>
      <c r="Y75" s="236"/>
      <c r="Z75" s="236"/>
      <c r="AA75" s="236"/>
    </row>
    <row r="76">
      <c r="A76" s="236"/>
      <c r="B76" s="244"/>
      <c r="C76" s="234"/>
      <c r="D76" s="236"/>
      <c r="E76" s="230"/>
      <c r="F76" s="230"/>
      <c r="G76" s="236"/>
      <c r="H76" s="236"/>
      <c r="I76" s="230"/>
      <c r="J76" s="242"/>
      <c r="K76" s="233"/>
      <c r="L76" s="242"/>
      <c r="M76" s="154"/>
      <c r="N76" s="55"/>
      <c r="O76" s="21"/>
      <c r="P76" s="236"/>
      <c r="Q76" s="236"/>
      <c r="R76" s="236"/>
      <c r="S76" s="236"/>
      <c r="T76" s="236"/>
      <c r="U76" s="236"/>
      <c r="V76" s="236"/>
      <c r="W76" s="236"/>
      <c r="X76" s="236"/>
      <c r="Y76" s="236"/>
      <c r="Z76" s="236"/>
      <c r="AA76" s="236"/>
    </row>
    <row r="77">
      <c r="A77" s="236"/>
      <c r="B77" s="244"/>
      <c r="C77" s="234"/>
      <c r="D77" s="236"/>
      <c r="E77" s="230"/>
      <c r="F77" s="230"/>
      <c r="G77" s="236"/>
      <c r="H77" s="236"/>
      <c r="I77" s="230"/>
      <c r="J77" s="242"/>
      <c r="K77" s="233"/>
      <c r="L77" s="242"/>
      <c r="M77" s="154"/>
      <c r="N77" s="55"/>
      <c r="O77" s="21"/>
      <c r="P77" s="236"/>
      <c r="Q77" s="236"/>
      <c r="R77" s="236"/>
      <c r="S77" s="236"/>
      <c r="T77" s="236"/>
      <c r="U77" s="236"/>
      <c r="V77" s="236"/>
      <c r="W77" s="236"/>
      <c r="X77" s="236"/>
      <c r="Y77" s="236"/>
      <c r="Z77" s="236"/>
      <c r="AA77" s="236"/>
    </row>
    <row r="78">
      <c r="A78" s="236"/>
      <c r="B78" s="244"/>
      <c r="C78" s="234"/>
      <c r="D78" s="236"/>
      <c r="E78" s="230"/>
      <c r="F78" s="230"/>
      <c r="G78" s="236"/>
      <c r="H78" s="236"/>
      <c r="I78" s="230"/>
      <c r="J78" s="242"/>
      <c r="K78" s="233"/>
      <c r="L78" s="242"/>
      <c r="M78" s="154"/>
      <c r="N78" s="55"/>
      <c r="O78" s="21"/>
      <c r="P78" s="236"/>
      <c r="Q78" s="236"/>
      <c r="R78" s="236"/>
      <c r="S78" s="236"/>
      <c r="T78" s="236"/>
      <c r="U78" s="236"/>
      <c r="V78" s="236"/>
      <c r="W78" s="236"/>
      <c r="X78" s="236"/>
      <c r="Y78" s="236"/>
      <c r="Z78" s="236"/>
      <c r="AA78" s="236"/>
    </row>
    <row r="79">
      <c r="A79" s="236"/>
      <c r="B79" s="244"/>
      <c r="C79" s="234"/>
      <c r="D79" s="236"/>
      <c r="E79" s="230"/>
      <c r="F79" s="230"/>
      <c r="G79" s="236"/>
      <c r="H79" s="236"/>
      <c r="I79" s="230"/>
      <c r="J79" s="242"/>
      <c r="K79" s="233"/>
      <c r="L79" s="242"/>
      <c r="M79" s="154"/>
      <c r="N79" s="55"/>
      <c r="O79" s="21"/>
      <c r="P79" s="236"/>
      <c r="Q79" s="236"/>
      <c r="R79" s="236"/>
      <c r="S79" s="236"/>
      <c r="T79" s="236"/>
      <c r="U79" s="236"/>
      <c r="V79" s="236"/>
      <c r="W79" s="236"/>
      <c r="X79" s="236"/>
      <c r="Y79" s="236"/>
      <c r="Z79" s="236"/>
      <c r="AA79" s="236"/>
    </row>
    <row r="80">
      <c r="A80" s="236"/>
      <c r="B80" s="244"/>
      <c r="C80" s="234"/>
      <c r="D80" s="236"/>
      <c r="E80" s="230"/>
      <c r="F80" s="230"/>
      <c r="G80" s="236"/>
      <c r="H80" s="236"/>
      <c r="I80" s="230"/>
      <c r="J80" s="242"/>
      <c r="K80" s="233"/>
      <c r="L80" s="242"/>
      <c r="M80" s="154"/>
      <c r="N80" s="55"/>
      <c r="O80" s="21"/>
      <c r="P80" s="236"/>
      <c r="Q80" s="236"/>
      <c r="R80" s="236"/>
      <c r="S80" s="236"/>
      <c r="T80" s="236"/>
      <c r="U80" s="236"/>
      <c r="V80" s="236"/>
      <c r="W80" s="236"/>
      <c r="X80" s="236"/>
      <c r="Y80" s="236"/>
      <c r="Z80" s="236"/>
      <c r="AA80" s="236"/>
    </row>
    <row r="81">
      <c r="A81" s="236"/>
      <c r="B81" s="244"/>
      <c r="C81" s="234"/>
      <c r="D81" s="236"/>
      <c r="E81" s="230"/>
      <c r="F81" s="230"/>
      <c r="G81" s="236"/>
      <c r="H81" s="236"/>
      <c r="I81" s="230"/>
      <c r="J81" s="242"/>
      <c r="K81" s="233"/>
      <c r="L81" s="242"/>
      <c r="M81" s="154"/>
      <c r="N81" s="55"/>
      <c r="O81" s="21"/>
      <c r="P81" s="236"/>
      <c r="Q81" s="236"/>
      <c r="R81" s="236"/>
      <c r="S81" s="236"/>
      <c r="T81" s="236"/>
      <c r="U81" s="236"/>
      <c r="V81" s="236"/>
      <c r="W81" s="236"/>
      <c r="X81" s="236"/>
      <c r="Y81" s="236"/>
      <c r="Z81" s="236"/>
      <c r="AA81" s="236"/>
    </row>
    <row r="82">
      <c r="A82" s="236"/>
      <c r="B82" s="244"/>
      <c r="C82" s="234"/>
      <c r="D82" s="236"/>
      <c r="E82" s="230"/>
      <c r="F82" s="230"/>
      <c r="G82" s="236"/>
      <c r="H82" s="236"/>
      <c r="I82" s="230"/>
      <c r="J82" s="242"/>
      <c r="K82" s="233"/>
      <c r="L82" s="242"/>
      <c r="M82" s="154"/>
      <c r="N82" s="55"/>
      <c r="O82" s="21"/>
      <c r="P82" s="236"/>
      <c r="Q82" s="236"/>
      <c r="R82" s="236"/>
      <c r="S82" s="236"/>
      <c r="T82" s="236"/>
      <c r="U82" s="236"/>
      <c r="V82" s="236"/>
      <c r="W82" s="236"/>
      <c r="X82" s="236"/>
      <c r="Y82" s="236"/>
      <c r="Z82" s="236"/>
      <c r="AA82" s="236"/>
    </row>
    <row r="83">
      <c r="A83" s="236"/>
      <c r="B83" s="244"/>
      <c r="C83" s="234"/>
      <c r="D83" s="236"/>
      <c r="E83" s="230"/>
      <c r="F83" s="230"/>
      <c r="G83" s="236"/>
      <c r="H83" s="236"/>
      <c r="I83" s="230"/>
      <c r="J83" s="242"/>
      <c r="K83" s="233"/>
      <c r="L83" s="242"/>
      <c r="M83" s="154"/>
      <c r="N83" s="55"/>
      <c r="O83" s="21"/>
      <c r="P83" s="236"/>
      <c r="Q83" s="236"/>
      <c r="R83" s="236"/>
      <c r="S83" s="236"/>
      <c r="T83" s="236"/>
      <c r="U83" s="236"/>
      <c r="V83" s="236"/>
      <c r="W83" s="236"/>
      <c r="X83" s="236"/>
      <c r="Y83" s="236"/>
      <c r="Z83" s="236"/>
      <c r="AA83" s="236"/>
    </row>
    <row r="84">
      <c r="A84" s="236"/>
      <c r="B84" s="244"/>
      <c r="C84" s="234"/>
      <c r="D84" s="236"/>
      <c r="E84" s="230"/>
      <c r="F84" s="230"/>
      <c r="G84" s="236"/>
      <c r="H84" s="236"/>
      <c r="I84" s="230"/>
      <c r="J84" s="242"/>
      <c r="K84" s="233"/>
      <c r="L84" s="242"/>
      <c r="M84" s="154"/>
      <c r="N84" s="55"/>
      <c r="O84" s="21"/>
      <c r="P84" s="236"/>
      <c r="Q84" s="236"/>
      <c r="R84" s="236"/>
      <c r="S84" s="236"/>
      <c r="T84" s="236"/>
      <c r="U84" s="236"/>
      <c r="V84" s="236"/>
      <c r="W84" s="236"/>
      <c r="X84" s="236"/>
      <c r="Y84" s="236"/>
      <c r="Z84" s="236"/>
      <c r="AA84" s="236"/>
    </row>
    <row r="85">
      <c r="A85" s="236"/>
      <c r="B85" s="244"/>
      <c r="C85" s="234"/>
      <c r="D85" s="236"/>
      <c r="E85" s="230"/>
      <c r="F85" s="230"/>
      <c r="G85" s="236"/>
      <c r="H85" s="236"/>
      <c r="I85" s="230"/>
      <c r="J85" s="242"/>
      <c r="K85" s="233"/>
      <c r="L85" s="242"/>
      <c r="M85" s="154"/>
      <c r="N85" s="55"/>
      <c r="O85" s="21"/>
      <c r="P85" s="236"/>
      <c r="Q85" s="236"/>
      <c r="R85" s="236"/>
      <c r="S85" s="236"/>
      <c r="T85" s="236"/>
      <c r="U85" s="236"/>
      <c r="V85" s="236"/>
      <c r="W85" s="236"/>
      <c r="X85" s="236"/>
      <c r="Y85" s="236"/>
      <c r="Z85" s="236"/>
      <c r="AA85" s="236"/>
    </row>
    <row r="86">
      <c r="A86" s="236"/>
      <c r="B86" s="244"/>
      <c r="C86" s="234"/>
      <c r="D86" s="236"/>
      <c r="E86" s="230"/>
      <c r="F86" s="230"/>
      <c r="G86" s="236"/>
      <c r="H86" s="236"/>
      <c r="I86" s="230"/>
      <c r="J86" s="242"/>
      <c r="K86" s="233"/>
      <c r="L86" s="242"/>
      <c r="M86" s="154"/>
      <c r="N86" s="55"/>
      <c r="O86" s="21"/>
      <c r="P86" s="236"/>
      <c r="Q86" s="236"/>
      <c r="R86" s="236"/>
      <c r="S86" s="236"/>
      <c r="T86" s="236"/>
      <c r="U86" s="236"/>
      <c r="V86" s="236"/>
      <c r="W86" s="236"/>
      <c r="X86" s="236"/>
      <c r="Y86" s="236"/>
      <c r="Z86" s="236"/>
      <c r="AA86" s="236"/>
    </row>
    <row r="87">
      <c r="A87" s="236"/>
      <c r="B87" s="244"/>
      <c r="C87" s="234"/>
      <c r="D87" s="236"/>
      <c r="E87" s="230"/>
      <c r="F87" s="230"/>
      <c r="G87" s="236"/>
      <c r="H87" s="236"/>
      <c r="I87" s="230"/>
      <c r="J87" s="242"/>
      <c r="K87" s="233"/>
      <c r="L87" s="242"/>
      <c r="M87" s="154"/>
      <c r="N87" s="55"/>
      <c r="O87" s="21"/>
      <c r="P87" s="236"/>
      <c r="Q87" s="236"/>
      <c r="R87" s="236"/>
      <c r="S87" s="236"/>
      <c r="T87" s="236"/>
      <c r="U87" s="236"/>
      <c r="V87" s="236"/>
      <c r="W87" s="236"/>
      <c r="X87" s="236"/>
      <c r="Y87" s="236"/>
      <c r="Z87" s="236"/>
      <c r="AA87" s="236"/>
    </row>
    <row r="88">
      <c r="A88" s="236"/>
      <c r="B88" s="244"/>
      <c r="C88" s="234"/>
      <c r="D88" s="236"/>
      <c r="E88" s="230"/>
      <c r="F88" s="230"/>
      <c r="G88" s="236"/>
      <c r="H88" s="236"/>
      <c r="I88" s="230"/>
      <c r="J88" s="242"/>
      <c r="K88" s="233"/>
      <c r="L88" s="242"/>
      <c r="M88" s="154"/>
      <c r="N88" s="55"/>
      <c r="O88" s="21"/>
      <c r="P88" s="236"/>
      <c r="Q88" s="236"/>
      <c r="R88" s="236"/>
      <c r="S88" s="236"/>
      <c r="T88" s="236"/>
      <c r="U88" s="236"/>
      <c r="V88" s="236"/>
      <c r="W88" s="236"/>
      <c r="X88" s="236"/>
      <c r="Y88" s="236"/>
      <c r="Z88" s="236"/>
      <c r="AA88" s="236"/>
    </row>
    <row r="89">
      <c r="A89" s="236"/>
      <c r="B89" s="244"/>
      <c r="C89" s="234"/>
      <c r="D89" s="236"/>
      <c r="E89" s="230"/>
      <c r="F89" s="230"/>
      <c r="G89" s="236"/>
      <c r="H89" s="236"/>
      <c r="I89" s="230"/>
      <c r="J89" s="242"/>
      <c r="K89" s="233"/>
      <c r="L89" s="242"/>
      <c r="M89" s="154"/>
      <c r="N89" s="55"/>
      <c r="O89" s="21"/>
      <c r="P89" s="236"/>
      <c r="Q89" s="236"/>
      <c r="R89" s="236"/>
      <c r="S89" s="236"/>
      <c r="T89" s="236"/>
      <c r="U89" s="236"/>
      <c r="V89" s="236"/>
      <c r="W89" s="236"/>
      <c r="X89" s="236"/>
      <c r="Y89" s="236"/>
      <c r="Z89" s="236"/>
      <c r="AA89" s="236"/>
    </row>
    <row r="90">
      <c r="A90" s="236"/>
      <c r="B90" s="244"/>
      <c r="C90" s="234"/>
      <c r="D90" s="236"/>
      <c r="E90" s="230"/>
      <c r="F90" s="230"/>
      <c r="G90" s="236"/>
      <c r="H90" s="236"/>
      <c r="I90" s="230"/>
      <c r="J90" s="242"/>
      <c r="K90" s="233"/>
      <c r="L90" s="242"/>
      <c r="M90" s="154"/>
      <c r="N90" s="55"/>
      <c r="O90" s="21"/>
      <c r="P90" s="236"/>
      <c r="Q90" s="236"/>
      <c r="R90" s="236"/>
      <c r="S90" s="236"/>
      <c r="T90" s="236"/>
      <c r="U90" s="236"/>
      <c r="V90" s="236"/>
      <c r="W90" s="236"/>
      <c r="X90" s="236"/>
      <c r="Y90" s="236"/>
      <c r="Z90" s="236"/>
      <c r="AA90" s="236"/>
    </row>
    <row r="91">
      <c r="A91" s="236"/>
      <c r="B91" s="244"/>
      <c r="C91" s="234"/>
      <c r="D91" s="236"/>
      <c r="E91" s="230"/>
      <c r="F91" s="230"/>
      <c r="G91" s="236"/>
      <c r="H91" s="236"/>
      <c r="I91" s="230"/>
      <c r="J91" s="242"/>
      <c r="K91" s="233"/>
      <c r="L91" s="242"/>
      <c r="M91" s="154"/>
      <c r="N91" s="55"/>
      <c r="O91" s="21"/>
      <c r="P91" s="236"/>
      <c r="Q91" s="236"/>
      <c r="R91" s="236"/>
      <c r="S91" s="236"/>
      <c r="T91" s="236"/>
      <c r="U91" s="236"/>
      <c r="V91" s="236"/>
      <c r="W91" s="236"/>
      <c r="X91" s="236"/>
      <c r="Y91" s="236"/>
      <c r="Z91" s="236"/>
      <c r="AA91" s="236"/>
    </row>
    <row r="92">
      <c r="A92" s="236"/>
      <c r="B92" s="244"/>
      <c r="C92" s="234"/>
      <c r="D92" s="236"/>
      <c r="E92" s="230"/>
      <c r="F92" s="230"/>
      <c r="G92" s="236"/>
      <c r="H92" s="236"/>
      <c r="I92" s="230"/>
      <c r="J92" s="242"/>
      <c r="K92" s="233"/>
      <c r="L92" s="242"/>
      <c r="M92" s="154"/>
      <c r="N92" s="55"/>
      <c r="O92" s="21"/>
      <c r="P92" s="236"/>
      <c r="Q92" s="236"/>
      <c r="R92" s="236"/>
      <c r="S92" s="236"/>
      <c r="T92" s="236"/>
      <c r="U92" s="236"/>
      <c r="V92" s="236"/>
      <c r="W92" s="236"/>
      <c r="X92" s="236"/>
      <c r="Y92" s="236"/>
      <c r="Z92" s="236"/>
      <c r="AA92" s="236"/>
    </row>
    <row r="93">
      <c r="A93" s="236"/>
      <c r="B93" s="244"/>
      <c r="C93" s="234"/>
      <c r="D93" s="236"/>
      <c r="E93" s="230"/>
      <c r="F93" s="230"/>
      <c r="G93" s="236"/>
      <c r="H93" s="236"/>
      <c r="I93" s="230"/>
      <c r="J93" s="242"/>
      <c r="K93" s="233"/>
      <c r="L93" s="242"/>
      <c r="M93" s="154"/>
      <c r="N93" s="55"/>
      <c r="O93" s="21"/>
      <c r="P93" s="236"/>
      <c r="Q93" s="236"/>
      <c r="R93" s="236"/>
      <c r="S93" s="236"/>
      <c r="T93" s="236"/>
      <c r="U93" s="236"/>
      <c r="V93" s="236"/>
      <c r="W93" s="236"/>
      <c r="X93" s="236"/>
      <c r="Y93" s="236"/>
      <c r="Z93" s="236"/>
      <c r="AA93" s="236"/>
    </row>
    <row r="94">
      <c r="A94" s="236"/>
      <c r="B94" s="237"/>
      <c r="C94" s="232"/>
      <c r="D94" s="236"/>
      <c r="E94" s="230"/>
      <c r="F94" s="230"/>
      <c r="G94" s="236"/>
      <c r="H94" s="236"/>
      <c r="I94" s="230"/>
      <c r="J94" s="242"/>
      <c r="K94" s="233"/>
      <c r="L94" s="242"/>
      <c r="M94" s="154"/>
      <c r="N94" s="55"/>
      <c r="O94" s="21"/>
      <c r="P94" s="236"/>
      <c r="Q94" s="236"/>
      <c r="R94" s="236"/>
      <c r="S94" s="236"/>
      <c r="T94" s="236"/>
      <c r="U94" s="236"/>
      <c r="V94" s="236"/>
      <c r="W94" s="236"/>
      <c r="X94" s="236"/>
      <c r="Y94" s="236"/>
      <c r="Z94" s="236"/>
      <c r="AA94" s="236"/>
    </row>
    <row r="95">
      <c r="A95" s="236"/>
      <c r="B95" s="237"/>
      <c r="C95" s="232"/>
      <c r="D95" s="236"/>
      <c r="E95" s="230"/>
      <c r="F95" s="230"/>
      <c r="G95" s="236"/>
      <c r="H95" s="236"/>
      <c r="I95" s="230"/>
      <c r="J95" s="242"/>
      <c r="K95" s="233"/>
      <c r="L95" s="242"/>
      <c r="M95" s="154"/>
      <c r="N95" s="55"/>
      <c r="O95" s="21"/>
      <c r="P95" s="236"/>
      <c r="Q95" s="236"/>
      <c r="R95" s="236"/>
      <c r="S95" s="236"/>
      <c r="T95" s="236"/>
      <c r="U95" s="236"/>
      <c r="V95" s="236"/>
      <c r="W95" s="236"/>
      <c r="X95" s="236"/>
      <c r="Y95" s="236"/>
      <c r="Z95" s="236"/>
      <c r="AA95" s="236"/>
    </row>
    <row r="96">
      <c r="A96" s="236"/>
      <c r="B96" s="237"/>
      <c r="C96" s="232"/>
      <c r="D96" s="236"/>
      <c r="E96" s="230"/>
      <c r="F96" s="230"/>
      <c r="G96" s="236"/>
      <c r="H96" s="236"/>
      <c r="I96" s="230"/>
      <c r="J96" s="242"/>
      <c r="K96" s="233"/>
      <c r="L96" s="242"/>
      <c r="M96" s="154"/>
      <c r="N96" s="55"/>
      <c r="O96" s="21"/>
      <c r="P96" s="236"/>
      <c r="Q96" s="236"/>
      <c r="R96" s="236"/>
      <c r="S96" s="236"/>
      <c r="T96" s="236"/>
      <c r="U96" s="236"/>
      <c r="V96" s="236"/>
      <c r="W96" s="236"/>
      <c r="X96" s="236"/>
      <c r="Y96" s="236"/>
      <c r="Z96" s="236"/>
      <c r="AA96" s="236"/>
    </row>
    <row r="97">
      <c r="A97" s="236"/>
      <c r="B97" s="237"/>
      <c r="C97" s="232"/>
      <c r="D97" s="236"/>
      <c r="E97" s="230"/>
      <c r="F97" s="230"/>
      <c r="G97" s="236"/>
      <c r="H97" s="236"/>
      <c r="I97" s="230"/>
      <c r="J97" s="242"/>
      <c r="K97" s="233"/>
      <c r="L97" s="242"/>
      <c r="M97" s="154"/>
      <c r="N97" s="55"/>
      <c r="O97" s="21"/>
      <c r="P97" s="236"/>
      <c r="Q97" s="236"/>
      <c r="R97" s="236"/>
      <c r="S97" s="236"/>
      <c r="T97" s="236"/>
      <c r="U97" s="236"/>
      <c r="V97" s="236"/>
      <c r="W97" s="236"/>
      <c r="X97" s="236"/>
      <c r="Y97" s="236"/>
      <c r="Z97" s="236"/>
      <c r="AA97" s="236"/>
    </row>
    <row r="98">
      <c r="A98" s="236"/>
      <c r="B98" s="237"/>
      <c r="C98" s="232"/>
      <c r="D98" s="236"/>
      <c r="E98" s="230"/>
      <c r="F98" s="230"/>
      <c r="G98" s="236"/>
      <c r="H98" s="236"/>
      <c r="I98" s="230"/>
      <c r="J98" s="242"/>
      <c r="K98" s="233"/>
      <c r="L98" s="242"/>
      <c r="M98" s="154"/>
      <c r="N98" s="55"/>
      <c r="O98" s="236"/>
      <c r="P98" s="236"/>
      <c r="Q98" s="236"/>
      <c r="R98" s="236"/>
      <c r="S98" s="236"/>
      <c r="T98" s="236"/>
      <c r="U98" s="236"/>
      <c r="V98" s="236"/>
      <c r="W98" s="236"/>
      <c r="X98" s="236"/>
      <c r="Y98" s="236"/>
      <c r="Z98" s="236"/>
      <c r="AA98" s="236"/>
    </row>
    <row r="99">
      <c r="A99" s="236"/>
      <c r="B99" s="237"/>
      <c r="C99" s="232"/>
      <c r="D99" s="236"/>
      <c r="E99" s="230"/>
      <c r="F99" s="230"/>
      <c r="G99" s="236"/>
      <c r="H99" s="236"/>
      <c r="I99" s="230"/>
      <c r="J99" s="242"/>
      <c r="K99" s="233"/>
      <c r="L99" s="242"/>
      <c r="M99" s="154"/>
      <c r="N99" s="55"/>
      <c r="O99" s="236"/>
      <c r="P99" s="236"/>
      <c r="Q99" s="236"/>
      <c r="R99" s="236"/>
      <c r="S99" s="236"/>
      <c r="T99" s="236"/>
      <c r="U99" s="236"/>
      <c r="V99" s="236"/>
      <c r="W99" s="236"/>
      <c r="X99" s="236"/>
      <c r="Y99" s="236"/>
      <c r="Z99" s="236"/>
      <c r="AA99" s="236"/>
    </row>
    <row r="100">
      <c r="A100" s="236"/>
      <c r="B100" s="237"/>
      <c r="C100" s="234" t="s">
        <v>8946</v>
      </c>
      <c r="D100" s="236"/>
      <c r="E100" s="230"/>
      <c r="F100" s="230"/>
      <c r="G100" s="236"/>
      <c r="H100" s="236"/>
      <c r="I100" s="230"/>
      <c r="J100" s="242"/>
      <c r="K100" s="233"/>
      <c r="L100" s="242"/>
      <c r="M100" s="154"/>
      <c r="N100" s="55"/>
      <c r="O100" s="236"/>
      <c r="P100" s="236"/>
      <c r="Q100" s="236"/>
      <c r="R100" s="236"/>
      <c r="S100" s="236"/>
      <c r="T100" s="236"/>
      <c r="U100" s="236"/>
      <c r="V100" s="236"/>
      <c r="W100" s="236"/>
      <c r="X100" s="236"/>
      <c r="Y100" s="236"/>
      <c r="Z100" s="236"/>
      <c r="AA100" s="236"/>
    </row>
    <row r="101">
      <c r="A101" s="236"/>
      <c r="B101" s="237"/>
      <c r="C101" s="232"/>
      <c r="D101" s="236"/>
      <c r="E101" s="230"/>
      <c r="F101" s="230"/>
      <c r="G101" s="236"/>
      <c r="H101" s="236"/>
      <c r="I101" s="230"/>
      <c r="J101" s="242"/>
      <c r="K101" s="233"/>
      <c r="L101" s="242"/>
      <c r="M101" s="154"/>
      <c r="N101" s="55"/>
      <c r="O101" s="236"/>
      <c r="P101" s="236"/>
      <c r="Q101" s="236"/>
      <c r="R101" s="236"/>
      <c r="S101" s="236"/>
      <c r="T101" s="236"/>
      <c r="U101" s="236"/>
      <c r="V101" s="236"/>
      <c r="W101" s="236"/>
      <c r="X101" s="236"/>
      <c r="Y101" s="236"/>
      <c r="Z101" s="236"/>
      <c r="AA101" s="236"/>
    </row>
    <row r="102">
      <c r="A102" s="236"/>
      <c r="B102" s="237"/>
      <c r="C102" s="232"/>
      <c r="D102" s="236"/>
      <c r="E102" s="230"/>
      <c r="F102" s="230"/>
      <c r="G102" s="236"/>
      <c r="H102" s="236"/>
      <c r="I102" s="230"/>
      <c r="J102" s="242"/>
      <c r="K102" s="233"/>
      <c r="L102" s="242"/>
      <c r="M102" s="154"/>
      <c r="N102" s="55"/>
      <c r="O102" s="236"/>
      <c r="P102" s="236"/>
      <c r="Q102" s="236"/>
      <c r="R102" s="236"/>
      <c r="S102" s="236"/>
      <c r="T102" s="236"/>
      <c r="U102" s="236"/>
      <c r="V102" s="236"/>
      <c r="W102" s="236"/>
      <c r="X102" s="236"/>
      <c r="Y102" s="236"/>
      <c r="Z102" s="236"/>
      <c r="AA102" s="236"/>
    </row>
    <row r="103">
      <c r="A103" s="236"/>
      <c r="B103" s="237"/>
      <c r="C103" s="232"/>
      <c r="D103" s="236"/>
      <c r="E103" s="230"/>
      <c r="F103" s="230"/>
      <c r="G103" s="236"/>
      <c r="H103" s="236"/>
      <c r="I103" s="230"/>
      <c r="J103" s="242"/>
      <c r="K103" s="233"/>
      <c r="L103" s="242"/>
      <c r="M103" s="154"/>
      <c r="N103" s="55"/>
      <c r="O103" s="236"/>
      <c r="P103" s="236"/>
      <c r="Q103" s="236"/>
      <c r="R103" s="236"/>
      <c r="S103" s="236"/>
      <c r="T103" s="236"/>
      <c r="U103" s="236"/>
      <c r="V103" s="236"/>
      <c r="W103" s="236"/>
      <c r="X103" s="236"/>
      <c r="Y103" s="236"/>
      <c r="Z103" s="236"/>
      <c r="AA103" s="236"/>
    </row>
    <row r="104">
      <c r="A104" s="236"/>
      <c r="B104" s="237"/>
      <c r="C104" s="232"/>
      <c r="D104" s="236"/>
      <c r="E104" s="230"/>
      <c r="F104" s="230"/>
      <c r="G104" s="236"/>
      <c r="H104" s="236"/>
      <c r="I104" s="230"/>
      <c r="J104" s="242"/>
      <c r="K104" s="233"/>
      <c r="L104" s="242"/>
      <c r="M104" s="154"/>
      <c r="N104" s="55"/>
      <c r="O104" s="236"/>
      <c r="P104" s="236"/>
      <c r="Q104" s="236"/>
      <c r="R104" s="236"/>
      <c r="S104" s="236"/>
      <c r="T104" s="236"/>
      <c r="U104" s="236"/>
      <c r="V104" s="236"/>
      <c r="W104" s="236"/>
      <c r="X104" s="236"/>
      <c r="Y104" s="236"/>
      <c r="Z104" s="236"/>
      <c r="AA104" s="236"/>
    </row>
    <row r="105">
      <c r="A105" s="236"/>
      <c r="B105" s="237"/>
      <c r="C105" s="232"/>
      <c r="D105" s="236"/>
      <c r="E105" s="230"/>
      <c r="F105" s="230"/>
      <c r="G105" s="236"/>
      <c r="H105" s="236"/>
      <c r="I105" s="230"/>
      <c r="J105" s="242"/>
      <c r="K105" s="233"/>
      <c r="L105" s="242"/>
      <c r="M105" s="154"/>
      <c r="N105" s="55"/>
      <c r="O105" s="236"/>
      <c r="P105" s="236"/>
      <c r="Q105" s="236"/>
      <c r="R105" s="236"/>
      <c r="S105" s="236"/>
      <c r="T105" s="236"/>
      <c r="U105" s="236"/>
      <c r="V105" s="236"/>
      <c r="W105" s="236"/>
      <c r="X105" s="236"/>
      <c r="Y105" s="236"/>
      <c r="Z105" s="236"/>
      <c r="AA105" s="236"/>
    </row>
    <row r="106">
      <c r="A106" s="236"/>
      <c r="B106" s="237"/>
      <c r="C106" s="232"/>
      <c r="D106" s="236"/>
      <c r="E106" s="230"/>
      <c r="F106" s="230"/>
      <c r="G106" s="236"/>
      <c r="H106" s="236"/>
      <c r="I106" s="230"/>
      <c r="J106" s="242"/>
      <c r="K106" s="233"/>
      <c r="L106" s="242"/>
      <c r="M106" s="154"/>
      <c r="N106" s="55"/>
      <c r="O106" s="236"/>
      <c r="P106" s="236"/>
      <c r="Q106" s="236"/>
      <c r="R106" s="236"/>
      <c r="S106" s="236"/>
      <c r="T106" s="236"/>
      <c r="U106" s="236"/>
      <c r="V106" s="236"/>
      <c r="W106" s="236"/>
      <c r="X106" s="236"/>
      <c r="Y106" s="236"/>
      <c r="Z106" s="236"/>
      <c r="AA106" s="236"/>
    </row>
    <row r="107">
      <c r="A107" s="236"/>
      <c r="B107" s="237"/>
      <c r="C107" s="232"/>
      <c r="D107" s="236"/>
      <c r="E107" s="230"/>
      <c r="F107" s="230"/>
      <c r="G107" s="236"/>
      <c r="H107" s="236"/>
      <c r="I107" s="230"/>
      <c r="J107" s="242"/>
      <c r="K107" s="233"/>
      <c r="L107" s="242"/>
      <c r="M107" s="154"/>
      <c r="N107" s="55"/>
      <c r="O107" s="236"/>
      <c r="P107" s="236"/>
      <c r="Q107" s="236"/>
      <c r="R107" s="236"/>
      <c r="S107" s="236"/>
      <c r="T107" s="236"/>
      <c r="U107" s="236"/>
      <c r="V107" s="236"/>
      <c r="W107" s="236"/>
      <c r="X107" s="236"/>
      <c r="Y107" s="236"/>
      <c r="Z107" s="236"/>
      <c r="AA107" s="236"/>
    </row>
    <row r="108">
      <c r="A108" s="236"/>
      <c r="B108" s="237"/>
      <c r="C108" s="232"/>
      <c r="D108" s="236"/>
      <c r="E108" s="230"/>
      <c r="F108" s="230"/>
      <c r="G108" s="236"/>
      <c r="H108" s="236"/>
      <c r="I108" s="230"/>
      <c r="J108" s="242"/>
      <c r="K108" s="233"/>
      <c r="L108" s="242"/>
      <c r="M108" s="154"/>
      <c r="N108" s="55"/>
      <c r="O108" s="236"/>
      <c r="P108" s="236"/>
      <c r="Q108" s="236"/>
      <c r="R108" s="236"/>
      <c r="S108" s="236"/>
      <c r="T108" s="236"/>
      <c r="U108" s="236"/>
      <c r="V108" s="236"/>
      <c r="W108" s="236"/>
      <c r="X108" s="236"/>
      <c r="Y108" s="236"/>
      <c r="Z108" s="236"/>
      <c r="AA108" s="236"/>
    </row>
    <row r="109">
      <c r="A109" s="236"/>
      <c r="B109" s="237"/>
      <c r="C109" s="232"/>
      <c r="D109" s="236"/>
      <c r="E109" s="230"/>
      <c r="F109" s="230"/>
      <c r="G109" s="236"/>
      <c r="H109" s="236"/>
      <c r="I109" s="230"/>
      <c r="J109" s="242"/>
      <c r="K109" s="233"/>
      <c r="L109" s="242"/>
      <c r="M109" s="154"/>
      <c r="N109" s="55"/>
      <c r="O109" s="236"/>
      <c r="P109" s="236"/>
      <c r="Q109" s="236"/>
      <c r="R109" s="236"/>
      <c r="S109" s="236"/>
      <c r="T109" s="236"/>
      <c r="U109" s="236"/>
      <c r="V109" s="236"/>
      <c r="W109" s="236"/>
      <c r="X109" s="236"/>
      <c r="Y109" s="236"/>
      <c r="Z109" s="236"/>
      <c r="AA109" s="236"/>
    </row>
    <row r="110">
      <c r="A110" s="236"/>
      <c r="B110" s="237"/>
      <c r="C110" s="232"/>
      <c r="D110" s="236"/>
      <c r="E110" s="230"/>
      <c r="F110" s="230"/>
      <c r="G110" s="236"/>
      <c r="H110" s="236"/>
      <c r="I110" s="230"/>
      <c r="J110" s="242"/>
      <c r="K110" s="233"/>
      <c r="L110" s="242"/>
      <c r="M110" s="154"/>
      <c r="N110" s="55"/>
      <c r="O110" s="236"/>
      <c r="P110" s="236"/>
      <c r="Q110" s="236"/>
      <c r="R110" s="236"/>
      <c r="S110" s="236"/>
      <c r="T110" s="236"/>
      <c r="U110" s="236"/>
      <c r="V110" s="236"/>
      <c r="W110" s="236"/>
      <c r="X110" s="236"/>
      <c r="Y110" s="236"/>
      <c r="Z110" s="236"/>
      <c r="AA110" s="236"/>
    </row>
    <row r="111">
      <c r="A111" s="236"/>
      <c r="B111" s="237"/>
      <c r="C111" s="232"/>
      <c r="D111" s="236"/>
      <c r="E111" s="230"/>
      <c r="F111" s="230"/>
      <c r="G111" s="236"/>
      <c r="H111" s="236"/>
      <c r="I111" s="230"/>
      <c r="J111" s="242"/>
      <c r="K111" s="233"/>
      <c r="L111" s="242"/>
      <c r="M111" s="154"/>
      <c r="N111" s="55"/>
      <c r="O111" s="236"/>
      <c r="P111" s="236"/>
      <c r="Q111" s="236"/>
      <c r="R111" s="236"/>
      <c r="S111" s="236"/>
      <c r="T111" s="236"/>
      <c r="U111" s="236"/>
      <c r="V111" s="236"/>
      <c r="W111" s="236"/>
      <c r="X111" s="236"/>
      <c r="Y111" s="236"/>
      <c r="Z111" s="236"/>
      <c r="AA111" s="236"/>
    </row>
    <row r="112">
      <c r="A112" s="236"/>
      <c r="B112" s="237"/>
      <c r="C112" s="232"/>
      <c r="D112" s="236"/>
      <c r="E112" s="230"/>
      <c r="F112" s="230"/>
      <c r="G112" s="236"/>
      <c r="H112" s="236"/>
      <c r="I112" s="230"/>
      <c r="J112" s="242"/>
      <c r="K112" s="233"/>
      <c r="L112" s="242"/>
      <c r="M112" s="154"/>
      <c r="N112" s="55"/>
      <c r="O112" s="236"/>
      <c r="P112" s="236"/>
      <c r="Q112" s="236"/>
      <c r="R112" s="236"/>
      <c r="S112" s="236"/>
      <c r="T112" s="236"/>
      <c r="U112" s="236"/>
      <c r="V112" s="236"/>
      <c r="W112" s="236"/>
      <c r="X112" s="236"/>
      <c r="Y112" s="236"/>
      <c r="Z112" s="236"/>
      <c r="AA112" s="236"/>
    </row>
    <row r="113">
      <c r="A113" s="236"/>
      <c r="B113" s="237"/>
      <c r="C113" s="232"/>
      <c r="D113" s="236"/>
      <c r="E113" s="230"/>
      <c r="F113" s="230"/>
      <c r="G113" s="236"/>
      <c r="H113" s="236"/>
      <c r="I113" s="230"/>
      <c r="J113" s="242"/>
      <c r="K113" s="233"/>
      <c r="L113" s="242"/>
      <c r="M113" s="154"/>
      <c r="N113" s="55"/>
      <c r="O113" s="236"/>
      <c r="P113" s="236"/>
      <c r="Q113" s="236"/>
      <c r="R113" s="236"/>
      <c r="S113" s="236"/>
      <c r="T113" s="236"/>
      <c r="U113" s="236"/>
      <c r="V113" s="236"/>
      <c r="W113" s="236"/>
      <c r="X113" s="236"/>
      <c r="Y113" s="236"/>
      <c r="Z113" s="236"/>
      <c r="AA113" s="236"/>
    </row>
    <row r="114">
      <c r="A114" s="236"/>
      <c r="B114" s="237"/>
      <c r="C114" s="232"/>
      <c r="D114" s="236"/>
      <c r="E114" s="230"/>
      <c r="F114" s="230"/>
      <c r="G114" s="236"/>
      <c r="H114" s="236"/>
      <c r="I114" s="230"/>
      <c r="J114" s="242"/>
      <c r="K114" s="233"/>
      <c r="L114" s="242"/>
      <c r="M114" s="154"/>
      <c r="N114" s="55"/>
      <c r="O114" s="236"/>
      <c r="P114" s="236"/>
      <c r="Q114" s="236"/>
      <c r="R114" s="236"/>
      <c r="S114" s="236"/>
      <c r="T114" s="236"/>
      <c r="U114" s="236"/>
      <c r="V114" s="236"/>
      <c r="W114" s="236"/>
      <c r="X114" s="236"/>
      <c r="Y114" s="236"/>
      <c r="Z114" s="236"/>
      <c r="AA114" s="236"/>
    </row>
    <row r="115">
      <c r="A115" s="236"/>
      <c r="B115" s="237"/>
      <c r="C115" s="232"/>
      <c r="D115" s="236"/>
      <c r="E115" s="230"/>
      <c r="F115" s="230"/>
      <c r="G115" s="236"/>
      <c r="H115" s="236"/>
      <c r="I115" s="230"/>
      <c r="J115" s="242"/>
      <c r="K115" s="233"/>
      <c r="L115" s="242"/>
      <c r="M115" s="154"/>
      <c r="N115" s="55"/>
      <c r="O115" s="236"/>
      <c r="P115" s="236"/>
      <c r="Q115" s="236"/>
      <c r="R115" s="236"/>
      <c r="S115" s="236"/>
      <c r="T115" s="236"/>
      <c r="U115" s="236"/>
      <c r="V115" s="236"/>
      <c r="W115" s="236"/>
      <c r="X115" s="236"/>
      <c r="Y115" s="236"/>
      <c r="Z115" s="236"/>
      <c r="AA115" s="236"/>
    </row>
    <row r="116">
      <c r="A116" s="236"/>
      <c r="B116" s="237"/>
      <c r="C116" s="232"/>
      <c r="D116" s="236"/>
      <c r="E116" s="230"/>
      <c r="F116" s="230"/>
      <c r="G116" s="236"/>
      <c r="H116" s="236"/>
      <c r="I116" s="230"/>
      <c r="J116" s="242"/>
      <c r="K116" s="233"/>
      <c r="L116" s="242"/>
      <c r="M116" s="154"/>
      <c r="N116" s="55"/>
      <c r="O116" s="236"/>
      <c r="P116" s="236"/>
      <c r="Q116" s="236"/>
      <c r="R116" s="236"/>
      <c r="S116" s="236"/>
      <c r="T116" s="236"/>
      <c r="U116" s="236"/>
      <c r="V116" s="236"/>
      <c r="W116" s="236"/>
      <c r="X116" s="236"/>
      <c r="Y116" s="236"/>
      <c r="Z116" s="236"/>
      <c r="AA116" s="236"/>
    </row>
    <row r="117">
      <c r="A117" s="236"/>
      <c r="B117" s="237"/>
      <c r="C117" s="232"/>
      <c r="D117" s="236"/>
      <c r="E117" s="230"/>
      <c r="F117" s="230"/>
      <c r="G117" s="236"/>
      <c r="H117" s="236"/>
      <c r="I117" s="230"/>
      <c r="J117" s="242"/>
      <c r="K117" s="233"/>
      <c r="L117" s="242"/>
      <c r="M117" s="154"/>
      <c r="N117" s="55"/>
      <c r="O117" s="236"/>
      <c r="P117" s="236"/>
      <c r="Q117" s="236"/>
      <c r="R117" s="236"/>
      <c r="S117" s="236"/>
      <c r="T117" s="236"/>
      <c r="U117" s="236"/>
      <c r="V117" s="236"/>
      <c r="W117" s="236"/>
      <c r="X117" s="236"/>
      <c r="Y117" s="236"/>
      <c r="Z117" s="236"/>
      <c r="AA117" s="236"/>
    </row>
    <row r="118">
      <c r="A118" s="236"/>
      <c r="B118" s="237"/>
      <c r="C118" s="232"/>
      <c r="D118" s="236"/>
      <c r="E118" s="230"/>
      <c r="F118" s="230"/>
      <c r="G118" s="236"/>
      <c r="H118" s="236"/>
      <c r="I118" s="230"/>
      <c r="J118" s="242"/>
      <c r="K118" s="233"/>
      <c r="L118" s="242"/>
      <c r="M118" s="154"/>
      <c r="N118" s="55"/>
      <c r="O118" s="236"/>
      <c r="P118" s="236"/>
      <c r="Q118" s="236"/>
      <c r="R118" s="236"/>
      <c r="S118" s="236"/>
      <c r="T118" s="236"/>
      <c r="U118" s="236"/>
      <c r="V118" s="236"/>
      <c r="W118" s="236"/>
      <c r="X118" s="236"/>
      <c r="Y118" s="236"/>
      <c r="Z118" s="236"/>
      <c r="AA118" s="236"/>
    </row>
    <row r="119">
      <c r="A119" s="236"/>
      <c r="B119" s="237"/>
      <c r="C119" s="232"/>
      <c r="D119" s="236"/>
      <c r="E119" s="230"/>
      <c r="F119" s="230"/>
      <c r="G119" s="236"/>
      <c r="H119" s="236"/>
      <c r="I119" s="230"/>
      <c r="J119" s="242"/>
      <c r="K119" s="233"/>
      <c r="L119" s="242"/>
      <c r="M119" s="154"/>
      <c r="N119" s="55"/>
      <c r="O119" s="236"/>
      <c r="P119" s="236"/>
      <c r="Q119" s="236"/>
      <c r="R119" s="236"/>
      <c r="S119" s="236"/>
      <c r="T119" s="236"/>
      <c r="U119" s="236"/>
      <c r="V119" s="236"/>
      <c r="W119" s="236"/>
      <c r="X119" s="236"/>
      <c r="Y119" s="236"/>
      <c r="Z119" s="236"/>
      <c r="AA119" s="236"/>
    </row>
    <row r="120">
      <c r="A120" s="236"/>
      <c r="B120" s="237"/>
      <c r="C120" s="232"/>
      <c r="D120" s="236"/>
      <c r="E120" s="230"/>
      <c r="F120" s="230"/>
      <c r="G120" s="236"/>
      <c r="H120" s="236"/>
      <c r="I120" s="230"/>
      <c r="J120" s="242"/>
      <c r="K120" s="233"/>
      <c r="L120" s="242"/>
      <c r="M120" s="154"/>
      <c r="N120" s="55"/>
      <c r="O120" s="236"/>
      <c r="P120" s="236"/>
      <c r="Q120" s="236"/>
      <c r="R120" s="236"/>
      <c r="S120" s="236"/>
      <c r="T120" s="236"/>
      <c r="U120" s="236"/>
      <c r="V120" s="236"/>
      <c r="W120" s="236"/>
      <c r="X120" s="236"/>
      <c r="Y120" s="236"/>
      <c r="Z120" s="236"/>
      <c r="AA120" s="236"/>
    </row>
    <row r="121">
      <c r="A121" s="236"/>
      <c r="B121" s="237"/>
      <c r="C121" s="232"/>
      <c r="D121" s="236"/>
      <c r="E121" s="230"/>
      <c r="F121" s="230"/>
      <c r="G121" s="236"/>
      <c r="H121" s="236"/>
      <c r="I121" s="230"/>
      <c r="J121" s="242"/>
      <c r="K121" s="233"/>
      <c r="L121" s="242"/>
      <c r="M121" s="154"/>
      <c r="N121" s="55"/>
      <c r="O121" s="236"/>
      <c r="P121" s="236"/>
      <c r="Q121" s="236"/>
      <c r="R121" s="236"/>
      <c r="S121" s="236"/>
      <c r="T121" s="236"/>
      <c r="U121" s="236"/>
      <c r="V121" s="236"/>
      <c r="W121" s="236"/>
      <c r="X121" s="236"/>
      <c r="Y121" s="236"/>
      <c r="Z121" s="236"/>
      <c r="AA121" s="236"/>
    </row>
    <row r="122">
      <c r="A122" s="236"/>
      <c r="B122" s="237"/>
      <c r="C122" s="232"/>
      <c r="D122" s="236"/>
      <c r="E122" s="230"/>
      <c r="F122" s="230"/>
      <c r="G122" s="236"/>
      <c r="H122" s="236"/>
      <c r="I122" s="230"/>
      <c r="J122" s="242"/>
      <c r="K122" s="233"/>
      <c r="L122" s="242"/>
      <c r="M122" s="154"/>
      <c r="N122" s="55"/>
      <c r="O122" s="236"/>
      <c r="P122" s="236"/>
      <c r="Q122" s="236"/>
      <c r="R122" s="236"/>
      <c r="S122" s="236"/>
      <c r="T122" s="236"/>
      <c r="U122" s="236"/>
      <c r="V122" s="236"/>
      <c r="W122" s="236"/>
      <c r="X122" s="236"/>
      <c r="Y122" s="236"/>
      <c r="Z122" s="236"/>
      <c r="AA122" s="236"/>
    </row>
    <row r="123">
      <c r="A123" s="236"/>
      <c r="B123" s="237"/>
      <c r="C123" s="232"/>
      <c r="D123" s="236"/>
      <c r="E123" s="230"/>
      <c r="F123" s="230"/>
      <c r="G123" s="236"/>
      <c r="H123" s="236"/>
      <c r="I123" s="230"/>
      <c r="J123" s="242"/>
      <c r="K123" s="233"/>
      <c r="L123" s="242"/>
      <c r="M123" s="154"/>
      <c r="N123" s="55"/>
      <c r="O123" s="236"/>
      <c r="P123" s="236"/>
      <c r="Q123" s="236"/>
      <c r="R123" s="236"/>
      <c r="S123" s="236"/>
      <c r="T123" s="236"/>
      <c r="U123" s="236"/>
      <c r="V123" s="236"/>
      <c r="W123" s="236"/>
      <c r="X123" s="236"/>
      <c r="Y123" s="236"/>
      <c r="Z123" s="236"/>
      <c r="AA123" s="236"/>
    </row>
    <row r="124">
      <c r="A124" s="236"/>
      <c r="B124" s="237"/>
      <c r="C124" s="232"/>
      <c r="D124" s="236"/>
      <c r="E124" s="230"/>
      <c r="F124" s="230"/>
      <c r="G124" s="236"/>
      <c r="H124" s="236"/>
      <c r="I124" s="230"/>
      <c r="J124" s="242"/>
      <c r="K124" s="233"/>
      <c r="L124" s="242"/>
      <c r="M124" s="154"/>
      <c r="N124" s="55"/>
      <c r="O124" s="236"/>
      <c r="P124" s="236"/>
      <c r="Q124" s="236"/>
      <c r="R124" s="236"/>
      <c r="S124" s="236"/>
      <c r="T124" s="236"/>
      <c r="U124" s="236"/>
      <c r="V124" s="236"/>
      <c r="W124" s="236"/>
      <c r="X124" s="236"/>
      <c r="Y124" s="236"/>
      <c r="Z124" s="236"/>
      <c r="AA124" s="236"/>
    </row>
    <row r="125">
      <c r="A125" s="236"/>
      <c r="B125" s="237"/>
      <c r="C125" s="232"/>
      <c r="D125" s="236"/>
      <c r="E125" s="230"/>
      <c r="F125" s="230"/>
      <c r="G125" s="236"/>
      <c r="H125" s="236"/>
      <c r="I125" s="230"/>
      <c r="J125" s="242"/>
      <c r="K125" s="233"/>
      <c r="L125" s="242"/>
      <c r="M125" s="154"/>
      <c r="N125" s="55"/>
      <c r="O125" s="236"/>
      <c r="P125" s="236"/>
      <c r="Q125" s="236"/>
      <c r="R125" s="236"/>
      <c r="S125" s="236"/>
      <c r="T125" s="236"/>
      <c r="U125" s="236"/>
      <c r="V125" s="236"/>
      <c r="W125" s="236"/>
      <c r="X125" s="236"/>
      <c r="Y125" s="236"/>
      <c r="Z125" s="236"/>
      <c r="AA125" s="236"/>
    </row>
    <row r="126">
      <c r="A126" s="236"/>
      <c r="B126" s="237"/>
      <c r="C126" s="232"/>
      <c r="D126" s="236"/>
      <c r="E126" s="230"/>
      <c r="F126" s="230"/>
      <c r="G126" s="236"/>
      <c r="H126" s="236"/>
      <c r="I126" s="230"/>
      <c r="J126" s="242"/>
      <c r="K126" s="233"/>
      <c r="L126" s="242"/>
      <c r="M126" s="154"/>
      <c r="N126" s="55"/>
      <c r="O126" s="236"/>
      <c r="P126" s="236"/>
      <c r="Q126" s="236"/>
      <c r="R126" s="236"/>
      <c r="S126" s="236"/>
      <c r="T126" s="236"/>
      <c r="U126" s="236"/>
      <c r="V126" s="236"/>
      <c r="W126" s="236"/>
      <c r="X126" s="236"/>
      <c r="Y126" s="236"/>
      <c r="Z126" s="236"/>
      <c r="AA126" s="236"/>
    </row>
    <row r="127">
      <c r="A127" s="236"/>
      <c r="B127" s="237"/>
      <c r="C127" s="232"/>
      <c r="D127" s="236"/>
      <c r="E127" s="230"/>
      <c r="F127" s="230"/>
      <c r="G127" s="236"/>
      <c r="H127" s="236"/>
      <c r="I127" s="230"/>
      <c r="J127" s="242"/>
      <c r="K127" s="233"/>
      <c r="L127" s="242"/>
      <c r="M127" s="154"/>
      <c r="N127" s="55"/>
      <c r="O127" s="236"/>
      <c r="P127" s="236"/>
      <c r="Q127" s="236"/>
      <c r="R127" s="236"/>
      <c r="S127" s="236"/>
      <c r="T127" s="236"/>
      <c r="U127" s="236"/>
      <c r="V127" s="236"/>
      <c r="W127" s="236"/>
      <c r="X127" s="236"/>
      <c r="Y127" s="236"/>
      <c r="Z127" s="236"/>
      <c r="AA127" s="236"/>
    </row>
    <row r="128">
      <c r="A128" s="236"/>
      <c r="B128" s="237"/>
      <c r="C128" s="232"/>
      <c r="D128" s="236"/>
      <c r="E128" s="230"/>
      <c r="F128" s="230"/>
      <c r="G128" s="236"/>
      <c r="H128" s="236"/>
      <c r="I128" s="230"/>
      <c r="J128" s="242"/>
      <c r="K128" s="233"/>
      <c r="L128" s="242"/>
      <c r="M128" s="154"/>
      <c r="N128" s="55"/>
      <c r="O128" s="236"/>
      <c r="P128" s="236"/>
      <c r="Q128" s="236"/>
      <c r="R128" s="236"/>
      <c r="S128" s="236"/>
      <c r="T128" s="236"/>
      <c r="U128" s="236"/>
      <c r="V128" s="236"/>
      <c r="W128" s="236"/>
      <c r="X128" s="236"/>
      <c r="Y128" s="236"/>
      <c r="Z128" s="236"/>
      <c r="AA128" s="236"/>
    </row>
    <row r="129">
      <c r="A129" s="236"/>
      <c r="B129" s="237"/>
      <c r="C129" s="232"/>
      <c r="D129" s="236"/>
      <c r="E129" s="230"/>
      <c r="F129" s="230"/>
      <c r="G129" s="236"/>
      <c r="H129" s="236"/>
      <c r="I129" s="230"/>
      <c r="J129" s="242"/>
      <c r="K129" s="233"/>
      <c r="L129" s="242"/>
      <c r="M129" s="154"/>
      <c r="N129" s="55"/>
      <c r="O129" s="236"/>
      <c r="P129" s="236"/>
      <c r="Q129" s="236"/>
      <c r="R129" s="236"/>
      <c r="S129" s="236"/>
      <c r="T129" s="236"/>
      <c r="U129" s="236"/>
      <c r="V129" s="236"/>
      <c r="W129" s="236"/>
      <c r="X129" s="236"/>
      <c r="Y129" s="236"/>
      <c r="Z129" s="236"/>
      <c r="AA129" s="236"/>
    </row>
    <row r="130">
      <c r="A130" s="236"/>
      <c r="B130" s="237"/>
      <c r="C130" s="232"/>
      <c r="D130" s="236"/>
      <c r="E130" s="230"/>
      <c r="F130" s="230"/>
      <c r="G130" s="236"/>
      <c r="H130" s="236"/>
      <c r="I130" s="230"/>
      <c r="J130" s="242"/>
      <c r="K130" s="233"/>
      <c r="L130" s="242"/>
      <c r="M130" s="154"/>
      <c r="N130" s="55"/>
      <c r="O130" s="236"/>
      <c r="P130" s="236"/>
      <c r="Q130" s="236"/>
      <c r="R130" s="236"/>
      <c r="S130" s="236"/>
      <c r="T130" s="236"/>
      <c r="U130" s="236"/>
      <c r="V130" s="236"/>
      <c r="W130" s="236"/>
      <c r="X130" s="236"/>
      <c r="Y130" s="236"/>
      <c r="Z130" s="236"/>
      <c r="AA130" s="236"/>
    </row>
    <row r="131">
      <c r="A131" s="236"/>
      <c r="B131" s="237"/>
      <c r="C131" s="232"/>
      <c r="D131" s="236"/>
      <c r="E131" s="230"/>
      <c r="F131" s="230"/>
      <c r="G131" s="236"/>
      <c r="H131" s="236"/>
      <c r="I131" s="230"/>
      <c r="J131" s="242"/>
      <c r="K131" s="233"/>
      <c r="L131" s="242"/>
      <c r="M131" s="154"/>
      <c r="N131" s="55"/>
      <c r="O131" s="236"/>
      <c r="P131" s="236"/>
      <c r="Q131" s="236"/>
      <c r="R131" s="236"/>
      <c r="S131" s="236"/>
      <c r="T131" s="236"/>
      <c r="U131" s="236"/>
      <c r="V131" s="236"/>
      <c r="W131" s="236"/>
      <c r="X131" s="236"/>
      <c r="Y131" s="236"/>
      <c r="Z131" s="236"/>
      <c r="AA131" s="236"/>
    </row>
    <row r="132">
      <c r="A132" s="236"/>
      <c r="B132" s="237"/>
      <c r="C132" s="232"/>
      <c r="D132" s="236"/>
      <c r="E132" s="230"/>
      <c r="F132" s="230"/>
      <c r="G132" s="236"/>
      <c r="H132" s="236"/>
      <c r="I132" s="230"/>
      <c r="J132" s="242"/>
      <c r="K132" s="233"/>
      <c r="L132" s="242"/>
      <c r="M132" s="154"/>
      <c r="N132" s="55"/>
      <c r="O132" s="236"/>
      <c r="P132" s="236"/>
      <c r="Q132" s="236"/>
      <c r="R132" s="236"/>
      <c r="S132" s="236"/>
      <c r="T132" s="236"/>
      <c r="U132" s="236"/>
      <c r="V132" s="236"/>
      <c r="W132" s="236"/>
      <c r="X132" s="236"/>
      <c r="Y132" s="236"/>
      <c r="Z132" s="236"/>
      <c r="AA132" s="236"/>
    </row>
    <row r="133">
      <c r="A133" s="236"/>
      <c r="B133" s="237"/>
      <c r="C133" s="232"/>
      <c r="D133" s="236"/>
      <c r="E133" s="230"/>
      <c r="F133" s="230"/>
      <c r="G133" s="236"/>
      <c r="H133" s="236"/>
      <c r="I133" s="230"/>
      <c r="J133" s="242"/>
      <c r="K133" s="233"/>
      <c r="L133" s="242"/>
      <c r="M133" s="154"/>
      <c r="N133" s="55"/>
      <c r="O133" s="236"/>
      <c r="P133" s="236"/>
      <c r="Q133" s="236"/>
      <c r="R133" s="236"/>
      <c r="S133" s="236"/>
      <c r="T133" s="236"/>
      <c r="U133" s="236"/>
      <c r="V133" s="236"/>
      <c r="W133" s="236"/>
      <c r="X133" s="236"/>
      <c r="Y133" s="236"/>
      <c r="Z133" s="236"/>
      <c r="AA133" s="236"/>
    </row>
    <row r="134">
      <c r="A134" s="236"/>
      <c r="B134" s="237"/>
      <c r="C134" s="232"/>
      <c r="D134" s="236"/>
      <c r="E134" s="230"/>
      <c r="F134" s="230"/>
      <c r="G134" s="236"/>
      <c r="H134" s="236"/>
      <c r="I134" s="230"/>
      <c r="J134" s="242"/>
      <c r="K134" s="233"/>
      <c r="L134" s="242"/>
      <c r="M134" s="154"/>
      <c r="N134" s="55"/>
      <c r="O134" s="236"/>
      <c r="P134" s="236"/>
      <c r="Q134" s="236"/>
      <c r="R134" s="236"/>
      <c r="S134" s="236"/>
      <c r="T134" s="236"/>
      <c r="U134" s="236"/>
      <c r="V134" s="236"/>
      <c r="W134" s="236"/>
      <c r="X134" s="236"/>
      <c r="Y134" s="236"/>
      <c r="Z134" s="236"/>
      <c r="AA134" s="236"/>
    </row>
    <row r="135">
      <c r="A135" s="236"/>
      <c r="B135" s="237"/>
      <c r="C135" s="232"/>
      <c r="D135" s="236"/>
      <c r="E135" s="230"/>
      <c r="F135" s="230"/>
      <c r="G135" s="236"/>
      <c r="H135" s="236"/>
      <c r="I135" s="230"/>
      <c r="J135" s="242"/>
      <c r="K135" s="233"/>
      <c r="L135" s="242"/>
      <c r="M135" s="154"/>
      <c r="N135" s="55"/>
      <c r="O135" s="236"/>
      <c r="P135" s="236"/>
      <c r="Q135" s="236"/>
      <c r="R135" s="236"/>
      <c r="S135" s="236"/>
      <c r="T135" s="236"/>
      <c r="U135" s="236"/>
      <c r="V135" s="236"/>
      <c r="W135" s="236"/>
      <c r="X135" s="236"/>
      <c r="Y135" s="236"/>
      <c r="Z135" s="236"/>
      <c r="AA135" s="236"/>
    </row>
    <row r="136">
      <c r="A136" s="236"/>
      <c r="B136" s="237"/>
      <c r="C136" s="232"/>
      <c r="D136" s="236"/>
      <c r="E136" s="230"/>
      <c r="F136" s="230"/>
      <c r="G136" s="236"/>
      <c r="H136" s="236"/>
      <c r="I136" s="230"/>
      <c r="J136" s="242"/>
      <c r="K136" s="233"/>
      <c r="L136" s="242"/>
      <c r="M136" s="154"/>
      <c r="N136" s="55"/>
      <c r="O136" s="236"/>
      <c r="P136" s="236"/>
      <c r="Q136" s="236"/>
      <c r="R136" s="236"/>
      <c r="S136" s="236"/>
      <c r="T136" s="236"/>
      <c r="U136" s="236"/>
      <c r="V136" s="236"/>
      <c r="W136" s="236"/>
      <c r="X136" s="236"/>
      <c r="Y136" s="236"/>
      <c r="Z136" s="236"/>
      <c r="AA136" s="236"/>
    </row>
    <row r="137">
      <c r="A137" s="236"/>
      <c r="B137" s="245"/>
      <c r="C137" s="232"/>
      <c r="D137" s="236"/>
      <c r="E137" s="230"/>
      <c r="F137" s="230"/>
      <c r="G137" s="236"/>
      <c r="H137" s="236"/>
      <c r="I137" s="230"/>
      <c r="J137" s="242"/>
      <c r="K137" s="233"/>
      <c r="L137" s="242"/>
      <c r="M137" s="154"/>
      <c r="N137" s="55"/>
      <c r="O137" s="236"/>
      <c r="P137" s="236"/>
      <c r="Q137" s="236"/>
      <c r="R137" s="236"/>
      <c r="S137" s="236"/>
      <c r="T137" s="236"/>
      <c r="U137" s="236"/>
      <c r="V137" s="236"/>
      <c r="W137" s="236"/>
      <c r="X137" s="236"/>
      <c r="Y137" s="236"/>
      <c r="Z137" s="236"/>
      <c r="AA137" s="236"/>
    </row>
    <row r="138">
      <c r="A138" s="236"/>
      <c r="B138" s="245"/>
      <c r="C138" s="232"/>
      <c r="D138" s="236"/>
      <c r="E138" s="230"/>
      <c r="F138" s="230"/>
      <c r="G138" s="236"/>
      <c r="H138" s="236"/>
      <c r="I138" s="230"/>
      <c r="J138" s="242"/>
      <c r="K138" s="233"/>
      <c r="L138" s="242"/>
      <c r="M138" s="154"/>
      <c r="N138" s="55"/>
      <c r="O138" s="236"/>
      <c r="P138" s="236"/>
      <c r="Q138" s="236"/>
      <c r="R138" s="236"/>
      <c r="S138" s="236"/>
      <c r="T138" s="236"/>
      <c r="U138" s="236"/>
      <c r="V138" s="236"/>
      <c r="W138" s="236"/>
      <c r="X138" s="236"/>
      <c r="Y138" s="236"/>
      <c r="Z138" s="236"/>
      <c r="AA138" s="236"/>
    </row>
    <row r="139">
      <c r="A139" s="236"/>
      <c r="B139" s="245"/>
      <c r="C139" s="232"/>
      <c r="D139" s="236"/>
      <c r="E139" s="230"/>
      <c r="F139" s="230"/>
      <c r="G139" s="236"/>
      <c r="H139" s="236"/>
      <c r="I139" s="230"/>
      <c r="J139" s="242"/>
      <c r="K139" s="233"/>
      <c r="L139" s="242"/>
      <c r="M139" s="154"/>
      <c r="N139" s="55"/>
      <c r="O139" s="236"/>
      <c r="P139" s="236"/>
      <c r="Q139" s="236"/>
      <c r="R139" s="236"/>
      <c r="S139" s="236"/>
      <c r="T139" s="236"/>
      <c r="U139" s="236"/>
      <c r="V139" s="236"/>
      <c r="W139" s="236"/>
      <c r="X139" s="236"/>
      <c r="Y139" s="236"/>
      <c r="Z139" s="236"/>
      <c r="AA139" s="236"/>
    </row>
    <row r="140">
      <c r="A140" s="236"/>
      <c r="B140" s="245"/>
      <c r="C140" s="232"/>
      <c r="D140" s="236"/>
      <c r="E140" s="230"/>
      <c r="F140" s="230"/>
      <c r="G140" s="236"/>
      <c r="H140" s="236"/>
      <c r="I140" s="230"/>
      <c r="J140" s="242"/>
      <c r="K140" s="233"/>
      <c r="L140" s="242"/>
      <c r="M140" s="154"/>
      <c r="N140" s="55"/>
      <c r="O140" s="236"/>
      <c r="P140" s="236"/>
      <c r="Q140" s="236"/>
      <c r="R140" s="236"/>
      <c r="S140" s="236"/>
      <c r="T140" s="236"/>
      <c r="U140" s="236"/>
      <c r="V140" s="236"/>
      <c r="W140" s="236"/>
      <c r="X140" s="236"/>
      <c r="Y140" s="236"/>
      <c r="Z140" s="236"/>
      <c r="AA140" s="236"/>
    </row>
    <row r="141">
      <c r="A141" s="236"/>
      <c r="B141" s="245"/>
      <c r="C141" s="232"/>
      <c r="D141" s="236"/>
      <c r="E141" s="230"/>
      <c r="F141" s="230"/>
      <c r="G141" s="236"/>
      <c r="H141" s="236"/>
      <c r="I141" s="230"/>
      <c r="J141" s="242"/>
      <c r="K141" s="233"/>
      <c r="L141" s="242"/>
      <c r="M141" s="154"/>
      <c r="N141" s="55"/>
      <c r="O141" s="236"/>
      <c r="P141" s="236"/>
      <c r="Q141" s="236"/>
      <c r="R141" s="236"/>
      <c r="S141" s="236"/>
      <c r="T141" s="236"/>
      <c r="U141" s="236"/>
      <c r="V141" s="236"/>
      <c r="W141" s="236"/>
      <c r="X141" s="236"/>
      <c r="Y141" s="236"/>
      <c r="Z141" s="236"/>
      <c r="AA141" s="236"/>
    </row>
    <row r="142">
      <c r="A142" s="236"/>
      <c r="B142" s="245"/>
      <c r="C142" s="232"/>
      <c r="D142" s="236"/>
      <c r="E142" s="230"/>
      <c r="F142" s="230"/>
      <c r="G142" s="236"/>
      <c r="H142" s="236"/>
      <c r="I142" s="230"/>
      <c r="J142" s="242"/>
      <c r="K142" s="233"/>
      <c r="L142" s="242"/>
      <c r="M142" s="154"/>
      <c r="N142" s="55"/>
      <c r="O142" s="236"/>
      <c r="P142" s="236"/>
      <c r="Q142" s="236"/>
      <c r="R142" s="236"/>
      <c r="S142" s="236"/>
      <c r="T142" s="236"/>
      <c r="U142" s="236"/>
      <c r="V142" s="236"/>
      <c r="W142" s="236"/>
      <c r="X142" s="236"/>
      <c r="Y142" s="236"/>
      <c r="Z142" s="236"/>
      <c r="AA142" s="236"/>
    </row>
    <row r="143">
      <c r="A143" s="236"/>
      <c r="B143" s="245"/>
      <c r="C143" s="232"/>
      <c r="D143" s="236"/>
      <c r="E143" s="230"/>
      <c r="F143" s="230"/>
      <c r="G143" s="236"/>
      <c r="H143" s="236"/>
      <c r="I143" s="230"/>
      <c r="J143" s="242"/>
      <c r="K143" s="233"/>
      <c r="L143" s="242"/>
      <c r="M143" s="154"/>
      <c r="N143" s="55"/>
      <c r="O143" s="236"/>
      <c r="P143" s="236"/>
      <c r="Q143" s="236"/>
      <c r="R143" s="236"/>
      <c r="S143" s="236"/>
      <c r="T143" s="236"/>
      <c r="U143" s="236"/>
      <c r="V143" s="236"/>
      <c r="W143" s="236"/>
      <c r="X143" s="236"/>
      <c r="Y143" s="236"/>
      <c r="Z143" s="236"/>
      <c r="AA143" s="236"/>
    </row>
    <row r="144">
      <c r="A144" s="236"/>
      <c r="B144" s="245"/>
      <c r="C144" s="232"/>
      <c r="D144" s="236"/>
      <c r="E144" s="230"/>
      <c r="F144" s="230"/>
      <c r="G144" s="236"/>
      <c r="H144" s="236"/>
      <c r="I144" s="230"/>
      <c r="J144" s="242"/>
      <c r="K144" s="233"/>
      <c r="L144" s="242"/>
      <c r="M144" s="154"/>
      <c r="N144" s="55"/>
      <c r="O144" s="236"/>
      <c r="P144" s="236"/>
      <c r="Q144" s="236"/>
      <c r="R144" s="236"/>
      <c r="S144" s="236"/>
      <c r="T144" s="236"/>
      <c r="U144" s="236"/>
      <c r="V144" s="236"/>
      <c r="W144" s="236"/>
      <c r="X144" s="236"/>
      <c r="Y144" s="236"/>
      <c r="Z144" s="236"/>
      <c r="AA144" s="236"/>
    </row>
    <row r="145">
      <c r="A145" s="236"/>
      <c r="B145" s="245"/>
      <c r="C145" s="232"/>
      <c r="D145" s="236"/>
      <c r="E145" s="230"/>
      <c r="F145" s="230"/>
      <c r="G145" s="236"/>
      <c r="H145" s="236"/>
      <c r="I145" s="230"/>
      <c r="J145" s="242"/>
      <c r="K145" s="233"/>
      <c r="L145" s="242"/>
      <c r="M145" s="154"/>
      <c r="N145" s="55"/>
      <c r="O145" s="236"/>
      <c r="P145" s="236"/>
      <c r="Q145" s="236"/>
      <c r="R145" s="236"/>
      <c r="S145" s="236"/>
      <c r="T145" s="236"/>
      <c r="U145" s="236"/>
      <c r="V145" s="236"/>
      <c r="W145" s="236"/>
      <c r="X145" s="236"/>
      <c r="Y145" s="236"/>
      <c r="Z145" s="236"/>
      <c r="AA145" s="236"/>
    </row>
    <row r="146">
      <c r="A146" s="236"/>
      <c r="B146" s="245"/>
      <c r="C146" s="232"/>
      <c r="D146" s="236"/>
      <c r="E146" s="230"/>
      <c r="F146" s="230"/>
      <c r="G146" s="236"/>
      <c r="H146" s="236"/>
      <c r="I146" s="230"/>
      <c r="J146" s="242"/>
      <c r="K146" s="233"/>
      <c r="L146" s="242"/>
      <c r="M146" s="154"/>
      <c r="N146" s="55"/>
      <c r="O146" s="236"/>
      <c r="P146" s="236"/>
      <c r="Q146" s="236"/>
      <c r="R146" s="236"/>
      <c r="S146" s="236"/>
      <c r="T146" s="236"/>
      <c r="U146" s="236"/>
      <c r="V146" s="236"/>
      <c r="W146" s="236"/>
      <c r="X146" s="236"/>
      <c r="Y146" s="236"/>
      <c r="Z146" s="236"/>
      <c r="AA146" s="236"/>
    </row>
    <row r="147">
      <c r="A147" s="236"/>
      <c r="B147" s="245"/>
      <c r="C147" s="232"/>
      <c r="D147" s="236"/>
      <c r="E147" s="230"/>
      <c r="F147" s="230"/>
      <c r="G147" s="236"/>
      <c r="H147" s="236"/>
      <c r="I147" s="230"/>
      <c r="J147" s="242"/>
      <c r="K147" s="233"/>
      <c r="L147" s="242"/>
      <c r="M147" s="154"/>
      <c r="N147" s="55"/>
      <c r="O147" s="236"/>
      <c r="P147" s="236"/>
      <c r="Q147" s="236"/>
      <c r="R147" s="236"/>
      <c r="S147" s="236"/>
      <c r="T147" s="236"/>
      <c r="U147" s="236"/>
      <c r="V147" s="236"/>
      <c r="W147" s="236"/>
      <c r="X147" s="236"/>
      <c r="Y147" s="236"/>
      <c r="Z147" s="236"/>
      <c r="AA147" s="236"/>
    </row>
    <row r="148">
      <c r="A148" s="236"/>
      <c r="B148" s="245"/>
      <c r="C148" s="232"/>
      <c r="D148" s="236"/>
      <c r="E148" s="230"/>
      <c r="F148" s="230"/>
      <c r="G148" s="236"/>
      <c r="H148" s="236"/>
      <c r="I148" s="230"/>
      <c r="J148" s="242"/>
      <c r="K148" s="233"/>
      <c r="L148" s="242"/>
      <c r="M148" s="154"/>
      <c r="N148" s="55"/>
      <c r="O148" s="236"/>
      <c r="P148" s="236"/>
      <c r="Q148" s="236"/>
      <c r="R148" s="236"/>
      <c r="S148" s="236"/>
      <c r="T148" s="236"/>
      <c r="U148" s="236"/>
      <c r="V148" s="236"/>
      <c r="W148" s="236"/>
      <c r="X148" s="236"/>
      <c r="Y148" s="236"/>
      <c r="Z148" s="236"/>
      <c r="AA148" s="236"/>
    </row>
    <row r="149">
      <c r="A149" s="236"/>
      <c r="B149" s="245"/>
      <c r="C149" s="232"/>
      <c r="D149" s="236"/>
      <c r="E149" s="230"/>
      <c r="F149" s="230"/>
      <c r="G149" s="236"/>
      <c r="H149" s="236"/>
      <c r="I149" s="230"/>
      <c r="J149" s="242"/>
      <c r="K149" s="233"/>
      <c r="L149" s="242"/>
      <c r="M149" s="154"/>
      <c r="N149" s="55"/>
      <c r="O149" s="236"/>
      <c r="P149" s="236"/>
      <c r="Q149" s="236"/>
      <c r="R149" s="236"/>
      <c r="S149" s="236"/>
      <c r="T149" s="236"/>
      <c r="U149" s="236"/>
      <c r="V149" s="236"/>
      <c r="W149" s="236"/>
      <c r="X149" s="236"/>
      <c r="Y149" s="236"/>
      <c r="Z149" s="236"/>
      <c r="AA149" s="236"/>
    </row>
    <row r="150">
      <c r="A150" s="236"/>
      <c r="B150" s="245"/>
      <c r="C150" s="232"/>
      <c r="D150" s="236"/>
      <c r="E150" s="230"/>
      <c r="F150" s="230"/>
      <c r="G150" s="236"/>
      <c r="H150" s="236"/>
      <c r="I150" s="230"/>
      <c r="J150" s="242"/>
      <c r="K150" s="233"/>
      <c r="L150" s="242"/>
      <c r="M150" s="154"/>
      <c r="N150" s="55"/>
      <c r="O150" s="236"/>
      <c r="P150" s="236"/>
      <c r="Q150" s="236"/>
      <c r="R150" s="236"/>
      <c r="S150" s="236"/>
      <c r="T150" s="236"/>
      <c r="U150" s="236"/>
      <c r="V150" s="236"/>
      <c r="W150" s="236"/>
      <c r="X150" s="236"/>
      <c r="Y150" s="236"/>
      <c r="Z150" s="236"/>
      <c r="AA150" s="236"/>
    </row>
    <row r="151">
      <c r="A151" s="236"/>
      <c r="B151" s="245"/>
      <c r="C151" s="232"/>
      <c r="D151" s="236"/>
      <c r="E151" s="230"/>
      <c r="F151" s="230"/>
      <c r="G151" s="236"/>
      <c r="H151" s="236"/>
      <c r="I151" s="230"/>
      <c r="J151" s="242"/>
      <c r="K151" s="233"/>
      <c r="L151" s="242"/>
      <c r="M151" s="154"/>
      <c r="N151" s="55"/>
      <c r="O151" s="236"/>
      <c r="P151" s="236"/>
      <c r="Q151" s="236"/>
      <c r="R151" s="236"/>
      <c r="S151" s="236"/>
      <c r="T151" s="236"/>
      <c r="U151" s="236"/>
      <c r="V151" s="236"/>
      <c r="W151" s="236"/>
      <c r="X151" s="236"/>
      <c r="Y151" s="236"/>
      <c r="Z151" s="236"/>
      <c r="AA151" s="236"/>
    </row>
    <row r="152">
      <c r="A152" s="236"/>
      <c r="B152" s="245"/>
      <c r="C152" s="232"/>
      <c r="D152" s="236"/>
      <c r="E152" s="230"/>
      <c r="F152" s="230"/>
      <c r="G152" s="236"/>
      <c r="H152" s="236"/>
      <c r="I152" s="230"/>
      <c r="J152" s="242"/>
      <c r="K152" s="233"/>
      <c r="L152" s="242"/>
      <c r="M152" s="154"/>
      <c r="N152" s="55"/>
      <c r="O152" s="236"/>
      <c r="P152" s="236"/>
      <c r="Q152" s="236"/>
      <c r="R152" s="236"/>
      <c r="S152" s="236"/>
      <c r="T152" s="236"/>
      <c r="U152" s="236"/>
      <c r="V152" s="236"/>
      <c r="W152" s="236"/>
      <c r="X152" s="236"/>
      <c r="Y152" s="236"/>
      <c r="Z152" s="236"/>
      <c r="AA152" s="236"/>
    </row>
    <row r="153">
      <c r="A153" s="236"/>
      <c r="B153" s="245"/>
      <c r="C153" s="232"/>
      <c r="D153" s="236"/>
      <c r="E153" s="230"/>
      <c r="F153" s="230"/>
      <c r="G153" s="236"/>
      <c r="H153" s="236"/>
      <c r="I153" s="230"/>
      <c r="J153" s="242"/>
      <c r="K153" s="233"/>
      <c r="L153" s="242"/>
      <c r="M153" s="154"/>
      <c r="N153" s="55"/>
      <c r="O153" s="236"/>
      <c r="P153" s="236"/>
      <c r="Q153" s="236"/>
      <c r="R153" s="236"/>
      <c r="S153" s="236"/>
      <c r="T153" s="236"/>
      <c r="U153" s="236"/>
      <c r="V153" s="236"/>
      <c r="W153" s="236"/>
      <c r="X153" s="236"/>
      <c r="Y153" s="236"/>
      <c r="Z153" s="236"/>
      <c r="AA153" s="236"/>
    </row>
    <row r="154">
      <c r="A154" s="236"/>
      <c r="B154" s="245"/>
      <c r="C154" s="232"/>
      <c r="D154" s="236"/>
      <c r="E154" s="230"/>
      <c r="F154" s="230"/>
      <c r="G154" s="236"/>
      <c r="H154" s="236"/>
      <c r="I154" s="230"/>
      <c r="J154" s="242"/>
      <c r="K154" s="233"/>
      <c r="L154" s="242"/>
      <c r="M154" s="154"/>
      <c r="N154" s="55"/>
      <c r="O154" s="236"/>
      <c r="P154" s="236"/>
      <c r="Q154" s="236"/>
      <c r="R154" s="236"/>
      <c r="S154" s="236"/>
      <c r="T154" s="236"/>
      <c r="U154" s="236"/>
      <c r="V154" s="236"/>
      <c r="W154" s="236"/>
      <c r="X154" s="236"/>
      <c r="Y154" s="236"/>
      <c r="Z154" s="236"/>
      <c r="AA154" s="236"/>
    </row>
    <row r="155">
      <c r="A155" s="236"/>
      <c r="B155" s="245"/>
      <c r="C155" s="232"/>
      <c r="D155" s="236"/>
      <c r="E155" s="230"/>
      <c r="F155" s="230"/>
      <c r="G155" s="236"/>
      <c r="H155" s="236"/>
      <c r="I155" s="230"/>
      <c r="J155" s="242"/>
      <c r="K155" s="233"/>
      <c r="L155" s="242"/>
      <c r="M155" s="154"/>
      <c r="N155" s="55"/>
      <c r="O155" s="236"/>
      <c r="P155" s="236"/>
      <c r="Q155" s="236"/>
      <c r="R155" s="236"/>
      <c r="S155" s="236"/>
      <c r="T155" s="236"/>
      <c r="U155" s="236"/>
      <c r="V155" s="236"/>
      <c r="W155" s="236"/>
      <c r="X155" s="236"/>
      <c r="Y155" s="236"/>
      <c r="Z155" s="236"/>
      <c r="AA155" s="236"/>
    </row>
    <row r="156">
      <c r="A156" s="236"/>
      <c r="B156" s="245"/>
      <c r="C156" s="232"/>
      <c r="D156" s="236"/>
      <c r="E156" s="230"/>
      <c r="F156" s="230"/>
      <c r="G156" s="236"/>
      <c r="H156" s="236"/>
      <c r="I156" s="230"/>
      <c r="J156" s="242"/>
      <c r="K156" s="233"/>
      <c r="L156" s="242"/>
      <c r="M156" s="154"/>
      <c r="N156" s="55"/>
      <c r="O156" s="236"/>
      <c r="P156" s="236"/>
      <c r="Q156" s="236"/>
      <c r="R156" s="236"/>
      <c r="S156" s="236"/>
      <c r="T156" s="236"/>
      <c r="U156" s="236"/>
      <c r="V156" s="236"/>
      <c r="W156" s="236"/>
      <c r="X156" s="236"/>
      <c r="Y156" s="236"/>
      <c r="Z156" s="236"/>
      <c r="AA156" s="236"/>
    </row>
    <row r="157">
      <c r="A157" s="236"/>
      <c r="B157" s="245"/>
      <c r="C157" s="232"/>
      <c r="D157" s="236"/>
      <c r="E157" s="230"/>
      <c r="F157" s="230"/>
      <c r="G157" s="236"/>
      <c r="H157" s="236"/>
      <c r="I157" s="230"/>
      <c r="J157" s="242"/>
      <c r="K157" s="233"/>
      <c r="L157" s="242"/>
      <c r="M157" s="154"/>
      <c r="N157" s="55"/>
      <c r="O157" s="236"/>
      <c r="P157" s="236"/>
      <c r="Q157" s="236"/>
      <c r="R157" s="236"/>
      <c r="S157" s="236"/>
      <c r="T157" s="236"/>
      <c r="U157" s="236"/>
      <c r="V157" s="236"/>
      <c r="W157" s="236"/>
      <c r="X157" s="236"/>
      <c r="Y157" s="236"/>
      <c r="Z157" s="236"/>
      <c r="AA157" s="236"/>
    </row>
    <row r="158">
      <c r="A158" s="236"/>
      <c r="B158" s="245"/>
      <c r="C158" s="232"/>
      <c r="D158" s="236"/>
      <c r="E158" s="230"/>
      <c r="F158" s="230"/>
      <c r="G158" s="236"/>
      <c r="H158" s="236"/>
      <c r="I158" s="230"/>
      <c r="J158" s="242"/>
      <c r="K158" s="233"/>
      <c r="L158" s="242"/>
      <c r="M158" s="154"/>
      <c r="N158" s="55"/>
      <c r="O158" s="236"/>
      <c r="P158" s="236"/>
      <c r="Q158" s="236"/>
      <c r="R158" s="236"/>
      <c r="S158" s="236"/>
      <c r="T158" s="236"/>
      <c r="U158" s="236"/>
      <c r="V158" s="236"/>
      <c r="W158" s="236"/>
      <c r="X158" s="236"/>
      <c r="Y158" s="236"/>
      <c r="Z158" s="236"/>
      <c r="AA158" s="236"/>
    </row>
    <row r="159">
      <c r="A159" s="236"/>
      <c r="B159" s="245"/>
      <c r="C159" s="232"/>
      <c r="D159" s="236"/>
      <c r="E159" s="230"/>
      <c r="F159" s="230"/>
      <c r="G159" s="236"/>
      <c r="H159" s="236"/>
      <c r="I159" s="230"/>
      <c r="J159" s="242"/>
      <c r="K159" s="233"/>
      <c r="L159" s="242"/>
      <c r="M159" s="154"/>
      <c r="N159" s="55"/>
      <c r="O159" s="236"/>
      <c r="P159" s="236"/>
      <c r="Q159" s="236"/>
      <c r="R159" s="236"/>
      <c r="S159" s="236"/>
      <c r="T159" s="236"/>
      <c r="U159" s="236"/>
      <c r="V159" s="236"/>
      <c r="W159" s="236"/>
      <c r="X159" s="236"/>
      <c r="Y159" s="236"/>
      <c r="Z159" s="236"/>
      <c r="AA159" s="236"/>
    </row>
    <row r="160">
      <c r="A160" s="236"/>
      <c r="B160" s="245"/>
      <c r="C160" s="232"/>
      <c r="D160" s="236"/>
      <c r="E160" s="230"/>
      <c r="F160" s="230"/>
      <c r="G160" s="236"/>
      <c r="H160" s="236"/>
      <c r="I160" s="230"/>
      <c r="J160" s="242"/>
      <c r="K160" s="233"/>
      <c r="L160" s="242"/>
      <c r="M160" s="154"/>
      <c r="N160" s="55"/>
      <c r="O160" s="236"/>
      <c r="P160" s="236"/>
      <c r="Q160" s="236"/>
      <c r="R160" s="236"/>
      <c r="S160" s="236"/>
      <c r="T160" s="236"/>
      <c r="U160" s="236"/>
      <c r="V160" s="236"/>
      <c r="W160" s="236"/>
      <c r="X160" s="236"/>
      <c r="Y160" s="236"/>
      <c r="Z160" s="236"/>
      <c r="AA160" s="236"/>
    </row>
    <row r="161">
      <c r="A161" s="236"/>
      <c r="B161" s="245"/>
      <c r="C161" s="232"/>
      <c r="D161" s="236"/>
      <c r="E161" s="230"/>
      <c r="F161" s="230"/>
      <c r="G161" s="236"/>
      <c r="H161" s="236"/>
      <c r="I161" s="230"/>
      <c r="J161" s="242"/>
      <c r="K161" s="233"/>
      <c r="L161" s="242"/>
      <c r="M161" s="154"/>
      <c r="N161" s="55"/>
      <c r="O161" s="236"/>
      <c r="P161" s="236"/>
      <c r="Q161" s="236"/>
      <c r="R161" s="236"/>
      <c r="S161" s="236"/>
      <c r="T161" s="236"/>
      <c r="U161" s="236"/>
      <c r="V161" s="236"/>
      <c r="W161" s="236"/>
      <c r="X161" s="236"/>
      <c r="Y161" s="236"/>
      <c r="Z161" s="236"/>
      <c r="AA161" s="236"/>
    </row>
    <row r="162">
      <c r="A162" s="236"/>
      <c r="B162" s="245"/>
      <c r="C162" s="232"/>
      <c r="D162" s="236"/>
      <c r="E162" s="230"/>
      <c r="F162" s="230"/>
      <c r="G162" s="236"/>
      <c r="H162" s="236"/>
      <c r="I162" s="230"/>
      <c r="J162" s="242"/>
      <c r="K162" s="233"/>
      <c r="L162" s="242"/>
      <c r="M162" s="154"/>
      <c r="N162" s="55"/>
      <c r="O162" s="236"/>
      <c r="P162" s="236"/>
      <c r="Q162" s="236"/>
      <c r="R162" s="236"/>
      <c r="S162" s="236"/>
      <c r="T162" s="236"/>
      <c r="U162" s="236"/>
      <c r="V162" s="236"/>
      <c r="W162" s="236"/>
      <c r="X162" s="236"/>
      <c r="Y162" s="236"/>
      <c r="Z162" s="236"/>
      <c r="AA162" s="236"/>
    </row>
    <row r="163">
      <c r="A163" s="236"/>
      <c r="B163" s="245"/>
      <c r="C163" s="232"/>
      <c r="D163" s="236"/>
      <c r="E163" s="230"/>
      <c r="F163" s="230"/>
      <c r="G163" s="236"/>
      <c r="H163" s="236"/>
      <c r="I163" s="230"/>
      <c r="J163" s="242"/>
      <c r="K163" s="233"/>
      <c r="L163" s="242"/>
      <c r="M163" s="154"/>
      <c r="N163" s="55"/>
      <c r="O163" s="236"/>
      <c r="P163" s="236"/>
      <c r="Q163" s="236"/>
      <c r="R163" s="236"/>
      <c r="S163" s="236"/>
      <c r="T163" s="236"/>
      <c r="U163" s="236"/>
      <c r="V163" s="236"/>
      <c r="W163" s="236"/>
      <c r="X163" s="236"/>
      <c r="Y163" s="236"/>
      <c r="Z163" s="236"/>
      <c r="AA163" s="236"/>
    </row>
    <row r="164">
      <c r="A164" s="236"/>
      <c r="B164" s="245"/>
      <c r="C164" s="232"/>
      <c r="D164" s="236"/>
      <c r="E164" s="230"/>
      <c r="F164" s="230"/>
      <c r="G164" s="236"/>
      <c r="H164" s="236"/>
      <c r="I164" s="230"/>
      <c r="J164" s="242"/>
      <c r="K164" s="233"/>
      <c r="L164" s="242"/>
      <c r="M164" s="154"/>
      <c r="N164" s="55"/>
      <c r="O164" s="236"/>
      <c r="P164" s="236"/>
      <c r="Q164" s="236"/>
      <c r="R164" s="236"/>
      <c r="S164" s="236"/>
      <c r="T164" s="236"/>
      <c r="U164" s="236"/>
      <c r="V164" s="236"/>
      <c r="W164" s="236"/>
      <c r="X164" s="236"/>
      <c r="Y164" s="236"/>
      <c r="Z164" s="236"/>
      <c r="AA164" s="236"/>
    </row>
    <row r="165">
      <c r="A165" s="236"/>
      <c r="B165" s="245"/>
      <c r="C165" s="232"/>
      <c r="D165" s="236"/>
      <c r="E165" s="230"/>
      <c r="F165" s="230"/>
      <c r="G165" s="236"/>
      <c r="H165" s="236"/>
      <c r="I165" s="230"/>
      <c r="J165" s="242"/>
      <c r="K165" s="233"/>
      <c r="L165" s="242"/>
      <c r="M165" s="154"/>
      <c r="N165" s="55"/>
      <c r="O165" s="236"/>
      <c r="P165" s="236"/>
      <c r="Q165" s="236"/>
      <c r="R165" s="236"/>
      <c r="S165" s="236"/>
      <c r="T165" s="236"/>
      <c r="U165" s="236"/>
      <c r="V165" s="236"/>
      <c r="W165" s="236"/>
      <c r="X165" s="236"/>
      <c r="Y165" s="236"/>
      <c r="Z165" s="236"/>
      <c r="AA165" s="236"/>
    </row>
    <row r="166">
      <c r="A166" s="236"/>
      <c r="B166" s="245"/>
      <c r="C166" s="232"/>
      <c r="D166" s="236"/>
      <c r="E166" s="230"/>
      <c r="F166" s="230"/>
      <c r="G166" s="236"/>
      <c r="H166" s="236"/>
      <c r="I166" s="230"/>
      <c r="J166" s="242"/>
      <c r="K166" s="233"/>
      <c r="L166" s="242"/>
      <c r="M166" s="154"/>
      <c r="N166" s="55"/>
      <c r="O166" s="236"/>
      <c r="P166" s="236"/>
      <c r="Q166" s="236"/>
      <c r="R166" s="236"/>
      <c r="S166" s="236"/>
      <c r="T166" s="236"/>
      <c r="U166" s="236"/>
      <c r="V166" s="236"/>
      <c r="W166" s="236"/>
      <c r="X166" s="236"/>
      <c r="Y166" s="236"/>
      <c r="Z166" s="236"/>
      <c r="AA166" s="236"/>
    </row>
    <row r="167">
      <c r="A167" s="236"/>
      <c r="B167" s="245"/>
      <c r="C167" s="232"/>
      <c r="D167" s="236"/>
      <c r="E167" s="230"/>
      <c r="F167" s="230"/>
      <c r="G167" s="236"/>
      <c r="H167" s="236"/>
      <c r="I167" s="230"/>
      <c r="J167" s="242"/>
      <c r="K167" s="233"/>
      <c r="L167" s="242"/>
      <c r="M167" s="154"/>
      <c r="N167" s="55"/>
      <c r="O167" s="236"/>
      <c r="P167" s="236"/>
      <c r="Q167" s="236"/>
      <c r="R167" s="236"/>
      <c r="S167" s="236"/>
      <c r="T167" s="236"/>
      <c r="U167" s="236"/>
      <c r="V167" s="236"/>
      <c r="W167" s="236"/>
      <c r="X167" s="236"/>
      <c r="Y167" s="236"/>
      <c r="Z167" s="236"/>
      <c r="AA167" s="236"/>
    </row>
    <row r="168">
      <c r="A168" s="236"/>
      <c r="B168" s="245"/>
      <c r="C168" s="232"/>
      <c r="D168" s="236"/>
      <c r="E168" s="230"/>
      <c r="F168" s="230"/>
      <c r="G168" s="236"/>
      <c r="H168" s="236"/>
      <c r="I168" s="230"/>
      <c r="J168" s="242"/>
      <c r="K168" s="233"/>
      <c r="L168" s="242"/>
      <c r="M168" s="154"/>
      <c r="N168" s="55"/>
      <c r="O168" s="236"/>
      <c r="P168" s="236"/>
      <c r="Q168" s="236"/>
      <c r="R168" s="236"/>
      <c r="S168" s="236"/>
      <c r="T168" s="236"/>
      <c r="U168" s="236"/>
      <c r="V168" s="236"/>
      <c r="W168" s="236"/>
      <c r="X168" s="236"/>
      <c r="Y168" s="236"/>
      <c r="Z168" s="236"/>
      <c r="AA168" s="236"/>
    </row>
    <row r="169">
      <c r="A169" s="236"/>
      <c r="B169" s="245"/>
      <c r="C169" s="232"/>
      <c r="D169" s="236"/>
      <c r="E169" s="230"/>
      <c r="F169" s="230"/>
      <c r="G169" s="236"/>
      <c r="H169" s="236"/>
      <c r="I169" s="230"/>
      <c r="J169" s="242"/>
      <c r="K169" s="233"/>
      <c r="L169" s="242"/>
      <c r="M169" s="154"/>
      <c r="N169" s="55"/>
      <c r="O169" s="236"/>
      <c r="P169" s="236"/>
      <c r="Q169" s="236"/>
      <c r="R169" s="236"/>
      <c r="S169" s="236"/>
      <c r="T169" s="236"/>
      <c r="U169" s="236"/>
      <c r="V169" s="236"/>
      <c r="W169" s="236"/>
      <c r="X169" s="236"/>
      <c r="Y169" s="236"/>
      <c r="Z169" s="236"/>
      <c r="AA169" s="236"/>
    </row>
    <row r="170">
      <c r="A170" s="236"/>
      <c r="B170" s="245"/>
      <c r="C170" s="232"/>
      <c r="D170" s="236"/>
      <c r="E170" s="230"/>
      <c r="F170" s="230"/>
      <c r="G170" s="236"/>
      <c r="H170" s="236"/>
      <c r="I170" s="230"/>
      <c r="J170" s="242"/>
      <c r="K170" s="233"/>
      <c r="L170" s="242"/>
      <c r="M170" s="154"/>
      <c r="N170" s="55"/>
      <c r="O170" s="236"/>
      <c r="P170" s="236"/>
      <c r="Q170" s="236"/>
      <c r="R170" s="236"/>
      <c r="S170" s="236"/>
      <c r="T170" s="236"/>
      <c r="U170" s="236"/>
      <c r="V170" s="236"/>
      <c r="W170" s="236"/>
      <c r="X170" s="236"/>
      <c r="Y170" s="236"/>
      <c r="Z170" s="236"/>
      <c r="AA170" s="236"/>
    </row>
    <row r="171">
      <c r="A171" s="236"/>
      <c r="B171" s="245"/>
      <c r="C171" s="232"/>
      <c r="D171" s="236"/>
      <c r="E171" s="230"/>
      <c r="F171" s="230"/>
      <c r="G171" s="236"/>
      <c r="H171" s="236"/>
      <c r="I171" s="230"/>
      <c r="J171" s="242"/>
      <c r="K171" s="233"/>
      <c r="L171" s="242"/>
      <c r="M171" s="154"/>
      <c r="N171" s="55"/>
      <c r="O171" s="236"/>
      <c r="P171" s="236"/>
      <c r="Q171" s="236"/>
      <c r="R171" s="236"/>
      <c r="S171" s="236"/>
      <c r="T171" s="236"/>
      <c r="U171" s="236"/>
      <c r="V171" s="236"/>
      <c r="W171" s="236"/>
      <c r="X171" s="236"/>
      <c r="Y171" s="236"/>
      <c r="Z171" s="236"/>
      <c r="AA171" s="236"/>
    </row>
    <row r="172">
      <c r="A172" s="236"/>
      <c r="B172" s="245"/>
      <c r="C172" s="232"/>
      <c r="D172" s="236"/>
      <c r="E172" s="230"/>
      <c r="F172" s="230"/>
      <c r="G172" s="236"/>
      <c r="H172" s="236"/>
      <c r="I172" s="230"/>
      <c r="J172" s="242"/>
      <c r="K172" s="233"/>
      <c r="L172" s="242"/>
      <c r="M172" s="154"/>
      <c r="N172" s="55"/>
      <c r="O172" s="236"/>
      <c r="P172" s="236"/>
      <c r="Q172" s="236"/>
      <c r="R172" s="236"/>
      <c r="S172" s="236"/>
      <c r="T172" s="236"/>
      <c r="U172" s="236"/>
      <c r="V172" s="236"/>
      <c r="W172" s="236"/>
      <c r="X172" s="236"/>
      <c r="Y172" s="236"/>
      <c r="Z172" s="236"/>
      <c r="AA172" s="236"/>
    </row>
    <row r="173">
      <c r="A173" s="236"/>
      <c r="B173" s="245"/>
      <c r="C173" s="232"/>
      <c r="D173" s="236"/>
      <c r="E173" s="230"/>
      <c r="F173" s="230"/>
      <c r="G173" s="236"/>
      <c r="H173" s="236"/>
      <c r="I173" s="230"/>
      <c r="J173" s="242"/>
      <c r="K173" s="233"/>
      <c r="L173" s="242"/>
      <c r="M173" s="154"/>
      <c r="N173" s="55"/>
      <c r="O173" s="236"/>
      <c r="P173" s="236"/>
      <c r="Q173" s="236"/>
      <c r="R173" s="236"/>
      <c r="S173" s="236"/>
      <c r="T173" s="236"/>
      <c r="U173" s="236"/>
      <c r="V173" s="236"/>
      <c r="W173" s="236"/>
      <c r="X173" s="236"/>
      <c r="Y173" s="236"/>
      <c r="Z173" s="236"/>
      <c r="AA173" s="236"/>
    </row>
    <row r="174">
      <c r="A174" s="236"/>
      <c r="B174" s="245"/>
      <c r="C174" s="232"/>
      <c r="D174" s="236"/>
      <c r="E174" s="230"/>
      <c r="F174" s="230"/>
      <c r="G174" s="236"/>
      <c r="H174" s="236"/>
      <c r="I174" s="230"/>
      <c r="J174" s="242"/>
      <c r="K174" s="233"/>
      <c r="L174" s="242"/>
      <c r="M174" s="154"/>
      <c r="N174" s="55"/>
      <c r="O174" s="236"/>
      <c r="P174" s="236"/>
      <c r="Q174" s="236"/>
      <c r="R174" s="236"/>
      <c r="S174" s="236"/>
      <c r="T174" s="236"/>
      <c r="U174" s="236"/>
      <c r="V174" s="236"/>
      <c r="W174" s="236"/>
      <c r="X174" s="236"/>
      <c r="Y174" s="236"/>
      <c r="Z174" s="236"/>
      <c r="AA174" s="236"/>
    </row>
    <row r="175">
      <c r="A175" s="236"/>
      <c r="B175" s="245"/>
      <c r="C175" s="232"/>
      <c r="D175" s="236"/>
      <c r="E175" s="230"/>
      <c r="F175" s="230"/>
      <c r="G175" s="236"/>
      <c r="H175" s="236"/>
      <c r="I175" s="230"/>
      <c r="J175" s="242"/>
      <c r="K175" s="233"/>
      <c r="L175" s="242"/>
      <c r="M175" s="154"/>
      <c r="N175" s="55"/>
      <c r="O175" s="236"/>
      <c r="P175" s="236"/>
      <c r="Q175" s="236"/>
      <c r="R175" s="236"/>
      <c r="S175" s="236"/>
      <c r="T175" s="236"/>
      <c r="U175" s="236"/>
      <c r="V175" s="236"/>
      <c r="W175" s="236"/>
      <c r="X175" s="236"/>
      <c r="Y175" s="236"/>
      <c r="Z175" s="236"/>
      <c r="AA175" s="236"/>
    </row>
    <row r="176">
      <c r="A176" s="236"/>
      <c r="B176" s="245"/>
      <c r="C176" s="232"/>
      <c r="D176" s="236"/>
      <c r="E176" s="230"/>
      <c r="F176" s="230"/>
      <c r="G176" s="236"/>
      <c r="H176" s="236"/>
      <c r="I176" s="230"/>
      <c r="J176" s="242"/>
      <c r="K176" s="233"/>
      <c r="L176" s="242"/>
      <c r="M176" s="154"/>
      <c r="N176" s="55"/>
      <c r="O176" s="236"/>
      <c r="P176" s="236"/>
      <c r="Q176" s="236"/>
      <c r="R176" s="236"/>
      <c r="S176" s="236"/>
      <c r="T176" s="236"/>
      <c r="U176" s="236"/>
      <c r="V176" s="236"/>
      <c r="W176" s="236"/>
      <c r="X176" s="236"/>
      <c r="Y176" s="236"/>
      <c r="Z176" s="236"/>
      <c r="AA176" s="236"/>
    </row>
    <row r="177">
      <c r="A177" s="236"/>
      <c r="B177" s="245"/>
      <c r="C177" s="232"/>
      <c r="D177" s="236"/>
      <c r="E177" s="230"/>
      <c r="F177" s="230"/>
      <c r="G177" s="236"/>
      <c r="H177" s="236"/>
      <c r="I177" s="230"/>
      <c r="J177" s="242"/>
      <c r="K177" s="233"/>
      <c r="L177" s="242"/>
      <c r="M177" s="154"/>
      <c r="N177" s="55"/>
      <c r="O177" s="236"/>
      <c r="P177" s="236"/>
      <c r="Q177" s="236"/>
      <c r="R177" s="236"/>
      <c r="S177" s="236"/>
      <c r="T177" s="236"/>
      <c r="U177" s="236"/>
      <c r="V177" s="236"/>
      <c r="W177" s="236"/>
      <c r="X177" s="236"/>
      <c r="Y177" s="236"/>
      <c r="Z177" s="236"/>
      <c r="AA177" s="236"/>
    </row>
    <row r="178">
      <c r="A178" s="236"/>
      <c r="B178" s="245"/>
      <c r="C178" s="232"/>
      <c r="D178" s="236"/>
      <c r="E178" s="230"/>
      <c r="F178" s="230"/>
      <c r="G178" s="236"/>
      <c r="H178" s="236"/>
      <c r="I178" s="230"/>
      <c r="J178" s="242"/>
      <c r="K178" s="233"/>
      <c r="L178" s="242"/>
      <c r="M178" s="154"/>
      <c r="N178" s="55"/>
      <c r="O178" s="236"/>
      <c r="P178" s="236"/>
      <c r="Q178" s="236"/>
      <c r="R178" s="236"/>
      <c r="S178" s="236"/>
      <c r="T178" s="236"/>
      <c r="U178" s="236"/>
      <c r="V178" s="236"/>
      <c r="W178" s="236"/>
      <c r="X178" s="236"/>
      <c r="Y178" s="236"/>
      <c r="Z178" s="236"/>
      <c r="AA178" s="236"/>
    </row>
    <row r="179">
      <c r="A179" s="236"/>
      <c r="B179" s="245"/>
      <c r="C179" s="232"/>
      <c r="D179" s="236"/>
      <c r="E179" s="230"/>
      <c r="F179" s="230"/>
      <c r="G179" s="236"/>
      <c r="H179" s="236"/>
      <c r="I179" s="230"/>
      <c r="J179" s="242"/>
      <c r="K179" s="233"/>
      <c r="L179" s="242"/>
      <c r="M179" s="154"/>
      <c r="N179" s="55"/>
      <c r="O179" s="236"/>
      <c r="P179" s="236"/>
      <c r="Q179" s="236"/>
      <c r="R179" s="236"/>
      <c r="S179" s="236"/>
      <c r="T179" s="236"/>
      <c r="U179" s="236"/>
      <c r="V179" s="236"/>
      <c r="W179" s="236"/>
      <c r="X179" s="236"/>
      <c r="Y179" s="236"/>
      <c r="Z179" s="236"/>
      <c r="AA179" s="236"/>
    </row>
    <row r="180">
      <c r="A180" s="236"/>
      <c r="B180" s="245"/>
      <c r="C180" s="232"/>
      <c r="D180" s="236"/>
      <c r="E180" s="230"/>
      <c r="F180" s="230"/>
      <c r="G180" s="236"/>
      <c r="H180" s="236"/>
      <c r="I180" s="230"/>
      <c r="J180" s="242"/>
      <c r="K180" s="233"/>
      <c r="L180" s="242"/>
      <c r="M180" s="154"/>
      <c r="N180" s="55"/>
      <c r="O180" s="236"/>
      <c r="P180" s="236"/>
      <c r="Q180" s="236"/>
      <c r="R180" s="236"/>
      <c r="S180" s="236"/>
      <c r="T180" s="236"/>
      <c r="U180" s="236"/>
      <c r="V180" s="236"/>
      <c r="W180" s="236"/>
      <c r="X180" s="236"/>
      <c r="Y180" s="236"/>
      <c r="Z180" s="236"/>
      <c r="AA180" s="236"/>
    </row>
    <row r="181">
      <c r="A181" s="236"/>
      <c r="B181" s="245"/>
      <c r="C181" s="232"/>
      <c r="D181" s="236"/>
      <c r="E181" s="230"/>
      <c r="F181" s="230"/>
      <c r="G181" s="236"/>
      <c r="H181" s="236"/>
      <c r="I181" s="230"/>
      <c r="J181" s="242"/>
      <c r="K181" s="233"/>
      <c r="L181" s="242"/>
      <c r="M181" s="154"/>
      <c r="N181" s="55"/>
      <c r="O181" s="236"/>
      <c r="P181" s="236"/>
      <c r="Q181" s="236"/>
      <c r="R181" s="236"/>
      <c r="S181" s="236"/>
      <c r="T181" s="236"/>
      <c r="U181" s="236"/>
      <c r="V181" s="236"/>
      <c r="W181" s="236"/>
      <c r="X181" s="236"/>
      <c r="Y181" s="236"/>
      <c r="Z181" s="236"/>
      <c r="AA181" s="236"/>
    </row>
    <row r="182">
      <c r="A182" s="236"/>
      <c r="B182" s="245"/>
      <c r="C182" s="232"/>
      <c r="D182" s="236"/>
      <c r="E182" s="230"/>
      <c r="F182" s="230"/>
      <c r="G182" s="236"/>
      <c r="H182" s="236"/>
      <c r="I182" s="230"/>
      <c r="J182" s="242"/>
      <c r="K182" s="233"/>
      <c r="L182" s="242"/>
      <c r="M182" s="154"/>
      <c r="N182" s="55"/>
      <c r="O182" s="236"/>
      <c r="P182" s="236"/>
      <c r="Q182" s="236"/>
      <c r="R182" s="236"/>
      <c r="S182" s="236"/>
      <c r="T182" s="236"/>
      <c r="U182" s="236"/>
      <c r="V182" s="236"/>
      <c r="W182" s="236"/>
      <c r="X182" s="236"/>
      <c r="Y182" s="236"/>
      <c r="Z182" s="236"/>
      <c r="AA182" s="236"/>
    </row>
    <row r="183">
      <c r="A183" s="236"/>
      <c r="B183" s="245"/>
      <c r="C183" s="232"/>
      <c r="D183" s="236"/>
      <c r="E183" s="230"/>
      <c r="F183" s="230"/>
      <c r="G183" s="236"/>
      <c r="H183" s="236"/>
      <c r="I183" s="230"/>
      <c r="J183" s="242"/>
      <c r="K183" s="233"/>
      <c r="L183" s="242"/>
      <c r="M183" s="154"/>
      <c r="N183" s="55"/>
      <c r="O183" s="236"/>
      <c r="P183" s="236"/>
      <c r="Q183" s="236"/>
      <c r="R183" s="236"/>
      <c r="S183" s="236"/>
      <c r="T183" s="236"/>
      <c r="U183" s="236"/>
      <c r="V183" s="236"/>
      <c r="W183" s="236"/>
      <c r="X183" s="236"/>
      <c r="Y183" s="236"/>
      <c r="Z183" s="236"/>
      <c r="AA183" s="236"/>
    </row>
    <row r="184">
      <c r="A184" s="236"/>
      <c r="B184" s="245"/>
      <c r="C184" s="232"/>
      <c r="D184" s="236"/>
      <c r="E184" s="230"/>
      <c r="F184" s="230"/>
      <c r="G184" s="236"/>
      <c r="H184" s="236"/>
      <c r="I184" s="230"/>
      <c r="J184" s="242"/>
      <c r="K184" s="233"/>
      <c r="L184" s="242"/>
      <c r="M184" s="154"/>
      <c r="N184" s="55"/>
      <c r="O184" s="236"/>
      <c r="P184" s="236"/>
      <c r="Q184" s="236"/>
      <c r="R184" s="236"/>
      <c r="S184" s="236"/>
      <c r="T184" s="236"/>
      <c r="U184" s="236"/>
      <c r="V184" s="236"/>
      <c r="W184" s="236"/>
      <c r="X184" s="236"/>
      <c r="Y184" s="236"/>
      <c r="Z184" s="236"/>
      <c r="AA184" s="236"/>
    </row>
    <row r="185">
      <c r="A185" s="236"/>
      <c r="B185" s="245"/>
      <c r="C185" s="232"/>
      <c r="D185" s="236"/>
      <c r="E185" s="230"/>
      <c r="F185" s="230"/>
      <c r="G185" s="236"/>
      <c r="H185" s="236"/>
      <c r="I185" s="230"/>
      <c r="J185" s="242"/>
      <c r="K185" s="233"/>
      <c r="L185" s="242"/>
      <c r="M185" s="154"/>
      <c r="N185" s="55"/>
      <c r="O185" s="236"/>
      <c r="P185" s="236"/>
      <c r="Q185" s="236"/>
      <c r="R185" s="236"/>
      <c r="S185" s="236"/>
      <c r="T185" s="236"/>
      <c r="U185" s="236"/>
      <c r="V185" s="236"/>
      <c r="W185" s="236"/>
      <c r="X185" s="236"/>
      <c r="Y185" s="236"/>
      <c r="Z185" s="236"/>
      <c r="AA185" s="236"/>
    </row>
    <row r="186">
      <c r="A186" s="236"/>
      <c r="B186" s="245"/>
      <c r="C186" s="232"/>
      <c r="D186" s="236"/>
      <c r="E186" s="230"/>
      <c r="F186" s="230"/>
      <c r="G186" s="236"/>
      <c r="H186" s="236"/>
      <c r="I186" s="230"/>
      <c r="J186" s="242"/>
      <c r="K186" s="233"/>
      <c r="L186" s="242"/>
      <c r="M186" s="154"/>
      <c r="N186" s="55"/>
      <c r="O186" s="236"/>
      <c r="P186" s="236"/>
      <c r="Q186" s="236"/>
      <c r="R186" s="236"/>
      <c r="S186" s="236"/>
      <c r="T186" s="236"/>
      <c r="U186" s="236"/>
      <c r="V186" s="236"/>
      <c r="W186" s="236"/>
      <c r="X186" s="236"/>
      <c r="Y186" s="236"/>
      <c r="Z186" s="236"/>
      <c r="AA186" s="236"/>
    </row>
    <row r="187">
      <c r="A187" s="236"/>
      <c r="B187" s="245"/>
      <c r="C187" s="232"/>
      <c r="D187" s="236"/>
      <c r="E187" s="230"/>
      <c r="F187" s="230"/>
      <c r="G187" s="236"/>
      <c r="H187" s="236"/>
      <c r="I187" s="230"/>
      <c r="J187" s="242"/>
      <c r="K187" s="233"/>
      <c r="L187" s="242"/>
      <c r="M187" s="154"/>
      <c r="N187" s="55"/>
      <c r="O187" s="236"/>
      <c r="P187" s="236"/>
      <c r="Q187" s="236"/>
      <c r="R187" s="236"/>
      <c r="S187" s="236"/>
      <c r="T187" s="236"/>
      <c r="U187" s="236"/>
      <c r="V187" s="236"/>
      <c r="W187" s="236"/>
      <c r="X187" s="236"/>
      <c r="Y187" s="236"/>
      <c r="Z187" s="236"/>
      <c r="AA187" s="236"/>
    </row>
    <row r="188">
      <c r="A188" s="236"/>
      <c r="B188" s="245"/>
      <c r="C188" s="232"/>
      <c r="D188" s="236"/>
      <c r="E188" s="230"/>
      <c r="F188" s="230"/>
      <c r="G188" s="236"/>
      <c r="H188" s="236"/>
      <c r="I188" s="230"/>
      <c r="J188" s="242"/>
      <c r="K188" s="233"/>
      <c r="L188" s="242"/>
      <c r="M188" s="154"/>
      <c r="N188" s="55"/>
      <c r="O188" s="236"/>
      <c r="P188" s="236"/>
      <c r="Q188" s="236"/>
      <c r="R188" s="236"/>
      <c r="S188" s="236"/>
      <c r="T188" s="236"/>
      <c r="U188" s="236"/>
      <c r="V188" s="236"/>
      <c r="W188" s="236"/>
      <c r="X188" s="236"/>
      <c r="Y188" s="236"/>
      <c r="Z188" s="236"/>
      <c r="AA188" s="236"/>
    </row>
    <row r="189">
      <c r="A189" s="236"/>
      <c r="B189" s="245"/>
      <c r="C189" s="232"/>
      <c r="D189" s="236"/>
      <c r="E189" s="230"/>
      <c r="F189" s="230"/>
      <c r="G189" s="236"/>
      <c r="H189" s="236"/>
      <c r="I189" s="230"/>
      <c r="J189" s="242"/>
      <c r="K189" s="233"/>
      <c r="L189" s="242"/>
      <c r="M189" s="154"/>
      <c r="N189" s="55"/>
      <c r="O189" s="236"/>
      <c r="P189" s="236"/>
      <c r="Q189" s="236"/>
      <c r="R189" s="236"/>
      <c r="S189" s="236"/>
      <c r="T189" s="236"/>
      <c r="U189" s="236"/>
      <c r="V189" s="236"/>
      <c r="W189" s="236"/>
      <c r="X189" s="236"/>
      <c r="Y189" s="236"/>
      <c r="Z189" s="236"/>
      <c r="AA189" s="236"/>
    </row>
    <row r="190">
      <c r="A190" s="236"/>
      <c r="B190" s="245"/>
      <c r="C190" s="232"/>
      <c r="D190" s="236"/>
      <c r="E190" s="230"/>
      <c r="F190" s="230"/>
      <c r="G190" s="236"/>
      <c r="H190" s="236"/>
      <c r="I190" s="230"/>
      <c r="J190" s="242"/>
      <c r="K190" s="233"/>
      <c r="L190" s="242"/>
      <c r="M190" s="154"/>
      <c r="N190" s="55"/>
      <c r="O190" s="236"/>
      <c r="P190" s="236"/>
      <c r="Q190" s="236"/>
      <c r="R190" s="236"/>
      <c r="S190" s="236"/>
      <c r="T190" s="236"/>
      <c r="U190" s="236"/>
      <c r="V190" s="236"/>
      <c r="W190" s="236"/>
      <c r="X190" s="236"/>
      <c r="Y190" s="236"/>
      <c r="Z190" s="236"/>
      <c r="AA190" s="236"/>
    </row>
    <row r="191">
      <c r="A191" s="236"/>
      <c r="B191" s="245"/>
      <c r="C191" s="232"/>
      <c r="D191" s="236"/>
      <c r="E191" s="230"/>
      <c r="F191" s="230"/>
      <c r="G191" s="236"/>
      <c r="H191" s="236"/>
      <c r="I191" s="230"/>
      <c r="J191" s="242"/>
      <c r="K191" s="233"/>
      <c r="L191" s="242"/>
      <c r="M191" s="154"/>
      <c r="N191" s="55"/>
      <c r="O191" s="236"/>
      <c r="P191" s="236"/>
      <c r="Q191" s="236"/>
      <c r="R191" s="236"/>
      <c r="S191" s="236"/>
      <c r="T191" s="236"/>
      <c r="U191" s="236"/>
      <c r="V191" s="236"/>
      <c r="W191" s="236"/>
      <c r="X191" s="236"/>
      <c r="Y191" s="236"/>
      <c r="Z191" s="236"/>
      <c r="AA191" s="236"/>
    </row>
    <row r="192">
      <c r="A192" s="236"/>
      <c r="B192" s="245"/>
      <c r="C192" s="232"/>
      <c r="D192" s="236"/>
      <c r="E192" s="230"/>
      <c r="F192" s="230"/>
      <c r="G192" s="236"/>
      <c r="H192" s="236"/>
      <c r="I192" s="230"/>
      <c r="J192" s="242"/>
      <c r="K192" s="233"/>
      <c r="L192" s="242"/>
      <c r="M192" s="154"/>
      <c r="N192" s="55"/>
      <c r="O192" s="236"/>
      <c r="P192" s="236"/>
      <c r="Q192" s="236"/>
      <c r="R192" s="236"/>
      <c r="S192" s="236"/>
      <c r="T192" s="236"/>
      <c r="U192" s="236"/>
      <c r="V192" s="236"/>
      <c r="W192" s="236"/>
      <c r="X192" s="236"/>
      <c r="Y192" s="236"/>
      <c r="Z192" s="236"/>
      <c r="AA192" s="236"/>
    </row>
    <row r="193">
      <c r="A193" s="236"/>
      <c r="B193" s="245"/>
      <c r="C193" s="232"/>
      <c r="D193" s="236"/>
      <c r="E193" s="230"/>
      <c r="F193" s="230"/>
      <c r="G193" s="236"/>
      <c r="H193" s="236"/>
      <c r="I193" s="230"/>
      <c r="J193" s="242"/>
      <c r="K193" s="233"/>
      <c r="L193" s="242"/>
      <c r="M193" s="154"/>
      <c r="N193" s="55"/>
      <c r="O193" s="236"/>
      <c r="P193" s="236"/>
      <c r="Q193" s="236"/>
      <c r="R193" s="236"/>
      <c r="S193" s="236"/>
      <c r="T193" s="236"/>
      <c r="U193" s="236"/>
      <c r="V193" s="236"/>
      <c r="W193" s="236"/>
      <c r="X193" s="236"/>
      <c r="Y193" s="236"/>
      <c r="Z193" s="236"/>
      <c r="AA193" s="236"/>
    </row>
    <row r="194">
      <c r="A194" s="236"/>
      <c r="B194" s="245"/>
      <c r="C194" s="232"/>
      <c r="D194" s="236"/>
      <c r="E194" s="230"/>
      <c r="F194" s="230"/>
      <c r="G194" s="236"/>
      <c r="H194" s="236"/>
      <c r="I194" s="230"/>
      <c r="J194" s="242"/>
      <c r="K194" s="233"/>
      <c r="L194" s="242"/>
      <c r="M194" s="154"/>
      <c r="N194" s="55"/>
      <c r="O194" s="236"/>
      <c r="P194" s="236"/>
      <c r="Q194" s="236"/>
      <c r="R194" s="236"/>
      <c r="S194" s="236"/>
      <c r="T194" s="236"/>
      <c r="U194" s="236"/>
      <c r="V194" s="236"/>
      <c r="W194" s="236"/>
      <c r="X194" s="236"/>
      <c r="Y194" s="236"/>
      <c r="Z194" s="236"/>
      <c r="AA194" s="236"/>
    </row>
    <row r="195">
      <c r="A195" s="236"/>
      <c r="B195" s="245"/>
      <c r="C195" s="232"/>
      <c r="D195" s="236"/>
      <c r="E195" s="230"/>
      <c r="F195" s="230"/>
      <c r="G195" s="236"/>
      <c r="H195" s="236"/>
      <c r="I195" s="230"/>
      <c r="J195" s="242"/>
      <c r="K195" s="233"/>
      <c r="L195" s="242"/>
      <c r="M195" s="154"/>
      <c r="N195" s="55"/>
      <c r="O195" s="236"/>
      <c r="P195" s="236"/>
      <c r="Q195" s="236"/>
      <c r="R195" s="236"/>
      <c r="S195" s="236"/>
      <c r="T195" s="236"/>
      <c r="U195" s="236"/>
      <c r="V195" s="236"/>
      <c r="W195" s="236"/>
      <c r="X195" s="236"/>
      <c r="Y195" s="236"/>
      <c r="Z195" s="236"/>
      <c r="AA195" s="236"/>
    </row>
    <row r="196">
      <c r="A196" s="236"/>
      <c r="B196" s="245"/>
      <c r="C196" s="232"/>
      <c r="D196" s="236"/>
      <c r="E196" s="230"/>
      <c r="F196" s="230"/>
      <c r="G196" s="236"/>
      <c r="H196" s="236"/>
      <c r="I196" s="230"/>
      <c r="J196" s="242"/>
      <c r="K196" s="233"/>
      <c r="L196" s="242"/>
      <c r="M196" s="154"/>
      <c r="N196" s="55"/>
      <c r="O196" s="236"/>
      <c r="P196" s="236"/>
      <c r="Q196" s="236"/>
      <c r="R196" s="236"/>
      <c r="S196" s="236"/>
      <c r="T196" s="236"/>
      <c r="U196" s="236"/>
      <c r="V196" s="236"/>
      <c r="W196" s="236"/>
      <c r="X196" s="236"/>
      <c r="Y196" s="236"/>
      <c r="Z196" s="236"/>
      <c r="AA196" s="236"/>
    </row>
    <row r="197">
      <c r="A197" s="236"/>
      <c r="B197" s="245"/>
      <c r="C197" s="232"/>
      <c r="D197" s="236"/>
      <c r="E197" s="230"/>
      <c r="F197" s="230"/>
      <c r="G197" s="236"/>
      <c r="H197" s="236"/>
      <c r="I197" s="230"/>
      <c r="J197" s="242"/>
      <c r="K197" s="233"/>
      <c r="L197" s="242"/>
      <c r="M197" s="154"/>
      <c r="N197" s="55"/>
      <c r="O197" s="236"/>
      <c r="P197" s="236"/>
      <c r="Q197" s="236"/>
      <c r="R197" s="236"/>
      <c r="S197" s="236"/>
      <c r="T197" s="236"/>
      <c r="U197" s="236"/>
      <c r="V197" s="236"/>
      <c r="W197" s="236"/>
      <c r="X197" s="236"/>
      <c r="Y197" s="236"/>
      <c r="Z197" s="236"/>
      <c r="AA197" s="236"/>
    </row>
    <row r="198">
      <c r="A198" s="236"/>
      <c r="B198" s="245"/>
      <c r="C198" s="232"/>
      <c r="D198" s="236"/>
      <c r="E198" s="230"/>
      <c r="F198" s="230"/>
      <c r="G198" s="236"/>
      <c r="H198" s="236"/>
      <c r="I198" s="230"/>
      <c r="J198" s="242"/>
      <c r="K198" s="233"/>
      <c r="L198" s="242"/>
      <c r="M198" s="154"/>
      <c r="N198" s="55"/>
      <c r="O198" s="236"/>
      <c r="P198" s="236"/>
      <c r="Q198" s="236"/>
      <c r="R198" s="236"/>
      <c r="S198" s="236"/>
      <c r="T198" s="236"/>
      <c r="U198" s="236"/>
      <c r="V198" s="236"/>
      <c r="W198" s="236"/>
      <c r="X198" s="236"/>
      <c r="Y198" s="236"/>
      <c r="Z198" s="236"/>
      <c r="AA198" s="236"/>
    </row>
    <row r="199">
      <c r="A199" s="236"/>
      <c r="B199" s="245"/>
      <c r="C199" s="232"/>
      <c r="D199" s="236"/>
      <c r="E199" s="230"/>
      <c r="F199" s="230"/>
      <c r="G199" s="236"/>
      <c r="H199" s="236"/>
      <c r="I199" s="230"/>
      <c r="J199" s="242"/>
      <c r="K199" s="233"/>
      <c r="L199" s="242"/>
      <c r="M199" s="154"/>
      <c r="N199" s="55"/>
      <c r="O199" s="236"/>
      <c r="P199" s="236"/>
      <c r="Q199" s="236"/>
      <c r="R199" s="236"/>
      <c r="S199" s="236"/>
      <c r="T199" s="236"/>
      <c r="U199" s="236"/>
      <c r="V199" s="236"/>
      <c r="W199" s="236"/>
      <c r="X199" s="236"/>
      <c r="Y199" s="236"/>
      <c r="Z199" s="236"/>
      <c r="AA199" s="236"/>
    </row>
    <row r="200">
      <c r="A200" s="236"/>
      <c r="B200" s="245"/>
      <c r="C200" s="232"/>
      <c r="D200" s="236"/>
      <c r="E200" s="230"/>
      <c r="F200" s="230"/>
      <c r="G200" s="236"/>
      <c r="H200" s="236"/>
      <c r="I200" s="230"/>
      <c r="J200" s="242"/>
      <c r="K200" s="233"/>
      <c r="L200" s="242"/>
      <c r="M200" s="154"/>
      <c r="N200" s="55"/>
      <c r="O200" s="236"/>
      <c r="P200" s="236"/>
      <c r="Q200" s="236"/>
      <c r="R200" s="236"/>
      <c r="S200" s="236"/>
      <c r="T200" s="236"/>
      <c r="U200" s="236"/>
      <c r="V200" s="236"/>
      <c r="W200" s="236"/>
      <c r="X200" s="236"/>
      <c r="Y200" s="236"/>
      <c r="Z200" s="236"/>
      <c r="AA200" s="236"/>
    </row>
    <row r="201">
      <c r="A201" s="236"/>
      <c r="B201" s="245"/>
      <c r="C201" s="232"/>
      <c r="D201" s="236"/>
      <c r="E201" s="230"/>
      <c r="F201" s="230"/>
      <c r="G201" s="236"/>
      <c r="H201" s="236"/>
      <c r="I201" s="230"/>
      <c r="J201" s="242"/>
      <c r="K201" s="233"/>
      <c r="L201" s="242"/>
      <c r="M201" s="154"/>
      <c r="N201" s="55"/>
      <c r="O201" s="236"/>
      <c r="P201" s="236"/>
      <c r="Q201" s="236"/>
      <c r="R201" s="236"/>
      <c r="S201" s="236"/>
      <c r="T201" s="236"/>
      <c r="U201" s="236"/>
      <c r="V201" s="236"/>
      <c r="W201" s="236"/>
      <c r="X201" s="236"/>
      <c r="Y201" s="236"/>
      <c r="Z201" s="236"/>
      <c r="AA201" s="236"/>
    </row>
    <row r="202">
      <c r="A202" s="236"/>
      <c r="B202" s="245"/>
      <c r="C202" s="232"/>
      <c r="D202" s="236"/>
      <c r="E202" s="230"/>
      <c r="F202" s="230"/>
      <c r="G202" s="236"/>
      <c r="H202" s="236"/>
      <c r="I202" s="230"/>
      <c r="J202" s="242"/>
      <c r="K202" s="233"/>
      <c r="L202" s="242"/>
      <c r="M202" s="154"/>
      <c r="N202" s="55"/>
      <c r="O202" s="236"/>
      <c r="P202" s="236"/>
      <c r="Q202" s="236"/>
      <c r="R202" s="236"/>
      <c r="S202" s="236"/>
      <c r="T202" s="236"/>
      <c r="U202" s="236"/>
      <c r="V202" s="236"/>
      <c r="W202" s="236"/>
      <c r="X202" s="236"/>
      <c r="Y202" s="236"/>
      <c r="Z202" s="236"/>
      <c r="AA202" s="236"/>
    </row>
    <row r="203">
      <c r="A203" s="236"/>
      <c r="B203" s="245"/>
      <c r="C203" s="232"/>
      <c r="D203" s="236"/>
      <c r="E203" s="230"/>
      <c r="F203" s="230"/>
      <c r="G203" s="236"/>
      <c r="H203" s="236"/>
      <c r="I203" s="230"/>
      <c r="J203" s="242"/>
      <c r="K203" s="233"/>
      <c r="L203" s="242"/>
      <c r="M203" s="154"/>
      <c r="N203" s="55"/>
      <c r="O203" s="236"/>
      <c r="P203" s="236"/>
      <c r="Q203" s="236"/>
      <c r="R203" s="236"/>
      <c r="S203" s="236"/>
      <c r="T203" s="236"/>
      <c r="U203" s="236"/>
      <c r="V203" s="236"/>
      <c r="W203" s="236"/>
      <c r="X203" s="236"/>
      <c r="Y203" s="236"/>
      <c r="Z203" s="236"/>
      <c r="AA203" s="236"/>
    </row>
    <row r="204">
      <c r="A204" s="236"/>
      <c r="B204" s="245"/>
      <c r="C204" s="232"/>
      <c r="D204" s="236"/>
      <c r="E204" s="230"/>
      <c r="F204" s="230"/>
      <c r="G204" s="236"/>
      <c r="H204" s="236"/>
      <c r="I204" s="230"/>
      <c r="J204" s="242"/>
      <c r="K204" s="233"/>
      <c r="L204" s="242"/>
      <c r="M204" s="154"/>
      <c r="N204" s="55"/>
      <c r="O204" s="236"/>
      <c r="P204" s="236"/>
      <c r="Q204" s="236"/>
      <c r="R204" s="236"/>
      <c r="S204" s="236"/>
      <c r="T204" s="236"/>
      <c r="U204" s="236"/>
      <c r="V204" s="236"/>
      <c r="W204" s="236"/>
      <c r="X204" s="236"/>
      <c r="Y204" s="236"/>
      <c r="Z204" s="236"/>
      <c r="AA204" s="236"/>
    </row>
    <row r="205">
      <c r="A205" s="236"/>
      <c r="B205" s="245"/>
      <c r="C205" s="232"/>
      <c r="D205" s="236"/>
      <c r="E205" s="230"/>
      <c r="F205" s="230"/>
      <c r="G205" s="236"/>
      <c r="H205" s="236"/>
      <c r="I205" s="230"/>
      <c r="J205" s="242"/>
      <c r="K205" s="233"/>
      <c r="L205" s="242"/>
      <c r="M205" s="154"/>
      <c r="N205" s="55"/>
      <c r="O205" s="236"/>
      <c r="P205" s="236"/>
      <c r="Q205" s="236"/>
      <c r="R205" s="236"/>
      <c r="S205" s="236"/>
      <c r="T205" s="236"/>
      <c r="U205" s="236"/>
      <c r="V205" s="236"/>
      <c r="W205" s="236"/>
      <c r="X205" s="236"/>
      <c r="Y205" s="236"/>
      <c r="Z205" s="236"/>
      <c r="AA205" s="236"/>
    </row>
    <row r="206">
      <c r="A206" s="236"/>
      <c r="B206" s="245"/>
      <c r="C206" s="232"/>
      <c r="D206" s="236"/>
      <c r="E206" s="230"/>
      <c r="F206" s="230"/>
      <c r="G206" s="236"/>
      <c r="H206" s="236"/>
      <c r="I206" s="230"/>
      <c r="J206" s="242"/>
      <c r="K206" s="233"/>
      <c r="L206" s="242"/>
      <c r="M206" s="154"/>
      <c r="N206" s="55"/>
      <c r="O206" s="236"/>
      <c r="P206" s="236"/>
      <c r="Q206" s="236"/>
      <c r="R206" s="236"/>
      <c r="S206" s="236"/>
      <c r="T206" s="236"/>
      <c r="U206" s="236"/>
      <c r="V206" s="236"/>
      <c r="W206" s="236"/>
      <c r="X206" s="236"/>
      <c r="Y206" s="236"/>
      <c r="Z206" s="236"/>
      <c r="AA206" s="236"/>
    </row>
    <row r="207">
      <c r="A207" s="236"/>
      <c r="B207" s="245"/>
      <c r="C207" s="232"/>
      <c r="D207" s="236"/>
      <c r="E207" s="230"/>
      <c r="F207" s="230"/>
      <c r="G207" s="236"/>
      <c r="H207" s="236"/>
      <c r="I207" s="230"/>
      <c r="J207" s="242"/>
      <c r="K207" s="233"/>
      <c r="L207" s="242"/>
      <c r="M207" s="154"/>
      <c r="N207" s="55"/>
      <c r="O207" s="236"/>
      <c r="P207" s="236"/>
      <c r="Q207" s="236"/>
      <c r="R207" s="236"/>
      <c r="S207" s="236"/>
      <c r="T207" s="236"/>
      <c r="U207" s="236"/>
      <c r="V207" s="236"/>
      <c r="W207" s="236"/>
      <c r="X207" s="236"/>
      <c r="Y207" s="236"/>
      <c r="Z207" s="236"/>
      <c r="AA207" s="236"/>
    </row>
    <row r="208">
      <c r="A208" s="236"/>
      <c r="B208" s="245"/>
      <c r="C208" s="232"/>
      <c r="D208" s="236"/>
      <c r="E208" s="230"/>
      <c r="F208" s="230"/>
      <c r="G208" s="236"/>
      <c r="H208" s="236"/>
      <c r="I208" s="230"/>
      <c r="J208" s="242"/>
      <c r="K208" s="233"/>
      <c r="L208" s="242"/>
      <c r="M208" s="154"/>
      <c r="N208" s="55"/>
      <c r="O208" s="236"/>
      <c r="P208" s="236"/>
      <c r="Q208" s="236"/>
      <c r="R208" s="236"/>
      <c r="S208" s="236"/>
      <c r="T208" s="236"/>
      <c r="U208" s="236"/>
      <c r="V208" s="236"/>
      <c r="W208" s="236"/>
      <c r="X208" s="236"/>
      <c r="Y208" s="236"/>
      <c r="Z208" s="236"/>
      <c r="AA208" s="236"/>
    </row>
    <row r="209">
      <c r="A209" s="236"/>
      <c r="B209" s="245"/>
      <c r="C209" s="232"/>
      <c r="D209" s="236"/>
      <c r="E209" s="230"/>
      <c r="F209" s="230"/>
      <c r="G209" s="236"/>
      <c r="H209" s="236"/>
      <c r="I209" s="230"/>
      <c r="J209" s="242"/>
      <c r="K209" s="233"/>
      <c r="L209" s="242"/>
      <c r="M209" s="154"/>
      <c r="N209" s="55"/>
      <c r="O209" s="236"/>
      <c r="P209" s="236"/>
      <c r="Q209" s="236"/>
      <c r="R209" s="236"/>
      <c r="S209" s="236"/>
      <c r="T209" s="236"/>
      <c r="U209" s="236"/>
      <c r="V209" s="236"/>
      <c r="W209" s="236"/>
      <c r="X209" s="236"/>
      <c r="Y209" s="236"/>
      <c r="Z209" s="236"/>
      <c r="AA209" s="236"/>
    </row>
    <row r="210">
      <c r="A210" s="236"/>
      <c r="B210" s="245"/>
      <c r="C210" s="232"/>
      <c r="D210" s="236"/>
      <c r="E210" s="230"/>
      <c r="F210" s="230"/>
      <c r="G210" s="236"/>
      <c r="H210" s="236"/>
      <c r="I210" s="230"/>
      <c r="J210" s="242"/>
      <c r="K210" s="233"/>
      <c r="L210" s="242"/>
      <c r="M210" s="154"/>
      <c r="N210" s="55"/>
      <c r="O210" s="236"/>
      <c r="P210" s="236"/>
      <c r="Q210" s="236"/>
      <c r="R210" s="236"/>
      <c r="S210" s="236"/>
      <c r="T210" s="236"/>
      <c r="U210" s="236"/>
      <c r="V210" s="236"/>
      <c r="W210" s="236"/>
      <c r="X210" s="236"/>
      <c r="Y210" s="236"/>
      <c r="Z210" s="236"/>
      <c r="AA210" s="236"/>
    </row>
    <row r="211">
      <c r="A211" s="236"/>
      <c r="B211" s="245"/>
      <c r="C211" s="232"/>
      <c r="D211" s="236"/>
      <c r="E211" s="230"/>
      <c r="F211" s="230"/>
      <c r="G211" s="236"/>
      <c r="H211" s="236"/>
      <c r="I211" s="230"/>
      <c r="J211" s="242"/>
      <c r="K211" s="233"/>
      <c r="L211" s="242"/>
      <c r="M211" s="154"/>
      <c r="N211" s="55"/>
      <c r="O211" s="236"/>
      <c r="P211" s="236"/>
      <c r="Q211" s="236"/>
      <c r="R211" s="236"/>
      <c r="S211" s="236"/>
      <c r="T211" s="236"/>
      <c r="U211" s="236"/>
      <c r="V211" s="236"/>
      <c r="W211" s="236"/>
      <c r="X211" s="236"/>
      <c r="Y211" s="236"/>
      <c r="Z211" s="236"/>
      <c r="AA211" s="236"/>
    </row>
    <row r="212">
      <c r="A212" s="236"/>
      <c r="B212" s="245"/>
      <c r="C212" s="232"/>
      <c r="D212" s="236"/>
      <c r="E212" s="230"/>
      <c r="F212" s="230"/>
      <c r="G212" s="236"/>
      <c r="H212" s="236"/>
      <c r="I212" s="230"/>
      <c r="J212" s="242"/>
      <c r="K212" s="233"/>
      <c r="L212" s="242"/>
      <c r="M212" s="154"/>
      <c r="N212" s="55"/>
      <c r="O212" s="236"/>
      <c r="P212" s="236"/>
      <c r="Q212" s="236"/>
      <c r="R212" s="236"/>
      <c r="S212" s="236"/>
      <c r="T212" s="236"/>
      <c r="U212" s="236"/>
      <c r="V212" s="236"/>
      <c r="W212" s="236"/>
      <c r="X212" s="236"/>
      <c r="Y212" s="236"/>
      <c r="Z212" s="236"/>
      <c r="AA212" s="236"/>
    </row>
    <row r="213">
      <c r="A213" s="236"/>
      <c r="B213" s="245"/>
      <c r="C213" s="232"/>
      <c r="D213" s="236"/>
      <c r="E213" s="230"/>
      <c r="F213" s="230"/>
      <c r="G213" s="236"/>
      <c r="H213" s="236"/>
      <c r="I213" s="230"/>
      <c r="J213" s="242"/>
      <c r="K213" s="233"/>
      <c r="L213" s="242"/>
      <c r="M213" s="154"/>
      <c r="N213" s="55"/>
      <c r="O213" s="236"/>
      <c r="P213" s="236"/>
      <c r="Q213" s="236"/>
      <c r="R213" s="236"/>
      <c r="S213" s="236"/>
      <c r="T213" s="236"/>
      <c r="U213" s="236"/>
      <c r="V213" s="236"/>
      <c r="W213" s="236"/>
      <c r="X213" s="236"/>
      <c r="Y213" s="236"/>
      <c r="Z213" s="236"/>
      <c r="AA213" s="236"/>
    </row>
    <row r="214">
      <c r="A214" s="236"/>
      <c r="B214" s="245"/>
      <c r="C214" s="232"/>
      <c r="D214" s="236"/>
      <c r="E214" s="230"/>
      <c r="F214" s="230"/>
      <c r="G214" s="236"/>
      <c r="H214" s="236"/>
      <c r="I214" s="230"/>
      <c r="J214" s="242"/>
      <c r="K214" s="233"/>
      <c r="L214" s="242"/>
      <c r="M214" s="154"/>
      <c r="N214" s="55"/>
      <c r="O214" s="236"/>
      <c r="P214" s="236"/>
      <c r="Q214" s="236"/>
      <c r="R214" s="236"/>
      <c r="S214" s="236"/>
      <c r="T214" s="236"/>
      <c r="U214" s="236"/>
      <c r="V214" s="236"/>
      <c r="W214" s="236"/>
      <c r="X214" s="236"/>
      <c r="Y214" s="236"/>
      <c r="Z214" s="236"/>
      <c r="AA214" s="236"/>
    </row>
    <row r="215">
      <c r="A215" s="236"/>
      <c r="B215" s="245"/>
      <c r="C215" s="232"/>
      <c r="D215" s="236"/>
      <c r="E215" s="230"/>
      <c r="F215" s="230"/>
      <c r="G215" s="236"/>
      <c r="H215" s="236"/>
      <c r="I215" s="230"/>
      <c r="J215" s="242"/>
      <c r="K215" s="233"/>
      <c r="L215" s="242"/>
      <c r="M215" s="154"/>
      <c r="N215" s="55"/>
      <c r="O215" s="236"/>
      <c r="P215" s="236"/>
      <c r="Q215" s="236"/>
      <c r="R215" s="236"/>
      <c r="S215" s="236"/>
      <c r="T215" s="236"/>
      <c r="U215" s="236"/>
      <c r="V215" s="236"/>
      <c r="W215" s="236"/>
      <c r="X215" s="236"/>
      <c r="Y215" s="236"/>
      <c r="Z215" s="236"/>
      <c r="AA215" s="236"/>
    </row>
    <row r="216">
      <c r="A216" s="236"/>
      <c r="B216" s="245"/>
      <c r="C216" s="232"/>
      <c r="D216" s="236"/>
      <c r="E216" s="230"/>
      <c r="F216" s="230"/>
      <c r="G216" s="236"/>
      <c r="H216" s="236"/>
      <c r="I216" s="230"/>
      <c r="J216" s="242"/>
      <c r="K216" s="233"/>
      <c r="L216" s="242"/>
      <c r="M216" s="154"/>
      <c r="N216" s="55"/>
      <c r="O216" s="236"/>
      <c r="P216" s="236"/>
      <c r="Q216" s="236"/>
      <c r="R216" s="236"/>
      <c r="S216" s="236"/>
      <c r="T216" s="236"/>
      <c r="U216" s="236"/>
      <c r="V216" s="236"/>
      <c r="W216" s="236"/>
      <c r="X216" s="236"/>
      <c r="Y216" s="236"/>
      <c r="Z216" s="236"/>
      <c r="AA216" s="236"/>
    </row>
    <row r="217">
      <c r="A217" s="236"/>
      <c r="B217" s="245"/>
      <c r="C217" s="246"/>
      <c r="D217" s="236"/>
      <c r="E217" s="230"/>
      <c r="F217" s="230"/>
      <c r="G217" s="236"/>
      <c r="H217" s="236"/>
      <c r="I217" s="230"/>
      <c r="J217" s="242"/>
      <c r="K217" s="233"/>
      <c r="L217" s="242"/>
      <c r="M217" s="154"/>
      <c r="N217" s="55"/>
      <c r="O217" s="236"/>
      <c r="P217" s="236"/>
      <c r="Q217" s="236"/>
      <c r="R217" s="236"/>
      <c r="S217" s="236"/>
      <c r="T217" s="236"/>
      <c r="U217" s="236"/>
      <c r="V217" s="236"/>
      <c r="W217" s="236"/>
      <c r="X217" s="236"/>
      <c r="Y217" s="236"/>
      <c r="Z217" s="236"/>
      <c r="AA217" s="236"/>
    </row>
    <row r="218">
      <c r="A218" s="236"/>
      <c r="B218" s="245"/>
      <c r="C218" s="246"/>
      <c r="D218" s="236"/>
      <c r="E218" s="230"/>
      <c r="F218" s="230"/>
      <c r="G218" s="236"/>
      <c r="H218" s="236"/>
      <c r="I218" s="230"/>
      <c r="J218" s="242"/>
      <c r="K218" s="233"/>
      <c r="L218" s="242"/>
      <c r="M218" s="154"/>
      <c r="N218" s="55"/>
      <c r="O218" s="236"/>
      <c r="P218" s="236"/>
      <c r="Q218" s="236"/>
      <c r="R218" s="236"/>
      <c r="S218" s="236"/>
      <c r="T218" s="236"/>
      <c r="U218" s="236"/>
      <c r="V218" s="236"/>
      <c r="W218" s="236"/>
      <c r="X218" s="236"/>
      <c r="Y218" s="236"/>
      <c r="Z218" s="236"/>
      <c r="AA218" s="236"/>
    </row>
    <row r="219">
      <c r="A219" s="236"/>
      <c r="B219" s="245"/>
      <c r="C219" s="246"/>
      <c r="D219" s="236"/>
      <c r="E219" s="230"/>
      <c r="F219" s="230"/>
      <c r="G219" s="236"/>
      <c r="H219" s="236"/>
      <c r="I219" s="230"/>
      <c r="J219" s="242"/>
      <c r="K219" s="233"/>
      <c r="L219" s="242"/>
      <c r="M219" s="154"/>
      <c r="N219" s="55"/>
      <c r="O219" s="236"/>
      <c r="P219" s="236"/>
      <c r="Q219" s="236"/>
      <c r="R219" s="236"/>
      <c r="S219" s="236"/>
      <c r="T219" s="236"/>
      <c r="U219" s="236"/>
      <c r="V219" s="236"/>
      <c r="W219" s="236"/>
      <c r="X219" s="236"/>
      <c r="Y219" s="236"/>
      <c r="Z219" s="236"/>
      <c r="AA219" s="236"/>
    </row>
    <row r="220">
      <c r="A220" s="236"/>
      <c r="B220" s="245"/>
      <c r="C220" s="246"/>
      <c r="D220" s="236"/>
      <c r="E220" s="230"/>
      <c r="F220" s="230"/>
      <c r="G220" s="236"/>
      <c r="H220" s="236"/>
      <c r="I220" s="230"/>
      <c r="J220" s="242"/>
      <c r="K220" s="233"/>
      <c r="L220" s="242"/>
      <c r="M220" s="154"/>
      <c r="N220" s="55"/>
      <c r="O220" s="236"/>
      <c r="P220" s="236"/>
      <c r="Q220" s="236"/>
      <c r="R220" s="236"/>
      <c r="S220" s="236"/>
      <c r="T220" s="236"/>
      <c r="U220" s="236"/>
      <c r="V220" s="236"/>
      <c r="W220" s="236"/>
      <c r="X220" s="236"/>
      <c r="Y220" s="236"/>
      <c r="Z220" s="236"/>
      <c r="AA220" s="236"/>
    </row>
    <row r="221">
      <c r="A221" s="247"/>
      <c r="B221" s="245"/>
      <c r="C221" s="246"/>
      <c r="D221" s="247"/>
      <c r="E221" s="247"/>
      <c r="F221" s="247"/>
      <c r="G221" s="247"/>
      <c r="H221" s="247"/>
      <c r="I221" s="247"/>
      <c r="J221" s="242"/>
      <c r="K221" s="248"/>
      <c r="L221" s="246"/>
      <c r="M221" s="154"/>
      <c r="N221" s="55"/>
      <c r="O221" s="247"/>
      <c r="P221" s="247"/>
      <c r="Q221" s="247"/>
      <c r="R221" s="247"/>
      <c r="S221" s="247"/>
      <c r="T221" s="247"/>
      <c r="U221" s="247"/>
      <c r="V221" s="247"/>
      <c r="W221" s="247"/>
      <c r="X221" s="247"/>
      <c r="Y221" s="247"/>
      <c r="Z221" s="247"/>
      <c r="AA221" s="247"/>
    </row>
    <row r="222">
      <c r="A222" s="247"/>
      <c r="B222" s="245"/>
      <c r="C222" s="246"/>
      <c r="D222" s="247"/>
      <c r="E222" s="247"/>
      <c r="F222" s="247"/>
      <c r="G222" s="247"/>
      <c r="H222" s="247"/>
      <c r="I222" s="247"/>
      <c r="J222" s="242"/>
      <c r="K222" s="248"/>
      <c r="L222" s="246"/>
      <c r="M222" s="154"/>
      <c r="N222" s="55"/>
      <c r="O222" s="247"/>
      <c r="P222" s="247"/>
      <c r="Q222" s="247"/>
      <c r="R222" s="247"/>
      <c r="S222" s="247"/>
      <c r="T222" s="247"/>
      <c r="U222" s="247"/>
      <c r="V222" s="247"/>
      <c r="W222" s="247"/>
      <c r="X222" s="247"/>
      <c r="Y222" s="247"/>
      <c r="Z222" s="247"/>
      <c r="AA222" s="247"/>
    </row>
    <row r="223">
      <c r="A223" s="247"/>
      <c r="B223" s="245"/>
      <c r="C223" s="246"/>
      <c r="D223" s="247"/>
      <c r="E223" s="247"/>
      <c r="F223" s="247"/>
      <c r="G223" s="247"/>
      <c r="H223" s="247"/>
      <c r="I223" s="247"/>
      <c r="J223" s="242"/>
      <c r="K223" s="248"/>
      <c r="L223" s="246"/>
      <c r="M223" s="154"/>
      <c r="N223" s="55"/>
      <c r="O223" s="247"/>
      <c r="P223" s="247"/>
      <c r="Q223" s="247"/>
      <c r="R223" s="247"/>
      <c r="S223" s="247"/>
      <c r="T223" s="247"/>
      <c r="U223" s="247"/>
      <c r="V223" s="247"/>
      <c r="W223" s="247"/>
      <c r="X223" s="247"/>
      <c r="Y223" s="247"/>
      <c r="Z223" s="247"/>
      <c r="AA223" s="247"/>
    </row>
    <row r="224">
      <c r="A224" s="247"/>
      <c r="B224" s="245"/>
      <c r="C224" s="246"/>
      <c r="D224" s="247"/>
      <c r="E224" s="247"/>
      <c r="F224" s="247"/>
      <c r="G224" s="247"/>
      <c r="H224" s="247"/>
      <c r="I224" s="247"/>
      <c r="J224" s="242"/>
      <c r="K224" s="248"/>
      <c r="L224" s="246"/>
      <c r="M224" s="154"/>
      <c r="N224" s="55"/>
      <c r="O224" s="247"/>
      <c r="P224" s="247"/>
      <c r="Q224" s="247"/>
      <c r="R224" s="247"/>
      <c r="S224" s="247"/>
      <c r="T224" s="247"/>
      <c r="U224" s="247"/>
      <c r="V224" s="247"/>
      <c r="W224" s="247"/>
      <c r="X224" s="247"/>
      <c r="Y224" s="247"/>
      <c r="Z224" s="247"/>
      <c r="AA224" s="247"/>
    </row>
    <row r="225">
      <c r="A225" s="247"/>
      <c r="B225" s="245"/>
      <c r="C225" s="246"/>
      <c r="D225" s="247"/>
      <c r="E225" s="247"/>
      <c r="F225" s="247"/>
      <c r="G225" s="247"/>
      <c r="H225" s="247"/>
      <c r="I225" s="247"/>
      <c r="J225" s="246"/>
      <c r="K225" s="248"/>
      <c r="L225" s="246"/>
      <c r="M225" s="154"/>
      <c r="N225" s="55"/>
      <c r="O225" s="247"/>
      <c r="P225" s="247"/>
      <c r="Q225" s="247"/>
      <c r="R225" s="247"/>
      <c r="S225" s="247"/>
      <c r="T225" s="247"/>
      <c r="U225" s="247"/>
      <c r="V225" s="247"/>
      <c r="W225" s="247"/>
      <c r="X225" s="247"/>
      <c r="Y225" s="247"/>
      <c r="Z225" s="247"/>
      <c r="AA225" s="247"/>
    </row>
    <row r="226">
      <c r="A226" s="247"/>
      <c r="B226" s="245"/>
      <c r="C226" s="246"/>
      <c r="D226" s="247"/>
      <c r="E226" s="247"/>
      <c r="F226" s="247"/>
      <c r="G226" s="247"/>
      <c r="H226" s="247"/>
      <c r="I226" s="247"/>
      <c r="J226" s="246"/>
      <c r="K226" s="248"/>
      <c r="L226" s="246"/>
      <c r="M226" s="154"/>
      <c r="N226" s="55"/>
      <c r="O226" s="247"/>
      <c r="P226" s="247"/>
      <c r="Q226" s="247"/>
      <c r="R226" s="247"/>
      <c r="S226" s="247"/>
      <c r="T226" s="247"/>
      <c r="U226" s="247"/>
      <c r="V226" s="247"/>
      <c r="W226" s="247"/>
      <c r="X226" s="247"/>
      <c r="Y226" s="247"/>
      <c r="Z226" s="247"/>
      <c r="AA226" s="247"/>
    </row>
    <row r="227">
      <c r="A227" s="247"/>
      <c r="B227" s="245"/>
      <c r="C227" s="246"/>
      <c r="D227" s="247"/>
      <c r="E227" s="247"/>
      <c r="F227" s="247"/>
      <c r="G227" s="247"/>
      <c r="H227" s="247"/>
      <c r="I227" s="247"/>
      <c r="J227" s="246"/>
      <c r="K227" s="248"/>
      <c r="L227" s="246"/>
      <c r="M227" s="154"/>
      <c r="N227" s="55"/>
      <c r="O227" s="247"/>
      <c r="P227" s="247"/>
      <c r="Q227" s="247"/>
      <c r="R227" s="247"/>
      <c r="S227" s="247"/>
      <c r="T227" s="247"/>
      <c r="U227" s="247"/>
      <c r="V227" s="247"/>
      <c r="W227" s="247"/>
      <c r="X227" s="247"/>
      <c r="Y227" s="247"/>
      <c r="Z227" s="247"/>
      <c r="AA227" s="247"/>
    </row>
    <row r="228">
      <c r="A228" s="247"/>
      <c r="B228" s="245"/>
      <c r="C228" s="246"/>
      <c r="D228" s="247"/>
      <c r="E228" s="247"/>
      <c r="F228" s="247"/>
      <c r="G228" s="247"/>
      <c r="H228" s="247"/>
      <c r="I228" s="247"/>
      <c r="J228" s="246"/>
      <c r="K228" s="248"/>
      <c r="L228" s="246"/>
      <c r="M228" s="154"/>
      <c r="N228" s="55"/>
      <c r="O228" s="247"/>
      <c r="P228" s="247"/>
      <c r="Q228" s="247"/>
      <c r="R228" s="247"/>
      <c r="S228" s="247"/>
      <c r="T228" s="247"/>
      <c r="U228" s="247"/>
      <c r="V228" s="247"/>
      <c r="W228" s="247"/>
      <c r="X228" s="247"/>
      <c r="Y228" s="247"/>
      <c r="Z228" s="247"/>
      <c r="AA228" s="247"/>
    </row>
    <row r="229">
      <c r="A229" s="247"/>
      <c r="B229" s="245"/>
      <c r="C229" s="246"/>
      <c r="D229" s="247"/>
      <c r="E229" s="247"/>
      <c r="F229" s="247"/>
      <c r="G229" s="247"/>
      <c r="H229" s="247"/>
      <c r="I229" s="247"/>
      <c r="J229" s="246"/>
      <c r="K229" s="248"/>
      <c r="L229" s="246"/>
      <c r="M229" s="154"/>
      <c r="N229" s="55"/>
      <c r="O229" s="247"/>
      <c r="P229" s="247"/>
      <c r="Q229" s="247"/>
      <c r="R229" s="247"/>
      <c r="S229" s="247"/>
      <c r="T229" s="247"/>
      <c r="U229" s="247"/>
      <c r="V229" s="247"/>
      <c r="W229" s="247"/>
      <c r="X229" s="247"/>
      <c r="Y229" s="247"/>
      <c r="Z229" s="247"/>
      <c r="AA229" s="247"/>
    </row>
    <row r="230">
      <c r="A230" s="247"/>
      <c r="B230" s="245"/>
      <c r="C230" s="246"/>
      <c r="D230" s="247"/>
      <c r="E230" s="247"/>
      <c r="F230" s="247"/>
      <c r="G230" s="247"/>
      <c r="H230" s="247"/>
      <c r="I230" s="247"/>
      <c r="J230" s="246"/>
      <c r="K230" s="248"/>
      <c r="L230" s="246"/>
      <c r="M230" s="154"/>
      <c r="N230" s="55"/>
      <c r="O230" s="247"/>
      <c r="P230" s="247"/>
      <c r="Q230" s="247"/>
      <c r="R230" s="247"/>
      <c r="S230" s="247"/>
      <c r="T230" s="247"/>
      <c r="U230" s="247"/>
      <c r="V230" s="247"/>
      <c r="W230" s="247"/>
      <c r="X230" s="247"/>
      <c r="Y230" s="247"/>
      <c r="Z230" s="247"/>
      <c r="AA230" s="247"/>
    </row>
    <row r="231">
      <c r="A231" s="247"/>
      <c r="B231" s="245"/>
      <c r="C231" s="246"/>
      <c r="D231" s="247"/>
      <c r="E231" s="247"/>
      <c r="F231" s="247"/>
      <c r="G231" s="247"/>
      <c r="H231" s="247"/>
      <c r="I231" s="247"/>
      <c r="J231" s="246"/>
      <c r="K231" s="248"/>
      <c r="L231" s="246"/>
      <c r="M231" s="154"/>
      <c r="N231" s="55"/>
      <c r="O231" s="247"/>
      <c r="P231" s="247"/>
      <c r="Q231" s="247"/>
      <c r="R231" s="247"/>
      <c r="S231" s="247"/>
      <c r="T231" s="247"/>
      <c r="U231" s="247"/>
      <c r="V231" s="247"/>
      <c r="W231" s="247"/>
      <c r="X231" s="247"/>
      <c r="Y231" s="247"/>
      <c r="Z231" s="247"/>
      <c r="AA231" s="247"/>
    </row>
    <row r="232">
      <c r="A232" s="247"/>
      <c r="B232" s="245"/>
      <c r="C232" s="246"/>
      <c r="D232" s="247"/>
      <c r="E232" s="247"/>
      <c r="F232" s="247"/>
      <c r="G232" s="247"/>
      <c r="H232" s="247"/>
      <c r="I232" s="247"/>
      <c r="J232" s="246"/>
      <c r="K232" s="248"/>
      <c r="L232" s="246"/>
      <c r="M232" s="154"/>
      <c r="N232" s="55"/>
      <c r="O232" s="247"/>
      <c r="P232" s="247"/>
      <c r="Q232" s="247"/>
      <c r="R232" s="247"/>
      <c r="S232" s="247"/>
      <c r="T232" s="247"/>
      <c r="U232" s="247"/>
      <c r="V232" s="247"/>
      <c r="W232" s="247"/>
      <c r="X232" s="247"/>
      <c r="Y232" s="247"/>
      <c r="Z232" s="247"/>
      <c r="AA232" s="247"/>
    </row>
    <row r="233">
      <c r="A233" s="247"/>
      <c r="B233" s="245"/>
      <c r="C233" s="246"/>
      <c r="D233" s="247"/>
      <c r="E233" s="247"/>
      <c r="F233" s="247"/>
      <c r="G233" s="247"/>
      <c r="H233" s="247"/>
      <c r="I233" s="247"/>
      <c r="J233" s="246"/>
      <c r="K233" s="248"/>
      <c r="L233" s="246"/>
      <c r="M233" s="154"/>
      <c r="N233" s="55"/>
      <c r="O233" s="247"/>
      <c r="P233" s="247"/>
      <c r="Q233" s="247"/>
      <c r="R233" s="247"/>
      <c r="S233" s="247"/>
      <c r="T233" s="247"/>
      <c r="U233" s="247"/>
      <c r="V233" s="247"/>
      <c r="W233" s="247"/>
      <c r="X233" s="247"/>
      <c r="Y233" s="247"/>
      <c r="Z233" s="247"/>
      <c r="AA233" s="247"/>
    </row>
    <row r="234">
      <c r="A234" s="247"/>
      <c r="B234" s="245"/>
      <c r="C234" s="246"/>
      <c r="D234" s="247"/>
      <c r="E234" s="247"/>
      <c r="F234" s="247"/>
      <c r="G234" s="247"/>
      <c r="H234" s="247"/>
      <c r="I234" s="247"/>
      <c r="J234" s="246"/>
      <c r="K234" s="248"/>
      <c r="L234" s="246"/>
      <c r="M234" s="154"/>
      <c r="N234" s="55"/>
      <c r="O234" s="247"/>
      <c r="P234" s="247"/>
      <c r="Q234" s="247"/>
      <c r="R234" s="247"/>
      <c r="S234" s="247"/>
      <c r="T234" s="247"/>
      <c r="U234" s="247"/>
      <c r="V234" s="247"/>
      <c r="W234" s="247"/>
      <c r="X234" s="247"/>
      <c r="Y234" s="247"/>
      <c r="Z234" s="247"/>
      <c r="AA234" s="247"/>
    </row>
    <row r="235">
      <c r="A235" s="247"/>
      <c r="B235" s="245"/>
      <c r="C235" s="246"/>
      <c r="D235" s="247"/>
      <c r="E235" s="247"/>
      <c r="F235" s="247"/>
      <c r="G235" s="247"/>
      <c r="H235" s="247"/>
      <c r="I235" s="247"/>
      <c r="J235" s="246"/>
      <c r="K235" s="248"/>
      <c r="L235" s="246"/>
      <c r="M235" s="154"/>
      <c r="N235" s="55"/>
      <c r="O235" s="247"/>
      <c r="P235" s="247"/>
      <c r="Q235" s="247"/>
      <c r="R235" s="247"/>
      <c r="S235" s="247"/>
      <c r="T235" s="247"/>
      <c r="U235" s="247"/>
      <c r="V235" s="247"/>
      <c r="W235" s="247"/>
      <c r="X235" s="247"/>
      <c r="Y235" s="247"/>
      <c r="Z235" s="247"/>
      <c r="AA235" s="247"/>
    </row>
    <row r="236">
      <c r="A236" s="247"/>
      <c r="B236" s="245"/>
      <c r="C236" s="246"/>
      <c r="D236" s="247"/>
      <c r="E236" s="247"/>
      <c r="F236" s="247"/>
      <c r="G236" s="247"/>
      <c r="H236" s="247"/>
      <c r="I236" s="247"/>
      <c r="J236" s="246"/>
      <c r="K236" s="248"/>
      <c r="L236" s="246"/>
      <c r="M236" s="154"/>
      <c r="N236" s="55"/>
      <c r="O236" s="247"/>
      <c r="P236" s="247"/>
      <c r="Q236" s="247"/>
      <c r="R236" s="247"/>
      <c r="S236" s="247"/>
      <c r="T236" s="247"/>
      <c r="U236" s="247"/>
      <c r="V236" s="247"/>
      <c r="W236" s="247"/>
      <c r="X236" s="247"/>
      <c r="Y236" s="247"/>
      <c r="Z236" s="247"/>
      <c r="AA236" s="247"/>
    </row>
    <row r="237">
      <c r="A237" s="247"/>
      <c r="B237" s="245"/>
      <c r="C237" s="246"/>
      <c r="D237" s="247"/>
      <c r="E237" s="247"/>
      <c r="F237" s="247"/>
      <c r="G237" s="247"/>
      <c r="H237" s="247"/>
      <c r="I237" s="247"/>
      <c r="J237" s="246"/>
      <c r="K237" s="248"/>
      <c r="L237" s="246"/>
      <c r="M237" s="154"/>
      <c r="N237" s="55"/>
      <c r="O237" s="247"/>
      <c r="P237" s="247"/>
      <c r="Q237" s="247"/>
      <c r="R237" s="247"/>
      <c r="S237" s="247"/>
      <c r="T237" s="247"/>
      <c r="U237" s="247"/>
      <c r="V237" s="247"/>
      <c r="W237" s="247"/>
      <c r="X237" s="247"/>
      <c r="Y237" s="247"/>
      <c r="Z237" s="247"/>
      <c r="AA237" s="247"/>
    </row>
    <row r="238">
      <c r="A238" s="247"/>
      <c r="B238" s="245"/>
      <c r="C238" s="246"/>
      <c r="D238" s="247"/>
      <c r="E238" s="247"/>
      <c r="F238" s="247"/>
      <c r="G238" s="247"/>
      <c r="H238" s="247"/>
      <c r="I238" s="247"/>
      <c r="J238" s="246"/>
      <c r="K238" s="248"/>
      <c r="L238" s="246"/>
      <c r="M238" s="154"/>
      <c r="N238" s="55"/>
      <c r="O238" s="247"/>
      <c r="P238" s="247"/>
      <c r="Q238" s="247"/>
      <c r="R238" s="247"/>
      <c r="S238" s="247"/>
      <c r="T238" s="247"/>
      <c r="U238" s="247"/>
      <c r="V238" s="247"/>
      <c r="W238" s="247"/>
      <c r="X238" s="247"/>
      <c r="Y238" s="247"/>
      <c r="Z238" s="247"/>
      <c r="AA238" s="247"/>
    </row>
    <row r="239">
      <c r="A239" s="247"/>
      <c r="B239" s="245"/>
      <c r="C239" s="246"/>
      <c r="D239" s="247"/>
      <c r="E239" s="247"/>
      <c r="F239" s="247"/>
      <c r="G239" s="247"/>
      <c r="H239" s="247"/>
      <c r="I239" s="247"/>
      <c r="J239" s="246"/>
      <c r="K239" s="248"/>
      <c r="L239" s="246"/>
      <c r="M239" s="154"/>
      <c r="N239" s="55"/>
      <c r="O239" s="247"/>
      <c r="P239" s="247"/>
      <c r="Q239" s="247"/>
      <c r="R239" s="247"/>
      <c r="S239" s="247"/>
      <c r="T239" s="247"/>
      <c r="U239" s="247"/>
      <c r="V239" s="247"/>
      <c r="W239" s="247"/>
      <c r="X239" s="247"/>
      <c r="Y239" s="247"/>
      <c r="Z239" s="247"/>
      <c r="AA239" s="247"/>
    </row>
    <row r="240">
      <c r="A240" s="247"/>
      <c r="B240" s="245"/>
      <c r="C240" s="246"/>
      <c r="D240" s="247"/>
      <c r="E240" s="247"/>
      <c r="F240" s="247"/>
      <c r="G240" s="247"/>
      <c r="H240" s="247"/>
      <c r="I240" s="247"/>
      <c r="J240" s="246"/>
      <c r="K240" s="248"/>
      <c r="L240" s="246"/>
      <c r="M240" s="154"/>
      <c r="N240" s="55"/>
      <c r="O240" s="247"/>
      <c r="P240" s="247"/>
      <c r="Q240" s="247"/>
      <c r="R240" s="247"/>
      <c r="S240" s="247"/>
      <c r="T240" s="247"/>
      <c r="U240" s="247"/>
      <c r="V240" s="247"/>
      <c r="W240" s="247"/>
      <c r="X240" s="247"/>
      <c r="Y240" s="247"/>
      <c r="Z240" s="247"/>
      <c r="AA240" s="247"/>
    </row>
    <row r="241">
      <c r="A241" s="247"/>
      <c r="B241" s="245"/>
      <c r="C241" s="246"/>
      <c r="D241" s="247"/>
      <c r="E241" s="247"/>
      <c r="F241" s="247"/>
      <c r="G241" s="247"/>
      <c r="H241" s="247"/>
      <c r="I241" s="247"/>
      <c r="J241" s="246"/>
      <c r="K241" s="248"/>
      <c r="L241" s="246"/>
      <c r="M241" s="154"/>
      <c r="N241" s="55"/>
      <c r="O241" s="247"/>
      <c r="P241" s="247"/>
      <c r="Q241" s="247"/>
      <c r="R241" s="247"/>
      <c r="S241" s="247"/>
      <c r="T241" s="247"/>
      <c r="U241" s="247"/>
      <c r="V241" s="247"/>
      <c r="W241" s="247"/>
      <c r="X241" s="247"/>
      <c r="Y241" s="247"/>
      <c r="Z241" s="247"/>
      <c r="AA241" s="247"/>
    </row>
    <row r="242">
      <c r="A242" s="247"/>
      <c r="B242" s="245"/>
      <c r="C242" s="246"/>
      <c r="D242" s="247"/>
      <c r="E242" s="247"/>
      <c r="F242" s="247"/>
      <c r="G242" s="247"/>
      <c r="H242" s="247"/>
      <c r="I242" s="247"/>
      <c r="J242" s="246"/>
      <c r="K242" s="248"/>
      <c r="L242" s="246"/>
      <c r="M242" s="154"/>
      <c r="N242" s="55"/>
      <c r="O242" s="247"/>
      <c r="P242" s="247"/>
      <c r="Q242" s="247"/>
      <c r="R242" s="247"/>
      <c r="S242" s="247"/>
      <c r="T242" s="247"/>
      <c r="U242" s="247"/>
      <c r="V242" s="247"/>
      <c r="W242" s="247"/>
      <c r="X242" s="247"/>
      <c r="Y242" s="247"/>
      <c r="Z242" s="247"/>
      <c r="AA242" s="247"/>
    </row>
    <row r="243">
      <c r="A243" s="247"/>
      <c r="B243" s="245"/>
      <c r="C243" s="246"/>
      <c r="D243" s="247"/>
      <c r="E243" s="247"/>
      <c r="F243" s="247"/>
      <c r="G243" s="247"/>
      <c r="H243" s="247"/>
      <c r="I243" s="247"/>
      <c r="J243" s="246"/>
      <c r="K243" s="248"/>
      <c r="L243" s="246"/>
      <c r="M243" s="154"/>
      <c r="N243" s="55"/>
      <c r="O243" s="247"/>
      <c r="P243" s="247"/>
      <c r="Q243" s="247"/>
      <c r="R243" s="247"/>
      <c r="S243" s="247"/>
      <c r="T243" s="247"/>
      <c r="U243" s="247"/>
      <c r="V243" s="247"/>
      <c r="W243" s="247"/>
      <c r="X243" s="247"/>
      <c r="Y243" s="247"/>
      <c r="Z243" s="247"/>
      <c r="AA243" s="247"/>
    </row>
    <row r="244">
      <c r="A244" s="247"/>
      <c r="B244" s="245"/>
      <c r="C244" s="246"/>
      <c r="D244" s="247"/>
      <c r="E244" s="247"/>
      <c r="F244" s="247"/>
      <c r="G244" s="247"/>
      <c r="H244" s="247"/>
      <c r="I244" s="247"/>
      <c r="J244" s="246"/>
      <c r="K244" s="248"/>
      <c r="L244" s="246"/>
      <c r="M244" s="154"/>
      <c r="N244" s="55"/>
      <c r="O244" s="247"/>
      <c r="P244" s="247"/>
      <c r="Q244" s="247"/>
      <c r="R244" s="247"/>
      <c r="S244" s="247"/>
      <c r="T244" s="247"/>
      <c r="U244" s="247"/>
      <c r="V244" s="247"/>
      <c r="W244" s="247"/>
      <c r="X244" s="247"/>
      <c r="Y244" s="247"/>
      <c r="Z244" s="247"/>
      <c r="AA244" s="247"/>
    </row>
    <row r="245">
      <c r="A245" s="247"/>
      <c r="B245" s="245"/>
      <c r="C245" s="246"/>
      <c r="D245" s="247"/>
      <c r="E245" s="247"/>
      <c r="F245" s="247"/>
      <c r="G245" s="247"/>
      <c r="H245" s="247"/>
      <c r="I245" s="247"/>
      <c r="J245" s="246"/>
      <c r="K245" s="248"/>
      <c r="L245" s="246"/>
      <c r="M245" s="154"/>
      <c r="N245" s="55"/>
      <c r="O245" s="247"/>
      <c r="P245" s="247"/>
      <c r="Q245" s="247"/>
      <c r="R245" s="247"/>
      <c r="S245" s="247"/>
      <c r="T245" s="247"/>
      <c r="U245" s="247"/>
      <c r="V245" s="247"/>
      <c r="W245" s="247"/>
      <c r="X245" s="247"/>
      <c r="Y245" s="247"/>
      <c r="Z245" s="247"/>
      <c r="AA245" s="247"/>
    </row>
    <row r="246">
      <c r="A246" s="247"/>
      <c r="B246" s="245"/>
      <c r="C246" s="246"/>
      <c r="D246" s="247"/>
      <c r="E246" s="247"/>
      <c r="F246" s="247"/>
      <c r="G246" s="247"/>
      <c r="H246" s="247"/>
      <c r="I246" s="247"/>
      <c r="J246" s="246"/>
      <c r="K246" s="248"/>
      <c r="L246" s="246"/>
      <c r="M246" s="154"/>
      <c r="N246" s="55"/>
      <c r="O246" s="247"/>
      <c r="P246" s="247"/>
      <c r="Q246" s="247"/>
      <c r="R246" s="247"/>
      <c r="S246" s="247"/>
      <c r="T246" s="247"/>
      <c r="U246" s="247"/>
      <c r="V246" s="247"/>
      <c r="W246" s="247"/>
      <c r="X246" s="247"/>
      <c r="Y246" s="247"/>
      <c r="Z246" s="247"/>
      <c r="AA246" s="247"/>
    </row>
    <row r="247">
      <c r="A247" s="247"/>
      <c r="B247" s="245"/>
      <c r="C247" s="246"/>
      <c r="D247" s="247"/>
      <c r="E247" s="247"/>
      <c r="F247" s="247"/>
      <c r="G247" s="247"/>
      <c r="H247" s="247"/>
      <c r="I247" s="247"/>
      <c r="J247" s="246"/>
      <c r="K247" s="248"/>
      <c r="L247" s="246"/>
      <c r="M247" s="154"/>
      <c r="N247" s="55"/>
      <c r="O247" s="247"/>
      <c r="P247" s="247"/>
      <c r="Q247" s="247"/>
      <c r="R247" s="247"/>
      <c r="S247" s="247"/>
      <c r="T247" s="247"/>
      <c r="U247" s="247"/>
      <c r="V247" s="247"/>
      <c r="W247" s="247"/>
      <c r="X247" s="247"/>
      <c r="Y247" s="247"/>
      <c r="Z247" s="247"/>
      <c r="AA247" s="247"/>
    </row>
    <row r="248">
      <c r="A248" s="247"/>
      <c r="B248" s="245"/>
      <c r="C248" s="246"/>
      <c r="D248" s="247"/>
      <c r="E248" s="247"/>
      <c r="F248" s="247"/>
      <c r="G248" s="247"/>
      <c r="H248" s="247"/>
      <c r="I248" s="247"/>
      <c r="J248" s="246"/>
      <c r="K248" s="248"/>
      <c r="L248" s="246"/>
      <c r="M248" s="154"/>
      <c r="N248" s="55"/>
      <c r="O248" s="247"/>
      <c r="P248" s="247"/>
      <c r="Q248" s="247"/>
      <c r="R248" s="247"/>
      <c r="S248" s="247"/>
      <c r="T248" s="247"/>
      <c r="U248" s="247"/>
      <c r="V248" s="247"/>
      <c r="W248" s="247"/>
      <c r="X248" s="247"/>
      <c r="Y248" s="247"/>
      <c r="Z248" s="247"/>
      <c r="AA248" s="247"/>
    </row>
    <row r="249">
      <c r="A249" s="247"/>
      <c r="B249" s="245"/>
      <c r="C249" s="246"/>
      <c r="D249" s="247"/>
      <c r="E249" s="247"/>
      <c r="F249" s="247"/>
      <c r="G249" s="247"/>
      <c r="H249" s="247"/>
      <c r="I249" s="247"/>
      <c r="J249" s="246"/>
      <c r="K249" s="248"/>
      <c r="L249" s="246"/>
      <c r="M249" s="154"/>
      <c r="N249" s="55"/>
      <c r="O249" s="247"/>
      <c r="P249" s="247"/>
      <c r="Q249" s="247"/>
      <c r="R249" s="247"/>
      <c r="S249" s="247"/>
      <c r="T249" s="247"/>
      <c r="U249" s="247"/>
      <c r="V249" s="247"/>
      <c r="W249" s="247"/>
      <c r="X249" s="247"/>
      <c r="Y249" s="247"/>
      <c r="Z249" s="247"/>
      <c r="AA249" s="247"/>
    </row>
    <row r="250">
      <c r="A250" s="247"/>
      <c r="B250" s="245"/>
      <c r="C250" s="246"/>
      <c r="D250" s="247"/>
      <c r="E250" s="247"/>
      <c r="F250" s="247"/>
      <c r="G250" s="247"/>
      <c r="H250" s="247"/>
      <c r="I250" s="247"/>
      <c r="J250" s="246"/>
      <c r="K250" s="248"/>
      <c r="L250" s="246"/>
      <c r="M250" s="154"/>
      <c r="N250" s="55"/>
      <c r="O250" s="247"/>
      <c r="P250" s="247"/>
      <c r="Q250" s="247"/>
      <c r="R250" s="247"/>
      <c r="S250" s="247"/>
      <c r="T250" s="247"/>
      <c r="U250" s="247"/>
      <c r="V250" s="247"/>
      <c r="W250" s="247"/>
      <c r="X250" s="247"/>
      <c r="Y250" s="247"/>
      <c r="Z250" s="247"/>
      <c r="AA250" s="247"/>
    </row>
    <row r="251">
      <c r="A251" s="247"/>
      <c r="B251" s="245"/>
      <c r="C251" s="246"/>
      <c r="D251" s="247"/>
      <c r="E251" s="247"/>
      <c r="F251" s="247"/>
      <c r="G251" s="247"/>
      <c r="H251" s="247"/>
      <c r="I251" s="247"/>
      <c r="J251" s="246"/>
      <c r="K251" s="248"/>
      <c r="L251" s="246"/>
      <c r="M251" s="154"/>
      <c r="N251" s="55"/>
      <c r="O251" s="247"/>
      <c r="P251" s="247"/>
      <c r="Q251" s="247"/>
      <c r="R251" s="247"/>
      <c r="S251" s="247"/>
      <c r="T251" s="247"/>
      <c r="U251" s="247"/>
      <c r="V251" s="247"/>
      <c r="W251" s="247"/>
      <c r="X251" s="247"/>
      <c r="Y251" s="247"/>
      <c r="Z251" s="247"/>
      <c r="AA251" s="247"/>
    </row>
    <row r="252">
      <c r="A252" s="247"/>
      <c r="B252" s="245"/>
      <c r="C252" s="246"/>
      <c r="D252" s="247"/>
      <c r="E252" s="247"/>
      <c r="F252" s="247"/>
      <c r="G252" s="247"/>
      <c r="H252" s="247"/>
      <c r="I252" s="247"/>
      <c r="J252" s="246"/>
      <c r="K252" s="248"/>
      <c r="L252" s="246"/>
      <c r="M252" s="154"/>
      <c r="N252" s="55"/>
      <c r="O252" s="247"/>
      <c r="P252" s="247"/>
      <c r="Q252" s="247"/>
      <c r="R252" s="247"/>
      <c r="S252" s="247"/>
      <c r="T252" s="247"/>
      <c r="U252" s="247"/>
      <c r="V252" s="247"/>
      <c r="W252" s="247"/>
      <c r="X252" s="247"/>
      <c r="Y252" s="247"/>
      <c r="Z252" s="247"/>
      <c r="AA252" s="247"/>
    </row>
    <row r="253">
      <c r="A253" s="247"/>
      <c r="B253" s="245"/>
      <c r="C253" s="246"/>
      <c r="D253" s="247"/>
      <c r="E253" s="247"/>
      <c r="F253" s="247"/>
      <c r="G253" s="247"/>
      <c r="H253" s="247"/>
      <c r="I253" s="247"/>
      <c r="J253" s="246"/>
      <c r="K253" s="248"/>
      <c r="L253" s="246"/>
      <c r="M253" s="154"/>
      <c r="N253" s="55"/>
      <c r="O253" s="247"/>
      <c r="P253" s="247"/>
      <c r="Q253" s="247"/>
      <c r="R253" s="247"/>
      <c r="S253" s="247"/>
      <c r="T253" s="247"/>
      <c r="U253" s="247"/>
      <c r="V253" s="247"/>
      <c r="W253" s="247"/>
      <c r="X253" s="247"/>
      <c r="Y253" s="247"/>
      <c r="Z253" s="247"/>
      <c r="AA253" s="247"/>
    </row>
    <row r="254">
      <c r="A254" s="247"/>
      <c r="B254" s="245"/>
      <c r="C254" s="246"/>
      <c r="D254" s="247"/>
      <c r="E254" s="247"/>
      <c r="F254" s="247"/>
      <c r="G254" s="247"/>
      <c r="H254" s="247"/>
      <c r="I254" s="247"/>
      <c r="J254" s="246"/>
      <c r="K254" s="248"/>
      <c r="L254" s="246"/>
      <c r="M254" s="154"/>
      <c r="N254" s="55"/>
      <c r="O254" s="247"/>
      <c r="P254" s="247"/>
      <c r="Q254" s="247"/>
      <c r="R254" s="247"/>
      <c r="S254" s="247"/>
      <c r="T254" s="247"/>
      <c r="U254" s="247"/>
      <c r="V254" s="247"/>
      <c r="W254" s="247"/>
      <c r="X254" s="247"/>
      <c r="Y254" s="247"/>
      <c r="Z254" s="247"/>
      <c r="AA254" s="247"/>
    </row>
    <row r="255">
      <c r="A255" s="247"/>
      <c r="B255" s="245"/>
      <c r="C255" s="246"/>
      <c r="D255" s="247"/>
      <c r="E255" s="247"/>
      <c r="F255" s="247"/>
      <c r="G255" s="247"/>
      <c r="H255" s="247"/>
      <c r="I255" s="247"/>
      <c r="J255" s="246"/>
      <c r="K255" s="248"/>
      <c r="L255" s="246"/>
      <c r="M255" s="154"/>
      <c r="N255" s="55"/>
      <c r="O255" s="247"/>
      <c r="P255" s="247"/>
      <c r="Q255" s="247"/>
      <c r="R255" s="247"/>
      <c r="S255" s="247"/>
      <c r="T255" s="247"/>
      <c r="U255" s="247"/>
      <c r="V255" s="247"/>
      <c r="W255" s="247"/>
      <c r="X255" s="247"/>
      <c r="Y255" s="247"/>
      <c r="Z255" s="247"/>
      <c r="AA255" s="247"/>
    </row>
    <row r="256">
      <c r="A256" s="247"/>
      <c r="B256" s="245"/>
      <c r="C256" s="246"/>
      <c r="D256" s="247"/>
      <c r="E256" s="247"/>
      <c r="F256" s="247"/>
      <c r="G256" s="247"/>
      <c r="H256" s="247"/>
      <c r="I256" s="247"/>
      <c r="J256" s="246"/>
      <c r="K256" s="248"/>
      <c r="L256" s="246"/>
      <c r="M256" s="154"/>
      <c r="N256" s="55"/>
      <c r="O256" s="247"/>
      <c r="P256" s="247"/>
      <c r="Q256" s="247"/>
      <c r="R256" s="247"/>
      <c r="S256" s="247"/>
      <c r="T256" s="247"/>
      <c r="U256" s="247"/>
      <c r="V256" s="247"/>
      <c r="W256" s="247"/>
      <c r="X256" s="247"/>
      <c r="Y256" s="247"/>
      <c r="Z256" s="247"/>
      <c r="AA256" s="247"/>
    </row>
    <row r="257">
      <c r="A257" s="247"/>
      <c r="B257" s="245"/>
      <c r="C257" s="246"/>
      <c r="D257" s="247"/>
      <c r="E257" s="247"/>
      <c r="F257" s="247"/>
      <c r="G257" s="247"/>
      <c r="H257" s="247"/>
      <c r="I257" s="247"/>
      <c r="J257" s="246"/>
      <c r="K257" s="248"/>
      <c r="L257" s="246"/>
      <c r="M257" s="154"/>
      <c r="N257" s="55"/>
      <c r="O257" s="247"/>
      <c r="P257" s="247"/>
      <c r="Q257" s="247"/>
      <c r="R257" s="247"/>
      <c r="S257" s="247"/>
      <c r="T257" s="247"/>
      <c r="U257" s="247"/>
      <c r="V257" s="247"/>
      <c r="W257" s="247"/>
      <c r="X257" s="247"/>
      <c r="Y257" s="247"/>
      <c r="Z257" s="247"/>
      <c r="AA257" s="247"/>
    </row>
    <row r="258">
      <c r="A258" s="247"/>
      <c r="B258" s="245"/>
      <c r="C258" s="246"/>
      <c r="D258" s="247"/>
      <c r="E258" s="247"/>
      <c r="F258" s="247"/>
      <c r="G258" s="247"/>
      <c r="H258" s="247"/>
      <c r="I258" s="247"/>
      <c r="J258" s="246"/>
      <c r="K258" s="248"/>
      <c r="L258" s="246"/>
      <c r="M258" s="154"/>
      <c r="N258" s="55"/>
      <c r="O258" s="247"/>
      <c r="P258" s="247"/>
      <c r="Q258" s="247"/>
      <c r="R258" s="247"/>
      <c r="S258" s="247"/>
      <c r="T258" s="247"/>
      <c r="U258" s="247"/>
      <c r="V258" s="247"/>
      <c r="W258" s="247"/>
      <c r="X258" s="247"/>
      <c r="Y258" s="247"/>
      <c r="Z258" s="247"/>
      <c r="AA258" s="247"/>
    </row>
    <row r="259">
      <c r="A259" s="247"/>
      <c r="B259" s="245"/>
      <c r="C259" s="246"/>
      <c r="D259" s="247"/>
      <c r="E259" s="247"/>
      <c r="F259" s="247"/>
      <c r="G259" s="247"/>
      <c r="H259" s="247"/>
      <c r="I259" s="247"/>
      <c r="J259" s="246"/>
      <c r="K259" s="248"/>
      <c r="L259" s="246"/>
      <c r="M259" s="154"/>
      <c r="N259" s="55"/>
      <c r="O259" s="247"/>
      <c r="P259" s="247"/>
      <c r="Q259" s="247"/>
      <c r="R259" s="247"/>
      <c r="S259" s="247"/>
      <c r="T259" s="247"/>
      <c r="U259" s="247"/>
      <c r="V259" s="247"/>
      <c r="W259" s="247"/>
      <c r="X259" s="247"/>
      <c r="Y259" s="247"/>
      <c r="Z259" s="247"/>
      <c r="AA259" s="247"/>
    </row>
    <row r="260">
      <c r="A260" s="247"/>
      <c r="B260" s="245"/>
      <c r="C260" s="246"/>
      <c r="D260" s="247"/>
      <c r="E260" s="247"/>
      <c r="F260" s="247"/>
      <c r="G260" s="247"/>
      <c r="H260" s="247"/>
      <c r="I260" s="247"/>
      <c r="J260" s="246"/>
      <c r="K260" s="248"/>
      <c r="L260" s="246"/>
      <c r="M260" s="154"/>
      <c r="N260" s="55"/>
      <c r="O260" s="247"/>
      <c r="P260" s="247"/>
      <c r="Q260" s="247"/>
      <c r="R260" s="247"/>
      <c r="S260" s="247"/>
      <c r="T260" s="247"/>
      <c r="U260" s="247"/>
      <c r="V260" s="247"/>
      <c r="W260" s="247"/>
      <c r="X260" s="247"/>
      <c r="Y260" s="247"/>
      <c r="Z260" s="247"/>
      <c r="AA260" s="247"/>
    </row>
    <row r="261">
      <c r="A261" s="247"/>
      <c r="B261" s="245"/>
      <c r="C261" s="246"/>
      <c r="D261" s="247"/>
      <c r="E261" s="247"/>
      <c r="F261" s="247"/>
      <c r="G261" s="247"/>
      <c r="H261" s="247"/>
      <c r="I261" s="247"/>
      <c r="J261" s="246"/>
      <c r="K261" s="248"/>
      <c r="L261" s="246"/>
      <c r="M261" s="154"/>
      <c r="N261" s="55"/>
      <c r="O261" s="247"/>
      <c r="P261" s="247"/>
      <c r="Q261" s="247"/>
      <c r="R261" s="247"/>
      <c r="S261" s="247"/>
      <c r="T261" s="247"/>
      <c r="U261" s="247"/>
      <c r="V261" s="247"/>
      <c r="W261" s="247"/>
      <c r="X261" s="247"/>
      <c r="Y261" s="247"/>
      <c r="Z261" s="247"/>
      <c r="AA261" s="247"/>
    </row>
    <row r="262">
      <c r="A262" s="247"/>
      <c r="B262" s="245"/>
      <c r="C262" s="246"/>
      <c r="D262" s="247"/>
      <c r="E262" s="247"/>
      <c r="F262" s="247"/>
      <c r="G262" s="247"/>
      <c r="H262" s="247"/>
      <c r="I262" s="247"/>
      <c r="J262" s="246"/>
      <c r="K262" s="248"/>
      <c r="L262" s="246"/>
      <c r="M262" s="154"/>
      <c r="N262" s="55"/>
      <c r="O262" s="247"/>
      <c r="P262" s="247"/>
      <c r="Q262" s="247"/>
      <c r="R262" s="247"/>
      <c r="S262" s="247"/>
      <c r="T262" s="247"/>
      <c r="U262" s="247"/>
      <c r="V262" s="247"/>
      <c r="W262" s="247"/>
      <c r="X262" s="247"/>
      <c r="Y262" s="247"/>
      <c r="Z262" s="247"/>
      <c r="AA262" s="247"/>
    </row>
    <row r="263">
      <c r="A263" s="247"/>
      <c r="B263" s="245"/>
      <c r="C263" s="246"/>
      <c r="D263" s="247"/>
      <c r="E263" s="247"/>
      <c r="F263" s="247"/>
      <c r="G263" s="247"/>
      <c r="H263" s="247"/>
      <c r="I263" s="247"/>
      <c r="J263" s="246"/>
      <c r="K263" s="248"/>
      <c r="L263" s="246"/>
      <c r="M263" s="154"/>
      <c r="N263" s="55"/>
      <c r="O263" s="247"/>
      <c r="P263" s="247"/>
      <c r="Q263" s="247"/>
      <c r="R263" s="247"/>
      <c r="S263" s="247"/>
      <c r="T263" s="247"/>
      <c r="U263" s="247"/>
      <c r="V263" s="247"/>
      <c r="W263" s="247"/>
      <c r="X263" s="247"/>
      <c r="Y263" s="247"/>
      <c r="Z263" s="247"/>
      <c r="AA263" s="247"/>
    </row>
    <row r="264">
      <c r="A264" s="247"/>
      <c r="B264" s="245"/>
      <c r="C264" s="246"/>
      <c r="D264" s="247"/>
      <c r="E264" s="247"/>
      <c r="F264" s="247"/>
      <c r="G264" s="247"/>
      <c r="H264" s="247"/>
      <c r="I264" s="247"/>
      <c r="J264" s="246"/>
      <c r="K264" s="248"/>
      <c r="L264" s="246"/>
      <c r="M264" s="154"/>
      <c r="N264" s="55"/>
      <c r="O264" s="247"/>
      <c r="P264" s="247"/>
      <c r="Q264" s="247"/>
      <c r="R264" s="247"/>
      <c r="S264" s="247"/>
      <c r="T264" s="247"/>
      <c r="U264" s="247"/>
      <c r="V264" s="247"/>
      <c r="W264" s="247"/>
      <c r="X264" s="247"/>
      <c r="Y264" s="247"/>
      <c r="Z264" s="247"/>
      <c r="AA264" s="247"/>
    </row>
    <row r="265">
      <c r="A265" s="247"/>
      <c r="B265" s="245"/>
      <c r="C265" s="246"/>
      <c r="D265" s="247"/>
      <c r="E265" s="247"/>
      <c r="F265" s="247"/>
      <c r="G265" s="247"/>
      <c r="H265" s="247"/>
      <c r="I265" s="247"/>
      <c r="J265" s="246"/>
      <c r="K265" s="248"/>
      <c r="L265" s="246"/>
      <c r="M265" s="154"/>
      <c r="N265" s="55"/>
      <c r="O265" s="247"/>
      <c r="P265" s="247"/>
      <c r="Q265" s="247"/>
      <c r="R265" s="247"/>
      <c r="S265" s="247"/>
      <c r="T265" s="247"/>
      <c r="U265" s="247"/>
      <c r="V265" s="247"/>
      <c r="W265" s="247"/>
      <c r="X265" s="247"/>
      <c r="Y265" s="247"/>
      <c r="Z265" s="247"/>
      <c r="AA265" s="247"/>
    </row>
    <row r="266">
      <c r="A266" s="247"/>
      <c r="B266" s="245"/>
      <c r="C266" s="246"/>
      <c r="D266" s="247"/>
      <c r="E266" s="247"/>
      <c r="F266" s="247"/>
      <c r="G266" s="247"/>
      <c r="H266" s="247"/>
      <c r="I266" s="247"/>
      <c r="J266" s="246"/>
      <c r="K266" s="248"/>
      <c r="L266" s="246"/>
      <c r="M266" s="154"/>
      <c r="N266" s="55"/>
      <c r="O266" s="247"/>
      <c r="P266" s="247"/>
      <c r="Q266" s="247"/>
      <c r="R266" s="247"/>
      <c r="S266" s="247"/>
      <c r="T266" s="247"/>
      <c r="U266" s="247"/>
      <c r="V266" s="247"/>
      <c r="W266" s="247"/>
      <c r="X266" s="247"/>
      <c r="Y266" s="247"/>
      <c r="Z266" s="247"/>
      <c r="AA266" s="247"/>
    </row>
    <row r="267">
      <c r="A267" s="247"/>
      <c r="B267" s="245"/>
      <c r="C267" s="246"/>
      <c r="D267" s="247"/>
      <c r="E267" s="247"/>
      <c r="F267" s="247"/>
      <c r="G267" s="247"/>
      <c r="H267" s="247"/>
      <c r="I267" s="247"/>
      <c r="J267" s="246"/>
      <c r="K267" s="248"/>
      <c r="L267" s="246"/>
      <c r="M267" s="154"/>
      <c r="N267" s="55"/>
      <c r="O267" s="247"/>
      <c r="P267" s="247"/>
      <c r="Q267" s="247"/>
      <c r="R267" s="247"/>
      <c r="S267" s="247"/>
      <c r="T267" s="247"/>
      <c r="U267" s="247"/>
      <c r="V267" s="247"/>
      <c r="W267" s="247"/>
      <c r="X267" s="247"/>
      <c r="Y267" s="247"/>
      <c r="Z267" s="247"/>
      <c r="AA267" s="247"/>
    </row>
    <row r="268">
      <c r="A268" s="247"/>
      <c r="B268" s="245"/>
      <c r="C268" s="246"/>
      <c r="D268" s="247"/>
      <c r="E268" s="247"/>
      <c r="F268" s="247"/>
      <c r="G268" s="247"/>
      <c r="H268" s="247"/>
      <c r="I268" s="247"/>
      <c r="J268" s="246"/>
      <c r="K268" s="248"/>
      <c r="L268" s="246"/>
      <c r="M268" s="154"/>
      <c r="N268" s="55"/>
      <c r="O268" s="247"/>
      <c r="P268" s="247"/>
      <c r="Q268" s="247"/>
      <c r="R268" s="247"/>
      <c r="S268" s="247"/>
      <c r="T268" s="247"/>
      <c r="U268" s="247"/>
      <c r="V268" s="247"/>
      <c r="W268" s="247"/>
      <c r="X268" s="247"/>
      <c r="Y268" s="247"/>
      <c r="Z268" s="247"/>
      <c r="AA268" s="247"/>
    </row>
    <row r="269">
      <c r="A269" s="247"/>
      <c r="B269" s="245"/>
      <c r="C269" s="246"/>
      <c r="D269" s="247"/>
      <c r="E269" s="247"/>
      <c r="F269" s="247"/>
      <c r="G269" s="247"/>
      <c r="H269" s="247"/>
      <c r="I269" s="247"/>
      <c r="J269" s="246"/>
      <c r="K269" s="248"/>
      <c r="L269" s="246"/>
      <c r="M269" s="154"/>
      <c r="N269" s="55"/>
      <c r="O269" s="247"/>
      <c r="P269" s="247"/>
      <c r="Q269" s="247"/>
      <c r="R269" s="247"/>
      <c r="S269" s="247"/>
      <c r="T269" s="247"/>
      <c r="U269" s="247"/>
      <c r="V269" s="247"/>
      <c r="W269" s="247"/>
      <c r="X269" s="247"/>
      <c r="Y269" s="247"/>
      <c r="Z269" s="247"/>
      <c r="AA269" s="247"/>
    </row>
    <row r="270">
      <c r="A270" s="247"/>
      <c r="B270" s="245"/>
      <c r="C270" s="246"/>
      <c r="D270" s="247"/>
      <c r="E270" s="247"/>
      <c r="F270" s="247"/>
      <c r="G270" s="247"/>
      <c r="H270" s="247"/>
      <c r="I270" s="247"/>
      <c r="J270" s="246"/>
      <c r="K270" s="248"/>
      <c r="L270" s="246"/>
      <c r="M270" s="154"/>
      <c r="N270" s="55"/>
      <c r="O270" s="247"/>
      <c r="P270" s="247"/>
      <c r="Q270" s="247"/>
      <c r="R270" s="247"/>
      <c r="S270" s="247"/>
      <c r="T270" s="247"/>
      <c r="U270" s="247"/>
      <c r="V270" s="247"/>
      <c r="W270" s="247"/>
      <c r="X270" s="247"/>
      <c r="Y270" s="247"/>
      <c r="Z270" s="247"/>
      <c r="AA270" s="247"/>
    </row>
    <row r="271">
      <c r="A271" s="247"/>
      <c r="B271" s="245"/>
      <c r="C271" s="246"/>
      <c r="D271" s="247"/>
      <c r="E271" s="247"/>
      <c r="F271" s="247"/>
      <c r="G271" s="247"/>
      <c r="H271" s="247"/>
      <c r="I271" s="247"/>
      <c r="J271" s="246"/>
      <c r="K271" s="248"/>
      <c r="L271" s="246"/>
      <c r="M271" s="154"/>
      <c r="N271" s="55"/>
      <c r="O271" s="247"/>
      <c r="P271" s="247"/>
      <c r="Q271" s="247"/>
      <c r="R271" s="247"/>
      <c r="S271" s="247"/>
      <c r="T271" s="247"/>
      <c r="U271" s="247"/>
      <c r="V271" s="247"/>
      <c r="W271" s="247"/>
      <c r="X271" s="247"/>
      <c r="Y271" s="247"/>
      <c r="Z271" s="247"/>
      <c r="AA271" s="247"/>
    </row>
    <row r="272">
      <c r="A272" s="247"/>
      <c r="B272" s="245"/>
      <c r="C272" s="246"/>
      <c r="D272" s="247"/>
      <c r="E272" s="247"/>
      <c r="F272" s="247"/>
      <c r="G272" s="247"/>
      <c r="H272" s="247"/>
      <c r="I272" s="247"/>
      <c r="J272" s="246"/>
      <c r="K272" s="248"/>
      <c r="L272" s="246"/>
      <c r="M272" s="154"/>
      <c r="N272" s="55"/>
      <c r="O272" s="247"/>
      <c r="P272" s="247"/>
      <c r="Q272" s="247"/>
      <c r="R272" s="247"/>
      <c r="S272" s="247"/>
      <c r="T272" s="247"/>
      <c r="U272" s="247"/>
      <c r="V272" s="247"/>
      <c r="W272" s="247"/>
      <c r="X272" s="247"/>
      <c r="Y272" s="247"/>
      <c r="Z272" s="247"/>
      <c r="AA272" s="247"/>
    </row>
    <row r="273">
      <c r="A273" s="247"/>
      <c r="B273" s="245"/>
      <c r="C273" s="246"/>
      <c r="D273" s="247"/>
      <c r="E273" s="247"/>
      <c r="F273" s="247"/>
      <c r="G273" s="247"/>
      <c r="H273" s="247"/>
      <c r="I273" s="247"/>
      <c r="J273" s="246"/>
      <c r="K273" s="248"/>
      <c r="L273" s="246"/>
      <c r="M273" s="154"/>
      <c r="N273" s="55"/>
      <c r="O273" s="247"/>
      <c r="P273" s="247"/>
      <c r="Q273" s="247"/>
      <c r="R273" s="247"/>
      <c r="S273" s="247"/>
      <c r="T273" s="247"/>
      <c r="U273" s="247"/>
      <c r="V273" s="247"/>
      <c r="W273" s="247"/>
      <c r="X273" s="247"/>
      <c r="Y273" s="247"/>
      <c r="Z273" s="247"/>
      <c r="AA273" s="247"/>
    </row>
    <row r="274">
      <c r="A274" s="247"/>
      <c r="B274" s="245"/>
      <c r="C274" s="246"/>
      <c r="D274" s="247"/>
      <c r="E274" s="247"/>
      <c r="F274" s="247"/>
      <c r="G274" s="247"/>
      <c r="H274" s="247"/>
      <c r="I274" s="247"/>
      <c r="J274" s="246"/>
      <c r="K274" s="248"/>
      <c r="L274" s="246"/>
      <c r="M274" s="154"/>
      <c r="N274" s="55"/>
      <c r="O274" s="247"/>
      <c r="P274" s="247"/>
      <c r="Q274" s="247"/>
      <c r="R274" s="247"/>
      <c r="S274" s="247"/>
      <c r="T274" s="247"/>
      <c r="U274" s="247"/>
      <c r="V274" s="247"/>
      <c r="W274" s="247"/>
      <c r="X274" s="247"/>
      <c r="Y274" s="247"/>
      <c r="Z274" s="247"/>
      <c r="AA274" s="247"/>
    </row>
    <row r="275">
      <c r="A275" s="247"/>
      <c r="B275" s="245"/>
      <c r="C275" s="246"/>
      <c r="D275" s="247"/>
      <c r="E275" s="247"/>
      <c r="F275" s="247"/>
      <c r="G275" s="247"/>
      <c r="H275" s="247"/>
      <c r="I275" s="247"/>
      <c r="J275" s="246"/>
      <c r="K275" s="248"/>
      <c r="L275" s="246"/>
      <c r="M275" s="154"/>
      <c r="N275" s="55"/>
      <c r="O275" s="247"/>
      <c r="P275" s="247"/>
      <c r="Q275" s="247"/>
      <c r="R275" s="247"/>
      <c r="S275" s="247"/>
      <c r="T275" s="247"/>
      <c r="U275" s="247"/>
      <c r="V275" s="247"/>
      <c r="W275" s="247"/>
      <c r="X275" s="247"/>
      <c r="Y275" s="247"/>
      <c r="Z275" s="247"/>
      <c r="AA275" s="247"/>
    </row>
    <row r="276">
      <c r="A276" s="247"/>
      <c r="B276" s="245"/>
      <c r="C276" s="246"/>
      <c r="D276" s="247"/>
      <c r="E276" s="247"/>
      <c r="F276" s="247"/>
      <c r="G276" s="247"/>
      <c r="H276" s="247"/>
      <c r="I276" s="247"/>
      <c r="J276" s="246"/>
      <c r="K276" s="248"/>
      <c r="L276" s="246"/>
      <c r="M276" s="154"/>
      <c r="N276" s="55"/>
      <c r="O276" s="247"/>
      <c r="P276" s="247"/>
      <c r="Q276" s="247"/>
      <c r="R276" s="247"/>
      <c r="S276" s="247"/>
      <c r="T276" s="247"/>
      <c r="U276" s="247"/>
      <c r="V276" s="247"/>
      <c r="W276" s="247"/>
      <c r="X276" s="247"/>
      <c r="Y276" s="247"/>
      <c r="Z276" s="247"/>
      <c r="AA276" s="247"/>
    </row>
    <row r="277">
      <c r="A277" s="247"/>
      <c r="B277" s="245"/>
      <c r="C277" s="246"/>
      <c r="D277" s="247"/>
      <c r="E277" s="247"/>
      <c r="F277" s="247"/>
      <c r="G277" s="247"/>
      <c r="H277" s="247"/>
      <c r="I277" s="247"/>
      <c r="J277" s="246"/>
      <c r="K277" s="248"/>
      <c r="L277" s="246"/>
      <c r="M277" s="154"/>
      <c r="N277" s="55"/>
      <c r="O277" s="247"/>
      <c r="P277" s="247"/>
      <c r="Q277" s="247"/>
      <c r="R277" s="247"/>
      <c r="S277" s="247"/>
      <c r="T277" s="247"/>
      <c r="U277" s="247"/>
      <c r="V277" s="247"/>
      <c r="W277" s="247"/>
      <c r="X277" s="247"/>
      <c r="Y277" s="247"/>
      <c r="Z277" s="247"/>
      <c r="AA277" s="247"/>
    </row>
    <row r="278">
      <c r="A278" s="247"/>
      <c r="B278" s="245"/>
      <c r="C278" s="246"/>
      <c r="D278" s="247"/>
      <c r="E278" s="247"/>
      <c r="F278" s="247"/>
      <c r="G278" s="247"/>
      <c r="H278" s="247"/>
      <c r="I278" s="247"/>
      <c r="J278" s="246"/>
      <c r="K278" s="248"/>
      <c r="L278" s="246"/>
      <c r="M278" s="154"/>
      <c r="N278" s="55"/>
      <c r="O278" s="247"/>
      <c r="P278" s="247"/>
      <c r="Q278" s="247"/>
      <c r="R278" s="247"/>
      <c r="S278" s="247"/>
      <c r="T278" s="247"/>
      <c r="U278" s="247"/>
      <c r="V278" s="247"/>
      <c r="W278" s="247"/>
      <c r="X278" s="247"/>
      <c r="Y278" s="247"/>
      <c r="Z278" s="247"/>
      <c r="AA278" s="247"/>
    </row>
    <row r="279">
      <c r="A279" s="247"/>
      <c r="B279" s="245"/>
      <c r="C279" s="246"/>
      <c r="D279" s="247"/>
      <c r="E279" s="247"/>
      <c r="F279" s="247"/>
      <c r="G279" s="247"/>
      <c r="H279" s="247"/>
      <c r="I279" s="247"/>
      <c r="J279" s="246"/>
      <c r="K279" s="248"/>
      <c r="L279" s="246"/>
      <c r="M279" s="154"/>
      <c r="N279" s="55"/>
      <c r="O279" s="247"/>
      <c r="P279" s="247"/>
      <c r="Q279" s="247"/>
      <c r="R279" s="247"/>
      <c r="S279" s="247"/>
      <c r="T279" s="247"/>
      <c r="U279" s="247"/>
      <c r="V279" s="247"/>
      <c r="W279" s="247"/>
      <c r="X279" s="247"/>
      <c r="Y279" s="247"/>
      <c r="Z279" s="247"/>
      <c r="AA279" s="247"/>
    </row>
    <row r="280">
      <c r="A280" s="247"/>
      <c r="B280" s="245"/>
      <c r="C280" s="246"/>
      <c r="D280" s="247"/>
      <c r="E280" s="247"/>
      <c r="F280" s="247"/>
      <c r="G280" s="247"/>
      <c r="H280" s="247"/>
      <c r="I280" s="247"/>
      <c r="J280" s="246"/>
      <c r="K280" s="248"/>
      <c r="L280" s="246"/>
      <c r="M280" s="154"/>
      <c r="N280" s="55"/>
      <c r="O280" s="247"/>
      <c r="P280" s="247"/>
      <c r="Q280" s="247"/>
      <c r="R280" s="247"/>
      <c r="S280" s="247"/>
      <c r="T280" s="247"/>
      <c r="U280" s="247"/>
      <c r="V280" s="247"/>
      <c r="W280" s="247"/>
      <c r="X280" s="247"/>
      <c r="Y280" s="247"/>
      <c r="Z280" s="247"/>
      <c r="AA280" s="247"/>
    </row>
    <row r="281">
      <c r="A281" s="247"/>
      <c r="B281" s="245"/>
      <c r="C281" s="246"/>
      <c r="D281" s="247"/>
      <c r="E281" s="247"/>
      <c r="F281" s="247"/>
      <c r="G281" s="247"/>
      <c r="H281" s="247"/>
      <c r="I281" s="247"/>
      <c r="J281" s="246"/>
      <c r="K281" s="248"/>
      <c r="L281" s="246"/>
      <c r="M281" s="154"/>
      <c r="N281" s="55"/>
      <c r="O281" s="247"/>
      <c r="P281" s="247"/>
      <c r="Q281" s="247"/>
      <c r="R281" s="247"/>
      <c r="S281" s="247"/>
      <c r="T281" s="247"/>
      <c r="U281" s="247"/>
      <c r="V281" s="247"/>
      <c r="W281" s="247"/>
      <c r="X281" s="247"/>
      <c r="Y281" s="247"/>
      <c r="Z281" s="247"/>
      <c r="AA281" s="247"/>
    </row>
    <row r="282">
      <c r="A282" s="247"/>
      <c r="B282" s="245"/>
      <c r="C282" s="246"/>
      <c r="D282" s="247"/>
      <c r="E282" s="247"/>
      <c r="F282" s="247"/>
      <c r="G282" s="247"/>
      <c r="H282" s="247"/>
      <c r="I282" s="247"/>
      <c r="J282" s="246"/>
      <c r="K282" s="248"/>
      <c r="L282" s="246"/>
      <c r="M282" s="154"/>
      <c r="N282" s="55"/>
      <c r="O282" s="247"/>
      <c r="P282" s="247"/>
      <c r="Q282" s="247"/>
      <c r="R282" s="247"/>
      <c r="S282" s="247"/>
      <c r="T282" s="247"/>
      <c r="U282" s="247"/>
      <c r="V282" s="247"/>
      <c r="W282" s="247"/>
      <c r="X282" s="247"/>
      <c r="Y282" s="247"/>
      <c r="Z282" s="247"/>
      <c r="AA282" s="247"/>
    </row>
    <row r="283">
      <c r="A283" s="247"/>
      <c r="B283" s="245"/>
      <c r="C283" s="246"/>
      <c r="D283" s="247"/>
      <c r="E283" s="247"/>
      <c r="F283" s="247"/>
      <c r="G283" s="247"/>
      <c r="H283" s="247"/>
      <c r="I283" s="247"/>
      <c r="J283" s="246"/>
      <c r="K283" s="248"/>
      <c r="L283" s="246"/>
      <c r="M283" s="154"/>
      <c r="N283" s="55"/>
      <c r="O283" s="247"/>
      <c r="P283" s="247"/>
      <c r="Q283" s="247"/>
      <c r="R283" s="247"/>
      <c r="S283" s="247"/>
      <c r="T283" s="247"/>
      <c r="U283" s="247"/>
      <c r="V283" s="247"/>
      <c r="W283" s="247"/>
      <c r="X283" s="247"/>
      <c r="Y283" s="247"/>
      <c r="Z283" s="247"/>
      <c r="AA283" s="247"/>
    </row>
    <row r="284">
      <c r="A284" s="247"/>
      <c r="B284" s="245"/>
      <c r="C284" s="246"/>
      <c r="D284" s="247"/>
      <c r="E284" s="247"/>
      <c r="F284" s="247"/>
      <c r="G284" s="247"/>
      <c r="H284" s="247"/>
      <c r="I284" s="247"/>
      <c r="J284" s="246"/>
      <c r="K284" s="248"/>
      <c r="L284" s="246"/>
      <c r="M284" s="154"/>
      <c r="N284" s="55"/>
      <c r="O284" s="247"/>
      <c r="P284" s="247"/>
      <c r="Q284" s="247"/>
      <c r="R284" s="247"/>
      <c r="S284" s="247"/>
      <c r="T284" s="247"/>
      <c r="U284" s="247"/>
      <c r="V284" s="247"/>
      <c r="W284" s="247"/>
      <c r="X284" s="247"/>
      <c r="Y284" s="247"/>
      <c r="Z284" s="247"/>
      <c r="AA284" s="247"/>
    </row>
    <row r="285">
      <c r="A285" s="247"/>
      <c r="B285" s="245"/>
      <c r="C285" s="246"/>
      <c r="D285" s="247"/>
      <c r="E285" s="247"/>
      <c r="F285" s="247"/>
      <c r="G285" s="247"/>
      <c r="H285" s="247"/>
      <c r="I285" s="247"/>
      <c r="J285" s="246"/>
      <c r="K285" s="248"/>
      <c r="L285" s="246"/>
      <c r="M285" s="154"/>
      <c r="N285" s="55"/>
      <c r="O285" s="247"/>
      <c r="P285" s="247"/>
      <c r="Q285" s="247"/>
      <c r="R285" s="247"/>
      <c r="S285" s="247"/>
      <c r="T285" s="247"/>
      <c r="U285" s="247"/>
      <c r="V285" s="247"/>
      <c r="W285" s="247"/>
      <c r="X285" s="247"/>
      <c r="Y285" s="247"/>
      <c r="Z285" s="247"/>
      <c r="AA285" s="247"/>
    </row>
    <row r="286">
      <c r="A286" s="247"/>
      <c r="B286" s="245"/>
      <c r="C286" s="246"/>
      <c r="D286" s="247"/>
      <c r="E286" s="247"/>
      <c r="F286" s="247"/>
      <c r="G286" s="247"/>
      <c r="H286" s="247"/>
      <c r="I286" s="247"/>
      <c r="J286" s="246"/>
      <c r="K286" s="248"/>
      <c r="L286" s="246"/>
      <c r="M286" s="154"/>
      <c r="N286" s="55"/>
      <c r="O286" s="247"/>
      <c r="P286" s="247"/>
      <c r="Q286" s="247"/>
      <c r="R286" s="247"/>
      <c r="S286" s="247"/>
      <c r="T286" s="247"/>
      <c r="U286" s="247"/>
      <c r="V286" s="247"/>
      <c r="W286" s="247"/>
      <c r="X286" s="247"/>
      <c r="Y286" s="247"/>
      <c r="Z286" s="247"/>
      <c r="AA286" s="247"/>
    </row>
    <row r="287">
      <c r="A287" s="247"/>
      <c r="B287" s="245"/>
      <c r="C287" s="246"/>
      <c r="D287" s="247"/>
      <c r="E287" s="247"/>
      <c r="F287" s="247"/>
      <c r="G287" s="247"/>
      <c r="H287" s="247"/>
      <c r="I287" s="247"/>
      <c r="J287" s="246"/>
      <c r="K287" s="248"/>
      <c r="L287" s="246"/>
      <c r="M287" s="154"/>
      <c r="N287" s="55"/>
      <c r="O287" s="247"/>
      <c r="P287" s="247"/>
      <c r="Q287" s="247"/>
      <c r="R287" s="247"/>
      <c r="S287" s="247"/>
      <c r="T287" s="247"/>
      <c r="U287" s="247"/>
      <c r="V287" s="247"/>
      <c r="W287" s="247"/>
      <c r="X287" s="247"/>
      <c r="Y287" s="247"/>
      <c r="Z287" s="247"/>
      <c r="AA287" s="247"/>
    </row>
    <row r="288">
      <c r="A288" s="247"/>
      <c r="B288" s="245"/>
      <c r="C288" s="246"/>
      <c r="D288" s="247"/>
      <c r="E288" s="247"/>
      <c r="F288" s="247"/>
      <c r="G288" s="247"/>
      <c r="H288" s="247"/>
      <c r="I288" s="247"/>
      <c r="J288" s="246"/>
      <c r="K288" s="248"/>
      <c r="L288" s="246"/>
      <c r="M288" s="154"/>
      <c r="N288" s="55"/>
      <c r="O288" s="247"/>
      <c r="P288" s="247"/>
      <c r="Q288" s="247"/>
      <c r="R288" s="247"/>
      <c r="S288" s="247"/>
      <c r="T288" s="247"/>
      <c r="U288" s="247"/>
      <c r="V288" s="247"/>
      <c r="W288" s="247"/>
      <c r="X288" s="247"/>
      <c r="Y288" s="247"/>
      <c r="Z288" s="247"/>
      <c r="AA288" s="247"/>
    </row>
    <row r="289">
      <c r="A289" s="247"/>
      <c r="B289" s="245"/>
      <c r="C289" s="246"/>
      <c r="D289" s="247"/>
      <c r="E289" s="247"/>
      <c r="F289" s="247"/>
      <c r="G289" s="247"/>
      <c r="H289" s="247"/>
      <c r="I289" s="247"/>
      <c r="J289" s="246"/>
      <c r="K289" s="248"/>
      <c r="L289" s="246"/>
      <c r="M289" s="154"/>
      <c r="N289" s="55"/>
      <c r="O289" s="247"/>
      <c r="P289" s="247"/>
      <c r="Q289" s="247"/>
      <c r="R289" s="247"/>
      <c r="S289" s="247"/>
      <c r="T289" s="247"/>
      <c r="U289" s="247"/>
      <c r="V289" s="247"/>
      <c r="W289" s="247"/>
      <c r="X289" s="247"/>
      <c r="Y289" s="247"/>
      <c r="Z289" s="247"/>
      <c r="AA289" s="247"/>
    </row>
    <row r="290">
      <c r="A290" s="247"/>
      <c r="B290" s="245"/>
      <c r="C290" s="246"/>
      <c r="D290" s="247"/>
      <c r="E290" s="247"/>
      <c r="F290" s="247"/>
      <c r="G290" s="247"/>
      <c r="H290" s="247"/>
      <c r="I290" s="247"/>
      <c r="J290" s="246"/>
      <c r="K290" s="248"/>
      <c r="L290" s="246"/>
      <c r="M290" s="154"/>
      <c r="N290" s="55"/>
      <c r="O290" s="247"/>
      <c r="P290" s="247"/>
      <c r="Q290" s="247"/>
      <c r="R290" s="247"/>
      <c r="S290" s="247"/>
      <c r="T290" s="247"/>
      <c r="U290" s="247"/>
      <c r="V290" s="247"/>
      <c r="W290" s="247"/>
      <c r="X290" s="247"/>
      <c r="Y290" s="247"/>
      <c r="Z290" s="247"/>
      <c r="AA290" s="247"/>
    </row>
    <row r="291">
      <c r="A291" s="247"/>
      <c r="B291" s="245"/>
      <c r="C291" s="246"/>
      <c r="D291" s="247"/>
      <c r="E291" s="247"/>
      <c r="F291" s="247"/>
      <c r="G291" s="247"/>
      <c r="H291" s="247"/>
      <c r="I291" s="247"/>
      <c r="J291" s="246"/>
      <c r="K291" s="248"/>
      <c r="L291" s="246"/>
      <c r="M291" s="154"/>
      <c r="N291" s="55"/>
      <c r="O291" s="247"/>
      <c r="P291" s="247"/>
      <c r="Q291" s="247"/>
      <c r="R291" s="247"/>
      <c r="S291" s="247"/>
      <c r="T291" s="247"/>
      <c r="U291" s="247"/>
      <c r="V291" s="247"/>
      <c r="W291" s="247"/>
      <c r="X291" s="247"/>
      <c r="Y291" s="247"/>
      <c r="Z291" s="247"/>
      <c r="AA291" s="247"/>
    </row>
    <row r="292">
      <c r="A292" s="247"/>
      <c r="B292" s="245"/>
      <c r="C292" s="246"/>
      <c r="D292" s="247"/>
      <c r="E292" s="247"/>
      <c r="F292" s="247"/>
      <c r="G292" s="247"/>
      <c r="H292" s="247"/>
      <c r="I292" s="247"/>
      <c r="J292" s="246"/>
      <c r="K292" s="248"/>
      <c r="L292" s="246"/>
      <c r="M292" s="154"/>
      <c r="N292" s="55"/>
      <c r="O292" s="247"/>
      <c r="P292" s="247"/>
      <c r="Q292" s="247"/>
      <c r="R292" s="247"/>
      <c r="S292" s="247"/>
      <c r="T292" s="247"/>
      <c r="U292" s="247"/>
      <c r="V292" s="247"/>
      <c r="W292" s="247"/>
      <c r="X292" s="247"/>
      <c r="Y292" s="247"/>
      <c r="Z292" s="247"/>
      <c r="AA292" s="247"/>
    </row>
    <row r="293">
      <c r="A293" s="247"/>
      <c r="B293" s="245"/>
      <c r="C293" s="246"/>
      <c r="D293" s="247"/>
      <c r="E293" s="247"/>
      <c r="F293" s="247"/>
      <c r="G293" s="247"/>
      <c r="H293" s="247"/>
      <c r="I293" s="247"/>
      <c r="J293" s="246"/>
      <c r="K293" s="248"/>
      <c r="L293" s="246"/>
      <c r="M293" s="154"/>
      <c r="N293" s="55"/>
      <c r="O293" s="247"/>
      <c r="P293" s="247"/>
      <c r="Q293" s="247"/>
      <c r="R293" s="247"/>
      <c r="S293" s="247"/>
      <c r="T293" s="247"/>
      <c r="U293" s="247"/>
      <c r="V293" s="247"/>
      <c r="W293" s="247"/>
      <c r="X293" s="247"/>
      <c r="Y293" s="247"/>
      <c r="Z293" s="247"/>
      <c r="AA293" s="247"/>
    </row>
    <row r="294">
      <c r="A294" s="247"/>
      <c r="B294" s="245"/>
      <c r="C294" s="246"/>
      <c r="D294" s="247"/>
      <c r="E294" s="247"/>
      <c r="F294" s="247"/>
      <c r="G294" s="247"/>
      <c r="H294" s="247"/>
      <c r="I294" s="247"/>
      <c r="J294" s="246"/>
      <c r="K294" s="248"/>
      <c r="L294" s="246"/>
      <c r="M294" s="154"/>
      <c r="N294" s="55"/>
      <c r="O294" s="247"/>
      <c r="P294" s="247"/>
      <c r="Q294" s="247"/>
      <c r="R294" s="247"/>
      <c r="S294" s="247"/>
      <c r="T294" s="247"/>
      <c r="U294" s="247"/>
      <c r="V294" s="247"/>
      <c r="W294" s="247"/>
      <c r="X294" s="247"/>
      <c r="Y294" s="247"/>
      <c r="Z294" s="247"/>
      <c r="AA294" s="247"/>
    </row>
    <row r="295">
      <c r="A295" s="247"/>
      <c r="B295" s="245"/>
      <c r="C295" s="246"/>
      <c r="D295" s="247"/>
      <c r="E295" s="247"/>
      <c r="F295" s="247"/>
      <c r="G295" s="247"/>
      <c r="H295" s="247"/>
      <c r="I295" s="247"/>
      <c r="J295" s="246"/>
      <c r="K295" s="248"/>
      <c r="L295" s="246"/>
      <c r="M295" s="154"/>
      <c r="N295" s="55"/>
      <c r="O295" s="247"/>
      <c r="P295" s="247"/>
      <c r="Q295" s="247"/>
      <c r="R295" s="247"/>
      <c r="S295" s="247"/>
      <c r="T295" s="247"/>
      <c r="U295" s="247"/>
      <c r="V295" s="247"/>
      <c r="W295" s="247"/>
      <c r="X295" s="247"/>
      <c r="Y295" s="247"/>
      <c r="Z295" s="247"/>
      <c r="AA295" s="247"/>
    </row>
    <row r="296">
      <c r="A296" s="247"/>
      <c r="B296" s="245"/>
      <c r="C296" s="246"/>
      <c r="D296" s="247"/>
      <c r="E296" s="247"/>
      <c r="F296" s="247"/>
      <c r="G296" s="247"/>
      <c r="H296" s="247"/>
      <c r="I296" s="247"/>
      <c r="J296" s="246"/>
      <c r="K296" s="248"/>
      <c r="L296" s="246"/>
      <c r="M296" s="154"/>
      <c r="N296" s="55"/>
      <c r="O296" s="247"/>
      <c r="P296" s="247"/>
      <c r="Q296" s="247"/>
      <c r="R296" s="247"/>
      <c r="S296" s="247"/>
      <c r="T296" s="247"/>
      <c r="U296" s="247"/>
      <c r="V296" s="247"/>
      <c r="W296" s="247"/>
      <c r="X296" s="247"/>
      <c r="Y296" s="247"/>
      <c r="Z296" s="247"/>
      <c r="AA296" s="247"/>
    </row>
    <row r="297">
      <c r="A297" s="247"/>
      <c r="B297" s="245"/>
      <c r="C297" s="246"/>
      <c r="D297" s="247"/>
      <c r="E297" s="247"/>
      <c r="F297" s="247"/>
      <c r="G297" s="247"/>
      <c r="H297" s="247"/>
      <c r="I297" s="247"/>
      <c r="J297" s="246"/>
      <c r="K297" s="248"/>
      <c r="L297" s="246"/>
      <c r="M297" s="154"/>
      <c r="N297" s="55"/>
      <c r="O297" s="247"/>
      <c r="P297" s="247"/>
      <c r="Q297" s="247"/>
      <c r="R297" s="247"/>
      <c r="S297" s="247"/>
      <c r="T297" s="247"/>
      <c r="U297" s="247"/>
      <c r="V297" s="247"/>
      <c r="W297" s="247"/>
      <c r="X297" s="247"/>
      <c r="Y297" s="247"/>
      <c r="Z297" s="247"/>
      <c r="AA297" s="247"/>
    </row>
    <row r="298">
      <c r="A298" s="247"/>
      <c r="B298" s="245"/>
      <c r="C298" s="246"/>
      <c r="D298" s="247"/>
      <c r="E298" s="247"/>
      <c r="F298" s="247"/>
      <c r="G298" s="247"/>
      <c r="H298" s="247"/>
      <c r="I298" s="247"/>
      <c r="J298" s="246"/>
      <c r="K298" s="248"/>
      <c r="L298" s="246"/>
      <c r="M298" s="154"/>
      <c r="N298" s="55"/>
      <c r="O298" s="247"/>
      <c r="P298" s="247"/>
      <c r="Q298" s="247"/>
      <c r="R298" s="247"/>
      <c r="S298" s="247"/>
      <c r="T298" s="247"/>
      <c r="U298" s="247"/>
      <c r="V298" s="247"/>
      <c r="W298" s="247"/>
      <c r="X298" s="247"/>
      <c r="Y298" s="247"/>
      <c r="Z298" s="247"/>
      <c r="AA298" s="247"/>
    </row>
    <row r="299">
      <c r="A299" s="247"/>
      <c r="B299" s="245"/>
      <c r="C299" s="246"/>
      <c r="D299" s="247"/>
      <c r="E299" s="247"/>
      <c r="F299" s="247"/>
      <c r="G299" s="247"/>
      <c r="H299" s="247"/>
      <c r="I299" s="247"/>
      <c r="J299" s="246"/>
      <c r="K299" s="248"/>
      <c r="L299" s="246"/>
      <c r="M299" s="154"/>
      <c r="N299" s="55"/>
      <c r="O299" s="247"/>
      <c r="P299" s="247"/>
      <c r="Q299" s="247"/>
      <c r="R299" s="247"/>
      <c r="S299" s="247"/>
      <c r="T299" s="247"/>
      <c r="U299" s="247"/>
      <c r="V299" s="247"/>
      <c r="W299" s="247"/>
      <c r="X299" s="247"/>
      <c r="Y299" s="247"/>
      <c r="Z299" s="247"/>
      <c r="AA299" s="247"/>
    </row>
    <row r="300">
      <c r="A300" s="247"/>
      <c r="B300" s="245"/>
      <c r="C300" s="246"/>
      <c r="D300" s="247"/>
      <c r="E300" s="247"/>
      <c r="F300" s="247"/>
      <c r="G300" s="247"/>
      <c r="H300" s="247"/>
      <c r="I300" s="247"/>
      <c r="J300" s="246"/>
      <c r="K300" s="248"/>
      <c r="L300" s="246"/>
      <c r="M300" s="154"/>
      <c r="N300" s="55"/>
      <c r="O300" s="247"/>
      <c r="P300" s="247"/>
      <c r="Q300" s="247"/>
      <c r="R300" s="247"/>
      <c r="S300" s="247"/>
      <c r="T300" s="247"/>
      <c r="U300" s="247"/>
      <c r="V300" s="247"/>
      <c r="W300" s="247"/>
      <c r="X300" s="247"/>
      <c r="Y300" s="247"/>
      <c r="Z300" s="247"/>
      <c r="AA300" s="247"/>
    </row>
    <row r="301">
      <c r="A301" s="247"/>
      <c r="B301" s="245"/>
      <c r="C301" s="246"/>
      <c r="D301" s="247"/>
      <c r="E301" s="247"/>
      <c r="F301" s="247"/>
      <c r="G301" s="247"/>
      <c r="H301" s="247"/>
      <c r="I301" s="247"/>
      <c r="J301" s="246"/>
      <c r="K301" s="248"/>
      <c r="L301" s="246"/>
      <c r="M301" s="154"/>
      <c r="N301" s="55"/>
      <c r="O301" s="247"/>
      <c r="P301" s="247"/>
      <c r="Q301" s="247"/>
      <c r="R301" s="247"/>
      <c r="S301" s="247"/>
      <c r="T301" s="247"/>
      <c r="U301" s="247"/>
      <c r="V301" s="247"/>
      <c r="W301" s="247"/>
      <c r="X301" s="247"/>
      <c r="Y301" s="247"/>
      <c r="Z301" s="247"/>
      <c r="AA301" s="247"/>
    </row>
    <row r="302">
      <c r="A302" s="247"/>
      <c r="B302" s="245"/>
      <c r="C302" s="246"/>
      <c r="D302" s="247"/>
      <c r="E302" s="247"/>
      <c r="F302" s="247"/>
      <c r="G302" s="247"/>
      <c r="H302" s="247"/>
      <c r="I302" s="247"/>
      <c r="J302" s="246"/>
      <c r="K302" s="248"/>
      <c r="L302" s="246"/>
      <c r="M302" s="154"/>
      <c r="N302" s="55"/>
      <c r="O302" s="247"/>
      <c r="P302" s="247"/>
      <c r="Q302" s="247"/>
      <c r="R302" s="247"/>
      <c r="S302" s="247"/>
      <c r="T302" s="247"/>
      <c r="U302" s="247"/>
      <c r="V302" s="247"/>
      <c r="W302" s="247"/>
      <c r="X302" s="247"/>
      <c r="Y302" s="247"/>
      <c r="Z302" s="247"/>
      <c r="AA302" s="247"/>
    </row>
    <row r="303">
      <c r="A303" s="247"/>
      <c r="B303" s="245"/>
      <c r="C303" s="246"/>
      <c r="D303" s="247"/>
      <c r="E303" s="247"/>
      <c r="F303" s="247"/>
      <c r="G303" s="247"/>
      <c r="H303" s="247"/>
      <c r="I303" s="247"/>
      <c r="J303" s="246"/>
      <c r="K303" s="248"/>
      <c r="L303" s="246"/>
      <c r="M303" s="154"/>
      <c r="N303" s="55"/>
      <c r="O303" s="247"/>
      <c r="P303" s="247"/>
      <c r="Q303" s="247"/>
      <c r="R303" s="247"/>
      <c r="S303" s="247"/>
      <c r="T303" s="247"/>
      <c r="U303" s="247"/>
      <c r="V303" s="247"/>
      <c r="W303" s="247"/>
      <c r="X303" s="247"/>
      <c r="Y303" s="247"/>
      <c r="Z303" s="247"/>
      <c r="AA303" s="247"/>
    </row>
    <row r="304">
      <c r="A304" s="247"/>
      <c r="B304" s="245"/>
      <c r="C304" s="246"/>
      <c r="D304" s="247"/>
      <c r="E304" s="247"/>
      <c r="F304" s="247"/>
      <c r="G304" s="247"/>
      <c r="H304" s="247"/>
      <c r="I304" s="247"/>
      <c r="J304" s="246"/>
      <c r="K304" s="248"/>
      <c r="L304" s="246"/>
      <c r="M304" s="154"/>
      <c r="N304" s="55"/>
      <c r="O304" s="247"/>
      <c r="P304" s="247"/>
      <c r="Q304" s="247"/>
      <c r="R304" s="247"/>
      <c r="S304" s="247"/>
      <c r="T304" s="247"/>
      <c r="U304" s="247"/>
      <c r="V304" s="247"/>
      <c r="W304" s="247"/>
      <c r="X304" s="247"/>
      <c r="Y304" s="247"/>
      <c r="Z304" s="247"/>
      <c r="AA304" s="247"/>
    </row>
    <row r="305">
      <c r="A305" s="247"/>
      <c r="B305" s="245"/>
      <c r="C305" s="246"/>
      <c r="D305" s="247"/>
      <c r="E305" s="247"/>
      <c r="F305" s="247"/>
      <c r="G305" s="247"/>
      <c r="H305" s="247"/>
      <c r="I305" s="247"/>
      <c r="J305" s="246"/>
      <c r="K305" s="248"/>
      <c r="L305" s="246"/>
      <c r="M305" s="154"/>
      <c r="N305" s="55"/>
      <c r="O305" s="247"/>
      <c r="P305" s="247"/>
      <c r="Q305" s="247"/>
      <c r="R305" s="247"/>
      <c r="S305" s="247"/>
      <c r="T305" s="247"/>
      <c r="U305" s="247"/>
      <c r="V305" s="247"/>
      <c r="W305" s="247"/>
      <c r="X305" s="247"/>
      <c r="Y305" s="247"/>
      <c r="Z305" s="247"/>
      <c r="AA305" s="247"/>
    </row>
    <row r="306">
      <c r="A306" s="247"/>
      <c r="B306" s="245"/>
      <c r="C306" s="246"/>
      <c r="D306" s="247"/>
      <c r="E306" s="247"/>
      <c r="F306" s="247"/>
      <c r="G306" s="247"/>
      <c r="H306" s="247"/>
      <c r="I306" s="247"/>
      <c r="J306" s="246"/>
      <c r="K306" s="248"/>
      <c r="L306" s="246"/>
      <c r="M306" s="154"/>
      <c r="N306" s="55"/>
      <c r="O306" s="247"/>
      <c r="P306" s="247"/>
      <c r="Q306" s="247"/>
      <c r="R306" s="247"/>
      <c r="S306" s="247"/>
      <c r="T306" s="247"/>
      <c r="U306" s="247"/>
      <c r="V306" s="247"/>
      <c r="W306" s="247"/>
      <c r="X306" s="247"/>
      <c r="Y306" s="247"/>
      <c r="Z306" s="247"/>
      <c r="AA306" s="247"/>
    </row>
    <row r="307">
      <c r="A307" s="247"/>
      <c r="B307" s="245"/>
      <c r="C307" s="246"/>
      <c r="D307" s="247"/>
      <c r="E307" s="247"/>
      <c r="F307" s="247"/>
      <c r="G307" s="247"/>
      <c r="H307" s="247"/>
      <c r="I307" s="247"/>
      <c r="J307" s="246"/>
      <c r="K307" s="248"/>
      <c r="L307" s="246"/>
      <c r="M307" s="154"/>
      <c r="N307" s="55"/>
      <c r="O307" s="247"/>
      <c r="P307" s="247"/>
      <c r="Q307" s="247"/>
      <c r="R307" s="247"/>
      <c r="S307" s="247"/>
      <c r="T307" s="247"/>
      <c r="U307" s="247"/>
      <c r="V307" s="247"/>
      <c r="W307" s="247"/>
      <c r="X307" s="247"/>
      <c r="Y307" s="247"/>
      <c r="Z307" s="247"/>
      <c r="AA307" s="247"/>
    </row>
    <row r="308">
      <c r="A308" s="247"/>
      <c r="B308" s="245"/>
      <c r="C308" s="246"/>
      <c r="D308" s="247"/>
      <c r="E308" s="247"/>
      <c r="F308" s="247"/>
      <c r="G308" s="247"/>
      <c r="H308" s="247"/>
      <c r="I308" s="247"/>
      <c r="J308" s="246"/>
      <c r="K308" s="248"/>
      <c r="L308" s="246"/>
      <c r="M308" s="154"/>
      <c r="N308" s="55"/>
      <c r="O308" s="247"/>
      <c r="P308" s="247"/>
      <c r="Q308" s="247"/>
      <c r="R308" s="247"/>
      <c r="S308" s="247"/>
      <c r="T308" s="247"/>
      <c r="U308" s="247"/>
      <c r="V308" s="247"/>
      <c r="W308" s="247"/>
      <c r="X308" s="247"/>
      <c r="Y308" s="247"/>
      <c r="Z308" s="247"/>
      <c r="AA308" s="247"/>
    </row>
    <row r="309">
      <c r="A309" s="247"/>
      <c r="B309" s="245"/>
      <c r="C309" s="246"/>
      <c r="D309" s="247"/>
      <c r="E309" s="247"/>
      <c r="F309" s="247"/>
      <c r="G309" s="247"/>
      <c r="H309" s="247"/>
      <c r="I309" s="247"/>
      <c r="J309" s="246"/>
      <c r="K309" s="248"/>
      <c r="L309" s="246"/>
      <c r="M309" s="154"/>
      <c r="N309" s="55"/>
      <c r="O309" s="247"/>
      <c r="P309" s="247"/>
      <c r="Q309" s="247"/>
      <c r="R309" s="247"/>
      <c r="S309" s="247"/>
      <c r="T309" s="247"/>
      <c r="U309" s="247"/>
      <c r="V309" s="247"/>
      <c r="W309" s="247"/>
      <c r="X309" s="247"/>
      <c r="Y309" s="247"/>
      <c r="Z309" s="247"/>
      <c r="AA309" s="247"/>
    </row>
    <row r="310">
      <c r="A310" s="247"/>
      <c r="B310" s="245"/>
      <c r="C310" s="246"/>
      <c r="D310" s="247"/>
      <c r="E310" s="247"/>
      <c r="F310" s="247"/>
      <c r="G310" s="247"/>
      <c r="H310" s="247"/>
      <c r="I310" s="247"/>
      <c r="J310" s="246"/>
      <c r="K310" s="248"/>
      <c r="L310" s="246"/>
      <c r="M310" s="154"/>
      <c r="N310" s="55"/>
      <c r="O310" s="247"/>
      <c r="P310" s="247"/>
      <c r="Q310" s="247"/>
      <c r="R310" s="247"/>
      <c r="S310" s="247"/>
      <c r="T310" s="247"/>
      <c r="U310" s="247"/>
      <c r="V310" s="247"/>
      <c r="W310" s="247"/>
      <c r="X310" s="247"/>
      <c r="Y310" s="247"/>
      <c r="Z310" s="247"/>
      <c r="AA310" s="247"/>
    </row>
    <row r="311">
      <c r="A311" s="247"/>
      <c r="B311" s="245"/>
      <c r="C311" s="246"/>
      <c r="D311" s="247"/>
      <c r="E311" s="247"/>
      <c r="F311" s="247"/>
      <c r="G311" s="247"/>
      <c r="H311" s="247"/>
      <c r="I311" s="247"/>
      <c r="J311" s="246"/>
      <c r="K311" s="248"/>
      <c r="L311" s="246"/>
      <c r="M311" s="154"/>
      <c r="N311" s="55"/>
      <c r="O311" s="247"/>
      <c r="P311" s="247"/>
      <c r="Q311" s="247"/>
      <c r="R311" s="247"/>
      <c r="S311" s="247"/>
      <c r="T311" s="247"/>
      <c r="U311" s="247"/>
      <c r="V311" s="247"/>
      <c r="W311" s="247"/>
      <c r="X311" s="247"/>
      <c r="Y311" s="247"/>
      <c r="Z311" s="247"/>
      <c r="AA311" s="247"/>
    </row>
    <row r="312">
      <c r="A312" s="247"/>
      <c r="B312" s="245"/>
      <c r="C312" s="246"/>
      <c r="D312" s="247"/>
      <c r="E312" s="247"/>
      <c r="F312" s="247"/>
      <c r="G312" s="247"/>
      <c r="H312" s="247"/>
      <c r="I312" s="247"/>
      <c r="J312" s="246"/>
      <c r="K312" s="248"/>
      <c r="L312" s="246"/>
      <c r="M312" s="154"/>
      <c r="N312" s="55"/>
      <c r="O312" s="247"/>
      <c r="P312" s="247"/>
      <c r="Q312" s="247"/>
      <c r="R312" s="247"/>
      <c r="S312" s="247"/>
      <c r="T312" s="247"/>
      <c r="U312" s="247"/>
      <c r="V312" s="247"/>
      <c r="W312" s="247"/>
      <c r="X312" s="247"/>
      <c r="Y312" s="247"/>
      <c r="Z312" s="247"/>
      <c r="AA312" s="247"/>
    </row>
    <row r="313">
      <c r="A313" s="247"/>
      <c r="B313" s="245"/>
      <c r="C313" s="246"/>
      <c r="D313" s="247"/>
      <c r="E313" s="247"/>
      <c r="F313" s="247"/>
      <c r="G313" s="247"/>
      <c r="H313" s="247"/>
      <c r="I313" s="247"/>
      <c r="J313" s="246"/>
      <c r="K313" s="248"/>
      <c r="L313" s="246"/>
      <c r="M313" s="154"/>
      <c r="N313" s="55"/>
      <c r="O313" s="247"/>
      <c r="P313" s="247"/>
      <c r="Q313" s="247"/>
      <c r="R313" s="247"/>
      <c r="S313" s="247"/>
      <c r="T313" s="247"/>
      <c r="U313" s="247"/>
      <c r="V313" s="247"/>
      <c r="W313" s="247"/>
      <c r="X313" s="247"/>
      <c r="Y313" s="247"/>
      <c r="Z313" s="247"/>
      <c r="AA313" s="247"/>
    </row>
    <row r="314">
      <c r="A314" s="247"/>
      <c r="B314" s="245"/>
      <c r="C314" s="246"/>
      <c r="D314" s="247"/>
      <c r="E314" s="247"/>
      <c r="F314" s="247"/>
      <c r="G314" s="247"/>
      <c r="H314" s="247"/>
      <c r="I314" s="247"/>
      <c r="J314" s="246"/>
      <c r="K314" s="248"/>
      <c r="L314" s="246"/>
      <c r="M314" s="154"/>
      <c r="N314" s="55"/>
      <c r="O314" s="247"/>
      <c r="P314" s="247"/>
      <c r="Q314" s="247"/>
      <c r="R314" s="247"/>
      <c r="S314" s="247"/>
      <c r="T314" s="247"/>
      <c r="U314" s="247"/>
      <c r="V314" s="247"/>
      <c r="W314" s="247"/>
      <c r="X314" s="247"/>
      <c r="Y314" s="247"/>
      <c r="Z314" s="247"/>
      <c r="AA314" s="247"/>
    </row>
    <row r="315">
      <c r="A315" s="247"/>
      <c r="B315" s="245"/>
      <c r="C315" s="246"/>
      <c r="D315" s="247"/>
      <c r="E315" s="247"/>
      <c r="F315" s="247"/>
      <c r="G315" s="247"/>
      <c r="H315" s="247"/>
      <c r="I315" s="247"/>
      <c r="J315" s="246"/>
      <c r="K315" s="248"/>
      <c r="L315" s="246"/>
      <c r="M315" s="154"/>
      <c r="N315" s="55"/>
      <c r="O315" s="247"/>
      <c r="P315" s="247"/>
      <c r="Q315" s="247"/>
      <c r="R315" s="247"/>
      <c r="S315" s="247"/>
      <c r="T315" s="247"/>
      <c r="U315" s="247"/>
      <c r="V315" s="247"/>
      <c r="W315" s="247"/>
      <c r="X315" s="247"/>
      <c r="Y315" s="247"/>
      <c r="Z315" s="247"/>
      <c r="AA315" s="247"/>
    </row>
    <row r="316">
      <c r="A316" s="247"/>
      <c r="B316" s="245"/>
      <c r="C316" s="246"/>
      <c r="D316" s="247"/>
      <c r="E316" s="247"/>
      <c r="F316" s="247"/>
      <c r="G316" s="247"/>
      <c r="H316" s="247"/>
      <c r="I316" s="247"/>
      <c r="J316" s="246"/>
      <c r="K316" s="248"/>
      <c r="L316" s="246"/>
      <c r="M316" s="154"/>
      <c r="N316" s="55"/>
      <c r="O316" s="247"/>
      <c r="P316" s="247"/>
      <c r="Q316" s="247"/>
      <c r="R316" s="247"/>
      <c r="S316" s="247"/>
      <c r="T316" s="247"/>
      <c r="U316" s="247"/>
      <c r="V316" s="247"/>
      <c r="W316" s="247"/>
      <c r="X316" s="247"/>
      <c r="Y316" s="247"/>
      <c r="Z316" s="247"/>
      <c r="AA316" s="247"/>
    </row>
    <row r="317">
      <c r="A317" s="247"/>
      <c r="B317" s="245"/>
      <c r="C317" s="246"/>
      <c r="D317" s="247"/>
      <c r="E317" s="247"/>
      <c r="F317" s="247"/>
      <c r="G317" s="247"/>
      <c r="H317" s="247"/>
      <c r="I317" s="247"/>
      <c r="J317" s="246"/>
      <c r="K317" s="248"/>
      <c r="L317" s="246"/>
      <c r="M317" s="154"/>
      <c r="N317" s="55"/>
      <c r="O317" s="247"/>
      <c r="P317" s="247"/>
      <c r="Q317" s="247"/>
      <c r="R317" s="247"/>
      <c r="S317" s="247"/>
      <c r="T317" s="247"/>
      <c r="U317" s="247"/>
      <c r="V317" s="247"/>
      <c r="W317" s="247"/>
      <c r="X317" s="247"/>
      <c r="Y317" s="247"/>
      <c r="Z317" s="247"/>
      <c r="AA317" s="247"/>
    </row>
    <row r="318">
      <c r="A318" s="247"/>
      <c r="B318" s="245"/>
      <c r="C318" s="246"/>
      <c r="D318" s="247"/>
      <c r="E318" s="247"/>
      <c r="F318" s="247"/>
      <c r="G318" s="247"/>
      <c r="H318" s="247"/>
      <c r="I318" s="247"/>
      <c r="J318" s="246"/>
      <c r="K318" s="248"/>
      <c r="L318" s="246"/>
      <c r="M318" s="154"/>
      <c r="N318" s="55"/>
      <c r="O318" s="247"/>
      <c r="P318" s="247"/>
      <c r="Q318" s="247"/>
      <c r="R318" s="247"/>
      <c r="S318" s="247"/>
      <c r="T318" s="247"/>
      <c r="U318" s="247"/>
      <c r="V318" s="247"/>
      <c r="W318" s="247"/>
      <c r="X318" s="247"/>
      <c r="Y318" s="247"/>
      <c r="Z318" s="247"/>
      <c r="AA318" s="247"/>
    </row>
    <row r="319">
      <c r="A319" s="247"/>
      <c r="B319" s="245"/>
      <c r="C319" s="246"/>
      <c r="D319" s="247"/>
      <c r="E319" s="247"/>
      <c r="F319" s="247"/>
      <c r="G319" s="247"/>
      <c r="H319" s="247"/>
      <c r="I319" s="247"/>
      <c r="J319" s="246"/>
      <c r="K319" s="248"/>
      <c r="L319" s="246"/>
      <c r="M319" s="154"/>
      <c r="N319" s="55"/>
      <c r="O319" s="247"/>
      <c r="P319" s="247"/>
      <c r="Q319" s="247"/>
      <c r="R319" s="247"/>
      <c r="S319" s="247"/>
      <c r="T319" s="247"/>
      <c r="U319" s="247"/>
      <c r="V319" s="247"/>
      <c r="W319" s="247"/>
      <c r="X319" s="247"/>
      <c r="Y319" s="247"/>
      <c r="Z319" s="247"/>
      <c r="AA319" s="247"/>
    </row>
    <row r="320">
      <c r="A320" s="247"/>
      <c r="B320" s="245"/>
      <c r="C320" s="246"/>
      <c r="D320" s="247"/>
      <c r="E320" s="247"/>
      <c r="F320" s="247"/>
      <c r="G320" s="247"/>
      <c r="H320" s="247"/>
      <c r="I320" s="247"/>
      <c r="J320" s="246"/>
      <c r="K320" s="248"/>
      <c r="L320" s="246"/>
      <c r="M320" s="154"/>
      <c r="N320" s="55"/>
      <c r="O320" s="247"/>
      <c r="P320" s="247"/>
      <c r="Q320" s="247"/>
      <c r="R320" s="247"/>
      <c r="S320" s="247"/>
      <c r="T320" s="247"/>
      <c r="U320" s="247"/>
      <c r="V320" s="247"/>
      <c r="W320" s="247"/>
      <c r="X320" s="247"/>
      <c r="Y320" s="247"/>
      <c r="Z320" s="247"/>
      <c r="AA320" s="247"/>
    </row>
    <row r="321">
      <c r="A321" s="247"/>
      <c r="B321" s="245"/>
      <c r="C321" s="246"/>
      <c r="D321" s="247"/>
      <c r="E321" s="247"/>
      <c r="F321" s="247"/>
      <c r="G321" s="247"/>
      <c r="H321" s="247"/>
      <c r="I321" s="247"/>
      <c r="J321" s="246"/>
      <c r="K321" s="248"/>
      <c r="L321" s="246"/>
      <c r="M321" s="154"/>
      <c r="N321" s="55"/>
      <c r="O321" s="247"/>
      <c r="P321" s="247"/>
      <c r="Q321" s="247"/>
      <c r="R321" s="247"/>
      <c r="S321" s="247"/>
      <c r="T321" s="247"/>
      <c r="U321" s="247"/>
      <c r="V321" s="247"/>
      <c r="W321" s="247"/>
      <c r="X321" s="247"/>
      <c r="Y321" s="247"/>
      <c r="Z321" s="247"/>
      <c r="AA321" s="247"/>
    </row>
    <row r="322">
      <c r="A322" s="247"/>
      <c r="B322" s="245"/>
      <c r="C322" s="246"/>
      <c r="D322" s="247"/>
      <c r="E322" s="247"/>
      <c r="F322" s="247"/>
      <c r="G322" s="247"/>
      <c r="H322" s="247"/>
      <c r="I322" s="247"/>
      <c r="J322" s="246"/>
      <c r="K322" s="248"/>
      <c r="L322" s="246"/>
      <c r="M322" s="154"/>
      <c r="N322" s="55"/>
      <c r="O322" s="247"/>
      <c r="P322" s="247"/>
      <c r="Q322" s="247"/>
      <c r="R322" s="247"/>
      <c r="S322" s="247"/>
      <c r="T322" s="247"/>
      <c r="U322" s="247"/>
      <c r="V322" s="247"/>
      <c r="W322" s="247"/>
      <c r="X322" s="247"/>
      <c r="Y322" s="247"/>
      <c r="Z322" s="247"/>
      <c r="AA322" s="247"/>
    </row>
    <row r="323">
      <c r="A323" s="247"/>
      <c r="B323" s="245"/>
      <c r="C323" s="246"/>
      <c r="D323" s="247"/>
      <c r="E323" s="247"/>
      <c r="F323" s="247"/>
      <c r="G323" s="247"/>
      <c r="H323" s="247"/>
      <c r="I323" s="247"/>
      <c r="J323" s="246"/>
      <c r="K323" s="248"/>
      <c r="L323" s="246"/>
      <c r="M323" s="154"/>
      <c r="N323" s="55"/>
      <c r="O323" s="247"/>
      <c r="P323" s="247"/>
      <c r="Q323" s="247"/>
      <c r="R323" s="247"/>
      <c r="S323" s="247"/>
      <c r="T323" s="247"/>
      <c r="U323" s="247"/>
      <c r="V323" s="247"/>
      <c r="W323" s="247"/>
      <c r="X323" s="247"/>
      <c r="Y323" s="247"/>
      <c r="Z323" s="247"/>
      <c r="AA323" s="247"/>
    </row>
    <row r="324">
      <c r="A324" s="247"/>
      <c r="B324" s="245"/>
      <c r="C324" s="246"/>
      <c r="D324" s="247"/>
      <c r="E324" s="247"/>
      <c r="F324" s="247"/>
      <c r="G324" s="247"/>
      <c r="H324" s="247"/>
      <c r="I324" s="247"/>
      <c r="J324" s="246"/>
      <c r="K324" s="248"/>
      <c r="L324" s="246"/>
      <c r="M324" s="154"/>
      <c r="N324" s="55"/>
      <c r="O324" s="247"/>
      <c r="P324" s="247"/>
      <c r="Q324" s="247"/>
      <c r="R324" s="247"/>
      <c r="S324" s="247"/>
      <c r="T324" s="247"/>
      <c r="U324" s="247"/>
      <c r="V324" s="247"/>
      <c r="W324" s="247"/>
      <c r="X324" s="247"/>
      <c r="Y324" s="247"/>
      <c r="Z324" s="247"/>
      <c r="AA324" s="247"/>
    </row>
    <row r="325">
      <c r="A325" s="247"/>
      <c r="B325" s="245"/>
      <c r="C325" s="246"/>
      <c r="D325" s="247"/>
      <c r="E325" s="247"/>
      <c r="F325" s="247"/>
      <c r="G325" s="247"/>
      <c r="H325" s="247"/>
      <c r="I325" s="247"/>
      <c r="J325" s="246"/>
      <c r="K325" s="248"/>
      <c r="L325" s="246"/>
      <c r="M325" s="154"/>
      <c r="N325" s="55"/>
      <c r="O325" s="247"/>
      <c r="P325" s="247"/>
      <c r="Q325" s="247"/>
      <c r="R325" s="247"/>
      <c r="S325" s="247"/>
      <c r="T325" s="247"/>
      <c r="U325" s="247"/>
      <c r="V325" s="247"/>
      <c r="W325" s="247"/>
      <c r="X325" s="247"/>
      <c r="Y325" s="247"/>
      <c r="Z325" s="247"/>
      <c r="AA325" s="247"/>
    </row>
    <row r="326">
      <c r="A326" s="247"/>
      <c r="B326" s="245"/>
      <c r="C326" s="246"/>
      <c r="D326" s="247"/>
      <c r="E326" s="247"/>
      <c r="F326" s="247"/>
      <c r="G326" s="247"/>
      <c r="H326" s="247"/>
      <c r="I326" s="247"/>
      <c r="J326" s="246"/>
      <c r="K326" s="248"/>
      <c r="L326" s="246"/>
      <c r="M326" s="154"/>
      <c r="N326" s="55"/>
      <c r="O326" s="247"/>
      <c r="P326" s="247"/>
      <c r="Q326" s="247"/>
      <c r="R326" s="247"/>
      <c r="S326" s="247"/>
      <c r="T326" s="247"/>
      <c r="U326" s="247"/>
      <c r="V326" s="247"/>
      <c r="W326" s="247"/>
      <c r="X326" s="247"/>
      <c r="Y326" s="247"/>
      <c r="Z326" s="247"/>
      <c r="AA326" s="247"/>
    </row>
    <row r="327">
      <c r="A327" s="247"/>
      <c r="B327" s="245"/>
      <c r="C327" s="246"/>
      <c r="D327" s="247"/>
      <c r="E327" s="247"/>
      <c r="F327" s="247"/>
      <c r="G327" s="247"/>
      <c r="H327" s="247"/>
      <c r="I327" s="247"/>
      <c r="J327" s="246"/>
      <c r="K327" s="248"/>
      <c r="L327" s="246"/>
      <c r="M327" s="154"/>
      <c r="N327" s="55"/>
      <c r="O327" s="247"/>
      <c r="P327" s="247"/>
      <c r="Q327" s="247"/>
      <c r="R327" s="247"/>
      <c r="S327" s="247"/>
      <c r="T327" s="247"/>
      <c r="U327" s="247"/>
      <c r="V327" s="247"/>
      <c r="W327" s="247"/>
      <c r="X327" s="247"/>
      <c r="Y327" s="247"/>
      <c r="Z327" s="247"/>
      <c r="AA327" s="247"/>
    </row>
    <row r="328">
      <c r="A328" s="247"/>
      <c r="B328" s="245"/>
      <c r="C328" s="246"/>
      <c r="D328" s="247"/>
      <c r="E328" s="247"/>
      <c r="F328" s="247"/>
      <c r="G328" s="247"/>
      <c r="H328" s="247"/>
      <c r="I328" s="247"/>
      <c r="J328" s="246"/>
      <c r="K328" s="248"/>
      <c r="L328" s="246"/>
      <c r="M328" s="154"/>
      <c r="N328" s="55"/>
      <c r="O328" s="247"/>
      <c r="P328" s="247"/>
      <c r="Q328" s="247"/>
      <c r="R328" s="247"/>
      <c r="S328" s="247"/>
      <c r="T328" s="247"/>
      <c r="U328" s="247"/>
      <c r="V328" s="247"/>
      <c r="W328" s="247"/>
      <c r="X328" s="247"/>
      <c r="Y328" s="247"/>
      <c r="Z328" s="247"/>
      <c r="AA328" s="247"/>
    </row>
    <row r="329">
      <c r="A329" s="247"/>
      <c r="B329" s="245"/>
      <c r="C329" s="246"/>
      <c r="D329" s="247"/>
      <c r="E329" s="247"/>
      <c r="F329" s="247"/>
      <c r="G329" s="247"/>
      <c r="H329" s="247"/>
      <c r="I329" s="247"/>
      <c r="J329" s="246"/>
      <c r="K329" s="248"/>
      <c r="L329" s="246"/>
      <c r="M329" s="154"/>
      <c r="N329" s="55"/>
      <c r="O329" s="247"/>
      <c r="P329" s="247"/>
      <c r="Q329" s="247"/>
      <c r="R329" s="247"/>
      <c r="S329" s="247"/>
      <c r="T329" s="247"/>
      <c r="U329" s="247"/>
      <c r="V329" s="247"/>
      <c r="W329" s="247"/>
      <c r="X329" s="247"/>
      <c r="Y329" s="247"/>
      <c r="Z329" s="247"/>
      <c r="AA329" s="247"/>
    </row>
    <row r="330">
      <c r="A330" s="247"/>
      <c r="B330" s="245"/>
      <c r="C330" s="246"/>
      <c r="D330" s="247"/>
      <c r="E330" s="247"/>
      <c r="F330" s="247"/>
      <c r="G330" s="247"/>
      <c r="H330" s="247"/>
      <c r="I330" s="247"/>
      <c r="J330" s="246"/>
      <c r="K330" s="248"/>
      <c r="L330" s="246"/>
      <c r="M330" s="154"/>
      <c r="N330" s="55"/>
      <c r="O330" s="247"/>
      <c r="P330" s="247"/>
      <c r="Q330" s="247"/>
      <c r="R330" s="247"/>
      <c r="S330" s="247"/>
      <c r="T330" s="247"/>
      <c r="U330" s="247"/>
      <c r="V330" s="247"/>
      <c r="W330" s="247"/>
      <c r="X330" s="247"/>
      <c r="Y330" s="247"/>
      <c r="Z330" s="247"/>
      <c r="AA330" s="247"/>
    </row>
    <row r="331">
      <c r="A331" s="247"/>
      <c r="B331" s="245"/>
      <c r="C331" s="246"/>
      <c r="D331" s="247"/>
      <c r="E331" s="247"/>
      <c r="F331" s="247"/>
      <c r="G331" s="247"/>
      <c r="H331" s="247"/>
      <c r="I331" s="247"/>
      <c r="J331" s="246"/>
      <c r="K331" s="248"/>
      <c r="L331" s="246"/>
      <c r="M331" s="154"/>
      <c r="N331" s="55"/>
      <c r="O331" s="247"/>
      <c r="P331" s="247"/>
      <c r="Q331" s="247"/>
      <c r="R331" s="247"/>
      <c r="S331" s="247"/>
      <c r="T331" s="247"/>
      <c r="U331" s="247"/>
      <c r="V331" s="247"/>
      <c r="W331" s="247"/>
      <c r="X331" s="247"/>
      <c r="Y331" s="247"/>
      <c r="Z331" s="247"/>
      <c r="AA331" s="247"/>
    </row>
    <row r="332">
      <c r="A332" s="247"/>
      <c r="B332" s="245"/>
      <c r="C332" s="246"/>
      <c r="D332" s="247"/>
      <c r="E332" s="247"/>
      <c r="F332" s="247"/>
      <c r="G332" s="247"/>
      <c r="H332" s="247"/>
      <c r="I332" s="247"/>
      <c r="J332" s="246"/>
      <c r="K332" s="248"/>
      <c r="L332" s="246"/>
      <c r="M332" s="154"/>
      <c r="N332" s="55"/>
      <c r="O332" s="247"/>
      <c r="P332" s="247"/>
      <c r="Q332" s="247"/>
      <c r="R332" s="247"/>
      <c r="S332" s="247"/>
      <c r="T332" s="247"/>
      <c r="U332" s="247"/>
      <c r="V332" s="247"/>
      <c r="W332" s="247"/>
      <c r="X332" s="247"/>
      <c r="Y332" s="247"/>
      <c r="Z332" s="247"/>
      <c r="AA332" s="247"/>
    </row>
    <row r="333">
      <c r="A333" s="247"/>
      <c r="B333" s="245"/>
      <c r="C333" s="246"/>
      <c r="D333" s="247"/>
      <c r="E333" s="247"/>
      <c r="F333" s="247"/>
      <c r="G333" s="247"/>
      <c r="H333" s="247"/>
      <c r="I333" s="247"/>
      <c r="J333" s="246"/>
      <c r="K333" s="248"/>
      <c r="L333" s="246"/>
      <c r="M333" s="154"/>
      <c r="N333" s="55"/>
      <c r="O333" s="247"/>
      <c r="P333" s="247"/>
      <c r="Q333" s="247"/>
      <c r="R333" s="247"/>
      <c r="S333" s="247"/>
      <c r="T333" s="247"/>
      <c r="U333" s="247"/>
      <c r="V333" s="247"/>
      <c r="W333" s="247"/>
      <c r="X333" s="247"/>
      <c r="Y333" s="247"/>
      <c r="Z333" s="247"/>
      <c r="AA333" s="247"/>
    </row>
    <row r="334">
      <c r="A334" s="247"/>
      <c r="B334" s="245"/>
      <c r="C334" s="246"/>
      <c r="D334" s="247"/>
      <c r="E334" s="247"/>
      <c r="F334" s="247"/>
      <c r="G334" s="247"/>
      <c r="H334" s="247"/>
      <c r="I334" s="247"/>
      <c r="J334" s="246"/>
      <c r="K334" s="248"/>
      <c r="L334" s="246"/>
      <c r="M334" s="154"/>
      <c r="N334" s="55"/>
      <c r="O334" s="247"/>
      <c r="P334" s="247"/>
      <c r="Q334" s="247"/>
      <c r="R334" s="247"/>
      <c r="S334" s="247"/>
      <c r="T334" s="247"/>
      <c r="U334" s="247"/>
      <c r="V334" s="247"/>
      <c r="W334" s="247"/>
      <c r="X334" s="247"/>
      <c r="Y334" s="247"/>
      <c r="Z334" s="247"/>
      <c r="AA334" s="247"/>
    </row>
    <row r="335">
      <c r="A335" s="247"/>
      <c r="B335" s="245"/>
      <c r="C335" s="246"/>
      <c r="D335" s="247"/>
      <c r="E335" s="247"/>
      <c r="F335" s="247"/>
      <c r="G335" s="247"/>
      <c r="H335" s="247"/>
      <c r="I335" s="247"/>
      <c r="J335" s="246"/>
      <c r="K335" s="248"/>
      <c r="L335" s="246"/>
      <c r="M335" s="154"/>
      <c r="N335" s="55"/>
      <c r="O335" s="247"/>
      <c r="P335" s="247"/>
      <c r="Q335" s="247"/>
      <c r="R335" s="247"/>
      <c r="S335" s="247"/>
      <c r="T335" s="247"/>
      <c r="U335" s="247"/>
      <c r="V335" s="247"/>
      <c r="W335" s="247"/>
      <c r="X335" s="247"/>
      <c r="Y335" s="247"/>
      <c r="Z335" s="247"/>
      <c r="AA335" s="247"/>
    </row>
    <row r="336">
      <c r="A336" s="247"/>
      <c r="B336" s="245"/>
      <c r="C336" s="246"/>
      <c r="D336" s="247"/>
      <c r="E336" s="247"/>
      <c r="F336" s="247"/>
      <c r="G336" s="247"/>
      <c r="H336" s="247"/>
      <c r="I336" s="247"/>
      <c r="J336" s="246"/>
      <c r="K336" s="248"/>
      <c r="L336" s="246"/>
      <c r="M336" s="154"/>
      <c r="N336" s="55"/>
      <c r="O336" s="247"/>
      <c r="P336" s="247"/>
      <c r="Q336" s="247"/>
      <c r="R336" s="247"/>
      <c r="S336" s="247"/>
      <c r="T336" s="247"/>
      <c r="U336" s="247"/>
      <c r="V336" s="247"/>
      <c r="W336" s="247"/>
      <c r="X336" s="247"/>
      <c r="Y336" s="247"/>
      <c r="Z336" s="247"/>
      <c r="AA336" s="247"/>
    </row>
    <row r="337">
      <c r="A337" s="247"/>
      <c r="B337" s="245"/>
      <c r="C337" s="246"/>
      <c r="D337" s="247"/>
      <c r="E337" s="247"/>
      <c r="F337" s="247"/>
      <c r="G337" s="247"/>
      <c r="H337" s="247"/>
      <c r="I337" s="247"/>
      <c r="J337" s="246"/>
      <c r="K337" s="248"/>
      <c r="L337" s="246"/>
      <c r="M337" s="154"/>
      <c r="N337" s="55"/>
      <c r="O337" s="247"/>
      <c r="P337" s="247"/>
      <c r="Q337" s="247"/>
      <c r="R337" s="247"/>
      <c r="S337" s="247"/>
      <c r="T337" s="247"/>
      <c r="U337" s="247"/>
      <c r="V337" s="247"/>
      <c r="W337" s="247"/>
      <c r="X337" s="247"/>
      <c r="Y337" s="247"/>
      <c r="Z337" s="247"/>
      <c r="AA337" s="247"/>
    </row>
    <row r="338">
      <c r="A338" s="247"/>
      <c r="B338" s="245"/>
      <c r="C338" s="246"/>
      <c r="D338" s="247"/>
      <c r="E338" s="247"/>
      <c r="F338" s="247"/>
      <c r="G338" s="247"/>
      <c r="H338" s="247"/>
      <c r="I338" s="247"/>
      <c r="J338" s="246"/>
      <c r="K338" s="248"/>
      <c r="L338" s="246"/>
      <c r="M338" s="154"/>
      <c r="N338" s="55"/>
      <c r="O338" s="247"/>
      <c r="P338" s="247"/>
      <c r="Q338" s="247"/>
      <c r="R338" s="247"/>
      <c r="S338" s="247"/>
      <c r="T338" s="247"/>
      <c r="U338" s="247"/>
      <c r="V338" s="247"/>
      <c r="W338" s="247"/>
      <c r="X338" s="247"/>
      <c r="Y338" s="247"/>
      <c r="Z338" s="247"/>
      <c r="AA338" s="247"/>
    </row>
    <row r="339">
      <c r="A339" s="247"/>
      <c r="B339" s="245"/>
      <c r="C339" s="246"/>
      <c r="D339" s="247"/>
      <c r="E339" s="247"/>
      <c r="F339" s="247"/>
      <c r="G339" s="247"/>
      <c r="H339" s="247"/>
      <c r="I339" s="247"/>
      <c r="J339" s="246"/>
      <c r="K339" s="248"/>
      <c r="L339" s="246"/>
      <c r="M339" s="154"/>
      <c r="N339" s="55"/>
      <c r="O339" s="247"/>
      <c r="P339" s="247"/>
      <c r="Q339" s="247"/>
      <c r="R339" s="247"/>
      <c r="S339" s="247"/>
      <c r="T339" s="247"/>
      <c r="U339" s="247"/>
      <c r="V339" s="247"/>
      <c r="W339" s="247"/>
      <c r="X339" s="247"/>
      <c r="Y339" s="247"/>
      <c r="Z339" s="247"/>
      <c r="AA339" s="247"/>
    </row>
    <row r="340">
      <c r="A340" s="247"/>
      <c r="B340" s="245"/>
      <c r="C340" s="246"/>
      <c r="D340" s="247"/>
      <c r="E340" s="247"/>
      <c r="F340" s="247"/>
      <c r="G340" s="247"/>
      <c r="H340" s="247"/>
      <c r="I340" s="247"/>
      <c r="J340" s="246"/>
      <c r="K340" s="248"/>
      <c r="L340" s="246"/>
      <c r="M340" s="154"/>
      <c r="N340" s="55"/>
      <c r="O340" s="247"/>
      <c r="P340" s="247"/>
      <c r="Q340" s="247"/>
      <c r="R340" s="247"/>
      <c r="S340" s="247"/>
      <c r="T340" s="247"/>
      <c r="U340" s="247"/>
      <c r="V340" s="247"/>
      <c r="W340" s="247"/>
      <c r="X340" s="247"/>
      <c r="Y340" s="247"/>
      <c r="Z340" s="247"/>
      <c r="AA340" s="247"/>
    </row>
    <row r="341">
      <c r="A341" s="247"/>
      <c r="B341" s="245"/>
      <c r="C341" s="246"/>
      <c r="D341" s="247"/>
      <c r="E341" s="247"/>
      <c r="F341" s="247"/>
      <c r="G341" s="247"/>
      <c r="H341" s="247"/>
      <c r="I341" s="247"/>
      <c r="J341" s="246"/>
      <c r="K341" s="248"/>
      <c r="L341" s="246"/>
      <c r="M341" s="154"/>
      <c r="N341" s="55"/>
      <c r="O341" s="247"/>
      <c r="P341" s="247"/>
      <c r="Q341" s="247"/>
      <c r="R341" s="247"/>
      <c r="S341" s="247"/>
      <c r="T341" s="247"/>
      <c r="U341" s="247"/>
      <c r="V341" s="247"/>
      <c r="W341" s="247"/>
      <c r="X341" s="247"/>
      <c r="Y341" s="247"/>
      <c r="Z341" s="247"/>
      <c r="AA341" s="247"/>
    </row>
    <row r="342">
      <c r="A342" s="247"/>
      <c r="B342" s="245"/>
      <c r="C342" s="246"/>
      <c r="D342" s="247"/>
      <c r="E342" s="247"/>
      <c r="F342" s="247"/>
      <c r="G342" s="247"/>
      <c r="H342" s="247"/>
      <c r="I342" s="247"/>
      <c r="J342" s="246"/>
      <c r="K342" s="248"/>
      <c r="L342" s="246"/>
      <c r="M342" s="154"/>
      <c r="N342" s="55"/>
      <c r="O342" s="247"/>
      <c r="P342" s="247"/>
      <c r="Q342" s="247"/>
      <c r="R342" s="247"/>
      <c r="S342" s="247"/>
      <c r="T342" s="247"/>
      <c r="U342" s="247"/>
      <c r="V342" s="247"/>
      <c r="W342" s="247"/>
      <c r="X342" s="247"/>
      <c r="Y342" s="247"/>
      <c r="Z342" s="247"/>
      <c r="AA342" s="247"/>
    </row>
    <row r="343">
      <c r="A343" s="247"/>
      <c r="B343" s="245"/>
      <c r="C343" s="246"/>
      <c r="D343" s="247"/>
      <c r="E343" s="247"/>
      <c r="F343" s="247"/>
      <c r="G343" s="247"/>
      <c r="H343" s="247"/>
      <c r="I343" s="247"/>
      <c r="J343" s="246"/>
      <c r="K343" s="248"/>
      <c r="L343" s="246"/>
      <c r="M343" s="154"/>
      <c r="N343" s="55"/>
      <c r="O343" s="247"/>
      <c r="P343" s="247"/>
      <c r="Q343" s="247"/>
      <c r="R343" s="247"/>
      <c r="S343" s="247"/>
      <c r="T343" s="247"/>
      <c r="U343" s="247"/>
      <c r="V343" s="247"/>
      <c r="W343" s="247"/>
      <c r="X343" s="247"/>
      <c r="Y343" s="247"/>
      <c r="Z343" s="247"/>
      <c r="AA343" s="247"/>
    </row>
    <row r="344">
      <c r="A344" s="247"/>
      <c r="B344" s="245"/>
      <c r="C344" s="246"/>
      <c r="D344" s="247"/>
      <c r="E344" s="247"/>
      <c r="F344" s="247"/>
      <c r="G344" s="247"/>
      <c r="H344" s="247"/>
      <c r="I344" s="247"/>
      <c r="J344" s="246"/>
      <c r="K344" s="248"/>
      <c r="L344" s="246"/>
      <c r="M344" s="154"/>
      <c r="N344" s="55"/>
      <c r="O344" s="247"/>
      <c r="P344" s="247"/>
      <c r="Q344" s="247"/>
      <c r="R344" s="247"/>
      <c r="S344" s="247"/>
      <c r="T344" s="247"/>
      <c r="U344" s="247"/>
      <c r="V344" s="247"/>
      <c r="W344" s="247"/>
      <c r="X344" s="247"/>
      <c r="Y344" s="247"/>
      <c r="Z344" s="247"/>
      <c r="AA344" s="247"/>
    </row>
    <row r="345">
      <c r="A345" s="247"/>
      <c r="B345" s="245"/>
      <c r="C345" s="246"/>
      <c r="D345" s="247"/>
      <c r="E345" s="247"/>
      <c r="F345" s="247"/>
      <c r="G345" s="247"/>
      <c r="H345" s="247"/>
      <c r="I345" s="247"/>
      <c r="J345" s="246"/>
      <c r="K345" s="248"/>
      <c r="L345" s="246"/>
      <c r="M345" s="154"/>
      <c r="N345" s="55"/>
      <c r="O345" s="247"/>
      <c r="P345" s="247"/>
      <c r="Q345" s="247"/>
      <c r="R345" s="247"/>
      <c r="S345" s="247"/>
      <c r="T345" s="247"/>
      <c r="U345" s="247"/>
      <c r="V345" s="247"/>
      <c r="W345" s="247"/>
      <c r="X345" s="247"/>
      <c r="Y345" s="247"/>
      <c r="Z345" s="247"/>
      <c r="AA345" s="247"/>
    </row>
    <row r="346">
      <c r="A346" s="247"/>
      <c r="B346" s="245"/>
      <c r="C346" s="246"/>
      <c r="D346" s="247"/>
      <c r="E346" s="247"/>
      <c r="F346" s="247"/>
      <c r="G346" s="247"/>
      <c r="H346" s="247"/>
      <c r="I346" s="247"/>
      <c r="J346" s="246"/>
      <c r="K346" s="248"/>
      <c r="L346" s="246"/>
      <c r="M346" s="154"/>
      <c r="N346" s="55"/>
      <c r="O346" s="247"/>
      <c r="P346" s="247"/>
      <c r="Q346" s="247"/>
      <c r="R346" s="247"/>
      <c r="S346" s="247"/>
      <c r="T346" s="247"/>
      <c r="U346" s="247"/>
      <c r="V346" s="247"/>
      <c r="W346" s="247"/>
      <c r="X346" s="247"/>
      <c r="Y346" s="247"/>
      <c r="Z346" s="247"/>
      <c r="AA346" s="247"/>
    </row>
    <row r="347">
      <c r="A347" s="247"/>
      <c r="B347" s="245"/>
      <c r="C347" s="246"/>
      <c r="D347" s="247"/>
      <c r="E347" s="247"/>
      <c r="F347" s="247"/>
      <c r="G347" s="247"/>
      <c r="H347" s="247"/>
      <c r="I347" s="247"/>
      <c r="J347" s="246"/>
      <c r="K347" s="248"/>
      <c r="L347" s="246"/>
      <c r="M347" s="154"/>
      <c r="N347" s="55"/>
      <c r="O347" s="247"/>
      <c r="P347" s="247"/>
      <c r="Q347" s="247"/>
      <c r="R347" s="247"/>
      <c r="S347" s="247"/>
      <c r="T347" s="247"/>
      <c r="U347" s="247"/>
      <c r="V347" s="247"/>
      <c r="W347" s="247"/>
      <c r="X347" s="247"/>
      <c r="Y347" s="247"/>
      <c r="Z347" s="247"/>
      <c r="AA347" s="247"/>
    </row>
    <row r="348">
      <c r="A348" s="247"/>
      <c r="B348" s="245"/>
      <c r="C348" s="246"/>
      <c r="D348" s="247"/>
      <c r="E348" s="247"/>
      <c r="F348" s="247"/>
      <c r="G348" s="247"/>
      <c r="H348" s="247"/>
      <c r="I348" s="247"/>
      <c r="J348" s="246"/>
      <c r="K348" s="248"/>
      <c r="L348" s="246"/>
      <c r="M348" s="154"/>
      <c r="N348" s="55"/>
      <c r="O348" s="247"/>
      <c r="P348" s="247"/>
      <c r="Q348" s="247"/>
      <c r="R348" s="247"/>
      <c r="S348" s="247"/>
      <c r="T348" s="247"/>
      <c r="U348" s="247"/>
      <c r="V348" s="247"/>
      <c r="W348" s="247"/>
      <c r="X348" s="247"/>
      <c r="Y348" s="247"/>
      <c r="Z348" s="247"/>
      <c r="AA348" s="247"/>
    </row>
    <row r="349">
      <c r="A349" s="247"/>
      <c r="B349" s="245"/>
      <c r="C349" s="246"/>
      <c r="D349" s="247"/>
      <c r="E349" s="247"/>
      <c r="F349" s="247"/>
      <c r="G349" s="247"/>
      <c r="H349" s="247"/>
      <c r="I349" s="247"/>
      <c r="J349" s="246"/>
      <c r="K349" s="248"/>
      <c r="L349" s="246"/>
      <c r="M349" s="154"/>
      <c r="N349" s="55"/>
      <c r="O349" s="247"/>
      <c r="P349" s="247"/>
      <c r="Q349" s="247"/>
      <c r="R349" s="247"/>
      <c r="S349" s="247"/>
      <c r="T349" s="247"/>
      <c r="U349" s="247"/>
      <c r="V349" s="247"/>
      <c r="W349" s="247"/>
      <c r="X349" s="247"/>
      <c r="Y349" s="247"/>
      <c r="Z349" s="247"/>
      <c r="AA349" s="247"/>
    </row>
    <row r="350">
      <c r="A350" s="247"/>
      <c r="B350" s="245"/>
      <c r="C350" s="246"/>
      <c r="D350" s="247"/>
      <c r="E350" s="247"/>
      <c r="F350" s="247"/>
      <c r="G350" s="247"/>
      <c r="H350" s="247"/>
      <c r="I350" s="247"/>
      <c r="J350" s="246"/>
      <c r="K350" s="248"/>
      <c r="L350" s="246"/>
      <c r="M350" s="154"/>
      <c r="N350" s="55"/>
      <c r="O350" s="247"/>
      <c r="P350" s="247"/>
      <c r="Q350" s="247"/>
      <c r="R350" s="247"/>
      <c r="S350" s="247"/>
      <c r="T350" s="247"/>
      <c r="U350" s="247"/>
      <c r="V350" s="247"/>
      <c r="W350" s="247"/>
      <c r="X350" s="247"/>
      <c r="Y350" s="247"/>
      <c r="Z350" s="247"/>
      <c r="AA350" s="247"/>
    </row>
    <row r="351">
      <c r="A351" s="247"/>
      <c r="B351" s="245"/>
      <c r="C351" s="246"/>
      <c r="D351" s="247"/>
      <c r="E351" s="247"/>
      <c r="F351" s="247"/>
      <c r="G351" s="247"/>
      <c r="H351" s="247"/>
      <c r="I351" s="247"/>
      <c r="J351" s="246"/>
      <c r="K351" s="248"/>
      <c r="L351" s="246"/>
      <c r="M351" s="154"/>
      <c r="N351" s="55"/>
      <c r="O351" s="247"/>
      <c r="P351" s="247"/>
      <c r="Q351" s="247"/>
      <c r="R351" s="247"/>
      <c r="S351" s="247"/>
      <c r="T351" s="247"/>
      <c r="U351" s="247"/>
      <c r="V351" s="247"/>
      <c r="W351" s="247"/>
      <c r="X351" s="247"/>
      <c r="Y351" s="247"/>
      <c r="Z351" s="247"/>
      <c r="AA351" s="247"/>
    </row>
    <row r="352">
      <c r="A352" s="247"/>
      <c r="B352" s="245"/>
      <c r="C352" s="246"/>
      <c r="D352" s="247"/>
      <c r="E352" s="247"/>
      <c r="F352" s="247"/>
      <c r="G352" s="247"/>
      <c r="H352" s="247"/>
      <c r="I352" s="247"/>
      <c r="J352" s="246"/>
      <c r="K352" s="248"/>
      <c r="L352" s="246"/>
      <c r="M352" s="154"/>
      <c r="N352" s="55"/>
      <c r="O352" s="247"/>
      <c r="P352" s="247"/>
      <c r="Q352" s="247"/>
      <c r="R352" s="247"/>
      <c r="S352" s="247"/>
      <c r="T352" s="247"/>
      <c r="U352" s="247"/>
      <c r="V352" s="247"/>
      <c r="W352" s="247"/>
      <c r="X352" s="247"/>
      <c r="Y352" s="247"/>
      <c r="Z352" s="247"/>
      <c r="AA352" s="247"/>
    </row>
    <row r="353">
      <c r="A353" s="247"/>
      <c r="B353" s="245"/>
      <c r="C353" s="246"/>
      <c r="D353" s="247"/>
      <c r="E353" s="247"/>
      <c r="F353" s="247"/>
      <c r="G353" s="247"/>
      <c r="H353" s="247"/>
      <c r="I353" s="247"/>
      <c r="J353" s="246"/>
      <c r="K353" s="248"/>
      <c r="L353" s="246"/>
      <c r="M353" s="154"/>
      <c r="N353" s="55"/>
      <c r="O353" s="247"/>
      <c r="P353" s="247"/>
      <c r="Q353" s="247"/>
      <c r="R353" s="247"/>
      <c r="S353" s="247"/>
      <c r="T353" s="247"/>
      <c r="U353" s="247"/>
      <c r="V353" s="247"/>
      <c r="W353" s="247"/>
      <c r="X353" s="247"/>
      <c r="Y353" s="247"/>
      <c r="Z353" s="247"/>
      <c r="AA353" s="247"/>
    </row>
    <row r="354">
      <c r="A354" s="247"/>
      <c r="B354" s="245"/>
      <c r="C354" s="246"/>
      <c r="D354" s="247"/>
      <c r="E354" s="247"/>
      <c r="F354" s="247"/>
      <c r="G354" s="247"/>
      <c r="H354" s="247"/>
      <c r="I354" s="247"/>
      <c r="J354" s="246"/>
      <c r="K354" s="248"/>
      <c r="L354" s="246"/>
      <c r="M354" s="154"/>
      <c r="N354" s="55"/>
      <c r="O354" s="247"/>
      <c r="P354" s="247"/>
      <c r="Q354" s="247"/>
      <c r="R354" s="247"/>
      <c r="S354" s="247"/>
      <c r="T354" s="247"/>
      <c r="U354" s="247"/>
      <c r="V354" s="247"/>
      <c r="W354" s="247"/>
      <c r="X354" s="247"/>
      <c r="Y354" s="247"/>
      <c r="Z354" s="247"/>
      <c r="AA354" s="247"/>
    </row>
    <row r="355">
      <c r="A355" s="247"/>
      <c r="B355" s="245"/>
      <c r="C355" s="246"/>
      <c r="D355" s="247"/>
      <c r="E355" s="247"/>
      <c r="F355" s="247"/>
      <c r="G355" s="247"/>
      <c r="H355" s="247"/>
      <c r="I355" s="247"/>
      <c r="J355" s="246"/>
      <c r="K355" s="248"/>
      <c r="L355" s="246"/>
      <c r="M355" s="154"/>
      <c r="N355" s="55"/>
      <c r="O355" s="247"/>
      <c r="P355" s="247"/>
      <c r="Q355" s="247"/>
      <c r="R355" s="247"/>
      <c r="S355" s="247"/>
      <c r="T355" s="247"/>
      <c r="U355" s="247"/>
      <c r="V355" s="247"/>
      <c r="W355" s="247"/>
      <c r="X355" s="247"/>
      <c r="Y355" s="247"/>
      <c r="Z355" s="247"/>
      <c r="AA355" s="247"/>
    </row>
    <row r="356">
      <c r="A356" s="247"/>
      <c r="B356" s="245"/>
      <c r="C356" s="246"/>
      <c r="D356" s="247"/>
      <c r="E356" s="247"/>
      <c r="F356" s="247"/>
      <c r="G356" s="247"/>
      <c r="H356" s="247"/>
      <c r="I356" s="247"/>
      <c r="J356" s="246"/>
      <c r="K356" s="248"/>
      <c r="L356" s="246"/>
      <c r="M356" s="154"/>
      <c r="N356" s="55"/>
      <c r="O356" s="247"/>
      <c r="P356" s="247"/>
      <c r="Q356" s="247"/>
      <c r="R356" s="247"/>
      <c r="S356" s="247"/>
      <c r="T356" s="247"/>
      <c r="U356" s="247"/>
      <c r="V356" s="247"/>
      <c r="W356" s="247"/>
      <c r="X356" s="247"/>
      <c r="Y356" s="247"/>
      <c r="Z356" s="247"/>
      <c r="AA356" s="247"/>
    </row>
    <row r="357">
      <c r="A357" s="247"/>
      <c r="B357" s="245"/>
      <c r="C357" s="246"/>
      <c r="D357" s="247"/>
      <c r="E357" s="247"/>
      <c r="F357" s="247"/>
      <c r="G357" s="247"/>
      <c r="H357" s="247"/>
      <c r="I357" s="247"/>
      <c r="J357" s="246"/>
      <c r="K357" s="248"/>
      <c r="L357" s="246"/>
      <c r="M357" s="154"/>
      <c r="N357" s="55"/>
      <c r="O357" s="247"/>
      <c r="P357" s="247"/>
      <c r="Q357" s="247"/>
      <c r="R357" s="247"/>
      <c r="S357" s="247"/>
      <c r="T357" s="247"/>
      <c r="U357" s="247"/>
      <c r="V357" s="247"/>
      <c r="W357" s="247"/>
      <c r="X357" s="247"/>
      <c r="Y357" s="247"/>
      <c r="Z357" s="247"/>
      <c r="AA357" s="247"/>
    </row>
    <row r="358">
      <c r="A358" s="247"/>
      <c r="B358" s="245"/>
      <c r="C358" s="246"/>
      <c r="D358" s="247"/>
      <c r="E358" s="247"/>
      <c r="F358" s="247"/>
      <c r="G358" s="247"/>
      <c r="H358" s="247"/>
      <c r="I358" s="247"/>
      <c r="J358" s="246"/>
      <c r="K358" s="248"/>
      <c r="L358" s="246"/>
      <c r="M358" s="154"/>
      <c r="N358" s="55"/>
      <c r="O358" s="247"/>
      <c r="P358" s="247"/>
      <c r="Q358" s="247"/>
      <c r="R358" s="247"/>
      <c r="S358" s="247"/>
      <c r="T358" s="247"/>
      <c r="U358" s="247"/>
      <c r="V358" s="247"/>
      <c r="W358" s="247"/>
      <c r="X358" s="247"/>
      <c r="Y358" s="247"/>
      <c r="Z358" s="247"/>
      <c r="AA358" s="247"/>
    </row>
    <row r="359">
      <c r="A359" s="247"/>
      <c r="B359" s="245"/>
      <c r="C359" s="246"/>
      <c r="D359" s="247"/>
      <c r="E359" s="247"/>
      <c r="F359" s="247"/>
      <c r="G359" s="247"/>
      <c r="H359" s="247"/>
      <c r="I359" s="247"/>
      <c r="J359" s="246"/>
      <c r="K359" s="248"/>
      <c r="L359" s="246"/>
      <c r="M359" s="154"/>
      <c r="N359" s="55"/>
      <c r="O359" s="247"/>
      <c r="P359" s="247"/>
      <c r="Q359" s="247"/>
      <c r="R359" s="247"/>
      <c r="S359" s="247"/>
      <c r="T359" s="247"/>
      <c r="U359" s="247"/>
      <c r="V359" s="247"/>
      <c r="W359" s="247"/>
      <c r="X359" s="247"/>
      <c r="Y359" s="247"/>
      <c r="Z359" s="247"/>
      <c r="AA359" s="247"/>
    </row>
    <row r="360">
      <c r="A360" s="247"/>
      <c r="B360" s="245"/>
      <c r="C360" s="246"/>
      <c r="D360" s="247"/>
      <c r="E360" s="247"/>
      <c r="F360" s="247"/>
      <c r="G360" s="247"/>
      <c r="H360" s="247"/>
      <c r="I360" s="247"/>
      <c r="J360" s="246"/>
      <c r="K360" s="248"/>
      <c r="L360" s="246"/>
      <c r="M360" s="154"/>
      <c r="N360" s="55"/>
      <c r="O360" s="247"/>
      <c r="P360" s="247"/>
      <c r="Q360" s="247"/>
      <c r="R360" s="247"/>
      <c r="S360" s="247"/>
      <c r="T360" s="247"/>
      <c r="U360" s="247"/>
      <c r="V360" s="247"/>
      <c r="W360" s="247"/>
      <c r="X360" s="247"/>
      <c r="Y360" s="247"/>
      <c r="Z360" s="247"/>
      <c r="AA360" s="247"/>
    </row>
    <row r="361">
      <c r="A361" s="247"/>
      <c r="B361" s="245"/>
      <c r="C361" s="246"/>
      <c r="D361" s="247"/>
      <c r="E361" s="247"/>
      <c r="F361" s="247"/>
      <c r="G361" s="247"/>
      <c r="H361" s="247"/>
      <c r="I361" s="247"/>
      <c r="J361" s="246"/>
      <c r="K361" s="248"/>
      <c r="L361" s="246"/>
      <c r="M361" s="154"/>
      <c r="N361" s="55"/>
      <c r="O361" s="247"/>
      <c r="P361" s="247"/>
      <c r="Q361" s="247"/>
      <c r="R361" s="247"/>
      <c r="S361" s="247"/>
      <c r="T361" s="247"/>
      <c r="U361" s="247"/>
      <c r="V361" s="247"/>
      <c r="W361" s="247"/>
      <c r="X361" s="247"/>
      <c r="Y361" s="247"/>
      <c r="Z361" s="247"/>
      <c r="AA361" s="247"/>
    </row>
    <row r="362">
      <c r="A362" s="247"/>
      <c r="B362" s="245"/>
      <c r="C362" s="246"/>
      <c r="D362" s="247"/>
      <c r="E362" s="247"/>
      <c r="F362" s="247"/>
      <c r="G362" s="247"/>
      <c r="H362" s="247"/>
      <c r="I362" s="247"/>
      <c r="J362" s="246"/>
      <c r="K362" s="248"/>
      <c r="L362" s="246"/>
      <c r="M362" s="154"/>
      <c r="N362" s="55"/>
      <c r="O362" s="247"/>
      <c r="P362" s="247"/>
      <c r="Q362" s="247"/>
      <c r="R362" s="247"/>
      <c r="S362" s="247"/>
      <c r="T362" s="247"/>
      <c r="U362" s="247"/>
      <c r="V362" s="247"/>
      <c r="W362" s="247"/>
      <c r="X362" s="247"/>
      <c r="Y362" s="247"/>
      <c r="Z362" s="247"/>
      <c r="AA362" s="247"/>
    </row>
    <row r="363">
      <c r="A363" s="247"/>
      <c r="B363" s="245"/>
      <c r="C363" s="246"/>
      <c r="D363" s="247"/>
      <c r="E363" s="247"/>
      <c r="F363" s="247"/>
      <c r="G363" s="247"/>
      <c r="H363" s="247"/>
      <c r="I363" s="247"/>
      <c r="J363" s="246"/>
      <c r="K363" s="248"/>
      <c r="L363" s="246"/>
      <c r="M363" s="154"/>
      <c r="N363" s="55"/>
      <c r="O363" s="247"/>
      <c r="P363" s="247"/>
      <c r="Q363" s="247"/>
      <c r="R363" s="247"/>
      <c r="S363" s="247"/>
      <c r="T363" s="247"/>
      <c r="U363" s="247"/>
      <c r="V363" s="247"/>
      <c r="W363" s="247"/>
      <c r="X363" s="247"/>
      <c r="Y363" s="247"/>
      <c r="Z363" s="247"/>
      <c r="AA363" s="247"/>
    </row>
    <row r="364">
      <c r="A364" s="247"/>
      <c r="B364" s="245"/>
      <c r="C364" s="246"/>
      <c r="D364" s="247"/>
      <c r="E364" s="247"/>
      <c r="F364" s="247"/>
      <c r="G364" s="247"/>
      <c r="H364" s="247"/>
      <c r="I364" s="247"/>
      <c r="J364" s="246"/>
      <c r="K364" s="248"/>
      <c r="L364" s="246"/>
      <c r="M364" s="154"/>
      <c r="N364" s="55"/>
      <c r="O364" s="247"/>
      <c r="P364" s="247"/>
      <c r="Q364" s="247"/>
      <c r="R364" s="247"/>
      <c r="S364" s="247"/>
      <c r="T364" s="247"/>
      <c r="U364" s="247"/>
      <c r="V364" s="247"/>
      <c r="W364" s="247"/>
      <c r="X364" s="247"/>
      <c r="Y364" s="247"/>
      <c r="Z364" s="247"/>
      <c r="AA364" s="247"/>
    </row>
    <row r="365">
      <c r="A365" s="247"/>
      <c r="B365" s="245"/>
      <c r="C365" s="246"/>
      <c r="D365" s="247"/>
      <c r="E365" s="247"/>
      <c r="F365" s="247"/>
      <c r="G365" s="247"/>
      <c r="H365" s="247"/>
      <c r="I365" s="247"/>
      <c r="J365" s="246"/>
      <c r="K365" s="248"/>
      <c r="L365" s="246"/>
      <c r="M365" s="154"/>
      <c r="N365" s="55"/>
      <c r="O365" s="247"/>
      <c r="P365" s="247"/>
      <c r="Q365" s="247"/>
      <c r="R365" s="247"/>
      <c r="S365" s="247"/>
      <c r="T365" s="247"/>
      <c r="U365" s="247"/>
      <c r="V365" s="247"/>
      <c r="W365" s="247"/>
      <c r="X365" s="247"/>
      <c r="Y365" s="247"/>
      <c r="Z365" s="247"/>
      <c r="AA365" s="247"/>
    </row>
    <row r="366">
      <c r="A366" s="247"/>
      <c r="B366" s="245"/>
      <c r="C366" s="246"/>
      <c r="D366" s="247"/>
      <c r="E366" s="247"/>
      <c r="F366" s="247"/>
      <c r="G366" s="247"/>
      <c r="H366" s="247"/>
      <c r="I366" s="247"/>
      <c r="J366" s="246"/>
      <c r="K366" s="248"/>
      <c r="L366" s="246"/>
      <c r="M366" s="154"/>
      <c r="N366" s="55"/>
      <c r="O366" s="247"/>
      <c r="P366" s="247"/>
      <c r="Q366" s="247"/>
      <c r="R366" s="247"/>
      <c r="S366" s="247"/>
      <c r="T366" s="247"/>
      <c r="U366" s="247"/>
      <c r="V366" s="247"/>
      <c r="W366" s="247"/>
      <c r="X366" s="247"/>
      <c r="Y366" s="247"/>
      <c r="Z366" s="247"/>
      <c r="AA366" s="247"/>
    </row>
    <row r="367">
      <c r="A367" s="247"/>
      <c r="B367" s="245"/>
      <c r="C367" s="246"/>
      <c r="D367" s="247"/>
      <c r="E367" s="247"/>
      <c r="F367" s="247"/>
      <c r="G367" s="247"/>
      <c r="H367" s="247"/>
      <c r="I367" s="247"/>
      <c r="J367" s="246"/>
      <c r="K367" s="248"/>
      <c r="L367" s="246"/>
      <c r="M367" s="154"/>
      <c r="N367" s="55"/>
      <c r="O367" s="247"/>
      <c r="P367" s="247"/>
      <c r="Q367" s="247"/>
      <c r="R367" s="247"/>
      <c r="S367" s="247"/>
      <c r="T367" s="247"/>
      <c r="U367" s="247"/>
      <c r="V367" s="247"/>
      <c r="W367" s="247"/>
      <c r="X367" s="247"/>
      <c r="Y367" s="247"/>
      <c r="Z367" s="247"/>
      <c r="AA367" s="247"/>
    </row>
    <row r="368">
      <c r="A368" s="247"/>
      <c r="B368" s="245"/>
      <c r="C368" s="246"/>
      <c r="D368" s="247"/>
      <c r="E368" s="247"/>
      <c r="F368" s="247"/>
      <c r="G368" s="247"/>
      <c r="H368" s="247"/>
      <c r="I368" s="247"/>
      <c r="J368" s="246"/>
      <c r="K368" s="248"/>
      <c r="L368" s="246"/>
      <c r="M368" s="154"/>
      <c r="N368" s="55"/>
      <c r="O368" s="247"/>
      <c r="P368" s="247"/>
      <c r="Q368" s="247"/>
      <c r="R368" s="247"/>
      <c r="S368" s="247"/>
      <c r="T368" s="247"/>
      <c r="U368" s="247"/>
      <c r="V368" s="247"/>
      <c r="W368" s="247"/>
      <c r="X368" s="247"/>
      <c r="Y368" s="247"/>
      <c r="Z368" s="247"/>
      <c r="AA368" s="247"/>
    </row>
    <row r="369">
      <c r="A369" s="247"/>
      <c r="B369" s="245"/>
      <c r="C369" s="246"/>
      <c r="D369" s="247"/>
      <c r="E369" s="247"/>
      <c r="F369" s="247"/>
      <c r="G369" s="247"/>
      <c r="H369" s="247"/>
      <c r="I369" s="247"/>
      <c r="J369" s="246"/>
      <c r="K369" s="248"/>
      <c r="L369" s="246"/>
      <c r="M369" s="154"/>
      <c r="N369" s="55"/>
      <c r="O369" s="247"/>
      <c r="P369" s="247"/>
      <c r="Q369" s="247"/>
      <c r="R369" s="247"/>
      <c r="S369" s="247"/>
      <c r="T369" s="247"/>
      <c r="U369" s="247"/>
      <c r="V369" s="247"/>
      <c r="W369" s="247"/>
      <c r="X369" s="247"/>
      <c r="Y369" s="247"/>
      <c r="Z369" s="247"/>
      <c r="AA369" s="247"/>
    </row>
    <row r="370">
      <c r="A370" s="247"/>
      <c r="B370" s="245"/>
      <c r="C370" s="246"/>
      <c r="D370" s="247"/>
      <c r="E370" s="247"/>
      <c r="F370" s="247"/>
      <c r="G370" s="247"/>
      <c r="H370" s="247"/>
      <c r="I370" s="247"/>
      <c r="J370" s="246"/>
      <c r="K370" s="248"/>
      <c r="L370" s="246"/>
      <c r="M370" s="154"/>
      <c r="N370" s="55"/>
      <c r="O370" s="247"/>
      <c r="P370" s="247"/>
      <c r="Q370" s="247"/>
      <c r="R370" s="247"/>
      <c r="S370" s="247"/>
      <c r="T370" s="247"/>
      <c r="U370" s="247"/>
      <c r="V370" s="247"/>
      <c r="W370" s="247"/>
      <c r="X370" s="247"/>
      <c r="Y370" s="247"/>
      <c r="Z370" s="247"/>
      <c r="AA370" s="247"/>
    </row>
    <row r="371">
      <c r="A371" s="247"/>
      <c r="B371" s="245"/>
      <c r="C371" s="246"/>
      <c r="D371" s="247"/>
      <c r="E371" s="247"/>
      <c r="F371" s="247"/>
      <c r="G371" s="247"/>
      <c r="H371" s="247"/>
      <c r="I371" s="247"/>
      <c r="J371" s="246"/>
      <c r="K371" s="248"/>
      <c r="L371" s="246"/>
      <c r="M371" s="154"/>
      <c r="N371" s="55"/>
      <c r="O371" s="247"/>
      <c r="P371" s="247"/>
      <c r="Q371" s="247"/>
      <c r="R371" s="247"/>
      <c r="S371" s="247"/>
      <c r="T371" s="247"/>
      <c r="U371" s="247"/>
      <c r="V371" s="247"/>
      <c r="W371" s="247"/>
      <c r="X371" s="247"/>
      <c r="Y371" s="247"/>
      <c r="Z371" s="247"/>
      <c r="AA371" s="247"/>
    </row>
    <row r="372">
      <c r="A372" s="247"/>
      <c r="B372" s="245"/>
      <c r="C372" s="246"/>
      <c r="D372" s="247"/>
      <c r="E372" s="247"/>
      <c r="F372" s="247"/>
      <c r="G372" s="247"/>
      <c r="H372" s="247"/>
      <c r="I372" s="247"/>
      <c r="J372" s="246"/>
      <c r="K372" s="248"/>
      <c r="L372" s="246"/>
      <c r="M372" s="154"/>
      <c r="N372" s="55"/>
      <c r="O372" s="247"/>
      <c r="P372" s="247"/>
      <c r="Q372" s="247"/>
      <c r="R372" s="247"/>
      <c r="S372" s="247"/>
      <c r="T372" s="247"/>
      <c r="U372" s="247"/>
      <c r="V372" s="247"/>
      <c r="W372" s="247"/>
      <c r="X372" s="247"/>
      <c r="Y372" s="247"/>
      <c r="Z372" s="247"/>
      <c r="AA372" s="247"/>
    </row>
    <row r="373">
      <c r="A373" s="247"/>
      <c r="B373" s="245"/>
      <c r="C373" s="246"/>
      <c r="D373" s="247"/>
      <c r="E373" s="247"/>
      <c r="F373" s="247"/>
      <c r="G373" s="247"/>
      <c r="H373" s="247"/>
      <c r="I373" s="247"/>
      <c r="J373" s="246"/>
      <c r="K373" s="248"/>
      <c r="L373" s="246"/>
      <c r="M373" s="154"/>
      <c r="N373" s="55"/>
      <c r="O373" s="247"/>
      <c r="P373" s="247"/>
      <c r="Q373" s="247"/>
      <c r="R373" s="247"/>
      <c r="S373" s="247"/>
      <c r="T373" s="247"/>
      <c r="U373" s="247"/>
      <c r="V373" s="247"/>
      <c r="W373" s="247"/>
      <c r="X373" s="247"/>
      <c r="Y373" s="247"/>
      <c r="Z373" s="247"/>
      <c r="AA373" s="247"/>
    </row>
    <row r="374">
      <c r="A374" s="247"/>
      <c r="B374" s="245"/>
      <c r="C374" s="246"/>
      <c r="D374" s="247"/>
      <c r="E374" s="247"/>
      <c r="F374" s="247"/>
      <c r="G374" s="247"/>
      <c r="H374" s="247"/>
      <c r="I374" s="247"/>
      <c r="J374" s="246"/>
      <c r="K374" s="248"/>
      <c r="L374" s="246"/>
      <c r="M374" s="154"/>
      <c r="N374" s="55"/>
      <c r="O374" s="247"/>
      <c r="P374" s="247"/>
      <c r="Q374" s="247"/>
      <c r="R374" s="247"/>
      <c r="S374" s="247"/>
      <c r="T374" s="247"/>
      <c r="U374" s="247"/>
      <c r="V374" s="247"/>
      <c r="W374" s="247"/>
      <c r="X374" s="247"/>
      <c r="Y374" s="247"/>
      <c r="Z374" s="247"/>
      <c r="AA374" s="247"/>
    </row>
    <row r="375">
      <c r="A375" s="247"/>
      <c r="B375" s="245"/>
      <c r="C375" s="246"/>
      <c r="D375" s="247"/>
      <c r="E375" s="247"/>
      <c r="F375" s="247"/>
      <c r="G375" s="247"/>
      <c r="H375" s="247"/>
      <c r="I375" s="247"/>
      <c r="J375" s="246"/>
      <c r="K375" s="248"/>
      <c r="L375" s="246"/>
      <c r="M375" s="154"/>
      <c r="N375" s="55"/>
      <c r="O375" s="247"/>
      <c r="P375" s="247"/>
      <c r="Q375" s="247"/>
      <c r="R375" s="247"/>
      <c r="S375" s="247"/>
      <c r="T375" s="247"/>
      <c r="U375" s="247"/>
      <c r="V375" s="247"/>
      <c r="W375" s="247"/>
      <c r="X375" s="247"/>
      <c r="Y375" s="247"/>
      <c r="Z375" s="247"/>
      <c r="AA375" s="247"/>
    </row>
    <row r="376">
      <c r="A376" s="247"/>
      <c r="B376" s="245"/>
      <c r="C376" s="246"/>
      <c r="D376" s="247"/>
      <c r="E376" s="247"/>
      <c r="F376" s="247"/>
      <c r="G376" s="247"/>
      <c r="H376" s="247"/>
      <c r="I376" s="247"/>
      <c r="J376" s="246"/>
      <c r="K376" s="248"/>
      <c r="L376" s="246"/>
      <c r="M376" s="154"/>
      <c r="N376" s="55"/>
      <c r="O376" s="247"/>
      <c r="P376" s="247"/>
      <c r="Q376" s="247"/>
      <c r="R376" s="247"/>
      <c r="S376" s="247"/>
      <c r="T376" s="247"/>
      <c r="U376" s="247"/>
      <c r="V376" s="247"/>
      <c r="W376" s="247"/>
      <c r="X376" s="247"/>
      <c r="Y376" s="247"/>
      <c r="Z376" s="247"/>
      <c r="AA376" s="247"/>
    </row>
    <row r="377">
      <c r="A377" s="247"/>
      <c r="B377" s="245"/>
      <c r="C377" s="246"/>
      <c r="D377" s="247"/>
      <c r="E377" s="247"/>
      <c r="F377" s="247"/>
      <c r="G377" s="247"/>
      <c r="H377" s="247"/>
      <c r="I377" s="247"/>
      <c r="J377" s="246"/>
      <c r="K377" s="248"/>
      <c r="L377" s="246"/>
      <c r="M377" s="154"/>
      <c r="N377" s="55"/>
      <c r="O377" s="247"/>
      <c r="P377" s="247"/>
      <c r="Q377" s="247"/>
      <c r="R377" s="247"/>
      <c r="S377" s="247"/>
      <c r="T377" s="247"/>
      <c r="U377" s="247"/>
      <c r="V377" s="247"/>
      <c r="W377" s="247"/>
      <c r="X377" s="247"/>
      <c r="Y377" s="247"/>
      <c r="Z377" s="247"/>
      <c r="AA377" s="247"/>
    </row>
    <row r="378">
      <c r="A378" s="247"/>
      <c r="B378" s="245"/>
      <c r="C378" s="246"/>
      <c r="D378" s="247"/>
      <c r="E378" s="247"/>
      <c r="F378" s="247"/>
      <c r="G378" s="247"/>
      <c r="H378" s="247"/>
      <c r="I378" s="247"/>
      <c r="J378" s="246"/>
      <c r="K378" s="248"/>
      <c r="L378" s="246"/>
      <c r="M378" s="154"/>
      <c r="N378" s="55"/>
      <c r="O378" s="247"/>
      <c r="P378" s="247"/>
      <c r="Q378" s="247"/>
      <c r="R378" s="247"/>
      <c r="S378" s="247"/>
      <c r="T378" s="247"/>
      <c r="U378" s="247"/>
      <c r="V378" s="247"/>
      <c r="W378" s="247"/>
      <c r="X378" s="247"/>
      <c r="Y378" s="247"/>
      <c r="Z378" s="247"/>
      <c r="AA378" s="247"/>
    </row>
    <row r="379">
      <c r="A379" s="247"/>
      <c r="B379" s="245"/>
      <c r="C379" s="246"/>
      <c r="D379" s="247"/>
      <c r="E379" s="247"/>
      <c r="F379" s="247"/>
      <c r="G379" s="247"/>
      <c r="H379" s="247"/>
      <c r="I379" s="247"/>
      <c r="J379" s="246"/>
      <c r="K379" s="248"/>
      <c r="L379" s="246"/>
      <c r="M379" s="154"/>
      <c r="N379" s="55"/>
      <c r="O379" s="247"/>
      <c r="P379" s="247"/>
      <c r="Q379" s="247"/>
      <c r="R379" s="247"/>
      <c r="S379" s="247"/>
      <c r="T379" s="247"/>
      <c r="U379" s="247"/>
      <c r="V379" s="247"/>
      <c r="W379" s="247"/>
      <c r="X379" s="247"/>
      <c r="Y379" s="247"/>
      <c r="Z379" s="247"/>
      <c r="AA379" s="247"/>
    </row>
    <row r="380">
      <c r="A380" s="247"/>
      <c r="B380" s="245"/>
      <c r="C380" s="246"/>
      <c r="D380" s="247"/>
      <c r="E380" s="247"/>
      <c r="F380" s="247"/>
      <c r="G380" s="247"/>
      <c r="H380" s="247"/>
      <c r="I380" s="247"/>
      <c r="J380" s="246"/>
      <c r="K380" s="248"/>
      <c r="L380" s="246"/>
      <c r="M380" s="154"/>
      <c r="N380" s="55"/>
      <c r="O380" s="247"/>
      <c r="P380" s="247"/>
      <c r="Q380" s="247"/>
      <c r="R380" s="247"/>
      <c r="S380" s="247"/>
      <c r="T380" s="247"/>
      <c r="U380" s="247"/>
      <c r="V380" s="247"/>
      <c r="W380" s="247"/>
      <c r="X380" s="247"/>
      <c r="Y380" s="247"/>
      <c r="Z380" s="247"/>
      <c r="AA380" s="247"/>
    </row>
    <row r="381">
      <c r="A381" s="247"/>
      <c r="B381" s="245"/>
      <c r="C381" s="246"/>
      <c r="D381" s="247"/>
      <c r="E381" s="247"/>
      <c r="F381" s="247"/>
      <c r="G381" s="247"/>
      <c r="H381" s="247"/>
      <c r="I381" s="247"/>
      <c r="J381" s="246"/>
      <c r="K381" s="248"/>
      <c r="L381" s="246"/>
      <c r="M381" s="154"/>
      <c r="N381" s="55"/>
      <c r="O381" s="247"/>
      <c r="P381" s="247"/>
      <c r="Q381" s="247"/>
      <c r="R381" s="247"/>
      <c r="S381" s="247"/>
      <c r="T381" s="247"/>
      <c r="U381" s="247"/>
      <c r="V381" s="247"/>
      <c r="W381" s="247"/>
      <c r="X381" s="247"/>
      <c r="Y381" s="247"/>
      <c r="Z381" s="247"/>
      <c r="AA381" s="247"/>
    </row>
    <row r="382">
      <c r="A382" s="247"/>
      <c r="B382" s="245"/>
      <c r="C382" s="246"/>
      <c r="D382" s="247"/>
      <c r="E382" s="247"/>
      <c r="F382" s="247"/>
      <c r="G382" s="247"/>
      <c r="H382" s="247"/>
      <c r="I382" s="247"/>
      <c r="J382" s="246"/>
      <c r="K382" s="248"/>
      <c r="L382" s="246"/>
      <c r="M382" s="154"/>
      <c r="N382" s="55"/>
      <c r="O382" s="247"/>
      <c r="P382" s="247"/>
      <c r="Q382" s="247"/>
      <c r="R382" s="247"/>
      <c r="S382" s="247"/>
      <c r="T382" s="247"/>
      <c r="U382" s="247"/>
      <c r="V382" s="247"/>
      <c r="W382" s="247"/>
      <c r="X382" s="247"/>
      <c r="Y382" s="247"/>
      <c r="Z382" s="247"/>
      <c r="AA382" s="247"/>
    </row>
    <row r="383">
      <c r="A383" s="247"/>
      <c r="B383" s="245"/>
      <c r="C383" s="246"/>
      <c r="D383" s="247"/>
      <c r="E383" s="247"/>
      <c r="F383" s="247"/>
      <c r="G383" s="247"/>
      <c r="H383" s="247"/>
      <c r="I383" s="247"/>
      <c r="J383" s="246"/>
      <c r="K383" s="248"/>
      <c r="L383" s="246"/>
      <c r="M383" s="154"/>
      <c r="N383" s="55"/>
      <c r="O383" s="247"/>
      <c r="P383" s="247"/>
      <c r="Q383" s="247"/>
      <c r="R383" s="247"/>
      <c r="S383" s="247"/>
      <c r="T383" s="247"/>
      <c r="U383" s="247"/>
      <c r="V383" s="247"/>
      <c r="W383" s="247"/>
      <c r="X383" s="247"/>
      <c r="Y383" s="247"/>
      <c r="Z383" s="247"/>
      <c r="AA383" s="247"/>
    </row>
    <row r="384">
      <c r="A384" s="247"/>
      <c r="B384" s="245"/>
      <c r="C384" s="246"/>
      <c r="D384" s="247"/>
      <c r="E384" s="247"/>
      <c r="F384" s="247"/>
      <c r="G384" s="247"/>
      <c r="H384" s="247"/>
      <c r="I384" s="247"/>
      <c r="J384" s="246"/>
      <c r="K384" s="248"/>
      <c r="L384" s="246"/>
      <c r="M384" s="154"/>
      <c r="N384" s="55"/>
      <c r="O384" s="247"/>
      <c r="P384" s="247"/>
      <c r="Q384" s="247"/>
      <c r="R384" s="247"/>
      <c r="S384" s="247"/>
      <c r="T384" s="247"/>
      <c r="U384" s="247"/>
      <c r="V384" s="247"/>
      <c r="W384" s="247"/>
      <c r="X384" s="247"/>
      <c r="Y384" s="247"/>
      <c r="Z384" s="247"/>
      <c r="AA384" s="247"/>
    </row>
    <row r="385">
      <c r="A385" s="247"/>
      <c r="B385" s="245"/>
      <c r="C385" s="246"/>
      <c r="D385" s="247"/>
      <c r="E385" s="247"/>
      <c r="F385" s="247"/>
      <c r="G385" s="247"/>
      <c r="H385" s="247"/>
      <c r="I385" s="247"/>
      <c r="J385" s="246"/>
      <c r="K385" s="248"/>
      <c r="L385" s="246"/>
      <c r="M385" s="154"/>
      <c r="N385" s="55"/>
      <c r="O385" s="247"/>
      <c r="P385" s="247"/>
      <c r="Q385" s="247"/>
      <c r="R385" s="247"/>
      <c r="S385" s="247"/>
      <c r="T385" s="247"/>
      <c r="U385" s="247"/>
      <c r="V385" s="247"/>
      <c r="W385" s="247"/>
      <c r="X385" s="247"/>
      <c r="Y385" s="247"/>
      <c r="Z385" s="247"/>
      <c r="AA385" s="247"/>
    </row>
    <row r="386">
      <c r="A386" s="247"/>
      <c r="B386" s="245"/>
      <c r="C386" s="246"/>
      <c r="D386" s="247"/>
      <c r="E386" s="247"/>
      <c r="F386" s="247"/>
      <c r="G386" s="247"/>
      <c r="H386" s="247"/>
      <c r="I386" s="247"/>
      <c r="J386" s="246"/>
      <c r="K386" s="248"/>
      <c r="L386" s="246"/>
      <c r="M386" s="154"/>
      <c r="N386" s="55"/>
      <c r="O386" s="247"/>
      <c r="P386" s="247"/>
      <c r="Q386" s="247"/>
      <c r="R386" s="247"/>
      <c r="S386" s="247"/>
      <c r="T386" s="247"/>
      <c r="U386" s="247"/>
      <c r="V386" s="247"/>
      <c r="W386" s="247"/>
      <c r="X386" s="247"/>
      <c r="Y386" s="247"/>
      <c r="Z386" s="247"/>
      <c r="AA386" s="247"/>
    </row>
    <row r="387">
      <c r="A387" s="247"/>
      <c r="B387" s="245"/>
      <c r="C387" s="246"/>
      <c r="D387" s="247"/>
      <c r="E387" s="247"/>
      <c r="F387" s="247"/>
      <c r="G387" s="247"/>
      <c r="H387" s="247"/>
      <c r="I387" s="247"/>
      <c r="J387" s="246"/>
      <c r="K387" s="248"/>
      <c r="L387" s="246"/>
      <c r="M387" s="154"/>
      <c r="N387" s="55"/>
      <c r="O387" s="247"/>
      <c r="P387" s="247"/>
      <c r="Q387" s="247"/>
      <c r="R387" s="247"/>
      <c r="S387" s="247"/>
      <c r="T387" s="247"/>
      <c r="U387" s="247"/>
      <c r="V387" s="247"/>
      <c r="W387" s="247"/>
      <c r="X387" s="247"/>
      <c r="Y387" s="247"/>
      <c r="Z387" s="247"/>
      <c r="AA387" s="247"/>
    </row>
    <row r="388">
      <c r="A388" s="247"/>
      <c r="B388" s="245"/>
      <c r="C388" s="246"/>
      <c r="D388" s="247"/>
      <c r="E388" s="247"/>
      <c r="F388" s="247"/>
      <c r="G388" s="247"/>
      <c r="H388" s="247"/>
      <c r="I388" s="247"/>
      <c r="J388" s="246"/>
      <c r="K388" s="248"/>
      <c r="L388" s="246"/>
      <c r="M388" s="154"/>
      <c r="N388" s="55"/>
      <c r="O388" s="247"/>
      <c r="P388" s="247"/>
      <c r="Q388" s="247"/>
      <c r="R388" s="247"/>
      <c r="S388" s="247"/>
      <c r="T388" s="247"/>
      <c r="U388" s="247"/>
      <c r="V388" s="247"/>
      <c r="W388" s="247"/>
      <c r="X388" s="247"/>
      <c r="Y388" s="247"/>
      <c r="Z388" s="247"/>
      <c r="AA388" s="247"/>
    </row>
    <row r="389">
      <c r="A389" s="247"/>
      <c r="B389" s="245"/>
      <c r="C389" s="246"/>
      <c r="D389" s="247"/>
      <c r="E389" s="247"/>
      <c r="F389" s="247"/>
      <c r="G389" s="247"/>
      <c r="H389" s="247"/>
      <c r="I389" s="247"/>
      <c r="J389" s="246"/>
      <c r="K389" s="248"/>
      <c r="L389" s="246"/>
      <c r="M389" s="154"/>
      <c r="N389" s="55"/>
      <c r="O389" s="247"/>
      <c r="P389" s="247"/>
      <c r="Q389" s="247"/>
      <c r="R389" s="247"/>
      <c r="S389" s="247"/>
      <c r="T389" s="247"/>
      <c r="U389" s="247"/>
      <c r="V389" s="247"/>
      <c r="W389" s="247"/>
      <c r="X389" s="247"/>
      <c r="Y389" s="247"/>
      <c r="Z389" s="247"/>
      <c r="AA389" s="247"/>
    </row>
    <row r="390">
      <c r="A390" s="247"/>
      <c r="B390" s="245"/>
      <c r="C390" s="246"/>
      <c r="D390" s="247"/>
      <c r="E390" s="247"/>
      <c r="F390" s="247"/>
      <c r="G390" s="247"/>
      <c r="H390" s="247"/>
      <c r="I390" s="247"/>
      <c r="J390" s="246"/>
      <c r="K390" s="248"/>
      <c r="L390" s="246"/>
      <c r="M390" s="154"/>
      <c r="N390" s="55"/>
      <c r="O390" s="247"/>
      <c r="P390" s="247"/>
      <c r="Q390" s="247"/>
      <c r="R390" s="247"/>
      <c r="S390" s="247"/>
      <c r="T390" s="247"/>
      <c r="U390" s="247"/>
      <c r="V390" s="247"/>
      <c r="W390" s="247"/>
      <c r="X390" s="247"/>
      <c r="Y390" s="247"/>
      <c r="Z390" s="247"/>
      <c r="AA390" s="247"/>
    </row>
    <row r="391">
      <c r="A391" s="247"/>
      <c r="B391" s="245"/>
      <c r="C391" s="246"/>
      <c r="D391" s="247"/>
      <c r="E391" s="247"/>
      <c r="F391" s="247"/>
      <c r="G391" s="247"/>
      <c r="H391" s="247"/>
      <c r="I391" s="247"/>
      <c r="J391" s="246"/>
      <c r="K391" s="248"/>
      <c r="L391" s="246"/>
      <c r="M391" s="154"/>
      <c r="N391" s="55"/>
      <c r="O391" s="247"/>
      <c r="P391" s="247"/>
      <c r="Q391" s="247"/>
      <c r="R391" s="247"/>
      <c r="S391" s="247"/>
      <c r="T391" s="247"/>
      <c r="U391" s="247"/>
      <c r="V391" s="247"/>
      <c r="W391" s="247"/>
      <c r="X391" s="247"/>
      <c r="Y391" s="247"/>
      <c r="Z391" s="247"/>
      <c r="AA391" s="247"/>
    </row>
    <row r="392">
      <c r="A392" s="247"/>
      <c r="B392" s="245"/>
      <c r="C392" s="246"/>
      <c r="D392" s="247"/>
      <c r="E392" s="247"/>
      <c r="F392" s="247"/>
      <c r="G392" s="247"/>
      <c r="H392" s="247"/>
      <c r="I392" s="247"/>
      <c r="J392" s="246"/>
      <c r="K392" s="248"/>
      <c r="L392" s="246"/>
      <c r="M392" s="154"/>
      <c r="N392" s="55"/>
      <c r="O392" s="247"/>
      <c r="P392" s="247"/>
      <c r="Q392" s="247"/>
      <c r="R392" s="247"/>
      <c r="S392" s="247"/>
      <c r="T392" s="247"/>
      <c r="U392" s="247"/>
      <c r="V392" s="247"/>
      <c r="W392" s="247"/>
      <c r="X392" s="247"/>
      <c r="Y392" s="247"/>
      <c r="Z392" s="247"/>
      <c r="AA392" s="247"/>
    </row>
    <row r="393">
      <c r="A393" s="247"/>
      <c r="B393" s="245"/>
      <c r="C393" s="246"/>
      <c r="D393" s="247"/>
      <c r="E393" s="247"/>
      <c r="F393" s="247"/>
      <c r="G393" s="247"/>
      <c r="H393" s="247"/>
      <c r="I393" s="247"/>
      <c r="J393" s="246"/>
      <c r="K393" s="248"/>
      <c r="L393" s="246"/>
      <c r="M393" s="154"/>
      <c r="N393" s="55"/>
      <c r="O393" s="247"/>
      <c r="P393" s="247"/>
      <c r="Q393" s="247"/>
      <c r="R393" s="247"/>
      <c r="S393" s="247"/>
      <c r="T393" s="247"/>
      <c r="U393" s="247"/>
      <c r="V393" s="247"/>
      <c r="W393" s="247"/>
      <c r="X393" s="247"/>
      <c r="Y393" s="247"/>
      <c r="Z393" s="247"/>
      <c r="AA393" s="247"/>
    </row>
    <row r="394">
      <c r="A394" s="247"/>
      <c r="B394" s="245"/>
      <c r="C394" s="246"/>
      <c r="D394" s="247"/>
      <c r="E394" s="247"/>
      <c r="F394" s="247"/>
      <c r="G394" s="247"/>
      <c r="H394" s="247"/>
      <c r="I394" s="247"/>
      <c r="J394" s="246"/>
      <c r="K394" s="248"/>
      <c r="L394" s="246"/>
      <c r="M394" s="154"/>
      <c r="N394" s="55"/>
      <c r="O394" s="247"/>
      <c r="P394" s="247"/>
      <c r="Q394" s="247"/>
      <c r="R394" s="247"/>
      <c r="S394" s="247"/>
      <c r="T394" s="247"/>
      <c r="U394" s="247"/>
      <c r="V394" s="247"/>
      <c r="W394" s="247"/>
      <c r="X394" s="247"/>
      <c r="Y394" s="247"/>
      <c r="Z394" s="247"/>
      <c r="AA394" s="247"/>
    </row>
    <row r="395">
      <c r="A395" s="247"/>
      <c r="B395" s="245"/>
      <c r="C395" s="246"/>
      <c r="D395" s="247"/>
      <c r="E395" s="247"/>
      <c r="F395" s="247"/>
      <c r="G395" s="247"/>
      <c r="H395" s="247"/>
      <c r="I395" s="247"/>
      <c r="J395" s="246"/>
      <c r="K395" s="248"/>
      <c r="L395" s="246"/>
      <c r="M395" s="154"/>
      <c r="N395" s="55"/>
      <c r="O395" s="247"/>
      <c r="P395" s="247"/>
      <c r="Q395" s="247"/>
      <c r="R395" s="247"/>
      <c r="S395" s="247"/>
      <c r="T395" s="247"/>
      <c r="U395" s="247"/>
      <c r="V395" s="247"/>
      <c r="W395" s="247"/>
      <c r="X395" s="247"/>
      <c r="Y395" s="247"/>
      <c r="Z395" s="247"/>
      <c r="AA395" s="247"/>
    </row>
    <row r="396">
      <c r="A396" s="247"/>
      <c r="B396" s="245"/>
      <c r="C396" s="246"/>
      <c r="D396" s="247"/>
      <c r="E396" s="247"/>
      <c r="F396" s="247"/>
      <c r="G396" s="247"/>
      <c r="H396" s="247"/>
      <c r="I396" s="247"/>
      <c r="J396" s="246"/>
      <c r="K396" s="248"/>
      <c r="L396" s="246"/>
      <c r="M396" s="154"/>
      <c r="N396" s="55"/>
      <c r="O396" s="247"/>
      <c r="P396" s="247"/>
      <c r="Q396" s="247"/>
      <c r="R396" s="247"/>
      <c r="S396" s="247"/>
      <c r="T396" s="247"/>
      <c r="U396" s="247"/>
      <c r="V396" s="247"/>
      <c r="W396" s="247"/>
      <c r="X396" s="247"/>
      <c r="Y396" s="247"/>
      <c r="Z396" s="247"/>
      <c r="AA396" s="247"/>
    </row>
    <row r="397">
      <c r="A397" s="247"/>
      <c r="B397" s="245"/>
      <c r="C397" s="246"/>
      <c r="D397" s="247"/>
      <c r="E397" s="247"/>
      <c r="F397" s="247"/>
      <c r="G397" s="247"/>
      <c r="H397" s="247"/>
      <c r="I397" s="247"/>
      <c r="J397" s="246"/>
      <c r="K397" s="248"/>
      <c r="L397" s="246"/>
      <c r="M397" s="154"/>
      <c r="N397" s="55"/>
      <c r="O397" s="247"/>
      <c r="P397" s="247"/>
      <c r="Q397" s="247"/>
      <c r="R397" s="247"/>
      <c r="S397" s="247"/>
      <c r="T397" s="247"/>
      <c r="U397" s="247"/>
      <c r="V397" s="247"/>
      <c r="W397" s="247"/>
      <c r="X397" s="247"/>
      <c r="Y397" s="247"/>
      <c r="Z397" s="247"/>
      <c r="AA397" s="247"/>
    </row>
    <row r="398">
      <c r="A398" s="247"/>
      <c r="B398" s="245"/>
      <c r="C398" s="246"/>
      <c r="D398" s="247"/>
      <c r="E398" s="247"/>
      <c r="F398" s="247"/>
      <c r="G398" s="247"/>
      <c r="H398" s="247"/>
      <c r="I398" s="247"/>
      <c r="J398" s="246"/>
      <c r="K398" s="248"/>
      <c r="L398" s="246"/>
      <c r="M398" s="154"/>
      <c r="N398" s="55"/>
      <c r="O398" s="247"/>
      <c r="P398" s="247"/>
      <c r="Q398" s="247"/>
      <c r="R398" s="247"/>
      <c r="S398" s="247"/>
      <c r="T398" s="247"/>
      <c r="U398" s="247"/>
      <c r="V398" s="247"/>
      <c r="W398" s="247"/>
      <c r="X398" s="247"/>
      <c r="Y398" s="247"/>
      <c r="Z398" s="247"/>
      <c r="AA398" s="247"/>
    </row>
    <row r="399">
      <c r="A399" s="247"/>
      <c r="B399" s="245"/>
      <c r="C399" s="246"/>
      <c r="D399" s="247"/>
      <c r="E399" s="247"/>
      <c r="F399" s="247"/>
      <c r="G399" s="247"/>
      <c r="H399" s="247"/>
      <c r="I399" s="247"/>
      <c r="J399" s="246"/>
      <c r="K399" s="248"/>
      <c r="L399" s="246"/>
      <c r="M399" s="154"/>
      <c r="N399" s="55"/>
      <c r="O399" s="247"/>
      <c r="P399" s="247"/>
      <c r="Q399" s="247"/>
      <c r="R399" s="247"/>
      <c r="S399" s="247"/>
      <c r="T399" s="247"/>
      <c r="U399" s="247"/>
      <c r="V399" s="247"/>
      <c r="W399" s="247"/>
      <c r="X399" s="247"/>
      <c r="Y399" s="247"/>
      <c r="Z399" s="247"/>
      <c r="AA399" s="247"/>
    </row>
    <row r="400">
      <c r="A400" s="247"/>
      <c r="B400" s="245"/>
      <c r="C400" s="246"/>
      <c r="D400" s="247"/>
      <c r="E400" s="247"/>
      <c r="F400" s="247"/>
      <c r="G400" s="247"/>
      <c r="H400" s="247"/>
      <c r="I400" s="247"/>
      <c r="J400" s="246"/>
      <c r="K400" s="248"/>
      <c r="L400" s="246"/>
      <c r="M400" s="154"/>
      <c r="N400" s="55"/>
      <c r="O400" s="247"/>
      <c r="P400" s="247"/>
      <c r="Q400" s="247"/>
      <c r="R400" s="247"/>
      <c r="S400" s="247"/>
      <c r="T400" s="247"/>
      <c r="U400" s="247"/>
      <c r="V400" s="247"/>
      <c r="W400" s="247"/>
      <c r="X400" s="247"/>
      <c r="Y400" s="247"/>
      <c r="Z400" s="247"/>
      <c r="AA400" s="247"/>
    </row>
    <row r="401">
      <c r="A401" s="247"/>
      <c r="B401" s="245"/>
      <c r="C401" s="246"/>
      <c r="D401" s="247"/>
      <c r="E401" s="247"/>
      <c r="F401" s="247"/>
      <c r="G401" s="247"/>
      <c r="H401" s="247"/>
      <c r="I401" s="247"/>
      <c r="J401" s="246"/>
      <c r="K401" s="248"/>
      <c r="L401" s="246"/>
      <c r="M401" s="154"/>
      <c r="N401" s="55"/>
      <c r="O401" s="247"/>
      <c r="P401" s="247"/>
      <c r="Q401" s="247"/>
      <c r="R401" s="247"/>
      <c r="S401" s="247"/>
      <c r="T401" s="247"/>
      <c r="U401" s="247"/>
      <c r="V401" s="247"/>
      <c r="W401" s="247"/>
      <c r="X401" s="247"/>
      <c r="Y401" s="247"/>
      <c r="Z401" s="247"/>
      <c r="AA401" s="247"/>
    </row>
    <row r="402">
      <c r="A402" s="247"/>
      <c r="B402" s="245"/>
      <c r="C402" s="246"/>
      <c r="D402" s="247"/>
      <c r="E402" s="247"/>
      <c r="F402" s="247"/>
      <c r="G402" s="247"/>
      <c r="H402" s="247"/>
      <c r="I402" s="247"/>
      <c r="J402" s="246"/>
      <c r="K402" s="248"/>
      <c r="L402" s="246"/>
      <c r="M402" s="154"/>
      <c r="N402" s="55"/>
      <c r="O402" s="247"/>
      <c r="P402" s="247"/>
      <c r="Q402" s="247"/>
      <c r="R402" s="247"/>
      <c r="S402" s="247"/>
      <c r="T402" s="247"/>
      <c r="U402" s="247"/>
      <c r="V402" s="247"/>
      <c r="W402" s="247"/>
      <c r="X402" s="247"/>
      <c r="Y402" s="247"/>
      <c r="Z402" s="247"/>
      <c r="AA402" s="247"/>
    </row>
    <row r="403">
      <c r="A403" s="247"/>
      <c r="B403" s="245"/>
      <c r="C403" s="246"/>
      <c r="D403" s="247"/>
      <c r="E403" s="247"/>
      <c r="F403" s="247"/>
      <c r="G403" s="247"/>
      <c r="H403" s="247"/>
      <c r="I403" s="247"/>
      <c r="J403" s="246"/>
      <c r="K403" s="248"/>
      <c r="L403" s="246"/>
      <c r="M403" s="154"/>
      <c r="N403" s="55"/>
      <c r="O403" s="247"/>
      <c r="P403" s="247"/>
      <c r="Q403" s="247"/>
      <c r="R403" s="247"/>
      <c r="S403" s="247"/>
      <c r="T403" s="247"/>
      <c r="U403" s="247"/>
      <c r="V403" s="247"/>
      <c r="W403" s="247"/>
      <c r="X403" s="247"/>
      <c r="Y403" s="247"/>
      <c r="Z403" s="247"/>
      <c r="AA403" s="247"/>
    </row>
    <row r="404">
      <c r="A404" s="247"/>
      <c r="B404" s="245"/>
      <c r="C404" s="246"/>
      <c r="D404" s="247"/>
      <c r="E404" s="247"/>
      <c r="F404" s="247"/>
      <c r="G404" s="247"/>
      <c r="H404" s="247"/>
      <c r="I404" s="247"/>
      <c r="J404" s="246"/>
      <c r="K404" s="248"/>
      <c r="L404" s="246"/>
      <c r="M404" s="154"/>
      <c r="N404" s="55"/>
      <c r="O404" s="247"/>
      <c r="P404" s="247"/>
      <c r="Q404" s="247"/>
      <c r="R404" s="247"/>
      <c r="S404" s="247"/>
      <c r="T404" s="247"/>
      <c r="U404" s="247"/>
      <c r="V404" s="247"/>
      <c r="W404" s="247"/>
      <c r="X404" s="247"/>
      <c r="Y404" s="247"/>
      <c r="Z404" s="247"/>
      <c r="AA404" s="247"/>
    </row>
    <row r="405">
      <c r="A405" s="247"/>
      <c r="B405" s="245"/>
      <c r="C405" s="246"/>
      <c r="D405" s="247"/>
      <c r="E405" s="247"/>
      <c r="F405" s="247"/>
      <c r="G405" s="247"/>
      <c r="H405" s="247"/>
      <c r="I405" s="247"/>
      <c r="J405" s="246"/>
      <c r="K405" s="248"/>
      <c r="L405" s="246"/>
      <c r="M405" s="154"/>
      <c r="N405" s="55"/>
      <c r="O405" s="247"/>
      <c r="P405" s="247"/>
      <c r="Q405" s="247"/>
      <c r="R405" s="247"/>
      <c r="S405" s="247"/>
      <c r="T405" s="247"/>
      <c r="U405" s="247"/>
      <c r="V405" s="247"/>
      <c r="W405" s="247"/>
      <c r="X405" s="247"/>
      <c r="Y405" s="247"/>
      <c r="Z405" s="247"/>
      <c r="AA405" s="247"/>
    </row>
    <row r="406">
      <c r="A406" s="247"/>
      <c r="B406" s="245"/>
      <c r="C406" s="246"/>
      <c r="D406" s="247"/>
      <c r="E406" s="247"/>
      <c r="F406" s="247"/>
      <c r="G406" s="247"/>
      <c r="H406" s="247"/>
      <c r="I406" s="247"/>
      <c r="J406" s="246"/>
      <c r="K406" s="248"/>
      <c r="L406" s="246"/>
      <c r="M406" s="154"/>
      <c r="N406" s="55"/>
      <c r="O406" s="247"/>
      <c r="P406" s="247"/>
      <c r="Q406" s="247"/>
      <c r="R406" s="247"/>
      <c r="S406" s="247"/>
      <c r="T406" s="247"/>
      <c r="U406" s="247"/>
      <c r="V406" s="247"/>
      <c r="W406" s="247"/>
      <c r="X406" s="247"/>
      <c r="Y406" s="247"/>
      <c r="Z406" s="247"/>
      <c r="AA406" s="247"/>
    </row>
    <row r="407">
      <c r="A407" s="247"/>
      <c r="B407" s="245"/>
      <c r="C407" s="246"/>
      <c r="D407" s="247"/>
      <c r="E407" s="247"/>
      <c r="F407" s="247"/>
      <c r="G407" s="247"/>
      <c r="H407" s="247"/>
      <c r="I407" s="247"/>
      <c r="J407" s="246"/>
      <c r="K407" s="248"/>
      <c r="L407" s="246"/>
      <c r="M407" s="154"/>
      <c r="N407" s="55"/>
      <c r="O407" s="247"/>
      <c r="P407" s="247"/>
      <c r="Q407" s="247"/>
      <c r="R407" s="247"/>
      <c r="S407" s="247"/>
      <c r="T407" s="247"/>
      <c r="U407" s="247"/>
      <c r="V407" s="247"/>
      <c r="W407" s="247"/>
      <c r="X407" s="247"/>
      <c r="Y407" s="247"/>
      <c r="Z407" s="247"/>
      <c r="AA407" s="247"/>
    </row>
    <row r="408">
      <c r="A408" s="247"/>
      <c r="B408" s="245"/>
      <c r="C408" s="246"/>
      <c r="D408" s="247"/>
      <c r="E408" s="247"/>
      <c r="F408" s="247"/>
      <c r="G408" s="247"/>
      <c r="H408" s="247"/>
      <c r="I408" s="247"/>
      <c r="J408" s="246"/>
      <c r="K408" s="248"/>
      <c r="L408" s="246"/>
      <c r="M408" s="154"/>
      <c r="N408" s="55"/>
      <c r="O408" s="247"/>
      <c r="P408" s="247"/>
      <c r="Q408" s="247"/>
      <c r="R408" s="247"/>
      <c r="S408" s="247"/>
      <c r="T408" s="247"/>
      <c r="U408" s="247"/>
      <c r="V408" s="247"/>
      <c r="W408" s="247"/>
      <c r="X408" s="247"/>
      <c r="Y408" s="247"/>
      <c r="Z408" s="247"/>
      <c r="AA408" s="247"/>
    </row>
    <row r="409">
      <c r="A409" s="247"/>
      <c r="B409" s="245"/>
      <c r="C409" s="246"/>
      <c r="D409" s="247"/>
      <c r="E409" s="247"/>
      <c r="F409" s="247"/>
      <c r="G409" s="247"/>
      <c r="H409" s="247"/>
      <c r="I409" s="247"/>
      <c r="J409" s="246"/>
      <c r="K409" s="248"/>
      <c r="L409" s="246"/>
      <c r="M409" s="154"/>
      <c r="N409" s="55"/>
      <c r="O409" s="247"/>
      <c r="P409" s="247"/>
      <c r="Q409" s="247"/>
      <c r="R409" s="247"/>
      <c r="S409" s="247"/>
      <c r="T409" s="247"/>
      <c r="U409" s="247"/>
      <c r="V409" s="247"/>
      <c r="W409" s="247"/>
      <c r="X409" s="247"/>
      <c r="Y409" s="247"/>
      <c r="Z409" s="247"/>
      <c r="AA409" s="247"/>
    </row>
    <row r="410">
      <c r="A410" s="247"/>
      <c r="B410" s="245"/>
      <c r="C410" s="246"/>
      <c r="D410" s="247"/>
      <c r="E410" s="247"/>
      <c r="F410" s="247"/>
      <c r="G410" s="247"/>
      <c r="H410" s="247"/>
      <c r="I410" s="247"/>
      <c r="J410" s="246"/>
      <c r="K410" s="248"/>
      <c r="L410" s="246"/>
      <c r="M410" s="154"/>
      <c r="N410" s="55"/>
      <c r="O410" s="247"/>
      <c r="P410" s="247"/>
      <c r="Q410" s="247"/>
      <c r="R410" s="247"/>
      <c r="S410" s="247"/>
      <c r="T410" s="247"/>
      <c r="U410" s="247"/>
      <c r="V410" s="247"/>
      <c r="W410" s="247"/>
      <c r="X410" s="247"/>
      <c r="Y410" s="247"/>
      <c r="Z410" s="247"/>
      <c r="AA410" s="247"/>
    </row>
    <row r="411">
      <c r="A411" s="247"/>
      <c r="B411" s="245"/>
      <c r="C411" s="246"/>
      <c r="D411" s="247"/>
      <c r="E411" s="247"/>
      <c r="F411" s="247"/>
      <c r="G411" s="247"/>
      <c r="H411" s="247"/>
      <c r="I411" s="247"/>
      <c r="J411" s="246"/>
      <c r="K411" s="248"/>
      <c r="L411" s="246"/>
      <c r="M411" s="154"/>
      <c r="N411" s="55"/>
      <c r="O411" s="247"/>
      <c r="P411" s="247"/>
      <c r="Q411" s="247"/>
      <c r="R411" s="247"/>
      <c r="S411" s="247"/>
      <c r="T411" s="247"/>
      <c r="U411" s="247"/>
      <c r="V411" s="247"/>
      <c r="W411" s="247"/>
      <c r="X411" s="247"/>
      <c r="Y411" s="247"/>
      <c r="Z411" s="247"/>
      <c r="AA411" s="247"/>
    </row>
    <row r="412">
      <c r="A412" s="247"/>
      <c r="B412" s="245"/>
      <c r="C412" s="246"/>
      <c r="D412" s="247"/>
      <c r="E412" s="247"/>
      <c r="F412" s="247"/>
      <c r="G412" s="247"/>
      <c r="H412" s="247"/>
      <c r="I412" s="247"/>
      <c r="J412" s="246"/>
      <c r="K412" s="248"/>
      <c r="L412" s="246"/>
      <c r="M412" s="154"/>
      <c r="N412" s="55"/>
      <c r="O412" s="247"/>
      <c r="P412" s="247"/>
      <c r="Q412" s="247"/>
      <c r="R412" s="247"/>
      <c r="S412" s="247"/>
      <c r="T412" s="247"/>
      <c r="U412" s="247"/>
      <c r="V412" s="247"/>
      <c r="W412" s="247"/>
      <c r="X412" s="247"/>
      <c r="Y412" s="247"/>
      <c r="Z412" s="247"/>
      <c r="AA412" s="247"/>
    </row>
    <row r="413">
      <c r="A413" s="247"/>
      <c r="B413" s="245"/>
      <c r="C413" s="246"/>
      <c r="D413" s="247"/>
      <c r="E413" s="247"/>
      <c r="F413" s="247"/>
      <c r="G413" s="247"/>
      <c r="H413" s="247"/>
      <c r="I413" s="247"/>
      <c r="J413" s="246"/>
      <c r="K413" s="248"/>
      <c r="L413" s="246"/>
      <c r="M413" s="154"/>
      <c r="N413" s="55"/>
      <c r="O413" s="247"/>
      <c r="P413" s="247"/>
      <c r="Q413" s="247"/>
      <c r="R413" s="247"/>
      <c r="S413" s="247"/>
      <c r="T413" s="247"/>
      <c r="U413" s="247"/>
      <c r="V413" s="247"/>
      <c r="W413" s="247"/>
      <c r="X413" s="247"/>
      <c r="Y413" s="247"/>
      <c r="Z413" s="247"/>
      <c r="AA413" s="247"/>
    </row>
    <row r="414">
      <c r="A414" s="247"/>
      <c r="B414" s="245"/>
      <c r="C414" s="246"/>
      <c r="D414" s="247"/>
      <c r="E414" s="247"/>
      <c r="F414" s="247"/>
      <c r="G414" s="247"/>
      <c r="H414" s="247"/>
      <c r="I414" s="247"/>
      <c r="J414" s="246"/>
      <c r="K414" s="248"/>
      <c r="L414" s="246"/>
      <c r="M414" s="154"/>
      <c r="N414" s="55"/>
      <c r="O414" s="247"/>
      <c r="P414" s="247"/>
      <c r="Q414" s="247"/>
      <c r="R414" s="247"/>
      <c r="S414" s="247"/>
      <c r="T414" s="247"/>
      <c r="U414" s="247"/>
      <c r="V414" s="247"/>
      <c r="W414" s="247"/>
      <c r="X414" s="247"/>
      <c r="Y414" s="247"/>
      <c r="Z414" s="247"/>
      <c r="AA414" s="247"/>
    </row>
    <row r="415">
      <c r="A415" s="247"/>
      <c r="B415" s="245"/>
      <c r="C415" s="246"/>
      <c r="D415" s="247"/>
      <c r="E415" s="247"/>
      <c r="F415" s="247"/>
      <c r="G415" s="247"/>
      <c r="H415" s="247"/>
      <c r="I415" s="247"/>
      <c r="J415" s="246"/>
      <c r="K415" s="248"/>
      <c r="L415" s="246"/>
      <c r="M415" s="154"/>
      <c r="N415" s="55"/>
      <c r="O415" s="247"/>
      <c r="P415" s="247"/>
      <c r="Q415" s="247"/>
      <c r="R415" s="247"/>
      <c r="S415" s="247"/>
      <c r="T415" s="247"/>
      <c r="U415" s="247"/>
      <c r="V415" s="247"/>
      <c r="W415" s="247"/>
      <c r="X415" s="247"/>
      <c r="Y415" s="247"/>
      <c r="Z415" s="247"/>
      <c r="AA415" s="247"/>
    </row>
    <row r="416">
      <c r="A416" s="247"/>
      <c r="B416" s="245"/>
      <c r="C416" s="246"/>
      <c r="D416" s="247"/>
      <c r="E416" s="247"/>
      <c r="F416" s="247"/>
      <c r="G416" s="247"/>
      <c r="H416" s="247"/>
      <c r="I416" s="247"/>
      <c r="J416" s="246"/>
      <c r="K416" s="248"/>
      <c r="L416" s="246"/>
      <c r="M416" s="154"/>
      <c r="N416" s="55"/>
      <c r="O416" s="247"/>
      <c r="P416" s="247"/>
      <c r="Q416" s="247"/>
      <c r="R416" s="247"/>
      <c r="S416" s="247"/>
      <c r="T416" s="247"/>
      <c r="U416" s="247"/>
      <c r="V416" s="247"/>
      <c r="W416" s="247"/>
      <c r="X416" s="247"/>
      <c r="Y416" s="247"/>
      <c r="Z416" s="247"/>
      <c r="AA416" s="247"/>
    </row>
    <row r="417">
      <c r="A417" s="247"/>
      <c r="B417" s="245"/>
      <c r="C417" s="246"/>
      <c r="D417" s="247"/>
      <c r="E417" s="247"/>
      <c r="F417" s="247"/>
      <c r="G417" s="247"/>
      <c r="H417" s="247"/>
      <c r="I417" s="247"/>
      <c r="J417" s="246"/>
      <c r="K417" s="248"/>
      <c r="L417" s="246"/>
      <c r="M417" s="154"/>
      <c r="N417" s="55"/>
      <c r="O417" s="247"/>
      <c r="P417" s="247"/>
      <c r="Q417" s="247"/>
      <c r="R417" s="247"/>
      <c r="S417" s="247"/>
      <c r="T417" s="247"/>
      <c r="U417" s="247"/>
      <c r="V417" s="247"/>
      <c r="W417" s="247"/>
      <c r="X417" s="247"/>
      <c r="Y417" s="247"/>
      <c r="Z417" s="247"/>
      <c r="AA417" s="247"/>
    </row>
    <row r="418">
      <c r="A418" s="247"/>
      <c r="B418" s="245"/>
      <c r="C418" s="246"/>
      <c r="D418" s="247"/>
      <c r="E418" s="247"/>
      <c r="F418" s="247"/>
      <c r="G418" s="247"/>
      <c r="H418" s="247"/>
      <c r="I418" s="247"/>
      <c r="J418" s="246"/>
      <c r="K418" s="248"/>
      <c r="L418" s="246"/>
      <c r="M418" s="154"/>
      <c r="N418" s="55"/>
      <c r="O418" s="247"/>
      <c r="P418" s="247"/>
      <c r="Q418" s="247"/>
      <c r="R418" s="247"/>
      <c r="S418" s="247"/>
      <c r="T418" s="247"/>
      <c r="U418" s="247"/>
      <c r="V418" s="247"/>
      <c r="W418" s="247"/>
      <c r="X418" s="247"/>
      <c r="Y418" s="247"/>
      <c r="Z418" s="247"/>
      <c r="AA418" s="247"/>
    </row>
    <row r="419">
      <c r="A419" s="247"/>
      <c r="B419" s="245"/>
      <c r="C419" s="246"/>
      <c r="D419" s="247"/>
      <c r="E419" s="247"/>
      <c r="F419" s="247"/>
      <c r="G419" s="247"/>
      <c r="H419" s="247"/>
      <c r="I419" s="247"/>
      <c r="J419" s="246"/>
      <c r="K419" s="248"/>
      <c r="L419" s="246"/>
      <c r="M419" s="154"/>
      <c r="N419" s="55"/>
      <c r="O419" s="247"/>
      <c r="P419" s="247"/>
      <c r="Q419" s="247"/>
      <c r="R419" s="247"/>
      <c r="S419" s="247"/>
      <c r="T419" s="247"/>
      <c r="U419" s="247"/>
      <c r="V419" s="247"/>
      <c r="W419" s="247"/>
      <c r="X419" s="247"/>
      <c r="Y419" s="247"/>
      <c r="Z419" s="247"/>
      <c r="AA419" s="247"/>
    </row>
    <row r="420">
      <c r="A420" s="247"/>
      <c r="B420" s="245"/>
      <c r="C420" s="246"/>
      <c r="D420" s="247"/>
      <c r="E420" s="247"/>
      <c r="F420" s="247"/>
      <c r="G420" s="247"/>
      <c r="H420" s="247"/>
      <c r="I420" s="247"/>
      <c r="J420" s="246"/>
      <c r="K420" s="248"/>
      <c r="L420" s="246"/>
      <c r="M420" s="154"/>
      <c r="N420" s="55"/>
      <c r="O420" s="247"/>
      <c r="P420" s="247"/>
      <c r="Q420" s="247"/>
      <c r="R420" s="247"/>
      <c r="S420" s="247"/>
      <c r="T420" s="247"/>
      <c r="U420" s="247"/>
      <c r="V420" s="247"/>
      <c r="W420" s="247"/>
      <c r="X420" s="247"/>
      <c r="Y420" s="247"/>
      <c r="Z420" s="247"/>
      <c r="AA420" s="247"/>
    </row>
    <row r="421">
      <c r="A421" s="247"/>
      <c r="B421" s="245"/>
      <c r="C421" s="246"/>
      <c r="D421" s="247"/>
      <c r="E421" s="247"/>
      <c r="F421" s="247"/>
      <c r="G421" s="247"/>
      <c r="H421" s="247"/>
      <c r="I421" s="247"/>
      <c r="J421" s="246"/>
      <c r="K421" s="248"/>
      <c r="L421" s="246"/>
      <c r="M421" s="154"/>
      <c r="N421" s="55"/>
      <c r="O421" s="247"/>
      <c r="P421" s="247"/>
      <c r="Q421" s="247"/>
      <c r="R421" s="247"/>
      <c r="S421" s="247"/>
      <c r="T421" s="247"/>
      <c r="U421" s="247"/>
      <c r="V421" s="247"/>
      <c r="W421" s="247"/>
      <c r="X421" s="247"/>
      <c r="Y421" s="247"/>
      <c r="Z421" s="247"/>
      <c r="AA421" s="247"/>
    </row>
    <row r="422">
      <c r="A422" s="247"/>
      <c r="B422" s="245"/>
      <c r="C422" s="246"/>
      <c r="D422" s="247"/>
      <c r="E422" s="247"/>
      <c r="F422" s="247"/>
      <c r="G422" s="247"/>
      <c r="H422" s="247"/>
      <c r="I422" s="247"/>
      <c r="J422" s="246"/>
      <c r="K422" s="248"/>
      <c r="L422" s="246"/>
      <c r="M422" s="154"/>
      <c r="N422" s="55"/>
      <c r="O422" s="247"/>
      <c r="P422" s="247"/>
      <c r="Q422" s="247"/>
      <c r="R422" s="247"/>
      <c r="S422" s="247"/>
      <c r="T422" s="247"/>
      <c r="U422" s="247"/>
      <c r="V422" s="247"/>
      <c r="W422" s="247"/>
      <c r="X422" s="247"/>
      <c r="Y422" s="247"/>
      <c r="Z422" s="247"/>
      <c r="AA422" s="247"/>
    </row>
    <row r="423">
      <c r="A423" s="247"/>
      <c r="B423" s="245"/>
      <c r="C423" s="246"/>
      <c r="D423" s="247"/>
      <c r="E423" s="247"/>
      <c r="F423" s="247"/>
      <c r="G423" s="247"/>
      <c r="H423" s="247"/>
      <c r="I423" s="247"/>
      <c r="J423" s="246"/>
      <c r="K423" s="248"/>
      <c r="L423" s="246"/>
      <c r="M423" s="154"/>
      <c r="N423" s="55"/>
      <c r="O423" s="247"/>
      <c r="P423" s="247"/>
      <c r="Q423" s="247"/>
      <c r="R423" s="247"/>
      <c r="S423" s="247"/>
      <c r="T423" s="247"/>
      <c r="U423" s="247"/>
      <c r="V423" s="247"/>
      <c r="W423" s="247"/>
      <c r="X423" s="247"/>
      <c r="Y423" s="247"/>
      <c r="Z423" s="247"/>
      <c r="AA423" s="247"/>
    </row>
    <row r="424">
      <c r="A424" s="247"/>
      <c r="B424" s="245"/>
      <c r="C424" s="246"/>
      <c r="D424" s="247"/>
      <c r="E424" s="247"/>
      <c r="F424" s="247"/>
      <c r="G424" s="247"/>
      <c r="H424" s="247"/>
      <c r="I424" s="247"/>
      <c r="J424" s="246"/>
      <c r="K424" s="248"/>
      <c r="L424" s="246"/>
      <c r="M424" s="154"/>
      <c r="N424" s="55"/>
      <c r="O424" s="247"/>
      <c r="P424" s="247"/>
      <c r="Q424" s="247"/>
      <c r="R424" s="247"/>
      <c r="S424" s="247"/>
      <c r="T424" s="247"/>
      <c r="U424" s="247"/>
      <c r="V424" s="247"/>
      <c r="W424" s="247"/>
      <c r="X424" s="247"/>
      <c r="Y424" s="247"/>
      <c r="Z424" s="247"/>
      <c r="AA424" s="247"/>
    </row>
    <row r="425">
      <c r="A425" s="247"/>
      <c r="B425" s="245"/>
      <c r="C425" s="246"/>
      <c r="D425" s="247"/>
      <c r="E425" s="247"/>
      <c r="F425" s="247"/>
      <c r="G425" s="247"/>
      <c r="H425" s="247"/>
      <c r="I425" s="247"/>
      <c r="J425" s="246"/>
      <c r="K425" s="248"/>
      <c r="L425" s="246"/>
      <c r="M425" s="154"/>
      <c r="N425" s="55"/>
      <c r="O425" s="247"/>
      <c r="P425" s="247"/>
      <c r="Q425" s="247"/>
      <c r="R425" s="247"/>
      <c r="S425" s="247"/>
      <c r="T425" s="247"/>
      <c r="U425" s="247"/>
      <c r="V425" s="247"/>
      <c r="W425" s="247"/>
      <c r="X425" s="247"/>
      <c r="Y425" s="247"/>
      <c r="Z425" s="247"/>
      <c r="AA425" s="247"/>
    </row>
    <row r="426">
      <c r="A426" s="247"/>
      <c r="B426" s="245"/>
      <c r="C426" s="246"/>
      <c r="D426" s="247"/>
      <c r="E426" s="247"/>
      <c r="F426" s="247"/>
      <c r="G426" s="247"/>
      <c r="H426" s="247"/>
      <c r="I426" s="247"/>
      <c r="J426" s="246"/>
      <c r="K426" s="248"/>
      <c r="L426" s="246"/>
      <c r="M426" s="154"/>
      <c r="N426" s="55"/>
      <c r="O426" s="247"/>
      <c r="P426" s="247"/>
      <c r="Q426" s="247"/>
      <c r="R426" s="247"/>
      <c r="S426" s="247"/>
      <c r="T426" s="247"/>
      <c r="U426" s="247"/>
      <c r="V426" s="247"/>
      <c r="W426" s="247"/>
      <c r="X426" s="247"/>
      <c r="Y426" s="247"/>
      <c r="Z426" s="247"/>
      <c r="AA426" s="247"/>
    </row>
    <row r="427">
      <c r="A427" s="247"/>
      <c r="B427" s="245"/>
      <c r="C427" s="246"/>
      <c r="D427" s="247"/>
      <c r="E427" s="247"/>
      <c r="F427" s="247"/>
      <c r="G427" s="247"/>
      <c r="H427" s="247"/>
      <c r="I427" s="247"/>
      <c r="J427" s="246"/>
      <c r="K427" s="248"/>
      <c r="L427" s="246"/>
      <c r="M427" s="154"/>
      <c r="N427" s="55"/>
      <c r="O427" s="247"/>
      <c r="P427" s="247"/>
      <c r="Q427" s="247"/>
      <c r="R427" s="247"/>
      <c r="S427" s="247"/>
      <c r="T427" s="247"/>
      <c r="U427" s="247"/>
      <c r="V427" s="247"/>
      <c r="W427" s="247"/>
      <c r="X427" s="247"/>
      <c r="Y427" s="247"/>
      <c r="Z427" s="247"/>
      <c r="AA427" s="247"/>
    </row>
    <row r="428">
      <c r="A428" s="247"/>
      <c r="B428" s="245"/>
      <c r="C428" s="246"/>
      <c r="D428" s="247"/>
      <c r="E428" s="247"/>
      <c r="F428" s="247"/>
      <c r="G428" s="247"/>
      <c r="H428" s="247"/>
      <c r="I428" s="247"/>
      <c r="J428" s="246"/>
      <c r="K428" s="248"/>
      <c r="L428" s="246"/>
      <c r="M428" s="154"/>
      <c r="N428" s="55"/>
      <c r="O428" s="247"/>
      <c r="P428" s="247"/>
      <c r="Q428" s="247"/>
      <c r="R428" s="247"/>
      <c r="S428" s="247"/>
      <c r="T428" s="247"/>
      <c r="U428" s="247"/>
      <c r="V428" s="247"/>
      <c r="W428" s="247"/>
      <c r="X428" s="247"/>
      <c r="Y428" s="247"/>
      <c r="Z428" s="247"/>
      <c r="AA428" s="247"/>
    </row>
    <row r="429">
      <c r="A429" s="247"/>
      <c r="B429" s="245"/>
      <c r="C429" s="246"/>
      <c r="D429" s="247"/>
      <c r="E429" s="247"/>
      <c r="F429" s="247"/>
      <c r="G429" s="247"/>
      <c r="H429" s="247"/>
      <c r="I429" s="247"/>
      <c r="J429" s="246"/>
      <c r="K429" s="248"/>
      <c r="L429" s="246"/>
      <c r="M429" s="154"/>
      <c r="N429" s="55"/>
      <c r="O429" s="247"/>
      <c r="P429" s="247"/>
      <c r="Q429" s="247"/>
      <c r="R429" s="247"/>
      <c r="S429" s="247"/>
      <c r="T429" s="247"/>
      <c r="U429" s="247"/>
      <c r="V429" s="247"/>
      <c r="W429" s="247"/>
      <c r="X429" s="247"/>
      <c r="Y429" s="247"/>
      <c r="Z429" s="247"/>
      <c r="AA429" s="247"/>
    </row>
    <row r="430">
      <c r="A430" s="247"/>
      <c r="B430" s="245"/>
      <c r="C430" s="246"/>
      <c r="D430" s="247"/>
      <c r="E430" s="247"/>
      <c r="F430" s="247"/>
      <c r="G430" s="247"/>
      <c r="H430" s="247"/>
      <c r="I430" s="247"/>
      <c r="J430" s="246"/>
      <c r="K430" s="248"/>
      <c r="L430" s="246"/>
      <c r="M430" s="154"/>
      <c r="N430" s="55"/>
      <c r="O430" s="247"/>
      <c r="P430" s="247"/>
      <c r="Q430" s="247"/>
      <c r="R430" s="247"/>
      <c r="S430" s="247"/>
      <c r="T430" s="247"/>
      <c r="U430" s="247"/>
      <c r="V430" s="247"/>
      <c r="W430" s="247"/>
      <c r="X430" s="247"/>
      <c r="Y430" s="247"/>
      <c r="Z430" s="247"/>
      <c r="AA430" s="247"/>
    </row>
    <row r="431">
      <c r="A431" s="247"/>
      <c r="B431" s="245"/>
      <c r="C431" s="246"/>
      <c r="D431" s="247"/>
      <c r="E431" s="247"/>
      <c r="F431" s="247"/>
      <c r="G431" s="247"/>
      <c r="H431" s="247"/>
      <c r="I431" s="247"/>
      <c r="J431" s="246"/>
      <c r="K431" s="248"/>
      <c r="L431" s="246"/>
      <c r="M431" s="154"/>
      <c r="N431" s="55"/>
      <c r="O431" s="247"/>
      <c r="P431" s="247"/>
      <c r="Q431" s="247"/>
      <c r="R431" s="247"/>
      <c r="S431" s="247"/>
      <c r="T431" s="247"/>
      <c r="U431" s="247"/>
      <c r="V431" s="247"/>
      <c r="W431" s="247"/>
      <c r="X431" s="247"/>
      <c r="Y431" s="247"/>
      <c r="Z431" s="247"/>
      <c r="AA431" s="247"/>
    </row>
    <row r="432">
      <c r="A432" s="247"/>
      <c r="B432" s="245"/>
      <c r="C432" s="246"/>
      <c r="D432" s="247"/>
      <c r="E432" s="247"/>
      <c r="F432" s="247"/>
      <c r="G432" s="247"/>
      <c r="H432" s="247"/>
      <c r="I432" s="247"/>
      <c r="J432" s="246"/>
      <c r="K432" s="248"/>
      <c r="L432" s="246"/>
      <c r="M432" s="154"/>
      <c r="N432" s="55"/>
      <c r="O432" s="247"/>
      <c r="P432" s="247"/>
      <c r="Q432" s="247"/>
      <c r="R432" s="247"/>
      <c r="S432" s="247"/>
      <c r="T432" s="247"/>
      <c r="U432" s="247"/>
      <c r="V432" s="247"/>
      <c r="W432" s="247"/>
      <c r="X432" s="247"/>
      <c r="Y432" s="247"/>
      <c r="Z432" s="247"/>
      <c r="AA432" s="247"/>
    </row>
    <row r="433">
      <c r="A433" s="247"/>
      <c r="B433" s="245"/>
      <c r="C433" s="246"/>
      <c r="D433" s="247"/>
      <c r="E433" s="247"/>
      <c r="F433" s="247"/>
      <c r="G433" s="247"/>
      <c r="H433" s="247"/>
      <c r="I433" s="247"/>
      <c r="J433" s="246"/>
      <c r="K433" s="248"/>
      <c r="L433" s="246"/>
      <c r="M433" s="154"/>
      <c r="N433" s="55"/>
      <c r="O433" s="247"/>
      <c r="P433" s="247"/>
      <c r="Q433" s="247"/>
      <c r="R433" s="247"/>
      <c r="S433" s="247"/>
      <c r="T433" s="247"/>
      <c r="U433" s="247"/>
      <c r="V433" s="247"/>
      <c r="W433" s="247"/>
      <c r="X433" s="247"/>
      <c r="Y433" s="247"/>
      <c r="Z433" s="247"/>
      <c r="AA433" s="247"/>
    </row>
    <row r="434">
      <c r="A434" s="247"/>
      <c r="B434" s="245"/>
      <c r="C434" s="246"/>
      <c r="D434" s="247"/>
      <c r="E434" s="247"/>
      <c r="F434" s="247"/>
      <c r="G434" s="247"/>
      <c r="H434" s="247"/>
      <c r="I434" s="247"/>
      <c r="J434" s="246"/>
      <c r="K434" s="248"/>
      <c r="L434" s="246"/>
      <c r="M434" s="154"/>
      <c r="N434" s="55"/>
      <c r="O434" s="247"/>
      <c r="P434" s="247"/>
      <c r="Q434" s="247"/>
      <c r="R434" s="247"/>
      <c r="S434" s="247"/>
      <c r="T434" s="247"/>
      <c r="U434" s="247"/>
      <c r="V434" s="247"/>
      <c r="W434" s="247"/>
      <c r="X434" s="247"/>
      <c r="Y434" s="247"/>
      <c r="Z434" s="247"/>
      <c r="AA434" s="247"/>
    </row>
    <row r="435">
      <c r="A435" s="247"/>
      <c r="B435" s="245"/>
      <c r="C435" s="246"/>
      <c r="D435" s="247"/>
      <c r="E435" s="247"/>
      <c r="F435" s="247"/>
      <c r="G435" s="247"/>
      <c r="H435" s="247"/>
      <c r="I435" s="247"/>
      <c r="J435" s="246"/>
      <c r="K435" s="248"/>
      <c r="L435" s="246"/>
      <c r="M435" s="154"/>
      <c r="N435" s="55"/>
      <c r="O435" s="247"/>
      <c r="P435" s="247"/>
      <c r="Q435" s="247"/>
      <c r="R435" s="247"/>
      <c r="S435" s="247"/>
      <c r="T435" s="247"/>
      <c r="U435" s="247"/>
      <c r="V435" s="247"/>
      <c r="W435" s="247"/>
      <c r="X435" s="247"/>
      <c r="Y435" s="247"/>
      <c r="Z435" s="247"/>
      <c r="AA435" s="247"/>
    </row>
    <row r="436">
      <c r="A436" s="247"/>
      <c r="B436" s="245"/>
      <c r="C436" s="246"/>
      <c r="D436" s="247"/>
      <c r="E436" s="247"/>
      <c r="F436" s="247"/>
      <c r="G436" s="247"/>
      <c r="H436" s="247"/>
      <c r="I436" s="247"/>
      <c r="J436" s="246"/>
      <c r="K436" s="248"/>
      <c r="L436" s="246"/>
      <c r="M436" s="154"/>
      <c r="N436" s="55"/>
      <c r="O436" s="247"/>
      <c r="P436" s="247"/>
      <c r="Q436" s="247"/>
      <c r="R436" s="247"/>
      <c r="S436" s="247"/>
      <c r="T436" s="247"/>
      <c r="U436" s="247"/>
      <c r="V436" s="247"/>
      <c r="W436" s="247"/>
      <c r="X436" s="247"/>
      <c r="Y436" s="247"/>
      <c r="Z436" s="247"/>
      <c r="AA436" s="247"/>
    </row>
    <row r="437">
      <c r="A437" s="247"/>
      <c r="B437" s="245"/>
      <c r="C437" s="246"/>
      <c r="D437" s="247"/>
      <c r="E437" s="247"/>
      <c r="F437" s="247"/>
      <c r="G437" s="247"/>
      <c r="H437" s="247"/>
      <c r="I437" s="247"/>
      <c r="J437" s="246"/>
      <c r="K437" s="248"/>
      <c r="L437" s="246"/>
      <c r="M437" s="154"/>
      <c r="N437" s="55"/>
      <c r="O437" s="247"/>
      <c r="P437" s="247"/>
      <c r="Q437" s="247"/>
      <c r="R437" s="247"/>
      <c r="S437" s="247"/>
      <c r="T437" s="247"/>
      <c r="U437" s="247"/>
      <c r="V437" s="247"/>
      <c r="W437" s="247"/>
      <c r="X437" s="247"/>
      <c r="Y437" s="247"/>
      <c r="Z437" s="247"/>
      <c r="AA437" s="247"/>
    </row>
    <row r="438">
      <c r="A438" s="247"/>
      <c r="B438" s="245"/>
      <c r="C438" s="246"/>
      <c r="D438" s="247"/>
      <c r="E438" s="247"/>
      <c r="F438" s="247"/>
      <c r="G438" s="247"/>
      <c r="H438" s="247"/>
      <c r="I438" s="247"/>
      <c r="J438" s="246"/>
      <c r="K438" s="248"/>
      <c r="L438" s="246"/>
      <c r="M438" s="154"/>
      <c r="N438" s="55"/>
      <c r="O438" s="247"/>
      <c r="P438" s="247"/>
      <c r="Q438" s="247"/>
      <c r="R438" s="247"/>
      <c r="S438" s="247"/>
      <c r="T438" s="247"/>
      <c r="U438" s="247"/>
      <c r="V438" s="247"/>
      <c r="W438" s="247"/>
      <c r="X438" s="247"/>
      <c r="Y438" s="247"/>
      <c r="Z438" s="247"/>
      <c r="AA438" s="247"/>
    </row>
    <row r="439">
      <c r="A439" s="247"/>
      <c r="B439" s="245"/>
      <c r="C439" s="246"/>
      <c r="D439" s="247"/>
      <c r="E439" s="247"/>
      <c r="F439" s="247"/>
      <c r="G439" s="247"/>
      <c r="H439" s="247"/>
      <c r="I439" s="247"/>
      <c r="J439" s="246"/>
      <c r="K439" s="248"/>
      <c r="L439" s="246"/>
      <c r="M439" s="154"/>
      <c r="N439" s="55"/>
      <c r="O439" s="247"/>
      <c r="P439" s="247"/>
      <c r="Q439" s="247"/>
      <c r="R439" s="247"/>
      <c r="S439" s="247"/>
      <c r="T439" s="247"/>
      <c r="U439" s="247"/>
      <c r="V439" s="247"/>
      <c r="W439" s="247"/>
      <c r="X439" s="247"/>
      <c r="Y439" s="247"/>
      <c r="Z439" s="247"/>
      <c r="AA439" s="247"/>
    </row>
    <row r="440">
      <c r="A440" s="247"/>
      <c r="B440" s="245"/>
      <c r="C440" s="246"/>
      <c r="D440" s="247"/>
      <c r="E440" s="247"/>
      <c r="F440" s="247"/>
      <c r="G440" s="247"/>
      <c r="H440" s="247"/>
      <c r="I440" s="247"/>
      <c r="J440" s="246"/>
      <c r="K440" s="248"/>
      <c r="L440" s="246"/>
      <c r="M440" s="154"/>
      <c r="N440" s="55"/>
      <c r="O440" s="247"/>
      <c r="P440" s="247"/>
      <c r="Q440" s="247"/>
      <c r="R440" s="247"/>
      <c r="S440" s="247"/>
      <c r="T440" s="247"/>
      <c r="U440" s="247"/>
      <c r="V440" s="247"/>
      <c r="W440" s="247"/>
      <c r="X440" s="247"/>
      <c r="Y440" s="247"/>
      <c r="Z440" s="247"/>
      <c r="AA440" s="247"/>
    </row>
    <row r="441">
      <c r="A441" s="247"/>
      <c r="B441" s="245"/>
      <c r="C441" s="246"/>
      <c r="D441" s="247"/>
      <c r="E441" s="247"/>
      <c r="F441" s="247"/>
      <c r="G441" s="247"/>
      <c r="H441" s="247"/>
      <c r="I441" s="247"/>
      <c r="J441" s="246"/>
      <c r="K441" s="248"/>
      <c r="L441" s="246"/>
      <c r="M441" s="154"/>
      <c r="N441" s="55"/>
      <c r="O441" s="247"/>
      <c r="P441" s="247"/>
      <c r="Q441" s="247"/>
      <c r="R441" s="247"/>
      <c r="S441" s="247"/>
      <c r="T441" s="247"/>
      <c r="U441" s="247"/>
      <c r="V441" s="247"/>
      <c r="W441" s="247"/>
      <c r="X441" s="247"/>
      <c r="Y441" s="247"/>
      <c r="Z441" s="247"/>
      <c r="AA441" s="247"/>
    </row>
    <row r="442">
      <c r="A442" s="247"/>
      <c r="B442" s="245"/>
      <c r="C442" s="246"/>
      <c r="D442" s="247"/>
      <c r="E442" s="247"/>
      <c r="F442" s="247"/>
      <c r="G442" s="247"/>
      <c r="H442" s="247"/>
      <c r="I442" s="247"/>
      <c r="J442" s="246"/>
      <c r="K442" s="248"/>
      <c r="L442" s="246"/>
      <c r="M442" s="154"/>
      <c r="N442" s="55"/>
      <c r="O442" s="247"/>
      <c r="P442" s="247"/>
      <c r="Q442" s="247"/>
      <c r="R442" s="247"/>
      <c r="S442" s="247"/>
      <c r="T442" s="247"/>
      <c r="U442" s="247"/>
      <c r="V442" s="247"/>
      <c r="W442" s="247"/>
      <c r="X442" s="247"/>
      <c r="Y442" s="247"/>
      <c r="Z442" s="247"/>
      <c r="AA442" s="247"/>
    </row>
    <row r="443">
      <c r="A443" s="247"/>
      <c r="B443" s="245"/>
      <c r="C443" s="246"/>
      <c r="D443" s="247"/>
      <c r="E443" s="247"/>
      <c r="F443" s="247"/>
      <c r="G443" s="247"/>
      <c r="H443" s="247"/>
      <c r="I443" s="247"/>
      <c r="J443" s="246"/>
      <c r="K443" s="248"/>
      <c r="L443" s="246"/>
      <c r="M443" s="154"/>
      <c r="N443" s="55"/>
      <c r="O443" s="247"/>
      <c r="P443" s="247"/>
      <c r="Q443" s="247"/>
      <c r="R443" s="247"/>
      <c r="S443" s="247"/>
      <c r="T443" s="247"/>
      <c r="U443" s="247"/>
      <c r="V443" s="247"/>
      <c r="W443" s="247"/>
      <c r="X443" s="247"/>
      <c r="Y443" s="247"/>
      <c r="Z443" s="247"/>
      <c r="AA443" s="247"/>
    </row>
    <row r="444">
      <c r="A444" s="247"/>
      <c r="B444" s="245"/>
      <c r="C444" s="246"/>
      <c r="D444" s="247"/>
      <c r="E444" s="247"/>
      <c r="F444" s="247"/>
      <c r="G444" s="247"/>
      <c r="H444" s="247"/>
      <c r="I444" s="247"/>
      <c r="J444" s="246"/>
      <c r="K444" s="248"/>
      <c r="L444" s="246"/>
      <c r="M444" s="154"/>
      <c r="N444" s="55"/>
      <c r="O444" s="247"/>
      <c r="P444" s="247"/>
      <c r="Q444" s="247"/>
      <c r="R444" s="247"/>
      <c r="S444" s="247"/>
      <c r="T444" s="247"/>
      <c r="U444" s="247"/>
      <c r="V444" s="247"/>
      <c r="W444" s="247"/>
      <c r="X444" s="247"/>
      <c r="Y444" s="247"/>
      <c r="Z444" s="247"/>
      <c r="AA444" s="247"/>
    </row>
    <row r="445">
      <c r="A445" s="247"/>
      <c r="B445" s="245"/>
      <c r="C445" s="246"/>
      <c r="D445" s="247"/>
      <c r="E445" s="247"/>
      <c r="F445" s="247"/>
      <c r="G445" s="247"/>
      <c r="H445" s="247"/>
      <c r="I445" s="247"/>
      <c r="J445" s="246"/>
      <c r="K445" s="248"/>
      <c r="L445" s="246"/>
      <c r="M445" s="154"/>
      <c r="N445" s="55"/>
      <c r="O445" s="247"/>
      <c r="P445" s="247"/>
      <c r="Q445" s="247"/>
      <c r="R445" s="247"/>
      <c r="S445" s="247"/>
      <c r="T445" s="247"/>
      <c r="U445" s="247"/>
      <c r="V445" s="247"/>
      <c r="W445" s="247"/>
      <c r="X445" s="247"/>
      <c r="Y445" s="247"/>
      <c r="Z445" s="247"/>
      <c r="AA445" s="247"/>
    </row>
    <row r="446">
      <c r="A446" s="247"/>
      <c r="B446" s="245"/>
      <c r="C446" s="246"/>
      <c r="D446" s="247"/>
      <c r="E446" s="247"/>
      <c r="F446" s="247"/>
      <c r="G446" s="247"/>
      <c r="H446" s="247"/>
      <c r="I446" s="247"/>
      <c r="J446" s="246"/>
      <c r="K446" s="248"/>
      <c r="L446" s="246"/>
      <c r="M446" s="154"/>
      <c r="N446" s="55"/>
      <c r="O446" s="247"/>
      <c r="P446" s="247"/>
      <c r="Q446" s="247"/>
      <c r="R446" s="247"/>
      <c r="S446" s="247"/>
      <c r="T446" s="247"/>
      <c r="U446" s="247"/>
      <c r="V446" s="247"/>
      <c r="W446" s="247"/>
      <c r="X446" s="247"/>
      <c r="Y446" s="247"/>
      <c r="Z446" s="247"/>
      <c r="AA446" s="247"/>
    </row>
    <row r="447">
      <c r="A447" s="247"/>
      <c r="B447" s="245"/>
      <c r="C447" s="246"/>
      <c r="D447" s="247"/>
      <c r="E447" s="247"/>
      <c r="F447" s="247"/>
      <c r="G447" s="247"/>
      <c r="H447" s="247"/>
      <c r="I447" s="247"/>
      <c r="J447" s="246"/>
      <c r="K447" s="248"/>
      <c r="L447" s="246"/>
      <c r="M447" s="154"/>
      <c r="N447" s="55"/>
      <c r="O447" s="247"/>
      <c r="P447" s="247"/>
      <c r="Q447" s="247"/>
      <c r="R447" s="247"/>
      <c r="S447" s="247"/>
      <c r="T447" s="247"/>
      <c r="U447" s="247"/>
      <c r="V447" s="247"/>
      <c r="W447" s="247"/>
      <c r="X447" s="247"/>
      <c r="Y447" s="247"/>
      <c r="Z447" s="247"/>
      <c r="AA447" s="247"/>
    </row>
    <row r="448">
      <c r="A448" s="247"/>
      <c r="B448" s="245"/>
      <c r="C448" s="246"/>
      <c r="D448" s="247"/>
      <c r="E448" s="247"/>
      <c r="F448" s="247"/>
      <c r="G448" s="247"/>
      <c r="H448" s="247"/>
      <c r="I448" s="247"/>
      <c r="J448" s="246"/>
      <c r="K448" s="248"/>
      <c r="L448" s="246"/>
      <c r="M448" s="154"/>
      <c r="N448" s="55"/>
      <c r="O448" s="247"/>
      <c r="P448" s="247"/>
      <c r="Q448" s="247"/>
      <c r="R448" s="247"/>
      <c r="S448" s="247"/>
      <c r="T448" s="247"/>
      <c r="U448" s="247"/>
      <c r="V448" s="247"/>
      <c r="W448" s="247"/>
      <c r="X448" s="247"/>
      <c r="Y448" s="247"/>
      <c r="Z448" s="247"/>
      <c r="AA448" s="247"/>
    </row>
    <row r="449">
      <c r="A449" s="247"/>
      <c r="B449" s="245"/>
      <c r="C449" s="246"/>
      <c r="D449" s="247"/>
      <c r="E449" s="247"/>
      <c r="F449" s="247"/>
      <c r="G449" s="247"/>
      <c r="H449" s="247"/>
      <c r="I449" s="247"/>
      <c r="J449" s="246"/>
      <c r="K449" s="248"/>
      <c r="L449" s="246"/>
      <c r="M449" s="154"/>
      <c r="N449" s="55"/>
      <c r="O449" s="247"/>
      <c r="P449" s="247"/>
      <c r="Q449" s="247"/>
      <c r="R449" s="247"/>
      <c r="S449" s="247"/>
      <c r="T449" s="247"/>
      <c r="U449" s="247"/>
      <c r="V449" s="247"/>
      <c r="W449" s="247"/>
      <c r="X449" s="247"/>
      <c r="Y449" s="247"/>
      <c r="Z449" s="247"/>
      <c r="AA449" s="247"/>
    </row>
    <row r="450">
      <c r="A450" s="247"/>
      <c r="B450" s="245"/>
      <c r="C450" s="246"/>
      <c r="D450" s="247"/>
      <c r="E450" s="247"/>
      <c r="F450" s="247"/>
      <c r="G450" s="247"/>
      <c r="H450" s="247"/>
      <c r="I450" s="247"/>
      <c r="J450" s="246"/>
      <c r="K450" s="248"/>
      <c r="L450" s="246"/>
      <c r="M450" s="154"/>
      <c r="N450" s="55"/>
      <c r="O450" s="247"/>
      <c r="P450" s="247"/>
      <c r="Q450" s="247"/>
      <c r="R450" s="247"/>
      <c r="S450" s="247"/>
      <c r="T450" s="247"/>
      <c r="U450" s="247"/>
      <c r="V450" s="247"/>
      <c r="W450" s="247"/>
      <c r="X450" s="247"/>
      <c r="Y450" s="247"/>
      <c r="Z450" s="247"/>
      <c r="AA450" s="247"/>
    </row>
    <row r="451">
      <c r="A451" s="247"/>
      <c r="B451" s="245"/>
      <c r="C451" s="246"/>
      <c r="D451" s="247"/>
      <c r="E451" s="247"/>
      <c r="F451" s="247"/>
      <c r="G451" s="247"/>
      <c r="H451" s="247"/>
      <c r="I451" s="247"/>
      <c r="J451" s="246"/>
      <c r="K451" s="248"/>
      <c r="L451" s="246"/>
      <c r="M451" s="154"/>
      <c r="N451" s="55"/>
      <c r="O451" s="247"/>
      <c r="P451" s="247"/>
      <c r="Q451" s="247"/>
      <c r="R451" s="247"/>
      <c r="S451" s="247"/>
      <c r="T451" s="247"/>
      <c r="U451" s="247"/>
      <c r="V451" s="247"/>
      <c r="W451" s="247"/>
      <c r="X451" s="247"/>
      <c r="Y451" s="247"/>
      <c r="Z451" s="247"/>
      <c r="AA451" s="247"/>
    </row>
    <row r="452">
      <c r="A452" s="247"/>
      <c r="B452" s="245"/>
      <c r="C452" s="246"/>
      <c r="D452" s="247"/>
      <c r="E452" s="247"/>
      <c r="F452" s="247"/>
      <c r="G452" s="247"/>
      <c r="H452" s="247"/>
      <c r="I452" s="247"/>
      <c r="J452" s="246"/>
      <c r="K452" s="248"/>
      <c r="L452" s="246"/>
      <c r="M452" s="154"/>
      <c r="N452" s="55"/>
      <c r="O452" s="247"/>
      <c r="P452" s="247"/>
      <c r="Q452" s="247"/>
      <c r="R452" s="247"/>
      <c r="S452" s="247"/>
      <c r="T452" s="247"/>
      <c r="U452" s="247"/>
      <c r="V452" s="247"/>
      <c r="W452" s="247"/>
      <c r="X452" s="247"/>
      <c r="Y452" s="247"/>
      <c r="Z452" s="247"/>
      <c r="AA452" s="247"/>
    </row>
    <row r="453">
      <c r="A453" s="247"/>
      <c r="B453" s="245"/>
      <c r="C453" s="246"/>
      <c r="D453" s="247"/>
      <c r="E453" s="247"/>
      <c r="F453" s="247"/>
      <c r="G453" s="247"/>
      <c r="H453" s="247"/>
      <c r="I453" s="247"/>
      <c r="J453" s="246"/>
      <c r="K453" s="248"/>
      <c r="L453" s="246"/>
      <c r="M453" s="154"/>
      <c r="N453" s="55"/>
      <c r="O453" s="247"/>
      <c r="P453" s="247"/>
      <c r="Q453" s="247"/>
      <c r="R453" s="247"/>
      <c r="S453" s="247"/>
      <c r="T453" s="247"/>
      <c r="U453" s="247"/>
      <c r="V453" s="247"/>
      <c r="W453" s="247"/>
      <c r="X453" s="247"/>
      <c r="Y453" s="247"/>
      <c r="Z453" s="247"/>
      <c r="AA453" s="247"/>
    </row>
    <row r="454">
      <c r="A454" s="247"/>
      <c r="B454" s="245"/>
      <c r="C454" s="246"/>
      <c r="D454" s="247"/>
      <c r="E454" s="247"/>
      <c r="F454" s="247"/>
      <c r="G454" s="247"/>
      <c r="H454" s="247"/>
      <c r="I454" s="247"/>
      <c r="J454" s="246"/>
      <c r="K454" s="248"/>
      <c r="L454" s="246"/>
      <c r="M454" s="154"/>
      <c r="N454" s="55"/>
      <c r="O454" s="247"/>
      <c r="P454" s="247"/>
      <c r="Q454" s="247"/>
      <c r="R454" s="247"/>
      <c r="S454" s="247"/>
      <c r="T454" s="247"/>
      <c r="U454" s="247"/>
      <c r="V454" s="247"/>
      <c r="W454" s="247"/>
      <c r="X454" s="247"/>
      <c r="Y454" s="247"/>
      <c r="Z454" s="247"/>
      <c r="AA454" s="247"/>
    </row>
    <row r="455">
      <c r="A455" s="247"/>
      <c r="B455" s="245"/>
      <c r="C455" s="246"/>
      <c r="D455" s="247"/>
      <c r="E455" s="247"/>
      <c r="F455" s="247"/>
      <c r="G455" s="247"/>
      <c r="H455" s="247"/>
      <c r="I455" s="247"/>
      <c r="J455" s="246"/>
      <c r="K455" s="248"/>
      <c r="L455" s="246"/>
      <c r="M455" s="154"/>
      <c r="N455" s="55"/>
      <c r="O455" s="247"/>
      <c r="P455" s="247"/>
      <c r="Q455" s="247"/>
      <c r="R455" s="247"/>
      <c r="S455" s="247"/>
      <c r="T455" s="247"/>
      <c r="U455" s="247"/>
      <c r="V455" s="247"/>
      <c r="W455" s="247"/>
      <c r="X455" s="247"/>
      <c r="Y455" s="247"/>
      <c r="Z455" s="247"/>
      <c r="AA455" s="247"/>
    </row>
    <row r="456">
      <c r="A456" s="247"/>
      <c r="B456" s="245"/>
      <c r="C456" s="246"/>
      <c r="D456" s="247"/>
      <c r="E456" s="247"/>
      <c r="F456" s="247"/>
      <c r="G456" s="247"/>
      <c r="H456" s="247"/>
      <c r="I456" s="247"/>
      <c r="J456" s="246"/>
      <c r="K456" s="248"/>
      <c r="L456" s="246"/>
      <c r="M456" s="154"/>
      <c r="N456" s="55"/>
      <c r="O456" s="247"/>
      <c r="P456" s="247"/>
      <c r="Q456" s="247"/>
      <c r="R456" s="247"/>
      <c r="S456" s="247"/>
      <c r="T456" s="247"/>
      <c r="U456" s="247"/>
      <c r="V456" s="247"/>
      <c r="W456" s="247"/>
      <c r="X456" s="247"/>
      <c r="Y456" s="247"/>
      <c r="Z456" s="247"/>
      <c r="AA456" s="247"/>
    </row>
    <row r="457">
      <c r="A457" s="247"/>
      <c r="B457" s="245"/>
      <c r="C457" s="246"/>
      <c r="D457" s="247"/>
      <c r="E457" s="247"/>
      <c r="F457" s="247"/>
      <c r="G457" s="247"/>
      <c r="H457" s="247"/>
      <c r="I457" s="247"/>
      <c r="J457" s="246"/>
      <c r="K457" s="248"/>
      <c r="L457" s="246"/>
      <c r="M457" s="154"/>
      <c r="N457" s="55"/>
      <c r="O457" s="247"/>
      <c r="P457" s="247"/>
      <c r="Q457" s="247"/>
      <c r="R457" s="247"/>
      <c r="S457" s="247"/>
      <c r="T457" s="247"/>
      <c r="U457" s="247"/>
      <c r="V457" s="247"/>
      <c r="W457" s="247"/>
      <c r="X457" s="247"/>
      <c r="Y457" s="247"/>
      <c r="Z457" s="247"/>
      <c r="AA457" s="247"/>
    </row>
    <row r="458">
      <c r="A458" s="247"/>
      <c r="B458" s="245"/>
      <c r="C458" s="246"/>
      <c r="D458" s="247"/>
      <c r="E458" s="247"/>
      <c r="F458" s="247"/>
      <c r="G458" s="247"/>
      <c r="H458" s="247"/>
      <c r="I458" s="247"/>
      <c r="J458" s="246"/>
      <c r="K458" s="248"/>
      <c r="L458" s="246"/>
      <c r="M458" s="154"/>
      <c r="N458" s="55"/>
      <c r="O458" s="247"/>
      <c r="P458" s="247"/>
      <c r="Q458" s="247"/>
      <c r="R458" s="247"/>
      <c r="S458" s="247"/>
      <c r="T458" s="247"/>
      <c r="U458" s="247"/>
      <c r="V458" s="247"/>
      <c r="W458" s="247"/>
      <c r="X458" s="247"/>
      <c r="Y458" s="247"/>
      <c r="Z458" s="247"/>
      <c r="AA458" s="247"/>
    </row>
    <row r="459">
      <c r="A459" s="247"/>
      <c r="B459" s="245"/>
      <c r="C459" s="246"/>
      <c r="D459" s="247"/>
      <c r="E459" s="247"/>
      <c r="F459" s="247"/>
      <c r="G459" s="247"/>
      <c r="H459" s="247"/>
      <c r="I459" s="247"/>
      <c r="J459" s="246"/>
      <c r="K459" s="248"/>
      <c r="L459" s="246"/>
      <c r="M459" s="154"/>
      <c r="N459" s="55"/>
      <c r="O459" s="247"/>
      <c r="P459" s="247"/>
      <c r="Q459" s="247"/>
      <c r="R459" s="247"/>
      <c r="S459" s="247"/>
      <c r="T459" s="247"/>
      <c r="U459" s="247"/>
      <c r="V459" s="247"/>
      <c r="W459" s="247"/>
      <c r="X459" s="247"/>
      <c r="Y459" s="247"/>
      <c r="Z459" s="247"/>
      <c r="AA459" s="247"/>
    </row>
    <row r="460">
      <c r="A460" s="247"/>
      <c r="B460" s="245"/>
      <c r="C460" s="246"/>
      <c r="D460" s="247"/>
      <c r="E460" s="247"/>
      <c r="F460" s="247"/>
      <c r="G460" s="247"/>
      <c r="H460" s="247"/>
      <c r="I460" s="247"/>
      <c r="J460" s="246"/>
      <c r="K460" s="248"/>
      <c r="L460" s="246"/>
      <c r="M460" s="154"/>
      <c r="N460" s="55"/>
      <c r="O460" s="247"/>
      <c r="P460" s="247"/>
      <c r="Q460" s="247"/>
      <c r="R460" s="247"/>
      <c r="S460" s="247"/>
      <c r="T460" s="247"/>
      <c r="U460" s="247"/>
      <c r="V460" s="247"/>
      <c r="W460" s="247"/>
      <c r="X460" s="247"/>
      <c r="Y460" s="247"/>
      <c r="Z460" s="247"/>
      <c r="AA460" s="247"/>
    </row>
    <row r="461">
      <c r="A461" s="247"/>
      <c r="B461" s="245"/>
      <c r="C461" s="246"/>
      <c r="D461" s="247"/>
      <c r="E461" s="247"/>
      <c r="F461" s="247"/>
      <c r="G461" s="247"/>
      <c r="H461" s="247"/>
      <c r="I461" s="247"/>
      <c r="J461" s="246"/>
      <c r="K461" s="248"/>
      <c r="L461" s="246"/>
      <c r="M461" s="154"/>
      <c r="N461" s="55"/>
      <c r="O461" s="247"/>
      <c r="P461" s="247"/>
      <c r="Q461" s="247"/>
      <c r="R461" s="247"/>
      <c r="S461" s="247"/>
      <c r="T461" s="247"/>
      <c r="U461" s="247"/>
      <c r="V461" s="247"/>
      <c r="W461" s="247"/>
      <c r="X461" s="247"/>
      <c r="Y461" s="247"/>
      <c r="Z461" s="247"/>
      <c r="AA461" s="247"/>
    </row>
    <row r="462">
      <c r="A462" s="247"/>
      <c r="B462" s="245"/>
      <c r="C462" s="246"/>
      <c r="D462" s="247"/>
      <c r="E462" s="247"/>
      <c r="F462" s="247"/>
      <c r="G462" s="247"/>
      <c r="H462" s="247"/>
      <c r="I462" s="247"/>
      <c r="J462" s="246"/>
      <c r="K462" s="248"/>
      <c r="L462" s="246"/>
      <c r="M462" s="154"/>
      <c r="N462" s="55"/>
      <c r="O462" s="247"/>
      <c r="P462" s="247"/>
      <c r="Q462" s="247"/>
      <c r="R462" s="247"/>
      <c r="S462" s="247"/>
      <c r="T462" s="247"/>
      <c r="U462" s="247"/>
      <c r="V462" s="247"/>
      <c r="W462" s="247"/>
      <c r="X462" s="247"/>
      <c r="Y462" s="247"/>
      <c r="Z462" s="247"/>
      <c r="AA462" s="247"/>
    </row>
    <row r="463">
      <c r="A463" s="247"/>
      <c r="B463" s="245"/>
      <c r="C463" s="246"/>
      <c r="D463" s="247"/>
      <c r="E463" s="247"/>
      <c r="F463" s="247"/>
      <c r="G463" s="247"/>
      <c r="H463" s="247"/>
      <c r="I463" s="247"/>
      <c r="J463" s="246"/>
      <c r="K463" s="248"/>
      <c r="L463" s="246"/>
      <c r="M463" s="154"/>
      <c r="N463" s="55"/>
      <c r="O463" s="247"/>
      <c r="P463" s="247"/>
      <c r="Q463" s="247"/>
      <c r="R463" s="247"/>
      <c r="S463" s="247"/>
      <c r="T463" s="247"/>
      <c r="U463" s="247"/>
      <c r="V463" s="247"/>
      <c r="W463" s="247"/>
      <c r="X463" s="247"/>
      <c r="Y463" s="247"/>
      <c r="Z463" s="247"/>
      <c r="AA463" s="247"/>
    </row>
    <row r="464">
      <c r="A464" s="247"/>
      <c r="B464" s="245"/>
      <c r="C464" s="246"/>
      <c r="D464" s="247"/>
      <c r="E464" s="247"/>
      <c r="F464" s="247"/>
      <c r="G464" s="247"/>
      <c r="H464" s="247"/>
      <c r="I464" s="247"/>
      <c r="J464" s="246"/>
      <c r="K464" s="248"/>
      <c r="L464" s="246"/>
      <c r="M464" s="154"/>
      <c r="N464" s="55"/>
      <c r="O464" s="247"/>
      <c r="P464" s="247"/>
      <c r="Q464" s="247"/>
      <c r="R464" s="247"/>
      <c r="S464" s="247"/>
      <c r="T464" s="247"/>
      <c r="U464" s="247"/>
      <c r="V464" s="247"/>
      <c r="W464" s="247"/>
      <c r="X464" s="247"/>
      <c r="Y464" s="247"/>
      <c r="Z464" s="247"/>
      <c r="AA464" s="247"/>
    </row>
    <row r="465">
      <c r="A465" s="247"/>
      <c r="B465" s="245"/>
      <c r="C465" s="246"/>
      <c r="D465" s="247"/>
      <c r="E465" s="247"/>
      <c r="F465" s="247"/>
      <c r="G465" s="247"/>
      <c r="H465" s="247"/>
      <c r="I465" s="247"/>
      <c r="J465" s="246"/>
      <c r="K465" s="248"/>
      <c r="L465" s="246"/>
      <c r="M465" s="154"/>
      <c r="N465" s="55"/>
      <c r="O465" s="247"/>
      <c r="P465" s="247"/>
      <c r="Q465" s="247"/>
      <c r="R465" s="247"/>
      <c r="S465" s="247"/>
      <c r="T465" s="247"/>
      <c r="U465" s="247"/>
      <c r="V465" s="247"/>
      <c r="W465" s="247"/>
      <c r="X465" s="247"/>
      <c r="Y465" s="247"/>
      <c r="Z465" s="247"/>
      <c r="AA465" s="247"/>
    </row>
    <row r="466">
      <c r="A466" s="247"/>
      <c r="B466" s="245"/>
      <c r="C466" s="246"/>
      <c r="D466" s="247"/>
      <c r="E466" s="247"/>
      <c r="F466" s="247"/>
      <c r="G466" s="247"/>
      <c r="H466" s="247"/>
      <c r="I466" s="247"/>
      <c r="J466" s="246"/>
      <c r="K466" s="248"/>
      <c r="L466" s="246"/>
      <c r="M466" s="154"/>
      <c r="N466" s="55"/>
      <c r="O466" s="247"/>
      <c r="P466" s="247"/>
      <c r="Q466" s="247"/>
      <c r="R466" s="247"/>
      <c r="S466" s="247"/>
      <c r="T466" s="247"/>
      <c r="U466" s="247"/>
      <c r="V466" s="247"/>
      <c r="W466" s="247"/>
      <c r="X466" s="247"/>
      <c r="Y466" s="247"/>
      <c r="Z466" s="247"/>
      <c r="AA466" s="247"/>
    </row>
    <row r="467">
      <c r="A467" s="247"/>
      <c r="B467" s="245"/>
      <c r="C467" s="246"/>
      <c r="D467" s="247"/>
      <c r="E467" s="247"/>
      <c r="F467" s="247"/>
      <c r="G467" s="247"/>
      <c r="H467" s="247"/>
      <c r="I467" s="247"/>
      <c r="J467" s="246"/>
      <c r="K467" s="248"/>
      <c r="L467" s="246"/>
      <c r="M467" s="154"/>
      <c r="N467" s="55"/>
      <c r="O467" s="247"/>
      <c r="P467" s="247"/>
      <c r="Q467" s="247"/>
      <c r="R467" s="247"/>
      <c r="S467" s="247"/>
      <c r="T467" s="247"/>
      <c r="U467" s="247"/>
      <c r="V467" s="247"/>
      <c r="W467" s="247"/>
      <c r="X467" s="247"/>
      <c r="Y467" s="247"/>
      <c r="Z467" s="247"/>
      <c r="AA467" s="247"/>
    </row>
    <row r="468">
      <c r="A468" s="247"/>
      <c r="B468" s="245"/>
      <c r="C468" s="246"/>
      <c r="D468" s="247"/>
      <c r="E468" s="247"/>
      <c r="F468" s="247"/>
      <c r="G468" s="247"/>
      <c r="H468" s="247"/>
      <c r="I468" s="247"/>
      <c r="J468" s="246"/>
      <c r="K468" s="248"/>
      <c r="L468" s="246"/>
      <c r="M468" s="154"/>
      <c r="N468" s="55"/>
      <c r="O468" s="247"/>
      <c r="P468" s="247"/>
      <c r="Q468" s="247"/>
      <c r="R468" s="247"/>
      <c r="S468" s="247"/>
      <c r="T468" s="247"/>
      <c r="U468" s="247"/>
      <c r="V468" s="247"/>
      <c r="W468" s="247"/>
      <c r="X468" s="247"/>
      <c r="Y468" s="247"/>
      <c r="Z468" s="247"/>
      <c r="AA468" s="247"/>
    </row>
    <row r="469">
      <c r="A469" s="247"/>
      <c r="B469" s="245"/>
      <c r="C469" s="246"/>
      <c r="D469" s="247"/>
      <c r="E469" s="247"/>
      <c r="F469" s="247"/>
      <c r="G469" s="247"/>
      <c r="H469" s="247"/>
      <c r="I469" s="247"/>
      <c r="J469" s="246"/>
      <c r="K469" s="248"/>
      <c r="L469" s="246"/>
      <c r="M469" s="154"/>
      <c r="N469" s="55"/>
      <c r="O469" s="247"/>
      <c r="P469" s="247"/>
      <c r="Q469" s="247"/>
      <c r="R469" s="247"/>
      <c r="S469" s="247"/>
      <c r="T469" s="247"/>
      <c r="U469" s="247"/>
      <c r="V469" s="247"/>
      <c r="W469" s="247"/>
      <c r="X469" s="247"/>
      <c r="Y469" s="247"/>
      <c r="Z469" s="247"/>
      <c r="AA469" s="247"/>
    </row>
    <row r="470">
      <c r="A470" s="247"/>
      <c r="B470" s="245"/>
      <c r="C470" s="246"/>
      <c r="D470" s="247"/>
      <c r="E470" s="247"/>
      <c r="F470" s="247"/>
      <c r="G470" s="247"/>
      <c r="H470" s="247"/>
      <c r="I470" s="247"/>
      <c r="J470" s="246"/>
      <c r="K470" s="248"/>
      <c r="L470" s="246"/>
      <c r="M470" s="154"/>
      <c r="N470" s="55"/>
      <c r="O470" s="247"/>
      <c r="P470" s="247"/>
      <c r="Q470" s="247"/>
      <c r="R470" s="247"/>
      <c r="S470" s="247"/>
      <c r="T470" s="247"/>
      <c r="U470" s="247"/>
      <c r="V470" s="247"/>
      <c r="W470" s="247"/>
      <c r="X470" s="247"/>
      <c r="Y470" s="247"/>
      <c r="Z470" s="247"/>
      <c r="AA470" s="247"/>
    </row>
    <row r="471">
      <c r="A471" s="247"/>
      <c r="B471" s="245"/>
      <c r="C471" s="246"/>
      <c r="D471" s="247"/>
      <c r="E471" s="247"/>
      <c r="F471" s="247"/>
      <c r="G471" s="247"/>
      <c r="H471" s="247"/>
      <c r="I471" s="247"/>
      <c r="J471" s="246"/>
      <c r="K471" s="248"/>
      <c r="L471" s="246"/>
      <c r="M471" s="154"/>
      <c r="N471" s="55"/>
      <c r="O471" s="247"/>
      <c r="P471" s="247"/>
      <c r="Q471" s="247"/>
      <c r="R471" s="247"/>
      <c r="S471" s="247"/>
      <c r="T471" s="247"/>
      <c r="U471" s="247"/>
      <c r="V471" s="247"/>
      <c r="W471" s="247"/>
      <c r="X471" s="247"/>
      <c r="Y471" s="247"/>
      <c r="Z471" s="247"/>
      <c r="AA471" s="247"/>
    </row>
    <row r="472">
      <c r="A472" s="247"/>
      <c r="B472" s="245"/>
      <c r="C472" s="246"/>
      <c r="D472" s="247"/>
      <c r="E472" s="247"/>
      <c r="F472" s="247"/>
      <c r="G472" s="247"/>
      <c r="H472" s="247"/>
      <c r="I472" s="247"/>
      <c r="J472" s="246"/>
      <c r="K472" s="248"/>
      <c r="L472" s="246"/>
      <c r="M472" s="154"/>
      <c r="N472" s="55"/>
      <c r="O472" s="247"/>
      <c r="P472" s="247"/>
      <c r="Q472" s="247"/>
      <c r="R472" s="247"/>
      <c r="S472" s="247"/>
      <c r="T472" s="247"/>
      <c r="U472" s="247"/>
      <c r="V472" s="247"/>
      <c r="W472" s="247"/>
      <c r="X472" s="247"/>
      <c r="Y472" s="247"/>
      <c r="Z472" s="247"/>
      <c r="AA472" s="247"/>
    </row>
    <row r="473">
      <c r="A473" s="247"/>
      <c r="B473" s="245"/>
      <c r="C473" s="246"/>
      <c r="D473" s="247"/>
      <c r="E473" s="247"/>
      <c r="F473" s="247"/>
      <c r="G473" s="247"/>
      <c r="H473" s="247"/>
      <c r="I473" s="247"/>
      <c r="J473" s="246"/>
      <c r="K473" s="248"/>
      <c r="L473" s="246"/>
      <c r="M473" s="154"/>
      <c r="N473" s="55"/>
      <c r="O473" s="247"/>
      <c r="P473" s="247"/>
      <c r="Q473" s="247"/>
      <c r="R473" s="247"/>
      <c r="S473" s="247"/>
      <c r="T473" s="247"/>
      <c r="U473" s="247"/>
      <c r="V473" s="247"/>
      <c r="W473" s="247"/>
      <c r="X473" s="247"/>
      <c r="Y473" s="247"/>
      <c r="Z473" s="247"/>
      <c r="AA473" s="247"/>
    </row>
    <row r="474">
      <c r="A474" s="247"/>
      <c r="B474" s="245"/>
      <c r="C474" s="246"/>
      <c r="D474" s="247"/>
      <c r="E474" s="247"/>
      <c r="F474" s="247"/>
      <c r="G474" s="247"/>
      <c r="H474" s="247"/>
      <c r="I474" s="247"/>
      <c r="J474" s="246"/>
      <c r="K474" s="248"/>
      <c r="L474" s="246"/>
      <c r="M474" s="154"/>
      <c r="N474" s="55"/>
      <c r="O474" s="247"/>
      <c r="P474" s="247"/>
      <c r="Q474" s="247"/>
      <c r="R474" s="247"/>
      <c r="S474" s="247"/>
      <c r="T474" s="247"/>
      <c r="U474" s="247"/>
      <c r="V474" s="247"/>
      <c r="W474" s="247"/>
      <c r="X474" s="247"/>
      <c r="Y474" s="247"/>
      <c r="Z474" s="247"/>
      <c r="AA474" s="247"/>
    </row>
    <row r="475">
      <c r="A475" s="247"/>
      <c r="B475" s="245"/>
      <c r="C475" s="246"/>
      <c r="D475" s="247"/>
      <c r="E475" s="247"/>
      <c r="F475" s="247"/>
      <c r="G475" s="247"/>
      <c r="H475" s="247"/>
      <c r="I475" s="247"/>
      <c r="J475" s="246"/>
      <c r="K475" s="248"/>
      <c r="L475" s="246"/>
      <c r="M475" s="154"/>
      <c r="N475" s="55"/>
      <c r="O475" s="247"/>
      <c r="P475" s="247"/>
      <c r="Q475" s="247"/>
      <c r="R475" s="247"/>
      <c r="S475" s="247"/>
      <c r="T475" s="247"/>
      <c r="U475" s="247"/>
      <c r="V475" s="247"/>
      <c r="W475" s="247"/>
      <c r="X475" s="247"/>
      <c r="Y475" s="247"/>
      <c r="Z475" s="247"/>
      <c r="AA475" s="247"/>
    </row>
    <row r="476">
      <c r="A476" s="247"/>
      <c r="B476" s="245"/>
      <c r="C476" s="246"/>
      <c r="D476" s="247"/>
      <c r="E476" s="247"/>
      <c r="F476" s="247"/>
      <c r="G476" s="247"/>
      <c r="H476" s="247"/>
      <c r="I476" s="247"/>
      <c r="J476" s="246"/>
      <c r="K476" s="248"/>
      <c r="L476" s="246"/>
      <c r="M476" s="154"/>
      <c r="N476" s="55"/>
      <c r="O476" s="247"/>
      <c r="P476" s="247"/>
      <c r="Q476" s="247"/>
      <c r="R476" s="247"/>
      <c r="S476" s="247"/>
      <c r="T476" s="247"/>
      <c r="U476" s="247"/>
      <c r="V476" s="247"/>
      <c r="W476" s="247"/>
      <c r="X476" s="247"/>
      <c r="Y476" s="247"/>
      <c r="Z476" s="247"/>
      <c r="AA476" s="247"/>
    </row>
    <row r="477">
      <c r="A477" s="247"/>
      <c r="B477" s="245"/>
      <c r="C477" s="246"/>
      <c r="D477" s="247"/>
      <c r="E477" s="247"/>
      <c r="F477" s="247"/>
      <c r="G477" s="247"/>
      <c r="H477" s="247"/>
      <c r="I477" s="247"/>
      <c r="J477" s="246"/>
      <c r="K477" s="248"/>
      <c r="L477" s="246"/>
      <c r="M477" s="154"/>
      <c r="N477" s="55"/>
      <c r="O477" s="247"/>
      <c r="P477" s="247"/>
      <c r="Q477" s="247"/>
      <c r="R477" s="247"/>
      <c r="S477" s="247"/>
      <c r="T477" s="247"/>
      <c r="U477" s="247"/>
      <c r="V477" s="247"/>
      <c r="W477" s="247"/>
      <c r="X477" s="247"/>
      <c r="Y477" s="247"/>
      <c r="Z477" s="247"/>
      <c r="AA477" s="247"/>
    </row>
    <row r="478">
      <c r="A478" s="247"/>
      <c r="B478" s="245"/>
      <c r="C478" s="246"/>
      <c r="D478" s="247"/>
      <c r="E478" s="247"/>
      <c r="F478" s="247"/>
      <c r="G478" s="247"/>
      <c r="H478" s="247"/>
      <c r="I478" s="247"/>
      <c r="J478" s="246"/>
      <c r="K478" s="248"/>
      <c r="L478" s="246"/>
      <c r="M478" s="154"/>
      <c r="N478" s="55"/>
      <c r="O478" s="247"/>
      <c r="P478" s="247"/>
      <c r="Q478" s="247"/>
      <c r="R478" s="247"/>
      <c r="S478" s="247"/>
      <c r="T478" s="247"/>
      <c r="U478" s="247"/>
      <c r="V478" s="247"/>
      <c r="W478" s="247"/>
      <c r="X478" s="247"/>
      <c r="Y478" s="247"/>
      <c r="Z478" s="247"/>
      <c r="AA478" s="247"/>
    </row>
    <row r="479">
      <c r="A479" s="247"/>
      <c r="B479" s="245"/>
      <c r="C479" s="246"/>
      <c r="D479" s="247"/>
      <c r="E479" s="247"/>
      <c r="F479" s="247"/>
      <c r="G479" s="247"/>
      <c r="H479" s="247"/>
      <c r="I479" s="247"/>
      <c r="J479" s="246"/>
      <c r="K479" s="248"/>
      <c r="L479" s="246"/>
      <c r="M479" s="154"/>
      <c r="N479" s="55"/>
      <c r="O479" s="247"/>
      <c r="P479" s="247"/>
      <c r="Q479" s="247"/>
      <c r="R479" s="247"/>
      <c r="S479" s="247"/>
      <c r="T479" s="247"/>
      <c r="U479" s="247"/>
      <c r="V479" s="247"/>
      <c r="W479" s="247"/>
      <c r="X479" s="247"/>
      <c r="Y479" s="247"/>
      <c r="Z479" s="247"/>
      <c r="AA479" s="247"/>
    </row>
    <row r="480">
      <c r="A480" s="247"/>
      <c r="B480" s="245"/>
      <c r="C480" s="246"/>
      <c r="D480" s="247"/>
      <c r="E480" s="247"/>
      <c r="F480" s="247"/>
      <c r="G480" s="247"/>
      <c r="H480" s="247"/>
      <c r="I480" s="247"/>
      <c r="J480" s="246"/>
      <c r="K480" s="248"/>
      <c r="L480" s="246"/>
      <c r="M480" s="154"/>
      <c r="N480" s="55"/>
      <c r="O480" s="247"/>
      <c r="P480" s="247"/>
      <c r="Q480" s="247"/>
      <c r="R480" s="247"/>
      <c r="S480" s="247"/>
      <c r="T480" s="247"/>
      <c r="U480" s="247"/>
      <c r="V480" s="247"/>
      <c r="W480" s="247"/>
      <c r="X480" s="247"/>
      <c r="Y480" s="247"/>
      <c r="Z480" s="247"/>
      <c r="AA480" s="247"/>
    </row>
    <row r="481">
      <c r="A481" s="247"/>
      <c r="B481" s="245"/>
      <c r="C481" s="246"/>
      <c r="D481" s="247"/>
      <c r="E481" s="247"/>
      <c r="F481" s="247"/>
      <c r="G481" s="247"/>
      <c r="H481" s="247"/>
      <c r="I481" s="247"/>
      <c r="J481" s="246"/>
      <c r="K481" s="248"/>
      <c r="L481" s="246"/>
      <c r="M481" s="154"/>
      <c r="N481" s="55"/>
      <c r="O481" s="247"/>
      <c r="P481" s="247"/>
      <c r="Q481" s="247"/>
      <c r="R481" s="247"/>
      <c r="S481" s="247"/>
      <c r="T481" s="247"/>
      <c r="U481" s="247"/>
      <c r="V481" s="247"/>
      <c r="W481" s="247"/>
      <c r="X481" s="247"/>
      <c r="Y481" s="247"/>
      <c r="Z481" s="247"/>
      <c r="AA481" s="247"/>
    </row>
    <row r="482">
      <c r="A482" s="247"/>
      <c r="B482" s="245"/>
      <c r="C482" s="246"/>
      <c r="D482" s="247"/>
      <c r="E482" s="247"/>
      <c r="F482" s="247"/>
      <c r="G482" s="247"/>
      <c r="H482" s="247"/>
      <c r="I482" s="247"/>
      <c r="J482" s="246"/>
      <c r="K482" s="248"/>
      <c r="L482" s="246"/>
      <c r="M482" s="154"/>
      <c r="N482" s="55"/>
      <c r="O482" s="247"/>
      <c r="P482" s="247"/>
      <c r="Q482" s="247"/>
      <c r="R482" s="247"/>
      <c r="S482" s="247"/>
      <c r="T482" s="247"/>
      <c r="U482" s="247"/>
      <c r="V482" s="247"/>
      <c r="W482" s="247"/>
      <c r="X482" s="247"/>
      <c r="Y482" s="247"/>
      <c r="Z482" s="247"/>
      <c r="AA482" s="247"/>
    </row>
    <row r="483">
      <c r="A483" s="247"/>
      <c r="B483" s="245"/>
      <c r="C483" s="246"/>
      <c r="D483" s="247"/>
      <c r="E483" s="247"/>
      <c r="F483" s="247"/>
      <c r="G483" s="247"/>
      <c r="H483" s="247"/>
      <c r="I483" s="247"/>
      <c r="J483" s="246"/>
      <c r="K483" s="248"/>
      <c r="L483" s="246"/>
      <c r="M483" s="154"/>
      <c r="N483" s="55"/>
      <c r="O483" s="247"/>
      <c r="P483" s="247"/>
      <c r="Q483" s="247"/>
      <c r="R483" s="247"/>
      <c r="S483" s="247"/>
      <c r="T483" s="247"/>
      <c r="U483" s="247"/>
      <c r="V483" s="247"/>
      <c r="W483" s="247"/>
      <c r="X483" s="247"/>
      <c r="Y483" s="247"/>
      <c r="Z483" s="247"/>
      <c r="AA483" s="247"/>
    </row>
    <row r="484">
      <c r="A484" s="247"/>
      <c r="B484" s="245"/>
      <c r="C484" s="246"/>
      <c r="D484" s="247"/>
      <c r="E484" s="247"/>
      <c r="F484" s="247"/>
      <c r="G484" s="247"/>
      <c r="H484" s="247"/>
      <c r="I484" s="247"/>
      <c r="J484" s="246"/>
      <c r="K484" s="248"/>
      <c r="L484" s="246"/>
      <c r="M484" s="154"/>
      <c r="N484" s="55"/>
      <c r="O484" s="247"/>
      <c r="P484" s="247"/>
      <c r="Q484" s="247"/>
      <c r="R484" s="247"/>
      <c r="S484" s="247"/>
      <c r="T484" s="247"/>
      <c r="U484" s="247"/>
      <c r="V484" s="247"/>
      <c r="W484" s="247"/>
      <c r="X484" s="247"/>
      <c r="Y484" s="247"/>
      <c r="Z484" s="247"/>
      <c r="AA484" s="247"/>
    </row>
    <row r="485">
      <c r="A485" s="247"/>
      <c r="B485" s="245"/>
      <c r="C485" s="246"/>
      <c r="D485" s="247"/>
      <c r="E485" s="247"/>
      <c r="F485" s="247"/>
      <c r="G485" s="247"/>
      <c r="H485" s="247"/>
      <c r="I485" s="247"/>
      <c r="J485" s="246"/>
      <c r="K485" s="248"/>
      <c r="L485" s="246"/>
      <c r="M485" s="154"/>
      <c r="N485" s="55"/>
      <c r="O485" s="247"/>
      <c r="P485" s="247"/>
      <c r="Q485" s="247"/>
      <c r="R485" s="247"/>
      <c r="S485" s="247"/>
      <c r="T485" s="247"/>
      <c r="U485" s="247"/>
      <c r="V485" s="247"/>
      <c r="W485" s="247"/>
      <c r="X485" s="247"/>
      <c r="Y485" s="247"/>
      <c r="Z485" s="247"/>
      <c r="AA485" s="247"/>
    </row>
    <row r="486">
      <c r="A486" s="247"/>
      <c r="B486" s="245"/>
      <c r="C486" s="246"/>
      <c r="D486" s="247"/>
      <c r="E486" s="247"/>
      <c r="F486" s="247"/>
      <c r="G486" s="247"/>
      <c r="H486" s="247"/>
      <c r="I486" s="247"/>
      <c r="J486" s="246"/>
      <c r="K486" s="248"/>
      <c r="L486" s="246"/>
      <c r="M486" s="154"/>
      <c r="N486" s="55"/>
      <c r="O486" s="247"/>
      <c r="P486" s="247"/>
      <c r="Q486" s="247"/>
      <c r="R486" s="247"/>
      <c r="S486" s="247"/>
      <c r="T486" s="247"/>
      <c r="U486" s="247"/>
      <c r="V486" s="247"/>
      <c r="W486" s="247"/>
      <c r="X486" s="247"/>
      <c r="Y486" s="247"/>
      <c r="Z486" s="247"/>
      <c r="AA486" s="247"/>
    </row>
    <row r="487">
      <c r="A487" s="247"/>
      <c r="B487" s="245"/>
      <c r="C487" s="246"/>
      <c r="D487" s="247"/>
      <c r="E487" s="247"/>
      <c r="F487" s="247"/>
      <c r="G487" s="247"/>
      <c r="H487" s="247"/>
      <c r="I487" s="247"/>
      <c r="J487" s="246"/>
      <c r="K487" s="248"/>
      <c r="L487" s="246"/>
      <c r="M487" s="154"/>
      <c r="N487" s="55"/>
      <c r="O487" s="247"/>
      <c r="P487" s="247"/>
      <c r="Q487" s="247"/>
      <c r="R487" s="247"/>
      <c r="S487" s="247"/>
      <c r="T487" s="247"/>
      <c r="U487" s="247"/>
      <c r="V487" s="247"/>
      <c r="W487" s="247"/>
      <c r="X487" s="247"/>
      <c r="Y487" s="247"/>
      <c r="Z487" s="247"/>
      <c r="AA487" s="247"/>
    </row>
    <row r="488">
      <c r="A488" s="247"/>
      <c r="B488" s="245"/>
      <c r="C488" s="246"/>
      <c r="D488" s="247"/>
      <c r="E488" s="247"/>
      <c r="F488" s="247"/>
      <c r="G488" s="247"/>
      <c r="H488" s="247"/>
      <c r="I488" s="247"/>
      <c r="J488" s="246"/>
      <c r="K488" s="248"/>
      <c r="L488" s="246"/>
      <c r="M488" s="154"/>
      <c r="N488" s="55"/>
      <c r="O488" s="247"/>
      <c r="P488" s="247"/>
      <c r="Q488" s="247"/>
      <c r="R488" s="247"/>
      <c r="S488" s="247"/>
      <c r="T488" s="247"/>
      <c r="U488" s="247"/>
      <c r="V488" s="247"/>
      <c r="W488" s="247"/>
      <c r="X488" s="247"/>
      <c r="Y488" s="247"/>
      <c r="Z488" s="247"/>
      <c r="AA488" s="247"/>
    </row>
    <row r="489">
      <c r="A489" s="247"/>
      <c r="B489" s="245"/>
      <c r="C489" s="246"/>
      <c r="D489" s="247"/>
      <c r="E489" s="247"/>
      <c r="F489" s="247"/>
      <c r="G489" s="247"/>
      <c r="H489" s="247"/>
      <c r="I489" s="247"/>
      <c r="J489" s="246"/>
      <c r="K489" s="248"/>
      <c r="L489" s="246"/>
      <c r="M489" s="154"/>
      <c r="N489" s="55"/>
      <c r="O489" s="247"/>
      <c r="P489" s="247"/>
      <c r="Q489" s="247"/>
      <c r="R489" s="247"/>
      <c r="S489" s="247"/>
      <c r="T489" s="247"/>
      <c r="U489" s="247"/>
      <c r="V489" s="247"/>
      <c r="W489" s="247"/>
      <c r="X489" s="247"/>
      <c r="Y489" s="247"/>
      <c r="Z489" s="247"/>
      <c r="AA489" s="247"/>
    </row>
    <row r="490">
      <c r="A490" s="247"/>
      <c r="B490" s="245"/>
      <c r="C490" s="246"/>
      <c r="D490" s="247"/>
      <c r="E490" s="247"/>
      <c r="F490" s="247"/>
      <c r="G490" s="247"/>
      <c r="H490" s="247"/>
      <c r="I490" s="247"/>
      <c r="J490" s="246"/>
      <c r="K490" s="248"/>
      <c r="L490" s="246"/>
      <c r="M490" s="154"/>
      <c r="N490" s="55"/>
      <c r="O490" s="247"/>
      <c r="P490" s="247"/>
      <c r="Q490" s="247"/>
      <c r="R490" s="247"/>
      <c r="S490" s="247"/>
      <c r="T490" s="247"/>
      <c r="U490" s="247"/>
      <c r="V490" s="247"/>
      <c r="W490" s="247"/>
      <c r="X490" s="247"/>
      <c r="Y490" s="247"/>
      <c r="Z490" s="247"/>
      <c r="AA490" s="247"/>
    </row>
    <row r="491">
      <c r="A491" s="247"/>
      <c r="B491" s="245"/>
      <c r="C491" s="246"/>
      <c r="D491" s="247"/>
      <c r="E491" s="247"/>
      <c r="F491" s="247"/>
      <c r="G491" s="247"/>
      <c r="H491" s="247"/>
      <c r="I491" s="247"/>
      <c r="J491" s="246"/>
      <c r="K491" s="248"/>
      <c r="L491" s="246"/>
      <c r="M491" s="154"/>
      <c r="N491" s="55"/>
      <c r="O491" s="247"/>
      <c r="P491" s="247"/>
      <c r="Q491" s="247"/>
      <c r="R491" s="247"/>
      <c r="S491" s="247"/>
      <c r="T491" s="247"/>
      <c r="U491" s="247"/>
      <c r="V491" s="247"/>
      <c r="W491" s="247"/>
      <c r="X491" s="247"/>
      <c r="Y491" s="247"/>
      <c r="Z491" s="247"/>
      <c r="AA491" s="247"/>
    </row>
    <row r="492">
      <c r="A492" s="247"/>
      <c r="B492" s="245"/>
      <c r="C492" s="246"/>
      <c r="D492" s="247"/>
      <c r="E492" s="247"/>
      <c r="F492" s="247"/>
      <c r="G492" s="247"/>
      <c r="H492" s="247"/>
      <c r="I492" s="247"/>
      <c r="J492" s="246"/>
      <c r="K492" s="248"/>
      <c r="L492" s="246"/>
      <c r="M492" s="154"/>
      <c r="N492" s="55"/>
      <c r="O492" s="247"/>
      <c r="P492" s="247"/>
      <c r="Q492" s="247"/>
      <c r="R492" s="247"/>
      <c r="S492" s="247"/>
      <c r="T492" s="247"/>
      <c r="U492" s="247"/>
      <c r="V492" s="247"/>
      <c r="W492" s="247"/>
      <c r="X492" s="247"/>
      <c r="Y492" s="247"/>
      <c r="Z492" s="247"/>
      <c r="AA492" s="247"/>
    </row>
    <row r="493">
      <c r="A493" s="247"/>
      <c r="B493" s="245"/>
      <c r="C493" s="246"/>
      <c r="D493" s="247"/>
      <c r="E493" s="247"/>
      <c r="F493" s="247"/>
      <c r="G493" s="247"/>
      <c r="H493" s="247"/>
      <c r="I493" s="247"/>
      <c r="J493" s="246"/>
      <c r="K493" s="248"/>
      <c r="L493" s="246"/>
      <c r="M493" s="154"/>
      <c r="N493" s="55"/>
      <c r="O493" s="247"/>
      <c r="P493" s="247"/>
      <c r="Q493" s="247"/>
      <c r="R493" s="247"/>
      <c r="S493" s="247"/>
      <c r="T493" s="247"/>
      <c r="U493" s="247"/>
      <c r="V493" s="247"/>
      <c r="W493" s="247"/>
      <c r="X493" s="247"/>
      <c r="Y493" s="247"/>
      <c r="Z493" s="247"/>
      <c r="AA493" s="247"/>
    </row>
    <row r="494">
      <c r="A494" s="247"/>
      <c r="B494" s="245"/>
      <c r="C494" s="246"/>
      <c r="D494" s="247"/>
      <c r="E494" s="247"/>
      <c r="F494" s="247"/>
      <c r="G494" s="247"/>
      <c r="H494" s="247"/>
      <c r="I494" s="247"/>
      <c r="J494" s="246"/>
      <c r="K494" s="248"/>
      <c r="L494" s="246"/>
      <c r="M494" s="154"/>
      <c r="N494" s="55"/>
      <c r="O494" s="247"/>
      <c r="P494" s="247"/>
      <c r="Q494" s="247"/>
      <c r="R494" s="247"/>
      <c r="S494" s="247"/>
      <c r="T494" s="247"/>
      <c r="U494" s="247"/>
      <c r="V494" s="247"/>
      <c r="W494" s="247"/>
      <c r="X494" s="247"/>
      <c r="Y494" s="247"/>
      <c r="Z494" s="247"/>
      <c r="AA494" s="247"/>
    </row>
    <row r="495">
      <c r="A495" s="247"/>
      <c r="B495" s="245"/>
      <c r="C495" s="246"/>
      <c r="D495" s="247"/>
      <c r="E495" s="247"/>
      <c r="F495" s="247"/>
      <c r="G495" s="247"/>
      <c r="H495" s="247"/>
      <c r="I495" s="247"/>
      <c r="J495" s="246"/>
      <c r="K495" s="248"/>
      <c r="L495" s="246"/>
      <c r="M495" s="154"/>
      <c r="N495" s="55"/>
      <c r="O495" s="247"/>
      <c r="P495" s="247"/>
      <c r="Q495" s="247"/>
      <c r="R495" s="247"/>
      <c r="S495" s="247"/>
      <c r="T495" s="247"/>
      <c r="U495" s="247"/>
      <c r="V495" s="247"/>
      <c r="W495" s="247"/>
      <c r="X495" s="247"/>
      <c r="Y495" s="247"/>
      <c r="Z495" s="247"/>
      <c r="AA495" s="247"/>
    </row>
    <row r="496">
      <c r="A496" s="247"/>
      <c r="B496" s="245"/>
      <c r="C496" s="246"/>
      <c r="D496" s="247"/>
      <c r="E496" s="247"/>
      <c r="F496" s="247"/>
      <c r="G496" s="247"/>
      <c r="H496" s="247"/>
      <c r="I496" s="247"/>
      <c r="J496" s="246"/>
      <c r="K496" s="248"/>
      <c r="L496" s="246"/>
      <c r="M496" s="154"/>
      <c r="N496" s="55"/>
      <c r="O496" s="247"/>
      <c r="P496" s="247"/>
      <c r="Q496" s="247"/>
      <c r="R496" s="247"/>
      <c r="S496" s="247"/>
      <c r="T496" s="247"/>
      <c r="U496" s="247"/>
      <c r="V496" s="247"/>
      <c r="W496" s="247"/>
      <c r="X496" s="247"/>
      <c r="Y496" s="247"/>
      <c r="Z496" s="247"/>
      <c r="AA496" s="247"/>
    </row>
    <row r="497">
      <c r="A497" s="247"/>
      <c r="B497" s="245"/>
      <c r="C497" s="246"/>
      <c r="D497" s="247"/>
      <c r="E497" s="247"/>
      <c r="F497" s="247"/>
      <c r="G497" s="247"/>
      <c r="H497" s="247"/>
      <c r="I497" s="247"/>
      <c r="J497" s="246"/>
      <c r="K497" s="248"/>
      <c r="L497" s="246"/>
      <c r="M497" s="154"/>
      <c r="N497" s="55"/>
      <c r="O497" s="247"/>
      <c r="P497" s="247"/>
      <c r="Q497" s="247"/>
      <c r="R497" s="247"/>
      <c r="S497" s="247"/>
      <c r="T497" s="247"/>
      <c r="U497" s="247"/>
      <c r="V497" s="247"/>
      <c r="W497" s="247"/>
      <c r="X497" s="247"/>
      <c r="Y497" s="247"/>
      <c r="Z497" s="247"/>
      <c r="AA497" s="247"/>
    </row>
    <row r="498">
      <c r="A498" s="247"/>
      <c r="B498" s="245"/>
      <c r="C498" s="246"/>
      <c r="D498" s="247"/>
      <c r="E498" s="247"/>
      <c r="F498" s="247"/>
      <c r="G498" s="247"/>
      <c r="H498" s="247"/>
      <c r="I498" s="247"/>
      <c r="J498" s="246"/>
      <c r="K498" s="248"/>
      <c r="L498" s="246"/>
      <c r="M498" s="154"/>
      <c r="N498" s="55"/>
      <c r="O498" s="247"/>
      <c r="P498" s="247"/>
      <c r="Q498" s="247"/>
      <c r="R498" s="247"/>
      <c r="S498" s="247"/>
      <c r="T498" s="247"/>
      <c r="U498" s="247"/>
      <c r="V498" s="247"/>
      <c r="W498" s="247"/>
      <c r="X498" s="247"/>
      <c r="Y498" s="247"/>
      <c r="Z498" s="247"/>
      <c r="AA498" s="247"/>
    </row>
    <row r="499">
      <c r="A499" s="247"/>
      <c r="B499" s="245"/>
      <c r="C499" s="246"/>
      <c r="D499" s="247"/>
      <c r="E499" s="247"/>
      <c r="F499" s="247"/>
      <c r="G499" s="247"/>
      <c r="H499" s="247"/>
      <c r="I499" s="247"/>
      <c r="J499" s="246"/>
      <c r="K499" s="248"/>
      <c r="L499" s="246"/>
      <c r="M499" s="154"/>
      <c r="N499" s="55"/>
      <c r="O499" s="247"/>
      <c r="P499" s="247"/>
      <c r="Q499" s="247"/>
      <c r="R499" s="247"/>
      <c r="S499" s="247"/>
      <c r="T499" s="247"/>
      <c r="U499" s="247"/>
      <c r="V499" s="247"/>
      <c r="W499" s="247"/>
      <c r="X499" s="247"/>
      <c r="Y499" s="247"/>
      <c r="Z499" s="247"/>
      <c r="AA499" s="247"/>
    </row>
    <row r="500">
      <c r="A500" s="247"/>
      <c r="B500" s="245"/>
      <c r="C500" s="246"/>
      <c r="D500" s="247"/>
      <c r="E500" s="247"/>
      <c r="F500" s="247"/>
      <c r="G500" s="247"/>
      <c r="H500" s="247"/>
      <c r="I500" s="247"/>
      <c r="J500" s="246"/>
      <c r="K500" s="248"/>
      <c r="L500" s="246"/>
      <c r="M500" s="154"/>
      <c r="N500" s="55"/>
      <c r="O500" s="247"/>
      <c r="P500" s="247"/>
      <c r="Q500" s="247"/>
      <c r="R500" s="247"/>
      <c r="S500" s="247"/>
      <c r="T500" s="247"/>
      <c r="U500" s="247"/>
      <c r="V500" s="247"/>
      <c r="W500" s="247"/>
      <c r="X500" s="247"/>
      <c r="Y500" s="247"/>
      <c r="Z500" s="247"/>
      <c r="AA500" s="247"/>
    </row>
    <row r="501">
      <c r="A501" s="247"/>
      <c r="B501" s="245"/>
      <c r="C501" s="246"/>
      <c r="D501" s="247"/>
      <c r="E501" s="247"/>
      <c r="F501" s="247"/>
      <c r="G501" s="247"/>
      <c r="H501" s="247"/>
      <c r="I501" s="247"/>
      <c r="J501" s="246"/>
      <c r="K501" s="248"/>
      <c r="L501" s="246"/>
      <c r="M501" s="154"/>
      <c r="N501" s="55"/>
      <c r="O501" s="247"/>
      <c r="P501" s="247"/>
      <c r="Q501" s="247"/>
      <c r="R501" s="247"/>
      <c r="S501" s="247"/>
      <c r="T501" s="247"/>
      <c r="U501" s="247"/>
      <c r="V501" s="247"/>
      <c r="W501" s="247"/>
      <c r="X501" s="247"/>
      <c r="Y501" s="247"/>
      <c r="Z501" s="247"/>
      <c r="AA501" s="247"/>
    </row>
    <row r="502">
      <c r="A502" s="247"/>
      <c r="B502" s="245"/>
      <c r="C502" s="246"/>
      <c r="D502" s="247"/>
      <c r="E502" s="247"/>
      <c r="F502" s="247"/>
      <c r="G502" s="247"/>
      <c r="H502" s="247"/>
      <c r="I502" s="247"/>
      <c r="J502" s="246"/>
      <c r="K502" s="248"/>
      <c r="L502" s="246"/>
      <c r="M502" s="154"/>
      <c r="N502" s="55"/>
      <c r="O502" s="247"/>
      <c r="P502" s="247"/>
      <c r="Q502" s="247"/>
      <c r="R502" s="247"/>
      <c r="S502" s="247"/>
      <c r="T502" s="247"/>
      <c r="U502" s="247"/>
      <c r="V502" s="247"/>
      <c r="W502" s="247"/>
      <c r="X502" s="247"/>
      <c r="Y502" s="247"/>
      <c r="Z502" s="247"/>
      <c r="AA502" s="247"/>
    </row>
    <row r="503">
      <c r="A503" s="247"/>
      <c r="B503" s="245"/>
      <c r="C503" s="246"/>
      <c r="D503" s="247"/>
      <c r="E503" s="247"/>
      <c r="F503" s="247"/>
      <c r="G503" s="247"/>
      <c r="H503" s="247"/>
      <c r="I503" s="247"/>
      <c r="J503" s="246"/>
      <c r="K503" s="248"/>
      <c r="L503" s="246"/>
      <c r="M503" s="154"/>
      <c r="N503" s="55"/>
      <c r="O503" s="247"/>
      <c r="P503" s="247"/>
      <c r="Q503" s="247"/>
      <c r="R503" s="247"/>
      <c r="S503" s="247"/>
      <c r="T503" s="247"/>
      <c r="U503" s="247"/>
      <c r="V503" s="247"/>
      <c r="W503" s="247"/>
      <c r="X503" s="247"/>
      <c r="Y503" s="247"/>
      <c r="Z503" s="247"/>
      <c r="AA503" s="247"/>
    </row>
    <row r="504">
      <c r="A504" s="247"/>
      <c r="B504" s="245"/>
      <c r="C504" s="246"/>
      <c r="D504" s="247"/>
      <c r="E504" s="247"/>
      <c r="F504" s="247"/>
      <c r="G504" s="247"/>
      <c r="H504" s="247"/>
      <c r="I504" s="247"/>
      <c r="J504" s="246"/>
      <c r="K504" s="248"/>
      <c r="L504" s="246"/>
      <c r="M504" s="154"/>
      <c r="N504" s="55"/>
      <c r="O504" s="247"/>
      <c r="P504" s="247"/>
      <c r="Q504" s="247"/>
      <c r="R504" s="247"/>
      <c r="S504" s="247"/>
      <c r="T504" s="247"/>
      <c r="U504" s="247"/>
      <c r="V504" s="247"/>
      <c r="W504" s="247"/>
      <c r="X504" s="247"/>
      <c r="Y504" s="247"/>
      <c r="Z504" s="247"/>
      <c r="AA504" s="247"/>
    </row>
    <row r="505">
      <c r="A505" s="247"/>
      <c r="B505" s="245"/>
      <c r="C505" s="246"/>
      <c r="D505" s="247"/>
      <c r="E505" s="247"/>
      <c r="F505" s="247"/>
      <c r="G505" s="247"/>
      <c r="H505" s="247"/>
      <c r="I505" s="247"/>
      <c r="J505" s="246"/>
      <c r="K505" s="248"/>
      <c r="L505" s="246"/>
      <c r="M505" s="154"/>
      <c r="N505" s="55"/>
      <c r="O505" s="247"/>
      <c r="P505" s="247"/>
      <c r="Q505" s="247"/>
      <c r="R505" s="247"/>
      <c r="S505" s="247"/>
      <c r="T505" s="247"/>
      <c r="U505" s="247"/>
      <c r="V505" s="247"/>
      <c r="W505" s="247"/>
      <c r="X505" s="247"/>
      <c r="Y505" s="247"/>
      <c r="Z505" s="247"/>
      <c r="AA505" s="247"/>
    </row>
    <row r="506">
      <c r="A506" s="247"/>
      <c r="B506" s="245"/>
      <c r="C506" s="246"/>
      <c r="D506" s="247"/>
      <c r="E506" s="247"/>
      <c r="F506" s="247"/>
      <c r="G506" s="247"/>
      <c r="H506" s="247"/>
      <c r="I506" s="247"/>
      <c r="J506" s="246"/>
      <c r="K506" s="248"/>
      <c r="L506" s="246"/>
      <c r="M506" s="154"/>
      <c r="N506" s="55"/>
      <c r="O506" s="247"/>
      <c r="P506" s="247"/>
      <c r="Q506" s="247"/>
      <c r="R506" s="247"/>
      <c r="S506" s="247"/>
      <c r="T506" s="247"/>
      <c r="U506" s="247"/>
      <c r="V506" s="247"/>
      <c r="W506" s="247"/>
      <c r="X506" s="247"/>
      <c r="Y506" s="247"/>
      <c r="Z506" s="247"/>
      <c r="AA506" s="247"/>
    </row>
    <row r="507">
      <c r="A507" s="247"/>
      <c r="B507" s="245"/>
      <c r="C507" s="246"/>
      <c r="D507" s="247"/>
      <c r="E507" s="247"/>
      <c r="F507" s="247"/>
      <c r="G507" s="247"/>
      <c r="H507" s="247"/>
      <c r="I507" s="247"/>
      <c r="J507" s="246"/>
      <c r="K507" s="248"/>
      <c r="L507" s="246"/>
      <c r="M507" s="154"/>
      <c r="N507" s="55"/>
      <c r="O507" s="247"/>
      <c r="P507" s="247"/>
      <c r="Q507" s="247"/>
      <c r="R507" s="247"/>
      <c r="S507" s="247"/>
      <c r="T507" s="247"/>
      <c r="U507" s="247"/>
      <c r="V507" s="247"/>
      <c r="W507" s="247"/>
      <c r="X507" s="247"/>
      <c r="Y507" s="247"/>
      <c r="Z507" s="247"/>
      <c r="AA507" s="247"/>
    </row>
    <row r="508">
      <c r="A508" s="247"/>
      <c r="B508" s="245"/>
      <c r="C508" s="246"/>
      <c r="D508" s="247"/>
      <c r="E508" s="247"/>
      <c r="F508" s="247"/>
      <c r="G508" s="247"/>
      <c r="H508" s="247"/>
      <c r="I508" s="247"/>
      <c r="J508" s="246"/>
      <c r="K508" s="248"/>
      <c r="L508" s="246"/>
      <c r="M508" s="154"/>
      <c r="N508" s="55"/>
      <c r="O508" s="247"/>
      <c r="P508" s="247"/>
      <c r="Q508" s="247"/>
      <c r="R508" s="247"/>
      <c r="S508" s="247"/>
      <c r="T508" s="247"/>
      <c r="U508" s="247"/>
      <c r="V508" s="247"/>
      <c r="W508" s="247"/>
      <c r="X508" s="247"/>
      <c r="Y508" s="247"/>
      <c r="Z508" s="247"/>
      <c r="AA508" s="247"/>
    </row>
    <row r="509">
      <c r="A509" s="247"/>
      <c r="B509" s="245"/>
      <c r="C509" s="246"/>
      <c r="D509" s="247"/>
      <c r="E509" s="247"/>
      <c r="F509" s="247"/>
      <c r="G509" s="247"/>
      <c r="H509" s="247"/>
      <c r="I509" s="247"/>
      <c r="J509" s="246"/>
      <c r="K509" s="248"/>
      <c r="L509" s="246"/>
      <c r="M509" s="154"/>
      <c r="N509" s="55"/>
      <c r="O509" s="247"/>
      <c r="P509" s="247"/>
      <c r="Q509" s="247"/>
      <c r="R509" s="247"/>
      <c r="S509" s="247"/>
      <c r="T509" s="247"/>
      <c r="U509" s="247"/>
      <c r="V509" s="247"/>
      <c r="W509" s="247"/>
      <c r="X509" s="247"/>
      <c r="Y509" s="247"/>
      <c r="Z509" s="247"/>
      <c r="AA509" s="247"/>
    </row>
    <row r="510">
      <c r="A510" s="247"/>
      <c r="B510" s="245"/>
      <c r="C510" s="246"/>
      <c r="D510" s="247"/>
      <c r="E510" s="247"/>
      <c r="F510" s="247"/>
      <c r="G510" s="247"/>
      <c r="H510" s="247"/>
      <c r="I510" s="247"/>
      <c r="J510" s="246"/>
      <c r="K510" s="248"/>
      <c r="L510" s="246"/>
      <c r="M510" s="154"/>
      <c r="N510" s="55"/>
      <c r="O510" s="247"/>
      <c r="P510" s="247"/>
      <c r="Q510" s="247"/>
      <c r="R510" s="247"/>
      <c r="S510" s="247"/>
      <c r="T510" s="247"/>
      <c r="U510" s="247"/>
      <c r="V510" s="247"/>
      <c r="W510" s="247"/>
      <c r="X510" s="247"/>
      <c r="Y510" s="247"/>
      <c r="Z510" s="247"/>
      <c r="AA510" s="247"/>
    </row>
    <row r="511">
      <c r="A511" s="247"/>
      <c r="B511" s="245"/>
      <c r="C511" s="246"/>
      <c r="D511" s="247"/>
      <c r="E511" s="247"/>
      <c r="F511" s="247"/>
      <c r="G511" s="247"/>
      <c r="H511" s="247"/>
      <c r="I511" s="247"/>
      <c r="J511" s="246"/>
      <c r="K511" s="248"/>
      <c r="L511" s="246"/>
      <c r="M511" s="154"/>
      <c r="N511" s="55"/>
      <c r="O511" s="247"/>
      <c r="P511" s="247"/>
      <c r="Q511" s="247"/>
      <c r="R511" s="247"/>
      <c r="S511" s="247"/>
      <c r="T511" s="247"/>
      <c r="U511" s="247"/>
      <c r="V511" s="247"/>
      <c r="W511" s="247"/>
      <c r="X511" s="247"/>
      <c r="Y511" s="247"/>
      <c r="Z511" s="247"/>
      <c r="AA511" s="247"/>
    </row>
    <row r="512">
      <c r="A512" s="247"/>
      <c r="B512" s="245"/>
      <c r="C512" s="246"/>
      <c r="D512" s="247"/>
      <c r="E512" s="247"/>
      <c r="F512" s="247"/>
      <c r="G512" s="247"/>
      <c r="H512" s="247"/>
      <c r="I512" s="247"/>
      <c r="J512" s="246"/>
      <c r="K512" s="248"/>
      <c r="L512" s="246"/>
      <c r="M512" s="154"/>
      <c r="N512" s="55"/>
      <c r="O512" s="247"/>
      <c r="P512" s="247"/>
      <c r="Q512" s="247"/>
      <c r="R512" s="247"/>
      <c r="S512" s="247"/>
      <c r="T512" s="247"/>
      <c r="U512" s="247"/>
      <c r="V512" s="247"/>
      <c r="W512" s="247"/>
      <c r="X512" s="247"/>
      <c r="Y512" s="247"/>
      <c r="Z512" s="247"/>
      <c r="AA512" s="247"/>
    </row>
    <row r="513">
      <c r="A513" s="247"/>
      <c r="B513" s="245"/>
      <c r="C513" s="246"/>
      <c r="D513" s="247"/>
      <c r="E513" s="247"/>
      <c r="F513" s="247"/>
      <c r="G513" s="247"/>
      <c r="H513" s="247"/>
      <c r="I513" s="247"/>
      <c r="J513" s="246"/>
      <c r="K513" s="248"/>
      <c r="L513" s="246"/>
      <c r="M513" s="154"/>
      <c r="N513" s="55"/>
      <c r="O513" s="247"/>
      <c r="P513" s="247"/>
      <c r="Q513" s="247"/>
      <c r="R513" s="247"/>
      <c r="S513" s="247"/>
      <c r="T513" s="247"/>
      <c r="U513" s="247"/>
      <c r="V513" s="247"/>
      <c r="W513" s="247"/>
      <c r="X513" s="247"/>
      <c r="Y513" s="247"/>
      <c r="Z513" s="247"/>
      <c r="AA513" s="247"/>
    </row>
    <row r="514">
      <c r="A514" s="247"/>
      <c r="B514" s="245"/>
      <c r="C514" s="246"/>
      <c r="D514" s="247"/>
      <c r="E514" s="247"/>
      <c r="F514" s="247"/>
      <c r="G514" s="247"/>
      <c r="H514" s="247"/>
      <c r="I514" s="247"/>
      <c r="J514" s="246"/>
      <c r="K514" s="248"/>
      <c r="L514" s="246"/>
      <c r="M514" s="154"/>
      <c r="N514" s="55"/>
      <c r="O514" s="247"/>
      <c r="P514" s="247"/>
      <c r="Q514" s="247"/>
      <c r="R514" s="247"/>
      <c r="S514" s="247"/>
      <c r="T514" s="247"/>
      <c r="U514" s="247"/>
      <c r="V514" s="247"/>
      <c r="W514" s="247"/>
      <c r="X514" s="247"/>
      <c r="Y514" s="247"/>
      <c r="Z514" s="247"/>
      <c r="AA514" s="247"/>
    </row>
    <row r="515">
      <c r="A515" s="247"/>
      <c r="B515" s="245"/>
      <c r="C515" s="246"/>
      <c r="D515" s="247"/>
      <c r="E515" s="247"/>
      <c r="F515" s="247"/>
      <c r="G515" s="247"/>
      <c r="H515" s="247"/>
      <c r="I515" s="247"/>
      <c r="J515" s="246"/>
      <c r="K515" s="248"/>
      <c r="L515" s="246"/>
      <c r="M515" s="154"/>
      <c r="N515" s="55"/>
      <c r="O515" s="247"/>
      <c r="P515" s="247"/>
      <c r="Q515" s="247"/>
      <c r="R515" s="247"/>
      <c r="S515" s="247"/>
      <c r="T515" s="247"/>
      <c r="U515" s="247"/>
      <c r="V515" s="247"/>
      <c r="W515" s="247"/>
      <c r="X515" s="247"/>
      <c r="Y515" s="247"/>
      <c r="Z515" s="247"/>
      <c r="AA515" s="247"/>
    </row>
    <row r="516">
      <c r="A516" s="247"/>
      <c r="B516" s="245"/>
      <c r="C516" s="246"/>
      <c r="D516" s="247"/>
      <c r="E516" s="247"/>
      <c r="F516" s="247"/>
      <c r="G516" s="247"/>
      <c r="H516" s="247"/>
      <c r="I516" s="247"/>
      <c r="J516" s="246"/>
      <c r="K516" s="248"/>
      <c r="L516" s="246"/>
      <c r="M516" s="154"/>
      <c r="N516" s="55"/>
      <c r="O516" s="247"/>
      <c r="P516" s="247"/>
      <c r="Q516" s="247"/>
      <c r="R516" s="247"/>
      <c r="S516" s="247"/>
      <c r="T516" s="247"/>
      <c r="U516" s="247"/>
      <c r="V516" s="247"/>
      <c r="W516" s="247"/>
      <c r="X516" s="247"/>
      <c r="Y516" s="247"/>
      <c r="Z516" s="247"/>
      <c r="AA516" s="247"/>
    </row>
    <row r="517">
      <c r="A517" s="247"/>
      <c r="B517" s="245"/>
      <c r="C517" s="246"/>
      <c r="D517" s="247"/>
      <c r="E517" s="247"/>
      <c r="F517" s="247"/>
      <c r="G517" s="247"/>
      <c r="H517" s="247"/>
      <c r="I517" s="247"/>
      <c r="J517" s="246"/>
      <c r="K517" s="248"/>
      <c r="L517" s="246"/>
      <c r="M517" s="154"/>
      <c r="N517" s="55"/>
      <c r="O517" s="247"/>
      <c r="P517" s="247"/>
      <c r="Q517" s="247"/>
      <c r="R517" s="247"/>
      <c r="S517" s="247"/>
      <c r="T517" s="247"/>
      <c r="U517" s="247"/>
      <c r="V517" s="247"/>
      <c r="W517" s="247"/>
      <c r="X517" s="247"/>
      <c r="Y517" s="247"/>
      <c r="Z517" s="247"/>
      <c r="AA517" s="247"/>
    </row>
    <row r="518">
      <c r="A518" s="247"/>
      <c r="B518" s="245"/>
      <c r="C518" s="246"/>
      <c r="D518" s="247"/>
      <c r="E518" s="247"/>
      <c r="F518" s="247"/>
      <c r="G518" s="247"/>
      <c r="H518" s="247"/>
      <c r="I518" s="247"/>
      <c r="J518" s="246"/>
      <c r="K518" s="248"/>
      <c r="L518" s="246"/>
      <c r="M518" s="154"/>
      <c r="N518" s="55"/>
      <c r="O518" s="247"/>
      <c r="P518" s="247"/>
      <c r="Q518" s="247"/>
      <c r="R518" s="247"/>
      <c r="S518" s="247"/>
      <c r="T518" s="247"/>
      <c r="U518" s="247"/>
      <c r="V518" s="247"/>
      <c r="W518" s="247"/>
      <c r="X518" s="247"/>
      <c r="Y518" s="247"/>
      <c r="Z518" s="247"/>
      <c r="AA518" s="247"/>
    </row>
    <row r="519">
      <c r="A519" s="247"/>
      <c r="B519" s="245"/>
      <c r="C519" s="246"/>
      <c r="D519" s="247"/>
      <c r="E519" s="247"/>
      <c r="F519" s="247"/>
      <c r="G519" s="247"/>
      <c r="H519" s="247"/>
      <c r="I519" s="247"/>
      <c r="J519" s="246"/>
      <c r="K519" s="248"/>
      <c r="L519" s="246"/>
      <c r="M519" s="154"/>
      <c r="N519" s="55"/>
      <c r="O519" s="247"/>
      <c r="P519" s="247"/>
      <c r="Q519" s="247"/>
      <c r="R519" s="247"/>
      <c r="S519" s="247"/>
      <c r="T519" s="247"/>
      <c r="U519" s="247"/>
      <c r="V519" s="247"/>
      <c r="W519" s="247"/>
      <c r="X519" s="247"/>
      <c r="Y519" s="247"/>
      <c r="Z519" s="247"/>
      <c r="AA519" s="247"/>
    </row>
    <row r="520">
      <c r="A520" s="247"/>
      <c r="B520" s="245"/>
      <c r="C520" s="246"/>
      <c r="D520" s="247"/>
      <c r="E520" s="247"/>
      <c r="F520" s="247"/>
      <c r="G520" s="247"/>
      <c r="H520" s="247"/>
      <c r="I520" s="247"/>
      <c r="J520" s="246"/>
      <c r="K520" s="248"/>
      <c r="L520" s="246"/>
      <c r="M520" s="154"/>
      <c r="N520" s="55"/>
      <c r="O520" s="247"/>
      <c r="P520" s="247"/>
      <c r="Q520" s="247"/>
      <c r="R520" s="247"/>
      <c r="S520" s="247"/>
      <c r="T520" s="247"/>
      <c r="U520" s="247"/>
      <c r="V520" s="247"/>
      <c r="W520" s="247"/>
      <c r="X520" s="247"/>
      <c r="Y520" s="247"/>
      <c r="Z520" s="247"/>
      <c r="AA520" s="247"/>
    </row>
    <row r="521">
      <c r="A521" s="247"/>
      <c r="B521" s="245"/>
      <c r="C521" s="246"/>
      <c r="D521" s="247"/>
      <c r="E521" s="247"/>
      <c r="F521" s="247"/>
      <c r="G521" s="247"/>
      <c r="H521" s="247"/>
      <c r="I521" s="247"/>
      <c r="J521" s="246"/>
      <c r="K521" s="248"/>
      <c r="L521" s="246"/>
      <c r="M521" s="154"/>
      <c r="N521" s="55"/>
      <c r="O521" s="247"/>
      <c r="P521" s="247"/>
      <c r="Q521" s="247"/>
      <c r="R521" s="247"/>
      <c r="S521" s="247"/>
      <c r="T521" s="247"/>
      <c r="U521" s="247"/>
      <c r="V521" s="247"/>
      <c r="W521" s="247"/>
      <c r="X521" s="247"/>
      <c r="Y521" s="247"/>
      <c r="Z521" s="247"/>
      <c r="AA521" s="247"/>
    </row>
    <row r="522">
      <c r="A522" s="247"/>
      <c r="B522" s="245"/>
      <c r="C522" s="246"/>
      <c r="D522" s="247"/>
      <c r="E522" s="247"/>
      <c r="F522" s="247"/>
      <c r="G522" s="247"/>
      <c r="H522" s="247"/>
      <c r="I522" s="247"/>
      <c r="J522" s="246"/>
      <c r="K522" s="248"/>
      <c r="L522" s="246"/>
      <c r="M522" s="154"/>
      <c r="N522" s="55"/>
      <c r="O522" s="247"/>
      <c r="P522" s="247"/>
      <c r="Q522" s="247"/>
      <c r="R522" s="247"/>
      <c r="S522" s="247"/>
      <c r="T522" s="247"/>
      <c r="U522" s="247"/>
      <c r="V522" s="247"/>
      <c r="W522" s="247"/>
      <c r="X522" s="247"/>
      <c r="Y522" s="247"/>
      <c r="Z522" s="247"/>
      <c r="AA522" s="247"/>
    </row>
    <row r="523">
      <c r="A523" s="247"/>
      <c r="B523" s="245"/>
      <c r="C523" s="246"/>
      <c r="D523" s="247"/>
      <c r="E523" s="247"/>
      <c r="F523" s="247"/>
      <c r="G523" s="247"/>
      <c r="H523" s="247"/>
      <c r="I523" s="247"/>
      <c r="J523" s="246"/>
      <c r="K523" s="248"/>
      <c r="L523" s="246"/>
      <c r="M523" s="154"/>
      <c r="N523" s="55"/>
      <c r="O523" s="247"/>
      <c r="P523" s="247"/>
      <c r="Q523" s="247"/>
      <c r="R523" s="247"/>
      <c r="S523" s="247"/>
      <c r="T523" s="247"/>
      <c r="U523" s="247"/>
      <c r="V523" s="247"/>
      <c r="W523" s="247"/>
      <c r="X523" s="247"/>
      <c r="Y523" s="247"/>
      <c r="Z523" s="247"/>
      <c r="AA523" s="247"/>
    </row>
    <row r="524">
      <c r="A524" s="247"/>
      <c r="B524" s="245"/>
      <c r="C524" s="246"/>
      <c r="D524" s="247"/>
      <c r="E524" s="247"/>
      <c r="F524" s="247"/>
      <c r="G524" s="247"/>
      <c r="H524" s="247"/>
      <c r="I524" s="247"/>
      <c r="J524" s="246"/>
      <c r="K524" s="248"/>
      <c r="L524" s="246"/>
      <c r="M524" s="154"/>
      <c r="N524" s="55"/>
      <c r="O524" s="247"/>
      <c r="P524" s="247"/>
      <c r="Q524" s="247"/>
      <c r="R524" s="247"/>
      <c r="S524" s="247"/>
      <c r="T524" s="247"/>
      <c r="U524" s="247"/>
      <c r="V524" s="247"/>
      <c r="W524" s="247"/>
      <c r="X524" s="247"/>
      <c r="Y524" s="247"/>
      <c r="Z524" s="247"/>
      <c r="AA524" s="247"/>
    </row>
    <row r="525">
      <c r="A525" s="247"/>
      <c r="B525" s="245"/>
      <c r="C525" s="246"/>
      <c r="D525" s="247"/>
      <c r="E525" s="247"/>
      <c r="F525" s="247"/>
      <c r="G525" s="247"/>
      <c r="H525" s="247"/>
      <c r="I525" s="247"/>
      <c r="J525" s="246"/>
      <c r="K525" s="248"/>
      <c r="L525" s="246"/>
      <c r="M525" s="154"/>
      <c r="N525" s="55"/>
      <c r="O525" s="247"/>
      <c r="P525" s="247"/>
      <c r="Q525" s="247"/>
      <c r="R525" s="247"/>
      <c r="S525" s="247"/>
      <c r="T525" s="247"/>
      <c r="U525" s="247"/>
      <c r="V525" s="247"/>
      <c r="W525" s="247"/>
      <c r="X525" s="247"/>
      <c r="Y525" s="247"/>
      <c r="Z525" s="247"/>
      <c r="AA525" s="247"/>
    </row>
    <row r="526">
      <c r="A526" s="247"/>
      <c r="B526" s="245"/>
      <c r="C526" s="246"/>
      <c r="D526" s="247"/>
      <c r="E526" s="247"/>
      <c r="F526" s="247"/>
      <c r="G526" s="247"/>
      <c r="H526" s="247"/>
      <c r="I526" s="247"/>
      <c r="J526" s="246"/>
      <c r="K526" s="248"/>
      <c r="L526" s="246"/>
      <c r="M526" s="154"/>
      <c r="N526" s="55"/>
      <c r="O526" s="247"/>
      <c r="P526" s="247"/>
      <c r="Q526" s="247"/>
      <c r="R526" s="247"/>
      <c r="S526" s="247"/>
      <c r="T526" s="247"/>
      <c r="U526" s="247"/>
      <c r="V526" s="247"/>
      <c r="W526" s="247"/>
      <c r="X526" s="247"/>
      <c r="Y526" s="247"/>
      <c r="Z526" s="247"/>
      <c r="AA526" s="247"/>
    </row>
    <row r="527">
      <c r="A527" s="247"/>
      <c r="B527" s="245"/>
      <c r="C527" s="246"/>
      <c r="D527" s="247"/>
      <c r="E527" s="247"/>
      <c r="F527" s="247"/>
      <c r="G527" s="247"/>
      <c r="H527" s="247"/>
      <c r="I527" s="247"/>
      <c r="J527" s="246"/>
      <c r="K527" s="248"/>
      <c r="L527" s="246"/>
      <c r="M527" s="154"/>
      <c r="N527" s="55"/>
      <c r="O527" s="247"/>
      <c r="P527" s="247"/>
      <c r="Q527" s="247"/>
      <c r="R527" s="247"/>
      <c r="S527" s="247"/>
      <c r="T527" s="247"/>
      <c r="U527" s="247"/>
      <c r="V527" s="247"/>
      <c r="W527" s="247"/>
      <c r="X527" s="247"/>
      <c r="Y527" s="247"/>
      <c r="Z527" s="247"/>
      <c r="AA527" s="247"/>
    </row>
    <row r="528">
      <c r="A528" s="247"/>
      <c r="B528" s="245"/>
      <c r="C528" s="246"/>
      <c r="D528" s="247"/>
      <c r="E528" s="247"/>
      <c r="F528" s="247"/>
      <c r="G528" s="247"/>
      <c r="H528" s="247"/>
      <c r="I528" s="247"/>
      <c r="J528" s="246"/>
      <c r="K528" s="248"/>
      <c r="L528" s="246"/>
      <c r="M528" s="154"/>
      <c r="N528" s="55"/>
      <c r="O528" s="247"/>
      <c r="P528" s="247"/>
      <c r="Q528" s="247"/>
      <c r="R528" s="247"/>
      <c r="S528" s="247"/>
      <c r="T528" s="247"/>
      <c r="U528" s="247"/>
      <c r="V528" s="247"/>
      <c r="W528" s="247"/>
      <c r="X528" s="247"/>
      <c r="Y528" s="247"/>
      <c r="Z528" s="247"/>
      <c r="AA528" s="247"/>
    </row>
    <row r="529">
      <c r="A529" s="247"/>
      <c r="B529" s="245"/>
      <c r="C529" s="246"/>
      <c r="D529" s="247"/>
      <c r="E529" s="247"/>
      <c r="F529" s="247"/>
      <c r="G529" s="247"/>
      <c r="H529" s="247"/>
      <c r="I529" s="247"/>
      <c r="J529" s="246"/>
      <c r="K529" s="248"/>
      <c r="L529" s="246"/>
      <c r="M529" s="154"/>
      <c r="N529" s="55"/>
      <c r="O529" s="247"/>
      <c r="P529" s="247"/>
      <c r="Q529" s="247"/>
      <c r="R529" s="247"/>
      <c r="S529" s="247"/>
      <c r="T529" s="247"/>
      <c r="U529" s="247"/>
      <c r="V529" s="247"/>
      <c r="W529" s="247"/>
      <c r="X529" s="247"/>
      <c r="Y529" s="247"/>
      <c r="Z529" s="247"/>
      <c r="AA529" s="247"/>
    </row>
    <row r="530">
      <c r="A530" s="247"/>
      <c r="B530" s="245"/>
      <c r="C530" s="246"/>
      <c r="D530" s="247"/>
      <c r="E530" s="247"/>
      <c r="F530" s="247"/>
      <c r="G530" s="247"/>
      <c r="H530" s="247"/>
      <c r="I530" s="247"/>
      <c r="J530" s="246"/>
      <c r="K530" s="248"/>
      <c r="L530" s="246"/>
      <c r="M530" s="154"/>
      <c r="N530" s="55"/>
      <c r="O530" s="247"/>
      <c r="P530" s="247"/>
      <c r="Q530" s="247"/>
      <c r="R530" s="247"/>
      <c r="S530" s="247"/>
      <c r="T530" s="247"/>
      <c r="U530" s="247"/>
      <c r="V530" s="247"/>
      <c r="W530" s="247"/>
      <c r="X530" s="247"/>
      <c r="Y530" s="247"/>
      <c r="Z530" s="247"/>
      <c r="AA530" s="247"/>
    </row>
    <row r="531">
      <c r="A531" s="247"/>
      <c r="B531" s="245"/>
      <c r="C531" s="246"/>
      <c r="D531" s="247"/>
      <c r="E531" s="247"/>
      <c r="F531" s="247"/>
      <c r="G531" s="247"/>
      <c r="H531" s="247"/>
      <c r="I531" s="247"/>
      <c r="J531" s="246"/>
      <c r="K531" s="248"/>
      <c r="L531" s="246"/>
      <c r="M531" s="154"/>
      <c r="N531" s="55"/>
      <c r="O531" s="247"/>
      <c r="P531" s="247"/>
      <c r="Q531" s="247"/>
      <c r="R531" s="247"/>
      <c r="S531" s="247"/>
      <c r="T531" s="247"/>
      <c r="U531" s="247"/>
      <c r="V531" s="247"/>
      <c r="W531" s="247"/>
      <c r="X531" s="247"/>
      <c r="Y531" s="247"/>
      <c r="Z531" s="247"/>
      <c r="AA531" s="247"/>
    </row>
    <row r="532">
      <c r="A532" s="247"/>
      <c r="B532" s="245"/>
      <c r="C532" s="246"/>
      <c r="D532" s="247"/>
      <c r="E532" s="247"/>
      <c r="F532" s="247"/>
      <c r="G532" s="247"/>
      <c r="H532" s="247"/>
      <c r="I532" s="247"/>
      <c r="J532" s="246"/>
      <c r="K532" s="248"/>
      <c r="L532" s="246"/>
      <c r="M532" s="154"/>
      <c r="N532" s="55"/>
      <c r="O532" s="247"/>
      <c r="P532" s="247"/>
      <c r="Q532" s="247"/>
      <c r="R532" s="247"/>
      <c r="S532" s="247"/>
      <c r="T532" s="247"/>
      <c r="U532" s="247"/>
      <c r="V532" s="247"/>
      <c r="W532" s="247"/>
      <c r="X532" s="247"/>
      <c r="Y532" s="247"/>
      <c r="Z532" s="247"/>
      <c r="AA532" s="247"/>
    </row>
    <row r="533">
      <c r="A533" s="247"/>
      <c r="B533" s="245"/>
      <c r="C533" s="246"/>
      <c r="D533" s="247"/>
      <c r="E533" s="247"/>
      <c r="F533" s="247"/>
      <c r="G533" s="247"/>
      <c r="H533" s="247"/>
      <c r="I533" s="247"/>
      <c r="J533" s="246"/>
      <c r="K533" s="248"/>
      <c r="L533" s="246"/>
      <c r="M533" s="154"/>
      <c r="N533" s="55"/>
      <c r="O533" s="247"/>
      <c r="P533" s="247"/>
      <c r="Q533" s="247"/>
      <c r="R533" s="247"/>
      <c r="S533" s="247"/>
      <c r="T533" s="247"/>
      <c r="U533" s="247"/>
      <c r="V533" s="247"/>
      <c r="W533" s="247"/>
      <c r="X533" s="247"/>
      <c r="Y533" s="247"/>
      <c r="Z533" s="247"/>
      <c r="AA533" s="247"/>
    </row>
    <row r="534">
      <c r="A534" s="247"/>
      <c r="B534" s="245"/>
      <c r="C534" s="246"/>
      <c r="D534" s="247"/>
      <c r="E534" s="247"/>
      <c r="F534" s="247"/>
      <c r="G534" s="247"/>
      <c r="H534" s="247"/>
      <c r="I534" s="247"/>
      <c r="J534" s="246"/>
      <c r="K534" s="248"/>
      <c r="L534" s="246"/>
      <c r="M534" s="154"/>
      <c r="N534" s="55"/>
      <c r="O534" s="247"/>
      <c r="P534" s="247"/>
      <c r="Q534" s="247"/>
      <c r="R534" s="247"/>
      <c r="S534" s="247"/>
      <c r="T534" s="247"/>
      <c r="U534" s="247"/>
      <c r="V534" s="247"/>
      <c r="W534" s="247"/>
      <c r="X534" s="247"/>
      <c r="Y534" s="247"/>
      <c r="Z534" s="247"/>
      <c r="AA534" s="247"/>
    </row>
    <row r="535">
      <c r="A535" s="247"/>
      <c r="B535" s="245"/>
      <c r="C535" s="246"/>
      <c r="D535" s="247"/>
      <c r="E535" s="247"/>
      <c r="F535" s="247"/>
      <c r="G535" s="247"/>
      <c r="H535" s="247"/>
      <c r="I535" s="247"/>
      <c r="J535" s="246"/>
      <c r="K535" s="248"/>
      <c r="L535" s="246"/>
      <c r="M535" s="154"/>
      <c r="N535" s="55"/>
      <c r="O535" s="247"/>
      <c r="P535" s="247"/>
      <c r="Q535" s="247"/>
      <c r="R535" s="247"/>
      <c r="S535" s="247"/>
      <c r="T535" s="247"/>
      <c r="U535" s="247"/>
      <c r="V535" s="247"/>
      <c r="W535" s="247"/>
      <c r="X535" s="247"/>
      <c r="Y535" s="247"/>
      <c r="Z535" s="247"/>
      <c r="AA535" s="247"/>
    </row>
    <row r="536">
      <c r="A536" s="247"/>
      <c r="B536" s="245"/>
      <c r="C536" s="246"/>
      <c r="D536" s="247"/>
      <c r="E536" s="247"/>
      <c r="F536" s="247"/>
      <c r="G536" s="247"/>
      <c r="H536" s="247"/>
      <c r="I536" s="247"/>
      <c r="J536" s="246"/>
      <c r="K536" s="248"/>
      <c r="L536" s="246"/>
      <c r="M536" s="154"/>
      <c r="N536" s="55"/>
      <c r="O536" s="247"/>
      <c r="P536" s="247"/>
      <c r="Q536" s="247"/>
      <c r="R536" s="247"/>
      <c r="S536" s="247"/>
      <c r="T536" s="247"/>
      <c r="U536" s="247"/>
      <c r="V536" s="247"/>
      <c r="W536" s="247"/>
      <c r="X536" s="247"/>
      <c r="Y536" s="247"/>
      <c r="Z536" s="247"/>
      <c r="AA536" s="247"/>
    </row>
    <row r="537">
      <c r="A537" s="247"/>
      <c r="B537" s="245"/>
      <c r="C537" s="246"/>
      <c r="D537" s="247"/>
      <c r="E537" s="247"/>
      <c r="F537" s="247"/>
      <c r="G537" s="247"/>
      <c r="H537" s="247"/>
      <c r="I537" s="247"/>
      <c r="J537" s="246"/>
      <c r="K537" s="248"/>
      <c r="L537" s="246"/>
      <c r="M537" s="154"/>
      <c r="N537" s="55"/>
      <c r="O537" s="247"/>
      <c r="P537" s="247"/>
      <c r="Q537" s="247"/>
      <c r="R537" s="247"/>
      <c r="S537" s="247"/>
      <c r="T537" s="247"/>
      <c r="U537" s="247"/>
      <c r="V537" s="247"/>
      <c r="W537" s="247"/>
      <c r="X537" s="247"/>
      <c r="Y537" s="247"/>
      <c r="Z537" s="247"/>
      <c r="AA537" s="247"/>
    </row>
    <row r="538">
      <c r="A538" s="247"/>
      <c r="B538" s="245"/>
      <c r="C538" s="246"/>
      <c r="D538" s="247"/>
      <c r="E538" s="247"/>
      <c r="F538" s="247"/>
      <c r="G538" s="247"/>
      <c r="H538" s="247"/>
      <c r="I538" s="247"/>
      <c r="J538" s="246"/>
      <c r="K538" s="248"/>
      <c r="L538" s="246"/>
      <c r="M538" s="154"/>
      <c r="N538" s="55"/>
      <c r="O538" s="247"/>
      <c r="P538" s="247"/>
      <c r="Q538" s="247"/>
      <c r="R538" s="247"/>
      <c r="S538" s="247"/>
      <c r="T538" s="247"/>
      <c r="U538" s="247"/>
      <c r="V538" s="247"/>
      <c r="W538" s="247"/>
      <c r="X538" s="247"/>
      <c r="Y538" s="247"/>
      <c r="Z538" s="247"/>
      <c r="AA538" s="247"/>
    </row>
    <row r="539">
      <c r="A539" s="247"/>
      <c r="B539" s="245"/>
      <c r="C539" s="246"/>
      <c r="D539" s="247"/>
      <c r="E539" s="247"/>
      <c r="F539" s="247"/>
      <c r="G539" s="247"/>
      <c r="H539" s="247"/>
      <c r="I539" s="247"/>
      <c r="J539" s="246"/>
      <c r="K539" s="248"/>
      <c r="L539" s="246"/>
      <c r="M539" s="154"/>
      <c r="N539" s="55"/>
      <c r="O539" s="247"/>
      <c r="P539" s="247"/>
      <c r="Q539" s="247"/>
      <c r="R539" s="247"/>
      <c r="S539" s="247"/>
      <c r="T539" s="247"/>
      <c r="U539" s="247"/>
      <c r="V539" s="247"/>
      <c r="W539" s="247"/>
      <c r="X539" s="247"/>
      <c r="Y539" s="247"/>
      <c r="Z539" s="247"/>
      <c r="AA539" s="247"/>
    </row>
    <row r="540">
      <c r="A540" s="247"/>
      <c r="B540" s="245"/>
      <c r="C540" s="246"/>
      <c r="D540" s="247"/>
      <c r="E540" s="247"/>
      <c r="F540" s="247"/>
      <c r="G540" s="247"/>
      <c r="H540" s="247"/>
      <c r="I540" s="247"/>
      <c r="J540" s="246"/>
      <c r="K540" s="248"/>
      <c r="L540" s="246"/>
      <c r="M540" s="154"/>
      <c r="N540" s="55"/>
      <c r="O540" s="247"/>
      <c r="P540" s="247"/>
      <c r="Q540" s="247"/>
      <c r="R540" s="247"/>
      <c r="S540" s="247"/>
      <c r="T540" s="247"/>
      <c r="U540" s="247"/>
      <c r="V540" s="247"/>
      <c r="W540" s="247"/>
      <c r="X540" s="247"/>
      <c r="Y540" s="247"/>
      <c r="Z540" s="247"/>
      <c r="AA540" s="247"/>
    </row>
    <row r="541">
      <c r="A541" s="247"/>
      <c r="B541" s="245"/>
      <c r="C541" s="246"/>
      <c r="D541" s="247"/>
      <c r="E541" s="247"/>
      <c r="F541" s="247"/>
      <c r="G541" s="247"/>
      <c r="H541" s="247"/>
      <c r="I541" s="247"/>
      <c r="J541" s="246"/>
      <c r="K541" s="248"/>
      <c r="L541" s="246"/>
      <c r="M541" s="154"/>
      <c r="N541" s="55"/>
      <c r="O541" s="247"/>
      <c r="P541" s="247"/>
      <c r="Q541" s="247"/>
      <c r="R541" s="247"/>
      <c r="S541" s="247"/>
      <c r="T541" s="247"/>
      <c r="U541" s="247"/>
      <c r="V541" s="247"/>
      <c r="W541" s="247"/>
      <c r="X541" s="247"/>
      <c r="Y541" s="247"/>
      <c r="Z541" s="247"/>
      <c r="AA541" s="247"/>
    </row>
    <row r="542">
      <c r="A542" s="247"/>
      <c r="B542" s="245"/>
      <c r="C542" s="246"/>
      <c r="D542" s="247"/>
      <c r="E542" s="247"/>
      <c r="F542" s="247"/>
      <c r="G542" s="247"/>
      <c r="H542" s="247"/>
      <c r="I542" s="247"/>
      <c r="J542" s="246"/>
      <c r="K542" s="248"/>
      <c r="L542" s="246"/>
      <c r="M542" s="154"/>
      <c r="N542" s="55"/>
      <c r="O542" s="247"/>
      <c r="P542" s="247"/>
      <c r="Q542" s="247"/>
      <c r="R542" s="247"/>
      <c r="S542" s="247"/>
      <c r="T542" s="247"/>
      <c r="U542" s="247"/>
      <c r="V542" s="247"/>
      <c r="W542" s="247"/>
      <c r="X542" s="247"/>
      <c r="Y542" s="247"/>
      <c r="Z542" s="247"/>
      <c r="AA542" s="247"/>
    </row>
    <row r="543">
      <c r="A543" s="247"/>
      <c r="B543" s="245"/>
      <c r="C543" s="246"/>
      <c r="D543" s="247"/>
      <c r="E543" s="247"/>
      <c r="F543" s="247"/>
      <c r="G543" s="247"/>
      <c r="H543" s="247"/>
      <c r="I543" s="247"/>
      <c r="J543" s="246"/>
      <c r="K543" s="248"/>
      <c r="L543" s="246"/>
      <c r="M543" s="154"/>
      <c r="N543" s="55"/>
      <c r="O543" s="247"/>
      <c r="P543" s="247"/>
      <c r="Q543" s="247"/>
      <c r="R543" s="247"/>
      <c r="S543" s="247"/>
      <c r="T543" s="247"/>
      <c r="U543" s="247"/>
      <c r="V543" s="247"/>
      <c r="W543" s="247"/>
      <c r="X543" s="247"/>
      <c r="Y543" s="247"/>
      <c r="Z543" s="247"/>
      <c r="AA543" s="247"/>
    </row>
    <row r="544">
      <c r="A544" s="247"/>
      <c r="B544" s="245"/>
      <c r="C544" s="246"/>
      <c r="D544" s="247"/>
      <c r="E544" s="247"/>
      <c r="F544" s="247"/>
      <c r="G544" s="247"/>
      <c r="H544" s="247"/>
      <c r="I544" s="247"/>
      <c r="J544" s="246"/>
      <c r="K544" s="248"/>
      <c r="L544" s="246"/>
      <c r="M544" s="154"/>
      <c r="N544" s="55"/>
      <c r="O544" s="247"/>
      <c r="P544" s="247"/>
      <c r="Q544" s="247"/>
      <c r="R544" s="247"/>
      <c r="S544" s="247"/>
      <c r="T544" s="247"/>
      <c r="U544" s="247"/>
      <c r="V544" s="247"/>
      <c r="W544" s="247"/>
      <c r="X544" s="247"/>
      <c r="Y544" s="247"/>
      <c r="Z544" s="247"/>
      <c r="AA544" s="247"/>
    </row>
    <row r="545">
      <c r="A545" s="247"/>
      <c r="B545" s="245"/>
      <c r="C545" s="246"/>
      <c r="D545" s="247"/>
      <c r="E545" s="247"/>
      <c r="F545" s="247"/>
      <c r="G545" s="247"/>
      <c r="H545" s="247"/>
      <c r="I545" s="247"/>
      <c r="J545" s="246"/>
      <c r="K545" s="248"/>
      <c r="L545" s="246"/>
      <c r="M545" s="154"/>
      <c r="N545" s="55"/>
      <c r="O545" s="247"/>
      <c r="P545" s="247"/>
      <c r="Q545" s="247"/>
      <c r="R545" s="247"/>
      <c r="S545" s="247"/>
      <c r="T545" s="247"/>
      <c r="U545" s="247"/>
      <c r="V545" s="247"/>
      <c r="W545" s="247"/>
      <c r="X545" s="247"/>
      <c r="Y545" s="247"/>
      <c r="Z545" s="247"/>
      <c r="AA545" s="247"/>
    </row>
    <row r="546">
      <c r="A546" s="247"/>
      <c r="B546" s="245"/>
      <c r="C546" s="246"/>
      <c r="D546" s="247"/>
      <c r="E546" s="247"/>
      <c r="F546" s="247"/>
      <c r="G546" s="247"/>
      <c r="H546" s="247"/>
      <c r="I546" s="247"/>
      <c r="J546" s="246"/>
      <c r="K546" s="248"/>
      <c r="L546" s="246"/>
      <c r="M546" s="154"/>
      <c r="N546" s="55"/>
      <c r="O546" s="247"/>
      <c r="P546" s="247"/>
      <c r="Q546" s="247"/>
      <c r="R546" s="247"/>
      <c r="S546" s="247"/>
      <c r="T546" s="247"/>
      <c r="U546" s="247"/>
      <c r="V546" s="247"/>
      <c r="W546" s="247"/>
      <c r="X546" s="247"/>
      <c r="Y546" s="247"/>
      <c r="Z546" s="247"/>
      <c r="AA546" s="247"/>
    </row>
    <row r="547">
      <c r="A547" s="247"/>
      <c r="B547" s="245"/>
      <c r="C547" s="246"/>
      <c r="D547" s="247"/>
      <c r="E547" s="247"/>
      <c r="F547" s="247"/>
      <c r="G547" s="247"/>
      <c r="H547" s="247"/>
      <c r="I547" s="247"/>
      <c r="J547" s="246"/>
      <c r="K547" s="248"/>
      <c r="L547" s="246"/>
      <c r="M547" s="154"/>
      <c r="N547" s="55"/>
      <c r="O547" s="247"/>
      <c r="P547" s="247"/>
      <c r="Q547" s="247"/>
      <c r="R547" s="247"/>
      <c r="S547" s="247"/>
      <c r="T547" s="247"/>
      <c r="U547" s="247"/>
      <c r="V547" s="247"/>
      <c r="W547" s="247"/>
      <c r="X547" s="247"/>
      <c r="Y547" s="247"/>
      <c r="Z547" s="247"/>
      <c r="AA547" s="247"/>
    </row>
    <row r="548">
      <c r="A548" s="247"/>
      <c r="B548" s="245"/>
      <c r="C548" s="246"/>
      <c r="D548" s="247"/>
      <c r="E548" s="247"/>
      <c r="F548" s="247"/>
      <c r="G548" s="247"/>
      <c r="H548" s="247"/>
      <c r="I548" s="247"/>
      <c r="J548" s="246"/>
      <c r="K548" s="248"/>
      <c r="L548" s="246"/>
      <c r="M548" s="154"/>
      <c r="N548" s="55"/>
      <c r="O548" s="247"/>
      <c r="P548" s="247"/>
      <c r="Q548" s="247"/>
      <c r="R548" s="247"/>
      <c r="S548" s="247"/>
      <c r="T548" s="247"/>
      <c r="U548" s="247"/>
      <c r="V548" s="247"/>
      <c r="W548" s="247"/>
      <c r="X548" s="247"/>
      <c r="Y548" s="247"/>
      <c r="Z548" s="247"/>
      <c r="AA548" s="247"/>
    </row>
    <row r="549">
      <c r="A549" s="247"/>
      <c r="B549" s="245"/>
      <c r="C549" s="246"/>
      <c r="D549" s="247"/>
      <c r="E549" s="247"/>
      <c r="F549" s="247"/>
      <c r="G549" s="247"/>
      <c r="H549" s="247"/>
      <c r="I549" s="247"/>
      <c r="J549" s="246"/>
      <c r="K549" s="248"/>
      <c r="L549" s="246"/>
      <c r="M549" s="154"/>
      <c r="N549" s="55"/>
      <c r="O549" s="247"/>
      <c r="P549" s="247"/>
      <c r="Q549" s="247"/>
      <c r="R549" s="247"/>
      <c r="S549" s="247"/>
      <c r="T549" s="247"/>
      <c r="U549" s="247"/>
      <c r="V549" s="247"/>
      <c r="W549" s="247"/>
      <c r="X549" s="247"/>
      <c r="Y549" s="247"/>
      <c r="Z549" s="247"/>
      <c r="AA549" s="247"/>
    </row>
    <row r="550">
      <c r="A550" s="247"/>
      <c r="B550" s="245"/>
      <c r="C550" s="246"/>
      <c r="D550" s="247"/>
      <c r="E550" s="247"/>
      <c r="F550" s="247"/>
      <c r="G550" s="247"/>
      <c r="H550" s="247"/>
      <c r="I550" s="247"/>
      <c r="J550" s="246"/>
      <c r="K550" s="248"/>
      <c r="L550" s="246"/>
      <c r="M550" s="154"/>
      <c r="N550" s="55"/>
      <c r="O550" s="247"/>
      <c r="P550" s="247"/>
      <c r="Q550" s="247"/>
      <c r="R550" s="247"/>
      <c r="S550" s="247"/>
      <c r="T550" s="247"/>
      <c r="U550" s="247"/>
      <c r="V550" s="247"/>
      <c r="W550" s="247"/>
      <c r="X550" s="247"/>
      <c r="Y550" s="247"/>
      <c r="Z550" s="247"/>
      <c r="AA550" s="247"/>
    </row>
    <row r="551">
      <c r="A551" s="247"/>
      <c r="B551" s="245"/>
      <c r="C551" s="246"/>
      <c r="D551" s="247"/>
      <c r="E551" s="247"/>
      <c r="F551" s="247"/>
      <c r="G551" s="247"/>
      <c r="H551" s="247"/>
      <c r="I551" s="247"/>
      <c r="J551" s="246"/>
      <c r="K551" s="248"/>
      <c r="L551" s="246"/>
      <c r="M551" s="154"/>
      <c r="N551" s="55"/>
      <c r="O551" s="247"/>
      <c r="P551" s="247"/>
      <c r="Q551" s="247"/>
      <c r="R551" s="247"/>
      <c r="S551" s="247"/>
      <c r="T551" s="247"/>
      <c r="U551" s="247"/>
      <c r="V551" s="247"/>
      <c r="W551" s="247"/>
      <c r="X551" s="247"/>
      <c r="Y551" s="247"/>
      <c r="Z551" s="247"/>
      <c r="AA551" s="247"/>
    </row>
    <row r="552">
      <c r="A552" s="247"/>
      <c r="B552" s="245"/>
      <c r="C552" s="246"/>
      <c r="D552" s="247"/>
      <c r="E552" s="247"/>
      <c r="F552" s="247"/>
      <c r="G552" s="247"/>
      <c r="H552" s="247"/>
      <c r="I552" s="247"/>
      <c r="J552" s="246"/>
      <c r="K552" s="248"/>
      <c r="L552" s="246"/>
      <c r="M552" s="154"/>
      <c r="N552" s="55"/>
      <c r="O552" s="247"/>
      <c r="P552" s="247"/>
      <c r="Q552" s="247"/>
      <c r="R552" s="247"/>
      <c r="S552" s="247"/>
      <c r="T552" s="247"/>
      <c r="U552" s="247"/>
      <c r="V552" s="247"/>
      <c r="W552" s="247"/>
      <c r="X552" s="247"/>
      <c r="Y552" s="247"/>
      <c r="Z552" s="247"/>
      <c r="AA552" s="247"/>
    </row>
    <row r="553">
      <c r="A553" s="247"/>
      <c r="B553" s="245"/>
      <c r="C553" s="246"/>
      <c r="D553" s="247"/>
      <c r="E553" s="247"/>
      <c r="F553" s="247"/>
      <c r="G553" s="247"/>
      <c r="H553" s="247"/>
      <c r="I553" s="247"/>
      <c r="J553" s="246"/>
      <c r="K553" s="248"/>
      <c r="L553" s="246"/>
      <c r="M553" s="154"/>
      <c r="N553" s="55"/>
      <c r="O553" s="247"/>
      <c r="P553" s="247"/>
      <c r="Q553" s="247"/>
      <c r="R553" s="247"/>
      <c r="S553" s="247"/>
      <c r="T553" s="247"/>
      <c r="U553" s="247"/>
      <c r="V553" s="247"/>
      <c r="W553" s="247"/>
      <c r="X553" s="247"/>
      <c r="Y553" s="247"/>
      <c r="Z553" s="247"/>
      <c r="AA553" s="247"/>
    </row>
    <row r="554">
      <c r="A554" s="247"/>
      <c r="B554" s="245"/>
      <c r="C554" s="246"/>
      <c r="D554" s="247"/>
      <c r="E554" s="247"/>
      <c r="F554" s="247"/>
      <c r="G554" s="247"/>
      <c r="H554" s="247"/>
      <c r="I554" s="247"/>
      <c r="J554" s="246"/>
      <c r="K554" s="248"/>
      <c r="L554" s="246"/>
      <c r="M554" s="154"/>
      <c r="N554" s="55"/>
      <c r="O554" s="247"/>
      <c r="P554" s="247"/>
      <c r="Q554" s="247"/>
      <c r="R554" s="247"/>
      <c r="S554" s="247"/>
      <c r="T554" s="247"/>
      <c r="U554" s="247"/>
      <c r="V554" s="247"/>
      <c r="W554" s="247"/>
      <c r="X554" s="247"/>
      <c r="Y554" s="247"/>
      <c r="Z554" s="247"/>
      <c r="AA554" s="247"/>
    </row>
    <row r="555">
      <c r="A555" s="247"/>
      <c r="B555" s="245"/>
      <c r="C555" s="246"/>
      <c r="D555" s="247"/>
      <c r="E555" s="247"/>
      <c r="F555" s="247"/>
      <c r="G555" s="247"/>
      <c r="H555" s="247"/>
      <c r="I555" s="247"/>
      <c r="J555" s="246"/>
      <c r="K555" s="248"/>
      <c r="L555" s="246"/>
      <c r="M555" s="154"/>
      <c r="N555" s="55"/>
      <c r="O555" s="247"/>
      <c r="P555" s="247"/>
      <c r="Q555" s="247"/>
      <c r="R555" s="247"/>
      <c r="S555" s="247"/>
      <c r="T555" s="247"/>
      <c r="U555" s="247"/>
      <c r="V555" s="247"/>
      <c r="W555" s="247"/>
      <c r="X555" s="247"/>
      <c r="Y555" s="247"/>
      <c r="Z555" s="247"/>
      <c r="AA555" s="247"/>
    </row>
    <row r="556">
      <c r="A556" s="247"/>
      <c r="B556" s="245"/>
      <c r="C556" s="246"/>
      <c r="D556" s="247"/>
      <c r="E556" s="247"/>
      <c r="F556" s="247"/>
      <c r="G556" s="247"/>
      <c r="H556" s="247"/>
      <c r="I556" s="247"/>
      <c r="J556" s="246"/>
      <c r="K556" s="248"/>
      <c r="L556" s="246"/>
      <c r="M556" s="154"/>
      <c r="N556" s="55"/>
      <c r="O556" s="247"/>
      <c r="P556" s="247"/>
      <c r="Q556" s="247"/>
      <c r="R556" s="247"/>
      <c r="S556" s="247"/>
      <c r="T556" s="247"/>
      <c r="U556" s="247"/>
      <c r="V556" s="247"/>
      <c r="W556" s="247"/>
      <c r="X556" s="247"/>
      <c r="Y556" s="247"/>
      <c r="Z556" s="247"/>
      <c r="AA556" s="247"/>
    </row>
    <row r="557">
      <c r="A557" s="247"/>
      <c r="B557" s="245"/>
      <c r="C557" s="246"/>
      <c r="D557" s="247"/>
      <c r="E557" s="247"/>
      <c r="F557" s="247"/>
      <c r="G557" s="247"/>
      <c r="H557" s="247"/>
      <c r="I557" s="247"/>
      <c r="J557" s="246"/>
      <c r="K557" s="248"/>
      <c r="L557" s="246"/>
      <c r="M557" s="154"/>
      <c r="N557" s="55"/>
      <c r="O557" s="247"/>
      <c r="P557" s="247"/>
      <c r="Q557" s="247"/>
      <c r="R557" s="247"/>
      <c r="S557" s="247"/>
      <c r="T557" s="247"/>
      <c r="U557" s="247"/>
      <c r="V557" s="247"/>
      <c r="W557" s="247"/>
      <c r="X557" s="247"/>
      <c r="Y557" s="247"/>
      <c r="Z557" s="247"/>
      <c r="AA557" s="247"/>
    </row>
    <row r="558">
      <c r="A558" s="247"/>
      <c r="B558" s="245"/>
      <c r="C558" s="246"/>
      <c r="D558" s="247"/>
      <c r="E558" s="247"/>
      <c r="F558" s="247"/>
      <c r="G558" s="247"/>
      <c r="H558" s="247"/>
      <c r="I558" s="247"/>
      <c r="J558" s="246"/>
      <c r="K558" s="248"/>
      <c r="L558" s="246"/>
      <c r="M558" s="154"/>
      <c r="N558" s="55"/>
      <c r="O558" s="247"/>
      <c r="P558" s="247"/>
      <c r="Q558" s="247"/>
      <c r="R558" s="247"/>
      <c r="S558" s="247"/>
      <c r="T558" s="247"/>
      <c r="U558" s="247"/>
      <c r="V558" s="247"/>
      <c r="W558" s="247"/>
      <c r="X558" s="247"/>
      <c r="Y558" s="247"/>
      <c r="Z558" s="247"/>
      <c r="AA558" s="247"/>
    </row>
    <row r="559">
      <c r="A559" s="247"/>
      <c r="B559" s="245"/>
      <c r="C559" s="246"/>
      <c r="D559" s="247"/>
      <c r="E559" s="247"/>
      <c r="F559" s="247"/>
      <c r="G559" s="247"/>
      <c r="H559" s="247"/>
      <c r="I559" s="247"/>
      <c r="J559" s="246"/>
      <c r="K559" s="248"/>
      <c r="L559" s="246"/>
      <c r="M559" s="154"/>
      <c r="N559" s="55"/>
      <c r="O559" s="247"/>
      <c r="P559" s="247"/>
      <c r="Q559" s="247"/>
      <c r="R559" s="247"/>
      <c r="S559" s="247"/>
      <c r="T559" s="247"/>
      <c r="U559" s="247"/>
      <c r="V559" s="247"/>
      <c r="W559" s="247"/>
      <c r="X559" s="247"/>
      <c r="Y559" s="247"/>
      <c r="Z559" s="247"/>
      <c r="AA559" s="247"/>
    </row>
    <row r="560">
      <c r="A560" s="247"/>
      <c r="B560" s="245"/>
      <c r="C560" s="246"/>
      <c r="D560" s="247"/>
      <c r="E560" s="247"/>
      <c r="F560" s="247"/>
      <c r="G560" s="247"/>
      <c r="H560" s="247"/>
      <c r="I560" s="247"/>
      <c r="J560" s="246"/>
      <c r="K560" s="248"/>
      <c r="L560" s="246"/>
      <c r="M560" s="154"/>
      <c r="N560" s="55"/>
      <c r="O560" s="247"/>
      <c r="P560" s="247"/>
      <c r="Q560" s="247"/>
      <c r="R560" s="247"/>
      <c r="S560" s="247"/>
      <c r="T560" s="247"/>
      <c r="U560" s="247"/>
      <c r="V560" s="247"/>
      <c r="W560" s="247"/>
      <c r="X560" s="247"/>
      <c r="Y560" s="247"/>
      <c r="Z560" s="247"/>
      <c r="AA560" s="247"/>
    </row>
    <row r="561">
      <c r="A561" s="247"/>
      <c r="B561" s="245"/>
      <c r="C561" s="246"/>
      <c r="D561" s="247"/>
      <c r="E561" s="247"/>
      <c r="F561" s="247"/>
      <c r="G561" s="247"/>
      <c r="H561" s="247"/>
      <c r="I561" s="247"/>
      <c r="J561" s="246"/>
      <c r="K561" s="248"/>
      <c r="L561" s="246"/>
      <c r="M561" s="154"/>
      <c r="N561" s="55"/>
      <c r="O561" s="247"/>
      <c r="P561" s="247"/>
      <c r="Q561" s="247"/>
      <c r="R561" s="247"/>
      <c r="S561" s="247"/>
      <c r="T561" s="247"/>
      <c r="U561" s="247"/>
      <c r="V561" s="247"/>
      <c r="W561" s="247"/>
      <c r="X561" s="247"/>
      <c r="Y561" s="247"/>
      <c r="Z561" s="247"/>
      <c r="AA561" s="247"/>
    </row>
    <row r="562">
      <c r="A562" s="247"/>
      <c r="B562" s="245"/>
      <c r="C562" s="246"/>
      <c r="D562" s="247"/>
      <c r="E562" s="247"/>
      <c r="F562" s="247"/>
      <c r="G562" s="247"/>
      <c r="H562" s="247"/>
      <c r="I562" s="247"/>
      <c r="J562" s="246"/>
      <c r="K562" s="248"/>
      <c r="L562" s="246"/>
      <c r="M562" s="154"/>
      <c r="N562" s="55"/>
      <c r="O562" s="247"/>
      <c r="P562" s="247"/>
      <c r="Q562" s="247"/>
      <c r="R562" s="247"/>
      <c r="S562" s="247"/>
      <c r="T562" s="247"/>
      <c r="U562" s="247"/>
      <c r="V562" s="247"/>
      <c r="W562" s="247"/>
      <c r="X562" s="247"/>
      <c r="Y562" s="247"/>
      <c r="Z562" s="247"/>
      <c r="AA562" s="247"/>
    </row>
    <row r="563">
      <c r="A563" s="247"/>
      <c r="B563" s="245"/>
      <c r="C563" s="246"/>
      <c r="D563" s="247"/>
      <c r="E563" s="247"/>
      <c r="F563" s="247"/>
      <c r="G563" s="247"/>
      <c r="H563" s="247"/>
      <c r="I563" s="247"/>
      <c r="J563" s="246"/>
      <c r="K563" s="248"/>
      <c r="L563" s="246"/>
      <c r="M563" s="154"/>
      <c r="N563" s="55"/>
      <c r="O563" s="247"/>
      <c r="P563" s="247"/>
      <c r="Q563" s="247"/>
      <c r="R563" s="247"/>
      <c r="S563" s="247"/>
      <c r="T563" s="247"/>
      <c r="U563" s="247"/>
      <c r="V563" s="247"/>
      <c r="W563" s="247"/>
      <c r="X563" s="247"/>
      <c r="Y563" s="247"/>
      <c r="Z563" s="247"/>
      <c r="AA563" s="247"/>
    </row>
    <row r="564">
      <c r="A564" s="247"/>
      <c r="B564" s="245"/>
      <c r="C564" s="246"/>
      <c r="D564" s="247"/>
      <c r="E564" s="247"/>
      <c r="F564" s="247"/>
      <c r="G564" s="247"/>
      <c r="H564" s="247"/>
      <c r="I564" s="247"/>
      <c r="J564" s="246"/>
      <c r="K564" s="248"/>
      <c r="L564" s="246"/>
      <c r="M564" s="154"/>
      <c r="N564" s="55"/>
      <c r="O564" s="247"/>
      <c r="P564" s="247"/>
      <c r="Q564" s="247"/>
      <c r="R564" s="247"/>
      <c r="S564" s="247"/>
      <c r="T564" s="247"/>
      <c r="U564" s="247"/>
      <c r="V564" s="247"/>
      <c r="W564" s="247"/>
      <c r="X564" s="247"/>
      <c r="Y564" s="247"/>
      <c r="Z564" s="247"/>
      <c r="AA564" s="247"/>
    </row>
    <row r="565">
      <c r="A565" s="247"/>
      <c r="B565" s="245"/>
      <c r="C565" s="246"/>
      <c r="D565" s="247"/>
      <c r="E565" s="247"/>
      <c r="F565" s="247"/>
      <c r="G565" s="247"/>
      <c r="H565" s="247"/>
      <c r="I565" s="247"/>
      <c r="J565" s="246"/>
      <c r="K565" s="248"/>
      <c r="L565" s="246"/>
      <c r="M565" s="154"/>
      <c r="N565" s="55"/>
      <c r="O565" s="247"/>
      <c r="P565" s="247"/>
      <c r="Q565" s="247"/>
      <c r="R565" s="247"/>
      <c r="S565" s="247"/>
      <c r="T565" s="247"/>
      <c r="U565" s="247"/>
      <c r="V565" s="247"/>
      <c r="W565" s="247"/>
      <c r="X565" s="247"/>
      <c r="Y565" s="247"/>
      <c r="Z565" s="247"/>
      <c r="AA565" s="247"/>
    </row>
    <row r="566">
      <c r="A566" s="247"/>
      <c r="B566" s="245"/>
      <c r="C566" s="246"/>
      <c r="D566" s="247"/>
      <c r="E566" s="247"/>
      <c r="F566" s="247"/>
      <c r="G566" s="247"/>
      <c r="H566" s="247"/>
      <c r="I566" s="247"/>
      <c r="J566" s="246"/>
      <c r="K566" s="248"/>
      <c r="L566" s="246"/>
      <c r="M566" s="154"/>
      <c r="N566" s="55"/>
      <c r="O566" s="247"/>
      <c r="P566" s="247"/>
      <c r="Q566" s="247"/>
      <c r="R566" s="247"/>
      <c r="S566" s="247"/>
      <c r="T566" s="247"/>
      <c r="U566" s="247"/>
      <c r="V566" s="247"/>
      <c r="W566" s="247"/>
      <c r="X566" s="247"/>
      <c r="Y566" s="247"/>
      <c r="Z566" s="247"/>
      <c r="AA566" s="247"/>
    </row>
    <row r="567">
      <c r="A567" s="247"/>
      <c r="B567" s="245"/>
      <c r="C567" s="246"/>
      <c r="D567" s="247"/>
      <c r="E567" s="247"/>
      <c r="F567" s="247"/>
      <c r="G567" s="247"/>
      <c r="H567" s="247"/>
      <c r="I567" s="247"/>
      <c r="J567" s="246"/>
      <c r="K567" s="248"/>
      <c r="L567" s="246"/>
      <c r="M567" s="154"/>
      <c r="N567" s="55"/>
      <c r="O567" s="247"/>
      <c r="P567" s="247"/>
      <c r="Q567" s="247"/>
      <c r="R567" s="247"/>
      <c r="S567" s="247"/>
      <c r="T567" s="247"/>
      <c r="U567" s="247"/>
      <c r="V567" s="247"/>
      <c r="W567" s="247"/>
      <c r="X567" s="247"/>
      <c r="Y567" s="247"/>
      <c r="Z567" s="247"/>
      <c r="AA567" s="247"/>
    </row>
    <row r="568">
      <c r="A568" s="247"/>
      <c r="B568" s="245"/>
      <c r="C568" s="246"/>
      <c r="D568" s="247"/>
      <c r="E568" s="247"/>
      <c r="F568" s="247"/>
      <c r="G568" s="247"/>
      <c r="H568" s="247"/>
      <c r="I568" s="247"/>
      <c r="J568" s="246"/>
      <c r="K568" s="248"/>
      <c r="L568" s="246"/>
      <c r="M568" s="154"/>
      <c r="N568" s="55"/>
      <c r="O568" s="247"/>
      <c r="P568" s="247"/>
      <c r="Q568" s="247"/>
      <c r="R568" s="247"/>
      <c r="S568" s="247"/>
      <c r="T568" s="247"/>
      <c r="U568" s="247"/>
      <c r="V568" s="247"/>
      <c r="W568" s="247"/>
      <c r="X568" s="247"/>
      <c r="Y568" s="247"/>
      <c r="Z568" s="247"/>
      <c r="AA568" s="247"/>
    </row>
    <row r="569">
      <c r="A569" s="247"/>
      <c r="B569" s="245"/>
      <c r="C569" s="246"/>
      <c r="D569" s="247"/>
      <c r="E569" s="247"/>
      <c r="F569" s="247"/>
      <c r="G569" s="247"/>
      <c r="H569" s="247"/>
      <c r="I569" s="247"/>
      <c r="J569" s="246"/>
      <c r="K569" s="248"/>
      <c r="L569" s="246"/>
      <c r="M569" s="154"/>
      <c r="N569" s="55"/>
      <c r="O569" s="247"/>
      <c r="P569" s="247"/>
      <c r="Q569" s="247"/>
      <c r="R569" s="247"/>
      <c r="S569" s="247"/>
      <c r="T569" s="247"/>
      <c r="U569" s="247"/>
      <c r="V569" s="247"/>
      <c r="W569" s="247"/>
      <c r="X569" s="247"/>
      <c r="Y569" s="247"/>
      <c r="Z569" s="247"/>
      <c r="AA569" s="247"/>
    </row>
    <row r="570">
      <c r="A570" s="247"/>
      <c r="B570" s="245"/>
      <c r="C570" s="246"/>
      <c r="D570" s="247"/>
      <c r="E570" s="247"/>
      <c r="F570" s="247"/>
      <c r="G570" s="247"/>
      <c r="H570" s="247"/>
      <c r="I570" s="247"/>
      <c r="J570" s="246"/>
      <c r="K570" s="248"/>
      <c r="L570" s="246"/>
      <c r="M570" s="154"/>
      <c r="N570" s="55"/>
      <c r="O570" s="247"/>
      <c r="P570" s="247"/>
      <c r="Q570" s="247"/>
      <c r="R570" s="247"/>
      <c r="S570" s="247"/>
      <c r="T570" s="247"/>
      <c r="U570" s="247"/>
      <c r="V570" s="247"/>
      <c r="W570" s="247"/>
      <c r="X570" s="247"/>
      <c r="Y570" s="247"/>
      <c r="Z570" s="247"/>
      <c r="AA570" s="247"/>
    </row>
    <row r="571">
      <c r="A571" s="247"/>
      <c r="B571" s="245"/>
      <c r="C571" s="246"/>
      <c r="D571" s="247"/>
      <c r="E571" s="247"/>
      <c r="F571" s="247"/>
      <c r="G571" s="247"/>
      <c r="H571" s="247"/>
      <c r="I571" s="247"/>
      <c r="J571" s="246"/>
      <c r="K571" s="248"/>
      <c r="L571" s="246"/>
      <c r="M571" s="154"/>
      <c r="N571" s="55"/>
      <c r="O571" s="247"/>
      <c r="P571" s="247"/>
      <c r="Q571" s="247"/>
      <c r="R571" s="247"/>
      <c r="S571" s="247"/>
      <c r="T571" s="247"/>
      <c r="U571" s="247"/>
      <c r="V571" s="247"/>
      <c r="W571" s="247"/>
      <c r="X571" s="247"/>
      <c r="Y571" s="247"/>
      <c r="Z571" s="247"/>
      <c r="AA571" s="247"/>
    </row>
    <row r="572">
      <c r="A572" s="247"/>
      <c r="B572" s="245"/>
      <c r="C572" s="246"/>
      <c r="D572" s="247"/>
      <c r="E572" s="247"/>
      <c r="F572" s="247"/>
      <c r="G572" s="247"/>
      <c r="H572" s="247"/>
      <c r="I572" s="247"/>
      <c r="J572" s="246"/>
      <c r="K572" s="248"/>
      <c r="L572" s="246"/>
      <c r="M572" s="154"/>
      <c r="N572" s="55"/>
      <c r="O572" s="247"/>
      <c r="P572" s="247"/>
      <c r="Q572" s="247"/>
      <c r="R572" s="247"/>
      <c r="S572" s="247"/>
      <c r="T572" s="247"/>
      <c r="U572" s="247"/>
      <c r="V572" s="247"/>
      <c r="W572" s="247"/>
      <c r="X572" s="247"/>
      <c r="Y572" s="247"/>
      <c r="Z572" s="247"/>
      <c r="AA572" s="247"/>
    </row>
    <row r="573">
      <c r="A573" s="247"/>
      <c r="B573" s="245"/>
      <c r="C573" s="246"/>
      <c r="D573" s="247"/>
      <c r="E573" s="247"/>
      <c r="F573" s="247"/>
      <c r="G573" s="247"/>
      <c r="H573" s="247"/>
      <c r="I573" s="247"/>
      <c r="J573" s="246"/>
      <c r="K573" s="248"/>
      <c r="L573" s="246"/>
      <c r="M573" s="154"/>
      <c r="N573" s="55"/>
      <c r="O573" s="247"/>
      <c r="P573" s="247"/>
      <c r="Q573" s="247"/>
      <c r="R573" s="247"/>
      <c r="S573" s="247"/>
      <c r="T573" s="247"/>
      <c r="U573" s="247"/>
      <c r="V573" s="247"/>
      <c r="W573" s="247"/>
      <c r="X573" s="247"/>
      <c r="Y573" s="247"/>
      <c r="Z573" s="247"/>
      <c r="AA573" s="247"/>
    </row>
    <row r="574">
      <c r="A574" s="247"/>
      <c r="B574" s="245"/>
      <c r="C574" s="246"/>
      <c r="D574" s="247"/>
      <c r="E574" s="247"/>
      <c r="F574" s="247"/>
      <c r="G574" s="247"/>
      <c r="H574" s="247"/>
      <c r="I574" s="247"/>
      <c r="J574" s="246"/>
      <c r="K574" s="248"/>
      <c r="L574" s="246"/>
      <c r="M574" s="154"/>
      <c r="N574" s="55"/>
      <c r="O574" s="247"/>
      <c r="P574" s="247"/>
      <c r="Q574" s="247"/>
      <c r="R574" s="247"/>
      <c r="S574" s="247"/>
      <c r="T574" s="247"/>
      <c r="U574" s="247"/>
      <c r="V574" s="247"/>
      <c r="W574" s="247"/>
      <c r="X574" s="247"/>
      <c r="Y574" s="247"/>
      <c r="Z574" s="247"/>
      <c r="AA574" s="247"/>
    </row>
    <row r="575">
      <c r="A575" s="247"/>
      <c r="B575" s="245"/>
      <c r="C575" s="246"/>
      <c r="D575" s="247"/>
      <c r="E575" s="247"/>
      <c r="F575" s="247"/>
      <c r="G575" s="247"/>
      <c r="H575" s="247"/>
      <c r="I575" s="247"/>
      <c r="J575" s="246"/>
      <c r="K575" s="248"/>
      <c r="L575" s="246"/>
      <c r="M575" s="154"/>
      <c r="N575" s="55"/>
      <c r="O575" s="247"/>
      <c r="P575" s="247"/>
      <c r="Q575" s="247"/>
      <c r="R575" s="247"/>
      <c r="S575" s="247"/>
      <c r="T575" s="247"/>
      <c r="U575" s="247"/>
      <c r="V575" s="247"/>
      <c r="W575" s="247"/>
      <c r="X575" s="247"/>
      <c r="Y575" s="247"/>
      <c r="Z575" s="247"/>
      <c r="AA575" s="247"/>
    </row>
    <row r="576">
      <c r="A576" s="247"/>
      <c r="B576" s="245"/>
      <c r="C576" s="246"/>
      <c r="D576" s="247"/>
      <c r="E576" s="247"/>
      <c r="F576" s="247"/>
      <c r="G576" s="247"/>
      <c r="H576" s="247"/>
      <c r="I576" s="247"/>
      <c r="J576" s="246"/>
      <c r="K576" s="248"/>
      <c r="L576" s="246"/>
      <c r="M576" s="154"/>
      <c r="N576" s="55"/>
      <c r="O576" s="247"/>
      <c r="P576" s="247"/>
      <c r="Q576" s="247"/>
      <c r="R576" s="247"/>
      <c r="S576" s="247"/>
      <c r="T576" s="247"/>
      <c r="U576" s="247"/>
      <c r="V576" s="247"/>
      <c r="W576" s="247"/>
      <c r="X576" s="247"/>
      <c r="Y576" s="247"/>
      <c r="Z576" s="247"/>
      <c r="AA576" s="247"/>
    </row>
    <row r="577">
      <c r="A577" s="247"/>
      <c r="B577" s="245"/>
      <c r="C577" s="246"/>
      <c r="D577" s="247"/>
      <c r="E577" s="247"/>
      <c r="F577" s="247"/>
      <c r="G577" s="247"/>
      <c r="H577" s="247"/>
      <c r="I577" s="247"/>
      <c r="J577" s="246"/>
      <c r="K577" s="248"/>
      <c r="L577" s="246"/>
      <c r="M577" s="154"/>
      <c r="N577" s="55"/>
      <c r="O577" s="247"/>
      <c r="P577" s="247"/>
      <c r="Q577" s="247"/>
      <c r="R577" s="247"/>
      <c r="S577" s="247"/>
      <c r="T577" s="247"/>
      <c r="U577" s="247"/>
      <c r="V577" s="247"/>
      <c r="W577" s="247"/>
      <c r="X577" s="247"/>
      <c r="Y577" s="247"/>
      <c r="Z577" s="247"/>
      <c r="AA577" s="247"/>
    </row>
    <row r="578">
      <c r="A578" s="247"/>
      <c r="B578" s="245"/>
      <c r="C578" s="246"/>
      <c r="D578" s="247"/>
      <c r="E578" s="247"/>
      <c r="F578" s="247"/>
      <c r="G578" s="247"/>
      <c r="H578" s="247"/>
      <c r="I578" s="247"/>
      <c r="J578" s="246"/>
      <c r="K578" s="248"/>
      <c r="L578" s="246"/>
      <c r="M578" s="154"/>
      <c r="N578" s="55"/>
      <c r="O578" s="247"/>
      <c r="P578" s="247"/>
      <c r="Q578" s="247"/>
      <c r="R578" s="247"/>
      <c r="S578" s="247"/>
      <c r="T578" s="247"/>
      <c r="U578" s="247"/>
      <c r="V578" s="247"/>
      <c r="W578" s="247"/>
      <c r="X578" s="247"/>
      <c r="Y578" s="247"/>
      <c r="Z578" s="247"/>
      <c r="AA578" s="247"/>
    </row>
    <row r="579">
      <c r="A579" s="247"/>
      <c r="B579" s="245"/>
      <c r="C579" s="246"/>
      <c r="D579" s="247"/>
      <c r="E579" s="247"/>
      <c r="F579" s="247"/>
      <c r="G579" s="247"/>
      <c r="H579" s="247"/>
      <c r="I579" s="247"/>
      <c r="J579" s="246"/>
      <c r="K579" s="248"/>
      <c r="L579" s="246"/>
      <c r="M579" s="154"/>
      <c r="N579" s="55"/>
      <c r="O579" s="247"/>
      <c r="P579" s="247"/>
      <c r="Q579" s="247"/>
      <c r="R579" s="247"/>
      <c r="S579" s="247"/>
      <c r="T579" s="247"/>
      <c r="U579" s="247"/>
      <c r="V579" s="247"/>
      <c r="W579" s="247"/>
      <c r="X579" s="247"/>
      <c r="Y579" s="247"/>
      <c r="Z579" s="247"/>
      <c r="AA579" s="247"/>
    </row>
    <row r="580">
      <c r="A580" s="247"/>
      <c r="B580" s="245"/>
      <c r="C580" s="246"/>
      <c r="D580" s="247"/>
      <c r="E580" s="247"/>
      <c r="F580" s="247"/>
      <c r="G580" s="247"/>
      <c r="H580" s="247"/>
      <c r="I580" s="247"/>
      <c r="J580" s="246"/>
      <c r="K580" s="248"/>
      <c r="L580" s="246"/>
      <c r="M580" s="154"/>
      <c r="N580" s="55"/>
      <c r="O580" s="247"/>
      <c r="P580" s="247"/>
      <c r="Q580" s="247"/>
      <c r="R580" s="247"/>
      <c r="S580" s="247"/>
      <c r="T580" s="247"/>
      <c r="U580" s="247"/>
      <c r="V580" s="247"/>
      <c r="W580" s="247"/>
      <c r="X580" s="247"/>
      <c r="Y580" s="247"/>
      <c r="Z580" s="247"/>
      <c r="AA580" s="247"/>
    </row>
    <row r="581">
      <c r="A581" s="247"/>
      <c r="B581" s="245"/>
      <c r="C581" s="246"/>
      <c r="D581" s="247"/>
      <c r="E581" s="247"/>
      <c r="F581" s="247"/>
      <c r="G581" s="247"/>
      <c r="H581" s="247"/>
      <c r="I581" s="247"/>
      <c r="J581" s="246"/>
      <c r="K581" s="248"/>
      <c r="L581" s="246"/>
      <c r="M581" s="154"/>
      <c r="N581" s="55"/>
      <c r="O581" s="247"/>
      <c r="P581" s="247"/>
      <c r="Q581" s="247"/>
      <c r="R581" s="247"/>
      <c r="S581" s="247"/>
      <c r="T581" s="247"/>
      <c r="U581" s="247"/>
      <c r="V581" s="247"/>
      <c r="W581" s="247"/>
      <c r="X581" s="247"/>
      <c r="Y581" s="247"/>
      <c r="Z581" s="247"/>
      <c r="AA581" s="247"/>
    </row>
    <row r="582">
      <c r="A582" s="247"/>
      <c r="B582" s="245"/>
      <c r="C582" s="246"/>
      <c r="D582" s="247"/>
      <c r="E582" s="247"/>
      <c r="F582" s="247"/>
      <c r="G582" s="247"/>
      <c r="H582" s="247"/>
      <c r="I582" s="247"/>
      <c r="J582" s="246"/>
      <c r="K582" s="248"/>
      <c r="L582" s="246"/>
      <c r="M582" s="154"/>
      <c r="N582" s="55"/>
      <c r="O582" s="247"/>
      <c r="P582" s="247"/>
      <c r="Q582" s="247"/>
      <c r="R582" s="247"/>
      <c r="S582" s="247"/>
      <c r="T582" s="247"/>
      <c r="U582" s="247"/>
      <c r="V582" s="247"/>
      <c r="W582" s="247"/>
      <c r="X582" s="247"/>
      <c r="Y582" s="247"/>
      <c r="Z582" s="247"/>
      <c r="AA582" s="247"/>
    </row>
    <row r="583">
      <c r="A583" s="247"/>
      <c r="B583" s="245"/>
      <c r="C583" s="246"/>
      <c r="D583" s="247"/>
      <c r="E583" s="247"/>
      <c r="F583" s="247"/>
      <c r="G583" s="247"/>
      <c r="H583" s="247"/>
      <c r="I583" s="247"/>
      <c r="J583" s="246"/>
      <c r="K583" s="248"/>
      <c r="L583" s="246"/>
      <c r="M583" s="154"/>
      <c r="N583" s="55"/>
      <c r="O583" s="247"/>
      <c r="P583" s="247"/>
      <c r="Q583" s="247"/>
      <c r="R583" s="247"/>
      <c r="S583" s="247"/>
      <c r="T583" s="247"/>
      <c r="U583" s="247"/>
      <c r="V583" s="247"/>
      <c r="W583" s="247"/>
      <c r="X583" s="247"/>
      <c r="Y583" s="247"/>
      <c r="Z583" s="247"/>
      <c r="AA583" s="247"/>
    </row>
    <row r="584">
      <c r="A584" s="247"/>
      <c r="B584" s="245"/>
      <c r="C584" s="246"/>
      <c r="D584" s="247"/>
      <c r="E584" s="247"/>
      <c r="F584" s="247"/>
      <c r="G584" s="247"/>
      <c r="H584" s="247"/>
      <c r="I584" s="247"/>
      <c r="J584" s="246"/>
      <c r="K584" s="248"/>
      <c r="L584" s="246"/>
      <c r="M584" s="154"/>
      <c r="N584" s="55"/>
      <c r="O584" s="247"/>
      <c r="P584" s="247"/>
      <c r="Q584" s="247"/>
      <c r="R584" s="247"/>
      <c r="S584" s="247"/>
      <c r="T584" s="247"/>
      <c r="U584" s="247"/>
      <c r="V584" s="247"/>
      <c r="W584" s="247"/>
      <c r="X584" s="247"/>
      <c r="Y584" s="247"/>
      <c r="Z584" s="247"/>
      <c r="AA584" s="247"/>
    </row>
    <row r="585">
      <c r="A585" s="247"/>
      <c r="B585" s="245"/>
      <c r="C585" s="246"/>
      <c r="D585" s="247"/>
      <c r="E585" s="247"/>
      <c r="F585" s="247"/>
      <c r="G585" s="247"/>
      <c r="H585" s="247"/>
      <c r="I585" s="247"/>
      <c r="J585" s="246"/>
      <c r="K585" s="248"/>
      <c r="L585" s="246"/>
      <c r="M585" s="154"/>
      <c r="N585" s="55"/>
      <c r="O585" s="247"/>
      <c r="P585" s="247"/>
      <c r="Q585" s="247"/>
      <c r="R585" s="247"/>
      <c r="S585" s="247"/>
      <c r="T585" s="247"/>
      <c r="U585" s="247"/>
      <c r="V585" s="247"/>
      <c r="W585" s="247"/>
      <c r="X585" s="247"/>
      <c r="Y585" s="247"/>
      <c r="Z585" s="247"/>
      <c r="AA585" s="247"/>
    </row>
    <row r="586">
      <c r="A586" s="247"/>
      <c r="B586" s="245"/>
      <c r="C586" s="246"/>
      <c r="D586" s="247"/>
      <c r="E586" s="247"/>
      <c r="F586" s="247"/>
      <c r="G586" s="247"/>
      <c r="H586" s="247"/>
      <c r="I586" s="247"/>
      <c r="J586" s="246"/>
      <c r="K586" s="248"/>
      <c r="L586" s="246"/>
      <c r="M586" s="154"/>
      <c r="N586" s="55"/>
      <c r="O586" s="247"/>
      <c r="P586" s="247"/>
      <c r="Q586" s="247"/>
      <c r="R586" s="247"/>
      <c r="S586" s="247"/>
      <c r="T586" s="247"/>
      <c r="U586" s="247"/>
      <c r="V586" s="247"/>
      <c r="W586" s="247"/>
      <c r="X586" s="247"/>
      <c r="Y586" s="247"/>
      <c r="Z586" s="247"/>
      <c r="AA586" s="247"/>
    </row>
    <row r="587">
      <c r="A587" s="247"/>
      <c r="B587" s="245"/>
      <c r="C587" s="246"/>
      <c r="D587" s="247"/>
      <c r="E587" s="247"/>
      <c r="F587" s="247"/>
      <c r="G587" s="247"/>
      <c r="H587" s="247"/>
      <c r="I587" s="247"/>
      <c r="J587" s="246"/>
      <c r="K587" s="248"/>
      <c r="L587" s="246"/>
      <c r="M587" s="154"/>
      <c r="N587" s="55"/>
      <c r="O587" s="247"/>
      <c r="P587" s="247"/>
      <c r="Q587" s="247"/>
      <c r="R587" s="247"/>
      <c r="S587" s="247"/>
      <c r="T587" s="247"/>
      <c r="U587" s="247"/>
      <c r="V587" s="247"/>
      <c r="W587" s="247"/>
      <c r="X587" s="247"/>
      <c r="Y587" s="247"/>
      <c r="Z587" s="247"/>
      <c r="AA587" s="247"/>
    </row>
    <row r="588">
      <c r="A588" s="247"/>
      <c r="B588" s="245"/>
      <c r="C588" s="246"/>
      <c r="D588" s="247"/>
      <c r="E588" s="247"/>
      <c r="F588" s="247"/>
      <c r="G588" s="247"/>
      <c r="H588" s="247"/>
      <c r="I588" s="247"/>
      <c r="J588" s="246"/>
      <c r="K588" s="248"/>
      <c r="L588" s="246"/>
      <c r="M588" s="154"/>
      <c r="N588" s="55"/>
      <c r="O588" s="247"/>
      <c r="P588" s="247"/>
      <c r="Q588" s="247"/>
      <c r="R588" s="247"/>
      <c r="S588" s="247"/>
      <c r="T588" s="247"/>
      <c r="U588" s="247"/>
      <c r="V588" s="247"/>
      <c r="W588" s="247"/>
      <c r="X588" s="247"/>
      <c r="Y588" s="247"/>
      <c r="Z588" s="247"/>
      <c r="AA588" s="247"/>
    </row>
    <row r="589">
      <c r="A589" s="247"/>
      <c r="B589" s="245"/>
      <c r="C589" s="246"/>
      <c r="D589" s="247"/>
      <c r="E589" s="247"/>
      <c r="F589" s="247"/>
      <c r="G589" s="247"/>
      <c r="H589" s="247"/>
      <c r="I589" s="247"/>
      <c r="J589" s="246"/>
      <c r="K589" s="248"/>
      <c r="L589" s="246"/>
      <c r="M589" s="154"/>
      <c r="N589" s="55"/>
      <c r="O589" s="247"/>
      <c r="P589" s="247"/>
      <c r="Q589" s="247"/>
      <c r="R589" s="247"/>
      <c r="S589" s="247"/>
      <c r="T589" s="247"/>
      <c r="U589" s="247"/>
      <c r="V589" s="247"/>
      <c r="W589" s="247"/>
      <c r="X589" s="247"/>
      <c r="Y589" s="247"/>
      <c r="Z589" s="247"/>
      <c r="AA589" s="247"/>
    </row>
    <row r="590">
      <c r="A590" s="247"/>
      <c r="B590" s="245"/>
      <c r="C590" s="246"/>
      <c r="D590" s="247"/>
      <c r="E590" s="247"/>
      <c r="F590" s="247"/>
      <c r="G590" s="247"/>
      <c r="H590" s="247"/>
      <c r="I590" s="247"/>
      <c r="J590" s="246"/>
      <c r="K590" s="248"/>
      <c r="L590" s="246"/>
      <c r="M590" s="154"/>
      <c r="N590" s="55"/>
      <c r="O590" s="247"/>
      <c r="P590" s="247"/>
      <c r="Q590" s="247"/>
      <c r="R590" s="247"/>
      <c r="S590" s="247"/>
      <c r="T590" s="247"/>
      <c r="U590" s="247"/>
      <c r="V590" s="247"/>
      <c r="W590" s="247"/>
      <c r="X590" s="247"/>
      <c r="Y590" s="247"/>
      <c r="Z590" s="247"/>
      <c r="AA590" s="247"/>
    </row>
    <row r="591">
      <c r="A591" s="247"/>
      <c r="B591" s="245"/>
      <c r="C591" s="246"/>
      <c r="D591" s="247"/>
      <c r="E591" s="247"/>
      <c r="F591" s="247"/>
      <c r="G591" s="247"/>
      <c r="H591" s="247"/>
      <c r="I591" s="247"/>
      <c r="J591" s="246"/>
      <c r="K591" s="248"/>
      <c r="L591" s="246"/>
      <c r="M591" s="154"/>
      <c r="N591" s="55"/>
      <c r="O591" s="247"/>
      <c r="P591" s="247"/>
      <c r="Q591" s="247"/>
      <c r="R591" s="247"/>
      <c r="S591" s="247"/>
      <c r="T591" s="247"/>
      <c r="U591" s="247"/>
      <c r="V591" s="247"/>
      <c r="W591" s="247"/>
      <c r="X591" s="247"/>
      <c r="Y591" s="247"/>
      <c r="Z591" s="247"/>
      <c r="AA591" s="247"/>
    </row>
    <row r="592">
      <c r="A592" s="247"/>
      <c r="B592" s="245"/>
      <c r="C592" s="246"/>
      <c r="D592" s="247"/>
      <c r="E592" s="247"/>
      <c r="F592" s="247"/>
      <c r="G592" s="247"/>
      <c r="H592" s="247"/>
      <c r="I592" s="247"/>
      <c r="J592" s="246"/>
      <c r="K592" s="248"/>
      <c r="L592" s="246"/>
      <c r="M592" s="154"/>
      <c r="N592" s="55"/>
      <c r="O592" s="247"/>
      <c r="P592" s="247"/>
      <c r="Q592" s="247"/>
      <c r="R592" s="247"/>
      <c r="S592" s="247"/>
      <c r="T592" s="247"/>
      <c r="U592" s="247"/>
      <c r="V592" s="247"/>
      <c r="W592" s="247"/>
      <c r="X592" s="247"/>
      <c r="Y592" s="247"/>
      <c r="Z592" s="247"/>
      <c r="AA592" s="247"/>
    </row>
    <row r="593">
      <c r="A593" s="247"/>
      <c r="B593" s="245"/>
      <c r="C593" s="246"/>
      <c r="D593" s="247"/>
      <c r="E593" s="247"/>
      <c r="F593" s="247"/>
      <c r="G593" s="247"/>
      <c r="H593" s="247"/>
      <c r="I593" s="247"/>
      <c r="J593" s="246"/>
      <c r="K593" s="248"/>
      <c r="L593" s="246"/>
      <c r="M593" s="154"/>
      <c r="N593" s="55"/>
      <c r="O593" s="247"/>
      <c r="P593" s="247"/>
      <c r="Q593" s="247"/>
      <c r="R593" s="247"/>
      <c r="S593" s="247"/>
      <c r="T593" s="247"/>
      <c r="U593" s="247"/>
      <c r="V593" s="247"/>
      <c r="W593" s="247"/>
      <c r="X593" s="247"/>
      <c r="Y593" s="247"/>
      <c r="Z593" s="247"/>
      <c r="AA593" s="247"/>
    </row>
    <row r="594">
      <c r="A594" s="247"/>
      <c r="B594" s="245"/>
      <c r="C594" s="246"/>
      <c r="D594" s="247"/>
      <c r="E594" s="247"/>
      <c r="F594" s="247"/>
      <c r="G594" s="247"/>
      <c r="H594" s="247"/>
      <c r="I594" s="247"/>
      <c r="J594" s="246"/>
      <c r="K594" s="248"/>
      <c r="L594" s="246"/>
      <c r="M594" s="154"/>
      <c r="N594" s="55"/>
      <c r="O594" s="247"/>
      <c r="P594" s="247"/>
      <c r="Q594" s="247"/>
      <c r="R594" s="247"/>
      <c r="S594" s="247"/>
      <c r="T594" s="247"/>
      <c r="U594" s="247"/>
      <c r="V594" s="247"/>
      <c r="W594" s="247"/>
      <c r="X594" s="247"/>
      <c r="Y594" s="247"/>
      <c r="Z594" s="247"/>
      <c r="AA594" s="247"/>
    </row>
    <row r="595">
      <c r="A595" s="247"/>
      <c r="B595" s="245"/>
      <c r="C595" s="246"/>
      <c r="D595" s="247"/>
      <c r="E595" s="247"/>
      <c r="F595" s="247"/>
      <c r="G595" s="247"/>
      <c r="H595" s="247"/>
      <c r="I595" s="247"/>
      <c r="J595" s="246"/>
      <c r="K595" s="248"/>
      <c r="L595" s="246"/>
      <c r="M595" s="154"/>
      <c r="N595" s="55"/>
      <c r="O595" s="247"/>
      <c r="P595" s="247"/>
      <c r="Q595" s="247"/>
      <c r="R595" s="247"/>
      <c r="S595" s="247"/>
      <c r="T595" s="247"/>
      <c r="U595" s="247"/>
      <c r="V595" s="247"/>
      <c r="W595" s="247"/>
      <c r="X595" s="247"/>
      <c r="Y595" s="247"/>
      <c r="Z595" s="247"/>
      <c r="AA595" s="247"/>
    </row>
    <row r="596">
      <c r="A596" s="247"/>
      <c r="B596" s="245"/>
      <c r="C596" s="246"/>
      <c r="D596" s="247"/>
      <c r="E596" s="247"/>
      <c r="F596" s="247"/>
      <c r="G596" s="247"/>
      <c r="H596" s="247"/>
      <c r="I596" s="247"/>
      <c r="J596" s="246"/>
      <c r="K596" s="248"/>
      <c r="L596" s="246"/>
      <c r="M596" s="154"/>
      <c r="N596" s="55"/>
      <c r="O596" s="247"/>
      <c r="P596" s="247"/>
      <c r="Q596" s="247"/>
      <c r="R596" s="247"/>
      <c r="S596" s="247"/>
      <c r="T596" s="247"/>
      <c r="U596" s="247"/>
      <c r="V596" s="247"/>
      <c r="W596" s="247"/>
      <c r="X596" s="247"/>
      <c r="Y596" s="247"/>
      <c r="Z596" s="247"/>
      <c r="AA596" s="247"/>
    </row>
    <row r="597">
      <c r="A597" s="247"/>
      <c r="B597" s="245"/>
      <c r="C597" s="246"/>
      <c r="D597" s="247"/>
      <c r="E597" s="247"/>
      <c r="F597" s="247"/>
      <c r="G597" s="247"/>
      <c r="H597" s="247"/>
      <c r="I597" s="247"/>
      <c r="J597" s="246"/>
      <c r="K597" s="248"/>
      <c r="L597" s="246"/>
      <c r="M597" s="154"/>
      <c r="N597" s="55"/>
      <c r="O597" s="247"/>
      <c r="P597" s="247"/>
      <c r="Q597" s="247"/>
      <c r="R597" s="247"/>
      <c r="S597" s="247"/>
      <c r="T597" s="247"/>
      <c r="U597" s="247"/>
      <c r="V597" s="247"/>
      <c r="W597" s="247"/>
      <c r="X597" s="247"/>
      <c r="Y597" s="247"/>
      <c r="Z597" s="247"/>
      <c r="AA597" s="247"/>
    </row>
    <row r="598">
      <c r="A598" s="247"/>
      <c r="B598" s="245"/>
      <c r="C598" s="246"/>
      <c r="D598" s="247"/>
      <c r="E598" s="247"/>
      <c r="F598" s="247"/>
      <c r="G598" s="247"/>
      <c r="H598" s="247"/>
      <c r="I598" s="247"/>
      <c r="J598" s="246"/>
      <c r="K598" s="248"/>
      <c r="L598" s="246"/>
      <c r="M598" s="154"/>
      <c r="N598" s="55"/>
      <c r="O598" s="247"/>
      <c r="P598" s="247"/>
      <c r="Q598" s="247"/>
      <c r="R598" s="247"/>
      <c r="S598" s="247"/>
      <c r="T598" s="247"/>
      <c r="U598" s="247"/>
      <c r="V598" s="247"/>
      <c r="W598" s="247"/>
      <c r="X598" s="247"/>
      <c r="Y598" s="247"/>
      <c r="Z598" s="247"/>
      <c r="AA598" s="247"/>
    </row>
    <row r="599">
      <c r="A599" s="247"/>
      <c r="B599" s="245"/>
      <c r="C599" s="246"/>
      <c r="D599" s="247"/>
      <c r="E599" s="247"/>
      <c r="F599" s="247"/>
      <c r="G599" s="247"/>
      <c r="H599" s="247"/>
      <c r="I599" s="247"/>
      <c r="J599" s="246"/>
      <c r="K599" s="248"/>
      <c r="L599" s="246"/>
      <c r="M599" s="154"/>
      <c r="N599" s="55"/>
      <c r="O599" s="247"/>
      <c r="P599" s="247"/>
      <c r="Q599" s="247"/>
      <c r="R599" s="247"/>
      <c r="S599" s="247"/>
      <c r="T599" s="247"/>
      <c r="U599" s="247"/>
      <c r="V599" s="247"/>
      <c r="W599" s="247"/>
      <c r="X599" s="247"/>
      <c r="Y599" s="247"/>
      <c r="Z599" s="247"/>
      <c r="AA599" s="247"/>
    </row>
    <row r="600">
      <c r="A600" s="247"/>
      <c r="B600" s="245"/>
      <c r="C600" s="246"/>
      <c r="D600" s="247"/>
      <c r="E600" s="247"/>
      <c r="F600" s="247"/>
      <c r="G600" s="247"/>
      <c r="H600" s="247"/>
      <c r="I600" s="247"/>
      <c r="J600" s="246"/>
      <c r="K600" s="248"/>
      <c r="L600" s="246"/>
      <c r="M600" s="154"/>
      <c r="N600" s="55"/>
      <c r="O600" s="247"/>
      <c r="P600" s="247"/>
      <c r="Q600" s="247"/>
      <c r="R600" s="247"/>
      <c r="S600" s="247"/>
      <c r="T600" s="247"/>
      <c r="U600" s="247"/>
      <c r="V600" s="247"/>
      <c r="W600" s="247"/>
      <c r="X600" s="247"/>
      <c r="Y600" s="247"/>
      <c r="Z600" s="247"/>
      <c r="AA600" s="247"/>
    </row>
    <row r="601">
      <c r="A601" s="247"/>
      <c r="B601" s="245"/>
      <c r="C601" s="246"/>
      <c r="D601" s="247"/>
      <c r="E601" s="247"/>
      <c r="F601" s="247"/>
      <c r="G601" s="247"/>
      <c r="H601" s="247"/>
      <c r="I601" s="247"/>
      <c r="J601" s="246"/>
      <c r="K601" s="248"/>
      <c r="L601" s="246"/>
      <c r="M601" s="154"/>
      <c r="N601" s="55"/>
      <c r="O601" s="247"/>
      <c r="P601" s="247"/>
      <c r="Q601" s="247"/>
      <c r="R601" s="247"/>
      <c r="S601" s="247"/>
      <c r="T601" s="247"/>
      <c r="U601" s="247"/>
      <c r="V601" s="247"/>
      <c r="W601" s="247"/>
      <c r="X601" s="247"/>
      <c r="Y601" s="247"/>
      <c r="Z601" s="247"/>
      <c r="AA601" s="247"/>
    </row>
    <row r="602">
      <c r="A602" s="247"/>
      <c r="B602" s="245"/>
      <c r="C602" s="246"/>
      <c r="D602" s="247"/>
      <c r="E602" s="247"/>
      <c r="F602" s="247"/>
      <c r="G602" s="247"/>
      <c r="H602" s="247"/>
      <c r="I602" s="247"/>
      <c r="J602" s="246"/>
      <c r="K602" s="248"/>
      <c r="L602" s="246"/>
      <c r="M602" s="154"/>
      <c r="N602" s="55"/>
      <c r="O602" s="247"/>
      <c r="P602" s="247"/>
      <c r="Q602" s="247"/>
      <c r="R602" s="247"/>
      <c r="S602" s="247"/>
      <c r="T602" s="247"/>
      <c r="U602" s="247"/>
      <c r="V602" s="247"/>
      <c r="W602" s="247"/>
      <c r="X602" s="247"/>
      <c r="Y602" s="247"/>
      <c r="Z602" s="247"/>
      <c r="AA602" s="247"/>
    </row>
    <row r="603">
      <c r="A603" s="247"/>
      <c r="B603" s="245"/>
      <c r="C603" s="246"/>
      <c r="D603" s="247"/>
      <c r="E603" s="247"/>
      <c r="F603" s="247"/>
      <c r="G603" s="247"/>
      <c r="H603" s="247"/>
      <c r="I603" s="247"/>
      <c r="J603" s="246"/>
      <c r="K603" s="248"/>
      <c r="L603" s="246"/>
      <c r="M603" s="154"/>
      <c r="N603" s="55"/>
      <c r="O603" s="247"/>
      <c r="P603" s="247"/>
      <c r="Q603" s="247"/>
      <c r="R603" s="247"/>
      <c r="S603" s="247"/>
      <c r="T603" s="247"/>
      <c r="U603" s="247"/>
      <c r="V603" s="247"/>
      <c r="W603" s="247"/>
      <c r="X603" s="247"/>
      <c r="Y603" s="247"/>
      <c r="Z603" s="247"/>
      <c r="AA603" s="247"/>
    </row>
    <row r="604">
      <c r="A604" s="247"/>
      <c r="B604" s="245"/>
      <c r="C604" s="246"/>
      <c r="D604" s="247"/>
      <c r="E604" s="247"/>
      <c r="F604" s="247"/>
      <c r="G604" s="247"/>
      <c r="H604" s="247"/>
      <c r="I604" s="247"/>
      <c r="J604" s="246"/>
      <c r="K604" s="248"/>
      <c r="L604" s="246"/>
      <c r="M604" s="154"/>
      <c r="N604" s="55"/>
      <c r="O604" s="247"/>
      <c r="P604" s="247"/>
      <c r="Q604" s="247"/>
      <c r="R604" s="247"/>
      <c r="S604" s="247"/>
      <c r="T604" s="247"/>
      <c r="U604" s="247"/>
      <c r="V604" s="247"/>
      <c r="W604" s="247"/>
      <c r="X604" s="247"/>
      <c r="Y604" s="247"/>
      <c r="Z604" s="247"/>
      <c r="AA604" s="247"/>
    </row>
    <row r="605">
      <c r="A605" s="247"/>
      <c r="B605" s="245"/>
      <c r="C605" s="246"/>
      <c r="D605" s="247"/>
      <c r="E605" s="247"/>
      <c r="F605" s="247"/>
      <c r="G605" s="247"/>
      <c r="H605" s="247"/>
      <c r="I605" s="247"/>
      <c r="J605" s="246"/>
      <c r="K605" s="248"/>
      <c r="L605" s="246"/>
      <c r="M605" s="154"/>
      <c r="N605" s="55"/>
      <c r="O605" s="247"/>
      <c r="P605" s="247"/>
      <c r="Q605" s="247"/>
      <c r="R605" s="247"/>
      <c r="S605" s="247"/>
      <c r="T605" s="247"/>
      <c r="U605" s="247"/>
      <c r="V605" s="247"/>
      <c r="W605" s="247"/>
      <c r="X605" s="247"/>
      <c r="Y605" s="247"/>
      <c r="Z605" s="247"/>
      <c r="AA605" s="247"/>
    </row>
    <row r="606">
      <c r="A606" s="247"/>
      <c r="B606" s="245"/>
      <c r="C606" s="246"/>
      <c r="D606" s="247"/>
      <c r="E606" s="247"/>
      <c r="F606" s="247"/>
      <c r="G606" s="247"/>
      <c r="H606" s="247"/>
      <c r="I606" s="247"/>
      <c r="J606" s="246"/>
      <c r="K606" s="248"/>
      <c r="L606" s="246"/>
      <c r="M606" s="154"/>
      <c r="N606" s="55"/>
      <c r="O606" s="247"/>
      <c r="P606" s="247"/>
      <c r="Q606" s="247"/>
      <c r="R606" s="247"/>
      <c r="S606" s="247"/>
      <c r="T606" s="247"/>
      <c r="U606" s="247"/>
      <c r="V606" s="247"/>
      <c r="W606" s="247"/>
      <c r="X606" s="247"/>
      <c r="Y606" s="247"/>
      <c r="Z606" s="247"/>
      <c r="AA606" s="247"/>
    </row>
    <row r="607">
      <c r="A607" s="247"/>
      <c r="B607" s="245"/>
      <c r="C607" s="246"/>
      <c r="D607" s="247"/>
      <c r="E607" s="247"/>
      <c r="F607" s="247"/>
      <c r="G607" s="247"/>
      <c r="H607" s="247"/>
      <c r="I607" s="247"/>
      <c r="J607" s="246"/>
      <c r="K607" s="248"/>
      <c r="L607" s="246"/>
      <c r="M607" s="154"/>
      <c r="N607" s="55"/>
      <c r="O607" s="247"/>
      <c r="P607" s="247"/>
      <c r="Q607" s="247"/>
      <c r="R607" s="247"/>
      <c r="S607" s="247"/>
      <c r="T607" s="247"/>
      <c r="U607" s="247"/>
      <c r="V607" s="247"/>
      <c r="W607" s="247"/>
      <c r="X607" s="247"/>
      <c r="Y607" s="247"/>
      <c r="Z607" s="247"/>
      <c r="AA607" s="247"/>
    </row>
    <row r="608">
      <c r="A608" s="247"/>
      <c r="B608" s="245"/>
      <c r="C608" s="246"/>
      <c r="D608" s="247"/>
      <c r="E608" s="247"/>
      <c r="F608" s="247"/>
      <c r="G608" s="247"/>
      <c r="H608" s="247"/>
      <c r="I608" s="247"/>
      <c r="J608" s="246"/>
      <c r="K608" s="248"/>
      <c r="L608" s="246"/>
      <c r="M608" s="154"/>
      <c r="N608" s="55"/>
      <c r="O608" s="247"/>
      <c r="P608" s="247"/>
      <c r="Q608" s="247"/>
      <c r="R608" s="247"/>
      <c r="S608" s="247"/>
      <c r="T608" s="247"/>
      <c r="U608" s="247"/>
      <c r="V608" s="247"/>
      <c r="W608" s="247"/>
      <c r="X608" s="247"/>
      <c r="Y608" s="247"/>
      <c r="Z608" s="247"/>
      <c r="AA608" s="247"/>
    </row>
    <row r="609">
      <c r="A609" s="247"/>
      <c r="B609" s="245"/>
      <c r="C609" s="246"/>
      <c r="D609" s="247"/>
      <c r="E609" s="247"/>
      <c r="F609" s="247"/>
      <c r="G609" s="247"/>
      <c r="H609" s="247"/>
      <c r="I609" s="247"/>
      <c r="J609" s="246"/>
      <c r="K609" s="248"/>
      <c r="L609" s="246"/>
      <c r="M609" s="154"/>
      <c r="N609" s="55"/>
      <c r="O609" s="247"/>
      <c r="P609" s="247"/>
      <c r="Q609" s="247"/>
      <c r="R609" s="247"/>
      <c r="S609" s="247"/>
      <c r="T609" s="247"/>
      <c r="U609" s="247"/>
      <c r="V609" s="247"/>
      <c r="W609" s="247"/>
      <c r="X609" s="247"/>
      <c r="Y609" s="247"/>
      <c r="Z609" s="247"/>
      <c r="AA609" s="247"/>
    </row>
    <row r="610">
      <c r="A610" s="247"/>
      <c r="B610" s="245"/>
      <c r="C610" s="246"/>
      <c r="D610" s="247"/>
      <c r="E610" s="247"/>
      <c r="F610" s="247"/>
      <c r="G610" s="247"/>
      <c r="H610" s="247"/>
      <c r="I610" s="247"/>
      <c r="J610" s="246"/>
      <c r="K610" s="248"/>
      <c r="L610" s="246"/>
      <c r="M610" s="154"/>
      <c r="N610" s="55"/>
      <c r="O610" s="247"/>
      <c r="P610" s="247"/>
      <c r="Q610" s="247"/>
      <c r="R610" s="247"/>
      <c r="S610" s="247"/>
      <c r="T610" s="247"/>
      <c r="U610" s="247"/>
      <c r="V610" s="247"/>
      <c r="W610" s="247"/>
      <c r="X610" s="247"/>
      <c r="Y610" s="247"/>
      <c r="Z610" s="247"/>
      <c r="AA610" s="247"/>
    </row>
    <row r="611">
      <c r="A611" s="247"/>
      <c r="B611" s="245"/>
      <c r="C611" s="246"/>
      <c r="D611" s="247"/>
      <c r="E611" s="247"/>
      <c r="F611" s="247"/>
      <c r="G611" s="247"/>
      <c r="H611" s="247"/>
      <c r="I611" s="247"/>
      <c r="J611" s="246"/>
      <c r="K611" s="248"/>
      <c r="L611" s="246"/>
      <c r="M611" s="154"/>
      <c r="N611" s="55"/>
      <c r="O611" s="247"/>
      <c r="P611" s="247"/>
      <c r="Q611" s="247"/>
      <c r="R611" s="247"/>
      <c r="S611" s="247"/>
      <c r="T611" s="247"/>
      <c r="U611" s="247"/>
      <c r="V611" s="247"/>
      <c r="W611" s="247"/>
      <c r="X611" s="247"/>
      <c r="Y611" s="247"/>
      <c r="Z611" s="247"/>
      <c r="AA611" s="247"/>
    </row>
    <row r="612">
      <c r="A612" s="247"/>
      <c r="B612" s="245"/>
      <c r="C612" s="246"/>
      <c r="D612" s="247"/>
      <c r="E612" s="247"/>
      <c r="F612" s="247"/>
      <c r="G612" s="247"/>
      <c r="H612" s="247"/>
      <c r="I612" s="247"/>
      <c r="J612" s="246"/>
      <c r="K612" s="248"/>
      <c r="L612" s="246"/>
      <c r="M612" s="154"/>
      <c r="N612" s="55"/>
      <c r="O612" s="247"/>
      <c r="P612" s="247"/>
      <c r="Q612" s="247"/>
      <c r="R612" s="247"/>
      <c r="S612" s="247"/>
      <c r="T612" s="247"/>
      <c r="U612" s="247"/>
      <c r="V612" s="247"/>
      <c r="W612" s="247"/>
      <c r="X612" s="247"/>
      <c r="Y612" s="247"/>
      <c r="Z612" s="247"/>
      <c r="AA612" s="247"/>
    </row>
    <row r="613">
      <c r="A613" s="247"/>
      <c r="B613" s="245"/>
      <c r="C613" s="246"/>
      <c r="D613" s="247"/>
      <c r="E613" s="247"/>
      <c r="F613" s="247"/>
      <c r="G613" s="247"/>
      <c r="H613" s="247"/>
      <c r="I613" s="247"/>
      <c r="J613" s="246"/>
      <c r="K613" s="248"/>
      <c r="L613" s="246"/>
      <c r="M613" s="154"/>
      <c r="N613" s="55"/>
      <c r="O613" s="247"/>
      <c r="P613" s="247"/>
      <c r="Q613" s="247"/>
      <c r="R613" s="247"/>
      <c r="S613" s="247"/>
      <c r="T613" s="247"/>
      <c r="U613" s="247"/>
      <c r="V613" s="247"/>
      <c r="W613" s="247"/>
      <c r="X613" s="247"/>
      <c r="Y613" s="247"/>
      <c r="Z613" s="247"/>
      <c r="AA613" s="247"/>
    </row>
    <row r="614">
      <c r="A614" s="247"/>
      <c r="B614" s="245"/>
      <c r="C614" s="246"/>
      <c r="D614" s="247"/>
      <c r="E614" s="247"/>
      <c r="F614" s="247"/>
      <c r="G614" s="247"/>
      <c r="H614" s="247"/>
      <c r="I614" s="247"/>
      <c r="J614" s="246"/>
      <c r="K614" s="248"/>
      <c r="L614" s="246"/>
      <c r="M614" s="154"/>
      <c r="N614" s="55"/>
      <c r="O614" s="247"/>
      <c r="P614" s="247"/>
      <c r="Q614" s="247"/>
      <c r="R614" s="247"/>
      <c r="S614" s="247"/>
      <c r="T614" s="247"/>
      <c r="U614" s="247"/>
      <c r="V614" s="247"/>
      <c r="W614" s="247"/>
      <c r="X614" s="247"/>
      <c r="Y614" s="247"/>
      <c r="Z614" s="247"/>
      <c r="AA614" s="247"/>
    </row>
    <row r="615">
      <c r="A615" s="247"/>
      <c r="B615" s="245"/>
      <c r="C615" s="246"/>
      <c r="D615" s="247"/>
      <c r="E615" s="247"/>
      <c r="F615" s="247"/>
      <c r="G615" s="247"/>
      <c r="H615" s="247"/>
      <c r="I615" s="247"/>
      <c r="J615" s="246"/>
      <c r="K615" s="248"/>
      <c r="L615" s="246"/>
      <c r="M615" s="154"/>
      <c r="N615" s="55"/>
      <c r="O615" s="247"/>
      <c r="P615" s="247"/>
      <c r="Q615" s="247"/>
      <c r="R615" s="247"/>
      <c r="S615" s="247"/>
      <c r="T615" s="247"/>
      <c r="U615" s="247"/>
      <c r="V615" s="247"/>
      <c r="W615" s="247"/>
      <c r="X615" s="247"/>
      <c r="Y615" s="247"/>
      <c r="Z615" s="247"/>
      <c r="AA615" s="247"/>
    </row>
    <row r="616">
      <c r="A616" s="247"/>
      <c r="B616" s="245"/>
      <c r="C616" s="246"/>
      <c r="D616" s="247"/>
      <c r="E616" s="247"/>
      <c r="F616" s="247"/>
      <c r="G616" s="247"/>
      <c r="H616" s="247"/>
      <c r="I616" s="247"/>
      <c r="J616" s="246"/>
      <c r="K616" s="248"/>
      <c r="L616" s="246"/>
      <c r="M616" s="154"/>
      <c r="N616" s="55"/>
      <c r="O616" s="247"/>
      <c r="P616" s="247"/>
      <c r="Q616" s="247"/>
      <c r="R616" s="247"/>
      <c r="S616" s="247"/>
      <c r="T616" s="247"/>
      <c r="U616" s="247"/>
      <c r="V616" s="247"/>
      <c r="W616" s="247"/>
      <c r="X616" s="247"/>
      <c r="Y616" s="247"/>
      <c r="Z616" s="247"/>
      <c r="AA616" s="247"/>
    </row>
    <row r="617">
      <c r="A617" s="247"/>
      <c r="B617" s="245"/>
      <c r="C617" s="246"/>
      <c r="D617" s="247"/>
      <c r="E617" s="247"/>
      <c r="F617" s="247"/>
      <c r="G617" s="247"/>
      <c r="H617" s="247"/>
      <c r="I617" s="247"/>
      <c r="J617" s="246"/>
      <c r="K617" s="248"/>
      <c r="L617" s="246"/>
      <c r="M617" s="154"/>
      <c r="N617" s="55"/>
      <c r="O617" s="247"/>
      <c r="P617" s="247"/>
      <c r="Q617" s="247"/>
      <c r="R617" s="247"/>
      <c r="S617" s="247"/>
      <c r="T617" s="247"/>
      <c r="U617" s="247"/>
      <c r="V617" s="247"/>
      <c r="W617" s="247"/>
      <c r="X617" s="247"/>
      <c r="Y617" s="247"/>
      <c r="Z617" s="247"/>
      <c r="AA617" s="247"/>
    </row>
    <row r="618">
      <c r="A618" s="247"/>
      <c r="B618" s="245"/>
      <c r="C618" s="246"/>
      <c r="D618" s="247"/>
      <c r="E618" s="247"/>
      <c r="F618" s="247"/>
      <c r="G618" s="247"/>
      <c r="H618" s="247"/>
      <c r="I618" s="247"/>
      <c r="J618" s="246"/>
      <c r="K618" s="248"/>
      <c r="L618" s="246"/>
      <c r="M618" s="154"/>
      <c r="N618" s="55"/>
      <c r="O618" s="247"/>
      <c r="P618" s="247"/>
      <c r="Q618" s="247"/>
      <c r="R618" s="247"/>
      <c r="S618" s="247"/>
      <c r="T618" s="247"/>
      <c r="U618" s="247"/>
      <c r="V618" s="247"/>
      <c r="W618" s="247"/>
      <c r="X618" s="247"/>
      <c r="Y618" s="247"/>
      <c r="Z618" s="247"/>
      <c r="AA618" s="247"/>
    </row>
    <row r="619">
      <c r="A619" s="247"/>
      <c r="B619" s="245"/>
      <c r="C619" s="246"/>
      <c r="D619" s="247"/>
      <c r="E619" s="247"/>
      <c r="F619" s="247"/>
      <c r="G619" s="247"/>
      <c r="H619" s="247"/>
      <c r="I619" s="247"/>
      <c r="J619" s="246"/>
      <c r="K619" s="248"/>
      <c r="L619" s="246"/>
      <c r="M619" s="154"/>
      <c r="N619" s="55"/>
      <c r="O619" s="247"/>
      <c r="P619" s="247"/>
      <c r="Q619" s="247"/>
      <c r="R619" s="247"/>
      <c r="S619" s="247"/>
      <c r="T619" s="247"/>
      <c r="U619" s="247"/>
      <c r="V619" s="247"/>
      <c r="W619" s="247"/>
      <c r="X619" s="247"/>
      <c r="Y619" s="247"/>
      <c r="Z619" s="247"/>
      <c r="AA619" s="247"/>
    </row>
    <row r="620">
      <c r="A620" s="247"/>
      <c r="B620" s="245"/>
      <c r="C620" s="246"/>
      <c r="D620" s="247"/>
      <c r="E620" s="247"/>
      <c r="F620" s="247"/>
      <c r="G620" s="247"/>
      <c r="H620" s="247"/>
      <c r="I620" s="247"/>
      <c r="J620" s="246"/>
      <c r="K620" s="248"/>
      <c r="L620" s="246"/>
      <c r="M620" s="154"/>
      <c r="N620" s="55"/>
      <c r="O620" s="247"/>
      <c r="P620" s="247"/>
      <c r="Q620" s="247"/>
      <c r="R620" s="247"/>
      <c r="S620" s="247"/>
      <c r="T620" s="247"/>
      <c r="U620" s="247"/>
      <c r="V620" s="247"/>
      <c r="W620" s="247"/>
      <c r="X620" s="247"/>
      <c r="Y620" s="247"/>
      <c r="Z620" s="247"/>
      <c r="AA620" s="247"/>
    </row>
    <row r="621">
      <c r="A621" s="247"/>
      <c r="B621" s="245"/>
      <c r="C621" s="246"/>
      <c r="D621" s="247"/>
      <c r="E621" s="247"/>
      <c r="F621" s="247"/>
      <c r="G621" s="247"/>
      <c r="H621" s="247"/>
      <c r="I621" s="247"/>
      <c r="J621" s="246"/>
      <c r="K621" s="248"/>
      <c r="L621" s="246"/>
      <c r="M621" s="154"/>
      <c r="N621" s="55"/>
      <c r="O621" s="247"/>
      <c r="P621" s="247"/>
      <c r="Q621" s="247"/>
      <c r="R621" s="247"/>
      <c r="S621" s="247"/>
      <c r="T621" s="247"/>
      <c r="U621" s="247"/>
      <c r="V621" s="247"/>
      <c r="W621" s="247"/>
      <c r="X621" s="247"/>
      <c r="Y621" s="247"/>
      <c r="Z621" s="247"/>
      <c r="AA621" s="247"/>
    </row>
    <row r="622">
      <c r="A622" s="247"/>
      <c r="B622" s="245"/>
      <c r="C622" s="246"/>
      <c r="D622" s="247"/>
      <c r="E622" s="247"/>
      <c r="F622" s="247"/>
      <c r="G622" s="247"/>
      <c r="H622" s="247"/>
      <c r="I622" s="247"/>
      <c r="J622" s="246"/>
      <c r="K622" s="248"/>
      <c r="L622" s="246"/>
      <c r="M622" s="154"/>
      <c r="N622" s="55"/>
      <c r="O622" s="247"/>
      <c r="P622" s="247"/>
      <c r="Q622" s="247"/>
      <c r="R622" s="247"/>
      <c r="S622" s="247"/>
      <c r="T622" s="247"/>
      <c r="U622" s="247"/>
      <c r="V622" s="247"/>
      <c r="W622" s="247"/>
      <c r="X622" s="247"/>
      <c r="Y622" s="247"/>
      <c r="Z622" s="247"/>
      <c r="AA622" s="247"/>
    </row>
    <row r="623">
      <c r="A623" s="247"/>
      <c r="B623" s="245"/>
      <c r="C623" s="246"/>
      <c r="D623" s="247"/>
      <c r="E623" s="247"/>
      <c r="F623" s="247"/>
      <c r="G623" s="247"/>
      <c r="H623" s="247"/>
      <c r="I623" s="247"/>
      <c r="J623" s="246"/>
      <c r="K623" s="248"/>
      <c r="L623" s="246"/>
      <c r="M623" s="154"/>
      <c r="N623" s="55"/>
      <c r="O623" s="247"/>
      <c r="P623" s="247"/>
      <c r="Q623" s="247"/>
      <c r="R623" s="247"/>
      <c r="S623" s="247"/>
      <c r="T623" s="247"/>
      <c r="U623" s="247"/>
      <c r="V623" s="247"/>
      <c r="W623" s="247"/>
      <c r="X623" s="247"/>
      <c r="Y623" s="247"/>
      <c r="Z623" s="247"/>
      <c r="AA623" s="247"/>
    </row>
    <row r="624">
      <c r="A624" s="247"/>
      <c r="B624" s="245"/>
      <c r="C624" s="246"/>
      <c r="D624" s="247"/>
      <c r="E624" s="247"/>
      <c r="F624" s="247"/>
      <c r="G624" s="247"/>
      <c r="H624" s="247"/>
      <c r="I624" s="247"/>
      <c r="J624" s="246"/>
      <c r="K624" s="248"/>
      <c r="L624" s="246"/>
      <c r="M624" s="154"/>
      <c r="N624" s="55"/>
      <c r="O624" s="247"/>
      <c r="P624" s="247"/>
      <c r="Q624" s="247"/>
      <c r="R624" s="247"/>
      <c r="S624" s="247"/>
      <c r="T624" s="247"/>
      <c r="U624" s="247"/>
      <c r="V624" s="247"/>
      <c r="W624" s="247"/>
      <c r="X624" s="247"/>
      <c r="Y624" s="247"/>
      <c r="Z624" s="247"/>
      <c r="AA624" s="247"/>
    </row>
    <row r="625">
      <c r="A625" s="247"/>
      <c r="B625" s="245"/>
      <c r="C625" s="246"/>
      <c r="D625" s="247"/>
      <c r="E625" s="247"/>
      <c r="F625" s="247"/>
      <c r="G625" s="247"/>
      <c r="H625" s="247"/>
      <c r="I625" s="247"/>
      <c r="J625" s="246"/>
      <c r="K625" s="248"/>
      <c r="L625" s="246"/>
      <c r="M625" s="154"/>
      <c r="N625" s="55"/>
      <c r="O625" s="247"/>
      <c r="P625" s="247"/>
      <c r="Q625" s="247"/>
      <c r="R625" s="247"/>
      <c r="S625" s="247"/>
      <c r="T625" s="247"/>
      <c r="U625" s="247"/>
      <c r="V625" s="247"/>
      <c r="W625" s="247"/>
      <c r="X625" s="247"/>
      <c r="Y625" s="247"/>
      <c r="Z625" s="247"/>
      <c r="AA625" s="247"/>
    </row>
    <row r="626">
      <c r="A626" s="247"/>
      <c r="B626" s="245"/>
      <c r="C626" s="246"/>
      <c r="D626" s="247"/>
      <c r="E626" s="247"/>
      <c r="F626" s="247"/>
      <c r="G626" s="247"/>
      <c r="H626" s="247"/>
      <c r="I626" s="247"/>
      <c r="J626" s="246"/>
      <c r="K626" s="248"/>
      <c r="L626" s="246"/>
      <c r="M626" s="154"/>
      <c r="N626" s="55"/>
      <c r="O626" s="247"/>
      <c r="P626" s="247"/>
      <c r="Q626" s="247"/>
      <c r="R626" s="247"/>
      <c r="S626" s="247"/>
      <c r="T626" s="247"/>
      <c r="U626" s="247"/>
      <c r="V626" s="247"/>
      <c r="W626" s="247"/>
      <c r="X626" s="247"/>
      <c r="Y626" s="247"/>
      <c r="Z626" s="247"/>
      <c r="AA626" s="247"/>
    </row>
    <row r="627">
      <c r="A627" s="247"/>
      <c r="B627" s="245"/>
      <c r="C627" s="246"/>
      <c r="D627" s="247"/>
      <c r="E627" s="247"/>
      <c r="F627" s="247"/>
      <c r="G627" s="247"/>
      <c r="H627" s="247"/>
      <c r="I627" s="247"/>
      <c r="J627" s="246"/>
      <c r="K627" s="248"/>
      <c r="L627" s="246"/>
      <c r="M627" s="154"/>
      <c r="N627" s="55"/>
      <c r="O627" s="247"/>
      <c r="P627" s="247"/>
      <c r="Q627" s="247"/>
      <c r="R627" s="247"/>
      <c r="S627" s="247"/>
      <c r="T627" s="247"/>
      <c r="U627" s="247"/>
      <c r="V627" s="247"/>
      <c r="W627" s="247"/>
      <c r="X627" s="247"/>
      <c r="Y627" s="247"/>
      <c r="Z627" s="247"/>
      <c r="AA627" s="247"/>
    </row>
    <row r="628">
      <c r="A628" s="247"/>
      <c r="B628" s="245"/>
      <c r="C628" s="246"/>
      <c r="D628" s="247"/>
      <c r="E628" s="247"/>
      <c r="F628" s="247"/>
      <c r="G628" s="247"/>
      <c r="H628" s="247"/>
      <c r="I628" s="247"/>
      <c r="J628" s="246"/>
      <c r="K628" s="248"/>
      <c r="L628" s="246"/>
      <c r="M628" s="154"/>
      <c r="N628" s="55"/>
      <c r="O628" s="247"/>
      <c r="P628" s="247"/>
      <c r="Q628" s="247"/>
      <c r="R628" s="247"/>
      <c r="S628" s="247"/>
      <c r="T628" s="247"/>
      <c r="U628" s="247"/>
      <c r="V628" s="247"/>
      <c r="W628" s="247"/>
      <c r="X628" s="247"/>
      <c r="Y628" s="247"/>
      <c r="Z628" s="247"/>
      <c r="AA628" s="247"/>
    </row>
    <row r="629">
      <c r="A629" s="247"/>
      <c r="B629" s="245"/>
      <c r="C629" s="246"/>
      <c r="D629" s="247"/>
      <c r="E629" s="247"/>
      <c r="F629" s="247"/>
      <c r="G629" s="247"/>
      <c r="H629" s="247"/>
      <c r="I629" s="247"/>
      <c r="J629" s="246"/>
      <c r="K629" s="248"/>
      <c r="L629" s="246"/>
      <c r="M629" s="154"/>
      <c r="N629" s="55"/>
      <c r="O629" s="247"/>
      <c r="P629" s="247"/>
      <c r="Q629" s="247"/>
      <c r="R629" s="247"/>
      <c r="S629" s="247"/>
      <c r="T629" s="247"/>
      <c r="U629" s="247"/>
      <c r="V629" s="247"/>
      <c r="W629" s="247"/>
      <c r="X629" s="247"/>
      <c r="Y629" s="247"/>
      <c r="Z629" s="247"/>
      <c r="AA629" s="247"/>
    </row>
    <row r="630">
      <c r="A630" s="247"/>
      <c r="B630" s="245"/>
      <c r="C630" s="246"/>
      <c r="D630" s="247"/>
      <c r="E630" s="247"/>
      <c r="F630" s="247"/>
      <c r="G630" s="247"/>
      <c r="H630" s="247"/>
      <c r="I630" s="247"/>
      <c r="J630" s="246"/>
      <c r="K630" s="248"/>
      <c r="L630" s="246"/>
      <c r="M630" s="154"/>
      <c r="N630" s="55"/>
      <c r="O630" s="247"/>
      <c r="P630" s="247"/>
      <c r="Q630" s="247"/>
      <c r="R630" s="247"/>
      <c r="S630" s="247"/>
      <c r="T630" s="247"/>
      <c r="U630" s="247"/>
      <c r="V630" s="247"/>
      <c r="W630" s="247"/>
      <c r="X630" s="247"/>
      <c r="Y630" s="247"/>
      <c r="Z630" s="247"/>
      <c r="AA630" s="247"/>
    </row>
    <row r="631">
      <c r="A631" s="247"/>
      <c r="B631" s="245"/>
      <c r="C631" s="246"/>
      <c r="D631" s="247"/>
      <c r="E631" s="247"/>
      <c r="F631" s="247"/>
      <c r="G631" s="247"/>
      <c r="H631" s="247"/>
      <c r="I631" s="247"/>
      <c r="J631" s="246"/>
      <c r="K631" s="248"/>
      <c r="L631" s="246"/>
      <c r="M631" s="154"/>
      <c r="N631" s="55"/>
      <c r="O631" s="247"/>
      <c r="P631" s="247"/>
      <c r="Q631" s="247"/>
      <c r="R631" s="247"/>
      <c r="S631" s="247"/>
      <c r="T631" s="247"/>
      <c r="U631" s="247"/>
      <c r="V631" s="247"/>
      <c r="W631" s="247"/>
      <c r="X631" s="247"/>
      <c r="Y631" s="247"/>
      <c r="Z631" s="247"/>
      <c r="AA631" s="247"/>
    </row>
    <row r="632">
      <c r="A632" s="247"/>
      <c r="B632" s="245"/>
      <c r="C632" s="246"/>
      <c r="D632" s="247"/>
      <c r="E632" s="247"/>
      <c r="F632" s="247"/>
      <c r="G632" s="247"/>
      <c r="H632" s="247"/>
      <c r="I632" s="247"/>
      <c r="J632" s="246"/>
      <c r="K632" s="248"/>
      <c r="L632" s="246"/>
      <c r="M632" s="154"/>
      <c r="N632" s="55"/>
      <c r="O632" s="247"/>
      <c r="P632" s="247"/>
      <c r="Q632" s="247"/>
      <c r="R632" s="247"/>
      <c r="S632" s="247"/>
      <c r="T632" s="247"/>
      <c r="U632" s="247"/>
      <c r="V632" s="247"/>
      <c r="W632" s="247"/>
      <c r="X632" s="247"/>
      <c r="Y632" s="247"/>
      <c r="Z632" s="247"/>
      <c r="AA632" s="247"/>
    </row>
    <row r="633">
      <c r="A633" s="247"/>
      <c r="B633" s="245"/>
      <c r="C633" s="246"/>
      <c r="D633" s="247"/>
      <c r="E633" s="247"/>
      <c r="F633" s="247"/>
      <c r="G633" s="247"/>
      <c r="H633" s="247"/>
      <c r="I633" s="247"/>
      <c r="J633" s="246"/>
      <c r="K633" s="248"/>
      <c r="L633" s="246"/>
      <c r="M633" s="154"/>
      <c r="N633" s="55"/>
      <c r="O633" s="247"/>
      <c r="P633" s="247"/>
      <c r="Q633" s="247"/>
      <c r="R633" s="247"/>
      <c r="S633" s="247"/>
      <c r="T633" s="247"/>
      <c r="U633" s="247"/>
      <c r="V633" s="247"/>
      <c r="W633" s="247"/>
      <c r="X633" s="247"/>
      <c r="Y633" s="247"/>
      <c r="Z633" s="247"/>
      <c r="AA633" s="247"/>
    </row>
    <row r="634">
      <c r="A634" s="247"/>
      <c r="B634" s="245"/>
      <c r="C634" s="246"/>
      <c r="D634" s="247"/>
      <c r="E634" s="247"/>
      <c r="F634" s="247"/>
      <c r="G634" s="247"/>
      <c r="H634" s="247"/>
      <c r="I634" s="247"/>
      <c r="J634" s="246"/>
      <c r="K634" s="248"/>
      <c r="L634" s="246"/>
      <c r="M634" s="154"/>
      <c r="N634" s="55"/>
      <c r="O634" s="247"/>
      <c r="P634" s="247"/>
      <c r="Q634" s="247"/>
      <c r="R634" s="247"/>
      <c r="S634" s="247"/>
      <c r="T634" s="247"/>
      <c r="U634" s="247"/>
      <c r="V634" s="247"/>
      <c r="W634" s="247"/>
      <c r="X634" s="247"/>
      <c r="Y634" s="247"/>
      <c r="Z634" s="247"/>
      <c r="AA634" s="247"/>
    </row>
    <row r="635">
      <c r="A635" s="247"/>
      <c r="B635" s="245"/>
      <c r="C635" s="246"/>
      <c r="D635" s="247"/>
      <c r="E635" s="247"/>
      <c r="F635" s="247"/>
      <c r="G635" s="247"/>
      <c r="H635" s="247"/>
      <c r="I635" s="247"/>
      <c r="J635" s="246"/>
      <c r="K635" s="248"/>
      <c r="L635" s="246"/>
      <c r="M635" s="154"/>
      <c r="N635" s="55"/>
      <c r="O635" s="247"/>
      <c r="P635" s="247"/>
      <c r="Q635" s="247"/>
      <c r="R635" s="247"/>
      <c r="S635" s="247"/>
      <c r="T635" s="247"/>
      <c r="U635" s="247"/>
      <c r="V635" s="247"/>
      <c r="W635" s="247"/>
      <c r="X635" s="247"/>
      <c r="Y635" s="247"/>
      <c r="Z635" s="247"/>
      <c r="AA635" s="247"/>
    </row>
    <row r="636">
      <c r="A636" s="247"/>
      <c r="B636" s="245"/>
      <c r="C636" s="246"/>
      <c r="D636" s="247"/>
      <c r="E636" s="247"/>
      <c r="F636" s="247"/>
      <c r="G636" s="247"/>
      <c r="H636" s="247"/>
      <c r="I636" s="247"/>
      <c r="J636" s="246"/>
      <c r="K636" s="248"/>
      <c r="L636" s="246"/>
      <c r="M636" s="154"/>
      <c r="N636" s="55"/>
      <c r="O636" s="247"/>
      <c r="P636" s="247"/>
      <c r="Q636" s="247"/>
      <c r="R636" s="247"/>
      <c r="S636" s="247"/>
      <c r="T636" s="247"/>
      <c r="U636" s="247"/>
      <c r="V636" s="247"/>
      <c r="W636" s="247"/>
      <c r="X636" s="247"/>
      <c r="Y636" s="247"/>
      <c r="Z636" s="247"/>
      <c r="AA636" s="247"/>
    </row>
    <row r="637">
      <c r="A637" s="247"/>
      <c r="B637" s="245"/>
      <c r="C637" s="246"/>
      <c r="D637" s="247"/>
      <c r="E637" s="247"/>
      <c r="F637" s="247"/>
      <c r="G637" s="247"/>
      <c r="H637" s="247"/>
      <c r="I637" s="247"/>
      <c r="J637" s="246"/>
      <c r="K637" s="248"/>
      <c r="L637" s="246"/>
      <c r="M637" s="154"/>
      <c r="N637" s="55"/>
      <c r="O637" s="247"/>
      <c r="P637" s="247"/>
      <c r="Q637" s="247"/>
      <c r="R637" s="247"/>
      <c r="S637" s="247"/>
      <c r="T637" s="247"/>
      <c r="U637" s="247"/>
      <c r="V637" s="247"/>
      <c r="W637" s="247"/>
      <c r="X637" s="247"/>
      <c r="Y637" s="247"/>
      <c r="Z637" s="247"/>
      <c r="AA637" s="247"/>
    </row>
    <row r="638">
      <c r="A638" s="247"/>
      <c r="B638" s="245"/>
      <c r="C638" s="246"/>
      <c r="D638" s="247"/>
      <c r="E638" s="247"/>
      <c r="F638" s="247"/>
      <c r="G638" s="247"/>
      <c r="H638" s="247"/>
      <c r="I638" s="247"/>
      <c r="J638" s="246"/>
      <c r="K638" s="248"/>
      <c r="L638" s="246"/>
      <c r="M638" s="154"/>
      <c r="N638" s="55"/>
      <c r="O638" s="247"/>
      <c r="P638" s="247"/>
      <c r="Q638" s="247"/>
      <c r="R638" s="247"/>
      <c r="S638" s="247"/>
      <c r="T638" s="247"/>
      <c r="U638" s="247"/>
      <c r="V638" s="247"/>
      <c r="W638" s="247"/>
      <c r="X638" s="247"/>
      <c r="Y638" s="247"/>
      <c r="Z638" s="247"/>
      <c r="AA638" s="247"/>
    </row>
    <row r="639">
      <c r="A639" s="247"/>
      <c r="B639" s="245"/>
      <c r="C639" s="246"/>
      <c r="D639" s="247"/>
      <c r="E639" s="247"/>
      <c r="F639" s="247"/>
      <c r="G639" s="247"/>
      <c r="H639" s="247"/>
      <c r="I639" s="247"/>
      <c r="J639" s="246"/>
      <c r="K639" s="248"/>
      <c r="L639" s="246"/>
      <c r="M639" s="154"/>
      <c r="N639" s="55"/>
      <c r="O639" s="247"/>
      <c r="P639" s="247"/>
      <c r="Q639" s="247"/>
      <c r="R639" s="247"/>
      <c r="S639" s="247"/>
      <c r="T639" s="247"/>
      <c r="U639" s="247"/>
      <c r="V639" s="247"/>
      <c r="W639" s="247"/>
      <c r="X639" s="247"/>
      <c r="Y639" s="247"/>
      <c r="Z639" s="247"/>
      <c r="AA639" s="247"/>
    </row>
    <row r="640">
      <c r="A640" s="247"/>
      <c r="B640" s="245"/>
      <c r="C640" s="246"/>
      <c r="D640" s="247"/>
      <c r="E640" s="247"/>
      <c r="F640" s="247"/>
      <c r="G640" s="247"/>
      <c r="H640" s="247"/>
      <c r="I640" s="247"/>
      <c r="J640" s="246"/>
      <c r="K640" s="248"/>
      <c r="L640" s="246"/>
      <c r="M640" s="154"/>
      <c r="N640" s="55"/>
      <c r="O640" s="247"/>
      <c r="P640" s="247"/>
      <c r="Q640" s="247"/>
      <c r="R640" s="247"/>
      <c r="S640" s="247"/>
      <c r="T640" s="247"/>
      <c r="U640" s="247"/>
      <c r="V640" s="247"/>
      <c r="W640" s="247"/>
      <c r="X640" s="247"/>
      <c r="Y640" s="247"/>
      <c r="Z640" s="247"/>
      <c r="AA640" s="247"/>
    </row>
    <row r="641">
      <c r="A641" s="247"/>
      <c r="B641" s="245"/>
      <c r="C641" s="246"/>
      <c r="D641" s="247"/>
      <c r="E641" s="247"/>
      <c r="F641" s="247"/>
      <c r="G641" s="247"/>
      <c r="H641" s="247"/>
      <c r="I641" s="247"/>
      <c r="J641" s="246"/>
      <c r="K641" s="248"/>
      <c r="L641" s="246"/>
      <c r="M641" s="154"/>
      <c r="N641" s="55"/>
      <c r="O641" s="247"/>
      <c r="P641" s="247"/>
      <c r="Q641" s="247"/>
      <c r="R641" s="247"/>
      <c r="S641" s="247"/>
      <c r="T641" s="247"/>
      <c r="U641" s="247"/>
      <c r="V641" s="247"/>
      <c r="W641" s="247"/>
      <c r="X641" s="247"/>
      <c r="Y641" s="247"/>
      <c r="Z641" s="247"/>
      <c r="AA641" s="247"/>
    </row>
    <row r="642">
      <c r="A642" s="247"/>
      <c r="B642" s="245"/>
      <c r="C642" s="246"/>
      <c r="D642" s="247"/>
      <c r="E642" s="247"/>
      <c r="F642" s="247"/>
      <c r="G642" s="247"/>
      <c r="H642" s="247"/>
      <c r="I642" s="247"/>
      <c r="J642" s="246"/>
      <c r="K642" s="248"/>
      <c r="L642" s="246"/>
      <c r="M642" s="154"/>
      <c r="N642" s="55"/>
      <c r="O642" s="247"/>
      <c r="P642" s="247"/>
      <c r="Q642" s="247"/>
      <c r="R642" s="247"/>
      <c r="S642" s="247"/>
      <c r="T642" s="247"/>
      <c r="U642" s="247"/>
      <c r="V642" s="247"/>
      <c r="W642" s="247"/>
      <c r="X642" s="247"/>
      <c r="Y642" s="247"/>
      <c r="Z642" s="247"/>
      <c r="AA642" s="247"/>
    </row>
    <row r="643">
      <c r="A643" s="247"/>
      <c r="B643" s="245"/>
      <c r="C643" s="246"/>
      <c r="D643" s="247"/>
      <c r="E643" s="247"/>
      <c r="F643" s="247"/>
      <c r="G643" s="247"/>
      <c r="H643" s="247"/>
      <c r="I643" s="247"/>
      <c r="J643" s="246"/>
      <c r="K643" s="248"/>
      <c r="L643" s="246"/>
      <c r="M643" s="154"/>
      <c r="N643" s="55"/>
      <c r="O643" s="247"/>
      <c r="P643" s="247"/>
      <c r="Q643" s="247"/>
      <c r="R643" s="247"/>
      <c r="S643" s="247"/>
      <c r="T643" s="247"/>
      <c r="U643" s="247"/>
      <c r="V643" s="247"/>
      <c r="W643" s="247"/>
      <c r="X643" s="247"/>
      <c r="Y643" s="247"/>
      <c r="Z643" s="247"/>
      <c r="AA643" s="247"/>
    </row>
    <row r="644">
      <c r="A644" s="247"/>
      <c r="B644" s="245"/>
      <c r="C644" s="246"/>
      <c r="D644" s="247"/>
      <c r="E644" s="247"/>
      <c r="F644" s="247"/>
      <c r="G644" s="247"/>
      <c r="H644" s="247"/>
      <c r="I644" s="247"/>
      <c r="J644" s="246"/>
      <c r="K644" s="248"/>
      <c r="L644" s="246"/>
      <c r="M644" s="154"/>
      <c r="N644" s="55"/>
      <c r="O644" s="247"/>
      <c r="P644" s="247"/>
      <c r="Q644" s="247"/>
      <c r="R644" s="247"/>
      <c r="S644" s="247"/>
      <c r="T644" s="247"/>
      <c r="U644" s="247"/>
      <c r="V644" s="247"/>
      <c r="W644" s="247"/>
      <c r="X644" s="247"/>
      <c r="Y644" s="247"/>
      <c r="Z644" s="247"/>
      <c r="AA644" s="247"/>
    </row>
    <row r="645">
      <c r="A645" s="247"/>
      <c r="B645" s="245"/>
      <c r="C645" s="246"/>
      <c r="D645" s="247"/>
      <c r="E645" s="247"/>
      <c r="F645" s="247"/>
      <c r="G645" s="247"/>
      <c r="H645" s="247"/>
      <c r="I645" s="247"/>
      <c r="J645" s="246"/>
      <c r="K645" s="248"/>
      <c r="L645" s="246"/>
      <c r="M645" s="154"/>
      <c r="N645" s="55"/>
      <c r="O645" s="247"/>
      <c r="P645" s="247"/>
      <c r="Q645" s="247"/>
      <c r="R645" s="247"/>
      <c r="S645" s="247"/>
      <c r="T645" s="247"/>
      <c r="U645" s="247"/>
      <c r="V645" s="247"/>
      <c r="W645" s="247"/>
      <c r="X645" s="247"/>
      <c r="Y645" s="247"/>
      <c r="Z645" s="247"/>
      <c r="AA645" s="247"/>
    </row>
    <row r="646">
      <c r="A646" s="247"/>
      <c r="B646" s="245"/>
      <c r="C646" s="246"/>
      <c r="D646" s="247"/>
      <c r="E646" s="247"/>
      <c r="F646" s="247"/>
      <c r="G646" s="247"/>
      <c r="H646" s="247"/>
      <c r="I646" s="247"/>
      <c r="J646" s="246"/>
      <c r="K646" s="248"/>
      <c r="L646" s="246"/>
      <c r="M646" s="154"/>
      <c r="N646" s="55"/>
      <c r="O646" s="247"/>
      <c r="P646" s="247"/>
      <c r="Q646" s="247"/>
      <c r="R646" s="247"/>
      <c r="S646" s="247"/>
      <c r="T646" s="247"/>
      <c r="U646" s="247"/>
      <c r="V646" s="247"/>
      <c r="W646" s="247"/>
      <c r="X646" s="247"/>
      <c r="Y646" s="247"/>
      <c r="Z646" s="247"/>
      <c r="AA646" s="247"/>
    </row>
    <row r="647">
      <c r="A647" s="247"/>
      <c r="B647" s="245"/>
      <c r="C647" s="246"/>
      <c r="D647" s="247"/>
      <c r="E647" s="247"/>
      <c r="F647" s="247"/>
      <c r="G647" s="247"/>
      <c r="H647" s="247"/>
      <c r="I647" s="247"/>
      <c r="J647" s="246"/>
      <c r="K647" s="248"/>
      <c r="L647" s="246"/>
      <c r="M647" s="154"/>
      <c r="N647" s="55"/>
      <c r="O647" s="247"/>
      <c r="P647" s="247"/>
      <c r="Q647" s="247"/>
      <c r="R647" s="247"/>
      <c r="S647" s="247"/>
      <c r="T647" s="247"/>
      <c r="U647" s="247"/>
      <c r="V647" s="247"/>
      <c r="W647" s="247"/>
      <c r="X647" s="247"/>
      <c r="Y647" s="247"/>
      <c r="Z647" s="247"/>
      <c r="AA647" s="247"/>
    </row>
    <row r="648">
      <c r="A648" s="247"/>
      <c r="B648" s="245"/>
      <c r="C648" s="246"/>
      <c r="D648" s="247"/>
      <c r="E648" s="247"/>
      <c r="F648" s="247"/>
      <c r="G648" s="247"/>
      <c r="H648" s="247"/>
      <c r="I648" s="247"/>
      <c r="J648" s="246"/>
      <c r="K648" s="248"/>
      <c r="L648" s="246"/>
      <c r="M648" s="154"/>
      <c r="N648" s="55"/>
      <c r="O648" s="247"/>
      <c r="P648" s="247"/>
      <c r="Q648" s="247"/>
      <c r="R648" s="247"/>
      <c r="S648" s="247"/>
      <c r="T648" s="247"/>
      <c r="U648" s="247"/>
      <c r="V648" s="247"/>
      <c r="W648" s="247"/>
      <c r="X648" s="247"/>
      <c r="Y648" s="247"/>
      <c r="Z648" s="247"/>
      <c r="AA648" s="247"/>
    </row>
    <row r="649">
      <c r="A649" s="247"/>
      <c r="B649" s="245"/>
      <c r="C649" s="246"/>
      <c r="D649" s="247"/>
      <c r="E649" s="247"/>
      <c r="F649" s="247"/>
      <c r="G649" s="247"/>
      <c r="H649" s="247"/>
      <c r="I649" s="247"/>
      <c r="J649" s="246"/>
      <c r="K649" s="248"/>
      <c r="L649" s="246"/>
      <c r="M649" s="154"/>
      <c r="N649" s="55"/>
      <c r="O649" s="247"/>
      <c r="P649" s="247"/>
      <c r="Q649" s="247"/>
      <c r="R649" s="247"/>
      <c r="S649" s="247"/>
      <c r="T649" s="247"/>
      <c r="U649" s="247"/>
      <c r="V649" s="247"/>
      <c r="W649" s="247"/>
      <c r="X649" s="247"/>
      <c r="Y649" s="247"/>
      <c r="Z649" s="247"/>
      <c r="AA649" s="247"/>
    </row>
    <row r="650">
      <c r="A650" s="247"/>
      <c r="B650" s="245"/>
      <c r="C650" s="246"/>
      <c r="D650" s="247"/>
      <c r="E650" s="247"/>
      <c r="F650" s="247"/>
      <c r="G650" s="247"/>
      <c r="H650" s="247"/>
      <c r="I650" s="247"/>
      <c r="J650" s="246"/>
      <c r="K650" s="248"/>
      <c r="L650" s="246"/>
      <c r="M650" s="154"/>
      <c r="N650" s="55"/>
      <c r="O650" s="247"/>
      <c r="P650" s="247"/>
      <c r="Q650" s="247"/>
      <c r="R650" s="247"/>
      <c r="S650" s="247"/>
      <c r="T650" s="247"/>
      <c r="U650" s="247"/>
      <c r="V650" s="247"/>
      <c r="W650" s="247"/>
      <c r="X650" s="247"/>
      <c r="Y650" s="247"/>
      <c r="Z650" s="247"/>
      <c r="AA650" s="247"/>
    </row>
    <row r="651">
      <c r="A651" s="247"/>
      <c r="B651" s="245"/>
      <c r="C651" s="246"/>
      <c r="D651" s="247"/>
      <c r="E651" s="247"/>
      <c r="F651" s="247"/>
      <c r="G651" s="247"/>
      <c r="H651" s="247"/>
      <c r="I651" s="247"/>
      <c r="J651" s="246"/>
      <c r="K651" s="248"/>
      <c r="L651" s="246"/>
      <c r="M651" s="154"/>
      <c r="N651" s="55"/>
      <c r="O651" s="247"/>
      <c r="P651" s="247"/>
      <c r="Q651" s="247"/>
      <c r="R651" s="247"/>
      <c r="S651" s="247"/>
      <c r="T651" s="247"/>
      <c r="U651" s="247"/>
      <c r="V651" s="247"/>
      <c r="W651" s="247"/>
      <c r="X651" s="247"/>
      <c r="Y651" s="247"/>
      <c r="Z651" s="247"/>
      <c r="AA651" s="247"/>
    </row>
    <row r="652">
      <c r="A652" s="247"/>
      <c r="B652" s="245"/>
      <c r="C652" s="246"/>
      <c r="D652" s="247"/>
      <c r="E652" s="247"/>
      <c r="F652" s="247"/>
      <c r="G652" s="247"/>
      <c r="H652" s="247"/>
      <c r="I652" s="247"/>
      <c r="J652" s="246"/>
      <c r="K652" s="248"/>
      <c r="L652" s="246"/>
      <c r="M652" s="154"/>
      <c r="N652" s="55"/>
      <c r="O652" s="247"/>
      <c r="P652" s="247"/>
      <c r="Q652" s="247"/>
      <c r="R652" s="247"/>
      <c r="S652" s="247"/>
      <c r="T652" s="247"/>
      <c r="U652" s="247"/>
      <c r="V652" s="247"/>
      <c r="W652" s="247"/>
      <c r="X652" s="247"/>
      <c r="Y652" s="247"/>
      <c r="Z652" s="247"/>
      <c r="AA652" s="247"/>
    </row>
    <row r="653">
      <c r="A653" s="247"/>
      <c r="B653" s="245"/>
      <c r="C653" s="246"/>
      <c r="D653" s="247"/>
      <c r="E653" s="247"/>
      <c r="F653" s="247"/>
      <c r="G653" s="247"/>
      <c r="H653" s="247"/>
      <c r="I653" s="247"/>
      <c r="J653" s="246"/>
      <c r="K653" s="248"/>
      <c r="L653" s="246"/>
      <c r="M653" s="154"/>
      <c r="N653" s="55"/>
      <c r="O653" s="247"/>
      <c r="P653" s="247"/>
      <c r="Q653" s="247"/>
      <c r="R653" s="247"/>
      <c r="S653" s="247"/>
      <c r="T653" s="247"/>
      <c r="U653" s="247"/>
      <c r="V653" s="247"/>
      <c r="W653" s="247"/>
      <c r="X653" s="247"/>
      <c r="Y653" s="247"/>
      <c r="Z653" s="247"/>
      <c r="AA653" s="247"/>
    </row>
    <row r="654">
      <c r="A654" s="247"/>
      <c r="B654" s="245"/>
      <c r="C654" s="246"/>
      <c r="D654" s="247"/>
      <c r="E654" s="247"/>
      <c r="F654" s="247"/>
      <c r="G654" s="247"/>
      <c r="H654" s="247"/>
      <c r="I654" s="247"/>
      <c r="J654" s="246"/>
      <c r="K654" s="248"/>
      <c r="L654" s="246"/>
      <c r="M654" s="154"/>
      <c r="N654" s="55"/>
      <c r="O654" s="247"/>
      <c r="P654" s="247"/>
      <c r="Q654" s="247"/>
      <c r="R654" s="247"/>
      <c r="S654" s="247"/>
      <c r="T654" s="247"/>
      <c r="U654" s="247"/>
      <c r="V654" s="247"/>
      <c r="W654" s="247"/>
      <c r="X654" s="247"/>
      <c r="Y654" s="247"/>
      <c r="Z654" s="247"/>
      <c r="AA654" s="247"/>
    </row>
    <row r="655">
      <c r="A655" s="247"/>
      <c r="B655" s="245"/>
      <c r="C655" s="246"/>
      <c r="D655" s="247"/>
      <c r="E655" s="247"/>
      <c r="F655" s="247"/>
      <c r="G655" s="247"/>
      <c r="H655" s="247"/>
      <c r="I655" s="247"/>
      <c r="J655" s="246"/>
      <c r="K655" s="248"/>
      <c r="L655" s="246"/>
      <c r="M655" s="154"/>
      <c r="N655" s="55"/>
      <c r="O655" s="247"/>
      <c r="P655" s="247"/>
      <c r="Q655" s="247"/>
      <c r="R655" s="247"/>
      <c r="S655" s="247"/>
      <c r="T655" s="247"/>
      <c r="U655" s="247"/>
      <c r="V655" s="247"/>
      <c r="W655" s="247"/>
      <c r="X655" s="247"/>
      <c r="Y655" s="247"/>
      <c r="Z655" s="247"/>
      <c r="AA655" s="247"/>
    </row>
    <row r="656">
      <c r="A656" s="247"/>
      <c r="B656" s="245"/>
      <c r="C656" s="246"/>
      <c r="D656" s="247"/>
      <c r="E656" s="247"/>
      <c r="F656" s="247"/>
      <c r="G656" s="247"/>
      <c r="H656" s="247"/>
      <c r="I656" s="247"/>
      <c r="J656" s="246"/>
      <c r="K656" s="248"/>
      <c r="L656" s="246"/>
      <c r="M656" s="154"/>
      <c r="N656" s="55"/>
      <c r="O656" s="247"/>
      <c r="P656" s="247"/>
      <c r="Q656" s="247"/>
      <c r="R656" s="247"/>
      <c r="S656" s="247"/>
      <c r="T656" s="247"/>
      <c r="U656" s="247"/>
      <c r="V656" s="247"/>
      <c r="W656" s="247"/>
      <c r="X656" s="247"/>
      <c r="Y656" s="247"/>
      <c r="Z656" s="247"/>
      <c r="AA656" s="247"/>
    </row>
    <row r="657">
      <c r="A657" s="247"/>
      <c r="B657" s="245"/>
      <c r="C657" s="246"/>
      <c r="D657" s="247"/>
      <c r="E657" s="247"/>
      <c r="F657" s="247"/>
      <c r="G657" s="247"/>
      <c r="H657" s="247"/>
      <c r="I657" s="247"/>
      <c r="J657" s="246"/>
      <c r="K657" s="248"/>
      <c r="L657" s="246"/>
      <c r="M657" s="154"/>
      <c r="N657" s="55"/>
      <c r="O657" s="247"/>
      <c r="P657" s="247"/>
      <c r="Q657" s="247"/>
      <c r="R657" s="247"/>
      <c r="S657" s="247"/>
      <c r="T657" s="247"/>
      <c r="U657" s="247"/>
      <c r="V657" s="247"/>
      <c r="W657" s="247"/>
      <c r="X657" s="247"/>
      <c r="Y657" s="247"/>
      <c r="Z657" s="247"/>
      <c r="AA657" s="247"/>
    </row>
    <row r="658">
      <c r="A658" s="247"/>
      <c r="B658" s="245"/>
      <c r="C658" s="246"/>
      <c r="D658" s="247"/>
      <c r="E658" s="247"/>
      <c r="F658" s="247"/>
      <c r="G658" s="247"/>
      <c r="H658" s="247"/>
      <c r="I658" s="247"/>
      <c r="J658" s="246"/>
      <c r="K658" s="248"/>
      <c r="L658" s="246"/>
      <c r="M658" s="154"/>
      <c r="N658" s="55"/>
      <c r="O658" s="247"/>
      <c r="P658" s="247"/>
      <c r="Q658" s="247"/>
      <c r="R658" s="247"/>
      <c r="S658" s="247"/>
      <c r="T658" s="247"/>
      <c r="U658" s="247"/>
      <c r="V658" s="247"/>
      <c r="W658" s="247"/>
      <c r="X658" s="247"/>
      <c r="Y658" s="247"/>
      <c r="Z658" s="247"/>
      <c r="AA658" s="247"/>
    </row>
    <row r="659">
      <c r="A659" s="247"/>
      <c r="B659" s="245"/>
      <c r="C659" s="246"/>
      <c r="D659" s="247"/>
      <c r="E659" s="247"/>
      <c r="F659" s="247"/>
      <c r="G659" s="247"/>
      <c r="H659" s="247"/>
      <c r="I659" s="247"/>
      <c r="J659" s="246"/>
      <c r="K659" s="248"/>
      <c r="L659" s="246"/>
      <c r="M659" s="154"/>
      <c r="N659" s="55"/>
      <c r="O659" s="247"/>
      <c r="P659" s="247"/>
      <c r="Q659" s="247"/>
      <c r="R659" s="247"/>
      <c r="S659" s="247"/>
      <c r="T659" s="247"/>
      <c r="U659" s="247"/>
      <c r="V659" s="247"/>
      <c r="W659" s="247"/>
      <c r="X659" s="247"/>
      <c r="Y659" s="247"/>
      <c r="Z659" s="247"/>
      <c r="AA659" s="247"/>
    </row>
    <row r="660">
      <c r="A660" s="247"/>
      <c r="B660" s="245"/>
      <c r="C660" s="246"/>
      <c r="D660" s="247"/>
      <c r="E660" s="247"/>
      <c r="F660" s="247"/>
      <c r="G660" s="247"/>
      <c r="H660" s="247"/>
      <c r="I660" s="247"/>
      <c r="J660" s="246"/>
      <c r="K660" s="248"/>
      <c r="L660" s="246"/>
      <c r="M660" s="154"/>
      <c r="N660" s="55"/>
      <c r="O660" s="247"/>
      <c r="P660" s="247"/>
      <c r="Q660" s="247"/>
      <c r="R660" s="247"/>
      <c r="S660" s="247"/>
      <c r="T660" s="247"/>
      <c r="U660" s="247"/>
      <c r="V660" s="247"/>
      <c r="W660" s="247"/>
      <c r="X660" s="247"/>
      <c r="Y660" s="247"/>
      <c r="Z660" s="247"/>
      <c r="AA660" s="247"/>
    </row>
    <row r="661">
      <c r="A661" s="247"/>
      <c r="B661" s="245"/>
      <c r="C661" s="246"/>
      <c r="D661" s="247"/>
      <c r="E661" s="247"/>
      <c r="F661" s="247"/>
      <c r="G661" s="247"/>
      <c r="H661" s="247"/>
      <c r="I661" s="247"/>
      <c r="J661" s="246"/>
      <c r="K661" s="248"/>
      <c r="L661" s="246"/>
      <c r="M661" s="154"/>
      <c r="N661" s="55"/>
      <c r="O661" s="247"/>
      <c r="P661" s="247"/>
      <c r="Q661" s="247"/>
      <c r="R661" s="247"/>
      <c r="S661" s="247"/>
      <c r="T661" s="247"/>
      <c r="U661" s="247"/>
      <c r="V661" s="247"/>
      <c r="W661" s="247"/>
      <c r="X661" s="247"/>
      <c r="Y661" s="247"/>
      <c r="Z661" s="247"/>
      <c r="AA661" s="247"/>
    </row>
    <row r="662">
      <c r="A662" s="247"/>
      <c r="B662" s="245"/>
      <c r="C662" s="246"/>
      <c r="D662" s="247"/>
      <c r="E662" s="247"/>
      <c r="F662" s="247"/>
      <c r="G662" s="247"/>
      <c r="H662" s="247"/>
      <c r="I662" s="247"/>
      <c r="J662" s="246"/>
      <c r="K662" s="248"/>
      <c r="L662" s="246"/>
      <c r="M662" s="154"/>
      <c r="N662" s="55"/>
      <c r="O662" s="247"/>
      <c r="P662" s="247"/>
      <c r="Q662" s="247"/>
      <c r="R662" s="247"/>
      <c r="S662" s="247"/>
      <c r="T662" s="247"/>
      <c r="U662" s="247"/>
      <c r="V662" s="247"/>
      <c r="W662" s="247"/>
      <c r="X662" s="247"/>
      <c r="Y662" s="247"/>
      <c r="Z662" s="247"/>
      <c r="AA662" s="247"/>
    </row>
    <row r="663">
      <c r="A663" s="247"/>
      <c r="B663" s="245"/>
      <c r="C663" s="246"/>
      <c r="D663" s="247"/>
      <c r="E663" s="247"/>
      <c r="F663" s="247"/>
      <c r="G663" s="247"/>
      <c r="H663" s="247"/>
      <c r="I663" s="247"/>
      <c r="J663" s="246"/>
      <c r="K663" s="248"/>
      <c r="L663" s="246"/>
      <c r="M663" s="154"/>
      <c r="N663" s="55"/>
      <c r="O663" s="247"/>
      <c r="P663" s="247"/>
      <c r="Q663" s="247"/>
      <c r="R663" s="247"/>
      <c r="S663" s="247"/>
      <c r="T663" s="247"/>
      <c r="U663" s="247"/>
      <c r="V663" s="247"/>
      <c r="W663" s="247"/>
      <c r="X663" s="247"/>
      <c r="Y663" s="247"/>
      <c r="Z663" s="247"/>
      <c r="AA663" s="247"/>
    </row>
    <row r="664">
      <c r="A664" s="247"/>
      <c r="B664" s="245"/>
      <c r="C664" s="246"/>
      <c r="D664" s="247"/>
      <c r="E664" s="247"/>
      <c r="F664" s="247"/>
      <c r="G664" s="247"/>
      <c r="H664" s="247"/>
      <c r="I664" s="247"/>
      <c r="J664" s="246"/>
      <c r="K664" s="248"/>
      <c r="L664" s="246"/>
      <c r="M664" s="154"/>
      <c r="N664" s="55"/>
      <c r="O664" s="247"/>
      <c r="P664" s="247"/>
      <c r="Q664" s="247"/>
      <c r="R664" s="247"/>
      <c r="S664" s="247"/>
      <c r="T664" s="247"/>
      <c r="U664" s="247"/>
      <c r="V664" s="247"/>
      <c r="W664" s="247"/>
      <c r="X664" s="247"/>
      <c r="Y664" s="247"/>
      <c r="Z664" s="247"/>
      <c r="AA664" s="247"/>
    </row>
    <row r="665">
      <c r="A665" s="247"/>
      <c r="B665" s="245"/>
      <c r="C665" s="246"/>
      <c r="D665" s="247"/>
      <c r="E665" s="247"/>
      <c r="F665" s="247"/>
      <c r="G665" s="247"/>
      <c r="H665" s="247"/>
      <c r="I665" s="247"/>
      <c r="J665" s="246"/>
      <c r="K665" s="248"/>
      <c r="L665" s="246"/>
      <c r="M665" s="154"/>
      <c r="N665" s="55"/>
      <c r="O665" s="247"/>
      <c r="P665" s="247"/>
      <c r="Q665" s="247"/>
      <c r="R665" s="247"/>
      <c r="S665" s="247"/>
      <c r="T665" s="247"/>
      <c r="U665" s="247"/>
      <c r="V665" s="247"/>
      <c r="W665" s="247"/>
      <c r="X665" s="247"/>
      <c r="Y665" s="247"/>
      <c r="Z665" s="247"/>
      <c r="AA665" s="247"/>
    </row>
    <row r="666">
      <c r="A666" s="247"/>
      <c r="B666" s="245"/>
      <c r="C666" s="246"/>
      <c r="D666" s="247"/>
      <c r="E666" s="247"/>
      <c r="F666" s="247"/>
      <c r="G666" s="247"/>
      <c r="H666" s="247"/>
      <c r="I666" s="247"/>
      <c r="J666" s="246"/>
      <c r="K666" s="248"/>
      <c r="L666" s="246"/>
      <c r="M666" s="154"/>
      <c r="N666" s="55"/>
      <c r="O666" s="247"/>
      <c r="P666" s="247"/>
      <c r="Q666" s="247"/>
      <c r="R666" s="247"/>
      <c r="S666" s="247"/>
      <c r="T666" s="247"/>
      <c r="U666" s="247"/>
      <c r="V666" s="247"/>
      <c r="W666" s="247"/>
      <c r="X666" s="247"/>
      <c r="Y666" s="247"/>
      <c r="Z666" s="247"/>
      <c r="AA666" s="247"/>
    </row>
    <row r="667">
      <c r="A667" s="247"/>
      <c r="B667" s="245"/>
      <c r="C667" s="246"/>
      <c r="D667" s="247"/>
      <c r="E667" s="247"/>
      <c r="F667" s="247"/>
      <c r="G667" s="247"/>
      <c r="H667" s="247"/>
      <c r="I667" s="247"/>
      <c r="J667" s="246"/>
      <c r="K667" s="248"/>
      <c r="L667" s="246"/>
      <c r="M667" s="154"/>
      <c r="N667" s="55"/>
      <c r="O667" s="247"/>
      <c r="P667" s="247"/>
      <c r="Q667" s="247"/>
      <c r="R667" s="247"/>
      <c r="S667" s="247"/>
      <c r="T667" s="247"/>
      <c r="U667" s="247"/>
      <c r="V667" s="247"/>
      <c r="W667" s="247"/>
      <c r="X667" s="247"/>
      <c r="Y667" s="247"/>
      <c r="Z667" s="247"/>
      <c r="AA667" s="247"/>
    </row>
    <row r="668">
      <c r="A668" s="247"/>
      <c r="B668" s="245"/>
      <c r="C668" s="246"/>
      <c r="D668" s="247"/>
      <c r="E668" s="247"/>
      <c r="F668" s="247"/>
      <c r="G668" s="247"/>
      <c r="H668" s="247"/>
      <c r="I668" s="247"/>
      <c r="J668" s="246"/>
      <c r="K668" s="248"/>
      <c r="L668" s="246"/>
      <c r="M668" s="154"/>
      <c r="N668" s="55"/>
      <c r="O668" s="247"/>
      <c r="P668" s="247"/>
      <c r="Q668" s="247"/>
      <c r="R668" s="247"/>
      <c r="S668" s="247"/>
      <c r="T668" s="247"/>
      <c r="U668" s="247"/>
      <c r="V668" s="247"/>
      <c r="W668" s="247"/>
      <c r="X668" s="247"/>
      <c r="Y668" s="247"/>
      <c r="Z668" s="247"/>
      <c r="AA668" s="247"/>
    </row>
    <row r="669">
      <c r="A669" s="247"/>
      <c r="B669" s="245"/>
      <c r="C669" s="246"/>
      <c r="D669" s="247"/>
      <c r="E669" s="247"/>
      <c r="F669" s="247"/>
      <c r="G669" s="247"/>
      <c r="H669" s="247"/>
      <c r="I669" s="247"/>
      <c r="J669" s="246"/>
      <c r="K669" s="248"/>
      <c r="L669" s="246"/>
      <c r="M669" s="154"/>
      <c r="N669" s="55"/>
      <c r="O669" s="247"/>
      <c r="P669" s="247"/>
      <c r="Q669" s="247"/>
      <c r="R669" s="247"/>
      <c r="S669" s="247"/>
      <c r="T669" s="247"/>
      <c r="U669" s="247"/>
      <c r="V669" s="247"/>
      <c r="W669" s="247"/>
      <c r="X669" s="247"/>
      <c r="Y669" s="247"/>
      <c r="Z669" s="247"/>
      <c r="AA669" s="247"/>
    </row>
    <row r="670">
      <c r="A670" s="247"/>
      <c r="B670" s="245"/>
      <c r="C670" s="246"/>
      <c r="D670" s="247"/>
      <c r="E670" s="247"/>
      <c r="F670" s="247"/>
      <c r="G670" s="247"/>
      <c r="H670" s="247"/>
      <c r="I670" s="247"/>
      <c r="J670" s="246"/>
      <c r="K670" s="248"/>
      <c r="L670" s="246"/>
      <c r="M670" s="154"/>
      <c r="N670" s="55"/>
      <c r="O670" s="247"/>
      <c r="P670" s="247"/>
      <c r="Q670" s="247"/>
      <c r="R670" s="247"/>
      <c r="S670" s="247"/>
      <c r="T670" s="247"/>
      <c r="U670" s="247"/>
      <c r="V670" s="247"/>
      <c r="W670" s="247"/>
      <c r="X670" s="247"/>
      <c r="Y670" s="247"/>
      <c r="Z670" s="247"/>
      <c r="AA670" s="247"/>
    </row>
    <row r="671">
      <c r="A671" s="247"/>
      <c r="B671" s="245"/>
      <c r="C671" s="246"/>
      <c r="D671" s="247"/>
      <c r="E671" s="247"/>
      <c r="F671" s="247"/>
      <c r="G671" s="247"/>
      <c r="H671" s="247"/>
      <c r="I671" s="247"/>
      <c r="J671" s="246"/>
      <c r="K671" s="248"/>
      <c r="L671" s="246"/>
      <c r="M671" s="154"/>
      <c r="N671" s="55"/>
      <c r="O671" s="247"/>
      <c r="P671" s="247"/>
      <c r="Q671" s="247"/>
      <c r="R671" s="247"/>
      <c r="S671" s="247"/>
      <c r="T671" s="247"/>
      <c r="U671" s="247"/>
      <c r="V671" s="247"/>
      <c r="W671" s="247"/>
      <c r="X671" s="247"/>
      <c r="Y671" s="247"/>
      <c r="Z671" s="247"/>
      <c r="AA671" s="247"/>
    </row>
    <row r="672">
      <c r="A672" s="247"/>
      <c r="B672" s="245"/>
      <c r="C672" s="246"/>
      <c r="D672" s="247"/>
      <c r="E672" s="247"/>
      <c r="F672" s="247"/>
      <c r="G672" s="247"/>
      <c r="H672" s="247"/>
      <c r="I672" s="247"/>
      <c r="J672" s="246"/>
      <c r="K672" s="248"/>
      <c r="L672" s="246"/>
      <c r="M672" s="154"/>
      <c r="N672" s="55"/>
      <c r="O672" s="247"/>
      <c r="P672" s="247"/>
      <c r="Q672" s="247"/>
      <c r="R672" s="247"/>
      <c r="S672" s="247"/>
      <c r="T672" s="247"/>
      <c r="U672" s="247"/>
      <c r="V672" s="247"/>
      <c r="W672" s="247"/>
      <c r="X672" s="247"/>
      <c r="Y672" s="247"/>
      <c r="Z672" s="247"/>
      <c r="AA672" s="247"/>
    </row>
    <row r="673">
      <c r="A673" s="247"/>
      <c r="B673" s="245"/>
      <c r="C673" s="246"/>
      <c r="D673" s="247"/>
      <c r="E673" s="247"/>
      <c r="F673" s="247"/>
      <c r="G673" s="247"/>
      <c r="H673" s="247"/>
      <c r="I673" s="247"/>
      <c r="J673" s="246"/>
      <c r="K673" s="248"/>
      <c r="L673" s="246"/>
      <c r="M673" s="154"/>
      <c r="N673" s="55"/>
      <c r="O673" s="247"/>
      <c r="P673" s="247"/>
      <c r="Q673" s="247"/>
      <c r="R673" s="247"/>
      <c r="S673" s="247"/>
      <c r="T673" s="247"/>
      <c r="U673" s="247"/>
      <c r="V673" s="247"/>
      <c r="W673" s="247"/>
      <c r="X673" s="247"/>
      <c r="Y673" s="247"/>
      <c r="Z673" s="247"/>
      <c r="AA673" s="247"/>
    </row>
    <row r="674">
      <c r="A674" s="247"/>
      <c r="B674" s="245"/>
      <c r="C674" s="246"/>
      <c r="D674" s="247"/>
      <c r="E674" s="247"/>
      <c r="F674" s="247"/>
      <c r="G674" s="247"/>
      <c r="H674" s="247"/>
      <c r="I674" s="247"/>
      <c r="J674" s="246"/>
      <c r="K674" s="248"/>
      <c r="L674" s="246"/>
      <c r="M674" s="154"/>
      <c r="N674" s="55"/>
      <c r="O674" s="247"/>
      <c r="P674" s="247"/>
      <c r="Q674" s="247"/>
      <c r="R674" s="247"/>
      <c r="S674" s="247"/>
      <c r="T674" s="247"/>
      <c r="U674" s="247"/>
      <c r="V674" s="247"/>
      <c r="W674" s="247"/>
      <c r="X674" s="247"/>
      <c r="Y674" s="247"/>
      <c r="Z674" s="247"/>
      <c r="AA674" s="247"/>
    </row>
    <row r="675">
      <c r="A675" s="247"/>
      <c r="B675" s="245"/>
      <c r="C675" s="246"/>
      <c r="D675" s="247"/>
      <c r="E675" s="247"/>
      <c r="F675" s="247"/>
      <c r="G675" s="247"/>
      <c r="H675" s="247"/>
      <c r="I675" s="247"/>
      <c r="J675" s="246"/>
      <c r="K675" s="248"/>
      <c r="L675" s="246"/>
      <c r="M675" s="154"/>
      <c r="N675" s="55"/>
      <c r="O675" s="247"/>
      <c r="P675" s="247"/>
      <c r="Q675" s="247"/>
      <c r="R675" s="247"/>
      <c r="S675" s="247"/>
      <c r="T675" s="247"/>
      <c r="U675" s="247"/>
      <c r="V675" s="247"/>
      <c r="W675" s="247"/>
      <c r="X675" s="247"/>
      <c r="Y675" s="247"/>
      <c r="Z675" s="247"/>
      <c r="AA675" s="247"/>
    </row>
    <row r="676">
      <c r="A676" s="247"/>
      <c r="B676" s="245"/>
      <c r="C676" s="246"/>
      <c r="D676" s="247"/>
      <c r="E676" s="247"/>
      <c r="F676" s="247"/>
      <c r="G676" s="247"/>
      <c r="H676" s="247"/>
      <c r="I676" s="247"/>
      <c r="J676" s="246"/>
      <c r="K676" s="248"/>
      <c r="L676" s="246"/>
      <c r="M676" s="154"/>
      <c r="N676" s="55"/>
      <c r="O676" s="247"/>
      <c r="P676" s="247"/>
      <c r="Q676" s="247"/>
      <c r="R676" s="247"/>
      <c r="S676" s="247"/>
      <c r="T676" s="247"/>
      <c r="U676" s="247"/>
      <c r="V676" s="247"/>
      <c r="W676" s="247"/>
      <c r="X676" s="247"/>
      <c r="Y676" s="247"/>
      <c r="Z676" s="247"/>
      <c r="AA676" s="247"/>
    </row>
    <row r="677">
      <c r="A677" s="247"/>
      <c r="B677" s="245"/>
      <c r="C677" s="246"/>
      <c r="D677" s="247"/>
      <c r="E677" s="247"/>
      <c r="F677" s="247"/>
      <c r="G677" s="247"/>
      <c r="H677" s="247"/>
      <c r="I677" s="247"/>
      <c r="J677" s="246"/>
      <c r="K677" s="248"/>
      <c r="L677" s="246"/>
      <c r="M677" s="154"/>
      <c r="N677" s="55"/>
      <c r="O677" s="247"/>
      <c r="P677" s="247"/>
      <c r="Q677" s="247"/>
      <c r="R677" s="247"/>
      <c r="S677" s="247"/>
      <c r="T677" s="247"/>
      <c r="U677" s="247"/>
      <c r="V677" s="247"/>
      <c r="W677" s="247"/>
      <c r="X677" s="247"/>
      <c r="Y677" s="247"/>
      <c r="Z677" s="247"/>
      <c r="AA677" s="247"/>
    </row>
    <row r="678">
      <c r="A678" s="247"/>
      <c r="B678" s="245"/>
      <c r="C678" s="246"/>
      <c r="D678" s="247"/>
      <c r="E678" s="247"/>
      <c r="F678" s="247"/>
      <c r="G678" s="247"/>
      <c r="H678" s="247"/>
      <c r="I678" s="247"/>
      <c r="J678" s="246"/>
      <c r="K678" s="248"/>
      <c r="L678" s="246"/>
      <c r="M678" s="154"/>
      <c r="N678" s="55"/>
      <c r="O678" s="247"/>
      <c r="P678" s="247"/>
      <c r="Q678" s="247"/>
      <c r="R678" s="247"/>
      <c r="S678" s="247"/>
      <c r="T678" s="247"/>
      <c r="U678" s="247"/>
      <c r="V678" s="247"/>
      <c r="W678" s="247"/>
      <c r="X678" s="247"/>
      <c r="Y678" s="247"/>
      <c r="Z678" s="247"/>
      <c r="AA678" s="247"/>
    </row>
    <row r="679">
      <c r="A679" s="247"/>
      <c r="B679" s="245"/>
      <c r="C679" s="246"/>
      <c r="D679" s="247"/>
      <c r="E679" s="247"/>
      <c r="F679" s="247"/>
      <c r="G679" s="247"/>
      <c r="H679" s="247"/>
      <c r="I679" s="247"/>
      <c r="J679" s="246"/>
      <c r="K679" s="248"/>
      <c r="L679" s="246"/>
      <c r="M679" s="154"/>
      <c r="N679" s="55"/>
      <c r="O679" s="247"/>
      <c r="P679" s="247"/>
      <c r="Q679" s="247"/>
      <c r="R679" s="247"/>
      <c r="S679" s="247"/>
      <c r="T679" s="247"/>
      <c r="U679" s="247"/>
      <c r="V679" s="247"/>
      <c r="W679" s="247"/>
      <c r="X679" s="247"/>
      <c r="Y679" s="247"/>
      <c r="Z679" s="247"/>
      <c r="AA679" s="247"/>
    </row>
    <row r="680">
      <c r="A680" s="247"/>
      <c r="B680" s="245"/>
      <c r="C680" s="246"/>
      <c r="D680" s="247"/>
      <c r="E680" s="247"/>
      <c r="F680" s="247"/>
      <c r="G680" s="247"/>
      <c r="H680" s="247"/>
      <c r="I680" s="247"/>
      <c r="J680" s="246"/>
      <c r="K680" s="248"/>
      <c r="L680" s="246"/>
      <c r="M680" s="154"/>
      <c r="N680" s="55"/>
      <c r="O680" s="247"/>
      <c r="P680" s="247"/>
      <c r="Q680" s="247"/>
      <c r="R680" s="247"/>
      <c r="S680" s="247"/>
      <c r="T680" s="247"/>
      <c r="U680" s="247"/>
      <c r="V680" s="247"/>
      <c r="W680" s="247"/>
      <c r="X680" s="247"/>
      <c r="Y680" s="247"/>
      <c r="Z680" s="247"/>
      <c r="AA680" s="247"/>
    </row>
    <row r="681">
      <c r="A681" s="247"/>
      <c r="B681" s="245"/>
      <c r="C681" s="246"/>
      <c r="D681" s="247"/>
      <c r="E681" s="247"/>
      <c r="F681" s="247"/>
      <c r="G681" s="247"/>
      <c r="H681" s="247"/>
      <c r="I681" s="247"/>
      <c r="J681" s="246"/>
      <c r="K681" s="248"/>
      <c r="L681" s="246"/>
      <c r="M681" s="154"/>
      <c r="N681" s="55"/>
      <c r="O681" s="247"/>
      <c r="P681" s="247"/>
      <c r="Q681" s="247"/>
      <c r="R681" s="247"/>
      <c r="S681" s="247"/>
      <c r="T681" s="247"/>
      <c r="U681" s="247"/>
      <c r="V681" s="247"/>
      <c r="W681" s="247"/>
      <c r="X681" s="247"/>
      <c r="Y681" s="247"/>
      <c r="Z681" s="247"/>
      <c r="AA681" s="247"/>
    </row>
    <row r="682">
      <c r="A682" s="247"/>
      <c r="B682" s="245"/>
      <c r="C682" s="246"/>
      <c r="D682" s="247"/>
      <c r="E682" s="247"/>
      <c r="F682" s="247"/>
      <c r="G682" s="247"/>
      <c r="H682" s="247"/>
      <c r="I682" s="247"/>
      <c r="J682" s="246"/>
      <c r="K682" s="248"/>
      <c r="L682" s="246"/>
      <c r="M682" s="154"/>
      <c r="N682" s="55"/>
      <c r="O682" s="247"/>
      <c r="P682" s="247"/>
      <c r="Q682" s="247"/>
      <c r="R682" s="247"/>
      <c r="S682" s="247"/>
      <c r="T682" s="247"/>
      <c r="U682" s="247"/>
      <c r="V682" s="247"/>
      <c r="W682" s="247"/>
      <c r="X682" s="247"/>
      <c r="Y682" s="247"/>
      <c r="Z682" s="247"/>
      <c r="AA682" s="247"/>
    </row>
    <row r="683">
      <c r="A683" s="247"/>
      <c r="B683" s="245"/>
      <c r="C683" s="246"/>
      <c r="D683" s="247"/>
      <c r="E683" s="247"/>
      <c r="F683" s="247"/>
      <c r="G683" s="247"/>
      <c r="H683" s="247"/>
      <c r="I683" s="247"/>
      <c r="J683" s="246"/>
      <c r="K683" s="248"/>
      <c r="L683" s="246"/>
      <c r="M683" s="154"/>
      <c r="N683" s="55"/>
      <c r="O683" s="247"/>
      <c r="P683" s="247"/>
      <c r="Q683" s="247"/>
      <c r="R683" s="247"/>
      <c r="S683" s="247"/>
      <c r="T683" s="247"/>
      <c r="U683" s="247"/>
      <c r="V683" s="247"/>
      <c r="W683" s="247"/>
      <c r="X683" s="247"/>
      <c r="Y683" s="247"/>
      <c r="Z683" s="247"/>
      <c r="AA683" s="247"/>
    </row>
    <row r="684">
      <c r="A684" s="247"/>
      <c r="B684" s="245"/>
      <c r="C684" s="246"/>
      <c r="D684" s="247"/>
      <c r="E684" s="247"/>
      <c r="F684" s="247"/>
      <c r="G684" s="247"/>
      <c r="H684" s="247"/>
      <c r="I684" s="247"/>
      <c r="J684" s="246"/>
      <c r="K684" s="248"/>
      <c r="L684" s="246"/>
      <c r="M684" s="154"/>
      <c r="N684" s="55"/>
      <c r="O684" s="247"/>
      <c r="P684" s="247"/>
      <c r="Q684" s="247"/>
      <c r="R684" s="247"/>
      <c r="S684" s="247"/>
      <c r="T684" s="247"/>
      <c r="U684" s="247"/>
      <c r="V684" s="247"/>
      <c r="W684" s="247"/>
      <c r="X684" s="247"/>
      <c r="Y684" s="247"/>
      <c r="Z684" s="247"/>
      <c r="AA684" s="247"/>
    </row>
    <row r="685">
      <c r="A685" s="247"/>
      <c r="B685" s="245"/>
      <c r="C685" s="246"/>
      <c r="D685" s="247"/>
      <c r="E685" s="247"/>
      <c r="F685" s="247"/>
      <c r="G685" s="247"/>
      <c r="H685" s="247"/>
      <c r="I685" s="247"/>
      <c r="J685" s="246"/>
      <c r="K685" s="248"/>
      <c r="L685" s="246"/>
      <c r="M685" s="154"/>
      <c r="N685" s="55"/>
      <c r="O685" s="247"/>
      <c r="P685" s="247"/>
      <c r="Q685" s="247"/>
      <c r="R685" s="247"/>
      <c r="S685" s="247"/>
      <c r="T685" s="247"/>
      <c r="U685" s="247"/>
      <c r="V685" s="247"/>
      <c r="W685" s="247"/>
      <c r="X685" s="247"/>
      <c r="Y685" s="247"/>
      <c r="Z685" s="247"/>
      <c r="AA685" s="247"/>
    </row>
    <row r="686">
      <c r="A686" s="247"/>
      <c r="B686" s="245"/>
      <c r="C686" s="246"/>
      <c r="D686" s="247"/>
      <c r="E686" s="247"/>
      <c r="F686" s="247"/>
      <c r="G686" s="247"/>
      <c r="H686" s="247"/>
      <c r="I686" s="247"/>
      <c r="J686" s="246"/>
      <c r="K686" s="248"/>
      <c r="L686" s="246"/>
      <c r="M686" s="154"/>
      <c r="N686" s="55"/>
      <c r="O686" s="247"/>
      <c r="P686" s="247"/>
      <c r="Q686" s="247"/>
      <c r="R686" s="247"/>
      <c r="S686" s="247"/>
      <c r="T686" s="247"/>
      <c r="U686" s="247"/>
      <c r="V686" s="247"/>
      <c r="W686" s="247"/>
      <c r="X686" s="247"/>
      <c r="Y686" s="247"/>
      <c r="Z686" s="247"/>
      <c r="AA686" s="247"/>
    </row>
    <row r="687">
      <c r="A687" s="247"/>
      <c r="B687" s="245"/>
      <c r="C687" s="246"/>
      <c r="D687" s="247"/>
      <c r="E687" s="247"/>
      <c r="F687" s="247"/>
      <c r="G687" s="247"/>
      <c r="H687" s="247"/>
      <c r="I687" s="247"/>
      <c r="J687" s="246"/>
      <c r="K687" s="248"/>
      <c r="L687" s="246"/>
      <c r="M687" s="154"/>
      <c r="N687" s="55"/>
      <c r="O687" s="247"/>
      <c r="P687" s="247"/>
      <c r="Q687" s="247"/>
      <c r="R687" s="247"/>
      <c r="S687" s="247"/>
      <c r="T687" s="247"/>
      <c r="U687" s="247"/>
      <c r="V687" s="247"/>
      <c r="W687" s="247"/>
      <c r="X687" s="247"/>
      <c r="Y687" s="247"/>
      <c r="Z687" s="247"/>
      <c r="AA687" s="247"/>
    </row>
    <row r="688">
      <c r="A688" s="247"/>
      <c r="B688" s="245"/>
      <c r="C688" s="246"/>
      <c r="D688" s="247"/>
      <c r="E688" s="247"/>
      <c r="F688" s="247"/>
      <c r="G688" s="247"/>
      <c r="H688" s="247"/>
      <c r="I688" s="247"/>
      <c r="J688" s="246"/>
      <c r="K688" s="248"/>
      <c r="L688" s="246"/>
      <c r="M688" s="154"/>
      <c r="N688" s="55"/>
      <c r="O688" s="247"/>
      <c r="P688" s="247"/>
      <c r="Q688" s="247"/>
      <c r="R688" s="247"/>
      <c r="S688" s="247"/>
      <c r="T688" s="247"/>
      <c r="U688" s="247"/>
      <c r="V688" s="247"/>
      <c r="W688" s="247"/>
      <c r="X688" s="247"/>
      <c r="Y688" s="247"/>
      <c r="Z688" s="247"/>
      <c r="AA688" s="247"/>
    </row>
    <row r="689">
      <c r="A689" s="247"/>
      <c r="B689" s="245"/>
      <c r="C689" s="246"/>
      <c r="D689" s="247"/>
      <c r="E689" s="247"/>
      <c r="F689" s="247"/>
      <c r="G689" s="247"/>
      <c r="H689" s="247"/>
      <c r="I689" s="247"/>
      <c r="J689" s="246"/>
      <c r="K689" s="248"/>
      <c r="L689" s="246"/>
      <c r="M689" s="154"/>
      <c r="N689" s="55"/>
      <c r="O689" s="247"/>
      <c r="P689" s="247"/>
      <c r="Q689" s="247"/>
      <c r="R689" s="247"/>
      <c r="S689" s="247"/>
      <c r="T689" s="247"/>
      <c r="U689" s="247"/>
      <c r="V689" s="247"/>
      <c r="W689" s="247"/>
      <c r="X689" s="247"/>
      <c r="Y689" s="247"/>
      <c r="Z689" s="247"/>
      <c r="AA689" s="247"/>
    </row>
    <row r="690">
      <c r="A690" s="247"/>
      <c r="B690" s="245"/>
      <c r="C690" s="246"/>
      <c r="D690" s="247"/>
      <c r="E690" s="247"/>
      <c r="F690" s="247"/>
      <c r="G690" s="247"/>
      <c r="H690" s="247"/>
      <c r="I690" s="247"/>
      <c r="J690" s="246"/>
      <c r="K690" s="248"/>
      <c r="L690" s="246"/>
      <c r="M690" s="154"/>
      <c r="N690" s="55"/>
      <c r="O690" s="247"/>
      <c r="P690" s="247"/>
      <c r="Q690" s="247"/>
      <c r="R690" s="247"/>
      <c r="S690" s="247"/>
      <c r="T690" s="247"/>
      <c r="U690" s="247"/>
      <c r="V690" s="247"/>
      <c r="W690" s="247"/>
      <c r="X690" s="247"/>
      <c r="Y690" s="247"/>
      <c r="Z690" s="247"/>
      <c r="AA690" s="247"/>
    </row>
    <row r="691">
      <c r="A691" s="247"/>
      <c r="B691" s="245"/>
      <c r="C691" s="246"/>
      <c r="D691" s="247"/>
      <c r="E691" s="247"/>
      <c r="F691" s="247"/>
      <c r="G691" s="247"/>
      <c r="H691" s="247"/>
      <c r="I691" s="247"/>
      <c r="J691" s="246"/>
      <c r="K691" s="248"/>
      <c r="L691" s="246"/>
      <c r="M691" s="154"/>
      <c r="N691" s="55"/>
      <c r="O691" s="247"/>
      <c r="P691" s="247"/>
      <c r="Q691" s="247"/>
      <c r="R691" s="247"/>
      <c r="S691" s="247"/>
      <c r="T691" s="247"/>
      <c r="U691" s="247"/>
      <c r="V691" s="247"/>
      <c r="W691" s="247"/>
      <c r="X691" s="247"/>
      <c r="Y691" s="247"/>
      <c r="Z691" s="247"/>
      <c r="AA691" s="247"/>
    </row>
    <row r="692">
      <c r="A692" s="247"/>
      <c r="B692" s="245"/>
      <c r="C692" s="246"/>
      <c r="D692" s="247"/>
      <c r="E692" s="247"/>
      <c r="F692" s="247"/>
      <c r="G692" s="247"/>
      <c r="H692" s="247"/>
      <c r="I692" s="247"/>
      <c r="J692" s="246"/>
      <c r="K692" s="248"/>
      <c r="L692" s="246"/>
      <c r="M692" s="154"/>
      <c r="N692" s="55"/>
      <c r="O692" s="247"/>
      <c r="P692" s="247"/>
      <c r="Q692" s="247"/>
      <c r="R692" s="247"/>
      <c r="S692" s="247"/>
      <c r="T692" s="247"/>
      <c r="U692" s="247"/>
      <c r="V692" s="247"/>
      <c r="W692" s="247"/>
      <c r="X692" s="247"/>
      <c r="Y692" s="247"/>
      <c r="Z692" s="247"/>
      <c r="AA692" s="247"/>
    </row>
    <row r="693">
      <c r="A693" s="247"/>
      <c r="B693" s="245"/>
      <c r="C693" s="246"/>
      <c r="D693" s="247"/>
      <c r="E693" s="247"/>
      <c r="F693" s="247"/>
      <c r="G693" s="247"/>
      <c r="H693" s="247"/>
      <c r="I693" s="247"/>
      <c r="J693" s="246"/>
      <c r="K693" s="248"/>
      <c r="L693" s="246"/>
      <c r="M693" s="154"/>
      <c r="N693" s="55"/>
      <c r="O693" s="247"/>
      <c r="P693" s="247"/>
      <c r="Q693" s="247"/>
      <c r="R693" s="247"/>
      <c r="S693" s="247"/>
      <c r="T693" s="247"/>
      <c r="U693" s="247"/>
      <c r="V693" s="247"/>
      <c r="W693" s="247"/>
      <c r="X693" s="247"/>
      <c r="Y693" s="247"/>
      <c r="Z693" s="247"/>
      <c r="AA693" s="247"/>
    </row>
    <row r="694">
      <c r="A694" s="247"/>
      <c r="B694" s="245"/>
      <c r="C694" s="246"/>
      <c r="D694" s="247"/>
      <c r="E694" s="247"/>
      <c r="F694" s="247"/>
      <c r="G694" s="247"/>
      <c r="H694" s="247"/>
      <c r="I694" s="247"/>
      <c r="J694" s="246"/>
      <c r="K694" s="248"/>
      <c r="L694" s="246"/>
      <c r="M694" s="154"/>
      <c r="N694" s="55"/>
      <c r="O694" s="247"/>
      <c r="P694" s="247"/>
      <c r="Q694" s="247"/>
      <c r="R694" s="247"/>
      <c r="S694" s="247"/>
      <c r="T694" s="247"/>
      <c r="U694" s="247"/>
      <c r="V694" s="247"/>
      <c r="W694" s="247"/>
      <c r="X694" s="247"/>
      <c r="Y694" s="247"/>
      <c r="Z694" s="247"/>
      <c r="AA694" s="247"/>
    </row>
    <row r="695">
      <c r="A695" s="247"/>
      <c r="B695" s="245"/>
      <c r="C695" s="246"/>
      <c r="D695" s="247"/>
      <c r="E695" s="247"/>
      <c r="F695" s="247"/>
      <c r="G695" s="247"/>
      <c r="H695" s="247"/>
      <c r="I695" s="247"/>
      <c r="J695" s="246"/>
      <c r="K695" s="248"/>
      <c r="L695" s="246"/>
      <c r="M695" s="154"/>
      <c r="N695" s="55"/>
      <c r="O695" s="247"/>
      <c r="P695" s="247"/>
      <c r="Q695" s="247"/>
      <c r="R695" s="247"/>
      <c r="S695" s="247"/>
      <c r="T695" s="247"/>
      <c r="U695" s="247"/>
      <c r="V695" s="247"/>
      <c r="W695" s="247"/>
      <c r="X695" s="247"/>
      <c r="Y695" s="247"/>
      <c r="Z695" s="247"/>
      <c r="AA695" s="247"/>
    </row>
    <row r="696">
      <c r="A696" s="247"/>
      <c r="B696" s="245"/>
      <c r="C696" s="246"/>
      <c r="D696" s="247"/>
      <c r="E696" s="247"/>
      <c r="F696" s="247"/>
      <c r="G696" s="247"/>
      <c r="H696" s="247"/>
      <c r="I696" s="247"/>
      <c r="J696" s="246"/>
      <c r="K696" s="248"/>
      <c r="L696" s="246"/>
      <c r="M696" s="154"/>
      <c r="N696" s="55"/>
      <c r="O696" s="247"/>
      <c r="P696" s="247"/>
      <c r="Q696" s="247"/>
      <c r="R696" s="247"/>
      <c r="S696" s="247"/>
      <c r="T696" s="247"/>
      <c r="U696" s="247"/>
      <c r="V696" s="247"/>
      <c r="W696" s="247"/>
      <c r="X696" s="247"/>
      <c r="Y696" s="247"/>
      <c r="Z696" s="247"/>
      <c r="AA696" s="247"/>
    </row>
    <row r="697">
      <c r="A697" s="247"/>
      <c r="B697" s="245"/>
      <c r="C697" s="246"/>
      <c r="D697" s="247"/>
      <c r="E697" s="247"/>
      <c r="F697" s="247"/>
      <c r="G697" s="247"/>
      <c r="H697" s="247"/>
      <c r="I697" s="247"/>
      <c r="J697" s="246"/>
      <c r="K697" s="248"/>
      <c r="L697" s="246"/>
      <c r="M697" s="154"/>
      <c r="N697" s="55"/>
      <c r="O697" s="247"/>
      <c r="P697" s="247"/>
      <c r="Q697" s="247"/>
      <c r="R697" s="247"/>
      <c r="S697" s="247"/>
      <c r="T697" s="247"/>
      <c r="U697" s="247"/>
      <c r="V697" s="247"/>
      <c r="W697" s="247"/>
      <c r="X697" s="247"/>
      <c r="Y697" s="247"/>
      <c r="Z697" s="247"/>
      <c r="AA697" s="247"/>
    </row>
    <row r="698">
      <c r="A698" s="247"/>
      <c r="B698" s="245"/>
      <c r="C698" s="246"/>
      <c r="D698" s="247"/>
      <c r="E698" s="247"/>
      <c r="F698" s="247"/>
      <c r="G698" s="247"/>
      <c r="H698" s="247"/>
      <c r="I698" s="247"/>
      <c r="J698" s="246"/>
      <c r="K698" s="248"/>
      <c r="L698" s="246"/>
      <c r="M698" s="154"/>
      <c r="N698" s="55"/>
      <c r="O698" s="247"/>
      <c r="P698" s="247"/>
      <c r="Q698" s="247"/>
      <c r="R698" s="247"/>
      <c r="S698" s="247"/>
      <c r="T698" s="247"/>
      <c r="U698" s="247"/>
      <c r="V698" s="247"/>
      <c r="W698" s="247"/>
      <c r="X698" s="247"/>
      <c r="Y698" s="247"/>
      <c r="Z698" s="247"/>
      <c r="AA698" s="247"/>
    </row>
    <row r="699">
      <c r="A699" s="247"/>
      <c r="B699" s="245"/>
      <c r="C699" s="246"/>
      <c r="D699" s="247"/>
      <c r="E699" s="247"/>
      <c r="F699" s="247"/>
      <c r="G699" s="247"/>
      <c r="H699" s="247"/>
      <c r="I699" s="247"/>
      <c r="J699" s="246"/>
      <c r="K699" s="248"/>
      <c r="L699" s="246"/>
      <c r="M699" s="154"/>
      <c r="N699" s="55"/>
      <c r="O699" s="247"/>
      <c r="P699" s="247"/>
      <c r="Q699" s="247"/>
      <c r="R699" s="247"/>
      <c r="S699" s="247"/>
      <c r="T699" s="247"/>
      <c r="U699" s="247"/>
      <c r="V699" s="247"/>
      <c r="W699" s="247"/>
      <c r="X699" s="247"/>
      <c r="Y699" s="247"/>
      <c r="Z699" s="247"/>
      <c r="AA699" s="247"/>
    </row>
    <row r="700">
      <c r="A700" s="247"/>
      <c r="B700" s="245"/>
      <c r="C700" s="246"/>
      <c r="D700" s="247"/>
      <c r="E700" s="247"/>
      <c r="F700" s="247"/>
      <c r="G700" s="247"/>
      <c r="H700" s="247"/>
      <c r="I700" s="247"/>
      <c r="J700" s="246"/>
      <c r="K700" s="248"/>
      <c r="L700" s="246"/>
      <c r="M700" s="154"/>
      <c r="N700" s="55"/>
      <c r="O700" s="247"/>
      <c r="P700" s="247"/>
      <c r="Q700" s="247"/>
      <c r="R700" s="247"/>
      <c r="S700" s="247"/>
      <c r="T700" s="247"/>
      <c r="U700" s="247"/>
      <c r="V700" s="247"/>
      <c r="W700" s="247"/>
      <c r="X700" s="247"/>
      <c r="Y700" s="247"/>
      <c r="Z700" s="247"/>
      <c r="AA700" s="247"/>
    </row>
    <row r="701">
      <c r="A701" s="247"/>
      <c r="B701" s="245"/>
      <c r="C701" s="246"/>
      <c r="D701" s="247"/>
      <c r="E701" s="247"/>
      <c r="F701" s="247"/>
      <c r="G701" s="247"/>
      <c r="H701" s="247"/>
      <c r="I701" s="247"/>
      <c r="J701" s="246"/>
      <c r="K701" s="248"/>
      <c r="L701" s="246"/>
      <c r="M701" s="154"/>
      <c r="N701" s="55"/>
      <c r="O701" s="247"/>
      <c r="P701" s="247"/>
      <c r="Q701" s="247"/>
      <c r="R701" s="247"/>
      <c r="S701" s="247"/>
      <c r="T701" s="247"/>
      <c r="U701" s="247"/>
      <c r="V701" s="247"/>
      <c r="W701" s="247"/>
      <c r="X701" s="247"/>
      <c r="Y701" s="247"/>
      <c r="Z701" s="247"/>
      <c r="AA701" s="247"/>
    </row>
    <row r="702">
      <c r="A702" s="247"/>
      <c r="B702" s="245"/>
      <c r="C702" s="246"/>
      <c r="D702" s="247"/>
      <c r="E702" s="247"/>
      <c r="F702" s="247"/>
      <c r="G702" s="247"/>
      <c r="H702" s="247"/>
      <c r="I702" s="247"/>
      <c r="J702" s="246"/>
      <c r="K702" s="248"/>
      <c r="L702" s="246"/>
      <c r="M702" s="154"/>
      <c r="N702" s="55"/>
      <c r="O702" s="247"/>
      <c r="P702" s="247"/>
      <c r="Q702" s="247"/>
      <c r="R702" s="247"/>
      <c r="S702" s="247"/>
      <c r="T702" s="247"/>
      <c r="U702" s="247"/>
      <c r="V702" s="247"/>
      <c r="W702" s="247"/>
      <c r="X702" s="247"/>
      <c r="Y702" s="247"/>
      <c r="Z702" s="247"/>
      <c r="AA702" s="247"/>
    </row>
    <row r="703">
      <c r="A703" s="247"/>
      <c r="B703" s="245"/>
      <c r="C703" s="246"/>
      <c r="D703" s="247"/>
      <c r="E703" s="247"/>
      <c r="F703" s="247"/>
      <c r="G703" s="247"/>
      <c r="H703" s="247"/>
      <c r="I703" s="247"/>
      <c r="J703" s="246"/>
      <c r="K703" s="248"/>
      <c r="L703" s="246"/>
      <c r="M703" s="154"/>
      <c r="N703" s="55"/>
      <c r="O703" s="247"/>
      <c r="P703" s="247"/>
      <c r="Q703" s="247"/>
      <c r="R703" s="247"/>
      <c r="S703" s="247"/>
      <c r="T703" s="247"/>
      <c r="U703" s="247"/>
      <c r="V703" s="247"/>
      <c r="W703" s="247"/>
      <c r="X703" s="247"/>
      <c r="Y703" s="247"/>
      <c r="Z703" s="247"/>
      <c r="AA703" s="247"/>
    </row>
    <row r="704">
      <c r="A704" s="247"/>
      <c r="B704" s="245"/>
      <c r="C704" s="246"/>
      <c r="D704" s="247"/>
      <c r="E704" s="247"/>
      <c r="F704" s="247"/>
      <c r="G704" s="247"/>
      <c r="H704" s="247"/>
      <c r="I704" s="247"/>
      <c r="J704" s="246"/>
      <c r="K704" s="248"/>
      <c r="L704" s="246"/>
      <c r="M704" s="154"/>
      <c r="N704" s="55"/>
      <c r="O704" s="247"/>
      <c r="P704" s="247"/>
      <c r="Q704" s="247"/>
      <c r="R704" s="247"/>
      <c r="S704" s="247"/>
      <c r="T704" s="247"/>
      <c r="U704" s="247"/>
      <c r="V704" s="247"/>
      <c r="W704" s="247"/>
      <c r="X704" s="247"/>
      <c r="Y704" s="247"/>
      <c r="Z704" s="247"/>
      <c r="AA704" s="247"/>
    </row>
    <row r="705">
      <c r="A705" s="247"/>
      <c r="B705" s="245"/>
      <c r="C705" s="246"/>
      <c r="D705" s="247"/>
      <c r="E705" s="247"/>
      <c r="F705" s="247"/>
      <c r="G705" s="247"/>
      <c r="H705" s="247"/>
      <c r="I705" s="247"/>
      <c r="J705" s="246"/>
      <c r="K705" s="248"/>
      <c r="L705" s="246"/>
      <c r="M705" s="154"/>
      <c r="N705" s="55"/>
      <c r="O705" s="247"/>
      <c r="P705" s="247"/>
      <c r="Q705" s="247"/>
      <c r="R705" s="247"/>
      <c r="S705" s="247"/>
      <c r="T705" s="247"/>
      <c r="U705" s="247"/>
      <c r="V705" s="247"/>
      <c r="W705" s="247"/>
      <c r="X705" s="247"/>
      <c r="Y705" s="247"/>
      <c r="Z705" s="247"/>
      <c r="AA705" s="247"/>
    </row>
    <row r="706">
      <c r="A706" s="247"/>
      <c r="B706" s="245"/>
      <c r="C706" s="246"/>
      <c r="D706" s="247"/>
      <c r="E706" s="247"/>
      <c r="F706" s="247"/>
      <c r="G706" s="247"/>
      <c r="H706" s="247"/>
      <c r="I706" s="247"/>
      <c r="J706" s="246"/>
      <c r="K706" s="248"/>
      <c r="L706" s="246"/>
      <c r="M706" s="154"/>
      <c r="N706" s="55"/>
      <c r="O706" s="247"/>
      <c r="P706" s="247"/>
      <c r="Q706" s="247"/>
      <c r="R706" s="247"/>
      <c r="S706" s="247"/>
      <c r="T706" s="247"/>
      <c r="U706" s="247"/>
      <c r="V706" s="247"/>
      <c r="W706" s="247"/>
      <c r="X706" s="247"/>
      <c r="Y706" s="247"/>
      <c r="Z706" s="247"/>
      <c r="AA706" s="247"/>
    </row>
    <row r="707">
      <c r="A707" s="247"/>
      <c r="B707" s="245"/>
      <c r="C707" s="246"/>
      <c r="D707" s="247"/>
      <c r="E707" s="247"/>
      <c r="F707" s="247"/>
      <c r="G707" s="247"/>
      <c r="H707" s="247"/>
      <c r="I707" s="247"/>
      <c r="J707" s="246"/>
      <c r="K707" s="248"/>
      <c r="L707" s="246"/>
      <c r="M707" s="154"/>
      <c r="N707" s="55"/>
      <c r="O707" s="247"/>
      <c r="P707" s="247"/>
      <c r="Q707" s="247"/>
      <c r="R707" s="247"/>
      <c r="S707" s="247"/>
      <c r="T707" s="247"/>
      <c r="U707" s="247"/>
      <c r="V707" s="247"/>
      <c r="W707" s="247"/>
      <c r="X707" s="247"/>
      <c r="Y707" s="247"/>
      <c r="Z707" s="247"/>
      <c r="AA707" s="247"/>
    </row>
    <row r="708">
      <c r="A708" s="247"/>
      <c r="B708" s="245"/>
      <c r="C708" s="246"/>
      <c r="D708" s="247"/>
      <c r="E708" s="247"/>
      <c r="F708" s="247"/>
      <c r="G708" s="247"/>
      <c r="H708" s="247"/>
      <c r="I708" s="247"/>
      <c r="J708" s="246"/>
      <c r="K708" s="248"/>
      <c r="L708" s="246"/>
      <c r="M708" s="154"/>
      <c r="N708" s="55"/>
      <c r="O708" s="247"/>
      <c r="P708" s="247"/>
      <c r="Q708" s="247"/>
      <c r="R708" s="247"/>
      <c r="S708" s="247"/>
      <c r="T708" s="247"/>
      <c r="U708" s="247"/>
      <c r="V708" s="247"/>
      <c r="W708" s="247"/>
      <c r="X708" s="247"/>
      <c r="Y708" s="247"/>
      <c r="Z708" s="247"/>
      <c r="AA708" s="247"/>
    </row>
    <row r="709">
      <c r="A709" s="247"/>
      <c r="B709" s="245"/>
      <c r="C709" s="246"/>
      <c r="D709" s="247"/>
      <c r="E709" s="247"/>
      <c r="F709" s="247"/>
      <c r="G709" s="247"/>
      <c r="H709" s="247"/>
      <c r="I709" s="247"/>
      <c r="J709" s="246"/>
      <c r="K709" s="248"/>
      <c r="L709" s="246"/>
      <c r="M709" s="154"/>
      <c r="N709" s="55"/>
      <c r="O709" s="247"/>
      <c r="P709" s="247"/>
      <c r="Q709" s="247"/>
      <c r="R709" s="247"/>
      <c r="S709" s="247"/>
      <c r="T709" s="247"/>
      <c r="U709" s="247"/>
      <c r="V709" s="247"/>
      <c r="W709" s="247"/>
      <c r="X709" s="247"/>
      <c r="Y709" s="247"/>
      <c r="Z709" s="247"/>
      <c r="AA709" s="247"/>
    </row>
    <row r="710">
      <c r="A710" s="247"/>
      <c r="B710" s="245"/>
      <c r="C710" s="246"/>
      <c r="D710" s="247"/>
      <c r="E710" s="247"/>
      <c r="F710" s="247"/>
      <c r="G710" s="247"/>
      <c r="H710" s="247"/>
      <c r="I710" s="247"/>
      <c r="J710" s="246"/>
      <c r="K710" s="248"/>
      <c r="L710" s="246"/>
      <c r="M710" s="154"/>
      <c r="N710" s="55"/>
      <c r="O710" s="247"/>
      <c r="P710" s="247"/>
      <c r="Q710" s="247"/>
      <c r="R710" s="247"/>
      <c r="S710" s="247"/>
      <c r="T710" s="247"/>
      <c r="U710" s="247"/>
      <c r="V710" s="247"/>
      <c r="W710" s="247"/>
      <c r="X710" s="247"/>
      <c r="Y710" s="247"/>
      <c r="Z710" s="247"/>
      <c r="AA710" s="247"/>
    </row>
    <row r="711">
      <c r="A711" s="247"/>
      <c r="B711" s="245"/>
      <c r="C711" s="246"/>
      <c r="D711" s="247"/>
      <c r="E711" s="247"/>
      <c r="F711" s="247"/>
      <c r="G711" s="247"/>
      <c r="H711" s="247"/>
      <c r="I711" s="247"/>
      <c r="J711" s="246"/>
      <c r="K711" s="248"/>
      <c r="L711" s="246"/>
      <c r="M711" s="154"/>
      <c r="N711" s="55"/>
      <c r="O711" s="247"/>
      <c r="P711" s="247"/>
      <c r="Q711" s="247"/>
      <c r="R711" s="247"/>
      <c r="S711" s="247"/>
      <c r="T711" s="247"/>
      <c r="U711" s="247"/>
      <c r="V711" s="247"/>
      <c r="W711" s="247"/>
      <c r="X711" s="247"/>
      <c r="Y711" s="247"/>
      <c r="Z711" s="247"/>
      <c r="AA711" s="247"/>
    </row>
    <row r="712">
      <c r="A712" s="247"/>
      <c r="B712" s="245"/>
      <c r="C712" s="246"/>
      <c r="D712" s="247"/>
      <c r="E712" s="247"/>
      <c r="F712" s="247"/>
      <c r="G712" s="247"/>
      <c r="H712" s="247"/>
      <c r="I712" s="247"/>
      <c r="J712" s="246"/>
      <c r="K712" s="248"/>
      <c r="L712" s="246"/>
      <c r="M712" s="154"/>
      <c r="N712" s="55"/>
      <c r="O712" s="247"/>
      <c r="P712" s="247"/>
      <c r="Q712" s="247"/>
      <c r="R712" s="247"/>
      <c r="S712" s="247"/>
      <c r="T712" s="247"/>
      <c r="U712" s="247"/>
      <c r="V712" s="247"/>
      <c r="W712" s="247"/>
      <c r="X712" s="247"/>
      <c r="Y712" s="247"/>
      <c r="Z712" s="247"/>
      <c r="AA712" s="247"/>
    </row>
    <row r="713">
      <c r="A713" s="247"/>
      <c r="B713" s="245"/>
      <c r="C713" s="246"/>
      <c r="D713" s="247"/>
      <c r="E713" s="247"/>
      <c r="F713" s="247"/>
      <c r="G713" s="247"/>
      <c r="H713" s="247"/>
      <c r="I713" s="247"/>
      <c r="J713" s="246"/>
      <c r="K713" s="248"/>
      <c r="L713" s="246"/>
      <c r="M713" s="154"/>
      <c r="N713" s="55"/>
      <c r="O713" s="247"/>
      <c r="P713" s="247"/>
      <c r="Q713" s="247"/>
      <c r="R713" s="247"/>
      <c r="S713" s="247"/>
      <c r="T713" s="247"/>
      <c r="U713" s="247"/>
      <c r="V713" s="247"/>
      <c r="W713" s="247"/>
      <c r="X713" s="247"/>
      <c r="Y713" s="247"/>
      <c r="Z713" s="247"/>
      <c r="AA713" s="247"/>
    </row>
    <row r="714">
      <c r="A714" s="247"/>
      <c r="B714" s="245"/>
      <c r="C714" s="246"/>
      <c r="D714" s="247"/>
      <c r="E714" s="247"/>
      <c r="F714" s="247"/>
      <c r="G714" s="247"/>
      <c r="H714" s="247"/>
      <c r="I714" s="247"/>
      <c r="J714" s="246"/>
      <c r="K714" s="248"/>
      <c r="L714" s="246"/>
      <c r="M714" s="154"/>
      <c r="N714" s="55"/>
      <c r="O714" s="247"/>
      <c r="P714" s="247"/>
      <c r="Q714" s="247"/>
      <c r="R714" s="247"/>
      <c r="S714" s="247"/>
      <c r="T714" s="247"/>
      <c r="U714" s="247"/>
      <c r="V714" s="247"/>
      <c r="W714" s="247"/>
      <c r="X714" s="247"/>
      <c r="Y714" s="247"/>
      <c r="Z714" s="247"/>
      <c r="AA714" s="247"/>
    </row>
    <row r="715">
      <c r="A715" s="247"/>
      <c r="B715" s="245"/>
      <c r="C715" s="246"/>
      <c r="D715" s="247"/>
      <c r="E715" s="247"/>
      <c r="F715" s="247"/>
      <c r="G715" s="247"/>
      <c r="H715" s="247"/>
      <c r="I715" s="247"/>
      <c r="J715" s="246"/>
      <c r="K715" s="248"/>
      <c r="L715" s="246"/>
      <c r="M715" s="154"/>
      <c r="N715" s="55"/>
      <c r="O715" s="247"/>
      <c r="P715" s="247"/>
      <c r="Q715" s="247"/>
      <c r="R715" s="247"/>
      <c r="S715" s="247"/>
      <c r="T715" s="247"/>
      <c r="U715" s="247"/>
      <c r="V715" s="247"/>
      <c r="W715" s="247"/>
      <c r="X715" s="247"/>
      <c r="Y715" s="247"/>
      <c r="Z715" s="247"/>
      <c r="AA715" s="247"/>
    </row>
    <row r="716">
      <c r="A716" s="247"/>
      <c r="B716" s="245"/>
      <c r="C716" s="246"/>
      <c r="D716" s="247"/>
      <c r="E716" s="247"/>
      <c r="F716" s="247"/>
      <c r="G716" s="247"/>
      <c r="H716" s="247"/>
      <c r="I716" s="247"/>
      <c r="J716" s="246"/>
      <c r="K716" s="248"/>
      <c r="L716" s="246"/>
      <c r="M716" s="154"/>
      <c r="N716" s="55"/>
      <c r="O716" s="247"/>
      <c r="P716" s="247"/>
      <c r="Q716" s="247"/>
      <c r="R716" s="247"/>
      <c r="S716" s="247"/>
      <c r="T716" s="247"/>
      <c r="U716" s="247"/>
      <c r="V716" s="247"/>
      <c r="W716" s="247"/>
      <c r="X716" s="247"/>
      <c r="Y716" s="247"/>
      <c r="Z716" s="247"/>
      <c r="AA716" s="247"/>
    </row>
    <row r="717">
      <c r="A717" s="247"/>
      <c r="B717" s="245"/>
      <c r="C717" s="246"/>
      <c r="D717" s="247"/>
      <c r="E717" s="247"/>
      <c r="F717" s="247"/>
      <c r="G717" s="247"/>
      <c r="H717" s="247"/>
      <c r="I717" s="247"/>
      <c r="J717" s="246"/>
      <c r="K717" s="248"/>
      <c r="L717" s="246"/>
      <c r="M717" s="154"/>
      <c r="N717" s="55"/>
      <c r="O717" s="247"/>
      <c r="P717" s="247"/>
      <c r="Q717" s="247"/>
      <c r="R717" s="247"/>
      <c r="S717" s="247"/>
      <c r="T717" s="247"/>
      <c r="U717" s="247"/>
      <c r="V717" s="247"/>
      <c r="W717" s="247"/>
      <c r="X717" s="247"/>
      <c r="Y717" s="247"/>
      <c r="Z717" s="247"/>
      <c r="AA717" s="247"/>
    </row>
    <row r="718">
      <c r="A718" s="247"/>
      <c r="B718" s="245"/>
      <c r="C718" s="246"/>
      <c r="D718" s="247"/>
      <c r="E718" s="247"/>
      <c r="F718" s="247"/>
      <c r="G718" s="247"/>
      <c r="H718" s="247"/>
      <c r="I718" s="247"/>
      <c r="J718" s="246"/>
      <c r="K718" s="248"/>
      <c r="L718" s="246"/>
      <c r="M718" s="154"/>
      <c r="N718" s="55"/>
      <c r="O718" s="247"/>
      <c r="P718" s="247"/>
      <c r="Q718" s="247"/>
      <c r="R718" s="247"/>
      <c r="S718" s="247"/>
      <c r="T718" s="247"/>
      <c r="U718" s="247"/>
      <c r="V718" s="247"/>
      <c r="W718" s="247"/>
      <c r="X718" s="247"/>
      <c r="Y718" s="247"/>
      <c r="Z718" s="247"/>
      <c r="AA718" s="247"/>
    </row>
    <row r="719">
      <c r="A719" s="247"/>
      <c r="B719" s="245"/>
      <c r="C719" s="246"/>
      <c r="D719" s="247"/>
      <c r="E719" s="247"/>
      <c r="F719" s="247"/>
      <c r="G719" s="247"/>
      <c r="H719" s="247"/>
      <c r="I719" s="247"/>
      <c r="J719" s="246"/>
      <c r="K719" s="248"/>
      <c r="L719" s="246"/>
      <c r="M719" s="154"/>
      <c r="N719" s="55"/>
      <c r="O719" s="247"/>
      <c r="P719" s="247"/>
      <c r="Q719" s="247"/>
      <c r="R719" s="247"/>
      <c r="S719" s="247"/>
      <c r="T719" s="247"/>
      <c r="U719" s="247"/>
      <c r="V719" s="247"/>
      <c r="W719" s="247"/>
      <c r="X719" s="247"/>
      <c r="Y719" s="247"/>
      <c r="Z719" s="247"/>
      <c r="AA719" s="247"/>
    </row>
    <row r="720">
      <c r="A720" s="247"/>
      <c r="B720" s="245"/>
      <c r="C720" s="246"/>
      <c r="D720" s="247"/>
      <c r="E720" s="247"/>
      <c r="F720" s="247"/>
      <c r="G720" s="247"/>
      <c r="H720" s="247"/>
      <c r="I720" s="247"/>
      <c r="J720" s="246"/>
      <c r="K720" s="248"/>
      <c r="L720" s="246"/>
      <c r="M720" s="154"/>
      <c r="N720" s="55"/>
      <c r="O720" s="247"/>
      <c r="P720" s="247"/>
      <c r="Q720" s="247"/>
      <c r="R720" s="247"/>
      <c r="S720" s="247"/>
      <c r="T720" s="247"/>
      <c r="U720" s="247"/>
      <c r="V720" s="247"/>
      <c r="W720" s="247"/>
      <c r="X720" s="247"/>
      <c r="Y720" s="247"/>
      <c r="Z720" s="247"/>
      <c r="AA720" s="247"/>
    </row>
    <row r="721">
      <c r="A721" s="247"/>
      <c r="B721" s="245"/>
      <c r="C721" s="246"/>
      <c r="D721" s="247"/>
      <c r="E721" s="247"/>
      <c r="F721" s="247"/>
      <c r="G721" s="247"/>
      <c r="H721" s="247"/>
      <c r="I721" s="247"/>
      <c r="J721" s="246"/>
      <c r="K721" s="248"/>
      <c r="L721" s="246"/>
      <c r="M721" s="154"/>
      <c r="N721" s="55"/>
      <c r="O721" s="247"/>
      <c r="P721" s="247"/>
      <c r="Q721" s="247"/>
      <c r="R721" s="247"/>
      <c r="S721" s="247"/>
      <c r="T721" s="247"/>
      <c r="U721" s="247"/>
      <c r="V721" s="247"/>
      <c r="W721" s="247"/>
      <c r="X721" s="247"/>
      <c r="Y721" s="247"/>
      <c r="Z721" s="247"/>
      <c r="AA721" s="247"/>
    </row>
    <row r="722">
      <c r="A722" s="247"/>
      <c r="B722" s="245"/>
      <c r="C722" s="246"/>
      <c r="D722" s="247"/>
      <c r="E722" s="247"/>
      <c r="F722" s="247"/>
      <c r="G722" s="247"/>
      <c r="H722" s="247"/>
      <c r="I722" s="247"/>
      <c r="J722" s="246"/>
      <c r="K722" s="248"/>
      <c r="L722" s="246"/>
      <c r="M722" s="154"/>
      <c r="N722" s="55"/>
      <c r="O722" s="247"/>
      <c r="P722" s="247"/>
      <c r="Q722" s="247"/>
      <c r="R722" s="247"/>
      <c r="S722" s="247"/>
      <c r="T722" s="247"/>
      <c r="U722" s="247"/>
      <c r="V722" s="247"/>
      <c r="W722" s="247"/>
      <c r="X722" s="247"/>
      <c r="Y722" s="247"/>
      <c r="Z722" s="247"/>
      <c r="AA722" s="247"/>
    </row>
    <row r="723">
      <c r="A723" s="247"/>
      <c r="B723" s="245"/>
      <c r="C723" s="246"/>
      <c r="D723" s="247"/>
      <c r="E723" s="247"/>
      <c r="F723" s="247"/>
      <c r="G723" s="247"/>
      <c r="H723" s="247"/>
      <c r="I723" s="247"/>
      <c r="J723" s="246"/>
      <c r="K723" s="248"/>
      <c r="L723" s="246"/>
      <c r="M723" s="154"/>
      <c r="N723" s="55"/>
      <c r="O723" s="247"/>
      <c r="P723" s="247"/>
      <c r="Q723" s="247"/>
      <c r="R723" s="247"/>
      <c r="S723" s="247"/>
      <c r="T723" s="247"/>
      <c r="U723" s="247"/>
      <c r="V723" s="247"/>
      <c r="W723" s="247"/>
      <c r="X723" s="247"/>
      <c r="Y723" s="247"/>
      <c r="Z723" s="247"/>
      <c r="AA723" s="247"/>
    </row>
    <row r="724">
      <c r="A724" s="247"/>
      <c r="B724" s="245"/>
      <c r="C724" s="246"/>
      <c r="D724" s="247"/>
      <c r="E724" s="247"/>
      <c r="F724" s="247"/>
      <c r="G724" s="247"/>
      <c r="H724" s="247"/>
      <c r="I724" s="247"/>
      <c r="J724" s="246"/>
      <c r="K724" s="248"/>
      <c r="L724" s="246"/>
      <c r="M724" s="154"/>
      <c r="N724" s="55"/>
      <c r="O724" s="247"/>
      <c r="P724" s="247"/>
      <c r="Q724" s="247"/>
      <c r="R724" s="247"/>
      <c r="S724" s="247"/>
      <c r="T724" s="247"/>
      <c r="U724" s="247"/>
      <c r="V724" s="247"/>
      <c r="W724" s="247"/>
      <c r="X724" s="247"/>
      <c r="Y724" s="247"/>
      <c r="Z724" s="247"/>
      <c r="AA724" s="247"/>
    </row>
    <row r="725">
      <c r="A725" s="247"/>
      <c r="B725" s="245"/>
      <c r="C725" s="246"/>
      <c r="D725" s="247"/>
      <c r="E725" s="247"/>
      <c r="F725" s="247"/>
      <c r="G725" s="247"/>
      <c r="H725" s="247"/>
      <c r="I725" s="247"/>
      <c r="J725" s="246"/>
      <c r="K725" s="248"/>
      <c r="L725" s="246"/>
      <c r="M725" s="154"/>
      <c r="N725" s="55"/>
      <c r="O725" s="247"/>
      <c r="P725" s="247"/>
      <c r="Q725" s="247"/>
      <c r="R725" s="247"/>
      <c r="S725" s="247"/>
      <c r="T725" s="247"/>
      <c r="U725" s="247"/>
      <c r="V725" s="247"/>
      <c r="W725" s="247"/>
      <c r="X725" s="247"/>
      <c r="Y725" s="247"/>
      <c r="Z725" s="247"/>
      <c r="AA725" s="247"/>
    </row>
    <row r="726">
      <c r="A726" s="247"/>
      <c r="B726" s="245"/>
      <c r="C726" s="246"/>
      <c r="D726" s="247"/>
      <c r="E726" s="247"/>
      <c r="F726" s="247"/>
      <c r="G726" s="247"/>
      <c r="H726" s="247"/>
      <c r="I726" s="247"/>
      <c r="J726" s="246"/>
      <c r="K726" s="248"/>
      <c r="L726" s="246"/>
      <c r="M726" s="154"/>
      <c r="N726" s="55"/>
      <c r="O726" s="247"/>
      <c r="P726" s="247"/>
      <c r="Q726" s="247"/>
      <c r="R726" s="247"/>
      <c r="S726" s="247"/>
      <c r="T726" s="247"/>
      <c r="U726" s="247"/>
      <c r="V726" s="247"/>
      <c r="W726" s="247"/>
      <c r="X726" s="247"/>
      <c r="Y726" s="247"/>
      <c r="Z726" s="247"/>
      <c r="AA726" s="247"/>
    </row>
    <row r="727">
      <c r="A727" s="247"/>
      <c r="B727" s="245"/>
      <c r="C727" s="246"/>
      <c r="D727" s="247"/>
      <c r="E727" s="247"/>
      <c r="F727" s="247"/>
      <c r="G727" s="247"/>
      <c r="H727" s="247"/>
      <c r="I727" s="247"/>
      <c r="J727" s="246"/>
      <c r="K727" s="248"/>
      <c r="L727" s="246"/>
      <c r="M727" s="154"/>
      <c r="N727" s="55"/>
      <c r="O727" s="247"/>
      <c r="P727" s="247"/>
      <c r="Q727" s="247"/>
      <c r="R727" s="247"/>
      <c r="S727" s="247"/>
      <c r="T727" s="247"/>
      <c r="U727" s="247"/>
      <c r="V727" s="247"/>
      <c r="W727" s="247"/>
      <c r="X727" s="247"/>
      <c r="Y727" s="247"/>
      <c r="Z727" s="247"/>
      <c r="AA727" s="247"/>
    </row>
    <row r="728">
      <c r="A728" s="247"/>
      <c r="B728" s="245"/>
      <c r="C728" s="246"/>
      <c r="D728" s="247"/>
      <c r="E728" s="247"/>
      <c r="F728" s="247"/>
      <c r="G728" s="247"/>
      <c r="H728" s="247"/>
      <c r="I728" s="247"/>
      <c r="J728" s="246"/>
      <c r="K728" s="248"/>
      <c r="L728" s="246"/>
      <c r="M728" s="154"/>
      <c r="N728" s="55"/>
      <c r="O728" s="247"/>
      <c r="P728" s="247"/>
      <c r="Q728" s="247"/>
      <c r="R728" s="247"/>
      <c r="S728" s="247"/>
      <c r="T728" s="247"/>
      <c r="U728" s="247"/>
      <c r="V728" s="247"/>
      <c r="W728" s="247"/>
      <c r="X728" s="247"/>
      <c r="Y728" s="247"/>
      <c r="Z728" s="247"/>
      <c r="AA728" s="247"/>
    </row>
    <row r="729">
      <c r="A729" s="247"/>
      <c r="B729" s="245"/>
      <c r="C729" s="246"/>
      <c r="D729" s="247"/>
      <c r="E729" s="247"/>
      <c r="F729" s="247"/>
      <c r="G729" s="247"/>
      <c r="H729" s="247"/>
      <c r="I729" s="247"/>
      <c r="J729" s="246"/>
      <c r="K729" s="248"/>
      <c r="L729" s="246"/>
      <c r="M729" s="154"/>
      <c r="N729" s="55"/>
      <c r="O729" s="247"/>
      <c r="P729" s="247"/>
      <c r="Q729" s="247"/>
      <c r="R729" s="247"/>
      <c r="S729" s="247"/>
      <c r="T729" s="247"/>
      <c r="U729" s="247"/>
      <c r="V729" s="247"/>
      <c r="W729" s="247"/>
      <c r="X729" s="247"/>
      <c r="Y729" s="247"/>
      <c r="Z729" s="247"/>
      <c r="AA729" s="247"/>
    </row>
    <row r="730">
      <c r="A730" s="247"/>
      <c r="B730" s="245"/>
      <c r="C730" s="246"/>
      <c r="D730" s="247"/>
      <c r="E730" s="247"/>
      <c r="F730" s="247"/>
      <c r="G730" s="247"/>
      <c r="H730" s="247"/>
      <c r="I730" s="247"/>
      <c r="J730" s="246"/>
      <c r="K730" s="248"/>
      <c r="L730" s="246"/>
      <c r="M730" s="154"/>
      <c r="N730" s="55"/>
      <c r="O730" s="247"/>
      <c r="P730" s="247"/>
      <c r="Q730" s="247"/>
      <c r="R730" s="247"/>
      <c r="S730" s="247"/>
      <c r="T730" s="247"/>
      <c r="U730" s="247"/>
      <c r="V730" s="247"/>
      <c r="W730" s="247"/>
      <c r="X730" s="247"/>
      <c r="Y730" s="247"/>
      <c r="Z730" s="247"/>
      <c r="AA730" s="247"/>
    </row>
    <row r="731">
      <c r="A731" s="247"/>
      <c r="B731" s="245"/>
      <c r="C731" s="246"/>
      <c r="D731" s="247"/>
      <c r="E731" s="247"/>
      <c r="F731" s="247"/>
      <c r="G731" s="247"/>
      <c r="H731" s="247"/>
      <c r="I731" s="247"/>
      <c r="J731" s="246"/>
      <c r="K731" s="248"/>
      <c r="L731" s="246"/>
      <c r="M731" s="154"/>
      <c r="N731" s="55"/>
      <c r="O731" s="247"/>
      <c r="P731" s="247"/>
      <c r="Q731" s="247"/>
      <c r="R731" s="247"/>
      <c r="S731" s="247"/>
      <c r="T731" s="247"/>
      <c r="U731" s="247"/>
      <c r="V731" s="247"/>
      <c r="W731" s="247"/>
      <c r="X731" s="247"/>
      <c r="Y731" s="247"/>
      <c r="Z731" s="247"/>
      <c r="AA731" s="247"/>
    </row>
    <row r="732">
      <c r="A732" s="247"/>
      <c r="B732" s="245"/>
      <c r="C732" s="246"/>
      <c r="D732" s="247"/>
      <c r="E732" s="247"/>
      <c r="F732" s="247"/>
      <c r="G732" s="247"/>
      <c r="H732" s="247"/>
      <c r="I732" s="247"/>
      <c r="J732" s="246"/>
      <c r="K732" s="248"/>
      <c r="L732" s="246"/>
      <c r="M732" s="154"/>
      <c r="N732" s="55"/>
      <c r="O732" s="247"/>
      <c r="P732" s="247"/>
      <c r="Q732" s="247"/>
      <c r="R732" s="247"/>
      <c r="S732" s="247"/>
      <c r="T732" s="247"/>
      <c r="U732" s="247"/>
      <c r="V732" s="247"/>
      <c r="W732" s="247"/>
      <c r="X732" s="247"/>
      <c r="Y732" s="247"/>
      <c r="Z732" s="247"/>
      <c r="AA732" s="247"/>
    </row>
    <row r="733">
      <c r="A733" s="247"/>
      <c r="B733" s="245"/>
      <c r="C733" s="246"/>
      <c r="D733" s="247"/>
      <c r="E733" s="247"/>
      <c r="F733" s="247"/>
      <c r="G733" s="247"/>
      <c r="H733" s="247"/>
      <c r="I733" s="247"/>
      <c r="J733" s="246"/>
      <c r="K733" s="248"/>
      <c r="L733" s="246"/>
      <c r="M733" s="154"/>
      <c r="N733" s="55"/>
      <c r="O733" s="247"/>
      <c r="P733" s="247"/>
      <c r="Q733" s="247"/>
      <c r="R733" s="247"/>
      <c r="S733" s="247"/>
      <c r="T733" s="247"/>
      <c r="U733" s="247"/>
      <c r="V733" s="247"/>
      <c r="W733" s="247"/>
      <c r="X733" s="247"/>
      <c r="Y733" s="247"/>
      <c r="Z733" s="247"/>
      <c r="AA733" s="247"/>
    </row>
    <row r="734">
      <c r="A734" s="247"/>
      <c r="B734" s="245"/>
      <c r="C734" s="246"/>
      <c r="D734" s="247"/>
      <c r="E734" s="247"/>
      <c r="F734" s="247"/>
      <c r="G734" s="247"/>
      <c r="H734" s="247"/>
      <c r="I734" s="247"/>
      <c r="J734" s="246"/>
      <c r="K734" s="248"/>
      <c r="L734" s="246"/>
      <c r="M734" s="154"/>
      <c r="N734" s="55"/>
      <c r="O734" s="247"/>
      <c r="P734" s="247"/>
      <c r="Q734" s="247"/>
      <c r="R734" s="247"/>
      <c r="S734" s="247"/>
      <c r="T734" s="247"/>
      <c r="U734" s="247"/>
      <c r="V734" s="247"/>
      <c r="W734" s="247"/>
      <c r="X734" s="247"/>
      <c r="Y734" s="247"/>
      <c r="Z734" s="247"/>
      <c r="AA734" s="247"/>
    </row>
    <row r="735">
      <c r="A735" s="247"/>
      <c r="B735" s="245"/>
      <c r="C735" s="246"/>
      <c r="D735" s="247"/>
      <c r="E735" s="247"/>
      <c r="F735" s="247"/>
      <c r="G735" s="247"/>
      <c r="H735" s="247"/>
      <c r="I735" s="247"/>
      <c r="J735" s="246"/>
      <c r="K735" s="248"/>
      <c r="L735" s="246"/>
      <c r="M735" s="154"/>
      <c r="N735" s="55"/>
      <c r="O735" s="247"/>
      <c r="P735" s="247"/>
      <c r="Q735" s="247"/>
      <c r="R735" s="247"/>
      <c r="S735" s="247"/>
      <c r="T735" s="247"/>
      <c r="U735" s="247"/>
      <c r="V735" s="247"/>
      <c r="W735" s="247"/>
      <c r="X735" s="247"/>
      <c r="Y735" s="247"/>
      <c r="Z735" s="247"/>
      <c r="AA735" s="247"/>
    </row>
    <row r="736">
      <c r="A736" s="247"/>
      <c r="B736" s="245"/>
      <c r="C736" s="246"/>
      <c r="D736" s="247"/>
      <c r="E736" s="247"/>
      <c r="F736" s="247"/>
      <c r="G736" s="247"/>
      <c r="H736" s="247"/>
      <c r="I736" s="247"/>
      <c r="J736" s="246"/>
      <c r="K736" s="248"/>
      <c r="L736" s="246"/>
      <c r="M736" s="154"/>
      <c r="N736" s="55"/>
      <c r="O736" s="247"/>
      <c r="P736" s="247"/>
      <c r="Q736" s="247"/>
      <c r="R736" s="247"/>
      <c r="S736" s="247"/>
      <c r="T736" s="247"/>
      <c r="U736" s="247"/>
      <c r="V736" s="247"/>
      <c r="W736" s="247"/>
      <c r="X736" s="247"/>
      <c r="Y736" s="247"/>
      <c r="Z736" s="247"/>
      <c r="AA736" s="247"/>
    </row>
    <row r="737">
      <c r="A737" s="247"/>
      <c r="B737" s="245"/>
      <c r="C737" s="246"/>
      <c r="D737" s="247"/>
      <c r="E737" s="247"/>
      <c r="F737" s="247"/>
      <c r="G737" s="247"/>
      <c r="H737" s="247"/>
      <c r="I737" s="247"/>
      <c r="J737" s="246"/>
      <c r="K737" s="248"/>
      <c r="L737" s="246"/>
      <c r="M737" s="154"/>
      <c r="N737" s="55"/>
      <c r="O737" s="247"/>
      <c r="P737" s="247"/>
      <c r="Q737" s="247"/>
      <c r="R737" s="247"/>
      <c r="S737" s="247"/>
      <c r="T737" s="247"/>
      <c r="U737" s="247"/>
      <c r="V737" s="247"/>
      <c r="W737" s="247"/>
      <c r="X737" s="247"/>
      <c r="Y737" s="247"/>
      <c r="Z737" s="247"/>
      <c r="AA737" s="247"/>
    </row>
    <row r="738">
      <c r="A738" s="247"/>
      <c r="B738" s="245"/>
      <c r="C738" s="246"/>
      <c r="D738" s="247"/>
      <c r="E738" s="247"/>
      <c r="F738" s="247"/>
      <c r="G738" s="247"/>
      <c r="H738" s="247"/>
      <c r="I738" s="247"/>
      <c r="J738" s="246"/>
      <c r="K738" s="248"/>
      <c r="L738" s="246"/>
      <c r="M738" s="154"/>
      <c r="N738" s="55"/>
      <c r="O738" s="247"/>
      <c r="P738" s="247"/>
      <c r="Q738" s="247"/>
      <c r="R738" s="247"/>
      <c r="S738" s="247"/>
      <c r="T738" s="247"/>
      <c r="U738" s="247"/>
      <c r="V738" s="247"/>
      <c r="W738" s="247"/>
      <c r="X738" s="247"/>
      <c r="Y738" s="247"/>
      <c r="Z738" s="247"/>
      <c r="AA738" s="247"/>
    </row>
    <row r="739">
      <c r="A739" s="247"/>
      <c r="B739" s="245"/>
      <c r="C739" s="246"/>
      <c r="D739" s="247"/>
      <c r="E739" s="247"/>
      <c r="F739" s="247"/>
      <c r="G739" s="247"/>
      <c r="H739" s="247"/>
      <c r="I739" s="247"/>
      <c r="J739" s="246"/>
      <c r="K739" s="248"/>
      <c r="L739" s="246"/>
      <c r="M739" s="154"/>
      <c r="N739" s="55"/>
      <c r="O739" s="247"/>
      <c r="P739" s="247"/>
      <c r="Q739" s="247"/>
      <c r="R739" s="247"/>
      <c r="S739" s="247"/>
      <c r="T739" s="247"/>
      <c r="U739" s="247"/>
      <c r="V739" s="247"/>
      <c r="W739" s="247"/>
      <c r="X739" s="247"/>
      <c r="Y739" s="247"/>
      <c r="Z739" s="247"/>
      <c r="AA739" s="247"/>
    </row>
    <row r="740">
      <c r="A740" s="247"/>
      <c r="B740" s="245"/>
      <c r="C740" s="246"/>
      <c r="D740" s="247"/>
      <c r="E740" s="247"/>
      <c r="F740" s="247"/>
      <c r="G740" s="247"/>
      <c r="H740" s="247"/>
      <c r="I740" s="247"/>
      <c r="J740" s="246"/>
      <c r="K740" s="248"/>
      <c r="L740" s="246"/>
      <c r="M740" s="154"/>
      <c r="N740" s="55"/>
      <c r="O740" s="247"/>
      <c r="P740" s="247"/>
      <c r="Q740" s="247"/>
      <c r="R740" s="247"/>
      <c r="S740" s="247"/>
      <c r="T740" s="247"/>
      <c r="U740" s="247"/>
      <c r="V740" s="247"/>
      <c r="W740" s="247"/>
      <c r="X740" s="247"/>
      <c r="Y740" s="247"/>
      <c r="Z740" s="247"/>
      <c r="AA740" s="247"/>
    </row>
    <row r="741">
      <c r="A741" s="247"/>
      <c r="B741" s="245"/>
      <c r="C741" s="246"/>
      <c r="D741" s="247"/>
      <c r="E741" s="247"/>
      <c r="F741" s="247"/>
      <c r="G741" s="247"/>
      <c r="H741" s="247"/>
      <c r="I741" s="247"/>
      <c r="J741" s="246"/>
      <c r="K741" s="248"/>
      <c r="L741" s="246"/>
      <c r="M741" s="154"/>
      <c r="N741" s="55"/>
      <c r="O741" s="247"/>
      <c r="P741" s="247"/>
      <c r="Q741" s="247"/>
      <c r="R741" s="247"/>
      <c r="S741" s="247"/>
      <c r="T741" s="247"/>
      <c r="U741" s="247"/>
      <c r="V741" s="247"/>
      <c r="W741" s="247"/>
      <c r="X741" s="247"/>
      <c r="Y741" s="247"/>
      <c r="Z741" s="247"/>
      <c r="AA741" s="247"/>
    </row>
    <row r="742">
      <c r="A742" s="247"/>
      <c r="B742" s="245"/>
      <c r="C742" s="246"/>
      <c r="D742" s="247"/>
      <c r="E742" s="247"/>
      <c r="F742" s="247"/>
      <c r="G742" s="247"/>
      <c r="H742" s="247"/>
      <c r="I742" s="247"/>
      <c r="J742" s="246"/>
      <c r="K742" s="248"/>
      <c r="L742" s="246"/>
      <c r="M742" s="154"/>
      <c r="N742" s="55"/>
      <c r="O742" s="247"/>
      <c r="P742" s="247"/>
      <c r="Q742" s="247"/>
      <c r="R742" s="247"/>
      <c r="S742" s="247"/>
      <c r="T742" s="247"/>
      <c r="U742" s="247"/>
      <c r="V742" s="247"/>
      <c r="W742" s="247"/>
      <c r="X742" s="247"/>
      <c r="Y742" s="247"/>
      <c r="Z742" s="247"/>
      <c r="AA742" s="247"/>
    </row>
    <row r="743">
      <c r="A743" s="247"/>
      <c r="B743" s="245"/>
      <c r="C743" s="246"/>
      <c r="D743" s="247"/>
      <c r="E743" s="247"/>
      <c r="F743" s="247"/>
      <c r="G743" s="247"/>
      <c r="H743" s="247"/>
      <c r="I743" s="247"/>
      <c r="J743" s="246"/>
      <c r="K743" s="248"/>
      <c r="L743" s="246"/>
      <c r="M743" s="154"/>
      <c r="N743" s="55"/>
      <c r="O743" s="247"/>
      <c r="P743" s="247"/>
      <c r="Q743" s="247"/>
      <c r="R743" s="247"/>
      <c r="S743" s="247"/>
      <c r="T743" s="247"/>
      <c r="U743" s="247"/>
      <c r="V743" s="247"/>
      <c r="W743" s="247"/>
      <c r="X743" s="247"/>
      <c r="Y743" s="247"/>
      <c r="Z743" s="247"/>
      <c r="AA743" s="247"/>
    </row>
    <row r="744">
      <c r="A744" s="247"/>
      <c r="B744" s="245"/>
      <c r="C744" s="246"/>
      <c r="D744" s="247"/>
      <c r="E744" s="247"/>
      <c r="F744" s="247"/>
      <c r="G744" s="247"/>
      <c r="H744" s="247"/>
      <c r="I744" s="247"/>
      <c r="J744" s="246"/>
      <c r="K744" s="248"/>
      <c r="L744" s="246"/>
      <c r="M744" s="154"/>
      <c r="N744" s="55"/>
      <c r="O744" s="247"/>
      <c r="P744" s="247"/>
      <c r="Q744" s="247"/>
      <c r="R744" s="247"/>
      <c r="S744" s="247"/>
      <c r="T744" s="247"/>
      <c r="U744" s="247"/>
      <c r="V744" s="247"/>
      <c r="W744" s="247"/>
      <c r="X744" s="247"/>
      <c r="Y744" s="247"/>
      <c r="Z744" s="247"/>
      <c r="AA744" s="247"/>
    </row>
    <row r="745">
      <c r="A745" s="247"/>
      <c r="B745" s="245"/>
      <c r="C745" s="246"/>
      <c r="D745" s="247"/>
      <c r="E745" s="247"/>
      <c r="F745" s="247"/>
      <c r="G745" s="247"/>
      <c r="H745" s="247"/>
      <c r="I745" s="247"/>
      <c r="J745" s="246"/>
      <c r="K745" s="248"/>
      <c r="L745" s="246"/>
      <c r="M745" s="154"/>
      <c r="N745" s="55"/>
      <c r="O745" s="247"/>
      <c r="P745" s="247"/>
      <c r="Q745" s="247"/>
      <c r="R745" s="247"/>
      <c r="S745" s="247"/>
      <c r="T745" s="247"/>
      <c r="U745" s="247"/>
      <c r="V745" s="247"/>
      <c r="W745" s="247"/>
      <c r="X745" s="247"/>
      <c r="Y745" s="247"/>
      <c r="Z745" s="247"/>
      <c r="AA745" s="247"/>
    </row>
    <row r="746">
      <c r="A746" s="247"/>
      <c r="B746" s="245"/>
      <c r="C746" s="246"/>
      <c r="D746" s="247"/>
      <c r="E746" s="247"/>
      <c r="F746" s="247"/>
      <c r="G746" s="247"/>
      <c r="H746" s="247"/>
      <c r="I746" s="247"/>
      <c r="J746" s="246"/>
      <c r="K746" s="248"/>
      <c r="L746" s="246"/>
      <c r="M746" s="154"/>
      <c r="N746" s="55"/>
      <c r="O746" s="247"/>
      <c r="P746" s="247"/>
      <c r="Q746" s="247"/>
      <c r="R746" s="247"/>
      <c r="S746" s="247"/>
      <c r="T746" s="247"/>
      <c r="U746" s="247"/>
      <c r="V746" s="247"/>
      <c r="W746" s="247"/>
      <c r="X746" s="247"/>
      <c r="Y746" s="247"/>
      <c r="Z746" s="247"/>
      <c r="AA746" s="247"/>
    </row>
    <row r="747">
      <c r="A747" s="247"/>
      <c r="B747" s="245"/>
      <c r="C747" s="246"/>
      <c r="D747" s="247"/>
      <c r="E747" s="247"/>
      <c r="F747" s="247"/>
      <c r="G747" s="247"/>
      <c r="H747" s="247"/>
      <c r="I747" s="247"/>
      <c r="J747" s="246"/>
      <c r="K747" s="248"/>
      <c r="L747" s="246"/>
      <c r="M747" s="154"/>
      <c r="N747" s="55"/>
      <c r="O747" s="247"/>
      <c r="P747" s="247"/>
      <c r="Q747" s="247"/>
      <c r="R747" s="247"/>
      <c r="S747" s="247"/>
      <c r="T747" s="247"/>
      <c r="U747" s="247"/>
      <c r="V747" s="247"/>
      <c r="W747" s="247"/>
      <c r="X747" s="247"/>
      <c r="Y747" s="247"/>
      <c r="Z747" s="247"/>
      <c r="AA747" s="247"/>
    </row>
    <row r="748">
      <c r="A748" s="247"/>
      <c r="B748" s="245"/>
      <c r="C748" s="246"/>
      <c r="D748" s="247"/>
      <c r="E748" s="247"/>
      <c r="F748" s="247"/>
      <c r="G748" s="247"/>
      <c r="H748" s="247"/>
      <c r="I748" s="247"/>
      <c r="J748" s="246"/>
      <c r="K748" s="248"/>
      <c r="L748" s="246"/>
      <c r="M748" s="154"/>
      <c r="N748" s="55"/>
      <c r="O748" s="247"/>
      <c r="P748" s="247"/>
      <c r="Q748" s="247"/>
      <c r="R748" s="247"/>
      <c r="S748" s="247"/>
      <c r="T748" s="247"/>
      <c r="U748" s="247"/>
      <c r="V748" s="247"/>
      <c r="W748" s="247"/>
      <c r="X748" s="247"/>
      <c r="Y748" s="247"/>
      <c r="Z748" s="247"/>
      <c r="AA748" s="247"/>
    </row>
    <row r="749">
      <c r="A749" s="247"/>
      <c r="B749" s="245"/>
      <c r="C749" s="246"/>
      <c r="D749" s="247"/>
      <c r="E749" s="247"/>
      <c r="F749" s="247"/>
      <c r="G749" s="247"/>
      <c r="H749" s="247"/>
      <c r="I749" s="247"/>
      <c r="J749" s="246"/>
      <c r="K749" s="248"/>
      <c r="L749" s="246"/>
      <c r="M749" s="154"/>
      <c r="N749" s="55"/>
      <c r="O749" s="247"/>
      <c r="P749" s="247"/>
      <c r="Q749" s="247"/>
      <c r="R749" s="247"/>
      <c r="S749" s="247"/>
      <c r="T749" s="247"/>
      <c r="U749" s="247"/>
      <c r="V749" s="247"/>
      <c r="W749" s="247"/>
      <c r="X749" s="247"/>
      <c r="Y749" s="247"/>
      <c r="Z749" s="247"/>
      <c r="AA749" s="247"/>
    </row>
    <row r="750">
      <c r="A750" s="247"/>
      <c r="B750" s="245"/>
      <c r="C750" s="246"/>
      <c r="D750" s="247"/>
      <c r="E750" s="247"/>
      <c r="F750" s="247"/>
      <c r="G750" s="247"/>
      <c r="H750" s="247"/>
      <c r="I750" s="247"/>
      <c r="J750" s="246"/>
      <c r="K750" s="248"/>
      <c r="L750" s="246"/>
      <c r="M750" s="154"/>
      <c r="N750" s="55"/>
      <c r="O750" s="247"/>
      <c r="P750" s="247"/>
      <c r="Q750" s="247"/>
      <c r="R750" s="247"/>
      <c r="S750" s="247"/>
      <c r="T750" s="247"/>
      <c r="U750" s="247"/>
      <c r="V750" s="247"/>
      <c r="W750" s="247"/>
      <c r="X750" s="247"/>
      <c r="Y750" s="247"/>
      <c r="Z750" s="247"/>
      <c r="AA750" s="247"/>
    </row>
    <row r="751">
      <c r="A751" s="247"/>
      <c r="B751" s="245"/>
      <c r="C751" s="246"/>
      <c r="D751" s="247"/>
      <c r="E751" s="247"/>
      <c r="F751" s="247"/>
      <c r="G751" s="247"/>
      <c r="H751" s="247"/>
      <c r="I751" s="247"/>
      <c r="J751" s="246"/>
      <c r="K751" s="248"/>
      <c r="L751" s="246"/>
      <c r="M751" s="154"/>
      <c r="N751" s="55"/>
      <c r="O751" s="247"/>
      <c r="P751" s="247"/>
      <c r="Q751" s="247"/>
      <c r="R751" s="247"/>
      <c r="S751" s="247"/>
      <c r="T751" s="247"/>
      <c r="U751" s="247"/>
      <c r="V751" s="247"/>
      <c r="W751" s="247"/>
      <c r="X751" s="247"/>
      <c r="Y751" s="247"/>
      <c r="Z751" s="247"/>
      <c r="AA751" s="247"/>
    </row>
    <row r="752">
      <c r="A752" s="247"/>
      <c r="B752" s="245"/>
      <c r="C752" s="246"/>
      <c r="D752" s="247"/>
      <c r="E752" s="247"/>
      <c r="F752" s="247"/>
      <c r="G752" s="247"/>
      <c r="H752" s="247"/>
      <c r="I752" s="247"/>
      <c r="J752" s="246"/>
      <c r="K752" s="248"/>
      <c r="L752" s="246"/>
      <c r="M752" s="154"/>
      <c r="N752" s="55"/>
      <c r="O752" s="247"/>
      <c r="P752" s="247"/>
      <c r="Q752" s="247"/>
      <c r="R752" s="247"/>
      <c r="S752" s="247"/>
      <c r="T752" s="247"/>
      <c r="U752" s="247"/>
      <c r="V752" s="247"/>
      <c r="W752" s="247"/>
      <c r="X752" s="247"/>
      <c r="Y752" s="247"/>
      <c r="Z752" s="247"/>
      <c r="AA752" s="247"/>
    </row>
    <row r="753">
      <c r="A753" s="247"/>
      <c r="B753" s="245"/>
      <c r="C753" s="246"/>
      <c r="D753" s="247"/>
      <c r="E753" s="247"/>
      <c r="F753" s="247"/>
      <c r="G753" s="247"/>
      <c r="H753" s="247"/>
      <c r="I753" s="247"/>
      <c r="J753" s="246"/>
      <c r="K753" s="248"/>
      <c r="L753" s="246"/>
      <c r="M753" s="154"/>
      <c r="N753" s="55"/>
      <c r="O753" s="247"/>
      <c r="P753" s="247"/>
      <c r="Q753" s="247"/>
      <c r="R753" s="247"/>
      <c r="S753" s="247"/>
      <c r="T753" s="247"/>
      <c r="U753" s="247"/>
      <c r="V753" s="247"/>
      <c r="W753" s="247"/>
      <c r="X753" s="247"/>
      <c r="Y753" s="247"/>
      <c r="Z753" s="247"/>
      <c r="AA753" s="247"/>
    </row>
    <row r="754">
      <c r="A754" s="247"/>
      <c r="B754" s="245"/>
      <c r="C754" s="246"/>
      <c r="D754" s="247"/>
      <c r="E754" s="247"/>
      <c r="F754" s="247"/>
      <c r="G754" s="247"/>
      <c r="H754" s="247"/>
      <c r="I754" s="247"/>
      <c r="J754" s="246"/>
      <c r="K754" s="248"/>
      <c r="L754" s="246"/>
      <c r="M754" s="154"/>
      <c r="N754" s="55"/>
      <c r="O754" s="247"/>
      <c r="P754" s="247"/>
      <c r="Q754" s="247"/>
      <c r="R754" s="247"/>
      <c r="S754" s="247"/>
      <c r="T754" s="247"/>
      <c r="U754" s="247"/>
      <c r="V754" s="247"/>
      <c r="W754" s="247"/>
      <c r="X754" s="247"/>
      <c r="Y754" s="247"/>
      <c r="Z754" s="247"/>
      <c r="AA754" s="247"/>
    </row>
    <row r="755">
      <c r="A755" s="247"/>
      <c r="B755" s="245"/>
      <c r="C755" s="246"/>
      <c r="D755" s="247"/>
      <c r="E755" s="247"/>
      <c r="F755" s="247"/>
      <c r="G755" s="247"/>
      <c r="H755" s="247"/>
      <c r="I755" s="247"/>
      <c r="J755" s="246"/>
      <c r="K755" s="248"/>
      <c r="L755" s="246"/>
      <c r="M755" s="154"/>
      <c r="N755" s="55"/>
      <c r="O755" s="247"/>
      <c r="P755" s="247"/>
      <c r="Q755" s="247"/>
      <c r="R755" s="247"/>
      <c r="S755" s="247"/>
      <c r="T755" s="247"/>
      <c r="U755" s="247"/>
      <c r="V755" s="247"/>
      <c r="W755" s="247"/>
      <c r="X755" s="247"/>
      <c r="Y755" s="247"/>
      <c r="Z755" s="247"/>
      <c r="AA755" s="247"/>
    </row>
    <row r="756">
      <c r="A756" s="247"/>
      <c r="B756" s="245"/>
      <c r="C756" s="246"/>
      <c r="D756" s="247"/>
      <c r="E756" s="247"/>
      <c r="F756" s="247"/>
      <c r="G756" s="247"/>
      <c r="H756" s="247"/>
      <c r="I756" s="247"/>
      <c r="J756" s="246"/>
      <c r="K756" s="248"/>
      <c r="L756" s="246"/>
      <c r="M756" s="154"/>
      <c r="N756" s="55"/>
      <c r="O756" s="247"/>
      <c r="P756" s="247"/>
      <c r="Q756" s="247"/>
      <c r="R756" s="247"/>
      <c r="S756" s="247"/>
      <c r="T756" s="247"/>
      <c r="U756" s="247"/>
      <c r="V756" s="247"/>
      <c r="W756" s="247"/>
      <c r="X756" s="247"/>
      <c r="Y756" s="247"/>
      <c r="Z756" s="247"/>
      <c r="AA756" s="247"/>
    </row>
    <row r="757">
      <c r="A757" s="247"/>
      <c r="B757" s="245"/>
      <c r="C757" s="246"/>
      <c r="D757" s="247"/>
      <c r="E757" s="247"/>
      <c r="F757" s="247"/>
      <c r="G757" s="247"/>
      <c r="H757" s="247"/>
      <c r="I757" s="247"/>
      <c r="J757" s="246"/>
      <c r="K757" s="248"/>
      <c r="L757" s="246"/>
      <c r="M757" s="154"/>
      <c r="N757" s="55"/>
      <c r="O757" s="247"/>
      <c r="P757" s="247"/>
      <c r="Q757" s="247"/>
      <c r="R757" s="247"/>
      <c r="S757" s="247"/>
      <c r="T757" s="247"/>
      <c r="U757" s="247"/>
      <c r="V757" s="247"/>
      <c r="W757" s="247"/>
      <c r="X757" s="247"/>
      <c r="Y757" s="247"/>
      <c r="Z757" s="247"/>
      <c r="AA757" s="247"/>
    </row>
    <row r="758">
      <c r="A758" s="247"/>
      <c r="B758" s="245"/>
      <c r="C758" s="246"/>
      <c r="D758" s="247"/>
      <c r="E758" s="247"/>
      <c r="F758" s="247"/>
      <c r="G758" s="247"/>
      <c r="H758" s="247"/>
      <c r="I758" s="247"/>
      <c r="J758" s="246"/>
      <c r="K758" s="248"/>
      <c r="L758" s="246"/>
      <c r="M758" s="154"/>
      <c r="N758" s="55"/>
      <c r="O758" s="247"/>
      <c r="P758" s="247"/>
      <c r="Q758" s="247"/>
      <c r="R758" s="247"/>
      <c r="S758" s="247"/>
      <c r="T758" s="247"/>
      <c r="U758" s="247"/>
      <c r="V758" s="247"/>
      <c r="W758" s="247"/>
      <c r="X758" s="247"/>
      <c r="Y758" s="247"/>
      <c r="Z758" s="247"/>
      <c r="AA758" s="247"/>
    </row>
    <row r="759">
      <c r="A759" s="247"/>
      <c r="B759" s="245"/>
      <c r="C759" s="246"/>
      <c r="D759" s="247"/>
      <c r="E759" s="247"/>
      <c r="F759" s="247"/>
      <c r="G759" s="247"/>
      <c r="H759" s="247"/>
      <c r="I759" s="247"/>
      <c r="J759" s="246"/>
      <c r="K759" s="248"/>
      <c r="L759" s="246"/>
      <c r="M759" s="154"/>
      <c r="N759" s="55"/>
      <c r="O759" s="247"/>
      <c r="P759" s="247"/>
      <c r="Q759" s="247"/>
      <c r="R759" s="247"/>
      <c r="S759" s="247"/>
      <c r="T759" s="247"/>
      <c r="U759" s="247"/>
      <c r="V759" s="247"/>
      <c r="W759" s="247"/>
      <c r="X759" s="247"/>
      <c r="Y759" s="247"/>
      <c r="Z759" s="247"/>
      <c r="AA759" s="247"/>
    </row>
    <row r="760">
      <c r="A760" s="247"/>
      <c r="B760" s="245"/>
      <c r="C760" s="246"/>
      <c r="D760" s="247"/>
      <c r="E760" s="247"/>
      <c r="F760" s="247"/>
      <c r="G760" s="247"/>
      <c r="H760" s="247"/>
      <c r="I760" s="247"/>
      <c r="J760" s="246"/>
      <c r="K760" s="248"/>
      <c r="L760" s="246"/>
      <c r="M760" s="154"/>
      <c r="N760" s="55"/>
      <c r="O760" s="247"/>
      <c r="P760" s="247"/>
      <c r="Q760" s="247"/>
      <c r="R760" s="247"/>
      <c r="S760" s="247"/>
      <c r="T760" s="247"/>
      <c r="U760" s="247"/>
      <c r="V760" s="247"/>
      <c r="W760" s="247"/>
      <c r="X760" s="247"/>
      <c r="Y760" s="247"/>
      <c r="Z760" s="247"/>
      <c r="AA760" s="247"/>
    </row>
    <row r="761">
      <c r="A761" s="247"/>
      <c r="B761" s="245"/>
      <c r="C761" s="246"/>
      <c r="D761" s="247"/>
      <c r="E761" s="247"/>
      <c r="F761" s="247"/>
      <c r="G761" s="247"/>
      <c r="H761" s="247"/>
      <c r="I761" s="247"/>
      <c r="J761" s="246"/>
      <c r="K761" s="248"/>
      <c r="L761" s="246"/>
      <c r="M761" s="154"/>
      <c r="N761" s="55"/>
      <c r="O761" s="247"/>
      <c r="P761" s="247"/>
      <c r="Q761" s="247"/>
      <c r="R761" s="247"/>
      <c r="S761" s="247"/>
      <c r="T761" s="247"/>
      <c r="U761" s="247"/>
      <c r="V761" s="247"/>
      <c r="W761" s="247"/>
      <c r="X761" s="247"/>
      <c r="Y761" s="247"/>
      <c r="Z761" s="247"/>
      <c r="AA761" s="247"/>
    </row>
    <row r="762">
      <c r="A762" s="247"/>
      <c r="B762" s="245"/>
      <c r="C762" s="246"/>
      <c r="D762" s="247"/>
      <c r="E762" s="247"/>
      <c r="F762" s="247"/>
      <c r="G762" s="247"/>
      <c r="H762" s="247"/>
      <c r="I762" s="247"/>
      <c r="J762" s="246"/>
      <c r="K762" s="248"/>
      <c r="L762" s="246"/>
      <c r="M762" s="154"/>
      <c r="N762" s="55"/>
      <c r="O762" s="247"/>
      <c r="P762" s="247"/>
      <c r="Q762" s="247"/>
      <c r="R762" s="247"/>
      <c r="S762" s="247"/>
      <c r="T762" s="247"/>
      <c r="U762" s="247"/>
      <c r="V762" s="247"/>
      <c r="W762" s="247"/>
      <c r="X762" s="247"/>
      <c r="Y762" s="247"/>
      <c r="Z762" s="247"/>
      <c r="AA762" s="247"/>
    </row>
    <row r="763">
      <c r="A763" s="247"/>
      <c r="B763" s="245"/>
      <c r="C763" s="246"/>
      <c r="D763" s="247"/>
      <c r="E763" s="247"/>
      <c r="F763" s="247"/>
      <c r="G763" s="247"/>
      <c r="H763" s="247"/>
      <c r="I763" s="247"/>
      <c r="J763" s="246"/>
      <c r="K763" s="248"/>
      <c r="L763" s="246"/>
      <c r="M763" s="154"/>
      <c r="N763" s="55"/>
      <c r="O763" s="247"/>
      <c r="P763" s="247"/>
      <c r="Q763" s="247"/>
      <c r="R763" s="247"/>
      <c r="S763" s="247"/>
      <c r="T763" s="247"/>
      <c r="U763" s="247"/>
      <c r="V763" s="247"/>
      <c r="W763" s="247"/>
      <c r="X763" s="247"/>
      <c r="Y763" s="247"/>
      <c r="Z763" s="247"/>
      <c r="AA763" s="247"/>
    </row>
    <row r="764">
      <c r="A764" s="247"/>
      <c r="B764" s="245"/>
      <c r="C764" s="246"/>
      <c r="D764" s="247"/>
      <c r="E764" s="247"/>
      <c r="F764" s="247"/>
      <c r="G764" s="247"/>
      <c r="H764" s="247"/>
      <c r="I764" s="247"/>
      <c r="J764" s="246"/>
      <c r="K764" s="248"/>
      <c r="L764" s="246"/>
      <c r="M764" s="154"/>
      <c r="N764" s="55"/>
      <c r="O764" s="247"/>
      <c r="P764" s="247"/>
      <c r="Q764" s="247"/>
      <c r="R764" s="247"/>
      <c r="S764" s="247"/>
      <c r="T764" s="247"/>
      <c r="U764" s="247"/>
      <c r="V764" s="247"/>
      <c r="W764" s="247"/>
      <c r="X764" s="247"/>
      <c r="Y764" s="247"/>
      <c r="Z764" s="247"/>
      <c r="AA764" s="247"/>
    </row>
    <row r="765">
      <c r="A765" s="247"/>
      <c r="B765" s="245"/>
      <c r="C765" s="246"/>
      <c r="D765" s="247"/>
      <c r="E765" s="247"/>
      <c r="F765" s="247"/>
      <c r="G765" s="247"/>
      <c r="H765" s="247"/>
      <c r="I765" s="247"/>
      <c r="J765" s="246"/>
      <c r="K765" s="248"/>
      <c r="L765" s="246"/>
      <c r="M765" s="154"/>
      <c r="N765" s="55"/>
      <c r="O765" s="247"/>
      <c r="P765" s="247"/>
      <c r="Q765" s="247"/>
      <c r="R765" s="247"/>
      <c r="S765" s="247"/>
      <c r="T765" s="247"/>
      <c r="U765" s="247"/>
      <c r="V765" s="247"/>
      <c r="W765" s="247"/>
      <c r="X765" s="247"/>
      <c r="Y765" s="247"/>
      <c r="Z765" s="247"/>
      <c r="AA765" s="247"/>
    </row>
    <row r="766">
      <c r="A766" s="247"/>
      <c r="B766" s="245"/>
      <c r="C766" s="246"/>
      <c r="D766" s="247"/>
      <c r="E766" s="247"/>
      <c r="F766" s="247"/>
      <c r="G766" s="247"/>
      <c r="H766" s="247"/>
      <c r="I766" s="247"/>
      <c r="J766" s="246"/>
      <c r="K766" s="248"/>
      <c r="L766" s="246"/>
      <c r="M766" s="154"/>
      <c r="N766" s="55"/>
      <c r="O766" s="247"/>
      <c r="P766" s="247"/>
      <c r="Q766" s="247"/>
      <c r="R766" s="247"/>
      <c r="S766" s="247"/>
      <c r="T766" s="247"/>
      <c r="U766" s="247"/>
      <c r="V766" s="247"/>
      <c r="W766" s="247"/>
      <c r="X766" s="247"/>
      <c r="Y766" s="247"/>
      <c r="Z766" s="247"/>
      <c r="AA766" s="247"/>
    </row>
    <row r="767">
      <c r="A767" s="247"/>
      <c r="B767" s="245"/>
      <c r="C767" s="246"/>
      <c r="D767" s="247"/>
      <c r="E767" s="247"/>
      <c r="F767" s="247"/>
      <c r="G767" s="247"/>
      <c r="H767" s="247"/>
      <c r="I767" s="247"/>
      <c r="J767" s="246"/>
      <c r="K767" s="248"/>
      <c r="L767" s="246"/>
      <c r="M767" s="154"/>
      <c r="N767" s="55"/>
      <c r="O767" s="247"/>
      <c r="P767" s="247"/>
      <c r="Q767" s="247"/>
      <c r="R767" s="247"/>
      <c r="S767" s="247"/>
      <c r="T767" s="247"/>
      <c r="U767" s="247"/>
      <c r="V767" s="247"/>
      <c r="W767" s="247"/>
      <c r="X767" s="247"/>
      <c r="Y767" s="247"/>
      <c r="Z767" s="247"/>
      <c r="AA767" s="247"/>
    </row>
    <row r="768">
      <c r="A768" s="247"/>
      <c r="B768" s="245"/>
      <c r="C768" s="246"/>
      <c r="D768" s="247"/>
      <c r="E768" s="247"/>
      <c r="F768" s="247"/>
      <c r="G768" s="247"/>
      <c r="H768" s="247"/>
      <c r="I768" s="247"/>
      <c r="J768" s="246"/>
      <c r="K768" s="248"/>
      <c r="L768" s="246"/>
      <c r="M768" s="154"/>
      <c r="N768" s="55"/>
      <c r="O768" s="247"/>
      <c r="P768" s="247"/>
      <c r="Q768" s="247"/>
      <c r="R768" s="247"/>
      <c r="S768" s="247"/>
      <c r="T768" s="247"/>
      <c r="U768" s="247"/>
      <c r="V768" s="247"/>
      <c r="W768" s="247"/>
      <c r="X768" s="247"/>
      <c r="Y768" s="247"/>
      <c r="Z768" s="247"/>
      <c r="AA768" s="247"/>
    </row>
    <row r="769">
      <c r="A769" s="247"/>
      <c r="B769" s="245"/>
      <c r="C769" s="246"/>
      <c r="D769" s="247"/>
      <c r="E769" s="247"/>
      <c r="F769" s="247"/>
      <c r="G769" s="247"/>
      <c r="H769" s="247"/>
      <c r="I769" s="247"/>
      <c r="J769" s="246"/>
      <c r="K769" s="248"/>
      <c r="L769" s="246"/>
      <c r="M769" s="154"/>
      <c r="N769" s="55"/>
      <c r="O769" s="247"/>
      <c r="P769" s="247"/>
      <c r="Q769" s="247"/>
      <c r="R769" s="247"/>
      <c r="S769" s="247"/>
      <c r="T769" s="247"/>
      <c r="U769" s="247"/>
      <c r="V769" s="247"/>
      <c r="W769" s="247"/>
      <c r="X769" s="247"/>
      <c r="Y769" s="247"/>
      <c r="Z769" s="247"/>
      <c r="AA769" s="247"/>
    </row>
    <row r="770">
      <c r="A770" s="247"/>
      <c r="B770" s="245"/>
      <c r="C770" s="246"/>
      <c r="D770" s="247"/>
      <c r="E770" s="247"/>
      <c r="F770" s="247"/>
      <c r="G770" s="247"/>
      <c r="H770" s="247"/>
      <c r="I770" s="247"/>
      <c r="J770" s="246"/>
      <c r="K770" s="248"/>
      <c r="L770" s="246"/>
      <c r="M770" s="154"/>
      <c r="N770" s="55"/>
      <c r="O770" s="247"/>
      <c r="P770" s="247"/>
      <c r="Q770" s="247"/>
      <c r="R770" s="247"/>
      <c r="S770" s="247"/>
      <c r="T770" s="247"/>
      <c r="U770" s="247"/>
      <c r="V770" s="247"/>
      <c r="W770" s="247"/>
      <c r="X770" s="247"/>
      <c r="Y770" s="247"/>
      <c r="Z770" s="247"/>
      <c r="AA770" s="247"/>
    </row>
    <row r="771">
      <c r="A771" s="247"/>
      <c r="B771" s="245"/>
      <c r="C771" s="246"/>
      <c r="D771" s="247"/>
      <c r="E771" s="247"/>
      <c r="F771" s="247"/>
      <c r="G771" s="247"/>
      <c r="H771" s="247"/>
      <c r="I771" s="247"/>
      <c r="J771" s="246"/>
      <c r="K771" s="248"/>
      <c r="L771" s="246"/>
      <c r="M771" s="154"/>
      <c r="N771" s="55"/>
      <c r="O771" s="247"/>
      <c r="P771" s="247"/>
      <c r="Q771" s="247"/>
      <c r="R771" s="247"/>
      <c r="S771" s="247"/>
      <c r="T771" s="247"/>
      <c r="U771" s="247"/>
      <c r="V771" s="247"/>
      <c r="W771" s="247"/>
      <c r="X771" s="247"/>
      <c r="Y771" s="247"/>
      <c r="Z771" s="247"/>
      <c r="AA771" s="247"/>
    </row>
    <row r="772">
      <c r="A772" s="247"/>
      <c r="B772" s="245"/>
      <c r="C772" s="246"/>
      <c r="D772" s="247"/>
      <c r="E772" s="247"/>
      <c r="F772" s="247"/>
      <c r="G772" s="247"/>
      <c r="H772" s="247"/>
      <c r="I772" s="247"/>
      <c r="J772" s="246"/>
      <c r="K772" s="248"/>
      <c r="L772" s="246"/>
      <c r="M772" s="154"/>
      <c r="N772" s="55"/>
      <c r="O772" s="247"/>
      <c r="P772" s="247"/>
      <c r="Q772" s="247"/>
      <c r="R772" s="247"/>
      <c r="S772" s="247"/>
      <c r="T772" s="247"/>
      <c r="U772" s="247"/>
      <c r="V772" s="247"/>
      <c r="W772" s="247"/>
      <c r="X772" s="247"/>
      <c r="Y772" s="247"/>
      <c r="Z772" s="247"/>
      <c r="AA772" s="247"/>
    </row>
    <row r="773">
      <c r="A773" s="247"/>
      <c r="B773" s="245"/>
      <c r="C773" s="246"/>
      <c r="D773" s="247"/>
      <c r="E773" s="247"/>
      <c r="F773" s="247"/>
      <c r="G773" s="247"/>
      <c r="H773" s="247"/>
      <c r="I773" s="247"/>
      <c r="J773" s="246"/>
      <c r="K773" s="248"/>
      <c r="L773" s="246"/>
      <c r="M773" s="154"/>
      <c r="N773" s="55"/>
      <c r="O773" s="247"/>
      <c r="P773" s="247"/>
      <c r="Q773" s="247"/>
      <c r="R773" s="247"/>
      <c r="S773" s="247"/>
      <c r="T773" s="247"/>
      <c r="U773" s="247"/>
      <c r="V773" s="247"/>
      <c r="W773" s="247"/>
      <c r="X773" s="247"/>
      <c r="Y773" s="247"/>
      <c r="Z773" s="247"/>
      <c r="AA773" s="247"/>
    </row>
    <row r="774">
      <c r="A774" s="247"/>
      <c r="B774" s="245"/>
      <c r="C774" s="246"/>
      <c r="D774" s="247"/>
      <c r="E774" s="247"/>
      <c r="F774" s="247"/>
      <c r="G774" s="247"/>
      <c r="H774" s="247"/>
      <c r="I774" s="247"/>
      <c r="J774" s="246"/>
      <c r="K774" s="248"/>
      <c r="L774" s="246"/>
      <c r="M774" s="154"/>
      <c r="N774" s="55"/>
      <c r="O774" s="247"/>
      <c r="P774" s="247"/>
      <c r="Q774" s="247"/>
      <c r="R774" s="247"/>
      <c r="S774" s="247"/>
      <c r="T774" s="247"/>
      <c r="U774" s="247"/>
      <c r="V774" s="247"/>
      <c r="W774" s="247"/>
      <c r="X774" s="247"/>
      <c r="Y774" s="247"/>
      <c r="Z774" s="247"/>
      <c r="AA774" s="247"/>
    </row>
    <row r="775">
      <c r="A775" s="247"/>
      <c r="B775" s="245"/>
      <c r="C775" s="246"/>
      <c r="D775" s="247"/>
      <c r="E775" s="247"/>
      <c r="F775" s="247"/>
      <c r="G775" s="247"/>
      <c r="H775" s="247"/>
      <c r="I775" s="247"/>
      <c r="J775" s="246"/>
      <c r="K775" s="248"/>
      <c r="L775" s="246"/>
      <c r="M775" s="154"/>
      <c r="N775" s="55"/>
      <c r="O775" s="247"/>
      <c r="P775" s="247"/>
      <c r="Q775" s="247"/>
      <c r="R775" s="247"/>
      <c r="S775" s="247"/>
      <c r="T775" s="247"/>
      <c r="U775" s="247"/>
      <c r="V775" s="247"/>
      <c r="W775" s="247"/>
      <c r="X775" s="247"/>
      <c r="Y775" s="247"/>
      <c r="Z775" s="247"/>
      <c r="AA775" s="247"/>
    </row>
    <row r="776">
      <c r="A776" s="247"/>
      <c r="B776" s="245"/>
      <c r="C776" s="246"/>
      <c r="D776" s="247"/>
      <c r="E776" s="247"/>
      <c r="F776" s="247"/>
      <c r="G776" s="247"/>
      <c r="H776" s="247"/>
      <c r="I776" s="247"/>
      <c r="J776" s="246"/>
      <c r="K776" s="248"/>
      <c r="L776" s="246"/>
      <c r="M776" s="154"/>
      <c r="N776" s="55"/>
      <c r="O776" s="247"/>
      <c r="P776" s="247"/>
      <c r="Q776" s="247"/>
      <c r="R776" s="247"/>
      <c r="S776" s="247"/>
      <c r="T776" s="247"/>
      <c r="U776" s="247"/>
      <c r="V776" s="247"/>
      <c r="W776" s="247"/>
      <c r="X776" s="247"/>
      <c r="Y776" s="247"/>
      <c r="Z776" s="247"/>
      <c r="AA776" s="247"/>
    </row>
    <row r="777">
      <c r="A777" s="247"/>
      <c r="B777" s="245"/>
      <c r="C777" s="246"/>
      <c r="D777" s="247"/>
      <c r="E777" s="247"/>
      <c r="F777" s="247"/>
      <c r="G777" s="247"/>
      <c r="H777" s="247"/>
      <c r="I777" s="247"/>
      <c r="J777" s="246"/>
      <c r="K777" s="248"/>
      <c r="L777" s="246"/>
      <c r="M777" s="154"/>
      <c r="N777" s="55"/>
      <c r="O777" s="247"/>
      <c r="P777" s="247"/>
      <c r="Q777" s="247"/>
      <c r="R777" s="247"/>
      <c r="S777" s="247"/>
      <c r="T777" s="247"/>
      <c r="U777" s="247"/>
      <c r="V777" s="247"/>
      <c r="W777" s="247"/>
      <c r="X777" s="247"/>
      <c r="Y777" s="247"/>
      <c r="Z777" s="247"/>
      <c r="AA777" s="247"/>
    </row>
    <row r="778">
      <c r="A778" s="247"/>
      <c r="B778" s="245"/>
      <c r="C778" s="246"/>
      <c r="D778" s="247"/>
      <c r="E778" s="247"/>
      <c r="F778" s="247"/>
      <c r="G778" s="247"/>
      <c r="H778" s="247"/>
      <c r="I778" s="247"/>
      <c r="J778" s="246"/>
      <c r="K778" s="248"/>
      <c r="L778" s="246"/>
      <c r="M778" s="154"/>
      <c r="N778" s="55"/>
      <c r="O778" s="247"/>
      <c r="P778" s="247"/>
      <c r="Q778" s="247"/>
      <c r="R778" s="247"/>
      <c r="S778" s="247"/>
      <c r="T778" s="247"/>
      <c r="U778" s="247"/>
      <c r="V778" s="247"/>
      <c r="W778" s="247"/>
      <c r="X778" s="247"/>
      <c r="Y778" s="247"/>
      <c r="Z778" s="247"/>
      <c r="AA778" s="247"/>
    </row>
    <row r="779">
      <c r="A779" s="247"/>
      <c r="B779" s="245"/>
      <c r="C779" s="246"/>
      <c r="D779" s="247"/>
      <c r="E779" s="247"/>
      <c r="F779" s="247"/>
      <c r="G779" s="247"/>
      <c r="H779" s="247"/>
      <c r="I779" s="247"/>
      <c r="J779" s="246"/>
      <c r="K779" s="248"/>
      <c r="L779" s="246"/>
      <c r="M779" s="154"/>
      <c r="N779" s="55"/>
      <c r="O779" s="247"/>
      <c r="P779" s="247"/>
      <c r="Q779" s="247"/>
      <c r="R779" s="247"/>
      <c r="S779" s="247"/>
      <c r="T779" s="247"/>
      <c r="U779" s="247"/>
      <c r="V779" s="247"/>
      <c r="W779" s="247"/>
      <c r="X779" s="247"/>
      <c r="Y779" s="247"/>
      <c r="Z779" s="247"/>
      <c r="AA779" s="247"/>
    </row>
    <row r="780">
      <c r="A780" s="247"/>
      <c r="B780" s="245"/>
      <c r="C780" s="246"/>
      <c r="D780" s="247"/>
      <c r="E780" s="247"/>
      <c r="F780" s="247"/>
      <c r="G780" s="247"/>
      <c r="H780" s="247"/>
      <c r="I780" s="247"/>
      <c r="J780" s="246"/>
      <c r="K780" s="248"/>
      <c r="L780" s="246"/>
      <c r="M780" s="154"/>
      <c r="N780" s="55"/>
      <c r="O780" s="247"/>
      <c r="P780" s="247"/>
      <c r="Q780" s="247"/>
      <c r="R780" s="247"/>
      <c r="S780" s="247"/>
      <c r="T780" s="247"/>
      <c r="U780" s="247"/>
      <c r="V780" s="247"/>
      <c r="W780" s="247"/>
      <c r="X780" s="247"/>
      <c r="Y780" s="247"/>
      <c r="Z780" s="247"/>
      <c r="AA780" s="247"/>
    </row>
    <row r="781">
      <c r="A781" s="247"/>
      <c r="B781" s="245"/>
      <c r="C781" s="246"/>
      <c r="D781" s="247"/>
      <c r="E781" s="247"/>
      <c r="F781" s="247"/>
      <c r="G781" s="247"/>
      <c r="H781" s="247"/>
      <c r="I781" s="247"/>
      <c r="J781" s="246"/>
      <c r="K781" s="248"/>
      <c r="L781" s="246"/>
      <c r="M781" s="154"/>
      <c r="N781" s="55"/>
      <c r="O781" s="247"/>
      <c r="P781" s="247"/>
      <c r="Q781" s="247"/>
      <c r="R781" s="247"/>
      <c r="S781" s="247"/>
      <c r="T781" s="247"/>
      <c r="U781" s="247"/>
      <c r="V781" s="247"/>
      <c r="W781" s="247"/>
      <c r="X781" s="247"/>
      <c r="Y781" s="247"/>
      <c r="Z781" s="247"/>
      <c r="AA781" s="247"/>
    </row>
    <row r="782">
      <c r="A782" s="247"/>
      <c r="B782" s="245"/>
      <c r="C782" s="246"/>
      <c r="D782" s="247"/>
      <c r="E782" s="247"/>
      <c r="F782" s="247"/>
      <c r="G782" s="247"/>
      <c r="H782" s="247"/>
      <c r="I782" s="247"/>
      <c r="J782" s="246"/>
      <c r="K782" s="248"/>
      <c r="L782" s="246"/>
      <c r="M782" s="154"/>
      <c r="N782" s="55"/>
      <c r="O782" s="247"/>
      <c r="P782" s="247"/>
      <c r="Q782" s="247"/>
      <c r="R782" s="247"/>
      <c r="S782" s="247"/>
      <c r="T782" s="247"/>
      <c r="U782" s="247"/>
      <c r="V782" s="247"/>
      <c r="W782" s="247"/>
      <c r="X782" s="247"/>
      <c r="Y782" s="247"/>
      <c r="Z782" s="247"/>
      <c r="AA782" s="247"/>
    </row>
    <row r="783">
      <c r="A783" s="247"/>
      <c r="B783" s="245"/>
      <c r="C783" s="246"/>
      <c r="D783" s="247"/>
      <c r="E783" s="247"/>
      <c r="F783" s="247"/>
      <c r="G783" s="247"/>
      <c r="H783" s="247"/>
      <c r="I783" s="247"/>
      <c r="J783" s="246"/>
      <c r="K783" s="248"/>
      <c r="L783" s="246"/>
      <c r="M783" s="154"/>
      <c r="N783" s="55"/>
      <c r="O783" s="247"/>
      <c r="P783" s="247"/>
      <c r="Q783" s="247"/>
      <c r="R783" s="247"/>
      <c r="S783" s="247"/>
      <c r="T783" s="247"/>
      <c r="U783" s="247"/>
      <c r="V783" s="247"/>
      <c r="W783" s="247"/>
      <c r="X783" s="247"/>
      <c r="Y783" s="247"/>
      <c r="Z783" s="247"/>
      <c r="AA783" s="247"/>
    </row>
    <row r="784">
      <c r="A784" s="247"/>
      <c r="B784" s="245"/>
      <c r="C784" s="246"/>
      <c r="D784" s="247"/>
      <c r="E784" s="247"/>
      <c r="F784" s="247"/>
      <c r="G784" s="247"/>
      <c r="H784" s="247"/>
      <c r="I784" s="247"/>
      <c r="J784" s="246"/>
      <c r="K784" s="248"/>
      <c r="L784" s="246"/>
      <c r="M784" s="154"/>
      <c r="N784" s="55"/>
      <c r="O784" s="247"/>
      <c r="P784" s="247"/>
      <c r="Q784" s="247"/>
      <c r="R784" s="247"/>
      <c r="S784" s="247"/>
      <c r="T784" s="247"/>
      <c r="U784" s="247"/>
      <c r="V784" s="247"/>
      <c r="W784" s="247"/>
      <c r="X784" s="247"/>
      <c r="Y784" s="247"/>
      <c r="Z784" s="247"/>
      <c r="AA784" s="247"/>
    </row>
    <row r="785">
      <c r="A785" s="247"/>
      <c r="B785" s="245"/>
      <c r="C785" s="246"/>
      <c r="D785" s="247"/>
      <c r="E785" s="247"/>
      <c r="F785" s="247"/>
      <c r="G785" s="247"/>
      <c r="H785" s="247"/>
      <c r="I785" s="247"/>
      <c r="J785" s="246"/>
      <c r="K785" s="248"/>
      <c r="L785" s="246"/>
      <c r="M785" s="154"/>
      <c r="N785" s="55"/>
      <c r="O785" s="247"/>
      <c r="P785" s="247"/>
      <c r="Q785" s="247"/>
      <c r="R785" s="247"/>
      <c r="S785" s="247"/>
      <c r="T785" s="247"/>
      <c r="U785" s="247"/>
      <c r="V785" s="247"/>
      <c r="W785" s="247"/>
      <c r="X785" s="247"/>
      <c r="Y785" s="247"/>
      <c r="Z785" s="247"/>
      <c r="AA785" s="247"/>
    </row>
    <row r="786">
      <c r="A786" s="247"/>
      <c r="B786" s="245"/>
      <c r="C786" s="246"/>
      <c r="D786" s="247"/>
      <c r="E786" s="247"/>
      <c r="F786" s="247"/>
      <c r="G786" s="247"/>
      <c r="H786" s="247"/>
      <c r="I786" s="247"/>
      <c r="J786" s="246"/>
      <c r="K786" s="248"/>
      <c r="L786" s="246"/>
      <c r="M786" s="154"/>
      <c r="N786" s="55"/>
      <c r="O786" s="247"/>
      <c r="P786" s="247"/>
      <c r="Q786" s="247"/>
      <c r="R786" s="247"/>
      <c r="S786" s="247"/>
      <c r="T786" s="247"/>
      <c r="U786" s="247"/>
      <c r="V786" s="247"/>
      <c r="W786" s="247"/>
      <c r="X786" s="247"/>
      <c r="Y786" s="247"/>
      <c r="Z786" s="247"/>
      <c r="AA786" s="247"/>
    </row>
    <row r="787">
      <c r="A787" s="247"/>
      <c r="B787" s="245"/>
      <c r="C787" s="246"/>
      <c r="D787" s="247"/>
      <c r="E787" s="247"/>
      <c r="F787" s="247"/>
      <c r="G787" s="247"/>
      <c r="H787" s="247"/>
      <c r="I787" s="247"/>
      <c r="J787" s="246"/>
      <c r="K787" s="248"/>
      <c r="L787" s="246"/>
      <c r="M787" s="154"/>
      <c r="N787" s="55"/>
      <c r="O787" s="247"/>
      <c r="P787" s="247"/>
      <c r="Q787" s="247"/>
      <c r="R787" s="247"/>
      <c r="S787" s="247"/>
      <c r="T787" s="247"/>
      <c r="U787" s="247"/>
      <c r="V787" s="247"/>
      <c r="W787" s="247"/>
      <c r="X787" s="247"/>
      <c r="Y787" s="247"/>
      <c r="Z787" s="247"/>
      <c r="AA787" s="247"/>
    </row>
    <row r="788">
      <c r="A788" s="247"/>
      <c r="B788" s="245"/>
      <c r="C788" s="246"/>
      <c r="D788" s="247"/>
      <c r="E788" s="247"/>
      <c r="F788" s="247"/>
      <c r="G788" s="247"/>
      <c r="H788" s="247"/>
      <c r="I788" s="247"/>
      <c r="J788" s="246"/>
      <c r="K788" s="248"/>
      <c r="L788" s="246"/>
      <c r="M788" s="154"/>
      <c r="N788" s="55"/>
      <c r="O788" s="247"/>
      <c r="P788" s="247"/>
      <c r="Q788" s="247"/>
      <c r="R788" s="247"/>
      <c r="S788" s="247"/>
      <c r="T788" s="247"/>
      <c r="U788" s="247"/>
      <c r="V788" s="247"/>
      <c r="W788" s="247"/>
      <c r="X788" s="247"/>
      <c r="Y788" s="247"/>
      <c r="Z788" s="247"/>
      <c r="AA788" s="247"/>
    </row>
    <row r="789">
      <c r="A789" s="247"/>
      <c r="B789" s="245"/>
      <c r="C789" s="246"/>
      <c r="D789" s="247"/>
      <c r="E789" s="247"/>
      <c r="F789" s="247"/>
      <c r="G789" s="247"/>
      <c r="H789" s="247"/>
      <c r="I789" s="247"/>
      <c r="J789" s="246"/>
      <c r="K789" s="248"/>
      <c r="L789" s="246"/>
      <c r="M789" s="154"/>
      <c r="N789" s="55"/>
      <c r="O789" s="247"/>
      <c r="P789" s="247"/>
      <c r="Q789" s="247"/>
      <c r="R789" s="247"/>
      <c r="S789" s="247"/>
      <c r="T789" s="247"/>
      <c r="U789" s="247"/>
      <c r="V789" s="247"/>
      <c r="W789" s="247"/>
      <c r="X789" s="247"/>
      <c r="Y789" s="247"/>
      <c r="Z789" s="247"/>
      <c r="AA789" s="247"/>
    </row>
    <row r="790">
      <c r="A790" s="247"/>
      <c r="B790" s="245"/>
      <c r="C790" s="246"/>
      <c r="D790" s="247"/>
      <c r="E790" s="247"/>
      <c r="F790" s="247"/>
      <c r="G790" s="247"/>
      <c r="H790" s="247"/>
      <c r="I790" s="247"/>
      <c r="J790" s="246"/>
      <c r="K790" s="248"/>
      <c r="L790" s="246"/>
      <c r="M790" s="154"/>
      <c r="N790" s="55"/>
      <c r="O790" s="247"/>
      <c r="P790" s="247"/>
      <c r="Q790" s="247"/>
      <c r="R790" s="247"/>
      <c r="S790" s="247"/>
      <c r="T790" s="247"/>
      <c r="U790" s="247"/>
      <c r="V790" s="247"/>
      <c r="W790" s="247"/>
      <c r="X790" s="247"/>
      <c r="Y790" s="247"/>
      <c r="Z790" s="247"/>
      <c r="AA790" s="247"/>
    </row>
    <row r="791">
      <c r="A791" s="247"/>
      <c r="B791" s="245"/>
      <c r="C791" s="246"/>
      <c r="D791" s="247"/>
      <c r="E791" s="247"/>
      <c r="F791" s="247"/>
      <c r="G791" s="247"/>
      <c r="H791" s="247"/>
      <c r="I791" s="247"/>
      <c r="J791" s="246"/>
      <c r="K791" s="248"/>
      <c r="L791" s="246"/>
      <c r="M791" s="154"/>
      <c r="N791" s="55"/>
      <c r="O791" s="247"/>
      <c r="P791" s="247"/>
      <c r="Q791" s="247"/>
      <c r="R791" s="247"/>
      <c r="S791" s="247"/>
      <c r="T791" s="247"/>
      <c r="U791" s="247"/>
      <c r="V791" s="247"/>
      <c r="W791" s="247"/>
      <c r="X791" s="247"/>
      <c r="Y791" s="247"/>
      <c r="Z791" s="247"/>
      <c r="AA791" s="247"/>
    </row>
    <row r="792">
      <c r="A792" s="247"/>
      <c r="B792" s="245"/>
      <c r="C792" s="246"/>
      <c r="D792" s="247"/>
      <c r="E792" s="247"/>
      <c r="F792" s="247"/>
      <c r="G792" s="247"/>
      <c r="H792" s="247"/>
      <c r="I792" s="247"/>
      <c r="J792" s="246"/>
      <c r="K792" s="248"/>
      <c r="L792" s="246"/>
      <c r="M792" s="154"/>
      <c r="N792" s="55"/>
      <c r="O792" s="247"/>
      <c r="P792" s="247"/>
      <c r="Q792" s="247"/>
      <c r="R792" s="247"/>
      <c r="S792" s="247"/>
      <c r="T792" s="247"/>
      <c r="U792" s="247"/>
      <c r="V792" s="247"/>
      <c r="W792" s="247"/>
      <c r="X792" s="247"/>
      <c r="Y792" s="247"/>
      <c r="Z792" s="247"/>
      <c r="AA792" s="247"/>
    </row>
    <row r="793">
      <c r="A793" s="247"/>
      <c r="B793" s="245"/>
      <c r="C793" s="246"/>
      <c r="D793" s="247"/>
      <c r="E793" s="247"/>
      <c r="F793" s="247"/>
      <c r="G793" s="247"/>
      <c r="H793" s="247"/>
      <c r="I793" s="247"/>
      <c r="J793" s="246"/>
      <c r="K793" s="248"/>
      <c r="L793" s="246"/>
      <c r="M793" s="154"/>
      <c r="N793" s="55"/>
      <c r="O793" s="247"/>
      <c r="P793" s="247"/>
      <c r="Q793" s="247"/>
      <c r="R793" s="247"/>
      <c r="S793" s="247"/>
      <c r="T793" s="247"/>
      <c r="U793" s="247"/>
      <c r="V793" s="247"/>
      <c r="W793" s="247"/>
      <c r="X793" s="247"/>
      <c r="Y793" s="247"/>
      <c r="Z793" s="247"/>
      <c r="AA793" s="247"/>
    </row>
    <row r="794">
      <c r="A794" s="247"/>
      <c r="B794" s="245"/>
      <c r="C794" s="246"/>
      <c r="D794" s="247"/>
      <c r="E794" s="247"/>
      <c r="F794" s="247"/>
      <c r="G794" s="247"/>
      <c r="H794" s="247"/>
      <c r="I794" s="247"/>
      <c r="J794" s="246"/>
      <c r="K794" s="248"/>
      <c r="L794" s="246"/>
      <c r="M794" s="154"/>
      <c r="N794" s="55"/>
      <c r="O794" s="247"/>
      <c r="P794" s="247"/>
      <c r="Q794" s="247"/>
      <c r="R794" s="247"/>
      <c r="S794" s="247"/>
      <c r="T794" s="247"/>
      <c r="U794" s="247"/>
      <c r="V794" s="247"/>
      <c r="W794" s="247"/>
      <c r="X794" s="247"/>
      <c r="Y794" s="247"/>
      <c r="Z794" s="247"/>
      <c r="AA794" s="247"/>
    </row>
    <row r="795">
      <c r="A795" s="247"/>
      <c r="B795" s="245"/>
      <c r="C795" s="246"/>
      <c r="D795" s="247"/>
      <c r="E795" s="247"/>
      <c r="F795" s="247"/>
      <c r="G795" s="247"/>
      <c r="H795" s="247"/>
      <c r="I795" s="247"/>
      <c r="J795" s="246"/>
      <c r="K795" s="248"/>
      <c r="L795" s="246"/>
      <c r="M795" s="154"/>
      <c r="N795" s="55"/>
      <c r="O795" s="247"/>
      <c r="P795" s="247"/>
      <c r="Q795" s="247"/>
      <c r="R795" s="247"/>
      <c r="S795" s="247"/>
      <c r="T795" s="247"/>
      <c r="U795" s="247"/>
      <c r="V795" s="247"/>
      <c r="W795" s="247"/>
      <c r="X795" s="247"/>
      <c r="Y795" s="247"/>
      <c r="Z795" s="247"/>
      <c r="AA795" s="247"/>
    </row>
    <row r="796">
      <c r="A796" s="247"/>
      <c r="B796" s="245"/>
      <c r="C796" s="246"/>
      <c r="D796" s="247"/>
      <c r="E796" s="247"/>
      <c r="F796" s="247"/>
      <c r="G796" s="247"/>
      <c r="H796" s="247"/>
      <c r="I796" s="247"/>
      <c r="J796" s="246"/>
      <c r="K796" s="248"/>
      <c r="L796" s="246"/>
      <c r="M796" s="154"/>
      <c r="N796" s="55"/>
      <c r="O796" s="247"/>
      <c r="P796" s="247"/>
      <c r="Q796" s="247"/>
      <c r="R796" s="247"/>
      <c r="S796" s="247"/>
      <c r="T796" s="247"/>
      <c r="U796" s="247"/>
      <c r="V796" s="247"/>
      <c r="W796" s="247"/>
      <c r="X796" s="247"/>
      <c r="Y796" s="247"/>
      <c r="Z796" s="247"/>
      <c r="AA796" s="247"/>
    </row>
    <row r="797">
      <c r="A797" s="247"/>
      <c r="B797" s="245"/>
      <c r="C797" s="246"/>
      <c r="D797" s="247"/>
      <c r="E797" s="247"/>
      <c r="F797" s="247"/>
      <c r="G797" s="247"/>
      <c r="H797" s="247"/>
      <c r="I797" s="247"/>
      <c r="J797" s="246"/>
      <c r="K797" s="248"/>
      <c r="L797" s="246"/>
      <c r="M797" s="154"/>
      <c r="N797" s="55"/>
      <c r="O797" s="247"/>
      <c r="P797" s="247"/>
      <c r="Q797" s="247"/>
      <c r="R797" s="247"/>
      <c r="S797" s="247"/>
      <c r="T797" s="247"/>
      <c r="U797" s="247"/>
      <c r="V797" s="247"/>
      <c r="W797" s="247"/>
      <c r="X797" s="247"/>
      <c r="Y797" s="247"/>
      <c r="Z797" s="247"/>
      <c r="AA797" s="247"/>
    </row>
    <row r="798">
      <c r="A798" s="247"/>
      <c r="B798" s="245"/>
      <c r="C798" s="246"/>
      <c r="D798" s="247"/>
      <c r="E798" s="247"/>
      <c r="F798" s="247"/>
      <c r="G798" s="247"/>
      <c r="H798" s="247"/>
      <c r="I798" s="247"/>
      <c r="J798" s="246"/>
      <c r="K798" s="248"/>
      <c r="L798" s="246"/>
      <c r="M798" s="154"/>
      <c r="N798" s="55"/>
      <c r="O798" s="247"/>
      <c r="P798" s="247"/>
      <c r="Q798" s="247"/>
      <c r="R798" s="247"/>
      <c r="S798" s="247"/>
      <c r="T798" s="247"/>
      <c r="U798" s="247"/>
      <c r="V798" s="247"/>
      <c r="W798" s="247"/>
      <c r="X798" s="247"/>
      <c r="Y798" s="247"/>
      <c r="Z798" s="247"/>
      <c r="AA798" s="247"/>
    </row>
    <row r="799">
      <c r="A799" s="247"/>
      <c r="B799" s="245"/>
      <c r="C799" s="246"/>
      <c r="D799" s="247"/>
      <c r="E799" s="247"/>
      <c r="F799" s="247"/>
      <c r="G799" s="247"/>
      <c r="H799" s="247"/>
      <c r="I799" s="247"/>
      <c r="J799" s="246"/>
      <c r="K799" s="248"/>
      <c r="L799" s="246"/>
      <c r="M799" s="154"/>
      <c r="N799" s="55"/>
      <c r="O799" s="247"/>
      <c r="P799" s="247"/>
      <c r="Q799" s="247"/>
      <c r="R799" s="247"/>
      <c r="S799" s="247"/>
      <c r="T799" s="247"/>
      <c r="U799" s="247"/>
      <c r="V799" s="247"/>
      <c r="W799" s="247"/>
      <c r="X799" s="247"/>
      <c r="Y799" s="247"/>
      <c r="Z799" s="247"/>
      <c r="AA799" s="247"/>
    </row>
    <row r="800">
      <c r="A800" s="247"/>
      <c r="B800" s="245"/>
      <c r="C800" s="246"/>
      <c r="D800" s="247"/>
      <c r="E800" s="247"/>
      <c r="F800" s="247"/>
      <c r="G800" s="247"/>
      <c r="H800" s="247"/>
      <c r="I800" s="247"/>
      <c r="J800" s="246"/>
      <c r="K800" s="248"/>
      <c r="L800" s="246"/>
      <c r="M800" s="154"/>
      <c r="N800" s="55"/>
      <c r="O800" s="247"/>
      <c r="P800" s="247"/>
      <c r="Q800" s="247"/>
      <c r="R800" s="247"/>
      <c r="S800" s="247"/>
      <c r="T800" s="247"/>
      <c r="U800" s="247"/>
      <c r="V800" s="247"/>
      <c r="W800" s="247"/>
      <c r="X800" s="247"/>
      <c r="Y800" s="247"/>
      <c r="Z800" s="247"/>
      <c r="AA800" s="247"/>
    </row>
    <row r="801">
      <c r="A801" s="247"/>
      <c r="B801" s="245"/>
      <c r="C801" s="246"/>
      <c r="D801" s="247"/>
      <c r="E801" s="247"/>
      <c r="F801" s="247"/>
      <c r="G801" s="247"/>
      <c r="H801" s="247"/>
      <c r="I801" s="247"/>
      <c r="J801" s="246"/>
      <c r="K801" s="248"/>
      <c r="L801" s="246"/>
      <c r="M801" s="154"/>
      <c r="N801" s="55"/>
      <c r="O801" s="247"/>
      <c r="P801" s="247"/>
      <c r="Q801" s="247"/>
      <c r="R801" s="247"/>
      <c r="S801" s="247"/>
      <c r="T801" s="247"/>
      <c r="U801" s="247"/>
      <c r="V801" s="247"/>
      <c r="W801" s="247"/>
      <c r="X801" s="247"/>
      <c r="Y801" s="247"/>
      <c r="Z801" s="247"/>
      <c r="AA801" s="247"/>
    </row>
    <row r="802">
      <c r="A802" s="247"/>
      <c r="B802" s="245"/>
      <c r="C802" s="246"/>
      <c r="D802" s="247"/>
      <c r="E802" s="247"/>
      <c r="F802" s="247"/>
      <c r="G802" s="247"/>
      <c r="H802" s="247"/>
      <c r="I802" s="247"/>
      <c r="J802" s="246"/>
      <c r="K802" s="248"/>
      <c r="L802" s="246"/>
      <c r="M802" s="154"/>
      <c r="N802" s="55"/>
      <c r="O802" s="247"/>
      <c r="P802" s="247"/>
      <c r="Q802" s="247"/>
      <c r="R802" s="247"/>
      <c r="S802" s="247"/>
      <c r="T802" s="247"/>
      <c r="U802" s="247"/>
      <c r="V802" s="247"/>
      <c r="W802" s="247"/>
      <c r="X802" s="247"/>
      <c r="Y802" s="247"/>
      <c r="Z802" s="247"/>
      <c r="AA802" s="247"/>
    </row>
    <row r="803">
      <c r="A803" s="247"/>
      <c r="B803" s="245"/>
      <c r="C803" s="246"/>
      <c r="D803" s="247"/>
      <c r="E803" s="247"/>
      <c r="F803" s="247"/>
      <c r="G803" s="247"/>
      <c r="H803" s="247"/>
      <c r="I803" s="247"/>
      <c r="J803" s="246"/>
      <c r="K803" s="248"/>
      <c r="L803" s="246"/>
      <c r="M803" s="154"/>
      <c r="N803" s="55"/>
      <c r="O803" s="247"/>
      <c r="P803" s="247"/>
      <c r="Q803" s="247"/>
      <c r="R803" s="247"/>
      <c r="S803" s="247"/>
      <c r="T803" s="247"/>
      <c r="U803" s="247"/>
      <c r="V803" s="247"/>
      <c r="W803" s="247"/>
      <c r="X803" s="247"/>
      <c r="Y803" s="247"/>
      <c r="Z803" s="247"/>
      <c r="AA803" s="247"/>
    </row>
    <row r="804">
      <c r="A804" s="247"/>
      <c r="B804" s="245"/>
      <c r="C804" s="246"/>
      <c r="D804" s="247"/>
      <c r="E804" s="247"/>
      <c r="F804" s="247"/>
      <c r="G804" s="247"/>
      <c r="H804" s="247"/>
      <c r="I804" s="247"/>
      <c r="J804" s="246"/>
      <c r="K804" s="248"/>
      <c r="L804" s="246"/>
      <c r="M804" s="154"/>
      <c r="N804" s="55"/>
      <c r="O804" s="247"/>
      <c r="P804" s="247"/>
      <c r="Q804" s="247"/>
      <c r="R804" s="247"/>
      <c r="S804" s="247"/>
      <c r="T804" s="247"/>
      <c r="U804" s="247"/>
      <c r="V804" s="247"/>
      <c r="W804" s="247"/>
      <c r="X804" s="247"/>
      <c r="Y804" s="247"/>
      <c r="Z804" s="247"/>
      <c r="AA804" s="247"/>
    </row>
    <row r="805">
      <c r="A805" s="247"/>
      <c r="B805" s="245"/>
      <c r="C805" s="246"/>
      <c r="D805" s="247"/>
      <c r="E805" s="247"/>
      <c r="F805" s="247"/>
      <c r="G805" s="247"/>
      <c r="H805" s="247"/>
      <c r="I805" s="247"/>
      <c r="J805" s="246"/>
      <c r="K805" s="248"/>
      <c r="L805" s="246"/>
      <c r="M805" s="154"/>
      <c r="N805" s="55"/>
      <c r="O805" s="247"/>
      <c r="P805" s="247"/>
      <c r="Q805" s="247"/>
      <c r="R805" s="247"/>
      <c r="S805" s="247"/>
      <c r="T805" s="247"/>
      <c r="U805" s="247"/>
      <c r="V805" s="247"/>
      <c r="W805" s="247"/>
      <c r="X805" s="247"/>
      <c r="Y805" s="247"/>
      <c r="Z805" s="247"/>
      <c r="AA805" s="247"/>
    </row>
    <row r="806">
      <c r="A806" s="247"/>
      <c r="B806" s="245"/>
      <c r="C806" s="246"/>
      <c r="D806" s="247"/>
      <c r="E806" s="247"/>
      <c r="F806" s="247"/>
      <c r="G806" s="247"/>
      <c r="H806" s="247"/>
      <c r="I806" s="247"/>
      <c r="J806" s="246"/>
      <c r="K806" s="248"/>
      <c r="L806" s="246"/>
      <c r="M806" s="154"/>
      <c r="N806" s="55"/>
      <c r="O806" s="247"/>
      <c r="P806" s="247"/>
      <c r="Q806" s="247"/>
      <c r="R806" s="247"/>
      <c r="S806" s="247"/>
      <c r="T806" s="247"/>
      <c r="U806" s="247"/>
      <c r="V806" s="247"/>
      <c r="W806" s="247"/>
      <c r="X806" s="247"/>
      <c r="Y806" s="247"/>
      <c r="Z806" s="247"/>
      <c r="AA806" s="247"/>
    </row>
    <row r="807">
      <c r="A807" s="247"/>
      <c r="B807" s="245"/>
      <c r="C807" s="246"/>
      <c r="D807" s="247"/>
      <c r="E807" s="247"/>
      <c r="F807" s="247"/>
      <c r="G807" s="247"/>
      <c r="H807" s="247"/>
      <c r="I807" s="247"/>
      <c r="J807" s="246"/>
      <c r="K807" s="248"/>
      <c r="L807" s="246"/>
      <c r="M807" s="154"/>
      <c r="N807" s="55"/>
      <c r="O807" s="247"/>
      <c r="P807" s="247"/>
      <c r="Q807" s="247"/>
      <c r="R807" s="247"/>
      <c r="S807" s="247"/>
      <c r="T807" s="247"/>
      <c r="U807" s="247"/>
      <c r="V807" s="247"/>
      <c r="W807" s="247"/>
      <c r="X807" s="247"/>
      <c r="Y807" s="247"/>
      <c r="Z807" s="247"/>
      <c r="AA807" s="247"/>
    </row>
    <row r="808">
      <c r="A808" s="247"/>
      <c r="B808" s="245"/>
      <c r="C808" s="246"/>
      <c r="D808" s="247"/>
      <c r="E808" s="247"/>
      <c r="F808" s="247"/>
      <c r="G808" s="247"/>
      <c r="H808" s="247"/>
      <c r="I808" s="247"/>
      <c r="J808" s="246"/>
      <c r="K808" s="248"/>
      <c r="L808" s="246"/>
      <c r="M808" s="154"/>
      <c r="N808" s="55"/>
      <c r="O808" s="247"/>
      <c r="P808" s="247"/>
      <c r="Q808" s="247"/>
      <c r="R808" s="247"/>
      <c r="S808" s="247"/>
      <c r="T808" s="247"/>
      <c r="U808" s="247"/>
      <c r="V808" s="247"/>
      <c r="W808" s="247"/>
      <c r="X808" s="247"/>
      <c r="Y808" s="247"/>
      <c r="Z808" s="247"/>
      <c r="AA808" s="247"/>
    </row>
    <row r="809">
      <c r="A809" s="247"/>
      <c r="B809" s="245"/>
      <c r="C809" s="246"/>
      <c r="D809" s="247"/>
      <c r="E809" s="247"/>
      <c r="F809" s="247"/>
      <c r="G809" s="247"/>
      <c r="H809" s="247"/>
      <c r="I809" s="247"/>
      <c r="J809" s="246"/>
      <c r="K809" s="248"/>
      <c r="L809" s="246"/>
      <c r="M809" s="154"/>
      <c r="N809" s="55"/>
      <c r="O809" s="247"/>
      <c r="P809" s="247"/>
      <c r="Q809" s="247"/>
      <c r="R809" s="247"/>
      <c r="S809" s="247"/>
      <c r="T809" s="247"/>
      <c r="U809" s="247"/>
      <c r="V809" s="247"/>
      <c r="W809" s="247"/>
      <c r="X809" s="247"/>
      <c r="Y809" s="247"/>
      <c r="Z809" s="247"/>
      <c r="AA809" s="247"/>
    </row>
    <row r="810">
      <c r="A810" s="247"/>
      <c r="B810" s="245"/>
      <c r="C810" s="246"/>
      <c r="D810" s="247"/>
      <c r="E810" s="247"/>
      <c r="F810" s="247"/>
      <c r="G810" s="247"/>
      <c r="H810" s="247"/>
      <c r="I810" s="247"/>
      <c r="J810" s="246"/>
      <c r="K810" s="248"/>
      <c r="L810" s="246"/>
      <c r="M810" s="154"/>
      <c r="N810" s="55"/>
      <c r="O810" s="247"/>
      <c r="P810" s="247"/>
      <c r="Q810" s="247"/>
      <c r="R810" s="247"/>
      <c r="S810" s="247"/>
      <c r="T810" s="247"/>
      <c r="U810" s="247"/>
      <c r="V810" s="247"/>
      <c r="W810" s="247"/>
      <c r="X810" s="247"/>
      <c r="Y810" s="247"/>
      <c r="Z810" s="247"/>
      <c r="AA810" s="247"/>
    </row>
    <row r="811">
      <c r="A811" s="247"/>
      <c r="B811" s="245"/>
      <c r="C811" s="246"/>
      <c r="D811" s="247"/>
      <c r="E811" s="247"/>
      <c r="F811" s="247"/>
      <c r="G811" s="247"/>
      <c r="H811" s="247"/>
      <c r="I811" s="247"/>
      <c r="J811" s="246"/>
      <c r="K811" s="248"/>
      <c r="L811" s="246"/>
      <c r="M811" s="154"/>
      <c r="N811" s="55"/>
      <c r="O811" s="247"/>
      <c r="P811" s="247"/>
      <c r="Q811" s="247"/>
      <c r="R811" s="247"/>
      <c r="S811" s="247"/>
      <c r="T811" s="247"/>
      <c r="U811" s="247"/>
      <c r="V811" s="247"/>
      <c r="W811" s="247"/>
      <c r="X811" s="247"/>
      <c r="Y811" s="247"/>
      <c r="Z811" s="247"/>
      <c r="AA811" s="247"/>
    </row>
    <row r="812">
      <c r="A812" s="247"/>
      <c r="B812" s="245"/>
      <c r="C812" s="246"/>
      <c r="D812" s="247"/>
      <c r="E812" s="247"/>
      <c r="F812" s="247"/>
      <c r="G812" s="247"/>
      <c r="H812" s="247"/>
      <c r="I812" s="247"/>
      <c r="J812" s="246"/>
      <c r="K812" s="248"/>
      <c r="L812" s="246"/>
      <c r="M812" s="154"/>
      <c r="N812" s="55"/>
      <c r="O812" s="247"/>
      <c r="P812" s="247"/>
      <c r="Q812" s="247"/>
      <c r="R812" s="247"/>
      <c r="S812" s="247"/>
      <c r="T812" s="247"/>
      <c r="U812" s="247"/>
      <c r="V812" s="247"/>
      <c r="W812" s="247"/>
      <c r="X812" s="247"/>
      <c r="Y812" s="247"/>
      <c r="Z812" s="247"/>
      <c r="AA812" s="247"/>
    </row>
    <row r="813">
      <c r="A813" s="247"/>
      <c r="B813" s="245"/>
      <c r="C813" s="246"/>
      <c r="D813" s="247"/>
      <c r="E813" s="247"/>
      <c r="F813" s="247"/>
      <c r="G813" s="247"/>
      <c r="H813" s="247"/>
      <c r="I813" s="247"/>
      <c r="J813" s="246"/>
      <c r="K813" s="248"/>
      <c r="L813" s="246"/>
      <c r="M813" s="154"/>
      <c r="N813" s="55"/>
      <c r="O813" s="247"/>
      <c r="P813" s="247"/>
      <c r="Q813" s="247"/>
      <c r="R813" s="247"/>
      <c r="S813" s="247"/>
      <c r="T813" s="247"/>
      <c r="U813" s="247"/>
      <c r="V813" s="247"/>
      <c r="W813" s="247"/>
      <c r="X813" s="247"/>
      <c r="Y813" s="247"/>
      <c r="Z813" s="247"/>
      <c r="AA813" s="247"/>
    </row>
    <row r="814">
      <c r="A814" s="247"/>
      <c r="B814" s="245"/>
      <c r="C814" s="246"/>
      <c r="D814" s="247"/>
      <c r="E814" s="247"/>
      <c r="F814" s="247"/>
      <c r="G814" s="247"/>
      <c r="H814" s="247"/>
      <c r="I814" s="247"/>
      <c r="J814" s="246"/>
      <c r="K814" s="248"/>
      <c r="L814" s="246"/>
      <c r="M814" s="154"/>
      <c r="N814" s="55"/>
      <c r="O814" s="247"/>
      <c r="P814" s="247"/>
      <c r="Q814" s="247"/>
      <c r="R814" s="247"/>
      <c r="S814" s="247"/>
      <c r="T814" s="247"/>
      <c r="U814" s="247"/>
      <c r="V814" s="247"/>
      <c r="W814" s="247"/>
      <c r="X814" s="247"/>
      <c r="Y814" s="247"/>
      <c r="Z814" s="247"/>
      <c r="AA814" s="247"/>
    </row>
    <row r="815">
      <c r="A815" s="247"/>
      <c r="B815" s="245"/>
      <c r="C815" s="246"/>
      <c r="D815" s="247"/>
      <c r="E815" s="247"/>
      <c r="F815" s="247"/>
      <c r="G815" s="247"/>
      <c r="H815" s="247"/>
      <c r="I815" s="247"/>
      <c r="J815" s="246"/>
      <c r="K815" s="248"/>
      <c r="L815" s="246"/>
      <c r="M815" s="154"/>
      <c r="N815" s="55"/>
      <c r="O815" s="247"/>
      <c r="P815" s="247"/>
      <c r="Q815" s="247"/>
      <c r="R815" s="247"/>
      <c r="S815" s="247"/>
      <c r="T815" s="247"/>
      <c r="U815" s="247"/>
      <c r="V815" s="247"/>
      <c r="W815" s="247"/>
      <c r="X815" s="247"/>
      <c r="Y815" s="247"/>
      <c r="Z815" s="247"/>
      <c r="AA815" s="247"/>
    </row>
    <row r="816">
      <c r="A816" s="247"/>
      <c r="B816" s="245"/>
      <c r="C816" s="246"/>
      <c r="D816" s="247"/>
      <c r="E816" s="247"/>
      <c r="F816" s="247"/>
      <c r="G816" s="247"/>
      <c r="H816" s="247"/>
      <c r="I816" s="247"/>
      <c r="J816" s="246"/>
      <c r="K816" s="248"/>
      <c r="L816" s="246"/>
      <c r="M816" s="154"/>
      <c r="N816" s="55"/>
      <c r="O816" s="247"/>
      <c r="P816" s="247"/>
      <c r="Q816" s="247"/>
      <c r="R816" s="247"/>
      <c r="S816" s="247"/>
      <c r="T816" s="247"/>
      <c r="U816" s="247"/>
      <c r="V816" s="247"/>
      <c r="W816" s="247"/>
      <c r="X816" s="247"/>
      <c r="Y816" s="247"/>
      <c r="Z816" s="247"/>
      <c r="AA816" s="247"/>
    </row>
    <row r="817">
      <c r="A817" s="247"/>
      <c r="B817" s="245"/>
      <c r="C817" s="246"/>
      <c r="D817" s="247"/>
      <c r="E817" s="247"/>
      <c r="F817" s="247"/>
      <c r="G817" s="247"/>
      <c r="H817" s="247"/>
      <c r="I817" s="247"/>
      <c r="J817" s="246"/>
      <c r="K817" s="248"/>
      <c r="L817" s="246"/>
      <c r="M817" s="154"/>
      <c r="N817" s="55"/>
      <c r="O817" s="247"/>
      <c r="P817" s="247"/>
      <c r="Q817" s="247"/>
      <c r="R817" s="247"/>
      <c r="S817" s="247"/>
      <c r="T817" s="247"/>
      <c r="U817" s="247"/>
      <c r="V817" s="247"/>
      <c r="W817" s="247"/>
      <c r="X817" s="247"/>
      <c r="Y817" s="247"/>
      <c r="Z817" s="247"/>
      <c r="AA817" s="247"/>
    </row>
    <row r="818">
      <c r="A818" s="247"/>
      <c r="B818" s="245"/>
      <c r="C818" s="246"/>
      <c r="D818" s="247"/>
      <c r="E818" s="247"/>
      <c r="F818" s="247"/>
      <c r="G818" s="247"/>
      <c r="H818" s="247"/>
      <c r="I818" s="247"/>
      <c r="J818" s="246"/>
      <c r="K818" s="248"/>
      <c r="L818" s="246"/>
      <c r="M818" s="154"/>
      <c r="N818" s="55"/>
      <c r="O818" s="247"/>
      <c r="P818" s="247"/>
      <c r="Q818" s="247"/>
      <c r="R818" s="247"/>
      <c r="S818" s="247"/>
      <c r="T818" s="247"/>
      <c r="U818" s="247"/>
      <c r="V818" s="247"/>
      <c r="W818" s="247"/>
      <c r="X818" s="247"/>
      <c r="Y818" s="247"/>
      <c r="Z818" s="247"/>
      <c r="AA818" s="247"/>
    </row>
    <row r="819">
      <c r="A819" s="247"/>
      <c r="B819" s="245"/>
      <c r="C819" s="246"/>
      <c r="D819" s="247"/>
      <c r="E819" s="247"/>
      <c r="F819" s="247"/>
      <c r="G819" s="247"/>
      <c r="H819" s="247"/>
      <c r="I819" s="247"/>
      <c r="J819" s="246"/>
      <c r="K819" s="248"/>
      <c r="L819" s="246"/>
      <c r="M819" s="154"/>
      <c r="N819" s="55"/>
      <c r="O819" s="247"/>
      <c r="P819" s="247"/>
      <c r="Q819" s="247"/>
      <c r="R819" s="247"/>
      <c r="S819" s="247"/>
      <c r="T819" s="247"/>
      <c r="U819" s="247"/>
      <c r="V819" s="247"/>
      <c r="W819" s="247"/>
      <c r="X819" s="247"/>
      <c r="Y819" s="247"/>
      <c r="Z819" s="247"/>
      <c r="AA819" s="247"/>
    </row>
    <row r="820">
      <c r="A820" s="247"/>
      <c r="B820" s="245"/>
      <c r="C820" s="246"/>
      <c r="D820" s="247"/>
      <c r="E820" s="247"/>
      <c r="F820" s="247"/>
      <c r="G820" s="247"/>
      <c r="H820" s="247"/>
      <c r="I820" s="247"/>
      <c r="J820" s="246"/>
      <c r="K820" s="248"/>
      <c r="L820" s="246"/>
      <c r="M820" s="154"/>
      <c r="N820" s="55"/>
      <c r="O820" s="247"/>
      <c r="P820" s="247"/>
      <c r="Q820" s="247"/>
      <c r="R820" s="247"/>
      <c r="S820" s="247"/>
      <c r="T820" s="247"/>
      <c r="U820" s="247"/>
      <c r="V820" s="247"/>
      <c r="W820" s="247"/>
      <c r="X820" s="247"/>
      <c r="Y820" s="247"/>
      <c r="Z820" s="247"/>
      <c r="AA820" s="247"/>
    </row>
    <row r="821">
      <c r="A821" s="247"/>
      <c r="B821" s="245"/>
      <c r="C821" s="246"/>
      <c r="D821" s="247"/>
      <c r="E821" s="247"/>
      <c r="F821" s="247"/>
      <c r="G821" s="247"/>
      <c r="H821" s="247"/>
      <c r="I821" s="247"/>
      <c r="J821" s="246"/>
      <c r="K821" s="248"/>
      <c r="L821" s="246"/>
      <c r="M821" s="154"/>
      <c r="N821" s="55"/>
      <c r="O821" s="247"/>
      <c r="P821" s="247"/>
      <c r="Q821" s="247"/>
      <c r="R821" s="247"/>
      <c r="S821" s="247"/>
      <c r="T821" s="247"/>
      <c r="U821" s="247"/>
      <c r="V821" s="247"/>
      <c r="W821" s="247"/>
      <c r="X821" s="247"/>
      <c r="Y821" s="247"/>
      <c r="Z821" s="247"/>
      <c r="AA821" s="247"/>
    </row>
    <row r="822">
      <c r="A822" s="247"/>
      <c r="B822" s="245"/>
      <c r="C822" s="246"/>
      <c r="D822" s="247"/>
      <c r="E822" s="247"/>
      <c r="F822" s="247"/>
      <c r="G822" s="247"/>
      <c r="H822" s="247"/>
      <c r="I822" s="247"/>
      <c r="J822" s="246"/>
      <c r="K822" s="248"/>
      <c r="L822" s="246"/>
      <c r="M822" s="154"/>
      <c r="N822" s="55"/>
      <c r="O822" s="247"/>
      <c r="P822" s="247"/>
      <c r="Q822" s="247"/>
      <c r="R822" s="247"/>
      <c r="S822" s="247"/>
      <c r="T822" s="247"/>
      <c r="U822" s="247"/>
      <c r="V822" s="247"/>
      <c r="W822" s="247"/>
      <c r="X822" s="247"/>
      <c r="Y822" s="247"/>
      <c r="Z822" s="247"/>
      <c r="AA822" s="247"/>
    </row>
    <row r="823">
      <c r="A823" s="247"/>
      <c r="B823" s="245"/>
      <c r="C823" s="246"/>
      <c r="D823" s="247"/>
      <c r="E823" s="247"/>
      <c r="F823" s="247"/>
      <c r="G823" s="247"/>
      <c r="H823" s="247"/>
      <c r="I823" s="247"/>
      <c r="J823" s="246"/>
      <c r="K823" s="248"/>
      <c r="L823" s="246"/>
      <c r="M823" s="154"/>
      <c r="N823" s="55"/>
      <c r="O823" s="247"/>
      <c r="P823" s="247"/>
      <c r="Q823" s="247"/>
      <c r="R823" s="247"/>
      <c r="S823" s="247"/>
      <c r="T823" s="247"/>
      <c r="U823" s="247"/>
      <c r="V823" s="247"/>
      <c r="W823" s="247"/>
      <c r="X823" s="247"/>
      <c r="Y823" s="247"/>
      <c r="Z823" s="247"/>
      <c r="AA823" s="247"/>
    </row>
    <row r="824">
      <c r="A824" s="247"/>
      <c r="B824" s="245"/>
      <c r="C824" s="246"/>
      <c r="D824" s="247"/>
      <c r="E824" s="247"/>
      <c r="F824" s="247"/>
      <c r="G824" s="247"/>
      <c r="H824" s="247"/>
      <c r="I824" s="247"/>
      <c r="J824" s="246"/>
      <c r="K824" s="248"/>
      <c r="L824" s="246"/>
      <c r="M824" s="154"/>
      <c r="N824" s="55"/>
      <c r="O824" s="247"/>
      <c r="P824" s="247"/>
      <c r="Q824" s="247"/>
      <c r="R824" s="247"/>
      <c r="S824" s="247"/>
      <c r="T824" s="247"/>
      <c r="U824" s="247"/>
      <c r="V824" s="247"/>
      <c r="W824" s="247"/>
      <c r="X824" s="247"/>
      <c r="Y824" s="247"/>
      <c r="Z824" s="247"/>
      <c r="AA824" s="247"/>
    </row>
    <row r="825">
      <c r="A825" s="247"/>
      <c r="B825" s="245"/>
      <c r="C825" s="246"/>
      <c r="D825" s="247"/>
      <c r="E825" s="247"/>
      <c r="F825" s="247"/>
      <c r="G825" s="247"/>
      <c r="H825" s="247"/>
      <c r="I825" s="247"/>
      <c r="J825" s="246"/>
      <c r="K825" s="248"/>
      <c r="L825" s="246"/>
      <c r="M825" s="154"/>
      <c r="N825" s="55"/>
      <c r="O825" s="247"/>
      <c r="P825" s="247"/>
      <c r="Q825" s="247"/>
      <c r="R825" s="247"/>
      <c r="S825" s="247"/>
      <c r="T825" s="247"/>
      <c r="U825" s="247"/>
      <c r="V825" s="247"/>
      <c r="W825" s="247"/>
      <c r="X825" s="247"/>
      <c r="Y825" s="247"/>
      <c r="Z825" s="247"/>
      <c r="AA825" s="247"/>
    </row>
    <row r="826">
      <c r="A826" s="247"/>
      <c r="B826" s="245"/>
      <c r="C826" s="246"/>
      <c r="D826" s="247"/>
      <c r="E826" s="247"/>
      <c r="F826" s="247"/>
      <c r="G826" s="247"/>
      <c r="H826" s="247"/>
      <c r="I826" s="247"/>
      <c r="J826" s="246"/>
      <c r="K826" s="248"/>
      <c r="L826" s="246"/>
      <c r="M826" s="154"/>
      <c r="N826" s="55"/>
      <c r="O826" s="247"/>
      <c r="P826" s="247"/>
      <c r="Q826" s="247"/>
      <c r="R826" s="247"/>
      <c r="S826" s="247"/>
      <c r="T826" s="247"/>
      <c r="U826" s="247"/>
      <c r="V826" s="247"/>
      <c r="W826" s="247"/>
      <c r="X826" s="247"/>
      <c r="Y826" s="247"/>
      <c r="Z826" s="247"/>
      <c r="AA826" s="247"/>
    </row>
    <row r="827">
      <c r="A827" s="247"/>
      <c r="B827" s="245"/>
      <c r="C827" s="246"/>
      <c r="D827" s="247"/>
      <c r="E827" s="247"/>
      <c r="F827" s="247"/>
      <c r="G827" s="247"/>
      <c r="H827" s="247"/>
      <c r="I827" s="247"/>
      <c r="J827" s="246"/>
      <c r="K827" s="248"/>
      <c r="L827" s="246"/>
      <c r="M827" s="154"/>
      <c r="N827" s="55"/>
      <c r="O827" s="247"/>
      <c r="P827" s="247"/>
      <c r="Q827" s="247"/>
      <c r="R827" s="247"/>
      <c r="S827" s="247"/>
      <c r="T827" s="247"/>
      <c r="U827" s="247"/>
      <c r="V827" s="247"/>
      <c r="W827" s="247"/>
      <c r="X827" s="247"/>
      <c r="Y827" s="247"/>
      <c r="Z827" s="247"/>
      <c r="AA827" s="247"/>
    </row>
    <row r="828">
      <c r="A828" s="247"/>
      <c r="B828" s="245"/>
      <c r="C828" s="246"/>
      <c r="D828" s="247"/>
      <c r="E828" s="247"/>
      <c r="F828" s="247"/>
      <c r="G828" s="247"/>
      <c r="H828" s="247"/>
      <c r="I828" s="247"/>
      <c r="J828" s="246"/>
      <c r="K828" s="248"/>
      <c r="L828" s="246"/>
      <c r="M828" s="154"/>
      <c r="N828" s="55"/>
      <c r="O828" s="247"/>
      <c r="P828" s="247"/>
      <c r="Q828" s="247"/>
      <c r="R828" s="247"/>
      <c r="S828" s="247"/>
      <c r="T828" s="247"/>
      <c r="U828" s="247"/>
      <c r="V828" s="247"/>
      <c r="W828" s="247"/>
      <c r="X828" s="247"/>
      <c r="Y828" s="247"/>
      <c r="Z828" s="247"/>
      <c r="AA828" s="247"/>
    </row>
    <row r="829">
      <c r="A829" s="247"/>
      <c r="B829" s="245"/>
      <c r="C829" s="246"/>
      <c r="D829" s="247"/>
      <c r="E829" s="247"/>
      <c r="F829" s="247"/>
      <c r="G829" s="247"/>
      <c r="H829" s="247"/>
      <c r="I829" s="247"/>
      <c r="J829" s="246"/>
      <c r="K829" s="248"/>
      <c r="L829" s="246"/>
      <c r="M829" s="154"/>
      <c r="N829" s="55"/>
      <c r="O829" s="247"/>
      <c r="P829" s="247"/>
      <c r="Q829" s="247"/>
      <c r="R829" s="247"/>
      <c r="S829" s="247"/>
      <c r="T829" s="247"/>
      <c r="U829" s="247"/>
      <c r="V829" s="247"/>
      <c r="W829" s="247"/>
      <c r="X829" s="247"/>
      <c r="Y829" s="247"/>
      <c r="Z829" s="247"/>
      <c r="AA829" s="247"/>
    </row>
    <row r="830">
      <c r="A830" s="247"/>
      <c r="B830" s="245"/>
      <c r="C830" s="246"/>
      <c r="D830" s="247"/>
      <c r="E830" s="247"/>
      <c r="F830" s="247"/>
      <c r="G830" s="247"/>
      <c r="H830" s="247"/>
      <c r="I830" s="247"/>
      <c r="J830" s="246"/>
      <c r="K830" s="248"/>
      <c r="L830" s="246"/>
      <c r="M830" s="154"/>
      <c r="N830" s="55"/>
      <c r="O830" s="247"/>
      <c r="P830" s="247"/>
      <c r="Q830" s="247"/>
      <c r="R830" s="247"/>
      <c r="S830" s="247"/>
      <c r="T830" s="247"/>
      <c r="U830" s="247"/>
      <c r="V830" s="247"/>
      <c r="W830" s="247"/>
      <c r="X830" s="247"/>
      <c r="Y830" s="247"/>
      <c r="Z830" s="247"/>
      <c r="AA830" s="247"/>
    </row>
    <row r="831">
      <c r="A831" s="247"/>
      <c r="B831" s="245"/>
      <c r="C831" s="246"/>
      <c r="D831" s="247"/>
      <c r="E831" s="247"/>
      <c r="F831" s="247"/>
      <c r="G831" s="247"/>
      <c r="H831" s="247"/>
      <c r="I831" s="247"/>
      <c r="J831" s="246"/>
      <c r="K831" s="248"/>
      <c r="L831" s="246"/>
      <c r="M831" s="154"/>
      <c r="N831" s="55"/>
      <c r="O831" s="247"/>
      <c r="P831" s="247"/>
      <c r="Q831" s="247"/>
      <c r="R831" s="247"/>
      <c r="S831" s="247"/>
      <c r="T831" s="247"/>
      <c r="U831" s="247"/>
      <c r="V831" s="247"/>
      <c r="W831" s="247"/>
      <c r="X831" s="247"/>
      <c r="Y831" s="247"/>
      <c r="Z831" s="247"/>
      <c r="AA831" s="247"/>
    </row>
    <row r="832">
      <c r="A832" s="247"/>
      <c r="B832" s="245"/>
      <c r="C832" s="246"/>
      <c r="D832" s="247"/>
      <c r="E832" s="247"/>
      <c r="F832" s="247"/>
      <c r="G832" s="247"/>
      <c r="H832" s="247"/>
      <c r="I832" s="247"/>
      <c r="J832" s="246"/>
      <c r="K832" s="248"/>
      <c r="L832" s="246"/>
      <c r="M832" s="154"/>
      <c r="N832" s="55"/>
      <c r="O832" s="247"/>
      <c r="P832" s="247"/>
      <c r="Q832" s="247"/>
      <c r="R832" s="247"/>
      <c r="S832" s="247"/>
      <c r="T832" s="247"/>
      <c r="U832" s="247"/>
      <c r="V832" s="247"/>
      <c r="W832" s="247"/>
      <c r="X832" s="247"/>
      <c r="Y832" s="247"/>
      <c r="Z832" s="247"/>
      <c r="AA832" s="247"/>
    </row>
    <row r="833">
      <c r="A833" s="247"/>
      <c r="B833" s="245"/>
      <c r="C833" s="246"/>
      <c r="D833" s="247"/>
      <c r="E833" s="247"/>
      <c r="F833" s="247"/>
      <c r="G833" s="247"/>
      <c r="H833" s="247"/>
      <c r="I833" s="247"/>
      <c r="J833" s="246"/>
      <c r="K833" s="248"/>
      <c r="L833" s="246"/>
      <c r="M833" s="154"/>
      <c r="N833" s="55"/>
      <c r="O833" s="247"/>
      <c r="P833" s="247"/>
      <c r="Q833" s="247"/>
      <c r="R833" s="247"/>
      <c r="S833" s="247"/>
      <c r="T833" s="247"/>
      <c r="U833" s="247"/>
      <c r="V833" s="247"/>
      <c r="W833" s="247"/>
      <c r="X833" s="247"/>
      <c r="Y833" s="247"/>
      <c r="Z833" s="247"/>
      <c r="AA833" s="247"/>
    </row>
    <row r="834">
      <c r="A834" s="247"/>
      <c r="B834" s="245"/>
      <c r="C834" s="246"/>
      <c r="D834" s="247"/>
      <c r="E834" s="247"/>
      <c r="F834" s="247"/>
      <c r="G834" s="247"/>
      <c r="H834" s="247"/>
      <c r="I834" s="247"/>
      <c r="J834" s="246"/>
      <c r="K834" s="248"/>
      <c r="L834" s="246"/>
      <c r="M834" s="154"/>
      <c r="N834" s="55"/>
      <c r="O834" s="247"/>
      <c r="P834" s="247"/>
      <c r="Q834" s="247"/>
      <c r="R834" s="247"/>
      <c r="S834" s="247"/>
      <c r="T834" s="247"/>
      <c r="U834" s="247"/>
      <c r="V834" s="247"/>
      <c r="W834" s="247"/>
      <c r="X834" s="247"/>
      <c r="Y834" s="247"/>
      <c r="Z834" s="247"/>
      <c r="AA834" s="247"/>
    </row>
    <row r="835">
      <c r="A835" s="247"/>
      <c r="B835" s="245"/>
      <c r="C835" s="246"/>
      <c r="D835" s="247"/>
      <c r="E835" s="247"/>
      <c r="F835" s="247"/>
      <c r="G835" s="247"/>
      <c r="H835" s="247"/>
      <c r="I835" s="247"/>
      <c r="J835" s="246"/>
      <c r="K835" s="248"/>
      <c r="L835" s="246"/>
      <c r="M835" s="154"/>
      <c r="N835" s="55"/>
      <c r="O835" s="247"/>
      <c r="P835" s="247"/>
      <c r="Q835" s="247"/>
      <c r="R835" s="247"/>
      <c r="S835" s="247"/>
      <c r="T835" s="247"/>
      <c r="U835" s="247"/>
      <c r="V835" s="247"/>
      <c r="W835" s="247"/>
      <c r="X835" s="247"/>
      <c r="Y835" s="247"/>
      <c r="Z835" s="247"/>
      <c r="AA835" s="247"/>
    </row>
    <row r="836">
      <c r="A836" s="247"/>
      <c r="B836" s="245"/>
      <c r="C836" s="246"/>
      <c r="D836" s="247"/>
      <c r="E836" s="247"/>
      <c r="F836" s="247"/>
      <c r="G836" s="247"/>
      <c r="H836" s="247"/>
      <c r="I836" s="247"/>
      <c r="J836" s="246"/>
      <c r="K836" s="248"/>
      <c r="L836" s="246"/>
      <c r="M836" s="154"/>
      <c r="N836" s="55"/>
      <c r="O836" s="247"/>
      <c r="P836" s="247"/>
      <c r="Q836" s="247"/>
      <c r="R836" s="247"/>
      <c r="S836" s="247"/>
      <c r="T836" s="247"/>
      <c r="U836" s="247"/>
      <c r="V836" s="247"/>
      <c r="W836" s="247"/>
      <c r="X836" s="247"/>
      <c r="Y836" s="247"/>
      <c r="Z836" s="247"/>
      <c r="AA836" s="247"/>
    </row>
    <row r="837">
      <c r="A837" s="247"/>
      <c r="B837" s="245"/>
      <c r="C837" s="246"/>
      <c r="D837" s="247"/>
      <c r="E837" s="247"/>
      <c r="F837" s="247"/>
      <c r="G837" s="247"/>
      <c r="H837" s="247"/>
      <c r="I837" s="247"/>
      <c r="J837" s="246"/>
      <c r="K837" s="248"/>
      <c r="L837" s="246"/>
      <c r="M837" s="154"/>
      <c r="N837" s="55"/>
      <c r="O837" s="247"/>
      <c r="P837" s="247"/>
      <c r="Q837" s="247"/>
      <c r="R837" s="247"/>
      <c r="S837" s="247"/>
      <c r="T837" s="247"/>
      <c r="U837" s="247"/>
      <c r="V837" s="247"/>
      <c r="W837" s="247"/>
      <c r="X837" s="247"/>
      <c r="Y837" s="247"/>
      <c r="Z837" s="247"/>
      <c r="AA837" s="247"/>
    </row>
    <row r="838">
      <c r="A838" s="247"/>
      <c r="B838" s="245"/>
      <c r="C838" s="246"/>
      <c r="D838" s="247"/>
      <c r="E838" s="247"/>
      <c r="F838" s="247"/>
      <c r="G838" s="247"/>
      <c r="H838" s="247"/>
      <c r="I838" s="247"/>
      <c r="J838" s="246"/>
      <c r="K838" s="248"/>
      <c r="L838" s="246"/>
      <c r="M838" s="154"/>
      <c r="N838" s="55"/>
      <c r="O838" s="247"/>
      <c r="P838" s="247"/>
      <c r="Q838" s="247"/>
      <c r="R838" s="247"/>
      <c r="S838" s="247"/>
      <c r="T838" s="247"/>
      <c r="U838" s="247"/>
      <c r="V838" s="247"/>
      <c r="W838" s="247"/>
      <c r="X838" s="247"/>
      <c r="Y838" s="247"/>
      <c r="Z838" s="247"/>
      <c r="AA838" s="247"/>
    </row>
    <row r="839">
      <c r="A839" s="247"/>
      <c r="B839" s="245"/>
      <c r="C839" s="246"/>
      <c r="D839" s="247"/>
      <c r="E839" s="247"/>
      <c r="F839" s="247"/>
      <c r="G839" s="247"/>
      <c r="H839" s="247"/>
      <c r="I839" s="247"/>
      <c r="J839" s="246"/>
      <c r="K839" s="248"/>
      <c r="L839" s="246"/>
      <c r="M839" s="154"/>
      <c r="N839" s="55"/>
      <c r="O839" s="247"/>
      <c r="P839" s="247"/>
      <c r="Q839" s="247"/>
      <c r="R839" s="247"/>
      <c r="S839" s="247"/>
      <c r="T839" s="247"/>
      <c r="U839" s="247"/>
      <c r="V839" s="247"/>
      <c r="W839" s="247"/>
      <c r="X839" s="247"/>
      <c r="Y839" s="247"/>
      <c r="Z839" s="247"/>
      <c r="AA839" s="247"/>
    </row>
    <row r="840">
      <c r="A840" s="247"/>
      <c r="B840" s="245"/>
      <c r="C840" s="246"/>
      <c r="D840" s="247"/>
      <c r="E840" s="247"/>
      <c r="F840" s="247"/>
      <c r="G840" s="247"/>
      <c r="H840" s="247"/>
      <c r="I840" s="247"/>
      <c r="J840" s="246"/>
      <c r="K840" s="248"/>
      <c r="L840" s="246"/>
      <c r="M840" s="154"/>
      <c r="N840" s="55"/>
      <c r="O840" s="247"/>
      <c r="P840" s="247"/>
      <c r="Q840" s="247"/>
      <c r="R840" s="247"/>
      <c r="S840" s="247"/>
      <c r="T840" s="247"/>
      <c r="U840" s="247"/>
      <c r="V840" s="247"/>
      <c r="W840" s="247"/>
      <c r="X840" s="247"/>
      <c r="Y840" s="247"/>
      <c r="Z840" s="247"/>
      <c r="AA840" s="247"/>
    </row>
    <row r="841">
      <c r="A841" s="247"/>
      <c r="B841" s="245"/>
      <c r="C841" s="246"/>
      <c r="D841" s="247"/>
      <c r="E841" s="247"/>
      <c r="F841" s="247"/>
      <c r="G841" s="247"/>
      <c r="H841" s="247"/>
      <c r="I841" s="247"/>
      <c r="J841" s="246"/>
      <c r="K841" s="248"/>
      <c r="L841" s="246"/>
      <c r="M841" s="154"/>
      <c r="N841" s="55"/>
      <c r="O841" s="247"/>
      <c r="P841" s="247"/>
      <c r="Q841" s="247"/>
      <c r="R841" s="247"/>
      <c r="S841" s="247"/>
      <c r="T841" s="247"/>
      <c r="U841" s="247"/>
      <c r="V841" s="247"/>
      <c r="W841" s="247"/>
      <c r="X841" s="247"/>
      <c r="Y841" s="247"/>
      <c r="Z841" s="247"/>
      <c r="AA841" s="247"/>
    </row>
    <row r="842">
      <c r="A842" s="247"/>
      <c r="B842" s="245"/>
      <c r="C842" s="246"/>
      <c r="D842" s="247"/>
      <c r="E842" s="247"/>
      <c r="F842" s="247"/>
      <c r="G842" s="247"/>
      <c r="H842" s="247"/>
      <c r="I842" s="247"/>
      <c r="J842" s="246"/>
      <c r="K842" s="248"/>
      <c r="L842" s="246"/>
      <c r="M842" s="154"/>
      <c r="N842" s="55"/>
      <c r="O842" s="247"/>
      <c r="P842" s="247"/>
      <c r="Q842" s="247"/>
      <c r="R842" s="247"/>
      <c r="S842" s="247"/>
      <c r="T842" s="247"/>
      <c r="U842" s="247"/>
      <c r="V842" s="247"/>
      <c r="W842" s="247"/>
      <c r="X842" s="247"/>
      <c r="Y842" s="247"/>
      <c r="Z842" s="247"/>
      <c r="AA842" s="247"/>
    </row>
    <row r="843">
      <c r="A843" s="247"/>
      <c r="B843" s="245"/>
      <c r="C843" s="246"/>
      <c r="D843" s="247"/>
      <c r="E843" s="247"/>
      <c r="F843" s="247"/>
      <c r="G843" s="247"/>
      <c r="H843" s="247"/>
      <c r="I843" s="247"/>
      <c r="J843" s="246"/>
      <c r="K843" s="248"/>
      <c r="L843" s="246"/>
      <c r="M843" s="154"/>
      <c r="N843" s="55"/>
      <c r="O843" s="247"/>
      <c r="P843" s="247"/>
      <c r="Q843" s="247"/>
      <c r="R843" s="247"/>
      <c r="S843" s="247"/>
      <c r="T843" s="247"/>
      <c r="U843" s="247"/>
      <c r="V843" s="247"/>
      <c r="W843" s="247"/>
      <c r="X843" s="247"/>
      <c r="Y843" s="247"/>
      <c r="Z843" s="247"/>
      <c r="AA843" s="247"/>
    </row>
    <row r="844">
      <c r="A844" s="247"/>
      <c r="B844" s="245"/>
      <c r="C844" s="246"/>
      <c r="D844" s="247"/>
      <c r="E844" s="247"/>
      <c r="F844" s="247"/>
      <c r="G844" s="247"/>
      <c r="H844" s="247"/>
      <c r="I844" s="247"/>
      <c r="J844" s="246"/>
      <c r="K844" s="248"/>
      <c r="L844" s="246"/>
      <c r="M844" s="154"/>
      <c r="N844" s="55"/>
      <c r="O844" s="247"/>
      <c r="P844" s="247"/>
      <c r="Q844" s="247"/>
      <c r="R844" s="247"/>
      <c r="S844" s="247"/>
      <c r="T844" s="247"/>
      <c r="U844" s="247"/>
      <c r="V844" s="247"/>
      <c r="W844" s="247"/>
      <c r="X844" s="247"/>
      <c r="Y844" s="247"/>
      <c r="Z844" s="247"/>
      <c r="AA844" s="247"/>
    </row>
    <row r="845">
      <c r="A845" s="247"/>
      <c r="B845" s="245"/>
      <c r="C845" s="246"/>
      <c r="D845" s="247"/>
      <c r="E845" s="247"/>
      <c r="F845" s="247"/>
      <c r="G845" s="247"/>
      <c r="H845" s="247"/>
      <c r="I845" s="247"/>
      <c r="J845" s="246"/>
      <c r="K845" s="248"/>
      <c r="L845" s="246"/>
      <c r="M845" s="154"/>
      <c r="N845" s="55"/>
      <c r="O845" s="247"/>
      <c r="P845" s="247"/>
      <c r="Q845" s="247"/>
      <c r="R845" s="247"/>
      <c r="S845" s="247"/>
      <c r="T845" s="247"/>
      <c r="U845" s="247"/>
      <c r="V845" s="247"/>
      <c r="W845" s="247"/>
      <c r="X845" s="247"/>
      <c r="Y845" s="247"/>
      <c r="Z845" s="247"/>
      <c r="AA845" s="247"/>
    </row>
    <row r="846">
      <c r="A846" s="247"/>
      <c r="B846" s="245"/>
      <c r="C846" s="246"/>
      <c r="D846" s="247"/>
      <c r="E846" s="247"/>
      <c r="F846" s="247"/>
      <c r="G846" s="247"/>
      <c r="H846" s="247"/>
      <c r="I846" s="247"/>
      <c r="J846" s="246"/>
      <c r="K846" s="248"/>
      <c r="L846" s="246"/>
      <c r="M846" s="154"/>
      <c r="N846" s="55"/>
      <c r="O846" s="247"/>
      <c r="P846" s="247"/>
      <c r="Q846" s="247"/>
      <c r="R846" s="247"/>
      <c r="S846" s="247"/>
      <c r="T846" s="247"/>
      <c r="U846" s="247"/>
      <c r="V846" s="247"/>
      <c r="W846" s="247"/>
      <c r="X846" s="247"/>
      <c r="Y846" s="247"/>
      <c r="Z846" s="247"/>
      <c r="AA846" s="247"/>
    </row>
    <row r="847">
      <c r="A847" s="247"/>
      <c r="B847" s="245"/>
      <c r="C847" s="246"/>
      <c r="D847" s="247"/>
      <c r="E847" s="247"/>
      <c r="F847" s="247"/>
      <c r="G847" s="247"/>
      <c r="H847" s="247"/>
      <c r="I847" s="247"/>
      <c r="J847" s="246"/>
      <c r="K847" s="248"/>
      <c r="L847" s="246"/>
      <c r="M847" s="154"/>
      <c r="N847" s="55"/>
      <c r="O847" s="247"/>
      <c r="P847" s="247"/>
      <c r="Q847" s="247"/>
      <c r="R847" s="247"/>
      <c r="S847" s="247"/>
      <c r="T847" s="247"/>
      <c r="U847" s="247"/>
      <c r="V847" s="247"/>
      <c r="W847" s="247"/>
      <c r="X847" s="247"/>
      <c r="Y847" s="247"/>
      <c r="Z847" s="247"/>
      <c r="AA847" s="247"/>
    </row>
    <row r="848">
      <c r="A848" s="247"/>
      <c r="B848" s="245"/>
      <c r="C848" s="246"/>
      <c r="D848" s="247"/>
      <c r="E848" s="247"/>
      <c r="F848" s="247"/>
      <c r="G848" s="247"/>
      <c r="H848" s="247"/>
      <c r="I848" s="247"/>
      <c r="J848" s="246"/>
      <c r="K848" s="248"/>
      <c r="L848" s="246"/>
      <c r="M848" s="154"/>
      <c r="N848" s="55"/>
      <c r="O848" s="247"/>
      <c r="P848" s="247"/>
      <c r="Q848" s="247"/>
      <c r="R848" s="247"/>
      <c r="S848" s="247"/>
      <c r="T848" s="247"/>
      <c r="U848" s="247"/>
      <c r="V848" s="247"/>
      <c r="W848" s="247"/>
      <c r="X848" s="247"/>
      <c r="Y848" s="247"/>
      <c r="Z848" s="247"/>
      <c r="AA848" s="247"/>
    </row>
    <row r="849">
      <c r="A849" s="247"/>
      <c r="B849" s="245"/>
      <c r="C849" s="246"/>
      <c r="D849" s="247"/>
      <c r="E849" s="247"/>
      <c r="F849" s="247"/>
      <c r="G849" s="247"/>
      <c r="H849" s="247"/>
      <c r="I849" s="247"/>
      <c r="J849" s="246"/>
      <c r="K849" s="248"/>
      <c r="L849" s="246"/>
      <c r="M849" s="154"/>
      <c r="N849" s="55"/>
      <c r="O849" s="247"/>
      <c r="P849" s="247"/>
      <c r="Q849" s="247"/>
      <c r="R849" s="247"/>
      <c r="S849" s="247"/>
      <c r="T849" s="247"/>
      <c r="U849" s="247"/>
      <c r="V849" s="247"/>
      <c r="W849" s="247"/>
      <c r="X849" s="247"/>
      <c r="Y849" s="247"/>
      <c r="Z849" s="247"/>
      <c r="AA849" s="247"/>
    </row>
    <row r="850">
      <c r="A850" s="247"/>
      <c r="B850" s="245"/>
      <c r="C850" s="246"/>
      <c r="D850" s="247"/>
      <c r="E850" s="247"/>
      <c r="F850" s="247"/>
      <c r="G850" s="247"/>
      <c r="H850" s="247"/>
      <c r="I850" s="247"/>
      <c r="J850" s="246"/>
      <c r="K850" s="248"/>
      <c r="L850" s="246"/>
      <c r="M850" s="154"/>
      <c r="N850" s="55"/>
      <c r="O850" s="247"/>
      <c r="P850" s="247"/>
      <c r="Q850" s="247"/>
      <c r="R850" s="247"/>
      <c r="S850" s="247"/>
      <c r="T850" s="247"/>
      <c r="U850" s="247"/>
      <c r="V850" s="247"/>
      <c r="W850" s="247"/>
      <c r="X850" s="247"/>
      <c r="Y850" s="247"/>
      <c r="Z850" s="247"/>
      <c r="AA850" s="247"/>
    </row>
    <row r="851">
      <c r="A851" s="247"/>
      <c r="B851" s="245"/>
      <c r="C851" s="246"/>
      <c r="D851" s="247"/>
      <c r="E851" s="247"/>
      <c r="F851" s="247"/>
      <c r="G851" s="247"/>
      <c r="H851" s="247"/>
      <c r="I851" s="247"/>
      <c r="J851" s="246"/>
      <c r="K851" s="248"/>
      <c r="L851" s="246"/>
      <c r="M851" s="154"/>
      <c r="N851" s="55"/>
      <c r="O851" s="247"/>
      <c r="P851" s="247"/>
      <c r="Q851" s="247"/>
      <c r="R851" s="247"/>
      <c r="S851" s="247"/>
      <c r="T851" s="247"/>
      <c r="U851" s="247"/>
      <c r="V851" s="247"/>
      <c r="W851" s="247"/>
      <c r="X851" s="247"/>
      <c r="Y851" s="247"/>
      <c r="Z851" s="247"/>
      <c r="AA851" s="247"/>
    </row>
    <row r="852">
      <c r="A852" s="247"/>
      <c r="B852" s="245"/>
      <c r="C852" s="246"/>
      <c r="D852" s="247"/>
      <c r="E852" s="247"/>
      <c r="F852" s="247"/>
      <c r="G852" s="247"/>
      <c r="H852" s="247"/>
      <c r="I852" s="247"/>
      <c r="J852" s="246"/>
      <c r="K852" s="248"/>
      <c r="L852" s="246"/>
      <c r="M852" s="154"/>
      <c r="N852" s="55"/>
      <c r="O852" s="247"/>
      <c r="P852" s="247"/>
      <c r="Q852" s="247"/>
      <c r="R852" s="247"/>
      <c r="S852" s="247"/>
      <c r="T852" s="247"/>
      <c r="U852" s="247"/>
      <c r="V852" s="247"/>
      <c r="W852" s="247"/>
      <c r="X852" s="247"/>
      <c r="Y852" s="247"/>
      <c r="Z852" s="247"/>
      <c r="AA852" s="247"/>
    </row>
    <row r="853">
      <c r="A853" s="247"/>
      <c r="B853" s="245"/>
      <c r="C853" s="246"/>
      <c r="D853" s="247"/>
      <c r="E853" s="247"/>
      <c r="F853" s="247"/>
      <c r="G853" s="247"/>
      <c r="H853" s="247"/>
      <c r="I853" s="247"/>
      <c r="J853" s="246"/>
      <c r="K853" s="248"/>
      <c r="L853" s="246"/>
      <c r="M853" s="154"/>
      <c r="N853" s="55"/>
      <c r="O853" s="247"/>
      <c r="P853" s="247"/>
      <c r="Q853" s="247"/>
      <c r="R853" s="247"/>
      <c r="S853" s="247"/>
      <c r="T853" s="247"/>
      <c r="U853" s="247"/>
      <c r="V853" s="247"/>
      <c r="W853" s="247"/>
      <c r="X853" s="247"/>
      <c r="Y853" s="247"/>
      <c r="Z853" s="247"/>
      <c r="AA853" s="247"/>
    </row>
    <row r="854">
      <c r="A854" s="247"/>
      <c r="B854" s="245"/>
      <c r="C854" s="246"/>
      <c r="D854" s="247"/>
      <c r="E854" s="247"/>
      <c r="F854" s="247"/>
      <c r="G854" s="247"/>
      <c r="H854" s="247"/>
      <c r="I854" s="247"/>
      <c r="J854" s="246"/>
      <c r="K854" s="248"/>
      <c r="L854" s="246"/>
      <c r="M854" s="154"/>
      <c r="N854" s="55"/>
      <c r="O854" s="247"/>
      <c r="P854" s="247"/>
      <c r="Q854" s="247"/>
      <c r="R854" s="247"/>
      <c r="S854" s="247"/>
      <c r="T854" s="247"/>
      <c r="U854" s="247"/>
      <c r="V854" s="247"/>
      <c r="W854" s="247"/>
      <c r="X854" s="247"/>
      <c r="Y854" s="247"/>
      <c r="Z854" s="247"/>
      <c r="AA854" s="247"/>
    </row>
    <row r="855">
      <c r="A855" s="247"/>
      <c r="B855" s="245"/>
      <c r="C855" s="246"/>
      <c r="D855" s="247"/>
      <c r="E855" s="247"/>
      <c r="F855" s="247"/>
      <c r="G855" s="247"/>
      <c r="H855" s="247"/>
      <c r="I855" s="247"/>
      <c r="J855" s="246"/>
      <c r="K855" s="248"/>
      <c r="L855" s="246"/>
      <c r="M855" s="154"/>
      <c r="N855" s="55"/>
      <c r="O855" s="247"/>
      <c r="P855" s="247"/>
      <c r="Q855" s="247"/>
      <c r="R855" s="247"/>
      <c r="S855" s="247"/>
      <c r="T855" s="247"/>
      <c r="U855" s="247"/>
      <c r="V855" s="247"/>
      <c r="W855" s="247"/>
      <c r="X855" s="247"/>
      <c r="Y855" s="247"/>
      <c r="Z855" s="247"/>
      <c r="AA855" s="247"/>
    </row>
    <row r="856">
      <c r="A856" s="247"/>
      <c r="B856" s="245"/>
      <c r="C856" s="246"/>
      <c r="D856" s="247"/>
      <c r="E856" s="247"/>
      <c r="F856" s="247"/>
      <c r="G856" s="247"/>
      <c r="H856" s="247"/>
      <c r="I856" s="247"/>
      <c r="J856" s="246"/>
      <c r="K856" s="248"/>
      <c r="L856" s="246"/>
      <c r="M856" s="154"/>
      <c r="N856" s="55"/>
      <c r="O856" s="247"/>
      <c r="P856" s="247"/>
      <c r="Q856" s="247"/>
      <c r="R856" s="247"/>
      <c r="S856" s="247"/>
      <c r="T856" s="247"/>
      <c r="U856" s="247"/>
      <c r="V856" s="247"/>
      <c r="W856" s="247"/>
      <c r="X856" s="247"/>
      <c r="Y856" s="247"/>
      <c r="Z856" s="247"/>
      <c r="AA856" s="247"/>
    </row>
    <row r="857">
      <c r="A857" s="247"/>
      <c r="B857" s="245"/>
      <c r="C857" s="246"/>
      <c r="D857" s="247"/>
      <c r="E857" s="247"/>
      <c r="F857" s="247"/>
      <c r="G857" s="247"/>
      <c r="H857" s="247"/>
      <c r="I857" s="247"/>
      <c r="J857" s="246"/>
      <c r="K857" s="248"/>
      <c r="L857" s="246"/>
      <c r="M857" s="154"/>
      <c r="N857" s="55"/>
      <c r="O857" s="247"/>
      <c r="P857" s="247"/>
      <c r="Q857" s="247"/>
      <c r="R857" s="247"/>
      <c r="S857" s="247"/>
      <c r="T857" s="247"/>
      <c r="U857" s="247"/>
      <c r="V857" s="247"/>
      <c r="W857" s="247"/>
      <c r="X857" s="247"/>
      <c r="Y857" s="247"/>
      <c r="Z857" s="247"/>
      <c r="AA857" s="247"/>
    </row>
    <row r="858">
      <c r="A858" s="247"/>
      <c r="B858" s="245"/>
      <c r="C858" s="246"/>
      <c r="D858" s="247"/>
      <c r="E858" s="247"/>
      <c r="F858" s="247"/>
      <c r="G858" s="247"/>
      <c r="H858" s="247"/>
      <c r="I858" s="247"/>
      <c r="J858" s="246"/>
      <c r="K858" s="248"/>
      <c r="L858" s="246"/>
      <c r="M858" s="154"/>
      <c r="N858" s="55"/>
      <c r="O858" s="247"/>
      <c r="P858" s="247"/>
      <c r="Q858" s="247"/>
      <c r="R858" s="247"/>
      <c r="S858" s="247"/>
      <c r="T858" s="247"/>
      <c r="U858" s="247"/>
      <c r="V858" s="247"/>
      <c r="W858" s="247"/>
      <c r="X858" s="247"/>
      <c r="Y858" s="247"/>
      <c r="Z858" s="247"/>
      <c r="AA858" s="247"/>
    </row>
    <row r="859">
      <c r="A859" s="247"/>
      <c r="B859" s="245"/>
      <c r="C859" s="246"/>
      <c r="D859" s="247"/>
      <c r="E859" s="247"/>
      <c r="F859" s="247"/>
      <c r="G859" s="247"/>
      <c r="H859" s="247"/>
      <c r="I859" s="247"/>
      <c r="J859" s="246"/>
      <c r="K859" s="248"/>
      <c r="L859" s="246"/>
      <c r="M859" s="154"/>
      <c r="N859" s="55"/>
      <c r="O859" s="247"/>
      <c r="P859" s="247"/>
      <c r="Q859" s="247"/>
      <c r="R859" s="247"/>
      <c r="S859" s="247"/>
      <c r="T859" s="247"/>
      <c r="U859" s="247"/>
      <c r="V859" s="247"/>
      <c r="W859" s="247"/>
      <c r="X859" s="247"/>
      <c r="Y859" s="247"/>
      <c r="Z859" s="247"/>
      <c r="AA859" s="247"/>
    </row>
    <row r="860">
      <c r="A860" s="247"/>
      <c r="B860" s="245"/>
      <c r="C860" s="246"/>
      <c r="D860" s="247"/>
      <c r="E860" s="247"/>
      <c r="F860" s="247"/>
      <c r="G860" s="247"/>
      <c r="H860" s="247"/>
      <c r="I860" s="247"/>
      <c r="J860" s="246"/>
      <c r="K860" s="248"/>
      <c r="L860" s="246"/>
      <c r="M860" s="154"/>
      <c r="N860" s="55"/>
      <c r="O860" s="247"/>
      <c r="P860" s="247"/>
      <c r="Q860" s="247"/>
      <c r="R860" s="247"/>
      <c r="S860" s="247"/>
      <c r="T860" s="247"/>
      <c r="U860" s="247"/>
      <c r="V860" s="247"/>
      <c r="W860" s="247"/>
      <c r="X860" s="247"/>
      <c r="Y860" s="247"/>
      <c r="Z860" s="247"/>
      <c r="AA860" s="247"/>
    </row>
    <row r="861">
      <c r="A861" s="247"/>
      <c r="B861" s="245"/>
      <c r="C861" s="246"/>
      <c r="D861" s="247"/>
      <c r="E861" s="247"/>
      <c r="F861" s="247"/>
      <c r="G861" s="247"/>
      <c r="H861" s="247"/>
      <c r="I861" s="247"/>
      <c r="J861" s="246"/>
      <c r="K861" s="248"/>
      <c r="L861" s="246"/>
      <c r="M861" s="154"/>
      <c r="N861" s="55"/>
      <c r="O861" s="247"/>
      <c r="P861" s="247"/>
      <c r="Q861" s="247"/>
      <c r="R861" s="247"/>
      <c r="S861" s="247"/>
      <c r="T861" s="247"/>
      <c r="U861" s="247"/>
      <c r="V861" s="247"/>
      <c r="W861" s="247"/>
      <c r="X861" s="247"/>
      <c r="Y861" s="247"/>
      <c r="Z861" s="247"/>
      <c r="AA861" s="247"/>
    </row>
    <row r="862">
      <c r="A862" s="247"/>
      <c r="B862" s="245"/>
      <c r="C862" s="246"/>
      <c r="D862" s="247"/>
      <c r="E862" s="247"/>
      <c r="F862" s="247"/>
      <c r="G862" s="247"/>
      <c r="H862" s="247"/>
      <c r="I862" s="247"/>
      <c r="J862" s="246"/>
      <c r="K862" s="248"/>
      <c r="L862" s="246"/>
      <c r="M862" s="154"/>
      <c r="N862" s="55"/>
      <c r="O862" s="247"/>
      <c r="P862" s="247"/>
      <c r="Q862" s="247"/>
      <c r="R862" s="247"/>
      <c r="S862" s="247"/>
      <c r="T862" s="247"/>
      <c r="U862" s="247"/>
      <c r="V862" s="247"/>
      <c r="W862" s="247"/>
      <c r="X862" s="247"/>
      <c r="Y862" s="247"/>
      <c r="Z862" s="247"/>
      <c r="AA862" s="247"/>
    </row>
    <row r="863">
      <c r="A863" s="247"/>
      <c r="B863" s="245"/>
      <c r="C863" s="246"/>
      <c r="D863" s="247"/>
      <c r="E863" s="247"/>
      <c r="F863" s="247"/>
      <c r="G863" s="247"/>
      <c r="H863" s="247"/>
      <c r="I863" s="247"/>
      <c r="J863" s="246"/>
      <c r="K863" s="248"/>
      <c r="L863" s="246"/>
      <c r="M863" s="154"/>
      <c r="N863" s="55"/>
      <c r="O863" s="247"/>
      <c r="P863" s="247"/>
      <c r="Q863" s="247"/>
      <c r="R863" s="247"/>
      <c r="S863" s="247"/>
      <c r="T863" s="247"/>
      <c r="U863" s="247"/>
      <c r="V863" s="247"/>
      <c r="W863" s="247"/>
      <c r="X863" s="247"/>
      <c r="Y863" s="247"/>
      <c r="Z863" s="247"/>
      <c r="AA863" s="247"/>
    </row>
    <row r="864">
      <c r="A864" s="247"/>
      <c r="B864" s="245"/>
      <c r="C864" s="246"/>
      <c r="D864" s="247"/>
      <c r="E864" s="247"/>
      <c r="F864" s="247"/>
      <c r="G864" s="247"/>
      <c r="H864" s="247"/>
      <c r="I864" s="247"/>
      <c r="J864" s="246"/>
      <c r="K864" s="248"/>
      <c r="L864" s="246"/>
      <c r="M864" s="154"/>
      <c r="N864" s="55"/>
      <c r="O864" s="247"/>
      <c r="P864" s="247"/>
      <c r="Q864" s="247"/>
      <c r="R864" s="247"/>
      <c r="S864" s="247"/>
      <c r="T864" s="247"/>
      <c r="U864" s="247"/>
      <c r="V864" s="247"/>
      <c r="W864" s="247"/>
      <c r="X864" s="247"/>
      <c r="Y864" s="247"/>
      <c r="Z864" s="247"/>
      <c r="AA864" s="247"/>
    </row>
    <row r="865">
      <c r="A865" s="247"/>
      <c r="B865" s="245"/>
      <c r="C865" s="246"/>
      <c r="D865" s="247"/>
      <c r="E865" s="247"/>
      <c r="F865" s="247"/>
      <c r="G865" s="247"/>
      <c r="H865" s="247"/>
      <c r="I865" s="247"/>
      <c r="J865" s="246"/>
      <c r="K865" s="248"/>
      <c r="L865" s="246"/>
      <c r="M865" s="154"/>
      <c r="N865" s="55"/>
      <c r="O865" s="247"/>
      <c r="P865" s="247"/>
      <c r="Q865" s="247"/>
      <c r="R865" s="247"/>
      <c r="S865" s="247"/>
      <c r="T865" s="247"/>
      <c r="U865" s="247"/>
      <c r="V865" s="247"/>
      <c r="W865" s="247"/>
      <c r="X865" s="247"/>
      <c r="Y865" s="247"/>
      <c r="Z865" s="247"/>
      <c r="AA865" s="247"/>
    </row>
    <row r="866">
      <c r="A866" s="247"/>
      <c r="B866" s="245"/>
      <c r="C866" s="246"/>
      <c r="D866" s="247"/>
      <c r="E866" s="247"/>
      <c r="F866" s="247"/>
      <c r="G866" s="247"/>
      <c r="H866" s="247"/>
      <c r="I866" s="247"/>
      <c r="J866" s="246"/>
      <c r="K866" s="248"/>
      <c r="L866" s="246"/>
      <c r="M866" s="154"/>
      <c r="N866" s="55"/>
      <c r="O866" s="247"/>
      <c r="P866" s="247"/>
      <c r="Q866" s="247"/>
      <c r="R866" s="247"/>
      <c r="S866" s="247"/>
      <c r="T866" s="247"/>
      <c r="U866" s="247"/>
      <c r="V866" s="247"/>
      <c r="W866" s="247"/>
      <c r="X866" s="247"/>
      <c r="Y866" s="247"/>
      <c r="Z866" s="247"/>
      <c r="AA866" s="247"/>
    </row>
    <row r="867">
      <c r="A867" s="247"/>
      <c r="B867" s="245"/>
      <c r="C867" s="246"/>
      <c r="D867" s="247"/>
      <c r="E867" s="247"/>
      <c r="F867" s="247"/>
      <c r="G867" s="247"/>
      <c r="H867" s="247"/>
      <c r="I867" s="247"/>
      <c r="J867" s="246"/>
      <c r="K867" s="248"/>
      <c r="L867" s="246"/>
      <c r="M867" s="154"/>
      <c r="N867" s="55"/>
      <c r="O867" s="247"/>
      <c r="P867" s="247"/>
      <c r="Q867" s="247"/>
      <c r="R867" s="247"/>
      <c r="S867" s="247"/>
      <c r="T867" s="247"/>
      <c r="U867" s="247"/>
      <c r="V867" s="247"/>
      <c r="W867" s="247"/>
      <c r="X867" s="247"/>
      <c r="Y867" s="247"/>
      <c r="Z867" s="247"/>
      <c r="AA867" s="247"/>
    </row>
    <row r="868">
      <c r="A868" s="247"/>
      <c r="B868" s="245"/>
      <c r="C868" s="246"/>
      <c r="D868" s="247"/>
      <c r="E868" s="247"/>
      <c r="F868" s="247"/>
      <c r="G868" s="247"/>
      <c r="H868" s="247"/>
      <c r="I868" s="247"/>
      <c r="J868" s="246"/>
      <c r="K868" s="248"/>
      <c r="L868" s="246"/>
      <c r="M868" s="154"/>
      <c r="N868" s="55"/>
      <c r="O868" s="247"/>
      <c r="P868" s="247"/>
      <c r="Q868" s="247"/>
      <c r="R868" s="247"/>
      <c r="S868" s="247"/>
      <c r="T868" s="247"/>
      <c r="U868" s="247"/>
      <c r="V868" s="247"/>
      <c r="W868" s="247"/>
      <c r="X868" s="247"/>
      <c r="Y868" s="247"/>
      <c r="Z868" s="247"/>
      <c r="AA868" s="247"/>
    </row>
    <row r="869">
      <c r="A869" s="247"/>
      <c r="B869" s="245"/>
      <c r="C869" s="246"/>
      <c r="D869" s="247"/>
      <c r="E869" s="247"/>
      <c r="F869" s="247"/>
      <c r="G869" s="247"/>
      <c r="H869" s="247"/>
      <c r="I869" s="247"/>
      <c r="J869" s="246"/>
      <c r="K869" s="248"/>
      <c r="L869" s="246"/>
      <c r="M869" s="154"/>
      <c r="N869" s="55"/>
      <c r="O869" s="247"/>
      <c r="P869" s="247"/>
      <c r="Q869" s="247"/>
      <c r="R869" s="247"/>
      <c r="S869" s="247"/>
      <c r="T869" s="247"/>
      <c r="U869" s="247"/>
      <c r="V869" s="247"/>
      <c r="W869" s="247"/>
      <c r="X869" s="247"/>
      <c r="Y869" s="247"/>
      <c r="Z869" s="247"/>
      <c r="AA869" s="247"/>
    </row>
    <row r="870">
      <c r="A870" s="247"/>
      <c r="B870" s="245"/>
      <c r="C870" s="246"/>
      <c r="D870" s="247"/>
      <c r="E870" s="247"/>
      <c r="F870" s="247"/>
      <c r="G870" s="247"/>
      <c r="H870" s="247"/>
      <c r="I870" s="247"/>
      <c r="J870" s="246"/>
      <c r="K870" s="248"/>
      <c r="L870" s="246"/>
      <c r="M870" s="154"/>
      <c r="N870" s="55"/>
      <c r="O870" s="247"/>
      <c r="P870" s="247"/>
      <c r="Q870" s="247"/>
      <c r="R870" s="247"/>
      <c r="S870" s="247"/>
      <c r="T870" s="247"/>
      <c r="U870" s="247"/>
      <c r="V870" s="247"/>
      <c r="W870" s="247"/>
      <c r="X870" s="247"/>
      <c r="Y870" s="247"/>
      <c r="Z870" s="247"/>
      <c r="AA870" s="247"/>
    </row>
    <row r="871">
      <c r="A871" s="247"/>
      <c r="B871" s="245"/>
      <c r="C871" s="246"/>
      <c r="D871" s="247"/>
      <c r="E871" s="247"/>
      <c r="F871" s="247"/>
      <c r="G871" s="247"/>
      <c r="H871" s="247"/>
      <c r="I871" s="247"/>
      <c r="J871" s="246"/>
      <c r="K871" s="248"/>
      <c r="L871" s="246"/>
      <c r="M871" s="154"/>
      <c r="N871" s="55"/>
      <c r="O871" s="247"/>
      <c r="P871" s="247"/>
      <c r="Q871" s="247"/>
      <c r="R871" s="247"/>
      <c r="S871" s="247"/>
      <c r="T871" s="247"/>
      <c r="U871" s="247"/>
      <c r="V871" s="247"/>
      <c r="W871" s="247"/>
      <c r="X871" s="247"/>
      <c r="Y871" s="247"/>
      <c r="Z871" s="247"/>
      <c r="AA871" s="247"/>
    </row>
    <row r="872">
      <c r="A872" s="247"/>
      <c r="B872" s="245"/>
      <c r="C872" s="246"/>
      <c r="D872" s="247"/>
      <c r="E872" s="247"/>
      <c r="F872" s="247"/>
      <c r="G872" s="247"/>
      <c r="H872" s="247"/>
      <c r="I872" s="247"/>
      <c r="J872" s="246"/>
      <c r="K872" s="248"/>
      <c r="L872" s="246"/>
      <c r="M872" s="154"/>
      <c r="N872" s="55"/>
      <c r="O872" s="247"/>
      <c r="P872" s="247"/>
      <c r="Q872" s="247"/>
      <c r="R872" s="247"/>
      <c r="S872" s="247"/>
      <c r="T872" s="247"/>
      <c r="U872" s="247"/>
      <c r="V872" s="247"/>
      <c r="W872" s="247"/>
      <c r="X872" s="247"/>
      <c r="Y872" s="247"/>
      <c r="Z872" s="247"/>
      <c r="AA872" s="247"/>
    </row>
    <row r="873">
      <c r="A873" s="247"/>
      <c r="B873" s="245"/>
      <c r="C873" s="246"/>
      <c r="D873" s="247"/>
      <c r="E873" s="247"/>
      <c r="F873" s="247"/>
      <c r="G873" s="247"/>
      <c r="H873" s="247"/>
      <c r="I873" s="247"/>
      <c r="J873" s="246"/>
      <c r="K873" s="248"/>
      <c r="L873" s="246"/>
      <c r="M873" s="154"/>
      <c r="N873" s="55"/>
      <c r="O873" s="247"/>
      <c r="P873" s="247"/>
      <c r="Q873" s="247"/>
      <c r="R873" s="247"/>
      <c r="S873" s="247"/>
      <c r="T873" s="247"/>
      <c r="U873" s="247"/>
      <c r="V873" s="247"/>
      <c r="W873" s="247"/>
      <c r="X873" s="247"/>
      <c r="Y873" s="247"/>
      <c r="Z873" s="247"/>
      <c r="AA873" s="247"/>
    </row>
    <row r="874">
      <c r="A874" s="247"/>
      <c r="B874" s="245"/>
      <c r="C874" s="246"/>
      <c r="D874" s="247"/>
      <c r="E874" s="247"/>
      <c r="F874" s="247"/>
      <c r="G874" s="247"/>
      <c r="H874" s="247"/>
      <c r="I874" s="247"/>
      <c r="J874" s="246"/>
      <c r="K874" s="248"/>
      <c r="L874" s="246"/>
      <c r="M874" s="154"/>
      <c r="N874" s="55"/>
      <c r="O874" s="247"/>
      <c r="P874" s="247"/>
      <c r="Q874" s="247"/>
      <c r="R874" s="247"/>
      <c r="S874" s="247"/>
      <c r="T874" s="247"/>
      <c r="U874" s="247"/>
      <c r="V874" s="247"/>
      <c r="W874" s="247"/>
      <c r="X874" s="247"/>
      <c r="Y874" s="247"/>
      <c r="Z874" s="247"/>
      <c r="AA874" s="247"/>
    </row>
    <row r="875">
      <c r="A875" s="247"/>
      <c r="B875" s="245"/>
      <c r="C875" s="246"/>
      <c r="D875" s="247"/>
      <c r="E875" s="247"/>
      <c r="F875" s="247"/>
      <c r="G875" s="247"/>
      <c r="H875" s="247"/>
      <c r="I875" s="247"/>
      <c r="J875" s="246"/>
      <c r="K875" s="248"/>
      <c r="L875" s="246"/>
      <c r="M875" s="154"/>
      <c r="N875" s="55"/>
      <c r="O875" s="247"/>
      <c r="P875" s="247"/>
      <c r="Q875" s="247"/>
      <c r="R875" s="247"/>
      <c r="S875" s="247"/>
      <c r="T875" s="247"/>
      <c r="U875" s="247"/>
      <c r="V875" s="247"/>
      <c r="W875" s="247"/>
      <c r="X875" s="247"/>
      <c r="Y875" s="247"/>
      <c r="Z875" s="247"/>
      <c r="AA875" s="247"/>
    </row>
    <row r="876">
      <c r="A876" s="247"/>
      <c r="B876" s="245"/>
      <c r="C876" s="246"/>
      <c r="D876" s="247"/>
      <c r="E876" s="247"/>
      <c r="F876" s="247"/>
      <c r="G876" s="247"/>
      <c r="H876" s="247"/>
      <c r="I876" s="247"/>
      <c r="J876" s="246"/>
      <c r="K876" s="248"/>
      <c r="L876" s="246"/>
      <c r="M876" s="154"/>
      <c r="N876" s="55"/>
      <c r="O876" s="247"/>
      <c r="P876" s="247"/>
      <c r="Q876" s="247"/>
      <c r="R876" s="247"/>
      <c r="S876" s="247"/>
      <c r="T876" s="247"/>
      <c r="U876" s="247"/>
      <c r="V876" s="247"/>
      <c r="W876" s="247"/>
      <c r="X876" s="247"/>
      <c r="Y876" s="247"/>
      <c r="Z876" s="247"/>
      <c r="AA876" s="247"/>
    </row>
    <row r="877">
      <c r="A877" s="247"/>
      <c r="B877" s="245"/>
      <c r="C877" s="246"/>
      <c r="D877" s="247"/>
      <c r="E877" s="247"/>
      <c r="F877" s="247"/>
      <c r="G877" s="247"/>
      <c r="H877" s="247"/>
      <c r="I877" s="247"/>
      <c r="J877" s="246"/>
      <c r="K877" s="248"/>
      <c r="L877" s="246"/>
      <c r="M877" s="154"/>
      <c r="N877" s="55"/>
      <c r="O877" s="247"/>
      <c r="P877" s="247"/>
      <c r="Q877" s="247"/>
      <c r="R877" s="247"/>
      <c r="S877" s="247"/>
      <c r="T877" s="247"/>
      <c r="U877" s="247"/>
      <c r="V877" s="247"/>
      <c r="W877" s="247"/>
      <c r="X877" s="247"/>
      <c r="Y877" s="247"/>
      <c r="Z877" s="247"/>
      <c r="AA877" s="247"/>
    </row>
    <row r="878">
      <c r="A878" s="247"/>
      <c r="B878" s="245"/>
      <c r="C878" s="246"/>
      <c r="D878" s="247"/>
      <c r="E878" s="247"/>
      <c r="F878" s="247"/>
      <c r="G878" s="247"/>
      <c r="H878" s="247"/>
      <c r="I878" s="247"/>
      <c r="J878" s="246"/>
      <c r="K878" s="248"/>
      <c r="L878" s="246"/>
      <c r="M878" s="154"/>
      <c r="N878" s="55"/>
      <c r="O878" s="247"/>
      <c r="P878" s="247"/>
      <c r="Q878" s="247"/>
      <c r="R878" s="247"/>
      <c r="S878" s="247"/>
      <c r="T878" s="247"/>
      <c r="U878" s="247"/>
      <c r="V878" s="247"/>
      <c r="W878" s="247"/>
      <c r="X878" s="247"/>
      <c r="Y878" s="247"/>
      <c r="Z878" s="247"/>
      <c r="AA878" s="247"/>
    </row>
    <row r="879">
      <c r="A879" s="247"/>
      <c r="B879" s="245"/>
      <c r="C879" s="246"/>
      <c r="D879" s="247"/>
      <c r="E879" s="247"/>
      <c r="F879" s="247"/>
      <c r="G879" s="247"/>
      <c r="H879" s="247"/>
      <c r="I879" s="247"/>
      <c r="J879" s="246"/>
      <c r="K879" s="248"/>
      <c r="L879" s="246"/>
      <c r="M879" s="154"/>
      <c r="N879" s="55"/>
      <c r="O879" s="247"/>
      <c r="P879" s="247"/>
      <c r="Q879" s="247"/>
      <c r="R879" s="247"/>
      <c r="S879" s="247"/>
      <c r="T879" s="247"/>
      <c r="U879" s="247"/>
      <c r="V879" s="247"/>
      <c r="W879" s="247"/>
      <c r="X879" s="247"/>
      <c r="Y879" s="247"/>
      <c r="Z879" s="247"/>
      <c r="AA879" s="247"/>
    </row>
    <row r="880">
      <c r="A880" s="247"/>
      <c r="B880" s="245"/>
      <c r="C880" s="246"/>
      <c r="D880" s="247"/>
      <c r="E880" s="247"/>
      <c r="F880" s="247"/>
      <c r="G880" s="247"/>
      <c r="H880" s="247"/>
      <c r="I880" s="247"/>
      <c r="J880" s="246"/>
      <c r="K880" s="248"/>
      <c r="L880" s="246"/>
      <c r="M880" s="154"/>
      <c r="N880" s="55"/>
      <c r="O880" s="247"/>
      <c r="P880" s="247"/>
      <c r="Q880" s="247"/>
      <c r="R880" s="247"/>
      <c r="S880" s="247"/>
      <c r="T880" s="247"/>
      <c r="U880" s="247"/>
      <c r="V880" s="247"/>
      <c r="W880" s="247"/>
      <c r="X880" s="247"/>
      <c r="Y880" s="247"/>
      <c r="Z880" s="247"/>
      <c r="AA880" s="247"/>
    </row>
    <row r="881">
      <c r="A881" s="247"/>
      <c r="B881" s="245"/>
      <c r="C881" s="246"/>
      <c r="D881" s="247"/>
      <c r="E881" s="247"/>
      <c r="F881" s="247"/>
      <c r="G881" s="247"/>
      <c r="H881" s="247"/>
      <c r="I881" s="247"/>
      <c r="J881" s="246"/>
      <c r="K881" s="248"/>
      <c r="L881" s="246"/>
      <c r="M881" s="154"/>
      <c r="N881" s="55"/>
      <c r="O881" s="247"/>
      <c r="P881" s="247"/>
      <c r="Q881" s="247"/>
      <c r="R881" s="247"/>
      <c r="S881" s="247"/>
      <c r="T881" s="247"/>
      <c r="U881" s="247"/>
      <c r="V881" s="247"/>
      <c r="W881" s="247"/>
      <c r="X881" s="247"/>
      <c r="Y881" s="247"/>
      <c r="Z881" s="247"/>
      <c r="AA881" s="247"/>
    </row>
    <row r="882">
      <c r="A882" s="247"/>
      <c r="B882" s="245"/>
      <c r="C882" s="246"/>
      <c r="D882" s="247"/>
      <c r="E882" s="247"/>
      <c r="F882" s="247"/>
      <c r="G882" s="247"/>
      <c r="H882" s="247"/>
      <c r="I882" s="247"/>
      <c r="J882" s="246"/>
      <c r="K882" s="248"/>
      <c r="L882" s="246"/>
      <c r="M882" s="154"/>
      <c r="N882" s="55"/>
      <c r="O882" s="247"/>
      <c r="P882" s="247"/>
      <c r="Q882" s="247"/>
      <c r="R882" s="247"/>
      <c r="S882" s="247"/>
      <c r="T882" s="247"/>
      <c r="U882" s="247"/>
      <c r="V882" s="247"/>
      <c r="W882" s="247"/>
      <c r="X882" s="247"/>
      <c r="Y882" s="247"/>
      <c r="Z882" s="247"/>
      <c r="AA882" s="247"/>
    </row>
    <row r="883">
      <c r="A883" s="247"/>
      <c r="B883" s="245"/>
      <c r="C883" s="246"/>
      <c r="D883" s="247"/>
      <c r="E883" s="247"/>
      <c r="F883" s="247"/>
      <c r="G883" s="247"/>
      <c r="H883" s="247"/>
      <c r="I883" s="247"/>
      <c r="J883" s="246"/>
      <c r="K883" s="248"/>
      <c r="L883" s="246"/>
      <c r="M883" s="154"/>
      <c r="N883" s="55"/>
      <c r="O883" s="247"/>
      <c r="P883" s="247"/>
      <c r="Q883" s="247"/>
      <c r="R883" s="247"/>
      <c r="S883" s="247"/>
      <c r="T883" s="247"/>
      <c r="U883" s="247"/>
      <c r="V883" s="247"/>
      <c r="W883" s="247"/>
      <c r="X883" s="247"/>
      <c r="Y883" s="247"/>
      <c r="Z883" s="247"/>
      <c r="AA883" s="247"/>
    </row>
    <row r="884">
      <c r="A884" s="247"/>
      <c r="B884" s="245"/>
      <c r="C884" s="246"/>
      <c r="D884" s="247"/>
      <c r="E884" s="247"/>
      <c r="F884" s="247"/>
      <c r="G884" s="247"/>
      <c r="H884" s="247"/>
      <c r="I884" s="247"/>
      <c r="J884" s="246"/>
      <c r="K884" s="248"/>
      <c r="L884" s="246"/>
      <c r="M884" s="154"/>
      <c r="N884" s="55"/>
      <c r="O884" s="247"/>
      <c r="P884" s="247"/>
      <c r="Q884" s="247"/>
      <c r="R884" s="247"/>
      <c r="S884" s="247"/>
      <c r="T884" s="247"/>
      <c r="U884" s="247"/>
      <c r="V884" s="247"/>
      <c r="W884" s="247"/>
      <c r="X884" s="247"/>
      <c r="Y884" s="247"/>
      <c r="Z884" s="247"/>
      <c r="AA884" s="247"/>
    </row>
    <row r="885">
      <c r="A885" s="247"/>
      <c r="B885" s="245"/>
      <c r="C885" s="246"/>
      <c r="D885" s="247"/>
      <c r="E885" s="247"/>
      <c r="F885" s="247"/>
      <c r="G885" s="247"/>
      <c r="H885" s="247"/>
      <c r="I885" s="247"/>
      <c r="J885" s="246"/>
      <c r="K885" s="248"/>
      <c r="L885" s="246"/>
      <c r="M885" s="154"/>
      <c r="N885" s="55"/>
      <c r="O885" s="247"/>
      <c r="P885" s="247"/>
      <c r="Q885" s="247"/>
      <c r="R885" s="247"/>
      <c r="S885" s="247"/>
      <c r="T885" s="247"/>
      <c r="U885" s="247"/>
      <c r="V885" s="247"/>
      <c r="W885" s="247"/>
      <c r="X885" s="247"/>
      <c r="Y885" s="247"/>
      <c r="Z885" s="247"/>
      <c r="AA885" s="247"/>
    </row>
    <row r="886">
      <c r="A886" s="247"/>
      <c r="B886" s="245"/>
      <c r="C886" s="246"/>
      <c r="D886" s="247"/>
      <c r="E886" s="247"/>
      <c r="F886" s="247"/>
      <c r="G886" s="247"/>
      <c r="H886" s="247"/>
      <c r="I886" s="247"/>
      <c r="J886" s="246"/>
      <c r="K886" s="248"/>
      <c r="L886" s="246"/>
      <c r="M886" s="154"/>
      <c r="N886" s="55"/>
      <c r="O886" s="247"/>
      <c r="P886" s="247"/>
      <c r="Q886" s="247"/>
      <c r="R886" s="247"/>
      <c r="S886" s="247"/>
      <c r="T886" s="247"/>
      <c r="U886" s="247"/>
      <c r="V886" s="247"/>
      <c r="W886" s="247"/>
      <c r="X886" s="247"/>
      <c r="Y886" s="247"/>
      <c r="Z886" s="247"/>
      <c r="AA886" s="247"/>
    </row>
    <row r="887">
      <c r="A887" s="247"/>
      <c r="B887" s="245"/>
      <c r="C887" s="246"/>
      <c r="D887" s="247"/>
      <c r="E887" s="247"/>
      <c r="F887" s="247"/>
      <c r="G887" s="247"/>
      <c r="H887" s="247"/>
      <c r="I887" s="247"/>
      <c r="J887" s="246"/>
      <c r="K887" s="248"/>
      <c r="L887" s="246"/>
      <c r="M887" s="154"/>
      <c r="N887" s="55"/>
      <c r="O887" s="247"/>
      <c r="P887" s="247"/>
      <c r="Q887" s="247"/>
      <c r="R887" s="247"/>
      <c r="S887" s="247"/>
      <c r="T887" s="247"/>
      <c r="U887" s="247"/>
      <c r="V887" s="247"/>
      <c r="W887" s="247"/>
      <c r="X887" s="247"/>
      <c r="Y887" s="247"/>
      <c r="Z887" s="247"/>
      <c r="AA887" s="247"/>
    </row>
    <row r="888">
      <c r="A888" s="247"/>
      <c r="B888" s="245"/>
      <c r="C888" s="246"/>
      <c r="D888" s="247"/>
      <c r="E888" s="247"/>
      <c r="F888" s="247"/>
      <c r="G888" s="247"/>
      <c r="H888" s="247"/>
      <c r="I888" s="247"/>
      <c r="J888" s="246"/>
      <c r="K888" s="248"/>
      <c r="L888" s="246"/>
      <c r="M888" s="154"/>
      <c r="N888" s="55"/>
      <c r="O888" s="247"/>
      <c r="P888" s="247"/>
      <c r="Q888" s="247"/>
      <c r="R888" s="247"/>
      <c r="S888" s="247"/>
      <c r="T888" s="247"/>
      <c r="U888" s="247"/>
      <c r="V888" s="247"/>
      <c r="W888" s="247"/>
      <c r="X888" s="247"/>
      <c r="Y888" s="247"/>
      <c r="Z888" s="247"/>
      <c r="AA888" s="247"/>
    </row>
    <row r="889">
      <c r="A889" s="247"/>
      <c r="B889" s="245"/>
      <c r="C889" s="246"/>
      <c r="D889" s="247"/>
      <c r="E889" s="247"/>
      <c r="F889" s="247"/>
      <c r="G889" s="247"/>
      <c r="H889" s="247"/>
      <c r="I889" s="247"/>
      <c r="J889" s="246"/>
      <c r="K889" s="248"/>
      <c r="L889" s="246"/>
      <c r="M889" s="154"/>
      <c r="N889" s="55"/>
      <c r="O889" s="247"/>
      <c r="P889" s="247"/>
      <c r="Q889" s="247"/>
      <c r="R889" s="247"/>
      <c r="S889" s="247"/>
      <c r="T889" s="247"/>
      <c r="U889" s="247"/>
      <c r="V889" s="247"/>
      <c r="W889" s="247"/>
      <c r="X889" s="247"/>
      <c r="Y889" s="247"/>
      <c r="Z889" s="247"/>
      <c r="AA889" s="247"/>
    </row>
    <row r="890">
      <c r="A890" s="247"/>
      <c r="B890" s="245"/>
      <c r="C890" s="246"/>
      <c r="D890" s="247"/>
      <c r="E890" s="247"/>
      <c r="F890" s="247"/>
      <c r="G890" s="247"/>
      <c r="H890" s="247"/>
      <c r="I890" s="247"/>
      <c r="J890" s="246"/>
      <c r="K890" s="248"/>
      <c r="L890" s="246"/>
      <c r="M890" s="154"/>
      <c r="N890" s="55"/>
      <c r="O890" s="247"/>
      <c r="P890" s="247"/>
      <c r="Q890" s="247"/>
      <c r="R890" s="247"/>
      <c r="S890" s="247"/>
      <c r="T890" s="247"/>
      <c r="U890" s="247"/>
      <c r="V890" s="247"/>
      <c r="W890" s="247"/>
      <c r="X890" s="247"/>
      <c r="Y890" s="247"/>
      <c r="Z890" s="247"/>
      <c r="AA890" s="247"/>
    </row>
    <row r="891">
      <c r="A891" s="247"/>
      <c r="B891" s="245"/>
      <c r="C891" s="246"/>
      <c r="D891" s="247"/>
      <c r="E891" s="247"/>
      <c r="F891" s="247"/>
      <c r="G891" s="247"/>
      <c r="H891" s="247"/>
      <c r="I891" s="247"/>
      <c r="J891" s="246"/>
      <c r="K891" s="248"/>
      <c r="L891" s="246"/>
      <c r="M891" s="154"/>
      <c r="N891" s="55"/>
      <c r="O891" s="247"/>
      <c r="P891" s="247"/>
      <c r="Q891" s="247"/>
      <c r="R891" s="247"/>
      <c r="S891" s="247"/>
      <c r="T891" s="247"/>
      <c r="U891" s="247"/>
      <c r="V891" s="247"/>
      <c r="W891" s="247"/>
      <c r="X891" s="247"/>
      <c r="Y891" s="247"/>
      <c r="Z891" s="247"/>
      <c r="AA891" s="247"/>
    </row>
    <row r="892">
      <c r="A892" s="247"/>
      <c r="B892" s="245"/>
      <c r="C892" s="246"/>
      <c r="D892" s="247"/>
      <c r="E892" s="247"/>
      <c r="F892" s="247"/>
      <c r="G892" s="247"/>
      <c r="H892" s="247"/>
      <c r="I892" s="247"/>
      <c r="J892" s="246"/>
      <c r="K892" s="248"/>
      <c r="L892" s="246"/>
      <c r="M892" s="154"/>
      <c r="N892" s="55"/>
      <c r="O892" s="247"/>
      <c r="P892" s="247"/>
      <c r="Q892" s="247"/>
      <c r="R892" s="247"/>
      <c r="S892" s="247"/>
      <c r="T892" s="247"/>
      <c r="U892" s="247"/>
      <c r="V892" s="247"/>
      <c r="W892" s="247"/>
      <c r="X892" s="247"/>
      <c r="Y892" s="247"/>
      <c r="Z892" s="247"/>
      <c r="AA892" s="247"/>
    </row>
    <row r="893">
      <c r="A893" s="247"/>
      <c r="B893" s="245"/>
      <c r="C893" s="246"/>
      <c r="D893" s="247"/>
      <c r="E893" s="247"/>
      <c r="F893" s="247"/>
      <c r="G893" s="247"/>
      <c r="H893" s="247"/>
      <c r="I893" s="247"/>
      <c r="J893" s="246"/>
      <c r="K893" s="248"/>
      <c r="L893" s="246"/>
      <c r="M893" s="154"/>
      <c r="N893" s="55"/>
      <c r="O893" s="247"/>
      <c r="P893" s="247"/>
      <c r="Q893" s="247"/>
      <c r="R893" s="247"/>
      <c r="S893" s="247"/>
      <c r="T893" s="247"/>
      <c r="U893" s="247"/>
      <c r="V893" s="247"/>
      <c r="W893" s="247"/>
      <c r="X893" s="247"/>
      <c r="Y893" s="247"/>
      <c r="Z893" s="247"/>
      <c r="AA893" s="247"/>
    </row>
    <row r="894">
      <c r="A894" s="247"/>
      <c r="B894" s="245"/>
      <c r="C894" s="246"/>
      <c r="D894" s="247"/>
      <c r="E894" s="247"/>
      <c r="F894" s="247"/>
      <c r="G894" s="247"/>
      <c r="H894" s="247"/>
      <c r="I894" s="247"/>
      <c r="J894" s="246"/>
      <c r="K894" s="248"/>
      <c r="L894" s="246"/>
      <c r="M894" s="154"/>
      <c r="N894" s="55"/>
      <c r="O894" s="247"/>
      <c r="P894" s="247"/>
      <c r="Q894" s="247"/>
      <c r="R894" s="247"/>
      <c r="S894" s="247"/>
      <c r="T894" s="247"/>
      <c r="U894" s="247"/>
      <c r="V894" s="247"/>
      <c r="W894" s="247"/>
      <c r="X894" s="247"/>
      <c r="Y894" s="247"/>
      <c r="Z894" s="247"/>
      <c r="AA894" s="247"/>
    </row>
    <row r="895">
      <c r="A895" s="247"/>
      <c r="B895" s="245"/>
      <c r="C895" s="246"/>
      <c r="D895" s="247"/>
      <c r="E895" s="247"/>
      <c r="F895" s="247"/>
      <c r="G895" s="247"/>
      <c r="H895" s="247"/>
      <c r="I895" s="247"/>
      <c r="J895" s="246"/>
      <c r="K895" s="248"/>
      <c r="L895" s="246"/>
      <c r="M895" s="154"/>
      <c r="N895" s="55"/>
      <c r="O895" s="247"/>
      <c r="P895" s="247"/>
      <c r="Q895" s="247"/>
      <c r="R895" s="247"/>
      <c r="S895" s="247"/>
      <c r="T895" s="247"/>
      <c r="U895" s="247"/>
      <c r="V895" s="247"/>
      <c r="W895" s="247"/>
      <c r="X895" s="247"/>
      <c r="Y895" s="247"/>
      <c r="Z895" s="247"/>
      <c r="AA895" s="247"/>
    </row>
    <row r="896">
      <c r="A896" s="247"/>
      <c r="B896" s="245"/>
      <c r="C896" s="246"/>
      <c r="D896" s="247"/>
      <c r="E896" s="247"/>
      <c r="F896" s="247"/>
      <c r="G896" s="247"/>
      <c r="H896" s="247"/>
      <c r="I896" s="247"/>
      <c r="J896" s="246"/>
      <c r="K896" s="248"/>
      <c r="L896" s="246"/>
      <c r="M896" s="154"/>
      <c r="N896" s="55"/>
      <c r="O896" s="247"/>
      <c r="P896" s="247"/>
      <c r="Q896" s="247"/>
      <c r="R896" s="247"/>
      <c r="S896" s="247"/>
      <c r="T896" s="247"/>
      <c r="U896" s="247"/>
      <c r="V896" s="247"/>
      <c r="W896" s="247"/>
      <c r="X896" s="247"/>
      <c r="Y896" s="247"/>
      <c r="Z896" s="247"/>
      <c r="AA896" s="247"/>
    </row>
    <row r="897">
      <c r="A897" s="247"/>
      <c r="B897" s="245"/>
      <c r="C897" s="246"/>
      <c r="D897" s="247"/>
      <c r="E897" s="247"/>
      <c r="F897" s="247"/>
      <c r="G897" s="247"/>
      <c r="H897" s="247"/>
      <c r="I897" s="247"/>
      <c r="J897" s="246"/>
      <c r="K897" s="248"/>
      <c r="L897" s="246"/>
      <c r="M897" s="154"/>
      <c r="N897" s="55"/>
      <c r="O897" s="247"/>
      <c r="P897" s="247"/>
      <c r="Q897" s="247"/>
      <c r="R897" s="247"/>
      <c r="S897" s="247"/>
      <c r="T897" s="247"/>
      <c r="U897" s="247"/>
      <c r="V897" s="247"/>
      <c r="W897" s="247"/>
      <c r="X897" s="247"/>
      <c r="Y897" s="247"/>
      <c r="Z897" s="247"/>
      <c r="AA897" s="247"/>
    </row>
    <row r="898">
      <c r="A898" s="247"/>
      <c r="B898" s="245"/>
      <c r="C898" s="246"/>
      <c r="D898" s="247"/>
      <c r="E898" s="247"/>
      <c r="F898" s="247"/>
      <c r="G898" s="247"/>
      <c r="H898" s="247"/>
      <c r="I898" s="247"/>
      <c r="J898" s="246"/>
      <c r="K898" s="248"/>
      <c r="L898" s="246"/>
      <c r="M898" s="154"/>
      <c r="N898" s="55"/>
      <c r="O898" s="247"/>
      <c r="P898" s="247"/>
      <c r="Q898" s="247"/>
      <c r="R898" s="247"/>
      <c r="S898" s="247"/>
      <c r="T898" s="247"/>
      <c r="U898" s="247"/>
      <c r="V898" s="247"/>
      <c r="W898" s="247"/>
      <c r="X898" s="247"/>
      <c r="Y898" s="247"/>
      <c r="Z898" s="247"/>
      <c r="AA898" s="247"/>
    </row>
    <row r="899">
      <c r="A899" s="247"/>
      <c r="B899" s="245"/>
      <c r="C899" s="246"/>
      <c r="D899" s="247"/>
      <c r="E899" s="247"/>
      <c r="F899" s="247"/>
      <c r="G899" s="247"/>
      <c r="H899" s="247"/>
      <c r="I899" s="247"/>
      <c r="J899" s="246"/>
      <c r="K899" s="248"/>
      <c r="L899" s="246"/>
      <c r="M899" s="154"/>
      <c r="N899" s="55"/>
      <c r="O899" s="247"/>
      <c r="P899" s="247"/>
      <c r="Q899" s="247"/>
      <c r="R899" s="247"/>
      <c r="S899" s="247"/>
      <c r="T899" s="247"/>
      <c r="U899" s="247"/>
      <c r="V899" s="247"/>
      <c r="W899" s="247"/>
      <c r="X899" s="247"/>
      <c r="Y899" s="247"/>
      <c r="Z899" s="247"/>
      <c r="AA899" s="247"/>
    </row>
    <row r="900">
      <c r="A900" s="247"/>
      <c r="B900" s="245"/>
      <c r="C900" s="246"/>
      <c r="D900" s="247"/>
      <c r="E900" s="247"/>
      <c r="F900" s="247"/>
      <c r="G900" s="247"/>
      <c r="H900" s="247"/>
      <c r="I900" s="247"/>
      <c r="J900" s="246"/>
      <c r="K900" s="248"/>
      <c r="L900" s="246"/>
      <c r="M900" s="154"/>
      <c r="N900" s="55"/>
      <c r="O900" s="247"/>
      <c r="P900" s="247"/>
      <c r="Q900" s="247"/>
      <c r="R900" s="247"/>
      <c r="S900" s="247"/>
      <c r="T900" s="247"/>
      <c r="U900" s="247"/>
      <c r="V900" s="247"/>
      <c r="W900" s="247"/>
      <c r="X900" s="247"/>
      <c r="Y900" s="247"/>
      <c r="Z900" s="247"/>
      <c r="AA900" s="247"/>
    </row>
    <row r="901">
      <c r="A901" s="247"/>
      <c r="B901" s="245"/>
      <c r="C901" s="246"/>
      <c r="D901" s="247"/>
      <c r="E901" s="247"/>
      <c r="F901" s="247"/>
      <c r="G901" s="247"/>
      <c r="H901" s="247"/>
      <c r="I901" s="247"/>
      <c r="J901" s="246"/>
      <c r="K901" s="248"/>
      <c r="L901" s="246"/>
      <c r="M901" s="154"/>
      <c r="N901" s="55"/>
      <c r="O901" s="247"/>
      <c r="P901" s="247"/>
      <c r="Q901" s="247"/>
      <c r="R901" s="247"/>
      <c r="S901" s="247"/>
      <c r="T901" s="247"/>
      <c r="U901" s="247"/>
      <c r="V901" s="247"/>
      <c r="W901" s="247"/>
      <c r="X901" s="247"/>
      <c r="Y901" s="247"/>
      <c r="Z901" s="247"/>
      <c r="AA901" s="247"/>
    </row>
    <row r="902">
      <c r="A902" s="247"/>
      <c r="B902" s="245"/>
      <c r="C902" s="246"/>
      <c r="D902" s="247"/>
      <c r="E902" s="247"/>
      <c r="F902" s="247"/>
      <c r="G902" s="247"/>
      <c r="H902" s="247"/>
      <c r="I902" s="247"/>
      <c r="J902" s="246"/>
      <c r="K902" s="248"/>
      <c r="L902" s="246"/>
      <c r="M902" s="154"/>
      <c r="N902" s="55"/>
      <c r="O902" s="247"/>
      <c r="P902" s="247"/>
      <c r="Q902" s="247"/>
      <c r="R902" s="247"/>
      <c r="S902" s="247"/>
      <c r="T902" s="247"/>
      <c r="U902" s="247"/>
      <c r="V902" s="247"/>
      <c r="W902" s="247"/>
      <c r="X902" s="247"/>
      <c r="Y902" s="247"/>
      <c r="Z902" s="247"/>
      <c r="AA902" s="247"/>
    </row>
    <row r="903">
      <c r="A903" s="247"/>
      <c r="B903" s="245"/>
      <c r="C903" s="246"/>
      <c r="D903" s="247"/>
      <c r="E903" s="247"/>
      <c r="F903" s="247"/>
      <c r="G903" s="247"/>
      <c r="H903" s="247"/>
      <c r="I903" s="247"/>
      <c r="J903" s="246"/>
      <c r="K903" s="248"/>
      <c r="L903" s="246"/>
      <c r="M903" s="154"/>
      <c r="N903" s="55"/>
      <c r="O903" s="247"/>
      <c r="P903" s="247"/>
      <c r="Q903" s="247"/>
      <c r="R903" s="247"/>
      <c r="S903" s="247"/>
      <c r="T903" s="247"/>
      <c r="U903" s="247"/>
      <c r="V903" s="247"/>
      <c r="W903" s="247"/>
      <c r="X903" s="247"/>
      <c r="Y903" s="247"/>
      <c r="Z903" s="247"/>
      <c r="AA903" s="247"/>
    </row>
    <row r="904">
      <c r="A904" s="247"/>
      <c r="B904" s="245"/>
      <c r="C904" s="246"/>
      <c r="D904" s="247"/>
      <c r="E904" s="247"/>
      <c r="F904" s="247"/>
      <c r="G904" s="247"/>
      <c r="H904" s="247"/>
      <c r="I904" s="247"/>
      <c r="J904" s="246"/>
      <c r="K904" s="248"/>
      <c r="L904" s="246"/>
      <c r="M904" s="154"/>
      <c r="N904" s="55"/>
      <c r="O904" s="247"/>
      <c r="P904" s="247"/>
      <c r="Q904" s="247"/>
      <c r="R904" s="247"/>
      <c r="S904" s="247"/>
      <c r="T904" s="247"/>
      <c r="U904" s="247"/>
      <c r="V904" s="247"/>
      <c r="W904" s="247"/>
      <c r="X904" s="247"/>
      <c r="Y904" s="247"/>
      <c r="Z904" s="247"/>
      <c r="AA904" s="247"/>
    </row>
    <row r="905">
      <c r="A905" s="247"/>
      <c r="B905" s="245"/>
      <c r="C905" s="246"/>
      <c r="D905" s="247"/>
      <c r="E905" s="247"/>
      <c r="F905" s="247"/>
      <c r="G905" s="247"/>
      <c r="H905" s="247"/>
      <c r="I905" s="247"/>
      <c r="J905" s="246"/>
      <c r="K905" s="248"/>
      <c r="L905" s="246"/>
      <c r="M905" s="154"/>
      <c r="N905" s="55"/>
      <c r="O905" s="247"/>
      <c r="P905" s="247"/>
      <c r="Q905" s="247"/>
      <c r="R905" s="247"/>
      <c r="S905" s="247"/>
      <c r="T905" s="247"/>
      <c r="U905" s="247"/>
      <c r="V905" s="247"/>
      <c r="W905" s="247"/>
      <c r="X905" s="247"/>
      <c r="Y905" s="247"/>
      <c r="Z905" s="247"/>
      <c r="AA905" s="247"/>
    </row>
    <row r="906">
      <c r="A906" s="247"/>
      <c r="B906" s="245"/>
      <c r="C906" s="246"/>
      <c r="D906" s="247"/>
      <c r="E906" s="247"/>
      <c r="F906" s="247"/>
      <c r="G906" s="247"/>
      <c r="H906" s="247"/>
      <c r="I906" s="247"/>
      <c r="J906" s="246"/>
      <c r="K906" s="248"/>
      <c r="L906" s="246"/>
      <c r="M906" s="154"/>
      <c r="N906" s="55"/>
      <c r="O906" s="247"/>
      <c r="P906" s="247"/>
      <c r="Q906" s="247"/>
      <c r="R906" s="247"/>
      <c r="S906" s="247"/>
      <c r="T906" s="247"/>
      <c r="U906" s="247"/>
      <c r="V906" s="247"/>
      <c r="W906" s="247"/>
      <c r="X906" s="247"/>
      <c r="Y906" s="247"/>
      <c r="Z906" s="247"/>
      <c r="AA906" s="247"/>
    </row>
    <row r="907">
      <c r="A907" s="247"/>
      <c r="B907" s="245"/>
      <c r="C907" s="246"/>
      <c r="D907" s="247"/>
      <c r="E907" s="247"/>
      <c r="F907" s="247"/>
      <c r="G907" s="247"/>
      <c r="H907" s="247"/>
      <c r="I907" s="247"/>
      <c r="J907" s="246"/>
      <c r="K907" s="248"/>
      <c r="L907" s="246"/>
      <c r="M907" s="154"/>
      <c r="N907" s="55"/>
      <c r="O907" s="247"/>
      <c r="P907" s="247"/>
      <c r="Q907" s="247"/>
      <c r="R907" s="247"/>
      <c r="S907" s="247"/>
      <c r="T907" s="247"/>
      <c r="U907" s="247"/>
      <c r="V907" s="247"/>
      <c r="W907" s="247"/>
      <c r="X907" s="247"/>
      <c r="Y907" s="247"/>
      <c r="Z907" s="247"/>
      <c r="AA907" s="247"/>
    </row>
    <row r="908">
      <c r="A908" s="247"/>
      <c r="B908" s="245"/>
      <c r="C908" s="246"/>
      <c r="D908" s="247"/>
      <c r="E908" s="247"/>
      <c r="F908" s="247"/>
      <c r="G908" s="247"/>
      <c r="H908" s="247"/>
      <c r="I908" s="247"/>
      <c r="J908" s="246"/>
      <c r="K908" s="248"/>
      <c r="L908" s="246"/>
      <c r="M908" s="154"/>
      <c r="N908" s="55"/>
      <c r="O908" s="247"/>
      <c r="P908" s="247"/>
      <c r="Q908" s="247"/>
      <c r="R908" s="247"/>
      <c r="S908" s="247"/>
      <c r="T908" s="247"/>
      <c r="U908" s="247"/>
      <c r="V908" s="247"/>
      <c r="W908" s="247"/>
      <c r="X908" s="247"/>
      <c r="Y908" s="247"/>
      <c r="Z908" s="247"/>
      <c r="AA908" s="247"/>
    </row>
    <row r="909">
      <c r="A909" s="247"/>
      <c r="B909" s="245"/>
      <c r="C909" s="246"/>
      <c r="D909" s="247"/>
      <c r="E909" s="247"/>
      <c r="F909" s="247"/>
      <c r="G909" s="247"/>
      <c r="H909" s="247"/>
      <c r="I909" s="247"/>
      <c r="J909" s="246"/>
      <c r="K909" s="248"/>
      <c r="L909" s="246"/>
      <c r="M909" s="154"/>
      <c r="N909" s="55"/>
      <c r="O909" s="247"/>
      <c r="P909" s="247"/>
      <c r="Q909" s="247"/>
      <c r="R909" s="247"/>
      <c r="S909" s="247"/>
      <c r="T909" s="247"/>
      <c r="U909" s="247"/>
      <c r="V909" s="247"/>
      <c r="W909" s="247"/>
      <c r="X909" s="247"/>
      <c r="Y909" s="247"/>
      <c r="Z909" s="247"/>
      <c r="AA909" s="247"/>
    </row>
    <row r="910">
      <c r="A910" s="247"/>
      <c r="B910" s="245"/>
      <c r="C910" s="246"/>
      <c r="D910" s="247"/>
      <c r="E910" s="247"/>
      <c r="F910" s="247"/>
      <c r="G910" s="247"/>
      <c r="H910" s="247"/>
      <c r="I910" s="247"/>
      <c r="J910" s="246"/>
      <c r="K910" s="248"/>
      <c r="L910" s="246"/>
      <c r="M910" s="154"/>
      <c r="N910" s="55"/>
      <c r="O910" s="247"/>
      <c r="P910" s="247"/>
      <c r="Q910" s="247"/>
      <c r="R910" s="247"/>
      <c r="S910" s="247"/>
      <c r="T910" s="247"/>
      <c r="U910" s="247"/>
      <c r="V910" s="247"/>
      <c r="W910" s="247"/>
      <c r="X910" s="247"/>
      <c r="Y910" s="247"/>
      <c r="Z910" s="247"/>
      <c r="AA910" s="247"/>
    </row>
    <row r="911">
      <c r="A911" s="247"/>
      <c r="B911" s="245"/>
      <c r="C911" s="246"/>
      <c r="D911" s="247"/>
      <c r="E911" s="247"/>
      <c r="F911" s="247"/>
      <c r="G911" s="247"/>
      <c r="H911" s="247"/>
      <c r="I911" s="247"/>
      <c r="J911" s="246"/>
      <c r="K911" s="248"/>
      <c r="L911" s="246"/>
      <c r="M911" s="154"/>
      <c r="N911" s="55"/>
      <c r="O911" s="247"/>
      <c r="P911" s="247"/>
      <c r="Q911" s="247"/>
      <c r="R911" s="247"/>
      <c r="S911" s="247"/>
      <c r="T911" s="247"/>
      <c r="U911" s="247"/>
      <c r="V911" s="247"/>
      <c r="W911" s="247"/>
      <c r="X911" s="247"/>
      <c r="Y911" s="247"/>
      <c r="Z911" s="247"/>
      <c r="AA911" s="247"/>
    </row>
    <row r="912">
      <c r="A912" s="247"/>
      <c r="B912" s="245"/>
      <c r="C912" s="246"/>
      <c r="D912" s="247"/>
      <c r="E912" s="247"/>
      <c r="F912" s="247"/>
      <c r="G912" s="247"/>
      <c r="H912" s="247"/>
      <c r="I912" s="247"/>
      <c r="J912" s="246"/>
      <c r="K912" s="248"/>
      <c r="L912" s="246"/>
      <c r="M912" s="154"/>
      <c r="N912" s="55"/>
      <c r="O912" s="247"/>
      <c r="P912" s="247"/>
      <c r="Q912" s="247"/>
      <c r="R912" s="247"/>
      <c r="S912" s="247"/>
      <c r="T912" s="247"/>
      <c r="U912" s="247"/>
      <c r="V912" s="247"/>
      <c r="W912" s="247"/>
      <c r="X912" s="247"/>
      <c r="Y912" s="247"/>
      <c r="Z912" s="247"/>
      <c r="AA912" s="247"/>
    </row>
    <row r="913">
      <c r="A913" s="247"/>
      <c r="B913" s="245"/>
      <c r="C913" s="246"/>
      <c r="D913" s="247"/>
      <c r="E913" s="247"/>
      <c r="F913" s="247"/>
      <c r="G913" s="247"/>
      <c r="H913" s="247"/>
      <c r="I913" s="247"/>
      <c r="J913" s="246"/>
      <c r="K913" s="248"/>
      <c r="L913" s="246"/>
      <c r="M913" s="154"/>
      <c r="N913" s="55"/>
      <c r="O913" s="247"/>
      <c r="P913" s="247"/>
      <c r="Q913" s="247"/>
      <c r="R913" s="247"/>
      <c r="S913" s="247"/>
      <c r="T913" s="247"/>
      <c r="U913" s="247"/>
      <c r="V913" s="247"/>
      <c r="W913" s="247"/>
      <c r="X913" s="247"/>
      <c r="Y913" s="247"/>
      <c r="Z913" s="247"/>
      <c r="AA913" s="247"/>
    </row>
    <row r="914">
      <c r="A914" s="247"/>
      <c r="B914" s="245"/>
      <c r="C914" s="246"/>
      <c r="D914" s="247"/>
      <c r="E914" s="247"/>
      <c r="F914" s="247"/>
      <c r="G914" s="247"/>
      <c r="H914" s="247"/>
      <c r="I914" s="247"/>
      <c r="J914" s="246"/>
      <c r="K914" s="248"/>
      <c r="L914" s="246"/>
      <c r="M914" s="154"/>
      <c r="N914" s="55"/>
      <c r="O914" s="247"/>
      <c r="P914" s="247"/>
      <c r="Q914" s="247"/>
      <c r="R914" s="247"/>
      <c r="S914" s="247"/>
      <c r="T914" s="247"/>
      <c r="U914" s="247"/>
      <c r="V914" s="247"/>
      <c r="W914" s="247"/>
      <c r="X914" s="247"/>
      <c r="Y914" s="247"/>
      <c r="Z914" s="247"/>
      <c r="AA914" s="247"/>
    </row>
    <row r="915">
      <c r="A915" s="247"/>
      <c r="B915" s="245"/>
      <c r="C915" s="246"/>
      <c r="D915" s="247"/>
      <c r="E915" s="247"/>
      <c r="F915" s="247"/>
      <c r="G915" s="247"/>
      <c r="H915" s="247"/>
      <c r="I915" s="247"/>
      <c r="J915" s="246"/>
      <c r="K915" s="248"/>
      <c r="L915" s="246"/>
      <c r="M915" s="154"/>
      <c r="N915" s="55"/>
      <c r="O915" s="247"/>
      <c r="P915" s="247"/>
      <c r="Q915" s="247"/>
      <c r="R915" s="247"/>
      <c r="S915" s="247"/>
      <c r="T915" s="247"/>
      <c r="U915" s="247"/>
      <c r="V915" s="247"/>
      <c r="W915" s="247"/>
      <c r="X915" s="247"/>
      <c r="Y915" s="247"/>
      <c r="Z915" s="247"/>
      <c r="AA915" s="247"/>
    </row>
    <row r="916">
      <c r="A916" s="247"/>
      <c r="B916" s="245"/>
      <c r="C916" s="246"/>
      <c r="D916" s="247"/>
      <c r="E916" s="247"/>
      <c r="F916" s="247"/>
      <c r="G916" s="247"/>
      <c r="H916" s="247"/>
      <c r="I916" s="247"/>
      <c r="J916" s="246"/>
      <c r="K916" s="248"/>
      <c r="L916" s="246"/>
      <c r="M916" s="154"/>
      <c r="N916" s="55"/>
      <c r="O916" s="247"/>
      <c r="P916" s="247"/>
      <c r="Q916" s="247"/>
      <c r="R916" s="247"/>
      <c r="S916" s="247"/>
      <c r="T916" s="247"/>
      <c r="U916" s="247"/>
      <c r="V916" s="247"/>
      <c r="W916" s="247"/>
      <c r="X916" s="247"/>
      <c r="Y916" s="247"/>
      <c r="Z916" s="247"/>
      <c r="AA916" s="247"/>
    </row>
    <row r="917">
      <c r="A917" s="247"/>
      <c r="B917" s="245"/>
      <c r="C917" s="246"/>
      <c r="D917" s="247"/>
      <c r="E917" s="247"/>
      <c r="F917" s="247"/>
      <c r="G917" s="247"/>
      <c r="H917" s="247"/>
      <c r="I917" s="247"/>
      <c r="J917" s="246"/>
      <c r="K917" s="248"/>
      <c r="L917" s="246"/>
      <c r="M917" s="154"/>
      <c r="N917" s="55"/>
      <c r="O917" s="247"/>
      <c r="P917" s="247"/>
      <c r="Q917" s="247"/>
      <c r="R917" s="247"/>
      <c r="S917" s="247"/>
      <c r="T917" s="247"/>
      <c r="U917" s="247"/>
      <c r="V917" s="247"/>
      <c r="W917" s="247"/>
      <c r="X917" s="247"/>
      <c r="Y917" s="247"/>
      <c r="Z917" s="247"/>
      <c r="AA917" s="247"/>
    </row>
    <row r="918">
      <c r="A918" s="247"/>
      <c r="B918" s="245"/>
      <c r="C918" s="246"/>
      <c r="D918" s="247"/>
      <c r="E918" s="247"/>
      <c r="F918" s="247"/>
      <c r="G918" s="247"/>
      <c r="H918" s="247"/>
      <c r="I918" s="247"/>
      <c r="J918" s="246"/>
      <c r="K918" s="248"/>
      <c r="L918" s="246"/>
      <c r="M918" s="154"/>
      <c r="N918" s="55"/>
      <c r="O918" s="247"/>
      <c r="P918" s="247"/>
      <c r="Q918" s="247"/>
      <c r="R918" s="247"/>
      <c r="S918" s="247"/>
      <c r="T918" s="247"/>
      <c r="U918" s="247"/>
      <c r="V918" s="247"/>
      <c r="W918" s="247"/>
      <c r="X918" s="247"/>
      <c r="Y918" s="247"/>
      <c r="Z918" s="247"/>
      <c r="AA918" s="247"/>
    </row>
    <row r="919">
      <c r="A919" s="247"/>
      <c r="B919" s="245"/>
      <c r="C919" s="246"/>
      <c r="D919" s="247"/>
      <c r="E919" s="247"/>
      <c r="F919" s="247"/>
      <c r="G919" s="247"/>
      <c r="H919" s="247"/>
      <c r="I919" s="247"/>
      <c r="J919" s="246"/>
      <c r="K919" s="248"/>
      <c r="L919" s="246"/>
      <c r="M919" s="154"/>
      <c r="N919" s="55"/>
      <c r="O919" s="247"/>
      <c r="P919" s="247"/>
      <c r="Q919" s="247"/>
      <c r="R919" s="247"/>
      <c r="S919" s="247"/>
      <c r="T919" s="247"/>
      <c r="U919" s="247"/>
      <c r="V919" s="247"/>
      <c r="W919" s="247"/>
      <c r="X919" s="247"/>
      <c r="Y919" s="247"/>
      <c r="Z919" s="247"/>
      <c r="AA919" s="247"/>
    </row>
    <row r="920">
      <c r="A920" s="247"/>
      <c r="B920" s="245"/>
      <c r="C920" s="246"/>
      <c r="D920" s="247"/>
      <c r="E920" s="247"/>
      <c r="F920" s="247"/>
      <c r="G920" s="247"/>
      <c r="H920" s="247"/>
      <c r="I920" s="247"/>
      <c r="J920" s="246"/>
      <c r="K920" s="248"/>
      <c r="L920" s="246"/>
      <c r="M920" s="154"/>
      <c r="N920" s="55"/>
      <c r="O920" s="247"/>
      <c r="P920" s="247"/>
      <c r="Q920" s="247"/>
      <c r="R920" s="247"/>
      <c r="S920" s="247"/>
      <c r="T920" s="247"/>
      <c r="U920" s="247"/>
      <c r="V920" s="247"/>
      <c r="W920" s="247"/>
      <c r="X920" s="247"/>
      <c r="Y920" s="247"/>
      <c r="Z920" s="247"/>
      <c r="AA920" s="247"/>
    </row>
    <row r="921">
      <c r="A921" s="247"/>
      <c r="B921" s="245"/>
      <c r="C921" s="246"/>
      <c r="D921" s="247"/>
      <c r="E921" s="247"/>
      <c r="F921" s="247"/>
      <c r="G921" s="247"/>
      <c r="H921" s="247"/>
      <c r="I921" s="247"/>
      <c r="J921" s="246"/>
      <c r="K921" s="248"/>
      <c r="L921" s="246"/>
      <c r="M921" s="154"/>
      <c r="N921" s="55"/>
      <c r="O921" s="247"/>
      <c r="P921" s="247"/>
      <c r="Q921" s="247"/>
      <c r="R921" s="247"/>
      <c r="S921" s="247"/>
      <c r="T921" s="247"/>
      <c r="U921" s="247"/>
      <c r="V921" s="247"/>
      <c r="W921" s="247"/>
      <c r="X921" s="247"/>
      <c r="Y921" s="247"/>
      <c r="Z921" s="247"/>
      <c r="AA921" s="247"/>
    </row>
    <row r="922">
      <c r="A922" s="247"/>
      <c r="B922" s="245"/>
      <c r="C922" s="246"/>
      <c r="D922" s="247"/>
      <c r="E922" s="247"/>
      <c r="F922" s="247"/>
      <c r="G922" s="247"/>
      <c r="H922" s="247"/>
      <c r="I922" s="247"/>
      <c r="J922" s="246"/>
      <c r="K922" s="248"/>
      <c r="L922" s="246"/>
      <c r="M922" s="154"/>
      <c r="N922" s="55"/>
      <c r="O922" s="247"/>
      <c r="P922" s="247"/>
      <c r="Q922" s="247"/>
      <c r="R922" s="247"/>
      <c r="S922" s="247"/>
      <c r="T922" s="247"/>
      <c r="U922" s="247"/>
      <c r="V922" s="247"/>
      <c r="W922" s="247"/>
      <c r="X922" s="247"/>
      <c r="Y922" s="247"/>
      <c r="Z922" s="247"/>
      <c r="AA922" s="247"/>
    </row>
    <row r="923">
      <c r="A923" s="247"/>
      <c r="B923" s="245"/>
      <c r="C923" s="246"/>
      <c r="D923" s="247"/>
      <c r="E923" s="247"/>
      <c r="F923" s="247"/>
      <c r="G923" s="247"/>
      <c r="H923" s="247"/>
      <c r="I923" s="247"/>
      <c r="J923" s="246"/>
      <c r="K923" s="248"/>
      <c r="L923" s="246"/>
      <c r="M923" s="154"/>
      <c r="N923" s="55"/>
      <c r="O923" s="247"/>
      <c r="P923" s="247"/>
      <c r="Q923" s="247"/>
      <c r="R923" s="247"/>
      <c r="S923" s="247"/>
      <c r="T923" s="247"/>
      <c r="U923" s="247"/>
      <c r="V923" s="247"/>
      <c r="W923" s="247"/>
      <c r="X923" s="247"/>
      <c r="Y923" s="247"/>
      <c r="Z923" s="247"/>
      <c r="AA923" s="247"/>
    </row>
    <row r="924">
      <c r="A924" s="247"/>
      <c r="B924" s="245"/>
      <c r="C924" s="246"/>
      <c r="D924" s="247"/>
      <c r="E924" s="247"/>
      <c r="F924" s="247"/>
      <c r="G924" s="247"/>
      <c r="H924" s="247"/>
      <c r="I924" s="247"/>
      <c r="J924" s="246"/>
      <c r="K924" s="248"/>
      <c r="L924" s="246"/>
      <c r="M924" s="154"/>
      <c r="N924" s="55"/>
      <c r="O924" s="247"/>
      <c r="P924" s="247"/>
      <c r="Q924" s="247"/>
      <c r="R924" s="247"/>
      <c r="S924" s="247"/>
      <c r="T924" s="247"/>
      <c r="U924" s="247"/>
      <c r="V924" s="247"/>
      <c r="W924" s="247"/>
      <c r="X924" s="247"/>
      <c r="Y924" s="247"/>
      <c r="Z924" s="247"/>
      <c r="AA924" s="247"/>
    </row>
    <row r="925">
      <c r="A925" s="247"/>
      <c r="B925" s="245"/>
      <c r="C925" s="246"/>
      <c r="D925" s="247"/>
      <c r="E925" s="247"/>
      <c r="F925" s="247"/>
      <c r="G925" s="247"/>
      <c r="H925" s="247"/>
      <c r="I925" s="247"/>
      <c r="J925" s="246"/>
      <c r="K925" s="248"/>
      <c r="L925" s="246"/>
      <c r="M925" s="154"/>
      <c r="N925" s="55"/>
      <c r="O925" s="247"/>
      <c r="P925" s="247"/>
      <c r="Q925" s="247"/>
      <c r="R925" s="247"/>
      <c r="S925" s="247"/>
      <c r="T925" s="247"/>
      <c r="U925" s="247"/>
      <c r="V925" s="247"/>
      <c r="W925" s="247"/>
      <c r="X925" s="247"/>
      <c r="Y925" s="247"/>
      <c r="Z925" s="247"/>
      <c r="AA925" s="247"/>
    </row>
    <row r="926">
      <c r="A926" s="247"/>
      <c r="B926" s="245"/>
      <c r="C926" s="246"/>
      <c r="D926" s="247"/>
      <c r="E926" s="247"/>
      <c r="F926" s="247"/>
      <c r="G926" s="247"/>
      <c r="H926" s="247"/>
      <c r="I926" s="247"/>
      <c r="J926" s="246"/>
      <c r="K926" s="248"/>
      <c r="L926" s="246"/>
      <c r="M926" s="154"/>
      <c r="N926" s="55"/>
      <c r="O926" s="247"/>
      <c r="P926" s="247"/>
      <c r="Q926" s="247"/>
      <c r="R926" s="247"/>
      <c r="S926" s="247"/>
      <c r="T926" s="247"/>
      <c r="U926" s="247"/>
      <c r="V926" s="247"/>
      <c r="W926" s="247"/>
      <c r="X926" s="247"/>
      <c r="Y926" s="247"/>
      <c r="Z926" s="247"/>
      <c r="AA926" s="247"/>
    </row>
    <row r="927">
      <c r="A927" s="247"/>
      <c r="B927" s="245"/>
      <c r="C927" s="246"/>
      <c r="D927" s="247"/>
      <c r="E927" s="247"/>
      <c r="F927" s="247"/>
      <c r="G927" s="247"/>
      <c r="H927" s="247"/>
      <c r="I927" s="247"/>
      <c r="J927" s="246"/>
      <c r="K927" s="248"/>
      <c r="L927" s="246"/>
      <c r="M927" s="154"/>
      <c r="N927" s="55"/>
      <c r="O927" s="247"/>
      <c r="P927" s="247"/>
      <c r="Q927" s="247"/>
      <c r="R927" s="247"/>
      <c r="S927" s="247"/>
      <c r="T927" s="247"/>
      <c r="U927" s="247"/>
      <c r="V927" s="247"/>
      <c r="W927" s="247"/>
      <c r="X927" s="247"/>
      <c r="Y927" s="247"/>
      <c r="Z927" s="247"/>
      <c r="AA927" s="247"/>
    </row>
    <row r="928">
      <c r="A928" s="247"/>
      <c r="B928" s="245"/>
      <c r="C928" s="246"/>
      <c r="D928" s="247"/>
      <c r="E928" s="247"/>
      <c r="F928" s="247"/>
      <c r="G928" s="247"/>
      <c r="H928" s="247"/>
      <c r="I928" s="247"/>
      <c r="J928" s="246"/>
      <c r="K928" s="248"/>
      <c r="L928" s="246"/>
      <c r="M928" s="154"/>
      <c r="N928" s="55"/>
      <c r="O928" s="247"/>
      <c r="P928" s="247"/>
      <c r="Q928" s="247"/>
      <c r="R928" s="247"/>
      <c r="S928" s="247"/>
      <c r="T928" s="247"/>
      <c r="U928" s="247"/>
      <c r="V928" s="247"/>
      <c r="W928" s="247"/>
      <c r="X928" s="247"/>
      <c r="Y928" s="247"/>
      <c r="Z928" s="247"/>
      <c r="AA928" s="247"/>
    </row>
    <row r="929">
      <c r="A929" s="247"/>
      <c r="B929" s="245"/>
      <c r="C929" s="246"/>
      <c r="D929" s="247"/>
      <c r="E929" s="247"/>
      <c r="F929" s="247"/>
      <c r="G929" s="247"/>
      <c r="H929" s="247"/>
      <c r="I929" s="247"/>
      <c r="J929" s="246"/>
      <c r="K929" s="248"/>
      <c r="L929" s="246"/>
      <c r="M929" s="154"/>
      <c r="N929" s="55"/>
      <c r="O929" s="247"/>
      <c r="P929" s="247"/>
      <c r="Q929" s="247"/>
      <c r="R929" s="247"/>
      <c r="S929" s="247"/>
      <c r="T929" s="247"/>
      <c r="U929" s="247"/>
      <c r="V929" s="247"/>
      <c r="W929" s="247"/>
      <c r="X929" s="247"/>
      <c r="Y929" s="247"/>
      <c r="Z929" s="247"/>
      <c r="AA929" s="247"/>
    </row>
    <row r="930">
      <c r="A930" s="247"/>
      <c r="B930" s="245"/>
      <c r="C930" s="246"/>
      <c r="D930" s="247"/>
      <c r="E930" s="247"/>
      <c r="F930" s="247"/>
      <c r="G930" s="247"/>
      <c r="H930" s="247"/>
      <c r="I930" s="247"/>
      <c r="J930" s="246"/>
      <c r="K930" s="248"/>
      <c r="L930" s="246"/>
      <c r="M930" s="154"/>
      <c r="N930" s="55"/>
      <c r="O930" s="247"/>
      <c r="P930" s="247"/>
      <c r="Q930" s="247"/>
      <c r="R930" s="247"/>
      <c r="S930" s="247"/>
      <c r="T930" s="247"/>
      <c r="U930" s="247"/>
      <c r="V930" s="247"/>
      <c r="W930" s="247"/>
      <c r="X930" s="247"/>
      <c r="Y930" s="247"/>
      <c r="Z930" s="247"/>
      <c r="AA930" s="247"/>
    </row>
    <row r="931">
      <c r="A931" s="247"/>
      <c r="B931" s="245"/>
      <c r="C931" s="246"/>
      <c r="D931" s="247"/>
      <c r="E931" s="247"/>
      <c r="F931" s="247"/>
      <c r="G931" s="247"/>
      <c r="H931" s="247"/>
      <c r="I931" s="247"/>
      <c r="J931" s="246"/>
      <c r="K931" s="248"/>
      <c r="L931" s="246"/>
      <c r="M931" s="154"/>
      <c r="N931" s="55"/>
      <c r="O931" s="247"/>
      <c r="P931" s="247"/>
      <c r="Q931" s="247"/>
      <c r="R931" s="247"/>
      <c r="S931" s="247"/>
      <c r="T931" s="247"/>
      <c r="U931" s="247"/>
      <c r="V931" s="247"/>
      <c r="W931" s="247"/>
      <c r="X931" s="247"/>
      <c r="Y931" s="247"/>
      <c r="Z931" s="247"/>
      <c r="AA931" s="247"/>
    </row>
    <row r="932">
      <c r="A932" s="247"/>
      <c r="B932" s="245"/>
      <c r="C932" s="246"/>
      <c r="D932" s="247"/>
      <c r="E932" s="247"/>
      <c r="F932" s="247"/>
      <c r="G932" s="247"/>
      <c r="H932" s="247"/>
      <c r="I932" s="247"/>
      <c r="J932" s="246"/>
      <c r="K932" s="248"/>
      <c r="L932" s="246"/>
      <c r="M932" s="154"/>
      <c r="N932" s="55"/>
      <c r="O932" s="247"/>
      <c r="P932" s="247"/>
      <c r="Q932" s="247"/>
      <c r="R932" s="247"/>
      <c r="S932" s="247"/>
      <c r="T932" s="247"/>
      <c r="U932" s="247"/>
      <c r="V932" s="247"/>
      <c r="W932" s="247"/>
      <c r="X932" s="247"/>
      <c r="Y932" s="247"/>
      <c r="Z932" s="247"/>
      <c r="AA932" s="247"/>
    </row>
    <row r="933">
      <c r="A933" s="247"/>
      <c r="B933" s="245"/>
      <c r="C933" s="246"/>
      <c r="D933" s="247"/>
      <c r="E933" s="247"/>
      <c r="F933" s="247"/>
      <c r="G933" s="247"/>
      <c r="H933" s="247"/>
      <c r="I933" s="247"/>
      <c r="J933" s="246"/>
      <c r="K933" s="248"/>
      <c r="L933" s="246"/>
      <c r="M933" s="154"/>
      <c r="N933" s="55"/>
      <c r="O933" s="247"/>
      <c r="P933" s="247"/>
      <c r="Q933" s="247"/>
      <c r="R933" s="247"/>
      <c r="S933" s="247"/>
      <c r="T933" s="247"/>
      <c r="U933" s="247"/>
      <c r="V933" s="247"/>
      <c r="W933" s="247"/>
      <c r="X933" s="247"/>
      <c r="Y933" s="247"/>
      <c r="Z933" s="247"/>
      <c r="AA933" s="247"/>
    </row>
    <row r="934">
      <c r="A934" s="247"/>
      <c r="B934" s="245"/>
      <c r="C934" s="246"/>
      <c r="D934" s="247"/>
      <c r="E934" s="247"/>
      <c r="F934" s="247"/>
      <c r="G934" s="247"/>
      <c r="H934" s="247"/>
      <c r="I934" s="247"/>
      <c r="J934" s="246"/>
      <c r="K934" s="248"/>
      <c r="L934" s="246"/>
      <c r="M934" s="154"/>
      <c r="N934" s="55"/>
      <c r="O934" s="247"/>
      <c r="P934" s="247"/>
      <c r="Q934" s="247"/>
      <c r="R934" s="247"/>
      <c r="S934" s="247"/>
      <c r="T934" s="247"/>
      <c r="U934" s="247"/>
      <c r="V934" s="247"/>
      <c r="W934" s="247"/>
      <c r="X934" s="247"/>
      <c r="Y934" s="247"/>
      <c r="Z934" s="247"/>
      <c r="AA934" s="247"/>
    </row>
    <row r="935">
      <c r="A935" s="247"/>
      <c r="B935" s="245"/>
      <c r="C935" s="246"/>
      <c r="D935" s="247"/>
      <c r="E935" s="247"/>
      <c r="F935" s="247"/>
      <c r="G935" s="247"/>
      <c r="H935" s="247"/>
      <c r="I935" s="247"/>
      <c r="J935" s="246"/>
      <c r="K935" s="248"/>
      <c r="L935" s="246"/>
      <c r="M935" s="154"/>
      <c r="N935" s="55"/>
      <c r="O935" s="247"/>
      <c r="P935" s="247"/>
      <c r="Q935" s="247"/>
      <c r="R935" s="247"/>
      <c r="S935" s="247"/>
      <c r="T935" s="247"/>
      <c r="U935" s="247"/>
      <c r="V935" s="247"/>
      <c r="W935" s="247"/>
      <c r="X935" s="247"/>
      <c r="Y935" s="247"/>
      <c r="Z935" s="247"/>
      <c r="AA935" s="247"/>
    </row>
    <row r="936">
      <c r="A936" s="247"/>
      <c r="B936" s="245"/>
      <c r="C936" s="246"/>
      <c r="D936" s="247"/>
      <c r="E936" s="247"/>
      <c r="F936" s="247"/>
      <c r="G936" s="247"/>
      <c r="H936" s="247"/>
      <c r="I936" s="247"/>
      <c r="J936" s="246"/>
      <c r="K936" s="248"/>
      <c r="L936" s="246"/>
      <c r="M936" s="154"/>
      <c r="N936" s="55"/>
      <c r="O936" s="247"/>
      <c r="P936" s="247"/>
      <c r="Q936" s="247"/>
      <c r="R936" s="247"/>
      <c r="S936" s="247"/>
      <c r="T936" s="247"/>
      <c r="U936" s="247"/>
      <c r="V936" s="247"/>
      <c r="W936" s="247"/>
      <c r="X936" s="247"/>
      <c r="Y936" s="247"/>
      <c r="Z936" s="247"/>
      <c r="AA936" s="247"/>
    </row>
    <row r="937">
      <c r="A937" s="247"/>
      <c r="B937" s="245"/>
      <c r="C937" s="246"/>
      <c r="D937" s="247"/>
      <c r="E937" s="247"/>
      <c r="F937" s="247"/>
      <c r="G937" s="247"/>
      <c r="H937" s="247"/>
      <c r="I937" s="247"/>
      <c r="J937" s="246"/>
      <c r="K937" s="248"/>
      <c r="L937" s="246"/>
      <c r="M937" s="154"/>
      <c r="N937" s="55"/>
      <c r="O937" s="247"/>
      <c r="P937" s="247"/>
      <c r="Q937" s="247"/>
      <c r="R937" s="247"/>
      <c r="S937" s="247"/>
      <c r="T937" s="247"/>
      <c r="U937" s="247"/>
      <c r="V937" s="247"/>
      <c r="W937" s="247"/>
      <c r="X937" s="247"/>
      <c r="Y937" s="247"/>
      <c r="Z937" s="247"/>
      <c r="AA937" s="247"/>
    </row>
    <row r="938">
      <c r="A938" s="247"/>
      <c r="B938" s="245"/>
      <c r="C938" s="246"/>
      <c r="D938" s="247"/>
      <c r="E938" s="247"/>
      <c r="F938" s="247"/>
      <c r="G938" s="247"/>
      <c r="H938" s="247"/>
      <c r="I938" s="247"/>
      <c r="J938" s="246"/>
      <c r="K938" s="248"/>
      <c r="L938" s="246"/>
      <c r="M938" s="154"/>
      <c r="N938" s="55"/>
      <c r="O938" s="247"/>
      <c r="P938" s="247"/>
      <c r="Q938" s="247"/>
      <c r="R938" s="247"/>
      <c r="S938" s="247"/>
      <c r="T938" s="247"/>
      <c r="U938" s="247"/>
      <c r="V938" s="247"/>
      <c r="W938" s="247"/>
      <c r="X938" s="247"/>
      <c r="Y938" s="247"/>
      <c r="Z938" s="247"/>
      <c r="AA938" s="247"/>
    </row>
    <row r="939">
      <c r="A939" s="247"/>
      <c r="B939" s="245"/>
      <c r="C939" s="246"/>
      <c r="D939" s="247"/>
      <c r="E939" s="247"/>
      <c r="F939" s="247"/>
      <c r="G939" s="247"/>
      <c r="H939" s="247"/>
      <c r="I939" s="247"/>
      <c r="J939" s="246"/>
      <c r="K939" s="248"/>
      <c r="L939" s="246"/>
      <c r="M939" s="154"/>
      <c r="N939" s="55"/>
      <c r="O939" s="247"/>
      <c r="P939" s="247"/>
      <c r="Q939" s="247"/>
      <c r="R939" s="247"/>
      <c r="S939" s="247"/>
      <c r="T939" s="247"/>
      <c r="U939" s="247"/>
      <c r="V939" s="247"/>
      <c r="W939" s="247"/>
      <c r="X939" s="247"/>
      <c r="Y939" s="247"/>
      <c r="Z939" s="247"/>
      <c r="AA939" s="247"/>
    </row>
    <row r="940">
      <c r="A940" s="247"/>
      <c r="B940" s="245"/>
      <c r="C940" s="246"/>
      <c r="D940" s="247"/>
      <c r="E940" s="247"/>
      <c r="F940" s="247"/>
      <c r="G940" s="247"/>
      <c r="H940" s="247"/>
      <c r="I940" s="247"/>
      <c r="J940" s="246"/>
      <c r="K940" s="248"/>
      <c r="L940" s="246"/>
      <c r="M940" s="154"/>
      <c r="N940" s="55"/>
      <c r="O940" s="247"/>
      <c r="P940" s="247"/>
      <c r="Q940" s="247"/>
      <c r="R940" s="247"/>
      <c r="S940" s="247"/>
      <c r="T940" s="247"/>
      <c r="U940" s="247"/>
      <c r="V940" s="247"/>
      <c r="W940" s="247"/>
      <c r="X940" s="247"/>
      <c r="Y940" s="247"/>
      <c r="Z940" s="247"/>
      <c r="AA940" s="247"/>
    </row>
    <row r="941">
      <c r="A941" s="247"/>
      <c r="B941" s="245"/>
      <c r="C941" s="246"/>
      <c r="D941" s="247"/>
      <c r="E941" s="247"/>
      <c r="F941" s="247"/>
      <c r="G941" s="247"/>
      <c r="H941" s="247"/>
      <c r="I941" s="247"/>
      <c r="J941" s="246"/>
      <c r="K941" s="248"/>
      <c r="L941" s="246"/>
      <c r="M941" s="154"/>
      <c r="N941" s="55"/>
      <c r="O941" s="247"/>
      <c r="P941" s="247"/>
      <c r="Q941" s="247"/>
      <c r="R941" s="247"/>
      <c r="S941" s="247"/>
      <c r="T941" s="247"/>
      <c r="U941" s="247"/>
      <c r="V941" s="247"/>
      <c r="W941" s="247"/>
      <c r="X941" s="247"/>
      <c r="Y941" s="247"/>
      <c r="Z941" s="247"/>
      <c r="AA941" s="247"/>
    </row>
    <row r="942">
      <c r="A942" s="247"/>
      <c r="B942" s="245"/>
      <c r="C942" s="246"/>
      <c r="D942" s="247"/>
      <c r="E942" s="247"/>
      <c r="F942" s="247"/>
      <c r="G942" s="247"/>
      <c r="H942" s="247"/>
      <c r="I942" s="247"/>
      <c r="J942" s="246"/>
      <c r="K942" s="248"/>
      <c r="L942" s="246"/>
      <c r="M942" s="154"/>
      <c r="N942" s="55"/>
      <c r="O942" s="247"/>
      <c r="P942" s="247"/>
      <c r="Q942" s="247"/>
      <c r="R942" s="247"/>
      <c r="S942" s="247"/>
      <c r="T942" s="247"/>
      <c r="U942" s="247"/>
      <c r="V942" s="247"/>
      <c r="W942" s="247"/>
      <c r="X942" s="247"/>
      <c r="Y942" s="247"/>
      <c r="Z942" s="247"/>
      <c r="AA942" s="247"/>
    </row>
    <row r="943">
      <c r="A943" s="247"/>
      <c r="B943" s="245"/>
      <c r="C943" s="246"/>
      <c r="D943" s="247"/>
      <c r="E943" s="247"/>
      <c r="F943" s="247"/>
      <c r="G943" s="247"/>
      <c r="H943" s="247"/>
      <c r="I943" s="247"/>
      <c r="J943" s="246"/>
      <c r="K943" s="248"/>
      <c r="L943" s="246"/>
      <c r="M943" s="154"/>
      <c r="N943" s="55"/>
      <c r="O943" s="247"/>
      <c r="P943" s="247"/>
      <c r="Q943" s="247"/>
      <c r="R943" s="247"/>
      <c r="S943" s="247"/>
      <c r="T943" s="247"/>
      <c r="U943" s="247"/>
      <c r="V943" s="247"/>
      <c r="W943" s="247"/>
      <c r="X943" s="247"/>
      <c r="Y943" s="247"/>
      <c r="Z943" s="247"/>
      <c r="AA943" s="247"/>
    </row>
    <row r="944">
      <c r="A944" s="247"/>
      <c r="B944" s="245"/>
      <c r="C944" s="246"/>
      <c r="D944" s="247"/>
      <c r="E944" s="247"/>
      <c r="F944" s="247"/>
      <c r="G944" s="247"/>
      <c r="H944" s="247"/>
      <c r="I944" s="247"/>
      <c r="J944" s="246"/>
      <c r="K944" s="248"/>
      <c r="L944" s="246"/>
      <c r="M944" s="154"/>
      <c r="N944" s="55"/>
      <c r="O944" s="247"/>
      <c r="P944" s="247"/>
      <c r="Q944" s="247"/>
      <c r="R944" s="247"/>
      <c r="S944" s="247"/>
      <c r="T944" s="247"/>
      <c r="U944" s="247"/>
      <c r="V944" s="247"/>
      <c r="W944" s="247"/>
      <c r="X944" s="247"/>
      <c r="Y944" s="247"/>
      <c r="Z944" s="247"/>
      <c r="AA944" s="247"/>
    </row>
    <row r="945">
      <c r="A945" s="247"/>
      <c r="B945" s="245"/>
      <c r="C945" s="246"/>
      <c r="D945" s="247"/>
      <c r="E945" s="247"/>
      <c r="F945" s="247"/>
      <c r="G945" s="247"/>
      <c r="H945" s="247"/>
      <c r="I945" s="247"/>
      <c r="J945" s="246"/>
      <c r="K945" s="248"/>
      <c r="L945" s="246"/>
      <c r="M945" s="154"/>
      <c r="N945" s="55"/>
      <c r="O945" s="247"/>
      <c r="P945" s="247"/>
      <c r="Q945" s="247"/>
      <c r="R945" s="247"/>
      <c r="S945" s="247"/>
      <c r="T945" s="247"/>
      <c r="U945" s="247"/>
      <c r="V945" s="247"/>
      <c r="W945" s="247"/>
      <c r="X945" s="247"/>
      <c r="Y945" s="247"/>
      <c r="Z945" s="247"/>
      <c r="AA945" s="247"/>
    </row>
    <row r="946">
      <c r="A946" s="247"/>
      <c r="B946" s="245"/>
      <c r="C946" s="246"/>
      <c r="D946" s="247"/>
      <c r="E946" s="247"/>
      <c r="F946" s="247"/>
      <c r="G946" s="247"/>
      <c r="H946" s="247"/>
      <c r="I946" s="247"/>
      <c r="J946" s="246"/>
      <c r="K946" s="248"/>
      <c r="L946" s="246"/>
      <c r="M946" s="154"/>
      <c r="N946" s="55"/>
      <c r="O946" s="247"/>
      <c r="P946" s="247"/>
      <c r="Q946" s="247"/>
      <c r="R946" s="247"/>
      <c r="S946" s="247"/>
      <c r="T946" s="247"/>
      <c r="U946" s="247"/>
      <c r="V946" s="247"/>
      <c r="W946" s="247"/>
      <c r="X946" s="247"/>
      <c r="Y946" s="247"/>
      <c r="Z946" s="247"/>
      <c r="AA946" s="247"/>
    </row>
    <row r="947">
      <c r="A947" s="247"/>
      <c r="B947" s="245"/>
      <c r="C947" s="246"/>
      <c r="D947" s="247"/>
      <c r="E947" s="247"/>
      <c r="F947" s="247"/>
      <c r="G947" s="247"/>
      <c r="H947" s="247"/>
      <c r="I947" s="247"/>
      <c r="J947" s="246"/>
      <c r="K947" s="248"/>
      <c r="L947" s="246"/>
      <c r="M947" s="154"/>
      <c r="N947" s="55"/>
      <c r="O947" s="247"/>
      <c r="P947" s="247"/>
      <c r="Q947" s="247"/>
      <c r="R947" s="247"/>
      <c r="S947" s="247"/>
      <c r="T947" s="247"/>
      <c r="U947" s="247"/>
      <c r="V947" s="247"/>
      <c r="W947" s="247"/>
      <c r="X947" s="247"/>
      <c r="Y947" s="247"/>
      <c r="Z947" s="247"/>
      <c r="AA947" s="247"/>
    </row>
    <row r="948">
      <c r="A948" s="247"/>
      <c r="B948" s="245"/>
      <c r="C948" s="246"/>
      <c r="D948" s="247"/>
      <c r="E948" s="247"/>
      <c r="F948" s="247"/>
      <c r="G948" s="247"/>
      <c r="H948" s="247"/>
      <c r="I948" s="247"/>
      <c r="J948" s="246"/>
      <c r="K948" s="248"/>
      <c r="L948" s="246"/>
      <c r="M948" s="154"/>
      <c r="N948" s="55"/>
      <c r="O948" s="247"/>
      <c r="P948" s="247"/>
      <c r="Q948" s="247"/>
      <c r="R948" s="247"/>
      <c r="S948" s="247"/>
      <c r="T948" s="247"/>
      <c r="U948" s="247"/>
      <c r="V948" s="247"/>
      <c r="W948" s="247"/>
      <c r="X948" s="247"/>
      <c r="Y948" s="247"/>
      <c r="Z948" s="247"/>
      <c r="AA948" s="247"/>
    </row>
    <row r="949">
      <c r="A949" s="247"/>
      <c r="B949" s="245"/>
      <c r="C949" s="246"/>
      <c r="D949" s="247"/>
      <c r="E949" s="247"/>
      <c r="F949" s="247"/>
      <c r="G949" s="247"/>
      <c r="H949" s="247"/>
      <c r="I949" s="247"/>
      <c r="J949" s="246"/>
      <c r="K949" s="248"/>
      <c r="L949" s="246"/>
      <c r="M949" s="154"/>
      <c r="N949" s="55"/>
      <c r="O949" s="247"/>
      <c r="P949" s="247"/>
      <c r="Q949" s="247"/>
      <c r="R949" s="247"/>
      <c r="S949" s="247"/>
      <c r="T949" s="247"/>
      <c r="U949" s="247"/>
      <c r="V949" s="247"/>
      <c r="W949" s="247"/>
      <c r="X949" s="247"/>
      <c r="Y949" s="247"/>
      <c r="Z949" s="247"/>
      <c r="AA949" s="247"/>
    </row>
    <row r="950">
      <c r="A950" s="247"/>
      <c r="B950" s="245"/>
      <c r="C950" s="246"/>
      <c r="D950" s="247"/>
      <c r="E950" s="247"/>
      <c r="F950" s="247"/>
      <c r="G950" s="247"/>
      <c r="H950" s="247"/>
      <c r="I950" s="247"/>
      <c r="J950" s="246"/>
      <c r="K950" s="248"/>
      <c r="L950" s="246"/>
      <c r="M950" s="154"/>
      <c r="N950" s="55"/>
      <c r="O950" s="247"/>
      <c r="P950" s="247"/>
      <c r="Q950" s="247"/>
      <c r="R950" s="247"/>
      <c r="S950" s="247"/>
      <c r="T950" s="247"/>
      <c r="U950" s="247"/>
      <c r="V950" s="247"/>
      <c r="W950" s="247"/>
      <c r="X950" s="247"/>
      <c r="Y950" s="247"/>
      <c r="Z950" s="247"/>
      <c r="AA950" s="247"/>
    </row>
    <row r="951">
      <c r="A951" s="247"/>
      <c r="B951" s="245"/>
      <c r="C951" s="246"/>
      <c r="D951" s="247"/>
      <c r="E951" s="247"/>
      <c r="F951" s="247"/>
      <c r="G951" s="247"/>
      <c r="H951" s="247"/>
      <c r="I951" s="247"/>
      <c r="J951" s="246"/>
      <c r="K951" s="248"/>
      <c r="L951" s="246"/>
      <c r="M951" s="154"/>
      <c r="N951" s="55"/>
      <c r="O951" s="247"/>
      <c r="P951" s="247"/>
      <c r="Q951" s="247"/>
      <c r="R951" s="247"/>
      <c r="S951" s="247"/>
      <c r="T951" s="247"/>
      <c r="U951" s="247"/>
      <c r="V951" s="247"/>
      <c r="W951" s="247"/>
      <c r="X951" s="247"/>
      <c r="Y951" s="247"/>
      <c r="Z951" s="247"/>
      <c r="AA951" s="247"/>
    </row>
    <row r="952">
      <c r="A952" s="247"/>
      <c r="B952" s="245"/>
      <c r="C952" s="246"/>
      <c r="D952" s="247"/>
      <c r="E952" s="247"/>
      <c r="F952" s="247"/>
      <c r="G952" s="247"/>
      <c r="H952" s="247"/>
      <c r="I952" s="247"/>
      <c r="J952" s="246"/>
      <c r="K952" s="248"/>
      <c r="L952" s="246"/>
      <c r="M952" s="154"/>
      <c r="N952" s="55"/>
      <c r="O952" s="247"/>
      <c r="P952" s="247"/>
      <c r="Q952" s="247"/>
      <c r="R952" s="247"/>
      <c r="S952" s="247"/>
      <c r="T952" s="247"/>
      <c r="U952" s="247"/>
      <c r="V952" s="247"/>
      <c r="W952" s="247"/>
      <c r="X952" s="247"/>
      <c r="Y952" s="247"/>
      <c r="Z952" s="247"/>
      <c r="AA952" s="247"/>
    </row>
    <row r="953">
      <c r="A953" s="247"/>
      <c r="B953" s="245"/>
      <c r="C953" s="246"/>
      <c r="D953" s="247"/>
      <c r="E953" s="247"/>
      <c r="F953" s="247"/>
      <c r="G953" s="247"/>
      <c r="H953" s="247"/>
      <c r="I953" s="247"/>
      <c r="J953" s="246"/>
      <c r="K953" s="248"/>
      <c r="L953" s="246"/>
      <c r="M953" s="154"/>
      <c r="N953" s="55"/>
      <c r="O953" s="247"/>
      <c r="P953" s="247"/>
      <c r="Q953" s="247"/>
      <c r="R953" s="247"/>
      <c r="S953" s="247"/>
      <c r="T953" s="247"/>
      <c r="U953" s="247"/>
      <c r="V953" s="247"/>
      <c r="W953" s="247"/>
      <c r="X953" s="247"/>
      <c r="Y953" s="247"/>
      <c r="Z953" s="247"/>
      <c r="AA953" s="247"/>
    </row>
    <row r="954">
      <c r="A954" s="247"/>
      <c r="B954" s="245"/>
      <c r="C954" s="246"/>
      <c r="D954" s="247"/>
      <c r="E954" s="247"/>
      <c r="F954" s="247"/>
      <c r="G954" s="247"/>
      <c r="H954" s="247"/>
      <c r="I954" s="247"/>
      <c r="J954" s="246"/>
      <c r="K954" s="248"/>
      <c r="L954" s="246"/>
      <c r="M954" s="154"/>
      <c r="N954" s="55"/>
      <c r="O954" s="247"/>
      <c r="P954" s="247"/>
      <c r="Q954" s="247"/>
      <c r="R954" s="247"/>
      <c r="S954" s="247"/>
      <c r="T954" s="247"/>
      <c r="U954" s="247"/>
      <c r="V954" s="247"/>
      <c r="W954" s="247"/>
      <c r="X954" s="247"/>
      <c r="Y954" s="247"/>
      <c r="Z954" s="247"/>
      <c r="AA954" s="247"/>
    </row>
    <row r="955">
      <c r="A955" s="247"/>
      <c r="B955" s="245"/>
      <c r="C955" s="246"/>
      <c r="D955" s="247"/>
      <c r="E955" s="247"/>
      <c r="F955" s="247"/>
      <c r="G955" s="247"/>
      <c r="H955" s="247"/>
      <c r="I955" s="247"/>
      <c r="J955" s="246"/>
      <c r="K955" s="248"/>
      <c r="L955" s="246"/>
      <c r="M955" s="154"/>
      <c r="N955" s="55"/>
      <c r="O955" s="247"/>
      <c r="P955" s="247"/>
      <c r="Q955" s="247"/>
      <c r="R955" s="247"/>
      <c r="S955" s="247"/>
      <c r="T955" s="247"/>
      <c r="U955" s="247"/>
      <c r="V955" s="247"/>
      <c r="W955" s="247"/>
      <c r="X955" s="247"/>
      <c r="Y955" s="247"/>
      <c r="Z955" s="247"/>
      <c r="AA955" s="247"/>
    </row>
    <row r="956">
      <c r="A956" s="247"/>
      <c r="B956" s="245"/>
      <c r="C956" s="246"/>
      <c r="D956" s="247"/>
      <c r="E956" s="247"/>
      <c r="F956" s="247"/>
      <c r="G956" s="247"/>
      <c r="H956" s="247"/>
      <c r="I956" s="247"/>
      <c r="J956" s="246"/>
      <c r="K956" s="248"/>
      <c r="L956" s="246"/>
      <c r="M956" s="154"/>
      <c r="N956" s="55"/>
      <c r="O956" s="247"/>
      <c r="P956" s="247"/>
      <c r="Q956" s="247"/>
      <c r="R956" s="247"/>
      <c r="S956" s="247"/>
      <c r="T956" s="247"/>
      <c r="U956" s="247"/>
      <c r="V956" s="247"/>
      <c r="W956" s="247"/>
      <c r="X956" s="247"/>
      <c r="Y956" s="247"/>
      <c r="Z956" s="247"/>
      <c r="AA956" s="247"/>
    </row>
    <row r="957">
      <c r="A957" s="247"/>
      <c r="B957" s="245"/>
      <c r="C957" s="246"/>
      <c r="D957" s="247"/>
      <c r="E957" s="247"/>
      <c r="F957" s="247"/>
      <c r="G957" s="247"/>
      <c r="H957" s="247"/>
      <c r="I957" s="247"/>
      <c r="J957" s="246"/>
      <c r="K957" s="248"/>
      <c r="L957" s="246"/>
      <c r="M957" s="154"/>
      <c r="N957" s="55"/>
      <c r="O957" s="247"/>
      <c r="P957" s="247"/>
      <c r="Q957" s="247"/>
      <c r="R957" s="247"/>
      <c r="S957" s="247"/>
      <c r="T957" s="247"/>
      <c r="U957" s="247"/>
      <c r="V957" s="247"/>
      <c r="W957" s="247"/>
      <c r="X957" s="247"/>
      <c r="Y957" s="247"/>
      <c r="Z957" s="247"/>
      <c r="AA957" s="247"/>
    </row>
    <row r="958">
      <c r="A958" s="247"/>
      <c r="B958" s="245"/>
      <c r="C958" s="246"/>
      <c r="D958" s="247"/>
      <c r="E958" s="247"/>
      <c r="F958" s="247"/>
      <c r="G958" s="247"/>
      <c r="H958" s="247"/>
      <c r="I958" s="247"/>
      <c r="J958" s="246"/>
      <c r="K958" s="248"/>
      <c r="L958" s="246"/>
      <c r="M958" s="154"/>
      <c r="N958" s="55"/>
      <c r="O958" s="247"/>
      <c r="P958" s="247"/>
      <c r="Q958" s="247"/>
      <c r="R958" s="247"/>
      <c r="S958" s="247"/>
      <c r="T958" s="247"/>
      <c r="U958" s="247"/>
      <c r="V958" s="247"/>
      <c r="W958" s="247"/>
      <c r="X958" s="247"/>
      <c r="Y958" s="247"/>
      <c r="Z958" s="247"/>
      <c r="AA958" s="247"/>
    </row>
    <row r="959">
      <c r="A959" s="247"/>
      <c r="B959" s="245"/>
      <c r="C959" s="246"/>
      <c r="D959" s="247"/>
      <c r="E959" s="247"/>
      <c r="F959" s="247"/>
      <c r="G959" s="247"/>
      <c r="H959" s="247"/>
      <c r="I959" s="247"/>
      <c r="J959" s="246"/>
      <c r="K959" s="248"/>
      <c r="L959" s="246"/>
      <c r="M959" s="154"/>
      <c r="N959" s="55"/>
      <c r="O959" s="247"/>
      <c r="P959" s="247"/>
      <c r="Q959" s="247"/>
      <c r="R959" s="247"/>
      <c r="S959" s="247"/>
      <c r="T959" s="247"/>
      <c r="U959" s="247"/>
      <c r="V959" s="247"/>
      <c r="W959" s="247"/>
      <c r="X959" s="247"/>
      <c r="Y959" s="247"/>
      <c r="Z959" s="247"/>
      <c r="AA959" s="247"/>
    </row>
    <row r="960">
      <c r="A960" s="247"/>
      <c r="B960" s="245"/>
      <c r="C960" s="246"/>
      <c r="D960" s="247"/>
      <c r="E960" s="247"/>
      <c r="F960" s="247"/>
      <c r="G960" s="247"/>
      <c r="H960" s="247"/>
      <c r="I960" s="247"/>
      <c r="J960" s="246"/>
      <c r="K960" s="248"/>
      <c r="L960" s="246"/>
      <c r="M960" s="154"/>
      <c r="N960" s="55"/>
      <c r="O960" s="247"/>
      <c r="P960" s="247"/>
      <c r="Q960" s="247"/>
      <c r="R960" s="247"/>
      <c r="S960" s="247"/>
      <c r="T960" s="247"/>
      <c r="U960" s="247"/>
      <c r="V960" s="247"/>
      <c r="W960" s="247"/>
      <c r="X960" s="247"/>
      <c r="Y960" s="247"/>
      <c r="Z960" s="247"/>
      <c r="AA960" s="247"/>
    </row>
    <row r="961">
      <c r="A961" s="247"/>
      <c r="B961" s="245"/>
      <c r="C961" s="246"/>
      <c r="D961" s="247"/>
      <c r="E961" s="247"/>
      <c r="F961" s="247"/>
      <c r="G961" s="247"/>
      <c r="H961" s="247"/>
      <c r="I961" s="247"/>
      <c r="J961" s="246"/>
      <c r="K961" s="248"/>
      <c r="L961" s="246"/>
      <c r="M961" s="154"/>
      <c r="N961" s="55"/>
      <c r="O961" s="247"/>
      <c r="P961" s="247"/>
      <c r="Q961" s="247"/>
      <c r="R961" s="247"/>
      <c r="S961" s="247"/>
      <c r="T961" s="247"/>
      <c r="U961" s="247"/>
      <c r="V961" s="247"/>
      <c r="W961" s="247"/>
      <c r="X961" s="247"/>
      <c r="Y961" s="247"/>
      <c r="Z961" s="247"/>
      <c r="AA961" s="247"/>
    </row>
    <row r="962">
      <c r="A962" s="247"/>
      <c r="B962" s="245"/>
      <c r="C962" s="246"/>
      <c r="D962" s="247"/>
      <c r="E962" s="247"/>
      <c r="F962" s="247"/>
      <c r="G962" s="247"/>
      <c r="H962" s="247"/>
      <c r="I962" s="247"/>
      <c r="J962" s="246"/>
      <c r="K962" s="248"/>
      <c r="L962" s="246"/>
      <c r="M962" s="154"/>
      <c r="N962" s="55"/>
      <c r="O962" s="247"/>
      <c r="P962" s="247"/>
      <c r="Q962" s="247"/>
      <c r="R962" s="247"/>
      <c r="S962" s="247"/>
      <c r="T962" s="247"/>
      <c r="U962" s="247"/>
      <c r="V962" s="247"/>
      <c r="W962" s="247"/>
      <c r="X962" s="247"/>
      <c r="Y962" s="247"/>
      <c r="Z962" s="247"/>
      <c r="AA962" s="247"/>
    </row>
    <row r="963">
      <c r="A963" s="247"/>
      <c r="B963" s="245"/>
      <c r="C963" s="246"/>
      <c r="D963" s="247"/>
      <c r="E963" s="247"/>
      <c r="F963" s="247"/>
      <c r="G963" s="247"/>
      <c r="H963" s="247"/>
      <c r="I963" s="247"/>
      <c r="J963" s="246"/>
      <c r="K963" s="248"/>
      <c r="L963" s="246"/>
      <c r="M963" s="154"/>
      <c r="N963" s="55"/>
      <c r="O963" s="247"/>
      <c r="P963" s="247"/>
      <c r="Q963" s="247"/>
      <c r="R963" s="247"/>
      <c r="S963" s="247"/>
      <c r="T963" s="247"/>
      <c r="U963" s="247"/>
      <c r="V963" s="247"/>
      <c r="W963" s="247"/>
      <c r="X963" s="247"/>
      <c r="Y963" s="247"/>
      <c r="Z963" s="247"/>
      <c r="AA963" s="247"/>
    </row>
    <row r="964">
      <c r="A964" s="247"/>
      <c r="B964" s="245"/>
      <c r="C964" s="246"/>
      <c r="D964" s="247"/>
      <c r="E964" s="247"/>
      <c r="F964" s="247"/>
      <c r="G964" s="247"/>
      <c r="H964" s="247"/>
      <c r="I964" s="247"/>
      <c r="J964" s="246"/>
      <c r="K964" s="248"/>
      <c r="L964" s="246"/>
      <c r="M964" s="154"/>
      <c r="N964" s="55"/>
      <c r="O964" s="247"/>
      <c r="P964" s="247"/>
      <c r="Q964" s="247"/>
      <c r="R964" s="247"/>
      <c r="S964" s="247"/>
      <c r="T964" s="247"/>
      <c r="U964" s="247"/>
      <c r="V964" s="247"/>
      <c r="W964" s="247"/>
      <c r="X964" s="247"/>
      <c r="Y964" s="247"/>
      <c r="Z964" s="247"/>
      <c r="AA964" s="247"/>
    </row>
    <row r="965">
      <c r="A965" s="247"/>
      <c r="B965" s="245"/>
      <c r="C965" s="246"/>
      <c r="D965" s="247"/>
      <c r="E965" s="247"/>
      <c r="F965" s="247"/>
      <c r="G965" s="247"/>
      <c r="H965" s="247"/>
      <c r="I965" s="247"/>
      <c r="J965" s="246"/>
      <c r="K965" s="248"/>
      <c r="L965" s="246"/>
      <c r="M965" s="154"/>
      <c r="N965" s="55"/>
      <c r="O965" s="247"/>
      <c r="P965" s="247"/>
      <c r="Q965" s="247"/>
      <c r="R965" s="247"/>
      <c r="S965" s="247"/>
      <c r="T965" s="247"/>
      <c r="U965" s="247"/>
      <c r="V965" s="247"/>
      <c r="W965" s="247"/>
      <c r="X965" s="247"/>
      <c r="Y965" s="247"/>
      <c r="Z965" s="247"/>
      <c r="AA965" s="247"/>
    </row>
    <row r="966">
      <c r="A966" s="247"/>
      <c r="B966" s="245"/>
      <c r="C966" s="246"/>
      <c r="D966" s="247"/>
      <c r="E966" s="247"/>
      <c r="F966" s="247"/>
      <c r="G966" s="247"/>
      <c r="H966" s="247"/>
      <c r="I966" s="247"/>
      <c r="J966" s="246"/>
      <c r="K966" s="248"/>
      <c r="L966" s="246"/>
      <c r="M966" s="154"/>
      <c r="N966" s="55"/>
      <c r="O966" s="247"/>
      <c r="P966" s="247"/>
      <c r="Q966" s="247"/>
      <c r="R966" s="247"/>
      <c r="S966" s="247"/>
      <c r="T966" s="247"/>
      <c r="U966" s="247"/>
      <c r="V966" s="247"/>
      <c r="W966" s="247"/>
      <c r="X966" s="247"/>
      <c r="Y966" s="247"/>
      <c r="Z966" s="247"/>
      <c r="AA966" s="247"/>
    </row>
    <row r="967">
      <c r="A967" s="247"/>
      <c r="B967" s="245"/>
      <c r="C967" s="246"/>
      <c r="D967" s="247"/>
      <c r="E967" s="247"/>
      <c r="F967" s="247"/>
      <c r="G967" s="247"/>
      <c r="H967" s="247"/>
      <c r="I967" s="247"/>
      <c r="J967" s="246"/>
      <c r="K967" s="248"/>
      <c r="L967" s="246"/>
      <c r="M967" s="154"/>
      <c r="N967" s="55"/>
      <c r="O967" s="247"/>
      <c r="P967" s="247"/>
      <c r="Q967" s="247"/>
      <c r="R967" s="247"/>
      <c r="S967" s="247"/>
      <c r="T967" s="247"/>
      <c r="U967" s="247"/>
      <c r="V967" s="247"/>
      <c r="W967" s="247"/>
      <c r="X967" s="247"/>
      <c r="Y967" s="247"/>
      <c r="Z967" s="247"/>
      <c r="AA967" s="247"/>
    </row>
    <row r="968">
      <c r="A968" s="247"/>
      <c r="B968" s="245"/>
      <c r="C968" s="246"/>
      <c r="D968" s="247"/>
      <c r="E968" s="247"/>
      <c r="F968" s="247"/>
      <c r="G968" s="247"/>
      <c r="H968" s="247"/>
      <c r="I968" s="247"/>
      <c r="J968" s="246"/>
      <c r="K968" s="248"/>
      <c r="L968" s="246"/>
      <c r="M968" s="154"/>
      <c r="N968" s="55"/>
      <c r="O968" s="247"/>
      <c r="P968" s="247"/>
      <c r="Q968" s="247"/>
      <c r="R968" s="247"/>
      <c r="S968" s="247"/>
      <c r="T968" s="247"/>
      <c r="U968" s="247"/>
      <c r="V968" s="247"/>
      <c r="W968" s="247"/>
      <c r="X968" s="247"/>
      <c r="Y968" s="247"/>
      <c r="Z968" s="247"/>
      <c r="AA968" s="247"/>
    </row>
    <row r="969">
      <c r="A969" s="247"/>
      <c r="B969" s="245"/>
      <c r="C969" s="246"/>
      <c r="D969" s="247"/>
      <c r="E969" s="247"/>
      <c r="F969" s="247"/>
      <c r="G969" s="247"/>
      <c r="H969" s="247"/>
      <c r="I969" s="247"/>
      <c r="J969" s="246"/>
      <c r="K969" s="248"/>
      <c r="L969" s="246"/>
      <c r="M969" s="154"/>
      <c r="N969" s="55"/>
      <c r="O969" s="247"/>
      <c r="P969" s="247"/>
      <c r="Q969" s="247"/>
      <c r="R969" s="247"/>
      <c r="S969" s="247"/>
      <c r="T969" s="247"/>
      <c r="U969" s="247"/>
      <c r="V969" s="247"/>
      <c r="W969" s="247"/>
      <c r="X969" s="247"/>
      <c r="Y969" s="247"/>
      <c r="Z969" s="247"/>
      <c r="AA969" s="247"/>
    </row>
    <row r="970">
      <c r="A970" s="247"/>
      <c r="B970" s="245"/>
      <c r="C970" s="246"/>
      <c r="D970" s="247"/>
      <c r="E970" s="247"/>
      <c r="F970" s="247"/>
      <c r="G970" s="247"/>
      <c r="H970" s="247"/>
      <c r="I970" s="247"/>
      <c r="J970" s="246"/>
      <c r="K970" s="248"/>
      <c r="L970" s="246"/>
      <c r="M970" s="154"/>
      <c r="N970" s="55"/>
      <c r="O970" s="247"/>
      <c r="P970" s="247"/>
      <c r="Q970" s="247"/>
      <c r="R970" s="247"/>
      <c r="S970" s="247"/>
      <c r="T970" s="247"/>
      <c r="U970" s="247"/>
      <c r="V970" s="247"/>
      <c r="W970" s="247"/>
      <c r="X970" s="247"/>
      <c r="Y970" s="247"/>
      <c r="Z970" s="247"/>
      <c r="AA970" s="247"/>
    </row>
    <row r="971">
      <c r="A971" s="247"/>
      <c r="B971" s="245"/>
      <c r="C971" s="246"/>
      <c r="D971" s="247"/>
      <c r="E971" s="247"/>
      <c r="F971" s="247"/>
      <c r="G971" s="247"/>
      <c r="H971" s="247"/>
      <c r="I971" s="247"/>
      <c r="J971" s="246"/>
      <c r="K971" s="248"/>
      <c r="L971" s="246"/>
      <c r="M971" s="154"/>
      <c r="N971" s="55"/>
      <c r="O971" s="247"/>
      <c r="P971" s="247"/>
      <c r="Q971" s="247"/>
      <c r="R971" s="247"/>
      <c r="S971" s="247"/>
      <c r="T971" s="247"/>
      <c r="U971" s="247"/>
      <c r="V971" s="247"/>
      <c r="W971" s="247"/>
      <c r="X971" s="247"/>
      <c r="Y971" s="247"/>
      <c r="Z971" s="247"/>
      <c r="AA971" s="247"/>
    </row>
    <row r="972">
      <c r="A972" s="247"/>
      <c r="B972" s="245"/>
      <c r="C972" s="246"/>
      <c r="D972" s="247"/>
      <c r="E972" s="247"/>
      <c r="F972" s="247"/>
      <c r="G972" s="247"/>
      <c r="H972" s="247"/>
      <c r="I972" s="247"/>
      <c r="J972" s="246"/>
      <c r="K972" s="248"/>
      <c r="L972" s="246"/>
      <c r="M972" s="154"/>
      <c r="N972" s="55"/>
      <c r="O972" s="247"/>
      <c r="P972" s="247"/>
      <c r="Q972" s="247"/>
      <c r="R972" s="247"/>
      <c r="S972" s="247"/>
      <c r="T972" s="247"/>
      <c r="U972" s="247"/>
      <c r="V972" s="247"/>
      <c r="W972" s="247"/>
      <c r="X972" s="247"/>
      <c r="Y972" s="247"/>
      <c r="Z972" s="247"/>
      <c r="AA972" s="247"/>
    </row>
    <row r="973">
      <c r="A973" s="247"/>
      <c r="B973" s="245"/>
      <c r="C973" s="246"/>
      <c r="D973" s="247"/>
      <c r="E973" s="247"/>
      <c r="F973" s="247"/>
      <c r="G973" s="247"/>
      <c r="H973" s="247"/>
      <c r="I973" s="247"/>
      <c r="J973" s="246"/>
      <c r="K973" s="248"/>
      <c r="L973" s="246"/>
      <c r="M973" s="154"/>
      <c r="N973" s="55"/>
      <c r="O973" s="247"/>
      <c r="P973" s="247"/>
      <c r="Q973" s="247"/>
      <c r="R973" s="247"/>
      <c r="S973" s="247"/>
      <c r="T973" s="247"/>
      <c r="U973" s="247"/>
      <c r="V973" s="247"/>
      <c r="W973" s="247"/>
      <c r="X973" s="247"/>
      <c r="Y973" s="247"/>
      <c r="Z973" s="247"/>
      <c r="AA973" s="247"/>
    </row>
    <row r="974">
      <c r="A974" s="247"/>
      <c r="B974" s="245"/>
      <c r="C974" s="246"/>
      <c r="D974" s="247"/>
      <c r="E974" s="247"/>
      <c r="F974" s="247"/>
      <c r="G974" s="247"/>
      <c r="H974" s="247"/>
      <c r="I974" s="247"/>
      <c r="J974" s="246"/>
      <c r="K974" s="248"/>
      <c r="L974" s="246"/>
      <c r="M974" s="154"/>
      <c r="N974" s="55"/>
      <c r="O974" s="247"/>
      <c r="P974" s="247"/>
      <c r="Q974" s="247"/>
      <c r="R974" s="247"/>
      <c r="S974" s="247"/>
      <c r="T974" s="247"/>
      <c r="U974" s="247"/>
      <c r="V974" s="247"/>
      <c r="W974" s="247"/>
      <c r="X974" s="247"/>
      <c r="Y974" s="247"/>
      <c r="Z974" s="247"/>
      <c r="AA974" s="247"/>
    </row>
    <row r="975">
      <c r="A975" s="247"/>
      <c r="B975" s="245"/>
      <c r="C975" s="246"/>
      <c r="D975" s="247"/>
      <c r="E975" s="247"/>
      <c r="F975" s="247"/>
      <c r="G975" s="247"/>
      <c r="H975" s="247"/>
      <c r="I975" s="247"/>
      <c r="J975" s="246"/>
      <c r="K975" s="248"/>
      <c r="L975" s="246"/>
      <c r="M975" s="154"/>
      <c r="N975" s="55"/>
      <c r="O975" s="247"/>
      <c r="P975" s="247"/>
      <c r="Q975" s="247"/>
      <c r="R975" s="247"/>
      <c r="S975" s="247"/>
      <c r="T975" s="247"/>
      <c r="U975" s="247"/>
      <c r="V975" s="247"/>
      <c r="W975" s="247"/>
      <c r="X975" s="247"/>
      <c r="Y975" s="247"/>
      <c r="Z975" s="247"/>
      <c r="AA975" s="247"/>
    </row>
    <row r="976">
      <c r="A976" s="247"/>
      <c r="B976" s="245"/>
      <c r="C976" s="246"/>
      <c r="D976" s="247"/>
      <c r="E976" s="247"/>
      <c r="F976" s="247"/>
      <c r="G976" s="247"/>
      <c r="H976" s="247"/>
      <c r="I976" s="247"/>
      <c r="J976" s="246"/>
      <c r="K976" s="248"/>
      <c r="L976" s="246"/>
      <c r="M976" s="154"/>
      <c r="N976" s="55"/>
      <c r="O976" s="247"/>
      <c r="P976" s="247"/>
      <c r="Q976" s="247"/>
      <c r="R976" s="247"/>
      <c r="S976" s="247"/>
      <c r="T976" s="247"/>
      <c r="U976" s="247"/>
      <c r="V976" s="247"/>
      <c r="W976" s="247"/>
      <c r="X976" s="247"/>
      <c r="Y976" s="247"/>
      <c r="Z976" s="247"/>
      <c r="AA976" s="247"/>
    </row>
    <row r="977">
      <c r="A977" s="247"/>
      <c r="B977" s="245"/>
      <c r="C977" s="246"/>
      <c r="D977" s="247"/>
      <c r="E977" s="247"/>
      <c r="F977" s="247"/>
      <c r="G977" s="247"/>
      <c r="H977" s="247"/>
      <c r="I977" s="247"/>
      <c r="J977" s="246"/>
      <c r="K977" s="248"/>
      <c r="L977" s="246"/>
      <c r="M977" s="154"/>
      <c r="N977" s="55"/>
      <c r="O977" s="247"/>
      <c r="P977" s="247"/>
      <c r="Q977" s="247"/>
      <c r="R977" s="247"/>
      <c r="S977" s="247"/>
      <c r="T977" s="247"/>
      <c r="U977" s="247"/>
      <c r="V977" s="247"/>
      <c r="W977" s="247"/>
      <c r="X977" s="247"/>
      <c r="Y977" s="247"/>
      <c r="Z977" s="247"/>
      <c r="AA977" s="247"/>
    </row>
    <row r="978">
      <c r="A978" s="247"/>
      <c r="B978" s="245"/>
      <c r="C978" s="246"/>
      <c r="D978" s="247"/>
      <c r="E978" s="247"/>
      <c r="F978" s="247"/>
      <c r="G978" s="247"/>
      <c r="H978" s="247"/>
      <c r="I978" s="247"/>
      <c r="J978" s="246"/>
      <c r="K978" s="248"/>
      <c r="L978" s="246"/>
      <c r="M978" s="154"/>
      <c r="N978" s="55"/>
      <c r="O978" s="247"/>
      <c r="P978" s="247"/>
      <c r="Q978" s="247"/>
      <c r="R978" s="247"/>
      <c r="S978" s="247"/>
      <c r="T978" s="247"/>
      <c r="U978" s="247"/>
      <c r="V978" s="247"/>
      <c r="W978" s="247"/>
      <c r="X978" s="247"/>
      <c r="Y978" s="247"/>
      <c r="Z978" s="247"/>
      <c r="AA978" s="247"/>
    </row>
    <row r="979">
      <c r="A979" s="247"/>
      <c r="B979" s="245"/>
      <c r="C979" s="246"/>
      <c r="D979" s="247"/>
      <c r="E979" s="247"/>
      <c r="F979" s="247"/>
      <c r="G979" s="247"/>
      <c r="H979" s="247"/>
      <c r="I979" s="247"/>
      <c r="J979" s="246"/>
      <c r="K979" s="248"/>
      <c r="L979" s="246"/>
      <c r="M979" s="154"/>
      <c r="N979" s="55"/>
      <c r="O979" s="247"/>
      <c r="P979" s="247"/>
      <c r="Q979" s="247"/>
      <c r="R979" s="247"/>
      <c r="S979" s="247"/>
      <c r="T979" s="247"/>
      <c r="U979" s="247"/>
      <c r="V979" s="247"/>
      <c r="W979" s="247"/>
      <c r="X979" s="247"/>
      <c r="Y979" s="247"/>
      <c r="Z979" s="247"/>
      <c r="AA979" s="247"/>
    </row>
    <row r="980">
      <c r="A980" s="247"/>
      <c r="B980" s="245"/>
      <c r="C980" s="246"/>
      <c r="D980" s="247"/>
      <c r="E980" s="247"/>
      <c r="F980" s="247"/>
      <c r="G980" s="247"/>
      <c r="H980" s="247"/>
      <c r="I980" s="247"/>
      <c r="J980" s="246"/>
      <c r="K980" s="248"/>
      <c r="L980" s="246"/>
      <c r="M980" s="154"/>
      <c r="N980" s="55"/>
      <c r="O980" s="247"/>
      <c r="P980" s="247"/>
      <c r="Q980" s="247"/>
      <c r="R980" s="247"/>
      <c r="S980" s="247"/>
      <c r="T980" s="247"/>
      <c r="U980" s="247"/>
      <c r="V980" s="247"/>
      <c r="W980" s="247"/>
      <c r="X980" s="247"/>
      <c r="Y980" s="247"/>
      <c r="Z980" s="247"/>
      <c r="AA980" s="247"/>
    </row>
    <row r="981">
      <c r="A981" s="247"/>
      <c r="B981" s="245"/>
      <c r="C981" s="246"/>
      <c r="D981" s="247"/>
      <c r="E981" s="247"/>
      <c r="F981" s="247"/>
      <c r="G981" s="247"/>
      <c r="H981" s="247"/>
      <c r="I981" s="247"/>
      <c r="J981" s="246"/>
      <c r="K981" s="248"/>
      <c r="L981" s="246"/>
      <c r="M981" s="154"/>
      <c r="N981" s="55"/>
      <c r="O981" s="247"/>
      <c r="P981" s="247"/>
      <c r="Q981" s="247"/>
      <c r="R981" s="247"/>
      <c r="S981" s="247"/>
      <c r="T981" s="247"/>
      <c r="U981" s="247"/>
      <c r="V981" s="247"/>
      <c r="W981" s="247"/>
      <c r="X981" s="247"/>
      <c r="Y981" s="247"/>
      <c r="Z981" s="247"/>
      <c r="AA981" s="247"/>
    </row>
    <row r="982">
      <c r="A982" s="247"/>
      <c r="B982" s="245"/>
      <c r="C982" s="246"/>
      <c r="D982" s="247"/>
      <c r="E982" s="247"/>
      <c r="F982" s="247"/>
      <c r="G982" s="247"/>
      <c r="H982" s="247"/>
      <c r="I982" s="247"/>
      <c r="J982" s="246"/>
      <c r="K982" s="248"/>
      <c r="L982" s="246"/>
      <c r="M982" s="154"/>
      <c r="N982" s="55"/>
      <c r="O982" s="247"/>
      <c r="P982" s="247"/>
      <c r="Q982" s="247"/>
      <c r="R982" s="247"/>
      <c r="S982" s="247"/>
      <c r="T982" s="247"/>
      <c r="U982" s="247"/>
      <c r="V982" s="247"/>
      <c r="W982" s="247"/>
      <c r="X982" s="247"/>
      <c r="Y982" s="247"/>
      <c r="Z982" s="247"/>
      <c r="AA982" s="247"/>
    </row>
    <row r="983">
      <c r="A983" s="247"/>
      <c r="B983" s="245"/>
      <c r="C983" s="246"/>
      <c r="D983" s="247"/>
      <c r="E983" s="247"/>
      <c r="F983" s="247"/>
      <c r="G983" s="247"/>
      <c r="H983" s="247"/>
      <c r="I983" s="247"/>
      <c r="J983" s="246"/>
      <c r="K983" s="248"/>
      <c r="L983" s="246"/>
      <c r="M983" s="154"/>
      <c r="N983" s="55"/>
      <c r="O983" s="247"/>
      <c r="P983" s="247"/>
      <c r="Q983" s="247"/>
      <c r="R983" s="247"/>
      <c r="S983" s="247"/>
      <c r="T983" s="247"/>
      <c r="U983" s="247"/>
      <c r="V983" s="247"/>
      <c r="W983" s="247"/>
      <c r="X983" s="247"/>
      <c r="Y983" s="247"/>
      <c r="Z983" s="247"/>
      <c r="AA983" s="247"/>
    </row>
    <row r="984">
      <c r="A984" s="247"/>
      <c r="B984" s="245"/>
      <c r="C984" s="246"/>
      <c r="D984" s="247"/>
      <c r="E984" s="247"/>
      <c r="F984" s="247"/>
      <c r="G984" s="247"/>
      <c r="H984" s="247"/>
      <c r="I984" s="247"/>
      <c r="J984" s="246"/>
      <c r="K984" s="248"/>
      <c r="L984" s="246"/>
      <c r="M984" s="154"/>
      <c r="N984" s="55"/>
      <c r="O984" s="247"/>
      <c r="P984" s="247"/>
      <c r="Q984" s="247"/>
      <c r="R984" s="247"/>
      <c r="S984" s="247"/>
      <c r="T984" s="247"/>
      <c r="U984" s="247"/>
      <c r="V984" s="247"/>
      <c r="W984" s="247"/>
      <c r="X984" s="247"/>
      <c r="Y984" s="247"/>
      <c r="Z984" s="247"/>
      <c r="AA984" s="247"/>
    </row>
    <row r="985">
      <c r="A985" s="247"/>
      <c r="B985" s="249"/>
      <c r="C985" s="246"/>
      <c r="D985" s="247"/>
      <c r="E985" s="247"/>
      <c r="F985" s="247"/>
      <c r="G985" s="247"/>
      <c r="H985" s="247"/>
      <c r="I985" s="247"/>
      <c r="J985" s="246"/>
      <c r="K985" s="248"/>
      <c r="L985" s="246"/>
      <c r="M985" s="154"/>
      <c r="N985" s="55"/>
      <c r="O985" s="247"/>
      <c r="P985" s="247"/>
      <c r="Q985" s="247"/>
      <c r="R985" s="247"/>
      <c r="S985" s="247"/>
      <c r="T985" s="247"/>
      <c r="U985" s="247"/>
      <c r="V985" s="247"/>
      <c r="W985" s="247"/>
      <c r="X985" s="247"/>
      <c r="Y985" s="247"/>
      <c r="Z985" s="247"/>
      <c r="AA985" s="247"/>
    </row>
    <row r="986">
      <c r="A986" s="247"/>
      <c r="C986" s="246"/>
      <c r="D986" s="247"/>
      <c r="E986" s="247"/>
      <c r="F986" s="247"/>
      <c r="G986" s="247"/>
      <c r="H986" s="247"/>
      <c r="I986" s="247"/>
      <c r="J986" s="246"/>
      <c r="K986" s="248"/>
      <c r="L986" s="246"/>
      <c r="M986" s="154"/>
      <c r="N986" s="55"/>
      <c r="O986" s="247"/>
      <c r="P986" s="247"/>
      <c r="Q986" s="247"/>
      <c r="R986" s="247"/>
      <c r="S986" s="247"/>
      <c r="T986" s="247"/>
      <c r="U986" s="247"/>
      <c r="V986" s="247"/>
      <c r="W986" s="247"/>
      <c r="X986" s="247"/>
      <c r="Y986" s="247"/>
      <c r="Z986" s="247"/>
      <c r="AA986" s="247"/>
    </row>
    <row r="987">
      <c r="A987" s="247"/>
      <c r="C987" s="246"/>
      <c r="D987" s="247"/>
      <c r="E987" s="247"/>
      <c r="F987" s="247"/>
      <c r="G987" s="247"/>
      <c r="H987" s="247"/>
      <c r="I987" s="247"/>
      <c r="J987" s="246"/>
      <c r="K987" s="248"/>
      <c r="L987" s="246"/>
      <c r="M987" s="154"/>
      <c r="N987" s="55"/>
      <c r="O987" s="247"/>
      <c r="P987" s="247"/>
      <c r="Q987" s="247"/>
      <c r="R987" s="247"/>
      <c r="S987" s="247"/>
      <c r="T987" s="247"/>
      <c r="U987" s="247"/>
      <c r="V987" s="247"/>
      <c r="W987" s="247"/>
      <c r="X987" s="247"/>
      <c r="Y987" s="247"/>
      <c r="Z987" s="247"/>
      <c r="AA987" s="247"/>
    </row>
    <row r="988">
      <c r="A988" s="247"/>
      <c r="C988" s="246"/>
      <c r="D988" s="247"/>
      <c r="E988" s="247"/>
      <c r="F988" s="247"/>
      <c r="G988" s="247"/>
      <c r="H988" s="247"/>
      <c r="I988" s="247"/>
      <c r="J988" s="246"/>
      <c r="K988" s="248"/>
      <c r="L988" s="246"/>
      <c r="M988" s="154"/>
      <c r="N988" s="55"/>
      <c r="O988" s="247"/>
      <c r="P988" s="247"/>
      <c r="Q988" s="247"/>
      <c r="R988" s="247"/>
      <c r="S988" s="247"/>
      <c r="T988" s="247"/>
      <c r="U988" s="247"/>
      <c r="V988" s="247"/>
      <c r="W988" s="247"/>
      <c r="X988" s="247"/>
      <c r="Y988" s="247"/>
      <c r="Z988" s="247"/>
      <c r="AA988" s="247"/>
    </row>
    <row r="989">
      <c r="A989" s="247"/>
      <c r="C989" s="246"/>
      <c r="D989" s="247"/>
      <c r="E989" s="247"/>
      <c r="F989" s="247"/>
      <c r="G989" s="247"/>
      <c r="H989" s="247"/>
      <c r="I989" s="247"/>
      <c r="J989" s="246"/>
      <c r="K989" s="248"/>
      <c r="L989" s="246"/>
      <c r="M989" s="154"/>
      <c r="N989" s="55"/>
      <c r="O989" s="247"/>
      <c r="P989" s="247"/>
      <c r="Q989" s="247"/>
      <c r="R989" s="247"/>
      <c r="S989" s="247"/>
      <c r="T989" s="247"/>
      <c r="U989" s="247"/>
      <c r="V989" s="247"/>
      <c r="W989" s="247"/>
      <c r="X989" s="247"/>
      <c r="Y989" s="247"/>
      <c r="Z989" s="247"/>
      <c r="AA989" s="247"/>
    </row>
    <row r="990">
      <c r="A990" s="247"/>
      <c r="C990" s="246"/>
      <c r="D990" s="247"/>
      <c r="E990" s="247"/>
      <c r="F990" s="247"/>
      <c r="G990" s="247"/>
      <c r="H990" s="247"/>
      <c r="I990" s="247"/>
      <c r="J990" s="246"/>
      <c r="K990" s="248"/>
      <c r="L990" s="246"/>
      <c r="M990" s="154"/>
      <c r="N990" s="55"/>
      <c r="O990" s="247"/>
      <c r="P990" s="247"/>
      <c r="Q990" s="247"/>
      <c r="R990" s="247"/>
      <c r="S990" s="247"/>
      <c r="T990" s="247"/>
      <c r="U990" s="247"/>
      <c r="V990" s="247"/>
      <c r="W990" s="247"/>
      <c r="X990" s="247"/>
      <c r="Y990" s="247"/>
      <c r="Z990" s="247"/>
      <c r="AA990" s="247"/>
    </row>
    <row r="991">
      <c r="A991" s="247"/>
      <c r="C991" s="246"/>
      <c r="D991" s="247"/>
      <c r="E991" s="247"/>
      <c r="F991" s="247"/>
      <c r="G991" s="247"/>
      <c r="H991" s="247"/>
      <c r="I991" s="247"/>
      <c r="J991" s="246"/>
      <c r="K991" s="248"/>
      <c r="L991" s="246"/>
      <c r="M991" s="154"/>
      <c r="N991" s="55"/>
      <c r="O991" s="247"/>
      <c r="P991" s="247"/>
      <c r="Q991" s="247"/>
      <c r="R991" s="247"/>
      <c r="S991" s="247"/>
      <c r="T991" s="247"/>
      <c r="U991" s="247"/>
      <c r="V991" s="247"/>
      <c r="W991" s="247"/>
      <c r="X991" s="247"/>
      <c r="Y991" s="247"/>
      <c r="Z991" s="247"/>
      <c r="AA991" s="247"/>
    </row>
    <row r="992">
      <c r="A992" s="247"/>
      <c r="C992" s="246"/>
      <c r="D992" s="247"/>
      <c r="E992" s="247"/>
      <c r="F992" s="247"/>
      <c r="G992" s="247"/>
      <c r="H992" s="247"/>
      <c r="I992" s="247"/>
      <c r="J992" s="246"/>
      <c r="K992" s="248"/>
      <c r="L992" s="246"/>
      <c r="M992" s="154"/>
      <c r="N992" s="55"/>
      <c r="O992" s="247"/>
      <c r="P992" s="247"/>
      <c r="Q992" s="247"/>
      <c r="R992" s="247"/>
      <c r="S992" s="247"/>
      <c r="T992" s="247"/>
      <c r="U992" s="247"/>
      <c r="V992" s="247"/>
      <c r="W992" s="247"/>
      <c r="X992" s="247"/>
      <c r="Y992" s="247"/>
      <c r="Z992" s="247"/>
      <c r="AA992" s="247"/>
    </row>
    <row r="993">
      <c r="A993" s="247"/>
      <c r="C993" s="246"/>
      <c r="D993" s="247"/>
      <c r="E993" s="247"/>
      <c r="F993" s="247"/>
      <c r="G993" s="247"/>
      <c r="H993" s="247"/>
      <c r="I993" s="247"/>
      <c r="J993" s="246"/>
      <c r="K993" s="248"/>
      <c r="L993" s="246"/>
      <c r="M993" s="154"/>
      <c r="N993" s="55"/>
      <c r="O993" s="247"/>
      <c r="P993" s="247"/>
      <c r="Q993" s="247"/>
      <c r="R993" s="247"/>
      <c r="S993" s="247"/>
      <c r="T993" s="247"/>
      <c r="U993" s="247"/>
      <c r="V993" s="247"/>
      <c r="W993" s="247"/>
      <c r="X993" s="247"/>
      <c r="Y993" s="247"/>
      <c r="Z993" s="247"/>
      <c r="AA993" s="247"/>
    </row>
    <row r="994">
      <c r="A994" s="247"/>
      <c r="C994" s="246"/>
      <c r="D994" s="247"/>
      <c r="E994" s="247"/>
      <c r="F994" s="247"/>
      <c r="G994" s="247"/>
      <c r="H994" s="247"/>
      <c r="I994" s="247"/>
      <c r="J994" s="246"/>
      <c r="K994" s="248"/>
      <c r="L994" s="246"/>
      <c r="M994" s="154"/>
      <c r="N994" s="55"/>
      <c r="O994" s="247"/>
      <c r="P994" s="247"/>
      <c r="Q994" s="247"/>
      <c r="R994" s="247"/>
      <c r="S994" s="247"/>
      <c r="T994" s="247"/>
      <c r="U994" s="247"/>
      <c r="V994" s="247"/>
      <c r="W994" s="247"/>
      <c r="X994" s="247"/>
      <c r="Y994" s="247"/>
      <c r="Z994" s="247"/>
      <c r="AA994" s="247"/>
    </row>
    <row r="995">
      <c r="A995" s="247"/>
      <c r="C995" s="246"/>
      <c r="D995" s="247"/>
      <c r="E995" s="247"/>
      <c r="F995" s="247"/>
      <c r="G995" s="247"/>
      <c r="H995" s="247"/>
      <c r="I995" s="247"/>
      <c r="J995" s="246"/>
      <c r="K995" s="248"/>
      <c r="L995" s="246"/>
      <c r="M995" s="154"/>
      <c r="N995" s="55"/>
      <c r="O995" s="247"/>
      <c r="P995" s="247"/>
      <c r="Q995" s="247"/>
      <c r="R995" s="247"/>
      <c r="S995" s="247"/>
      <c r="T995" s="247"/>
      <c r="U995" s="247"/>
      <c r="V995" s="247"/>
      <c r="W995" s="247"/>
      <c r="X995" s="247"/>
      <c r="Y995" s="247"/>
      <c r="Z995" s="247"/>
      <c r="AA995" s="247"/>
    </row>
    <row r="996">
      <c r="A996" s="247"/>
      <c r="C996" s="246"/>
      <c r="D996" s="247"/>
      <c r="E996" s="247"/>
      <c r="F996" s="247"/>
      <c r="G996" s="247"/>
      <c r="H996" s="247"/>
      <c r="I996" s="247"/>
      <c r="J996" s="246"/>
      <c r="K996" s="248"/>
      <c r="L996" s="246"/>
      <c r="M996" s="154"/>
      <c r="N996" s="55"/>
      <c r="O996" s="247"/>
      <c r="P996" s="247"/>
      <c r="Q996" s="247"/>
      <c r="R996" s="247"/>
      <c r="S996" s="247"/>
      <c r="T996" s="247"/>
      <c r="U996" s="247"/>
      <c r="V996" s="247"/>
      <c r="W996" s="247"/>
      <c r="X996" s="247"/>
      <c r="Y996" s="247"/>
      <c r="Z996" s="247"/>
      <c r="AA996" s="247"/>
    </row>
    <row r="997">
      <c r="A997" s="247"/>
      <c r="D997" s="247"/>
      <c r="E997" s="247"/>
      <c r="F997" s="247"/>
      <c r="G997" s="247"/>
      <c r="H997" s="247"/>
      <c r="I997" s="247"/>
      <c r="J997" s="246"/>
      <c r="K997" s="248"/>
      <c r="L997" s="246"/>
      <c r="M997" s="154"/>
      <c r="N997" s="55"/>
      <c r="O997" s="247"/>
      <c r="P997" s="247"/>
      <c r="Q997" s="247"/>
      <c r="R997" s="247"/>
      <c r="S997" s="247"/>
      <c r="T997" s="247"/>
      <c r="U997" s="247"/>
      <c r="V997" s="247"/>
      <c r="W997" s="247"/>
      <c r="X997" s="247"/>
      <c r="Y997" s="247"/>
      <c r="Z997" s="247"/>
      <c r="AA997" s="247"/>
    </row>
    <row r="998">
      <c r="A998" s="247"/>
      <c r="D998" s="247"/>
      <c r="E998" s="247"/>
      <c r="F998" s="247"/>
      <c r="G998" s="247"/>
      <c r="H998" s="247"/>
      <c r="I998" s="247"/>
      <c r="J998" s="246"/>
      <c r="K998" s="248"/>
      <c r="L998" s="246"/>
      <c r="M998" s="154"/>
      <c r="N998" s="55"/>
      <c r="O998" s="247"/>
      <c r="P998" s="247"/>
      <c r="Q998" s="247"/>
      <c r="R998" s="247"/>
      <c r="S998" s="247"/>
      <c r="T998" s="247"/>
      <c r="U998" s="247"/>
      <c r="V998" s="247"/>
      <c r="W998" s="247"/>
      <c r="X998" s="247"/>
      <c r="Y998" s="247"/>
      <c r="Z998" s="247"/>
      <c r="AA998" s="247"/>
    </row>
    <row r="999">
      <c r="A999" s="247"/>
      <c r="D999" s="247"/>
      <c r="E999" s="247"/>
      <c r="F999" s="247"/>
      <c r="G999" s="247"/>
      <c r="H999" s="247"/>
      <c r="I999" s="247"/>
      <c r="J999" s="246"/>
      <c r="K999" s="248"/>
      <c r="L999" s="246"/>
      <c r="M999" s="154"/>
      <c r="N999" s="55"/>
      <c r="O999" s="247"/>
      <c r="P999" s="247"/>
      <c r="Q999" s="247"/>
      <c r="R999" s="247"/>
      <c r="S999" s="247"/>
      <c r="T999" s="247"/>
      <c r="U999" s="247"/>
      <c r="V999" s="247"/>
      <c r="W999" s="247"/>
      <c r="X999" s="247"/>
      <c r="Y999" s="247"/>
      <c r="Z999" s="247"/>
      <c r="AA999" s="247"/>
    </row>
    <row r="1000">
      <c r="A1000" s="247"/>
      <c r="D1000" s="247"/>
      <c r="E1000" s="247"/>
      <c r="F1000" s="247"/>
      <c r="G1000" s="247"/>
      <c r="H1000" s="247"/>
      <c r="I1000" s="247"/>
      <c r="J1000" s="246"/>
      <c r="K1000" s="248"/>
      <c r="L1000" s="246"/>
      <c r="M1000" s="154"/>
      <c r="N1000" s="55"/>
      <c r="O1000" s="247"/>
      <c r="P1000" s="247"/>
      <c r="Q1000" s="247"/>
      <c r="R1000" s="247"/>
      <c r="S1000" s="247"/>
      <c r="T1000" s="247"/>
      <c r="U1000" s="247"/>
      <c r="V1000" s="247"/>
      <c r="W1000" s="247"/>
      <c r="X1000" s="247"/>
      <c r="Y1000" s="247"/>
      <c r="Z1000" s="247"/>
      <c r="AA1000" s="247"/>
    </row>
    <row r="1001">
      <c r="A1001" s="247"/>
      <c r="D1001" s="247"/>
      <c r="E1001" s="247"/>
      <c r="F1001" s="247"/>
      <c r="G1001" s="247"/>
      <c r="H1001" s="247"/>
      <c r="I1001" s="247"/>
      <c r="J1001" s="246"/>
      <c r="K1001" s="248"/>
      <c r="L1001" s="246"/>
      <c r="M1001" s="154"/>
      <c r="N1001" s="55"/>
      <c r="O1001" s="247"/>
      <c r="P1001" s="247"/>
      <c r="Q1001" s="247"/>
      <c r="R1001" s="247"/>
      <c r="S1001" s="247"/>
      <c r="T1001" s="247"/>
      <c r="U1001" s="247"/>
      <c r="V1001" s="247"/>
      <c r="W1001" s="247"/>
      <c r="X1001" s="247"/>
      <c r="Y1001" s="247"/>
      <c r="Z1001" s="247"/>
      <c r="AA1001" s="247"/>
    </row>
    <row r="1002">
      <c r="A1002" s="247"/>
      <c r="D1002" s="247"/>
      <c r="E1002" s="247"/>
      <c r="F1002" s="247"/>
      <c r="G1002" s="247"/>
      <c r="H1002" s="247"/>
      <c r="I1002" s="247"/>
      <c r="J1002" s="246"/>
      <c r="K1002" s="248"/>
      <c r="L1002" s="246"/>
      <c r="N1002" s="55"/>
      <c r="O1002" s="247"/>
      <c r="P1002" s="247"/>
      <c r="Q1002" s="247"/>
      <c r="R1002" s="247"/>
      <c r="S1002" s="247"/>
      <c r="T1002" s="247"/>
      <c r="U1002" s="247"/>
      <c r="V1002" s="247"/>
      <c r="W1002" s="247"/>
      <c r="X1002" s="247"/>
      <c r="Y1002" s="247"/>
      <c r="Z1002" s="247"/>
      <c r="AA1002" s="247"/>
    </row>
  </sheetData>
  <autoFilter ref="$A$1:$AA$97"/>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38"/>
    <col customWidth="1" min="3" max="3" width="17.0"/>
    <col customWidth="1" min="5" max="5" width="10.63"/>
    <col customWidth="1" min="6" max="6" width="11.38"/>
    <col customWidth="1" min="7" max="7" width="11.25"/>
    <col customWidth="1" min="8" max="8" width="10.25"/>
    <col customWidth="1" min="9" max="9" width="9.0"/>
    <col customWidth="1" min="10" max="10" width="11.38"/>
    <col customWidth="1" min="14" max="14" width="19.5"/>
  </cols>
  <sheetData>
    <row r="1">
      <c r="A1" s="250"/>
      <c r="B1" s="251"/>
      <c r="C1" s="251"/>
      <c r="D1" s="252"/>
      <c r="E1" s="252"/>
      <c r="F1" s="252"/>
      <c r="G1" s="251"/>
      <c r="H1" s="251"/>
      <c r="I1" s="251"/>
      <c r="J1" s="251"/>
      <c r="K1" s="251"/>
      <c r="L1" s="251"/>
      <c r="M1" s="251"/>
      <c r="N1" s="251"/>
      <c r="O1" s="251"/>
      <c r="P1" s="252"/>
      <c r="Q1" s="253"/>
      <c r="R1" s="252"/>
      <c r="S1" s="251"/>
      <c r="T1" s="251"/>
      <c r="U1" s="251"/>
      <c r="V1" s="251"/>
      <c r="W1" s="251"/>
      <c r="X1" s="251"/>
      <c r="Y1" s="251"/>
      <c r="Z1" s="251"/>
    </row>
    <row r="2">
      <c r="A2" s="254" t="s">
        <v>0</v>
      </c>
      <c r="B2" s="255" t="s">
        <v>5</v>
      </c>
      <c r="C2" s="255" t="s">
        <v>1436</v>
      </c>
      <c r="D2" s="256" t="s">
        <v>13</v>
      </c>
      <c r="E2" s="256" t="s">
        <v>10</v>
      </c>
      <c r="F2" s="256" t="s">
        <v>1439</v>
      </c>
      <c r="G2" s="255" t="s">
        <v>1441</v>
      </c>
      <c r="H2" s="255" t="s">
        <v>1442</v>
      </c>
      <c r="I2" s="255" t="s">
        <v>1443</v>
      </c>
      <c r="J2" s="255" t="s">
        <v>1444</v>
      </c>
      <c r="K2" s="255" t="s">
        <v>8</v>
      </c>
      <c r="L2" s="255" t="s">
        <v>1035</v>
      </c>
      <c r="M2" s="255" t="s">
        <v>1036</v>
      </c>
      <c r="N2" s="255" t="s">
        <v>14</v>
      </c>
      <c r="O2" s="255" t="s">
        <v>15</v>
      </c>
      <c r="P2" s="256" t="s">
        <v>1071</v>
      </c>
      <c r="Q2" s="257" t="s">
        <v>1072</v>
      </c>
      <c r="R2" s="256" t="s">
        <v>8947</v>
      </c>
      <c r="S2" s="255" t="s">
        <v>1445</v>
      </c>
      <c r="T2" s="255" t="s">
        <v>6</v>
      </c>
      <c r="U2" s="251"/>
      <c r="V2" s="251"/>
      <c r="W2" s="251"/>
      <c r="X2" s="251"/>
      <c r="Y2" s="251"/>
      <c r="Z2" s="251"/>
    </row>
    <row r="3">
      <c r="A3" s="254">
        <v>45881.0</v>
      </c>
      <c r="B3" s="251" t="str">
        <f>IFERROR(__xludf.DUMMYFUNCTION("ARRAYFORMULA(IFERROR(FILTER('PRODUCT Intake Coding'!I3:I1000,LEN(TRIM('PRODUCT Intake Coding'!I3:I1000))&gt;0),""""))"),"EB-PO-4-DO-1")</f>
        <v>EB-PO-4-DO-1</v>
      </c>
      <c r="C3" s="251" t="str">
        <f t="array" ref="C3:C996">IF(LEN(B3:B996)=0,"",IFERROR(VLOOKUP(B3:B996,{'PRODUCT Intake Coding'!I3:I1000,'PRODUCT Intake Coding'!D3:D1000},2,FALSE)&amp;" "&amp;VLOOKUP(B3:B996,{'PRODUCT Intake Coding'!I3:I1000,'PRODUCT Intake Coding'!F3:F1000},2,FALSE),""))</f>
        <v>Pot Domes</v>
      </c>
      <c r="D3" s="252">
        <f t="array" ref="D3:D996">IF(LEN(B3:B996)=0,"",IFERROR(VLOOKUP(B3:B996,{'PRODUCT Intake Coding'!I3:I1000,'PRODUCT Intake Coding'!K3:K1000},2,FALSE),""))</f>
        <v>1.75</v>
      </c>
      <c r="E3" s="252">
        <f t="array" ref="E3:E996">IF(LEN(B3:B996)=0,"",IFERROR(VLOOKUP(B3:B996,{'PRODUCT Intake Coding'!I3:I1000,'PRODUCT Intake Coding'!Q3:Q1000},2,FALSE),""))</f>
        <v>3</v>
      </c>
      <c r="F3" s="252"/>
      <c r="G3" s="258">
        <v>10.0</v>
      </c>
      <c r="H3" s="258">
        <v>0.0</v>
      </c>
      <c r="I3" s="258">
        <v>2.0</v>
      </c>
      <c r="J3" s="258">
        <v>8.0</v>
      </c>
      <c r="K3" s="255" t="s">
        <v>1692</v>
      </c>
      <c r="L3" s="251"/>
      <c r="M3" s="251" t="s">
        <v>8948</v>
      </c>
      <c r="N3" s="21" t="s">
        <v>22</v>
      </c>
      <c r="O3" s="251"/>
      <c r="P3" s="256"/>
      <c r="Q3" s="257"/>
      <c r="R3" s="252"/>
      <c r="S3" s="251"/>
      <c r="T3" s="251"/>
      <c r="U3" s="251"/>
      <c r="V3" s="251"/>
      <c r="W3" s="251"/>
      <c r="X3" s="251"/>
      <c r="Y3" s="251"/>
      <c r="Z3" s="251"/>
    </row>
    <row r="4">
      <c r="A4" s="254">
        <v>45881.0</v>
      </c>
      <c r="B4" s="251" t="str">
        <f>IFERROR(__xludf.DUMMYFUNCTION("""COMPUTED_VALUE"""),"DV-PO-2-WH-1")</f>
        <v>DV-PO-2-WH-1</v>
      </c>
      <c r="C4" s="251" t="s">
        <v>8949</v>
      </c>
      <c r="D4" s="252">
        <v>0.92</v>
      </c>
      <c r="E4" s="252"/>
      <c r="F4" s="252"/>
      <c r="G4" s="258">
        <v>24.0</v>
      </c>
      <c r="H4" s="258">
        <v>0.0</v>
      </c>
      <c r="I4" s="258">
        <v>12.0</v>
      </c>
      <c r="J4" s="258">
        <v>12.0</v>
      </c>
      <c r="K4" s="255" t="s">
        <v>1692</v>
      </c>
      <c r="L4" s="251"/>
      <c r="M4" s="251" t="s">
        <v>8950</v>
      </c>
      <c r="N4" s="21" t="s">
        <v>22</v>
      </c>
      <c r="O4" s="251"/>
      <c r="P4" s="256"/>
      <c r="Q4" s="257"/>
      <c r="R4" s="252"/>
      <c r="S4" s="251"/>
      <c r="T4" s="251"/>
      <c r="U4" s="251"/>
      <c r="V4" s="251"/>
      <c r="W4" s="251"/>
      <c r="X4" s="251"/>
      <c r="Y4" s="251"/>
      <c r="Z4" s="251"/>
    </row>
    <row r="5">
      <c r="A5" s="254">
        <v>45880.0</v>
      </c>
      <c r="B5" s="251" t="str">
        <f>IFERROR(__xludf.DUMMYFUNCTION("""COMPUTED_VALUE"""),"AN-PO-3-MU-1")</f>
        <v>AN-PO-3-MU-1</v>
      </c>
      <c r="C5" s="251" t="s">
        <v>8951</v>
      </c>
      <c r="D5" s="252">
        <v>0.29</v>
      </c>
      <c r="E5" s="252"/>
      <c r="F5" s="252"/>
      <c r="G5" s="258">
        <v>48.0</v>
      </c>
      <c r="H5" s="258">
        <v>0.0</v>
      </c>
      <c r="I5" s="258">
        <v>28.0</v>
      </c>
      <c r="J5" s="258">
        <v>20.0</v>
      </c>
      <c r="K5" s="255" t="s">
        <v>1692</v>
      </c>
      <c r="L5" s="251"/>
      <c r="M5" s="251" t="s">
        <v>8952</v>
      </c>
      <c r="N5" s="21" t="s">
        <v>22</v>
      </c>
      <c r="O5" s="251"/>
      <c r="P5" s="256"/>
      <c r="Q5" s="257"/>
      <c r="R5" s="252"/>
      <c r="S5" s="251"/>
      <c r="T5" s="251"/>
      <c r="U5" s="251"/>
      <c r="V5" s="251"/>
      <c r="W5" s="251"/>
      <c r="X5" s="251"/>
      <c r="Y5" s="251"/>
      <c r="Z5" s="251"/>
    </row>
    <row r="6">
      <c r="A6" s="254">
        <v>45880.0</v>
      </c>
      <c r="B6" s="251" t="str">
        <f>IFERROR(__xludf.DUMMYFUNCTION("""COMPUTED_VALUE"""),"YA-PO-2-CL-1")</f>
        <v>YA-PO-2-CL-1</v>
      </c>
      <c r="C6" s="251" t="s">
        <v>8953</v>
      </c>
      <c r="D6" s="252">
        <v>0.13</v>
      </c>
      <c r="E6" s="252"/>
      <c r="F6" s="252"/>
      <c r="G6" s="258">
        <v>200.0</v>
      </c>
      <c r="H6" s="258">
        <v>0.0</v>
      </c>
      <c r="I6" s="258">
        <v>18.0</v>
      </c>
      <c r="J6" s="258">
        <v>182.0</v>
      </c>
      <c r="K6" s="255" t="s">
        <v>1692</v>
      </c>
      <c r="L6" s="251"/>
      <c r="M6" s="251" t="s">
        <v>8954</v>
      </c>
      <c r="N6" s="21" t="s">
        <v>22</v>
      </c>
      <c r="O6" s="251"/>
      <c r="P6" s="256"/>
      <c r="Q6" s="257"/>
      <c r="R6" s="252"/>
      <c r="S6" s="251"/>
      <c r="T6" s="251"/>
      <c r="U6" s="251"/>
      <c r="V6" s="251"/>
      <c r="W6" s="251"/>
      <c r="X6" s="251"/>
      <c r="Y6" s="251"/>
      <c r="Z6" s="251"/>
    </row>
    <row r="7">
      <c r="A7" s="254">
        <v>45880.0</v>
      </c>
      <c r="B7" s="251" t="str">
        <f>IFERROR(__xludf.DUMMYFUNCTION("""COMPUTED_VALUE"""),"HY-PO-3-DO-1")</f>
        <v>HY-PO-3-DO-1</v>
      </c>
      <c r="C7" s="251" t="s">
        <v>8955</v>
      </c>
      <c r="D7" s="252">
        <v>0.67</v>
      </c>
      <c r="E7" s="252"/>
      <c r="F7" s="252"/>
      <c r="G7" s="258">
        <v>30.0</v>
      </c>
      <c r="H7" s="258">
        <v>0.0</v>
      </c>
      <c r="I7" s="258">
        <v>8.0</v>
      </c>
      <c r="J7" s="258">
        <v>22.0</v>
      </c>
      <c r="K7" s="255" t="s">
        <v>1692</v>
      </c>
      <c r="L7" s="251"/>
      <c r="M7" s="251" t="s">
        <v>8956</v>
      </c>
      <c r="N7" s="21" t="s">
        <v>22</v>
      </c>
      <c r="O7" s="251"/>
      <c r="P7" s="256"/>
      <c r="Q7" s="257"/>
      <c r="R7" s="252"/>
      <c r="S7" s="251"/>
      <c r="T7" s="251"/>
      <c r="U7" s="251"/>
      <c r="V7" s="251"/>
      <c r="W7" s="251"/>
      <c r="X7" s="251"/>
      <c r="Y7" s="251"/>
      <c r="Z7" s="251"/>
    </row>
    <row r="8">
      <c r="A8" s="254">
        <v>45880.0</v>
      </c>
      <c r="B8" s="251" t="str">
        <f>IFERROR(__xludf.DUMMYFUNCTION("""COMPUTED_VALUE"""),"ZO-PO-4-WL-1")</f>
        <v>ZO-PO-4-WL-1</v>
      </c>
      <c r="C8" s="251" t="s">
        <v>8957</v>
      </c>
      <c r="D8" s="252">
        <v>1.06</v>
      </c>
      <c r="E8" s="252">
        <v>5.0</v>
      </c>
      <c r="F8" s="252"/>
      <c r="G8" s="258">
        <v>16.0</v>
      </c>
      <c r="H8" s="258">
        <v>0.0</v>
      </c>
      <c r="I8" s="258">
        <v>9.0</v>
      </c>
      <c r="J8" s="258">
        <v>7.0</v>
      </c>
      <c r="K8" s="255" t="s">
        <v>1692</v>
      </c>
      <c r="L8" s="251"/>
      <c r="M8" s="251" t="s">
        <v>8958</v>
      </c>
      <c r="N8" s="21" t="s">
        <v>22</v>
      </c>
      <c r="O8" s="251"/>
      <c r="P8" s="256"/>
      <c r="Q8" s="257"/>
      <c r="R8" s="252"/>
      <c r="S8" s="251"/>
      <c r="T8" s="251"/>
      <c r="U8" s="251"/>
      <c r="V8" s="251"/>
      <c r="W8" s="251"/>
      <c r="X8" s="251"/>
      <c r="Y8" s="251"/>
      <c r="Z8" s="251"/>
    </row>
    <row r="9">
      <c r="A9" s="254">
        <v>45880.0</v>
      </c>
      <c r="B9" s="251" t="str">
        <f>IFERROR(__xludf.DUMMYFUNCTION("""COMPUTED_VALUE"""),"EL-PO-4.3-CM-1")</f>
        <v>EL-PO-4.3-CM-1</v>
      </c>
      <c r="C9" s="251" t="s">
        <v>8959</v>
      </c>
      <c r="D9" s="252">
        <v>4.0</v>
      </c>
      <c r="E9" s="252">
        <v>8.0</v>
      </c>
      <c r="F9" s="252"/>
      <c r="G9" s="258">
        <v>6.0</v>
      </c>
      <c r="H9" s="258">
        <v>0.0</v>
      </c>
      <c r="I9" s="258">
        <v>2.0</v>
      </c>
      <c r="J9" s="258">
        <v>4.0</v>
      </c>
      <c r="K9" s="255" t="s">
        <v>1692</v>
      </c>
      <c r="L9" s="251"/>
      <c r="M9" s="251" t="s">
        <v>8960</v>
      </c>
      <c r="N9" s="21" t="s">
        <v>22</v>
      </c>
      <c r="O9" s="251"/>
      <c r="P9" s="256"/>
      <c r="Q9" s="257"/>
      <c r="R9" s="252"/>
      <c r="S9" s="251"/>
      <c r="T9" s="251"/>
      <c r="U9" s="251"/>
      <c r="V9" s="251"/>
      <c r="W9" s="251"/>
      <c r="X9" s="251"/>
      <c r="Y9" s="251"/>
      <c r="Z9" s="251"/>
    </row>
    <row r="10">
      <c r="A10" s="254">
        <v>45880.0</v>
      </c>
      <c r="B10" s="251" t="str">
        <f>IFERROR(__xludf.DUMMYFUNCTION("""COMPUTED_VALUE"""),"GA-PO-6-MU-1")</f>
        <v>GA-PO-6-MU-1</v>
      </c>
      <c r="C10" s="251" t="s">
        <v>8951</v>
      </c>
      <c r="D10" s="252">
        <v>1.35</v>
      </c>
      <c r="E10" s="252"/>
      <c r="F10" s="252"/>
      <c r="G10" s="258">
        <v>20.0</v>
      </c>
      <c r="H10" s="258">
        <v>0.0</v>
      </c>
      <c r="I10" s="258">
        <v>24.0</v>
      </c>
      <c r="J10" s="258">
        <v>0.0</v>
      </c>
      <c r="K10" s="255" t="s">
        <v>1602</v>
      </c>
      <c r="L10" s="251"/>
      <c r="M10" s="251" t="s">
        <v>8961</v>
      </c>
      <c r="N10" s="21" t="s">
        <v>22</v>
      </c>
      <c r="O10" s="251"/>
      <c r="P10" s="256"/>
      <c r="Q10" s="257"/>
      <c r="R10" s="252"/>
      <c r="S10" s="251"/>
      <c r="T10" s="251"/>
      <c r="U10" s="251"/>
      <c r="V10" s="251"/>
      <c r="W10" s="251"/>
      <c r="X10" s="251"/>
      <c r="Y10" s="251"/>
      <c r="Z10" s="251"/>
    </row>
    <row r="11">
      <c r="A11" s="254">
        <v>45880.0</v>
      </c>
      <c r="B11" s="251" t="str">
        <f>IFERROR(__xludf.DUMMYFUNCTION("""COMPUTED_VALUE"""),"WO-PO-6-WH-1")</f>
        <v>WO-PO-6-WH-1</v>
      </c>
      <c r="C11" s="251" t="s">
        <v>8949</v>
      </c>
      <c r="D11" s="252">
        <v>1.35</v>
      </c>
      <c r="E11" s="252"/>
      <c r="F11" s="252"/>
      <c r="G11" s="258">
        <v>16.0</v>
      </c>
      <c r="H11" s="258">
        <v>0.0</v>
      </c>
      <c r="I11" s="258">
        <v>6.0</v>
      </c>
      <c r="J11" s="258">
        <v>10.0</v>
      </c>
      <c r="K11" s="255" t="s">
        <v>1692</v>
      </c>
      <c r="L11" s="251"/>
      <c r="M11" s="251" t="s">
        <v>8962</v>
      </c>
      <c r="N11" s="21" t="s">
        <v>22</v>
      </c>
      <c r="O11" s="251"/>
      <c r="P11" s="256"/>
      <c r="Q11" s="257"/>
      <c r="R11" s="252"/>
      <c r="S11" s="251"/>
      <c r="T11" s="251"/>
      <c r="U11" s="251"/>
      <c r="V11" s="251"/>
      <c r="W11" s="251"/>
      <c r="X11" s="251"/>
      <c r="Y11" s="251"/>
      <c r="Z11" s="251"/>
    </row>
    <row r="12">
      <c r="A12" s="254">
        <v>45880.0</v>
      </c>
      <c r="B12" s="251" t="str">
        <f>IFERROR(__xludf.DUMMYFUNCTION("""COMPUTED_VALUE"""),"TE-PO-4-MU-1")</f>
        <v>TE-PO-4-MU-1</v>
      </c>
      <c r="C12" s="251" t="s">
        <v>8951</v>
      </c>
      <c r="D12" s="252">
        <v>0.5</v>
      </c>
      <c r="E12" s="252">
        <v>5.0</v>
      </c>
      <c r="F12" s="252"/>
      <c r="G12" s="258">
        <v>50.0</v>
      </c>
      <c r="H12" s="258">
        <v>0.0</v>
      </c>
      <c r="I12" s="258">
        <v>44.0</v>
      </c>
      <c r="J12" s="258">
        <v>6.0</v>
      </c>
      <c r="K12" s="255" t="s">
        <v>1692</v>
      </c>
      <c r="L12" s="251"/>
      <c r="M12" s="251" t="s">
        <v>8963</v>
      </c>
      <c r="N12" s="21" t="s">
        <v>22</v>
      </c>
      <c r="O12" s="251"/>
      <c r="P12" s="256"/>
      <c r="Q12" s="257"/>
      <c r="R12" s="252"/>
      <c r="S12" s="251"/>
      <c r="T12" s="251"/>
      <c r="U12" s="251"/>
      <c r="V12" s="251"/>
      <c r="W12" s="251"/>
      <c r="X12" s="251"/>
      <c r="Y12" s="251"/>
      <c r="Z12" s="251"/>
    </row>
    <row r="13">
      <c r="A13" s="254">
        <v>45893.0</v>
      </c>
      <c r="B13" s="251" t="str">
        <f>IFERROR(__xludf.DUMMYFUNCTION("""COMPUTED_VALUE"""),"LO-PO-3.7-CD-1")</f>
        <v>LO-PO-3.7-CD-1</v>
      </c>
      <c r="C13" s="251" t="s">
        <v>8964</v>
      </c>
      <c r="D13" s="252">
        <v>4.5</v>
      </c>
      <c r="E13" s="252"/>
      <c r="F13" s="256">
        <v>10.0</v>
      </c>
      <c r="G13" s="258">
        <v>6.0</v>
      </c>
      <c r="H13" s="258">
        <v>0.0</v>
      </c>
      <c r="I13" s="258">
        <v>4.0</v>
      </c>
      <c r="J13" s="258">
        <v>2.0</v>
      </c>
      <c r="K13" s="255" t="s">
        <v>1692</v>
      </c>
      <c r="L13" s="251"/>
      <c r="M13" s="251" t="s">
        <v>8965</v>
      </c>
      <c r="N13" s="21" t="s">
        <v>22</v>
      </c>
      <c r="O13" s="251"/>
      <c r="P13" s="256">
        <v>5.5</v>
      </c>
      <c r="Q13" s="257">
        <v>0.55</v>
      </c>
      <c r="R13" s="252"/>
      <c r="S13" s="251"/>
      <c r="T13" s="251"/>
      <c r="U13" s="251"/>
      <c r="V13" s="251"/>
      <c r="W13" s="251"/>
      <c r="X13" s="251"/>
      <c r="Y13" s="251"/>
      <c r="Z13" s="251"/>
    </row>
    <row r="14">
      <c r="A14" s="254">
        <v>45893.0</v>
      </c>
      <c r="B14" s="251" t="str">
        <f>IFERROR(__xludf.DUMMYFUNCTION("""COMPUTED_VALUE"""),"PS-PO-5.5-MU-1")</f>
        <v>PS-PO-5.5-MU-1</v>
      </c>
      <c r="C14" s="251" t="s">
        <v>8951</v>
      </c>
      <c r="D14" s="252">
        <v>0.94</v>
      </c>
      <c r="E14" s="252"/>
      <c r="F14" s="252"/>
      <c r="G14" s="258">
        <v>33.0</v>
      </c>
      <c r="H14" s="258">
        <v>0.0</v>
      </c>
      <c r="I14" s="258">
        <v>14.0</v>
      </c>
      <c r="J14" s="258">
        <v>19.0</v>
      </c>
      <c r="K14" s="255" t="s">
        <v>1692</v>
      </c>
      <c r="L14" s="251"/>
      <c r="M14" s="251" t="s">
        <v>8966</v>
      </c>
      <c r="N14" s="21" t="s">
        <v>22</v>
      </c>
      <c r="O14" s="251"/>
      <c r="P14" s="256"/>
      <c r="Q14" s="257"/>
      <c r="R14" s="252"/>
      <c r="S14" s="251"/>
      <c r="T14" s="251"/>
      <c r="U14" s="251"/>
      <c r="V14" s="251"/>
      <c r="W14" s="251"/>
      <c r="X14" s="251"/>
      <c r="Y14" s="251"/>
      <c r="Z14" s="251"/>
    </row>
    <row r="15">
      <c r="A15" s="254">
        <v>45892.0</v>
      </c>
      <c r="B15" s="251" t="str">
        <f>IFERROR(__xludf.DUMMYFUNCTION("""COMPUTED_VALUE"""),"WO-PO-6-MU-1")</f>
        <v>WO-PO-6-MU-1</v>
      </c>
      <c r="C15" s="251" t="s">
        <v>8951</v>
      </c>
      <c r="D15" s="252">
        <v>1.42</v>
      </c>
      <c r="E15" s="252"/>
      <c r="F15" s="252"/>
      <c r="G15" s="258">
        <v>16.0</v>
      </c>
      <c r="H15" s="258">
        <v>0.0</v>
      </c>
      <c r="I15" s="258">
        <v>7.0</v>
      </c>
      <c r="J15" s="258">
        <v>9.0</v>
      </c>
      <c r="K15" s="255" t="s">
        <v>1692</v>
      </c>
      <c r="L15" s="251"/>
      <c r="M15" s="251" t="s">
        <v>8967</v>
      </c>
      <c r="N15" s="21" t="s">
        <v>22</v>
      </c>
      <c r="O15" s="251"/>
      <c r="P15" s="256"/>
      <c r="Q15" s="257"/>
      <c r="R15" s="252"/>
      <c r="S15" s="251"/>
      <c r="T15" s="251"/>
      <c r="U15" s="251"/>
      <c r="V15" s="251"/>
      <c r="W15" s="251"/>
      <c r="X15" s="251"/>
      <c r="Y15" s="251"/>
      <c r="Z15" s="251"/>
    </row>
    <row r="16">
      <c r="A16" s="254">
        <v>45892.0</v>
      </c>
      <c r="B16" s="251" t="str">
        <f>IFERROR(__xludf.DUMMYFUNCTION("""COMPUTED_VALUE"""),"TE-PO-4-MU-2")</f>
        <v>TE-PO-4-MU-2</v>
      </c>
      <c r="C16" s="251" t="s">
        <v>8951</v>
      </c>
      <c r="D16" s="252">
        <v>0.46</v>
      </c>
      <c r="E16" s="252">
        <v>5.0</v>
      </c>
      <c r="F16" s="252"/>
      <c r="G16" s="258">
        <v>50.0</v>
      </c>
      <c r="H16" s="258">
        <v>0.0</v>
      </c>
      <c r="I16" s="258">
        <v>9.0</v>
      </c>
      <c r="J16" s="258">
        <v>41.0</v>
      </c>
      <c r="K16" s="255" t="s">
        <v>1692</v>
      </c>
      <c r="L16" s="251"/>
      <c r="M16" s="251" t="s">
        <v>8968</v>
      </c>
      <c r="N16" s="21" t="s">
        <v>22</v>
      </c>
      <c r="O16" s="251"/>
      <c r="P16" s="256"/>
      <c r="Q16" s="257"/>
      <c r="R16" s="252"/>
      <c r="S16" s="251"/>
      <c r="T16" s="251"/>
      <c r="U16" s="251"/>
      <c r="V16" s="251"/>
      <c r="W16" s="251"/>
      <c r="X16" s="251"/>
      <c r="Y16" s="251"/>
      <c r="Z16" s="251"/>
    </row>
    <row r="17">
      <c r="A17" s="254">
        <v>45892.0</v>
      </c>
      <c r="B17" s="251" t="str">
        <f>IFERROR(__xludf.DUMMYFUNCTION("""COMPUTED_VALUE"""),"GA-PO-6-WH-2")</f>
        <v>GA-PO-6-WH-2</v>
      </c>
      <c r="C17" s="251" t="s">
        <v>8949</v>
      </c>
      <c r="D17" s="252">
        <v>1.56</v>
      </c>
      <c r="E17" s="252"/>
      <c r="F17" s="252"/>
      <c r="G17" s="258">
        <v>16.0</v>
      </c>
      <c r="H17" s="258">
        <v>0.0</v>
      </c>
      <c r="I17" s="258">
        <v>2.0</v>
      </c>
      <c r="J17" s="258">
        <v>14.0</v>
      </c>
      <c r="K17" s="255" t="s">
        <v>1692</v>
      </c>
      <c r="L17" s="251"/>
      <c r="M17" s="251" t="s">
        <v>8969</v>
      </c>
      <c r="N17" s="21" t="s">
        <v>22</v>
      </c>
      <c r="O17" s="251"/>
      <c r="P17" s="256"/>
      <c r="Q17" s="257"/>
      <c r="R17" s="252"/>
      <c r="S17" s="251"/>
      <c r="T17" s="251"/>
      <c r="U17" s="251"/>
      <c r="V17" s="251"/>
      <c r="W17" s="251"/>
      <c r="X17" s="251"/>
      <c r="Y17" s="251"/>
      <c r="Z17" s="251"/>
    </row>
    <row r="18">
      <c r="A18" s="254">
        <v>45892.0</v>
      </c>
      <c r="B18" s="251" t="str">
        <f>IFERROR(__xludf.DUMMYFUNCTION("""COMPUTED_VALUE"""),"OM-PO-4-CR-1")</f>
        <v>OM-PO-4-CR-1</v>
      </c>
      <c r="C18" s="251" t="s">
        <v>8970</v>
      </c>
      <c r="D18" s="252">
        <v>3.31</v>
      </c>
      <c r="E18" s="252">
        <v>7.0</v>
      </c>
      <c r="F18" s="252"/>
      <c r="G18" s="258">
        <v>4.0</v>
      </c>
      <c r="H18" s="258">
        <v>0.0</v>
      </c>
      <c r="I18" s="258">
        <v>0.0</v>
      </c>
      <c r="J18" s="258">
        <v>4.0</v>
      </c>
      <c r="K18" s="255" t="s">
        <v>1692</v>
      </c>
      <c r="L18" s="251"/>
      <c r="M18" s="251" t="s">
        <v>8971</v>
      </c>
      <c r="N18" s="21" t="s">
        <v>22</v>
      </c>
      <c r="O18" s="251"/>
      <c r="P18" s="256"/>
      <c r="Q18" s="257"/>
      <c r="R18" s="252"/>
      <c r="S18" s="251"/>
      <c r="T18" s="251"/>
      <c r="U18" s="251"/>
      <c r="V18" s="251"/>
      <c r="W18" s="251"/>
      <c r="X18" s="251"/>
      <c r="Y18" s="251"/>
      <c r="Z18" s="251"/>
    </row>
    <row r="19">
      <c r="A19" s="254">
        <v>45892.0</v>
      </c>
      <c r="B19" s="251" t="str">
        <f>IFERROR(__xludf.DUMMYFUNCTION("""COMPUTED_VALUE"""),"TE-PO-4-MU-3")</f>
        <v>TE-PO-4-MU-3</v>
      </c>
      <c r="C19" s="251" t="s">
        <v>8951</v>
      </c>
      <c r="D19" s="252">
        <v>0.5</v>
      </c>
      <c r="E19" s="252">
        <v>5.0</v>
      </c>
      <c r="F19" s="252"/>
      <c r="G19" s="258">
        <v>50.0</v>
      </c>
      <c r="H19" s="258">
        <v>0.0</v>
      </c>
      <c r="I19" s="258">
        <v>4.0</v>
      </c>
      <c r="J19" s="258">
        <v>46.0</v>
      </c>
      <c r="K19" s="255" t="s">
        <v>1692</v>
      </c>
      <c r="L19" s="251"/>
      <c r="M19" s="251" t="s">
        <v>8972</v>
      </c>
      <c r="N19" s="21" t="s">
        <v>22</v>
      </c>
      <c r="O19" s="251"/>
      <c r="P19" s="256"/>
      <c r="Q19" s="257"/>
      <c r="R19" s="252"/>
      <c r="S19" s="251"/>
      <c r="T19" s="251"/>
      <c r="U19" s="251"/>
      <c r="V19" s="251"/>
      <c r="W19" s="251"/>
      <c r="X19" s="251"/>
      <c r="Y19" s="251"/>
      <c r="Z19" s="251"/>
    </row>
    <row r="20">
      <c r="A20" s="254">
        <v>45932.0</v>
      </c>
      <c r="B20" s="251" t="str">
        <f>IFERROR(__xludf.DUMMYFUNCTION("""COMPUTED_VALUE"""),"TO-PO-4-MU-1")</f>
        <v>TO-PO-4-MU-1</v>
      </c>
      <c r="C20" s="251" t="s">
        <v>8951</v>
      </c>
      <c r="D20" s="252">
        <v>0.5</v>
      </c>
      <c r="E20" s="252">
        <v>5.0</v>
      </c>
      <c r="F20" s="256">
        <v>5.0</v>
      </c>
      <c r="G20" s="258">
        <v>24.0</v>
      </c>
      <c r="H20" s="258">
        <v>0.0</v>
      </c>
      <c r="I20" s="258">
        <v>10.0</v>
      </c>
      <c r="J20" s="258">
        <v>14.0</v>
      </c>
      <c r="K20" s="255" t="s">
        <v>1692</v>
      </c>
      <c r="L20" s="251"/>
      <c r="M20" s="251" t="s">
        <v>8973</v>
      </c>
      <c r="N20" s="21" t="s">
        <v>22</v>
      </c>
      <c r="O20" s="251"/>
      <c r="P20" s="256">
        <v>4.5</v>
      </c>
      <c r="Q20" s="257">
        <v>0.9</v>
      </c>
      <c r="R20" s="252"/>
      <c r="S20" s="251"/>
      <c r="T20" s="251"/>
      <c r="U20" s="251"/>
      <c r="V20" s="251"/>
      <c r="W20" s="251"/>
      <c r="X20" s="251"/>
      <c r="Y20" s="251"/>
      <c r="Z20" s="251"/>
    </row>
    <row r="21">
      <c r="A21" s="254">
        <v>45915.0</v>
      </c>
      <c r="B21" s="251" t="str">
        <f>IFERROR(__xludf.DUMMYFUNCTION("""COMPUTED_VALUE"""),"MU-PO-4-WH-1")</f>
        <v>MU-PO-4-WH-1</v>
      </c>
      <c r="C21" s="251" t="s">
        <v>8949</v>
      </c>
      <c r="D21" s="252">
        <v>0.61</v>
      </c>
      <c r="E21" s="252">
        <v>5.0</v>
      </c>
      <c r="F21" s="256">
        <v>5.0</v>
      </c>
      <c r="G21" s="258">
        <v>54.0</v>
      </c>
      <c r="H21" s="258">
        <v>0.0</v>
      </c>
      <c r="I21" s="258">
        <v>16.0</v>
      </c>
      <c r="J21" s="258">
        <v>38.0</v>
      </c>
      <c r="K21" s="255" t="s">
        <v>1692</v>
      </c>
      <c r="L21" s="251"/>
      <c r="M21" s="251" t="s">
        <v>8974</v>
      </c>
      <c r="N21" s="21" t="s">
        <v>22</v>
      </c>
      <c r="O21" s="251"/>
      <c r="P21" s="256">
        <v>4.39</v>
      </c>
      <c r="Q21" s="257">
        <v>0.8779999999999999</v>
      </c>
      <c r="R21" s="252"/>
      <c r="S21" s="251"/>
      <c r="T21" s="251"/>
      <c r="U21" s="251"/>
      <c r="V21" s="251"/>
      <c r="W21" s="251"/>
      <c r="X21" s="251"/>
      <c r="Y21" s="251"/>
      <c r="Z21" s="251"/>
    </row>
    <row r="22">
      <c r="A22" s="254">
        <v>45924.0</v>
      </c>
      <c r="B22" s="251" t="str">
        <f>IFERROR(__xludf.DUMMYFUNCTION("""COMPUTED_VALUE"""),"GA-PO-4-WH-1")</f>
        <v>GA-PO-4-WH-1</v>
      </c>
      <c r="C22" s="251" t="s">
        <v>8949</v>
      </c>
      <c r="D22" s="252">
        <v>1.0</v>
      </c>
      <c r="E22" s="252">
        <v>5.0</v>
      </c>
      <c r="F22" s="252"/>
      <c r="G22" s="258">
        <v>20.0</v>
      </c>
      <c r="H22" s="258">
        <v>0.0</v>
      </c>
      <c r="I22" s="258">
        <v>6.0</v>
      </c>
      <c r="J22" s="258">
        <v>14.0</v>
      </c>
      <c r="K22" s="255" t="s">
        <v>1692</v>
      </c>
      <c r="L22" s="251"/>
      <c r="M22" s="251" t="s">
        <v>8975</v>
      </c>
      <c r="N22" s="21" t="s">
        <v>22</v>
      </c>
      <c r="O22" s="251"/>
      <c r="P22" s="256"/>
      <c r="Q22" s="257"/>
      <c r="R22" s="252"/>
      <c r="S22" s="251"/>
      <c r="T22" s="251"/>
      <c r="U22" s="251"/>
      <c r="V22" s="251"/>
      <c r="W22" s="251"/>
      <c r="X22" s="251"/>
      <c r="Y22" s="251"/>
      <c r="Z22" s="251"/>
    </row>
    <row r="23">
      <c r="A23" s="254">
        <v>45924.0</v>
      </c>
      <c r="B23" s="251" t="str">
        <f>IFERROR(__xludf.DUMMYFUNCTION("""COMPUTED_VALUE"""),"GA-PO-6-BL-1")</f>
        <v>GA-PO-6-BL-1</v>
      </c>
      <c r="C23" s="251" t="s">
        <v>8976</v>
      </c>
      <c r="D23" s="252">
        <v>1.3</v>
      </c>
      <c r="E23" s="252"/>
      <c r="F23" s="252"/>
      <c r="G23" s="258">
        <v>20.0</v>
      </c>
      <c r="H23" s="258">
        <v>0.0</v>
      </c>
      <c r="I23" s="258">
        <v>15.0</v>
      </c>
      <c r="J23" s="258">
        <v>5.0</v>
      </c>
      <c r="K23" s="255" t="s">
        <v>1692</v>
      </c>
      <c r="L23" s="251"/>
      <c r="M23" s="251" t="s">
        <v>8977</v>
      </c>
      <c r="N23" s="21" t="s">
        <v>22</v>
      </c>
      <c r="O23" s="251"/>
      <c r="P23" s="256"/>
      <c r="Q23" s="257"/>
      <c r="R23" s="252"/>
      <c r="S23" s="251"/>
      <c r="T23" s="251"/>
      <c r="U23" s="251"/>
      <c r="V23" s="251"/>
      <c r="W23" s="251"/>
      <c r="X23" s="251"/>
      <c r="Y23" s="251"/>
      <c r="Z23" s="251"/>
    </row>
    <row r="24">
      <c r="A24" s="254">
        <v>45925.0</v>
      </c>
      <c r="B24" s="251" t="str">
        <f>IFERROR(__xludf.DUMMYFUNCTION("""COMPUTED_VALUE"""),"GA-PO-6-WH-1")</f>
        <v>GA-PO-6-WH-1</v>
      </c>
      <c r="C24" s="251" t="s">
        <v>8949</v>
      </c>
      <c r="D24" s="252">
        <v>1.3</v>
      </c>
      <c r="E24" s="252"/>
      <c r="F24" s="252"/>
      <c r="G24" s="258">
        <v>20.0</v>
      </c>
      <c r="H24" s="258">
        <v>0.0</v>
      </c>
      <c r="I24" s="258">
        <v>12.0</v>
      </c>
      <c r="J24" s="258">
        <v>8.0</v>
      </c>
      <c r="K24" s="255" t="s">
        <v>1692</v>
      </c>
      <c r="L24" s="251"/>
      <c r="M24" s="251" t="s">
        <v>8978</v>
      </c>
      <c r="N24" s="21" t="s">
        <v>22</v>
      </c>
      <c r="O24" s="251"/>
      <c r="P24" s="256"/>
      <c r="Q24" s="257"/>
      <c r="R24" s="252"/>
      <c r="S24" s="251"/>
      <c r="T24" s="251"/>
      <c r="U24" s="251"/>
      <c r="V24" s="251"/>
      <c r="W24" s="251"/>
      <c r="X24" s="251"/>
      <c r="Y24" s="251"/>
      <c r="Z24" s="251"/>
    </row>
    <row r="25">
      <c r="A25" s="254">
        <v>45924.0</v>
      </c>
      <c r="B25" s="251" t="str">
        <f>IFERROR(__xludf.DUMMYFUNCTION("""COMPUTED_VALUE"""),"GA-PO-4-BL-1")</f>
        <v>GA-PO-4-BL-1</v>
      </c>
      <c r="C25" s="251" t="s">
        <v>8976</v>
      </c>
      <c r="D25" s="252">
        <v>1.0</v>
      </c>
      <c r="E25" s="252">
        <v>5.0</v>
      </c>
      <c r="F25" s="252"/>
      <c r="G25" s="258">
        <v>20.0</v>
      </c>
      <c r="H25" s="258">
        <v>0.0</v>
      </c>
      <c r="I25" s="258">
        <v>6.0</v>
      </c>
      <c r="J25" s="258">
        <v>14.0</v>
      </c>
      <c r="K25" s="255" t="s">
        <v>1692</v>
      </c>
      <c r="L25" s="251"/>
      <c r="M25" s="251" t="s">
        <v>8979</v>
      </c>
      <c r="N25" s="21" t="s">
        <v>22</v>
      </c>
      <c r="O25" s="251"/>
      <c r="P25" s="256"/>
      <c r="Q25" s="257"/>
      <c r="R25" s="252"/>
      <c r="S25" s="251"/>
      <c r="T25" s="251"/>
      <c r="U25" s="251"/>
      <c r="V25" s="251"/>
      <c r="W25" s="251"/>
      <c r="X25" s="251"/>
      <c r="Y25" s="251"/>
      <c r="Z25" s="251"/>
    </row>
    <row r="26">
      <c r="A26" s="254">
        <v>45924.0</v>
      </c>
      <c r="B26" s="251" t="str">
        <f>IFERROR(__xludf.DUMMYFUNCTION("""COMPUTED_VALUE"""),"EC-PO-5-SW-1")</f>
        <v>EC-PO-5-SW-1</v>
      </c>
      <c r="C26" s="251" t="s">
        <v>8980</v>
      </c>
      <c r="D26" s="252">
        <v>2.29</v>
      </c>
      <c r="E26" s="252"/>
      <c r="F26" s="252"/>
      <c r="G26" s="258">
        <v>14.0</v>
      </c>
      <c r="H26" s="258">
        <v>0.0</v>
      </c>
      <c r="I26" s="258">
        <v>12.0</v>
      </c>
      <c r="J26" s="258">
        <v>2.0</v>
      </c>
      <c r="K26" s="255" t="s">
        <v>1692</v>
      </c>
      <c r="L26" s="251"/>
      <c r="M26" s="251" t="s">
        <v>8981</v>
      </c>
      <c r="N26" s="21" t="s">
        <v>22</v>
      </c>
      <c r="O26" s="251"/>
      <c r="P26" s="256"/>
      <c r="Q26" s="257"/>
      <c r="R26" s="252"/>
      <c r="S26" s="251"/>
      <c r="T26" s="251"/>
      <c r="U26" s="251"/>
      <c r="V26" s="251"/>
      <c r="W26" s="251"/>
      <c r="X26" s="251"/>
      <c r="Y26" s="251"/>
      <c r="Z26" s="251"/>
    </row>
    <row r="27">
      <c r="A27" s="254">
        <v>45930.0</v>
      </c>
      <c r="B27" s="251" t="str">
        <f>IFERROR(__xludf.DUMMYFUNCTION("""COMPUTED_VALUE"""),"ME-PO-4-SW-1")</f>
        <v>ME-PO-4-SW-1</v>
      </c>
      <c r="C27" s="251" t="s">
        <v>8980</v>
      </c>
      <c r="D27" s="252">
        <v>3.1</v>
      </c>
      <c r="E27" s="252">
        <v>6.0</v>
      </c>
      <c r="F27" s="252"/>
      <c r="G27" s="258">
        <v>20.0</v>
      </c>
      <c r="H27" s="258">
        <v>0.0</v>
      </c>
      <c r="I27" s="258">
        <v>4.0</v>
      </c>
      <c r="J27" s="258">
        <v>16.0</v>
      </c>
      <c r="K27" s="255" t="s">
        <v>1692</v>
      </c>
      <c r="L27" s="251"/>
      <c r="M27" s="251" t="s">
        <v>8982</v>
      </c>
      <c r="N27" s="21" t="s">
        <v>22</v>
      </c>
      <c r="O27" s="251"/>
      <c r="P27" s="256"/>
      <c r="Q27" s="257"/>
      <c r="R27" s="252"/>
      <c r="S27" s="251"/>
      <c r="T27" s="251"/>
      <c r="U27" s="251"/>
      <c r="V27" s="251"/>
      <c r="W27" s="251"/>
      <c r="X27" s="251"/>
      <c r="Y27" s="251"/>
      <c r="Z27" s="251"/>
    </row>
    <row r="28">
      <c r="A28" s="254">
        <v>45930.0</v>
      </c>
      <c r="B28" s="251" t="str">
        <f>IFERROR(__xludf.DUMMYFUNCTION("""COMPUTED_VALUE"""),"EC-PO-5-SW-2")</f>
        <v>EC-PO-5-SW-2</v>
      </c>
      <c r="C28" s="251" t="s">
        <v>8980</v>
      </c>
      <c r="D28" s="252">
        <v>1.14</v>
      </c>
      <c r="E28" s="252"/>
      <c r="F28" s="252"/>
      <c r="G28" s="258">
        <v>28.0</v>
      </c>
      <c r="H28" s="258">
        <v>0.0</v>
      </c>
      <c r="I28" s="258">
        <v>0.0</v>
      </c>
      <c r="J28" s="258">
        <v>28.0</v>
      </c>
      <c r="K28" s="255" t="s">
        <v>1692</v>
      </c>
      <c r="L28" s="251"/>
      <c r="M28" s="251" t="s">
        <v>8983</v>
      </c>
      <c r="N28" s="21" t="s">
        <v>22</v>
      </c>
      <c r="O28" s="251"/>
      <c r="P28" s="256"/>
      <c r="Q28" s="257"/>
      <c r="R28" s="252"/>
      <c r="S28" s="251"/>
      <c r="T28" s="251"/>
      <c r="U28" s="251"/>
      <c r="V28" s="251"/>
      <c r="W28" s="251"/>
      <c r="X28" s="251"/>
      <c r="Y28" s="251"/>
      <c r="Z28" s="251"/>
    </row>
    <row r="29">
      <c r="A29" s="254">
        <v>45930.0</v>
      </c>
      <c r="B29" s="251" t="str">
        <f>IFERROR(__xludf.DUMMYFUNCTION("""COMPUTED_VALUE"""),"PC-PO-5-SW-1")</f>
        <v>PC-PO-5-SW-1</v>
      </c>
      <c r="C29" s="251" t="s">
        <v>8980</v>
      </c>
      <c r="D29" s="252">
        <v>1.58</v>
      </c>
      <c r="E29" s="252"/>
      <c r="F29" s="252"/>
      <c r="G29" s="258">
        <v>14.0</v>
      </c>
      <c r="H29" s="258">
        <v>0.0</v>
      </c>
      <c r="I29" s="258">
        <v>0.0</v>
      </c>
      <c r="J29" s="258">
        <v>14.0</v>
      </c>
      <c r="K29" s="255" t="s">
        <v>1692</v>
      </c>
      <c r="L29" s="251"/>
      <c r="M29" s="251" t="s">
        <v>8984</v>
      </c>
      <c r="N29" s="21" t="s">
        <v>22</v>
      </c>
      <c r="O29" s="251"/>
      <c r="P29" s="256"/>
      <c r="Q29" s="257"/>
      <c r="R29" s="252"/>
      <c r="S29" s="251"/>
      <c r="T29" s="251"/>
      <c r="U29" s="251"/>
      <c r="V29" s="251"/>
      <c r="W29" s="251"/>
      <c r="X29" s="251"/>
      <c r="Y29" s="251"/>
      <c r="Z29" s="251"/>
    </row>
    <row r="30">
      <c r="A30" s="254">
        <v>45933.0</v>
      </c>
      <c r="B30" s="251" t="str">
        <f>IFERROR(__xludf.DUMMYFUNCTION("""COMPUTED_VALUE"""),"MA-PO-5-SW-1")</f>
        <v>MA-PO-5-SW-1</v>
      </c>
      <c r="C30" s="251" t="s">
        <v>8980</v>
      </c>
      <c r="D30" s="252">
        <v>1.58</v>
      </c>
      <c r="E30" s="252"/>
      <c r="F30" s="252"/>
      <c r="G30" s="258">
        <v>6.0</v>
      </c>
      <c r="H30" s="258">
        <v>0.0</v>
      </c>
      <c r="I30" s="258">
        <v>3.0</v>
      </c>
      <c r="J30" s="258">
        <v>3.0</v>
      </c>
      <c r="K30" s="255" t="s">
        <v>1692</v>
      </c>
      <c r="L30" s="251"/>
      <c r="M30" s="251" t="s">
        <v>8985</v>
      </c>
      <c r="N30" s="21" t="s">
        <v>22</v>
      </c>
      <c r="O30" s="251"/>
      <c r="P30" s="256"/>
      <c r="Q30" s="257"/>
      <c r="R30" s="252"/>
      <c r="S30" s="251"/>
      <c r="T30" s="251"/>
      <c r="U30" s="251"/>
      <c r="V30" s="251"/>
      <c r="W30" s="251"/>
      <c r="X30" s="251"/>
      <c r="Y30" s="251"/>
      <c r="Z30" s="251"/>
    </row>
    <row r="31">
      <c r="A31" s="254">
        <v>45933.0</v>
      </c>
      <c r="B31" s="251" t="str">
        <f>IFERROR(__xludf.DUMMYFUNCTION("""COMPUTED_VALUE"""),"MA-PO-4-SW-1")</f>
        <v>MA-PO-4-SW-1</v>
      </c>
      <c r="C31" s="251" t="s">
        <v>8980</v>
      </c>
      <c r="D31" s="252">
        <v>1.58</v>
      </c>
      <c r="E31" s="252">
        <v>6.0</v>
      </c>
      <c r="F31" s="256">
        <v>5.0</v>
      </c>
      <c r="G31" s="258">
        <v>6.0</v>
      </c>
      <c r="H31" s="258">
        <v>0.0</v>
      </c>
      <c r="I31" s="258">
        <v>13.0</v>
      </c>
      <c r="J31" s="258">
        <v>0.0</v>
      </c>
      <c r="K31" s="255" t="s">
        <v>1602</v>
      </c>
      <c r="L31" s="251"/>
      <c r="M31" s="251" t="s">
        <v>8986</v>
      </c>
      <c r="N31" s="21" t="s">
        <v>22</v>
      </c>
      <c r="O31" s="251"/>
      <c r="P31" s="256">
        <v>3.42</v>
      </c>
      <c r="Q31" s="257">
        <v>0.6839999999999999</v>
      </c>
      <c r="R31" s="252"/>
      <c r="S31" s="251"/>
      <c r="T31" s="251"/>
      <c r="U31" s="251"/>
      <c r="V31" s="251"/>
      <c r="W31" s="251"/>
      <c r="X31" s="251"/>
      <c r="Y31" s="251"/>
      <c r="Z31" s="251"/>
    </row>
    <row r="32">
      <c r="A32" s="254">
        <v>45933.0</v>
      </c>
      <c r="B32" s="251" t="str">
        <f>IFERROR(__xludf.DUMMYFUNCTION("""COMPUTED_VALUE"""),"MA-PO-3-SW-1")</f>
        <v>MA-PO-3-SW-1</v>
      </c>
      <c r="C32" s="251" t="s">
        <v>8980</v>
      </c>
      <c r="D32" s="252">
        <v>1.58</v>
      </c>
      <c r="E32" s="252"/>
      <c r="F32" s="252"/>
      <c r="G32" s="258">
        <v>6.0</v>
      </c>
      <c r="H32" s="258">
        <v>0.0</v>
      </c>
      <c r="I32" s="258">
        <v>4.0</v>
      </c>
      <c r="J32" s="258">
        <v>2.0</v>
      </c>
      <c r="K32" s="255" t="s">
        <v>1692</v>
      </c>
      <c r="L32" s="251"/>
      <c r="M32" s="251" t="s">
        <v>8987</v>
      </c>
      <c r="N32" s="21" t="s">
        <v>22</v>
      </c>
      <c r="O32" s="251"/>
      <c r="P32" s="256"/>
      <c r="Q32" s="257"/>
      <c r="R32" s="252"/>
      <c r="S32" s="251"/>
      <c r="T32" s="251"/>
      <c r="U32" s="251"/>
      <c r="V32" s="251"/>
      <c r="W32" s="251"/>
      <c r="X32" s="251"/>
      <c r="Y32" s="251"/>
      <c r="Z32" s="251"/>
    </row>
    <row r="33">
      <c r="A33" s="254">
        <v>45920.0</v>
      </c>
      <c r="B33" s="251" t="str">
        <f>IFERROR(__xludf.DUMMYFUNCTION("""COMPUTED_VALUE"""),"JC-PL-EL-6")</f>
        <v>JC-PL-EL-6</v>
      </c>
      <c r="C33" s="251" t="s">
        <v>8988</v>
      </c>
      <c r="D33" s="252">
        <v>8.0</v>
      </c>
      <c r="E33" s="252"/>
      <c r="F33" s="256">
        <v>12.0</v>
      </c>
      <c r="G33" s="258">
        <v>6.0</v>
      </c>
      <c r="H33" s="258">
        <v>0.0</v>
      </c>
      <c r="I33" s="258">
        <v>0.0</v>
      </c>
      <c r="J33" s="258">
        <v>6.0</v>
      </c>
      <c r="K33" s="255" t="s">
        <v>1692</v>
      </c>
      <c r="L33" s="251"/>
      <c r="M33" s="251" t="s">
        <v>8989</v>
      </c>
      <c r="N33" s="21" t="s">
        <v>22</v>
      </c>
      <c r="O33" s="251"/>
      <c r="P33" s="256">
        <v>4.0</v>
      </c>
      <c r="Q33" s="257">
        <v>0.3333333333333333</v>
      </c>
      <c r="R33" s="252"/>
      <c r="S33" s="251"/>
      <c r="T33" s="251"/>
      <c r="U33" s="251"/>
      <c r="V33" s="251"/>
      <c r="W33" s="251"/>
      <c r="X33" s="251"/>
      <c r="Y33" s="251"/>
      <c r="Z33" s="251"/>
    </row>
    <row r="34">
      <c r="A34" s="254">
        <v>45920.0</v>
      </c>
      <c r="B34" s="251" t="str">
        <f>IFERROR(__xludf.DUMMYFUNCTION("""COMPUTED_VALUE"""),"JC-PL-SS-6")</f>
        <v>JC-PL-SS-6</v>
      </c>
      <c r="C34" s="251" t="s">
        <v>8990</v>
      </c>
      <c r="D34" s="252">
        <v>11.0</v>
      </c>
      <c r="E34" s="252"/>
      <c r="F34" s="256">
        <v>15.0</v>
      </c>
      <c r="G34" s="258">
        <v>6.0</v>
      </c>
      <c r="H34" s="258">
        <v>0.0</v>
      </c>
      <c r="I34" s="258">
        <v>0.0</v>
      </c>
      <c r="J34" s="258">
        <v>6.0</v>
      </c>
      <c r="K34" s="255" t="s">
        <v>1692</v>
      </c>
      <c r="L34" s="251"/>
      <c r="M34" s="251" t="s">
        <v>8991</v>
      </c>
      <c r="N34" s="21" t="s">
        <v>22</v>
      </c>
      <c r="O34" s="251"/>
      <c r="P34" s="256">
        <v>4.0</v>
      </c>
      <c r="Q34" s="257">
        <v>0.26666666666666666</v>
      </c>
      <c r="R34" s="252"/>
      <c r="S34" s="251"/>
      <c r="T34" s="251"/>
      <c r="U34" s="251"/>
      <c r="V34" s="251"/>
      <c r="W34" s="251"/>
      <c r="X34" s="251"/>
      <c r="Y34" s="251"/>
      <c r="Z34" s="251"/>
    </row>
    <row r="35">
      <c r="A35" s="254">
        <v>46138.0</v>
      </c>
      <c r="B35" s="251" t="str">
        <f>IFERROR(__xludf.DUMMYFUNCTION("""COMPUTED_VALUE"""),"JC-PL-SN-6")</f>
        <v>JC-PL-SN-6</v>
      </c>
      <c r="C35" s="251" t="s">
        <v>8992</v>
      </c>
      <c r="D35" s="252">
        <v>8.0</v>
      </c>
      <c r="E35" s="252"/>
      <c r="F35" s="256">
        <v>12.0</v>
      </c>
      <c r="G35" s="258">
        <v>6.0</v>
      </c>
      <c r="H35" s="258">
        <v>2.0</v>
      </c>
      <c r="I35" s="258">
        <v>0.0</v>
      </c>
      <c r="J35" s="258">
        <v>4.0</v>
      </c>
      <c r="K35" s="255" t="s">
        <v>1692</v>
      </c>
      <c r="L35" s="251"/>
      <c r="M35" s="251" t="s">
        <v>8993</v>
      </c>
      <c r="N35" s="21" t="s">
        <v>22</v>
      </c>
      <c r="O35" s="251"/>
      <c r="P35" s="256">
        <v>4.0</v>
      </c>
      <c r="Q35" s="257">
        <v>0.3333333333333333</v>
      </c>
      <c r="R35" s="256">
        <v>12.0</v>
      </c>
      <c r="S35" s="251"/>
      <c r="T35" s="251"/>
      <c r="U35" s="251"/>
      <c r="V35" s="251"/>
      <c r="W35" s="251"/>
      <c r="X35" s="251"/>
      <c r="Y35" s="251"/>
      <c r="Z35" s="251"/>
    </row>
    <row r="36">
      <c r="A36" s="254">
        <v>45920.0</v>
      </c>
      <c r="B36" s="251" t="str">
        <f>IFERROR(__xludf.DUMMYFUNCTION("""COMPUTED_VALUE"""),"JC-PL-TU-6")</f>
        <v>JC-PL-TU-6</v>
      </c>
      <c r="C36" s="251" t="s">
        <v>8994</v>
      </c>
      <c r="D36" s="252">
        <v>7.0</v>
      </c>
      <c r="E36" s="252"/>
      <c r="F36" s="256">
        <v>10.0</v>
      </c>
      <c r="G36" s="258">
        <v>6.0</v>
      </c>
      <c r="H36" s="258">
        <v>1.0</v>
      </c>
      <c r="I36" s="258">
        <v>0.0</v>
      </c>
      <c r="J36" s="258">
        <v>5.0</v>
      </c>
      <c r="K36" s="255" t="s">
        <v>1692</v>
      </c>
      <c r="L36" s="251"/>
      <c r="M36" s="251" t="s">
        <v>8995</v>
      </c>
      <c r="N36" s="21" t="s">
        <v>22</v>
      </c>
      <c r="O36" s="251"/>
      <c r="P36" s="256">
        <v>7.0</v>
      </c>
      <c r="Q36" s="257">
        <v>0.5</v>
      </c>
      <c r="R36" s="256">
        <v>14.0</v>
      </c>
      <c r="S36" s="251"/>
      <c r="T36" s="251"/>
      <c r="U36" s="251"/>
      <c r="V36" s="251"/>
      <c r="W36" s="251"/>
      <c r="X36" s="251"/>
      <c r="Y36" s="251"/>
      <c r="Z36" s="251"/>
    </row>
    <row r="37">
      <c r="A37" s="254">
        <v>45982.0</v>
      </c>
      <c r="B37" s="251" t="str">
        <f>IFERROR(__xludf.DUMMYFUNCTION("""COMPUTED_VALUE"""),"TPM-ST-GI-5")</f>
        <v>TPM-ST-GI-5</v>
      </c>
      <c r="C37" s="251" t="s">
        <v>8996</v>
      </c>
      <c r="D37" s="252">
        <v>4.0</v>
      </c>
      <c r="E37" s="252"/>
      <c r="F37" s="252"/>
      <c r="G37" s="258">
        <v>5.0</v>
      </c>
      <c r="H37" s="258">
        <v>1.0</v>
      </c>
      <c r="I37" s="258">
        <v>0.0</v>
      </c>
      <c r="J37" s="258">
        <v>4.0</v>
      </c>
      <c r="K37" s="255" t="s">
        <v>1692</v>
      </c>
      <c r="L37" s="251"/>
      <c r="M37" s="251" t="s">
        <v>8997</v>
      </c>
      <c r="N37" s="21" t="s">
        <v>22</v>
      </c>
      <c r="O37" s="251"/>
      <c r="P37" s="256">
        <v>4.0</v>
      </c>
      <c r="Q37" s="257">
        <v>0.5</v>
      </c>
      <c r="R37" s="256">
        <v>8.0</v>
      </c>
      <c r="S37" s="251"/>
      <c r="T37" s="251"/>
      <c r="U37" s="251"/>
      <c r="V37" s="251"/>
      <c r="W37" s="251"/>
      <c r="X37" s="251"/>
      <c r="Y37" s="251"/>
      <c r="Z37" s="251"/>
    </row>
    <row r="38">
      <c r="A38" s="254">
        <v>45925.0</v>
      </c>
      <c r="B38" s="251" t="str">
        <f>IFERROR(__xludf.DUMMYFUNCTION("""COMPUTED_VALUE"""),"TPM-ST-LIS-10")</f>
        <v>TPM-ST-LIS-10</v>
      </c>
      <c r="C38" s="251" t="s">
        <v>8998</v>
      </c>
      <c r="D38" s="252">
        <v>0.75</v>
      </c>
      <c r="E38" s="252"/>
      <c r="F38" s="252"/>
      <c r="G38" s="258">
        <v>10.0</v>
      </c>
      <c r="H38" s="258">
        <v>0.0</v>
      </c>
      <c r="I38" s="258">
        <v>0.0</v>
      </c>
      <c r="J38" s="258">
        <v>10.0</v>
      </c>
      <c r="K38" s="255" t="s">
        <v>1692</v>
      </c>
      <c r="L38" s="251"/>
      <c r="M38" s="251" t="s">
        <v>8999</v>
      </c>
      <c r="N38" s="21" t="s">
        <v>22</v>
      </c>
      <c r="O38" s="251"/>
      <c r="P38" s="256"/>
      <c r="Q38" s="257"/>
      <c r="R38" s="252"/>
      <c r="S38" s="251"/>
      <c r="T38" s="251"/>
      <c r="U38" s="251"/>
      <c r="V38" s="251"/>
      <c r="W38" s="251"/>
      <c r="X38" s="251"/>
      <c r="Y38" s="251"/>
      <c r="Z38" s="251"/>
    </row>
    <row r="39">
      <c r="A39" s="254">
        <v>45925.0</v>
      </c>
      <c r="B39" s="251" t="str">
        <f>IFERROR(__xludf.DUMMYFUNCTION("""COMPUTED_VALUE"""),"TPM-ST-PL-5")</f>
        <v>TPM-ST-PL-5</v>
      </c>
      <c r="C39" s="251" t="s">
        <v>9000</v>
      </c>
      <c r="D39" s="252">
        <v>1.5</v>
      </c>
      <c r="E39" s="252"/>
      <c r="F39" s="252"/>
      <c r="G39" s="258">
        <v>5.0</v>
      </c>
      <c r="H39" s="258">
        <v>0.0</v>
      </c>
      <c r="I39" s="258">
        <v>0.0</v>
      </c>
      <c r="J39" s="258">
        <v>5.0</v>
      </c>
      <c r="K39" s="255" t="s">
        <v>1692</v>
      </c>
      <c r="L39" s="251"/>
      <c r="M39" s="251" t="s">
        <v>9001</v>
      </c>
      <c r="N39" s="21" t="s">
        <v>22</v>
      </c>
      <c r="O39" s="251"/>
      <c r="P39" s="256"/>
      <c r="Q39" s="257"/>
      <c r="R39" s="252"/>
      <c r="S39" s="251"/>
      <c r="T39" s="251"/>
      <c r="U39" s="251"/>
      <c r="V39" s="251"/>
      <c r="W39" s="251"/>
      <c r="X39" s="251"/>
      <c r="Y39" s="251"/>
      <c r="Z39" s="251"/>
    </row>
    <row r="40">
      <c r="A40" s="254">
        <v>45925.0</v>
      </c>
      <c r="B40" s="251" t="str">
        <f>IFERROR(__xludf.DUMMYFUNCTION("""COMPUTED_VALUE"""),"TPM-ST-JO-5")</f>
        <v>TPM-ST-JO-5</v>
      </c>
      <c r="C40" s="251" t="s">
        <v>9002</v>
      </c>
      <c r="D40" s="252">
        <v>1.5</v>
      </c>
      <c r="E40" s="252"/>
      <c r="F40" s="252"/>
      <c r="G40" s="258">
        <v>5.0</v>
      </c>
      <c r="H40" s="258">
        <v>0.0</v>
      </c>
      <c r="I40" s="258">
        <v>0.0</v>
      </c>
      <c r="J40" s="258">
        <v>5.0</v>
      </c>
      <c r="K40" s="255" t="s">
        <v>1692</v>
      </c>
      <c r="L40" s="251"/>
      <c r="M40" s="251" t="s">
        <v>9003</v>
      </c>
      <c r="N40" s="21" t="s">
        <v>22</v>
      </c>
      <c r="O40" s="251"/>
      <c r="P40" s="256"/>
      <c r="Q40" s="257"/>
      <c r="R40" s="252"/>
      <c r="S40" s="251"/>
      <c r="T40" s="251"/>
      <c r="U40" s="251"/>
      <c r="V40" s="251"/>
      <c r="W40" s="251"/>
      <c r="X40" s="251"/>
      <c r="Y40" s="251"/>
      <c r="Z40" s="251"/>
    </row>
    <row r="41">
      <c r="A41" s="254">
        <v>45925.0</v>
      </c>
      <c r="B41" s="251" t="str">
        <f>IFERROR(__xludf.DUMMYFUNCTION("""COMPUTED_VALUE"""),"TPM-ST-MD-5")</f>
        <v>TPM-ST-MD-5</v>
      </c>
      <c r="C41" s="251" t="s">
        <v>9004</v>
      </c>
      <c r="D41" s="252">
        <v>1.5</v>
      </c>
      <c r="E41" s="252"/>
      <c r="F41" s="252"/>
      <c r="G41" s="258">
        <v>5.0</v>
      </c>
      <c r="H41" s="258">
        <v>0.0</v>
      </c>
      <c r="I41" s="258">
        <v>0.0</v>
      </c>
      <c r="J41" s="258">
        <v>5.0</v>
      </c>
      <c r="K41" s="255" t="s">
        <v>1692</v>
      </c>
      <c r="L41" s="251"/>
      <c r="M41" s="251" t="s">
        <v>9005</v>
      </c>
      <c r="N41" s="21" t="s">
        <v>22</v>
      </c>
      <c r="O41" s="251"/>
      <c r="P41" s="256"/>
      <c r="Q41" s="257"/>
      <c r="R41" s="252"/>
      <c r="S41" s="251"/>
      <c r="T41" s="251"/>
      <c r="U41" s="251"/>
      <c r="V41" s="251"/>
      <c r="W41" s="251"/>
      <c r="X41" s="251"/>
      <c r="Y41" s="251"/>
      <c r="Z41" s="251"/>
    </row>
    <row r="42">
      <c r="A42" s="254">
        <v>45925.0</v>
      </c>
      <c r="B42" s="251" t="str">
        <f>IFERROR(__xludf.DUMMYFUNCTION("""COMPUTED_VALUE"""),"TPM-ST-ED-5")</f>
        <v>TPM-ST-ED-5</v>
      </c>
      <c r="C42" s="251" t="s">
        <v>9006</v>
      </c>
      <c r="D42" s="252">
        <v>1.5</v>
      </c>
      <c r="E42" s="252"/>
      <c r="F42" s="252"/>
      <c r="G42" s="258">
        <v>5.0</v>
      </c>
      <c r="H42" s="258">
        <v>0.0</v>
      </c>
      <c r="I42" s="258">
        <v>0.0</v>
      </c>
      <c r="J42" s="258">
        <v>5.0</v>
      </c>
      <c r="K42" s="255" t="s">
        <v>1692</v>
      </c>
      <c r="L42" s="251"/>
      <c r="M42" s="251" t="s">
        <v>9007</v>
      </c>
      <c r="N42" s="21" t="s">
        <v>22</v>
      </c>
      <c r="O42" s="251"/>
      <c r="P42" s="256"/>
      <c r="Q42" s="257"/>
      <c r="R42" s="252"/>
      <c r="S42" s="251"/>
      <c r="T42" s="251"/>
      <c r="U42" s="251"/>
      <c r="V42" s="251"/>
      <c r="W42" s="251"/>
      <c r="X42" s="251"/>
      <c r="Y42" s="251"/>
      <c r="Z42" s="251"/>
    </row>
    <row r="43">
      <c r="A43" s="254">
        <v>45925.0</v>
      </c>
      <c r="B43" s="251" t="str">
        <f>IFERROR(__xludf.DUMMYFUNCTION("""COMPUTED_VALUE"""),"TPM-ST-PPP-5")</f>
        <v>TPM-ST-PPP-5</v>
      </c>
      <c r="C43" s="251" t="s">
        <v>9008</v>
      </c>
      <c r="D43" s="252">
        <v>1.5</v>
      </c>
      <c r="E43" s="252"/>
      <c r="F43" s="252"/>
      <c r="G43" s="258">
        <v>5.0</v>
      </c>
      <c r="H43" s="258">
        <v>0.0</v>
      </c>
      <c r="I43" s="258">
        <v>0.0</v>
      </c>
      <c r="J43" s="258">
        <v>5.0</v>
      </c>
      <c r="K43" s="255" t="s">
        <v>1692</v>
      </c>
      <c r="L43" s="251"/>
      <c r="M43" s="251" t="s">
        <v>9009</v>
      </c>
      <c r="N43" s="21" t="s">
        <v>22</v>
      </c>
      <c r="O43" s="251"/>
      <c r="P43" s="256"/>
      <c r="Q43" s="257"/>
      <c r="R43" s="252"/>
      <c r="S43" s="251"/>
      <c r="T43" s="251"/>
      <c r="U43" s="251"/>
      <c r="V43" s="251"/>
      <c r="W43" s="251"/>
      <c r="X43" s="251"/>
      <c r="Y43" s="251"/>
      <c r="Z43" s="251"/>
    </row>
    <row r="44">
      <c r="A44" s="254">
        <v>45925.0</v>
      </c>
      <c r="B44" s="251" t="str">
        <f>IFERROR(__xludf.DUMMYFUNCTION("""COMPUTED_VALUE"""),"TPM-ST-ACP-5")</f>
        <v>TPM-ST-ACP-5</v>
      </c>
      <c r="C44" s="251" t="s">
        <v>9010</v>
      </c>
      <c r="D44" s="252">
        <v>1.5</v>
      </c>
      <c r="E44" s="252"/>
      <c r="F44" s="252"/>
      <c r="G44" s="258">
        <v>5.0</v>
      </c>
      <c r="H44" s="258">
        <v>0.0</v>
      </c>
      <c r="I44" s="258">
        <v>0.0</v>
      </c>
      <c r="J44" s="258">
        <v>5.0</v>
      </c>
      <c r="K44" s="255" t="s">
        <v>1692</v>
      </c>
      <c r="L44" s="251"/>
      <c r="M44" s="251" t="s">
        <v>9011</v>
      </c>
      <c r="N44" s="21" t="s">
        <v>22</v>
      </c>
      <c r="O44" s="251"/>
      <c r="P44" s="256"/>
      <c r="Q44" s="257"/>
      <c r="R44" s="252"/>
      <c r="S44" s="251"/>
      <c r="T44" s="251"/>
      <c r="U44" s="251"/>
      <c r="V44" s="251"/>
      <c r="W44" s="251"/>
      <c r="X44" s="251"/>
      <c r="Y44" s="251"/>
      <c r="Z44" s="251"/>
    </row>
    <row r="45">
      <c r="A45" s="254">
        <v>45925.0</v>
      </c>
      <c r="B45" s="251" t="str">
        <f>IFERROR(__xludf.DUMMYFUNCTION("""COMPUTED_VALUE"""),"TPM-ST-MAP-5")</f>
        <v>TPM-ST-MAP-5</v>
      </c>
      <c r="C45" s="251" t="s">
        <v>9012</v>
      </c>
      <c r="D45" s="252">
        <v>1.5</v>
      </c>
      <c r="E45" s="252"/>
      <c r="F45" s="252"/>
      <c r="G45" s="258">
        <v>5.0</v>
      </c>
      <c r="H45" s="258">
        <v>0.0</v>
      </c>
      <c r="I45" s="258">
        <v>0.0</v>
      </c>
      <c r="J45" s="258">
        <v>5.0</v>
      </c>
      <c r="K45" s="255" t="s">
        <v>1692</v>
      </c>
      <c r="L45" s="251"/>
      <c r="M45" s="251" t="s">
        <v>9013</v>
      </c>
      <c r="N45" s="21" t="s">
        <v>22</v>
      </c>
      <c r="O45" s="251"/>
      <c r="P45" s="256"/>
      <c r="Q45" s="257"/>
      <c r="R45" s="252"/>
      <c r="S45" s="251"/>
      <c r="T45" s="251"/>
      <c r="U45" s="251"/>
      <c r="V45" s="251"/>
      <c r="W45" s="251"/>
      <c r="X45" s="251"/>
      <c r="Y45" s="251"/>
      <c r="Z45" s="251"/>
    </row>
    <row r="46">
      <c r="A46" s="254">
        <v>45925.0</v>
      </c>
      <c r="B46" s="251" t="str">
        <f>IFERROR(__xludf.DUMMYFUNCTION("""COMPUTED_VALUE"""),"AS-EA-SS-3")</f>
        <v>AS-EA-SS-3</v>
      </c>
      <c r="C46" s="251" t="s">
        <v>9014</v>
      </c>
      <c r="D46" s="252">
        <v>8.0</v>
      </c>
      <c r="E46" s="252"/>
      <c r="F46" s="252"/>
      <c r="G46" s="258">
        <v>3.0</v>
      </c>
      <c r="H46" s="258">
        <v>0.0</v>
      </c>
      <c r="I46" s="258">
        <v>0.0</v>
      </c>
      <c r="J46" s="258">
        <v>3.0</v>
      </c>
      <c r="K46" s="255" t="s">
        <v>1692</v>
      </c>
      <c r="L46" s="251"/>
      <c r="M46" s="251" t="s">
        <v>9015</v>
      </c>
      <c r="N46" s="21" t="s">
        <v>22</v>
      </c>
      <c r="O46" s="251"/>
      <c r="P46" s="256"/>
      <c r="Q46" s="257"/>
      <c r="R46" s="252"/>
      <c r="S46" s="251"/>
      <c r="T46" s="251"/>
      <c r="U46" s="251"/>
      <c r="V46" s="251"/>
      <c r="W46" s="251"/>
      <c r="X46" s="251"/>
      <c r="Y46" s="251"/>
      <c r="Z46" s="251"/>
    </row>
    <row r="47">
      <c r="A47" s="254">
        <v>46136.0</v>
      </c>
      <c r="B47" s="251" t="str">
        <f>IFERROR(__xludf.DUMMYFUNCTION("""COMPUTED_VALUE"""),"AS-EA-MD-4")</f>
        <v>AS-EA-MD-4</v>
      </c>
      <c r="C47" s="251" t="s">
        <v>9016</v>
      </c>
      <c r="D47" s="252">
        <v>12.75</v>
      </c>
      <c r="E47" s="252"/>
      <c r="F47" s="252"/>
      <c r="G47" s="258">
        <v>4.0</v>
      </c>
      <c r="H47" s="258">
        <v>1.0</v>
      </c>
      <c r="I47" s="258">
        <v>0.0</v>
      </c>
      <c r="J47" s="258">
        <v>3.0</v>
      </c>
      <c r="K47" s="255" t="s">
        <v>1692</v>
      </c>
      <c r="L47" s="251"/>
      <c r="M47" s="251" t="s">
        <v>9017</v>
      </c>
      <c r="N47" s="21" t="s">
        <v>22</v>
      </c>
      <c r="O47" s="251"/>
      <c r="P47" s="256">
        <v>7.25</v>
      </c>
      <c r="Q47" s="257">
        <v>0.3625</v>
      </c>
      <c r="R47" s="256">
        <v>20.0</v>
      </c>
      <c r="S47" s="251"/>
      <c r="T47" s="251"/>
      <c r="U47" s="251"/>
      <c r="V47" s="251"/>
      <c r="W47" s="251"/>
      <c r="X47" s="251"/>
      <c r="Y47" s="251"/>
      <c r="Z47" s="251"/>
    </row>
    <row r="48">
      <c r="A48" s="254">
        <v>45925.0</v>
      </c>
      <c r="B48" s="251" t="str">
        <f>IFERROR(__xludf.DUMMYFUNCTION("""COMPUTED_VALUE"""),"AS-EA-SC-2")</f>
        <v>AS-EA-SC-2</v>
      </c>
      <c r="C48" s="251" t="s">
        <v>9018</v>
      </c>
      <c r="D48" s="252">
        <v>12.0</v>
      </c>
      <c r="E48" s="252"/>
      <c r="F48" s="256">
        <v>25.0</v>
      </c>
      <c r="G48" s="258">
        <v>2.0</v>
      </c>
      <c r="H48" s="258">
        <v>0.0</v>
      </c>
      <c r="I48" s="258">
        <v>0.0</v>
      </c>
      <c r="J48" s="258">
        <v>2.0</v>
      </c>
      <c r="K48" s="255" t="s">
        <v>1692</v>
      </c>
      <c r="L48" s="251"/>
      <c r="M48" s="251" t="s">
        <v>9019</v>
      </c>
      <c r="N48" s="21" t="s">
        <v>22</v>
      </c>
      <c r="O48" s="251"/>
      <c r="P48" s="256">
        <v>13.0</v>
      </c>
      <c r="Q48" s="257">
        <v>0.52</v>
      </c>
      <c r="R48" s="252"/>
      <c r="S48" s="251"/>
      <c r="T48" s="251"/>
      <c r="U48" s="251"/>
      <c r="V48" s="251"/>
      <c r="W48" s="251"/>
      <c r="X48" s="251"/>
      <c r="Y48" s="251"/>
      <c r="Z48" s="251"/>
    </row>
    <row r="49">
      <c r="A49" s="254">
        <v>45925.0</v>
      </c>
      <c r="B49" s="251" t="str">
        <f>IFERROR(__xludf.DUMMYFUNCTION("""COMPUTED_VALUE"""),"AS-NE-SC-2")</f>
        <v>AS-NE-SC-2</v>
      </c>
      <c r="C49" s="251" t="s">
        <v>9020</v>
      </c>
      <c r="D49" s="252">
        <v>12.0</v>
      </c>
      <c r="E49" s="252"/>
      <c r="F49" s="256">
        <v>25.0</v>
      </c>
      <c r="G49" s="258">
        <v>2.0</v>
      </c>
      <c r="H49" s="258">
        <v>0.0</v>
      </c>
      <c r="I49" s="258">
        <v>0.0</v>
      </c>
      <c r="J49" s="258">
        <v>2.0</v>
      </c>
      <c r="K49" s="255" t="s">
        <v>1692</v>
      </c>
      <c r="L49" s="251"/>
      <c r="M49" s="251" t="s">
        <v>9021</v>
      </c>
      <c r="N49" s="21" t="s">
        <v>22</v>
      </c>
      <c r="O49" s="251"/>
      <c r="P49" s="256">
        <v>13.0</v>
      </c>
      <c r="Q49" s="257">
        <v>0.52</v>
      </c>
      <c r="R49" s="252"/>
      <c r="S49" s="251"/>
      <c r="T49" s="251"/>
      <c r="U49" s="251"/>
      <c r="V49" s="251"/>
      <c r="W49" s="251"/>
      <c r="X49" s="251"/>
      <c r="Y49" s="251"/>
      <c r="Z49" s="251"/>
    </row>
    <row r="50">
      <c r="A50" s="254">
        <v>46136.0</v>
      </c>
      <c r="B50" s="251" t="str">
        <f>IFERROR(__xludf.DUMMYFUNCTION("""COMPUTED_VALUE"""),"AS-NE-ML-4")</f>
        <v>AS-NE-ML-4</v>
      </c>
      <c r="C50" s="251" t="s">
        <v>9022</v>
      </c>
      <c r="D50" s="252">
        <v>13.5</v>
      </c>
      <c r="E50" s="252"/>
      <c r="F50" s="252"/>
      <c r="G50" s="258">
        <v>4.0</v>
      </c>
      <c r="H50" s="258">
        <v>1.0</v>
      </c>
      <c r="I50" s="258">
        <v>0.0</v>
      </c>
      <c r="J50" s="258">
        <v>3.0</v>
      </c>
      <c r="K50" s="255" t="s">
        <v>1692</v>
      </c>
      <c r="L50" s="251"/>
      <c r="M50" s="251" t="s">
        <v>9023</v>
      </c>
      <c r="N50" s="21" t="s">
        <v>22</v>
      </c>
      <c r="O50" s="251"/>
      <c r="P50" s="256">
        <v>11.5</v>
      </c>
      <c r="Q50" s="257">
        <v>0.46</v>
      </c>
      <c r="R50" s="256">
        <v>25.0</v>
      </c>
      <c r="S50" s="251"/>
      <c r="T50" s="251"/>
      <c r="U50" s="251"/>
      <c r="V50" s="251"/>
      <c r="W50" s="251"/>
      <c r="X50" s="251"/>
      <c r="Y50" s="251"/>
      <c r="Z50" s="251"/>
    </row>
    <row r="51">
      <c r="A51" s="254">
        <v>46136.0</v>
      </c>
      <c r="B51" s="251" t="str">
        <f>IFERROR(__xludf.DUMMYFUNCTION("""COMPUTED_VALUE"""),"ARC-ST-ED-10")</f>
        <v>ARC-ST-ED-10</v>
      </c>
      <c r="C51" s="251" t="s">
        <v>9006</v>
      </c>
      <c r="D51" s="252">
        <v>1.75</v>
      </c>
      <c r="E51" s="252"/>
      <c r="F51" s="252"/>
      <c r="G51" s="258">
        <v>10.0</v>
      </c>
      <c r="H51" s="258">
        <v>1.0</v>
      </c>
      <c r="I51" s="258">
        <v>0.0</v>
      </c>
      <c r="J51" s="258">
        <v>9.0</v>
      </c>
      <c r="K51" s="255" t="s">
        <v>1692</v>
      </c>
      <c r="L51" s="251"/>
      <c r="M51" s="251" t="s">
        <v>9024</v>
      </c>
      <c r="N51" s="21" t="s">
        <v>22</v>
      </c>
      <c r="O51" s="251"/>
      <c r="P51" s="256">
        <v>2.25</v>
      </c>
      <c r="Q51" s="257">
        <v>0.5625</v>
      </c>
      <c r="R51" s="256">
        <v>4.0</v>
      </c>
      <c r="S51" s="251"/>
      <c r="T51" s="251"/>
      <c r="U51" s="251"/>
      <c r="V51" s="251"/>
      <c r="W51" s="251"/>
      <c r="X51" s="251"/>
      <c r="Y51" s="251"/>
      <c r="Z51" s="251"/>
    </row>
    <row r="52">
      <c r="A52" s="254">
        <v>45931.0</v>
      </c>
      <c r="B52" s="251" t="str">
        <f>IFERROR(__xludf.DUMMYFUNCTION("""COMPUTED_VALUE"""),"ARC-ST-PL-10")</f>
        <v>ARC-ST-PL-10</v>
      </c>
      <c r="C52" s="251" t="s">
        <v>9025</v>
      </c>
      <c r="D52" s="252">
        <v>1.0</v>
      </c>
      <c r="E52" s="252"/>
      <c r="F52" s="252"/>
      <c r="G52" s="258">
        <v>10.0</v>
      </c>
      <c r="H52" s="258">
        <v>0.0</v>
      </c>
      <c r="I52" s="258">
        <v>0.0</v>
      </c>
      <c r="J52" s="258">
        <v>10.0</v>
      </c>
      <c r="K52" s="255" t="s">
        <v>1692</v>
      </c>
      <c r="L52" s="251"/>
      <c r="M52" s="251" t="s">
        <v>9026</v>
      </c>
      <c r="N52" s="21" t="s">
        <v>22</v>
      </c>
      <c r="O52" s="251"/>
      <c r="P52" s="256"/>
      <c r="Q52" s="257"/>
      <c r="R52" s="252"/>
      <c r="S52" s="251"/>
      <c r="T52" s="251"/>
      <c r="U52" s="251"/>
      <c r="V52" s="251"/>
      <c r="W52" s="251"/>
      <c r="X52" s="251"/>
      <c r="Y52" s="251"/>
      <c r="Z52" s="251"/>
    </row>
    <row r="53">
      <c r="A53" s="254">
        <v>45931.0</v>
      </c>
      <c r="B53" s="251" t="str">
        <f>IFERROR(__xludf.DUMMYFUNCTION("""COMPUTED_VALUE"""),"ARC-KC-NEP-10")</f>
        <v>ARC-KC-NEP-10</v>
      </c>
      <c r="C53" s="251" t="s">
        <v>9027</v>
      </c>
      <c r="D53" s="252">
        <v>2.5</v>
      </c>
      <c r="E53" s="252"/>
      <c r="F53" s="252"/>
      <c r="G53" s="258">
        <v>10.0</v>
      </c>
      <c r="H53" s="258">
        <v>0.0</v>
      </c>
      <c r="I53" s="258">
        <v>0.0</v>
      </c>
      <c r="J53" s="258">
        <v>10.0</v>
      </c>
      <c r="K53" s="255" t="s">
        <v>1692</v>
      </c>
      <c r="L53" s="251"/>
      <c r="M53" s="251" t="s">
        <v>9028</v>
      </c>
      <c r="N53" s="21" t="s">
        <v>22</v>
      </c>
      <c r="O53" s="251"/>
      <c r="P53" s="256"/>
      <c r="Q53" s="257"/>
      <c r="R53" s="252"/>
      <c r="S53" s="251"/>
      <c r="T53" s="251"/>
      <c r="U53" s="251"/>
      <c r="V53" s="251"/>
      <c r="W53" s="251"/>
      <c r="X53" s="251"/>
      <c r="Y53" s="251"/>
      <c r="Z53" s="251"/>
    </row>
    <row r="54">
      <c r="A54" s="254">
        <v>45931.0</v>
      </c>
      <c r="B54" s="251" t="str">
        <f>IFERROR(__xludf.DUMMYFUNCTION("""COMPUTED_VALUE"""),"ARC-TB-PA-5")</f>
        <v>ARC-TB-PA-5</v>
      </c>
      <c r="C54" s="251" t="s">
        <v>9029</v>
      </c>
      <c r="D54" s="252">
        <v>7.12</v>
      </c>
      <c r="E54" s="252"/>
      <c r="F54" s="252"/>
      <c r="G54" s="258">
        <v>5.0</v>
      </c>
      <c r="H54" s="258">
        <v>0.0</v>
      </c>
      <c r="I54" s="258">
        <v>0.0</v>
      </c>
      <c r="J54" s="258">
        <v>5.0</v>
      </c>
      <c r="K54" s="255" t="s">
        <v>1692</v>
      </c>
      <c r="L54" s="251"/>
      <c r="M54" s="251" t="s">
        <v>9030</v>
      </c>
      <c r="N54" s="21" t="s">
        <v>22</v>
      </c>
      <c r="O54" s="251"/>
      <c r="P54" s="256"/>
      <c r="Q54" s="257"/>
      <c r="R54" s="252"/>
      <c r="S54" s="251"/>
      <c r="T54" s="251"/>
      <c r="U54" s="251"/>
      <c r="V54" s="251"/>
      <c r="W54" s="251"/>
      <c r="X54" s="251"/>
      <c r="Y54" s="251"/>
      <c r="Z54" s="251"/>
    </row>
    <row r="55">
      <c r="A55" s="254">
        <v>45960.0</v>
      </c>
      <c r="B55" s="251" t="str">
        <f>IFERROR(__xludf.DUMMYFUNCTION("""COMPUTED_VALUE"""),"ARC-TB-DH-3")</f>
        <v>ARC-TB-DH-3</v>
      </c>
      <c r="C55" s="251" t="s">
        <v>9031</v>
      </c>
      <c r="D55" s="252">
        <v>7.12</v>
      </c>
      <c r="E55" s="252"/>
      <c r="F55" s="252"/>
      <c r="G55" s="258">
        <v>3.0</v>
      </c>
      <c r="H55" s="258">
        <v>1.0</v>
      </c>
      <c r="I55" s="258">
        <v>0.0</v>
      </c>
      <c r="J55" s="258">
        <v>2.0</v>
      </c>
      <c r="K55" s="255" t="s">
        <v>1692</v>
      </c>
      <c r="L55" s="251"/>
      <c r="M55" s="251" t="s">
        <v>9032</v>
      </c>
      <c r="N55" s="21" t="s">
        <v>22</v>
      </c>
      <c r="O55" s="251"/>
      <c r="P55" s="256">
        <v>7.88</v>
      </c>
      <c r="Q55" s="257">
        <v>0.5253333333333333</v>
      </c>
      <c r="R55" s="256">
        <v>15.0</v>
      </c>
      <c r="S55" s="251"/>
      <c r="T55" s="251"/>
      <c r="U55" s="251"/>
      <c r="V55" s="251"/>
      <c r="W55" s="251"/>
      <c r="X55" s="251"/>
      <c r="Y55" s="251"/>
      <c r="Z55" s="251"/>
    </row>
    <row r="56">
      <c r="A56" s="254">
        <v>45933.0</v>
      </c>
      <c r="B56" s="251" t="str">
        <f>IFERROR(__xludf.DUMMYFUNCTION("""COMPUTED_VALUE"""),"AD-KC-PLE-8")</f>
        <v>AD-KC-PLE-8</v>
      </c>
      <c r="C56" s="251" t="s">
        <v>9033</v>
      </c>
      <c r="D56" s="252">
        <v>0.81</v>
      </c>
      <c r="E56" s="252"/>
      <c r="F56" s="252"/>
      <c r="G56" s="258">
        <v>8.0</v>
      </c>
      <c r="H56" s="258">
        <v>0.0</v>
      </c>
      <c r="I56" s="258">
        <v>0.0</v>
      </c>
      <c r="J56" s="258">
        <v>8.0</v>
      </c>
      <c r="K56" s="255" t="s">
        <v>1692</v>
      </c>
      <c r="L56" s="251"/>
      <c r="M56" s="251" t="s">
        <v>9034</v>
      </c>
      <c r="N56" s="21" t="s">
        <v>22</v>
      </c>
      <c r="O56" s="251"/>
      <c r="P56" s="256"/>
      <c r="Q56" s="257"/>
      <c r="R56" s="252"/>
      <c r="S56" s="251"/>
      <c r="T56" s="251"/>
      <c r="U56" s="251"/>
      <c r="V56" s="251"/>
      <c r="W56" s="251"/>
      <c r="X56" s="251"/>
      <c r="Y56" s="251"/>
      <c r="Z56" s="251"/>
    </row>
    <row r="57">
      <c r="A57" s="254">
        <v>45828.0</v>
      </c>
      <c r="B57" s="251" t="str">
        <f>IFERROR(__xludf.DUMMYFUNCTION("""COMPUTED_VALUE"""),"RO-PO-4-CL-2")</f>
        <v>RO-PO-4-CL-2</v>
      </c>
      <c r="C57" s="251" t="s">
        <v>8953</v>
      </c>
      <c r="D57" s="252">
        <v>0.24</v>
      </c>
      <c r="E57" s="252">
        <v>1.0</v>
      </c>
      <c r="F57" s="252"/>
      <c r="G57" s="258">
        <v>100.0</v>
      </c>
      <c r="H57" s="258">
        <v>0.0</v>
      </c>
      <c r="I57" s="258">
        <v>5.0</v>
      </c>
      <c r="J57" s="258">
        <v>95.0</v>
      </c>
      <c r="K57" s="255" t="s">
        <v>1692</v>
      </c>
      <c r="L57" s="251"/>
      <c r="M57" s="251" t="s">
        <v>9035</v>
      </c>
      <c r="N57" s="21" t="s">
        <v>22</v>
      </c>
      <c r="O57" s="251"/>
      <c r="P57" s="256"/>
      <c r="Q57" s="257"/>
      <c r="R57" s="252"/>
      <c r="S57" s="251"/>
      <c r="T57" s="251"/>
      <c r="U57" s="251"/>
      <c r="V57" s="251"/>
      <c r="W57" s="251"/>
      <c r="X57" s="251"/>
      <c r="Y57" s="251"/>
      <c r="Z57" s="251"/>
    </row>
    <row r="58">
      <c r="A58" s="254">
        <v>45938.0</v>
      </c>
      <c r="B58" s="251" t="str">
        <f>IFERROR(__xludf.DUMMYFUNCTION("""COMPUTED_VALUE"""),"ST-PO-0-CU-1")</f>
        <v>ST-PO-0-CU-1</v>
      </c>
      <c r="C58" s="251" t="s">
        <v>9036</v>
      </c>
      <c r="D58" s="252">
        <v>0.0</v>
      </c>
      <c r="E58" s="252"/>
      <c r="F58" s="252"/>
      <c r="G58" s="258"/>
      <c r="H58" s="258"/>
      <c r="I58" s="258"/>
      <c r="J58" s="258"/>
      <c r="K58" s="255"/>
      <c r="L58" s="251"/>
      <c r="M58" s="251"/>
      <c r="N58" s="21"/>
      <c r="O58" s="251"/>
      <c r="P58" s="256"/>
      <c r="Q58" s="257"/>
      <c r="R58" s="252"/>
      <c r="S58" s="251"/>
      <c r="T58" s="251"/>
      <c r="U58" s="251"/>
      <c r="V58" s="251"/>
      <c r="W58" s="251"/>
      <c r="X58" s="251"/>
      <c r="Y58" s="251"/>
      <c r="Z58" s="251"/>
    </row>
    <row r="59">
      <c r="A59" s="254">
        <v>45938.0</v>
      </c>
      <c r="B59" s="251" t="str">
        <f>IFERROR(__xludf.DUMMYFUNCTION("""COMPUTED_VALUE"""),"ST-PO-4-NU-1")</f>
        <v>ST-PO-4-NU-1</v>
      </c>
      <c r="C59" s="251" t="s">
        <v>9037</v>
      </c>
      <c r="D59" s="252">
        <v>0.0</v>
      </c>
      <c r="E59" s="252">
        <v>0.25</v>
      </c>
      <c r="F59" s="252"/>
      <c r="G59" s="258"/>
      <c r="H59" s="258"/>
      <c r="I59" s="258"/>
      <c r="J59" s="258"/>
      <c r="K59" s="255"/>
      <c r="L59" s="251"/>
      <c r="M59" s="251"/>
      <c r="N59" s="21"/>
      <c r="O59" s="251"/>
      <c r="P59" s="256"/>
      <c r="Q59" s="257"/>
      <c r="R59" s="252"/>
      <c r="S59" s="251"/>
      <c r="T59" s="251"/>
      <c r="U59" s="251"/>
      <c r="V59" s="251"/>
      <c r="W59" s="251"/>
      <c r="X59" s="251"/>
      <c r="Y59" s="251"/>
      <c r="Z59" s="251"/>
    </row>
    <row r="60">
      <c r="A60" s="254">
        <v>45938.0</v>
      </c>
      <c r="B60" s="251" t="str">
        <f>IFERROR(__xludf.DUMMYFUNCTION("""COMPUTED_VALUE"""),"ST-PO-3-NU-1")</f>
        <v>ST-PO-3-NU-1</v>
      </c>
      <c r="C60" s="251" t="s">
        <v>9037</v>
      </c>
      <c r="D60" s="252">
        <v>0.0</v>
      </c>
      <c r="E60" s="252"/>
      <c r="F60" s="252"/>
      <c r="G60" s="258"/>
      <c r="H60" s="258"/>
      <c r="I60" s="258"/>
      <c r="J60" s="258"/>
      <c r="K60" s="255"/>
      <c r="L60" s="251"/>
      <c r="M60" s="251"/>
      <c r="N60" s="21"/>
      <c r="O60" s="251"/>
      <c r="P60" s="256"/>
      <c r="Q60" s="257"/>
      <c r="R60" s="252"/>
      <c r="S60" s="251"/>
      <c r="T60" s="251"/>
      <c r="U60" s="251"/>
      <c r="V60" s="251"/>
      <c r="W60" s="251"/>
      <c r="X60" s="251"/>
      <c r="Y60" s="251"/>
      <c r="Z60" s="251"/>
    </row>
    <row r="61">
      <c r="A61" s="254">
        <v>45938.0</v>
      </c>
      <c r="B61" s="251" t="str">
        <f>IFERROR(__xludf.DUMMYFUNCTION("""COMPUTED_VALUE"""),"ST-PO-6-NU-1")</f>
        <v>ST-PO-6-NU-1</v>
      </c>
      <c r="C61" s="251" t="s">
        <v>9037</v>
      </c>
      <c r="D61" s="252">
        <v>0.0</v>
      </c>
      <c r="E61" s="252"/>
      <c r="F61" s="252"/>
      <c r="G61" s="258"/>
      <c r="H61" s="258"/>
      <c r="I61" s="258"/>
      <c r="J61" s="258"/>
      <c r="K61" s="255"/>
      <c r="L61" s="251"/>
      <c r="M61" s="251"/>
      <c r="N61" s="21"/>
      <c r="O61" s="251"/>
      <c r="P61" s="256"/>
      <c r="Q61" s="257"/>
      <c r="R61" s="252"/>
      <c r="S61" s="251"/>
      <c r="T61" s="251"/>
      <c r="U61" s="251"/>
      <c r="V61" s="251"/>
      <c r="W61" s="251"/>
      <c r="X61" s="251"/>
      <c r="Y61" s="251"/>
      <c r="Z61" s="251"/>
    </row>
    <row r="62">
      <c r="A62" s="254">
        <v>45938.0</v>
      </c>
      <c r="B62" s="251" t="str">
        <f>IFERROR(__xludf.DUMMYFUNCTION("""COMPUTED_VALUE"""),"ST-PO-2-NU-1")</f>
        <v>ST-PO-2-NU-1</v>
      </c>
      <c r="C62" s="251" t="s">
        <v>9037</v>
      </c>
      <c r="D62" s="252">
        <v>0.0</v>
      </c>
      <c r="E62" s="252"/>
      <c r="F62" s="252"/>
      <c r="G62" s="258"/>
      <c r="H62" s="258"/>
      <c r="I62" s="258"/>
      <c r="J62" s="258"/>
      <c r="K62" s="255"/>
      <c r="L62" s="251"/>
      <c r="M62" s="251"/>
      <c r="N62" s="21"/>
      <c r="O62" s="251"/>
      <c r="P62" s="256"/>
      <c r="Q62" s="257"/>
      <c r="R62" s="252"/>
      <c r="S62" s="251"/>
      <c r="T62" s="251"/>
      <c r="U62" s="251"/>
      <c r="V62" s="251"/>
      <c r="W62" s="251"/>
      <c r="X62" s="251"/>
      <c r="Y62" s="251"/>
      <c r="Z62" s="251"/>
    </row>
    <row r="63">
      <c r="A63" s="254">
        <v>45938.0</v>
      </c>
      <c r="B63" s="251" t="str">
        <f>IFERROR(__xludf.DUMMYFUNCTION("""COMPUTED_VALUE"""),"ST-PO-0-PL-1")</f>
        <v>ST-PO-0-PL-1</v>
      </c>
      <c r="C63" s="251" t="s">
        <v>9038</v>
      </c>
      <c r="D63" s="252">
        <v>0.0</v>
      </c>
      <c r="E63" s="252"/>
      <c r="F63" s="252"/>
      <c r="G63" s="258"/>
      <c r="H63" s="258"/>
      <c r="I63" s="258"/>
      <c r="J63" s="258"/>
      <c r="K63" s="255"/>
      <c r="L63" s="251"/>
      <c r="M63" s="251"/>
      <c r="N63" s="21"/>
      <c r="O63" s="251"/>
      <c r="P63" s="256"/>
      <c r="Q63" s="257"/>
      <c r="R63" s="252"/>
      <c r="S63" s="251"/>
      <c r="T63" s="251"/>
      <c r="U63" s="251"/>
      <c r="V63" s="251"/>
      <c r="W63" s="251"/>
      <c r="X63" s="251"/>
      <c r="Y63" s="251"/>
      <c r="Z63" s="251"/>
    </row>
    <row r="64">
      <c r="A64" s="254">
        <v>45938.0</v>
      </c>
      <c r="B64" s="251" t="str">
        <f>IFERROR(__xludf.DUMMYFUNCTION("""COMPUTED_VALUE"""),"ST-PO-6-HA-1")</f>
        <v>ST-PO-6-HA-1</v>
      </c>
      <c r="C64" s="251" t="s">
        <v>9039</v>
      </c>
      <c r="D64" s="252">
        <v>0.0</v>
      </c>
      <c r="E64" s="252"/>
      <c r="F64" s="252"/>
      <c r="G64" s="258"/>
      <c r="H64" s="258"/>
      <c r="I64" s="258"/>
      <c r="J64" s="258"/>
      <c r="K64" s="255"/>
      <c r="L64" s="251"/>
      <c r="M64" s="251"/>
      <c r="N64" s="21"/>
      <c r="O64" s="251"/>
      <c r="P64" s="256"/>
      <c r="Q64" s="257"/>
      <c r="R64" s="252"/>
      <c r="S64" s="251"/>
      <c r="T64" s="251"/>
      <c r="U64" s="251"/>
      <c r="V64" s="251"/>
      <c r="W64" s="251"/>
      <c r="X64" s="251"/>
      <c r="Y64" s="251"/>
      <c r="Z64" s="251"/>
    </row>
    <row r="65">
      <c r="A65" s="254">
        <v>45938.0</v>
      </c>
      <c r="B65" s="251" t="str">
        <f>IFERROR(__xludf.DUMMYFUNCTION("""COMPUTED_VALUE"""),"ST-PO-0-STA-1")</f>
        <v>ST-PO-0-STA-1</v>
      </c>
      <c r="C65" s="251" t="s">
        <v>9040</v>
      </c>
      <c r="D65" s="252">
        <v>0.0</v>
      </c>
      <c r="E65" s="252"/>
      <c r="F65" s="252"/>
      <c r="G65" s="258"/>
      <c r="H65" s="258"/>
      <c r="I65" s="258"/>
      <c r="J65" s="258"/>
      <c r="K65" s="255"/>
      <c r="L65" s="251"/>
      <c r="M65" s="251"/>
      <c r="N65" s="21"/>
      <c r="O65" s="251"/>
      <c r="P65" s="256"/>
      <c r="Q65" s="257"/>
      <c r="R65" s="252"/>
      <c r="S65" s="251"/>
      <c r="T65" s="251"/>
      <c r="U65" s="251"/>
      <c r="V65" s="251"/>
      <c r="W65" s="251"/>
      <c r="X65" s="251"/>
      <c r="Y65" s="251"/>
      <c r="Z65" s="251"/>
    </row>
    <row r="66">
      <c r="A66" s="254">
        <v>45928.0</v>
      </c>
      <c r="B66" s="251" t="str">
        <f>IFERROR(__xludf.DUMMYFUNCTION("""COMPUTED_VALUE"""),"FL-EA-PLA-6")</f>
        <v>FL-EA-PLA-6</v>
      </c>
      <c r="C66" s="251" t="s">
        <v>9041</v>
      </c>
      <c r="D66" s="252">
        <v>0.96</v>
      </c>
      <c r="E66" s="252"/>
      <c r="F66" s="252"/>
      <c r="G66" s="258">
        <v>6.0</v>
      </c>
      <c r="H66" s="258">
        <v>0.0</v>
      </c>
      <c r="I66" s="258">
        <v>0.0</v>
      </c>
      <c r="J66" s="258">
        <v>6.0</v>
      </c>
      <c r="K66" s="255" t="s">
        <v>1692</v>
      </c>
      <c r="L66" s="251"/>
      <c r="M66" s="251" t="s">
        <v>9042</v>
      </c>
      <c r="N66" s="21" t="s">
        <v>22</v>
      </c>
      <c r="O66" s="251"/>
      <c r="P66" s="256"/>
      <c r="Q66" s="257"/>
      <c r="R66" s="252"/>
      <c r="S66" s="251"/>
      <c r="T66" s="251"/>
      <c r="U66" s="251"/>
      <c r="V66" s="251"/>
      <c r="W66" s="251"/>
      <c r="X66" s="251"/>
      <c r="Y66" s="251"/>
      <c r="Z66" s="251"/>
    </row>
    <row r="67">
      <c r="A67" s="254">
        <v>45928.0</v>
      </c>
      <c r="B67" s="251" t="str">
        <f>IFERROR(__xludf.DUMMYFUNCTION("""COMPUTED_VALUE"""),"YY-EA-PL-7")</f>
        <v>YY-EA-PL-7</v>
      </c>
      <c r="C67" s="251" t="s">
        <v>9043</v>
      </c>
      <c r="D67" s="252">
        <v>0.48</v>
      </c>
      <c r="E67" s="252"/>
      <c r="F67" s="252"/>
      <c r="G67" s="258">
        <v>7.0</v>
      </c>
      <c r="H67" s="258">
        <v>0.0</v>
      </c>
      <c r="I67" s="258">
        <v>0.0</v>
      </c>
      <c r="J67" s="258">
        <v>7.0</v>
      </c>
      <c r="K67" s="255" t="s">
        <v>1692</v>
      </c>
      <c r="L67" s="251"/>
      <c r="M67" s="251" t="s">
        <v>9044</v>
      </c>
      <c r="N67" s="21" t="s">
        <v>22</v>
      </c>
      <c r="O67" s="251"/>
      <c r="P67" s="256"/>
      <c r="Q67" s="257"/>
      <c r="R67" s="252"/>
      <c r="S67" s="251"/>
      <c r="T67" s="251"/>
      <c r="U67" s="251"/>
      <c r="V67" s="251"/>
      <c r="W67" s="251"/>
      <c r="X67" s="251"/>
      <c r="Y67" s="251"/>
      <c r="Z67" s="251"/>
    </row>
    <row r="68">
      <c r="A68" s="254">
        <v>45958.0</v>
      </c>
      <c r="B68" s="251" t="str">
        <f>IFERROR(__xludf.DUMMYFUNCTION("""COMPUTED_VALUE"""),"AS-ST-PL-100")</f>
        <v>AS-ST-PL-100</v>
      </c>
      <c r="C68" s="251" t="s">
        <v>9025</v>
      </c>
      <c r="D68" s="252">
        <v>0.04</v>
      </c>
      <c r="E68" s="252"/>
      <c r="F68" s="252"/>
      <c r="G68" s="258">
        <v>100.0</v>
      </c>
      <c r="H68" s="258">
        <v>0.0</v>
      </c>
      <c r="I68" s="258">
        <v>0.0</v>
      </c>
      <c r="J68" s="258">
        <v>100.0</v>
      </c>
      <c r="K68" s="255" t="s">
        <v>1692</v>
      </c>
      <c r="L68" s="251"/>
      <c r="M68" s="251" t="s">
        <v>9045</v>
      </c>
      <c r="N68" s="21" t="s">
        <v>22</v>
      </c>
      <c r="O68" s="251"/>
      <c r="P68" s="256"/>
      <c r="Q68" s="257"/>
      <c r="R68" s="252"/>
      <c r="S68" s="251"/>
      <c r="T68" s="251"/>
      <c r="U68" s="251"/>
      <c r="V68" s="251"/>
      <c r="W68" s="251"/>
      <c r="X68" s="251"/>
      <c r="Y68" s="251"/>
      <c r="Z68" s="251"/>
    </row>
    <row r="69">
      <c r="A69" s="254">
        <v>45958.0</v>
      </c>
      <c r="B69" s="251" t="str">
        <f>IFERROR(__xludf.DUMMYFUNCTION("""COMPUTED_VALUE"""),"ZX-ST-PL-100")</f>
        <v>ZX-ST-PL-100</v>
      </c>
      <c r="C69" s="251" t="s">
        <v>9025</v>
      </c>
      <c r="D69" s="252">
        <v>0.03</v>
      </c>
      <c r="E69" s="252"/>
      <c r="F69" s="252"/>
      <c r="G69" s="258">
        <v>100.0</v>
      </c>
      <c r="H69" s="258">
        <v>0.0</v>
      </c>
      <c r="I69" s="258">
        <v>0.0</v>
      </c>
      <c r="J69" s="258">
        <v>100.0</v>
      </c>
      <c r="K69" s="255" t="s">
        <v>1692</v>
      </c>
      <c r="L69" s="251"/>
      <c r="M69" s="251" t="s">
        <v>9046</v>
      </c>
      <c r="N69" s="21" t="s">
        <v>22</v>
      </c>
      <c r="O69" s="251"/>
      <c r="P69" s="256"/>
      <c r="Q69" s="257"/>
      <c r="R69" s="252"/>
      <c r="S69" s="251"/>
      <c r="T69" s="251"/>
      <c r="U69" s="251"/>
      <c r="V69" s="251"/>
      <c r="W69" s="251"/>
      <c r="X69" s="251"/>
      <c r="Y69" s="251"/>
      <c r="Z69" s="251"/>
    </row>
    <row r="70">
      <c r="A70" s="254">
        <v>45958.0</v>
      </c>
      <c r="B70" s="251" t="str">
        <f>IFERROR(__xludf.DUMMYFUNCTION("""COMPUTED_VALUE"""),"ZW-ST-PLA-100")</f>
        <v>ZW-ST-PLA-100</v>
      </c>
      <c r="C70" s="251" t="s">
        <v>9047</v>
      </c>
      <c r="D70" s="252">
        <v>0.02</v>
      </c>
      <c r="E70" s="252"/>
      <c r="F70" s="252"/>
      <c r="G70" s="258">
        <v>100.0</v>
      </c>
      <c r="H70" s="258">
        <v>0.0</v>
      </c>
      <c r="I70" s="258">
        <v>0.0</v>
      </c>
      <c r="J70" s="258">
        <v>100.0</v>
      </c>
      <c r="K70" s="255" t="s">
        <v>1692</v>
      </c>
      <c r="L70" s="251"/>
      <c r="M70" s="251" t="s">
        <v>9048</v>
      </c>
      <c r="N70" s="21" t="s">
        <v>22</v>
      </c>
      <c r="O70" s="251"/>
      <c r="P70" s="256"/>
      <c r="Q70" s="257"/>
      <c r="R70" s="252"/>
      <c r="S70" s="251"/>
      <c r="T70" s="251"/>
      <c r="U70" s="251"/>
      <c r="V70" s="251"/>
      <c r="W70" s="251"/>
      <c r="X70" s="251"/>
      <c r="Y70" s="251"/>
      <c r="Z70" s="251"/>
    </row>
    <row r="71">
      <c r="A71" s="254">
        <v>45960.0</v>
      </c>
      <c r="B71" s="251" t="str">
        <f>IFERROR(__xludf.DUMMYFUNCTION("""COMPUTED_VALUE"""),"FS-KC-PLA-7")</f>
        <v>FS-KC-PLA-7</v>
      </c>
      <c r="C71" s="251" t="s">
        <v>9049</v>
      </c>
      <c r="D71" s="252">
        <v>0.57</v>
      </c>
      <c r="E71" s="252"/>
      <c r="F71" s="252"/>
      <c r="G71" s="258">
        <v>7.0</v>
      </c>
      <c r="H71" s="258">
        <v>1.0</v>
      </c>
      <c r="I71" s="258">
        <v>0.0</v>
      </c>
      <c r="J71" s="258">
        <v>6.0</v>
      </c>
      <c r="K71" s="255" t="s">
        <v>1692</v>
      </c>
      <c r="L71" s="251"/>
      <c r="M71" s="251" t="s">
        <v>9050</v>
      </c>
      <c r="N71" s="21" t="s">
        <v>22</v>
      </c>
      <c r="O71" s="251"/>
      <c r="P71" s="256">
        <v>3.43</v>
      </c>
      <c r="Q71" s="257">
        <v>0.8575</v>
      </c>
      <c r="R71" s="256">
        <v>4.0</v>
      </c>
      <c r="S71" s="251"/>
      <c r="T71" s="251"/>
      <c r="U71" s="251"/>
      <c r="V71" s="251"/>
      <c r="W71" s="251"/>
      <c r="X71" s="251"/>
      <c r="Y71" s="251"/>
      <c r="Z71" s="251"/>
    </row>
    <row r="72">
      <c r="A72" s="254">
        <v>45958.0</v>
      </c>
      <c r="B72" s="251" t="str">
        <f>IFERROR(__xludf.DUMMYFUNCTION("""COMPUTED_VALUE"""),"AN-DE-PLA-12")</f>
        <v>AN-DE-PLA-12</v>
      </c>
      <c r="C72" s="251" t="s">
        <v>9051</v>
      </c>
      <c r="D72" s="252">
        <v>0.39</v>
      </c>
      <c r="E72" s="252"/>
      <c r="F72" s="252"/>
      <c r="G72" s="258">
        <v>12.0</v>
      </c>
      <c r="H72" s="258">
        <v>0.0</v>
      </c>
      <c r="I72" s="258">
        <v>0.0</v>
      </c>
      <c r="J72" s="258">
        <v>12.0</v>
      </c>
      <c r="K72" s="255" t="s">
        <v>1692</v>
      </c>
      <c r="L72" s="251"/>
      <c r="M72" s="251" t="s">
        <v>9052</v>
      </c>
      <c r="N72" s="21" t="s">
        <v>22</v>
      </c>
      <c r="O72" s="251"/>
      <c r="P72" s="256"/>
      <c r="Q72" s="257"/>
      <c r="R72" s="252"/>
      <c r="S72" s="251"/>
      <c r="T72" s="251"/>
      <c r="U72" s="251"/>
      <c r="V72" s="251"/>
      <c r="W72" s="251"/>
      <c r="X72" s="251"/>
      <c r="Y72" s="251"/>
      <c r="Z72" s="251"/>
    </row>
    <row r="73">
      <c r="A73" s="254">
        <v>45928.0</v>
      </c>
      <c r="B73" s="251" t="str">
        <f>IFERROR(__xludf.DUMMYFUNCTION("""COMPUTED_VALUE"""),"CM-CK-PL-1")</f>
        <v>CM-CK-PL-1</v>
      </c>
      <c r="C73" s="251" t="s">
        <v>9053</v>
      </c>
      <c r="D73" s="252">
        <v>10.8</v>
      </c>
      <c r="E73" s="252"/>
      <c r="F73" s="252"/>
      <c r="G73" s="258">
        <v>1.0</v>
      </c>
      <c r="H73" s="258">
        <v>0.0</v>
      </c>
      <c r="I73" s="258">
        <v>0.0</v>
      </c>
      <c r="J73" s="258">
        <v>1.0</v>
      </c>
      <c r="K73" s="255" t="s">
        <v>1692</v>
      </c>
      <c r="L73" s="251"/>
      <c r="M73" s="251" t="s">
        <v>9054</v>
      </c>
      <c r="N73" s="21" t="s">
        <v>22</v>
      </c>
      <c r="O73" s="251"/>
      <c r="P73" s="256"/>
      <c r="Q73" s="257"/>
      <c r="R73" s="252"/>
      <c r="S73" s="251"/>
      <c r="T73" s="251"/>
      <c r="U73" s="251"/>
      <c r="V73" s="251"/>
      <c r="W73" s="251"/>
      <c r="X73" s="251"/>
      <c r="Y73" s="251"/>
      <c r="Z73" s="251"/>
    </row>
    <row r="74">
      <c r="A74" s="254">
        <v>45951.0</v>
      </c>
      <c r="B74" s="251" t="str">
        <f>IFERROR(__xludf.DUMMYFUNCTION("""COMPUTED_VALUE"""),"YCS-CK-PLA-1")</f>
        <v>YCS-CK-PLA-1</v>
      </c>
      <c r="C74" s="251" t="s">
        <v>9055</v>
      </c>
      <c r="D74" s="252">
        <v>51.2</v>
      </c>
      <c r="E74" s="252"/>
      <c r="F74" s="252"/>
      <c r="G74" s="258">
        <v>1.0</v>
      </c>
      <c r="H74" s="258">
        <v>0.0</v>
      </c>
      <c r="I74" s="258">
        <v>0.0</v>
      </c>
      <c r="J74" s="258">
        <v>1.0</v>
      </c>
      <c r="K74" s="255" t="s">
        <v>1692</v>
      </c>
      <c r="L74" s="251"/>
      <c r="M74" s="251" t="s">
        <v>9056</v>
      </c>
      <c r="N74" s="21" t="s">
        <v>22</v>
      </c>
      <c r="O74" s="251"/>
      <c r="P74" s="256"/>
      <c r="Q74" s="257"/>
      <c r="R74" s="252"/>
      <c r="S74" s="251"/>
      <c r="T74" s="251"/>
      <c r="U74" s="251"/>
      <c r="V74" s="251"/>
      <c r="W74" s="251"/>
      <c r="X74" s="251"/>
      <c r="Y74" s="251"/>
      <c r="Z74" s="251"/>
    </row>
    <row r="75">
      <c r="A75" s="254">
        <v>45986.0</v>
      </c>
      <c r="B75" s="251" t="str">
        <f>IFERROR(__xludf.DUMMYFUNCTION("""COMPUTED_VALUE"""),"UN-PA-HPA-3")</f>
        <v>UN-PA-HPA-3</v>
      </c>
      <c r="C75" s="251" t="s">
        <v>9057</v>
      </c>
      <c r="D75" s="252">
        <v>5.66</v>
      </c>
      <c r="E75" s="252"/>
      <c r="F75" s="252"/>
      <c r="G75" s="258">
        <v>3.0</v>
      </c>
      <c r="H75" s="258">
        <v>3.0</v>
      </c>
      <c r="I75" s="258">
        <v>0.0</v>
      </c>
      <c r="J75" s="258">
        <v>0.0</v>
      </c>
      <c r="K75" s="255" t="s">
        <v>1626</v>
      </c>
      <c r="L75" s="251"/>
      <c r="M75" s="251" t="s">
        <v>9058</v>
      </c>
      <c r="N75" s="21" t="s">
        <v>22</v>
      </c>
      <c r="O75" s="251"/>
      <c r="P75" s="256">
        <v>-1.6600000000000001</v>
      </c>
      <c r="Q75" s="257">
        <v>-0.41500000000000004</v>
      </c>
      <c r="R75" s="256">
        <v>4.0</v>
      </c>
      <c r="S75" s="251"/>
      <c r="T75" s="251"/>
      <c r="U75" s="251"/>
      <c r="V75" s="251"/>
      <c r="W75" s="251"/>
      <c r="X75" s="251"/>
      <c r="Y75" s="251"/>
      <c r="Z75" s="251"/>
    </row>
    <row r="76">
      <c r="A76" s="254">
        <v>45928.0</v>
      </c>
      <c r="B76" s="251" t="str">
        <f>IFERROR(__xludf.DUMMYFUNCTION("""COMPUTED_VALUE"""),"MU-PO-3-MU-1")</f>
        <v>MU-PO-3-MU-1</v>
      </c>
      <c r="C76" s="251" t="s">
        <v>8951</v>
      </c>
      <c r="D76" s="252">
        <v>0.47</v>
      </c>
      <c r="E76" s="252"/>
      <c r="F76" s="252"/>
      <c r="G76" s="258">
        <v>50.0</v>
      </c>
      <c r="H76" s="258">
        <v>0.0</v>
      </c>
      <c r="I76" s="258">
        <v>9.0</v>
      </c>
      <c r="J76" s="258">
        <v>41.0</v>
      </c>
      <c r="K76" s="255" t="s">
        <v>1692</v>
      </c>
      <c r="L76" s="251"/>
      <c r="M76" s="251" t="s">
        <v>9059</v>
      </c>
      <c r="N76" s="21" t="s">
        <v>22</v>
      </c>
      <c r="O76" s="251"/>
      <c r="P76" s="256"/>
      <c r="Q76" s="257"/>
      <c r="R76" s="252"/>
      <c r="S76" s="251"/>
      <c r="T76" s="251"/>
      <c r="U76" s="251"/>
      <c r="V76" s="251"/>
      <c r="W76" s="251"/>
      <c r="X76" s="251"/>
      <c r="Y76" s="251"/>
      <c r="Z76" s="251"/>
    </row>
    <row r="77">
      <c r="A77" s="254">
        <v>45938.0</v>
      </c>
      <c r="B77" s="251" t="str">
        <f>IFERROR(__xludf.DUMMYFUNCTION("""COMPUTED_VALUE"""),"ST-PO-5-NU-1")</f>
        <v>ST-PO-5-NU-1</v>
      </c>
      <c r="C77" s="251" t="s">
        <v>9037</v>
      </c>
      <c r="D77" s="252">
        <v>0.0</v>
      </c>
      <c r="E77" s="252"/>
      <c r="F77" s="252"/>
      <c r="G77" s="258"/>
      <c r="H77" s="258"/>
      <c r="I77" s="258"/>
      <c r="J77" s="258"/>
      <c r="K77" s="255"/>
      <c r="L77" s="251"/>
      <c r="M77" s="251"/>
      <c r="N77" s="21"/>
      <c r="O77" s="251"/>
      <c r="P77" s="256"/>
      <c r="Q77" s="257"/>
      <c r="R77" s="252"/>
      <c r="S77" s="251"/>
      <c r="T77" s="251"/>
      <c r="U77" s="251"/>
      <c r="V77" s="251"/>
      <c r="W77" s="251"/>
      <c r="X77" s="251"/>
      <c r="Y77" s="251"/>
      <c r="Z77" s="251"/>
    </row>
    <row r="78">
      <c r="A78" s="254">
        <v>46008.0</v>
      </c>
      <c r="B78" s="251" t="str">
        <f>IFERROR(__xludf.DUMMYFUNCTION("""COMPUTED_VALUE"""),"UN-PA-HPA-10")</f>
        <v>UN-PA-HPA-10</v>
      </c>
      <c r="C78" s="251" t="s">
        <v>9057</v>
      </c>
      <c r="D78" s="252">
        <v>1.9</v>
      </c>
      <c r="E78" s="252"/>
      <c r="F78" s="252"/>
      <c r="G78" s="258">
        <v>10.0</v>
      </c>
      <c r="H78" s="258">
        <v>1.0</v>
      </c>
      <c r="I78" s="258">
        <v>0.0</v>
      </c>
      <c r="J78" s="258">
        <v>9.0</v>
      </c>
      <c r="K78" s="255" t="s">
        <v>1692</v>
      </c>
      <c r="L78" s="251"/>
      <c r="M78" s="251" t="s">
        <v>9060</v>
      </c>
      <c r="N78" s="21" t="s">
        <v>22</v>
      </c>
      <c r="O78" s="251"/>
      <c r="P78" s="256">
        <v>4.1</v>
      </c>
      <c r="Q78" s="257">
        <v>0.6833333333333332</v>
      </c>
      <c r="R78" s="256">
        <v>6.0</v>
      </c>
      <c r="S78" s="251"/>
      <c r="T78" s="251"/>
      <c r="U78" s="251"/>
      <c r="V78" s="251"/>
      <c r="W78" s="251"/>
      <c r="X78" s="251"/>
      <c r="Y78" s="251"/>
      <c r="Z78" s="251"/>
    </row>
    <row r="79">
      <c r="A79" s="254">
        <v>45958.0</v>
      </c>
      <c r="B79" s="251" t="str">
        <f>IFERROR(__xludf.DUMMYFUNCTION("""COMPUTED_VALUE"""),"PS-ST-PL-50")</f>
        <v>PS-ST-PL-50</v>
      </c>
      <c r="C79" s="251" t="s">
        <v>9025</v>
      </c>
      <c r="D79" s="252">
        <v>0.04</v>
      </c>
      <c r="E79" s="252"/>
      <c r="F79" s="252"/>
      <c r="G79" s="258">
        <v>50.0</v>
      </c>
      <c r="H79" s="258">
        <v>0.0</v>
      </c>
      <c r="I79" s="258">
        <v>0.0</v>
      </c>
      <c r="J79" s="258">
        <v>50.0</v>
      </c>
      <c r="K79" s="255" t="s">
        <v>1692</v>
      </c>
      <c r="L79" s="251"/>
      <c r="M79" s="251" t="s">
        <v>9061</v>
      </c>
      <c r="N79" s="21" t="s">
        <v>22</v>
      </c>
      <c r="O79" s="251"/>
      <c r="P79" s="256"/>
      <c r="Q79" s="257"/>
      <c r="R79" s="252"/>
      <c r="S79" s="251"/>
      <c r="T79" s="251"/>
      <c r="U79" s="251"/>
      <c r="V79" s="251"/>
      <c r="W79" s="251"/>
      <c r="X79" s="251"/>
      <c r="Y79" s="251"/>
      <c r="Z79" s="251"/>
    </row>
    <row r="80">
      <c r="A80" s="254">
        <v>46106.0</v>
      </c>
      <c r="B80" s="251" t="str">
        <f>IFERROR(__xludf.DUMMYFUNCTION("""COMPUTED_VALUE"""),"BS-SO-HO-1")</f>
        <v>BS-SO-HO-1</v>
      </c>
      <c r="C80" s="251" t="s">
        <v>9062</v>
      </c>
      <c r="D80" s="252">
        <v>4.17</v>
      </c>
      <c r="E80" s="252">
        <v>16.0</v>
      </c>
      <c r="F80" s="256">
        <v>10.0</v>
      </c>
      <c r="G80" s="258">
        <v>4.0</v>
      </c>
      <c r="H80" s="258">
        <v>1.0</v>
      </c>
      <c r="I80" s="258">
        <v>3.0</v>
      </c>
      <c r="J80" s="258">
        <v>0.0</v>
      </c>
      <c r="K80" s="255" t="s">
        <v>1602</v>
      </c>
      <c r="L80" s="251"/>
      <c r="M80" s="251" t="s">
        <v>9063</v>
      </c>
      <c r="N80" s="21" t="s">
        <v>22</v>
      </c>
      <c r="O80" s="251"/>
      <c r="P80" s="256">
        <v>5.83</v>
      </c>
      <c r="Q80" s="257">
        <v>0.583</v>
      </c>
      <c r="R80" s="256">
        <v>10.0</v>
      </c>
      <c r="S80" s="251"/>
      <c r="T80" s="251"/>
      <c r="U80" s="251"/>
      <c r="V80" s="251"/>
      <c r="W80" s="251"/>
      <c r="X80" s="251"/>
      <c r="Y80" s="251"/>
      <c r="Z80" s="251"/>
    </row>
    <row r="81">
      <c r="A81" s="254">
        <v>46004.0</v>
      </c>
      <c r="B81" s="251" t="str">
        <f>IFERROR(__xludf.DUMMYFUNCTION("""COMPUTED_VALUE"""),"BS-SO-ACM-1")</f>
        <v>BS-SO-ACM-1</v>
      </c>
      <c r="C81" s="251" t="s">
        <v>9064</v>
      </c>
      <c r="D81" s="252">
        <v>6.81</v>
      </c>
      <c r="E81" s="252">
        <v>22.0</v>
      </c>
      <c r="F81" s="256">
        <v>20.0</v>
      </c>
      <c r="G81" s="258">
        <v>4.5</v>
      </c>
      <c r="H81" s="258">
        <v>0.0</v>
      </c>
      <c r="I81" s="258">
        <v>4.5</v>
      </c>
      <c r="J81" s="258">
        <v>0.0</v>
      </c>
      <c r="K81" s="255" t="s">
        <v>1602</v>
      </c>
      <c r="L81" s="251"/>
      <c r="M81" s="251" t="s">
        <v>9065</v>
      </c>
      <c r="N81" s="21" t="s">
        <v>22</v>
      </c>
      <c r="O81" s="251"/>
      <c r="P81" s="256">
        <v>13.190000000000001</v>
      </c>
      <c r="Q81" s="257">
        <v>0.6595000000000001</v>
      </c>
      <c r="R81" s="256"/>
      <c r="S81" s="251"/>
      <c r="T81" s="251"/>
      <c r="U81" s="251"/>
      <c r="V81" s="251"/>
      <c r="W81" s="251"/>
      <c r="X81" s="251"/>
      <c r="Y81" s="251"/>
      <c r="Z81" s="251"/>
    </row>
    <row r="82">
      <c r="A82" s="254">
        <v>46111.0</v>
      </c>
      <c r="B82" s="251" t="str">
        <f>IFERROR(__xludf.DUMMYFUNCTION("""COMPUTED_VALUE"""),"BS-SO-AL-1")</f>
        <v>BS-SO-AL-1</v>
      </c>
      <c r="C82" s="251" t="s">
        <v>9066</v>
      </c>
      <c r="D82" s="252">
        <v>4.54</v>
      </c>
      <c r="E82" s="252">
        <v>18.0</v>
      </c>
      <c r="F82" s="256">
        <v>12.0</v>
      </c>
      <c r="G82" s="258">
        <v>6.0</v>
      </c>
      <c r="H82" s="258">
        <v>1.0</v>
      </c>
      <c r="I82" s="258">
        <v>3.84</v>
      </c>
      <c r="J82" s="258">
        <v>1.16</v>
      </c>
      <c r="K82" s="255" t="s">
        <v>1692</v>
      </c>
      <c r="L82" s="251"/>
      <c r="M82" s="251" t="s">
        <v>9067</v>
      </c>
      <c r="N82" s="21" t="s">
        <v>22</v>
      </c>
      <c r="O82" s="251"/>
      <c r="P82" s="256">
        <v>7.46</v>
      </c>
      <c r="Q82" s="257">
        <v>0.6216666666666667</v>
      </c>
      <c r="R82" s="256">
        <v>12.0</v>
      </c>
      <c r="S82" s="251"/>
      <c r="T82" s="251"/>
      <c r="U82" s="251"/>
      <c r="V82" s="251"/>
      <c r="W82" s="251"/>
      <c r="X82" s="251"/>
      <c r="Y82" s="251"/>
      <c r="Z82" s="251"/>
    </row>
    <row r="83">
      <c r="A83" s="254">
        <v>46004.0</v>
      </c>
      <c r="B83" s="251" t="str">
        <f>IFERROR(__xludf.DUMMYFUNCTION("""COMPUTED_VALUE"""),"BS-SO-CA-1")</f>
        <v>BS-SO-CA-1</v>
      </c>
      <c r="C83" s="251" t="s">
        <v>9068</v>
      </c>
      <c r="D83" s="252">
        <v>6.3</v>
      </c>
      <c r="E83" s="252">
        <v>18.0</v>
      </c>
      <c r="F83" s="256">
        <v>15.0</v>
      </c>
      <c r="G83" s="258">
        <v>3.75</v>
      </c>
      <c r="H83" s="258">
        <v>0.0</v>
      </c>
      <c r="I83" s="258">
        <v>0.53</v>
      </c>
      <c r="J83" s="258">
        <v>3.22</v>
      </c>
      <c r="K83" s="255" t="s">
        <v>1692</v>
      </c>
      <c r="L83" s="251"/>
      <c r="M83" s="251" t="s">
        <v>9069</v>
      </c>
      <c r="N83" s="21" t="s">
        <v>22</v>
      </c>
      <c r="O83" s="251"/>
      <c r="P83" s="256">
        <v>8.7</v>
      </c>
      <c r="Q83" s="257">
        <v>0.58</v>
      </c>
      <c r="R83" s="252"/>
      <c r="S83" s="251"/>
      <c r="T83" s="251"/>
      <c r="U83" s="251"/>
      <c r="V83" s="251"/>
      <c r="W83" s="251"/>
      <c r="X83" s="251"/>
      <c r="Y83" s="251"/>
      <c r="Z83" s="251"/>
    </row>
    <row r="84">
      <c r="A84" s="254">
        <v>46004.0</v>
      </c>
      <c r="B84" s="251" t="str">
        <f>IFERROR(__xludf.DUMMYFUNCTION("""COMPUTED_VALUE"""),"BS-SO-FRM-1")</f>
        <v>BS-SO-FRM-1</v>
      </c>
      <c r="C84" s="251" t="s">
        <v>9070</v>
      </c>
      <c r="D84" s="252">
        <v>5.56</v>
      </c>
      <c r="E84" s="252">
        <v>20.0</v>
      </c>
      <c r="F84" s="252"/>
      <c r="G84" s="258">
        <v>5.5</v>
      </c>
      <c r="H84" s="258">
        <v>0.0</v>
      </c>
      <c r="I84" s="258">
        <v>5.5</v>
      </c>
      <c r="J84" s="258">
        <v>0.0</v>
      </c>
      <c r="K84" s="255" t="s">
        <v>1602</v>
      </c>
      <c r="L84" s="251"/>
      <c r="M84" s="251" t="s">
        <v>9071</v>
      </c>
      <c r="N84" s="21" t="s">
        <v>22</v>
      </c>
      <c r="O84" s="251"/>
      <c r="P84" s="256"/>
      <c r="Q84" s="257"/>
      <c r="R84" s="252"/>
      <c r="S84" s="251"/>
      <c r="T84" s="251"/>
      <c r="U84" s="251"/>
      <c r="V84" s="251"/>
      <c r="W84" s="251"/>
      <c r="X84" s="251"/>
      <c r="Y84" s="251"/>
      <c r="Z84" s="251"/>
    </row>
    <row r="85">
      <c r="A85" s="254">
        <v>46009.0</v>
      </c>
      <c r="B85" s="251" t="str">
        <f>IFERROR(__xludf.DUMMYFUNCTION("""COMPUTED_VALUE"""),"SDW-KC-BU-1")</f>
        <v>SDW-KC-BU-1</v>
      </c>
      <c r="C85" s="251" t="s">
        <v>9072</v>
      </c>
      <c r="D85" s="252">
        <v>2.49</v>
      </c>
      <c r="E85" s="252">
        <v>5.39</v>
      </c>
      <c r="F85" s="256">
        <v>7.0</v>
      </c>
      <c r="G85" s="258">
        <v>1.0</v>
      </c>
      <c r="H85" s="258">
        <v>0.0</v>
      </c>
      <c r="I85" s="258">
        <v>0.0</v>
      </c>
      <c r="J85" s="258">
        <v>1.0</v>
      </c>
      <c r="K85" s="255" t="s">
        <v>1692</v>
      </c>
      <c r="L85" s="251"/>
      <c r="M85" s="251" t="s">
        <v>9073</v>
      </c>
      <c r="N85" s="21" t="s">
        <v>22</v>
      </c>
      <c r="O85" s="251"/>
      <c r="P85" s="256">
        <v>4.51</v>
      </c>
      <c r="Q85" s="257">
        <v>0.6442857142857142</v>
      </c>
      <c r="R85" s="252"/>
      <c r="S85" s="251"/>
      <c r="T85" s="251"/>
      <c r="U85" s="251"/>
      <c r="V85" s="251"/>
      <c r="W85" s="251"/>
      <c r="X85" s="251"/>
      <c r="Y85" s="251"/>
      <c r="Z85" s="251"/>
    </row>
    <row r="86">
      <c r="A86" s="254">
        <v>46014.0</v>
      </c>
      <c r="B86" s="251" t="str">
        <f>IFERROR(__xludf.DUMMYFUNCTION("""COMPUTED_VALUE"""),"SDW-KC-LT-4")</f>
        <v>SDW-KC-LT-4</v>
      </c>
      <c r="C86" s="251" t="s">
        <v>9074</v>
      </c>
      <c r="D86" s="252">
        <v>2.57</v>
      </c>
      <c r="E86" s="252">
        <v>5.39</v>
      </c>
      <c r="F86" s="256">
        <v>7.0</v>
      </c>
      <c r="G86" s="258">
        <v>4.0</v>
      </c>
      <c r="H86" s="258">
        <v>2.0</v>
      </c>
      <c r="I86" s="258">
        <v>0.0</v>
      </c>
      <c r="J86" s="258">
        <v>2.0</v>
      </c>
      <c r="K86" s="255" t="s">
        <v>1692</v>
      </c>
      <c r="L86" s="251"/>
      <c r="M86" s="251" t="s">
        <v>9075</v>
      </c>
      <c r="N86" s="21" t="s">
        <v>22</v>
      </c>
      <c r="O86" s="251"/>
      <c r="P86" s="256">
        <v>7.43</v>
      </c>
      <c r="Q86" s="257">
        <v>0.743</v>
      </c>
      <c r="R86" s="256">
        <v>10.0</v>
      </c>
      <c r="S86" s="251"/>
      <c r="T86" s="251"/>
      <c r="U86" s="251"/>
      <c r="V86" s="251"/>
      <c r="W86" s="251"/>
      <c r="X86" s="251"/>
      <c r="Y86" s="251"/>
      <c r="Z86" s="251"/>
    </row>
    <row r="87">
      <c r="A87" s="254">
        <v>46009.0</v>
      </c>
      <c r="B87" s="251" t="str">
        <f>IFERROR(__xludf.DUMMYFUNCTION("""COMPUTED_VALUE"""),"SDW-KC-LM-5")</f>
        <v>SDW-KC-LM-5</v>
      </c>
      <c r="C87" s="251" t="s">
        <v>9076</v>
      </c>
      <c r="D87" s="252">
        <v>3.14</v>
      </c>
      <c r="E87" s="252">
        <v>6.74</v>
      </c>
      <c r="F87" s="256">
        <v>7.0</v>
      </c>
      <c r="G87" s="258">
        <v>5.0</v>
      </c>
      <c r="H87" s="258">
        <v>0.0</v>
      </c>
      <c r="I87" s="258">
        <v>0.0</v>
      </c>
      <c r="J87" s="258">
        <v>5.0</v>
      </c>
      <c r="K87" s="255" t="s">
        <v>1692</v>
      </c>
      <c r="L87" s="251"/>
      <c r="M87" s="251" t="s">
        <v>9077</v>
      </c>
      <c r="N87" s="21" t="s">
        <v>22</v>
      </c>
      <c r="O87" s="251"/>
      <c r="P87" s="256">
        <v>3.86</v>
      </c>
      <c r="Q87" s="257">
        <v>0.5514285714285714</v>
      </c>
      <c r="R87" s="252"/>
      <c r="S87" s="251"/>
      <c r="T87" s="251"/>
      <c r="U87" s="251"/>
      <c r="V87" s="251"/>
      <c r="W87" s="251"/>
      <c r="X87" s="251"/>
      <c r="Y87" s="251"/>
      <c r="Z87" s="251"/>
    </row>
    <row r="88">
      <c r="A88" s="254">
        <v>46014.0</v>
      </c>
      <c r="B88" s="251" t="str">
        <f>IFERROR(__xludf.DUMMYFUNCTION("""COMPUTED_VALUE"""),"SDW-KC-QB-5")</f>
        <v>SDW-KC-QB-5</v>
      </c>
      <c r="C88" s="251" t="s">
        <v>9078</v>
      </c>
      <c r="D88" s="252">
        <v>2.57</v>
      </c>
      <c r="E88" s="252">
        <v>6.74</v>
      </c>
      <c r="F88" s="256">
        <v>7.0</v>
      </c>
      <c r="G88" s="258">
        <v>5.0</v>
      </c>
      <c r="H88" s="258">
        <v>1.0</v>
      </c>
      <c r="I88" s="258">
        <v>0.0</v>
      </c>
      <c r="J88" s="258">
        <v>4.0</v>
      </c>
      <c r="K88" s="255" t="s">
        <v>1692</v>
      </c>
      <c r="L88" s="251"/>
      <c r="M88" s="251" t="s">
        <v>9079</v>
      </c>
      <c r="N88" s="21" t="s">
        <v>22</v>
      </c>
      <c r="O88" s="251"/>
      <c r="P88" s="256">
        <v>7.43</v>
      </c>
      <c r="Q88" s="257">
        <v>0.743</v>
      </c>
      <c r="R88" s="256">
        <v>10.0</v>
      </c>
      <c r="S88" s="251"/>
      <c r="T88" s="251"/>
      <c r="U88" s="251"/>
      <c r="V88" s="251"/>
      <c r="W88" s="251"/>
      <c r="X88" s="251"/>
      <c r="Y88" s="251"/>
      <c r="Z88" s="251"/>
    </row>
    <row r="89">
      <c r="A89" s="254">
        <v>46009.0</v>
      </c>
      <c r="B89" s="251" t="str">
        <f>IFERROR(__xludf.DUMMYFUNCTION("""COMPUTED_VALUE"""),"SDW-KC-LF-5")</f>
        <v>SDW-KC-LF-5</v>
      </c>
      <c r="C89" s="251" t="s">
        <v>9080</v>
      </c>
      <c r="D89" s="252">
        <v>2.57</v>
      </c>
      <c r="E89" s="252">
        <v>5.39</v>
      </c>
      <c r="F89" s="256">
        <v>7.0</v>
      </c>
      <c r="G89" s="258">
        <v>5.0</v>
      </c>
      <c r="H89" s="258">
        <v>0.0</v>
      </c>
      <c r="I89" s="258">
        <v>0.0</v>
      </c>
      <c r="J89" s="258">
        <v>5.0</v>
      </c>
      <c r="K89" s="255" t="s">
        <v>1692</v>
      </c>
      <c r="L89" s="251"/>
      <c r="M89" s="251" t="s">
        <v>9081</v>
      </c>
      <c r="N89" s="21" t="s">
        <v>22</v>
      </c>
      <c r="O89" s="251"/>
      <c r="P89" s="256">
        <v>4.43</v>
      </c>
      <c r="Q89" s="257">
        <v>0.6328571428571428</v>
      </c>
      <c r="R89" s="252"/>
      <c r="S89" s="251"/>
      <c r="T89" s="251"/>
      <c r="U89" s="251"/>
      <c r="V89" s="251"/>
      <c r="W89" s="251"/>
      <c r="X89" s="251"/>
      <c r="Y89" s="251"/>
      <c r="Z89" s="251"/>
    </row>
    <row r="90">
      <c r="A90" s="254">
        <v>46009.0</v>
      </c>
      <c r="B90" s="251" t="str">
        <f>IFERROR(__xludf.DUMMYFUNCTION("""COMPUTED_VALUE"""),"SDW-KC-RO-5")</f>
        <v>SDW-KC-RO-5</v>
      </c>
      <c r="C90" s="251" t="s">
        <v>9082</v>
      </c>
      <c r="D90" s="252">
        <v>3.14</v>
      </c>
      <c r="E90" s="252">
        <v>6.74</v>
      </c>
      <c r="F90" s="256">
        <v>7.0</v>
      </c>
      <c r="G90" s="258">
        <v>5.0</v>
      </c>
      <c r="H90" s="258">
        <v>0.0</v>
      </c>
      <c r="I90" s="258">
        <v>0.0</v>
      </c>
      <c r="J90" s="258">
        <v>5.0</v>
      </c>
      <c r="K90" s="255" t="s">
        <v>1692</v>
      </c>
      <c r="L90" s="251"/>
      <c r="M90" s="251" t="s">
        <v>9083</v>
      </c>
      <c r="N90" s="21" t="s">
        <v>22</v>
      </c>
      <c r="O90" s="251"/>
      <c r="P90" s="256">
        <v>3.86</v>
      </c>
      <c r="Q90" s="257">
        <v>0.5514285714285714</v>
      </c>
      <c r="R90" s="252"/>
      <c r="S90" s="251"/>
      <c r="T90" s="251"/>
      <c r="U90" s="251"/>
      <c r="V90" s="251"/>
      <c r="W90" s="251"/>
      <c r="X90" s="251"/>
      <c r="Y90" s="251"/>
      <c r="Z90" s="251"/>
    </row>
    <row r="91">
      <c r="A91" s="254">
        <v>46139.0</v>
      </c>
      <c r="B91" s="251" t="str">
        <f>IFERROR(__xludf.DUMMYFUNCTION("""COMPUTED_VALUE"""),"SDW-PM-GL-5")</f>
        <v>SDW-PM-GL-5</v>
      </c>
      <c r="C91" s="251" t="s">
        <v>9084</v>
      </c>
      <c r="D91" s="252">
        <v>3.78</v>
      </c>
      <c r="E91" s="252"/>
      <c r="F91" s="256">
        <v>10.0</v>
      </c>
      <c r="G91" s="258">
        <v>5.0</v>
      </c>
      <c r="H91" s="258">
        <v>2.0</v>
      </c>
      <c r="I91" s="258">
        <v>0.0</v>
      </c>
      <c r="J91" s="258">
        <v>3.0</v>
      </c>
      <c r="K91" s="255" t="s">
        <v>1692</v>
      </c>
      <c r="L91" s="251"/>
      <c r="M91" s="251" t="s">
        <v>9085</v>
      </c>
      <c r="N91" s="21" t="s">
        <v>22</v>
      </c>
      <c r="O91" s="251"/>
      <c r="P91" s="256">
        <v>6.220000000000001</v>
      </c>
      <c r="Q91" s="257">
        <v>0.6220000000000001</v>
      </c>
      <c r="R91" s="256">
        <v>10.0</v>
      </c>
      <c r="S91" s="251"/>
      <c r="T91" s="251"/>
      <c r="U91" s="251"/>
      <c r="V91" s="251"/>
      <c r="W91" s="251"/>
      <c r="X91" s="251"/>
      <c r="Y91" s="251"/>
      <c r="Z91" s="251"/>
    </row>
    <row r="92">
      <c r="A92" s="254">
        <v>46014.0</v>
      </c>
      <c r="B92" s="251" t="str">
        <f>IFERROR(__xludf.DUMMYFUNCTION("""COMPUTED_VALUE"""),"SDW-PO-4.3-DF-1")</f>
        <v>SDW-PO-4.3-DF-1</v>
      </c>
      <c r="C92" s="251" t="s">
        <v>9086</v>
      </c>
      <c r="D92" s="252">
        <v>6.37</v>
      </c>
      <c r="E92" s="252">
        <v>15.0</v>
      </c>
      <c r="F92" s="252"/>
      <c r="G92" s="258">
        <v>3.0</v>
      </c>
      <c r="H92" s="258">
        <v>2.0</v>
      </c>
      <c r="I92" s="258">
        <v>0.0</v>
      </c>
      <c r="J92" s="258">
        <v>1.0</v>
      </c>
      <c r="K92" s="255" t="s">
        <v>1692</v>
      </c>
      <c r="L92" s="251"/>
      <c r="M92" s="251" t="s">
        <v>9087</v>
      </c>
      <c r="N92" s="21" t="s">
        <v>22</v>
      </c>
      <c r="O92" s="251"/>
      <c r="P92" s="256">
        <v>8.629999999999999</v>
      </c>
      <c r="Q92" s="257">
        <v>0.5753333333333333</v>
      </c>
      <c r="R92" s="256">
        <v>15.0</v>
      </c>
      <c r="S92" s="251"/>
      <c r="T92" s="251"/>
      <c r="U92" s="251"/>
      <c r="V92" s="251"/>
      <c r="W92" s="251"/>
      <c r="X92" s="251"/>
      <c r="Y92" s="251"/>
      <c r="Z92" s="251"/>
    </row>
    <row r="93">
      <c r="A93" s="254">
        <v>46138.0</v>
      </c>
      <c r="B93" s="251" t="str">
        <f>IFERROR(__xludf.DUMMYFUNCTION("""COMPUTED_VALUE"""),"SDW-WS-WTW-18")</f>
        <v>SDW-WS-WTW-18</v>
      </c>
      <c r="C93" s="251" t="s">
        <v>9088</v>
      </c>
      <c r="D93" s="252">
        <v>0.88</v>
      </c>
      <c r="E93" s="252"/>
      <c r="F93" s="256">
        <v>2.0</v>
      </c>
      <c r="G93" s="258">
        <v>18.0</v>
      </c>
      <c r="H93" s="258">
        <v>1.0</v>
      </c>
      <c r="I93" s="258">
        <v>0.0</v>
      </c>
      <c r="J93" s="258">
        <v>17.0</v>
      </c>
      <c r="K93" s="255" t="s">
        <v>1692</v>
      </c>
      <c r="L93" s="251"/>
      <c r="M93" s="251" t="s">
        <v>9089</v>
      </c>
      <c r="N93" s="21" t="s">
        <v>22</v>
      </c>
      <c r="O93" s="251"/>
      <c r="P93" s="256">
        <v>1.12</v>
      </c>
      <c r="Q93" s="257">
        <v>0.56</v>
      </c>
      <c r="R93" s="252"/>
      <c r="S93" s="251"/>
      <c r="T93" s="251"/>
      <c r="U93" s="251"/>
      <c r="V93" s="251"/>
      <c r="W93" s="251"/>
      <c r="X93" s="251"/>
      <c r="Y93" s="251"/>
      <c r="Z93" s="251"/>
    </row>
    <row r="94">
      <c r="A94" s="254">
        <v>46021.0</v>
      </c>
      <c r="B94" s="251" t="str">
        <f>IFERROR(__xludf.DUMMYFUNCTION("""COMPUTED_VALUE"""),"NR-PO-5-BP-1")</f>
        <v>NR-PO-5-BP-1</v>
      </c>
      <c r="C94" s="251" t="s">
        <v>9090</v>
      </c>
      <c r="D94" s="252">
        <v>5.43</v>
      </c>
      <c r="E94" s="252">
        <v>15.0</v>
      </c>
      <c r="F94" s="256">
        <v>12.0</v>
      </c>
      <c r="G94" s="258">
        <v>8.0</v>
      </c>
      <c r="H94" s="258">
        <v>0.0</v>
      </c>
      <c r="I94" s="258">
        <v>3.0</v>
      </c>
      <c r="J94" s="258">
        <v>5.0</v>
      </c>
      <c r="K94" s="255" t="s">
        <v>1692</v>
      </c>
      <c r="L94" s="251"/>
      <c r="M94" s="255" t="s">
        <v>9091</v>
      </c>
      <c r="N94" s="21" t="s">
        <v>22</v>
      </c>
      <c r="O94" s="251"/>
      <c r="P94" s="256">
        <v>6.57</v>
      </c>
      <c r="Q94" s="257">
        <v>0.5475</v>
      </c>
      <c r="R94" s="252"/>
      <c r="S94" s="251"/>
      <c r="T94" s="251"/>
      <c r="U94" s="251"/>
      <c r="V94" s="251"/>
      <c r="W94" s="251"/>
      <c r="X94" s="251"/>
      <c r="Y94" s="251"/>
      <c r="Z94" s="251"/>
    </row>
    <row r="95">
      <c r="A95" s="254">
        <v>46021.0</v>
      </c>
      <c r="B95" s="251" t="str">
        <f>IFERROR(__xludf.DUMMYFUNCTION("""COMPUTED_VALUE"""),"NR-PO-3-BP-1")</f>
        <v>NR-PO-3-BP-1</v>
      </c>
      <c r="C95" s="251" t="s">
        <v>9090</v>
      </c>
      <c r="D95" s="252">
        <v>4.53</v>
      </c>
      <c r="E95" s="252">
        <v>10.0</v>
      </c>
      <c r="F95" s="252"/>
      <c r="G95" s="258">
        <v>12.0</v>
      </c>
      <c r="H95" s="258">
        <v>0.0</v>
      </c>
      <c r="I95" s="258">
        <v>10.0</v>
      </c>
      <c r="J95" s="258">
        <v>2.0</v>
      </c>
      <c r="K95" s="255" t="s">
        <v>1692</v>
      </c>
      <c r="L95" s="251"/>
      <c r="M95" s="251" t="s">
        <v>9092</v>
      </c>
      <c r="N95" s="21" t="s">
        <v>22</v>
      </c>
      <c r="O95" s="251"/>
      <c r="P95" s="256"/>
      <c r="Q95" s="257"/>
      <c r="R95" s="252"/>
      <c r="S95" s="251"/>
      <c r="T95" s="251"/>
      <c r="U95" s="251"/>
      <c r="V95" s="251"/>
      <c r="W95" s="251"/>
      <c r="X95" s="251"/>
      <c r="Y95" s="251"/>
      <c r="Z95" s="251"/>
    </row>
    <row r="96">
      <c r="A96" s="254">
        <v>46021.0</v>
      </c>
      <c r="B96" s="251" t="str">
        <f>IFERROR(__xludf.DUMMYFUNCTION("""COMPUTED_VALUE"""),"NR-PO-8-BP-1")</f>
        <v>NR-PO-8-BP-1</v>
      </c>
      <c r="C96" s="251" t="s">
        <v>9090</v>
      </c>
      <c r="D96" s="252">
        <v>11.29</v>
      </c>
      <c r="E96" s="252">
        <v>25.0</v>
      </c>
      <c r="F96" s="252"/>
      <c r="G96" s="258">
        <v>8.0</v>
      </c>
      <c r="H96" s="258">
        <v>0.0</v>
      </c>
      <c r="I96" s="258">
        <v>5.0</v>
      </c>
      <c r="J96" s="258">
        <v>3.0</v>
      </c>
      <c r="K96" s="255" t="s">
        <v>1692</v>
      </c>
      <c r="L96" s="251"/>
      <c r="M96" s="251" t="s">
        <v>9093</v>
      </c>
      <c r="N96" s="21" t="s">
        <v>22</v>
      </c>
      <c r="O96" s="251"/>
      <c r="P96" s="256"/>
      <c r="Q96" s="257"/>
      <c r="R96" s="252"/>
      <c r="S96" s="251"/>
      <c r="T96" s="251"/>
      <c r="U96" s="251"/>
      <c r="V96" s="251"/>
      <c r="W96" s="251"/>
      <c r="X96" s="251"/>
      <c r="Y96" s="251"/>
      <c r="Z96" s="251"/>
    </row>
    <row r="97">
      <c r="A97" s="254">
        <v>46087.0</v>
      </c>
      <c r="B97" s="251" t="str">
        <f>IFERROR(__xludf.DUMMYFUNCTION("""COMPUTED_VALUE"""),"BS-SO-SS-1")</f>
        <v>BS-SO-SS-1</v>
      </c>
      <c r="C97" s="251" t="s">
        <v>9094</v>
      </c>
      <c r="D97" s="252">
        <v>4.28</v>
      </c>
      <c r="E97" s="252">
        <v>12.0</v>
      </c>
      <c r="F97" s="256">
        <v>10.0</v>
      </c>
      <c r="G97" s="258">
        <v>6.25</v>
      </c>
      <c r="H97" s="258">
        <v>0.0</v>
      </c>
      <c r="I97" s="258">
        <v>0.09</v>
      </c>
      <c r="J97" s="258">
        <v>6.16</v>
      </c>
      <c r="K97" s="255" t="s">
        <v>1692</v>
      </c>
      <c r="L97" s="251"/>
      <c r="M97" s="251" t="s">
        <v>9095</v>
      </c>
      <c r="N97" s="21" t="s">
        <v>22</v>
      </c>
      <c r="O97" s="251"/>
      <c r="P97" s="256">
        <v>5.72</v>
      </c>
      <c r="Q97" s="257">
        <v>0.572</v>
      </c>
      <c r="R97" s="252"/>
      <c r="S97" s="251"/>
      <c r="T97" s="251"/>
      <c r="U97" s="251"/>
      <c r="V97" s="251"/>
      <c r="W97" s="251"/>
      <c r="X97" s="251"/>
      <c r="Y97" s="251"/>
      <c r="Z97" s="251"/>
    </row>
    <row r="98">
      <c r="A98" s="254">
        <v>46097.0</v>
      </c>
      <c r="B98" s="251" t="str">
        <f>IFERROR(__xludf.DUMMYFUNCTION("""COMPUTED_VALUE"""),"SU-PS-12-MS-6")</f>
        <v>SU-PS-12-MS-6</v>
      </c>
      <c r="C98" s="251" t="s">
        <v>9096</v>
      </c>
      <c r="D98" s="252">
        <v>2.5</v>
      </c>
      <c r="E98" s="252"/>
      <c r="F98" s="252"/>
      <c r="G98" s="258">
        <v>6.0</v>
      </c>
      <c r="H98" s="258">
        <v>0.0</v>
      </c>
      <c r="I98" s="258">
        <v>0.0</v>
      </c>
      <c r="J98" s="258">
        <v>6.0</v>
      </c>
      <c r="K98" s="255" t="s">
        <v>1692</v>
      </c>
      <c r="L98" s="251"/>
      <c r="M98" s="255" t="s">
        <v>9097</v>
      </c>
      <c r="N98" s="21" t="s">
        <v>22</v>
      </c>
      <c r="O98" s="251"/>
      <c r="P98" s="256"/>
      <c r="Q98" s="257"/>
      <c r="R98" s="252"/>
      <c r="S98" s="251"/>
      <c r="T98" s="251"/>
      <c r="U98" s="251"/>
      <c r="V98" s="251"/>
      <c r="W98" s="251"/>
      <c r="X98" s="251"/>
      <c r="Y98" s="251"/>
      <c r="Z98" s="251"/>
    </row>
    <row r="99">
      <c r="A99" s="254">
        <v>46086.0</v>
      </c>
      <c r="B99" s="251" t="str">
        <f>IFERROR(__xludf.DUMMYFUNCTION("""COMPUTED_VALUE"""),"SU-PS-16-MP-3")</f>
        <v>SU-PS-16-MP-3</v>
      </c>
      <c r="C99" s="251" t="s">
        <v>9098</v>
      </c>
      <c r="D99" s="252">
        <v>17.99</v>
      </c>
      <c r="E99" s="252"/>
      <c r="F99" s="252"/>
      <c r="G99" s="258">
        <v>3.0</v>
      </c>
      <c r="H99" s="258">
        <v>0.0</v>
      </c>
      <c r="I99" s="258">
        <v>0.0</v>
      </c>
      <c r="J99" s="258">
        <v>3.0</v>
      </c>
      <c r="K99" s="255" t="s">
        <v>1692</v>
      </c>
      <c r="L99" s="251"/>
      <c r="M99" s="255" t="s">
        <v>9099</v>
      </c>
      <c r="N99" s="21" t="s">
        <v>22</v>
      </c>
      <c r="O99" s="251"/>
      <c r="P99" s="256"/>
      <c r="Q99" s="257"/>
      <c r="R99" s="252"/>
      <c r="S99" s="251"/>
      <c r="T99" s="251"/>
      <c r="U99" s="251"/>
      <c r="V99" s="251"/>
      <c r="W99" s="251"/>
      <c r="X99" s="251"/>
      <c r="Y99" s="251"/>
      <c r="Z99" s="251"/>
    </row>
    <row r="100">
      <c r="A100" s="254">
        <v>46099.0</v>
      </c>
      <c r="B100" s="251" t="str">
        <f>IFERROR(__xludf.DUMMYFUNCTION("""COMPUTED_VALUE"""),"NR-PO-3-TBP-1")</f>
        <v>NR-PO-3-TBP-1</v>
      </c>
      <c r="C100" s="251" t="s">
        <v>9100</v>
      </c>
      <c r="D100" s="252">
        <v>4.8</v>
      </c>
      <c r="E100" s="252">
        <v>10.0</v>
      </c>
      <c r="F100" s="252"/>
      <c r="G100" s="258">
        <v>12.0</v>
      </c>
      <c r="H100" s="258">
        <v>0.0</v>
      </c>
      <c r="I100" s="258">
        <v>10.0</v>
      </c>
      <c r="J100" s="258">
        <v>2.0</v>
      </c>
      <c r="K100" s="255" t="s">
        <v>1692</v>
      </c>
      <c r="L100" s="251"/>
      <c r="M100" s="255" t="s">
        <v>9101</v>
      </c>
      <c r="N100" s="21" t="s">
        <v>22</v>
      </c>
      <c r="O100" s="251"/>
      <c r="P100" s="256"/>
      <c r="Q100" s="257"/>
      <c r="R100" s="252"/>
      <c r="S100" s="251"/>
      <c r="T100" s="251"/>
      <c r="U100" s="251"/>
      <c r="V100" s="251"/>
      <c r="W100" s="251"/>
      <c r="X100" s="251"/>
      <c r="Y100" s="251"/>
      <c r="Z100" s="251"/>
    </row>
    <row r="101">
      <c r="A101" s="254">
        <v>46099.0</v>
      </c>
      <c r="B101" s="251" t="str">
        <f>IFERROR(__xludf.DUMMYFUNCTION("""COMPUTED_VALUE"""),"NR-PO-5-TBP-1")</f>
        <v>NR-PO-5-TBP-1</v>
      </c>
      <c r="C101" s="251" t="s">
        <v>9100</v>
      </c>
      <c r="D101" s="252">
        <v>5.8</v>
      </c>
      <c r="E101" s="252">
        <v>15.0</v>
      </c>
      <c r="F101" s="252"/>
      <c r="G101" s="258">
        <v>8.0</v>
      </c>
      <c r="H101" s="258">
        <v>0.0</v>
      </c>
      <c r="I101" s="258">
        <v>5.0</v>
      </c>
      <c r="J101" s="258">
        <v>3.0</v>
      </c>
      <c r="K101" s="255" t="s">
        <v>1692</v>
      </c>
      <c r="L101" s="251"/>
      <c r="M101" s="255" t="s">
        <v>9102</v>
      </c>
      <c r="N101" s="21" t="s">
        <v>22</v>
      </c>
      <c r="O101" s="251"/>
      <c r="P101" s="256"/>
      <c r="Q101" s="257"/>
      <c r="R101" s="252"/>
      <c r="S101" s="251"/>
      <c r="T101" s="251"/>
      <c r="U101" s="251"/>
      <c r="V101" s="251"/>
      <c r="W101" s="251"/>
      <c r="X101" s="251"/>
      <c r="Y101" s="251"/>
      <c r="Z101" s="251"/>
    </row>
    <row r="102">
      <c r="A102" s="254">
        <v>46099.0</v>
      </c>
      <c r="B102" s="251" t="str">
        <f>IFERROR(__xludf.DUMMYFUNCTION("""COMPUTED_VALUE"""),"NR-PO-8-TBP-1")</f>
        <v>NR-PO-8-TBP-1</v>
      </c>
      <c r="C102" s="251" t="s">
        <v>9100</v>
      </c>
      <c r="D102" s="252">
        <v>11.7</v>
      </c>
      <c r="E102" s="252">
        <v>25.0</v>
      </c>
      <c r="F102" s="252"/>
      <c r="G102" s="258">
        <v>8.0</v>
      </c>
      <c r="H102" s="258">
        <v>0.0</v>
      </c>
      <c r="I102" s="258">
        <v>6.0</v>
      </c>
      <c r="J102" s="258">
        <v>2.0</v>
      </c>
      <c r="K102" s="255" t="s">
        <v>1692</v>
      </c>
      <c r="L102" s="251"/>
      <c r="M102" s="255" t="s">
        <v>9103</v>
      </c>
      <c r="N102" s="21" t="s">
        <v>22</v>
      </c>
      <c r="O102" s="251"/>
      <c r="P102" s="256"/>
      <c r="Q102" s="257"/>
      <c r="R102" s="252"/>
      <c r="S102" s="251"/>
      <c r="T102" s="251"/>
      <c r="U102" s="251"/>
      <c r="V102" s="251"/>
      <c r="W102" s="251"/>
      <c r="X102" s="251"/>
      <c r="Y102" s="251"/>
      <c r="Z102" s="251"/>
    </row>
    <row r="103">
      <c r="A103" s="254">
        <v>46099.0</v>
      </c>
      <c r="B103" s="251" t="str">
        <f>IFERROR(__xludf.DUMMYFUNCTION("""COMPUTED_VALUE"""),"NR-PO-3-PBP-1")</f>
        <v>NR-PO-3-PBP-1</v>
      </c>
      <c r="C103" s="251" t="s">
        <v>9104</v>
      </c>
      <c r="D103" s="252">
        <v>4.53</v>
      </c>
      <c r="E103" s="252">
        <v>10.0</v>
      </c>
      <c r="F103" s="252"/>
      <c r="G103" s="258">
        <v>12.0</v>
      </c>
      <c r="H103" s="258">
        <v>0.0</v>
      </c>
      <c r="I103" s="258">
        <v>9.0</v>
      </c>
      <c r="J103" s="258">
        <v>3.0</v>
      </c>
      <c r="K103" s="255" t="s">
        <v>1692</v>
      </c>
      <c r="L103" s="251"/>
      <c r="M103" s="255" t="s">
        <v>9105</v>
      </c>
      <c r="N103" s="21" t="s">
        <v>22</v>
      </c>
      <c r="O103" s="251"/>
      <c r="P103" s="256"/>
      <c r="Q103" s="257"/>
      <c r="R103" s="252"/>
      <c r="S103" s="251"/>
      <c r="T103" s="251"/>
      <c r="U103" s="251"/>
      <c r="V103" s="251"/>
      <c r="W103" s="251"/>
      <c r="X103" s="251"/>
      <c r="Y103" s="251"/>
      <c r="Z103" s="251"/>
    </row>
    <row r="104">
      <c r="A104" s="254">
        <v>46099.0</v>
      </c>
      <c r="B104" s="251" t="str">
        <f>IFERROR(__xludf.DUMMYFUNCTION("""COMPUTED_VALUE"""),"NR-PO-5-PBP-1")</f>
        <v>NR-PO-5-PBP-1</v>
      </c>
      <c r="C104" s="251" t="s">
        <v>9104</v>
      </c>
      <c r="D104" s="252">
        <v>5.42</v>
      </c>
      <c r="E104" s="252">
        <v>15.0</v>
      </c>
      <c r="F104" s="252"/>
      <c r="G104" s="258">
        <v>8.0</v>
      </c>
      <c r="H104" s="258">
        <v>0.0</v>
      </c>
      <c r="I104" s="258">
        <v>6.0</v>
      </c>
      <c r="J104" s="258">
        <v>2.0</v>
      </c>
      <c r="K104" s="255" t="s">
        <v>1692</v>
      </c>
      <c r="L104" s="251"/>
      <c r="M104" s="255" t="s">
        <v>9106</v>
      </c>
      <c r="N104" s="21" t="s">
        <v>22</v>
      </c>
      <c r="O104" s="251"/>
      <c r="P104" s="256"/>
      <c r="Q104" s="257"/>
      <c r="R104" s="252"/>
      <c r="S104" s="251"/>
      <c r="T104" s="251"/>
      <c r="U104" s="251"/>
      <c r="V104" s="251"/>
      <c r="W104" s="251"/>
      <c r="X104" s="251"/>
      <c r="Y104" s="251"/>
      <c r="Z104" s="251"/>
    </row>
    <row r="105">
      <c r="A105" s="254">
        <v>46099.0</v>
      </c>
      <c r="B105" s="251" t="str">
        <f>IFERROR(__xludf.DUMMYFUNCTION("""COMPUTED_VALUE"""),"NR-PO-8-PBP-1")</f>
        <v>NR-PO-8-PBP-1</v>
      </c>
      <c r="C105" s="251" t="s">
        <v>9104</v>
      </c>
      <c r="D105" s="252">
        <v>11.29</v>
      </c>
      <c r="E105" s="252">
        <v>25.0</v>
      </c>
      <c r="F105" s="252"/>
      <c r="G105" s="258">
        <v>8.0</v>
      </c>
      <c r="H105" s="258">
        <v>0.0</v>
      </c>
      <c r="I105" s="258">
        <v>3.0</v>
      </c>
      <c r="J105" s="258">
        <v>5.0</v>
      </c>
      <c r="K105" s="255" t="s">
        <v>1692</v>
      </c>
      <c r="L105" s="251"/>
      <c r="M105" s="255" t="s">
        <v>9107</v>
      </c>
      <c r="N105" s="21" t="s">
        <v>22</v>
      </c>
      <c r="O105" s="251"/>
      <c r="P105" s="256"/>
      <c r="Q105" s="257"/>
      <c r="R105" s="252"/>
      <c r="S105" s="251"/>
      <c r="T105" s="251"/>
      <c r="U105" s="251"/>
      <c r="V105" s="251"/>
      <c r="W105" s="251"/>
      <c r="X105" s="251"/>
      <c r="Y105" s="251"/>
      <c r="Z105" s="251"/>
    </row>
    <row r="106">
      <c r="A106" s="254">
        <v>46099.0</v>
      </c>
      <c r="B106" s="251" t="str">
        <f>IFERROR(__xludf.DUMMYFUNCTION("""COMPUTED_VALUE"""),"BS-PO-2-GL-1")</f>
        <v>BS-PO-2-GL-1</v>
      </c>
      <c r="C106" s="251" t="s">
        <v>9108</v>
      </c>
      <c r="D106" s="252">
        <v>0.0</v>
      </c>
      <c r="E106" s="252"/>
      <c r="F106" s="252"/>
      <c r="G106" s="258">
        <v>1.0</v>
      </c>
      <c r="H106" s="258">
        <v>0.0</v>
      </c>
      <c r="I106" s="258">
        <v>1.0</v>
      </c>
      <c r="J106" s="258">
        <v>0.0</v>
      </c>
      <c r="K106" s="255" t="s">
        <v>1602</v>
      </c>
      <c r="L106" s="251"/>
      <c r="M106" s="255" t="s">
        <v>9109</v>
      </c>
      <c r="N106" s="21" t="s">
        <v>22</v>
      </c>
      <c r="O106" s="251"/>
      <c r="P106" s="256"/>
      <c r="Q106" s="257"/>
      <c r="R106" s="252"/>
      <c r="S106" s="251"/>
      <c r="T106" s="251"/>
      <c r="U106" s="251"/>
      <c r="V106" s="251"/>
      <c r="W106" s="251"/>
      <c r="X106" s="251"/>
      <c r="Y106" s="251"/>
      <c r="Z106" s="251"/>
    </row>
    <row r="107">
      <c r="A107" s="254">
        <v>46021.0</v>
      </c>
      <c r="B107" s="251" t="str">
        <f>IFERROR(__xludf.DUMMYFUNCTION("""COMPUTED_VALUE"""),"NR-PO-5-SNB-1")</f>
        <v>NR-PO-5-SNB-1</v>
      </c>
      <c r="C107" s="251" t="s">
        <v>9110</v>
      </c>
      <c r="D107" s="252">
        <v>0.0</v>
      </c>
      <c r="E107" s="252">
        <v>15.0</v>
      </c>
      <c r="F107" s="252"/>
      <c r="G107" s="258">
        <v>1.0</v>
      </c>
      <c r="H107" s="258">
        <v>0.0</v>
      </c>
      <c r="I107" s="258">
        <v>0.0</v>
      </c>
      <c r="J107" s="258">
        <v>1.0</v>
      </c>
      <c r="K107" s="255" t="s">
        <v>1692</v>
      </c>
      <c r="L107" s="251"/>
      <c r="M107" s="255" t="s">
        <v>9111</v>
      </c>
      <c r="N107" s="21" t="s">
        <v>22</v>
      </c>
      <c r="O107" s="251"/>
      <c r="P107" s="256"/>
      <c r="Q107" s="257"/>
      <c r="R107" s="252"/>
      <c r="S107" s="251"/>
      <c r="T107" s="251"/>
      <c r="U107" s="251"/>
      <c r="V107" s="251"/>
      <c r="W107" s="251"/>
      <c r="X107" s="251"/>
      <c r="Y107" s="251"/>
      <c r="Z107" s="251"/>
    </row>
    <row r="108">
      <c r="A108" s="254">
        <v>46104.0</v>
      </c>
      <c r="B108" s="251" t="str">
        <f>IFERROR(__xludf.DUMMYFUNCTION("""COMPUTED_VALUE"""),"NR-PO-3-SNB-1")</f>
        <v>NR-PO-3-SNB-1</v>
      </c>
      <c r="C108" s="251" t="s">
        <v>9110</v>
      </c>
      <c r="D108" s="252">
        <v>0.0</v>
      </c>
      <c r="E108" s="252">
        <v>10.0</v>
      </c>
      <c r="F108" s="252"/>
      <c r="G108" s="258">
        <v>1.0</v>
      </c>
      <c r="H108" s="258">
        <v>0.0</v>
      </c>
      <c r="I108" s="258">
        <v>1.0</v>
      </c>
      <c r="J108" s="258">
        <v>0.0</v>
      </c>
      <c r="K108" s="255" t="s">
        <v>1602</v>
      </c>
      <c r="L108" s="251"/>
      <c r="M108" s="255" t="s">
        <v>9112</v>
      </c>
      <c r="N108" s="21" t="s">
        <v>22</v>
      </c>
      <c r="O108" s="251"/>
      <c r="P108" s="256"/>
      <c r="Q108" s="257"/>
      <c r="R108" s="252"/>
      <c r="S108" s="251"/>
      <c r="T108" s="251"/>
      <c r="U108" s="251"/>
      <c r="V108" s="251"/>
      <c r="W108" s="251"/>
      <c r="X108" s="251"/>
      <c r="Y108" s="251"/>
      <c r="Z108" s="251"/>
    </row>
    <row r="109">
      <c r="A109" s="254">
        <v>46087.0</v>
      </c>
      <c r="B109" s="251" t="str">
        <f>IFERROR(__xludf.DUMMYFUNCTION("""COMPUTED_VALUE"""),"BS-PO-LG-PB-1")</f>
        <v>BS-PO-LG-PB-1</v>
      </c>
      <c r="C109" s="251" t="s">
        <v>9113</v>
      </c>
      <c r="D109" s="252">
        <v>0.0</v>
      </c>
      <c r="E109" s="252"/>
      <c r="F109" s="252"/>
      <c r="G109" s="258">
        <v>1.0</v>
      </c>
      <c r="H109" s="258">
        <v>0.0</v>
      </c>
      <c r="I109" s="258">
        <v>9.0</v>
      </c>
      <c r="J109" s="258">
        <v>0.0</v>
      </c>
      <c r="K109" s="255" t="s">
        <v>1602</v>
      </c>
      <c r="L109" s="251"/>
      <c r="M109" s="255" t="s">
        <v>9114</v>
      </c>
      <c r="N109" s="21" t="s">
        <v>22</v>
      </c>
      <c r="O109" s="251"/>
      <c r="P109" s="256"/>
      <c r="Q109" s="257"/>
      <c r="R109" s="252"/>
      <c r="S109" s="251"/>
      <c r="T109" s="251"/>
      <c r="U109" s="251"/>
      <c r="V109" s="251"/>
      <c r="W109" s="251"/>
      <c r="X109" s="251"/>
      <c r="Y109" s="251"/>
      <c r="Z109" s="251"/>
    </row>
    <row r="110">
      <c r="A110" s="254">
        <v>46105.0</v>
      </c>
      <c r="B110" s="251" t="str">
        <f>IFERROR(__xludf.DUMMYFUNCTION("""COMPUTED_VALUE"""),"DT-PO-3-GL-1")</f>
        <v>DT-PO-3-GL-1</v>
      </c>
      <c r="C110" s="251" t="s">
        <v>9108</v>
      </c>
      <c r="D110" s="252">
        <v>1.25</v>
      </c>
      <c r="E110" s="252" t="s">
        <v>8862</v>
      </c>
      <c r="F110" s="252"/>
      <c r="G110" s="258">
        <v>4.0</v>
      </c>
      <c r="H110" s="258">
        <v>0.0</v>
      </c>
      <c r="I110" s="258">
        <v>3.0</v>
      </c>
      <c r="J110" s="258">
        <v>1.0</v>
      </c>
      <c r="K110" s="255" t="s">
        <v>1692</v>
      </c>
      <c r="L110" s="251"/>
      <c r="M110" s="255" t="s">
        <v>9115</v>
      </c>
      <c r="N110" s="21" t="s">
        <v>22</v>
      </c>
      <c r="O110" s="255" t="s">
        <v>8865</v>
      </c>
      <c r="P110" s="256"/>
      <c r="Q110" s="257"/>
      <c r="R110" s="252"/>
      <c r="S110" s="251"/>
      <c r="T110" s="251"/>
      <c r="U110" s="251"/>
      <c r="V110" s="251"/>
      <c r="W110" s="251"/>
      <c r="X110" s="251"/>
      <c r="Y110" s="251"/>
      <c r="Z110" s="251"/>
    </row>
    <row r="111">
      <c r="A111" s="254">
        <v>46105.0</v>
      </c>
      <c r="B111" s="251" t="str">
        <f>IFERROR(__xludf.DUMMYFUNCTION("""COMPUTED_VALUE"""),"DT-PO-3-GL-1")</f>
        <v>DT-PO-3-GL-1</v>
      </c>
      <c r="C111" s="251" t="s">
        <v>9108</v>
      </c>
      <c r="D111" s="252">
        <v>1.25</v>
      </c>
      <c r="E111" s="252" t="s">
        <v>8862</v>
      </c>
      <c r="F111" s="252"/>
      <c r="G111" s="258">
        <v>4.0</v>
      </c>
      <c r="H111" s="258">
        <v>0.0</v>
      </c>
      <c r="I111" s="258">
        <v>3.0</v>
      </c>
      <c r="J111" s="258">
        <v>1.0</v>
      </c>
      <c r="K111" s="255" t="s">
        <v>1692</v>
      </c>
      <c r="L111" s="251"/>
      <c r="M111" s="255" t="s">
        <v>9116</v>
      </c>
      <c r="N111" s="21" t="s">
        <v>22</v>
      </c>
      <c r="O111" s="255" t="s">
        <v>8865</v>
      </c>
      <c r="P111" s="256"/>
      <c r="Q111" s="257"/>
      <c r="R111" s="252"/>
      <c r="S111" s="251"/>
      <c r="T111" s="251"/>
      <c r="U111" s="251"/>
      <c r="V111" s="251"/>
      <c r="W111" s="251"/>
      <c r="X111" s="251"/>
      <c r="Y111" s="251"/>
      <c r="Z111" s="251"/>
    </row>
    <row r="112">
      <c r="A112" s="254">
        <v>46105.0</v>
      </c>
      <c r="B112" s="251" t="str">
        <f>IFERROR(__xludf.DUMMYFUNCTION("""COMPUTED_VALUE"""),"DT-PO-6-GL-1")</f>
        <v>DT-PO-6-GL-1</v>
      </c>
      <c r="C112" s="251" t="s">
        <v>9108</v>
      </c>
      <c r="D112" s="252">
        <v>5.0</v>
      </c>
      <c r="E112" s="252" t="s">
        <v>8866</v>
      </c>
      <c r="F112" s="252"/>
      <c r="G112" s="258">
        <v>2.0</v>
      </c>
      <c r="H112" s="258">
        <v>0.0</v>
      </c>
      <c r="I112" s="258">
        <v>0.0</v>
      </c>
      <c r="J112" s="258">
        <v>2.0</v>
      </c>
      <c r="K112" s="255" t="s">
        <v>1692</v>
      </c>
      <c r="L112" s="251"/>
      <c r="M112" s="255" t="s">
        <v>9117</v>
      </c>
      <c r="N112" s="21" t="s">
        <v>22</v>
      </c>
      <c r="O112" s="255" t="s">
        <v>8867</v>
      </c>
      <c r="P112" s="256"/>
      <c r="Q112" s="257"/>
      <c r="R112" s="252"/>
      <c r="S112" s="251"/>
      <c r="T112" s="251"/>
      <c r="U112" s="251"/>
      <c r="V112" s="251"/>
      <c r="W112" s="251"/>
      <c r="X112" s="251"/>
      <c r="Y112" s="251"/>
      <c r="Z112" s="251"/>
    </row>
    <row r="113">
      <c r="A113" s="254">
        <v>46086.0</v>
      </c>
      <c r="B113" s="251" t="str">
        <f>IFERROR(__xludf.DUMMYFUNCTION("""COMPUTED_VALUE"""),"BS-SO-ACM-2")</f>
        <v>BS-SO-ACM-2</v>
      </c>
      <c r="C113" s="251" t="s">
        <v>9064</v>
      </c>
      <c r="D113" s="252">
        <v>3.89</v>
      </c>
      <c r="E113" s="252">
        <v>22.0</v>
      </c>
      <c r="F113" s="256">
        <v>20.0</v>
      </c>
      <c r="G113" s="258">
        <v>4.5</v>
      </c>
      <c r="H113" s="258">
        <v>0.0</v>
      </c>
      <c r="I113" s="258">
        <v>4.5</v>
      </c>
      <c r="J113" s="258">
        <v>0.0</v>
      </c>
      <c r="K113" s="255" t="s">
        <v>1602</v>
      </c>
      <c r="L113" s="251"/>
      <c r="M113" s="255" t="s">
        <v>9118</v>
      </c>
      <c r="N113" s="21" t="s">
        <v>22</v>
      </c>
      <c r="O113" s="251"/>
      <c r="P113" s="256">
        <v>16.11</v>
      </c>
      <c r="Q113" s="257">
        <v>0.8055</v>
      </c>
      <c r="R113" s="252"/>
      <c r="S113" s="251"/>
      <c r="T113" s="251"/>
      <c r="U113" s="251"/>
      <c r="V113" s="251"/>
      <c r="W113" s="251"/>
      <c r="X113" s="251"/>
      <c r="Y113" s="251"/>
      <c r="Z113" s="251"/>
    </row>
    <row r="114">
      <c r="A114" s="254">
        <v>46100.0</v>
      </c>
      <c r="B114" s="251" t="str">
        <f>IFERROR(__xludf.DUMMYFUNCTION("""COMPUTED_VALUE"""),"BS-SO-ACM-4")</f>
        <v>BS-SO-ACM-4</v>
      </c>
      <c r="C114" s="251" t="s">
        <v>9064</v>
      </c>
      <c r="D114" s="252">
        <v>3.89</v>
      </c>
      <c r="E114" s="252">
        <v>22.0</v>
      </c>
      <c r="F114" s="256">
        <v>20.0</v>
      </c>
      <c r="G114" s="258">
        <v>9.0</v>
      </c>
      <c r="H114" s="258">
        <v>0.0</v>
      </c>
      <c r="I114" s="258">
        <v>9.0</v>
      </c>
      <c r="J114" s="258">
        <v>0.0</v>
      </c>
      <c r="K114" s="255" t="s">
        <v>1602</v>
      </c>
      <c r="L114" s="251"/>
      <c r="M114" s="255" t="s">
        <v>9119</v>
      </c>
      <c r="N114" s="21" t="s">
        <v>22</v>
      </c>
      <c r="O114" s="251"/>
      <c r="P114" s="256">
        <v>16.11</v>
      </c>
      <c r="Q114" s="257">
        <v>0.8055</v>
      </c>
      <c r="R114" s="256"/>
      <c r="S114" s="251"/>
      <c r="T114" s="251"/>
      <c r="U114" s="251"/>
      <c r="V114" s="251"/>
      <c r="W114" s="251"/>
      <c r="X114" s="251"/>
      <c r="Y114" s="251"/>
      <c r="Z114" s="251"/>
    </row>
    <row r="115">
      <c r="A115" s="254">
        <v>46106.0</v>
      </c>
      <c r="B115" s="251" t="str">
        <f>IFERROR(__xludf.DUMMYFUNCTION("""COMPUTED_VALUE"""),"BS-SO-FRM-2")</f>
        <v>BS-SO-FRM-2</v>
      </c>
      <c r="C115" s="251" t="s">
        <v>9070</v>
      </c>
      <c r="D115" s="252">
        <v>4.33</v>
      </c>
      <c r="E115" s="252">
        <v>20.0</v>
      </c>
      <c r="F115" s="256">
        <v>15.0</v>
      </c>
      <c r="G115" s="258">
        <v>11.0</v>
      </c>
      <c r="H115" s="258">
        <v>0.0</v>
      </c>
      <c r="I115" s="258">
        <v>7.19</v>
      </c>
      <c r="J115" s="258">
        <v>3.81</v>
      </c>
      <c r="K115" s="255" t="s">
        <v>1692</v>
      </c>
      <c r="L115" s="251"/>
      <c r="M115" s="255" t="s">
        <v>9120</v>
      </c>
      <c r="N115" s="21" t="s">
        <v>22</v>
      </c>
      <c r="O115" s="251"/>
      <c r="P115" s="256">
        <v>10.67</v>
      </c>
      <c r="Q115" s="257">
        <v>0.7113333333333334</v>
      </c>
      <c r="R115" s="256"/>
      <c r="S115" s="251"/>
      <c r="T115" s="251"/>
      <c r="U115" s="251"/>
      <c r="V115" s="251"/>
      <c r="W115" s="251"/>
      <c r="X115" s="251"/>
      <c r="Y115" s="251"/>
      <c r="Z115" s="251"/>
    </row>
    <row r="116">
      <c r="A116" s="254">
        <v>46099.0</v>
      </c>
      <c r="B116" s="251" t="str">
        <f>IFERROR(__xludf.DUMMYFUNCTION("""COMPUTED_VALUE"""),"BS-SO-ACM-3")</f>
        <v>BS-SO-ACM-3</v>
      </c>
      <c r="C116" s="251" t="s">
        <v>9064</v>
      </c>
      <c r="D116" s="252">
        <v>3.89</v>
      </c>
      <c r="E116" s="252">
        <v>22.0</v>
      </c>
      <c r="F116" s="256">
        <v>20.0</v>
      </c>
      <c r="G116" s="258">
        <v>9.0</v>
      </c>
      <c r="H116" s="258">
        <v>0.0</v>
      </c>
      <c r="I116" s="258">
        <v>9.0</v>
      </c>
      <c r="J116" s="258">
        <v>0.0</v>
      </c>
      <c r="K116" s="255" t="s">
        <v>1602</v>
      </c>
      <c r="L116" s="251"/>
      <c r="M116" s="255" t="s">
        <v>9121</v>
      </c>
      <c r="N116" s="21" t="s">
        <v>22</v>
      </c>
      <c r="O116" s="251"/>
      <c r="P116" s="256">
        <v>16.11</v>
      </c>
      <c r="Q116" s="257">
        <v>0.8055</v>
      </c>
      <c r="R116" s="252"/>
      <c r="S116" s="251"/>
      <c r="T116" s="251"/>
      <c r="U116" s="251"/>
      <c r="V116" s="251"/>
      <c r="W116" s="251"/>
      <c r="X116" s="251"/>
      <c r="Y116" s="251"/>
      <c r="Z116" s="251"/>
    </row>
    <row r="117">
      <c r="A117" s="254">
        <v>46107.0</v>
      </c>
      <c r="B117" s="251" t="str">
        <f>IFERROR(__xludf.DUMMYFUNCTION("""COMPUTED_VALUE"""),"BS-SO-ACM-5")</f>
        <v>BS-SO-ACM-5</v>
      </c>
      <c r="C117" s="251" t="s">
        <v>9064</v>
      </c>
      <c r="D117" s="252">
        <v>3.89</v>
      </c>
      <c r="E117" s="252">
        <v>22.0</v>
      </c>
      <c r="F117" s="256">
        <v>20.0</v>
      </c>
      <c r="G117" s="258">
        <v>9.0</v>
      </c>
      <c r="H117" s="258">
        <v>4.0</v>
      </c>
      <c r="I117" s="258">
        <v>5.0</v>
      </c>
      <c r="J117" s="258">
        <v>0.0</v>
      </c>
      <c r="K117" s="255" t="s">
        <v>1602</v>
      </c>
      <c r="L117" s="251"/>
      <c r="M117" s="255" t="s">
        <v>9122</v>
      </c>
      <c r="N117" s="21" t="s">
        <v>22</v>
      </c>
      <c r="O117" s="251"/>
      <c r="P117" s="256">
        <v>11.11</v>
      </c>
      <c r="Q117" s="257">
        <v>0.7406666666666666</v>
      </c>
      <c r="R117" s="256">
        <v>15.0</v>
      </c>
      <c r="S117" s="251"/>
      <c r="T117" s="251"/>
      <c r="U117" s="251"/>
      <c r="V117" s="251"/>
      <c r="W117" s="251"/>
      <c r="X117" s="251"/>
      <c r="Y117" s="251"/>
      <c r="Z117" s="251"/>
    </row>
    <row r="118">
      <c r="A118" s="254">
        <v>46107.0</v>
      </c>
      <c r="B118" s="251" t="str">
        <f>IFERROR(__xludf.DUMMYFUNCTION("""COMPUTED_VALUE"""),"TL-PO-2-GL-1")</f>
        <v>TL-PO-2-GL-1</v>
      </c>
      <c r="C118" s="251" t="s">
        <v>9108</v>
      </c>
      <c r="D118" s="252">
        <v>1.0</v>
      </c>
      <c r="E118" s="252">
        <v>8.0</v>
      </c>
      <c r="F118" s="252"/>
      <c r="G118" s="258">
        <v>4.0</v>
      </c>
      <c r="H118" s="258">
        <v>0.0</v>
      </c>
      <c r="I118" s="258">
        <v>0.0</v>
      </c>
      <c r="J118" s="258">
        <v>4.0</v>
      </c>
      <c r="K118" s="255" t="s">
        <v>1692</v>
      </c>
      <c r="L118" s="251"/>
      <c r="M118" s="255" t="s">
        <v>9123</v>
      </c>
      <c r="N118" s="21" t="s">
        <v>22</v>
      </c>
      <c r="O118" s="251"/>
      <c r="P118" s="252"/>
      <c r="Q118" s="253"/>
      <c r="R118" s="252"/>
      <c r="S118" s="251"/>
      <c r="T118" s="251"/>
      <c r="U118" s="251"/>
      <c r="V118" s="251"/>
      <c r="W118" s="251"/>
      <c r="X118" s="251"/>
      <c r="Y118" s="251"/>
      <c r="Z118" s="251"/>
    </row>
    <row r="119">
      <c r="A119" s="254">
        <v>46108.0</v>
      </c>
      <c r="B119" s="251" t="str">
        <f>IFERROR(__xludf.DUMMYFUNCTION("""COMPUTED_VALUE"""),"BS-SO-HO-2")</f>
        <v>BS-SO-HO-2</v>
      </c>
      <c r="C119" s="251" t="s">
        <v>9062</v>
      </c>
      <c r="D119" s="252">
        <v>4.17</v>
      </c>
      <c r="E119" s="252">
        <v>16.0</v>
      </c>
      <c r="F119" s="256">
        <v>10.0</v>
      </c>
      <c r="G119" s="258">
        <v>4.0</v>
      </c>
      <c r="H119" s="258">
        <v>0.0</v>
      </c>
      <c r="I119" s="258">
        <v>0.19</v>
      </c>
      <c r="J119" s="258">
        <v>3.81</v>
      </c>
      <c r="K119" s="255" t="s">
        <v>1692</v>
      </c>
      <c r="L119" s="251"/>
      <c r="M119" s="255" t="s">
        <v>9124</v>
      </c>
      <c r="N119" s="21" t="s">
        <v>22</v>
      </c>
      <c r="O119" s="251"/>
      <c r="P119" s="256">
        <v>5.83</v>
      </c>
      <c r="Q119" s="257">
        <v>0.583</v>
      </c>
      <c r="R119" s="252"/>
      <c r="S119" s="251"/>
      <c r="T119" s="251"/>
      <c r="U119" s="251"/>
      <c r="V119" s="251"/>
      <c r="W119" s="251"/>
      <c r="X119" s="251"/>
      <c r="Y119" s="251"/>
      <c r="Z119" s="251"/>
    </row>
    <row r="120">
      <c r="A120" s="254">
        <v>46110.0</v>
      </c>
      <c r="B120" s="251" t="str">
        <f>IFERROR(__xludf.DUMMYFUNCTION("""COMPUTED_VALUE"""),"TR-SB-MSB-8")</f>
        <v>TR-SB-MSB-8</v>
      </c>
      <c r="C120" s="251" t="s">
        <v>9125</v>
      </c>
      <c r="D120" s="252">
        <v>2.5</v>
      </c>
      <c r="E120" s="252">
        <v>5.0</v>
      </c>
      <c r="F120" s="252"/>
      <c r="G120" s="258">
        <v>8.0</v>
      </c>
      <c r="H120" s="258">
        <v>0.0</v>
      </c>
      <c r="I120" s="258">
        <v>0.0</v>
      </c>
      <c r="J120" s="258">
        <v>8.0</v>
      </c>
      <c r="K120" s="255" t="s">
        <v>1692</v>
      </c>
      <c r="L120" s="251"/>
      <c r="M120" s="255" t="s">
        <v>9126</v>
      </c>
      <c r="N120" s="21" t="s">
        <v>22</v>
      </c>
      <c r="O120" s="251"/>
      <c r="P120" s="252"/>
      <c r="Q120" s="253"/>
      <c r="R120" s="252"/>
      <c r="S120" s="251"/>
      <c r="T120" s="251"/>
      <c r="U120" s="251"/>
      <c r="V120" s="251"/>
      <c r="W120" s="251"/>
      <c r="X120" s="251"/>
      <c r="Y120" s="251"/>
      <c r="Z120" s="251"/>
    </row>
    <row r="121">
      <c r="A121" s="254">
        <v>46111.0</v>
      </c>
      <c r="B121" s="251" t="str">
        <f>IFERROR(__xludf.DUMMYFUNCTION("""COMPUTED_VALUE"""),"BS-SO-AL-2")</f>
        <v>BS-SO-AL-2</v>
      </c>
      <c r="C121" s="251" t="s">
        <v>9066</v>
      </c>
      <c r="D121" s="252">
        <v>4.75</v>
      </c>
      <c r="E121" s="252">
        <v>18.0</v>
      </c>
      <c r="F121" s="256">
        <v>12.0</v>
      </c>
      <c r="G121" s="258">
        <v>10.0</v>
      </c>
      <c r="H121" s="258">
        <v>0.0</v>
      </c>
      <c r="I121" s="258">
        <v>0.0</v>
      </c>
      <c r="J121" s="258">
        <v>10.0</v>
      </c>
      <c r="K121" s="255" t="s">
        <v>1692</v>
      </c>
      <c r="L121" s="251"/>
      <c r="M121" s="255" t="s">
        <v>9127</v>
      </c>
      <c r="N121" s="21" t="s">
        <v>22</v>
      </c>
      <c r="O121" s="251"/>
      <c r="P121" s="256">
        <v>7.25</v>
      </c>
      <c r="Q121" s="257">
        <v>0.6041666666666666</v>
      </c>
      <c r="R121" s="252"/>
      <c r="S121" s="251"/>
      <c r="T121" s="251"/>
      <c r="U121" s="251"/>
      <c r="V121" s="251"/>
      <c r="W121" s="251"/>
      <c r="X121" s="251"/>
      <c r="Y121" s="251"/>
      <c r="Z121" s="251"/>
    </row>
    <row r="122">
      <c r="A122" s="254">
        <v>46137.0</v>
      </c>
      <c r="B122" s="251" t="str">
        <f>IFERROR(__xludf.DUMMYFUNCTION("""COMPUTED_VALUE"""),"ST-PO-6-COP-1")</f>
        <v>ST-PO-6-COP-1</v>
      </c>
      <c r="C122" s="251" t="s">
        <v>9128</v>
      </c>
      <c r="D122" s="252">
        <v>0.0</v>
      </c>
      <c r="E122" s="252">
        <v>0.0</v>
      </c>
      <c r="F122" s="252"/>
      <c r="G122" s="251"/>
      <c r="H122" s="251"/>
      <c r="I122" s="251"/>
      <c r="J122" s="251"/>
      <c r="K122" s="251"/>
      <c r="L122" s="251"/>
      <c r="M122" s="251"/>
      <c r="N122" s="21"/>
      <c r="O122" s="251"/>
      <c r="P122" s="252"/>
      <c r="Q122" s="253"/>
      <c r="R122" s="252"/>
      <c r="S122" s="251"/>
      <c r="T122" s="251"/>
      <c r="U122" s="251"/>
      <c r="V122" s="251"/>
      <c r="W122" s="251"/>
      <c r="X122" s="251"/>
      <c r="Y122" s="251"/>
      <c r="Z122" s="251"/>
    </row>
    <row r="123">
      <c r="A123" s="254">
        <v>46137.0</v>
      </c>
      <c r="B123" s="251" t="str">
        <f>IFERROR(__xludf.DUMMYFUNCTION("""COMPUTED_VALUE"""),"ST-PO-4-COP-1")</f>
        <v>ST-PO-4-COP-1</v>
      </c>
      <c r="C123" s="251" t="s">
        <v>9128</v>
      </c>
      <c r="D123" s="252">
        <v>0.0</v>
      </c>
      <c r="E123" s="252">
        <v>0.0</v>
      </c>
      <c r="F123" s="252"/>
      <c r="G123" s="251"/>
      <c r="H123" s="251"/>
      <c r="I123" s="251"/>
      <c r="J123" s="251"/>
      <c r="K123" s="251"/>
      <c r="L123" s="251"/>
      <c r="M123" s="251"/>
      <c r="N123" s="21"/>
      <c r="O123" s="251"/>
      <c r="P123" s="252"/>
      <c r="Q123" s="253"/>
      <c r="R123" s="252"/>
      <c r="S123" s="251"/>
      <c r="T123" s="251"/>
      <c r="U123" s="251"/>
      <c r="V123" s="251"/>
      <c r="W123" s="251"/>
      <c r="X123" s="251"/>
      <c r="Y123" s="251"/>
      <c r="Z123" s="251"/>
    </row>
    <row r="124">
      <c r="A124" s="254">
        <v>46144.0</v>
      </c>
      <c r="B124" s="251" t="str">
        <f>IFERROR(__xludf.DUMMYFUNCTION("""COMPUTED_VALUE"""),"BS-SO-ACM-6")</f>
        <v>BS-SO-ACM-6</v>
      </c>
      <c r="C124" s="251" t="s">
        <v>9064</v>
      </c>
      <c r="D124" s="252">
        <v>1.9</v>
      </c>
      <c r="E124" s="252">
        <v>22.0</v>
      </c>
      <c r="F124" s="256">
        <v>20.0</v>
      </c>
      <c r="G124" s="258">
        <v>18.0</v>
      </c>
      <c r="H124" s="258">
        <v>0.0</v>
      </c>
      <c r="I124" s="258">
        <v>11.19</v>
      </c>
      <c r="J124" s="258">
        <v>6.81</v>
      </c>
      <c r="K124" s="255" t="s">
        <v>1692</v>
      </c>
      <c r="L124" s="251"/>
      <c r="M124" s="255" t="s">
        <v>9129</v>
      </c>
      <c r="N124" s="21"/>
      <c r="O124" s="255" t="s">
        <v>8878</v>
      </c>
      <c r="P124" s="256">
        <v>18.1</v>
      </c>
      <c r="Q124" s="257">
        <v>0.905</v>
      </c>
      <c r="R124" s="252"/>
      <c r="S124" s="251"/>
      <c r="T124" s="251"/>
      <c r="U124" s="251"/>
      <c r="V124" s="251"/>
      <c r="W124" s="251"/>
      <c r="X124" s="251"/>
      <c r="Y124" s="251"/>
      <c r="Z124" s="251"/>
    </row>
    <row r="125">
      <c r="A125" s="254">
        <v>46145.0</v>
      </c>
      <c r="B125" s="251" t="str">
        <f>IFERROR(__xludf.DUMMYFUNCTION("""COMPUTED_VALUE"""),"BS-SO-SU-1")</f>
        <v>BS-SO-SU-1</v>
      </c>
      <c r="C125" s="251" t="s">
        <v>9130</v>
      </c>
      <c r="D125" s="252">
        <v>3.93</v>
      </c>
      <c r="E125" s="252">
        <v>18.0</v>
      </c>
      <c r="F125" s="252"/>
      <c r="G125" s="258">
        <v>4.0</v>
      </c>
      <c r="H125" s="258">
        <v>0.0</v>
      </c>
      <c r="I125" s="258">
        <v>1.13</v>
      </c>
      <c r="J125" s="258">
        <v>2.88</v>
      </c>
      <c r="K125" s="255" t="s">
        <v>1692</v>
      </c>
      <c r="L125" s="251"/>
      <c r="M125" s="255" t="s">
        <v>9131</v>
      </c>
      <c r="N125" s="21" t="s">
        <v>22</v>
      </c>
      <c r="O125" s="251"/>
      <c r="P125" s="252"/>
      <c r="Q125" s="253"/>
      <c r="R125" s="252"/>
      <c r="S125" s="251"/>
      <c r="T125" s="251"/>
      <c r="U125" s="251"/>
      <c r="V125" s="251"/>
      <c r="W125" s="251"/>
      <c r="X125" s="251"/>
      <c r="Y125" s="251"/>
      <c r="Z125" s="251"/>
    </row>
    <row r="126">
      <c r="A126" s="254">
        <v>46145.0</v>
      </c>
      <c r="B126" s="251" t="str">
        <f>IFERROR(__xludf.DUMMYFUNCTION("""COMPUTED_VALUE"""),"BS-SO-RE-1")</f>
        <v>BS-SO-RE-1</v>
      </c>
      <c r="C126" s="251" t="s">
        <v>9132</v>
      </c>
      <c r="D126" s="252">
        <v>0.0</v>
      </c>
      <c r="E126" s="252">
        <v>0.0</v>
      </c>
      <c r="F126" s="252"/>
      <c r="G126" s="258">
        <v>1.0</v>
      </c>
      <c r="H126" s="258">
        <v>0.0</v>
      </c>
      <c r="I126" s="258">
        <v>0.09</v>
      </c>
      <c r="J126" s="258">
        <v>0.91</v>
      </c>
      <c r="K126" s="255" t="s">
        <v>1692</v>
      </c>
      <c r="L126" s="251"/>
      <c r="M126" s="255" t="s">
        <v>9133</v>
      </c>
      <c r="N126" s="21" t="s">
        <v>22</v>
      </c>
      <c r="O126" s="251"/>
      <c r="P126" s="252"/>
      <c r="Q126" s="253"/>
      <c r="R126" s="252"/>
      <c r="S126" s="251"/>
      <c r="T126" s="251"/>
      <c r="U126" s="251"/>
      <c r="V126" s="251"/>
      <c r="W126" s="251"/>
      <c r="X126" s="251"/>
      <c r="Y126" s="251"/>
      <c r="Z126" s="251"/>
    </row>
    <row r="127">
      <c r="A127" s="254">
        <v>46146.0</v>
      </c>
      <c r="B127" s="251" t="str">
        <f>IFERROR(__xludf.DUMMYFUNCTION("""COMPUTED_VALUE"""),"AGP-PO-4-BN-1")</f>
        <v>AGP-PO-4-BN-1</v>
      </c>
      <c r="C127" s="251" t="s">
        <v>9134</v>
      </c>
      <c r="D127" s="252">
        <v>0.26</v>
      </c>
      <c r="E127" s="252">
        <v>2.0</v>
      </c>
      <c r="F127" s="256">
        <v>2.0</v>
      </c>
      <c r="G127" s="258">
        <v>250.0</v>
      </c>
      <c r="H127" s="258">
        <v>0.0</v>
      </c>
      <c r="I127" s="258">
        <v>119.0</v>
      </c>
      <c r="J127" s="258">
        <v>131.0</v>
      </c>
      <c r="K127" s="255" t="s">
        <v>1692</v>
      </c>
      <c r="L127" s="251"/>
      <c r="M127" s="255" t="s">
        <v>9135</v>
      </c>
      <c r="N127" s="21" t="s">
        <v>22</v>
      </c>
      <c r="O127" s="251"/>
      <c r="P127" s="256">
        <v>1.74</v>
      </c>
      <c r="Q127" s="257">
        <v>0.87</v>
      </c>
      <c r="R127" s="252"/>
      <c r="S127" s="251"/>
      <c r="T127" s="251"/>
      <c r="U127" s="251"/>
      <c r="V127" s="251"/>
      <c r="W127" s="251"/>
      <c r="X127" s="251"/>
      <c r="Y127" s="251"/>
      <c r="Z127" s="251"/>
    </row>
    <row r="128">
      <c r="A128" s="254">
        <v>46146.0</v>
      </c>
      <c r="B128" s="251" t="str">
        <f>IFERROR(__xludf.DUMMYFUNCTION("""COMPUTED_VALUE"""),"BS-PS-24-BA-1")</f>
        <v>BS-PS-24-BA-1</v>
      </c>
      <c r="C128" s="251" t="s">
        <v>9136</v>
      </c>
      <c r="D128" s="252">
        <v>0.0</v>
      </c>
      <c r="E128" s="252">
        <v>2.0</v>
      </c>
      <c r="F128" s="252"/>
      <c r="G128" s="258">
        <v>1.0</v>
      </c>
      <c r="H128" s="258">
        <v>0.0</v>
      </c>
      <c r="I128" s="258">
        <v>0.0</v>
      </c>
      <c r="J128" s="258">
        <v>1.0</v>
      </c>
      <c r="K128" s="255" t="s">
        <v>1692</v>
      </c>
      <c r="L128" s="251"/>
      <c r="M128" s="255" t="s">
        <v>9137</v>
      </c>
      <c r="N128" s="21" t="s">
        <v>22</v>
      </c>
      <c r="O128" s="251"/>
      <c r="P128" s="252"/>
      <c r="Q128" s="253"/>
      <c r="R128" s="252"/>
      <c r="S128" s="251"/>
      <c r="T128" s="251"/>
      <c r="U128" s="251"/>
      <c r="V128" s="251"/>
      <c r="W128" s="251"/>
      <c r="X128" s="251"/>
      <c r="Y128" s="251"/>
      <c r="Z128" s="251"/>
    </row>
    <row r="129">
      <c r="A129" s="254">
        <v>46146.0</v>
      </c>
      <c r="B129" s="251" t="str">
        <f>IFERROR(__xludf.DUMMYFUNCTION("""COMPUTED_VALUE"""),"BS-PS-18-BA-1")</f>
        <v>BS-PS-18-BA-1</v>
      </c>
      <c r="C129" s="251" t="s">
        <v>9136</v>
      </c>
      <c r="D129" s="252">
        <v>0.0</v>
      </c>
      <c r="E129" s="252">
        <v>1.0</v>
      </c>
      <c r="F129" s="252"/>
      <c r="G129" s="258">
        <v>1.0</v>
      </c>
      <c r="H129" s="258">
        <v>0.0</v>
      </c>
      <c r="I129" s="258">
        <v>0.0</v>
      </c>
      <c r="J129" s="258">
        <v>1.0</v>
      </c>
      <c r="K129" s="255" t="s">
        <v>1692</v>
      </c>
      <c r="L129" s="251"/>
      <c r="M129" s="255" t="s">
        <v>9138</v>
      </c>
      <c r="N129" s="21" t="s">
        <v>22</v>
      </c>
      <c r="O129" s="251"/>
      <c r="P129" s="252"/>
      <c r="Q129" s="253"/>
      <c r="R129" s="252"/>
      <c r="S129" s="251"/>
      <c r="T129" s="251"/>
      <c r="U129" s="251"/>
      <c r="V129" s="251"/>
      <c r="W129" s="251"/>
      <c r="X129" s="251"/>
      <c r="Y129" s="251"/>
      <c r="Z129" s="251"/>
    </row>
    <row r="130">
      <c r="A130" s="254">
        <v>46146.0</v>
      </c>
      <c r="B130" s="251" t="str">
        <f>IFERROR(__xludf.DUMMYFUNCTION("""COMPUTED_VALUE"""),"BS-PS-12-BA-1")</f>
        <v>BS-PS-12-BA-1</v>
      </c>
      <c r="C130" s="251" t="s">
        <v>9136</v>
      </c>
      <c r="D130" s="252">
        <v>0.0</v>
      </c>
      <c r="E130" s="252">
        <v>1.0</v>
      </c>
      <c r="F130" s="252"/>
      <c r="G130" s="258">
        <v>1.0</v>
      </c>
      <c r="H130" s="258">
        <v>0.0</v>
      </c>
      <c r="I130" s="258">
        <v>0.0</v>
      </c>
      <c r="J130" s="258">
        <v>1.0</v>
      </c>
      <c r="K130" s="255" t="s">
        <v>1692</v>
      </c>
      <c r="L130" s="251"/>
      <c r="M130" s="255" t="s">
        <v>9139</v>
      </c>
      <c r="N130" s="21" t="s">
        <v>22</v>
      </c>
      <c r="O130" s="251"/>
      <c r="P130" s="252"/>
      <c r="Q130" s="253"/>
      <c r="R130" s="252"/>
      <c r="S130" s="251"/>
      <c r="T130" s="251"/>
      <c r="U130" s="251"/>
      <c r="V130" s="251"/>
      <c r="W130" s="251"/>
      <c r="X130" s="251"/>
      <c r="Y130" s="251"/>
      <c r="Z130" s="251"/>
    </row>
    <row r="131">
      <c r="A131" s="254">
        <v>46148.0</v>
      </c>
      <c r="B131" s="251" t="str">
        <f>IFERROR(__xludf.DUMMYFUNCTION("""COMPUTED_VALUE"""),"BS-PS-16-BA-1")</f>
        <v>BS-PS-16-BA-1</v>
      </c>
      <c r="C131" s="251" t="s">
        <v>9136</v>
      </c>
      <c r="D131" s="252">
        <v>0.0</v>
      </c>
      <c r="E131" s="252">
        <v>1.0</v>
      </c>
      <c r="F131" s="252"/>
      <c r="G131" s="258">
        <v>1.0</v>
      </c>
      <c r="H131" s="258">
        <v>0.0</v>
      </c>
      <c r="I131" s="258">
        <v>0.0</v>
      </c>
      <c r="J131" s="258">
        <v>1.0</v>
      </c>
      <c r="K131" s="255" t="s">
        <v>1692</v>
      </c>
      <c r="L131" s="251"/>
      <c r="M131" s="255" t="s">
        <v>9140</v>
      </c>
      <c r="N131" s="21" t="s">
        <v>22</v>
      </c>
      <c r="O131" s="251"/>
      <c r="P131" s="252"/>
      <c r="Q131" s="253"/>
      <c r="R131" s="252"/>
      <c r="S131" s="251"/>
      <c r="T131" s="251"/>
      <c r="U131" s="251"/>
      <c r="V131" s="251"/>
      <c r="W131" s="251"/>
      <c r="X131" s="251"/>
      <c r="Y131" s="251"/>
      <c r="Z131" s="251"/>
    </row>
    <row r="132">
      <c r="A132" s="254">
        <v>46150.0</v>
      </c>
      <c r="B132" s="251" t="str">
        <f>IFERROR(__xludf.DUMMYFUNCTION("""COMPUTED_VALUE"""),"BS-SO-FRM-3")</f>
        <v>BS-SO-FRM-3</v>
      </c>
      <c r="C132" s="251" t="s">
        <v>9070</v>
      </c>
      <c r="D132" s="252">
        <v>2.35</v>
      </c>
      <c r="E132" s="252">
        <v>20.0</v>
      </c>
      <c r="F132" s="252"/>
      <c r="G132" s="258">
        <v>23.0</v>
      </c>
      <c r="H132" s="258">
        <v>0.0</v>
      </c>
      <c r="I132" s="258">
        <v>0.0</v>
      </c>
      <c r="J132" s="258">
        <v>23.0</v>
      </c>
      <c r="K132" s="255" t="s">
        <v>1692</v>
      </c>
      <c r="L132" s="251"/>
      <c r="M132" s="255" t="s">
        <v>9141</v>
      </c>
      <c r="N132" s="21" t="s">
        <v>22</v>
      </c>
      <c r="O132" s="251"/>
      <c r="P132" s="252"/>
      <c r="Q132" s="253"/>
      <c r="R132" s="252"/>
      <c r="S132" s="251"/>
      <c r="T132" s="251"/>
      <c r="U132" s="251"/>
      <c r="V132" s="251"/>
      <c r="W132" s="251"/>
      <c r="X132" s="251"/>
      <c r="Y132" s="251"/>
      <c r="Z132" s="251"/>
    </row>
    <row r="133">
      <c r="A133" s="254">
        <v>46150.0</v>
      </c>
      <c r="B133" s="251" t="str">
        <f>IFERROR(__xludf.DUMMYFUNCTION("""COMPUTED_VALUE"""),"BS-SO-ACM-7")</f>
        <v>BS-SO-ACM-7</v>
      </c>
      <c r="C133" s="251" t="s">
        <v>9064</v>
      </c>
      <c r="D133" s="252">
        <v>2.59</v>
      </c>
      <c r="E133" s="252">
        <v>22.0</v>
      </c>
      <c r="F133" s="256">
        <v>20.0</v>
      </c>
      <c r="G133" s="258">
        <v>18.6</v>
      </c>
      <c r="H133" s="258">
        <v>0.0</v>
      </c>
      <c r="I133" s="258">
        <v>0.0</v>
      </c>
      <c r="J133" s="258">
        <v>18.6</v>
      </c>
      <c r="K133" s="255" t="s">
        <v>1692</v>
      </c>
      <c r="L133" s="251"/>
      <c r="M133" s="255" t="s">
        <v>9142</v>
      </c>
      <c r="N133" s="21" t="s">
        <v>22</v>
      </c>
      <c r="O133" s="251"/>
      <c r="P133" s="256">
        <v>17.41</v>
      </c>
      <c r="Q133" s="257">
        <v>0.8705</v>
      </c>
      <c r="R133" s="252"/>
      <c r="S133" s="251"/>
      <c r="T133" s="251"/>
      <c r="U133" s="251"/>
      <c r="V133" s="251"/>
      <c r="W133" s="251"/>
      <c r="X133" s="251"/>
      <c r="Y133" s="251"/>
      <c r="Z133" s="251"/>
    </row>
    <row r="134">
      <c r="A134" s="254">
        <v>46152.0</v>
      </c>
      <c r="B134" s="251" t="str">
        <f>IFERROR(__xludf.DUMMYFUNCTION("""COMPUTED_VALUE"""),"BS-SO-VM-1")</f>
        <v>BS-SO-VM-1</v>
      </c>
      <c r="C134" s="251" t="s">
        <v>9143</v>
      </c>
      <c r="D134" s="252">
        <v>2.52</v>
      </c>
      <c r="E134" s="252">
        <v>10.0</v>
      </c>
      <c r="F134" s="252"/>
      <c r="G134" s="258">
        <v>6.5</v>
      </c>
      <c r="H134" s="258">
        <v>0.0</v>
      </c>
      <c r="I134" s="258">
        <v>1.59</v>
      </c>
      <c r="J134" s="258">
        <v>4.91</v>
      </c>
      <c r="K134" s="255" t="s">
        <v>1692</v>
      </c>
      <c r="L134" s="251"/>
      <c r="M134" s="255" t="s">
        <v>9144</v>
      </c>
      <c r="N134" s="21" t="s">
        <v>22</v>
      </c>
      <c r="O134" s="255" t="s">
        <v>8888</v>
      </c>
      <c r="P134" s="252"/>
      <c r="Q134" s="253"/>
      <c r="R134" s="252"/>
      <c r="S134" s="251"/>
      <c r="T134" s="251"/>
      <c r="U134" s="251"/>
      <c r="V134" s="251"/>
      <c r="W134" s="251"/>
      <c r="X134" s="251"/>
      <c r="Y134" s="251"/>
      <c r="Z134" s="251"/>
    </row>
    <row r="135">
      <c r="A135" s="254">
        <v>46158.0</v>
      </c>
      <c r="B135" s="251" t="str">
        <f>IFERROR(__xludf.DUMMYFUNCTION("""COMPUTED_VALUE"""),"ST-PO-0-BR-1")</f>
        <v>ST-PO-0-BR-1</v>
      </c>
      <c r="C135" s="251" t="s">
        <v>9145</v>
      </c>
      <c r="D135" s="252">
        <v>0.0</v>
      </c>
      <c r="E135" s="252">
        <v>0.0</v>
      </c>
      <c r="F135" s="252"/>
      <c r="G135" s="251"/>
      <c r="H135" s="251"/>
      <c r="I135" s="251"/>
      <c r="J135" s="251"/>
      <c r="K135" s="251"/>
      <c r="L135" s="251"/>
      <c r="M135" s="251"/>
      <c r="N135" s="21"/>
      <c r="O135" s="251"/>
      <c r="P135" s="252"/>
      <c r="Q135" s="253"/>
      <c r="R135" s="252"/>
      <c r="S135" s="251"/>
      <c r="T135" s="251"/>
      <c r="U135" s="251"/>
      <c r="V135" s="251"/>
      <c r="W135" s="251"/>
      <c r="X135" s="251"/>
      <c r="Y135" s="251"/>
      <c r="Z135" s="251"/>
    </row>
    <row r="136">
      <c r="A136" s="250"/>
      <c r="B136" s="251"/>
      <c r="C136" s="251" t="s">
        <v>39</v>
      </c>
      <c r="D136" s="252" t="s">
        <v>39</v>
      </c>
      <c r="E136" s="252" t="s">
        <v>39</v>
      </c>
      <c r="F136" s="252"/>
      <c r="G136" s="251"/>
      <c r="H136" s="251"/>
      <c r="I136" s="251"/>
      <c r="J136" s="251"/>
      <c r="K136" s="251"/>
      <c r="L136" s="251"/>
      <c r="M136" s="251"/>
      <c r="N136" s="21"/>
      <c r="O136" s="251"/>
      <c r="P136" s="252"/>
      <c r="Q136" s="253"/>
      <c r="R136" s="252"/>
      <c r="S136" s="251"/>
      <c r="T136" s="251"/>
      <c r="U136" s="251"/>
      <c r="V136" s="251"/>
      <c r="W136" s="251"/>
      <c r="X136" s="251"/>
      <c r="Y136" s="251"/>
      <c r="Z136" s="251"/>
    </row>
    <row r="137">
      <c r="A137" s="250"/>
      <c r="B137" s="251"/>
      <c r="C137" s="251" t="s">
        <v>39</v>
      </c>
      <c r="D137" s="252" t="s">
        <v>39</v>
      </c>
      <c r="E137" s="252" t="s">
        <v>39</v>
      </c>
      <c r="F137" s="252"/>
      <c r="G137" s="251"/>
      <c r="H137" s="251"/>
      <c r="I137" s="251"/>
      <c r="J137" s="251"/>
      <c r="K137" s="251"/>
      <c r="L137" s="251"/>
      <c r="M137" s="251"/>
      <c r="N137" s="21"/>
      <c r="O137" s="251"/>
      <c r="P137" s="252"/>
      <c r="Q137" s="253"/>
      <c r="R137" s="252"/>
      <c r="S137" s="251"/>
      <c r="T137" s="251"/>
      <c r="U137" s="251"/>
      <c r="V137" s="251"/>
      <c r="W137" s="251"/>
      <c r="X137" s="251"/>
      <c r="Y137" s="251"/>
      <c r="Z137" s="251"/>
    </row>
    <row r="138">
      <c r="A138" s="250"/>
      <c r="B138" s="251"/>
      <c r="C138" s="251" t="s">
        <v>39</v>
      </c>
      <c r="D138" s="252" t="s">
        <v>39</v>
      </c>
      <c r="E138" s="252" t="s">
        <v>39</v>
      </c>
      <c r="F138" s="252"/>
      <c r="G138" s="251"/>
      <c r="H138" s="251"/>
      <c r="I138" s="251"/>
      <c r="J138" s="251"/>
      <c r="K138" s="251"/>
      <c r="L138" s="251"/>
      <c r="M138" s="251"/>
      <c r="N138" s="21"/>
      <c r="O138" s="251"/>
      <c r="P138" s="252"/>
      <c r="Q138" s="253"/>
      <c r="R138" s="252"/>
      <c r="S138" s="251"/>
      <c r="T138" s="251"/>
      <c r="U138" s="251"/>
      <c r="V138" s="251"/>
      <c r="W138" s="251"/>
      <c r="X138" s="251"/>
      <c r="Y138" s="251"/>
      <c r="Z138" s="251"/>
    </row>
    <row r="139">
      <c r="A139" s="250"/>
      <c r="B139" s="251"/>
      <c r="C139" s="251" t="s">
        <v>39</v>
      </c>
      <c r="D139" s="252" t="s">
        <v>39</v>
      </c>
      <c r="E139" s="252" t="s">
        <v>39</v>
      </c>
      <c r="F139" s="252"/>
      <c r="G139" s="251"/>
      <c r="H139" s="251"/>
      <c r="I139" s="251"/>
      <c r="J139" s="251"/>
      <c r="K139" s="251"/>
      <c r="L139" s="251"/>
      <c r="M139" s="251"/>
      <c r="N139" s="21"/>
      <c r="O139" s="251"/>
      <c r="P139" s="252"/>
      <c r="Q139" s="253"/>
      <c r="R139" s="252"/>
      <c r="S139" s="251"/>
      <c r="T139" s="251"/>
      <c r="U139" s="251"/>
      <c r="V139" s="251"/>
      <c r="W139" s="251"/>
      <c r="X139" s="251"/>
      <c r="Y139" s="251"/>
      <c r="Z139" s="251"/>
    </row>
    <row r="140">
      <c r="A140" s="250"/>
      <c r="B140" s="251"/>
      <c r="C140" s="251" t="s">
        <v>39</v>
      </c>
      <c r="D140" s="252" t="s">
        <v>39</v>
      </c>
      <c r="E140" s="252" t="s">
        <v>39</v>
      </c>
      <c r="F140" s="252"/>
      <c r="G140" s="251"/>
      <c r="H140" s="251"/>
      <c r="I140" s="251"/>
      <c r="J140" s="251"/>
      <c r="K140" s="251"/>
      <c r="L140" s="251"/>
      <c r="M140" s="251"/>
      <c r="N140" s="21"/>
      <c r="O140" s="251"/>
      <c r="P140" s="252"/>
      <c r="Q140" s="253"/>
      <c r="R140" s="252"/>
      <c r="S140" s="251"/>
      <c r="T140" s="251"/>
      <c r="U140" s="251"/>
      <c r="V140" s="251"/>
      <c r="W140" s="251"/>
      <c r="X140" s="251"/>
      <c r="Y140" s="251"/>
      <c r="Z140" s="251"/>
    </row>
    <row r="141">
      <c r="A141" s="250"/>
      <c r="B141" s="251"/>
      <c r="C141" s="251" t="s">
        <v>39</v>
      </c>
      <c r="D141" s="252" t="s">
        <v>39</v>
      </c>
      <c r="E141" s="252" t="s">
        <v>39</v>
      </c>
      <c r="F141" s="252"/>
      <c r="G141" s="251"/>
      <c r="H141" s="251"/>
      <c r="I141" s="251"/>
      <c r="J141" s="251"/>
      <c r="K141" s="251"/>
      <c r="L141" s="251"/>
      <c r="M141" s="251"/>
      <c r="N141" s="21"/>
      <c r="O141" s="251"/>
      <c r="P141" s="252"/>
      <c r="Q141" s="253"/>
      <c r="R141" s="252"/>
      <c r="S141" s="251"/>
      <c r="T141" s="251"/>
      <c r="U141" s="251"/>
      <c r="V141" s="251"/>
      <c r="W141" s="251"/>
      <c r="X141" s="251"/>
      <c r="Y141" s="251"/>
      <c r="Z141" s="251"/>
    </row>
    <row r="142">
      <c r="A142" s="250"/>
      <c r="B142" s="251"/>
      <c r="C142" s="251" t="s">
        <v>39</v>
      </c>
      <c r="D142" s="252" t="s">
        <v>39</v>
      </c>
      <c r="E142" s="252" t="s">
        <v>39</v>
      </c>
      <c r="F142" s="252"/>
      <c r="G142" s="251"/>
      <c r="H142" s="251"/>
      <c r="I142" s="251"/>
      <c r="J142" s="251"/>
      <c r="K142" s="251"/>
      <c r="L142" s="251"/>
      <c r="M142" s="251"/>
      <c r="N142" s="21"/>
      <c r="O142" s="251"/>
      <c r="P142" s="252"/>
      <c r="Q142" s="253"/>
      <c r="R142" s="252"/>
      <c r="S142" s="251"/>
      <c r="T142" s="251"/>
      <c r="U142" s="251"/>
      <c r="V142" s="251"/>
      <c r="W142" s="251"/>
      <c r="X142" s="251"/>
      <c r="Y142" s="251"/>
      <c r="Z142" s="251"/>
    </row>
    <row r="143">
      <c r="A143" s="250"/>
      <c r="B143" s="251"/>
      <c r="C143" s="251" t="s">
        <v>39</v>
      </c>
      <c r="D143" s="252" t="s">
        <v>39</v>
      </c>
      <c r="E143" s="252" t="s">
        <v>39</v>
      </c>
      <c r="F143" s="252"/>
      <c r="G143" s="251"/>
      <c r="H143" s="251"/>
      <c r="I143" s="251"/>
      <c r="J143" s="251"/>
      <c r="K143" s="251"/>
      <c r="L143" s="251"/>
      <c r="M143" s="251"/>
      <c r="N143" s="21"/>
      <c r="O143" s="251"/>
      <c r="P143" s="252"/>
      <c r="Q143" s="253"/>
      <c r="R143" s="252"/>
      <c r="S143" s="251"/>
      <c r="T143" s="251"/>
      <c r="U143" s="251"/>
      <c r="V143" s="251"/>
      <c r="W143" s="251"/>
      <c r="X143" s="251"/>
      <c r="Y143" s="251"/>
      <c r="Z143" s="251"/>
    </row>
    <row r="144">
      <c r="A144" s="250"/>
      <c r="B144" s="251"/>
      <c r="C144" s="251" t="s">
        <v>39</v>
      </c>
      <c r="D144" s="252" t="s">
        <v>39</v>
      </c>
      <c r="E144" s="252" t="s">
        <v>39</v>
      </c>
      <c r="F144" s="252"/>
      <c r="G144" s="251"/>
      <c r="H144" s="251"/>
      <c r="I144" s="251"/>
      <c r="J144" s="251"/>
      <c r="K144" s="251"/>
      <c r="L144" s="251"/>
      <c r="M144" s="251"/>
      <c r="N144" s="21"/>
      <c r="O144" s="251"/>
      <c r="P144" s="252"/>
      <c r="Q144" s="253"/>
      <c r="R144" s="252"/>
      <c r="S144" s="251"/>
      <c r="T144" s="251"/>
      <c r="U144" s="251"/>
      <c r="V144" s="251"/>
      <c r="W144" s="251"/>
      <c r="X144" s="251"/>
      <c r="Y144" s="251"/>
      <c r="Z144" s="251"/>
    </row>
    <row r="145">
      <c r="A145" s="250"/>
      <c r="B145" s="251"/>
      <c r="C145" s="251" t="s">
        <v>39</v>
      </c>
      <c r="D145" s="252" t="s">
        <v>39</v>
      </c>
      <c r="E145" s="252" t="s">
        <v>39</v>
      </c>
      <c r="F145" s="252"/>
      <c r="G145" s="251"/>
      <c r="H145" s="251"/>
      <c r="I145" s="251"/>
      <c r="J145" s="251"/>
      <c r="K145" s="251"/>
      <c r="L145" s="251"/>
      <c r="M145" s="251"/>
      <c r="N145" s="21"/>
      <c r="O145" s="251"/>
      <c r="P145" s="252"/>
      <c r="Q145" s="253"/>
      <c r="R145" s="252"/>
      <c r="S145" s="251"/>
      <c r="T145" s="251"/>
      <c r="U145" s="251"/>
      <c r="V145" s="251"/>
      <c r="W145" s="251"/>
      <c r="X145" s="251"/>
      <c r="Y145" s="251"/>
      <c r="Z145" s="251"/>
    </row>
    <row r="146">
      <c r="A146" s="250"/>
      <c r="B146" s="251"/>
      <c r="C146" s="251" t="s">
        <v>39</v>
      </c>
      <c r="D146" s="252" t="s">
        <v>39</v>
      </c>
      <c r="E146" s="252" t="s">
        <v>39</v>
      </c>
      <c r="F146" s="252"/>
      <c r="G146" s="251"/>
      <c r="H146" s="251"/>
      <c r="I146" s="251"/>
      <c r="J146" s="251"/>
      <c r="K146" s="251"/>
      <c r="L146" s="251"/>
      <c r="M146" s="251"/>
      <c r="N146" s="21"/>
      <c r="O146" s="251"/>
      <c r="P146" s="252"/>
      <c r="Q146" s="253"/>
      <c r="R146" s="252"/>
      <c r="S146" s="251"/>
      <c r="T146" s="251"/>
      <c r="U146" s="251"/>
      <c r="V146" s="251"/>
      <c r="W146" s="251"/>
      <c r="X146" s="251"/>
      <c r="Y146" s="251"/>
      <c r="Z146" s="251"/>
    </row>
    <row r="147">
      <c r="A147" s="250"/>
      <c r="B147" s="251"/>
      <c r="C147" s="251" t="s">
        <v>39</v>
      </c>
      <c r="D147" s="252" t="s">
        <v>39</v>
      </c>
      <c r="E147" s="252" t="s">
        <v>39</v>
      </c>
      <c r="F147" s="252"/>
      <c r="G147" s="251"/>
      <c r="H147" s="251"/>
      <c r="I147" s="251"/>
      <c r="J147" s="251"/>
      <c r="K147" s="251"/>
      <c r="L147" s="251"/>
      <c r="M147" s="251"/>
      <c r="N147" s="21"/>
      <c r="O147" s="251"/>
      <c r="P147" s="252"/>
      <c r="Q147" s="253"/>
      <c r="R147" s="252"/>
      <c r="S147" s="251"/>
      <c r="T147" s="251"/>
      <c r="U147" s="251"/>
      <c r="V147" s="251"/>
      <c r="W147" s="251"/>
      <c r="X147" s="251"/>
      <c r="Y147" s="251"/>
      <c r="Z147" s="251"/>
    </row>
    <row r="148">
      <c r="A148" s="250"/>
      <c r="B148" s="251"/>
      <c r="C148" s="251" t="s">
        <v>39</v>
      </c>
      <c r="D148" s="252" t="s">
        <v>39</v>
      </c>
      <c r="E148" s="252" t="s">
        <v>39</v>
      </c>
      <c r="F148" s="252"/>
      <c r="G148" s="251"/>
      <c r="H148" s="251"/>
      <c r="I148" s="251"/>
      <c r="J148" s="251"/>
      <c r="K148" s="251"/>
      <c r="L148" s="251"/>
      <c r="M148" s="251"/>
      <c r="N148" s="21"/>
      <c r="O148" s="251"/>
      <c r="P148" s="252"/>
      <c r="Q148" s="253"/>
      <c r="R148" s="252"/>
      <c r="S148" s="251"/>
      <c r="T148" s="251"/>
      <c r="U148" s="251"/>
      <c r="V148" s="251"/>
      <c r="W148" s="251"/>
      <c r="X148" s="251"/>
      <c r="Y148" s="251"/>
      <c r="Z148" s="251"/>
    </row>
    <row r="149">
      <c r="A149" s="250"/>
      <c r="B149" s="251"/>
      <c r="C149" s="251" t="s">
        <v>39</v>
      </c>
      <c r="D149" s="252" t="s">
        <v>39</v>
      </c>
      <c r="E149" s="252" t="s">
        <v>39</v>
      </c>
      <c r="F149" s="252"/>
      <c r="G149" s="251"/>
      <c r="H149" s="251"/>
      <c r="I149" s="251"/>
      <c r="J149" s="251"/>
      <c r="K149" s="251"/>
      <c r="L149" s="251"/>
      <c r="M149" s="251"/>
      <c r="N149" s="21"/>
      <c r="O149" s="251"/>
      <c r="P149" s="252"/>
      <c r="Q149" s="253"/>
      <c r="R149" s="252"/>
      <c r="S149" s="251"/>
      <c r="T149" s="251"/>
      <c r="U149" s="251"/>
      <c r="V149" s="251"/>
      <c r="W149" s="251"/>
      <c r="X149" s="251"/>
      <c r="Y149" s="251"/>
      <c r="Z149" s="251"/>
    </row>
    <row r="150">
      <c r="A150" s="250"/>
      <c r="B150" s="251"/>
      <c r="C150" s="251" t="s">
        <v>39</v>
      </c>
      <c r="D150" s="252" t="s">
        <v>39</v>
      </c>
      <c r="E150" s="252" t="s">
        <v>39</v>
      </c>
      <c r="F150" s="252"/>
      <c r="G150" s="251"/>
      <c r="H150" s="251"/>
      <c r="I150" s="251"/>
      <c r="J150" s="251"/>
      <c r="K150" s="251"/>
      <c r="L150" s="251"/>
      <c r="M150" s="251"/>
      <c r="N150" s="21"/>
      <c r="O150" s="251"/>
      <c r="P150" s="252"/>
      <c r="Q150" s="253"/>
      <c r="R150" s="252"/>
      <c r="S150" s="251"/>
      <c r="T150" s="251"/>
      <c r="U150" s="251"/>
      <c r="V150" s="251"/>
      <c r="W150" s="251"/>
      <c r="X150" s="251"/>
      <c r="Y150" s="251"/>
      <c r="Z150" s="251"/>
    </row>
    <row r="151">
      <c r="A151" s="250"/>
      <c r="B151" s="251"/>
      <c r="C151" s="251" t="s">
        <v>39</v>
      </c>
      <c r="D151" s="252" t="s">
        <v>39</v>
      </c>
      <c r="E151" s="252" t="s">
        <v>39</v>
      </c>
      <c r="F151" s="252"/>
      <c r="G151" s="251"/>
      <c r="H151" s="251"/>
      <c r="I151" s="251"/>
      <c r="J151" s="251"/>
      <c r="K151" s="251"/>
      <c r="L151" s="251"/>
      <c r="M151" s="251"/>
      <c r="N151" s="21"/>
      <c r="O151" s="251"/>
      <c r="P151" s="252"/>
      <c r="Q151" s="253"/>
      <c r="R151" s="252"/>
      <c r="S151" s="251"/>
      <c r="T151" s="251"/>
      <c r="U151" s="251"/>
      <c r="V151" s="251"/>
      <c r="W151" s="251"/>
      <c r="X151" s="251"/>
      <c r="Y151" s="251"/>
      <c r="Z151" s="251"/>
    </row>
    <row r="152">
      <c r="A152" s="250"/>
      <c r="B152" s="251"/>
      <c r="C152" s="251" t="s">
        <v>39</v>
      </c>
      <c r="D152" s="252" t="s">
        <v>39</v>
      </c>
      <c r="E152" s="252" t="s">
        <v>39</v>
      </c>
      <c r="F152" s="252"/>
      <c r="G152" s="251"/>
      <c r="H152" s="251"/>
      <c r="I152" s="251"/>
      <c r="J152" s="251"/>
      <c r="K152" s="251"/>
      <c r="L152" s="251"/>
      <c r="M152" s="251"/>
      <c r="N152" s="21"/>
      <c r="O152" s="251"/>
      <c r="P152" s="252"/>
      <c r="Q152" s="253"/>
      <c r="R152" s="252"/>
      <c r="S152" s="251"/>
      <c r="T152" s="251"/>
      <c r="U152" s="251"/>
      <c r="V152" s="251"/>
      <c r="W152" s="251"/>
      <c r="X152" s="251"/>
      <c r="Y152" s="251"/>
      <c r="Z152" s="251"/>
    </row>
    <row r="153">
      <c r="A153" s="250"/>
      <c r="B153" s="251"/>
      <c r="C153" s="251" t="s">
        <v>39</v>
      </c>
      <c r="D153" s="252" t="s">
        <v>39</v>
      </c>
      <c r="E153" s="252" t="s">
        <v>39</v>
      </c>
      <c r="F153" s="252"/>
      <c r="G153" s="251"/>
      <c r="H153" s="251"/>
      <c r="I153" s="251"/>
      <c r="J153" s="251"/>
      <c r="K153" s="251"/>
      <c r="L153" s="251"/>
      <c r="M153" s="251"/>
      <c r="N153" s="21"/>
      <c r="O153" s="251"/>
      <c r="P153" s="252"/>
      <c r="Q153" s="253"/>
      <c r="R153" s="252"/>
      <c r="S153" s="251"/>
      <c r="T153" s="251"/>
      <c r="U153" s="251"/>
      <c r="V153" s="251"/>
      <c r="W153" s="251"/>
      <c r="X153" s="251"/>
      <c r="Y153" s="251"/>
      <c r="Z153" s="251"/>
    </row>
    <row r="154">
      <c r="A154" s="250"/>
      <c r="B154" s="251"/>
      <c r="C154" s="251" t="s">
        <v>39</v>
      </c>
      <c r="D154" s="252" t="s">
        <v>39</v>
      </c>
      <c r="E154" s="252" t="s">
        <v>39</v>
      </c>
      <c r="F154" s="252"/>
      <c r="G154" s="251"/>
      <c r="H154" s="251"/>
      <c r="I154" s="251"/>
      <c r="J154" s="251"/>
      <c r="K154" s="251"/>
      <c r="L154" s="251"/>
      <c r="M154" s="251"/>
      <c r="N154" s="21"/>
      <c r="O154" s="251"/>
      <c r="P154" s="252"/>
      <c r="Q154" s="253"/>
      <c r="R154" s="252"/>
      <c r="S154" s="251"/>
      <c r="T154" s="251"/>
      <c r="U154" s="251"/>
      <c r="V154" s="251"/>
      <c r="W154" s="251"/>
      <c r="X154" s="251"/>
      <c r="Y154" s="251"/>
      <c r="Z154" s="251"/>
    </row>
    <row r="155">
      <c r="A155" s="250"/>
      <c r="B155" s="251"/>
      <c r="C155" s="251" t="s">
        <v>39</v>
      </c>
      <c r="D155" s="252" t="s">
        <v>39</v>
      </c>
      <c r="E155" s="252" t="s">
        <v>39</v>
      </c>
      <c r="F155" s="252"/>
      <c r="G155" s="251"/>
      <c r="H155" s="251"/>
      <c r="I155" s="251"/>
      <c r="J155" s="251"/>
      <c r="K155" s="251"/>
      <c r="L155" s="251"/>
      <c r="M155" s="251"/>
      <c r="N155" s="21"/>
      <c r="O155" s="251"/>
      <c r="P155" s="252"/>
      <c r="Q155" s="253"/>
      <c r="R155" s="252"/>
      <c r="S155" s="251"/>
      <c r="T155" s="251"/>
      <c r="U155" s="251"/>
      <c r="V155" s="251"/>
      <c r="W155" s="251"/>
      <c r="X155" s="251"/>
      <c r="Y155" s="251"/>
      <c r="Z155" s="251"/>
    </row>
    <row r="156">
      <c r="A156" s="250"/>
      <c r="B156" s="251"/>
      <c r="C156" s="251" t="s">
        <v>39</v>
      </c>
      <c r="D156" s="252" t="s">
        <v>39</v>
      </c>
      <c r="E156" s="252" t="s">
        <v>39</v>
      </c>
      <c r="F156" s="252"/>
      <c r="G156" s="251"/>
      <c r="H156" s="251"/>
      <c r="I156" s="251"/>
      <c r="J156" s="251"/>
      <c r="K156" s="251"/>
      <c r="L156" s="251"/>
      <c r="M156" s="251"/>
      <c r="N156" s="21"/>
      <c r="O156" s="251"/>
      <c r="P156" s="252"/>
      <c r="Q156" s="253"/>
      <c r="R156" s="252"/>
      <c r="S156" s="251"/>
      <c r="T156" s="251"/>
      <c r="U156" s="251"/>
      <c r="V156" s="251"/>
      <c r="W156" s="251"/>
      <c r="X156" s="251"/>
      <c r="Y156" s="251"/>
      <c r="Z156" s="251"/>
    </row>
    <row r="157">
      <c r="A157" s="250"/>
      <c r="B157" s="251"/>
      <c r="C157" s="251" t="s">
        <v>39</v>
      </c>
      <c r="D157" s="252" t="s">
        <v>39</v>
      </c>
      <c r="E157" s="252" t="s">
        <v>39</v>
      </c>
      <c r="F157" s="252"/>
      <c r="G157" s="251"/>
      <c r="H157" s="251"/>
      <c r="I157" s="251"/>
      <c r="J157" s="251"/>
      <c r="K157" s="251"/>
      <c r="L157" s="251"/>
      <c r="M157" s="251"/>
      <c r="N157" s="21"/>
      <c r="O157" s="251"/>
      <c r="P157" s="252"/>
      <c r="Q157" s="253"/>
      <c r="R157" s="252"/>
      <c r="S157" s="251"/>
      <c r="T157" s="251"/>
      <c r="U157" s="251"/>
      <c r="V157" s="251"/>
      <c r="W157" s="251"/>
      <c r="X157" s="251"/>
      <c r="Y157" s="251"/>
      <c r="Z157" s="251"/>
    </row>
    <row r="158">
      <c r="A158" s="250"/>
      <c r="B158" s="251"/>
      <c r="C158" s="251" t="s">
        <v>39</v>
      </c>
      <c r="D158" s="252" t="s">
        <v>39</v>
      </c>
      <c r="E158" s="252" t="s">
        <v>39</v>
      </c>
      <c r="F158" s="252"/>
      <c r="G158" s="251"/>
      <c r="H158" s="251"/>
      <c r="I158" s="251"/>
      <c r="J158" s="251"/>
      <c r="K158" s="251"/>
      <c r="L158" s="251"/>
      <c r="M158" s="251"/>
      <c r="N158" s="21"/>
      <c r="O158" s="251"/>
      <c r="P158" s="252"/>
      <c r="Q158" s="253"/>
      <c r="R158" s="252"/>
      <c r="S158" s="251"/>
      <c r="T158" s="251"/>
      <c r="U158" s="251"/>
      <c r="V158" s="251"/>
      <c r="W158" s="251"/>
      <c r="X158" s="251"/>
      <c r="Y158" s="251"/>
      <c r="Z158" s="251"/>
    </row>
    <row r="159">
      <c r="A159" s="250"/>
      <c r="B159" s="251"/>
      <c r="C159" s="251" t="s">
        <v>39</v>
      </c>
      <c r="D159" s="252" t="s">
        <v>39</v>
      </c>
      <c r="E159" s="252" t="s">
        <v>39</v>
      </c>
      <c r="F159" s="252"/>
      <c r="G159" s="251"/>
      <c r="H159" s="251"/>
      <c r="I159" s="251"/>
      <c r="J159" s="251"/>
      <c r="K159" s="251"/>
      <c r="L159" s="251"/>
      <c r="M159" s="251"/>
      <c r="N159" s="21"/>
      <c r="O159" s="251"/>
      <c r="P159" s="252"/>
      <c r="Q159" s="253"/>
      <c r="R159" s="252"/>
      <c r="S159" s="251"/>
      <c r="T159" s="251"/>
      <c r="U159" s="251"/>
      <c r="V159" s="251"/>
      <c r="W159" s="251"/>
      <c r="X159" s="251"/>
      <c r="Y159" s="251"/>
      <c r="Z159" s="251"/>
    </row>
    <row r="160">
      <c r="A160" s="250"/>
      <c r="B160" s="251"/>
      <c r="C160" s="251" t="s">
        <v>39</v>
      </c>
      <c r="D160" s="252" t="s">
        <v>39</v>
      </c>
      <c r="E160" s="252" t="s">
        <v>39</v>
      </c>
      <c r="F160" s="252"/>
      <c r="G160" s="251"/>
      <c r="H160" s="251"/>
      <c r="I160" s="251"/>
      <c r="J160" s="251"/>
      <c r="K160" s="251"/>
      <c r="L160" s="251"/>
      <c r="M160" s="251"/>
      <c r="N160" s="21"/>
      <c r="O160" s="251"/>
      <c r="P160" s="252"/>
      <c r="Q160" s="253"/>
      <c r="R160" s="252"/>
      <c r="S160" s="251"/>
      <c r="T160" s="251"/>
      <c r="U160" s="251"/>
      <c r="V160" s="251"/>
      <c r="W160" s="251"/>
      <c r="X160" s="251"/>
      <c r="Y160" s="251"/>
      <c r="Z160" s="251"/>
    </row>
    <row r="161">
      <c r="A161" s="250"/>
      <c r="B161" s="251"/>
      <c r="C161" s="251" t="s">
        <v>39</v>
      </c>
      <c r="D161" s="252" t="s">
        <v>39</v>
      </c>
      <c r="E161" s="252" t="s">
        <v>39</v>
      </c>
      <c r="F161" s="252"/>
      <c r="G161" s="251"/>
      <c r="H161" s="251"/>
      <c r="I161" s="251"/>
      <c r="J161" s="251"/>
      <c r="K161" s="251"/>
      <c r="L161" s="251"/>
      <c r="M161" s="251"/>
      <c r="N161" s="21"/>
      <c r="O161" s="251"/>
      <c r="P161" s="252"/>
      <c r="Q161" s="253"/>
      <c r="R161" s="252"/>
      <c r="S161" s="251"/>
      <c r="T161" s="251"/>
      <c r="U161" s="251"/>
      <c r="V161" s="251"/>
      <c r="W161" s="251"/>
      <c r="X161" s="251"/>
      <c r="Y161" s="251"/>
      <c r="Z161" s="251"/>
    </row>
    <row r="162">
      <c r="A162" s="250"/>
      <c r="B162" s="251"/>
      <c r="C162" s="251" t="s">
        <v>39</v>
      </c>
      <c r="D162" s="252" t="s">
        <v>39</v>
      </c>
      <c r="E162" s="252" t="s">
        <v>39</v>
      </c>
      <c r="F162" s="252"/>
      <c r="G162" s="251"/>
      <c r="H162" s="251"/>
      <c r="I162" s="251"/>
      <c r="J162" s="251"/>
      <c r="K162" s="251"/>
      <c r="L162" s="251"/>
      <c r="M162" s="251"/>
      <c r="N162" s="21"/>
      <c r="O162" s="251"/>
      <c r="P162" s="252"/>
      <c r="Q162" s="253"/>
      <c r="R162" s="252"/>
      <c r="S162" s="251"/>
      <c r="T162" s="251"/>
      <c r="U162" s="251"/>
      <c r="V162" s="251"/>
      <c r="W162" s="251"/>
      <c r="X162" s="251"/>
      <c r="Y162" s="251"/>
      <c r="Z162" s="251"/>
    </row>
    <row r="163">
      <c r="A163" s="250"/>
      <c r="B163" s="251"/>
      <c r="C163" s="251" t="s">
        <v>39</v>
      </c>
      <c r="D163" s="252" t="s">
        <v>39</v>
      </c>
      <c r="E163" s="252" t="s">
        <v>39</v>
      </c>
      <c r="F163" s="252"/>
      <c r="G163" s="251"/>
      <c r="H163" s="251"/>
      <c r="I163" s="251"/>
      <c r="J163" s="251"/>
      <c r="K163" s="251"/>
      <c r="L163" s="251"/>
      <c r="M163" s="251"/>
      <c r="N163" s="21"/>
      <c r="O163" s="251"/>
      <c r="P163" s="252"/>
      <c r="Q163" s="253"/>
      <c r="R163" s="252"/>
      <c r="S163" s="251"/>
      <c r="T163" s="251"/>
      <c r="U163" s="251"/>
      <c r="V163" s="251"/>
      <c r="W163" s="251"/>
      <c r="X163" s="251"/>
      <c r="Y163" s="251"/>
      <c r="Z163" s="251"/>
    </row>
    <row r="164">
      <c r="A164" s="250"/>
      <c r="B164" s="251"/>
      <c r="C164" s="251" t="s">
        <v>39</v>
      </c>
      <c r="D164" s="252" t="s">
        <v>39</v>
      </c>
      <c r="E164" s="252" t="s">
        <v>39</v>
      </c>
      <c r="F164" s="252"/>
      <c r="G164" s="251"/>
      <c r="H164" s="251"/>
      <c r="I164" s="251"/>
      <c r="J164" s="251"/>
      <c r="K164" s="251"/>
      <c r="L164" s="251"/>
      <c r="M164" s="251"/>
      <c r="N164" s="21"/>
      <c r="O164" s="251"/>
      <c r="P164" s="252"/>
      <c r="Q164" s="253"/>
      <c r="R164" s="252"/>
      <c r="S164" s="251"/>
      <c r="T164" s="251"/>
      <c r="U164" s="251"/>
      <c r="V164" s="251"/>
      <c r="W164" s="251"/>
      <c r="X164" s="251"/>
      <c r="Y164" s="251"/>
      <c r="Z164" s="251"/>
    </row>
    <row r="165">
      <c r="A165" s="250"/>
      <c r="B165" s="251"/>
      <c r="C165" s="251" t="s">
        <v>39</v>
      </c>
      <c r="D165" s="252" t="s">
        <v>39</v>
      </c>
      <c r="E165" s="252" t="s">
        <v>39</v>
      </c>
      <c r="F165" s="252"/>
      <c r="G165" s="251"/>
      <c r="H165" s="251"/>
      <c r="I165" s="251"/>
      <c r="J165" s="251"/>
      <c r="K165" s="251"/>
      <c r="L165" s="251"/>
      <c r="M165" s="251"/>
      <c r="N165" s="21"/>
      <c r="O165" s="251"/>
      <c r="P165" s="252"/>
      <c r="Q165" s="253"/>
      <c r="R165" s="252"/>
      <c r="S165" s="251"/>
      <c r="T165" s="251"/>
      <c r="U165" s="251"/>
      <c r="V165" s="251"/>
      <c r="W165" s="251"/>
      <c r="X165" s="251"/>
      <c r="Y165" s="251"/>
      <c r="Z165" s="251"/>
    </row>
    <row r="166">
      <c r="A166" s="250"/>
      <c r="B166" s="251"/>
      <c r="C166" s="251" t="s">
        <v>39</v>
      </c>
      <c r="D166" s="252" t="s">
        <v>39</v>
      </c>
      <c r="E166" s="252" t="s">
        <v>39</v>
      </c>
      <c r="F166" s="252"/>
      <c r="G166" s="251"/>
      <c r="H166" s="251"/>
      <c r="I166" s="251"/>
      <c r="J166" s="251"/>
      <c r="K166" s="251"/>
      <c r="L166" s="251"/>
      <c r="M166" s="251"/>
      <c r="N166" s="21"/>
      <c r="O166" s="251"/>
      <c r="P166" s="252"/>
      <c r="Q166" s="253"/>
      <c r="R166" s="252"/>
      <c r="S166" s="251"/>
      <c r="T166" s="251"/>
      <c r="U166" s="251"/>
      <c r="V166" s="251"/>
      <c r="W166" s="251"/>
      <c r="X166" s="251"/>
      <c r="Y166" s="251"/>
      <c r="Z166" s="251"/>
    </row>
    <row r="167">
      <c r="A167" s="250"/>
      <c r="B167" s="251"/>
      <c r="C167" s="251" t="s">
        <v>39</v>
      </c>
      <c r="D167" s="252" t="s">
        <v>39</v>
      </c>
      <c r="E167" s="252" t="s">
        <v>39</v>
      </c>
      <c r="F167" s="252"/>
      <c r="G167" s="251"/>
      <c r="H167" s="251"/>
      <c r="I167" s="251"/>
      <c r="J167" s="251"/>
      <c r="K167" s="251"/>
      <c r="L167" s="251"/>
      <c r="M167" s="251"/>
      <c r="N167" s="21"/>
      <c r="O167" s="251"/>
      <c r="P167" s="252"/>
      <c r="Q167" s="253"/>
      <c r="R167" s="252"/>
      <c r="S167" s="251"/>
      <c r="T167" s="251"/>
      <c r="U167" s="251"/>
      <c r="V167" s="251"/>
      <c r="W167" s="251"/>
      <c r="X167" s="251"/>
      <c r="Y167" s="251"/>
      <c r="Z167" s="251"/>
    </row>
    <row r="168">
      <c r="A168" s="250"/>
      <c r="B168" s="251"/>
      <c r="C168" s="251" t="s">
        <v>39</v>
      </c>
      <c r="D168" s="252" t="s">
        <v>39</v>
      </c>
      <c r="E168" s="252" t="s">
        <v>39</v>
      </c>
      <c r="F168" s="252"/>
      <c r="G168" s="251"/>
      <c r="H168" s="251"/>
      <c r="I168" s="251"/>
      <c r="J168" s="251"/>
      <c r="K168" s="251"/>
      <c r="L168" s="251"/>
      <c r="M168" s="251"/>
      <c r="N168" s="21"/>
      <c r="O168" s="251"/>
      <c r="P168" s="252"/>
      <c r="Q168" s="253"/>
      <c r="R168" s="252"/>
      <c r="S168" s="251"/>
      <c r="T168" s="251"/>
      <c r="U168" s="251"/>
      <c r="V168" s="251"/>
      <c r="W168" s="251"/>
      <c r="X168" s="251"/>
      <c r="Y168" s="251"/>
      <c r="Z168" s="251"/>
    </row>
    <row r="169">
      <c r="A169" s="250"/>
      <c r="B169" s="251"/>
      <c r="C169" s="251" t="s">
        <v>39</v>
      </c>
      <c r="D169" s="252" t="s">
        <v>39</v>
      </c>
      <c r="E169" s="252" t="s">
        <v>39</v>
      </c>
      <c r="F169" s="252"/>
      <c r="G169" s="251"/>
      <c r="H169" s="251"/>
      <c r="I169" s="251"/>
      <c r="J169" s="251"/>
      <c r="K169" s="251"/>
      <c r="L169" s="251"/>
      <c r="M169" s="251"/>
      <c r="N169" s="21"/>
      <c r="O169" s="251"/>
      <c r="P169" s="252"/>
      <c r="Q169" s="253"/>
      <c r="R169" s="252"/>
      <c r="S169" s="251"/>
      <c r="T169" s="251"/>
      <c r="U169" s="251"/>
      <c r="V169" s="251"/>
      <c r="W169" s="251"/>
      <c r="X169" s="251"/>
      <c r="Y169" s="251"/>
      <c r="Z169" s="251"/>
    </row>
    <row r="170">
      <c r="A170" s="250"/>
      <c r="B170" s="251"/>
      <c r="C170" s="251" t="s">
        <v>39</v>
      </c>
      <c r="D170" s="252" t="s">
        <v>39</v>
      </c>
      <c r="E170" s="252" t="s">
        <v>39</v>
      </c>
      <c r="F170" s="252"/>
      <c r="G170" s="251"/>
      <c r="H170" s="251"/>
      <c r="I170" s="251"/>
      <c r="J170" s="251"/>
      <c r="K170" s="251"/>
      <c r="L170" s="251"/>
      <c r="M170" s="251"/>
      <c r="N170" s="21"/>
      <c r="O170" s="251"/>
      <c r="P170" s="252"/>
      <c r="Q170" s="253"/>
      <c r="R170" s="252"/>
      <c r="S170" s="251"/>
      <c r="T170" s="251"/>
      <c r="U170" s="251"/>
      <c r="V170" s="251"/>
      <c r="W170" s="251"/>
      <c r="X170" s="251"/>
      <c r="Y170" s="251"/>
      <c r="Z170" s="251"/>
    </row>
    <row r="171">
      <c r="A171" s="250"/>
      <c r="B171" s="251"/>
      <c r="C171" s="251" t="s">
        <v>39</v>
      </c>
      <c r="D171" s="252" t="s">
        <v>39</v>
      </c>
      <c r="E171" s="252" t="s">
        <v>39</v>
      </c>
      <c r="F171" s="252"/>
      <c r="G171" s="251"/>
      <c r="H171" s="251"/>
      <c r="I171" s="251"/>
      <c r="J171" s="251"/>
      <c r="K171" s="251"/>
      <c r="L171" s="251"/>
      <c r="M171" s="251"/>
      <c r="N171" s="21"/>
      <c r="O171" s="251"/>
      <c r="P171" s="252"/>
      <c r="Q171" s="253"/>
      <c r="R171" s="252"/>
      <c r="S171" s="251"/>
      <c r="T171" s="251"/>
      <c r="U171" s="251"/>
      <c r="V171" s="251"/>
      <c r="W171" s="251"/>
      <c r="X171" s="251"/>
      <c r="Y171" s="251"/>
      <c r="Z171" s="251"/>
    </row>
    <row r="172">
      <c r="A172" s="250"/>
      <c r="B172" s="251"/>
      <c r="C172" s="251" t="s">
        <v>39</v>
      </c>
      <c r="D172" s="252" t="s">
        <v>39</v>
      </c>
      <c r="E172" s="252" t="s">
        <v>39</v>
      </c>
      <c r="F172" s="252"/>
      <c r="G172" s="251"/>
      <c r="H172" s="251"/>
      <c r="I172" s="251"/>
      <c r="J172" s="251"/>
      <c r="K172" s="251"/>
      <c r="L172" s="251"/>
      <c r="M172" s="251"/>
      <c r="N172" s="21"/>
      <c r="O172" s="251"/>
      <c r="P172" s="252"/>
      <c r="Q172" s="253"/>
      <c r="R172" s="252"/>
      <c r="S172" s="251"/>
      <c r="T172" s="251"/>
      <c r="U172" s="251"/>
      <c r="V172" s="251"/>
      <c r="W172" s="251"/>
      <c r="X172" s="251"/>
      <c r="Y172" s="251"/>
      <c r="Z172" s="251"/>
    </row>
    <row r="173">
      <c r="A173" s="250"/>
      <c r="B173" s="251"/>
      <c r="C173" s="251" t="s">
        <v>39</v>
      </c>
      <c r="D173" s="252" t="s">
        <v>39</v>
      </c>
      <c r="E173" s="252" t="s">
        <v>39</v>
      </c>
      <c r="F173" s="252"/>
      <c r="G173" s="251"/>
      <c r="H173" s="251"/>
      <c r="I173" s="251"/>
      <c r="J173" s="251"/>
      <c r="K173" s="251"/>
      <c r="L173" s="251"/>
      <c r="M173" s="251"/>
      <c r="N173" s="21"/>
      <c r="O173" s="251"/>
      <c r="P173" s="252"/>
      <c r="Q173" s="253"/>
      <c r="R173" s="252"/>
      <c r="S173" s="251"/>
      <c r="T173" s="251"/>
      <c r="U173" s="251"/>
      <c r="V173" s="251"/>
      <c r="W173" s="251"/>
      <c r="X173" s="251"/>
      <c r="Y173" s="251"/>
      <c r="Z173" s="251"/>
    </row>
    <row r="174">
      <c r="A174" s="250"/>
      <c r="B174" s="251"/>
      <c r="C174" s="251" t="s">
        <v>39</v>
      </c>
      <c r="D174" s="252" t="s">
        <v>39</v>
      </c>
      <c r="E174" s="252" t="s">
        <v>39</v>
      </c>
      <c r="F174" s="252"/>
      <c r="G174" s="251"/>
      <c r="H174" s="251"/>
      <c r="I174" s="251"/>
      <c r="J174" s="251"/>
      <c r="K174" s="251"/>
      <c r="L174" s="251"/>
      <c r="M174" s="251"/>
      <c r="N174" s="21"/>
      <c r="O174" s="251"/>
      <c r="P174" s="252"/>
      <c r="Q174" s="253"/>
      <c r="R174" s="252"/>
      <c r="S174" s="251"/>
      <c r="T174" s="251"/>
      <c r="U174" s="251"/>
      <c r="V174" s="251"/>
      <c r="W174" s="251"/>
      <c r="X174" s="251"/>
      <c r="Y174" s="251"/>
      <c r="Z174" s="251"/>
    </row>
    <row r="175">
      <c r="A175" s="250"/>
      <c r="B175" s="251"/>
      <c r="C175" s="251" t="s">
        <v>39</v>
      </c>
      <c r="D175" s="252" t="s">
        <v>39</v>
      </c>
      <c r="E175" s="252" t="s">
        <v>39</v>
      </c>
      <c r="F175" s="252"/>
      <c r="G175" s="251"/>
      <c r="H175" s="251"/>
      <c r="I175" s="251"/>
      <c r="J175" s="251"/>
      <c r="K175" s="251"/>
      <c r="L175" s="251"/>
      <c r="M175" s="251"/>
      <c r="N175" s="21"/>
      <c r="O175" s="251"/>
      <c r="P175" s="252"/>
      <c r="Q175" s="253"/>
      <c r="R175" s="252"/>
      <c r="S175" s="251"/>
      <c r="T175" s="251"/>
      <c r="U175" s="251"/>
      <c r="V175" s="251"/>
      <c r="W175" s="251"/>
      <c r="X175" s="251"/>
      <c r="Y175" s="251"/>
      <c r="Z175" s="251"/>
    </row>
    <row r="176">
      <c r="A176" s="250"/>
      <c r="B176" s="251"/>
      <c r="C176" s="251" t="s">
        <v>39</v>
      </c>
      <c r="D176" s="252" t="s">
        <v>39</v>
      </c>
      <c r="E176" s="252" t="s">
        <v>39</v>
      </c>
      <c r="F176" s="252"/>
      <c r="G176" s="251"/>
      <c r="H176" s="251"/>
      <c r="I176" s="251"/>
      <c r="J176" s="251"/>
      <c r="K176" s="251"/>
      <c r="L176" s="251"/>
      <c r="M176" s="251"/>
      <c r="N176" s="21"/>
      <c r="O176" s="251"/>
      <c r="P176" s="252"/>
      <c r="Q176" s="253"/>
      <c r="R176" s="252"/>
      <c r="S176" s="251"/>
      <c r="T176" s="251"/>
      <c r="U176" s="251"/>
      <c r="V176" s="251"/>
      <c r="W176" s="251"/>
      <c r="X176" s="251"/>
      <c r="Y176" s="251"/>
      <c r="Z176" s="251"/>
    </row>
    <row r="177">
      <c r="A177" s="250"/>
      <c r="B177" s="251"/>
      <c r="C177" s="251" t="s">
        <v>39</v>
      </c>
      <c r="D177" s="252" t="s">
        <v>39</v>
      </c>
      <c r="E177" s="252" t="s">
        <v>39</v>
      </c>
      <c r="F177" s="252"/>
      <c r="G177" s="251"/>
      <c r="H177" s="251"/>
      <c r="I177" s="251"/>
      <c r="J177" s="251"/>
      <c r="K177" s="251"/>
      <c r="L177" s="251"/>
      <c r="M177" s="251"/>
      <c r="N177" s="21"/>
      <c r="O177" s="251"/>
      <c r="P177" s="252"/>
      <c r="Q177" s="253"/>
      <c r="R177" s="252"/>
      <c r="S177" s="251"/>
      <c r="T177" s="251"/>
      <c r="U177" s="251"/>
      <c r="V177" s="251"/>
      <c r="W177" s="251"/>
      <c r="X177" s="251"/>
      <c r="Y177" s="251"/>
      <c r="Z177" s="251"/>
    </row>
    <row r="178">
      <c r="A178" s="250"/>
      <c r="B178" s="251"/>
      <c r="C178" s="251" t="s">
        <v>39</v>
      </c>
      <c r="D178" s="252" t="s">
        <v>39</v>
      </c>
      <c r="E178" s="252" t="s">
        <v>39</v>
      </c>
      <c r="F178" s="252"/>
      <c r="G178" s="251"/>
      <c r="H178" s="251"/>
      <c r="I178" s="251"/>
      <c r="J178" s="251"/>
      <c r="K178" s="251"/>
      <c r="L178" s="251"/>
      <c r="M178" s="251"/>
      <c r="N178" s="21"/>
      <c r="O178" s="251"/>
      <c r="P178" s="252"/>
      <c r="Q178" s="253"/>
      <c r="R178" s="252"/>
      <c r="S178" s="251"/>
      <c r="T178" s="251"/>
      <c r="U178" s="251"/>
      <c r="V178" s="251"/>
      <c r="W178" s="251"/>
      <c r="X178" s="251"/>
      <c r="Y178" s="251"/>
      <c r="Z178" s="251"/>
    </row>
    <row r="179">
      <c r="A179" s="250"/>
      <c r="B179" s="251"/>
      <c r="C179" s="251" t="s">
        <v>39</v>
      </c>
      <c r="D179" s="252" t="s">
        <v>39</v>
      </c>
      <c r="E179" s="252" t="s">
        <v>39</v>
      </c>
      <c r="F179" s="252"/>
      <c r="G179" s="251"/>
      <c r="H179" s="251"/>
      <c r="I179" s="251"/>
      <c r="J179" s="251"/>
      <c r="K179" s="251"/>
      <c r="L179" s="251"/>
      <c r="M179" s="251"/>
      <c r="N179" s="21"/>
      <c r="O179" s="251"/>
      <c r="P179" s="252"/>
      <c r="Q179" s="253"/>
      <c r="R179" s="252"/>
      <c r="S179" s="251"/>
      <c r="T179" s="251"/>
      <c r="U179" s="251"/>
      <c r="V179" s="251"/>
      <c r="W179" s="251"/>
      <c r="X179" s="251"/>
      <c r="Y179" s="251"/>
      <c r="Z179" s="251"/>
    </row>
    <row r="180">
      <c r="A180" s="250"/>
      <c r="B180" s="251"/>
      <c r="C180" s="251" t="s">
        <v>39</v>
      </c>
      <c r="D180" s="252" t="s">
        <v>39</v>
      </c>
      <c r="E180" s="252" t="s">
        <v>39</v>
      </c>
      <c r="F180" s="252"/>
      <c r="G180" s="251"/>
      <c r="H180" s="251"/>
      <c r="I180" s="251"/>
      <c r="J180" s="251"/>
      <c r="K180" s="251"/>
      <c r="L180" s="251"/>
      <c r="M180" s="251"/>
      <c r="N180" s="21"/>
      <c r="O180" s="251"/>
      <c r="P180" s="252"/>
      <c r="Q180" s="253"/>
      <c r="R180" s="252"/>
      <c r="S180" s="251"/>
      <c r="T180" s="251"/>
      <c r="U180" s="251"/>
      <c r="V180" s="251"/>
      <c r="W180" s="251"/>
      <c r="X180" s="251"/>
      <c r="Y180" s="251"/>
      <c r="Z180" s="251"/>
    </row>
    <row r="181">
      <c r="A181" s="250"/>
      <c r="B181" s="251"/>
      <c r="C181" s="251" t="s">
        <v>39</v>
      </c>
      <c r="D181" s="252" t="s">
        <v>39</v>
      </c>
      <c r="E181" s="252" t="s">
        <v>39</v>
      </c>
      <c r="F181" s="252"/>
      <c r="G181" s="251"/>
      <c r="H181" s="251"/>
      <c r="I181" s="251"/>
      <c r="J181" s="251"/>
      <c r="K181" s="251"/>
      <c r="L181" s="251"/>
      <c r="M181" s="251"/>
      <c r="N181" s="21"/>
      <c r="O181" s="251"/>
      <c r="P181" s="252"/>
      <c r="Q181" s="253"/>
      <c r="R181" s="252"/>
      <c r="S181" s="251"/>
      <c r="T181" s="251"/>
      <c r="U181" s="251"/>
      <c r="V181" s="251"/>
      <c r="W181" s="251"/>
      <c r="X181" s="251"/>
      <c r="Y181" s="251"/>
      <c r="Z181" s="251"/>
    </row>
    <row r="182">
      <c r="A182" s="250"/>
      <c r="B182" s="251"/>
      <c r="C182" s="251" t="s">
        <v>39</v>
      </c>
      <c r="D182" s="252" t="s">
        <v>39</v>
      </c>
      <c r="E182" s="252" t="s">
        <v>39</v>
      </c>
      <c r="F182" s="252"/>
      <c r="G182" s="251"/>
      <c r="H182" s="251"/>
      <c r="I182" s="251"/>
      <c r="J182" s="251"/>
      <c r="K182" s="251"/>
      <c r="L182" s="251"/>
      <c r="M182" s="251"/>
      <c r="N182" s="21"/>
      <c r="O182" s="251"/>
      <c r="P182" s="252"/>
      <c r="Q182" s="253"/>
      <c r="R182" s="252"/>
      <c r="S182" s="251"/>
      <c r="T182" s="251"/>
      <c r="U182" s="251"/>
      <c r="V182" s="251"/>
      <c r="W182" s="251"/>
      <c r="X182" s="251"/>
      <c r="Y182" s="251"/>
      <c r="Z182" s="251"/>
    </row>
    <row r="183">
      <c r="A183" s="250"/>
      <c r="B183" s="251"/>
      <c r="C183" s="251" t="s">
        <v>39</v>
      </c>
      <c r="D183" s="252" t="s">
        <v>39</v>
      </c>
      <c r="E183" s="252" t="s">
        <v>39</v>
      </c>
      <c r="F183" s="252"/>
      <c r="G183" s="251"/>
      <c r="H183" s="251"/>
      <c r="I183" s="251"/>
      <c r="J183" s="251"/>
      <c r="K183" s="251"/>
      <c r="L183" s="251"/>
      <c r="M183" s="251"/>
      <c r="N183" s="21"/>
      <c r="O183" s="251"/>
      <c r="P183" s="252"/>
      <c r="Q183" s="253"/>
      <c r="R183" s="252"/>
      <c r="S183" s="251"/>
      <c r="T183" s="251"/>
      <c r="U183" s="251"/>
      <c r="V183" s="251"/>
      <c r="W183" s="251"/>
      <c r="X183" s="251"/>
      <c r="Y183" s="251"/>
      <c r="Z183" s="251"/>
    </row>
    <row r="184">
      <c r="A184" s="250"/>
      <c r="B184" s="251"/>
      <c r="C184" s="251" t="s">
        <v>39</v>
      </c>
      <c r="D184" s="252" t="s">
        <v>39</v>
      </c>
      <c r="E184" s="252" t="s">
        <v>39</v>
      </c>
      <c r="F184" s="252"/>
      <c r="G184" s="251"/>
      <c r="H184" s="251"/>
      <c r="I184" s="251"/>
      <c r="J184" s="251"/>
      <c r="K184" s="251"/>
      <c r="L184" s="251"/>
      <c r="M184" s="251"/>
      <c r="N184" s="21"/>
      <c r="O184" s="251"/>
      <c r="P184" s="252"/>
      <c r="Q184" s="253"/>
      <c r="R184" s="252"/>
      <c r="S184" s="251"/>
      <c r="T184" s="251"/>
      <c r="U184" s="251"/>
      <c r="V184" s="251"/>
      <c r="W184" s="251"/>
      <c r="X184" s="251"/>
      <c r="Y184" s="251"/>
      <c r="Z184" s="251"/>
    </row>
    <row r="185">
      <c r="A185" s="250"/>
      <c r="B185" s="251"/>
      <c r="C185" s="251" t="s">
        <v>39</v>
      </c>
      <c r="D185" s="252" t="s">
        <v>39</v>
      </c>
      <c r="E185" s="252" t="s">
        <v>39</v>
      </c>
      <c r="F185" s="252"/>
      <c r="G185" s="251"/>
      <c r="H185" s="251"/>
      <c r="I185" s="251"/>
      <c r="J185" s="251"/>
      <c r="K185" s="251"/>
      <c r="L185" s="251"/>
      <c r="M185" s="251"/>
      <c r="N185" s="21"/>
      <c r="O185" s="251"/>
      <c r="P185" s="252"/>
      <c r="Q185" s="253"/>
      <c r="R185" s="252"/>
      <c r="S185" s="251"/>
      <c r="T185" s="251"/>
      <c r="U185" s="251"/>
      <c r="V185" s="251"/>
      <c r="W185" s="251"/>
      <c r="X185" s="251"/>
      <c r="Y185" s="251"/>
      <c r="Z185" s="251"/>
    </row>
    <row r="186">
      <c r="A186" s="250"/>
      <c r="B186" s="251"/>
      <c r="C186" s="251" t="s">
        <v>39</v>
      </c>
      <c r="D186" s="252" t="s">
        <v>39</v>
      </c>
      <c r="E186" s="252" t="s">
        <v>39</v>
      </c>
      <c r="F186" s="252"/>
      <c r="G186" s="251"/>
      <c r="H186" s="251"/>
      <c r="I186" s="251"/>
      <c r="J186" s="251"/>
      <c r="K186" s="251"/>
      <c r="L186" s="251"/>
      <c r="M186" s="251"/>
      <c r="N186" s="21"/>
      <c r="O186" s="251"/>
      <c r="P186" s="252"/>
      <c r="Q186" s="253"/>
      <c r="R186" s="252"/>
      <c r="S186" s="251"/>
      <c r="T186" s="251"/>
      <c r="U186" s="251"/>
      <c r="V186" s="251"/>
      <c r="W186" s="251"/>
      <c r="X186" s="251"/>
      <c r="Y186" s="251"/>
      <c r="Z186" s="251"/>
    </row>
    <row r="187">
      <c r="A187" s="250"/>
      <c r="B187" s="251"/>
      <c r="C187" s="251" t="s">
        <v>39</v>
      </c>
      <c r="D187" s="252" t="s">
        <v>39</v>
      </c>
      <c r="E187" s="252" t="s">
        <v>39</v>
      </c>
      <c r="F187" s="252"/>
      <c r="G187" s="251"/>
      <c r="H187" s="251"/>
      <c r="I187" s="251"/>
      <c r="J187" s="251"/>
      <c r="K187" s="251"/>
      <c r="L187" s="251"/>
      <c r="M187" s="251"/>
      <c r="N187" s="21"/>
      <c r="O187" s="251"/>
      <c r="P187" s="252"/>
      <c r="Q187" s="253"/>
      <c r="R187" s="252"/>
      <c r="S187" s="251"/>
      <c r="T187" s="251"/>
      <c r="U187" s="251"/>
      <c r="V187" s="251"/>
      <c r="W187" s="251"/>
      <c r="X187" s="251"/>
      <c r="Y187" s="251"/>
      <c r="Z187" s="251"/>
    </row>
    <row r="188">
      <c r="A188" s="250"/>
      <c r="B188" s="251"/>
      <c r="C188" s="251" t="s">
        <v>39</v>
      </c>
      <c r="D188" s="252" t="s">
        <v>39</v>
      </c>
      <c r="E188" s="252" t="s">
        <v>39</v>
      </c>
      <c r="F188" s="252"/>
      <c r="G188" s="251"/>
      <c r="H188" s="251"/>
      <c r="I188" s="251"/>
      <c r="J188" s="251"/>
      <c r="K188" s="251"/>
      <c r="L188" s="251"/>
      <c r="M188" s="251"/>
      <c r="N188" s="21"/>
      <c r="O188" s="251"/>
      <c r="P188" s="252"/>
      <c r="Q188" s="253"/>
      <c r="R188" s="252"/>
      <c r="S188" s="251"/>
      <c r="T188" s="251"/>
      <c r="U188" s="251"/>
      <c r="V188" s="251"/>
      <c r="W188" s="251"/>
      <c r="X188" s="251"/>
      <c r="Y188" s="251"/>
      <c r="Z188" s="251"/>
    </row>
    <row r="189">
      <c r="A189" s="250"/>
      <c r="B189" s="251"/>
      <c r="C189" s="251" t="s">
        <v>39</v>
      </c>
      <c r="D189" s="252" t="s">
        <v>39</v>
      </c>
      <c r="E189" s="252" t="s">
        <v>39</v>
      </c>
      <c r="F189" s="252"/>
      <c r="G189" s="251"/>
      <c r="H189" s="251"/>
      <c r="I189" s="251"/>
      <c r="J189" s="251"/>
      <c r="K189" s="251"/>
      <c r="L189" s="251"/>
      <c r="M189" s="251"/>
      <c r="N189" s="21"/>
      <c r="O189" s="251"/>
      <c r="P189" s="252"/>
      <c r="Q189" s="253"/>
      <c r="R189" s="252"/>
      <c r="S189" s="251"/>
      <c r="T189" s="251"/>
      <c r="U189" s="251"/>
      <c r="V189" s="251"/>
      <c r="W189" s="251"/>
      <c r="X189" s="251"/>
      <c r="Y189" s="251"/>
      <c r="Z189" s="251"/>
    </row>
    <row r="190">
      <c r="A190" s="250"/>
      <c r="B190" s="251"/>
      <c r="C190" s="251" t="s">
        <v>39</v>
      </c>
      <c r="D190" s="252" t="s">
        <v>39</v>
      </c>
      <c r="E190" s="252" t="s">
        <v>39</v>
      </c>
      <c r="F190" s="252"/>
      <c r="G190" s="251"/>
      <c r="H190" s="251"/>
      <c r="I190" s="251"/>
      <c r="J190" s="251"/>
      <c r="K190" s="251"/>
      <c r="L190" s="251"/>
      <c r="M190" s="251"/>
      <c r="N190" s="21"/>
      <c r="O190" s="251"/>
      <c r="P190" s="252"/>
      <c r="Q190" s="253"/>
      <c r="R190" s="252"/>
      <c r="S190" s="251"/>
      <c r="T190" s="251"/>
      <c r="U190" s="251"/>
      <c r="V190" s="251"/>
      <c r="W190" s="251"/>
      <c r="X190" s="251"/>
      <c r="Y190" s="251"/>
      <c r="Z190" s="251"/>
    </row>
    <row r="191">
      <c r="A191" s="250"/>
      <c r="B191" s="251"/>
      <c r="C191" s="251" t="s">
        <v>39</v>
      </c>
      <c r="D191" s="252" t="s">
        <v>39</v>
      </c>
      <c r="E191" s="252" t="s">
        <v>39</v>
      </c>
      <c r="F191" s="252"/>
      <c r="G191" s="251"/>
      <c r="H191" s="251"/>
      <c r="I191" s="251"/>
      <c r="J191" s="251"/>
      <c r="K191" s="251"/>
      <c r="L191" s="251"/>
      <c r="M191" s="251"/>
      <c r="N191" s="21"/>
      <c r="O191" s="251"/>
      <c r="P191" s="252"/>
      <c r="Q191" s="253"/>
      <c r="R191" s="252"/>
      <c r="S191" s="251"/>
      <c r="T191" s="251"/>
      <c r="U191" s="251"/>
      <c r="V191" s="251"/>
      <c r="W191" s="251"/>
      <c r="X191" s="251"/>
      <c r="Y191" s="251"/>
      <c r="Z191" s="251"/>
    </row>
    <row r="192">
      <c r="A192" s="250"/>
      <c r="B192" s="251"/>
      <c r="C192" s="251" t="s">
        <v>39</v>
      </c>
      <c r="D192" s="252" t="s">
        <v>39</v>
      </c>
      <c r="E192" s="252" t="s">
        <v>39</v>
      </c>
      <c r="F192" s="252"/>
      <c r="G192" s="251"/>
      <c r="H192" s="251"/>
      <c r="I192" s="251"/>
      <c r="J192" s="251"/>
      <c r="K192" s="251"/>
      <c r="L192" s="251"/>
      <c r="M192" s="251"/>
      <c r="N192" s="21"/>
      <c r="O192" s="251"/>
      <c r="P192" s="252"/>
      <c r="Q192" s="253"/>
      <c r="R192" s="252"/>
      <c r="S192" s="251"/>
      <c r="T192" s="251"/>
      <c r="U192" s="251"/>
      <c r="V192" s="251"/>
      <c r="W192" s="251"/>
      <c r="X192" s="251"/>
      <c r="Y192" s="251"/>
      <c r="Z192" s="251"/>
    </row>
    <row r="193">
      <c r="A193" s="250"/>
      <c r="B193" s="251"/>
      <c r="C193" s="251" t="s">
        <v>39</v>
      </c>
      <c r="D193" s="252" t="s">
        <v>39</v>
      </c>
      <c r="E193" s="252" t="s">
        <v>39</v>
      </c>
      <c r="F193" s="252"/>
      <c r="G193" s="251"/>
      <c r="H193" s="251"/>
      <c r="I193" s="251"/>
      <c r="J193" s="251"/>
      <c r="K193" s="251"/>
      <c r="L193" s="251"/>
      <c r="M193" s="251"/>
      <c r="N193" s="21"/>
      <c r="O193" s="251"/>
      <c r="P193" s="252"/>
      <c r="Q193" s="253"/>
      <c r="R193" s="252"/>
      <c r="S193" s="251"/>
      <c r="T193" s="251"/>
      <c r="U193" s="251"/>
      <c r="V193" s="251"/>
      <c r="W193" s="251"/>
      <c r="X193" s="251"/>
      <c r="Y193" s="251"/>
      <c r="Z193" s="251"/>
    </row>
    <row r="194">
      <c r="A194" s="250"/>
      <c r="B194" s="251"/>
      <c r="C194" s="251" t="s">
        <v>39</v>
      </c>
      <c r="D194" s="252" t="s">
        <v>39</v>
      </c>
      <c r="E194" s="252" t="s">
        <v>39</v>
      </c>
      <c r="F194" s="252"/>
      <c r="G194" s="251"/>
      <c r="H194" s="251"/>
      <c r="I194" s="251"/>
      <c r="J194" s="251"/>
      <c r="K194" s="251"/>
      <c r="L194" s="251"/>
      <c r="M194" s="251"/>
      <c r="N194" s="21"/>
      <c r="O194" s="251"/>
      <c r="P194" s="252"/>
      <c r="Q194" s="253"/>
      <c r="R194" s="252"/>
      <c r="S194" s="251"/>
      <c r="T194" s="251"/>
      <c r="U194" s="251"/>
      <c r="V194" s="251"/>
      <c r="W194" s="251"/>
      <c r="X194" s="251"/>
      <c r="Y194" s="251"/>
      <c r="Z194" s="251"/>
    </row>
    <row r="195">
      <c r="A195" s="250"/>
      <c r="B195" s="251"/>
      <c r="C195" s="251" t="s">
        <v>39</v>
      </c>
      <c r="D195" s="252" t="s">
        <v>39</v>
      </c>
      <c r="E195" s="252" t="s">
        <v>39</v>
      </c>
      <c r="F195" s="252"/>
      <c r="G195" s="251"/>
      <c r="H195" s="251"/>
      <c r="I195" s="251"/>
      <c r="J195" s="251"/>
      <c r="K195" s="251"/>
      <c r="L195" s="251"/>
      <c r="M195" s="251"/>
      <c r="N195" s="21"/>
      <c r="O195" s="251"/>
      <c r="P195" s="252"/>
      <c r="Q195" s="253"/>
      <c r="R195" s="252"/>
      <c r="S195" s="251"/>
      <c r="T195" s="251"/>
      <c r="U195" s="251"/>
      <c r="V195" s="251"/>
      <c r="W195" s="251"/>
      <c r="X195" s="251"/>
      <c r="Y195" s="251"/>
      <c r="Z195" s="251"/>
    </row>
    <row r="196">
      <c r="A196" s="250"/>
      <c r="B196" s="251"/>
      <c r="C196" s="251" t="s">
        <v>39</v>
      </c>
      <c r="D196" s="252" t="s">
        <v>39</v>
      </c>
      <c r="E196" s="252" t="s">
        <v>39</v>
      </c>
      <c r="F196" s="252"/>
      <c r="G196" s="251"/>
      <c r="H196" s="251"/>
      <c r="I196" s="251"/>
      <c r="J196" s="251"/>
      <c r="K196" s="251"/>
      <c r="L196" s="251"/>
      <c r="M196" s="251"/>
      <c r="N196" s="21"/>
      <c r="O196" s="251"/>
      <c r="P196" s="252"/>
      <c r="Q196" s="253"/>
      <c r="R196" s="252"/>
      <c r="S196" s="251"/>
      <c r="T196" s="251"/>
      <c r="U196" s="251"/>
      <c r="V196" s="251"/>
      <c r="W196" s="251"/>
      <c r="X196" s="251"/>
      <c r="Y196" s="251"/>
      <c r="Z196" s="251"/>
    </row>
    <row r="197">
      <c r="A197" s="250"/>
      <c r="B197" s="251"/>
      <c r="C197" s="251" t="s">
        <v>39</v>
      </c>
      <c r="D197" s="252" t="s">
        <v>39</v>
      </c>
      <c r="E197" s="252" t="s">
        <v>39</v>
      </c>
      <c r="F197" s="252"/>
      <c r="G197" s="251"/>
      <c r="H197" s="251"/>
      <c r="I197" s="251"/>
      <c r="J197" s="251"/>
      <c r="K197" s="251"/>
      <c r="L197" s="251"/>
      <c r="M197" s="251"/>
      <c r="N197" s="21"/>
      <c r="O197" s="251"/>
      <c r="P197" s="252"/>
      <c r="Q197" s="253"/>
      <c r="R197" s="252"/>
      <c r="S197" s="251"/>
      <c r="T197" s="251"/>
      <c r="U197" s="251"/>
      <c r="V197" s="251"/>
      <c r="W197" s="251"/>
      <c r="X197" s="251"/>
      <c r="Y197" s="251"/>
      <c r="Z197" s="251"/>
    </row>
    <row r="198">
      <c r="A198" s="250"/>
      <c r="B198" s="251"/>
      <c r="C198" s="251" t="s">
        <v>39</v>
      </c>
      <c r="D198" s="252" t="s">
        <v>39</v>
      </c>
      <c r="E198" s="252" t="s">
        <v>39</v>
      </c>
      <c r="F198" s="252"/>
      <c r="G198" s="251"/>
      <c r="H198" s="251"/>
      <c r="I198" s="251"/>
      <c r="J198" s="251"/>
      <c r="K198" s="251"/>
      <c r="L198" s="251"/>
      <c r="M198" s="251"/>
      <c r="N198" s="21"/>
      <c r="O198" s="251"/>
      <c r="P198" s="252"/>
      <c r="Q198" s="253"/>
      <c r="R198" s="252"/>
      <c r="S198" s="251"/>
      <c r="T198" s="251"/>
      <c r="U198" s="251"/>
      <c r="V198" s="251"/>
      <c r="W198" s="251"/>
      <c r="X198" s="251"/>
      <c r="Y198" s="251"/>
      <c r="Z198" s="251"/>
    </row>
    <row r="199">
      <c r="A199" s="250"/>
      <c r="B199" s="251"/>
      <c r="C199" s="251" t="s">
        <v>39</v>
      </c>
      <c r="D199" s="252" t="s">
        <v>39</v>
      </c>
      <c r="E199" s="252" t="s">
        <v>39</v>
      </c>
      <c r="F199" s="252"/>
      <c r="G199" s="251"/>
      <c r="H199" s="251"/>
      <c r="I199" s="251"/>
      <c r="J199" s="251"/>
      <c r="K199" s="251"/>
      <c r="L199" s="251"/>
      <c r="M199" s="251"/>
      <c r="N199" s="21"/>
      <c r="O199" s="251"/>
      <c r="P199" s="252"/>
      <c r="Q199" s="253"/>
      <c r="R199" s="252"/>
      <c r="S199" s="251"/>
      <c r="T199" s="251"/>
      <c r="U199" s="251"/>
      <c r="V199" s="251"/>
      <c r="W199" s="251"/>
      <c r="X199" s="251"/>
      <c r="Y199" s="251"/>
      <c r="Z199" s="251"/>
    </row>
    <row r="200">
      <c r="A200" s="250"/>
      <c r="B200" s="251"/>
      <c r="C200" s="251" t="s">
        <v>39</v>
      </c>
      <c r="D200" s="252" t="s">
        <v>39</v>
      </c>
      <c r="E200" s="252" t="s">
        <v>39</v>
      </c>
      <c r="F200" s="252"/>
      <c r="G200" s="251"/>
      <c r="H200" s="251"/>
      <c r="I200" s="251"/>
      <c r="J200" s="251"/>
      <c r="K200" s="251"/>
      <c r="L200" s="251"/>
      <c r="M200" s="251"/>
      <c r="N200" s="21"/>
      <c r="O200" s="251"/>
      <c r="P200" s="252"/>
      <c r="Q200" s="253"/>
      <c r="R200" s="252"/>
      <c r="S200" s="251"/>
      <c r="T200" s="251"/>
      <c r="U200" s="251"/>
      <c r="V200" s="251"/>
      <c r="W200" s="251"/>
      <c r="X200" s="251"/>
      <c r="Y200" s="251"/>
      <c r="Z200" s="251"/>
    </row>
    <row r="201">
      <c r="A201" s="250"/>
      <c r="B201" s="251"/>
      <c r="C201" s="251" t="s">
        <v>39</v>
      </c>
      <c r="D201" s="252" t="s">
        <v>39</v>
      </c>
      <c r="E201" s="252" t="s">
        <v>39</v>
      </c>
      <c r="F201" s="252"/>
      <c r="G201" s="251"/>
      <c r="H201" s="251"/>
      <c r="I201" s="251"/>
      <c r="J201" s="251"/>
      <c r="K201" s="251"/>
      <c r="L201" s="251"/>
      <c r="M201" s="251"/>
      <c r="N201" s="21"/>
      <c r="O201" s="251"/>
      <c r="P201" s="252"/>
      <c r="Q201" s="253"/>
      <c r="R201" s="252"/>
      <c r="S201" s="251"/>
      <c r="T201" s="251"/>
      <c r="U201" s="251"/>
      <c r="V201" s="251"/>
      <c r="W201" s="251"/>
      <c r="X201" s="251"/>
      <c r="Y201" s="251"/>
      <c r="Z201" s="251"/>
    </row>
    <row r="202">
      <c r="A202" s="250"/>
      <c r="B202" s="251"/>
      <c r="C202" s="251" t="s">
        <v>39</v>
      </c>
      <c r="D202" s="252" t="s">
        <v>39</v>
      </c>
      <c r="E202" s="252" t="s">
        <v>39</v>
      </c>
      <c r="F202" s="252"/>
      <c r="G202" s="251"/>
      <c r="H202" s="251"/>
      <c r="I202" s="251"/>
      <c r="J202" s="251"/>
      <c r="K202" s="251"/>
      <c r="L202" s="251"/>
      <c r="M202" s="251"/>
      <c r="N202" s="21"/>
      <c r="O202" s="251"/>
      <c r="P202" s="252"/>
      <c r="Q202" s="253"/>
      <c r="R202" s="252"/>
      <c r="S202" s="251"/>
      <c r="T202" s="251"/>
      <c r="U202" s="251"/>
      <c r="V202" s="251"/>
      <c r="W202" s="251"/>
      <c r="X202" s="251"/>
      <c r="Y202" s="251"/>
      <c r="Z202" s="251"/>
    </row>
    <row r="203">
      <c r="A203" s="250"/>
      <c r="B203" s="251"/>
      <c r="C203" s="251" t="s">
        <v>39</v>
      </c>
      <c r="D203" s="252" t="s">
        <v>39</v>
      </c>
      <c r="E203" s="252" t="s">
        <v>39</v>
      </c>
      <c r="F203" s="252"/>
      <c r="G203" s="251"/>
      <c r="H203" s="251"/>
      <c r="I203" s="251"/>
      <c r="J203" s="251"/>
      <c r="K203" s="251"/>
      <c r="L203" s="251"/>
      <c r="M203" s="251"/>
      <c r="N203" s="21"/>
      <c r="O203" s="251"/>
      <c r="P203" s="252"/>
      <c r="Q203" s="253"/>
      <c r="R203" s="252"/>
      <c r="S203" s="251"/>
      <c r="T203" s="251"/>
      <c r="U203" s="251"/>
      <c r="V203" s="251"/>
      <c r="W203" s="251"/>
      <c r="X203" s="251"/>
      <c r="Y203" s="251"/>
      <c r="Z203" s="251"/>
    </row>
    <row r="204">
      <c r="A204" s="250"/>
      <c r="B204" s="251"/>
      <c r="C204" s="251" t="s">
        <v>39</v>
      </c>
      <c r="D204" s="252" t="s">
        <v>39</v>
      </c>
      <c r="E204" s="252" t="s">
        <v>39</v>
      </c>
      <c r="F204" s="252"/>
      <c r="G204" s="251"/>
      <c r="H204" s="251"/>
      <c r="I204" s="251"/>
      <c r="J204" s="251"/>
      <c r="K204" s="251"/>
      <c r="L204" s="251"/>
      <c r="M204" s="251"/>
      <c r="N204" s="21"/>
      <c r="O204" s="251"/>
      <c r="P204" s="252"/>
      <c r="Q204" s="253"/>
      <c r="R204" s="252"/>
      <c r="S204" s="251"/>
      <c r="T204" s="251"/>
      <c r="U204" s="251"/>
      <c r="V204" s="251"/>
      <c r="W204" s="251"/>
      <c r="X204" s="251"/>
      <c r="Y204" s="251"/>
      <c r="Z204" s="251"/>
    </row>
    <row r="205">
      <c r="A205" s="250"/>
      <c r="B205" s="251"/>
      <c r="C205" s="251" t="s">
        <v>39</v>
      </c>
      <c r="D205" s="252" t="s">
        <v>39</v>
      </c>
      <c r="E205" s="252" t="s">
        <v>39</v>
      </c>
      <c r="F205" s="252"/>
      <c r="G205" s="251"/>
      <c r="H205" s="251"/>
      <c r="I205" s="251"/>
      <c r="J205" s="251"/>
      <c r="K205" s="251"/>
      <c r="L205" s="251"/>
      <c r="M205" s="251"/>
      <c r="N205" s="21"/>
      <c r="O205" s="251"/>
      <c r="P205" s="252"/>
      <c r="Q205" s="253"/>
      <c r="R205" s="252"/>
      <c r="S205" s="251"/>
      <c r="T205" s="251"/>
      <c r="U205" s="251"/>
      <c r="V205" s="251"/>
      <c r="W205" s="251"/>
      <c r="X205" s="251"/>
      <c r="Y205" s="251"/>
      <c r="Z205" s="251"/>
    </row>
    <row r="206">
      <c r="A206" s="250"/>
      <c r="B206" s="251"/>
      <c r="C206" s="251" t="s">
        <v>39</v>
      </c>
      <c r="D206" s="252" t="s">
        <v>39</v>
      </c>
      <c r="E206" s="252" t="s">
        <v>39</v>
      </c>
      <c r="F206" s="252"/>
      <c r="G206" s="251"/>
      <c r="H206" s="251"/>
      <c r="I206" s="251"/>
      <c r="J206" s="251"/>
      <c r="K206" s="251"/>
      <c r="L206" s="251"/>
      <c r="M206" s="251"/>
      <c r="N206" s="21"/>
      <c r="O206" s="251"/>
      <c r="P206" s="252"/>
      <c r="Q206" s="253"/>
      <c r="R206" s="252"/>
      <c r="S206" s="251"/>
      <c r="T206" s="251"/>
      <c r="U206" s="251"/>
      <c r="V206" s="251"/>
      <c r="W206" s="251"/>
      <c r="X206" s="251"/>
      <c r="Y206" s="251"/>
      <c r="Z206" s="251"/>
    </row>
    <row r="207">
      <c r="A207" s="250"/>
      <c r="B207" s="251"/>
      <c r="C207" s="251" t="s">
        <v>39</v>
      </c>
      <c r="D207" s="252" t="s">
        <v>39</v>
      </c>
      <c r="E207" s="252" t="s">
        <v>39</v>
      </c>
      <c r="F207" s="252"/>
      <c r="G207" s="251"/>
      <c r="H207" s="251"/>
      <c r="I207" s="251"/>
      <c r="J207" s="251"/>
      <c r="K207" s="251"/>
      <c r="L207" s="251"/>
      <c r="M207" s="251"/>
      <c r="N207" s="21"/>
      <c r="O207" s="251"/>
      <c r="P207" s="252"/>
      <c r="Q207" s="253"/>
      <c r="R207" s="252"/>
      <c r="S207" s="251"/>
      <c r="T207" s="251"/>
      <c r="U207" s="251"/>
      <c r="V207" s="251"/>
      <c r="W207" s="251"/>
      <c r="X207" s="251"/>
      <c r="Y207" s="251"/>
      <c r="Z207" s="251"/>
    </row>
    <row r="208">
      <c r="A208" s="250"/>
      <c r="B208" s="251"/>
      <c r="C208" s="251" t="s">
        <v>39</v>
      </c>
      <c r="D208" s="252" t="s">
        <v>39</v>
      </c>
      <c r="E208" s="252" t="s">
        <v>39</v>
      </c>
      <c r="F208" s="252"/>
      <c r="G208" s="251"/>
      <c r="H208" s="251"/>
      <c r="I208" s="251"/>
      <c r="J208" s="251"/>
      <c r="K208" s="251"/>
      <c r="L208" s="251"/>
      <c r="M208" s="251"/>
      <c r="N208" s="21"/>
      <c r="O208" s="251"/>
      <c r="P208" s="252"/>
      <c r="Q208" s="253"/>
      <c r="R208" s="252"/>
      <c r="S208" s="251"/>
      <c r="T208" s="251"/>
      <c r="U208" s="251"/>
      <c r="V208" s="251"/>
      <c r="W208" s="251"/>
      <c r="X208" s="251"/>
      <c r="Y208" s="251"/>
      <c r="Z208" s="251"/>
    </row>
    <row r="209">
      <c r="A209" s="250"/>
      <c r="B209" s="251"/>
      <c r="C209" s="251" t="s">
        <v>39</v>
      </c>
      <c r="D209" s="252" t="s">
        <v>39</v>
      </c>
      <c r="E209" s="252" t="s">
        <v>39</v>
      </c>
      <c r="F209" s="252"/>
      <c r="G209" s="251"/>
      <c r="H209" s="251"/>
      <c r="I209" s="251"/>
      <c r="J209" s="251"/>
      <c r="K209" s="251"/>
      <c r="L209" s="251"/>
      <c r="M209" s="251"/>
      <c r="N209" s="21"/>
      <c r="O209" s="251"/>
      <c r="P209" s="252"/>
      <c r="Q209" s="253"/>
      <c r="R209" s="252"/>
      <c r="S209" s="251"/>
      <c r="T209" s="251"/>
      <c r="U209" s="251"/>
      <c r="V209" s="251"/>
      <c r="W209" s="251"/>
      <c r="X209" s="251"/>
      <c r="Y209" s="251"/>
      <c r="Z209" s="251"/>
    </row>
    <row r="210">
      <c r="A210" s="250"/>
      <c r="B210" s="251"/>
      <c r="C210" s="251" t="s">
        <v>39</v>
      </c>
      <c r="D210" s="252" t="s">
        <v>39</v>
      </c>
      <c r="E210" s="252" t="s">
        <v>39</v>
      </c>
      <c r="F210" s="252"/>
      <c r="G210" s="251"/>
      <c r="H210" s="251"/>
      <c r="I210" s="251"/>
      <c r="J210" s="251"/>
      <c r="K210" s="251"/>
      <c r="L210" s="251"/>
      <c r="M210" s="251"/>
      <c r="N210" s="21"/>
      <c r="O210" s="251"/>
      <c r="P210" s="252"/>
      <c r="Q210" s="253"/>
      <c r="R210" s="252"/>
      <c r="S210" s="251"/>
      <c r="T210" s="251"/>
      <c r="U210" s="251"/>
      <c r="V210" s="251"/>
      <c r="W210" s="251"/>
      <c r="X210" s="251"/>
      <c r="Y210" s="251"/>
      <c r="Z210" s="251"/>
    </row>
    <row r="211">
      <c r="A211" s="250"/>
      <c r="B211" s="251"/>
      <c r="C211" s="251" t="s">
        <v>39</v>
      </c>
      <c r="D211" s="252" t="s">
        <v>39</v>
      </c>
      <c r="E211" s="252" t="s">
        <v>39</v>
      </c>
      <c r="F211" s="252"/>
      <c r="G211" s="251"/>
      <c r="H211" s="251"/>
      <c r="I211" s="251"/>
      <c r="J211" s="251"/>
      <c r="K211" s="251"/>
      <c r="L211" s="251"/>
      <c r="M211" s="251"/>
      <c r="N211" s="21"/>
      <c r="O211" s="251"/>
      <c r="P211" s="252"/>
      <c r="Q211" s="253"/>
      <c r="R211" s="252"/>
      <c r="S211" s="251"/>
      <c r="T211" s="251"/>
      <c r="U211" s="251"/>
      <c r="V211" s="251"/>
      <c r="W211" s="251"/>
      <c r="X211" s="251"/>
      <c r="Y211" s="251"/>
      <c r="Z211" s="251"/>
    </row>
    <row r="212">
      <c r="A212" s="250"/>
      <c r="B212" s="251"/>
      <c r="C212" s="251" t="s">
        <v>39</v>
      </c>
      <c r="D212" s="252" t="s">
        <v>39</v>
      </c>
      <c r="E212" s="252" t="s">
        <v>39</v>
      </c>
      <c r="F212" s="252"/>
      <c r="G212" s="251"/>
      <c r="H212" s="251"/>
      <c r="I212" s="251"/>
      <c r="J212" s="251"/>
      <c r="K212" s="251"/>
      <c r="L212" s="251"/>
      <c r="M212" s="251"/>
      <c r="N212" s="21"/>
      <c r="O212" s="251"/>
      <c r="P212" s="252"/>
      <c r="Q212" s="253"/>
      <c r="R212" s="252"/>
      <c r="S212" s="251"/>
      <c r="T212" s="251"/>
      <c r="U212" s="251"/>
      <c r="V212" s="251"/>
      <c r="W212" s="251"/>
      <c r="X212" s="251"/>
      <c r="Y212" s="251"/>
      <c r="Z212" s="251"/>
    </row>
    <row r="213">
      <c r="A213" s="250"/>
      <c r="B213" s="251"/>
      <c r="C213" s="251" t="s">
        <v>39</v>
      </c>
      <c r="D213" s="252" t="s">
        <v>39</v>
      </c>
      <c r="E213" s="252" t="s">
        <v>39</v>
      </c>
      <c r="F213" s="252"/>
      <c r="G213" s="251"/>
      <c r="H213" s="251"/>
      <c r="I213" s="251"/>
      <c r="J213" s="251"/>
      <c r="K213" s="251"/>
      <c r="L213" s="251"/>
      <c r="M213" s="251"/>
      <c r="N213" s="21"/>
      <c r="O213" s="251"/>
      <c r="P213" s="252"/>
      <c r="Q213" s="253"/>
      <c r="R213" s="252"/>
      <c r="S213" s="251"/>
      <c r="T213" s="251"/>
      <c r="U213" s="251"/>
      <c r="V213" s="251"/>
      <c r="W213" s="251"/>
      <c r="X213" s="251"/>
      <c r="Y213" s="251"/>
      <c r="Z213" s="251"/>
    </row>
    <row r="214">
      <c r="A214" s="250"/>
      <c r="B214" s="251"/>
      <c r="C214" s="251" t="s">
        <v>39</v>
      </c>
      <c r="D214" s="252" t="s">
        <v>39</v>
      </c>
      <c r="E214" s="252" t="s">
        <v>39</v>
      </c>
      <c r="F214" s="252"/>
      <c r="G214" s="251"/>
      <c r="H214" s="251"/>
      <c r="I214" s="251"/>
      <c r="J214" s="251"/>
      <c r="K214" s="251"/>
      <c r="L214" s="251"/>
      <c r="M214" s="251"/>
      <c r="N214" s="21"/>
      <c r="O214" s="251"/>
      <c r="P214" s="252"/>
      <c r="Q214" s="253"/>
      <c r="R214" s="252"/>
      <c r="S214" s="251"/>
      <c r="T214" s="251"/>
      <c r="U214" s="251"/>
      <c r="V214" s="251"/>
      <c r="W214" s="251"/>
      <c r="X214" s="251"/>
      <c r="Y214" s="251"/>
      <c r="Z214" s="251"/>
    </row>
    <row r="215">
      <c r="A215" s="250"/>
      <c r="B215" s="251"/>
      <c r="C215" s="251" t="s">
        <v>39</v>
      </c>
      <c r="D215" s="252" t="s">
        <v>39</v>
      </c>
      <c r="E215" s="252" t="s">
        <v>39</v>
      </c>
      <c r="F215" s="252"/>
      <c r="G215" s="251"/>
      <c r="H215" s="251"/>
      <c r="I215" s="251"/>
      <c r="J215" s="251"/>
      <c r="K215" s="251"/>
      <c r="L215" s="251"/>
      <c r="M215" s="251"/>
      <c r="N215" s="21"/>
      <c r="O215" s="251"/>
      <c r="P215" s="252"/>
      <c r="Q215" s="253"/>
      <c r="R215" s="252"/>
      <c r="S215" s="251"/>
      <c r="T215" s="251"/>
      <c r="U215" s="251"/>
      <c r="V215" s="251"/>
      <c r="W215" s="251"/>
      <c r="X215" s="251"/>
      <c r="Y215" s="251"/>
      <c r="Z215" s="251"/>
    </row>
    <row r="216">
      <c r="A216" s="250"/>
      <c r="B216" s="251"/>
      <c r="C216" s="251" t="s">
        <v>39</v>
      </c>
      <c r="D216" s="252" t="s">
        <v>39</v>
      </c>
      <c r="E216" s="252" t="s">
        <v>39</v>
      </c>
      <c r="F216" s="252"/>
      <c r="G216" s="251"/>
      <c r="H216" s="251"/>
      <c r="I216" s="251"/>
      <c r="J216" s="251"/>
      <c r="K216" s="251"/>
      <c r="L216" s="251"/>
      <c r="M216" s="251"/>
      <c r="N216" s="21"/>
      <c r="O216" s="251"/>
      <c r="P216" s="252"/>
      <c r="Q216" s="253"/>
      <c r="R216" s="252"/>
      <c r="S216" s="251"/>
      <c r="T216" s="251"/>
      <c r="U216" s="251"/>
      <c r="V216" s="251"/>
      <c r="W216" s="251"/>
      <c r="X216" s="251"/>
      <c r="Y216" s="251"/>
      <c r="Z216" s="251"/>
    </row>
    <row r="217">
      <c r="A217" s="250"/>
      <c r="B217" s="251"/>
      <c r="C217" s="251" t="s">
        <v>39</v>
      </c>
      <c r="D217" s="252" t="s">
        <v>39</v>
      </c>
      <c r="E217" s="252" t="s">
        <v>39</v>
      </c>
      <c r="F217" s="252"/>
      <c r="G217" s="251"/>
      <c r="H217" s="251"/>
      <c r="I217" s="251"/>
      <c r="J217" s="251"/>
      <c r="K217" s="251"/>
      <c r="L217" s="251"/>
      <c r="M217" s="251"/>
      <c r="N217" s="21"/>
      <c r="O217" s="251"/>
      <c r="P217" s="252"/>
      <c r="Q217" s="253"/>
      <c r="R217" s="252"/>
      <c r="S217" s="251"/>
      <c r="T217" s="251"/>
      <c r="U217" s="251"/>
      <c r="V217" s="251"/>
      <c r="W217" s="251"/>
      <c r="X217" s="251"/>
      <c r="Y217" s="251"/>
      <c r="Z217" s="251"/>
    </row>
    <row r="218">
      <c r="A218" s="250"/>
      <c r="B218" s="251"/>
      <c r="C218" s="251" t="s">
        <v>39</v>
      </c>
      <c r="D218" s="252" t="s">
        <v>39</v>
      </c>
      <c r="E218" s="252" t="s">
        <v>39</v>
      </c>
      <c r="F218" s="252"/>
      <c r="G218" s="251"/>
      <c r="H218" s="251"/>
      <c r="I218" s="251"/>
      <c r="J218" s="251"/>
      <c r="K218" s="251"/>
      <c r="L218" s="251"/>
      <c r="M218" s="251"/>
      <c r="N218" s="21"/>
      <c r="O218" s="251"/>
      <c r="P218" s="252"/>
      <c r="Q218" s="253"/>
      <c r="R218" s="252"/>
      <c r="S218" s="251"/>
      <c r="T218" s="251"/>
      <c r="U218" s="251"/>
      <c r="V218" s="251"/>
      <c r="W218" s="251"/>
      <c r="X218" s="251"/>
      <c r="Y218" s="251"/>
      <c r="Z218" s="251"/>
    </row>
    <row r="219">
      <c r="A219" s="250"/>
      <c r="B219" s="251"/>
      <c r="C219" s="251" t="s">
        <v>39</v>
      </c>
      <c r="D219" s="252" t="s">
        <v>39</v>
      </c>
      <c r="E219" s="252" t="s">
        <v>39</v>
      </c>
      <c r="F219" s="252"/>
      <c r="G219" s="251"/>
      <c r="H219" s="251"/>
      <c r="I219" s="251"/>
      <c r="J219" s="251"/>
      <c r="K219" s="251"/>
      <c r="L219" s="251"/>
      <c r="M219" s="251"/>
      <c r="N219" s="21"/>
      <c r="O219" s="251"/>
      <c r="P219" s="252"/>
      <c r="Q219" s="253"/>
      <c r="R219" s="252"/>
      <c r="S219" s="251"/>
      <c r="T219" s="251"/>
      <c r="U219" s="251"/>
      <c r="V219" s="251"/>
      <c r="W219" s="251"/>
      <c r="X219" s="251"/>
      <c r="Y219" s="251"/>
      <c r="Z219" s="251"/>
    </row>
    <row r="220">
      <c r="A220" s="250"/>
      <c r="B220" s="251"/>
      <c r="C220" s="251" t="s">
        <v>39</v>
      </c>
      <c r="D220" s="252" t="s">
        <v>39</v>
      </c>
      <c r="E220" s="252" t="s">
        <v>39</v>
      </c>
      <c r="F220" s="252"/>
      <c r="G220" s="251"/>
      <c r="H220" s="251"/>
      <c r="I220" s="251"/>
      <c r="J220" s="251"/>
      <c r="K220" s="251"/>
      <c r="L220" s="251"/>
      <c r="M220" s="251"/>
      <c r="N220" s="21"/>
      <c r="O220" s="251"/>
      <c r="P220" s="252"/>
      <c r="Q220" s="253"/>
      <c r="R220" s="252"/>
      <c r="S220" s="251"/>
      <c r="T220" s="251"/>
      <c r="U220" s="251"/>
      <c r="V220" s="251"/>
      <c r="W220" s="251"/>
      <c r="X220" s="251"/>
      <c r="Y220" s="251"/>
      <c r="Z220" s="251"/>
    </row>
    <row r="221">
      <c r="A221" s="250"/>
      <c r="B221" s="251"/>
      <c r="C221" s="251" t="s">
        <v>39</v>
      </c>
      <c r="D221" s="252" t="s">
        <v>39</v>
      </c>
      <c r="E221" s="252" t="s">
        <v>39</v>
      </c>
      <c r="F221" s="252"/>
      <c r="G221" s="251"/>
      <c r="H221" s="251"/>
      <c r="I221" s="251"/>
      <c r="J221" s="251"/>
      <c r="K221" s="251"/>
      <c r="L221" s="251"/>
      <c r="M221" s="251"/>
      <c r="N221" s="21"/>
      <c r="O221" s="251"/>
      <c r="P221" s="252"/>
      <c r="Q221" s="253"/>
      <c r="R221" s="252"/>
      <c r="S221" s="251"/>
      <c r="T221" s="251"/>
      <c r="U221" s="251"/>
      <c r="V221" s="251"/>
      <c r="W221" s="251"/>
      <c r="X221" s="251"/>
      <c r="Y221" s="251"/>
      <c r="Z221" s="251"/>
    </row>
    <row r="222">
      <c r="A222" s="250"/>
      <c r="B222" s="251"/>
      <c r="C222" s="251" t="s">
        <v>39</v>
      </c>
      <c r="D222" s="252" t="s">
        <v>39</v>
      </c>
      <c r="E222" s="252" t="s">
        <v>39</v>
      </c>
      <c r="F222" s="252"/>
      <c r="G222" s="251"/>
      <c r="H222" s="251"/>
      <c r="I222" s="251"/>
      <c r="J222" s="251"/>
      <c r="K222" s="251"/>
      <c r="L222" s="251"/>
      <c r="M222" s="251"/>
      <c r="N222" s="21"/>
      <c r="O222" s="251"/>
      <c r="P222" s="252"/>
      <c r="Q222" s="253"/>
      <c r="R222" s="252"/>
      <c r="S222" s="251"/>
      <c r="T222" s="251"/>
      <c r="U222" s="251"/>
      <c r="V222" s="251"/>
      <c r="W222" s="251"/>
      <c r="X222" s="251"/>
      <c r="Y222" s="251"/>
      <c r="Z222" s="251"/>
    </row>
    <row r="223">
      <c r="A223" s="250"/>
      <c r="B223" s="251"/>
      <c r="C223" s="251" t="s">
        <v>39</v>
      </c>
      <c r="D223" s="252" t="s">
        <v>39</v>
      </c>
      <c r="E223" s="252" t="s">
        <v>39</v>
      </c>
      <c r="F223" s="252"/>
      <c r="G223" s="251"/>
      <c r="H223" s="251"/>
      <c r="I223" s="251"/>
      <c r="J223" s="251"/>
      <c r="K223" s="251"/>
      <c r="L223" s="251"/>
      <c r="M223" s="251"/>
      <c r="N223" s="21"/>
      <c r="O223" s="251"/>
      <c r="P223" s="252"/>
      <c r="Q223" s="253"/>
      <c r="R223" s="252"/>
      <c r="S223" s="251"/>
      <c r="T223" s="251"/>
      <c r="U223" s="251"/>
      <c r="V223" s="251"/>
      <c r="W223" s="251"/>
      <c r="X223" s="251"/>
      <c r="Y223" s="251"/>
      <c r="Z223" s="251"/>
    </row>
    <row r="224">
      <c r="A224" s="250"/>
      <c r="B224" s="251"/>
      <c r="C224" s="251" t="s">
        <v>39</v>
      </c>
      <c r="D224" s="252" t="s">
        <v>39</v>
      </c>
      <c r="E224" s="252" t="s">
        <v>39</v>
      </c>
      <c r="F224" s="252"/>
      <c r="G224" s="251"/>
      <c r="H224" s="251"/>
      <c r="I224" s="251"/>
      <c r="J224" s="251"/>
      <c r="K224" s="251"/>
      <c r="L224" s="251"/>
      <c r="M224" s="251"/>
      <c r="N224" s="21"/>
      <c r="O224" s="251"/>
      <c r="P224" s="252"/>
      <c r="Q224" s="253"/>
      <c r="R224" s="252"/>
      <c r="S224" s="251"/>
      <c r="T224" s="251"/>
      <c r="U224" s="251"/>
      <c r="V224" s="251"/>
      <c r="W224" s="251"/>
      <c r="X224" s="251"/>
      <c r="Y224" s="251"/>
      <c r="Z224" s="251"/>
    </row>
    <row r="225">
      <c r="A225" s="250"/>
      <c r="B225" s="251"/>
      <c r="C225" s="251" t="s">
        <v>39</v>
      </c>
      <c r="D225" s="252" t="s">
        <v>39</v>
      </c>
      <c r="E225" s="252" t="s">
        <v>39</v>
      </c>
      <c r="F225" s="252"/>
      <c r="G225" s="251"/>
      <c r="H225" s="251"/>
      <c r="I225" s="251"/>
      <c r="J225" s="251"/>
      <c r="K225" s="251"/>
      <c r="L225" s="251"/>
      <c r="M225" s="251"/>
      <c r="N225" s="21"/>
      <c r="O225" s="251"/>
      <c r="P225" s="252"/>
      <c r="Q225" s="253"/>
      <c r="R225" s="252"/>
      <c r="S225" s="251"/>
      <c r="T225" s="251"/>
      <c r="U225" s="251"/>
      <c r="V225" s="251"/>
      <c r="W225" s="251"/>
      <c r="X225" s="251"/>
      <c r="Y225" s="251"/>
      <c r="Z225" s="251"/>
    </row>
    <row r="226">
      <c r="A226" s="250"/>
      <c r="B226" s="251"/>
      <c r="C226" s="251" t="s">
        <v>39</v>
      </c>
      <c r="D226" s="252" t="s">
        <v>39</v>
      </c>
      <c r="E226" s="252" t="s">
        <v>39</v>
      </c>
      <c r="F226" s="252"/>
      <c r="G226" s="251"/>
      <c r="H226" s="251"/>
      <c r="I226" s="251"/>
      <c r="J226" s="251"/>
      <c r="K226" s="251"/>
      <c r="L226" s="251"/>
      <c r="M226" s="251"/>
      <c r="N226" s="21"/>
      <c r="O226" s="251"/>
      <c r="P226" s="252"/>
      <c r="Q226" s="253"/>
      <c r="R226" s="252"/>
      <c r="S226" s="251"/>
      <c r="T226" s="251"/>
      <c r="U226" s="251"/>
      <c r="V226" s="251"/>
      <c r="W226" s="251"/>
      <c r="X226" s="251"/>
      <c r="Y226" s="251"/>
      <c r="Z226" s="251"/>
    </row>
    <row r="227">
      <c r="A227" s="250"/>
      <c r="B227" s="251"/>
      <c r="C227" s="251" t="s">
        <v>39</v>
      </c>
      <c r="D227" s="252" t="s">
        <v>39</v>
      </c>
      <c r="E227" s="252" t="s">
        <v>39</v>
      </c>
      <c r="F227" s="252"/>
      <c r="G227" s="251"/>
      <c r="H227" s="251"/>
      <c r="I227" s="251"/>
      <c r="J227" s="251"/>
      <c r="K227" s="251"/>
      <c r="L227" s="251"/>
      <c r="M227" s="251"/>
      <c r="N227" s="21"/>
      <c r="O227" s="251"/>
      <c r="P227" s="252"/>
      <c r="Q227" s="253"/>
      <c r="R227" s="252"/>
      <c r="S227" s="251"/>
      <c r="T227" s="251"/>
      <c r="U227" s="251"/>
      <c r="V227" s="251"/>
      <c r="W227" s="251"/>
      <c r="X227" s="251"/>
      <c r="Y227" s="251"/>
      <c r="Z227" s="251"/>
    </row>
    <row r="228">
      <c r="A228" s="250"/>
      <c r="B228" s="251"/>
      <c r="C228" s="251" t="s">
        <v>39</v>
      </c>
      <c r="D228" s="252" t="s">
        <v>39</v>
      </c>
      <c r="E228" s="252" t="s">
        <v>39</v>
      </c>
      <c r="F228" s="252"/>
      <c r="G228" s="251"/>
      <c r="H228" s="251"/>
      <c r="I228" s="251"/>
      <c r="J228" s="251"/>
      <c r="K228" s="251"/>
      <c r="L228" s="251"/>
      <c r="M228" s="251"/>
      <c r="N228" s="21"/>
      <c r="O228" s="251"/>
      <c r="P228" s="252"/>
      <c r="Q228" s="253"/>
      <c r="R228" s="252"/>
      <c r="S228" s="251"/>
      <c r="T228" s="251"/>
      <c r="U228" s="251"/>
      <c r="V228" s="251"/>
      <c r="W228" s="251"/>
      <c r="X228" s="251"/>
      <c r="Y228" s="251"/>
      <c r="Z228" s="251"/>
    </row>
    <row r="229">
      <c r="A229" s="250"/>
      <c r="B229" s="251"/>
      <c r="C229" s="251" t="s">
        <v>39</v>
      </c>
      <c r="D229" s="252" t="s">
        <v>39</v>
      </c>
      <c r="E229" s="252" t="s">
        <v>39</v>
      </c>
      <c r="F229" s="252"/>
      <c r="G229" s="251"/>
      <c r="H229" s="251"/>
      <c r="I229" s="251"/>
      <c r="J229" s="251"/>
      <c r="K229" s="251"/>
      <c r="L229" s="251"/>
      <c r="M229" s="251"/>
      <c r="N229" s="21"/>
      <c r="O229" s="251"/>
      <c r="P229" s="252"/>
      <c r="Q229" s="253"/>
      <c r="R229" s="252"/>
      <c r="S229" s="251"/>
      <c r="T229" s="251"/>
      <c r="U229" s="251"/>
      <c r="V229" s="251"/>
      <c r="W229" s="251"/>
      <c r="X229" s="251"/>
      <c r="Y229" s="251"/>
      <c r="Z229" s="251"/>
    </row>
    <row r="230">
      <c r="A230" s="250"/>
      <c r="B230" s="251"/>
      <c r="C230" s="251" t="s">
        <v>39</v>
      </c>
      <c r="D230" s="252" t="s">
        <v>39</v>
      </c>
      <c r="E230" s="252" t="s">
        <v>39</v>
      </c>
      <c r="F230" s="252"/>
      <c r="G230" s="251"/>
      <c r="H230" s="251"/>
      <c r="I230" s="251"/>
      <c r="J230" s="251"/>
      <c r="K230" s="251"/>
      <c r="L230" s="251"/>
      <c r="M230" s="251"/>
      <c r="N230" s="21"/>
      <c r="O230" s="251"/>
      <c r="P230" s="252"/>
      <c r="Q230" s="253"/>
      <c r="R230" s="252"/>
      <c r="S230" s="251"/>
      <c r="T230" s="251"/>
      <c r="U230" s="251"/>
      <c r="V230" s="251"/>
      <c r="W230" s="251"/>
      <c r="X230" s="251"/>
      <c r="Y230" s="251"/>
      <c r="Z230" s="251"/>
    </row>
    <row r="231">
      <c r="A231" s="250"/>
      <c r="B231" s="251"/>
      <c r="C231" s="251" t="s">
        <v>39</v>
      </c>
      <c r="D231" s="252" t="s">
        <v>39</v>
      </c>
      <c r="E231" s="252" t="s">
        <v>39</v>
      </c>
      <c r="F231" s="252"/>
      <c r="G231" s="251"/>
      <c r="H231" s="251"/>
      <c r="I231" s="251"/>
      <c r="J231" s="251"/>
      <c r="K231" s="251"/>
      <c r="L231" s="251"/>
      <c r="M231" s="251"/>
      <c r="N231" s="21"/>
      <c r="O231" s="251"/>
      <c r="P231" s="252"/>
      <c r="Q231" s="253"/>
      <c r="R231" s="252"/>
      <c r="S231" s="251"/>
      <c r="T231" s="251"/>
      <c r="U231" s="251"/>
      <c r="V231" s="251"/>
      <c r="W231" s="251"/>
      <c r="X231" s="251"/>
      <c r="Y231" s="251"/>
      <c r="Z231" s="251"/>
    </row>
    <row r="232">
      <c r="A232" s="250"/>
      <c r="B232" s="251"/>
      <c r="C232" s="251" t="s">
        <v>39</v>
      </c>
      <c r="D232" s="252" t="s">
        <v>39</v>
      </c>
      <c r="E232" s="252" t="s">
        <v>39</v>
      </c>
      <c r="F232" s="252"/>
      <c r="G232" s="251"/>
      <c r="H232" s="251"/>
      <c r="I232" s="251"/>
      <c r="J232" s="251"/>
      <c r="K232" s="251"/>
      <c r="L232" s="251"/>
      <c r="M232" s="251"/>
      <c r="N232" s="21"/>
      <c r="O232" s="251"/>
      <c r="P232" s="252"/>
      <c r="Q232" s="253"/>
      <c r="R232" s="252"/>
      <c r="S232" s="251"/>
      <c r="T232" s="251"/>
      <c r="U232" s="251"/>
      <c r="V232" s="251"/>
      <c r="W232" s="251"/>
      <c r="X232" s="251"/>
      <c r="Y232" s="251"/>
      <c r="Z232" s="251"/>
    </row>
    <row r="233">
      <c r="A233" s="250"/>
      <c r="B233" s="251"/>
      <c r="C233" s="251" t="s">
        <v>39</v>
      </c>
      <c r="D233" s="252" t="s">
        <v>39</v>
      </c>
      <c r="E233" s="252" t="s">
        <v>39</v>
      </c>
      <c r="F233" s="252"/>
      <c r="G233" s="251"/>
      <c r="H233" s="251"/>
      <c r="I233" s="251"/>
      <c r="J233" s="251"/>
      <c r="K233" s="251"/>
      <c r="L233" s="251"/>
      <c r="M233" s="251"/>
      <c r="N233" s="21"/>
      <c r="O233" s="251"/>
      <c r="P233" s="252"/>
      <c r="Q233" s="253"/>
      <c r="R233" s="252"/>
      <c r="S233" s="251"/>
      <c r="T233" s="251"/>
      <c r="U233" s="251"/>
      <c r="V233" s="251"/>
      <c r="W233" s="251"/>
      <c r="X233" s="251"/>
      <c r="Y233" s="251"/>
      <c r="Z233" s="251"/>
    </row>
    <row r="234">
      <c r="A234" s="250"/>
      <c r="B234" s="251"/>
      <c r="C234" s="251" t="s">
        <v>39</v>
      </c>
      <c r="D234" s="252" t="s">
        <v>39</v>
      </c>
      <c r="E234" s="252" t="s">
        <v>39</v>
      </c>
      <c r="F234" s="252"/>
      <c r="G234" s="251"/>
      <c r="H234" s="251"/>
      <c r="I234" s="251"/>
      <c r="J234" s="251"/>
      <c r="K234" s="251"/>
      <c r="L234" s="251"/>
      <c r="M234" s="251"/>
      <c r="N234" s="21"/>
      <c r="O234" s="251"/>
      <c r="P234" s="252"/>
      <c r="Q234" s="253"/>
      <c r="R234" s="252"/>
      <c r="S234" s="251"/>
      <c r="T234" s="251"/>
      <c r="U234" s="251"/>
      <c r="V234" s="251"/>
      <c r="W234" s="251"/>
      <c r="X234" s="251"/>
      <c r="Y234" s="251"/>
      <c r="Z234" s="251"/>
    </row>
    <row r="235">
      <c r="A235" s="250"/>
      <c r="B235" s="251"/>
      <c r="C235" s="251" t="s">
        <v>39</v>
      </c>
      <c r="D235" s="252" t="s">
        <v>39</v>
      </c>
      <c r="E235" s="252" t="s">
        <v>39</v>
      </c>
      <c r="F235" s="252"/>
      <c r="G235" s="251"/>
      <c r="H235" s="251"/>
      <c r="I235" s="251"/>
      <c r="J235" s="251"/>
      <c r="K235" s="251"/>
      <c r="L235" s="251"/>
      <c r="M235" s="251"/>
      <c r="N235" s="21"/>
      <c r="O235" s="251"/>
      <c r="P235" s="252"/>
      <c r="Q235" s="253"/>
      <c r="R235" s="252"/>
      <c r="S235" s="251"/>
      <c r="T235" s="251"/>
      <c r="U235" s="251"/>
      <c r="V235" s="251"/>
      <c r="W235" s="251"/>
      <c r="X235" s="251"/>
      <c r="Y235" s="251"/>
      <c r="Z235" s="251"/>
    </row>
    <row r="236">
      <c r="A236" s="250"/>
      <c r="B236" s="251"/>
      <c r="C236" s="251" t="s">
        <v>39</v>
      </c>
      <c r="D236" s="252" t="s">
        <v>39</v>
      </c>
      <c r="E236" s="252" t="s">
        <v>39</v>
      </c>
      <c r="F236" s="252"/>
      <c r="G236" s="251"/>
      <c r="H236" s="251"/>
      <c r="I236" s="251"/>
      <c r="J236" s="251"/>
      <c r="K236" s="251"/>
      <c r="L236" s="251"/>
      <c r="M236" s="251"/>
      <c r="N236" s="21"/>
      <c r="O236" s="251"/>
      <c r="P236" s="252"/>
      <c r="Q236" s="253"/>
      <c r="R236" s="252"/>
      <c r="S236" s="251"/>
      <c r="T236" s="251"/>
      <c r="U236" s="251"/>
      <c r="V236" s="251"/>
      <c r="W236" s="251"/>
      <c r="X236" s="251"/>
      <c r="Y236" s="251"/>
      <c r="Z236" s="251"/>
    </row>
    <row r="237">
      <c r="A237" s="250"/>
      <c r="B237" s="251"/>
      <c r="C237" s="251" t="s">
        <v>39</v>
      </c>
      <c r="D237" s="252" t="s">
        <v>39</v>
      </c>
      <c r="E237" s="252" t="s">
        <v>39</v>
      </c>
      <c r="F237" s="252"/>
      <c r="G237" s="251"/>
      <c r="H237" s="251"/>
      <c r="I237" s="251"/>
      <c r="J237" s="251"/>
      <c r="K237" s="251"/>
      <c r="L237" s="251"/>
      <c r="M237" s="251"/>
      <c r="N237" s="21"/>
      <c r="O237" s="251"/>
      <c r="P237" s="252"/>
      <c r="Q237" s="253"/>
      <c r="R237" s="252"/>
      <c r="S237" s="251"/>
      <c r="T237" s="251"/>
      <c r="U237" s="251"/>
      <c r="V237" s="251"/>
      <c r="W237" s="251"/>
      <c r="X237" s="251"/>
      <c r="Y237" s="251"/>
      <c r="Z237" s="251"/>
    </row>
    <row r="238">
      <c r="A238" s="250"/>
      <c r="B238" s="251"/>
      <c r="C238" s="251" t="s">
        <v>39</v>
      </c>
      <c r="D238" s="252" t="s">
        <v>39</v>
      </c>
      <c r="E238" s="252" t="s">
        <v>39</v>
      </c>
      <c r="F238" s="252"/>
      <c r="G238" s="251"/>
      <c r="H238" s="251"/>
      <c r="I238" s="251"/>
      <c r="J238" s="251"/>
      <c r="K238" s="251"/>
      <c r="L238" s="251"/>
      <c r="M238" s="251"/>
      <c r="N238" s="21"/>
      <c r="O238" s="251"/>
      <c r="P238" s="252"/>
      <c r="Q238" s="253"/>
      <c r="R238" s="252"/>
      <c r="S238" s="251"/>
      <c r="T238" s="251"/>
      <c r="U238" s="251"/>
      <c r="V238" s="251"/>
      <c r="W238" s="251"/>
      <c r="X238" s="251"/>
      <c r="Y238" s="251"/>
      <c r="Z238" s="251"/>
    </row>
    <row r="239">
      <c r="A239" s="250"/>
      <c r="B239" s="251"/>
      <c r="C239" s="251" t="s">
        <v>39</v>
      </c>
      <c r="D239" s="252" t="s">
        <v>39</v>
      </c>
      <c r="E239" s="252" t="s">
        <v>39</v>
      </c>
      <c r="F239" s="252"/>
      <c r="G239" s="251"/>
      <c r="H239" s="251"/>
      <c r="I239" s="251"/>
      <c r="J239" s="251"/>
      <c r="K239" s="251"/>
      <c r="L239" s="251"/>
      <c r="M239" s="251"/>
      <c r="N239" s="21"/>
      <c r="O239" s="251"/>
      <c r="P239" s="252"/>
      <c r="Q239" s="253"/>
      <c r="R239" s="252"/>
      <c r="S239" s="251"/>
      <c r="T239" s="251"/>
      <c r="U239" s="251"/>
      <c r="V239" s="251"/>
      <c r="W239" s="251"/>
      <c r="X239" s="251"/>
      <c r="Y239" s="251"/>
      <c r="Z239" s="251"/>
    </row>
    <row r="240">
      <c r="A240" s="250"/>
      <c r="B240" s="251"/>
      <c r="C240" s="251" t="s">
        <v>39</v>
      </c>
      <c r="D240" s="252" t="s">
        <v>39</v>
      </c>
      <c r="E240" s="252" t="s">
        <v>39</v>
      </c>
      <c r="F240" s="252"/>
      <c r="G240" s="251"/>
      <c r="H240" s="251"/>
      <c r="I240" s="251"/>
      <c r="J240" s="251"/>
      <c r="K240" s="251"/>
      <c r="L240" s="251"/>
      <c r="M240" s="251"/>
      <c r="N240" s="21"/>
      <c r="O240" s="251"/>
      <c r="P240" s="252"/>
      <c r="Q240" s="253"/>
      <c r="R240" s="252"/>
      <c r="S240" s="251"/>
      <c r="T240" s="251"/>
      <c r="U240" s="251"/>
      <c r="V240" s="251"/>
      <c r="W240" s="251"/>
      <c r="X240" s="251"/>
      <c r="Y240" s="251"/>
      <c r="Z240" s="251"/>
    </row>
    <row r="241">
      <c r="A241" s="250"/>
      <c r="B241" s="251"/>
      <c r="C241" s="251" t="s">
        <v>39</v>
      </c>
      <c r="D241" s="252" t="s">
        <v>39</v>
      </c>
      <c r="E241" s="252" t="s">
        <v>39</v>
      </c>
      <c r="F241" s="252"/>
      <c r="G241" s="251"/>
      <c r="H241" s="251"/>
      <c r="I241" s="251"/>
      <c r="J241" s="251"/>
      <c r="K241" s="251"/>
      <c r="L241" s="251"/>
      <c r="M241" s="251"/>
      <c r="N241" s="21"/>
      <c r="O241" s="251"/>
      <c r="P241" s="252"/>
      <c r="Q241" s="253"/>
      <c r="R241" s="252"/>
      <c r="S241" s="251"/>
      <c r="T241" s="251"/>
      <c r="U241" s="251"/>
      <c r="V241" s="251"/>
      <c r="W241" s="251"/>
      <c r="X241" s="251"/>
      <c r="Y241" s="251"/>
      <c r="Z241" s="251"/>
    </row>
    <row r="242">
      <c r="A242" s="250"/>
      <c r="B242" s="251"/>
      <c r="C242" s="251" t="s">
        <v>39</v>
      </c>
      <c r="D242" s="252" t="s">
        <v>39</v>
      </c>
      <c r="E242" s="252" t="s">
        <v>39</v>
      </c>
      <c r="F242" s="252"/>
      <c r="G242" s="251"/>
      <c r="H242" s="251"/>
      <c r="I242" s="251"/>
      <c r="J242" s="251"/>
      <c r="K242" s="251"/>
      <c r="L242" s="251"/>
      <c r="M242" s="251"/>
      <c r="N242" s="21"/>
      <c r="O242" s="251"/>
      <c r="P242" s="252"/>
      <c r="Q242" s="253"/>
      <c r="R242" s="252"/>
      <c r="S242" s="251"/>
      <c r="T242" s="251"/>
      <c r="U242" s="251"/>
      <c r="V242" s="251"/>
      <c r="W242" s="251"/>
      <c r="X242" s="251"/>
      <c r="Y242" s="251"/>
      <c r="Z242" s="251"/>
    </row>
    <row r="243">
      <c r="A243" s="250"/>
      <c r="B243" s="251"/>
      <c r="C243" s="251" t="s">
        <v>39</v>
      </c>
      <c r="D243" s="252" t="s">
        <v>39</v>
      </c>
      <c r="E243" s="252" t="s">
        <v>39</v>
      </c>
      <c r="F243" s="252"/>
      <c r="G243" s="251"/>
      <c r="H243" s="251"/>
      <c r="I243" s="251"/>
      <c r="J243" s="251"/>
      <c r="K243" s="251"/>
      <c r="L243" s="251"/>
      <c r="M243" s="251"/>
      <c r="N243" s="21"/>
      <c r="O243" s="251"/>
      <c r="P243" s="252"/>
      <c r="Q243" s="253"/>
      <c r="R243" s="252"/>
      <c r="S243" s="251"/>
      <c r="T243" s="251"/>
      <c r="U243" s="251"/>
      <c r="V243" s="251"/>
      <c r="W243" s="251"/>
      <c r="X243" s="251"/>
      <c r="Y243" s="251"/>
      <c r="Z243" s="251"/>
    </row>
    <row r="244">
      <c r="A244" s="250"/>
      <c r="B244" s="251"/>
      <c r="C244" s="251" t="s">
        <v>39</v>
      </c>
      <c r="D244" s="252" t="s">
        <v>39</v>
      </c>
      <c r="E244" s="252" t="s">
        <v>39</v>
      </c>
      <c r="F244" s="252"/>
      <c r="G244" s="251"/>
      <c r="H244" s="251"/>
      <c r="I244" s="251"/>
      <c r="J244" s="251"/>
      <c r="K244" s="251"/>
      <c r="L244" s="251"/>
      <c r="M244" s="251"/>
      <c r="N244" s="21"/>
      <c r="O244" s="251"/>
      <c r="P244" s="252"/>
      <c r="Q244" s="253"/>
      <c r="R244" s="252"/>
      <c r="S244" s="251"/>
      <c r="T244" s="251"/>
      <c r="U244" s="251"/>
      <c r="V244" s="251"/>
      <c r="W244" s="251"/>
      <c r="X244" s="251"/>
      <c r="Y244" s="251"/>
      <c r="Z244" s="251"/>
    </row>
    <row r="245">
      <c r="A245" s="250"/>
      <c r="B245" s="251"/>
      <c r="C245" s="251" t="s">
        <v>39</v>
      </c>
      <c r="D245" s="252" t="s">
        <v>39</v>
      </c>
      <c r="E245" s="252" t="s">
        <v>39</v>
      </c>
      <c r="F245" s="252"/>
      <c r="G245" s="251"/>
      <c r="H245" s="251"/>
      <c r="I245" s="251"/>
      <c r="J245" s="251"/>
      <c r="K245" s="251"/>
      <c r="L245" s="251"/>
      <c r="M245" s="251"/>
      <c r="N245" s="21"/>
      <c r="O245" s="251"/>
      <c r="P245" s="252"/>
      <c r="Q245" s="253"/>
      <c r="R245" s="252"/>
      <c r="S245" s="251"/>
      <c r="T245" s="251"/>
      <c r="U245" s="251"/>
      <c r="V245" s="251"/>
      <c r="W245" s="251"/>
      <c r="X245" s="251"/>
      <c r="Y245" s="251"/>
      <c r="Z245" s="251"/>
    </row>
    <row r="246">
      <c r="A246" s="250"/>
      <c r="B246" s="251"/>
      <c r="C246" s="251" t="s">
        <v>39</v>
      </c>
      <c r="D246" s="252" t="s">
        <v>39</v>
      </c>
      <c r="E246" s="252" t="s">
        <v>39</v>
      </c>
      <c r="F246" s="252"/>
      <c r="G246" s="251"/>
      <c r="H246" s="251"/>
      <c r="I246" s="251"/>
      <c r="J246" s="251"/>
      <c r="K246" s="251"/>
      <c r="L246" s="251"/>
      <c r="M246" s="251"/>
      <c r="N246" s="21"/>
      <c r="O246" s="251"/>
      <c r="P246" s="252"/>
      <c r="Q246" s="253"/>
      <c r="R246" s="252"/>
      <c r="S246" s="251"/>
      <c r="T246" s="251"/>
      <c r="U246" s="251"/>
      <c r="V246" s="251"/>
      <c r="W246" s="251"/>
      <c r="X246" s="251"/>
      <c r="Y246" s="251"/>
      <c r="Z246" s="251"/>
    </row>
    <row r="247">
      <c r="A247" s="250"/>
      <c r="B247" s="251"/>
      <c r="C247" s="251" t="s">
        <v>39</v>
      </c>
      <c r="D247" s="252" t="s">
        <v>39</v>
      </c>
      <c r="E247" s="252" t="s">
        <v>39</v>
      </c>
      <c r="F247" s="252"/>
      <c r="G247" s="251"/>
      <c r="H247" s="251"/>
      <c r="I247" s="251"/>
      <c r="J247" s="251"/>
      <c r="K247" s="251"/>
      <c r="L247" s="251"/>
      <c r="M247" s="251"/>
      <c r="N247" s="21"/>
      <c r="O247" s="251"/>
      <c r="P247" s="252"/>
      <c r="Q247" s="253"/>
      <c r="R247" s="252"/>
      <c r="S247" s="251"/>
      <c r="T247" s="251"/>
      <c r="U247" s="251"/>
      <c r="V247" s="251"/>
      <c r="W247" s="251"/>
      <c r="X247" s="251"/>
      <c r="Y247" s="251"/>
      <c r="Z247" s="251"/>
    </row>
    <row r="248">
      <c r="A248" s="250"/>
      <c r="B248" s="251"/>
      <c r="C248" s="251" t="s">
        <v>39</v>
      </c>
      <c r="D248" s="252" t="s">
        <v>39</v>
      </c>
      <c r="E248" s="252" t="s">
        <v>39</v>
      </c>
      <c r="F248" s="252"/>
      <c r="G248" s="251"/>
      <c r="H248" s="251"/>
      <c r="I248" s="251"/>
      <c r="J248" s="251"/>
      <c r="K248" s="251"/>
      <c r="L248" s="251"/>
      <c r="M248" s="251"/>
      <c r="N248" s="21"/>
      <c r="O248" s="251"/>
      <c r="P248" s="252"/>
      <c r="Q248" s="253"/>
      <c r="R248" s="252"/>
      <c r="S248" s="251"/>
      <c r="T248" s="251"/>
      <c r="U248" s="251"/>
      <c r="V248" s="251"/>
      <c r="W248" s="251"/>
      <c r="X248" s="251"/>
      <c r="Y248" s="251"/>
      <c r="Z248" s="251"/>
    </row>
    <row r="249">
      <c r="A249" s="250"/>
      <c r="B249" s="251"/>
      <c r="C249" s="251" t="s">
        <v>39</v>
      </c>
      <c r="D249" s="252" t="s">
        <v>39</v>
      </c>
      <c r="E249" s="252" t="s">
        <v>39</v>
      </c>
      <c r="F249" s="252"/>
      <c r="G249" s="251"/>
      <c r="H249" s="251"/>
      <c r="I249" s="251"/>
      <c r="J249" s="251"/>
      <c r="K249" s="251"/>
      <c r="L249" s="251"/>
      <c r="M249" s="251"/>
      <c r="N249" s="21"/>
      <c r="O249" s="251"/>
      <c r="P249" s="252"/>
      <c r="Q249" s="253"/>
      <c r="R249" s="252"/>
      <c r="S249" s="251"/>
      <c r="T249" s="251"/>
      <c r="U249" s="251"/>
      <c r="V249" s="251"/>
      <c r="W249" s="251"/>
      <c r="X249" s="251"/>
      <c r="Y249" s="251"/>
      <c r="Z249" s="251"/>
    </row>
    <row r="250">
      <c r="A250" s="250"/>
      <c r="B250" s="251"/>
      <c r="C250" s="251" t="s">
        <v>39</v>
      </c>
      <c r="D250" s="252" t="s">
        <v>39</v>
      </c>
      <c r="E250" s="252" t="s">
        <v>39</v>
      </c>
      <c r="F250" s="252"/>
      <c r="G250" s="251"/>
      <c r="H250" s="251"/>
      <c r="I250" s="251"/>
      <c r="J250" s="251"/>
      <c r="K250" s="251"/>
      <c r="L250" s="251"/>
      <c r="M250" s="251"/>
      <c r="N250" s="21"/>
      <c r="O250" s="251"/>
      <c r="P250" s="252"/>
      <c r="Q250" s="253"/>
      <c r="R250" s="252"/>
      <c r="S250" s="251"/>
      <c r="T250" s="251"/>
      <c r="U250" s="251"/>
      <c r="V250" s="251"/>
      <c r="W250" s="251"/>
      <c r="X250" s="251"/>
      <c r="Y250" s="251"/>
      <c r="Z250" s="251"/>
    </row>
    <row r="251">
      <c r="A251" s="250"/>
      <c r="B251" s="251"/>
      <c r="C251" s="251" t="s">
        <v>39</v>
      </c>
      <c r="D251" s="252" t="s">
        <v>39</v>
      </c>
      <c r="E251" s="252" t="s">
        <v>39</v>
      </c>
      <c r="F251" s="252"/>
      <c r="G251" s="251"/>
      <c r="H251" s="251"/>
      <c r="I251" s="251"/>
      <c r="J251" s="251"/>
      <c r="K251" s="251"/>
      <c r="L251" s="251"/>
      <c r="M251" s="251"/>
      <c r="N251" s="21"/>
      <c r="O251" s="251"/>
      <c r="P251" s="252"/>
      <c r="Q251" s="253"/>
      <c r="R251" s="252"/>
      <c r="S251" s="251"/>
      <c r="T251" s="251"/>
      <c r="U251" s="251"/>
      <c r="V251" s="251"/>
      <c r="W251" s="251"/>
      <c r="X251" s="251"/>
      <c r="Y251" s="251"/>
      <c r="Z251" s="251"/>
    </row>
    <row r="252">
      <c r="A252" s="250"/>
      <c r="B252" s="251"/>
      <c r="C252" s="251" t="s">
        <v>39</v>
      </c>
      <c r="D252" s="252" t="s">
        <v>39</v>
      </c>
      <c r="E252" s="252" t="s">
        <v>39</v>
      </c>
      <c r="F252" s="252"/>
      <c r="G252" s="251"/>
      <c r="H252" s="251"/>
      <c r="I252" s="251"/>
      <c r="J252" s="251"/>
      <c r="K252" s="251"/>
      <c r="L252" s="251"/>
      <c r="M252" s="251"/>
      <c r="N252" s="21"/>
      <c r="O252" s="251"/>
      <c r="P252" s="252"/>
      <c r="Q252" s="253"/>
      <c r="R252" s="252"/>
      <c r="S252" s="251"/>
      <c r="T252" s="251"/>
      <c r="U252" s="251"/>
      <c r="V252" s="251"/>
      <c r="W252" s="251"/>
      <c r="X252" s="251"/>
      <c r="Y252" s="251"/>
      <c r="Z252" s="251"/>
    </row>
    <row r="253">
      <c r="A253" s="250"/>
      <c r="B253" s="251"/>
      <c r="C253" s="251" t="s">
        <v>39</v>
      </c>
      <c r="D253" s="252" t="s">
        <v>39</v>
      </c>
      <c r="E253" s="252" t="s">
        <v>39</v>
      </c>
      <c r="F253" s="252"/>
      <c r="G253" s="251"/>
      <c r="H253" s="251"/>
      <c r="I253" s="251"/>
      <c r="J253" s="251"/>
      <c r="K253" s="251"/>
      <c r="L253" s="251"/>
      <c r="M253" s="251"/>
      <c r="N253" s="21"/>
      <c r="O253" s="251"/>
      <c r="P253" s="252"/>
      <c r="Q253" s="253"/>
      <c r="R253" s="252"/>
      <c r="S253" s="251"/>
      <c r="T253" s="251"/>
      <c r="U253" s="251"/>
      <c r="V253" s="251"/>
      <c r="W253" s="251"/>
      <c r="X253" s="251"/>
      <c r="Y253" s="251"/>
      <c r="Z253" s="251"/>
    </row>
    <row r="254">
      <c r="A254" s="250"/>
      <c r="B254" s="251"/>
      <c r="C254" s="251" t="s">
        <v>39</v>
      </c>
      <c r="D254" s="252" t="s">
        <v>39</v>
      </c>
      <c r="E254" s="252" t="s">
        <v>39</v>
      </c>
      <c r="F254" s="252"/>
      <c r="G254" s="251"/>
      <c r="H254" s="251"/>
      <c r="I254" s="251"/>
      <c r="J254" s="251"/>
      <c r="K254" s="251"/>
      <c r="L254" s="251"/>
      <c r="M254" s="251"/>
      <c r="N254" s="21"/>
      <c r="O254" s="251"/>
      <c r="P254" s="252"/>
      <c r="Q254" s="253"/>
      <c r="R254" s="252"/>
      <c r="S254" s="251"/>
      <c r="T254" s="251"/>
      <c r="U254" s="251"/>
      <c r="V254" s="251"/>
      <c r="W254" s="251"/>
      <c r="X254" s="251"/>
      <c r="Y254" s="251"/>
      <c r="Z254" s="251"/>
    </row>
    <row r="255">
      <c r="A255" s="250"/>
      <c r="B255" s="251"/>
      <c r="C255" s="251" t="s">
        <v>39</v>
      </c>
      <c r="D255" s="252" t="s">
        <v>39</v>
      </c>
      <c r="E255" s="252" t="s">
        <v>39</v>
      </c>
      <c r="F255" s="252"/>
      <c r="G255" s="251"/>
      <c r="H255" s="251"/>
      <c r="I255" s="251"/>
      <c r="J255" s="251"/>
      <c r="K255" s="251"/>
      <c r="L255" s="251"/>
      <c r="M255" s="251"/>
      <c r="N255" s="21"/>
      <c r="O255" s="251"/>
      <c r="P255" s="252"/>
      <c r="Q255" s="253"/>
      <c r="R255" s="252"/>
      <c r="S255" s="251"/>
      <c r="T255" s="251"/>
      <c r="U255" s="251"/>
      <c r="V255" s="251"/>
      <c r="W255" s="251"/>
      <c r="X255" s="251"/>
      <c r="Y255" s="251"/>
      <c r="Z255" s="251"/>
    </row>
    <row r="256">
      <c r="A256" s="250"/>
      <c r="B256" s="251"/>
      <c r="C256" s="251" t="s">
        <v>39</v>
      </c>
      <c r="D256" s="252" t="s">
        <v>39</v>
      </c>
      <c r="E256" s="252" t="s">
        <v>39</v>
      </c>
      <c r="F256" s="252"/>
      <c r="G256" s="251"/>
      <c r="H256" s="251"/>
      <c r="I256" s="251"/>
      <c r="J256" s="251"/>
      <c r="K256" s="251"/>
      <c r="L256" s="251"/>
      <c r="M256" s="251"/>
      <c r="N256" s="21"/>
      <c r="O256" s="251"/>
      <c r="P256" s="252"/>
      <c r="Q256" s="253"/>
      <c r="R256" s="252"/>
      <c r="S256" s="251"/>
      <c r="T256" s="251"/>
      <c r="U256" s="251"/>
      <c r="V256" s="251"/>
      <c r="W256" s="251"/>
      <c r="X256" s="251"/>
      <c r="Y256" s="251"/>
      <c r="Z256" s="251"/>
    </row>
    <row r="257">
      <c r="A257" s="250"/>
      <c r="B257" s="251"/>
      <c r="C257" s="251" t="s">
        <v>39</v>
      </c>
      <c r="D257" s="252" t="s">
        <v>39</v>
      </c>
      <c r="E257" s="252" t="s">
        <v>39</v>
      </c>
      <c r="F257" s="252"/>
      <c r="G257" s="251"/>
      <c r="H257" s="251"/>
      <c r="I257" s="251"/>
      <c r="J257" s="251"/>
      <c r="K257" s="251"/>
      <c r="L257" s="251"/>
      <c r="M257" s="251"/>
      <c r="N257" s="21"/>
      <c r="O257" s="251"/>
      <c r="P257" s="252"/>
      <c r="Q257" s="253"/>
      <c r="R257" s="252"/>
      <c r="S257" s="251"/>
      <c r="T257" s="251"/>
      <c r="U257" s="251"/>
      <c r="V257" s="251"/>
      <c r="W257" s="251"/>
      <c r="X257" s="251"/>
      <c r="Y257" s="251"/>
      <c r="Z257" s="251"/>
    </row>
    <row r="258">
      <c r="A258" s="250"/>
      <c r="B258" s="251"/>
      <c r="C258" s="251" t="s">
        <v>39</v>
      </c>
      <c r="D258" s="252" t="s">
        <v>39</v>
      </c>
      <c r="E258" s="252" t="s">
        <v>39</v>
      </c>
      <c r="F258" s="252"/>
      <c r="G258" s="251"/>
      <c r="H258" s="251"/>
      <c r="I258" s="251"/>
      <c r="J258" s="251"/>
      <c r="K258" s="251"/>
      <c r="L258" s="251"/>
      <c r="M258" s="251"/>
      <c r="N258" s="21"/>
      <c r="O258" s="251"/>
      <c r="P258" s="252"/>
      <c r="Q258" s="253"/>
      <c r="R258" s="252"/>
      <c r="S258" s="251"/>
      <c r="T258" s="251"/>
      <c r="U258" s="251"/>
      <c r="V258" s="251"/>
      <c r="W258" s="251"/>
      <c r="X258" s="251"/>
      <c r="Y258" s="251"/>
      <c r="Z258" s="251"/>
    </row>
    <row r="259">
      <c r="A259" s="250"/>
      <c r="B259" s="251"/>
      <c r="C259" s="251" t="s">
        <v>39</v>
      </c>
      <c r="D259" s="252" t="s">
        <v>39</v>
      </c>
      <c r="E259" s="252" t="s">
        <v>39</v>
      </c>
      <c r="F259" s="252"/>
      <c r="G259" s="251"/>
      <c r="H259" s="251"/>
      <c r="I259" s="251"/>
      <c r="J259" s="251"/>
      <c r="K259" s="251"/>
      <c r="L259" s="251"/>
      <c r="M259" s="251"/>
      <c r="N259" s="21"/>
      <c r="O259" s="251"/>
      <c r="P259" s="252"/>
      <c r="Q259" s="253"/>
      <c r="R259" s="252"/>
      <c r="S259" s="251"/>
      <c r="T259" s="251"/>
      <c r="U259" s="251"/>
      <c r="V259" s="251"/>
      <c r="W259" s="251"/>
      <c r="X259" s="251"/>
      <c r="Y259" s="251"/>
      <c r="Z259" s="251"/>
    </row>
    <row r="260">
      <c r="A260" s="250"/>
      <c r="B260" s="251"/>
      <c r="C260" s="251" t="s">
        <v>39</v>
      </c>
      <c r="D260" s="252" t="s">
        <v>39</v>
      </c>
      <c r="E260" s="252" t="s">
        <v>39</v>
      </c>
      <c r="F260" s="252"/>
      <c r="G260" s="251"/>
      <c r="H260" s="251"/>
      <c r="I260" s="251"/>
      <c r="J260" s="251"/>
      <c r="K260" s="251"/>
      <c r="L260" s="251"/>
      <c r="M260" s="251"/>
      <c r="N260" s="21"/>
      <c r="O260" s="251"/>
      <c r="P260" s="252"/>
      <c r="Q260" s="253"/>
      <c r="R260" s="252"/>
      <c r="S260" s="251"/>
      <c r="T260" s="251"/>
      <c r="U260" s="251"/>
      <c r="V260" s="251"/>
      <c r="W260" s="251"/>
      <c r="X260" s="251"/>
      <c r="Y260" s="251"/>
      <c r="Z260" s="251"/>
    </row>
    <row r="261">
      <c r="A261" s="250"/>
      <c r="B261" s="251"/>
      <c r="C261" s="251" t="s">
        <v>39</v>
      </c>
      <c r="D261" s="252" t="s">
        <v>39</v>
      </c>
      <c r="E261" s="252" t="s">
        <v>39</v>
      </c>
      <c r="F261" s="252"/>
      <c r="G261" s="251"/>
      <c r="H261" s="251"/>
      <c r="I261" s="251"/>
      <c r="J261" s="251"/>
      <c r="K261" s="251"/>
      <c r="L261" s="251"/>
      <c r="M261" s="251"/>
      <c r="N261" s="21"/>
      <c r="O261" s="251"/>
      <c r="P261" s="252"/>
      <c r="Q261" s="253"/>
      <c r="R261" s="252"/>
      <c r="S261" s="251"/>
      <c r="T261" s="251"/>
      <c r="U261" s="251"/>
      <c r="V261" s="251"/>
      <c r="W261" s="251"/>
      <c r="X261" s="251"/>
      <c r="Y261" s="251"/>
      <c r="Z261" s="251"/>
    </row>
    <row r="262">
      <c r="A262" s="250"/>
      <c r="B262" s="251"/>
      <c r="C262" s="251" t="s">
        <v>39</v>
      </c>
      <c r="D262" s="252" t="s">
        <v>39</v>
      </c>
      <c r="E262" s="252" t="s">
        <v>39</v>
      </c>
      <c r="F262" s="252"/>
      <c r="G262" s="251"/>
      <c r="H262" s="251"/>
      <c r="I262" s="251"/>
      <c r="J262" s="251"/>
      <c r="K262" s="251"/>
      <c r="L262" s="251"/>
      <c r="M262" s="251"/>
      <c r="N262" s="21"/>
      <c r="O262" s="251"/>
      <c r="P262" s="252"/>
      <c r="Q262" s="253"/>
      <c r="R262" s="252"/>
      <c r="S262" s="251"/>
      <c r="T262" s="251"/>
      <c r="U262" s="251"/>
      <c r="V262" s="251"/>
      <c r="W262" s="251"/>
      <c r="X262" s="251"/>
      <c r="Y262" s="251"/>
      <c r="Z262" s="251"/>
    </row>
    <row r="263">
      <c r="A263" s="250"/>
      <c r="B263" s="251"/>
      <c r="C263" s="251" t="s">
        <v>39</v>
      </c>
      <c r="D263" s="252" t="s">
        <v>39</v>
      </c>
      <c r="E263" s="252" t="s">
        <v>39</v>
      </c>
      <c r="F263" s="252"/>
      <c r="G263" s="251"/>
      <c r="H263" s="251"/>
      <c r="I263" s="251"/>
      <c r="J263" s="251"/>
      <c r="K263" s="251"/>
      <c r="L263" s="251"/>
      <c r="M263" s="251"/>
      <c r="N263" s="21"/>
      <c r="O263" s="251"/>
      <c r="P263" s="252"/>
      <c r="Q263" s="253"/>
      <c r="R263" s="252"/>
      <c r="S263" s="251"/>
      <c r="T263" s="251"/>
      <c r="U263" s="251"/>
      <c r="V263" s="251"/>
      <c r="W263" s="251"/>
      <c r="X263" s="251"/>
      <c r="Y263" s="251"/>
      <c r="Z263" s="251"/>
    </row>
    <row r="264">
      <c r="A264" s="250"/>
      <c r="B264" s="251"/>
      <c r="C264" s="251" t="s">
        <v>39</v>
      </c>
      <c r="D264" s="252" t="s">
        <v>39</v>
      </c>
      <c r="E264" s="252" t="s">
        <v>39</v>
      </c>
      <c r="F264" s="252"/>
      <c r="G264" s="251"/>
      <c r="H264" s="251"/>
      <c r="I264" s="251"/>
      <c r="J264" s="251"/>
      <c r="K264" s="251"/>
      <c r="L264" s="251"/>
      <c r="M264" s="251"/>
      <c r="N264" s="21"/>
      <c r="O264" s="251"/>
      <c r="P264" s="252"/>
      <c r="Q264" s="253"/>
      <c r="R264" s="252"/>
      <c r="S264" s="251"/>
      <c r="T264" s="251"/>
      <c r="U264" s="251"/>
      <c r="V264" s="251"/>
      <c r="W264" s="251"/>
      <c r="X264" s="251"/>
      <c r="Y264" s="251"/>
      <c r="Z264" s="251"/>
    </row>
    <row r="265">
      <c r="A265" s="250"/>
      <c r="B265" s="251"/>
      <c r="C265" s="251" t="s">
        <v>39</v>
      </c>
      <c r="D265" s="252" t="s">
        <v>39</v>
      </c>
      <c r="E265" s="252" t="s">
        <v>39</v>
      </c>
      <c r="F265" s="252"/>
      <c r="G265" s="251"/>
      <c r="H265" s="251"/>
      <c r="I265" s="251"/>
      <c r="J265" s="251"/>
      <c r="K265" s="251"/>
      <c r="L265" s="251"/>
      <c r="M265" s="251"/>
      <c r="N265" s="21"/>
      <c r="O265" s="251"/>
      <c r="P265" s="252"/>
      <c r="Q265" s="253"/>
      <c r="R265" s="252"/>
      <c r="S265" s="251"/>
      <c r="T265" s="251"/>
      <c r="U265" s="251"/>
      <c r="V265" s="251"/>
      <c r="W265" s="251"/>
      <c r="X265" s="251"/>
      <c r="Y265" s="251"/>
      <c r="Z265" s="251"/>
    </row>
    <row r="266">
      <c r="A266" s="250"/>
      <c r="B266" s="251"/>
      <c r="C266" s="251" t="s">
        <v>39</v>
      </c>
      <c r="D266" s="252" t="s">
        <v>39</v>
      </c>
      <c r="E266" s="252" t="s">
        <v>39</v>
      </c>
      <c r="F266" s="252"/>
      <c r="G266" s="251"/>
      <c r="H266" s="251"/>
      <c r="I266" s="251"/>
      <c r="J266" s="251"/>
      <c r="K266" s="251"/>
      <c r="L266" s="251"/>
      <c r="M266" s="251"/>
      <c r="N266" s="21"/>
      <c r="O266" s="251"/>
      <c r="P266" s="252"/>
      <c r="Q266" s="253"/>
      <c r="R266" s="252"/>
      <c r="S266" s="251"/>
      <c r="T266" s="251"/>
      <c r="U266" s="251"/>
      <c r="V266" s="251"/>
      <c r="W266" s="251"/>
      <c r="X266" s="251"/>
      <c r="Y266" s="251"/>
      <c r="Z266" s="251"/>
    </row>
    <row r="267">
      <c r="A267" s="250"/>
      <c r="B267" s="251"/>
      <c r="C267" s="251" t="s">
        <v>39</v>
      </c>
      <c r="D267" s="252" t="s">
        <v>39</v>
      </c>
      <c r="E267" s="252" t="s">
        <v>39</v>
      </c>
      <c r="F267" s="252"/>
      <c r="G267" s="251"/>
      <c r="H267" s="251"/>
      <c r="I267" s="251"/>
      <c r="J267" s="251"/>
      <c r="K267" s="251"/>
      <c r="L267" s="251"/>
      <c r="M267" s="251"/>
      <c r="N267" s="21"/>
      <c r="O267" s="251"/>
      <c r="P267" s="252"/>
      <c r="Q267" s="253"/>
      <c r="R267" s="252"/>
      <c r="S267" s="251"/>
      <c r="T267" s="251"/>
      <c r="U267" s="251"/>
      <c r="V267" s="251"/>
      <c r="W267" s="251"/>
      <c r="X267" s="251"/>
      <c r="Y267" s="251"/>
      <c r="Z267" s="251"/>
    </row>
    <row r="268">
      <c r="A268" s="250"/>
      <c r="B268" s="251"/>
      <c r="C268" s="251" t="s">
        <v>39</v>
      </c>
      <c r="D268" s="252" t="s">
        <v>39</v>
      </c>
      <c r="E268" s="252" t="s">
        <v>39</v>
      </c>
      <c r="F268" s="252"/>
      <c r="G268" s="251"/>
      <c r="H268" s="251"/>
      <c r="I268" s="251"/>
      <c r="J268" s="251"/>
      <c r="K268" s="251"/>
      <c r="L268" s="251"/>
      <c r="M268" s="251"/>
      <c r="N268" s="21"/>
      <c r="O268" s="251"/>
      <c r="P268" s="252"/>
      <c r="Q268" s="253"/>
      <c r="R268" s="252"/>
      <c r="S268" s="251"/>
      <c r="T268" s="251"/>
      <c r="U268" s="251"/>
      <c r="V268" s="251"/>
      <c r="W268" s="251"/>
      <c r="X268" s="251"/>
      <c r="Y268" s="251"/>
      <c r="Z268" s="251"/>
    </row>
    <row r="269">
      <c r="A269" s="250"/>
      <c r="B269" s="251"/>
      <c r="C269" s="251" t="s">
        <v>39</v>
      </c>
      <c r="D269" s="252" t="s">
        <v>39</v>
      </c>
      <c r="E269" s="252" t="s">
        <v>39</v>
      </c>
      <c r="F269" s="252"/>
      <c r="G269" s="251"/>
      <c r="H269" s="251"/>
      <c r="I269" s="251"/>
      <c r="J269" s="251"/>
      <c r="K269" s="251"/>
      <c r="L269" s="251"/>
      <c r="M269" s="251"/>
      <c r="N269" s="21"/>
      <c r="O269" s="251"/>
      <c r="P269" s="252"/>
      <c r="Q269" s="253"/>
      <c r="R269" s="252"/>
      <c r="S269" s="251"/>
      <c r="T269" s="251"/>
      <c r="U269" s="251"/>
      <c r="V269" s="251"/>
      <c r="W269" s="251"/>
      <c r="X269" s="251"/>
      <c r="Y269" s="251"/>
      <c r="Z269" s="251"/>
    </row>
    <row r="270">
      <c r="A270" s="250"/>
      <c r="B270" s="251"/>
      <c r="C270" s="251" t="s">
        <v>39</v>
      </c>
      <c r="D270" s="252" t="s">
        <v>39</v>
      </c>
      <c r="E270" s="252" t="s">
        <v>39</v>
      </c>
      <c r="F270" s="252"/>
      <c r="G270" s="251"/>
      <c r="H270" s="251"/>
      <c r="I270" s="251"/>
      <c r="J270" s="251"/>
      <c r="K270" s="251"/>
      <c r="L270" s="251"/>
      <c r="M270" s="251"/>
      <c r="N270" s="21"/>
      <c r="O270" s="251"/>
      <c r="P270" s="252"/>
      <c r="Q270" s="253"/>
      <c r="R270" s="252"/>
      <c r="S270" s="251"/>
      <c r="T270" s="251"/>
      <c r="U270" s="251"/>
      <c r="V270" s="251"/>
      <c r="W270" s="251"/>
      <c r="X270" s="251"/>
      <c r="Y270" s="251"/>
      <c r="Z270" s="251"/>
    </row>
    <row r="271">
      <c r="A271" s="250"/>
      <c r="B271" s="251"/>
      <c r="C271" s="251" t="s">
        <v>39</v>
      </c>
      <c r="D271" s="252" t="s">
        <v>39</v>
      </c>
      <c r="E271" s="252" t="s">
        <v>39</v>
      </c>
      <c r="F271" s="252"/>
      <c r="G271" s="251"/>
      <c r="H271" s="251"/>
      <c r="I271" s="251"/>
      <c r="J271" s="251"/>
      <c r="K271" s="251"/>
      <c r="L271" s="251"/>
      <c r="M271" s="251"/>
      <c r="N271" s="21"/>
      <c r="O271" s="251"/>
      <c r="P271" s="252"/>
      <c r="Q271" s="253"/>
      <c r="R271" s="252"/>
      <c r="S271" s="251"/>
      <c r="T271" s="251"/>
      <c r="U271" s="251"/>
      <c r="V271" s="251"/>
      <c r="W271" s="251"/>
      <c r="X271" s="251"/>
      <c r="Y271" s="251"/>
      <c r="Z271" s="251"/>
    </row>
    <row r="272">
      <c r="A272" s="250"/>
      <c r="B272" s="251"/>
      <c r="C272" s="251" t="s">
        <v>39</v>
      </c>
      <c r="D272" s="252" t="s">
        <v>39</v>
      </c>
      <c r="E272" s="252" t="s">
        <v>39</v>
      </c>
      <c r="F272" s="252"/>
      <c r="G272" s="251"/>
      <c r="H272" s="251"/>
      <c r="I272" s="251"/>
      <c r="J272" s="251"/>
      <c r="K272" s="251"/>
      <c r="L272" s="251"/>
      <c r="M272" s="251"/>
      <c r="N272" s="21"/>
      <c r="O272" s="251"/>
      <c r="P272" s="252"/>
      <c r="Q272" s="253"/>
      <c r="R272" s="252"/>
      <c r="S272" s="251"/>
      <c r="T272" s="251"/>
      <c r="U272" s="251"/>
      <c r="V272" s="251"/>
      <c r="W272" s="251"/>
      <c r="X272" s="251"/>
      <c r="Y272" s="251"/>
      <c r="Z272" s="251"/>
    </row>
    <row r="273">
      <c r="A273" s="250"/>
      <c r="B273" s="251"/>
      <c r="C273" s="251" t="s">
        <v>39</v>
      </c>
      <c r="D273" s="252" t="s">
        <v>39</v>
      </c>
      <c r="E273" s="252" t="s">
        <v>39</v>
      </c>
      <c r="F273" s="252"/>
      <c r="G273" s="251"/>
      <c r="H273" s="251"/>
      <c r="I273" s="251"/>
      <c r="J273" s="251"/>
      <c r="K273" s="251"/>
      <c r="L273" s="251"/>
      <c r="M273" s="251"/>
      <c r="N273" s="21"/>
      <c r="O273" s="251"/>
      <c r="P273" s="252"/>
      <c r="Q273" s="253"/>
      <c r="R273" s="252"/>
      <c r="S273" s="251"/>
      <c r="T273" s="251"/>
      <c r="U273" s="251"/>
      <c r="V273" s="251"/>
      <c r="W273" s="251"/>
      <c r="X273" s="251"/>
      <c r="Y273" s="251"/>
      <c r="Z273" s="251"/>
    </row>
    <row r="274">
      <c r="A274" s="250"/>
      <c r="B274" s="251"/>
      <c r="C274" s="251" t="s">
        <v>39</v>
      </c>
      <c r="D274" s="252" t="s">
        <v>39</v>
      </c>
      <c r="E274" s="252" t="s">
        <v>39</v>
      </c>
      <c r="F274" s="252"/>
      <c r="G274" s="251"/>
      <c r="H274" s="251"/>
      <c r="I274" s="251"/>
      <c r="J274" s="251"/>
      <c r="K274" s="251"/>
      <c r="L274" s="251"/>
      <c r="M274" s="251"/>
      <c r="N274" s="21"/>
      <c r="O274" s="251"/>
      <c r="P274" s="252"/>
      <c r="Q274" s="253"/>
      <c r="R274" s="252"/>
      <c r="S274" s="251"/>
      <c r="T274" s="251"/>
      <c r="U274" s="251"/>
      <c r="V274" s="251"/>
      <c r="W274" s="251"/>
      <c r="X274" s="251"/>
      <c r="Y274" s="251"/>
      <c r="Z274" s="251"/>
    </row>
    <row r="275">
      <c r="A275" s="250"/>
      <c r="B275" s="251"/>
      <c r="C275" s="251" t="s">
        <v>39</v>
      </c>
      <c r="D275" s="252" t="s">
        <v>39</v>
      </c>
      <c r="E275" s="252" t="s">
        <v>39</v>
      </c>
      <c r="F275" s="252"/>
      <c r="G275" s="251"/>
      <c r="H275" s="251"/>
      <c r="I275" s="251"/>
      <c r="J275" s="251"/>
      <c r="K275" s="251"/>
      <c r="L275" s="251"/>
      <c r="M275" s="251"/>
      <c r="N275" s="21"/>
      <c r="O275" s="251"/>
      <c r="P275" s="252"/>
      <c r="Q275" s="253"/>
      <c r="R275" s="252"/>
      <c r="S275" s="251"/>
      <c r="T275" s="251"/>
      <c r="U275" s="251"/>
      <c r="V275" s="251"/>
      <c r="W275" s="251"/>
      <c r="X275" s="251"/>
      <c r="Y275" s="251"/>
      <c r="Z275" s="251"/>
    </row>
    <row r="276">
      <c r="A276" s="250"/>
      <c r="B276" s="251"/>
      <c r="C276" s="251" t="s">
        <v>39</v>
      </c>
      <c r="D276" s="252" t="s">
        <v>39</v>
      </c>
      <c r="E276" s="252" t="s">
        <v>39</v>
      </c>
      <c r="F276" s="252"/>
      <c r="G276" s="251"/>
      <c r="H276" s="251"/>
      <c r="I276" s="251"/>
      <c r="J276" s="251"/>
      <c r="K276" s="251"/>
      <c r="L276" s="251"/>
      <c r="M276" s="251"/>
      <c r="N276" s="21"/>
      <c r="O276" s="251"/>
      <c r="P276" s="252"/>
      <c r="Q276" s="253"/>
      <c r="R276" s="252"/>
      <c r="S276" s="251"/>
      <c r="T276" s="251"/>
      <c r="U276" s="251"/>
      <c r="V276" s="251"/>
      <c r="W276" s="251"/>
      <c r="X276" s="251"/>
      <c r="Y276" s="251"/>
      <c r="Z276" s="251"/>
    </row>
    <row r="277">
      <c r="A277" s="250"/>
      <c r="B277" s="251"/>
      <c r="C277" s="251" t="s">
        <v>39</v>
      </c>
      <c r="D277" s="252" t="s">
        <v>39</v>
      </c>
      <c r="E277" s="252" t="s">
        <v>39</v>
      </c>
      <c r="F277" s="252"/>
      <c r="G277" s="251"/>
      <c r="H277" s="251"/>
      <c r="I277" s="251"/>
      <c r="J277" s="251"/>
      <c r="K277" s="251"/>
      <c r="L277" s="251"/>
      <c r="M277" s="251"/>
      <c r="N277" s="21"/>
      <c r="O277" s="251"/>
      <c r="P277" s="252"/>
      <c r="Q277" s="253"/>
      <c r="R277" s="252"/>
      <c r="S277" s="251"/>
      <c r="T277" s="251"/>
      <c r="U277" s="251"/>
      <c r="V277" s="251"/>
      <c r="W277" s="251"/>
      <c r="X277" s="251"/>
      <c r="Y277" s="251"/>
      <c r="Z277" s="251"/>
    </row>
    <row r="278">
      <c r="A278" s="250"/>
      <c r="B278" s="251"/>
      <c r="C278" s="251" t="s">
        <v>39</v>
      </c>
      <c r="D278" s="252" t="s">
        <v>39</v>
      </c>
      <c r="E278" s="252" t="s">
        <v>39</v>
      </c>
      <c r="F278" s="252"/>
      <c r="G278" s="251"/>
      <c r="H278" s="251"/>
      <c r="I278" s="251"/>
      <c r="J278" s="251"/>
      <c r="K278" s="251"/>
      <c r="L278" s="251"/>
      <c r="M278" s="251"/>
      <c r="N278" s="21"/>
      <c r="O278" s="251"/>
      <c r="P278" s="252"/>
      <c r="Q278" s="253"/>
      <c r="R278" s="252"/>
      <c r="S278" s="251"/>
      <c r="T278" s="251"/>
      <c r="U278" s="251"/>
      <c r="V278" s="251"/>
      <c r="W278" s="251"/>
      <c r="X278" s="251"/>
      <c r="Y278" s="251"/>
      <c r="Z278" s="251"/>
    </row>
    <row r="279">
      <c r="A279" s="250"/>
      <c r="B279" s="251"/>
      <c r="C279" s="251" t="s">
        <v>39</v>
      </c>
      <c r="D279" s="252" t="s">
        <v>39</v>
      </c>
      <c r="E279" s="252" t="s">
        <v>39</v>
      </c>
      <c r="F279" s="252"/>
      <c r="G279" s="251"/>
      <c r="H279" s="251"/>
      <c r="I279" s="251"/>
      <c r="J279" s="251"/>
      <c r="K279" s="251"/>
      <c r="L279" s="251"/>
      <c r="M279" s="251"/>
      <c r="N279" s="21"/>
      <c r="O279" s="251"/>
      <c r="P279" s="252"/>
      <c r="Q279" s="253"/>
      <c r="R279" s="252"/>
      <c r="S279" s="251"/>
      <c r="T279" s="251"/>
      <c r="U279" s="251"/>
      <c r="V279" s="251"/>
      <c r="W279" s="251"/>
      <c r="X279" s="251"/>
      <c r="Y279" s="251"/>
      <c r="Z279" s="251"/>
    </row>
    <row r="280">
      <c r="A280" s="250"/>
      <c r="B280" s="251"/>
      <c r="C280" s="251" t="s">
        <v>39</v>
      </c>
      <c r="D280" s="252" t="s">
        <v>39</v>
      </c>
      <c r="E280" s="252" t="s">
        <v>39</v>
      </c>
      <c r="F280" s="252"/>
      <c r="G280" s="251"/>
      <c r="H280" s="251"/>
      <c r="I280" s="251"/>
      <c r="J280" s="251"/>
      <c r="K280" s="251"/>
      <c r="L280" s="251"/>
      <c r="M280" s="251"/>
      <c r="N280" s="21"/>
      <c r="O280" s="251"/>
      <c r="P280" s="252"/>
      <c r="Q280" s="253"/>
      <c r="R280" s="252"/>
      <c r="S280" s="251"/>
      <c r="T280" s="251"/>
      <c r="U280" s="251"/>
      <c r="V280" s="251"/>
      <c r="W280" s="251"/>
      <c r="X280" s="251"/>
      <c r="Y280" s="251"/>
      <c r="Z280" s="251"/>
    </row>
    <row r="281">
      <c r="A281" s="250"/>
      <c r="B281" s="251"/>
      <c r="C281" s="251" t="s">
        <v>39</v>
      </c>
      <c r="D281" s="252" t="s">
        <v>39</v>
      </c>
      <c r="E281" s="252" t="s">
        <v>39</v>
      </c>
      <c r="F281" s="252"/>
      <c r="G281" s="251"/>
      <c r="H281" s="251"/>
      <c r="I281" s="251"/>
      <c r="J281" s="251"/>
      <c r="K281" s="251"/>
      <c r="L281" s="251"/>
      <c r="M281" s="251"/>
      <c r="N281" s="21"/>
      <c r="O281" s="251"/>
      <c r="P281" s="252"/>
      <c r="Q281" s="253"/>
      <c r="R281" s="252"/>
      <c r="S281" s="251"/>
      <c r="T281" s="251"/>
      <c r="U281" s="251"/>
      <c r="V281" s="251"/>
      <c r="W281" s="251"/>
      <c r="X281" s="251"/>
      <c r="Y281" s="251"/>
      <c r="Z281" s="251"/>
    </row>
    <row r="282">
      <c r="A282" s="250"/>
      <c r="B282" s="251"/>
      <c r="C282" s="251" t="s">
        <v>39</v>
      </c>
      <c r="D282" s="252" t="s">
        <v>39</v>
      </c>
      <c r="E282" s="252" t="s">
        <v>39</v>
      </c>
      <c r="F282" s="252"/>
      <c r="G282" s="251"/>
      <c r="H282" s="251"/>
      <c r="I282" s="251"/>
      <c r="J282" s="251"/>
      <c r="K282" s="251"/>
      <c r="L282" s="251"/>
      <c r="M282" s="251"/>
      <c r="N282" s="21"/>
      <c r="O282" s="251"/>
      <c r="P282" s="252"/>
      <c r="Q282" s="253"/>
      <c r="R282" s="252"/>
      <c r="S282" s="251"/>
      <c r="T282" s="251"/>
      <c r="U282" s="251"/>
      <c r="V282" s="251"/>
      <c r="W282" s="251"/>
      <c r="X282" s="251"/>
      <c r="Y282" s="251"/>
      <c r="Z282" s="251"/>
    </row>
    <row r="283">
      <c r="A283" s="250"/>
      <c r="B283" s="251"/>
      <c r="C283" s="251" t="s">
        <v>39</v>
      </c>
      <c r="D283" s="252" t="s">
        <v>39</v>
      </c>
      <c r="E283" s="252" t="s">
        <v>39</v>
      </c>
      <c r="F283" s="252"/>
      <c r="G283" s="251"/>
      <c r="H283" s="251"/>
      <c r="I283" s="251"/>
      <c r="J283" s="251"/>
      <c r="K283" s="251"/>
      <c r="L283" s="251"/>
      <c r="M283" s="251"/>
      <c r="N283" s="21"/>
      <c r="O283" s="251"/>
      <c r="P283" s="252"/>
      <c r="Q283" s="253"/>
      <c r="R283" s="252"/>
      <c r="S283" s="251"/>
      <c r="T283" s="251"/>
      <c r="U283" s="251"/>
      <c r="V283" s="251"/>
      <c r="W283" s="251"/>
      <c r="X283" s="251"/>
      <c r="Y283" s="251"/>
      <c r="Z283" s="251"/>
    </row>
    <row r="284">
      <c r="A284" s="250"/>
      <c r="B284" s="251"/>
      <c r="C284" s="251" t="s">
        <v>39</v>
      </c>
      <c r="D284" s="252" t="s">
        <v>39</v>
      </c>
      <c r="E284" s="252" t="s">
        <v>39</v>
      </c>
      <c r="F284" s="252"/>
      <c r="G284" s="251"/>
      <c r="H284" s="251"/>
      <c r="I284" s="251"/>
      <c r="J284" s="251"/>
      <c r="K284" s="251"/>
      <c r="L284" s="251"/>
      <c r="M284" s="251"/>
      <c r="N284" s="21"/>
      <c r="O284" s="251"/>
      <c r="P284" s="252"/>
      <c r="Q284" s="253"/>
      <c r="R284" s="252"/>
      <c r="S284" s="251"/>
      <c r="T284" s="251"/>
      <c r="U284" s="251"/>
      <c r="V284" s="251"/>
      <c r="W284" s="251"/>
      <c r="X284" s="251"/>
      <c r="Y284" s="251"/>
      <c r="Z284" s="251"/>
    </row>
    <row r="285">
      <c r="A285" s="250"/>
      <c r="B285" s="251"/>
      <c r="C285" s="251" t="s">
        <v>39</v>
      </c>
      <c r="D285" s="252" t="s">
        <v>39</v>
      </c>
      <c r="E285" s="252" t="s">
        <v>39</v>
      </c>
      <c r="F285" s="252"/>
      <c r="G285" s="251"/>
      <c r="H285" s="251"/>
      <c r="I285" s="251"/>
      <c r="J285" s="251"/>
      <c r="K285" s="251"/>
      <c r="L285" s="251"/>
      <c r="M285" s="251"/>
      <c r="N285" s="21"/>
      <c r="O285" s="251"/>
      <c r="P285" s="252"/>
      <c r="Q285" s="253"/>
      <c r="R285" s="252"/>
      <c r="S285" s="251"/>
      <c r="T285" s="251"/>
      <c r="U285" s="251"/>
      <c r="V285" s="251"/>
      <c r="W285" s="251"/>
      <c r="X285" s="251"/>
      <c r="Y285" s="251"/>
      <c r="Z285" s="251"/>
    </row>
    <row r="286">
      <c r="A286" s="250"/>
      <c r="B286" s="251"/>
      <c r="C286" s="251" t="s">
        <v>39</v>
      </c>
      <c r="D286" s="252" t="s">
        <v>39</v>
      </c>
      <c r="E286" s="252" t="s">
        <v>39</v>
      </c>
      <c r="F286" s="252"/>
      <c r="G286" s="251"/>
      <c r="H286" s="251"/>
      <c r="I286" s="251"/>
      <c r="J286" s="251"/>
      <c r="K286" s="251"/>
      <c r="L286" s="251"/>
      <c r="M286" s="251"/>
      <c r="N286" s="21"/>
      <c r="O286" s="251"/>
      <c r="P286" s="252"/>
      <c r="Q286" s="253"/>
      <c r="R286" s="252"/>
      <c r="S286" s="251"/>
      <c r="T286" s="251"/>
      <c r="U286" s="251"/>
      <c r="V286" s="251"/>
      <c r="W286" s="251"/>
      <c r="X286" s="251"/>
      <c r="Y286" s="251"/>
      <c r="Z286" s="251"/>
    </row>
    <row r="287">
      <c r="A287" s="250"/>
      <c r="B287" s="251"/>
      <c r="C287" s="251" t="s">
        <v>39</v>
      </c>
      <c r="D287" s="252" t="s">
        <v>39</v>
      </c>
      <c r="E287" s="252" t="s">
        <v>39</v>
      </c>
      <c r="F287" s="252"/>
      <c r="G287" s="251"/>
      <c r="H287" s="251"/>
      <c r="I287" s="251"/>
      <c r="J287" s="251"/>
      <c r="K287" s="251"/>
      <c r="L287" s="251"/>
      <c r="M287" s="251"/>
      <c r="N287" s="21"/>
      <c r="O287" s="251"/>
      <c r="P287" s="252"/>
      <c r="Q287" s="253"/>
      <c r="R287" s="252"/>
      <c r="S287" s="251"/>
      <c r="T287" s="251"/>
      <c r="U287" s="251"/>
      <c r="V287" s="251"/>
      <c r="W287" s="251"/>
      <c r="X287" s="251"/>
      <c r="Y287" s="251"/>
      <c r="Z287" s="251"/>
    </row>
    <row r="288">
      <c r="A288" s="250"/>
      <c r="B288" s="251"/>
      <c r="C288" s="251" t="s">
        <v>39</v>
      </c>
      <c r="D288" s="252" t="s">
        <v>39</v>
      </c>
      <c r="E288" s="252" t="s">
        <v>39</v>
      </c>
      <c r="F288" s="252"/>
      <c r="G288" s="251"/>
      <c r="H288" s="251"/>
      <c r="I288" s="251"/>
      <c r="J288" s="251"/>
      <c r="K288" s="251"/>
      <c r="L288" s="251"/>
      <c r="M288" s="251"/>
      <c r="N288" s="21"/>
      <c r="O288" s="251"/>
      <c r="P288" s="252"/>
      <c r="Q288" s="253"/>
      <c r="R288" s="252"/>
      <c r="S288" s="251"/>
      <c r="T288" s="251"/>
      <c r="U288" s="251"/>
      <c r="V288" s="251"/>
      <c r="W288" s="251"/>
      <c r="X288" s="251"/>
      <c r="Y288" s="251"/>
      <c r="Z288" s="251"/>
    </row>
    <row r="289">
      <c r="A289" s="250"/>
      <c r="B289" s="251"/>
      <c r="C289" s="251" t="s">
        <v>39</v>
      </c>
      <c r="D289" s="252" t="s">
        <v>39</v>
      </c>
      <c r="E289" s="252" t="s">
        <v>39</v>
      </c>
      <c r="F289" s="252"/>
      <c r="G289" s="251"/>
      <c r="H289" s="251"/>
      <c r="I289" s="251"/>
      <c r="J289" s="251"/>
      <c r="K289" s="251"/>
      <c r="L289" s="251"/>
      <c r="M289" s="251"/>
      <c r="N289" s="21"/>
      <c r="O289" s="251"/>
      <c r="P289" s="252"/>
      <c r="Q289" s="253"/>
      <c r="R289" s="252"/>
      <c r="S289" s="251"/>
      <c r="T289" s="251"/>
      <c r="U289" s="251"/>
      <c r="V289" s="251"/>
      <c r="W289" s="251"/>
      <c r="X289" s="251"/>
      <c r="Y289" s="251"/>
      <c r="Z289" s="251"/>
    </row>
    <row r="290">
      <c r="A290" s="250"/>
      <c r="B290" s="251"/>
      <c r="C290" s="251" t="s">
        <v>39</v>
      </c>
      <c r="D290" s="252" t="s">
        <v>39</v>
      </c>
      <c r="E290" s="252" t="s">
        <v>39</v>
      </c>
      <c r="F290" s="252"/>
      <c r="G290" s="251"/>
      <c r="H290" s="251"/>
      <c r="I290" s="251"/>
      <c r="J290" s="251"/>
      <c r="K290" s="251"/>
      <c r="L290" s="251"/>
      <c r="M290" s="251"/>
      <c r="N290" s="21"/>
      <c r="O290" s="251"/>
      <c r="P290" s="252"/>
      <c r="Q290" s="253"/>
      <c r="R290" s="252"/>
      <c r="S290" s="251"/>
      <c r="T290" s="251"/>
      <c r="U290" s="251"/>
      <c r="V290" s="251"/>
      <c r="W290" s="251"/>
      <c r="X290" s="251"/>
      <c r="Y290" s="251"/>
      <c r="Z290" s="251"/>
    </row>
    <row r="291">
      <c r="A291" s="250"/>
      <c r="B291" s="251"/>
      <c r="C291" s="251" t="s">
        <v>39</v>
      </c>
      <c r="D291" s="252" t="s">
        <v>39</v>
      </c>
      <c r="E291" s="252" t="s">
        <v>39</v>
      </c>
      <c r="F291" s="252"/>
      <c r="G291" s="251"/>
      <c r="H291" s="251"/>
      <c r="I291" s="251"/>
      <c r="J291" s="251"/>
      <c r="K291" s="251"/>
      <c r="L291" s="251"/>
      <c r="M291" s="251"/>
      <c r="N291" s="21"/>
      <c r="O291" s="251"/>
      <c r="P291" s="252"/>
      <c r="Q291" s="253"/>
      <c r="R291" s="252"/>
      <c r="S291" s="251"/>
      <c r="T291" s="251"/>
      <c r="U291" s="251"/>
      <c r="V291" s="251"/>
      <c r="W291" s="251"/>
      <c r="X291" s="251"/>
      <c r="Y291" s="251"/>
      <c r="Z291" s="251"/>
    </row>
    <row r="292">
      <c r="A292" s="250"/>
      <c r="B292" s="251"/>
      <c r="C292" s="251" t="s">
        <v>39</v>
      </c>
      <c r="D292" s="252" t="s">
        <v>39</v>
      </c>
      <c r="E292" s="252" t="s">
        <v>39</v>
      </c>
      <c r="F292" s="252"/>
      <c r="G292" s="251"/>
      <c r="H292" s="251"/>
      <c r="I292" s="251"/>
      <c r="J292" s="251"/>
      <c r="K292" s="251"/>
      <c r="L292" s="251"/>
      <c r="M292" s="251"/>
      <c r="N292" s="21"/>
      <c r="O292" s="251"/>
      <c r="P292" s="252"/>
      <c r="Q292" s="253"/>
      <c r="R292" s="252"/>
      <c r="S292" s="251"/>
      <c r="T292" s="251"/>
      <c r="U292" s="251"/>
      <c r="V292" s="251"/>
      <c r="W292" s="251"/>
      <c r="X292" s="251"/>
      <c r="Y292" s="251"/>
      <c r="Z292" s="251"/>
    </row>
    <row r="293">
      <c r="A293" s="250"/>
      <c r="B293" s="251"/>
      <c r="C293" s="251" t="s">
        <v>39</v>
      </c>
      <c r="D293" s="252" t="s">
        <v>39</v>
      </c>
      <c r="E293" s="252" t="s">
        <v>39</v>
      </c>
      <c r="F293" s="252"/>
      <c r="G293" s="251"/>
      <c r="H293" s="251"/>
      <c r="I293" s="251"/>
      <c r="J293" s="251"/>
      <c r="K293" s="251"/>
      <c r="L293" s="251"/>
      <c r="M293" s="251"/>
      <c r="N293" s="21"/>
      <c r="O293" s="251"/>
      <c r="P293" s="252"/>
      <c r="Q293" s="253"/>
      <c r="R293" s="252"/>
      <c r="S293" s="251"/>
      <c r="T293" s="251"/>
      <c r="U293" s="251"/>
      <c r="V293" s="251"/>
      <c r="W293" s="251"/>
      <c r="X293" s="251"/>
      <c r="Y293" s="251"/>
      <c r="Z293" s="251"/>
    </row>
    <row r="294">
      <c r="A294" s="250"/>
      <c r="B294" s="251"/>
      <c r="C294" s="251" t="s">
        <v>39</v>
      </c>
      <c r="D294" s="252" t="s">
        <v>39</v>
      </c>
      <c r="E294" s="252" t="s">
        <v>39</v>
      </c>
      <c r="F294" s="252"/>
      <c r="G294" s="251"/>
      <c r="H294" s="251"/>
      <c r="I294" s="251"/>
      <c r="J294" s="251"/>
      <c r="K294" s="251"/>
      <c r="L294" s="251"/>
      <c r="M294" s="251"/>
      <c r="N294" s="21"/>
      <c r="O294" s="251"/>
      <c r="P294" s="252"/>
      <c r="Q294" s="253"/>
      <c r="R294" s="252"/>
      <c r="S294" s="251"/>
      <c r="T294" s="251"/>
      <c r="U294" s="251"/>
      <c r="V294" s="251"/>
      <c r="W294" s="251"/>
      <c r="X294" s="251"/>
      <c r="Y294" s="251"/>
      <c r="Z294" s="251"/>
    </row>
    <row r="295">
      <c r="A295" s="250"/>
      <c r="B295" s="251"/>
      <c r="C295" s="251" t="s">
        <v>39</v>
      </c>
      <c r="D295" s="252" t="s">
        <v>39</v>
      </c>
      <c r="E295" s="252" t="s">
        <v>39</v>
      </c>
      <c r="F295" s="252"/>
      <c r="G295" s="251"/>
      <c r="H295" s="251"/>
      <c r="I295" s="251"/>
      <c r="J295" s="251"/>
      <c r="K295" s="251"/>
      <c r="L295" s="251"/>
      <c r="M295" s="251"/>
      <c r="N295" s="21"/>
      <c r="O295" s="251"/>
      <c r="P295" s="252"/>
      <c r="Q295" s="253"/>
      <c r="R295" s="252"/>
      <c r="S295" s="251"/>
      <c r="T295" s="251"/>
      <c r="U295" s="251"/>
      <c r="V295" s="251"/>
      <c r="W295" s="251"/>
      <c r="X295" s="251"/>
      <c r="Y295" s="251"/>
      <c r="Z295" s="251"/>
    </row>
    <row r="296">
      <c r="A296" s="250"/>
      <c r="B296" s="251"/>
      <c r="C296" s="251" t="s">
        <v>39</v>
      </c>
      <c r="D296" s="252" t="s">
        <v>39</v>
      </c>
      <c r="E296" s="252" t="s">
        <v>39</v>
      </c>
      <c r="F296" s="252"/>
      <c r="G296" s="251"/>
      <c r="H296" s="251"/>
      <c r="I296" s="251"/>
      <c r="J296" s="251"/>
      <c r="K296" s="251"/>
      <c r="L296" s="251"/>
      <c r="M296" s="251"/>
      <c r="N296" s="21"/>
      <c r="O296" s="251"/>
      <c r="P296" s="252"/>
      <c r="Q296" s="253"/>
      <c r="R296" s="252"/>
      <c r="S296" s="251"/>
      <c r="T296" s="251"/>
      <c r="U296" s="251"/>
      <c r="V296" s="251"/>
      <c r="W296" s="251"/>
      <c r="X296" s="251"/>
      <c r="Y296" s="251"/>
      <c r="Z296" s="251"/>
    </row>
    <row r="297">
      <c r="A297" s="250"/>
      <c r="B297" s="251"/>
      <c r="C297" s="251" t="s">
        <v>39</v>
      </c>
      <c r="D297" s="252" t="s">
        <v>39</v>
      </c>
      <c r="E297" s="252" t="s">
        <v>39</v>
      </c>
      <c r="F297" s="252"/>
      <c r="G297" s="251"/>
      <c r="H297" s="251"/>
      <c r="I297" s="251"/>
      <c r="J297" s="251"/>
      <c r="K297" s="251"/>
      <c r="L297" s="251"/>
      <c r="M297" s="251"/>
      <c r="N297" s="21"/>
      <c r="O297" s="251"/>
      <c r="P297" s="252"/>
      <c r="Q297" s="253"/>
      <c r="R297" s="252"/>
      <c r="S297" s="251"/>
      <c r="T297" s="251"/>
      <c r="U297" s="251"/>
      <c r="V297" s="251"/>
      <c r="W297" s="251"/>
      <c r="X297" s="251"/>
      <c r="Y297" s="251"/>
      <c r="Z297" s="251"/>
    </row>
    <row r="298">
      <c r="A298" s="250"/>
      <c r="B298" s="251"/>
      <c r="C298" s="251" t="s">
        <v>39</v>
      </c>
      <c r="D298" s="252" t="s">
        <v>39</v>
      </c>
      <c r="E298" s="252" t="s">
        <v>39</v>
      </c>
      <c r="F298" s="252"/>
      <c r="G298" s="251"/>
      <c r="H298" s="251"/>
      <c r="I298" s="251"/>
      <c r="J298" s="251"/>
      <c r="K298" s="251"/>
      <c r="L298" s="251"/>
      <c r="M298" s="251"/>
      <c r="N298" s="21"/>
      <c r="O298" s="251"/>
      <c r="P298" s="252"/>
      <c r="Q298" s="253"/>
      <c r="R298" s="252"/>
      <c r="S298" s="251"/>
      <c r="T298" s="251"/>
      <c r="U298" s="251"/>
      <c r="V298" s="251"/>
      <c r="W298" s="251"/>
      <c r="X298" s="251"/>
      <c r="Y298" s="251"/>
      <c r="Z298" s="251"/>
    </row>
    <row r="299">
      <c r="A299" s="250"/>
      <c r="B299" s="251"/>
      <c r="C299" s="251" t="s">
        <v>39</v>
      </c>
      <c r="D299" s="252" t="s">
        <v>39</v>
      </c>
      <c r="E299" s="252" t="s">
        <v>39</v>
      </c>
      <c r="F299" s="252"/>
      <c r="G299" s="251"/>
      <c r="H299" s="251"/>
      <c r="I299" s="251"/>
      <c r="J299" s="251"/>
      <c r="K299" s="251"/>
      <c r="L299" s="251"/>
      <c r="M299" s="251"/>
      <c r="N299" s="21"/>
      <c r="O299" s="251"/>
      <c r="P299" s="252"/>
      <c r="Q299" s="253"/>
      <c r="R299" s="252"/>
      <c r="S299" s="251"/>
      <c r="T299" s="251"/>
      <c r="U299" s="251"/>
      <c r="V299" s="251"/>
      <c r="W299" s="251"/>
      <c r="X299" s="251"/>
      <c r="Y299" s="251"/>
      <c r="Z299" s="251"/>
    </row>
    <row r="300">
      <c r="A300" s="250"/>
      <c r="B300" s="251"/>
      <c r="C300" s="251" t="s">
        <v>39</v>
      </c>
      <c r="D300" s="252" t="s">
        <v>39</v>
      </c>
      <c r="E300" s="252" t="s">
        <v>39</v>
      </c>
      <c r="F300" s="252"/>
      <c r="G300" s="251"/>
      <c r="H300" s="251"/>
      <c r="I300" s="251"/>
      <c r="J300" s="251"/>
      <c r="K300" s="251"/>
      <c r="L300" s="251"/>
      <c r="M300" s="251"/>
      <c r="N300" s="21"/>
      <c r="O300" s="251"/>
      <c r="P300" s="252"/>
      <c r="Q300" s="253"/>
      <c r="R300" s="252"/>
      <c r="S300" s="251"/>
      <c r="T300" s="251"/>
      <c r="U300" s="251"/>
      <c r="V300" s="251"/>
      <c r="W300" s="251"/>
      <c r="X300" s="251"/>
      <c r="Y300" s="251"/>
      <c r="Z300" s="251"/>
    </row>
    <row r="301">
      <c r="A301" s="250"/>
      <c r="B301" s="251"/>
      <c r="C301" s="251" t="s">
        <v>39</v>
      </c>
      <c r="D301" s="252" t="s">
        <v>39</v>
      </c>
      <c r="E301" s="252" t="s">
        <v>39</v>
      </c>
      <c r="F301" s="252"/>
      <c r="G301" s="251"/>
      <c r="H301" s="251"/>
      <c r="I301" s="251"/>
      <c r="J301" s="251"/>
      <c r="K301" s="251"/>
      <c r="L301" s="251"/>
      <c r="M301" s="251"/>
      <c r="N301" s="21"/>
      <c r="O301" s="251"/>
      <c r="P301" s="252"/>
      <c r="Q301" s="253"/>
      <c r="R301" s="252"/>
      <c r="S301" s="251"/>
      <c r="T301" s="251"/>
      <c r="U301" s="251"/>
      <c r="V301" s="251"/>
      <c r="W301" s="251"/>
      <c r="X301" s="251"/>
      <c r="Y301" s="251"/>
      <c r="Z301" s="251"/>
    </row>
    <row r="302">
      <c r="A302" s="250"/>
      <c r="B302" s="251"/>
      <c r="C302" s="251" t="s">
        <v>39</v>
      </c>
      <c r="D302" s="252" t="s">
        <v>39</v>
      </c>
      <c r="E302" s="252" t="s">
        <v>39</v>
      </c>
      <c r="F302" s="252"/>
      <c r="G302" s="251"/>
      <c r="H302" s="251"/>
      <c r="I302" s="251"/>
      <c r="J302" s="251"/>
      <c r="K302" s="251"/>
      <c r="L302" s="251"/>
      <c r="M302" s="251"/>
      <c r="N302" s="21"/>
      <c r="O302" s="251"/>
      <c r="P302" s="252"/>
      <c r="Q302" s="253"/>
      <c r="R302" s="252"/>
      <c r="S302" s="251"/>
      <c r="T302" s="251"/>
      <c r="U302" s="251"/>
      <c r="V302" s="251"/>
      <c r="W302" s="251"/>
      <c r="X302" s="251"/>
      <c r="Y302" s="251"/>
      <c r="Z302" s="251"/>
    </row>
    <row r="303">
      <c r="A303" s="250"/>
      <c r="B303" s="251"/>
      <c r="C303" s="251" t="s">
        <v>39</v>
      </c>
      <c r="D303" s="252" t="s">
        <v>39</v>
      </c>
      <c r="E303" s="252" t="s">
        <v>39</v>
      </c>
      <c r="F303" s="252"/>
      <c r="G303" s="251"/>
      <c r="H303" s="251"/>
      <c r="I303" s="251"/>
      <c r="J303" s="251"/>
      <c r="K303" s="251"/>
      <c r="L303" s="251"/>
      <c r="M303" s="251"/>
      <c r="N303" s="21"/>
      <c r="O303" s="251"/>
      <c r="P303" s="252"/>
      <c r="Q303" s="253"/>
      <c r="R303" s="252"/>
      <c r="S303" s="251"/>
      <c r="T303" s="251"/>
      <c r="U303" s="251"/>
      <c r="V303" s="251"/>
      <c r="W303" s="251"/>
      <c r="X303" s="251"/>
      <c r="Y303" s="251"/>
      <c r="Z303" s="251"/>
    </row>
    <row r="304">
      <c r="A304" s="250"/>
      <c r="B304" s="251"/>
      <c r="C304" s="251" t="s">
        <v>39</v>
      </c>
      <c r="D304" s="252" t="s">
        <v>39</v>
      </c>
      <c r="E304" s="252" t="s">
        <v>39</v>
      </c>
      <c r="F304" s="252"/>
      <c r="G304" s="251"/>
      <c r="H304" s="251"/>
      <c r="I304" s="251"/>
      <c r="J304" s="251"/>
      <c r="K304" s="251"/>
      <c r="L304" s="251"/>
      <c r="M304" s="251"/>
      <c r="N304" s="21"/>
      <c r="O304" s="251"/>
      <c r="P304" s="252"/>
      <c r="Q304" s="253"/>
      <c r="R304" s="252"/>
      <c r="S304" s="251"/>
      <c r="T304" s="251"/>
      <c r="U304" s="251"/>
      <c r="V304" s="251"/>
      <c r="W304" s="251"/>
      <c r="X304" s="251"/>
      <c r="Y304" s="251"/>
      <c r="Z304" s="251"/>
    </row>
    <row r="305">
      <c r="A305" s="250"/>
      <c r="B305" s="251"/>
      <c r="C305" s="251" t="s">
        <v>39</v>
      </c>
      <c r="D305" s="252" t="s">
        <v>39</v>
      </c>
      <c r="E305" s="252" t="s">
        <v>39</v>
      </c>
      <c r="F305" s="252"/>
      <c r="G305" s="251"/>
      <c r="H305" s="251"/>
      <c r="I305" s="251"/>
      <c r="J305" s="251"/>
      <c r="K305" s="251"/>
      <c r="L305" s="251"/>
      <c r="M305" s="251"/>
      <c r="N305" s="21"/>
      <c r="O305" s="251"/>
      <c r="P305" s="252"/>
      <c r="Q305" s="253"/>
      <c r="R305" s="252"/>
      <c r="S305" s="251"/>
      <c r="T305" s="251"/>
      <c r="U305" s="251"/>
      <c r="V305" s="251"/>
      <c r="W305" s="251"/>
      <c r="X305" s="251"/>
      <c r="Y305" s="251"/>
      <c r="Z305" s="251"/>
    </row>
    <row r="306">
      <c r="A306" s="250"/>
      <c r="B306" s="251"/>
      <c r="C306" s="251" t="s">
        <v>39</v>
      </c>
      <c r="D306" s="252" t="s">
        <v>39</v>
      </c>
      <c r="E306" s="252" t="s">
        <v>39</v>
      </c>
      <c r="F306" s="252"/>
      <c r="G306" s="251"/>
      <c r="H306" s="251"/>
      <c r="I306" s="251"/>
      <c r="J306" s="251"/>
      <c r="K306" s="251"/>
      <c r="L306" s="251"/>
      <c r="M306" s="251"/>
      <c r="N306" s="21"/>
      <c r="O306" s="251"/>
      <c r="P306" s="252"/>
      <c r="Q306" s="253"/>
      <c r="R306" s="252"/>
      <c r="S306" s="251"/>
      <c r="T306" s="251"/>
      <c r="U306" s="251"/>
      <c r="V306" s="251"/>
      <c r="W306" s="251"/>
      <c r="X306" s="251"/>
      <c r="Y306" s="251"/>
      <c r="Z306" s="251"/>
    </row>
    <row r="307">
      <c r="A307" s="250"/>
      <c r="B307" s="251"/>
      <c r="C307" s="251" t="s">
        <v>39</v>
      </c>
      <c r="D307" s="252" t="s">
        <v>39</v>
      </c>
      <c r="E307" s="252" t="s">
        <v>39</v>
      </c>
      <c r="F307" s="252"/>
      <c r="G307" s="251"/>
      <c r="H307" s="251"/>
      <c r="I307" s="251"/>
      <c r="J307" s="251"/>
      <c r="K307" s="251"/>
      <c r="L307" s="251"/>
      <c r="M307" s="251"/>
      <c r="N307" s="21"/>
      <c r="O307" s="251"/>
      <c r="P307" s="252"/>
      <c r="Q307" s="253"/>
      <c r="R307" s="252"/>
      <c r="S307" s="251"/>
      <c r="T307" s="251"/>
      <c r="U307" s="251"/>
      <c r="V307" s="251"/>
      <c r="W307" s="251"/>
      <c r="X307" s="251"/>
      <c r="Y307" s="251"/>
      <c r="Z307" s="251"/>
    </row>
    <row r="308">
      <c r="A308" s="250"/>
      <c r="B308" s="251"/>
      <c r="C308" s="251" t="s">
        <v>39</v>
      </c>
      <c r="D308" s="252" t="s">
        <v>39</v>
      </c>
      <c r="E308" s="252" t="s">
        <v>39</v>
      </c>
      <c r="F308" s="252"/>
      <c r="G308" s="251"/>
      <c r="H308" s="251"/>
      <c r="I308" s="251"/>
      <c r="J308" s="251"/>
      <c r="K308" s="251"/>
      <c r="L308" s="251"/>
      <c r="M308" s="251"/>
      <c r="N308" s="21"/>
      <c r="O308" s="251"/>
      <c r="P308" s="252"/>
      <c r="Q308" s="253"/>
      <c r="R308" s="252"/>
      <c r="S308" s="251"/>
      <c r="T308" s="251"/>
      <c r="U308" s="251"/>
      <c r="V308" s="251"/>
      <c r="W308" s="251"/>
      <c r="X308" s="251"/>
      <c r="Y308" s="251"/>
      <c r="Z308" s="251"/>
    </row>
    <row r="309">
      <c r="A309" s="250"/>
      <c r="B309" s="251"/>
      <c r="C309" s="251" t="s">
        <v>39</v>
      </c>
      <c r="D309" s="252" t="s">
        <v>39</v>
      </c>
      <c r="E309" s="252" t="s">
        <v>39</v>
      </c>
      <c r="F309" s="252"/>
      <c r="G309" s="251"/>
      <c r="H309" s="251"/>
      <c r="I309" s="251"/>
      <c r="J309" s="251"/>
      <c r="K309" s="251"/>
      <c r="L309" s="251"/>
      <c r="M309" s="251"/>
      <c r="N309" s="21"/>
      <c r="O309" s="251"/>
      <c r="P309" s="252"/>
      <c r="Q309" s="253"/>
      <c r="R309" s="252"/>
      <c r="S309" s="251"/>
      <c r="T309" s="251"/>
      <c r="U309" s="251"/>
      <c r="V309" s="251"/>
      <c r="W309" s="251"/>
      <c r="X309" s="251"/>
      <c r="Y309" s="251"/>
      <c r="Z309" s="251"/>
    </row>
    <row r="310">
      <c r="A310" s="250"/>
      <c r="B310" s="251"/>
      <c r="C310" s="251" t="s">
        <v>39</v>
      </c>
      <c r="D310" s="252" t="s">
        <v>39</v>
      </c>
      <c r="E310" s="252" t="s">
        <v>39</v>
      </c>
      <c r="F310" s="252"/>
      <c r="G310" s="251"/>
      <c r="H310" s="251"/>
      <c r="I310" s="251"/>
      <c r="J310" s="251"/>
      <c r="K310" s="251"/>
      <c r="L310" s="251"/>
      <c r="M310" s="251"/>
      <c r="N310" s="21"/>
      <c r="O310" s="251"/>
      <c r="P310" s="252"/>
      <c r="Q310" s="253"/>
      <c r="R310" s="252"/>
      <c r="S310" s="251"/>
      <c r="T310" s="251"/>
      <c r="U310" s="251"/>
      <c r="V310" s="251"/>
      <c r="W310" s="251"/>
      <c r="X310" s="251"/>
      <c r="Y310" s="251"/>
      <c r="Z310" s="251"/>
    </row>
    <row r="311">
      <c r="A311" s="250"/>
      <c r="B311" s="251"/>
      <c r="C311" s="251" t="s">
        <v>39</v>
      </c>
      <c r="D311" s="252" t="s">
        <v>39</v>
      </c>
      <c r="E311" s="252" t="s">
        <v>39</v>
      </c>
      <c r="F311" s="252"/>
      <c r="G311" s="251"/>
      <c r="H311" s="251"/>
      <c r="I311" s="251"/>
      <c r="J311" s="251"/>
      <c r="K311" s="251"/>
      <c r="L311" s="251"/>
      <c r="M311" s="251"/>
      <c r="N311" s="21"/>
      <c r="O311" s="251"/>
      <c r="P311" s="252"/>
      <c r="Q311" s="253"/>
      <c r="R311" s="252"/>
      <c r="S311" s="251"/>
      <c r="T311" s="251"/>
      <c r="U311" s="251"/>
      <c r="V311" s="251"/>
      <c r="W311" s="251"/>
      <c r="X311" s="251"/>
      <c r="Y311" s="251"/>
      <c r="Z311" s="251"/>
    </row>
    <row r="312">
      <c r="A312" s="250"/>
      <c r="B312" s="251"/>
      <c r="C312" s="251" t="s">
        <v>39</v>
      </c>
      <c r="D312" s="252" t="s">
        <v>39</v>
      </c>
      <c r="E312" s="252" t="s">
        <v>39</v>
      </c>
      <c r="F312" s="252"/>
      <c r="G312" s="251"/>
      <c r="H312" s="251"/>
      <c r="I312" s="251"/>
      <c r="J312" s="251"/>
      <c r="K312" s="251"/>
      <c r="L312" s="251"/>
      <c r="M312" s="251"/>
      <c r="N312" s="21"/>
      <c r="O312" s="251"/>
      <c r="P312" s="252"/>
      <c r="Q312" s="253"/>
      <c r="R312" s="252"/>
      <c r="S312" s="251"/>
      <c r="T312" s="251"/>
      <c r="U312" s="251"/>
      <c r="V312" s="251"/>
      <c r="W312" s="251"/>
      <c r="X312" s="251"/>
      <c r="Y312" s="251"/>
      <c r="Z312" s="251"/>
    </row>
    <row r="313">
      <c r="A313" s="250"/>
      <c r="B313" s="251"/>
      <c r="C313" s="251" t="s">
        <v>39</v>
      </c>
      <c r="D313" s="252" t="s">
        <v>39</v>
      </c>
      <c r="E313" s="252" t="s">
        <v>39</v>
      </c>
      <c r="F313" s="252"/>
      <c r="G313" s="251"/>
      <c r="H313" s="251"/>
      <c r="I313" s="251"/>
      <c r="J313" s="251"/>
      <c r="K313" s="251"/>
      <c r="L313" s="251"/>
      <c r="M313" s="251"/>
      <c r="N313" s="21"/>
      <c r="O313" s="251"/>
      <c r="P313" s="252"/>
      <c r="Q313" s="253"/>
      <c r="R313" s="252"/>
      <c r="S313" s="251"/>
      <c r="T313" s="251"/>
      <c r="U313" s="251"/>
      <c r="V313" s="251"/>
      <c r="W313" s="251"/>
      <c r="X313" s="251"/>
      <c r="Y313" s="251"/>
      <c r="Z313" s="251"/>
    </row>
    <row r="314">
      <c r="A314" s="250"/>
      <c r="B314" s="251"/>
      <c r="C314" s="251" t="s">
        <v>39</v>
      </c>
      <c r="D314" s="252" t="s">
        <v>39</v>
      </c>
      <c r="E314" s="252" t="s">
        <v>39</v>
      </c>
      <c r="F314" s="252"/>
      <c r="G314" s="251"/>
      <c r="H314" s="251"/>
      <c r="I314" s="251"/>
      <c r="J314" s="251"/>
      <c r="K314" s="251"/>
      <c r="L314" s="251"/>
      <c r="M314" s="251"/>
      <c r="N314" s="21"/>
      <c r="O314" s="251"/>
      <c r="P314" s="252"/>
      <c r="Q314" s="253"/>
      <c r="R314" s="252"/>
      <c r="S314" s="251"/>
      <c r="T314" s="251"/>
      <c r="U314" s="251"/>
      <c r="V314" s="251"/>
      <c r="W314" s="251"/>
      <c r="X314" s="251"/>
      <c r="Y314" s="251"/>
      <c r="Z314" s="251"/>
    </row>
    <row r="315">
      <c r="A315" s="250"/>
      <c r="B315" s="251"/>
      <c r="C315" s="251" t="s">
        <v>39</v>
      </c>
      <c r="D315" s="252" t="s">
        <v>39</v>
      </c>
      <c r="E315" s="252" t="s">
        <v>39</v>
      </c>
      <c r="F315" s="252"/>
      <c r="G315" s="251"/>
      <c r="H315" s="251"/>
      <c r="I315" s="251"/>
      <c r="J315" s="251"/>
      <c r="K315" s="251"/>
      <c r="L315" s="251"/>
      <c r="M315" s="251"/>
      <c r="N315" s="21"/>
      <c r="O315" s="251"/>
      <c r="P315" s="252"/>
      <c r="Q315" s="253"/>
      <c r="R315" s="252"/>
      <c r="S315" s="251"/>
      <c r="T315" s="251"/>
      <c r="U315" s="251"/>
      <c r="V315" s="251"/>
      <c r="W315" s="251"/>
      <c r="X315" s="251"/>
      <c r="Y315" s="251"/>
      <c r="Z315" s="251"/>
    </row>
    <row r="316">
      <c r="A316" s="250"/>
      <c r="B316" s="251"/>
      <c r="C316" s="251" t="s">
        <v>39</v>
      </c>
      <c r="D316" s="252" t="s">
        <v>39</v>
      </c>
      <c r="E316" s="252" t="s">
        <v>39</v>
      </c>
      <c r="F316" s="252"/>
      <c r="G316" s="251"/>
      <c r="H316" s="251"/>
      <c r="I316" s="251"/>
      <c r="J316" s="251"/>
      <c r="K316" s="251"/>
      <c r="L316" s="251"/>
      <c r="M316" s="251"/>
      <c r="N316" s="21"/>
      <c r="O316" s="251"/>
      <c r="P316" s="252"/>
      <c r="Q316" s="253"/>
      <c r="R316" s="252"/>
      <c r="S316" s="251"/>
      <c r="T316" s="251"/>
      <c r="U316" s="251"/>
      <c r="V316" s="251"/>
      <c r="W316" s="251"/>
      <c r="X316" s="251"/>
      <c r="Y316" s="251"/>
      <c r="Z316" s="251"/>
    </row>
    <row r="317">
      <c r="A317" s="250"/>
      <c r="B317" s="251"/>
      <c r="C317" s="251" t="s">
        <v>39</v>
      </c>
      <c r="D317" s="252" t="s">
        <v>39</v>
      </c>
      <c r="E317" s="252" t="s">
        <v>39</v>
      </c>
      <c r="F317" s="252"/>
      <c r="G317" s="251"/>
      <c r="H317" s="251"/>
      <c r="I317" s="251"/>
      <c r="J317" s="251"/>
      <c r="K317" s="251"/>
      <c r="L317" s="251"/>
      <c r="M317" s="251"/>
      <c r="N317" s="21"/>
      <c r="O317" s="251"/>
      <c r="P317" s="252"/>
      <c r="Q317" s="253"/>
      <c r="R317" s="252"/>
      <c r="S317" s="251"/>
      <c r="T317" s="251"/>
      <c r="U317" s="251"/>
      <c r="V317" s="251"/>
      <c r="W317" s="251"/>
      <c r="X317" s="251"/>
      <c r="Y317" s="251"/>
      <c r="Z317" s="251"/>
    </row>
    <row r="318">
      <c r="A318" s="250"/>
      <c r="B318" s="251"/>
      <c r="C318" s="251" t="s">
        <v>39</v>
      </c>
      <c r="D318" s="252" t="s">
        <v>39</v>
      </c>
      <c r="E318" s="252" t="s">
        <v>39</v>
      </c>
      <c r="F318" s="252"/>
      <c r="G318" s="251"/>
      <c r="H318" s="251"/>
      <c r="I318" s="251"/>
      <c r="J318" s="251"/>
      <c r="K318" s="251"/>
      <c r="L318" s="251"/>
      <c r="M318" s="251"/>
      <c r="N318" s="21"/>
      <c r="O318" s="251"/>
      <c r="P318" s="252"/>
      <c r="Q318" s="253"/>
      <c r="R318" s="252"/>
      <c r="S318" s="251"/>
      <c r="T318" s="251"/>
      <c r="U318" s="251"/>
      <c r="V318" s="251"/>
      <c r="W318" s="251"/>
      <c r="X318" s="251"/>
      <c r="Y318" s="251"/>
      <c r="Z318" s="251"/>
    </row>
    <row r="319">
      <c r="A319" s="250"/>
      <c r="B319" s="251"/>
      <c r="C319" s="251" t="s">
        <v>39</v>
      </c>
      <c r="D319" s="252" t="s">
        <v>39</v>
      </c>
      <c r="E319" s="252" t="s">
        <v>39</v>
      </c>
      <c r="F319" s="252"/>
      <c r="G319" s="251"/>
      <c r="H319" s="251"/>
      <c r="I319" s="251"/>
      <c r="J319" s="251"/>
      <c r="K319" s="251"/>
      <c r="L319" s="251"/>
      <c r="M319" s="251"/>
      <c r="N319" s="21"/>
      <c r="O319" s="251"/>
      <c r="P319" s="252"/>
      <c r="Q319" s="253"/>
      <c r="R319" s="252"/>
      <c r="S319" s="251"/>
      <c r="T319" s="251"/>
      <c r="U319" s="251"/>
      <c r="V319" s="251"/>
      <c r="W319" s="251"/>
      <c r="X319" s="251"/>
      <c r="Y319" s="251"/>
      <c r="Z319" s="251"/>
    </row>
    <row r="320">
      <c r="A320" s="250"/>
      <c r="B320" s="251"/>
      <c r="C320" s="251" t="s">
        <v>39</v>
      </c>
      <c r="D320" s="252" t="s">
        <v>39</v>
      </c>
      <c r="E320" s="252" t="s">
        <v>39</v>
      </c>
      <c r="F320" s="252"/>
      <c r="G320" s="251"/>
      <c r="H320" s="251"/>
      <c r="I320" s="251"/>
      <c r="J320" s="251"/>
      <c r="K320" s="251"/>
      <c r="L320" s="251"/>
      <c r="M320" s="251"/>
      <c r="N320" s="21"/>
      <c r="O320" s="251"/>
      <c r="P320" s="252"/>
      <c r="Q320" s="253"/>
      <c r="R320" s="252"/>
      <c r="S320" s="251"/>
      <c r="T320" s="251"/>
      <c r="U320" s="251"/>
      <c r="V320" s="251"/>
      <c r="W320" s="251"/>
      <c r="X320" s="251"/>
      <c r="Y320" s="251"/>
      <c r="Z320" s="251"/>
    </row>
    <row r="321">
      <c r="A321" s="250"/>
      <c r="B321" s="251"/>
      <c r="C321" s="251" t="s">
        <v>39</v>
      </c>
      <c r="D321" s="252" t="s">
        <v>39</v>
      </c>
      <c r="E321" s="252" t="s">
        <v>39</v>
      </c>
      <c r="F321" s="252"/>
      <c r="G321" s="251"/>
      <c r="H321" s="251"/>
      <c r="I321" s="251"/>
      <c r="J321" s="251"/>
      <c r="K321" s="251"/>
      <c r="L321" s="251"/>
      <c r="M321" s="251"/>
      <c r="N321" s="21"/>
      <c r="O321" s="251"/>
      <c r="P321" s="252"/>
      <c r="Q321" s="253"/>
      <c r="R321" s="252"/>
      <c r="S321" s="251"/>
      <c r="T321" s="251"/>
      <c r="U321" s="251"/>
      <c r="V321" s="251"/>
      <c r="W321" s="251"/>
      <c r="X321" s="251"/>
      <c r="Y321" s="251"/>
      <c r="Z321" s="251"/>
    </row>
    <row r="322">
      <c r="A322" s="250"/>
      <c r="B322" s="251"/>
      <c r="C322" s="251" t="s">
        <v>39</v>
      </c>
      <c r="D322" s="252" t="s">
        <v>39</v>
      </c>
      <c r="E322" s="252" t="s">
        <v>39</v>
      </c>
      <c r="F322" s="252"/>
      <c r="G322" s="251"/>
      <c r="H322" s="251"/>
      <c r="I322" s="251"/>
      <c r="J322" s="251"/>
      <c r="K322" s="251"/>
      <c r="L322" s="251"/>
      <c r="M322" s="251"/>
      <c r="N322" s="21"/>
      <c r="O322" s="251"/>
      <c r="P322" s="252"/>
      <c r="Q322" s="253"/>
      <c r="R322" s="252"/>
      <c r="S322" s="251"/>
      <c r="T322" s="251"/>
      <c r="U322" s="251"/>
      <c r="V322" s="251"/>
      <c r="W322" s="251"/>
      <c r="X322" s="251"/>
      <c r="Y322" s="251"/>
      <c r="Z322" s="251"/>
    </row>
    <row r="323">
      <c r="A323" s="250"/>
      <c r="B323" s="251"/>
      <c r="C323" s="251" t="s">
        <v>39</v>
      </c>
      <c r="D323" s="252" t="s">
        <v>39</v>
      </c>
      <c r="E323" s="252" t="s">
        <v>39</v>
      </c>
      <c r="F323" s="252"/>
      <c r="G323" s="251"/>
      <c r="H323" s="251"/>
      <c r="I323" s="251"/>
      <c r="J323" s="251"/>
      <c r="K323" s="251"/>
      <c r="L323" s="251"/>
      <c r="M323" s="251"/>
      <c r="N323" s="21"/>
      <c r="O323" s="251"/>
      <c r="P323" s="252"/>
      <c r="Q323" s="253"/>
      <c r="R323" s="252"/>
      <c r="S323" s="251"/>
      <c r="T323" s="251"/>
      <c r="U323" s="251"/>
      <c r="V323" s="251"/>
      <c r="W323" s="251"/>
      <c r="X323" s="251"/>
      <c r="Y323" s="251"/>
      <c r="Z323" s="251"/>
    </row>
    <row r="324">
      <c r="A324" s="250"/>
      <c r="B324" s="251"/>
      <c r="C324" s="251" t="s">
        <v>39</v>
      </c>
      <c r="D324" s="252" t="s">
        <v>39</v>
      </c>
      <c r="E324" s="252" t="s">
        <v>39</v>
      </c>
      <c r="F324" s="252"/>
      <c r="G324" s="251"/>
      <c r="H324" s="251"/>
      <c r="I324" s="251"/>
      <c r="J324" s="251"/>
      <c r="K324" s="251"/>
      <c r="L324" s="251"/>
      <c r="M324" s="251"/>
      <c r="N324" s="21"/>
      <c r="O324" s="251"/>
      <c r="P324" s="252"/>
      <c r="Q324" s="253"/>
      <c r="R324" s="252"/>
      <c r="S324" s="251"/>
      <c r="T324" s="251"/>
      <c r="U324" s="251"/>
      <c r="V324" s="251"/>
      <c r="W324" s="251"/>
      <c r="X324" s="251"/>
      <c r="Y324" s="251"/>
      <c r="Z324" s="251"/>
    </row>
    <row r="325">
      <c r="A325" s="250"/>
      <c r="B325" s="251"/>
      <c r="C325" s="251" t="s">
        <v>39</v>
      </c>
      <c r="D325" s="252" t="s">
        <v>39</v>
      </c>
      <c r="E325" s="252" t="s">
        <v>39</v>
      </c>
      <c r="F325" s="252"/>
      <c r="G325" s="251"/>
      <c r="H325" s="251"/>
      <c r="I325" s="251"/>
      <c r="J325" s="251"/>
      <c r="K325" s="251"/>
      <c r="L325" s="251"/>
      <c r="M325" s="251"/>
      <c r="N325" s="21"/>
      <c r="O325" s="251"/>
      <c r="P325" s="252"/>
      <c r="Q325" s="253"/>
      <c r="R325" s="252"/>
      <c r="S325" s="251"/>
      <c r="T325" s="251"/>
      <c r="U325" s="251"/>
      <c r="V325" s="251"/>
      <c r="W325" s="251"/>
      <c r="X325" s="251"/>
      <c r="Y325" s="251"/>
      <c r="Z325" s="251"/>
    </row>
    <row r="326">
      <c r="A326" s="250"/>
      <c r="B326" s="251"/>
      <c r="C326" s="251" t="s">
        <v>39</v>
      </c>
      <c r="D326" s="252" t="s">
        <v>39</v>
      </c>
      <c r="E326" s="252" t="s">
        <v>39</v>
      </c>
      <c r="F326" s="252"/>
      <c r="G326" s="251"/>
      <c r="H326" s="251"/>
      <c r="I326" s="251"/>
      <c r="J326" s="251"/>
      <c r="K326" s="251"/>
      <c r="L326" s="251"/>
      <c r="M326" s="251"/>
      <c r="N326" s="21"/>
      <c r="O326" s="251"/>
      <c r="P326" s="252"/>
      <c r="Q326" s="253"/>
      <c r="R326" s="252"/>
      <c r="S326" s="251"/>
      <c r="T326" s="251"/>
      <c r="U326" s="251"/>
      <c r="V326" s="251"/>
      <c r="W326" s="251"/>
      <c r="X326" s="251"/>
      <c r="Y326" s="251"/>
      <c r="Z326" s="251"/>
    </row>
    <row r="327">
      <c r="A327" s="250"/>
      <c r="B327" s="251"/>
      <c r="C327" s="251" t="s">
        <v>39</v>
      </c>
      <c r="D327" s="252" t="s">
        <v>39</v>
      </c>
      <c r="E327" s="252" t="s">
        <v>39</v>
      </c>
      <c r="F327" s="252"/>
      <c r="G327" s="251"/>
      <c r="H327" s="251"/>
      <c r="I327" s="251"/>
      <c r="J327" s="251"/>
      <c r="K327" s="251"/>
      <c r="L327" s="251"/>
      <c r="M327" s="251"/>
      <c r="N327" s="21"/>
      <c r="O327" s="251"/>
      <c r="P327" s="252"/>
      <c r="Q327" s="253"/>
      <c r="R327" s="252"/>
      <c r="S327" s="251"/>
      <c r="T327" s="251"/>
      <c r="U327" s="251"/>
      <c r="V327" s="251"/>
      <c r="W327" s="251"/>
      <c r="X327" s="251"/>
      <c r="Y327" s="251"/>
      <c r="Z327" s="251"/>
    </row>
    <row r="328">
      <c r="A328" s="250"/>
      <c r="B328" s="251"/>
      <c r="C328" s="251" t="s">
        <v>39</v>
      </c>
      <c r="D328" s="252" t="s">
        <v>39</v>
      </c>
      <c r="E328" s="252" t="s">
        <v>39</v>
      </c>
      <c r="F328" s="252"/>
      <c r="G328" s="251"/>
      <c r="H328" s="251"/>
      <c r="I328" s="251"/>
      <c r="J328" s="251"/>
      <c r="K328" s="251"/>
      <c r="L328" s="251"/>
      <c r="M328" s="251"/>
      <c r="N328" s="21"/>
      <c r="O328" s="251"/>
      <c r="P328" s="252"/>
      <c r="Q328" s="253"/>
      <c r="R328" s="252"/>
      <c r="S328" s="251"/>
      <c r="T328" s="251"/>
      <c r="U328" s="251"/>
      <c r="V328" s="251"/>
      <c r="W328" s="251"/>
      <c r="X328" s="251"/>
      <c r="Y328" s="251"/>
      <c r="Z328" s="251"/>
    </row>
    <row r="329">
      <c r="A329" s="250"/>
      <c r="B329" s="251"/>
      <c r="C329" s="251" t="s">
        <v>39</v>
      </c>
      <c r="D329" s="252" t="s">
        <v>39</v>
      </c>
      <c r="E329" s="252" t="s">
        <v>39</v>
      </c>
      <c r="F329" s="252"/>
      <c r="G329" s="251"/>
      <c r="H329" s="251"/>
      <c r="I329" s="251"/>
      <c r="J329" s="251"/>
      <c r="K329" s="251"/>
      <c r="L329" s="251"/>
      <c r="M329" s="251"/>
      <c r="N329" s="21"/>
      <c r="O329" s="251"/>
      <c r="P329" s="252"/>
      <c r="Q329" s="253"/>
      <c r="R329" s="252"/>
      <c r="S329" s="251"/>
      <c r="T329" s="251"/>
      <c r="U329" s="251"/>
      <c r="V329" s="251"/>
      <c r="W329" s="251"/>
      <c r="X329" s="251"/>
      <c r="Y329" s="251"/>
      <c r="Z329" s="251"/>
    </row>
    <row r="330">
      <c r="A330" s="250"/>
      <c r="B330" s="251"/>
      <c r="C330" s="251" t="s">
        <v>39</v>
      </c>
      <c r="D330" s="252" t="s">
        <v>39</v>
      </c>
      <c r="E330" s="252" t="s">
        <v>39</v>
      </c>
      <c r="F330" s="252"/>
      <c r="G330" s="251"/>
      <c r="H330" s="251"/>
      <c r="I330" s="251"/>
      <c r="J330" s="251"/>
      <c r="K330" s="251"/>
      <c r="L330" s="251"/>
      <c r="M330" s="251"/>
      <c r="N330" s="21"/>
      <c r="O330" s="251"/>
      <c r="P330" s="252"/>
      <c r="Q330" s="253"/>
      <c r="R330" s="252"/>
      <c r="S330" s="251"/>
      <c r="T330" s="251"/>
      <c r="U330" s="251"/>
      <c r="V330" s="251"/>
      <c r="W330" s="251"/>
      <c r="X330" s="251"/>
      <c r="Y330" s="251"/>
      <c r="Z330" s="251"/>
    </row>
    <row r="331">
      <c r="A331" s="250"/>
      <c r="B331" s="251"/>
      <c r="C331" s="251" t="s">
        <v>39</v>
      </c>
      <c r="D331" s="252" t="s">
        <v>39</v>
      </c>
      <c r="E331" s="252" t="s">
        <v>39</v>
      </c>
      <c r="F331" s="252"/>
      <c r="G331" s="251"/>
      <c r="H331" s="251"/>
      <c r="I331" s="251"/>
      <c r="J331" s="251"/>
      <c r="K331" s="251"/>
      <c r="L331" s="251"/>
      <c r="M331" s="251"/>
      <c r="N331" s="21"/>
      <c r="O331" s="251"/>
      <c r="P331" s="252"/>
      <c r="Q331" s="253"/>
      <c r="R331" s="252"/>
      <c r="S331" s="251"/>
      <c r="T331" s="251"/>
      <c r="U331" s="251"/>
      <c r="V331" s="251"/>
      <c r="W331" s="251"/>
      <c r="X331" s="251"/>
      <c r="Y331" s="251"/>
      <c r="Z331" s="251"/>
    </row>
    <row r="332">
      <c r="A332" s="250"/>
      <c r="B332" s="251"/>
      <c r="C332" s="251" t="s">
        <v>39</v>
      </c>
      <c r="D332" s="252" t="s">
        <v>39</v>
      </c>
      <c r="E332" s="252" t="s">
        <v>39</v>
      </c>
      <c r="F332" s="252"/>
      <c r="G332" s="251"/>
      <c r="H332" s="251"/>
      <c r="I332" s="251"/>
      <c r="J332" s="251"/>
      <c r="K332" s="251"/>
      <c r="L332" s="251"/>
      <c r="M332" s="251"/>
      <c r="N332" s="21"/>
      <c r="O332" s="251"/>
      <c r="P332" s="252"/>
      <c r="Q332" s="253"/>
      <c r="R332" s="252"/>
      <c r="S332" s="251"/>
      <c r="T332" s="251"/>
      <c r="U332" s="251"/>
      <c r="V332" s="251"/>
      <c r="W332" s="251"/>
      <c r="X332" s="251"/>
      <c r="Y332" s="251"/>
      <c r="Z332" s="251"/>
    </row>
    <row r="333">
      <c r="A333" s="250"/>
      <c r="B333" s="251"/>
      <c r="C333" s="251" t="s">
        <v>39</v>
      </c>
      <c r="D333" s="252" t="s">
        <v>39</v>
      </c>
      <c r="E333" s="252" t="s">
        <v>39</v>
      </c>
      <c r="F333" s="252"/>
      <c r="G333" s="251"/>
      <c r="H333" s="251"/>
      <c r="I333" s="251"/>
      <c r="J333" s="251"/>
      <c r="K333" s="251"/>
      <c r="L333" s="251"/>
      <c r="M333" s="251"/>
      <c r="N333" s="21"/>
      <c r="O333" s="251"/>
      <c r="P333" s="252"/>
      <c r="Q333" s="253"/>
      <c r="R333" s="252"/>
      <c r="S333" s="251"/>
      <c r="T333" s="251"/>
      <c r="U333" s="251"/>
      <c r="V333" s="251"/>
      <c r="W333" s="251"/>
      <c r="X333" s="251"/>
      <c r="Y333" s="251"/>
      <c r="Z333" s="251"/>
    </row>
    <row r="334">
      <c r="A334" s="250"/>
      <c r="B334" s="251"/>
      <c r="C334" s="251" t="s">
        <v>39</v>
      </c>
      <c r="D334" s="252" t="s">
        <v>39</v>
      </c>
      <c r="E334" s="252" t="s">
        <v>39</v>
      </c>
      <c r="F334" s="252"/>
      <c r="G334" s="251"/>
      <c r="H334" s="251"/>
      <c r="I334" s="251"/>
      <c r="J334" s="251"/>
      <c r="K334" s="251"/>
      <c r="L334" s="251"/>
      <c r="M334" s="251"/>
      <c r="N334" s="21"/>
      <c r="O334" s="251"/>
      <c r="P334" s="252"/>
      <c r="Q334" s="253"/>
      <c r="R334" s="252"/>
      <c r="S334" s="251"/>
      <c r="T334" s="251"/>
      <c r="U334" s="251"/>
      <c r="V334" s="251"/>
      <c r="W334" s="251"/>
      <c r="X334" s="251"/>
      <c r="Y334" s="251"/>
      <c r="Z334" s="251"/>
    </row>
    <row r="335">
      <c r="A335" s="250"/>
      <c r="B335" s="251"/>
      <c r="C335" s="251" t="s">
        <v>39</v>
      </c>
      <c r="D335" s="252" t="s">
        <v>39</v>
      </c>
      <c r="E335" s="252" t="s">
        <v>39</v>
      </c>
      <c r="F335" s="252"/>
      <c r="G335" s="251"/>
      <c r="H335" s="251"/>
      <c r="I335" s="251"/>
      <c r="J335" s="251"/>
      <c r="K335" s="251"/>
      <c r="L335" s="251"/>
      <c r="M335" s="251"/>
      <c r="N335" s="21"/>
      <c r="O335" s="251"/>
      <c r="P335" s="252"/>
      <c r="Q335" s="253"/>
      <c r="R335" s="252"/>
      <c r="S335" s="251"/>
      <c r="T335" s="251"/>
      <c r="U335" s="251"/>
      <c r="V335" s="251"/>
      <c r="W335" s="251"/>
      <c r="X335" s="251"/>
      <c r="Y335" s="251"/>
      <c r="Z335" s="251"/>
    </row>
    <row r="336">
      <c r="A336" s="250"/>
      <c r="B336" s="251"/>
      <c r="C336" s="251" t="s">
        <v>39</v>
      </c>
      <c r="D336" s="252" t="s">
        <v>39</v>
      </c>
      <c r="E336" s="252" t="s">
        <v>39</v>
      </c>
      <c r="F336" s="252"/>
      <c r="G336" s="251"/>
      <c r="H336" s="251"/>
      <c r="I336" s="251"/>
      <c r="J336" s="251"/>
      <c r="K336" s="251"/>
      <c r="L336" s="251"/>
      <c r="M336" s="251"/>
      <c r="N336" s="21"/>
      <c r="O336" s="251"/>
      <c r="P336" s="252"/>
      <c r="Q336" s="253"/>
      <c r="R336" s="252"/>
      <c r="S336" s="251"/>
      <c r="T336" s="251"/>
      <c r="U336" s="251"/>
      <c r="V336" s="251"/>
      <c r="W336" s="251"/>
      <c r="X336" s="251"/>
      <c r="Y336" s="251"/>
      <c r="Z336" s="251"/>
    </row>
    <row r="337">
      <c r="A337" s="250"/>
      <c r="B337" s="251"/>
      <c r="C337" s="251" t="s">
        <v>39</v>
      </c>
      <c r="D337" s="252" t="s">
        <v>39</v>
      </c>
      <c r="E337" s="252" t="s">
        <v>39</v>
      </c>
      <c r="F337" s="252"/>
      <c r="G337" s="251"/>
      <c r="H337" s="251"/>
      <c r="I337" s="251"/>
      <c r="J337" s="251"/>
      <c r="K337" s="251"/>
      <c r="L337" s="251"/>
      <c r="M337" s="251"/>
      <c r="N337" s="21"/>
      <c r="O337" s="251"/>
      <c r="P337" s="252"/>
      <c r="Q337" s="253"/>
      <c r="R337" s="252"/>
      <c r="S337" s="251"/>
      <c r="T337" s="251"/>
      <c r="U337" s="251"/>
      <c r="V337" s="251"/>
      <c r="W337" s="251"/>
      <c r="X337" s="251"/>
      <c r="Y337" s="251"/>
      <c r="Z337" s="251"/>
    </row>
    <row r="338">
      <c r="A338" s="250"/>
      <c r="B338" s="251"/>
      <c r="C338" s="251" t="s">
        <v>39</v>
      </c>
      <c r="D338" s="252" t="s">
        <v>39</v>
      </c>
      <c r="E338" s="252" t="s">
        <v>39</v>
      </c>
      <c r="F338" s="252"/>
      <c r="G338" s="251"/>
      <c r="H338" s="251"/>
      <c r="I338" s="251"/>
      <c r="J338" s="251"/>
      <c r="K338" s="251"/>
      <c r="L338" s="251"/>
      <c r="M338" s="251"/>
      <c r="N338" s="21"/>
      <c r="O338" s="251"/>
      <c r="P338" s="252"/>
      <c r="Q338" s="253"/>
      <c r="R338" s="252"/>
      <c r="S338" s="251"/>
      <c r="T338" s="251"/>
      <c r="U338" s="251"/>
      <c r="V338" s="251"/>
      <c r="W338" s="251"/>
      <c r="X338" s="251"/>
      <c r="Y338" s="251"/>
      <c r="Z338" s="251"/>
    </row>
    <row r="339">
      <c r="A339" s="250"/>
      <c r="B339" s="251"/>
      <c r="C339" s="251" t="s">
        <v>39</v>
      </c>
      <c r="D339" s="252" t="s">
        <v>39</v>
      </c>
      <c r="E339" s="252" t="s">
        <v>39</v>
      </c>
      <c r="F339" s="252"/>
      <c r="G339" s="251"/>
      <c r="H339" s="251"/>
      <c r="I339" s="251"/>
      <c r="J339" s="251"/>
      <c r="K339" s="251"/>
      <c r="L339" s="251"/>
      <c r="M339" s="251"/>
      <c r="N339" s="21"/>
      <c r="O339" s="251"/>
      <c r="P339" s="252"/>
      <c r="Q339" s="253"/>
      <c r="R339" s="252"/>
      <c r="S339" s="251"/>
      <c r="T339" s="251"/>
      <c r="U339" s="251"/>
      <c r="V339" s="251"/>
      <c r="W339" s="251"/>
      <c r="X339" s="251"/>
      <c r="Y339" s="251"/>
      <c r="Z339" s="251"/>
    </row>
    <row r="340">
      <c r="A340" s="250"/>
      <c r="B340" s="251"/>
      <c r="C340" s="251" t="s">
        <v>39</v>
      </c>
      <c r="D340" s="252" t="s">
        <v>39</v>
      </c>
      <c r="E340" s="252" t="s">
        <v>39</v>
      </c>
      <c r="F340" s="252"/>
      <c r="G340" s="251"/>
      <c r="H340" s="251"/>
      <c r="I340" s="251"/>
      <c r="J340" s="251"/>
      <c r="K340" s="251"/>
      <c r="L340" s="251"/>
      <c r="M340" s="251"/>
      <c r="N340" s="21"/>
      <c r="O340" s="251"/>
      <c r="P340" s="252"/>
      <c r="Q340" s="253"/>
      <c r="R340" s="252"/>
      <c r="S340" s="251"/>
      <c r="T340" s="251"/>
      <c r="U340" s="251"/>
      <c r="V340" s="251"/>
      <c r="W340" s="251"/>
      <c r="X340" s="251"/>
      <c r="Y340" s="251"/>
      <c r="Z340" s="251"/>
    </row>
    <row r="341">
      <c r="A341" s="250"/>
      <c r="B341" s="251"/>
      <c r="C341" s="251" t="s">
        <v>39</v>
      </c>
      <c r="D341" s="252" t="s">
        <v>39</v>
      </c>
      <c r="E341" s="252" t="s">
        <v>39</v>
      </c>
      <c r="F341" s="252"/>
      <c r="G341" s="251"/>
      <c r="H341" s="251"/>
      <c r="I341" s="251"/>
      <c r="J341" s="251"/>
      <c r="K341" s="251"/>
      <c r="L341" s="251"/>
      <c r="M341" s="251"/>
      <c r="N341" s="21"/>
      <c r="O341" s="251"/>
      <c r="P341" s="252"/>
      <c r="Q341" s="253"/>
      <c r="R341" s="252"/>
      <c r="S341" s="251"/>
      <c r="T341" s="251"/>
      <c r="U341" s="251"/>
      <c r="V341" s="251"/>
      <c r="W341" s="251"/>
      <c r="X341" s="251"/>
      <c r="Y341" s="251"/>
      <c r="Z341" s="251"/>
    </row>
    <row r="342">
      <c r="A342" s="250"/>
      <c r="B342" s="251"/>
      <c r="C342" s="251" t="s">
        <v>39</v>
      </c>
      <c r="D342" s="252" t="s">
        <v>39</v>
      </c>
      <c r="E342" s="252" t="s">
        <v>39</v>
      </c>
      <c r="F342" s="252"/>
      <c r="G342" s="251"/>
      <c r="H342" s="251"/>
      <c r="I342" s="251"/>
      <c r="J342" s="251"/>
      <c r="K342" s="251"/>
      <c r="L342" s="251"/>
      <c r="M342" s="251"/>
      <c r="N342" s="21"/>
      <c r="O342" s="251"/>
      <c r="P342" s="252"/>
      <c r="Q342" s="253"/>
      <c r="R342" s="252"/>
      <c r="S342" s="251"/>
      <c r="T342" s="251"/>
      <c r="U342" s="251"/>
      <c r="V342" s="251"/>
      <c r="W342" s="251"/>
      <c r="X342" s="251"/>
      <c r="Y342" s="251"/>
      <c r="Z342" s="251"/>
    </row>
    <row r="343">
      <c r="A343" s="250"/>
      <c r="B343" s="251"/>
      <c r="C343" s="251" t="s">
        <v>39</v>
      </c>
      <c r="D343" s="252" t="s">
        <v>39</v>
      </c>
      <c r="E343" s="252" t="s">
        <v>39</v>
      </c>
      <c r="F343" s="252"/>
      <c r="G343" s="251"/>
      <c r="H343" s="251"/>
      <c r="I343" s="251"/>
      <c r="J343" s="251"/>
      <c r="K343" s="251"/>
      <c r="L343" s="251"/>
      <c r="M343" s="251"/>
      <c r="N343" s="21"/>
      <c r="O343" s="251"/>
      <c r="P343" s="252"/>
      <c r="Q343" s="253"/>
      <c r="R343" s="252"/>
      <c r="S343" s="251"/>
      <c r="T343" s="251"/>
      <c r="U343" s="251"/>
      <c r="V343" s="251"/>
      <c r="W343" s="251"/>
      <c r="X343" s="251"/>
      <c r="Y343" s="251"/>
      <c r="Z343" s="251"/>
    </row>
    <row r="344">
      <c r="A344" s="250"/>
      <c r="B344" s="251"/>
      <c r="C344" s="251" t="s">
        <v>39</v>
      </c>
      <c r="D344" s="252" t="s">
        <v>39</v>
      </c>
      <c r="E344" s="252" t="s">
        <v>39</v>
      </c>
      <c r="F344" s="252"/>
      <c r="G344" s="251"/>
      <c r="H344" s="251"/>
      <c r="I344" s="251"/>
      <c r="J344" s="251"/>
      <c r="K344" s="251"/>
      <c r="L344" s="251"/>
      <c r="M344" s="251"/>
      <c r="N344" s="21"/>
      <c r="O344" s="251"/>
      <c r="P344" s="252"/>
      <c r="Q344" s="253"/>
      <c r="R344" s="252"/>
      <c r="S344" s="251"/>
      <c r="T344" s="251"/>
      <c r="U344" s="251"/>
      <c r="V344" s="251"/>
      <c r="W344" s="251"/>
      <c r="X344" s="251"/>
      <c r="Y344" s="251"/>
      <c r="Z344" s="251"/>
    </row>
    <row r="345">
      <c r="A345" s="250"/>
      <c r="B345" s="251"/>
      <c r="C345" s="251" t="s">
        <v>39</v>
      </c>
      <c r="D345" s="252" t="s">
        <v>39</v>
      </c>
      <c r="E345" s="252" t="s">
        <v>39</v>
      </c>
      <c r="F345" s="252"/>
      <c r="G345" s="251"/>
      <c r="H345" s="251"/>
      <c r="I345" s="251"/>
      <c r="J345" s="251"/>
      <c r="K345" s="251"/>
      <c r="L345" s="251"/>
      <c r="M345" s="251"/>
      <c r="N345" s="21"/>
      <c r="O345" s="251"/>
      <c r="P345" s="252"/>
      <c r="Q345" s="253"/>
      <c r="R345" s="252"/>
      <c r="S345" s="251"/>
      <c r="T345" s="251"/>
      <c r="U345" s="251"/>
      <c r="V345" s="251"/>
      <c r="W345" s="251"/>
      <c r="X345" s="251"/>
      <c r="Y345" s="251"/>
      <c r="Z345" s="251"/>
    </row>
    <row r="346">
      <c r="A346" s="250"/>
      <c r="B346" s="251"/>
      <c r="C346" s="251" t="s">
        <v>39</v>
      </c>
      <c r="D346" s="252" t="s">
        <v>39</v>
      </c>
      <c r="E346" s="252" t="s">
        <v>39</v>
      </c>
      <c r="F346" s="252"/>
      <c r="G346" s="251"/>
      <c r="H346" s="251"/>
      <c r="I346" s="251"/>
      <c r="J346" s="251"/>
      <c r="K346" s="251"/>
      <c r="L346" s="251"/>
      <c r="M346" s="251"/>
      <c r="N346" s="21"/>
      <c r="O346" s="251"/>
      <c r="P346" s="252"/>
      <c r="Q346" s="253"/>
      <c r="R346" s="252"/>
      <c r="S346" s="251"/>
      <c r="T346" s="251"/>
      <c r="U346" s="251"/>
      <c r="V346" s="251"/>
      <c r="W346" s="251"/>
      <c r="X346" s="251"/>
      <c r="Y346" s="251"/>
      <c r="Z346" s="251"/>
    </row>
    <row r="347">
      <c r="A347" s="250"/>
      <c r="B347" s="251"/>
      <c r="C347" s="251" t="s">
        <v>39</v>
      </c>
      <c r="D347" s="252" t="s">
        <v>39</v>
      </c>
      <c r="E347" s="252" t="s">
        <v>39</v>
      </c>
      <c r="F347" s="252"/>
      <c r="G347" s="251"/>
      <c r="H347" s="251"/>
      <c r="I347" s="251"/>
      <c r="J347" s="251"/>
      <c r="K347" s="251"/>
      <c r="L347" s="251"/>
      <c r="M347" s="251"/>
      <c r="N347" s="21"/>
      <c r="O347" s="251"/>
      <c r="P347" s="252"/>
      <c r="Q347" s="253"/>
      <c r="R347" s="252"/>
      <c r="S347" s="251"/>
      <c r="T347" s="251"/>
      <c r="U347" s="251"/>
      <c r="V347" s="251"/>
      <c r="W347" s="251"/>
      <c r="X347" s="251"/>
      <c r="Y347" s="251"/>
      <c r="Z347" s="251"/>
    </row>
    <row r="348">
      <c r="A348" s="250"/>
      <c r="B348" s="251"/>
      <c r="C348" s="251" t="s">
        <v>39</v>
      </c>
      <c r="D348" s="252" t="s">
        <v>39</v>
      </c>
      <c r="E348" s="252" t="s">
        <v>39</v>
      </c>
      <c r="F348" s="252"/>
      <c r="G348" s="251"/>
      <c r="H348" s="251"/>
      <c r="I348" s="251"/>
      <c r="J348" s="251"/>
      <c r="K348" s="251"/>
      <c r="L348" s="251"/>
      <c r="M348" s="251"/>
      <c r="N348" s="21"/>
      <c r="O348" s="251"/>
      <c r="P348" s="252"/>
      <c r="Q348" s="253"/>
      <c r="R348" s="252"/>
      <c r="S348" s="251"/>
      <c r="T348" s="251"/>
      <c r="U348" s="251"/>
      <c r="V348" s="251"/>
      <c r="W348" s="251"/>
      <c r="X348" s="251"/>
      <c r="Y348" s="251"/>
      <c r="Z348" s="251"/>
    </row>
    <row r="349">
      <c r="A349" s="250"/>
      <c r="B349" s="251"/>
      <c r="C349" s="251" t="s">
        <v>39</v>
      </c>
      <c r="D349" s="252" t="s">
        <v>39</v>
      </c>
      <c r="E349" s="252" t="s">
        <v>39</v>
      </c>
      <c r="F349" s="252"/>
      <c r="G349" s="251"/>
      <c r="H349" s="251"/>
      <c r="I349" s="251"/>
      <c r="J349" s="251"/>
      <c r="K349" s="251"/>
      <c r="L349" s="251"/>
      <c r="M349" s="251"/>
      <c r="N349" s="21"/>
      <c r="O349" s="251"/>
      <c r="P349" s="252"/>
      <c r="Q349" s="253"/>
      <c r="R349" s="252"/>
      <c r="S349" s="251"/>
      <c r="T349" s="251"/>
      <c r="U349" s="251"/>
      <c r="V349" s="251"/>
      <c r="W349" s="251"/>
      <c r="X349" s="251"/>
      <c r="Y349" s="251"/>
      <c r="Z349" s="251"/>
    </row>
    <row r="350">
      <c r="A350" s="250"/>
      <c r="B350" s="251"/>
      <c r="C350" s="251" t="s">
        <v>39</v>
      </c>
      <c r="D350" s="252" t="s">
        <v>39</v>
      </c>
      <c r="E350" s="252" t="s">
        <v>39</v>
      </c>
      <c r="F350" s="252"/>
      <c r="G350" s="251"/>
      <c r="H350" s="251"/>
      <c r="I350" s="251"/>
      <c r="J350" s="251"/>
      <c r="K350" s="251"/>
      <c r="L350" s="251"/>
      <c r="M350" s="251"/>
      <c r="N350" s="21"/>
      <c r="O350" s="251"/>
      <c r="P350" s="252"/>
      <c r="Q350" s="253"/>
      <c r="R350" s="252"/>
      <c r="S350" s="251"/>
      <c r="T350" s="251"/>
      <c r="U350" s="251"/>
      <c r="V350" s="251"/>
      <c r="W350" s="251"/>
      <c r="X350" s="251"/>
      <c r="Y350" s="251"/>
      <c r="Z350" s="251"/>
    </row>
    <row r="351">
      <c r="A351" s="250"/>
      <c r="B351" s="251"/>
      <c r="C351" s="251" t="s">
        <v>39</v>
      </c>
      <c r="D351" s="252" t="s">
        <v>39</v>
      </c>
      <c r="E351" s="252" t="s">
        <v>39</v>
      </c>
      <c r="F351" s="252"/>
      <c r="G351" s="251"/>
      <c r="H351" s="251"/>
      <c r="I351" s="251"/>
      <c r="J351" s="251"/>
      <c r="K351" s="251"/>
      <c r="L351" s="251"/>
      <c r="M351" s="251"/>
      <c r="N351" s="21"/>
      <c r="O351" s="251"/>
      <c r="P351" s="252"/>
      <c r="Q351" s="253"/>
      <c r="R351" s="252"/>
      <c r="S351" s="251"/>
      <c r="T351" s="251"/>
      <c r="U351" s="251"/>
      <c r="V351" s="251"/>
      <c r="W351" s="251"/>
      <c r="X351" s="251"/>
      <c r="Y351" s="251"/>
      <c r="Z351" s="251"/>
    </row>
    <row r="352">
      <c r="A352" s="250"/>
      <c r="B352" s="251"/>
      <c r="C352" s="251" t="s">
        <v>39</v>
      </c>
      <c r="D352" s="252" t="s">
        <v>39</v>
      </c>
      <c r="E352" s="252" t="s">
        <v>39</v>
      </c>
      <c r="F352" s="252"/>
      <c r="G352" s="251"/>
      <c r="H352" s="251"/>
      <c r="I352" s="251"/>
      <c r="J352" s="251"/>
      <c r="K352" s="251"/>
      <c r="L352" s="251"/>
      <c r="M352" s="251"/>
      <c r="N352" s="21"/>
      <c r="O352" s="251"/>
      <c r="P352" s="252"/>
      <c r="Q352" s="253"/>
      <c r="R352" s="252"/>
      <c r="S352" s="251"/>
      <c r="T352" s="251"/>
      <c r="U352" s="251"/>
      <c r="V352" s="251"/>
      <c r="W352" s="251"/>
      <c r="X352" s="251"/>
      <c r="Y352" s="251"/>
      <c r="Z352" s="251"/>
    </row>
    <row r="353">
      <c r="A353" s="250"/>
      <c r="B353" s="251"/>
      <c r="C353" s="251" t="s">
        <v>39</v>
      </c>
      <c r="D353" s="252" t="s">
        <v>39</v>
      </c>
      <c r="E353" s="252" t="s">
        <v>39</v>
      </c>
      <c r="F353" s="252"/>
      <c r="G353" s="251"/>
      <c r="H353" s="251"/>
      <c r="I353" s="251"/>
      <c r="J353" s="251"/>
      <c r="K353" s="251"/>
      <c r="L353" s="251"/>
      <c r="M353" s="251"/>
      <c r="N353" s="21"/>
      <c r="O353" s="251"/>
      <c r="P353" s="252"/>
      <c r="Q353" s="253"/>
      <c r="R353" s="252"/>
      <c r="S353" s="251"/>
      <c r="T353" s="251"/>
      <c r="U353" s="251"/>
      <c r="V353" s="251"/>
      <c r="W353" s="251"/>
      <c r="X353" s="251"/>
      <c r="Y353" s="251"/>
      <c r="Z353" s="251"/>
    </row>
    <row r="354">
      <c r="A354" s="250"/>
      <c r="B354" s="251"/>
      <c r="C354" s="251" t="s">
        <v>39</v>
      </c>
      <c r="D354" s="252" t="s">
        <v>39</v>
      </c>
      <c r="E354" s="252" t="s">
        <v>39</v>
      </c>
      <c r="F354" s="252"/>
      <c r="G354" s="251"/>
      <c r="H354" s="251"/>
      <c r="I354" s="251"/>
      <c r="J354" s="251"/>
      <c r="K354" s="251"/>
      <c r="L354" s="251"/>
      <c r="M354" s="251"/>
      <c r="N354" s="21"/>
      <c r="O354" s="251"/>
      <c r="P354" s="252"/>
      <c r="Q354" s="253"/>
      <c r="R354" s="252"/>
      <c r="S354" s="251"/>
      <c r="T354" s="251"/>
      <c r="U354" s="251"/>
      <c r="V354" s="251"/>
      <c r="W354" s="251"/>
      <c r="X354" s="251"/>
      <c r="Y354" s="251"/>
      <c r="Z354" s="251"/>
    </row>
    <row r="355">
      <c r="A355" s="250"/>
      <c r="B355" s="251"/>
      <c r="C355" s="251" t="s">
        <v>39</v>
      </c>
      <c r="D355" s="252" t="s">
        <v>39</v>
      </c>
      <c r="E355" s="252" t="s">
        <v>39</v>
      </c>
      <c r="F355" s="252"/>
      <c r="G355" s="251"/>
      <c r="H355" s="251"/>
      <c r="I355" s="251"/>
      <c r="J355" s="251"/>
      <c r="K355" s="251"/>
      <c r="L355" s="251"/>
      <c r="M355" s="251"/>
      <c r="N355" s="21"/>
      <c r="O355" s="251"/>
      <c r="P355" s="252"/>
      <c r="Q355" s="253"/>
      <c r="R355" s="252"/>
      <c r="S355" s="251"/>
      <c r="T355" s="251"/>
      <c r="U355" s="251"/>
      <c r="V355" s="251"/>
      <c r="W355" s="251"/>
      <c r="X355" s="251"/>
      <c r="Y355" s="251"/>
      <c r="Z355" s="251"/>
    </row>
    <row r="356">
      <c r="A356" s="250"/>
      <c r="B356" s="251"/>
      <c r="C356" s="251" t="s">
        <v>39</v>
      </c>
      <c r="D356" s="252" t="s">
        <v>39</v>
      </c>
      <c r="E356" s="252" t="s">
        <v>39</v>
      </c>
      <c r="F356" s="252"/>
      <c r="G356" s="251"/>
      <c r="H356" s="251"/>
      <c r="I356" s="251"/>
      <c r="J356" s="251"/>
      <c r="K356" s="251"/>
      <c r="L356" s="251"/>
      <c r="M356" s="251"/>
      <c r="N356" s="21"/>
      <c r="O356" s="251"/>
      <c r="P356" s="252"/>
      <c r="Q356" s="253"/>
      <c r="R356" s="252"/>
      <c r="S356" s="251"/>
      <c r="T356" s="251"/>
      <c r="U356" s="251"/>
      <c r="V356" s="251"/>
      <c r="W356" s="251"/>
      <c r="X356" s="251"/>
      <c r="Y356" s="251"/>
      <c r="Z356" s="251"/>
    </row>
    <row r="357">
      <c r="A357" s="250"/>
      <c r="B357" s="251"/>
      <c r="C357" s="251" t="s">
        <v>39</v>
      </c>
      <c r="D357" s="252" t="s">
        <v>39</v>
      </c>
      <c r="E357" s="252" t="s">
        <v>39</v>
      </c>
      <c r="F357" s="252"/>
      <c r="G357" s="251"/>
      <c r="H357" s="251"/>
      <c r="I357" s="251"/>
      <c r="J357" s="251"/>
      <c r="K357" s="251"/>
      <c r="L357" s="251"/>
      <c r="M357" s="251"/>
      <c r="N357" s="21"/>
      <c r="O357" s="251"/>
      <c r="P357" s="252"/>
      <c r="Q357" s="253"/>
      <c r="R357" s="252"/>
      <c r="S357" s="251"/>
      <c r="T357" s="251"/>
      <c r="U357" s="251"/>
      <c r="V357" s="251"/>
      <c r="W357" s="251"/>
      <c r="X357" s="251"/>
      <c r="Y357" s="251"/>
      <c r="Z357" s="251"/>
    </row>
    <row r="358">
      <c r="A358" s="250"/>
      <c r="B358" s="251"/>
      <c r="C358" s="251" t="s">
        <v>39</v>
      </c>
      <c r="D358" s="252" t="s">
        <v>39</v>
      </c>
      <c r="E358" s="252" t="s">
        <v>39</v>
      </c>
      <c r="F358" s="252"/>
      <c r="G358" s="251"/>
      <c r="H358" s="251"/>
      <c r="I358" s="251"/>
      <c r="J358" s="251"/>
      <c r="K358" s="251"/>
      <c r="L358" s="251"/>
      <c r="M358" s="251"/>
      <c r="N358" s="21"/>
      <c r="O358" s="251"/>
      <c r="P358" s="252"/>
      <c r="Q358" s="253"/>
      <c r="R358" s="252"/>
      <c r="S358" s="251"/>
      <c r="T358" s="251"/>
      <c r="U358" s="251"/>
      <c r="V358" s="251"/>
      <c r="W358" s="251"/>
      <c r="X358" s="251"/>
      <c r="Y358" s="251"/>
      <c r="Z358" s="251"/>
    </row>
    <row r="359">
      <c r="A359" s="250"/>
      <c r="B359" s="251"/>
      <c r="C359" s="251" t="s">
        <v>39</v>
      </c>
      <c r="D359" s="252" t="s">
        <v>39</v>
      </c>
      <c r="E359" s="252" t="s">
        <v>39</v>
      </c>
      <c r="F359" s="252"/>
      <c r="G359" s="251"/>
      <c r="H359" s="251"/>
      <c r="I359" s="251"/>
      <c r="J359" s="251"/>
      <c r="K359" s="251"/>
      <c r="L359" s="251"/>
      <c r="M359" s="251"/>
      <c r="N359" s="21"/>
      <c r="O359" s="251"/>
      <c r="P359" s="252"/>
      <c r="Q359" s="253"/>
      <c r="R359" s="252"/>
      <c r="S359" s="251"/>
      <c r="T359" s="251"/>
      <c r="U359" s="251"/>
      <c r="V359" s="251"/>
      <c r="W359" s="251"/>
      <c r="X359" s="251"/>
      <c r="Y359" s="251"/>
      <c r="Z359" s="251"/>
    </row>
    <row r="360">
      <c r="A360" s="250"/>
      <c r="B360" s="251"/>
      <c r="C360" s="251" t="s">
        <v>39</v>
      </c>
      <c r="D360" s="252" t="s">
        <v>39</v>
      </c>
      <c r="E360" s="252" t="s">
        <v>39</v>
      </c>
      <c r="F360" s="252"/>
      <c r="G360" s="251"/>
      <c r="H360" s="251"/>
      <c r="I360" s="251"/>
      <c r="J360" s="251"/>
      <c r="K360" s="251"/>
      <c r="L360" s="251"/>
      <c r="M360" s="251"/>
      <c r="N360" s="21"/>
      <c r="O360" s="251"/>
      <c r="P360" s="252"/>
      <c r="Q360" s="253"/>
      <c r="R360" s="252"/>
      <c r="S360" s="251"/>
      <c r="T360" s="251"/>
      <c r="U360" s="251"/>
      <c r="V360" s="251"/>
      <c r="W360" s="251"/>
      <c r="X360" s="251"/>
      <c r="Y360" s="251"/>
      <c r="Z360" s="251"/>
    </row>
    <row r="361">
      <c r="A361" s="250"/>
      <c r="B361" s="251"/>
      <c r="C361" s="251" t="s">
        <v>39</v>
      </c>
      <c r="D361" s="252" t="s">
        <v>39</v>
      </c>
      <c r="E361" s="252" t="s">
        <v>39</v>
      </c>
      <c r="F361" s="252"/>
      <c r="G361" s="251"/>
      <c r="H361" s="251"/>
      <c r="I361" s="251"/>
      <c r="J361" s="251"/>
      <c r="K361" s="251"/>
      <c r="L361" s="251"/>
      <c r="M361" s="251"/>
      <c r="N361" s="21"/>
      <c r="O361" s="251"/>
      <c r="P361" s="252"/>
      <c r="Q361" s="253"/>
      <c r="R361" s="252"/>
      <c r="S361" s="251"/>
      <c r="T361" s="251"/>
      <c r="U361" s="251"/>
      <c r="V361" s="251"/>
      <c r="W361" s="251"/>
      <c r="X361" s="251"/>
      <c r="Y361" s="251"/>
      <c r="Z361" s="251"/>
    </row>
    <row r="362">
      <c r="A362" s="250"/>
      <c r="B362" s="251"/>
      <c r="C362" s="251" t="s">
        <v>39</v>
      </c>
      <c r="D362" s="252" t="s">
        <v>39</v>
      </c>
      <c r="E362" s="252" t="s">
        <v>39</v>
      </c>
      <c r="F362" s="252"/>
      <c r="G362" s="251"/>
      <c r="H362" s="251"/>
      <c r="I362" s="251"/>
      <c r="J362" s="251"/>
      <c r="K362" s="251"/>
      <c r="L362" s="251"/>
      <c r="M362" s="251"/>
      <c r="N362" s="21"/>
      <c r="O362" s="251"/>
      <c r="P362" s="252"/>
      <c r="Q362" s="253"/>
      <c r="R362" s="252"/>
      <c r="S362" s="251"/>
      <c r="T362" s="251"/>
      <c r="U362" s="251"/>
      <c r="V362" s="251"/>
      <c r="W362" s="251"/>
      <c r="X362" s="251"/>
      <c r="Y362" s="251"/>
      <c r="Z362" s="251"/>
    </row>
    <row r="363">
      <c r="A363" s="250"/>
      <c r="B363" s="251"/>
      <c r="C363" s="251" t="s">
        <v>39</v>
      </c>
      <c r="D363" s="252" t="s">
        <v>39</v>
      </c>
      <c r="E363" s="252" t="s">
        <v>39</v>
      </c>
      <c r="F363" s="252"/>
      <c r="G363" s="251"/>
      <c r="H363" s="251"/>
      <c r="I363" s="251"/>
      <c r="J363" s="251"/>
      <c r="K363" s="251"/>
      <c r="L363" s="251"/>
      <c r="M363" s="251"/>
      <c r="N363" s="21"/>
      <c r="O363" s="251"/>
      <c r="P363" s="252"/>
      <c r="Q363" s="253"/>
      <c r="R363" s="252"/>
      <c r="S363" s="251"/>
      <c r="T363" s="251"/>
      <c r="U363" s="251"/>
      <c r="V363" s="251"/>
      <c r="W363" s="251"/>
      <c r="X363" s="251"/>
      <c r="Y363" s="251"/>
      <c r="Z363" s="251"/>
    </row>
    <row r="364">
      <c r="A364" s="250"/>
      <c r="B364" s="251"/>
      <c r="C364" s="251" t="s">
        <v>39</v>
      </c>
      <c r="D364" s="252" t="s">
        <v>39</v>
      </c>
      <c r="E364" s="252" t="s">
        <v>39</v>
      </c>
      <c r="F364" s="252"/>
      <c r="G364" s="251"/>
      <c r="H364" s="251"/>
      <c r="I364" s="251"/>
      <c r="J364" s="251"/>
      <c r="K364" s="251"/>
      <c r="L364" s="251"/>
      <c r="M364" s="251"/>
      <c r="N364" s="21"/>
      <c r="O364" s="251"/>
      <c r="P364" s="252"/>
      <c r="Q364" s="253"/>
      <c r="R364" s="252"/>
      <c r="S364" s="251"/>
      <c r="T364" s="251"/>
      <c r="U364" s="251"/>
      <c r="V364" s="251"/>
      <c r="W364" s="251"/>
      <c r="X364" s="251"/>
      <c r="Y364" s="251"/>
      <c r="Z364" s="251"/>
    </row>
    <row r="365">
      <c r="A365" s="250"/>
      <c r="B365" s="251"/>
      <c r="C365" s="251" t="s">
        <v>39</v>
      </c>
      <c r="D365" s="252" t="s">
        <v>39</v>
      </c>
      <c r="E365" s="252" t="s">
        <v>39</v>
      </c>
      <c r="F365" s="252"/>
      <c r="G365" s="251"/>
      <c r="H365" s="251"/>
      <c r="I365" s="251"/>
      <c r="J365" s="251"/>
      <c r="K365" s="251"/>
      <c r="L365" s="251"/>
      <c r="M365" s="251"/>
      <c r="N365" s="21"/>
      <c r="O365" s="251"/>
      <c r="P365" s="252"/>
      <c r="Q365" s="253"/>
      <c r="R365" s="252"/>
      <c r="S365" s="251"/>
      <c r="T365" s="251"/>
      <c r="U365" s="251"/>
      <c r="V365" s="251"/>
      <c r="W365" s="251"/>
      <c r="X365" s="251"/>
      <c r="Y365" s="251"/>
      <c r="Z365" s="251"/>
    </row>
    <row r="366">
      <c r="A366" s="250"/>
      <c r="B366" s="251"/>
      <c r="C366" s="251" t="s">
        <v>39</v>
      </c>
      <c r="D366" s="252" t="s">
        <v>39</v>
      </c>
      <c r="E366" s="252" t="s">
        <v>39</v>
      </c>
      <c r="F366" s="252"/>
      <c r="G366" s="251"/>
      <c r="H366" s="251"/>
      <c r="I366" s="251"/>
      <c r="J366" s="251"/>
      <c r="K366" s="251"/>
      <c r="L366" s="251"/>
      <c r="M366" s="251"/>
      <c r="N366" s="21"/>
      <c r="O366" s="251"/>
      <c r="P366" s="252"/>
      <c r="Q366" s="253"/>
      <c r="R366" s="252"/>
      <c r="S366" s="251"/>
      <c r="T366" s="251"/>
      <c r="U366" s="251"/>
      <c r="V366" s="251"/>
      <c r="W366" s="251"/>
      <c r="X366" s="251"/>
      <c r="Y366" s="251"/>
      <c r="Z366" s="251"/>
    </row>
    <row r="367">
      <c r="A367" s="250"/>
      <c r="B367" s="251"/>
      <c r="C367" s="251" t="s">
        <v>39</v>
      </c>
      <c r="D367" s="252" t="s">
        <v>39</v>
      </c>
      <c r="E367" s="252" t="s">
        <v>39</v>
      </c>
      <c r="F367" s="252"/>
      <c r="G367" s="251"/>
      <c r="H367" s="251"/>
      <c r="I367" s="251"/>
      <c r="J367" s="251"/>
      <c r="K367" s="251"/>
      <c r="L367" s="251"/>
      <c r="M367" s="251"/>
      <c r="N367" s="21"/>
      <c r="O367" s="251"/>
      <c r="P367" s="252"/>
      <c r="Q367" s="253"/>
      <c r="R367" s="252"/>
      <c r="S367" s="251"/>
      <c r="T367" s="251"/>
      <c r="U367" s="251"/>
      <c r="V367" s="251"/>
      <c r="W367" s="251"/>
      <c r="X367" s="251"/>
      <c r="Y367" s="251"/>
      <c r="Z367" s="251"/>
    </row>
    <row r="368">
      <c r="A368" s="250"/>
      <c r="B368" s="251"/>
      <c r="C368" s="251" t="s">
        <v>39</v>
      </c>
      <c r="D368" s="252" t="s">
        <v>39</v>
      </c>
      <c r="E368" s="252" t="s">
        <v>39</v>
      </c>
      <c r="F368" s="252"/>
      <c r="G368" s="251"/>
      <c r="H368" s="251"/>
      <c r="I368" s="251"/>
      <c r="J368" s="251"/>
      <c r="K368" s="251"/>
      <c r="L368" s="251"/>
      <c r="M368" s="251"/>
      <c r="N368" s="21"/>
      <c r="O368" s="251"/>
      <c r="P368" s="252"/>
      <c r="Q368" s="253"/>
      <c r="R368" s="252"/>
      <c r="S368" s="251"/>
      <c r="T368" s="251"/>
      <c r="U368" s="251"/>
      <c r="V368" s="251"/>
      <c r="W368" s="251"/>
      <c r="X368" s="251"/>
      <c r="Y368" s="251"/>
      <c r="Z368" s="251"/>
    </row>
    <row r="369">
      <c r="A369" s="250"/>
      <c r="B369" s="251"/>
      <c r="C369" s="251" t="s">
        <v>39</v>
      </c>
      <c r="D369" s="252" t="s">
        <v>39</v>
      </c>
      <c r="E369" s="252" t="s">
        <v>39</v>
      </c>
      <c r="F369" s="252"/>
      <c r="G369" s="251"/>
      <c r="H369" s="251"/>
      <c r="I369" s="251"/>
      <c r="J369" s="251"/>
      <c r="K369" s="251"/>
      <c r="L369" s="251"/>
      <c r="M369" s="251"/>
      <c r="N369" s="21"/>
      <c r="O369" s="251"/>
      <c r="P369" s="252"/>
      <c r="Q369" s="253"/>
      <c r="R369" s="252"/>
      <c r="S369" s="251"/>
      <c r="T369" s="251"/>
      <c r="U369" s="251"/>
      <c r="V369" s="251"/>
      <c r="W369" s="251"/>
      <c r="X369" s="251"/>
      <c r="Y369" s="251"/>
      <c r="Z369" s="251"/>
    </row>
    <row r="370">
      <c r="A370" s="250"/>
      <c r="B370" s="251"/>
      <c r="C370" s="251" t="s">
        <v>39</v>
      </c>
      <c r="D370" s="252" t="s">
        <v>39</v>
      </c>
      <c r="E370" s="252" t="s">
        <v>39</v>
      </c>
      <c r="F370" s="252"/>
      <c r="G370" s="251"/>
      <c r="H370" s="251"/>
      <c r="I370" s="251"/>
      <c r="J370" s="251"/>
      <c r="K370" s="251"/>
      <c r="L370" s="251"/>
      <c r="M370" s="251"/>
      <c r="N370" s="21"/>
      <c r="O370" s="251"/>
      <c r="P370" s="252"/>
      <c r="Q370" s="253"/>
      <c r="R370" s="252"/>
      <c r="S370" s="251"/>
      <c r="T370" s="251"/>
      <c r="U370" s="251"/>
      <c r="V370" s="251"/>
      <c r="W370" s="251"/>
      <c r="X370" s="251"/>
      <c r="Y370" s="251"/>
      <c r="Z370" s="251"/>
    </row>
    <row r="371">
      <c r="A371" s="250"/>
      <c r="B371" s="251"/>
      <c r="C371" s="251" t="s">
        <v>39</v>
      </c>
      <c r="D371" s="252" t="s">
        <v>39</v>
      </c>
      <c r="E371" s="252" t="s">
        <v>39</v>
      </c>
      <c r="F371" s="252"/>
      <c r="G371" s="251"/>
      <c r="H371" s="251"/>
      <c r="I371" s="251"/>
      <c r="J371" s="251"/>
      <c r="K371" s="251"/>
      <c r="L371" s="251"/>
      <c r="M371" s="251"/>
      <c r="N371" s="21"/>
      <c r="O371" s="251"/>
      <c r="P371" s="252"/>
      <c r="Q371" s="253"/>
      <c r="R371" s="252"/>
      <c r="S371" s="251"/>
      <c r="T371" s="251"/>
      <c r="U371" s="251"/>
      <c r="V371" s="251"/>
      <c r="W371" s="251"/>
      <c r="X371" s="251"/>
      <c r="Y371" s="251"/>
      <c r="Z371" s="251"/>
    </row>
    <row r="372">
      <c r="A372" s="250"/>
      <c r="B372" s="251"/>
      <c r="C372" s="251" t="s">
        <v>39</v>
      </c>
      <c r="D372" s="252" t="s">
        <v>39</v>
      </c>
      <c r="E372" s="252" t="s">
        <v>39</v>
      </c>
      <c r="F372" s="252"/>
      <c r="G372" s="251"/>
      <c r="H372" s="251"/>
      <c r="I372" s="251"/>
      <c r="J372" s="251"/>
      <c r="K372" s="251"/>
      <c r="L372" s="251"/>
      <c r="M372" s="251"/>
      <c r="N372" s="21"/>
      <c r="O372" s="251"/>
      <c r="P372" s="252"/>
      <c r="Q372" s="253"/>
      <c r="R372" s="252"/>
      <c r="S372" s="251"/>
      <c r="T372" s="251"/>
      <c r="U372" s="251"/>
      <c r="V372" s="251"/>
      <c r="W372" s="251"/>
      <c r="X372" s="251"/>
      <c r="Y372" s="251"/>
      <c r="Z372" s="251"/>
    </row>
    <row r="373">
      <c r="A373" s="250"/>
      <c r="B373" s="251"/>
      <c r="C373" s="251" t="s">
        <v>39</v>
      </c>
      <c r="D373" s="252" t="s">
        <v>39</v>
      </c>
      <c r="E373" s="252" t="s">
        <v>39</v>
      </c>
      <c r="F373" s="252"/>
      <c r="G373" s="251"/>
      <c r="H373" s="251"/>
      <c r="I373" s="251"/>
      <c r="J373" s="251"/>
      <c r="K373" s="251"/>
      <c r="L373" s="251"/>
      <c r="M373" s="251"/>
      <c r="N373" s="21"/>
      <c r="O373" s="251"/>
      <c r="P373" s="252"/>
      <c r="Q373" s="253"/>
      <c r="R373" s="252"/>
      <c r="S373" s="251"/>
      <c r="T373" s="251"/>
      <c r="U373" s="251"/>
      <c r="V373" s="251"/>
      <c r="W373" s="251"/>
      <c r="X373" s="251"/>
      <c r="Y373" s="251"/>
      <c r="Z373" s="251"/>
    </row>
    <row r="374">
      <c r="A374" s="250"/>
      <c r="B374" s="251"/>
      <c r="C374" s="251" t="s">
        <v>39</v>
      </c>
      <c r="D374" s="252" t="s">
        <v>39</v>
      </c>
      <c r="E374" s="252" t="s">
        <v>39</v>
      </c>
      <c r="F374" s="252"/>
      <c r="G374" s="251"/>
      <c r="H374" s="251"/>
      <c r="I374" s="251"/>
      <c r="J374" s="251"/>
      <c r="K374" s="251"/>
      <c r="L374" s="251"/>
      <c r="M374" s="251"/>
      <c r="N374" s="21"/>
      <c r="O374" s="251"/>
      <c r="P374" s="252"/>
      <c r="Q374" s="253"/>
      <c r="R374" s="252"/>
      <c r="S374" s="251"/>
      <c r="T374" s="251"/>
      <c r="U374" s="251"/>
      <c r="V374" s="251"/>
      <c r="W374" s="251"/>
      <c r="X374" s="251"/>
      <c r="Y374" s="251"/>
      <c r="Z374" s="251"/>
    </row>
    <row r="375">
      <c r="A375" s="250"/>
      <c r="B375" s="251"/>
      <c r="C375" s="251" t="s">
        <v>39</v>
      </c>
      <c r="D375" s="252" t="s">
        <v>39</v>
      </c>
      <c r="E375" s="252" t="s">
        <v>39</v>
      </c>
      <c r="F375" s="252"/>
      <c r="G375" s="251"/>
      <c r="H375" s="251"/>
      <c r="I375" s="251"/>
      <c r="J375" s="251"/>
      <c r="K375" s="251"/>
      <c r="L375" s="251"/>
      <c r="M375" s="251"/>
      <c r="N375" s="21"/>
      <c r="O375" s="251"/>
      <c r="P375" s="252"/>
      <c r="Q375" s="253"/>
      <c r="R375" s="252"/>
      <c r="S375" s="251"/>
      <c r="T375" s="251"/>
      <c r="U375" s="251"/>
      <c r="V375" s="251"/>
      <c r="W375" s="251"/>
      <c r="X375" s="251"/>
      <c r="Y375" s="251"/>
      <c r="Z375" s="251"/>
    </row>
    <row r="376">
      <c r="A376" s="250"/>
      <c r="B376" s="251"/>
      <c r="C376" s="251" t="s">
        <v>39</v>
      </c>
      <c r="D376" s="252" t="s">
        <v>39</v>
      </c>
      <c r="E376" s="252" t="s">
        <v>39</v>
      </c>
      <c r="F376" s="252"/>
      <c r="G376" s="251"/>
      <c r="H376" s="251"/>
      <c r="I376" s="251"/>
      <c r="J376" s="251"/>
      <c r="K376" s="251"/>
      <c r="L376" s="251"/>
      <c r="M376" s="251"/>
      <c r="N376" s="21"/>
      <c r="O376" s="251"/>
      <c r="P376" s="252"/>
      <c r="Q376" s="253"/>
      <c r="R376" s="252"/>
      <c r="S376" s="251"/>
      <c r="T376" s="251"/>
      <c r="U376" s="251"/>
      <c r="V376" s="251"/>
      <c r="W376" s="251"/>
      <c r="X376" s="251"/>
      <c r="Y376" s="251"/>
      <c r="Z376" s="251"/>
    </row>
    <row r="377">
      <c r="A377" s="250"/>
      <c r="B377" s="251"/>
      <c r="C377" s="251" t="s">
        <v>39</v>
      </c>
      <c r="D377" s="252" t="s">
        <v>39</v>
      </c>
      <c r="E377" s="252" t="s">
        <v>39</v>
      </c>
      <c r="F377" s="252"/>
      <c r="G377" s="251"/>
      <c r="H377" s="251"/>
      <c r="I377" s="251"/>
      <c r="J377" s="251"/>
      <c r="K377" s="251"/>
      <c r="L377" s="251"/>
      <c r="M377" s="251"/>
      <c r="N377" s="21"/>
      <c r="O377" s="251"/>
      <c r="P377" s="252"/>
      <c r="Q377" s="253"/>
      <c r="R377" s="252"/>
      <c r="S377" s="251"/>
      <c r="T377" s="251"/>
      <c r="U377" s="251"/>
      <c r="V377" s="251"/>
      <c r="W377" s="251"/>
      <c r="X377" s="251"/>
      <c r="Y377" s="251"/>
      <c r="Z377" s="251"/>
    </row>
    <row r="378">
      <c r="A378" s="250"/>
      <c r="B378" s="251"/>
      <c r="C378" s="251" t="s">
        <v>39</v>
      </c>
      <c r="D378" s="252" t="s">
        <v>39</v>
      </c>
      <c r="E378" s="252" t="s">
        <v>39</v>
      </c>
      <c r="F378" s="252"/>
      <c r="G378" s="251"/>
      <c r="H378" s="251"/>
      <c r="I378" s="251"/>
      <c r="J378" s="251"/>
      <c r="K378" s="251"/>
      <c r="L378" s="251"/>
      <c r="M378" s="251"/>
      <c r="N378" s="21"/>
      <c r="O378" s="251"/>
      <c r="P378" s="252"/>
      <c r="Q378" s="253"/>
      <c r="R378" s="252"/>
      <c r="S378" s="251"/>
      <c r="T378" s="251"/>
      <c r="U378" s="251"/>
      <c r="V378" s="251"/>
      <c r="W378" s="251"/>
      <c r="X378" s="251"/>
      <c r="Y378" s="251"/>
      <c r="Z378" s="251"/>
    </row>
    <row r="379">
      <c r="A379" s="250"/>
      <c r="B379" s="251"/>
      <c r="C379" s="251" t="s">
        <v>39</v>
      </c>
      <c r="D379" s="252" t="s">
        <v>39</v>
      </c>
      <c r="E379" s="252" t="s">
        <v>39</v>
      </c>
      <c r="F379" s="252"/>
      <c r="G379" s="251"/>
      <c r="H379" s="251"/>
      <c r="I379" s="251"/>
      <c r="J379" s="251"/>
      <c r="K379" s="251"/>
      <c r="L379" s="251"/>
      <c r="M379" s="251"/>
      <c r="N379" s="21"/>
      <c r="O379" s="251"/>
      <c r="P379" s="252"/>
      <c r="Q379" s="253"/>
      <c r="R379" s="252"/>
      <c r="S379" s="251"/>
      <c r="T379" s="251"/>
      <c r="U379" s="251"/>
      <c r="V379" s="251"/>
      <c r="W379" s="251"/>
      <c r="X379" s="251"/>
      <c r="Y379" s="251"/>
      <c r="Z379" s="251"/>
    </row>
    <row r="380">
      <c r="A380" s="250"/>
      <c r="B380" s="251"/>
      <c r="C380" s="251" t="s">
        <v>39</v>
      </c>
      <c r="D380" s="252" t="s">
        <v>39</v>
      </c>
      <c r="E380" s="252" t="s">
        <v>39</v>
      </c>
      <c r="F380" s="252"/>
      <c r="G380" s="251"/>
      <c r="H380" s="251"/>
      <c r="I380" s="251"/>
      <c r="J380" s="251"/>
      <c r="K380" s="251"/>
      <c r="L380" s="251"/>
      <c r="M380" s="251"/>
      <c r="N380" s="21"/>
      <c r="O380" s="251"/>
      <c r="P380" s="252"/>
      <c r="Q380" s="253"/>
      <c r="R380" s="252"/>
      <c r="S380" s="251"/>
      <c r="T380" s="251"/>
      <c r="U380" s="251"/>
      <c r="V380" s="251"/>
      <c r="W380" s="251"/>
      <c r="X380" s="251"/>
      <c r="Y380" s="251"/>
      <c r="Z380" s="251"/>
    </row>
    <row r="381">
      <c r="A381" s="250"/>
      <c r="B381" s="251"/>
      <c r="C381" s="251" t="s">
        <v>39</v>
      </c>
      <c r="D381" s="252" t="s">
        <v>39</v>
      </c>
      <c r="E381" s="252" t="s">
        <v>39</v>
      </c>
      <c r="F381" s="252"/>
      <c r="G381" s="251"/>
      <c r="H381" s="251"/>
      <c r="I381" s="251"/>
      <c r="J381" s="251"/>
      <c r="K381" s="251"/>
      <c r="L381" s="251"/>
      <c r="M381" s="251"/>
      <c r="N381" s="21"/>
      <c r="O381" s="251"/>
      <c r="P381" s="252"/>
      <c r="Q381" s="253"/>
      <c r="R381" s="252"/>
      <c r="S381" s="251"/>
      <c r="T381" s="251"/>
      <c r="U381" s="251"/>
      <c r="V381" s="251"/>
      <c r="W381" s="251"/>
      <c r="X381" s="251"/>
      <c r="Y381" s="251"/>
      <c r="Z381" s="251"/>
    </row>
    <row r="382">
      <c r="A382" s="250"/>
      <c r="B382" s="251"/>
      <c r="C382" s="251" t="s">
        <v>39</v>
      </c>
      <c r="D382" s="252" t="s">
        <v>39</v>
      </c>
      <c r="E382" s="252" t="s">
        <v>39</v>
      </c>
      <c r="F382" s="252"/>
      <c r="G382" s="251"/>
      <c r="H382" s="251"/>
      <c r="I382" s="251"/>
      <c r="J382" s="251"/>
      <c r="K382" s="251"/>
      <c r="L382" s="251"/>
      <c r="M382" s="251"/>
      <c r="N382" s="21"/>
      <c r="O382" s="251"/>
      <c r="P382" s="252"/>
      <c r="Q382" s="253"/>
      <c r="R382" s="252"/>
      <c r="S382" s="251"/>
      <c r="T382" s="251"/>
      <c r="U382" s="251"/>
      <c r="V382" s="251"/>
      <c r="W382" s="251"/>
      <c r="X382" s="251"/>
      <c r="Y382" s="251"/>
      <c r="Z382" s="251"/>
    </row>
    <row r="383">
      <c r="A383" s="250"/>
      <c r="B383" s="251"/>
      <c r="C383" s="251" t="s">
        <v>39</v>
      </c>
      <c r="D383" s="252" t="s">
        <v>39</v>
      </c>
      <c r="E383" s="252" t="s">
        <v>39</v>
      </c>
      <c r="F383" s="252"/>
      <c r="G383" s="251"/>
      <c r="H383" s="251"/>
      <c r="I383" s="251"/>
      <c r="J383" s="251"/>
      <c r="K383" s="251"/>
      <c r="L383" s="251"/>
      <c r="M383" s="251"/>
      <c r="N383" s="21"/>
      <c r="O383" s="251"/>
      <c r="P383" s="252"/>
      <c r="Q383" s="253"/>
      <c r="R383" s="252"/>
      <c r="S383" s="251"/>
      <c r="T383" s="251"/>
      <c r="U383" s="251"/>
      <c r="V383" s="251"/>
      <c r="W383" s="251"/>
      <c r="X383" s="251"/>
      <c r="Y383" s="251"/>
      <c r="Z383" s="251"/>
    </row>
    <row r="384">
      <c r="A384" s="250"/>
      <c r="B384" s="251"/>
      <c r="C384" s="251" t="s">
        <v>39</v>
      </c>
      <c r="D384" s="252" t="s">
        <v>39</v>
      </c>
      <c r="E384" s="252" t="s">
        <v>39</v>
      </c>
      <c r="F384" s="252"/>
      <c r="G384" s="251"/>
      <c r="H384" s="251"/>
      <c r="I384" s="251"/>
      <c r="J384" s="251"/>
      <c r="K384" s="251"/>
      <c r="L384" s="251"/>
      <c r="M384" s="251"/>
      <c r="N384" s="21"/>
      <c r="O384" s="251"/>
      <c r="P384" s="252"/>
      <c r="Q384" s="253"/>
      <c r="R384" s="252"/>
      <c r="S384" s="251"/>
      <c r="T384" s="251"/>
      <c r="U384" s="251"/>
      <c r="V384" s="251"/>
      <c r="W384" s="251"/>
      <c r="X384" s="251"/>
      <c r="Y384" s="251"/>
      <c r="Z384" s="251"/>
    </row>
    <row r="385">
      <c r="A385" s="250"/>
      <c r="B385" s="251"/>
      <c r="C385" s="251" t="s">
        <v>39</v>
      </c>
      <c r="D385" s="252" t="s">
        <v>39</v>
      </c>
      <c r="E385" s="252" t="s">
        <v>39</v>
      </c>
      <c r="F385" s="252"/>
      <c r="G385" s="251"/>
      <c r="H385" s="251"/>
      <c r="I385" s="251"/>
      <c r="J385" s="251"/>
      <c r="K385" s="251"/>
      <c r="L385" s="251"/>
      <c r="M385" s="251"/>
      <c r="N385" s="21"/>
      <c r="O385" s="251"/>
      <c r="P385" s="252"/>
      <c r="Q385" s="253"/>
      <c r="R385" s="252"/>
      <c r="S385" s="251"/>
      <c r="T385" s="251"/>
      <c r="U385" s="251"/>
      <c r="V385" s="251"/>
      <c r="W385" s="251"/>
      <c r="X385" s="251"/>
      <c r="Y385" s="251"/>
      <c r="Z385" s="251"/>
    </row>
    <row r="386">
      <c r="A386" s="250"/>
      <c r="B386" s="251"/>
      <c r="C386" s="251" t="s">
        <v>39</v>
      </c>
      <c r="D386" s="252" t="s">
        <v>39</v>
      </c>
      <c r="E386" s="252" t="s">
        <v>39</v>
      </c>
      <c r="F386" s="252"/>
      <c r="G386" s="251"/>
      <c r="H386" s="251"/>
      <c r="I386" s="251"/>
      <c r="J386" s="251"/>
      <c r="K386" s="251"/>
      <c r="L386" s="251"/>
      <c r="M386" s="251"/>
      <c r="N386" s="21"/>
      <c r="O386" s="251"/>
      <c r="P386" s="252"/>
      <c r="Q386" s="253"/>
      <c r="R386" s="252"/>
      <c r="S386" s="251"/>
      <c r="T386" s="251"/>
      <c r="U386" s="251"/>
      <c r="V386" s="251"/>
      <c r="W386" s="251"/>
      <c r="X386" s="251"/>
      <c r="Y386" s="251"/>
      <c r="Z386" s="251"/>
    </row>
    <row r="387">
      <c r="A387" s="250"/>
      <c r="B387" s="251"/>
      <c r="C387" s="251" t="s">
        <v>39</v>
      </c>
      <c r="D387" s="252" t="s">
        <v>39</v>
      </c>
      <c r="E387" s="252" t="s">
        <v>39</v>
      </c>
      <c r="F387" s="252"/>
      <c r="G387" s="251"/>
      <c r="H387" s="251"/>
      <c r="I387" s="251"/>
      <c r="J387" s="251"/>
      <c r="K387" s="251"/>
      <c r="L387" s="251"/>
      <c r="M387" s="251"/>
      <c r="N387" s="21"/>
      <c r="O387" s="251"/>
      <c r="P387" s="252"/>
      <c r="Q387" s="253"/>
      <c r="R387" s="252"/>
      <c r="S387" s="251"/>
      <c r="T387" s="251"/>
      <c r="U387" s="251"/>
      <c r="V387" s="251"/>
      <c r="W387" s="251"/>
      <c r="X387" s="251"/>
      <c r="Y387" s="251"/>
      <c r="Z387" s="251"/>
    </row>
    <row r="388">
      <c r="A388" s="250"/>
      <c r="B388" s="251"/>
      <c r="C388" s="251" t="s">
        <v>39</v>
      </c>
      <c r="D388" s="252" t="s">
        <v>39</v>
      </c>
      <c r="E388" s="252" t="s">
        <v>39</v>
      </c>
      <c r="F388" s="252"/>
      <c r="G388" s="251"/>
      <c r="H388" s="251"/>
      <c r="I388" s="251"/>
      <c r="J388" s="251"/>
      <c r="K388" s="251"/>
      <c r="L388" s="251"/>
      <c r="M388" s="251"/>
      <c r="N388" s="21"/>
      <c r="O388" s="251"/>
      <c r="P388" s="252"/>
      <c r="Q388" s="253"/>
      <c r="R388" s="252"/>
      <c r="S388" s="251"/>
      <c r="T388" s="251"/>
      <c r="U388" s="251"/>
      <c r="V388" s="251"/>
      <c r="W388" s="251"/>
      <c r="X388" s="251"/>
      <c r="Y388" s="251"/>
      <c r="Z388" s="251"/>
    </row>
    <row r="389">
      <c r="A389" s="250"/>
      <c r="B389" s="251"/>
      <c r="C389" s="251" t="s">
        <v>39</v>
      </c>
      <c r="D389" s="252" t="s">
        <v>39</v>
      </c>
      <c r="E389" s="252" t="s">
        <v>39</v>
      </c>
      <c r="F389" s="252"/>
      <c r="G389" s="251"/>
      <c r="H389" s="251"/>
      <c r="I389" s="251"/>
      <c r="J389" s="251"/>
      <c r="K389" s="251"/>
      <c r="L389" s="251"/>
      <c r="M389" s="251"/>
      <c r="N389" s="21"/>
      <c r="O389" s="251"/>
      <c r="P389" s="252"/>
      <c r="Q389" s="253"/>
      <c r="R389" s="252"/>
      <c r="S389" s="251"/>
      <c r="T389" s="251"/>
      <c r="U389" s="251"/>
      <c r="V389" s="251"/>
      <c r="W389" s="251"/>
      <c r="X389" s="251"/>
      <c r="Y389" s="251"/>
      <c r="Z389" s="251"/>
    </row>
    <row r="390">
      <c r="A390" s="250"/>
      <c r="B390" s="251"/>
      <c r="C390" s="251" t="s">
        <v>39</v>
      </c>
      <c r="D390" s="252" t="s">
        <v>39</v>
      </c>
      <c r="E390" s="252" t="s">
        <v>39</v>
      </c>
      <c r="F390" s="252"/>
      <c r="G390" s="251"/>
      <c r="H390" s="251"/>
      <c r="I390" s="251"/>
      <c r="J390" s="251"/>
      <c r="K390" s="251"/>
      <c r="L390" s="251"/>
      <c r="M390" s="251"/>
      <c r="N390" s="21"/>
      <c r="O390" s="251"/>
      <c r="P390" s="252"/>
      <c r="Q390" s="253"/>
      <c r="R390" s="252"/>
      <c r="S390" s="251"/>
      <c r="T390" s="251"/>
      <c r="U390" s="251"/>
      <c r="V390" s="251"/>
      <c r="W390" s="251"/>
      <c r="X390" s="251"/>
      <c r="Y390" s="251"/>
      <c r="Z390" s="251"/>
    </row>
    <row r="391">
      <c r="A391" s="250"/>
      <c r="B391" s="251"/>
      <c r="C391" s="251" t="s">
        <v>39</v>
      </c>
      <c r="D391" s="252" t="s">
        <v>39</v>
      </c>
      <c r="E391" s="252" t="s">
        <v>39</v>
      </c>
      <c r="F391" s="252"/>
      <c r="G391" s="251"/>
      <c r="H391" s="251"/>
      <c r="I391" s="251"/>
      <c r="J391" s="251"/>
      <c r="K391" s="251"/>
      <c r="L391" s="251"/>
      <c r="M391" s="251"/>
      <c r="N391" s="21"/>
      <c r="O391" s="251"/>
      <c r="P391" s="252"/>
      <c r="Q391" s="253"/>
      <c r="R391" s="252"/>
      <c r="S391" s="251"/>
      <c r="T391" s="251"/>
      <c r="U391" s="251"/>
      <c r="V391" s="251"/>
      <c r="W391" s="251"/>
      <c r="X391" s="251"/>
      <c r="Y391" s="251"/>
      <c r="Z391" s="251"/>
    </row>
    <row r="392">
      <c r="A392" s="250"/>
      <c r="B392" s="251"/>
      <c r="C392" s="251" t="s">
        <v>39</v>
      </c>
      <c r="D392" s="252" t="s">
        <v>39</v>
      </c>
      <c r="E392" s="252" t="s">
        <v>39</v>
      </c>
      <c r="F392" s="252"/>
      <c r="G392" s="251"/>
      <c r="H392" s="251"/>
      <c r="I392" s="251"/>
      <c r="J392" s="251"/>
      <c r="K392" s="251"/>
      <c r="L392" s="251"/>
      <c r="M392" s="251"/>
      <c r="N392" s="21"/>
      <c r="O392" s="251"/>
      <c r="P392" s="252"/>
      <c r="Q392" s="253"/>
      <c r="R392" s="252"/>
      <c r="S392" s="251"/>
      <c r="T392" s="251"/>
      <c r="U392" s="251"/>
      <c r="V392" s="251"/>
      <c r="W392" s="251"/>
      <c r="X392" s="251"/>
      <c r="Y392" s="251"/>
      <c r="Z392" s="251"/>
    </row>
    <row r="393">
      <c r="A393" s="250"/>
      <c r="B393" s="251"/>
      <c r="C393" s="251" t="s">
        <v>39</v>
      </c>
      <c r="D393" s="252" t="s">
        <v>39</v>
      </c>
      <c r="E393" s="252" t="s">
        <v>39</v>
      </c>
      <c r="F393" s="252"/>
      <c r="G393" s="251"/>
      <c r="H393" s="251"/>
      <c r="I393" s="251"/>
      <c r="J393" s="251"/>
      <c r="K393" s="251"/>
      <c r="L393" s="251"/>
      <c r="M393" s="251"/>
      <c r="N393" s="21"/>
      <c r="O393" s="251"/>
      <c r="P393" s="252"/>
      <c r="Q393" s="253"/>
      <c r="R393" s="252"/>
      <c r="S393" s="251"/>
      <c r="T393" s="251"/>
      <c r="U393" s="251"/>
      <c r="V393" s="251"/>
      <c r="W393" s="251"/>
      <c r="X393" s="251"/>
      <c r="Y393" s="251"/>
      <c r="Z393" s="251"/>
    </row>
    <row r="394">
      <c r="A394" s="250"/>
      <c r="B394" s="251"/>
      <c r="C394" s="251" t="s">
        <v>39</v>
      </c>
      <c r="D394" s="252" t="s">
        <v>39</v>
      </c>
      <c r="E394" s="252" t="s">
        <v>39</v>
      </c>
      <c r="F394" s="252"/>
      <c r="G394" s="251"/>
      <c r="H394" s="251"/>
      <c r="I394" s="251"/>
      <c r="J394" s="251"/>
      <c r="K394" s="251"/>
      <c r="L394" s="251"/>
      <c r="M394" s="251"/>
      <c r="N394" s="21"/>
      <c r="O394" s="251"/>
      <c r="P394" s="252"/>
      <c r="Q394" s="253"/>
      <c r="R394" s="252"/>
      <c r="S394" s="251"/>
      <c r="T394" s="251"/>
      <c r="U394" s="251"/>
      <c r="V394" s="251"/>
      <c r="W394" s="251"/>
      <c r="X394" s="251"/>
      <c r="Y394" s="251"/>
      <c r="Z394" s="251"/>
    </row>
    <row r="395">
      <c r="A395" s="250"/>
      <c r="B395" s="251"/>
      <c r="C395" s="251" t="s">
        <v>39</v>
      </c>
      <c r="D395" s="252" t="s">
        <v>39</v>
      </c>
      <c r="E395" s="252" t="s">
        <v>39</v>
      </c>
      <c r="F395" s="252"/>
      <c r="G395" s="251"/>
      <c r="H395" s="251"/>
      <c r="I395" s="251"/>
      <c r="J395" s="251"/>
      <c r="K395" s="251"/>
      <c r="L395" s="251"/>
      <c r="M395" s="251"/>
      <c r="N395" s="21"/>
      <c r="O395" s="251"/>
      <c r="P395" s="252"/>
      <c r="Q395" s="253"/>
      <c r="R395" s="252"/>
      <c r="S395" s="251"/>
      <c r="T395" s="251"/>
      <c r="U395" s="251"/>
      <c r="V395" s="251"/>
      <c r="W395" s="251"/>
      <c r="X395" s="251"/>
      <c r="Y395" s="251"/>
      <c r="Z395" s="251"/>
    </row>
    <row r="396">
      <c r="A396" s="250"/>
      <c r="B396" s="251"/>
      <c r="C396" s="251" t="s">
        <v>39</v>
      </c>
      <c r="D396" s="252" t="s">
        <v>39</v>
      </c>
      <c r="E396" s="252" t="s">
        <v>39</v>
      </c>
      <c r="F396" s="252"/>
      <c r="G396" s="251"/>
      <c r="H396" s="251"/>
      <c r="I396" s="251"/>
      <c r="J396" s="251"/>
      <c r="K396" s="251"/>
      <c r="L396" s="251"/>
      <c r="M396" s="251"/>
      <c r="N396" s="21"/>
      <c r="O396" s="251"/>
      <c r="P396" s="252"/>
      <c r="Q396" s="253"/>
      <c r="R396" s="252"/>
      <c r="S396" s="251"/>
      <c r="T396" s="251"/>
      <c r="U396" s="251"/>
      <c r="V396" s="251"/>
      <c r="W396" s="251"/>
      <c r="X396" s="251"/>
      <c r="Y396" s="251"/>
      <c r="Z396" s="251"/>
    </row>
    <row r="397">
      <c r="A397" s="250"/>
      <c r="B397" s="251"/>
      <c r="C397" s="251" t="s">
        <v>39</v>
      </c>
      <c r="D397" s="252" t="s">
        <v>39</v>
      </c>
      <c r="E397" s="252" t="s">
        <v>39</v>
      </c>
      <c r="F397" s="252"/>
      <c r="G397" s="251"/>
      <c r="H397" s="251"/>
      <c r="I397" s="251"/>
      <c r="J397" s="251"/>
      <c r="K397" s="251"/>
      <c r="L397" s="251"/>
      <c r="M397" s="251"/>
      <c r="N397" s="21"/>
      <c r="O397" s="251"/>
      <c r="P397" s="252"/>
      <c r="Q397" s="253"/>
      <c r="R397" s="252"/>
      <c r="S397" s="251"/>
      <c r="T397" s="251"/>
      <c r="U397" s="251"/>
      <c r="V397" s="251"/>
      <c r="W397" s="251"/>
      <c r="X397" s="251"/>
      <c r="Y397" s="251"/>
      <c r="Z397" s="251"/>
    </row>
    <row r="398">
      <c r="A398" s="250"/>
      <c r="B398" s="251"/>
      <c r="C398" s="251" t="s">
        <v>39</v>
      </c>
      <c r="D398" s="252" t="s">
        <v>39</v>
      </c>
      <c r="E398" s="252" t="s">
        <v>39</v>
      </c>
      <c r="F398" s="252"/>
      <c r="G398" s="251"/>
      <c r="H398" s="251"/>
      <c r="I398" s="251"/>
      <c r="J398" s="251"/>
      <c r="K398" s="251"/>
      <c r="L398" s="251"/>
      <c r="M398" s="251"/>
      <c r="N398" s="21"/>
      <c r="O398" s="251"/>
      <c r="P398" s="252"/>
      <c r="Q398" s="253"/>
      <c r="R398" s="252"/>
      <c r="S398" s="251"/>
      <c r="T398" s="251"/>
      <c r="U398" s="251"/>
      <c r="V398" s="251"/>
      <c r="W398" s="251"/>
      <c r="X398" s="251"/>
      <c r="Y398" s="251"/>
      <c r="Z398" s="251"/>
    </row>
    <row r="399">
      <c r="A399" s="250"/>
      <c r="B399" s="251"/>
      <c r="C399" s="251" t="s">
        <v>39</v>
      </c>
      <c r="D399" s="252" t="s">
        <v>39</v>
      </c>
      <c r="E399" s="252" t="s">
        <v>39</v>
      </c>
      <c r="F399" s="252"/>
      <c r="G399" s="251"/>
      <c r="H399" s="251"/>
      <c r="I399" s="251"/>
      <c r="J399" s="251"/>
      <c r="K399" s="251"/>
      <c r="L399" s="251"/>
      <c r="M399" s="251"/>
      <c r="N399" s="21"/>
      <c r="O399" s="251"/>
      <c r="P399" s="252"/>
      <c r="Q399" s="253"/>
      <c r="R399" s="252"/>
      <c r="S399" s="251"/>
      <c r="T399" s="251"/>
      <c r="U399" s="251"/>
      <c r="V399" s="251"/>
      <c r="W399" s="251"/>
      <c r="X399" s="251"/>
      <c r="Y399" s="251"/>
      <c r="Z399" s="251"/>
    </row>
    <row r="400">
      <c r="A400" s="250"/>
      <c r="B400" s="251"/>
      <c r="C400" s="251" t="s">
        <v>39</v>
      </c>
      <c r="D400" s="252" t="s">
        <v>39</v>
      </c>
      <c r="E400" s="252" t="s">
        <v>39</v>
      </c>
      <c r="F400" s="252"/>
      <c r="G400" s="251"/>
      <c r="H400" s="251"/>
      <c r="I400" s="251"/>
      <c r="J400" s="251"/>
      <c r="K400" s="251"/>
      <c r="L400" s="251"/>
      <c r="M400" s="251"/>
      <c r="N400" s="21"/>
      <c r="O400" s="251"/>
      <c r="P400" s="252"/>
      <c r="Q400" s="253"/>
      <c r="R400" s="252"/>
      <c r="S400" s="251"/>
      <c r="T400" s="251"/>
      <c r="U400" s="251"/>
      <c r="V400" s="251"/>
      <c r="W400" s="251"/>
      <c r="X400" s="251"/>
      <c r="Y400" s="251"/>
      <c r="Z400" s="251"/>
    </row>
    <row r="401">
      <c r="A401" s="250"/>
      <c r="B401" s="251"/>
      <c r="C401" s="251" t="s">
        <v>39</v>
      </c>
      <c r="D401" s="252" t="s">
        <v>39</v>
      </c>
      <c r="E401" s="252" t="s">
        <v>39</v>
      </c>
      <c r="F401" s="252"/>
      <c r="G401" s="251"/>
      <c r="H401" s="251"/>
      <c r="I401" s="251"/>
      <c r="J401" s="251"/>
      <c r="K401" s="251"/>
      <c r="L401" s="251"/>
      <c r="M401" s="251"/>
      <c r="N401" s="21"/>
      <c r="O401" s="251"/>
      <c r="P401" s="252"/>
      <c r="Q401" s="253"/>
      <c r="R401" s="252"/>
      <c r="S401" s="251"/>
      <c r="T401" s="251"/>
      <c r="U401" s="251"/>
      <c r="V401" s="251"/>
      <c r="W401" s="251"/>
      <c r="X401" s="251"/>
      <c r="Y401" s="251"/>
      <c r="Z401" s="251"/>
    </row>
    <row r="402">
      <c r="A402" s="250"/>
      <c r="B402" s="251"/>
      <c r="C402" s="251" t="s">
        <v>39</v>
      </c>
      <c r="D402" s="252" t="s">
        <v>39</v>
      </c>
      <c r="E402" s="252" t="s">
        <v>39</v>
      </c>
      <c r="F402" s="252"/>
      <c r="G402" s="251"/>
      <c r="H402" s="251"/>
      <c r="I402" s="251"/>
      <c r="J402" s="251"/>
      <c r="K402" s="251"/>
      <c r="L402" s="251"/>
      <c r="M402" s="251"/>
      <c r="N402" s="21"/>
      <c r="O402" s="251"/>
      <c r="P402" s="252"/>
      <c r="Q402" s="253"/>
      <c r="R402" s="252"/>
      <c r="S402" s="251"/>
      <c r="T402" s="251"/>
      <c r="U402" s="251"/>
      <c r="V402" s="251"/>
      <c r="W402" s="251"/>
      <c r="X402" s="251"/>
      <c r="Y402" s="251"/>
      <c r="Z402" s="251"/>
    </row>
    <row r="403">
      <c r="A403" s="250"/>
      <c r="B403" s="251"/>
      <c r="C403" s="251" t="s">
        <v>39</v>
      </c>
      <c r="D403" s="252" t="s">
        <v>39</v>
      </c>
      <c r="E403" s="252" t="s">
        <v>39</v>
      </c>
      <c r="F403" s="252"/>
      <c r="G403" s="251"/>
      <c r="H403" s="251"/>
      <c r="I403" s="251"/>
      <c r="J403" s="251"/>
      <c r="K403" s="251"/>
      <c r="L403" s="251"/>
      <c r="M403" s="251"/>
      <c r="N403" s="21"/>
      <c r="O403" s="251"/>
      <c r="P403" s="252"/>
      <c r="Q403" s="253"/>
      <c r="R403" s="252"/>
      <c r="S403" s="251"/>
      <c r="T403" s="251"/>
      <c r="U403" s="251"/>
      <c r="V403" s="251"/>
      <c r="W403" s="251"/>
      <c r="X403" s="251"/>
      <c r="Y403" s="251"/>
      <c r="Z403" s="251"/>
    </row>
    <row r="404">
      <c r="A404" s="250"/>
      <c r="B404" s="251"/>
      <c r="C404" s="251" t="s">
        <v>39</v>
      </c>
      <c r="D404" s="252" t="s">
        <v>39</v>
      </c>
      <c r="E404" s="252" t="s">
        <v>39</v>
      </c>
      <c r="F404" s="252"/>
      <c r="G404" s="251"/>
      <c r="H404" s="251"/>
      <c r="I404" s="251"/>
      <c r="J404" s="251"/>
      <c r="K404" s="251"/>
      <c r="L404" s="251"/>
      <c r="M404" s="251"/>
      <c r="N404" s="21"/>
      <c r="O404" s="251"/>
      <c r="P404" s="252"/>
      <c r="Q404" s="253"/>
      <c r="R404" s="252"/>
      <c r="S404" s="251"/>
      <c r="T404" s="251"/>
      <c r="U404" s="251"/>
      <c r="V404" s="251"/>
      <c r="W404" s="251"/>
      <c r="X404" s="251"/>
      <c r="Y404" s="251"/>
      <c r="Z404" s="251"/>
    </row>
    <row r="405">
      <c r="A405" s="250"/>
      <c r="B405" s="251"/>
      <c r="C405" s="251" t="s">
        <v>39</v>
      </c>
      <c r="D405" s="252" t="s">
        <v>39</v>
      </c>
      <c r="E405" s="252" t="s">
        <v>39</v>
      </c>
      <c r="F405" s="252"/>
      <c r="G405" s="251"/>
      <c r="H405" s="251"/>
      <c r="I405" s="251"/>
      <c r="J405" s="251"/>
      <c r="K405" s="251"/>
      <c r="L405" s="251"/>
      <c r="M405" s="251"/>
      <c r="N405" s="21"/>
      <c r="O405" s="251"/>
      <c r="P405" s="252"/>
      <c r="Q405" s="253"/>
      <c r="R405" s="252"/>
      <c r="S405" s="251"/>
      <c r="T405" s="251"/>
      <c r="U405" s="251"/>
      <c r="V405" s="251"/>
      <c r="W405" s="251"/>
      <c r="X405" s="251"/>
      <c r="Y405" s="251"/>
      <c r="Z405" s="251"/>
    </row>
    <row r="406">
      <c r="A406" s="250"/>
      <c r="B406" s="251"/>
      <c r="C406" s="251" t="s">
        <v>39</v>
      </c>
      <c r="D406" s="252" t="s">
        <v>39</v>
      </c>
      <c r="E406" s="252" t="s">
        <v>39</v>
      </c>
      <c r="F406" s="252"/>
      <c r="G406" s="251"/>
      <c r="H406" s="251"/>
      <c r="I406" s="251"/>
      <c r="J406" s="251"/>
      <c r="K406" s="251"/>
      <c r="L406" s="251"/>
      <c r="M406" s="251"/>
      <c r="N406" s="21"/>
      <c r="O406" s="251"/>
      <c r="P406" s="252"/>
      <c r="Q406" s="253"/>
      <c r="R406" s="252"/>
      <c r="S406" s="251"/>
      <c r="T406" s="251"/>
      <c r="U406" s="251"/>
      <c r="V406" s="251"/>
      <c r="W406" s="251"/>
      <c r="X406" s="251"/>
      <c r="Y406" s="251"/>
      <c r="Z406" s="251"/>
    </row>
    <row r="407">
      <c r="A407" s="250"/>
      <c r="B407" s="251"/>
      <c r="C407" s="251" t="s">
        <v>39</v>
      </c>
      <c r="D407" s="252" t="s">
        <v>39</v>
      </c>
      <c r="E407" s="252" t="s">
        <v>39</v>
      </c>
      <c r="F407" s="252"/>
      <c r="G407" s="251"/>
      <c r="H407" s="251"/>
      <c r="I407" s="251"/>
      <c r="J407" s="251"/>
      <c r="K407" s="251"/>
      <c r="L407" s="251"/>
      <c r="M407" s="251"/>
      <c r="N407" s="21"/>
      <c r="O407" s="251"/>
      <c r="P407" s="252"/>
      <c r="Q407" s="253"/>
      <c r="R407" s="252"/>
      <c r="S407" s="251"/>
      <c r="T407" s="251"/>
      <c r="U407" s="251"/>
      <c r="V407" s="251"/>
      <c r="W407" s="251"/>
      <c r="X407" s="251"/>
      <c r="Y407" s="251"/>
      <c r="Z407" s="251"/>
    </row>
    <row r="408">
      <c r="A408" s="250"/>
      <c r="B408" s="251"/>
      <c r="C408" s="251" t="s">
        <v>39</v>
      </c>
      <c r="D408" s="252" t="s">
        <v>39</v>
      </c>
      <c r="E408" s="252" t="s">
        <v>39</v>
      </c>
      <c r="F408" s="252"/>
      <c r="G408" s="251"/>
      <c r="H408" s="251"/>
      <c r="I408" s="251"/>
      <c r="J408" s="251"/>
      <c r="K408" s="251"/>
      <c r="L408" s="251"/>
      <c r="M408" s="251"/>
      <c r="N408" s="21"/>
      <c r="O408" s="251"/>
      <c r="P408" s="252"/>
      <c r="Q408" s="253"/>
      <c r="R408" s="252"/>
      <c r="S408" s="251"/>
      <c r="T408" s="251"/>
      <c r="U408" s="251"/>
      <c r="V408" s="251"/>
      <c r="W408" s="251"/>
      <c r="X408" s="251"/>
      <c r="Y408" s="251"/>
      <c r="Z408" s="251"/>
    </row>
    <row r="409">
      <c r="A409" s="250"/>
      <c r="B409" s="251"/>
      <c r="C409" s="251" t="s">
        <v>39</v>
      </c>
      <c r="D409" s="252" t="s">
        <v>39</v>
      </c>
      <c r="E409" s="252" t="s">
        <v>39</v>
      </c>
      <c r="F409" s="252"/>
      <c r="G409" s="251"/>
      <c r="H409" s="251"/>
      <c r="I409" s="251"/>
      <c r="J409" s="251"/>
      <c r="K409" s="251"/>
      <c r="L409" s="251"/>
      <c r="M409" s="251"/>
      <c r="N409" s="21"/>
      <c r="O409" s="251"/>
      <c r="P409" s="252"/>
      <c r="Q409" s="253"/>
      <c r="R409" s="252"/>
      <c r="S409" s="251"/>
      <c r="T409" s="251"/>
      <c r="U409" s="251"/>
      <c r="V409" s="251"/>
      <c r="W409" s="251"/>
      <c r="X409" s="251"/>
      <c r="Y409" s="251"/>
      <c r="Z409" s="251"/>
    </row>
    <row r="410">
      <c r="A410" s="250"/>
      <c r="B410" s="251"/>
      <c r="C410" s="251" t="s">
        <v>39</v>
      </c>
      <c r="D410" s="252" t="s">
        <v>39</v>
      </c>
      <c r="E410" s="252" t="s">
        <v>39</v>
      </c>
      <c r="F410" s="252"/>
      <c r="G410" s="251"/>
      <c r="H410" s="251"/>
      <c r="I410" s="251"/>
      <c r="J410" s="251"/>
      <c r="K410" s="251"/>
      <c r="L410" s="251"/>
      <c r="M410" s="251"/>
      <c r="N410" s="21"/>
      <c r="O410" s="251"/>
      <c r="P410" s="252"/>
      <c r="Q410" s="253"/>
      <c r="R410" s="252"/>
      <c r="S410" s="251"/>
      <c r="T410" s="251"/>
      <c r="U410" s="251"/>
      <c r="V410" s="251"/>
      <c r="W410" s="251"/>
      <c r="X410" s="251"/>
      <c r="Y410" s="251"/>
      <c r="Z410" s="251"/>
    </row>
    <row r="411">
      <c r="A411" s="250"/>
      <c r="B411" s="251"/>
      <c r="C411" s="251" t="s">
        <v>39</v>
      </c>
      <c r="D411" s="252" t="s">
        <v>39</v>
      </c>
      <c r="E411" s="252" t="s">
        <v>39</v>
      </c>
      <c r="F411" s="252"/>
      <c r="G411" s="251"/>
      <c r="H411" s="251"/>
      <c r="I411" s="251"/>
      <c r="J411" s="251"/>
      <c r="K411" s="251"/>
      <c r="L411" s="251"/>
      <c r="M411" s="251"/>
      <c r="N411" s="21"/>
      <c r="O411" s="251"/>
      <c r="P411" s="252"/>
      <c r="Q411" s="253"/>
      <c r="R411" s="252"/>
      <c r="S411" s="251"/>
      <c r="T411" s="251"/>
      <c r="U411" s="251"/>
      <c r="V411" s="251"/>
      <c r="W411" s="251"/>
      <c r="X411" s="251"/>
      <c r="Y411" s="251"/>
      <c r="Z411" s="251"/>
    </row>
    <row r="412">
      <c r="A412" s="250"/>
      <c r="B412" s="251"/>
      <c r="C412" s="251" t="s">
        <v>39</v>
      </c>
      <c r="D412" s="252" t="s">
        <v>39</v>
      </c>
      <c r="E412" s="252" t="s">
        <v>39</v>
      </c>
      <c r="F412" s="252"/>
      <c r="G412" s="251"/>
      <c r="H412" s="251"/>
      <c r="I412" s="251"/>
      <c r="J412" s="251"/>
      <c r="K412" s="251"/>
      <c r="L412" s="251"/>
      <c r="M412" s="251"/>
      <c r="N412" s="21"/>
      <c r="O412" s="251"/>
      <c r="P412" s="252"/>
      <c r="Q412" s="253"/>
      <c r="R412" s="252"/>
      <c r="S412" s="251"/>
      <c r="T412" s="251"/>
      <c r="U412" s="251"/>
      <c r="V412" s="251"/>
      <c r="W412" s="251"/>
      <c r="X412" s="251"/>
      <c r="Y412" s="251"/>
      <c r="Z412" s="251"/>
    </row>
    <row r="413">
      <c r="A413" s="250"/>
      <c r="B413" s="251"/>
      <c r="C413" s="251" t="s">
        <v>39</v>
      </c>
      <c r="D413" s="252" t="s">
        <v>39</v>
      </c>
      <c r="E413" s="252" t="s">
        <v>39</v>
      </c>
      <c r="F413" s="252"/>
      <c r="G413" s="251"/>
      <c r="H413" s="251"/>
      <c r="I413" s="251"/>
      <c r="J413" s="251"/>
      <c r="K413" s="251"/>
      <c r="L413" s="251"/>
      <c r="M413" s="251"/>
      <c r="N413" s="21"/>
      <c r="O413" s="251"/>
      <c r="P413" s="252"/>
      <c r="Q413" s="253"/>
      <c r="R413" s="252"/>
      <c r="S413" s="251"/>
      <c r="T413" s="251"/>
      <c r="U413" s="251"/>
      <c r="V413" s="251"/>
      <c r="W413" s="251"/>
      <c r="X413" s="251"/>
      <c r="Y413" s="251"/>
      <c r="Z413" s="251"/>
    </row>
    <row r="414">
      <c r="A414" s="250"/>
      <c r="B414" s="251"/>
      <c r="C414" s="251" t="s">
        <v>39</v>
      </c>
      <c r="D414" s="252" t="s">
        <v>39</v>
      </c>
      <c r="E414" s="252" t="s">
        <v>39</v>
      </c>
      <c r="F414" s="252"/>
      <c r="G414" s="251"/>
      <c r="H414" s="251"/>
      <c r="I414" s="251"/>
      <c r="J414" s="251"/>
      <c r="K414" s="251"/>
      <c r="L414" s="251"/>
      <c r="M414" s="251"/>
      <c r="N414" s="21"/>
      <c r="O414" s="251"/>
      <c r="P414" s="252"/>
      <c r="Q414" s="253"/>
      <c r="R414" s="252"/>
      <c r="S414" s="251"/>
      <c r="T414" s="251"/>
      <c r="U414" s="251"/>
      <c r="V414" s="251"/>
      <c r="W414" s="251"/>
      <c r="X414" s="251"/>
      <c r="Y414" s="251"/>
      <c r="Z414" s="251"/>
    </row>
    <row r="415">
      <c r="A415" s="250"/>
      <c r="B415" s="251"/>
      <c r="C415" s="251" t="s">
        <v>39</v>
      </c>
      <c r="D415" s="252" t="s">
        <v>39</v>
      </c>
      <c r="E415" s="252" t="s">
        <v>39</v>
      </c>
      <c r="F415" s="252"/>
      <c r="G415" s="251"/>
      <c r="H415" s="251"/>
      <c r="I415" s="251"/>
      <c r="J415" s="251"/>
      <c r="K415" s="251"/>
      <c r="L415" s="251"/>
      <c r="M415" s="251"/>
      <c r="N415" s="21"/>
      <c r="O415" s="251"/>
      <c r="P415" s="252"/>
      <c r="Q415" s="253"/>
      <c r="R415" s="252"/>
      <c r="S415" s="251"/>
      <c r="T415" s="251"/>
      <c r="U415" s="251"/>
      <c r="V415" s="251"/>
      <c r="W415" s="251"/>
      <c r="X415" s="251"/>
      <c r="Y415" s="251"/>
      <c r="Z415" s="251"/>
    </row>
    <row r="416">
      <c r="A416" s="250"/>
      <c r="B416" s="251"/>
      <c r="C416" s="251" t="s">
        <v>39</v>
      </c>
      <c r="D416" s="252" t="s">
        <v>39</v>
      </c>
      <c r="E416" s="252" t="s">
        <v>39</v>
      </c>
      <c r="F416" s="252"/>
      <c r="G416" s="251"/>
      <c r="H416" s="251"/>
      <c r="I416" s="251"/>
      <c r="J416" s="251"/>
      <c r="K416" s="251"/>
      <c r="L416" s="251"/>
      <c r="M416" s="251"/>
      <c r="N416" s="21"/>
      <c r="O416" s="251"/>
      <c r="P416" s="252"/>
      <c r="Q416" s="253"/>
      <c r="R416" s="252"/>
      <c r="S416" s="251"/>
      <c r="T416" s="251"/>
      <c r="U416" s="251"/>
      <c r="V416" s="251"/>
      <c r="W416" s="251"/>
      <c r="X416" s="251"/>
      <c r="Y416" s="251"/>
      <c r="Z416" s="251"/>
    </row>
    <row r="417">
      <c r="A417" s="250"/>
      <c r="B417" s="251"/>
      <c r="C417" s="251" t="s">
        <v>39</v>
      </c>
      <c r="D417" s="252" t="s">
        <v>39</v>
      </c>
      <c r="E417" s="252" t="s">
        <v>39</v>
      </c>
      <c r="F417" s="252"/>
      <c r="G417" s="251"/>
      <c r="H417" s="251"/>
      <c r="I417" s="251"/>
      <c r="J417" s="251"/>
      <c r="K417" s="251"/>
      <c r="L417" s="251"/>
      <c r="M417" s="251"/>
      <c r="N417" s="21"/>
      <c r="O417" s="251"/>
      <c r="P417" s="252"/>
      <c r="Q417" s="253"/>
      <c r="R417" s="252"/>
      <c r="S417" s="251"/>
      <c r="T417" s="251"/>
      <c r="U417" s="251"/>
      <c r="V417" s="251"/>
      <c r="W417" s="251"/>
      <c r="X417" s="251"/>
      <c r="Y417" s="251"/>
      <c r="Z417" s="251"/>
    </row>
    <row r="418">
      <c r="A418" s="250"/>
      <c r="B418" s="251"/>
      <c r="C418" s="251" t="s">
        <v>39</v>
      </c>
      <c r="D418" s="252" t="s">
        <v>39</v>
      </c>
      <c r="E418" s="252" t="s">
        <v>39</v>
      </c>
      <c r="F418" s="252"/>
      <c r="G418" s="251"/>
      <c r="H418" s="251"/>
      <c r="I418" s="251"/>
      <c r="J418" s="251"/>
      <c r="K418" s="251"/>
      <c r="L418" s="251"/>
      <c r="M418" s="251"/>
      <c r="N418" s="21"/>
      <c r="O418" s="251"/>
      <c r="P418" s="252"/>
      <c r="Q418" s="253"/>
      <c r="R418" s="252"/>
      <c r="S418" s="251"/>
      <c r="T418" s="251"/>
      <c r="U418" s="251"/>
      <c r="V418" s="251"/>
      <c r="W418" s="251"/>
      <c r="X418" s="251"/>
      <c r="Y418" s="251"/>
      <c r="Z418" s="251"/>
    </row>
    <row r="419">
      <c r="A419" s="250"/>
      <c r="B419" s="251"/>
      <c r="C419" s="251" t="s">
        <v>39</v>
      </c>
      <c r="D419" s="252" t="s">
        <v>39</v>
      </c>
      <c r="E419" s="252" t="s">
        <v>39</v>
      </c>
      <c r="F419" s="252"/>
      <c r="G419" s="251"/>
      <c r="H419" s="251"/>
      <c r="I419" s="251"/>
      <c r="J419" s="251"/>
      <c r="K419" s="251"/>
      <c r="L419" s="251"/>
      <c r="M419" s="251"/>
      <c r="N419" s="21"/>
      <c r="O419" s="251"/>
      <c r="P419" s="252"/>
      <c r="Q419" s="253"/>
      <c r="R419" s="252"/>
      <c r="S419" s="251"/>
      <c r="T419" s="251"/>
      <c r="U419" s="251"/>
      <c r="V419" s="251"/>
      <c r="W419" s="251"/>
      <c r="X419" s="251"/>
      <c r="Y419" s="251"/>
      <c r="Z419" s="251"/>
    </row>
    <row r="420">
      <c r="A420" s="250"/>
      <c r="B420" s="251"/>
      <c r="C420" s="251" t="s">
        <v>39</v>
      </c>
      <c r="D420" s="252" t="s">
        <v>39</v>
      </c>
      <c r="E420" s="252" t="s">
        <v>39</v>
      </c>
      <c r="F420" s="252"/>
      <c r="G420" s="251"/>
      <c r="H420" s="251"/>
      <c r="I420" s="251"/>
      <c r="J420" s="251"/>
      <c r="K420" s="251"/>
      <c r="L420" s="251"/>
      <c r="M420" s="251"/>
      <c r="N420" s="21"/>
      <c r="O420" s="251"/>
      <c r="P420" s="252"/>
      <c r="Q420" s="253"/>
      <c r="R420" s="252"/>
      <c r="S420" s="251"/>
      <c r="T420" s="251"/>
      <c r="U420" s="251"/>
      <c r="V420" s="251"/>
      <c r="W420" s="251"/>
      <c r="X420" s="251"/>
      <c r="Y420" s="251"/>
      <c r="Z420" s="251"/>
    </row>
    <row r="421">
      <c r="A421" s="250"/>
      <c r="B421" s="251"/>
      <c r="C421" s="251" t="s">
        <v>39</v>
      </c>
      <c r="D421" s="252" t="s">
        <v>39</v>
      </c>
      <c r="E421" s="252" t="s">
        <v>39</v>
      </c>
      <c r="F421" s="252"/>
      <c r="G421" s="251"/>
      <c r="H421" s="251"/>
      <c r="I421" s="251"/>
      <c r="J421" s="251"/>
      <c r="K421" s="251"/>
      <c r="L421" s="251"/>
      <c r="M421" s="251"/>
      <c r="N421" s="21"/>
      <c r="O421" s="251"/>
      <c r="P421" s="252"/>
      <c r="Q421" s="253"/>
      <c r="R421" s="252"/>
      <c r="S421" s="251"/>
      <c r="T421" s="251"/>
      <c r="U421" s="251"/>
      <c r="V421" s="251"/>
      <c r="W421" s="251"/>
      <c r="X421" s="251"/>
      <c r="Y421" s="251"/>
      <c r="Z421" s="251"/>
    </row>
    <row r="422">
      <c r="A422" s="250"/>
      <c r="B422" s="251"/>
      <c r="C422" s="251" t="s">
        <v>39</v>
      </c>
      <c r="D422" s="252" t="s">
        <v>39</v>
      </c>
      <c r="E422" s="252" t="s">
        <v>39</v>
      </c>
      <c r="F422" s="252"/>
      <c r="G422" s="251"/>
      <c r="H422" s="251"/>
      <c r="I422" s="251"/>
      <c r="J422" s="251"/>
      <c r="K422" s="251"/>
      <c r="L422" s="251"/>
      <c r="M422" s="251"/>
      <c r="N422" s="21"/>
      <c r="O422" s="251"/>
      <c r="P422" s="252"/>
      <c r="Q422" s="253"/>
      <c r="R422" s="252"/>
      <c r="S422" s="251"/>
      <c r="T422" s="251"/>
      <c r="U422" s="251"/>
      <c r="V422" s="251"/>
      <c r="W422" s="251"/>
      <c r="X422" s="251"/>
      <c r="Y422" s="251"/>
      <c r="Z422" s="251"/>
    </row>
    <row r="423">
      <c r="A423" s="250"/>
      <c r="B423" s="251"/>
      <c r="C423" s="251" t="s">
        <v>39</v>
      </c>
      <c r="D423" s="252" t="s">
        <v>39</v>
      </c>
      <c r="E423" s="252" t="s">
        <v>39</v>
      </c>
      <c r="F423" s="252"/>
      <c r="G423" s="251"/>
      <c r="H423" s="251"/>
      <c r="I423" s="251"/>
      <c r="J423" s="251"/>
      <c r="K423" s="251"/>
      <c r="L423" s="251"/>
      <c r="M423" s="251"/>
      <c r="N423" s="21"/>
      <c r="O423" s="251"/>
      <c r="P423" s="252"/>
      <c r="Q423" s="253"/>
      <c r="R423" s="252"/>
      <c r="S423" s="251"/>
      <c r="T423" s="251"/>
      <c r="U423" s="251"/>
      <c r="V423" s="251"/>
      <c r="W423" s="251"/>
      <c r="X423" s="251"/>
      <c r="Y423" s="251"/>
      <c r="Z423" s="251"/>
    </row>
    <row r="424">
      <c r="A424" s="250"/>
      <c r="B424" s="251"/>
      <c r="C424" s="251" t="s">
        <v>39</v>
      </c>
      <c r="D424" s="252" t="s">
        <v>39</v>
      </c>
      <c r="E424" s="252" t="s">
        <v>39</v>
      </c>
      <c r="F424" s="252"/>
      <c r="G424" s="251"/>
      <c r="H424" s="251"/>
      <c r="I424" s="251"/>
      <c r="J424" s="251"/>
      <c r="K424" s="251"/>
      <c r="L424" s="251"/>
      <c r="M424" s="251"/>
      <c r="N424" s="21"/>
      <c r="O424" s="251"/>
      <c r="P424" s="252"/>
      <c r="Q424" s="253"/>
      <c r="R424" s="252"/>
      <c r="S424" s="251"/>
      <c r="T424" s="251"/>
      <c r="U424" s="251"/>
      <c r="V424" s="251"/>
      <c r="W424" s="251"/>
      <c r="X424" s="251"/>
      <c r="Y424" s="251"/>
      <c r="Z424" s="251"/>
    </row>
    <row r="425">
      <c r="A425" s="250"/>
      <c r="B425" s="251"/>
      <c r="C425" s="251" t="s">
        <v>39</v>
      </c>
      <c r="D425" s="252" t="s">
        <v>39</v>
      </c>
      <c r="E425" s="252" t="s">
        <v>39</v>
      </c>
      <c r="F425" s="252"/>
      <c r="G425" s="251"/>
      <c r="H425" s="251"/>
      <c r="I425" s="251"/>
      <c r="J425" s="251"/>
      <c r="K425" s="251"/>
      <c r="L425" s="251"/>
      <c r="M425" s="251"/>
      <c r="N425" s="21"/>
      <c r="O425" s="251"/>
      <c r="P425" s="252"/>
      <c r="Q425" s="253"/>
      <c r="R425" s="252"/>
      <c r="S425" s="251"/>
      <c r="T425" s="251"/>
      <c r="U425" s="251"/>
      <c r="V425" s="251"/>
      <c r="W425" s="251"/>
      <c r="X425" s="251"/>
      <c r="Y425" s="251"/>
      <c r="Z425" s="251"/>
    </row>
    <row r="426">
      <c r="A426" s="250"/>
      <c r="B426" s="251"/>
      <c r="C426" s="251" t="s">
        <v>39</v>
      </c>
      <c r="D426" s="252" t="s">
        <v>39</v>
      </c>
      <c r="E426" s="252" t="s">
        <v>39</v>
      </c>
      <c r="F426" s="252"/>
      <c r="G426" s="251"/>
      <c r="H426" s="251"/>
      <c r="I426" s="251"/>
      <c r="J426" s="251"/>
      <c r="K426" s="251"/>
      <c r="L426" s="251"/>
      <c r="M426" s="251"/>
      <c r="N426" s="21"/>
      <c r="O426" s="251"/>
      <c r="P426" s="252"/>
      <c r="Q426" s="253"/>
      <c r="R426" s="252"/>
      <c r="S426" s="251"/>
      <c r="T426" s="251"/>
      <c r="U426" s="251"/>
      <c r="V426" s="251"/>
      <c r="W426" s="251"/>
      <c r="X426" s="251"/>
      <c r="Y426" s="251"/>
      <c r="Z426" s="251"/>
    </row>
    <row r="427">
      <c r="A427" s="250"/>
      <c r="B427" s="251"/>
      <c r="C427" s="251" t="s">
        <v>39</v>
      </c>
      <c r="D427" s="252" t="s">
        <v>39</v>
      </c>
      <c r="E427" s="252" t="s">
        <v>39</v>
      </c>
      <c r="F427" s="252"/>
      <c r="G427" s="251"/>
      <c r="H427" s="251"/>
      <c r="I427" s="251"/>
      <c r="J427" s="251"/>
      <c r="K427" s="251"/>
      <c r="L427" s="251"/>
      <c r="M427" s="251"/>
      <c r="N427" s="21"/>
      <c r="O427" s="251"/>
      <c r="P427" s="252"/>
      <c r="Q427" s="253"/>
      <c r="R427" s="252"/>
      <c r="S427" s="251"/>
      <c r="T427" s="251"/>
      <c r="U427" s="251"/>
      <c r="V427" s="251"/>
      <c r="W427" s="251"/>
      <c r="X427" s="251"/>
      <c r="Y427" s="251"/>
      <c r="Z427" s="251"/>
    </row>
    <row r="428">
      <c r="A428" s="250"/>
      <c r="B428" s="251"/>
      <c r="C428" s="251" t="s">
        <v>39</v>
      </c>
      <c r="D428" s="252" t="s">
        <v>39</v>
      </c>
      <c r="E428" s="252" t="s">
        <v>39</v>
      </c>
      <c r="F428" s="252"/>
      <c r="G428" s="251"/>
      <c r="H428" s="251"/>
      <c r="I428" s="251"/>
      <c r="J428" s="251"/>
      <c r="K428" s="251"/>
      <c r="L428" s="251"/>
      <c r="M428" s="251"/>
      <c r="N428" s="21"/>
      <c r="O428" s="251"/>
      <c r="P428" s="252"/>
      <c r="Q428" s="253"/>
      <c r="R428" s="252"/>
      <c r="S428" s="251"/>
      <c r="T428" s="251"/>
      <c r="U428" s="251"/>
      <c r="V428" s="251"/>
      <c r="W428" s="251"/>
      <c r="X428" s="251"/>
      <c r="Y428" s="251"/>
      <c r="Z428" s="251"/>
    </row>
    <row r="429">
      <c r="A429" s="250"/>
      <c r="B429" s="251"/>
      <c r="C429" s="251" t="s">
        <v>39</v>
      </c>
      <c r="D429" s="252" t="s">
        <v>39</v>
      </c>
      <c r="E429" s="252" t="s">
        <v>39</v>
      </c>
      <c r="F429" s="252"/>
      <c r="G429" s="251"/>
      <c r="H429" s="251"/>
      <c r="I429" s="251"/>
      <c r="J429" s="251"/>
      <c r="K429" s="251"/>
      <c r="L429" s="251"/>
      <c r="M429" s="251"/>
      <c r="N429" s="21"/>
      <c r="O429" s="251"/>
      <c r="P429" s="252"/>
      <c r="Q429" s="253"/>
      <c r="R429" s="252"/>
      <c r="S429" s="251"/>
      <c r="T429" s="251"/>
      <c r="U429" s="251"/>
      <c r="V429" s="251"/>
      <c r="W429" s="251"/>
      <c r="X429" s="251"/>
      <c r="Y429" s="251"/>
      <c r="Z429" s="251"/>
    </row>
    <row r="430">
      <c r="A430" s="250"/>
      <c r="B430" s="251"/>
      <c r="C430" s="251" t="s">
        <v>39</v>
      </c>
      <c r="D430" s="252" t="s">
        <v>39</v>
      </c>
      <c r="E430" s="252" t="s">
        <v>39</v>
      </c>
      <c r="F430" s="252"/>
      <c r="G430" s="251"/>
      <c r="H430" s="251"/>
      <c r="I430" s="251"/>
      <c r="J430" s="251"/>
      <c r="K430" s="251"/>
      <c r="L430" s="251"/>
      <c r="M430" s="251"/>
      <c r="N430" s="21"/>
      <c r="O430" s="251"/>
      <c r="P430" s="252"/>
      <c r="Q430" s="253"/>
      <c r="R430" s="252"/>
      <c r="S430" s="251"/>
      <c r="T430" s="251"/>
      <c r="U430" s="251"/>
      <c r="V430" s="251"/>
      <c r="W430" s="251"/>
      <c r="X430" s="251"/>
      <c r="Y430" s="251"/>
      <c r="Z430" s="251"/>
    </row>
    <row r="431">
      <c r="A431" s="250"/>
      <c r="B431" s="251"/>
      <c r="C431" s="251" t="s">
        <v>39</v>
      </c>
      <c r="D431" s="252" t="s">
        <v>39</v>
      </c>
      <c r="E431" s="252" t="s">
        <v>39</v>
      </c>
      <c r="F431" s="252"/>
      <c r="G431" s="251"/>
      <c r="H431" s="251"/>
      <c r="I431" s="251"/>
      <c r="J431" s="251"/>
      <c r="K431" s="251"/>
      <c r="L431" s="251"/>
      <c r="M431" s="251"/>
      <c r="N431" s="21"/>
      <c r="O431" s="251"/>
      <c r="P431" s="252"/>
      <c r="Q431" s="253"/>
      <c r="R431" s="252"/>
      <c r="S431" s="251"/>
      <c r="T431" s="251"/>
      <c r="U431" s="251"/>
      <c r="V431" s="251"/>
      <c r="W431" s="251"/>
      <c r="X431" s="251"/>
      <c r="Y431" s="251"/>
      <c r="Z431" s="251"/>
    </row>
    <row r="432">
      <c r="A432" s="250"/>
      <c r="B432" s="251"/>
      <c r="C432" s="251" t="s">
        <v>39</v>
      </c>
      <c r="D432" s="252" t="s">
        <v>39</v>
      </c>
      <c r="E432" s="252" t="s">
        <v>39</v>
      </c>
      <c r="F432" s="252"/>
      <c r="G432" s="251"/>
      <c r="H432" s="251"/>
      <c r="I432" s="251"/>
      <c r="J432" s="251"/>
      <c r="K432" s="251"/>
      <c r="L432" s="251"/>
      <c r="M432" s="251"/>
      <c r="N432" s="21"/>
      <c r="O432" s="251"/>
      <c r="P432" s="252"/>
      <c r="Q432" s="253"/>
      <c r="R432" s="252"/>
      <c r="S432" s="251"/>
      <c r="T432" s="251"/>
      <c r="U432" s="251"/>
      <c r="V432" s="251"/>
      <c r="W432" s="251"/>
      <c r="X432" s="251"/>
      <c r="Y432" s="251"/>
      <c r="Z432" s="251"/>
    </row>
    <row r="433">
      <c r="A433" s="250"/>
      <c r="B433" s="251"/>
      <c r="C433" s="251" t="s">
        <v>39</v>
      </c>
      <c r="D433" s="252" t="s">
        <v>39</v>
      </c>
      <c r="E433" s="252" t="s">
        <v>39</v>
      </c>
      <c r="F433" s="252"/>
      <c r="G433" s="251"/>
      <c r="H433" s="251"/>
      <c r="I433" s="251"/>
      <c r="J433" s="251"/>
      <c r="K433" s="251"/>
      <c r="L433" s="251"/>
      <c r="M433" s="251"/>
      <c r="N433" s="21"/>
      <c r="O433" s="251"/>
      <c r="P433" s="252"/>
      <c r="Q433" s="253"/>
      <c r="R433" s="252"/>
      <c r="S433" s="251"/>
      <c r="T433" s="251"/>
      <c r="U433" s="251"/>
      <c r="V433" s="251"/>
      <c r="W433" s="251"/>
      <c r="X433" s="251"/>
      <c r="Y433" s="251"/>
      <c r="Z433" s="251"/>
    </row>
    <row r="434">
      <c r="A434" s="250"/>
      <c r="B434" s="251"/>
      <c r="C434" s="251" t="s">
        <v>39</v>
      </c>
      <c r="D434" s="252" t="s">
        <v>39</v>
      </c>
      <c r="E434" s="252" t="s">
        <v>39</v>
      </c>
      <c r="F434" s="252"/>
      <c r="G434" s="251"/>
      <c r="H434" s="251"/>
      <c r="I434" s="251"/>
      <c r="J434" s="251"/>
      <c r="K434" s="251"/>
      <c r="L434" s="251"/>
      <c r="M434" s="251"/>
      <c r="N434" s="21"/>
      <c r="O434" s="251"/>
      <c r="P434" s="252"/>
      <c r="Q434" s="253"/>
      <c r="R434" s="252"/>
      <c r="S434" s="251"/>
      <c r="T434" s="251"/>
      <c r="U434" s="251"/>
      <c r="V434" s="251"/>
      <c r="W434" s="251"/>
      <c r="X434" s="251"/>
      <c r="Y434" s="251"/>
      <c r="Z434" s="251"/>
    </row>
    <row r="435">
      <c r="A435" s="250"/>
      <c r="B435" s="251"/>
      <c r="C435" s="251" t="s">
        <v>39</v>
      </c>
      <c r="D435" s="252" t="s">
        <v>39</v>
      </c>
      <c r="E435" s="252" t="s">
        <v>39</v>
      </c>
      <c r="F435" s="252"/>
      <c r="G435" s="251"/>
      <c r="H435" s="251"/>
      <c r="I435" s="251"/>
      <c r="J435" s="251"/>
      <c r="K435" s="251"/>
      <c r="L435" s="251"/>
      <c r="M435" s="251"/>
      <c r="N435" s="21"/>
      <c r="O435" s="251"/>
      <c r="P435" s="252"/>
      <c r="Q435" s="253"/>
      <c r="R435" s="252"/>
      <c r="S435" s="251"/>
      <c r="T435" s="251"/>
      <c r="U435" s="251"/>
      <c r="V435" s="251"/>
      <c r="W435" s="251"/>
      <c r="X435" s="251"/>
      <c r="Y435" s="251"/>
      <c r="Z435" s="251"/>
    </row>
    <row r="436">
      <c r="A436" s="250"/>
      <c r="B436" s="251"/>
      <c r="C436" s="251" t="s">
        <v>39</v>
      </c>
      <c r="D436" s="252" t="s">
        <v>39</v>
      </c>
      <c r="E436" s="252" t="s">
        <v>39</v>
      </c>
      <c r="F436" s="252"/>
      <c r="G436" s="251"/>
      <c r="H436" s="251"/>
      <c r="I436" s="251"/>
      <c r="J436" s="251"/>
      <c r="K436" s="251"/>
      <c r="L436" s="251"/>
      <c r="M436" s="251"/>
      <c r="N436" s="21"/>
      <c r="O436" s="251"/>
      <c r="P436" s="252"/>
      <c r="Q436" s="253"/>
      <c r="R436" s="252"/>
      <c r="S436" s="251"/>
      <c r="T436" s="251"/>
      <c r="U436" s="251"/>
      <c r="V436" s="251"/>
      <c r="W436" s="251"/>
      <c r="X436" s="251"/>
      <c r="Y436" s="251"/>
      <c r="Z436" s="251"/>
    </row>
    <row r="437">
      <c r="A437" s="250"/>
      <c r="B437" s="251"/>
      <c r="C437" s="251" t="s">
        <v>39</v>
      </c>
      <c r="D437" s="252" t="s">
        <v>39</v>
      </c>
      <c r="E437" s="252" t="s">
        <v>39</v>
      </c>
      <c r="F437" s="252"/>
      <c r="G437" s="251"/>
      <c r="H437" s="251"/>
      <c r="I437" s="251"/>
      <c r="J437" s="251"/>
      <c r="K437" s="251"/>
      <c r="L437" s="251"/>
      <c r="M437" s="251"/>
      <c r="N437" s="21"/>
      <c r="O437" s="251"/>
      <c r="P437" s="252"/>
      <c r="Q437" s="253"/>
      <c r="R437" s="252"/>
      <c r="S437" s="251"/>
      <c r="T437" s="251"/>
      <c r="U437" s="251"/>
      <c r="V437" s="251"/>
      <c r="W437" s="251"/>
      <c r="X437" s="251"/>
      <c r="Y437" s="251"/>
      <c r="Z437" s="251"/>
    </row>
    <row r="438">
      <c r="A438" s="250"/>
      <c r="B438" s="251"/>
      <c r="C438" s="251" t="s">
        <v>39</v>
      </c>
      <c r="D438" s="252" t="s">
        <v>39</v>
      </c>
      <c r="E438" s="252" t="s">
        <v>39</v>
      </c>
      <c r="F438" s="252"/>
      <c r="G438" s="251"/>
      <c r="H438" s="251"/>
      <c r="I438" s="251"/>
      <c r="J438" s="251"/>
      <c r="K438" s="251"/>
      <c r="L438" s="251"/>
      <c r="M438" s="251"/>
      <c r="N438" s="21"/>
      <c r="O438" s="251"/>
      <c r="P438" s="252"/>
      <c r="Q438" s="253"/>
      <c r="R438" s="252"/>
      <c r="S438" s="251"/>
      <c r="T438" s="251"/>
      <c r="U438" s="251"/>
      <c r="V438" s="251"/>
      <c r="W438" s="251"/>
      <c r="X438" s="251"/>
      <c r="Y438" s="251"/>
      <c r="Z438" s="251"/>
    </row>
    <row r="439">
      <c r="A439" s="250"/>
      <c r="B439" s="251"/>
      <c r="C439" s="251" t="s">
        <v>39</v>
      </c>
      <c r="D439" s="252" t="s">
        <v>39</v>
      </c>
      <c r="E439" s="252" t="s">
        <v>39</v>
      </c>
      <c r="F439" s="252"/>
      <c r="G439" s="251"/>
      <c r="H439" s="251"/>
      <c r="I439" s="251"/>
      <c r="J439" s="251"/>
      <c r="K439" s="251"/>
      <c r="L439" s="251"/>
      <c r="M439" s="251"/>
      <c r="N439" s="21"/>
      <c r="O439" s="251"/>
      <c r="P439" s="252"/>
      <c r="Q439" s="253"/>
      <c r="R439" s="252"/>
      <c r="S439" s="251"/>
      <c r="T439" s="251"/>
      <c r="U439" s="251"/>
      <c r="V439" s="251"/>
      <c r="W439" s="251"/>
      <c r="X439" s="251"/>
      <c r="Y439" s="251"/>
      <c r="Z439" s="251"/>
    </row>
    <row r="440">
      <c r="A440" s="250"/>
      <c r="B440" s="251"/>
      <c r="C440" s="251" t="s">
        <v>39</v>
      </c>
      <c r="D440" s="252" t="s">
        <v>39</v>
      </c>
      <c r="E440" s="252" t="s">
        <v>39</v>
      </c>
      <c r="F440" s="252"/>
      <c r="G440" s="251"/>
      <c r="H440" s="251"/>
      <c r="I440" s="251"/>
      <c r="J440" s="251"/>
      <c r="K440" s="251"/>
      <c r="L440" s="251"/>
      <c r="M440" s="251"/>
      <c r="N440" s="21"/>
      <c r="O440" s="251"/>
      <c r="P440" s="252"/>
      <c r="Q440" s="253"/>
      <c r="R440" s="252"/>
      <c r="S440" s="251"/>
      <c r="T440" s="251"/>
      <c r="U440" s="251"/>
      <c r="V440" s="251"/>
      <c r="W440" s="251"/>
      <c r="X440" s="251"/>
      <c r="Y440" s="251"/>
      <c r="Z440" s="251"/>
    </row>
    <row r="441">
      <c r="A441" s="250"/>
      <c r="B441" s="251"/>
      <c r="C441" s="251" t="s">
        <v>39</v>
      </c>
      <c r="D441" s="252" t="s">
        <v>39</v>
      </c>
      <c r="E441" s="252" t="s">
        <v>39</v>
      </c>
      <c r="F441" s="252"/>
      <c r="G441" s="251"/>
      <c r="H441" s="251"/>
      <c r="I441" s="251"/>
      <c r="J441" s="251"/>
      <c r="K441" s="251"/>
      <c r="L441" s="251"/>
      <c r="M441" s="251"/>
      <c r="N441" s="21"/>
      <c r="O441" s="251"/>
      <c r="P441" s="252"/>
      <c r="Q441" s="253"/>
      <c r="R441" s="252"/>
      <c r="S441" s="251"/>
      <c r="T441" s="251"/>
      <c r="U441" s="251"/>
      <c r="V441" s="251"/>
      <c r="W441" s="251"/>
      <c r="X441" s="251"/>
      <c r="Y441" s="251"/>
      <c r="Z441" s="251"/>
    </row>
    <row r="442">
      <c r="A442" s="250"/>
      <c r="B442" s="251"/>
      <c r="C442" s="251" t="s">
        <v>39</v>
      </c>
      <c r="D442" s="252" t="s">
        <v>39</v>
      </c>
      <c r="E442" s="252" t="s">
        <v>39</v>
      </c>
      <c r="F442" s="252"/>
      <c r="G442" s="251"/>
      <c r="H442" s="251"/>
      <c r="I442" s="251"/>
      <c r="J442" s="251"/>
      <c r="K442" s="251"/>
      <c r="L442" s="251"/>
      <c r="M442" s="251"/>
      <c r="N442" s="21"/>
      <c r="O442" s="251"/>
      <c r="P442" s="252"/>
      <c r="Q442" s="253"/>
      <c r="R442" s="252"/>
      <c r="S442" s="251"/>
      <c r="T442" s="251"/>
      <c r="U442" s="251"/>
      <c r="V442" s="251"/>
      <c r="W442" s="251"/>
      <c r="X442" s="251"/>
      <c r="Y442" s="251"/>
      <c r="Z442" s="251"/>
    </row>
    <row r="443">
      <c r="A443" s="250"/>
      <c r="B443" s="251"/>
      <c r="C443" s="251" t="s">
        <v>39</v>
      </c>
      <c r="D443" s="252" t="s">
        <v>39</v>
      </c>
      <c r="E443" s="252" t="s">
        <v>39</v>
      </c>
      <c r="F443" s="252"/>
      <c r="G443" s="251"/>
      <c r="H443" s="251"/>
      <c r="I443" s="251"/>
      <c r="J443" s="251"/>
      <c r="K443" s="251"/>
      <c r="L443" s="251"/>
      <c r="M443" s="251"/>
      <c r="N443" s="21"/>
      <c r="O443" s="251"/>
      <c r="P443" s="252"/>
      <c r="Q443" s="253"/>
      <c r="R443" s="252"/>
      <c r="S443" s="251"/>
      <c r="T443" s="251"/>
      <c r="U443" s="251"/>
      <c r="V443" s="251"/>
      <c r="W443" s="251"/>
      <c r="X443" s="251"/>
      <c r="Y443" s="251"/>
      <c r="Z443" s="251"/>
    </row>
    <row r="444">
      <c r="A444" s="250"/>
      <c r="B444" s="251"/>
      <c r="C444" s="251" t="s">
        <v>39</v>
      </c>
      <c r="D444" s="252" t="s">
        <v>39</v>
      </c>
      <c r="E444" s="252" t="s">
        <v>39</v>
      </c>
      <c r="F444" s="252"/>
      <c r="G444" s="251"/>
      <c r="H444" s="251"/>
      <c r="I444" s="251"/>
      <c r="J444" s="251"/>
      <c r="K444" s="251"/>
      <c r="L444" s="251"/>
      <c r="M444" s="251"/>
      <c r="N444" s="21"/>
      <c r="O444" s="251"/>
      <c r="P444" s="252"/>
      <c r="Q444" s="253"/>
      <c r="R444" s="252"/>
      <c r="S444" s="251"/>
      <c r="T444" s="251"/>
      <c r="U444" s="251"/>
      <c r="V444" s="251"/>
      <c r="W444" s="251"/>
      <c r="X444" s="251"/>
      <c r="Y444" s="251"/>
      <c r="Z444" s="251"/>
    </row>
    <row r="445">
      <c r="A445" s="250"/>
      <c r="B445" s="251"/>
      <c r="C445" s="251" t="s">
        <v>39</v>
      </c>
      <c r="D445" s="252" t="s">
        <v>39</v>
      </c>
      <c r="E445" s="252" t="s">
        <v>39</v>
      </c>
      <c r="F445" s="252"/>
      <c r="G445" s="251"/>
      <c r="H445" s="251"/>
      <c r="I445" s="251"/>
      <c r="J445" s="251"/>
      <c r="K445" s="251"/>
      <c r="L445" s="251"/>
      <c r="M445" s="251"/>
      <c r="N445" s="21"/>
      <c r="O445" s="251"/>
      <c r="P445" s="252"/>
      <c r="Q445" s="253"/>
      <c r="R445" s="252"/>
      <c r="S445" s="251"/>
      <c r="T445" s="251"/>
      <c r="U445" s="251"/>
      <c r="V445" s="251"/>
      <c r="W445" s="251"/>
      <c r="X445" s="251"/>
      <c r="Y445" s="251"/>
      <c r="Z445" s="251"/>
    </row>
    <row r="446">
      <c r="A446" s="250"/>
      <c r="B446" s="251"/>
      <c r="C446" s="251" t="s">
        <v>39</v>
      </c>
      <c r="D446" s="252" t="s">
        <v>39</v>
      </c>
      <c r="E446" s="252" t="s">
        <v>39</v>
      </c>
      <c r="F446" s="252"/>
      <c r="G446" s="251"/>
      <c r="H446" s="251"/>
      <c r="I446" s="251"/>
      <c r="J446" s="251"/>
      <c r="K446" s="251"/>
      <c r="L446" s="251"/>
      <c r="M446" s="251"/>
      <c r="N446" s="21"/>
      <c r="O446" s="251"/>
      <c r="P446" s="252"/>
      <c r="Q446" s="253"/>
      <c r="R446" s="252"/>
      <c r="S446" s="251"/>
      <c r="T446" s="251"/>
      <c r="U446" s="251"/>
      <c r="V446" s="251"/>
      <c r="W446" s="251"/>
      <c r="X446" s="251"/>
      <c r="Y446" s="251"/>
      <c r="Z446" s="251"/>
    </row>
    <row r="447">
      <c r="A447" s="250"/>
      <c r="B447" s="251"/>
      <c r="C447" s="251" t="s">
        <v>39</v>
      </c>
      <c r="D447" s="252" t="s">
        <v>39</v>
      </c>
      <c r="E447" s="252" t="s">
        <v>39</v>
      </c>
      <c r="F447" s="252"/>
      <c r="G447" s="251"/>
      <c r="H447" s="251"/>
      <c r="I447" s="251"/>
      <c r="J447" s="251"/>
      <c r="K447" s="251"/>
      <c r="L447" s="251"/>
      <c r="M447" s="251"/>
      <c r="N447" s="21"/>
      <c r="O447" s="251"/>
      <c r="P447" s="252"/>
      <c r="Q447" s="253"/>
      <c r="R447" s="252"/>
      <c r="S447" s="251"/>
      <c r="T447" s="251"/>
      <c r="U447" s="251"/>
      <c r="V447" s="251"/>
      <c r="W447" s="251"/>
      <c r="X447" s="251"/>
      <c r="Y447" s="251"/>
      <c r="Z447" s="251"/>
    </row>
    <row r="448">
      <c r="A448" s="250"/>
      <c r="B448" s="251"/>
      <c r="C448" s="251" t="s">
        <v>39</v>
      </c>
      <c r="D448" s="252" t="s">
        <v>39</v>
      </c>
      <c r="E448" s="252" t="s">
        <v>39</v>
      </c>
      <c r="F448" s="252"/>
      <c r="G448" s="251"/>
      <c r="H448" s="251"/>
      <c r="I448" s="251"/>
      <c r="J448" s="251"/>
      <c r="K448" s="251"/>
      <c r="L448" s="251"/>
      <c r="M448" s="251"/>
      <c r="N448" s="21"/>
      <c r="O448" s="251"/>
      <c r="P448" s="252"/>
      <c r="Q448" s="253"/>
      <c r="R448" s="252"/>
      <c r="S448" s="251"/>
      <c r="T448" s="251"/>
      <c r="U448" s="251"/>
      <c r="V448" s="251"/>
      <c r="W448" s="251"/>
      <c r="X448" s="251"/>
      <c r="Y448" s="251"/>
      <c r="Z448" s="251"/>
    </row>
    <row r="449">
      <c r="A449" s="250"/>
      <c r="B449" s="251"/>
      <c r="C449" s="251" t="s">
        <v>39</v>
      </c>
      <c r="D449" s="252" t="s">
        <v>39</v>
      </c>
      <c r="E449" s="252" t="s">
        <v>39</v>
      </c>
      <c r="F449" s="252"/>
      <c r="G449" s="251"/>
      <c r="H449" s="251"/>
      <c r="I449" s="251"/>
      <c r="J449" s="251"/>
      <c r="K449" s="251"/>
      <c r="L449" s="251"/>
      <c r="M449" s="251"/>
      <c r="N449" s="21"/>
      <c r="O449" s="251"/>
      <c r="P449" s="252"/>
      <c r="Q449" s="253"/>
      <c r="R449" s="252"/>
      <c r="S449" s="251"/>
      <c r="T449" s="251"/>
      <c r="U449" s="251"/>
      <c r="V449" s="251"/>
      <c r="W449" s="251"/>
      <c r="X449" s="251"/>
      <c r="Y449" s="251"/>
      <c r="Z449" s="251"/>
    </row>
    <row r="450">
      <c r="A450" s="250"/>
      <c r="B450" s="251"/>
      <c r="C450" s="251" t="s">
        <v>39</v>
      </c>
      <c r="D450" s="252" t="s">
        <v>39</v>
      </c>
      <c r="E450" s="252" t="s">
        <v>39</v>
      </c>
      <c r="F450" s="252"/>
      <c r="G450" s="251"/>
      <c r="H450" s="251"/>
      <c r="I450" s="251"/>
      <c r="J450" s="251"/>
      <c r="K450" s="251"/>
      <c r="L450" s="251"/>
      <c r="M450" s="251"/>
      <c r="N450" s="21"/>
      <c r="O450" s="251"/>
      <c r="P450" s="252"/>
      <c r="Q450" s="253"/>
      <c r="R450" s="252"/>
      <c r="S450" s="251"/>
      <c r="T450" s="251"/>
      <c r="U450" s="251"/>
      <c r="V450" s="251"/>
      <c r="W450" s="251"/>
      <c r="X450" s="251"/>
      <c r="Y450" s="251"/>
      <c r="Z450" s="251"/>
    </row>
    <row r="451">
      <c r="A451" s="250"/>
      <c r="B451" s="251"/>
      <c r="C451" s="251" t="s">
        <v>39</v>
      </c>
      <c r="D451" s="252" t="s">
        <v>39</v>
      </c>
      <c r="E451" s="252" t="s">
        <v>39</v>
      </c>
      <c r="F451" s="252"/>
      <c r="G451" s="251"/>
      <c r="H451" s="251"/>
      <c r="I451" s="251"/>
      <c r="J451" s="251"/>
      <c r="K451" s="251"/>
      <c r="L451" s="251"/>
      <c r="M451" s="251"/>
      <c r="N451" s="21"/>
      <c r="O451" s="251"/>
      <c r="P451" s="252"/>
      <c r="Q451" s="253"/>
      <c r="R451" s="252"/>
      <c r="S451" s="251"/>
      <c r="T451" s="251"/>
      <c r="U451" s="251"/>
      <c r="V451" s="251"/>
      <c r="W451" s="251"/>
      <c r="X451" s="251"/>
      <c r="Y451" s="251"/>
      <c r="Z451" s="251"/>
    </row>
    <row r="452">
      <c r="A452" s="250"/>
      <c r="B452" s="251"/>
      <c r="C452" s="251" t="s">
        <v>39</v>
      </c>
      <c r="D452" s="252" t="s">
        <v>39</v>
      </c>
      <c r="E452" s="252" t="s">
        <v>39</v>
      </c>
      <c r="F452" s="252"/>
      <c r="G452" s="251"/>
      <c r="H452" s="251"/>
      <c r="I452" s="251"/>
      <c r="J452" s="251"/>
      <c r="K452" s="251"/>
      <c r="L452" s="251"/>
      <c r="M452" s="251"/>
      <c r="N452" s="21"/>
      <c r="O452" s="251"/>
      <c r="P452" s="252"/>
      <c r="Q452" s="253"/>
      <c r="R452" s="252"/>
      <c r="S452" s="251"/>
      <c r="T452" s="251"/>
      <c r="U452" s="251"/>
      <c r="V452" s="251"/>
      <c r="W452" s="251"/>
      <c r="X452" s="251"/>
      <c r="Y452" s="251"/>
      <c r="Z452" s="251"/>
    </row>
    <row r="453">
      <c r="A453" s="250"/>
      <c r="B453" s="251"/>
      <c r="C453" s="251" t="s">
        <v>39</v>
      </c>
      <c r="D453" s="252" t="s">
        <v>39</v>
      </c>
      <c r="E453" s="252" t="s">
        <v>39</v>
      </c>
      <c r="F453" s="252"/>
      <c r="G453" s="251"/>
      <c r="H453" s="251"/>
      <c r="I453" s="251"/>
      <c r="J453" s="251"/>
      <c r="K453" s="251"/>
      <c r="L453" s="251"/>
      <c r="M453" s="251"/>
      <c r="N453" s="21"/>
      <c r="O453" s="251"/>
      <c r="P453" s="252"/>
      <c r="Q453" s="253"/>
      <c r="R453" s="252"/>
      <c r="S453" s="251"/>
      <c r="T453" s="251"/>
      <c r="U453" s="251"/>
      <c r="V453" s="251"/>
      <c r="W453" s="251"/>
      <c r="X453" s="251"/>
      <c r="Y453" s="251"/>
      <c r="Z453" s="251"/>
    </row>
    <row r="454">
      <c r="A454" s="250"/>
      <c r="B454" s="251"/>
      <c r="C454" s="251" t="s">
        <v>39</v>
      </c>
      <c r="D454" s="252" t="s">
        <v>39</v>
      </c>
      <c r="E454" s="252" t="s">
        <v>39</v>
      </c>
      <c r="F454" s="252"/>
      <c r="G454" s="251"/>
      <c r="H454" s="251"/>
      <c r="I454" s="251"/>
      <c r="J454" s="251"/>
      <c r="K454" s="251"/>
      <c r="L454" s="251"/>
      <c r="M454" s="251"/>
      <c r="N454" s="21"/>
      <c r="O454" s="251"/>
      <c r="P454" s="252"/>
      <c r="Q454" s="253"/>
      <c r="R454" s="252"/>
      <c r="S454" s="251"/>
      <c r="T454" s="251"/>
      <c r="U454" s="251"/>
      <c r="V454" s="251"/>
      <c r="W454" s="251"/>
      <c r="X454" s="251"/>
      <c r="Y454" s="251"/>
      <c r="Z454" s="251"/>
    </row>
    <row r="455">
      <c r="A455" s="250"/>
      <c r="B455" s="251"/>
      <c r="C455" s="251" t="s">
        <v>39</v>
      </c>
      <c r="D455" s="252" t="s">
        <v>39</v>
      </c>
      <c r="E455" s="252" t="s">
        <v>39</v>
      </c>
      <c r="F455" s="252"/>
      <c r="G455" s="251"/>
      <c r="H455" s="251"/>
      <c r="I455" s="251"/>
      <c r="J455" s="251"/>
      <c r="K455" s="251"/>
      <c r="L455" s="251"/>
      <c r="M455" s="251"/>
      <c r="N455" s="21"/>
      <c r="O455" s="251"/>
      <c r="P455" s="252"/>
      <c r="Q455" s="253"/>
      <c r="R455" s="252"/>
      <c r="S455" s="251"/>
      <c r="T455" s="251"/>
      <c r="U455" s="251"/>
      <c r="V455" s="251"/>
      <c r="W455" s="251"/>
      <c r="X455" s="251"/>
      <c r="Y455" s="251"/>
      <c r="Z455" s="251"/>
    </row>
    <row r="456">
      <c r="A456" s="250"/>
      <c r="B456" s="251"/>
      <c r="C456" s="251" t="s">
        <v>39</v>
      </c>
      <c r="D456" s="252" t="s">
        <v>39</v>
      </c>
      <c r="E456" s="252" t="s">
        <v>39</v>
      </c>
      <c r="F456" s="252"/>
      <c r="G456" s="251"/>
      <c r="H456" s="251"/>
      <c r="I456" s="251"/>
      <c r="J456" s="251"/>
      <c r="K456" s="251"/>
      <c r="L456" s="251"/>
      <c r="M456" s="251"/>
      <c r="N456" s="21"/>
      <c r="O456" s="251"/>
      <c r="P456" s="252"/>
      <c r="Q456" s="253"/>
      <c r="R456" s="252"/>
      <c r="S456" s="251"/>
      <c r="T456" s="251"/>
      <c r="U456" s="251"/>
      <c r="V456" s="251"/>
      <c r="W456" s="251"/>
      <c r="X456" s="251"/>
      <c r="Y456" s="251"/>
      <c r="Z456" s="251"/>
    </row>
    <row r="457">
      <c r="A457" s="250"/>
      <c r="B457" s="251"/>
      <c r="C457" s="251" t="s">
        <v>39</v>
      </c>
      <c r="D457" s="252" t="s">
        <v>39</v>
      </c>
      <c r="E457" s="252" t="s">
        <v>39</v>
      </c>
      <c r="F457" s="252"/>
      <c r="G457" s="251"/>
      <c r="H457" s="251"/>
      <c r="I457" s="251"/>
      <c r="J457" s="251"/>
      <c r="K457" s="251"/>
      <c r="L457" s="251"/>
      <c r="M457" s="251"/>
      <c r="N457" s="21"/>
      <c r="O457" s="251"/>
      <c r="P457" s="252"/>
      <c r="Q457" s="253"/>
      <c r="R457" s="252"/>
      <c r="S457" s="251"/>
      <c r="T457" s="251"/>
      <c r="U457" s="251"/>
      <c r="V457" s="251"/>
      <c r="W457" s="251"/>
      <c r="X457" s="251"/>
      <c r="Y457" s="251"/>
      <c r="Z457" s="251"/>
    </row>
    <row r="458">
      <c r="A458" s="250"/>
      <c r="B458" s="251"/>
      <c r="C458" s="251" t="s">
        <v>39</v>
      </c>
      <c r="D458" s="252" t="s">
        <v>39</v>
      </c>
      <c r="E458" s="252" t="s">
        <v>39</v>
      </c>
      <c r="F458" s="252"/>
      <c r="G458" s="251"/>
      <c r="H458" s="251"/>
      <c r="I458" s="251"/>
      <c r="J458" s="251"/>
      <c r="K458" s="251"/>
      <c r="L458" s="251"/>
      <c r="M458" s="251"/>
      <c r="N458" s="21"/>
      <c r="O458" s="251"/>
      <c r="P458" s="252"/>
      <c r="Q458" s="253"/>
      <c r="R458" s="252"/>
      <c r="S458" s="251"/>
      <c r="T458" s="251"/>
      <c r="U458" s="251"/>
      <c r="V458" s="251"/>
      <c r="W458" s="251"/>
      <c r="X458" s="251"/>
      <c r="Y458" s="251"/>
      <c r="Z458" s="251"/>
    </row>
    <row r="459">
      <c r="A459" s="250"/>
      <c r="B459" s="251"/>
      <c r="C459" s="251" t="s">
        <v>39</v>
      </c>
      <c r="D459" s="252" t="s">
        <v>39</v>
      </c>
      <c r="E459" s="252" t="s">
        <v>39</v>
      </c>
      <c r="F459" s="252"/>
      <c r="G459" s="251"/>
      <c r="H459" s="251"/>
      <c r="I459" s="251"/>
      <c r="J459" s="251"/>
      <c r="K459" s="251"/>
      <c r="L459" s="251"/>
      <c r="M459" s="251"/>
      <c r="N459" s="21"/>
      <c r="O459" s="251"/>
      <c r="P459" s="252"/>
      <c r="Q459" s="253"/>
      <c r="R459" s="252"/>
      <c r="S459" s="251"/>
      <c r="T459" s="251"/>
      <c r="U459" s="251"/>
      <c r="V459" s="251"/>
      <c r="W459" s="251"/>
      <c r="X459" s="251"/>
      <c r="Y459" s="251"/>
      <c r="Z459" s="251"/>
    </row>
    <row r="460">
      <c r="A460" s="250"/>
      <c r="B460" s="251"/>
      <c r="C460" s="251" t="s">
        <v>39</v>
      </c>
      <c r="D460" s="252" t="s">
        <v>39</v>
      </c>
      <c r="E460" s="252" t="s">
        <v>39</v>
      </c>
      <c r="F460" s="252"/>
      <c r="G460" s="251"/>
      <c r="H460" s="251"/>
      <c r="I460" s="251"/>
      <c r="J460" s="251"/>
      <c r="K460" s="251"/>
      <c r="L460" s="251"/>
      <c r="M460" s="251"/>
      <c r="N460" s="21"/>
      <c r="O460" s="251"/>
      <c r="P460" s="252"/>
      <c r="Q460" s="253"/>
      <c r="R460" s="252"/>
      <c r="S460" s="251"/>
      <c r="T460" s="251"/>
      <c r="U460" s="251"/>
      <c r="V460" s="251"/>
      <c r="W460" s="251"/>
      <c r="X460" s="251"/>
      <c r="Y460" s="251"/>
      <c r="Z460" s="251"/>
    </row>
    <row r="461">
      <c r="A461" s="250"/>
      <c r="B461" s="251"/>
      <c r="C461" s="251" t="s">
        <v>39</v>
      </c>
      <c r="D461" s="252" t="s">
        <v>39</v>
      </c>
      <c r="E461" s="252" t="s">
        <v>39</v>
      </c>
      <c r="F461" s="252"/>
      <c r="G461" s="251"/>
      <c r="H461" s="251"/>
      <c r="I461" s="251"/>
      <c r="J461" s="251"/>
      <c r="K461" s="251"/>
      <c r="L461" s="251"/>
      <c r="M461" s="251"/>
      <c r="N461" s="21"/>
      <c r="O461" s="251"/>
      <c r="P461" s="252"/>
      <c r="Q461" s="253"/>
      <c r="R461" s="252"/>
      <c r="S461" s="251"/>
      <c r="T461" s="251"/>
      <c r="U461" s="251"/>
      <c r="V461" s="251"/>
      <c r="W461" s="251"/>
      <c r="X461" s="251"/>
      <c r="Y461" s="251"/>
      <c r="Z461" s="251"/>
    </row>
    <row r="462">
      <c r="A462" s="250"/>
      <c r="B462" s="251"/>
      <c r="C462" s="251" t="s">
        <v>39</v>
      </c>
      <c r="D462" s="252" t="s">
        <v>39</v>
      </c>
      <c r="E462" s="252" t="s">
        <v>39</v>
      </c>
      <c r="F462" s="252"/>
      <c r="G462" s="251"/>
      <c r="H462" s="251"/>
      <c r="I462" s="251"/>
      <c r="J462" s="251"/>
      <c r="K462" s="251"/>
      <c r="L462" s="251"/>
      <c r="M462" s="251"/>
      <c r="N462" s="21"/>
      <c r="O462" s="251"/>
      <c r="P462" s="252"/>
      <c r="Q462" s="253"/>
      <c r="R462" s="252"/>
      <c r="S462" s="251"/>
      <c r="T462" s="251"/>
      <c r="U462" s="251"/>
      <c r="V462" s="251"/>
      <c r="W462" s="251"/>
      <c r="X462" s="251"/>
      <c r="Y462" s="251"/>
      <c r="Z462" s="251"/>
    </row>
    <row r="463">
      <c r="A463" s="250"/>
      <c r="B463" s="251"/>
      <c r="C463" s="251" t="s">
        <v>39</v>
      </c>
      <c r="D463" s="252" t="s">
        <v>39</v>
      </c>
      <c r="E463" s="252" t="s">
        <v>39</v>
      </c>
      <c r="F463" s="252"/>
      <c r="G463" s="251"/>
      <c r="H463" s="251"/>
      <c r="I463" s="251"/>
      <c r="J463" s="251"/>
      <c r="K463" s="251"/>
      <c r="L463" s="251"/>
      <c r="M463" s="251"/>
      <c r="N463" s="21"/>
      <c r="O463" s="251"/>
      <c r="P463" s="252"/>
      <c r="Q463" s="253"/>
      <c r="R463" s="252"/>
      <c r="S463" s="251"/>
      <c r="T463" s="251"/>
      <c r="U463" s="251"/>
      <c r="V463" s="251"/>
      <c r="W463" s="251"/>
      <c r="X463" s="251"/>
      <c r="Y463" s="251"/>
      <c r="Z463" s="251"/>
    </row>
    <row r="464">
      <c r="A464" s="250"/>
      <c r="B464" s="251"/>
      <c r="C464" s="251" t="s">
        <v>39</v>
      </c>
      <c r="D464" s="252" t="s">
        <v>39</v>
      </c>
      <c r="E464" s="252" t="s">
        <v>39</v>
      </c>
      <c r="F464" s="252"/>
      <c r="G464" s="251"/>
      <c r="H464" s="251"/>
      <c r="I464" s="251"/>
      <c r="J464" s="251"/>
      <c r="K464" s="251"/>
      <c r="L464" s="251"/>
      <c r="M464" s="251"/>
      <c r="N464" s="21"/>
      <c r="O464" s="251"/>
      <c r="P464" s="252"/>
      <c r="Q464" s="253"/>
      <c r="R464" s="252"/>
      <c r="S464" s="251"/>
      <c r="T464" s="251"/>
      <c r="U464" s="251"/>
      <c r="V464" s="251"/>
      <c r="W464" s="251"/>
      <c r="X464" s="251"/>
      <c r="Y464" s="251"/>
      <c r="Z464" s="251"/>
    </row>
    <row r="465">
      <c r="A465" s="250"/>
      <c r="B465" s="251"/>
      <c r="C465" s="251" t="s">
        <v>39</v>
      </c>
      <c r="D465" s="252" t="s">
        <v>39</v>
      </c>
      <c r="E465" s="252" t="s">
        <v>39</v>
      </c>
      <c r="F465" s="252"/>
      <c r="G465" s="251"/>
      <c r="H465" s="251"/>
      <c r="I465" s="251"/>
      <c r="J465" s="251"/>
      <c r="K465" s="251"/>
      <c r="L465" s="251"/>
      <c r="M465" s="251"/>
      <c r="N465" s="21"/>
      <c r="O465" s="251"/>
      <c r="P465" s="252"/>
      <c r="Q465" s="253"/>
      <c r="R465" s="252"/>
      <c r="S465" s="251"/>
      <c r="T465" s="251"/>
      <c r="U465" s="251"/>
      <c r="V465" s="251"/>
      <c r="W465" s="251"/>
      <c r="X465" s="251"/>
      <c r="Y465" s="251"/>
      <c r="Z465" s="251"/>
    </row>
    <row r="466">
      <c r="A466" s="250"/>
      <c r="B466" s="251"/>
      <c r="C466" s="251" t="s">
        <v>39</v>
      </c>
      <c r="D466" s="252" t="s">
        <v>39</v>
      </c>
      <c r="E466" s="252" t="s">
        <v>39</v>
      </c>
      <c r="F466" s="252"/>
      <c r="G466" s="251"/>
      <c r="H466" s="251"/>
      <c r="I466" s="251"/>
      <c r="J466" s="251"/>
      <c r="K466" s="251"/>
      <c r="L466" s="251"/>
      <c r="M466" s="251"/>
      <c r="N466" s="21"/>
      <c r="O466" s="251"/>
      <c r="P466" s="252"/>
      <c r="Q466" s="253"/>
      <c r="R466" s="252"/>
      <c r="S466" s="251"/>
      <c r="T466" s="251"/>
      <c r="U466" s="251"/>
      <c r="V466" s="251"/>
      <c r="W466" s="251"/>
      <c r="X466" s="251"/>
      <c r="Y466" s="251"/>
      <c r="Z466" s="251"/>
    </row>
    <row r="467">
      <c r="A467" s="250"/>
      <c r="B467" s="251"/>
      <c r="C467" s="251" t="s">
        <v>39</v>
      </c>
      <c r="D467" s="252" t="s">
        <v>39</v>
      </c>
      <c r="E467" s="252" t="s">
        <v>39</v>
      </c>
      <c r="F467" s="252"/>
      <c r="G467" s="251"/>
      <c r="H467" s="251"/>
      <c r="I467" s="251"/>
      <c r="J467" s="251"/>
      <c r="K467" s="251"/>
      <c r="L467" s="251"/>
      <c r="M467" s="251"/>
      <c r="N467" s="21"/>
      <c r="O467" s="251"/>
      <c r="P467" s="252"/>
      <c r="Q467" s="253"/>
      <c r="R467" s="252"/>
      <c r="S467" s="251"/>
      <c r="T467" s="251"/>
      <c r="U467" s="251"/>
      <c r="V467" s="251"/>
      <c r="W467" s="251"/>
      <c r="X467" s="251"/>
      <c r="Y467" s="251"/>
      <c r="Z467" s="251"/>
    </row>
    <row r="468">
      <c r="A468" s="250"/>
      <c r="B468" s="251"/>
      <c r="C468" s="251" t="s">
        <v>39</v>
      </c>
      <c r="D468" s="252" t="s">
        <v>39</v>
      </c>
      <c r="E468" s="252" t="s">
        <v>39</v>
      </c>
      <c r="F468" s="252"/>
      <c r="G468" s="251"/>
      <c r="H468" s="251"/>
      <c r="I468" s="251"/>
      <c r="J468" s="251"/>
      <c r="K468" s="251"/>
      <c r="L468" s="251"/>
      <c r="M468" s="251"/>
      <c r="N468" s="21"/>
      <c r="O468" s="251"/>
      <c r="P468" s="252"/>
      <c r="Q468" s="253"/>
      <c r="R468" s="252"/>
      <c r="S468" s="251"/>
      <c r="T468" s="251"/>
      <c r="U468" s="251"/>
      <c r="V468" s="251"/>
      <c r="W468" s="251"/>
      <c r="X468" s="251"/>
      <c r="Y468" s="251"/>
      <c r="Z468" s="251"/>
    </row>
    <row r="469">
      <c r="A469" s="250"/>
      <c r="B469" s="251"/>
      <c r="C469" s="251" t="s">
        <v>39</v>
      </c>
      <c r="D469" s="252" t="s">
        <v>39</v>
      </c>
      <c r="E469" s="252" t="s">
        <v>39</v>
      </c>
      <c r="F469" s="252"/>
      <c r="G469" s="251"/>
      <c r="H469" s="251"/>
      <c r="I469" s="251"/>
      <c r="J469" s="251"/>
      <c r="K469" s="251"/>
      <c r="L469" s="251"/>
      <c r="M469" s="251"/>
      <c r="N469" s="21"/>
      <c r="O469" s="251"/>
      <c r="P469" s="252"/>
      <c r="Q469" s="253"/>
      <c r="R469" s="252"/>
      <c r="S469" s="251"/>
      <c r="T469" s="251"/>
      <c r="U469" s="251"/>
      <c r="V469" s="251"/>
      <c r="W469" s="251"/>
      <c r="X469" s="251"/>
      <c r="Y469" s="251"/>
      <c r="Z469" s="251"/>
    </row>
    <row r="470">
      <c r="A470" s="250"/>
      <c r="B470" s="251"/>
      <c r="C470" s="251" t="s">
        <v>39</v>
      </c>
      <c r="D470" s="252" t="s">
        <v>39</v>
      </c>
      <c r="E470" s="252" t="s">
        <v>39</v>
      </c>
      <c r="F470" s="252"/>
      <c r="G470" s="251"/>
      <c r="H470" s="251"/>
      <c r="I470" s="251"/>
      <c r="J470" s="251"/>
      <c r="K470" s="251"/>
      <c r="L470" s="251"/>
      <c r="M470" s="251"/>
      <c r="N470" s="21"/>
      <c r="O470" s="251"/>
      <c r="P470" s="252"/>
      <c r="Q470" s="253"/>
      <c r="R470" s="252"/>
      <c r="S470" s="251"/>
      <c r="T470" s="251"/>
      <c r="U470" s="251"/>
      <c r="V470" s="251"/>
      <c r="W470" s="251"/>
      <c r="X470" s="251"/>
      <c r="Y470" s="251"/>
      <c r="Z470" s="251"/>
    </row>
    <row r="471">
      <c r="A471" s="250"/>
      <c r="B471" s="251"/>
      <c r="C471" s="251" t="s">
        <v>39</v>
      </c>
      <c r="D471" s="252" t="s">
        <v>39</v>
      </c>
      <c r="E471" s="252" t="s">
        <v>39</v>
      </c>
      <c r="F471" s="252"/>
      <c r="G471" s="251"/>
      <c r="H471" s="251"/>
      <c r="I471" s="251"/>
      <c r="J471" s="251"/>
      <c r="K471" s="251"/>
      <c r="L471" s="251"/>
      <c r="M471" s="251"/>
      <c r="N471" s="21"/>
      <c r="O471" s="251"/>
      <c r="P471" s="252"/>
      <c r="Q471" s="253"/>
      <c r="R471" s="252"/>
      <c r="S471" s="251"/>
      <c r="T471" s="251"/>
      <c r="U471" s="251"/>
      <c r="V471" s="251"/>
      <c r="W471" s="251"/>
      <c r="X471" s="251"/>
      <c r="Y471" s="251"/>
      <c r="Z471" s="251"/>
    </row>
    <row r="472">
      <c r="A472" s="250"/>
      <c r="B472" s="251"/>
      <c r="C472" s="251" t="s">
        <v>39</v>
      </c>
      <c r="D472" s="252" t="s">
        <v>39</v>
      </c>
      <c r="E472" s="252" t="s">
        <v>39</v>
      </c>
      <c r="F472" s="252"/>
      <c r="G472" s="251"/>
      <c r="H472" s="251"/>
      <c r="I472" s="251"/>
      <c r="J472" s="251"/>
      <c r="K472" s="251"/>
      <c r="L472" s="251"/>
      <c r="M472" s="251"/>
      <c r="N472" s="21"/>
      <c r="O472" s="251"/>
      <c r="P472" s="252"/>
      <c r="Q472" s="253"/>
      <c r="R472" s="252"/>
      <c r="S472" s="251"/>
      <c r="T472" s="251"/>
      <c r="U472" s="251"/>
      <c r="V472" s="251"/>
      <c r="W472" s="251"/>
      <c r="X472" s="251"/>
      <c r="Y472" s="251"/>
      <c r="Z472" s="251"/>
    </row>
    <row r="473">
      <c r="A473" s="250"/>
      <c r="B473" s="251"/>
      <c r="C473" s="251" t="s">
        <v>39</v>
      </c>
      <c r="D473" s="252" t="s">
        <v>39</v>
      </c>
      <c r="E473" s="252" t="s">
        <v>39</v>
      </c>
      <c r="F473" s="252"/>
      <c r="G473" s="251"/>
      <c r="H473" s="251"/>
      <c r="I473" s="251"/>
      <c r="J473" s="251"/>
      <c r="K473" s="251"/>
      <c r="L473" s="251"/>
      <c r="M473" s="251"/>
      <c r="N473" s="21"/>
      <c r="O473" s="251"/>
      <c r="P473" s="252"/>
      <c r="Q473" s="253"/>
      <c r="R473" s="252"/>
      <c r="S473" s="251"/>
      <c r="T473" s="251"/>
      <c r="U473" s="251"/>
      <c r="V473" s="251"/>
      <c r="W473" s="251"/>
      <c r="X473" s="251"/>
      <c r="Y473" s="251"/>
      <c r="Z473" s="251"/>
    </row>
    <row r="474">
      <c r="A474" s="250"/>
      <c r="B474" s="251"/>
      <c r="C474" s="251" t="s">
        <v>39</v>
      </c>
      <c r="D474" s="252" t="s">
        <v>39</v>
      </c>
      <c r="E474" s="252" t="s">
        <v>39</v>
      </c>
      <c r="F474" s="252"/>
      <c r="G474" s="251"/>
      <c r="H474" s="251"/>
      <c r="I474" s="251"/>
      <c r="J474" s="251"/>
      <c r="K474" s="251"/>
      <c r="L474" s="251"/>
      <c r="M474" s="251"/>
      <c r="N474" s="21"/>
      <c r="O474" s="251"/>
      <c r="P474" s="252"/>
      <c r="Q474" s="253"/>
      <c r="R474" s="252"/>
      <c r="S474" s="251"/>
      <c r="T474" s="251"/>
      <c r="U474" s="251"/>
      <c r="V474" s="251"/>
      <c r="W474" s="251"/>
      <c r="X474" s="251"/>
      <c r="Y474" s="251"/>
      <c r="Z474" s="251"/>
    </row>
    <row r="475">
      <c r="A475" s="250"/>
      <c r="B475" s="251"/>
      <c r="C475" s="251" t="s">
        <v>39</v>
      </c>
      <c r="D475" s="252" t="s">
        <v>39</v>
      </c>
      <c r="E475" s="252" t="s">
        <v>39</v>
      </c>
      <c r="F475" s="252"/>
      <c r="G475" s="251"/>
      <c r="H475" s="251"/>
      <c r="I475" s="251"/>
      <c r="J475" s="251"/>
      <c r="K475" s="251"/>
      <c r="L475" s="251"/>
      <c r="M475" s="251"/>
      <c r="N475" s="21"/>
      <c r="O475" s="251"/>
      <c r="P475" s="252"/>
      <c r="Q475" s="253"/>
      <c r="R475" s="252"/>
      <c r="S475" s="251"/>
      <c r="T475" s="251"/>
      <c r="U475" s="251"/>
      <c r="V475" s="251"/>
      <c r="W475" s="251"/>
      <c r="X475" s="251"/>
      <c r="Y475" s="251"/>
      <c r="Z475" s="251"/>
    </row>
    <row r="476">
      <c r="A476" s="250"/>
      <c r="B476" s="251"/>
      <c r="C476" s="251" t="s">
        <v>39</v>
      </c>
      <c r="D476" s="252" t="s">
        <v>39</v>
      </c>
      <c r="E476" s="252" t="s">
        <v>39</v>
      </c>
      <c r="F476" s="252"/>
      <c r="G476" s="251"/>
      <c r="H476" s="251"/>
      <c r="I476" s="251"/>
      <c r="J476" s="251"/>
      <c r="K476" s="251"/>
      <c r="L476" s="251"/>
      <c r="M476" s="251"/>
      <c r="N476" s="21"/>
      <c r="O476" s="251"/>
      <c r="P476" s="252"/>
      <c r="Q476" s="253"/>
      <c r="R476" s="252"/>
      <c r="S476" s="251"/>
      <c r="T476" s="251"/>
      <c r="U476" s="251"/>
      <c r="V476" s="251"/>
      <c r="W476" s="251"/>
      <c r="X476" s="251"/>
      <c r="Y476" s="251"/>
      <c r="Z476" s="251"/>
    </row>
    <row r="477">
      <c r="A477" s="250"/>
      <c r="B477" s="251"/>
      <c r="C477" s="251" t="s">
        <v>39</v>
      </c>
      <c r="D477" s="252" t="s">
        <v>39</v>
      </c>
      <c r="E477" s="252" t="s">
        <v>39</v>
      </c>
      <c r="F477" s="252"/>
      <c r="G477" s="251"/>
      <c r="H477" s="251"/>
      <c r="I477" s="251"/>
      <c r="J477" s="251"/>
      <c r="K477" s="251"/>
      <c r="L477" s="251"/>
      <c r="M477" s="251"/>
      <c r="N477" s="21"/>
      <c r="O477" s="251"/>
      <c r="P477" s="252"/>
      <c r="Q477" s="253"/>
      <c r="R477" s="252"/>
      <c r="S477" s="251"/>
      <c r="T477" s="251"/>
      <c r="U477" s="251"/>
      <c r="V477" s="251"/>
      <c r="W477" s="251"/>
      <c r="X477" s="251"/>
      <c r="Y477" s="251"/>
      <c r="Z477" s="251"/>
    </row>
    <row r="478">
      <c r="A478" s="250"/>
      <c r="B478" s="251"/>
      <c r="C478" s="251" t="s">
        <v>39</v>
      </c>
      <c r="D478" s="252" t="s">
        <v>39</v>
      </c>
      <c r="E478" s="252" t="s">
        <v>39</v>
      </c>
      <c r="F478" s="252"/>
      <c r="G478" s="251"/>
      <c r="H478" s="251"/>
      <c r="I478" s="251"/>
      <c r="J478" s="251"/>
      <c r="K478" s="251"/>
      <c r="L478" s="251"/>
      <c r="M478" s="251"/>
      <c r="N478" s="21"/>
      <c r="O478" s="251"/>
      <c r="P478" s="252"/>
      <c r="Q478" s="253"/>
      <c r="R478" s="252"/>
      <c r="S478" s="251"/>
      <c r="T478" s="251"/>
      <c r="U478" s="251"/>
      <c r="V478" s="251"/>
      <c r="W478" s="251"/>
      <c r="X478" s="251"/>
      <c r="Y478" s="251"/>
      <c r="Z478" s="251"/>
    </row>
    <row r="479">
      <c r="A479" s="250"/>
      <c r="B479" s="251"/>
      <c r="C479" s="251" t="s">
        <v>39</v>
      </c>
      <c r="D479" s="252" t="s">
        <v>39</v>
      </c>
      <c r="E479" s="252" t="s">
        <v>39</v>
      </c>
      <c r="F479" s="252"/>
      <c r="G479" s="251"/>
      <c r="H479" s="251"/>
      <c r="I479" s="251"/>
      <c r="J479" s="251"/>
      <c r="K479" s="251"/>
      <c r="L479" s="251"/>
      <c r="M479" s="251"/>
      <c r="N479" s="21"/>
      <c r="O479" s="251"/>
      <c r="P479" s="252"/>
      <c r="Q479" s="253"/>
      <c r="R479" s="252"/>
      <c r="S479" s="251"/>
      <c r="T479" s="251"/>
      <c r="U479" s="251"/>
      <c r="V479" s="251"/>
      <c r="W479" s="251"/>
      <c r="X479" s="251"/>
      <c r="Y479" s="251"/>
      <c r="Z479" s="251"/>
    </row>
    <row r="480">
      <c r="A480" s="250"/>
      <c r="B480" s="251"/>
      <c r="C480" s="251" t="s">
        <v>39</v>
      </c>
      <c r="D480" s="252" t="s">
        <v>39</v>
      </c>
      <c r="E480" s="252" t="s">
        <v>39</v>
      </c>
      <c r="F480" s="252"/>
      <c r="G480" s="251"/>
      <c r="H480" s="251"/>
      <c r="I480" s="251"/>
      <c r="J480" s="251"/>
      <c r="K480" s="251"/>
      <c r="L480" s="251"/>
      <c r="M480" s="251"/>
      <c r="N480" s="21"/>
      <c r="O480" s="251"/>
      <c r="P480" s="252"/>
      <c r="Q480" s="253"/>
      <c r="R480" s="252"/>
      <c r="S480" s="251"/>
      <c r="T480" s="251"/>
      <c r="U480" s="251"/>
      <c r="V480" s="251"/>
      <c r="W480" s="251"/>
      <c r="X480" s="251"/>
      <c r="Y480" s="251"/>
      <c r="Z480" s="251"/>
    </row>
    <row r="481">
      <c r="A481" s="250"/>
      <c r="B481" s="251"/>
      <c r="C481" s="251" t="s">
        <v>39</v>
      </c>
      <c r="D481" s="252" t="s">
        <v>39</v>
      </c>
      <c r="E481" s="252" t="s">
        <v>39</v>
      </c>
      <c r="F481" s="252"/>
      <c r="G481" s="251"/>
      <c r="H481" s="251"/>
      <c r="I481" s="251"/>
      <c r="J481" s="251"/>
      <c r="K481" s="251"/>
      <c r="L481" s="251"/>
      <c r="M481" s="251"/>
      <c r="N481" s="21"/>
      <c r="O481" s="251"/>
      <c r="P481" s="252"/>
      <c r="Q481" s="253"/>
      <c r="R481" s="252"/>
      <c r="S481" s="251"/>
      <c r="T481" s="251"/>
      <c r="U481" s="251"/>
      <c r="V481" s="251"/>
      <c r="W481" s="251"/>
      <c r="X481" s="251"/>
      <c r="Y481" s="251"/>
      <c r="Z481" s="251"/>
    </row>
    <row r="482">
      <c r="A482" s="250"/>
      <c r="B482" s="251"/>
      <c r="C482" s="251" t="s">
        <v>39</v>
      </c>
      <c r="D482" s="252" t="s">
        <v>39</v>
      </c>
      <c r="E482" s="252" t="s">
        <v>39</v>
      </c>
      <c r="F482" s="252"/>
      <c r="G482" s="251"/>
      <c r="H482" s="251"/>
      <c r="I482" s="251"/>
      <c r="J482" s="251"/>
      <c r="K482" s="251"/>
      <c r="L482" s="251"/>
      <c r="M482" s="251"/>
      <c r="N482" s="21"/>
      <c r="O482" s="251"/>
      <c r="P482" s="252"/>
      <c r="Q482" s="253"/>
      <c r="R482" s="252"/>
      <c r="S482" s="251"/>
      <c r="T482" s="251"/>
      <c r="U482" s="251"/>
      <c r="V482" s="251"/>
      <c r="W482" s="251"/>
      <c r="X482" s="251"/>
      <c r="Y482" s="251"/>
      <c r="Z482" s="251"/>
    </row>
    <row r="483">
      <c r="A483" s="250"/>
      <c r="B483" s="251"/>
      <c r="C483" s="251" t="s">
        <v>39</v>
      </c>
      <c r="D483" s="252" t="s">
        <v>39</v>
      </c>
      <c r="E483" s="252" t="s">
        <v>39</v>
      </c>
      <c r="F483" s="252"/>
      <c r="G483" s="251"/>
      <c r="H483" s="251"/>
      <c r="I483" s="251"/>
      <c r="J483" s="251"/>
      <c r="K483" s="251"/>
      <c r="L483" s="251"/>
      <c r="M483" s="251"/>
      <c r="N483" s="21"/>
      <c r="O483" s="251"/>
      <c r="P483" s="252"/>
      <c r="Q483" s="253"/>
      <c r="R483" s="252"/>
      <c r="S483" s="251"/>
      <c r="T483" s="251"/>
      <c r="U483" s="251"/>
      <c r="V483" s="251"/>
      <c r="W483" s="251"/>
      <c r="X483" s="251"/>
      <c r="Y483" s="251"/>
      <c r="Z483" s="251"/>
    </row>
    <row r="484">
      <c r="A484" s="250"/>
      <c r="B484" s="251"/>
      <c r="C484" s="251" t="s">
        <v>39</v>
      </c>
      <c r="D484" s="252" t="s">
        <v>39</v>
      </c>
      <c r="E484" s="252" t="s">
        <v>39</v>
      </c>
      <c r="F484" s="252"/>
      <c r="G484" s="251"/>
      <c r="H484" s="251"/>
      <c r="I484" s="251"/>
      <c r="J484" s="251"/>
      <c r="K484" s="251"/>
      <c r="L484" s="251"/>
      <c r="M484" s="251"/>
      <c r="N484" s="21"/>
      <c r="O484" s="251"/>
      <c r="P484" s="252"/>
      <c r="Q484" s="253"/>
      <c r="R484" s="252"/>
      <c r="S484" s="251"/>
      <c r="T484" s="251"/>
      <c r="U484" s="251"/>
      <c r="V484" s="251"/>
      <c r="W484" s="251"/>
      <c r="X484" s="251"/>
      <c r="Y484" s="251"/>
      <c r="Z484" s="251"/>
    </row>
    <row r="485">
      <c r="A485" s="250"/>
      <c r="B485" s="251"/>
      <c r="C485" s="251" t="s">
        <v>39</v>
      </c>
      <c r="D485" s="252" t="s">
        <v>39</v>
      </c>
      <c r="E485" s="252" t="s">
        <v>39</v>
      </c>
      <c r="F485" s="252"/>
      <c r="G485" s="251"/>
      <c r="H485" s="251"/>
      <c r="I485" s="251"/>
      <c r="J485" s="251"/>
      <c r="K485" s="251"/>
      <c r="L485" s="251"/>
      <c r="M485" s="251"/>
      <c r="N485" s="21"/>
      <c r="O485" s="251"/>
      <c r="P485" s="252"/>
      <c r="Q485" s="253"/>
      <c r="R485" s="252"/>
      <c r="S485" s="251"/>
      <c r="T485" s="251"/>
      <c r="U485" s="251"/>
      <c r="V485" s="251"/>
      <c r="W485" s="251"/>
      <c r="X485" s="251"/>
      <c r="Y485" s="251"/>
      <c r="Z485" s="251"/>
    </row>
    <row r="486">
      <c r="A486" s="250"/>
      <c r="B486" s="251"/>
      <c r="C486" s="251" t="s">
        <v>39</v>
      </c>
      <c r="D486" s="252" t="s">
        <v>39</v>
      </c>
      <c r="E486" s="252" t="s">
        <v>39</v>
      </c>
      <c r="F486" s="252"/>
      <c r="G486" s="251"/>
      <c r="H486" s="251"/>
      <c r="I486" s="251"/>
      <c r="J486" s="251"/>
      <c r="K486" s="251"/>
      <c r="L486" s="251"/>
      <c r="M486" s="251"/>
      <c r="N486" s="21"/>
      <c r="O486" s="251"/>
      <c r="P486" s="252"/>
      <c r="Q486" s="253"/>
      <c r="R486" s="252"/>
      <c r="S486" s="251"/>
      <c r="T486" s="251"/>
      <c r="U486" s="251"/>
      <c r="V486" s="251"/>
      <c r="W486" s="251"/>
      <c r="X486" s="251"/>
      <c r="Y486" s="251"/>
      <c r="Z486" s="251"/>
    </row>
    <row r="487">
      <c r="A487" s="250"/>
      <c r="B487" s="251"/>
      <c r="C487" s="251" t="s">
        <v>39</v>
      </c>
      <c r="D487" s="252" t="s">
        <v>39</v>
      </c>
      <c r="E487" s="252" t="s">
        <v>39</v>
      </c>
      <c r="F487" s="252"/>
      <c r="G487" s="251"/>
      <c r="H487" s="251"/>
      <c r="I487" s="251"/>
      <c r="J487" s="251"/>
      <c r="K487" s="251"/>
      <c r="L487" s="251"/>
      <c r="M487" s="251"/>
      <c r="N487" s="21"/>
      <c r="O487" s="251"/>
      <c r="P487" s="252"/>
      <c r="Q487" s="253"/>
      <c r="R487" s="252"/>
      <c r="S487" s="251"/>
      <c r="T487" s="251"/>
      <c r="U487" s="251"/>
      <c r="V487" s="251"/>
      <c r="W487" s="251"/>
      <c r="X487" s="251"/>
      <c r="Y487" s="251"/>
      <c r="Z487" s="251"/>
    </row>
    <row r="488">
      <c r="A488" s="250"/>
      <c r="B488" s="251"/>
      <c r="C488" s="251" t="s">
        <v>39</v>
      </c>
      <c r="D488" s="252" t="s">
        <v>39</v>
      </c>
      <c r="E488" s="252" t="s">
        <v>39</v>
      </c>
      <c r="F488" s="252"/>
      <c r="G488" s="251"/>
      <c r="H488" s="251"/>
      <c r="I488" s="251"/>
      <c r="J488" s="251"/>
      <c r="K488" s="251"/>
      <c r="L488" s="251"/>
      <c r="M488" s="251"/>
      <c r="N488" s="21"/>
      <c r="O488" s="251"/>
      <c r="P488" s="252"/>
      <c r="Q488" s="253"/>
      <c r="R488" s="252"/>
      <c r="S488" s="251"/>
      <c r="T488" s="251"/>
      <c r="U488" s="251"/>
      <c r="V488" s="251"/>
      <c r="W488" s="251"/>
      <c r="X488" s="251"/>
      <c r="Y488" s="251"/>
      <c r="Z488" s="251"/>
    </row>
    <row r="489">
      <c r="A489" s="250"/>
      <c r="B489" s="251"/>
      <c r="C489" s="251" t="s">
        <v>39</v>
      </c>
      <c r="D489" s="252" t="s">
        <v>39</v>
      </c>
      <c r="E489" s="252" t="s">
        <v>39</v>
      </c>
      <c r="F489" s="252"/>
      <c r="G489" s="251"/>
      <c r="H489" s="251"/>
      <c r="I489" s="251"/>
      <c r="J489" s="251"/>
      <c r="K489" s="251"/>
      <c r="L489" s="251"/>
      <c r="M489" s="251"/>
      <c r="N489" s="21"/>
      <c r="O489" s="251"/>
      <c r="P489" s="252"/>
      <c r="Q489" s="253"/>
      <c r="R489" s="252"/>
      <c r="S489" s="251"/>
      <c r="T489" s="251"/>
      <c r="U489" s="251"/>
      <c r="V489" s="251"/>
      <c r="W489" s="251"/>
      <c r="X489" s="251"/>
      <c r="Y489" s="251"/>
      <c r="Z489" s="251"/>
    </row>
    <row r="490">
      <c r="A490" s="250"/>
      <c r="B490" s="251"/>
      <c r="C490" s="251" t="s">
        <v>39</v>
      </c>
      <c r="D490" s="252" t="s">
        <v>39</v>
      </c>
      <c r="E490" s="252" t="s">
        <v>39</v>
      </c>
      <c r="F490" s="252"/>
      <c r="G490" s="251"/>
      <c r="H490" s="251"/>
      <c r="I490" s="251"/>
      <c r="J490" s="251"/>
      <c r="K490" s="251"/>
      <c r="L490" s="251"/>
      <c r="M490" s="251"/>
      <c r="N490" s="21"/>
      <c r="O490" s="251"/>
      <c r="P490" s="252"/>
      <c r="Q490" s="253"/>
      <c r="R490" s="252"/>
      <c r="S490" s="251"/>
      <c r="T490" s="251"/>
      <c r="U490" s="251"/>
      <c r="V490" s="251"/>
      <c r="W490" s="251"/>
      <c r="X490" s="251"/>
      <c r="Y490" s="251"/>
      <c r="Z490" s="251"/>
    </row>
    <row r="491">
      <c r="A491" s="250"/>
      <c r="B491" s="251"/>
      <c r="C491" s="251" t="s">
        <v>39</v>
      </c>
      <c r="D491" s="252" t="s">
        <v>39</v>
      </c>
      <c r="E491" s="252" t="s">
        <v>39</v>
      </c>
      <c r="F491" s="252"/>
      <c r="G491" s="251"/>
      <c r="H491" s="251"/>
      <c r="I491" s="251"/>
      <c r="J491" s="251"/>
      <c r="K491" s="251"/>
      <c r="L491" s="251"/>
      <c r="M491" s="251"/>
      <c r="N491" s="21"/>
      <c r="O491" s="251"/>
      <c r="P491" s="252"/>
      <c r="Q491" s="253"/>
      <c r="R491" s="252"/>
      <c r="S491" s="251"/>
      <c r="T491" s="251"/>
      <c r="U491" s="251"/>
      <c r="V491" s="251"/>
      <c r="W491" s="251"/>
      <c r="X491" s="251"/>
      <c r="Y491" s="251"/>
      <c r="Z491" s="251"/>
    </row>
    <row r="492">
      <c r="A492" s="250"/>
      <c r="B492" s="251"/>
      <c r="C492" s="251" t="s">
        <v>39</v>
      </c>
      <c r="D492" s="252" t="s">
        <v>39</v>
      </c>
      <c r="E492" s="252" t="s">
        <v>39</v>
      </c>
      <c r="F492" s="252"/>
      <c r="G492" s="251"/>
      <c r="H492" s="251"/>
      <c r="I492" s="251"/>
      <c r="J492" s="251"/>
      <c r="K492" s="251"/>
      <c r="L492" s="251"/>
      <c r="M492" s="251"/>
      <c r="N492" s="21"/>
      <c r="O492" s="251"/>
      <c r="P492" s="252"/>
      <c r="Q492" s="253"/>
      <c r="R492" s="252"/>
      <c r="S492" s="251"/>
      <c r="T492" s="251"/>
      <c r="U492" s="251"/>
      <c r="V492" s="251"/>
      <c r="W492" s="251"/>
      <c r="X492" s="251"/>
      <c r="Y492" s="251"/>
      <c r="Z492" s="251"/>
    </row>
    <row r="493">
      <c r="A493" s="250"/>
      <c r="B493" s="251"/>
      <c r="C493" s="251" t="s">
        <v>39</v>
      </c>
      <c r="D493" s="252" t="s">
        <v>39</v>
      </c>
      <c r="E493" s="252" t="s">
        <v>39</v>
      </c>
      <c r="F493" s="252"/>
      <c r="G493" s="251"/>
      <c r="H493" s="251"/>
      <c r="I493" s="251"/>
      <c r="J493" s="251"/>
      <c r="K493" s="251"/>
      <c r="L493" s="251"/>
      <c r="M493" s="251"/>
      <c r="N493" s="21"/>
      <c r="O493" s="251"/>
      <c r="P493" s="252"/>
      <c r="Q493" s="253"/>
      <c r="R493" s="252"/>
      <c r="S493" s="251"/>
      <c r="T493" s="251"/>
      <c r="U493" s="251"/>
      <c r="V493" s="251"/>
      <c r="W493" s="251"/>
      <c r="X493" s="251"/>
      <c r="Y493" s="251"/>
      <c r="Z493" s="251"/>
    </row>
    <row r="494">
      <c r="A494" s="250"/>
      <c r="B494" s="251"/>
      <c r="C494" s="251" t="s">
        <v>39</v>
      </c>
      <c r="D494" s="252" t="s">
        <v>39</v>
      </c>
      <c r="E494" s="252" t="s">
        <v>39</v>
      </c>
      <c r="F494" s="252"/>
      <c r="G494" s="251"/>
      <c r="H494" s="251"/>
      <c r="I494" s="251"/>
      <c r="J494" s="251"/>
      <c r="K494" s="251"/>
      <c r="L494" s="251"/>
      <c r="M494" s="251"/>
      <c r="N494" s="21"/>
      <c r="O494" s="251"/>
      <c r="P494" s="252"/>
      <c r="Q494" s="253"/>
      <c r="R494" s="252"/>
      <c r="S494" s="251"/>
      <c r="T494" s="251"/>
      <c r="U494" s="251"/>
      <c r="V494" s="251"/>
      <c r="W494" s="251"/>
      <c r="X494" s="251"/>
      <c r="Y494" s="251"/>
      <c r="Z494" s="251"/>
    </row>
    <row r="495">
      <c r="A495" s="250"/>
      <c r="B495" s="251"/>
      <c r="C495" s="251" t="s">
        <v>39</v>
      </c>
      <c r="D495" s="252" t="s">
        <v>39</v>
      </c>
      <c r="E495" s="252" t="s">
        <v>39</v>
      </c>
      <c r="F495" s="252"/>
      <c r="G495" s="251"/>
      <c r="H495" s="251"/>
      <c r="I495" s="251"/>
      <c r="J495" s="251"/>
      <c r="K495" s="251"/>
      <c r="L495" s="251"/>
      <c r="M495" s="251"/>
      <c r="N495" s="21"/>
      <c r="O495" s="251"/>
      <c r="P495" s="252"/>
      <c r="Q495" s="253"/>
      <c r="R495" s="252"/>
      <c r="S495" s="251"/>
      <c r="T495" s="251"/>
      <c r="U495" s="251"/>
      <c r="V495" s="251"/>
      <c r="W495" s="251"/>
      <c r="X495" s="251"/>
      <c r="Y495" s="251"/>
      <c r="Z495" s="251"/>
    </row>
    <row r="496">
      <c r="A496" s="250"/>
      <c r="B496" s="251"/>
      <c r="C496" s="251" t="s">
        <v>39</v>
      </c>
      <c r="D496" s="252" t="s">
        <v>39</v>
      </c>
      <c r="E496" s="252" t="s">
        <v>39</v>
      </c>
      <c r="F496" s="252"/>
      <c r="G496" s="251"/>
      <c r="H496" s="251"/>
      <c r="I496" s="251"/>
      <c r="J496" s="251"/>
      <c r="K496" s="251"/>
      <c r="L496" s="251"/>
      <c r="M496" s="251"/>
      <c r="N496" s="21"/>
      <c r="O496" s="251"/>
      <c r="P496" s="252"/>
      <c r="Q496" s="253"/>
      <c r="R496" s="252"/>
      <c r="S496" s="251"/>
      <c r="T496" s="251"/>
      <c r="U496" s="251"/>
      <c r="V496" s="251"/>
      <c r="W496" s="251"/>
      <c r="X496" s="251"/>
      <c r="Y496" s="251"/>
      <c r="Z496" s="251"/>
    </row>
    <row r="497">
      <c r="A497" s="250"/>
      <c r="B497" s="251"/>
      <c r="C497" s="251" t="s">
        <v>39</v>
      </c>
      <c r="D497" s="252" t="s">
        <v>39</v>
      </c>
      <c r="E497" s="252" t="s">
        <v>39</v>
      </c>
      <c r="F497" s="252"/>
      <c r="G497" s="251"/>
      <c r="H497" s="251"/>
      <c r="I497" s="251"/>
      <c r="J497" s="251"/>
      <c r="K497" s="251"/>
      <c r="L497" s="251"/>
      <c r="M497" s="251"/>
      <c r="N497" s="21"/>
      <c r="O497" s="251"/>
      <c r="P497" s="252"/>
      <c r="Q497" s="253"/>
      <c r="R497" s="252"/>
      <c r="S497" s="251"/>
      <c r="T497" s="251"/>
      <c r="U497" s="251"/>
      <c r="V497" s="251"/>
      <c r="W497" s="251"/>
      <c r="X497" s="251"/>
      <c r="Y497" s="251"/>
      <c r="Z497" s="251"/>
    </row>
    <row r="498">
      <c r="A498" s="250"/>
      <c r="B498" s="251"/>
      <c r="C498" s="251" t="s">
        <v>39</v>
      </c>
      <c r="D498" s="252" t="s">
        <v>39</v>
      </c>
      <c r="E498" s="252" t="s">
        <v>39</v>
      </c>
      <c r="F498" s="252"/>
      <c r="G498" s="251"/>
      <c r="H498" s="251"/>
      <c r="I498" s="251"/>
      <c r="J498" s="251"/>
      <c r="K498" s="251"/>
      <c r="L498" s="251"/>
      <c r="M498" s="251"/>
      <c r="N498" s="21"/>
      <c r="O498" s="251"/>
      <c r="P498" s="252"/>
      <c r="Q498" s="253"/>
      <c r="R498" s="252"/>
      <c r="S498" s="251"/>
      <c r="T498" s="251"/>
      <c r="U498" s="251"/>
      <c r="V498" s="251"/>
      <c r="W498" s="251"/>
      <c r="X498" s="251"/>
      <c r="Y498" s="251"/>
      <c r="Z498" s="251"/>
    </row>
    <row r="499">
      <c r="A499" s="250"/>
      <c r="B499" s="251"/>
      <c r="C499" s="251" t="s">
        <v>39</v>
      </c>
      <c r="D499" s="252" t="s">
        <v>39</v>
      </c>
      <c r="E499" s="252" t="s">
        <v>39</v>
      </c>
      <c r="F499" s="252"/>
      <c r="G499" s="251"/>
      <c r="H499" s="251"/>
      <c r="I499" s="251"/>
      <c r="J499" s="251"/>
      <c r="K499" s="251"/>
      <c r="L499" s="251"/>
      <c r="M499" s="251"/>
      <c r="N499" s="21"/>
      <c r="O499" s="251"/>
      <c r="P499" s="252"/>
      <c r="Q499" s="253"/>
      <c r="R499" s="252"/>
      <c r="S499" s="251"/>
      <c r="T499" s="251"/>
      <c r="U499" s="251"/>
      <c r="V499" s="251"/>
      <c r="W499" s="251"/>
      <c r="X499" s="251"/>
      <c r="Y499" s="251"/>
      <c r="Z499" s="251"/>
    </row>
    <row r="500">
      <c r="A500" s="250"/>
      <c r="B500" s="251"/>
      <c r="C500" s="251" t="s">
        <v>39</v>
      </c>
      <c r="D500" s="252" t="s">
        <v>39</v>
      </c>
      <c r="E500" s="252" t="s">
        <v>39</v>
      </c>
      <c r="F500" s="252"/>
      <c r="G500" s="251"/>
      <c r="H500" s="251"/>
      <c r="I500" s="251"/>
      <c r="J500" s="251"/>
      <c r="K500" s="251"/>
      <c r="L500" s="251"/>
      <c r="M500" s="251"/>
      <c r="N500" s="21"/>
      <c r="O500" s="251"/>
      <c r="P500" s="252"/>
      <c r="Q500" s="253"/>
      <c r="R500" s="252"/>
      <c r="S500" s="251"/>
      <c r="T500" s="251"/>
      <c r="U500" s="251"/>
      <c r="V500" s="251"/>
      <c r="W500" s="251"/>
      <c r="X500" s="251"/>
      <c r="Y500" s="251"/>
      <c r="Z500" s="251"/>
    </row>
    <row r="501">
      <c r="A501" s="250"/>
      <c r="B501" s="251"/>
      <c r="C501" s="251" t="s">
        <v>39</v>
      </c>
      <c r="D501" s="252" t="s">
        <v>39</v>
      </c>
      <c r="E501" s="252" t="s">
        <v>39</v>
      </c>
      <c r="F501" s="252"/>
      <c r="G501" s="251"/>
      <c r="H501" s="251"/>
      <c r="I501" s="251"/>
      <c r="J501" s="251"/>
      <c r="K501" s="251"/>
      <c r="L501" s="251"/>
      <c r="M501" s="251"/>
      <c r="N501" s="21"/>
      <c r="O501" s="251"/>
      <c r="P501" s="252"/>
      <c r="Q501" s="253"/>
      <c r="R501" s="252"/>
      <c r="S501" s="251"/>
      <c r="T501" s="251"/>
      <c r="U501" s="251"/>
      <c r="V501" s="251"/>
      <c r="W501" s="251"/>
      <c r="X501" s="251"/>
      <c r="Y501" s="251"/>
      <c r="Z501" s="251"/>
    </row>
    <row r="502">
      <c r="A502" s="250"/>
      <c r="B502" s="251"/>
      <c r="C502" s="251" t="s">
        <v>39</v>
      </c>
      <c r="D502" s="252" t="s">
        <v>39</v>
      </c>
      <c r="E502" s="252" t="s">
        <v>39</v>
      </c>
      <c r="F502" s="252"/>
      <c r="G502" s="251"/>
      <c r="H502" s="251"/>
      <c r="I502" s="251"/>
      <c r="J502" s="251"/>
      <c r="K502" s="251"/>
      <c r="L502" s="251"/>
      <c r="M502" s="251"/>
      <c r="N502" s="21"/>
      <c r="O502" s="251"/>
      <c r="P502" s="252"/>
      <c r="Q502" s="253"/>
      <c r="R502" s="252"/>
      <c r="S502" s="251"/>
      <c r="T502" s="251"/>
      <c r="U502" s="251"/>
      <c r="V502" s="251"/>
      <c r="W502" s="251"/>
      <c r="X502" s="251"/>
      <c r="Y502" s="251"/>
      <c r="Z502" s="251"/>
    </row>
    <row r="503">
      <c r="A503" s="250"/>
      <c r="B503" s="251"/>
      <c r="C503" s="251" t="s">
        <v>39</v>
      </c>
      <c r="D503" s="252" t="s">
        <v>39</v>
      </c>
      <c r="E503" s="252" t="s">
        <v>39</v>
      </c>
      <c r="F503" s="252"/>
      <c r="G503" s="251"/>
      <c r="H503" s="251"/>
      <c r="I503" s="251"/>
      <c r="J503" s="251"/>
      <c r="K503" s="251"/>
      <c r="L503" s="251"/>
      <c r="M503" s="251"/>
      <c r="N503" s="21"/>
      <c r="O503" s="251"/>
      <c r="P503" s="252"/>
      <c r="Q503" s="253"/>
      <c r="R503" s="252"/>
      <c r="S503" s="251"/>
      <c r="T503" s="251"/>
      <c r="U503" s="251"/>
      <c r="V503" s="251"/>
      <c r="W503" s="251"/>
      <c r="X503" s="251"/>
      <c r="Y503" s="251"/>
      <c r="Z503" s="251"/>
    </row>
    <row r="504">
      <c r="A504" s="250"/>
      <c r="B504" s="251"/>
      <c r="C504" s="251" t="s">
        <v>39</v>
      </c>
      <c r="D504" s="252" t="s">
        <v>39</v>
      </c>
      <c r="E504" s="252" t="s">
        <v>39</v>
      </c>
      <c r="F504" s="252"/>
      <c r="G504" s="251"/>
      <c r="H504" s="251"/>
      <c r="I504" s="251"/>
      <c r="J504" s="251"/>
      <c r="K504" s="251"/>
      <c r="L504" s="251"/>
      <c r="M504" s="251"/>
      <c r="N504" s="21"/>
      <c r="O504" s="251"/>
      <c r="P504" s="252"/>
      <c r="Q504" s="253"/>
      <c r="R504" s="252"/>
      <c r="S504" s="251"/>
      <c r="T504" s="251"/>
      <c r="U504" s="251"/>
      <c r="V504" s="251"/>
      <c r="W504" s="251"/>
      <c r="X504" s="251"/>
      <c r="Y504" s="251"/>
      <c r="Z504" s="251"/>
    </row>
    <row r="505">
      <c r="A505" s="250"/>
      <c r="B505" s="251"/>
      <c r="C505" s="251" t="s">
        <v>39</v>
      </c>
      <c r="D505" s="252" t="s">
        <v>39</v>
      </c>
      <c r="E505" s="252" t="s">
        <v>39</v>
      </c>
      <c r="F505" s="252"/>
      <c r="G505" s="251"/>
      <c r="H505" s="251"/>
      <c r="I505" s="251"/>
      <c r="J505" s="251"/>
      <c r="K505" s="251"/>
      <c r="L505" s="251"/>
      <c r="M505" s="251"/>
      <c r="N505" s="21"/>
      <c r="O505" s="251"/>
      <c r="P505" s="252"/>
      <c r="Q505" s="253"/>
      <c r="R505" s="252"/>
      <c r="S505" s="251"/>
      <c r="T505" s="251"/>
      <c r="U505" s="251"/>
      <c r="V505" s="251"/>
      <c r="W505" s="251"/>
      <c r="X505" s="251"/>
      <c r="Y505" s="251"/>
      <c r="Z505" s="251"/>
    </row>
    <row r="506">
      <c r="A506" s="250"/>
      <c r="B506" s="251"/>
      <c r="C506" s="251" t="s">
        <v>39</v>
      </c>
      <c r="D506" s="252" t="s">
        <v>39</v>
      </c>
      <c r="E506" s="252" t="s">
        <v>39</v>
      </c>
      <c r="F506" s="252"/>
      <c r="G506" s="251"/>
      <c r="H506" s="251"/>
      <c r="I506" s="251"/>
      <c r="J506" s="251"/>
      <c r="K506" s="251"/>
      <c r="L506" s="251"/>
      <c r="M506" s="251"/>
      <c r="N506" s="21"/>
      <c r="O506" s="251"/>
      <c r="P506" s="252"/>
      <c r="Q506" s="253"/>
      <c r="R506" s="252"/>
      <c r="S506" s="251"/>
      <c r="T506" s="251"/>
      <c r="U506" s="251"/>
      <c r="V506" s="251"/>
      <c r="W506" s="251"/>
      <c r="X506" s="251"/>
      <c r="Y506" s="251"/>
      <c r="Z506" s="251"/>
    </row>
    <row r="507">
      <c r="A507" s="250"/>
      <c r="B507" s="251"/>
      <c r="C507" s="251" t="s">
        <v>39</v>
      </c>
      <c r="D507" s="252" t="s">
        <v>39</v>
      </c>
      <c r="E507" s="252" t="s">
        <v>39</v>
      </c>
      <c r="F507" s="252"/>
      <c r="G507" s="251"/>
      <c r="H507" s="251"/>
      <c r="I507" s="251"/>
      <c r="J507" s="251"/>
      <c r="K507" s="251"/>
      <c r="L507" s="251"/>
      <c r="M507" s="251"/>
      <c r="N507" s="21"/>
      <c r="O507" s="251"/>
      <c r="P507" s="252"/>
      <c r="Q507" s="253"/>
      <c r="R507" s="252"/>
      <c r="S507" s="251"/>
      <c r="T507" s="251"/>
      <c r="U507" s="251"/>
      <c r="V507" s="251"/>
      <c r="W507" s="251"/>
      <c r="X507" s="251"/>
      <c r="Y507" s="251"/>
      <c r="Z507" s="251"/>
    </row>
    <row r="508">
      <c r="A508" s="250"/>
      <c r="B508" s="251"/>
      <c r="C508" s="251" t="s">
        <v>39</v>
      </c>
      <c r="D508" s="252" t="s">
        <v>39</v>
      </c>
      <c r="E508" s="252" t="s">
        <v>39</v>
      </c>
      <c r="F508" s="252"/>
      <c r="G508" s="251"/>
      <c r="H508" s="251"/>
      <c r="I508" s="251"/>
      <c r="J508" s="251"/>
      <c r="K508" s="251"/>
      <c r="L508" s="251"/>
      <c r="M508" s="251"/>
      <c r="N508" s="21"/>
      <c r="O508" s="251"/>
      <c r="P508" s="252"/>
      <c r="Q508" s="253"/>
      <c r="R508" s="252"/>
      <c r="S508" s="251"/>
      <c r="T508" s="251"/>
      <c r="U508" s="251"/>
      <c r="V508" s="251"/>
      <c r="W508" s="251"/>
      <c r="X508" s="251"/>
      <c r="Y508" s="251"/>
      <c r="Z508" s="251"/>
    </row>
    <row r="509">
      <c r="A509" s="250"/>
      <c r="B509" s="251"/>
      <c r="C509" s="251" t="s">
        <v>39</v>
      </c>
      <c r="D509" s="252" t="s">
        <v>39</v>
      </c>
      <c r="E509" s="252" t="s">
        <v>39</v>
      </c>
      <c r="F509" s="252"/>
      <c r="G509" s="251"/>
      <c r="H509" s="251"/>
      <c r="I509" s="251"/>
      <c r="J509" s="251"/>
      <c r="K509" s="251"/>
      <c r="L509" s="251"/>
      <c r="M509" s="251"/>
      <c r="N509" s="21"/>
      <c r="O509" s="251"/>
      <c r="P509" s="252"/>
      <c r="Q509" s="253"/>
      <c r="R509" s="252"/>
      <c r="S509" s="251"/>
      <c r="T509" s="251"/>
      <c r="U509" s="251"/>
      <c r="V509" s="251"/>
      <c r="W509" s="251"/>
      <c r="X509" s="251"/>
      <c r="Y509" s="251"/>
      <c r="Z509" s="251"/>
    </row>
    <row r="510">
      <c r="A510" s="250"/>
      <c r="B510" s="251"/>
      <c r="C510" s="251" t="s">
        <v>39</v>
      </c>
      <c r="D510" s="252" t="s">
        <v>39</v>
      </c>
      <c r="E510" s="252" t="s">
        <v>39</v>
      </c>
      <c r="F510" s="252"/>
      <c r="G510" s="251"/>
      <c r="H510" s="251"/>
      <c r="I510" s="251"/>
      <c r="J510" s="251"/>
      <c r="K510" s="251"/>
      <c r="L510" s="251"/>
      <c r="M510" s="251"/>
      <c r="N510" s="21"/>
      <c r="O510" s="251"/>
      <c r="P510" s="252"/>
      <c r="Q510" s="253"/>
      <c r="R510" s="252"/>
      <c r="S510" s="251"/>
      <c r="T510" s="251"/>
      <c r="U510" s="251"/>
      <c r="V510" s="251"/>
      <c r="W510" s="251"/>
      <c r="X510" s="251"/>
      <c r="Y510" s="251"/>
      <c r="Z510" s="251"/>
    </row>
    <row r="511">
      <c r="A511" s="250"/>
      <c r="B511" s="251"/>
      <c r="C511" s="251" t="s">
        <v>39</v>
      </c>
      <c r="D511" s="252" t="s">
        <v>39</v>
      </c>
      <c r="E511" s="252" t="s">
        <v>39</v>
      </c>
      <c r="F511" s="252"/>
      <c r="G511" s="251"/>
      <c r="H511" s="251"/>
      <c r="I511" s="251"/>
      <c r="J511" s="251"/>
      <c r="K511" s="251"/>
      <c r="L511" s="251"/>
      <c r="M511" s="251"/>
      <c r="N511" s="21"/>
      <c r="O511" s="251"/>
      <c r="P511" s="252"/>
      <c r="Q511" s="253"/>
      <c r="R511" s="252"/>
      <c r="S511" s="251"/>
      <c r="T511" s="251"/>
      <c r="U511" s="251"/>
      <c r="V511" s="251"/>
      <c r="W511" s="251"/>
      <c r="X511" s="251"/>
      <c r="Y511" s="251"/>
      <c r="Z511" s="251"/>
    </row>
    <row r="512">
      <c r="A512" s="250"/>
      <c r="B512" s="251"/>
      <c r="C512" s="251" t="s">
        <v>39</v>
      </c>
      <c r="D512" s="252" t="s">
        <v>39</v>
      </c>
      <c r="E512" s="252" t="s">
        <v>39</v>
      </c>
      <c r="F512" s="252"/>
      <c r="G512" s="251"/>
      <c r="H512" s="251"/>
      <c r="I512" s="251"/>
      <c r="J512" s="251"/>
      <c r="K512" s="251"/>
      <c r="L512" s="251"/>
      <c r="M512" s="251"/>
      <c r="N512" s="21"/>
      <c r="O512" s="251"/>
      <c r="P512" s="252"/>
      <c r="Q512" s="253"/>
      <c r="R512" s="252"/>
      <c r="S512" s="251"/>
      <c r="T512" s="251"/>
      <c r="U512" s="251"/>
      <c r="V512" s="251"/>
      <c r="W512" s="251"/>
      <c r="X512" s="251"/>
      <c r="Y512" s="251"/>
      <c r="Z512" s="251"/>
    </row>
    <row r="513">
      <c r="A513" s="250"/>
      <c r="B513" s="251"/>
      <c r="C513" s="251" t="s">
        <v>39</v>
      </c>
      <c r="D513" s="252" t="s">
        <v>39</v>
      </c>
      <c r="E513" s="252" t="s">
        <v>39</v>
      </c>
      <c r="F513" s="252"/>
      <c r="G513" s="251"/>
      <c r="H513" s="251"/>
      <c r="I513" s="251"/>
      <c r="J513" s="251"/>
      <c r="K513" s="251"/>
      <c r="L513" s="251"/>
      <c r="M513" s="251"/>
      <c r="N513" s="21"/>
      <c r="O513" s="251"/>
      <c r="P513" s="252"/>
      <c r="Q513" s="253"/>
      <c r="R513" s="252"/>
      <c r="S513" s="251"/>
      <c r="T513" s="251"/>
      <c r="U513" s="251"/>
      <c r="V513" s="251"/>
      <c r="W513" s="251"/>
      <c r="X513" s="251"/>
      <c r="Y513" s="251"/>
      <c r="Z513" s="251"/>
    </row>
    <row r="514">
      <c r="A514" s="250"/>
      <c r="B514" s="251"/>
      <c r="C514" s="251" t="s">
        <v>39</v>
      </c>
      <c r="D514" s="252" t="s">
        <v>39</v>
      </c>
      <c r="E514" s="252" t="s">
        <v>39</v>
      </c>
      <c r="F514" s="252"/>
      <c r="G514" s="251"/>
      <c r="H514" s="251"/>
      <c r="I514" s="251"/>
      <c r="J514" s="251"/>
      <c r="K514" s="251"/>
      <c r="L514" s="251"/>
      <c r="M514" s="251"/>
      <c r="N514" s="21"/>
      <c r="O514" s="251"/>
      <c r="P514" s="252"/>
      <c r="Q514" s="253"/>
      <c r="R514" s="252"/>
      <c r="S514" s="251"/>
      <c r="T514" s="251"/>
      <c r="U514" s="251"/>
      <c r="V514" s="251"/>
      <c r="W514" s="251"/>
      <c r="X514" s="251"/>
      <c r="Y514" s="251"/>
      <c r="Z514" s="251"/>
    </row>
    <row r="515">
      <c r="A515" s="250"/>
      <c r="B515" s="251"/>
      <c r="C515" s="251" t="s">
        <v>39</v>
      </c>
      <c r="D515" s="252" t="s">
        <v>39</v>
      </c>
      <c r="E515" s="252" t="s">
        <v>39</v>
      </c>
      <c r="F515" s="252"/>
      <c r="G515" s="251"/>
      <c r="H515" s="251"/>
      <c r="I515" s="251"/>
      <c r="J515" s="251"/>
      <c r="K515" s="251"/>
      <c r="L515" s="251"/>
      <c r="M515" s="251"/>
      <c r="N515" s="21"/>
      <c r="O515" s="251"/>
      <c r="P515" s="252"/>
      <c r="Q515" s="253"/>
      <c r="R515" s="252"/>
      <c r="S515" s="251"/>
      <c r="T515" s="251"/>
      <c r="U515" s="251"/>
      <c r="V515" s="251"/>
      <c r="W515" s="251"/>
      <c r="X515" s="251"/>
      <c r="Y515" s="251"/>
      <c r="Z515" s="251"/>
    </row>
    <row r="516">
      <c r="A516" s="250"/>
      <c r="B516" s="251"/>
      <c r="C516" s="251" t="s">
        <v>39</v>
      </c>
      <c r="D516" s="252" t="s">
        <v>39</v>
      </c>
      <c r="E516" s="252" t="s">
        <v>39</v>
      </c>
      <c r="F516" s="252"/>
      <c r="G516" s="251"/>
      <c r="H516" s="251"/>
      <c r="I516" s="251"/>
      <c r="J516" s="251"/>
      <c r="K516" s="251"/>
      <c r="L516" s="251"/>
      <c r="M516" s="251"/>
      <c r="N516" s="21"/>
      <c r="O516" s="251"/>
      <c r="P516" s="252"/>
      <c r="Q516" s="253"/>
      <c r="R516" s="252"/>
      <c r="S516" s="251"/>
      <c r="T516" s="251"/>
      <c r="U516" s="251"/>
      <c r="V516" s="251"/>
      <c r="W516" s="251"/>
      <c r="X516" s="251"/>
      <c r="Y516" s="251"/>
      <c r="Z516" s="251"/>
    </row>
    <row r="517">
      <c r="A517" s="250"/>
      <c r="B517" s="251"/>
      <c r="C517" s="251" t="s">
        <v>39</v>
      </c>
      <c r="D517" s="252" t="s">
        <v>39</v>
      </c>
      <c r="E517" s="252" t="s">
        <v>39</v>
      </c>
      <c r="F517" s="252"/>
      <c r="G517" s="251"/>
      <c r="H517" s="251"/>
      <c r="I517" s="251"/>
      <c r="J517" s="251"/>
      <c r="K517" s="251"/>
      <c r="L517" s="251"/>
      <c r="M517" s="251"/>
      <c r="N517" s="21"/>
      <c r="O517" s="251"/>
      <c r="P517" s="252"/>
      <c r="Q517" s="253"/>
      <c r="R517" s="252"/>
      <c r="S517" s="251"/>
      <c r="T517" s="251"/>
      <c r="U517" s="251"/>
      <c r="V517" s="251"/>
      <c r="W517" s="251"/>
      <c r="X517" s="251"/>
      <c r="Y517" s="251"/>
      <c r="Z517" s="251"/>
    </row>
    <row r="518">
      <c r="A518" s="250"/>
      <c r="B518" s="251"/>
      <c r="C518" s="251" t="s">
        <v>39</v>
      </c>
      <c r="D518" s="252" t="s">
        <v>39</v>
      </c>
      <c r="E518" s="252" t="s">
        <v>39</v>
      </c>
      <c r="F518" s="252"/>
      <c r="G518" s="251"/>
      <c r="H518" s="251"/>
      <c r="I518" s="251"/>
      <c r="J518" s="251"/>
      <c r="K518" s="251"/>
      <c r="L518" s="251"/>
      <c r="M518" s="251"/>
      <c r="N518" s="21"/>
      <c r="O518" s="251"/>
      <c r="P518" s="252"/>
      <c r="Q518" s="253"/>
      <c r="R518" s="252"/>
      <c r="S518" s="251"/>
      <c r="T518" s="251"/>
      <c r="U518" s="251"/>
      <c r="V518" s="251"/>
      <c r="W518" s="251"/>
      <c r="X518" s="251"/>
      <c r="Y518" s="251"/>
      <c r="Z518" s="251"/>
    </row>
    <row r="519">
      <c r="A519" s="250"/>
      <c r="B519" s="251"/>
      <c r="C519" s="251" t="s">
        <v>39</v>
      </c>
      <c r="D519" s="252" t="s">
        <v>39</v>
      </c>
      <c r="E519" s="252" t="s">
        <v>39</v>
      </c>
      <c r="F519" s="252"/>
      <c r="G519" s="251"/>
      <c r="H519" s="251"/>
      <c r="I519" s="251"/>
      <c r="J519" s="251"/>
      <c r="K519" s="251"/>
      <c r="L519" s="251"/>
      <c r="M519" s="251"/>
      <c r="N519" s="21"/>
      <c r="O519" s="251"/>
      <c r="P519" s="252"/>
      <c r="Q519" s="253"/>
      <c r="R519" s="252"/>
      <c r="S519" s="251"/>
      <c r="T519" s="251"/>
      <c r="U519" s="251"/>
      <c r="V519" s="251"/>
      <c r="W519" s="251"/>
      <c r="X519" s="251"/>
      <c r="Y519" s="251"/>
      <c r="Z519" s="251"/>
    </row>
    <row r="520">
      <c r="A520" s="250"/>
      <c r="B520" s="251"/>
      <c r="C520" s="251" t="s">
        <v>39</v>
      </c>
      <c r="D520" s="252" t="s">
        <v>39</v>
      </c>
      <c r="E520" s="252" t="s">
        <v>39</v>
      </c>
      <c r="F520" s="252"/>
      <c r="G520" s="251"/>
      <c r="H520" s="251"/>
      <c r="I520" s="251"/>
      <c r="J520" s="251"/>
      <c r="K520" s="251"/>
      <c r="L520" s="251"/>
      <c r="M520" s="251"/>
      <c r="N520" s="21"/>
      <c r="O520" s="251"/>
      <c r="P520" s="252"/>
      <c r="Q520" s="253"/>
      <c r="R520" s="252"/>
      <c r="S520" s="251"/>
      <c r="T520" s="251"/>
      <c r="U520" s="251"/>
      <c r="V520" s="251"/>
      <c r="W520" s="251"/>
      <c r="X520" s="251"/>
      <c r="Y520" s="251"/>
      <c r="Z520" s="251"/>
    </row>
    <row r="521">
      <c r="A521" s="250"/>
      <c r="B521" s="251"/>
      <c r="C521" s="251" t="s">
        <v>39</v>
      </c>
      <c r="D521" s="252" t="s">
        <v>39</v>
      </c>
      <c r="E521" s="252" t="s">
        <v>39</v>
      </c>
      <c r="F521" s="252"/>
      <c r="G521" s="251"/>
      <c r="H521" s="251"/>
      <c r="I521" s="251"/>
      <c r="J521" s="251"/>
      <c r="K521" s="251"/>
      <c r="L521" s="251"/>
      <c r="M521" s="251"/>
      <c r="N521" s="21"/>
      <c r="O521" s="251"/>
      <c r="P521" s="252"/>
      <c r="Q521" s="253"/>
      <c r="R521" s="252"/>
      <c r="S521" s="251"/>
      <c r="T521" s="251"/>
      <c r="U521" s="251"/>
      <c r="V521" s="251"/>
      <c r="W521" s="251"/>
      <c r="X521" s="251"/>
      <c r="Y521" s="251"/>
      <c r="Z521" s="251"/>
    </row>
    <row r="522">
      <c r="A522" s="250"/>
      <c r="B522" s="251"/>
      <c r="C522" s="251" t="s">
        <v>39</v>
      </c>
      <c r="D522" s="252" t="s">
        <v>39</v>
      </c>
      <c r="E522" s="252" t="s">
        <v>39</v>
      </c>
      <c r="F522" s="252"/>
      <c r="G522" s="251"/>
      <c r="H522" s="251"/>
      <c r="I522" s="251"/>
      <c r="J522" s="251"/>
      <c r="K522" s="251"/>
      <c r="L522" s="251"/>
      <c r="M522" s="251"/>
      <c r="N522" s="21"/>
      <c r="O522" s="251"/>
      <c r="P522" s="252"/>
      <c r="Q522" s="253"/>
      <c r="R522" s="252"/>
      <c r="S522" s="251"/>
      <c r="T522" s="251"/>
      <c r="U522" s="251"/>
      <c r="V522" s="251"/>
      <c r="W522" s="251"/>
      <c r="X522" s="251"/>
      <c r="Y522" s="251"/>
      <c r="Z522" s="251"/>
    </row>
    <row r="523">
      <c r="A523" s="250"/>
      <c r="B523" s="251"/>
      <c r="C523" s="251" t="s">
        <v>39</v>
      </c>
      <c r="D523" s="252" t="s">
        <v>39</v>
      </c>
      <c r="E523" s="252" t="s">
        <v>39</v>
      </c>
      <c r="F523" s="252"/>
      <c r="G523" s="251"/>
      <c r="H523" s="251"/>
      <c r="I523" s="251"/>
      <c r="J523" s="251"/>
      <c r="K523" s="251"/>
      <c r="L523" s="251"/>
      <c r="M523" s="251"/>
      <c r="N523" s="21"/>
      <c r="O523" s="251"/>
      <c r="P523" s="252"/>
      <c r="Q523" s="253"/>
      <c r="R523" s="252"/>
      <c r="S523" s="251"/>
      <c r="T523" s="251"/>
      <c r="U523" s="251"/>
      <c r="V523" s="251"/>
      <c r="W523" s="251"/>
      <c r="X523" s="251"/>
      <c r="Y523" s="251"/>
      <c r="Z523" s="251"/>
    </row>
    <row r="524">
      <c r="A524" s="250"/>
      <c r="B524" s="251"/>
      <c r="C524" s="251" t="s">
        <v>39</v>
      </c>
      <c r="D524" s="252" t="s">
        <v>39</v>
      </c>
      <c r="E524" s="252" t="s">
        <v>39</v>
      </c>
      <c r="F524" s="252"/>
      <c r="G524" s="251"/>
      <c r="H524" s="251"/>
      <c r="I524" s="251"/>
      <c r="J524" s="251"/>
      <c r="K524" s="251"/>
      <c r="L524" s="251"/>
      <c r="M524" s="251"/>
      <c r="N524" s="21"/>
      <c r="O524" s="251"/>
      <c r="P524" s="252"/>
      <c r="Q524" s="253"/>
      <c r="R524" s="252"/>
      <c r="S524" s="251"/>
      <c r="T524" s="251"/>
      <c r="U524" s="251"/>
      <c r="V524" s="251"/>
      <c r="W524" s="251"/>
      <c r="X524" s="251"/>
      <c r="Y524" s="251"/>
      <c r="Z524" s="251"/>
    </row>
    <row r="525">
      <c r="A525" s="250"/>
      <c r="B525" s="251"/>
      <c r="C525" s="251" t="s">
        <v>39</v>
      </c>
      <c r="D525" s="252" t="s">
        <v>39</v>
      </c>
      <c r="E525" s="252" t="s">
        <v>39</v>
      </c>
      <c r="F525" s="252"/>
      <c r="G525" s="251"/>
      <c r="H525" s="251"/>
      <c r="I525" s="251"/>
      <c r="J525" s="251"/>
      <c r="K525" s="251"/>
      <c r="L525" s="251"/>
      <c r="M525" s="251"/>
      <c r="N525" s="21"/>
      <c r="O525" s="251"/>
      <c r="P525" s="252"/>
      <c r="Q525" s="253"/>
      <c r="R525" s="252"/>
      <c r="S525" s="251"/>
      <c r="T525" s="251"/>
      <c r="U525" s="251"/>
      <c r="V525" s="251"/>
      <c r="W525" s="251"/>
      <c r="X525" s="251"/>
      <c r="Y525" s="251"/>
      <c r="Z525" s="251"/>
    </row>
    <row r="526">
      <c r="A526" s="250"/>
      <c r="B526" s="251"/>
      <c r="C526" s="251" t="s">
        <v>39</v>
      </c>
      <c r="D526" s="252" t="s">
        <v>39</v>
      </c>
      <c r="E526" s="252" t="s">
        <v>39</v>
      </c>
      <c r="F526" s="252"/>
      <c r="G526" s="251"/>
      <c r="H526" s="251"/>
      <c r="I526" s="251"/>
      <c r="J526" s="251"/>
      <c r="K526" s="251"/>
      <c r="L526" s="251"/>
      <c r="M526" s="251"/>
      <c r="N526" s="21"/>
      <c r="O526" s="251"/>
      <c r="P526" s="252"/>
      <c r="Q526" s="253"/>
      <c r="R526" s="252"/>
      <c r="S526" s="251"/>
      <c r="T526" s="251"/>
      <c r="U526" s="251"/>
      <c r="V526" s="251"/>
      <c r="W526" s="251"/>
      <c r="X526" s="251"/>
      <c r="Y526" s="251"/>
      <c r="Z526" s="251"/>
    </row>
    <row r="527">
      <c r="A527" s="250"/>
      <c r="B527" s="251"/>
      <c r="C527" s="251" t="s">
        <v>39</v>
      </c>
      <c r="D527" s="252" t="s">
        <v>39</v>
      </c>
      <c r="E527" s="252" t="s">
        <v>39</v>
      </c>
      <c r="F527" s="252"/>
      <c r="G527" s="251"/>
      <c r="H527" s="251"/>
      <c r="I527" s="251"/>
      <c r="J527" s="251"/>
      <c r="K527" s="251"/>
      <c r="L527" s="251"/>
      <c r="M527" s="251"/>
      <c r="N527" s="21"/>
      <c r="O527" s="251"/>
      <c r="P527" s="252"/>
      <c r="Q527" s="253"/>
      <c r="R527" s="252"/>
      <c r="S527" s="251"/>
      <c r="T527" s="251"/>
      <c r="U527" s="251"/>
      <c r="V527" s="251"/>
      <c r="W527" s="251"/>
      <c r="X527" s="251"/>
      <c r="Y527" s="251"/>
      <c r="Z527" s="251"/>
    </row>
    <row r="528">
      <c r="A528" s="250"/>
      <c r="B528" s="251"/>
      <c r="C528" s="251" t="s">
        <v>39</v>
      </c>
      <c r="D528" s="252" t="s">
        <v>39</v>
      </c>
      <c r="E528" s="252" t="s">
        <v>39</v>
      </c>
      <c r="F528" s="252"/>
      <c r="G528" s="251"/>
      <c r="H528" s="251"/>
      <c r="I528" s="251"/>
      <c r="J528" s="251"/>
      <c r="K528" s="251"/>
      <c r="L528" s="251"/>
      <c r="M528" s="251"/>
      <c r="N528" s="21"/>
      <c r="O528" s="251"/>
      <c r="P528" s="252"/>
      <c r="Q528" s="253"/>
      <c r="R528" s="252"/>
      <c r="S528" s="251"/>
      <c r="T528" s="251"/>
      <c r="U528" s="251"/>
      <c r="V528" s="251"/>
      <c r="W528" s="251"/>
      <c r="X528" s="251"/>
      <c r="Y528" s="251"/>
      <c r="Z528" s="251"/>
    </row>
    <row r="529">
      <c r="A529" s="250"/>
      <c r="B529" s="251"/>
      <c r="C529" s="251" t="s">
        <v>39</v>
      </c>
      <c r="D529" s="252" t="s">
        <v>39</v>
      </c>
      <c r="E529" s="252" t="s">
        <v>39</v>
      </c>
      <c r="F529" s="252"/>
      <c r="G529" s="251"/>
      <c r="H529" s="251"/>
      <c r="I529" s="251"/>
      <c r="J529" s="251"/>
      <c r="K529" s="251"/>
      <c r="L529" s="251"/>
      <c r="M529" s="251"/>
      <c r="N529" s="21"/>
      <c r="O529" s="251"/>
      <c r="P529" s="252"/>
      <c r="Q529" s="253"/>
      <c r="R529" s="252"/>
      <c r="S529" s="251"/>
      <c r="T529" s="251"/>
      <c r="U529" s="251"/>
      <c r="V529" s="251"/>
      <c r="W529" s="251"/>
      <c r="X529" s="251"/>
      <c r="Y529" s="251"/>
      <c r="Z529" s="251"/>
    </row>
    <row r="530">
      <c r="A530" s="250"/>
      <c r="B530" s="251"/>
      <c r="C530" s="251" t="s">
        <v>39</v>
      </c>
      <c r="D530" s="252" t="s">
        <v>39</v>
      </c>
      <c r="E530" s="252" t="s">
        <v>39</v>
      </c>
      <c r="F530" s="252"/>
      <c r="G530" s="251"/>
      <c r="H530" s="251"/>
      <c r="I530" s="251"/>
      <c r="J530" s="251"/>
      <c r="K530" s="251"/>
      <c r="L530" s="251"/>
      <c r="M530" s="251"/>
      <c r="N530" s="21"/>
      <c r="O530" s="251"/>
      <c r="P530" s="252"/>
      <c r="Q530" s="253"/>
      <c r="R530" s="252"/>
      <c r="S530" s="251"/>
      <c r="T530" s="251"/>
      <c r="U530" s="251"/>
      <c r="V530" s="251"/>
      <c r="W530" s="251"/>
      <c r="X530" s="251"/>
      <c r="Y530" s="251"/>
      <c r="Z530" s="251"/>
    </row>
    <row r="531">
      <c r="A531" s="250"/>
      <c r="B531" s="251"/>
      <c r="C531" s="251" t="s">
        <v>39</v>
      </c>
      <c r="D531" s="252" t="s">
        <v>39</v>
      </c>
      <c r="E531" s="252" t="s">
        <v>39</v>
      </c>
      <c r="F531" s="252"/>
      <c r="G531" s="251"/>
      <c r="H531" s="251"/>
      <c r="I531" s="251"/>
      <c r="J531" s="251"/>
      <c r="K531" s="251"/>
      <c r="L531" s="251"/>
      <c r="M531" s="251"/>
      <c r="N531" s="21"/>
      <c r="O531" s="251"/>
      <c r="P531" s="252"/>
      <c r="Q531" s="253"/>
      <c r="R531" s="252"/>
      <c r="S531" s="251"/>
      <c r="T531" s="251"/>
      <c r="U531" s="251"/>
      <c r="V531" s="251"/>
      <c r="W531" s="251"/>
      <c r="X531" s="251"/>
      <c r="Y531" s="251"/>
      <c r="Z531" s="251"/>
    </row>
    <row r="532">
      <c r="A532" s="250"/>
      <c r="B532" s="251"/>
      <c r="C532" s="251" t="s">
        <v>39</v>
      </c>
      <c r="D532" s="252" t="s">
        <v>39</v>
      </c>
      <c r="E532" s="252" t="s">
        <v>39</v>
      </c>
      <c r="F532" s="252"/>
      <c r="G532" s="251"/>
      <c r="H532" s="251"/>
      <c r="I532" s="251"/>
      <c r="J532" s="251"/>
      <c r="K532" s="251"/>
      <c r="L532" s="251"/>
      <c r="M532" s="251"/>
      <c r="N532" s="21"/>
      <c r="O532" s="251"/>
      <c r="P532" s="252"/>
      <c r="Q532" s="253"/>
      <c r="R532" s="252"/>
      <c r="S532" s="251"/>
      <c r="T532" s="251"/>
      <c r="U532" s="251"/>
      <c r="V532" s="251"/>
      <c r="W532" s="251"/>
      <c r="X532" s="251"/>
      <c r="Y532" s="251"/>
      <c r="Z532" s="251"/>
    </row>
    <row r="533">
      <c r="A533" s="250"/>
      <c r="B533" s="251"/>
      <c r="C533" s="251" t="s">
        <v>39</v>
      </c>
      <c r="D533" s="252" t="s">
        <v>39</v>
      </c>
      <c r="E533" s="252" t="s">
        <v>39</v>
      </c>
      <c r="F533" s="252"/>
      <c r="G533" s="251"/>
      <c r="H533" s="251"/>
      <c r="I533" s="251"/>
      <c r="J533" s="251"/>
      <c r="K533" s="251"/>
      <c r="L533" s="251"/>
      <c r="M533" s="251"/>
      <c r="N533" s="21"/>
      <c r="O533" s="251"/>
      <c r="P533" s="252"/>
      <c r="Q533" s="253"/>
      <c r="R533" s="252"/>
      <c r="S533" s="251"/>
      <c r="T533" s="251"/>
      <c r="U533" s="251"/>
      <c r="V533" s="251"/>
      <c r="W533" s="251"/>
      <c r="X533" s="251"/>
      <c r="Y533" s="251"/>
      <c r="Z533" s="251"/>
    </row>
    <row r="534">
      <c r="A534" s="250"/>
      <c r="B534" s="251"/>
      <c r="C534" s="251" t="s">
        <v>39</v>
      </c>
      <c r="D534" s="252" t="s">
        <v>39</v>
      </c>
      <c r="E534" s="252" t="s">
        <v>39</v>
      </c>
      <c r="F534" s="252"/>
      <c r="G534" s="251"/>
      <c r="H534" s="251"/>
      <c r="I534" s="251"/>
      <c r="J534" s="251"/>
      <c r="K534" s="251"/>
      <c r="L534" s="251"/>
      <c r="M534" s="251"/>
      <c r="N534" s="21"/>
      <c r="O534" s="251"/>
      <c r="P534" s="252"/>
      <c r="Q534" s="253"/>
      <c r="R534" s="252"/>
      <c r="S534" s="251"/>
      <c r="T534" s="251"/>
      <c r="U534" s="251"/>
      <c r="V534" s="251"/>
      <c r="W534" s="251"/>
      <c r="X534" s="251"/>
      <c r="Y534" s="251"/>
      <c r="Z534" s="251"/>
    </row>
    <row r="535">
      <c r="A535" s="250"/>
      <c r="B535" s="251"/>
      <c r="C535" s="251" t="s">
        <v>39</v>
      </c>
      <c r="D535" s="252" t="s">
        <v>39</v>
      </c>
      <c r="E535" s="252" t="s">
        <v>39</v>
      </c>
      <c r="F535" s="252"/>
      <c r="G535" s="251"/>
      <c r="H535" s="251"/>
      <c r="I535" s="251"/>
      <c r="J535" s="251"/>
      <c r="K535" s="251"/>
      <c r="L535" s="251"/>
      <c r="M535" s="251"/>
      <c r="N535" s="21"/>
      <c r="O535" s="251"/>
      <c r="P535" s="252"/>
      <c r="Q535" s="253"/>
      <c r="R535" s="252"/>
      <c r="S535" s="251"/>
      <c r="T535" s="251"/>
      <c r="U535" s="251"/>
      <c r="V535" s="251"/>
      <c r="W535" s="251"/>
      <c r="X535" s="251"/>
      <c r="Y535" s="251"/>
      <c r="Z535" s="251"/>
    </row>
    <row r="536">
      <c r="A536" s="250"/>
      <c r="B536" s="251"/>
      <c r="C536" s="251" t="s">
        <v>39</v>
      </c>
      <c r="D536" s="252" t="s">
        <v>39</v>
      </c>
      <c r="E536" s="252" t="s">
        <v>39</v>
      </c>
      <c r="F536" s="252"/>
      <c r="G536" s="251"/>
      <c r="H536" s="251"/>
      <c r="I536" s="251"/>
      <c r="J536" s="251"/>
      <c r="K536" s="251"/>
      <c r="L536" s="251"/>
      <c r="M536" s="251"/>
      <c r="N536" s="21"/>
      <c r="O536" s="251"/>
      <c r="P536" s="252"/>
      <c r="Q536" s="253"/>
      <c r="R536" s="252"/>
      <c r="S536" s="251"/>
      <c r="T536" s="251"/>
      <c r="U536" s="251"/>
      <c r="V536" s="251"/>
      <c r="W536" s="251"/>
      <c r="X536" s="251"/>
      <c r="Y536" s="251"/>
      <c r="Z536" s="251"/>
    </row>
    <row r="537">
      <c r="A537" s="250"/>
      <c r="B537" s="251"/>
      <c r="C537" s="251" t="s">
        <v>39</v>
      </c>
      <c r="D537" s="252" t="s">
        <v>39</v>
      </c>
      <c r="E537" s="252" t="s">
        <v>39</v>
      </c>
      <c r="F537" s="252"/>
      <c r="G537" s="251"/>
      <c r="H537" s="251"/>
      <c r="I537" s="251"/>
      <c r="J537" s="251"/>
      <c r="K537" s="251"/>
      <c r="L537" s="251"/>
      <c r="M537" s="251"/>
      <c r="N537" s="21"/>
      <c r="O537" s="251"/>
      <c r="P537" s="252"/>
      <c r="Q537" s="253"/>
      <c r="R537" s="252"/>
      <c r="S537" s="251"/>
      <c r="T537" s="251"/>
      <c r="U537" s="251"/>
      <c r="V537" s="251"/>
      <c r="W537" s="251"/>
      <c r="X537" s="251"/>
      <c r="Y537" s="251"/>
      <c r="Z537" s="251"/>
    </row>
    <row r="538">
      <c r="A538" s="250"/>
      <c r="B538" s="251"/>
      <c r="C538" s="251" t="s">
        <v>39</v>
      </c>
      <c r="D538" s="252" t="s">
        <v>39</v>
      </c>
      <c r="E538" s="252" t="s">
        <v>39</v>
      </c>
      <c r="F538" s="252"/>
      <c r="G538" s="251"/>
      <c r="H538" s="251"/>
      <c r="I538" s="251"/>
      <c r="J538" s="251"/>
      <c r="K538" s="251"/>
      <c r="L538" s="251"/>
      <c r="M538" s="251"/>
      <c r="N538" s="21"/>
      <c r="O538" s="251"/>
      <c r="P538" s="252"/>
      <c r="Q538" s="253"/>
      <c r="R538" s="252"/>
      <c r="S538" s="251"/>
      <c r="T538" s="251"/>
      <c r="U538" s="251"/>
      <c r="V538" s="251"/>
      <c r="W538" s="251"/>
      <c r="X538" s="251"/>
      <c r="Y538" s="251"/>
      <c r="Z538" s="251"/>
    </row>
    <row r="539">
      <c r="A539" s="250"/>
      <c r="B539" s="251"/>
      <c r="C539" s="251" t="s">
        <v>39</v>
      </c>
      <c r="D539" s="252" t="s">
        <v>39</v>
      </c>
      <c r="E539" s="252" t="s">
        <v>39</v>
      </c>
      <c r="F539" s="252"/>
      <c r="G539" s="251"/>
      <c r="H539" s="251"/>
      <c r="I539" s="251"/>
      <c r="J539" s="251"/>
      <c r="K539" s="251"/>
      <c r="L539" s="251"/>
      <c r="M539" s="251"/>
      <c r="N539" s="21"/>
      <c r="O539" s="251"/>
      <c r="P539" s="252"/>
      <c r="Q539" s="253"/>
      <c r="R539" s="252"/>
      <c r="S539" s="251"/>
      <c r="T539" s="251"/>
      <c r="U539" s="251"/>
      <c r="V539" s="251"/>
      <c r="W539" s="251"/>
      <c r="X539" s="251"/>
      <c r="Y539" s="251"/>
      <c r="Z539" s="251"/>
    </row>
    <row r="540">
      <c r="A540" s="250"/>
      <c r="B540" s="251"/>
      <c r="C540" s="251" t="s">
        <v>39</v>
      </c>
      <c r="D540" s="252" t="s">
        <v>39</v>
      </c>
      <c r="E540" s="252" t="s">
        <v>39</v>
      </c>
      <c r="F540" s="252"/>
      <c r="G540" s="251"/>
      <c r="H540" s="251"/>
      <c r="I540" s="251"/>
      <c r="J540" s="251"/>
      <c r="K540" s="251"/>
      <c r="L540" s="251"/>
      <c r="M540" s="251"/>
      <c r="N540" s="21"/>
      <c r="O540" s="251"/>
      <c r="P540" s="252"/>
      <c r="Q540" s="253"/>
      <c r="R540" s="252"/>
      <c r="S540" s="251"/>
      <c r="T540" s="251"/>
      <c r="U540" s="251"/>
      <c r="V540" s="251"/>
      <c r="W540" s="251"/>
      <c r="X540" s="251"/>
      <c r="Y540" s="251"/>
      <c r="Z540" s="251"/>
    </row>
    <row r="541">
      <c r="A541" s="250"/>
      <c r="B541" s="251"/>
      <c r="C541" s="251" t="s">
        <v>39</v>
      </c>
      <c r="D541" s="252" t="s">
        <v>39</v>
      </c>
      <c r="E541" s="252" t="s">
        <v>39</v>
      </c>
      <c r="F541" s="252"/>
      <c r="G541" s="251"/>
      <c r="H541" s="251"/>
      <c r="I541" s="251"/>
      <c r="J541" s="251"/>
      <c r="K541" s="251"/>
      <c r="L541" s="251"/>
      <c r="M541" s="251"/>
      <c r="N541" s="21"/>
      <c r="O541" s="251"/>
      <c r="P541" s="252"/>
      <c r="Q541" s="253"/>
      <c r="R541" s="252"/>
      <c r="S541" s="251"/>
      <c r="T541" s="251"/>
      <c r="U541" s="251"/>
      <c r="V541" s="251"/>
      <c r="W541" s="251"/>
      <c r="X541" s="251"/>
      <c r="Y541" s="251"/>
      <c r="Z541" s="251"/>
    </row>
    <row r="542">
      <c r="A542" s="250"/>
      <c r="B542" s="251"/>
      <c r="C542" s="251" t="s">
        <v>39</v>
      </c>
      <c r="D542" s="252" t="s">
        <v>39</v>
      </c>
      <c r="E542" s="252" t="s">
        <v>39</v>
      </c>
      <c r="F542" s="252"/>
      <c r="G542" s="251"/>
      <c r="H542" s="251"/>
      <c r="I542" s="251"/>
      <c r="J542" s="251"/>
      <c r="K542" s="251"/>
      <c r="L542" s="251"/>
      <c r="M542" s="251"/>
      <c r="N542" s="21"/>
      <c r="O542" s="251"/>
      <c r="P542" s="252"/>
      <c r="Q542" s="253"/>
      <c r="R542" s="252"/>
      <c r="S542" s="251"/>
      <c r="T542" s="251"/>
      <c r="U542" s="251"/>
      <c r="V542" s="251"/>
      <c r="W542" s="251"/>
      <c r="X542" s="251"/>
      <c r="Y542" s="251"/>
      <c r="Z542" s="251"/>
    </row>
    <row r="543">
      <c r="A543" s="250"/>
      <c r="B543" s="251"/>
      <c r="C543" s="251" t="s">
        <v>39</v>
      </c>
      <c r="D543" s="252" t="s">
        <v>39</v>
      </c>
      <c r="E543" s="252" t="s">
        <v>39</v>
      </c>
      <c r="F543" s="252"/>
      <c r="G543" s="251"/>
      <c r="H543" s="251"/>
      <c r="I543" s="251"/>
      <c r="J543" s="251"/>
      <c r="K543" s="251"/>
      <c r="L543" s="251"/>
      <c r="M543" s="251"/>
      <c r="N543" s="21"/>
      <c r="O543" s="251"/>
      <c r="P543" s="252"/>
      <c r="Q543" s="253"/>
      <c r="R543" s="252"/>
      <c r="S543" s="251"/>
      <c r="T543" s="251"/>
      <c r="U543" s="251"/>
      <c r="V543" s="251"/>
      <c r="W543" s="251"/>
      <c r="X543" s="251"/>
      <c r="Y543" s="251"/>
      <c r="Z543" s="251"/>
    </row>
    <row r="544">
      <c r="A544" s="250"/>
      <c r="B544" s="251"/>
      <c r="C544" s="251" t="s">
        <v>39</v>
      </c>
      <c r="D544" s="252" t="s">
        <v>39</v>
      </c>
      <c r="E544" s="252" t="s">
        <v>39</v>
      </c>
      <c r="F544" s="252"/>
      <c r="G544" s="251"/>
      <c r="H544" s="251"/>
      <c r="I544" s="251"/>
      <c r="J544" s="251"/>
      <c r="K544" s="251"/>
      <c r="L544" s="251"/>
      <c r="M544" s="251"/>
      <c r="N544" s="21"/>
      <c r="O544" s="251"/>
      <c r="P544" s="252"/>
      <c r="Q544" s="253"/>
      <c r="R544" s="252"/>
      <c r="S544" s="251"/>
      <c r="T544" s="251"/>
      <c r="U544" s="251"/>
      <c r="V544" s="251"/>
      <c r="W544" s="251"/>
      <c r="X544" s="251"/>
      <c r="Y544" s="251"/>
      <c r="Z544" s="251"/>
    </row>
    <row r="545">
      <c r="A545" s="250"/>
      <c r="B545" s="251"/>
      <c r="C545" s="251" t="s">
        <v>39</v>
      </c>
      <c r="D545" s="252" t="s">
        <v>39</v>
      </c>
      <c r="E545" s="252" t="s">
        <v>39</v>
      </c>
      <c r="F545" s="252"/>
      <c r="G545" s="251"/>
      <c r="H545" s="251"/>
      <c r="I545" s="251"/>
      <c r="J545" s="251"/>
      <c r="K545" s="251"/>
      <c r="L545" s="251"/>
      <c r="M545" s="251"/>
      <c r="N545" s="21"/>
      <c r="O545" s="251"/>
      <c r="P545" s="252"/>
      <c r="Q545" s="253"/>
      <c r="R545" s="252"/>
      <c r="S545" s="251"/>
      <c r="T545" s="251"/>
      <c r="U545" s="251"/>
      <c r="V545" s="251"/>
      <c r="W545" s="251"/>
      <c r="X545" s="251"/>
      <c r="Y545" s="251"/>
      <c r="Z545" s="251"/>
    </row>
    <row r="546">
      <c r="A546" s="250"/>
      <c r="B546" s="251"/>
      <c r="C546" s="251" t="s">
        <v>39</v>
      </c>
      <c r="D546" s="252" t="s">
        <v>39</v>
      </c>
      <c r="E546" s="252" t="s">
        <v>39</v>
      </c>
      <c r="F546" s="252"/>
      <c r="G546" s="251"/>
      <c r="H546" s="251"/>
      <c r="I546" s="251"/>
      <c r="J546" s="251"/>
      <c r="K546" s="251"/>
      <c r="L546" s="251"/>
      <c r="M546" s="251"/>
      <c r="N546" s="21"/>
      <c r="O546" s="251"/>
      <c r="P546" s="252"/>
      <c r="Q546" s="253"/>
      <c r="R546" s="252"/>
      <c r="S546" s="251"/>
      <c r="T546" s="251"/>
      <c r="U546" s="251"/>
      <c r="V546" s="251"/>
      <c r="W546" s="251"/>
      <c r="X546" s="251"/>
      <c r="Y546" s="251"/>
      <c r="Z546" s="251"/>
    </row>
    <row r="547">
      <c r="A547" s="250"/>
      <c r="B547" s="251"/>
      <c r="C547" s="251" t="s">
        <v>39</v>
      </c>
      <c r="D547" s="252" t="s">
        <v>39</v>
      </c>
      <c r="E547" s="252" t="s">
        <v>39</v>
      </c>
      <c r="F547" s="252"/>
      <c r="G547" s="251"/>
      <c r="H547" s="251"/>
      <c r="I547" s="251"/>
      <c r="J547" s="251"/>
      <c r="K547" s="251"/>
      <c r="L547" s="251"/>
      <c r="M547" s="251"/>
      <c r="N547" s="21"/>
      <c r="O547" s="251"/>
      <c r="P547" s="252"/>
      <c r="Q547" s="253"/>
      <c r="R547" s="252"/>
      <c r="S547" s="251"/>
      <c r="T547" s="251"/>
      <c r="U547" s="251"/>
      <c r="V547" s="251"/>
      <c r="W547" s="251"/>
      <c r="X547" s="251"/>
      <c r="Y547" s="251"/>
      <c r="Z547" s="251"/>
    </row>
    <row r="548">
      <c r="A548" s="250"/>
      <c r="B548" s="251"/>
      <c r="C548" s="251" t="s">
        <v>39</v>
      </c>
      <c r="D548" s="252" t="s">
        <v>39</v>
      </c>
      <c r="E548" s="252" t="s">
        <v>39</v>
      </c>
      <c r="F548" s="252"/>
      <c r="G548" s="251"/>
      <c r="H548" s="251"/>
      <c r="I548" s="251"/>
      <c r="J548" s="251"/>
      <c r="K548" s="251"/>
      <c r="L548" s="251"/>
      <c r="M548" s="251"/>
      <c r="N548" s="21"/>
      <c r="O548" s="251"/>
      <c r="P548" s="252"/>
      <c r="Q548" s="253"/>
      <c r="R548" s="252"/>
      <c r="S548" s="251"/>
      <c r="T548" s="251"/>
      <c r="U548" s="251"/>
      <c r="V548" s="251"/>
      <c r="W548" s="251"/>
      <c r="X548" s="251"/>
      <c r="Y548" s="251"/>
      <c r="Z548" s="251"/>
    </row>
    <row r="549">
      <c r="A549" s="250"/>
      <c r="B549" s="251"/>
      <c r="C549" s="251" t="s">
        <v>39</v>
      </c>
      <c r="D549" s="252" t="s">
        <v>39</v>
      </c>
      <c r="E549" s="252" t="s">
        <v>39</v>
      </c>
      <c r="F549" s="252"/>
      <c r="G549" s="251"/>
      <c r="H549" s="251"/>
      <c r="I549" s="251"/>
      <c r="J549" s="251"/>
      <c r="K549" s="251"/>
      <c r="L549" s="251"/>
      <c r="M549" s="251"/>
      <c r="N549" s="21"/>
      <c r="O549" s="251"/>
      <c r="P549" s="252"/>
      <c r="Q549" s="253"/>
      <c r="R549" s="252"/>
      <c r="S549" s="251"/>
      <c r="T549" s="251"/>
      <c r="U549" s="251"/>
      <c r="V549" s="251"/>
      <c r="W549" s="251"/>
      <c r="X549" s="251"/>
      <c r="Y549" s="251"/>
      <c r="Z549" s="251"/>
    </row>
    <row r="550">
      <c r="A550" s="250"/>
      <c r="B550" s="251"/>
      <c r="C550" s="251" t="s">
        <v>39</v>
      </c>
      <c r="D550" s="252" t="s">
        <v>39</v>
      </c>
      <c r="E550" s="252" t="s">
        <v>39</v>
      </c>
      <c r="F550" s="252"/>
      <c r="G550" s="251"/>
      <c r="H550" s="251"/>
      <c r="I550" s="251"/>
      <c r="J550" s="251"/>
      <c r="K550" s="251"/>
      <c r="L550" s="251"/>
      <c r="M550" s="251"/>
      <c r="N550" s="21"/>
      <c r="O550" s="251"/>
      <c r="P550" s="252"/>
      <c r="Q550" s="253"/>
      <c r="R550" s="252"/>
      <c r="S550" s="251"/>
      <c r="T550" s="251"/>
      <c r="U550" s="251"/>
      <c r="V550" s="251"/>
      <c r="W550" s="251"/>
      <c r="X550" s="251"/>
      <c r="Y550" s="251"/>
      <c r="Z550" s="251"/>
    </row>
    <row r="551">
      <c r="A551" s="250"/>
      <c r="B551" s="251"/>
      <c r="C551" s="251" t="s">
        <v>39</v>
      </c>
      <c r="D551" s="252" t="s">
        <v>39</v>
      </c>
      <c r="E551" s="252" t="s">
        <v>39</v>
      </c>
      <c r="F551" s="252"/>
      <c r="G551" s="251"/>
      <c r="H551" s="251"/>
      <c r="I551" s="251"/>
      <c r="J551" s="251"/>
      <c r="K551" s="251"/>
      <c r="L551" s="251"/>
      <c r="M551" s="251"/>
      <c r="N551" s="21"/>
      <c r="O551" s="251"/>
      <c r="P551" s="252"/>
      <c r="Q551" s="253"/>
      <c r="R551" s="252"/>
      <c r="S551" s="251"/>
      <c r="T551" s="251"/>
      <c r="U551" s="251"/>
      <c r="V551" s="251"/>
      <c r="W551" s="251"/>
      <c r="X551" s="251"/>
      <c r="Y551" s="251"/>
      <c r="Z551" s="251"/>
    </row>
    <row r="552">
      <c r="A552" s="250"/>
      <c r="B552" s="251"/>
      <c r="C552" s="251" t="s">
        <v>39</v>
      </c>
      <c r="D552" s="252" t="s">
        <v>39</v>
      </c>
      <c r="E552" s="252" t="s">
        <v>39</v>
      </c>
      <c r="F552" s="252"/>
      <c r="G552" s="251"/>
      <c r="H552" s="251"/>
      <c r="I552" s="251"/>
      <c r="J552" s="251"/>
      <c r="K552" s="251"/>
      <c r="L552" s="251"/>
      <c r="M552" s="251"/>
      <c r="N552" s="21"/>
      <c r="O552" s="251"/>
      <c r="P552" s="252"/>
      <c r="Q552" s="253"/>
      <c r="R552" s="252"/>
      <c r="S552" s="251"/>
      <c r="T552" s="251"/>
      <c r="U552" s="251"/>
      <c r="V552" s="251"/>
      <c r="W552" s="251"/>
      <c r="X552" s="251"/>
      <c r="Y552" s="251"/>
      <c r="Z552" s="251"/>
    </row>
    <row r="553">
      <c r="A553" s="250"/>
      <c r="B553" s="251"/>
      <c r="C553" s="251" t="s">
        <v>39</v>
      </c>
      <c r="D553" s="252" t="s">
        <v>39</v>
      </c>
      <c r="E553" s="252" t="s">
        <v>39</v>
      </c>
      <c r="F553" s="252"/>
      <c r="G553" s="251"/>
      <c r="H553" s="251"/>
      <c r="I553" s="251"/>
      <c r="J553" s="251"/>
      <c r="K553" s="251"/>
      <c r="L553" s="251"/>
      <c r="M553" s="251"/>
      <c r="N553" s="21"/>
      <c r="O553" s="251"/>
      <c r="P553" s="252"/>
      <c r="Q553" s="253"/>
      <c r="R553" s="252"/>
      <c r="S553" s="251"/>
      <c r="T553" s="251"/>
      <c r="U553" s="251"/>
      <c r="V553" s="251"/>
      <c r="W553" s="251"/>
      <c r="X553" s="251"/>
      <c r="Y553" s="251"/>
      <c r="Z553" s="251"/>
    </row>
    <row r="554">
      <c r="A554" s="250"/>
      <c r="B554" s="251"/>
      <c r="C554" s="251" t="s">
        <v>39</v>
      </c>
      <c r="D554" s="252" t="s">
        <v>39</v>
      </c>
      <c r="E554" s="252" t="s">
        <v>39</v>
      </c>
      <c r="F554" s="252"/>
      <c r="G554" s="251"/>
      <c r="H554" s="251"/>
      <c r="I554" s="251"/>
      <c r="J554" s="251"/>
      <c r="K554" s="251"/>
      <c r="L554" s="251"/>
      <c r="M554" s="251"/>
      <c r="N554" s="21"/>
      <c r="O554" s="251"/>
      <c r="P554" s="252"/>
      <c r="Q554" s="253"/>
      <c r="R554" s="252"/>
      <c r="S554" s="251"/>
      <c r="T554" s="251"/>
      <c r="U554" s="251"/>
      <c r="V554" s="251"/>
      <c r="W554" s="251"/>
      <c r="X554" s="251"/>
      <c r="Y554" s="251"/>
      <c r="Z554" s="251"/>
    </row>
    <row r="555">
      <c r="A555" s="250"/>
      <c r="B555" s="251"/>
      <c r="C555" s="251" t="s">
        <v>39</v>
      </c>
      <c r="D555" s="252" t="s">
        <v>39</v>
      </c>
      <c r="E555" s="252" t="s">
        <v>39</v>
      </c>
      <c r="F555" s="252"/>
      <c r="G555" s="251"/>
      <c r="H555" s="251"/>
      <c r="I555" s="251"/>
      <c r="J555" s="251"/>
      <c r="K555" s="251"/>
      <c r="L555" s="251"/>
      <c r="M555" s="251"/>
      <c r="N555" s="21"/>
      <c r="O555" s="251"/>
      <c r="P555" s="252"/>
      <c r="Q555" s="253"/>
      <c r="R555" s="252"/>
      <c r="S555" s="251"/>
      <c r="T555" s="251"/>
      <c r="U555" s="251"/>
      <c r="V555" s="251"/>
      <c r="W555" s="251"/>
      <c r="X555" s="251"/>
      <c r="Y555" s="251"/>
      <c r="Z555" s="251"/>
    </row>
    <row r="556">
      <c r="A556" s="250"/>
      <c r="B556" s="251"/>
      <c r="C556" s="251" t="s">
        <v>39</v>
      </c>
      <c r="D556" s="252" t="s">
        <v>39</v>
      </c>
      <c r="E556" s="252" t="s">
        <v>39</v>
      </c>
      <c r="F556" s="252"/>
      <c r="G556" s="251"/>
      <c r="H556" s="251"/>
      <c r="I556" s="251"/>
      <c r="J556" s="251"/>
      <c r="K556" s="251"/>
      <c r="L556" s="251"/>
      <c r="M556" s="251"/>
      <c r="N556" s="21"/>
      <c r="O556" s="251"/>
      <c r="P556" s="252"/>
      <c r="Q556" s="253"/>
      <c r="R556" s="252"/>
      <c r="S556" s="251"/>
      <c r="T556" s="251"/>
      <c r="U556" s="251"/>
      <c r="V556" s="251"/>
      <c r="W556" s="251"/>
      <c r="X556" s="251"/>
      <c r="Y556" s="251"/>
      <c r="Z556" s="251"/>
    </row>
    <row r="557">
      <c r="A557" s="250"/>
      <c r="B557" s="251"/>
      <c r="C557" s="251" t="s">
        <v>39</v>
      </c>
      <c r="D557" s="252" t="s">
        <v>39</v>
      </c>
      <c r="E557" s="252" t="s">
        <v>39</v>
      </c>
      <c r="F557" s="252"/>
      <c r="G557" s="251"/>
      <c r="H557" s="251"/>
      <c r="I557" s="251"/>
      <c r="J557" s="251"/>
      <c r="K557" s="251"/>
      <c r="L557" s="251"/>
      <c r="M557" s="251"/>
      <c r="N557" s="21"/>
      <c r="O557" s="251"/>
      <c r="P557" s="252"/>
      <c r="Q557" s="253"/>
      <c r="R557" s="252"/>
      <c r="S557" s="251"/>
      <c r="T557" s="251"/>
      <c r="U557" s="251"/>
      <c r="V557" s="251"/>
      <c r="W557" s="251"/>
      <c r="X557" s="251"/>
      <c r="Y557" s="251"/>
      <c r="Z557" s="251"/>
    </row>
    <row r="558">
      <c r="A558" s="250"/>
      <c r="B558" s="251"/>
      <c r="C558" s="251" t="s">
        <v>39</v>
      </c>
      <c r="D558" s="252" t="s">
        <v>39</v>
      </c>
      <c r="E558" s="252" t="s">
        <v>39</v>
      </c>
      <c r="F558" s="252"/>
      <c r="G558" s="251"/>
      <c r="H558" s="251"/>
      <c r="I558" s="251"/>
      <c r="J558" s="251"/>
      <c r="K558" s="251"/>
      <c r="L558" s="251"/>
      <c r="M558" s="251"/>
      <c r="N558" s="21"/>
      <c r="O558" s="251"/>
      <c r="P558" s="252"/>
      <c r="Q558" s="253"/>
      <c r="R558" s="252"/>
      <c r="S558" s="251"/>
      <c r="T558" s="251"/>
      <c r="U558" s="251"/>
      <c r="V558" s="251"/>
      <c r="W558" s="251"/>
      <c r="X558" s="251"/>
      <c r="Y558" s="251"/>
      <c r="Z558" s="251"/>
    </row>
    <row r="559">
      <c r="A559" s="250"/>
      <c r="B559" s="251"/>
      <c r="C559" s="251" t="s">
        <v>39</v>
      </c>
      <c r="D559" s="252" t="s">
        <v>39</v>
      </c>
      <c r="E559" s="252" t="s">
        <v>39</v>
      </c>
      <c r="F559" s="252"/>
      <c r="G559" s="251"/>
      <c r="H559" s="251"/>
      <c r="I559" s="251"/>
      <c r="J559" s="251"/>
      <c r="K559" s="251"/>
      <c r="L559" s="251"/>
      <c r="M559" s="251"/>
      <c r="N559" s="21"/>
      <c r="O559" s="251"/>
      <c r="P559" s="252"/>
      <c r="Q559" s="253"/>
      <c r="R559" s="252"/>
      <c r="S559" s="251"/>
      <c r="T559" s="251"/>
      <c r="U559" s="251"/>
      <c r="V559" s="251"/>
      <c r="W559" s="251"/>
      <c r="X559" s="251"/>
      <c r="Y559" s="251"/>
      <c r="Z559" s="251"/>
    </row>
    <row r="560">
      <c r="A560" s="250"/>
      <c r="B560" s="251"/>
      <c r="C560" s="251" t="s">
        <v>39</v>
      </c>
      <c r="D560" s="252" t="s">
        <v>39</v>
      </c>
      <c r="E560" s="252" t="s">
        <v>39</v>
      </c>
      <c r="F560" s="252"/>
      <c r="G560" s="251"/>
      <c r="H560" s="251"/>
      <c r="I560" s="251"/>
      <c r="J560" s="251"/>
      <c r="K560" s="251"/>
      <c r="L560" s="251"/>
      <c r="M560" s="251"/>
      <c r="N560" s="21"/>
      <c r="O560" s="251"/>
      <c r="P560" s="252"/>
      <c r="Q560" s="253"/>
      <c r="R560" s="252"/>
      <c r="S560" s="251"/>
      <c r="T560" s="251"/>
      <c r="U560" s="251"/>
      <c r="V560" s="251"/>
      <c r="W560" s="251"/>
      <c r="X560" s="251"/>
      <c r="Y560" s="251"/>
      <c r="Z560" s="251"/>
    </row>
    <row r="561">
      <c r="A561" s="250"/>
      <c r="B561" s="251"/>
      <c r="C561" s="251" t="s">
        <v>39</v>
      </c>
      <c r="D561" s="252" t="s">
        <v>39</v>
      </c>
      <c r="E561" s="252" t="s">
        <v>39</v>
      </c>
      <c r="F561" s="252"/>
      <c r="G561" s="251"/>
      <c r="H561" s="251"/>
      <c r="I561" s="251"/>
      <c r="J561" s="251"/>
      <c r="K561" s="251"/>
      <c r="L561" s="251"/>
      <c r="M561" s="251"/>
      <c r="N561" s="21"/>
      <c r="O561" s="251"/>
      <c r="P561" s="252"/>
      <c r="Q561" s="253"/>
      <c r="R561" s="252"/>
      <c r="S561" s="251"/>
      <c r="T561" s="251"/>
      <c r="U561" s="251"/>
      <c r="V561" s="251"/>
      <c r="W561" s="251"/>
      <c r="X561" s="251"/>
      <c r="Y561" s="251"/>
      <c r="Z561" s="251"/>
    </row>
    <row r="562">
      <c r="A562" s="250"/>
      <c r="B562" s="251"/>
      <c r="C562" s="251" t="s">
        <v>39</v>
      </c>
      <c r="D562" s="252" t="s">
        <v>39</v>
      </c>
      <c r="E562" s="252" t="s">
        <v>39</v>
      </c>
      <c r="F562" s="252"/>
      <c r="G562" s="251"/>
      <c r="H562" s="251"/>
      <c r="I562" s="251"/>
      <c r="J562" s="251"/>
      <c r="K562" s="251"/>
      <c r="L562" s="251"/>
      <c r="M562" s="251"/>
      <c r="N562" s="21"/>
      <c r="O562" s="251"/>
      <c r="P562" s="252"/>
      <c r="Q562" s="253"/>
      <c r="R562" s="252"/>
      <c r="S562" s="251"/>
      <c r="T562" s="251"/>
      <c r="U562" s="251"/>
      <c r="V562" s="251"/>
      <c r="W562" s="251"/>
      <c r="X562" s="251"/>
      <c r="Y562" s="251"/>
      <c r="Z562" s="251"/>
    </row>
    <row r="563">
      <c r="A563" s="250"/>
      <c r="B563" s="251"/>
      <c r="C563" s="251" t="s">
        <v>39</v>
      </c>
      <c r="D563" s="252" t="s">
        <v>39</v>
      </c>
      <c r="E563" s="252" t="s">
        <v>39</v>
      </c>
      <c r="F563" s="252"/>
      <c r="G563" s="251"/>
      <c r="H563" s="251"/>
      <c r="I563" s="251"/>
      <c r="J563" s="251"/>
      <c r="K563" s="251"/>
      <c r="L563" s="251"/>
      <c r="M563" s="251"/>
      <c r="N563" s="21"/>
      <c r="O563" s="251"/>
      <c r="P563" s="252"/>
      <c r="Q563" s="253"/>
      <c r="R563" s="252"/>
      <c r="S563" s="251"/>
      <c r="T563" s="251"/>
      <c r="U563" s="251"/>
      <c r="V563" s="251"/>
      <c r="W563" s="251"/>
      <c r="X563" s="251"/>
      <c r="Y563" s="251"/>
      <c r="Z563" s="251"/>
    </row>
    <row r="564">
      <c r="A564" s="250"/>
      <c r="B564" s="251"/>
      <c r="C564" s="251" t="s">
        <v>39</v>
      </c>
      <c r="D564" s="252" t="s">
        <v>39</v>
      </c>
      <c r="E564" s="252" t="s">
        <v>39</v>
      </c>
      <c r="F564" s="252"/>
      <c r="G564" s="251"/>
      <c r="H564" s="251"/>
      <c r="I564" s="251"/>
      <c r="J564" s="251"/>
      <c r="K564" s="251"/>
      <c r="L564" s="251"/>
      <c r="M564" s="251"/>
      <c r="N564" s="21"/>
      <c r="O564" s="251"/>
      <c r="P564" s="252"/>
      <c r="Q564" s="253"/>
      <c r="R564" s="252"/>
      <c r="S564" s="251"/>
      <c r="T564" s="251"/>
      <c r="U564" s="251"/>
      <c r="V564" s="251"/>
      <c r="W564" s="251"/>
      <c r="X564" s="251"/>
      <c r="Y564" s="251"/>
      <c r="Z564" s="251"/>
    </row>
    <row r="565">
      <c r="A565" s="250"/>
      <c r="B565" s="251"/>
      <c r="C565" s="251" t="s">
        <v>39</v>
      </c>
      <c r="D565" s="252" t="s">
        <v>39</v>
      </c>
      <c r="E565" s="252" t="s">
        <v>39</v>
      </c>
      <c r="F565" s="252"/>
      <c r="G565" s="251"/>
      <c r="H565" s="251"/>
      <c r="I565" s="251"/>
      <c r="J565" s="251"/>
      <c r="K565" s="251"/>
      <c r="L565" s="251"/>
      <c r="M565" s="251"/>
      <c r="N565" s="21"/>
      <c r="O565" s="251"/>
      <c r="P565" s="252"/>
      <c r="Q565" s="253"/>
      <c r="R565" s="252"/>
      <c r="S565" s="251"/>
      <c r="T565" s="251"/>
      <c r="U565" s="251"/>
      <c r="V565" s="251"/>
      <c r="W565" s="251"/>
      <c r="X565" s="251"/>
      <c r="Y565" s="251"/>
      <c r="Z565" s="251"/>
    </row>
    <row r="566">
      <c r="A566" s="250"/>
      <c r="B566" s="251"/>
      <c r="C566" s="251" t="s">
        <v>39</v>
      </c>
      <c r="D566" s="252" t="s">
        <v>39</v>
      </c>
      <c r="E566" s="252" t="s">
        <v>39</v>
      </c>
      <c r="F566" s="252"/>
      <c r="G566" s="251"/>
      <c r="H566" s="251"/>
      <c r="I566" s="251"/>
      <c r="J566" s="251"/>
      <c r="K566" s="251"/>
      <c r="L566" s="251"/>
      <c r="M566" s="251"/>
      <c r="N566" s="21"/>
      <c r="O566" s="251"/>
      <c r="P566" s="252"/>
      <c r="Q566" s="253"/>
      <c r="R566" s="252"/>
      <c r="S566" s="251"/>
      <c r="T566" s="251"/>
      <c r="U566" s="251"/>
      <c r="V566" s="251"/>
      <c r="W566" s="251"/>
      <c r="X566" s="251"/>
      <c r="Y566" s="251"/>
      <c r="Z566" s="251"/>
    </row>
    <row r="567">
      <c r="A567" s="250"/>
      <c r="B567" s="251"/>
      <c r="C567" s="251" t="s">
        <v>39</v>
      </c>
      <c r="D567" s="252" t="s">
        <v>39</v>
      </c>
      <c r="E567" s="252" t="s">
        <v>39</v>
      </c>
      <c r="F567" s="252"/>
      <c r="G567" s="251"/>
      <c r="H567" s="251"/>
      <c r="I567" s="251"/>
      <c r="J567" s="251"/>
      <c r="K567" s="251"/>
      <c r="L567" s="251"/>
      <c r="M567" s="251"/>
      <c r="N567" s="21"/>
      <c r="O567" s="251"/>
      <c r="P567" s="252"/>
      <c r="Q567" s="253"/>
      <c r="R567" s="252"/>
      <c r="S567" s="251"/>
      <c r="T567" s="251"/>
      <c r="U567" s="251"/>
      <c r="V567" s="251"/>
      <c r="W567" s="251"/>
      <c r="X567" s="251"/>
      <c r="Y567" s="251"/>
      <c r="Z567" s="251"/>
    </row>
    <row r="568">
      <c r="A568" s="250"/>
      <c r="B568" s="251"/>
      <c r="C568" s="251" t="s">
        <v>39</v>
      </c>
      <c r="D568" s="252" t="s">
        <v>39</v>
      </c>
      <c r="E568" s="252" t="s">
        <v>39</v>
      </c>
      <c r="F568" s="252"/>
      <c r="G568" s="251"/>
      <c r="H568" s="251"/>
      <c r="I568" s="251"/>
      <c r="J568" s="251"/>
      <c r="K568" s="251"/>
      <c r="L568" s="251"/>
      <c r="M568" s="251"/>
      <c r="N568" s="21"/>
      <c r="O568" s="251"/>
      <c r="P568" s="252"/>
      <c r="Q568" s="253"/>
      <c r="R568" s="252"/>
      <c r="S568" s="251"/>
      <c r="T568" s="251"/>
      <c r="U568" s="251"/>
      <c r="V568" s="251"/>
      <c r="W568" s="251"/>
      <c r="X568" s="251"/>
      <c r="Y568" s="251"/>
      <c r="Z568" s="251"/>
    </row>
    <row r="569">
      <c r="A569" s="250"/>
      <c r="B569" s="251"/>
      <c r="C569" s="251" t="s">
        <v>39</v>
      </c>
      <c r="D569" s="252" t="s">
        <v>39</v>
      </c>
      <c r="E569" s="252" t="s">
        <v>39</v>
      </c>
      <c r="F569" s="252"/>
      <c r="G569" s="251"/>
      <c r="H569" s="251"/>
      <c r="I569" s="251"/>
      <c r="J569" s="251"/>
      <c r="K569" s="251"/>
      <c r="L569" s="251"/>
      <c r="M569" s="251"/>
      <c r="N569" s="21"/>
      <c r="O569" s="251"/>
      <c r="P569" s="252"/>
      <c r="Q569" s="253"/>
      <c r="R569" s="252"/>
      <c r="S569" s="251"/>
      <c r="T569" s="251"/>
      <c r="U569" s="251"/>
      <c r="V569" s="251"/>
      <c r="W569" s="251"/>
      <c r="X569" s="251"/>
      <c r="Y569" s="251"/>
      <c r="Z569" s="251"/>
    </row>
    <row r="570">
      <c r="A570" s="250"/>
      <c r="B570" s="251"/>
      <c r="C570" s="251" t="s">
        <v>39</v>
      </c>
      <c r="D570" s="252" t="s">
        <v>39</v>
      </c>
      <c r="E570" s="252" t="s">
        <v>39</v>
      </c>
      <c r="F570" s="252"/>
      <c r="G570" s="251"/>
      <c r="H570" s="251"/>
      <c r="I570" s="251"/>
      <c r="J570" s="251"/>
      <c r="K570" s="251"/>
      <c r="L570" s="251"/>
      <c r="M570" s="251"/>
      <c r="N570" s="251"/>
      <c r="O570" s="251"/>
      <c r="P570" s="252"/>
      <c r="Q570" s="253"/>
      <c r="R570" s="252"/>
      <c r="S570" s="251"/>
      <c r="T570" s="251"/>
      <c r="U570" s="251"/>
      <c r="V570" s="251"/>
      <c r="W570" s="251"/>
      <c r="X570" s="251"/>
      <c r="Y570" s="251"/>
      <c r="Z570" s="251"/>
    </row>
    <row r="571">
      <c r="A571" s="250"/>
      <c r="B571" s="251"/>
      <c r="C571" s="251" t="s">
        <v>39</v>
      </c>
      <c r="D571" s="252" t="s">
        <v>39</v>
      </c>
      <c r="E571" s="252" t="s">
        <v>39</v>
      </c>
      <c r="F571" s="252"/>
      <c r="G571" s="251"/>
      <c r="H571" s="251"/>
      <c r="I571" s="251"/>
      <c r="J571" s="251"/>
      <c r="K571" s="251"/>
      <c r="L571" s="251"/>
      <c r="M571" s="251"/>
      <c r="N571" s="251"/>
      <c r="O571" s="251"/>
      <c r="P571" s="252"/>
      <c r="Q571" s="253"/>
      <c r="R571" s="252"/>
      <c r="S571" s="251"/>
      <c r="T571" s="251"/>
      <c r="U571" s="251"/>
      <c r="V571" s="251"/>
      <c r="W571" s="251"/>
      <c r="X571" s="251"/>
      <c r="Y571" s="251"/>
      <c r="Z571" s="251"/>
    </row>
    <row r="572">
      <c r="A572" s="250"/>
      <c r="B572" s="251"/>
      <c r="C572" s="251" t="s">
        <v>39</v>
      </c>
      <c r="D572" s="252" t="s">
        <v>39</v>
      </c>
      <c r="E572" s="252" t="s">
        <v>39</v>
      </c>
      <c r="F572" s="252"/>
      <c r="G572" s="251"/>
      <c r="H572" s="251"/>
      <c r="I572" s="251"/>
      <c r="J572" s="251"/>
      <c r="K572" s="251"/>
      <c r="L572" s="251"/>
      <c r="M572" s="251"/>
      <c r="N572" s="251"/>
      <c r="O572" s="251"/>
      <c r="P572" s="252"/>
      <c r="Q572" s="253"/>
      <c r="R572" s="252"/>
      <c r="S572" s="251"/>
      <c r="T572" s="251"/>
      <c r="U572" s="251"/>
      <c r="V572" s="251"/>
      <c r="W572" s="251"/>
      <c r="X572" s="251"/>
      <c r="Y572" s="251"/>
      <c r="Z572" s="251"/>
    </row>
    <row r="573">
      <c r="A573" s="250"/>
      <c r="B573" s="251"/>
      <c r="C573" s="251" t="s">
        <v>39</v>
      </c>
      <c r="D573" s="252" t="s">
        <v>39</v>
      </c>
      <c r="E573" s="252" t="s">
        <v>39</v>
      </c>
      <c r="F573" s="252"/>
      <c r="G573" s="251"/>
      <c r="H573" s="251"/>
      <c r="I573" s="251"/>
      <c r="J573" s="251"/>
      <c r="K573" s="251"/>
      <c r="L573" s="251"/>
      <c r="M573" s="251"/>
      <c r="N573" s="251"/>
      <c r="O573" s="251"/>
      <c r="P573" s="252"/>
      <c r="Q573" s="253"/>
      <c r="R573" s="252"/>
      <c r="S573" s="251"/>
      <c r="T573" s="251"/>
      <c r="U573" s="251"/>
      <c r="V573" s="251"/>
      <c r="W573" s="251"/>
      <c r="X573" s="251"/>
      <c r="Y573" s="251"/>
      <c r="Z573" s="251"/>
    </row>
    <row r="574">
      <c r="A574" s="250"/>
      <c r="B574" s="251"/>
      <c r="C574" s="251" t="s">
        <v>39</v>
      </c>
      <c r="D574" s="252" t="s">
        <v>39</v>
      </c>
      <c r="E574" s="252" t="s">
        <v>39</v>
      </c>
      <c r="F574" s="252"/>
      <c r="G574" s="251"/>
      <c r="H574" s="251"/>
      <c r="I574" s="251"/>
      <c r="J574" s="251"/>
      <c r="K574" s="251"/>
      <c r="L574" s="251"/>
      <c r="M574" s="251"/>
      <c r="N574" s="251"/>
      <c r="O574" s="251"/>
      <c r="P574" s="252"/>
      <c r="Q574" s="253"/>
      <c r="R574" s="252"/>
      <c r="S574" s="251"/>
      <c r="T574" s="251"/>
      <c r="U574" s="251"/>
      <c r="V574" s="251"/>
      <c r="W574" s="251"/>
      <c r="X574" s="251"/>
      <c r="Y574" s="251"/>
      <c r="Z574" s="251"/>
    </row>
    <row r="575">
      <c r="A575" s="250"/>
      <c r="B575" s="251"/>
      <c r="C575" s="251" t="s">
        <v>39</v>
      </c>
      <c r="D575" s="252" t="s">
        <v>39</v>
      </c>
      <c r="E575" s="252" t="s">
        <v>39</v>
      </c>
      <c r="F575" s="252"/>
      <c r="G575" s="251"/>
      <c r="H575" s="251"/>
      <c r="I575" s="251"/>
      <c r="J575" s="251"/>
      <c r="K575" s="251"/>
      <c r="L575" s="251"/>
      <c r="M575" s="251"/>
      <c r="N575" s="251"/>
      <c r="O575" s="251"/>
      <c r="P575" s="252"/>
      <c r="Q575" s="253"/>
      <c r="R575" s="252"/>
      <c r="S575" s="251"/>
      <c r="T575" s="251"/>
      <c r="U575" s="251"/>
      <c r="V575" s="251"/>
      <c r="W575" s="251"/>
      <c r="X575" s="251"/>
      <c r="Y575" s="251"/>
      <c r="Z575" s="251"/>
    </row>
    <row r="576">
      <c r="A576" s="250"/>
      <c r="B576" s="251"/>
      <c r="C576" s="251" t="s">
        <v>39</v>
      </c>
      <c r="D576" s="252" t="s">
        <v>39</v>
      </c>
      <c r="E576" s="252" t="s">
        <v>39</v>
      </c>
      <c r="F576" s="252"/>
      <c r="G576" s="251"/>
      <c r="H576" s="251"/>
      <c r="I576" s="251"/>
      <c r="J576" s="251"/>
      <c r="K576" s="251"/>
      <c r="L576" s="251"/>
      <c r="M576" s="251"/>
      <c r="N576" s="251"/>
      <c r="O576" s="251"/>
      <c r="P576" s="252"/>
      <c r="Q576" s="253"/>
      <c r="R576" s="252"/>
      <c r="S576" s="251"/>
      <c r="T576" s="251"/>
      <c r="U576" s="251"/>
      <c r="V576" s="251"/>
      <c r="W576" s="251"/>
      <c r="X576" s="251"/>
      <c r="Y576" s="251"/>
      <c r="Z576" s="251"/>
    </row>
    <row r="577">
      <c r="A577" s="250"/>
      <c r="B577" s="251"/>
      <c r="C577" s="251" t="s">
        <v>39</v>
      </c>
      <c r="D577" s="252" t="s">
        <v>39</v>
      </c>
      <c r="E577" s="252" t="s">
        <v>39</v>
      </c>
      <c r="F577" s="252"/>
      <c r="G577" s="251"/>
      <c r="H577" s="251"/>
      <c r="I577" s="251"/>
      <c r="J577" s="251"/>
      <c r="K577" s="251"/>
      <c r="L577" s="251"/>
      <c r="M577" s="251"/>
      <c r="N577" s="251"/>
      <c r="O577" s="251"/>
      <c r="P577" s="252"/>
      <c r="Q577" s="253"/>
      <c r="R577" s="252"/>
      <c r="S577" s="251"/>
      <c r="T577" s="251"/>
      <c r="U577" s="251"/>
      <c r="V577" s="251"/>
      <c r="W577" s="251"/>
      <c r="X577" s="251"/>
      <c r="Y577" s="251"/>
      <c r="Z577" s="251"/>
    </row>
    <row r="578">
      <c r="A578" s="250"/>
      <c r="B578" s="251"/>
      <c r="C578" s="251" t="s">
        <v>39</v>
      </c>
      <c r="D578" s="252" t="s">
        <v>39</v>
      </c>
      <c r="E578" s="252" t="s">
        <v>39</v>
      </c>
      <c r="F578" s="252"/>
      <c r="G578" s="251"/>
      <c r="H578" s="251"/>
      <c r="I578" s="251"/>
      <c r="J578" s="251"/>
      <c r="K578" s="251"/>
      <c r="L578" s="251"/>
      <c r="M578" s="251"/>
      <c r="N578" s="251"/>
      <c r="O578" s="251"/>
      <c r="P578" s="252"/>
      <c r="Q578" s="253"/>
      <c r="R578" s="252"/>
      <c r="S578" s="251"/>
      <c r="T578" s="251"/>
      <c r="U578" s="251"/>
      <c r="V578" s="251"/>
      <c r="W578" s="251"/>
      <c r="X578" s="251"/>
      <c r="Y578" s="251"/>
      <c r="Z578" s="251"/>
    </row>
    <row r="579">
      <c r="A579" s="250"/>
      <c r="B579" s="251"/>
      <c r="C579" s="251" t="s">
        <v>39</v>
      </c>
      <c r="D579" s="252" t="s">
        <v>39</v>
      </c>
      <c r="E579" s="252" t="s">
        <v>39</v>
      </c>
      <c r="F579" s="252"/>
      <c r="G579" s="251"/>
      <c r="H579" s="251"/>
      <c r="I579" s="251"/>
      <c r="J579" s="251"/>
      <c r="K579" s="251"/>
      <c r="L579" s="251"/>
      <c r="M579" s="251"/>
      <c r="N579" s="251"/>
      <c r="O579" s="251"/>
      <c r="P579" s="252"/>
      <c r="Q579" s="253"/>
      <c r="R579" s="252"/>
      <c r="S579" s="251"/>
      <c r="T579" s="251"/>
      <c r="U579" s="251"/>
      <c r="V579" s="251"/>
      <c r="W579" s="251"/>
      <c r="X579" s="251"/>
      <c r="Y579" s="251"/>
      <c r="Z579" s="251"/>
    </row>
    <row r="580">
      <c r="A580" s="250"/>
      <c r="B580" s="251"/>
      <c r="C580" s="251" t="s">
        <v>39</v>
      </c>
      <c r="D580" s="252" t="s">
        <v>39</v>
      </c>
      <c r="E580" s="252" t="s">
        <v>39</v>
      </c>
      <c r="F580" s="252"/>
      <c r="G580" s="251"/>
      <c r="H580" s="251"/>
      <c r="I580" s="251"/>
      <c r="J580" s="251"/>
      <c r="K580" s="251"/>
      <c r="L580" s="251"/>
      <c r="M580" s="251"/>
      <c r="N580" s="251"/>
      <c r="O580" s="251"/>
      <c r="P580" s="252"/>
      <c r="Q580" s="253"/>
      <c r="R580" s="252"/>
      <c r="S580" s="251"/>
      <c r="T580" s="251"/>
      <c r="U580" s="251"/>
      <c r="V580" s="251"/>
      <c r="W580" s="251"/>
      <c r="X580" s="251"/>
      <c r="Y580" s="251"/>
      <c r="Z580" s="251"/>
    </row>
    <row r="581">
      <c r="A581" s="250"/>
      <c r="B581" s="251"/>
      <c r="C581" s="251" t="s">
        <v>39</v>
      </c>
      <c r="D581" s="252" t="s">
        <v>39</v>
      </c>
      <c r="E581" s="252" t="s">
        <v>39</v>
      </c>
      <c r="F581" s="252"/>
      <c r="G581" s="251"/>
      <c r="H581" s="251"/>
      <c r="I581" s="251"/>
      <c r="J581" s="251"/>
      <c r="K581" s="251"/>
      <c r="L581" s="251"/>
      <c r="M581" s="251"/>
      <c r="N581" s="251"/>
      <c r="O581" s="251"/>
      <c r="P581" s="252"/>
      <c r="Q581" s="253"/>
      <c r="R581" s="252"/>
      <c r="S581" s="251"/>
      <c r="T581" s="251"/>
      <c r="U581" s="251"/>
      <c r="V581" s="251"/>
      <c r="W581" s="251"/>
      <c r="X581" s="251"/>
      <c r="Y581" s="251"/>
      <c r="Z581" s="251"/>
    </row>
    <row r="582">
      <c r="A582" s="250"/>
      <c r="B582" s="251"/>
      <c r="C582" s="251" t="s">
        <v>39</v>
      </c>
      <c r="D582" s="252" t="s">
        <v>39</v>
      </c>
      <c r="E582" s="252" t="s">
        <v>39</v>
      </c>
      <c r="F582" s="252"/>
      <c r="G582" s="251"/>
      <c r="H582" s="251"/>
      <c r="I582" s="251"/>
      <c r="J582" s="251"/>
      <c r="K582" s="251"/>
      <c r="L582" s="251"/>
      <c r="M582" s="251"/>
      <c r="N582" s="251"/>
      <c r="O582" s="251"/>
      <c r="P582" s="252"/>
      <c r="Q582" s="253"/>
      <c r="R582" s="252"/>
      <c r="S582" s="251"/>
      <c r="T582" s="251"/>
      <c r="U582" s="251"/>
      <c r="V582" s="251"/>
      <c r="W582" s="251"/>
      <c r="X582" s="251"/>
      <c r="Y582" s="251"/>
      <c r="Z582" s="251"/>
    </row>
    <row r="583">
      <c r="A583" s="250"/>
      <c r="B583" s="251"/>
      <c r="C583" s="251" t="s">
        <v>39</v>
      </c>
      <c r="D583" s="252" t="s">
        <v>39</v>
      </c>
      <c r="E583" s="252" t="s">
        <v>39</v>
      </c>
      <c r="F583" s="252"/>
      <c r="G583" s="251"/>
      <c r="H583" s="251"/>
      <c r="I583" s="251"/>
      <c r="J583" s="251"/>
      <c r="K583" s="251"/>
      <c r="L583" s="251"/>
      <c r="M583" s="251"/>
      <c r="N583" s="251"/>
      <c r="O583" s="251"/>
      <c r="P583" s="252"/>
      <c r="Q583" s="253"/>
      <c r="R583" s="252"/>
      <c r="S583" s="251"/>
      <c r="T583" s="251"/>
      <c r="U583" s="251"/>
      <c r="V583" s="251"/>
      <c r="W583" s="251"/>
      <c r="X583" s="251"/>
      <c r="Y583" s="251"/>
      <c r="Z583" s="251"/>
    </row>
    <row r="584">
      <c r="A584" s="250"/>
      <c r="B584" s="251"/>
      <c r="C584" s="251" t="s">
        <v>39</v>
      </c>
      <c r="D584" s="252" t="s">
        <v>39</v>
      </c>
      <c r="E584" s="252" t="s">
        <v>39</v>
      </c>
      <c r="F584" s="252"/>
      <c r="G584" s="251"/>
      <c r="H584" s="251"/>
      <c r="I584" s="251"/>
      <c r="J584" s="251"/>
      <c r="K584" s="251"/>
      <c r="L584" s="251"/>
      <c r="M584" s="251"/>
      <c r="N584" s="251"/>
      <c r="O584" s="251"/>
      <c r="P584" s="252"/>
      <c r="Q584" s="253"/>
      <c r="R584" s="252"/>
      <c r="S584" s="251"/>
      <c r="T584" s="251"/>
      <c r="U584" s="251"/>
      <c r="V584" s="251"/>
      <c r="W584" s="251"/>
      <c r="X584" s="251"/>
      <c r="Y584" s="251"/>
      <c r="Z584" s="251"/>
    </row>
    <row r="585">
      <c r="A585" s="250"/>
      <c r="B585" s="251"/>
      <c r="C585" s="251" t="s">
        <v>39</v>
      </c>
      <c r="D585" s="252" t="s">
        <v>39</v>
      </c>
      <c r="E585" s="252" t="s">
        <v>39</v>
      </c>
      <c r="F585" s="252"/>
      <c r="G585" s="251"/>
      <c r="H585" s="251"/>
      <c r="I585" s="251"/>
      <c r="J585" s="251"/>
      <c r="K585" s="251"/>
      <c r="L585" s="251"/>
      <c r="M585" s="251"/>
      <c r="N585" s="251"/>
      <c r="O585" s="251"/>
      <c r="P585" s="252"/>
      <c r="Q585" s="253"/>
      <c r="R585" s="252"/>
      <c r="S585" s="251"/>
      <c r="T585" s="251"/>
      <c r="U585" s="251"/>
      <c r="V585" s="251"/>
      <c r="W585" s="251"/>
      <c r="X585" s="251"/>
      <c r="Y585" s="251"/>
      <c r="Z585" s="251"/>
    </row>
    <row r="586">
      <c r="A586" s="250"/>
      <c r="B586" s="251"/>
      <c r="C586" s="251" t="s">
        <v>39</v>
      </c>
      <c r="D586" s="252" t="s">
        <v>39</v>
      </c>
      <c r="E586" s="252" t="s">
        <v>39</v>
      </c>
      <c r="F586" s="252"/>
      <c r="G586" s="251"/>
      <c r="H586" s="251"/>
      <c r="I586" s="251"/>
      <c r="J586" s="251"/>
      <c r="K586" s="251"/>
      <c r="L586" s="251"/>
      <c r="M586" s="251"/>
      <c r="N586" s="251"/>
      <c r="O586" s="251"/>
      <c r="P586" s="252"/>
      <c r="Q586" s="253"/>
      <c r="R586" s="252"/>
      <c r="S586" s="251"/>
      <c r="T586" s="251"/>
      <c r="U586" s="251"/>
      <c r="V586" s="251"/>
      <c r="W586" s="251"/>
      <c r="X586" s="251"/>
      <c r="Y586" s="251"/>
      <c r="Z586" s="251"/>
    </row>
    <row r="587">
      <c r="A587" s="250"/>
      <c r="B587" s="251"/>
      <c r="C587" s="251" t="s">
        <v>39</v>
      </c>
      <c r="D587" s="252" t="s">
        <v>39</v>
      </c>
      <c r="E587" s="252" t="s">
        <v>39</v>
      </c>
      <c r="F587" s="252"/>
      <c r="G587" s="251"/>
      <c r="H587" s="251"/>
      <c r="I587" s="251"/>
      <c r="J587" s="251"/>
      <c r="K587" s="251"/>
      <c r="L587" s="251"/>
      <c r="M587" s="251"/>
      <c r="N587" s="251"/>
      <c r="O587" s="251"/>
      <c r="P587" s="252"/>
      <c r="Q587" s="253"/>
      <c r="R587" s="252"/>
      <c r="S587" s="251"/>
      <c r="T587" s="251"/>
      <c r="U587" s="251"/>
      <c r="V587" s="251"/>
      <c r="W587" s="251"/>
      <c r="X587" s="251"/>
      <c r="Y587" s="251"/>
      <c r="Z587" s="251"/>
    </row>
    <row r="588">
      <c r="A588" s="250"/>
      <c r="B588" s="251"/>
      <c r="C588" s="251" t="s">
        <v>39</v>
      </c>
      <c r="D588" s="252" t="s">
        <v>39</v>
      </c>
      <c r="E588" s="252" t="s">
        <v>39</v>
      </c>
      <c r="F588" s="252"/>
      <c r="G588" s="251"/>
      <c r="H588" s="251"/>
      <c r="I588" s="251"/>
      <c r="J588" s="251"/>
      <c r="K588" s="251"/>
      <c r="L588" s="251"/>
      <c r="M588" s="251"/>
      <c r="N588" s="251"/>
      <c r="O588" s="251"/>
      <c r="P588" s="252"/>
      <c r="Q588" s="253"/>
      <c r="R588" s="252"/>
      <c r="S588" s="251"/>
      <c r="T588" s="251"/>
      <c r="U588" s="251"/>
      <c r="V588" s="251"/>
      <c r="W588" s="251"/>
      <c r="X588" s="251"/>
      <c r="Y588" s="251"/>
      <c r="Z588" s="251"/>
    </row>
    <row r="589">
      <c r="A589" s="250"/>
      <c r="B589" s="251"/>
      <c r="C589" s="251" t="s">
        <v>39</v>
      </c>
      <c r="D589" s="252" t="s">
        <v>39</v>
      </c>
      <c r="E589" s="252" t="s">
        <v>39</v>
      </c>
      <c r="F589" s="252"/>
      <c r="G589" s="251"/>
      <c r="H589" s="251"/>
      <c r="I589" s="251"/>
      <c r="J589" s="251"/>
      <c r="K589" s="251"/>
      <c r="L589" s="251"/>
      <c r="M589" s="251"/>
      <c r="N589" s="251"/>
      <c r="O589" s="251"/>
      <c r="P589" s="252"/>
      <c r="Q589" s="253"/>
      <c r="R589" s="252"/>
      <c r="S589" s="251"/>
      <c r="T589" s="251"/>
      <c r="U589" s="251"/>
      <c r="V589" s="251"/>
      <c r="W589" s="251"/>
      <c r="X589" s="251"/>
      <c r="Y589" s="251"/>
      <c r="Z589" s="251"/>
    </row>
    <row r="590">
      <c r="A590" s="250"/>
      <c r="B590" s="251"/>
      <c r="C590" s="251" t="s">
        <v>39</v>
      </c>
      <c r="D590" s="252" t="s">
        <v>39</v>
      </c>
      <c r="E590" s="252" t="s">
        <v>39</v>
      </c>
      <c r="F590" s="252"/>
      <c r="G590" s="251"/>
      <c r="H590" s="251"/>
      <c r="I590" s="251"/>
      <c r="J590" s="251"/>
      <c r="K590" s="251"/>
      <c r="L590" s="251"/>
      <c r="M590" s="251"/>
      <c r="N590" s="251"/>
      <c r="O590" s="251"/>
      <c r="P590" s="252"/>
      <c r="Q590" s="253"/>
      <c r="R590" s="252"/>
      <c r="S590" s="251"/>
      <c r="T590" s="251"/>
      <c r="U590" s="251"/>
      <c r="V590" s="251"/>
      <c r="W590" s="251"/>
      <c r="X590" s="251"/>
      <c r="Y590" s="251"/>
      <c r="Z590" s="251"/>
    </row>
    <row r="591">
      <c r="A591" s="250"/>
      <c r="B591" s="251"/>
      <c r="C591" s="251" t="s">
        <v>39</v>
      </c>
      <c r="D591" s="252" t="s">
        <v>39</v>
      </c>
      <c r="E591" s="252" t="s">
        <v>39</v>
      </c>
      <c r="F591" s="252"/>
      <c r="G591" s="251"/>
      <c r="H591" s="251"/>
      <c r="I591" s="251"/>
      <c r="J591" s="251"/>
      <c r="K591" s="251"/>
      <c r="L591" s="251"/>
      <c r="M591" s="251"/>
      <c r="N591" s="251"/>
      <c r="O591" s="251"/>
      <c r="P591" s="252"/>
      <c r="Q591" s="253"/>
      <c r="R591" s="252"/>
      <c r="S591" s="251"/>
      <c r="T591" s="251"/>
      <c r="U591" s="251"/>
      <c r="V591" s="251"/>
      <c r="W591" s="251"/>
      <c r="X591" s="251"/>
      <c r="Y591" s="251"/>
      <c r="Z591" s="251"/>
    </row>
    <row r="592">
      <c r="A592" s="250"/>
      <c r="B592" s="251"/>
      <c r="C592" s="251" t="s">
        <v>39</v>
      </c>
      <c r="D592" s="252" t="s">
        <v>39</v>
      </c>
      <c r="E592" s="252" t="s">
        <v>39</v>
      </c>
      <c r="F592" s="252"/>
      <c r="G592" s="251"/>
      <c r="H592" s="251"/>
      <c r="I592" s="251"/>
      <c r="J592" s="251"/>
      <c r="K592" s="251"/>
      <c r="L592" s="251"/>
      <c r="M592" s="251"/>
      <c r="N592" s="251"/>
      <c r="O592" s="251"/>
      <c r="P592" s="252"/>
      <c r="Q592" s="253"/>
      <c r="R592" s="252"/>
      <c r="S592" s="251"/>
      <c r="T592" s="251"/>
      <c r="U592" s="251"/>
      <c r="V592" s="251"/>
      <c r="W592" s="251"/>
      <c r="X592" s="251"/>
      <c r="Y592" s="251"/>
      <c r="Z592" s="251"/>
    </row>
    <row r="593">
      <c r="A593" s="250"/>
      <c r="B593" s="251"/>
      <c r="C593" s="251" t="s">
        <v>39</v>
      </c>
      <c r="D593" s="252" t="s">
        <v>39</v>
      </c>
      <c r="E593" s="252" t="s">
        <v>39</v>
      </c>
      <c r="F593" s="252"/>
      <c r="G593" s="251"/>
      <c r="H593" s="251"/>
      <c r="I593" s="251"/>
      <c r="J593" s="251"/>
      <c r="K593" s="251"/>
      <c r="L593" s="251"/>
      <c r="M593" s="251"/>
      <c r="N593" s="251"/>
      <c r="O593" s="251"/>
      <c r="P593" s="252"/>
      <c r="Q593" s="253"/>
      <c r="R593" s="252"/>
      <c r="S593" s="251"/>
      <c r="T593" s="251"/>
      <c r="U593" s="251"/>
      <c r="V593" s="251"/>
      <c r="W593" s="251"/>
      <c r="X593" s="251"/>
      <c r="Y593" s="251"/>
      <c r="Z593" s="251"/>
    </row>
    <row r="594">
      <c r="A594" s="250"/>
      <c r="B594" s="251"/>
      <c r="C594" s="251" t="s">
        <v>39</v>
      </c>
      <c r="D594" s="252" t="s">
        <v>39</v>
      </c>
      <c r="E594" s="252" t="s">
        <v>39</v>
      </c>
      <c r="F594" s="252"/>
      <c r="G594" s="251"/>
      <c r="H594" s="251"/>
      <c r="I594" s="251"/>
      <c r="J594" s="251"/>
      <c r="K594" s="251"/>
      <c r="L594" s="251"/>
      <c r="M594" s="251"/>
      <c r="N594" s="251"/>
      <c r="O594" s="251"/>
      <c r="P594" s="252"/>
      <c r="Q594" s="253"/>
      <c r="R594" s="252"/>
      <c r="S594" s="251"/>
      <c r="T594" s="251"/>
      <c r="U594" s="251"/>
      <c r="V594" s="251"/>
      <c r="W594" s="251"/>
      <c r="X594" s="251"/>
      <c r="Y594" s="251"/>
      <c r="Z594" s="251"/>
    </row>
    <row r="595">
      <c r="A595" s="250"/>
      <c r="B595" s="251"/>
      <c r="C595" s="251" t="s">
        <v>39</v>
      </c>
      <c r="D595" s="252" t="s">
        <v>39</v>
      </c>
      <c r="E595" s="252" t="s">
        <v>39</v>
      </c>
      <c r="F595" s="252"/>
      <c r="G595" s="251"/>
      <c r="H595" s="251"/>
      <c r="I595" s="251"/>
      <c r="J595" s="251"/>
      <c r="K595" s="251"/>
      <c r="L595" s="251"/>
      <c r="M595" s="251"/>
      <c r="N595" s="251"/>
      <c r="O595" s="251"/>
      <c r="P595" s="252"/>
      <c r="Q595" s="253"/>
      <c r="R595" s="252"/>
      <c r="S595" s="251"/>
      <c r="T595" s="251"/>
      <c r="U595" s="251"/>
      <c r="V595" s="251"/>
      <c r="W595" s="251"/>
      <c r="X595" s="251"/>
      <c r="Y595" s="251"/>
      <c r="Z595" s="251"/>
    </row>
    <row r="596">
      <c r="A596" s="250"/>
      <c r="B596" s="251"/>
      <c r="C596" s="251" t="s">
        <v>39</v>
      </c>
      <c r="D596" s="252" t="s">
        <v>39</v>
      </c>
      <c r="E596" s="252" t="s">
        <v>39</v>
      </c>
      <c r="F596" s="252"/>
      <c r="G596" s="251"/>
      <c r="H596" s="251"/>
      <c r="I596" s="251"/>
      <c r="J596" s="251"/>
      <c r="K596" s="251"/>
      <c r="L596" s="251"/>
      <c r="M596" s="251"/>
      <c r="N596" s="251"/>
      <c r="O596" s="251"/>
      <c r="P596" s="252"/>
      <c r="Q596" s="253"/>
      <c r="R596" s="252"/>
      <c r="S596" s="251"/>
      <c r="T596" s="251"/>
      <c r="U596" s="251"/>
      <c r="V596" s="251"/>
      <c r="W596" s="251"/>
      <c r="X596" s="251"/>
      <c r="Y596" s="251"/>
      <c r="Z596" s="251"/>
    </row>
    <row r="597">
      <c r="A597" s="250"/>
      <c r="B597" s="251"/>
      <c r="C597" s="251" t="s">
        <v>39</v>
      </c>
      <c r="D597" s="252" t="s">
        <v>39</v>
      </c>
      <c r="E597" s="252" t="s">
        <v>39</v>
      </c>
      <c r="F597" s="252"/>
      <c r="G597" s="251"/>
      <c r="H597" s="251"/>
      <c r="I597" s="251"/>
      <c r="J597" s="251"/>
      <c r="K597" s="251"/>
      <c r="L597" s="251"/>
      <c r="M597" s="251"/>
      <c r="N597" s="251"/>
      <c r="O597" s="251"/>
      <c r="P597" s="252"/>
      <c r="Q597" s="253"/>
      <c r="R597" s="252"/>
      <c r="S597" s="251"/>
      <c r="T597" s="251"/>
      <c r="U597" s="251"/>
      <c r="V597" s="251"/>
      <c r="W597" s="251"/>
      <c r="X597" s="251"/>
      <c r="Y597" s="251"/>
      <c r="Z597" s="251"/>
    </row>
    <row r="598">
      <c r="A598" s="250"/>
      <c r="B598" s="251"/>
      <c r="C598" s="251" t="s">
        <v>39</v>
      </c>
      <c r="D598" s="252" t="s">
        <v>39</v>
      </c>
      <c r="E598" s="252" t="s">
        <v>39</v>
      </c>
      <c r="F598" s="252"/>
      <c r="G598" s="251"/>
      <c r="H598" s="251"/>
      <c r="I598" s="251"/>
      <c r="J598" s="251"/>
      <c r="K598" s="251"/>
      <c r="L598" s="251"/>
      <c r="M598" s="251"/>
      <c r="N598" s="251"/>
      <c r="O598" s="251"/>
      <c r="P598" s="252"/>
      <c r="Q598" s="253"/>
      <c r="R598" s="252"/>
      <c r="S598" s="251"/>
      <c r="T598" s="251"/>
      <c r="U598" s="251"/>
      <c r="V598" s="251"/>
      <c r="W598" s="251"/>
      <c r="X598" s="251"/>
      <c r="Y598" s="251"/>
      <c r="Z598" s="251"/>
    </row>
    <row r="599">
      <c r="A599" s="250"/>
      <c r="B599" s="251"/>
      <c r="C599" s="251" t="s">
        <v>39</v>
      </c>
      <c r="D599" s="252" t="s">
        <v>39</v>
      </c>
      <c r="E599" s="252" t="s">
        <v>39</v>
      </c>
      <c r="F599" s="252"/>
      <c r="G599" s="251"/>
      <c r="H599" s="251"/>
      <c r="I599" s="251"/>
      <c r="J599" s="251"/>
      <c r="K599" s="251"/>
      <c r="L599" s="251"/>
      <c r="M599" s="251"/>
      <c r="N599" s="251"/>
      <c r="O599" s="251"/>
      <c r="P599" s="252"/>
      <c r="Q599" s="253"/>
      <c r="R599" s="252"/>
      <c r="S599" s="251"/>
      <c r="T599" s="251"/>
      <c r="U599" s="251"/>
      <c r="V599" s="251"/>
      <c r="W599" s="251"/>
      <c r="X599" s="251"/>
      <c r="Y599" s="251"/>
      <c r="Z599" s="251"/>
    </row>
    <row r="600">
      <c r="A600" s="250"/>
      <c r="B600" s="251"/>
      <c r="C600" s="251" t="s">
        <v>39</v>
      </c>
      <c r="D600" s="252" t="s">
        <v>39</v>
      </c>
      <c r="E600" s="252" t="s">
        <v>39</v>
      </c>
      <c r="F600" s="252"/>
      <c r="G600" s="251"/>
      <c r="H600" s="251"/>
      <c r="I600" s="251"/>
      <c r="J600" s="251"/>
      <c r="K600" s="251"/>
      <c r="L600" s="251"/>
      <c r="M600" s="251"/>
      <c r="N600" s="251"/>
      <c r="O600" s="251"/>
      <c r="P600" s="252"/>
      <c r="Q600" s="253"/>
      <c r="R600" s="252"/>
      <c r="S600" s="251"/>
      <c r="T600" s="251"/>
      <c r="U600" s="251"/>
      <c r="V600" s="251"/>
      <c r="W600" s="251"/>
      <c r="X600" s="251"/>
      <c r="Y600" s="251"/>
      <c r="Z600" s="251"/>
    </row>
    <row r="601">
      <c r="A601" s="250"/>
      <c r="B601" s="251"/>
      <c r="C601" s="251" t="s">
        <v>39</v>
      </c>
      <c r="D601" s="252" t="s">
        <v>39</v>
      </c>
      <c r="E601" s="252" t="s">
        <v>39</v>
      </c>
      <c r="F601" s="252"/>
      <c r="G601" s="251"/>
      <c r="H601" s="251"/>
      <c r="I601" s="251"/>
      <c r="J601" s="251"/>
      <c r="K601" s="251"/>
      <c r="L601" s="251"/>
      <c r="M601" s="251"/>
      <c r="N601" s="251"/>
      <c r="O601" s="251"/>
      <c r="P601" s="252"/>
      <c r="Q601" s="253"/>
      <c r="R601" s="252"/>
      <c r="S601" s="251"/>
      <c r="T601" s="251"/>
      <c r="U601" s="251"/>
      <c r="V601" s="251"/>
      <c r="W601" s="251"/>
      <c r="X601" s="251"/>
      <c r="Y601" s="251"/>
      <c r="Z601" s="251"/>
    </row>
    <row r="602">
      <c r="A602" s="250"/>
      <c r="B602" s="251"/>
      <c r="C602" s="251" t="s">
        <v>39</v>
      </c>
      <c r="D602" s="252" t="s">
        <v>39</v>
      </c>
      <c r="E602" s="252" t="s">
        <v>39</v>
      </c>
      <c r="F602" s="252"/>
      <c r="G602" s="251"/>
      <c r="H602" s="251"/>
      <c r="I602" s="251"/>
      <c r="J602" s="251"/>
      <c r="K602" s="251"/>
      <c r="L602" s="251"/>
      <c r="M602" s="251"/>
      <c r="N602" s="251"/>
      <c r="O602" s="251"/>
      <c r="P602" s="252"/>
      <c r="Q602" s="253"/>
      <c r="R602" s="252"/>
      <c r="S602" s="251"/>
      <c r="T602" s="251"/>
      <c r="U602" s="251"/>
      <c r="V602" s="251"/>
      <c r="W602" s="251"/>
      <c r="X602" s="251"/>
      <c r="Y602" s="251"/>
      <c r="Z602" s="251"/>
    </row>
    <row r="603">
      <c r="A603" s="250"/>
      <c r="B603" s="251"/>
      <c r="C603" s="251" t="s">
        <v>39</v>
      </c>
      <c r="D603" s="252" t="s">
        <v>39</v>
      </c>
      <c r="E603" s="252" t="s">
        <v>39</v>
      </c>
      <c r="F603" s="252"/>
      <c r="G603" s="251"/>
      <c r="H603" s="251"/>
      <c r="I603" s="251"/>
      <c r="J603" s="251"/>
      <c r="K603" s="251"/>
      <c r="L603" s="251"/>
      <c r="M603" s="251"/>
      <c r="N603" s="251"/>
      <c r="O603" s="251"/>
      <c r="P603" s="252"/>
      <c r="Q603" s="253"/>
      <c r="R603" s="252"/>
      <c r="S603" s="251"/>
      <c r="T603" s="251"/>
      <c r="U603" s="251"/>
      <c r="V603" s="251"/>
      <c r="W603" s="251"/>
      <c r="X603" s="251"/>
      <c r="Y603" s="251"/>
      <c r="Z603" s="251"/>
    </row>
    <row r="604">
      <c r="A604" s="250"/>
      <c r="B604" s="251"/>
      <c r="C604" s="251" t="s">
        <v>39</v>
      </c>
      <c r="D604" s="252" t="s">
        <v>39</v>
      </c>
      <c r="E604" s="252" t="s">
        <v>39</v>
      </c>
      <c r="F604" s="252"/>
      <c r="G604" s="251"/>
      <c r="H604" s="251"/>
      <c r="I604" s="251"/>
      <c r="J604" s="251"/>
      <c r="K604" s="251"/>
      <c r="L604" s="251"/>
      <c r="M604" s="251"/>
      <c r="N604" s="251"/>
      <c r="O604" s="251"/>
      <c r="P604" s="252"/>
      <c r="Q604" s="253"/>
      <c r="R604" s="252"/>
      <c r="S604" s="251"/>
      <c r="T604" s="251"/>
      <c r="U604" s="251"/>
      <c r="V604" s="251"/>
      <c r="W604" s="251"/>
      <c r="X604" s="251"/>
      <c r="Y604" s="251"/>
      <c r="Z604" s="251"/>
    </row>
    <row r="605">
      <c r="A605" s="250"/>
      <c r="B605" s="251"/>
      <c r="C605" s="251" t="s">
        <v>39</v>
      </c>
      <c r="D605" s="252" t="s">
        <v>39</v>
      </c>
      <c r="E605" s="252" t="s">
        <v>39</v>
      </c>
      <c r="F605" s="252"/>
      <c r="G605" s="251"/>
      <c r="H605" s="251"/>
      <c r="I605" s="251"/>
      <c r="J605" s="251"/>
      <c r="K605" s="251"/>
      <c r="L605" s="251"/>
      <c r="M605" s="251"/>
      <c r="N605" s="251"/>
      <c r="O605" s="251"/>
      <c r="P605" s="252"/>
      <c r="Q605" s="253"/>
      <c r="R605" s="252"/>
      <c r="S605" s="251"/>
      <c r="T605" s="251"/>
      <c r="U605" s="251"/>
      <c r="V605" s="251"/>
      <c r="W605" s="251"/>
      <c r="X605" s="251"/>
      <c r="Y605" s="251"/>
      <c r="Z605" s="251"/>
    </row>
    <row r="606">
      <c r="A606" s="250"/>
      <c r="B606" s="251"/>
      <c r="C606" s="251" t="s">
        <v>39</v>
      </c>
      <c r="D606" s="252" t="s">
        <v>39</v>
      </c>
      <c r="E606" s="252" t="s">
        <v>39</v>
      </c>
      <c r="F606" s="252"/>
      <c r="G606" s="251"/>
      <c r="H606" s="251"/>
      <c r="I606" s="251"/>
      <c r="J606" s="251"/>
      <c r="K606" s="251"/>
      <c r="L606" s="251"/>
      <c r="M606" s="251"/>
      <c r="N606" s="251"/>
      <c r="O606" s="251"/>
      <c r="P606" s="252"/>
      <c r="Q606" s="253"/>
      <c r="R606" s="252"/>
      <c r="S606" s="251"/>
      <c r="T606" s="251"/>
      <c r="U606" s="251"/>
      <c r="V606" s="251"/>
      <c r="W606" s="251"/>
      <c r="X606" s="251"/>
      <c r="Y606" s="251"/>
      <c r="Z606" s="251"/>
    </row>
    <row r="607">
      <c r="A607" s="250"/>
      <c r="B607" s="251"/>
      <c r="C607" s="251" t="s">
        <v>39</v>
      </c>
      <c r="D607" s="252" t="s">
        <v>39</v>
      </c>
      <c r="E607" s="252" t="s">
        <v>39</v>
      </c>
      <c r="F607" s="252"/>
      <c r="G607" s="251"/>
      <c r="H607" s="251"/>
      <c r="I607" s="251"/>
      <c r="J607" s="251"/>
      <c r="K607" s="251"/>
      <c r="L607" s="251"/>
      <c r="M607" s="251"/>
      <c r="N607" s="251"/>
      <c r="O607" s="251"/>
      <c r="P607" s="252"/>
      <c r="Q607" s="253"/>
      <c r="R607" s="252"/>
      <c r="S607" s="251"/>
      <c r="T607" s="251"/>
      <c r="U607" s="251"/>
      <c r="V607" s="251"/>
      <c r="W607" s="251"/>
      <c r="X607" s="251"/>
      <c r="Y607" s="251"/>
      <c r="Z607" s="251"/>
    </row>
    <row r="608">
      <c r="A608" s="250"/>
      <c r="B608" s="251"/>
      <c r="C608" s="251" t="s">
        <v>39</v>
      </c>
      <c r="D608" s="252" t="s">
        <v>39</v>
      </c>
      <c r="E608" s="252" t="s">
        <v>39</v>
      </c>
      <c r="F608" s="252"/>
      <c r="G608" s="251"/>
      <c r="H608" s="251"/>
      <c r="I608" s="251"/>
      <c r="J608" s="251"/>
      <c r="K608" s="251"/>
      <c r="L608" s="251"/>
      <c r="M608" s="251"/>
      <c r="N608" s="251"/>
      <c r="O608" s="251"/>
      <c r="P608" s="252"/>
      <c r="Q608" s="253"/>
      <c r="R608" s="252"/>
      <c r="S608" s="251"/>
      <c r="T608" s="251"/>
      <c r="U608" s="251"/>
      <c r="V608" s="251"/>
      <c r="W608" s="251"/>
      <c r="X608" s="251"/>
      <c r="Y608" s="251"/>
      <c r="Z608" s="251"/>
    </row>
    <row r="609">
      <c r="A609" s="250"/>
      <c r="B609" s="251"/>
      <c r="C609" s="251" t="s">
        <v>39</v>
      </c>
      <c r="D609" s="252" t="s">
        <v>39</v>
      </c>
      <c r="E609" s="252" t="s">
        <v>39</v>
      </c>
      <c r="F609" s="252"/>
      <c r="G609" s="251"/>
      <c r="H609" s="251"/>
      <c r="I609" s="251"/>
      <c r="J609" s="251"/>
      <c r="K609" s="251"/>
      <c r="L609" s="251"/>
      <c r="M609" s="251"/>
      <c r="N609" s="251"/>
      <c r="O609" s="251"/>
      <c r="P609" s="252"/>
      <c r="Q609" s="253"/>
      <c r="R609" s="252"/>
      <c r="S609" s="251"/>
      <c r="T609" s="251"/>
      <c r="U609" s="251"/>
      <c r="V609" s="251"/>
      <c r="W609" s="251"/>
      <c r="X609" s="251"/>
      <c r="Y609" s="251"/>
      <c r="Z609" s="251"/>
    </row>
    <row r="610">
      <c r="A610" s="250"/>
      <c r="B610" s="251"/>
      <c r="C610" s="251" t="s">
        <v>39</v>
      </c>
      <c r="D610" s="252" t="s">
        <v>39</v>
      </c>
      <c r="E610" s="252" t="s">
        <v>39</v>
      </c>
      <c r="F610" s="252"/>
      <c r="G610" s="251"/>
      <c r="H610" s="251"/>
      <c r="I610" s="251"/>
      <c r="J610" s="251"/>
      <c r="K610" s="251"/>
      <c r="L610" s="251"/>
      <c r="M610" s="251"/>
      <c r="N610" s="251"/>
      <c r="O610" s="251"/>
      <c r="P610" s="252"/>
      <c r="Q610" s="253"/>
      <c r="R610" s="252"/>
      <c r="S610" s="251"/>
      <c r="T610" s="251"/>
      <c r="U610" s="251"/>
      <c r="V610" s="251"/>
      <c r="W610" s="251"/>
      <c r="X610" s="251"/>
      <c r="Y610" s="251"/>
      <c r="Z610" s="251"/>
    </row>
    <row r="611">
      <c r="A611" s="250"/>
      <c r="B611" s="251"/>
      <c r="C611" s="251" t="s">
        <v>39</v>
      </c>
      <c r="D611" s="252" t="s">
        <v>39</v>
      </c>
      <c r="E611" s="252" t="s">
        <v>39</v>
      </c>
      <c r="F611" s="252"/>
      <c r="G611" s="251"/>
      <c r="H611" s="251"/>
      <c r="I611" s="251"/>
      <c r="J611" s="251"/>
      <c r="K611" s="251"/>
      <c r="L611" s="251"/>
      <c r="M611" s="251"/>
      <c r="N611" s="251"/>
      <c r="O611" s="251"/>
      <c r="P611" s="252"/>
      <c r="Q611" s="253"/>
      <c r="R611" s="252"/>
      <c r="S611" s="251"/>
      <c r="T611" s="251"/>
      <c r="U611" s="251"/>
      <c r="V611" s="251"/>
      <c r="W611" s="251"/>
      <c r="X611" s="251"/>
      <c r="Y611" s="251"/>
      <c r="Z611" s="251"/>
    </row>
    <row r="612">
      <c r="A612" s="250"/>
      <c r="B612" s="251"/>
      <c r="C612" s="251" t="s">
        <v>39</v>
      </c>
      <c r="D612" s="252" t="s">
        <v>39</v>
      </c>
      <c r="E612" s="252" t="s">
        <v>39</v>
      </c>
      <c r="F612" s="252"/>
      <c r="G612" s="251"/>
      <c r="H612" s="251"/>
      <c r="I612" s="251"/>
      <c r="J612" s="251"/>
      <c r="K612" s="251"/>
      <c r="L612" s="251"/>
      <c r="M612" s="251"/>
      <c r="N612" s="251"/>
      <c r="O612" s="251"/>
      <c r="P612" s="252"/>
      <c r="Q612" s="253"/>
      <c r="R612" s="252"/>
      <c r="S612" s="251"/>
      <c r="T612" s="251"/>
      <c r="U612" s="251"/>
      <c r="V612" s="251"/>
      <c r="W612" s="251"/>
      <c r="X612" s="251"/>
      <c r="Y612" s="251"/>
      <c r="Z612" s="251"/>
    </row>
    <row r="613">
      <c r="A613" s="250"/>
      <c r="B613" s="251"/>
      <c r="C613" s="251" t="s">
        <v>39</v>
      </c>
      <c r="D613" s="252" t="s">
        <v>39</v>
      </c>
      <c r="E613" s="252" t="s">
        <v>39</v>
      </c>
      <c r="F613" s="252"/>
      <c r="G613" s="251"/>
      <c r="H613" s="251"/>
      <c r="I613" s="251"/>
      <c r="J613" s="251"/>
      <c r="K613" s="251"/>
      <c r="L613" s="251"/>
      <c r="M613" s="251"/>
      <c r="N613" s="251"/>
      <c r="O613" s="251"/>
      <c r="P613" s="252"/>
      <c r="Q613" s="253"/>
      <c r="R613" s="252"/>
      <c r="S613" s="251"/>
      <c r="T613" s="251"/>
      <c r="U613" s="251"/>
      <c r="V613" s="251"/>
      <c r="W613" s="251"/>
      <c r="X613" s="251"/>
      <c r="Y613" s="251"/>
      <c r="Z613" s="251"/>
    </row>
    <row r="614">
      <c r="A614" s="250"/>
      <c r="B614" s="251"/>
      <c r="C614" s="251" t="s">
        <v>39</v>
      </c>
      <c r="D614" s="252" t="s">
        <v>39</v>
      </c>
      <c r="E614" s="252" t="s">
        <v>39</v>
      </c>
      <c r="F614" s="252"/>
      <c r="G614" s="251"/>
      <c r="H614" s="251"/>
      <c r="I614" s="251"/>
      <c r="J614" s="251"/>
      <c r="K614" s="251"/>
      <c r="L614" s="251"/>
      <c r="M614" s="251"/>
      <c r="N614" s="251"/>
      <c r="O614" s="251"/>
      <c r="P614" s="252"/>
      <c r="Q614" s="253"/>
      <c r="R614" s="252"/>
      <c r="S614" s="251"/>
      <c r="T614" s="251"/>
      <c r="U614" s="251"/>
      <c r="V614" s="251"/>
      <c r="W614" s="251"/>
      <c r="X614" s="251"/>
      <c r="Y614" s="251"/>
      <c r="Z614" s="251"/>
    </row>
    <row r="615">
      <c r="A615" s="250"/>
      <c r="B615" s="251"/>
      <c r="C615" s="251" t="s">
        <v>39</v>
      </c>
      <c r="D615" s="252" t="s">
        <v>39</v>
      </c>
      <c r="E615" s="252" t="s">
        <v>39</v>
      </c>
      <c r="F615" s="252"/>
      <c r="G615" s="251"/>
      <c r="H615" s="251"/>
      <c r="I615" s="251"/>
      <c r="J615" s="251"/>
      <c r="K615" s="251"/>
      <c r="L615" s="251"/>
      <c r="M615" s="251"/>
      <c r="N615" s="251"/>
      <c r="O615" s="251"/>
      <c r="P615" s="252"/>
      <c r="Q615" s="253"/>
      <c r="R615" s="252"/>
      <c r="S615" s="251"/>
      <c r="T615" s="251"/>
      <c r="U615" s="251"/>
      <c r="V615" s="251"/>
      <c r="W615" s="251"/>
      <c r="X615" s="251"/>
      <c r="Y615" s="251"/>
      <c r="Z615" s="251"/>
    </row>
    <row r="616">
      <c r="A616" s="250"/>
      <c r="B616" s="251"/>
      <c r="C616" s="251" t="s">
        <v>39</v>
      </c>
      <c r="D616" s="252" t="s">
        <v>39</v>
      </c>
      <c r="E616" s="252" t="s">
        <v>39</v>
      </c>
      <c r="F616" s="252"/>
      <c r="G616" s="251"/>
      <c r="H616" s="251"/>
      <c r="I616" s="251"/>
      <c r="J616" s="251"/>
      <c r="K616" s="251"/>
      <c r="L616" s="251"/>
      <c r="M616" s="251"/>
      <c r="N616" s="251"/>
      <c r="O616" s="251"/>
      <c r="P616" s="252"/>
      <c r="Q616" s="253"/>
      <c r="R616" s="252"/>
      <c r="S616" s="251"/>
      <c r="T616" s="251"/>
      <c r="U616" s="251"/>
      <c r="V616" s="251"/>
      <c r="W616" s="251"/>
      <c r="X616" s="251"/>
      <c r="Y616" s="251"/>
      <c r="Z616" s="251"/>
    </row>
    <row r="617">
      <c r="A617" s="250"/>
      <c r="B617" s="251"/>
      <c r="C617" s="251" t="s">
        <v>39</v>
      </c>
      <c r="D617" s="252" t="s">
        <v>39</v>
      </c>
      <c r="E617" s="252" t="s">
        <v>39</v>
      </c>
      <c r="F617" s="252"/>
      <c r="G617" s="251"/>
      <c r="H617" s="251"/>
      <c r="I617" s="251"/>
      <c r="J617" s="251"/>
      <c r="K617" s="251"/>
      <c r="L617" s="251"/>
      <c r="M617" s="251"/>
      <c r="N617" s="251"/>
      <c r="O617" s="251"/>
      <c r="P617" s="252"/>
      <c r="Q617" s="253"/>
      <c r="R617" s="252"/>
      <c r="S617" s="251"/>
      <c r="T617" s="251"/>
      <c r="U617" s="251"/>
      <c r="V617" s="251"/>
      <c r="W617" s="251"/>
      <c r="X617" s="251"/>
      <c r="Y617" s="251"/>
      <c r="Z617" s="251"/>
    </row>
    <row r="618">
      <c r="A618" s="250"/>
      <c r="B618" s="251"/>
      <c r="C618" s="251" t="s">
        <v>39</v>
      </c>
      <c r="D618" s="252" t="s">
        <v>39</v>
      </c>
      <c r="E618" s="252" t="s">
        <v>39</v>
      </c>
      <c r="F618" s="252"/>
      <c r="G618" s="251"/>
      <c r="H618" s="251"/>
      <c r="I618" s="251"/>
      <c r="J618" s="251"/>
      <c r="K618" s="251"/>
      <c r="L618" s="251"/>
      <c r="M618" s="251"/>
      <c r="N618" s="251"/>
      <c r="O618" s="251"/>
      <c r="P618" s="252"/>
      <c r="Q618" s="253"/>
      <c r="R618" s="252"/>
      <c r="S618" s="251"/>
      <c r="T618" s="251"/>
      <c r="U618" s="251"/>
      <c r="V618" s="251"/>
      <c r="W618" s="251"/>
      <c r="X618" s="251"/>
      <c r="Y618" s="251"/>
      <c r="Z618" s="251"/>
    </row>
    <row r="619">
      <c r="A619" s="250"/>
      <c r="B619" s="251"/>
      <c r="C619" s="251" t="s">
        <v>39</v>
      </c>
      <c r="D619" s="252" t="s">
        <v>39</v>
      </c>
      <c r="E619" s="252" t="s">
        <v>39</v>
      </c>
      <c r="F619" s="252"/>
      <c r="G619" s="251"/>
      <c r="H619" s="251"/>
      <c r="I619" s="251"/>
      <c r="J619" s="251"/>
      <c r="K619" s="251"/>
      <c r="L619" s="251"/>
      <c r="M619" s="251"/>
      <c r="N619" s="251"/>
      <c r="O619" s="251"/>
      <c r="P619" s="252"/>
      <c r="Q619" s="253"/>
      <c r="R619" s="252"/>
      <c r="S619" s="251"/>
      <c r="T619" s="251"/>
      <c r="U619" s="251"/>
      <c r="V619" s="251"/>
      <c r="W619" s="251"/>
      <c r="X619" s="251"/>
      <c r="Y619" s="251"/>
      <c r="Z619" s="251"/>
    </row>
    <row r="620">
      <c r="A620" s="250"/>
      <c r="B620" s="251"/>
      <c r="C620" s="251" t="s">
        <v>39</v>
      </c>
      <c r="D620" s="252" t="s">
        <v>39</v>
      </c>
      <c r="E620" s="252" t="s">
        <v>39</v>
      </c>
      <c r="F620" s="252"/>
      <c r="G620" s="251"/>
      <c r="H620" s="251"/>
      <c r="I620" s="251"/>
      <c r="J620" s="251"/>
      <c r="K620" s="251"/>
      <c r="L620" s="251"/>
      <c r="M620" s="251"/>
      <c r="N620" s="251"/>
      <c r="O620" s="251"/>
      <c r="P620" s="252"/>
      <c r="Q620" s="253"/>
      <c r="R620" s="252"/>
      <c r="S620" s="251"/>
      <c r="T620" s="251"/>
      <c r="U620" s="251"/>
      <c r="V620" s="251"/>
      <c r="W620" s="251"/>
      <c r="X620" s="251"/>
      <c r="Y620" s="251"/>
      <c r="Z620" s="251"/>
    </row>
    <row r="621">
      <c r="A621" s="250"/>
      <c r="B621" s="251"/>
      <c r="C621" s="251" t="s">
        <v>39</v>
      </c>
      <c r="D621" s="252" t="s">
        <v>39</v>
      </c>
      <c r="E621" s="252" t="s">
        <v>39</v>
      </c>
      <c r="F621" s="252"/>
      <c r="G621" s="251"/>
      <c r="H621" s="251"/>
      <c r="I621" s="251"/>
      <c r="J621" s="251"/>
      <c r="K621" s="251"/>
      <c r="L621" s="251"/>
      <c r="M621" s="251"/>
      <c r="N621" s="251"/>
      <c r="O621" s="251"/>
      <c r="P621" s="252"/>
      <c r="Q621" s="253"/>
      <c r="R621" s="252"/>
      <c r="S621" s="251"/>
      <c r="T621" s="251"/>
      <c r="U621" s="251"/>
      <c r="V621" s="251"/>
      <c r="W621" s="251"/>
      <c r="X621" s="251"/>
      <c r="Y621" s="251"/>
      <c r="Z621" s="251"/>
    </row>
    <row r="622">
      <c r="A622" s="250"/>
      <c r="B622" s="251"/>
      <c r="C622" s="251" t="s">
        <v>39</v>
      </c>
      <c r="D622" s="252" t="s">
        <v>39</v>
      </c>
      <c r="E622" s="252" t="s">
        <v>39</v>
      </c>
      <c r="F622" s="252"/>
      <c r="G622" s="251"/>
      <c r="H622" s="251"/>
      <c r="I622" s="251"/>
      <c r="J622" s="251"/>
      <c r="K622" s="251"/>
      <c r="L622" s="251"/>
      <c r="M622" s="251"/>
      <c r="N622" s="251"/>
      <c r="O622" s="251"/>
      <c r="P622" s="252"/>
      <c r="Q622" s="253"/>
      <c r="R622" s="252"/>
      <c r="S622" s="251"/>
      <c r="T622" s="251"/>
      <c r="U622" s="251"/>
      <c r="V622" s="251"/>
      <c r="W622" s="251"/>
      <c r="X622" s="251"/>
      <c r="Y622" s="251"/>
      <c r="Z622" s="251"/>
    </row>
    <row r="623">
      <c r="A623" s="250"/>
      <c r="B623" s="251"/>
      <c r="C623" s="251" t="s">
        <v>39</v>
      </c>
      <c r="D623" s="252" t="s">
        <v>39</v>
      </c>
      <c r="E623" s="252" t="s">
        <v>39</v>
      </c>
      <c r="F623" s="252"/>
      <c r="G623" s="251"/>
      <c r="H623" s="251"/>
      <c r="I623" s="251"/>
      <c r="J623" s="251"/>
      <c r="K623" s="251"/>
      <c r="L623" s="251"/>
      <c r="M623" s="251"/>
      <c r="N623" s="251"/>
      <c r="O623" s="251"/>
      <c r="P623" s="252"/>
      <c r="Q623" s="253"/>
      <c r="R623" s="252"/>
      <c r="S623" s="251"/>
      <c r="T623" s="251"/>
      <c r="U623" s="251"/>
      <c r="V623" s="251"/>
      <c r="W623" s="251"/>
      <c r="X623" s="251"/>
      <c r="Y623" s="251"/>
      <c r="Z623" s="251"/>
    </row>
    <row r="624">
      <c r="A624" s="250"/>
      <c r="B624" s="251"/>
      <c r="C624" s="251" t="s">
        <v>39</v>
      </c>
      <c r="D624" s="252" t="s">
        <v>39</v>
      </c>
      <c r="E624" s="252" t="s">
        <v>39</v>
      </c>
      <c r="F624" s="252"/>
      <c r="G624" s="251"/>
      <c r="H624" s="251"/>
      <c r="I624" s="251"/>
      <c r="J624" s="251"/>
      <c r="K624" s="251"/>
      <c r="L624" s="251"/>
      <c r="M624" s="251"/>
      <c r="N624" s="251"/>
      <c r="O624" s="251"/>
      <c r="P624" s="252"/>
      <c r="Q624" s="253"/>
      <c r="R624" s="252"/>
      <c r="S624" s="251"/>
      <c r="T624" s="251"/>
      <c r="U624" s="251"/>
      <c r="V624" s="251"/>
      <c r="W624" s="251"/>
      <c r="X624" s="251"/>
      <c r="Y624" s="251"/>
      <c r="Z624" s="251"/>
    </row>
    <row r="625">
      <c r="A625" s="250"/>
      <c r="B625" s="251"/>
      <c r="C625" s="251" t="s">
        <v>39</v>
      </c>
      <c r="D625" s="252" t="s">
        <v>39</v>
      </c>
      <c r="E625" s="252" t="s">
        <v>39</v>
      </c>
      <c r="F625" s="252"/>
      <c r="G625" s="251"/>
      <c r="H625" s="251"/>
      <c r="I625" s="251"/>
      <c r="J625" s="251"/>
      <c r="K625" s="251"/>
      <c r="L625" s="251"/>
      <c r="M625" s="251"/>
      <c r="N625" s="251"/>
      <c r="O625" s="251"/>
      <c r="P625" s="252"/>
      <c r="Q625" s="253"/>
      <c r="R625" s="252"/>
      <c r="S625" s="251"/>
      <c r="T625" s="251"/>
      <c r="U625" s="251"/>
      <c r="V625" s="251"/>
      <c r="W625" s="251"/>
      <c r="X625" s="251"/>
      <c r="Y625" s="251"/>
      <c r="Z625" s="251"/>
    </row>
    <row r="626">
      <c r="A626" s="250"/>
      <c r="B626" s="251"/>
      <c r="C626" s="251" t="s">
        <v>39</v>
      </c>
      <c r="D626" s="252" t="s">
        <v>39</v>
      </c>
      <c r="E626" s="252" t="s">
        <v>39</v>
      </c>
      <c r="F626" s="252"/>
      <c r="G626" s="251"/>
      <c r="H626" s="251"/>
      <c r="I626" s="251"/>
      <c r="J626" s="251"/>
      <c r="K626" s="251"/>
      <c r="L626" s="251"/>
      <c r="M626" s="251"/>
      <c r="N626" s="251"/>
      <c r="O626" s="251"/>
      <c r="P626" s="252"/>
      <c r="Q626" s="253"/>
      <c r="R626" s="252"/>
      <c r="S626" s="251"/>
      <c r="T626" s="251"/>
      <c r="U626" s="251"/>
      <c r="V626" s="251"/>
      <c r="W626" s="251"/>
      <c r="X626" s="251"/>
      <c r="Y626" s="251"/>
      <c r="Z626" s="251"/>
    </row>
    <row r="627">
      <c r="A627" s="250"/>
      <c r="B627" s="251"/>
      <c r="C627" s="251" t="s">
        <v>39</v>
      </c>
      <c r="D627" s="252" t="s">
        <v>39</v>
      </c>
      <c r="E627" s="252" t="s">
        <v>39</v>
      </c>
      <c r="F627" s="252"/>
      <c r="G627" s="251"/>
      <c r="H627" s="251"/>
      <c r="I627" s="251"/>
      <c r="J627" s="251"/>
      <c r="K627" s="251"/>
      <c r="L627" s="251"/>
      <c r="M627" s="251"/>
      <c r="N627" s="251"/>
      <c r="O627" s="251"/>
      <c r="P627" s="252"/>
      <c r="Q627" s="253"/>
      <c r="R627" s="252"/>
      <c r="S627" s="251"/>
      <c r="T627" s="251"/>
      <c r="U627" s="251"/>
      <c r="V627" s="251"/>
      <c r="W627" s="251"/>
      <c r="X627" s="251"/>
      <c r="Y627" s="251"/>
      <c r="Z627" s="251"/>
    </row>
    <row r="628">
      <c r="A628" s="250"/>
      <c r="B628" s="251"/>
      <c r="C628" s="251" t="s">
        <v>39</v>
      </c>
      <c r="D628" s="252" t="s">
        <v>39</v>
      </c>
      <c r="E628" s="252" t="s">
        <v>39</v>
      </c>
      <c r="F628" s="252"/>
      <c r="G628" s="251"/>
      <c r="H628" s="251"/>
      <c r="I628" s="251"/>
      <c r="J628" s="251"/>
      <c r="K628" s="251"/>
      <c r="L628" s="251"/>
      <c r="M628" s="251"/>
      <c r="N628" s="251"/>
      <c r="O628" s="251"/>
      <c r="P628" s="252"/>
      <c r="Q628" s="253"/>
      <c r="R628" s="252"/>
      <c r="S628" s="251"/>
      <c r="T628" s="251"/>
      <c r="U628" s="251"/>
      <c r="V628" s="251"/>
      <c r="W628" s="251"/>
      <c r="X628" s="251"/>
      <c r="Y628" s="251"/>
      <c r="Z628" s="251"/>
    </row>
    <row r="629">
      <c r="A629" s="250"/>
      <c r="B629" s="251"/>
      <c r="C629" s="251" t="s">
        <v>39</v>
      </c>
      <c r="D629" s="252" t="s">
        <v>39</v>
      </c>
      <c r="E629" s="252" t="s">
        <v>39</v>
      </c>
      <c r="F629" s="252"/>
      <c r="G629" s="251"/>
      <c r="H629" s="251"/>
      <c r="I629" s="251"/>
      <c r="J629" s="251"/>
      <c r="K629" s="251"/>
      <c r="L629" s="251"/>
      <c r="M629" s="251"/>
      <c r="N629" s="251"/>
      <c r="O629" s="251"/>
      <c r="P629" s="252"/>
      <c r="Q629" s="253"/>
      <c r="R629" s="252"/>
      <c r="S629" s="251"/>
      <c r="T629" s="251"/>
      <c r="U629" s="251"/>
      <c r="V629" s="251"/>
      <c r="W629" s="251"/>
      <c r="X629" s="251"/>
      <c r="Y629" s="251"/>
      <c r="Z629" s="251"/>
    </row>
    <row r="630">
      <c r="A630" s="250"/>
      <c r="B630" s="251"/>
      <c r="C630" s="251" t="s">
        <v>39</v>
      </c>
      <c r="D630" s="252" t="s">
        <v>39</v>
      </c>
      <c r="E630" s="252" t="s">
        <v>39</v>
      </c>
      <c r="F630" s="252"/>
      <c r="G630" s="251"/>
      <c r="H630" s="251"/>
      <c r="I630" s="251"/>
      <c r="J630" s="251"/>
      <c r="K630" s="251"/>
      <c r="L630" s="251"/>
      <c r="M630" s="251"/>
      <c r="N630" s="251"/>
      <c r="O630" s="251"/>
      <c r="P630" s="252"/>
      <c r="Q630" s="253"/>
      <c r="R630" s="252"/>
      <c r="S630" s="251"/>
      <c r="T630" s="251"/>
      <c r="U630" s="251"/>
      <c r="V630" s="251"/>
      <c r="W630" s="251"/>
      <c r="X630" s="251"/>
      <c r="Y630" s="251"/>
      <c r="Z630" s="251"/>
    </row>
    <row r="631">
      <c r="A631" s="250"/>
      <c r="B631" s="251"/>
      <c r="C631" s="251" t="s">
        <v>39</v>
      </c>
      <c r="D631" s="252" t="s">
        <v>39</v>
      </c>
      <c r="E631" s="252" t="s">
        <v>39</v>
      </c>
      <c r="F631" s="252"/>
      <c r="G631" s="251"/>
      <c r="H631" s="251"/>
      <c r="I631" s="251"/>
      <c r="J631" s="251"/>
      <c r="K631" s="251"/>
      <c r="L631" s="251"/>
      <c r="M631" s="251"/>
      <c r="N631" s="251"/>
      <c r="O631" s="251"/>
      <c r="P631" s="252"/>
      <c r="Q631" s="253"/>
      <c r="R631" s="252"/>
      <c r="S631" s="251"/>
      <c r="T631" s="251"/>
      <c r="U631" s="251"/>
      <c r="V631" s="251"/>
      <c r="W631" s="251"/>
      <c r="X631" s="251"/>
      <c r="Y631" s="251"/>
      <c r="Z631" s="251"/>
    </row>
    <row r="632">
      <c r="A632" s="250"/>
      <c r="B632" s="251"/>
      <c r="C632" s="251" t="s">
        <v>39</v>
      </c>
      <c r="D632" s="252" t="s">
        <v>39</v>
      </c>
      <c r="E632" s="252" t="s">
        <v>39</v>
      </c>
      <c r="F632" s="252"/>
      <c r="G632" s="251"/>
      <c r="H632" s="251"/>
      <c r="I632" s="251"/>
      <c r="J632" s="251"/>
      <c r="K632" s="251"/>
      <c r="L632" s="251"/>
      <c r="M632" s="251"/>
      <c r="N632" s="251"/>
      <c r="O632" s="251"/>
      <c r="P632" s="252"/>
      <c r="Q632" s="253"/>
      <c r="R632" s="252"/>
      <c r="S632" s="251"/>
      <c r="T632" s="251"/>
      <c r="U632" s="251"/>
      <c r="V632" s="251"/>
      <c r="W632" s="251"/>
      <c r="X632" s="251"/>
      <c r="Y632" s="251"/>
      <c r="Z632" s="251"/>
    </row>
    <row r="633">
      <c r="A633" s="250"/>
      <c r="B633" s="251"/>
      <c r="C633" s="251" t="s">
        <v>39</v>
      </c>
      <c r="D633" s="252" t="s">
        <v>39</v>
      </c>
      <c r="E633" s="252" t="s">
        <v>39</v>
      </c>
      <c r="F633" s="252"/>
      <c r="G633" s="251"/>
      <c r="H633" s="251"/>
      <c r="I633" s="251"/>
      <c r="J633" s="251"/>
      <c r="K633" s="251"/>
      <c r="L633" s="251"/>
      <c r="M633" s="251"/>
      <c r="N633" s="251"/>
      <c r="O633" s="251"/>
      <c r="P633" s="252"/>
      <c r="Q633" s="253"/>
      <c r="R633" s="252"/>
      <c r="S633" s="251"/>
      <c r="T633" s="251"/>
      <c r="U633" s="251"/>
      <c r="V633" s="251"/>
      <c r="W633" s="251"/>
      <c r="X633" s="251"/>
      <c r="Y633" s="251"/>
      <c r="Z633" s="251"/>
    </row>
    <row r="634">
      <c r="A634" s="250"/>
      <c r="B634" s="251"/>
      <c r="C634" s="251" t="s">
        <v>39</v>
      </c>
      <c r="D634" s="252" t="s">
        <v>39</v>
      </c>
      <c r="E634" s="252" t="s">
        <v>39</v>
      </c>
      <c r="F634" s="252"/>
      <c r="G634" s="251"/>
      <c r="H634" s="251"/>
      <c r="I634" s="251"/>
      <c r="J634" s="251"/>
      <c r="K634" s="251"/>
      <c r="L634" s="251"/>
      <c r="M634" s="251"/>
      <c r="N634" s="251"/>
      <c r="O634" s="251"/>
      <c r="P634" s="252"/>
      <c r="Q634" s="253"/>
      <c r="R634" s="252"/>
      <c r="S634" s="251"/>
      <c r="T634" s="251"/>
      <c r="U634" s="251"/>
      <c r="V634" s="251"/>
      <c r="W634" s="251"/>
      <c r="X634" s="251"/>
      <c r="Y634" s="251"/>
      <c r="Z634" s="251"/>
    </row>
    <row r="635">
      <c r="A635" s="250"/>
      <c r="B635" s="251"/>
      <c r="C635" s="251" t="s">
        <v>39</v>
      </c>
      <c r="D635" s="252" t="s">
        <v>39</v>
      </c>
      <c r="E635" s="252" t="s">
        <v>39</v>
      </c>
      <c r="F635" s="252"/>
      <c r="G635" s="251"/>
      <c r="H635" s="251"/>
      <c r="I635" s="251"/>
      <c r="J635" s="251"/>
      <c r="K635" s="251"/>
      <c r="L635" s="251"/>
      <c r="M635" s="251"/>
      <c r="N635" s="251"/>
      <c r="O635" s="251"/>
      <c r="P635" s="252"/>
      <c r="Q635" s="253"/>
      <c r="R635" s="252"/>
      <c r="S635" s="251"/>
      <c r="T635" s="251"/>
      <c r="U635" s="251"/>
      <c r="V635" s="251"/>
      <c r="W635" s="251"/>
      <c r="X635" s="251"/>
      <c r="Y635" s="251"/>
      <c r="Z635" s="251"/>
    </row>
    <row r="636">
      <c r="A636" s="250"/>
      <c r="B636" s="251"/>
      <c r="C636" s="251" t="s">
        <v>39</v>
      </c>
      <c r="D636" s="252" t="s">
        <v>39</v>
      </c>
      <c r="E636" s="252" t="s">
        <v>39</v>
      </c>
      <c r="F636" s="252"/>
      <c r="G636" s="251"/>
      <c r="H636" s="251"/>
      <c r="I636" s="251"/>
      <c r="J636" s="251"/>
      <c r="K636" s="251"/>
      <c r="L636" s="251"/>
      <c r="M636" s="251"/>
      <c r="N636" s="251"/>
      <c r="O636" s="251"/>
      <c r="P636" s="252"/>
      <c r="Q636" s="253"/>
      <c r="R636" s="252"/>
      <c r="S636" s="251"/>
      <c r="T636" s="251"/>
      <c r="U636" s="251"/>
      <c r="V636" s="251"/>
      <c r="W636" s="251"/>
      <c r="X636" s="251"/>
      <c r="Y636" s="251"/>
      <c r="Z636" s="251"/>
    </row>
    <row r="637">
      <c r="A637" s="250"/>
      <c r="B637" s="251"/>
      <c r="C637" s="251" t="s">
        <v>39</v>
      </c>
      <c r="D637" s="252" t="s">
        <v>39</v>
      </c>
      <c r="E637" s="252" t="s">
        <v>39</v>
      </c>
      <c r="F637" s="252"/>
      <c r="G637" s="251"/>
      <c r="H637" s="251"/>
      <c r="I637" s="251"/>
      <c r="J637" s="251"/>
      <c r="K637" s="251"/>
      <c r="L637" s="251"/>
      <c r="M637" s="251"/>
      <c r="N637" s="251"/>
      <c r="O637" s="251"/>
      <c r="P637" s="252"/>
      <c r="Q637" s="253"/>
      <c r="R637" s="252"/>
      <c r="S637" s="251"/>
      <c r="T637" s="251"/>
      <c r="U637" s="251"/>
      <c r="V637" s="251"/>
      <c r="W637" s="251"/>
      <c r="X637" s="251"/>
      <c r="Y637" s="251"/>
      <c r="Z637" s="251"/>
    </row>
    <row r="638">
      <c r="A638" s="250"/>
      <c r="B638" s="251"/>
      <c r="C638" s="251" t="s">
        <v>39</v>
      </c>
      <c r="D638" s="252" t="s">
        <v>39</v>
      </c>
      <c r="E638" s="252" t="s">
        <v>39</v>
      </c>
      <c r="F638" s="252"/>
      <c r="G638" s="251"/>
      <c r="H638" s="251"/>
      <c r="I638" s="251"/>
      <c r="J638" s="251"/>
      <c r="K638" s="251"/>
      <c r="L638" s="251"/>
      <c r="M638" s="251"/>
      <c r="N638" s="251"/>
      <c r="O638" s="251"/>
      <c r="P638" s="252"/>
      <c r="Q638" s="253"/>
      <c r="R638" s="252"/>
      <c r="S638" s="251"/>
      <c r="T638" s="251"/>
      <c r="U638" s="251"/>
      <c r="V638" s="251"/>
      <c r="W638" s="251"/>
      <c r="X638" s="251"/>
      <c r="Y638" s="251"/>
      <c r="Z638" s="251"/>
    </row>
    <row r="639">
      <c r="A639" s="250"/>
      <c r="B639" s="251"/>
      <c r="C639" s="251" t="s">
        <v>39</v>
      </c>
      <c r="D639" s="252" t="s">
        <v>39</v>
      </c>
      <c r="E639" s="252" t="s">
        <v>39</v>
      </c>
      <c r="F639" s="252"/>
      <c r="G639" s="251"/>
      <c r="H639" s="251"/>
      <c r="I639" s="251"/>
      <c r="J639" s="251"/>
      <c r="K639" s="251"/>
      <c r="L639" s="251"/>
      <c r="M639" s="251"/>
      <c r="N639" s="251"/>
      <c r="O639" s="251"/>
      <c r="P639" s="252"/>
      <c r="Q639" s="253"/>
      <c r="R639" s="252"/>
      <c r="S639" s="251"/>
      <c r="T639" s="251"/>
      <c r="U639" s="251"/>
      <c r="V639" s="251"/>
      <c r="W639" s="251"/>
      <c r="X639" s="251"/>
      <c r="Y639" s="251"/>
      <c r="Z639" s="251"/>
    </row>
    <row r="640">
      <c r="A640" s="250"/>
      <c r="B640" s="251"/>
      <c r="C640" s="251" t="s">
        <v>39</v>
      </c>
      <c r="D640" s="252" t="s">
        <v>39</v>
      </c>
      <c r="E640" s="252" t="s">
        <v>39</v>
      </c>
      <c r="F640" s="252"/>
      <c r="G640" s="251"/>
      <c r="H640" s="251"/>
      <c r="I640" s="251"/>
      <c r="J640" s="251"/>
      <c r="K640" s="251"/>
      <c r="L640" s="251"/>
      <c r="M640" s="251"/>
      <c r="N640" s="251"/>
      <c r="O640" s="251"/>
      <c r="P640" s="252"/>
      <c r="Q640" s="253"/>
      <c r="R640" s="252"/>
      <c r="S640" s="251"/>
      <c r="T640" s="251"/>
      <c r="U640" s="251"/>
      <c r="V640" s="251"/>
      <c r="W640" s="251"/>
      <c r="X640" s="251"/>
      <c r="Y640" s="251"/>
      <c r="Z640" s="251"/>
    </row>
    <row r="641">
      <c r="A641" s="250"/>
      <c r="B641" s="251"/>
      <c r="C641" s="251" t="s">
        <v>39</v>
      </c>
      <c r="D641" s="252" t="s">
        <v>39</v>
      </c>
      <c r="E641" s="252" t="s">
        <v>39</v>
      </c>
      <c r="F641" s="252"/>
      <c r="G641" s="251"/>
      <c r="H641" s="251"/>
      <c r="I641" s="251"/>
      <c r="J641" s="251"/>
      <c r="K641" s="251"/>
      <c r="L641" s="251"/>
      <c r="M641" s="251"/>
      <c r="N641" s="251"/>
      <c r="O641" s="251"/>
      <c r="P641" s="252"/>
      <c r="Q641" s="253"/>
      <c r="R641" s="252"/>
      <c r="S641" s="251"/>
      <c r="T641" s="251"/>
      <c r="U641" s="251"/>
      <c r="V641" s="251"/>
      <c r="W641" s="251"/>
      <c r="X641" s="251"/>
      <c r="Y641" s="251"/>
      <c r="Z641" s="251"/>
    </row>
    <row r="642">
      <c r="A642" s="250"/>
      <c r="B642" s="251"/>
      <c r="C642" s="251" t="s">
        <v>39</v>
      </c>
      <c r="D642" s="252" t="s">
        <v>39</v>
      </c>
      <c r="E642" s="252" t="s">
        <v>39</v>
      </c>
      <c r="F642" s="252"/>
      <c r="G642" s="251"/>
      <c r="H642" s="251"/>
      <c r="I642" s="251"/>
      <c r="J642" s="251"/>
      <c r="K642" s="251"/>
      <c r="L642" s="251"/>
      <c r="M642" s="251"/>
      <c r="N642" s="251"/>
      <c r="O642" s="251"/>
      <c r="P642" s="252"/>
      <c r="Q642" s="253"/>
      <c r="R642" s="252"/>
      <c r="S642" s="251"/>
      <c r="T642" s="251"/>
      <c r="U642" s="251"/>
      <c r="V642" s="251"/>
      <c r="W642" s="251"/>
      <c r="X642" s="251"/>
      <c r="Y642" s="251"/>
      <c r="Z642" s="251"/>
    </row>
    <row r="643">
      <c r="A643" s="250"/>
      <c r="B643" s="251"/>
      <c r="C643" s="251" t="s">
        <v>39</v>
      </c>
      <c r="D643" s="252" t="s">
        <v>39</v>
      </c>
      <c r="E643" s="252" t="s">
        <v>39</v>
      </c>
      <c r="F643" s="252"/>
      <c r="G643" s="251"/>
      <c r="H643" s="251"/>
      <c r="I643" s="251"/>
      <c r="J643" s="251"/>
      <c r="K643" s="251"/>
      <c r="L643" s="251"/>
      <c r="M643" s="251"/>
      <c r="N643" s="251"/>
      <c r="O643" s="251"/>
      <c r="P643" s="252"/>
      <c r="Q643" s="253"/>
      <c r="R643" s="252"/>
      <c r="S643" s="251"/>
      <c r="T643" s="251"/>
      <c r="U643" s="251"/>
      <c r="V643" s="251"/>
      <c r="W643" s="251"/>
      <c r="X643" s="251"/>
      <c r="Y643" s="251"/>
      <c r="Z643" s="251"/>
    </row>
    <row r="644">
      <c r="A644" s="250"/>
      <c r="B644" s="251"/>
      <c r="C644" s="251" t="s">
        <v>39</v>
      </c>
      <c r="D644" s="252" t="s">
        <v>39</v>
      </c>
      <c r="E644" s="252" t="s">
        <v>39</v>
      </c>
      <c r="F644" s="252"/>
      <c r="G644" s="251"/>
      <c r="H644" s="251"/>
      <c r="I644" s="251"/>
      <c r="J644" s="251"/>
      <c r="K644" s="251"/>
      <c r="L644" s="251"/>
      <c r="M644" s="251"/>
      <c r="N644" s="251"/>
      <c r="O644" s="251"/>
      <c r="P644" s="252"/>
      <c r="Q644" s="253"/>
      <c r="R644" s="252"/>
      <c r="S644" s="251"/>
      <c r="T644" s="251"/>
      <c r="U644" s="251"/>
      <c r="V644" s="251"/>
      <c r="W644" s="251"/>
      <c r="X644" s="251"/>
      <c r="Y644" s="251"/>
      <c r="Z644" s="251"/>
    </row>
    <row r="645">
      <c r="A645" s="250"/>
      <c r="B645" s="251"/>
      <c r="C645" s="251" t="s">
        <v>39</v>
      </c>
      <c r="D645" s="252" t="s">
        <v>39</v>
      </c>
      <c r="E645" s="252" t="s">
        <v>39</v>
      </c>
      <c r="F645" s="252"/>
      <c r="G645" s="251"/>
      <c r="H645" s="251"/>
      <c r="I645" s="251"/>
      <c r="J645" s="251"/>
      <c r="K645" s="251"/>
      <c r="L645" s="251"/>
      <c r="M645" s="251"/>
      <c r="N645" s="251"/>
      <c r="O645" s="251"/>
      <c r="P645" s="252"/>
      <c r="Q645" s="253"/>
      <c r="R645" s="252"/>
      <c r="S645" s="251"/>
      <c r="T645" s="251"/>
      <c r="U645" s="251"/>
      <c r="V645" s="251"/>
      <c r="W645" s="251"/>
      <c r="X645" s="251"/>
      <c r="Y645" s="251"/>
      <c r="Z645" s="251"/>
    </row>
    <row r="646">
      <c r="A646" s="250"/>
      <c r="B646" s="251"/>
      <c r="C646" s="251" t="s">
        <v>39</v>
      </c>
      <c r="D646" s="252" t="s">
        <v>39</v>
      </c>
      <c r="E646" s="252" t="s">
        <v>39</v>
      </c>
      <c r="F646" s="252"/>
      <c r="G646" s="251"/>
      <c r="H646" s="251"/>
      <c r="I646" s="251"/>
      <c r="J646" s="251"/>
      <c r="K646" s="251"/>
      <c r="L646" s="251"/>
      <c r="M646" s="251"/>
      <c r="N646" s="251"/>
      <c r="O646" s="251"/>
      <c r="P646" s="252"/>
      <c r="Q646" s="253"/>
      <c r="R646" s="252"/>
      <c r="S646" s="251"/>
      <c r="T646" s="251"/>
      <c r="U646" s="251"/>
      <c r="V646" s="251"/>
      <c r="W646" s="251"/>
      <c r="X646" s="251"/>
      <c r="Y646" s="251"/>
      <c r="Z646" s="251"/>
    </row>
    <row r="647">
      <c r="A647" s="250"/>
      <c r="B647" s="251"/>
      <c r="C647" s="251" t="s">
        <v>39</v>
      </c>
      <c r="D647" s="252" t="s">
        <v>39</v>
      </c>
      <c r="E647" s="252" t="s">
        <v>39</v>
      </c>
      <c r="F647" s="252"/>
      <c r="G647" s="251"/>
      <c r="H647" s="251"/>
      <c r="I647" s="251"/>
      <c r="J647" s="251"/>
      <c r="K647" s="251"/>
      <c r="L647" s="251"/>
      <c r="M647" s="251"/>
      <c r="N647" s="251"/>
      <c r="O647" s="251"/>
      <c r="P647" s="252"/>
      <c r="Q647" s="253"/>
      <c r="R647" s="252"/>
      <c r="S647" s="251"/>
      <c r="T647" s="251"/>
      <c r="U647" s="251"/>
      <c r="V647" s="251"/>
      <c r="W647" s="251"/>
      <c r="X647" s="251"/>
      <c r="Y647" s="251"/>
      <c r="Z647" s="251"/>
    </row>
    <row r="648">
      <c r="A648" s="250"/>
      <c r="B648" s="251"/>
      <c r="C648" s="251" t="s">
        <v>39</v>
      </c>
      <c r="D648" s="252" t="s">
        <v>39</v>
      </c>
      <c r="E648" s="252" t="s">
        <v>39</v>
      </c>
      <c r="F648" s="252"/>
      <c r="G648" s="251"/>
      <c r="H648" s="251"/>
      <c r="I648" s="251"/>
      <c r="J648" s="251"/>
      <c r="K648" s="251"/>
      <c r="L648" s="251"/>
      <c r="M648" s="251"/>
      <c r="N648" s="251"/>
      <c r="O648" s="251"/>
      <c r="P648" s="252"/>
      <c r="Q648" s="253"/>
      <c r="R648" s="252"/>
      <c r="S648" s="251"/>
      <c r="T648" s="251"/>
      <c r="U648" s="251"/>
      <c r="V648" s="251"/>
      <c r="W648" s="251"/>
      <c r="X648" s="251"/>
      <c r="Y648" s="251"/>
      <c r="Z648" s="251"/>
    </row>
    <row r="649">
      <c r="A649" s="250"/>
      <c r="B649" s="251"/>
      <c r="C649" s="251" t="s">
        <v>39</v>
      </c>
      <c r="D649" s="252" t="s">
        <v>39</v>
      </c>
      <c r="E649" s="252" t="s">
        <v>39</v>
      </c>
      <c r="F649" s="252"/>
      <c r="G649" s="251"/>
      <c r="H649" s="251"/>
      <c r="I649" s="251"/>
      <c r="J649" s="251"/>
      <c r="K649" s="251"/>
      <c r="L649" s="251"/>
      <c r="M649" s="251"/>
      <c r="N649" s="251"/>
      <c r="O649" s="251"/>
      <c r="P649" s="252"/>
      <c r="Q649" s="253"/>
      <c r="R649" s="252"/>
      <c r="S649" s="251"/>
      <c r="T649" s="251"/>
      <c r="U649" s="251"/>
      <c r="V649" s="251"/>
      <c r="W649" s="251"/>
      <c r="X649" s="251"/>
      <c r="Y649" s="251"/>
      <c r="Z649" s="251"/>
    </row>
    <row r="650">
      <c r="A650" s="250"/>
      <c r="B650" s="251"/>
      <c r="C650" s="251" t="s">
        <v>39</v>
      </c>
      <c r="D650" s="252" t="s">
        <v>39</v>
      </c>
      <c r="E650" s="252" t="s">
        <v>39</v>
      </c>
      <c r="F650" s="252"/>
      <c r="G650" s="251"/>
      <c r="H650" s="251"/>
      <c r="I650" s="251"/>
      <c r="J650" s="251"/>
      <c r="K650" s="251"/>
      <c r="L650" s="251"/>
      <c r="M650" s="251"/>
      <c r="N650" s="251"/>
      <c r="O650" s="251"/>
      <c r="P650" s="252"/>
      <c r="Q650" s="253"/>
      <c r="R650" s="252"/>
      <c r="S650" s="251"/>
      <c r="T650" s="251"/>
      <c r="U650" s="251"/>
      <c r="V650" s="251"/>
      <c r="W650" s="251"/>
      <c r="X650" s="251"/>
      <c r="Y650" s="251"/>
      <c r="Z650" s="251"/>
    </row>
    <row r="651">
      <c r="A651" s="250"/>
      <c r="B651" s="251"/>
      <c r="C651" s="251" t="s">
        <v>39</v>
      </c>
      <c r="D651" s="252" t="s">
        <v>39</v>
      </c>
      <c r="E651" s="252" t="s">
        <v>39</v>
      </c>
      <c r="F651" s="252"/>
      <c r="G651" s="251"/>
      <c r="H651" s="251"/>
      <c r="I651" s="251"/>
      <c r="J651" s="251"/>
      <c r="K651" s="251"/>
      <c r="L651" s="251"/>
      <c r="M651" s="251"/>
      <c r="N651" s="251"/>
      <c r="O651" s="251"/>
      <c r="P651" s="252"/>
      <c r="Q651" s="253"/>
      <c r="R651" s="252"/>
      <c r="S651" s="251"/>
      <c r="T651" s="251"/>
      <c r="U651" s="251"/>
      <c r="V651" s="251"/>
      <c r="W651" s="251"/>
      <c r="X651" s="251"/>
      <c r="Y651" s="251"/>
      <c r="Z651" s="251"/>
    </row>
    <row r="652">
      <c r="A652" s="250"/>
      <c r="B652" s="251"/>
      <c r="C652" s="251" t="s">
        <v>39</v>
      </c>
      <c r="D652" s="252" t="s">
        <v>39</v>
      </c>
      <c r="E652" s="252" t="s">
        <v>39</v>
      </c>
      <c r="F652" s="252"/>
      <c r="G652" s="251"/>
      <c r="H652" s="251"/>
      <c r="I652" s="251"/>
      <c r="J652" s="251"/>
      <c r="K652" s="251"/>
      <c r="L652" s="251"/>
      <c r="M652" s="251"/>
      <c r="N652" s="251"/>
      <c r="O652" s="251"/>
      <c r="P652" s="252"/>
      <c r="Q652" s="253"/>
      <c r="R652" s="252"/>
      <c r="S652" s="251"/>
      <c r="T652" s="251"/>
      <c r="U652" s="251"/>
      <c r="V652" s="251"/>
      <c r="W652" s="251"/>
      <c r="X652" s="251"/>
      <c r="Y652" s="251"/>
      <c r="Z652" s="251"/>
    </row>
    <row r="653">
      <c r="A653" s="250"/>
      <c r="B653" s="251"/>
      <c r="C653" s="251" t="s">
        <v>39</v>
      </c>
      <c r="D653" s="252" t="s">
        <v>39</v>
      </c>
      <c r="E653" s="252" t="s">
        <v>39</v>
      </c>
      <c r="F653" s="252"/>
      <c r="G653" s="251"/>
      <c r="H653" s="251"/>
      <c r="I653" s="251"/>
      <c r="J653" s="251"/>
      <c r="K653" s="251"/>
      <c r="L653" s="251"/>
      <c r="M653" s="251"/>
      <c r="N653" s="251"/>
      <c r="O653" s="251"/>
      <c r="P653" s="252"/>
      <c r="Q653" s="253"/>
      <c r="R653" s="252"/>
      <c r="S653" s="251"/>
      <c r="T653" s="251"/>
      <c r="U653" s="251"/>
      <c r="V653" s="251"/>
      <c r="W653" s="251"/>
      <c r="X653" s="251"/>
      <c r="Y653" s="251"/>
      <c r="Z653" s="251"/>
    </row>
    <row r="654">
      <c r="A654" s="250"/>
      <c r="B654" s="251"/>
      <c r="C654" s="251" t="s">
        <v>39</v>
      </c>
      <c r="D654" s="252" t="s">
        <v>39</v>
      </c>
      <c r="E654" s="252" t="s">
        <v>39</v>
      </c>
      <c r="F654" s="252"/>
      <c r="G654" s="251"/>
      <c r="H654" s="251"/>
      <c r="I654" s="251"/>
      <c r="J654" s="251"/>
      <c r="K654" s="251"/>
      <c r="L654" s="251"/>
      <c r="M654" s="251"/>
      <c r="N654" s="251"/>
      <c r="O654" s="251"/>
      <c r="P654" s="252"/>
      <c r="Q654" s="253"/>
      <c r="R654" s="252"/>
      <c r="S654" s="251"/>
      <c r="T654" s="251"/>
      <c r="U654" s="251"/>
      <c r="V654" s="251"/>
      <c r="W654" s="251"/>
      <c r="X654" s="251"/>
      <c r="Y654" s="251"/>
      <c r="Z654" s="251"/>
    </row>
    <row r="655">
      <c r="A655" s="250"/>
      <c r="B655" s="251"/>
      <c r="C655" s="251" t="s">
        <v>39</v>
      </c>
      <c r="D655" s="252" t="s">
        <v>39</v>
      </c>
      <c r="E655" s="252" t="s">
        <v>39</v>
      </c>
      <c r="F655" s="252"/>
      <c r="G655" s="251"/>
      <c r="H655" s="251"/>
      <c r="I655" s="251"/>
      <c r="J655" s="251"/>
      <c r="K655" s="251"/>
      <c r="L655" s="251"/>
      <c r="M655" s="251"/>
      <c r="N655" s="251"/>
      <c r="O655" s="251"/>
      <c r="P655" s="252"/>
      <c r="Q655" s="253"/>
      <c r="R655" s="252"/>
      <c r="S655" s="251"/>
      <c r="T655" s="251"/>
      <c r="U655" s="251"/>
      <c r="V655" s="251"/>
      <c r="W655" s="251"/>
      <c r="X655" s="251"/>
      <c r="Y655" s="251"/>
      <c r="Z655" s="251"/>
    </row>
    <row r="656">
      <c r="A656" s="250"/>
      <c r="B656" s="251"/>
      <c r="C656" s="251" t="s">
        <v>39</v>
      </c>
      <c r="D656" s="252" t="s">
        <v>39</v>
      </c>
      <c r="E656" s="252" t="s">
        <v>39</v>
      </c>
      <c r="F656" s="252"/>
      <c r="G656" s="251"/>
      <c r="H656" s="251"/>
      <c r="I656" s="251"/>
      <c r="J656" s="251"/>
      <c r="K656" s="251"/>
      <c r="L656" s="251"/>
      <c r="M656" s="251"/>
      <c r="N656" s="251"/>
      <c r="O656" s="251"/>
      <c r="P656" s="252"/>
      <c r="Q656" s="253"/>
      <c r="R656" s="252"/>
      <c r="S656" s="251"/>
      <c r="T656" s="251"/>
      <c r="U656" s="251"/>
      <c r="V656" s="251"/>
      <c r="W656" s="251"/>
      <c r="X656" s="251"/>
      <c r="Y656" s="251"/>
      <c r="Z656" s="251"/>
    </row>
    <row r="657">
      <c r="A657" s="250"/>
      <c r="B657" s="251"/>
      <c r="C657" s="251" t="s">
        <v>39</v>
      </c>
      <c r="D657" s="252" t="s">
        <v>39</v>
      </c>
      <c r="E657" s="252" t="s">
        <v>39</v>
      </c>
      <c r="F657" s="252"/>
      <c r="G657" s="251"/>
      <c r="H657" s="251"/>
      <c r="I657" s="251"/>
      <c r="J657" s="251"/>
      <c r="K657" s="251"/>
      <c r="L657" s="251"/>
      <c r="M657" s="251"/>
      <c r="N657" s="251"/>
      <c r="O657" s="251"/>
      <c r="P657" s="252"/>
      <c r="Q657" s="253"/>
      <c r="R657" s="252"/>
      <c r="S657" s="251"/>
      <c r="T657" s="251"/>
      <c r="U657" s="251"/>
      <c r="V657" s="251"/>
      <c r="W657" s="251"/>
      <c r="X657" s="251"/>
      <c r="Y657" s="251"/>
      <c r="Z657" s="251"/>
    </row>
    <row r="658">
      <c r="A658" s="250"/>
      <c r="B658" s="251"/>
      <c r="C658" s="251" t="s">
        <v>39</v>
      </c>
      <c r="D658" s="252" t="s">
        <v>39</v>
      </c>
      <c r="E658" s="252" t="s">
        <v>39</v>
      </c>
      <c r="F658" s="252"/>
      <c r="G658" s="251"/>
      <c r="H658" s="251"/>
      <c r="I658" s="251"/>
      <c r="J658" s="251"/>
      <c r="K658" s="251"/>
      <c r="L658" s="251"/>
      <c r="M658" s="251"/>
      <c r="N658" s="251"/>
      <c r="O658" s="251"/>
      <c r="P658" s="252"/>
      <c r="Q658" s="253"/>
      <c r="R658" s="252"/>
      <c r="S658" s="251"/>
      <c r="T658" s="251"/>
      <c r="U658" s="251"/>
      <c r="V658" s="251"/>
      <c r="W658" s="251"/>
      <c r="X658" s="251"/>
      <c r="Y658" s="251"/>
      <c r="Z658" s="251"/>
    </row>
    <row r="659">
      <c r="A659" s="250"/>
      <c r="B659" s="251"/>
      <c r="C659" s="251" t="s">
        <v>39</v>
      </c>
      <c r="D659" s="252" t="s">
        <v>39</v>
      </c>
      <c r="E659" s="252" t="s">
        <v>39</v>
      </c>
      <c r="F659" s="252"/>
      <c r="G659" s="251"/>
      <c r="H659" s="251"/>
      <c r="I659" s="251"/>
      <c r="J659" s="251"/>
      <c r="K659" s="251"/>
      <c r="L659" s="251"/>
      <c r="M659" s="251"/>
      <c r="N659" s="251"/>
      <c r="O659" s="251"/>
      <c r="P659" s="252"/>
      <c r="Q659" s="253"/>
      <c r="R659" s="252"/>
      <c r="S659" s="251"/>
      <c r="T659" s="251"/>
      <c r="U659" s="251"/>
      <c r="V659" s="251"/>
      <c r="W659" s="251"/>
      <c r="X659" s="251"/>
      <c r="Y659" s="251"/>
      <c r="Z659" s="251"/>
    </row>
    <row r="660">
      <c r="A660" s="250"/>
      <c r="B660" s="251"/>
      <c r="C660" s="251" t="s">
        <v>39</v>
      </c>
      <c r="D660" s="252" t="s">
        <v>39</v>
      </c>
      <c r="E660" s="252" t="s">
        <v>39</v>
      </c>
      <c r="F660" s="252"/>
      <c r="G660" s="251"/>
      <c r="H660" s="251"/>
      <c r="I660" s="251"/>
      <c r="J660" s="251"/>
      <c r="K660" s="251"/>
      <c r="L660" s="251"/>
      <c r="M660" s="251"/>
      <c r="N660" s="251"/>
      <c r="O660" s="251"/>
      <c r="P660" s="252"/>
      <c r="Q660" s="253"/>
      <c r="R660" s="252"/>
      <c r="S660" s="251"/>
      <c r="T660" s="251"/>
      <c r="U660" s="251"/>
      <c r="V660" s="251"/>
      <c r="W660" s="251"/>
      <c r="X660" s="251"/>
      <c r="Y660" s="251"/>
      <c r="Z660" s="251"/>
    </row>
    <row r="661">
      <c r="A661" s="250"/>
      <c r="B661" s="251"/>
      <c r="C661" s="251" t="s">
        <v>39</v>
      </c>
      <c r="D661" s="252" t="s">
        <v>39</v>
      </c>
      <c r="E661" s="252" t="s">
        <v>39</v>
      </c>
      <c r="F661" s="252"/>
      <c r="G661" s="251"/>
      <c r="H661" s="251"/>
      <c r="I661" s="251"/>
      <c r="J661" s="251"/>
      <c r="K661" s="251"/>
      <c r="L661" s="251"/>
      <c r="M661" s="251"/>
      <c r="N661" s="251"/>
      <c r="O661" s="251"/>
      <c r="P661" s="252"/>
      <c r="Q661" s="253"/>
      <c r="R661" s="252"/>
      <c r="S661" s="251"/>
      <c r="T661" s="251"/>
      <c r="U661" s="251"/>
      <c r="V661" s="251"/>
      <c r="W661" s="251"/>
      <c r="X661" s="251"/>
      <c r="Y661" s="251"/>
      <c r="Z661" s="251"/>
    </row>
    <row r="662">
      <c r="A662" s="250"/>
      <c r="B662" s="251"/>
      <c r="C662" s="251" t="s">
        <v>39</v>
      </c>
      <c r="D662" s="252" t="s">
        <v>39</v>
      </c>
      <c r="E662" s="252" t="s">
        <v>39</v>
      </c>
      <c r="F662" s="252"/>
      <c r="G662" s="251"/>
      <c r="H662" s="251"/>
      <c r="I662" s="251"/>
      <c r="J662" s="251"/>
      <c r="K662" s="251"/>
      <c r="L662" s="251"/>
      <c r="M662" s="251"/>
      <c r="N662" s="251"/>
      <c r="O662" s="251"/>
      <c r="P662" s="252"/>
      <c r="Q662" s="253"/>
      <c r="R662" s="252"/>
      <c r="S662" s="251"/>
      <c r="T662" s="251"/>
      <c r="U662" s="251"/>
      <c r="V662" s="251"/>
      <c r="W662" s="251"/>
      <c r="X662" s="251"/>
      <c r="Y662" s="251"/>
      <c r="Z662" s="251"/>
    </row>
    <row r="663">
      <c r="A663" s="250"/>
      <c r="B663" s="251"/>
      <c r="C663" s="251" t="s">
        <v>39</v>
      </c>
      <c r="D663" s="252" t="s">
        <v>39</v>
      </c>
      <c r="E663" s="252" t="s">
        <v>39</v>
      </c>
      <c r="F663" s="252"/>
      <c r="G663" s="251"/>
      <c r="H663" s="251"/>
      <c r="I663" s="251"/>
      <c r="J663" s="251"/>
      <c r="K663" s="251"/>
      <c r="L663" s="251"/>
      <c r="M663" s="251"/>
      <c r="N663" s="251"/>
      <c r="O663" s="251"/>
      <c r="P663" s="252"/>
      <c r="Q663" s="253"/>
      <c r="R663" s="252"/>
      <c r="S663" s="251"/>
      <c r="T663" s="251"/>
      <c r="U663" s="251"/>
      <c r="V663" s="251"/>
      <c r="W663" s="251"/>
      <c r="X663" s="251"/>
      <c r="Y663" s="251"/>
      <c r="Z663" s="251"/>
    </row>
    <row r="664">
      <c r="A664" s="250"/>
      <c r="B664" s="251"/>
      <c r="C664" s="251" t="s">
        <v>39</v>
      </c>
      <c r="D664" s="252" t="s">
        <v>39</v>
      </c>
      <c r="E664" s="252" t="s">
        <v>39</v>
      </c>
      <c r="F664" s="252"/>
      <c r="G664" s="251"/>
      <c r="H664" s="251"/>
      <c r="I664" s="251"/>
      <c r="J664" s="251"/>
      <c r="K664" s="251"/>
      <c r="L664" s="251"/>
      <c r="M664" s="251"/>
      <c r="N664" s="251"/>
      <c r="O664" s="251"/>
      <c r="P664" s="252"/>
      <c r="Q664" s="253"/>
      <c r="R664" s="252"/>
      <c r="S664" s="251"/>
      <c r="T664" s="251"/>
      <c r="U664" s="251"/>
      <c r="V664" s="251"/>
      <c r="W664" s="251"/>
      <c r="X664" s="251"/>
      <c r="Y664" s="251"/>
      <c r="Z664" s="251"/>
    </row>
    <row r="665">
      <c r="A665" s="250"/>
      <c r="B665" s="251"/>
      <c r="C665" s="251" t="s">
        <v>39</v>
      </c>
      <c r="D665" s="252" t="s">
        <v>39</v>
      </c>
      <c r="E665" s="252" t="s">
        <v>39</v>
      </c>
      <c r="F665" s="252"/>
      <c r="G665" s="251"/>
      <c r="H665" s="251"/>
      <c r="I665" s="251"/>
      <c r="J665" s="251"/>
      <c r="K665" s="251"/>
      <c r="L665" s="251"/>
      <c r="M665" s="251"/>
      <c r="N665" s="251"/>
      <c r="O665" s="251"/>
      <c r="P665" s="252"/>
      <c r="Q665" s="253"/>
      <c r="R665" s="252"/>
      <c r="S665" s="251"/>
      <c r="T665" s="251"/>
      <c r="U665" s="251"/>
      <c r="V665" s="251"/>
      <c r="W665" s="251"/>
      <c r="X665" s="251"/>
      <c r="Y665" s="251"/>
      <c r="Z665" s="251"/>
    </row>
    <row r="666">
      <c r="A666" s="250"/>
      <c r="B666" s="251"/>
      <c r="C666" s="251" t="s">
        <v>39</v>
      </c>
      <c r="D666" s="252" t="s">
        <v>39</v>
      </c>
      <c r="E666" s="252" t="s">
        <v>39</v>
      </c>
      <c r="F666" s="252"/>
      <c r="G666" s="251"/>
      <c r="H666" s="251"/>
      <c r="I666" s="251"/>
      <c r="J666" s="251"/>
      <c r="K666" s="251"/>
      <c r="L666" s="251"/>
      <c r="M666" s="251"/>
      <c r="N666" s="251"/>
      <c r="O666" s="251"/>
      <c r="P666" s="252"/>
      <c r="Q666" s="253"/>
      <c r="R666" s="252"/>
      <c r="S666" s="251"/>
      <c r="T666" s="251"/>
      <c r="U666" s="251"/>
      <c r="V666" s="251"/>
      <c r="W666" s="251"/>
      <c r="X666" s="251"/>
      <c r="Y666" s="251"/>
      <c r="Z666" s="251"/>
    </row>
    <row r="667">
      <c r="A667" s="250"/>
      <c r="B667" s="251"/>
      <c r="C667" s="251" t="s">
        <v>39</v>
      </c>
      <c r="D667" s="252" t="s">
        <v>39</v>
      </c>
      <c r="E667" s="252" t="s">
        <v>39</v>
      </c>
      <c r="F667" s="252"/>
      <c r="G667" s="251"/>
      <c r="H667" s="251"/>
      <c r="I667" s="251"/>
      <c r="J667" s="251"/>
      <c r="K667" s="251"/>
      <c r="L667" s="251"/>
      <c r="M667" s="251"/>
      <c r="N667" s="251"/>
      <c r="O667" s="251"/>
      <c r="P667" s="252"/>
      <c r="Q667" s="253"/>
      <c r="R667" s="252"/>
      <c r="S667" s="251"/>
      <c r="T667" s="251"/>
      <c r="U667" s="251"/>
      <c r="V667" s="251"/>
      <c r="W667" s="251"/>
      <c r="X667" s="251"/>
      <c r="Y667" s="251"/>
      <c r="Z667" s="251"/>
    </row>
    <row r="668">
      <c r="A668" s="250"/>
      <c r="B668" s="251"/>
      <c r="C668" s="251" t="s">
        <v>39</v>
      </c>
      <c r="D668" s="252" t="s">
        <v>39</v>
      </c>
      <c r="E668" s="252" t="s">
        <v>39</v>
      </c>
      <c r="F668" s="252"/>
      <c r="G668" s="251"/>
      <c r="H668" s="251"/>
      <c r="I668" s="251"/>
      <c r="J668" s="251"/>
      <c r="K668" s="251"/>
      <c r="L668" s="251"/>
      <c r="M668" s="251"/>
      <c r="N668" s="251"/>
      <c r="O668" s="251"/>
      <c r="P668" s="252"/>
      <c r="Q668" s="253"/>
      <c r="R668" s="252"/>
      <c r="S668" s="251"/>
      <c r="T668" s="251"/>
      <c r="U668" s="251"/>
      <c r="V668" s="251"/>
      <c r="W668" s="251"/>
      <c r="X668" s="251"/>
      <c r="Y668" s="251"/>
      <c r="Z668" s="251"/>
    </row>
    <row r="669">
      <c r="A669" s="250"/>
      <c r="B669" s="251"/>
      <c r="C669" s="251" t="s">
        <v>39</v>
      </c>
      <c r="D669" s="252" t="s">
        <v>39</v>
      </c>
      <c r="E669" s="252" t="s">
        <v>39</v>
      </c>
      <c r="F669" s="252"/>
      <c r="G669" s="251"/>
      <c r="H669" s="251"/>
      <c r="I669" s="251"/>
      <c r="J669" s="251"/>
      <c r="K669" s="251"/>
      <c r="L669" s="251"/>
      <c r="M669" s="251"/>
      <c r="N669" s="251"/>
      <c r="O669" s="251"/>
      <c r="P669" s="252"/>
      <c r="Q669" s="253"/>
      <c r="R669" s="252"/>
      <c r="S669" s="251"/>
      <c r="T669" s="251"/>
      <c r="U669" s="251"/>
      <c r="V669" s="251"/>
      <c r="W669" s="251"/>
      <c r="X669" s="251"/>
      <c r="Y669" s="251"/>
      <c r="Z669" s="251"/>
    </row>
    <row r="670">
      <c r="A670" s="250"/>
      <c r="B670" s="251"/>
      <c r="C670" s="251" t="s">
        <v>39</v>
      </c>
      <c r="D670" s="252" t="s">
        <v>39</v>
      </c>
      <c r="E670" s="252" t="s">
        <v>39</v>
      </c>
      <c r="F670" s="252"/>
      <c r="G670" s="251"/>
      <c r="H670" s="251"/>
      <c r="I670" s="251"/>
      <c r="J670" s="251"/>
      <c r="K670" s="251"/>
      <c r="L670" s="251"/>
      <c r="M670" s="251"/>
      <c r="N670" s="251"/>
      <c r="O670" s="251"/>
      <c r="P670" s="252"/>
      <c r="Q670" s="253"/>
      <c r="R670" s="252"/>
      <c r="S670" s="251"/>
      <c r="T670" s="251"/>
      <c r="U670" s="251"/>
      <c r="V670" s="251"/>
      <c r="W670" s="251"/>
      <c r="X670" s="251"/>
      <c r="Y670" s="251"/>
      <c r="Z670" s="251"/>
    </row>
    <row r="671">
      <c r="A671" s="250"/>
      <c r="B671" s="251"/>
      <c r="C671" s="251" t="s">
        <v>39</v>
      </c>
      <c r="D671" s="252" t="s">
        <v>39</v>
      </c>
      <c r="E671" s="252" t="s">
        <v>39</v>
      </c>
      <c r="F671" s="252"/>
      <c r="G671" s="251"/>
      <c r="H671" s="251"/>
      <c r="I671" s="251"/>
      <c r="J671" s="251"/>
      <c r="K671" s="251"/>
      <c r="L671" s="251"/>
      <c r="M671" s="251"/>
      <c r="N671" s="251"/>
      <c r="O671" s="251"/>
      <c r="P671" s="252"/>
      <c r="Q671" s="253"/>
      <c r="R671" s="252"/>
      <c r="S671" s="251"/>
      <c r="T671" s="251"/>
      <c r="U671" s="251"/>
      <c r="V671" s="251"/>
      <c r="W671" s="251"/>
      <c r="X671" s="251"/>
      <c r="Y671" s="251"/>
      <c r="Z671" s="251"/>
    </row>
    <row r="672">
      <c r="A672" s="250"/>
      <c r="B672" s="251"/>
      <c r="C672" s="251" t="s">
        <v>39</v>
      </c>
      <c r="D672" s="252" t="s">
        <v>39</v>
      </c>
      <c r="E672" s="252" t="s">
        <v>39</v>
      </c>
      <c r="F672" s="252"/>
      <c r="G672" s="251"/>
      <c r="H672" s="251"/>
      <c r="I672" s="251"/>
      <c r="J672" s="251"/>
      <c r="K672" s="251"/>
      <c r="L672" s="251"/>
      <c r="M672" s="251"/>
      <c r="N672" s="251"/>
      <c r="O672" s="251"/>
      <c r="P672" s="252"/>
      <c r="Q672" s="253"/>
      <c r="R672" s="252"/>
      <c r="S672" s="251"/>
      <c r="T672" s="251"/>
      <c r="U672" s="251"/>
      <c r="V672" s="251"/>
      <c r="W672" s="251"/>
      <c r="X672" s="251"/>
      <c r="Y672" s="251"/>
      <c r="Z672" s="251"/>
    </row>
    <row r="673">
      <c r="A673" s="250"/>
      <c r="B673" s="251"/>
      <c r="C673" s="251" t="s">
        <v>39</v>
      </c>
      <c r="D673" s="252" t="s">
        <v>39</v>
      </c>
      <c r="E673" s="252" t="s">
        <v>39</v>
      </c>
      <c r="F673" s="252"/>
      <c r="G673" s="251"/>
      <c r="H673" s="251"/>
      <c r="I673" s="251"/>
      <c r="J673" s="251"/>
      <c r="K673" s="251"/>
      <c r="L673" s="251"/>
      <c r="M673" s="251"/>
      <c r="N673" s="251"/>
      <c r="O673" s="251"/>
      <c r="P673" s="252"/>
      <c r="Q673" s="253"/>
      <c r="R673" s="252"/>
      <c r="S673" s="251"/>
      <c r="T673" s="251"/>
      <c r="U673" s="251"/>
      <c r="V673" s="251"/>
      <c r="W673" s="251"/>
      <c r="X673" s="251"/>
      <c r="Y673" s="251"/>
      <c r="Z673" s="251"/>
    </row>
    <row r="674">
      <c r="A674" s="250"/>
      <c r="B674" s="251"/>
      <c r="C674" s="251" t="s">
        <v>39</v>
      </c>
      <c r="D674" s="252" t="s">
        <v>39</v>
      </c>
      <c r="E674" s="252" t="s">
        <v>39</v>
      </c>
      <c r="F674" s="252"/>
      <c r="G674" s="251"/>
      <c r="H674" s="251"/>
      <c r="I674" s="251"/>
      <c r="J674" s="251"/>
      <c r="K674" s="251"/>
      <c r="L674" s="251"/>
      <c r="M674" s="251"/>
      <c r="N674" s="251"/>
      <c r="O674" s="251"/>
      <c r="P674" s="252"/>
      <c r="Q674" s="253"/>
      <c r="R674" s="252"/>
      <c r="S674" s="251"/>
      <c r="T674" s="251"/>
      <c r="U674" s="251"/>
      <c r="V674" s="251"/>
      <c r="W674" s="251"/>
      <c r="X674" s="251"/>
      <c r="Y674" s="251"/>
      <c r="Z674" s="251"/>
    </row>
    <row r="675">
      <c r="A675" s="250"/>
      <c r="B675" s="251"/>
      <c r="C675" s="251" t="s">
        <v>39</v>
      </c>
      <c r="D675" s="252" t="s">
        <v>39</v>
      </c>
      <c r="E675" s="252" t="s">
        <v>39</v>
      </c>
      <c r="F675" s="252"/>
      <c r="G675" s="251"/>
      <c r="H675" s="251"/>
      <c r="I675" s="251"/>
      <c r="J675" s="251"/>
      <c r="K675" s="251"/>
      <c r="L675" s="251"/>
      <c r="M675" s="251"/>
      <c r="N675" s="251"/>
      <c r="O675" s="251"/>
      <c r="P675" s="252"/>
      <c r="Q675" s="253"/>
      <c r="R675" s="252"/>
      <c r="S675" s="251"/>
      <c r="T675" s="251"/>
      <c r="U675" s="251"/>
      <c r="V675" s="251"/>
      <c r="W675" s="251"/>
      <c r="X675" s="251"/>
      <c r="Y675" s="251"/>
      <c r="Z675" s="251"/>
    </row>
    <row r="676">
      <c r="A676" s="250"/>
      <c r="B676" s="251"/>
      <c r="C676" s="251" t="s">
        <v>39</v>
      </c>
      <c r="D676" s="252" t="s">
        <v>39</v>
      </c>
      <c r="E676" s="252" t="s">
        <v>39</v>
      </c>
      <c r="F676" s="252"/>
      <c r="G676" s="251"/>
      <c r="H676" s="251"/>
      <c r="I676" s="251"/>
      <c r="J676" s="251"/>
      <c r="K676" s="251"/>
      <c r="L676" s="251"/>
      <c r="M676" s="251"/>
      <c r="N676" s="251"/>
      <c r="O676" s="251"/>
      <c r="P676" s="252"/>
      <c r="Q676" s="253"/>
      <c r="R676" s="252"/>
      <c r="S676" s="251"/>
      <c r="T676" s="251"/>
      <c r="U676" s="251"/>
      <c r="V676" s="251"/>
      <c r="W676" s="251"/>
      <c r="X676" s="251"/>
      <c r="Y676" s="251"/>
      <c r="Z676" s="251"/>
    </row>
    <row r="677">
      <c r="A677" s="250"/>
      <c r="B677" s="251"/>
      <c r="C677" s="251" t="s">
        <v>39</v>
      </c>
      <c r="D677" s="252" t="s">
        <v>39</v>
      </c>
      <c r="E677" s="252" t="s">
        <v>39</v>
      </c>
      <c r="F677" s="252"/>
      <c r="G677" s="251"/>
      <c r="H677" s="251"/>
      <c r="I677" s="251"/>
      <c r="J677" s="251"/>
      <c r="K677" s="251"/>
      <c r="L677" s="251"/>
      <c r="M677" s="251"/>
      <c r="N677" s="251"/>
      <c r="O677" s="251"/>
      <c r="P677" s="252"/>
      <c r="Q677" s="253"/>
      <c r="R677" s="252"/>
      <c r="S677" s="251"/>
      <c r="T677" s="251"/>
      <c r="U677" s="251"/>
      <c r="V677" s="251"/>
      <c r="W677" s="251"/>
      <c r="X677" s="251"/>
      <c r="Y677" s="251"/>
      <c r="Z677" s="251"/>
    </row>
    <row r="678">
      <c r="A678" s="250"/>
      <c r="B678" s="251"/>
      <c r="C678" s="251" t="s">
        <v>39</v>
      </c>
      <c r="D678" s="252" t="s">
        <v>39</v>
      </c>
      <c r="E678" s="252" t="s">
        <v>39</v>
      </c>
      <c r="F678" s="252"/>
      <c r="G678" s="251"/>
      <c r="H678" s="251"/>
      <c r="I678" s="251"/>
      <c r="J678" s="251"/>
      <c r="K678" s="251"/>
      <c r="L678" s="251"/>
      <c r="M678" s="251"/>
      <c r="N678" s="251"/>
      <c r="O678" s="251"/>
      <c r="P678" s="252"/>
      <c r="Q678" s="253"/>
      <c r="R678" s="252"/>
      <c r="S678" s="251"/>
      <c r="T678" s="251"/>
      <c r="U678" s="251"/>
      <c r="V678" s="251"/>
      <c r="W678" s="251"/>
      <c r="X678" s="251"/>
      <c r="Y678" s="251"/>
      <c r="Z678" s="251"/>
    </row>
    <row r="679">
      <c r="A679" s="250"/>
      <c r="B679" s="251"/>
      <c r="C679" s="251" t="s">
        <v>39</v>
      </c>
      <c r="D679" s="252" t="s">
        <v>39</v>
      </c>
      <c r="E679" s="252" t="s">
        <v>39</v>
      </c>
      <c r="F679" s="252"/>
      <c r="G679" s="251"/>
      <c r="H679" s="251"/>
      <c r="I679" s="251"/>
      <c r="J679" s="251"/>
      <c r="K679" s="251"/>
      <c r="L679" s="251"/>
      <c r="M679" s="251"/>
      <c r="N679" s="251"/>
      <c r="O679" s="251"/>
      <c r="P679" s="252"/>
      <c r="Q679" s="253"/>
      <c r="R679" s="252"/>
      <c r="S679" s="251"/>
      <c r="T679" s="251"/>
      <c r="U679" s="251"/>
      <c r="V679" s="251"/>
      <c r="W679" s="251"/>
      <c r="X679" s="251"/>
      <c r="Y679" s="251"/>
      <c r="Z679" s="251"/>
    </row>
    <row r="680">
      <c r="A680" s="250"/>
      <c r="B680" s="251"/>
      <c r="C680" s="251" t="s">
        <v>39</v>
      </c>
      <c r="D680" s="252" t="s">
        <v>39</v>
      </c>
      <c r="E680" s="252" t="s">
        <v>39</v>
      </c>
      <c r="F680" s="252"/>
      <c r="G680" s="251"/>
      <c r="H680" s="251"/>
      <c r="I680" s="251"/>
      <c r="J680" s="251"/>
      <c r="K680" s="251"/>
      <c r="L680" s="251"/>
      <c r="M680" s="251"/>
      <c r="N680" s="251"/>
      <c r="O680" s="251"/>
      <c r="P680" s="252"/>
      <c r="Q680" s="253"/>
      <c r="R680" s="252"/>
      <c r="S680" s="251"/>
      <c r="T680" s="251"/>
      <c r="U680" s="251"/>
      <c r="V680" s="251"/>
      <c r="W680" s="251"/>
      <c r="X680" s="251"/>
      <c r="Y680" s="251"/>
      <c r="Z680" s="251"/>
    </row>
    <row r="681">
      <c r="A681" s="250"/>
      <c r="B681" s="251"/>
      <c r="C681" s="251" t="s">
        <v>39</v>
      </c>
      <c r="D681" s="252" t="s">
        <v>39</v>
      </c>
      <c r="E681" s="252" t="s">
        <v>39</v>
      </c>
      <c r="F681" s="252"/>
      <c r="G681" s="251"/>
      <c r="H681" s="251"/>
      <c r="I681" s="251"/>
      <c r="J681" s="251"/>
      <c r="K681" s="251"/>
      <c r="L681" s="251"/>
      <c r="M681" s="251"/>
      <c r="N681" s="251"/>
      <c r="O681" s="251"/>
      <c r="P681" s="252"/>
      <c r="Q681" s="253"/>
      <c r="R681" s="252"/>
      <c r="S681" s="251"/>
      <c r="T681" s="251"/>
      <c r="U681" s="251"/>
      <c r="V681" s="251"/>
      <c r="W681" s="251"/>
      <c r="X681" s="251"/>
      <c r="Y681" s="251"/>
      <c r="Z681" s="251"/>
    </row>
    <row r="682">
      <c r="A682" s="250"/>
      <c r="B682" s="251"/>
      <c r="C682" s="251" t="s">
        <v>39</v>
      </c>
      <c r="D682" s="252" t="s">
        <v>39</v>
      </c>
      <c r="E682" s="252" t="s">
        <v>39</v>
      </c>
      <c r="F682" s="252"/>
      <c r="G682" s="251"/>
      <c r="H682" s="251"/>
      <c r="I682" s="251"/>
      <c r="J682" s="251"/>
      <c r="K682" s="251"/>
      <c r="L682" s="251"/>
      <c r="M682" s="251"/>
      <c r="N682" s="251"/>
      <c r="O682" s="251"/>
      <c r="P682" s="252"/>
      <c r="Q682" s="253"/>
      <c r="R682" s="252"/>
      <c r="S682" s="251"/>
      <c r="T682" s="251"/>
      <c r="U682" s="251"/>
      <c r="V682" s="251"/>
      <c r="W682" s="251"/>
      <c r="X682" s="251"/>
      <c r="Y682" s="251"/>
      <c r="Z682" s="251"/>
    </row>
    <row r="683">
      <c r="A683" s="250"/>
      <c r="B683" s="251"/>
      <c r="C683" s="251" t="s">
        <v>39</v>
      </c>
      <c r="D683" s="252" t="s">
        <v>39</v>
      </c>
      <c r="E683" s="252" t="s">
        <v>39</v>
      </c>
      <c r="F683" s="252"/>
      <c r="G683" s="251"/>
      <c r="H683" s="251"/>
      <c r="I683" s="251"/>
      <c r="J683" s="251"/>
      <c r="K683" s="251"/>
      <c r="L683" s="251"/>
      <c r="M683" s="251"/>
      <c r="N683" s="251"/>
      <c r="O683" s="251"/>
      <c r="P683" s="252"/>
      <c r="Q683" s="253"/>
      <c r="R683" s="252"/>
      <c r="S683" s="251"/>
      <c r="T683" s="251"/>
      <c r="U683" s="251"/>
      <c r="V683" s="251"/>
      <c r="W683" s="251"/>
      <c r="X683" s="251"/>
      <c r="Y683" s="251"/>
      <c r="Z683" s="251"/>
    </row>
    <row r="684">
      <c r="A684" s="250"/>
      <c r="B684" s="251"/>
      <c r="C684" s="251" t="s">
        <v>39</v>
      </c>
      <c r="D684" s="252" t="s">
        <v>39</v>
      </c>
      <c r="E684" s="252" t="s">
        <v>39</v>
      </c>
      <c r="F684" s="252"/>
      <c r="G684" s="251"/>
      <c r="H684" s="251"/>
      <c r="I684" s="251"/>
      <c r="J684" s="251"/>
      <c r="K684" s="251"/>
      <c r="L684" s="251"/>
      <c r="M684" s="251"/>
      <c r="N684" s="251"/>
      <c r="O684" s="251"/>
      <c r="P684" s="252"/>
      <c r="Q684" s="253"/>
      <c r="R684" s="252"/>
      <c r="S684" s="251"/>
      <c r="T684" s="251"/>
      <c r="U684" s="251"/>
      <c r="V684" s="251"/>
      <c r="W684" s="251"/>
      <c r="X684" s="251"/>
      <c r="Y684" s="251"/>
      <c r="Z684" s="251"/>
    </row>
    <row r="685">
      <c r="A685" s="250"/>
      <c r="B685" s="251"/>
      <c r="C685" s="251" t="s">
        <v>39</v>
      </c>
      <c r="D685" s="252" t="s">
        <v>39</v>
      </c>
      <c r="E685" s="252" t="s">
        <v>39</v>
      </c>
      <c r="F685" s="252"/>
      <c r="G685" s="251"/>
      <c r="H685" s="251"/>
      <c r="I685" s="251"/>
      <c r="J685" s="251"/>
      <c r="K685" s="251"/>
      <c r="L685" s="251"/>
      <c r="M685" s="251"/>
      <c r="N685" s="251"/>
      <c r="O685" s="251"/>
      <c r="P685" s="252"/>
      <c r="Q685" s="253"/>
      <c r="R685" s="252"/>
      <c r="S685" s="251"/>
      <c r="T685" s="251"/>
      <c r="U685" s="251"/>
      <c r="V685" s="251"/>
      <c r="W685" s="251"/>
      <c r="X685" s="251"/>
      <c r="Y685" s="251"/>
      <c r="Z685" s="251"/>
    </row>
    <row r="686">
      <c r="A686" s="250"/>
      <c r="B686" s="251"/>
      <c r="C686" s="251" t="s">
        <v>39</v>
      </c>
      <c r="D686" s="252" t="s">
        <v>39</v>
      </c>
      <c r="E686" s="252" t="s">
        <v>39</v>
      </c>
      <c r="F686" s="252"/>
      <c r="G686" s="251"/>
      <c r="H686" s="251"/>
      <c r="I686" s="251"/>
      <c r="J686" s="251"/>
      <c r="K686" s="251"/>
      <c r="L686" s="251"/>
      <c r="M686" s="251"/>
      <c r="N686" s="251"/>
      <c r="O686" s="251"/>
      <c r="P686" s="252"/>
      <c r="Q686" s="253"/>
      <c r="R686" s="252"/>
      <c r="S686" s="251"/>
      <c r="T686" s="251"/>
      <c r="U686" s="251"/>
      <c r="V686" s="251"/>
      <c r="W686" s="251"/>
      <c r="X686" s="251"/>
      <c r="Y686" s="251"/>
      <c r="Z686" s="251"/>
    </row>
    <row r="687">
      <c r="A687" s="250"/>
      <c r="B687" s="251"/>
      <c r="C687" s="251" t="s">
        <v>39</v>
      </c>
      <c r="D687" s="252" t="s">
        <v>39</v>
      </c>
      <c r="E687" s="252" t="s">
        <v>39</v>
      </c>
      <c r="F687" s="252"/>
      <c r="G687" s="251"/>
      <c r="H687" s="251"/>
      <c r="I687" s="251"/>
      <c r="J687" s="251"/>
      <c r="K687" s="251"/>
      <c r="L687" s="251"/>
      <c r="M687" s="251"/>
      <c r="N687" s="251"/>
      <c r="O687" s="251"/>
      <c r="P687" s="252"/>
      <c r="Q687" s="253"/>
      <c r="R687" s="252"/>
      <c r="S687" s="251"/>
      <c r="T687" s="251"/>
      <c r="U687" s="251"/>
      <c r="V687" s="251"/>
      <c r="W687" s="251"/>
      <c r="X687" s="251"/>
      <c r="Y687" s="251"/>
      <c r="Z687" s="251"/>
    </row>
    <row r="688">
      <c r="A688" s="250"/>
      <c r="B688" s="251"/>
      <c r="C688" s="251" t="s">
        <v>39</v>
      </c>
      <c r="D688" s="252" t="s">
        <v>39</v>
      </c>
      <c r="E688" s="252" t="s">
        <v>39</v>
      </c>
      <c r="F688" s="252"/>
      <c r="G688" s="251"/>
      <c r="H688" s="251"/>
      <c r="I688" s="251"/>
      <c r="J688" s="251"/>
      <c r="K688" s="251"/>
      <c r="L688" s="251"/>
      <c r="M688" s="251"/>
      <c r="N688" s="251"/>
      <c r="O688" s="251"/>
      <c r="P688" s="252"/>
      <c r="Q688" s="253"/>
      <c r="R688" s="252"/>
      <c r="S688" s="251"/>
      <c r="T688" s="251"/>
      <c r="U688" s="251"/>
      <c r="V688" s="251"/>
      <c r="W688" s="251"/>
      <c r="X688" s="251"/>
      <c r="Y688" s="251"/>
      <c r="Z688" s="251"/>
    </row>
    <row r="689">
      <c r="A689" s="250"/>
      <c r="B689" s="251"/>
      <c r="C689" s="251" t="s">
        <v>39</v>
      </c>
      <c r="D689" s="252" t="s">
        <v>39</v>
      </c>
      <c r="E689" s="252" t="s">
        <v>39</v>
      </c>
      <c r="F689" s="252"/>
      <c r="G689" s="251"/>
      <c r="H689" s="251"/>
      <c r="I689" s="251"/>
      <c r="J689" s="251"/>
      <c r="K689" s="251"/>
      <c r="L689" s="251"/>
      <c r="M689" s="251"/>
      <c r="N689" s="251"/>
      <c r="O689" s="251"/>
      <c r="P689" s="252"/>
      <c r="Q689" s="253"/>
      <c r="R689" s="252"/>
      <c r="S689" s="251"/>
      <c r="T689" s="251"/>
      <c r="U689" s="251"/>
      <c r="V689" s="251"/>
      <c r="W689" s="251"/>
      <c r="X689" s="251"/>
      <c r="Y689" s="251"/>
      <c r="Z689" s="251"/>
    </row>
    <row r="690">
      <c r="A690" s="250"/>
      <c r="B690" s="251"/>
      <c r="C690" s="251" t="s">
        <v>39</v>
      </c>
      <c r="D690" s="252" t="s">
        <v>39</v>
      </c>
      <c r="E690" s="252" t="s">
        <v>39</v>
      </c>
      <c r="F690" s="252"/>
      <c r="G690" s="251"/>
      <c r="H690" s="251"/>
      <c r="I690" s="251"/>
      <c r="J690" s="251"/>
      <c r="K690" s="251"/>
      <c r="L690" s="251"/>
      <c r="M690" s="251"/>
      <c r="N690" s="251"/>
      <c r="O690" s="251"/>
      <c r="P690" s="252"/>
      <c r="Q690" s="253"/>
      <c r="R690" s="252"/>
      <c r="S690" s="251"/>
      <c r="T690" s="251"/>
      <c r="U690" s="251"/>
      <c r="V690" s="251"/>
      <c r="W690" s="251"/>
      <c r="X690" s="251"/>
      <c r="Y690" s="251"/>
      <c r="Z690" s="251"/>
    </row>
    <row r="691">
      <c r="A691" s="250"/>
      <c r="B691" s="251"/>
      <c r="C691" s="251" t="s">
        <v>39</v>
      </c>
      <c r="D691" s="252" t="s">
        <v>39</v>
      </c>
      <c r="E691" s="252" t="s">
        <v>39</v>
      </c>
      <c r="F691" s="252"/>
      <c r="G691" s="251"/>
      <c r="H691" s="251"/>
      <c r="I691" s="251"/>
      <c r="J691" s="251"/>
      <c r="K691" s="251"/>
      <c r="L691" s="251"/>
      <c r="M691" s="251"/>
      <c r="N691" s="251"/>
      <c r="O691" s="251"/>
      <c r="P691" s="252"/>
      <c r="Q691" s="253"/>
      <c r="R691" s="252"/>
      <c r="S691" s="251"/>
      <c r="T691" s="251"/>
      <c r="U691" s="251"/>
      <c r="V691" s="251"/>
      <c r="W691" s="251"/>
      <c r="X691" s="251"/>
      <c r="Y691" s="251"/>
      <c r="Z691" s="251"/>
    </row>
    <row r="692">
      <c r="A692" s="250"/>
      <c r="B692" s="251"/>
      <c r="C692" s="251" t="s">
        <v>39</v>
      </c>
      <c r="D692" s="252" t="s">
        <v>39</v>
      </c>
      <c r="E692" s="252" t="s">
        <v>39</v>
      </c>
      <c r="F692" s="252"/>
      <c r="G692" s="251"/>
      <c r="H692" s="251"/>
      <c r="I692" s="251"/>
      <c r="J692" s="251"/>
      <c r="K692" s="251"/>
      <c r="L692" s="251"/>
      <c r="M692" s="251"/>
      <c r="N692" s="251"/>
      <c r="O692" s="251"/>
      <c r="P692" s="252"/>
      <c r="Q692" s="253"/>
      <c r="R692" s="252"/>
      <c r="S692" s="251"/>
      <c r="T692" s="251"/>
      <c r="U692" s="251"/>
      <c r="V692" s="251"/>
      <c r="W692" s="251"/>
      <c r="X692" s="251"/>
      <c r="Y692" s="251"/>
      <c r="Z692" s="251"/>
    </row>
    <row r="693">
      <c r="A693" s="250"/>
      <c r="B693" s="251"/>
      <c r="C693" s="251" t="s">
        <v>39</v>
      </c>
      <c r="D693" s="252" t="s">
        <v>39</v>
      </c>
      <c r="E693" s="252" t="s">
        <v>39</v>
      </c>
      <c r="F693" s="252"/>
      <c r="G693" s="251"/>
      <c r="H693" s="251"/>
      <c r="I693" s="251"/>
      <c r="J693" s="251"/>
      <c r="K693" s="251"/>
      <c r="L693" s="251"/>
      <c r="M693" s="251"/>
      <c r="N693" s="251"/>
      <c r="O693" s="251"/>
      <c r="P693" s="252"/>
      <c r="Q693" s="253"/>
      <c r="R693" s="252"/>
      <c r="S693" s="251"/>
      <c r="T693" s="251"/>
      <c r="U693" s="251"/>
      <c r="V693" s="251"/>
      <c r="W693" s="251"/>
      <c r="X693" s="251"/>
      <c r="Y693" s="251"/>
      <c r="Z693" s="251"/>
    </row>
    <row r="694">
      <c r="A694" s="250"/>
      <c r="B694" s="251"/>
      <c r="C694" s="251" t="s">
        <v>39</v>
      </c>
      <c r="D694" s="252" t="s">
        <v>39</v>
      </c>
      <c r="E694" s="252" t="s">
        <v>39</v>
      </c>
      <c r="F694" s="252"/>
      <c r="G694" s="251"/>
      <c r="H694" s="251"/>
      <c r="I694" s="251"/>
      <c r="J694" s="251"/>
      <c r="K694" s="251"/>
      <c r="L694" s="251"/>
      <c r="M694" s="251"/>
      <c r="N694" s="251"/>
      <c r="O694" s="251"/>
      <c r="P694" s="252"/>
      <c r="Q694" s="253"/>
      <c r="R694" s="252"/>
      <c r="S694" s="251"/>
      <c r="T694" s="251"/>
      <c r="U694" s="251"/>
      <c r="V694" s="251"/>
      <c r="W694" s="251"/>
      <c r="X694" s="251"/>
      <c r="Y694" s="251"/>
      <c r="Z694" s="251"/>
    </row>
    <row r="695">
      <c r="A695" s="250"/>
      <c r="B695" s="251"/>
      <c r="C695" s="251" t="s">
        <v>39</v>
      </c>
      <c r="D695" s="252" t="s">
        <v>39</v>
      </c>
      <c r="E695" s="252" t="s">
        <v>39</v>
      </c>
      <c r="F695" s="252"/>
      <c r="G695" s="251"/>
      <c r="H695" s="251"/>
      <c r="I695" s="251"/>
      <c r="J695" s="251"/>
      <c r="K695" s="251"/>
      <c r="L695" s="251"/>
      <c r="M695" s="251"/>
      <c r="N695" s="251"/>
      <c r="O695" s="251"/>
      <c r="P695" s="252"/>
      <c r="Q695" s="253"/>
      <c r="R695" s="252"/>
      <c r="S695" s="251"/>
      <c r="T695" s="251"/>
      <c r="U695" s="251"/>
      <c r="V695" s="251"/>
      <c r="W695" s="251"/>
      <c r="X695" s="251"/>
      <c r="Y695" s="251"/>
      <c r="Z695" s="251"/>
    </row>
    <row r="696">
      <c r="A696" s="250"/>
      <c r="B696" s="251"/>
      <c r="C696" s="251" t="s">
        <v>39</v>
      </c>
      <c r="D696" s="252" t="s">
        <v>39</v>
      </c>
      <c r="E696" s="252" t="s">
        <v>39</v>
      </c>
      <c r="F696" s="252"/>
      <c r="G696" s="251"/>
      <c r="H696" s="251"/>
      <c r="I696" s="251"/>
      <c r="J696" s="251"/>
      <c r="K696" s="251"/>
      <c r="L696" s="251"/>
      <c r="M696" s="251"/>
      <c r="N696" s="251"/>
      <c r="O696" s="251"/>
      <c r="P696" s="252"/>
      <c r="Q696" s="253"/>
      <c r="R696" s="252"/>
      <c r="S696" s="251"/>
      <c r="T696" s="251"/>
      <c r="U696" s="251"/>
      <c r="V696" s="251"/>
      <c r="W696" s="251"/>
      <c r="X696" s="251"/>
      <c r="Y696" s="251"/>
      <c r="Z696" s="251"/>
    </row>
    <row r="697">
      <c r="A697" s="250"/>
      <c r="B697" s="251"/>
      <c r="C697" s="251" t="s">
        <v>39</v>
      </c>
      <c r="D697" s="252" t="s">
        <v>39</v>
      </c>
      <c r="E697" s="252" t="s">
        <v>39</v>
      </c>
      <c r="F697" s="252"/>
      <c r="G697" s="251"/>
      <c r="H697" s="251"/>
      <c r="I697" s="251"/>
      <c r="J697" s="251"/>
      <c r="K697" s="251"/>
      <c r="L697" s="251"/>
      <c r="M697" s="251"/>
      <c r="N697" s="251"/>
      <c r="O697" s="251"/>
      <c r="P697" s="252"/>
      <c r="Q697" s="253"/>
      <c r="R697" s="252"/>
      <c r="S697" s="251"/>
      <c r="T697" s="251"/>
      <c r="U697" s="251"/>
      <c r="V697" s="251"/>
      <c r="W697" s="251"/>
      <c r="X697" s="251"/>
      <c r="Y697" s="251"/>
      <c r="Z697" s="251"/>
    </row>
    <row r="698">
      <c r="A698" s="250"/>
      <c r="B698" s="251"/>
      <c r="C698" s="251" t="s">
        <v>39</v>
      </c>
      <c r="D698" s="252" t="s">
        <v>39</v>
      </c>
      <c r="E698" s="252" t="s">
        <v>39</v>
      </c>
      <c r="F698" s="252"/>
      <c r="G698" s="251"/>
      <c r="H698" s="251"/>
      <c r="I698" s="251"/>
      <c r="J698" s="251"/>
      <c r="K698" s="251"/>
      <c r="L698" s="251"/>
      <c r="M698" s="251"/>
      <c r="N698" s="251"/>
      <c r="O698" s="251"/>
      <c r="P698" s="252"/>
      <c r="Q698" s="253"/>
      <c r="R698" s="252"/>
      <c r="S698" s="251"/>
      <c r="T698" s="251"/>
      <c r="U698" s="251"/>
      <c r="V698" s="251"/>
      <c r="W698" s="251"/>
      <c r="X698" s="251"/>
      <c r="Y698" s="251"/>
      <c r="Z698" s="251"/>
    </row>
    <row r="699">
      <c r="A699" s="250"/>
      <c r="B699" s="251"/>
      <c r="C699" s="251" t="s">
        <v>39</v>
      </c>
      <c r="D699" s="252" t="s">
        <v>39</v>
      </c>
      <c r="E699" s="252" t="s">
        <v>39</v>
      </c>
      <c r="F699" s="252"/>
      <c r="G699" s="251"/>
      <c r="H699" s="251"/>
      <c r="I699" s="251"/>
      <c r="J699" s="251"/>
      <c r="K699" s="251"/>
      <c r="L699" s="251"/>
      <c r="M699" s="251"/>
      <c r="N699" s="251"/>
      <c r="O699" s="251"/>
      <c r="P699" s="252"/>
      <c r="Q699" s="253"/>
      <c r="R699" s="252"/>
      <c r="S699" s="251"/>
      <c r="T699" s="251"/>
      <c r="U699" s="251"/>
      <c r="V699" s="251"/>
      <c r="W699" s="251"/>
      <c r="X699" s="251"/>
      <c r="Y699" s="251"/>
      <c r="Z699" s="251"/>
    </row>
    <row r="700">
      <c r="A700" s="250"/>
      <c r="B700" s="251"/>
      <c r="C700" s="251" t="s">
        <v>39</v>
      </c>
      <c r="D700" s="252" t="s">
        <v>39</v>
      </c>
      <c r="E700" s="252" t="s">
        <v>39</v>
      </c>
      <c r="F700" s="252"/>
      <c r="G700" s="251"/>
      <c r="H700" s="251"/>
      <c r="I700" s="251"/>
      <c r="J700" s="251"/>
      <c r="K700" s="251"/>
      <c r="L700" s="251"/>
      <c r="M700" s="251"/>
      <c r="N700" s="251"/>
      <c r="O700" s="251"/>
      <c r="P700" s="252"/>
      <c r="Q700" s="253"/>
      <c r="R700" s="252"/>
      <c r="S700" s="251"/>
      <c r="T700" s="251"/>
      <c r="U700" s="251"/>
      <c r="V700" s="251"/>
      <c r="W700" s="251"/>
      <c r="X700" s="251"/>
      <c r="Y700" s="251"/>
      <c r="Z700" s="251"/>
    </row>
    <row r="701">
      <c r="A701" s="250"/>
      <c r="B701" s="251"/>
      <c r="C701" s="251" t="s">
        <v>39</v>
      </c>
      <c r="D701" s="252" t="s">
        <v>39</v>
      </c>
      <c r="E701" s="252" t="s">
        <v>39</v>
      </c>
      <c r="F701" s="252"/>
      <c r="G701" s="251"/>
      <c r="H701" s="251"/>
      <c r="I701" s="251"/>
      <c r="J701" s="251"/>
      <c r="K701" s="251"/>
      <c r="L701" s="251"/>
      <c r="M701" s="251"/>
      <c r="N701" s="251"/>
      <c r="O701" s="251"/>
      <c r="P701" s="252"/>
      <c r="Q701" s="253"/>
      <c r="R701" s="252"/>
      <c r="S701" s="251"/>
      <c r="T701" s="251"/>
      <c r="U701" s="251"/>
      <c r="V701" s="251"/>
      <c r="W701" s="251"/>
      <c r="X701" s="251"/>
      <c r="Y701" s="251"/>
      <c r="Z701" s="251"/>
    </row>
    <row r="702">
      <c r="A702" s="250"/>
      <c r="B702" s="251"/>
      <c r="C702" s="251" t="s">
        <v>39</v>
      </c>
      <c r="D702" s="252" t="s">
        <v>39</v>
      </c>
      <c r="E702" s="252" t="s">
        <v>39</v>
      </c>
      <c r="F702" s="252"/>
      <c r="G702" s="251"/>
      <c r="H702" s="251"/>
      <c r="I702" s="251"/>
      <c r="J702" s="251"/>
      <c r="K702" s="251"/>
      <c r="L702" s="251"/>
      <c r="M702" s="251"/>
      <c r="N702" s="251"/>
      <c r="O702" s="251"/>
      <c r="P702" s="252"/>
      <c r="Q702" s="253"/>
      <c r="R702" s="252"/>
      <c r="S702" s="251"/>
      <c r="T702" s="251"/>
      <c r="U702" s="251"/>
      <c r="V702" s="251"/>
      <c r="W702" s="251"/>
      <c r="X702" s="251"/>
      <c r="Y702" s="251"/>
      <c r="Z702" s="251"/>
    </row>
    <row r="703">
      <c r="A703" s="250"/>
      <c r="B703" s="251"/>
      <c r="C703" s="251" t="s">
        <v>39</v>
      </c>
      <c r="D703" s="252" t="s">
        <v>39</v>
      </c>
      <c r="E703" s="252" t="s">
        <v>39</v>
      </c>
      <c r="F703" s="252"/>
      <c r="G703" s="251"/>
      <c r="H703" s="251"/>
      <c r="I703" s="251"/>
      <c r="J703" s="251"/>
      <c r="K703" s="251"/>
      <c r="L703" s="251"/>
      <c r="M703" s="251"/>
      <c r="N703" s="251"/>
      <c r="O703" s="251"/>
      <c r="P703" s="252"/>
      <c r="Q703" s="253"/>
      <c r="R703" s="252"/>
      <c r="S703" s="251"/>
      <c r="T703" s="251"/>
      <c r="U703" s="251"/>
      <c r="V703" s="251"/>
      <c r="W703" s="251"/>
      <c r="X703" s="251"/>
      <c r="Y703" s="251"/>
      <c r="Z703" s="251"/>
    </row>
    <row r="704">
      <c r="A704" s="250"/>
      <c r="B704" s="251"/>
      <c r="C704" s="251" t="s">
        <v>39</v>
      </c>
      <c r="D704" s="252" t="s">
        <v>39</v>
      </c>
      <c r="E704" s="252" t="s">
        <v>39</v>
      </c>
      <c r="F704" s="252"/>
      <c r="G704" s="251"/>
      <c r="H704" s="251"/>
      <c r="I704" s="251"/>
      <c r="J704" s="251"/>
      <c r="K704" s="251"/>
      <c r="L704" s="251"/>
      <c r="M704" s="251"/>
      <c r="N704" s="251"/>
      <c r="O704" s="251"/>
      <c r="P704" s="252"/>
      <c r="Q704" s="253"/>
      <c r="R704" s="252"/>
      <c r="S704" s="251"/>
      <c r="T704" s="251"/>
      <c r="U704" s="251"/>
      <c r="V704" s="251"/>
      <c r="W704" s="251"/>
      <c r="X704" s="251"/>
      <c r="Y704" s="251"/>
      <c r="Z704" s="251"/>
    </row>
    <row r="705">
      <c r="A705" s="250"/>
      <c r="B705" s="251"/>
      <c r="C705" s="251" t="s">
        <v>39</v>
      </c>
      <c r="D705" s="252" t="s">
        <v>39</v>
      </c>
      <c r="E705" s="252" t="s">
        <v>39</v>
      </c>
      <c r="F705" s="252"/>
      <c r="G705" s="251"/>
      <c r="H705" s="251"/>
      <c r="I705" s="251"/>
      <c r="J705" s="251"/>
      <c r="K705" s="251"/>
      <c r="L705" s="251"/>
      <c r="M705" s="251"/>
      <c r="N705" s="251"/>
      <c r="O705" s="251"/>
      <c r="P705" s="252"/>
      <c r="Q705" s="253"/>
      <c r="R705" s="252"/>
      <c r="S705" s="251"/>
      <c r="T705" s="251"/>
      <c r="U705" s="251"/>
      <c r="V705" s="251"/>
      <c r="W705" s="251"/>
      <c r="X705" s="251"/>
      <c r="Y705" s="251"/>
      <c r="Z705" s="251"/>
    </row>
    <row r="706">
      <c r="A706" s="250"/>
      <c r="B706" s="251"/>
      <c r="C706" s="251" t="s">
        <v>39</v>
      </c>
      <c r="D706" s="252" t="s">
        <v>39</v>
      </c>
      <c r="E706" s="252" t="s">
        <v>39</v>
      </c>
      <c r="F706" s="252"/>
      <c r="G706" s="251"/>
      <c r="H706" s="251"/>
      <c r="I706" s="251"/>
      <c r="J706" s="251"/>
      <c r="K706" s="251"/>
      <c r="L706" s="251"/>
      <c r="M706" s="251"/>
      <c r="N706" s="251"/>
      <c r="O706" s="251"/>
      <c r="P706" s="252"/>
      <c r="Q706" s="253"/>
      <c r="R706" s="252"/>
      <c r="S706" s="251"/>
      <c r="T706" s="251"/>
      <c r="U706" s="251"/>
      <c r="V706" s="251"/>
      <c r="W706" s="251"/>
      <c r="X706" s="251"/>
      <c r="Y706" s="251"/>
      <c r="Z706" s="251"/>
    </row>
    <row r="707">
      <c r="A707" s="250"/>
      <c r="B707" s="251"/>
      <c r="C707" s="251" t="s">
        <v>39</v>
      </c>
      <c r="D707" s="252" t="s">
        <v>39</v>
      </c>
      <c r="E707" s="252" t="s">
        <v>39</v>
      </c>
      <c r="F707" s="252"/>
      <c r="G707" s="251"/>
      <c r="H707" s="251"/>
      <c r="I707" s="251"/>
      <c r="J707" s="251"/>
      <c r="K707" s="251"/>
      <c r="L707" s="251"/>
      <c r="M707" s="251"/>
      <c r="N707" s="251"/>
      <c r="O707" s="251"/>
      <c r="P707" s="252"/>
      <c r="Q707" s="253"/>
      <c r="R707" s="252"/>
      <c r="S707" s="251"/>
      <c r="T707" s="251"/>
      <c r="U707" s="251"/>
      <c r="V707" s="251"/>
      <c r="W707" s="251"/>
      <c r="X707" s="251"/>
      <c r="Y707" s="251"/>
      <c r="Z707" s="251"/>
    </row>
    <row r="708">
      <c r="A708" s="250"/>
      <c r="B708" s="251"/>
      <c r="C708" s="251" t="s">
        <v>39</v>
      </c>
      <c r="D708" s="252" t="s">
        <v>39</v>
      </c>
      <c r="E708" s="252" t="s">
        <v>39</v>
      </c>
      <c r="F708" s="252"/>
      <c r="G708" s="251"/>
      <c r="H708" s="251"/>
      <c r="I708" s="251"/>
      <c r="J708" s="251"/>
      <c r="K708" s="251"/>
      <c r="L708" s="251"/>
      <c r="M708" s="251"/>
      <c r="N708" s="251"/>
      <c r="O708" s="251"/>
      <c r="P708" s="252"/>
      <c r="Q708" s="253"/>
      <c r="R708" s="252"/>
      <c r="S708" s="251"/>
      <c r="T708" s="251"/>
      <c r="U708" s="251"/>
      <c r="V708" s="251"/>
      <c r="W708" s="251"/>
      <c r="X708" s="251"/>
      <c r="Y708" s="251"/>
      <c r="Z708" s="251"/>
    </row>
    <row r="709">
      <c r="A709" s="250"/>
      <c r="B709" s="251"/>
      <c r="C709" s="251" t="s">
        <v>39</v>
      </c>
      <c r="D709" s="252" t="s">
        <v>39</v>
      </c>
      <c r="E709" s="252" t="s">
        <v>39</v>
      </c>
      <c r="F709" s="252"/>
      <c r="G709" s="251"/>
      <c r="H709" s="251"/>
      <c r="I709" s="251"/>
      <c r="J709" s="251"/>
      <c r="K709" s="251"/>
      <c r="L709" s="251"/>
      <c r="M709" s="251"/>
      <c r="N709" s="251"/>
      <c r="O709" s="251"/>
      <c r="P709" s="252"/>
      <c r="Q709" s="253"/>
      <c r="R709" s="252"/>
      <c r="S709" s="251"/>
      <c r="T709" s="251"/>
      <c r="U709" s="251"/>
      <c r="V709" s="251"/>
      <c r="W709" s="251"/>
      <c r="X709" s="251"/>
      <c r="Y709" s="251"/>
      <c r="Z709" s="251"/>
    </row>
    <row r="710">
      <c r="A710" s="250"/>
      <c r="B710" s="251"/>
      <c r="C710" s="251" t="s">
        <v>39</v>
      </c>
      <c r="D710" s="252" t="s">
        <v>39</v>
      </c>
      <c r="E710" s="252" t="s">
        <v>39</v>
      </c>
      <c r="F710" s="252"/>
      <c r="G710" s="251"/>
      <c r="H710" s="251"/>
      <c r="I710" s="251"/>
      <c r="J710" s="251"/>
      <c r="K710" s="251"/>
      <c r="L710" s="251"/>
      <c r="M710" s="251"/>
      <c r="N710" s="251"/>
      <c r="O710" s="251"/>
      <c r="P710" s="252"/>
      <c r="Q710" s="253"/>
      <c r="R710" s="252"/>
      <c r="S710" s="251"/>
      <c r="T710" s="251"/>
      <c r="U710" s="251"/>
      <c r="V710" s="251"/>
      <c r="W710" s="251"/>
      <c r="X710" s="251"/>
      <c r="Y710" s="251"/>
      <c r="Z710" s="251"/>
    </row>
    <row r="711">
      <c r="A711" s="250"/>
      <c r="B711" s="251"/>
      <c r="C711" s="251" t="s">
        <v>39</v>
      </c>
      <c r="D711" s="252" t="s">
        <v>39</v>
      </c>
      <c r="E711" s="252" t="s">
        <v>39</v>
      </c>
      <c r="F711" s="252"/>
      <c r="G711" s="251"/>
      <c r="H711" s="251"/>
      <c r="I711" s="251"/>
      <c r="J711" s="251"/>
      <c r="K711" s="251"/>
      <c r="L711" s="251"/>
      <c r="M711" s="251"/>
      <c r="N711" s="251"/>
      <c r="O711" s="251"/>
      <c r="P711" s="252"/>
      <c r="Q711" s="253"/>
      <c r="R711" s="252"/>
      <c r="S711" s="251"/>
      <c r="T711" s="251"/>
      <c r="U711" s="251"/>
      <c r="V711" s="251"/>
      <c r="W711" s="251"/>
      <c r="X711" s="251"/>
      <c r="Y711" s="251"/>
      <c r="Z711" s="251"/>
    </row>
    <row r="712">
      <c r="A712" s="250"/>
      <c r="B712" s="251"/>
      <c r="C712" s="251" t="s">
        <v>39</v>
      </c>
      <c r="D712" s="252" t="s">
        <v>39</v>
      </c>
      <c r="E712" s="252" t="s">
        <v>39</v>
      </c>
      <c r="F712" s="252"/>
      <c r="G712" s="251"/>
      <c r="H712" s="251"/>
      <c r="I712" s="251"/>
      <c r="J712" s="251"/>
      <c r="K712" s="251"/>
      <c r="L712" s="251"/>
      <c r="M712" s="251"/>
      <c r="N712" s="251"/>
      <c r="O712" s="251"/>
      <c r="P712" s="252"/>
      <c r="Q712" s="253"/>
      <c r="R712" s="252"/>
      <c r="S712" s="251"/>
      <c r="T712" s="251"/>
      <c r="U712" s="251"/>
      <c r="V712" s="251"/>
      <c r="W712" s="251"/>
      <c r="X712" s="251"/>
      <c r="Y712" s="251"/>
      <c r="Z712" s="251"/>
    </row>
    <row r="713">
      <c r="A713" s="250"/>
      <c r="B713" s="251"/>
      <c r="C713" s="251" t="s">
        <v>39</v>
      </c>
      <c r="D713" s="252" t="s">
        <v>39</v>
      </c>
      <c r="E713" s="252" t="s">
        <v>39</v>
      </c>
      <c r="F713" s="252"/>
      <c r="G713" s="251"/>
      <c r="H713" s="251"/>
      <c r="I713" s="251"/>
      <c r="J713" s="251"/>
      <c r="K713" s="251"/>
      <c r="L713" s="251"/>
      <c r="M713" s="251"/>
      <c r="N713" s="251"/>
      <c r="O713" s="251"/>
      <c r="P713" s="252"/>
      <c r="Q713" s="253"/>
      <c r="R713" s="252"/>
      <c r="S713" s="251"/>
      <c r="T713" s="251"/>
      <c r="U713" s="251"/>
      <c r="V713" s="251"/>
      <c r="W713" s="251"/>
      <c r="X713" s="251"/>
      <c r="Y713" s="251"/>
      <c r="Z713" s="251"/>
    </row>
    <row r="714">
      <c r="A714" s="250"/>
      <c r="B714" s="251"/>
      <c r="C714" s="251" t="s">
        <v>39</v>
      </c>
      <c r="D714" s="252" t="s">
        <v>39</v>
      </c>
      <c r="E714" s="252" t="s">
        <v>39</v>
      </c>
      <c r="F714" s="252"/>
      <c r="G714" s="251"/>
      <c r="H714" s="251"/>
      <c r="I714" s="251"/>
      <c r="J714" s="251"/>
      <c r="K714" s="251"/>
      <c r="L714" s="251"/>
      <c r="M714" s="251"/>
      <c r="N714" s="251"/>
      <c r="O714" s="251"/>
      <c r="P714" s="252"/>
      <c r="Q714" s="253"/>
      <c r="R714" s="252"/>
      <c r="S714" s="251"/>
      <c r="T714" s="251"/>
      <c r="U714" s="251"/>
      <c r="V714" s="251"/>
      <c r="W714" s="251"/>
      <c r="X714" s="251"/>
      <c r="Y714" s="251"/>
      <c r="Z714" s="251"/>
    </row>
    <row r="715">
      <c r="A715" s="250"/>
      <c r="B715" s="251"/>
      <c r="C715" s="251" t="s">
        <v>39</v>
      </c>
      <c r="D715" s="252" t="s">
        <v>39</v>
      </c>
      <c r="E715" s="252" t="s">
        <v>39</v>
      </c>
      <c r="F715" s="252"/>
      <c r="G715" s="251"/>
      <c r="H715" s="251"/>
      <c r="I715" s="251"/>
      <c r="J715" s="251"/>
      <c r="K715" s="251"/>
      <c r="L715" s="251"/>
      <c r="M715" s="251"/>
      <c r="N715" s="251"/>
      <c r="O715" s="251"/>
      <c r="P715" s="252"/>
      <c r="Q715" s="253"/>
      <c r="R715" s="252"/>
      <c r="S715" s="251"/>
      <c r="T715" s="251"/>
      <c r="U715" s="251"/>
      <c r="V715" s="251"/>
      <c r="W715" s="251"/>
      <c r="X715" s="251"/>
      <c r="Y715" s="251"/>
      <c r="Z715" s="251"/>
    </row>
    <row r="716">
      <c r="A716" s="250"/>
      <c r="B716" s="251"/>
      <c r="C716" s="251" t="s">
        <v>39</v>
      </c>
      <c r="D716" s="252" t="s">
        <v>39</v>
      </c>
      <c r="E716" s="252" t="s">
        <v>39</v>
      </c>
      <c r="F716" s="252"/>
      <c r="G716" s="251"/>
      <c r="H716" s="251"/>
      <c r="I716" s="251"/>
      <c r="J716" s="251"/>
      <c r="K716" s="251"/>
      <c r="L716" s="251"/>
      <c r="M716" s="251"/>
      <c r="N716" s="251"/>
      <c r="O716" s="251"/>
      <c r="P716" s="252"/>
      <c r="Q716" s="253"/>
      <c r="R716" s="252"/>
      <c r="S716" s="251"/>
      <c r="T716" s="251"/>
      <c r="U716" s="251"/>
      <c r="V716" s="251"/>
      <c r="W716" s="251"/>
      <c r="X716" s="251"/>
      <c r="Y716" s="251"/>
      <c r="Z716" s="251"/>
    </row>
    <row r="717">
      <c r="A717" s="250"/>
      <c r="B717" s="251"/>
      <c r="C717" s="251" t="s">
        <v>39</v>
      </c>
      <c r="D717" s="252" t="s">
        <v>39</v>
      </c>
      <c r="E717" s="252" t="s">
        <v>39</v>
      </c>
      <c r="F717" s="252"/>
      <c r="G717" s="251"/>
      <c r="H717" s="251"/>
      <c r="I717" s="251"/>
      <c r="J717" s="251"/>
      <c r="K717" s="251"/>
      <c r="L717" s="251"/>
      <c r="M717" s="251"/>
      <c r="N717" s="251"/>
      <c r="O717" s="251"/>
      <c r="P717" s="252"/>
      <c r="Q717" s="253"/>
      <c r="R717" s="252"/>
      <c r="S717" s="251"/>
      <c r="T717" s="251"/>
      <c r="U717" s="251"/>
      <c r="V717" s="251"/>
      <c r="W717" s="251"/>
      <c r="X717" s="251"/>
      <c r="Y717" s="251"/>
      <c r="Z717" s="251"/>
    </row>
    <row r="718">
      <c r="A718" s="250"/>
      <c r="B718" s="251"/>
      <c r="C718" s="251" t="s">
        <v>39</v>
      </c>
      <c r="D718" s="252" t="s">
        <v>39</v>
      </c>
      <c r="E718" s="252" t="s">
        <v>39</v>
      </c>
      <c r="F718" s="252"/>
      <c r="G718" s="251"/>
      <c r="H718" s="251"/>
      <c r="I718" s="251"/>
      <c r="J718" s="251"/>
      <c r="K718" s="251"/>
      <c r="L718" s="251"/>
      <c r="M718" s="251"/>
      <c r="N718" s="251"/>
      <c r="O718" s="251"/>
      <c r="P718" s="252"/>
      <c r="Q718" s="253"/>
      <c r="R718" s="252"/>
      <c r="S718" s="251"/>
      <c r="T718" s="251"/>
      <c r="U718" s="251"/>
      <c r="V718" s="251"/>
      <c r="W718" s="251"/>
      <c r="X718" s="251"/>
      <c r="Y718" s="251"/>
      <c r="Z718" s="251"/>
    </row>
    <row r="719">
      <c r="A719" s="250"/>
      <c r="B719" s="251"/>
      <c r="C719" s="251" t="s">
        <v>39</v>
      </c>
      <c r="D719" s="252" t="s">
        <v>39</v>
      </c>
      <c r="E719" s="252" t="s">
        <v>39</v>
      </c>
      <c r="F719" s="252"/>
      <c r="G719" s="251"/>
      <c r="H719" s="251"/>
      <c r="I719" s="251"/>
      <c r="J719" s="251"/>
      <c r="K719" s="251"/>
      <c r="L719" s="251"/>
      <c r="M719" s="251"/>
      <c r="N719" s="251"/>
      <c r="O719" s="251"/>
      <c r="P719" s="252"/>
      <c r="Q719" s="253"/>
      <c r="R719" s="252"/>
      <c r="S719" s="251"/>
      <c r="T719" s="251"/>
      <c r="U719" s="251"/>
      <c r="V719" s="251"/>
      <c r="W719" s="251"/>
      <c r="X719" s="251"/>
      <c r="Y719" s="251"/>
      <c r="Z719" s="251"/>
    </row>
    <row r="720">
      <c r="A720" s="250"/>
      <c r="B720" s="251"/>
      <c r="C720" s="251" t="s">
        <v>39</v>
      </c>
      <c r="D720" s="252" t="s">
        <v>39</v>
      </c>
      <c r="E720" s="252" t="s">
        <v>39</v>
      </c>
      <c r="F720" s="252"/>
      <c r="G720" s="251"/>
      <c r="H720" s="251"/>
      <c r="I720" s="251"/>
      <c r="J720" s="251"/>
      <c r="K720" s="251"/>
      <c r="L720" s="251"/>
      <c r="M720" s="251"/>
      <c r="N720" s="251"/>
      <c r="O720" s="251"/>
      <c r="P720" s="252"/>
      <c r="Q720" s="253"/>
      <c r="R720" s="252"/>
      <c r="S720" s="251"/>
      <c r="T720" s="251"/>
      <c r="U720" s="251"/>
      <c r="V720" s="251"/>
      <c r="W720" s="251"/>
      <c r="X720" s="251"/>
      <c r="Y720" s="251"/>
      <c r="Z720" s="251"/>
    </row>
    <row r="721">
      <c r="A721" s="250"/>
      <c r="B721" s="251"/>
      <c r="C721" s="251" t="s">
        <v>39</v>
      </c>
      <c r="D721" s="252" t="s">
        <v>39</v>
      </c>
      <c r="E721" s="252" t="s">
        <v>39</v>
      </c>
      <c r="F721" s="252"/>
      <c r="G721" s="251"/>
      <c r="H721" s="251"/>
      <c r="I721" s="251"/>
      <c r="J721" s="251"/>
      <c r="K721" s="251"/>
      <c r="L721" s="251"/>
      <c r="M721" s="251"/>
      <c r="N721" s="251"/>
      <c r="O721" s="251"/>
      <c r="P721" s="252"/>
      <c r="Q721" s="253"/>
      <c r="R721" s="252"/>
      <c r="S721" s="251"/>
      <c r="T721" s="251"/>
      <c r="U721" s="251"/>
      <c r="V721" s="251"/>
      <c r="W721" s="251"/>
      <c r="X721" s="251"/>
      <c r="Y721" s="251"/>
      <c r="Z721" s="251"/>
    </row>
    <row r="722">
      <c r="A722" s="250"/>
      <c r="B722" s="251"/>
      <c r="C722" s="251" t="s">
        <v>39</v>
      </c>
      <c r="D722" s="252" t="s">
        <v>39</v>
      </c>
      <c r="E722" s="252" t="s">
        <v>39</v>
      </c>
      <c r="F722" s="252"/>
      <c r="G722" s="251"/>
      <c r="H722" s="251"/>
      <c r="I722" s="251"/>
      <c r="J722" s="251"/>
      <c r="K722" s="251"/>
      <c r="L722" s="251"/>
      <c r="M722" s="251"/>
      <c r="N722" s="251"/>
      <c r="O722" s="251"/>
      <c r="P722" s="252"/>
      <c r="Q722" s="253"/>
      <c r="R722" s="252"/>
      <c r="S722" s="251"/>
      <c r="T722" s="251"/>
      <c r="U722" s="251"/>
      <c r="V722" s="251"/>
      <c r="W722" s="251"/>
      <c r="X722" s="251"/>
      <c r="Y722" s="251"/>
      <c r="Z722" s="251"/>
    </row>
    <row r="723">
      <c r="A723" s="250"/>
      <c r="B723" s="251"/>
      <c r="C723" s="251" t="s">
        <v>39</v>
      </c>
      <c r="D723" s="252" t="s">
        <v>39</v>
      </c>
      <c r="E723" s="252" t="s">
        <v>39</v>
      </c>
      <c r="F723" s="252"/>
      <c r="G723" s="251"/>
      <c r="H723" s="251"/>
      <c r="I723" s="251"/>
      <c r="J723" s="251"/>
      <c r="K723" s="251"/>
      <c r="L723" s="251"/>
      <c r="M723" s="251"/>
      <c r="N723" s="251"/>
      <c r="O723" s="251"/>
      <c r="P723" s="252"/>
      <c r="Q723" s="253"/>
      <c r="R723" s="252"/>
      <c r="S723" s="251"/>
      <c r="T723" s="251"/>
      <c r="U723" s="251"/>
      <c r="V723" s="251"/>
      <c r="W723" s="251"/>
      <c r="X723" s="251"/>
      <c r="Y723" s="251"/>
      <c r="Z723" s="251"/>
    </row>
    <row r="724">
      <c r="A724" s="250"/>
      <c r="B724" s="251"/>
      <c r="C724" s="251" t="s">
        <v>39</v>
      </c>
      <c r="D724" s="252" t="s">
        <v>39</v>
      </c>
      <c r="E724" s="252" t="s">
        <v>39</v>
      </c>
      <c r="F724" s="252"/>
      <c r="G724" s="251"/>
      <c r="H724" s="251"/>
      <c r="I724" s="251"/>
      <c r="J724" s="251"/>
      <c r="K724" s="251"/>
      <c r="L724" s="251"/>
      <c r="M724" s="251"/>
      <c r="N724" s="251"/>
      <c r="O724" s="251"/>
      <c r="P724" s="252"/>
      <c r="Q724" s="253"/>
      <c r="R724" s="252"/>
      <c r="S724" s="251"/>
      <c r="T724" s="251"/>
      <c r="U724" s="251"/>
      <c r="V724" s="251"/>
      <c r="W724" s="251"/>
      <c r="X724" s="251"/>
      <c r="Y724" s="251"/>
      <c r="Z724" s="251"/>
    </row>
    <row r="725">
      <c r="A725" s="250"/>
      <c r="B725" s="251"/>
      <c r="C725" s="251" t="s">
        <v>39</v>
      </c>
      <c r="D725" s="252" t="s">
        <v>39</v>
      </c>
      <c r="E725" s="252" t="s">
        <v>39</v>
      </c>
      <c r="F725" s="252"/>
      <c r="G725" s="251"/>
      <c r="H725" s="251"/>
      <c r="I725" s="251"/>
      <c r="J725" s="251"/>
      <c r="K725" s="251"/>
      <c r="L725" s="251"/>
      <c r="M725" s="251"/>
      <c r="N725" s="251"/>
      <c r="O725" s="251"/>
      <c r="P725" s="252"/>
      <c r="Q725" s="253"/>
      <c r="R725" s="252"/>
      <c r="S725" s="251"/>
      <c r="T725" s="251"/>
      <c r="U725" s="251"/>
      <c r="V725" s="251"/>
      <c r="W725" s="251"/>
      <c r="X725" s="251"/>
      <c r="Y725" s="251"/>
      <c r="Z725" s="251"/>
    </row>
    <row r="726">
      <c r="A726" s="250"/>
      <c r="B726" s="251"/>
      <c r="C726" s="251" t="s">
        <v>39</v>
      </c>
      <c r="D726" s="252" t="s">
        <v>39</v>
      </c>
      <c r="E726" s="252" t="s">
        <v>39</v>
      </c>
      <c r="F726" s="252"/>
      <c r="G726" s="251"/>
      <c r="H726" s="251"/>
      <c r="I726" s="251"/>
      <c r="J726" s="251"/>
      <c r="K726" s="251"/>
      <c r="L726" s="251"/>
      <c r="M726" s="251"/>
      <c r="N726" s="251"/>
      <c r="O726" s="251"/>
      <c r="P726" s="252"/>
      <c r="Q726" s="253"/>
      <c r="R726" s="252"/>
      <c r="S726" s="251"/>
      <c r="T726" s="251"/>
      <c r="U726" s="251"/>
      <c r="V726" s="251"/>
      <c r="W726" s="251"/>
      <c r="X726" s="251"/>
      <c r="Y726" s="251"/>
      <c r="Z726" s="251"/>
    </row>
    <row r="727">
      <c r="A727" s="250"/>
      <c r="B727" s="251"/>
      <c r="C727" s="251" t="s">
        <v>39</v>
      </c>
      <c r="D727" s="252" t="s">
        <v>39</v>
      </c>
      <c r="E727" s="252" t="s">
        <v>39</v>
      </c>
      <c r="F727" s="252"/>
      <c r="G727" s="251"/>
      <c r="H727" s="251"/>
      <c r="I727" s="251"/>
      <c r="J727" s="251"/>
      <c r="K727" s="251"/>
      <c r="L727" s="251"/>
      <c r="M727" s="251"/>
      <c r="N727" s="251"/>
      <c r="O727" s="251"/>
      <c r="P727" s="252"/>
      <c r="Q727" s="253"/>
      <c r="R727" s="252"/>
      <c r="S727" s="251"/>
      <c r="T727" s="251"/>
      <c r="U727" s="251"/>
      <c r="V727" s="251"/>
      <c r="W727" s="251"/>
      <c r="X727" s="251"/>
      <c r="Y727" s="251"/>
      <c r="Z727" s="251"/>
    </row>
    <row r="728">
      <c r="A728" s="250"/>
      <c r="B728" s="251"/>
      <c r="C728" s="251" t="s">
        <v>39</v>
      </c>
      <c r="D728" s="252" t="s">
        <v>39</v>
      </c>
      <c r="E728" s="252" t="s">
        <v>39</v>
      </c>
      <c r="F728" s="252"/>
      <c r="G728" s="251"/>
      <c r="H728" s="251"/>
      <c r="I728" s="251"/>
      <c r="J728" s="251"/>
      <c r="K728" s="251"/>
      <c r="L728" s="251"/>
      <c r="M728" s="251"/>
      <c r="N728" s="251"/>
      <c r="O728" s="251"/>
      <c r="P728" s="252"/>
      <c r="Q728" s="253"/>
      <c r="R728" s="252"/>
      <c r="S728" s="251"/>
      <c r="T728" s="251"/>
      <c r="U728" s="251"/>
      <c r="V728" s="251"/>
      <c r="W728" s="251"/>
      <c r="X728" s="251"/>
      <c r="Y728" s="251"/>
      <c r="Z728" s="251"/>
    </row>
    <row r="729">
      <c r="A729" s="250"/>
      <c r="B729" s="251"/>
      <c r="C729" s="251" t="s">
        <v>39</v>
      </c>
      <c r="D729" s="252" t="s">
        <v>39</v>
      </c>
      <c r="E729" s="252" t="s">
        <v>39</v>
      </c>
      <c r="F729" s="252"/>
      <c r="G729" s="251"/>
      <c r="H729" s="251"/>
      <c r="I729" s="251"/>
      <c r="J729" s="251"/>
      <c r="K729" s="251"/>
      <c r="L729" s="251"/>
      <c r="M729" s="251"/>
      <c r="N729" s="251"/>
      <c r="O729" s="251"/>
      <c r="P729" s="252"/>
      <c r="Q729" s="253"/>
      <c r="R729" s="252"/>
      <c r="S729" s="251"/>
      <c r="T729" s="251"/>
      <c r="U729" s="251"/>
      <c r="V729" s="251"/>
      <c r="W729" s="251"/>
      <c r="X729" s="251"/>
      <c r="Y729" s="251"/>
      <c r="Z729" s="251"/>
    </row>
    <row r="730">
      <c r="A730" s="250"/>
      <c r="B730" s="251"/>
      <c r="C730" s="251" t="s">
        <v>39</v>
      </c>
      <c r="D730" s="252" t="s">
        <v>39</v>
      </c>
      <c r="E730" s="252" t="s">
        <v>39</v>
      </c>
      <c r="F730" s="252"/>
      <c r="G730" s="251"/>
      <c r="H730" s="251"/>
      <c r="I730" s="251"/>
      <c r="J730" s="251"/>
      <c r="K730" s="251"/>
      <c r="L730" s="251"/>
      <c r="M730" s="251"/>
      <c r="N730" s="251"/>
      <c r="O730" s="251"/>
      <c r="P730" s="252"/>
      <c r="Q730" s="253"/>
      <c r="R730" s="252"/>
      <c r="S730" s="251"/>
      <c r="T730" s="251"/>
      <c r="U730" s="251"/>
      <c r="V730" s="251"/>
      <c r="W730" s="251"/>
      <c r="X730" s="251"/>
      <c r="Y730" s="251"/>
      <c r="Z730" s="251"/>
    </row>
    <row r="731">
      <c r="A731" s="250"/>
      <c r="B731" s="251"/>
      <c r="C731" s="251" t="s">
        <v>39</v>
      </c>
      <c r="D731" s="252" t="s">
        <v>39</v>
      </c>
      <c r="E731" s="252" t="s">
        <v>39</v>
      </c>
      <c r="F731" s="252"/>
      <c r="G731" s="251"/>
      <c r="H731" s="251"/>
      <c r="I731" s="251"/>
      <c r="J731" s="251"/>
      <c r="K731" s="251"/>
      <c r="L731" s="251"/>
      <c r="M731" s="251"/>
      <c r="N731" s="251"/>
      <c r="O731" s="251"/>
      <c r="P731" s="252"/>
      <c r="Q731" s="253"/>
      <c r="R731" s="252"/>
      <c r="S731" s="251"/>
      <c r="T731" s="251"/>
      <c r="U731" s="251"/>
      <c r="V731" s="251"/>
      <c r="W731" s="251"/>
      <c r="X731" s="251"/>
      <c r="Y731" s="251"/>
      <c r="Z731" s="251"/>
    </row>
    <row r="732">
      <c r="A732" s="250"/>
      <c r="B732" s="251"/>
      <c r="C732" s="251" t="s">
        <v>39</v>
      </c>
      <c r="D732" s="252" t="s">
        <v>39</v>
      </c>
      <c r="E732" s="252" t="s">
        <v>39</v>
      </c>
      <c r="F732" s="252"/>
      <c r="G732" s="251"/>
      <c r="H732" s="251"/>
      <c r="I732" s="251"/>
      <c r="J732" s="251"/>
      <c r="K732" s="251"/>
      <c r="L732" s="251"/>
      <c r="M732" s="251"/>
      <c r="N732" s="251"/>
      <c r="O732" s="251"/>
      <c r="P732" s="252"/>
      <c r="Q732" s="253"/>
      <c r="R732" s="252"/>
      <c r="S732" s="251"/>
      <c r="T732" s="251"/>
      <c r="U732" s="251"/>
      <c r="V732" s="251"/>
      <c r="W732" s="251"/>
      <c r="X732" s="251"/>
      <c r="Y732" s="251"/>
      <c r="Z732" s="251"/>
    </row>
    <row r="733">
      <c r="A733" s="250"/>
      <c r="B733" s="251"/>
      <c r="C733" s="251" t="s">
        <v>39</v>
      </c>
      <c r="D733" s="252" t="s">
        <v>39</v>
      </c>
      <c r="E733" s="252" t="s">
        <v>39</v>
      </c>
      <c r="F733" s="252"/>
      <c r="G733" s="251"/>
      <c r="H733" s="251"/>
      <c r="I733" s="251"/>
      <c r="J733" s="251"/>
      <c r="K733" s="251"/>
      <c r="L733" s="251"/>
      <c r="M733" s="251"/>
      <c r="N733" s="251"/>
      <c r="O733" s="251"/>
      <c r="P733" s="252"/>
      <c r="Q733" s="253"/>
      <c r="R733" s="252"/>
      <c r="S733" s="251"/>
      <c r="T733" s="251"/>
      <c r="U733" s="251"/>
      <c r="V733" s="251"/>
      <c r="W733" s="251"/>
      <c r="X733" s="251"/>
      <c r="Y733" s="251"/>
      <c r="Z733" s="251"/>
    </row>
    <row r="734">
      <c r="A734" s="250"/>
      <c r="B734" s="251"/>
      <c r="C734" s="251" t="s">
        <v>39</v>
      </c>
      <c r="D734" s="252" t="s">
        <v>39</v>
      </c>
      <c r="E734" s="252" t="s">
        <v>39</v>
      </c>
      <c r="F734" s="252"/>
      <c r="G734" s="251"/>
      <c r="H734" s="251"/>
      <c r="I734" s="251"/>
      <c r="J734" s="251"/>
      <c r="K734" s="251"/>
      <c r="L734" s="251"/>
      <c r="M734" s="251"/>
      <c r="N734" s="251"/>
      <c r="O734" s="251"/>
      <c r="P734" s="252"/>
      <c r="Q734" s="253"/>
      <c r="R734" s="252"/>
      <c r="S734" s="251"/>
      <c r="T734" s="251"/>
      <c r="U734" s="251"/>
      <c r="V734" s="251"/>
      <c r="W734" s="251"/>
      <c r="X734" s="251"/>
      <c r="Y734" s="251"/>
      <c r="Z734" s="251"/>
    </row>
    <row r="735">
      <c r="A735" s="250"/>
      <c r="B735" s="251"/>
      <c r="C735" s="251" t="s">
        <v>39</v>
      </c>
      <c r="D735" s="252" t="s">
        <v>39</v>
      </c>
      <c r="E735" s="252" t="s">
        <v>39</v>
      </c>
      <c r="F735" s="252"/>
      <c r="G735" s="251"/>
      <c r="H735" s="251"/>
      <c r="I735" s="251"/>
      <c r="J735" s="251"/>
      <c r="K735" s="251"/>
      <c r="L735" s="251"/>
      <c r="M735" s="251"/>
      <c r="N735" s="251"/>
      <c r="O735" s="251"/>
      <c r="P735" s="252"/>
      <c r="Q735" s="253"/>
      <c r="R735" s="252"/>
      <c r="S735" s="251"/>
      <c r="T735" s="251"/>
      <c r="U735" s="251"/>
      <c r="V735" s="251"/>
      <c r="W735" s="251"/>
      <c r="X735" s="251"/>
      <c r="Y735" s="251"/>
      <c r="Z735" s="251"/>
    </row>
    <row r="736">
      <c r="A736" s="250"/>
      <c r="B736" s="251"/>
      <c r="C736" s="251" t="s">
        <v>39</v>
      </c>
      <c r="D736" s="252" t="s">
        <v>39</v>
      </c>
      <c r="E736" s="252" t="s">
        <v>39</v>
      </c>
      <c r="F736" s="252"/>
      <c r="G736" s="251"/>
      <c r="H736" s="251"/>
      <c r="I736" s="251"/>
      <c r="J736" s="251"/>
      <c r="K736" s="251"/>
      <c r="L736" s="251"/>
      <c r="M736" s="251"/>
      <c r="N736" s="251"/>
      <c r="O736" s="251"/>
      <c r="P736" s="252"/>
      <c r="Q736" s="253"/>
      <c r="R736" s="252"/>
      <c r="S736" s="251"/>
      <c r="T736" s="251"/>
      <c r="U736" s="251"/>
      <c r="V736" s="251"/>
      <c r="W736" s="251"/>
      <c r="X736" s="251"/>
      <c r="Y736" s="251"/>
      <c r="Z736" s="251"/>
    </row>
    <row r="737">
      <c r="A737" s="250"/>
      <c r="B737" s="251"/>
      <c r="C737" s="251" t="s">
        <v>39</v>
      </c>
      <c r="D737" s="252" t="s">
        <v>39</v>
      </c>
      <c r="E737" s="252" t="s">
        <v>39</v>
      </c>
      <c r="F737" s="252"/>
      <c r="G737" s="251"/>
      <c r="H737" s="251"/>
      <c r="I737" s="251"/>
      <c r="J737" s="251"/>
      <c r="K737" s="251"/>
      <c r="L737" s="251"/>
      <c r="M737" s="251"/>
      <c r="N737" s="251"/>
      <c r="O737" s="251"/>
      <c r="P737" s="252"/>
      <c r="Q737" s="253"/>
      <c r="R737" s="252"/>
      <c r="S737" s="251"/>
      <c r="T737" s="251"/>
      <c r="U737" s="251"/>
      <c r="V737" s="251"/>
      <c r="W737" s="251"/>
      <c r="X737" s="251"/>
      <c r="Y737" s="251"/>
      <c r="Z737" s="251"/>
    </row>
    <row r="738">
      <c r="A738" s="250"/>
      <c r="B738" s="251"/>
      <c r="C738" s="251" t="s">
        <v>39</v>
      </c>
      <c r="D738" s="252" t="s">
        <v>39</v>
      </c>
      <c r="E738" s="252" t="s">
        <v>39</v>
      </c>
      <c r="F738" s="252"/>
      <c r="G738" s="251"/>
      <c r="H738" s="251"/>
      <c r="I738" s="251"/>
      <c r="J738" s="251"/>
      <c r="K738" s="251"/>
      <c r="L738" s="251"/>
      <c r="M738" s="251"/>
      <c r="N738" s="251"/>
      <c r="O738" s="251"/>
      <c r="P738" s="252"/>
      <c r="Q738" s="253"/>
      <c r="R738" s="252"/>
      <c r="S738" s="251"/>
      <c r="T738" s="251"/>
      <c r="U738" s="251"/>
      <c r="V738" s="251"/>
      <c r="W738" s="251"/>
      <c r="X738" s="251"/>
      <c r="Y738" s="251"/>
      <c r="Z738" s="251"/>
    </row>
    <row r="739">
      <c r="A739" s="250"/>
      <c r="B739" s="251"/>
      <c r="C739" s="251" t="s">
        <v>39</v>
      </c>
      <c r="D739" s="252" t="s">
        <v>39</v>
      </c>
      <c r="E739" s="252" t="s">
        <v>39</v>
      </c>
      <c r="F739" s="252"/>
      <c r="G739" s="251"/>
      <c r="H739" s="251"/>
      <c r="I739" s="251"/>
      <c r="J739" s="251"/>
      <c r="K739" s="251"/>
      <c r="L739" s="251"/>
      <c r="M739" s="251"/>
      <c r="N739" s="251"/>
      <c r="O739" s="251"/>
      <c r="P739" s="252"/>
      <c r="Q739" s="253"/>
      <c r="R739" s="252"/>
      <c r="S739" s="251"/>
      <c r="T739" s="251"/>
      <c r="U739" s="251"/>
      <c r="V739" s="251"/>
      <c r="W739" s="251"/>
      <c r="X739" s="251"/>
      <c r="Y739" s="251"/>
      <c r="Z739" s="251"/>
    </row>
    <row r="740">
      <c r="A740" s="250"/>
      <c r="B740" s="251"/>
      <c r="C740" s="251" t="s">
        <v>39</v>
      </c>
      <c r="D740" s="252" t="s">
        <v>39</v>
      </c>
      <c r="E740" s="252" t="s">
        <v>39</v>
      </c>
      <c r="F740" s="252"/>
      <c r="G740" s="251"/>
      <c r="H740" s="251"/>
      <c r="I740" s="251"/>
      <c r="J740" s="251"/>
      <c r="K740" s="251"/>
      <c r="L740" s="251"/>
      <c r="M740" s="251"/>
      <c r="N740" s="251"/>
      <c r="O740" s="251"/>
      <c r="P740" s="252"/>
      <c r="Q740" s="253"/>
      <c r="R740" s="252"/>
      <c r="S740" s="251"/>
      <c r="T740" s="251"/>
      <c r="U740" s="251"/>
      <c r="V740" s="251"/>
      <c r="W740" s="251"/>
      <c r="X740" s="251"/>
      <c r="Y740" s="251"/>
      <c r="Z740" s="251"/>
    </row>
    <row r="741">
      <c r="A741" s="250"/>
      <c r="B741" s="251"/>
      <c r="C741" s="251" t="s">
        <v>39</v>
      </c>
      <c r="D741" s="252" t="s">
        <v>39</v>
      </c>
      <c r="E741" s="252" t="s">
        <v>39</v>
      </c>
      <c r="F741" s="252"/>
      <c r="G741" s="251"/>
      <c r="H741" s="251"/>
      <c r="I741" s="251"/>
      <c r="J741" s="251"/>
      <c r="K741" s="251"/>
      <c r="L741" s="251"/>
      <c r="M741" s="251"/>
      <c r="N741" s="251"/>
      <c r="O741" s="251"/>
      <c r="P741" s="252"/>
      <c r="Q741" s="253"/>
      <c r="R741" s="252"/>
      <c r="S741" s="251"/>
      <c r="T741" s="251"/>
      <c r="U741" s="251"/>
      <c r="V741" s="251"/>
      <c r="W741" s="251"/>
      <c r="X741" s="251"/>
      <c r="Y741" s="251"/>
      <c r="Z741" s="251"/>
    </row>
    <row r="742">
      <c r="A742" s="250"/>
      <c r="B742" s="251"/>
      <c r="C742" s="251" t="s">
        <v>39</v>
      </c>
      <c r="D742" s="252" t="s">
        <v>39</v>
      </c>
      <c r="E742" s="252" t="s">
        <v>39</v>
      </c>
      <c r="F742" s="252"/>
      <c r="G742" s="251"/>
      <c r="H742" s="251"/>
      <c r="I742" s="251"/>
      <c r="J742" s="251"/>
      <c r="K742" s="251"/>
      <c r="L742" s="251"/>
      <c r="M742" s="251"/>
      <c r="N742" s="251"/>
      <c r="O742" s="251"/>
      <c r="P742" s="252"/>
      <c r="Q742" s="253"/>
      <c r="R742" s="252"/>
      <c r="S742" s="251"/>
      <c r="T742" s="251"/>
      <c r="U742" s="251"/>
      <c r="V742" s="251"/>
      <c r="W742" s="251"/>
      <c r="X742" s="251"/>
      <c r="Y742" s="251"/>
      <c r="Z742" s="251"/>
    </row>
    <row r="743">
      <c r="A743" s="250"/>
      <c r="B743" s="251"/>
      <c r="C743" s="251" t="s">
        <v>39</v>
      </c>
      <c r="D743" s="252" t="s">
        <v>39</v>
      </c>
      <c r="E743" s="252" t="s">
        <v>39</v>
      </c>
      <c r="F743" s="252"/>
      <c r="G743" s="251"/>
      <c r="H743" s="251"/>
      <c r="I743" s="251"/>
      <c r="J743" s="251"/>
      <c r="K743" s="251"/>
      <c r="L743" s="251"/>
      <c r="M743" s="251"/>
      <c r="N743" s="251"/>
      <c r="O743" s="251"/>
      <c r="P743" s="252"/>
      <c r="Q743" s="253"/>
      <c r="R743" s="252"/>
      <c r="S743" s="251"/>
      <c r="T743" s="251"/>
      <c r="U743" s="251"/>
      <c r="V743" s="251"/>
      <c r="W743" s="251"/>
      <c r="X743" s="251"/>
      <c r="Y743" s="251"/>
      <c r="Z743" s="251"/>
    </row>
    <row r="744">
      <c r="A744" s="250"/>
      <c r="B744" s="251"/>
      <c r="C744" s="251" t="s">
        <v>39</v>
      </c>
      <c r="D744" s="252" t="s">
        <v>39</v>
      </c>
      <c r="E744" s="252" t="s">
        <v>39</v>
      </c>
      <c r="F744" s="252"/>
      <c r="G744" s="251"/>
      <c r="H744" s="251"/>
      <c r="I744" s="251"/>
      <c r="J744" s="251"/>
      <c r="K744" s="251"/>
      <c r="L744" s="251"/>
      <c r="M744" s="251"/>
      <c r="N744" s="251"/>
      <c r="O744" s="251"/>
      <c r="P744" s="252"/>
      <c r="Q744" s="253"/>
      <c r="R744" s="252"/>
      <c r="S744" s="251"/>
      <c r="T744" s="251"/>
      <c r="U744" s="251"/>
      <c r="V744" s="251"/>
      <c r="W744" s="251"/>
      <c r="X744" s="251"/>
      <c r="Y744" s="251"/>
      <c r="Z744" s="251"/>
    </row>
    <row r="745">
      <c r="A745" s="250"/>
      <c r="B745" s="251"/>
      <c r="C745" s="251" t="s">
        <v>39</v>
      </c>
      <c r="D745" s="252" t="s">
        <v>39</v>
      </c>
      <c r="E745" s="252" t="s">
        <v>39</v>
      </c>
      <c r="F745" s="252"/>
      <c r="G745" s="251"/>
      <c r="H745" s="251"/>
      <c r="I745" s="251"/>
      <c r="J745" s="251"/>
      <c r="K745" s="251"/>
      <c r="L745" s="251"/>
      <c r="M745" s="251"/>
      <c r="N745" s="251"/>
      <c r="O745" s="251"/>
      <c r="P745" s="252"/>
      <c r="Q745" s="253"/>
      <c r="R745" s="252"/>
      <c r="S745" s="251"/>
      <c r="T745" s="251"/>
      <c r="U745" s="251"/>
      <c r="V745" s="251"/>
      <c r="W745" s="251"/>
      <c r="X745" s="251"/>
      <c r="Y745" s="251"/>
      <c r="Z745" s="251"/>
    </row>
    <row r="746">
      <c r="A746" s="250"/>
      <c r="B746" s="251"/>
      <c r="C746" s="251" t="s">
        <v>39</v>
      </c>
      <c r="D746" s="252" t="s">
        <v>39</v>
      </c>
      <c r="E746" s="252" t="s">
        <v>39</v>
      </c>
      <c r="F746" s="252"/>
      <c r="G746" s="251"/>
      <c r="H746" s="251"/>
      <c r="I746" s="251"/>
      <c r="J746" s="251"/>
      <c r="K746" s="251"/>
      <c r="L746" s="251"/>
      <c r="M746" s="251"/>
      <c r="N746" s="251"/>
      <c r="O746" s="251"/>
      <c r="P746" s="252"/>
      <c r="Q746" s="253"/>
      <c r="R746" s="252"/>
      <c r="S746" s="251"/>
      <c r="T746" s="251"/>
      <c r="U746" s="251"/>
      <c r="V746" s="251"/>
      <c r="W746" s="251"/>
      <c r="X746" s="251"/>
      <c r="Y746" s="251"/>
      <c r="Z746" s="251"/>
    </row>
    <row r="747">
      <c r="A747" s="250"/>
      <c r="B747" s="251"/>
      <c r="C747" s="251" t="s">
        <v>39</v>
      </c>
      <c r="D747" s="252" t="s">
        <v>39</v>
      </c>
      <c r="E747" s="252" t="s">
        <v>39</v>
      </c>
      <c r="F747" s="252"/>
      <c r="G747" s="251"/>
      <c r="H747" s="251"/>
      <c r="I747" s="251"/>
      <c r="J747" s="251"/>
      <c r="K747" s="251"/>
      <c r="L747" s="251"/>
      <c r="M747" s="251"/>
      <c r="N747" s="251"/>
      <c r="O747" s="251"/>
      <c r="P747" s="252"/>
      <c r="Q747" s="253"/>
      <c r="R747" s="252"/>
      <c r="S747" s="251"/>
      <c r="T747" s="251"/>
      <c r="U747" s="251"/>
      <c r="V747" s="251"/>
      <c r="W747" s="251"/>
      <c r="X747" s="251"/>
      <c r="Y747" s="251"/>
      <c r="Z747" s="251"/>
    </row>
    <row r="748">
      <c r="A748" s="250"/>
      <c r="B748" s="251"/>
      <c r="C748" s="251" t="s">
        <v>39</v>
      </c>
      <c r="D748" s="252" t="s">
        <v>39</v>
      </c>
      <c r="E748" s="252" t="s">
        <v>39</v>
      </c>
      <c r="F748" s="252"/>
      <c r="G748" s="251"/>
      <c r="H748" s="251"/>
      <c r="I748" s="251"/>
      <c r="J748" s="251"/>
      <c r="K748" s="251"/>
      <c r="L748" s="251"/>
      <c r="M748" s="251"/>
      <c r="N748" s="251"/>
      <c r="O748" s="251"/>
      <c r="P748" s="252"/>
      <c r="Q748" s="253"/>
      <c r="R748" s="252"/>
      <c r="S748" s="251"/>
      <c r="T748" s="251"/>
      <c r="U748" s="251"/>
      <c r="V748" s="251"/>
      <c r="W748" s="251"/>
      <c r="X748" s="251"/>
      <c r="Y748" s="251"/>
      <c r="Z748" s="251"/>
    </row>
    <row r="749">
      <c r="A749" s="250"/>
      <c r="B749" s="251"/>
      <c r="C749" s="251" t="s">
        <v>39</v>
      </c>
      <c r="D749" s="252" t="s">
        <v>39</v>
      </c>
      <c r="E749" s="252" t="s">
        <v>39</v>
      </c>
      <c r="F749" s="252"/>
      <c r="G749" s="251"/>
      <c r="H749" s="251"/>
      <c r="I749" s="251"/>
      <c r="J749" s="251"/>
      <c r="K749" s="251"/>
      <c r="L749" s="251"/>
      <c r="M749" s="251"/>
      <c r="N749" s="251"/>
      <c r="O749" s="251"/>
      <c r="P749" s="252"/>
      <c r="Q749" s="253"/>
      <c r="R749" s="252"/>
      <c r="S749" s="251"/>
      <c r="T749" s="251"/>
      <c r="U749" s="251"/>
      <c r="V749" s="251"/>
      <c r="W749" s="251"/>
      <c r="X749" s="251"/>
      <c r="Y749" s="251"/>
      <c r="Z749" s="251"/>
    </row>
    <row r="750">
      <c r="A750" s="250"/>
      <c r="B750" s="251"/>
      <c r="C750" s="251" t="s">
        <v>39</v>
      </c>
      <c r="D750" s="252" t="s">
        <v>39</v>
      </c>
      <c r="E750" s="252" t="s">
        <v>39</v>
      </c>
      <c r="F750" s="252"/>
      <c r="G750" s="251"/>
      <c r="H750" s="251"/>
      <c r="I750" s="251"/>
      <c r="J750" s="251"/>
      <c r="K750" s="251"/>
      <c r="L750" s="251"/>
      <c r="M750" s="251"/>
      <c r="N750" s="251"/>
      <c r="O750" s="251"/>
      <c r="P750" s="252"/>
      <c r="Q750" s="253"/>
      <c r="R750" s="252"/>
      <c r="S750" s="251"/>
      <c r="T750" s="251"/>
      <c r="U750" s="251"/>
      <c r="V750" s="251"/>
      <c r="W750" s="251"/>
      <c r="X750" s="251"/>
      <c r="Y750" s="251"/>
      <c r="Z750" s="251"/>
    </row>
    <row r="751">
      <c r="A751" s="250"/>
      <c r="B751" s="251"/>
      <c r="C751" s="251" t="s">
        <v>39</v>
      </c>
      <c r="D751" s="252" t="s">
        <v>39</v>
      </c>
      <c r="E751" s="252" t="s">
        <v>39</v>
      </c>
      <c r="F751" s="252"/>
      <c r="G751" s="251"/>
      <c r="H751" s="251"/>
      <c r="I751" s="251"/>
      <c r="J751" s="251"/>
      <c r="K751" s="251"/>
      <c r="L751" s="251"/>
      <c r="M751" s="251"/>
      <c r="N751" s="251"/>
      <c r="O751" s="251"/>
      <c r="P751" s="252"/>
      <c r="Q751" s="253"/>
      <c r="R751" s="252"/>
      <c r="S751" s="251"/>
      <c r="T751" s="251"/>
      <c r="U751" s="251"/>
      <c r="V751" s="251"/>
      <c r="W751" s="251"/>
      <c r="X751" s="251"/>
      <c r="Y751" s="251"/>
      <c r="Z751" s="251"/>
    </row>
    <row r="752">
      <c r="A752" s="250"/>
      <c r="B752" s="251"/>
      <c r="C752" s="251" t="s">
        <v>39</v>
      </c>
      <c r="D752" s="252" t="s">
        <v>39</v>
      </c>
      <c r="E752" s="252" t="s">
        <v>39</v>
      </c>
      <c r="F752" s="252"/>
      <c r="G752" s="251"/>
      <c r="H752" s="251"/>
      <c r="I752" s="251"/>
      <c r="J752" s="251"/>
      <c r="K752" s="251"/>
      <c r="L752" s="251"/>
      <c r="M752" s="251"/>
      <c r="N752" s="251"/>
      <c r="O752" s="251"/>
      <c r="P752" s="252"/>
      <c r="Q752" s="253"/>
      <c r="R752" s="252"/>
      <c r="S752" s="251"/>
      <c r="T752" s="251"/>
      <c r="U752" s="251"/>
      <c r="V752" s="251"/>
      <c r="W752" s="251"/>
      <c r="X752" s="251"/>
      <c r="Y752" s="251"/>
      <c r="Z752" s="251"/>
    </row>
    <row r="753">
      <c r="A753" s="250"/>
      <c r="B753" s="251"/>
      <c r="C753" s="251" t="s">
        <v>39</v>
      </c>
      <c r="D753" s="252" t="s">
        <v>39</v>
      </c>
      <c r="E753" s="252" t="s">
        <v>39</v>
      </c>
      <c r="F753" s="252"/>
      <c r="G753" s="251"/>
      <c r="H753" s="251"/>
      <c r="I753" s="251"/>
      <c r="J753" s="251"/>
      <c r="K753" s="251"/>
      <c r="L753" s="251"/>
      <c r="M753" s="251"/>
      <c r="N753" s="251"/>
      <c r="O753" s="251"/>
      <c r="P753" s="252"/>
      <c r="Q753" s="253"/>
      <c r="R753" s="252"/>
      <c r="S753" s="251"/>
      <c r="T753" s="251"/>
      <c r="U753" s="251"/>
      <c r="V753" s="251"/>
      <c r="W753" s="251"/>
      <c r="X753" s="251"/>
      <c r="Y753" s="251"/>
      <c r="Z753" s="251"/>
    </row>
    <row r="754">
      <c r="A754" s="250"/>
      <c r="B754" s="251"/>
      <c r="C754" s="251" t="s">
        <v>39</v>
      </c>
      <c r="D754" s="252" t="s">
        <v>39</v>
      </c>
      <c r="E754" s="252" t="s">
        <v>39</v>
      </c>
      <c r="F754" s="252"/>
      <c r="G754" s="251"/>
      <c r="H754" s="251"/>
      <c r="I754" s="251"/>
      <c r="J754" s="251"/>
      <c r="K754" s="251"/>
      <c r="L754" s="251"/>
      <c r="M754" s="251"/>
      <c r="N754" s="251"/>
      <c r="O754" s="251"/>
      <c r="P754" s="252"/>
      <c r="Q754" s="253"/>
      <c r="R754" s="252"/>
      <c r="S754" s="251"/>
      <c r="T754" s="251"/>
      <c r="U754" s="251"/>
      <c r="V754" s="251"/>
      <c r="W754" s="251"/>
      <c r="X754" s="251"/>
      <c r="Y754" s="251"/>
      <c r="Z754" s="251"/>
    </row>
    <row r="755">
      <c r="A755" s="250"/>
      <c r="B755" s="251"/>
      <c r="C755" s="251" t="s">
        <v>39</v>
      </c>
      <c r="D755" s="252" t="s">
        <v>39</v>
      </c>
      <c r="E755" s="252" t="s">
        <v>39</v>
      </c>
      <c r="F755" s="252"/>
      <c r="G755" s="251"/>
      <c r="H755" s="251"/>
      <c r="I755" s="251"/>
      <c r="J755" s="251"/>
      <c r="K755" s="251"/>
      <c r="L755" s="251"/>
      <c r="M755" s="251"/>
      <c r="N755" s="251"/>
      <c r="O755" s="251"/>
      <c r="P755" s="252"/>
      <c r="Q755" s="253"/>
      <c r="R755" s="252"/>
      <c r="S755" s="251"/>
      <c r="T755" s="251"/>
      <c r="U755" s="251"/>
      <c r="V755" s="251"/>
      <c r="W755" s="251"/>
      <c r="X755" s="251"/>
      <c r="Y755" s="251"/>
      <c r="Z755" s="251"/>
    </row>
    <row r="756">
      <c r="A756" s="250"/>
      <c r="B756" s="251"/>
      <c r="C756" s="251" t="s">
        <v>39</v>
      </c>
      <c r="D756" s="252" t="s">
        <v>39</v>
      </c>
      <c r="E756" s="252" t="s">
        <v>39</v>
      </c>
      <c r="F756" s="252"/>
      <c r="G756" s="251"/>
      <c r="H756" s="251"/>
      <c r="I756" s="251"/>
      <c r="J756" s="251"/>
      <c r="K756" s="251"/>
      <c r="L756" s="251"/>
      <c r="M756" s="251"/>
      <c r="N756" s="251"/>
      <c r="O756" s="251"/>
      <c r="P756" s="252"/>
      <c r="Q756" s="253"/>
      <c r="R756" s="252"/>
      <c r="S756" s="251"/>
      <c r="T756" s="251"/>
      <c r="U756" s="251"/>
      <c r="V756" s="251"/>
      <c r="W756" s="251"/>
      <c r="X756" s="251"/>
      <c r="Y756" s="251"/>
      <c r="Z756" s="251"/>
    </row>
    <row r="757">
      <c r="A757" s="250"/>
      <c r="B757" s="251"/>
      <c r="C757" s="251" t="s">
        <v>39</v>
      </c>
      <c r="D757" s="252" t="s">
        <v>39</v>
      </c>
      <c r="E757" s="252" t="s">
        <v>39</v>
      </c>
      <c r="F757" s="252"/>
      <c r="G757" s="251"/>
      <c r="H757" s="251"/>
      <c r="I757" s="251"/>
      <c r="J757" s="251"/>
      <c r="K757" s="251"/>
      <c r="L757" s="251"/>
      <c r="M757" s="251"/>
      <c r="N757" s="251"/>
      <c r="O757" s="251"/>
      <c r="P757" s="252"/>
      <c r="Q757" s="253"/>
      <c r="R757" s="252"/>
      <c r="S757" s="251"/>
      <c r="T757" s="251"/>
      <c r="U757" s="251"/>
      <c r="V757" s="251"/>
      <c r="W757" s="251"/>
      <c r="X757" s="251"/>
      <c r="Y757" s="251"/>
      <c r="Z757" s="251"/>
    </row>
    <row r="758">
      <c r="A758" s="250"/>
      <c r="B758" s="251"/>
      <c r="C758" s="251" t="s">
        <v>39</v>
      </c>
      <c r="D758" s="252" t="s">
        <v>39</v>
      </c>
      <c r="E758" s="252" t="s">
        <v>39</v>
      </c>
      <c r="F758" s="252"/>
      <c r="G758" s="251"/>
      <c r="H758" s="251"/>
      <c r="I758" s="251"/>
      <c r="J758" s="251"/>
      <c r="K758" s="251"/>
      <c r="L758" s="251"/>
      <c r="M758" s="251"/>
      <c r="N758" s="251"/>
      <c r="O758" s="251"/>
      <c r="P758" s="252"/>
      <c r="Q758" s="253"/>
      <c r="R758" s="252"/>
      <c r="S758" s="251"/>
      <c r="T758" s="251"/>
      <c r="U758" s="251"/>
      <c r="V758" s="251"/>
      <c r="W758" s="251"/>
      <c r="X758" s="251"/>
      <c r="Y758" s="251"/>
      <c r="Z758" s="251"/>
    </row>
    <row r="759">
      <c r="A759" s="250"/>
      <c r="B759" s="251"/>
      <c r="C759" s="251" t="s">
        <v>39</v>
      </c>
      <c r="D759" s="252" t="s">
        <v>39</v>
      </c>
      <c r="E759" s="252" t="s">
        <v>39</v>
      </c>
      <c r="F759" s="252"/>
      <c r="G759" s="251"/>
      <c r="H759" s="251"/>
      <c r="I759" s="251"/>
      <c r="J759" s="251"/>
      <c r="K759" s="251"/>
      <c r="L759" s="251"/>
      <c r="M759" s="251"/>
      <c r="N759" s="251"/>
      <c r="O759" s="251"/>
      <c r="P759" s="252"/>
      <c r="Q759" s="253"/>
      <c r="R759" s="252"/>
      <c r="S759" s="251"/>
      <c r="T759" s="251"/>
      <c r="U759" s="251"/>
      <c r="V759" s="251"/>
      <c r="W759" s="251"/>
      <c r="X759" s="251"/>
      <c r="Y759" s="251"/>
      <c r="Z759" s="251"/>
    </row>
    <row r="760">
      <c r="A760" s="250"/>
      <c r="B760" s="251"/>
      <c r="C760" s="251" t="s">
        <v>39</v>
      </c>
      <c r="D760" s="252" t="s">
        <v>39</v>
      </c>
      <c r="E760" s="252" t="s">
        <v>39</v>
      </c>
      <c r="F760" s="252"/>
      <c r="G760" s="251"/>
      <c r="H760" s="251"/>
      <c r="I760" s="251"/>
      <c r="J760" s="251"/>
      <c r="K760" s="251"/>
      <c r="L760" s="251"/>
      <c r="M760" s="251"/>
      <c r="N760" s="251"/>
      <c r="O760" s="251"/>
      <c r="P760" s="252"/>
      <c r="Q760" s="253"/>
      <c r="R760" s="252"/>
      <c r="S760" s="251"/>
      <c r="T760" s="251"/>
      <c r="U760" s="251"/>
      <c r="V760" s="251"/>
      <c r="W760" s="251"/>
      <c r="X760" s="251"/>
      <c r="Y760" s="251"/>
      <c r="Z760" s="251"/>
    </row>
    <row r="761">
      <c r="A761" s="250"/>
      <c r="B761" s="251"/>
      <c r="C761" s="251" t="s">
        <v>39</v>
      </c>
      <c r="D761" s="252" t="s">
        <v>39</v>
      </c>
      <c r="E761" s="252" t="s">
        <v>39</v>
      </c>
      <c r="F761" s="252"/>
      <c r="G761" s="251"/>
      <c r="H761" s="251"/>
      <c r="I761" s="251"/>
      <c r="J761" s="251"/>
      <c r="K761" s="251"/>
      <c r="L761" s="251"/>
      <c r="M761" s="251"/>
      <c r="N761" s="251"/>
      <c r="O761" s="251"/>
      <c r="P761" s="252"/>
      <c r="Q761" s="253"/>
      <c r="R761" s="252"/>
      <c r="S761" s="251"/>
      <c r="T761" s="251"/>
      <c r="U761" s="251"/>
      <c r="V761" s="251"/>
      <c r="W761" s="251"/>
      <c r="X761" s="251"/>
      <c r="Y761" s="251"/>
      <c r="Z761" s="251"/>
    </row>
    <row r="762">
      <c r="A762" s="250"/>
      <c r="B762" s="251"/>
      <c r="C762" s="251" t="s">
        <v>39</v>
      </c>
      <c r="D762" s="252" t="s">
        <v>39</v>
      </c>
      <c r="E762" s="252" t="s">
        <v>39</v>
      </c>
      <c r="F762" s="252"/>
      <c r="G762" s="251"/>
      <c r="H762" s="251"/>
      <c r="I762" s="251"/>
      <c r="J762" s="251"/>
      <c r="K762" s="251"/>
      <c r="L762" s="251"/>
      <c r="M762" s="251"/>
      <c r="N762" s="251"/>
      <c r="O762" s="251"/>
      <c r="P762" s="252"/>
      <c r="Q762" s="253"/>
      <c r="R762" s="252"/>
      <c r="S762" s="251"/>
      <c r="T762" s="251"/>
      <c r="U762" s="251"/>
      <c r="V762" s="251"/>
      <c r="W762" s="251"/>
      <c r="X762" s="251"/>
      <c r="Y762" s="251"/>
      <c r="Z762" s="251"/>
    </row>
    <row r="763">
      <c r="A763" s="250"/>
      <c r="B763" s="251"/>
      <c r="C763" s="251" t="s">
        <v>39</v>
      </c>
      <c r="D763" s="252" t="s">
        <v>39</v>
      </c>
      <c r="E763" s="252" t="s">
        <v>39</v>
      </c>
      <c r="F763" s="252"/>
      <c r="G763" s="251"/>
      <c r="H763" s="251"/>
      <c r="I763" s="251"/>
      <c r="J763" s="251"/>
      <c r="K763" s="251"/>
      <c r="L763" s="251"/>
      <c r="M763" s="251"/>
      <c r="N763" s="251"/>
      <c r="O763" s="251"/>
      <c r="P763" s="252"/>
      <c r="Q763" s="253"/>
      <c r="R763" s="252"/>
      <c r="S763" s="251"/>
      <c r="T763" s="251"/>
      <c r="U763" s="251"/>
      <c r="V763" s="251"/>
      <c r="W763" s="251"/>
      <c r="X763" s="251"/>
      <c r="Y763" s="251"/>
      <c r="Z763" s="251"/>
    </row>
    <row r="764">
      <c r="A764" s="250"/>
      <c r="B764" s="251"/>
      <c r="C764" s="251" t="s">
        <v>39</v>
      </c>
      <c r="D764" s="252" t="s">
        <v>39</v>
      </c>
      <c r="E764" s="252" t="s">
        <v>39</v>
      </c>
      <c r="F764" s="252"/>
      <c r="G764" s="251"/>
      <c r="H764" s="251"/>
      <c r="I764" s="251"/>
      <c r="J764" s="251"/>
      <c r="K764" s="251"/>
      <c r="L764" s="251"/>
      <c r="M764" s="251"/>
      <c r="N764" s="251"/>
      <c r="O764" s="251"/>
      <c r="P764" s="252"/>
      <c r="Q764" s="253"/>
      <c r="R764" s="252"/>
      <c r="S764" s="251"/>
      <c r="T764" s="251"/>
      <c r="U764" s="251"/>
      <c r="V764" s="251"/>
      <c r="W764" s="251"/>
      <c r="X764" s="251"/>
      <c r="Y764" s="251"/>
      <c r="Z764" s="251"/>
    </row>
    <row r="765">
      <c r="A765" s="250"/>
      <c r="B765" s="251"/>
      <c r="C765" s="251" t="s">
        <v>39</v>
      </c>
      <c r="D765" s="252" t="s">
        <v>39</v>
      </c>
      <c r="E765" s="252" t="s">
        <v>39</v>
      </c>
      <c r="F765" s="252"/>
      <c r="G765" s="251"/>
      <c r="H765" s="251"/>
      <c r="I765" s="251"/>
      <c r="J765" s="251"/>
      <c r="K765" s="251"/>
      <c r="L765" s="251"/>
      <c r="M765" s="251"/>
      <c r="N765" s="251"/>
      <c r="O765" s="251"/>
      <c r="P765" s="252"/>
      <c r="Q765" s="253"/>
      <c r="R765" s="252"/>
      <c r="S765" s="251"/>
      <c r="T765" s="251"/>
      <c r="U765" s="251"/>
      <c r="V765" s="251"/>
      <c r="W765" s="251"/>
      <c r="X765" s="251"/>
      <c r="Y765" s="251"/>
      <c r="Z765" s="251"/>
    </row>
    <row r="766">
      <c r="A766" s="250"/>
      <c r="B766" s="251"/>
      <c r="C766" s="251" t="s">
        <v>39</v>
      </c>
      <c r="D766" s="252" t="s">
        <v>39</v>
      </c>
      <c r="E766" s="252" t="s">
        <v>39</v>
      </c>
      <c r="F766" s="252"/>
      <c r="G766" s="251"/>
      <c r="H766" s="251"/>
      <c r="I766" s="251"/>
      <c r="J766" s="251"/>
      <c r="K766" s="251"/>
      <c r="L766" s="251"/>
      <c r="M766" s="251"/>
      <c r="N766" s="251"/>
      <c r="O766" s="251"/>
      <c r="P766" s="252"/>
      <c r="Q766" s="253"/>
      <c r="R766" s="252"/>
      <c r="S766" s="251"/>
      <c r="T766" s="251"/>
      <c r="U766" s="251"/>
      <c r="V766" s="251"/>
      <c r="W766" s="251"/>
      <c r="X766" s="251"/>
      <c r="Y766" s="251"/>
      <c r="Z766" s="251"/>
    </row>
    <row r="767">
      <c r="A767" s="250"/>
      <c r="B767" s="251"/>
      <c r="C767" s="251" t="s">
        <v>39</v>
      </c>
      <c r="D767" s="252" t="s">
        <v>39</v>
      </c>
      <c r="E767" s="252" t="s">
        <v>39</v>
      </c>
      <c r="F767" s="252"/>
      <c r="G767" s="251"/>
      <c r="H767" s="251"/>
      <c r="I767" s="251"/>
      <c r="J767" s="251"/>
      <c r="K767" s="251"/>
      <c r="L767" s="251"/>
      <c r="M767" s="251"/>
      <c r="N767" s="251"/>
      <c r="O767" s="251"/>
      <c r="P767" s="252"/>
      <c r="Q767" s="253"/>
      <c r="R767" s="252"/>
      <c r="S767" s="251"/>
      <c r="T767" s="251"/>
      <c r="U767" s="251"/>
      <c r="V767" s="251"/>
      <c r="W767" s="251"/>
      <c r="X767" s="251"/>
      <c r="Y767" s="251"/>
      <c r="Z767" s="251"/>
    </row>
    <row r="768">
      <c r="A768" s="250"/>
      <c r="B768" s="251"/>
      <c r="C768" s="251" t="s">
        <v>39</v>
      </c>
      <c r="D768" s="252" t="s">
        <v>39</v>
      </c>
      <c r="E768" s="252" t="s">
        <v>39</v>
      </c>
      <c r="F768" s="252"/>
      <c r="G768" s="251"/>
      <c r="H768" s="251"/>
      <c r="I768" s="251"/>
      <c r="J768" s="251"/>
      <c r="K768" s="251"/>
      <c r="L768" s="251"/>
      <c r="M768" s="251"/>
      <c r="N768" s="251"/>
      <c r="O768" s="251"/>
      <c r="P768" s="252"/>
      <c r="Q768" s="253"/>
      <c r="R768" s="252"/>
      <c r="S768" s="251"/>
      <c r="T768" s="251"/>
      <c r="U768" s="251"/>
      <c r="V768" s="251"/>
      <c r="W768" s="251"/>
      <c r="X768" s="251"/>
      <c r="Y768" s="251"/>
      <c r="Z768" s="251"/>
    </row>
    <row r="769">
      <c r="A769" s="250"/>
      <c r="B769" s="251"/>
      <c r="C769" s="251" t="s">
        <v>39</v>
      </c>
      <c r="D769" s="252" t="s">
        <v>39</v>
      </c>
      <c r="E769" s="252" t="s">
        <v>39</v>
      </c>
      <c r="F769" s="252"/>
      <c r="G769" s="251"/>
      <c r="H769" s="251"/>
      <c r="I769" s="251"/>
      <c r="J769" s="251"/>
      <c r="K769" s="251"/>
      <c r="L769" s="251"/>
      <c r="M769" s="251"/>
      <c r="N769" s="251"/>
      <c r="O769" s="251"/>
      <c r="P769" s="252"/>
      <c r="Q769" s="253"/>
      <c r="R769" s="252"/>
      <c r="S769" s="251"/>
      <c r="T769" s="251"/>
      <c r="U769" s="251"/>
      <c r="V769" s="251"/>
      <c r="W769" s="251"/>
      <c r="X769" s="251"/>
      <c r="Y769" s="251"/>
      <c r="Z769" s="251"/>
    </row>
    <row r="770">
      <c r="A770" s="250"/>
      <c r="B770" s="251"/>
      <c r="C770" s="251" t="s">
        <v>39</v>
      </c>
      <c r="D770" s="252" t="s">
        <v>39</v>
      </c>
      <c r="E770" s="252" t="s">
        <v>39</v>
      </c>
      <c r="F770" s="252"/>
      <c r="G770" s="251"/>
      <c r="H770" s="251"/>
      <c r="I770" s="251"/>
      <c r="J770" s="251"/>
      <c r="K770" s="251"/>
      <c r="L770" s="251"/>
      <c r="M770" s="251"/>
      <c r="N770" s="251"/>
      <c r="O770" s="251"/>
      <c r="P770" s="252"/>
      <c r="Q770" s="253"/>
      <c r="R770" s="252"/>
      <c r="S770" s="251"/>
      <c r="T770" s="251"/>
      <c r="U770" s="251"/>
      <c r="V770" s="251"/>
      <c r="W770" s="251"/>
      <c r="X770" s="251"/>
      <c r="Y770" s="251"/>
      <c r="Z770" s="251"/>
    </row>
    <row r="771">
      <c r="A771" s="250"/>
      <c r="B771" s="251"/>
      <c r="C771" s="251" t="s">
        <v>39</v>
      </c>
      <c r="D771" s="252" t="s">
        <v>39</v>
      </c>
      <c r="E771" s="252" t="s">
        <v>39</v>
      </c>
      <c r="F771" s="252"/>
      <c r="G771" s="251"/>
      <c r="H771" s="251"/>
      <c r="I771" s="251"/>
      <c r="J771" s="251"/>
      <c r="K771" s="251"/>
      <c r="L771" s="251"/>
      <c r="M771" s="251"/>
      <c r="N771" s="251"/>
      <c r="O771" s="251"/>
      <c r="P771" s="252"/>
      <c r="Q771" s="253"/>
      <c r="R771" s="252"/>
      <c r="S771" s="251"/>
      <c r="T771" s="251"/>
      <c r="U771" s="251"/>
      <c r="V771" s="251"/>
      <c r="W771" s="251"/>
      <c r="X771" s="251"/>
      <c r="Y771" s="251"/>
      <c r="Z771" s="251"/>
    </row>
    <row r="772">
      <c r="A772" s="250"/>
      <c r="B772" s="251"/>
      <c r="C772" s="251" t="s">
        <v>39</v>
      </c>
      <c r="D772" s="252" t="s">
        <v>39</v>
      </c>
      <c r="E772" s="252" t="s">
        <v>39</v>
      </c>
      <c r="F772" s="252"/>
      <c r="G772" s="251"/>
      <c r="H772" s="251"/>
      <c r="I772" s="251"/>
      <c r="J772" s="251"/>
      <c r="K772" s="251"/>
      <c r="L772" s="251"/>
      <c r="M772" s="251"/>
      <c r="N772" s="251"/>
      <c r="O772" s="251"/>
      <c r="P772" s="252"/>
      <c r="Q772" s="253"/>
      <c r="R772" s="252"/>
      <c r="S772" s="251"/>
      <c r="T772" s="251"/>
      <c r="U772" s="251"/>
      <c r="V772" s="251"/>
      <c r="W772" s="251"/>
      <c r="X772" s="251"/>
      <c r="Y772" s="251"/>
      <c r="Z772" s="251"/>
    </row>
    <row r="773">
      <c r="A773" s="250"/>
      <c r="B773" s="251"/>
      <c r="C773" s="251" t="s">
        <v>39</v>
      </c>
      <c r="D773" s="252" t="s">
        <v>39</v>
      </c>
      <c r="E773" s="252" t="s">
        <v>39</v>
      </c>
      <c r="F773" s="252"/>
      <c r="G773" s="251"/>
      <c r="H773" s="251"/>
      <c r="I773" s="251"/>
      <c r="J773" s="251"/>
      <c r="K773" s="251"/>
      <c r="L773" s="251"/>
      <c r="M773" s="251"/>
      <c r="N773" s="251"/>
      <c r="O773" s="251"/>
      <c r="P773" s="252"/>
      <c r="Q773" s="253"/>
      <c r="R773" s="252"/>
      <c r="S773" s="251"/>
      <c r="T773" s="251"/>
      <c r="U773" s="251"/>
      <c r="V773" s="251"/>
      <c r="W773" s="251"/>
      <c r="X773" s="251"/>
      <c r="Y773" s="251"/>
      <c r="Z773" s="251"/>
    </row>
    <row r="774">
      <c r="A774" s="250"/>
      <c r="B774" s="251"/>
      <c r="C774" s="251" t="s">
        <v>39</v>
      </c>
      <c r="D774" s="252" t="s">
        <v>39</v>
      </c>
      <c r="E774" s="252" t="s">
        <v>39</v>
      </c>
      <c r="F774" s="252"/>
      <c r="G774" s="251"/>
      <c r="H774" s="251"/>
      <c r="I774" s="251"/>
      <c r="J774" s="251"/>
      <c r="K774" s="251"/>
      <c r="L774" s="251"/>
      <c r="M774" s="251"/>
      <c r="N774" s="251"/>
      <c r="O774" s="251"/>
      <c r="P774" s="252"/>
      <c r="Q774" s="253"/>
      <c r="R774" s="252"/>
      <c r="S774" s="251"/>
      <c r="T774" s="251"/>
      <c r="U774" s="251"/>
      <c r="V774" s="251"/>
      <c r="W774" s="251"/>
      <c r="X774" s="251"/>
      <c r="Y774" s="251"/>
      <c r="Z774" s="251"/>
    </row>
    <row r="775">
      <c r="A775" s="250"/>
      <c r="B775" s="251"/>
      <c r="C775" s="251" t="s">
        <v>39</v>
      </c>
      <c r="D775" s="252" t="s">
        <v>39</v>
      </c>
      <c r="E775" s="252" t="s">
        <v>39</v>
      </c>
      <c r="F775" s="252"/>
      <c r="G775" s="251"/>
      <c r="H775" s="251"/>
      <c r="I775" s="251"/>
      <c r="J775" s="251"/>
      <c r="K775" s="251"/>
      <c r="L775" s="251"/>
      <c r="M775" s="251"/>
      <c r="N775" s="251"/>
      <c r="O775" s="251"/>
      <c r="P775" s="252"/>
      <c r="Q775" s="253"/>
      <c r="R775" s="252"/>
      <c r="S775" s="251"/>
      <c r="T775" s="251"/>
      <c r="U775" s="251"/>
      <c r="V775" s="251"/>
      <c r="W775" s="251"/>
      <c r="X775" s="251"/>
      <c r="Y775" s="251"/>
      <c r="Z775" s="251"/>
    </row>
    <row r="776">
      <c r="A776" s="250"/>
      <c r="B776" s="251"/>
      <c r="C776" s="251" t="s">
        <v>39</v>
      </c>
      <c r="D776" s="252" t="s">
        <v>39</v>
      </c>
      <c r="E776" s="252" t="s">
        <v>39</v>
      </c>
      <c r="F776" s="252"/>
      <c r="G776" s="251"/>
      <c r="H776" s="251"/>
      <c r="I776" s="251"/>
      <c r="J776" s="251"/>
      <c r="K776" s="251"/>
      <c r="L776" s="251"/>
      <c r="M776" s="251"/>
      <c r="N776" s="251"/>
      <c r="O776" s="251"/>
      <c r="P776" s="252"/>
      <c r="Q776" s="253"/>
      <c r="R776" s="252"/>
      <c r="S776" s="251"/>
      <c r="T776" s="251"/>
      <c r="U776" s="251"/>
      <c r="V776" s="251"/>
      <c r="W776" s="251"/>
      <c r="X776" s="251"/>
      <c r="Y776" s="251"/>
      <c r="Z776" s="251"/>
    </row>
    <row r="777">
      <c r="A777" s="250"/>
      <c r="B777" s="251"/>
      <c r="C777" s="251" t="s">
        <v>39</v>
      </c>
      <c r="D777" s="252" t="s">
        <v>39</v>
      </c>
      <c r="E777" s="252" t="s">
        <v>39</v>
      </c>
      <c r="F777" s="252"/>
      <c r="G777" s="251"/>
      <c r="H777" s="251"/>
      <c r="I777" s="251"/>
      <c r="J777" s="251"/>
      <c r="K777" s="251"/>
      <c r="L777" s="251"/>
      <c r="M777" s="251"/>
      <c r="N777" s="251"/>
      <c r="O777" s="251"/>
      <c r="P777" s="252"/>
      <c r="Q777" s="253"/>
      <c r="R777" s="252"/>
      <c r="S777" s="251"/>
      <c r="T777" s="251"/>
      <c r="U777" s="251"/>
      <c r="V777" s="251"/>
      <c r="W777" s="251"/>
      <c r="X777" s="251"/>
      <c r="Y777" s="251"/>
      <c r="Z777" s="251"/>
    </row>
    <row r="778">
      <c r="A778" s="250"/>
      <c r="B778" s="251"/>
      <c r="C778" s="251" t="s">
        <v>39</v>
      </c>
      <c r="D778" s="252" t="s">
        <v>39</v>
      </c>
      <c r="E778" s="252" t="s">
        <v>39</v>
      </c>
      <c r="F778" s="252"/>
      <c r="G778" s="251"/>
      <c r="H778" s="251"/>
      <c r="I778" s="251"/>
      <c r="J778" s="251"/>
      <c r="K778" s="251"/>
      <c r="L778" s="251"/>
      <c r="M778" s="251"/>
      <c r="N778" s="251"/>
      <c r="O778" s="251"/>
      <c r="P778" s="252"/>
      <c r="Q778" s="253"/>
      <c r="R778" s="252"/>
      <c r="S778" s="251"/>
      <c r="T778" s="251"/>
      <c r="U778" s="251"/>
      <c r="V778" s="251"/>
      <c r="W778" s="251"/>
      <c r="X778" s="251"/>
      <c r="Y778" s="251"/>
      <c r="Z778" s="251"/>
    </row>
    <row r="779">
      <c r="A779" s="250"/>
      <c r="B779" s="251"/>
      <c r="C779" s="251" t="s">
        <v>39</v>
      </c>
      <c r="D779" s="252" t="s">
        <v>39</v>
      </c>
      <c r="E779" s="252" t="s">
        <v>39</v>
      </c>
      <c r="F779" s="252"/>
      <c r="G779" s="251"/>
      <c r="H779" s="251"/>
      <c r="I779" s="251"/>
      <c r="J779" s="251"/>
      <c r="K779" s="251"/>
      <c r="L779" s="251"/>
      <c r="M779" s="251"/>
      <c r="N779" s="251"/>
      <c r="O779" s="251"/>
      <c r="P779" s="252"/>
      <c r="Q779" s="253"/>
      <c r="R779" s="252"/>
      <c r="S779" s="251"/>
      <c r="T779" s="251"/>
      <c r="U779" s="251"/>
      <c r="V779" s="251"/>
      <c r="W779" s="251"/>
      <c r="X779" s="251"/>
      <c r="Y779" s="251"/>
      <c r="Z779" s="251"/>
    </row>
    <row r="780">
      <c r="A780" s="250"/>
      <c r="B780" s="251"/>
      <c r="C780" s="251" t="s">
        <v>39</v>
      </c>
      <c r="D780" s="252" t="s">
        <v>39</v>
      </c>
      <c r="E780" s="252" t="s">
        <v>39</v>
      </c>
      <c r="F780" s="252"/>
      <c r="G780" s="251"/>
      <c r="H780" s="251"/>
      <c r="I780" s="251"/>
      <c r="J780" s="251"/>
      <c r="K780" s="251"/>
      <c r="L780" s="251"/>
      <c r="M780" s="251"/>
      <c r="N780" s="251"/>
      <c r="O780" s="251"/>
      <c r="P780" s="252"/>
      <c r="Q780" s="253"/>
      <c r="R780" s="252"/>
      <c r="S780" s="251"/>
      <c r="T780" s="251"/>
      <c r="U780" s="251"/>
      <c r="V780" s="251"/>
      <c r="W780" s="251"/>
      <c r="X780" s="251"/>
      <c r="Y780" s="251"/>
      <c r="Z780" s="251"/>
    </row>
    <row r="781">
      <c r="A781" s="250"/>
      <c r="B781" s="251"/>
      <c r="C781" s="251" t="s">
        <v>39</v>
      </c>
      <c r="D781" s="252" t="s">
        <v>39</v>
      </c>
      <c r="E781" s="252" t="s">
        <v>39</v>
      </c>
      <c r="F781" s="252"/>
      <c r="G781" s="251"/>
      <c r="H781" s="251"/>
      <c r="I781" s="251"/>
      <c r="J781" s="251"/>
      <c r="K781" s="251"/>
      <c r="L781" s="251"/>
      <c r="M781" s="251"/>
      <c r="N781" s="251"/>
      <c r="O781" s="251"/>
      <c r="P781" s="252"/>
      <c r="Q781" s="253"/>
      <c r="R781" s="252"/>
      <c r="S781" s="251"/>
      <c r="T781" s="251"/>
      <c r="U781" s="251"/>
      <c r="V781" s="251"/>
      <c r="W781" s="251"/>
      <c r="X781" s="251"/>
      <c r="Y781" s="251"/>
      <c r="Z781" s="251"/>
    </row>
    <row r="782">
      <c r="A782" s="250"/>
      <c r="B782" s="251"/>
      <c r="C782" s="251" t="s">
        <v>39</v>
      </c>
      <c r="D782" s="252" t="s">
        <v>39</v>
      </c>
      <c r="E782" s="252" t="s">
        <v>39</v>
      </c>
      <c r="F782" s="252"/>
      <c r="G782" s="251"/>
      <c r="H782" s="251"/>
      <c r="I782" s="251"/>
      <c r="J782" s="251"/>
      <c r="K782" s="251"/>
      <c r="L782" s="251"/>
      <c r="M782" s="251"/>
      <c r="N782" s="251"/>
      <c r="O782" s="251"/>
      <c r="P782" s="252"/>
      <c r="Q782" s="253"/>
      <c r="R782" s="252"/>
      <c r="S782" s="251"/>
      <c r="T782" s="251"/>
      <c r="U782" s="251"/>
      <c r="V782" s="251"/>
      <c r="W782" s="251"/>
      <c r="X782" s="251"/>
      <c r="Y782" s="251"/>
      <c r="Z782" s="251"/>
    </row>
    <row r="783">
      <c r="A783" s="250"/>
      <c r="B783" s="251"/>
      <c r="C783" s="251" t="s">
        <v>39</v>
      </c>
      <c r="D783" s="252" t="s">
        <v>39</v>
      </c>
      <c r="E783" s="252" t="s">
        <v>39</v>
      </c>
      <c r="F783" s="252"/>
      <c r="G783" s="251"/>
      <c r="H783" s="251"/>
      <c r="I783" s="251"/>
      <c r="J783" s="251"/>
      <c r="K783" s="251"/>
      <c r="L783" s="251"/>
      <c r="M783" s="251"/>
      <c r="N783" s="251"/>
      <c r="O783" s="251"/>
      <c r="P783" s="252"/>
      <c r="Q783" s="253"/>
      <c r="R783" s="252"/>
      <c r="S783" s="251"/>
      <c r="T783" s="251"/>
      <c r="U783" s="251"/>
      <c r="V783" s="251"/>
      <c r="W783" s="251"/>
      <c r="X783" s="251"/>
      <c r="Y783" s="251"/>
      <c r="Z783" s="251"/>
    </row>
    <row r="784">
      <c r="A784" s="250"/>
      <c r="B784" s="251"/>
      <c r="C784" s="251" t="s">
        <v>39</v>
      </c>
      <c r="D784" s="252" t="s">
        <v>39</v>
      </c>
      <c r="E784" s="252" t="s">
        <v>39</v>
      </c>
      <c r="F784" s="252"/>
      <c r="G784" s="251"/>
      <c r="H784" s="251"/>
      <c r="I784" s="251"/>
      <c r="J784" s="251"/>
      <c r="K784" s="251"/>
      <c r="L784" s="251"/>
      <c r="M784" s="251"/>
      <c r="N784" s="251"/>
      <c r="O784" s="251"/>
      <c r="P784" s="252"/>
      <c r="Q784" s="253"/>
      <c r="R784" s="252"/>
      <c r="S784" s="251"/>
      <c r="T784" s="251"/>
      <c r="U784" s="251"/>
      <c r="V784" s="251"/>
      <c r="W784" s="251"/>
      <c r="X784" s="251"/>
      <c r="Y784" s="251"/>
      <c r="Z784" s="251"/>
    </row>
    <row r="785">
      <c r="A785" s="250"/>
      <c r="B785" s="251"/>
      <c r="C785" s="251" t="s">
        <v>39</v>
      </c>
      <c r="D785" s="252" t="s">
        <v>39</v>
      </c>
      <c r="E785" s="252" t="s">
        <v>39</v>
      </c>
      <c r="F785" s="252"/>
      <c r="G785" s="251"/>
      <c r="H785" s="251"/>
      <c r="I785" s="251"/>
      <c r="J785" s="251"/>
      <c r="K785" s="251"/>
      <c r="L785" s="251"/>
      <c r="M785" s="251"/>
      <c r="N785" s="251"/>
      <c r="O785" s="251"/>
      <c r="P785" s="252"/>
      <c r="Q785" s="253"/>
      <c r="R785" s="252"/>
      <c r="S785" s="251"/>
      <c r="T785" s="251"/>
      <c r="U785" s="251"/>
      <c r="V785" s="251"/>
      <c r="W785" s="251"/>
      <c r="X785" s="251"/>
      <c r="Y785" s="251"/>
      <c r="Z785" s="251"/>
    </row>
    <row r="786">
      <c r="A786" s="250"/>
      <c r="B786" s="251"/>
      <c r="C786" s="251" t="s">
        <v>39</v>
      </c>
      <c r="D786" s="252" t="s">
        <v>39</v>
      </c>
      <c r="E786" s="252" t="s">
        <v>39</v>
      </c>
      <c r="F786" s="252"/>
      <c r="G786" s="251"/>
      <c r="H786" s="251"/>
      <c r="I786" s="251"/>
      <c r="J786" s="251"/>
      <c r="K786" s="251"/>
      <c r="L786" s="251"/>
      <c r="M786" s="251"/>
      <c r="N786" s="251"/>
      <c r="O786" s="251"/>
      <c r="P786" s="252"/>
      <c r="Q786" s="253"/>
      <c r="R786" s="252"/>
      <c r="S786" s="251"/>
      <c r="T786" s="251"/>
      <c r="U786" s="251"/>
      <c r="V786" s="251"/>
      <c r="W786" s="251"/>
      <c r="X786" s="251"/>
      <c r="Y786" s="251"/>
      <c r="Z786" s="251"/>
    </row>
    <row r="787">
      <c r="A787" s="250"/>
      <c r="B787" s="251"/>
      <c r="C787" s="251" t="s">
        <v>39</v>
      </c>
      <c r="D787" s="252" t="s">
        <v>39</v>
      </c>
      <c r="E787" s="252" t="s">
        <v>39</v>
      </c>
      <c r="F787" s="252"/>
      <c r="G787" s="251"/>
      <c r="H787" s="251"/>
      <c r="I787" s="251"/>
      <c r="J787" s="251"/>
      <c r="K787" s="251"/>
      <c r="L787" s="251"/>
      <c r="M787" s="251"/>
      <c r="N787" s="251"/>
      <c r="O787" s="251"/>
      <c r="P787" s="252"/>
      <c r="Q787" s="253"/>
      <c r="R787" s="252"/>
      <c r="S787" s="251"/>
      <c r="T787" s="251"/>
      <c r="U787" s="251"/>
      <c r="V787" s="251"/>
      <c r="W787" s="251"/>
      <c r="X787" s="251"/>
      <c r="Y787" s="251"/>
      <c r="Z787" s="251"/>
    </row>
    <row r="788">
      <c r="A788" s="250"/>
      <c r="B788" s="251"/>
      <c r="C788" s="251" t="s">
        <v>39</v>
      </c>
      <c r="D788" s="252" t="s">
        <v>39</v>
      </c>
      <c r="E788" s="252" t="s">
        <v>39</v>
      </c>
      <c r="F788" s="252"/>
      <c r="G788" s="251"/>
      <c r="H788" s="251"/>
      <c r="I788" s="251"/>
      <c r="J788" s="251"/>
      <c r="K788" s="251"/>
      <c r="L788" s="251"/>
      <c r="M788" s="251"/>
      <c r="N788" s="251"/>
      <c r="O788" s="251"/>
      <c r="P788" s="252"/>
      <c r="Q788" s="253"/>
      <c r="R788" s="252"/>
      <c r="S788" s="251"/>
      <c r="T788" s="251"/>
      <c r="U788" s="251"/>
      <c r="V788" s="251"/>
      <c r="W788" s="251"/>
      <c r="X788" s="251"/>
      <c r="Y788" s="251"/>
      <c r="Z788" s="251"/>
    </row>
    <row r="789">
      <c r="A789" s="250"/>
      <c r="B789" s="251"/>
      <c r="C789" s="251" t="s">
        <v>39</v>
      </c>
      <c r="D789" s="252" t="s">
        <v>39</v>
      </c>
      <c r="E789" s="252" t="s">
        <v>39</v>
      </c>
      <c r="F789" s="252"/>
      <c r="G789" s="251"/>
      <c r="H789" s="251"/>
      <c r="I789" s="251"/>
      <c r="J789" s="251"/>
      <c r="K789" s="251"/>
      <c r="L789" s="251"/>
      <c r="M789" s="251"/>
      <c r="N789" s="251"/>
      <c r="O789" s="251"/>
      <c r="P789" s="252"/>
      <c r="Q789" s="253"/>
      <c r="R789" s="252"/>
      <c r="S789" s="251"/>
      <c r="T789" s="251"/>
      <c r="U789" s="251"/>
      <c r="V789" s="251"/>
      <c r="W789" s="251"/>
      <c r="X789" s="251"/>
      <c r="Y789" s="251"/>
      <c r="Z789" s="251"/>
    </row>
    <row r="790">
      <c r="A790" s="250"/>
      <c r="B790" s="251"/>
      <c r="C790" s="251" t="s">
        <v>39</v>
      </c>
      <c r="D790" s="252" t="s">
        <v>39</v>
      </c>
      <c r="E790" s="252" t="s">
        <v>39</v>
      </c>
      <c r="F790" s="252"/>
      <c r="G790" s="251"/>
      <c r="H790" s="251"/>
      <c r="I790" s="251"/>
      <c r="J790" s="251"/>
      <c r="K790" s="251"/>
      <c r="L790" s="251"/>
      <c r="M790" s="251"/>
      <c r="N790" s="251"/>
      <c r="O790" s="251"/>
      <c r="P790" s="252"/>
      <c r="Q790" s="253"/>
      <c r="R790" s="252"/>
      <c r="S790" s="251"/>
      <c r="T790" s="251"/>
      <c r="U790" s="251"/>
      <c r="V790" s="251"/>
      <c r="W790" s="251"/>
      <c r="X790" s="251"/>
      <c r="Y790" s="251"/>
      <c r="Z790" s="251"/>
    </row>
    <row r="791">
      <c r="A791" s="250"/>
      <c r="B791" s="251"/>
      <c r="C791" s="251" t="s">
        <v>39</v>
      </c>
      <c r="D791" s="252" t="s">
        <v>39</v>
      </c>
      <c r="E791" s="252" t="s">
        <v>39</v>
      </c>
      <c r="F791" s="252"/>
      <c r="G791" s="251"/>
      <c r="H791" s="251"/>
      <c r="I791" s="251"/>
      <c r="J791" s="251"/>
      <c r="K791" s="251"/>
      <c r="L791" s="251"/>
      <c r="M791" s="251"/>
      <c r="N791" s="251"/>
      <c r="O791" s="251"/>
      <c r="P791" s="252"/>
      <c r="Q791" s="253"/>
      <c r="R791" s="252"/>
      <c r="S791" s="251"/>
      <c r="T791" s="251"/>
      <c r="U791" s="251"/>
      <c r="V791" s="251"/>
      <c r="W791" s="251"/>
      <c r="X791" s="251"/>
      <c r="Y791" s="251"/>
      <c r="Z791" s="251"/>
    </row>
    <row r="792">
      <c r="A792" s="250"/>
      <c r="B792" s="251"/>
      <c r="C792" s="251" t="s">
        <v>39</v>
      </c>
      <c r="D792" s="252" t="s">
        <v>39</v>
      </c>
      <c r="E792" s="252" t="s">
        <v>39</v>
      </c>
      <c r="F792" s="252"/>
      <c r="G792" s="251"/>
      <c r="H792" s="251"/>
      <c r="I792" s="251"/>
      <c r="J792" s="251"/>
      <c r="K792" s="251"/>
      <c r="L792" s="251"/>
      <c r="M792" s="251"/>
      <c r="N792" s="251"/>
      <c r="O792" s="251"/>
      <c r="P792" s="252"/>
      <c r="Q792" s="253"/>
      <c r="R792" s="252"/>
      <c r="S792" s="251"/>
      <c r="T792" s="251"/>
      <c r="U792" s="251"/>
      <c r="V792" s="251"/>
      <c r="W792" s="251"/>
      <c r="X792" s="251"/>
      <c r="Y792" s="251"/>
      <c r="Z792" s="251"/>
    </row>
    <row r="793">
      <c r="A793" s="250"/>
      <c r="B793" s="251"/>
      <c r="C793" s="251" t="s">
        <v>39</v>
      </c>
      <c r="D793" s="252" t="s">
        <v>39</v>
      </c>
      <c r="E793" s="252" t="s">
        <v>39</v>
      </c>
      <c r="F793" s="252"/>
      <c r="G793" s="251"/>
      <c r="H793" s="251"/>
      <c r="I793" s="251"/>
      <c r="J793" s="251"/>
      <c r="K793" s="251"/>
      <c r="L793" s="251"/>
      <c r="M793" s="251"/>
      <c r="N793" s="251"/>
      <c r="O793" s="251"/>
      <c r="P793" s="252"/>
      <c r="Q793" s="253"/>
      <c r="R793" s="252"/>
      <c r="S793" s="251"/>
      <c r="T793" s="251"/>
      <c r="U793" s="251"/>
      <c r="V793" s="251"/>
      <c r="W793" s="251"/>
      <c r="X793" s="251"/>
      <c r="Y793" s="251"/>
      <c r="Z793" s="251"/>
    </row>
    <row r="794">
      <c r="A794" s="250"/>
      <c r="B794" s="251"/>
      <c r="C794" s="251" t="s">
        <v>39</v>
      </c>
      <c r="D794" s="252" t="s">
        <v>39</v>
      </c>
      <c r="E794" s="252" t="s">
        <v>39</v>
      </c>
      <c r="F794" s="252"/>
      <c r="G794" s="251"/>
      <c r="H794" s="251"/>
      <c r="I794" s="251"/>
      <c r="J794" s="251"/>
      <c r="K794" s="251"/>
      <c r="L794" s="251"/>
      <c r="M794" s="251"/>
      <c r="N794" s="251"/>
      <c r="O794" s="251"/>
      <c r="P794" s="252"/>
      <c r="Q794" s="253"/>
      <c r="R794" s="252"/>
      <c r="S794" s="251"/>
      <c r="T794" s="251"/>
      <c r="U794" s="251"/>
      <c r="V794" s="251"/>
      <c r="W794" s="251"/>
      <c r="X794" s="251"/>
      <c r="Y794" s="251"/>
      <c r="Z794" s="251"/>
    </row>
    <row r="795">
      <c r="A795" s="250"/>
      <c r="B795" s="251"/>
      <c r="C795" s="251" t="s">
        <v>39</v>
      </c>
      <c r="D795" s="252" t="s">
        <v>39</v>
      </c>
      <c r="E795" s="252" t="s">
        <v>39</v>
      </c>
      <c r="F795" s="252"/>
      <c r="G795" s="251"/>
      <c r="H795" s="251"/>
      <c r="I795" s="251"/>
      <c r="J795" s="251"/>
      <c r="K795" s="251"/>
      <c r="L795" s="251"/>
      <c r="M795" s="251"/>
      <c r="N795" s="251"/>
      <c r="O795" s="251"/>
      <c r="P795" s="252"/>
      <c r="Q795" s="253"/>
      <c r="R795" s="252"/>
      <c r="S795" s="251"/>
      <c r="T795" s="251"/>
      <c r="U795" s="251"/>
      <c r="V795" s="251"/>
      <c r="W795" s="251"/>
      <c r="X795" s="251"/>
      <c r="Y795" s="251"/>
      <c r="Z795" s="251"/>
    </row>
    <row r="796">
      <c r="A796" s="250"/>
      <c r="B796" s="251"/>
      <c r="C796" s="251" t="s">
        <v>39</v>
      </c>
      <c r="D796" s="252" t="s">
        <v>39</v>
      </c>
      <c r="E796" s="252" t="s">
        <v>39</v>
      </c>
      <c r="F796" s="252"/>
      <c r="G796" s="251"/>
      <c r="H796" s="251"/>
      <c r="I796" s="251"/>
      <c r="J796" s="251"/>
      <c r="K796" s="251"/>
      <c r="L796" s="251"/>
      <c r="M796" s="251"/>
      <c r="N796" s="251"/>
      <c r="O796" s="251"/>
      <c r="P796" s="252"/>
      <c r="Q796" s="253"/>
      <c r="R796" s="252"/>
      <c r="S796" s="251"/>
      <c r="T796" s="251"/>
      <c r="U796" s="251"/>
      <c r="V796" s="251"/>
      <c r="W796" s="251"/>
      <c r="X796" s="251"/>
      <c r="Y796" s="251"/>
      <c r="Z796" s="251"/>
    </row>
    <row r="797">
      <c r="A797" s="250"/>
      <c r="B797" s="251"/>
      <c r="C797" s="251" t="s">
        <v>39</v>
      </c>
      <c r="D797" s="252" t="s">
        <v>39</v>
      </c>
      <c r="E797" s="252" t="s">
        <v>39</v>
      </c>
      <c r="F797" s="252"/>
      <c r="G797" s="251"/>
      <c r="H797" s="251"/>
      <c r="I797" s="251"/>
      <c r="J797" s="251"/>
      <c r="K797" s="251"/>
      <c r="L797" s="251"/>
      <c r="M797" s="251"/>
      <c r="N797" s="251"/>
      <c r="O797" s="251"/>
      <c r="P797" s="252"/>
      <c r="Q797" s="253"/>
      <c r="R797" s="252"/>
      <c r="S797" s="251"/>
      <c r="T797" s="251"/>
      <c r="U797" s="251"/>
      <c r="V797" s="251"/>
      <c r="W797" s="251"/>
      <c r="X797" s="251"/>
      <c r="Y797" s="251"/>
      <c r="Z797" s="251"/>
    </row>
    <row r="798">
      <c r="A798" s="250"/>
      <c r="B798" s="251"/>
      <c r="C798" s="251" t="s">
        <v>39</v>
      </c>
      <c r="D798" s="252" t="s">
        <v>39</v>
      </c>
      <c r="E798" s="252" t="s">
        <v>39</v>
      </c>
      <c r="F798" s="252"/>
      <c r="G798" s="251"/>
      <c r="H798" s="251"/>
      <c r="I798" s="251"/>
      <c r="J798" s="251"/>
      <c r="K798" s="251"/>
      <c r="L798" s="251"/>
      <c r="M798" s="251"/>
      <c r="N798" s="251"/>
      <c r="O798" s="251"/>
      <c r="P798" s="252"/>
      <c r="Q798" s="253"/>
      <c r="R798" s="252"/>
      <c r="S798" s="251"/>
      <c r="T798" s="251"/>
      <c r="U798" s="251"/>
      <c r="V798" s="251"/>
      <c r="W798" s="251"/>
      <c r="X798" s="251"/>
      <c r="Y798" s="251"/>
      <c r="Z798" s="251"/>
    </row>
    <row r="799">
      <c r="A799" s="250"/>
      <c r="B799" s="251"/>
      <c r="C799" s="251" t="s">
        <v>39</v>
      </c>
      <c r="D799" s="252" t="s">
        <v>39</v>
      </c>
      <c r="E799" s="252" t="s">
        <v>39</v>
      </c>
      <c r="F799" s="252"/>
      <c r="G799" s="251"/>
      <c r="H799" s="251"/>
      <c r="I799" s="251"/>
      <c r="J799" s="251"/>
      <c r="K799" s="251"/>
      <c r="L799" s="251"/>
      <c r="M799" s="251"/>
      <c r="N799" s="251"/>
      <c r="O799" s="251"/>
      <c r="P799" s="252"/>
      <c r="Q799" s="253"/>
      <c r="R799" s="252"/>
      <c r="S799" s="251"/>
      <c r="T799" s="251"/>
      <c r="U799" s="251"/>
      <c r="V799" s="251"/>
      <c r="W799" s="251"/>
      <c r="X799" s="251"/>
      <c r="Y799" s="251"/>
      <c r="Z799" s="251"/>
    </row>
    <row r="800">
      <c r="A800" s="250"/>
      <c r="B800" s="251"/>
      <c r="C800" s="251" t="s">
        <v>39</v>
      </c>
      <c r="D800" s="252" t="s">
        <v>39</v>
      </c>
      <c r="E800" s="252" t="s">
        <v>39</v>
      </c>
      <c r="F800" s="252"/>
      <c r="G800" s="251"/>
      <c r="H800" s="251"/>
      <c r="I800" s="251"/>
      <c r="J800" s="251"/>
      <c r="K800" s="251"/>
      <c r="L800" s="251"/>
      <c r="M800" s="251"/>
      <c r="N800" s="251"/>
      <c r="O800" s="251"/>
      <c r="P800" s="252"/>
      <c r="Q800" s="253"/>
      <c r="R800" s="252"/>
      <c r="S800" s="251"/>
      <c r="T800" s="251"/>
      <c r="U800" s="251"/>
      <c r="V800" s="251"/>
      <c r="W800" s="251"/>
      <c r="X800" s="251"/>
      <c r="Y800" s="251"/>
      <c r="Z800" s="251"/>
    </row>
    <row r="801">
      <c r="A801" s="250"/>
      <c r="B801" s="251"/>
      <c r="C801" s="251" t="s">
        <v>39</v>
      </c>
      <c r="D801" s="252" t="s">
        <v>39</v>
      </c>
      <c r="E801" s="252" t="s">
        <v>39</v>
      </c>
      <c r="F801" s="252"/>
      <c r="G801" s="251"/>
      <c r="H801" s="251"/>
      <c r="I801" s="251"/>
      <c r="J801" s="251"/>
      <c r="K801" s="251"/>
      <c r="L801" s="251"/>
      <c r="M801" s="251"/>
      <c r="N801" s="251"/>
      <c r="O801" s="251"/>
      <c r="P801" s="252"/>
      <c r="Q801" s="253"/>
      <c r="R801" s="252"/>
      <c r="S801" s="251"/>
      <c r="T801" s="251"/>
      <c r="U801" s="251"/>
      <c r="V801" s="251"/>
      <c r="W801" s="251"/>
      <c r="X801" s="251"/>
      <c r="Y801" s="251"/>
      <c r="Z801" s="251"/>
    </row>
    <row r="802">
      <c r="A802" s="250"/>
      <c r="B802" s="251"/>
      <c r="C802" s="251" t="s">
        <v>39</v>
      </c>
      <c r="D802" s="252" t="s">
        <v>39</v>
      </c>
      <c r="E802" s="252" t="s">
        <v>39</v>
      </c>
      <c r="F802" s="252"/>
      <c r="G802" s="251"/>
      <c r="H802" s="251"/>
      <c r="I802" s="251"/>
      <c r="J802" s="251"/>
      <c r="K802" s="251"/>
      <c r="L802" s="251"/>
      <c r="M802" s="251"/>
      <c r="N802" s="251"/>
      <c r="O802" s="251"/>
      <c r="P802" s="252"/>
      <c r="Q802" s="253"/>
      <c r="R802" s="252"/>
      <c r="S802" s="251"/>
      <c r="T802" s="251"/>
      <c r="U802" s="251"/>
      <c r="V802" s="251"/>
      <c r="W802" s="251"/>
      <c r="X802" s="251"/>
      <c r="Y802" s="251"/>
      <c r="Z802" s="251"/>
    </row>
    <row r="803">
      <c r="A803" s="250"/>
      <c r="B803" s="251"/>
      <c r="C803" s="251" t="s">
        <v>39</v>
      </c>
      <c r="D803" s="252" t="s">
        <v>39</v>
      </c>
      <c r="E803" s="252" t="s">
        <v>39</v>
      </c>
      <c r="F803" s="252"/>
      <c r="G803" s="251"/>
      <c r="H803" s="251"/>
      <c r="I803" s="251"/>
      <c r="J803" s="251"/>
      <c r="K803" s="251"/>
      <c r="L803" s="251"/>
      <c r="M803" s="251"/>
      <c r="N803" s="251"/>
      <c r="O803" s="251"/>
      <c r="P803" s="252"/>
      <c r="Q803" s="253"/>
      <c r="R803" s="252"/>
      <c r="S803" s="251"/>
      <c r="T803" s="251"/>
      <c r="U803" s="251"/>
      <c r="V803" s="251"/>
      <c r="W803" s="251"/>
      <c r="X803" s="251"/>
      <c r="Y803" s="251"/>
      <c r="Z803" s="251"/>
    </row>
    <row r="804">
      <c r="A804" s="250"/>
      <c r="B804" s="251"/>
      <c r="C804" s="251" t="s">
        <v>39</v>
      </c>
      <c r="D804" s="252" t="s">
        <v>39</v>
      </c>
      <c r="E804" s="252" t="s">
        <v>39</v>
      </c>
      <c r="F804" s="252"/>
      <c r="G804" s="251"/>
      <c r="H804" s="251"/>
      <c r="I804" s="251"/>
      <c r="J804" s="251"/>
      <c r="K804" s="251"/>
      <c r="L804" s="251"/>
      <c r="M804" s="251"/>
      <c r="N804" s="251"/>
      <c r="O804" s="251"/>
      <c r="P804" s="252"/>
      <c r="Q804" s="253"/>
      <c r="R804" s="252"/>
      <c r="S804" s="251"/>
      <c r="T804" s="251"/>
      <c r="U804" s="251"/>
      <c r="V804" s="251"/>
      <c r="W804" s="251"/>
      <c r="X804" s="251"/>
      <c r="Y804" s="251"/>
      <c r="Z804" s="251"/>
    </row>
    <row r="805">
      <c r="A805" s="250"/>
      <c r="B805" s="251"/>
      <c r="C805" s="251" t="s">
        <v>39</v>
      </c>
      <c r="D805" s="252" t="s">
        <v>39</v>
      </c>
      <c r="E805" s="252" t="s">
        <v>39</v>
      </c>
      <c r="F805" s="252"/>
      <c r="G805" s="251"/>
      <c r="H805" s="251"/>
      <c r="I805" s="251"/>
      <c r="J805" s="251"/>
      <c r="K805" s="251"/>
      <c r="L805" s="251"/>
      <c r="M805" s="251"/>
      <c r="N805" s="251"/>
      <c r="O805" s="251"/>
      <c r="P805" s="252"/>
      <c r="Q805" s="253"/>
      <c r="R805" s="252"/>
      <c r="S805" s="251"/>
      <c r="T805" s="251"/>
      <c r="U805" s="251"/>
      <c r="V805" s="251"/>
      <c r="W805" s="251"/>
      <c r="X805" s="251"/>
      <c r="Y805" s="251"/>
      <c r="Z805" s="251"/>
    </row>
    <row r="806">
      <c r="A806" s="250"/>
      <c r="B806" s="251"/>
      <c r="C806" s="251" t="s">
        <v>39</v>
      </c>
      <c r="D806" s="252" t="s">
        <v>39</v>
      </c>
      <c r="E806" s="252" t="s">
        <v>39</v>
      </c>
      <c r="F806" s="252"/>
      <c r="G806" s="251"/>
      <c r="H806" s="251"/>
      <c r="I806" s="251"/>
      <c r="J806" s="251"/>
      <c r="K806" s="251"/>
      <c r="L806" s="251"/>
      <c r="M806" s="251"/>
      <c r="N806" s="251"/>
      <c r="O806" s="251"/>
      <c r="P806" s="252"/>
      <c r="Q806" s="253"/>
      <c r="R806" s="252"/>
      <c r="S806" s="251"/>
      <c r="T806" s="251"/>
      <c r="U806" s="251"/>
      <c r="V806" s="251"/>
      <c r="W806" s="251"/>
      <c r="X806" s="251"/>
      <c r="Y806" s="251"/>
      <c r="Z806" s="251"/>
    </row>
    <row r="807">
      <c r="A807" s="250"/>
      <c r="B807" s="251"/>
      <c r="C807" s="251" t="s">
        <v>39</v>
      </c>
      <c r="D807" s="252" t="s">
        <v>39</v>
      </c>
      <c r="E807" s="252" t="s">
        <v>39</v>
      </c>
      <c r="F807" s="252"/>
      <c r="G807" s="251"/>
      <c r="H807" s="251"/>
      <c r="I807" s="251"/>
      <c r="J807" s="251"/>
      <c r="K807" s="251"/>
      <c r="L807" s="251"/>
      <c r="M807" s="251"/>
      <c r="N807" s="251"/>
      <c r="O807" s="251"/>
      <c r="P807" s="252"/>
      <c r="Q807" s="253"/>
      <c r="R807" s="252"/>
      <c r="S807" s="251"/>
      <c r="T807" s="251"/>
      <c r="U807" s="251"/>
      <c r="V807" s="251"/>
      <c r="W807" s="251"/>
      <c r="X807" s="251"/>
      <c r="Y807" s="251"/>
      <c r="Z807" s="251"/>
    </row>
    <row r="808">
      <c r="A808" s="250"/>
      <c r="B808" s="251"/>
      <c r="C808" s="251" t="s">
        <v>39</v>
      </c>
      <c r="D808" s="252" t="s">
        <v>39</v>
      </c>
      <c r="E808" s="252" t="s">
        <v>39</v>
      </c>
      <c r="F808" s="252"/>
      <c r="G808" s="251"/>
      <c r="H808" s="251"/>
      <c r="I808" s="251"/>
      <c r="J808" s="251"/>
      <c r="K808" s="251"/>
      <c r="L808" s="251"/>
      <c r="M808" s="251"/>
      <c r="N808" s="251"/>
      <c r="O808" s="251"/>
      <c r="P808" s="252"/>
      <c r="Q808" s="253"/>
      <c r="R808" s="252"/>
      <c r="S808" s="251"/>
      <c r="T808" s="251"/>
      <c r="U808" s="251"/>
      <c r="V808" s="251"/>
      <c r="W808" s="251"/>
      <c r="X808" s="251"/>
      <c r="Y808" s="251"/>
      <c r="Z808" s="251"/>
    </row>
    <row r="809">
      <c r="A809" s="250"/>
      <c r="B809" s="251"/>
      <c r="C809" s="251" t="s">
        <v>39</v>
      </c>
      <c r="D809" s="252" t="s">
        <v>39</v>
      </c>
      <c r="E809" s="252" t="s">
        <v>39</v>
      </c>
      <c r="F809" s="252"/>
      <c r="G809" s="251"/>
      <c r="H809" s="251"/>
      <c r="I809" s="251"/>
      <c r="J809" s="251"/>
      <c r="K809" s="251"/>
      <c r="L809" s="251"/>
      <c r="M809" s="251"/>
      <c r="N809" s="251"/>
      <c r="O809" s="251"/>
      <c r="P809" s="252"/>
      <c r="Q809" s="253"/>
      <c r="R809" s="252"/>
      <c r="S809" s="251"/>
      <c r="T809" s="251"/>
      <c r="U809" s="251"/>
      <c r="V809" s="251"/>
      <c r="W809" s="251"/>
      <c r="X809" s="251"/>
      <c r="Y809" s="251"/>
      <c r="Z809" s="251"/>
    </row>
    <row r="810">
      <c r="A810" s="250"/>
      <c r="B810" s="251"/>
      <c r="C810" s="251" t="s">
        <v>39</v>
      </c>
      <c r="D810" s="252" t="s">
        <v>39</v>
      </c>
      <c r="E810" s="252" t="s">
        <v>39</v>
      </c>
      <c r="F810" s="252"/>
      <c r="G810" s="251"/>
      <c r="H810" s="251"/>
      <c r="I810" s="251"/>
      <c r="J810" s="251"/>
      <c r="K810" s="251"/>
      <c r="L810" s="251"/>
      <c r="M810" s="251"/>
      <c r="N810" s="251"/>
      <c r="O810" s="251"/>
      <c r="P810" s="252"/>
      <c r="Q810" s="253"/>
      <c r="R810" s="252"/>
      <c r="S810" s="251"/>
      <c r="T810" s="251"/>
      <c r="U810" s="251"/>
      <c r="V810" s="251"/>
      <c r="W810" s="251"/>
      <c r="X810" s="251"/>
      <c r="Y810" s="251"/>
      <c r="Z810" s="251"/>
    </row>
    <row r="811">
      <c r="A811" s="250"/>
      <c r="B811" s="251"/>
      <c r="C811" s="251" t="s">
        <v>39</v>
      </c>
      <c r="D811" s="252" t="s">
        <v>39</v>
      </c>
      <c r="E811" s="252" t="s">
        <v>39</v>
      </c>
      <c r="F811" s="252"/>
      <c r="G811" s="251"/>
      <c r="H811" s="251"/>
      <c r="I811" s="251"/>
      <c r="J811" s="251"/>
      <c r="K811" s="251"/>
      <c r="L811" s="251"/>
      <c r="M811" s="251"/>
      <c r="N811" s="251"/>
      <c r="O811" s="251"/>
      <c r="P811" s="252"/>
      <c r="Q811" s="253"/>
      <c r="R811" s="252"/>
      <c r="S811" s="251"/>
      <c r="T811" s="251"/>
      <c r="U811" s="251"/>
      <c r="V811" s="251"/>
      <c r="W811" s="251"/>
      <c r="X811" s="251"/>
      <c r="Y811" s="251"/>
      <c r="Z811" s="251"/>
    </row>
    <row r="812">
      <c r="A812" s="250"/>
      <c r="B812" s="251"/>
      <c r="C812" s="251" t="s">
        <v>39</v>
      </c>
      <c r="D812" s="252" t="s">
        <v>39</v>
      </c>
      <c r="E812" s="252" t="s">
        <v>39</v>
      </c>
      <c r="F812" s="252"/>
      <c r="G812" s="251"/>
      <c r="H812" s="251"/>
      <c r="I812" s="251"/>
      <c r="J812" s="251"/>
      <c r="K812" s="251"/>
      <c r="L812" s="251"/>
      <c r="M812" s="251"/>
      <c r="N812" s="251"/>
      <c r="O812" s="251"/>
      <c r="P812" s="252"/>
      <c r="Q812" s="253"/>
      <c r="R812" s="252"/>
      <c r="S812" s="251"/>
      <c r="T812" s="251"/>
      <c r="U812" s="251"/>
      <c r="V812" s="251"/>
      <c r="W812" s="251"/>
      <c r="X812" s="251"/>
      <c r="Y812" s="251"/>
      <c r="Z812" s="251"/>
    </row>
    <row r="813">
      <c r="A813" s="250"/>
      <c r="B813" s="251"/>
      <c r="C813" s="251" t="s">
        <v>39</v>
      </c>
      <c r="D813" s="252" t="s">
        <v>39</v>
      </c>
      <c r="E813" s="252" t="s">
        <v>39</v>
      </c>
      <c r="F813" s="252"/>
      <c r="G813" s="251"/>
      <c r="H813" s="251"/>
      <c r="I813" s="251"/>
      <c r="J813" s="251"/>
      <c r="K813" s="251"/>
      <c r="L813" s="251"/>
      <c r="M813" s="251"/>
      <c r="N813" s="251"/>
      <c r="O813" s="251"/>
      <c r="P813" s="252"/>
      <c r="Q813" s="253"/>
      <c r="R813" s="252"/>
      <c r="S813" s="251"/>
      <c r="T813" s="251"/>
      <c r="U813" s="251"/>
      <c r="V813" s="251"/>
      <c r="W813" s="251"/>
      <c r="X813" s="251"/>
      <c r="Y813" s="251"/>
      <c r="Z813" s="251"/>
    </row>
    <row r="814">
      <c r="A814" s="250"/>
      <c r="B814" s="251"/>
      <c r="C814" s="251" t="s">
        <v>39</v>
      </c>
      <c r="D814" s="252" t="s">
        <v>39</v>
      </c>
      <c r="E814" s="252" t="s">
        <v>39</v>
      </c>
      <c r="F814" s="252"/>
      <c r="G814" s="251"/>
      <c r="H814" s="251"/>
      <c r="I814" s="251"/>
      <c r="J814" s="251"/>
      <c r="K814" s="251"/>
      <c r="L814" s="251"/>
      <c r="M814" s="251"/>
      <c r="N814" s="251"/>
      <c r="O814" s="251"/>
      <c r="P814" s="252"/>
      <c r="Q814" s="253"/>
      <c r="R814" s="252"/>
      <c r="S814" s="251"/>
      <c r="T814" s="251"/>
      <c r="U814" s="251"/>
      <c r="V814" s="251"/>
      <c r="W814" s="251"/>
      <c r="X814" s="251"/>
      <c r="Y814" s="251"/>
      <c r="Z814" s="251"/>
    </row>
    <row r="815">
      <c r="A815" s="250"/>
      <c r="B815" s="251"/>
      <c r="C815" s="251" t="s">
        <v>39</v>
      </c>
      <c r="D815" s="252" t="s">
        <v>39</v>
      </c>
      <c r="E815" s="252" t="s">
        <v>39</v>
      </c>
      <c r="F815" s="252"/>
      <c r="G815" s="251"/>
      <c r="H815" s="251"/>
      <c r="I815" s="251"/>
      <c r="J815" s="251"/>
      <c r="K815" s="251"/>
      <c r="L815" s="251"/>
      <c r="M815" s="251"/>
      <c r="N815" s="251"/>
      <c r="O815" s="251"/>
      <c r="P815" s="252"/>
      <c r="Q815" s="253"/>
      <c r="R815" s="252"/>
      <c r="S815" s="251"/>
      <c r="T815" s="251"/>
      <c r="U815" s="251"/>
      <c r="V815" s="251"/>
      <c r="W815" s="251"/>
      <c r="X815" s="251"/>
      <c r="Y815" s="251"/>
      <c r="Z815" s="251"/>
    </row>
    <row r="816">
      <c r="A816" s="250"/>
      <c r="B816" s="251"/>
      <c r="C816" s="251" t="s">
        <v>39</v>
      </c>
      <c r="D816" s="252" t="s">
        <v>39</v>
      </c>
      <c r="E816" s="252" t="s">
        <v>39</v>
      </c>
      <c r="F816" s="252"/>
      <c r="G816" s="251"/>
      <c r="H816" s="251"/>
      <c r="I816" s="251"/>
      <c r="J816" s="251"/>
      <c r="K816" s="251"/>
      <c r="L816" s="251"/>
      <c r="M816" s="251"/>
      <c r="N816" s="251"/>
      <c r="O816" s="251"/>
      <c r="P816" s="252"/>
      <c r="Q816" s="253"/>
      <c r="R816" s="252"/>
      <c r="S816" s="251"/>
      <c r="T816" s="251"/>
      <c r="U816" s="251"/>
      <c r="V816" s="251"/>
      <c r="W816" s="251"/>
      <c r="X816" s="251"/>
      <c r="Y816" s="251"/>
      <c r="Z816" s="251"/>
    </row>
    <row r="817">
      <c r="A817" s="250"/>
      <c r="B817" s="251"/>
      <c r="C817" s="251" t="s">
        <v>39</v>
      </c>
      <c r="D817" s="252" t="s">
        <v>39</v>
      </c>
      <c r="E817" s="252" t="s">
        <v>39</v>
      </c>
      <c r="F817" s="252"/>
      <c r="G817" s="251"/>
      <c r="H817" s="251"/>
      <c r="I817" s="251"/>
      <c r="J817" s="251"/>
      <c r="K817" s="251"/>
      <c r="L817" s="251"/>
      <c r="M817" s="251"/>
      <c r="N817" s="251"/>
      <c r="O817" s="251"/>
      <c r="P817" s="252"/>
      <c r="Q817" s="253"/>
      <c r="R817" s="252"/>
      <c r="S817" s="251"/>
      <c r="T817" s="251"/>
      <c r="U817" s="251"/>
      <c r="V817" s="251"/>
      <c r="W817" s="251"/>
      <c r="X817" s="251"/>
      <c r="Y817" s="251"/>
      <c r="Z817" s="251"/>
    </row>
    <row r="818">
      <c r="A818" s="250"/>
      <c r="B818" s="251"/>
      <c r="C818" s="251" t="s">
        <v>39</v>
      </c>
      <c r="D818" s="252" t="s">
        <v>39</v>
      </c>
      <c r="E818" s="252" t="s">
        <v>39</v>
      </c>
      <c r="F818" s="252"/>
      <c r="G818" s="251"/>
      <c r="H818" s="251"/>
      <c r="I818" s="251"/>
      <c r="J818" s="251"/>
      <c r="K818" s="251"/>
      <c r="L818" s="251"/>
      <c r="M818" s="251"/>
      <c r="N818" s="251"/>
      <c r="O818" s="251"/>
      <c r="P818" s="252"/>
      <c r="Q818" s="253"/>
      <c r="R818" s="252"/>
      <c r="S818" s="251"/>
      <c r="T818" s="251"/>
      <c r="U818" s="251"/>
      <c r="V818" s="251"/>
      <c r="W818" s="251"/>
      <c r="X818" s="251"/>
      <c r="Y818" s="251"/>
      <c r="Z818" s="251"/>
    </row>
    <row r="819">
      <c r="A819" s="250"/>
      <c r="B819" s="251"/>
      <c r="C819" s="251" t="s">
        <v>39</v>
      </c>
      <c r="D819" s="252" t="s">
        <v>39</v>
      </c>
      <c r="E819" s="252" t="s">
        <v>39</v>
      </c>
      <c r="F819" s="252"/>
      <c r="G819" s="251"/>
      <c r="H819" s="251"/>
      <c r="I819" s="251"/>
      <c r="J819" s="251"/>
      <c r="K819" s="251"/>
      <c r="L819" s="251"/>
      <c r="M819" s="251"/>
      <c r="N819" s="251"/>
      <c r="O819" s="251"/>
      <c r="P819" s="252"/>
      <c r="Q819" s="253"/>
      <c r="R819" s="252"/>
      <c r="S819" s="251"/>
      <c r="T819" s="251"/>
      <c r="U819" s="251"/>
      <c r="V819" s="251"/>
      <c r="W819" s="251"/>
      <c r="X819" s="251"/>
      <c r="Y819" s="251"/>
      <c r="Z819" s="251"/>
    </row>
    <row r="820">
      <c r="A820" s="250"/>
      <c r="B820" s="251"/>
      <c r="C820" s="251" t="s">
        <v>39</v>
      </c>
      <c r="D820" s="252" t="s">
        <v>39</v>
      </c>
      <c r="E820" s="252" t="s">
        <v>39</v>
      </c>
      <c r="F820" s="252"/>
      <c r="G820" s="251"/>
      <c r="H820" s="251"/>
      <c r="I820" s="251"/>
      <c r="J820" s="251"/>
      <c r="K820" s="251"/>
      <c r="L820" s="251"/>
      <c r="M820" s="251"/>
      <c r="N820" s="251"/>
      <c r="O820" s="251"/>
      <c r="P820" s="252"/>
      <c r="Q820" s="253"/>
      <c r="R820" s="252"/>
      <c r="S820" s="251"/>
      <c r="T820" s="251"/>
      <c r="U820" s="251"/>
      <c r="V820" s="251"/>
      <c r="W820" s="251"/>
      <c r="X820" s="251"/>
      <c r="Y820" s="251"/>
      <c r="Z820" s="251"/>
    </row>
    <row r="821">
      <c r="A821" s="250"/>
      <c r="B821" s="251"/>
      <c r="C821" s="251" t="s">
        <v>39</v>
      </c>
      <c r="D821" s="252" t="s">
        <v>39</v>
      </c>
      <c r="E821" s="252" t="s">
        <v>39</v>
      </c>
      <c r="F821" s="252"/>
      <c r="G821" s="251"/>
      <c r="H821" s="251"/>
      <c r="I821" s="251"/>
      <c r="J821" s="251"/>
      <c r="K821" s="251"/>
      <c r="L821" s="251"/>
      <c r="M821" s="251"/>
      <c r="N821" s="251"/>
      <c r="O821" s="251"/>
      <c r="P821" s="252"/>
      <c r="Q821" s="253"/>
      <c r="R821" s="252"/>
      <c r="S821" s="251"/>
      <c r="T821" s="251"/>
      <c r="U821" s="251"/>
      <c r="V821" s="251"/>
      <c r="W821" s="251"/>
      <c r="X821" s="251"/>
      <c r="Y821" s="251"/>
      <c r="Z821" s="251"/>
    </row>
    <row r="822">
      <c r="A822" s="250"/>
      <c r="B822" s="251"/>
      <c r="C822" s="251" t="s">
        <v>39</v>
      </c>
      <c r="D822" s="252" t="s">
        <v>39</v>
      </c>
      <c r="E822" s="252" t="s">
        <v>39</v>
      </c>
      <c r="F822" s="252"/>
      <c r="G822" s="251"/>
      <c r="H822" s="251"/>
      <c r="I822" s="251"/>
      <c r="J822" s="251"/>
      <c r="K822" s="251"/>
      <c r="L822" s="251"/>
      <c r="M822" s="251"/>
      <c r="N822" s="251"/>
      <c r="O822" s="251"/>
      <c r="P822" s="252"/>
      <c r="Q822" s="253"/>
      <c r="R822" s="252"/>
      <c r="S822" s="251"/>
      <c r="T822" s="251"/>
      <c r="U822" s="251"/>
      <c r="V822" s="251"/>
      <c r="W822" s="251"/>
      <c r="X822" s="251"/>
      <c r="Y822" s="251"/>
      <c r="Z822" s="251"/>
    </row>
    <row r="823">
      <c r="A823" s="250"/>
      <c r="B823" s="251"/>
      <c r="C823" s="251" t="s">
        <v>39</v>
      </c>
      <c r="D823" s="252" t="s">
        <v>39</v>
      </c>
      <c r="E823" s="252" t="s">
        <v>39</v>
      </c>
      <c r="F823" s="252"/>
      <c r="G823" s="251"/>
      <c r="H823" s="251"/>
      <c r="I823" s="251"/>
      <c r="J823" s="251"/>
      <c r="K823" s="251"/>
      <c r="L823" s="251"/>
      <c r="M823" s="251"/>
      <c r="N823" s="251"/>
      <c r="O823" s="251"/>
      <c r="P823" s="252"/>
      <c r="Q823" s="253"/>
      <c r="R823" s="252"/>
      <c r="S823" s="251"/>
      <c r="T823" s="251"/>
      <c r="U823" s="251"/>
      <c r="V823" s="251"/>
      <c r="W823" s="251"/>
      <c r="X823" s="251"/>
      <c r="Y823" s="251"/>
      <c r="Z823" s="251"/>
    </row>
    <row r="824">
      <c r="A824" s="250"/>
      <c r="B824" s="251"/>
      <c r="C824" s="251" t="s">
        <v>39</v>
      </c>
      <c r="D824" s="252" t="s">
        <v>39</v>
      </c>
      <c r="E824" s="252" t="s">
        <v>39</v>
      </c>
      <c r="F824" s="252"/>
      <c r="G824" s="251"/>
      <c r="H824" s="251"/>
      <c r="I824" s="251"/>
      <c r="J824" s="251"/>
      <c r="K824" s="251"/>
      <c r="L824" s="251"/>
      <c r="M824" s="251"/>
      <c r="N824" s="251"/>
      <c r="O824" s="251"/>
      <c r="P824" s="252"/>
      <c r="Q824" s="253"/>
      <c r="R824" s="252"/>
      <c r="S824" s="251"/>
      <c r="T824" s="251"/>
      <c r="U824" s="251"/>
      <c r="V824" s="251"/>
      <c r="W824" s="251"/>
      <c r="X824" s="251"/>
      <c r="Y824" s="251"/>
      <c r="Z824" s="251"/>
    </row>
    <row r="825">
      <c r="A825" s="250"/>
      <c r="B825" s="251"/>
      <c r="C825" s="251" t="s">
        <v>39</v>
      </c>
      <c r="D825" s="252" t="s">
        <v>39</v>
      </c>
      <c r="E825" s="252" t="s">
        <v>39</v>
      </c>
      <c r="F825" s="252"/>
      <c r="G825" s="251"/>
      <c r="H825" s="251"/>
      <c r="I825" s="251"/>
      <c r="J825" s="251"/>
      <c r="K825" s="251"/>
      <c r="L825" s="251"/>
      <c r="M825" s="251"/>
      <c r="N825" s="251"/>
      <c r="O825" s="251"/>
      <c r="P825" s="252"/>
      <c r="Q825" s="253"/>
      <c r="R825" s="252"/>
      <c r="S825" s="251"/>
      <c r="T825" s="251"/>
      <c r="U825" s="251"/>
      <c r="V825" s="251"/>
      <c r="W825" s="251"/>
      <c r="X825" s="251"/>
      <c r="Y825" s="251"/>
      <c r="Z825" s="251"/>
    </row>
    <row r="826">
      <c r="A826" s="250"/>
      <c r="B826" s="251"/>
      <c r="C826" s="251" t="s">
        <v>39</v>
      </c>
      <c r="D826" s="252" t="s">
        <v>39</v>
      </c>
      <c r="E826" s="252" t="s">
        <v>39</v>
      </c>
      <c r="F826" s="252"/>
      <c r="G826" s="251"/>
      <c r="H826" s="251"/>
      <c r="I826" s="251"/>
      <c r="J826" s="251"/>
      <c r="K826" s="251"/>
      <c r="L826" s="251"/>
      <c r="M826" s="251"/>
      <c r="N826" s="251"/>
      <c r="O826" s="251"/>
      <c r="P826" s="252"/>
      <c r="Q826" s="253"/>
      <c r="R826" s="252"/>
      <c r="S826" s="251"/>
      <c r="T826" s="251"/>
      <c r="U826" s="251"/>
      <c r="V826" s="251"/>
      <c r="W826" s="251"/>
      <c r="X826" s="251"/>
      <c r="Y826" s="251"/>
      <c r="Z826" s="251"/>
    </row>
    <row r="827">
      <c r="A827" s="250"/>
      <c r="B827" s="251"/>
      <c r="C827" s="251" t="s">
        <v>39</v>
      </c>
      <c r="D827" s="252" t="s">
        <v>39</v>
      </c>
      <c r="E827" s="252" t="s">
        <v>39</v>
      </c>
      <c r="F827" s="252"/>
      <c r="G827" s="251"/>
      <c r="H827" s="251"/>
      <c r="I827" s="251"/>
      <c r="J827" s="251"/>
      <c r="K827" s="251"/>
      <c r="L827" s="251"/>
      <c r="M827" s="251"/>
      <c r="N827" s="251"/>
      <c r="O827" s="251"/>
      <c r="P827" s="252"/>
      <c r="Q827" s="253"/>
      <c r="R827" s="252"/>
      <c r="S827" s="251"/>
      <c r="T827" s="251"/>
      <c r="U827" s="251"/>
      <c r="V827" s="251"/>
      <c r="W827" s="251"/>
      <c r="X827" s="251"/>
      <c r="Y827" s="251"/>
      <c r="Z827" s="251"/>
    </row>
    <row r="828">
      <c r="A828" s="250"/>
      <c r="B828" s="251"/>
      <c r="C828" s="251" t="s">
        <v>39</v>
      </c>
      <c r="D828" s="252" t="s">
        <v>39</v>
      </c>
      <c r="E828" s="252" t="s">
        <v>39</v>
      </c>
      <c r="F828" s="252"/>
      <c r="G828" s="251"/>
      <c r="H828" s="251"/>
      <c r="I828" s="251"/>
      <c r="J828" s="251"/>
      <c r="K828" s="251"/>
      <c r="L828" s="251"/>
      <c r="M828" s="251"/>
      <c r="N828" s="251"/>
      <c r="O828" s="251"/>
      <c r="P828" s="252"/>
      <c r="Q828" s="253"/>
      <c r="R828" s="252"/>
      <c r="S828" s="251"/>
      <c r="T828" s="251"/>
      <c r="U828" s="251"/>
      <c r="V828" s="251"/>
      <c r="W828" s="251"/>
      <c r="X828" s="251"/>
      <c r="Y828" s="251"/>
      <c r="Z828" s="251"/>
    </row>
    <row r="829">
      <c r="A829" s="250"/>
      <c r="B829" s="251"/>
      <c r="C829" s="251" t="s">
        <v>39</v>
      </c>
      <c r="D829" s="252" t="s">
        <v>39</v>
      </c>
      <c r="E829" s="252" t="s">
        <v>39</v>
      </c>
      <c r="F829" s="252"/>
      <c r="G829" s="251"/>
      <c r="H829" s="251"/>
      <c r="I829" s="251"/>
      <c r="J829" s="251"/>
      <c r="K829" s="251"/>
      <c r="L829" s="251"/>
      <c r="M829" s="251"/>
      <c r="N829" s="251"/>
      <c r="O829" s="251"/>
      <c r="P829" s="252"/>
      <c r="Q829" s="253"/>
      <c r="R829" s="252"/>
      <c r="S829" s="251"/>
      <c r="T829" s="251"/>
      <c r="U829" s="251"/>
      <c r="V829" s="251"/>
      <c r="W829" s="251"/>
      <c r="X829" s="251"/>
      <c r="Y829" s="251"/>
      <c r="Z829" s="251"/>
    </row>
    <row r="830">
      <c r="A830" s="250"/>
      <c r="B830" s="251"/>
      <c r="C830" s="251" t="s">
        <v>39</v>
      </c>
      <c r="D830" s="252" t="s">
        <v>39</v>
      </c>
      <c r="E830" s="252" t="s">
        <v>39</v>
      </c>
      <c r="F830" s="252"/>
      <c r="G830" s="251"/>
      <c r="H830" s="251"/>
      <c r="I830" s="251"/>
      <c r="J830" s="251"/>
      <c r="K830" s="251"/>
      <c r="L830" s="251"/>
      <c r="M830" s="251"/>
      <c r="N830" s="251"/>
      <c r="O830" s="251"/>
      <c r="P830" s="252"/>
      <c r="Q830" s="253"/>
      <c r="R830" s="252"/>
      <c r="S830" s="251"/>
      <c r="T830" s="251"/>
      <c r="U830" s="251"/>
      <c r="V830" s="251"/>
      <c r="W830" s="251"/>
      <c r="X830" s="251"/>
      <c r="Y830" s="251"/>
      <c r="Z830" s="251"/>
    </row>
    <row r="831">
      <c r="A831" s="250"/>
      <c r="B831" s="251"/>
      <c r="C831" s="251" t="s">
        <v>39</v>
      </c>
      <c r="D831" s="252" t="s">
        <v>39</v>
      </c>
      <c r="E831" s="252" t="s">
        <v>39</v>
      </c>
      <c r="F831" s="252"/>
      <c r="G831" s="251"/>
      <c r="H831" s="251"/>
      <c r="I831" s="251"/>
      <c r="J831" s="251"/>
      <c r="K831" s="251"/>
      <c r="L831" s="251"/>
      <c r="M831" s="251"/>
      <c r="N831" s="251"/>
      <c r="O831" s="251"/>
      <c r="P831" s="252"/>
      <c r="Q831" s="253"/>
      <c r="R831" s="252"/>
      <c r="S831" s="251"/>
      <c r="T831" s="251"/>
      <c r="U831" s="251"/>
      <c r="V831" s="251"/>
      <c r="W831" s="251"/>
      <c r="X831" s="251"/>
      <c r="Y831" s="251"/>
      <c r="Z831" s="251"/>
    </row>
    <row r="832">
      <c r="A832" s="250"/>
      <c r="B832" s="251"/>
      <c r="C832" s="251" t="s">
        <v>39</v>
      </c>
      <c r="D832" s="252" t="s">
        <v>39</v>
      </c>
      <c r="E832" s="252" t="s">
        <v>39</v>
      </c>
      <c r="F832" s="252"/>
      <c r="G832" s="251"/>
      <c r="H832" s="251"/>
      <c r="I832" s="251"/>
      <c r="J832" s="251"/>
      <c r="K832" s="251"/>
      <c r="L832" s="251"/>
      <c r="M832" s="251"/>
      <c r="N832" s="251"/>
      <c r="O832" s="251"/>
      <c r="P832" s="252"/>
      <c r="Q832" s="253"/>
      <c r="R832" s="252"/>
      <c r="S832" s="251"/>
      <c r="T832" s="251"/>
      <c r="U832" s="251"/>
      <c r="V832" s="251"/>
      <c r="W832" s="251"/>
      <c r="X832" s="251"/>
      <c r="Y832" s="251"/>
      <c r="Z832" s="251"/>
    </row>
    <row r="833">
      <c r="A833" s="250"/>
      <c r="B833" s="251"/>
      <c r="C833" s="251" t="s">
        <v>39</v>
      </c>
      <c r="D833" s="252" t="s">
        <v>39</v>
      </c>
      <c r="E833" s="252" t="s">
        <v>39</v>
      </c>
      <c r="F833" s="252"/>
      <c r="G833" s="251"/>
      <c r="H833" s="251"/>
      <c r="I833" s="251"/>
      <c r="J833" s="251"/>
      <c r="K833" s="251"/>
      <c r="L833" s="251"/>
      <c r="M833" s="251"/>
      <c r="N833" s="251"/>
      <c r="O833" s="251"/>
      <c r="P833" s="252"/>
      <c r="Q833" s="253"/>
      <c r="R833" s="252"/>
      <c r="S833" s="251"/>
      <c r="T833" s="251"/>
      <c r="U833" s="251"/>
      <c r="V833" s="251"/>
      <c r="W833" s="251"/>
      <c r="X833" s="251"/>
      <c r="Y833" s="251"/>
      <c r="Z833" s="251"/>
    </row>
    <row r="834">
      <c r="A834" s="250"/>
      <c r="B834" s="251"/>
      <c r="C834" s="251" t="s">
        <v>39</v>
      </c>
      <c r="D834" s="252" t="s">
        <v>39</v>
      </c>
      <c r="E834" s="252" t="s">
        <v>39</v>
      </c>
      <c r="F834" s="252"/>
      <c r="G834" s="251"/>
      <c r="H834" s="251"/>
      <c r="I834" s="251"/>
      <c r="J834" s="251"/>
      <c r="K834" s="251"/>
      <c r="L834" s="251"/>
      <c r="M834" s="251"/>
      <c r="N834" s="251"/>
      <c r="O834" s="251"/>
      <c r="P834" s="252"/>
      <c r="Q834" s="253"/>
      <c r="R834" s="252"/>
      <c r="S834" s="251"/>
      <c r="T834" s="251"/>
      <c r="U834" s="251"/>
      <c r="V834" s="251"/>
      <c r="W834" s="251"/>
      <c r="X834" s="251"/>
      <c r="Y834" s="251"/>
      <c r="Z834" s="251"/>
    </row>
    <row r="835">
      <c r="A835" s="250"/>
      <c r="B835" s="251"/>
      <c r="C835" s="251" t="s">
        <v>39</v>
      </c>
      <c r="D835" s="252" t="s">
        <v>39</v>
      </c>
      <c r="E835" s="252" t="s">
        <v>39</v>
      </c>
      <c r="F835" s="252"/>
      <c r="G835" s="251"/>
      <c r="H835" s="251"/>
      <c r="I835" s="251"/>
      <c r="J835" s="251"/>
      <c r="K835" s="251"/>
      <c r="L835" s="251"/>
      <c r="M835" s="251"/>
      <c r="N835" s="251"/>
      <c r="O835" s="251"/>
      <c r="P835" s="252"/>
      <c r="Q835" s="253"/>
      <c r="R835" s="252"/>
      <c r="S835" s="251"/>
      <c r="T835" s="251"/>
      <c r="U835" s="251"/>
      <c r="V835" s="251"/>
      <c r="W835" s="251"/>
      <c r="X835" s="251"/>
      <c r="Y835" s="251"/>
      <c r="Z835" s="251"/>
    </row>
    <row r="836">
      <c r="A836" s="250"/>
      <c r="B836" s="251"/>
      <c r="C836" s="251" t="s">
        <v>39</v>
      </c>
      <c r="D836" s="252" t="s">
        <v>39</v>
      </c>
      <c r="E836" s="252" t="s">
        <v>39</v>
      </c>
      <c r="F836" s="252"/>
      <c r="G836" s="251"/>
      <c r="H836" s="251"/>
      <c r="I836" s="251"/>
      <c r="J836" s="251"/>
      <c r="K836" s="251"/>
      <c r="L836" s="251"/>
      <c r="M836" s="251"/>
      <c r="N836" s="251"/>
      <c r="O836" s="251"/>
      <c r="P836" s="252"/>
      <c r="Q836" s="253"/>
      <c r="R836" s="252"/>
      <c r="S836" s="251"/>
      <c r="T836" s="251"/>
      <c r="U836" s="251"/>
      <c r="V836" s="251"/>
      <c r="W836" s="251"/>
      <c r="X836" s="251"/>
      <c r="Y836" s="251"/>
      <c r="Z836" s="251"/>
    </row>
    <row r="837">
      <c r="A837" s="250"/>
      <c r="B837" s="251"/>
      <c r="C837" s="251" t="s">
        <v>39</v>
      </c>
      <c r="D837" s="252" t="s">
        <v>39</v>
      </c>
      <c r="E837" s="252" t="s">
        <v>39</v>
      </c>
      <c r="F837" s="252"/>
      <c r="G837" s="251"/>
      <c r="H837" s="251"/>
      <c r="I837" s="251"/>
      <c r="J837" s="251"/>
      <c r="K837" s="251"/>
      <c r="L837" s="251"/>
      <c r="M837" s="251"/>
      <c r="N837" s="251"/>
      <c r="O837" s="251"/>
      <c r="P837" s="252"/>
      <c r="Q837" s="253"/>
      <c r="R837" s="252"/>
      <c r="S837" s="251"/>
      <c r="T837" s="251"/>
      <c r="U837" s="251"/>
      <c r="V837" s="251"/>
      <c r="W837" s="251"/>
      <c r="X837" s="251"/>
      <c r="Y837" s="251"/>
      <c r="Z837" s="251"/>
    </row>
    <row r="838">
      <c r="A838" s="250"/>
      <c r="B838" s="251"/>
      <c r="C838" s="251" t="s">
        <v>39</v>
      </c>
      <c r="D838" s="252" t="s">
        <v>39</v>
      </c>
      <c r="E838" s="252" t="s">
        <v>39</v>
      </c>
      <c r="F838" s="252"/>
      <c r="G838" s="251"/>
      <c r="H838" s="251"/>
      <c r="I838" s="251"/>
      <c r="J838" s="251"/>
      <c r="K838" s="251"/>
      <c r="L838" s="251"/>
      <c r="M838" s="251"/>
      <c r="N838" s="251"/>
      <c r="O838" s="251"/>
      <c r="P838" s="252"/>
      <c r="Q838" s="253"/>
      <c r="R838" s="252"/>
      <c r="S838" s="251"/>
      <c r="T838" s="251"/>
      <c r="U838" s="251"/>
      <c r="V838" s="251"/>
      <c r="W838" s="251"/>
      <c r="X838" s="251"/>
      <c r="Y838" s="251"/>
      <c r="Z838" s="251"/>
    </row>
    <row r="839">
      <c r="A839" s="250"/>
      <c r="B839" s="251"/>
      <c r="C839" s="251" t="s">
        <v>39</v>
      </c>
      <c r="D839" s="252" t="s">
        <v>39</v>
      </c>
      <c r="E839" s="252" t="s">
        <v>39</v>
      </c>
      <c r="F839" s="252"/>
      <c r="G839" s="251"/>
      <c r="H839" s="251"/>
      <c r="I839" s="251"/>
      <c r="J839" s="251"/>
      <c r="K839" s="251"/>
      <c r="L839" s="251"/>
      <c r="M839" s="251"/>
      <c r="N839" s="251"/>
      <c r="O839" s="251"/>
      <c r="P839" s="252"/>
      <c r="Q839" s="253"/>
      <c r="R839" s="252"/>
      <c r="S839" s="251"/>
      <c r="T839" s="251"/>
      <c r="U839" s="251"/>
      <c r="V839" s="251"/>
      <c r="W839" s="251"/>
      <c r="X839" s="251"/>
      <c r="Y839" s="251"/>
      <c r="Z839" s="251"/>
    </row>
    <row r="840">
      <c r="A840" s="250"/>
      <c r="B840" s="251"/>
      <c r="C840" s="251" t="s">
        <v>39</v>
      </c>
      <c r="D840" s="252" t="s">
        <v>39</v>
      </c>
      <c r="E840" s="252" t="s">
        <v>39</v>
      </c>
      <c r="F840" s="252"/>
      <c r="G840" s="251"/>
      <c r="H840" s="251"/>
      <c r="I840" s="251"/>
      <c r="J840" s="251"/>
      <c r="K840" s="251"/>
      <c r="L840" s="251"/>
      <c r="M840" s="251"/>
      <c r="N840" s="251"/>
      <c r="O840" s="251"/>
      <c r="P840" s="252"/>
      <c r="Q840" s="253"/>
      <c r="R840" s="252"/>
      <c r="S840" s="251"/>
      <c r="T840" s="251"/>
      <c r="U840" s="251"/>
      <c r="V840" s="251"/>
      <c r="W840" s="251"/>
      <c r="X840" s="251"/>
      <c r="Y840" s="251"/>
      <c r="Z840" s="251"/>
    </row>
    <row r="841">
      <c r="A841" s="250"/>
      <c r="B841" s="251"/>
      <c r="C841" s="251" t="s">
        <v>39</v>
      </c>
      <c r="D841" s="252" t="s">
        <v>39</v>
      </c>
      <c r="E841" s="252" t="s">
        <v>39</v>
      </c>
      <c r="F841" s="252"/>
      <c r="G841" s="251"/>
      <c r="H841" s="251"/>
      <c r="I841" s="251"/>
      <c r="J841" s="251"/>
      <c r="K841" s="251"/>
      <c r="L841" s="251"/>
      <c r="M841" s="251"/>
      <c r="N841" s="251"/>
      <c r="O841" s="251"/>
      <c r="P841" s="252"/>
      <c r="Q841" s="253"/>
      <c r="R841" s="252"/>
      <c r="S841" s="251"/>
      <c r="T841" s="251"/>
      <c r="U841" s="251"/>
      <c r="V841" s="251"/>
      <c r="W841" s="251"/>
      <c r="X841" s="251"/>
      <c r="Y841" s="251"/>
      <c r="Z841" s="251"/>
    </row>
    <row r="842">
      <c r="A842" s="250"/>
      <c r="B842" s="251"/>
      <c r="C842" s="251" t="s">
        <v>39</v>
      </c>
      <c r="D842" s="252" t="s">
        <v>39</v>
      </c>
      <c r="E842" s="252" t="s">
        <v>39</v>
      </c>
      <c r="F842" s="252"/>
      <c r="G842" s="251"/>
      <c r="H842" s="251"/>
      <c r="I842" s="251"/>
      <c r="J842" s="251"/>
      <c r="K842" s="251"/>
      <c r="L842" s="251"/>
      <c r="M842" s="251"/>
      <c r="N842" s="251"/>
      <c r="O842" s="251"/>
      <c r="P842" s="252"/>
      <c r="Q842" s="253"/>
      <c r="R842" s="252"/>
      <c r="S842" s="251"/>
      <c r="T842" s="251"/>
      <c r="U842" s="251"/>
      <c r="V842" s="251"/>
      <c r="W842" s="251"/>
      <c r="X842" s="251"/>
      <c r="Y842" s="251"/>
      <c r="Z842" s="251"/>
    </row>
    <row r="843">
      <c r="A843" s="250"/>
      <c r="B843" s="251"/>
      <c r="C843" s="251" t="s">
        <v>39</v>
      </c>
      <c r="D843" s="252" t="s">
        <v>39</v>
      </c>
      <c r="E843" s="252" t="s">
        <v>39</v>
      </c>
      <c r="F843" s="252"/>
      <c r="G843" s="251"/>
      <c r="H843" s="251"/>
      <c r="I843" s="251"/>
      <c r="J843" s="251"/>
      <c r="K843" s="251"/>
      <c r="L843" s="251"/>
      <c r="M843" s="251"/>
      <c r="N843" s="251"/>
      <c r="O843" s="251"/>
      <c r="P843" s="252"/>
      <c r="Q843" s="253"/>
      <c r="R843" s="252"/>
      <c r="S843" s="251"/>
      <c r="T843" s="251"/>
      <c r="U843" s="251"/>
      <c r="V843" s="251"/>
      <c r="W843" s="251"/>
      <c r="X843" s="251"/>
      <c r="Y843" s="251"/>
      <c r="Z843" s="251"/>
    </row>
    <row r="844">
      <c r="A844" s="250"/>
      <c r="B844" s="251"/>
      <c r="C844" s="251" t="s">
        <v>39</v>
      </c>
      <c r="D844" s="252" t="s">
        <v>39</v>
      </c>
      <c r="E844" s="252" t="s">
        <v>39</v>
      </c>
      <c r="F844" s="252"/>
      <c r="G844" s="251"/>
      <c r="H844" s="251"/>
      <c r="I844" s="251"/>
      <c r="J844" s="251"/>
      <c r="K844" s="251"/>
      <c r="L844" s="251"/>
      <c r="M844" s="251"/>
      <c r="N844" s="251"/>
      <c r="O844" s="251"/>
      <c r="P844" s="252"/>
      <c r="Q844" s="253"/>
      <c r="R844" s="252"/>
      <c r="S844" s="251"/>
      <c r="T844" s="251"/>
      <c r="U844" s="251"/>
      <c r="V844" s="251"/>
      <c r="W844" s="251"/>
      <c r="X844" s="251"/>
      <c r="Y844" s="251"/>
      <c r="Z844" s="251"/>
    </row>
    <row r="845">
      <c r="A845" s="250"/>
      <c r="B845" s="251"/>
      <c r="C845" s="251" t="s">
        <v>39</v>
      </c>
      <c r="D845" s="252" t="s">
        <v>39</v>
      </c>
      <c r="E845" s="252" t="s">
        <v>39</v>
      </c>
      <c r="F845" s="252"/>
      <c r="G845" s="251"/>
      <c r="H845" s="251"/>
      <c r="I845" s="251"/>
      <c r="J845" s="251"/>
      <c r="K845" s="251"/>
      <c r="L845" s="251"/>
      <c r="M845" s="251"/>
      <c r="N845" s="251"/>
      <c r="O845" s="251"/>
      <c r="P845" s="252"/>
      <c r="Q845" s="253"/>
      <c r="R845" s="252"/>
      <c r="S845" s="251"/>
      <c r="T845" s="251"/>
      <c r="U845" s="251"/>
      <c r="V845" s="251"/>
      <c r="W845" s="251"/>
      <c r="X845" s="251"/>
      <c r="Y845" s="251"/>
      <c r="Z845" s="251"/>
    </row>
    <row r="846">
      <c r="A846" s="250"/>
      <c r="B846" s="251"/>
      <c r="C846" s="251" t="s">
        <v>39</v>
      </c>
      <c r="D846" s="252" t="s">
        <v>39</v>
      </c>
      <c r="E846" s="252" t="s">
        <v>39</v>
      </c>
      <c r="F846" s="252"/>
      <c r="G846" s="251"/>
      <c r="H846" s="251"/>
      <c r="I846" s="251"/>
      <c r="J846" s="251"/>
      <c r="K846" s="251"/>
      <c r="L846" s="251"/>
      <c r="M846" s="251"/>
      <c r="N846" s="251"/>
      <c r="O846" s="251"/>
      <c r="P846" s="252"/>
      <c r="Q846" s="253"/>
      <c r="R846" s="252"/>
      <c r="S846" s="251"/>
      <c r="T846" s="251"/>
      <c r="U846" s="251"/>
      <c r="V846" s="251"/>
      <c r="W846" s="251"/>
      <c r="X846" s="251"/>
      <c r="Y846" s="251"/>
      <c r="Z846" s="251"/>
    </row>
    <row r="847">
      <c r="A847" s="250"/>
      <c r="B847" s="251"/>
      <c r="C847" s="251" t="s">
        <v>39</v>
      </c>
      <c r="D847" s="252" t="s">
        <v>39</v>
      </c>
      <c r="E847" s="252" t="s">
        <v>39</v>
      </c>
      <c r="F847" s="252"/>
      <c r="G847" s="251"/>
      <c r="H847" s="251"/>
      <c r="I847" s="251"/>
      <c r="J847" s="251"/>
      <c r="K847" s="251"/>
      <c r="L847" s="251"/>
      <c r="M847" s="251"/>
      <c r="N847" s="251"/>
      <c r="O847" s="251"/>
      <c r="P847" s="252"/>
      <c r="Q847" s="253"/>
      <c r="R847" s="252"/>
      <c r="S847" s="251"/>
      <c r="T847" s="251"/>
      <c r="U847" s="251"/>
      <c r="V847" s="251"/>
      <c r="W847" s="251"/>
      <c r="X847" s="251"/>
      <c r="Y847" s="251"/>
      <c r="Z847" s="251"/>
    </row>
    <row r="848">
      <c r="A848" s="250"/>
      <c r="B848" s="251"/>
      <c r="C848" s="251" t="s">
        <v>39</v>
      </c>
      <c r="D848" s="252" t="s">
        <v>39</v>
      </c>
      <c r="E848" s="252" t="s">
        <v>39</v>
      </c>
      <c r="F848" s="252"/>
      <c r="G848" s="251"/>
      <c r="H848" s="251"/>
      <c r="I848" s="251"/>
      <c r="J848" s="251"/>
      <c r="K848" s="251"/>
      <c r="L848" s="251"/>
      <c r="M848" s="251"/>
      <c r="N848" s="251"/>
      <c r="O848" s="251"/>
      <c r="P848" s="252"/>
      <c r="Q848" s="253"/>
      <c r="R848" s="252"/>
      <c r="S848" s="251"/>
      <c r="T848" s="251"/>
      <c r="U848" s="251"/>
      <c r="V848" s="251"/>
      <c r="W848" s="251"/>
      <c r="X848" s="251"/>
      <c r="Y848" s="251"/>
      <c r="Z848" s="251"/>
    </row>
    <row r="849">
      <c r="A849" s="250"/>
      <c r="B849" s="251"/>
      <c r="C849" s="251" t="s">
        <v>39</v>
      </c>
      <c r="D849" s="252" t="s">
        <v>39</v>
      </c>
      <c r="E849" s="252" t="s">
        <v>39</v>
      </c>
      <c r="F849" s="252"/>
      <c r="G849" s="251"/>
      <c r="H849" s="251"/>
      <c r="I849" s="251"/>
      <c r="J849" s="251"/>
      <c r="K849" s="251"/>
      <c r="L849" s="251"/>
      <c r="M849" s="251"/>
      <c r="N849" s="251"/>
      <c r="O849" s="251"/>
      <c r="P849" s="252"/>
      <c r="Q849" s="253"/>
      <c r="R849" s="252"/>
      <c r="S849" s="251"/>
      <c r="T849" s="251"/>
      <c r="U849" s="251"/>
      <c r="V849" s="251"/>
      <c r="W849" s="251"/>
      <c r="X849" s="251"/>
      <c r="Y849" s="251"/>
      <c r="Z849" s="251"/>
    </row>
    <row r="850">
      <c r="A850" s="250"/>
      <c r="B850" s="251"/>
      <c r="C850" s="251" t="s">
        <v>39</v>
      </c>
      <c r="D850" s="252" t="s">
        <v>39</v>
      </c>
      <c r="E850" s="252" t="s">
        <v>39</v>
      </c>
      <c r="F850" s="252"/>
      <c r="G850" s="251"/>
      <c r="H850" s="251"/>
      <c r="I850" s="251"/>
      <c r="J850" s="251"/>
      <c r="K850" s="251"/>
      <c r="L850" s="251"/>
      <c r="M850" s="251"/>
      <c r="N850" s="251"/>
      <c r="O850" s="251"/>
      <c r="P850" s="252"/>
      <c r="Q850" s="253"/>
      <c r="R850" s="252"/>
      <c r="S850" s="251"/>
      <c r="T850" s="251"/>
      <c r="U850" s="251"/>
      <c r="V850" s="251"/>
      <c r="W850" s="251"/>
      <c r="X850" s="251"/>
      <c r="Y850" s="251"/>
      <c r="Z850" s="251"/>
    </row>
    <row r="851">
      <c r="A851" s="250"/>
      <c r="B851" s="251"/>
      <c r="C851" s="251" t="s">
        <v>39</v>
      </c>
      <c r="D851" s="252" t="s">
        <v>39</v>
      </c>
      <c r="E851" s="252" t="s">
        <v>39</v>
      </c>
      <c r="F851" s="252"/>
      <c r="G851" s="251"/>
      <c r="H851" s="251"/>
      <c r="I851" s="251"/>
      <c r="J851" s="251"/>
      <c r="K851" s="251"/>
      <c r="L851" s="251"/>
      <c r="M851" s="251"/>
      <c r="N851" s="251"/>
      <c r="O851" s="251"/>
      <c r="P851" s="252"/>
      <c r="Q851" s="253"/>
      <c r="R851" s="252"/>
      <c r="S851" s="251"/>
      <c r="T851" s="251"/>
      <c r="U851" s="251"/>
      <c r="V851" s="251"/>
      <c r="W851" s="251"/>
      <c r="X851" s="251"/>
      <c r="Y851" s="251"/>
      <c r="Z851" s="251"/>
    </row>
    <row r="852">
      <c r="A852" s="250"/>
      <c r="B852" s="251"/>
      <c r="C852" s="251" t="s">
        <v>39</v>
      </c>
      <c r="D852" s="252" t="s">
        <v>39</v>
      </c>
      <c r="E852" s="252" t="s">
        <v>39</v>
      </c>
      <c r="F852" s="252"/>
      <c r="G852" s="251"/>
      <c r="H852" s="251"/>
      <c r="I852" s="251"/>
      <c r="J852" s="251"/>
      <c r="K852" s="251"/>
      <c r="L852" s="251"/>
      <c r="M852" s="251"/>
      <c r="N852" s="251"/>
      <c r="O852" s="251"/>
      <c r="P852" s="252"/>
      <c r="Q852" s="253"/>
      <c r="R852" s="252"/>
      <c r="S852" s="251"/>
      <c r="T852" s="251"/>
      <c r="U852" s="251"/>
      <c r="V852" s="251"/>
      <c r="W852" s="251"/>
      <c r="X852" s="251"/>
      <c r="Y852" s="251"/>
      <c r="Z852" s="251"/>
    </row>
    <row r="853">
      <c r="A853" s="250"/>
      <c r="B853" s="251"/>
      <c r="C853" s="251" t="s">
        <v>39</v>
      </c>
      <c r="D853" s="252" t="s">
        <v>39</v>
      </c>
      <c r="E853" s="252" t="s">
        <v>39</v>
      </c>
      <c r="F853" s="252"/>
      <c r="G853" s="251"/>
      <c r="H853" s="251"/>
      <c r="I853" s="251"/>
      <c r="J853" s="251"/>
      <c r="K853" s="251"/>
      <c r="L853" s="251"/>
      <c r="M853" s="251"/>
      <c r="N853" s="251"/>
      <c r="O853" s="251"/>
      <c r="P853" s="252"/>
      <c r="Q853" s="253"/>
      <c r="R853" s="252"/>
      <c r="S853" s="251"/>
      <c r="T853" s="251"/>
      <c r="U853" s="251"/>
      <c r="V853" s="251"/>
      <c r="W853" s="251"/>
      <c r="X853" s="251"/>
      <c r="Y853" s="251"/>
      <c r="Z853" s="251"/>
    </row>
    <row r="854">
      <c r="A854" s="250"/>
      <c r="B854" s="251"/>
      <c r="C854" s="251" t="s">
        <v>39</v>
      </c>
      <c r="D854" s="252" t="s">
        <v>39</v>
      </c>
      <c r="E854" s="252" t="s">
        <v>39</v>
      </c>
      <c r="F854" s="252"/>
      <c r="G854" s="251"/>
      <c r="H854" s="251"/>
      <c r="I854" s="251"/>
      <c r="J854" s="251"/>
      <c r="K854" s="251"/>
      <c r="L854" s="251"/>
      <c r="M854" s="251"/>
      <c r="N854" s="251"/>
      <c r="O854" s="251"/>
      <c r="P854" s="252"/>
      <c r="Q854" s="253"/>
      <c r="R854" s="252"/>
      <c r="S854" s="251"/>
      <c r="T854" s="251"/>
      <c r="U854" s="251"/>
      <c r="V854" s="251"/>
      <c r="W854" s="251"/>
      <c r="X854" s="251"/>
      <c r="Y854" s="251"/>
      <c r="Z854" s="251"/>
    </row>
    <row r="855">
      <c r="A855" s="250"/>
      <c r="B855" s="251"/>
      <c r="C855" s="251" t="s">
        <v>39</v>
      </c>
      <c r="D855" s="252" t="s">
        <v>39</v>
      </c>
      <c r="E855" s="252" t="s">
        <v>39</v>
      </c>
      <c r="F855" s="252"/>
      <c r="G855" s="251"/>
      <c r="H855" s="251"/>
      <c r="I855" s="251"/>
      <c r="J855" s="251"/>
      <c r="K855" s="251"/>
      <c r="L855" s="251"/>
      <c r="M855" s="251"/>
      <c r="N855" s="251"/>
      <c r="O855" s="251"/>
      <c r="P855" s="252"/>
      <c r="Q855" s="253"/>
      <c r="R855" s="252"/>
      <c r="S855" s="251"/>
      <c r="T855" s="251"/>
      <c r="U855" s="251"/>
      <c r="V855" s="251"/>
      <c r="W855" s="251"/>
      <c r="X855" s="251"/>
      <c r="Y855" s="251"/>
      <c r="Z855" s="251"/>
    </row>
    <row r="856">
      <c r="A856" s="250"/>
      <c r="B856" s="251"/>
      <c r="C856" s="251" t="s">
        <v>39</v>
      </c>
      <c r="D856" s="252" t="s">
        <v>39</v>
      </c>
      <c r="E856" s="252" t="s">
        <v>39</v>
      </c>
      <c r="F856" s="252"/>
      <c r="G856" s="251"/>
      <c r="H856" s="251"/>
      <c r="I856" s="251"/>
      <c r="J856" s="251"/>
      <c r="K856" s="251"/>
      <c r="L856" s="251"/>
      <c r="M856" s="251"/>
      <c r="N856" s="251"/>
      <c r="O856" s="251"/>
      <c r="P856" s="252"/>
      <c r="Q856" s="253"/>
      <c r="R856" s="252"/>
      <c r="S856" s="251"/>
      <c r="T856" s="251"/>
      <c r="U856" s="251"/>
      <c r="V856" s="251"/>
      <c r="W856" s="251"/>
      <c r="X856" s="251"/>
      <c r="Y856" s="251"/>
      <c r="Z856" s="251"/>
    </row>
    <row r="857">
      <c r="A857" s="250"/>
      <c r="B857" s="251"/>
      <c r="C857" s="251" t="s">
        <v>39</v>
      </c>
      <c r="D857" s="252" t="s">
        <v>39</v>
      </c>
      <c r="E857" s="252" t="s">
        <v>39</v>
      </c>
      <c r="F857" s="252"/>
      <c r="G857" s="251"/>
      <c r="H857" s="251"/>
      <c r="I857" s="251"/>
      <c r="J857" s="251"/>
      <c r="K857" s="251"/>
      <c r="L857" s="251"/>
      <c r="M857" s="251"/>
      <c r="N857" s="251"/>
      <c r="O857" s="251"/>
      <c r="P857" s="252"/>
      <c r="Q857" s="253"/>
      <c r="R857" s="252"/>
      <c r="S857" s="251"/>
      <c r="T857" s="251"/>
      <c r="U857" s="251"/>
      <c r="V857" s="251"/>
      <c r="W857" s="251"/>
      <c r="X857" s="251"/>
      <c r="Y857" s="251"/>
      <c r="Z857" s="251"/>
    </row>
    <row r="858">
      <c r="A858" s="250"/>
      <c r="B858" s="251"/>
      <c r="C858" s="251" t="s">
        <v>39</v>
      </c>
      <c r="D858" s="252" t="s">
        <v>39</v>
      </c>
      <c r="E858" s="252" t="s">
        <v>39</v>
      </c>
      <c r="F858" s="252"/>
      <c r="G858" s="251"/>
      <c r="H858" s="251"/>
      <c r="I858" s="251"/>
      <c r="J858" s="251"/>
      <c r="K858" s="251"/>
      <c r="L858" s="251"/>
      <c r="M858" s="251"/>
      <c r="N858" s="251"/>
      <c r="O858" s="251"/>
      <c r="P858" s="252"/>
      <c r="Q858" s="253"/>
      <c r="R858" s="252"/>
      <c r="S858" s="251"/>
      <c r="T858" s="251"/>
      <c r="U858" s="251"/>
      <c r="V858" s="251"/>
      <c r="W858" s="251"/>
      <c r="X858" s="251"/>
      <c r="Y858" s="251"/>
      <c r="Z858" s="251"/>
    </row>
    <row r="859">
      <c r="A859" s="250"/>
      <c r="B859" s="251"/>
      <c r="C859" s="251" t="s">
        <v>39</v>
      </c>
      <c r="D859" s="252" t="s">
        <v>39</v>
      </c>
      <c r="E859" s="252" t="s">
        <v>39</v>
      </c>
      <c r="F859" s="252"/>
      <c r="G859" s="251"/>
      <c r="H859" s="251"/>
      <c r="I859" s="251"/>
      <c r="J859" s="251"/>
      <c r="K859" s="251"/>
      <c r="L859" s="251"/>
      <c r="M859" s="251"/>
      <c r="N859" s="251"/>
      <c r="O859" s="251"/>
      <c r="P859" s="252"/>
      <c r="Q859" s="253"/>
      <c r="R859" s="252"/>
      <c r="S859" s="251"/>
      <c r="T859" s="251"/>
      <c r="U859" s="251"/>
      <c r="V859" s="251"/>
      <c r="W859" s="251"/>
      <c r="X859" s="251"/>
      <c r="Y859" s="251"/>
      <c r="Z859" s="251"/>
    </row>
    <row r="860">
      <c r="A860" s="250"/>
      <c r="B860" s="251"/>
      <c r="C860" s="251" t="s">
        <v>39</v>
      </c>
      <c r="D860" s="252" t="s">
        <v>39</v>
      </c>
      <c r="E860" s="252" t="s">
        <v>39</v>
      </c>
      <c r="F860" s="252"/>
      <c r="G860" s="251"/>
      <c r="H860" s="251"/>
      <c r="I860" s="251"/>
      <c r="J860" s="251"/>
      <c r="K860" s="251"/>
      <c r="L860" s="251"/>
      <c r="M860" s="251"/>
      <c r="N860" s="251"/>
      <c r="O860" s="251"/>
      <c r="P860" s="252"/>
      <c r="Q860" s="253"/>
      <c r="R860" s="252"/>
      <c r="S860" s="251"/>
      <c r="T860" s="251"/>
      <c r="U860" s="251"/>
      <c r="V860" s="251"/>
      <c r="W860" s="251"/>
      <c r="X860" s="251"/>
      <c r="Y860" s="251"/>
      <c r="Z860" s="251"/>
    </row>
    <row r="861">
      <c r="A861" s="250"/>
      <c r="B861" s="251"/>
      <c r="C861" s="251" t="s">
        <v>39</v>
      </c>
      <c r="D861" s="252" t="s">
        <v>39</v>
      </c>
      <c r="E861" s="252" t="s">
        <v>39</v>
      </c>
      <c r="F861" s="252"/>
      <c r="G861" s="251"/>
      <c r="H861" s="251"/>
      <c r="I861" s="251"/>
      <c r="J861" s="251"/>
      <c r="K861" s="251"/>
      <c r="L861" s="251"/>
      <c r="M861" s="251"/>
      <c r="N861" s="251"/>
      <c r="O861" s="251"/>
      <c r="P861" s="252"/>
      <c r="Q861" s="253"/>
      <c r="R861" s="252"/>
      <c r="S861" s="251"/>
      <c r="T861" s="251"/>
      <c r="U861" s="251"/>
      <c r="V861" s="251"/>
      <c r="W861" s="251"/>
      <c r="X861" s="251"/>
      <c r="Y861" s="251"/>
      <c r="Z861" s="251"/>
    </row>
    <row r="862">
      <c r="A862" s="250"/>
      <c r="B862" s="251"/>
      <c r="C862" s="251" t="s">
        <v>39</v>
      </c>
      <c r="D862" s="252" t="s">
        <v>39</v>
      </c>
      <c r="E862" s="252" t="s">
        <v>39</v>
      </c>
      <c r="F862" s="252"/>
      <c r="G862" s="251"/>
      <c r="H862" s="251"/>
      <c r="I862" s="251"/>
      <c r="J862" s="251"/>
      <c r="K862" s="251"/>
      <c r="L862" s="251"/>
      <c r="M862" s="251"/>
      <c r="N862" s="251"/>
      <c r="O862" s="251"/>
      <c r="P862" s="252"/>
      <c r="Q862" s="253"/>
      <c r="R862" s="252"/>
      <c r="S862" s="251"/>
      <c r="T862" s="251"/>
      <c r="U862" s="251"/>
      <c r="V862" s="251"/>
      <c r="W862" s="251"/>
      <c r="X862" s="251"/>
      <c r="Y862" s="251"/>
      <c r="Z862" s="251"/>
    </row>
    <row r="863">
      <c r="A863" s="250"/>
      <c r="B863" s="251"/>
      <c r="C863" s="251" t="s">
        <v>39</v>
      </c>
      <c r="D863" s="252" t="s">
        <v>39</v>
      </c>
      <c r="E863" s="252" t="s">
        <v>39</v>
      </c>
      <c r="F863" s="252"/>
      <c r="G863" s="251"/>
      <c r="H863" s="251"/>
      <c r="I863" s="251"/>
      <c r="J863" s="251"/>
      <c r="K863" s="251"/>
      <c r="L863" s="251"/>
      <c r="M863" s="251"/>
      <c r="N863" s="251"/>
      <c r="O863" s="251"/>
      <c r="P863" s="252"/>
      <c r="Q863" s="253"/>
      <c r="R863" s="252"/>
      <c r="S863" s="251"/>
      <c r="T863" s="251"/>
      <c r="U863" s="251"/>
      <c r="V863" s="251"/>
      <c r="W863" s="251"/>
      <c r="X863" s="251"/>
      <c r="Y863" s="251"/>
      <c r="Z863" s="251"/>
    </row>
    <row r="864">
      <c r="A864" s="250"/>
      <c r="B864" s="251"/>
      <c r="C864" s="251" t="s">
        <v>39</v>
      </c>
      <c r="D864" s="252" t="s">
        <v>39</v>
      </c>
      <c r="E864" s="252" t="s">
        <v>39</v>
      </c>
      <c r="F864" s="252"/>
      <c r="G864" s="251"/>
      <c r="H864" s="251"/>
      <c r="I864" s="251"/>
      <c r="J864" s="251"/>
      <c r="K864" s="251"/>
      <c r="L864" s="251"/>
      <c r="M864" s="251"/>
      <c r="N864" s="251"/>
      <c r="O864" s="251"/>
      <c r="P864" s="252"/>
      <c r="Q864" s="253"/>
      <c r="R864" s="252"/>
      <c r="S864" s="251"/>
      <c r="T864" s="251"/>
      <c r="U864" s="251"/>
      <c r="V864" s="251"/>
      <c r="W864" s="251"/>
      <c r="X864" s="251"/>
      <c r="Y864" s="251"/>
      <c r="Z864" s="251"/>
    </row>
    <row r="865">
      <c r="A865" s="250"/>
      <c r="B865" s="251"/>
      <c r="C865" s="251" t="s">
        <v>39</v>
      </c>
      <c r="D865" s="252" t="s">
        <v>39</v>
      </c>
      <c r="E865" s="252" t="s">
        <v>39</v>
      </c>
      <c r="F865" s="252"/>
      <c r="G865" s="251"/>
      <c r="H865" s="251"/>
      <c r="I865" s="251"/>
      <c r="J865" s="251"/>
      <c r="K865" s="251"/>
      <c r="L865" s="251"/>
      <c r="M865" s="251"/>
      <c r="N865" s="251"/>
      <c r="O865" s="251"/>
      <c r="P865" s="252"/>
      <c r="Q865" s="253"/>
      <c r="R865" s="252"/>
      <c r="S865" s="251"/>
      <c r="T865" s="251"/>
      <c r="U865" s="251"/>
      <c r="V865" s="251"/>
      <c r="W865" s="251"/>
      <c r="X865" s="251"/>
      <c r="Y865" s="251"/>
      <c r="Z865" s="251"/>
    </row>
    <row r="866">
      <c r="A866" s="250"/>
      <c r="B866" s="251"/>
      <c r="C866" s="251" t="s">
        <v>39</v>
      </c>
      <c r="D866" s="252" t="s">
        <v>39</v>
      </c>
      <c r="E866" s="252" t="s">
        <v>39</v>
      </c>
      <c r="F866" s="252"/>
      <c r="G866" s="251"/>
      <c r="H866" s="251"/>
      <c r="I866" s="251"/>
      <c r="J866" s="251"/>
      <c r="K866" s="251"/>
      <c r="L866" s="251"/>
      <c r="M866" s="251"/>
      <c r="N866" s="251"/>
      <c r="O866" s="251"/>
      <c r="P866" s="252"/>
      <c r="Q866" s="253"/>
      <c r="R866" s="252"/>
      <c r="S866" s="251"/>
      <c r="T866" s="251"/>
      <c r="U866" s="251"/>
      <c r="V866" s="251"/>
      <c r="W866" s="251"/>
      <c r="X866" s="251"/>
      <c r="Y866" s="251"/>
      <c r="Z866" s="251"/>
    </row>
    <row r="867">
      <c r="A867" s="250"/>
      <c r="B867" s="251"/>
      <c r="C867" s="251" t="s">
        <v>39</v>
      </c>
      <c r="D867" s="252" t="s">
        <v>39</v>
      </c>
      <c r="E867" s="252" t="s">
        <v>39</v>
      </c>
      <c r="F867" s="252"/>
      <c r="G867" s="251"/>
      <c r="H867" s="251"/>
      <c r="I867" s="251"/>
      <c r="J867" s="251"/>
      <c r="K867" s="251"/>
      <c r="L867" s="251"/>
      <c r="M867" s="251"/>
      <c r="N867" s="251"/>
      <c r="O867" s="251"/>
      <c r="P867" s="252"/>
      <c r="Q867" s="253"/>
      <c r="R867" s="252"/>
      <c r="S867" s="251"/>
      <c r="T867" s="251"/>
      <c r="U867" s="251"/>
      <c r="V867" s="251"/>
      <c r="W867" s="251"/>
      <c r="X867" s="251"/>
      <c r="Y867" s="251"/>
      <c r="Z867" s="251"/>
    </row>
    <row r="868">
      <c r="A868" s="250"/>
      <c r="B868" s="251"/>
      <c r="C868" s="251" t="s">
        <v>39</v>
      </c>
      <c r="D868" s="252" t="s">
        <v>39</v>
      </c>
      <c r="E868" s="252" t="s">
        <v>39</v>
      </c>
      <c r="F868" s="252"/>
      <c r="G868" s="251"/>
      <c r="H868" s="251"/>
      <c r="I868" s="251"/>
      <c r="J868" s="251"/>
      <c r="K868" s="251"/>
      <c r="L868" s="251"/>
      <c r="M868" s="251"/>
      <c r="N868" s="251"/>
      <c r="O868" s="251"/>
      <c r="P868" s="252"/>
      <c r="Q868" s="253"/>
      <c r="R868" s="252"/>
      <c r="S868" s="251"/>
      <c r="T868" s="251"/>
      <c r="U868" s="251"/>
      <c r="V868" s="251"/>
      <c r="W868" s="251"/>
      <c r="X868" s="251"/>
      <c r="Y868" s="251"/>
      <c r="Z868" s="251"/>
    </row>
    <row r="869">
      <c r="A869" s="250"/>
      <c r="B869" s="251"/>
      <c r="C869" s="251" t="s">
        <v>39</v>
      </c>
      <c r="D869" s="252" t="s">
        <v>39</v>
      </c>
      <c r="E869" s="252" t="s">
        <v>39</v>
      </c>
      <c r="F869" s="252"/>
      <c r="G869" s="251"/>
      <c r="H869" s="251"/>
      <c r="I869" s="251"/>
      <c r="J869" s="251"/>
      <c r="K869" s="251"/>
      <c r="L869" s="251"/>
      <c r="M869" s="251"/>
      <c r="N869" s="251"/>
      <c r="O869" s="251"/>
      <c r="P869" s="252"/>
      <c r="Q869" s="253"/>
      <c r="R869" s="252"/>
      <c r="S869" s="251"/>
      <c r="T869" s="251"/>
      <c r="U869" s="251"/>
      <c r="V869" s="251"/>
      <c r="W869" s="251"/>
      <c r="X869" s="251"/>
      <c r="Y869" s="251"/>
      <c r="Z869" s="251"/>
    </row>
    <row r="870">
      <c r="A870" s="250"/>
      <c r="B870" s="251"/>
      <c r="C870" s="251" t="s">
        <v>39</v>
      </c>
      <c r="D870" s="252" t="s">
        <v>39</v>
      </c>
      <c r="E870" s="252" t="s">
        <v>39</v>
      </c>
      <c r="F870" s="252"/>
      <c r="G870" s="251"/>
      <c r="H870" s="251"/>
      <c r="I870" s="251"/>
      <c r="J870" s="251"/>
      <c r="K870" s="251"/>
      <c r="L870" s="251"/>
      <c r="M870" s="251"/>
      <c r="N870" s="251"/>
      <c r="O870" s="251"/>
      <c r="P870" s="252"/>
      <c r="Q870" s="253"/>
      <c r="R870" s="252"/>
      <c r="S870" s="251"/>
      <c r="T870" s="251"/>
      <c r="U870" s="251"/>
      <c r="V870" s="251"/>
      <c r="W870" s="251"/>
      <c r="X870" s="251"/>
      <c r="Y870" s="251"/>
      <c r="Z870" s="251"/>
    </row>
    <row r="871">
      <c r="A871" s="250"/>
      <c r="B871" s="251"/>
      <c r="C871" s="251" t="s">
        <v>39</v>
      </c>
      <c r="D871" s="252" t="s">
        <v>39</v>
      </c>
      <c r="E871" s="252" t="s">
        <v>39</v>
      </c>
      <c r="F871" s="252"/>
      <c r="G871" s="251"/>
      <c r="H871" s="251"/>
      <c r="I871" s="251"/>
      <c r="J871" s="251"/>
      <c r="K871" s="251"/>
      <c r="L871" s="251"/>
      <c r="M871" s="251"/>
      <c r="N871" s="251"/>
      <c r="O871" s="251"/>
      <c r="P871" s="252"/>
      <c r="Q871" s="253"/>
      <c r="R871" s="252"/>
      <c r="S871" s="251"/>
      <c r="T871" s="251"/>
      <c r="U871" s="251"/>
      <c r="V871" s="251"/>
      <c r="W871" s="251"/>
      <c r="X871" s="251"/>
      <c r="Y871" s="251"/>
      <c r="Z871" s="251"/>
    </row>
    <row r="872">
      <c r="A872" s="250"/>
      <c r="B872" s="251"/>
      <c r="C872" s="251" t="s">
        <v>39</v>
      </c>
      <c r="D872" s="252" t="s">
        <v>39</v>
      </c>
      <c r="E872" s="252" t="s">
        <v>39</v>
      </c>
      <c r="F872" s="252"/>
      <c r="G872" s="251"/>
      <c r="H872" s="251"/>
      <c r="I872" s="251"/>
      <c r="J872" s="251"/>
      <c r="K872" s="251"/>
      <c r="L872" s="251"/>
      <c r="M872" s="251"/>
      <c r="N872" s="251"/>
      <c r="O872" s="251"/>
      <c r="P872" s="252"/>
      <c r="Q872" s="253"/>
      <c r="R872" s="252"/>
      <c r="S872" s="251"/>
      <c r="T872" s="251"/>
      <c r="U872" s="251"/>
      <c r="V872" s="251"/>
      <c r="W872" s="251"/>
      <c r="X872" s="251"/>
      <c r="Y872" s="251"/>
      <c r="Z872" s="251"/>
    </row>
    <row r="873">
      <c r="A873" s="250"/>
      <c r="B873" s="251"/>
      <c r="C873" s="251" t="s">
        <v>39</v>
      </c>
      <c r="D873" s="252" t="s">
        <v>39</v>
      </c>
      <c r="E873" s="252" t="s">
        <v>39</v>
      </c>
      <c r="F873" s="252"/>
      <c r="G873" s="251"/>
      <c r="H873" s="251"/>
      <c r="I873" s="251"/>
      <c r="J873" s="251"/>
      <c r="K873" s="251"/>
      <c r="L873" s="251"/>
      <c r="M873" s="251"/>
      <c r="N873" s="251"/>
      <c r="O873" s="251"/>
      <c r="P873" s="252"/>
      <c r="Q873" s="253"/>
      <c r="R873" s="252"/>
      <c r="S873" s="251"/>
      <c r="T873" s="251"/>
      <c r="U873" s="251"/>
      <c r="V873" s="251"/>
      <c r="W873" s="251"/>
      <c r="X873" s="251"/>
      <c r="Y873" s="251"/>
      <c r="Z873" s="251"/>
    </row>
    <row r="874">
      <c r="A874" s="250"/>
      <c r="B874" s="251"/>
      <c r="C874" s="251" t="s">
        <v>39</v>
      </c>
      <c r="D874" s="252" t="s">
        <v>39</v>
      </c>
      <c r="E874" s="252" t="s">
        <v>39</v>
      </c>
      <c r="F874" s="252"/>
      <c r="G874" s="251"/>
      <c r="H874" s="251"/>
      <c r="I874" s="251"/>
      <c r="J874" s="251"/>
      <c r="K874" s="251"/>
      <c r="L874" s="251"/>
      <c r="M874" s="251"/>
      <c r="N874" s="251"/>
      <c r="O874" s="251"/>
      <c r="P874" s="252"/>
      <c r="Q874" s="253"/>
      <c r="R874" s="252"/>
      <c r="S874" s="251"/>
      <c r="T874" s="251"/>
      <c r="U874" s="251"/>
      <c r="V874" s="251"/>
      <c r="W874" s="251"/>
      <c r="X874" s="251"/>
      <c r="Y874" s="251"/>
      <c r="Z874" s="251"/>
    </row>
    <row r="875">
      <c r="A875" s="250"/>
      <c r="B875" s="251"/>
      <c r="C875" s="251" t="s">
        <v>39</v>
      </c>
      <c r="D875" s="252" t="s">
        <v>39</v>
      </c>
      <c r="E875" s="252" t="s">
        <v>39</v>
      </c>
      <c r="F875" s="252"/>
      <c r="G875" s="251"/>
      <c r="H875" s="251"/>
      <c r="I875" s="251"/>
      <c r="J875" s="251"/>
      <c r="K875" s="251"/>
      <c r="L875" s="251"/>
      <c r="M875" s="251"/>
      <c r="N875" s="251"/>
      <c r="O875" s="251"/>
      <c r="P875" s="252"/>
      <c r="Q875" s="253"/>
      <c r="R875" s="252"/>
      <c r="S875" s="251"/>
      <c r="T875" s="251"/>
      <c r="U875" s="251"/>
      <c r="V875" s="251"/>
      <c r="W875" s="251"/>
      <c r="X875" s="251"/>
      <c r="Y875" s="251"/>
      <c r="Z875" s="251"/>
    </row>
    <row r="876">
      <c r="A876" s="250"/>
      <c r="B876" s="251"/>
      <c r="C876" s="251" t="s">
        <v>39</v>
      </c>
      <c r="D876" s="252" t="s">
        <v>39</v>
      </c>
      <c r="E876" s="252" t="s">
        <v>39</v>
      </c>
      <c r="F876" s="252"/>
      <c r="G876" s="251"/>
      <c r="H876" s="251"/>
      <c r="I876" s="251"/>
      <c r="J876" s="251"/>
      <c r="K876" s="251"/>
      <c r="L876" s="251"/>
      <c r="M876" s="251"/>
      <c r="N876" s="251"/>
      <c r="O876" s="251"/>
      <c r="P876" s="252"/>
      <c r="Q876" s="253"/>
      <c r="R876" s="252"/>
      <c r="S876" s="251"/>
      <c r="T876" s="251"/>
      <c r="U876" s="251"/>
      <c r="V876" s="251"/>
      <c r="W876" s="251"/>
      <c r="X876" s="251"/>
      <c r="Y876" s="251"/>
      <c r="Z876" s="251"/>
    </row>
    <row r="877">
      <c r="A877" s="250"/>
      <c r="B877" s="251"/>
      <c r="C877" s="251" t="s">
        <v>39</v>
      </c>
      <c r="D877" s="252" t="s">
        <v>39</v>
      </c>
      <c r="E877" s="252" t="s">
        <v>39</v>
      </c>
      <c r="F877" s="252"/>
      <c r="G877" s="251"/>
      <c r="H877" s="251"/>
      <c r="I877" s="251"/>
      <c r="J877" s="251"/>
      <c r="K877" s="251"/>
      <c r="L877" s="251"/>
      <c r="M877" s="251"/>
      <c r="N877" s="251"/>
      <c r="O877" s="251"/>
      <c r="P877" s="252"/>
      <c r="Q877" s="253"/>
      <c r="R877" s="252"/>
      <c r="S877" s="251"/>
      <c r="T877" s="251"/>
      <c r="U877" s="251"/>
      <c r="V877" s="251"/>
      <c r="W877" s="251"/>
      <c r="X877" s="251"/>
      <c r="Y877" s="251"/>
      <c r="Z877" s="251"/>
    </row>
    <row r="878">
      <c r="A878" s="250"/>
      <c r="B878" s="251"/>
      <c r="C878" s="251" t="s">
        <v>39</v>
      </c>
      <c r="D878" s="252" t="s">
        <v>39</v>
      </c>
      <c r="E878" s="252" t="s">
        <v>39</v>
      </c>
      <c r="F878" s="252"/>
      <c r="G878" s="251"/>
      <c r="H878" s="251"/>
      <c r="I878" s="251"/>
      <c r="J878" s="251"/>
      <c r="K878" s="251"/>
      <c r="L878" s="251"/>
      <c r="M878" s="251"/>
      <c r="N878" s="251"/>
      <c r="O878" s="251"/>
      <c r="P878" s="252"/>
      <c r="Q878" s="253"/>
      <c r="R878" s="252"/>
      <c r="S878" s="251"/>
      <c r="T878" s="251"/>
      <c r="U878" s="251"/>
      <c r="V878" s="251"/>
      <c r="W878" s="251"/>
      <c r="X878" s="251"/>
      <c r="Y878" s="251"/>
      <c r="Z878" s="251"/>
    </row>
    <row r="879">
      <c r="A879" s="250"/>
      <c r="B879" s="251"/>
      <c r="C879" s="251" t="s">
        <v>39</v>
      </c>
      <c r="D879" s="252" t="s">
        <v>39</v>
      </c>
      <c r="E879" s="252" t="s">
        <v>39</v>
      </c>
      <c r="F879" s="252"/>
      <c r="G879" s="251"/>
      <c r="H879" s="251"/>
      <c r="I879" s="251"/>
      <c r="J879" s="251"/>
      <c r="K879" s="251"/>
      <c r="L879" s="251"/>
      <c r="M879" s="251"/>
      <c r="N879" s="251"/>
      <c r="O879" s="251"/>
      <c r="P879" s="252"/>
      <c r="Q879" s="253"/>
      <c r="R879" s="252"/>
      <c r="S879" s="251"/>
      <c r="T879" s="251"/>
      <c r="U879" s="251"/>
      <c r="V879" s="251"/>
      <c r="W879" s="251"/>
      <c r="X879" s="251"/>
      <c r="Y879" s="251"/>
      <c r="Z879" s="251"/>
    </row>
    <row r="880">
      <c r="A880" s="250"/>
      <c r="B880" s="251"/>
      <c r="C880" s="251" t="s">
        <v>39</v>
      </c>
      <c r="D880" s="252" t="s">
        <v>39</v>
      </c>
      <c r="E880" s="252" t="s">
        <v>39</v>
      </c>
      <c r="F880" s="252"/>
      <c r="G880" s="251"/>
      <c r="H880" s="251"/>
      <c r="I880" s="251"/>
      <c r="J880" s="251"/>
      <c r="K880" s="251"/>
      <c r="L880" s="251"/>
      <c r="M880" s="251"/>
      <c r="N880" s="251"/>
      <c r="O880" s="251"/>
      <c r="P880" s="252"/>
      <c r="Q880" s="253"/>
      <c r="R880" s="252"/>
      <c r="S880" s="251"/>
      <c r="T880" s="251"/>
      <c r="U880" s="251"/>
      <c r="V880" s="251"/>
      <c r="W880" s="251"/>
      <c r="X880" s="251"/>
      <c r="Y880" s="251"/>
      <c r="Z880" s="251"/>
    </row>
    <row r="881">
      <c r="A881" s="250"/>
      <c r="B881" s="251"/>
      <c r="C881" s="251" t="s">
        <v>39</v>
      </c>
      <c r="D881" s="252" t="s">
        <v>39</v>
      </c>
      <c r="E881" s="252" t="s">
        <v>39</v>
      </c>
      <c r="F881" s="252"/>
      <c r="G881" s="251"/>
      <c r="H881" s="251"/>
      <c r="I881" s="251"/>
      <c r="J881" s="251"/>
      <c r="K881" s="251"/>
      <c r="L881" s="251"/>
      <c r="M881" s="251"/>
      <c r="N881" s="251"/>
      <c r="O881" s="251"/>
      <c r="P881" s="252"/>
      <c r="Q881" s="253"/>
      <c r="R881" s="252"/>
      <c r="S881" s="251"/>
      <c r="T881" s="251"/>
      <c r="U881" s="251"/>
      <c r="V881" s="251"/>
      <c r="W881" s="251"/>
      <c r="X881" s="251"/>
      <c r="Y881" s="251"/>
      <c r="Z881" s="251"/>
    </row>
    <row r="882">
      <c r="A882" s="250"/>
      <c r="B882" s="251"/>
      <c r="C882" s="251" t="s">
        <v>39</v>
      </c>
      <c r="D882" s="252" t="s">
        <v>39</v>
      </c>
      <c r="E882" s="252" t="s">
        <v>39</v>
      </c>
      <c r="F882" s="252"/>
      <c r="G882" s="251"/>
      <c r="H882" s="251"/>
      <c r="I882" s="251"/>
      <c r="J882" s="251"/>
      <c r="K882" s="251"/>
      <c r="L882" s="251"/>
      <c r="M882" s="251"/>
      <c r="N882" s="251"/>
      <c r="O882" s="251"/>
      <c r="P882" s="252"/>
      <c r="Q882" s="253"/>
      <c r="R882" s="252"/>
      <c r="S882" s="251"/>
      <c r="T882" s="251"/>
      <c r="U882" s="251"/>
      <c r="V882" s="251"/>
      <c r="W882" s="251"/>
      <c r="X882" s="251"/>
      <c r="Y882" s="251"/>
      <c r="Z882" s="251"/>
    </row>
    <row r="883">
      <c r="A883" s="250"/>
      <c r="B883" s="251"/>
      <c r="C883" s="251" t="s">
        <v>39</v>
      </c>
      <c r="D883" s="252" t="s">
        <v>39</v>
      </c>
      <c r="E883" s="252" t="s">
        <v>39</v>
      </c>
      <c r="F883" s="252"/>
      <c r="G883" s="251"/>
      <c r="H883" s="251"/>
      <c r="I883" s="251"/>
      <c r="J883" s="251"/>
      <c r="K883" s="251"/>
      <c r="L883" s="251"/>
      <c r="M883" s="251"/>
      <c r="N883" s="251"/>
      <c r="O883" s="251"/>
      <c r="P883" s="252"/>
      <c r="Q883" s="253"/>
      <c r="R883" s="252"/>
      <c r="S883" s="251"/>
      <c r="T883" s="251"/>
      <c r="U883" s="251"/>
      <c r="V883" s="251"/>
      <c r="W883" s="251"/>
      <c r="X883" s="251"/>
      <c r="Y883" s="251"/>
      <c r="Z883" s="251"/>
    </row>
    <row r="884">
      <c r="A884" s="250"/>
      <c r="B884" s="251"/>
      <c r="C884" s="251" t="s">
        <v>39</v>
      </c>
      <c r="D884" s="252" t="s">
        <v>39</v>
      </c>
      <c r="E884" s="252" t="s">
        <v>39</v>
      </c>
      <c r="F884" s="252"/>
      <c r="G884" s="251"/>
      <c r="H884" s="251"/>
      <c r="I884" s="251"/>
      <c r="J884" s="251"/>
      <c r="K884" s="251"/>
      <c r="L884" s="251"/>
      <c r="M884" s="251"/>
      <c r="N884" s="251"/>
      <c r="O884" s="251"/>
      <c r="P884" s="252"/>
      <c r="Q884" s="253"/>
      <c r="R884" s="252"/>
      <c r="S884" s="251"/>
      <c r="T884" s="251"/>
      <c r="U884" s="251"/>
      <c r="V884" s="251"/>
      <c r="W884" s="251"/>
      <c r="X884" s="251"/>
      <c r="Y884" s="251"/>
      <c r="Z884" s="251"/>
    </row>
    <row r="885">
      <c r="A885" s="250"/>
      <c r="B885" s="251"/>
      <c r="C885" s="251" t="s">
        <v>39</v>
      </c>
      <c r="D885" s="252" t="s">
        <v>39</v>
      </c>
      <c r="E885" s="252" t="s">
        <v>39</v>
      </c>
      <c r="F885" s="252"/>
      <c r="G885" s="251"/>
      <c r="H885" s="251"/>
      <c r="I885" s="251"/>
      <c r="J885" s="251"/>
      <c r="K885" s="251"/>
      <c r="L885" s="251"/>
      <c r="M885" s="251"/>
      <c r="N885" s="251"/>
      <c r="O885" s="251"/>
      <c r="P885" s="252"/>
      <c r="Q885" s="253"/>
      <c r="R885" s="252"/>
      <c r="S885" s="251"/>
      <c r="T885" s="251"/>
      <c r="U885" s="251"/>
      <c r="V885" s="251"/>
      <c r="W885" s="251"/>
      <c r="X885" s="251"/>
      <c r="Y885" s="251"/>
      <c r="Z885" s="251"/>
    </row>
    <row r="886">
      <c r="A886" s="250"/>
      <c r="B886" s="251"/>
      <c r="C886" s="251" t="s">
        <v>39</v>
      </c>
      <c r="D886" s="252" t="s">
        <v>39</v>
      </c>
      <c r="E886" s="252" t="s">
        <v>39</v>
      </c>
      <c r="F886" s="252"/>
      <c r="G886" s="251"/>
      <c r="H886" s="251"/>
      <c r="I886" s="251"/>
      <c r="J886" s="251"/>
      <c r="K886" s="251"/>
      <c r="L886" s="251"/>
      <c r="M886" s="251"/>
      <c r="N886" s="251"/>
      <c r="O886" s="251"/>
      <c r="P886" s="252"/>
      <c r="Q886" s="253"/>
      <c r="R886" s="252"/>
      <c r="S886" s="251"/>
      <c r="T886" s="251"/>
      <c r="U886" s="251"/>
      <c r="V886" s="251"/>
      <c r="W886" s="251"/>
      <c r="X886" s="251"/>
      <c r="Y886" s="251"/>
      <c r="Z886" s="251"/>
    </row>
    <row r="887">
      <c r="A887" s="250"/>
      <c r="B887" s="251"/>
      <c r="C887" s="251" t="s">
        <v>39</v>
      </c>
      <c r="D887" s="252" t="s">
        <v>39</v>
      </c>
      <c r="E887" s="252" t="s">
        <v>39</v>
      </c>
      <c r="F887" s="252"/>
      <c r="G887" s="251"/>
      <c r="H887" s="251"/>
      <c r="I887" s="251"/>
      <c r="J887" s="251"/>
      <c r="K887" s="251"/>
      <c r="L887" s="251"/>
      <c r="M887" s="251"/>
      <c r="N887" s="251"/>
      <c r="O887" s="251"/>
      <c r="P887" s="252"/>
      <c r="Q887" s="253"/>
      <c r="R887" s="252"/>
      <c r="S887" s="251"/>
      <c r="T887" s="251"/>
      <c r="U887" s="251"/>
      <c r="V887" s="251"/>
      <c r="W887" s="251"/>
      <c r="X887" s="251"/>
      <c r="Y887" s="251"/>
      <c r="Z887" s="251"/>
    </row>
    <row r="888">
      <c r="A888" s="250"/>
      <c r="B888" s="251"/>
      <c r="C888" s="251" t="s">
        <v>39</v>
      </c>
      <c r="D888" s="252" t="s">
        <v>39</v>
      </c>
      <c r="E888" s="252" t="s">
        <v>39</v>
      </c>
      <c r="F888" s="252"/>
      <c r="G888" s="251"/>
      <c r="H888" s="251"/>
      <c r="I888" s="251"/>
      <c r="J888" s="251"/>
      <c r="K888" s="251"/>
      <c r="L888" s="251"/>
      <c r="M888" s="251"/>
      <c r="N888" s="251"/>
      <c r="O888" s="251"/>
      <c r="P888" s="252"/>
      <c r="Q888" s="253"/>
      <c r="R888" s="252"/>
      <c r="S888" s="251"/>
      <c r="T888" s="251"/>
      <c r="U888" s="251"/>
      <c r="V888" s="251"/>
      <c r="W888" s="251"/>
      <c r="X888" s="251"/>
      <c r="Y888" s="251"/>
      <c r="Z888" s="251"/>
    </row>
    <row r="889">
      <c r="A889" s="250"/>
      <c r="B889" s="251"/>
      <c r="C889" s="251" t="s">
        <v>39</v>
      </c>
      <c r="D889" s="252" t="s">
        <v>39</v>
      </c>
      <c r="E889" s="252" t="s">
        <v>39</v>
      </c>
      <c r="F889" s="252"/>
      <c r="G889" s="251"/>
      <c r="H889" s="251"/>
      <c r="I889" s="251"/>
      <c r="J889" s="251"/>
      <c r="K889" s="251"/>
      <c r="L889" s="251"/>
      <c r="M889" s="251"/>
      <c r="N889" s="251"/>
      <c r="O889" s="251"/>
      <c r="P889" s="252"/>
      <c r="Q889" s="253"/>
      <c r="R889" s="252"/>
      <c r="S889" s="251"/>
      <c r="T889" s="251"/>
      <c r="U889" s="251"/>
      <c r="V889" s="251"/>
      <c r="W889" s="251"/>
      <c r="X889" s="251"/>
      <c r="Y889" s="251"/>
      <c r="Z889" s="251"/>
    </row>
    <row r="890">
      <c r="A890" s="250"/>
      <c r="B890" s="251"/>
      <c r="C890" s="251" t="s">
        <v>39</v>
      </c>
      <c r="D890" s="252" t="s">
        <v>39</v>
      </c>
      <c r="E890" s="252" t="s">
        <v>39</v>
      </c>
      <c r="F890" s="252"/>
      <c r="G890" s="251"/>
      <c r="H890" s="251"/>
      <c r="I890" s="251"/>
      <c r="J890" s="251"/>
      <c r="K890" s="251"/>
      <c r="L890" s="251"/>
      <c r="M890" s="251"/>
      <c r="N890" s="251"/>
      <c r="O890" s="251"/>
      <c r="P890" s="252"/>
      <c r="Q890" s="253"/>
      <c r="R890" s="252"/>
      <c r="S890" s="251"/>
      <c r="T890" s="251"/>
      <c r="U890" s="251"/>
      <c r="V890" s="251"/>
      <c r="W890" s="251"/>
      <c r="X890" s="251"/>
      <c r="Y890" s="251"/>
      <c r="Z890" s="251"/>
    </row>
    <row r="891">
      <c r="A891" s="250"/>
      <c r="B891" s="251"/>
      <c r="C891" s="251" t="s">
        <v>39</v>
      </c>
      <c r="D891" s="252" t="s">
        <v>39</v>
      </c>
      <c r="E891" s="252" t="s">
        <v>39</v>
      </c>
      <c r="F891" s="252"/>
      <c r="G891" s="251"/>
      <c r="H891" s="251"/>
      <c r="I891" s="251"/>
      <c r="J891" s="251"/>
      <c r="K891" s="251"/>
      <c r="L891" s="251"/>
      <c r="M891" s="251"/>
      <c r="N891" s="251"/>
      <c r="O891" s="251"/>
      <c r="P891" s="252"/>
      <c r="Q891" s="253"/>
      <c r="R891" s="252"/>
      <c r="S891" s="251"/>
      <c r="T891" s="251"/>
      <c r="U891" s="251"/>
      <c r="V891" s="251"/>
      <c r="W891" s="251"/>
      <c r="X891" s="251"/>
      <c r="Y891" s="251"/>
      <c r="Z891" s="251"/>
    </row>
    <row r="892">
      <c r="A892" s="250"/>
      <c r="B892" s="251"/>
      <c r="C892" s="251" t="s">
        <v>39</v>
      </c>
      <c r="D892" s="252" t="s">
        <v>39</v>
      </c>
      <c r="E892" s="252" t="s">
        <v>39</v>
      </c>
      <c r="F892" s="252"/>
      <c r="G892" s="251"/>
      <c r="H892" s="251"/>
      <c r="I892" s="251"/>
      <c r="J892" s="251"/>
      <c r="K892" s="251"/>
      <c r="L892" s="251"/>
      <c r="M892" s="251"/>
      <c r="N892" s="251"/>
      <c r="O892" s="251"/>
      <c r="P892" s="252"/>
      <c r="Q892" s="253"/>
      <c r="R892" s="252"/>
      <c r="S892" s="251"/>
      <c r="T892" s="251"/>
      <c r="U892" s="251"/>
      <c r="V892" s="251"/>
      <c r="W892" s="251"/>
      <c r="X892" s="251"/>
      <c r="Y892" s="251"/>
      <c r="Z892" s="251"/>
    </row>
    <row r="893">
      <c r="A893" s="250"/>
      <c r="B893" s="251"/>
      <c r="C893" s="251" t="s">
        <v>39</v>
      </c>
      <c r="D893" s="252" t="s">
        <v>39</v>
      </c>
      <c r="E893" s="252" t="s">
        <v>39</v>
      </c>
      <c r="F893" s="252"/>
      <c r="G893" s="251"/>
      <c r="H893" s="251"/>
      <c r="I893" s="251"/>
      <c r="J893" s="251"/>
      <c r="K893" s="251"/>
      <c r="L893" s="251"/>
      <c r="M893" s="251"/>
      <c r="N893" s="251"/>
      <c r="O893" s="251"/>
      <c r="P893" s="252"/>
      <c r="Q893" s="253"/>
      <c r="R893" s="252"/>
      <c r="S893" s="251"/>
      <c r="T893" s="251"/>
      <c r="U893" s="251"/>
      <c r="V893" s="251"/>
      <c r="W893" s="251"/>
      <c r="X893" s="251"/>
      <c r="Y893" s="251"/>
      <c r="Z893" s="251"/>
    </row>
    <row r="894">
      <c r="A894" s="250"/>
      <c r="B894" s="251"/>
      <c r="C894" s="251" t="s">
        <v>39</v>
      </c>
      <c r="D894" s="252" t="s">
        <v>39</v>
      </c>
      <c r="E894" s="252" t="s">
        <v>39</v>
      </c>
      <c r="F894" s="252"/>
      <c r="G894" s="251"/>
      <c r="H894" s="251"/>
      <c r="I894" s="251"/>
      <c r="J894" s="251"/>
      <c r="K894" s="251"/>
      <c r="L894" s="251"/>
      <c r="M894" s="251"/>
      <c r="N894" s="251"/>
      <c r="O894" s="251"/>
      <c r="P894" s="252"/>
      <c r="Q894" s="253"/>
      <c r="R894" s="252"/>
      <c r="S894" s="251"/>
      <c r="T894" s="251"/>
      <c r="U894" s="251"/>
      <c r="V894" s="251"/>
      <c r="W894" s="251"/>
      <c r="X894" s="251"/>
      <c r="Y894" s="251"/>
      <c r="Z894" s="251"/>
    </row>
    <row r="895">
      <c r="A895" s="250"/>
      <c r="B895" s="251"/>
      <c r="C895" s="251" t="s">
        <v>39</v>
      </c>
      <c r="D895" s="252" t="s">
        <v>39</v>
      </c>
      <c r="E895" s="252" t="s">
        <v>39</v>
      </c>
      <c r="F895" s="252"/>
      <c r="G895" s="251"/>
      <c r="H895" s="251"/>
      <c r="I895" s="251"/>
      <c r="J895" s="251"/>
      <c r="K895" s="251"/>
      <c r="L895" s="251"/>
      <c r="M895" s="251"/>
      <c r="N895" s="251"/>
      <c r="O895" s="251"/>
      <c r="P895" s="252"/>
      <c r="Q895" s="253"/>
      <c r="R895" s="252"/>
      <c r="S895" s="251"/>
      <c r="T895" s="251"/>
      <c r="U895" s="251"/>
      <c r="V895" s="251"/>
      <c r="W895" s="251"/>
      <c r="X895" s="251"/>
      <c r="Y895" s="251"/>
      <c r="Z895" s="251"/>
    </row>
    <row r="896">
      <c r="A896" s="250"/>
      <c r="B896" s="251"/>
      <c r="C896" s="251" t="s">
        <v>39</v>
      </c>
      <c r="D896" s="252" t="s">
        <v>39</v>
      </c>
      <c r="E896" s="252" t="s">
        <v>39</v>
      </c>
      <c r="F896" s="252"/>
      <c r="G896" s="251"/>
      <c r="H896" s="251"/>
      <c r="I896" s="251"/>
      <c r="J896" s="251"/>
      <c r="K896" s="251"/>
      <c r="L896" s="251"/>
      <c r="M896" s="251"/>
      <c r="N896" s="251"/>
      <c r="O896" s="251"/>
      <c r="P896" s="252"/>
      <c r="Q896" s="253"/>
      <c r="R896" s="252"/>
      <c r="S896" s="251"/>
      <c r="T896" s="251"/>
      <c r="U896" s="251"/>
      <c r="V896" s="251"/>
      <c r="W896" s="251"/>
      <c r="X896" s="251"/>
      <c r="Y896" s="251"/>
      <c r="Z896" s="251"/>
    </row>
    <row r="897">
      <c r="A897" s="250"/>
      <c r="B897" s="251"/>
      <c r="C897" s="251" t="s">
        <v>39</v>
      </c>
      <c r="D897" s="252" t="s">
        <v>39</v>
      </c>
      <c r="E897" s="252" t="s">
        <v>39</v>
      </c>
      <c r="F897" s="252"/>
      <c r="G897" s="251"/>
      <c r="H897" s="251"/>
      <c r="I897" s="251"/>
      <c r="J897" s="251"/>
      <c r="K897" s="251"/>
      <c r="L897" s="251"/>
      <c r="M897" s="251"/>
      <c r="N897" s="251"/>
      <c r="O897" s="251"/>
      <c r="P897" s="252"/>
      <c r="Q897" s="253"/>
      <c r="R897" s="252"/>
      <c r="S897" s="251"/>
      <c r="T897" s="251"/>
      <c r="U897" s="251"/>
      <c r="V897" s="251"/>
      <c r="W897" s="251"/>
      <c r="X897" s="251"/>
      <c r="Y897" s="251"/>
      <c r="Z897" s="251"/>
    </row>
    <row r="898">
      <c r="A898" s="250"/>
      <c r="B898" s="251"/>
      <c r="C898" s="251" t="s">
        <v>39</v>
      </c>
      <c r="D898" s="252" t="s">
        <v>39</v>
      </c>
      <c r="E898" s="252" t="s">
        <v>39</v>
      </c>
      <c r="F898" s="252"/>
      <c r="G898" s="251"/>
      <c r="H898" s="251"/>
      <c r="I898" s="251"/>
      <c r="J898" s="251"/>
      <c r="K898" s="251"/>
      <c r="L898" s="251"/>
      <c r="M898" s="251"/>
      <c r="N898" s="251"/>
      <c r="O898" s="251"/>
      <c r="P898" s="252"/>
      <c r="Q898" s="253"/>
      <c r="R898" s="252"/>
      <c r="S898" s="251"/>
      <c r="T898" s="251"/>
      <c r="U898" s="251"/>
      <c r="V898" s="251"/>
      <c r="W898" s="251"/>
      <c r="X898" s="251"/>
      <c r="Y898" s="251"/>
      <c r="Z898" s="251"/>
    </row>
    <row r="899">
      <c r="A899" s="250"/>
      <c r="B899" s="251"/>
      <c r="C899" s="251" t="s">
        <v>39</v>
      </c>
      <c r="D899" s="252" t="s">
        <v>39</v>
      </c>
      <c r="E899" s="252" t="s">
        <v>39</v>
      </c>
      <c r="F899" s="252"/>
      <c r="G899" s="251"/>
      <c r="H899" s="251"/>
      <c r="I899" s="251"/>
      <c r="J899" s="251"/>
      <c r="K899" s="251"/>
      <c r="L899" s="251"/>
      <c r="M899" s="251"/>
      <c r="N899" s="251"/>
      <c r="O899" s="251"/>
      <c r="P899" s="252"/>
      <c r="Q899" s="253"/>
      <c r="R899" s="252"/>
      <c r="S899" s="251"/>
      <c r="T899" s="251"/>
      <c r="U899" s="251"/>
      <c r="V899" s="251"/>
      <c r="W899" s="251"/>
      <c r="X899" s="251"/>
      <c r="Y899" s="251"/>
      <c r="Z899" s="251"/>
    </row>
    <row r="900">
      <c r="A900" s="250"/>
      <c r="B900" s="251"/>
      <c r="C900" s="251" t="s">
        <v>39</v>
      </c>
      <c r="D900" s="252" t="s">
        <v>39</v>
      </c>
      <c r="E900" s="252" t="s">
        <v>39</v>
      </c>
      <c r="F900" s="252"/>
      <c r="G900" s="251"/>
      <c r="H900" s="251"/>
      <c r="I900" s="251"/>
      <c r="J900" s="251"/>
      <c r="K900" s="251"/>
      <c r="L900" s="251"/>
      <c r="M900" s="251"/>
      <c r="N900" s="251"/>
      <c r="O900" s="251"/>
      <c r="P900" s="252"/>
      <c r="Q900" s="253"/>
      <c r="R900" s="252"/>
      <c r="S900" s="251"/>
      <c r="T900" s="251"/>
      <c r="U900" s="251"/>
      <c r="V900" s="251"/>
      <c r="W900" s="251"/>
      <c r="X900" s="251"/>
      <c r="Y900" s="251"/>
      <c r="Z900" s="251"/>
    </row>
    <row r="901">
      <c r="A901" s="250"/>
      <c r="B901" s="251"/>
      <c r="C901" s="251" t="s">
        <v>39</v>
      </c>
      <c r="D901" s="252" t="s">
        <v>39</v>
      </c>
      <c r="E901" s="252" t="s">
        <v>39</v>
      </c>
      <c r="F901" s="252"/>
      <c r="G901" s="251"/>
      <c r="H901" s="251"/>
      <c r="I901" s="251"/>
      <c r="J901" s="251"/>
      <c r="K901" s="251"/>
      <c r="L901" s="251"/>
      <c r="M901" s="251"/>
      <c r="N901" s="251"/>
      <c r="O901" s="251"/>
      <c r="P901" s="252"/>
      <c r="Q901" s="253"/>
      <c r="R901" s="252"/>
      <c r="S901" s="251"/>
      <c r="T901" s="251"/>
      <c r="U901" s="251"/>
      <c r="V901" s="251"/>
      <c r="W901" s="251"/>
      <c r="X901" s="251"/>
      <c r="Y901" s="251"/>
      <c r="Z901" s="251"/>
    </row>
    <row r="902">
      <c r="A902" s="250"/>
      <c r="B902" s="251"/>
      <c r="C902" s="251" t="s">
        <v>39</v>
      </c>
      <c r="D902" s="252" t="s">
        <v>39</v>
      </c>
      <c r="E902" s="252" t="s">
        <v>39</v>
      </c>
      <c r="F902" s="252"/>
      <c r="G902" s="251"/>
      <c r="H902" s="251"/>
      <c r="I902" s="251"/>
      <c r="J902" s="251"/>
      <c r="K902" s="251"/>
      <c r="L902" s="251"/>
      <c r="M902" s="251"/>
      <c r="N902" s="251"/>
      <c r="O902" s="251"/>
      <c r="P902" s="252"/>
      <c r="Q902" s="253"/>
      <c r="R902" s="252"/>
      <c r="S902" s="251"/>
      <c r="T902" s="251"/>
      <c r="U902" s="251"/>
      <c r="V902" s="251"/>
      <c r="W902" s="251"/>
      <c r="X902" s="251"/>
      <c r="Y902" s="251"/>
      <c r="Z902" s="251"/>
    </row>
    <row r="903">
      <c r="A903" s="250"/>
      <c r="B903" s="251"/>
      <c r="C903" s="251" t="s">
        <v>39</v>
      </c>
      <c r="D903" s="252" t="s">
        <v>39</v>
      </c>
      <c r="E903" s="252" t="s">
        <v>39</v>
      </c>
      <c r="F903" s="252"/>
      <c r="G903" s="251"/>
      <c r="H903" s="251"/>
      <c r="I903" s="251"/>
      <c r="J903" s="251"/>
      <c r="K903" s="251"/>
      <c r="L903" s="251"/>
      <c r="M903" s="251"/>
      <c r="N903" s="251"/>
      <c r="O903" s="251"/>
      <c r="P903" s="252"/>
      <c r="Q903" s="253"/>
      <c r="R903" s="252"/>
      <c r="S903" s="251"/>
      <c r="T903" s="251"/>
      <c r="U903" s="251"/>
      <c r="V903" s="251"/>
      <c r="W903" s="251"/>
      <c r="X903" s="251"/>
      <c r="Y903" s="251"/>
      <c r="Z903" s="251"/>
    </row>
    <row r="904">
      <c r="A904" s="250"/>
      <c r="B904" s="251"/>
      <c r="C904" s="251" t="s">
        <v>39</v>
      </c>
      <c r="D904" s="252" t="s">
        <v>39</v>
      </c>
      <c r="E904" s="252" t="s">
        <v>39</v>
      </c>
      <c r="F904" s="252"/>
      <c r="G904" s="251"/>
      <c r="H904" s="251"/>
      <c r="I904" s="251"/>
      <c r="J904" s="251"/>
      <c r="K904" s="251"/>
      <c r="L904" s="251"/>
      <c r="M904" s="251"/>
      <c r="N904" s="251"/>
      <c r="O904" s="251"/>
      <c r="P904" s="252"/>
      <c r="Q904" s="253"/>
      <c r="R904" s="252"/>
      <c r="S904" s="251"/>
      <c r="T904" s="251"/>
      <c r="U904" s="251"/>
      <c r="V904" s="251"/>
      <c r="W904" s="251"/>
      <c r="X904" s="251"/>
      <c r="Y904" s="251"/>
      <c r="Z904" s="251"/>
    </row>
    <row r="905">
      <c r="A905" s="250"/>
      <c r="B905" s="251"/>
      <c r="C905" s="251" t="s">
        <v>39</v>
      </c>
      <c r="D905" s="252" t="s">
        <v>39</v>
      </c>
      <c r="E905" s="252" t="s">
        <v>39</v>
      </c>
      <c r="F905" s="252"/>
      <c r="G905" s="251"/>
      <c r="H905" s="251"/>
      <c r="I905" s="251"/>
      <c r="J905" s="251"/>
      <c r="K905" s="251"/>
      <c r="L905" s="251"/>
      <c r="M905" s="251"/>
      <c r="N905" s="251"/>
      <c r="O905" s="251"/>
      <c r="P905" s="252"/>
      <c r="Q905" s="253"/>
      <c r="R905" s="252"/>
      <c r="S905" s="251"/>
      <c r="T905" s="251"/>
      <c r="U905" s="251"/>
      <c r="V905" s="251"/>
      <c r="W905" s="251"/>
      <c r="X905" s="251"/>
      <c r="Y905" s="251"/>
      <c r="Z905" s="251"/>
    </row>
    <row r="906">
      <c r="A906" s="250"/>
      <c r="B906" s="251"/>
      <c r="C906" s="251" t="s">
        <v>39</v>
      </c>
      <c r="D906" s="252" t="s">
        <v>39</v>
      </c>
      <c r="E906" s="252" t="s">
        <v>39</v>
      </c>
      <c r="F906" s="252"/>
      <c r="G906" s="251"/>
      <c r="H906" s="251"/>
      <c r="I906" s="251"/>
      <c r="J906" s="251"/>
      <c r="K906" s="251"/>
      <c r="L906" s="251"/>
      <c r="M906" s="251"/>
      <c r="N906" s="251"/>
      <c r="O906" s="251"/>
      <c r="P906" s="252"/>
      <c r="Q906" s="253"/>
      <c r="R906" s="252"/>
      <c r="S906" s="251"/>
      <c r="T906" s="251"/>
      <c r="U906" s="251"/>
      <c r="V906" s="251"/>
      <c r="W906" s="251"/>
      <c r="X906" s="251"/>
      <c r="Y906" s="251"/>
      <c r="Z906" s="251"/>
    </row>
    <row r="907">
      <c r="A907" s="250"/>
      <c r="B907" s="251"/>
      <c r="C907" s="251" t="s">
        <v>39</v>
      </c>
      <c r="D907" s="252" t="s">
        <v>39</v>
      </c>
      <c r="E907" s="252" t="s">
        <v>39</v>
      </c>
      <c r="F907" s="252"/>
      <c r="G907" s="251"/>
      <c r="H907" s="251"/>
      <c r="I907" s="251"/>
      <c r="J907" s="251"/>
      <c r="K907" s="251"/>
      <c r="L907" s="251"/>
      <c r="M907" s="251"/>
      <c r="N907" s="251"/>
      <c r="O907" s="251"/>
      <c r="P907" s="252"/>
      <c r="Q907" s="253"/>
      <c r="R907" s="252"/>
      <c r="S907" s="251"/>
      <c r="T907" s="251"/>
      <c r="U907" s="251"/>
      <c r="V907" s="251"/>
      <c r="W907" s="251"/>
      <c r="X907" s="251"/>
      <c r="Y907" s="251"/>
      <c r="Z907" s="251"/>
    </row>
    <row r="908">
      <c r="A908" s="250"/>
      <c r="B908" s="251"/>
      <c r="C908" s="251" t="s">
        <v>39</v>
      </c>
      <c r="D908" s="252" t="s">
        <v>39</v>
      </c>
      <c r="E908" s="252" t="s">
        <v>39</v>
      </c>
      <c r="F908" s="252"/>
      <c r="G908" s="251"/>
      <c r="H908" s="251"/>
      <c r="I908" s="251"/>
      <c r="J908" s="251"/>
      <c r="K908" s="251"/>
      <c r="L908" s="251"/>
      <c r="M908" s="251"/>
      <c r="N908" s="251"/>
      <c r="O908" s="251"/>
      <c r="P908" s="252"/>
      <c r="Q908" s="253"/>
      <c r="R908" s="252"/>
      <c r="S908" s="251"/>
      <c r="T908" s="251"/>
      <c r="U908" s="251"/>
      <c r="V908" s="251"/>
      <c r="W908" s="251"/>
      <c r="X908" s="251"/>
      <c r="Y908" s="251"/>
      <c r="Z908" s="251"/>
    </row>
    <row r="909">
      <c r="A909" s="250"/>
      <c r="B909" s="251"/>
      <c r="C909" s="251" t="s">
        <v>39</v>
      </c>
      <c r="D909" s="252" t="s">
        <v>39</v>
      </c>
      <c r="E909" s="252" t="s">
        <v>39</v>
      </c>
      <c r="F909" s="252"/>
      <c r="G909" s="251"/>
      <c r="H909" s="251"/>
      <c r="I909" s="251"/>
      <c r="J909" s="251"/>
      <c r="K909" s="251"/>
      <c r="L909" s="251"/>
      <c r="M909" s="251"/>
      <c r="N909" s="251"/>
      <c r="O909" s="251"/>
      <c r="P909" s="252"/>
      <c r="Q909" s="253"/>
      <c r="R909" s="252"/>
      <c r="S909" s="251"/>
      <c r="T909" s="251"/>
      <c r="U909" s="251"/>
      <c r="V909" s="251"/>
      <c r="W909" s="251"/>
      <c r="X909" s="251"/>
      <c r="Y909" s="251"/>
      <c r="Z909" s="251"/>
    </row>
    <row r="910">
      <c r="A910" s="250"/>
      <c r="B910" s="251"/>
      <c r="C910" s="251" t="s">
        <v>39</v>
      </c>
      <c r="D910" s="252" t="s">
        <v>39</v>
      </c>
      <c r="E910" s="252" t="s">
        <v>39</v>
      </c>
      <c r="F910" s="252"/>
      <c r="G910" s="251"/>
      <c r="H910" s="251"/>
      <c r="I910" s="251"/>
      <c r="J910" s="251"/>
      <c r="K910" s="251"/>
      <c r="L910" s="251"/>
      <c r="M910" s="251"/>
      <c r="N910" s="251"/>
      <c r="O910" s="251"/>
      <c r="P910" s="252"/>
      <c r="Q910" s="253"/>
      <c r="R910" s="252"/>
      <c r="S910" s="251"/>
      <c r="T910" s="251"/>
      <c r="U910" s="251"/>
      <c r="V910" s="251"/>
      <c r="W910" s="251"/>
      <c r="X910" s="251"/>
      <c r="Y910" s="251"/>
      <c r="Z910" s="251"/>
    </row>
    <row r="911">
      <c r="A911" s="250"/>
      <c r="B911" s="251"/>
      <c r="C911" s="251" t="s">
        <v>39</v>
      </c>
      <c r="D911" s="252" t="s">
        <v>39</v>
      </c>
      <c r="E911" s="252" t="s">
        <v>39</v>
      </c>
      <c r="F911" s="252"/>
      <c r="G911" s="251"/>
      <c r="H911" s="251"/>
      <c r="I911" s="251"/>
      <c r="J911" s="251"/>
      <c r="K911" s="251"/>
      <c r="L911" s="251"/>
      <c r="M911" s="251"/>
      <c r="N911" s="251"/>
      <c r="O911" s="251"/>
      <c r="P911" s="252"/>
      <c r="Q911" s="253"/>
      <c r="R911" s="252"/>
      <c r="S911" s="251"/>
      <c r="T911" s="251"/>
      <c r="U911" s="251"/>
      <c r="V911" s="251"/>
      <c r="W911" s="251"/>
      <c r="X911" s="251"/>
      <c r="Y911" s="251"/>
      <c r="Z911" s="251"/>
    </row>
    <row r="912">
      <c r="A912" s="250"/>
      <c r="B912" s="251"/>
      <c r="C912" s="251" t="s">
        <v>39</v>
      </c>
      <c r="D912" s="252" t="s">
        <v>39</v>
      </c>
      <c r="E912" s="252" t="s">
        <v>39</v>
      </c>
      <c r="F912" s="252"/>
      <c r="G912" s="251"/>
      <c r="H912" s="251"/>
      <c r="I912" s="251"/>
      <c r="J912" s="251"/>
      <c r="K912" s="251"/>
      <c r="L912" s="251"/>
      <c r="M912" s="251"/>
      <c r="N912" s="251"/>
      <c r="O912" s="251"/>
      <c r="P912" s="252"/>
      <c r="Q912" s="253"/>
      <c r="R912" s="252"/>
      <c r="S912" s="251"/>
      <c r="T912" s="251"/>
      <c r="U912" s="251"/>
      <c r="V912" s="251"/>
      <c r="W912" s="251"/>
      <c r="X912" s="251"/>
      <c r="Y912" s="251"/>
      <c r="Z912" s="251"/>
    </row>
    <row r="913">
      <c r="A913" s="250"/>
      <c r="B913" s="251"/>
      <c r="C913" s="251" t="s">
        <v>39</v>
      </c>
      <c r="D913" s="252" t="s">
        <v>39</v>
      </c>
      <c r="E913" s="252" t="s">
        <v>39</v>
      </c>
      <c r="F913" s="252"/>
      <c r="G913" s="251"/>
      <c r="H913" s="251"/>
      <c r="I913" s="251"/>
      <c r="J913" s="251"/>
      <c r="K913" s="251"/>
      <c r="L913" s="251"/>
      <c r="M913" s="251"/>
      <c r="N913" s="251"/>
      <c r="O913" s="251"/>
      <c r="P913" s="252"/>
      <c r="Q913" s="253"/>
      <c r="R913" s="252"/>
      <c r="S913" s="251"/>
      <c r="T913" s="251"/>
      <c r="U913" s="251"/>
      <c r="V913" s="251"/>
      <c r="W913" s="251"/>
      <c r="X913" s="251"/>
      <c r="Y913" s="251"/>
      <c r="Z913" s="251"/>
    </row>
    <row r="914">
      <c r="A914" s="250"/>
      <c r="B914" s="251"/>
      <c r="C914" s="251" t="s">
        <v>39</v>
      </c>
      <c r="D914" s="252" t="s">
        <v>39</v>
      </c>
      <c r="E914" s="252" t="s">
        <v>39</v>
      </c>
      <c r="F914" s="252"/>
      <c r="G914" s="251"/>
      <c r="H914" s="251"/>
      <c r="I914" s="251"/>
      <c r="J914" s="251"/>
      <c r="K914" s="251"/>
      <c r="L914" s="251"/>
      <c r="M914" s="251"/>
      <c r="N914" s="251"/>
      <c r="O914" s="251"/>
      <c r="P914" s="252"/>
      <c r="Q914" s="253"/>
      <c r="R914" s="252"/>
      <c r="S914" s="251"/>
      <c r="T914" s="251"/>
      <c r="U914" s="251"/>
      <c r="V914" s="251"/>
      <c r="W914" s="251"/>
      <c r="X914" s="251"/>
      <c r="Y914" s="251"/>
      <c r="Z914" s="251"/>
    </row>
    <row r="915">
      <c r="A915" s="250"/>
      <c r="B915" s="251"/>
      <c r="C915" s="251" t="s">
        <v>39</v>
      </c>
      <c r="D915" s="252" t="s">
        <v>39</v>
      </c>
      <c r="E915" s="252" t="s">
        <v>39</v>
      </c>
      <c r="F915" s="252"/>
      <c r="G915" s="251"/>
      <c r="H915" s="251"/>
      <c r="I915" s="251"/>
      <c r="J915" s="251"/>
      <c r="K915" s="251"/>
      <c r="L915" s="251"/>
      <c r="M915" s="251"/>
      <c r="N915" s="251"/>
      <c r="O915" s="251"/>
      <c r="P915" s="252"/>
      <c r="Q915" s="253"/>
      <c r="R915" s="252"/>
      <c r="S915" s="251"/>
      <c r="T915" s="251"/>
      <c r="U915" s="251"/>
      <c r="V915" s="251"/>
      <c r="W915" s="251"/>
      <c r="X915" s="251"/>
      <c r="Y915" s="251"/>
      <c r="Z915" s="251"/>
    </row>
    <row r="916">
      <c r="A916" s="250"/>
      <c r="B916" s="251"/>
      <c r="C916" s="251" t="s">
        <v>39</v>
      </c>
      <c r="D916" s="252" t="s">
        <v>39</v>
      </c>
      <c r="E916" s="252" t="s">
        <v>39</v>
      </c>
      <c r="F916" s="252"/>
      <c r="G916" s="251"/>
      <c r="H916" s="251"/>
      <c r="I916" s="251"/>
      <c r="J916" s="251"/>
      <c r="K916" s="251"/>
      <c r="L916" s="251"/>
      <c r="M916" s="251"/>
      <c r="N916" s="251"/>
      <c r="O916" s="251"/>
      <c r="P916" s="252"/>
      <c r="Q916" s="253"/>
      <c r="R916" s="252"/>
      <c r="S916" s="251"/>
      <c r="T916" s="251"/>
      <c r="U916" s="251"/>
      <c r="V916" s="251"/>
      <c r="W916" s="251"/>
      <c r="X916" s="251"/>
      <c r="Y916" s="251"/>
      <c r="Z916" s="251"/>
    </row>
    <row r="917">
      <c r="A917" s="250"/>
      <c r="B917" s="251"/>
      <c r="C917" s="251" t="s">
        <v>39</v>
      </c>
      <c r="D917" s="252" t="s">
        <v>39</v>
      </c>
      <c r="E917" s="252" t="s">
        <v>39</v>
      </c>
      <c r="F917" s="252"/>
      <c r="G917" s="251"/>
      <c r="H917" s="251"/>
      <c r="I917" s="251"/>
      <c r="J917" s="251"/>
      <c r="K917" s="251"/>
      <c r="L917" s="251"/>
      <c r="M917" s="251"/>
      <c r="N917" s="251"/>
      <c r="O917" s="251"/>
      <c r="P917" s="252"/>
      <c r="Q917" s="253"/>
      <c r="R917" s="252"/>
      <c r="S917" s="251"/>
      <c r="T917" s="251"/>
      <c r="U917" s="251"/>
      <c r="V917" s="251"/>
      <c r="W917" s="251"/>
      <c r="X917" s="251"/>
      <c r="Y917" s="251"/>
      <c r="Z917" s="251"/>
    </row>
    <row r="918">
      <c r="A918" s="250"/>
      <c r="B918" s="251"/>
      <c r="C918" s="251" t="s">
        <v>39</v>
      </c>
      <c r="D918" s="252" t="s">
        <v>39</v>
      </c>
      <c r="E918" s="252" t="s">
        <v>39</v>
      </c>
      <c r="F918" s="252"/>
      <c r="G918" s="251"/>
      <c r="H918" s="251"/>
      <c r="I918" s="251"/>
      <c r="J918" s="251"/>
      <c r="K918" s="251"/>
      <c r="L918" s="251"/>
      <c r="M918" s="251"/>
      <c r="N918" s="251"/>
      <c r="O918" s="251"/>
      <c r="P918" s="252"/>
      <c r="Q918" s="253"/>
      <c r="R918" s="252"/>
      <c r="S918" s="251"/>
      <c r="T918" s="251"/>
      <c r="U918" s="251"/>
      <c r="V918" s="251"/>
      <c r="W918" s="251"/>
      <c r="X918" s="251"/>
      <c r="Y918" s="251"/>
      <c r="Z918" s="251"/>
    </row>
    <row r="919">
      <c r="A919" s="250"/>
      <c r="B919" s="251"/>
      <c r="C919" s="251" t="s">
        <v>39</v>
      </c>
      <c r="D919" s="252" t="s">
        <v>39</v>
      </c>
      <c r="E919" s="252" t="s">
        <v>39</v>
      </c>
      <c r="F919" s="252"/>
      <c r="G919" s="251"/>
      <c r="H919" s="251"/>
      <c r="I919" s="251"/>
      <c r="J919" s="251"/>
      <c r="K919" s="251"/>
      <c r="L919" s="251"/>
      <c r="M919" s="251"/>
      <c r="N919" s="251"/>
      <c r="O919" s="251"/>
      <c r="P919" s="252"/>
      <c r="Q919" s="253"/>
      <c r="R919" s="252"/>
      <c r="S919" s="251"/>
      <c r="T919" s="251"/>
      <c r="U919" s="251"/>
      <c r="V919" s="251"/>
      <c r="W919" s="251"/>
      <c r="X919" s="251"/>
      <c r="Y919" s="251"/>
      <c r="Z919" s="251"/>
    </row>
    <row r="920">
      <c r="A920" s="250"/>
      <c r="B920" s="251"/>
      <c r="C920" s="251" t="s">
        <v>39</v>
      </c>
      <c r="D920" s="252" t="s">
        <v>39</v>
      </c>
      <c r="E920" s="252" t="s">
        <v>39</v>
      </c>
      <c r="F920" s="252"/>
      <c r="G920" s="251"/>
      <c r="H920" s="251"/>
      <c r="I920" s="251"/>
      <c r="J920" s="251"/>
      <c r="K920" s="251"/>
      <c r="L920" s="251"/>
      <c r="M920" s="251"/>
      <c r="N920" s="251"/>
      <c r="O920" s="251"/>
      <c r="P920" s="252"/>
      <c r="Q920" s="253"/>
      <c r="R920" s="252"/>
      <c r="S920" s="251"/>
      <c r="T920" s="251"/>
      <c r="U920" s="251"/>
      <c r="V920" s="251"/>
      <c r="W920" s="251"/>
      <c r="X920" s="251"/>
      <c r="Y920" s="251"/>
      <c r="Z920" s="251"/>
    </row>
    <row r="921">
      <c r="A921" s="250"/>
      <c r="B921" s="251"/>
      <c r="C921" s="251" t="s">
        <v>39</v>
      </c>
      <c r="D921" s="252" t="s">
        <v>39</v>
      </c>
      <c r="E921" s="252" t="s">
        <v>39</v>
      </c>
      <c r="F921" s="252"/>
      <c r="G921" s="251"/>
      <c r="H921" s="251"/>
      <c r="I921" s="251"/>
      <c r="J921" s="251"/>
      <c r="K921" s="251"/>
      <c r="L921" s="251"/>
      <c r="M921" s="251"/>
      <c r="N921" s="251"/>
      <c r="O921" s="251"/>
      <c r="P921" s="252"/>
      <c r="Q921" s="253"/>
      <c r="R921" s="252"/>
      <c r="S921" s="251"/>
      <c r="T921" s="251"/>
      <c r="U921" s="251"/>
      <c r="V921" s="251"/>
      <c r="W921" s="251"/>
      <c r="X921" s="251"/>
      <c r="Y921" s="251"/>
      <c r="Z921" s="251"/>
    </row>
    <row r="922">
      <c r="A922" s="250"/>
      <c r="B922" s="251"/>
      <c r="C922" s="251" t="s">
        <v>39</v>
      </c>
      <c r="D922" s="252" t="s">
        <v>39</v>
      </c>
      <c r="E922" s="252" t="s">
        <v>39</v>
      </c>
      <c r="F922" s="252"/>
      <c r="G922" s="251"/>
      <c r="H922" s="251"/>
      <c r="I922" s="251"/>
      <c r="J922" s="251"/>
      <c r="K922" s="251"/>
      <c r="L922" s="251"/>
      <c r="M922" s="251"/>
      <c r="N922" s="251"/>
      <c r="O922" s="251"/>
      <c r="P922" s="252"/>
      <c r="Q922" s="253"/>
      <c r="R922" s="252"/>
      <c r="S922" s="251"/>
      <c r="T922" s="251"/>
      <c r="U922" s="251"/>
      <c r="V922" s="251"/>
      <c r="W922" s="251"/>
      <c r="X922" s="251"/>
      <c r="Y922" s="251"/>
      <c r="Z922" s="251"/>
    </row>
    <row r="923">
      <c r="A923" s="250"/>
      <c r="B923" s="251"/>
      <c r="C923" s="251" t="s">
        <v>39</v>
      </c>
      <c r="D923" s="252" t="s">
        <v>39</v>
      </c>
      <c r="E923" s="252" t="s">
        <v>39</v>
      </c>
      <c r="F923" s="252"/>
      <c r="G923" s="251"/>
      <c r="H923" s="251"/>
      <c r="I923" s="251"/>
      <c r="J923" s="251"/>
      <c r="K923" s="251"/>
      <c r="L923" s="251"/>
      <c r="M923" s="251"/>
      <c r="N923" s="251"/>
      <c r="O923" s="251"/>
      <c r="P923" s="252"/>
      <c r="Q923" s="253"/>
      <c r="R923" s="252"/>
      <c r="S923" s="251"/>
      <c r="T923" s="251"/>
      <c r="U923" s="251"/>
      <c r="V923" s="251"/>
      <c r="W923" s="251"/>
      <c r="X923" s="251"/>
      <c r="Y923" s="251"/>
      <c r="Z923" s="251"/>
    </row>
    <row r="924">
      <c r="A924" s="250"/>
      <c r="B924" s="251"/>
      <c r="C924" s="251" t="s">
        <v>39</v>
      </c>
      <c r="D924" s="252" t="s">
        <v>39</v>
      </c>
      <c r="E924" s="252" t="s">
        <v>39</v>
      </c>
      <c r="F924" s="252"/>
      <c r="G924" s="251"/>
      <c r="H924" s="251"/>
      <c r="I924" s="251"/>
      <c r="J924" s="251"/>
      <c r="K924" s="251"/>
      <c r="L924" s="251"/>
      <c r="M924" s="251"/>
      <c r="N924" s="251"/>
      <c r="O924" s="251"/>
      <c r="P924" s="252"/>
      <c r="Q924" s="253"/>
      <c r="R924" s="252"/>
      <c r="S924" s="251"/>
      <c r="T924" s="251"/>
      <c r="U924" s="251"/>
      <c r="V924" s="251"/>
      <c r="W924" s="251"/>
      <c r="X924" s="251"/>
      <c r="Y924" s="251"/>
      <c r="Z924" s="251"/>
    </row>
    <row r="925">
      <c r="A925" s="250"/>
      <c r="B925" s="251"/>
      <c r="C925" s="251" t="s">
        <v>39</v>
      </c>
      <c r="D925" s="252" t="s">
        <v>39</v>
      </c>
      <c r="E925" s="252" t="s">
        <v>39</v>
      </c>
      <c r="F925" s="252"/>
      <c r="G925" s="251"/>
      <c r="H925" s="251"/>
      <c r="I925" s="251"/>
      <c r="J925" s="251"/>
      <c r="K925" s="251"/>
      <c r="L925" s="251"/>
      <c r="M925" s="251"/>
      <c r="N925" s="251"/>
      <c r="O925" s="251"/>
      <c r="P925" s="252"/>
      <c r="Q925" s="253"/>
      <c r="R925" s="252"/>
      <c r="S925" s="251"/>
      <c r="T925" s="251"/>
      <c r="U925" s="251"/>
      <c r="V925" s="251"/>
      <c r="W925" s="251"/>
      <c r="X925" s="251"/>
      <c r="Y925" s="251"/>
      <c r="Z925" s="251"/>
    </row>
    <row r="926">
      <c r="A926" s="250"/>
      <c r="B926" s="251"/>
      <c r="C926" s="251" t="s">
        <v>39</v>
      </c>
      <c r="D926" s="252" t="s">
        <v>39</v>
      </c>
      <c r="E926" s="252" t="s">
        <v>39</v>
      </c>
      <c r="F926" s="252"/>
      <c r="G926" s="251"/>
      <c r="H926" s="251"/>
      <c r="I926" s="251"/>
      <c r="J926" s="251"/>
      <c r="K926" s="251"/>
      <c r="L926" s="251"/>
      <c r="M926" s="251"/>
      <c r="N926" s="251"/>
      <c r="O926" s="251"/>
      <c r="P926" s="252"/>
      <c r="Q926" s="253"/>
      <c r="R926" s="252"/>
      <c r="S926" s="251"/>
      <c r="T926" s="251"/>
      <c r="U926" s="251"/>
      <c r="V926" s="251"/>
      <c r="W926" s="251"/>
      <c r="X926" s="251"/>
      <c r="Y926" s="251"/>
      <c r="Z926" s="251"/>
    </row>
    <row r="927">
      <c r="A927" s="250"/>
      <c r="B927" s="251"/>
      <c r="C927" s="251" t="s">
        <v>39</v>
      </c>
      <c r="D927" s="252" t="s">
        <v>39</v>
      </c>
      <c r="E927" s="252" t="s">
        <v>39</v>
      </c>
      <c r="F927" s="252"/>
      <c r="G927" s="251"/>
      <c r="H927" s="251"/>
      <c r="I927" s="251"/>
      <c r="J927" s="251"/>
      <c r="K927" s="251"/>
      <c r="L927" s="251"/>
      <c r="M927" s="251"/>
      <c r="N927" s="251"/>
      <c r="O927" s="251"/>
      <c r="P927" s="252"/>
      <c r="Q927" s="253"/>
      <c r="R927" s="252"/>
      <c r="S927" s="251"/>
      <c r="T927" s="251"/>
      <c r="U927" s="251"/>
      <c r="V927" s="251"/>
      <c r="W927" s="251"/>
      <c r="X927" s="251"/>
      <c r="Y927" s="251"/>
      <c r="Z927" s="251"/>
    </row>
    <row r="928">
      <c r="A928" s="250"/>
      <c r="B928" s="251"/>
      <c r="C928" s="251" t="s">
        <v>39</v>
      </c>
      <c r="D928" s="252" t="s">
        <v>39</v>
      </c>
      <c r="E928" s="252" t="s">
        <v>39</v>
      </c>
      <c r="F928" s="252"/>
      <c r="G928" s="251"/>
      <c r="H928" s="251"/>
      <c r="I928" s="251"/>
      <c r="J928" s="251"/>
      <c r="K928" s="251"/>
      <c r="L928" s="251"/>
      <c r="M928" s="251"/>
      <c r="N928" s="251"/>
      <c r="O928" s="251"/>
      <c r="P928" s="252"/>
      <c r="Q928" s="253"/>
      <c r="R928" s="252"/>
      <c r="S928" s="251"/>
      <c r="T928" s="251"/>
      <c r="U928" s="251"/>
      <c r="V928" s="251"/>
      <c r="W928" s="251"/>
      <c r="X928" s="251"/>
      <c r="Y928" s="251"/>
      <c r="Z928" s="251"/>
    </row>
    <row r="929">
      <c r="A929" s="250"/>
      <c r="B929" s="251"/>
      <c r="C929" s="251" t="s">
        <v>39</v>
      </c>
      <c r="D929" s="252" t="s">
        <v>39</v>
      </c>
      <c r="E929" s="252" t="s">
        <v>39</v>
      </c>
      <c r="F929" s="252"/>
      <c r="G929" s="251"/>
      <c r="H929" s="251"/>
      <c r="I929" s="251"/>
      <c r="J929" s="251"/>
      <c r="K929" s="251"/>
      <c r="L929" s="251"/>
      <c r="M929" s="251"/>
      <c r="N929" s="251"/>
      <c r="O929" s="251"/>
      <c r="P929" s="252"/>
      <c r="Q929" s="253"/>
      <c r="R929" s="252"/>
      <c r="S929" s="251"/>
      <c r="T929" s="251"/>
      <c r="U929" s="251"/>
      <c r="V929" s="251"/>
      <c r="W929" s="251"/>
      <c r="X929" s="251"/>
      <c r="Y929" s="251"/>
      <c r="Z929" s="251"/>
    </row>
    <row r="930">
      <c r="A930" s="250"/>
      <c r="B930" s="251"/>
      <c r="C930" s="251" t="s">
        <v>39</v>
      </c>
      <c r="D930" s="252" t="s">
        <v>39</v>
      </c>
      <c r="E930" s="252" t="s">
        <v>39</v>
      </c>
      <c r="F930" s="252"/>
      <c r="G930" s="251"/>
      <c r="H930" s="251"/>
      <c r="I930" s="251"/>
      <c r="J930" s="251"/>
      <c r="K930" s="251"/>
      <c r="L930" s="251"/>
      <c r="M930" s="251"/>
      <c r="N930" s="251"/>
      <c r="O930" s="251"/>
      <c r="P930" s="252"/>
      <c r="Q930" s="253"/>
      <c r="R930" s="252"/>
      <c r="S930" s="251"/>
      <c r="T930" s="251"/>
      <c r="U930" s="251"/>
      <c r="V930" s="251"/>
      <c r="W930" s="251"/>
      <c r="X930" s="251"/>
      <c r="Y930" s="251"/>
      <c r="Z930" s="251"/>
    </row>
    <row r="931">
      <c r="A931" s="250"/>
      <c r="B931" s="251"/>
      <c r="C931" s="251" t="s">
        <v>39</v>
      </c>
      <c r="D931" s="252" t="s">
        <v>39</v>
      </c>
      <c r="E931" s="252" t="s">
        <v>39</v>
      </c>
      <c r="F931" s="252"/>
      <c r="G931" s="251"/>
      <c r="H931" s="251"/>
      <c r="I931" s="251"/>
      <c r="J931" s="251"/>
      <c r="K931" s="251"/>
      <c r="L931" s="251"/>
      <c r="M931" s="251"/>
      <c r="N931" s="251"/>
      <c r="O931" s="251"/>
      <c r="P931" s="252"/>
      <c r="Q931" s="253"/>
      <c r="R931" s="252"/>
      <c r="S931" s="251"/>
      <c r="T931" s="251"/>
      <c r="U931" s="251"/>
      <c r="V931" s="251"/>
      <c r="W931" s="251"/>
      <c r="X931" s="251"/>
      <c r="Y931" s="251"/>
      <c r="Z931" s="251"/>
    </row>
    <row r="932">
      <c r="A932" s="250"/>
      <c r="B932" s="251"/>
      <c r="C932" s="251" t="s">
        <v>39</v>
      </c>
      <c r="D932" s="252" t="s">
        <v>39</v>
      </c>
      <c r="E932" s="252" t="s">
        <v>39</v>
      </c>
      <c r="F932" s="252"/>
      <c r="G932" s="251"/>
      <c r="H932" s="251"/>
      <c r="I932" s="251"/>
      <c r="J932" s="251"/>
      <c r="K932" s="251"/>
      <c r="L932" s="251"/>
      <c r="M932" s="251"/>
      <c r="N932" s="251"/>
      <c r="O932" s="251"/>
      <c r="P932" s="252"/>
      <c r="Q932" s="253"/>
      <c r="R932" s="252"/>
      <c r="S932" s="251"/>
      <c r="T932" s="251"/>
      <c r="U932" s="251"/>
      <c r="V932" s="251"/>
      <c r="W932" s="251"/>
      <c r="X932" s="251"/>
      <c r="Y932" s="251"/>
      <c r="Z932" s="251"/>
    </row>
    <row r="933">
      <c r="A933" s="250"/>
      <c r="B933" s="251"/>
      <c r="C933" s="251" t="s">
        <v>39</v>
      </c>
      <c r="D933" s="252" t="s">
        <v>39</v>
      </c>
      <c r="E933" s="252" t="s">
        <v>39</v>
      </c>
      <c r="F933" s="252"/>
      <c r="G933" s="251"/>
      <c r="H933" s="251"/>
      <c r="I933" s="251"/>
      <c r="J933" s="251"/>
      <c r="K933" s="251"/>
      <c r="L933" s="251"/>
      <c r="M933" s="251"/>
      <c r="N933" s="251"/>
      <c r="O933" s="251"/>
      <c r="P933" s="252"/>
      <c r="Q933" s="253"/>
      <c r="R933" s="252"/>
      <c r="S933" s="251"/>
      <c r="T933" s="251"/>
      <c r="U933" s="251"/>
      <c r="V933" s="251"/>
      <c r="W933" s="251"/>
      <c r="X933" s="251"/>
      <c r="Y933" s="251"/>
      <c r="Z933" s="251"/>
    </row>
    <row r="934">
      <c r="A934" s="250"/>
      <c r="B934" s="251"/>
      <c r="C934" s="251" t="s">
        <v>39</v>
      </c>
      <c r="D934" s="252" t="s">
        <v>39</v>
      </c>
      <c r="E934" s="252" t="s">
        <v>39</v>
      </c>
      <c r="F934" s="252"/>
      <c r="G934" s="251"/>
      <c r="H934" s="251"/>
      <c r="I934" s="251"/>
      <c r="J934" s="251"/>
      <c r="K934" s="251"/>
      <c r="L934" s="251"/>
      <c r="M934" s="251"/>
      <c r="N934" s="251"/>
      <c r="O934" s="251"/>
      <c r="P934" s="252"/>
      <c r="Q934" s="253"/>
      <c r="R934" s="252"/>
      <c r="S934" s="251"/>
      <c r="T934" s="251"/>
      <c r="U934" s="251"/>
      <c r="V934" s="251"/>
      <c r="W934" s="251"/>
      <c r="X934" s="251"/>
      <c r="Y934" s="251"/>
      <c r="Z934" s="251"/>
    </row>
    <row r="935">
      <c r="A935" s="250"/>
      <c r="B935" s="251"/>
      <c r="C935" s="251" t="s">
        <v>39</v>
      </c>
      <c r="D935" s="252" t="s">
        <v>39</v>
      </c>
      <c r="E935" s="252" t="s">
        <v>39</v>
      </c>
      <c r="F935" s="252"/>
      <c r="G935" s="251"/>
      <c r="H935" s="251"/>
      <c r="I935" s="251"/>
      <c r="J935" s="251"/>
      <c r="K935" s="251"/>
      <c r="L935" s="251"/>
      <c r="M935" s="251"/>
      <c r="N935" s="251"/>
      <c r="O935" s="251"/>
      <c r="P935" s="252"/>
      <c r="Q935" s="253"/>
      <c r="R935" s="252"/>
      <c r="S935" s="251"/>
      <c r="T935" s="251"/>
      <c r="U935" s="251"/>
      <c r="V935" s="251"/>
      <c r="W935" s="251"/>
      <c r="X935" s="251"/>
      <c r="Y935" s="251"/>
      <c r="Z935" s="251"/>
    </row>
    <row r="936">
      <c r="A936" s="250"/>
      <c r="B936" s="251"/>
      <c r="C936" s="251" t="s">
        <v>39</v>
      </c>
      <c r="D936" s="252" t="s">
        <v>39</v>
      </c>
      <c r="E936" s="252" t="s">
        <v>39</v>
      </c>
      <c r="F936" s="252"/>
      <c r="G936" s="251"/>
      <c r="H936" s="251"/>
      <c r="I936" s="251"/>
      <c r="J936" s="251"/>
      <c r="K936" s="251"/>
      <c r="L936" s="251"/>
      <c r="M936" s="251"/>
      <c r="N936" s="251"/>
      <c r="O936" s="251"/>
      <c r="P936" s="252"/>
      <c r="Q936" s="253"/>
      <c r="R936" s="252"/>
      <c r="S936" s="251"/>
      <c r="T936" s="251"/>
      <c r="U936" s="251"/>
      <c r="V936" s="251"/>
      <c r="W936" s="251"/>
      <c r="X936" s="251"/>
      <c r="Y936" s="251"/>
      <c r="Z936" s="251"/>
    </row>
    <row r="937">
      <c r="A937" s="250"/>
      <c r="B937" s="251"/>
      <c r="C937" s="251" t="s">
        <v>39</v>
      </c>
      <c r="D937" s="252" t="s">
        <v>39</v>
      </c>
      <c r="E937" s="252" t="s">
        <v>39</v>
      </c>
      <c r="F937" s="252"/>
      <c r="G937" s="251"/>
      <c r="H937" s="251"/>
      <c r="I937" s="251"/>
      <c r="J937" s="251"/>
      <c r="K937" s="251"/>
      <c r="L937" s="251"/>
      <c r="M937" s="251"/>
      <c r="N937" s="251"/>
      <c r="O937" s="251"/>
      <c r="P937" s="252"/>
      <c r="Q937" s="253"/>
      <c r="R937" s="252"/>
      <c r="S937" s="251"/>
      <c r="T937" s="251"/>
      <c r="U937" s="251"/>
      <c r="V937" s="251"/>
      <c r="W937" s="251"/>
      <c r="X937" s="251"/>
      <c r="Y937" s="251"/>
      <c r="Z937" s="251"/>
    </row>
    <row r="938">
      <c r="A938" s="250"/>
      <c r="B938" s="251"/>
      <c r="C938" s="251" t="s">
        <v>39</v>
      </c>
      <c r="D938" s="252" t="s">
        <v>39</v>
      </c>
      <c r="E938" s="252" t="s">
        <v>39</v>
      </c>
      <c r="F938" s="252"/>
      <c r="G938" s="251"/>
      <c r="H938" s="251"/>
      <c r="I938" s="251"/>
      <c r="J938" s="251"/>
      <c r="K938" s="251"/>
      <c r="L938" s="251"/>
      <c r="M938" s="251"/>
      <c r="N938" s="251"/>
      <c r="O938" s="251"/>
      <c r="P938" s="252"/>
      <c r="Q938" s="253"/>
      <c r="R938" s="252"/>
      <c r="S938" s="251"/>
      <c r="T938" s="251"/>
      <c r="U938" s="251"/>
      <c r="V938" s="251"/>
      <c r="W938" s="251"/>
      <c r="X938" s="251"/>
      <c r="Y938" s="251"/>
      <c r="Z938" s="251"/>
    </row>
    <row r="939">
      <c r="A939" s="250"/>
      <c r="B939" s="251"/>
      <c r="C939" s="251" t="s">
        <v>39</v>
      </c>
      <c r="D939" s="252" t="s">
        <v>39</v>
      </c>
      <c r="E939" s="252" t="s">
        <v>39</v>
      </c>
      <c r="F939" s="252"/>
      <c r="G939" s="251"/>
      <c r="H939" s="251"/>
      <c r="I939" s="251"/>
      <c r="J939" s="251"/>
      <c r="K939" s="251"/>
      <c r="L939" s="251"/>
      <c r="M939" s="251"/>
      <c r="N939" s="251"/>
      <c r="O939" s="251"/>
      <c r="P939" s="252"/>
      <c r="Q939" s="253"/>
      <c r="R939" s="252"/>
      <c r="S939" s="251"/>
      <c r="T939" s="251"/>
      <c r="U939" s="251"/>
      <c r="V939" s="251"/>
      <c r="W939" s="251"/>
      <c r="X939" s="251"/>
      <c r="Y939" s="251"/>
      <c r="Z939" s="251"/>
    </row>
    <row r="940">
      <c r="A940" s="250"/>
      <c r="B940" s="251"/>
      <c r="C940" s="251" t="s">
        <v>39</v>
      </c>
      <c r="D940" s="252" t="s">
        <v>39</v>
      </c>
      <c r="E940" s="252" t="s">
        <v>39</v>
      </c>
      <c r="F940" s="252"/>
      <c r="G940" s="251"/>
      <c r="H940" s="251"/>
      <c r="I940" s="251"/>
      <c r="J940" s="251"/>
      <c r="K940" s="251"/>
      <c r="L940" s="251"/>
      <c r="M940" s="251"/>
      <c r="N940" s="251"/>
      <c r="O940" s="251"/>
      <c r="P940" s="252"/>
      <c r="Q940" s="253"/>
      <c r="R940" s="252"/>
      <c r="S940" s="251"/>
      <c r="T940" s="251"/>
      <c r="U940" s="251"/>
      <c r="V940" s="251"/>
      <c r="W940" s="251"/>
      <c r="X940" s="251"/>
      <c r="Y940" s="251"/>
      <c r="Z940" s="251"/>
    </row>
    <row r="941">
      <c r="A941" s="250"/>
      <c r="B941" s="251"/>
      <c r="C941" s="251" t="s">
        <v>39</v>
      </c>
      <c r="D941" s="252" t="s">
        <v>39</v>
      </c>
      <c r="E941" s="252" t="s">
        <v>39</v>
      </c>
      <c r="F941" s="252"/>
      <c r="G941" s="251"/>
      <c r="H941" s="251"/>
      <c r="I941" s="251"/>
      <c r="J941" s="251"/>
      <c r="K941" s="251"/>
      <c r="L941" s="251"/>
      <c r="M941" s="251"/>
      <c r="N941" s="251"/>
      <c r="O941" s="251"/>
      <c r="P941" s="252"/>
      <c r="Q941" s="253"/>
      <c r="R941" s="252"/>
      <c r="S941" s="251"/>
      <c r="T941" s="251"/>
      <c r="U941" s="251"/>
      <c r="V941" s="251"/>
      <c r="W941" s="251"/>
      <c r="X941" s="251"/>
      <c r="Y941" s="251"/>
      <c r="Z941" s="251"/>
    </row>
    <row r="942">
      <c r="A942" s="250"/>
      <c r="B942" s="251"/>
      <c r="C942" s="251" t="s">
        <v>39</v>
      </c>
      <c r="D942" s="252" t="s">
        <v>39</v>
      </c>
      <c r="E942" s="252" t="s">
        <v>39</v>
      </c>
      <c r="F942" s="252"/>
      <c r="G942" s="251"/>
      <c r="H942" s="251"/>
      <c r="I942" s="251"/>
      <c r="J942" s="251"/>
      <c r="K942" s="251"/>
      <c r="L942" s="251"/>
      <c r="M942" s="251"/>
      <c r="N942" s="251"/>
      <c r="O942" s="251"/>
      <c r="P942" s="252"/>
      <c r="Q942" s="253"/>
      <c r="R942" s="252"/>
      <c r="S942" s="251"/>
      <c r="T942" s="251"/>
      <c r="U942" s="251"/>
      <c r="V942" s="251"/>
      <c r="W942" s="251"/>
      <c r="X942" s="251"/>
      <c r="Y942" s="251"/>
      <c r="Z942" s="251"/>
    </row>
    <row r="943">
      <c r="A943" s="250"/>
      <c r="B943" s="251"/>
      <c r="C943" s="251" t="s">
        <v>39</v>
      </c>
      <c r="D943" s="252" t="s">
        <v>39</v>
      </c>
      <c r="E943" s="252" t="s">
        <v>39</v>
      </c>
      <c r="F943" s="252"/>
      <c r="G943" s="251"/>
      <c r="H943" s="251"/>
      <c r="I943" s="251"/>
      <c r="J943" s="251"/>
      <c r="K943" s="251"/>
      <c r="L943" s="251"/>
      <c r="M943" s="251"/>
      <c r="N943" s="251"/>
      <c r="O943" s="251"/>
      <c r="P943" s="252"/>
      <c r="Q943" s="253"/>
      <c r="R943" s="252"/>
      <c r="S943" s="251"/>
      <c r="T943" s="251"/>
      <c r="U943" s="251"/>
      <c r="V943" s="251"/>
      <c r="W943" s="251"/>
      <c r="X943" s="251"/>
      <c r="Y943" s="251"/>
      <c r="Z943" s="251"/>
    </row>
    <row r="944">
      <c r="A944" s="250"/>
      <c r="B944" s="251"/>
      <c r="C944" s="251" t="s">
        <v>39</v>
      </c>
      <c r="D944" s="252" t="s">
        <v>39</v>
      </c>
      <c r="E944" s="252" t="s">
        <v>39</v>
      </c>
      <c r="F944" s="252"/>
      <c r="G944" s="251"/>
      <c r="H944" s="251"/>
      <c r="I944" s="251"/>
      <c r="J944" s="251"/>
      <c r="K944" s="251"/>
      <c r="L944" s="251"/>
      <c r="M944" s="251"/>
      <c r="N944" s="251"/>
      <c r="O944" s="251"/>
      <c r="P944" s="252"/>
      <c r="Q944" s="253"/>
      <c r="R944" s="252"/>
      <c r="S944" s="251"/>
      <c r="T944" s="251"/>
      <c r="U944" s="251"/>
      <c r="V944" s="251"/>
      <c r="W944" s="251"/>
      <c r="X944" s="251"/>
      <c r="Y944" s="251"/>
      <c r="Z944" s="251"/>
    </row>
    <row r="945">
      <c r="A945" s="250"/>
      <c r="B945" s="251"/>
      <c r="C945" s="251" t="s">
        <v>39</v>
      </c>
      <c r="D945" s="252" t="s">
        <v>39</v>
      </c>
      <c r="E945" s="252" t="s">
        <v>39</v>
      </c>
      <c r="F945" s="252"/>
      <c r="G945" s="251"/>
      <c r="H945" s="251"/>
      <c r="I945" s="251"/>
      <c r="J945" s="251"/>
      <c r="K945" s="251"/>
      <c r="L945" s="251"/>
      <c r="M945" s="251"/>
      <c r="N945" s="251"/>
      <c r="O945" s="251"/>
      <c r="P945" s="252"/>
      <c r="Q945" s="253"/>
      <c r="R945" s="252"/>
      <c r="S945" s="251"/>
      <c r="T945" s="251"/>
      <c r="U945" s="251"/>
      <c r="V945" s="251"/>
      <c r="W945" s="251"/>
      <c r="X945" s="251"/>
      <c r="Y945" s="251"/>
      <c r="Z945" s="251"/>
    </row>
    <row r="946">
      <c r="A946" s="250"/>
      <c r="B946" s="251"/>
      <c r="C946" s="251" t="s">
        <v>39</v>
      </c>
      <c r="D946" s="252" t="s">
        <v>39</v>
      </c>
      <c r="E946" s="252" t="s">
        <v>39</v>
      </c>
      <c r="F946" s="252"/>
      <c r="G946" s="251"/>
      <c r="H946" s="251"/>
      <c r="I946" s="251"/>
      <c r="J946" s="251"/>
      <c r="K946" s="251"/>
      <c r="L946" s="251"/>
      <c r="M946" s="251"/>
      <c r="N946" s="251"/>
      <c r="O946" s="251"/>
      <c r="P946" s="252"/>
      <c r="Q946" s="253"/>
      <c r="R946" s="252"/>
      <c r="S946" s="251"/>
      <c r="T946" s="251"/>
      <c r="U946" s="251"/>
      <c r="V946" s="251"/>
      <c r="W946" s="251"/>
      <c r="X946" s="251"/>
      <c r="Y946" s="251"/>
      <c r="Z946" s="251"/>
    </row>
    <row r="947">
      <c r="A947" s="250"/>
      <c r="B947" s="251"/>
      <c r="C947" s="251" t="s">
        <v>39</v>
      </c>
      <c r="D947" s="252" t="s">
        <v>39</v>
      </c>
      <c r="E947" s="252" t="s">
        <v>39</v>
      </c>
      <c r="F947" s="252"/>
      <c r="G947" s="251"/>
      <c r="H947" s="251"/>
      <c r="I947" s="251"/>
      <c r="J947" s="251"/>
      <c r="K947" s="251"/>
      <c r="L947" s="251"/>
      <c r="M947" s="251"/>
      <c r="N947" s="251"/>
      <c r="O947" s="251"/>
      <c r="P947" s="252"/>
      <c r="Q947" s="253"/>
      <c r="R947" s="252"/>
      <c r="S947" s="251"/>
      <c r="T947" s="251"/>
      <c r="U947" s="251"/>
      <c r="V947" s="251"/>
      <c r="W947" s="251"/>
      <c r="X947" s="251"/>
      <c r="Y947" s="251"/>
      <c r="Z947" s="251"/>
    </row>
    <row r="948">
      <c r="A948" s="250"/>
      <c r="B948" s="251"/>
      <c r="C948" s="251" t="s">
        <v>39</v>
      </c>
      <c r="D948" s="252" t="s">
        <v>39</v>
      </c>
      <c r="E948" s="252" t="s">
        <v>39</v>
      </c>
      <c r="F948" s="252"/>
      <c r="G948" s="251"/>
      <c r="H948" s="251"/>
      <c r="I948" s="251"/>
      <c r="J948" s="251"/>
      <c r="K948" s="251"/>
      <c r="L948" s="251"/>
      <c r="M948" s="251"/>
      <c r="N948" s="251"/>
      <c r="O948" s="251"/>
      <c r="P948" s="252"/>
      <c r="Q948" s="253"/>
      <c r="R948" s="252"/>
      <c r="S948" s="251"/>
      <c r="T948" s="251"/>
      <c r="U948" s="251"/>
      <c r="V948" s="251"/>
      <c r="W948" s="251"/>
      <c r="X948" s="251"/>
      <c r="Y948" s="251"/>
      <c r="Z948" s="251"/>
    </row>
    <row r="949">
      <c r="A949" s="250"/>
      <c r="B949" s="251"/>
      <c r="C949" s="251" t="s">
        <v>39</v>
      </c>
      <c r="D949" s="252" t="s">
        <v>39</v>
      </c>
      <c r="E949" s="252" t="s">
        <v>39</v>
      </c>
      <c r="F949" s="252"/>
      <c r="G949" s="251"/>
      <c r="H949" s="251"/>
      <c r="I949" s="251"/>
      <c r="J949" s="251"/>
      <c r="K949" s="251"/>
      <c r="L949" s="251"/>
      <c r="M949" s="251"/>
      <c r="N949" s="251"/>
      <c r="O949" s="251"/>
      <c r="P949" s="252"/>
      <c r="Q949" s="253"/>
      <c r="R949" s="252"/>
      <c r="S949" s="251"/>
      <c r="T949" s="251"/>
      <c r="U949" s="251"/>
      <c r="V949" s="251"/>
      <c r="W949" s="251"/>
      <c r="X949" s="251"/>
      <c r="Y949" s="251"/>
      <c r="Z949" s="251"/>
    </row>
    <row r="950">
      <c r="A950" s="250"/>
      <c r="B950" s="251"/>
      <c r="C950" s="251" t="s">
        <v>39</v>
      </c>
      <c r="D950" s="252" t="s">
        <v>39</v>
      </c>
      <c r="E950" s="252" t="s">
        <v>39</v>
      </c>
      <c r="F950" s="252"/>
      <c r="G950" s="251"/>
      <c r="H950" s="251"/>
      <c r="I950" s="251"/>
      <c r="J950" s="251"/>
      <c r="K950" s="251"/>
      <c r="L950" s="251"/>
      <c r="M950" s="251"/>
      <c r="N950" s="251"/>
      <c r="O950" s="251"/>
      <c r="P950" s="252"/>
      <c r="Q950" s="253"/>
      <c r="R950" s="252"/>
      <c r="S950" s="251"/>
      <c r="T950" s="251"/>
      <c r="U950" s="251"/>
      <c r="V950" s="251"/>
      <c r="W950" s="251"/>
      <c r="X950" s="251"/>
      <c r="Y950" s="251"/>
      <c r="Z950" s="251"/>
    </row>
    <row r="951">
      <c r="A951" s="250"/>
      <c r="B951" s="251"/>
      <c r="C951" s="251" t="s">
        <v>39</v>
      </c>
      <c r="D951" s="252" t="s">
        <v>39</v>
      </c>
      <c r="E951" s="252" t="s">
        <v>39</v>
      </c>
      <c r="F951" s="252"/>
      <c r="G951" s="251"/>
      <c r="H951" s="251"/>
      <c r="I951" s="251"/>
      <c r="J951" s="251"/>
      <c r="K951" s="251"/>
      <c r="L951" s="251"/>
      <c r="M951" s="251"/>
      <c r="N951" s="251"/>
      <c r="O951" s="251"/>
      <c r="P951" s="252"/>
      <c r="Q951" s="253"/>
      <c r="R951" s="252"/>
      <c r="S951" s="251"/>
      <c r="T951" s="251"/>
      <c r="U951" s="251"/>
      <c r="V951" s="251"/>
      <c r="W951" s="251"/>
      <c r="X951" s="251"/>
      <c r="Y951" s="251"/>
      <c r="Z951" s="251"/>
    </row>
    <row r="952">
      <c r="A952" s="250"/>
      <c r="B952" s="251"/>
      <c r="C952" s="251" t="s">
        <v>39</v>
      </c>
      <c r="D952" s="252" t="s">
        <v>39</v>
      </c>
      <c r="E952" s="252" t="s">
        <v>39</v>
      </c>
      <c r="F952" s="252"/>
      <c r="G952" s="251"/>
      <c r="H952" s="251"/>
      <c r="I952" s="251"/>
      <c r="J952" s="251"/>
      <c r="K952" s="251"/>
      <c r="L952" s="251"/>
      <c r="M952" s="251"/>
      <c r="N952" s="251"/>
      <c r="O952" s="251"/>
      <c r="P952" s="252"/>
      <c r="Q952" s="253"/>
      <c r="R952" s="252"/>
      <c r="S952" s="251"/>
      <c r="T952" s="251"/>
      <c r="U952" s="251"/>
      <c r="V952" s="251"/>
      <c r="W952" s="251"/>
      <c r="X952" s="251"/>
      <c r="Y952" s="251"/>
      <c r="Z952" s="251"/>
    </row>
    <row r="953">
      <c r="A953" s="250"/>
      <c r="B953" s="251"/>
      <c r="C953" s="251" t="s">
        <v>39</v>
      </c>
      <c r="D953" s="252" t="s">
        <v>39</v>
      </c>
      <c r="E953" s="252" t="s">
        <v>39</v>
      </c>
      <c r="F953" s="252"/>
      <c r="G953" s="251"/>
      <c r="H953" s="251"/>
      <c r="I953" s="251"/>
      <c r="J953" s="251"/>
      <c r="K953" s="251"/>
      <c r="L953" s="251"/>
      <c r="M953" s="251"/>
      <c r="N953" s="251"/>
      <c r="O953" s="251"/>
      <c r="P953" s="252"/>
      <c r="Q953" s="253"/>
      <c r="R953" s="252"/>
      <c r="S953" s="251"/>
      <c r="T953" s="251"/>
      <c r="U953" s="251"/>
      <c r="V953" s="251"/>
      <c r="W953" s="251"/>
      <c r="X953" s="251"/>
      <c r="Y953" s="251"/>
      <c r="Z953" s="251"/>
    </row>
    <row r="954">
      <c r="A954" s="250"/>
      <c r="B954" s="251"/>
      <c r="C954" s="251" t="s">
        <v>39</v>
      </c>
      <c r="D954" s="252" t="s">
        <v>39</v>
      </c>
      <c r="E954" s="252" t="s">
        <v>39</v>
      </c>
      <c r="F954" s="252"/>
      <c r="G954" s="251"/>
      <c r="H954" s="251"/>
      <c r="I954" s="251"/>
      <c r="J954" s="251"/>
      <c r="K954" s="251"/>
      <c r="L954" s="251"/>
      <c r="M954" s="251"/>
      <c r="N954" s="251"/>
      <c r="O954" s="251"/>
      <c r="P954" s="252"/>
      <c r="Q954" s="253"/>
      <c r="R954" s="252"/>
      <c r="S954" s="251"/>
      <c r="T954" s="251"/>
      <c r="U954" s="251"/>
      <c r="V954" s="251"/>
      <c r="W954" s="251"/>
      <c r="X954" s="251"/>
      <c r="Y954" s="251"/>
      <c r="Z954" s="251"/>
    </row>
    <row r="955">
      <c r="A955" s="250"/>
      <c r="B955" s="251"/>
      <c r="C955" s="251" t="s">
        <v>39</v>
      </c>
      <c r="D955" s="252" t="s">
        <v>39</v>
      </c>
      <c r="E955" s="252" t="s">
        <v>39</v>
      </c>
      <c r="F955" s="252"/>
      <c r="G955" s="251"/>
      <c r="H955" s="251"/>
      <c r="I955" s="251"/>
      <c r="J955" s="251"/>
      <c r="K955" s="251"/>
      <c r="L955" s="251"/>
      <c r="M955" s="251"/>
      <c r="N955" s="251"/>
      <c r="O955" s="251"/>
      <c r="P955" s="252"/>
      <c r="Q955" s="253"/>
      <c r="R955" s="252"/>
      <c r="S955" s="251"/>
      <c r="T955" s="251"/>
      <c r="U955" s="251"/>
      <c r="V955" s="251"/>
      <c r="W955" s="251"/>
      <c r="X955" s="251"/>
      <c r="Y955" s="251"/>
      <c r="Z955" s="251"/>
    </row>
    <row r="956">
      <c r="A956" s="250"/>
      <c r="B956" s="251"/>
      <c r="C956" s="251" t="s">
        <v>39</v>
      </c>
      <c r="D956" s="252" t="s">
        <v>39</v>
      </c>
      <c r="E956" s="252" t="s">
        <v>39</v>
      </c>
      <c r="F956" s="252"/>
      <c r="G956" s="251"/>
      <c r="H956" s="251"/>
      <c r="I956" s="251"/>
      <c r="J956" s="251"/>
      <c r="K956" s="251"/>
      <c r="L956" s="251"/>
      <c r="M956" s="251"/>
      <c r="N956" s="251"/>
      <c r="O956" s="251"/>
      <c r="P956" s="252"/>
      <c r="Q956" s="253"/>
      <c r="R956" s="252"/>
      <c r="S956" s="251"/>
      <c r="T956" s="251"/>
      <c r="U956" s="251"/>
      <c r="V956" s="251"/>
      <c r="W956" s="251"/>
      <c r="X956" s="251"/>
      <c r="Y956" s="251"/>
      <c r="Z956" s="251"/>
    </row>
    <row r="957">
      <c r="A957" s="250"/>
      <c r="B957" s="251"/>
      <c r="C957" s="251" t="s">
        <v>39</v>
      </c>
      <c r="D957" s="252" t="s">
        <v>39</v>
      </c>
      <c r="E957" s="252" t="s">
        <v>39</v>
      </c>
      <c r="F957" s="252"/>
      <c r="G957" s="251"/>
      <c r="H957" s="251"/>
      <c r="I957" s="251"/>
      <c r="J957" s="251"/>
      <c r="K957" s="251"/>
      <c r="L957" s="251"/>
      <c r="M957" s="251"/>
      <c r="N957" s="251"/>
      <c r="O957" s="251"/>
      <c r="P957" s="252"/>
      <c r="Q957" s="253"/>
      <c r="R957" s="252"/>
      <c r="S957" s="251"/>
      <c r="T957" s="251"/>
      <c r="U957" s="251"/>
      <c r="V957" s="251"/>
      <c r="W957" s="251"/>
      <c r="X957" s="251"/>
      <c r="Y957" s="251"/>
      <c r="Z957" s="251"/>
    </row>
    <row r="958">
      <c r="A958" s="250"/>
      <c r="B958" s="251"/>
      <c r="C958" s="251" t="s">
        <v>39</v>
      </c>
      <c r="D958" s="252" t="s">
        <v>39</v>
      </c>
      <c r="E958" s="252" t="s">
        <v>39</v>
      </c>
      <c r="F958" s="252"/>
      <c r="G958" s="251"/>
      <c r="H958" s="251"/>
      <c r="I958" s="251"/>
      <c r="J958" s="251"/>
      <c r="K958" s="251"/>
      <c r="L958" s="251"/>
      <c r="M958" s="251"/>
      <c r="N958" s="251"/>
      <c r="O958" s="251"/>
      <c r="P958" s="252"/>
      <c r="Q958" s="253"/>
      <c r="R958" s="252"/>
      <c r="S958" s="251"/>
      <c r="T958" s="251"/>
      <c r="U958" s="251"/>
      <c r="V958" s="251"/>
      <c r="W958" s="251"/>
      <c r="X958" s="251"/>
      <c r="Y958" s="251"/>
      <c r="Z958" s="251"/>
    </row>
    <row r="959">
      <c r="A959" s="250"/>
      <c r="B959" s="251"/>
      <c r="C959" s="251" t="s">
        <v>39</v>
      </c>
      <c r="D959" s="252" t="s">
        <v>39</v>
      </c>
      <c r="E959" s="252" t="s">
        <v>39</v>
      </c>
      <c r="F959" s="252"/>
      <c r="G959" s="251"/>
      <c r="H959" s="251"/>
      <c r="I959" s="251"/>
      <c r="J959" s="251"/>
      <c r="K959" s="251"/>
      <c r="L959" s="251"/>
      <c r="M959" s="251"/>
      <c r="N959" s="251"/>
      <c r="O959" s="251"/>
      <c r="P959" s="252"/>
      <c r="Q959" s="253"/>
      <c r="R959" s="252"/>
      <c r="S959" s="251"/>
      <c r="T959" s="251"/>
      <c r="U959" s="251"/>
      <c r="V959" s="251"/>
      <c r="W959" s="251"/>
      <c r="X959" s="251"/>
      <c r="Y959" s="251"/>
      <c r="Z959" s="251"/>
    </row>
    <row r="960">
      <c r="A960" s="250"/>
      <c r="B960" s="251"/>
      <c r="C960" s="251" t="s">
        <v>39</v>
      </c>
      <c r="D960" s="252" t="s">
        <v>39</v>
      </c>
      <c r="E960" s="252" t="s">
        <v>39</v>
      </c>
      <c r="F960" s="252"/>
      <c r="G960" s="251"/>
      <c r="H960" s="251"/>
      <c r="I960" s="251"/>
      <c r="J960" s="251"/>
      <c r="K960" s="251"/>
      <c r="L960" s="251"/>
      <c r="M960" s="251"/>
      <c r="N960" s="251"/>
      <c r="O960" s="251"/>
      <c r="P960" s="252"/>
      <c r="Q960" s="253"/>
      <c r="R960" s="252"/>
      <c r="S960" s="251"/>
      <c r="T960" s="251"/>
      <c r="U960" s="251"/>
      <c r="V960" s="251"/>
      <c r="W960" s="251"/>
      <c r="X960" s="251"/>
      <c r="Y960" s="251"/>
      <c r="Z960" s="251"/>
    </row>
    <row r="961">
      <c r="A961" s="250"/>
      <c r="B961" s="251"/>
      <c r="C961" s="251" t="s">
        <v>39</v>
      </c>
      <c r="D961" s="252" t="s">
        <v>39</v>
      </c>
      <c r="E961" s="252" t="s">
        <v>39</v>
      </c>
      <c r="F961" s="252"/>
      <c r="G961" s="251"/>
      <c r="H961" s="251"/>
      <c r="I961" s="251"/>
      <c r="J961" s="251"/>
      <c r="K961" s="251"/>
      <c r="L961" s="251"/>
      <c r="M961" s="251"/>
      <c r="N961" s="251"/>
      <c r="O961" s="251"/>
      <c r="P961" s="252"/>
      <c r="Q961" s="253"/>
      <c r="R961" s="252"/>
      <c r="S961" s="251"/>
      <c r="T961" s="251"/>
      <c r="U961" s="251"/>
      <c r="V961" s="251"/>
      <c r="W961" s="251"/>
      <c r="X961" s="251"/>
      <c r="Y961" s="251"/>
      <c r="Z961" s="251"/>
    </row>
    <row r="962">
      <c r="A962" s="250"/>
      <c r="B962" s="251"/>
      <c r="C962" s="251" t="s">
        <v>39</v>
      </c>
      <c r="D962" s="252" t="s">
        <v>39</v>
      </c>
      <c r="E962" s="252" t="s">
        <v>39</v>
      </c>
      <c r="F962" s="252"/>
      <c r="G962" s="251"/>
      <c r="H962" s="251"/>
      <c r="I962" s="251"/>
      <c r="J962" s="251"/>
      <c r="K962" s="251"/>
      <c r="L962" s="251"/>
      <c r="M962" s="251"/>
      <c r="N962" s="251"/>
      <c r="O962" s="251"/>
      <c r="P962" s="252"/>
      <c r="Q962" s="253"/>
      <c r="R962" s="252"/>
      <c r="S962" s="251"/>
      <c r="T962" s="251"/>
      <c r="U962" s="251"/>
      <c r="V962" s="251"/>
      <c r="W962" s="251"/>
      <c r="X962" s="251"/>
      <c r="Y962" s="251"/>
      <c r="Z962" s="251"/>
    </row>
    <row r="963">
      <c r="A963" s="250"/>
      <c r="B963" s="251"/>
      <c r="C963" s="251" t="s">
        <v>39</v>
      </c>
      <c r="D963" s="252" t="s">
        <v>39</v>
      </c>
      <c r="E963" s="252" t="s">
        <v>39</v>
      </c>
      <c r="F963" s="252"/>
      <c r="G963" s="251"/>
      <c r="H963" s="251"/>
      <c r="I963" s="251"/>
      <c r="J963" s="251"/>
      <c r="K963" s="251"/>
      <c r="L963" s="251"/>
      <c r="M963" s="251"/>
      <c r="N963" s="251"/>
      <c r="O963" s="251"/>
      <c r="P963" s="252"/>
      <c r="Q963" s="253"/>
      <c r="R963" s="252"/>
      <c r="S963" s="251"/>
      <c r="T963" s="251"/>
      <c r="U963" s="251"/>
      <c r="V963" s="251"/>
      <c r="W963" s="251"/>
      <c r="X963" s="251"/>
      <c r="Y963" s="251"/>
      <c r="Z963" s="251"/>
    </row>
    <row r="964">
      <c r="A964" s="250"/>
      <c r="B964" s="251"/>
      <c r="C964" s="251" t="s">
        <v>39</v>
      </c>
      <c r="D964" s="252" t="s">
        <v>39</v>
      </c>
      <c r="E964" s="252" t="s">
        <v>39</v>
      </c>
      <c r="F964" s="252"/>
      <c r="G964" s="251"/>
      <c r="H964" s="251"/>
      <c r="I964" s="251"/>
      <c r="J964" s="251"/>
      <c r="K964" s="251"/>
      <c r="L964" s="251"/>
      <c r="M964" s="251"/>
      <c r="N964" s="251"/>
      <c r="O964" s="251"/>
      <c r="P964" s="252"/>
      <c r="Q964" s="253"/>
      <c r="R964" s="252"/>
      <c r="S964" s="251"/>
      <c r="T964" s="251"/>
      <c r="U964" s="251"/>
      <c r="V964" s="251"/>
      <c r="W964" s="251"/>
      <c r="X964" s="251"/>
      <c r="Y964" s="251"/>
      <c r="Z964" s="251"/>
    </row>
    <row r="965">
      <c r="A965" s="250"/>
      <c r="B965" s="251"/>
      <c r="C965" s="251" t="s">
        <v>39</v>
      </c>
      <c r="D965" s="252" t="s">
        <v>39</v>
      </c>
      <c r="E965" s="252" t="s">
        <v>39</v>
      </c>
      <c r="F965" s="252"/>
      <c r="G965" s="251"/>
      <c r="H965" s="251"/>
      <c r="I965" s="251"/>
      <c r="J965" s="251"/>
      <c r="K965" s="251"/>
      <c r="L965" s="251"/>
      <c r="M965" s="251"/>
      <c r="N965" s="251"/>
      <c r="O965" s="251"/>
      <c r="P965" s="252"/>
      <c r="Q965" s="253"/>
      <c r="R965" s="252"/>
      <c r="S965" s="251"/>
      <c r="T965" s="251"/>
      <c r="U965" s="251"/>
      <c r="V965" s="251"/>
      <c r="W965" s="251"/>
      <c r="X965" s="251"/>
      <c r="Y965" s="251"/>
      <c r="Z965" s="251"/>
    </row>
    <row r="966">
      <c r="A966" s="250"/>
      <c r="B966" s="251"/>
      <c r="C966" s="251" t="s">
        <v>39</v>
      </c>
      <c r="D966" s="252" t="s">
        <v>39</v>
      </c>
      <c r="E966" s="252" t="s">
        <v>39</v>
      </c>
      <c r="F966" s="252"/>
      <c r="G966" s="251"/>
      <c r="H966" s="251"/>
      <c r="I966" s="251"/>
      <c r="J966" s="251"/>
      <c r="K966" s="251"/>
      <c r="L966" s="251"/>
      <c r="M966" s="251"/>
      <c r="N966" s="251"/>
      <c r="O966" s="251"/>
      <c r="P966" s="252"/>
      <c r="Q966" s="253"/>
      <c r="R966" s="252"/>
      <c r="S966" s="251"/>
      <c r="T966" s="251"/>
      <c r="U966" s="251"/>
      <c r="V966" s="251"/>
      <c r="W966" s="251"/>
      <c r="X966" s="251"/>
      <c r="Y966" s="251"/>
      <c r="Z966" s="251"/>
    </row>
    <row r="967">
      <c r="A967" s="250"/>
      <c r="B967" s="251"/>
      <c r="C967" s="251" t="s">
        <v>39</v>
      </c>
      <c r="D967" s="252" t="s">
        <v>39</v>
      </c>
      <c r="E967" s="252" t="s">
        <v>39</v>
      </c>
      <c r="F967" s="252"/>
      <c r="G967" s="251"/>
      <c r="H967" s="251"/>
      <c r="I967" s="251"/>
      <c r="J967" s="251"/>
      <c r="K967" s="251"/>
      <c r="L967" s="251"/>
      <c r="M967" s="251"/>
      <c r="N967" s="251"/>
      <c r="O967" s="251"/>
      <c r="P967" s="252"/>
      <c r="Q967" s="253"/>
      <c r="R967" s="252"/>
      <c r="S967" s="251"/>
      <c r="T967" s="251"/>
      <c r="U967" s="251"/>
      <c r="V967" s="251"/>
      <c r="W967" s="251"/>
      <c r="X967" s="251"/>
      <c r="Y967" s="251"/>
      <c r="Z967" s="251"/>
    </row>
    <row r="968">
      <c r="A968" s="250"/>
      <c r="B968" s="251"/>
      <c r="C968" s="251" t="s">
        <v>39</v>
      </c>
      <c r="D968" s="252" t="s">
        <v>39</v>
      </c>
      <c r="E968" s="252" t="s">
        <v>39</v>
      </c>
      <c r="F968" s="252"/>
      <c r="G968" s="251"/>
      <c r="H968" s="251"/>
      <c r="I968" s="251"/>
      <c r="J968" s="251"/>
      <c r="K968" s="251"/>
      <c r="L968" s="251"/>
      <c r="M968" s="251"/>
      <c r="N968" s="251"/>
      <c r="O968" s="251"/>
      <c r="P968" s="252"/>
      <c r="Q968" s="253"/>
      <c r="R968" s="252"/>
      <c r="S968" s="251"/>
      <c r="T968" s="251"/>
      <c r="U968" s="251"/>
      <c r="V968" s="251"/>
      <c r="W968" s="251"/>
      <c r="X968" s="251"/>
      <c r="Y968" s="251"/>
      <c r="Z968" s="251"/>
    </row>
    <row r="969">
      <c r="A969" s="250"/>
      <c r="B969" s="251"/>
      <c r="C969" s="251" t="s">
        <v>39</v>
      </c>
      <c r="D969" s="252" t="s">
        <v>39</v>
      </c>
      <c r="E969" s="252" t="s">
        <v>39</v>
      </c>
      <c r="F969" s="252"/>
      <c r="G969" s="251"/>
      <c r="H969" s="251"/>
      <c r="I969" s="251"/>
      <c r="J969" s="251"/>
      <c r="K969" s="251"/>
      <c r="L969" s="251"/>
      <c r="M969" s="251"/>
      <c r="N969" s="251"/>
      <c r="O969" s="251"/>
      <c r="P969" s="252"/>
      <c r="Q969" s="253"/>
      <c r="R969" s="252"/>
      <c r="S969" s="251"/>
      <c r="T969" s="251"/>
      <c r="U969" s="251"/>
      <c r="V969" s="251"/>
      <c r="W969" s="251"/>
      <c r="X969" s="251"/>
      <c r="Y969" s="251"/>
      <c r="Z969" s="251"/>
    </row>
    <row r="970">
      <c r="A970" s="250"/>
      <c r="B970" s="251"/>
      <c r="C970" s="251" t="s">
        <v>39</v>
      </c>
      <c r="D970" s="252" t="s">
        <v>39</v>
      </c>
      <c r="E970" s="252" t="s">
        <v>39</v>
      </c>
      <c r="F970" s="252"/>
      <c r="G970" s="251"/>
      <c r="H970" s="251"/>
      <c r="I970" s="251"/>
      <c r="J970" s="251"/>
      <c r="K970" s="251"/>
      <c r="L970" s="251"/>
      <c r="M970" s="251"/>
      <c r="N970" s="251"/>
      <c r="O970" s="251"/>
      <c r="P970" s="252"/>
      <c r="Q970" s="253"/>
      <c r="R970" s="252"/>
      <c r="S970" s="251"/>
      <c r="T970" s="251"/>
      <c r="U970" s="251"/>
      <c r="V970" s="251"/>
      <c r="W970" s="251"/>
      <c r="X970" s="251"/>
      <c r="Y970" s="251"/>
      <c r="Z970" s="251"/>
    </row>
    <row r="971">
      <c r="A971" s="250"/>
      <c r="B971" s="251"/>
      <c r="C971" s="251" t="s">
        <v>39</v>
      </c>
      <c r="D971" s="252" t="s">
        <v>39</v>
      </c>
      <c r="E971" s="252" t="s">
        <v>39</v>
      </c>
      <c r="F971" s="252"/>
      <c r="G971" s="251"/>
      <c r="H971" s="251"/>
      <c r="I971" s="251"/>
      <c r="J971" s="251"/>
      <c r="K971" s="251"/>
      <c r="L971" s="251"/>
      <c r="M971" s="251"/>
      <c r="N971" s="251"/>
      <c r="O971" s="251"/>
      <c r="P971" s="252"/>
      <c r="Q971" s="253"/>
      <c r="R971" s="252"/>
      <c r="S971" s="251"/>
      <c r="T971" s="251"/>
      <c r="U971" s="251"/>
      <c r="V971" s="251"/>
      <c r="W971" s="251"/>
      <c r="X971" s="251"/>
      <c r="Y971" s="251"/>
      <c r="Z971" s="251"/>
    </row>
    <row r="972">
      <c r="A972" s="250"/>
      <c r="B972" s="251"/>
      <c r="C972" s="251" t="s">
        <v>39</v>
      </c>
      <c r="D972" s="252" t="s">
        <v>39</v>
      </c>
      <c r="E972" s="252" t="s">
        <v>39</v>
      </c>
      <c r="F972" s="252"/>
      <c r="G972" s="251"/>
      <c r="H972" s="251"/>
      <c r="I972" s="251"/>
      <c r="J972" s="251"/>
      <c r="K972" s="251"/>
      <c r="L972" s="251"/>
      <c r="M972" s="251"/>
      <c r="N972" s="251"/>
      <c r="O972" s="251"/>
      <c r="P972" s="252"/>
      <c r="Q972" s="253"/>
      <c r="R972" s="252"/>
      <c r="S972" s="251"/>
      <c r="T972" s="251"/>
      <c r="U972" s="251"/>
      <c r="V972" s="251"/>
      <c r="W972" s="251"/>
      <c r="X972" s="251"/>
      <c r="Y972" s="251"/>
      <c r="Z972" s="251"/>
    </row>
    <row r="973">
      <c r="A973" s="250"/>
      <c r="B973" s="251"/>
      <c r="C973" s="251" t="s">
        <v>39</v>
      </c>
      <c r="D973" s="252" t="s">
        <v>39</v>
      </c>
      <c r="E973" s="252" t="s">
        <v>39</v>
      </c>
      <c r="F973" s="252"/>
      <c r="G973" s="251"/>
      <c r="H973" s="251"/>
      <c r="I973" s="251"/>
      <c r="J973" s="251"/>
      <c r="K973" s="251"/>
      <c r="L973" s="251"/>
      <c r="M973" s="251"/>
      <c r="N973" s="251"/>
      <c r="O973" s="251"/>
      <c r="P973" s="252"/>
      <c r="Q973" s="253"/>
      <c r="R973" s="252"/>
      <c r="S973" s="251"/>
      <c r="T973" s="251"/>
      <c r="U973" s="251"/>
      <c r="V973" s="251"/>
      <c r="W973" s="251"/>
      <c r="X973" s="251"/>
      <c r="Y973" s="251"/>
      <c r="Z973" s="251"/>
    </row>
    <row r="974">
      <c r="A974" s="250"/>
      <c r="B974" s="251"/>
      <c r="C974" s="251" t="s">
        <v>39</v>
      </c>
      <c r="D974" s="252" t="s">
        <v>39</v>
      </c>
      <c r="E974" s="252" t="s">
        <v>39</v>
      </c>
      <c r="F974" s="252"/>
      <c r="G974" s="251"/>
      <c r="H974" s="251"/>
      <c r="I974" s="251"/>
      <c r="J974" s="251"/>
      <c r="K974" s="251"/>
      <c r="L974" s="251"/>
      <c r="M974" s="251"/>
      <c r="N974" s="251"/>
      <c r="O974" s="251"/>
      <c r="P974" s="252"/>
      <c r="Q974" s="253"/>
      <c r="R974" s="252"/>
      <c r="S974" s="251"/>
      <c r="T974" s="251"/>
      <c r="U974" s="251"/>
      <c r="V974" s="251"/>
      <c r="W974" s="251"/>
      <c r="X974" s="251"/>
      <c r="Y974" s="251"/>
      <c r="Z974" s="251"/>
    </row>
    <row r="975">
      <c r="A975" s="250"/>
      <c r="B975" s="251"/>
      <c r="C975" s="251" t="s">
        <v>39</v>
      </c>
      <c r="D975" s="252" t="s">
        <v>39</v>
      </c>
      <c r="E975" s="252" t="s">
        <v>39</v>
      </c>
      <c r="F975" s="252"/>
      <c r="G975" s="251"/>
      <c r="H975" s="251"/>
      <c r="I975" s="251"/>
      <c r="J975" s="251"/>
      <c r="K975" s="251"/>
      <c r="L975" s="251"/>
      <c r="M975" s="251"/>
      <c r="N975" s="251"/>
      <c r="O975" s="251"/>
      <c r="P975" s="252"/>
      <c r="Q975" s="253"/>
      <c r="R975" s="252"/>
      <c r="S975" s="251"/>
      <c r="T975" s="251"/>
      <c r="U975" s="251"/>
      <c r="V975" s="251"/>
      <c r="W975" s="251"/>
      <c r="X975" s="251"/>
      <c r="Y975" s="251"/>
      <c r="Z975" s="251"/>
    </row>
    <row r="976">
      <c r="A976" s="250"/>
      <c r="B976" s="251"/>
      <c r="C976" s="251" t="s">
        <v>39</v>
      </c>
      <c r="D976" s="252" t="s">
        <v>39</v>
      </c>
      <c r="E976" s="252" t="s">
        <v>39</v>
      </c>
      <c r="F976" s="252"/>
      <c r="G976" s="251"/>
      <c r="H976" s="251"/>
      <c r="I976" s="251"/>
      <c r="J976" s="251"/>
      <c r="K976" s="251"/>
      <c r="L976" s="251"/>
      <c r="M976" s="251"/>
      <c r="N976" s="251"/>
      <c r="O976" s="251"/>
      <c r="P976" s="252"/>
      <c r="Q976" s="253"/>
      <c r="R976" s="252"/>
      <c r="S976" s="251"/>
      <c r="T976" s="251"/>
      <c r="U976" s="251"/>
      <c r="V976" s="251"/>
      <c r="W976" s="251"/>
      <c r="X976" s="251"/>
      <c r="Y976" s="251"/>
      <c r="Z976" s="251"/>
    </row>
    <row r="977">
      <c r="A977" s="250"/>
      <c r="B977" s="251"/>
      <c r="C977" s="251" t="s">
        <v>39</v>
      </c>
      <c r="D977" s="252" t="s">
        <v>39</v>
      </c>
      <c r="E977" s="252" t="s">
        <v>39</v>
      </c>
      <c r="F977" s="252"/>
      <c r="G977" s="251"/>
      <c r="H977" s="251"/>
      <c r="I977" s="251"/>
      <c r="J977" s="251"/>
      <c r="K977" s="251"/>
      <c r="L977" s="251"/>
      <c r="M977" s="251"/>
      <c r="N977" s="251"/>
      <c r="O977" s="251"/>
      <c r="P977" s="252"/>
      <c r="Q977" s="253"/>
      <c r="R977" s="252"/>
      <c r="S977" s="251"/>
      <c r="T977" s="251"/>
      <c r="U977" s="251"/>
      <c r="V977" s="251"/>
      <c r="W977" s="251"/>
      <c r="X977" s="251"/>
      <c r="Y977" s="251"/>
      <c r="Z977" s="251"/>
    </row>
    <row r="978">
      <c r="A978" s="250"/>
      <c r="B978" s="251"/>
      <c r="C978" s="251" t="s">
        <v>39</v>
      </c>
      <c r="D978" s="252" t="s">
        <v>39</v>
      </c>
      <c r="E978" s="252" t="s">
        <v>39</v>
      </c>
      <c r="F978" s="252"/>
      <c r="G978" s="251"/>
      <c r="H978" s="251"/>
      <c r="I978" s="251"/>
      <c r="J978" s="251"/>
      <c r="K978" s="251"/>
      <c r="L978" s="251"/>
      <c r="M978" s="251"/>
      <c r="N978" s="251"/>
      <c r="O978" s="251"/>
      <c r="P978" s="252"/>
      <c r="Q978" s="253"/>
      <c r="R978" s="252"/>
      <c r="S978" s="251"/>
      <c r="T978" s="251"/>
      <c r="U978" s="251"/>
      <c r="V978" s="251"/>
      <c r="W978" s="251"/>
      <c r="X978" s="251"/>
      <c r="Y978" s="251"/>
      <c r="Z978" s="251"/>
    </row>
    <row r="979">
      <c r="A979" s="250"/>
      <c r="B979" s="251"/>
      <c r="C979" s="251" t="s">
        <v>39</v>
      </c>
      <c r="D979" s="252" t="s">
        <v>39</v>
      </c>
      <c r="E979" s="252" t="s">
        <v>39</v>
      </c>
      <c r="F979" s="252"/>
      <c r="G979" s="251"/>
      <c r="H979" s="251"/>
      <c r="I979" s="251"/>
      <c r="J979" s="251"/>
      <c r="K979" s="251"/>
      <c r="L979" s="251"/>
      <c r="M979" s="251"/>
      <c r="N979" s="251"/>
      <c r="O979" s="251"/>
      <c r="P979" s="252"/>
      <c r="Q979" s="253"/>
      <c r="R979" s="252"/>
      <c r="S979" s="251"/>
      <c r="T979" s="251"/>
      <c r="U979" s="251"/>
      <c r="V979" s="251"/>
      <c r="W979" s="251"/>
      <c r="X979" s="251"/>
      <c r="Y979" s="251"/>
      <c r="Z979" s="251"/>
    </row>
    <row r="980">
      <c r="A980" s="250"/>
      <c r="B980" s="251"/>
      <c r="C980" s="251" t="s">
        <v>39</v>
      </c>
      <c r="D980" s="252" t="s">
        <v>39</v>
      </c>
      <c r="E980" s="252" t="s">
        <v>39</v>
      </c>
      <c r="F980" s="252"/>
      <c r="G980" s="251"/>
      <c r="H980" s="251"/>
      <c r="I980" s="251"/>
      <c r="J980" s="251"/>
      <c r="K980" s="251"/>
      <c r="L980" s="251"/>
      <c r="M980" s="251"/>
      <c r="N980" s="251"/>
      <c r="O980" s="251"/>
      <c r="P980" s="252"/>
      <c r="Q980" s="253"/>
      <c r="R980" s="252"/>
      <c r="S980" s="251"/>
      <c r="T980" s="251"/>
      <c r="U980" s="251"/>
      <c r="V980" s="251"/>
      <c r="W980" s="251"/>
      <c r="X980" s="251"/>
      <c r="Y980" s="251"/>
      <c r="Z980" s="251"/>
    </row>
    <row r="981">
      <c r="A981" s="250"/>
      <c r="B981" s="251"/>
      <c r="C981" s="251" t="s">
        <v>39</v>
      </c>
      <c r="D981" s="252" t="s">
        <v>39</v>
      </c>
      <c r="E981" s="252" t="s">
        <v>39</v>
      </c>
      <c r="F981" s="252"/>
      <c r="G981" s="251"/>
      <c r="H981" s="251"/>
      <c r="I981" s="251"/>
      <c r="J981" s="251"/>
      <c r="K981" s="251"/>
      <c r="L981" s="251"/>
      <c r="M981" s="251"/>
      <c r="N981" s="251"/>
      <c r="O981" s="251"/>
      <c r="P981" s="252"/>
      <c r="Q981" s="253"/>
      <c r="R981" s="252"/>
      <c r="S981" s="251"/>
      <c r="T981" s="251"/>
      <c r="U981" s="251"/>
      <c r="V981" s="251"/>
      <c r="W981" s="251"/>
      <c r="X981" s="251"/>
      <c r="Y981" s="251"/>
      <c r="Z981" s="251"/>
    </row>
    <row r="982">
      <c r="A982" s="250"/>
      <c r="B982" s="251"/>
      <c r="C982" s="251" t="s">
        <v>39</v>
      </c>
      <c r="D982" s="252" t="s">
        <v>39</v>
      </c>
      <c r="E982" s="252" t="s">
        <v>39</v>
      </c>
      <c r="F982" s="252"/>
      <c r="G982" s="251"/>
      <c r="H982" s="251"/>
      <c r="I982" s="251"/>
      <c r="J982" s="251"/>
      <c r="K982" s="251"/>
      <c r="L982" s="251"/>
      <c r="M982" s="251"/>
      <c r="N982" s="251"/>
      <c r="O982" s="251"/>
      <c r="P982" s="252"/>
      <c r="Q982" s="253"/>
      <c r="R982" s="252"/>
      <c r="S982" s="251"/>
      <c r="T982" s="251"/>
      <c r="U982" s="251"/>
      <c r="V982" s="251"/>
      <c r="W982" s="251"/>
      <c r="X982" s="251"/>
      <c r="Y982" s="251"/>
      <c r="Z982" s="251"/>
    </row>
    <row r="983">
      <c r="A983" s="250"/>
      <c r="B983" s="251"/>
      <c r="C983" s="251" t="s">
        <v>39</v>
      </c>
      <c r="D983" s="252" t="s">
        <v>39</v>
      </c>
      <c r="E983" s="252" t="s">
        <v>39</v>
      </c>
      <c r="F983" s="252"/>
      <c r="G983" s="251"/>
      <c r="H983" s="251"/>
      <c r="I983" s="251"/>
      <c r="J983" s="251"/>
      <c r="K983" s="251"/>
      <c r="L983" s="251"/>
      <c r="M983" s="251"/>
      <c r="N983" s="251"/>
      <c r="O983" s="251"/>
      <c r="P983" s="252"/>
      <c r="Q983" s="253"/>
      <c r="R983" s="252"/>
      <c r="S983" s="251"/>
      <c r="T983" s="251"/>
      <c r="U983" s="251"/>
      <c r="V983" s="251"/>
      <c r="W983" s="251"/>
      <c r="X983" s="251"/>
      <c r="Y983" s="251"/>
      <c r="Z983" s="251"/>
    </row>
    <row r="984">
      <c r="A984" s="250"/>
      <c r="B984" s="251"/>
      <c r="C984" s="251" t="s">
        <v>39</v>
      </c>
      <c r="D984" s="252" t="s">
        <v>39</v>
      </c>
      <c r="E984" s="252" t="s">
        <v>39</v>
      </c>
      <c r="F984" s="252"/>
      <c r="G984" s="251"/>
      <c r="H984" s="251"/>
      <c r="I984" s="251"/>
      <c r="J984" s="251"/>
      <c r="K984" s="251"/>
      <c r="L984" s="251"/>
      <c r="M984" s="251"/>
      <c r="N984" s="251"/>
      <c r="O984" s="251"/>
      <c r="P984" s="252"/>
      <c r="Q984" s="253"/>
      <c r="R984" s="252"/>
      <c r="S984" s="251"/>
      <c r="T984" s="251"/>
      <c r="U984" s="251"/>
      <c r="V984" s="251"/>
      <c r="W984" s="251"/>
      <c r="X984" s="251"/>
      <c r="Y984" s="251"/>
      <c r="Z984" s="251"/>
    </row>
    <row r="985">
      <c r="A985" s="250"/>
      <c r="B985" s="251"/>
      <c r="C985" s="251" t="s">
        <v>39</v>
      </c>
      <c r="D985" s="252" t="s">
        <v>39</v>
      </c>
      <c r="E985" s="252" t="s">
        <v>39</v>
      </c>
      <c r="F985" s="252"/>
      <c r="G985" s="251"/>
      <c r="H985" s="251"/>
      <c r="I985" s="251"/>
      <c r="J985" s="251"/>
      <c r="K985" s="251"/>
      <c r="L985" s="251"/>
      <c r="M985" s="251"/>
      <c r="N985" s="251"/>
      <c r="O985" s="251"/>
      <c r="P985" s="252"/>
      <c r="Q985" s="253"/>
      <c r="R985" s="252"/>
      <c r="S985" s="251"/>
      <c r="T985" s="251"/>
      <c r="U985" s="251"/>
      <c r="V985" s="251"/>
      <c r="W985" s="251"/>
      <c r="X985" s="251"/>
      <c r="Y985" s="251"/>
      <c r="Z985" s="251"/>
    </row>
    <row r="986">
      <c r="A986" s="250"/>
      <c r="B986" s="251"/>
      <c r="C986" s="251" t="s">
        <v>39</v>
      </c>
      <c r="D986" s="252" t="s">
        <v>39</v>
      </c>
      <c r="E986" s="252" t="s">
        <v>39</v>
      </c>
      <c r="F986" s="252"/>
      <c r="G986" s="251"/>
      <c r="H986" s="251"/>
      <c r="I986" s="251"/>
      <c r="J986" s="251"/>
      <c r="K986" s="251"/>
      <c r="L986" s="251"/>
      <c r="M986" s="251"/>
      <c r="N986" s="251"/>
      <c r="O986" s="251"/>
      <c r="P986" s="252"/>
      <c r="Q986" s="253"/>
      <c r="R986" s="252"/>
      <c r="S986" s="251"/>
      <c r="T986" s="251"/>
      <c r="U986" s="251"/>
      <c r="V986" s="251"/>
      <c r="W986" s="251"/>
      <c r="X986" s="251"/>
      <c r="Y986" s="251"/>
      <c r="Z986" s="251"/>
    </row>
    <row r="987">
      <c r="A987" s="250"/>
      <c r="B987" s="251"/>
      <c r="C987" s="251" t="s">
        <v>39</v>
      </c>
      <c r="D987" s="252" t="s">
        <v>39</v>
      </c>
      <c r="E987" s="252" t="s">
        <v>39</v>
      </c>
      <c r="F987" s="252"/>
      <c r="G987" s="251"/>
      <c r="H987" s="251"/>
      <c r="I987" s="251"/>
      <c r="J987" s="251"/>
      <c r="K987" s="251"/>
      <c r="L987" s="251"/>
      <c r="M987" s="251"/>
      <c r="N987" s="251"/>
      <c r="O987" s="251"/>
      <c r="P987" s="252"/>
      <c r="Q987" s="253"/>
      <c r="R987" s="252"/>
      <c r="S987" s="251"/>
      <c r="T987" s="251"/>
      <c r="U987" s="251"/>
      <c r="V987" s="251"/>
      <c r="W987" s="251"/>
      <c r="X987" s="251"/>
      <c r="Y987" s="251"/>
      <c r="Z987" s="251"/>
    </row>
    <row r="988">
      <c r="A988" s="250"/>
      <c r="B988" s="251"/>
      <c r="C988" s="251" t="s">
        <v>39</v>
      </c>
      <c r="D988" s="252" t="s">
        <v>39</v>
      </c>
      <c r="E988" s="252" t="s">
        <v>39</v>
      </c>
      <c r="F988" s="252"/>
      <c r="G988" s="251"/>
      <c r="H988" s="251"/>
      <c r="I988" s="251"/>
      <c r="J988" s="251"/>
      <c r="K988" s="251"/>
      <c r="L988" s="251"/>
      <c r="M988" s="251"/>
      <c r="N988" s="251"/>
      <c r="O988" s="251"/>
      <c r="P988" s="252"/>
      <c r="Q988" s="253"/>
      <c r="R988" s="252"/>
      <c r="S988" s="251"/>
      <c r="T988" s="251"/>
      <c r="U988" s="251"/>
      <c r="V988" s="251"/>
      <c r="W988" s="251"/>
      <c r="X988" s="251"/>
      <c r="Y988" s="251"/>
      <c r="Z988" s="251"/>
    </row>
    <row r="989">
      <c r="A989" s="250"/>
      <c r="B989" s="251"/>
      <c r="C989" s="251" t="s">
        <v>39</v>
      </c>
      <c r="D989" s="252" t="s">
        <v>39</v>
      </c>
      <c r="E989" s="252" t="s">
        <v>39</v>
      </c>
      <c r="F989" s="252"/>
      <c r="G989" s="251"/>
      <c r="H989" s="251"/>
      <c r="I989" s="251"/>
      <c r="J989" s="251"/>
      <c r="K989" s="251"/>
      <c r="L989" s="251"/>
      <c r="M989" s="251"/>
      <c r="N989" s="251"/>
      <c r="O989" s="251"/>
      <c r="P989" s="252"/>
      <c r="Q989" s="253"/>
      <c r="R989" s="252"/>
      <c r="S989" s="251"/>
      <c r="T989" s="251"/>
      <c r="U989" s="251"/>
      <c r="V989" s="251"/>
      <c r="W989" s="251"/>
      <c r="X989" s="251"/>
      <c r="Y989" s="251"/>
      <c r="Z989" s="251"/>
    </row>
    <row r="990">
      <c r="A990" s="250"/>
      <c r="B990" s="251"/>
      <c r="C990" s="251" t="s">
        <v>39</v>
      </c>
      <c r="D990" s="252" t="s">
        <v>39</v>
      </c>
      <c r="E990" s="252" t="s">
        <v>39</v>
      </c>
      <c r="F990" s="252"/>
      <c r="G990" s="251"/>
      <c r="H990" s="251"/>
      <c r="I990" s="251"/>
      <c r="J990" s="251"/>
      <c r="K990" s="251"/>
      <c r="L990" s="251"/>
      <c r="M990" s="251"/>
      <c r="N990" s="251"/>
      <c r="O990" s="251"/>
      <c r="P990" s="252"/>
      <c r="Q990" s="253"/>
      <c r="R990" s="252"/>
      <c r="S990" s="251"/>
      <c r="T990" s="251"/>
      <c r="U990" s="251"/>
      <c r="V990" s="251"/>
      <c r="W990" s="251"/>
      <c r="X990" s="251"/>
      <c r="Y990" s="251"/>
      <c r="Z990" s="251"/>
    </row>
    <row r="991">
      <c r="A991" s="250"/>
      <c r="B991" s="251"/>
      <c r="C991" s="251" t="s">
        <v>39</v>
      </c>
      <c r="D991" s="252" t="s">
        <v>39</v>
      </c>
      <c r="E991" s="252" t="s">
        <v>39</v>
      </c>
      <c r="F991" s="252"/>
      <c r="G991" s="251"/>
      <c r="H991" s="251"/>
      <c r="I991" s="251"/>
      <c r="J991" s="251"/>
      <c r="K991" s="251"/>
      <c r="L991" s="251"/>
      <c r="M991" s="251"/>
      <c r="N991" s="251"/>
      <c r="O991" s="251"/>
      <c r="P991" s="252"/>
      <c r="Q991" s="253"/>
      <c r="R991" s="252"/>
      <c r="S991" s="251"/>
      <c r="T991" s="251"/>
      <c r="U991" s="251"/>
      <c r="V991" s="251"/>
      <c r="W991" s="251"/>
      <c r="X991" s="251"/>
      <c r="Y991" s="251"/>
      <c r="Z991" s="251"/>
    </row>
    <row r="992">
      <c r="A992" s="250"/>
      <c r="B992" s="251"/>
      <c r="C992" s="251" t="s">
        <v>39</v>
      </c>
      <c r="D992" s="252" t="s">
        <v>39</v>
      </c>
      <c r="E992" s="252" t="s">
        <v>39</v>
      </c>
      <c r="F992" s="252"/>
      <c r="G992" s="251"/>
      <c r="H992" s="251"/>
      <c r="I992" s="251"/>
      <c r="J992" s="251"/>
      <c r="K992" s="251"/>
      <c r="L992" s="251"/>
      <c r="M992" s="251"/>
      <c r="N992" s="251"/>
      <c r="O992" s="251"/>
      <c r="P992" s="252"/>
      <c r="Q992" s="253"/>
      <c r="R992" s="252"/>
      <c r="S992" s="251"/>
      <c r="T992" s="251"/>
      <c r="U992" s="251"/>
      <c r="V992" s="251"/>
      <c r="W992" s="251"/>
      <c r="X992" s="251"/>
      <c r="Y992" s="251"/>
      <c r="Z992" s="251"/>
    </row>
    <row r="993">
      <c r="A993" s="250"/>
      <c r="B993" s="251"/>
      <c r="C993" s="251" t="s">
        <v>39</v>
      </c>
      <c r="D993" s="252" t="s">
        <v>39</v>
      </c>
      <c r="E993" s="252" t="s">
        <v>39</v>
      </c>
      <c r="F993" s="252"/>
      <c r="G993" s="251"/>
      <c r="H993" s="251"/>
      <c r="I993" s="251"/>
      <c r="J993" s="251"/>
      <c r="K993" s="251"/>
      <c r="L993" s="251"/>
      <c r="M993" s="251"/>
      <c r="N993" s="251"/>
      <c r="O993" s="251"/>
      <c r="P993" s="252"/>
      <c r="Q993" s="253"/>
      <c r="R993" s="252"/>
      <c r="S993" s="251"/>
      <c r="T993" s="251"/>
      <c r="U993" s="251"/>
      <c r="V993" s="251"/>
      <c r="W993" s="251"/>
      <c r="X993" s="251"/>
      <c r="Y993" s="251"/>
      <c r="Z993" s="251"/>
    </row>
    <row r="994">
      <c r="A994" s="250"/>
      <c r="B994" s="251"/>
      <c r="C994" s="251" t="s">
        <v>39</v>
      </c>
      <c r="D994" s="252" t="s">
        <v>39</v>
      </c>
      <c r="E994" s="252" t="s">
        <v>39</v>
      </c>
      <c r="F994" s="252"/>
      <c r="G994" s="251"/>
      <c r="H994" s="251"/>
      <c r="I994" s="251"/>
      <c r="J994" s="251"/>
      <c r="K994" s="251"/>
      <c r="L994" s="251"/>
      <c r="M994" s="251"/>
      <c r="N994" s="251"/>
      <c r="O994" s="251"/>
      <c r="P994" s="252"/>
      <c r="Q994" s="253"/>
      <c r="R994" s="252"/>
      <c r="S994" s="251"/>
      <c r="T994" s="251"/>
      <c r="U994" s="251"/>
      <c r="V994" s="251"/>
      <c r="W994" s="251"/>
      <c r="X994" s="251"/>
      <c r="Y994" s="251"/>
      <c r="Z994" s="251"/>
    </row>
    <row r="995">
      <c r="A995" s="250"/>
      <c r="B995" s="251"/>
      <c r="C995" s="251" t="s">
        <v>39</v>
      </c>
      <c r="D995" s="252" t="s">
        <v>39</v>
      </c>
      <c r="E995" s="252" t="s">
        <v>39</v>
      </c>
      <c r="F995" s="252"/>
      <c r="G995" s="251"/>
      <c r="H995" s="251"/>
      <c r="I995" s="251"/>
      <c r="J995" s="251"/>
      <c r="K995" s="251"/>
      <c r="L995" s="251"/>
      <c r="M995" s="251"/>
      <c r="N995" s="251"/>
      <c r="O995" s="251"/>
      <c r="P995" s="252"/>
      <c r="Q995" s="253"/>
      <c r="R995" s="252"/>
      <c r="S995" s="251"/>
      <c r="T995" s="251"/>
      <c r="U995" s="251"/>
      <c r="V995" s="251"/>
      <c r="W995" s="251"/>
      <c r="X995" s="251"/>
      <c r="Y995" s="251"/>
      <c r="Z995" s="251"/>
    </row>
    <row r="996">
      <c r="A996" s="250"/>
      <c r="B996" s="251"/>
      <c r="C996" s="251" t="s">
        <v>39</v>
      </c>
      <c r="D996" s="252" t="s">
        <v>39</v>
      </c>
      <c r="E996" s="252" t="s">
        <v>39</v>
      </c>
      <c r="F996" s="252"/>
      <c r="G996" s="251"/>
      <c r="H996" s="251"/>
      <c r="I996" s="251"/>
      <c r="J996" s="251"/>
      <c r="K996" s="251"/>
      <c r="L996" s="251"/>
      <c r="M996" s="251"/>
      <c r="N996" s="251"/>
      <c r="O996" s="251"/>
      <c r="P996" s="252"/>
      <c r="Q996" s="253"/>
      <c r="R996" s="252"/>
      <c r="S996" s="251"/>
      <c r="T996" s="251"/>
      <c r="U996" s="251"/>
      <c r="V996" s="251"/>
      <c r="W996" s="251"/>
      <c r="X996" s="251"/>
      <c r="Y996" s="251"/>
      <c r="Z996" s="25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5.63"/>
    <col customWidth="1" min="2" max="2" width="24.0"/>
    <col customWidth="1" min="3" max="3" width="15.63"/>
    <col customWidth="1" min="4" max="4" width="13.75"/>
    <col customWidth="1" min="5" max="5" width="18.38"/>
    <col customWidth="1" min="6" max="6" width="13.38"/>
    <col customWidth="1" min="7" max="7" width="12.88"/>
    <col customWidth="1" min="8" max="8" width="10.5"/>
    <col customWidth="1" min="9" max="9" width="12.88"/>
    <col customWidth="1" min="10" max="10" width="9.5"/>
    <col customWidth="1" min="11" max="12" width="15.38"/>
    <col customWidth="1" min="14" max="14" width="19.38"/>
  </cols>
  <sheetData>
    <row r="1">
      <c r="A1" s="259"/>
      <c r="B1" s="260"/>
      <c r="C1" s="260"/>
      <c r="D1" s="260"/>
      <c r="E1" s="260"/>
      <c r="F1" s="260"/>
      <c r="G1" s="260"/>
      <c r="H1" s="260"/>
      <c r="I1" s="260"/>
      <c r="J1" s="260"/>
      <c r="K1" s="261"/>
      <c r="L1" s="261"/>
      <c r="M1" s="260"/>
      <c r="N1" s="260"/>
      <c r="O1" s="260"/>
      <c r="P1" s="260"/>
      <c r="Q1" s="260"/>
      <c r="R1" s="260"/>
      <c r="S1" s="260"/>
      <c r="T1" s="260"/>
      <c r="U1" s="260"/>
      <c r="V1" s="260"/>
      <c r="W1" s="260"/>
      <c r="X1" s="260"/>
      <c r="Y1" s="260"/>
      <c r="Z1" s="260"/>
    </row>
    <row r="2">
      <c r="A2" s="262" t="s">
        <v>0</v>
      </c>
      <c r="B2" s="263" t="s">
        <v>5</v>
      </c>
      <c r="C2" s="264" t="s">
        <v>9146</v>
      </c>
      <c r="D2" s="264" t="s">
        <v>8579</v>
      </c>
      <c r="E2" s="264" t="s">
        <v>9147</v>
      </c>
      <c r="F2" s="264" t="s">
        <v>9148</v>
      </c>
      <c r="G2" s="264" t="s">
        <v>8581</v>
      </c>
      <c r="H2" s="263" t="s">
        <v>9149</v>
      </c>
      <c r="I2" s="264" t="s">
        <v>8580</v>
      </c>
      <c r="J2" s="263" t="s">
        <v>9150</v>
      </c>
      <c r="K2" s="265" t="s">
        <v>9151</v>
      </c>
      <c r="L2" s="265" t="s">
        <v>8584</v>
      </c>
      <c r="M2" s="263" t="s">
        <v>1036</v>
      </c>
      <c r="N2" s="263" t="s">
        <v>14</v>
      </c>
      <c r="O2" s="264"/>
      <c r="P2" s="264"/>
      <c r="Q2" s="264"/>
      <c r="R2" s="264"/>
      <c r="S2" s="264"/>
      <c r="T2" s="264"/>
      <c r="U2" s="264"/>
      <c r="V2" s="264"/>
      <c r="W2" s="264"/>
      <c r="X2" s="264"/>
      <c r="Y2" s="264"/>
      <c r="Z2" s="266"/>
    </row>
    <row r="3">
      <c r="A3" s="267">
        <v>45906.0</v>
      </c>
      <c r="B3" s="260" t="s">
        <v>1938</v>
      </c>
      <c r="C3" s="260" t="s">
        <v>9152</v>
      </c>
      <c r="D3" s="260" t="s">
        <v>9153</v>
      </c>
      <c r="E3" s="21" t="s">
        <v>9154</v>
      </c>
      <c r="F3" s="268" t="s">
        <v>9155</v>
      </c>
      <c r="G3" s="260" t="s">
        <v>9156</v>
      </c>
      <c r="H3" s="260" t="s">
        <v>5958</v>
      </c>
      <c r="I3" s="260" t="s">
        <v>9157</v>
      </c>
      <c r="J3" s="260" t="s">
        <v>8911</v>
      </c>
      <c r="K3" s="261">
        <f t="array" ref="K3:K1000">IF(ROW(A3:A1000)&lt;3,"",
    IF(LEN(A3:A1000)=0,"",
      VALUE(A3:A1000) + IFERROR( VALUE( VLOOKUP(D3:D1000,'Treatment Key'!A:J,9,FALSE) ), 42 )
    )
  )
</f>
        <v>45948</v>
      </c>
      <c r="L3" s="261">
        <f t="array" ref="L3:L1000">IF(ROW(A3:A1000)&lt;3,"",
    IF(LEN(A3:A1000)=0,"",
      VALUE(A3:A1000) + IFERROR( VALUE( VLOOKUP(D3:D1000,'Treatment Key'!A:K,10,FALSE) ), 56 )
    )
  )
</f>
        <v>45962</v>
      </c>
      <c r="M3" s="260" t="s">
        <v>9158</v>
      </c>
      <c r="N3" s="21" t="s">
        <v>22</v>
      </c>
      <c r="O3" s="260"/>
      <c r="P3" s="260"/>
      <c r="Q3" s="260"/>
      <c r="R3" s="260"/>
      <c r="S3" s="260"/>
      <c r="T3" s="260"/>
      <c r="U3" s="260"/>
      <c r="V3" s="260"/>
      <c r="W3" s="260"/>
      <c r="X3" s="260"/>
      <c r="Y3" s="260"/>
      <c r="Z3" s="260"/>
    </row>
    <row r="4">
      <c r="A4" s="267">
        <v>45906.0</v>
      </c>
      <c r="B4" s="260" t="s">
        <v>1801</v>
      </c>
      <c r="C4" s="260" t="s">
        <v>9152</v>
      </c>
      <c r="D4" s="260" t="s">
        <v>9153</v>
      </c>
      <c r="E4" s="21" t="s">
        <v>9154</v>
      </c>
      <c r="F4" s="268" t="s">
        <v>9155</v>
      </c>
      <c r="G4" s="21" t="s">
        <v>9156</v>
      </c>
      <c r="H4" s="260" t="s">
        <v>5958</v>
      </c>
      <c r="I4" s="260" t="s">
        <v>9157</v>
      </c>
      <c r="J4" s="21" t="s">
        <v>8911</v>
      </c>
      <c r="K4" s="261">
        <v>45948.0</v>
      </c>
      <c r="L4" s="261">
        <v>45962.0</v>
      </c>
      <c r="M4" s="260" t="s">
        <v>9159</v>
      </c>
      <c r="N4" s="21" t="s">
        <v>22</v>
      </c>
      <c r="O4" s="260"/>
      <c r="P4" s="260"/>
      <c r="Q4" s="260"/>
      <c r="R4" s="260"/>
      <c r="S4" s="260"/>
      <c r="T4" s="260"/>
      <c r="U4" s="260"/>
      <c r="V4" s="260"/>
      <c r="W4" s="260"/>
      <c r="X4" s="260"/>
      <c r="Y4" s="260"/>
      <c r="Z4" s="260"/>
    </row>
    <row r="5">
      <c r="A5" s="267">
        <v>45906.0</v>
      </c>
      <c r="B5" s="260" t="s">
        <v>1940</v>
      </c>
      <c r="C5" s="260" t="s">
        <v>9152</v>
      </c>
      <c r="D5" s="260" t="s">
        <v>9153</v>
      </c>
      <c r="E5" s="21" t="s">
        <v>9154</v>
      </c>
      <c r="F5" s="268" t="s">
        <v>9155</v>
      </c>
      <c r="G5" s="21" t="s">
        <v>9156</v>
      </c>
      <c r="H5" s="21" t="s">
        <v>5958</v>
      </c>
      <c r="I5" s="260" t="s">
        <v>9157</v>
      </c>
      <c r="J5" s="21" t="s">
        <v>8911</v>
      </c>
      <c r="K5" s="261">
        <v>45948.0</v>
      </c>
      <c r="L5" s="261">
        <v>45962.0</v>
      </c>
      <c r="M5" s="260" t="s">
        <v>9160</v>
      </c>
      <c r="N5" s="21" t="s">
        <v>22</v>
      </c>
      <c r="O5" s="260"/>
      <c r="P5" s="260"/>
      <c r="Q5" s="260"/>
      <c r="R5" s="260"/>
      <c r="S5" s="260"/>
      <c r="T5" s="260"/>
      <c r="U5" s="260"/>
      <c r="V5" s="260"/>
      <c r="W5" s="260"/>
      <c r="X5" s="260"/>
      <c r="Y5" s="260"/>
      <c r="Z5" s="260"/>
    </row>
    <row r="6">
      <c r="A6" s="267">
        <v>45906.0</v>
      </c>
      <c r="B6" s="260" t="s">
        <v>3201</v>
      </c>
      <c r="C6" s="260" t="s">
        <v>9152</v>
      </c>
      <c r="D6" s="260" t="s">
        <v>9153</v>
      </c>
      <c r="E6" s="21" t="s">
        <v>9154</v>
      </c>
      <c r="F6" s="268" t="s">
        <v>9155</v>
      </c>
      <c r="G6" s="21" t="s">
        <v>9156</v>
      </c>
      <c r="H6" s="21" t="s">
        <v>5958</v>
      </c>
      <c r="I6" s="260" t="s">
        <v>9157</v>
      </c>
      <c r="J6" s="21" t="s">
        <v>8911</v>
      </c>
      <c r="K6" s="261">
        <v>45948.0</v>
      </c>
      <c r="L6" s="261">
        <v>45962.0</v>
      </c>
      <c r="M6" s="260" t="s">
        <v>9161</v>
      </c>
      <c r="N6" s="21" t="s">
        <v>22</v>
      </c>
      <c r="O6" s="260"/>
      <c r="P6" s="260"/>
      <c r="Q6" s="260"/>
      <c r="R6" s="260"/>
      <c r="S6" s="260"/>
      <c r="T6" s="260"/>
      <c r="U6" s="260"/>
      <c r="V6" s="260"/>
      <c r="W6" s="260"/>
      <c r="X6" s="260"/>
      <c r="Y6" s="260"/>
      <c r="Z6" s="260"/>
    </row>
    <row r="7">
      <c r="A7" s="267">
        <v>45906.0</v>
      </c>
      <c r="B7" s="260" t="s">
        <v>1483</v>
      </c>
      <c r="C7" s="260" t="s">
        <v>9162</v>
      </c>
      <c r="D7" s="260" t="s">
        <v>9153</v>
      </c>
      <c r="E7" s="21" t="s">
        <v>9154</v>
      </c>
      <c r="F7" s="268" t="s">
        <v>9155</v>
      </c>
      <c r="G7" s="21" t="s">
        <v>9163</v>
      </c>
      <c r="H7" s="260" t="s">
        <v>5970</v>
      </c>
      <c r="I7" s="260" t="s">
        <v>9164</v>
      </c>
      <c r="J7" s="21" t="s">
        <v>8911</v>
      </c>
      <c r="K7" s="261">
        <v>45948.0</v>
      </c>
      <c r="L7" s="261">
        <v>45962.0</v>
      </c>
      <c r="M7" s="260" t="s">
        <v>9165</v>
      </c>
      <c r="N7" s="21" t="s">
        <v>22</v>
      </c>
      <c r="O7" s="260"/>
      <c r="P7" s="260"/>
      <c r="Q7" s="260"/>
      <c r="R7" s="260"/>
      <c r="S7" s="260"/>
      <c r="T7" s="260"/>
      <c r="U7" s="260"/>
      <c r="V7" s="260"/>
      <c r="W7" s="260"/>
      <c r="X7" s="260"/>
      <c r="Y7" s="260"/>
      <c r="Z7" s="260"/>
    </row>
    <row r="8">
      <c r="A8" s="267">
        <v>45906.0</v>
      </c>
      <c r="B8" s="260" t="s">
        <v>2029</v>
      </c>
      <c r="C8" s="260" t="s">
        <v>9166</v>
      </c>
      <c r="D8" s="260" t="s">
        <v>9153</v>
      </c>
      <c r="E8" s="21" t="s">
        <v>9154</v>
      </c>
      <c r="F8" s="268" t="s">
        <v>9155</v>
      </c>
      <c r="G8" s="260" t="s">
        <v>9156</v>
      </c>
      <c r="H8" s="260" t="s">
        <v>5958</v>
      </c>
      <c r="I8" s="21" t="s">
        <v>9164</v>
      </c>
      <c r="J8" s="21" t="s">
        <v>8911</v>
      </c>
      <c r="K8" s="261">
        <v>45948.0</v>
      </c>
      <c r="L8" s="261">
        <v>45962.0</v>
      </c>
      <c r="M8" s="260" t="s">
        <v>9167</v>
      </c>
      <c r="N8" s="21" t="s">
        <v>22</v>
      </c>
      <c r="O8" s="260"/>
      <c r="P8" s="260"/>
      <c r="Q8" s="260"/>
      <c r="R8" s="260"/>
      <c r="S8" s="260"/>
      <c r="T8" s="260"/>
      <c r="U8" s="260"/>
      <c r="V8" s="260"/>
      <c r="W8" s="260"/>
      <c r="X8" s="260"/>
      <c r="Y8" s="260"/>
      <c r="Z8" s="260"/>
    </row>
    <row r="9">
      <c r="A9" s="267">
        <v>45908.0</v>
      </c>
      <c r="B9" s="21" t="s">
        <v>1583</v>
      </c>
      <c r="C9" s="21" t="s">
        <v>9166</v>
      </c>
      <c r="D9" s="21" t="s">
        <v>9153</v>
      </c>
      <c r="E9" s="21" t="s">
        <v>9154</v>
      </c>
      <c r="F9" s="268" t="s">
        <v>9155</v>
      </c>
      <c r="G9" s="21" t="s">
        <v>9163</v>
      </c>
      <c r="H9" s="21" t="s">
        <v>5970</v>
      </c>
      <c r="I9" s="21" t="s">
        <v>9164</v>
      </c>
      <c r="J9" s="21" t="s">
        <v>8911</v>
      </c>
      <c r="K9" s="261">
        <v>45950.0</v>
      </c>
      <c r="L9" s="261">
        <v>45964.0</v>
      </c>
      <c r="M9" s="260" t="s">
        <v>9168</v>
      </c>
      <c r="N9" s="21" t="s">
        <v>22</v>
      </c>
      <c r="O9" s="260"/>
      <c r="P9" s="260"/>
      <c r="Q9" s="260"/>
      <c r="R9" s="260"/>
      <c r="S9" s="260"/>
      <c r="T9" s="260"/>
      <c r="U9" s="260"/>
      <c r="V9" s="260"/>
      <c r="W9" s="260"/>
      <c r="X9" s="260"/>
      <c r="Y9" s="260"/>
      <c r="Z9" s="260"/>
    </row>
    <row r="10">
      <c r="A10" s="267">
        <v>45907.0</v>
      </c>
      <c r="B10" s="21" t="s">
        <v>1697</v>
      </c>
      <c r="C10" s="21" t="s">
        <v>9166</v>
      </c>
      <c r="D10" s="21" t="s">
        <v>9153</v>
      </c>
      <c r="E10" s="21" t="s">
        <v>9154</v>
      </c>
      <c r="F10" s="268" t="s">
        <v>9155</v>
      </c>
      <c r="G10" s="21" t="s">
        <v>9156</v>
      </c>
      <c r="H10" s="21" t="s">
        <v>5958</v>
      </c>
      <c r="I10" s="21" t="s">
        <v>9157</v>
      </c>
      <c r="J10" s="21" t="s">
        <v>8911</v>
      </c>
      <c r="K10" s="261">
        <v>45949.0</v>
      </c>
      <c r="L10" s="261">
        <v>45963.0</v>
      </c>
      <c r="M10" s="21" t="s">
        <v>9169</v>
      </c>
      <c r="N10" s="21" t="s">
        <v>22</v>
      </c>
      <c r="O10" s="260"/>
      <c r="P10" s="260"/>
      <c r="Q10" s="260"/>
      <c r="R10" s="260"/>
      <c r="S10" s="260"/>
      <c r="T10" s="260"/>
      <c r="U10" s="260"/>
      <c r="V10" s="260"/>
      <c r="W10" s="260"/>
      <c r="X10" s="260"/>
      <c r="Y10" s="260"/>
      <c r="Z10" s="260"/>
    </row>
    <row r="11">
      <c r="A11" s="267">
        <v>45907.0</v>
      </c>
      <c r="B11" s="21" t="s">
        <v>1694</v>
      </c>
      <c r="C11" s="21" t="s">
        <v>9166</v>
      </c>
      <c r="D11" s="21" t="s">
        <v>9153</v>
      </c>
      <c r="E11" s="21" t="s">
        <v>9154</v>
      </c>
      <c r="F11" s="268" t="s">
        <v>9155</v>
      </c>
      <c r="G11" s="21" t="s">
        <v>9156</v>
      </c>
      <c r="H11" s="21" t="s">
        <v>5958</v>
      </c>
      <c r="I11" s="21" t="s">
        <v>9157</v>
      </c>
      <c r="J11" s="21" t="s">
        <v>8911</v>
      </c>
      <c r="K11" s="261">
        <v>45949.0</v>
      </c>
      <c r="L11" s="261">
        <v>45963.0</v>
      </c>
      <c r="M11" s="21" t="s">
        <v>9170</v>
      </c>
      <c r="N11" s="21" t="s">
        <v>22</v>
      </c>
      <c r="O11" s="260"/>
      <c r="P11" s="260"/>
      <c r="Q11" s="260"/>
      <c r="R11" s="260"/>
      <c r="S11" s="260"/>
      <c r="T11" s="260"/>
      <c r="U11" s="260"/>
      <c r="V11" s="260"/>
      <c r="W11" s="260"/>
      <c r="X11" s="260"/>
      <c r="Y11" s="260"/>
      <c r="Z11" s="260"/>
    </row>
    <row r="12">
      <c r="A12" s="267">
        <v>45907.0</v>
      </c>
      <c r="B12" s="21" t="s">
        <v>3043</v>
      </c>
      <c r="C12" s="21" t="s">
        <v>9166</v>
      </c>
      <c r="D12" s="21" t="s">
        <v>9153</v>
      </c>
      <c r="E12" s="21" t="s">
        <v>9154</v>
      </c>
      <c r="F12" s="268" t="s">
        <v>9155</v>
      </c>
      <c r="G12" s="21" t="s">
        <v>9163</v>
      </c>
      <c r="H12" s="21" t="s">
        <v>5970</v>
      </c>
      <c r="I12" s="21" t="s">
        <v>9164</v>
      </c>
      <c r="J12" s="21" t="s">
        <v>8911</v>
      </c>
      <c r="K12" s="261">
        <v>45949.0</v>
      </c>
      <c r="L12" s="261">
        <v>45963.0</v>
      </c>
      <c r="M12" s="21" t="s">
        <v>9171</v>
      </c>
      <c r="N12" s="21" t="s">
        <v>22</v>
      </c>
      <c r="O12" s="260"/>
      <c r="P12" s="260"/>
      <c r="Q12" s="260"/>
      <c r="R12" s="260"/>
      <c r="S12" s="260"/>
      <c r="T12" s="260"/>
      <c r="U12" s="260"/>
      <c r="V12" s="260"/>
      <c r="W12" s="260"/>
      <c r="X12" s="260"/>
      <c r="Y12" s="260"/>
      <c r="Z12" s="260"/>
    </row>
    <row r="13">
      <c r="A13" s="267">
        <v>45907.0</v>
      </c>
      <c r="B13" s="21" t="s">
        <v>1918</v>
      </c>
      <c r="C13" s="21" t="s">
        <v>9166</v>
      </c>
      <c r="D13" s="21" t="s">
        <v>9153</v>
      </c>
      <c r="E13" s="21" t="s">
        <v>9154</v>
      </c>
      <c r="F13" s="268" t="s">
        <v>9155</v>
      </c>
      <c r="G13" s="21" t="s">
        <v>9163</v>
      </c>
      <c r="H13" s="21" t="s">
        <v>5970</v>
      </c>
      <c r="I13" s="21" t="s">
        <v>9164</v>
      </c>
      <c r="J13" s="21" t="s">
        <v>8911</v>
      </c>
      <c r="K13" s="261">
        <v>45949.0</v>
      </c>
      <c r="L13" s="261">
        <v>45963.0</v>
      </c>
      <c r="M13" s="21" t="s">
        <v>9172</v>
      </c>
      <c r="N13" s="21" t="s">
        <v>22</v>
      </c>
      <c r="O13" s="260"/>
      <c r="P13" s="260"/>
      <c r="Q13" s="260"/>
      <c r="R13" s="260"/>
      <c r="S13" s="260"/>
      <c r="T13" s="260"/>
      <c r="U13" s="260"/>
      <c r="V13" s="260"/>
      <c r="W13" s="260"/>
      <c r="X13" s="260"/>
      <c r="Y13" s="260"/>
      <c r="Z13" s="260"/>
    </row>
    <row r="14">
      <c r="A14" s="267">
        <v>45907.0</v>
      </c>
      <c r="B14" s="21" t="s">
        <v>1489</v>
      </c>
      <c r="C14" s="21" t="s">
        <v>9166</v>
      </c>
      <c r="D14" s="21" t="s">
        <v>9153</v>
      </c>
      <c r="E14" s="21" t="s">
        <v>9154</v>
      </c>
      <c r="F14" s="268" t="s">
        <v>9155</v>
      </c>
      <c r="G14" s="21" t="s">
        <v>9163</v>
      </c>
      <c r="H14" s="21" t="s">
        <v>5970</v>
      </c>
      <c r="I14" s="21" t="s">
        <v>9164</v>
      </c>
      <c r="J14" s="21" t="s">
        <v>8911</v>
      </c>
      <c r="K14" s="261">
        <v>45949.0</v>
      </c>
      <c r="L14" s="261">
        <v>45963.0</v>
      </c>
      <c r="M14" s="21" t="s">
        <v>9173</v>
      </c>
      <c r="N14" s="21" t="s">
        <v>22</v>
      </c>
      <c r="O14" s="260"/>
      <c r="P14" s="260"/>
      <c r="Q14" s="260"/>
      <c r="R14" s="260"/>
      <c r="S14" s="260"/>
      <c r="T14" s="260"/>
      <c r="U14" s="260"/>
      <c r="V14" s="260"/>
      <c r="W14" s="260"/>
      <c r="X14" s="260"/>
      <c r="Y14" s="260"/>
      <c r="Z14" s="260"/>
    </row>
    <row r="15">
      <c r="A15" s="267">
        <v>45907.0</v>
      </c>
      <c r="B15" s="21" t="s">
        <v>3134</v>
      </c>
      <c r="C15" s="21" t="s">
        <v>9166</v>
      </c>
      <c r="D15" s="21" t="s">
        <v>9153</v>
      </c>
      <c r="E15" s="21" t="s">
        <v>9154</v>
      </c>
      <c r="F15" s="268" t="s">
        <v>9155</v>
      </c>
      <c r="G15" s="21" t="s">
        <v>9163</v>
      </c>
      <c r="H15" s="21" t="s">
        <v>5970</v>
      </c>
      <c r="I15" s="21" t="s">
        <v>9164</v>
      </c>
      <c r="J15" s="21" t="s">
        <v>8911</v>
      </c>
      <c r="K15" s="261">
        <v>45949.0</v>
      </c>
      <c r="L15" s="261">
        <v>45963.0</v>
      </c>
      <c r="M15" s="21" t="s">
        <v>9174</v>
      </c>
      <c r="N15" s="21" t="s">
        <v>22</v>
      </c>
      <c r="O15" s="260"/>
      <c r="P15" s="260"/>
      <c r="Q15" s="260"/>
      <c r="R15" s="260"/>
      <c r="S15" s="260"/>
      <c r="T15" s="260"/>
      <c r="U15" s="260"/>
      <c r="V15" s="260"/>
      <c r="W15" s="260"/>
      <c r="X15" s="260"/>
      <c r="Y15" s="260"/>
      <c r="Z15" s="260"/>
    </row>
    <row r="16">
      <c r="A16" s="267">
        <v>45907.0</v>
      </c>
      <c r="B16" s="21" t="s">
        <v>1541</v>
      </c>
      <c r="C16" s="21" t="s">
        <v>9166</v>
      </c>
      <c r="D16" s="21" t="s">
        <v>9153</v>
      </c>
      <c r="E16" s="21" t="s">
        <v>9154</v>
      </c>
      <c r="F16" s="268" t="s">
        <v>9155</v>
      </c>
      <c r="G16" s="21" t="s">
        <v>9163</v>
      </c>
      <c r="H16" s="21" t="s">
        <v>5970</v>
      </c>
      <c r="I16" s="21" t="s">
        <v>9164</v>
      </c>
      <c r="J16" s="21" t="s">
        <v>8911</v>
      </c>
      <c r="K16" s="261">
        <v>45949.0</v>
      </c>
      <c r="L16" s="261">
        <v>45963.0</v>
      </c>
      <c r="M16" s="21" t="s">
        <v>9175</v>
      </c>
      <c r="N16" s="21" t="s">
        <v>22</v>
      </c>
      <c r="O16" s="260"/>
      <c r="P16" s="260"/>
      <c r="Q16" s="260"/>
      <c r="R16" s="260"/>
      <c r="S16" s="260"/>
      <c r="T16" s="260"/>
      <c r="U16" s="260"/>
      <c r="V16" s="260"/>
      <c r="W16" s="260"/>
      <c r="X16" s="260"/>
      <c r="Y16" s="260"/>
      <c r="Z16" s="260"/>
    </row>
    <row r="17">
      <c r="A17" s="267">
        <v>45907.0</v>
      </c>
      <c r="B17" s="21" t="s">
        <v>1539</v>
      </c>
      <c r="C17" s="21" t="s">
        <v>9166</v>
      </c>
      <c r="D17" s="21" t="s">
        <v>9153</v>
      </c>
      <c r="E17" s="260"/>
      <c r="F17" s="260"/>
      <c r="G17" s="21" t="s">
        <v>9156</v>
      </c>
      <c r="H17" s="21" t="s">
        <v>5958</v>
      </c>
      <c r="I17" s="21" t="s">
        <v>9164</v>
      </c>
      <c r="J17" s="21" t="s">
        <v>8911</v>
      </c>
      <c r="K17" s="261">
        <v>45949.0</v>
      </c>
      <c r="L17" s="261">
        <v>45963.0</v>
      </c>
      <c r="M17" s="260"/>
      <c r="N17" s="21" t="s">
        <v>22</v>
      </c>
      <c r="O17" s="260"/>
      <c r="P17" s="260"/>
      <c r="Q17" s="260"/>
      <c r="R17" s="260"/>
      <c r="S17" s="260"/>
      <c r="T17" s="260"/>
      <c r="U17" s="260"/>
      <c r="V17" s="260"/>
      <c r="W17" s="260"/>
      <c r="X17" s="260"/>
      <c r="Y17" s="260"/>
      <c r="Z17" s="260"/>
    </row>
    <row r="18">
      <c r="A18" s="267">
        <v>45907.0</v>
      </c>
      <c r="B18" s="21" t="s">
        <v>1470</v>
      </c>
      <c r="C18" s="21" t="s">
        <v>9166</v>
      </c>
      <c r="D18" s="21" t="s">
        <v>9153</v>
      </c>
      <c r="E18" s="21" t="s">
        <v>9154</v>
      </c>
      <c r="F18" s="268" t="s">
        <v>9155</v>
      </c>
      <c r="G18" s="21" t="s">
        <v>9156</v>
      </c>
      <c r="H18" s="21" t="s">
        <v>5958</v>
      </c>
      <c r="I18" s="21" t="s">
        <v>9164</v>
      </c>
      <c r="J18" s="21" t="s">
        <v>8911</v>
      </c>
      <c r="K18" s="261">
        <v>45949.0</v>
      </c>
      <c r="L18" s="261">
        <v>45963.0</v>
      </c>
      <c r="M18" s="21" t="s">
        <v>9176</v>
      </c>
      <c r="N18" s="21" t="s">
        <v>22</v>
      </c>
      <c r="O18" s="260"/>
      <c r="P18" s="260"/>
      <c r="Q18" s="260"/>
      <c r="R18" s="260"/>
      <c r="S18" s="260"/>
      <c r="T18" s="260"/>
      <c r="U18" s="260"/>
      <c r="V18" s="260"/>
      <c r="W18" s="260"/>
      <c r="X18" s="260"/>
      <c r="Y18" s="260"/>
      <c r="Z18" s="260"/>
    </row>
    <row r="19">
      <c r="A19" s="267">
        <v>45908.0</v>
      </c>
      <c r="B19" s="21" t="s">
        <v>1486</v>
      </c>
      <c r="C19" s="21" t="s">
        <v>9166</v>
      </c>
      <c r="D19" s="21" t="s">
        <v>9153</v>
      </c>
      <c r="E19" s="21" t="s">
        <v>9154</v>
      </c>
      <c r="F19" s="268" t="s">
        <v>9155</v>
      </c>
      <c r="G19" s="21" t="s">
        <v>9177</v>
      </c>
      <c r="H19" s="21" t="s">
        <v>5956</v>
      </c>
      <c r="I19" s="21" t="s">
        <v>9164</v>
      </c>
      <c r="J19" s="21" t="s">
        <v>8911</v>
      </c>
      <c r="K19" s="261">
        <v>45950.0</v>
      </c>
      <c r="L19" s="261">
        <v>45964.0</v>
      </c>
      <c r="M19" s="21" t="s">
        <v>9178</v>
      </c>
      <c r="N19" s="21" t="s">
        <v>22</v>
      </c>
      <c r="O19" s="260"/>
      <c r="P19" s="260"/>
      <c r="Q19" s="260"/>
      <c r="R19" s="260"/>
      <c r="S19" s="260"/>
      <c r="T19" s="260"/>
      <c r="U19" s="260"/>
      <c r="V19" s="260"/>
      <c r="W19" s="260"/>
      <c r="X19" s="260"/>
      <c r="Y19" s="260"/>
      <c r="Z19" s="260"/>
    </row>
    <row r="20">
      <c r="A20" s="267">
        <v>45908.0</v>
      </c>
      <c r="B20" s="21" t="s">
        <v>1496</v>
      </c>
      <c r="C20" s="21" t="s">
        <v>9166</v>
      </c>
      <c r="D20" s="21" t="s">
        <v>9153</v>
      </c>
      <c r="E20" s="21" t="s">
        <v>9154</v>
      </c>
      <c r="F20" s="268" t="s">
        <v>9155</v>
      </c>
      <c r="G20" s="21" t="s">
        <v>8598</v>
      </c>
      <c r="H20" s="21" t="s">
        <v>5967</v>
      </c>
      <c r="I20" s="21" t="s">
        <v>9164</v>
      </c>
      <c r="J20" s="21" t="s">
        <v>8911</v>
      </c>
      <c r="K20" s="261">
        <v>45950.0</v>
      </c>
      <c r="L20" s="261">
        <v>45964.0</v>
      </c>
      <c r="M20" s="21" t="s">
        <v>9179</v>
      </c>
      <c r="N20" s="21" t="s">
        <v>22</v>
      </c>
      <c r="O20" s="260"/>
      <c r="P20" s="260"/>
      <c r="Q20" s="260"/>
      <c r="R20" s="260"/>
      <c r="S20" s="260"/>
      <c r="T20" s="260"/>
      <c r="U20" s="260"/>
      <c r="V20" s="260"/>
      <c r="W20" s="260"/>
      <c r="X20" s="260"/>
      <c r="Y20" s="260"/>
      <c r="Z20" s="260"/>
    </row>
    <row r="21">
      <c r="A21" s="267">
        <v>45908.0</v>
      </c>
      <c r="B21" s="21" t="s">
        <v>3085</v>
      </c>
      <c r="C21" s="21" t="s">
        <v>9166</v>
      </c>
      <c r="D21" s="21" t="s">
        <v>9153</v>
      </c>
      <c r="E21" s="21" t="s">
        <v>9154</v>
      </c>
      <c r="F21" s="268" t="s">
        <v>9155</v>
      </c>
      <c r="G21" s="21" t="s">
        <v>9177</v>
      </c>
      <c r="H21" s="21" t="s">
        <v>5956</v>
      </c>
      <c r="I21" s="21" t="s">
        <v>9164</v>
      </c>
      <c r="J21" s="21" t="s">
        <v>8911</v>
      </c>
      <c r="K21" s="261">
        <v>45950.0</v>
      </c>
      <c r="L21" s="261">
        <v>45964.0</v>
      </c>
      <c r="M21" s="21" t="s">
        <v>9180</v>
      </c>
      <c r="N21" s="21" t="s">
        <v>22</v>
      </c>
      <c r="O21" s="260"/>
      <c r="P21" s="260"/>
      <c r="Q21" s="260"/>
      <c r="R21" s="260"/>
      <c r="S21" s="260"/>
      <c r="T21" s="260"/>
      <c r="U21" s="260"/>
      <c r="V21" s="260"/>
      <c r="W21" s="260"/>
      <c r="X21" s="260"/>
      <c r="Y21" s="260"/>
      <c r="Z21" s="260"/>
    </row>
    <row r="22">
      <c r="A22" s="267">
        <v>45908.0</v>
      </c>
      <c r="B22" s="21" t="s">
        <v>1494</v>
      </c>
      <c r="C22" s="21" t="s">
        <v>9166</v>
      </c>
      <c r="D22" s="21" t="s">
        <v>9153</v>
      </c>
      <c r="E22" s="21" t="s">
        <v>9154</v>
      </c>
      <c r="F22" s="268" t="s">
        <v>9155</v>
      </c>
      <c r="G22" s="21" t="s">
        <v>9177</v>
      </c>
      <c r="H22" s="21" t="s">
        <v>5956</v>
      </c>
      <c r="I22" s="21" t="s">
        <v>9164</v>
      </c>
      <c r="J22" s="21" t="s">
        <v>8911</v>
      </c>
      <c r="K22" s="261">
        <v>45950.0</v>
      </c>
      <c r="L22" s="261">
        <v>45964.0</v>
      </c>
      <c r="M22" s="21" t="s">
        <v>9181</v>
      </c>
      <c r="N22" s="21" t="s">
        <v>22</v>
      </c>
      <c r="O22" s="260"/>
      <c r="P22" s="260"/>
      <c r="Q22" s="260"/>
      <c r="R22" s="260"/>
      <c r="S22" s="260"/>
      <c r="T22" s="260"/>
      <c r="U22" s="260"/>
      <c r="V22" s="260"/>
      <c r="W22" s="260"/>
      <c r="X22" s="260"/>
      <c r="Y22" s="260"/>
      <c r="Z22" s="260"/>
    </row>
    <row r="23">
      <c r="A23" s="267">
        <v>45908.0</v>
      </c>
      <c r="B23" s="21" t="s">
        <v>1555</v>
      </c>
      <c r="C23" s="21" t="s">
        <v>9166</v>
      </c>
      <c r="D23" s="21" t="s">
        <v>9153</v>
      </c>
      <c r="E23" s="21" t="s">
        <v>9154</v>
      </c>
      <c r="F23" s="268" t="s">
        <v>9155</v>
      </c>
      <c r="G23" s="21" t="s">
        <v>9156</v>
      </c>
      <c r="H23" s="21" t="s">
        <v>5958</v>
      </c>
      <c r="I23" s="21" t="s">
        <v>9164</v>
      </c>
      <c r="J23" s="21" t="s">
        <v>8911</v>
      </c>
      <c r="K23" s="261">
        <v>45950.0</v>
      </c>
      <c r="L23" s="261">
        <v>45964.0</v>
      </c>
      <c r="M23" s="21" t="s">
        <v>9182</v>
      </c>
      <c r="N23" s="21" t="s">
        <v>22</v>
      </c>
      <c r="O23" s="260"/>
      <c r="P23" s="260"/>
      <c r="Q23" s="260"/>
      <c r="R23" s="260"/>
      <c r="S23" s="260"/>
      <c r="T23" s="260"/>
      <c r="U23" s="260"/>
      <c r="V23" s="260"/>
      <c r="W23" s="260"/>
      <c r="X23" s="260"/>
      <c r="Y23" s="260"/>
      <c r="Z23" s="260"/>
    </row>
    <row r="24">
      <c r="A24" s="267">
        <v>45908.0</v>
      </c>
      <c r="B24" s="21" t="s">
        <v>1749</v>
      </c>
      <c r="C24" s="21" t="s">
        <v>9166</v>
      </c>
      <c r="D24" s="21" t="s">
        <v>9153</v>
      </c>
      <c r="E24" s="21" t="s">
        <v>9154</v>
      </c>
      <c r="F24" s="268" t="s">
        <v>9155</v>
      </c>
      <c r="G24" s="21" t="s">
        <v>9156</v>
      </c>
      <c r="H24" s="21" t="s">
        <v>5958</v>
      </c>
      <c r="I24" s="21" t="s">
        <v>9164</v>
      </c>
      <c r="J24" s="21" t="s">
        <v>8911</v>
      </c>
      <c r="K24" s="261">
        <v>45950.0</v>
      </c>
      <c r="L24" s="261">
        <v>45964.0</v>
      </c>
      <c r="M24" s="21" t="s">
        <v>9183</v>
      </c>
      <c r="N24" s="21" t="s">
        <v>22</v>
      </c>
      <c r="O24" s="260"/>
      <c r="P24" s="260"/>
      <c r="Q24" s="260"/>
      <c r="R24" s="260"/>
      <c r="S24" s="260"/>
      <c r="T24" s="260"/>
      <c r="U24" s="260"/>
      <c r="V24" s="260"/>
      <c r="W24" s="260"/>
      <c r="X24" s="260"/>
      <c r="Y24" s="260"/>
      <c r="Z24" s="260"/>
    </row>
    <row r="25">
      <c r="A25" s="267">
        <v>45908.0</v>
      </c>
      <c r="B25" s="21" t="s">
        <v>1795</v>
      </c>
      <c r="C25" s="21" t="s">
        <v>9166</v>
      </c>
      <c r="D25" s="21" t="s">
        <v>9153</v>
      </c>
      <c r="E25" s="21" t="s">
        <v>9154</v>
      </c>
      <c r="F25" s="268" t="s">
        <v>9155</v>
      </c>
      <c r="G25" s="21" t="s">
        <v>9156</v>
      </c>
      <c r="H25" s="21" t="s">
        <v>5958</v>
      </c>
      <c r="I25" s="21" t="s">
        <v>9164</v>
      </c>
      <c r="J25" s="21" t="s">
        <v>8911</v>
      </c>
      <c r="K25" s="261">
        <v>45950.0</v>
      </c>
      <c r="L25" s="261">
        <v>45964.0</v>
      </c>
      <c r="M25" s="21" t="s">
        <v>9184</v>
      </c>
      <c r="N25" s="21" t="s">
        <v>22</v>
      </c>
      <c r="O25" s="260"/>
      <c r="P25" s="260"/>
      <c r="Q25" s="260"/>
      <c r="R25" s="260"/>
      <c r="S25" s="260"/>
      <c r="T25" s="260"/>
      <c r="U25" s="260"/>
      <c r="V25" s="260"/>
      <c r="W25" s="260"/>
      <c r="X25" s="260"/>
      <c r="Y25" s="260"/>
      <c r="Z25" s="260"/>
    </row>
    <row r="26">
      <c r="A26" s="267">
        <v>45908.0</v>
      </c>
      <c r="B26" s="21" t="s">
        <v>1615</v>
      </c>
      <c r="C26" s="21" t="s">
        <v>9166</v>
      </c>
      <c r="D26" s="21" t="s">
        <v>9153</v>
      </c>
      <c r="E26" s="21" t="s">
        <v>9154</v>
      </c>
      <c r="F26" s="268" t="s">
        <v>9155</v>
      </c>
      <c r="G26" s="21" t="s">
        <v>9177</v>
      </c>
      <c r="H26" s="21" t="s">
        <v>5978</v>
      </c>
      <c r="I26" s="21" t="s">
        <v>9164</v>
      </c>
      <c r="J26" s="21" t="s">
        <v>8911</v>
      </c>
      <c r="K26" s="261">
        <v>45950.0</v>
      </c>
      <c r="L26" s="261">
        <v>45964.0</v>
      </c>
      <c r="M26" s="21" t="s">
        <v>9185</v>
      </c>
      <c r="N26" s="21" t="s">
        <v>22</v>
      </c>
      <c r="O26" s="260"/>
      <c r="P26" s="260"/>
      <c r="Q26" s="260"/>
      <c r="R26" s="260"/>
      <c r="S26" s="260"/>
      <c r="T26" s="260"/>
      <c r="U26" s="260"/>
      <c r="V26" s="260"/>
      <c r="W26" s="260"/>
      <c r="X26" s="260"/>
      <c r="Y26" s="260"/>
      <c r="Z26" s="260"/>
    </row>
    <row r="27">
      <c r="A27" s="267">
        <v>45908.0</v>
      </c>
      <c r="B27" s="21" t="s">
        <v>2853</v>
      </c>
      <c r="C27" s="21" t="s">
        <v>9166</v>
      </c>
      <c r="D27" s="21" t="s">
        <v>9153</v>
      </c>
      <c r="E27" s="21" t="s">
        <v>9154</v>
      </c>
      <c r="F27" s="268" t="s">
        <v>9155</v>
      </c>
      <c r="G27" s="21" t="s">
        <v>9156</v>
      </c>
      <c r="H27" s="21" t="s">
        <v>5958</v>
      </c>
      <c r="I27" s="21" t="s">
        <v>9164</v>
      </c>
      <c r="J27" s="21" t="s">
        <v>9186</v>
      </c>
      <c r="K27" s="261">
        <v>45950.0</v>
      </c>
      <c r="L27" s="261">
        <v>45964.0</v>
      </c>
      <c r="M27" s="21" t="s">
        <v>9187</v>
      </c>
      <c r="N27" s="21" t="s">
        <v>22</v>
      </c>
      <c r="O27" s="260"/>
      <c r="P27" s="260"/>
      <c r="Q27" s="260"/>
      <c r="R27" s="260"/>
      <c r="S27" s="260"/>
      <c r="T27" s="260"/>
      <c r="U27" s="260"/>
      <c r="V27" s="260"/>
      <c r="W27" s="260"/>
      <c r="X27" s="260"/>
      <c r="Y27" s="260"/>
      <c r="Z27" s="260"/>
    </row>
    <row r="28">
      <c r="A28" s="267">
        <v>45909.0</v>
      </c>
      <c r="B28" s="21" t="s">
        <v>1723</v>
      </c>
      <c r="C28" s="21" t="s">
        <v>9166</v>
      </c>
      <c r="D28" s="21" t="s">
        <v>9153</v>
      </c>
      <c r="E28" s="21" t="s">
        <v>9154</v>
      </c>
      <c r="F28" s="268" t="s">
        <v>9155</v>
      </c>
      <c r="G28" s="21" t="s">
        <v>9156</v>
      </c>
      <c r="H28" s="21" t="s">
        <v>5958</v>
      </c>
      <c r="I28" s="21" t="s">
        <v>9164</v>
      </c>
      <c r="J28" s="21" t="s">
        <v>8911</v>
      </c>
      <c r="K28" s="261">
        <v>45951.0</v>
      </c>
      <c r="L28" s="261">
        <v>45965.0</v>
      </c>
      <c r="M28" s="21" t="s">
        <v>9188</v>
      </c>
      <c r="N28" s="21" t="s">
        <v>22</v>
      </c>
      <c r="O28" s="260"/>
      <c r="P28" s="260"/>
      <c r="Q28" s="260"/>
      <c r="R28" s="260"/>
      <c r="S28" s="260"/>
      <c r="T28" s="260"/>
      <c r="U28" s="260"/>
      <c r="V28" s="260"/>
      <c r="W28" s="260"/>
      <c r="X28" s="260"/>
      <c r="Y28" s="260"/>
      <c r="Z28" s="260"/>
    </row>
    <row r="29">
      <c r="A29" s="267">
        <v>45909.0</v>
      </c>
      <c r="B29" s="21" t="s">
        <v>1726</v>
      </c>
      <c r="C29" s="21" t="s">
        <v>9166</v>
      </c>
      <c r="D29" s="21" t="s">
        <v>9153</v>
      </c>
      <c r="E29" s="21" t="s">
        <v>9154</v>
      </c>
      <c r="F29" s="268" t="s">
        <v>9155</v>
      </c>
      <c r="G29" s="21" t="s">
        <v>9156</v>
      </c>
      <c r="H29" s="21" t="s">
        <v>5958</v>
      </c>
      <c r="I29" s="21" t="s">
        <v>9164</v>
      </c>
      <c r="J29" s="21" t="s">
        <v>8911</v>
      </c>
      <c r="K29" s="261">
        <v>45951.0</v>
      </c>
      <c r="L29" s="261">
        <v>45965.0</v>
      </c>
      <c r="M29" s="21" t="s">
        <v>9189</v>
      </c>
      <c r="N29" s="21" t="s">
        <v>22</v>
      </c>
      <c r="O29" s="260"/>
      <c r="P29" s="260"/>
      <c r="Q29" s="260"/>
      <c r="R29" s="260"/>
      <c r="S29" s="260"/>
      <c r="T29" s="260"/>
      <c r="U29" s="260"/>
      <c r="V29" s="260"/>
      <c r="W29" s="260"/>
      <c r="X29" s="260"/>
      <c r="Y29" s="260"/>
      <c r="Z29" s="260"/>
    </row>
    <row r="30">
      <c r="A30" s="267">
        <v>45909.0</v>
      </c>
      <c r="B30" s="21" t="s">
        <v>1728</v>
      </c>
      <c r="C30" s="21" t="s">
        <v>9166</v>
      </c>
      <c r="D30" s="21" t="s">
        <v>9153</v>
      </c>
      <c r="E30" s="21" t="s">
        <v>9154</v>
      </c>
      <c r="F30" s="268" t="s">
        <v>9155</v>
      </c>
      <c r="G30" s="21" t="s">
        <v>9156</v>
      </c>
      <c r="H30" s="21" t="s">
        <v>5958</v>
      </c>
      <c r="I30" s="21" t="s">
        <v>9164</v>
      </c>
      <c r="J30" s="21" t="s">
        <v>8911</v>
      </c>
      <c r="K30" s="261">
        <v>45951.0</v>
      </c>
      <c r="L30" s="261">
        <v>45965.0</v>
      </c>
      <c r="M30" s="21" t="s">
        <v>9190</v>
      </c>
      <c r="N30" s="21" t="s">
        <v>22</v>
      </c>
      <c r="O30" s="260"/>
      <c r="P30" s="260"/>
      <c r="Q30" s="260"/>
      <c r="R30" s="260"/>
      <c r="S30" s="260"/>
      <c r="T30" s="260"/>
      <c r="U30" s="260"/>
      <c r="V30" s="260"/>
      <c r="W30" s="260"/>
      <c r="X30" s="260"/>
      <c r="Y30" s="260"/>
      <c r="Z30" s="260"/>
    </row>
    <row r="31">
      <c r="A31" s="267">
        <v>45909.0</v>
      </c>
      <c r="B31" s="21" t="s">
        <v>9191</v>
      </c>
      <c r="C31" s="21" t="s">
        <v>9166</v>
      </c>
      <c r="D31" s="21" t="s">
        <v>9153</v>
      </c>
      <c r="E31" s="21" t="s">
        <v>9154</v>
      </c>
      <c r="F31" s="268" t="s">
        <v>9155</v>
      </c>
      <c r="G31" s="21" t="s">
        <v>9156</v>
      </c>
      <c r="H31" s="21" t="s">
        <v>5958</v>
      </c>
      <c r="I31" s="21" t="s">
        <v>9164</v>
      </c>
      <c r="J31" s="21" t="s">
        <v>8911</v>
      </c>
      <c r="K31" s="261">
        <v>45951.0</v>
      </c>
      <c r="L31" s="261">
        <v>45965.0</v>
      </c>
      <c r="M31" s="21" t="s">
        <v>9192</v>
      </c>
      <c r="N31" s="21" t="s">
        <v>22</v>
      </c>
      <c r="O31" s="260"/>
      <c r="P31" s="260"/>
      <c r="Q31" s="260"/>
      <c r="R31" s="260"/>
      <c r="S31" s="260"/>
      <c r="T31" s="260"/>
      <c r="U31" s="260"/>
      <c r="V31" s="260"/>
      <c r="W31" s="260"/>
      <c r="X31" s="260"/>
      <c r="Y31" s="260"/>
      <c r="Z31" s="260"/>
    </row>
    <row r="32">
      <c r="A32" s="267">
        <v>45910.0</v>
      </c>
      <c r="B32" s="21" t="s">
        <v>1621</v>
      </c>
      <c r="C32" s="21" t="s">
        <v>9166</v>
      </c>
      <c r="D32" s="21" t="s">
        <v>9153</v>
      </c>
      <c r="E32" s="21" t="s">
        <v>9154</v>
      </c>
      <c r="F32" s="268" t="s">
        <v>9155</v>
      </c>
      <c r="G32" s="21" t="s">
        <v>9177</v>
      </c>
      <c r="H32" s="21" t="s">
        <v>5978</v>
      </c>
      <c r="I32" s="21" t="s">
        <v>9164</v>
      </c>
      <c r="J32" s="21" t="s">
        <v>8911</v>
      </c>
      <c r="K32" s="261">
        <v>45952.0</v>
      </c>
      <c r="L32" s="261">
        <v>45966.0</v>
      </c>
      <c r="M32" s="21" t="s">
        <v>9193</v>
      </c>
      <c r="N32" s="21" t="s">
        <v>22</v>
      </c>
      <c r="O32" s="260"/>
      <c r="P32" s="260"/>
      <c r="Q32" s="260"/>
      <c r="R32" s="260"/>
      <c r="S32" s="260"/>
      <c r="T32" s="260"/>
      <c r="U32" s="260"/>
      <c r="V32" s="260"/>
      <c r="W32" s="260"/>
      <c r="X32" s="260"/>
      <c r="Y32" s="260"/>
      <c r="Z32" s="260"/>
    </row>
    <row r="33">
      <c r="A33" s="267">
        <v>45911.0</v>
      </c>
      <c r="B33" s="21" t="s">
        <v>1617</v>
      </c>
      <c r="C33" s="21" t="s">
        <v>9166</v>
      </c>
      <c r="D33" s="21" t="s">
        <v>9153</v>
      </c>
      <c r="E33" s="21" t="s">
        <v>9154</v>
      </c>
      <c r="F33" s="268" t="s">
        <v>9155</v>
      </c>
      <c r="G33" s="21" t="s">
        <v>9177</v>
      </c>
      <c r="H33" s="21" t="s">
        <v>5978</v>
      </c>
      <c r="I33" s="21" t="s">
        <v>9164</v>
      </c>
      <c r="J33" s="21" t="s">
        <v>8911</v>
      </c>
      <c r="K33" s="261">
        <v>45953.0</v>
      </c>
      <c r="L33" s="261">
        <v>45967.0</v>
      </c>
      <c r="M33" s="21" t="s">
        <v>9194</v>
      </c>
      <c r="N33" s="21" t="s">
        <v>22</v>
      </c>
      <c r="O33" s="260"/>
      <c r="P33" s="260"/>
      <c r="Q33" s="260"/>
      <c r="R33" s="260"/>
      <c r="S33" s="260"/>
      <c r="T33" s="260"/>
      <c r="U33" s="260"/>
      <c r="V33" s="260"/>
      <c r="W33" s="260"/>
      <c r="X33" s="260"/>
      <c r="Y33" s="260"/>
      <c r="Z33" s="260"/>
    </row>
    <row r="34">
      <c r="A34" s="267">
        <v>45911.0</v>
      </c>
      <c r="B34" s="21" t="s">
        <v>1499</v>
      </c>
      <c r="C34" s="21" t="s">
        <v>9166</v>
      </c>
      <c r="D34" s="21" t="s">
        <v>9153</v>
      </c>
      <c r="E34" s="21" t="s">
        <v>9154</v>
      </c>
      <c r="F34" s="268" t="s">
        <v>9155</v>
      </c>
      <c r="G34" s="21" t="s">
        <v>9156</v>
      </c>
      <c r="H34" s="21" t="s">
        <v>5958</v>
      </c>
      <c r="I34" s="21" t="s">
        <v>9164</v>
      </c>
      <c r="J34" s="21" t="s">
        <v>8911</v>
      </c>
      <c r="K34" s="261">
        <v>45953.0</v>
      </c>
      <c r="L34" s="261">
        <v>45967.0</v>
      </c>
      <c r="M34" s="21" t="s">
        <v>9195</v>
      </c>
      <c r="N34" s="21" t="s">
        <v>22</v>
      </c>
      <c r="O34" s="260"/>
      <c r="P34" s="260"/>
      <c r="Q34" s="260"/>
      <c r="R34" s="260"/>
      <c r="S34" s="260"/>
      <c r="T34" s="260"/>
      <c r="U34" s="260"/>
      <c r="V34" s="260"/>
      <c r="W34" s="260"/>
      <c r="X34" s="260"/>
      <c r="Y34" s="260"/>
      <c r="Z34" s="260"/>
    </row>
    <row r="35">
      <c r="A35" s="267">
        <v>45911.0</v>
      </c>
      <c r="B35" s="21" t="s">
        <v>1625</v>
      </c>
      <c r="C35" s="21" t="s">
        <v>9166</v>
      </c>
      <c r="D35" s="21" t="s">
        <v>9153</v>
      </c>
      <c r="E35" s="21" t="s">
        <v>9154</v>
      </c>
      <c r="F35" s="268" t="s">
        <v>9155</v>
      </c>
      <c r="G35" s="21" t="s">
        <v>9163</v>
      </c>
      <c r="H35" s="21" t="s">
        <v>5970</v>
      </c>
      <c r="I35" s="21" t="s">
        <v>9164</v>
      </c>
      <c r="J35" s="21" t="s">
        <v>8911</v>
      </c>
      <c r="K35" s="261">
        <v>45953.0</v>
      </c>
      <c r="L35" s="261">
        <v>45967.0</v>
      </c>
      <c r="M35" s="21" t="s">
        <v>9196</v>
      </c>
      <c r="N35" s="21" t="s">
        <v>22</v>
      </c>
      <c r="O35" s="260"/>
      <c r="P35" s="260"/>
      <c r="Q35" s="260"/>
      <c r="R35" s="260"/>
      <c r="S35" s="260"/>
      <c r="T35" s="260"/>
      <c r="U35" s="260"/>
      <c r="V35" s="260"/>
      <c r="W35" s="260"/>
      <c r="X35" s="260"/>
      <c r="Y35" s="260"/>
      <c r="Z35" s="260"/>
    </row>
    <row r="36">
      <c r="A36" s="267">
        <v>45911.0</v>
      </c>
      <c r="B36" s="21" t="s">
        <v>2795</v>
      </c>
      <c r="C36" s="21" t="s">
        <v>9166</v>
      </c>
      <c r="D36" s="21" t="s">
        <v>9153</v>
      </c>
      <c r="E36" s="21" t="s">
        <v>9154</v>
      </c>
      <c r="F36" s="268" t="s">
        <v>9155</v>
      </c>
      <c r="G36" s="21" t="s">
        <v>9156</v>
      </c>
      <c r="H36" s="21" t="s">
        <v>5958</v>
      </c>
      <c r="I36" s="21" t="s">
        <v>9164</v>
      </c>
      <c r="J36" s="21" t="s">
        <v>8911</v>
      </c>
      <c r="K36" s="261">
        <v>45953.0</v>
      </c>
      <c r="L36" s="261">
        <v>45967.0</v>
      </c>
      <c r="M36" s="21" t="s">
        <v>9197</v>
      </c>
      <c r="N36" s="21" t="s">
        <v>22</v>
      </c>
      <c r="O36" s="260"/>
      <c r="P36" s="260"/>
      <c r="Q36" s="260"/>
      <c r="R36" s="260"/>
      <c r="S36" s="260"/>
      <c r="T36" s="260"/>
      <c r="U36" s="260"/>
      <c r="V36" s="260"/>
      <c r="W36" s="260"/>
      <c r="X36" s="260"/>
      <c r="Y36" s="260"/>
      <c r="Z36" s="260"/>
    </row>
    <row r="37">
      <c r="A37" s="267">
        <v>45911.0</v>
      </c>
      <c r="B37" s="21" t="s">
        <v>2724</v>
      </c>
      <c r="C37" s="21" t="s">
        <v>9166</v>
      </c>
      <c r="D37" s="21" t="s">
        <v>9153</v>
      </c>
      <c r="E37" s="21" t="s">
        <v>9154</v>
      </c>
      <c r="F37" s="268" t="s">
        <v>9155</v>
      </c>
      <c r="G37" s="21" t="s">
        <v>9163</v>
      </c>
      <c r="H37" s="21" t="s">
        <v>5970</v>
      </c>
      <c r="I37" s="21" t="s">
        <v>9164</v>
      </c>
      <c r="J37" s="21" t="s">
        <v>8911</v>
      </c>
      <c r="K37" s="261">
        <v>45953.0</v>
      </c>
      <c r="L37" s="261">
        <v>45967.0</v>
      </c>
      <c r="M37" s="21" t="s">
        <v>9198</v>
      </c>
      <c r="N37" s="21" t="s">
        <v>22</v>
      </c>
      <c r="O37" s="260"/>
      <c r="P37" s="260"/>
      <c r="Q37" s="260"/>
      <c r="R37" s="260"/>
      <c r="S37" s="260"/>
      <c r="T37" s="260"/>
      <c r="U37" s="260"/>
      <c r="V37" s="260"/>
      <c r="W37" s="260"/>
      <c r="X37" s="260"/>
      <c r="Y37" s="260"/>
      <c r="Z37" s="260"/>
    </row>
    <row r="38">
      <c r="A38" s="267">
        <v>45911.0</v>
      </c>
      <c r="B38" s="21" t="s">
        <v>1799</v>
      </c>
      <c r="C38" s="21" t="s">
        <v>9166</v>
      </c>
      <c r="D38" s="21" t="s">
        <v>9153</v>
      </c>
      <c r="E38" s="21" t="s">
        <v>9154</v>
      </c>
      <c r="F38" s="268" t="s">
        <v>9155</v>
      </c>
      <c r="G38" s="21" t="s">
        <v>9156</v>
      </c>
      <c r="H38" s="21" t="s">
        <v>5958</v>
      </c>
      <c r="I38" s="21" t="s">
        <v>9164</v>
      </c>
      <c r="J38" s="21" t="s">
        <v>8911</v>
      </c>
      <c r="K38" s="261">
        <v>45953.0</v>
      </c>
      <c r="L38" s="261">
        <v>45967.0</v>
      </c>
      <c r="M38" s="21" t="s">
        <v>9199</v>
      </c>
      <c r="N38" s="21" t="s">
        <v>22</v>
      </c>
      <c r="O38" s="260"/>
      <c r="P38" s="260"/>
      <c r="Q38" s="260"/>
      <c r="R38" s="260"/>
      <c r="S38" s="260"/>
      <c r="T38" s="260"/>
      <c r="U38" s="260"/>
      <c r="V38" s="260"/>
      <c r="W38" s="260"/>
      <c r="X38" s="260"/>
      <c r="Y38" s="260"/>
      <c r="Z38" s="260"/>
    </row>
    <row r="39">
      <c r="A39" s="267">
        <v>45911.0</v>
      </c>
      <c r="B39" s="21" t="s">
        <v>1492</v>
      </c>
      <c r="C39" s="21" t="s">
        <v>9166</v>
      </c>
      <c r="D39" s="21" t="s">
        <v>9153</v>
      </c>
      <c r="E39" s="21" t="s">
        <v>9154</v>
      </c>
      <c r="F39" s="268" t="s">
        <v>9155</v>
      </c>
      <c r="G39" s="21" t="s">
        <v>9163</v>
      </c>
      <c r="H39" s="21" t="s">
        <v>5970</v>
      </c>
      <c r="I39" s="21" t="s">
        <v>9164</v>
      </c>
      <c r="J39" s="21" t="s">
        <v>8911</v>
      </c>
      <c r="K39" s="261">
        <v>45953.0</v>
      </c>
      <c r="L39" s="261">
        <v>45967.0</v>
      </c>
      <c r="M39" s="21" t="s">
        <v>9200</v>
      </c>
      <c r="N39" s="21" t="s">
        <v>22</v>
      </c>
      <c r="O39" s="260"/>
      <c r="P39" s="260"/>
      <c r="Q39" s="260"/>
      <c r="R39" s="260"/>
      <c r="S39" s="260"/>
      <c r="T39" s="260"/>
      <c r="U39" s="260"/>
      <c r="V39" s="260"/>
      <c r="W39" s="260"/>
      <c r="X39" s="260"/>
      <c r="Y39" s="260"/>
      <c r="Z39" s="260"/>
    </row>
    <row r="40">
      <c r="A40" s="267">
        <v>45911.0</v>
      </c>
      <c r="B40" s="21" t="s">
        <v>1517</v>
      </c>
      <c r="C40" s="21" t="s">
        <v>9166</v>
      </c>
      <c r="D40" s="21" t="s">
        <v>9153</v>
      </c>
      <c r="E40" s="21" t="s">
        <v>9154</v>
      </c>
      <c r="F40" s="268" t="s">
        <v>9155</v>
      </c>
      <c r="G40" s="21" t="s">
        <v>9156</v>
      </c>
      <c r="H40" s="21" t="s">
        <v>5958</v>
      </c>
      <c r="I40" s="21" t="s">
        <v>9164</v>
      </c>
      <c r="J40" s="21" t="s">
        <v>8911</v>
      </c>
      <c r="K40" s="261">
        <v>45953.0</v>
      </c>
      <c r="L40" s="261">
        <v>45967.0</v>
      </c>
      <c r="M40" s="21" t="s">
        <v>9201</v>
      </c>
      <c r="N40" s="21" t="s">
        <v>22</v>
      </c>
      <c r="O40" s="260"/>
      <c r="P40" s="260"/>
      <c r="Q40" s="260"/>
      <c r="R40" s="260"/>
      <c r="S40" s="260"/>
      <c r="T40" s="260"/>
      <c r="U40" s="260"/>
      <c r="V40" s="260"/>
      <c r="W40" s="260"/>
      <c r="X40" s="260"/>
      <c r="Y40" s="260"/>
      <c r="Z40" s="260"/>
    </row>
    <row r="41">
      <c r="A41" s="267">
        <v>45911.0</v>
      </c>
      <c r="B41" s="21" t="s">
        <v>1655</v>
      </c>
      <c r="C41" s="21" t="s">
        <v>9166</v>
      </c>
      <c r="D41" s="21" t="s">
        <v>9153</v>
      </c>
      <c r="E41" s="21" t="s">
        <v>9154</v>
      </c>
      <c r="F41" s="268" t="s">
        <v>9155</v>
      </c>
      <c r="G41" s="21" t="s">
        <v>9156</v>
      </c>
      <c r="H41" s="21" t="s">
        <v>5958</v>
      </c>
      <c r="I41" s="21" t="s">
        <v>9164</v>
      </c>
      <c r="J41" s="21" t="s">
        <v>8911</v>
      </c>
      <c r="K41" s="261">
        <v>45953.0</v>
      </c>
      <c r="L41" s="261">
        <v>45967.0</v>
      </c>
      <c r="M41" s="21" t="s">
        <v>9202</v>
      </c>
      <c r="N41" s="21" t="s">
        <v>22</v>
      </c>
      <c r="O41" s="260"/>
      <c r="P41" s="260"/>
      <c r="Q41" s="260"/>
      <c r="R41" s="260"/>
      <c r="S41" s="260"/>
      <c r="T41" s="260"/>
      <c r="U41" s="260"/>
      <c r="V41" s="260"/>
      <c r="W41" s="260"/>
      <c r="X41" s="260"/>
      <c r="Y41" s="260"/>
      <c r="Z41" s="260"/>
    </row>
    <row r="42">
      <c r="A42" s="267">
        <v>45911.0</v>
      </c>
      <c r="B42" s="21" t="s">
        <v>1517</v>
      </c>
      <c r="C42" s="21" t="s">
        <v>9166</v>
      </c>
      <c r="D42" s="21" t="s">
        <v>9153</v>
      </c>
      <c r="E42" s="21" t="s">
        <v>9154</v>
      </c>
      <c r="F42" s="268" t="s">
        <v>9155</v>
      </c>
      <c r="G42" s="21" t="s">
        <v>9156</v>
      </c>
      <c r="H42" s="21" t="s">
        <v>5958</v>
      </c>
      <c r="I42" s="21" t="s">
        <v>9164</v>
      </c>
      <c r="J42" s="21" t="s">
        <v>8911</v>
      </c>
      <c r="K42" s="261">
        <v>45953.0</v>
      </c>
      <c r="L42" s="261">
        <v>45967.0</v>
      </c>
      <c r="M42" s="21" t="s">
        <v>9203</v>
      </c>
      <c r="N42" s="21" t="s">
        <v>22</v>
      </c>
      <c r="O42" s="260"/>
      <c r="P42" s="260"/>
      <c r="Q42" s="260"/>
      <c r="R42" s="260"/>
      <c r="S42" s="260"/>
      <c r="T42" s="260"/>
      <c r="U42" s="260"/>
      <c r="V42" s="260"/>
      <c r="W42" s="260"/>
      <c r="X42" s="260"/>
      <c r="Y42" s="260"/>
      <c r="Z42" s="260"/>
    </row>
    <row r="43">
      <c r="A43" s="267">
        <v>45911.0</v>
      </c>
      <c r="B43" s="21" t="s">
        <v>2797</v>
      </c>
      <c r="C43" s="21" t="s">
        <v>9166</v>
      </c>
      <c r="D43" s="21" t="s">
        <v>9153</v>
      </c>
      <c r="E43" s="21" t="s">
        <v>9154</v>
      </c>
      <c r="F43" s="268" t="s">
        <v>9155</v>
      </c>
      <c r="G43" s="21" t="s">
        <v>9156</v>
      </c>
      <c r="H43" s="21" t="s">
        <v>5958</v>
      </c>
      <c r="I43" s="21" t="s">
        <v>9164</v>
      </c>
      <c r="J43" s="21" t="s">
        <v>8911</v>
      </c>
      <c r="K43" s="261">
        <v>45953.0</v>
      </c>
      <c r="L43" s="261">
        <v>45967.0</v>
      </c>
      <c r="M43" s="21" t="s">
        <v>9204</v>
      </c>
      <c r="N43" s="21" t="s">
        <v>22</v>
      </c>
      <c r="O43" s="260"/>
      <c r="P43" s="260"/>
      <c r="Q43" s="260"/>
      <c r="R43" s="260"/>
      <c r="S43" s="260"/>
      <c r="T43" s="260"/>
      <c r="U43" s="260"/>
      <c r="V43" s="260"/>
      <c r="W43" s="260"/>
      <c r="X43" s="260"/>
      <c r="Y43" s="260"/>
      <c r="Z43" s="260"/>
    </row>
    <row r="44">
      <c r="A44" s="267">
        <v>45914.0</v>
      </c>
      <c r="B44" s="21" t="s">
        <v>2702</v>
      </c>
      <c r="C44" s="21" t="s">
        <v>9162</v>
      </c>
      <c r="D44" s="21" t="s">
        <v>9153</v>
      </c>
      <c r="E44" s="21" t="s">
        <v>9154</v>
      </c>
      <c r="F44" s="268" t="s">
        <v>9155</v>
      </c>
      <c r="G44" s="21" t="s">
        <v>9163</v>
      </c>
      <c r="H44" s="21" t="s">
        <v>5970</v>
      </c>
      <c r="I44" s="21" t="s">
        <v>9164</v>
      </c>
      <c r="J44" s="21" t="s">
        <v>8911</v>
      </c>
      <c r="K44" s="261">
        <v>45956.0</v>
      </c>
      <c r="L44" s="261">
        <v>45970.0</v>
      </c>
      <c r="M44" s="21" t="s">
        <v>9205</v>
      </c>
      <c r="N44" s="21" t="s">
        <v>22</v>
      </c>
      <c r="O44" s="260"/>
      <c r="P44" s="260"/>
      <c r="Q44" s="260"/>
      <c r="R44" s="260"/>
      <c r="S44" s="260"/>
      <c r="T44" s="260"/>
      <c r="U44" s="260"/>
      <c r="V44" s="260"/>
      <c r="W44" s="260"/>
      <c r="X44" s="260"/>
      <c r="Y44" s="260"/>
      <c r="Z44" s="260"/>
    </row>
    <row r="45">
      <c r="A45" s="267">
        <v>45914.0</v>
      </c>
      <c r="B45" s="21" t="s">
        <v>2586</v>
      </c>
      <c r="C45" s="21" t="s">
        <v>9162</v>
      </c>
      <c r="D45" s="21" t="s">
        <v>9153</v>
      </c>
      <c r="E45" s="21" t="s">
        <v>9154</v>
      </c>
      <c r="F45" s="268" t="s">
        <v>9155</v>
      </c>
      <c r="G45" s="21" t="s">
        <v>8589</v>
      </c>
      <c r="H45" s="21" t="s">
        <v>5974</v>
      </c>
      <c r="I45" s="21" t="s">
        <v>9164</v>
      </c>
      <c r="J45" s="21" t="s">
        <v>8911</v>
      </c>
      <c r="K45" s="261">
        <v>45956.0</v>
      </c>
      <c r="L45" s="261">
        <v>45970.0</v>
      </c>
      <c r="M45" s="21" t="s">
        <v>9206</v>
      </c>
      <c r="N45" s="21" t="s">
        <v>22</v>
      </c>
      <c r="O45" s="260"/>
      <c r="P45" s="260"/>
      <c r="Q45" s="260"/>
      <c r="R45" s="260"/>
      <c r="S45" s="260"/>
      <c r="T45" s="260"/>
      <c r="U45" s="260"/>
      <c r="V45" s="260"/>
      <c r="W45" s="260"/>
      <c r="X45" s="260"/>
      <c r="Y45" s="260"/>
      <c r="Z45" s="260"/>
    </row>
    <row r="46">
      <c r="A46" s="267">
        <v>45914.0</v>
      </c>
      <c r="B46" s="21" t="s">
        <v>2787</v>
      </c>
      <c r="C46" s="21" t="s">
        <v>9162</v>
      </c>
      <c r="D46" s="21" t="s">
        <v>9153</v>
      </c>
      <c r="E46" s="21" t="s">
        <v>9154</v>
      </c>
      <c r="F46" s="268" t="s">
        <v>9155</v>
      </c>
      <c r="G46" s="21" t="s">
        <v>8589</v>
      </c>
      <c r="H46" s="21" t="s">
        <v>5974</v>
      </c>
      <c r="I46" s="21" t="s">
        <v>9164</v>
      </c>
      <c r="J46" s="21" t="s">
        <v>8911</v>
      </c>
      <c r="K46" s="261">
        <v>45956.0</v>
      </c>
      <c r="L46" s="261">
        <v>45970.0</v>
      </c>
      <c r="M46" s="21" t="s">
        <v>6748</v>
      </c>
      <c r="N46" s="21" t="s">
        <v>22</v>
      </c>
      <c r="O46" s="260"/>
      <c r="P46" s="260"/>
      <c r="Q46" s="260"/>
      <c r="R46" s="260"/>
      <c r="S46" s="260"/>
      <c r="T46" s="260"/>
      <c r="U46" s="260"/>
      <c r="V46" s="260"/>
      <c r="W46" s="260"/>
      <c r="X46" s="260"/>
      <c r="Y46" s="260"/>
      <c r="Z46" s="260"/>
    </row>
    <row r="47">
      <c r="A47" s="267">
        <v>45914.0</v>
      </c>
      <c r="B47" s="21" t="s">
        <v>2277</v>
      </c>
      <c r="C47" s="21" t="s">
        <v>9162</v>
      </c>
      <c r="D47" s="21" t="s">
        <v>9153</v>
      </c>
      <c r="E47" s="21" t="s">
        <v>9154</v>
      </c>
      <c r="F47" s="268" t="s">
        <v>9155</v>
      </c>
      <c r="G47" s="21" t="s">
        <v>9156</v>
      </c>
      <c r="H47" s="21" t="s">
        <v>5958</v>
      </c>
      <c r="I47" s="21" t="s">
        <v>9164</v>
      </c>
      <c r="J47" s="21" t="s">
        <v>8911</v>
      </c>
      <c r="K47" s="261">
        <v>45956.0</v>
      </c>
      <c r="L47" s="261">
        <v>45970.0</v>
      </c>
      <c r="M47" s="21" t="s">
        <v>9207</v>
      </c>
      <c r="N47" s="21" t="s">
        <v>22</v>
      </c>
      <c r="O47" s="260"/>
      <c r="P47" s="260"/>
      <c r="Q47" s="260"/>
      <c r="R47" s="260"/>
      <c r="S47" s="260"/>
      <c r="T47" s="260"/>
      <c r="U47" s="260"/>
      <c r="V47" s="260"/>
      <c r="W47" s="260"/>
      <c r="X47" s="260"/>
      <c r="Y47" s="260"/>
      <c r="Z47" s="260"/>
    </row>
    <row r="48">
      <c r="A48" s="267">
        <v>45911.0</v>
      </c>
      <c r="B48" s="21" t="s">
        <v>1730</v>
      </c>
      <c r="C48" s="21" t="s">
        <v>9166</v>
      </c>
      <c r="D48" s="21" t="s">
        <v>9208</v>
      </c>
      <c r="E48" s="21" t="s">
        <v>9209</v>
      </c>
      <c r="F48" s="268" t="s">
        <v>9210</v>
      </c>
      <c r="G48" s="21" t="s">
        <v>9211</v>
      </c>
      <c r="H48" s="21" t="s">
        <v>5967</v>
      </c>
      <c r="I48" s="21" t="s">
        <v>9212</v>
      </c>
      <c r="J48" s="21" t="s">
        <v>8911</v>
      </c>
      <c r="K48" s="261">
        <v>45953.0</v>
      </c>
      <c r="L48" s="261">
        <v>45967.0</v>
      </c>
      <c r="M48" s="21" t="s">
        <v>9213</v>
      </c>
      <c r="N48" s="21" t="s">
        <v>22</v>
      </c>
      <c r="O48" s="260"/>
      <c r="P48" s="260"/>
      <c r="Q48" s="260"/>
      <c r="R48" s="260"/>
      <c r="S48" s="260"/>
      <c r="T48" s="260"/>
      <c r="U48" s="260"/>
      <c r="V48" s="260"/>
      <c r="W48" s="260"/>
      <c r="X48" s="260"/>
      <c r="Y48" s="260"/>
      <c r="Z48" s="260"/>
    </row>
    <row r="49">
      <c r="A49" s="267">
        <v>45911.0</v>
      </c>
      <c r="B49" s="21" t="s">
        <v>1732</v>
      </c>
      <c r="C49" s="21" t="s">
        <v>9166</v>
      </c>
      <c r="D49" s="21" t="s">
        <v>9208</v>
      </c>
      <c r="E49" s="21" t="s">
        <v>9209</v>
      </c>
      <c r="F49" s="268" t="s">
        <v>9210</v>
      </c>
      <c r="G49" s="21" t="s">
        <v>9211</v>
      </c>
      <c r="H49" s="21" t="s">
        <v>5967</v>
      </c>
      <c r="I49" s="21" t="s">
        <v>9212</v>
      </c>
      <c r="J49" s="21" t="s">
        <v>8911</v>
      </c>
      <c r="K49" s="261">
        <v>45953.0</v>
      </c>
      <c r="L49" s="261">
        <v>45967.0</v>
      </c>
      <c r="M49" s="21" t="s">
        <v>9214</v>
      </c>
      <c r="N49" s="21" t="s">
        <v>22</v>
      </c>
      <c r="O49" s="260"/>
      <c r="P49" s="260"/>
      <c r="Q49" s="260"/>
      <c r="R49" s="260"/>
      <c r="S49" s="260"/>
      <c r="T49" s="260"/>
      <c r="U49" s="260"/>
      <c r="V49" s="260"/>
      <c r="W49" s="260"/>
      <c r="X49" s="260"/>
      <c r="Y49" s="260"/>
      <c r="Z49" s="260"/>
    </row>
    <row r="50">
      <c r="A50" s="267">
        <v>45914.0</v>
      </c>
      <c r="B50" s="21" t="s">
        <v>1952</v>
      </c>
      <c r="C50" s="21" t="s">
        <v>9162</v>
      </c>
      <c r="D50" s="21" t="s">
        <v>9153</v>
      </c>
      <c r="E50" s="21" t="s">
        <v>9154</v>
      </c>
      <c r="F50" s="268" t="s">
        <v>9155</v>
      </c>
      <c r="G50" s="21" t="s">
        <v>8589</v>
      </c>
      <c r="H50" s="21" t="s">
        <v>5974</v>
      </c>
      <c r="I50" s="21" t="s">
        <v>9164</v>
      </c>
      <c r="J50" s="21" t="s">
        <v>8911</v>
      </c>
      <c r="K50" s="261">
        <v>45956.0</v>
      </c>
      <c r="L50" s="261">
        <v>45970.0</v>
      </c>
      <c r="M50" s="21" t="s">
        <v>9215</v>
      </c>
      <c r="N50" s="21" t="s">
        <v>22</v>
      </c>
      <c r="O50" s="260"/>
      <c r="P50" s="260"/>
      <c r="Q50" s="260"/>
      <c r="R50" s="260"/>
      <c r="S50" s="260"/>
      <c r="T50" s="260"/>
      <c r="U50" s="260"/>
      <c r="V50" s="260"/>
      <c r="W50" s="260"/>
      <c r="X50" s="260"/>
      <c r="Y50" s="260"/>
      <c r="Z50" s="260"/>
    </row>
    <row r="51">
      <c r="A51" s="267">
        <v>45914.0</v>
      </c>
      <c r="B51" s="21" t="s">
        <v>3149</v>
      </c>
      <c r="C51" s="21" t="s">
        <v>9162</v>
      </c>
      <c r="D51" s="21" t="s">
        <v>9153</v>
      </c>
      <c r="E51" s="21" t="s">
        <v>9154</v>
      </c>
      <c r="F51" s="268" t="s">
        <v>9155</v>
      </c>
      <c r="G51" s="21" t="s">
        <v>8589</v>
      </c>
      <c r="H51" s="21" t="s">
        <v>5974</v>
      </c>
      <c r="I51" s="21" t="s">
        <v>9164</v>
      </c>
      <c r="J51" s="21" t="s">
        <v>8911</v>
      </c>
      <c r="K51" s="261">
        <v>45956.0</v>
      </c>
      <c r="L51" s="261">
        <v>45970.0</v>
      </c>
      <c r="M51" s="21" t="s">
        <v>9216</v>
      </c>
      <c r="N51" s="21" t="s">
        <v>22</v>
      </c>
      <c r="O51" s="260"/>
      <c r="P51" s="260"/>
      <c r="Q51" s="260"/>
      <c r="R51" s="260"/>
      <c r="S51" s="260"/>
      <c r="T51" s="260"/>
      <c r="U51" s="260"/>
      <c r="V51" s="260"/>
      <c r="W51" s="260"/>
      <c r="X51" s="260"/>
      <c r="Y51" s="260"/>
      <c r="Z51" s="260"/>
    </row>
    <row r="52">
      <c r="A52" s="267">
        <v>45914.0</v>
      </c>
      <c r="B52" s="21" t="s">
        <v>9217</v>
      </c>
      <c r="C52" s="21" t="s">
        <v>9162</v>
      </c>
      <c r="D52" s="21" t="s">
        <v>9153</v>
      </c>
      <c r="E52" s="21" t="s">
        <v>9154</v>
      </c>
      <c r="F52" s="268" t="s">
        <v>9155</v>
      </c>
      <c r="G52" s="21" t="s">
        <v>9156</v>
      </c>
      <c r="H52" s="21" t="s">
        <v>5958</v>
      </c>
      <c r="I52" s="21" t="s">
        <v>9164</v>
      </c>
      <c r="J52" s="21" t="s">
        <v>8911</v>
      </c>
      <c r="K52" s="261">
        <v>45956.0</v>
      </c>
      <c r="L52" s="261">
        <v>45970.0</v>
      </c>
      <c r="M52" s="21" t="s">
        <v>9218</v>
      </c>
      <c r="N52" s="21" t="s">
        <v>22</v>
      </c>
      <c r="O52" s="260"/>
      <c r="P52" s="260"/>
      <c r="Q52" s="260"/>
      <c r="R52" s="260"/>
      <c r="S52" s="260"/>
      <c r="T52" s="260"/>
      <c r="U52" s="260"/>
      <c r="V52" s="260"/>
      <c r="W52" s="260"/>
      <c r="X52" s="260"/>
      <c r="Y52" s="260"/>
      <c r="Z52" s="260"/>
    </row>
    <row r="53">
      <c r="A53" s="267">
        <v>45914.0</v>
      </c>
      <c r="B53" s="21" t="s">
        <v>9219</v>
      </c>
      <c r="C53" s="21" t="s">
        <v>9162</v>
      </c>
      <c r="D53" s="21" t="s">
        <v>9153</v>
      </c>
      <c r="E53" s="21" t="s">
        <v>9154</v>
      </c>
      <c r="F53" s="268" t="s">
        <v>9155</v>
      </c>
      <c r="G53" s="21" t="s">
        <v>9177</v>
      </c>
      <c r="H53" s="21" t="s">
        <v>5978</v>
      </c>
      <c r="I53" s="21" t="s">
        <v>9164</v>
      </c>
      <c r="J53" s="21" t="s">
        <v>8911</v>
      </c>
      <c r="K53" s="261">
        <v>45956.0</v>
      </c>
      <c r="L53" s="261">
        <v>45970.0</v>
      </c>
      <c r="M53" s="21" t="s">
        <v>9220</v>
      </c>
      <c r="N53" s="21" t="s">
        <v>22</v>
      </c>
      <c r="O53" s="260"/>
      <c r="P53" s="260"/>
      <c r="Q53" s="260"/>
      <c r="R53" s="260"/>
      <c r="S53" s="260"/>
      <c r="T53" s="260"/>
      <c r="U53" s="260"/>
      <c r="V53" s="260"/>
      <c r="W53" s="260"/>
      <c r="X53" s="260"/>
      <c r="Y53" s="260"/>
      <c r="Z53" s="260"/>
    </row>
    <row r="54">
      <c r="A54" s="267">
        <v>45914.0</v>
      </c>
      <c r="B54" s="21" t="s">
        <v>1746</v>
      </c>
      <c r="C54" s="21" t="s">
        <v>9162</v>
      </c>
      <c r="D54" s="21" t="s">
        <v>9153</v>
      </c>
      <c r="E54" s="21" t="s">
        <v>9154</v>
      </c>
      <c r="F54" s="268" t="s">
        <v>9155</v>
      </c>
      <c r="G54" s="21" t="s">
        <v>9156</v>
      </c>
      <c r="H54" s="21" t="s">
        <v>5958</v>
      </c>
      <c r="I54" s="21" t="s">
        <v>9164</v>
      </c>
      <c r="J54" s="21" t="s">
        <v>8911</v>
      </c>
      <c r="K54" s="261">
        <v>45956.0</v>
      </c>
      <c r="L54" s="261">
        <v>45970.0</v>
      </c>
      <c r="M54" s="21" t="s">
        <v>9221</v>
      </c>
      <c r="N54" s="21" t="s">
        <v>22</v>
      </c>
      <c r="O54" s="260"/>
      <c r="P54" s="260"/>
      <c r="Q54" s="260"/>
      <c r="R54" s="260"/>
      <c r="S54" s="260"/>
      <c r="T54" s="260"/>
      <c r="U54" s="260"/>
      <c r="V54" s="260"/>
      <c r="W54" s="260"/>
      <c r="X54" s="260"/>
      <c r="Y54" s="260"/>
      <c r="Z54" s="260"/>
    </row>
    <row r="55">
      <c r="A55" s="267">
        <v>45914.0</v>
      </c>
      <c r="B55" s="21" t="s">
        <v>1746</v>
      </c>
      <c r="C55" s="21" t="s">
        <v>9162</v>
      </c>
      <c r="D55" s="21" t="s">
        <v>9153</v>
      </c>
      <c r="E55" s="21" t="s">
        <v>9154</v>
      </c>
      <c r="F55" s="268" t="s">
        <v>9155</v>
      </c>
      <c r="G55" s="21" t="s">
        <v>9156</v>
      </c>
      <c r="H55" s="21" t="s">
        <v>5958</v>
      </c>
      <c r="I55" s="21" t="s">
        <v>9164</v>
      </c>
      <c r="J55" s="21" t="s">
        <v>8911</v>
      </c>
      <c r="K55" s="261">
        <v>45956.0</v>
      </c>
      <c r="L55" s="261">
        <v>45970.0</v>
      </c>
      <c r="M55" s="21" t="s">
        <v>9222</v>
      </c>
      <c r="N55" s="21" t="s">
        <v>22</v>
      </c>
      <c r="O55" s="260"/>
      <c r="P55" s="260"/>
      <c r="Q55" s="260"/>
      <c r="R55" s="260"/>
      <c r="S55" s="260"/>
      <c r="T55" s="260"/>
      <c r="U55" s="260"/>
      <c r="V55" s="260"/>
      <c r="W55" s="260"/>
      <c r="X55" s="260"/>
      <c r="Y55" s="260"/>
      <c r="Z55" s="260"/>
    </row>
    <row r="56">
      <c r="A56" s="267">
        <v>45914.0</v>
      </c>
      <c r="B56" s="21" t="s">
        <v>1987</v>
      </c>
      <c r="C56" s="21" t="s">
        <v>9162</v>
      </c>
      <c r="D56" s="21" t="s">
        <v>9153</v>
      </c>
      <c r="E56" s="21" t="s">
        <v>9154</v>
      </c>
      <c r="F56" s="268" t="s">
        <v>9155</v>
      </c>
      <c r="G56" s="21" t="s">
        <v>9223</v>
      </c>
      <c r="H56" s="21" t="s">
        <v>5956</v>
      </c>
      <c r="I56" s="21" t="s">
        <v>9164</v>
      </c>
      <c r="J56" s="21" t="s">
        <v>8911</v>
      </c>
      <c r="K56" s="261">
        <v>45956.0</v>
      </c>
      <c r="L56" s="261">
        <v>45970.0</v>
      </c>
      <c r="M56" s="21" t="s">
        <v>9224</v>
      </c>
      <c r="N56" s="21" t="s">
        <v>22</v>
      </c>
      <c r="O56" s="260"/>
      <c r="P56" s="260"/>
      <c r="Q56" s="260"/>
      <c r="R56" s="260"/>
      <c r="S56" s="260"/>
      <c r="T56" s="260"/>
      <c r="U56" s="260"/>
      <c r="V56" s="260"/>
      <c r="W56" s="260"/>
      <c r="X56" s="260"/>
      <c r="Y56" s="260"/>
      <c r="Z56" s="260"/>
    </row>
    <row r="57">
      <c r="A57" s="267">
        <v>45914.0</v>
      </c>
      <c r="B57" s="21" t="s">
        <v>1980</v>
      </c>
      <c r="C57" s="21" t="s">
        <v>9162</v>
      </c>
      <c r="D57" s="21" t="s">
        <v>9153</v>
      </c>
      <c r="E57" s="21" t="s">
        <v>9154</v>
      </c>
      <c r="F57" s="268" t="s">
        <v>9155</v>
      </c>
      <c r="G57" s="21" t="s">
        <v>9156</v>
      </c>
      <c r="H57" s="21" t="s">
        <v>5958</v>
      </c>
      <c r="I57" s="21" t="s">
        <v>9164</v>
      </c>
      <c r="J57" s="21" t="s">
        <v>8911</v>
      </c>
      <c r="K57" s="261">
        <v>45956.0</v>
      </c>
      <c r="L57" s="261">
        <v>45970.0</v>
      </c>
      <c r="M57" s="21" t="s">
        <v>9225</v>
      </c>
      <c r="N57" s="21" t="s">
        <v>22</v>
      </c>
      <c r="O57" s="260"/>
      <c r="P57" s="260"/>
      <c r="Q57" s="260"/>
      <c r="R57" s="260"/>
      <c r="S57" s="260"/>
      <c r="T57" s="260"/>
      <c r="U57" s="260"/>
      <c r="V57" s="260"/>
      <c r="W57" s="260"/>
      <c r="X57" s="260"/>
      <c r="Y57" s="260"/>
      <c r="Z57" s="260"/>
    </row>
    <row r="58">
      <c r="A58" s="267">
        <v>45914.0</v>
      </c>
      <c r="B58" s="21" t="s">
        <v>1980</v>
      </c>
      <c r="C58" s="21" t="s">
        <v>9162</v>
      </c>
      <c r="D58" s="21" t="s">
        <v>9153</v>
      </c>
      <c r="E58" s="21" t="s">
        <v>9154</v>
      </c>
      <c r="F58" s="268" t="s">
        <v>9155</v>
      </c>
      <c r="G58" s="21" t="s">
        <v>9156</v>
      </c>
      <c r="H58" s="21" t="s">
        <v>5958</v>
      </c>
      <c r="I58" s="21" t="s">
        <v>9164</v>
      </c>
      <c r="J58" s="21" t="s">
        <v>8911</v>
      </c>
      <c r="K58" s="261">
        <v>45956.0</v>
      </c>
      <c r="L58" s="261">
        <v>45970.0</v>
      </c>
      <c r="M58" s="21" t="s">
        <v>9226</v>
      </c>
      <c r="N58" s="21" t="s">
        <v>22</v>
      </c>
      <c r="O58" s="260"/>
      <c r="P58" s="260"/>
      <c r="Q58" s="260"/>
      <c r="R58" s="260"/>
      <c r="S58" s="260"/>
      <c r="T58" s="260"/>
      <c r="U58" s="260"/>
      <c r="V58" s="260"/>
      <c r="W58" s="260"/>
      <c r="X58" s="260"/>
      <c r="Y58" s="260"/>
      <c r="Z58" s="260"/>
    </row>
    <row r="59">
      <c r="A59" s="267">
        <v>45914.0</v>
      </c>
      <c r="B59" s="21" t="s">
        <v>2609</v>
      </c>
      <c r="C59" s="21" t="s">
        <v>9162</v>
      </c>
      <c r="D59" s="21" t="s">
        <v>9153</v>
      </c>
      <c r="E59" s="21" t="s">
        <v>9154</v>
      </c>
      <c r="F59" s="268" t="s">
        <v>9155</v>
      </c>
      <c r="G59" s="21" t="s">
        <v>9156</v>
      </c>
      <c r="H59" s="21" t="s">
        <v>5958</v>
      </c>
      <c r="I59" s="21" t="s">
        <v>9164</v>
      </c>
      <c r="J59" s="21" t="s">
        <v>8911</v>
      </c>
      <c r="K59" s="261">
        <v>45956.0</v>
      </c>
      <c r="L59" s="261">
        <v>45970.0</v>
      </c>
      <c r="M59" s="21" t="s">
        <v>9227</v>
      </c>
      <c r="N59" s="21" t="s">
        <v>22</v>
      </c>
      <c r="O59" s="260"/>
      <c r="P59" s="260"/>
      <c r="Q59" s="260"/>
      <c r="R59" s="260"/>
      <c r="S59" s="260"/>
      <c r="T59" s="260"/>
      <c r="U59" s="260"/>
      <c r="V59" s="260"/>
      <c r="W59" s="260"/>
      <c r="X59" s="260"/>
      <c r="Y59" s="260"/>
      <c r="Z59" s="260"/>
    </row>
    <row r="60">
      <c r="A60" s="267">
        <v>45914.0</v>
      </c>
      <c r="B60" s="21" t="s">
        <v>2031</v>
      </c>
      <c r="C60" s="21" t="s">
        <v>9162</v>
      </c>
      <c r="D60" s="21" t="s">
        <v>9153</v>
      </c>
      <c r="E60" s="21" t="s">
        <v>9154</v>
      </c>
      <c r="F60" s="268" t="s">
        <v>9155</v>
      </c>
      <c r="G60" s="21" t="s">
        <v>9223</v>
      </c>
      <c r="H60" s="21" t="s">
        <v>5956</v>
      </c>
      <c r="I60" s="21" t="s">
        <v>9164</v>
      </c>
      <c r="J60" s="21" t="s">
        <v>8911</v>
      </c>
      <c r="K60" s="261">
        <v>45956.0</v>
      </c>
      <c r="L60" s="261">
        <v>45970.0</v>
      </c>
      <c r="M60" s="21" t="s">
        <v>9228</v>
      </c>
      <c r="N60" s="21" t="s">
        <v>22</v>
      </c>
      <c r="O60" s="260"/>
      <c r="P60" s="260"/>
      <c r="Q60" s="260"/>
      <c r="R60" s="260"/>
      <c r="S60" s="260"/>
      <c r="T60" s="260"/>
      <c r="U60" s="260"/>
      <c r="V60" s="260"/>
      <c r="W60" s="260"/>
      <c r="X60" s="260"/>
      <c r="Y60" s="260"/>
      <c r="Z60" s="260"/>
    </row>
    <row r="61">
      <c r="A61" s="267">
        <v>45914.0</v>
      </c>
      <c r="B61" s="21" t="s">
        <v>1989</v>
      </c>
      <c r="C61" s="21" t="s">
        <v>9162</v>
      </c>
      <c r="D61" s="21" t="s">
        <v>9153</v>
      </c>
      <c r="E61" s="21" t="s">
        <v>9154</v>
      </c>
      <c r="F61" s="268" t="s">
        <v>9155</v>
      </c>
      <c r="G61" s="21" t="s">
        <v>9223</v>
      </c>
      <c r="H61" s="21" t="s">
        <v>5956</v>
      </c>
      <c r="I61" s="21" t="s">
        <v>9164</v>
      </c>
      <c r="J61" s="21" t="s">
        <v>8911</v>
      </c>
      <c r="K61" s="261">
        <v>45956.0</v>
      </c>
      <c r="L61" s="261">
        <v>45970.0</v>
      </c>
      <c r="M61" s="21" t="s">
        <v>9229</v>
      </c>
      <c r="N61" s="21" t="s">
        <v>22</v>
      </c>
      <c r="O61" s="260"/>
      <c r="P61" s="260"/>
      <c r="Q61" s="260"/>
      <c r="R61" s="260"/>
      <c r="S61" s="260"/>
      <c r="T61" s="260"/>
      <c r="U61" s="260"/>
      <c r="V61" s="260"/>
      <c r="W61" s="260"/>
      <c r="X61" s="260"/>
      <c r="Y61" s="260"/>
      <c r="Z61" s="260"/>
    </row>
    <row r="62">
      <c r="A62" s="267">
        <v>45914.0</v>
      </c>
      <c r="B62" s="21" t="s">
        <v>2611</v>
      </c>
      <c r="C62" s="21" t="s">
        <v>9162</v>
      </c>
      <c r="D62" s="21" t="s">
        <v>9153</v>
      </c>
      <c r="E62" s="21" t="s">
        <v>9154</v>
      </c>
      <c r="F62" s="268" t="s">
        <v>9155</v>
      </c>
      <c r="G62" s="21" t="s">
        <v>9156</v>
      </c>
      <c r="H62" s="21" t="s">
        <v>5958</v>
      </c>
      <c r="I62" s="21" t="s">
        <v>9164</v>
      </c>
      <c r="J62" s="21" t="s">
        <v>8911</v>
      </c>
      <c r="K62" s="261">
        <v>45956.0</v>
      </c>
      <c r="L62" s="261">
        <v>45970.0</v>
      </c>
      <c r="M62" s="21" t="s">
        <v>9230</v>
      </c>
      <c r="N62" s="21" t="s">
        <v>22</v>
      </c>
      <c r="O62" s="260"/>
      <c r="P62" s="260"/>
      <c r="Q62" s="260"/>
      <c r="R62" s="260"/>
      <c r="S62" s="260"/>
      <c r="T62" s="260"/>
      <c r="U62" s="260"/>
      <c r="V62" s="260"/>
      <c r="W62" s="260"/>
      <c r="X62" s="260"/>
      <c r="Y62" s="260"/>
      <c r="Z62" s="260"/>
    </row>
    <row r="63">
      <c r="A63" s="267">
        <v>45914.0</v>
      </c>
      <c r="B63" s="21" t="s">
        <v>1930</v>
      </c>
      <c r="C63" s="21" t="s">
        <v>9162</v>
      </c>
      <c r="D63" s="21" t="s">
        <v>9153</v>
      </c>
      <c r="E63" s="21" t="s">
        <v>9154</v>
      </c>
      <c r="F63" s="268" t="s">
        <v>9155</v>
      </c>
      <c r="G63" s="21" t="s">
        <v>9231</v>
      </c>
      <c r="H63" s="21" t="s">
        <v>5967</v>
      </c>
      <c r="I63" s="21" t="s">
        <v>9164</v>
      </c>
      <c r="J63" s="21" t="s">
        <v>8911</v>
      </c>
      <c r="K63" s="261">
        <v>45956.0</v>
      </c>
      <c r="L63" s="261">
        <v>45970.0</v>
      </c>
      <c r="M63" s="21" t="s">
        <v>9232</v>
      </c>
      <c r="N63" s="21" t="s">
        <v>22</v>
      </c>
      <c r="O63" s="260"/>
      <c r="P63" s="260"/>
      <c r="Q63" s="260"/>
      <c r="R63" s="260"/>
      <c r="S63" s="260"/>
      <c r="T63" s="260"/>
      <c r="U63" s="260"/>
      <c r="V63" s="260"/>
      <c r="W63" s="260"/>
      <c r="X63" s="260"/>
      <c r="Y63" s="260"/>
      <c r="Z63" s="260"/>
    </row>
    <row r="64">
      <c r="A64" s="267">
        <v>45914.0</v>
      </c>
      <c r="B64" s="21" t="s">
        <v>1754</v>
      </c>
      <c r="C64" s="21" t="s">
        <v>9162</v>
      </c>
      <c r="D64" s="21" t="s">
        <v>9153</v>
      </c>
      <c r="E64" s="21" t="s">
        <v>9154</v>
      </c>
      <c r="F64" s="268" t="s">
        <v>9155</v>
      </c>
      <c r="G64" s="21" t="s">
        <v>9231</v>
      </c>
      <c r="H64" s="21" t="s">
        <v>5967</v>
      </c>
      <c r="I64" s="21" t="s">
        <v>9164</v>
      </c>
      <c r="J64" s="21" t="s">
        <v>8911</v>
      </c>
      <c r="K64" s="261">
        <v>45956.0</v>
      </c>
      <c r="L64" s="261">
        <v>45970.0</v>
      </c>
      <c r="M64" s="21" t="s">
        <v>9233</v>
      </c>
      <c r="N64" s="21" t="s">
        <v>22</v>
      </c>
      <c r="O64" s="260"/>
      <c r="P64" s="260"/>
      <c r="Q64" s="260"/>
      <c r="R64" s="260"/>
      <c r="S64" s="260"/>
      <c r="T64" s="260"/>
      <c r="U64" s="260"/>
      <c r="V64" s="260"/>
      <c r="W64" s="260"/>
      <c r="X64" s="260"/>
      <c r="Y64" s="260"/>
      <c r="Z64" s="260"/>
    </row>
    <row r="65">
      <c r="A65" s="267">
        <v>45914.0</v>
      </c>
      <c r="B65" s="21" t="s">
        <v>2784</v>
      </c>
      <c r="C65" s="21" t="s">
        <v>9162</v>
      </c>
      <c r="D65" s="21" t="s">
        <v>9153</v>
      </c>
      <c r="E65" s="21" t="s">
        <v>9154</v>
      </c>
      <c r="F65" s="268" t="s">
        <v>9155</v>
      </c>
      <c r="G65" s="21" t="s">
        <v>9163</v>
      </c>
      <c r="H65" s="21" t="s">
        <v>5970</v>
      </c>
      <c r="I65" s="21" t="s">
        <v>9164</v>
      </c>
      <c r="J65" s="21" t="s">
        <v>8911</v>
      </c>
      <c r="K65" s="261">
        <v>45956.0</v>
      </c>
      <c r="L65" s="261">
        <v>45970.0</v>
      </c>
      <c r="M65" s="21" t="s">
        <v>9234</v>
      </c>
      <c r="N65" s="21" t="s">
        <v>22</v>
      </c>
      <c r="O65" s="260"/>
      <c r="P65" s="260"/>
      <c r="Q65" s="260"/>
      <c r="R65" s="260"/>
      <c r="S65" s="260"/>
      <c r="T65" s="260"/>
      <c r="U65" s="260"/>
      <c r="V65" s="260"/>
      <c r="W65" s="260"/>
      <c r="X65" s="260"/>
      <c r="Y65" s="260"/>
      <c r="Z65" s="260"/>
    </row>
    <row r="66">
      <c r="A66" s="267">
        <v>45914.0</v>
      </c>
      <c r="B66" s="21" t="s">
        <v>2728</v>
      </c>
      <c r="C66" s="21" t="s">
        <v>9162</v>
      </c>
      <c r="D66" s="21" t="s">
        <v>9153</v>
      </c>
      <c r="E66" s="21" t="s">
        <v>9154</v>
      </c>
      <c r="F66" s="268" t="s">
        <v>9155</v>
      </c>
      <c r="G66" s="21" t="s">
        <v>9163</v>
      </c>
      <c r="H66" s="21" t="s">
        <v>5970</v>
      </c>
      <c r="I66" s="21" t="s">
        <v>9164</v>
      </c>
      <c r="J66" s="21" t="s">
        <v>8911</v>
      </c>
      <c r="K66" s="261">
        <v>45956.0</v>
      </c>
      <c r="L66" s="261">
        <v>45970.0</v>
      </c>
      <c r="M66" s="21" t="s">
        <v>9235</v>
      </c>
      <c r="N66" s="21" t="s">
        <v>22</v>
      </c>
      <c r="O66" s="260"/>
      <c r="P66" s="260"/>
      <c r="Q66" s="260"/>
      <c r="R66" s="260"/>
      <c r="S66" s="260"/>
      <c r="T66" s="260"/>
      <c r="U66" s="260"/>
      <c r="V66" s="260"/>
      <c r="W66" s="260"/>
      <c r="X66" s="260"/>
      <c r="Y66" s="260"/>
      <c r="Z66" s="260"/>
    </row>
    <row r="67">
      <c r="A67" s="267">
        <v>45914.0</v>
      </c>
      <c r="B67" s="21" t="s">
        <v>2298</v>
      </c>
      <c r="C67" s="21" t="s">
        <v>9166</v>
      </c>
      <c r="D67" s="21" t="s">
        <v>9153</v>
      </c>
      <c r="E67" s="21" t="s">
        <v>9154</v>
      </c>
      <c r="F67" s="268" t="s">
        <v>9155</v>
      </c>
      <c r="G67" s="21" t="s">
        <v>9156</v>
      </c>
      <c r="H67" s="21" t="s">
        <v>5958</v>
      </c>
      <c r="I67" s="21" t="s">
        <v>9164</v>
      </c>
      <c r="J67" s="21" t="s">
        <v>8911</v>
      </c>
      <c r="K67" s="261">
        <v>45956.0</v>
      </c>
      <c r="L67" s="261">
        <v>45970.0</v>
      </c>
      <c r="M67" s="21" t="s">
        <v>9236</v>
      </c>
      <c r="N67" s="21" t="s">
        <v>22</v>
      </c>
      <c r="O67" s="260"/>
      <c r="P67" s="260"/>
      <c r="Q67" s="260"/>
      <c r="R67" s="260"/>
      <c r="S67" s="260"/>
      <c r="T67" s="260"/>
      <c r="U67" s="260"/>
      <c r="V67" s="260"/>
      <c r="W67" s="260"/>
      <c r="X67" s="260"/>
      <c r="Y67" s="260"/>
      <c r="Z67" s="260"/>
    </row>
    <row r="68">
      <c r="A68" s="267">
        <v>45914.0</v>
      </c>
      <c r="B68" s="21" t="s">
        <v>2056</v>
      </c>
      <c r="C68" s="21" t="s">
        <v>9166</v>
      </c>
      <c r="D68" s="21" t="s">
        <v>9153</v>
      </c>
      <c r="E68" s="21" t="s">
        <v>9154</v>
      </c>
      <c r="F68" s="268" t="s">
        <v>9155</v>
      </c>
      <c r="G68" s="21" t="s">
        <v>9163</v>
      </c>
      <c r="H68" s="21" t="s">
        <v>5970</v>
      </c>
      <c r="I68" s="21" t="s">
        <v>9164</v>
      </c>
      <c r="J68" s="21" t="s">
        <v>8911</v>
      </c>
      <c r="K68" s="261">
        <v>45956.0</v>
      </c>
      <c r="L68" s="261">
        <v>45970.0</v>
      </c>
      <c r="M68" s="21" t="s">
        <v>9237</v>
      </c>
      <c r="N68" s="21" t="s">
        <v>22</v>
      </c>
      <c r="O68" s="260"/>
      <c r="P68" s="260"/>
      <c r="Q68" s="260"/>
      <c r="R68" s="260"/>
      <c r="S68" s="260"/>
      <c r="T68" s="260"/>
      <c r="U68" s="260"/>
      <c r="V68" s="260"/>
      <c r="W68" s="260"/>
      <c r="X68" s="260"/>
      <c r="Y68" s="260"/>
      <c r="Z68" s="260"/>
    </row>
    <row r="69">
      <c r="A69" s="267">
        <v>45914.0</v>
      </c>
      <c r="B69" s="21" t="s">
        <v>1515</v>
      </c>
      <c r="C69" s="21" t="s">
        <v>9166</v>
      </c>
      <c r="D69" s="21" t="s">
        <v>9153</v>
      </c>
      <c r="E69" s="21" t="s">
        <v>9154</v>
      </c>
      <c r="F69" s="268" t="s">
        <v>9155</v>
      </c>
      <c r="G69" s="21" t="s">
        <v>9156</v>
      </c>
      <c r="H69" s="21" t="s">
        <v>5958</v>
      </c>
      <c r="I69" s="21" t="s">
        <v>9164</v>
      </c>
      <c r="J69" s="21" t="s">
        <v>8911</v>
      </c>
      <c r="K69" s="261">
        <v>45956.0</v>
      </c>
      <c r="L69" s="261">
        <v>45970.0</v>
      </c>
      <c r="M69" s="21" t="s">
        <v>9238</v>
      </c>
      <c r="N69" s="21" t="s">
        <v>22</v>
      </c>
      <c r="O69" s="260"/>
      <c r="P69" s="260"/>
      <c r="Q69" s="260"/>
      <c r="R69" s="260"/>
      <c r="S69" s="260"/>
      <c r="T69" s="260"/>
      <c r="U69" s="260"/>
      <c r="V69" s="260"/>
      <c r="W69" s="260"/>
      <c r="X69" s="260"/>
      <c r="Y69" s="260"/>
      <c r="Z69" s="260"/>
    </row>
    <row r="70">
      <c r="A70" s="267">
        <v>45914.0</v>
      </c>
      <c r="B70" s="21" t="s">
        <v>1559</v>
      </c>
      <c r="C70" s="21" t="s">
        <v>9166</v>
      </c>
      <c r="D70" s="21" t="s">
        <v>9153</v>
      </c>
      <c r="E70" s="21" t="s">
        <v>9154</v>
      </c>
      <c r="F70" s="268" t="s">
        <v>9155</v>
      </c>
      <c r="G70" s="21" t="s">
        <v>9223</v>
      </c>
      <c r="H70" s="21" t="s">
        <v>5956</v>
      </c>
      <c r="I70" s="21" t="s">
        <v>9164</v>
      </c>
      <c r="J70" s="21" t="s">
        <v>8911</v>
      </c>
      <c r="K70" s="261">
        <v>45956.0</v>
      </c>
      <c r="L70" s="261">
        <v>45970.0</v>
      </c>
      <c r="M70" s="21" t="s">
        <v>9239</v>
      </c>
      <c r="N70" s="21" t="s">
        <v>22</v>
      </c>
      <c r="O70" s="260"/>
      <c r="P70" s="260"/>
      <c r="Q70" s="260"/>
      <c r="R70" s="260"/>
      <c r="S70" s="260"/>
      <c r="T70" s="260"/>
      <c r="U70" s="260"/>
      <c r="V70" s="260"/>
      <c r="W70" s="260"/>
      <c r="X70" s="260"/>
      <c r="Y70" s="260"/>
      <c r="Z70" s="260"/>
    </row>
    <row r="71">
      <c r="A71" s="267">
        <v>45914.0</v>
      </c>
      <c r="B71" s="21" t="s">
        <v>9240</v>
      </c>
      <c r="C71" s="21" t="s">
        <v>9166</v>
      </c>
      <c r="D71" s="21" t="s">
        <v>9153</v>
      </c>
      <c r="E71" s="21" t="s">
        <v>9154</v>
      </c>
      <c r="F71" s="268" t="s">
        <v>9155</v>
      </c>
      <c r="G71" s="21" t="s">
        <v>9231</v>
      </c>
      <c r="H71" s="21" t="s">
        <v>5967</v>
      </c>
      <c r="I71" s="21" t="s">
        <v>9164</v>
      </c>
      <c r="J71" s="21" t="s">
        <v>8911</v>
      </c>
      <c r="K71" s="261">
        <v>45956.0</v>
      </c>
      <c r="L71" s="261">
        <v>45970.0</v>
      </c>
      <c r="M71" s="21" t="s">
        <v>9241</v>
      </c>
      <c r="N71" s="21" t="s">
        <v>22</v>
      </c>
      <c r="O71" s="260"/>
      <c r="P71" s="260"/>
      <c r="Q71" s="260"/>
      <c r="R71" s="260"/>
      <c r="S71" s="260"/>
      <c r="T71" s="260"/>
      <c r="U71" s="260"/>
      <c r="V71" s="260"/>
      <c r="W71" s="260"/>
      <c r="X71" s="260"/>
      <c r="Y71" s="260"/>
      <c r="Z71" s="260"/>
    </row>
    <row r="72">
      <c r="A72" s="267">
        <v>45915.0</v>
      </c>
      <c r="B72" s="21" t="s">
        <v>2282</v>
      </c>
      <c r="C72" s="21" t="s">
        <v>9166</v>
      </c>
      <c r="D72" s="21" t="s">
        <v>9153</v>
      </c>
      <c r="E72" s="21" t="s">
        <v>9154</v>
      </c>
      <c r="F72" s="268" t="s">
        <v>9155</v>
      </c>
      <c r="G72" s="21" t="s">
        <v>9156</v>
      </c>
      <c r="H72" s="21" t="s">
        <v>5958</v>
      </c>
      <c r="I72" s="21" t="s">
        <v>9164</v>
      </c>
      <c r="J72" s="21" t="s">
        <v>8911</v>
      </c>
      <c r="K72" s="261">
        <v>45957.0</v>
      </c>
      <c r="L72" s="261">
        <v>45971.0</v>
      </c>
      <c r="M72" s="21" t="s">
        <v>9242</v>
      </c>
      <c r="N72" s="21" t="s">
        <v>22</v>
      </c>
      <c r="O72" s="260"/>
      <c r="P72" s="260"/>
      <c r="Q72" s="260"/>
      <c r="R72" s="260"/>
      <c r="S72" s="260"/>
      <c r="T72" s="260"/>
      <c r="U72" s="260"/>
      <c r="V72" s="260"/>
      <c r="W72" s="260"/>
      <c r="X72" s="260"/>
      <c r="Y72" s="260"/>
      <c r="Z72" s="260"/>
    </row>
    <row r="73">
      <c r="A73" s="267">
        <v>45915.0</v>
      </c>
      <c r="B73" s="21" t="s">
        <v>3490</v>
      </c>
      <c r="C73" s="21" t="s">
        <v>9166</v>
      </c>
      <c r="D73" s="21" t="s">
        <v>9153</v>
      </c>
      <c r="E73" s="21" t="s">
        <v>9154</v>
      </c>
      <c r="F73" s="268" t="s">
        <v>9155</v>
      </c>
      <c r="G73" s="21" t="s">
        <v>9156</v>
      </c>
      <c r="H73" s="21" t="s">
        <v>5958</v>
      </c>
      <c r="I73" s="21" t="s">
        <v>9164</v>
      </c>
      <c r="J73" s="21" t="s">
        <v>8911</v>
      </c>
      <c r="K73" s="261">
        <v>45957.0</v>
      </c>
      <c r="L73" s="261">
        <v>45971.0</v>
      </c>
      <c r="M73" s="21" t="s">
        <v>9243</v>
      </c>
      <c r="N73" s="21" t="s">
        <v>22</v>
      </c>
      <c r="O73" s="260"/>
      <c r="P73" s="260"/>
      <c r="Q73" s="260"/>
      <c r="R73" s="260"/>
      <c r="S73" s="260"/>
      <c r="T73" s="260"/>
      <c r="U73" s="260"/>
      <c r="V73" s="260"/>
      <c r="W73" s="260"/>
      <c r="X73" s="260"/>
      <c r="Y73" s="260"/>
      <c r="Z73" s="260"/>
    </row>
    <row r="74">
      <c r="A74" s="267">
        <v>45915.0</v>
      </c>
      <c r="B74" s="21" t="s">
        <v>1762</v>
      </c>
      <c r="C74" s="21" t="s">
        <v>9166</v>
      </c>
      <c r="D74" s="21" t="s">
        <v>9153</v>
      </c>
      <c r="E74" s="21" t="s">
        <v>9154</v>
      </c>
      <c r="F74" s="268" t="s">
        <v>9155</v>
      </c>
      <c r="G74" s="21" t="s">
        <v>9156</v>
      </c>
      <c r="H74" s="21" t="s">
        <v>5958</v>
      </c>
      <c r="I74" s="21" t="s">
        <v>9164</v>
      </c>
      <c r="J74" s="21" t="s">
        <v>8911</v>
      </c>
      <c r="K74" s="261">
        <v>45957.0</v>
      </c>
      <c r="L74" s="261">
        <v>45971.0</v>
      </c>
      <c r="M74" s="21" t="s">
        <v>9244</v>
      </c>
      <c r="N74" s="21" t="s">
        <v>22</v>
      </c>
      <c r="O74" s="260"/>
      <c r="P74" s="260"/>
      <c r="Q74" s="260"/>
      <c r="R74" s="260"/>
      <c r="S74" s="260"/>
      <c r="T74" s="260"/>
      <c r="U74" s="260"/>
      <c r="V74" s="260"/>
      <c r="W74" s="260"/>
      <c r="X74" s="260"/>
      <c r="Y74" s="260"/>
      <c r="Z74" s="260"/>
    </row>
    <row r="75">
      <c r="A75" s="267">
        <v>45915.0</v>
      </c>
      <c r="B75" s="21" t="s">
        <v>1764</v>
      </c>
      <c r="C75" s="21" t="s">
        <v>9166</v>
      </c>
      <c r="D75" s="21" t="s">
        <v>9153</v>
      </c>
      <c r="E75" s="21" t="s">
        <v>9154</v>
      </c>
      <c r="F75" s="268" t="s">
        <v>9155</v>
      </c>
      <c r="G75" s="21" t="s">
        <v>9156</v>
      </c>
      <c r="H75" s="21" t="s">
        <v>5958</v>
      </c>
      <c r="I75" s="21" t="s">
        <v>9164</v>
      </c>
      <c r="J75" s="21" t="s">
        <v>8911</v>
      </c>
      <c r="K75" s="261">
        <v>45957.0</v>
      </c>
      <c r="L75" s="261">
        <v>45971.0</v>
      </c>
      <c r="M75" s="21" t="s">
        <v>9245</v>
      </c>
      <c r="N75" s="21" t="s">
        <v>22</v>
      </c>
      <c r="O75" s="260"/>
      <c r="P75" s="260"/>
      <c r="Q75" s="260"/>
      <c r="R75" s="260"/>
      <c r="S75" s="260"/>
      <c r="T75" s="260"/>
      <c r="U75" s="260"/>
      <c r="V75" s="260"/>
      <c r="W75" s="260"/>
      <c r="X75" s="260"/>
      <c r="Y75" s="260"/>
      <c r="Z75" s="260"/>
    </row>
    <row r="76">
      <c r="A76" s="267">
        <v>45915.0</v>
      </c>
      <c r="B76" s="21" t="s">
        <v>9246</v>
      </c>
      <c r="C76" s="21" t="s">
        <v>9166</v>
      </c>
      <c r="D76" s="21" t="s">
        <v>9153</v>
      </c>
      <c r="E76" s="21" t="s">
        <v>9154</v>
      </c>
      <c r="F76" s="268" t="s">
        <v>9155</v>
      </c>
      <c r="G76" s="21" t="s">
        <v>9223</v>
      </c>
      <c r="H76" s="21" t="s">
        <v>5956</v>
      </c>
      <c r="I76" s="21" t="s">
        <v>9164</v>
      </c>
      <c r="J76" s="21" t="s">
        <v>8911</v>
      </c>
      <c r="K76" s="261">
        <v>45957.0</v>
      </c>
      <c r="L76" s="261">
        <v>45971.0</v>
      </c>
      <c r="M76" s="21" t="s">
        <v>9247</v>
      </c>
      <c r="N76" s="21" t="s">
        <v>22</v>
      </c>
      <c r="O76" s="260"/>
      <c r="P76" s="260"/>
      <c r="Q76" s="260"/>
      <c r="R76" s="260"/>
      <c r="S76" s="260"/>
      <c r="T76" s="260"/>
      <c r="U76" s="260"/>
      <c r="V76" s="260"/>
      <c r="W76" s="260"/>
      <c r="X76" s="260"/>
      <c r="Y76" s="260"/>
      <c r="Z76" s="260"/>
    </row>
    <row r="77">
      <c r="A77" s="267">
        <v>45915.0</v>
      </c>
      <c r="B77" s="21" t="s">
        <v>3514</v>
      </c>
      <c r="C77" s="21" t="s">
        <v>9166</v>
      </c>
      <c r="D77" s="21" t="s">
        <v>9153</v>
      </c>
      <c r="E77" s="21" t="s">
        <v>9154</v>
      </c>
      <c r="F77" s="268" t="s">
        <v>9155</v>
      </c>
      <c r="G77" s="21" t="s">
        <v>9163</v>
      </c>
      <c r="H77" s="21" t="s">
        <v>5970</v>
      </c>
      <c r="I77" s="21" t="s">
        <v>9164</v>
      </c>
      <c r="J77" s="21" t="s">
        <v>8911</v>
      </c>
      <c r="K77" s="261">
        <v>45957.0</v>
      </c>
      <c r="L77" s="261">
        <v>45971.0</v>
      </c>
      <c r="M77" s="21" t="s">
        <v>9248</v>
      </c>
      <c r="N77" s="21" t="s">
        <v>22</v>
      </c>
      <c r="O77" s="260"/>
      <c r="P77" s="260"/>
      <c r="Q77" s="260"/>
      <c r="R77" s="260"/>
      <c r="S77" s="260"/>
      <c r="T77" s="260"/>
      <c r="U77" s="260"/>
      <c r="V77" s="260"/>
      <c r="W77" s="260"/>
      <c r="X77" s="260"/>
      <c r="Y77" s="260"/>
      <c r="Z77" s="260"/>
    </row>
    <row r="78">
      <c r="A78" s="267">
        <v>45915.0</v>
      </c>
      <c r="B78" s="21" t="s">
        <v>2258</v>
      </c>
      <c r="C78" s="21" t="s">
        <v>9166</v>
      </c>
      <c r="D78" s="21" t="s">
        <v>9153</v>
      </c>
      <c r="E78" s="21" t="s">
        <v>9154</v>
      </c>
      <c r="F78" s="268" t="s">
        <v>9155</v>
      </c>
      <c r="G78" s="21" t="s">
        <v>9163</v>
      </c>
      <c r="H78" s="21" t="s">
        <v>5970</v>
      </c>
      <c r="I78" s="21" t="s">
        <v>9164</v>
      </c>
      <c r="J78" s="21" t="s">
        <v>8911</v>
      </c>
      <c r="K78" s="261">
        <v>45957.0</v>
      </c>
      <c r="L78" s="261">
        <v>45971.0</v>
      </c>
      <c r="M78" s="21" t="s">
        <v>9249</v>
      </c>
      <c r="N78" s="21" t="s">
        <v>22</v>
      </c>
      <c r="O78" s="260"/>
      <c r="P78" s="260"/>
      <c r="Q78" s="260"/>
      <c r="R78" s="260"/>
      <c r="S78" s="260"/>
      <c r="T78" s="260"/>
      <c r="U78" s="260"/>
      <c r="V78" s="260"/>
      <c r="W78" s="260"/>
      <c r="X78" s="260"/>
      <c r="Y78" s="260"/>
      <c r="Z78" s="260"/>
    </row>
    <row r="79">
      <c r="A79" s="267">
        <v>45915.0</v>
      </c>
      <c r="B79" s="21" t="s">
        <v>1756</v>
      </c>
      <c r="C79" s="21" t="s">
        <v>9166</v>
      </c>
      <c r="D79" s="21" t="s">
        <v>9153</v>
      </c>
      <c r="E79" s="21" t="s">
        <v>9154</v>
      </c>
      <c r="F79" s="268" t="s">
        <v>9155</v>
      </c>
      <c r="G79" s="21" t="s">
        <v>9156</v>
      </c>
      <c r="H79" s="21" t="s">
        <v>5958</v>
      </c>
      <c r="I79" s="21" t="s">
        <v>9164</v>
      </c>
      <c r="J79" s="21" t="s">
        <v>8911</v>
      </c>
      <c r="K79" s="261">
        <v>45957.0</v>
      </c>
      <c r="L79" s="261">
        <v>45971.0</v>
      </c>
      <c r="M79" s="21" t="s">
        <v>9250</v>
      </c>
      <c r="N79" s="21" t="s">
        <v>22</v>
      </c>
      <c r="O79" s="260"/>
      <c r="P79" s="260"/>
      <c r="Q79" s="260"/>
      <c r="R79" s="260"/>
      <c r="S79" s="260"/>
      <c r="T79" s="260"/>
      <c r="U79" s="260"/>
      <c r="V79" s="260"/>
      <c r="W79" s="260"/>
      <c r="X79" s="260"/>
      <c r="Y79" s="260"/>
      <c r="Z79" s="260"/>
    </row>
    <row r="80">
      <c r="A80" s="267">
        <v>45915.0</v>
      </c>
      <c r="B80" s="21" t="s">
        <v>2889</v>
      </c>
      <c r="C80" s="21" t="s">
        <v>9166</v>
      </c>
      <c r="D80" s="21" t="s">
        <v>9153</v>
      </c>
      <c r="E80" s="21" t="s">
        <v>9154</v>
      </c>
      <c r="F80" s="268" t="s">
        <v>9155</v>
      </c>
      <c r="G80" s="21" t="s">
        <v>9156</v>
      </c>
      <c r="H80" s="21" t="s">
        <v>5958</v>
      </c>
      <c r="I80" s="21" t="s">
        <v>9164</v>
      </c>
      <c r="J80" s="21" t="s">
        <v>8911</v>
      </c>
      <c r="K80" s="261">
        <v>45957.0</v>
      </c>
      <c r="L80" s="261">
        <v>45971.0</v>
      </c>
      <c r="M80" s="21" t="s">
        <v>9251</v>
      </c>
      <c r="N80" s="21" t="s">
        <v>22</v>
      </c>
      <c r="O80" s="260"/>
      <c r="P80" s="260"/>
      <c r="Q80" s="260"/>
      <c r="R80" s="260"/>
      <c r="S80" s="260"/>
      <c r="T80" s="260"/>
      <c r="U80" s="260"/>
      <c r="V80" s="260"/>
      <c r="W80" s="260"/>
      <c r="X80" s="260"/>
      <c r="Y80" s="260"/>
      <c r="Z80" s="260"/>
    </row>
    <row r="81">
      <c r="A81" s="267">
        <v>45915.0</v>
      </c>
      <c r="B81" s="21" t="s">
        <v>2589</v>
      </c>
      <c r="C81" s="21" t="s">
        <v>9166</v>
      </c>
      <c r="D81" s="21" t="s">
        <v>9153</v>
      </c>
      <c r="E81" s="21" t="s">
        <v>9154</v>
      </c>
      <c r="F81" s="268" t="s">
        <v>9155</v>
      </c>
      <c r="G81" s="21" t="s">
        <v>9156</v>
      </c>
      <c r="H81" s="21" t="s">
        <v>5958</v>
      </c>
      <c r="I81" s="21" t="s">
        <v>9164</v>
      </c>
      <c r="J81" s="21" t="s">
        <v>8911</v>
      </c>
      <c r="K81" s="261">
        <v>45957.0</v>
      </c>
      <c r="L81" s="261">
        <v>45971.0</v>
      </c>
      <c r="M81" s="21" t="s">
        <v>9252</v>
      </c>
      <c r="N81" s="21" t="s">
        <v>22</v>
      </c>
      <c r="O81" s="260"/>
      <c r="P81" s="260"/>
      <c r="Q81" s="260"/>
      <c r="R81" s="260"/>
      <c r="S81" s="260"/>
      <c r="T81" s="260"/>
      <c r="U81" s="260"/>
      <c r="V81" s="260"/>
      <c r="W81" s="260"/>
      <c r="X81" s="260"/>
      <c r="Y81" s="260"/>
      <c r="Z81" s="260"/>
    </row>
    <row r="82">
      <c r="A82" s="267">
        <v>45915.0</v>
      </c>
      <c r="B82" s="21" t="s">
        <v>2534</v>
      </c>
      <c r="C82" s="21" t="s">
        <v>9166</v>
      </c>
      <c r="D82" s="21" t="s">
        <v>9153</v>
      </c>
      <c r="E82" s="21" t="s">
        <v>9154</v>
      </c>
      <c r="F82" s="268" t="s">
        <v>9155</v>
      </c>
      <c r="G82" s="21" t="s">
        <v>9156</v>
      </c>
      <c r="H82" s="21" t="s">
        <v>5958</v>
      </c>
      <c r="I82" s="21" t="s">
        <v>9164</v>
      </c>
      <c r="J82" s="21" t="s">
        <v>8911</v>
      </c>
      <c r="K82" s="261">
        <v>45957.0</v>
      </c>
      <c r="L82" s="261">
        <v>45971.0</v>
      </c>
      <c r="M82" s="21" t="s">
        <v>9253</v>
      </c>
      <c r="N82" s="21" t="s">
        <v>22</v>
      </c>
      <c r="O82" s="260"/>
      <c r="P82" s="260"/>
      <c r="Q82" s="260"/>
      <c r="R82" s="260"/>
      <c r="S82" s="260"/>
      <c r="T82" s="260"/>
      <c r="U82" s="260"/>
      <c r="V82" s="260"/>
      <c r="W82" s="260"/>
      <c r="X82" s="260"/>
      <c r="Y82" s="260"/>
      <c r="Z82" s="260"/>
    </row>
    <row r="83">
      <c r="A83" s="267">
        <v>45915.0</v>
      </c>
      <c r="B83" s="21" t="s">
        <v>1759</v>
      </c>
      <c r="C83" s="21" t="s">
        <v>9166</v>
      </c>
      <c r="D83" s="21" t="s">
        <v>9153</v>
      </c>
      <c r="E83" s="21" t="s">
        <v>9154</v>
      </c>
      <c r="F83" s="268" t="s">
        <v>9155</v>
      </c>
      <c r="G83" s="21" t="s">
        <v>9163</v>
      </c>
      <c r="H83" s="21" t="s">
        <v>5970</v>
      </c>
      <c r="I83" s="21" t="s">
        <v>9164</v>
      </c>
      <c r="J83" s="21" t="s">
        <v>8911</v>
      </c>
      <c r="K83" s="261">
        <v>45957.0</v>
      </c>
      <c r="L83" s="261">
        <v>45971.0</v>
      </c>
      <c r="M83" s="21" t="s">
        <v>9254</v>
      </c>
      <c r="N83" s="21" t="s">
        <v>22</v>
      </c>
      <c r="O83" s="260"/>
      <c r="P83" s="260"/>
      <c r="Q83" s="260"/>
      <c r="R83" s="260"/>
      <c r="S83" s="260"/>
      <c r="T83" s="260"/>
      <c r="U83" s="260"/>
      <c r="V83" s="260"/>
      <c r="W83" s="260"/>
      <c r="X83" s="260"/>
      <c r="Y83" s="260"/>
      <c r="Z83" s="260"/>
    </row>
    <row r="84">
      <c r="A84" s="267">
        <v>45918.0</v>
      </c>
      <c r="B84" s="21" t="s">
        <v>1926</v>
      </c>
      <c r="C84" s="21" t="s">
        <v>9166</v>
      </c>
      <c r="D84" s="21" t="s">
        <v>9153</v>
      </c>
      <c r="E84" s="21" t="s">
        <v>9154</v>
      </c>
      <c r="F84" s="268" t="s">
        <v>9155</v>
      </c>
      <c r="G84" s="21" t="s">
        <v>9223</v>
      </c>
      <c r="H84" s="21" t="s">
        <v>5956</v>
      </c>
      <c r="I84" s="21" t="s">
        <v>9164</v>
      </c>
      <c r="J84" s="21" t="s">
        <v>8911</v>
      </c>
      <c r="K84" s="261">
        <v>45960.0</v>
      </c>
      <c r="L84" s="261">
        <v>45974.0</v>
      </c>
      <c r="M84" s="21" t="s">
        <v>9255</v>
      </c>
      <c r="N84" s="21" t="s">
        <v>22</v>
      </c>
      <c r="O84" s="260"/>
      <c r="P84" s="260"/>
      <c r="Q84" s="260"/>
      <c r="R84" s="260"/>
      <c r="S84" s="260"/>
      <c r="T84" s="260"/>
      <c r="U84" s="260"/>
      <c r="V84" s="260"/>
      <c r="W84" s="260"/>
      <c r="X84" s="260"/>
      <c r="Y84" s="260"/>
      <c r="Z84" s="260"/>
    </row>
    <row r="85">
      <c r="A85" s="267">
        <v>45918.0</v>
      </c>
      <c r="B85" s="21" t="s">
        <v>2691</v>
      </c>
      <c r="C85" s="21" t="s">
        <v>9166</v>
      </c>
      <c r="D85" s="21" t="s">
        <v>9153</v>
      </c>
      <c r="E85" s="21" t="s">
        <v>9154</v>
      </c>
      <c r="F85" s="268" t="s">
        <v>9155</v>
      </c>
      <c r="G85" s="21" t="s">
        <v>9223</v>
      </c>
      <c r="H85" s="21" t="s">
        <v>5956</v>
      </c>
      <c r="I85" s="21" t="s">
        <v>9164</v>
      </c>
      <c r="J85" s="21" t="s">
        <v>8911</v>
      </c>
      <c r="K85" s="261">
        <v>45960.0</v>
      </c>
      <c r="L85" s="261">
        <v>45974.0</v>
      </c>
      <c r="M85" s="21" t="s">
        <v>9256</v>
      </c>
      <c r="N85" s="21" t="s">
        <v>22</v>
      </c>
      <c r="O85" s="260"/>
      <c r="P85" s="260"/>
      <c r="Q85" s="260"/>
      <c r="R85" s="260"/>
      <c r="S85" s="260"/>
      <c r="T85" s="260"/>
      <c r="U85" s="260"/>
      <c r="V85" s="260"/>
      <c r="W85" s="260"/>
      <c r="X85" s="260"/>
      <c r="Y85" s="260"/>
      <c r="Z85" s="260"/>
    </row>
    <row r="86">
      <c r="A86" s="267">
        <v>45918.0</v>
      </c>
      <c r="B86" s="21" t="s">
        <v>2689</v>
      </c>
      <c r="C86" s="21" t="s">
        <v>9166</v>
      </c>
      <c r="D86" s="21" t="s">
        <v>9153</v>
      </c>
      <c r="E86" s="21" t="s">
        <v>9154</v>
      </c>
      <c r="F86" s="268" t="s">
        <v>9155</v>
      </c>
      <c r="G86" s="21" t="s">
        <v>9223</v>
      </c>
      <c r="H86" s="21" t="s">
        <v>5956</v>
      </c>
      <c r="I86" s="21" t="s">
        <v>9164</v>
      </c>
      <c r="J86" s="21" t="s">
        <v>8911</v>
      </c>
      <c r="K86" s="261">
        <v>45960.0</v>
      </c>
      <c r="L86" s="261">
        <v>45974.0</v>
      </c>
      <c r="M86" s="268" t="s">
        <v>9257</v>
      </c>
      <c r="N86" s="21" t="s">
        <v>22</v>
      </c>
      <c r="O86" s="260"/>
      <c r="P86" s="260"/>
      <c r="Q86" s="260"/>
      <c r="R86" s="260"/>
      <c r="S86" s="260"/>
      <c r="T86" s="260"/>
      <c r="U86" s="260"/>
      <c r="V86" s="260"/>
      <c r="W86" s="260"/>
      <c r="X86" s="260"/>
      <c r="Y86" s="260"/>
      <c r="Z86" s="260"/>
    </row>
    <row r="87">
      <c r="A87" s="267">
        <v>45918.0</v>
      </c>
      <c r="B87" s="21" t="s">
        <v>1924</v>
      </c>
      <c r="C87" s="21" t="s">
        <v>9166</v>
      </c>
      <c r="D87" s="21" t="s">
        <v>9153</v>
      </c>
      <c r="E87" s="21" t="s">
        <v>9154</v>
      </c>
      <c r="F87" s="268" t="s">
        <v>9155</v>
      </c>
      <c r="G87" s="21" t="s">
        <v>9223</v>
      </c>
      <c r="H87" s="21" t="s">
        <v>5956</v>
      </c>
      <c r="I87" s="21" t="s">
        <v>9164</v>
      </c>
      <c r="J87" s="21" t="s">
        <v>8911</v>
      </c>
      <c r="K87" s="261">
        <v>45960.0</v>
      </c>
      <c r="L87" s="261">
        <v>45974.0</v>
      </c>
      <c r="M87" s="21" t="s">
        <v>9258</v>
      </c>
      <c r="N87" s="21" t="s">
        <v>22</v>
      </c>
      <c r="O87" s="260"/>
      <c r="P87" s="260"/>
      <c r="Q87" s="260"/>
      <c r="R87" s="260"/>
      <c r="S87" s="260"/>
      <c r="T87" s="260"/>
      <c r="U87" s="260"/>
      <c r="V87" s="260"/>
      <c r="W87" s="260"/>
      <c r="X87" s="260"/>
      <c r="Y87" s="260"/>
      <c r="Z87" s="260"/>
    </row>
    <row r="88">
      <c r="A88" s="267">
        <v>45918.0</v>
      </c>
      <c r="B88" s="21" t="s">
        <v>9259</v>
      </c>
      <c r="C88" s="21" t="s">
        <v>9166</v>
      </c>
      <c r="D88" s="21" t="s">
        <v>9153</v>
      </c>
      <c r="E88" s="21" t="s">
        <v>9154</v>
      </c>
      <c r="F88" s="268" t="s">
        <v>9155</v>
      </c>
      <c r="G88" s="21" t="s">
        <v>9156</v>
      </c>
      <c r="H88" s="21" t="s">
        <v>5958</v>
      </c>
      <c r="I88" s="21" t="s">
        <v>9164</v>
      </c>
      <c r="J88" s="21" t="s">
        <v>8911</v>
      </c>
      <c r="K88" s="261">
        <v>45960.0</v>
      </c>
      <c r="L88" s="261">
        <v>45974.0</v>
      </c>
      <c r="M88" s="21" t="s">
        <v>9260</v>
      </c>
      <c r="N88" s="21" t="s">
        <v>22</v>
      </c>
      <c r="O88" s="260"/>
      <c r="P88" s="260"/>
      <c r="Q88" s="260"/>
      <c r="R88" s="260"/>
      <c r="S88" s="260"/>
      <c r="T88" s="260"/>
      <c r="U88" s="260"/>
      <c r="V88" s="260"/>
      <c r="W88" s="260"/>
      <c r="X88" s="260"/>
      <c r="Y88" s="260"/>
      <c r="Z88" s="260"/>
    </row>
    <row r="89">
      <c r="A89" s="267">
        <v>45918.0</v>
      </c>
      <c r="B89" s="21" t="s">
        <v>1571</v>
      </c>
      <c r="C89" s="21" t="s">
        <v>9166</v>
      </c>
      <c r="D89" s="21" t="s">
        <v>9153</v>
      </c>
      <c r="E89" s="21" t="s">
        <v>9154</v>
      </c>
      <c r="F89" s="268" t="s">
        <v>9155</v>
      </c>
      <c r="G89" s="21" t="s">
        <v>8589</v>
      </c>
      <c r="H89" s="21" t="s">
        <v>5974</v>
      </c>
      <c r="I89" s="21" t="s">
        <v>9164</v>
      </c>
      <c r="J89" s="21" t="s">
        <v>8911</v>
      </c>
      <c r="K89" s="261">
        <v>45960.0</v>
      </c>
      <c r="L89" s="261">
        <v>45974.0</v>
      </c>
      <c r="M89" s="21" t="s">
        <v>9261</v>
      </c>
      <c r="N89" s="21" t="s">
        <v>22</v>
      </c>
      <c r="O89" s="260"/>
      <c r="P89" s="260"/>
      <c r="Q89" s="260"/>
      <c r="R89" s="260"/>
      <c r="S89" s="260"/>
      <c r="T89" s="260"/>
      <c r="U89" s="260"/>
      <c r="V89" s="260"/>
      <c r="W89" s="260"/>
      <c r="X89" s="260"/>
      <c r="Y89" s="260"/>
      <c r="Z89" s="260"/>
    </row>
    <row r="90">
      <c r="A90" s="267">
        <v>45918.0</v>
      </c>
      <c r="B90" s="21" t="s">
        <v>2155</v>
      </c>
      <c r="C90" s="21" t="s">
        <v>9166</v>
      </c>
      <c r="D90" s="21" t="s">
        <v>9153</v>
      </c>
      <c r="E90" s="21" t="s">
        <v>9154</v>
      </c>
      <c r="F90" s="268" t="s">
        <v>9155</v>
      </c>
      <c r="G90" s="21" t="s">
        <v>9163</v>
      </c>
      <c r="H90" s="21" t="s">
        <v>5970</v>
      </c>
      <c r="I90" s="21" t="s">
        <v>9164</v>
      </c>
      <c r="J90" s="21" t="s">
        <v>8911</v>
      </c>
      <c r="K90" s="261">
        <v>45960.0</v>
      </c>
      <c r="L90" s="261">
        <v>45974.0</v>
      </c>
      <c r="M90" s="21" t="s">
        <v>9262</v>
      </c>
      <c r="N90" s="21" t="s">
        <v>22</v>
      </c>
      <c r="O90" s="260"/>
      <c r="P90" s="260"/>
      <c r="Q90" s="260"/>
      <c r="R90" s="260"/>
      <c r="S90" s="260"/>
      <c r="T90" s="260"/>
      <c r="U90" s="260"/>
      <c r="V90" s="260"/>
      <c r="W90" s="260"/>
      <c r="X90" s="260"/>
      <c r="Y90" s="260"/>
      <c r="Z90" s="260"/>
    </row>
    <row r="91">
      <c r="A91" s="267">
        <v>45918.0</v>
      </c>
      <c r="B91" s="21" t="s">
        <v>1628</v>
      </c>
      <c r="C91" s="21" t="s">
        <v>9166</v>
      </c>
      <c r="D91" s="21" t="s">
        <v>9153</v>
      </c>
      <c r="E91" s="21" t="s">
        <v>9154</v>
      </c>
      <c r="F91" s="268" t="s">
        <v>9155</v>
      </c>
      <c r="G91" s="21" t="s">
        <v>9156</v>
      </c>
      <c r="H91" s="21" t="s">
        <v>5958</v>
      </c>
      <c r="I91" s="21" t="s">
        <v>9164</v>
      </c>
      <c r="J91" s="21" t="s">
        <v>8911</v>
      </c>
      <c r="K91" s="261">
        <v>45960.0</v>
      </c>
      <c r="L91" s="261">
        <v>45974.0</v>
      </c>
      <c r="M91" s="21" t="s">
        <v>9263</v>
      </c>
      <c r="N91" s="21" t="s">
        <v>22</v>
      </c>
      <c r="O91" s="260"/>
      <c r="P91" s="260"/>
      <c r="Q91" s="260"/>
      <c r="R91" s="260"/>
      <c r="S91" s="260"/>
      <c r="T91" s="260"/>
      <c r="U91" s="260"/>
      <c r="V91" s="260"/>
      <c r="W91" s="260"/>
      <c r="X91" s="260"/>
      <c r="Y91" s="260"/>
      <c r="Z91" s="260"/>
    </row>
    <row r="92">
      <c r="A92" s="267">
        <v>45918.0</v>
      </c>
      <c r="B92" s="21" t="s">
        <v>1483</v>
      </c>
      <c r="C92" s="21" t="s">
        <v>9166</v>
      </c>
      <c r="D92" s="21" t="s">
        <v>9153</v>
      </c>
      <c r="E92" s="21" t="s">
        <v>9154</v>
      </c>
      <c r="F92" s="268" t="s">
        <v>9155</v>
      </c>
      <c r="G92" s="21" t="s">
        <v>9163</v>
      </c>
      <c r="H92" s="21" t="s">
        <v>5970</v>
      </c>
      <c r="I92" s="21" t="s">
        <v>9164</v>
      </c>
      <c r="J92" s="21" t="s">
        <v>8911</v>
      </c>
      <c r="K92" s="261">
        <v>45960.0</v>
      </c>
      <c r="L92" s="261">
        <v>45974.0</v>
      </c>
      <c r="M92" s="21" t="s">
        <v>9264</v>
      </c>
      <c r="N92" s="21" t="s">
        <v>22</v>
      </c>
      <c r="O92" s="260"/>
      <c r="P92" s="260"/>
      <c r="Q92" s="260"/>
      <c r="R92" s="260"/>
      <c r="S92" s="260"/>
      <c r="T92" s="260"/>
      <c r="U92" s="260"/>
      <c r="V92" s="260"/>
      <c r="W92" s="260"/>
      <c r="X92" s="260"/>
      <c r="Y92" s="260"/>
      <c r="Z92" s="260"/>
    </row>
    <row r="93">
      <c r="A93" s="267">
        <v>45918.0</v>
      </c>
      <c r="B93" s="21" t="s">
        <v>2159</v>
      </c>
      <c r="C93" s="21" t="s">
        <v>9166</v>
      </c>
      <c r="D93" s="21" t="s">
        <v>9153</v>
      </c>
      <c r="E93" s="21" t="s">
        <v>9154</v>
      </c>
      <c r="F93" s="268" t="s">
        <v>9155</v>
      </c>
      <c r="G93" s="21" t="s">
        <v>8589</v>
      </c>
      <c r="H93" s="21" t="s">
        <v>5974</v>
      </c>
      <c r="I93" s="21" t="s">
        <v>9164</v>
      </c>
      <c r="J93" s="21" t="s">
        <v>8911</v>
      </c>
      <c r="K93" s="261">
        <v>45960.0</v>
      </c>
      <c r="L93" s="261">
        <v>45974.0</v>
      </c>
      <c r="M93" s="21" t="s">
        <v>9265</v>
      </c>
      <c r="N93" s="21" t="s">
        <v>22</v>
      </c>
      <c r="O93" s="260"/>
      <c r="P93" s="260"/>
      <c r="Q93" s="260"/>
      <c r="R93" s="260"/>
      <c r="S93" s="260"/>
      <c r="T93" s="260"/>
      <c r="U93" s="260"/>
      <c r="V93" s="260"/>
      <c r="W93" s="260"/>
      <c r="X93" s="260"/>
      <c r="Y93" s="260"/>
      <c r="Z93" s="260"/>
    </row>
    <row r="94">
      <c r="A94" s="267">
        <v>45915.0</v>
      </c>
      <c r="B94" s="21" t="s">
        <v>1579</v>
      </c>
      <c r="C94" s="21" t="s">
        <v>9166</v>
      </c>
      <c r="D94" s="21" t="s">
        <v>9153</v>
      </c>
      <c r="E94" s="21" t="s">
        <v>9154</v>
      </c>
      <c r="F94" s="268" t="s">
        <v>9155</v>
      </c>
      <c r="G94" s="21" t="s">
        <v>9163</v>
      </c>
      <c r="H94" s="21" t="s">
        <v>5970</v>
      </c>
      <c r="I94" s="21" t="s">
        <v>9164</v>
      </c>
      <c r="J94" s="21" t="s">
        <v>8911</v>
      </c>
      <c r="K94" s="261">
        <v>45957.0</v>
      </c>
      <c r="L94" s="261">
        <v>45971.0</v>
      </c>
      <c r="M94" s="21" t="s">
        <v>9266</v>
      </c>
      <c r="N94" s="21" t="s">
        <v>22</v>
      </c>
      <c r="O94" s="260"/>
      <c r="P94" s="260"/>
      <c r="Q94" s="260"/>
      <c r="R94" s="260"/>
      <c r="S94" s="260"/>
      <c r="T94" s="260"/>
      <c r="U94" s="260"/>
      <c r="V94" s="260"/>
      <c r="W94" s="260"/>
      <c r="X94" s="260"/>
      <c r="Y94" s="260"/>
      <c r="Z94" s="260"/>
    </row>
    <row r="95">
      <c r="A95" s="267">
        <v>45918.0</v>
      </c>
      <c r="B95" s="21" t="s">
        <v>1609</v>
      </c>
      <c r="C95" s="21" t="s">
        <v>9166</v>
      </c>
      <c r="D95" s="21" t="s">
        <v>9153</v>
      </c>
      <c r="E95" s="21" t="s">
        <v>9154</v>
      </c>
      <c r="F95" s="268" t="s">
        <v>9155</v>
      </c>
      <c r="G95" s="21" t="s">
        <v>8589</v>
      </c>
      <c r="H95" s="21" t="s">
        <v>5974</v>
      </c>
      <c r="I95" s="21" t="s">
        <v>9164</v>
      </c>
      <c r="J95" s="21" t="s">
        <v>8911</v>
      </c>
      <c r="K95" s="261">
        <v>45960.0</v>
      </c>
      <c r="L95" s="261">
        <v>45974.0</v>
      </c>
      <c r="M95" s="21" t="s">
        <v>9267</v>
      </c>
      <c r="N95" s="21" t="s">
        <v>22</v>
      </c>
      <c r="O95" s="260"/>
      <c r="P95" s="260"/>
      <c r="Q95" s="260"/>
      <c r="R95" s="260"/>
      <c r="S95" s="260"/>
      <c r="T95" s="260"/>
      <c r="U95" s="260"/>
      <c r="V95" s="260"/>
      <c r="W95" s="260"/>
      <c r="X95" s="260"/>
      <c r="Y95" s="260"/>
      <c r="Z95" s="260"/>
    </row>
    <row r="96">
      <c r="A96" s="267">
        <v>45918.0</v>
      </c>
      <c r="B96" s="21" t="s">
        <v>3082</v>
      </c>
      <c r="C96" s="21" t="s">
        <v>9166</v>
      </c>
      <c r="D96" s="21" t="s">
        <v>9153</v>
      </c>
      <c r="E96" s="21" t="s">
        <v>9154</v>
      </c>
      <c r="F96" s="268" t="s">
        <v>9155</v>
      </c>
      <c r="G96" s="21" t="s">
        <v>9163</v>
      </c>
      <c r="H96" s="21" t="s">
        <v>5970</v>
      </c>
      <c r="I96" s="21" t="s">
        <v>9164</v>
      </c>
      <c r="J96" s="21" t="s">
        <v>8911</v>
      </c>
      <c r="K96" s="261">
        <v>45960.0</v>
      </c>
      <c r="L96" s="261">
        <v>45974.0</v>
      </c>
      <c r="M96" s="21" t="s">
        <v>9268</v>
      </c>
      <c r="N96" s="21" t="s">
        <v>22</v>
      </c>
      <c r="O96" s="260"/>
      <c r="P96" s="260"/>
      <c r="Q96" s="260"/>
      <c r="R96" s="260"/>
      <c r="S96" s="260"/>
      <c r="T96" s="260"/>
      <c r="U96" s="260"/>
      <c r="V96" s="260"/>
      <c r="W96" s="260"/>
      <c r="X96" s="260"/>
      <c r="Y96" s="260"/>
      <c r="Z96" s="260"/>
    </row>
    <row r="97">
      <c r="A97" s="267">
        <v>45918.0</v>
      </c>
      <c r="B97" s="21" t="s">
        <v>9269</v>
      </c>
      <c r="C97" s="21" t="s">
        <v>9166</v>
      </c>
      <c r="D97" s="21" t="s">
        <v>9153</v>
      </c>
      <c r="E97" s="21" t="s">
        <v>9154</v>
      </c>
      <c r="F97" s="268" t="s">
        <v>9155</v>
      </c>
      <c r="G97" s="21" t="s">
        <v>8589</v>
      </c>
      <c r="H97" s="21" t="s">
        <v>5974</v>
      </c>
      <c r="I97" s="21" t="s">
        <v>9164</v>
      </c>
      <c r="J97" s="21" t="s">
        <v>8911</v>
      </c>
      <c r="K97" s="261">
        <v>45960.0</v>
      </c>
      <c r="L97" s="261">
        <v>45974.0</v>
      </c>
      <c r="M97" s="21" t="s">
        <v>9270</v>
      </c>
      <c r="N97" s="21" t="s">
        <v>22</v>
      </c>
      <c r="O97" s="260"/>
      <c r="P97" s="260"/>
      <c r="Q97" s="260"/>
      <c r="R97" s="260"/>
      <c r="S97" s="260"/>
      <c r="T97" s="260"/>
      <c r="U97" s="260"/>
      <c r="V97" s="260"/>
      <c r="W97" s="260"/>
      <c r="X97" s="260"/>
      <c r="Y97" s="260"/>
      <c r="Z97" s="260"/>
    </row>
    <row r="98">
      <c r="A98" s="267">
        <v>45918.0</v>
      </c>
      <c r="B98" s="21" t="s">
        <v>1568</v>
      </c>
      <c r="C98" s="21" t="s">
        <v>9166</v>
      </c>
      <c r="D98" s="21" t="s">
        <v>9153</v>
      </c>
      <c r="E98" s="21" t="s">
        <v>9154</v>
      </c>
      <c r="F98" s="268" t="s">
        <v>9155</v>
      </c>
      <c r="G98" s="21" t="s">
        <v>9163</v>
      </c>
      <c r="H98" s="21" t="s">
        <v>5970</v>
      </c>
      <c r="I98" s="21" t="s">
        <v>9164</v>
      </c>
      <c r="J98" s="21" t="s">
        <v>8911</v>
      </c>
      <c r="K98" s="261">
        <v>45960.0</v>
      </c>
      <c r="L98" s="261">
        <v>45974.0</v>
      </c>
      <c r="M98" s="21" t="s">
        <v>9271</v>
      </c>
      <c r="N98" s="21" t="s">
        <v>22</v>
      </c>
      <c r="O98" s="260"/>
      <c r="P98" s="260"/>
      <c r="Q98" s="260"/>
      <c r="R98" s="260"/>
      <c r="S98" s="260"/>
      <c r="T98" s="260"/>
      <c r="U98" s="260"/>
      <c r="V98" s="260"/>
      <c r="W98" s="260"/>
      <c r="X98" s="260"/>
      <c r="Y98" s="260"/>
      <c r="Z98" s="260"/>
    </row>
    <row r="99">
      <c r="A99" s="267">
        <v>45918.0</v>
      </c>
      <c r="B99" s="21" t="s">
        <v>2857</v>
      </c>
      <c r="C99" s="21" t="s">
        <v>9166</v>
      </c>
      <c r="D99" s="21" t="s">
        <v>9153</v>
      </c>
      <c r="E99" s="21" t="s">
        <v>9154</v>
      </c>
      <c r="F99" s="268" t="s">
        <v>9155</v>
      </c>
      <c r="G99" s="21" t="s">
        <v>9156</v>
      </c>
      <c r="H99" s="21" t="s">
        <v>5958</v>
      </c>
      <c r="I99" s="21" t="s">
        <v>9164</v>
      </c>
      <c r="J99" s="21" t="s">
        <v>8911</v>
      </c>
      <c r="K99" s="261">
        <v>45960.0</v>
      </c>
      <c r="L99" s="261">
        <v>45974.0</v>
      </c>
      <c r="M99" s="21" t="s">
        <v>9272</v>
      </c>
      <c r="N99" s="21" t="s">
        <v>22</v>
      </c>
      <c r="O99" s="260"/>
      <c r="P99" s="260"/>
      <c r="Q99" s="260"/>
      <c r="R99" s="260"/>
      <c r="S99" s="260"/>
      <c r="T99" s="260"/>
      <c r="U99" s="260"/>
      <c r="V99" s="260"/>
      <c r="W99" s="260"/>
      <c r="X99" s="260"/>
      <c r="Y99" s="260"/>
      <c r="Z99" s="260"/>
    </row>
    <row r="100">
      <c r="A100" s="267">
        <v>45918.0</v>
      </c>
      <c r="B100" s="21" t="s">
        <v>1505</v>
      </c>
      <c r="C100" s="21" t="s">
        <v>9166</v>
      </c>
      <c r="D100" s="21" t="s">
        <v>9153</v>
      </c>
      <c r="E100" s="21" t="s">
        <v>9154</v>
      </c>
      <c r="F100" s="268" t="s">
        <v>9155</v>
      </c>
      <c r="G100" s="21" t="s">
        <v>9156</v>
      </c>
      <c r="H100" s="21" t="s">
        <v>5958</v>
      </c>
      <c r="I100" s="21" t="s">
        <v>9164</v>
      </c>
      <c r="J100" s="21" t="s">
        <v>8911</v>
      </c>
      <c r="K100" s="261">
        <v>45960.0</v>
      </c>
      <c r="L100" s="261">
        <v>45974.0</v>
      </c>
      <c r="M100" s="21" t="s">
        <v>9273</v>
      </c>
      <c r="N100" s="21" t="s">
        <v>22</v>
      </c>
      <c r="O100" s="260"/>
      <c r="P100" s="260"/>
      <c r="Q100" s="260"/>
      <c r="R100" s="260"/>
      <c r="S100" s="260"/>
      <c r="T100" s="260"/>
      <c r="U100" s="260"/>
      <c r="V100" s="260"/>
      <c r="W100" s="260"/>
      <c r="X100" s="260"/>
      <c r="Y100" s="260"/>
      <c r="Z100" s="260"/>
    </row>
    <row r="101">
      <c r="A101" s="267">
        <v>45918.0</v>
      </c>
      <c r="B101" s="21" t="s">
        <v>9274</v>
      </c>
      <c r="C101" s="21" t="s">
        <v>9166</v>
      </c>
      <c r="D101" s="21" t="s">
        <v>9153</v>
      </c>
      <c r="E101" s="21" t="s">
        <v>9154</v>
      </c>
      <c r="F101" s="268" t="s">
        <v>9155</v>
      </c>
      <c r="G101" s="21" t="s">
        <v>9163</v>
      </c>
      <c r="H101" s="21" t="s">
        <v>5970</v>
      </c>
      <c r="I101" s="21" t="s">
        <v>9164</v>
      </c>
      <c r="J101" s="21" t="s">
        <v>8911</v>
      </c>
      <c r="K101" s="261">
        <v>45960.0</v>
      </c>
      <c r="L101" s="261">
        <v>45974.0</v>
      </c>
      <c r="M101" s="21" t="s">
        <v>9275</v>
      </c>
      <c r="N101" s="21" t="s">
        <v>22</v>
      </c>
      <c r="O101" s="260"/>
      <c r="P101" s="260"/>
      <c r="Q101" s="260"/>
      <c r="R101" s="260"/>
      <c r="S101" s="260"/>
      <c r="T101" s="260"/>
      <c r="U101" s="260"/>
      <c r="V101" s="260"/>
      <c r="W101" s="260"/>
      <c r="X101" s="260"/>
      <c r="Y101" s="260"/>
      <c r="Z101" s="260"/>
    </row>
    <row r="102">
      <c r="A102" s="267">
        <v>45918.0</v>
      </c>
      <c r="B102" s="21" t="s">
        <v>3037</v>
      </c>
      <c r="C102" s="21" t="s">
        <v>9166</v>
      </c>
      <c r="D102" s="21" t="s">
        <v>9153</v>
      </c>
      <c r="E102" s="21" t="s">
        <v>9154</v>
      </c>
      <c r="F102" s="268" t="s">
        <v>9155</v>
      </c>
      <c r="G102" s="21" t="s">
        <v>9163</v>
      </c>
      <c r="H102" s="21" t="s">
        <v>5970</v>
      </c>
      <c r="I102" s="21" t="s">
        <v>9164</v>
      </c>
      <c r="J102" s="21" t="s">
        <v>8911</v>
      </c>
      <c r="K102" s="261">
        <v>45960.0</v>
      </c>
      <c r="L102" s="261">
        <v>45974.0</v>
      </c>
      <c r="M102" s="21" t="s">
        <v>9276</v>
      </c>
      <c r="N102" s="21" t="s">
        <v>22</v>
      </c>
      <c r="O102" s="260"/>
      <c r="P102" s="260"/>
      <c r="Q102" s="260"/>
      <c r="R102" s="260"/>
      <c r="S102" s="260"/>
      <c r="T102" s="260"/>
      <c r="U102" s="260"/>
      <c r="V102" s="260"/>
      <c r="W102" s="260"/>
      <c r="X102" s="260"/>
      <c r="Y102" s="260"/>
      <c r="Z102" s="260"/>
    </row>
    <row r="103">
      <c r="A103" s="267">
        <v>45918.0</v>
      </c>
      <c r="B103" s="21" t="s">
        <v>1507</v>
      </c>
      <c r="C103" s="21" t="s">
        <v>9166</v>
      </c>
      <c r="D103" s="21" t="s">
        <v>9153</v>
      </c>
      <c r="E103" s="21" t="s">
        <v>9154</v>
      </c>
      <c r="F103" s="268" t="s">
        <v>9155</v>
      </c>
      <c r="G103" s="21" t="s">
        <v>9163</v>
      </c>
      <c r="H103" s="21" t="s">
        <v>5970</v>
      </c>
      <c r="I103" s="21" t="s">
        <v>9164</v>
      </c>
      <c r="J103" s="21" t="s">
        <v>8911</v>
      </c>
      <c r="K103" s="261">
        <v>45960.0</v>
      </c>
      <c r="L103" s="261">
        <v>45974.0</v>
      </c>
      <c r="M103" s="21" t="s">
        <v>9277</v>
      </c>
      <c r="N103" s="21" t="s">
        <v>22</v>
      </c>
      <c r="O103" s="260"/>
      <c r="P103" s="260"/>
      <c r="Q103" s="260"/>
      <c r="R103" s="260"/>
      <c r="S103" s="260"/>
      <c r="T103" s="260"/>
      <c r="U103" s="260"/>
      <c r="V103" s="260"/>
      <c r="W103" s="260"/>
      <c r="X103" s="260"/>
      <c r="Y103" s="260"/>
      <c r="Z103" s="260"/>
    </row>
    <row r="104">
      <c r="A104" s="267">
        <v>45918.0</v>
      </c>
      <c r="B104" s="21" t="s">
        <v>1521</v>
      </c>
      <c r="C104" s="21" t="s">
        <v>9166</v>
      </c>
      <c r="D104" s="21" t="s">
        <v>9153</v>
      </c>
      <c r="E104" s="21" t="s">
        <v>9154</v>
      </c>
      <c r="F104" s="268" t="s">
        <v>9155</v>
      </c>
      <c r="G104" s="21" t="s">
        <v>9223</v>
      </c>
      <c r="H104" s="21" t="s">
        <v>5956</v>
      </c>
      <c r="I104" s="21" t="s">
        <v>9164</v>
      </c>
      <c r="J104" s="21" t="s">
        <v>8911</v>
      </c>
      <c r="K104" s="261">
        <v>45960.0</v>
      </c>
      <c r="L104" s="261">
        <v>45974.0</v>
      </c>
      <c r="M104" s="21" t="s">
        <v>9278</v>
      </c>
      <c r="N104" s="21" t="s">
        <v>22</v>
      </c>
      <c r="O104" s="260"/>
      <c r="P104" s="260"/>
      <c r="Q104" s="260"/>
      <c r="R104" s="260"/>
      <c r="S104" s="260"/>
      <c r="T104" s="260"/>
      <c r="U104" s="260"/>
      <c r="V104" s="260"/>
      <c r="W104" s="260"/>
      <c r="X104" s="260"/>
      <c r="Y104" s="260"/>
      <c r="Z104" s="260"/>
    </row>
    <row r="105">
      <c r="A105" s="267">
        <v>45918.0</v>
      </c>
      <c r="B105" s="21" t="s">
        <v>1519</v>
      </c>
      <c r="C105" s="21" t="s">
        <v>9166</v>
      </c>
      <c r="D105" s="21" t="s">
        <v>9153</v>
      </c>
      <c r="E105" s="21" t="s">
        <v>9154</v>
      </c>
      <c r="F105" s="268" t="s">
        <v>9155</v>
      </c>
      <c r="G105" s="21" t="s">
        <v>9156</v>
      </c>
      <c r="H105" s="21" t="s">
        <v>5958</v>
      </c>
      <c r="I105" s="21" t="s">
        <v>9164</v>
      </c>
      <c r="J105" s="21" t="s">
        <v>8911</v>
      </c>
      <c r="K105" s="261">
        <v>45960.0</v>
      </c>
      <c r="L105" s="261">
        <v>45974.0</v>
      </c>
      <c r="M105" s="21" t="s">
        <v>9279</v>
      </c>
      <c r="N105" s="21" t="s">
        <v>22</v>
      </c>
      <c r="O105" s="260"/>
      <c r="P105" s="260"/>
      <c r="Q105" s="260"/>
      <c r="R105" s="260"/>
      <c r="S105" s="260"/>
      <c r="T105" s="260"/>
      <c r="U105" s="260"/>
      <c r="V105" s="260"/>
      <c r="W105" s="260"/>
      <c r="X105" s="260"/>
      <c r="Y105" s="260"/>
      <c r="Z105" s="260"/>
    </row>
    <row r="106">
      <c r="A106" s="267">
        <v>45918.0</v>
      </c>
      <c r="B106" s="21" t="s">
        <v>1509</v>
      </c>
      <c r="C106" s="21" t="s">
        <v>9166</v>
      </c>
      <c r="D106" s="21" t="s">
        <v>9153</v>
      </c>
      <c r="E106" s="21" t="s">
        <v>9154</v>
      </c>
      <c r="F106" s="268" t="s">
        <v>9155</v>
      </c>
      <c r="G106" s="21" t="s">
        <v>9156</v>
      </c>
      <c r="H106" s="21" t="s">
        <v>5958</v>
      </c>
      <c r="I106" s="21" t="s">
        <v>9164</v>
      </c>
      <c r="J106" s="21" t="s">
        <v>8911</v>
      </c>
      <c r="K106" s="261">
        <v>45960.0</v>
      </c>
      <c r="L106" s="261">
        <v>45974.0</v>
      </c>
      <c r="M106" s="21" t="s">
        <v>9280</v>
      </c>
      <c r="N106" s="21" t="s">
        <v>22</v>
      </c>
      <c r="O106" s="260"/>
      <c r="P106" s="260"/>
      <c r="Q106" s="260"/>
      <c r="R106" s="260"/>
      <c r="S106" s="260"/>
      <c r="T106" s="260"/>
      <c r="U106" s="260"/>
      <c r="V106" s="260"/>
      <c r="W106" s="260"/>
      <c r="X106" s="260"/>
      <c r="Y106" s="260"/>
      <c r="Z106" s="260"/>
    </row>
    <row r="107">
      <c r="A107" s="267">
        <v>45918.0</v>
      </c>
      <c r="B107" s="21" t="s">
        <v>9281</v>
      </c>
      <c r="C107" s="21" t="s">
        <v>9166</v>
      </c>
      <c r="D107" s="21" t="s">
        <v>9153</v>
      </c>
      <c r="E107" s="21" t="s">
        <v>9154</v>
      </c>
      <c r="F107" s="268" t="s">
        <v>9155</v>
      </c>
      <c r="G107" s="21" t="s">
        <v>9156</v>
      </c>
      <c r="H107" s="21" t="s">
        <v>5958</v>
      </c>
      <c r="I107" s="21" t="s">
        <v>9164</v>
      </c>
      <c r="J107" s="21" t="s">
        <v>8911</v>
      </c>
      <c r="K107" s="261">
        <v>45960.0</v>
      </c>
      <c r="L107" s="261">
        <v>45974.0</v>
      </c>
      <c r="M107" s="21" t="s">
        <v>9282</v>
      </c>
      <c r="N107" s="21" t="s">
        <v>22</v>
      </c>
      <c r="O107" s="260"/>
      <c r="P107" s="260"/>
      <c r="Q107" s="260"/>
      <c r="R107" s="260"/>
      <c r="S107" s="260"/>
      <c r="T107" s="260"/>
      <c r="U107" s="260"/>
      <c r="V107" s="260"/>
      <c r="W107" s="260"/>
      <c r="X107" s="260"/>
      <c r="Y107" s="260"/>
      <c r="Z107" s="260"/>
    </row>
    <row r="108">
      <c r="A108" s="267">
        <v>45918.0</v>
      </c>
      <c r="B108" s="21" t="s">
        <v>3041</v>
      </c>
      <c r="C108" s="21" t="s">
        <v>9166</v>
      </c>
      <c r="D108" s="21" t="s">
        <v>9153</v>
      </c>
      <c r="E108" s="21" t="s">
        <v>9154</v>
      </c>
      <c r="F108" s="268" t="s">
        <v>9155</v>
      </c>
      <c r="G108" s="21" t="s">
        <v>9156</v>
      </c>
      <c r="H108" s="21" t="s">
        <v>5958</v>
      </c>
      <c r="I108" s="21" t="s">
        <v>9164</v>
      </c>
      <c r="J108" s="21" t="s">
        <v>8911</v>
      </c>
      <c r="K108" s="261">
        <v>45960.0</v>
      </c>
      <c r="L108" s="261">
        <v>45974.0</v>
      </c>
      <c r="M108" s="21" t="s">
        <v>9283</v>
      </c>
      <c r="N108" s="21" t="s">
        <v>22</v>
      </c>
      <c r="O108" s="260"/>
      <c r="P108" s="260"/>
      <c r="Q108" s="260"/>
      <c r="R108" s="260"/>
      <c r="S108" s="260"/>
      <c r="T108" s="260"/>
      <c r="U108" s="260"/>
      <c r="V108" s="260"/>
      <c r="W108" s="260"/>
      <c r="X108" s="260"/>
      <c r="Y108" s="260"/>
      <c r="Z108" s="260"/>
    </row>
    <row r="109">
      <c r="A109" s="267">
        <v>45918.0</v>
      </c>
      <c r="B109" s="21" t="s">
        <v>1797</v>
      </c>
      <c r="C109" s="21" t="s">
        <v>9166</v>
      </c>
      <c r="D109" s="21" t="s">
        <v>9153</v>
      </c>
      <c r="E109" s="21" t="s">
        <v>9154</v>
      </c>
      <c r="F109" s="268" t="s">
        <v>9155</v>
      </c>
      <c r="G109" s="21" t="s">
        <v>9156</v>
      </c>
      <c r="H109" s="21" t="s">
        <v>5958</v>
      </c>
      <c r="I109" s="21" t="s">
        <v>9164</v>
      </c>
      <c r="J109" s="21" t="s">
        <v>8911</v>
      </c>
      <c r="K109" s="261">
        <v>45960.0</v>
      </c>
      <c r="L109" s="261">
        <v>45974.0</v>
      </c>
      <c r="M109" s="21" t="s">
        <v>9284</v>
      </c>
      <c r="N109" s="21" t="s">
        <v>22</v>
      </c>
      <c r="O109" s="260"/>
      <c r="P109" s="260"/>
      <c r="Q109" s="260"/>
      <c r="R109" s="260"/>
      <c r="S109" s="260"/>
      <c r="T109" s="260"/>
      <c r="U109" s="260"/>
      <c r="V109" s="260"/>
      <c r="W109" s="260"/>
      <c r="X109" s="260"/>
      <c r="Y109" s="260"/>
      <c r="Z109" s="260"/>
    </row>
    <row r="110">
      <c r="A110" s="267">
        <v>45918.0</v>
      </c>
      <c r="B110" s="21" t="s">
        <v>9285</v>
      </c>
      <c r="C110" s="21" t="s">
        <v>9166</v>
      </c>
      <c r="D110" s="21" t="s">
        <v>9153</v>
      </c>
      <c r="E110" s="21" t="s">
        <v>9154</v>
      </c>
      <c r="F110" s="268" t="s">
        <v>9155</v>
      </c>
      <c r="G110" s="21" t="s">
        <v>9156</v>
      </c>
      <c r="H110" s="21" t="s">
        <v>5958</v>
      </c>
      <c r="I110" s="21" t="s">
        <v>9164</v>
      </c>
      <c r="J110" s="21" t="s">
        <v>8911</v>
      </c>
      <c r="K110" s="261">
        <v>45960.0</v>
      </c>
      <c r="L110" s="261">
        <v>45974.0</v>
      </c>
      <c r="M110" s="21" t="s">
        <v>9286</v>
      </c>
      <c r="N110" s="21" t="s">
        <v>22</v>
      </c>
      <c r="O110" s="260"/>
      <c r="P110" s="260"/>
      <c r="Q110" s="260"/>
      <c r="R110" s="260"/>
      <c r="S110" s="260"/>
      <c r="T110" s="260"/>
      <c r="U110" s="260"/>
      <c r="V110" s="260"/>
      <c r="W110" s="260"/>
      <c r="X110" s="260"/>
      <c r="Y110" s="260"/>
      <c r="Z110" s="260"/>
    </row>
    <row r="111">
      <c r="A111" s="267">
        <v>45918.0</v>
      </c>
      <c r="B111" s="21" t="s">
        <v>2791</v>
      </c>
      <c r="C111" s="21" t="s">
        <v>9166</v>
      </c>
      <c r="D111" s="21" t="s">
        <v>9153</v>
      </c>
      <c r="E111" s="21" t="s">
        <v>9154</v>
      </c>
      <c r="F111" s="268" t="s">
        <v>9155</v>
      </c>
      <c r="G111" s="21" t="s">
        <v>9223</v>
      </c>
      <c r="H111" s="21" t="s">
        <v>5956</v>
      </c>
      <c r="I111" s="21" t="s">
        <v>9164</v>
      </c>
      <c r="J111" s="21" t="s">
        <v>8911</v>
      </c>
      <c r="K111" s="261">
        <v>45960.0</v>
      </c>
      <c r="L111" s="261">
        <v>45974.0</v>
      </c>
      <c r="M111" s="21" t="s">
        <v>9287</v>
      </c>
      <c r="N111" s="21" t="s">
        <v>22</v>
      </c>
      <c r="O111" s="260"/>
      <c r="P111" s="260"/>
      <c r="Q111" s="260"/>
      <c r="R111" s="260"/>
      <c r="S111" s="260"/>
      <c r="T111" s="260"/>
      <c r="U111" s="260"/>
      <c r="V111" s="260"/>
      <c r="W111" s="260"/>
      <c r="X111" s="260"/>
      <c r="Y111" s="260"/>
      <c r="Z111" s="260"/>
    </row>
    <row r="112">
      <c r="A112" s="267">
        <v>45918.0</v>
      </c>
      <c r="B112" s="21" t="s">
        <v>9288</v>
      </c>
      <c r="C112" s="21" t="s">
        <v>9166</v>
      </c>
      <c r="D112" s="21" t="s">
        <v>9153</v>
      </c>
      <c r="E112" s="21" t="s">
        <v>9154</v>
      </c>
      <c r="F112" s="268" t="s">
        <v>9155</v>
      </c>
      <c r="G112" s="21" t="s">
        <v>9156</v>
      </c>
      <c r="H112" s="21" t="s">
        <v>5958</v>
      </c>
      <c r="I112" s="21" t="s">
        <v>9164</v>
      </c>
      <c r="J112" s="21" t="s">
        <v>8911</v>
      </c>
      <c r="K112" s="261">
        <v>45960.0</v>
      </c>
      <c r="L112" s="261">
        <v>45974.0</v>
      </c>
      <c r="M112" s="21" t="s">
        <v>9289</v>
      </c>
      <c r="N112" s="21" t="s">
        <v>22</v>
      </c>
      <c r="O112" s="260"/>
      <c r="P112" s="260"/>
      <c r="Q112" s="260"/>
      <c r="R112" s="260"/>
      <c r="S112" s="260"/>
      <c r="T112" s="260"/>
      <c r="U112" s="260"/>
      <c r="V112" s="260"/>
      <c r="W112" s="260"/>
      <c r="X112" s="260"/>
      <c r="Y112" s="260"/>
      <c r="Z112" s="260"/>
    </row>
    <row r="113">
      <c r="A113" s="267">
        <v>45918.0</v>
      </c>
      <c r="B113" s="21" t="s">
        <v>9290</v>
      </c>
      <c r="C113" s="21" t="s">
        <v>9166</v>
      </c>
      <c r="D113" s="21" t="s">
        <v>9153</v>
      </c>
      <c r="E113" s="21" t="s">
        <v>9154</v>
      </c>
      <c r="F113" s="268" t="s">
        <v>9155</v>
      </c>
      <c r="G113" s="21" t="s">
        <v>9156</v>
      </c>
      <c r="H113" s="21" t="s">
        <v>5958</v>
      </c>
      <c r="I113" s="21" t="s">
        <v>9164</v>
      </c>
      <c r="J113" s="21" t="s">
        <v>8911</v>
      </c>
      <c r="K113" s="261">
        <v>45960.0</v>
      </c>
      <c r="L113" s="261">
        <v>45974.0</v>
      </c>
      <c r="M113" s="21" t="s">
        <v>9291</v>
      </c>
      <c r="N113" s="21" t="s">
        <v>22</v>
      </c>
      <c r="O113" s="260"/>
      <c r="P113" s="260"/>
      <c r="Q113" s="260"/>
      <c r="R113" s="260"/>
      <c r="S113" s="260"/>
      <c r="T113" s="260"/>
      <c r="U113" s="260"/>
      <c r="V113" s="260"/>
      <c r="W113" s="260"/>
      <c r="X113" s="260"/>
      <c r="Y113" s="260"/>
      <c r="Z113" s="260"/>
    </row>
    <row r="114">
      <c r="A114" s="267">
        <v>45918.0</v>
      </c>
      <c r="B114" s="21" t="s">
        <v>1611</v>
      </c>
      <c r="C114" s="21" t="s">
        <v>9166</v>
      </c>
      <c r="D114" s="21" t="s">
        <v>9153</v>
      </c>
      <c r="E114" s="21" t="s">
        <v>9154</v>
      </c>
      <c r="F114" s="268" t="s">
        <v>9155</v>
      </c>
      <c r="G114" s="21" t="s">
        <v>9156</v>
      </c>
      <c r="H114" s="21" t="s">
        <v>5958</v>
      </c>
      <c r="I114" s="21" t="s">
        <v>9164</v>
      </c>
      <c r="J114" s="21" t="s">
        <v>8911</v>
      </c>
      <c r="K114" s="261">
        <v>45960.0</v>
      </c>
      <c r="L114" s="261">
        <v>45974.0</v>
      </c>
      <c r="M114" s="21" t="s">
        <v>9292</v>
      </c>
      <c r="N114" s="21" t="s">
        <v>22</v>
      </c>
      <c r="O114" s="260"/>
      <c r="P114" s="260"/>
      <c r="Q114" s="260"/>
      <c r="R114" s="260"/>
      <c r="S114" s="260"/>
      <c r="T114" s="260"/>
      <c r="U114" s="260"/>
      <c r="V114" s="260"/>
      <c r="W114" s="260"/>
      <c r="X114" s="260"/>
      <c r="Y114" s="260"/>
      <c r="Z114" s="260"/>
    </row>
    <row r="115">
      <c r="A115" s="267">
        <v>45918.0</v>
      </c>
      <c r="B115" s="21" t="s">
        <v>2697</v>
      </c>
      <c r="C115" s="21" t="s">
        <v>9166</v>
      </c>
      <c r="D115" s="21" t="s">
        <v>9153</v>
      </c>
      <c r="E115" s="21" t="s">
        <v>9154</v>
      </c>
      <c r="F115" s="268" t="s">
        <v>9155</v>
      </c>
      <c r="G115" s="21" t="s">
        <v>9156</v>
      </c>
      <c r="H115" s="21" t="s">
        <v>5958</v>
      </c>
      <c r="I115" s="21" t="s">
        <v>9164</v>
      </c>
      <c r="J115" s="21" t="s">
        <v>8911</v>
      </c>
      <c r="K115" s="261">
        <v>45960.0</v>
      </c>
      <c r="L115" s="261">
        <v>45974.0</v>
      </c>
      <c r="M115" s="21" t="s">
        <v>9293</v>
      </c>
      <c r="N115" s="21" t="s">
        <v>22</v>
      </c>
      <c r="O115" s="260"/>
      <c r="P115" s="260"/>
      <c r="Q115" s="260"/>
      <c r="R115" s="260"/>
      <c r="S115" s="260"/>
      <c r="T115" s="260"/>
      <c r="U115" s="260"/>
      <c r="V115" s="260"/>
      <c r="W115" s="260"/>
      <c r="X115" s="260"/>
      <c r="Y115" s="260"/>
      <c r="Z115" s="260"/>
    </row>
    <row r="116">
      <c r="A116" s="267">
        <v>45918.0</v>
      </c>
      <c r="B116" s="21" t="s">
        <v>3097</v>
      </c>
      <c r="C116" s="21" t="s">
        <v>9166</v>
      </c>
      <c r="D116" s="21" t="s">
        <v>9153</v>
      </c>
      <c r="E116" s="21" t="s">
        <v>9154</v>
      </c>
      <c r="F116" s="268" t="s">
        <v>9155</v>
      </c>
      <c r="G116" s="21" t="s">
        <v>9163</v>
      </c>
      <c r="H116" s="21" t="s">
        <v>5970</v>
      </c>
      <c r="I116" s="21" t="s">
        <v>9164</v>
      </c>
      <c r="J116" s="21" t="s">
        <v>8911</v>
      </c>
      <c r="K116" s="261">
        <v>45960.0</v>
      </c>
      <c r="L116" s="261">
        <v>45974.0</v>
      </c>
      <c r="M116" s="21" t="s">
        <v>9294</v>
      </c>
      <c r="N116" s="21" t="s">
        <v>22</v>
      </c>
      <c r="O116" s="260"/>
      <c r="P116" s="260"/>
      <c r="Q116" s="260"/>
      <c r="R116" s="260"/>
      <c r="S116" s="260"/>
      <c r="T116" s="260"/>
      <c r="U116" s="260"/>
      <c r="V116" s="260"/>
      <c r="W116" s="260"/>
      <c r="X116" s="260"/>
      <c r="Y116" s="260"/>
      <c r="Z116" s="260"/>
    </row>
    <row r="117">
      <c r="A117" s="267">
        <v>45918.0</v>
      </c>
      <c r="B117" s="21" t="s">
        <v>1599</v>
      </c>
      <c r="C117" s="21" t="s">
        <v>9166</v>
      </c>
      <c r="D117" s="21" t="s">
        <v>9153</v>
      </c>
      <c r="E117" s="21" t="s">
        <v>9154</v>
      </c>
      <c r="F117" s="268" t="s">
        <v>9155</v>
      </c>
      <c r="G117" s="21" t="s">
        <v>8589</v>
      </c>
      <c r="H117" s="21" t="s">
        <v>5974</v>
      </c>
      <c r="I117" s="21" t="s">
        <v>9164</v>
      </c>
      <c r="J117" s="21" t="s">
        <v>8911</v>
      </c>
      <c r="K117" s="261">
        <v>45960.0</v>
      </c>
      <c r="L117" s="261">
        <v>45974.0</v>
      </c>
      <c r="M117" s="21" t="s">
        <v>9295</v>
      </c>
      <c r="N117" s="21" t="s">
        <v>22</v>
      </c>
      <c r="O117" s="260"/>
      <c r="P117" s="260"/>
      <c r="Q117" s="260"/>
      <c r="R117" s="260"/>
      <c r="S117" s="260"/>
      <c r="T117" s="260"/>
      <c r="U117" s="260"/>
      <c r="V117" s="260"/>
      <c r="W117" s="260"/>
      <c r="X117" s="260"/>
      <c r="Y117" s="260"/>
      <c r="Z117" s="260"/>
    </row>
    <row r="118">
      <c r="A118" s="267">
        <v>45918.0</v>
      </c>
      <c r="B118" s="21" t="s">
        <v>3073</v>
      </c>
      <c r="C118" s="21" t="s">
        <v>9166</v>
      </c>
      <c r="D118" s="21" t="s">
        <v>9153</v>
      </c>
      <c r="E118" s="21" t="s">
        <v>9154</v>
      </c>
      <c r="F118" s="268" t="s">
        <v>9155</v>
      </c>
      <c r="G118" s="21" t="s">
        <v>9156</v>
      </c>
      <c r="H118" s="21" t="s">
        <v>5958</v>
      </c>
      <c r="I118" s="21" t="s">
        <v>9164</v>
      </c>
      <c r="J118" s="21" t="s">
        <v>8911</v>
      </c>
      <c r="K118" s="261">
        <v>45960.0</v>
      </c>
      <c r="L118" s="261">
        <v>45974.0</v>
      </c>
      <c r="M118" s="21" t="s">
        <v>9296</v>
      </c>
      <c r="N118" s="21" t="s">
        <v>22</v>
      </c>
      <c r="O118" s="260"/>
      <c r="P118" s="260"/>
      <c r="Q118" s="260"/>
      <c r="R118" s="260"/>
      <c r="S118" s="260"/>
      <c r="T118" s="260"/>
      <c r="U118" s="260"/>
      <c r="V118" s="260"/>
      <c r="W118" s="260"/>
      <c r="X118" s="260"/>
      <c r="Y118" s="260"/>
      <c r="Z118" s="260"/>
    </row>
    <row r="119">
      <c r="A119" s="267">
        <v>45918.0</v>
      </c>
      <c r="B119" s="21" t="s">
        <v>1970</v>
      </c>
      <c r="C119" s="21" t="s">
        <v>9166</v>
      </c>
      <c r="D119" s="21" t="s">
        <v>9153</v>
      </c>
      <c r="E119" s="21" t="s">
        <v>9154</v>
      </c>
      <c r="F119" s="268" t="s">
        <v>9155</v>
      </c>
      <c r="G119" s="21" t="s">
        <v>9156</v>
      </c>
      <c r="H119" s="21" t="s">
        <v>5958</v>
      </c>
      <c r="I119" s="21" t="s">
        <v>9164</v>
      </c>
      <c r="J119" s="21" t="s">
        <v>8911</v>
      </c>
      <c r="K119" s="261">
        <v>45960.0</v>
      </c>
      <c r="L119" s="261">
        <v>45974.0</v>
      </c>
      <c r="M119" s="21" t="s">
        <v>9297</v>
      </c>
      <c r="N119" s="21" t="s">
        <v>22</v>
      </c>
      <c r="O119" s="260"/>
      <c r="P119" s="260"/>
      <c r="Q119" s="260"/>
      <c r="R119" s="260"/>
      <c r="S119" s="260"/>
      <c r="T119" s="260"/>
      <c r="U119" s="260"/>
      <c r="V119" s="260"/>
      <c r="W119" s="260"/>
      <c r="X119" s="260"/>
      <c r="Y119" s="260"/>
      <c r="Z119" s="260"/>
    </row>
    <row r="120">
      <c r="A120" s="267">
        <v>45918.0</v>
      </c>
      <c r="B120" s="21" t="s">
        <v>3118</v>
      </c>
      <c r="C120" s="21" t="s">
        <v>9166</v>
      </c>
      <c r="D120" s="21" t="s">
        <v>9153</v>
      </c>
      <c r="E120" s="21" t="s">
        <v>9154</v>
      </c>
      <c r="F120" s="268" t="s">
        <v>9155</v>
      </c>
      <c r="G120" s="21" t="s">
        <v>9156</v>
      </c>
      <c r="H120" s="21" t="s">
        <v>5958</v>
      </c>
      <c r="I120" s="21" t="s">
        <v>9164</v>
      </c>
      <c r="J120" s="21" t="s">
        <v>8911</v>
      </c>
      <c r="K120" s="261">
        <v>45960.0</v>
      </c>
      <c r="L120" s="261">
        <v>45974.0</v>
      </c>
      <c r="M120" s="21" t="s">
        <v>9298</v>
      </c>
      <c r="N120" s="21" t="s">
        <v>22</v>
      </c>
      <c r="O120" s="260"/>
      <c r="P120" s="260"/>
      <c r="Q120" s="260"/>
      <c r="R120" s="260"/>
      <c r="S120" s="260"/>
      <c r="T120" s="260"/>
      <c r="U120" s="260"/>
      <c r="V120" s="260"/>
      <c r="W120" s="260"/>
      <c r="X120" s="260"/>
      <c r="Y120" s="260"/>
      <c r="Z120" s="260"/>
    </row>
    <row r="121">
      <c r="A121" s="267">
        <v>45918.0</v>
      </c>
      <c r="B121" s="21" t="s">
        <v>1597</v>
      </c>
      <c r="C121" s="21" t="s">
        <v>9166</v>
      </c>
      <c r="D121" s="21" t="s">
        <v>9153</v>
      </c>
      <c r="E121" s="21" t="s">
        <v>9154</v>
      </c>
      <c r="F121" s="268" t="s">
        <v>9155</v>
      </c>
      <c r="G121" s="21" t="s">
        <v>8589</v>
      </c>
      <c r="H121" s="21" t="s">
        <v>5974</v>
      </c>
      <c r="I121" s="21" t="s">
        <v>9164</v>
      </c>
      <c r="J121" s="21" t="s">
        <v>8911</v>
      </c>
      <c r="K121" s="261">
        <v>45960.0</v>
      </c>
      <c r="L121" s="261">
        <v>45974.0</v>
      </c>
      <c r="M121" s="21" t="s">
        <v>9299</v>
      </c>
      <c r="N121" s="21" t="s">
        <v>22</v>
      </c>
      <c r="O121" s="260"/>
      <c r="P121" s="260"/>
      <c r="Q121" s="260"/>
      <c r="R121" s="260"/>
      <c r="S121" s="260"/>
      <c r="T121" s="260"/>
      <c r="U121" s="260"/>
      <c r="V121" s="260"/>
      <c r="W121" s="260"/>
      <c r="X121" s="260"/>
      <c r="Y121" s="260"/>
      <c r="Z121" s="260"/>
    </row>
    <row r="122">
      <c r="A122" s="267">
        <v>45918.0</v>
      </c>
      <c r="B122" s="21" t="s">
        <v>1793</v>
      </c>
      <c r="C122" s="21" t="s">
        <v>9166</v>
      </c>
      <c r="D122" s="21" t="s">
        <v>9153</v>
      </c>
      <c r="E122" s="21" t="s">
        <v>9154</v>
      </c>
      <c r="F122" s="268" t="s">
        <v>9155</v>
      </c>
      <c r="G122" s="21" t="s">
        <v>8589</v>
      </c>
      <c r="H122" s="21" t="s">
        <v>5974</v>
      </c>
      <c r="I122" s="21" t="s">
        <v>9164</v>
      </c>
      <c r="J122" s="21" t="s">
        <v>8911</v>
      </c>
      <c r="K122" s="261">
        <v>45960.0</v>
      </c>
      <c r="L122" s="261">
        <v>45974.0</v>
      </c>
      <c r="M122" s="21" t="s">
        <v>9300</v>
      </c>
      <c r="N122" s="21" t="s">
        <v>22</v>
      </c>
      <c r="O122" s="260"/>
      <c r="P122" s="260"/>
      <c r="Q122" s="260"/>
      <c r="R122" s="260"/>
      <c r="S122" s="260"/>
      <c r="T122" s="260"/>
      <c r="U122" s="260"/>
      <c r="V122" s="260"/>
      <c r="W122" s="260"/>
      <c r="X122" s="260"/>
      <c r="Y122" s="260"/>
      <c r="Z122" s="260"/>
    </row>
    <row r="123">
      <c r="A123" s="267">
        <v>45918.0</v>
      </c>
      <c r="B123" s="21" t="s">
        <v>2780</v>
      </c>
      <c r="C123" s="21" t="s">
        <v>9166</v>
      </c>
      <c r="D123" s="21" t="s">
        <v>9153</v>
      </c>
      <c r="E123" s="21" t="s">
        <v>9154</v>
      </c>
      <c r="F123" s="268" t="s">
        <v>9155</v>
      </c>
      <c r="G123" s="21" t="s">
        <v>8589</v>
      </c>
      <c r="H123" s="21" t="s">
        <v>5974</v>
      </c>
      <c r="I123" s="21" t="s">
        <v>9164</v>
      </c>
      <c r="J123" s="21" t="s">
        <v>8911</v>
      </c>
      <c r="K123" s="261">
        <v>45960.0</v>
      </c>
      <c r="L123" s="261">
        <v>45974.0</v>
      </c>
      <c r="M123" s="21" t="s">
        <v>9301</v>
      </c>
      <c r="N123" s="21" t="s">
        <v>22</v>
      </c>
      <c r="O123" s="260"/>
      <c r="P123" s="260"/>
      <c r="Q123" s="260"/>
      <c r="R123" s="260"/>
      <c r="S123" s="260"/>
      <c r="T123" s="260"/>
      <c r="U123" s="260"/>
      <c r="V123" s="260"/>
      <c r="W123" s="260"/>
      <c r="X123" s="260"/>
      <c r="Y123" s="260"/>
      <c r="Z123" s="260"/>
    </row>
    <row r="124">
      <c r="A124" s="267">
        <v>45918.0</v>
      </c>
      <c r="B124" s="21" t="s">
        <v>2957</v>
      </c>
      <c r="C124" s="21" t="s">
        <v>9166</v>
      </c>
      <c r="D124" s="21" t="s">
        <v>9153</v>
      </c>
      <c r="E124" s="21" t="s">
        <v>9154</v>
      </c>
      <c r="F124" s="268" t="s">
        <v>9155</v>
      </c>
      <c r="G124" s="21" t="s">
        <v>8589</v>
      </c>
      <c r="H124" s="21" t="s">
        <v>5974</v>
      </c>
      <c r="I124" s="21" t="s">
        <v>9164</v>
      </c>
      <c r="J124" s="21" t="s">
        <v>8911</v>
      </c>
      <c r="K124" s="261">
        <v>45960.0</v>
      </c>
      <c r="L124" s="261">
        <v>45974.0</v>
      </c>
      <c r="M124" s="21" t="s">
        <v>9302</v>
      </c>
      <c r="N124" s="21" t="s">
        <v>22</v>
      </c>
      <c r="O124" s="260"/>
      <c r="P124" s="260"/>
      <c r="Q124" s="260"/>
      <c r="R124" s="260"/>
      <c r="S124" s="260"/>
      <c r="T124" s="260"/>
      <c r="U124" s="260"/>
      <c r="V124" s="260"/>
      <c r="W124" s="260"/>
      <c r="X124" s="260"/>
      <c r="Y124" s="260"/>
      <c r="Z124" s="260"/>
    </row>
    <row r="125">
      <c r="A125" s="267">
        <v>45918.0</v>
      </c>
      <c r="B125" s="21" t="s">
        <v>1601</v>
      </c>
      <c r="C125" s="21" t="s">
        <v>9166</v>
      </c>
      <c r="D125" s="21" t="s">
        <v>9153</v>
      </c>
      <c r="E125" s="21" t="s">
        <v>9154</v>
      </c>
      <c r="F125" s="268" t="s">
        <v>9155</v>
      </c>
      <c r="G125" s="21" t="s">
        <v>9163</v>
      </c>
      <c r="H125" s="21" t="s">
        <v>5970</v>
      </c>
      <c r="I125" s="21" t="s">
        <v>9164</v>
      </c>
      <c r="J125" s="21" t="s">
        <v>8911</v>
      </c>
      <c r="K125" s="261">
        <v>45960.0</v>
      </c>
      <c r="L125" s="261">
        <v>45974.0</v>
      </c>
      <c r="M125" s="21" t="s">
        <v>9303</v>
      </c>
      <c r="N125" s="21" t="s">
        <v>22</v>
      </c>
      <c r="O125" s="260"/>
      <c r="P125" s="260"/>
      <c r="Q125" s="260"/>
      <c r="R125" s="260"/>
      <c r="S125" s="260"/>
      <c r="T125" s="260"/>
      <c r="U125" s="260"/>
      <c r="V125" s="260"/>
      <c r="W125" s="260"/>
      <c r="X125" s="260"/>
      <c r="Y125" s="260"/>
      <c r="Z125" s="260"/>
    </row>
    <row r="126">
      <c r="A126" s="267">
        <v>45918.0</v>
      </c>
      <c r="B126" s="21" t="s">
        <v>9304</v>
      </c>
      <c r="C126" s="21" t="s">
        <v>9166</v>
      </c>
      <c r="D126" s="21" t="s">
        <v>9153</v>
      </c>
      <c r="E126" s="21" t="s">
        <v>9154</v>
      </c>
      <c r="F126" s="268" t="s">
        <v>9155</v>
      </c>
      <c r="G126" s="21" t="s">
        <v>9223</v>
      </c>
      <c r="H126" s="21" t="s">
        <v>5956</v>
      </c>
      <c r="I126" s="21" t="s">
        <v>9164</v>
      </c>
      <c r="J126" s="21" t="s">
        <v>8911</v>
      </c>
      <c r="K126" s="261">
        <v>45960.0</v>
      </c>
      <c r="L126" s="261">
        <v>45974.0</v>
      </c>
      <c r="M126" s="21" t="s">
        <v>9305</v>
      </c>
      <c r="N126" s="21" t="s">
        <v>22</v>
      </c>
      <c r="O126" s="260"/>
      <c r="P126" s="260"/>
      <c r="Q126" s="260"/>
      <c r="R126" s="260"/>
      <c r="S126" s="260"/>
      <c r="T126" s="260"/>
      <c r="U126" s="260"/>
      <c r="V126" s="260"/>
      <c r="W126" s="260"/>
      <c r="X126" s="260"/>
      <c r="Y126" s="260"/>
      <c r="Z126" s="260"/>
    </row>
    <row r="127">
      <c r="A127" s="267">
        <v>45918.0</v>
      </c>
      <c r="B127" s="21" t="s">
        <v>1502</v>
      </c>
      <c r="C127" s="21" t="s">
        <v>9166</v>
      </c>
      <c r="D127" s="21" t="s">
        <v>9153</v>
      </c>
      <c r="E127" s="21" t="s">
        <v>9154</v>
      </c>
      <c r="F127" s="268" t="s">
        <v>9155</v>
      </c>
      <c r="G127" s="21" t="s">
        <v>9223</v>
      </c>
      <c r="H127" s="21" t="s">
        <v>5956</v>
      </c>
      <c r="I127" s="21" t="s">
        <v>9164</v>
      </c>
      <c r="J127" s="21" t="s">
        <v>8911</v>
      </c>
      <c r="K127" s="261">
        <v>45960.0</v>
      </c>
      <c r="L127" s="261">
        <v>45974.0</v>
      </c>
      <c r="M127" s="21" t="s">
        <v>9306</v>
      </c>
      <c r="N127" s="21" t="s">
        <v>22</v>
      </c>
      <c r="O127" s="260"/>
      <c r="P127" s="260"/>
      <c r="Q127" s="260"/>
      <c r="R127" s="260"/>
      <c r="S127" s="260"/>
      <c r="T127" s="260"/>
      <c r="U127" s="260"/>
      <c r="V127" s="260"/>
      <c r="W127" s="260"/>
      <c r="X127" s="260"/>
      <c r="Y127" s="260"/>
      <c r="Z127" s="260"/>
    </row>
    <row r="128">
      <c r="A128" s="267">
        <v>45918.0</v>
      </c>
      <c r="B128" s="21" t="s">
        <v>1511</v>
      </c>
      <c r="C128" s="21" t="s">
        <v>9166</v>
      </c>
      <c r="D128" s="21" t="s">
        <v>9153</v>
      </c>
      <c r="E128" s="21" t="s">
        <v>9154</v>
      </c>
      <c r="F128" s="268" t="s">
        <v>9155</v>
      </c>
      <c r="G128" s="21" t="s">
        <v>9156</v>
      </c>
      <c r="H128" s="21" t="s">
        <v>5958</v>
      </c>
      <c r="I128" s="21" t="s">
        <v>9164</v>
      </c>
      <c r="J128" s="21" t="s">
        <v>8911</v>
      </c>
      <c r="K128" s="261">
        <v>45960.0</v>
      </c>
      <c r="L128" s="261">
        <v>45974.0</v>
      </c>
      <c r="M128" s="21" t="s">
        <v>6704</v>
      </c>
      <c r="N128" s="21" t="s">
        <v>22</v>
      </c>
      <c r="O128" s="260"/>
      <c r="P128" s="260"/>
      <c r="Q128" s="260"/>
      <c r="R128" s="260"/>
      <c r="S128" s="260"/>
      <c r="T128" s="260"/>
      <c r="U128" s="260"/>
      <c r="V128" s="260"/>
      <c r="W128" s="260"/>
      <c r="X128" s="260"/>
      <c r="Y128" s="260"/>
      <c r="Z128" s="260"/>
    </row>
    <row r="129">
      <c r="A129" s="267">
        <v>45918.0</v>
      </c>
      <c r="B129" s="21" t="s">
        <v>1956</v>
      </c>
      <c r="C129" s="21" t="s">
        <v>9166</v>
      </c>
      <c r="D129" s="21" t="s">
        <v>9153</v>
      </c>
      <c r="E129" s="21" t="s">
        <v>9154</v>
      </c>
      <c r="F129" s="268" t="s">
        <v>9155</v>
      </c>
      <c r="G129" s="21" t="s">
        <v>9156</v>
      </c>
      <c r="H129" s="21" t="s">
        <v>5958</v>
      </c>
      <c r="I129" s="21" t="s">
        <v>9164</v>
      </c>
      <c r="J129" s="21" t="s">
        <v>8911</v>
      </c>
      <c r="K129" s="261">
        <v>45960.0</v>
      </c>
      <c r="L129" s="261">
        <v>45974.0</v>
      </c>
      <c r="M129" s="21" t="s">
        <v>9307</v>
      </c>
      <c r="N129" s="21" t="s">
        <v>22</v>
      </c>
      <c r="O129" s="260"/>
      <c r="P129" s="260"/>
      <c r="Q129" s="260"/>
      <c r="R129" s="260"/>
      <c r="S129" s="260"/>
      <c r="T129" s="260"/>
      <c r="U129" s="260"/>
      <c r="V129" s="260"/>
      <c r="W129" s="260"/>
      <c r="X129" s="260"/>
      <c r="Y129" s="260"/>
      <c r="Z129" s="260"/>
    </row>
    <row r="130">
      <c r="A130" s="267">
        <v>45918.0</v>
      </c>
      <c r="B130" s="21" t="s">
        <v>3441</v>
      </c>
      <c r="C130" s="21" t="s">
        <v>9166</v>
      </c>
      <c r="D130" s="21" t="s">
        <v>9153</v>
      </c>
      <c r="E130" s="21" t="s">
        <v>9154</v>
      </c>
      <c r="F130" s="268" t="s">
        <v>9155</v>
      </c>
      <c r="G130" s="21" t="s">
        <v>9156</v>
      </c>
      <c r="H130" s="21" t="s">
        <v>5958</v>
      </c>
      <c r="I130" s="21" t="s">
        <v>9164</v>
      </c>
      <c r="J130" s="21" t="s">
        <v>8911</v>
      </c>
      <c r="K130" s="261">
        <v>45960.0</v>
      </c>
      <c r="L130" s="261">
        <v>45974.0</v>
      </c>
      <c r="M130" s="21" t="s">
        <v>9308</v>
      </c>
      <c r="N130" s="21" t="s">
        <v>22</v>
      </c>
      <c r="O130" s="260"/>
      <c r="P130" s="260"/>
      <c r="Q130" s="260"/>
      <c r="R130" s="260"/>
      <c r="S130" s="260"/>
      <c r="T130" s="260"/>
      <c r="U130" s="260"/>
      <c r="V130" s="260"/>
      <c r="W130" s="260"/>
      <c r="X130" s="260"/>
      <c r="Y130" s="260"/>
      <c r="Z130" s="260"/>
    </row>
    <row r="131">
      <c r="A131" s="267">
        <v>45918.0</v>
      </c>
      <c r="B131" s="21" t="s">
        <v>1928</v>
      </c>
      <c r="C131" s="21" t="s">
        <v>9166</v>
      </c>
      <c r="D131" s="21" t="s">
        <v>9153</v>
      </c>
      <c r="E131" s="21" t="s">
        <v>9154</v>
      </c>
      <c r="F131" s="268" t="s">
        <v>9155</v>
      </c>
      <c r="G131" s="21" t="s">
        <v>9177</v>
      </c>
      <c r="H131" s="21" t="s">
        <v>5978</v>
      </c>
      <c r="I131" s="21" t="s">
        <v>9164</v>
      </c>
      <c r="J131" s="21" t="s">
        <v>8911</v>
      </c>
      <c r="K131" s="261">
        <v>45960.0</v>
      </c>
      <c r="L131" s="261">
        <v>45974.0</v>
      </c>
      <c r="M131" s="21" t="s">
        <v>9309</v>
      </c>
      <c r="N131" s="21" t="s">
        <v>22</v>
      </c>
      <c r="O131" s="260"/>
      <c r="P131" s="260"/>
      <c r="Q131" s="260"/>
      <c r="R131" s="260"/>
      <c r="S131" s="260"/>
      <c r="T131" s="260"/>
      <c r="U131" s="260"/>
      <c r="V131" s="260"/>
      <c r="W131" s="260"/>
      <c r="X131" s="260"/>
      <c r="Y131" s="260"/>
      <c r="Z131" s="260"/>
    </row>
    <row r="132">
      <c r="A132" s="267">
        <v>45918.0</v>
      </c>
      <c r="B132" s="21" t="s">
        <v>1958</v>
      </c>
      <c r="C132" s="21" t="s">
        <v>9166</v>
      </c>
      <c r="D132" s="21" t="s">
        <v>9153</v>
      </c>
      <c r="E132" s="21" t="s">
        <v>9154</v>
      </c>
      <c r="F132" s="268" t="s">
        <v>9155</v>
      </c>
      <c r="G132" s="21" t="s">
        <v>9156</v>
      </c>
      <c r="H132" s="21" t="s">
        <v>5958</v>
      </c>
      <c r="I132" s="21" t="s">
        <v>9164</v>
      </c>
      <c r="J132" s="21" t="s">
        <v>8911</v>
      </c>
      <c r="K132" s="261">
        <v>45960.0</v>
      </c>
      <c r="L132" s="261">
        <v>45974.0</v>
      </c>
      <c r="M132" s="21" t="s">
        <v>9310</v>
      </c>
      <c r="N132" s="21" t="s">
        <v>22</v>
      </c>
      <c r="O132" s="260"/>
      <c r="P132" s="260"/>
      <c r="Q132" s="260"/>
      <c r="R132" s="260"/>
      <c r="S132" s="260"/>
      <c r="T132" s="260"/>
      <c r="U132" s="260"/>
      <c r="V132" s="260"/>
      <c r="W132" s="260"/>
      <c r="X132" s="260"/>
      <c r="Y132" s="260"/>
      <c r="Z132" s="260"/>
    </row>
    <row r="133">
      <c r="A133" s="267">
        <v>45918.0</v>
      </c>
      <c r="B133" s="21" t="s">
        <v>2905</v>
      </c>
      <c r="C133" s="21" t="s">
        <v>9166</v>
      </c>
      <c r="D133" s="21" t="s">
        <v>9153</v>
      </c>
      <c r="E133" s="21" t="s">
        <v>9154</v>
      </c>
      <c r="F133" s="268" t="s">
        <v>9155</v>
      </c>
      <c r="G133" s="21" t="s">
        <v>9156</v>
      </c>
      <c r="H133" s="21" t="s">
        <v>5958</v>
      </c>
      <c r="I133" s="21" t="s">
        <v>9164</v>
      </c>
      <c r="J133" s="21" t="s">
        <v>8911</v>
      </c>
      <c r="K133" s="261">
        <v>45960.0</v>
      </c>
      <c r="L133" s="261">
        <v>45974.0</v>
      </c>
      <c r="M133" s="21" t="s">
        <v>9311</v>
      </c>
      <c r="N133" s="21" t="s">
        <v>22</v>
      </c>
      <c r="O133" s="260"/>
      <c r="P133" s="260"/>
      <c r="Q133" s="260"/>
      <c r="R133" s="260"/>
      <c r="S133" s="260"/>
      <c r="T133" s="260"/>
      <c r="U133" s="260"/>
      <c r="V133" s="260"/>
      <c r="W133" s="260"/>
      <c r="X133" s="260"/>
      <c r="Y133" s="260"/>
      <c r="Z133" s="260"/>
    </row>
    <row r="134">
      <c r="A134" s="267">
        <v>45918.0</v>
      </c>
      <c r="B134" s="21" t="s">
        <v>1948</v>
      </c>
      <c r="C134" s="21" t="s">
        <v>9166</v>
      </c>
      <c r="D134" s="21" t="s">
        <v>9153</v>
      </c>
      <c r="E134" s="21" t="s">
        <v>9154</v>
      </c>
      <c r="F134" s="268" t="s">
        <v>9155</v>
      </c>
      <c r="G134" s="21" t="s">
        <v>9156</v>
      </c>
      <c r="H134" s="21" t="s">
        <v>5958</v>
      </c>
      <c r="I134" s="21" t="s">
        <v>9164</v>
      </c>
      <c r="J134" s="21" t="s">
        <v>8911</v>
      </c>
      <c r="K134" s="261">
        <v>45960.0</v>
      </c>
      <c r="L134" s="261">
        <v>45974.0</v>
      </c>
      <c r="M134" s="21" t="s">
        <v>9312</v>
      </c>
      <c r="N134" s="21" t="s">
        <v>22</v>
      </c>
      <c r="O134" s="260"/>
      <c r="P134" s="260"/>
      <c r="Q134" s="260"/>
      <c r="R134" s="260"/>
      <c r="S134" s="260"/>
      <c r="T134" s="260"/>
      <c r="U134" s="260"/>
      <c r="V134" s="260"/>
      <c r="W134" s="260"/>
      <c r="X134" s="260"/>
      <c r="Y134" s="260"/>
      <c r="Z134" s="260"/>
    </row>
    <row r="135">
      <c r="A135" s="267">
        <v>45918.0</v>
      </c>
      <c r="B135" s="21" t="s">
        <v>9313</v>
      </c>
      <c r="C135" s="21" t="s">
        <v>9166</v>
      </c>
      <c r="D135" s="21" t="s">
        <v>9153</v>
      </c>
      <c r="E135" s="21" t="s">
        <v>9154</v>
      </c>
      <c r="F135" s="268" t="s">
        <v>9155</v>
      </c>
      <c r="G135" s="21" t="s">
        <v>9156</v>
      </c>
      <c r="H135" s="21" t="s">
        <v>5958</v>
      </c>
      <c r="I135" s="21" t="s">
        <v>9164</v>
      </c>
      <c r="J135" s="21" t="s">
        <v>8911</v>
      </c>
      <c r="K135" s="261">
        <v>45960.0</v>
      </c>
      <c r="L135" s="261">
        <v>45974.0</v>
      </c>
      <c r="M135" s="21" t="s">
        <v>9314</v>
      </c>
      <c r="N135" s="21" t="s">
        <v>22</v>
      </c>
      <c r="O135" s="260"/>
      <c r="P135" s="260"/>
      <c r="Q135" s="260"/>
      <c r="R135" s="260"/>
      <c r="S135" s="260"/>
      <c r="T135" s="260"/>
      <c r="U135" s="260"/>
      <c r="V135" s="260"/>
      <c r="W135" s="260"/>
      <c r="X135" s="260"/>
      <c r="Y135" s="260"/>
      <c r="Z135" s="260"/>
    </row>
    <row r="136">
      <c r="A136" s="267">
        <v>45918.0</v>
      </c>
      <c r="B136" s="21" t="s">
        <v>1454</v>
      </c>
      <c r="C136" s="21" t="s">
        <v>9166</v>
      </c>
      <c r="D136" s="21" t="s">
        <v>9153</v>
      </c>
      <c r="E136" s="21" t="s">
        <v>9154</v>
      </c>
      <c r="F136" s="268" t="s">
        <v>9155</v>
      </c>
      <c r="G136" s="21" t="s">
        <v>9156</v>
      </c>
      <c r="H136" s="21" t="s">
        <v>5958</v>
      </c>
      <c r="I136" s="21" t="s">
        <v>9164</v>
      </c>
      <c r="J136" s="21" t="s">
        <v>8911</v>
      </c>
      <c r="K136" s="261">
        <v>45960.0</v>
      </c>
      <c r="L136" s="261">
        <v>45974.0</v>
      </c>
      <c r="M136" s="21" t="s">
        <v>9315</v>
      </c>
      <c r="N136" s="21" t="s">
        <v>22</v>
      </c>
      <c r="O136" s="260"/>
      <c r="P136" s="260"/>
      <c r="Q136" s="260"/>
      <c r="R136" s="260"/>
      <c r="S136" s="260"/>
      <c r="T136" s="260"/>
      <c r="U136" s="260"/>
      <c r="V136" s="260"/>
      <c r="W136" s="260"/>
      <c r="X136" s="260"/>
      <c r="Y136" s="260"/>
      <c r="Z136" s="260"/>
    </row>
    <row r="137">
      <c r="A137" s="267">
        <v>45918.0</v>
      </c>
      <c r="B137" s="21" t="s">
        <v>2274</v>
      </c>
      <c r="C137" s="21" t="s">
        <v>9166</v>
      </c>
      <c r="D137" s="21" t="s">
        <v>9153</v>
      </c>
      <c r="E137" s="21" t="s">
        <v>9154</v>
      </c>
      <c r="F137" s="268" t="s">
        <v>9155</v>
      </c>
      <c r="G137" s="21" t="s">
        <v>9231</v>
      </c>
      <c r="H137" s="21" t="s">
        <v>5967</v>
      </c>
      <c r="I137" s="21" t="s">
        <v>9164</v>
      </c>
      <c r="J137" s="21" t="s">
        <v>8911</v>
      </c>
      <c r="K137" s="261">
        <v>45960.0</v>
      </c>
      <c r="L137" s="261">
        <v>45974.0</v>
      </c>
      <c r="M137" s="21" t="s">
        <v>9316</v>
      </c>
      <c r="N137" s="21" t="s">
        <v>22</v>
      </c>
      <c r="O137" s="260"/>
      <c r="P137" s="260"/>
      <c r="Q137" s="260"/>
      <c r="R137" s="260"/>
      <c r="S137" s="260"/>
      <c r="T137" s="260"/>
      <c r="U137" s="260"/>
      <c r="V137" s="260"/>
      <c r="W137" s="260"/>
      <c r="X137" s="260"/>
      <c r="Y137" s="260"/>
      <c r="Z137" s="260"/>
    </row>
    <row r="138">
      <c r="A138" s="267">
        <v>45918.0</v>
      </c>
      <c r="B138" s="21" t="s">
        <v>2274</v>
      </c>
      <c r="C138" s="21" t="s">
        <v>9166</v>
      </c>
      <c r="D138" s="21" t="s">
        <v>9153</v>
      </c>
      <c r="E138" s="21" t="s">
        <v>9154</v>
      </c>
      <c r="F138" s="268" t="s">
        <v>9155</v>
      </c>
      <c r="G138" s="21" t="s">
        <v>9231</v>
      </c>
      <c r="H138" s="21" t="s">
        <v>5967</v>
      </c>
      <c r="I138" s="21" t="s">
        <v>9164</v>
      </c>
      <c r="J138" s="21" t="s">
        <v>8911</v>
      </c>
      <c r="K138" s="261">
        <v>45960.0</v>
      </c>
      <c r="L138" s="261">
        <v>45974.0</v>
      </c>
      <c r="M138" s="21" t="s">
        <v>9317</v>
      </c>
      <c r="N138" s="21" t="s">
        <v>22</v>
      </c>
      <c r="O138" s="260"/>
      <c r="P138" s="260"/>
      <c r="Q138" s="260"/>
      <c r="R138" s="260"/>
      <c r="S138" s="260"/>
      <c r="T138" s="260"/>
      <c r="U138" s="260"/>
      <c r="V138" s="260"/>
      <c r="W138" s="260"/>
      <c r="X138" s="260"/>
      <c r="Y138" s="260"/>
      <c r="Z138" s="260"/>
    </row>
    <row r="139">
      <c r="A139" s="267">
        <v>45918.0</v>
      </c>
      <c r="B139" s="21" t="s">
        <v>2667</v>
      </c>
      <c r="C139" s="21" t="s">
        <v>9166</v>
      </c>
      <c r="D139" s="21" t="s">
        <v>9153</v>
      </c>
      <c r="E139" s="21" t="s">
        <v>9154</v>
      </c>
      <c r="F139" s="268" t="s">
        <v>9155</v>
      </c>
      <c r="G139" s="21" t="s">
        <v>9223</v>
      </c>
      <c r="H139" s="21" t="s">
        <v>5956</v>
      </c>
      <c r="I139" s="21" t="s">
        <v>9164</v>
      </c>
      <c r="J139" s="21" t="s">
        <v>8911</v>
      </c>
      <c r="K139" s="261">
        <v>45960.0</v>
      </c>
      <c r="L139" s="261">
        <v>45974.0</v>
      </c>
      <c r="M139" s="21" t="s">
        <v>9318</v>
      </c>
      <c r="N139" s="21" t="s">
        <v>22</v>
      </c>
      <c r="O139" s="260"/>
      <c r="P139" s="260"/>
      <c r="Q139" s="260"/>
      <c r="R139" s="260"/>
      <c r="S139" s="260"/>
      <c r="T139" s="260"/>
      <c r="U139" s="260"/>
      <c r="V139" s="260"/>
      <c r="W139" s="260"/>
      <c r="X139" s="260"/>
      <c r="Y139" s="260"/>
      <c r="Z139" s="260"/>
    </row>
    <row r="140">
      <c r="A140" s="267">
        <v>45918.0</v>
      </c>
      <c r="B140" s="21" t="s">
        <v>2755</v>
      </c>
      <c r="C140" s="21" t="s">
        <v>9166</v>
      </c>
      <c r="D140" s="21" t="s">
        <v>9153</v>
      </c>
      <c r="E140" s="21" t="s">
        <v>9154</v>
      </c>
      <c r="F140" s="268" t="s">
        <v>9155</v>
      </c>
      <c r="G140" s="21" t="s">
        <v>9156</v>
      </c>
      <c r="H140" s="21" t="s">
        <v>5958</v>
      </c>
      <c r="I140" s="21" t="s">
        <v>9164</v>
      </c>
      <c r="J140" s="21" t="s">
        <v>8911</v>
      </c>
      <c r="K140" s="261">
        <v>45960.0</v>
      </c>
      <c r="L140" s="261">
        <v>45974.0</v>
      </c>
      <c r="M140" s="21" t="s">
        <v>9319</v>
      </c>
      <c r="N140" s="21" t="s">
        <v>22</v>
      </c>
      <c r="O140" s="260"/>
      <c r="P140" s="260"/>
      <c r="Q140" s="260"/>
      <c r="R140" s="260"/>
      <c r="S140" s="260"/>
      <c r="T140" s="260"/>
      <c r="U140" s="260"/>
      <c r="V140" s="260"/>
      <c r="W140" s="260"/>
      <c r="X140" s="260"/>
      <c r="Y140" s="260"/>
      <c r="Z140" s="260"/>
    </row>
    <row r="141">
      <c r="A141" s="267">
        <v>45918.0</v>
      </c>
      <c r="B141" s="21" t="s">
        <v>2459</v>
      </c>
      <c r="C141" s="21" t="s">
        <v>9166</v>
      </c>
      <c r="D141" s="21" t="s">
        <v>9153</v>
      </c>
      <c r="E141" s="21" t="s">
        <v>9154</v>
      </c>
      <c r="F141" s="268" t="s">
        <v>9155</v>
      </c>
      <c r="G141" s="21" t="s">
        <v>9156</v>
      </c>
      <c r="H141" s="21" t="s">
        <v>5958</v>
      </c>
      <c r="I141" s="21" t="s">
        <v>9164</v>
      </c>
      <c r="J141" s="21" t="s">
        <v>8911</v>
      </c>
      <c r="K141" s="261">
        <v>45960.0</v>
      </c>
      <c r="L141" s="261">
        <v>45974.0</v>
      </c>
      <c r="M141" s="21" t="s">
        <v>9320</v>
      </c>
      <c r="N141" s="21" t="s">
        <v>22</v>
      </c>
      <c r="O141" s="260"/>
      <c r="P141" s="260"/>
      <c r="Q141" s="260"/>
      <c r="R141" s="260"/>
      <c r="S141" s="260"/>
      <c r="T141" s="260"/>
      <c r="U141" s="260"/>
      <c r="V141" s="260"/>
      <c r="W141" s="260"/>
      <c r="X141" s="260"/>
      <c r="Y141" s="260"/>
      <c r="Z141" s="260"/>
    </row>
    <row r="142">
      <c r="A142" s="267">
        <v>45918.0</v>
      </c>
      <c r="B142" s="21" t="s">
        <v>3391</v>
      </c>
      <c r="C142" s="21" t="s">
        <v>9166</v>
      </c>
      <c r="D142" s="21" t="s">
        <v>9153</v>
      </c>
      <c r="E142" s="21" t="s">
        <v>9154</v>
      </c>
      <c r="F142" s="268" t="s">
        <v>9155</v>
      </c>
      <c r="G142" s="21" t="s">
        <v>9156</v>
      </c>
      <c r="H142" s="21" t="s">
        <v>5958</v>
      </c>
      <c r="I142" s="21" t="s">
        <v>9164</v>
      </c>
      <c r="J142" s="21" t="s">
        <v>8911</v>
      </c>
      <c r="K142" s="261">
        <v>45960.0</v>
      </c>
      <c r="L142" s="261">
        <v>45974.0</v>
      </c>
      <c r="M142" s="21" t="s">
        <v>9321</v>
      </c>
      <c r="N142" s="21" t="s">
        <v>22</v>
      </c>
      <c r="O142" s="260"/>
      <c r="P142" s="260"/>
      <c r="Q142" s="260"/>
      <c r="R142" s="260"/>
      <c r="S142" s="260"/>
      <c r="T142" s="260"/>
      <c r="U142" s="260"/>
      <c r="V142" s="260"/>
      <c r="W142" s="260"/>
      <c r="X142" s="260"/>
      <c r="Y142" s="260"/>
      <c r="Z142" s="260"/>
    </row>
    <row r="143">
      <c r="A143" s="267">
        <v>45918.0</v>
      </c>
      <c r="B143" s="21" t="s">
        <v>1972</v>
      </c>
      <c r="C143" s="21" t="s">
        <v>9166</v>
      </c>
      <c r="D143" s="21" t="s">
        <v>9153</v>
      </c>
      <c r="E143" s="21" t="s">
        <v>9154</v>
      </c>
      <c r="F143" s="268" t="s">
        <v>9155</v>
      </c>
      <c r="G143" s="21" t="s">
        <v>9156</v>
      </c>
      <c r="H143" s="21" t="s">
        <v>5958</v>
      </c>
      <c r="I143" s="21" t="s">
        <v>9164</v>
      </c>
      <c r="J143" s="21" t="s">
        <v>8911</v>
      </c>
      <c r="K143" s="261">
        <v>45960.0</v>
      </c>
      <c r="L143" s="261">
        <v>45974.0</v>
      </c>
      <c r="M143" s="21" t="s">
        <v>9322</v>
      </c>
      <c r="N143" s="21" t="s">
        <v>22</v>
      </c>
      <c r="O143" s="260"/>
      <c r="P143" s="260"/>
      <c r="Q143" s="260"/>
      <c r="R143" s="260"/>
      <c r="S143" s="260"/>
      <c r="T143" s="260"/>
      <c r="U143" s="260"/>
      <c r="V143" s="260"/>
      <c r="W143" s="260"/>
      <c r="X143" s="260"/>
      <c r="Y143" s="260"/>
      <c r="Z143" s="260"/>
    </row>
    <row r="144">
      <c r="A144" s="267">
        <v>45918.0</v>
      </c>
      <c r="B144" s="21" t="s">
        <v>3050</v>
      </c>
      <c r="C144" s="21" t="s">
        <v>9166</v>
      </c>
      <c r="D144" s="21" t="s">
        <v>9153</v>
      </c>
      <c r="E144" s="21" t="s">
        <v>9154</v>
      </c>
      <c r="F144" s="268" t="s">
        <v>9155</v>
      </c>
      <c r="G144" s="21" t="s">
        <v>9177</v>
      </c>
      <c r="H144" s="21" t="s">
        <v>5978</v>
      </c>
      <c r="I144" s="21" t="s">
        <v>9164</v>
      </c>
      <c r="J144" s="21" t="s">
        <v>8911</v>
      </c>
      <c r="K144" s="261">
        <v>45960.0</v>
      </c>
      <c r="L144" s="261">
        <v>45974.0</v>
      </c>
      <c r="M144" s="21" t="s">
        <v>9323</v>
      </c>
      <c r="N144" s="21" t="s">
        <v>22</v>
      </c>
      <c r="O144" s="260"/>
      <c r="P144" s="260"/>
      <c r="Q144" s="260"/>
      <c r="R144" s="260"/>
      <c r="S144" s="260"/>
      <c r="T144" s="260"/>
      <c r="U144" s="260"/>
      <c r="V144" s="260"/>
      <c r="W144" s="260"/>
      <c r="X144" s="260"/>
      <c r="Y144" s="260"/>
      <c r="Z144" s="260"/>
    </row>
    <row r="145">
      <c r="A145" s="267">
        <v>45966.0</v>
      </c>
      <c r="B145" s="21" t="s">
        <v>2284</v>
      </c>
      <c r="C145" s="21" t="s">
        <v>9166</v>
      </c>
      <c r="D145" s="21" t="s">
        <v>9153</v>
      </c>
      <c r="E145" s="21" t="s">
        <v>9154</v>
      </c>
      <c r="F145" s="268" t="s">
        <v>9155</v>
      </c>
      <c r="G145" s="21" t="s">
        <v>9223</v>
      </c>
      <c r="H145" s="21" t="s">
        <v>5956</v>
      </c>
      <c r="I145" s="21" t="s">
        <v>9164</v>
      </c>
      <c r="J145" s="21" t="s">
        <v>8911</v>
      </c>
      <c r="K145" s="261">
        <v>46008.0</v>
      </c>
      <c r="L145" s="261">
        <v>46022.0</v>
      </c>
      <c r="M145" s="21" t="s">
        <v>9324</v>
      </c>
      <c r="N145" s="21" t="s">
        <v>22</v>
      </c>
      <c r="O145" s="260"/>
      <c r="P145" s="260"/>
      <c r="Q145" s="260"/>
      <c r="R145" s="260"/>
      <c r="S145" s="260"/>
      <c r="T145" s="260"/>
      <c r="U145" s="260"/>
      <c r="V145" s="260"/>
      <c r="W145" s="260"/>
      <c r="X145" s="260"/>
      <c r="Y145" s="260"/>
      <c r="Z145" s="260"/>
    </row>
    <row r="146">
      <c r="A146" s="267">
        <v>45966.0</v>
      </c>
      <c r="B146" s="21" t="s">
        <v>2789</v>
      </c>
      <c r="C146" s="21" t="s">
        <v>9166</v>
      </c>
      <c r="D146" s="21" t="s">
        <v>9153</v>
      </c>
      <c r="E146" s="21" t="s">
        <v>9154</v>
      </c>
      <c r="F146" s="268" t="s">
        <v>9155</v>
      </c>
      <c r="G146" s="21" t="s">
        <v>9156</v>
      </c>
      <c r="H146" s="21" t="s">
        <v>5958</v>
      </c>
      <c r="I146" s="21" t="s">
        <v>9164</v>
      </c>
      <c r="J146" s="21" t="s">
        <v>9186</v>
      </c>
      <c r="K146" s="261">
        <v>46008.0</v>
      </c>
      <c r="L146" s="261">
        <v>46022.0</v>
      </c>
      <c r="M146" s="21" t="s">
        <v>9325</v>
      </c>
      <c r="N146" s="21" t="s">
        <v>22</v>
      </c>
      <c r="O146" s="260"/>
      <c r="P146" s="260"/>
      <c r="Q146" s="260"/>
      <c r="R146" s="260"/>
      <c r="S146" s="260"/>
      <c r="T146" s="260"/>
      <c r="U146" s="260"/>
      <c r="V146" s="260"/>
      <c r="W146" s="260"/>
      <c r="X146" s="260"/>
      <c r="Y146" s="260"/>
      <c r="Z146" s="260"/>
    </row>
    <row r="147">
      <c r="A147" s="267">
        <v>45966.0</v>
      </c>
      <c r="B147" s="21" t="s">
        <v>2883</v>
      </c>
      <c r="C147" s="21" t="s">
        <v>9166</v>
      </c>
      <c r="D147" s="21" t="s">
        <v>9153</v>
      </c>
      <c r="E147" s="21" t="s">
        <v>9154</v>
      </c>
      <c r="F147" s="268" t="s">
        <v>9155</v>
      </c>
      <c r="G147" s="21" t="s">
        <v>9156</v>
      </c>
      <c r="H147" s="21" t="s">
        <v>5958</v>
      </c>
      <c r="I147" s="21" t="s">
        <v>9164</v>
      </c>
      <c r="J147" s="21" t="s">
        <v>9186</v>
      </c>
      <c r="K147" s="261">
        <v>46008.0</v>
      </c>
      <c r="L147" s="261">
        <v>46022.0</v>
      </c>
      <c r="M147" s="21" t="s">
        <v>9326</v>
      </c>
      <c r="N147" s="21" t="s">
        <v>22</v>
      </c>
      <c r="O147" s="260"/>
      <c r="P147" s="260"/>
      <c r="Q147" s="260"/>
      <c r="R147" s="260"/>
      <c r="S147" s="260"/>
      <c r="T147" s="260"/>
      <c r="U147" s="260"/>
      <c r="V147" s="260"/>
      <c r="W147" s="260"/>
      <c r="X147" s="260"/>
      <c r="Y147" s="260"/>
      <c r="Z147" s="260"/>
    </row>
    <row r="148">
      <c r="A148" s="267">
        <v>45966.0</v>
      </c>
      <c r="B148" s="21" t="s">
        <v>9327</v>
      </c>
      <c r="C148" s="21" t="s">
        <v>9166</v>
      </c>
      <c r="D148" s="21" t="s">
        <v>9153</v>
      </c>
      <c r="E148" s="21" t="s">
        <v>9154</v>
      </c>
      <c r="F148" s="268" t="s">
        <v>9155</v>
      </c>
      <c r="G148" s="21" t="s">
        <v>9156</v>
      </c>
      <c r="H148" s="21" t="s">
        <v>5958</v>
      </c>
      <c r="I148" s="21" t="s">
        <v>9164</v>
      </c>
      <c r="J148" s="21" t="s">
        <v>9186</v>
      </c>
      <c r="K148" s="261">
        <v>46008.0</v>
      </c>
      <c r="L148" s="261">
        <v>46022.0</v>
      </c>
      <c r="M148" s="21" t="s">
        <v>9328</v>
      </c>
      <c r="N148" s="21" t="s">
        <v>22</v>
      </c>
      <c r="O148" s="260"/>
      <c r="P148" s="260"/>
      <c r="Q148" s="260"/>
      <c r="R148" s="260"/>
      <c r="S148" s="260"/>
      <c r="T148" s="260"/>
      <c r="U148" s="260"/>
      <c r="V148" s="260"/>
      <c r="W148" s="260"/>
      <c r="X148" s="260"/>
      <c r="Y148" s="260"/>
      <c r="Z148" s="260"/>
    </row>
    <row r="149">
      <c r="A149" s="267">
        <v>45966.0</v>
      </c>
      <c r="B149" s="21" t="s">
        <v>2813</v>
      </c>
      <c r="C149" s="21" t="s">
        <v>9166</v>
      </c>
      <c r="D149" s="21" t="s">
        <v>9153</v>
      </c>
      <c r="E149" s="21" t="s">
        <v>9154</v>
      </c>
      <c r="F149" s="268" t="s">
        <v>9155</v>
      </c>
      <c r="G149" s="21" t="s">
        <v>9156</v>
      </c>
      <c r="H149" s="21" t="s">
        <v>5958</v>
      </c>
      <c r="I149" s="21" t="s">
        <v>9164</v>
      </c>
      <c r="J149" s="21" t="s">
        <v>9186</v>
      </c>
      <c r="K149" s="261">
        <v>46008.0</v>
      </c>
      <c r="L149" s="261">
        <v>46022.0</v>
      </c>
      <c r="M149" s="21" t="s">
        <v>9329</v>
      </c>
      <c r="N149" s="21" t="s">
        <v>22</v>
      </c>
      <c r="O149" s="260"/>
      <c r="P149" s="260"/>
      <c r="Q149" s="260"/>
      <c r="R149" s="260"/>
      <c r="S149" s="260"/>
      <c r="T149" s="260"/>
      <c r="U149" s="260"/>
      <c r="V149" s="260"/>
      <c r="W149" s="260"/>
      <c r="X149" s="260"/>
      <c r="Y149" s="260"/>
      <c r="Z149" s="260"/>
    </row>
    <row r="150">
      <c r="A150" s="267">
        <v>45966.0</v>
      </c>
      <c r="B150" s="21" t="s">
        <v>2518</v>
      </c>
      <c r="C150" s="21" t="s">
        <v>9166</v>
      </c>
      <c r="D150" s="21" t="s">
        <v>9153</v>
      </c>
      <c r="E150" s="21" t="s">
        <v>9154</v>
      </c>
      <c r="F150" s="268" t="s">
        <v>9155</v>
      </c>
      <c r="G150" s="21" t="s">
        <v>9223</v>
      </c>
      <c r="H150" s="21" t="s">
        <v>5956</v>
      </c>
      <c r="I150" s="21" t="s">
        <v>9164</v>
      </c>
      <c r="J150" s="21" t="s">
        <v>9186</v>
      </c>
      <c r="K150" s="261">
        <v>46008.0</v>
      </c>
      <c r="L150" s="261">
        <v>46022.0</v>
      </c>
      <c r="M150" s="21" t="s">
        <v>9330</v>
      </c>
      <c r="N150" s="21" t="s">
        <v>22</v>
      </c>
      <c r="O150" s="260"/>
      <c r="P150" s="260"/>
      <c r="Q150" s="260"/>
      <c r="R150" s="260"/>
      <c r="S150" s="260"/>
      <c r="T150" s="260"/>
      <c r="U150" s="260"/>
      <c r="V150" s="260"/>
      <c r="W150" s="260"/>
      <c r="X150" s="260"/>
      <c r="Y150" s="260"/>
      <c r="Z150" s="260"/>
    </row>
    <row r="151">
      <c r="A151" s="267">
        <v>45966.0</v>
      </c>
      <c r="B151" s="21" t="s">
        <v>3382</v>
      </c>
      <c r="C151" s="21" t="s">
        <v>9166</v>
      </c>
      <c r="D151" s="21" t="s">
        <v>9153</v>
      </c>
      <c r="E151" s="21" t="s">
        <v>9154</v>
      </c>
      <c r="F151" s="268" t="s">
        <v>9155</v>
      </c>
      <c r="G151" s="21" t="s">
        <v>9223</v>
      </c>
      <c r="H151" s="21" t="s">
        <v>5956</v>
      </c>
      <c r="I151" s="21" t="s">
        <v>9164</v>
      </c>
      <c r="J151" s="21" t="s">
        <v>9186</v>
      </c>
      <c r="K151" s="261">
        <v>46008.0</v>
      </c>
      <c r="L151" s="261">
        <v>46022.0</v>
      </c>
      <c r="M151" s="21" t="s">
        <v>9331</v>
      </c>
      <c r="N151" s="21" t="s">
        <v>22</v>
      </c>
      <c r="O151" s="260"/>
      <c r="P151" s="260"/>
      <c r="Q151" s="260"/>
      <c r="R151" s="260"/>
      <c r="S151" s="260"/>
      <c r="T151" s="260"/>
      <c r="U151" s="260"/>
      <c r="V151" s="260"/>
      <c r="W151" s="260"/>
      <c r="X151" s="260"/>
      <c r="Y151" s="260"/>
      <c r="Z151" s="260"/>
    </row>
    <row r="152">
      <c r="A152" s="267">
        <v>45968.0</v>
      </c>
      <c r="B152" s="21" t="s">
        <v>9332</v>
      </c>
      <c r="C152" s="21" t="s">
        <v>9166</v>
      </c>
      <c r="D152" s="21" t="s">
        <v>9153</v>
      </c>
      <c r="E152" s="21" t="s">
        <v>9154</v>
      </c>
      <c r="F152" s="268" t="s">
        <v>9155</v>
      </c>
      <c r="G152" s="21" t="s">
        <v>9156</v>
      </c>
      <c r="H152" s="21" t="s">
        <v>5958</v>
      </c>
      <c r="I152" s="21" t="s">
        <v>9164</v>
      </c>
      <c r="J152" s="21" t="s">
        <v>9333</v>
      </c>
      <c r="K152" s="261">
        <v>46010.0</v>
      </c>
      <c r="L152" s="261">
        <v>46024.0</v>
      </c>
      <c r="M152" s="21" t="s">
        <v>9334</v>
      </c>
      <c r="N152" s="21" t="s">
        <v>22</v>
      </c>
      <c r="O152" s="260"/>
      <c r="P152" s="260"/>
      <c r="Q152" s="260"/>
      <c r="R152" s="260"/>
      <c r="S152" s="260"/>
      <c r="T152" s="260"/>
      <c r="U152" s="260"/>
      <c r="V152" s="260"/>
      <c r="W152" s="260"/>
      <c r="X152" s="260"/>
      <c r="Y152" s="260"/>
      <c r="Z152" s="260"/>
    </row>
    <row r="153">
      <c r="A153" s="267">
        <v>45968.0</v>
      </c>
      <c r="B153" s="21" t="s">
        <v>9335</v>
      </c>
      <c r="C153" s="21" t="s">
        <v>9166</v>
      </c>
      <c r="D153" s="21" t="s">
        <v>9153</v>
      </c>
      <c r="E153" s="21" t="s">
        <v>9154</v>
      </c>
      <c r="F153" s="268" t="s">
        <v>9155</v>
      </c>
      <c r="G153" s="21" t="s">
        <v>9156</v>
      </c>
      <c r="H153" s="21" t="s">
        <v>5958</v>
      </c>
      <c r="I153" s="21" t="s">
        <v>9164</v>
      </c>
      <c r="J153" s="21" t="s">
        <v>9333</v>
      </c>
      <c r="K153" s="261">
        <v>46010.0</v>
      </c>
      <c r="L153" s="261">
        <v>46024.0</v>
      </c>
      <c r="M153" s="21" t="s">
        <v>9336</v>
      </c>
      <c r="N153" s="21" t="s">
        <v>22</v>
      </c>
      <c r="O153" s="260"/>
      <c r="P153" s="260"/>
      <c r="Q153" s="260"/>
      <c r="R153" s="260"/>
      <c r="S153" s="260"/>
      <c r="T153" s="260"/>
      <c r="U153" s="260"/>
      <c r="V153" s="260"/>
      <c r="W153" s="260"/>
      <c r="X153" s="260"/>
      <c r="Y153" s="260"/>
      <c r="Z153" s="260"/>
    </row>
    <row r="154">
      <c r="A154" s="267">
        <v>45968.0</v>
      </c>
      <c r="B154" s="21" t="s">
        <v>2816</v>
      </c>
      <c r="C154" s="21" t="s">
        <v>9166</v>
      </c>
      <c r="D154" s="21" t="s">
        <v>9153</v>
      </c>
      <c r="E154" s="21" t="s">
        <v>9154</v>
      </c>
      <c r="F154" s="268" t="s">
        <v>9155</v>
      </c>
      <c r="G154" s="21" t="s">
        <v>9156</v>
      </c>
      <c r="H154" s="21" t="s">
        <v>5958</v>
      </c>
      <c r="I154" s="21" t="s">
        <v>9164</v>
      </c>
      <c r="J154" s="21" t="s">
        <v>9333</v>
      </c>
      <c r="K154" s="261">
        <v>46010.0</v>
      </c>
      <c r="L154" s="261">
        <v>46024.0</v>
      </c>
      <c r="M154" s="21" t="s">
        <v>9337</v>
      </c>
      <c r="N154" s="21" t="s">
        <v>22</v>
      </c>
      <c r="O154" s="260"/>
      <c r="P154" s="260"/>
      <c r="Q154" s="260"/>
      <c r="R154" s="260"/>
      <c r="S154" s="260"/>
      <c r="T154" s="260"/>
      <c r="U154" s="260"/>
      <c r="V154" s="260"/>
      <c r="W154" s="260"/>
      <c r="X154" s="260"/>
      <c r="Y154" s="260"/>
      <c r="Z154" s="260"/>
    </row>
    <row r="155">
      <c r="A155" s="267">
        <v>45968.0</v>
      </c>
      <c r="B155" s="21" t="s">
        <v>2619</v>
      </c>
      <c r="C155" s="21" t="s">
        <v>9166</v>
      </c>
      <c r="D155" s="21" t="s">
        <v>9153</v>
      </c>
      <c r="E155" s="21" t="s">
        <v>9154</v>
      </c>
      <c r="F155" s="268" t="s">
        <v>9155</v>
      </c>
      <c r="G155" s="21" t="s">
        <v>9156</v>
      </c>
      <c r="H155" s="21" t="s">
        <v>5958</v>
      </c>
      <c r="I155" s="21" t="s">
        <v>9164</v>
      </c>
      <c r="J155" s="21" t="s">
        <v>9333</v>
      </c>
      <c r="K155" s="261">
        <v>46010.0</v>
      </c>
      <c r="L155" s="261">
        <v>46024.0</v>
      </c>
      <c r="M155" s="21" t="s">
        <v>9338</v>
      </c>
      <c r="N155" s="21" t="s">
        <v>22</v>
      </c>
      <c r="O155" s="260"/>
      <c r="P155" s="260"/>
      <c r="Q155" s="260"/>
      <c r="R155" s="260"/>
      <c r="S155" s="260"/>
      <c r="T155" s="260"/>
      <c r="U155" s="260"/>
      <c r="V155" s="260"/>
      <c r="W155" s="260"/>
      <c r="X155" s="260"/>
      <c r="Y155" s="260"/>
      <c r="Z155" s="260"/>
    </row>
    <row r="156">
      <c r="A156" s="267">
        <v>45968.0</v>
      </c>
      <c r="B156" s="21" t="s">
        <v>2486</v>
      </c>
      <c r="C156" s="21" t="s">
        <v>9166</v>
      </c>
      <c r="D156" s="21" t="s">
        <v>9153</v>
      </c>
      <c r="E156" s="21" t="s">
        <v>9154</v>
      </c>
      <c r="F156" s="268" t="s">
        <v>9155</v>
      </c>
      <c r="G156" s="21" t="s">
        <v>9156</v>
      </c>
      <c r="H156" s="21" t="s">
        <v>5958</v>
      </c>
      <c r="I156" s="21" t="s">
        <v>9164</v>
      </c>
      <c r="J156" s="21" t="s">
        <v>9333</v>
      </c>
      <c r="K156" s="261">
        <v>46010.0</v>
      </c>
      <c r="L156" s="261">
        <v>46024.0</v>
      </c>
      <c r="M156" s="21" t="s">
        <v>9339</v>
      </c>
      <c r="N156" s="21" t="s">
        <v>22</v>
      </c>
      <c r="O156" s="260"/>
      <c r="P156" s="260"/>
      <c r="Q156" s="260"/>
      <c r="R156" s="260"/>
      <c r="S156" s="260"/>
      <c r="T156" s="260"/>
      <c r="U156" s="260"/>
      <c r="V156" s="260"/>
      <c r="W156" s="260"/>
      <c r="X156" s="260"/>
      <c r="Y156" s="260"/>
      <c r="Z156" s="260"/>
    </row>
    <row r="157">
      <c r="A157" s="267">
        <v>45968.0</v>
      </c>
      <c r="B157" s="21" t="s">
        <v>2491</v>
      </c>
      <c r="C157" s="21" t="s">
        <v>9166</v>
      </c>
      <c r="D157" s="21" t="s">
        <v>9153</v>
      </c>
      <c r="E157" s="21" t="s">
        <v>9154</v>
      </c>
      <c r="F157" s="268" t="s">
        <v>9155</v>
      </c>
      <c r="G157" s="21" t="s">
        <v>9156</v>
      </c>
      <c r="H157" s="21" t="s">
        <v>5958</v>
      </c>
      <c r="I157" s="21" t="s">
        <v>9164</v>
      </c>
      <c r="J157" s="21" t="s">
        <v>9333</v>
      </c>
      <c r="K157" s="261">
        <v>46010.0</v>
      </c>
      <c r="L157" s="261">
        <v>46024.0</v>
      </c>
      <c r="M157" s="21" t="s">
        <v>9340</v>
      </c>
      <c r="N157" s="21" t="s">
        <v>22</v>
      </c>
      <c r="O157" s="260"/>
      <c r="P157" s="260"/>
      <c r="Q157" s="260"/>
      <c r="R157" s="260"/>
      <c r="S157" s="260"/>
      <c r="T157" s="260"/>
      <c r="U157" s="260"/>
      <c r="V157" s="260"/>
      <c r="W157" s="260"/>
      <c r="X157" s="260"/>
      <c r="Y157" s="260"/>
      <c r="Z157" s="260"/>
    </row>
    <row r="158">
      <c r="A158" s="267">
        <v>45968.0</v>
      </c>
      <c r="B158" s="21" t="s">
        <v>2554</v>
      </c>
      <c r="C158" s="21" t="s">
        <v>9166</v>
      </c>
      <c r="D158" s="21" t="s">
        <v>9153</v>
      </c>
      <c r="E158" s="21" t="s">
        <v>9154</v>
      </c>
      <c r="F158" s="268" t="s">
        <v>9155</v>
      </c>
      <c r="G158" s="21" t="s">
        <v>9156</v>
      </c>
      <c r="H158" s="21" t="s">
        <v>5958</v>
      </c>
      <c r="I158" s="21" t="s">
        <v>9164</v>
      </c>
      <c r="J158" s="21" t="s">
        <v>9333</v>
      </c>
      <c r="K158" s="261">
        <v>46010.0</v>
      </c>
      <c r="L158" s="261">
        <v>46024.0</v>
      </c>
      <c r="M158" s="21" t="s">
        <v>9341</v>
      </c>
      <c r="N158" s="21" t="s">
        <v>22</v>
      </c>
      <c r="O158" s="260"/>
      <c r="P158" s="260"/>
      <c r="Q158" s="260"/>
      <c r="R158" s="260"/>
      <c r="S158" s="260"/>
      <c r="T158" s="260"/>
      <c r="U158" s="260"/>
      <c r="V158" s="260"/>
      <c r="W158" s="260"/>
      <c r="X158" s="260"/>
      <c r="Y158" s="260"/>
      <c r="Z158" s="260"/>
    </row>
    <row r="159">
      <c r="A159" s="267">
        <v>45968.0</v>
      </c>
      <c r="B159" s="21" t="s">
        <v>2622</v>
      </c>
      <c r="C159" s="21" t="s">
        <v>9166</v>
      </c>
      <c r="D159" s="21" t="s">
        <v>9153</v>
      </c>
      <c r="E159" s="21" t="s">
        <v>9154</v>
      </c>
      <c r="F159" s="268" t="s">
        <v>9155</v>
      </c>
      <c r="G159" s="21" t="s">
        <v>9156</v>
      </c>
      <c r="H159" s="21" t="s">
        <v>5958</v>
      </c>
      <c r="I159" s="21" t="s">
        <v>9164</v>
      </c>
      <c r="J159" s="21" t="s">
        <v>9333</v>
      </c>
      <c r="K159" s="261">
        <v>46010.0</v>
      </c>
      <c r="L159" s="261">
        <v>46024.0</v>
      </c>
      <c r="M159" s="21" t="s">
        <v>9342</v>
      </c>
      <c r="N159" s="21" t="s">
        <v>22</v>
      </c>
      <c r="O159" s="260"/>
      <c r="P159" s="260"/>
      <c r="Q159" s="260"/>
      <c r="R159" s="260"/>
      <c r="S159" s="260"/>
      <c r="T159" s="260"/>
      <c r="U159" s="260"/>
      <c r="V159" s="260"/>
      <c r="W159" s="260"/>
      <c r="X159" s="260"/>
      <c r="Y159" s="260"/>
      <c r="Z159" s="260"/>
    </row>
    <row r="160">
      <c r="A160" s="267">
        <v>45968.0</v>
      </c>
      <c r="B160" s="21" t="s">
        <v>2554</v>
      </c>
      <c r="C160" s="21" t="s">
        <v>9166</v>
      </c>
      <c r="D160" s="21" t="s">
        <v>9153</v>
      </c>
      <c r="E160" s="21" t="s">
        <v>9154</v>
      </c>
      <c r="F160" s="268" t="s">
        <v>9155</v>
      </c>
      <c r="G160" s="21" t="s">
        <v>9156</v>
      </c>
      <c r="H160" s="21" t="s">
        <v>5958</v>
      </c>
      <c r="I160" s="21" t="s">
        <v>9164</v>
      </c>
      <c r="J160" s="21" t="s">
        <v>9333</v>
      </c>
      <c r="K160" s="261">
        <v>46010.0</v>
      </c>
      <c r="L160" s="261">
        <v>46024.0</v>
      </c>
      <c r="M160" s="21" t="s">
        <v>9343</v>
      </c>
      <c r="N160" s="21" t="s">
        <v>22</v>
      </c>
      <c r="O160" s="260"/>
      <c r="P160" s="260"/>
      <c r="Q160" s="260"/>
      <c r="R160" s="260"/>
      <c r="S160" s="260"/>
      <c r="T160" s="260"/>
      <c r="U160" s="260"/>
      <c r="V160" s="260"/>
      <c r="W160" s="260"/>
      <c r="X160" s="260"/>
      <c r="Y160" s="260"/>
      <c r="Z160" s="260"/>
    </row>
    <row r="161">
      <c r="A161" s="267">
        <v>45968.0</v>
      </c>
      <c r="B161" s="21" t="s">
        <v>2818</v>
      </c>
      <c r="C161" s="21" t="s">
        <v>9166</v>
      </c>
      <c r="D161" s="21" t="s">
        <v>9153</v>
      </c>
      <c r="E161" s="21" t="s">
        <v>9154</v>
      </c>
      <c r="F161" s="268" t="s">
        <v>9155</v>
      </c>
      <c r="G161" s="21" t="s">
        <v>9156</v>
      </c>
      <c r="H161" s="21" t="s">
        <v>5958</v>
      </c>
      <c r="I161" s="21" t="s">
        <v>9164</v>
      </c>
      <c r="J161" s="21" t="s">
        <v>9333</v>
      </c>
      <c r="K161" s="261">
        <v>46010.0</v>
      </c>
      <c r="L161" s="261">
        <v>46024.0</v>
      </c>
      <c r="M161" s="21" t="s">
        <v>9344</v>
      </c>
      <c r="N161" s="21" t="s">
        <v>22</v>
      </c>
      <c r="O161" s="260"/>
      <c r="P161" s="260"/>
      <c r="Q161" s="260"/>
      <c r="R161" s="260"/>
      <c r="S161" s="260"/>
      <c r="T161" s="260"/>
      <c r="U161" s="260"/>
      <c r="V161" s="260"/>
      <c r="W161" s="260"/>
      <c r="X161" s="260"/>
      <c r="Y161" s="260"/>
      <c r="Z161" s="260"/>
    </row>
    <row r="162">
      <c r="A162" s="267">
        <v>45968.0</v>
      </c>
      <c r="B162" s="21" t="s">
        <v>2261</v>
      </c>
      <c r="C162" s="21" t="s">
        <v>9166</v>
      </c>
      <c r="D162" s="21" t="s">
        <v>9153</v>
      </c>
      <c r="E162" s="21" t="s">
        <v>9154</v>
      </c>
      <c r="F162" s="268" t="s">
        <v>9155</v>
      </c>
      <c r="G162" s="21" t="s">
        <v>9156</v>
      </c>
      <c r="H162" s="21" t="s">
        <v>5958</v>
      </c>
      <c r="I162" s="21" t="s">
        <v>9164</v>
      </c>
      <c r="J162" s="21" t="s">
        <v>9333</v>
      </c>
      <c r="K162" s="261">
        <v>46010.0</v>
      </c>
      <c r="L162" s="261">
        <v>46024.0</v>
      </c>
      <c r="M162" s="21" t="s">
        <v>9345</v>
      </c>
      <c r="N162" s="21" t="s">
        <v>22</v>
      </c>
      <c r="O162" s="260"/>
      <c r="P162" s="260"/>
      <c r="Q162" s="260"/>
      <c r="R162" s="260"/>
      <c r="S162" s="260"/>
      <c r="T162" s="260"/>
      <c r="U162" s="260"/>
      <c r="V162" s="260"/>
      <c r="W162" s="260"/>
      <c r="X162" s="260"/>
      <c r="Y162" s="260"/>
      <c r="Z162" s="260"/>
    </row>
    <row r="163">
      <c r="A163" s="267">
        <v>45969.0</v>
      </c>
      <c r="B163" s="21" t="s">
        <v>3493</v>
      </c>
      <c r="C163" s="21" t="s">
        <v>9166</v>
      </c>
      <c r="D163" s="21" t="s">
        <v>9153</v>
      </c>
      <c r="E163" s="21" t="s">
        <v>9154</v>
      </c>
      <c r="F163" s="268" t="s">
        <v>9155</v>
      </c>
      <c r="G163" s="21" t="s">
        <v>9231</v>
      </c>
      <c r="H163" s="21" t="s">
        <v>5967</v>
      </c>
      <c r="I163" s="21" t="s">
        <v>9164</v>
      </c>
      <c r="J163" s="21" t="s">
        <v>8911</v>
      </c>
      <c r="K163" s="261">
        <v>46011.0</v>
      </c>
      <c r="L163" s="261">
        <v>46025.0</v>
      </c>
      <c r="M163" s="21" t="s">
        <v>9346</v>
      </c>
      <c r="N163" s="21" t="s">
        <v>22</v>
      </c>
      <c r="O163" s="260"/>
      <c r="P163" s="260"/>
      <c r="Q163" s="260"/>
      <c r="R163" s="260"/>
      <c r="S163" s="260"/>
      <c r="T163" s="260"/>
      <c r="U163" s="260"/>
      <c r="V163" s="260"/>
      <c r="W163" s="260"/>
      <c r="X163" s="260"/>
      <c r="Y163" s="260"/>
      <c r="Z163" s="260"/>
    </row>
    <row r="164">
      <c r="A164" s="267">
        <v>45969.0</v>
      </c>
      <c r="B164" s="21" t="s">
        <v>2170</v>
      </c>
      <c r="C164" s="21" t="s">
        <v>9166</v>
      </c>
      <c r="D164" s="21" t="s">
        <v>9153</v>
      </c>
      <c r="E164" s="21" t="s">
        <v>9154</v>
      </c>
      <c r="F164" s="268" t="s">
        <v>9155</v>
      </c>
      <c r="G164" s="21" t="s">
        <v>9231</v>
      </c>
      <c r="H164" s="21" t="s">
        <v>5967</v>
      </c>
      <c r="I164" s="21" t="s">
        <v>9164</v>
      </c>
      <c r="J164" s="21" t="s">
        <v>8911</v>
      </c>
      <c r="K164" s="261">
        <v>46011.0</v>
      </c>
      <c r="L164" s="261">
        <v>46025.0</v>
      </c>
      <c r="M164" s="21" t="s">
        <v>9347</v>
      </c>
      <c r="N164" s="21" t="s">
        <v>22</v>
      </c>
      <c r="O164" s="260"/>
      <c r="P164" s="260"/>
      <c r="Q164" s="260"/>
      <c r="R164" s="260"/>
      <c r="S164" s="260"/>
      <c r="T164" s="260"/>
      <c r="U164" s="260"/>
      <c r="V164" s="260"/>
      <c r="W164" s="260"/>
      <c r="X164" s="260"/>
      <c r="Y164" s="260"/>
      <c r="Z164" s="260"/>
    </row>
    <row r="165">
      <c r="A165" s="267">
        <v>45969.0</v>
      </c>
      <c r="B165" s="21" t="s">
        <v>2595</v>
      </c>
      <c r="C165" s="21" t="s">
        <v>9166</v>
      </c>
      <c r="D165" s="21" t="s">
        <v>9153</v>
      </c>
      <c r="E165" s="21" t="s">
        <v>9154</v>
      </c>
      <c r="F165" s="268" t="s">
        <v>9155</v>
      </c>
      <c r="G165" s="21" t="s">
        <v>9231</v>
      </c>
      <c r="H165" s="21" t="s">
        <v>5967</v>
      </c>
      <c r="I165" s="21" t="s">
        <v>9164</v>
      </c>
      <c r="J165" s="21" t="s">
        <v>8911</v>
      </c>
      <c r="K165" s="261">
        <v>46011.0</v>
      </c>
      <c r="L165" s="261">
        <v>46025.0</v>
      </c>
      <c r="M165" s="21" t="s">
        <v>9348</v>
      </c>
      <c r="N165" s="21" t="s">
        <v>22</v>
      </c>
      <c r="O165" s="260"/>
      <c r="P165" s="260"/>
      <c r="Q165" s="260"/>
      <c r="R165" s="260"/>
      <c r="S165" s="260"/>
      <c r="T165" s="260"/>
      <c r="U165" s="260"/>
      <c r="V165" s="260"/>
      <c r="W165" s="260"/>
      <c r="X165" s="260"/>
      <c r="Y165" s="260"/>
      <c r="Z165" s="260"/>
    </row>
    <row r="166">
      <c r="A166" s="267">
        <v>45969.0</v>
      </c>
      <c r="B166" s="21" t="s">
        <v>2173</v>
      </c>
      <c r="C166" s="21" t="s">
        <v>9166</v>
      </c>
      <c r="D166" s="21" t="s">
        <v>9153</v>
      </c>
      <c r="E166" s="21" t="s">
        <v>9154</v>
      </c>
      <c r="F166" s="268" t="s">
        <v>9155</v>
      </c>
      <c r="G166" s="21" t="s">
        <v>9231</v>
      </c>
      <c r="H166" s="21" t="s">
        <v>5967</v>
      </c>
      <c r="I166" s="21" t="s">
        <v>9164</v>
      </c>
      <c r="J166" s="21" t="s">
        <v>8911</v>
      </c>
      <c r="K166" s="261">
        <v>46011.0</v>
      </c>
      <c r="L166" s="261">
        <v>46025.0</v>
      </c>
      <c r="M166" s="21" t="s">
        <v>9349</v>
      </c>
      <c r="N166" s="21" t="s">
        <v>22</v>
      </c>
      <c r="O166" s="260"/>
      <c r="P166" s="260"/>
      <c r="Q166" s="260"/>
      <c r="R166" s="260"/>
      <c r="S166" s="260"/>
      <c r="T166" s="260"/>
      <c r="U166" s="260"/>
      <c r="V166" s="260"/>
      <c r="W166" s="260"/>
      <c r="X166" s="260"/>
      <c r="Y166" s="260"/>
      <c r="Z166" s="260"/>
    </row>
    <row r="167">
      <c r="A167" s="267">
        <v>45969.0</v>
      </c>
      <c r="B167" s="21" t="s">
        <v>2597</v>
      </c>
      <c r="C167" s="21" t="s">
        <v>9166</v>
      </c>
      <c r="D167" s="21" t="s">
        <v>9153</v>
      </c>
      <c r="E167" s="21" t="s">
        <v>9154</v>
      </c>
      <c r="F167" s="268" t="s">
        <v>9155</v>
      </c>
      <c r="G167" s="21" t="s">
        <v>9231</v>
      </c>
      <c r="H167" s="21" t="s">
        <v>5967</v>
      </c>
      <c r="I167" s="21" t="s">
        <v>9164</v>
      </c>
      <c r="J167" s="21" t="s">
        <v>8911</v>
      </c>
      <c r="K167" s="261">
        <v>46011.0</v>
      </c>
      <c r="L167" s="261">
        <v>46025.0</v>
      </c>
      <c r="M167" s="21" t="s">
        <v>9350</v>
      </c>
      <c r="N167" s="21" t="s">
        <v>22</v>
      </c>
      <c r="O167" s="260"/>
      <c r="P167" s="260"/>
      <c r="Q167" s="260"/>
      <c r="R167" s="260"/>
      <c r="S167" s="260"/>
      <c r="T167" s="260"/>
      <c r="U167" s="260"/>
      <c r="V167" s="260"/>
      <c r="W167" s="260"/>
      <c r="X167" s="260"/>
      <c r="Y167" s="260"/>
      <c r="Z167" s="260"/>
    </row>
    <row r="168">
      <c r="A168" s="267">
        <v>45969.0</v>
      </c>
      <c r="B168" s="21" t="s">
        <v>2175</v>
      </c>
      <c r="C168" s="21" t="s">
        <v>9166</v>
      </c>
      <c r="D168" s="21" t="s">
        <v>9153</v>
      </c>
      <c r="E168" s="21" t="s">
        <v>9154</v>
      </c>
      <c r="F168" s="268" t="s">
        <v>9155</v>
      </c>
      <c r="G168" s="21" t="s">
        <v>9231</v>
      </c>
      <c r="H168" s="21" t="s">
        <v>5967</v>
      </c>
      <c r="I168" s="21" t="s">
        <v>9164</v>
      </c>
      <c r="J168" s="21" t="s">
        <v>8911</v>
      </c>
      <c r="K168" s="261">
        <v>46011.0</v>
      </c>
      <c r="L168" s="261">
        <v>46025.0</v>
      </c>
      <c r="M168" s="21" t="s">
        <v>9351</v>
      </c>
      <c r="N168" s="21" t="s">
        <v>22</v>
      </c>
      <c r="O168" s="260"/>
      <c r="P168" s="260"/>
      <c r="Q168" s="260"/>
      <c r="R168" s="260"/>
      <c r="S168" s="260"/>
      <c r="T168" s="260"/>
      <c r="U168" s="260"/>
      <c r="V168" s="260"/>
      <c r="W168" s="260"/>
      <c r="X168" s="260"/>
      <c r="Y168" s="260"/>
      <c r="Z168" s="260"/>
    </row>
    <row r="169">
      <c r="A169" s="267">
        <v>45969.0</v>
      </c>
      <c r="B169" s="21" t="s">
        <v>2599</v>
      </c>
      <c r="C169" s="21" t="s">
        <v>9166</v>
      </c>
      <c r="D169" s="21" t="s">
        <v>9153</v>
      </c>
      <c r="E169" s="21" t="s">
        <v>9154</v>
      </c>
      <c r="F169" s="268" t="s">
        <v>9155</v>
      </c>
      <c r="G169" s="21" t="s">
        <v>9231</v>
      </c>
      <c r="H169" s="21" t="s">
        <v>5967</v>
      </c>
      <c r="I169" s="21" t="s">
        <v>9164</v>
      </c>
      <c r="J169" s="21" t="s">
        <v>8911</v>
      </c>
      <c r="K169" s="261">
        <v>46011.0</v>
      </c>
      <c r="L169" s="261">
        <v>46025.0</v>
      </c>
      <c r="M169" s="21" t="s">
        <v>9352</v>
      </c>
      <c r="N169" s="21" t="s">
        <v>22</v>
      </c>
      <c r="O169" s="260"/>
      <c r="P169" s="260"/>
      <c r="Q169" s="260"/>
      <c r="R169" s="260"/>
      <c r="S169" s="260"/>
      <c r="T169" s="260"/>
      <c r="U169" s="260"/>
      <c r="V169" s="260"/>
      <c r="W169" s="260"/>
      <c r="X169" s="260"/>
      <c r="Y169" s="260"/>
      <c r="Z169" s="260"/>
    </row>
    <row r="170">
      <c r="A170" s="267">
        <v>45969.0</v>
      </c>
      <c r="B170" s="21" t="s">
        <v>2177</v>
      </c>
      <c r="C170" s="21" t="s">
        <v>9166</v>
      </c>
      <c r="D170" s="21" t="s">
        <v>9153</v>
      </c>
      <c r="E170" s="21" t="s">
        <v>9154</v>
      </c>
      <c r="F170" s="268" t="s">
        <v>9155</v>
      </c>
      <c r="G170" s="21" t="s">
        <v>9231</v>
      </c>
      <c r="H170" s="21" t="s">
        <v>5967</v>
      </c>
      <c r="I170" s="21" t="s">
        <v>9164</v>
      </c>
      <c r="J170" s="21" t="s">
        <v>8911</v>
      </c>
      <c r="K170" s="261">
        <v>46011.0</v>
      </c>
      <c r="L170" s="261">
        <v>46025.0</v>
      </c>
      <c r="M170" s="21" t="s">
        <v>9353</v>
      </c>
      <c r="N170" s="21" t="s">
        <v>22</v>
      </c>
      <c r="O170" s="260"/>
      <c r="P170" s="260"/>
      <c r="Q170" s="260"/>
      <c r="R170" s="260"/>
      <c r="S170" s="260"/>
      <c r="T170" s="260"/>
      <c r="U170" s="260"/>
      <c r="V170" s="260"/>
      <c r="W170" s="260"/>
      <c r="X170" s="260"/>
      <c r="Y170" s="260"/>
      <c r="Z170" s="260"/>
    </row>
    <row r="171">
      <c r="A171" s="267">
        <v>45969.0</v>
      </c>
      <c r="B171" s="21" t="s">
        <v>2179</v>
      </c>
      <c r="C171" s="21" t="s">
        <v>9166</v>
      </c>
      <c r="D171" s="21" t="s">
        <v>9153</v>
      </c>
      <c r="E171" s="21" t="s">
        <v>9154</v>
      </c>
      <c r="F171" s="268" t="s">
        <v>9155</v>
      </c>
      <c r="G171" s="21" t="s">
        <v>9231</v>
      </c>
      <c r="H171" s="21" t="s">
        <v>5967</v>
      </c>
      <c r="I171" s="21" t="s">
        <v>9164</v>
      </c>
      <c r="J171" s="21" t="s">
        <v>8911</v>
      </c>
      <c r="K171" s="261">
        <v>46011.0</v>
      </c>
      <c r="L171" s="261">
        <v>46025.0</v>
      </c>
      <c r="M171" s="21" t="s">
        <v>9354</v>
      </c>
      <c r="N171" s="21" t="s">
        <v>22</v>
      </c>
      <c r="O171" s="260"/>
      <c r="P171" s="260"/>
      <c r="Q171" s="260"/>
      <c r="R171" s="260"/>
      <c r="S171" s="260"/>
      <c r="T171" s="260"/>
      <c r="U171" s="260"/>
      <c r="V171" s="260"/>
      <c r="W171" s="260"/>
      <c r="X171" s="260"/>
      <c r="Y171" s="260"/>
      <c r="Z171" s="260"/>
    </row>
    <row r="172">
      <c r="A172" s="267">
        <v>45969.0</v>
      </c>
      <c r="B172" s="21" t="s">
        <v>2601</v>
      </c>
      <c r="C172" s="21" t="s">
        <v>9166</v>
      </c>
      <c r="D172" s="21" t="s">
        <v>9153</v>
      </c>
      <c r="E172" s="21" t="s">
        <v>9154</v>
      </c>
      <c r="F172" s="268" t="s">
        <v>9155</v>
      </c>
      <c r="G172" s="21" t="s">
        <v>9231</v>
      </c>
      <c r="H172" s="21" t="s">
        <v>5967</v>
      </c>
      <c r="I172" s="21" t="s">
        <v>9164</v>
      </c>
      <c r="J172" s="21" t="s">
        <v>8911</v>
      </c>
      <c r="K172" s="261">
        <v>46011.0</v>
      </c>
      <c r="L172" s="261">
        <v>46025.0</v>
      </c>
      <c r="M172" s="21" t="s">
        <v>9355</v>
      </c>
      <c r="N172" s="21" t="s">
        <v>22</v>
      </c>
      <c r="O172" s="260"/>
      <c r="P172" s="260"/>
      <c r="Q172" s="260"/>
      <c r="R172" s="260"/>
      <c r="S172" s="260"/>
      <c r="T172" s="260"/>
      <c r="U172" s="260"/>
      <c r="V172" s="260"/>
      <c r="W172" s="260"/>
      <c r="X172" s="260"/>
      <c r="Y172" s="260"/>
      <c r="Z172" s="260"/>
    </row>
    <row r="173">
      <c r="A173" s="267">
        <v>45969.0</v>
      </c>
      <c r="B173" s="21" t="s">
        <v>2181</v>
      </c>
      <c r="C173" s="21" t="s">
        <v>9166</v>
      </c>
      <c r="D173" s="21" t="s">
        <v>9153</v>
      </c>
      <c r="E173" s="21" t="s">
        <v>9154</v>
      </c>
      <c r="F173" s="268" t="s">
        <v>9155</v>
      </c>
      <c r="G173" s="21" t="s">
        <v>9231</v>
      </c>
      <c r="H173" s="21" t="s">
        <v>5967</v>
      </c>
      <c r="I173" s="21" t="s">
        <v>9164</v>
      </c>
      <c r="J173" s="21" t="s">
        <v>8911</v>
      </c>
      <c r="K173" s="261">
        <v>46011.0</v>
      </c>
      <c r="L173" s="261">
        <v>46025.0</v>
      </c>
      <c r="M173" s="21" t="s">
        <v>9356</v>
      </c>
      <c r="N173" s="21" t="s">
        <v>22</v>
      </c>
      <c r="O173" s="260"/>
      <c r="P173" s="260"/>
      <c r="Q173" s="260"/>
      <c r="R173" s="260"/>
      <c r="S173" s="260"/>
      <c r="T173" s="260"/>
      <c r="U173" s="260"/>
      <c r="V173" s="260"/>
      <c r="W173" s="260"/>
      <c r="X173" s="260"/>
      <c r="Y173" s="260"/>
      <c r="Z173" s="260"/>
    </row>
    <row r="174">
      <c r="A174" s="267">
        <v>45969.0</v>
      </c>
      <c r="B174" s="21" t="s">
        <v>2603</v>
      </c>
      <c r="C174" s="21" t="s">
        <v>9166</v>
      </c>
      <c r="D174" s="21" t="s">
        <v>9153</v>
      </c>
      <c r="E174" s="21" t="s">
        <v>9154</v>
      </c>
      <c r="F174" s="268" t="s">
        <v>9155</v>
      </c>
      <c r="G174" s="21" t="s">
        <v>9231</v>
      </c>
      <c r="H174" s="21" t="s">
        <v>5967</v>
      </c>
      <c r="I174" s="21" t="s">
        <v>9164</v>
      </c>
      <c r="J174" s="21" t="s">
        <v>8911</v>
      </c>
      <c r="K174" s="261">
        <v>46011.0</v>
      </c>
      <c r="L174" s="261">
        <v>46025.0</v>
      </c>
      <c r="M174" s="21" t="s">
        <v>9357</v>
      </c>
      <c r="N174" s="21" t="s">
        <v>22</v>
      </c>
      <c r="O174" s="260"/>
      <c r="P174" s="260"/>
      <c r="Q174" s="260"/>
      <c r="R174" s="260"/>
      <c r="S174" s="260"/>
      <c r="T174" s="260"/>
      <c r="U174" s="260"/>
      <c r="V174" s="260"/>
      <c r="W174" s="260"/>
      <c r="X174" s="260"/>
      <c r="Y174" s="260"/>
      <c r="Z174" s="260"/>
    </row>
    <row r="175">
      <c r="A175" s="267">
        <v>45969.0</v>
      </c>
      <c r="B175" s="21" t="s">
        <v>2183</v>
      </c>
      <c r="C175" s="21" t="s">
        <v>9166</v>
      </c>
      <c r="D175" s="21" t="s">
        <v>9153</v>
      </c>
      <c r="E175" s="21" t="s">
        <v>9154</v>
      </c>
      <c r="F175" s="268" t="s">
        <v>9155</v>
      </c>
      <c r="G175" s="21" t="s">
        <v>9231</v>
      </c>
      <c r="H175" s="21" t="s">
        <v>5967</v>
      </c>
      <c r="I175" s="21" t="s">
        <v>9164</v>
      </c>
      <c r="J175" s="21" t="s">
        <v>8911</v>
      </c>
      <c r="K175" s="261">
        <v>46011.0</v>
      </c>
      <c r="L175" s="261">
        <v>46025.0</v>
      </c>
      <c r="M175" s="21" t="s">
        <v>9358</v>
      </c>
      <c r="N175" s="21" t="s">
        <v>22</v>
      </c>
      <c r="O175" s="260"/>
      <c r="P175" s="260"/>
      <c r="Q175" s="260"/>
      <c r="R175" s="260"/>
      <c r="S175" s="260"/>
      <c r="T175" s="260"/>
      <c r="U175" s="260"/>
      <c r="V175" s="260"/>
      <c r="W175" s="260"/>
      <c r="X175" s="260"/>
      <c r="Y175" s="260"/>
      <c r="Z175" s="260"/>
    </row>
    <row r="176">
      <c r="A176" s="267">
        <v>45969.0</v>
      </c>
      <c r="B176" s="21" t="s">
        <v>2185</v>
      </c>
      <c r="C176" s="21" t="s">
        <v>9166</v>
      </c>
      <c r="D176" s="21" t="s">
        <v>9153</v>
      </c>
      <c r="E176" s="21" t="s">
        <v>9154</v>
      </c>
      <c r="F176" s="268" t="s">
        <v>9155</v>
      </c>
      <c r="G176" s="21" t="s">
        <v>9231</v>
      </c>
      <c r="H176" s="21" t="s">
        <v>5967</v>
      </c>
      <c r="I176" s="21" t="s">
        <v>9164</v>
      </c>
      <c r="J176" s="21" t="s">
        <v>8911</v>
      </c>
      <c r="K176" s="261">
        <v>46011.0</v>
      </c>
      <c r="L176" s="261">
        <v>46025.0</v>
      </c>
      <c r="M176" s="21" t="s">
        <v>9359</v>
      </c>
      <c r="N176" s="21" t="s">
        <v>22</v>
      </c>
      <c r="O176" s="260"/>
      <c r="P176" s="260"/>
      <c r="Q176" s="260"/>
      <c r="R176" s="260"/>
      <c r="S176" s="260"/>
      <c r="T176" s="260"/>
      <c r="U176" s="260"/>
      <c r="V176" s="260"/>
      <c r="W176" s="260"/>
      <c r="X176" s="260"/>
      <c r="Y176" s="260"/>
      <c r="Z176" s="260"/>
    </row>
    <row r="177">
      <c r="A177" s="267">
        <v>45969.0</v>
      </c>
      <c r="B177" s="21" t="s">
        <v>2187</v>
      </c>
      <c r="C177" s="21" t="s">
        <v>9166</v>
      </c>
      <c r="D177" s="21" t="s">
        <v>9153</v>
      </c>
      <c r="E177" s="21" t="s">
        <v>9154</v>
      </c>
      <c r="F177" s="268" t="s">
        <v>9155</v>
      </c>
      <c r="G177" s="21" t="s">
        <v>9231</v>
      </c>
      <c r="H177" s="21" t="s">
        <v>5967</v>
      </c>
      <c r="I177" s="21" t="s">
        <v>9164</v>
      </c>
      <c r="J177" s="21" t="s">
        <v>8911</v>
      </c>
      <c r="K177" s="261">
        <v>46011.0</v>
      </c>
      <c r="L177" s="261">
        <v>46025.0</v>
      </c>
      <c r="M177" s="21" t="s">
        <v>9360</v>
      </c>
      <c r="N177" s="21" t="s">
        <v>22</v>
      </c>
      <c r="O177" s="260"/>
      <c r="P177" s="260"/>
      <c r="Q177" s="260"/>
      <c r="R177" s="260"/>
      <c r="S177" s="260"/>
      <c r="T177" s="260"/>
      <c r="U177" s="260"/>
      <c r="V177" s="260"/>
      <c r="W177" s="260"/>
      <c r="X177" s="260"/>
      <c r="Y177" s="260"/>
      <c r="Z177" s="260"/>
    </row>
    <row r="178">
      <c r="A178" s="267">
        <v>45969.0</v>
      </c>
      <c r="B178" s="21" t="s">
        <v>2591</v>
      </c>
      <c r="C178" s="21" t="s">
        <v>9166</v>
      </c>
      <c r="D178" s="21" t="s">
        <v>9153</v>
      </c>
      <c r="E178" s="21" t="s">
        <v>9154</v>
      </c>
      <c r="F178" s="268" t="s">
        <v>9155</v>
      </c>
      <c r="G178" s="21" t="s">
        <v>9231</v>
      </c>
      <c r="H178" s="21" t="s">
        <v>5967</v>
      </c>
      <c r="I178" s="21" t="s">
        <v>9164</v>
      </c>
      <c r="J178" s="21" t="s">
        <v>8911</v>
      </c>
      <c r="K178" s="261">
        <v>46011.0</v>
      </c>
      <c r="L178" s="261">
        <v>46025.0</v>
      </c>
      <c r="M178" s="21" t="s">
        <v>9361</v>
      </c>
      <c r="N178" s="21" t="s">
        <v>22</v>
      </c>
      <c r="O178" s="260"/>
      <c r="P178" s="260"/>
      <c r="Q178" s="260"/>
      <c r="R178" s="260"/>
      <c r="S178" s="260"/>
      <c r="T178" s="260"/>
      <c r="U178" s="260"/>
      <c r="V178" s="260"/>
      <c r="W178" s="260"/>
      <c r="X178" s="260"/>
      <c r="Y178" s="260"/>
      <c r="Z178" s="260"/>
    </row>
    <row r="179">
      <c r="A179" s="267">
        <v>45969.0</v>
      </c>
      <c r="B179" s="21" t="s">
        <v>2909</v>
      </c>
      <c r="C179" s="21" t="s">
        <v>9166</v>
      </c>
      <c r="D179" s="21" t="s">
        <v>9153</v>
      </c>
      <c r="E179" s="21" t="s">
        <v>9154</v>
      </c>
      <c r="F179" s="268" t="s">
        <v>9155</v>
      </c>
      <c r="G179" s="21" t="s">
        <v>9231</v>
      </c>
      <c r="H179" s="21" t="s">
        <v>5967</v>
      </c>
      <c r="I179" s="21" t="s">
        <v>9164</v>
      </c>
      <c r="J179" s="21" t="s">
        <v>8911</v>
      </c>
      <c r="K179" s="261">
        <v>46011.0</v>
      </c>
      <c r="L179" s="261">
        <v>46025.0</v>
      </c>
      <c r="M179" s="21" t="s">
        <v>9362</v>
      </c>
      <c r="N179" s="21" t="s">
        <v>22</v>
      </c>
      <c r="O179" s="260"/>
      <c r="P179" s="260"/>
      <c r="Q179" s="260"/>
      <c r="R179" s="260"/>
      <c r="S179" s="260"/>
      <c r="T179" s="260"/>
      <c r="U179" s="260"/>
      <c r="V179" s="260"/>
      <c r="W179" s="260"/>
      <c r="X179" s="260"/>
      <c r="Y179" s="260"/>
      <c r="Z179" s="260"/>
    </row>
    <row r="180">
      <c r="A180" s="267">
        <v>45969.0</v>
      </c>
      <c r="B180" s="21" t="s">
        <v>2605</v>
      </c>
      <c r="C180" s="21" t="s">
        <v>9166</v>
      </c>
      <c r="D180" s="21" t="s">
        <v>9153</v>
      </c>
      <c r="E180" s="21" t="s">
        <v>9154</v>
      </c>
      <c r="F180" s="268" t="s">
        <v>9155</v>
      </c>
      <c r="G180" s="21" t="s">
        <v>9231</v>
      </c>
      <c r="H180" s="21" t="s">
        <v>5967</v>
      </c>
      <c r="I180" s="21" t="s">
        <v>9164</v>
      </c>
      <c r="J180" s="21" t="s">
        <v>8911</v>
      </c>
      <c r="K180" s="261">
        <v>46011.0</v>
      </c>
      <c r="L180" s="261">
        <v>46025.0</v>
      </c>
      <c r="M180" s="21" t="s">
        <v>9363</v>
      </c>
      <c r="N180" s="21" t="s">
        <v>22</v>
      </c>
      <c r="O180" s="260"/>
      <c r="P180" s="260"/>
      <c r="Q180" s="260"/>
      <c r="R180" s="260"/>
      <c r="S180" s="260"/>
      <c r="T180" s="260"/>
      <c r="U180" s="260"/>
      <c r="V180" s="260"/>
      <c r="W180" s="260"/>
      <c r="X180" s="260"/>
      <c r="Y180" s="260"/>
      <c r="Z180" s="260"/>
    </row>
    <row r="181">
      <c r="A181" s="267">
        <v>45969.0</v>
      </c>
      <c r="B181" s="21" t="s">
        <v>2198</v>
      </c>
      <c r="C181" s="21" t="s">
        <v>9166</v>
      </c>
      <c r="D181" s="21" t="s">
        <v>9153</v>
      </c>
      <c r="E181" s="21" t="s">
        <v>9154</v>
      </c>
      <c r="F181" s="268" t="s">
        <v>9155</v>
      </c>
      <c r="G181" s="21" t="s">
        <v>9231</v>
      </c>
      <c r="H181" s="21" t="s">
        <v>5967</v>
      </c>
      <c r="I181" s="21" t="s">
        <v>9164</v>
      </c>
      <c r="J181" s="21" t="s">
        <v>8911</v>
      </c>
      <c r="K181" s="261">
        <v>46011.0</v>
      </c>
      <c r="L181" s="261">
        <v>46025.0</v>
      </c>
      <c r="M181" s="21" t="s">
        <v>9364</v>
      </c>
      <c r="N181" s="21" t="s">
        <v>22</v>
      </c>
      <c r="O181" s="260"/>
      <c r="P181" s="260"/>
      <c r="Q181" s="260"/>
      <c r="R181" s="260"/>
      <c r="S181" s="260"/>
      <c r="T181" s="260"/>
      <c r="U181" s="260"/>
      <c r="V181" s="260"/>
      <c r="W181" s="260"/>
      <c r="X181" s="260"/>
      <c r="Y181" s="260"/>
      <c r="Z181" s="260"/>
    </row>
    <row r="182">
      <c r="A182" s="267">
        <v>45969.0</v>
      </c>
      <c r="B182" s="21" t="s">
        <v>2201</v>
      </c>
      <c r="C182" s="21" t="s">
        <v>9166</v>
      </c>
      <c r="D182" s="21" t="s">
        <v>9153</v>
      </c>
      <c r="E182" s="21" t="s">
        <v>9154</v>
      </c>
      <c r="F182" s="268" t="s">
        <v>9155</v>
      </c>
      <c r="G182" s="21" t="s">
        <v>9231</v>
      </c>
      <c r="H182" s="21" t="s">
        <v>5967</v>
      </c>
      <c r="I182" s="21" t="s">
        <v>9164</v>
      </c>
      <c r="J182" s="21" t="s">
        <v>8911</v>
      </c>
      <c r="K182" s="261">
        <v>46011.0</v>
      </c>
      <c r="L182" s="261">
        <v>46025.0</v>
      </c>
      <c r="M182" s="21" t="s">
        <v>9365</v>
      </c>
      <c r="N182" s="21" t="s">
        <v>22</v>
      </c>
      <c r="O182" s="260"/>
      <c r="P182" s="260"/>
      <c r="Q182" s="260"/>
      <c r="R182" s="260"/>
      <c r="S182" s="260"/>
      <c r="T182" s="260"/>
      <c r="U182" s="260"/>
      <c r="V182" s="260"/>
      <c r="W182" s="260"/>
      <c r="X182" s="260"/>
      <c r="Y182" s="260"/>
      <c r="Z182" s="260"/>
    </row>
    <row r="183">
      <c r="A183" s="267">
        <v>45969.0</v>
      </c>
      <c r="B183" s="21" t="s">
        <v>2607</v>
      </c>
      <c r="C183" s="21" t="s">
        <v>9166</v>
      </c>
      <c r="D183" s="21" t="s">
        <v>9153</v>
      </c>
      <c r="E183" s="21" t="s">
        <v>9154</v>
      </c>
      <c r="F183" s="268" t="s">
        <v>9155</v>
      </c>
      <c r="G183" s="21" t="s">
        <v>9231</v>
      </c>
      <c r="H183" s="21" t="s">
        <v>5967</v>
      </c>
      <c r="I183" s="21" t="s">
        <v>9164</v>
      </c>
      <c r="J183" s="21" t="s">
        <v>8911</v>
      </c>
      <c r="K183" s="261">
        <v>46011.0</v>
      </c>
      <c r="L183" s="261">
        <v>46025.0</v>
      </c>
      <c r="M183" s="21" t="s">
        <v>9366</v>
      </c>
      <c r="N183" s="21" t="s">
        <v>22</v>
      </c>
      <c r="O183" s="260"/>
      <c r="P183" s="260"/>
      <c r="Q183" s="260"/>
      <c r="R183" s="260"/>
      <c r="S183" s="260"/>
      <c r="T183" s="260"/>
      <c r="U183" s="260"/>
      <c r="V183" s="260"/>
      <c r="W183" s="260"/>
      <c r="X183" s="260"/>
      <c r="Y183" s="260"/>
      <c r="Z183" s="260"/>
    </row>
    <row r="184">
      <c r="A184" s="267">
        <v>45969.0</v>
      </c>
      <c r="B184" s="21" t="s">
        <v>2203</v>
      </c>
      <c r="C184" s="21" t="s">
        <v>9166</v>
      </c>
      <c r="D184" s="21" t="s">
        <v>9153</v>
      </c>
      <c r="E184" s="21" t="s">
        <v>9154</v>
      </c>
      <c r="F184" s="268" t="s">
        <v>9155</v>
      </c>
      <c r="G184" s="21" t="s">
        <v>9231</v>
      </c>
      <c r="H184" s="21" t="s">
        <v>5967</v>
      </c>
      <c r="I184" s="21" t="s">
        <v>9164</v>
      </c>
      <c r="J184" s="21" t="s">
        <v>8911</v>
      </c>
      <c r="K184" s="261">
        <v>46011.0</v>
      </c>
      <c r="L184" s="261">
        <v>46025.0</v>
      </c>
      <c r="M184" s="21" t="s">
        <v>9367</v>
      </c>
      <c r="N184" s="21" t="s">
        <v>22</v>
      </c>
      <c r="O184" s="260"/>
      <c r="P184" s="260"/>
      <c r="Q184" s="260"/>
      <c r="R184" s="260"/>
      <c r="S184" s="260"/>
      <c r="T184" s="260"/>
      <c r="U184" s="260"/>
      <c r="V184" s="260"/>
      <c r="W184" s="260"/>
      <c r="X184" s="260"/>
      <c r="Y184" s="260"/>
      <c r="Z184" s="260"/>
    </row>
    <row r="185">
      <c r="A185" s="267">
        <v>45973.0</v>
      </c>
      <c r="B185" s="21" t="s">
        <v>2203</v>
      </c>
      <c r="C185" s="21" t="s">
        <v>9166</v>
      </c>
      <c r="D185" s="21" t="s">
        <v>9153</v>
      </c>
      <c r="E185" s="21" t="s">
        <v>9154</v>
      </c>
      <c r="F185" s="268" t="s">
        <v>9155</v>
      </c>
      <c r="G185" s="21" t="s">
        <v>9231</v>
      </c>
      <c r="H185" s="21" t="s">
        <v>5967</v>
      </c>
      <c r="I185" s="21" t="s">
        <v>9164</v>
      </c>
      <c r="J185" s="21" t="s">
        <v>8911</v>
      </c>
      <c r="K185" s="261">
        <v>46015.0</v>
      </c>
      <c r="L185" s="261">
        <v>46029.0</v>
      </c>
      <c r="M185" s="21" t="s">
        <v>9368</v>
      </c>
      <c r="N185" s="21" t="s">
        <v>22</v>
      </c>
      <c r="O185" s="260"/>
      <c r="P185" s="260"/>
      <c r="Q185" s="260"/>
      <c r="R185" s="260"/>
      <c r="S185" s="260"/>
      <c r="T185" s="260"/>
      <c r="U185" s="260"/>
      <c r="V185" s="260"/>
      <c r="W185" s="260"/>
      <c r="X185" s="260"/>
      <c r="Y185" s="260"/>
      <c r="Z185" s="260"/>
    </row>
    <row r="186">
      <c r="A186" s="267">
        <v>45969.0</v>
      </c>
      <c r="B186" s="21" t="s">
        <v>2205</v>
      </c>
      <c r="C186" s="21" t="s">
        <v>9166</v>
      </c>
      <c r="D186" s="21" t="s">
        <v>9153</v>
      </c>
      <c r="E186" s="21" t="s">
        <v>9154</v>
      </c>
      <c r="F186" s="268" t="s">
        <v>9155</v>
      </c>
      <c r="G186" s="21" t="s">
        <v>9231</v>
      </c>
      <c r="H186" s="21" t="s">
        <v>5967</v>
      </c>
      <c r="I186" s="21" t="s">
        <v>9164</v>
      </c>
      <c r="J186" s="21" t="s">
        <v>8911</v>
      </c>
      <c r="K186" s="261">
        <v>46011.0</v>
      </c>
      <c r="L186" s="261">
        <v>46025.0</v>
      </c>
      <c r="M186" s="268" t="s">
        <v>9369</v>
      </c>
      <c r="N186" s="21" t="s">
        <v>22</v>
      </c>
      <c r="O186" s="260"/>
      <c r="P186" s="260"/>
      <c r="Q186" s="260"/>
      <c r="R186" s="260"/>
      <c r="S186" s="260"/>
      <c r="T186" s="260"/>
      <c r="U186" s="260"/>
      <c r="V186" s="260"/>
      <c r="W186" s="260"/>
      <c r="X186" s="260"/>
      <c r="Y186" s="260"/>
      <c r="Z186" s="260"/>
    </row>
    <row r="187">
      <c r="A187" s="267">
        <v>45969.0</v>
      </c>
      <c r="B187" s="21" t="s">
        <v>2207</v>
      </c>
      <c r="C187" s="21" t="s">
        <v>9166</v>
      </c>
      <c r="D187" s="21" t="s">
        <v>9153</v>
      </c>
      <c r="E187" s="21" t="s">
        <v>9154</v>
      </c>
      <c r="F187" s="268" t="s">
        <v>9155</v>
      </c>
      <c r="G187" s="21" t="s">
        <v>9231</v>
      </c>
      <c r="H187" s="21" t="s">
        <v>5967</v>
      </c>
      <c r="I187" s="21" t="s">
        <v>9164</v>
      </c>
      <c r="J187" s="21" t="s">
        <v>8911</v>
      </c>
      <c r="K187" s="261">
        <v>46011.0</v>
      </c>
      <c r="L187" s="261">
        <v>46025.0</v>
      </c>
      <c r="M187" s="21" t="s">
        <v>9370</v>
      </c>
      <c r="N187" s="21" t="s">
        <v>22</v>
      </c>
      <c r="O187" s="260"/>
      <c r="P187" s="260"/>
      <c r="Q187" s="260"/>
      <c r="R187" s="260"/>
      <c r="S187" s="260"/>
      <c r="T187" s="260"/>
      <c r="U187" s="260"/>
      <c r="V187" s="260"/>
      <c r="W187" s="260"/>
      <c r="X187" s="260"/>
      <c r="Y187" s="260"/>
      <c r="Z187" s="260"/>
    </row>
    <row r="188">
      <c r="A188" s="267">
        <v>45969.0</v>
      </c>
      <c r="B188" s="21" t="s">
        <v>2209</v>
      </c>
      <c r="C188" s="21" t="s">
        <v>9166</v>
      </c>
      <c r="D188" s="21" t="s">
        <v>9153</v>
      </c>
      <c r="E188" s="21" t="s">
        <v>9154</v>
      </c>
      <c r="F188" s="268" t="s">
        <v>9155</v>
      </c>
      <c r="G188" s="21" t="s">
        <v>9231</v>
      </c>
      <c r="H188" s="21" t="s">
        <v>5967</v>
      </c>
      <c r="I188" s="21" t="s">
        <v>9164</v>
      </c>
      <c r="J188" s="21" t="s">
        <v>8911</v>
      </c>
      <c r="K188" s="261">
        <v>46011.0</v>
      </c>
      <c r="L188" s="261">
        <v>46025.0</v>
      </c>
      <c r="M188" s="21" t="s">
        <v>9371</v>
      </c>
      <c r="N188" s="21" t="s">
        <v>22</v>
      </c>
      <c r="O188" s="260"/>
      <c r="P188" s="260"/>
      <c r="Q188" s="260"/>
      <c r="R188" s="260"/>
      <c r="S188" s="260"/>
      <c r="T188" s="260"/>
      <c r="U188" s="260"/>
      <c r="V188" s="260"/>
      <c r="W188" s="260"/>
      <c r="X188" s="260"/>
      <c r="Y188" s="260"/>
      <c r="Z188" s="260"/>
    </row>
    <row r="189">
      <c r="A189" s="267">
        <v>45969.0</v>
      </c>
      <c r="B189" s="21" t="s">
        <v>2593</v>
      </c>
      <c r="C189" s="21" t="s">
        <v>9166</v>
      </c>
      <c r="D189" s="21" t="s">
        <v>9153</v>
      </c>
      <c r="E189" s="21" t="s">
        <v>9154</v>
      </c>
      <c r="F189" s="268" t="s">
        <v>9155</v>
      </c>
      <c r="G189" s="21" t="s">
        <v>9231</v>
      </c>
      <c r="H189" s="21" t="s">
        <v>5967</v>
      </c>
      <c r="I189" s="21" t="s">
        <v>9164</v>
      </c>
      <c r="J189" s="21" t="s">
        <v>8911</v>
      </c>
      <c r="K189" s="261">
        <v>46011.0</v>
      </c>
      <c r="L189" s="261">
        <v>46025.0</v>
      </c>
      <c r="M189" s="21" t="s">
        <v>9372</v>
      </c>
      <c r="N189" s="21" t="s">
        <v>22</v>
      </c>
      <c r="O189" s="260"/>
      <c r="P189" s="260"/>
      <c r="Q189" s="260"/>
      <c r="R189" s="260"/>
      <c r="S189" s="260"/>
      <c r="T189" s="260"/>
      <c r="U189" s="260"/>
      <c r="V189" s="260"/>
      <c r="W189" s="260"/>
      <c r="X189" s="260"/>
      <c r="Y189" s="260"/>
      <c r="Z189" s="260"/>
    </row>
    <row r="190">
      <c r="A190" s="267">
        <v>45969.0</v>
      </c>
      <c r="B190" s="21" t="s">
        <v>2189</v>
      </c>
      <c r="C190" s="21" t="s">
        <v>9166</v>
      </c>
      <c r="D190" s="21" t="s">
        <v>9153</v>
      </c>
      <c r="E190" s="21" t="s">
        <v>9154</v>
      </c>
      <c r="F190" s="268" t="s">
        <v>9155</v>
      </c>
      <c r="G190" s="21" t="s">
        <v>9231</v>
      </c>
      <c r="H190" s="21" t="s">
        <v>5967</v>
      </c>
      <c r="I190" s="21" t="s">
        <v>9164</v>
      </c>
      <c r="J190" s="21" t="s">
        <v>8911</v>
      </c>
      <c r="K190" s="261">
        <v>46011.0</v>
      </c>
      <c r="L190" s="261">
        <v>46025.0</v>
      </c>
      <c r="M190" s="21" t="s">
        <v>9373</v>
      </c>
      <c r="N190" s="21" t="s">
        <v>22</v>
      </c>
      <c r="O190" s="260"/>
      <c r="P190" s="260"/>
      <c r="Q190" s="260"/>
      <c r="R190" s="260"/>
      <c r="S190" s="260"/>
      <c r="T190" s="260"/>
      <c r="U190" s="260"/>
      <c r="V190" s="260"/>
      <c r="W190" s="260"/>
      <c r="X190" s="260"/>
      <c r="Y190" s="260"/>
      <c r="Z190" s="260"/>
    </row>
    <row r="191">
      <c r="A191" s="267">
        <v>45969.0</v>
      </c>
      <c r="B191" s="21" t="s">
        <v>2192</v>
      </c>
      <c r="C191" s="21" t="s">
        <v>9166</v>
      </c>
      <c r="D191" s="21" t="s">
        <v>9153</v>
      </c>
      <c r="E191" s="21" t="s">
        <v>9154</v>
      </c>
      <c r="F191" s="268" t="s">
        <v>9155</v>
      </c>
      <c r="G191" s="21" t="s">
        <v>9231</v>
      </c>
      <c r="H191" s="21" t="s">
        <v>5967</v>
      </c>
      <c r="I191" s="21" t="s">
        <v>9164</v>
      </c>
      <c r="J191" s="21" t="s">
        <v>8911</v>
      </c>
      <c r="K191" s="261">
        <v>46011.0</v>
      </c>
      <c r="L191" s="261">
        <v>46025.0</v>
      </c>
      <c r="M191" s="21" t="s">
        <v>9374</v>
      </c>
      <c r="N191" s="21" t="s">
        <v>22</v>
      </c>
      <c r="O191" s="260"/>
      <c r="P191" s="260"/>
      <c r="Q191" s="260"/>
      <c r="R191" s="260"/>
      <c r="S191" s="260"/>
      <c r="T191" s="260"/>
      <c r="U191" s="260"/>
      <c r="V191" s="260"/>
      <c r="W191" s="260"/>
      <c r="X191" s="260"/>
      <c r="Y191" s="260"/>
      <c r="Z191" s="260"/>
    </row>
    <row r="192">
      <c r="A192" s="267">
        <v>45969.0</v>
      </c>
      <c r="B192" s="21" t="s">
        <v>2194</v>
      </c>
      <c r="C192" s="21" t="s">
        <v>9166</v>
      </c>
      <c r="D192" s="21" t="s">
        <v>9153</v>
      </c>
      <c r="E192" s="21" t="s">
        <v>9154</v>
      </c>
      <c r="F192" s="268" t="s">
        <v>9155</v>
      </c>
      <c r="G192" s="21" t="s">
        <v>9231</v>
      </c>
      <c r="H192" s="21" t="s">
        <v>5967</v>
      </c>
      <c r="I192" s="21" t="s">
        <v>9164</v>
      </c>
      <c r="J192" s="21" t="s">
        <v>8911</v>
      </c>
      <c r="K192" s="261">
        <v>46011.0</v>
      </c>
      <c r="L192" s="261">
        <v>46025.0</v>
      </c>
      <c r="M192" s="21" t="s">
        <v>9375</v>
      </c>
      <c r="N192" s="21" t="s">
        <v>22</v>
      </c>
      <c r="O192" s="260"/>
      <c r="P192" s="260"/>
      <c r="Q192" s="260"/>
      <c r="R192" s="260"/>
      <c r="S192" s="260"/>
      <c r="T192" s="260"/>
      <c r="U192" s="260"/>
      <c r="V192" s="260"/>
      <c r="W192" s="260"/>
      <c r="X192" s="260"/>
      <c r="Y192" s="260"/>
      <c r="Z192" s="260"/>
    </row>
    <row r="193">
      <c r="A193" s="267">
        <v>45969.0</v>
      </c>
      <c r="B193" s="21" t="s">
        <v>2196</v>
      </c>
      <c r="C193" s="21" t="s">
        <v>9166</v>
      </c>
      <c r="D193" s="21" t="s">
        <v>9153</v>
      </c>
      <c r="E193" s="21" t="s">
        <v>9154</v>
      </c>
      <c r="F193" s="268" t="s">
        <v>9155</v>
      </c>
      <c r="G193" s="21" t="s">
        <v>9231</v>
      </c>
      <c r="H193" s="21" t="s">
        <v>5967</v>
      </c>
      <c r="I193" s="21" t="s">
        <v>9164</v>
      </c>
      <c r="J193" s="21" t="s">
        <v>8911</v>
      </c>
      <c r="K193" s="261">
        <v>46011.0</v>
      </c>
      <c r="L193" s="261">
        <v>46025.0</v>
      </c>
      <c r="M193" s="21" t="s">
        <v>9376</v>
      </c>
      <c r="N193" s="21" t="s">
        <v>22</v>
      </c>
      <c r="O193" s="260"/>
      <c r="P193" s="260"/>
      <c r="Q193" s="260"/>
      <c r="R193" s="260"/>
      <c r="S193" s="260"/>
      <c r="T193" s="260"/>
      <c r="U193" s="260"/>
      <c r="V193" s="260"/>
      <c r="W193" s="260"/>
      <c r="X193" s="260"/>
      <c r="Y193" s="260"/>
      <c r="Z193" s="260"/>
    </row>
    <row r="194">
      <c r="A194" s="267">
        <v>45969.0</v>
      </c>
      <c r="B194" s="21" t="s">
        <v>2540</v>
      </c>
      <c r="C194" s="21" t="s">
        <v>9166</v>
      </c>
      <c r="D194" s="21" t="s">
        <v>9153</v>
      </c>
      <c r="E194" s="21" t="s">
        <v>9154</v>
      </c>
      <c r="F194" s="268" t="s">
        <v>9155</v>
      </c>
      <c r="G194" s="21" t="s">
        <v>9231</v>
      </c>
      <c r="H194" s="21" t="s">
        <v>5967</v>
      </c>
      <c r="I194" s="21" t="s">
        <v>9164</v>
      </c>
      <c r="J194" s="21" t="s">
        <v>8911</v>
      </c>
      <c r="K194" s="261">
        <v>46011.0</v>
      </c>
      <c r="L194" s="261">
        <v>46025.0</v>
      </c>
      <c r="M194" s="21" t="s">
        <v>9377</v>
      </c>
      <c r="N194" s="21" t="s">
        <v>22</v>
      </c>
      <c r="O194" s="260"/>
      <c r="P194" s="260"/>
      <c r="Q194" s="260"/>
      <c r="R194" s="260"/>
      <c r="S194" s="260"/>
      <c r="T194" s="260"/>
      <c r="U194" s="260"/>
      <c r="V194" s="260"/>
      <c r="W194" s="260"/>
      <c r="X194" s="260"/>
      <c r="Y194" s="260"/>
      <c r="Z194" s="260"/>
    </row>
    <row r="195">
      <c r="A195" s="267">
        <v>45969.0</v>
      </c>
      <c r="B195" s="21" t="s">
        <v>2511</v>
      </c>
      <c r="C195" s="21" t="s">
        <v>9166</v>
      </c>
      <c r="D195" s="21" t="s">
        <v>9153</v>
      </c>
      <c r="E195" s="21" t="s">
        <v>9154</v>
      </c>
      <c r="F195" s="268" t="s">
        <v>9155</v>
      </c>
      <c r="G195" s="21" t="s">
        <v>9231</v>
      </c>
      <c r="H195" s="21" t="s">
        <v>5967</v>
      </c>
      <c r="I195" s="21" t="s">
        <v>9164</v>
      </c>
      <c r="J195" s="21" t="s">
        <v>8911</v>
      </c>
      <c r="K195" s="261">
        <v>46011.0</v>
      </c>
      <c r="L195" s="261">
        <v>46025.0</v>
      </c>
      <c r="M195" s="21" t="s">
        <v>9378</v>
      </c>
      <c r="N195" s="21" t="s">
        <v>22</v>
      </c>
      <c r="O195" s="260"/>
      <c r="P195" s="260"/>
      <c r="Q195" s="260"/>
      <c r="R195" s="260"/>
      <c r="S195" s="260"/>
      <c r="T195" s="260"/>
      <c r="U195" s="260"/>
      <c r="V195" s="260"/>
      <c r="W195" s="260"/>
      <c r="X195" s="260"/>
      <c r="Y195" s="260"/>
      <c r="Z195" s="260"/>
    </row>
    <row r="196">
      <c r="A196" s="267">
        <v>45969.0</v>
      </c>
      <c r="B196" s="21" t="s">
        <v>2211</v>
      </c>
      <c r="C196" s="21" t="s">
        <v>9166</v>
      </c>
      <c r="D196" s="21" t="s">
        <v>9153</v>
      </c>
      <c r="E196" s="21" t="s">
        <v>9154</v>
      </c>
      <c r="F196" s="268" t="s">
        <v>9155</v>
      </c>
      <c r="G196" s="21" t="s">
        <v>9231</v>
      </c>
      <c r="H196" s="21" t="s">
        <v>5967</v>
      </c>
      <c r="I196" s="21" t="s">
        <v>9164</v>
      </c>
      <c r="J196" s="21" t="s">
        <v>8911</v>
      </c>
      <c r="K196" s="261">
        <v>46011.0</v>
      </c>
      <c r="L196" s="261">
        <v>46025.0</v>
      </c>
      <c r="M196" s="21" t="s">
        <v>9379</v>
      </c>
      <c r="N196" s="21" t="s">
        <v>22</v>
      </c>
      <c r="O196" s="260"/>
      <c r="P196" s="260"/>
      <c r="Q196" s="260"/>
      <c r="R196" s="260"/>
      <c r="S196" s="260"/>
      <c r="T196" s="260"/>
      <c r="U196" s="260"/>
      <c r="V196" s="260"/>
      <c r="W196" s="260"/>
      <c r="X196" s="260"/>
      <c r="Y196" s="260"/>
      <c r="Z196" s="260"/>
    </row>
    <row r="197">
      <c r="A197" s="267">
        <v>45969.0</v>
      </c>
      <c r="B197" s="21" t="s">
        <v>2214</v>
      </c>
      <c r="C197" s="21" t="s">
        <v>9166</v>
      </c>
      <c r="D197" s="21" t="s">
        <v>9153</v>
      </c>
      <c r="E197" s="21" t="s">
        <v>9154</v>
      </c>
      <c r="F197" s="268" t="s">
        <v>9155</v>
      </c>
      <c r="G197" s="21" t="s">
        <v>9231</v>
      </c>
      <c r="H197" s="21" t="s">
        <v>5967</v>
      </c>
      <c r="I197" s="21" t="s">
        <v>9164</v>
      </c>
      <c r="J197" s="21" t="s">
        <v>8911</v>
      </c>
      <c r="K197" s="261">
        <v>46011.0</v>
      </c>
      <c r="L197" s="261">
        <v>46025.0</v>
      </c>
      <c r="M197" s="21" t="s">
        <v>9380</v>
      </c>
      <c r="N197" s="21" t="s">
        <v>22</v>
      </c>
      <c r="O197" s="260"/>
      <c r="P197" s="260"/>
      <c r="Q197" s="260"/>
      <c r="R197" s="260"/>
      <c r="S197" s="260"/>
      <c r="T197" s="260"/>
      <c r="U197" s="260"/>
      <c r="V197" s="260"/>
      <c r="W197" s="260"/>
      <c r="X197" s="260"/>
      <c r="Y197" s="260"/>
      <c r="Z197" s="260"/>
    </row>
    <row r="198">
      <c r="A198" s="267">
        <v>45969.0</v>
      </c>
      <c r="B198" s="21" t="s">
        <v>2216</v>
      </c>
      <c r="C198" s="21" t="s">
        <v>9166</v>
      </c>
      <c r="D198" s="21" t="s">
        <v>9153</v>
      </c>
      <c r="E198" s="21" t="s">
        <v>9154</v>
      </c>
      <c r="F198" s="268" t="s">
        <v>9155</v>
      </c>
      <c r="G198" s="21" t="s">
        <v>9231</v>
      </c>
      <c r="H198" s="21" t="s">
        <v>5967</v>
      </c>
      <c r="I198" s="21" t="s">
        <v>9164</v>
      </c>
      <c r="J198" s="21" t="s">
        <v>8911</v>
      </c>
      <c r="K198" s="261">
        <v>46011.0</v>
      </c>
      <c r="L198" s="261">
        <v>46025.0</v>
      </c>
      <c r="M198" s="21" t="s">
        <v>9381</v>
      </c>
      <c r="N198" s="21" t="s">
        <v>22</v>
      </c>
      <c r="O198" s="260"/>
      <c r="P198" s="260"/>
      <c r="Q198" s="260"/>
      <c r="R198" s="260"/>
      <c r="S198" s="260"/>
      <c r="T198" s="260"/>
      <c r="U198" s="260"/>
      <c r="V198" s="260"/>
      <c r="W198" s="260"/>
      <c r="X198" s="260"/>
      <c r="Y198" s="260"/>
      <c r="Z198" s="260"/>
    </row>
    <row r="199">
      <c r="A199" s="267">
        <v>45969.0</v>
      </c>
      <c r="B199" s="21" t="s">
        <v>2218</v>
      </c>
      <c r="C199" s="21" t="s">
        <v>9166</v>
      </c>
      <c r="D199" s="21" t="s">
        <v>9153</v>
      </c>
      <c r="E199" s="21" t="s">
        <v>9154</v>
      </c>
      <c r="F199" s="268" t="s">
        <v>9155</v>
      </c>
      <c r="G199" s="21" t="s">
        <v>9231</v>
      </c>
      <c r="H199" s="21" t="s">
        <v>5967</v>
      </c>
      <c r="I199" s="21" t="s">
        <v>9164</v>
      </c>
      <c r="J199" s="21" t="s">
        <v>8911</v>
      </c>
      <c r="K199" s="261">
        <v>46011.0</v>
      </c>
      <c r="L199" s="261">
        <v>46025.0</v>
      </c>
      <c r="M199" s="21" t="s">
        <v>9382</v>
      </c>
      <c r="N199" s="21" t="s">
        <v>22</v>
      </c>
      <c r="O199" s="260"/>
      <c r="P199" s="260"/>
      <c r="Q199" s="260"/>
      <c r="R199" s="260"/>
      <c r="S199" s="260"/>
      <c r="T199" s="260"/>
      <c r="U199" s="260"/>
      <c r="V199" s="260"/>
      <c r="W199" s="260"/>
      <c r="X199" s="260"/>
      <c r="Y199" s="260"/>
      <c r="Z199" s="260"/>
    </row>
    <row r="200">
      <c r="A200" s="267">
        <v>45969.0</v>
      </c>
      <c r="B200" s="21" t="s">
        <v>2220</v>
      </c>
      <c r="C200" s="21" t="s">
        <v>9166</v>
      </c>
      <c r="D200" s="21" t="s">
        <v>9153</v>
      </c>
      <c r="E200" s="21" t="s">
        <v>9154</v>
      </c>
      <c r="F200" s="268" t="s">
        <v>9155</v>
      </c>
      <c r="G200" s="21" t="s">
        <v>9231</v>
      </c>
      <c r="H200" s="21" t="s">
        <v>5967</v>
      </c>
      <c r="I200" s="21" t="s">
        <v>9164</v>
      </c>
      <c r="J200" s="21" t="s">
        <v>8911</v>
      </c>
      <c r="K200" s="261">
        <v>46011.0</v>
      </c>
      <c r="L200" s="261">
        <v>46025.0</v>
      </c>
      <c r="M200" s="21" t="s">
        <v>9383</v>
      </c>
      <c r="N200" s="21" t="s">
        <v>22</v>
      </c>
      <c r="O200" s="260"/>
      <c r="P200" s="260"/>
      <c r="Q200" s="260"/>
      <c r="R200" s="260"/>
      <c r="S200" s="260"/>
      <c r="T200" s="260"/>
      <c r="U200" s="260"/>
      <c r="V200" s="260"/>
      <c r="W200" s="260"/>
      <c r="X200" s="260"/>
      <c r="Y200" s="260"/>
      <c r="Z200" s="260"/>
    </row>
    <row r="201">
      <c r="A201" s="267">
        <v>45969.0</v>
      </c>
      <c r="B201" s="21" t="s">
        <v>2222</v>
      </c>
      <c r="C201" s="21" t="s">
        <v>9166</v>
      </c>
      <c r="D201" s="21" t="s">
        <v>9153</v>
      </c>
      <c r="E201" s="21" t="s">
        <v>9154</v>
      </c>
      <c r="F201" s="268" t="s">
        <v>9155</v>
      </c>
      <c r="G201" s="21" t="s">
        <v>9231</v>
      </c>
      <c r="H201" s="21" t="s">
        <v>5967</v>
      </c>
      <c r="I201" s="21" t="s">
        <v>9164</v>
      </c>
      <c r="J201" s="21" t="s">
        <v>8911</v>
      </c>
      <c r="K201" s="261">
        <v>46011.0</v>
      </c>
      <c r="L201" s="261">
        <v>46025.0</v>
      </c>
      <c r="M201" s="21" t="s">
        <v>9384</v>
      </c>
      <c r="N201" s="21" t="s">
        <v>22</v>
      </c>
      <c r="O201" s="260"/>
      <c r="P201" s="260"/>
      <c r="Q201" s="260"/>
      <c r="R201" s="260"/>
      <c r="S201" s="260"/>
      <c r="T201" s="260"/>
      <c r="U201" s="260"/>
      <c r="V201" s="260"/>
      <c r="W201" s="260"/>
      <c r="X201" s="260"/>
      <c r="Y201" s="260"/>
      <c r="Z201" s="260"/>
    </row>
    <row r="202">
      <c r="A202" s="267">
        <v>45969.0</v>
      </c>
      <c r="B202" s="21" t="s">
        <v>2224</v>
      </c>
      <c r="C202" s="21" t="s">
        <v>9166</v>
      </c>
      <c r="D202" s="21" t="s">
        <v>9153</v>
      </c>
      <c r="E202" s="21" t="s">
        <v>9154</v>
      </c>
      <c r="F202" s="268" t="s">
        <v>9155</v>
      </c>
      <c r="G202" s="21" t="s">
        <v>9231</v>
      </c>
      <c r="H202" s="21" t="s">
        <v>5967</v>
      </c>
      <c r="I202" s="21" t="s">
        <v>9164</v>
      </c>
      <c r="J202" s="21" t="s">
        <v>8911</v>
      </c>
      <c r="K202" s="261">
        <v>46011.0</v>
      </c>
      <c r="L202" s="261">
        <v>46025.0</v>
      </c>
      <c r="M202" s="21" t="s">
        <v>9385</v>
      </c>
      <c r="N202" s="21" t="s">
        <v>22</v>
      </c>
      <c r="O202" s="260"/>
      <c r="P202" s="260"/>
      <c r="Q202" s="260"/>
      <c r="R202" s="260"/>
      <c r="S202" s="260"/>
      <c r="T202" s="260"/>
      <c r="U202" s="260"/>
      <c r="V202" s="260"/>
      <c r="W202" s="260"/>
      <c r="X202" s="260"/>
      <c r="Y202" s="260"/>
      <c r="Z202" s="260"/>
    </row>
    <row r="203">
      <c r="A203" s="267">
        <v>45969.0</v>
      </c>
      <c r="B203" s="21" t="s">
        <v>2226</v>
      </c>
      <c r="C203" s="21" t="s">
        <v>9166</v>
      </c>
      <c r="D203" s="21" t="s">
        <v>9153</v>
      </c>
      <c r="E203" s="21" t="s">
        <v>9154</v>
      </c>
      <c r="F203" s="268" t="s">
        <v>9155</v>
      </c>
      <c r="G203" s="21" t="s">
        <v>9231</v>
      </c>
      <c r="H203" s="21" t="s">
        <v>5967</v>
      </c>
      <c r="I203" s="21" t="s">
        <v>9164</v>
      </c>
      <c r="J203" s="21" t="s">
        <v>8911</v>
      </c>
      <c r="K203" s="261">
        <v>46011.0</v>
      </c>
      <c r="L203" s="261">
        <v>46025.0</v>
      </c>
      <c r="M203" s="21" t="s">
        <v>9386</v>
      </c>
      <c r="N203" s="21" t="s">
        <v>22</v>
      </c>
      <c r="O203" s="260"/>
      <c r="P203" s="260"/>
      <c r="Q203" s="260"/>
      <c r="R203" s="260"/>
      <c r="S203" s="260"/>
      <c r="T203" s="260"/>
      <c r="U203" s="260"/>
      <c r="V203" s="260"/>
      <c r="W203" s="260"/>
      <c r="X203" s="260"/>
      <c r="Y203" s="260"/>
      <c r="Z203" s="260"/>
    </row>
    <row r="204">
      <c r="A204" s="267">
        <v>45969.0</v>
      </c>
      <c r="B204" s="21" t="s">
        <v>2514</v>
      </c>
      <c r="C204" s="21" t="s">
        <v>9166</v>
      </c>
      <c r="D204" s="21" t="s">
        <v>9153</v>
      </c>
      <c r="E204" s="21" t="s">
        <v>9154</v>
      </c>
      <c r="F204" s="268" t="s">
        <v>9155</v>
      </c>
      <c r="G204" s="21" t="s">
        <v>9231</v>
      </c>
      <c r="H204" s="21" t="s">
        <v>5967</v>
      </c>
      <c r="I204" s="21" t="s">
        <v>9164</v>
      </c>
      <c r="J204" s="21" t="s">
        <v>8911</v>
      </c>
      <c r="K204" s="261">
        <v>46011.0</v>
      </c>
      <c r="L204" s="261">
        <v>46025.0</v>
      </c>
      <c r="M204" s="21" t="s">
        <v>9387</v>
      </c>
      <c r="N204" s="21" t="s">
        <v>22</v>
      </c>
      <c r="O204" s="260"/>
      <c r="P204" s="260"/>
      <c r="Q204" s="260"/>
      <c r="R204" s="260"/>
      <c r="S204" s="260"/>
      <c r="T204" s="260"/>
      <c r="U204" s="260"/>
      <c r="V204" s="260"/>
      <c r="W204" s="260"/>
      <c r="X204" s="260"/>
      <c r="Y204" s="260"/>
      <c r="Z204" s="260"/>
    </row>
    <row r="205">
      <c r="A205" s="267">
        <v>45969.0</v>
      </c>
      <c r="B205" s="21" t="s">
        <v>2228</v>
      </c>
      <c r="C205" s="21" t="s">
        <v>9166</v>
      </c>
      <c r="D205" s="21" t="s">
        <v>9153</v>
      </c>
      <c r="E205" s="21" t="s">
        <v>9154</v>
      </c>
      <c r="F205" s="268" t="s">
        <v>9155</v>
      </c>
      <c r="G205" s="21" t="s">
        <v>9231</v>
      </c>
      <c r="H205" s="21" t="s">
        <v>5967</v>
      </c>
      <c r="I205" s="21" t="s">
        <v>9164</v>
      </c>
      <c r="J205" s="21" t="s">
        <v>8911</v>
      </c>
      <c r="K205" s="261">
        <v>46011.0</v>
      </c>
      <c r="L205" s="261">
        <v>46025.0</v>
      </c>
      <c r="M205" s="21" t="s">
        <v>9388</v>
      </c>
      <c r="N205" s="21" t="s">
        <v>22</v>
      </c>
      <c r="O205" s="260"/>
      <c r="P205" s="260"/>
      <c r="Q205" s="260"/>
      <c r="R205" s="260"/>
      <c r="S205" s="260"/>
      <c r="T205" s="260"/>
      <c r="U205" s="260"/>
      <c r="V205" s="260"/>
      <c r="W205" s="260"/>
      <c r="X205" s="260"/>
      <c r="Y205" s="260"/>
      <c r="Z205" s="260"/>
    </row>
    <row r="206">
      <c r="A206" s="267">
        <v>45969.0</v>
      </c>
      <c r="B206" s="21" t="s">
        <v>2230</v>
      </c>
      <c r="C206" s="21" t="s">
        <v>9166</v>
      </c>
      <c r="D206" s="21" t="s">
        <v>9153</v>
      </c>
      <c r="E206" s="21" t="s">
        <v>9154</v>
      </c>
      <c r="F206" s="268" t="s">
        <v>9155</v>
      </c>
      <c r="G206" s="21" t="s">
        <v>9231</v>
      </c>
      <c r="H206" s="21" t="s">
        <v>5967</v>
      </c>
      <c r="I206" s="21" t="s">
        <v>9164</v>
      </c>
      <c r="J206" s="21" t="s">
        <v>8911</v>
      </c>
      <c r="K206" s="261">
        <v>46011.0</v>
      </c>
      <c r="L206" s="261">
        <v>46025.0</v>
      </c>
      <c r="M206" s="21" t="s">
        <v>9389</v>
      </c>
      <c r="N206" s="21" t="s">
        <v>22</v>
      </c>
      <c r="O206" s="260"/>
      <c r="P206" s="260"/>
      <c r="Q206" s="260"/>
      <c r="R206" s="260"/>
      <c r="S206" s="260"/>
      <c r="T206" s="260"/>
      <c r="U206" s="260"/>
      <c r="V206" s="260"/>
      <c r="W206" s="260"/>
      <c r="X206" s="260"/>
      <c r="Y206" s="260"/>
      <c r="Z206" s="260"/>
    </row>
    <row r="207">
      <c r="A207" s="267">
        <v>45969.0</v>
      </c>
      <c r="B207" s="21" t="s">
        <v>2232</v>
      </c>
      <c r="C207" s="21" t="s">
        <v>9166</v>
      </c>
      <c r="D207" s="21" t="s">
        <v>9153</v>
      </c>
      <c r="E207" s="21" t="s">
        <v>9154</v>
      </c>
      <c r="F207" s="268" t="s">
        <v>9155</v>
      </c>
      <c r="G207" s="21" t="s">
        <v>9231</v>
      </c>
      <c r="H207" s="21" t="s">
        <v>5967</v>
      </c>
      <c r="I207" s="21" t="s">
        <v>9164</v>
      </c>
      <c r="J207" s="21" t="s">
        <v>8911</v>
      </c>
      <c r="K207" s="261">
        <v>46011.0</v>
      </c>
      <c r="L207" s="261">
        <v>46025.0</v>
      </c>
      <c r="M207" s="21" t="s">
        <v>9390</v>
      </c>
      <c r="N207" s="21" t="s">
        <v>22</v>
      </c>
      <c r="O207" s="260"/>
      <c r="P207" s="260"/>
      <c r="Q207" s="260"/>
      <c r="R207" s="260"/>
      <c r="S207" s="260"/>
      <c r="T207" s="260"/>
      <c r="U207" s="260"/>
      <c r="V207" s="260"/>
      <c r="W207" s="260"/>
      <c r="X207" s="260"/>
      <c r="Y207" s="260"/>
      <c r="Z207" s="260"/>
    </row>
    <row r="208">
      <c r="A208" s="267">
        <v>45969.0</v>
      </c>
      <c r="B208" s="21" t="s">
        <v>2163</v>
      </c>
      <c r="C208" s="21" t="s">
        <v>9166</v>
      </c>
      <c r="D208" s="21" t="s">
        <v>9153</v>
      </c>
      <c r="E208" s="21" t="s">
        <v>9154</v>
      </c>
      <c r="F208" s="268" t="s">
        <v>9155</v>
      </c>
      <c r="G208" s="21" t="s">
        <v>9231</v>
      </c>
      <c r="H208" s="21" t="s">
        <v>5967</v>
      </c>
      <c r="I208" s="21" t="s">
        <v>9164</v>
      </c>
      <c r="J208" s="21" t="s">
        <v>8911</v>
      </c>
      <c r="K208" s="261">
        <v>46011.0</v>
      </c>
      <c r="L208" s="261">
        <v>46025.0</v>
      </c>
      <c r="M208" s="21" t="s">
        <v>9391</v>
      </c>
      <c r="N208" s="21" t="s">
        <v>22</v>
      </c>
      <c r="O208" s="260"/>
      <c r="P208" s="260"/>
      <c r="Q208" s="260"/>
      <c r="R208" s="260"/>
      <c r="S208" s="260"/>
      <c r="T208" s="260"/>
      <c r="U208" s="260"/>
      <c r="V208" s="260"/>
      <c r="W208" s="260"/>
      <c r="X208" s="260"/>
      <c r="Y208" s="260"/>
      <c r="Z208" s="260"/>
    </row>
    <row r="209">
      <c r="A209" s="267">
        <v>45974.0</v>
      </c>
      <c r="B209" s="21" t="s">
        <v>2820</v>
      </c>
      <c r="C209" s="21" t="s">
        <v>9166</v>
      </c>
      <c r="D209" s="21" t="s">
        <v>9153</v>
      </c>
      <c r="E209" s="21" t="s">
        <v>9154</v>
      </c>
      <c r="F209" s="268" t="s">
        <v>9155</v>
      </c>
      <c r="G209" s="21" t="s">
        <v>9392</v>
      </c>
      <c r="H209" s="21" t="s">
        <v>9393</v>
      </c>
      <c r="I209" s="21" t="s">
        <v>9164</v>
      </c>
      <c r="J209" s="21" t="s">
        <v>8911</v>
      </c>
      <c r="K209" s="261">
        <v>46016.0</v>
      </c>
      <c r="L209" s="261">
        <v>46030.0</v>
      </c>
      <c r="M209" s="21" t="s">
        <v>9394</v>
      </c>
      <c r="N209" s="21" t="s">
        <v>22</v>
      </c>
      <c r="O209" s="260"/>
      <c r="P209" s="260"/>
      <c r="Q209" s="260"/>
      <c r="R209" s="260"/>
      <c r="S209" s="260"/>
      <c r="T209" s="260"/>
      <c r="U209" s="260"/>
      <c r="V209" s="260"/>
      <c r="W209" s="260"/>
      <c r="X209" s="260"/>
      <c r="Y209" s="260"/>
      <c r="Z209" s="260"/>
    </row>
    <row r="210">
      <c r="A210" s="267">
        <v>45974.0</v>
      </c>
      <c r="B210" s="21" t="s">
        <v>3415</v>
      </c>
      <c r="C210" s="21" t="s">
        <v>9166</v>
      </c>
      <c r="D210" s="21" t="s">
        <v>9153</v>
      </c>
      <c r="E210" s="21" t="s">
        <v>9154</v>
      </c>
      <c r="F210" s="268" t="s">
        <v>9155</v>
      </c>
      <c r="G210" s="21" t="s">
        <v>9392</v>
      </c>
      <c r="H210" s="21" t="s">
        <v>9393</v>
      </c>
      <c r="I210" s="21" t="s">
        <v>9164</v>
      </c>
      <c r="J210" s="21" t="s">
        <v>8911</v>
      </c>
      <c r="K210" s="261">
        <v>46016.0</v>
      </c>
      <c r="L210" s="261">
        <v>46030.0</v>
      </c>
      <c r="M210" s="21" t="s">
        <v>9395</v>
      </c>
      <c r="N210" s="21" t="s">
        <v>22</v>
      </c>
      <c r="O210" s="260"/>
      <c r="P210" s="260"/>
      <c r="Q210" s="260"/>
      <c r="R210" s="260"/>
      <c r="S210" s="260"/>
      <c r="T210" s="260"/>
      <c r="U210" s="260"/>
      <c r="V210" s="260"/>
      <c r="W210" s="260"/>
      <c r="X210" s="260"/>
      <c r="Y210" s="260"/>
      <c r="Z210" s="260"/>
    </row>
    <row r="211">
      <c r="A211" s="267">
        <v>45974.0</v>
      </c>
      <c r="B211" s="21" t="s">
        <v>2287</v>
      </c>
      <c r="C211" s="21" t="s">
        <v>9166</v>
      </c>
      <c r="D211" s="21" t="s">
        <v>9153</v>
      </c>
      <c r="E211" s="21" t="s">
        <v>9154</v>
      </c>
      <c r="F211" s="268" t="s">
        <v>9155</v>
      </c>
      <c r="G211" s="21" t="s">
        <v>9392</v>
      </c>
      <c r="H211" s="21" t="s">
        <v>9393</v>
      </c>
      <c r="I211" s="21" t="s">
        <v>9164</v>
      </c>
      <c r="J211" s="21" t="s">
        <v>8911</v>
      </c>
      <c r="K211" s="261">
        <v>46016.0</v>
      </c>
      <c r="L211" s="261">
        <v>46030.0</v>
      </c>
      <c r="M211" s="21" t="s">
        <v>9396</v>
      </c>
      <c r="N211" s="21" t="s">
        <v>22</v>
      </c>
      <c r="O211" s="260"/>
      <c r="P211" s="260"/>
      <c r="Q211" s="260"/>
      <c r="R211" s="260"/>
      <c r="S211" s="260"/>
      <c r="T211" s="260"/>
      <c r="U211" s="260"/>
      <c r="V211" s="260"/>
      <c r="W211" s="260"/>
      <c r="X211" s="260"/>
      <c r="Y211" s="260"/>
      <c r="Z211" s="260"/>
    </row>
    <row r="212">
      <c r="A212" s="267">
        <v>45974.0</v>
      </c>
      <c r="B212" s="21" t="s">
        <v>2672</v>
      </c>
      <c r="C212" s="21" t="s">
        <v>9166</v>
      </c>
      <c r="D212" s="21" t="s">
        <v>9153</v>
      </c>
      <c r="E212" s="21" t="s">
        <v>9154</v>
      </c>
      <c r="F212" s="268" t="s">
        <v>9155</v>
      </c>
      <c r="G212" s="21" t="s">
        <v>9223</v>
      </c>
      <c r="H212" s="21" t="s">
        <v>5956</v>
      </c>
      <c r="I212" s="21" t="s">
        <v>9164</v>
      </c>
      <c r="J212" s="21" t="s">
        <v>8911</v>
      </c>
      <c r="K212" s="261">
        <v>46016.0</v>
      </c>
      <c r="L212" s="261">
        <v>46030.0</v>
      </c>
      <c r="M212" s="21" t="s">
        <v>9397</v>
      </c>
      <c r="N212" s="21" t="s">
        <v>22</v>
      </c>
      <c r="O212" s="260"/>
      <c r="P212" s="260"/>
      <c r="Q212" s="260"/>
      <c r="R212" s="260"/>
      <c r="S212" s="260"/>
      <c r="T212" s="260"/>
      <c r="U212" s="260"/>
      <c r="V212" s="260"/>
      <c r="W212" s="260"/>
      <c r="X212" s="260"/>
      <c r="Y212" s="260"/>
      <c r="Z212" s="260"/>
    </row>
    <row r="213">
      <c r="A213" s="267">
        <v>45974.0</v>
      </c>
      <c r="B213" s="21" t="s">
        <v>2674</v>
      </c>
      <c r="C213" s="21" t="s">
        <v>9166</v>
      </c>
      <c r="D213" s="21" t="s">
        <v>9153</v>
      </c>
      <c r="E213" s="21" t="s">
        <v>9154</v>
      </c>
      <c r="F213" s="268" t="s">
        <v>9155</v>
      </c>
      <c r="G213" s="21" t="s">
        <v>9223</v>
      </c>
      <c r="H213" s="21" t="s">
        <v>5956</v>
      </c>
      <c r="I213" s="21" t="s">
        <v>9164</v>
      </c>
      <c r="J213" s="21" t="s">
        <v>8911</v>
      </c>
      <c r="K213" s="261">
        <v>46016.0</v>
      </c>
      <c r="L213" s="261">
        <v>46030.0</v>
      </c>
      <c r="M213" s="21" t="s">
        <v>9398</v>
      </c>
      <c r="N213" s="21" t="s">
        <v>22</v>
      </c>
      <c r="O213" s="260"/>
      <c r="P213" s="260"/>
      <c r="Q213" s="260"/>
      <c r="R213" s="260"/>
      <c r="S213" s="260"/>
      <c r="T213" s="260"/>
      <c r="U213" s="260"/>
      <c r="V213" s="260"/>
      <c r="W213" s="260"/>
      <c r="X213" s="260"/>
      <c r="Y213" s="260"/>
      <c r="Z213" s="260"/>
    </row>
    <row r="214">
      <c r="A214" s="267">
        <v>45974.0</v>
      </c>
      <c r="B214" s="21" t="s">
        <v>2444</v>
      </c>
      <c r="C214" s="21" t="s">
        <v>9166</v>
      </c>
      <c r="D214" s="21" t="s">
        <v>9153</v>
      </c>
      <c r="E214" s="21" t="s">
        <v>9154</v>
      </c>
      <c r="F214" s="268" t="s">
        <v>9155</v>
      </c>
      <c r="G214" s="21" t="s">
        <v>9223</v>
      </c>
      <c r="H214" s="21" t="s">
        <v>5956</v>
      </c>
      <c r="I214" s="21" t="s">
        <v>9164</v>
      </c>
      <c r="J214" s="21" t="s">
        <v>8911</v>
      </c>
      <c r="K214" s="261">
        <v>46016.0</v>
      </c>
      <c r="L214" s="261">
        <v>46030.0</v>
      </c>
      <c r="M214" s="21" t="s">
        <v>9399</v>
      </c>
      <c r="N214" s="21" t="s">
        <v>22</v>
      </c>
      <c r="O214" s="260"/>
      <c r="P214" s="260"/>
      <c r="Q214" s="260"/>
      <c r="R214" s="260"/>
      <c r="S214" s="260"/>
      <c r="T214" s="260"/>
      <c r="U214" s="260"/>
      <c r="V214" s="260"/>
      <c r="W214" s="260"/>
      <c r="X214" s="260"/>
      <c r="Y214" s="260"/>
      <c r="Z214" s="260"/>
    </row>
    <row r="215">
      <c r="A215" s="267">
        <v>45974.0</v>
      </c>
      <c r="B215" s="21" t="s">
        <v>2676</v>
      </c>
      <c r="C215" s="21" t="s">
        <v>9166</v>
      </c>
      <c r="D215" s="21" t="s">
        <v>9153</v>
      </c>
      <c r="E215" s="21" t="s">
        <v>9154</v>
      </c>
      <c r="F215" s="268" t="s">
        <v>9155</v>
      </c>
      <c r="G215" s="21" t="s">
        <v>9223</v>
      </c>
      <c r="H215" s="21" t="s">
        <v>5956</v>
      </c>
      <c r="I215" s="21" t="s">
        <v>9164</v>
      </c>
      <c r="J215" s="21" t="s">
        <v>8911</v>
      </c>
      <c r="K215" s="261">
        <v>46016.0</v>
      </c>
      <c r="L215" s="261">
        <v>46030.0</v>
      </c>
      <c r="M215" s="21" t="s">
        <v>9400</v>
      </c>
      <c r="N215" s="21" t="s">
        <v>22</v>
      </c>
      <c r="O215" s="260"/>
      <c r="P215" s="260"/>
      <c r="Q215" s="260"/>
      <c r="R215" s="260"/>
      <c r="S215" s="260"/>
      <c r="T215" s="260"/>
      <c r="U215" s="260"/>
      <c r="V215" s="260"/>
      <c r="W215" s="260"/>
      <c r="X215" s="260"/>
      <c r="Y215" s="260"/>
      <c r="Z215" s="260"/>
    </row>
    <row r="216">
      <c r="A216" s="267">
        <v>45974.0</v>
      </c>
      <c r="B216" s="21" t="s">
        <v>2706</v>
      </c>
      <c r="C216" s="21" t="s">
        <v>9166</v>
      </c>
      <c r="D216" s="21" t="s">
        <v>9153</v>
      </c>
      <c r="E216" s="21" t="s">
        <v>9154</v>
      </c>
      <c r="F216" s="268" t="s">
        <v>9155</v>
      </c>
      <c r="G216" s="21" t="s">
        <v>9223</v>
      </c>
      <c r="H216" s="21" t="s">
        <v>5956</v>
      </c>
      <c r="I216" s="21" t="s">
        <v>9164</v>
      </c>
      <c r="J216" s="21" t="s">
        <v>8911</v>
      </c>
      <c r="K216" s="261">
        <v>46016.0</v>
      </c>
      <c r="L216" s="261">
        <v>46030.0</v>
      </c>
      <c r="M216" s="21" t="s">
        <v>9401</v>
      </c>
      <c r="N216" s="21" t="s">
        <v>22</v>
      </c>
      <c r="O216" s="260"/>
      <c r="P216" s="260"/>
      <c r="Q216" s="260"/>
      <c r="R216" s="260"/>
      <c r="S216" s="260"/>
      <c r="T216" s="260"/>
      <c r="U216" s="260"/>
      <c r="V216" s="260"/>
      <c r="W216" s="260"/>
      <c r="X216" s="260"/>
      <c r="Y216" s="260"/>
      <c r="Z216" s="260"/>
    </row>
    <row r="217">
      <c r="A217" s="267">
        <v>45974.0</v>
      </c>
      <c r="B217" s="21" t="s">
        <v>2706</v>
      </c>
      <c r="C217" s="21" t="s">
        <v>9166</v>
      </c>
      <c r="D217" s="21" t="s">
        <v>9153</v>
      </c>
      <c r="E217" s="21" t="s">
        <v>9154</v>
      </c>
      <c r="F217" s="268" t="s">
        <v>9155</v>
      </c>
      <c r="G217" s="21" t="s">
        <v>9223</v>
      </c>
      <c r="H217" s="21" t="s">
        <v>5956</v>
      </c>
      <c r="I217" s="21" t="s">
        <v>9164</v>
      </c>
      <c r="J217" s="21" t="s">
        <v>8911</v>
      </c>
      <c r="K217" s="261">
        <v>46016.0</v>
      </c>
      <c r="L217" s="261">
        <v>46030.0</v>
      </c>
      <c r="M217" s="21" t="s">
        <v>9402</v>
      </c>
      <c r="N217" s="21" t="s">
        <v>22</v>
      </c>
      <c r="O217" s="260"/>
      <c r="P217" s="260"/>
      <c r="Q217" s="260"/>
      <c r="R217" s="260"/>
      <c r="S217" s="260"/>
      <c r="T217" s="260"/>
      <c r="U217" s="260"/>
      <c r="V217" s="260"/>
      <c r="W217" s="260"/>
      <c r="X217" s="260"/>
      <c r="Y217" s="260"/>
      <c r="Z217" s="260"/>
    </row>
    <row r="218">
      <c r="A218" s="267">
        <v>45974.0</v>
      </c>
      <c r="B218" s="21" t="s">
        <v>3106</v>
      </c>
      <c r="C218" s="21" t="s">
        <v>9166</v>
      </c>
      <c r="D218" s="21" t="s">
        <v>9153</v>
      </c>
      <c r="E218" s="21" t="s">
        <v>9154</v>
      </c>
      <c r="F218" s="268" t="s">
        <v>9155</v>
      </c>
      <c r="G218" s="21" t="s">
        <v>9223</v>
      </c>
      <c r="H218" s="21" t="s">
        <v>5956</v>
      </c>
      <c r="I218" s="21" t="s">
        <v>9164</v>
      </c>
      <c r="J218" s="21" t="s">
        <v>8911</v>
      </c>
      <c r="K218" s="261">
        <v>46016.0</v>
      </c>
      <c r="L218" s="261">
        <v>46030.0</v>
      </c>
      <c r="M218" s="21" t="s">
        <v>9403</v>
      </c>
      <c r="N218" s="21" t="s">
        <v>22</v>
      </c>
      <c r="O218" s="260"/>
      <c r="P218" s="260"/>
      <c r="Q218" s="260"/>
      <c r="R218" s="260"/>
      <c r="S218" s="260"/>
      <c r="T218" s="260"/>
      <c r="U218" s="260"/>
      <c r="V218" s="260"/>
      <c r="W218" s="260"/>
      <c r="X218" s="260"/>
      <c r="Y218" s="260"/>
      <c r="Z218" s="260"/>
    </row>
    <row r="219">
      <c r="A219" s="267">
        <v>45974.0</v>
      </c>
      <c r="B219" s="21" t="s">
        <v>2823</v>
      </c>
      <c r="C219" s="21" t="s">
        <v>9166</v>
      </c>
      <c r="D219" s="21" t="s">
        <v>9153</v>
      </c>
      <c r="E219" s="21" t="s">
        <v>9154</v>
      </c>
      <c r="F219" s="268" t="s">
        <v>9155</v>
      </c>
      <c r="G219" s="21" t="s">
        <v>9223</v>
      </c>
      <c r="H219" s="21" t="s">
        <v>5956</v>
      </c>
      <c r="I219" s="21" t="s">
        <v>9164</v>
      </c>
      <c r="J219" s="21" t="s">
        <v>8911</v>
      </c>
      <c r="K219" s="261">
        <v>46016.0</v>
      </c>
      <c r="L219" s="261">
        <v>46030.0</v>
      </c>
      <c r="M219" s="21" t="s">
        <v>9404</v>
      </c>
      <c r="N219" s="21" t="s">
        <v>22</v>
      </c>
      <c r="O219" s="260"/>
      <c r="P219" s="260"/>
      <c r="Q219" s="260"/>
      <c r="R219" s="260"/>
      <c r="S219" s="260"/>
      <c r="T219" s="260"/>
      <c r="U219" s="260"/>
      <c r="V219" s="260"/>
      <c r="W219" s="260"/>
      <c r="X219" s="260"/>
      <c r="Y219" s="260"/>
      <c r="Z219" s="260"/>
    </row>
    <row r="220">
      <c r="A220" s="267">
        <v>45974.0</v>
      </c>
      <c r="B220" s="21" t="s">
        <v>3103</v>
      </c>
      <c r="C220" s="21" t="s">
        <v>9166</v>
      </c>
      <c r="D220" s="21" t="s">
        <v>9153</v>
      </c>
      <c r="E220" s="21" t="s">
        <v>9154</v>
      </c>
      <c r="F220" s="268" t="s">
        <v>9155</v>
      </c>
      <c r="G220" s="21" t="s">
        <v>9223</v>
      </c>
      <c r="H220" s="21" t="s">
        <v>5956</v>
      </c>
      <c r="I220" s="21" t="s">
        <v>9164</v>
      </c>
      <c r="J220" s="21" t="s">
        <v>8911</v>
      </c>
      <c r="K220" s="261">
        <v>46016.0</v>
      </c>
      <c r="L220" s="261">
        <v>46030.0</v>
      </c>
      <c r="M220" s="21" t="s">
        <v>9405</v>
      </c>
      <c r="N220" s="21" t="s">
        <v>22</v>
      </c>
      <c r="O220" s="260"/>
      <c r="P220" s="260"/>
      <c r="Q220" s="260"/>
      <c r="R220" s="260"/>
      <c r="S220" s="260"/>
      <c r="T220" s="260"/>
      <c r="U220" s="260"/>
      <c r="V220" s="260"/>
      <c r="W220" s="260"/>
      <c r="X220" s="260"/>
      <c r="Y220" s="260"/>
      <c r="Z220" s="260"/>
    </row>
    <row r="221">
      <c r="A221" s="267">
        <v>45974.0</v>
      </c>
      <c r="B221" s="21" t="s">
        <v>2826</v>
      </c>
      <c r="C221" s="21" t="s">
        <v>9166</v>
      </c>
      <c r="D221" s="21" t="s">
        <v>9153</v>
      </c>
      <c r="E221" s="21" t="s">
        <v>9154</v>
      </c>
      <c r="F221" s="268" t="s">
        <v>9155</v>
      </c>
      <c r="G221" s="21" t="s">
        <v>9223</v>
      </c>
      <c r="H221" s="21" t="s">
        <v>5956</v>
      </c>
      <c r="I221" s="21" t="s">
        <v>9164</v>
      </c>
      <c r="J221" s="21" t="s">
        <v>8911</v>
      </c>
      <c r="K221" s="261">
        <v>46016.0</v>
      </c>
      <c r="L221" s="261">
        <v>46030.0</v>
      </c>
      <c r="M221" s="21" t="s">
        <v>9406</v>
      </c>
      <c r="N221" s="21" t="s">
        <v>22</v>
      </c>
      <c r="O221" s="260"/>
      <c r="P221" s="260"/>
      <c r="Q221" s="260"/>
      <c r="R221" s="260"/>
      <c r="S221" s="260"/>
      <c r="T221" s="260"/>
      <c r="U221" s="260"/>
      <c r="V221" s="260"/>
      <c r="W221" s="260"/>
      <c r="X221" s="260"/>
      <c r="Y221" s="260"/>
      <c r="Z221" s="260"/>
    </row>
    <row r="222">
      <c r="A222" s="267">
        <v>45974.0</v>
      </c>
      <c r="B222" s="21" t="s">
        <v>9407</v>
      </c>
      <c r="C222" s="21" t="s">
        <v>9166</v>
      </c>
      <c r="D222" s="21" t="s">
        <v>9153</v>
      </c>
      <c r="E222" s="21" t="s">
        <v>9154</v>
      </c>
      <c r="F222" s="268" t="s">
        <v>9155</v>
      </c>
      <c r="G222" s="21" t="s">
        <v>9156</v>
      </c>
      <c r="H222" s="21" t="s">
        <v>5958</v>
      </c>
      <c r="I222" s="21" t="s">
        <v>9164</v>
      </c>
      <c r="J222" s="21" t="s">
        <v>8911</v>
      </c>
      <c r="K222" s="261">
        <v>46016.0</v>
      </c>
      <c r="L222" s="261">
        <v>46030.0</v>
      </c>
      <c r="M222" s="21" t="s">
        <v>9408</v>
      </c>
      <c r="N222" s="21" t="s">
        <v>22</v>
      </c>
      <c r="O222" s="260"/>
      <c r="P222" s="260"/>
      <c r="Q222" s="260"/>
      <c r="R222" s="260"/>
      <c r="S222" s="260"/>
      <c r="T222" s="260"/>
      <c r="U222" s="260"/>
      <c r="V222" s="260"/>
      <c r="W222" s="260"/>
      <c r="X222" s="260"/>
      <c r="Y222" s="260"/>
      <c r="Z222" s="260"/>
    </row>
    <row r="223">
      <c r="A223" s="267">
        <v>45974.0</v>
      </c>
      <c r="B223" s="21" t="s">
        <v>2828</v>
      </c>
      <c r="C223" s="21" t="s">
        <v>9166</v>
      </c>
      <c r="D223" s="21" t="s">
        <v>9153</v>
      </c>
      <c r="E223" s="21" t="s">
        <v>9154</v>
      </c>
      <c r="F223" s="268" t="s">
        <v>9155</v>
      </c>
      <c r="G223" s="21" t="s">
        <v>9223</v>
      </c>
      <c r="H223" s="21" t="s">
        <v>5956</v>
      </c>
      <c r="I223" s="21" t="s">
        <v>9164</v>
      </c>
      <c r="J223" s="21" t="s">
        <v>8911</v>
      </c>
      <c r="K223" s="261">
        <v>46016.0</v>
      </c>
      <c r="L223" s="261">
        <v>46030.0</v>
      </c>
      <c r="M223" s="21" t="s">
        <v>9409</v>
      </c>
      <c r="N223" s="21" t="s">
        <v>22</v>
      </c>
      <c r="O223" s="260"/>
      <c r="P223" s="260"/>
      <c r="Q223" s="260"/>
      <c r="R223" s="260"/>
      <c r="S223" s="260"/>
      <c r="T223" s="260"/>
      <c r="U223" s="260"/>
      <c r="V223" s="260"/>
      <c r="W223" s="260"/>
      <c r="X223" s="260"/>
      <c r="Y223" s="260"/>
      <c r="Z223" s="260"/>
    </row>
    <row r="224">
      <c r="A224" s="267">
        <v>45974.0</v>
      </c>
      <c r="B224" s="21" t="s">
        <v>2632</v>
      </c>
      <c r="C224" s="21" t="s">
        <v>9166</v>
      </c>
      <c r="D224" s="21" t="s">
        <v>9153</v>
      </c>
      <c r="E224" s="21" t="s">
        <v>9154</v>
      </c>
      <c r="F224" s="268" t="s">
        <v>9155</v>
      </c>
      <c r="G224" s="21" t="s">
        <v>9223</v>
      </c>
      <c r="H224" s="21" t="s">
        <v>5956</v>
      </c>
      <c r="I224" s="21" t="s">
        <v>9164</v>
      </c>
      <c r="J224" s="21" t="s">
        <v>8911</v>
      </c>
      <c r="K224" s="261">
        <v>46016.0</v>
      </c>
      <c r="L224" s="261">
        <v>46030.0</v>
      </c>
      <c r="M224" s="21" t="s">
        <v>9410</v>
      </c>
      <c r="N224" s="21" t="s">
        <v>22</v>
      </c>
      <c r="O224" s="260"/>
      <c r="P224" s="260"/>
      <c r="Q224" s="260"/>
      <c r="R224" s="260"/>
      <c r="S224" s="260"/>
      <c r="T224" s="260"/>
      <c r="U224" s="260"/>
      <c r="V224" s="260"/>
      <c r="W224" s="260"/>
      <c r="X224" s="260"/>
      <c r="Y224" s="260"/>
      <c r="Z224" s="260"/>
    </row>
    <row r="225">
      <c r="A225" s="267">
        <v>45974.0</v>
      </c>
      <c r="B225" s="21" t="s">
        <v>2830</v>
      </c>
      <c r="C225" s="21" t="s">
        <v>9166</v>
      </c>
      <c r="D225" s="21" t="s">
        <v>9153</v>
      </c>
      <c r="E225" s="21" t="s">
        <v>9154</v>
      </c>
      <c r="F225" s="268" t="s">
        <v>9155</v>
      </c>
      <c r="G225" s="21" t="s">
        <v>9223</v>
      </c>
      <c r="H225" s="21" t="s">
        <v>5956</v>
      </c>
      <c r="I225" s="21" t="s">
        <v>9164</v>
      </c>
      <c r="J225" s="21" t="s">
        <v>8911</v>
      </c>
      <c r="K225" s="261">
        <v>46016.0</v>
      </c>
      <c r="L225" s="261">
        <v>46030.0</v>
      </c>
      <c r="M225" s="21" t="s">
        <v>9411</v>
      </c>
      <c r="N225" s="21" t="s">
        <v>22</v>
      </c>
      <c r="O225" s="260"/>
      <c r="P225" s="260"/>
      <c r="Q225" s="260"/>
      <c r="R225" s="260"/>
      <c r="S225" s="260"/>
      <c r="T225" s="260"/>
      <c r="U225" s="260"/>
      <c r="V225" s="260"/>
      <c r="W225" s="260"/>
      <c r="X225" s="260"/>
      <c r="Y225" s="260"/>
      <c r="Z225" s="260"/>
    </row>
    <row r="226">
      <c r="A226" s="267">
        <v>45974.0</v>
      </c>
      <c r="B226" s="21" t="s">
        <v>2709</v>
      </c>
      <c r="C226" s="21" t="s">
        <v>9166</v>
      </c>
      <c r="D226" s="21" t="s">
        <v>9153</v>
      </c>
      <c r="E226" s="21" t="s">
        <v>9154</v>
      </c>
      <c r="F226" s="268" t="s">
        <v>9155</v>
      </c>
      <c r="G226" s="21" t="s">
        <v>9223</v>
      </c>
      <c r="H226" s="21" t="s">
        <v>5956</v>
      </c>
      <c r="I226" s="21" t="s">
        <v>9164</v>
      </c>
      <c r="J226" s="21" t="s">
        <v>8911</v>
      </c>
      <c r="K226" s="261">
        <v>46016.0</v>
      </c>
      <c r="L226" s="261">
        <v>46030.0</v>
      </c>
      <c r="M226" s="21" t="s">
        <v>9412</v>
      </c>
      <c r="N226" s="21" t="s">
        <v>22</v>
      </c>
      <c r="O226" s="260"/>
      <c r="P226" s="260"/>
      <c r="Q226" s="260"/>
      <c r="R226" s="260"/>
      <c r="S226" s="260"/>
      <c r="T226" s="260"/>
      <c r="U226" s="260"/>
      <c r="V226" s="260"/>
      <c r="W226" s="260"/>
      <c r="X226" s="260"/>
      <c r="Y226" s="260"/>
      <c r="Z226" s="260"/>
    </row>
    <row r="227">
      <c r="A227" s="267">
        <v>45974.0</v>
      </c>
      <c r="B227" s="21" t="s">
        <v>2244</v>
      </c>
      <c r="C227" s="21" t="s">
        <v>9166</v>
      </c>
      <c r="D227" s="21" t="s">
        <v>9153</v>
      </c>
      <c r="E227" s="21" t="s">
        <v>9154</v>
      </c>
      <c r="F227" s="268" t="s">
        <v>9155</v>
      </c>
      <c r="G227" s="21" t="s">
        <v>9223</v>
      </c>
      <c r="H227" s="21" t="s">
        <v>5956</v>
      </c>
      <c r="I227" s="21" t="s">
        <v>9164</v>
      </c>
      <c r="J227" s="21" t="s">
        <v>8911</v>
      </c>
      <c r="K227" s="261">
        <v>46016.0</v>
      </c>
      <c r="L227" s="261">
        <v>46030.0</v>
      </c>
      <c r="M227" s="21" t="s">
        <v>9413</v>
      </c>
      <c r="N227" s="21" t="s">
        <v>22</v>
      </c>
      <c r="O227" s="260"/>
      <c r="P227" s="260"/>
      <c r="Q227" s="260"/>
      <c r="R227" s="260"/>
      <c r="S227" s="260"/>
      <c r="T227" s="260"/>
      <c r="U227" s="260"/>
      <c r="V227" s="260"/>
      <c r="W227" s="260"/>
      <c r="X227" s="260"/>
      <c r="Y227" s="260"/>
      <c r="Z227" s="260"/>
    </row>
    <row r="228">
      <c r="A228" s="267">
        <v>45974.0</v>
      </c>
      <c r="B228" s="21" t="s">
        <v>2246</v>
      </c>
      <c r="C228" s="21" t="s">
        <v>9166</v>
      </c>
      <c r="D228" s="21" t="s">
        <v>9153</v>
      </c>
      <c r="E228" s="21" t="s">
        <v>9154</v>
      </c>
      <c r="F228" s="268" t="s">
        <v>9155</v>
      </c>
      <c r="G228" s="21" t="s">
        <v>9223</v>
      </c>
      <c r="H228" s="21" t="s">
        <v>5956</v>
      </c>
      <c r="I228" s="21" t="s">
        <v>9164</v>
      </c>
      <c r="J228" s="21" t="s">
        <v>8911</v>
      </c>
      <c r="K228" s="261">
        <v>46016.0</v>
      </c>
      <c r="L228" s="261">
        <v>46030.0</v>
      </c>
      <c r="M228" s="21" t="s">
        <v>9414</v>
      </c>
      <c r="N228" s="21" t="s">
        <v>22</v>
      </c>
      <c r="O228" s="260"/>
      <c r="P228" s="260"/>
      <c r="Q228" s="260"/>
      <c r="R228" s="260"/>
      <c r="S228" s="260"/>
      <c r="T228" s="260"/>
      <c r="U228" s="260"/>
      <c r="V228" s="260"/>
      <c r="W228" s="260"/>
      <c r="X228" s="260"/>
      <c r="Y228" s="260"/>
      <c r="Z228" s="260"/>
    </row>
    <row r="229">
      <c r="A229" s="267">
        <v>45974.0</v>
      </c>
      <c r="B229" s="21" t="s">
        <v>2251</v>
      </c>
      <c r="C229" s="21" t="s">
        <v>9166</v>
      </c>
      <c r="D229" s="21" t="s">
        <v>9153</v>
      </c>
      <c r="E229" s="21" t="s">
        <v>9154</v>
      </c>
      <c r="F229" s="268" t="s">
        <v>9155</v>
      </c>
      <c r="G229" s="21" t="s">
        <v>9223</v>
      </c>
      <c r="H229" s="21" t="s">
        <v>5956</v>
      </c>
      <c r="I229" s="21" t="s">
        <v>9164</v>
      </c>
      <c r="J229" s="21" t="s">
        <v>8911</v>
      </c>
      <c r="K229" s="261">
        <v>46016.0</v>
      </c>
      <c r="L229" s="261">
        <v>46030.0</v>
      </c>
      <c r="M229" s="21" t="s">
        <v>9415</v>
      </c>
      <c r="N229" s="21" t="s">
        <v>22</v>
      </c>
      <c r="O229" s="260"/>
      <c r="P229" s="260"/>
      <c r="Q229" s="260"/>
      <c r="R229" s="260"/>
      <c r="S229" s="260"/>
      <c r="T229" s="260"/>
      <c r="U229" s="260"/>
      <c r="V229" s="260"/>
      <c r="W229" s="260"/>
      <c r="X229" s="260"/>
      <c r="Y229" s="260"/>
      <c r="Z229" s="260"/>
    </row>
    <row r="230">
      <c r="A230" s="267">
        <v>45974.0</v>
      </c>
      <c r="B230" s="21" t="s">
        <v>2253</v>
      </c>
      <c r="C230" s="21" t="s">
        <v>9166</v>
      </c>
      <c r="D230" s="21" t="s">
        <v>9153</v>
      </c>
      <c r="E230" s="21" t="s">
        <v>9154</v>
      </c>
      <c r="F230" s="268" t="s">
        <v>9155</v>
      </c>
      <c r="G230" s="21" t="s">
        <v>9223</v>
      </c>
      <c r="H230" s="21" t="s">
        <v>5956</v>
      </c>
      <c r="I230" s="21" t="s">
        <v>9164</v>
      </c>
      <c r="J230" s="21" t="s">
        <v>8911</v>
      </c>
      <c r="K230" s="261">
        <v>46016.0</v>
      </c>
      <c r="L230" s="261">
        <v>46030.0</v>
      </c>
      <c r="M230" s="21" t="s">
        <v>9416</v>
      </c>
      <c r="N230" s="21" t="s">
        <v>22</v>
      </c>
      <c r="O230" s="260"/>
      <c r="P230" s="260"/>
      <c r="Q230" s="260"/>
      <c r="R230" s="260"/>
      <c r="S230" s="260"/>
      <c r="T230" s="260"/>
      <c r="U230" s="260"/>
      <c r="V230" s="260"/>
      <c r="W230" s="260"/>
      <c r="X230" s="260"/>
      <c r="Y230" s="260"/>
      <c r="Z230" s="260"/>
    </row>
    <row r="231">
      <c r="A231" s="267">
        <v>45974.0</v>
      </c>
      <c r="B231" s="21" t="s">
        <v>2248</v>
      </c>
      <c r="C231" s="21" t="s">
        <v>9166</v>
      </c>
      <c r="D231" s="21" t="s">
        <v>9153</v>
      </c>
      <c r="E231" s="21" t="s">
        <v>9154</v>
      </c>
      <c r="F231" s="268" t="s">
        <v>9155</v>
      </c>
      <c r="G231" s="21" t="s">
        <v>9223</v>
      </c>
      <c r="H231" s="21" t="s">
        <v>5956</v>
      </c>
      <c r="I231" s="21" t="s">
        <v>9164</v>
      </c>
      <c r="J231" s="21" t="s">
        <v>8911</v>
      </c>
      <c r="K231" s="261">
        <v>46016.0</v>
      </c>
      <c r="L231" s="261">
        <v>46030.0</v>
      </c>
      <c r="M231" s="21" t="s">
        <v>9417</v>
      </c>
      <c r="N231" s="21" t="s">
        <v>22</v>
      </c>
      <c r="O231" s="260"/>
      <c r="P231" s="260"/>
      <c r="Q231" s="260"/>
      <c r="R231" s="260"/>
      <c r="S231" s="260"/>
      <c r="T231" s="260"/>
      <c r="U231" s="260"/>
      <c r="V231" s="260"/>
      <c r="W231" s="260"/>
      <c r="X231" s="260"/>
      <c r="Y231" s="260"/>
      <c r="Z231" s="260"/>
    </row>
    <row r="232">
      <c r="A232" s="267">
        <v>45974.0</v>
      </c>
      <c r="B232" s="21" t="s">
        <v>2704</v>
      </c>
      <c r="C232" s="21" t="s">
        <v>9166</v>
      </c>
      <c r="D232" s="21" t="s">
        <v>9153</v>
      </c>
      <c r="E232" s="21" t="s">
        <v>9154</v>
      </c>
      <c r="F232" s="268" t="s">
        <v>9155</v>
      </c>
      <c r="G232" s="21" t="s">
        <v>9223</v>
      </c>
      <c r="H232" s="21" t="s">
        <v>5956</v>
      </c>
      <c r="I232" s="21" t="s">
        <v>9164</v>
      </c>
      <c r="J232" s="21" t="s">
        <v>8911</v>
      </c>
      <c r="K232" s="261">
        <v>46016.0</v>
      </c>
      <c r="L232" s="261">
        <v>46030.0</v>
      </c>
      <c r="M232" s="21" t="s">
        <v>9418</v>
      </c>
      <c r="N232" s="21" t="s">
        <v>22</v>
      </c>
      <c r="O232" s="260"/>
      <c r="P232" s="260"/>
      <c r="Q232" s="260"/>
      <c r="R232" s="260"/>
      <c r="S232" s="260"/>
      <c r="T232" s="260"/>
      <c r="U232" s="260"/>
      <c r="V232" s="260"/>
      <c r="W232" s="260"/>
      <c r="X232" s="260"/>
      <c r="Y232" s="260"/>
      <c r="Z232" s="260"/>
    </row>
    <row r="233">
      <c r="A233" s="267">
        <v>45974.0</v>
      </c>
      <c r="B233" s="21" t="s">
        <v>2242</v>
      </c>
      <c r="C233" s="21" t="s">
        <v>9166</v>
      </c>
      <c r="D233" s="21" t="s">
        <v>9153</v>
      </c>
      <c r="E233" s="21" t="s">
        <v>9154</v>
      </c>
      <c r="F233" s="268" t="s">
        <v>9155</v>
      </c>
      <c r="G233" s="21" t="s">
        <v>9223</v>
      </c>
      <c r="H233" s="21" t="s">
        <v>5956</v>
      </c>
      <c r="I233" s="21" t="s">
        <v>9164</v>
      </c>
      <c r="J233" s="21" t="s">
        <v>8911</v>
      </c>
      <c r="K233" s="261">
        <v>46016.0</v>
      </c>
      <c r="L233" s="261">
        <v>46030.0</v>
      </c>
      <c r="M233" s="21" t="s">
        <v>9419</v>
      </c>
      <c r="N233" s="21" t="s">
        <v>22</v>
      </c>
      <c r="O233" s="260"/>
      <c r="P233" s="260"/>
      <c r="Q233" s="260"/>
      <c r="R233" s="260"/>
      <c r="S233" s="260"/>
      <c r="T233" s="260"/>
      <c r="U233" s="260"/>
      <c r="V233" s="260"/>
      <c r="W233" s="260"/>
      <c r="X233" s="260"/>
      <c r="Y233" s="260"/>
      <c r="Z233" s="260"/>
    </row>
    <row r="234">
      <c r="A234" s="267">
        <v>45974.0</v>
      </c>
      <c r="B234" s="21" t="s">
        <v>2239</v>
      </c>
      <c r="C234" s="21" t="s">
        <v>9166</v>
      </c>
      <c r="D234" s="21" t="s">
        <v>9153</v>
      </c>
      <c r="E234" s="21" t="s">
        <v>9154</v>
      </c>
      <c r="F234" s="268" t="s">
        <v>9155</v>
      </c>
      <c r="G234" s="21" t="s">
        <v>9223</v>
      </c>
      <c r="H234" s="21" t="s">
        <v>5956</v>
      </c>
      <c r="I234" s="21" t="s">
        <v>9164</v>
      </c>
      <c r="J234" s="21" t="s">
        <v>8911</v>
      </c>
      <c r="K234" s="261">
        <v>46016.0</v>
      </c>
      <c r="L234" s="261">
        <v>46030.0</v>
      </c>
      <c r="M234" s="21" t="s">
        <v>9420</v>
      </c>
      <c r="N234" s="21" t="s">
        <v>22</v>
      </c>
      <c r="O234" s="260"/>
      <c r="P234" s="260"/>
      <c r="Q234" s="260"/>
      <c r="R234" s="260"/>
      <c r="S234" s="260"/>
      <c r="T234" s="260"/>
      <c r="U234" s="260"/>
      <c r="V234" s="260"/>
      <c r="W234" s="260"/>
      <c r="X234" s="260"/>
      <c r="Y234" s="260"/>
      <c r="Z234" s="260"/>
    </row>
    <row r="235">
      <c r="A235" s="267">
        <v>45974.0</v>
      </c>
      <c r="B235" s="21" t="s">
        <v>2489</v>
      </c>
      <c r="C235" s="21" t="s">
        <v>9166</v>
      </c>
      <c r="D235" s="21" t="s">
        <v>9153</v>
      </c>
      <c r="E235" s="21" t="s">
        <v>9154</v>
      </c>
      <c r="F235" s="268" t="s">
        <v>9155</v>
      </c>
      <c r="G235" s="21" t="s">
        <v>9223</v>
      </c>
      <c r="H235" s="21" t="s">
        <v>5956</v>
      </c>
      <c r="I235" s="21" t="s">
        <v>9164</v>
      </c>
      <c r="J235" s="21" t="s">
        <v>8911</v>
      </c>
      <c r="K235" s="261">
        <v>46016.0</v>
      </c>
      <c r="L235" s="261">
        <v>46030.0</v>
      </c>
      <c r="M235" s="21" t="s">
        <v>9421</v>
      </c>
      <c r="N235" s="21" t="s">
        <v>22</v>
      </c>
      <c r="O235" s="260"/>
      <c r="P235" s="260"/>
      <c r="Q235" s="260"/>
      <c r="R235" s="260"/>
      <c r="S235" s="260"/>
      <c r="T235" s="260"/>
      <c r="U235" s="260"/>
      <c r="V235" s="260"/>
      <c r="W235" s="260"/>
      <c r="X235" s="260"/>
      <c r="Y235" s="260"/>
      <c r="Z235" s="260"/>
    </row>
    <row r="236">
      <c r="A236" s="267">
        <v>45974.0</v>
      </c>
      <c r="B236" s="21" t="s">
        <v>2832</v>
      </c>
      <c r="C236" s="21" t="s">
        <v>9166</v>
      </c>
      <c r="D236" s="21" t="s">
        <v>9153</v>
      </c>
      <c r="E236" s="21" t="s">
        <v>9154</v>
      </c>
      <c r="F236" s="268" t="s">
        <v>9155</v>
      </c>
      <c r="G236" s="21" t="s">
        <v>9223</v>
      </c>
      <c r="H236" s="21" t="s">
        <v>5956</v>
      </c>
      <c r="I236" s="21" t="s">
        <v>9164</v>
      </c>
      <c r="J236" s="21" t="s">
        <v>8911</v>
      </c>
      <c r="K236" s="261">
        <v>46016.0</v>
      </c>
      <c r="L236" s="261">
        <v>46030.0</v>
      </c>
      <c r="M236" s="21" t="s">
        <v>9422</v>
      </c>
      <c r="N236" s="21" t="s">
        <v>22</v>
      </c>
      <c r="O236" s="260"/>
      <c r="P236" s="260"/>
      <c r="Q236" s="260"/>
      <c r="R236" s="260"/>
      <c r="S236" s="260"/>
      <c r="T236" s="260"/>
      <c r="U236" s="260"/>
      <c r="V236" s="260"/>
      <c r="W236" s="260"/>
      <c r="X236" s="260"/>
      <c r="Y236" s="260"/>
      <c r="Z236" s="260"/>
    </row>
    <row r="237">
      <c r="A237" s="267">
        <v>45974.0</v>
      </c>
      <c r="B237" s="21" t="s">
        <v>2834</v>
      </c>
      <c r="C237" s="21" t="s">
        <v>9166</v>
      </c>
      <c r="D237" s="21" t="s">
        <v>9153</v>
      </c>
      <c r="E237" s="21" t="s">
        <v>9154</v>
      </c>
      <c r="F237" s="268" t="s">
        <v>9155</v>
      </c>
      <c r="G237" s="21" t="s">
        <v>9223</v>
      </c>
      <c r="H237" s="21" t="s">
        <v>5956</v>
      </c>
      <c r="I237" s="21" t="s">
        <v>9164</v>
      </c>
      <c r="J237" s="21" t="s">
        <v>8911</v>
      </c>
      <c r="K237" s="261">
        <v>46016.0</v>
      </c>
      <c r="L237" s="261">
        <v>46030.0</v>
      </c>
      <c r="M237" s="21" t="s">
        <v>9423</v>
      </c>
      <c r="N237" s="21" t="s">
        <v>22</v>
      </c>
      <c r="O237" s="260"/>
      <c r="P237" s="260"/>
      <c r="Q237" s="260"/>
      <c r="R237" s="260"/>
      <c r="S237" s="260"/>
      <c r="T237" s="260"/>
      <c r="U237" s="260"/>
      <c r="V237" s="260"/>
      <c r="W237" s="260"/>
      <c r="X237" s="260"/>
      <c r="Y237" s="260"/>
      <c r="Z237" s="260"/>
    </row>
    <row r="238">
      <c r="A238" s="267">
        <v>45974.0</v>
      </c>
      <c r="B238" s="21" t="s">
        <v>3109</v>
      </c>
      <c r="C238" s="21" t="s">
        <v>9166</v>
      </c>
      <c r="D238" s="21" t="s">
        <v>9153</v>
      </c>
      <c r="E238" s="21" t="s">
        <v>9154</v>
      </c>
      <c r="F238" s="268" t="s">
        <v>9155</v>
      </c>
      <c r="G238" s="21" t="s">
        <v>9424</v>
      </c>
      <c r="H238" s="21" t="s">
        <v>9393</v>
      </c>
      <c r="I238" s="21" t="s">
        <v>9164</v>
      </c>
      <c r="J238" s="21" t="s">
        <v>8911</v>
      </c>
      <c r="K238" s="261">
        <v>46016.0</v>
      </c>
      <c r="L238" s="261">
        <v>46030.0</v>
      </c>
      <c r="M238" s="21" t="s">
        <v>9425</v>
      </c>
      <c r="N238" s="21" t="s">
        <v>22</v>
      </c>
      <c r="O238" s="260"/>
      <c r="P238" s="260"/>
      <c r="Q238" s="260"/>
      <c r="R238" s="260"/>
      <c r="S238" s="260"/>
      <c r="T238" s="260"/>
      <c r="U238" s="260"/>
      <c r="V238" s="260"/>
      <c r="W238" s="260"/>
      <c r="X238" s="260"/>
      <c r="Y238" s="260"/>
      <c r="Z238" s="260"/>
    </row>
    <row r="239">
      <c r="A239" s="267">
        <v>45974.0</v>
      </c>
      <c r="B239" s="21" t="s">
        <v>2836</v>
      </c>
      <c r="C239" s="21" t="s">
        <v>9166</v>
      </c>
      <c r="D239" s="21" t="s">
        <v>9153</v>
      </c>
      <c r="E239" s="21" t="s">
        <v>9154</v>
      </c>
      <c r="F239" s="268" t="s">
        <v>9155</v>
      </c>
      <c r="G239" s="21" t="s">
        <v>9156</v>
      </c>
      <c r="H239" s="21" t="s">
        <v>5958</v>
      </c>
      <c r="I239" s="21" t="s">
        <v>9164</v>
      </c>
      <c r="J239" s="21" t="s">
        <v>8911</v>
      </c>
      <c r="K239" s="261">
        <v>46016.0</v>
      </c>
      <c r="L239" s="261">
        <v>46030.0</v>
      </c>
      <c r="M239" s="21" t="s">
        <v>9426</v>
      </c>
      <c r="N239" s="21" t="s">
        <v>22</v>
      </c>
      <c r="O239" s="260"/>
      <c r="P239" s="260"/>
      <c r="Q239" s="260"/>
      <c r="R239" s="260"/>
      <c r="S239" s="260"/>
      <c r="T239" s="260"/>
      <c r="U239" s="260"/>
      <c r="V239" s="260"/>
      <c r="W239" s="260"/>
      <c r="X239" s="260"/>
      <c r="Y239" s="260"/>
      <c r="Z239" s="260"/>
    </row>
    <row r="240">
      <c r="A240" s="267">
        <v>45974.0</v>
      </c>
      <c r="B240" s="21" t="s">
        <v>2920</v>
      </c>
      <c r="C240" s="21" t="s">
        <v>9166</v>
      </c>
      <c r="D240" s="21" t="s">
        <v>9153</v>
      </c>
      <c r="E240" s="21" t="s">
        <v>9154</v>
      </c>
      <c r="F240" s="268" t="s">
        <v>9155</v>
      </c>
      <c r="G240" s="21" t="s">
        <v>9424</v>
      </c>
      <c r="H240" s="21" t="s">
        <v>9393</v>
      </c>
      <c r="I240" s="21" t="s">
        <v>9164</v>
      </c>
      <c r="J240" s="21" t="s">
        <v>8911</v>
      </c>
      <c r="K240" s="261">
        <v>46016.0</v>
      </c>
      <c r="L240" s="261">
        <v>46030.0</v>
      </c>
      <c r="M240" s="21" t="s">
        <v>9427</v>
      </c>
      <c r="N240" s="21" t="s">
        <v>22</v>
      </c>
      <c r="O240" s="260"/>
      <c r="P240" s="260"/>
      <c r="Q240" s="260"/>
      <c r="R240" s="260"/>
      <c r="S240" s="260"/>
      <c r="T240" s="260"/>
      <c r="U240" s="260"/>
      <c r="V240" s="260"/>
      <c r="W240" s="260"/>
      <c r="X240" s="260"/>
      <c r="Y240" s="260"/>
      <c r="Z240" s="260"/>
    </row>
    <row r="241">
      <c r="A241" s="267">
        <v>45974.0</v>
      </c>
      <c r="B241" s="21" t="s">
        <v>2672</v>
      </c>
      <c r="C241" s="21" t="s">
        <v>9428</v>
      </c>
      <c r="D241" s="21" t="s">
        <v>9429</v>
      </c>
      <c r="E241" s="21" t="s">
        <v>9430</v>
      </c>
      <c r="F241" s="268" t="s">
        <v>9431</v>
      </c>
      <c r="G241" s="21" t="s">
        <v>9432</v>
      </c>
      <c r="H241" s="21" t="s">
        <v>5956</v>
      </c>
      <c r="I241" s="21" t="s">
        <v>9164</v>
      </c>
      <c r="J241" s="21" t="s">
        <v>8911</v>
      </c>
      <c r="K241" s="261">
        <v>46016.0</v>
      </c>
      <c r="L241" s="261">
        <v>46030.0</v>
      </c>
      <c r="M241" s="21" t="s">
        <v>9433</v>
      </c>
      <c r="N241" s="21" t="s">
        <v>22</v>
      </c>
      <c r="O241" s="260"/>
      <c r="P241" s="260"/>
      <c r="Q241" s="260"/>
      <c r="R241" s="260"/>
      <c r="S241" s="260"/>
      <c r="T241" s="260"/>
      <c r="U241" s="260"/>
      <c r="V241" s="260"/>
      <c r="W241" s="260"/>
      <c r="X241" s="260"/>
      <c r="Y241" s="260"/>
      <c r="Z241" s="260"/>
    </row>
    <row r="242">
      <c r="A242" s="267">
        <v>45974.0</v>
      </c>
      <c r="B242" s="21" t="s">
        <v>2674</v>
      </c>
      <c r="C242" s="21" t="s">
        <v>9428</v>
      </c>
      <c r="D242" s="21" t="s">
        <v>9429</v>
      </c>
      <c r="E242" s="21" t="s">
        <v>9430</v>
      </c>
      <c r="F242" s="268" t="s">
        <v>9431</v>
      </c>
      <c r="G242" s="21" t="s">
        <v>9432</v>
      </c>
      <c r="H242" s="21" t="s">
        <v>5956</v>
      </c>
      <c r="I242" s="21" t="s">
        <v>9164</v>
      </c>
      <c r="J242" s="21" t="s">
        <v>8911</v>
      </c>
      <c r="K242" s="261">
        <v>46016.0</v>
      </c>
      <c r="L242" s="261">
        <v>46030.0</v>
      </c>
      <c r="M242" s="21" t="s">
        <v>9434</v>
      </c>
      <c r="N242" s="21" t="s">
        <v>22</v>
      </c>
      <c r="O242" s="260"/>
      <c r="P242" s="260"/>
      <c r="Q242" s="260"/>
      <c r="R242" s="260"/>
      <c r="S242" s="260"/>
      <c r="T242" s="260"/>
      <c r="U242" s="260"/>
      <c r="V242" s="260"/>
      <c r="W242" s="260"/>
      <c r="X242" s="260"/>
      <c r="Y242" s="260"/>
      <c r="Z242" s="260"/>
    </row>
    <row r="243">
      <c r="A243" s="267">
        <v>45974.0</v>
      </c>
      <c r="B243" s="21" t="s">
        <v>2832</v>
      </c>
      <c r="C243" s="21" t="s">
        <v>9428</v>
      </c>
      <c r="D243" s="21" t="s">
        <v>9429</v>
      </c>
      <c r="E243" s="21" t="s">
        <v>9430</v>
      </c>
      <c r="F243" s="268" t="s">
        <v>9431</v>
      </c>
      <c r="G243" s="21" t="s">
        <v>9432</v>
      </c>
      <c r="H243" s="21" t="s">
        <v>5956</v>
      </c>
      <c r="I243" s="21" t="s">
        <v>9164</v>
      </c>
      <c r="J243" s="21" t="s">
        <v>8911</v>
      </c>
      <c r="K243" s="261">
        <v>46016.0</v>
      </c>
      <c r="L243" s="261">
        <v>46030.0</v>
      </c>
      <c r="M243" s="21" t="s">
        <v>9435</v>
      </c>
      <c r="N243" s="21" t="s">
        <v>22</v>
      </c>
      <c r="O243" s="260"/>
      <c r="P243" s="260"/>
      <c r="Q243" s="260"/>
      <c r="R243" s="260"/>
      <c r="S243" s="260"/>
      <c r="T243" s="260"/>
      <c r="U243" s="260"/>
      <c r="V243" s="260"/>
      <c r="W243" s="260"/>
      <c r="X243" s="260"/>
      <c r="Y243" s="260"/>
      <c r="Z243" s="260"/>
    </row>
    <row r="244">
      <c r="A244" s="267">
        <v>45974.0</v>
      </c>
      <c r="B244" s="21" t="s">
        <v>2444</v>
      </c>
      <c r="C244" s="21" t="s">
        <v>9428</v>
      </c>
      <c r="D244" s="21" t="s">
        <v>9429</v>
      </c>
      <c r="E244" s="21" t="s">
        <v>9430</v>
      </c>
      <c r="F244" s="268" t="s">
        <v>9431</v>
      </c>
      <c r="G244" s="21" t="s">
        <v>9432</v>
      </c>
      <c r="H244" s="21" t="s">
        <v>5956</v>
      </c>
      <c r="I244" s="21" t="s">
        <v>9164</v>
      </c>
      <c r="J244" s="21" t="s">
        <v>8911</v>
      </c>
      <c r="K244" s="261">
        <v>46016.0</v>
      </c>
      <c r="L244" s="261">
        <v>46030.0</v>
      </c>
      <c r="M244" s="21" t="s">
        <v>9436</v>
      </c>
      <c r="N244" s="21" t="s">
        <v>22</v>
      </c>
      <c r="O244" s="260"/>
      <c r="P244" s="260"/>
      <c r="Q244" s="260"/>
      <c r="R244" s="260"/>
      <c r="S244" s="260"/>
      <c r="T244" s="260"/>
      <c r="U244" s="260"/>
      <c r="V244" s="260"/>
      <c r="W244" s="260"/>
      <c r="X244" s="260"/>
      <c r="Y244" s="260"/>
      <c r="Z244" s="260"/>
    </row>
    <row r="245">
      <c r="A245" s="267">
        <v>45974.0</v>
      </c>
      <c r="B245" s="21" t="s">
        <v>2676</v>
      </c>
      <c r="C245" s="21" t="s">
        <v>9428</v>
      </c>
      <c r="D245" s="21" t="s">
        <v>9429</v>
      </c>
      <c r="E245" s="21" t="s">
        <v>9430</v>
      </c>
      <c r="F245" s="268" t="s">
        <v>9431</v>
      </c>
      <c r="G245" s="21" t="s">
        <v>9432</v>
      </c>
      <c r="H245" s="21" t="s">
        <v>5956</v>
      </c>
      <c r="I245" s="21" t="s">
        <v>9164</v>
      </c>
      <c r="J245" s="21" t="s">
        <v>8911</v>
      </c>
      <c r="K245" s="261">
        <v>46016.0</v>
      </c>
      <c r="L245" s="261">
        <v>46030.0</v>
      </c>
      <c r="M245" s="21" t="s">
        <v>9437</v>
      </c>
      <c r="N245" s="21" t="s">
        <v>22</v>
      </c>
      <c r="O245" s="260"/>
      <c r="P245" s="260"/>
      <c r="Q245" s="260"/>
      <c r="R245" s="260"/>
      <c r="S245" s="260"/>
      <c r="T245" s="260"/>
      <c r="U245" s="260"/>
      <c r="V245" s="260"/>
      <c r="W245" s="260"/>
      <c r="X245" s="260"/>
      <c r="Y245" s="260"/>
      <c r="Z245" s="260"/>
    </row>
    <row r="246">
      <c r="A246" s="267">
        <v>45931.0</v>
      </c>
      <c r="B246" s="21" t="s">
        <v>1887</v>
      </c>
      <c r="C246" s="21" t="s">
        <v>9166</v>
      </c>
      <c r="D246" s="21" t="s">
        <v>9153</v>
      </c>
      <c r="E246" s="21" t="s">
        <v>9154</v>
      </c>
      <c r="F246" s="268" t="s">
        <v>9155</v>
      </c>
      <c r="G246" s="21" t="s">
        <v>9231</v>
      </c>
      <c r="H246" s="21" t="s">
        <v>5967</v>
      </c>
      <c r="I246" s="21" t="s">
        <v>9164</v>
      </c>
      <c r="J246" s="21" t="s">
        <v>8911</v>
      </c>
      <c r="K246" s="261">
        <v>45973.0</v>
      </c>
      <c r="L246" s="261">
        <v>45987.0</v>
      </c>
      <c r="M246" s="21" t="s">
        <v>9438</v>
      </c>
      <c r="N246" s="21" t="s">
        <v>22</v>
      </c>
      <c r="O246" s="260"/>
      <c r="P246" s="260"/>
      <c r="Q246" s="260"/>
      <c r="R246" s="260"/>
      <c r="S246" s="260"/>
      <c r="T246" s="260"/>
      <c r="U246" s="260"/>
      <c r="V246" s="260"/>
      <c r="W246" s="260"/>
      <c r="X246" s="260"/>
      <c r="Y246" s="260"/>
      <c r="Z246" s="260"/>
    </row>
    <row r="247">
      <c r="A247" s="267">
        <v>45931.0</v>
      </c>
      <c r="B247" s="21" t="s">
        <v>1889</v>
      </c>
      <c r="C247" s="21" t="s">
        <v>9166</v>
      </c>
      <c r="D247" s="21" t="s">
        <v>9153</v>
      </c>
      <c r="E247" s="21" t="s">
        <v>9154</v>
      </c>
      <c r="F247" s="268" t="s">
        <v>9155</v>
      </c>
      <c r="G247" s="21" t="s">
        <v>9231</v>
      </c>
      <c r="H247" s="21" t="s">
        <v>5967</v>
      </c>
      <c r="I247" s="21" t="s">
        <v>9164</v>
      </c>
      <c r="J247" s="21" t="s">
        <v>8911</v>
      </c>
      <c r="K247" s="261">
        <v>45973.0</v>
      </c>
      <c r="L247" s="261">
        <v>45987.0</v>
      </c>
      <c r="M247" s="21" t="s">
        <v>9439</v>
      </c>
      <c r="N247" s="21" t="s">
        <v>22</v>
      </c>
      <c r="O247" s="260"/>
      <c r="P247" s="260"/>
      <c r="Q247" s="260"/>
      <c r="R247" s="260"/>
      <c r="S247" s="260"/>
      <c r="T247" s="260"/>
      <c r="U247" s="260"/>
      <c r="V247" s="260"/>
      <c r="W247" s="260"/>
      <c r="X247" s="260"/>
      <c r="Y247" s="260"/>
      <c r="Z247" s="260"/>
    </row>
    <row r="248">
      <c r="A248" s="267">
        <v>45931.0</v>
      </c>
      <c r="B248" s="21" t="s">
        <v>1891</v>
      </c>
      <c r="C248" s="21" t="s">
        <v>9166</v>
      </c>
      <c r="D248" s="21" t="s">
        <v>9153</v>
      </c>
      <c r="E248" s="21" t="s">
        <v>9154</v>
      </c>
      <c r="F248" s="268" t="s">
        <v>9155</v>
      </c>
      <c r="G248" s="21" t="s">
        <v>9231</v>
      </c>
      <c r="H248" s="21" t="s">
        <v>5967</v>
      </c>
      <c r="I248" s="21" t="s">
        <v>9164</v>
      </c>
      <c r="J248" s="21" t="s">
        <v>8911</v>
      </c>
      <c r="K248" s="261">
        <v>45973.0</v>
      </c>
      <c r="L248" s="261">
        <v>45987.0</v>
      </c>
      <c r="M248" s="21" t="s">
        <v>9440</v>
      </c>
      <c r="N248" s="21" t="s">
        <v>22</v>
      </c>
      <c r="O248" s="260"/>
      <c r="P248" s="260"/>
      <c r="Q248" s="260"/>
      <c r="R248" s="260"/>
      <c r="S248" s="260"/>
      <c r="T248" s="260"/>
      <c r="U248" s="260"/>
      <c r="V248" s="260"/>
      <c r="W248" s="260"/>
      <c r="X248" s="260"/>
      <c r="Y248" s="260"/>
      <c r="Z248" s="260"/>
    </row>
    <row r="249">
      <c r="A249" s="267">
        <v>45931.0</v>
      </c>
      <c r="B249" s="21" t="s">
        <v>1903</v>
      </c>
      <c r="C249" s="21" t="s">
        <v>9166</v>
      </c>
      <c r="D249" s="21" t="s">
        <v>9153</v>
      </c>
      <c r="E249" s="21" t="s">
        <v>9154</v>
      </c>
      <c r="F249" s="268" t="s">
        <v>9155</v>
      </c>
      <c r="G249" s="21" t="s">
        <v>9223</v>
      </c>
      <c r="H249" s="21" t="s">
        <v>5958</v>
      </c>
      <c r="I249" s="21" t="s">
        <v>9164</v>
      </c>
      <c r="J249" s="21" t="s">
        <v>8911</v>
      </c>
      <c r="K249" s="261">
        <v>45973.0</v>
      </c>
      <c r="L249" s="261">
        <v>45987.0</v>
      </c>
      <c r="M249" s="21" t="s">
        <v>9441</v>
      </c>
      <c r="N249" s="21" t="s">
        <v>22</v>
      </c>
      <c r="O249" s="260"/>
      <c r="P249" s="260"/>
      <c r="Q249" s="260"/>
      <c r="R249" s="260"/>
      <c r="S249" s="260"/>
      <c r="T249" s="260"/>
      <c r="U249" s="260"/>
      <c r="V249" s="260"/>
      <c r="W249" s="260"/>
      <c r="X249" s="260"/>
      <c r="Y249" s="260"/>
      <c r="Z249" s="260"/>
    </row>
    <row r="250">
      <c r="A250" s="267">
        <v>45931.0</v>
      </c>
      <c r="B250" s="21" t="s">
        <v>2945</v>
      </c>
      <c r="C250" s="21" t="s">
        <v>9166</v>
      </c>
      <c r="D250" s="21" t="s">
        <v>9153</v>
      </c>
      <c r="E250" s="21" t="s">
        <v>9154</v>
      </c>
      <c r="F250" s="268" t="s">
        <v>9155</v>
      </c>
      <c r="G250" s="21" t="s">
        <v>9223</v>
      </c>
      <c r="H250" s="21" t="s">
        <v>5958</v>
      </c>
      <c r="I250" s="21" t="s">
        <v>9164</v>
      </c>
      <c r="J250" s="21" t="s">
        <v>8911</v>
      </c>
      <c r="K250" s="261">
        <v>45973.0</v>
      </c>
      <c r="L250" s="261">
        <v>45987.0</v>
      </c>
      <c r="M250" s="21" t="s">
        <v>9442</v>
      </c>
      <c r="N250" s="21" t="s">
        <v>22</v>
      </c>
      <c r="O250" s="260"/>
      <c r="P250" s="260"/>
      <c r="Q250" s="260"/>
      <c r="R250" s="260"/>
      <c r="S250" s="260"/>
      <c r="T250" s="260"/>
      <c r="U250" s="260"/>
      <c r="V250" s="260"/>
      <c r="W250" s="260"/>
      <c r="X250" s="260"/>
      <c r="Y250" s="260"/>
      <c r="Z250" s="260"/>
    </row>
    <row r="251">
      <c r="A251" s="267">
        <v>45931.0</v>
      </c>
      <c r="B251" s="21" t="s">
        <v>1906</v>
      </c>
      <c r="C251" s="21" t="s">
        <v>9166</v>
      </c>
      <c r="D251" s="21" t="s">
        <v>9153</v>
      </c>
      <c r="E251" s="21" t="s">
        <v>9154</v>
      </c>
      <c r="F251" s="268" t="s">
        <v>9155</v>
      </c>
      <c r="G251" s="21" t="s">
        <v>9223</v>
      </c>
      <c r="H251" s="21" t="s">
        <v>5958</v>
      </c>
      <c r="I251" s="21" t="s">
        <v>9164</v>
      </c>
      <c r="J251" s="21" t="s">
        <v>8911</v>
      </c>
      <c r="K251" s="261">
        <v>45973.0</v>
      </c>
      <c r="L251" s="261">
        <v>45987.0</v>
      </c>
      <c r="M251" s="21" t="s">
        <v>9443</v>
      </c>
      <c r="N251" s="21" t="s">
        <v>22</v>
      </c>
      <c r="O251" s="260"/>
      <c r="P251" s="260"/>
      <c r="Q251" s="260"/>
      <c r="R251" s="260"/>
      <c r="S251" s="260"/>
      <c r="T251" s="260"/>
      <c r="U251" s="260"/>
      <c r="V251" s="260"/>
      <c r="W251" s="260"/>
      <c r="X251" s="260"/>
      <c r="Y251" s="260"/>
      <c r="Z251" s="260"/>
    </row>
    <row r="252">
      <c r="A252" s="267">
        <v>45931.0</v>
      </c>
      <c r="B252" s="21" t="s">
        <v>1882</v>
      </c>
      <c r="C252" s="21" t="s">
        <v>9166</v>
      </c>
      <c r="D252" s="21" t="s">
        <v>9153</v>
      </c>
      <c r="E252" s="21" t="s">
        <v>9154</v>
      </c>
      <c r="F252" s="268" t="s">
        <v>9155</v>
      </c>
      <c r="G252" s="21" t="s">
        <v>9231</v>
      </c>
      <c r="H252" s="21" t="s">
        <v>5967</v>
      </c>
      <c r="I252" s="21" t="s">
        <v>9164</v>
      </c>
      <c r="J252" s="21" t="s">
        <v>8911</v>
      </c>
      <c r="K252" s="261">
        <v>45973.0</v>
      </c>
      <c r="L252" s="261">
        <v>45987.0</v>
      </c>
      <c r="M252" s="21" t="s">
        <v>9444</v>
      </c>
      <c r="N252" s="21" t="s">
        <v>22</v>
      </c>
      <c r="O252" s="260"/>
      <c r="P252" s="260"/>
      <c r="Q252" s="260"/>
      <c r="R252" s="260"/>
      <c r="S252" s="260"/>
      <c r="T252" s="260"/>
      <c r="U252" s="260"/>
      <c r="V252" s="260"/>
      <c r="W252" s="260"/>
      <c r="X252" s="260"/>
      <c r="Y252" s="260"/>
      <c r="Z252" s="260"/>
    </row>
    <row r="253">
      <c r="A253" s="267">
        <v>45931.0</v>
      </c>
      <c r="B253" s="21" t="s">
        <v>1885</v>
      </c>
      <c r="C253" s="21" t="s">
        <v>9166</v>
      </c>
      <c r="D253" s="21" t="s">
        <v>9153</v>
      </c>
      <c r="E253" s="21" t="s">
        <v>9154</v>
      </c>
      <c r="F253" s="268" t="s">
        <v>9155</v>
      </c>
      <c r="G253" s="21" t="s">
        <v>9231</v>
      </c>
      <c r="H253" s="21" t="s">
        <v>5967</v>
      </c>
      <c r="I253" s="21" t="s">
        <v>9164</v>
      </c>
      <c r="J253" s="21" t="s">
        <v>8911</v>
      </c>
      <c r="K253" s="261">
        <v>45973.0</v>
      </c>
      <c r="L253" s="261">
        <v>45987.0</v>
      </c>
      <c r="M253" s="21" t="s">
        <v>9445</v>
      </c>
      <c r="N253" s="21" t="s">
        <v>22</v>
      </c>
      <c r="O253" s="260"/>
      <c r="P253" s="260"/>
      <c r="Q253" s="260"/>
      <c r="R253" s="260"/>
      <c r="S253" s="260"/>
      <c r="T253" s="260"/>
      <c r="U253" s="260"/>
      <c r="V253" s="260"/>
      <c r="W253" s="260"/>
      <c r="X253" s="260"/>
      <c r="Y253" s="260"/>
      <c r="Z253" s="260"/>
    </row>
    <row r="254">
      <c r="A254" s="267">
        <v>45931.0</v>
      </c>
      <c r="B254" s="21" t="s">
        <v>1870</v>
      </c>
      <c r="C254" s="21" t="s">
        <v>9166</v>
      </c>
      <c r="D254" s="21" t="s">
        <v>9153</v>
      </c>
      <c r="E254" s="21" t="s">
        <v>9154</v>
      </c>
      <c r="F254" s="268" t="s">
        <v>9155</v>
      </c>
      <c r="G254" s="21" t="s">
        <v>9223</v>
      </c>
      <c r="H254" s="21" t="s">
        <v>5958</v>
      </c>
      <c r="I254" s="21" t="s">
        <v>9164</v>
      </c>
      <c r="J254" s="21" t="s">
        <v>8911</v>
      </c>
      <c r="K254" s="261">
        <v>45973.0</v>
      </c>
      <c r="L254" s="261">
        <v>45987.0</v>
      </c>
      <c r="M254" s="21" t="s">
        <v>9446</v>
      </c>
      <c r="N254" s="21" t="s">
        <v>22</v>
      </c>
      <c r="O254" s="260"/>
      <c r="P254" s="260"/>
      <c r="Q254" s="260"/>
      <c r="R254" s="260"/>
      <c r="S254" s="260"/>
      <c r="T254" s="260"/>
      <c r="U254" s="260"/>
      <c r="V254" s="260"/>
      <c r="W254" s="260"/>
      <c r="X254" s="260"/>
      <c r="Y254" s="260"/>
      <c r="Z254" s="260"/>
    </row>
    <row r="255">
      <c r="A255" s="267">
        <v>45930.0</v>
      </c>
      <c r="B255" s="21" t="s">
        <v>2017</v>
      </c>
      <c r="C255" s="21" t="s">
        <v>9166</v>
      </c>
      <c r="D255" s="21" t="s">
        <v>9153</v>
      </c>
      <c r="E255" s="21" t="s">
        <v>9154</v>
      </c>
      <c r="F255" s="268" t="s">
        <v>9155</v>
      </c>
      <c r="G255" s="21" t="s">
        <v>9163</v>
      </c>
      <c r="H255" s="21" t="s">
        <v>5958</v>
      </c>
      <c r="I255" s="21" t="s">
        <v>9164</v>
      </c>
      <c r="J255" s="21" t="s">
        <v>8911</v>
      </c>
      <c r="K255" s="261">
        <v>45972.0</v>
      </c>
      <c r="L255" s="261">
        <v>45986.0</v>
      </c>
      <c r="M255" s="21" t="s">
        <v>9447</v>
      </c>
      <c r="N255" s="21" t="s">
        <v>22</v>
      </c>
      <c r="O255" s="260"/>
      <c r="P255" s="260"/>
      <c r="Q255" s="260"/>
      <c r="R255" s="260"/>
      <c r="S255" s="260"/>
      <c r="T255" s="260"/>
      <c r="U255" s="260"/>
      <c r="V255" s="260"/>
      <c r="W255" s="260"/>
      <c r="X255" s="260"/>
      <c r="Y255" s="260"/>
      <c r="Z255" s="260"/>
    </row>
    <row r="256">
      <c r="A256" s="267">
        <v>45930.0</v>
      </c>
      <c r="B256" s="21" t="s">
        <v>1833</v>
      </c>
      <c r="C256" s="21" t="s">
        <v>9166</v>
      </c>
      <c r="D256" s="21" t="s">
        <v>9153</v>
      </c>
      <c r="E256" s="21" t="s">
        <v>9154</v>
      </c>
      <c r="F256" s="268" t="s">
        <v>9155</v>
      </c>
      <c r="G256" s="21" t="s">
        <v>9163</v>
      </c>
      <c r="H256" s="21" t="s">
        <v>5958</v>
      </c>
      <c r="I256" s="21" t="s">
        <v>9164</v>
      </c>
      <c r="J256" s="21" t="s">
        <v>8911</v>
      </c>
      <c r="K256" s="261">
        <v>45972.0</v>
      </c>
      <c r="L256" s="261">
        <v>45986.0</v>
      </c>
      <c r="M256" s="21" t="s">
        <v>9448</v>
      </c>
      <c r="N256" s="21" t="s">
        <v>22</v>
      </c>
      <c r="O256" s="260"/>
      <c r="P256" s="260"/>
      <c r="Q256" s="260"/>
      <c r="R256" s="260"/>
      <c r="S256" s="260"/>
      <c r="T256" s="260"/>
      <c r="U256" s="260"/>
      <c r="V256" s="260"/>
      <c r="W256" s="260"/>
      <c r="X256" s="260"/>
      <c r="Y256" s="260"/>
      <c r="Z256" s="260"/>
    </row>
    <row r="257">
      <c r="A257" s="267">
        <v>45930.0</v>
      </c>
      <c r="B257" s="21" t="s">
        <v>1830</v>
      </c>
      <c r="C257" s="21" t="s">
        <v>9166</v>
      </c>
      <c r="D257" s="21" t="s">
        <v>9153</v>
      </c>
      <c r="E257" s="21" t="s">
        <v>9154</v>
      </c>
      <c r="F257" s="268" t="s">
        <v>9155</v>
      </c>
      <c r="G257" s="21" t="s">
        <v>9163</v>
      </c>
      <c r="H257" s="21" t="s">
        <v>5958</v>
      </c>
      <c r="I257" s="21" t="s">
        <v>9164</v>
      </c>
      <c r="J257" s="21" t="s">
        <v>8911</v>
      </c>
      <c r="K257" s="261">
        <v>45972.0</v>
      </c>
      <c r="L257" s="261">
        <v>45986.0</v>
      </c>
      <c r="M257" s="21" t="s">
        <v>9449</v>
      </c>
      <c r="N257" s="21" t="s">
        <v>22</v>
      </c>
      <c r="O257" s="260"/>
      <c r="P257" s="260"/>
      <c r="Q257" s="260"/>
      <c r="R257" s="260"/>
      <c r="S257" s="260"/>
      <c r="T257" s="260"/>
      <c r="U257" s="260"/>
      <c r="V257" s="260"/>
      <c r="W257" s="260"/>
      <c r="X257" s="260"/>
      <c r="Y257" s="260"/>
      <c r="Z257" s="260"/>
    </row>
    <row r="258">
      <c r="A258" s="267">
        <v>45931.0</v>
      </c>
      <c r="B258" s="21" t="s">
        <v>1874</v>
      </c>
      <c r="C258" s="21" t="s">
        <v>9166</v>
      </c>
      <c r="D258" s="21" t="s">
        <v>9153</v>
      </c>
      <c r="E258" s="21" t="s">
        <v>9154</v>
      </c>
      <c r="F258" s="268" t="s">
        <v>9155</v>
      </c>
      <c r="G258" s="21" t="s">
        <v>9450</v>
      </c>
      <c r="H258" s="21" t="s">
        <v>5958</v>
      </c>
      <c r="I258" s="21" t="s">
        <v>9164</v>
      </c>
      <c r="J258" s="21" t="s">
        <v>8911</v>
      </c>
      <c r="K258" s="261">
        <v>45973.0</v>
      </c>
      <c r="L258" s="261">
        <v>45987.0</v>
      </c>
      <c r="M258" s="21" t="s">
        <v>9451</v>
      </c>
      <c r="N258" s="21" t="s">
        <v>22</v>
      </c>
      <c r="O258" s="260"/>
      <c r="P258" s="260"/>
      <c r="Q258" s="260"/>
      <c r="R258" s="260"/>
      <c r="S258" s="260"/>
      <c r="T258" s="260"/>
      <c r="U258" s="260"/>
      <c r="V258" s="260"/>
      <c r="W258" s="260"/>
      <c r="X258" s="260"/>
      <c r="Y258" s="260"/>
      <c r="Z258" s="260"/>
    </row>
    <row r="259">
      <c r="A259" s="267">
        <v>45931.0</v>
      </c>
      <c r="B259" s="21" t="s">
        <v>1872</v>
      </c>
      <c r="C259" s="21" t="s">
        <v>9166</v>
      </c>
      <c r="D259" s="21" t="s">
        <v>9153</v>
      </c>
      <c r="E259" s="21" t="s">
        <v>9154</v>
      </c>
      <c r="F259" s="268" t="s">
        <v>9155</v>
      </c>
      <c r="G259" s="21" t="s">
        <v>9450</v>
      </c>
      <c r="H259" s="21" t="s">
        <v>5958</v>
      </c>
      <c r="I259" s="21" t="s">
        <v>9164</v>
      </c>
      <c r="J259" s="21" t="s">
        <v>8911</v>
      </c>
      <c r="K259" s="261">
        <v>45973.0</v>
      </c>
      <c r="L259" s="261">
        <v>45987.0</v>
      </c>
      <c r="M259" s="21" t="s">
        <v>9452</v>
      </c>
      <c r="N259" s="21" t="s">
        <v>22</v>
      </c>
      <c r="O259" s="260"/>
      <c r="P259" s="260"/>
      <c r="Q259" s="260"/>
      <c r="R259" s="260"/>
      <c r="S259" s="260"/>
      <c r="T259" s="260"/>
      <c r="U259" s="260"/>
      <c r="V259" s="260"/>
      <c r="W259" s="260"/>
      <c r="X259" s="260"/>
      <c r="Y259" s="260"/>
      <c r="Z259" s="260"/>
    </row>
    <row r="260">
      <c r="A260" s="267">
        <v>45931.0</v>
      </c>
      <c r="B260" s="21" t="s">
        <v>1876</v>
      </c>
      <c r="C260" s="21" t="s">
        <v>9166</v>
      </c>
      <c r="D260" s="21" t="s">
        <v>9153</v>
      </c>
      <c r="E260" s="21" t="s">
        <v>9154</v>
      </c>
      <c r="F260" s="268" t="s">
        <v>9155</v>
      </c>
      <c r="G260" s="21" t="s">
        <v>9450</v>
      </c>
      <c r="H260" s="21" t="s">
        <v>5958</v>
      </c>
      <c r="I260" s="21" t="s">
        <v>9164</v>
      </c>
      <c r="J260" s="21" t="s">
        <v>8911</v>
      </c>
      <c r="K260" s="261">
        <v>45973.0</v>
      </c>
      <c r="L260" s="261">
        <v>45987.0</v>
      </c>
      <c r="M260" s="21" t="s">
        <v>9453</v>
      </c>
      <c r="N260" s="21" t="s">
        <v>22</v>
      </c>
      <c r="O260" s="260"/>
      <c r="P260" s="260"/>
      <c r="Q260" s="260"/>
      <c r="R260" s="260"/>
      <c r="S260" s="260"/>
      <c r="T260" s="260"/>
      <c r="U260" s="260"/>
      <c r="V260" s="260"/>
      <c r="W260" s="260"/>
      <c r="X260" s="260"/>
      <c r="Y260" s="260"/>
      <c r="Z260" s="260"/>
    </row>
    <row r="261">
      <c r="A261" s="267">
        <v>45930.0</v>
      </c>
      <c r="B261" s="21" t="s">
        <v>2799</v>
      </c>
      <c r="C261" s="21" t="s">
        <v>9166</v>
      </c>
      <c r="D261" s="21" t="s">
        <v>9153</v>
      </c>
      <c r="E261" s="21" t="s">
        <v>9154</v>
      </c>
      <c r="F261" s="268" t="s">
        <v>9155</v>
      </c>
      <c r="G261" s="21" t="s">
        <v>9163</v>
      </c>
      <c r="H261" s="21" t="s">
        <v>5958</v>
      </c>
      <c r="I261" s="21" t="s">
        <v>9164</v>
      </c>
      <c r="J261" s="21" t="s">
        <v>8911</v>
      </c>
      <c r="K261" s="261">
        <v>45972.0</v>
      </c>
      <c r="L261" s="261">
        <v>45986.0</v>
      </c>
      <c r="M261" s="21" t="s">
        <v>9454</v>
      </c>
      <c r="N261" s="21" t="s">
        <v>22</v>
      </c>
      <c r="O261" s="260"/>
      <c r="P261" s="260"/>
      <c r="Q261" s="260"/>
      <c r="R261" s="260"/>
      <c r="S261" s="260"/>
      <c r="T261" s="260"/>
      <c r="U261" s="260"/>
      <c r="V261" s="260"/>
      <c r="W261" s="260"/>
      <c r="X261" s="260"/>
      <c r="Y261" s="260"/>
      <c r="Z261" s="260"/>
    </row>
    <row r="262">
      <c r="A262" s="267">
        <v>45930.0</v>
      </c>
      <c r="B262" s="21" t="s">
        <v>3137</v>
      </c>
      <c r="C262" s="21" t="s">
        <v>9166</v>
      </c>
      <c r="D262" s="21" t="s">
        <v>9153</v>
      </c>
      <c r="E262" s="21" t="s">
        <v>9154</v>
      </c>
      <c r="F262" s="268" t="s">
        <v>9155</v>
      </c>
      <c r="G262" s="21" t="s">
        <v>9163</v>
      </c>
      <c r="H262" s="21" t="s">
        <v>5958</v>
      </c>
      <c r="I262" s="21" t="s">
        <v>9164</v>
      </c>
      <c r="J262" s="21" t="s">
        <v>8911</v>
      </c>
      <c r="K262" s="261">
        <v>45972.0</v>
      </c>
      <c r="L262" s="261">
        <v>45986.0</v>
      </c>
      <c r="M262" s="21" t="s">
        <v>9455</v>
      </c>
      <c r="N262" s="21" t="s">
        <v>22</v>
      </c>
      <c r="O262" s="260"/>
      <c r="P262" s="260"/>
      <c r="Q262" s="260"/>
      <c r="R262" s="260"/>
      <c r="S262" s="260"/>
      <c r="T262" s="260"/>
      <c r="U262" s="260"/>
      <c r="V262" s="260"/>
      <c r="W262" s="260"/>
      <c r="X262" s="260"/>
      <c r="Y262" s="260"/>
      <c r="Z262" s="260"/>
    </row>
    <row r="263">
      <c r="A263" s="267">
        <v>45930.0</v>
      </c>
      <c r="B263" s="21" t="s">
        <v>1814</v>
      </c>
      <c r="C263" s="21" t="s">
        <v>9166</v>
      </c>
      <c r="D263" s="21" t="s">
        <v>9153</v>
      </c>
      <c r="E263" s="21" t="s">
        <v>9154</v>
      </c>
      <c r="F263" s="268" t="s">
        <v>9155</v>
      </c>
      <c r="G263" s="21" t="s">
        <v>9163</v>
      </c>
      <c r="H263" s="21" t="s">
        <v>5958</v>
      </c>
      <c r="I263" s="21" t="s">
        <v>9164</v>
      </c>
      <c r="J263" s="21" t="s">
        <v>8911</v>
      </c>
      <c r="K263" s="261">
        <v>45972.0</v>
      </c>
      <c r="L263" s="261">
        <v>45986.0</v>
      </c>
      <c r="M263" s="21" t="s">
        <v>9456</v>
      </c>
      <c r="N263" s="21" t="s">
        <v>22</v>
      </c>
      <c r="O263" s="260"/>
      <c r="P263" s="260"/>
      <c r="Q263" s="260"/>
      <c r="R263" s="260"/>
      <c r="S263" s="260"/>
      <c r="T263" s="260"/>
      <c r="U263" s="260"/>
      <c r="V263" s="260"/>
      <c r="W263" s="260"/>
      <c r="X263" s="260"/>
      <c r="Y263" s="260"/>
      <c r="Z263" s="260"/>
    </row>
    <row r="264">
      <c r="A264" s="267">
        <v>45930.0</v>
      </c>
      <c r="B264" s="21" t="s">
        <v>1816</v>
      </c>
      <c r="C264" s="21" t="s">
        <v>9166</v>
      </c>
      <c r="D264" s="21" t="s">
        <v>9153</v>
      </c>
      <c r="E264" s="21" t="s">
        <v>9154</v>
      </c>
      <c r="F264" s="268" t="s">
        <v>9155</v>
      </c>
      <c r="G264" s="21" t="s">
        <v>9163</v>
      </c>
      <c r="H264" s="21" t="s">
        <v>5958</v>
      </c>
      <c r="I264" s="21" t="s">
        <v>9164</v>
      </c>
      <c r="J264" s="21" t="s">
        <v>8911</v>
      </c>
      <c r="K264" s="261">
        <v>45972.0</v>
      </c>
      <c r="L264" s="261">
        <v>45986.0</v>
      </c>
      <c r="M264" s="21" t="s">
        <v>9457</v>
      </c>
      <c r="N264" s="21" t="s">
        <v>22</v>
      </c>
      <c r="O264" s="260"/>
      <c r="P264" s="260"/>
      <c r="Q264" s="260"/>
      <c r="R264" s="260"/>
      <c r="S264" s="260"/>
      <c r="T264" s="260"/>
      <c r="U264" s="260"/>
      <c r="V264" s="260"/>
      <c r="W264" s="260"/>
      <c r="X264" s="260"/>
      <c r="Y264" s="260"/>
      <c r="Z264" s="260"/>
    </row>
    <row r="265">
      <c r="A265" s="267">
        <v>45930.0</v>
      </c>
      <c r="B265" s="21" t="s">
        <v>1818</v>
      </c>
      <c r="C265" s="21" t="s">
        <v>9166</v>
      </c>
      <c r="D265" s="21" t="s">
        <v>9153</v>
      </c>
      <c r="E265" s="21" t="s">
        <v>9154</v>
      </c>
      <c r="F265" s="268" t="s">
        <v>9155</v>
      </c>
      <c r="G265" s="21" t="s">
        <v>9163</v>
      </c>
      <c r="H265" s="21" t="s">
        <v>5958</v>
      </c>
      <c r="I265" s="21" t="s">
        <v>9164</v>
      </c>
      <c r="J265" s="21" t="s">
        <v>8911</v>
      </c>
      <c r="K265" s="261">
        <v>45972.0</v>
      </c>
      <c r="L265" s="261">
        <v>45986.0</v>
      </c>
      <c r="M265" s="21" t="s">
        <v>9458</v>
      </c>
      <c r="N265" s="21" t="s">
        <v>22</v>
      </c>
      <c r="O265" s="260"/>
      <c r="P265" s="260"/>
      <c r="Q265" s="260"/>
      <c r="R265" s="260"/>
      <c r="S265" s="260"/>
      <c r="T265" s="260"/>
      <c r="U265" s="260"/>
      <c r="V265" s="260"/>
      <c r="W265" s="260"/>
      <c r="X265" s="260"/>
      <c r="Y265" s="260"/>
      <c r="Z265" s="260"/>
    </row>
    <row r="266">
      <c r="A266" s="267">
        <v>45930.0</v>
      </c>
      <c r="B266" s="21" t="s">
        <v>2501</v>
      </c>
      <c r="C266" s="21" t="s">
        <v>9166</v>
      </c>
      <c r="D266" s="21" t="s">
        <v>9153</v>
      </c>
      <c r="E266" s="21" t="s">
        <v>9154</v>
      </c>
      <c r="F266" s="268" t="s">
        <v>9155</v>
      </c>
      <c r="G266" s="21" t="s">
        <v>9163</v>
      </c>
      <c r="H266" s="21" t="s">
        <v>5958</v>
      </c>
      <c r="I266" s="21" t="s">
        <v>9164</v>
      </c>
      <c r="J266" s="21" t="s">
        <v>8911</v>
      </c>
      <c r="K266" s="261">
        <v>45972.0</v>
      </c>
      <c r="L266" s="261">
        <v>45986.0</v>
      </c>
      <c r="M266" s="21" t="s">
        <v>9459</v>
      </c>
      <c r="N266" s="21" t="s">
        <v>22</v>
      </c>
      <c r="O266" s="260"/>
      <c r="P266" s="260"/>
      <c r="Q266" s="260"/>
      <c r="R266" s="260"/>
      <c r="S266" s="260"/>
      <c r="T266" s="260"/>
      <c r="U266" s="260"/>
      <c r="V266" s="260"/>
      <c r="W266" s="260"/>
      <c r="X266" s="260"/>
      <c r="Y266" s="260"/>
      <c r="Z266" s="260"/>
    </row>
    <row r="267">
      <c r="A267" s="267">
        <v>45930.0</v>
      </c>
      <c r="B267" s="21" t="s">
        <v>2015</v>
      </c>
      <c r="C267" s="21" t="s">
        <v>9166</v>
      </c>
      <c r="D267" s="21" t="s">
        <v>9153</v>
      </c>
      <c r="E267" s="21" t="s">
        <v>9154</v>
      </c>
      <c r="F267" s="268" t="s">
        <v>9155</v>
      </c>
      <c r="G267" s="21" t="s">
        <v>9163</v>
      </c>
      <c r="H267" s="21" t="s">
        <v>5958</v>
      </c>
      <c r="I267" s="21" t="s">
        <v>9164</v>
      </c>
      <c r="J267" s="21" t="s">
        <v>8911</v>
      </c>
      <c r="K267" s="261">
        <v>45972.0</v>
      </c>
      <c r="L267" s="261">
        <v>45986.0</v>
      </c>
      <c r="M267" s="21" t="s">
        <v>9460</v>
      </c>
      <c r="N267" s="21" t="s">
        <v>22</v>
      </c>
      <c r="O267" s="260"/>
      <c r="P267" s="260"/>
      <c r="Q267" s="260"/>
      <c r="R267" s="260"/>
      <c r="S267" s="260"/>
      <c r="T267" s="260"/>
      <c r="U267" s="260"/>
      <c r="V267" s="260"/>
      <c r="W267" s="260"/>
      <c r="X267" s="260"/>
      <c r="Y267" s="260"/>
      <c r="Z267" s="260"/>
    </row>
    <row r="268">
      <c r="A268" s="267">
        <v>45930.0</v>
      </c>
      <c r="B268" s="21" t="s">
        <v>2045</v>
      </c>
      <c r="C268" s="21" t="s">
        <v>9166</v>
      </c>
      <c r="D268" s="21" t="s">
        <v>9153</v>
      </c>
      <c r="E268" s="21" t="s">
        <v>9154</v>
      </c>
      <c r="F268" s="268" t="s">
        <v>9155</v>
      </c>
      <c r="G268" s="21" t="s">
        <v>9163</v>
      </c>
      <c r="H268" s="21" t="s">
        <v>5958</v>
      </c>
      <c r="I268" s="21" t="s">
        <v>9164</v>
      </c>
      <c r="J268" s="21" t="s">
        <v>8911</v>
      </c>
      <c r="K268" s="261">
        <v>45972.0</v>
      </c>
      <c r="L268" s="261">
        <v>45986.0</v>
      </c>
      <c r="M268" s="21" t="s">
        <v>9461</v>
      </c>
      <c r="N268" s="21" t="s">
        <v>22</v>
      </c>
      <c r="O268" s="260"/>
      <c r="P268" s="260"/>
      <c r="Q268" s="260"/>
      <c r="R268" s="260"/>
      <c r="S268" s="260"/>
      <c r="T268" s="260"/>
      <c r="U268" s="260"/>
      <c r="V268" s="260"/>
      <c r="W268" s="260"/>
      <c r="X268" s="260"/>
      <c r="Y268" s="260"/>
      <c r="Z268" s="260"/>
    </row>
    <row r="269">
      <c r="A269" s="267">
        <v>45930.0</v>
      </c>
      <c r="B269" s="21" t="s">
        <v>2073</v>
      </c>
      <c r="C269" s="21" t="s">
        <v>9166</v>
      </c>
      <c r="D269" s="21" t="s">
        <v>9153</v>
      </c>
      <c r="E269" s="21" t="s">
        <v>9154</v>
      </c>
      <c r="F269" s="268" t="s">
        <v>9155</v>
      </c>
      <c r="G269" s="21" t="s">
        <v>9163</v>
      </c>
      <c r="H269" s="21" t="s">
        <v>5958</v>
      </c>
      <c r="I269" s="21" t="s">
        <v>9164</v>
      </c>
      <c r="J269" s="21" t="s">
        <v>8911</v>
      </c>
      <c r="K269" s="261">
        <v>45972.0</v>
      </c>
      <c r="L269" s="261">
        <v>45986.0</v>
      </c>
      <c r="M269" s="21" t="s">
        <v>9462</v>
      </c>
      <c r="N269" s="21" t="s">
        <v>22</v>
      </c>
      <c r="O269" s="260"/>
      <c r="P269" s="260"/>
      <c r="Q269" s="260"/>
      <c r="R269" s="260"/>
      <c r="S269" s="260"/>
      <c r="T269" s="260"/>
      <c r="U269" s="260"/>
      <c r="V269" s="260"/>
      <c r="W269" s="260"/>
      <c r="X269" s="260"/>
      <c r="Y269" s="260"/>
      <c r="Z269" s="260"/>
    </row>
    <row r="270">
      <c r="A270" s="267">
        <v>45930.0</v>
      </c>
      <c r="B270" s="21" t="s">
        <v>2550</v>
      </c>
      <c r="C270" s="21" t="s">
        <v>9166</v>
      </c>
      <c r="D270" s="21" t="s">
        <v>9153</v>
      </c>
      <c r="E270" s="21" t="s">
        <v>9154</v>
      </c>
      <c r="F270" s="268" t="s">
        <v>9155</v>
      </c>
      <c r="G270" s="21" t="s">
        <v>9163</v>
      </c>
      <c r="H270" s="21" t="s">
        <v>5958</v>
      </c>
      <c r="I270" s="21" t="s">
        <v>9164</v>
      </c>
      <c r="J270" s="21" t="s">
        <v>8911</v>
      </c>
      <c r="K270" s="261">
        <v>45972.0</v>
      </c>
      <c r="L270" s="261">
        <v>45986.0</v>
      </c>
      <c r="M270" s="21" t="s">
        <v>9463</v>
      </c>
      <c r="N270" s="21" t="s">
        <v>22</v>
      </c>
      <c r="O270" s="260"/>
      <c r="P270" s="260"/>
      <c r="Q270" s="260"/>
      <c r="R270" s="260"/>
      <c r="S270" s="260"/>
      <c r="T270" s="260"/>
      <c r="U270" s="260"/>
      <c r="V270" s="260"/>
      <c r="W270" s="260"/>
      <c r="X270" s="260"/>
      <c r="Y270" s="260"/>
      <c r="Z270" s="260"/>
    </row>
    <row r="271">
      <c r="A271" s="267">
        <v>45930.0</v>
      </c>
      <c r="B271" s="21" t="s">
        <v>2552</v>
      </c>
      <c r="C271" s="21" t="s">
        <v>9166</v>
      </c>
      <c r="D271" s="21" t="s">
        <v>9153</v>
      </c>
      <c r="E271" s="21" t="s">
        <v>9154</v>
      </c>
      <c r="F271" s="268" t="s">
        <v>9155</v>
      </c>
      <c r="G271" s="21" t="s">
        <v>9163</v>
      </c>
      <c r="H271" s="21" t="s">
        <v>5958</v>
      </c>
      <c r="I271" s="21" t="s">
        <v>9164</v>
      </c>
      <c r="J271" s="21" t="s">
        <v>8911</v>
      </c>
      <c r="K271" s="261">
        <v>45972.0</v>
      </c>
      <c r="L271" s="261">
        <v>45986.0</v>
      </c>
      <c r="M271" s="21" t="s">
        <v>9464</v>
      </c>
      <c r="N271" s="21" t="s">
        <v>22</v>
      </c>
      <c r="O271" s="260"/>
      <c r="P271" s="260"/>
      <c r="Q271" s="260"/>
      <c r="R271" s="260"/>
      <c r="S271" s="260"/>
      <c r="T271" s="260"/>
      <c r="U271" s="260"/>
      <c r="V271" s="260"/>
      <c r="W271" s="260"/>
      <c r="X271" s="260"/>
      <c r="Y271" s="260"/>
      <c r="Z271" s="260"/>
    </row>
    <row r="272">
      <c r="A272" s="267">
        <v>45930.0</v>
      </c>
      <c r="B272" s="21" t="s">
        <v>1966</v>
      </c>
      <c r="C272" s="21" t="s">
        <v>9166</v>
      </c>
      <c r="D272" s="21" t="s">
        <v>9153</v>
      </c>
      <c r="E272" s="21" t="s">
        <v>9154</v>
      </c>
      <c r="F272" s="268" t="s">
        <v>9155</v>
      </c>
      <c r="G272" s="21" t="s">
        <v>9163</v>
      </c>
      <c r="H272" s="21" t="s">
        <v>5958</v>
      </c>
      <c r="I272" s="21" t="s">
        <v>9164</v>
      </c>
      <c r="J272" s="21" t="s">
        <v>8911</v>
      </c>
      <c r="K272" s="261">
        <v>45972.0</v>
      </c>
      <c r="L272" s="261">
        <v>45986.0</v>
      </c>
      <c r="M272" s="21" t="s">
        <v>9465</v>
      </c>
      <c r="N272" s="21" t="s">
        <v>22</v>
      </c>
      <c r="O272" s="260"/>
      <c r="P272" s="260"/>
      <c r="Q272" s="260"/>
      <c r="R272" s="260"/>
      <c r="S272" s="260"/>
      <c r="T272" s="260"/>
      <c r="U272" s="260"/>
      <c r="V272" s="260"/>
      <c r="W272" s="260"/>
      <c r="X272" s="260"/>
      <c r="Y272" s="260"/>
      <c r="Z272" s="260"/>
    </row>
    <row r="273">
      <c r="A273" s="267">
        <v>45930.0</v>
      </c>
      <c r="B273" s="21" t="s">
        <v>1809</v>
      </c>
      <c r="C273" s="21" t="s">
        <v>9166</v>
      </c>
      <c r="D273" s="21" t="s">
        <v>9153</v>
      </c>
      <c r="E273" s="21" t="s">
        <v>9154</v>
      </c>
      <c r="F273" s="268" t="s">
        <v>9155</v>
      </c>
      <c r="G273" s="21" t="s">
        <v>9163</v>
      </c>
      <c r="H273" s="21" t="s">
        <v>5958</v>
      </c>
      <c r="I273" s="21" t="s">
        <v>9164</v>
      </c>
      <c r="J273" s="21" t="s">
        <v>8911</v>
      </c>
      <c r="K273" s="261">
        <v>45972.0</v>
      </c>
      <c r="L273" s="261">
        <v>45986.0</v>
      </c>
      <c r="M273" s="21" t="s">
        <v>9466</v>
      </c>
      <c r="N273" s="21" t="s">
        <v>22</v>
      </c>
      <c r="O273" s="260"/>
      <c r="P273" s="260"/>
      <c r="Q273" s="260"/>
      <c r="R273" s="260"/>
      <c r="S273" s="260"/>
      <c r="T273" s="260"/>
      <c r="U273" s="260"/>
      <c r="V273" s="260"/>
      <c r="W273" s="260"/>
      <c r="X273" s="260"/>
      <c r="Y273" s="260"/>
      <c r="Z273" s="260"/>
    </row>
    <row r="274">
      <c r="A274" s="267">
        <v>45930.0</v>
      </c>
      <c r="B274" s="21" t="s">
        <v>2663</v>
      </c>
      <c r="C274" s="21" t="s">
        <v>9166</v>
      </c>
      <c r="D274" s="21" t="s">
        <v>9153</v>
      </c>
      <c r="E274" s="21" t="s">
        <v>9154</v>
      </c>
      <c r="F274" s="268" t="s">
        <v>9155</v>
      </c>
      <c r="G274" s="21" t="s">
        <v>9163</v>
      </c>
      <c r="H274" s="21" t="s">
        <v>5958</v>
      </c>
      <c r="I274" s="21" t="s">
        <v>9164</v>
      </c>
      <c r="J274" s="21" t="s">
        <v>8911</v>
      </c>
      <c r="K274" s="261">
        <v>45972.0</v>
      </c>
      <c r="L274" s="261">
        <v>45986.0</v>
      </c>
      <c r="M274" s="21" t="s">
        <v>9467</v>
      </c>
      <c r="N274" s="21" t="s">
        <v>22</v>
      </c>
      <c r="O274" s="260"/>
      <c r="P274" s="260"/>
      <c r="Q274" s="260"/>
      <c r="R274" s="260"/>
      <c r="S274" s="260"/>
      <c r="T274" s="260"/>
      <c r="U274" s="260"/>
      <c r="V274" s="260"/>
      <c r="W274" s="260"/>
      <c r="X274" s="260"/>
      <c r="Y274" s="260"/>
      <c r="Z274" s="260"/>
    </row>
    <row r="275">
      <c r="A275" s="267">
        <v>45930.0</v>
      </c>
      <c r="B275" s="21" t="s">
        <v>2900</v>
      </c>
      <c r="C275" s="21" t="s">
        <v>9166</v>
      </c>
      <c r="D275" s="21" t="s">
        <v>9153</v>
      </c>
      <c r="E275" s="21" t="s">
        <v>9154</v>
      </c>
      <c r="F275" s="268" t="s">
        <v>9155</v>
      </c>
      <c r="G275" s="21" t="s">
        <v>9163</v>
      </c>
      <c r="H275" s="21" t="s">
        <v>5958</v>
      </c>
      <c r="I275" s="21" t="s">
        <v>9164</v>
      </c>
      <c r="J275" s="21" t="s">
        <v>9186</v>
      </c>
      <c r="K275" s="261">
        <v>45972.0</v>
      </c>
      <c r="L275" s="261">
        <v>45986.0</v>
      </c>
      <c r="M275" s="21" t="s">
        <v>9468</v>
      </c>
      <c r="N275" s="21" t="s">
        <v>22</v>
      </c>
      <c r="O275" s="260"/>
      <c r="P275" s="260"/>
      <c r="Q275" s="260"/>
      <c r="R275" s="260"/>
      <c r="S275" s="260"/>
      <c r="T275" s="260"/>
      <c r="U275" s="260"/>
      <c r="V275" s="260"/>
      <c r="W275" s="260"/>
      <c r="X275" s="260"/>
      <c r="Y275" s="260"/>
      <c r="Z275" s="260"/>
    </row>
    <row r="276">
      <c r="A276" s="267">
        <v>45930.0</v>
      </c>
      <c r="B276" s="21" t="s">
        <v>2898</v>
      </c>
      <c r="C276" s="21" t="s">
        <v>9166</v>
      </c>
      <c r="D276" s="21" t="s">
        <v>9153</v>
      </c>
      <c r="E276" s="21" t="s">
        <v>9154</v>
      </c>
      <c r="F276" s="268" t="s">
        <v>9155</v>
      </c>
      <c r="G276" s="21" t="s">
        <v>9163</v>
      </c>
      <c r="H276" s="21" t="s">
        <v>5958</v>
      </c>
      <c r="I276" s="21" t="s">
        <v>9164</v>
      </c>
      <c r="J276" s="21" t="s">
        <v>8911</v>
      </c>
      <c r="K276" s="261">
        <v>45972.0</v>
      </c>
      <c r="L276" s="261">
        <v>45986.0</v>
      </c>
      <c r="M276" s="21" t="s">
        <v>9469</v>
      </c>
      <c r="N276" s="21" t="s">
        <v>22</v>
      </c>
      <c r="O276" s="260"/>
      <c r="P276" s="260"/>
      <c r="Q276" s="260"/>
      <c r="R276" s="260"/>
      <c r="S276" s="260"/>
      <c r="T276" s="260"/>
      <c r="U276" s="260"/>
      <c r="V276" s="260"/>
      <c r="W276" s="260"/>
      <c r="X276" s="260"/>
      <c r="Y276" s="260"/>
      <c r="Z276" s="260"/>
    </row>
    <row r="277">
      <c r="A277" s="267">
        <v>45930.0</v>
      </c>
      <c r="B277" s="21" t="s">
        <v>3432</v>
      </c>
      <c r="C277" s="21" t="s">
        <v>9166</v>
      </c>
      <c r="D277" s="21" t="s">
        <v>9153</v>
      </c>
      <c r="E277" s="21" t="s">
        <v>9154</v>
      </c>
      <c r="F277" s="268" t="s">
        <v>9155</v>
      </c>
      <c r="G277" s="21" t="s">
        <v>9163</v>
      </c>
      <c r="H277" s="21" t="s">
        <v>5958</v>
      </c>
      <c r="I277" s="21" t="s">
        <v>9164</v>
      </c>
      <c r="J277" s="21" t="s">
        <v>8911</v>
      </c>
      <c r="K277" s="261">
        <v>45972.0</v>
      </c>
      <c r="L277" s="261">
        <v>45986.0</v>
      </c>
      <c r="M277" s="21" t="s">
        <v>9470</v>
      </c>
      <c r="N277" s="21" t="s">
        <v>22</v>
      </c>
      <c r="O277" s="260"/>
      <c r="P277" s="260"/>
      <c r="Q277" s="260"/>
      <c r="R277" s="260"/>
      <c r="S277" s="260"/>
      <c r="T277" s="260"/>
      <c r="U277" s="260"/>
      <c r="V277" s="260"/>
      <c r="W277" s="260"/>
      <c r="X277" s="260"/>
      <c r="Y277" s="260"/>
      <c r="Z277" s="260"/>
    </row>
    <row r="278">
      <c r="A278" s="267">
        <v>45992.0</v>
      </c>
      <c r="B278" s="21" t="s">
        <v>2845</v>
      </c>
      <c r="C278" s="21" t="s">
        <v>9166</v>
      </c>
      <c r="D278" s="21" t="s">
        <v>9153</v>
      </c>
      <c r="E278" s="21" t="s">
        <v>9154</v>
      </c>
      <c r="F278" s="268" t="s">
        <v>9155</v>
      </c>
      <c r="G278" s="21" t="s">
        <v>9163</v>
      </c>
      <c r="H278" s="21" t="s">
        <v>5958</v>
      </c>
      <c r="I278" s="21" t="s">
        <v>9164</v>
      </c>
      <c r="J278" s="21" t="s">
        <v>8911</v>
      </c>
      <c r="K278" s="261">
        <v>46034.0</v>
      </c>
      <c r="L278" s="261">
        <v>46048.0</v>
      </c>
      <c r="M278" s="21" t="s">
        <v>9471</v>
      </c>
      <c r="N278" s="21" t="s">
        <v>22</v>
      </c>
      <c r="O278" s="260"/>
      <c r="P278" s="260"/>
      <c r="Q278" s="260"/>
      <c r="R278" s="260"/>
      <c r="S278" s="260"/>
      <c r="T278" s="260"/>
      <c r="U278" s="260"/>
      <c r="V278" s="260"/>
      <c r="W278" s="260"/>
      <c r="X278" s="260"/>
      <c r="Y278" s="260"/>
      <c r="Z278" s="260"/>
    </row>
    <row r="279">
      <c r="A279" s="267">
        <v>45992.0</v>
      </c>
      <c r="B279" s="21" t="s">
        <v>2556</v>
      </c>
      <c r="C279" s="21" t="s">
        <v>9166</v>
      </c>
      <c r="D279" s="21" t="s">
        <v>9153</v>
      </c>
      <c r="E279" s="21" t="s">
        <v>9154</v>
      </c>
      <c r="F279" s="268" t="s">
        <v>9155</v>
      </c>
      <c r="G279" s="21" t="s">
        <v>9163</v>
      </c>
      <c r="H279" s="21" t="s">
        <v>5958</v>
      </c>
      <c r="I279" s="21" t="s">
        <v>9164</v>
      </c>
      <c r="J279" s="21" t="s">
        <v>8911</v>
      </c>
      <c r="K279" s="261">
        <v>46034.0</v>
      </c>
      <c r="L279" s="261">
        <v>46048.0</v>
      </c>
      <c r="M279" s="21" t="s">
        <v>9472</v>
      </c>
      <c r="N279" s="21" t="s">
        <v>22</v>
      </c>
      <c r="O279" s="260"/>
      <c r="P279" s="260"/>
      <c r="Q279" s="260"/>
      <c r="R279" s="260"/>
      <c r="S279" s="260"/>
      <c r="T279" s="260"/>
      <c r="U279" s="260"/>
      <c r="V279" s="260"/>
      <c r="W279" s="260"/>
      <c r="X279" s="260"/>
      <c r="Y279" s="260"/>
      <c r="Z279" s="260"/>
    </row>
    <row r="280">
      <c r="A280" s="267">
        <v>45992.0</v>
      </c>
      <c r="B280" s="21" t="s">
        <v>2558</v>
      </c>
      <c r="C280" s="21" t="s">
        <v>9166</v>
      </c>
      <c r="D280" s="21" t="s">
        <v>9153</v>
      </c>
      <c r="E280" s="21" t="s">
        <v>9154</v>
      </c>
      <c r="F280" s="268" t="s">
        <v>9155</v>
      </c>
      <c r="G280" s="21" t="s">
        <v>9163</v>
      </c>
      <c r="H280" s="21" t="s">
        <v>5958</v>
      </c>
      <c r="I280" s="21" t="s">
        <v>9164</v>
      </c>
      <c r="J280" s="21" t="s">
        <v>8911</v>
      </c>
      <c r="K280" s="261">
        <v>46034.0</v>
      </c>
      <c r="L280" s="261">
        <v>46048.0</v>
      </c>
      <c r="M280" s="21" t="s">
        <v>9473</v>
      </c>
      <c r="N280" s="21" t="s">
        <v>22</v>
      </c>
      <c r="O280" s="260"/>
      <c r="P280" s="260"/>
      <c r="Q280" s="260"/>
      <c r="R280" s="260"/>
      <c r="S280" s="260"/>
      <c r="T280" s="260"/>
      <c r="U280" s="260"/>
      <c r="V280" s="260"/>
      <c r="W280" s="260"/>
      <c r="X280" s="260"/>
      <c r="Y280" s="260"/>
      <c r="Z280" s="260"/>
    </row>
    <row r="281">
      <c r="A281" s="267">
        <v>45992.0</v>
      </c>
      <c r="B281" s="21" t="s">
        <v>2412</v>
      </c>
      <c r="C281" s="21" t="s">
        <v>9166</v>
      </c>
      <c r="D281" s="21" t="s">
        <v>9153</v>
      </c>
      <c r="E281" s="21" t="s">
        <v>9154</v>
      </c>
      <c r="F281" s="268" t="s">
        <v>9155</v>
      </c>
      <c r="G281" s="21" t="s">
        <v>9163</v>
      </c>
      <c r="H281" s="21" t="s">
        <v>5958</v>
      </c>
      <c r="I281" s="21" t="s">
        <v>9164</v>
      </c>
      <c r="J281" s="21" t="s">
        <v>8911</v>
      </c>
      <c r="K281" s="261">
        <v>46034.0</v>
      </c>
      <c r="L281" s="261">
        <v>46048.0</v>
      </c>
      <c r="M281" s="21" t="s">
        <v>9474</v>
      </c>
      <c r="N281" s="21" t="s">
        <v>22</v>
      </c>
      <c r="O281" s="260"/>
      <c r="P281" s="260"/>
      <c r="Q281" s="260"/>
      <c r="R281" s="260"/>
      <c r="S281" s="260"/>
      <c r="T281" s="260"/>
      <c r="U281" s="260"/>
      <c r="V281" s="260"/>
      <c r="W281" s="260"/>
      <c r="X281" s="260"/>
      <c r="Y281" s="260"/>
      <c r="Z281" s="260"/>
    </row>
    <row r="282">
      <c r="A282" s="267">
        <v>45992.0</v>
      </c>
      <c r="B282" s="21" t="s">
        <v>2410</v>
      </c>
      <c r="C282" s="21" t="s">
        <v>9166</v>
      </c>
      <c r="D282" s="21" t="s">
        <v>9153</v>
      </c>
      <c r="E282" s="21" t="s">
        <v>9154</v>
      </c>
      <c r="F282" s="268" t="s">
        <v>9155</v>
      </c>
      <c r="G282" s="21" t="s">
        <v>9163</v>
      </c>
      <c r="H282" s="21" t="s">
        <v>5958</v>
      </c>
      <c r="I282" s="21" t="s">
        <v>9164</v>
      </c>
      <c r="J282" s="21" t="s">
        <v>8911</v>
      </c>
      <c r="K282" s="261">
        <v>46034.0</v>
      </c>
      <c r="L282" s="261">
        <v>46048.0</v>
      </c>
      <c r="M282" s="21" t="s">
        <v>9475</v>
      </c>
      <c r="N282" s="21" t="s">
        <v>22</v>
      </c>
      <c r="O282" s="260"/>
      <c r="P282" s="260"/>
      <c r="Q282" s="260"/>
      <c r="R282" s="260"/>
      <c r="S282" s="260"/>
      <c r="T282" s="260"/>
      <c r="U282" s="260"/>
      <c r="V282" s="260"/>
      <c r="W282" s="260"/>
      <c r="X282" s="260"/>
      <c r="Y282" s="260"/>
      <c r="Z282" s="260"/>
    </row>
    <row r="283">
      <c r="A283" s="267">
        <v>45992.0</v>
      </c>
      <c r="B283" s="21" t="s">
        <v>2526</v>
      </c>
      <c r="C283" s="21" t="s">
        <v>9166</v>
      </c>
      <c r="D283" s="21" t="s">
        <v>9153</v>
      </c>
      <c r="E283" s="21" t="s">
        <v>9154</v>
      </c>
      <c r="F283" s="268" t="s">
        <v>9155</v>
      </c>
      <c r="G283" s="21" t="s">
        <v>9163</v>
      </c>
      <c r="H283" s="21" t="s">
        <v>5958</v>
      </c>
      <c r="I283" s="21" t="s">
        <v>9164</v>
      </c>
      <c r="J283" s="21" t="s">
        <v>8911</v>
      </c>
      <c r="K283" s="261">
        <v>46034.0</v>
      </c>
      <c r="L283" s="261">
        <v>46048.0</v>
      </c>
      <c r="M283" s="21" t="s">
        <v>9476</v>
      </c>
      <c r="N283" s="21" t="s">
        <v>22</v>
      </c>
      <c r="O283" s="260"/>
      <c r="P283" s="260"/>
      <c r="Q283" s="260"/>
      <c r="R283" s="260"/>
      <c r="S283" s="260"/>
      <c r="T283" s="260"/>
      <c r="U283" s="260"/>
      <c r="V283" s="260"/>
      <c r="W283" s="260"/>
      <c r="X283" s="260"/>
      <c r="Y283" s="260"/>
      <c r="Z283" s="260"/>
    </row>
    <row r="284">
      <c r="A284" s="267">
        <v>45930.0</v>
      </c>
      <c r="B284" s="21" t="s">
        <v>2544</v>
      </c>
      <c r="C284" s="21" t="s">
        <v>9166</v>
      </c>
      <c r="D284" s="21" t="s">
        <v>9153</v>
      </c>
      <c r="E284" s="21" t="s">
        <v>9154</v>
      </c>
      <c r="F284" s="268" t="s">
        <v>9155</v>
      </c>
      <c r="G284" s="21" t="s">
        <v>9163</v>
      </c>
      <c r="H284" s="21" t="s">
        <v>5958</v>
      </c>
      <c r="I284" s="21" t="s">
        <v>9164</v>
      </c>
      <c r="J284" s="21" t="s">
        <v>8911</v>
      </c>
      <c r="K284" s="261">
        <v>45972.0</v>
      </c>
      <c r="L284" s="261">
        <v>45986.0</v>
      </c>
      <c r="M284" s="21" t="s">
        <v>9477</v>
      </c>
      <c r="N284" s="21" t="s">
        <v>22</v>
      </c>
      <c r="O284" s="260"/>
      <c r="P284" s="260"/>
      <c r="Q284" s="260"/>
      <c r="R284" s="260"/>
      <c r="S284" s="260"/>
      <c r="T284" s="260"/>
      <c r="U284" s="260"/>
      <c r="V284" s="260"/>
      <c r="W284" s="260"/>
      <c r="X284" s="260"/>
      <c r="Y284" s="260"/>
      <c r="Z284" s="260"/>
    </row>
    <row r="285">
      <c r="A285" s="267">
        <v>45930.0</v>
      </c>
      <c r="B285" s="21" t="s">
        <v>2546</v>
      </c>
      <c r="C285" s="21" t="s">
        <v>9166</v>
      </c>
      <c r="D285" s="21" t="s">
        <v>9153</v>
      </c>
      <c r="E285" s="21" t="s">
        <v>9154</v>
      </c>
      <c r="F285" s="268" t="s">
        <v>9155</v>
      </c>
      <c r="G285" s="21" t="s">
        <v>9163</v>
      </c>
      <c r="H285" s="21" t="s">
        <v>5958</v>
      </c>
      <c r="I285" s="21" t="s">
        <v>9164</v>
      </c>
      <c r="J285" s="21" t="s">
        <v>8911</v>
      </c>
      <c r="K285" s="261">
        <v>45972.0</v>
      </c>
      <c r="L285" s="261">
        <v>45986.0</v>
      </c>
      <c r="M285" s="21" t="s">
        <v>9478</v>
      </c>
      <c r="N285" s="21" t="s">
        <v>22</v>
      </c>
      <c r="O285" s="260"/>
      <c r="P285" s="260"/>
      <c r="Q285" s="260"/>
      <c r="R285" s="260"/>
      <c r="S285" s="260"/>
      <c r="T285" s="260"/>
      <c r="U285" s="260"/>
      <c r="V285" s="260"/>
      <c r="W285" s="260"/>
      <c r="X285" s="260"/>
      <c r="Y285" s="260"/>
      <c r="Z285" s="260"/>
    </row>
    <row r="286">
      <c r="A286" s="267">
        <v>45930.0</v>
      </c>
      <c r="B286" s="21" t="s">
        <v>1811</v>
      </c>
      <c r="C286" s="21" t="s">
        <v>9166</v>
      </c>
      <c r="D286" s="21" t="s">
        <v>9153</v>
      </c>
      <c r="E286" s="21" t="s">
        <v>9154</v>
      </c>
      <c r="F286" s="268" t="s">
        <v>9155</v>
      </c>
      <c r="G286" s="21" t="s">
        <v>9163</v>
      </c>
      <c r="H286" s="21" t="s">
        <v>5958</v>
      </c>
      <c r="I286" s="21" t="s">
        <v>9164</v>
      </c>
      <c r="J286" s="21" t="s">
        <v>8911</v>
      </c>
      <c r="K286" s="261">
        <v>45972.0</v>
      </c>
      <c r="L286" s="261">
        <v>45986.0</v>
      </c>
      <c r="M286" s="21" t="s">
        <v>9479</v>
      </c>
      <c r="N286" s="21" t="s">
        <v>22</v>
      </c>
      <c r="O286" s="260"/>
      <c r="P286" s="260"/>
      <c r="Q286" s="260"/>
      <c r="R286" s="260"/>
      <c r="S286" s="260"/>
      <c r="T286" s="260"/>
      <c r="U286" s="260"/>
      <c r="V286" s="260"/>
      <c r="W286" s="260"/>
      <c r="X286" s="260"/>
      <c r="Y286" s="260"/>
      <c r="Z286" s="260"/>
    </row>
    <row r="287">
      <c r="A287" s="267">
        <v>45930.0</v>
      </c>
      <c r="B287" s="21" t="s">
        <v>2471</v>
      </c>
      <c r="C287" s="21" t="s">
        <v>9166</v>
      </c>
      <c r="D287" s="21" t="s">
        <v>9153</v>
      </c>
      <c r="E287" s="21" t="s">
        <v>9154</v>
      </c>
      <c r="F287" s="268" t="s">
        <v>9155</v>
      </c>
      <c r="G287" s="21" t="s">
        <v>9163</v>
      </c>
      <c r="H287" s="21" t="s">
        <v>5958</v>
      </c>
      <c r="I287" s="21" t="s">
        <v>9164</v>
      </c>
      <c r="J287" s="21" t="s">
        <v>8911</v>
      </c>
      <c r="K287" s="261">
        <v>45972.0</v>
      </c>
      <c r="L287" s="261">
        <v>45986.0</v>
      </c>
      <c r="M287" s="21" t="s">
        <v>9480</v>
      </c>
      <c r="N287" s="21" t="s">
        <v>22</v>
      </c>
      <c r="O287" s="260"/>
      <c r="P287" s="260"/>
      <c r="Q287" s="260"/>
      <c r="R287" s="260"/>
      <c r="S287" s="260"/>
      <c r="T287" s="260"/>
      <c r="U287" s="260"/>
      <c r="V287" s="260"/>
      <c r="W287" s="260"/>
      <c r="X287" s="260"/>
      <c r="Y287" s="260"/>
      <c r="Z287" s="260"/>
    </row>
    <row r="288">
      <c r="A288" s="267">
        <v>45930.0</v>
      </c>
      <c r="B288" s="21" t="s">
        <v>2548</v>
      </c>
      <c r="C288" s="21" t="s">
        <v>9166</v>
      </c>
      <c r="D288" s="21" t="s">
        <v>9153</v>
      </c>
      <c r="E288" s="21" t="s">
        <v>9154</v>
      </c>
      <c r="F288" s="268" t="s">
        <v>9155</v>
      </c>
      <c r="G288" s="21" t="s">
        <v>9163</v>
      </c>
      <c r="H288" s="21" t="s">
        <v>5958</v>
      </c>
      <c r="I288" s="21" t="s">
        <v>9164</v>
      </c>
      <c r="J288" s="21" t="s">
        <v>8911</v>
      </c>
      <c r="K288" s="261">
        <v>45972.0</v>
      </c>
      <c r="L288" s="261">
        <v>45986.0</v>
      </c>
      <c r="M288" s="21" t="s">
        <v>9481</v>
      </c>
      <c r="N288" s="21" t="s">
        <v>22</v>
      </c>
      <c r="O288" s="260"/>
      <c r="P288" s="260"/>
      <c r="Q288" s="260"/>
      <c r="R288" s="260"/>
      <c r="S288" s="260"/>
      <c r="T288" s="260"/>
      <c r="U288" s="260"/>
      <c r="V288" s="260"/>
      <c r="W288" s="260"/>
      <c r="X288" s="260"/>
      <c r="Y288" s="260"/>
      <c r="Z288" s="260"/>
    </row>
    <row r="289">
      <c r="A289" s="267">
        <v>45992.0</v>
      </c>
      <c r="B289" s="21" t="s">
        <v>3204</v>
      </c>
      <c r="C289" s="21" t="s">
        <v>9166</v>
      </c>
      <c r="D289" s="21" t="s">
        <v>9153</v>
      </c>
      <c r="E289" s="21" t="s">
        <v>9154</v>
      </c>
      <c r="F289" s="268" t="s">
        <v>9155</v>
      </c>
      <c r="G289" s="21" t="s">
        <v>9163</v>
      </c>
      <c r="H289" s="21" t="s">
        <v>5958</v>
      </c>
      <c r="I289" s="21" t="s">
        <v>9164</v>
      </c>
      <c r="J289" s="21" t="s">
        <v>8911</v>
      </c>
      <c r="K289" s="261">
        <v>46034.0</v>
      </c>
      <c r="L289" s="261">
        <v>46048.0</v>
      </c>
      <c r="M289" s="21" t="s">
        <v>9482</v>
      </c>
      <c r="N289" s="21" t="s">
        <v>22</v>
      </c>
      <c r="O289" s="260"/>
      <c r="P289" s="260"/>
      <c r="Q289" s="260"/>
      <c r="R289" s="260"/>
      <c r="S289" s="260"/>
      <c r="T289" s="260"/>
      <c r="U289" s="260"/>
      <c r="V289" s="260"/>
      <c r="W289" s="260"/>
      <c r="X289" s="260"/>
      <c r="Y289" s="260"/>
      <c r="Z289" s="260"/>
    </row>
    <row r="290">
      <c r="A290" s="267">
        <v>45992.0</v>
      </c>
      <c r="B290" s="21" t="s">
        <v>2442</v>
      </c>
      <c r="C290" s="21" t="s">
        <v>9166</v>
      </c>
      <c r="D290" s="21" t="s">
        <v>9153</v>
      </c>
      <c r="E290" s="21" t="s">
        <v>9154</v>
      </c>
      <c r="F290" s="268" t="s">
        <v>9155</v>
      </c>
      <c r="G290" s="21" t="s">
        <v>9163</v>
      </c>
      <c r="H290" s="21" t="s">
        <v>5958</v>
      </c>
      <c r="I290" s="21" t="s">
        <v>9164</v>
      </c>
      <c r="J290" s="21" t="s">
        <v>8911</v>
      </c>
      <c r="K290" s="261">
        <v>46034.0</v>
      </c>
      <c r="L290" s="261">
        <v>46048.0</v>
      </c>
      <c r="M290" s="21" t="s">
        <v>9483</v>
      </c>
      <c r="N290" s="21" t="s">
        <v>22</v>
      </c>
      <c r="O290" s="260"/>
      <c r="P290" s="260"/>
      <c r="Q290" s="260"/>
      <c r="R290" s="260"/>
      <c r="S290" s="260"/>
      <c r="T290" s="260"/>
      <c r="U290" s="260"/>
      <c r="V290" s="260"/>
      <c r="W290" s="260"/>
      <c r="X290" s="260"/>
      <c r="Y290" s="260"/>
      <c r="Z290" s="260"/>
    </row>
    <row r="291">
      <c r="A291" s="267">
        <v>45992.0</v>
      </c>
      <c r="B291" s="21" t="s">
        <v>2480</v>
      </c>
      <c r="C291" s="21" t="s">
        <v>9166</v>
      </c>
      <c r="D291" s="21" t="s">
        <v>9153</v>
      </c>
      <c r="E291" s="21" t="s">
        <v>9154</v>
      </c>
      <c r="F291" s="268" t="s">
        <v>9155</v>
      </c>
      <c r="G291" s="21" t="s">
        <v>9163</v>
      </c>
      <c r="H291" s="21" t="s">
        <v>5970</v>
      </c>
      <c r="I291" s="21" t="s">
        <v>9164</v>
      </c>
      <c r="J291" s="21" t="s">
        <v>8911</v>
      </c>
      <c r="K291" s="261">
        <v>46034.0</v>
      </c>
      <c r="L291" s="261">
        <v>46048.0</v>
      </c>
      <c r="M291" s="21" t="s">
        <v>9484</v>
      </c>
      <c r="N291" s="21" t="s">
        <v>22</v>
      </c>
      <c r="O291" s="260"/>
      <c r="P291" s="260"/>
      <c r="Q291" s="260"/>
      <c r="R291" s="260"/>
      <c r="S291" s="260"/>
      <c r="T291" s="260"/>
      <c r="U291" s="260"/>
      <c r="V291" s="260"/>
      <c r="W291" s="260"/>
      <c r="X291" s="260"/>
      <c r="Y291" s="260"/>
      <c r="Z291" s="260"/>
    </row>
    <row r="292">
      <c r="A292" s="267">
        <v>45992.0</v>
      </c>
      <c r="B292" s="21" t="s">
        <v>2649</v>
      </c>
      <c r="C292" s="21" t="s">
        <v>9166</v>
      </c>
      <c r="D292" s="21" t="s">
        <v>9153</v>
      </c>
      <c r="E292" s="21" t="s">
        <v>9154</v>
      </c>
      <c r="F292" s="268" t="s">
        <v>9155</v>
      </c>
      <c r="G292" s="21" t="s">
        <v>9156</v>
      </c>
      <c r="H292" s="21" t="s">
        <v>5958</v>
      </c>
      <c r="I292" s="21" t="s">
        <v>9164</v>
      </c>
      <c r="J292" s="21" t="s">
        <v>8911</v>
      </c>
      <c r="K292" s="261">
        <v>46034.0</v>
      </c>
      <c r="L292" s="261">
        <v>46048.0</v>
      </c>
      <c r="M292" s="21" t="s">
        <v>9485</v>
      </c>
      <c r="N292" s="21" t="s">
        <v>22</v>
      </c>
      <c r="O292" s="260"/>
      <c r="P292" s="260"/>
      <c r="Q292" s="260"/>
      <c r="R292" s="260"/>
      <c r="S292" s="260"/>
      <c r="T292" s="260"/>
      <c r="U292" s="260"/>
      <c r="V292" s="260"/>
      <c r="W292" s="260"/>
      <c r="X292" s="260"/>
      <c r="Y292" s="260"/>
      <c r="Z292" s="260"/>
    </row>
    <row r="293">
      <c r="A293" s="267">
        <v>45992.0</v>
      </c>
      <c r="B293" s="21" t="s">
        <v>2419</v>
      </c>
      <c r="C293" s="21" t="s">
        <v>9166</v>
      </c>
      <c r="D293" s="21" t="s">
        <v>9153</v>
      </c>
      <c r="E293" s="21" t="s">
        <v>9154</v>
      </c>
      <c r="F293" s="268" t="s">
        <v>9155</v>
      </c>
      <c r="G293" s="21" t="s">
        <v>9156</v>
      </c>
      <c r="H293" s="21" t="s">
        <v>5958</v>
      </c>
      <c r="I293" s="21" t="s">
        <v>9164</v>
      </c>
      <c r="J293" s="21" t="s">
        <v>8911</v>
      </c>
      <c r="K293" s="261">
        <v>46034.0</v>
      </c>
      <c r="L293" s="261">
        <v>46048.0</v>
      </c>
      <c r="M293" s="21" t="s">
        <v>9486</v>
      </c>
      <c r="N293" s="21" t="s">
        <v>22</v>
      </c>
      <c r="O293" s="260"/>
      <c r="P293" s="260"/>
      <c r="Q293" s="260"/>
      <c r="R293" s="260"/>
      <c r="S293" s="260"/>
      <c r="T293" s="260"/>
      <c r="U293" s="260"/>
      <c r="V293" s="260"/>
      <c r="W293" s="260"/>
      <c r="X293" s="260"/>
      <c r="Y293" s="260"/>
      <c r="Z293" s="260"/>
    </row>
    <row r="294">
      <c r="A294" s="267">
        <v>45992.0</v>
      </c>
      <c r="B294" s="21" t="s">
        <v>2647</v>
      </c>
      <c r="C294" s="21" t="s">
        <v>9166</v>
      </c>
      <c r="D294" s="21" t="s">
        <v>9153</v>
      </c>
      <c r="E294" s="21" t="s">
        <v>9154</v>
      </c>
      <c r="F294" s="268" t="s">
        <v>9155</v>
      </c>
      <c r="G294" s="21" t="s">
        <v>9156</v>
      </c>
      <c r="H294" s="21" t="s">
        <v>5958</v>
      </c>
      <c r="I294" s="21" t="s">
        <v>9164</v>
      </c>
      <c r="J294" s="21" t="s">
        <v>8911</v>
      </c>
      <c r="K294" s="261">
        <v>46034.0</v>
      </c>
      <c r="L294" s="261">
        <v>46048.0</v>
      </c>
      <c r="M294" s="21" t="s">
        <v>9487</v>
      </c>
      <c r="N294" s="21" t="s">
        <v>22</v>
      </c>
      <c r="O294" s="260"/>
      <c r="P294" s="260"/>
      <c r="Q294" s="260"/>
      <c r="R294" s="260"/>
      <c r="S294" s="260"/>
      <c r="T294" s="260"/>
      <c r="U294" s="260"/>
      <c r="V294" s="260"/>
      <c r="W294" s="260"/>
      <c r="X294" s="260"/>
      <c r="Y294" s="260"/>
      <c r="Z294" s="260"/>
    </row>
    <row r="295">
      <c r="A295" s="267">
        <v>45992.0</v>
      </c>
      <c r="B295" s="21" t="s">
        <v>2440</v>
      </c>
      <c r="C295" s="21" t="s">
        <v>9166</v>
      </c>
      <c r="D295" s="21" t="s">
        <v>9153</v>
      </c>
      <c r="E295" s="21" t="s">
        <v>9154</v>
      </c>
      <c r="F295" s="268" t="s">
        <v>9155</v>
      </c>
      <c r="G295" s="21" t="s">
        <v>9156</v>
      </c>
      <c r="H295" s="21" t="s">
        <v>5958</v>
      </c>
      <c r="I295" s="21" t="s">
        <v>9164</v>
      </c>
      <c r="J295" s="21" t="s">
        <v>8911</v>
      </c>
      <c r="K295" s="261">
        <v>46034.0</v>
      </c>
      <c r="L295" s="261">
        <v>46048.0</v>
      </c>
      <c r="M295" s="21" t="s">
        <v>9488</v>
      </c>
      <c r="N295" s="21" t="s">
        <v>22</v>
      </c>
      <c r="O295" s="260"/>
      <c r="P295" s="260"/>
      <c r="Q295" s="260"/>
      <c r="R295" s="260"/>
      <c r="S295" s="260"/>
      <c r="T295" s="260"/>
      <c r="U295" s="260"/>
      <c r="V295" s="260"/>
      <c r="W295" s="260"/>
      <c r="X295" s="260"/>
      <c r="Y295" s="260"/>
      <c r="Z295" s="260"/>
    </row>
    <row r="296">
      <c r="A296" s="267">
        <v>45992.0</v>
      </c>
      <c r="B296" s="21" t="s">
        <v>2659</v>
      </c>
      <c r="C296" s="21" t="s">
        <v>9166</v>
      </c>
      <c r="D296" s="21" t="s">
        <v>9153</v>
      </c>
      <c r="E296" s="21" t="s">
        <v>9154</v>
      </c>
      <c r="F296" s="268" t="s">
        <v>9155</v>
      </c>
      <c r="G296" s="21" t="s">
        <v>9156</v>
      </c>
      <c r="H296" s="21" t="s">
        <v>5958</v>
      </c>
      <c r="I296" s="21" t="s">
        <v>9164</v>
      </c>
      <c r="J296" s="21" t="s">
        <v>8911</v>
      </c>
      <c r="K296" s="261">
        <v>46034.0</v>
      </c>
      <c r="L296" s="261">
        <v>46048.0</v>
      </c>
      <c r="M296" s="21" t="s">
        <v>9489</v>
      </c>
      <c r="N296" s="21" t="s">
        <v>22</v>
      </c>
      <c r="O296" s="260"/>
      <c r="P296" s="260"/>
      <c r="Q296" s="260"/>
      <c r="R296" s="260"/>
      <c r="S296" s="260"/>
      <c r="T296" s="260"/>
      <c r="U296" s="260"/>
      <c r="V296" s="260"/>
      <c r="W296" s="260"/>
      <c r="X296" s="260"/>
      <c r="Y296" s="260"/>
      <c r="Z296" s="260"/>
    </row>
    <row r="297">
      <c r="A297" s="267">
        <v>45992.0</v>
      </c>
      <c r="B297" s="21" t="s">
        <v>2864</v>
      </c>
      <c r="C297" s="21" t="s">
        <v>9166</v>
      </c>
      <c r="D297" s="21" t="s">
        <v>9153</v>
      </c>
      <c r="E297" s="21" t="s">
        <v>9154</v>
      </c>
      <c r="F297" s="268" t="s">
        <v>9155</v>
      </c>
      <c r="G297" s="21" t="s">
        <v>9156</v>
      </c>
      <c r="H297" s="21" t="s">
        <v>5958</v>
      </c>
      <c r="I297" s="21" t="s">
        <v>9164</v>
      </c>
      <c r="J297" s="21" t="s">
        <v>8911</v>
      </c>
      <c r="K297" s="261">
        <v>46034.0</v>
      </c>
      <c r="L297" s="261">
        <v>46048.0</v>
      </c>
      <c r="M297" s="21" t="s">
        <v>9490</v>
      </c>
      <c r="N297" s="21" t="s">
        <v>22</v>
      </c>
      <c r="O297" s="260"/>
      <c r="P297" s="260"/>
      <c r="Q297" s="260"/>
      <c r="R297" s="260"/>
      <c r="S297" s="260"/>
      <c r="T297" s="260"/>
      <c r="U297" s="260"/>
      <c r="V297" s="260"/>
      <c r="W297" s="260"/>
      <c r="X297" s="260"/>
      <c r="Y297" s="260"/>
      <c r="Z297" s="260"/>
    </row>
    <row r="298">
      <c r="A298" s="267">
        <v>45992.0</v>
      </c>
      <c r="B298" s="21" t="s">
        <v>2416</v>
      </c>
      <c r="C298" s="21" t="s">
        <v>9166</v>
      </c>
      <c r="D298" s="21" t="s">
        <v>9153</v>
      </c>
      <c r="E298" s="21" t="s">
        <v>9154</v>
      </c>
      <c r="F298" s="268" t="s">
        <v>9155</v>
      </c>
      <c r="G298" s="21" t="s">
        <v>9156</v>
      </c>
      <c r="H298" s="21" t="s">
        <v>5958</v>
      </c>
      <c r="I298" s="21" t="s">
        <v>9164</v>
      </c>
      <c r="J298" s="21" t="s">
        <v>8911</v>
      </c>
      <c r="K298" s="261">
        <v>46034.0</v>
      </c>
      <c r="L298" s="261">
        <v>46048.0</v>
      </c>
      <c r="M298" s="21" t="s">
        <v>9491</v>
      </c>
      <c r="N298" s="21" t="s">
        <v>22</v>
      </c>
      <c r="O298" s="260"/>
      <c r="P298" s="260"/>
      <c r="Q298" s="260"/>
      <c r="R298" s="260"/>
      <c r="S298" s="260"/>
      <c r="T298" s="260"/>
      <c r="U298" s="260"/>
      <c r="V298" s="260"/>
      <c r="W298" s="260"/>
      <c r="X298" s="260"/>
      <c r="Y298" s="260"/>
      <c r="Z298" s="260"/>
    </row>
    <row r="299">
      <c r="A299" s="267">
        <v>45992.0</v>
      </c>
      <c r="B299" s="21" t="s">
        <v>2902</v>
      </c>
      <c r="C299" s="21" t="s">
        <v>9166</v>
      </c>
      <c r="D299" s="21" t="s">
        <v>9153</v>
      </c>
      <c r="E299" s="21" t="s">
        <v>9154</v>
      </c>
      <c r="F299" s="268" t="s">
        <v>9155</v>
      </c>
      <c r="G299" s="21" t="s">
        <v>9156</v>
      </c>
      <c r="H299" s="21" t="s">
        <v>5958</v>
      </c>
      <c r="I299" s="21" t="s">
        <v>9164</v>
      </c>
      <c r="J299" s="21" t="s">
        <v>8911</v>
      </c>
      <c r="K299" s="261">
        <v>46034.0</v>
      </c>
      <c r="L299" s="261">
        <v>46048.0</v>
      </c>
      <c r="M299" s="21" t="s">
        <v>9492</v>
      </c>
      <c r="N299" s="21" t="s">
        <v>22</v>
      </c>
      <c r="O299" s="260"/>
      <c r="P299" s="260"/>
      <c r="Q299" s="260"/>
      <c r="R299" s="260"/>
      <c r="S299" s="260"/>
      <c r="T299" s="260"/>
      <c r="U299" s="260"/>
      <c r="V299" s="260"/>
      <c r="W299" s="260"/>
      <c r="X299" s="260"/>
      <c r="Y299" s="260"/>
      <c r="Z299" s="260"/>
    </row>
    <row r="300">
      <c r="A300" s="267">
        <v>45992.0</v>
      </c>
      <c r="B300" s="21" t="s">
        <v>3140</v>
      </c>
      <c r="C300" s="21" t="s">
        <v>9166</v>
      </c>
      <c r="D300" s="21" t="s">
        <v>9153</v>
      </c>
      <c r="E300" s="21" t="s">
        <v>9154</v>
      </c>
      <c r="F300" s="268" t="s">
        <v>9155</v>
      </c>
      <c r="G300" s="21" t="s">
        <v>9156</v>
      </c>
      <c r="H300" s="21" t="s">
        <v>5958</v>
      </c>
      <c r="I300" s="21" t="s">
        <v>9164</v>
      </c>
      <c r="J300" s="21" t="s">
        <v>8911</v>
      </c>
      <c r="K300" s="261">
        <v>46034.0</v>
      </c>
      <c r="L300" s="261">
        <v>46048.0</v>
      </c>
      <c r="M300" s="21" t="s">
        <v>9493</v>
      </c>
      <c r="N300" s="21" t="s">
        <v>22</v>
      </c>
      <c r="O300" s="260"/>
      <c r="P300" s="260"/>
      <c r="Q300" s="260"/>
      <c r="R300" s="260"/>
      <c r="S300" s="260"/>
      <c r="T300" s="260"/>
      <c r="U300" s="260"/>
      <c r="V300" s="260"/>
      <c r="W300" s="260"/>
      <c r="X300" s="260"/>
      <c r="Y300" s="260"/>
      <c r="Z300" s="260"/>
    </row>
    <row r="301">
      <c r="A301" s="267">
        <v>45992.0</v>
      </c>
      <c r="B301" s="21" t="s">
        <v>2426</v>
      </c>
      <c r="C301" s="21" t="s">
        <v>9166</v>
      </c>
      <c r="D301" s="21" t="s">
        <v>9153</v>
      </c>
      <c r="E301" s="21" t="s">
        <v>9154</v>
      </c>
      <c r="F301" s="268" t="s">
        <v>9155</v>
      </c>
      <c r="G301" s="21" t="s">
        <v>9156</v>
      </c>
      <c r="H301" s="21" t="s">
        <v>5958</v>
      </c>
      <c r="I301" s="21" t="s">
        <v>9164</v>
      </c>
      <c r="J301" s="21" t="s">
        <v>8911</v>
      </c>
      <c r="K301" s="261">
        <v>46034.0</v>
      </c>
      <c r="L301" s="261">
        <v>46048.0</v>
      </c>
      <c r="M301" s="21" t="s">
        <v>9494</v>
      </c>
      <c r="N301" s="21" t="s">
        <v>22</v>
      </c>
      <c r="O301" s="260"/>
      <c r="P301" s="260"/>
      <c r="Q301" s="260"/>
      <c r="R301" s="260"/>
      <c r="S301" s="260"/>
      <c r="T301" s="260"/>
      <c r="U301" s="260"/>
      <c r="V301" s="260"/>
      <c r="W301" s="260"/>
      <c r="X301" s="260"/>
      <c r="Y301" s="260"/>
      <c r="Z301" s="260"/>
    </row>
    <row r="302">
      <c r="A302" s="267">
        <v>45992.0</v>
      </c>
      <c r="B302" s="21" t="s">
        <v>2803</v>
      </c>
      <c r="C302" s="21" t="s">
        <v>9166</v>
      </c>
      <c r="D302" s="21" t="s">
        <v>9153</v>
      </c>
      <c r="E302" s="21" t="s">
        <v>9154</v>
      </c>
      <c r="F302" s="268" t="s">
        <v>9155</v>
      </c>
      <c r="G302" s="21" t="s">
        <v>9156</v>
      </c>
      <c r="H302" s="21" t="s">
        <v>5958</v>
      </c>
      <c r="I302" s="21" t="s">
        <v>9164</v>
      </c>
      <c r="J302" s="21" t="s">
        <v>8911</v>
      </c>
      <c r="K302" s="261">
        <v>46034.0</v>
      </c>
      <c r="L302" s="261">
        <v>46048.0</v>
      </c>
      <c r="M302" s="21" t="s">
        <v>9495</v>
      </c>
      <c r="N302" s="21" t="s">
        <v>22</v>
      </c>
      <c r="O302" s="260"/>
      <c r="P302" s="260"/>
      <c r="Q302" s="260"/>
      <c r="R302" s="260"/>
      <c r="S302" s="260"/>
      <c r="T302" s="260"/>
      <c r="U302" s="260"/>
      <c r="V302" s="260"/>
      <c r="W302" s="260"/>
      <c r="X302" s="260"/>
      <c r="Y302" s="260"/>
      <c r="Z302" s="260"/>
    </row>
    <row r="303">
      <c r="A303" s="267">
        <v>45992.0</v>
      </c>
      <c r="B303" s="21" t="s">
        <v>2437</v>
      </c>
      <c r="C303" s="21" t="s">
        <v>9166</v>
      </c>
      <c r="D303" s="21" t="s">
        <v>9153</v>
      </c>
      <c r="E303" s="21" t="s">
        <v>9154</v>
      </c>
      <c r="F303" s="268" t="s">
        <v>9155</v>
      </c>
      <c r="G303" s="21" t="s">
        <v>9156</v>
      </c>
      <c r="H303" s="21" t="s">
        <v>5958</v>
      </c>
      <c r="I303" s="21" t="s">
        <v>9164</v>
      </c>
      <c r="J303" s="21" t="s">
        <v>8911</v>
      </c>
      <c r="K303" s="261">
        <v>46034.0</v>
      </c>
      <c r="L303" s="261">
        <v>46048.0</v>
      </c>
      <c r="M303" s="21" t="s">
        <v>9496</v>
      </c>
      <c r="N303" s="21" t="s">
        <v>22</v>
      </c>
      <c r="O303" s="260"/>
      <c r="P303" s="260"/>
      <c r="Q303" s="260"/>
      <c r="R303" s="260"/>
      <c r="S303" s="260"/>
      <c r="T303" s="260"/>
      <c r="U303" s="260"/>
      <c r="V303" s="260"/>
      <c r="W303" s="260"/>
      <c r="X303" s="260"/>
      <c r="Y303" s="260"/>
      <c r="Z303" s="260"/>
    </row>
    <row r="304">
      <c r="A304" s="267">
        <v>45992.0</v>
      </c>
      <c r="B304" s="21" t="s">
        <v>2424</v>
      </c>
      <c r="C304" s="21" t="s">
        <v>9166</v>
      </c>
      <c r="D304" s="21" t="s">
        <v>9153</v>
      </c>
      <c r="E304" s="21" t="s">
        <v>9154</v>
      </c>
      <c r="F304" s="268" t="s">
        <v>9155</v>
      </c>
      <c r="G304" s="21" t="s">
        <v>9156</v>
      </c>
      <c r="H304" s="21" t="s">
        <v>5958</v>
      </c>
      <c r="I304" s="21" t="s">
        <v>9164</v>
      </c>
      <c r="J304" s="21" t="s">
        <v>8911</v>
      </c>
      <c r="K304" s="261">
        <v>46034.0</v>
      </c>
      <c r="L304" s="261">
        <v>46048.0</v>
      </c>
      <c r="M304" s="21" t="s">
        <v>9497</v>
      </c>
      <c r="N304" s="21" t="s">
        <v>22</v>
      </c>
      <c r="O304" s="260"/>
      <c r="P304" s="260"/>
      <c r="Q304" s="260"/>
      <c r="R304" s="260"/>
      <c r="S304" s="260"/>
      <c r="T304" s="260"/>
      <c r="U304" s="260"/>
      <c r="V304" s="260"/>
      <c r="W304" s="260"/>
      <c r="X304" s="260"/>
      <c r="Y304" s="260"/>
      <c r="Z304" s="260"/>
    </row>
    <row r="305">
      <c r="A305" s="267">
        <v>45992.0</v>
      </c>
      <c r="B305" s="21" t="s">
        <v>2803</v>
      </c>
      <c r="C305" s="21" t="s">
        <v>9166</v>
      </c>
      <c r="D305" s="21" t="s">
        <v>9153</v>
      </c>
      <c r="E305" s="21" t="s">
        <v>9154</v>
      </c>
      <c r="F305" s="268" t="s">
        <v>9155</v>
      </c>
      <c r="G305" s="21" t="s">
        <v>9156</v>
      </c>
      <c r="H305" s="21" t="s">
        <v>5958</v>
      </c>
      <c r="I305" s="21" t="s">
        <v>9164</v>
      </c>
      <c r="J305" s="21" t="s">
        <v>8911</v>
      </c>
      <c r="K305" s="261">
        <v>46034.0</v>
      </c>
      <c r="L305" s="261">
        <v>46048.0</v>
      </c>
      <c r="M305" s="21" t="s">
        <v>9498</v>
      </c>
      <c r="N305" s="21" t="s">
        <v>22</v>
      </c>
      <c r="O305" s="260"/>
      <c r="P305" s="260"/>
      <c r="Q305" s="260"/>
      <c r="R305" s="260"/>
      <c r="S305" s="260"/>
      <c r="T305" s="260"/>
      <c r="U305" s="260"/>
      <c r="V305" s="260"/>
      <c r="W305" s="260"/>
      <c r="X305" s="260"/>
      <c r="Y305" s="260"/>
      <c r="Z305" s="260"/>
    </row>
    <row r="306">
      <c r="A306" s="267">
        <v>45992.0</v>
      </c>
      <c r="B306" s="21" t="s">
        <v>2430</v>
      </c>
      <c r="C306" s="21" t="s">
        <v>9166</v>
      </c>
      <c r="D306" s="21" t="s">
        <v>9153</v>
      </c>
      <c r="E306" s="21" t="s">
        <v>9154</v>
      </c>
      <c r="F306" s="268" t="s">
        <v>9155</v>
      </c>
      <c r="G306" s="21" t="s">
        <v>9156</v>
      </c>
      <c r="H306" s="21" t="s">
        <v>5958</v>
      </c>
      <c r="I306" s="21" t="s">
        <v>9164</v>
      </c>
      <c r="J306" s="21" t="s">
        <v>8911</v>
      </c>
      <c r="K306" s="261">
        <v>46034.0</v>
      </c>
      <c r="L306" s="261">
        <v>46048.0</v>
      </c>
      <c r="M306" s="21" t="s">
        <v>9499</v>
      </c>
      <c r="N306" s="21" t="s">
        <v>22</v>
      </c>
      <c r="O306" s="260"/>
      <c r="P306" s="260"/>
      <c r="Q306" s="260"/>
      <c r="R306" s="260"/>
      <c r="S306" s="260"/>
      <c r="T306" s="260"/>
      <c r="U306" s="260"/>
      <c r="V306" s="260"/>
      <c r="W306" s="260"/>
      <c r="X306" s="260"/>
      <c r="Y306" s="260"/>
      <c r="Z306" s="260"/>
    </row>
    <row r="307">
      <c r="A307" s="267">
        <v>45992.0</v>
      </c>
      <c r="B307" s="21" t="s">
        <v>2433</v>
      </c>
      <c r="C307" s="21" t="s">
        <v>9166</v>
      </c>
      <c r="D307" s="21" t="s">
        <v>9153</v>
      </c>
      <c r="E307" s="21" t="s">
        <v>9154</v>
      </c>
      <c r="F307" s="268" t="s">
        <v>9155</v>
      </c>
      <c r="G307" s="21" t="s">
        <v>9156</v>
      </c>
      <c r="H307" s="21" t="s">
        <v>5958</v>
      </c>
      <c r="I307" s="21" t="s">
        <v>9164</v>
      </c>
      <c r="J307" s="21" t="s">
        <v>8911</v>
      </c>
      <c r="K307" s="261">
        <v>46034.0</v>
      </c>
      <c r="L307" s="261">
        <v>46048.0</v>
      </c>
      <c r="M307" s="21" t="s">
        <v>9500</v>
      </c>
      <c r="N307" s="21" t="s">
        <v>22</v>
      </c>
      <c r="O307" s="260"/>
      <c r="P307" s="260"/>
      <c r="Q307" s="260"/>
      <c r="R307" s="260"/>
      <c r="S307" s="260"/>
      <c r="T307" s="260"/>
      <c r="U307" s="260"/>
      <c r="V307" s="260"/>
      <c r="W307" s="260"/>
      <c r="X307" s="260"/>
      <c r="Y307" s="260"/>
      <c r="Z307" s="260"/>
    </row>
    <row r="308">
      <c r="A308" s="267">
        <v>45992.0</v>
      </c>
      <c r="B308" s="21" t="s">
        <v>2435</v>
      </c>
      <c r="C308" s="21" t="s">
        <v>9166</v>
      </c>
      <c r="D308" s="21" t="s">
        <v>9153</v>
      </c>
      <c r="E308" s="21" t="s">
        <v>9154</v>
      </c>
      <c r="F308" s="268" t="s">
        <v>9155</v>
      </c>
      <c r="G308" s="21" t="s">
        <v>9156</v>
      </c>
      <c r="H308" s="21" t="s">
        <v>5958</v>
      </c>
      <c r="I308" s="21" t="s">
        <v>9164</v>
      </c>
      <c r="J308" s="21" t="s">
        <v>8911</v>
      </c>
      <c r="K308" s="261">
        <v>46034.0</v>
      </c>
      <c r="L308" s="261">
        <v>46048.0</v>
      </c>
      <c r="M308" s="21" t="s">
        <v>9501</v>
      </c>
      <c r="N308" s="21" t="s">
        <v>22</v>
      </c>
      <c r="O308" s="260"/>
      <c r="P308" s="260"/>
      <c r="Q308" s="260"/>
      <c r="R308" s="260"/>
      <c r="S308" s="260"/>
      <c r="T308" s="260"/>
      <c r="U308" s="260"/>
      <c r="V308" s="260"/>
      <c r="W308" s="260"/>
      <c r="X308" s="260"/>
      <c r="Y308" s="260"/>
      <c r="Z308" s="260"/>
    </row>
    <row r="309">
      <c r="A309" s="267">
        <v>45992.0</v>
      </c>
      <c r="B309" s="21" t="s">
        <v>2942</v>
      </c>
      <c r="C309" s="21" t="s">
        <v>9166</v>
      </c>
      <c r="D309" s="21" t="s">
        <v>9153</v>
      </c>
      <c r="E309" s="21" t="s">
        <v>9154</v>
      </c>
      <c r="F309" s="268" t="s">
        <v>9155</v>
      </c>
      <c r="G309" s="21" t="s">
        <v>9156</v>
      </c>
      <c r="H309" s="21" t="s">
        <v>5958</v>
      </c>
      <c r="I309" s="21" t="s">
        <v>9164</v>
      </c>
      <c r="J309" s="21" t="s">
        <v>8911</v>
      </c>
      <c r="K309" s="261">
        <v>46034.0</v>
      </c>
      <c r="L309" s="261">
        <v>46048.0</v>
      </c>
      <c r="M309" s="21" t="s">
        <v>9502</v>
      </c>
      <c r="N309" s="21" t="s">
        <v>22</v>
      </c>
      <c r="O309" s="260"/>
      <c r="P309" s="260"/>
      <c r="Q309" s="260"/>
      <c r="R309" s="260"/>
      <c r="S309" s="260"/>
      <c r="T309" s="260"/>
      <c r="U309" s="260"/>
      <c r="V309" s="260"/>
      <c r="W309" s="260"/>
      <c r="X309" s="260"/>
      <c r="Y309" s="260"/>
      <c r="Z309" s="260"/>
    </row>
    <row r="310">
      <c r="A310" s="267">
        <v>45992.0</v>
      </c>
      <c r="B310" s="21" t="s">
        <v>2651</v>
      </c>
      <c r="C310" s="21" t="s">
        <v>9166</v>
      </c>
      <c r="D310" s="21" t="s">
        <v>9153</v>
      </c>
      <c r="E310" s="21" t="s">
        <v>9154</v>
      </c>
      <c r="F310" s="268" t="s">
        <v>9155</v>
      </c>
      <c r="G310" s="21" t="s">
        <v>9156</v>
      </c>
      <c r="H310" s="21" t="s">
        <v>5958</v>
      </c>
      <c r="I310" s="21" t="s">
        <v>9164</v>
      </c>
      <c r="J310" s="21" t="s">
        <v>8911</v>
      </c>
      <c r="K310" s="261">
        <v>46034.0</v>
      </c>
      <c r="L310" s="261">
        <v>46048.0</v>
      </c>
      <c r="M310" s="21" t="s">
        <v>9503</v>
      </c>
      <c r="N310" s="21" t="s">
        <v>22</v>
      </c>
      <c r="O310" s="260"/>
      <c r="P310" s="260"/>
      <c r="Q310" s="260"/>
      <c r="R310" s="260"/>
      <c r="S310" s="260"/>
      <c r="T310" s="260"/>
      <c r="U310" s="260"/>
      <c r="V310" s="260"/>
      <c r="W310" s="260"/>
      <c r="X310" s="260"/>
      <c r="Y310" s="260"/>
      <c r="Z310" s="260"/>
    </row>
    <row r="311">
      <c r="A311" s="267">
        <v>45992.0</v>
      </c>
      <c r="B311" s="21" t="s">
        <v>2930</v>
      </c>
      <c r="C311" s="21" t="s">
        <v>9166</v>
      </c>
      <c r="D311" s="21" t="s">
        <v>9153</v>
      </c>
      <c r="E311" s="21" t="s">
        <v>9154</v>
      </c>
      <c r="F311" s="268" t="s">
        <v>9155</v>
      </c>
      <c r="G311" s="21" t="s">
        <v>9156</v>
      </c>
      <c r="H311" s="21" t="s">
        <v>5958</v>
      </c>
      <c r="I311" s="21" t="s">
        <v>9164</v>
      </c>
      <c r="J311" s="21" t="s">
        <v>8911</v>
      </c>
      <c r="K311" s="261">
        <v>46034.0</v>
      </c>
      <c r="L311" s="261">
        <v>46048.0</v>
      </c>
      <c r="M311" s="21" t="s">
        <v>9504</v>
      </c>
      <c r="N311" s="21" t="s">
        <v>22</v>
      </c>
      <c r="O311" s="260"/>
      <c r="P311" s="260"/>
      <c r="Q311" s="260"/>
      <c r="R311" s="260"/>
      <c r="S311" s="260"/>
      <c r="T311" s="260"/>
      <c r="U311" s="260"/>
      <c r="V311" s="260"/>
      <c r="W311" s="260"/>
      <c r="X311" s="260"/>
      <c r="Y311" s="260"/>
      <c r="Z311" s="260"/>
    </row>
    <row r="312">
      <c r="A312" s="267">
        <v>45992.0</v>
      </c>
      <c r="B312" s="21" t="s">
        <v>2655</v>
      </c>
      <c r="C312" s="21" t="s">
        <v>9166</v>
      </c>
      <c r="D312" s="21" t="s">
        <v>9153</v>
      </c>
      <c r="E312" s="21" t="s">
        <v>9154</v>
      </c>
      <c r="F312" s="268" t="s">
        <v>9155</v>
      </c>
      <c r="G312" s="21" t="s">
        <v>9156</v>
      </c>
      <c r="H312" s="21" t="s">
        <v>5958</v>
      </c>
      <c r="I312" s="21" t="s">
        <v>9164</v>
      </c>
      <c r="J312" s="21" t="s">
        <v>8911</v>
      </c>
      <c r="K312" s="261">
        <v>46034.0</v>
      </c>
      <c r="L312" s="261">
        <v>46048.0</v>
      </c>
      <c r="M312" s="21" t="s">
        <v>9505</v>
      </c>
      <c r="N312" s="21" t="s">
        <v>22</v>
      </c>
      <c r="O312" s="260"/>
      <c r="P312" s="260"/>
      <c r="Q312" s="260"/>
      <c r="R312" s="260"/>
      <c r="S312" s="260"/>
      <c r="T312" s="260"/>
      <c r="U312" s="260"/>
      <c r="V312" s="260"/>
      <c r="W312" s="260"/>
      <c r="X312" s="260"/>
      <c r="Y312" s="260"/>
      <c r="Z312" s="260"/>
    </row>
    <row r="313">
      <c r="A313" s="267">
        <v>45992.0</v>
      </c>
      <c r="B313" s="21" t="s">
        <v>2428</v>
      </c>
      <c r="C313" s="21" t="s">
        <v>9166</v>
      </c>
      <c r="D313" s="21" t="s">
        <v>9153</v>
      </c>
      <c r="E313" s="21" t="s">
        <v>9154</v>
      </c>
      <c r="F313" s="268" t="s">
        <v>9155</v>
      </c>
      <c r="G313" s="21" t="s">
        <v>9156</v>
      </c>
      <c r="H313" s="21" t="s">
        <v>5958</v>
      </c>
      <c r="I313" s="21" t="s">
        <v>9164</v>
      </c>
      <c r="J313" s="21" t="s">
        <v>8911</v>
      </c>
      <c r="K313" s="261">
        <v>46034.0</v>
      </c>
      <c r="L313" s="261">
        <v>46048.0</v>
      </c>
      <c r="M313" s="21" t="s">
        <v>9506</v>
      </c>
      <c r="N313" s="21" t="s">
        <v>22</v>
      </c>
      <c r="O313" s="260"/>
      <c r="P313" s="260"/>
      <c r="Q313" s="260"/>
      <c r="R313" s="260"/>
      <c r="S313" s="260"/>
      <c r="T313" s="260"/>
      <c r="U313" s="260"/>
      <c r="V313" s="260"/>
      <c r="W313" s="260"/>
      <c r="X313" s="260"/>
      <c r="Y313" s="260"/>
      <c r="Z313" s="260"/>
    </row>
    <row r="314">
      <c r="A314" s="267">
        <v>45992.0</v>
      </c>
      <c r="B314" s="21" t="s">
        <v>2422</v>
      </c>
      <c r="C314" s="21" t="s">
        <v>9166</v>
      </c>
      <c r="D314" s="21" t="s">
        <v>9153</v>
      </c>
      <c r="E314" s="21" t="s">
        <v>9154</v>
      </c>
      <c r="F314" s="268" t="s">
        <v>9155</v>
      </c>
      <c r="G314" s="21" t="s">
        <v>9156</v>
      </c>
      <c r="H314" s="21" t="s">
        <v>5958</v>
      </c>
      <c r="I314" s="21" t="s">
        <v>9164</v>
      </c>
      <c r="J314" s="21" t="s">
        <v>8911</v>
      </c>
      <c r="K314" s="261">
        <v>46034.0</v>
      </c>
      <c r="L314" s="261">
        <v>46048.0</v>
      </c>
      <c r="M314" s="21" t="s">
        <v>9507</v>
      </c>
      <c r="N314" s="21" t="s">
        <v>22</v>
      </c>
      <c r="O314" s="260"/>
      <c r="P314" s="260"/>
      <c r="Q314" s="260"/>
      <c r="R314" s="260"/>
      <c r="S314" s="260"/>
      <c r="T314" s="260"/>
      <c r="U314" s="260"/>
      <c r="V314" s="260"/>
      <c r="W314" s="260"/>
      <c r="X314" s="260"/>
      <c r="Y314" s="260"/>
      <c r="Z314" s="260"/>
    </row>
    <row r="315">
      <c r="A315" s="267">
        <v>45992.0</v>
      </c>
      <c r="B315" s="21" t="s">
        <v>2868</v>
      </c>
      <c r="C315" s="21" t="s">
        <v>9166</v>
      </c>
      <c r="D315" s="21" t="s">
        <v>9153</v>
      </c>
      <c r="E315" s="21" t="s">
        <v>9154</v>
      </c>
      <c r="F315" s="268" t="s">
        <v>9155</v>
      </c>
      <c r="G315" s="21" t="s">
        <v>9156</v>
      </c>
      <c r="H315" s="21" t="s">
        <v>5958</v>
      </c>
      <c r="I315" s="21" t="s">
        <v>9164</v>
      </c>
      <c r="J315" s="21" t="s">
        <v>8911</v>
      </c>
      <c r="K315" s="261">
        <v>46034.0</v>
      </c>
      <c r="L315" s="261">
        <v>46048.0</v>
      </c>
      <c r="M315" s="21" t="s">
        <v>9508</v>
      </c>
      <c r="N315" s="21" t="s">
        <v>22</v>
      </c>
      <c r="O315" s="260"/>
      <c r="P315" s="260"/>
      <c r="Q315" s="260"/>
      <c r="R315" s="260"/>
      <c r="S315" s="260"/>
      <c r="T315" s="260"/>
      <c r="U315" s="260"/>
      <c r="V315" s="260"/>
      <c r="W315" s="260"/>
      <c r="X315" s="260"/>
      <c r="Y315" s="260"/>
      <c r="Z315" s="260"/>
    </row>
    <row r="316">
      <c r="A316" s="267">
        <v>45992.0</v>
      </c>
      <c r="B316" s="21" t="s">
        <v>2866</v>
      </c>
      <c r="C316" s="21" t="s">
        <v>9166</v>
      </c>
      <c r="D316" s="21" t="s">
        <v>9153</v>
      </c>
      <c r="E316" s="21" t="s">
        <v>9154</v>
      </c>
      <c r="F316" s="268" t="s">
        <v>9155</v>
      </c>
      <c r="G316" s="21" t="s">
        <v>9156</v>
      </c>
      <c r="H316" s="21" t="s">
        <v>5958</v>
      </c>
      <c r="I316" s="21" t="s">
        <v>9164</v>
      </c>
      <c r="J316" s="21" t="s">
        <v>8911</v>
      </c>
      <c r="K316" s="261">
        <v>46034.0</v>
      </c>
      <c r="L316" s="261">
        <v>46048.0</v>
      </c>
      <c r="M316" s="21" t="s">
        <v>9509</v>
      </c>
      <c r="N316" s="21" t="s">
        <v>22</v>
      </c>
      <c r="O316" s="260"/>
      <c r="P316" s="260"/>
      <c r="Q316" s="260"/>
      <c r="R316" s="260"/>
      <c r="S316" s="260"/>
      <c r="T316" s="260"/>
      <c r="U316" s="260"/>
      <c r="V316" s="260"/>
      <c r="W316" s="260"/>
      <c r="X316" s="260"/>
      <c r="Y316" s="260"/>
      <c r="Z316" s="260"/>
    </row>
    <row r="317">
      <c r="A317" s="267">
        <v>45992.0</v>
      </c>
      <c r="B317" s="21" t="s">
        <v>2583</v>
      </c>
      <c r="C317" s="21" t="s">
        <v>9166</v>
      </c>
      <c r="D317" s="21" t="s">
        <v>9153</v>
      </c>
      <c r="E317" s="21" t="s">
        <v>9154</v>
      </c>
      <c r="F317" s="268" t="s">
        <v>9155</v>
      </c>
      <c r="G317" s="21" t="s">
        <v>9156</v>
      </c>
      <c r="H317" s="21" t="s">
        <v>5958</v>
      </c>
      <c r="I317" s="21" t="s">
        <v>9164</v>
      </c>
      <c r="J317" s="21" t="s">
        <v>8911</v>
      </c>
      <c r="K317" s="261">
        <v>46034.0</v>
      </c>
      <c r="L317" s="261">
        <v>46048.0</v>
      </c>
      <c r="M317" s="21" t="s">
        <v>9510</v>
      </c>
      <c r="N317" s="21" t="s">
        <v>22</v>
      </c>
      <c r="O317" s="260"/>
      <c r="P317" s="260"/>
      <c r="Q317" s="260"/>
      <c r="R317" s="260"/>
      <c r="S317" s="260"/>
      <c r="T317" s="260"/>
      <c r="U317" s="260"/>
      <c r="V317" s="260"/>
      <c r="W317" s="260"/>
      <c r="X317" s="260"/>
      <c r="Y317" s="260"/>
      <c r="Z317" s="260"/>
    </row>
    <row r="318">
      <c r="A318" s="267">
        <v>45992.0</v>
      </c>
      <c r="B318" s="21" t="s">
        <v>2580</v>
      </c>
      <c r="C318" s="21" t="s">
        <v>9166</v>
      </c>
      <c r="D318" s="21" t="s">
        <v>9153</v>
      </c>
      <c r="E318" s="21" t="s">
        <v>9154</v>
      </c>
      <c r="F318" s="268" t="s">
        <v>9155</v>
      </c>
      <c r="G318" s="21" t="s">
        <v>9156</v>
      </c>
      <c r="H318" s="21" t="s">
        <v>5958</v>
      </c>
      <c r="I318" s="21" t="s">
        <v>9164</v>
      </c>
      <c r="J318" s="21" t="s">
        <v>8911</v>
      </c>
      <c r="K318" s="261">
        <v>46034.0</v>
      </c>
      <c r="L318" s="261">
        <v>46048.0</v>
      </c>
      <c r="M318" s="21" t="s">
        <v>9511</v>
      </c>
      <c r="N318" s="21" t="s">
        <v>22</v>
      </c>
      <c r="O318" s="260"/>
      <c r="P318" s="260"/>
      <c r="Q318" s="260"/>
      <c r="R318" s="260"/>
      <c r="S318" s="260"/>
      <c r="T318" s="260"/>
      <c r="U318" s="260"/>
      <c r="V318" s="260"/>
      <c r="W318" s="260"/>
      <c r="X318" s="260"/>
      <c r="Y318" s="260"/>
      <c r="Z318" s="260"/>
    </row>
    <row r="319">
      <c r="A319" s="267">
        <v>45992.0</v>
      </c>
      <c r="B319" s="21" t="s">
        <v>2872</v>
      </c>
      <c r="C319" s="21" t="s">
        <v>9166</v>
      </c>
      <c r="D319" s="21" t="s">
        <v>9153</v>
      </c>
      <c r="E319" s="21" t="s">
        <v>9154</v>
      </c>
      <c r="F319" s="268" t="s">
        <v>9155</v>
      </c>
      <c r="G319" s="21" t="s">
        <v>9156</v>
      </c>
      <c r="H319" s="21" t="s">
        <v>5958</v>
      </c>
      <c r="I319" s="21" t="s">
        <v>9164</v>
      </c>
      <c r="J319" s="21" t="s">
        <v>8911</v>
      </c>
      <c r="K319" s="261">
        <v>46034.0</v>
      </c>
      <c r="L319" s="261">
        <v>46048.0</v>
      </c>
      <c r="M319" s="21" t="s">
        <v>9512</v>
      </c>
      <c r="N319" s="21" t="s">
        <v>22</v>
      </c>
      <c r="O319" s="260"/>
      <c r="P319" s="260"/>
      <c r="Q319" s="260"/>
      <c r="R319" s="260"/>
      <c r="S319" s="260"/>
      <c r="T319" s="260"/>
      <c r="U319" s="260"/>
      <c r="V319" s="260"/>
      <c r="W319" s="260"/>
      <c r="X319" s="260"/>
      <c r="Y319" s="260"/>
      <c r="Z319" s="260"/>
    </row>
    <row r="320">
      <c r="A320" s="267">
        <v>45992.0</v>
      </c>
      <c r="B320" s="21" t="s">
        <v>2657</v>
      </c>
      <c r="C320" s="21" t="s">
        <v>9166</v>
      </c>
      <c r="D320" s="21" t="s">
        <v>9153</v>
      </c>
      <c r="E320" s="21" t="s">
        <v>9154</v>
      </c>
      <c r="F320" s="268" t="s">
        <v>9155</v>
      </c>
      <c r="G320" s="21" t="s">
        <v>9156</v>
      </c>
      <c r="H320" s="21" t="s">
        <v>5958</v>
      </c>
      <c r="I320" s="21" t="s">
        <v>9164</v>
      </c>
      <c r="J320" s="21" t="s">
        <v>8911</v>
      </c>
      <c r="K320" s="261">
        <v>46034.0</v>
      </c>
      <c r="L320" s="261">
        <v>46048.0</v>
      </c>
      <c r="M320" s="21" t="s">
        <v>9513</v>
      </c>
      <c r="N320" s="21" t="s">
        <v>22</v>
      </c>
      <c r="O320" s="260"/>
      <c r="P320" s="260"/>
      <c r="Q320" s="260"/>
      <c r="R320" s="260"/>
      <c r="S320" s="260"/>
      <c r="T320" s="260"/>
      <c r="U320" s="260"/>
      <c r="V320" s="260"/>
      <c r="W320" s="260"/>
      <c r="X320" s="260"/>
      <c r="Y320" s="260"/>
      <c r="Z320" s="260"/>
    </row>
    <row r="321">
      <c r="A321" s="267">
        <v>45992.0</v>
      </c>
      <c r="B321" s="21" t="s">
        <v>2653</v>
      </c>
      <c r="C321" s="21" t="s">
        <v>9166</v>
      </c>
      <c r="D321" s="21" t="s">
        <v>9153</v>
      </c>
      <c r="E321" s="21" t="s">
        <v>9154</v>
      </c>
      <c r="F321" s="268" t="s">
        <v>9155</v>
      </c>
      <c r="G321" s="21" t="s">
        <v>9156</v>
      </c>
      <c r="H321" s="21" t="s">
        <v>5958</v>
      </c>
      <c r="I321" s="21" t="s">
        <v>9164</v>
      </c>
      <c r="J321" s="21" t="s">
        <v>8911</v>
      </c>
      <c r="K321" s="261">
        <v>46034.0</v>
      </c>
      <c r="L321" s="261">
        <v>46048.0</v>
      </c>
      <c r="M321" s="21" t="s">
        <v>9514</v>
      </c>
      <c r="N321" s="21" t="s">
        <v>22</v>
      </c>
      <c r="O321" s="260"/>
      <c r="P321" s="260"/>
      <c r="Q321" s="260"/>
      <c r="R321" s="260"/>
      <c r="S321" s="260"/>
      <c r="T321" s="260"/>
      <c r="U321" s="260"/>
      <c r="V321" s="260"/>
      <c r="W321" s="260"/>
      <c r="X321" s="260"/>
      <c r="Y321" s="260"/>
      <c r="Z321" s="260"/>
    </row>
    <row r="322">
      <c r="A322" s="267">
        <v>45992.0</v>
      </c>
      <c r="B322" s="21" t="s">
        <v>2801</v>
      </c>
      <c r="C322" s="21" t="s">
        <v>9166</v>
      </c>
      <c r="D322" s="21" t="s">
        <v>9153</v>
      </c>
      <c r="E322" s="21" t="s">
        <v>9154</v>
      </c>
      <c r="F322" s="268" t="s">
        <v>9155</v>
      </c>
      <c r="G322" s="21" t="s">
        <v>9156</v>
      </c>
      <c r="H322" s="21" t="s">
        <v>5958</v>
      </c>
      <c r="I322" s="21" t="s">
        <v>9164</v>
      </c>
      <c r="J322" s="21" t="s">
        <v>8911</v>
      </c>
      <c r="K322" s="261">
        <v>46034.0</v>
      </c>
      <c r="L322" s="261">
        <v>46048.0</v>
      </c>
      <c r="M322" s="21" t="s">
        <v>9515</v>
      </c>
      <c r="N322" s="21" t="s">
        <v>22</v>
      </c>
      <c r="O322" s="260"/>
      <c r="P322" s="260"/>
      <c r="Q322" s="260"/>
      <c r="R322" s="260"/>
      <c r="S322" s="260"/>
      <c r="T322" s="260"/>
      <c r="U322" s="260"/>
      <c r="V322" s="260"/>
      <c r="W322" s="260"/>
      <c r="X322" s="260"/>
      <c r="Y322" s="260"/>
      <c r="Z322" s="260"/>
    </row>
    <row r="323">
      <c r="A323" s="267">
        <v>45992.0</v>
      </c>
      <c r="B323" s="21" t="s">
        <v>2913</v>
      </c>
      <c r="C323" s="21" t="s">
        <v>9166</v>
      </c>
      <c r="D323" s="21" t="s">
        <v>9153</v>
      </c>
      <c r="E323" s="21" t="s">
        <v>9154</v>
      </c>
      <c r="F323" s="268" t="s">
        <v>9155</v>
      </c>
      <c r="G323" s="21" t="s">
        <v>9156</v>
      </c>
      <c r="H323" s="21" t="s">
        <v>5958</v>
      </c>
      <c r="I323" s="21" t="s">
        <v>9164</v>
      </c>
      <c r="J323" s="21" t="s">
        <v>8911</v>
      </c>
      <c r="K323" s="261">
        <v>46034.0</v>
      </c>
      <c r="L323" s="261">
        <v>46048.0</v>
      </c>
      <c r="M323" s="21" t="s">
        <v>9516</v>
      </c>
      <c r="N323" s="21" t="s">
        <v>22</v>
      </c>
      <c r="O323" s="260"/>
      <c r="P323" s="260"/>
      <c r="Q323" s="260"/>
      <c r="R323" s="260"/>
      <c r="S323" s="260"/>
      <c r="T323" s="260"/>
      <c r="U323" s="260"/>
      <c r="V323" s="260"/>
      <c r="W323" s="260"/>
      <c r="X323" s="260"/>
      <c r="Y323" s="260"/>
      <c r="Z323" s="260"/>
    </row>
    <row r="324">
      <c r="A324" s="267">
        <v>45992.0</v>
      </c>
      <c r="B324" s="21" t="s">
        <v>3207</v>
      </c>
      <c r="C324" s="21" t="s">
        <v>9166</v>
      </c>
      <c r="D324" s="21" t="s">
        <v>9153</v>
      </c>
      <c r="E324" s="21" t="s">
        <v>9154</v>
      </c>
      <c r="F324" s="268" t="s">
        <v>9155</v>
      </c>
      <c r="G324" s="21" t="s">
        <v>9156</v>
      </c>
      <c r="H324" s="21" t="s">
        <v>5958</v>
      </c>
      <c r="I324" s="21" t="s">
        <v>9164</v>
      </c>
      <c r="J324" s="21" t="s">
        <v>8911</v>
      </c>
      <c r="K324" s="261">
        <v>46034.0</v>
      </c>
      <c r="L324" s="261">
        <v>46048.0</v>
      </c>
      <c r="M324" s="21" t="s">
        <v>9517</v>
      </c>
      <c r="N324" s="21" t="s">
        <v>22</v>
      </c>
      <c r="O324" s="260"/>
      <c r="P324" s="260"/>
      <c r="Q324" s="260"/>
      <c r="R324" s="260"/>
      <c r="S324" s="260"/>
      <c r="T324" s="260"/>
      <c r="U324" s="260"/>
      <c r="V324" s="260"/>
      <c r="W324" s="260"/>
      <c r="X324" s="260"/>
      <c r="Y324" s="260"/>
      <c r="Z324" s="260"/>
    </row>
    <row r="325">
      <c r="A325" s="267">
        <v>45999.0</v>
      </c>
      <c r="B325" s="21" t="s">
        <v>2861</v>
      </c>
      <c r="C325" s="21" t="s">
        <v>9166</v>
      </c>
      <c r="D325" s="21" t="s">
        <v>9153</v>
      </c>
      <c r="E325" s="21" t="s">
        <v>9154</v>
      </c>
      <c r="F325" s="268" t="s">
        <v>9155</v>
      </c>
      <c r="G325" s="21" t="s">
        <v>9156</v>
      </c>
      <c r="H325" s="21" t="s">
        <v>5958</v>
      </c>
      <c r="I325" s="21" t="s">
        <v>9164</v>
      </c>
      <c r="J325" s="21" t="s">
        <v>9333</v>
      </c>
      <c r="K325" s="261">
        <v>46041.0</v>
      </c>
      <c r="L325" s="261">
        <v>46055.0</v>
      </c>
      <c r="M325" s="21" t="s">
        <v>9518</v>
      </c>
      <c r="N325" s="21" t="s">
        <v>22</v>
      </c>
      <c r="O325" s="260"/>
      <c r="P325" s="260"/>
      <c r="Q325" s="260"/>
      <c r="R325" s="260"/>
      <c r="S325" s="260"/>
      <c r="T325" s="260"/>
      <c r="U325" s="260"/>
      <c r="V325" s="260"/>
      <c r="W325" s="260"/>
      <c r="X325" s="260"/>
      <c r="Y325" s="260"/>
      <c r="Z325" s="260"/>
    </row>
    <row r="326">
      <c r="A326" s="267">
        <v>45999.0</v>
      </c>
      <c r="B326" s="21" t="s">
        <v>3412</v>
      </c>
      <c r="C326" s="21" t="s">
        <v>9166</v>
      </c>
      <c r="D326" s="21" t="s">
        <v>9153</v>
      </c>
      <c r="E326" s="21" t="s">
        <v>9154</v>
      </c>
      <c r="F326" s="268" t="s">
        <v>9155</v>
      </c>
      <c r="G326" s="21" t="s">
        <v>9156</v>
      </c>
      <c r="H326" s="21" t="s">
        <v>5958</v>
      </c>
      <c r="I326" s="21" t="s">
        <v>9164</v>
      </c>
      <c r="J326" s="21" t="s">
        <v>9333</v>
      </c>
      <c r="K326" s="261">
        <v>46041.0</v>
      </c>
      <c r="L326" s="261">
        <v>46055.0</v>
      </c>
      <c r="M326" s="21" t="s">
        <v>9519</v>
      </c>
      <c r="N326" s="21" t="s">
        <v>22</v>
      </c>
      <c r="O326" s="260"/>
      <c r="P326" s="260"/>
      <c r="Q326" s="260"/>
      <c r="R326" s="260"/>
      <c r="S326" s="260"/>
      <c r="T326" s="260"/>
      <c r="U326" s="260"/>
      <c r="V326" s="260"/>
      <c r="W326" s="260"/>
      <c r="X326" s="260"/>
      <c r="Y326" s="260"/>
      <c r="Z326" s="260"/>
    </row>
    <row r="327">
      <c r="A327" s="267">
        <v>45999.0</v>
      </c>
      <c r="B327" s="21" t="s">
        <v>3400</v>
      </c>
      <c r="C327" s="21" t="s">
        <v>9166</v>
      </c>
      <c r="D327" s="21" t="s">
        <v>9153</v>
      </c>
      <c r="E327" s="21" t="s">
        <v>9154</v>
      </c>
      <c r="F327" s="268" t="s">
        <v>9155</v>
      </c>
      <c r="G327" s="21" t="s">
        <v>9156</v>
      </c>
      <c r="H327" s="21" t="s">
        <v>5958</v>
      </c>
      <c r="I327" s="21" t="s">
        <v>9164</v>
      </c>
      <c r="J327" s="21" t="s">
        <v>9333</v>
      </c>
      <c r="K327" s="261">
        <v>46041.0</v>
      </c>
      <c r="L327" s="261">
        <v>46055.0</v>
      </c>
      <c r="M327" s="21" t="s">
        <v>9520</v>
      </c>
      <c r="N327" s="21" t="s">
        <v>22</v>
      </c>
      <c r="O327" s="260"/>
      <c r="P327" s="260"/>
      <c r="Q327" s="260"/>
      <c r="R327" s="260"/>
      <c r="S327" s="260"/>
      <c r="T327" s="260"/>
      <c r="U327" s="260"/>
      <c r="V327" s="260"/>
      <c r="W327" s="260"/>
      <c r="X327" s="260"/>
      <c r="Y327" s="260"/>
      <c r="Z327" s="260"/>
    </row>
    <row r="328">
      <c r="A328" s="267">
        <v>45999.0</v>
      </c>
      <c r="B328" s="21" t="s">
        <v>1769</v>
      </c>
      <c r="C328" s="21" t="s">
        <v>9166</v>
      </c>
      <c r="D328" s="21" t="s">
        <v>9153</v>
      </c>
      <c r="E328" s="21" t="s">
        <v>9154</v>
      </c>
      <c r="F328" s="268" t="s">
        <v>9155</v>
      </c>
      <c r="G328" s="21" t="s">
        <v>9156</v>
      </c>
      <c r="H328" s="21" t="s">
        <v>5958</v>
      </c>
      <c r="I328" s="21" t="s">
        <v>9164</v>
      </c>
      <c r="J328" s="21" t="s">
        <v>9333</v>
      </c>
      <c r="K328" s="261">
        <v>46041.0</v>
      </c>
      <c r="L328" s="261">
        <v>46055.0</v>
      </c>
      <c r="M328" s="21" t="s">
        <v>9521</v>
      </c>
      <c r="N328" s="21" t="s">
        <v>22</v>
      </c>
      <c r="O328" s="260"/>
      <c r="P328" s="260"/>
      <c r="Q328" s="260"/>
      <c r="R328" s="260"/>
      <c r="S328" s="260"/>
      <c r="T328" s="260"/>
      <c r="U328" s="260"/>
      <c r="V328" s="260"/>
      <c r="W328" s="260"/>
      <c r="X328" s="260"/>
      <c r="Y328" s="260"/>
      <c r="Z328" s="260"/>
    </row>
    <row r="329">
      <c r="A329" s="267">
        <v>45999.0</v>
      </c>
      <c r="B329" s="21" t="s">
        <v>2550</v>
      </c>
      <c r="C329" s="21" t="s">
        <v>9166</v>
      </c>
      <c r="D329" s="21" t="s">
        <v>9153</v>
      </c>
      <c r="E329" s="21" t="s">
        <v>9154</v>
      </c>
      <c r="F329" s="268" t="s">
        <v>9155</v>
      </c>
      <c r="G329" s="21" t="s">
        <v>9156</v>
      </c>
      <c r="H329" s="21" t="s">
        <v>5958</v>
      </c>
      <c r="I329" s="21" t="s">
        <v>9157</v>
      </c>
      <c r="J329" s="21" t="s">
        <v>9333</v>
      </c>
      <c r="K329" s="261">
        <v>46041.0</v>
      </c>
      <c r="L329" s="261">
        <v>46055.0</v>
      </c>
      <c r="M329" s="21" t="s">
        <v>9522</v>
      </c>
      <c r="N329" s="21" t="s">
        <v>22</v>
      </c>
      <c r="O329" s="260"/>
      <c r="P329" s="260"/>
      <c r="Q329" s="260"/>
      <c r="R329" s="260"/>
      <c r="S329" s="260"/>
      <c r="T329" s="260"/>
      <c r="U329" s="260"/>
      <c r="V329" s="260"/>
      <c r="W329" s="260"/>
      <c r="X329" s="260"/>
      <c r="Y329" s="260"/>
      <c r="Z329" s="260"/>
    </row>
    <row r="330">
      <c r="A330" s="267">
        <v>45999.0</v>
      </c>
      <c r="B330" s="21" t="s">
        <v>2936</v>
      </c>
      <c r="C330" s="21" t="s">
        <v>9166</v>
      </c>
      <c r="D330" s="21" t="s">
        <v>9153</v>
      </c>
      <c r="E330" s="21" t="s">
        <v>9154</v>
      </c>
      <c r="F330" s="268" t="s">
        <v>9155</v>
      </c>
      <c r="G330" s="21" t="s">
        <v>9156</v>
      </c>
      <c r="H330" s="21" t="s">
        <v>5958</v>
      </c>
      <c r="I330" s="21" t="s">
        <v>9164</v>
      </c>
      <c r="J330" s="21" t="s">
        <v>9333</v>
      </c>
      <c r="K330" s="261">
        <v>46041.0</v>
      </c>
      <c r="L330" s="261">
        <v>46055.0</v>
      </c>
      <c r="M330" s="21" t="s">
        <v>9523</v>
      </c>
      <c r="N330" s="21" t="s">
        <v>22</v>
      </c>
      <c r="O330" s="260"/>
      <c r="P330" s="260"/>
      <c r="Q330" s="260"/>
      <c r="R330" s="260"/>
      <c r="S330" s="260"/>
      <c r="T330" s="260"/>
      <c r="U330" s="260"/>
      <c r="V330" s="260"/>
      <c r="W330" s="260"/>
      <c r="X330" s="260"/>
      <c r="Y330" s="260"/>
      <c r="Z330" s="260"/>
    </row>
    <row r="331">
      <c r="A331" s="267">
        <v>45999.0</v>
      </c>
      <c r="B331" s="21" t="s">
        <v>2939</v>
      </c>
      <c r="C331" s="21" t="s">
        <v>9166</v>
      </c>
      <c r="D331" s="21" t="s">
        <v>9153</v>
      </c>
      <c r="E331" s="21" t="s">
        <v>9154</v>
      </c>
      <c r="F331" s="268" t="s">
        <v>9155</v>
      </c>
      <c r="G331" s="21" t="s">
        <v>9156</v>
      </c>
      <c r="H331" s="21" t="s">
        <v>5958</v>
      </c>
      <c r="I331" s="21" t="s">
        <v>9164</v>
      </c>
      <c r="J331" s="21" t="s">
        <v>9333</v>
      </c>
      <c r="K331" s="261">
        <v>46041.0</v>
      </c>
      <c r="L331" s="261">
        <v>46055.0</v>
      </c>
      <c r="M331" s="21" t="s">
        <v>9524</v>
      </c>
      <c r="N331" s="21" t="s">
        <v>22</v>
      </c>
      <c r="O331" s="260"/>
      <c r="P331" s="260"/>
      <c r="Q331" s="260"/>
      <c r="R331" s="260"/>
      <c r="S331" s="260"/>
      <c r="T331" s="260"/>
      <c r="U331" s="260"/>
      <c r="V331" s="260"/>
      <c r="W331" s="260"/>
      <c r="X331" s="260"/>
      <c r="Y331" s="260"/>
      <c r="Z331" s="260"/>
    </row>
    <row r="332">
      <c r="A332" s="267">
        <v>45999.0</v>
      </c>
      <c r="B332" s="21" t="s">
        <v>1544</v>
      </c>
      <c r="C332" s="21" t="s">
        <v>9166</v>
      </c>
      <c r="D332" s="21" t="s">
        <v>9153</v>
      </c>
      <c r="E332" s="21" t="s">
        <v>9154</v>
      </c>
      <c r="F332" s="268" t="s">
        <v>9155</v>
      </c>
      <c r="G332" s="21" t="s">
        <v>9156</v>
      </c>
      <c r="H332" s="21" t="s">
        <v>5958</v>
      </c>
      <c r="I332" s="21" t="s">
        <v>9164</v>
      </c>
      <c r="J332" s="21" t="s">
        <v>9333</v>
      </c>
      <c r="K332" s="261">
        <v>46041.0</v>
      </c>
      <c r="L332" s="261">
        <v>46055.0</v>
      </c>
      <c r="M332" s="21" t="s">
        <v>9525</v>
      </c>
      <c r="N332" s="21" t="s">
        <v>22</v>
      </c>
      <c r="O332" s="260"/>
      <c r="P332" s="260"/>
      <c r="Q332" s="260"/>
      <c r="R332" s="260"/>
      <c r="S332" s="260"/>
      <c r="T332" s="260"/>
      <c r="U332" s="260"/>
      <c r="V332" s="260"/>
      <c r="W332" s="260"/>
      <c r="X332" s="260"/>
      <c r="Y332" s="260"/>
      <c r="Z332" s="260"/>
    </row>
    <row r="333">
      <c r="A333" s="267">
        <v>45999.0</v>
      </c>
      <c r="B333" s="21" t="s">
        <v>1908</v>
      </c>
      <c r="C333" s="21" t="s">
        <v>9166</v>
      </c>
      <c r="D333" s="21" t="s">
        <v>9153</v>
      </c>
      <c r="E333" s="21" t="s">
        <v>9154</v>
      </c>
      <c r="F333" s="268" t="s">
        <v>9155</v>
      </c>
      <c r="G333" s="21" t="s">
        <v>9231</v>
      </c>
      <c r="H333" s="21" t="s">
        <v>5967</v>
      </c>
      <c r="I333" s="21" t="s">
        <v>9164</v>
      </c>
      <c r="J333" s="21" t="s">
        <v>9333</v>
      </c>
      <c r="K333" s="261">
        <v>46041.0</v>
      </c>
      <c r="L333" s="261">
        <v>46055.0</v>
      </c>
      <c r="M333" s="21" t="s">
        <v>9526</v>
      </c>
      <c r="N333" s="21" t="s">
        <v>22</v>
      </c>
      <c r="O333" s="260"/>
      <c r="P333" s="260"/>
      <c r="Q333" s="260"/>
      <c r="R333" s="260"/>
      <c r="S333" s="260"/>
      <c r="T333" s="260"/>
      <c r="U333" s="260"/>
      <c r="V333" s="260"/>
      <c r="W333" s="260"/>
      <c r="X333" s="260"/>
      <c r="Y333" s="260"/>
      <c r="Z333" s="260"/>
    </row>
    <row r="334">
      <c r="A334" s="267">
        <v>45999.0</v>
      </c>
      <c r="B334" s="21" t="s">
        <v>2700</v>
      </c>
      <c r="C334" s="21" t="s">
        <v>9166</v>
      </c>
      <c r="D334" s="21" t="s">
        <v>9153</v>
      </c>
      <c r="E334" s="21" t="s">
        <v>9154</v>
      </c>
      <c r="F334" s="268" t="s">
        <v>9155</v>
      </c>
      <c r="G334" s="21" t="s">
        <v>9231</v>
      </c>
      <c r="H334" s="21" t="s">
        <v>5967</v>
      </c>
      <c r="I334" s="21" t="s">
        <v>9164</v>
      </c>
      <c r="J334" s="21" t="s">
        <v>9333</v>
      </c>
      <c r="K334" s="261">
        <v>46041.0</v>
      </c>
      <c r="L334" s="261">
        <v>46055.0</v>
      </c>
      <c r="M334" s="21" t="s">
        <v>9527</v>
      </c>
      <c r="N334" s="21" t="s">
        <v>22</v>
      </c>
      <c r="O334" s="260"/>
      <c r="P334" s="260"/>
      <c r="Q334" s="260"/>
      <c r="R334" s="260"/>
      <c r="S334" s="260"/>
      <c r="T334" s="260"/>
      <c r="U334" s="260"/>
      <c r="V334" s="260"/>
      <c r="W334" s="260"/>
      <c r="X334" s="260"/>
      <c r="Y334" s="260"/>
      <c r="Z334" s="260"/>
    </row>
    <row r="335">
      <c r="A335" s="267">
        <v>45999.0</v>
      </c>
      <c r="B335" s="21" t="s">
        <v>1778</v>
      </c>
      <c r="C335" s="21" t="s">
        <v>9166</v>
      </c>
      <c r="D335" s="21" t="s">
        <v>9153</v>
      </c>
      <c r="E335" s="21" t="s">
        <v>9154</v>
      </c>
      <c r="F335" s="268" t="s">
        <v>9155</v>
      </c>
      <c r="G335" s="21" t="s">
        <v>9231</v>
      </c>
      <c r="H335" s="21" t="s">
        <v>5967</v>
      </c>
      <c r="I335" s="21" t="s">
        <v>9164</v>
      </c>
      <c r="J335" s="21" t="s">
        <v>9333</v>
      </c>
      <c r="K335" s="261">
        <v>46041.0</v>
      </c>
      <c r="L335" s="261">
        <v>46055.0</v>
      </c>
      <c r="M335" s="21" t="s">
        <v>9528</v>
      </c>
      <c r="N335" s="21" t="s">
        <v>22</v>
      </c>
      <c r="O335" s="260"/>
      <c r="P335" s="260"/>
      <c r="Q335" s="260"/>
      <c r="R335" s="260"/>
      <c r="S335" s="260"/>
      <c r="T335" s="260"/>
      <c r="U335" s="260"/>
      <c r="V335" s="260"/>
      <c r="W335" s="260"/>
      <c r="X335" s="260"/>
      <c r="Y335" s="260"/>
      <c r="Z335" s="260"/>
    </row>
    <row r="336">
      <c r="A336" s="267">
        <v>45999.0</v>
      </c>
      <c r="B336" s="21" t="s">
        <v>2764</v>
      </c>
      <c r="C336" s="21" t="s">
        <v>9166</v>
      </c>
      <c r="D336" s="21" t="s">
        <v>9153</v>
      </c>
      <c r="E336" s="21" t="s">
        <v>9154</v>
      </c>
      <c r="F336" s="268" t="s">
        <v>9155</v>
      </c>
      <c r="G336" s="21" t="s">
        <v>9231</v>
      </c>
      <c r="H336" s="21" t="s">
        <v>5967</v>
      </c>
      <c r="I336" s="21" t="s">
        <v>9164</v>
      </c>
      <c r="J336" s="21" t="s">
        <v>9333</v>
      </c>
      <c r="K336" s="261">
        <v>46041.0</v>
      </c>
      <c r="L336" s="261">
        <v>46055.0</v>
      </c>
      <c r="M336" s="21" t="s">
        <v>9529</v>
      </c>
      <c r="N336" s="21" t="s">
        <v>22</v>
      </c>
      <c r="O336" s="260"/>
      <c r="P336" s="260"/>
      <c r="Q336" s="260"/>
      <c r="R336" s="260"/>
      <c r="S336" s="260"/>
      <c r="T336" s="260"/>
      <c r="U336" s="260"/>
      <c r="V336" s="260"/>
      <c r="W336" s="260"/>
      <c r="X336" s="260"/>
      <c r="Y336" s="260"/>
      <c r="Z336" s="260"/>
    </row>
    <row r="337">
      <c r="A337" s="267">
        <v>45999.0</v>
      </c>
      <c r="B337" s="21" t="s">
        <v>2762</v>
      </c>
      <c r="C337" s="21" t="s">
        <v>9166</v>
      </c>
      <c r="D337" s="21" t="s">
        <v>9153</v>
      </c>
      <c r="E337" s="21" t="s">
        <v>9154</v>
      </c>
      <c r="F337" s="268" t="s">
        <v>9155</v>
      </c>
      <c r="G337" s="21" t="s">
        <v>9231</v>
      </c>
      <c r="H337" s="21" t="s">
        <v>5967</v>
      </c>
      <c r="I337" s="21" t="s">
        <v>9164</v>
      </c>
      <c r="J337" s="21" t="s">
        <v>9333</v>
      </c>
      <c r="K337" s="261">
        <v>46041.0</v>
      </c>
      <c r="L337" s="261">
        <v>46055.0</v>
      </c>
      <c r="M337" s="21" t="s">
        <v>9530</v>
      </c>
      <c r="N337" s="21" t="s">
        <v>22</v>
      </c>
      <c r="O337" s="260"/>
      <c r="P337" s="260"/>
      <c r="Q337" s="260"/>
      <c r="R337" s="260"/>
      <c r="S337" s="260"/>
      <c r="T337" s="260"/>
      <c r="U337" s="260"/>
      <c r="V337" s="260"/>
      <c r="W337" s="260"/>
      <c r="X337" s="260"/>
      <c r="Y337" s="260"/>
      <c r="Z337" s="260"/>
    </row>
    <row r="338">
      <c r="A338" s="267">
        <v>45999.0</v>
      </c>
      <c r="B338" s="21" t="s">
        <v>1781</v>
      </c>
      <c r="C338" s="21" t="s">
        <v>9166</v>
      </c>
      <c r="D338" s="21" t="s">
        <v>9153</v>
      </c>
      <c r="E338" s="21" t="s">
        <v>9154</v>
      </c>
      <c r="F338" s="268" t="s">
        <v>9155</v>
      </c>
      <c r="G338" s="21" t="s">
        <v>9231</v>
      </c>
      <c r="H338" s="21" t="s">
        <v>5967</v>
      </c>
      <c r="I338" s="21" t="s">
        <v>9164</v>
      </c>
      <c r="J338" s="21" t="s">
        <v>9333</v>
      </c>
      <c r="K338" s="261">
        <v>46041.0</v>
      </c>
      <c r="L338" s="261">
        <v>46055.0</v>
      </c>
      <c r="M338" s="21" t="s">
        <v>9531</v>
      </c>
      <c r="N338" s="21" t="s">
        <v>22</v>
      </c>
      <c r="O338" s="260"/>
      <c r="P338" s="260"/>
      <c r="Q338" s="260"/>
      <c r="R338" s="260"/>
      <c r="S338" s="260"/>
      <c r="T338" s="260"/>
      <c r="U338" s="260"/>
      <c r="V338" s="260"/>
      <c r="W338" s="260"/>
      <c r="X338" s="260"/>
      <c r="Y338" s="260"/>
      <c r="Z338" s="260"/>
    </row>
    <row r="339">
      <c r="A339" s="267">
        <v>45929.0</v>
      </c>
      <c r="B339" s="21" t="s">
        <v>3545</v>
      </c>
      <c r="C339" s="21" t="s">
        <v>9166</v>
      </c>
      <c r="D339" s="21" t="s">
        <v>9153</v>
      </c>
      <c r="E339" s="21" t="s">
        <v>9154</v>
      </c>
      <c r="F339" s="268" t="s">
        <v>9155</v>
      </c>
      <c r="G339" s="21" t="s">
        <v>9163</v>
      </c>
      <c r="H339" s="21" t="s">
        <v>5970</v>
      </c>
      <c r="I339" s="21" t="s">
        <v>9164</v>
      </c>
      <c r="J339" s="21" t="s">
        <v>8911</v>
      </c>
      <c r="K339" s="261">
        <v>45971.0</v>
      </c>
      <c r="L339" s="261">
        <v>45985.0</v>
      </c>
      <c r="M339" s="21" t="s">
        <v>9532</v>
      </c>
      <c r="N339" s="21" t="s">
        <v>22</v>
      </c>
      <c r="O339" s="260"/>
      <c r="P339" s="260"/>
      <c r="Q339" s="260"/>
      <c r="R339" s="260"/>
      <c r="S339" s="260"/>
      <c r="T339" s="260"/>
      <c r="U339" s="260"/>
      <c r="V339" s="260"/>
      <c r="W339" s="260"/>
      <c r="X339" s="260"/>
      <c r="Y339" s="260"/>
      <c r="Z339" s="260"/>
    </row>
    <row r="340">
      <c r="A340" s="267">
        <v>45999.0</v>
      </c>
      <c r="B340" s="21" t="s">
        <v>2766</v>
      </c>
      <c r="C340" s="21" t="s">
        <v>9166</v>
      </c>
      <c r="D340" s="21" t="s">
        <v>9153</v>
      </c>
      <c r="E340" s="21" t="s">
        <v>9154</v>
      </c>
      <c r="F340" s="268" t="s">
        <v>9155</v>
      </c>
      <c r="G340" s="21" t="s">
        <v>9231</v>
      </c>
      <c r="H340" s="21" t="s">
        <v>5967</v>
      </c>
      <c r="I340" s="21" t="s">
        <v>9164</v>
      </c>
      <c r="J340" s="21" t="s">
        <v>9333</v>
      </c>
      <c r="K340" s="261">
        <v>46041.0</v>
      </c>
      <c r="L340" s="261">
        <v>46055.0</v>
      </c>
      <c r="M340" s="21" t="s">
        <v>9533</v>
      </c>
      <c r="N340" s="21" t="s">
        <v>22</v>
      </c>
      <c r="O340" s="260"/>
      <c r="P340" s="260"/>
      <c r="Q340" s="260"/>
      <c r="R340" s="260"/>
      <c r="S340" s="260"/>
      <c r="T340" s="260"/>
      <c r="U340" s="260"/>
      <c r="V340" s="260"/>
      <c r="W340" s="260"/>
      <c r="X340" s="260"/>
      <c r="Y340" s="260"/>
      <c r="Z340" s="260"/>
    </row>
    <row r="341">
      <c r="A341" s="267">
        <v>45999.0</v>
      </c>
      <c r="B341" s="21" t="s">
        <v>1778</v>
      </c>
      <c r="C341" s="21" t="s">
        <v>9166</v>
      </c>
      <c r="D341" s="21" t="s">
        <v>9153</v>
      </c>
      <c r="E341" s="21" t="s">
        <v>9154</v>
      </c>
      <c r="F341" s="268" t="s">
        <v>9155</v>
      </c>
      <c r="G341" s="21" t="s">
        <v>9231</v>
      </c>
      <c r="H341" s="21" t="s">
        <v>5967</v>
      </c>
      <c r="I341" s="21" t="s">
        <v>9164</v>
      </c>
      <c r="J341" s="21" t="s">
        <v>9333</v>
      </c>
      <c r="K341" s="261">
        <v>46041.0</v>
      </c>
      <c r="L341" s="261">
        <v>46055.0</v>
      </c>
      <c r="M341" s="21" t="s">
        <v>9534</v>
      </c>
      <c r="N341" s="21" t="s">
        <v>22</v>
      </c>
      <c r="O341" s="260"/>
      <c r="P341" s="260"/>
      <c r="Q341" s="260"/>
      <c r="R341" s="260"/>
      <c r="S341" s="260"/>
      <c r="T341" s="260"/>
      <c r="U341" s="260"/>
      <c r="V341" s="260"/>
      <c r="W341" s="260"/>
      <c r="X341" s="260"/>
      <c r="Y341" s="260"/>
      <c r="Z341" s="260"/>
    </row>
    <row r="342">
      <c r="A342" s="267">
        <v>45999.0</v>
      </c>
      <c r="B342" s="21" t="s">
        <v>2552</v>
      </c>
      <c r="C342" s="21" t="s">
        <v>9166</v>
      </c>
      <c r="D342" s="21" t="s">
        <v>9153</v>
      </c>
      <c r="E342" s="21" t="s">
        <v>9154</v>
      </c>
      <c r="F342" s="268" t="s">
        <v>9155</v>
      </c>
      <c r="G342" s="21" t="s">
        <v>9156</v>
      </c>
      <c r="H342" s="21" t="s">
        <v>5958</v>
      </c>
      <c r="I342" s="21" t="s">
        <v>9164</v>
      </c>
      <c r="J342" s="21" t="s">
        <v>9333</v>
      </c>
      <c r="K342" s="261">
        <v>46041.0</v>
      </c>
      <c r="L342" s="261">
        <v>46055.0</v>
      </c>
      <c r="M342" s="21" t="s">
        <v>9535</v>
      </c>
      <c r="N342" s="21" t="s">
        <v>22</v>
      </c>
      <c r="O342" s="260"/>
      <c r="P342" s="260"/>
      <c r="Q342" s="260"/>
      <c r="R342" s="260"/>
      <c r="S342" s="260"/>
      <c r="T342" s="260"/>
      <c r="U342" s="260"/>
      <c r="V342" s="260"/>
      <c r="W342" s="260"/>
      <c r="X342" s="260"/>
      <c r="Y342" s="260"/>
      <c r="Z342" s="260"/>
    </row>
    <row r="343">
      <c r="A343" s="267">
        <v>45999.0</v>
      </c>
      <c r="B343" s="21" t="s">
        <v>2556</v>
      </c>
      <c r="C343" s="21" t="s">
        <v>9166</v>
      </c>
      <c r="D343" s="21" t="s">
        <v>9153</v>
      </c>
      <c r="E343" s="21" t="s">
        <v>9154</v>
      </c>
      <c r="F343" s="268" t="s">
        <v>9155</v>
      </c>
      <c r="G343" s="21" t="s">
        <v>9156</v>
      </c>
      <c r="H343" s="21" t="s">
        <v>5958</v>
      </c>
      <c r="I343" s="21" t="s">
        <v>9164</v>
      </c>
      <c r="J343" s="21" t="s">
        <v>9333</v>
      </c>
      <c r="K343" s="261">
        <v>46041.0</v>
      </c>
      <c r="L343" s="261">
        <v>46055.0</v>
      </c>
      <c r="M343" s="21" t="s">
        <v>9536</v>
      </c>
      <c r="N343" s="21" t="s">
        <v>22</v>
      </c>
      <c r="O343" s="260"/>
      <c r="P343" s="260"/>
      <c r="Q343" s="260"/>
      <c r="R343" s="260"/>
      <c r="S343" s="260"/>
      <c r="T343" s="260"/>
      <c r="U343" s="260"/>
      <c r="V343" s="260"/>
      <c r="W343" s="260"/>
      <c r="X343" s="260"/>
      <c r="Y343" s="260"/>
      <c r="Z343" s="260"/>
    </row>
    <row r="344">
      <c r="A344" s="267">
        <v>45999.0</v>
      </c>
      <c r="B344" s="21" t="s">
        <v>2558</v>
      </c>
      <c r="C344" s="21" t="s">
        <v>9166</v>
      </c>
      <c r="D344" s="21" t="s">
        <v>9153</v>
      </c>
      <c r="E344" s="21" t="s">
        <v>9154</v>
      </c>
      <c r="F344" s="268" t="s">
        <v>9155</v>
      </c>
      <c r="G344" s="21" t="s">
        <v>9156</v>
      </c>
      <c r="H344" s="21" t="s">
        <v>5958</v>
      </c>
      <c r="I344" s="21" t="s">
        <v>9164</v>
      </c>
      <c r="J344" s="21" t="s">
        <v>9333</v>
      </c>
      <c r="K344" s="261">
        <v>46041.0</v>
      </c>
      <c r="L344" s="261">
        <v>46055.0</v>
      </c>
      <c r="M344" s="21" t="s">
        <v>9537</v>
      </c>
      <c r="N344" s="21" t="s">
        <v>22</v>
      </c>
      <c r="O344" s="260"/>
      <c r="P344" s="260"/>
      <c r="Q344" s="260"/>
      <c r="R344" s="260"/>
      <c r="S344" s="260"/>
      <c r="T344" s="260"/>
      <c r="U344" s="260"/>
      <c r="V344" s="260"/>
      <c r="W344" s="260"/>
      <c r="X344" s="260"/>
      <c r="Y344" s="260"/>
      <c r="Z344" s="260"/>
    </row>
    <row r="345">
      <c r="A345" s="267">
        <v>45999.0</v>
      </c>
      <c r="B345" s="21" t="s">
        <v>2526</v>
      </c>
      <c r="C345" s="21" t="s">
        <v>9166</v>
      </c>
      <c r="D345" s="21" t="s">
        <v>9153</v>
      </c>
      <c r="E345" s="21" t="s">
        <v>9154</v>
      </c>
      <c r="F345" s="268" t="s">
        <v>9155</v>
      </c>
      <c r="G345" s="21" t="s">
        <v>9156</v>
      </c>
      <c r="H345" s="21" t="s">
        <v>5958</v>
      </c>
      <c r="I345" s="21" t="s">
        <v>9164</v>
      </c>
      <c r="J345" s="21" t="s">
        <v>9333</v>
      </c>
      <c r="K345" s="261">
        <v>46041.0</v>
      </c>
      <c r="L345" s="261">
        <v>46055.0</v>
      </c>
      <c r="M345" s="21" t="s">
        <v>9538</v>
      </c>
      <c r="N345" s="21" t="s">
        <v>22</v>
      </c>
      <c r="O345" s="260"/>
      <c r="P345" s="260"/>
      <c r="Q345" s="260"/>
      <c r="R345" s="260"/>
      <c r="S345" s="260"/>
      <c r="T345" s="260"/>
      <c r="U345" s="260"/>
      <c r="V345" s="260"/>
      <c r="W345" s="260"/>
      <c r="X345" s="260"/>
      <c r="Y345" s="260"/>
      <c r="Z345" s="260"/>
    </row>
    <row r="346">
      <c r="A346" s="267">
        <v>45999.0</v>
      </c>
      <c r="B346" s="21" t="s">
        <v>2845</v>
      </c>
      <c r="C346" s="21" t="s">
        <v>9166</v>
      </c>
      <c r="D346" s="21" t="s">
        <v>9153</v>
      </c>
      <c r="E346" s="21" t="s">
        <v>9154</v>
      </c>
      <c r="F346" s="268" t="s">
        <v>9155</v>
      </c>
      <c r="G346" s="21" t="s">
        <v>9156</v>
      </c>
      <c r="H346" s="21" t="s">
        <v>5958</v>
      </c>
      <c r="I346" s="21" t="s">
        <v>9164</v>
      </c>
      <c r="J346" s="21" t="s">
        <v>9333</v>
      </c>
      <c r="K346" s="261">
        <v>46041.0</v>
      </c>
      <c r="L346" s="261">
        <v>46055.0</v>
      </c>
      <c r="M346" s="21" t="s">
        <v>9539</v>
      </c>
      <c r="N346" s="21" t="s">
        <v>22</v>
      </c>
      <c r="O346" s="260"/>
      <c r="P346" s="260"/>
      <c r="Q346" s="260"/>
      <c r="R346" s="260"/>
      <c r="S346" s="260"/>
      <c r="T346" s="260"/>
      <c r="U346" s="260"/>
      <c r="V346" s="260"/>
      <c r="W346" s="260"/>
      <c r="X346" s="260"/>
      <c r="Y346" s="260"/>
      <c r="Z346" s="260"/>
    </row>
    <row r="347">
      <c r="A347" s="267">
        <v>45999.0</v>
      </c>
      <c r="B347" s="21" t="s">
        <v>2078</v>
      </c>
      <c r="C347" s="21" t="s">
        <v>9166</v>
      </c>
      <c r="D347" s="21" t="s">
        <v>9153</v>
      </c>
      <c r="E347" s="21" t="s">
        <v>9154</v>
      </c>
      <c r="F347" s="268" t="s">
        <v>9155</v>
      </c>
      <c r="G347" s="21" t="s">
        <v>9156</v>
      </c>
      <c r="H347" s="21" t="s">
        <v>5958</v>
      </c>
      <c r="I347" s="21" t="s">
        <v>9164</v>
      </c>
      <c r="J347" s="21" t="s">
        <v>9333</v>
      </c>
      <c r="K347" s="261">
        <v>46041.0</v>
      </c>
      <c r="L347" s="261">
        <v>46055.0</v>
      </c>
      <c r="M347" s="21" t="s">
        <v>9540</v>
      </c>
      <c r="N347" s="21" t="s">
        <v>22</v>
      </c>
      <c r="O347" s="260"/>
      <c r="P347" s="260"/>
      <c r="Q347" s="260"/>
      <c r="R347" s="260"/>
      <c r="S347" s="260"/>
      <c r="T347" s="260"/>
      <c r="U347" s="260"/>
      <c r="V347" s="260"/>
      <c r="W347" s="260"/>
      <c r="X347" s="260"/>
      <c r="Y347" s="260"/>
      <c r="Z347" s="260"/>
    </row>
    <row r="348">
      <c r="A348" s="267">
        <v>45999.0</v>
      </c>
      <c r="B348" s="21" t="s">
        <v>2075</v>
      </c>
      <c r="C348" s="21" t="s">
        <v>9166</v>
      </c>
      <c r="D348" s="21" t="s">
        <v>9153</v>
      </c>
      <c r="E348" s="21" t="s">
        <v>9154</v>
      </c>
      <c r="F348" s="268" t="s">
        <v>9155</v>
      </c>
      <c r="G348" s="21" t="s">
        <v>9156</v>
      </c>
      <c r="H348" s="21" t="s">
        <v>5958</v>
      </c>
      <c r="I348" s="21" t="s">
        <v>9164</v>
      </c>
      <c r="J348" s="21" t="s">
        <v>9333</v>
      </c>
      <c r="K348" s="261">
        <v>46041.0</v>
      </c>
      <c r="L348" s="261">
        <v>46055.0</v>
      </c>
      <c r="M348" s="21" t="s">
        <v>9541</v>
      </c>
      <c r="N348" s="21" t="s">
        <v>22</v>
      </c>
      <c r="O348" s="260"/>
      <c r="P348" s="260"/>
      <c r="Q348" s="260"/>
      <c r="R348" s="260"/>
      <c r="S348" s="260"/>
      <c r="T348" s="260"/>
      <c r="U348" s="260"/>
      <c r="V348" s="260"/>
      <c r="W348" s="260"/>
      <c r="X348" s="260"/>
      <c r="Y348" s="260"/>
      <c r="Z348" s="260"/>
    </row>
    <row r="349">
      <c r="A349" s="267">
        <v>45999.0</v>
      </c>
      <c r="B349" s="21" t="s">
        <v>3045</v>
      </c>
      <c r="C349" s="21" t="s">
        <v>9166</v>
      </c>
      <c r="D349" s="21" t="s">
        <v>9153</v>
      </c>
      <c r="E349" s="21" t="s">
        <v>9154</v>
      </c>
      <c r="F349" s="268" t="s">
        <v>9155</v>
      </c>
      <c r="G349" s="21" t="s">
        <v>9156</v>
      </c>
      <c r="H349" s="21" t="s">
        <v>5958</v>
      </c>
      <c r="I349" s="21" t="s">
        <v>9164</v>
      </c>
      <c r="J349" s="21" t="s">
        <v>9333</v>
      </c>
      <c r="K349" s="261">
        <v>46041.0</v>
      </c>
      <c r="L349" s="261">
        <v>46055.0</v>
      </c>
      <c r="M349" s="21" t="s">
        <v>9542</v>
      </c>
      <c r="N349" s="21" t="s">
        <v>22</v>
      </c>
      <c r="O349" s="260"/>
      <c r="P349" s="260"/>
      <c r="Q349" s="260"/>
      <c r="R349" s="260"/>
      <c r="S349" s="260"/>
      <c r="T349" s="260"/>
      <c r="U349" s="260"/>
      <c r="V349" s="260"/>
      <c r="W349" s="260"/>
      <c r="X349" s="260"/>
      <c r="Y349" s="260"/>
      <c r="Z349" s="260"/>
    </row>
    <row r="350">
      <c r="A350" s="267">
        <v>45999.0</v>
      </c>
      <c r="B350" s="21" t="s">
        <v>2726</v>
      </c>
      <c r="C350" s="21" t="s">
        <v>9166</v>
      </c>
      <c r="D350" s="21" t="s">
        <v>9153</v>
      </c>
      <c r="E350" s="21" t="s">
        <v>9154</v>
      </c>
      <c r="F350" s="268" t="s">
        <v>9155</v>
      </c>
      <c r="G350" s="21" t="s">
        <v>9156</v>
      </c>
      <c r="H350" s="21" t="s">
        <v>5958</v>
      </c>
      <c r="I350" s="21" t="s">
        <v>9164</v>
      </c>
      <c r="J350" s="21" t="s">
        <v>9333</v>
      </c>
      <c r="K350" s="261">
        <v>46041.0</v>
      </c>
      <c r="L350" s="261">
        <v>46055.0</v>
      </c>
      <c r="M350" s="21" t="s">
        <v>9543</v>
      </c>
      <c r="N350" s="21" t="s">
        <v>22</v>
      </c>
      <c r="O350" s="260"/>
      <c r="P350" s="260"/>
      <c r="Q350" s="260"/>
      <c r="R350" s="260"/>
      <c r="S350" s="260"/>
      <c r="T350" s="260"/>
      <c r="U350" s="260"/>
      <c r="V350" s="260"/>
      <c r="W350" s="260"/>
      <c r="X350" s="260"/>
      <c r="Y350" s="260"/>
      <c r="Z350" s="260"/>
    </row>
    <row r="351">
      <c r="A351" s="267">
        <v>45999.0</v>
      </c>
      <c r="B351" s="21" t="s">
        <v>2626</v>
      </c>
      <c r="C351" s="21" t="s">
        <v>9166</v>
      </c>
      <c r="D351" s="21" t="s">
        <v>9153</v>
      </c>
      <c r="E351" s="21" t="s">
        <v>9154</v>
      </c>
      <c r="F351" s="268" t="s">
        <v>9155</v>
      </c>
      <c r="G351" s="21" t="s">
        <v>9156</v>
      </c>
      <c r="H351" s="21" t="s">
        <v>5958</v>
      </c>
      <c r="I351" s="21" t="s">
        <v>9164</v>
      </c>
      <c r="J351" s="21" t="s">
        <v>9333</v>
      </c>
      <c r="K351" s="261">
        <v>46041.0</v>
      </c>
      <c r="L351" s="261">
        <v>46055.0</v>
      </c>
      <c r="M351" s="21" t="s">
        <v>9544</v>
      </c>
      <c r="N351" s="21" t="s">
        <v>22</v>
      </c>
      <c r="O351" s="260"/>
      <c r="P351" s="260"/>
      <c r="Q351" s="260"/>
      <c r="R351" s="260"/>
      <c r="S351" s="260"/>
      <c r="T351" s="260"/>
      <c r="U351" s="260"/>
      <c r="V351" s="260"/>
      <c r="W351" s="260"/>
      <c r="X351" s="260"/>
      <c r="Y351" s="260"/>
      <c r="Z351" s="260"/>
    </row>
    <row r="352">
      <c r="A352" s="267">
        <v>45999.0</v>
      </c>
      <c r="B352" s="21" t="s">
        <v>2499</v>
      </c>
      <c r="C352" s="21" t="s">
        <v>9166</v>
      </c>
      <c r="D352" s="21" t="s">
        <v>9153</v>
      </c>
      <c r="E352" s="21" t="s">
        <v>9154</v>
      </c>
      <c r="F352" s="268" t="s">
        <v>9155</v>
      </c>
      <c r="G352" s="21" t="s">
        <v>9156</v>
      </c>
      <c r="H352" s="21" t="s">
        <v>5958</v>
      </c>
      <c r="I352" s="21" t="s">
        <v>9164</v>
      </c>
      <c r="J352" s="21" t="s">
        <v>9333</v>
      </c>
      <c r="K352" s="261">
        <v>46041.0</v>
      </c>
      <c r="L352" s="261">
        <v>46055.0</v>
      </c>
      <c r="M352" s="21" t="s">
        <v>9545</v>
      </c>
      <c r="N352" s="21" t="s">
        <v>22</v>
      </c>
      <c r="O352" s="260"/>
      <c r="P352" s="260"/>
      <c r="Q352" s="260"/>
      <c r="R352" s="260"/>
      <c r="S352" s="260"/>
      <c r="T352" s="260"/>
      <c r="U352" s="260"/>
      <c r="V352" s="260"/>
      <c r="W352" s="260"/>
      <c r="X352" s="260"/>
      <c r="Y352" s="260"/>
      <c r="Z352" s="260"/>
    </row>
    <row r="353">
      <c r="A353" s="267">
        <v>45999.0</v>
      </c>
      <c r="B353" s="21" t="s">
        <v>1628</v>
      </c>
      <c r="C353" s="21" t="s">
        <v>9166</v>
      </c>
      <c r="D353" s="21" t="s">
        <v>9153</v>
      </c>
      <c r="E353" s="21" t="s">
        <v>9154</v>
      </c>
      <c r="F353" s="268" t="s">
        <v>9155</v>
      </c>
      <c r="G353" s="21" t="s">
        <v>9156</v>
      </c>
      <c r="H353" s="21" t="s">
        <v>5958</v>
      </c>
      <c r="I353" s="21" t="s">
        <v>9164</v>
      </c>
      <c r="J353" s="21" t="s">
        <v>9333</v>
      </c>
      <c r="K353" s="261">
        <v>46041.0</v>
      </c>
      <c r="L353" s="261">
        <v>46055.0</v>
      </c>
      <c r="M353" s="268" t="s">
        <v>9546</v>
      </c>
      <c r="N353" s="21" t="s">
        <v>22</v>
      </c>
      <c r="O353" s="260"/>
      <c r="P353" s="260"/>
      <c r="Q353" s="260"/>
      <c r="R353" s="260"/>
      <c r="S353" s="260"/>
      <c r="T353" s="260"/>
      <c r="U353" s="260"/>
      <c r="V353" s="260"/>
      <c r="W353" s="260"/>
      <c r="X353" s="260"/>
      <c r="Y353" s="260"/>
      <c r="Z353" s="260"/>
    </row>
    <row r="354">
      <c r="A354" s="267">
        <v>45999.0</v>
      </c>
      <c r="B354" s="21" t="s">
        <v>3137</v>
      </c>
      <c r="C354" s="21" t="s">
        <v>9166</v>
      </c>
      <c r="D354" s="21" t="s">
        <v>9153</v>
      </c>
      <c r="E354" s="21" t="s">
        <v>9154</v>
      </c>
      <c r="F354" s="268" t="s">
        <v>9155</v>
      </c>
      <c r="G354" s="21" t="s">
        <v>9156</v>
      </c>
      <c r="H354" s="21" t="s">
        <v>5958</v>
      </c>
      <c r="I354" s="21" t="s">
        <v>9164</v>
      </c>
      <c r="J354" s="21" t="s">
        <v>9333</v>
      </c>
      <c r="K354" s="261">
        <v>46041.0</v>
      </c>
      <c r="L354" s="261">
        <v>46055.0</v>
      </c>
      <c r="M354" s="21" t="s">
        <v>9547</v>
      </c>
      <c r="N354" s="21" t="s">
        <v>22</v>
      </c>
      <c r="O354" s="260"/>
      <c r="P354" s="260"/>
      <c r="Q354" s="260"/>
      <c r="R354" s="260"/>
      <c r="S354" s="260"/>
      <c r="T354" s="260"/>
      <c r="U354" s="260"/>
      <c r="V354" s="260"/>
      <c r="W354" s="260"/>
      <c r="X354" s="260"/>
      <c r="Y354" s="260"/>
      <c r="Z354" s="260"/>
    </row>
    <row r="355">
      <c r="A355" s="267">
        <v>45999.0</v>
      </c>
      <c r="B355" s="21" t="s">
        <v>3050</v>
      </c>
      <c r="C355" s="21" t="s">
        <v>9166</v>
      </c>
      <c r="D355" s="21" t="s">
        <v>9153</v>
      </c>
      <c r="E355" s="21" t="s">
        <v>9154</v>
      </c>
      <c r="F355" s="268" t="s">
        <v>9155</v>
      </c>
      <c r="G355" s="21" t="s">
        <v>9156</v>
      </c>
      <c r="H355" s="21" t="s">
        <v>5958</v>
      </c>
      <c r="I355" s="21" t="s">
        <v>9164</v>
      </c>
      <c r="J355" s="21" t="s">
        <v>9333</v>
      </c>
      <c r="K355" s="261">
        <v>46041.0</v>
      </c>
      <c r="L355" s="261">
        <v>46055.0</v>
      </c>
      <c r="M355" s="21" t="s">
        <v>9548</v>
      </c>
      <c r="N355" s="21" t="s">
        <v>22</v>
      </c>
      <c r="O355" s="260"/>
      <c r="P355" s="260"/>
      <c r="Q355" s="260"/>
      <c r="R355" s="260"/>
      <c r="S355" s="260"/>
      <c r="T355" s="260"/>
      <c r="U355" s="260"/>
      <c r="V355" s="260"/>
      <c r="W355" s="260"/>
      <c r="X355" s="260"/>
      <c r="Y355" s="260"/>
      <c r="Z355" s="260"/>
    </row>
    <row r="356">
      <c r="A356" s="267">
        <v>45999.0</v>
      </c>
      <c r="B356" s="21" t="s">
        <v>1830</v>
      </c>
      <c r="C356" s="21" t="s">
        <v>9166</v>
      </c>
      <c r="D356" s="21" t="s">
        <v>9153</v>
      </c>
      <c r="E356" s="21" t="s">
        <v>9154</v>
      </c>
      <c r="F356" s="268" t="s">
        <v>9155</v>
      </c>
      <c r="G356" s="21" t="s">
        <v>9156</v>
      </c>
      <c r="H356" s="21" t="s">
        <v>5958</v>
      </c>
      <c r="I356" s="21" t="s">
        <v>9164</v>
      </c>
      <c r="J356" s="21" t="s">
        <v>9333</v>
      </c>
      <c r="K356" s="261">
        <v>46041.0</v>
      </c>
      <c r="L356" s="261">
        <v>46055.0</v>
      </c>
      <c r="M356" s="21" t="s">
        <v>9549</v>
      </c>
      <c r="N356" s="21" t="s">
        <v>22</v>
      </c>
      <c r="O356" s="260"/>
      <c r="P356" s="260"/>
      <c r="Q356" s="260"/>
      <c r="R356" s="260"/>
      <c r="S356" s="260"/>
      <c r="T356" s="260"/>
      <c r="U356" s="260"/>
      <c r="V356" s="260"/>
      <c r="W356" s="260"/>
      <c r="X356" s="260"/>
      <c r="Y356" s="260"/>
      <c r="Z356" s="260"/>
    </row>
    <row r="357">
      <c r="A357" s="267">
        <v>45999.0</v>
      </c>
      <c r="B357" s="21" t="s">
        <v>1859</v>
      </c>
      <c r="C357" s="21" t="s">
        <v>9166</v>
      </c>
      <c r="D357" s="21" t="s">
        <v>9153</v>
      </c>
      <c r="E357" s="21" t="s">
        <v>9154</v>
      </c>
      <c r="F357" s="268" t="s">
        <v>9155</v>
      </c>
      <c r="G357" s="21" t="s">
        <v>9156</v>
      </c>
      <c r="H357" s="21" t="s">
        <v>5958</v>
      </c>
      <c r="I357" s="21" t="s">
        <v>9164</v>
      </c>
      <c r="J357" s="21" t="s">
        <v>9333</v>
      </c>
      <c r="K357" s="261">
        <v>46041.0</v>
      </c>
      <c r="L357" s="261">
        <v>46055.0</v>
      </c>
      <c r="M357" s="21" t="s">
        <v>9550</v>
      </c>
      <c r="N357" s="21" t="s">
        <v>22</v>
      </c>
      <c r="O357" s="260"/>
      <c r="P357" s="260"/>
      <c r="Q357" s="260"/>
      <c r="R357" s="260"/>
      <c r="S357" s="260"/>
      <c r="T357" s="260"/>
      <c r="U357" s="260"/>
      <c r="V357" s="260"/>
      <c r="W357" s="260"/>
      <c r="X357" s="260"/>
      <c r="Y357" s="260"/>
      <c r="Z357" s="260"/>
    </row>
    <row r="358">
      <c r="A358" s="267">
        <v>45999.0</v>
      </c>
      <c r="B358" s="21" t="s">
        <v>2799</v>
      </c>
      <c r="C358" s="21" t="s">
        <v>9166</v>
      </c>
      <c r="D358" s="21" t="s">
        <v>9153</v>
      </c>
      <c r="E358" s="21" t="s">
        <v>9154</v>
      </c>
      <c r="F358" s="268" t="s">
        <v>9155</v>
      </c>
      <c r="G358" s="21" t="s">
        <v>9156</v>
      </c>
      <c r="H358" s="21" t="s">
        <v>5958</v>
      </c>
      <c r="I358" s="21" t="s">
        <v>9164</v>
      </c>
      <c r="J358" s="21" t="s">
        <v>9333</v>
      </c>
      <c r="K358" s="261">
        <v>46041.0</v>
      </c>
      <c r="L358" s="261">
        <v>46055.0</v>
      </c>
      <c r="M358" s="21" t="s">
        <v>9551</v>
      </c>
      <c r="N358" s="21" t="s">
        <v>22</v>
      </c>
      <c r="O358" s="260"/>
      <c r="P358" s="260"/>
      <c r="Q358" s="260"/>
      <c r="R358" s="260"/>
      <c r="S358" s="260"/>
      <c r="T358" s="260"/>
      <c r="U358" s="260"/>
      <c r="V358" s="260"/>
      <c r="W358" s="260"/>
      <c r="X358" s="260"/>
      <c r="Y358" s="260"/>
      <c r="Z358" s="260"/>
    </row>
    <row r="359">
      <c r="A359" s="267">
        <v>45999.0</v>
      </c>
      <c r="B359" s="21" t="s">
        <v>1833</v>
      </c>
      <c r="C359" s="21" t="s">
        <v>9166</v>
      </c>
      <c r="D359" s="21" t="s">
        <v>9153</v>
      </c>
      <c r="E359" s="21" t="s">
        <v>9154</v>
      </c>
      <c r="F359" s="268" t="s">
        <v>9155</v>
      </c>
      <c r="G359" s="21" t="s">
        <v>9156</v>
      </c>
      <c r="H359" s="21" t="s">
        <v>5958</v>
      </c>
      <c r="I359" s="21" t="s">
        <v>9164</v>
      </c>
      <c r="J359" s="21" t="s">
        <v>9333</v>
      </c>
      <c r="K359" s="261">
        <v>46041.0</v>
      </c>
      <c r="L359" s="261">
        <v>46055.0</v>
      </c>
      <c r="M359" s="21" t="s">
        <v>9552</v>
      </c>
      <c r="N359" s="21" t="s">
        <v>22</v>
      </c>
      <c r="O359" s="260"/>
      <c r="P359" s="260"/>
      <c r="Q359" s="260"/>
      <c r="R359" s="260"/>
      <c r="S359" s="260"/>
      <c r="T359" s="260"/>
      <c r="U359" s="260"/>
      <c r="V359" s="260"/>
      <c r="W359" s="260"/>
      <c r="X359" s="260"/>
      <c r="Y359" s="260"/>
      <c r="Z359" s="260"/>
    </row>
    <row r="360">
      <c r="A360" s="267">
        <v>45999.0</v>
      </c>
      <c r="B360" s="21" t="s">
        <v>1601</v>
      </c>
      <c r="C360" s="21" t="s">
        <v>9166</v>
      </c>
      <c r="D360" s="21" t="s">
        <v>9153</v>
      </c>
      <c r="E360" s="21" t="s">
        <v>9154</v>
      </c>
      <c r="F360" s="268" t="s">
        <v>9155</v>
      </c>
      <c r="G360" s="21" t="s">
        <v>9156</v>
      </c>
      <c r="H360" s="21" t="s">
        <v>5970</v>
      </c>
      <c r="I360" s="21" t="s">
        <v>9164</v>
      </c>
      <c r="J360" s="21" t="s">
        <v>9333</v>
      </c>
      <c r="K360" s="261">
        <v>46041.0</v>
      </c>
      <c r="L360" s="261">
        <v>46055.0</v>
      </c>
      <c r="M360" s="21" t="s">
        <v>9553</v>
      </c>
      <c r="N360" s="21" t="s">
        <v>22</v>
      </c>
      <c r="O360" s="260"/>
      <c r="P360" s="260"/>
      <c r="Q360" s="260"/>
      <c r="R360" s="260"/>
      <c r="S360" s="260"/>
      <c r="T360" s="260"/>
      <c r="U360" s="260"/>
      <c r="V360" s="260"/>
      <c r="W360" s="260"/>
      <c r="X360" s="260"/>
      <c r="Y360" s="260"/>
      <c r="Z360" s="260"/>
    </row>
    <row r="361">
      <c r="A361" s="267">
        <v>45999.0</v>
      </c>
      <c r="B361" s="21" t="s">
        <v>2957</v>
      </c>
      <c r="C361" s="21" t="s">
        <v>9166</v>
      </c>
      <c r="D361" s="21" t="s">
        <v>9153</v>
      </c>
      <c r="E361" s="21" t="s">
        <v>9154</v>
      </c>
      <c r="F361" s="268" t="s">
        <v>9155</v>
      </c>
      <c r="G361" s="21" t="s">
        <v>9156</v>
      </c>
      <c r="H361" s="21" t="s">
        <v>5970</v>
      </c>
      <c r="I361" s="21" t="s">
        <v>9164</v>
      </c>
      <c r="J361" s="21" t="s">
        <v>9333</v>
      </c>
      <c r="K361" s="261">
        <v>46041.0</v>
      </c>
      <c r="L361" s="261">
        <v>46055.0</v>
      </c>
      <c r="M361" s="21" t="s">
        <v>9554</v>
      </c>
      <c r="N361" s="21" t="s">
        <v>22</v>
      </c>
      <c r="O361" s="260"/>
      <c r="P361" s="260"/>
      <c r="Q361" s="260"/>
      <c r="R361" s="260"/>
      <c r="S361" s="260"/>
      <c r="T361" s="260"/>
      <c r="U361" s="260"/>
      <c r="V361" s="260"/>
      <c r="W361" s="260"/>
      <c r="X361" s="260"/>
      <c r="Y361" s="260"/>
      <c r="Z361" s="260"/>
    </row>
    <row r="362">
      <c r="A362" s="267">
        <v>45999.0</v>
      </c>
      <c r="B362" s="21" t="s">
        <v>3041</v>
      </c>
      <c r="C362" s="21" t="s">
        <v>9166</v>
      </c>
      <c r="D362" s="21" t="s">
        <v>9153</v>
      </c>
      <c r="E362" s="21" t="s">
        <v>9154</v>
      </c>
      <c r="F362" s="268" t="s">
        <v>9155</v>
      </c>
      <c r="G362" s="21" t="s">
        <v>9156</v>
      </c>
      <c r="H362" s="21" t="s">
        <v>5958</v>
      </c>
      <c r="I362" s="21" t="s">
        <v>9164</v>
      </c>
      <c r="J362" s="21" t="s">
        <v>9333</v>
      </c>
      <c r="K362" s="261">
        <v>46041.0</v>
      </c>
      <c r="L362" s="261">
        <v>46055.0</v>
      </c>
      <c r="M362" s="21" t="s">
        <v>9555</v>
      </c>
      <c r="N362" s="21" t="s">
        <v>22</v>
      </c>
      <c r="O362" s="260"/>
      <c r="P362" s="260"/>
      <c r="Q362" s="260"/>
      <c r="R362" s="260"/>
      <c r="S362" s="260"/>
      <c r="T362" s="260"/>
      <c r="U362" s="260"/>
      <c r="V362" s="260"/>
      <c r="W362" s="260"/>
      <c r="X362" s="260"/>
      <c r="Y362" s="260"/>
      <c r="Z362" s="260"/>
    </row>
    <row r="363">
      <c r="A363" s="267">
        <v>45999.0</v>
      </c>
      <c r="B363" s="21" t="s">
        <v>3394</v>
      </c>
      <c r="C363" s="21" t="s">
        <v>9166</v>
      </c>
      <c r="D363" s="21" t="s">
        <v>9153</v>
      </c>
      <c r="E363" s="21" t="s">
        <v>9154</v>
      </c>
      <c r="F363" s="268" t="s">
        <v>9155</v>
      </c>
      <c r="G363" s="21" t="s">
        <v>9156</v>
      </c>
      <c r="H363" s="21" t="s">
        <v>5958</v>
      </c>
      <c r="I363" s="21" t="s">
        <v>9164</v>
      </c>
      <c r="J363" s="21" t="s">
        <v>9333</v>
      </c>
      <c r="K363" s="261">
        <v>46041.0</v>
      </c>
      <c r="L363" s="261">
        <v>46055.0</v>
      </c>
      <c r="M363" s="21" t="s">
        <v>9556</v>
      </c>
      <c r="N363" s="21" t="s">
        <v>22</v>
      </c>
      <c r="O363" s="260"/>
      <c r="P363" s="260"/>
      <c r="Q363" s="260"/>
      <c r="R363" s="260"/>
      <c r="S363" s="260"/>
      <c r="T363" s="260"/>
      <c r="U363" s="260"/>
      <c r="V363" s="260"/>
      <c r="W363" s="260"/>
      <c r="X363" s="260"/>
      <c r="Y363" s="260"/>
      <c r="Z363" s="260"/>
    </row>
    <row r="364">
      <c r="A364" s="267">
        <v>45999.0</v>
      </c>
      <c r="B364" s="21" t="s">
        <v>1649</v>
      </c>
      <c r="C364" s="21" t="s">
        <v>9166</v>
      </c>
      <c r="D364" s="21" t="s">
        <v>9153</v>
      </c>
      <c r="E364" s="21" t="s">
        <v>9154</v>
      </c>
      <c r="F364" s="268" t="s">
        <v>9155</v>
      </c>
      <c r="G364" s="21" t="s">
        <v>9156</v>
      </c>
      <c r="H364" s="21" t="s">
        <v>5958</v>
      </c>
      <c r="I364" s="21" t="s">
        <v>9164</v>
      </c>
      <c r="J364" s="21" t="s">
        <v>9333</v>
      </c>
      <c r="K364" s="261">
        <v>46041.0</v>
      </c>
      <c r="L364" s="261">
        <v>46055.0</v>
      </c>
      <c r="M364" s="21" t="s">
        <v>9557</v>
      </c>
      <c r="N364" s="21" t="s">
        <v>22</v>
      </c>
      <c r="O364" s="260"/>
      <c r="P364" s="260"/>
      <c r="Q364" s="260"/>
      <c r="R364" s="260"/>
      <c r="S364" s="260"/>
      <c r="T364" s="260"/>
      <c r="U364" s="260"/>
      <c r="V364" s="260"/>
      <c r="W364" s="260"/>
      <c r="X364" s="260"/>
      <c r="Y364" s="260"/>
      <c r="Z364" s="260"/>
    </row>
    <row r="365">
      <c r="A365" s="267">
        <v>45999.0</v>
      </c>
      <c r="B365" s="21" t="s">
        <v>3073</v>
      </c>
      <c r="C365" s="21" t="s">
        <v>9166</v>
      </c>
      <c r="D365" s="21" t="s">
        <v>9153</v>
      </c>
      <c r="E365" s="21" t="s">
        <v>9154</v>
      </c>
      <c r="F365" s="268" t="s">
        <v>9155</v>
      </c>
      <c r="G365" s="21" t="s">
        <v>9156</v>
      </c>
      <c r="H365" s="21" t="s">
        <v>5958</v>
      </c>
      <c r="I365" s="21" t="s">
        <v>9164</v>
      </c>
      <c r="J365" s="21" t="s">
        <v>9333</v>
      </c>
      <c r="K365" s="261">
        <v>46041.0</v>
      </c>
      <c r="L365" s="261">
        <v>46055.0</v>
      </c>
      <c r="M365" s="21" t="s">
        <v>9558</v>
      </c>
      <c r="N365" s="21" t="s">
        <v>22</v>
      </c>
      <c r="O365" s="260"/>
      <c r="P365" s="260"/>
      <c r="Q365" s="260"/>
      <c r="R365" s="260"/>
      <c r="S365" s="260"/>
      <c r="T365" s="260"/>
      <c r="U365" s="260"/>
      <c r="V365" s="260"/>
      <c r="W365" s="260"/>
      <c r="X365" s="260"/>
      <c r="Y365" s="260"/>
      <c r="Z365" s="260"/>
    </row>
    <row r="366">
      <c r="A366" s="267">
        <v>45999.0</v>
      </c>
      <c r="B366" s="21" t="s">
        <v>9559</v>
      </c>
      <c r="C366" s="21" t="s">
        <v>9166</v>
      </c>
      <c r="D366" s="21" t="s">
        <v>9153</v>
      </c>
      <c r="E366" s="21" t="s">
        <v>9154</v>
      </c>
      <c r="F366" s="268" t="s">
        <v>9155</v>
      </c>
      <c r="G366" s="21" t="s">
        <v>9156</v>
      </c>
      <c r="H366" s="21" t="s">
        <v>5958</v>
      </c>
      <c r="I366" s="21" t="s">
        <v>9164</v>
      </c>
      <c r="J366" s="21" t="s">
        <v>9333</v>
      </c>
      <c r="K366" s="261">
        <v>46041.0</v>
      </c>
      <c r="L366" s="261">
        <v>46055.0</v>
      </c>
      <c r="M366" s="21" t="s">
        <v>9560</v>
      </c>
      <c r="N366" s="21" t="s">
        <v>22</v>
      </c>
      <c r="O366" s="260"/>
      <c r="P366" s="260"/>
      <c r="Q366" s="260"/>
      <c r="R366" s="260"/>
      <c r="S366" s="260"/>
      <c r="T366" s="260"/>
      <c r="U366" s="260"/>
      <c r="V366" s="260"/>
      <c r="W366" s="260"/>
      <c r="X366" s="260"/>
      <c r="Y366" s="260"/>
      <c r="Z366" s="260"/>
    </row>
    <row r="367">
      <c r="A367" s="267">
        <v>45999.0</v>
      </c>
      <c r="B367" s="21" t="s">
        <v>1865</v>
      </c>
      <c r="C367" s="21" t="s">
        <v>9166</v>
      </c>
      <c r="D367" s="21" t="s">
        <v>9153</v>
      </c>
      <c r="E367" s="21" t="s">
        <v>9154</v>
      </c>
      <c r="F367" s="268" t="s">
        <v>9155</v>
      </c>
      <c r="G367" s="21" t="s">
        <v>9156</v>
      </c>
      <c r="H367" s="21" t="s">
        <v>5958</v>
      </c>
      <c r="I367" s="21" t="s">
        <v>9164</v>
      </c>
      <c r="J367" s="21" t="s">
        <v>9333</v>
      </c>
      <c r="K367" s="261">
        <v>46041.0</v>
      </c>
      <c r="L367" s="261">
        <v>46055.0</v>
      </c>
      <c r="M367" s="21" t="s">
        <v>9561</v>
      </c>
      <c r="N367" s="21" t="s">
        <v>22</v>
      </c>
      <c r="O367" s="260"/>
      <c r="P367" s="260"/>
      <c r="Q367" s="260"/>
      <c r="R367" s="260"/>
      <c r="S367" s="260"/>
      <c r="T367" s="260"/>
      <c r="U367" s="260"/>
      <c r="V367" s="260"/>
      <c r="W367" s="260"/>
      <c r="X367" s="260"/>
      <c r="Y367" s="260"/>
      <c r="Z367" s="260"/>
    </row>
    <row r="368">
      <c r="A368" s="267">
        <v>45999.0</v>
      </c>
      <c r="B368" s="21" t="s">
        <v>3391</v>
      </c>
      <c r="C368" s="21" t="s">
        <v>9166</v>
      </c>
      <c r="D368" s="21" t="s">
        <v>9153</v>
      </c>
      <c r="E368" s="21" t="s">
        <v>9154</v>
      </c>
      <c r="F368" s="268" t="s">
        <v>9155</v>
      </c>
      <c r="G368" s="21" t="s">
        <v>9156</v>
      </c>
      <c r="H368" s="21" t="s">
        <v>5958</v>
      </c>
      <c r="I368" s="21" t="s">
        <v>9164</v>
      </c>
      <c r="J368" s="21" t="s">
        <v>9333</v>
      </c>
      <c r="K368" s="261">
        <v>46041.0</v>
      </c>
      <c r="L368" s="261">
        <v>46055.0</v>
      </c>
      <c r="M368" s="21" t="s">
        <v>9562</v>
      </c>
      <c r="N368" s="21" t="s">
        <v>22</v>
      </c>
      <c r="O368" s="260"/>
      <c r="P368" s="260"/>
      <c r="Q368" s="260"/>
      <c r="R368" s="260"/>
      <c r="S368" s="260"/>
      <c r="T368" s="260"/>
      <c r="U368" s="260"/>
      <c r="V368" s="260"/>
      <c r="W368" s="260"/>
      <c r="X368" s="260"/>
      <c r="Y368" s="260"/>
      <c r="Z368" s="260"/>
    </row>
    <row r="369">
      <c r="A369" s="267">
        <v>45999.0</v>
      </c>
      <c r="B369" s="21" t="s">
        <v>2628</v>
      </c>
      <c r="C369" s="21" t="s">
        <v>9166</v>
      </c>
      <c r="D369" s="21" t="s">
        <v>9153</v>
      </c>
      <c r="E369" s="21" t="s">
        <v>9154</v>
      </c>
      <c r="F369" s="268" t="s">
        <v>9155</v>
      </c>
      <c r="G369" s="21" t="s">
        <v>9156</v>
      </c>
      <c r="H369" s="21" t="s">
        <v>5958</v>
      </c>
      <c r="I369" s="21" t="s">
        <v>9164</v>
      </c>
      <c r="J369" s="21" t="s">
        <v>9333</v>
      </c>
      <c r="K369" s="261">
        <v>46041.0</v>
      </c>
      <c r="L369" s="261">
        <v>46055.0</v>
      </c>
      <c r="M369" s="21" t="s">
        <v>9563</v>
      </c>
      <c r="N369" s="21" t="s">
        <v>22</v>
      </c>
      <c r="O369" s="260"/>
      <c r="P369" s="260"/>
      <c r="Q369" s="260"/>
      <c r="R369" s="260"/>
      <c r="S369" s="260"/>
      <c r="T369" s="260"/>
      <c r="U369" s="260"/>
      <c r="V369" s="260"/>
      <c r="W369" s="260"/>
      <c r="X369" s="260"/>
      <c r="Y369" s="260"/>
      <c r="Z369" s="260"/>
    </row>
    <row r="370">
      <c r="A370" s="267">
        <v>45999.0</v>
      </c>
      <c r="B370" s="21" t="s">
        <v>1824</v>
      </c>
      <c r="C370" s="21" t="s">
        <v>9166</v>
      </c>
      <c r="D370" s="21" t="s">
        <v>9153</v>
      </c>
      <c r="E370" s="21" t="s">
        <v>9154</v>
      </c>
      <c r="F370" s="268" t="s">
        <v>9155</v>
      </c>
      <c r="G370" s="21" t="s">
        <v>9156</v>
      </c>
      <c r="H370" s="21" t="s">
        <v>5958</v>
      </c>
      <c r="I370" s="21" t="s">
        <v>9164</v>
      </c>
      <c r="J370" s="21" t="s">
        <v>9333</v>
      </c>
      <c r="K370" s="261">
        <v>46041.0</v>
      </c>
      <c r="L370" s="261">
        <v>46055.0</v>
      </c>
      <c r="M370" s="21" t="s">
        <v>9564</v>
      </c>
      <c r="N370" s="21" t="s">
        <v>22</v>
      </c>
      <c r="O370" s="260"/>
      <c r="P370" s="260"/>
      <c r="Q370" s="260"/>
      <c r="R370" s="260"/>
      <c r="S370" s="260"/>
      <c r="T370" s="260"/>
      <c r="U370" s="260"/>
      <c r="V370" s="260"/>
      <c r="W370" s="260"/>
      <c r="X370" s="260"/>
      <c r="Y370" s="260"/>
      <c r="Z370" s="260"/>
    </row>
    <row r="371">
      <c r="A371" s="267">
        <v>45999.0</v>
      </c>
      <c r="B371" s="21" t="s">
        <v>1828</v>
      </c>
      <c r="C371" s="21" t="s">
        <v>9166</v>
      </c>
      <c r="D371" s="21" t="s">
        <v>9153</v>
      </c>
      <c r="E371" s="21" t="s">
        <v>9154</v>
      </c>
      <c r="F371" s="268" t="s">
        <v>9155</v>
      </c>
      <c r="G371" s="21" t="s">
        <v>9156</v>
      </c>
      <c r="H371" s="21" t="s">
        <v>5958</v>
      </c>
      <c r="I371" s="21" t="s">
        <v>9164</v>
      </c>
      <c r="J371" s="21" t="s">
        <v>9333</v>
      </c>
      <c r="K371" s="261">
        <v>46041.0</v>
      </c>
      <c r="L371" s="261">
        <v>46055.0</v>
      </c>
      <c r="M371" s="21" t="s">
        <v>9565</v>
      </c>
      <c r="N371" s="21" t="s">
        <v>22</v>
      </c>
      <c r="O371" s="260"/>
      <c r="P371" s="260"/>
      <c r="Q371" s="260"/>
      <c r="R371" s="260"/>
      <c r="S371" s="260"/>
      <c r="T371" s="260"/>
      <c r="U371" s="260"/>
      <c r="V371" s="260"/>
      <c r="W371" s="260"/>
      <c r="X371" s="260"/>
      <c r="Y371" s="260"/>
      <c r="Z371" s="260"/>
    </row>
    <row r="372">
      <c r="A372" s="267">
        <v>45999.0</v>
      </c>
      <c r="B372" s="21" t="s">
        <v>1826</v>
      </c>
      <c r="C372" s="21" t="s">
        <v>9166</v>
      </c>
      <c r="D372" s="21" t="s">
        <v>9153</v>
      </c>
      <c r="E372" s="21" t="s">
        <v>9154</v>
      </c>
      <c r="F372" s="268" t="s">
        <v>9155</v>
      </c>
      <c r="G372" s="21" t="s">
        <v>9156</v>
      </c>
      <c r="H372" s="21" t="s">
        <v>5958</v>
      </c>
      <c r="I372" s="21" t="s">
        <v>9164</v>
      </c>
      <c r="J372" s="21" t="s">
        <v>9333</v>
      </c>
      <c r="K372" s="261">
        <v>46041.0</v>
      </c>
      <c r="L372" s="261">
        <v>46055.0</v>
      </c>
      <c r="M372" s="21" t="s">
        <v>9566</v>
      </c>
      <c r="N372" s="21" t="s">
        <v>22</v>
      </c>
      <c r="O372" s="260"/>
      <c r="P372" s="260"/>
      <c r="Q372" s="260"/>
      <c r="R372" s="260"/>
      <c r="S372" s="260"/>
      <c r="T372" s="260"/>
      <c r="U372" s="260"/>
      <c r="V372" s="260"/>
      <c r="W372" s="260"/>
      <c r="X372" s="260"/>
      <c r="Y372" s="260"/>
      <c r="Z372" s="260"/>
    </row>
    <row r="373">
      <c r="A373" s="267">
        <v>45999.0</v>
      </c>
      <c r="B373" s="21" t="s">
        <v>1820</v>
      </c>
      <c r="C373" s="21" t="s">
        <v>9166</v>
      </c>
      <c r="D373" s="21" t="s">
        <v>9153</v>
      </c>
      <c r="E373" s="21" t="s">
        <v>9154</v>
      </c>
      <c r="F373" s="268" t="s">
        <v>9155</v>
      </c>
      <c r="G373" s="21" t="s">
        <v>9156</v>
      </c>
      <c r="H373" s="21" t="s">
        <v>5958</v>
      </c>
      <c r="I373" s="21" t="s">
        <v>9164</v>
      </c>
      <c r="J373" s="21" t="s">
        <v>9333</v>
      </c>
      <c r="K373" s="261">
        <v>46041.0</v>
      </c>
      <c r="L373" s="261">
        <v>46055.0</v>
      </c>
      <c r="M373" s="21" t="s">
        <v>9567</v>
      </c>
      <c r="N373" s="21" t="s">
        <v>22</v>
      </c>
      <c r="O373" s="260"/>
      <c r="P373" s="260"/>
      <c r="Q373" s="260"/>
      <c r="R373" s="260"/>
      <c r="S373" s="260"/>
      <c r="T373" s="260"/>
      <c r="U373" s="260"/>
      <c r="V373" s="260"/>
      <c r="W373" s="260"/>
      <c r="X373" s="260"/>
      <c r="Y373" s="260"/>
      <c r="Z373" s="260"/>
    </row>
    <row r="374">
      <c r="A374" s="267">
        <v>45999.0</v>
      </c>
      <c r="B374" s="21" t="s">
        <v>1822</v>
      </c>
      <c r="C374" s="21" t="s">
        <v>9166</v>
      </c>
      <c r="D374" s="21" t="s">
        <v>9153</v>
      </c>
      <c r="E374" s="21" t="s">
        <v>9154</v>
      </c>
      <c r="F374" s="268" t="s">
        <v>9155</v>
      </c>
      <c r="G374" s="21" t="s">
        <v>9156</v>
      </c>
      <c r="H374" s="21" t="s">
        <v>5958</v>
      </c>
      <c r="I374" s="21" t="s">
        <v>9164</v>
      </c>
      <c r="J374" s="21" t="s">
        <v>9333</v>
      </c>
      <c r="K374" s="261">
        <v>46041.0</v>
      </c>
      <c r="L374" s="261">
        <v>46055.0</v>
      </c>
      <c r="M374" s="21" t="s">
        <v>9568</v>
      </c>
      <c r="N374" s="21" t="s">
        <v>22</v>
      </c>
      <c r="O374" s="260"/>
      <c r="P374" s="260"/>
      <c r="Q374" s="260"/>
      <c r="R374" s="260"/>
      <c r="S374" s="260"/>
      <c r="T374" s="260"/>
      <c r="U374" s="260"/>
      <c r="V374" s="260"/>
      <c r="W374" s="260"/>
      <c r="X374" s="260"/>
      <c r="Y374" s="260"/>
      <c r="Z374" s="260"/>
    </row>
    <row r="375">
      <c r="A375" s="267">
        <v>45999.0</v>
      </c>
      <c r="B375" s="21" t="s">
        <v>1848</v>
      </c>
      <c r="C375" s="21" t="s">
        <v>9166</v>
      </c>
      <c r="D375" s="21" t="s">
        <v>9153</v>
      </c>
      <c r="E375" s="21" t="s">
        <v>9154</v>
      </c>
      <c r="F375" s="268" t="s">
        <v>9155</v>
      </c>
      <c r="G375" s="21" t="s">
        <v>9156</v>
      </c>
      <c r="H375" s="21" t="s">
        <v>5970</v>
      </c>
      <c r="I375" s="21" t="s">
        <v>9164</v>
      </c>
      <c r="J375" s="21" t="s">
        <v>9333</v>
      </c>
      <c r="K375" s="261">
        <v>46041.0</v>
      </c>
      <c r="L375" s="261">
        <v>46055.0</v>
      </c>
      <c r="M375" s="21" t="s">
        <v>9569</v>
      </c>
      <c r="N375" s="21" t="s">
        <v>22</v>
      </c>
      <c r="O375" s="260"/>
      <c r="P375" s="260"/>
      <c r="Q375" s="260"/>
      <c r="R375" s="260"/>
      <c r="S375" s="260"/>
      <c r="T375" s="260"/>
      <c r="U375" s="260"/>
      <c r="V375" s="260"/>
      <c r="W375" s="260"/>
      <c r="X375" s="260"/>
      <c r="Y375" s="260"/>
      <c r="Z375" s="260"/>
    </row>
    <row r="376">
      <c r="A376" s="267">
        <v>45999.0</v>
      </c>
      <c r="B376" s="21" t="s">
        <v>2874</v>
      </c>
      <c r="C376" s="21" t="s">
        <v>9166</v>
      </c>
      <c r="D376" s="21" t="s">
        <v>9153</v>
      </c>
      <c r="E376" s="21" t="s">
        <v>9154</v>
      </c>
      <c r="F376" s="268" t="s">
        <v>9155</v>
      </c>
      <c r="G376" s="21" t="s">
        <v>9156</v>
      </c>
      <c r="H376" s="21" t="s">
        <v>5970</v>
      </c>
      <c r="I376" s="21" t="s">
        <v>9164</v>
      </c>
      <c r="J376" s="21" t="s">
        <v>9333</v>
      </c>
      <c r="K376" s="261">
        <v>46041.0</v>
      </c>
      <c r="L376" s="261">
        <v>46055.0</v>
      </c>
      <c r="M376" s="21" t="s">
        <v>9570</v>
      </c>
      <c r="N376" s="21" t="s">
        <v>22</v>
      </c>
      <c r="O376" s="260"/>
      <c r="P376" s="260"/>
      <c r="Q376" s="260"/>
      <c r="R376" s="260"/>
      <c r="S376" s="260"/>
      <c r="T376" s="260"/>
      <c r="U376" s="260"/>
      <c r="V376" s="260"/>
      <c r="W376" s="260"/>
      <c r="X376" s="260"/>
      <c r="Y376" s="260"/>
      <c r="Z376" s="260"/>
    </row>
    <row r="377">
      <c r="A377" s="267">
        <v>45999.0</v>
      </c>
      <c r="B377" s="21" t="s">
        <v>1816</v>
      </c>
      <c r="C377" s="21" t="s">
        <v>9166</v>
      </c>
      <c r="D377" s="21" t="s">
        <v>9153</v>
      </c>
      <c r="E377" s="21" t="s">
        <v>9154</v>
      </c>
      <c r="F377" s="268" t="s">
        <v>9155</v>
      </c>
      <c r="G377" s="21" t="s">
        <v>9156</v>
      </c>
      <c r="H377" s="21" t="s">
        <v>5958</v>
      </c>
      <c r="I377" s="21" t="s">
        <v>9164</v>
      </c>
      <c r="J377" s="21" t="s">
        <v>9333</v>
      </c>
      <c r="K377" s="261">
        <v>46041.0</v>
      </c>
      <c r="L377" s="261">
        <v>46055.0</v>
      </c>
      <c r="M377" s="21" t="s">
        <v>9571</v>
      </c>
      <c r="N377" s="21" t="s">
        <v>22</v>
      </c>
      <c r="O377" s="260"/>
      <c r="P377" s="260"/>
      <c r="Q377" s="260"/>
      <c r="R377" s="260"/>
      <c r="S377" s="260"/>
      <c r="T377" s="260"/>
      <c r="U377" s="260"/>
      <c r="V377" s="260"/>
      <c r="W377" s="260"/>
      <c r="X377" s="260"/>
      <c r="Y377" s="260"/>
      <c r="Z377" s="260"/>
    </row>
    <row r="378">
      <c r="A378" s="267">
        <v>45999.0</v>
      </c>
      <c r="B378" s="21" t="s">
        <v>2501</v>
      </c>
      <c r="C378" s="21" t="s">
        <v>9166</v>
      </c>
      <c r="D378" s="21" t="s">
        <v>9153</v>
      </c>
      <c r="E378" s="21" t="s">
        <v>9154</v>
      </c>
      <c r="F378" s="268" t="s">
        <v>9155</v>
      </c>
      <c r="G378" s="21" t="s">
        <v>9156</v>
      </c>
      <c r="H378" s="21" t="s">
        <v>5958</v>
      </c>
      <c r="I378" s="21" t="s">
        <v>9164</v>
      </c>
      <c r="J378" s="21" t="s">
        <v>9333</v>
      </c>
      <c r="K378" s="261">
        <v>46041.0</v>
      </c>
      <c r="L378" s="261">
        <v>46055.0</v>
      </c>
      <c r="M378" s="21" t="s">
        <v>9572</v>
      </c>
      <c r="N378" s="21" t="s">
        <v>22</v>
      </c>
      <c r="O378" s="260"/>
      <c r="P378" s="260"/>
      <c r="Q378" s="260"/>
      <c r="R378" s="260"/>
      <c r="S378" s="260"/>
      <c r="T378" s="260"/>
      <c r="U378" s="260"/>
      <c r="V378" s="260"/>
      <c r="W378" s="260"/>
      <c r="X378" s="260"/>
      <c r="Y378" s="260"/>
      <c r="Z378" s="260"/>
    </row>
    <row r="379">
      <c r="A379" s="267">
        <v>45999.0</v>
      </c>
      <c r="B379" s="21" t="s">
        <v>1814</v>
      </c>
      <c r="C379" s="21" t="s">
        <v>9166</v>
      </c>
      <c r="D379" s="21" t="s">
        <v>9153</v>
      </c>
      <c r="E379" s="21" t="s">
        <v>9154</v>
      </c>
      <c r="F379" s="268" t="s">
        <v>9155</v>
      </c>
      <c r="G379" s="21" t="s">
        <v>9156</v>
      </c>
      <c r="H379" s="21" t="s">
        <v>5958</v>
      </c>
      <c r="I379" s="21" t="s">
        <v>9164</v>
      </c>
      <c r="J379" s="21" t="s">
        <v>9333</v>
      </c>
      <c r="K379" s="261">
        <v>46041.0</v>
      </c>
      <c r="L379" s="261">
        <v>46055.0</v>
      </c>
      <c r="M379" s="21" t="s">
        <v>9573</v>
      </c>
      <c r="N379" s="21" t="s">
        <v>22</v>
      </c>
      <c r="O379" s="260"/>
      <c r="P379" s="260"/>
      <c r="Q379" s="260"/>
      <c r="R379" s="260"/>
      <c r="S379" s="260"/>
      <c r="T379" s="260"/>
      <c r="U379" s="260"/>
      <c r="V379" s="260"/>
      <c r="W379" s="260"/>
      <c r="X379" s="260"/>
      <c r="Y379" s="260"/>
      <c r="Z379" s="260"/>
    </row>
    <row r="380">
      <c r="A380" s="267">
        <v>45999.0</v>
      </c>
      <c r="B380" s="21" t="s">
        <v>1818</v>
      </c>
      <c r="C380" s="21" t="s">
        <v>9166</v>
      </c>
      <c r="D380" s="21" t="s">
        <v>9153</v>
      </c>
      <c r="E380" s="21" t="s">
        <v>9154</v>
      </c>
      <c r="F380" s="268" t="s">
        <v>9155</v>
      </c>
      <c r="G380" s="21" t="s">
        <v>9156</v>
      </c>
      <c r="H380" s="21" t="s">
        <v>5958</v>
      </c>
      <c r="I380" s="21" t="s">
        <v>9164</v>
      </c>
      <c r="J380" s="21" t="s">
        <v>9333</v>
      </c>
      <c r="K380" s="261">
        <v>46041.0</v>
      </c>
      <c r="L380" s="261">
        <v>46055.0</v>
      </c>
      <c r="M380" s="21" t="s">
        <v>9574</v>
      </c>
      <c r="N380" s="21" t="s">
        <v>22</v>
      </c>
      <c r="O380" s="260"/>
      <c r="P380" s="260"/>
      <c r="Q380" s="260"/>
      <c r="R380" s="260"/>
      <c r="S380" s="260"/>
      <c r="T380" s="260"/>
      <c r="U380" s="260"/>
      <c r="V380" s="260"/>
      <c r="W380" s="260"/>
      <c r="X380" s="260"/>
      <c r="Y380" s="260"/>
      <c r="Z380" s="260"/>
    </row>
    <row r="381">
      <c r="A381" s="267">
        <v>45999.0</v>
      </c>
      <c r="B381" s="21" t="s">
        <v>2816</v>
      </c>
      <c r="C381" s="21" t="s">
        <v>9166</v>
      </c>
      <c r="D381" s="21" t="s">
        <v>9153</v>
      </c>
      <c r="E381" s="21" t="s">
        <v>9154</v>
      </c>
      <c r="F381" s="268" t="s">
        <v>9155</v>
      </c>
      <c r="G381" s="21" t="s">
        <v>9156</v>
      </c>
      <c r="H381" s="21" t="s">
        <v>5958</v>
      </c>
      <c r="I381" s="21" t="s">
        <v>9164</v>
      </c>
      <c r="J381" s="21" t="s">
        <v>9333</v>
      </c>
      <c r="K381" s="261">
        <v>46041.0</v>
      </c>
      <c r="L381" s="261">
        <v>46055.0</v>
      </c>
      <c r="M381" s="21" t="s">
        <v>9575</v>
      </c>
      <c r="N381" s="21" t="s">
        <v>22</v>
      </c>
      <c r="O381" s="260"/>
      <c r="P381" s="260"/>
      <c r="Q381" s="260"/>
      <c r="R381" s="260"/>
      <c r="S381" s="260"/>
      <c r="T381" s="260"/>
      <c r="U381" s="260"/>
      <c r="V381" s="260"/>
      <c r="W381" s="260"/>
      <c r="X381" s="260"/>
      <c r="Y381" s="260"/>
      <c r="Z381" s="260"/>
    </row>
    <row r="382">
      <c r="A382" s="267">
        <v>45999.0</v>
      </c>
      <c r="B382" s="21" t="s">
        <v>2609</v>
      </c>
      <c r="C382" s="21" t="s">
        <v>9166</v>
      </c>
      <c r="D382" s="21" t="s">
        <v>9153</v>
      </c>
      <c r="E382" s="21" t="s">
        <v>9154</v>
      </c>
      <c r="F382" s="268" t="s">
        <v>9155</v>
      </c>
      <c r="G382" s="21" t="s">
        <v>9156</v>
      </c>
      <c r="H382" s="21" t="s">
        <v>5958</v>
      </c>
      <c r="I382" s="21" t="s">
        <v>9164</v>
      </c>
      <c r="J382" s="21" t="s">
        <v>9333</v>
      </c>
      <c r="K382" s="261">
        <v>46041.0</v>
      </c>
      <c r="L382" s="261">
        <v>46055.0</v>
      </c>
      <c r="M382" s="268" t="s">
        <v>9576</v>
      </c>
      <c r="N382" s="21" t="s">
        <v>22</v>
      </c>
      <c r="O382" s="260"/>
      <c r="P382" s="260"/>
      <c r="Q382" s="260"/>
      <c r="R382" s="260"/>
      <c r="S382" s="260"/>
      <c r="T382" s="260"/>
      <c r="U382" s="260"/>
      <c r="V382" s="260"/>
      <c r="W382" s="260"/>
      <c r="X382" s="260"/>
      <c r="Y382" s="260"/>
      <c r="Z382" s="260"/>
    </row>
    <row r="383">
      <c r="A383" s="267">
        <v>45999.0</v>
      </c>
      <c r="B383" s="21" t="s">
        <v>2619</v>
      </c>
      <c r="C383" s="21" t="s">
        <v>9166</v>
      </c>
      <c r="D383" s="21" t="s">
        <v>9153</v>
      </c>
      <c r="E383" s="21" t="s">
        <v>9154</v>
      </c>
      <c r="F383" s="268" t="s">
        <v>9155</v>
      </c>
      <c r="G383" s="21" t="s">
        <v>9156</v>
      </c>
      <c r="H383" s="21" t="s">
        <v>5958</v>
      </c>
      <c r="I383" s="21" t="s">
        <v>9164</v>
      </c>
      <c r="J383" s="21" t="s">
        <v>9333</v>
      </c>
      <c r="K383" s="261">
        <v>46041.0</v>
      </c>
      <c r="L383" s="261">
        <v>46055.0</v>
      </c>
      <c r="M383" s="21" t="s">
        <v>9577</v>
      </c>
      <c r="N383" s="21" t="s">
        <v>22</v>
      </c>
      <c r="O383" s="260"/>
      <c r="P383" s="260"/>
      <c r="Q383" s="260"/>
      <c r="R383" s="260"/>
      <c r="S383" s="260"/>
      <c r="T383" s="260"/>
      <c r="U383" s="260"/>
      <c r="V383" s="260"/>
      <c r="W383" s="260"/>
      <c r="X383" s="260"/>
      <c r="Y383" s="260"/>
      <c r="Z383" s="260"/>
    </row>
    <row r="384">
      <c r="A384" s="267">
        <v>45999.0</v>
      </c>
      <c r="B384" s="21" t="s">
        <v>2611</v>
      </c>
      <c r="C384" s="21" t="s">
        <v>9166</v>
      </c>
      <c r="D384" s="21" t="s">
        <v>9153</v>
      </c>
      <c r="E384" s="21" t="s">
        <v>9154</v>
      </c>
      <c r="F384" s="268" t="s">
        <v>9155</v>
      </c>
      <c r="G384" s="21" t="s">
        <v>9156</v>
      </c>
      <c r="H384" s="21" t="s">
        <v>5958</v>
      </c>
      <c r="I384" s="21" t="s">
        <v>9164</v>
      </c>
      <c r="J384" s="21" t="s">
        <v>9333</v>
      </c>
      <c r="K384" s="261">
        <v>46041.0</v>
      </c>
      <c r="L384" s="261">
        <v>46055.0</v>
      </c>
      <c r="M384" s="21" t="s">
        <v>9578</v>
      </c>
      <c r="N384" s="21" t="s">
        <v>22</v>
      </c>
      <c r="O384" s="260"/>
      <c r="P384" s="260"/>
      <c r="Q384" s="260"/>
      <c r="R384" s="260"/>
      <c r="S384" s="260"/>
      <c r="T384" s="260"/>
      <c r="U384" s="260"/>
      <c r="V384" s="260"/>
      <c r="W384" s="260"/>
      <c r="X384" s="260"/>
      <c r="Y384" s="260"/>
      <c r="Z384" s="260"/>
    </row>
    <row r="385">
      <c r="A385" s="267">
        <v>45999.0</v>
      </c>
      <c r="B385" s="21" t="s">
        <v>3169</v>
      </c>
      <c r="C385" s="21" t="s">
        <v>9166</v>
      </c>
      <c r="D385" s="21" t="s">
        <v>9153</v>
      </c>
      <c r="E385" s="21" t="s">
        <v>9154</v>
      </c>
      <c r="F385" s="268" t="s">
        <v>9155</v>
      </c>
      <c r="G385" s="21" t="s">
        <v>9156</v>
      </c>
      <c r="H385" s="21" t="s">
        <v>5958</v>
      </c>
      <c r="I385" s="21" t="s">
        <v>9164</v>
      </c>
      <c r="J385" s="21" t="s">
        <v>9333</v>
      </c>
      <c r="K385" s="261">
        <v>46041.0</v>
      </c>
      <c r="L385" s="261">
        <v>46055.0</v>
      </c>
      <c r="M385" s="21" t="s">
        <v>9579</v>
      </c>
      <c r="N385" s="21" t="s">
        <v>22</v>
      </c>
      <c r="O385" s="260"/>
      <c r="P385" s="260"/>
      <c r="Q385" s="260"/>
      <c r="R385" s="260"/>
      <c r="S385" s="260"/>
      <c r="T385" s="260"/>
      <c r="U385" s="260"/>
      <c r="V385" s="260"/>
      <c r="W385" s="260"/>
      <c r="X385" s="260"/>
      <c r="Y385" s="260"/>
      <c r="Z385" s="260"/>
    </row>
    <row r="386">
      <c r="A386" s="267">
        <v>45999.0</v>
      </c>
      <c r="B386" s="21" t="s">
        <v>3423</v>
      </c>
      <c r="C386" s="21" t="s">
        <v>9166</v>
      </c>
      <c r="D386" s="21" t="s">
        <v>9153</v>
      </c>
      <c r="E386" s="21" t="s">
        <v>9154</v>
      </c>
      <c r="F386" s="268" t="s">
        <v>9155</v>
      </c>
      <c r="G386" s="21" t="s">
        <v>9156</v>
      </c>
      <c r="H386" s="21" t="s">
        <v>5958</v>
      </c>
      <c r="I386" s="21" t="s">
        <v>9164</v>
      </c>
      <c r="J386" s="21" t="s">
        <v>9333</v>
      </c>
      <c r="K386" s="261">
        <v>46041.0</v>
      </c>
      <c r="L386" s="261">
        <v>46055.0</v>
      </c>
      <c r="M386" s="21" t="s">
        <v>9580</v>
      </c>
      <c r="N386" s="21" t="s">
        <v>22</v>
      </c>
      <c r="O386" s="260"/>
      <c r="P386" s="260"/>
      <c r="Q386" s="260"/>
      <c r="R386" s="260"/>
      <c r="S386" s="260"/>
      <c r="T386" s="260"/>
      <c r="U386" s="260"/>
      <c r="V386" s="260"/>
      <c r="W386" s="260"/>
      <c r="X386" s="260"/>
      <c r="Y386" s="260"/>
      <c r="Z386" s="260"/>
    </row>
    <row r="387">
      <c r="A387" s="267">
        <v>45999.0</v>
      </c>
      <c r="B387" s="21" t="s">
        <v>1783</v>
      </c>
      <c r="C387" s="21" t="s">
        <v>9166</v>
      </c>
      <c r="D387" s="21" t="s">
        <v>9153</v>
      </c>
      <c r="E387" s="21" t="s">
        <v>9154</v>
      </c>
      <c r="F387" s="268" t="s">
        <v>9155</v>
      </c>
      <c r="G387" s="21" t="s">
        <v>9156</v>
      </c>
      <c r="H387" s="21" t="s">
        <v>5970</v>
      </c>
      <c r="I387" s="21" t="s">
        <v>9164</v>
      </c>
      <c r="J387" s="21" t="s">
        <v>9333</v>
      </c>
      <c r="K387" s="261">
        <v>46041.0</v>
      </c>
      <c r="L387" s="261">
        <v>46055.0</v>
      </c>
      <c r="M387" s="21" t="s">
        <v>9581</v>
      </c>
      <c r="N387" s="21" t="s">
        <v>22</v>
      </c>
      <c r="O387" s="260"/>
      <c r="P387" s="260"/>
      <c r="Q387" s="260"/>
      <c r="R387" s="260"/>
      <c r="S387" s="260"/>
      <c r="T387" s="260"/>
      <c r="U387" s="260"/>
      <c r="V387" s="260"/>
      <c r="W387" s="260"/>
      <c r="X387" s="260"/>
      <c r="Y387" s="260"/>
      <c r="Z387" s="260"/>
    </row>
    <row r="388">
      <c r="A388" s="267">
        <v>45999.0</v>
      </c>
      <c r="B388" s="21" t="s">
        <v>2495</v>
      </c>
      <c r="C388" s="21" t="s">
        <v>9166</v>
      </c>
      <c r="D388" s="21" t="s">
        <v>9153</v>
      </c>
      <c r="E388" s="21" t="s">
        <v>9154</v>
      </c>
      <c r="F388" s="268" t="s">
        <v>9155</v>
      </c>
      <c r="G388" s="21" t="s">
        <v>9156</v>
      </c>
      <c r="H388" s="21" t="s">
        <v>5970</v>
      </c>
      <c r="I388" s="21" t="s">
        <v>9164</v>
      </c>
      <c r="J388" s="21" t="s">
        <v>9333</v>
      </c>
      <c r="K388" s="261">
        <v>46041.0</v>
      </c>
      <c r="L388" s="261">
        <v>46055.0</v>
      </c>
      <c r="M388" s="21" t="s">
        <v>9582</v>
      </c>
      <c r="N388" s="21" t="s">
        <v>22</v>
      </c>
      <c r="O388" s="260"/>
      <c r="P388" s="260"/>
      <c r="Q388" s="260"/>
      <c r="R388" s="260"/>
      <c r="S388" s="260"/>
      <c r="T388" s="260"/>
      <c r="U388" s="260"/>
      <c r="V388" s="260"/>
      <c r="W388" s="260"/>
      <c r="X388" s="260"/>
      <c r="Y388" s="260"/>
      <c r="Z388" s="260"/>
    </row>
    <row r="389">
      <c r="A389" s="267">
        <v>45999.0</v>
      </c>
      <c r="B389" s="21" t="s">
        <v>1807</v>
      </c>
      <c r="C389" s="21" t="s">
        <v>9166</v>
      </c>
      <c r="D389" s="21" t="s">
        <v>9153</v>
      </c>
      <c r="E389" s="21" t="s">
        <v>9154</v>
      </c>
      <c r="F389" s="268" t="s">
        <v>9155</v>
      </c>
      <c r="G389" s="21" t="s">
        <v>9156</v>
      </c>
      <c r="H389" s="21" t="s">
        <v>5970</v>
      </c>
      <c r="I389" s="21" t="s">
        <v>9164</v>
      </c>
      <c r="J389" s="21" t="s">
        <v>9333</v>
      </c>
      <c r="K389" s="261">
        <v>46041.0</v>
      </c>
      <c r="L389" s="261">
        <v>46055.0</v>
      </c>
      <c r="M389" s="21" t="s">
        <v>9583</v>
      </c>
      <c r="N389" s="21" t="s">
        <v>22</v>
      </c>
      <c r="O389" s="260"/>
      <c r="P389" s="260"/>
      <c r="Q389" s="260"/>
      <c r="R389" s="260"/>
      <c r="S389" s="260"/>
      <c r="T389" s="260"/>
      <c r="U389" s="260"/>
      <c r="V389" s="260"/>
      <c r="W389" s="260"/>
      <c r="X389" s="260"/>
      <c r="Y389" s="260"/>
      <c r="Z389" s="260"/>
    </row>
    <row r="390">
      <c r="A390" s="267">
        <v>45999.0</v>
      </c>
      <c r="B390" s="21" t="s">
        <v>1536</v>
      </c>
      <c r="C390" s="21" t="s">
        <v>9166</v>
      </c>
      <c r="D390" s="21" t="s">
        <v>9153</v>
      </c>
      <c r="E390" s="21" t="s">
        <v>9154</v>
      </c>
      <c r="F390" s="268" t="s">
        <v>9155</v>
      </c>
      <c r="G390" s="21" t="s">
        <v>9156</v>
      </c>
      <c r="H390" s="21" t="s">
        <v>5958</v>
      </c>
      <c r="I390" s="21" t="s">
        <v>9164</v>
      </c>
      <c r="J390" s="21" t="s">
        <v>9333</v>
      </c>
      <c r="K390" s="261">
        <v>46041.0</v>
      </c>
      <c r="L390" s="261">
        <v>46055.0</v>
      </c>
      <c r="M390" s="21" t="s">
        <v>9584</v>
      </c>
      <c r="N390" s="21" t="s">
        <v>22</v>
      </c>
      <c r="O390" s="260"/>
      <c r="P390" s="260"/>
      <c r="Q390" s="260"/>
      <c r="R390" s="260"/>
      <c r="S390" s="260"/>
      <c r="T390" s="260"/>
      <c r="U390" s="260"/>
      <c r="V390" s="260"/>
      <c r="W390" s="260"/>
      <c r="X390" s="260"/>
      <c r="Y390" s="260"/>
      <c r="Z390" s="260"/>
    </row>
    <row r="391">
      <c r="A391" s="267">
        <v>45999.0</v>
      </c>
      <c r="B391" s="21" t="s">
        <v>1804</v>
      </c>
      <c r="C391" s="21" t="s">
        <v>9166</v>
      </c>
      <c r="D391" s="21" t="s">
        <v>9153</v>
      </c>
      <c r="E391" s="21" t="s">
        <v>9154</v>
      </c>
      <c r="F391" s="268" t="s">
        <v>9155</v>
      </c>
      <c r="G391" s="21" t="s">
        <v>9156</v>
      </c>
      <c r="H391" s="21" t="s">
        <v>5970</v>
      </c>
      <c r="I391" s="21" t="s">
        <v>9164</v>
      </c>
      <c r="J391" s="21" t="s">
        <v>9333</v>
      </c>
      <c r="K391" s="261">
        <v>46041.0</v>
      </c>
      <c r="L391" s="261">
        <v>46055.0</v>
      </c>
      <c r="M391" s="21" t="s">
        <v>9585</v>
      </c>
      <c r="N391" s="21" t="s">
        <v>22</v>
      </c>
      <c r="O391" s="260"/>
      <c r="P391" s="260"/>
      <c r="Q391" s="260"/>
      <c r="R391" s="260"/>
      <c r="S391" s="260"/>
      <c r="T391" s="260"/>
      <c r="U391" s="260"/>
      <c r="V391" s="260"/>
      <c r="W391" s="260"/>
      <c r="X391" s="260"/>
      <c r="Y391" s="260"/>
      <c r="Z391" s="260"/>
    </row>
    <row r="392">
      <c r="A392" s="267">
        <v>45999.0</v>
      </c>
      <c r="B392" s="21" t="s">
        <v>1711</v>
      </c>
      <c r="C392" s="21" t="s">
        <v>9166</v>
      </c>
      <c r="D392" s="21" t="s">
        <v>9153</v>
      </c>
      <c r="E392" s="21" t="s">
        <v>9154</v>
      </c>
      <c r="F392" s="268" t="s">
        <v>9155</v>
      </c>
      <c r="G392" s="21" t="s">
        <v>9156</v>
      </c>
      <c r="H392" s="21" t="s">
        <v>5958</v>
      </c>
      <c r="I392" s="21" t="s">
        <v>9164</v>
      </c>
      <c r="J392" s="21" t="s">
        <v>9333</v>
      </c>
      <c r="K392" s="261">
        <v>46041.0</v>
      </c>
      <c r="L392" s="261">
        <v>46055.0</v>
      </c>
      <c r="M392" s="21" t="s">
        <v>9586</v>
      </c>
      <c r="N392" s="21" t="s">
        <v>22</v>
      </c>
      <c r="O392" s="260"/>
      <c r="P392" s="260"/>
      <c r="Q392" s="260"/>
      <c r="R392" s="260"/>
      <c r="S392" s="260"/>
      <c r="T392" s="260"/>
      <c r="U392" s="260"/>
      <c r="V392" s="260"/>
      <c r="W392" s="260"/>
      <c r="X392" s="260"/>
      <c r="Y392" s="260"/>
      <c r="Z392" s="260"/>
    </row>
    <row r="393">
      <c r="A393" s="267">
        <v>45999.0</v>
      </c>
      <c r="B393" s="21" t="s">
        <v>2933</v>
      </c>
      <c r="C393" s="21" t="s">
        <v>9166</v>
      </c>
      <c r="D393" s="21" t="s">
        <v>9153</v>
      </c>
      <c r="E393" s="21" t="s">
        <v>9154</v>
      </c>
      <c r="F393" s="268" t="s">
        <v>9155</v>
      </c>
      <c r="G393" s="21" t="s">
        <v>9156</v>
      </c>
      <c r="H393" s="21" t="s">
        <v>5958</v>
      </c>
      <c r="I393" s="21" t="s">
        <v>9164</v>
      </c>
      <c r="J393" s="21" t="s">
        <v>9333</v>
      </c>
      <c r="K393" s="261">
        <v>46041.0</v>
      </c>
      <c r="L393" s="261">
        <v>46055.0</v>
      </c>
      <c r="M393" s="21" t="s">
        <v>9587</v>
      </c>
      <c r="N393" s="21" t="s">
        <v>22</v>
      </c>
      <c r="O393" s="260"/>
      <c r="P393" s="260"/>
      <c r="Q393" s="260"/>
      <c r="R393" s="260"/>
      <c r="S393" s="260"/>
      <c r="T393" s="260"/>
      <c r="U393" s="260"/>
      <c r="V393" s="260"/>
      <c r="W393" s="260"/>
      <c r="X393" s="260"/>
      <c r="Y393" s="260"/>
      <c r="Z393" s="260"/>
    </row>
    <row r="394">
      <c r="A394" s="267">
        <v>45999.0</v>
      </c>
      <c r="B394" s="21" t="s">
        <v>2795</v>
      </c>
      <c r="C394" s="21" t="s">
        <v>9166</v>
      </c>
      <c r="D394" s="21" t="s">
        <v>9153</v>
      </c>
      <c r="E394" s="21" t="s">
        <v>9154</v>
      </c>
      <c r="F394" s="268" t="s">
        <v>9155</v>
      </c>
      <c r="G394" s="21" t="s">
        <v>9163</v>
      </c>
      <c r="H394" s="21" t="s">
        <v>5958</v>
      </c>
      <c r="I394" s="21" t="s">
        <v>9164</v>
      </c>
      <c r="J394" s="21" t="s">
        <v>9333</v>
      </c>
      <c r="K394" s="261">
        <v>46041.0</v>
      </c>
      <c r="L394" s="261">
        <v>46055.0</v>
      </c>
      <c r="M394" s="21" t="s">
        <v>9588</v>
      </c>
      <c r="N394" s="21" t="s">
        <v>22</v>
      </c>
      <c r="O394" s="260"/>
      <c r="P394" s="260"/>
      <c r="Q394" s="260"/>
      <c r="R394" s="260"/>
      <c r="S394" s="260"/>
      <c r="T394" s="260"/>
      <c r="U394" s="260"/>
      <c r="V394" s="260"/>
      <c r="W394" s="260"/>
      <c r="X394" s="260"/>
      <c r="Y394" s="260"/>
      <c r="Z394" s="260"/>
    </row>
    <row r="395">
      <c r="A395" s="267">
        <v>45999.0</v>
      </c>
      <c r="B395" s="21" t="s">
        <v>3146</v>
      </c>
      <c r="C395" s="21" t="s">
        <v>9166</v>
      </c>
      <c r="D395" s="21" t="s">
        <v>9153</v>
      </c>
      <c r="E395" s="21" t="s">
        <v>9154</v>
      </c>
      <c r="F395" s="268" t="s">
        <v>9155</v>
      </c>
      <c r="G395" s="21" t="s">
        <v>9156</v>
      </c>
      <c r="H395" s="21" t="s">
        <v>5958</v>
      </c>
      <c r="I395" s="21" t="s">
        <v>9164</v>
      </c>
      <c r="J395" s="21" t="s">
        <v>9333</v>
      </c>
      <c r="K395" s="261">
        <v>46041.0</v>
      </c>
      <c r="L395" s="261">
        <v>46055.0</v>
      </c>
      <c r="M395" s="21" t="s">
        <v>9589</v>
      </c>
      <c r="N395" s="21" t="s">
        <v>22</v>
      </c>
      <c r="O395" s="260"/>
      <c r="P395" s="260"/>
      <c r="Q395" s="260"/>
      <c r="R395" s="260"/>
      <c r="S395" s="260"/>
      <c r="T395" s="260"/>
      <c r="U395" s="260"/>
      <c r="V395" s="260"/>
      <c r="W395" s="260"/>
      <c r="X395" s="260"/>
      <c r="Y395" s="260"/>
      <c r="Z395" s="260"/>
    </row>
    <row r="396">
      <c r="A396" s="267">
        <v>45999.0</v>
      </c>
      <c r="B396" s="21" t="s">
        <v>1499</v>
      </c>
      <c r="C396" s="21" t="s">
        <v>9166</v>
      </c>
      <c r="D396" s="21" t="s">
        <v>9153</v>
      </c>
      <c r="E396" s="21" t="s">
        <v>9154</v>
      </c>
      <c r="F396" s="268" t="s">
        <v>9155</v>
      </c>
      <c r="G396" s="21" t="s">
        <v>9156</v>
      </c>
      <c r="H396" s="21" t="s">
        <v>5958</v>
      </c>
      <c r="I396" s="21" t="s">
        <v>9164</v>
      </c>
      <c r="J396" s="21" t="s">
        <v>9333</v>
      </c>
      <c r="K396" s="261">
        <v>46041.0</v>
      </c>
      <c r="L396" s="261">
        <v>46055.0</v>
      </c>
      <c r="M396" s="21" t="s">
        <v>9590</v>
      </c>
      <c r="N396" s="21" t="s">
        <v>22</v>
      </c>
      <c r="O396" s="260"/>
      <c r="P396" s="260"/>
      <c r="Q396" s="260"/>
      <c r="R396" s="260"/>
      <c r="S396" s="260"/>
      <c r="T396" s="260"/>
      <c r="U396" s="260"/>
      <c r="V396" s="260"/>
      <c r="W396" s="260"/>
      <c r="X396" s="260"/>
      <c r="Y396" s="260"/>
      <c r="Z396" s="260"/>
    </row>
    <row r="397">
      <c r="A397" s="267">
        <v>45999.0</v>
      </c>
      <c r="B397" s="21" t="s">
        <v>2797</v>
      </c>
      <c r="C397" s="21" t="s">
        <v>9166</v>
      </c>
      <c r="D397" s="21" t="s">
        <v>9153</v>
      </c>
      <c r="E397" s="21" t="s">
        <v>9154</v>
      </c>
      <c r="F397" s="268" t="s">
        <v>9155</v>
      </c>
      <c r="G397" s="21" t="s">
        <v>9156</v>
      </c>
      <c r="H397" s="21" t="s">
        <v>5958</v>
      </c>
      <c r="I397" s="21" t="s">
        <v>9164</v>
      </c>
      <c r="J397" s="21" t="s">
        <v>9333</v>
      </c>
      <c r="K397" s="261">
        <v>46041.0</v>
      </c>
      <c r="L397" s="261">
        <v>46055.0</v>
      </c>
      <c r="M397" s="21" t="s">
        <v>9591</v>
      </c>
      <c r="N397" s="21" t="s">
        <v>22</v>
      </c>
      <c r="O397" s="260"/>
      <c r="P397" s="260"/>
      <c r="Q397" s="260"/>
      <c r="R397" s="260"/>
      <c r="S397" s="260"/>
      <c r="T397" s="260"/>
      <c r="U397" s="260"/>
      <c r="V397" s="260"/>
      <c r="W397" s="260"/>
      <c r="X397" s="260"/>
      <c r="Y397" s="260"/>
      <c r="Z397" s="260"/>
    </row>
    <row r="398">
      <c r="A398" s="267"/>
      <c r="B398" s="21"/>
      <c r="C398" s="21"/>
      <c r="D398" s="21"/>
      <c r="E398" s="21"/>
      <c r="F398" s="21"/>
      <c r="G398" s="21"/>
      <c r="H398" s="21"/>
      <c r="I398" s="21"/>
      <c r="J398" s="21"/>
      <c r="K398" s="261" t="s">
        <v>39</v>
      </c>
      <c r="L398" s="261" t="s">
        <v>39</v>
      </c>
      <c r="M398" s="21"/>
      <c r="N398" s="21" t="s">
        <v>22</v>
      </c>
      <c r="O398" s="260"/>
      <c r="P398" s="260"/>
      <c r="Q398" s="260"/>
      <c r="R398" s="260"/>
      <c r="S398" s="260"/>
      <c r="T398" s="260"/>
      <c r="U398" s="260"/>
      <c r="V398" s="260"/>
      <c r="W398" s="260"/>
      <c r="X398" s="260"/>
      <c r="Y398" s="260"/>
      <c r="Z398" s="260"/>
    </row>
    <row r="399">
      <c r="A399" s="267">
        <v>45999.0</v>
      </c>
      <c r="B399" s="21" t="s">
        <v>2589</v>
      </c>
      <c r="C399" s="21" t="s">
        <v>9166</v>
      </c>
      <c r="D399" s="21" t="s">
        <v>9153</v>
      </c>
      <c r="E399" s="21" t="s">
        <v>9154</v>
      </c>
      <c r="F399" s="268" t="s">
        <v>9155</v>
      </c>
      <c r="G399" s="21" t="s">
        <v>9156</v>
      </c>
      <c r="H399" s="21" t="s">
        <v>5958</v>
      </c>
      <c r="I399" s="21" t="s">
        <v>9164</v>
      </c>
      <c r="J399" s="21" t="s">
        <v>9333</v>
      </c>
      <c r="K399" s="261">
        <v>46041.0</v>
      </c>
      <c r="L399" s="261">
        <v>46055.0</v>
      </c>
      <c r="M399" s="21" t="s">
        <v>9592</v>
      </c>
      <c r="N399" s="21" t="s">
        <v>22</v>
      </c>
      <c r="O399" s="260"/>
      <c r="P399" s="260"/>
      <c r="Q399" s="260"/>
      <c r="R399" s="260"/>
      <c r="S399" s="260"/>
      <c r="T399" s="260"/>
      <c r="U399" s="260"/>
      <c r="V399" s="260"/>
      <c r="W399" s="260"/>
      <c r="X399" s="260"/>
      <c r="Y399" s="260"/>
      <c r="Z399" s="260"/>
    </row>
    <row r="400">
      <c r="A400" s="267">
        <v>45999.0</v>
      </c>
      <c r="B400" s="21" t="s">
        <v>2534</v>
      </c>
      <c r="C400" s="21" t="s">
        <v>9166</v>
      </c>
      <c r="D400" s="21" t="s">
        <v>9153</v>
      </c>
      <c r="E400" s="21" t="s">
        <v>9154</v>
      </c>
      <c r="F400" s="268" t="s">
        <v>9155</v>
      </c>
      <c r="G400" s="21" t="s">
        <v>9156</v>
      </c>
      <c r="H400" s="21" t="s">
        <v>5958</v>
      </c>
      <c r="I400" s="21" t="s">
        <v>9164</v>
      </c>
      <c r="J400" s="21" t="s">
        <v>9333</v>
      </c>
      <c r="K400" s="261">
        <v>46041.0</v>
      </c>
      <c r="L400" s="261">
        <v>46055.0</v>
      </c>
      <c r="M400" s="21" t="s">
        <v>9593</v>
      </c>
      <c r="N400" s="21" t="s">
        <v>22</v>
      </c>
      <c r="O400" s="260"/>
      <c r="P400" s="260"/>
      <c r="Q400" s="260"/>
      <c r="R400" s="260"/>
      <c r="S400" s="260"/>
      <c r="T400" s="260"/>
      <c r="U400" s="260"/>
      <c r="V400" s="260"/>
      <c r="W400" s="260"/>
      <c r="X400" s="260"/>
      <c r="Y400" s="260"/>
      <c r="Z400" s="260"/>
    </row>
    <row r="401">
      <c r="A401" s="267">
        <v>45999.0</v>
      </c>
      <c r="B401" s="21" t="s">
        <v>2889</v>
      </c>
      <c r="C401" s="21" t="s">
        <v>9166</v>
      </c>
      <c r="D401" s="21" t="s">
        <v>9153</v>
      </c>
      <c r="E401" s="21" t="s">
        <v>9154</v>
      </c>
      <c r="F401" s="268" t="s">
        <v>9155</v>
      </c>
      <c r="G401" s="21" t="s">
        <v>9156</v>
      </c>
      <c r="H401" s="21" t="s">
        <v>5958</v>
      </c>
      <c r="I401" s="21" t="s">
        <v>9164</v>
      </c>
      <c r="J401" s="21" t="s">
        <v>9333</v>
      </c>
      <c r="K401" s="261">
        <v>46041.0</v>
      </c>
      <c r="L401" s="261">
        <v>46055.0</v>
      </c>
      <c r="M401" s="21" t="s">
        <v>9594</v>
      </c>
      <c r="N401" s="21" t="s">
        <v>22</v>
      </c>
      <c r="O401" s="260"/>
      <c r="P401" s="260"/>
      <c r="Q401" s="260"/>
      <c r="R401" s="260"/>
      <c r="S401" s="260"/>
      <c r="T401" s="260"/>
      <c r="U401" s="260"/>
      <c r="V401" s="260"/>
      <c r="W401" s="260"/>
      <c r="X401" s="260"/>
      <c r="Y401" s="260"/>
      <c r="Z401" s="260"/>
    </row>
    <row r="402">
      <c r="A402" s="267">
        <v>45999.0</v>
      </c>
      <c r="B402" s="21" t="s">
        <v>2473</v>
      </c>
      <c r="C402" s="21" t="s">
        <v>9166</v>
      </c>
      <c r="D402" s="21" t="s">
        <v>9153</v>
      </c>
      <c r="E402" s="21" t="s">
        <v>9154</v>
      </c>
      <c r="F402" s="268" t="s">
        <v>9155</v>
      </c>
      <c r="G402" s="21" t="s">
        <v>9156</v>
      </c>
      <c r="H402" s="21" t="s">
        <v>5970</v>
      </c>
      <c r="I402" s="21" t="s">
        <v>9164</v>
      </c>
      <c r="J402" s="21" t="s">
        <v>9333</v>
      </c>
      <c r="K402" s="261">
        <v>46041.0</v>
      </c>
      <c r="L402" s="261">
        <v>46055.0</v>
      </c>
      <c r="M402" s="21" t="s">
        <v>9595</v>
      </c>
      <c r="N402" s="21" t="s">
        <v>22</v>
      </c>
      <c r="O402" s="260"/>
      <c r="P402" s="260"/>
      <c r="Q402" s="260"/>
      <c r="R402" s="260"/>
      <c r="S402" s="260"/>
      <c r="T402" s="260"/>
      <c r="U402" s="260"/>
      <c r="V402" s="260"/>
      <c r="W402" s="260"/>
      <c r="X402" s="260"/>
      <c r="Y402" s="260"/>
      <c r="Z402" s="260"/>
    </row>
    <row r="403">
      <c r="A403" s="267">
        <v>45999.0</v>
      </c>
      <c r="B403" s="21" t="s">
        <v>2476</v>
      </c>
      <c r="C403" s="21" t="s">
        <v>9166</v>
      </c>
      <c r="D403" s="21" t="s">
        <v>9153</v>
      </c>
      <c r="E403" s="21" t="s">
        <v>9154</v>
      </c>
      <c r="F403" s="268" t="s">
        <v>9155</v>
      </c>
      <c r="G403" s="21" t="s">
        <v>9156</v>
      </c>
      <c r="H403" s="21" t="s">
        <v>5970</v>
      </c>
      <c r="I403" s="21" t="s">
        <v>9164</v>
      </c>
      <c r="J403" s="21" t="s">
        <v>9333</v>
      </c>
      <c r="K403" s="261">
        <v>46041.0</v>
      </c>
      <c r="L403" s="261">
        <v>46055.0</v>
      </c>
      <c r="M403" s="21" t="s">
        <v>9596</v>
      </c>
      <c r="N403" s="21" t="s">
        <v>22</v>
      </c>
      <c r="O403" s="260"/>
      <c r="P403" s="260"/>
      <c r="Q403" s="260"/>
      <c r="R403" s="260"/>
      <c r="S403" s="260"/>
      <c r="T403" s="260"/>
      <c r="U403" s="260"/>
      <c r="V403" s="260"/>
      <c r="W403" s="260"/>
      <c r="X403" s="260"/>
      <c r="Y403" s="260"/>
      <c r="Z403" s="260"/>
    </row>
    <row r="404">
      <c r="A404" s="267">
        <v>45999.0</v>
      </c>
      <c r="B404" s="21" t="s">
        <v>2351</v>
      </c>
      <c r="C404" s="21" t="s">
        <v>9166</v>
      </c>
      <c r="D404" s="21" t="s">
        <v>9153</v>
      </c>
      <c r="E404" s="21" t="s">
        <v>9154</v>
      </c>
      <c r="F404" s="268" t="s">
        <v>9155</v>
      </c>
      <c r="G404" s="21" t="s">
        <v>9223</v>
      </c>
      <c r="H404" s="21" t="s">
        <v>5956</v>
      </c>
      <c r="I404" s="21" t="s">
        <v>9164</v>
      </c>
      <c r="J404" s="21" t="s">
        <v>9333</v>
      </c>
      <c r="K404" s="261">
        <v>46041.0</v>
      </c>
      <c r="L404" s="261">
        <v>46055.0</v>
      </c>
      <c r="M404" s="21" t="s">
        <v>9597</v>
      </c>
      <c r="N404" s="21" t="s">
        <v>22</v>
      </c>
      <c r="O404" s="260"/>
      <c r="P404" s="260"/>
      <c r="Q404" s="260"/>
      <c r="R404" s="260"/>
      <c r="S404" s="260"/>
      <c r="T404" s="260"/>
      <c r="U404" s="260"/>
      <c r="V404" s="260"/>
      <c r="W404" s="260"/>
      <c r="X404" s="260"/>
      <c r="Y404" s="260"/>
      <c r="Z404" s="260"/>
    </row>
    <row r="405">
      <c r="A405" s="267">
        <v>45926.0</v>
      </c>
      <c r="B405" s="21" t="s">
        <v>3069</v>
      </c>
      <c r="C405" s="21" t="s">
        <v>9166</v>
      </c>
      <c r="D405" s="21" t="s">
        <v>9153</v>
      </c>
      <c r="E405" s="21" t="s">
        <v>9154</v>
      </c>
      <c r="F405" s="268" t="s">
        <v>9155</v>
      </c>
      <c r="G405" s="21" t="s">
        <v>9156</v>
      </c>
      <c r="H405" s="21" t="s">
        <v>5958</v>
      </c>
      <c r="I405" s="21" t="s">
        <v>9164</v>
      </c>
      <c r="J405" s="21" t="s">
        <v>8911</v>
      </c>
      <c r="K405" s="261">
        <v>45968.0</v>
      </c>
      <c r="L405" s="261">
        <v>45982.0</v>
      </c>
      <c r="M405" s="21" t="s">
        <v>9598</v>
      </c>
      <c r="N405" s="21" t="s">
        <v>22</v>
      </c>
      <c r="O405" s="260"/>
      <c r="P405" s="260"/>
      <c r="Q405" s="260"/>
      <c r="R405" s="260"/>
      <c r="S405" s="260"/>
      <c r="T405" s="260"/>
      <c r="U405" s="260"/>
      <c r="V405" s="260"/>
      <c r="W405" s="260"/>
      <c r="X405" s="260"/>
      <c r="Y405" s="260"/>
      <c r="Z405" s="260"/>
    </row>
    <row r="406">
      <c r="A406" s="267">
        <v>45926.0</v>
      </c>
      <c r="B406" s="21" t="s">
        <v>2059</v>
      </c>
      <c r="C406" s="21" t="s">
        <v>9166</v>
      </c>
      <c r="D406" s="21" t="s">
        <v>9153</v>
      </c>
      <c r="E406" s="21" t="s">
        <v>9154</v>
      </c>
      <c r="F406" s="268" t="s">
        <v>9155</v>
      </c>
      <c r="G406" s="21" t="s">
        <v>9156</v>
      </c>
      <c r="H406" s="21" t="s">
        <v>5958</v>
      </c>
      <c r="I406" s="21" t="s">
        <v>9164</v>
      </c>
      <c r="J406" s="21" t="s">
        <v>8911</v>
      </c>
      <c r="K406" s="261">
        <v>45968.0</v>
      </c>
      <c r="L406" s="261">
        <v>45982.0</v>
      </c>
      <c r="M406" s="21" t="s">
        <v>9599</v>
      </c>
      <c r="N406" s="21" t="s">
        <v>22</v>
      </c>
      <c r="O406" s="260"/>
      <c r="P406" s="260"/>
      <c r="Q406" s="260"/>
      <c r="R406" s="260"/>
      <c r="S406" s="260"/>
      <c r="T406" s="260"/>
      <c r="U406" s="260"/>
      <c r="V406" s="260"/>
      <c r="W406" s="260"/>
      <c r="X406" s="260"/>
      <c r="Y406" s="260"/>
      <c r="Z406" s="260"/>
    </row>
    <row r="407">
      <c r="A407" s="267">
        <v>45926.0</v>
      </c>
      <c r="B407" s="21" t="s">
        <v>3062</v>
      </c>
      <c r="C407" s="21" t="s">
        <v>9166</v>
      </c>
      <c r="D407" s="21" t="s">
        <v>9153</v>
      </c>
      <c r="E407" s="21" t="s">
        <v>9154</v>
      </c>
      <c r="F407" s="268" t="s">
        <v>9155</v>
      </c>
      <c r="G407" s="21" t="s">
        <v>9156</v>
      </c>
      <c r="H407" s="21" t="s">
        <v>5958</v>
      </c>
      <c r="I407" s="21" t="s">
        <v>9164</v>
      </c>
      <c r="J407" s="21" t="s">
        <v>8911</v>
      </c>
      <c r="K407" s="261">
        <v>45968.0</v>
      </c>
      <c r="L407" s="261">
        <v>45982.0</v>
      </c>
      <c r="M407" s="21" t="s">
        <v>9600</v>
      </c>
      <c r="N407" s="21" t="s">
        <v>22</v>
      </c>
      <c r="O407" s="260"/>
      <c r="P407" s="260"/>
      <c r="Q407" s="260"/>
      <c r="R407" s="260"/>
      <c r="S407" s="260"/>
      <c r="T407" s="260"/>
      <c r="U407" s="260"/>
      <c r="V407" s="260"/>
      <c r="W407" s="260"/>
      <c r="X407" s="260"/>
      <c r="Y407" s="260"/>
      <c r="Z407" s="260"/>
    </row>
    <row r="408">
      <c r="A408" s="267">
        <v>45926.0</v>
      </c>
      <c r="B408" s="21" t="s">
        <v>3152</v>
      </c>
      <c r="C408" s="21" t="s">
        <v>9166</v>
      </c>
      <c r="D408" s="21" t="s">
        <v>9153</v>
      </c>
      <c r="E408" s="21" t="s">
        <v>9154</v>
      </c>
      <c r="F408" s="268" t="s">
        <v>9155</v>
      </c>
      <c r="G408" s="21" t="s">
        <v>9156</v>
      </c>
      <c r="H408" s="21" t="s">
        <v>5958</v>
      </c>
      <c r="I408" s="21" t="s">
        <v>9164</v>
      </c>
      <c r="J408" s="21" t="s">
        <v>8911</v>
      </c>
      <c r="K408" s="261">
        <v>45968.0</v>
      </c>
      <c r="L408" s="261">
        <v>45982.0</v>
      </c>
      <c r="M408" s="21" t="s">
        <v>9601</v>
      </c>
      <c r="N408" s="21" t="s">
        <v>22</v>
      </c>
      <c r="O408" s="260"/>
      <c r="P408" s="260"/>
      <c r="Q408" s="260"/>
      <c r="R408" s="260"/>
      <c r="S408" s="260"/>
      <c r="T408" s="260"/>
      <c r="U408" s="260"/>
      <c r="V408" s="260"/>
      <c r="W408" s="260"/>
      <c r="X408" s="260"/>
      <c r="Y408" s="260"/>
      <c r="Z408" s="260"/>
    </row>
    <row r="409">
      <c r="A409" s="267">
        <v>45926.0</v>
      </c>
      <c r="B409" s="21" t="s">
        <v>2070</v>
      </c>
      <c r="C409" s="21" t="s">
        <v>9166</v>
      </c>
      <c r="D409" s="21" t="s">
        <v>9153</v>
      </c>
      <c r="E409" s="21" t="s">
        <v>9154</v>
      </c>
      <c r="F409" s="268" t="s">
        <v>9155</v>
      </c>
      <c r="G409" s="21" t="s">
        <v>9156</v>
      </c>
      <c r="H409" s="21" t="s">
        <v>5958</v>
      </c>
      <c r="I409" s="21" t="s">
        <v>9164</v>
      </c>
      <c r="J409" s="21" t="s">
        <v>8911</v>
      </c>
      <c r="K409" s="261">
        <v>45968.0</v>
      </c>
      <c r="L409" s="261">
        <v>45982.0</v>
      </c>
      <c r="M409" s="21" t="s">
        <v>9602</v>
      </c>
      <c r="N409" s="21" t="s">
        <v>22</v>
      </c>
      <c r="O409" s="260"/>
      <c r="P409" s="260"/>
      <c r="Q409" s="260"/>
      <c r="R409" s="260"/>
      <c r="S409" s="260"/>
      <c r="T409" s="260"/>
      <c r="U409" s="260"/>
      <c r="V409" s="260"/>
      <c r="W409" s="260"/>
      <c r="X409" s="260"/>
      <c r="Y409" s="260"/>
      <c r="Z409" s="260"/>
    </row>
    <row r="410">
      <c r="A410" s="267">
        <v>45999.0</v>
      </c>
      <c r="B410" s="21" t="s">
        <v>2059</v>
      </c>
      <c r="C410" s="21" t="s">
        <v>9166</v>
      </c>
      <c r="D410" s="21" t="s">
        <v>9153</v>
      </c>
      <c r="E410" s="21" t="s">
        <v>9154</v>
      </c>
      <c r="F410" s="268" t="s">
        <v>9155</v>
      </c>
      <c r="G410" s="21" t="s">
        <v>9156</v>
      </c>
      <c r="H410" s="21" t="s">
        <v>5958</v>
      </c>
      <c r="I410" s="21" t="s">
        <v>9164</v>
      </c>
      <c r="J410" s="21" t="s">
        <v>9333</v>
      </c>
      <c r="K410" s="261">
        <v>46041.0</v>
      </c>
      <c r="L410" s="261">
        <v>46055.0</v>
      </c>
      <c r="M410" s="21" t="s">
        <v>9603</v>
      </c>
      <c r="N410" s="21" t="s">
        <v>22</v>
      </c>
      <c r="O410" s="260"/>
      <c r="P410" s="260"/>
      <c r="Q410" s="260"/>
      <c r="R410" s="260"/>
      <c r="S410" s="260"/>
      <c r="T410" s="260"/>
      <c r="U410" s="260"/>
      <c r="V410" s="260"/>
      <c r="W410" s="260"/>
      <c r="X410" s="260"/>
      <c r="Y410" s="260"/>
      <c r="Z410" s="260"/>
    </row>
    <row r="411">
      <c r="A411" s="267">
        <v>45999.0</v>
      </c>
      <c r="B411" s="21" t="s">
        <v>2375</v>
      </c>
      <c r="C411" s="21" t="s">
        <v>9166</v>
      </c>
      <c r="D411" s="21" t="s">
        <v>9153</v>
      </c>
      <c r="E411" s="21" t="s">
        <v>9154</v>
      </c>
      <c r="F411" s="268" t="s">
        <v>9155</v>
      </c>
      <c r="G411" s="21" t="s">
        <v>9223</v>
      </c>
      <c r="H411" s="21" t="s">
        <v>5956</v>
      </c>
      <c r="I411" s="21" t="s">
        <v>9164</v>
      </c>
      <c r="J411" s="21" t="s">
        <v>9333</v>
      </c>
      <c r="K411" s="261">
        <v>46041.0</v>
      </c>
      <c r="L411" s="261">
        <v>46055.0</v>
      </c>
      <c r="M411" s="21" t="s">
        <v>9604</v>
      </c>
      <c r="N411" s="21" t="s">
        <v>22</v>
      </c>
      <c r="O411" s="260"/>
      <c r="P411" s="260"/>
      <c r="Q411" s="260"/>
      <c r="R411" s="260"/>
      <c r="S411" s="260"/>
      <c r="T411" s="260"/>
      <c r="U411" s="260"/>
      <c r="V411" s="260"/>
      <c r="W411" s="260"/>
      <c r="X411" s="260"/>
      <c r="Y411" s="260"/>
      <c r="Z411" s="260"/>
    </row>
    <row r="412">
      <c r="A412" s="267">
        <v>45999.0</v>
      </c>
      <c r="B412" s="21" t="s">
        <v>2337</v>
      </c>
      <c r="C412" s="21" t="s">
        <v>9166</v>
      </c>
      <c r="D412" s="21" t="s">
        <v>9153</v>
      </c>
      <c r="E412" s="21" t="s">
        <v>9154</v>
      </c>
      <c r="F412" s="268" t="s">
        <v>9155</v>
      </c>
      <c r="G412" s="21" t="s">
        <v>9223</v>
      </c>
      <c r="H412" s="21" t="s">
        <v>5956</v>
      </c>
      <c r="I412" s="21" t="s">
        <v>9164</v>
      </c>
      <c r="J412" s="21" t="s">
        <v>9333</v>
      </c>
      <c r="K412" s="261">
        <v>46041.0</v>
      </c>
      <c r="L412" s="261">
        <v>46055.0</v>
      </c>
      <c r="M412" s="21" t="s">
        <v>9605</v>
      </c>
      <c r="N412" s="21" t="s">
        <v>22</v>
      </c>
      <c r="O412" s="260"/>
      <c r="P412" s="260"/>
      <c r="Q412" s="260"/>
      <c r="R412" s="260"/>
      <c r="S412" s="260"/>
      <c r="T412" s="260"/>
      <c r="U412" s="260"/>
      <c r="V412" s="260"/>
      <c r="W412" s="260"/>
      <c r="X412" s="260"/>
      <c r="Y412" s="260"/>
      <c r="Z412" s="260"/>
    </row>
    <row r="413">
      <c r="A413" s="267">
        <v>45926.0</v>
      </c>
      <c r="B413" s="21" t="s">
        <v>1853</v>
      </c>
      <c r="C413" s="21" t="s">
        <v>9166</v>
      </c>
      <c r="D413" s="21" t="s">
        <v>9153</v>
      </c>
      <c r="E413" s="21" t="s">
        <v>9154</v>
      </c>
      <c r="F413" s="268" t="s">
        <v>9155</v>
      </c>
      <c r="G413" s="21" t="s">
        <v>9156</v>
      </c>
      <c r="H413" s="21" t="s">
        <v>5958</v>
      </c>
      <c r="I413" s="21" t="s">
        <v>9164</v>
      </c>
      <c r="J413" s="21" t="s">
        <v>8911</v>
      </c>
      <c r="K413" s="261">
        <v>45968.0</v>
      </c>
      <c r="L413" s="261">
        <v>45982.0</v>
      </c>
      <c r="M413" s="21" t="s">
        <v>9606</v>
      </c>
      <c r="N413" s="21" t="s">
        <v>22</v>
      </c>
      <c r="O413" s="260"/>
      <c r="P413" s="260"/>
      <c r="Q413" s="260"/>
      <c r="R413" s="260"/>
      <c r="S413" s="260"/>
      <c r="T413" s="260"/>
      <c r="U413" s="260"/>
      <c r="V413" s="260"/>
      <c r="W413" s="260"/>
      <c r="X413" s="260"/>
      <c r="Y413" s="260"/>
      <c r="Z413" s="260"/>
    </row>
    <row r="414">
      <c r="A414" s="267">
        <v>45999.0</v>
      </c>
      <c r="B414" s="21" t="s">
        <v>2343</v>
      </c>
      <c r="C414" s="21" t="s">
        <v>9166</v>
      </c>
      <c r="D414" s="21" t="s">
        <v>9153</v>
      </c>
      <c r="E414" s="21" t="s">
        <v>9154</v>
      </c>
      <c r="F414" s="268" t="s">
        <v>9155</v>
      </c>
      <c r="G414" s="21" t="s">
        <v>9223</v>
      </c>
      <c r="H414" s="21" t="s">
        <v>5956</v>
      </c>
      <c r="I414" s="21" t="s">
        <v>9164</v>
      </c>
      <c r="J414" s="21" t="s">
        <v>9333</v>
      </c>
      <c r="K414" s="261">
        <v>46041.0</v>
      </c>
      <c r="L414" s="261">
        <v>46055.0</v>
      </c>
      <c r="M414" s="21" t="s">
        <v>9607</v>
      </c>
      <c r="N414" s="21" t="s">
        <v>22</v>
      </c>
      <c r="O414" s="260"/>
      <c r="P414" s="260"/>
      <c r="Q414" s="260"/>
      <c r="R414" s="260"/>
      <c r="S414" s="260"/>
      <c r="T414" s="260"/>
      <c r="U414" s="260"/>
      <c r="V414" s="260"/>
      <c r="W414" s="260"/>
      <c r="X414" s="260"/>
      <c r="Y414" s="260"/>
      <c r="Z414" s="260"/>
    </row>
    <row r="415">
      <c r="A415" s="267">
        <v>45999.0</v>
      </c>
      <c r="B415" s="21" t="s">
        <v>2345</v>
      </c>
      <c r="C415" s="21" t="s">
        <v>9166</v>
      </c>
      <c r="D415" s="21" t="s">
        <v>9153</v>
      </c>
      <c r="E415" s="21" t="s">
        <v>9154</v>
      </c>
      <c r="F415" s="268" t="s">
        <v>9155</v>
      </c>
      <c r="G415" s="21" t="s">
        <v>9223</v>
      </c>
      <c r="H415" s="21" t="s">
        <v>5956</v>
      </c>
      <c r="I415" s="21" t="s">
        <v>9164</v>
      </c>
      <c r="J415" s="21" t="s">
        <v>9333</v>
      </c>
      <c r="K415" s="261">
        <v>46041.0</v>
      </c>
      <c r="L415" s="261">
        <v>46055.0</v>
      </c>
      <c r="M415" s="21" t="s">
        <v>9608</v>
      </c>
      <c r="N415" s="21" t="s">
        <v>22</v>
      </c>
      <c r="O415" s="260"/>
      <c r="P415" s="260"/>
      <c r="Q415" s="260"/>
      <c r="R415" s="260"/>
      <c r="S415" s="260"/>
      <c r="T415" s="260"/>
      <c r="U415" s="260"/>
      <c r="V415" s="260"/>
      <c r="W415" s="260"/>
      <c r="X415" s="260"/>
      <c r="Y415" s="260"/>
      <c r="Z415" s="260"/>
    </row>
    <row r="416">
      <c r="A416" s="267">
        <v>45999.0</v>
      </c>
      <c r="B416" s="21" t="s">
        <v>2357</v>
      </c>
      <c r="C416" s="21" t="s">
        <v>9166</v>
      </c>
      <c r="D416" s="21" t="s">
        <v>9153</v>
      </c>
      <c r="E416" s="21" t="s">
        <v>9154</v>
      </c>
      <c r="F416" s="268" t="s">
        <v>9155</v>
      </c>
      <c r="G416" s="21" t="s">
        <v>9223</v>
      </c>
      <c r="H416" s="21" t="s">
        <v>5956</v>
      </c>
      <c r="I416" s="21" t="s">
        <v>9164</v>
      </c>
      <c r="J416" s="21" t="s">
        <v>9333</v>
      </c>
      <c r="K416" s="261">
        <v>46041.0</v>
      </c>
      <c r="L416" s="261">
        <v>46055.0</v>
      </c>
      <c r="M416" s="21" t="s">
        <v>9609</v>
      </c>
      <c r="N416" s="21" t="s">
        <v>22</v>
      </c>
      <c r="O416" s="260"/>
      <c r="P416" s="260"/>
      <c r="Q416" s="260"/>
      <c r="R416" s="260"/>
      <c r="S416" s="260"/>
      <c r="T416" s="260"/>
      <c r="U416" s="260"/>
      <c r="V416" s="260"/>
      <c r="W416" s="260"/>
      <c r="X416" s="260"/>
      <c r="Y416" s="260"/>
      <c r="Z416" s="260"/>
    </row>
    <row r="417">
      <c r="A417" s="267">
        <v>45999.0</v>
      </c>
      <c r="B417" s="21" t="s">
        <v>2361</v>
      </c>
      <c r="C417" s="21" t="s">
        <v>9166</v>
      </c>
      <c r="D417" s="21" t="s">
        <v>9153</v>
      </c>
      <c r="E417" s="21" t="s">
        <v>9154</v>
      </c>
      <c r="F417" s="268" t="s">
        <v>9155</v>
      </c>
      <c r="G417" s="21" t="s">
        <v>9223</v>
      </c>
      <c r="H417" s="21" t="s">
        <v>5956</v>
      </c>
      <c r="I417" s="21" t="s">
        <v>9164</v>
      </c>
      <c r="J417" s="21" t="s">
        <v>9333</v>
      </c>
      <c r="K417" s="261">
        <v>46041.0</v>
      </c>
      <c r="L417" s="261">
        <v>46055.0</v>
      </c>
      <c r="M417" s="21" t="s">
        <v>9610</v>
      </c>
      <c r="N417" s="21" t="s">
        <v>22</v>
      </c>
      <c r="O417" s="260"/>
      <c r="P417" s="260"/>
      <c r="Q417" s="260"/>
      <c r="R417" s="260"/>
      <c r="S417" s="260"/>
      <c r="T417" s="260"/>
      <c r="U417" s="260"/>
      <c r="V417" s="260"/>
      <c r="W417" s="260"/>
      <c r="X417" s="260"/>
      <c r="Y417" s="260"/>
      <c r="Z417" s="260"/>
    </row>
    <row r="418">
      <c r="A418" s="267">
        <v>45999.0</v>
      </c>
      <c r="B418" s="21" t="s">
        <v>2377</v>
      </c>
      <c r="C418" s="21" t="s">
        <v>9166</v>
      </c>
      <c r="D418" s="21" t="s">
        <v>9153</v>
      </c>
      <c r="E418" s="21" t="s">
        <v>9154</v>
      </c>
      <c r="F418" s="268" t="s">
        <v>9155</v>
      </c>
      <c r="G418" s="21" t="s">
        <v>9223</v>
      </c>
      <c r="H418" s="21" t="s">
        <v>5956</v>
      </c>
      <c r="I418" s="21" t="s">
        <v>9164</v>
      </c>
      <c r="J418" s="21" t="s">
        <v>9333</v>
      </c>
      <c r="K418" s="261">
        <v>46041.0</v>
      </c>
      <c r="L418" s="261">
        <v>46055.0</v>
      </c>
      <c r="M418" s="21" t="s">
        <v>9611</v>
      </c>
      <c r="N418" s="21" t="s">
        <v>22</v>
      </c>
      <c r="O418" s="260"/>
      <c r="P418" s="260"/>
      <c r="Q418" s="260"/>
      <c r="R418" s="260"/>
      <c r="S418" s="260"/>
      <c r="T418" s="260"/>
      <c r="U418" s="260"/>
      <c r="V418" s="260"/>
      <c r="W418" s="260"/>
      <c r="X418" s="260"/>
      <c r="Y418" s="260"/>
      <c r="Z418" s="260"/>
    </row>
    <row r="419">
      <c r="A419" s="267">
        <v>45999.0</v>
      </c>
      <c r="B419" s="21" t="s">
        <v>2351</v>
      </c>
      <c r="C419" s="21" t="s">
        <v>9166</v>
      </c>
      <c r="D419" s="21" t="s">
        <v>9153</v>
      </c>
      <c r="E419" s="21" t="s">
        <v>9154</v>
      </c>
      <c r="F419" s="268" t="s">
        <v>9155</v>
      </c>
      <c r="G419" s="21" t="s">
        <v>9223</v>
      </c>
      <c r="H419" s="21" t="s">
        <v>5956</v>
      </c>
      <c r="I419" s="21" t="s">
        <v>9164</v>
      </c>
      <c r="J419" s="21" t="s">
        <v>9333</v>
      </c>
      <c r="K419" s="261">
        <v>46041.0</v>
      </c>
      <c r="L419" s="261">
        <v>46055.0</v>
      </c>
      <c r="M419" s="21" t="s">
        <v>9612</v>
      </c>
      <c r="N419" s="21" t="s">
        <v>22</v>
      </c>
      <c r="O419" s="260"/>
      <c r="P419" s="260"/>
      <c r="Q419" s="260"/>
      <c r="R419" s="260"/>
      <c r="S419" s="260"/>
      <c r="T419" s="260"/>
      <c r="U419" s="260"/>
      <c r="V419" s="260"/>
      <c r="W419" s="260"/>
      <c r="X419" s="260"/>
      <c r="Y419" s="260"/>
      <c r="Z419" s="260"/>
    </row>
    <row r="420">
      <c r="A420" s="267">
        <v>45999.0</v>
      </c>
      <c r="B420" s="21" t="s">
        <v>2367</v>
      </c>
      <c r="C420" s="21" t="s">
        <v>9166</v>
      </c>
      <c r="D420" s="21" t="s">
        <v>9153</v>
      </c>
      <c r="E420" s="21" t="s">
        <v>9154</v>
      </c>
      <c r="F420" s="268" t="s">
        <v>9155</v>
      </c>
      <c r="G420" s="21" t="s">
        <v>9223</v>
      </c>
      <c r="H420" s="21" t="s">
        <v>5956</v>
      </c>
      <c r="I420" s="21" t="s">
        <v>9164</v>
      </c>
      <c r="J420" s="21" t="s">
        <v>9333</v>
      </c>
      <c r="K420" s="261">
        <v>46041.0</v>
      </c>
      <c r="L420" s="261">
        <v>46055.0</v>
      </c>
      <c r="M420" s="21" t="s">
        <v>9613</v>
      </c>
      <c r="N420" s="21" t="s">
        <v>22</v>
      </c>
      <c r="O420" s="260"/>
      <c r="P420" s="260"/>
      <c r="Q420" s="260"/>
      <c r="R420" s="260"/>
      <c r="S420" s="260"/>
      <c r="T420" s="260"/>
      <c r="U420" s="260"/>
      <c r="V420" s="260"/>
      <c r="W420" s="260"/>
      <c r="X420" s="260"/>
      <c r="Y420" s="260"/>
      <c r="Z420" s="260"/>
    </row>
    <row r="421">
      <c r="A421" s="267">
        <v>45999.0</v>
      </c>
      <c r="B421" s="21" t="s">
        <v>2349</v>
      </c>
      <c r="C421" s="21" t="s">
        <v>9166</v>
      </c>
      <c r="D421" s="21" t="s">
        <v>9153</v>
      </c>
      <c r="E421" s="21" t="s">
        <v>9154</v>
      </c>
      <c r="F421" s="268" t="s">
        <v>9155</v>
      </c>
      <c r="G421" s="21" t="s">
        <v>9223</v>
      </c>
      <c r="H421" s="21" t="s">
        <v>5956</v>
      </c>
      <c r="I421" s="21" t="s">
        <v>9164</v>
      </c>
      <c r="J421" s="21" t="s">
        <v>9333</v>
      </c>
      <c r="K421" s="261">
        <v>46041.0</v>
      </c>
      <c r="L421" s="261">
        <v>46055.0</v>
      </c>
      <c r="M421" s="21" t="s">
        <v>9614</v>
      </c>
      <c r="N421" s="21" t="s">
        <v>22</v>
      </c>
      <c r="O421" s="260"/>
      <c r="P421" s="260"/>
      <c r="Q421" s="260"/>
      <c r="R421" s="260"/>
      <c r="S421" s="260"/>
      <c r="T421" s="260"/>
      <c r="U421" s="260"/>
      <c r="V421" s="260"/>
      <c r="W421" s="260"/>
      <c r="X421" s="260"/>
      <c r="Y421" s="260"/>
      <c r="Z421" s="260"/>
    </row>
    <row r="422">
      <c r="A422" s="267">
        <v>45999.0</v>
      </c>
      <c r="B422" s="21" t="s">
        <v>2371</v>
      </c>
      <c r="C422" s="21" t="s">
        <v>9166</v>
      </c>
      <c r="D422" s="21" t="s">
        <v>9153</v>
      </c>
      <c r="E422" s="21" t="s">
        <v>9154</v>
      </c>
      <c r="F422" s="268" t="s">
        <v>9155</v>
      </c>
      <c r="G422" s="21" t="s">
        <v>9223</v>
      </c>
      <c r="H422" s="21" t="s">
        <v>5956</v>
      </c>
      <c r="I422" s="21" t="s">
        <v>9164</v>
      </c>
      <c r="J422" s="21" t="s">
        <v>9333</v>
      </c>
      <c r="K422" s="261">
        <v>46041.0</v>
      </c>
      <c r="L422" s="261">
        <v>46055.0</v>
      </c>
      <c r="M422" s="21" t="s">
        <v>9615</v>
      </c>
      <c r="N422" s="21" t="s">
        <v>22</v>
      </c>
      <c r="O422" s="260"/>
      <c r="P422" s="260"/>
      <c r="Q422" s="260"/>
      <c r="R422" s="260"/>
      <c r="S422" s="260"/>
      <c r="T422" s="260"/>
      <c r="U422" s="260"/>
      <c r="V422" s="260"/>
      <c r="W422" s="260"/>
      <c r="X422" s="260"/>
      <c r="Y422" s="260"/>
      <c r="Z422" s="260"/>
    </row>
    <row r="423">
      <c r="A423" s="267">
        <v>45999.0</v>
      </c>
      <c r="B423" s="21" t="s">
        <v>2373</v>
      </c>
      <c r="C423" s="21" t="s">
        <v>9166</v>
      </c>
      <c r="D423" s="21" t="s">
        <v>9153</v>
      </c>
      <c r="E423" s="21" t="s">
        <v>9154</v>
      </c>
      <c r="F423" s="268" t="s">
        <v>9155</v>
      </c>
      <c r="G423" s="21" t="s">
        <v>9223</v>
      </c>
      <c r="H423" s="21" t="s">
        <v>5956</v>
      </c>
      <c r="I423" s="21" t="s">
        <v>9164</v>
      </c>
      <c r="J423" s="21" t="s">
        <v>9333</v>
      </c>
      <c r="K423" s="261">
        <v>46041.0</v>
      </c>
      <c r="L423" s="261">
        <v>46055.0</v>
      </c>
      <c r="M423" s="21" t="s">
        <v>9616</v>
      </c>
      <c r="N423" s="21" t="s">
        <v>22</v>
      </c>
      <c r="O423" s="260"/>
      <c r="P423" s="260"/>
      <c r="Q423" s="260"/>
      <c r="R423" s="260"/>
      <c r="S423" s="260"/>
      <c r="T423" s="260"/>
      <c r="U423" s="260"/>
      <c r="V423" s="260"/>
      <c r="W423" s="260"/>
      <c r="X423" s="260"/>
      <c r="Y423" s="260"/>
      <c r="Z423" s="260"/>
    </row>
    <row r="424">
      <c r="A424" s="267">
        <v>45926.0</v>
      </c>
      <c r="B424" s="21" t="s">
        <v>3066</v>
      </c>
      <c r="C424" s="21" t="s">
        <v>9166</v>
      </c>
      <c r="D424" s="21" t="s">
        <v>9153</v>
      </c>
      <c r="E424" s="21" t="s">
        <v>9154</v>
      </c>
      <c r="F424" s="268" t="s">
        <v>9155</v>
      </c>
      <c r="G424" s="21" t="s">
        <v>9156</v>
      </c>
      <c r="H424" s="21" t="s">
        <v>5958</v>
      </c>
      <c r="I424" s="21" t="s">
        <v>9164</v>
      </c>
      <c r="J424" s="21" t="s">
        <v>8911</v>
      </c>
      <c r="K424" s="261">
        <v>45968.0</v>
      </c>
      <c r="L424" s="261">
        <v>45982.0</v>
      </c>
      <c r="M424" s="21" t="s">
        <v>9617</v>
      </c>
      <c r="N424" s="21" t="s">
        <v>22</v>
      </c>
      <c r="O424" s="260"/>
      <c r="P424" s="260"/>
      <c r="Q424" s="260"/>
      <c r="R424" s="260"/>
      <c r="S424" s="260"/>
      <c r="T424" s="260"/>
      <c r="U424" s="260"/>
      <c r="V424" s="260"/>
      <c r="W424" s="260"/>
      <c r="X424" s="260"/>
      <c r="Y424" s="260"/>
      <c r="Z424" s="260"/>
    </row>
    <row r="425">
      <c r="A425" s="267">
        <v>45999.0</v>
      </c>
      <c r="B425" s="21" t="s">
        <v>2320</v>
      </c>
      <c r="C425" s="21" t="s">
        <v>9166</v>
      </c>
      <c r="D425" s="21" t="s">
        <v>9153</v>
      </c>
      <c r="E425" s="21" t="s">
        <v>9154</v>
      </c>
      <c r="F425" s="268" t="s">
        <v>9155</v>
      </c>
      <c r="G425" s="21" t="s">
        <v>9223</v>
      </c>
      <c r="H425" s="21" t="s">
        <v>5956</v>
      </c>
      <c r="I425" s="21" t="s">
        <v>9164</v>
      </c>
      <c r="J425" s="21" t="s">
        <v>9333</v>
      </c>
      <c r="K425" s="261">
        <v>46041.0</v>
      </c>
      <c r="L425" s="261">
        <v>46055.0</v>
      </c>
      <c r="M425" s="21" t="s">
        <v>9618</v>
      </c>
      <c r="N425" s="21" t="s">
        <v>22</v>
      </c>
      <c r="O425" s="260"/>
      <c r="P425" s="260"/>
      <c r="Q425" s="260"/>
      <c r="R425" s="260"/>
      <c r="S425" s="260"/>
      <c r="T425" s="260"/>
      <c r="U425" s="260"/>
      <c r="V425" s="260"/>
      <c r="W425" s="260"/>
      <c r="X425" s="260"/>
      <c r="Y425" s="260"/>
      <c r="Z425" s="260"/>
    </row>
    <row r="426">
      <c r="A426" s="267">
        <v>45999.0</v>
      </c>
      <c r="B426" s="21" t="s">
        <v>2359</v>
      </c>
      <c r="C426" s="21" t="s">
        <v>9166</v>
      </c>
      <c r="D426" s="21" t="s">
        <v>9153</v>
      </c>
      <c r="E426" s="21" t="s">
        <v>9154</v>
      </c>
      <c r="F426" s="268" t="s">
        <v>9155</v>
      </c>
      <c r="G426" s="21" t="s">
        <v>9223</v>
      </c>
      <c r="H426" s="21" t="s">
        <v>5956</v>
      </c>
      <c r="I426" s="21" t="s">
        <v>9164</v>
      </c>
      <c r="J426" s="21" t="s">
        <v>9333</v>
      </c>
      <c r="K426" s="261">
        <v>46041.0</v>
      </c>
      <c r="L426" s="261">
        <v>46055.0</v>
      </c>
      <c r="M426" s="21" t="s">
        <v>9619</v>
      </c>
      <c r="N426" s="21" t="s">
        <v>22</v>
      </c>
      <c r="O426" s="260"/>
      <c r="P426" s="260"/>
      <c r="Q426" s="260"/>
      <c r="R426" s="260"/>
      <c r="S426" s="260"/>
      <c r="T426" s="260"/>
      <c r="U426" s="260"/>
      <c r="V426" s="260"/>
      <c r="W426" s="260"/>
      <c r="X426" s="260"/>
      <c r="Y426" s="260"/>
      <c r="Z426" s="260"/>
    </row>
    <row r="427">
      <c r="A427" s="267">
        <v>45926.0</v>
      </c>
      <c r="B427" s="21" t="s">
        <v>2810</v>
      </c>
      <c r="C427" s="21" t="s">
        <v>9166</v>
      </c>
      <c r="D427" s="21" t="s">
        <v>9153</v>
      </c>
      <c r="E427" s="21" t="s">
        <v>9154</v>
      </c>
      <c r="F427" s="268" t="s">
        <v>9155</v>
      </c>
      <c r="G427" s="21" t="s">
        <v>9156</v>
      </c>
      <c r="H427" s="21" t="s">
        <v>5958</v>
      </c>
      <c r="I427" s="21" t="s">
        <v>9164</v>
      </c>
      <c r="J427" s="21" t="s">
        <v>8911</v>
      </c>
      <c r="K427" s="261">
        <v>45968.0</v>
      </c>
      <c r="L427" s="261">
        <v>45982.0</v>
      </c>
      <c r="M427" s="21" t="s">
        <v>9620</v>
      </c>
      <c r="N427" s="21" t="s">
        <v>22</v>
      </c>
      <c r="O427" s="260"/>
      <c r="P427" s="260"/>
      <c r="Q427" s="260"/>
      <c r="R427" s="260"/>
      <c r="S427" s="260"/>
      <c r="T427" s="260"/>
      <c r="U427" s="260"/>
      <c r="V427" s="260"/>
      <c r="W427" s="260"/>
      <c r="X427" s="260"/>
      <c r="Y427" s="260"/>
      <c r="Z427" s="260"/>
    </row>
    <row r="428">
      <c r="A428" s="267">
        <v>45999.0</v>
      </c>
      <c r="B428" s="21" t="s">
        <v>2347</v>
      </c>
      <c r="C428" s="21" t="s">
        <v>9166</v>
      </c>
      <c r="D428" s="21" t="s">
        <v>9153</v>
      </c>
      <c r="E428" s="21" t="s">
        <v>9154</v>
      </c>
      <c r="F428" s="268" t="s">
        <v>9155</v>
      </c>
      <c r="G428" s="21" t="s">
        <v>9223</v>
      </c>
      <c r="H428" s="21" t="s">
        <v>5956</v>
      </c>
      <c r="I428" s="21" t="s">
        <v>9164</v>
      </c>
      <c r="J428" s="21" t="s">
        <v>9333</v>
      </c>
      <c r="K428" s="261">
        <v>46041.0</v>
      </c>
      <c r="L428" s="261">
        <v>46055.0</v>
      </c>
      <c r="M428" s="21" t="s">
        <v>9621</v>
      </c>
      <c r="N428" s="21" t="s">
        <v>22</v>
      </c>
      <c r="O428" s="260"/>
      <c r="P428" s="260"/>
      <c r="Q428" s="260"/>
      <c r="R428" s="260"/>
      <c r="S428" s="260"/>
      <c r="T428" s="260"/>
      <c r="U428" s="260"/>
      <c r="V428" s="260"/>
      <c r="W428" s="260"/>
      <c r="X428" s="260"/>
      <c r="Y428" s="260"/>
      <c r="Z428" s="260"/>
    </row>
    <row r="429">
      <c r="A429" s="267">
        <v>45999.0</v>
      </c>
      <c r="B429" s="21" t="s">
        <v>2661</v>
      </c>
      <c r="C429" s="21" t="s">
        <v>9166</v>
      </c>
      <c r="D429" s="21" t="s">
        <v>9153</v>
      </c>
      <c r="E429" s="21" t="s">
        <v>9154</v>
      </c>
      <c r="F429" s="268" t="s">
        <v>9155</v>
      </c>
      <c r="G429" s="21" t="s">
        <v>9223</v>
      </c>
      <c r="H429" s="21" t="s">
        <v>5956</v>
      </c>
      <c r="I429" s="21" t="s">
        <v>9164</v>
      </c>
      <c r="J429" s="21" t="s">
        <v>9333</v>
      </c>
      <c r="K429" s="261">
        <v>46041.0</v>
      </c>
      <c r="L429" s="261">
        <v>46055.0</v>
      </c>
      <c r="M429" s="21" t="s">
        <v>9622</v>
      </c>
      <c r="N429" s="21" t="s">
        <v>22</v>
      </c>
      <c r="O429" s="260"/>
      <c r="P429" s="260"/>
      <c r="Q429" s="260"/>
      <c r="R429" s="260"/>
      <c r="S429" s="260"/>
      <c r="T429" s="260"/>
      <c r="U429" s="260"/>
      <c r="V429" s="260"/>
      <c r="W429" s="260"/>
      <c r="X429" s="260"/>
      <c r="Y429" s="260"/>
      <c r="Z429" s="260"/>
    </row>
    <row r="430">
      <c r="A430" s="267">
        <v>45999.0</v>
      </c>
      <c r="B430" s="21" t="s">
        <v>2365</v>
      </c>
      <c r="C430" s="21" t="s">
        <v>9166</v>
      </c>
      <c r="D430" s="21" t="s">
        <v>9153</v>
      </c>
      <c r="E430" s="21" t="s">
        <v>9154</v>
      </c>
      <c r="F430" s="268" t="s">
        <v>9155</v>
      </c>
      <c r="G430" s="21" t="s">
        <v>9223</v>
      </c>
      <c r="H430" s="21" t="s">
        <v>5956</v>
      </c>
      <c r="I430" s="21" t="s">
        <v>9164</v>
      </c>
      <c r="J430" s="21" t="s">
        <v>9333</v>
      </c>
      <c r="K430" s="261">
        <v>46041.0</v>
      </c>
      <c r="L430" s="261">
        <v>46055.0</v>
      </c>
      <c r="M430" s="21" t="s">
        <v>9623</v>
      </c>
      <c r="N430" s="21" t="s">
        <v>22</v>
      </c>
      <c r="O430" s="260"/>
      <c r="P430" s="260"/>
      <c r="Q430" s="260"/>
      <c r="R430" s="260"/>
      <c r="S430" s="260"/>
      <c r="T430" s="260"/>
      <c r="U430" s="260"/>
      <c r="V430" s="260"/>
      <c r="W430" s="260"/>
      <c r="X430" s="260"/>
      <c r="Y430" s="260"/>
      <c r="Z430" s="260"/>
    </row>
    <row r="431">
      <c r="A431" s="267">
        <v>45999.0</v>
      </c>
      <c r="B431" s="21" t="s">
        <v>2355</v>
      </c>
      <c r="C431" s="21" t="s">
        <v>9166</v>
      </c>
      <c r="D431" s="21" t="s">
        <v>9153</v>
      </c>
      <c r="E431" s="21" t="s">
        <v>9154</v>
      </c>
      <c r="F431" s="268" t="s">
        <v>9155</v>
      </c>
      <c r="G431" s="21" t="s">
        <v>9223</v>
      </c>
      <c r="H431" s="21" t="s">
        <v>5956</v>
      </c>
      <c r="I431" s="21" t="s">
        <v>9164</v>
      </c>
      <c r="J431" s="21" t="s">
        <v>9333</v>
      </c>
      <c r="K431" s="261">
        <v>46041.0</v>
      </c>
      <c r="L431" s="261">
        <v>46055.0</v>
      </c>
      <c r="M431" s="21" t="s">
        <v>9624</v>
      </c>
      <c r="N431" s="21" t="s">
        <v>22</v>
      </c>
      <c r="O431" s="260"/>
      <c r="P431" s="260"/>
      <c r="Q431" s="260"/>
      <c r="R431" s="260"/>
      <c r="S431" s="260"/>
      <c r="T431" s="260"/>
      <c r="U431" s="260"/>
      <c r="V431" s="260"/>
      <c r="W431" s="260"/>
      <c r="X431" s="260"/>
      <c r="Y431" s="260"/>
      <c r="Z431" s="260"/>
    </row>
    <row r="432">
      <c r="A432" s="267">
        <v>45999.0</v>
      </c>
      <c r="B432" s="21" t="s">
        <v>2369</v>
      </c>
      <c r="C432" s="21" t="s">
        <v>9166</v>
      </c>
      <c r="D432" s="21" t="s">
        <v>9153</v>
      </c>
      <c r="E432" s="21" t="s">
        <v>9154</v>
      </c>
      <c r="F432" s="268" t="s">
        <v>9155</v>
      </c>
      <c r="G432" s="21" t="s">
        <v>9223</v>
      </c>
      <c r="H432" s="21" t="s">
        <v>5956</v>
      </c>
      <c r="I432" s="21" t="s">
        <v>9164</v>
      </c>
      <c r="J432" s="21" t="s">
        <v>9333</v>
      </c>
      <c r="K432" s="261">
        <v>46041.0</v>
      </c>
      <c r="L432" s="261">
        <v>46055.0</v>
      </c>
      <c r="M432" s="21" t="s">
        <v>9625</v>
      </c>
      <c r="N432" s="21" t="s">
        <v>22</v>
      </c>
      <c r="O432" s="260"/>
      <c r="P432" s="260"/>
      <c r="Q432" s="260"/>
      <c r="R432" s="260"/>
      <c r="S432" s="260"/>
      <c r="T432" s="260"/>
      <c r="U432" s="260"/>
      <c r="V432" s="260"/>
      <c r="W432" s="260"/>
      <c r="X432" s="260"/>
      <c r="Y432" s="260"/>
      <c r="Z432" s="260"/>
    </row>
    <row r="433">
      <c r="A433" s="267">
        <v>45999.0</v>
      </c>
      <c r="B433" s="21" t="s">
        <v>2363</v>
      </c>
      <c r="C433" s="21" t="s">
        <v>9166</v>
      </c>
      <c r="D433" s="21" t="s">
        <v>9153</v>
      </c>
      <c r="E433" s="21" t="s">
        <v>9154</v>
      </c>
      <c r="F433" s="268" t="s">
        <v>9155</v>
      </c>
      <c r="G433" s="21" t="s">
        <v>9223</v>
      </c>
      <c r="H433" s="21" t="s">
        <v>5956</v>
      </c>
      <c r="I433" s="21" t="s">
        <v>9164</v>
      </c>
      <c r="J433" s="21" t="s">
        <v>9333</v>
      </c>
      <c r="K433" s="261">
        <v>46041.0</v>
      </c>
      <c r="L433" s="261">
        <v>46055.0</v>
      </c>
      <c r="M433" s="21" t="s">
        <v>9626</v>
      </c>
      <c r="N433" s="21" t="s">
        <v>22</v>
      </c>
      <c r="O433" s="260"/>
      <c r="P433" s="260"/>
      <c r="Q433" s="260"/>
      <c r="R433" s="260"/>
      <c r="S433" s="260"/>
      <c r="T433" s="260"/>
      <c r="U433" s="260"/>
      <c r="V433" s="260"/>
      <c r="W433" s="260"/>
      <c r="X433" s="260"/>
      <c r="Y433" s="260"/>
      <c r="Z433" s="260"/>
    </row>
    <row r="434">
      <c r="A434" s="267">
        <v>45999.0</v>
      </c>
      <c r="B434" s="21" t="s">
        <v>2333</v>
      </c>
      <c r="C434" s="21" t="s">
        <v>9166</v>
      </c>
      <c r="D434" s="21" t="s">
        <v>9153</v>
      </c>
      <c r="E434" s="21" t="s">
        <v>9154</v>
      </c>
      <c r="F434" s="268" t="s">
        <v>9155</v>
      </c>
      <c r="G434" s="21" t="s">
        <v>9223</v>
      </c>
      <c r="H434" s="21" t="s">
        <v>5956</v>
      </c>
      <c r="I434" s="21" t="s">
        <v>9164</v>
      </c>
      <c r="J434" s="21" t="s">
        <v>9333</v>
      </c>
      <c r="K434" s="261">
        <v>46041.0</v>
      </c>
      <c r="L434" s="261">
        <v>46055.0</v>
      </c>
      <c r="M434" s="21" t="s">
        <v>9627</v>
      </c>
      <c r="N434" s="21" t="s">
        <v>22</v>
      </c>
      <c r="O434" s="260"/>
      <c r="P434" s="260"/>
      <c r="Q434" s="260"/>
      <c r="R434" s="260"/>
      <c r="S434" s="260"/>
      <c r="T434" s="260"/>
      <c r="U434" s="260"/>
      <c r="V434" s="260"/>
      <c r="W434" s="260"/>
      <c r="X434" s="260"/>
      <c r="Y434" s="260"/>
      <c r="Z434" s="260"/>
    </row>
    <row r="435">
      <c r="A435" s="267">
        <v>45999.0</v>
      </c>
      <c r="B435" s="21" t="s">
        <v>2335</v>
      </c>
      <c r="C435" s="21" t="s">
        <v>9166</v>
      </c>
      <c r="D435" s="21" t="s">
        <v>9153</v>
      </c>
      <c r="E435" s="21" t="s">
        <v>9154</v>
      </c>
      <c r="F435" s="268" t="s">
        <v>9155</v>
      </c>
      <c r="G435" s="21" t="s">
        <v>9223</v>
      </c>
      <c r="H435" s="21" t="s">
        <v>5956</v>
      </c>
      <c r="I435" s="21" t="s">
        <v>9164</v>
      </c>
      <c r="J435" s="21" t="s">
        <v>9333</v>
      </c>
      <c r="K435" s="261">
        <v>46041.0</v>
      </c>
      <c r="L435" s="261">
        <v>46055.0</v>
      </c>
      <c r="M435" s="21" t="s">
        <v>9628</v>
      </c>
      <c r="N435" s="21" t="s">
        <v>22</v>
      </c>
      <c r="O435" s="260"/>
      <c r="P435" s="260"/>
      <c r="Q435" s="260"/>
      <c r="R435" s="260"/>
      <c r="S435" s="260"/>
      <c r="T435" s="260"/>
      <c r="U435" s="260"/>
      <c r="V435" s="260"/>
      <c r="W435" s="260"/>
      <c r="X435" s="260"/>
      <c r="Y435" s="260"/>
      <c r="Z435" s="260"/>
    </row>
    <row r="436">
      <c r="A436" s="267">
        <v>45999.0</v>
      </c>
      <c r="B436" s="21" t="s">
        <v>2341</v>
      </c>
      <c r="C436" s="21" t="s">
        <v>9166</v>
      </c>
      <c r="D436" s="21" t="s">
        <v>9153</v>
      </c>
      <c r="E436" s="21" t="s">
        <v>9154</v>
      </c>
      <c r="F436" s="268" t="s">
        <v>9155</v>
      </c>
      <c r="G436" s="21" t="s">
        <v>9223</v>
      </c>
      <c r="H436" s="21" t="s">
        <v>5956</v>
      </c>
      <c r="I436" s="21" t="s">
        <v>9164</v>
      </c>
      <c r="J436" s="21" t="s">
        <v>9333</v>
      </c>
      <c r="K436" s="261">
        <v>46041.0</v>
      </c>
      <c r="L436" s="261">
        <v>46055.0</v>
      </c>
      <c r="M436" s="21" t="s">
        <v>9629</v>
      </c>
      <c r="N436" s="21" t="s">
        <v>22</v>
      </c>
      <c r="O436" s="260"/>
      <c r="P436" s="260"/>
      <c r="Q436" s="260"/>
      <c r="R436" s="260"/>
      <c r="S436" s="260"/>
      <c r="T436" s="260"/>
      <c r="U436" s="260"/>
      <c r="V436" s="260"/>
      <c r="W436" s="260"/>
      <c r="X436" s="260"/>
      <c r="Y436" s="260"/>
      <c r="Z436" s="260"/>
    </row>
    <row r="437">
      <c r="A437" s="267">
        <v>45999.0</v>
      </c>
      <c r="B437" s="21" t="s">
        <v>2339</v>
      </c>
      <c r="C437" s="21" t="s">
        <v>9166</v>
      </c>
      <c r="D437" s="21" t="s">
        <v>9153</v>
      </c>
      <c r="E437" s="21" t="s">
        <v>9154</v>
      </c>
      <c r="F437" s="268" t="s">
        <v>9155</v>
      </c>
      <c r="G437" s="21" t="s">
        <v>9223</v>
      </c>
      <c r="H437" s="21" t="s">
        <v>5956</v>
      </c>
      <c r="I437" s="21" t="s">
        <v>9164</v>
      </c>
      <c r="J437" s="21" t="s">
        <v>9333</v>
      </c>
      <c r="K437" s="261">
        <v>46041.0</v>
      </c>
      <c r="L437" s="261">
        <v>46055.0</v>
      </c>
      <c r="M437" s="21" t="s">
        <v>9630</v>
      </c>
      <c r="N437" s="21" t="s">
        <v>22</v>
      </c>
      <c r="O437" s="260"/>
      <c r="P437" s="260"/>
      <c r="Q437" s="260"/>
      <c r="R437" s="260"/>
      <c r="S437" s="260"/>
      <c r="T437" s="260"/>
      <c r="U437" s="260"/>
      <c r="V437" s="260"/>
      <c r="W437" s="260"/>
      <c r="X437" s="260"/>
      <c r="Y437" s="260"/>
      <c r="Z437" s="260"/>
    </row>
    <row r="438">
      <c r="A438" s="267">
        <v>45999.0</v>
      </c>
      <c r="B438" s="21" t="s">
        <v>2331</v>
      </c>
      <c r="C438" s="21" t="s">
        <v>9166</v>
      </c>
      <c r="D438" s="21" t="s">
        <v>9153</v>
      </c>
      <c r="E438" s="21" t="s">
        <v>9154</v>
      </c>
      <c r="F438" s="268" t="s">
        <v>9155</v>
      </c>
      <c r="G438" s="21" t="s">
        <v>9223</v>
      </c>
      <c r="H438" s="21" t="s">
        <v>5956</v>
      </c>
      <c r="I438" s="21" t="s">
        <v>9164</v>
      </c>
      <c r="J438" s="21" t="s">
        <v>9333</v>
      </c>
      <c r="K438" s="261">
        <v>46041.0</v>
      </c>
      <c r="L438" s="261">
        <v>46055.0</v>
      </c>
      <c r="M438" s="21" t="s">
        <v>9631</v>
      </c>
      <c r="N438" s="21" t="s">
        <v>22</v>
      </c>
      <c r="O438" s="260"/>
      <c r="P438" s="260"/>
      <c r="Q438" s="260"/>
      <c r="R438" s="260"/>
      <c r="S438" s="260"/>
      <c r="T438" s="260"/>
      <c r="U438" s="260"/>
      <c r="V438" s="260"/>
      <c r="W438" s="260"/>
      <c r="X438" s="260"/>
      <c r="Y438" s="260"/>
      <c r="Z438" s="260"/>
    </row>
    <row r="439">
      <c r="A439" s="267">
        <v>45926.0</v>
      </c>
      <c r="B439" s="21" t="s">
        <v>1856</v>
      </c>
      <c r="C439" s="21" t="s">
        <v>9166</v>
      </c>
      <c r="D439" s="21" t="s">
        <v>9153</v>
      </c>
      <c r="E439" s="21" t="s">
        <v>9154</v>
      </c>
      <c r="F439" s="268" t="s">
        <v>9155</v>
      </c>
      <c r="G439" s="21" t="s">
        <v>9156</v>
      </c>
      <c r="H439" s="21" t="s">
        <v>5958</v>
      </c>
      <c r="I439" s="21" t="s">
        <v>9164</v>
      </c>
      <c r="J439" s="21" t="s">
        <v>8911</v>
      </c>
      <c r="K439" s="261">
        <v>45968.0</v>
      </c>
      <c r="L439" s="261">
        <v>45982.0</v>
      </c>
      <c r="M439" s="21" t="s">
        <v>9632</v>
      </c>
      <c r="N439" s="21" t="s">
        <v>22</v>
      </c>
      <c r="O439" s="260"/>
      <c r="P439" s="260"/>
      <c r="Q439" s="260"/>
      <c r="R439" s="260"/>
      <c r="S439" s="260"/>
      <c r="T439" s="260"/>
      <c r="U439" s="260"/>
      <c r="V439" s="260"/>
      <c r="W439" s="260"/>
      <c r="X439" s="260"/>
      <c r="Y439" s="260"/>
      <c r="Z439" s="260"/>
    </row>
    <row r="440">
      <c r="A440" s="267">
        <v>45926.0</v>
      </c>
      <c r="B440" s="21" t="s">
        <v>1859</v>
      </c>
      <c r="C440" s="21" t="s">
        <v>9166</v>
      </c>
      <c r="D440" s="21" t="s">
        <v>9153</v>
      </c>
      <c r="E440" s="21" t="s">
        <v>9154</v>
      </c>
      <c r="F440" s="268" t="s">
        <v>9155</v>
      </c>
      <c r="G440" s="21" t="s">
        <v>9156</v>
      </c>
      <c r="H440" s="21" t="s">
        <v>5958</v>
      </c>
      <c r="I440" s="21" t="s">
        <v>9164</v>
      </c>
      <c r="J440" s="21" t="s">
        <v>8911</v>
      </c>
      <c r="K440" s="261">
        <v>45968.0</v>
      </c>
      <c r="L440" s="261">
        <v>45982.0</v>
      </c>
      <c r="M440" s="21" t="s">
        <v>9633</v>
      </c>
      <c r="N440" s="21" t="s">
        <v>22</v>
      </c>
      <c r="O440" s="260"/>
      <c r="P440" s="260"/>
      <c r="Q440" s="260"/>
      <c r="R440" s="260"/>
      <c r="S440" s="260"/>
      <c r="T440" s="260"/>
      <c r="U440" s="260"/>
      <c r="V440" s="260"/>
      <c r="W440" s="260"/>
      <c r="X440" s="260"/>
      <c r="Y440" s="260"/>
      <c r="Z440" s="260"/>
    </row>
    <row r="441">
      <c r="A441" s="267">
        <v>45926.0</v>
      </c>
      <c r="B441" s="21" t="s">
        <v>2062</v>
      </c>
      <c r="C441" s="21" t="s">
        <v>9166</v>
      </c>
      <c r="D441" s="21" t="s">
        <v>9153</v>
      </c>
      <c r="E441" s="21" t="s">
        <v>9154</v>
      </c>
      <c r="F441" s="268" t="s">
        <v>9155</v>
      </c>
      <c r="G441" s="21" t="s">
        <v>9156</v>
      </c>
      <c r="H441" s="21" t="s">
        <v>5958</v>
      </c>
      <c r="I441" s="21" t="s">
        <v>9164</v>
      </c>
      <c r="J441" s="21" t="s">
        <v>8911</v>
      </c>
      <c r="K441" s="261">
        <v>45968.0</v>
      </c>
      <c r="L441" s="261">
        <v>45982.0</v>
      </c>
      <c r="M441" s="21" t="s">
        <v>9634</v>
      </c>
      <c r="N441" s="21" t="s">
        <v>22</v>
      </c>
      <c r="O441" s="260"/>
      <c r="P441" s="260"/>
      <c r="Q441" s="260"/>
      <c r="R441" s="260"/>
      <c r="S441" s="260"/>
      <c r="T441" s="260"/>
      <c r="U441" s="260"/>
      <c r="V441" s="260"/>
      <c r="W441" s="260"/>
      <c r="X441" s="260"/>
      <c r="Y441" s="260"/>
      <c r="Z441" s="260"/>
    </row>
    <row r="442">
      <c r="A442" s="267">
        <v>45926.0</v>
      </c>
      <c r="B442" s="21" t="s">
        <v>2279</v>
      </c>
      <c r="C442" s="21" t="s">
        <v>9166</v>
      </c>
      <c r="D442" s="21" t="s">
        <v>9153</v>
      </c>
      <c r="E442" s="21" t="s">
        <v>9154</v>
      </c>
      <c r="F442" s="268" t="s">
        <v>9155</v>
      </c>
      <c r="G442" s="21" t="s">
        <v>9156</v>
      </c>
      <c r="H442" s="21" t="s">
        <v>5958</v>
      </c>
      <c r="I442" s="21" t="s">
        <v>9164</v>
      </c>
      <c r="J442" s="21" t="s">
        <v>8911</v>
      </c>
      <c r="K442" s="261">
        <v>45968.0</v>
      </c>
      <c r="L442" s="261">
        <v>45982.0</v>
      </c>
      <c r="M442" s="21" t="s">
        <v>9635</v>
      </c>
      <c r="N442" s="21" t="s">
        <v>22</v>
      </c>
      <c r="O442" s="260"/>
      <c r="P442" s="260"/>
      <c r="Q442" s="260"/>
      <c r="R442" s="260"/>
      <c r="S442" s="260"/>
      <c r="T442" s="260"/>
      <c r="U442" s="260"/>
      <c r="V442" s="260"/>
      <c r="W442" s="260"/>
      <c r="X442" s="260"/>
      <c r="Y442" s="260"/>
      <c r="Z442" s="260"/>
    </row>
    <row r="443">
      <c r="A443" s="267">
        <v>45999.0</v>
      </c>
      <c r="B443" s="21" t="s">
        <v>1862</v>
      </c>
      <c r="C443" s="21" t="s">
        <v>9166</v>
      </c>
      <c r="D443" s="21" t="s">
        <v>9153</v>
      </c>
      <c r="E443" s="21" t="s">
        <v>9154</v>
      </c>
      <c r="F443" s="268" t="s">
        <v>9155</v>
      </c>
      <c r="G443" s="21" t="s">
        <v>9156</v>
      </c>
      <c r="H443" s="21" t="s">
        <v>5958</v>
      </c>
      <c r="I443" s="21" t="s">
        <v>9164</v>
      </c>
      <c r="J443" s="21" t="s">
        <v>9333</v>
      </c>
      <c r="K443" s="261">
        <v>46041.0</v>
      </c>
      <c r="L443" s="261">
        <v>46055.0</v>
      </c>
      <c r="M443" s="21" t="s">
        <v>9636</v>
      </c>
      <c r="N443" s="21" t="s">
        <v>22</v>
      </c>
      <c r="O443" s="260"/>
      <c r="P443" s="260"/>
      <c r="Q443" s="260"/>
      <c r="R443" s="260"/>
      <c r="S443" s="260"/>
      <c r="T443" s="260"/>
      <c r="U443" s="260"/>
      <c r="V443" s="260"/>
      <c r="W443" s="260"/>
      <c r="X443" s="260"/>
      <c r="Y443" s="260"/>
      <c r="Z443" s="260"/>
    </row>
    <row r="444">
      <c r="A444" s="267">
        <v>45926.0</v>
      </c>
      <c r="B444" s="21" t="s">
        <v>1865</v>
      </c>
      <c r="C444" s="21" t="s">
        <v>9166</v>
      </c>
      <c r="D444" s="21" t="s">
        <v>9153</v>
      </c>
      <c r="E444" s="21" t="s">
        <v>9154</v>
      </c>
      <c r="F444" s="268" t="s">
        <v>9155</v>
      </c>
      <c r="G444" s="21" t="s">
        <v>9156</v>
      </c>
      <c r="H444" s="21" t="s">
        <v>5958</v>
      </c>
      <c r="I444" s="21" t="s">
        <v>9164</v>
      </c>
      <c r="J444" s="21" t="s">
        <v>8911</v>
      </c>
      <c r="K444" s="261">
        <v>45968.0</v>
      </c>
      <c r="L444" s="261">
        <v>45982.0</v>
      </c>
      <c r="M444" s="21" t="s">
        <v>9637</v>
      </c>
      <c r="N444" s="21" t="s">
        <v>22</v>
      </c>
      <c r="O444" s="260"/>
      <c r="P444" s="260"/>
      <c r="Q444" s="260"/>
      <c r="R444" s="260"/>
      <c r="S444" s="260"/>
      <c r="T444" s="260"/>
      <c r="U444" s="260"/>
      <c r="V444" s="260"/>
      <c r="W444" s="260"/>
      <c r="X444" s="260"/>
      <c r="Y444" s="260"/>
      <c r="Z444" s="260"/>
    </row>
    <row r="445">
      <c r="A445" s="267">
        <v>45926.0</v>
      </c>
      <c r="B445" s="21" t="s">
        <v>2542</v>
      </c>
      <c r="C445" s="21" t="s">
        <v>9166</v>
      </c>
      <c r="D445" s="21" t="s">
        <v>9153</v>
      </c>
      <c r="E445" s="21" t="s">
        <v>9154</v>
      </c>
      <c r="F445" s="268" t="s">
        <v>9155</v>
      </c>
      <c r="G445" s="21" t="s">
        <v>9156</v>
      </c>
      <c r="H445" s="21" t="s">
        <v>5958</v>
      </c>
      <c r="I445" s="21" t="s">
        <v>9164</v>
      </c>
      <c r="J445" s="21" t="s">
        <v>8911</v>
      </c>
      <c r="K445" s="261">
        <v>45968.0</v>
      </c>
      <c r="L445" s="261">
        <v>45982.0</v>
      </c>
      <c r="M445" s="21" t="s">
        <v>9638</v>
      </c>
      <c r="N445" s="21" t="s">
        <v>22</v>
      </c>
      <c r="O445" s="260"/>
      <c r="P445" s="260"/>
      <c r="Q445" s="260"/>
      <c r="R445" s="260"/>
      <c r="S445" s="260"/>
      <c r="T445" s="260"/>
      <c r="U445" s="260"/>
      <c r="V445" s="260"/>
      <c r="W445" s="260"/>
      <c r="X445" s="260"/>
      <c r="Y445" s="260"/>
      <c r="Z445" s="260"/>
    </row>
    <row r="446">
      <c r="A446" s="267">
        <v>45999.0</v>
      </c>
      <c r="B446" s="21" t="s">
        <v>2353</v>
      </c>
      <c r="C446" s="21" t="s">
        <v>9166</v>
      </c>
      <c r="D446" s="21" t="s">
        <v>9153</v>
      </c>
      <c r="E446" s="21" t="s">
        <v>9154</v>
      </c>
      <c r="F446" s="268" t="s">
        <v>9155</v>
      </c>
      <c r="G446" s="21" t="s">
        <v>9223</v>
      </c>
      <c r="H446" s="21" t="s">
        <v>5956</v>
      </c>
      <c r="I446" s="21" t="s">
        <v>9164</v>
      </c>
      <c r="J446" s="21" t="s">
        <v>9333</v>
      </c>
      <c r="K446" s="261">
        <v>46041.0</v>
      </c>
      <c r="L446" s="261">
        <v>46055.0</v>
      </c>
      <c r="M446" s="21" t="s">
        <v>9639</v>
      </c>
      <c r="N446" s="21" t="s">
        <v>22</v>
      </c>
      <c r="O446" s="260"/>
      <c r="P446" s="260"/>
      <c r="Q446" s="260"/>
      <c r="R446" s="260"/>
      <c r="S446" s="260"/>
      <c r="T446" s="260"/>
      <c r="U446" s="260"/>
      <c r="V446" s="260"/>
      <c r="W446" s="260"/>
      <c r="X446" s="260"/>
      <c r="Y446" s="260"/>
      <c r="Z446" s="260"/>
    </row>
    <row r="447">
      <c r="A447" s="267">
        <v>45999.0</v>
      </c>
      <c r="B447" s="21" t="s">
        <v>2327</v>
      </c>
      <c r="C447" s="21" t="s">
        <v>9166</v>
      </c>
      <c r="D447" s="21" t="s">
        <v>9153</v>
      </c>
      <c r="E447" s="21" t="s">
        <v>9154</v>
      </c>
      <c r="F447" s="268" t="s">
        <v>9155</v>
      </c>
      <c r="G447" s="21" t="s">
        <v>9223</v>
      </c>
      <c r="H447" s="21" t="s">
        <v>5956</v>
      </c>
      <c r="I447" s="21" t="s">
        <v>9164</v>
      </c>
      <c r="J447" s="21" t="s">
        <v>9333</v>
      </c>
      <c r="K447" s="261">
        <v>46041.0</v>
      </c>
      <c r="L447" s="261">
        <v>46055.0</v>
      </c>
      <c r="M447" s="21" t="s">
        <v>9640</v>
      </c>
      <c r="N447" s="21" t="s">
        <v>22</v>
      </c>
      <c r="O447" s="260"/>
      <c r="P447" s="260"/>
      <c r="Q447" s="260"/>
      <c r="R447" s="260"/>
      <c r="S447" s="260"/>
      <c r="T447" s="260"/>
      <c r="U447" s="260"/>
      <c r="V447" s="260"/>
      <c r="W447" s="260"/>
      <c r="X447" s="260"/>
      <c r="Y447" s="260"/>
      <c r="Z447" s="260"/>
    </row>
    <row r="448">
      <c r="A448" s="267">
        <v>45926.0</v>
      </c>
      <c r="B448" s="21" t="s">
        <v>1982</v>
      </c>
      <c r="C448" s="21" t="s">
        <v>9166</v>
      </c>
      <c r="D448" s="21" t="s">
        <v>9153</v>
      </c>
      <c r="E448" s="21" t="s">
        <v>9154</v>
      </c>
      <c r="F448" s="268" t="s">
        <v>9155</v>
      </c>
      <c r="G448" s="21" t="s">
        <v>9156</v>
      </c>
      <c r="H448" s="21" t="s">
        <v>5958</v>
      </c>
      <c r="I448" s="21" t="s">
        <v>9164</v>
      </c>
      <c r="J448" s="21" t="s">
        <v>8911</v>
      </c>
      <c r="K448" s="261">
        <v>45968.0</v>
      </c>
      <c r="L448" s="261">
        <v>45982.0</v>
      </c>
      <c r="M448" s="21" t="s">
        <v>9641</v>
      </c>
      <c r="N448" s="21" t="s">
        <v>22</v>
      </c>
      <c r="O448" s="260"/>
      <c r="P448" s="260"/>
      <c r="Q448" s="260"/>
      <c r="R448" s="260"/>
      <c r="S448" s="260"/>
      <c r="T448" s="260"/>
      <c r="U448" s="260"/>
      <c r="V448" s="260"/>
      <c r="W448" s="260"/>
      <c r="X448" s="260"/>
      <c r="Y448" s="260"/>
      <c r="Z448" s="260"/>
    </row>
    <row r="449">
      <c r="A449" s="267">
        <v>45999.0</v>
      </c>
      <c r="B449" s="21" t="s">
        <v>2325</v>
      </c>
      <c r="C449" s="21" t="s">
        <v>9166</v>
      </c>
      <c r="D449" s="21" t="s">
        <v>9153</v>
      </c>
      <c r="E449" s="21" t="s">
        <v>9154</v>
      </c>
      <c r="F449" s="268" t="s">
        <v>9155</v>
      </c>
      <c r="G449" s="21" t="s">
        <v>9223</v>
      </c>
      <c r="H449" s="21" t="s">
        <v>5956</v>
      </c>
      <c r="I449" s="21" t="s">
        <v>9164</v>
      </c>
      <c r="J449" s="21" t="s">
        <v>9333</v>
      </c>
      <c r="K449" s="261">
        <v>46041.0</v>
      </c>
      <c r="L449" s="261">
        <v>46055.0</v>
      </c>
      <c r="M449" s="21" t="s">
        <v>9642</v>
      </c>
      <c r="N449" s="21" t="s">
        <v>22</v>
      </c>
      <c r="O449" s="260"/>
      <c r="P449" s="260"/>
      <c r="Q449" s="260"/>
      <c r="R449" s="260"/>
      <c r="S449" s="260"/>
      <c r="T449" s="260"/>
      <c r="U449" s="260"/>
      <c r="V449" s="260"/>
      <c r="W449" s="260"/>
      <c r="X449" s="260"/>
      <c r="Y449" s="260"/>
      <c r="Z449" s="260"/>
    </row>
    <row r="450">
      <c r="A450" s="267">
        <v>45999.0</v>
      </c>
      <c r="B450" s="21" t="s">
        <v>2323</v>
      </c>
      <c r="C450" s="21" t="s">
        <v>9166</v>
      </c>
      <c r="D450" s="21" t="s">
        <v>9153</v>
      </c>
      <c r="E450" s="21" t="s">
        <v>9154</v>
      </c>
      <c r="F450" s="268" t="s">
        <v>9155</v>
      </c>
      <c r="G450" s="21" t="s">
        <v>9223</v>
      </c>
      <c r="H450" s="21" t="s">
        <v>5956</v>
      </c>
      <c r="I450" s="21" t="s">
        <v>9164</v>
      </c>
      <c r="J450" s="21" t="s">
        <v>9333</v>
      </c>
      <c r="K450" s="261">
        <v>46041.0</v>
      </c>
      <c r="L450" s="261">
        <v>46055.0</v>
      </c>
      <c r="M450" s="21" t="s">
        <v>9643</v>
      </c>
      <c r="N450" s="21" t="s">
        <v>22</v>
      </c>
      <c r="O450" s="260"/>
      <c r="P450" s="260"/>
      <c r="Q450" s="260"/>
      <c r="R450" s="260"/>
      <c r="S450" s="260"/>
      <c r="T450" s="260"/>
      <c r="U450" s="260"/>
      <c r="V450" s="260"/>
      <c r="W450" s="260"/>
      <c r="X450" s="260"/>
      <c r="Y450" s="260"/>
      <c r="Z450" s="260"/>
    </row>
    <row r="451">
      <c r="A451" s="267">
        <v>45999.0</v>
      </c>
      <c r="B451" s="21" t="s">
        <v>2329</v>
      </c>
      <c r="C451" s="21" t="s">
        <v>9166</v>
      </c>
      <c r="D451" s="21" t="s">
        <v>9153</v>
      </c>
      <c r="E451" s="21" t="s">
        <v>9154</v>
      </c>
      <c r="F451" s="268" t="s">
        <v>9155</v>
      </c>
      <c r="G451" s="21" t="s">
        <v>9223</v>
      </c>
      <c r="H451" s="21" t="s">
        <v>5956</v>
      </c>
      <c r="I451" s="21" t="s">
        <v>9164</v>
      </c>
      <c r="J451" s="21" t="s">
        <v>9333</v>
      </c>
      <c r="K451" s="261">
        <v>46041.0</v>
      </c>
      <c r="L451" s="261">
        <v>46055.0</v>
      </c>
      <c r="M451" s="21" t="s">
        <v>9644</v>
      </c>
      <c r="N451" s="21" t="s">
        <v>22</v>
      </c>
      <c r="O451" s="260"/>
      <c r="P451" s="260"/>
      <c r="Q451" s="260"/>
      <c r="R451" s="260"/>
      <c r="S451" s="260"/>
      <c r="T451" s="260"/>
      <c r="U451" s="260"/>
      <c r="V451" s="260"/>
      <c r="W451" s="260"/>
      <c r="X451" s="260"/>
      <c r="Y451" s="260"/>
      <c r="Z451" s="260"/>
    </row>
    <row r="452">
      <c r="A452" s="267">
        <v>45999.0</v>
      </c>
      <c r="B452" s="21" t="s">
        <v>2877</v>
      </c>
      <c r="C452" s="21" t="s">
        <v>9166</v>
      </c>
      <c r="D452" s="21" t="s">
        <v>9153</v>
      </c>
      <c r="E452" s="21" t="s">
        <v>9154</v>
      </c>
      <c r="F452" s="268" t="s">
        <v>9155</v>
      </c>
      <c r="G452" s="21" t="s">
        <v>9223</v>
      </c>
      <c r="H452" s="21" t="s">
        <v>5956</v>
      </c>
      <c r="I452" s="21" t="s">
        <v>9164</v>
      </c>
      <c r="J452" s="21" t="s">
        <v>9333</v>
      </c>
      <c r="K452" s="261">
        <v>46041.0</v>
      </c>
      <c r="L452" s="261">
        <v>46055.0</v>
      </c>
      <c r="M452" s="21" t="s">
        <v>9645</v>
      </c>
      <c r="N452" s="21" t="s">
        <v>22</v>
      </c>
      <c r="O452" s="260"/>
      <c r="P452" s="260"/>
      <c r="Q452" s="260"/>
      <c r="R452" s="260"/>
      <c r="S452" s="260"/>
      <c r="T452" s="260"/>
      <c r="U452" s="260"/>
      <c r="V452" s="260"/>
      <c r="W452" s="260"/>
      <c r="X452" s="260"/>
      <c r="Y452" s="260"/>
      <c r="Z452" s="260"/>
    </row>
    <row r="453">
      <c r="A453" s="267">
        <v>45999.0</v>
      </c>
      <c r="B453" s="21" t="s">
        <v>3198</v>
      </c>
      <c r="C453" s="21" t="s">
        <v>9166</v>
      </c>
      <c r="D453" s="21" t="s">
        <v>9153</v>
      </c>
      <c r="E453" s="21" t="s">
        <v>9154</v>
      </c>
      <c r="F453" s="268" t="s">
        <v>9155</v>
      </c>
      <c r="G453" s="21" t="s">
        <v>9223</v>
      </c>
      <c r="H453" s="21" t="s">
        <v>5956</v>
      </c>
      <c r="I453" s="21" t="s">
        <v>9164</v>
      </c>
      <c r="J453" s="21" t="s">
        <v>9333</v>
      </c>
      <c r="K453" s="261">
        <v>46041.0</v>
      </c>
      <c r="L453" s="261">
        <v>46055.0</v>
      </c>
      <c r="M453" s="21" t="s">
        <v>9646</v>
      </c>
      <c r="N453" s="21" t="s">
        <v>22</v>
      </c>
      <c r="O453" s="260"/>
      <c r="P453" s="260"/>
      <c r="Q453" s="260"/>
      <c r="R453" s="260"/>
      <c r="S453" s="260"/>
      <c r="T453" s="260"/>
      <c r="U453" s="260"/>
      <c r="V453" s="260"/>
      <c r="W453" s="260"/>
      <c r="X453" s="260"/>
      <c r="Y453" s="260"/>
      <c r="Z453" s="260"/>
    </row>
    <row r="454">
      <c r="A454" s="267">
        <v>45999.0</v>
      </c>
      <c r="B454" s="21" t="s">
        <v>2062</v>
      </c>
      <c r="C454" s="21" t="s">
        <v>9166</v>
      </c>
      <c r="D454" s="21" t="s">
        <v>9153</v>
      </c>
      <c r="E454" s="21" t="s">
        <v>9154</v>
      </c>
      <c r="F454" s="268" t="s">
        <v>9155</v>
      </c>
      <c r="G454" s="21" t="s">
        <v>9156</v>
      </c>
      <c r="H454" s="21" t="s">
        <v>5958</v>
      </c>
      <c r="I454" s="21" t="s">
        <v>9164</v>
      </c>
      <c r="J454" s="21" t="s">
        <v>9333</v>
      </c>
      <c r="K454" s="261">
        <v>46041.0</v>
      </c>
      <c r="L454" s="261">
        <v>46055.0</v>
      </c>
      <c r="M454" s="21" t="s">
        <v>9647</v>
      </c>
      <c r="N454" s="21" t="s">
        <v>22</v>
      </c>
      <c r="O454" s="260"/>
      <c r="P454" s="260"/>
      <c r="Q454" s="260"/>
      <c r="R454" s="260"/>
      <c r="S454" s="260"/>
      <c r="T454" s="260"/>
      <c r="U454" s="260"/>
      <c r="V454" s="260"/>
      <c r="W454" s="260"/>
      <c r="X454" s="260"/>
      <c r="Y454" s="260"/>
      <c r="Z454" s="260"/>
    </row>
    <row r="455">
      <c r="A455" s="267">
        <v>45999.0</v>
      </c>
      <c r="B455" s="21" t="s">
        <v>3409</v>
      </c>
      <c r="C455" s="21" t="s">
        <v>9166</v>
      </c>
      <c r="D455" s="21" t="s">
        <v>9153</v>
      </c>
      <c r="E455" s="21" t="s">
        <v>9154</v>
      </c>
      <c r="F455" s="268" t="s">
        <v>9155</v>
      </c>
      <c r="G455" s="21" t="s">
        <v>9156</v>
      </c>
      <c r="H455" s="21" t="s">
        <v>5958</v>
      </c>
      <c r="I455" s="21" t="s">
        <v>9164</v>
      </c>
      <c r="J455" s="21" t="s">
        <v>9333</v>
      </c>
      <c r="K455" s="261">
        <v>46041.0</v>
      </c>
      <c r="L455" s="261">
        <v>46055.0</v>
      </c>
      <c r="M455" s="21" t="s">
        <v>9648</v>
      </c>
      <c r="N455" s="21" t="s">
        <v>22</v>
      </c>
      <c r="O455" s="260"/>
      <c r="P455" s="260"/>
      <c r="Q455" s="260"/>
      <c r="R455" s="260"/>
      <c r="S455" s="260"/>
      <c r="T455" s="260"/>
      <c r="U455" s="260"/>
      <c r="V455" s="260"/>
      <c r="W455" s="260"/>
      <c r="X455" s="260"/>
      <c r="Y455" s="260"/>
      <c r="Z455" s="260"/>
    </row>
    <row r="456">
      <c r="A456" s="267">
        <v>45999.0</v>
      </c>
      <c r="B456" s="21" t="s">
        <v>3545</v>
      </c>
      <c r="C456" s="21" t="s">
        <v>9166</v>
      </c>
      <c r="D456" s="21" t="s">
        <v>9153</v>
      </c>
      <c r="E456" s="21" t="s">
        <v>9154</v>
      </c>
      <c r="F456" s="268" t="s">
        <v>9155</v>
      </c>
      <c r="G456" s="21" t="s">
        <v>9223</v>
      </c>
      <c r="H456" s="21" t="s">
        <v>5970</v>
      </c>
      <c r="I456" s="21" t="s">
        <v>9164</v>
      </c>
      <c r="J456" s="21" t="s">
        <v>9333</v>
      </c>
      <c r="K456" s="261">
        <v>46041.0</v>
      </c>
      <c r="L456" s="261">
        <v>46055.0</v>
      </c>
      <c r="M456" s="21" t="s">
        <v>9649</v>
      </c>
      <c r="N456" s="21" t="s">
        <v>22</v>
      </c>
      <c r="O456" s="260"/>
      <c r="P456" s="260"/>
      <c r="Q456" s="260"/>
      <c r="R456" s="260"/>
      <c r="S456" s="260"/>
      <c r="T456" s="260"/>
      <c r="U456" s="260"/>
      <c r="V456" s="260"/>
      <c r="W456" s="260"/>
      <c r="X456" s="260"/>
      <c r="Y456" s="260"/>
      <c r="Z456" s="260"/>
    </row>
    <row r="457">
      <c r="A457" s="267">
        <v>45999.0</v>
      </c>
      <c r="B457" s="21" t="s">
        <v>3109</v>
      </c>
      <c r="C457" s="21" t="s">
        <v>9166</v>
      </c>
      <c r="D457" s="21" t="s">
        <v>9153</v>
      </c>
      <c r="E457" s="21" t="s">
        <v>9154</v>
      </c>
      <c r="F457" s="268" t="s">
        <v>9155</v>
      </c>
      <c r="G457" s="21" t="s">
        <v>9156</v>
      </c>
      <c r="H457" s="21" t="s">
        <v>5970</v>
      </c>
      <c r="I457" s="21" t="s">
        <v>9164</v>
      </c>
      <c r="J457" s="21" t="s">
        <v>9333</v>
      </c>
      <c r="K457" s="261">
        <v>46041.0</v>
      </c>
      <c r="L457" s="261">
        <v>46055.0</v>
      </c>
      <c r="M457" s="21" t="s">
        <v>9650</v>
      </c>
      <c r="N457" s="21" t="s">
        <v>22</v>
      </c>
      <c r="O457" s="260"/>
      <c r="P457" s="260"/>
      <c r="Q457" s="260"/>
      <c r="R457" s="260"/>
      <c r="S457" s="260"/>
      <c r="T457" s="260"/>
      <c r="U457" s="260"/>
      <c r="V457" s="260"/>
      <c r="W457" s="260"/>
      <c r="X457" s="260"/>
      <c r="Y457" s="260"/>
      <c r="Z457" s="260"/>
    </row>
    <row r="458">
      <c r="A458" s="267">
        <v>45999.0</v>
      </c>
      <c r="B458" s="21" t="s">
        <v>1483</v>
      </c>
      <c r="C458" s="21" t="s">
        <v>9166</v>
      </c>
      <c r="D458" s="21" t="s">
        <v>9153</v>
      </c>
      <c r="E458" s="21" t="s">
        <v>9154</v>
      </c>
      <c r="F458" s="268" t="s">
        <v>9155</v>
      </c>
      <c r="G458" s="21" t="s">
        <v>9156</v>
      </c>
      <c r="H458" s="21" t="s">
        <v>5970</v>
      </c>
      <c r="I458" s="21" t="s">
        <v>9164</v>
      </c>
      <c r="J458" s="21" t="s">
        <v>9333</v>
      </c>
      <c r="K458" s="261">
        <v>46041.0</v>
      </c>
      <c r="L458" s="261">
        <v>46055.0</v>
      </c>
      <c r="M458" s="21" t="s">
        <v>9651</v>
      </c>
      <c r="N458" s="21" t="s">
        <v>22</v>
      </c>
      <c r="O458" s="260"/>
      <c r="P458" s="260"/>
      <c r="Q458" s="260"/>
      <c r="R458" s="260"/>
      <c r="S458" s="260"/>
      <c r="T458" s="260"/>
      <c r="U458" s="260"/>
      <c r="V458" s="260"/>
      <c r="W458" s="260"/>
      <c r="X458" s="260"/>
      <c r="Y458" s="260"/>
      <c r="Z458" s="260"/>
    </row>
    <row r="459">
      <c r="A459" s="267">
        <v>45999.0</v>
      </c>
      <c r="B459" s="21" t="s">
        <v>1571</v>
      </c>
      <c r="C459" s="21" t="s">
        <v>9166</v>
      </c>
      <c r="D459" s="21" t="s">
        <v>9153</v>
      </c>
      <c r="E459" s="21" t="s">
        <v>9154</v>
      </c>
      <c r="F459" s="268" t="s">
        <v>9155</v>
      </c>
      <c r="G459" s="21" t="s">
        <v>9223</v>
      </c>
      <c r="H459" s="21" t="s">
        <v>5970</v>
      </c>
      <c r="I459" s="21" t="s">
        <v>9164</v>
      </c>
      <c r="J459" s="21" t="s">
        <v>9333</v>
      </c>
      <c r="K459" s="261">
        <v>46041.0</v>
      </c>
      <c r="L459" s="261">
        <v>46055.0</v>
      </c>
      <c r="M459" s="21" t="s">
        <v>9652</v>
      </c>
      <c r="N459" s="21" t="s">
        <v>22</v>
      </c>
      <c r="O459" s="260"/>
      <c r="P459" s="260"/>
      <c r="Q459" s="260"/>
      <c r="R459" s="260"/>
      <c r="S459" s="260"/>
      <c r="T459" s="260"/>
      <c r="U459" s="260"/>
      <c r="V459" s="260"/>
      <c r="W459" s="260"/>
      <c r="X459" s="260"/>
      <c r="Y459" s="260"/>
      <c r="Z459" s="260"/>
    </row>
    <row r="460">
      <c r="A460" s="267">
        <v>45999.0</v>
      </c>
      <c r="B460" s="21" t="s">
        <v>1460</v>
      </c>
      <c r="C460" s="21" t="s">
        <v>9166</v>
      </c>
      <c r="D460" s="21" t="s">
        <v>9153</v>
      </c>
      <c r="E460" s="21" t="s">
        <v>9154</v>
      </c>
      <c r="F460" s="268" t="s">
        <v>9155</v>
      </c>
      <c r="G460" s="21" t="s">
        <v>9156</v>
      </c>
      <c r="H460" s="21" t="s">
        <v>5970</v>
      </c>
      <c r="I460" s="21" t="s">
        <v>9164</v>
      </c>
      <c r="J460" s="21" t="s">
        <v>9333</v>
      </c>
      <c r="K460" s="261">
        <v>46041.0</v>
      </c>
      <c r="L460" s="261">
        <v>46055.0</v>
      </c>
      <c r="M460" s="268" t="s">
        <v>9653</v>
      </c>
      <c r="N460" s="21" t="s">
        <v>22</v>
      </c>
      <c r="O460" s="260"/>
      <c r="P460" s="260"/>
      <c r="Q460" s="260"/>
      <c r="R460" s="260"/>
      <c r="S460" s="260"/>
      <c r="T460" s="260"/>
      <c r="U460" s="260"/>
      <c r="V460" s="260"/>
      <c r="W460" s="260"/>
      <c r="X460" s="260"/>
      <c r="Y460" s="260"/>
      <c r="Z460" s="260"/>
    </row>
    <row r="461">
      <c r="A461" s="267">
        <v>45929.0</v>
      </c>
      <c r="B461" s="21" t="s">
        <v>1460</v>
      </c>
      <c r="C461" s="21" t="s">
        <v>9166</v>
      </c>
      <c r="D461" s="21" t="s">
        <v>9153</v>
      </c>
      <c r="E461" s="21" t="s">
        <v>9154</v>
      </c>
      <c r="F461" s="268" t="s">
        <v>9155</v>
      </c>
      <c r="G461" s="21" t="s">
        <v>9163</v>
      </c>
      <c r="H461" s="21" t="s">
        <v>5970</v>
      </c>
      <c r="I461" s="21" t="s">
        <v>9164</v>
      </c>
      <c r="J461" s="21" t="s">
        <v>8911</v>
      </c>
      <c r="K461" s="261">
        <v>45971.0</v>
      </c>
      <c r="L461" s="261">
        <v>45985.0</v>
      </c>
      <c r="M461" s="21" t="s">
        <v>9654</v>
      </c>
      <c r="N461" s="21" t="s">
        <v>22</v>
      </c>
      <c r="O461" s="260"/>
      <c r="P461" s="260"/>
      <c r="Q461" s="260"/>
      <c r="R461" s="260"/>
      <c r="S461" s="260"/>
      <c r="T461" s="260"/>
      <c r="U461" s="260"/>
      <c r="V461" s="260"/>
      <c r="W461" s="260"/>
      <c r="X461" s="260"/>
      <c r="Y461" s="260"/>
      <c r="Z461" s="260"/>
    </row>
    <row r="462">
      <c r="A462" s="267">
        <v>45999.0</v>
      </c>
      <c r="B462" s="21" t="s">
        <v>2448</v>
      </c>
      <c r="C462" s="21" t="s">
        <v>9166</v>
      </c>
      <c r="D462" s="21" t="s">
        <v>9153</v>
      </c>
      <c r="E462" s="21" t="s">
        <v>9154</v>
      </c>
      <c r="F462" s="268" t="s">
        <v>9155</v>
      </c>
      <c r="G462" s="21" t="s">
        <v>9156</v>
      </c>
      <c r="H462" s="21" t="s">
        <v>5958</v>
      </c>
      <c r="I462" s="21" t="s">
        <v>9164</v>
      </c>
      <c r="J462" s="21" t="s">
        <v>9333</v>
      </c>
      <c r="K462" s="261">
        <v>46041.0</v>
      </c>
      <c r="L462" s="261">
        <v>46055.0</v>
      </c>
      <c r="M462" s="21" t="s">
        <v>9655</v>
      </c>
      <c r="N462" s="21" t="s">
        <v>22</v>
      </c>
      <c r="O462" s="260"/>
      <c r="P462" s="260"/>
      <c r="Q462" s="260"/>
      <c r="R462" s="260"/>
      <c r="S462" s="260"/>
      <c r="T462" s="260"/>
      <c r="U462" s="260"/>
      <c r="V462" s="260"/>
      <c r="W462" s="260"/>
      <c r="X462" s="260"/>
      <c r="Y462" s="260"/>
      <c r="Z462" s="260"/>
    </row>
    <row r="463">
      <c r="A463" s="267">
        <v>46000.0</v>
      </c>
      <c r="B463" s="21" t="s">
        <v>2463</v>
      </c>
      <c r="C463" s="21" t="s">
        <v>9166</v>
      </c>
      <c r="D463" s="21" t="s">
        <v>9153</v>
      </c>
      <c r="E463" s="21" t="s">
        <v>9154</v>
      </c>
      <c r="F463" s="268" t="s">
        <v>9155</v>
      </c>
      <c r="G463" s="21" t="s">
        <v>9156</v>
      </c>
      <c r="H463" s="21" t="s">
        <v>5958</v>
      </c>
      <c r="I463" s="21" t="s">
        <v>9164</v>
      </c>
      <c r="J463" s="21" t="s">
        <v>9333</v>
      </c>
      <c r="K463" s="261">
        <v>46042.0</v>
      </c>
      <c r="L463" s="261">
        <v>46056.0</v>
      </c>
      <c r="M463" s="21" t="s">
        <v>9656</v>
      </c>
      <c r="N463" s="21" t="s">
        <v>22</v>
      </c>
      <c r="O463" s="260"/>
      <c r="P463" s="260"/>
      <c r="Q463" s="260"/>
      <c r="R463" s="260"/>
      <c r="S463" s="260"/>
      <c r="T463" s="260"/>
      <c r="U463" s="260"/>
      <c r="V463" s="260"/>
      <c r="W463" s="260"/>
      <c r="X463" s="260"/>
      <c r="Y463" s="260"/>
      <c r="Z463" s="260"/>
    </row>
    <row r="464">
      <c r="A464" s="267">
        <v>46000.0</v>
      </c>
      <c r="B464" s="21" t="s">
        <v>2461</v>
      </c>
      <c r="C464" s="21" t="s">
        <v>9166</v>
      </c>
      <c r="D464" s="21" t="s">
        <v>9153</v>
      </c>
      <c r="E464" s="21" t="s">
        <v>9154</v>
      </c>
      <c r="F464" s="268" t="s">
        <v>9155</v>
      </c>
      <c r="G464" s="21" t="s">
        <v>9156</v>
      </c>
      <c r="H464" s="21" t="s">
        <v>5958</v>
      </c>
      <c r="I464" s="21" t="s">
        <v>9164</v>
      </c>
      <c r="J464" s="21" t="s">
        <v>9333</v>
      </c>
      <c r="K464" s="261">
        <v>46042.0</v>
      </c>
      <c r="L464" s="261">
        <v>46056.0</v>
      </c>
      <c r="M464" s="21" t="s">
        <v>9657</v>
      </c>
      <c r="N464" s="21" t="s">
        <v>22</v>
      </c>
      <c r="O464" s="260"/>
      <c r="P464" s="260"/>
      <c r="Q464" s="260"/>
      <c r="R464" s="260"/>
      <c r="S464" s="260"/>
      <c r="T464" s="260"/>
      <c r="U464" s="260"/>
      <c r="V464" s="260"/>
      <c r="W464" s="260"/>
      <c r="X464" s="260"/>
      <c r="Y464" s="260"/>
      <c r="Z464" s="260"/>
    </row>
    <row r="465">
      <c r="A465" s="267">
        <v>46000.0</v>
      </c>
      <c r="B465" s="21" t="s">
        <v>2748</v>
      </c>
      <c r="C465" s="21" t="s">
        <v>9166</v>
      </c>
      <c r="D465" s="21" t="s">
        <v>9153</v>
      </c>
      <c r="E465" s="21" t="s">
        <v>9154</v>
      </c>
      <c r="F465" s="268" t="s">
        <v>9155</v>
      </c>
      <c r="G465" s="21" t="s">
        <v>9156</v>
      </c>
      <c r="H465" s="21" t="s">
        <v>5958</v>
      </c>
      <c r="I465" s="21" t="s">
        <v>9164</v>
      </c>
      <c r="J465" s="21" t="s">
        <v>9333</v>
      </c>
      <c r="K465" s="261">
        <v>46042.0</v>
      </c>
      <c r="L465" s="261">
        <v>46056.0</v>
      </c>
      <c r="M465" s="21" t="s">
        <v>9658</v>
      </c>
      <c r="N465" s="21" t="s">
        <v>22</v>
      </c>
      <c r="O465" s="260"/>
      <c r="P465" s="260"/>
      <c r="Q465" s="260"/>
      <c r="R465" s="260"/>
      <c r="S465" s="260"/>
      <c r="T465" s="260"/>
      <c r="U465" s="260"/>
      <c r="V465" s="260"/>
      <c r="W465" s="260"/>
      <c r="X465" s="260"/>
      <c r="Y465" s="260"/>
      <c r="Z465" s="260"/>
    </row>
    <row r="466">
      <c r="A466" s="267">
        <v>46000.0</v>
      </c>
      <c r="B466" s="21" t="s">
        <v>2843</v>
      </c>
      <c r="C466" s="21" t="s">
        <v>9166</v>
      </c>
      <c r="D466" s="21" t="s">
        <v>9153</v>
      </c>
      <c r="E466" s="21" t="s">
        <v>9154</v>
      </c>
      <c r="F466" s="268" t="s">
        <v>9155</v>
      </c>
      <c r="G466" s="21" t="s">
        <v>9156</v>
      </c>
      <c r="H466" s="21" t="s">
        <v>5958</v>
      </c>
      <c r="I466" s="21" t="s">
        <v>9164</v>
      </c>
      <c r="J466" s="21" t="s">
        <v>9333</v>
      </c>
      <c r="K466" s="261">
        <v>46042.0</v>
      </c>
      <c r="L466" s="261">
        <v>46056.0</v>
      </c>
      <c r="M466" s="21" t="s">
        <v>9659</v>
      </c>
      <c r="N466" s="21" t="s">
        <v>22</v>
      </c>
      <c r="O466" s="260"/>
      <c r="P466" s="260"/>
      <c r="Q466" s="260"/>
      <c r="R466" s="260"/>
      <c r="S466" s="260"/>
      <c r="T466" s="260"/>
      <c r="U466" s="260"/>
      <c r="V466" s="260"/>
      <c r="W466" s="260"/>
      <c r="X466" s="260"/>
      <c r="Y466" s="260"/>
      <c r="Z466" s="260"/>
    </row>
    <row r="467">
      <c r="A467" s="267">
        <v>46000.0</v>
      </c>
      <c r="B467" s="21" t="s">
        <v>2401</v>
      </c>
      <c r="C467" s="21" t="s">
        <v>9166</v>
      </c>
      <c r="D467" s="21" t="s">
        <v>9153</v>
      </c>
      <c r="E467" s="21" t="s">
        <v>9154</v>
      </c>
      <c r="F467" s="268" t="s">
        <v>9155</v>
      </c>
      <c r="G467" s="21" t="s">
        <v>9156</v>
      </c>
      <c r="H467" s="21" t="s">
        <v>5958</v>
      </c>
      <c r="I467" s="21" t="s">
        <v>9164</v>
      </c>
      <c r="J467" s="21" t="s">
        <v>9333</v>
      </c>
      <c r="K467" s="261">
        <v>46042.0</v>
      </c>
      <c r="L467" s="261">
        <v>46056.0</v>
      </c>
      <c r="M467" s="21" t="s">
        <v>9660</v>
      </c>
      <c r="N467" s="21" t="s">
        <v>22</v>
      </c>
      <c r="O467" s="260"/>
      <c r="P467" s="260"/>
      <c r="Q467" s="260"/>
      <c r="R467" s="260"/>
      <c r="S467" s="260"/>
      <c r="T467" s="260"/>
      <c r="U467" s="260"/>
      <c r="V467" s="260"/>
      <c r="W467" s="260"/>
      <c r="X467" s="260"/>
      <c r="Y467" s="260"/>
      <c r="Z467" s="260"/>
    </row>
    <row r="468">
      <c r="A468" s="267">
        <v>46000.0</v>
      </c>
      <c r="B468" s="21" t="s">
        <v>2452</v>
      </c>
      <c r="C468" s="21" t="s">
        <v>9166</v>
      </c>
      <c r="D468" s="21" t="s">
        <v>9153</v>
      </c>
      <c r="E468" s="21" t="s">
        <v>9154</v>
      </c>
      <c r="F468" s="268" t="s">
        <v>9155</v>
      </c>
      <c r="G468" s="21" t="s">
        <v>9156</v>
      </c>
      <c r="H468" s="21" t="s">
        <v>5958</v>
      </c>
      <c r="I468" s="21" t="s">
        <v>9164</v>
      </c>
      <c r="J468" s="21" t="s">
        <v>9333</v>
      </c>
      <c r="K468" s="261">
        <v>46042.0</v>
      </c>
      <c r="L468" s="261">
        <v>46056.0</v>
      </c>
      <c r="M468" s="21" t="s">
        <v>9661</v>
      </c>
      <c r="N468" s="21" t="s">
        <v>22</v>
      </c>
      <c r="O468" s="260"/>
      <c r="P468" s="260"/>
      <c r="Q468" s="260"/>
      <c r="R468" s="260"/>
      <c r="S468" s="260"/>
      <c r="T468" s="260"/>
      <c r="U468" s="260"/>
      <c r="V468" s="260"/>
      <c r="W468" s="260"/>
      <c r="X468" s="260"/>
      <c r="Y468" s="260"/>
      <c r="Z468" s="260"/>
    </row>
    <row r="469">
      <c r="A469" s="267">
        <v>46000.0</v>
      </c>
      <c r="B469" s="21" t="s">
        <v>2399</v>
      </c>
      <c r="C469" s="21" t="s">
        <v>9166</v>
      </c>
      <c r="D469" s="21" t="s">
        <v>9153</v>
      </c>
      <c r="E469" s="21" t="s">
        <v>9154</v>
      </c>
      <c r="F469" s="268" t="s">
        <v>9155</v>
      </c>
      <c r="G469" s="21" t="s">
        <v>9156</v>
      </c>
      <c r="H469" s="21" t="s">
        <v>5958</v>
      </c>
      <c r="I469" s="21" t="s">
        <v>9164</v>
      </c>
      <c r="J469" s="21" t="s">
        <v>9333</v>
      </c>
      <c r="K469" s="261">
        <v>46042.0</v>
      </c>
      <c r="L469" s="261">
        <v>46056.0</v>
      </c>
      <c r="M469" s="21" t="s">
        <v>9662</v>
      </c>
      <c r="N469" s="21" t="s">
        <v>22</v>
      </c>
      <c r="O469" s="260"/>
      <c r="P469" s="260"/>
      <c r="Q469" s="260"/>
      <c r="R469" s="260"/>
      <c r="S469" s="260"/>
      <c r="T469" s="260"/>
      <c r="U469" s="260"/>
      <c r="V469" s="260"/>
      <c r="W469" s="260"/>
      <c r="X469" s="260"/>
      <c r="Y469" s="260"/>
      <c r="Z469" s="260"/>
    </row>
    <row r="470">
      <c r="A470" s="267">
        <v>46000.0</v>
      </c>
      <c r="B470" s="21" t="s">
        <v>2412</v>
      </c>
      <c r="C470" s="21" t="s">
        <v>9166</v>
      </c>
      <c r="D470" s="21" t="s">
        <v>9153</v>
      </c>
      <c r="E470" s="21" t="s">
        <v>9154</v>
      </c>
      <c r="F470" s="268" t="s">
        <v>9155</v>
      </c>
      <c r="G470" s="21" t="s">
        <v>9156</v>
      </c>
      <c r="H470" s="21" t="s">
        <v>5958</v>
      </c>
      <c r="I470" s="21" t="s">
        <v>9164</v>
      </c>
      <c r="J470" s="21" t="s">
        <v>9333</v>
      </c>
      <c r="K470" s="261">
        <v>46042.0</v>
      </c>
      <c r="L470" s="261">
        <v>46056.0</v>
      </c>
      <c r="M470" s="21" t="s">
        <v>9663</v>
      </c>
      <c r="N470" s="21" t="s">
        <v>22</v>
      </c>
      <c r="O470" s="260"/>
      <c r="P470" s="260"/>
      <c r="Q470" s="260"/>
      <c r="R470" s="260"/>
      <c r="S470" s="260"/>
      <c r="T470" s="260"/>
      <c r="U470" s="260"/>
      <c r="V470" s="260"/>
      <c r="W470" s="260"/>
      <c r="X470" s="260"/>
      <c r="Y470" s="260"/>
      <c r="Z470" s="260"/>
    </row>
    <row r="471">
      <c r="A471" s="267">
        <v>46000.0</v>
      </c>
      <c r="B471" s="21" t="s">
        <v>2395</v>
      </c>
      <c r="C471" s="21" t="s">
        <v>9166</v>
      </c>
      <c r="D471" s="21" t="s">
        <v>9153</v>
      </c>
      <c r="E471" s="21" t="s">
        <v>9154</v>
      </c>
      <c r="F471" s="268" t="s">
        <v>9155</v>
      </c>
      <c r="G471" s="21" t="s">
        <v>9156</v>
      </c>
      <c r="H471" s="21" t="s">
        <v>5958</v>
      </c>
      <c r="I471" s="21" t="s">
        <v>9164</v>
      </c>
      <c r="J471" s="21" t="s">
        <v>9333</v>
      </c>
      <c r="K471" s="261">
        <v>46042.0</v>
      </c>
      <c r="L471" s="261">
        <v>46056.0</v>
      </c>
      <c r="M471" s="21" t="s">
        <v>9664</v>
      </c>
      <c r="N471" s="21" t="s">
        <v>22</v>
      </c>
      <c r="O471" s="260"/>
      <c r="P471" s="260"/>
      <c r="Q471" s="260"/>
      <c r="R471" s="260"/>
      <c r="S471" s="260"/>
      <c r="T471" s="260"/>
      <c r="U471" s="260"/>
      <c r="V471" s="260"/>
      <c r="W471" s="260"/>
      <c r="X471" s="260"/>
      <c r="Y471" s="260"/>
      <c r="Z471" s="260"/>
    </row>
    <row r="472">
      <c r="A472" s="267">
        <v>46000.0</v>
      </c>
      <c r="B472" s="21" t="s">
        <v>2410</v>
      </c>
      <c r="C472" s="21" t="s">
        <v>9166</v>
      </c>
      <c r="D472" s="21" t="s">
        <v>9153</v>
      </c>
      <c r="E472" s="21" t="s">
        <v>9154</v>
      </c>
      <c r="F472" s="268" t="s">
        <v>9155</v>
      </c>
      <c r="G472" s="21" t="s">
        <v>9156</v>
      </c>
      <c r="H472" s="21" t="s">
        <v>5958</v>
      </c>
      <c r="I472" s="21" t="s">
        <v>9164</v>
      </c>
      <c r="J472" s="21" t="s">
        <v>9333</v>
      </c>
      <c r="K472" s="261">
        <v>46042.0</v>
      </c>
      <c r="L472" s="261">
        <v>46056.0</v>
      </c>
      <c r="M472" s="21" t="s">
        <v>9665</v>
      </c>
      <c r="N472" s="21" t="s">
        <v>22</v>
      </c>
      <c r="O472" s="260"/>
      <c r="P472" s="260"/>
      <c r="Q472" s="260"/>
      <c r="R472" s="260"/>
      <c r="S472" s="260"/>
      <c r="T472" s="260"/>
      <c r="U472" s="260"/>
      <c r="V472" s="260"/>
      <c r="W472" s="260"/>
      <c r="X472" s="260"/>
      <c r="Y472" s="260"/>
      <c r="Z472" s="260"/>
    </row>
    <row r="473">
      <c r="A473" s="267">
        <v>46000.0</v>
      </c>
      <c r="B473" s="21" t="s">
        <v>2951</v>
      </c>
      <c r="C473" s="21" t="s">
        <v>9166</v>
      </c>
      <c r="D473" s="21" t="s">
        <v>9153</v>
      </c>
      <c r="E473" s="21" t="s">
        <v>9154</v>
      </c>
      <c r="F473" s="268" t="s">
        <v>9155</v>
      </c>
      <c r="G473" s="21" t="s">
        <v>9156</v>
      </c>
      <c r="H473" s="21" t="s">
        <v>5958</v>
      </c>
      <c r="I473" s="21" t="s">
        <v>9164</v>
      </c>
      <c r="J473" s="21" t="s">
        <v>9333</v>
      </c>
      <c r="K473" s="261">
        <v>46042.0</v>
      </c>
      <c r="L473" s="261">
        <v>46056.0</v>
      </c>
      <c r="M473" s="21" t="s">
        <v>9666</v>
      </c>
      <c r="N473" s="21" t="s">
        <v>22</v>
      </c>
      <c r="O473" s="260"/>
      <c r="P473" s="260"/>
      <c r="Q473" s="260"/>
      <c r="R473" s="260"/>
      <c r="S473" s="260"/>
      <c r="T473" s="260"/>
      <c r="U473" s="260"/>
      <c r="V473" s="260"/>
      <c r="W473" s="260"/>
      <c r="X473" s="260"/>
      <c r="Y473" s="260"/>
      <c r="Z473" s="260"/>
    </row>
    <row r="474">
      <c r="A474" s="267">
        <v>46000.0</v>
      </c>
      <c r="B474" s="21" t="s">
        <v>2386</v>
      </c>
      <c r="C474" s="21" t="s">
        <v>9166</v>
      </c>
      <c r="D474" s="21" t="s">
        <v>9153</v>
      </c>
      <c r="E474" s="21" t="s">
        <v>9154</v>
      </c>
      <c r="F474" s="268" t="s">
        <v>9155</v>
      </c>
      <c r="G474" s="21" t="s">
        <v>9156</v>
      </c>
      <c r="H474" s="21" t="s">
        <v>5958</v>
      </c>
      <c r="I474" s="21" t="s">
        <v>9164</v>
      </c>
      <c r="J474" s="21" t="s">
        <v>9333</v>
      </c>
      <c r="K474" s="261">
        <v>46042.0</v>
      </c>
      <c r="L474" s="261">
        <v>46056.0</v>
      </c>
      <c r="M474" s="21" t="s">
        <v>9667</v>
      </c>
      <c r="N474" s="21" t="s">
        <v>22</v>
      </c>
      <c r="O474" s="260"/>
      <c r="P474" s="260"/>
      <c r="Q474" s="260"/>
      <c r="R474" s="260"/>
      <c r="S474" s="260"/>
      <c r="T474" s="260"/>
      <c r="U474" s="260"/>
      <c r="V474" s="260"/>
      <c r="W474" s="260"/>
      <c r="X474" s="260"/>
      <c r="Y474" s="260"/>
      <c r="Z474" s="260"/>
    </row>
    <row r="475">
      <c r="A475" s="267">
        <v>46000.0</v>
      </c>
      <c r="B475" s="21" t="s">
        <v>2497</v>
      </c>
      <c r="C475" s="21" t="s">
        <v>9166</v>
      </c>
      <c r="D475" s="21" t="s">
        <v>9153</v>
      </c>
      <c r="E475" s="21" t="s">
        <v>9154</v>
      </c>
      <c r="F475" s="268" t="s">
        <v>9155</v>
      </c>
      <c r="G475" s="21" t="s">
        <v>9156</v>
      </c>
      <c r="H475" s="21" t="s">
        <v>5958</v>
      </c>
      <c r="I475" s="21" t="s">
        <v>9164</v>
      </c>
      <c r="J475" s="21" t="s">
        <v>9333</v>
      </c>
      <c r="K475" s="261">
        <v>46042.0</v>
      </c>
      <c r="L475" s="261">
        <v>46056.0</v>
      </c>
      <c r="M475" s="21" t="s">
        <v>9668</v>
      </c>
      <c r="N475" s="21" t="s">
        <v>22</v>
      </c>
      <c r="O475" s="260"/>
      <c r="P475" s="260"/>
      <c r="Q475" s="260"/>
      <c r="R475" s="260"/>
      <c r="S475" s="260"/>
      <c r="T475" s="260"/>
      <c r="U475" s="260"/>
      <c r="V475" s="260"/>
      <c r="W475" s="260"/>
      <c r="X475" s="260"/>
      <c r="Y475" s="260"/>
      <c r="Z475" s="260"/>
    </row>
    <row r="476">
      <c r="A476" s="267">
        <v>46000.0</v>
      </c>
      <c r="B476" s="21" t="s">
        <v>2450</v>
      </c>
      <c r="C476" s="21" t="s">
        <v>9166</v>
      </c>
      <c r="D476" s="21" t="s">
        <v>9153</v>
      </c>
      <c r="E476" s="21" t="s">
        <v>9154</v>
      </c>
      <c r="F476" s="268" t="s">
        <v>9155</v>
      </c>
      <c r="G476" s="21" t="s">
        <v>9156</v>
      </c>
      <c r="H476" s="21" t="s">
        <v>5958</v>
      </c>
      <c r="I476" s="21" t="s">
        <v>9164</v>
      </c>
      <c r="J476" s="21" t="s">
        <v>9333</v>
      </c>
      <c r="K476" s="261">
        <v>46042.0</v>
      </c>
      <c r="L476" s="261">
        <v>46056.0</v>
      </c>
      <c r="M476" s="21" t="s">
        <v>9669</v>
      </c>
      <c r="N476" s="21" t="s">
        <v>22</v>
      </c>
      <c r="O476" s="260"/>
      <c r="P476" s="260"/>
      <c r="Q476" s="260"/>
      <c r="R476" s="260"/>
      <c r="S476" s="260"/>
      <c r="T476" s="260"/>
      <c r="U476" s="260"/>
      <c r="V476" s="260"/>
      <c r="W476" s="260"/>
      <c r="X476" s="260"/>
      <c r="Y476" s="260"/>
      <c r="Z476" s="260"/>
    </row>
    <row r="477">
      <c r="A477" s="267">
        <v>46000.0</v>
      </c>
      <c r="B477" s="21" t="s">
        <v>2454</v>
      </c>
      <c r="C477" s="21" t="s">
        <v>9166</v>
      </c>
      <c r="D477" s="21" t="s">
        <v>9153</v>
      </c>
      <c r="E477" s="21" t="s">
        <v>9154</v>
      </c>
      <c r="F477" s="268" t="s">
        <v>9155</v>
      </c>
      <c r="G477" s="21" t="s">
        <v>9156</v>
      </c>
      <c r="H477" s="21" t="s">
        <v>5958</v>
      </c>
      <c r="I477" s="21" t="s">
        <v>9164</v>
      </c>
      <c r="J477" s="21" t="s">
        <v>9333</v>
      </c>
      <c r="K477" s="261">
        <v>46042.0</v>
      </c>
      <c r="L477" s="261">
        <v>46056.0</v>
      </c>
      <c r="M477" s="21" t="s">
        <v>9670</v>
      </c>
      <c r="N477" s="21" t="s">
        <v>22</v>
      </c>
      <c r="O477" s="260"/>
      <c r="P477" s="260"/>
      <c r="Q477" s="260"/>
      <c r="R477" s="260"/>
      <c r="S477" s="260"/>
      <c r="T477" s="260"/>
      <c r="U477" s="260"/>
      <c r="V477" s="260"/>
      <c r="W477" s="260"/>
      <c r="X477" s="260"/>
      <c r="Y477" s="260"/>
      <c r="Z477" s="260"/>
    </row>
    <row r="478">
      <c r="A478" s="267">
        <v>46000.0</v>
      </c>
      <c r="B478" s="21" t="s">
        <v>2457</v>
      </c>
      <c r="C478" s="21" t="s">
        <v>9166</v>
      </c>
      <c r="D478" s="21" t="s">
        <v>9153</v>
      </c>
      <c r="E478" s="21" t="s">
        <v>9154</v>
      </c>
      <c r="F478" s="268" t="s">
        <v>9155</v>
      </c>
      <c r="G478" s="21" t="s">
        <v>9156</v>
      </c>
      <c r="H478" s="21" t="s">
        <v>5958</v>
      </c>
      <c r="I478" s="21" t="s">
        <v>9164</v>
      </c>
      <c r="J478" s="21" t="s">
        <v>9333</v>
      </c>
      <c r="K478" s="261">
        <v>46042.0</v>
      </c>
      <c r="L478" s="261">
        <v>46056.0</v>
      </c>
      <c r="M478" s="21" t="s">
        <v>9671</v>
      </c>
      <c r="N478" s="21" t="s">
        <v>22</v>
      </c>
      <c r="O478" s="260"/>
      <c r="P478" s="260"/>
      <c r="Q478" s="260"/>
      <c r="R478" s="260"/>
      <c r="S478" s="260"/>
      <c r="T478" s="260"/>
      <c r="U478" s="260"/>
      <c r="V478" s="260"/>
      <c r="W478" s="260"/>
      <c r="X478" s="260"/>
      <c r="Y478" s="260"/>
      <c r="Z478" s="260"/>
    </row>
    <row r="479">
      <c r="A479" s="267">
        <v>46000.0</v>
      </c>
      <c r="B479" s="21" t="s">
        <v>2390</v>
      </c>
      <c r="C479" s="21" t="s">
        <v>9166</v>
      </c>
      <c r="D479" s="21" t="s">
        <v>9153</v>
      </c>
      <c r="E479" s="21" t="s">
        <v>9154</v>
      </c>
      <c r="F479" s="268" t="s">
        <v>9155</v>
      </c>
      <c r="G479" s="21" t="s">
        <v>9156</v>
      </c>
      <c r="H479" s="21" t="s">
        <v>5958</v>
      </c>
      <c r="I479" s="21" t="s">
        <v>9164</v>
      </c>
      <c r="J479" s="21" t="s">
        <v>9333</v>
      </c>
      <c r="K479" s="261">
        <v>46042.0</v>
      </c>
      <c r="L479" s="261">
        <v>46056.0</v>
      </c>
      <c r="M479" s="21" t="s">
        <v>9672</v>
      </c>
      <c r="N479" s="21" t="s">
        <v>22</v>
      </c>
      <c r="O479" s="260"/>
      <c r="P479" s="260"/>
      <c r="Q479" s="260"/>
      <c r="R479" s="260"/>
      <c r="S479" s="260"/>
      <c r="T479" s="260"/>
      <c r="U479" s="260"/>
      <c r="V479" s="260"/>
      <c r="W479" s="260"/>
      <c r="X479" s="260"/>
      <c r="Y479" s="260"/>
      <c r="Z479" s="260"/>
    </row>
    <row r="480">
      <c r="A480" s="267">
        <v>46000.0</v>
      </c>
      <c r="B480" s="21" t="s">
        <v>2388</v>
      </c>
      <c r="C480" s="21" t="s">
        <v>9166</v>
      </c>
      <c r="D480" s="21" t="s">
        <v>9153</v>
      </c>
      <c r="E480" s="21" t="s">
        <v>9154</v>
      </c>
      <c r="F480" s="268" t="s">
        <v>9155</v>
      </c>
      <c r="G480" s="21" t="s">
        <v>9156</v>
      </c>
      <c r="H480" s="21" t="s">
        <v>5958</v>
      </c>
      <c r="I480" s="21" t="s">
        <v>9164</v>
      </c>
      <c r="J480" s="21" t="s">
        <v>9333</v>
      </c>
      <c r="K480" s="261">
        <v>46042.0</v>
      </c>
      <c r="L480" s="261">
        <v>46056.0</v>
      </c>
      <c r="M480" s="21" t="s">
        <v>9673</v>
      </c>
      <c r="N480" s="21" t="s">
        <v>22</v>
      </c>
      <c r="O480" s="260"/>
      <c r="P480" s="260"/>
      <c r="Q480" s="260"/>
      <c r="R480" s="260"/>
      <c r="S480" s="260"/>
      <c r="T480" s="260"/>
      <c r="U480" s="260"/>
      <c r="V480" s="260"/>
      <c r="W480" s="260"/>
      <c r="X480" s="260"/>
      <c r="Y480" s="260"/>
      <c r="Z480" s="260"/>
    </row>
    <row r="481">
      <c r="A481" s="267">
        <v>46000.0</v>
      </c>
      <c r="B481" s="21" t="s">
        <v>2839</v>
      </c>
      <c r="C481" s="21" t="s">
        <v>9166</v>
      </c>
      <c r="D481" s="21" t="s">
        <v>9153</v>
      </c>
      <c r="E481" s="21" t="s">
        <v>9154</v>
      </c>
      <c r="F481" s="268" t="s">
        <v>9155</v>
      </c>
      <c r="G481" s="21" t="s">
        <v>9156</v>
      </c>
      <c r="H481" s="21" t="s">
        <v>5958</v>
      </c>
      <c r="I481" s="21" t="s">
        <v>9164</v>
      </c>
      <c r="J481" s="21" t="s">
        <v>9333</v>
      </c>
      <c r="K481" s="261">
        <v>46042.0</v>
      </c>
      <c r="L481" s="261">
        <v>46056.0</v>
      </c>
      <c r="M481" s="21" t="s">
        <v>9674</v>
      </c>
      <c r="N481" s="21" t="s">
        <v>22</v>
      </c>
      <c r="O481" s="260"/>
      <c r="P481" s="260"/>
      <c r="Q481" s="260"/>
      <c r="R481" s="260"/>
      <c r="S481" s="260"/>
      <c r="T481" s="260"/>
      <c r="U481" s="260"/>
      <c r="V481" s="260"/>
      <c r="W481" s="260"/>
      <c r="X481" s="260"/>
      <c r="Y481" s="260"/>
      <c r="Z481" s="260"/>
    </row>
    <row r="482">
      <c r="A482" s="267">
        <v>46000.0</v>
      </c>
      <c r="B482" s="21" t="s">
        <v>2397</v>
      </c>
      <c r="C482" s="21" t="s">
        <v>9166</v>
      </c>
      <c r="D482" s="21" t="s">
        <v>9153</v>
      </c>
      <c r="E482" s="21" t="s">
        <v>9154</v>
      </c>
      <c r="F482" s="268" t="s">
        <v>9155</v>
      </c>
      <c r="G482" s="21" t="s">
        <v>9156</v>
      </c>
      <c r="H482" s="21" t="s">
        <v>5958</v>
      </c>
      <c r="I482" s="21" t="s">
        <v>9164</v>
      </c>
      <c r="J482" s="21" t="s">
        <v>9333</v>
      </c>
      <c r="K482" s="261">
        <v>46042.0</v>
      </c>
      <c r="L482" s="261">
        <v>46056.0</v>
      </c>
      <c r="M482" s="21" t="s">
        <v>9675</v>
      </c>
      <c r="N482" s="21" t="s">
        <v>22</v>
      </c>
      <c r="O482" s="260"/>
      <c r="P482" s="260"/>
      <c r="Q482" s="260"/>
      <c r="R482" s="260"/>
      <c r="S482" s="260"/>
      <c r="T482" s="260"/>
      <c r="U482" s="260"/>
      <c r="V482" s="260"/>
      <c r="W482" s="260"/>
      <c r="X482" s="260"/>
      <c r="Y482" s="260"/>
      <c r="Z482" s="260"/>
    </row>
    <row r="483">
      <c r="A483" s="267">
        <v>46000.0</v>
      </c>
      <c r="B483" s="21" t="s">
        <v>2392</v>
      </c>
      <c r="C483" s="21" t="s">
        <v>9166</v>
      </c>
      <c r="D483" s="21" t="s">
        <v>9153</v>
      </c>
      <c r="E483" s="21" t="s">
        <v>9154</v>
      </c>
      <c r="F483" s="268" t="s">
        <v>9155</v>
      </c>
      <c r="G483" s="21" t="s">
        <v>9156</v>
      </c>
      <c r="H483" s="21" t="s">
        <v>5958</v>
      </c>
      <c r="I483" s="21" t="s">
        <v>9164</v>
      </c>
      <c r="J483" s="21" t="s">
        <v>9333</v>
      </c>
      <c r="K483" s="261">
        <v>46042.0</v>
      </c>
      <c r="L483" s="261">
        <v>46056.0</v>
      </c>
      <c r="M483" s="21" t="s">
        <v>9676</v>
      </c>
      <c r="N483" s="21" t="s">
        <v>22</v>
      </c>
      <c r="O483" s="260"/>
      <c r="P483" s="260"/>
      <c r="Q483" s="260"/>
      <c r="R483" s="260"/>
      <c r="S483" s="260"/>
      <c r="T483" s="260"/>
      <c r="U483" s="260"/>
      <c r="V483" s="260"/>
      <c r="W483" s="260"/>
      <c r="X483" s="260"/>
      <c r="Y483" s="260"/>
      <c r="Z483" s="260"/>
    </row>
    <row r="484">
      <c r="A484" s="267">
        <v>46000.0</v>
      </c>
      <c r="B484" s="21" t="s">
        <v>2841</v>
      </c>
      <c r="C484" s="21" t="s">
        <v>9166</v>
      </c>
      <c r="D484" s="21" t="s">
        <v>9153</v>
      </c>
      <c r="E484" s="21" t="s">
        <v>9154</v>
      </c>
      <c r="F484" s="268" t="s">
        <v>9155</v>
      </c>
      <c r="G484" s="21" t="s">
        <v>9156</v>
      </c>
      <c r="H484" s="21" t="s">
        <v>5958</v>
      </c>
      <c r="I484" s="21" t="s">
        <v>9164</v>
      </c>
      <c r="J484" s="21" t="s">
        <v>9333</v>
      </c>
      <c r="K484" s="261">
        <v>46042.0</v>
      </c>
      <c r="L484" s="261">
        <v>46056.0</v>
      </c>
      <c r="M484" s="21" t="s">
        <v>9677</v>
      </c>
      <c r="N484" s="21" t="s">
        <v>22</v>
      </c>
      <c r="O484" s="260"/>
      <c r="P484" s="260"/>
      <c r="Q484" s="260"/>
      <c r="R484" s="260"/>
      <c r="S484" s="260"/>
      <c r="T484" s="260"/>
      <c r="U484" s="260"/>
      <c r="V484" s="260"/>
      <c r="W484" s="260"/>
      <c r="X484" s="260"/>
      <c r="Y484" s="260"/>
      <c r="Z484" s="260"/>
    </row>
    <row r="485">
      <c r="A485" s="267">
        <v>46000.0</v>
      </c>
      <c r="B485" s="21" t="s">
        <v>2446</v>
      </c>
      <c r="C485" s="21" t="s">
        <v>9166</v>
      </c>
      <c r="D485" s="21" t="s">
        <v>9153</v>
      </c>
      <c r="E485" s="21" t="s">
        <v>9154</v>
      </c>
      <c r="F485" s="268" t="s">
        <v>9155</v>
      </c>
      <c r="G485" s="21" t="s">
        <v>9156</v>
      </c>
      <c r="H485" s="21" t="s">
        <v>5958</v>
      </c>
      <c r="I485" s="21" t="s">
        <v>9164</v>
      </c>
      <c r="J485" s="21" t="s">
        <v>9333</v>
      </c>
      <c r="K485" s="261">
        <v>46042.0</v>
      </c>
      <c r="L485" s="261">
        <v>46056.0</v>
      </c>
      <c r="M485" s="21" t="s">
        <v>9678</v>
      </c>
      <c r="N485" s="21" t="s">
        <v>22</v>
      </c>
      <c r="O485" s="260"/>
      <c r="P485" s="260"/>
      <c r="Q485" s="260"/>
      <c r="R485" s="260"/>
      <c r="S485" s="260"/>
      <c r="T485" s="260"/>
      <c r="U485" s="260"/>
      <c r="V485" s="260"/>
      <c r="W485" s="260"/>
      <c r="X485" s="260"/>
      <c r="Y485" s="260"/>
      <c r="Z485" s="260"/>
    </row>
    <row r="486">
      <c r="A486" s="267">
        <v>46000.0</v>
      </c>
      <c r="B486" s="21" t="s">
        <v>3172</v>
      </c>
      <c r="C486" s="21" t="s">
        <v>9166</v>
      </c>
      <c r="D486" s="21" t="s">
        <v>9153</v>
      </c>
      <c r="E486" s="21" t="s">
        <v>9154</v>
      </c>
      <c r="F486" s="268" t="s">
        <v>9155</v>
      </c>
      <c r="G486" s="21" t="s">
        <v>9156</v>
      </c>
      <c r="H486" s="21" t="s">
        <v>5958</v>
      </c>
      <c r="I486" s="21" t="s">
        <v>9164</v>
      </c>
      <c r="J486" s="21" t="s">
        <v>9333</v>
      </c>
      <c r="K486" s="261">
        <v>46042.0</v>
      </c>
      <c r="L486" s="261">
        <v>46056.0</v>
      </c>
      <c r="M486" s="268" t="s">
        <v>9679</v>
      </c>
      <c r="N486" s="21" t="s">
        <v>22</v>
      </c>
      <c r="O486" s="260"/>
      <c r="P486" s="260"/>
      <c r="Q486" s="260"/>
      <c r="R486" s="260"/>
      <c r="S486" s="260"/>
      <c r="T486" s="260"/>
      <c r="U486" s="260"/>
      <c r="V486" s="260"/>
      <c r="W486" s="260"/>
      <c r="X486" s="260"/>
      <c r="Y486" s="260"/>
      <c r="Z486" s="260"/>
    </row>
    <row r="487">
      <c r="A487" s="267">
        <v>46000.0</v>
      </c>
      <c r="B487" s="21" t="s">
        <v>3406</v>
      </c>
      <c r="C487" s="21" t="s">
        <v>9166</v>
      </c>
      <c r="D487" s="21" t="s">
        <v>9153</v>
      </c>
      <c r="E487" s="21" t="s">
        <v>9154</v>
      </c>
      <c r="F487" s="268" t="s">
        <v>9155</v>
      </c>
      <c r="G487" s="21" t="s">
        <v>9156</v>
      </c>
      <c r="H487" s="21" t="s">
        <v>5958</v>
      </c>
      <c r="I487" s="21" t="s">
        <v>9164</v>
      </c>
      <c r="J487" s="21" t="s">
        <v>9333</v>
      </c>
      <c r="K487" s="261">
        <v>46042.0</v>
      </c>
      <c r="L487" s="261">
        <v>46056.0</v>
      </c>
      <c r="M487" s="21" t="s">
        <v>9680</v>
      </c>
      <c r="N487" s="21" t="s">
        <v>22</v>
      </c>
      <c r="O487" s="260"/>
      <c r="P487" s="260"/>
      <c r="Q487" s="260"/>
      <c r="R487" s="260"/>
      <c r="S487" s="260"/>
      <c r="T487" s="260"/>
      <c r="U487" s="260"/>
      <c r="V487" s="260"/>
      <c r="W487" s="260"/>
      <c r="X487" s="260"/>
      <c r="Y487" s="260"/>
      <c r="Z487" s="260"/>
    </row>
    <row r="488">
      <c r="A488" s="267">
        <v>46000.0</v>
      </c>
      <c r="B488" s="21" t="s">
        <v>1575</v>
      </c>
      <c r="C488" s="21" t="s">
        <v>9166</v>
      </c>
      <c r="D488" s="21" t="s">
        <v>9153</v>
      </c>
      <c r="E488" s="21" t="s">
        <v>9154</v>
      </c>
      <c r="F488" s="268" t="s">
        <v>9155</v>
      </c>
      <c r="G488" s="21" t="s">
        <v>9156</v>
      </c>
      <c r="H488" s="21" t="s">
        <v>5958</v>
      </c>
      <c r="I488" s="21" t="s">
        <v>9164</v>
      </c>
      <c r="J488" s="21" t="s">
        <v>9333</v>
      </c>
      <c r="K488" s="261">
        <v>46042.0</v>
      </c>
      <c r="L488" s="261">
        <v>46056.0</v>
      </c>
      <c r="M488" s="21" t="s">
        <v>9681</v>
      </c>
      <c r="N488" s="21" t="s">
        <v>22</v>
      </c>
      <c r="O488" s="260"/>
      <c r="P488" s="260"/>
      <c r="Q488" s="260"/>
      <c r="R488" s="260"/>
      <c r="S488" s="260"/>
      <c r="T488" s="260"/>
      <c r="U488" s="260"/>
      <c r="V488" s="260"/>
      <c r="W488" s="260"/>
      <c r="X488" s="260"/>
      <c r="Y488" s="260"/>
      <c r="Z488" s="260"/>
    </row>
    <row r="489">
      <c r="A489" s="267">
        <v>46000.0</v>
      </c>
      <c r="B489" s="21" t="s">
        <v>3155</v>
      </c>
      <c r="C489" s="21" t="s">
        <v>9166</v>
      </c>
      <c r="D489" s="21" t="s">
        <v>9153</v>
      </c>
      <c r="E489" s="21" t="s">
        <v>9154</v>
      </c>
      <c r="F489" s="268" t="s">
        <v>9155</v>
      </c>
      <c r="G489" s="21" t="s">
        <v>9156</v>
      </c>
      <c r="H489" s="21" t="s">
        <v>5958</v>
      </c>
      <c r="I489" s="21" t="s">
        <v>9164</v>
      </c>
      <c r="J489" s="21" t="s">
        <v>9333</v>
      </c>
      <c r="K489" s="261">
        <v>46042.0</v>
      </c>
      <c r="L489" s="261">
        <v>46056.0</v>
      </c>
      <c r="M489" s="21" t="s">
        <v>9682</v>
      </c>
      <c r="N489" s="21" t="s">
        <v>22</v>
      </c>
      <c r="O489" s="260"/>
      <c r="P489" s="260"/>
      <c r="Q489" s="260"/>
      <c r="R489" s="260"/>
      <c r="S489" s="260"/>
      <c r="T489" s="260"/>
      <c r="U489" s="260"/>
      <c r="V489" s="260"/>
      <c r="W489" s="260"/>
      <c r="X489" s="260"/>
      <c r="Y489" s="260"/>
      <c r="Z489" s="260"/>
    </row>
    <row r="490">
      <c r="A490" s="267">
        <v>46000.0</v>
      </c>
      <c r="B490" s="21" t="s">
        <v>1593</v>
      </c>
      <c r="C490" s="21" t="s">
        <v>9166</v>
      </c>
      <c r="D490" s="21" t="s">
        <v>9153</v>
      </c>
      <c r="E490" s="21" t="s">
        <v>9154</v>
      </c>
      <c r="F490" s="268" t="s">
        <v>9155</v>
      </c>
      <c r="G490" s="21" t="s">
        <v>9156</v>
      </c>
      <c r="H490" s="21" t="s">
        <v>5958</v>
      </c>
      <c r="I490" s="21" t="s">
        <v>9164</v>
      </c>
      <c r="J490" s="21" t="s">
        <v>9333</v>
      </c>
      <c r="K490" s="261">
        <v>46042.0</v>
      </c>
      <c r="L490" s="261">
        <v>46056.0</v>
      </c>
      <c r="M490" s="21" t="s">
        <v>9683</v>
      </c>
      <c r="N490" s="21" t="s">
        <v>22</v>
      </c>
      <c r="O490" s="260"/>
      <c r="P490" s="260"/>
      <c r="Q490" s="260"/>
      <c r="R490" s="260"/>
      <c r="S490" s="260"/>
      <c r="T490" s="260"/>
      <c r="U490" s="260"/>
      <c r="V490" s="260"/>
      <c r="W490" s="260"/>
      <c r="X490" s="260"/>
      <c r="Y490" s="260"/>
      <c r="Z490" s="260"/>
    </row>
    <row r="491">
      <c r="A491" s="267">
        <v>46000.0</v>
      </c>
      <c r="B491" s="21" t="s">
        <v>3490</v>
      </c>
      <c r="C491" s="21" t="s">
        <v>9166</v>
      </c>
      <c r="D491" s="21" t="s">
        <v>9153</v>
      </c>
      <c r="E491" s="21" t="s">
        <v>9154</v>
      </c>
      <c r="F491" s="268" t="s">
        <v>9155</v>
      </c>
      <c r="G491" s="21" t="s">
        <v>9156</v>
      </c>
      <c r="H491" s="21" t="s">
        <v>5958</v>
      </c>
      <c r="I491" s="21" t="s">
        <v>9164</v>
      </c>
      <c r="J491" s="21" t="s">
        <v>9333</v>
      </c>
      <c r="K491" s="261">
        <v>46042.0</v>
      </c>
      <c r="L491" s="261">
        <v>46056.0</v>
      </c>
      <c r="M491" s="21" t="s">
        <v>9684</v>
      </c>
      <c r="N491" s="21" t="s">
        <v>22</v>
      </c>
      <c r="O491" s="260"/>
      <c r="P491" s="260"/>
      <c r="Q491" s="260"/>
      <c r="R491" s="260"/>
      <c r="S491" s="260"/>
      <c r="T491" s="260"/>
      <c r="U491" s="260"/>
      <c r="V491" s="260"/>
      <c r="W491" s="260"/>
      <c r="X491" s="260"/>
      <c r="Y491" s="260"/>
      <c r="Z491" s="260"/>
    </row>
    <row r="492">
      <c r="A492" s="267"/>
      <c r="B492" s="21"/>
      <c r="C492" s="21"/>
      <c r="D492" s="21"/>
      <c r="E492" s="21"/>
      <c r="F492" s="21"/>
      <c r="G492" s="21"/>
      <c r="H492" s="21"/>
      <c r="I492" s="21"/>
      <c r="J492" s="21"/>
      <c r="K492" s="261" t="s">
        <v>39</v>
      </c>
      <c r="L492" s="261" t="s">
        <v>39</v>
      </c>
      <c r="M492" s="21"/>
      <c r="N492" s="21" t="s">
        <v>22</v>
      </c>
      <c r="O492" s="260"/>
      <c r="P492" s="260"/>
      <c r="Q492" s="260"/>
      <c r="R492" s="260"/>
      <c r="S492" s="260"/>
      <c r="T492" s="260"/>
      <c r="U492" s="260"/>
      <c r="V492" s="260"/>
      <c r="W492" s="260"/>
      <c r="X492" s="260"/>
      <c r="Y492" s="260"/>
      <c r="Z492" s="260"/>
    </row>
    <row r="493">
      <c r="A493" s="267">
        <v>46000.0</v>
      </c>
      <c r="B493" s="21" t="s">
        <v>3149</v>
      </c>
      <c r="C493" s="21" t="s">
        <v>9166</v>
      </c>
      <c r="D493" s="21" t="s">
        <v>9153</v>
      </c>
      <c r="E493" s="21" t="s">
        <v>9154</v>
      </c>
      <c r="F493" s="268" t="s">
        <v>9155</v>
      </c>
      <c r="G493" s="21" t="s">
        <v>8589</v>
      </c>
      <c r="H493" s="21" t="s">
        <v>5974</v>
      </c>
      <c r="I493" s="21" t="s">
        <v>9164</v>
      </c>
      <c r="J493" s="21" t="s">
        <v>9333</v>
      </c>
      <c r="K493" s="261">
        <v>46042.0</v>
      </c>
      <c r="L493" s="261">
        <v>46056.0</v>
      </c>
      <c r="M493" s="21" t="s">
        <v>9685</v>
      </c>
      <c r="N493" s="21" t="s">
        <v>22</v>
      </c>
      <c r="O493" s="260"/>
      <c r="P493" s="260"/>
      <c r="Q493" s="260"/>
      <c r="R493" s="260"/>
      <c r="S493" s="260"/>
      <c r="T493" s="260"/>
      <c r="U493" s="260"/>
      <c r="V493" s="260"/>
      <c r="W493" s="260"/>
      <c r="X493" s="260"/>
      <c r="Y493" s="260"/>
      <c r="Z493" s="260"/>
    </row>
    <row r="494">
      <c r="A494" s="267">
        <v>46000.0</v>
      </c>
      <c r="B494" s="21" t="s">
        <v>3438</v>
      </c>
      <c r="C494" s="21" t="s">
        <v>9166</v>
      </c>
      <c r="D494" s="21" t="s">
        <v>9153</v>
      </c>
      <c r="E494" s="21" t="s">
        <v>9154</v>
      </c>
      <c r="F494" s="268" t="s">
        <v>9155</v>
      </c>
      <c r="G494" s="21" t="s">
        <v>9156</v>
      </c>
      <c r="H494" s="21" t="s">
        <v>5958</v>
      </c>
      <c r="I494" s="21" t="s">
        <v>9164</v>
      </c>
      <c r="J494" s="21" t="s">
        <v>9333</v>
      </c>
      <c r="K494" s="261">
        <v>46042.0</v>
      </c>
      <c r="L494" s="261">
        <v>46056.0</v>
      </c>
      <c r="M494" s="21" t="s">
        <v>9686</v>
      </c>
      <c r="N494" s="21" t="s">
        <v>22</v>
      </c>
      <c r="O494" s="260"/>
      <c r="P494" s="260"/>
      <c r="Q494" s="260"/>
      <c r="R494" s="260"/>
      <c r="S494" s="260"/>
      <c r="T494" s="260"/>
      <c r="U494" s="260"/>
      <c r="V494" s="260"/>
      <c r="W494" s="260"/>
      <c r="X494" s="260"/>
      <c r="Y494" s="260"/>
      <c r="Z494" s="260"/>
    </row>
    <row r="495">
      <c r="A495" s="267">
        <v>46000.0</v>
      </c>
      <c r="B495" s="21" t="s">
        <v>3397</v>
      </c>
      <c r="C495" s="21" t="s">
        <v>9166</v>
      </c>
      <c r="D495" s="21" t="s">
        <v>9153</v>
      </c>
      <c r="E495" s="21" t="s">
        <v>9154</v>
      </c>
      <c r="F495" s="268" t="s">
        <v>9155</v>
      </c>
      <c r="G495" s="21" t="s">
        <v>9156</v>
      </c>
      <c r="H495" s="21" t="s">
        <v>5958</v>
      </c>
      <c r="I495" s="21" t="s">
        <v>9164</v>
      </c>
      <c r="J495" s="21" t="s">
        <v>9333</v>
      </c>
      <c r="K495" s="261">
        <v>46042.0</v>
      </c>
      <c r="L495" s="261">
        <v>46056.0</v>
      </c>
      <c r="M495" s="21" t="s">
        <v>9687</v>
      </c>
      <c r="N495" s="21" t="s">
        <v>22</v>
      </c>
      <c r="O495" s="260"/>
      <c r="P495" s="260"/>
      <c r="Q495" s="260"/>
      <c r="R495" s="260"/>
      <c r="S495" s="260"/>
      <c r="T495" s="260"/>
      <c r="U495" s="260"/>
      <c r="V495" s="260"/>
      <c r="W495" s="260"/>
      <c r="X495" s="260"/>
      <c r="Y495" s="260"/>
      <c r="Z495" s="260"/>
    </row>
    <row r="496">
      <c r="A496" s="267">
        <v>46000.0</v>
      </c>
      <c r="B496" s="21" t="s">
        <v>3158</v>
      </c>
      <c r="C496" s="21" t="s">
        <v>9166</v>
      </c>
      <c r="D496" s="21" t="s">
        <v>9153</v>
      </c>
      <c r="E496" s="21" t="s">
        <v>9154</v>
      </c>
      <c r="F496" s="268" t="s">
        <v>9155</v>
      </c>
      <c r="G496" s="21" t="s">
        <v>9156</v>
      </c>
      <c r="H496" s="21" t="s">
        <v>5958</v>
      </c>
      <c r="I496" s="21" t="s">
        <v>9164</v>
      </c>
      <c r="J496" s="21" t="s">
        <v>9333</v>
      </c>
      <c r="K496" s="261">
        <v>46042.0</v>
      </c>
      <c r="L496" s="261">
        <v>46056.0</v>
      </c>
      <c r="M496" s="21" t="s">
        <v>9688</v>
      </c>
      <c r="N496" s="21" t="s">
        <v>22</v>
      </c>
      <c r="O496" s="260"/>
      <c r="P496" s="260"/>
      <c r="Q496" s="260"/>
      <c r="R496" s="260"/>
      <c r="S496" s="260"/>
      <c r="T496" s="260"/>
      <c r="U496" s="260"/>
      <c r="V496" s="260"/>
      <c r="W496" s="260"/>
      <c r="X496" s="260"/>
      <c r="Y496" s="260"/>
      <c r="Z496" s="260"/>
    </row>
    <row r="497">
      <c r="A497" s="267">
        <v>46000.0</v>
      </c>
      <c r="B497" s="21" t="s">
        <v>2711</v>
      </c>
      <c r="C497" s="21" t="s">
        <v>9166</v>
      </c>
      <c r="D497" s="21" t="s">
        <v>9153</v>
      </c>
      <c r="E497" s="21" t="s">
        <v>9154</v>
      </c>
      <c r="F497" s="268" t="s">
        <v>9155</v>
      </c>
      <c r="G497" s="21" t="s">
        <v>9156</v>
      </c>
      <c r="H497" s="21" t="s">
        <v>5958</v>
      </c>
      <c r="I497" s="21" t="s">
        <v>9164</v>
      </c>
      <c r="J497" s="21" t="s">
        <v>9333</v>
      </c>
      <c r="K497" s="261">
        <v>46042.0</v>
      </c>
      <c r="L497" s="261">
        <v>46056.0</v>
      </c>
      <c r="M497" s="21" t="s">
        <v>9689</v>
      </c>
      <c r="N497" s="21" t="s">
        <v>22</v>
      </c>
      <c r="O497" s="260"/>
      <c r="P497" s="260"/>
      <c r="Q497" s="260"/>
      <c r="R497" s="260"/>
      <c r="S497" s="260"/>
      <c r="T497" s="260"/>
      <c r="U497" s="260"/>
      <c r="V497" s="260"/>
      <c r="W497" s="260"/>
      <c r="X497" s="260"/>
      <c r="Y497" s="260"/>
      <c r="Z497" s="260"/>
    </row>
    <row r="498">
      <c r="A498" s="267">
        <v>46000.0</v>
      </c>
      <c r="B498" s="21" t="s">
        <v>3039</v>
      </c>
      <c r="C498" s="21" t="s">
        <v>9166</v>
      </c>
      <c r="D498" s="21" t="s">
        <v>9153</v>
      </c>
      <c r="E498" s="21" t="s">
        <v>9154</v>
      </c>
      <c r="F498" s="268" t="s">
        <v>9155</v>
      </c>
      <c r="G498" s="21" t="s">
        <v>9156</v>
      </c>
      <c r="H498" s="21" t="s">
        <v>5958</v>
      </c>
      <c r="I498" s="21" t="s">
        <v>9164</v>
      </c>
      <c r="J498" s="21" t="s">
        <v>9333</v>
      </c>
      <c r="K498" s="261">
        <v>46042.0</v>
      </c>
      <c r="L498" s="261">
        <v>46056.0</v>
      </c>
      <c r="M498" s="21" t="s">
        <v>9690</v>
      </c>
      <c r="N498" s="21" t="s">
        <v>22</v>
      </c>
      <c r="O498" s="260"/>
      <c r="P498" s="260"/>
      <c r="Q498" s="260"/>
      <c r="R498" s="260"/>
      <c r="S498" s="260"/>
      <c r="T498" s="260"/>
      <c r="U498" s="260"/>
      <c r="V498" s="260"/>
      <c r="W498" s="260"/>
      <c r="X498" s="260"/>
      <c r="Y498" s="260"/>
      <c r="Z498" s="260"/>
    </row>
    <row r="499">
      <c r="A499" s="267">
        <v>46000.0</v>
      </c>
      <c r="B499" s="21" t="s">
        <v>2403</v>
      </c>
      <c r="C499" s="21" t="s">
        <v>9166</v>
      </c>
      <c r="D499" s="21" t="s">
        <v>9153</v>
      </c>
      <c r="E499" s="21" t="s">
        <v>9154</v>
      </c>
      <c r="F499" s="268" t="s">
        <v>9155</v>
      </c>
      <c r="G499" s="21" t="s">
        <v>9156</v>
      </c>
      <c r="H499" s="21" t="s">
        <v>5958</v>
      </c>
      <c r="I499" s="21" t="s">
        <v>9164</v>
      </c>
      <c r="J499" s="21" t="s">
        <v>9333</v>
      </c>
      <c r="K499" s="261">
        <v>46042.0</v>
      </c>
      <c r="L499" s="261">
        <v>46056.0</v>
      </c>
      <c r="M499" s="21" t="s">
        <v>9691</v>
      </c>
      <c r="N499" s="21" t="s">
        <v>22</v>
      </c>
      <c r="O499" s="260"/>
      <c r="P499" s="260"/>
      <c r="Q499" s="260"/>
      <c r="R499" s="260"/>
      <c r="S499" s="260"/>
      <c r="T499" s="260"/>
      <c r="U499" s="260"/>
      <c r="V499" s="260"/>
      <c r="W499" s="260"/>
      <c r="X499" s="260"/>
      <c r="Y499" s="260"/>
      <c r="Z499" s="260"/>
    </row>
    <row r="500">
      <c r="A500" s="267">
        <v>46000.0</v>
      </c>
      <c r="B500" s="21" t="s">
        <v>2405</v>
      </c>
      <c r="C500" s="21" t="s">
        <v>9166</v>
      </c>
      <c r="D500" s="21" t="s">
        <v>9153</v>
      </c>
      <c r="E500" s="21" t="s">
        <v>9154</v>
      </c>
      <c r="F500" s="268" t="s">
        <v>9155</v>
      </c>
      <c r="G500" s="21" t="s">
        <v>9156</v>
      </c>
      <c r="H500" s="21" t="s">
        <v>5958</v>
      </c>
      <c r="I500" s="21" t="s">
        <v>9164</v>
      </c>
      <c r="J500" s="21" t="s">
        <v>9333</v>
      </c>
      <c r="K500" s="261">
        <v>46042.0</v>
      </c>
      <c r="L500" s="261">
        <v>46056.0</v>
      </c>
      <c r="M500" s="21" t="s">
        <v>9692</v>
      </c>
      <c r="N500" s="21" t="s">
        <v>22</v>
      </c>
      <c r="O500" s="260"/>
      <c r="P500" s="260"/>
      <c r="Q500" s="260"/>
      <c r="R500" s="260"/>
      <c r="S500" s="260"/>
      <c r="T500" s="260"/>
      <c r="U500" s="260"/>
      <c r="V500" s="260"/>
      <c r="W500" s="260"/>
      <c r="X500" s="260"/>
      <c r="Y500" s="260"/>
      <c r="Z500" s="260"/>
    </row>
    <row r="501">
      <c r="A501" s="267">
        <v>46000.0</v>
      </c>
      <c r="B501" s="21" t="s">
        <v>2681</v>
      </c>
      <c r="C501" s="21" t="s">
        <v>9166</v>
      </c>
      <c r="D501" s="21" t="s">
        <v>9153</v>
      </c>
      <c r="E501" s="21" t="s">
        <v>9154</v>
      </c>
      <c r="F501" s="268" t="s">
        <v>9155</v>
      </c>
      <c r="G501" s="21" t="s">
        <v>9156</v>
      </c>
      <c r="H501" s="21" t="s">
        <v>5958</v>
      </c>
      <c r="I501" s="21" t="s">
        <v>9164</v>
      </c>
      <c r="J501" s="21" t="s">
        <v>9333</v>
      </c>
      <c r="K501" s="261">
        <v>46042.0</v>
      </c>
      <c r="L501" s="261">
        <v>46056.0</v>
      </c>
      <c r="M501" s="21" t="s">
        <v>9693</v>
      </c>
      <c r="N501" s="21" t="s">
        <v>22</v>
      </c>
      <c r="O501" s="260"/>
      <c r="P501" s="260"/>
      <c r="Q501" s="260"/>
      <c r="R501" s="260"/>
      <c r="S501" s="260"/>
      <c r="T501" s="260"/>
      <c r="U501" s="260"/>
      <c r="V501" s="260"/>
      <c r="W501" s="260"/>
      <c r="X501" s="260"/>
      <c r="Y501" s="260"/>
      <c r="Z501" s="260"/>
    </row>
    <row r="502">
      <c r="A502" s="267">
        <v>46000.0</v>
      </c>
      <c r="B502" s="21" t="s">
        <v>2407</v>
      </c>
      <c r="C502" s="21" t="s">
        <v>9166</v>
      </c>
      <c r="D502" s="21" t="s">
        <v>9153</v>
      </c>
      <c r="E502" s="21" t="s">
        <v>9154</v>
      </c>
      <c r="F502" s="268" t="s">
        <v>9155</v>
      </c>
      <c r="G502" s="21" t="s">
        <v>9156</v>
      </c>
      <c r="H502" s="21" t="s">
        <v>5958</v>
      </c>
      <c r="I502" s="21" t="s">
        <v>9164</v>
      </c>
      <c r="J502" s="21" t="s">
        <v>9333</v>
      </c>
      <c r="K502" s="261">
        <v>46042.0</v>
      </c>
      <c r="L502" s="261">
        <v>46056.0</v>
      </c>
      <c r="M502" s="21" t="s">
        <v>9694</v>
      </c>
      <c r="N502" s="21" t="s">
        <v>22</v>
      </c>
      <c r="O502" s="260"/>
      <c r="P502" s="260"/>
      <c r="Q502" s="260"/>
      <c r="R502" s="260"/>
      <c r="S502" s="260"/>
      <c r="T502" s="260"/>
      <c r="U502" s="260"/>
      <c r="V502" s="260"/>
      <c r="W502" s="260"/>
      <c r="X502" s="260"/>
      <c r="Y502" s="260"/>
      <c r="Z502" s="260"/>
    </row>
    <row r="503">
      <c r="A503" s="267">
        <v>46000.0</v>
      </c>
      <c r="B503" s="21" t="s">
        <v>2414</v>
      </c>
      <c r="C503" s="21" t="s">
        <v>9166</v>
      </c>
      <c r="D503" s="21" t="s">
        <v>9153</v>
      </c>
      <c r="E503" s="21" t="s">
        <v>9154</v>
      </c>
      <c r="F503" s="268" t="s">
        <v>9155</v>
      </c>
      <c r="G503" s="21" t="s">
        <v>9156</v>
      </c>
      <c r="H503" s="21" t="s">
        <v>5958</v>
      </c>
      <c r="I503" s="21" t="s">
        <v>9164</v>
      </c>
      <c r="J503" s="21" t="s">
        <v>9333</v>
      </c>
      <c r="K503" s="261">
        <v>46042.0</v>
      </c>
      <c r="L503" s="261">
        <v>46056.0</v>
      </c>
      <c r="M503" s="21" t="s">
        <v>9695</v>
      </c>
      <c r="N503" s="21" t="s">
        <v>22</v>
      </c>
      <c r="O503" s="260"/>
      <c r="P503" s="260"/>
      <c r="Q503" s="260"/>
      <c r="R503" s="260"/>
      <c r="S503" s="260"/>
      <c r="T503" s="260"/>
      <c r="U503" s="260"/>
      <c r="V503" s="260"/>
      <c r="W503" s="260"/>
      <c r="X503" s="260"/>
      <c r="Y503" s="260"/>
      <c r="Z503" s="260"/>
    </row>
    <row r="504">
      <c r="A504" s="267">
        <v>46000.0</v>
      </c>
      <c r="B504" s="21" t="s">
        <v>1720</v>
      </c>
      <c r="C504" s="21" t="s">
        <v>9166</v>
      </c>
      <c r="D504" s="21" t="s">
        <v>9153</v>
      </c>
      <c r="E504" s="21" t="s">
        <v>9154</v>
      </c>
      <c r="F504" s="268" t="s">
        <v>9155</v>
      </c>
      <c r="G504" s="21" t="s">
        <v>9156</v>
      </c>
      <c r="H504" s="21" t="s">
        <v>5958</v>
      </c>
      <c r="I504" s="21" t="s">
        <v>9164</v>
      </c>
      <c r="J504" s="21" t="s">
        <v>9333</v>
      </c>
      <c r="K504" s="261">
        <v>46042.0</v>
      </c>
      <c r="L504" s="261">
        <v>46056.0</v>
      </c>
      <c r="M504" s="21" t="s">
        <v>9696</v>
      </c>
      <c r="N504" s="21" t="s">
        <v>22</v>
      </c>
      <c r="O504" s="260"/>
      <c r="P504" s="260"/>
      <c r="Q504" s="260"/>
      <c r="R504" s="260"/>
      <c r="S504" s="260"/>
      <c r="T504" s="260"/>
      <c r="U504" s="260"/>
      <c r="V504" s="260"/>
      <c r="W504" s="260"/>
      <c r="X504" s="260"/>
      <c r="Y504" s="260"/>
      <c r="Z504" s="260"/>
    </row>
    <row r="505">
      <c r="A505" s="267">
        <v>46000.0</v>
      </c>
      <c r="B505" s="21" t="s">
        <v>3403</v>
      </c>
      <c r="C505" s="21" t="s">
        <v>9166</v>
      </c>
      <c r="D505" s="21" t="s">
        <v>9153</v>
      </c>
      <c r="E505" s="21" t="s">
        <v>9154</v>
      </c>
      <c r="F505" s="268" t="s">
        <v>9155</v>
      </c>
      <c r="G505" s="21" t="s">
        <v>9156</v>
      </c>
      <c r="H505" s="21" t="s">
        <v>5958</v>
      </c>
      <c r="I505" s="21" t="s">
        <v>9164</v>
      </c>
      <c r="J505" s="21" t="s">
        <v>9333</v>
      </c>
      <c r="K505" s="261">
        <v>46042.0</v>
      </c>
      <c r="L505" s="261">
        <v>46056.0</v>
      </c>
      <c r="M505" s="21" t="s">
        <v>9697</v>
      </c>
      <c r="N505" s="21" t="s">
        <v>22</v>
      </c>
      <c r="O505" s="260"/>
      <c r="P505" s="260"/>
      <c r="Q505" s="260"/>
      <c r="R505" s="260"/>
      <c r="S505" s="260"/>
      <c r="T505" s="260"/>
      <c r="U505" s="260"/>
      <c r="V505" s="260"/>
      <c r="W505" s="260"/>
      <c r="X505" s="260"/>
      <c r="Y505" s="260"/>
      <c r="Z505" s="260"/>
    </row>
    <row r="506">
      <c r="A506" s="267">
        <v>46000.0</v>
      </c>
      <c r="B506" s="21" t="s">
        <v>1751</v>
      </c>
      <c r="C506" s="21" t="s">
        <v>9166</v>
      </c>
      <c r="D506" s="21" t="s">
        <v>9153</v>
      </c>
      <c r="E506" s="21" t="s">
        <v>9154</v>
      </c>
      <c r="F506" s="268" t="s">
        <v>9155</v>
      </c>
      <c r="G506" s="21" t="s">
        <v>9156</v>
      </c>
      <c r="H506" s="21" t="s">
        <v>5958</v>
      </c>
      <c r="I506" s="21" t="s">
        <v>9164</v>
      </c>
      <c r="J506" s="21" t="s">
        <v>9333</v>
      </c>
      <c r="K506" s="261">
        <v>46042.0</v>
      </c>
      <c r="L506" s="261">
        <v>46056.0</v>
      </c>
      <c r="M506" s="21" t="s">
        <v>9698</v>
      </c>
      <c r="N506" s="21" t="s">
        <v>22</v>
      </c>
      <c r="O506" s="260"/>
      <c r="P506" s="260"/>
      <c r="Q506" s="260"/>
      <c r="R506" s="260"/>
      <c r="S506" s="260"/>
      <c r="T506" s="260"/>
      <c r="U506" s="260"/>
      <c r="V506" s="260"/>
      <c r="W506" s="260"/>
      <c r="X506" s="260"/>
      <c r="Y506" s="260"/>
      <c r="Z506" s="260"/>
    </row>
    <row r="507">
      <c r="A507" s="267">
        <v>46000.0</v>
      </c>
      <c r="B507" s="21" t="s">
        <v>2924</v>
      </c>
      <c r="C507" s="21" t="s">
        <v>9166</v>
      </c>
      <c r="D507" s="21" t="s">
        <v>9153</v>
      </c>
      <c r="E507" s="21" t="s">
        <v>9154</v>
      </c>
      <c r="F507" s="268" t="s">
        <v>9155</v>
      </c>
      <c r="G507" s="21" t="s">
        <v>9156</v>
      </c>
      <c r="H507" s="21" t="s">
        <v>5958</v>
      </c>
      <c r="I507" s="21" t="s">
        <v>9164</v>
      </c>
      <c r="J507" s="21" t="s">
        <v>9333</v>
      </c>
      <c r="K507" s="261">
        <v>46042.0</v>
      </c>
      <c r="L507" s="261">
        <v>46056.0</v>
      </c>
      <c r="M507" s="21" t="s">
        <v>9699</v>
      </c>
      <c r="N507" s="21" t="s">
        <v>22</v>
      </c>
      <c r="O507" s="260"/>
      <c r="P507" s="260"/>
      <c r="Q507" s="260"/>
      <c r="R507" s="260"/>
      <c r="S507" s="260"/>
      <c r="T507" s="260"/>
      <c r="U507" s="260"/>
      <c r="V507" s="260"/>
      <c r="W507" s="260"/>
      <c r="X507" s="260"/>
      <c r="Y507" s="260"/>
      <c r="Z507" s="260"/>
    </row>
    <row r="508">
      <c r="A508" s="267">
        <v>46000.0</v>
      </c>
      <c r="B508" s="21" t="s">
        <v>1799</v>
      </c>
      <c r="C508" s="21" t="s">
        <v>9166</v>
      </c>
      <c r="D508" s="21" t="s">
        <v>9153</v>
      </c>
      <c r="E508" s="21" t="s">
        <v>9154</v>
      </c>
      <c r="F508" s="268" t="s">
        <v>9155</v>
      </c>
      <c r="G508" s="21" t="s">
        <v>9156</v>
      </c>
      <c r="H508" s="21" t="s">
        <v>5958</v>
      </c>
      <c r="I508" s="21" t="s">
        <v>9164</v>
      </c>
      <c r="J508" s="21" t="s">
        <v>9333</v>
      </c>
      <c r="K508" s="261">
        <v>46042.0</v>
      </c>
      <c r="L508" s="261">
        <v>46056.0</v>
      </c>
      <c r="M508" s="21" t="s">
        <v>9700</v>
      </c>
      <c r="N508" s="21" t="s">
        <v>22</v>
      </c>
      <c r="O508" s="260"/>
      <c r="P508" s="260"/>
      <c r="Q508" s="260"/>
      <c r="R508" s="260"/>
      <c r="S508" s="260"/>
      <c r="T508" s="260"/>
      <c r="U508" s="260"/>
      <c r="V508" s="260"/>
      <c r="W508" s="260"/>
      <c r="X508" s="260"/>
      <c r="Y508" s="260"/>
      <c r="Z508" s="260"/>
    </row>
    <row r="509">
      <c r="A509" s="267">
        <v>46000.0</v>
      </c>
      <c r="B509" s="21" t="s">
        <v>2586</v>
      </c>
      <c r="C509" s="21" t="s">
        <v>9166</v>
      </c>
      <c r="D509" s="21" t="s">
        <v>9153</v>
      </c>
      <c r="E509" s="21" t="s">
        <v>9154</v>
      </c>
      <c r="F509" s="268" t="s">
        <v>9155</v>
      </c>
      <c r="G509" s="21" t="s">
        <v>8589</v>
      </c>
      <c r="H509" s="21" t="s">
        <v>5974</v>
      </c>
      <c r="I509" s="21" t="s">
        <v>9164</v>
      </c>
      <c r="J509" s="21" t="s">
        <v>9333</v>
      </c>
      <c r="K509" s="261">
        <v>46042.0</v>
      </c>
      <c r="L509" s="261">
        <v>46056.0</v>
      </c>
      <c r="M509" s="21" t="s">
        <v>9701</v>
      </c>
      <c r="N509" s="21" t="s">
        <v>22</v>
      </c>
      <c r="O509" s="260"/>
      <c r="P509" s="260"/>
      <c r="Q509" s="260"/>
      <c r="R509" s="260"/>
      <c r="S509" s="260"/>
      <c r="T509" s="260"/>
      <c r="U509" s="260"/>
      <c r="V509" s="260"/>
      <c r="W509" s="260"/>
      <c r="X509" s="260"/>
      <c r="Y509" s="260"/>
      <c r="Z509" s="260"/>
    </row>
    <row r="510">
      <c r="A510" s="267">
        <v>46000.0</v>
      </c>
      <c r="B510" s="21" t="s">
        <v>2857</v>
      </c>
      <c r="C510" s="21" t="s">
        <v>9166</v>
      </c>
      <c r="D510" s="21" t="s">
        <v>9153</v>
      </c>
      <c r="E510" s="21" t="s">
        <v>9154</v>
      </c>
      <c r="F510" s="268" t="s">
        <v>9155</v>
      </c>
      <c r="G510" s="21" t="s">
        <v>8589</v>
      </c>
      <c r="H510" s="21" t="s">
        <v>5970</v>
      </c>
      <c r="I510" s="21" t="s">
        <v>9164</v>
      </c>
      <c r="J510" s="21" t="s">
        <v>9333</v>
      </c>
      <c r="K510" s="261">
        <v>46042.0</v>
      </c>
      <c r="L510" s="261">
        <v>46056.0</v>
      </c>
      <c r="M510" s="21" t="s">
        <v>9702</v>
      </c>
      <c r="N510" s="21" t="s">
        <v>22</v>
      </c>
      <c r="O510" s="260"/>
      <c r="P510" s="260"/>
      <c r="Q510" s="260"/>
      <c r="R510" s="260"/>
      <c r="S510" s="260"/>
      <c r="T510" s="260"/>
      <c r="U510" s="260"/>
      <c r="V510" s="260"/>
      <c r="W510" s="260"/>
      <c r="X510" s="260"/>
      <c r="Y510" s="260"/>
      <c r="Z510" s="260"/>
    </row>
    <row r="511">
      <c r="A511" s="267">
        <v>46000.0</v>
      </c>
      <c r="B511" s="21" t="s">
        <v>2907</v>
      </c>
      <c r="C511" s="21" t="s">
        <v>9166</v>
      </c>
      <c r="D511" s="21" t="s">
        <v>9153</v>
      </c>
      <c r="E511" s="21" t="s">
        <v>9154</v>
      </c>
      <c r="F511" s="268" t="s">
        <v>9155</v>
      </c>
      <c r="G511" s="21" t="s">
        <v>8589</v>
      </c>
      <c r="H511" s="21" t="s">
        <v>5974</v>
      </c>
      <c r="I511" s="21" t="s">
        <v>9164</v>
      </c>
      <c r="J511" s="21" t="s">
        <v>9333</v>
      </c>
      <c r="K511" s="261">
        <v>46042.0</v>
      </c>
      <c r="L511" s="261">
        <v>46056.0</v>
      </c>
      <c r="M511" s="21" t="s">
        <v>9703</v>
      </c>
      <c r="N511" s="21" t="s">
        <v>22</v>
      </c>
      <c r="O511" s="260"/>
      <c r="P511" s="260"/>
      <c r="Q511" s="260"/>
      <c r="R511" s="260"/>
      <c r="S511" s="260"/>
      <c r="T511" s="260"/>
      <c r="U511" s="260"/>
      <c r="V511" s="260"/>
      <c r="W511" s="260"/>
      <c r="X511" s="260"/>
      <c r="Y511" s="260"/>
      <c r="Z511" s="260"/>
    </row>
    <row r="512">
      <c r="A512" s="267">
        <v>46000.0</v>
      </c>
      <c r="B512" s="21" t="s">
        <v>3082</v>
      </c>
      <c r="C512" s="21" t="s">
        <v>9166</v>
      </c>
      <c r="D512" s="21" t="s">
        <v>9153</v>
      </c>
      <c r="E512" s="21" t="s">
        <v>9154</v>
      </c>
      <c r="F512" s="268" t="s">
        <v>9155</v>
      </c>
      <c r="G512" s="21" t="s">
        <v>8589</v>
      </c>
      <c r="H512" s="21" t="s">
        <v>5970</v>
      </c>
      <c r="I512" s="21" t="s">
        <v>9164</v>
      </c>
      <c r="J512" s="21" t="s">
        <v>9333</v>
      </c>
      <c r="K512" s="261">
        <v>46042.0</v>
      </c>
      <c r="L512" s="261">
        <v>46056.0</v>
      </c>
      <c r="M512" s="21" t="s">
        <v>9704</v>
      </c>
      <c r="N512" s="21" t="s">
        <v>22</v>
      </c>
      <c r="O512" s="260"/>
      <c r="P512" s="260"/>
      <c r="Q512" s="260"/>
      <c r="R512" s="260"/>
      <c r="S512" s="260"/>
      <c r="T512" s="260"/>
      <c r="U512" s="260"/>
      <c r="V512" s="260"/>
      <c r="W512" s="260"/>
      <c r="X512" s="260"/>
      <c r="Y512" s="260"/>
      <c r="Z512" s="260"/>
    </row>
    <row r="513">
      <c r="A513" s="267">
        <v>46000.0</v>
      </c>
      <c r="B513" s="21" t="s">
        <v>2787</v>
      </c>
      <c r="C513" s="21" t="s">
        <v>9166</v>
      </c>
      <c r="D513" s="21" t="s">
        <v>9153</v>
      </c>
      <c r="E513" s="21" t="s">
        <v>9154</v>
      </c>
      <c r="F513" s="268" t="s">
        <v>9155</v>
      </c>
      <c r="G513" s="21" t="s">
        <v>8589</v>
      </c>
      <c r="H513" s="21" t="s">
        <v>5974</v>
      </c>
      <c r="I513" s="21" t="s">
        <v>9164</v>
      </c>
      <c r="J513" s="21" t="s">
        <v>9333</v>
      </c>
      <c r="K513" s="261">
        <v>46042.0</v>
      </c>
      <c r="L513" s="261">
        <v>46056.0</v>
      </c>
      <c r="M513" s="21" t="s">
        <v>9705</v>
      </c>
      <c r="N513" s="21" t="s">
        <v>22</v>
      </c>
      <c r="O513" s="260"/>
      <c r="P513" s="260"/>
      <c r="Q513" s="260"/>
      <c r="R513" s="260"/>
      <c r="S513" s="260"/>
      <c r="T513" s="260"/>
      <c r="U513" s="260"/>
      <c r="V513" s="260"/>
      <c r="W513" s="260"/>
      <c r="X513" s="260"/>
      <c r="Y513" s="260"/>
      <c r="Z513" s="260"/>
    </row>
    <row r="514">
      <c r="A514" s="267">
        <v>46000.0</v>
      </c>
      <c r="B514" s="21" t="s">
        <v>3118</v>
      </c>
      <c r="C514" s="21" t="s">
        <v>9166</v>
      </c>
      <c r="D514" s="21" t="s">
        <v>9153</v>
      </c>
      <c r="E514" s="21" t="s">
        <v>9154</v>
      </c>
      <c r="F514" s="268" t="s">
        <v>9155</v>
      </c>
      <c r="G514" s="21" t="s">
        <v>9156</v>
      </c>
      <c r="H514" s="21" t="s">
        <v>5958</v>
      </c>
      <c r="I514" s="21" t="s">
        <v>9164</v>
      </c>
      <c r="J514" s="21" t="s">
        <v>9333</v>
      </c>
      <c r="K514" s="261">
        <v>46042.0</v>
      </c>
      <c r="L514" s="261">
        <v>46056.0</v>
      </c>
      <c r="M514" s="21" t="s">
        <v>9706</v>
      </c>
      <c r="N514" s="21" t="s">
        <v>22</v>
      </c>
      <c r="O514" s="260"/>
      <c r="P514" s="260"/>
      <c r="Q514" s="260"/>
      <c r="R514" s="260"/>
      <c r="S514" s="260"/>
      <c r="T514" s="260"/>
      <c r="U514" s="260"/>
      <c r="V514" s="260"/>
      <c r="W514" s="260"/>
      <c r="X514" s="260"/>
      <c r="Y514" s="260"/>
      <c r="Z514" s="260"/>
    </row>
    <row r="515">
      <c r="A515" s="267">
        <v>46000.0</v>
      </c>
      <c r="B515" s="21" t="s">
        <v>1509</v>
      </c>
      <c r="C515" s="21" t="s">
        <v>9166</v>
      </c>
      <c r="D515" s="21" t="s">
        <v>9153</v>
      </c>
      <c r="E515" s="21" t="s">
        <v>9154</v>
      </c>
      <c r="F515" s="268" t="s">
        <v>9155</v>
      </c>
      <c r="G515" s="21" t="s">
        <v>9156</v>
      </c>
      <c r="H515" s="21" t="s">
        <v>5958</v>
      </c>
      <c r="I515" s="21" t="s">
        <v>9164</v>
      </c>
      <c r="J515" s="21" t="s">
        <v>9333</v>
      </c>
      <c r="K515" s="261">
        <v>46042.0</v>
      </c>
      <c r="L515" s="261">
        <v>46056.0</v>
      </c>
      <c r="M515" s="21" t="s">
        <v>9707</v>
      </c>
      <c r="N515" s="21" t="s">
        <v>22</v>
      </c>
      <c r="O515" s="260"/>
      <c r="P515" s="260"/>
      <c r="Q515" s="260"/>
      <c r="R515" s="260"/>
      <c r="S515" s="260"/>
      <c r="T515" s="260"/>
      <c r="U515" s="260"/>
      <c r="V515" s="260"/>
      <c r="W515" s="260"/>
      <c r="X515" s="260"/>
      <c r="Y515" s="260"/>
      <c r="Z515" s="260"/>
    </row>
    <row r="516">
      <c r="A516" s="267">
        <v>46000.0</v>
      </c>
      <c r="B516" s="21" t="s">
        <v>2880</v>
      </c>
      <c r="C516" s="21" t="s">
        <v>9166</v>
      </c>
      <c r="D516" s="21" t="s">
        <v>9153</v>
      </c>
      <c r="E516" s="21" t="s">
        <v>9154</v>
      </c>
      <c r="F516" s="268" t="s">
        <v>9155</v>
      </c>
      <c r="G516" s="21" t="s">
        <v>8589</v>
      </c>
      <c r="H516" s="21" t="s">
        <v>5970</v>
      </c>
      <c r="I516" s="21" t="s">
        <v>9164</v>
      </c>
      <c r="J516" s="21" t="s">
        <v>9333</v>
      </c>
      <c r="K516" s="261">
        <v>46042.0</v>
      </c>
      <c r="L516" s="261">
        <v>46056.0</v>
      </c>
      <c r="M516" s="21" t="s">
        <v>9708</v>
      </c>
      <c r="N516" s="21" t="s">
        <v>22</v>
      </c>
      <c r="O516" s="260"/>
      <c r="P516" s="260"/>
      <c r="Q516" s="260"/>
      <c r="R516" s="260"/>
      <c r="S516" s="260"/>
      <c r="T516" s="260"/>
      <c r="U516" s="260"/>
      <c r="V516" s="260"/>
      <c r="W516" s="260"/>
      <c r="X516" s="260"/>
      <c r="Y516" s="260"/>
      <c r="Z516" s="260"/>
    </row>
    <row r="517">
      <c r="A517" s="267">
        <v>46000.0</v>
      </c>
      <c r="B517" s="21" t="s">
        <v>1507</v>
      </c>
      <c r="C517" s="21" t="s">
        <v>9166</v>
      </c>
      <c r="D517" s="21" t="s">
        <v>9153</v>
      </c>
      <c r="E517" s="21" t="s">
        <v>9154</v>
      </c>
      <c r="F517" s="268" t="s">
        <v>9155</v>
      </c>
      <c r="G517" s="21" t="s">
        <v>8589</v>
      </c>
      <c r="H517" s="21" t="s">
        <v>5970</v>
      </c>
      <c r="I517" s="21" t="s">
        <v>9164</v>
      </c>
      <c r="J517" s="21" t="s">
        <v>9333</v>
      </c>
      <c r="K517" s="261">
        <v>46042.0</v>
      </c>
      <c r="L517" s="261">
        <v>46056.0</v>
      </c>
      <c r="M517" s="21" t="s">
        <v>9709</v>
      </c>
      <c r="N517" s="21" t="s">
        <v>22</v>
      </c>
      <c r="O517" s="260"/>
      <c r="P517" s="260"/>
      <c r="Q517" s="260"/>
      <c r="R517" s="260"/>
      <c r="S517" s="260"/>
      <c r="T517" s="260"/>
      <c r="U517" s="260"/>
      <c r="V517" s="260"/>
      <c r="W517" s="260"/>
      <c r="X517" s="260"/>
      <c r="Y517" s="260"/>
      <c r="Z517" s="260"/>
    </row>
    <row r="518">
      <c r="A518" s="267">
        <v>46000.0</v>
      </c>
      <c r="B518" s="21" t="s">
        <v>3085</v>
      </c>
      <c r="C518" s="21" t="s">
        <v>9166</v>
      </c>
      <c r="D518" s="21" t="s">
        <v>9153</v>
      </c>
      <c r="E518" s="21" t="s">
        <v>9154</v>
      </c>
      <c r="F518" s="268" t="s">
        <v>9155</v>
      </c>
      <c r="G518" s="21" t="s">
        <v>9156</v>
      </c>
      <c r="H518" s="21" t="s">
        <v>5958</v>
      </c>
      <c r="I518" s="21" t="s">
        <v>9164</v>
      </c>
      <c r="J518" s="21" t="s">
        <v>9333</v>
      </c>
      <c r="K518" s="261">
        <v>46042.0</v>
      </c>
      <c r="L518" s="261">
        <v>46056.0</v>
      </c>
      <c r="M518" s="21" t="s">
        <v>9710</v>
      </c>
      <c r="N518" s="21" t="s">
        <v>22</v>
      </c>
      <c r="O518" s="260"/>
      <c r="P518" s="260"/>
      <c r="Q518" s="260"/>
      <c r="R518" s="260"/>
      <c r="S518" s="260"/>
      <c r="T518" s="260"/>
      <c r="U518" s="260"/>
      <c r="V518" s="260"/>
      <c r="W518" s="260"/>
      <c r="X518" s="260"/>
      <c r="Y518" s="260"/>
      <c r="Z518" s="260"/>
    </row>
    <row r="519">
      <c r="A519" s="267">
        <v>46000.0</v>
      </c>
      <c r="B519" s="21" t="s">
        <v>2791</v>
      </c>
      <c r="C519" s="21" t="s">
        <v>9166</v>
      </c>
      <c r="D519" s="21" t="s">
        <v>9153</v>
      </c>
      <c r="E519" s="21" t="s">
        <v>9154</v>
      </c>
      <c r="F519" s="268" t="s">
        <v>9155</v>
      </c>
      <c r="G519" s="21" t="s">
        <v>8589</v>
      </c>
      <c r="H519" s="21" t="s">
        <v>5974</v>
      </c>
      <c r="I519" s="21" t="s">
        <v>9164</v>
      </c>
      <c r="J519" s="21" t="s">
        <v>9333</v>
      </c>
      <c r="K519" s="261">
        <v>46042.0</v>
      </c>
      <c r="L519" s="261">
        <v>46056.0</v>
      </c>
      <c r="M519" s="268" t="s">
        <v>9711</v>
      </c>
      <c r="N519" s="21" t="s">
        <v>22</v>
      </c>
      <c r="O519" s="260"/>
      <c r="P519" s="260"/>
      <c r="Q519" s="260"/>
      <c r="R519" s="260"/>
      <c r="S519" s="260"/>
      <c r="T519" s="260"/>
      <c r="U519" s="260"/>
      <c r="V519" s="260"/>
      <c r="W519" s="260"/>
      <c r="X519" s="260"/>
      <c r="Y519" s="260"/>
      <c r="Z519" s="260"/>
    </row>
    <row r="520">
      <c r="A520" s="267">
        <v>46000.0</v>
      </c>
      <c r="B520" s="21" t="s">
        <v>3441</v>
      </c>
      <c r="C520" s="21" t="s">
        <v>9166</v>
      </c>
      <c r="D520" s="21" t="s">
        <v>9153</v>
      </c>
      <c r="E520" s="21" t="s">
        <v>9154</v>
      </c>
      <c r="F520" s="268" t="s">
        <v>9155</v>
      </c>
      <c r="G520" s="21" t="s">
        <v>9156</v>
      </c>
      <c r="H520" s="21" t="s">
        <v>5958</v>
      </c>
      <c r="I520" s="21" t="s">
        <v>9164</v>
      </c>
      <c r="J520" s="21" t="s">
        <v>9333</v>
      </c>
      <c r="K520" s="261">
        <v>46042.0</v>
      </c>
      <c r="L520" s="261">
        <v>46056.0</v>
      </c>
      <c r="M520" s="21" t="s">
        <v>9712</v>
      </c>
      <c r="N520" s="21" t="s">
        <v>22</v>
      </c>
      <c r="O520" s="260"/>
      <c r="P520" s="260"/>
      <c r="Q520" s="260"/>
      <c r="R520" s="260"/>
      <c r="S520" s="260"/>
      <c r="T520" s="260"/>
      <c r="U520" s="260"/>
      <c r="V520" s="260"/>
      <c r="W520" s="260"/>
      <c r="X520" s="260"/>
      <c r="Y520" s="260"/>
      <c r="Z520" s="260"/>
    </row>
    <row r="521">
      <c r="A521" s="267">
        <v>46000.0</v>
      </c>
      <c r="B521" s="21" t="s">
        <v>1726</v>
      </c>
      <c r="C521" s="21" t="s">
        <v>9166</v>
      </c>
      <c r="D521" s="21" t="s">
        <v>9153</v>
      </c>
      <c r="E521" s="21" t="s">
        <v>9154</v>
      </c>
      <c r="F521" s="268" t="s">
        <v>9155</v>
      </c>
      <c r="G521" s="21" t="s">
        <v>9156</v>
      </c>
      <c r="H521" s="21" t="s">
        <v>5958</v>
      </c>
      <c r="I521" s="21" t="s">
        <v>9164</v>
      </c>
      <c r="J521" s="21" t="s">
        <v>9333</v>
      </c>
      <c r="K521" s="261">
        <v>46042.0</v>
      </c>
      <c r="L521" s="261">
        <v>46056.0</v>
      </c>
      <c r="M521" s="21" t="s">
        <v>9713</v>
      </c>
      <c r="N521" s="21" t="s">
        <v>22</v>
      </c>
      <c r="O521" s="260"/>
      <c r="P521" s="260"/>
      <c r="Q521" s="260"/>
      <c r="R521" s="260"/>
      <c r="S521" s="260"/>
      <c r="T521" s="260"/>
      <c r="U521" s="260"/>
      <c r="V521" s="260"/>
      <c r="W521" s="260"/>
      <c r="X521" s="260"/>
      <c r="Y521" s="260"/>
      <c r="Z521" s="260"/>
    </row>
    <row r="522">
      <c r="A522" s="267">
        <v>46000.0</v>
      </c>
      <c r="B522" s="21" t="s">
        <v>1728</v>
      </c>
      <c r="C522" s="21" t="s">
        <v>9166</v>
      </c>
      <c r="D522" s="21" t="s">
        <v>9153</v>
      </c>
      <c r="E522" s="21" t="s">
        <v>9154</v>
      </c>
      <c r="F522" s="268" t="s">
        <v>9155</v>
      </c>
      <c r="G522" s="21" t="s">
        <v>9156</v>
      </c>
      <c r="H522" s="21" t="s">
        <v>5958</v>
      </c>
      <c r="I522" s="21" t="s">
        <v>9164</v>
      </c>
      <c r="J522" s="21" t="s">
        <v>9333</v>
      </c>
      <c r="K522" s="261">
        <v>46042.0</v>
      </c>
      <c r="L522" s="261">
        <v>46056.0</v>
      </c>
      <c r="M522" s="21" t="s">
        <v>9714</v>
      </c>
      <c r="N522" s="21" t="s">
        <v>22</v>
      </c>
      <c r="O522" s="260"/>
      <c r="P522" s="260"/>
      <c r="Q522" s="260"/>
      <c r="R522" s="260"/>
      <c r="S522" s="260"/>
      <c r="T522" s="260"/>
      <c r="U522" s="260"/>
      <c r="V522" s="260"/>
      <c r="W522" s="260"/>
      <c r="X522" s="260"/>
      <c r="Y522" s="260"/>
      <c r="Z522" s="260"/>
    </row>
    <row r="523">
      <c r="A523" s="267">
        <v>46000.0</v>
      </c>
      <c r="B523" s="21" t="s">
        <v>3037</v>
      </c>
      <c r="C523" s="21" t="s">
        <v>9166</v>
      </c>
      <c r="D523" s="21" t="s">
        <v>9153</v>
      </c>
      <c r="E523" s="21" t="s">
        <v>9154</v>
      </c>
      <c r="F523" s="268" t="s">
        <v>9155</v>
      </c>
      <c r="G523" s="21" t="s">
        <v>8589</v>
      </c>
      <c r="H523" s="21" t="s">
        <v>5970</v>
      </c>
      <c r="I523" s="21" t="s">
        <v>9164</v>
      </c>
      <c r="J523" s="21" t="s">
        <v>9333</v>
      </c>
      <c r="K523" s="261">
        <v>46042.0</v>
      </c>
      <c r="L523" s="261">
        <v>46056.0</v>
      </c>
      <c r="M523" s="21" t="s">
        <v>9715</v>
      </c>
      <c r="N523" s="21" t="s">
        <v>22</v>
      </c>
      <c r="O523" s="260"/>
      <c r="P523" s="260"/>
      <c r="Q523" s="260"/>
      <c r="R523" s="260"/>
      <c r="S523" s="260"/>
      <c r="T523" s="260"/>
      <c r="U523" s="260"/>
      <c r="V523" s="260"/>
      <c r="W523" s="260"/>
      <c r="X523" s="260"/>
      <c r="Y523" s="260"/>
      <c r="Z523" s="260"/>
    </row>
    <row r="524">
      <c r="A524" s="267">
        <v>46000.0</v>
      </c>
      <c r="B524" s="21" t="s">
        <v>3514</v>
      </c>
      <c r="C524" s="21" t="s">
        <v>9166</v>
      </c>
      <c r="D524" s="21" t="s">
        <v>9153</v>
      </c>
      <c r="E524" s="21" t="s">
        <v>9154</v>
      </c>
      <c r="F524" s="268" t="s">
        <v>9155</v>
      </c>
      <c r="G524" s="21" t="s">
        <v>8589</v>
      </c>
      <c r="H524" s="21" t="s">
        <v>5970</v>
      </c>
      <c r="I524" s="21" t="s">
        <v>9164</v>
      </c>
      <c r="J524" s="21" t="s">
        <v>9333</v>
      </c>
      <c r="K524" s="261">
        <v>46042.0</v>
      </c>
      <c r="L524" s="261">
        <v>46056.0</v>
      </c>
      <c r="M524" s="21" t="s">
        <v>9716</v>
      </c>
      <c r="N524" s="21" t="s">
        <v>22</v>
      </c>
      <c r="O524" s="260"/>
      <c r="P524" s="260"/>
      <c r="Q524" s="260"/>
      <c r="R524" s="260"/>
      <c r="S524" s="260"/>
      <c r="T524" s="260"/>
      <c r="U524" s="260"/>
      <c r="V524" s="260"/>
      <c r="W524" s="260"/>
      <c r="X524" s="260"/>
      <c r="Y524" s="260"/>
      <c r="Z524" s="260"/>
    </row>
    <row r="525">
      <c r="A525" s="267">
        <v>46000.0</v>
      </c>
      <c r="B525" s="21" t="s">
        <v>2920</v>
      </c>
      <c r="C525" s="21" t="s">
        <v>9166</v>
      </c>
      <c r="D525" s="21" t="s">
        <v>9153</v>
      </c>
      <c r="E525" s="21" t="s">
        <v>9154</v>
      </c>
      <c r="F525" s="268" t="s">
        <v>9155</v>
      </c>
      <c r="G525" s="21" t="s">
        <v>8589</v>
      </c>
      <c r="H525" s="21" t="s">
        <v>5970</v>
      </c>
      <c r="I525" s="21" t="s">
        <v>9164</v>
      </c>
      <c r="J525" s="21" t="s">
        <v>9333</v>
      </c>
      <c r="K525" s="261">
        <v>46042.0</v>
      </c>
      <c r="L525" s="261">
        <v>46056.0</v>
      </c>
      <c r="M525" s="21" t="s">
        <v>9717</v>
      </c>
      <c r="N525" s="21" t="s">
        <v>22</v>
      </c>
      <c r="O525" s="260"/>
      <c r="P525" s="260"/>
      <c r="Q525" s="260"/>
      <c r="R525" s="260"/>
      <c r="S525" s="260"/>
      <c r="T525" s="260"/>
      <c r="U525" s="260"/>
      <c r="V525" s="260"/>
      <c r="W525" s="260"/>
      <c r="X525" s="260"/>
      <c r="Y525" s="260"/>
      <c r="Z525" s="260"/>
    </row>
    <row r="526">
      <c r="A526" s="267">
        <v>46000.0</v>
      </c>
      <c r="B526" s="21" t="s">
        <v>2264</v>
      </c>
      <c r="C526" s="21" t="s">
        <v>9166</v>
      </c>
      <c r="D526" s="21" t="s">
        <v>9153</v>
      </c>
      <c r="E526" s="21" t="s">
        <v>9154</v>
      </c>
      <c r="F526" s="268" t="s">
        <v>9155</v>
      </c>
      <c r="G526" s="21" t="s">
        <v>9156</v>
      </c>
      <c r="H526" s="21" t="s">
        <v>5958</v>
      </c>
      <c r="I526" s="21" t="s">
        <v>9164</v>
      </c>
      <c r="J526" s="21" t="s">
        <v>9333</v>
      </c>
      <c r="K526" s="261">
        <v>46042.0</v>
      </c>
      <c r="L526" s="261">
        <v>46056.0</v>
      </c>
      <c r="M526" s="21" t="s">
        <v>9718</v>
      </c>
      <c r="N526" s="21" t="s">
        <v>22</v>
      </c>
      <c r="O526" s="260"/>
      <c r="P526" s="260"/>
      <c r="Q526" s="260"/>
      <c r="R526" s="260"/>
      <c r="S526" s="260"/>
      <c r="T526" s="260"/>
      <c r="U526" s="260"/>
      <c r="V526" s="260"/>
      <c r="W526" s="260"/>
      <c r="X526" s="260"/>
      <c r="Y526" s="260"/>
      <c r="Z526" s="260"/>
    </row>
    <row r="527">
      <c r="A527" s="267">
        <v>46000.0</v>
      </c>
      <c r="B527" s="21" t="s">
        <v>3201</v>
      </c>
      <c r="C527" s="21" t="s">
        <v>9166</v>
      </c>
      <c r="D527" s="21" t="s">
        <v>9153</v>
      </c>
      <c r="E527" s="21" t="s">
        <v>9154</v>
      </c>
      <c r="F527" s="268" t="s">
        <v>9155</v>
      </c>
      <c r="G527" s="21" t="s">
        <v>9156</v>
      </c>
      <c r="H527" s="21" t="s">
        <v>5958</v>
      </c>
      <c r="I527" s="21" t="s">
        <v>9164</v>
      </c>
      <c r="J527" s="21" t="s">
        <v>9333</v>
      </c>
      <c r="K527" s="261">
        <v>46042.0</v>
      </c>
      <c r="L527" s="261">
        <v>46056.0</v>
      </c>
      <c r="M527" s="21" t="s">
        <v>9719</v>
      </c>
      <c r="N527" s="21" t="s">
        <v>22</v>
      </c>
      <c r="O527" s="260"/>
      <c r="P527" s="260"/>
      <c r="Q527" s="260"/>
      <c r="R527" s="260"/>
      <c r="S527" s="260"/>
      <c r="T527" s="260"/>
      <c r="U527" s="260"/>
      <c r="V527" s="260"/>
      <c r="W527" s="260"/>
      <c r="X527" s="260"/>
      <c r="Y527" s="260"/>
      <c r="Z527" s="260"/>
    </row>
    <row r="528">
      <c r="A528" s="267">
        <v>46000.0</v>
      </c>
      <c r="B528" s="21" t="s">
        <v>3517</v>
      </c>
      <c r="C528" s="21" t="s">
        <v>9166</v>
      </c>
      <c r="D528" s="21" t="s">
        <v>9153</v>
      </c>
      <c r="E528" s="21" t="s">
        <v>9154</v>
      </c>
      <c r="F528" s="268" t="s">
        <v>9155</v>
      </c>
      <c r="G528" s="21" t="s">
        <v>8589</v>
      </c>
      <c r="H528" s="21" t="s">
        <v>5970</v>
      </c>
      <c r="I528" s="21" t="s">
        <v>9164</v>
      </c>
      <c r="J528" s="21" t="s">
        <v>9333</v>
      </c>
      <c r="K528" s="261">
        <v>46042.0</v>
      </c>
      <c r="L528" s="261">
        <v>46056.0</v>
      </c>
      <c r="M528" s="21" t="s">
        <v>9720</v>
      </c>
      <c r="N528" s="21" t="s">
        <v>22</v>
      </c>
      <c r="O528" s="260"/>
      <c r="P528" s="260"/>
      <c r="Q528" s="260"/>
      <c r="R528" s="260"/>
      <c r="S528" s="260"/>
      <c r="T528" s="260"/>
      <c r="U528" s="260"/>
      <c r="V528" s="260"/>
      <c r="W528" s="260"/>
      <c r="X528" s="260"/>
      <c r="Y528" s="260"/>
      <c r="Z528" s="260"/>
    </row>
    <row r="529">
      <c r="A529" s="267">
        <v>46000.0</v>
      </c>
      <c r="B529" s="21" t="s">
        <v>1670</v>
      </c>
      <c r="C529" s="21" t="s">
        <v>9166</v>
      </c>
      <c r="D529" s="21" t="s">
        <v>9153</v>
      </c>
      <c r="E529" s="21" t="s">
        <v>9154</v>
      </c>
      <c r="F529" s="268" t="s">
        <v>9155</v>
      </c>
      <c r="G529" s="21" t="s">
        <v>9163</v>
      </c>
      <c r="H529" s="21" t="s">
        <v>5970</v>
      </c>
      <c r="I529" s="21" t="s">
        <v>9164</v>
      </c>
      <c r="J529" s="21" t="s">
        <v>9333</v>
      </c>
      <c r="K529" s="261">
        <v>46042.0</v>
      </c>
      <c r="L529" s="261">
        <v>46056.0</v>
      </c>
      <c r="M529" s="21" t="s">
        <v>9721</v>
      </c>
      <c r="N529" s="21" t="s">
        <v>22</v>
      </c>
      <c r="O529" s="260"/>
      <c r="P529" s="260"/>
      <c r="Q529" s="260"/>
      <c r="R529" s="260"/>
      <c r="S529" s="260"/>
      <c r="T529" s="260"/>
      <c r="U529" s="260"/>
      <c r="V529" s="260"/>
      <c r="W529" s="260"/>
      <c r="X529" s="260"/>
      <c r="Y529" s="260"/>
      <c r="Z529" s="260"/>
    </row>
    <row r="530">
      <c r="A530" s="267">
        <v>46000.0</v>
      </c>
      <c r="B530" s="21" t="s">
        <v>3152</v>
      </c>
      <c r="C530" s="21" t="s">
        <v>9166</v>
      </c>
      <c r="D530" s="21" t="s">
        <v>9153</v>
      </c>
      <c r="E530" s="21" t="s">
        <v>9154</v>
      </c>
      <c r="F530" s="268" t="s">
        <v>9155</v>
      </c>
      <c r="G530" s="21" t="s">
        <v>9156</v>
      </c>
      <c r="H530" s="21" t="s">
        <v>5958</v>
      </c>
      <c r="I530" s="21" t="s">
        <v>9164</v>
      </c>
      <c r="J530" s="21" t="s">
        <v>9333</v>
      </c>
      <c r="K530" s="261">
        <v>46042.0</v>
      </c>
      <c r="L530" s="261">
        <v>46056.0</v>
      </c>
      <c r="M530" s="21" t="s">
        <v>9722</v>
      </c>
      <c r="N530" s="21" t="s">
        <v>22</v>
      </c>
      <c r="O530" s="260"/>
      <c r="P530" s="260"/>
      <c r="Q530" s="260"/>
      <c r="R530" s="260"/>
      <c r="S530" s="260"/>
      <c r="T530" s="260"/>
      <c r="U530" s="260"/>
      <c r="V530" s="260"/>
      <c r="W530" s="260"/>
      <c r="X530" s="260"/>
      <c r="Y530" s="260"/>
      <c r="Z530" s="260"/>
    </row>
    <row r="531">
      <c r="A531" s="267">
        <v>46000.0</v>
      </c>
      <c r="B531" s="21" t="s">
        <v>2050</v>
      </c>
      <c r="C531" s="21" t="s">
        <v>9166</v>
      </c>
      <c r="D531" s="21" t="s">
        <v>9153</v>
      </c>
      <c r="E531" s="21" t="s">
        <v>9154</v>
      </c>
      <c r="F531" s="268" t="s">
        <v>9155</v>
      </c>
      <c r="G531" s="21" t="s">
        <v>9156</v>
      </c>
      <c r="H531" s="21" t="s">
        <v>5958</v>
      </c>
      <c r="I531" s="21" t="s">
        <v>9164</v>
      </c>
      <c r="J531" s="21" t="s">
        <v>9333</v>
      </c>
      <c r="K531" s="261">
        <v>46042.0</v>
      </c>
      <c r="L531" s="261">
        <v>46056.0</v>
      </c>
      <c r="M531" s="21" t="s">
        <v>9723</v>
      </c>
      <c r="N531" s="21" t="s">
        <v>22</v>
      </c>
      <c r="O531" s="260"/>
      <c r="P531" s="260"/>
      <c r="Q531" s="260"/>
      <c r="R531" s="260"/>
      <c r="S531" s="260"/>
      <c r="T531" s="260"/>
      <c r="U531" s="260"/>
      <c r="V531" s="260"/>
      <c r="W531" s="260"/>
      <c r="X531" s="260"/>
      <c r="Y531" s="260"/>
      <c r="Z531" s="260"/>
    </row>
    <row r="532">
      <c r="A532" s="267">
        <v>46000.0</v>
      </c>
      <c r="B532" s="21" t="s">
        <v>2542</v>
      </c>
      <c r="C532" s="21" t="s">
        <v>9166</v>
      </c>
      <c r="D532" s="21" t="s">
        <v>9153</v>
      </c>
      <c r="E532" s="21" t="s">
        <v>9154</v>
      </c>
      <c r="F532" s="268" t="s">
        <v>9155</v>
      </c>
      <c r="G532" s="21" t="s">
        <v>9156</v>
      </c>
      <c r="H532" s="21" t="s">
        <v>5958</v>
      </c>
      <c r="I532" s="21" t="s">
        <v>9164</v>
      </c>
      <c r="J532" s="21" t="s">
        <v>9333</v>
      </c>
      <c r="K532" s="261">
        <v>46042.0</v>
      </c>
      <c r="L532" s="261">
        <v>46056.0</v>
      </c>
      <c r="M532" s="21" t="s">
        <v>9724</v>
      </c>
      <c r="N532" s="21" t="s">
        <v>22</v>
      </c>
      <c r="O532" s="260"/>
      <c r="P532" s="260"/>
      <c r="Q532" s="260"/>
      <c r="R532" s="260"/>
      <c r="S532" s="260"/>
      <c r="T532" s="260"/>
      <c r="U532" s="260"/>
      <c r="V532" s="260"/>
      <c r="W532" s="260"/>
      <c r="X532" s="260"/>
      <c r="Y532" s="260"/>
      <c r="Z532" s="260"/>
    </row>
    <row r="533">
      <c r="A533" s="267">
        <v>45965.0</v>
      </c>
      <c r="B533" s="21" t="s">
        <v>2630</v>
      </c>
      <c r="C533" s="21" t="s">
        <v>9166</v>
      </c>
      <c r="D533" s="21" t="s">
        <v>9153</v>
      </c>
      <c r="E533" s="21" t="s">
        <v>9154</v>
      </c>
      <c r="F533" s="268" t="s">
        <v>9155</v>
      </c>
      <c r="G533" s="21" t="s">
        <v>9156</v>
      </c>
      <c r="H533" s="21" t="s">
        <v>5958</v>
      </c>
      <c r="I533" s="21" t="s">
        <v>9164</v>
      </c>
      <c r="J533" s="21" t="s">
        <v>8911</v>
      </c>
      <c r="K533" s="261">
        <v>46007.0</v>
      </c>
      <c r="L533" s="261">
        <v>46021.0</v>
      </c>
      <c r="M533" s="21" t="s">
        <v>9725</v>
      </c>
      <c r="N533" s="21" t="s">
        <v>22</v>
      </c>
      <c r="O533" s="260"/>
      <c r="P533" s="260"/>
      <c r="Q533" s="260"/>
      <c r="R533" s="260"/>
      <c r="S533" s="260"/>
      <c r="T533" s="260"/>
      <c r="U533" s="260"/>
      <c r="V533" s="260"/>
      <c r="W533" s="260"/>
      <c r="X533" s="260"/>
      <c r="Y533" s="260"/>
      <c r="Z533" s="260"/>
    </row>
    <row r="534">
      <c r="A534" s="267">
        <v>46000.0</v>
      </c>
      <c r="B534" s="21" t="s">
        <v>2536</v>
      </c>
      <c r="C534" s="21" t="s">
        <v>9166</v>
      </c>
      <c r="D534" s="21" t="s">
        <v>9153</v>
      </c>
      <c r="E534" s="21" t="s">
        <v>9154</v>
      </c>
      <c r="F534" s="268" t="s">
        <v>9155</v>
      </c>
      <c r="G534" s="21" t="s">
        <v>9156</v>
      </c>
      <c r="H534" s="21" t="s">
        <v>5958</v>
      </c>
      <c r="I534" s="21" t="s">
        <v>9164</v>
      </c>
      <c r="J534" s="21" t="s">
        <v>9333</v>
      </c>
      <c r="K534" s="261">
        <v>46042.0</v>
      </c>
      <c r="L534" s="261">
        <v>46056.0</v>
      </c>
      <c r="M534" s="21" t="s">
        <v>9726</v>
      </c>
      <c r="N534" s="21" t="s">
        <v>22</v>
      </c>
      <c r="O534" s="260"/>
      <c r="P534" s="260"/>
      <c r="Q534" s="260"/>
      <c r="R534" s="260"/>
      <c r="S534" s="260"/>
      <c r="T534" s="260"/>
      <c r="U534" s="260"/>
      <c r="V534" s="260"/>
      <c r="W534" s="260"/>
      <c r="X534" s="260"/>
      <c r="Y534" s="260"/>
      <c r="Z534" s="260"/>
    </row>
    <row r="535">
      <c r="A535" s="267">
        <v>46000.0</v>
      </c>
      <c r="B535" s="21" t="s">
        <v>1841</v>
      </c>
      <c r="C535" s="21" t="s">
        <v>9166</v>
      </c>
      <c r="D535" s="21" t="s">
        <v>9153</v>
      </c>
      <c r="E535" s="21" t="s">
        <v>9154</v>
      </c>
      <c r="F535" s="268" t="s">
        <v>9155</v>
      </c>
      <c r="G535" s="21" t="s">
        <v>9177</v>
      </c>
      <c r="H535" s="21" t="s">
        <v>5956</v>
      </c>
      <c r="I535" s="21" t="s">
        <v>9164</v>
      </c>
      <c r="J535" s="21" t="s">
        <v>9333</v>
      </c>
      <c r="K535" s="261">
        <v>46042.0</v>
      </c>
      <c r="L535" s="261">
        <v>46056.0</v>
      </c>
      <c r="M535" s="21" t="s">
        <v>9727</v>
      </c>
      <c r="N535" s="21" t="s">
        <v>22</v>
      </c>
      <c r="O535" s="260"/>
      <c r="P535" s="260"/>
      <c r="Q535" s="260"/>
      <c r="R535" s="260"/>
      <c r="S535" s="260"/>
      <c r="T535" s="260"/>
      <c r="U535" s="260"/>
      <c r="V535" s="260"/>
      <c r="W535" s="260"/>
      <c r="X535" s="260"/>
      <c r="Y535" s="260"/>
      <c r="Z535" s="260"/>
    </row>
    <row r="536">
      <c r="A536" s="267">
        <v>45965.0</v>
      </c>
      <c r="B536" s="21" t="s">
        <v>2616</v>
      </c>
      <c r="C536" s="21" t="s">
        <v>9166</v>
      </c>
      <c r="D536" s="21" t="s">
        <v>9153</v>
      </c>
      <c r="E536" s="21" t="s">
        <v>9154</v>
      </c>
      <c r="F536" s="268" t="s">
        <v>9155</v>
      </c>
      <c r="G536" s="21" t="s">
        <v>9156</v>
      </c>
      <c r="H536" s="21" t="s">
        <v>5970</v>
      </c>
      <c r="I536" s="21" t="s">
        <v>9164</v>
      </c>
      <c r="J536" s="21" t="s">
        <v>8911</v>
      </c>
      <c r="K536" s="261">
        <v>46007.0</v>
      </c>
      <c r="L536" s="261">
        <v>46021.0</v>
      </c>
      <c r="M536" s="21" t="s">
        <v>9728</v>
      </c>
      <c r="N536" s="21" t="s">
        <v>22</v>
      </c>
      <c r="O536" s="260"/>
      <c r="P536" s="260"/>
      <c r="Q536" s="260"/>
      <c r="R536" s="260"/>
      <c r="S536" s="260"/>
      <c r="T536" s="260"/>
      <c r="U536" s="260"/>
      <c r="V536" s="260"/>
      <c r="W536" s="260"/>
      <c r="X536" s="260"/>
      <c r="Y536" s="260"/>
      <c r="Z536" s="260"/>
    </row>
    <row r="537">
      <c r="A537" s="267">
        <v>46000.0</v>
      </c>
      <c r="B537" s="21" t="s">
        <v>1787</v>
      </c>
      <c r="C537" s="21" t="s">
        <v>9166</v>
      </c>
      <c r="D537" s="21" t="s">
        <v>9153</v>
      </c>
      <c r="E537" s="21" t="s">
        <v>9154</v>
      </c>
      <c r="F537" s="268" t="s">
        <v>9155</v>
      </c>
      <c r="G537" s="21" t="s">
        <v>9156</v>
      </c>
      <c r="H537" s="21" t="s">
        <v>5958</v>
      </c>
      <c r="I537" s="21" t="s">
        <v>9164</v>
      </c>
      <c r="J537" s="21" t="s">
        <v>9333</v>
      </c>
      <c r="K537" s="261">
        <v>46042.0</v>
      </c>
      <c r="L537" s="261">
        <v>46056.0</v>
      </c>
      <c r="M537" s="21" t="s">
        <v>9729</v>
      </c>
      <c r="N537" s="21" t="s">
        <v>22</v>
      </c>
      <c r="O537" s="260"/>
      <c r="P537" s="260"/>
      <c r="Q537" s="260"/>
      <c r="R537" s="260"/>
      <c r="S537" s="260"/>
      <c r="T537" s="260"/>
      <c r="U537" s="260"/>
      <c r="V537" s="260"/>
      <c r="W537" s="260"/>
      <c r="X537" s="260"/>
      <c r="Y537" s="260"/>
      <c r="Z537" s="260"/>
    </row>
    <row r="538">
      <c r="A538" s="267">
        <v>46000.0</v>
      </c>
      <c r="B538" s="21" t="s">
        <v>1759</v>
      </c>
      <c r="C538" s="21" t="s">
        <v>9166</v>
      </c>
      <c r="D538" s="21" t="s">
        <v>9153</v>
      </c>
      <c r="E538" s="21" t="s">
        <v>9154</v>
      </c>
      <c r="F538" s="268" t="s">
        <v>9155</v>
      </c>
      <c r="G538" s="21" t="s">
        <v>9163</v>
      </c>
      <c r="H538" s="21" t="s">
        <v>5970</v>
      </c>
      <c r="I538" s="21" t="s">
        <v>9164</v>
      </c>
      <c r="J538" s="21" t="s">
        <v>9333</v>
      </c>
      <c r="K538" s="261">
        <v>46042.0</v>
      </c>
      <c r="L538" s="261">
        <v>46056.0</v>
      </c>
      <c r="M538" s="21" t="s">
        <v>9730</v>
      </c>
      <c r="N538" s="21" t="s">
        <v>22</v>
      </c>
      <c r="O538" s="260"/>
      <c r="P538" s="260"/>
      <c r="Q538" s="260"/>
      <c r="R538" s="260"/>
      <c r="S538" s="260"/>
      <c r="T538" s="260"/>
      <c r="U538" s="260"/>
      <c r="V538" s="260"/>
      <c r="W538" s="260"/>
      <c r="X538" s="260"/>
      <c r="Y538" s="260"/>
      <c r="Z538" s="260"/>
    </row>
    <row r="539">
      <c r="A539" s="267">
        <v>46000.0</v>
      </c>
      <c r="B539" s="21" t="s">
        <v>3415</v>
      </c>
      <c r="C539" s="21" t="s">
        <v>9166</v>
      </c>
      <c r="D539" s="21" t="s">
        <v>9153</v>
      </c>
      <c r="E539" s="21" t="s">
        <v>9154</v>
      </c>
      <c r="F539" s="268" t="s">
        <v>9155</v>
      </c>
      <c r="G539" s="21" t="s">
        <v>8589</v>
      </c>
      <c r="H539" s="21" t="s">
        <v>9393</v>
      </c>
      <c r="I539" s="21" t="s">
        <v>9164</v>
      </c>
      <c r="J539" s="21" t="s">
        <v>9333</v>
      </c>
      <c r="K539" s="261">
        <v>46042.0</v>
      </c>
      <c r="L539" s="261">
        <v>46056.0</v>
      </c>
      <c r="M539" s="21" t="s">
        <v>9731</v>
      </c>
      <c r="N539" s="21" t="s">
        <v>22</v>
      </c>
      <c r="O539" s="260"/>
      <c r="P539" s="260"/>
      <c r="Q539" s="260"/>
      <c r="R539" s="260"/>
      <c r="S539" s="260"/>
      <c r="T539" s="260"/>
      <c r="U539" s="260"/>
      <c r="V539" s="260"/>
      <c r="W539" s="260"/>
      <c r="X539" s="260"/>
      <c r="Y539" s="260"/>
      <c r="Z539" s="260"/>
    </row>
    <row r="540">
      <c r="A540" s="267">
        <v>46000.0</v>
      </c>
      <c r="B540" s="21" t="s">
        <v>2294</v>
      </c>
      <c r="C540" s="21" t="s">
        <v>9166</v>
      </c>
      <c r="D540" s="21" t="s">
        <v>9153</v>
      </c>
      <c r="E540" s="21" t="s">
        <v>9154</v>
      </c>
      <c r="F540" s="268" t="s">
        <v>9155</v>
      </c>
      <c r="G540" s="21" t="s">
        <v>9156</v>
      </c>
      <c r="H540" s="21" t="s">
        <v>5958</v>
      </c>
      <c r="I540" s="21" t="s">
        <v>9164</v>
      </c>
      <c r="J540" s="21" t="s">
        <v>9333</v>
      </c>
      <c r="K540" s="261">
        <v>46042.0</v>
      </c>
      <c r="L540" s="261">
        <v>46056.0</v>
      </c>
      <c r="M540" s="21" t="s">
        <v>9732</v>
      </c>
      <c r="N540" s="21" t="s">
        <v>22</v>
      </c>
      <c r="O540" s="260"/>
      <c r="P540" s="260"/>
      <c r="Q540" s="260"/>
      <c r="R540" s="260"/>
      <c r="S540" s="260"/>
      <c r="T540" s="260"/>
      <c r="U540" s="260"/>
      <c r="V540" s="260"/>
      <c r="W540" s="260"/>
      <c r="X540" s="260"/>
      <c r="Y540" s="260"/>
      <c r="Z540" s="260"/>
    </row>
    <row r="541">
      <c r="A541" s="267">
        <v>46000.0</v>
      </c>
      <c r="B541" s="21" t="s">
        <v>2056</v>
      </c>
      <c r="C541" s="21" t="s">
        <v>9166</v>
      </c>
      <c r="D541" s="21" t="s">
        <v>9153</v>
      </c>
      <c r="E541" s="21" t="s">
        <v>9154</v>
      </c>
      <c r="F541" s="268" t="s">
        <v>9155</v>
      </c>
      <c r="G541" s="21" t="s">
        <v>9156</v>
      </c>
      <c r="H541" s="21" t="s">
        <v>5958</v>
      </c>
      <c r="I541" s="21" t="s">
        <v>9164</v>
      </c>
      <c r="J541" s="21" t="s">
        <v>9333</v>
      </c>
      <c r="K541" s="261">
        <v>46042.0</v>
      </c>
      <c r="L541" s="261">
        <v>46056.0</v>
      </c>
      <c r="M541" s="21" t="s">
        <v>9733</v>
      </c>
      <c r="N541" s="21" t="s">
        <v>22</v>
      </c>
      <c r="O541" s="260"/>
      <c r="P541" s="260"/>
      <c r="Q541" s="260"/>
      <c r="R541" s="260"/>
      <c r="S541" s="260"/>
      <c r="T541" s="260"/>
      <c r="U541" s="260"/>
      <c r="V541" s="260"/>
      <c r="W541" s="260"/>
      <c r="X541" s="260"/>
      <c r="Y541" s="260"/>
      <c r="Z541" s="260"/>
    </row>
    <row r="542">
      <c r="A542" s="267">
        <v>46000.0</v>
      </c>
      <c r="B542" s="21" t="s">
        <v>2820</v>
      </c>
      <c r="C542" s="21" t="s">
        <v>9166</v>
      </c>
      <c r="D542" s="21" t="s">
        <v>9153</v>
      </c>
      <c r="E542" s="21" t="s">
        <v>9154</v>
      </c>
      <c r="F542" s="268" t="s">
        <v>9155</v>
      </c>
      <c r="G542" s="21" t="s">
        <v>9156</v>
      </c>
      <c r="H542" s="21" t="s">
        <v>9393</v>
      </c>
      <c r="I542" s="21" t="s">
        <v>9164</v>
      </c>
      <c r="J542" s="21" t="s">
        <v>9333</v>
      </c>
      <c r="K542" s="261">
        <v>46042.0</v>
      </c>
      <c r="L542" s="261">
        <v>46056.0</v>
      </c>
      <c r="M542" s="21" t="s">
        <v>9734</v>
      </c>
      <c r="N542" s="21" t="s">
        <v>22</v>
      </c>
      <c r="O542" s="260"/>
      <c r="P542" s="260"/>
      <c r="Q542" s="260"/>
      <c r="R542" s="260"/>
      <c r="S542" s="260"/>
      <c r="T542" s="260"/>
      <c r="U542" s="260"/>
      <c r="V542" s="260"/>
      <c r="W542" s="260"/>
      <c r="X542" s="260"/>
      <c r="Y542" s="260"/>
      <c r="Z542" s="260"/>
    </row>
    <row r="543">
      <c r="A543" s="267">
        <v>46000.0</v>
      </c>
      <c r="B543" s="21" t="s">
        <v>1853</v>
      </c>
      <c r="C543" s="21" t="s">
        <v>9166</v>
      </c>
      <c r="D543" s="21" t="s">
        <v>9153</v>
      </c>
      <c r="E543" s="21" t="s">
        <v>9154</v>
      </c>
      <c r="F543" s="268" t="s">
        <v>9155</v>
      </c>
      <c r="G543" s="21" t="s">
        <v>9163</v>
      </c>
      <c r="H543" s="21" t="s">
        <v>5970</v>
      </c>
      <c r="I543" s="21" t="s">
        <v>9164</v>
      </c>
      <c r="J543" s="21" t="s">
        <v>9333</v>
      </c>
      <c r="K543" s="261">
        <v>46042.0</v>
      </c>
      <c r="L543" s="261">
        <v>46056.0</v>
      </c>
      <c r="M543" s="21" t="s">
        <v>9735</v>
      </c>
      <c r="N543" s="21" t="s">
        <v>22</v>
      </c>
      <c r="O543" s="260"/>
      <c r="P543" s="260"/>
      <c r="Q543" s="260"/>
      <c r="R543" s="260"/>
      <c r="S543" s="260"/>
      <c r="T543" s="260"/>
      <c r="U543" s="260"/>
      <c r="V543" s="260"/>
      <c r="W543" s="260"/>
      <c r="X543" s="260"/>
      <c r="Y543" s="260"/>
      <c r="Z543" s="260"/>
    </row>
    <row r="544">
      <c r="A544" s="267">
        <v>46000.0</v>
      </c>
      <c r="B544" s="21" t="s">
        <v>2905</v>
      </c>
      <c r="C544" s="21" t="s">
        <v>9166</v>
      </c>
      <c r="D544" s="21" t="s">
        <v>9153</v>
      </c>
      <c r="E544" s="21" t="s">
        <v>9154</v>
      </c>
      <c r="F544" s="268" t="s">
        <v>9155</v>
      </c>
      <c r="G544" s="21" t="s">
        <v>9163</v>
      </c>
      <c r="H544" s="21" t="s">
        <v>5970</v>
      </c>
      <c r="I544" s="21" t="s">
        <v>9164</v>
      </c>
      <c r="J544" s="21" t="s">
        <v>9333</v>
      </c>
      <c r="K544" s="261">
        <v>46042.0</v>
      </c>
      <c r="L544" s="261">
        <v>46056.0</v>
      </c>
      <c r="M544" s="21" t="s">
        <v>9736</v>
      </c>
      <c r="N544" s="21" t="s">
        <v>22</v>
      </c>
      <c r="O544" s="260"/>
      <c r="P544" s="260"/>
      <c r="Q544" s="260"/>
      <c r="R544" s="260"/>
      <c r="S544" s="260"/>
      <c r="T544" s="260"/>
      <c r="U544" s="260"/>
      <c r="V544" s="260"/>
      <c r="W544" s="260"/>
      <c r="X544" s="260"/>
      <c r="Y544" s="260"/>
      <c r="Z544" s="260"/>
    </row>
    <row r="545">
      <c r="A545" s="267">
        <v>45999.0</v>
      </c>
      <c r="B545" s="21" t="s">
        <v>2384</v>
      </c>
      <c r="C545" s="21" t="s">
        <v>9166</v>
      </c>
      <c r="D545" s="21" t="s">
        <v>9153</v>
      </c>
      <c r="E545" s="21" t="s">
        <v>9154</v>
      </c>
      <c r="F545" s="268" t="s">
        <v>9155</v>
      </c>
      <c r="G545" s="21" t="s">
        <v>9163</v>
      </c>
      <c r="H545" s="21" t="s">
        <v>5970</v>
      </c>
      <c r="I545" s="21" t="s">
        <v>9164</v>
      </c>
      <c r="J545" s="21" t="s">
        <v>9333</v>
      </c>
      <c r="K545" s="261">
        <v>46041.0</v>
      </c>
      <c r="L545" s="261">
        <v>46055.0</v>
      </c>
      <c r="M545" s="21" t="s">
        <v>9737</v>
      </c>
      <c r="N545" s="21" t="s">
        <v>22</v>
      </c>
      <c r="O545" s="260"/>
      <c r="P545" s="260"/>
      <c r="Q545" s="260"/>
      <c r="R545" s="260"/>
      <c r="S545" s="260"/>
      <c r="T545" s="260"/>
      <c r="U545" s="260"/>
      <c r="V545" s="260"/>
      <c r="W545" s="260"/>
      <c r="X545" s="260"/>
      <c r="Y545" s="260"/>
      <c r="Z545" s="260"/>
    </row>
    <row r="546">
      <c r="A546" s="267">
        <v>46000.0</v>
      </c>
      <c r="B546" s="21" t="s">
        <v>3066</v>
      </c>
      <c r="C546" s="21" t="s">
        <v>9166</v>
      </c>
      <c r="D546" s="21" t="s">
        <v>9153</v>
      </c>
      <c r="E546" s="21" t="s">
        <v>9154</v>
      </c>
      <c r="F546" s="268" t="s">
        <v>9155</v>
      </c>
      <c r="G546" s="21" t="s">
        <v>9163</v>
      </c>
      <c r="H546" s="21" t="s">
        <v>5970</v>
      </c>
      <c r="I546" s="21" t="s">
        <v>9164</v>
      </c>
      <c r="J546" s="21" t="s">
        <v>9333</v>
      </c>
      <c r="K546" s="261">
        <v>46042.0</v>
      </c>
      <c r="L546" s="261">
        <v>46056.0</v>
      </c>
      <c r="M546" s="21" t="s">
        <v>9738</v>
      </c>
      <c r="N546" s="21" t="s">
        <v>22</v>
      </c>
      <c r="O546" s="260"/>
      <c r="P546" s="260"/>
      <c r="Q546" s="260"/>
      <c r="R546" s="260"/>
      <c r="S546" s="260"/>
      <c r="T546" s="260"/>
      <c r="U546" s="260"/>
      <c r="V546" s="260"/>
      <c r="W546" s="260"/>
      <c r="X546" s="260"/>
      <c r="Y546" s="260"/>
      <c r="Z546" s="260"/>
    </row>
    <row r="547">
      <c r="A547" s="267">
        <v>46000.0</v>
      </c>
      <c r="B547" s="21" t="s">
        <v>2898</v>
      </c>
      <c r="C547" s="21" t="s">
        <v>9166</v>
      </c>
      <c r="D547" s="21" t="s">
        <v>9153</v>
      </c>
      <c r="E547" s="21" t="s">
        <v>9154</v>
      </c>
      <c r="F547" s="268" t="s">
        <v>9155</v>
      </c>
      <c r="G547" s="21" t="s">
        <v>9156</v>
      </c>
      <c r="H547" s="21" t="s">
        <v>5958</v>
      </c>
      <c r="I547" s="21" t="s">
        <v>9164</v>
      </c>
      <c r="J547" s="21" t="s">
        <v>9333</v>
      </c>
      <c r="K547" s="261">
        <v>46042.0</v>
      </c>
      <c r="L547" s="261">
        <v>46056.0</v>
      </c>
      <c r="M547" s="21" t="s">
        <v>9739</v>
      </c>
      <c r="N547" s="21" t="s">
        <v>22</v>
      </c>
      <c r="O547" s="260"/>
      <c r="P547" s="260"/>
      <c r="Q547" s="260"/>
      <c r="R547" s="260"/>
      <c r="S547" s="260"/>
      <c r="T547" s="260"/>
      <c r="U547" s="260"/>
      <c r="V547" s="260"/>
      <c r="W547" s="260"/>
      <c r="X547" s="260"/>
      <c r="Y547" s="260"/>
      <c r="Z547" s="260"/>
    </row>
    <row r="548">
      <c r="A548" s="267">
        <v>46000.0</v>
      </c>
      <c r="B548" s="21" t="s">
        <v>3062</v>
      </c>
      <c r="C548" s="21" t="s">
        <v>9166</v>
      </c>
      <c r="D548" s="21" t="s">
        <v>9153</v>
      </c>
      <c r="E548" s="21" t="s">
        <v>9154</v>
      </c>
      <c r="F548" s="268" t="s">
        <v>9155</v>
      </c>
      <c r="G548" s="21" t="s">
        <v>9163</v>
      </c>
      <c r="H548" s="21" t="s">
        <v>5970</v>
      </c>
      <c r="I548" s="21" t="s">
        <v>9164</v>
      </c>
      <c r="J548" s="21" t="s">
        <v>9333</v>
      </c>
      <c r="K548" s="261">
        <v>46042.0</v>
      </c>
      <c r="L548" s="261">
        <v>46056.0</v>
      </c>
      <c r="M548" s="21" t="s">
        <v>9740</v>
      </c>
      <c r="N548" s="21" t="s">
        <v>22</v>
      </c>
      <c r="O548" s="260"/>
      <c r="P548" s="260"/>
      <c r="Q548" s="260"/>
      <c r="R548" s="260"/>
      <c r="S548" s="260"/>
      <c r="T548" s="260"/>
      <c r="U548" s="260"/>
      <c r="V548" s="260"/>
      <c r="W548" s="260"/>
      <c r="X548" s="260"/>
      <c r="Y548" s="260"/>
      <c r="Z548" s="260"/>
    </row>
    <row r="549">
      <c r="A549" s="267">
        <v>46000.0</v>
      </c>
      <c r="B549" s="21" t="s">
        <v>1617</v>
      </c>
      <c r="C549" s="21" t="s">
        <v>9166</v>
      </c>
      <c r="D549" s="21" t="s">
        <v>9153</v>
      </c>
      <c r="E549" s="21" t="s">
        <v>9154</v>
      </c>
      <c r="F549" s="268" t="s">
        <v>9155</v>
      </c>
      <c r="G549" s="21" t="s">
        <v>9156</v>
      </c>
      <c r="H549" s="21" t="s">
        <v>5958</v>
      </c>
      <c r="I549" s="21" t="s">
        <v>9164</v>
      </c>
      <c r="J549" s="21" t="s">
        <v>9333</v>
      </c>
      <c r="K549" s="261">
        <v>46042.0</v>
      </c>
      <c r="L549" s="261">
        <v>46056.0</v>
      </c>
      <c r="M549" s="21" t="s">
        <v>9741</v>
      </c>
      <c r="N549" s="21" t="s">
        <v>22</v>
      </c>
      <c r="O549" s="260"/>
      <c r="P549" s="260"/>
      <c r="Q549" s="260"/>
      <c r="R549" s="260"/>
      <c r="S549" s="260"/>
      <c r="T549" s="260"/>
      <c r="U549" s="260"/>
      <c r="V549" s="260"/>
      <c r="W549" s="260"/>
      <c r="X549" s="260"/>
      <c r="Y549" s="260"/>
      <c r="Z549" s="260"/>
    </row>
    <row r="550">
      <c r="A550" s="267">
        <v>46000.0</v>
      </c>
      <c r="B550" s="21" t="s">
        <v>1615</v>
      </c>
      <c r="C550" s="21" t="s">
        <v>9166</v>
      </c>
      <c r="D550" s="21" t="s">
        <v>9153</v>
      </c>
      <c r="E550" s="21" t="s">
        <v>9154</v>
      </c>
      <c r="F550" s="268" t="s">
        <v>9155</v>
      </c>
      <c r="G550" s="21" t="s">
        <v>9156</v>
      </c>
      <c r="H550" s="21" t="s">
        <v>5958</v>
      </c>
      <c r="I550" s="21" t="s">
        <v>9164</v>
      </c>
      <c r="J550" s="21" t="s">
        <v>9333</v>
      </c>
      <c r="K550" s="261">
        <v>46042.0</v>
      </c>
      <c r="L550" s="261">
        <v>46056.0</v>
      </c>
      <c r="M550" s="21" t="s">
        <v>9742</v>
      </c>
      <c r="N550" s="21" t="s">
        <v>22</v>
      </c>
      <c r="O550" s="260"/>
      <c r="P550" s="260"/>
      <c r="Q550" s="260"/>
      <c r="R550" s="260"/>
      <c r="S550" s="260"/>
      <c r="T550" s="260"/>
      <c r="U550" s="260"/>
      <c r="V550" s="260"/>
      <c r="W550" s="260"/>
      <c r="X550" s="260"/>
      <c r="Y550" s="260"/>
      <c r="Z550" s="260"/>
    </row>
    <row r="551">
      <c r="A551" s="267">
        <v>46000.0</v>
      </c>
      <c r="B551" s="21" t="s">
        <v>2384</v>
      </c>
      <c r="C551" s="21" t="s">
        <v>9166</v>
      </c>
      <c r="D551" s="21" t="s">
        <v>9153</v>
      </c>
      <c r="E551" s="21" t="s">
        <v>9154</v>
      </c>
      <c r="F551" s="268" t="s">
        <v>9155</v>
      </c>
      <c r="G551" s="21" t="s">
        <v>9163</v>
      </c>
      <c r="H551" s="21" t="s">
        <v>5970</v>
      </c>
      <c r="I551" s="21" t="s">
        <v>9164</v>
      </c>
      <c r="J551" s="21" t="s">
        <v>9333</v>
      </c>
      <c r="K551" s="261">
        <v>46042.0</v>
      </c>
      <c r="L551" s="261">
        <v>46056.0</v>
      </c>
      <c r="M551" s="21" t="s">
        <v>9743</v>
      </c>
      <c r="N551" s="21" t="s">
        <v>22</v>
      </c>
      <c r="O551" s="260"/>
      <c r="P551" s="260"/>
      <c r="Q551" s="260"/>
      <c r="R551" s="260"/>
      <c r="S551" s="260"/>
      <c r="T551" s="260"/>
      <c r="U551" s="260"/>
      <c r="V551" s="260"/>
      <c r="W551" s="260"/>
      <c r="X551" s="260"/>
      <c r="Y551" s="260"/>
      <c r="Z551" s="260"/>
    </row>
    <row r="552">
      <c r="A552" s="267">
        <v>46000.0</v>
      </c>
      <c r="B552" s="21" t="s">
        <v>2469</v>
      </c>
      <c r="C552" s="21" t="s">
        <v>9166</v>
      </c>
      <c r="D552" s="21" t="s">
        <v>9153</v>
      </c>
      <c r="E552" s="21" t="s">
        <v>9154</v>
      </c>
      <c r="F552" s="268" t="s">
        <v>9155</v>
      </c>
      <c r="G552" s="21" t="s">
        <v>9163</v>
      </c>
      <c r="H552" s="21" t="s">
        <v>5970</v>
      </c>
      <c r="I552" s="21" t="s">
        <v>9164</v>
      </c>
      <c r="J552" s="21" t="s">
        <v>9333</v>
      </c>
      <c r="K552" s="261">
        <v>46042.0</v>
      </c>
      <c r="L552" s="261">
        <v>46056.0</v>
      </c>
      <c r="M552" s="21" t="s">
        <v>9744</v>
      </c>
      <c r="N552" s="21" t="s">
        <v>22</v>
      </c>
      <c r="O552" s="260"/>
      <c r="P552" s="260"/>
      <c r="Q552" s="260"/>
      <c r="R552" s="260"/>
      <c r="S552" s="260"/>
      <c r="T552" s="260"/>
      <c r="U552" s="260"/>
      <c r="V552" s="260"/>
      <c r="W552" s="260"/>
      <c r="X552" s="260"/>
      <c r="Y552" s="260"/>
      <c r="Z552" s="260"/>
    </row>
    <row r="553">
      <c r="A553" s="267">
        <v>46000.0</v>
      </c>
      <c r="B553" s="21" t="s">
        <v>2467</v>
      </c>
      <c r="C553" s="21" t="s">
        <v>9166</v>
      </c>
      <c r="D553" s="21" t="s">
        <v>9153</v>
      </c>
      <c r="E553" s="21" t="s">
        <v>9154</v>
      </c>
      <c r="F553" s="268" t="s">
        <v>9155</v>
      </c>
      <c r="G553" s="21" t="s">
        <v>9163</v>
      </c>
      <c r="H553" s="21" t="s">
        <v>5970</v>
      </c>
      <c r="I553" s="21" t="s">
        <v>9164</v>
      </c>
      <c r="J553" s="21" t="s">
        <v>9333</v>
      </c>
      <c r="K553" s="261">
        <v>46042.0</v>
      </c>
      <c r="L553" s="261">
        <v>46056.0</v>
      </c>
      <c r="M553" s="21" t="s">
        <v>9745</v>
      </c>
      <c r="N553" s="21" t="s">
        <v>22</v>
      </c>
      <c r="O553" s="260"/>
      <c r="P553" s="260"/>
      <c r="Q553" s="260"/>
      <c r="R553" s="260"/>
      <c r="S553" s="260"/>
      <c r="T553" s="260"/>
      <c r="U553" s="260"/>
      <c r="V553" s="260"/>
      <c r="W553" s="260"/>
      <c r="X553" s="260"/>
      <c r="Y553" s="260"/>
      <c r="Z553" s="260"/>
    </row>
    <row r="554">
      <c r="A554" s="267">
        <v>46000.0</v>
      </c>
      <c r="B554" s="21" t="s">
        <v>2663</v>
      </c>
      <c r="C554" s="21" t="s">
        <v>9166</v>
      </c>
      <c r="D554" s="21" t="s">
        <v>9153</v>
      </c>
      <c r="E554" s="21" t="s">
        <v>9154</v>
      </c>
      <c r="F554" s="268" t="s">
        <v>9155</v>
      </c>
      <c r="G554" s="21" t="s">
        <v>9156</v>
      </c>
      <c r="H554" s="21" t="s">
        <v>5958</v>
      </c>
      <c r="I554" s="21" t="s">
        <v>9164</v>
      </c>
      <c r="J554" s="21" t="s">
        <v>9333</v>
      </c>
      <c r="K554" s="261">
        <v>46042.0</v>
      </c>
      <c r="L554" s="261">
        <v>46056.0</v>
      </c>
      <c r="M554" s="21" t="s">
        <v>9746</v>
      </c>
      <c r="N554" s="21" t="s">
        <v>22</v>
      </c>
      <c r="O554" s="260"/>
      <c r="P554" s="260"/>
      <c r="Q554" s="260"/>
      <c r="R554" s="260"/>
      <c r="S554" s="260"/>
      <c r="T554" s="260"/>
      <c r="U554" s="260"/>
      <c r="V554" s="260"/>
      <c r="W554" s="260"/>
      <c r="X554" s="260"/>
      <c r="Y554" s="260"/>
      <c r="Z554" s="260"/>
    </row>
    <row r="555">
      <c r="A555" s="267">
        <v>46000.0</v>
      </c>
      <c r="B555" s="21" t="s">
        <v>2900</v>
      </c>
      <c r="C555" s="21" t="s">
        <v>9166</v>
      </c>
      <c r="D555" s="21" t="s">
        <v>9153</v>
      </c>
      <c r="E555" s="21" t="s">
        <v>9154</v>
      </c>
      <c r="F555" s="268" t="s">
        <v>9155</v>
      </c>
      <c r="G555" s="21" t="s">
        <v>9156</v>
      </c>
      <c r="H555" s="21" t="s">
        <v>5958</v>
      </c>
      <c r="I555" s="21" t="s">
        <v>9164</v>
      </c>
      <c r="J555" s="21" t="s">
        <v>9333</v>
      </c>
      <c r="K555" s="261">
        <v>46042.0</v>
      </c>
      <c r="L555" s="261">
        <v>46056.0</v>
      </c>
      <c r="M555" s="21" t="s">
        <v>9747</v>
      </c>
      <c r="N555" s="21" t="s">
        <v>22</v>
      </c>
      <c r="O555" s="260"/>
      <c r="P555" s="260"/>
      <c r="Q555" s="260"/>
      <c r="R555" s="260"/>
      <c r="S555" s="260"/>
      <c r="T555" s="260"/>
      <c r="U555" s="260"/>
      <c r="V555" s="260"/>
      <c r="W555" s="260"/>
      <c r="X555" s="260"/>
      <c r="Y555" s="260"/>
      <c r="Z555" s="260"/>
    </row>
    <row r="556">
      <c r="A556" s="267">
        <v>46000.0</v>
      </c>
      <c r="B556" s="21" t="s">
        <v>2898</v>
      </c>
      <c r="C556" s="21" t="s">
        <v>9166</v>
      </c>
      <c r="D556" s="21" t="s">
        <v>9153</v>
      </c>
      <c r="E556" s="21" t="s">
        <v>9154</v>
      </c>
      <c r="F556" s="268" t="s">
        <v>9155</v>
      </c>
      <c r="G556" s="21" t="s">
        <v>9156</v>
      </c>
      <c r="H556" s="21" t="s">
        <v>5958</v>
      </c>
      <c r="I556" s="21" t="s">
        <v>9164</v>
      </c>
      <c r="J556" s="21" t="s">
        <v>9333</v>
      </c>
      <c r="K556" s="261">
        <v>46042.0</v>
      </c>
      <c r="L556" s="261">
        <v>46056.0</v>
      </c>
      <c r="M556" s="21" t="s">
        <v>9748</v>
      </c>
      <c r="N556" s="21" t="s">
        <v>22</v>
      </c>
      <c r="O556" s="260"/>
      <c r="P556" s="260"/>
      <c r="Q556" s="260"/>
      <c r="R556" s="260"/>
      <c r="S556" s="260"/>
      <c r="T556" s="260"/>
      <c r="U556" s="260"/>
      <c r="V556" s="260"/>
      <c r="W556" s="260"/>
      <c r="X556" s="260"/>
      <c r="Y556" s="260"/>
      <c r="Z556" s="260"/>
    </row>
    <row r="557">
      <c r="A557" s="267">
        <v>46000.0</v>
      </c>
      <c r="B557" s="21" t="s">
        <v>2471</v>
      </c>
      <c r="C557" s="21" t="s">
        <v>9166</v>
      </c>
      <c r="D557" s="21" t="s">
        <v>9153</v>
      </c>
      <c r="E557" s="21" t="s">
        <v>9154</v>
      </c>
      <c r="F557" s="268" t="s">
        <v>9155</v>
      </c>
      <c r="G557" s="21" t="s">
        <v>9156</v>
      </c>
      <c r="H557" s="21" t="s">
        <v>5958</v>
      </c>
      <c r="I557" s="21" t="s">
        <v>9164</v>
      </c>
      <c r="J557" s="21" t="s">
        <v>9333</v>
      </c>
      <c r="K557" s="261">
        <v>46042.0</v>
      </c>
      <c r="L557" s="261">
        <v>46056.0</v>
      </c>
      <c r="M557" s="21" t="s">
        <v>9749</v>
      </c>
      <c r="N557" s="21" t="s">
        <v>22</v>
      </c>
      <c r="O557" s="260"/>
      <c r="P557" s="260"/>
      <c r="Q557" s="260"/>
      <c r="R557" s="260"/>
      <c r="S557" s="260"/>
      <c r="T557" s="260"/>
      <c r="U557" s="260"/>
      <c r="V557" s="260"/>
      <c r="W557" s="260"/>
      <c r="X557" s="260"/>
      <c r="Y557" s="260"/>
      <c r="Z557" s="260"/>
    </row>
    <row r="558">
      <c r="A558" s="267">
        <v>46000.0</v>
      </c>
      <c r="B558" s="21" t="s">
        <v>2304</v>
      </c>
      <c r="C558" s="21" t="s">
        <v>9166</v>
      </c>
      <c r="D558" s="21" t="s">
        <v>9153</v>
      </c>
      <c r="E558" s="21" t="s">
        <v>9154</v>
      </c>
      <c r="F558" s="268" t="s">
        <v>9155</v>
      </c>
      <c r="G558" s="21" t="s">
        <v>9156</v>
      </c>
      <c r="H558" s="21" t="s">
        <v>5958</v>
      </c>
      <c r="I558" s="21" t="s">
        <v>9164</v>
      </c>
      <c r="J558" s="21" t="s">
        <v>9333</v>
      </c>
      <c r="K558" s="261">
        <v>46042.0</v>
      </c>
      <c r="L558" s="261">
        <v>46056.0</v>
      </c>
      <c r="M558" s="21" t="s">
        <v>9750</v>
      </c>
      <c r="N558" s="21" t="s">
        <v>22</v>
      </c>
      <c r="O558" s="260"/>
      <c r="P558" s="260"/>
      <c r="Q558" s="260"/>
      <c r="R558" s="260"/>
      <c r="S558" s="260"/>
      <c r="T558" s="260"/>
      <c r="U558" s="260"/>
      <c r="V558" s="260"/>
      <c r="W558" s="260"/>
      <c r="X558" s="260"/>
      <c r="Y558" s="260"/>
      <c r="Z558" s="260"/>
    </row>
    <row r="559">
      <c r="A559" s="267">
        <v>46000.0</v>
      </c>
      <c r="B559" s="21" t="s">
        <v>2255</v>
      </c>
      <c r="C559" s="21" t="s">
        <v>9166</v>
      </c>
      <c r="D559" s="21" t="s">
        <v>9153</v>
      </c>
      <c r="E559" s="21" t="s">
        <v>9154</v>
      </c>
      <c r="F559" s="268" t="s">
        <v>9155</v>
      </c>
      <c r="G559" s="21" t="s">
        <v>9156</v>
      </c>
      <c r="H559" s="21" t="s">
        <v>5958</v>
      </c>
      <c r="I559" s="21" t="s">
        <v>9164</v>
      </c>
      <c r="J559" s="21" t="s">
        <v>9333</v>
      </c>
      <c r="K559" s="261">
        <v>46042.0</v>
      </c>
      <c r="L559" s="261">
        <v>46056.0</v>
      </c>
      <c r="M559" s="21" t="s">
        <v>9751</v>
      </c>
      <c r="N559" s="21" t="s">
        <v>22</v>
      </c>
      <c r="O559" s="260"/>
      <c r="P559" s="260"/>
      <c r="Q559" s="260"/>
      <c r="R559" s="260"/>
      <c r="S559" s="260"/>
      <c r="T559" s="260"/>
      <c r="U559" s="260"/>
      <c r="V559" s="260"/>
      <c r="W559" s="260"/>
      <c r="X559" s="260"/>
      <c r="Y559" s="260"/>
      <c r="Z559" s="260"/>
    </row>
    <row r="560">
      <c r="A560" s="267">
        <v>46000.0</v>
      </c>
      <c r="B560" s="21" t="s">
        <v>2465</v>
      </c>
      <c r="C560" s="21" t="s">
        <v>9166</v>
      </c>
      <c r="D560" s="21" t="s">
        <v>9153</v>
      </c>
      <c r="E560" s="21" t="s">
        <v>9154</v>
      </c>
      <c r="F560" s="268" t="s">
        <v>9155</v>
      </c>
      <c r="G560" s="21" t="s">
        <v>9163</v>
      </c>
      <c r="H560" s="21" t="s">
        <v>5970</v>
      </c>
      <c r="I560" s="21" t="s">
        <v>9164</v>
      </c>
      <c r="J560" s="21" t="s">
        <v>9333</v>
      </c>
      <c r="K560" s="261">
        <v>46042.0</v>
      </c>
      <c r="L560" s="261">
        <v>46056.0</v>
      </c>
      <c r="M560" s="21" t="s">
        <v>9752</v>
      </c>
      <c r="N560" s="21" t="s">
        <v>22</v>
      </c>
      <c r="O560" s="260"/>
      <c r="P560" s="260"/>
      <c r="Q560" s="260"/>
      <c r="R560" s="260"/>
      <c r="S560" s="260"/>
      <c r="T560" s="260"/>
      <c r="U560" s="260"/>
      <c r="V560" s="260"/>
      <c r="W560" s="260"/>
      <c r="X560" s="260"/>
      <c r="Y560" s="260"/>
      <c r="Z560" s="260"/>
    </row>
    <row r="561">
      <c r="A561" s="267">
        <v>46000.0</v>
      </c>
      <c r="B561" s="21" t="s">
        <v>3047</v>
      </c>
      <c r="C561" s="21" t="s">
        <v>9166</v>
      </c>
      <c r="D561" s="21" t="s">
        <v>9153</v>
      </c>
      <c r="E561" s="21" t="s">
        <v>9154</v>
      </c>
      <c r="F561" s="268" t="s">
        <v>9155</v>
      </c>
      <c r="G561" s="21" t="s">
        <v>9223</v>
      </c>
      <c r="H561" s="21" t="s">
        <v>5958</v>
      </c>
      <c r="I561" s="21" t="s">
        <v>9164</v>
      </c>
      <c r="J561" s="21" t="s">
        <v>9333</v>
      </c>
      <c r="K561" s="261">
        <v>46042.0</v>
      </c>
      <c r="L561" s="261">
        <v>46056.0</v>
      </c>
      <c r="M561" s="21" t="s">
        <v>9753</v>
      </c>
      <c r="N561" s="21" t="s">
        <v>22</v>
      </c>
      <c r="O561" s="260"/>
      <c r="P561" s="260"/>
      <c r="Q561" s="260"/>
      <c r="R561" s="260"/>
      <c r="S561" s="260"/>
      <c r="T561" s="260"/>
      <c r="U561" s="260"/>
      <c r="V561" s="260"/>
      <c r="W561" s="260"/>
      <c r="X561" s="260"/>
      <c r="Y561" s="260"/>
      <c r="Z561" s="260"/>
    </row>
    <row r="562">
      <c r="A562" s="267">
        <v>46000.0</v>
      </c>
      <c r="B562" s="21" t="s">
        <v>3069</v>
      </c>
      <c r="C562" s="21" t="s">
        <v>9166</v>
      </c>
      <c r="D562" s="21" t="s">
        <v>9153</v>
      </c>
      <c r="E562" s="21" t="s">
        <v>9154</v>
      </c>
      <c r="F562" s="268" t="s">
        <v>9155</v>
      </c>
      <c r="G562" s="21" t="s">
        <v>9163</v>
      </c>
      <c r="H562" s="21" t="s">
        <v>5970</v>
      </c>
      <c r="I562" s="21" t="s">
        <v>9164</v>
      </c>
      <c r="J562" s="21" t="s">
        <v>9333</v>
      </c>
      <c r="K562" s="261">
        <v>46042.0</v>
      </c>
      <c r="L562" s="261">
        <v>46056.0</v>
      </c>
      <c r="M562" s="21" t="s">
        <v>9754</v>
      </c>
      <c r="N562" s="21" t="s">
        <v>22</v>
      </c>
      <c r="O562" s="260"/>
      <c r="P562" s="260"/>
      <c r="Q562" s="260"/>
      <c r="R562" s="260"/>
      <c r="S562" s="260"/>
      <c r="T562" s="260"/>
      <c r="U562" s="260"/>
      <c r="V562" s="260"/>
      <c r="W562" s="260"/>
      <c r="X562" s="260"/>
      <c r="Y562" s="260"/>
      <c r="Z562" s="260"/>
    </row>
    <row r="563">
      <c r="A563" s="267">
        <v>46000.0</v>
      </c>
      <c r="B563" s="21" t="s">
        <v>2381</v>
      </c>
      <c r="C563" s="21" t="s">
        <v>9166</v>
      </c>
      <c r="D563" s="21" t="s">
        <v>9153</v>
      </c>
      <c r="E563" s="21" t="s">
        <v>9154</v>
      </c>
      <c r="F563" s="268" t="s">
        <v>9155</v>
      </c>
      <c r="G563" s="21" t="s">
        <v>9223</v>
      </c>
      <c r="H563" s="21" t="s">
        <v>5956</v>
      </c>
      <c r="I563" s="21" t="s">
        <v>9164</v>
      </c>
      <c r="J563" s="21" t="s">
        <v>9333</v>
      </c>
      <c r="K563" s="261">
        <v>46042.0</v>
      </c>
      <c r="L563" s="261">
        <v>46056.0</v>
      </c>
      <c r="M563" s="21" t="s">
        <v>9755</v>
      </c>
      <c r="N563" s="21" t="s">
        <v>22</v>
      </c>
      <c r="O563" s="260"/>
      <c r="P563" s="260"/>
      <c r="Q563" s="260"/>
      <c r="R563" s="260"/>
      <c r="S563" s="260"/>
      <c r="T563" s="260"/>
      <c r="U563" s="260"/>
      <c r="V563" s="260"/>
      <c r="W563" s="260"/>
      <c r="X563" s="260"/>
      <c r="Y563" s="260"/>
      <c r="Z563" s="260"/>
    </row>
    <row r="564">
      <c r="A564" s="267">
        <v>46000.0</v>
      </c>
      <c r="B564" s="21" t="s">
        <v>3426</v>
      </c>
      <c r="C564" s="21" t="s">
        <v>9166</v>
      </c>
      <c r="D564" s="21" t="s">
        <v>9153</v>
      </c>
      <c r="E564" s="21" t="s">
        <v>9154</v>
      </c>
      <c r="F564" s="268" t="s">
        <v>9155</v>
      </c>
      <c r="G564" s="21" t="s">
        <v>9223</v>
      </c>
      <c r="H564" s="21" t="s">
        <v>5956</v>
      </c>
      <c r="I564" s="21" t="s">
        <v>9164</v>
      </c>
      <c r="J564" s="21" t="s">
        <v>9333</v>
      </c>
      <c r="K564" s="261">
        <v>46042.0</v>
      </c>
      <c r="L564" s="261">
        <v>46056.0</v>
      </c>
      <c r="M564" s="21" t="s">
        <v>9756</v>
      </c>
      <c r="N564" s="21" t="s">
        <v>22</v>
      </c>
      <c r="O564" s="260"/>
      <c r="P564" s="260"/>
      <c r="Q564" s="260"/>
      <c r="R564" s="260"/>
      <c r="S564" s="260"/>
      <c r="T564" s="260"/>
      <c r="U564" s="260"/>
      <c r="V564" s="260"/>
      <c r="W564" s="260"/>
      <c r="X564" s="260"/>
      <c r="Y564" s="260"/>
      <c r="Z564" s="260"/>
    </row>
    <row r="565">
      <c r="A565" s="267">
        <v>46000.0</v>
      </c>
      <c r="B565" s="21" t="s">
        <v>1774</v>
      </c>
      <c r="C565" s="21" t="s">
        <v>9166</v>
      </c>
      <c r="D565" s="21" t="s">
        <v>9153</v>
      </c>
      <c r="E565" s="21" t="s">
        <v>9154</v>
      </c>
      <c r="F565" s="268" t="s">
        <v>9155</v>
      </c>
      <c r="G565" s="21" t="s">
        <v>9177</v>
      </c>
      <c r="H565" s="21" t="s">
        <v>5956</v>
      </c>
      <c r="I565" s="21" t="s">
        <v>9164</v>
      </c>
      <c r="J565" s="21" t="s">
        <v>9333</v>
      </c>
      <c r="K565" s="261">
        <v>46042.0</v>
      </c>
      <c r="L565" s="261">
        <v>46056.0</v>
      </c>
      <c r="M565" s="21" t="s">
        <v>9757</v>
      </c>
      <c r="N565" s="21" t="s">
        <v>22</v>
      </c>
      <c r="O565" s="260"/>
      <c r="P565" s="260"/>
      <c r="Q565" s="260"/>
      <c r="R565" s="260"/>
      <c r="S565" s="260"/>
      <c r="T565" s="260"/>
      <c r="U565" s="260"/>
      <c r="V565" s="260"/>
      <c r="W565" s="260"/>
      <c r="X565" s="260"/>
      <c r="Y565" s="260"/>
      <c r="Z565" s="260"/>
    </row>
    <row r="566">
      <c r="A566" s="267">
        <v>46000.0</v>
      </c>
      <c r="B566" s="21" t="s">
        <v>3166</v>
      </c>
      <c r="C566" s="21" t="s">
        <v>9166</v>
      </c>
      <c r="D566" s="21" t="s">
        <v>9153</v>
      </c>
      <c r="E566" s="21" t="s">
        <v>9154</v>
      </c>
      <c r="F566" s="268" t="s">
        <v>9155</v>
      </c>
      <c r="G566" s="21" t="s">
        <v>9177</v>
      </c>
      <c r="H566" s="21" t="s">
        <v>5956</v>
      </c>
      <c r="I566" s="21" t="s">
        <v>9164</v>
      </c>
      <c r="J566" s="21" t="s">
        <v>9333</v>
      </c>
      <c r="K566" s="261">
        <v>46042.0</v>
      </c>
      <c r="L566" s="261">
        <v>46056.0</v>
      </c>
      <c r="M566" s="21" t="s">
        <v>9758</v>
      </c>
      <c r="N566" s="21" t="s">
        <v>22</v>
      </c>
      <c r="O566" s="260"/>
      <c r="P566" s="260"/>
      <c r="Q566" s="260"/>
      <c r="R566" s="260"/>
      <c r="S566" s="260"/>
      <c r="T566" s="260"/>
      <c r="U566" s="260"/>
      <c r="V566" s="260"/>
      <c r="W566" s="260"/>
      <c r="X566" s="260"/>
      <c r="Y566" s="260"/>
      <c r="Z566" s="260"/>
    </row>
    <row r="567">
      <c r="A567" s="267">
        <v>46000.0</v>
      </c>
      <c r="B567" s="21" t="s">
        <v>2836</v>
      </c>
      <c r="C567" s="21" t="s">
        <v>9166</v>
      </c>
      <c r="D567" s="21" t="s">
        <v>9153</v>
      </c>
      <c r="E567" s="21" t="s">
        <v>9154</v>
      </c>
      <c r="F567" s="268" t="s">
        <v>9155</v>
      </c>
      <c r="G567" s="21" t="s">
        <v>9163</v>
      </c>
      <c r="H567" s="21" t="s">
        <v>5970</v>
      </c>
      <c r="I567" s="21" t="s">
        <v>9164</v>
      </c>
      <c r="J567" s="21" t="s">
        <v>9333</v>
      </c>
      <c r="K567" s="261">
        <v>46042.0</v>
      </c>
      <c r="L567" s="261">
        <v>46056.0</v>
      </c>
      <c r="M567" s="21" t="s">
        <v>9759</v>
      </c>
      <c r="N567" s="21" t="s">
        <v>22</v>
      </c>
      <c r="O567" s="260"/>
      <c r="P567" s="260"/>
      <c r="Q567" s="260"/>
      <c r="R567" s="260"/>
      <c r="S567" s="260"/>
      <c r="T567" s="260"/>
      <c r="U567" s="260"/>
      <c r="V567" s="260"/>
      <c r="W567" s="260"/>
      <c r="X567" s="260"/>
      <c r="Y567" s="260"/>
      <c r="Z567" s="260"/>
    </row>
    <row r="568">
      <c r="A568" s="267">
        <v>46000.0</v>
      </c>
      <c r="B568" s="21" t="s">
        <v>2911</v>
      </c>
      <c r="C568" s="21" t="s">
        <v>9166</v>
      </c>
      <c r="D568" s="21" t="s">
        <v>9153</v>
      </c>
      <c r="E568" s="21" t="s">
        <v>9154</v>
      </c>
      <c r="F568" s="268" t="s">
        <v>9155</v>
      </c>
      <c r="G568" s="21" t="s">
        <v>9163</v>
      </c>
      <c r="H568" s="21" t="s">
        <v>5970</v>
      </c>
      <c r="I568" s="21" t="s">
        <v>9164</v>
      </c>
      <c r="J568" s="21" t="s">
        <v>9333</v>
      </c>
      <c r="K568" s="261">
        <v>46042.0</v>
      </c>
      <c r="L568" s="261">
        <v>46056.0</v>
      </c>
      <c r="M568" s="21" t="s">
        <v>9760</v>
      </c>
      <c r="N568" s="21" t="s">
        <v>22</v>
      </c>
      <c r="O568" s="260"/>
      <c r="P568" s="260"/>
      <c r="Q568" s="260"/>
      <c r="R568" s="260"/>
      <c r="S568" s="260"/>
      <c r="T568" s="260"/>
      <c r="U568" s="260"/>
      <c r="V568" s="260"/>
      <c r="W568" s="260"/>
      <c r="X568" s="260"/>
      <c r="Y568" s="260"/>
      <c r="Z568" s="260"/>
    </row>
    <row r="569">
      <c r="A569" s="267">
        <v>46004.0</v>
      </c>
      <c r="B569" s="21" t="s">
        <v>2861</v>
      </c>
      <c r="C569" s="21" t="s">
        <v>9166</v>
      </c>
      <c r="D569" s="21" t="s">
        <v>9153</v>
      </c>
      <c r="E569" s="21" t="s">
        <v>9154</v>
      </c>
      <c r="F569" s="268" t="s">
        <v>9155</v>
      </c>
      <c r="G569" s="21" t="s">
        <v>9223</v>
      </c>
      <c r="H569" s="21" t="s">
        <v>5956</v>
      </c>
      <c r="I569" s="21" t="s">
        <v>9164</v>
      </c>
      <c r="J569" s="21" t="s">
        <v>8911</v>
      </c>
      <c r="K569" s="261">
        <v>46046.0</v>
      </c>
      <c r="L569" s="261">
        <v>46060.0</v>
      </c>
      <c r="M569" s="21" t="s">
        <v>9761</v>
      </c>
      <c r="N569" s="21" t="s">
        <v>22</v>
      </c>
      <c r="O569" s="260"/>
      <c r="P569" s="260"/>
      <c r="Q569" s="260"/>
      <c r="R569" s="260"/>
      <c r="S569" s="260"/>
      <c r="T569" s="260"/>
      <c r="U569" s="260"/>
      <c r="V569" s="260"/>
      <c r="W569" s="260"/>
      <c r="X569" s="260"/>
      <c r="Y569" s="260"/>
      <c r="Z569" s="260"/>
    </row>
    <row r="570">
      <c r="A570" s="267">
        <v>46004.0</v>
      </c>
      <c r="B570" s="21" t="s">
        <v>2270</v>
      </c>
      <c r="C570" s="21" t="s">
        <v>9166</v>
      </c>
      <c r="D570" s="21" t="s">
        <v>9153</v>
      </c>
      <c r="E570" s="21" t="s">
        <v>9154</v>
      </c>
      <c r="F570" s="268" t="s">
        <v>9155</v>
      </c>
      <c r="G570" s="21" t="s">
        <v>9223</v>
      </c>
      <c r="H570" s="21" t="s">
        <v>5956</v>
      </c>
      <c r="I570" s="21" t="s">
        <v>9164</v>
      </c>
      <c r="J570" s="21" t="s">
        <v>8911</v>
      </c>
      <c r="K570" s="261">
        <v>46046.0</v>
      </c>
      <c r="L570" s="261">
        <v>46060.0</v>
      </c>
      <c r="M570" s="21" t="s">
        <v>9762</v>
      </c>
      <c r="N570" s="21" t="s">
        <v>22</v>
      </c>
      <c r="O570" s="260"/>
      <c r="P570" s="260"/>
      <c r="Q570" s="260"/>
      <c r="R570" s="260"/>
      <c r="S570" s="260"/>
      <c r="T570" s="260"/>
      <c r="U570" s="260"/>
      <c r="V570" s="260"/>
      <c r="W570" s="260"/>
      <c r="X570" s="260"/>
      <c r="Y570" s="260"/>
      <c r="Z570" s="260"/>
    </row>
    <row r="571">
      <c r="A571" s="267">
        <v>46004.0</v>
      </c>
      <c r="B571" s="21" t="s">
        <v>3557</v>
      </c>
      <c r="C571" s="21" t="s">
        <v>9166</v>
      </c>
      <c r="D571" s="21" t="s">
        <v>9153</v>
      </c>
      <c r="E571" s="21" t="s">
        <v>9154</v>
      </c>
      <c r="F571" s="268" t="s">
        <v>9155</v>
      </c>
      <c r="G571" s="21" t="s">
        <v>9223</v>
      </c>
      <c r="H571" s="21" t="s">
        <v>5956</v>
      </c>
      <c r="I571" s="21" t="s">
        <v>9164</v>
      </c>
      <c r="J571" s="21" t="s">
        <v>8911</v>
      </c>
      <c r="K571" s="261">
        <v>46046.0</v>
      </c>
      <c r="L571" s="261">
        <v>46060.0</v>
      </c>
      <c r="M571" s="21" t="s">
        <v>9763</v>
      </c>
      <c r="N571" s="21" t="s">
        <v>22</v>
      </c>
      <c r="O571" s="260"/>
      <c r="P571" s="260"/>
      <c r="Q571" s="260"/>
      <c r="R571" s="260"/>
      <c r="S571" s="260"/>
      <c r="T571" s="260"/>
      <c r="U571" s="260"/>
      <c r="V571" s="260"/>
      <c r="W571" s="260"/>
      <c r="X571" s="260"/>
      <c r="Y571" s="260"/>
      <c r="Z571" s="260"/>
    </row>
    <row r="572">
      <c r="A572" s="267">
        <v>46004.0</v>
      </c>
      <c r="B572" s="21" t="s">
        <v>2274</v>
      </c>
      <c r="C572" s="21" t="s">
        <v>9166</v>
      </c>
      <c r="D572" s="21" t="s">
        <v>9153</v>
      </c>
      <c r="E572" s="21" t="s">
        <v>9154</v>
      </c>
      <c r="F572" s="268" t="s">
        <v>9155</v>
      </c>
      <c r="G572" s="21" t="s">
        <v>9223</v>
      </c>
      <c r="H572" s="21" t="s">
        <v>5956</v>
      </c>
      <c r="I572" s="21" t="s">
        <v>9164</v>
      </c>
      <c r="J572" s="21" t="s">
        <v>8911</v>
      </c>
      <c r="K572" s="261">
        <v>46046.0</v>
      </c>
      <c r="L572" s="261">
        <v>46060.0</v>
      </c>
      <c r="M572" s="21" t="s">
        <v>9764</v>
      </c>
      <c r="N572" s="21" t="s">
        <v>22</v>
      </c>
      <c r="O572" s="260"/>
      <c r="P572" s="260"/>
      <c r="Q572" s="260"/>
      <c r="R572" s="260"/>
      <c r="S572" s="260"/>
      <c r="T572" s="260"/>
      <c r="U572" s="260"/>
      <c r="V572" s="260"/>
      <c r="W572" s="260"/>
      <c r="X572" s="260"/>
      <c r="Y572" s="260"/>
      <c r="Z572" s="260"/>
    </row>
    <row r="573">
      <c r="A573" s="259"/>
      <c r="B573" s="260"/>
      <c r="C573" s="260"/>
      <c r="D573" s="260"/>
      <c r="E573" s="260"/>
      <c r="F573" s="260"/>
      <c r="G573" s="260"/>
      <c r="H573" s="260"/>
      <c r="I573" s="260"/>
      <c r="J573" s="260"/>
      <c r="K573" s="261" t="s">
        <v>39</v>
      </c>
      <c r="L573" s="261" t="s">
        <v>39</v>
      </c>
      <c r="M573" s="260"/>
      <c r="N573" s="260"/>
      <c r="O573" s="260"/>
      <c r="P573" s="260"/>
      <c r="Q573" s="260"/>
      <c r="R573" s="260"/>
      <c r="S573" s="260"/>
      <c r="T573" s="260"/>
      <c r="U573" s="260"/>
      <c r="V573" s="260"/>
      <c r="W573" s="260"/>
      <c r="X573" s="260"/>
      <c r="Y573" s="260"/>
      <c r="Z573" s="260"/>
    </row>
    <row r="574">
      <c r="A574" s="259"/>
      <c r="B574" s="260"/>
      <c r="C574" s="260"/>
      <c r="D574" s="260"/>
      <c r="E574" s="260"/>
      <c r="F574" s="260"/>
      <c r="G574" s="260"/>
      <c r="H574" s="260"/>
      <c r="I574" s="260"/>
      <c r="J574" s="260"/>
      <c r="K574" s="261" t="s">
        <v>39</v>
      </c>
      <c r="L574" s="261" t="s">
        <v>39</v>
      </c>
      <c r="M574" s="260"/>
      <c r="N574" s="260"/>
      <c r="O574" s="260"/>
      <c r="P574" s="260"/>
      <c r="Q574" s="260"/>
      <c r="R574" s="260"/>
      <c r="S574" s="260"/>
      <c r="T574" s="260"/>
      <c r="U574" s="260"/>
      <c r="V574" s="260"/>
      <c r="W574" s="260"/>
      <c r="X574" s="260"/>
      <c r="Y574" s="260"/>
      <c r="Z574" s="260"/>
    </row>
    <row r="575">
      <c r="A575" s="259"/>
      <c r="B575" s="260"/>
      <c r="C575" s="260"/>
      <c r="D575" s="260"/>
      <c r="E575" s="260"/>
      <c r="F575" s="260"/>
      <c r="G575" s="260"/>
      <c r="H575" s="260"/>
      <c r="I575" s="260"/>
      <c r="J575" s="260"/>
      <c r="K575" s="261" t="s">
        <v>39</v>
      </c>
      <c r="L575" s="261" t="s">
        <v>39</v>
      </c>
      <c r="M575" s="260"/>
      <c r="N575" s="260"/>
      <c r="O575" s="260"/>
      <c r="P575" s="260"/>
      <c r="Q575" s="260"/>
      <c r="R575" s="260"/>
      <c r="S575" s="260"/>
      <c r="T575" s="260"/>
      <c r="U575" s="260"/>
      <c r="V575" s="260"/>
      <c r="W575" s="260"/>
      <c r="X575" s="260"/>
      <c r="Y575" s="260"/>
      <c r="Z575" s="260"/>
    </row>
    <row r="576">
      <c r="A576" s="259"/>
      <c r="B576" s="260"/>
      <c r="C576" s="260"/>
      <c r="D576" s="260"/>
      <c r="E576" s="260"/>
      <c r="F576" s="260"/>
      <c r="G576" s="260"/>
      <c r="H576" s="260"/>
      <c r="I576" s="260"/>
      <c r="J576" s="260"/>
      <c r="K576" s="261" t="s">
        <v>39</v>
      </c>
      <c r="L576" s="261" t="s">
        <v>39</v>
      </c>
      <c r="M576" s="260"/>
      <c r="N576" s="260"/>
      <c r="O576" s="260"/>
      <c r="P576" s="260"/>
      <c r="Q576" s="260"/>
      <c r="R576" s="260"/>
      <c r="S576" s="260"/>
      <c r="T576" s="260"/>
      <c r="U576" s="260"/>
      <c r="V576" s="260"/>
      <c r="W576" s="260"/>
      <c r="X576" s="260"/>
      <c r="Y576" s="260"/>
      <c r="Z576" s="260"/>
    </row>
    <row r="577">
      <c r="A577" s="259"/>
      <c r="B577" s="260"/>
      <c r="C577" s="260"/>
      <c r="D577" s="260"/>
      <c r="E577" s="260"/>
      <c r="F577" s="260"/>
      <c r="G577" s="260"/>
      <c r="H577" s="260"/>
      <c r="I577" s="260"/>
      <c r="J577" s="260"/>
      <c r="K577" s="261" t="s">
        <v>39</v>
      </c>
      <c r="L577" s="261" t="s">
        <v>39</v>
      </c>
      <c r="M577" s="260"/>
      <c r="N577" s="260"/>
      <c r="O577" s="260"/>
      <c r="P577" s="260"/>
      <c r="Q577" s="260"/>
      <c r="R577" s="260"/>
      <c r="S577" s="260"/>
      <c r="T577" s="260"/>
      <c r="U577" s="260"/>
      <c r="V577" s="260"/>
      <c r="W577" s="260"/>
      <c r="X577" s="260"/>
      <c r="Y577" s="260"/>
      <c r="Z577" s="260"/>
    </row>
    <row r="578">
      <c r="A578" s="259"/>
      <c r="B578" s="260"/>
      <c r="C578" s="260"/>
      <c r="D578" s="260"/>
      <c r="E578" s="260"/>
      <c r="F578" s="260"/>
      <c r="G578" s="260"/>
      <c r="H578" s="260"/>
      <c r="I578" s="260"/>
      <c r="J578" s="260"/>
      <c r="K578" s="261" t="s">
        <v>39</v>
      </c>
      <c r="L578" s="261" t="s">
        <v>39</v>
      </c>
      <c r="M578" s="260"/>
      <c r="N578" s="260"/>
      <c r="O578" s="260"/>
      <c r="P578" s="260"/>
      <c r="Q578" s="260"/>
      <c r="R578" s="260"/>
      <c r="S578" s="260"/>
      <c r="T578" s="260"/>
      <c r="U578" s="260"/>
      <c r="V578" s="260"/>
      <c r="W578" s="260"/>
      <c r="X578" s="260"/>
      <c r="Y578" s="260"/>
      <c r="Z578" s="260"/>
    </row>
    <row r="579">
      <c r="A579" s="259"/>
      <c r="B579" s="260"/>
      <c r="C579" s="260"/>
      <c r="D579" s="260"/>
      <c r="E579" s="260"/>
      <c r="F579" s="260"/>
      <c r="G579" s="260"/>
      <c r="H579" s="260"/>
      <c r="I579" s="260"/>
      <c r="J579" s="260"/>
      <c r="K579" s="261" t="s">
        <v>39</v>
      </c>
      <c r="L579" s="261" t="s">
        <v>39</v>
      </c>
      <c r="M579" s="260"/>
      <c r="N579" s="260"/>
      <c r="O579" s="260"/>
      <c r="P579" s="260"/>
      <c r="Q579" s="260"/>
      <c r="R579" s="260"/>
      <c r="S579" s="260"/>
      <c r="T579" s="260"/>
      <c r="U579" s="260"/>
      <c r="V579" s="260"/>
      <c r="W579" s="260"/>
      <c r="X579" s="260"/>
      <c r="Y579" s="260"/>
      <c r="Z579" s="260"/>
    </row>
    <row r="580">
      <c r="A580" s="259"/>
      <c r="B580" s="260"/>
      <c r="C580" s="260"/>
      <c r="D580" s="260"/>
      <c r="E580" s="260"/>
      <c r="F580" s="260"/>
      <c r="G580" s="260"/>
      <c r="H580" s="260"/>
      <c r="I580" s="260"/>
      <c r="J580" s="260"/>
      <c r="K580" s="261" t="s">
        <v>39</v>
      </c>
      <c r="L580" s="261" t="s">
        <v>39</v>
      </c>
      <c r="M580" s="260"/>
      <c r="N580" s="260"/>
      <c r="O580" s="260"/>
      <c r="P580" s="260"/>
      <c r="Q580" s="260"/>
      <c r="R580" s="260"/>
      <c r="S580" s="260"/>
      <c r="T580" s="260"/>
      <c r="U580" s="260"/>
      <c r="V580" s="260"/>
      <c r="W580" s="260"/>
      <c r="X580" s="260"/>
      <c r="Y580" s="260"/>
      <c r="Z580" s="260"/>
    </row>
    <row r="581">
      <c r="A581" s="259"/>
      <c r="B581" s="260"/>
      <c r="C581" s="260"/>
      <c r="D581" s="260"/>
      <c r="E581" s="260"/>
      <c r="F581" s="260"/>
      <c r="G581" s="260"/>
      <c r="H581" s="260"/>
      <c r="I581" s="260"/>
      <c r="J581" s="260"/>
      <c r="K581" s="261" t="s">
        <v>39</v>
      </c>
      <c r="L581" s="261" t="s">
        <v>39</v>
      </c>
      <c r="M581" s="260"/>
      <c r="N581" s="260"/>
      <c r="O581" s="260"/>
      <c r="P581" s="260"/>
      <c r="Q581" s="260"/>
      <c r="R581" s="260"/>
      <c r="S581" s="260"/>
      <c r="T581" s="260"/>
      <c r="U581" s="260"/>
      <c r="V581" s="260"/>
      <c r="W581" s="260"/>
      <c r="X581" s="260"/>
      <c r="Y581" s="260"/>
      <c r="Z581" s="260"/>
    </row>
    <row r="582">
      <c r="A582" s="259"/>
      <c r="B582" s="260"/>
      <c r="C582" s="260"/>
      <c r="D582" s="260"/>
      <c r="E582" s="260"/>
      <c r="F582" s="260"/>
      <c r="G582" s="260"/>
      <c r="H582" s="260"/>
      <c r="I582" s="260"/>
      <c r="J582" s="260"/>
      <c r="K582" s="261" t="s">
        <v>39</v>
      </c>
      <c r="L582" s="261" t="s">
        <v>39</v>
      </c>
      <c r="M582" s="260"/>
      <c r="N582" s="260"/>
      <c r="O582" s="260"/>
      <c r="P582" s="260"/>
      <c r="Q582" s="260"/>
      <c r="R582" s="260"/>
      <c r="S582" s="260"/>
      <c r="T582" s="260"/>
      <c r="U582" s="260"/>
      <c r="V582" s="260"/>
      <c r="W582" s="260"/>
      <c r="X582" s="260"/>
      <c r="Y582" s="260"/>
      <c r="Z582" s="260"/>
    </row>
    <row r="583">
      <c r="A583" s="259"/>
      <c r="B583" s="260"/>
      <c r="C583" s="260"/>
      <c r="D583" s="260"/>
      <c r="E583" s="260"/>
      <c r="F583" s="260"/>
      <c r="G583" s="260"/>
      <c r="H583" s="260"/>
      <c r="I583" s="260"/>
      <c r="J583" s="260"/>
      <c r="K583" s="261" t="s">
        <v>39</v>
      </c>
      <c r="L583" s="261" t="s">
        <v>39</v>
      </c>
      <c r="M583" s="260"/>
      <c r="N583" s="260"/>
      <c r="O583" s="260"/>
      <c r="P583" s="260"/>
      <c r="Q583" s="260"/>
      <c r="R583" s="260"/>
      <c r="S583" s="260"/>
      <c r="T583" s="260"/>
      <c r="U583" s="260"/>
      <c r="V583" s="260"/>
      <c r="W583" s="260"/>
      <c r="X583" s="260"/>
      <c r="Y583" s="260"/>
      <c r="Z583" s="260"/>
    </row>
    <row r="584">
      <c r="A584" s="259"/>
      <c r="B584" s="260"/>
      <c r="C584" s="260"/>
      <c r="D584" s="260"/>
      <c r="E584" s="260"/>
      <c r="F584" s="260"/>
      <c r="G584" s="260"/>
      <c r="H584" s="260"/>
      <c r="I584" s="260"/>
      <c r="J584" s="260"/>
      <c r="K584" s="261" t="s">
        <v>39</v>
      </c>
      <c r="L584" s="261" t="s">
        <v>39</v>
      </c>
      <c r="M584" s="260"/>
      <c r="N584" s="260"/>
      <c r="O584" s="260"/>
      <c r="P584" s="260"/>
      <c r="Q584" s="260"/>
      <c r="R584" s="260"/>
      <c r="S584" s="260"/>
      <c r="T584" s="260"/>
      <c r="U584" s="260"/>
      <c r="V584" s="260"/>
      <c r="W584" s="260"/>
      <c r="X584" s="260"/>
      <c r="Y584" s="260"/>
      <c r="Z584" s="260"/>
    </row>
    <row r="585">
      <c r="A585" s="259"/>
      <c r="B585" s="260"/>
      <c r="C585" s="260"/>
      <c r="D585" s="260"/>
      <c r="E585" s="260"/>
      <c r="F585" s="260"/>
      <c r="G585" s="260"/>
      <c r="H585" s="260"/>
      <c r="I585" s="260"/>
      <c r="J585" s="260"/>
      <c r="K585" s="261" t="s">
        <v>39</v>
      </c>
      <c r="L585" s="261" t="s">
        <v>39</v>
      </c>
      <c r="M585" s="260"/>
      <c r="N585" s="260"/>
      <c r="O585" s="260"/>
      <c r="P585" s="260"/>
      <c r="Q585" s="260"/>
      <c r="R585" s="260"/>
      <c r="S585" s="260"/>
      <c r="T585" s="260"/>
      <c r="U585" s="260"/>
      <c r="V585" s="260"/>
      <c r="W585" s="260"/>
      <c r="X585" s="260"/>
      <c r="Y585" s="260"/>
      <c r="Z585" s="260"/>
    </row>
    <row r="586">
      <c r="A586" s="259"/>
      <c r="B586" s="260"/>
      <c r="C586" s="260"/>
      <c r="D586" s="260"/>
      <c r="E586" s="260"/>
      <c r="F586" s="260"/>
      <c r="G586" s="260"/>
      <c r="H586" s="260"/>
      <c r="I586" s="260"/>
      <c r="J586" s="260"/>
      <c r="K586" s="261" t="s">
        <v>39</v>
      </c>
      <c r="L586" s="261" t="s">
        <v>39</v>
      </c>
      <c r="M586" s="260"/>
      <c r="N586" s="260"/>
      <c r="O586" s="260"/>
      <c r="P586" s="260"/>
      <c r="Q586" s="260"/>
      <c r="R586" s="260"/>
      <c r="S586" s="260"/>
      <c r="T586" s="260"/>
      <c r="U586" s="260"/>
      <c r="V586" s="260"/>
      <c r="W586" s="260"/>
      <c r="X586" s="260"/>
      <c r="Y586" s="260"/>
      <c r="Z586" s="260"/>
    </row>
    <row r="587">
      <c r="A587" s="259"/>
      <c r="B587" s="260"/>
      <c r="C587" s="260"/>
      <c r="D587" s="260"/>
      <c r="E587" s="260"/>
      <c r="F587" s="260"/>
      <c r="G587" s="260"/>
      <c r="H587" s="260"/>
      <c r="I587" s="260"/>
      <c r="J587" s="260"/>
      <c r="K587" s="261" t="s">
        <v>39</v>
      </c>
      <c r="L587" s="261" t="s">
        <v>39</v>
      </c>
      <c r="M587" s="260"/>
      <c r="N587" s="260"/>
      <c r="O587" s="260"/>
      <c r="P587" s="260"/>
      <c r="Q587" s="260"/>
      <c r="R587" s="260"/>
      <c r="S587" s="260"/>
      <c r="T587" s="260"/>
      <c r="U587" s="260"/>
      <c r="V587" s="260"/>
      <c r="W587" s="260"/>
      <c r="X587" s="260"/>
      <c r="Y587" s="260"/>
      <c r="Z587" s="260"/>
    </row>
    <row r="588">
      <c r="A588" s="259"/>
      <c r="B588" s="260"/>
      <c r="C588" s="260"/>
      <c r="D588" s="260"/>
      <c r="E588" s="260"/>
      <c r="F588" s="260"/>
      <c r="G588" s="260"/>
      <c r="H588" s="260"/>
      <c r="I588" s="260"/>
      <c r="J588" s="260"/>
      <c r="K588" s="261" t="s">
        <v>39</v>
      </c>
      <c r="L588" s="261" t="s">
        <v>39</v>
      </c>
      <c r="M588" s="260"/>
      <c r="N588" s="260"/>
      <c r="O588" s="260"/>
      <c r="P588" s="260"/>
      <c r="Q588" s="260"/>
      <c r="R588" s="260"/>
      <c r="S588" s="260"/>
      <c r="T588" s="260"/>
      <c r="U588" s="260"/>
      <c r="V588" s="260"/>
      <c r="W588" s="260"/>
      <c r="X588" s="260"/>
      <c r="Y588" s="260"/>
      <c r="Z588" s="260"/>
    </row>
    <row r="589">
      <c r="A589" s="259"/>
      <c r="B589" s="260"/>
      <c r="C589" s="260"/>
      <c r="D589" s="260"/>
      <c r="E589" s="260"/>
      <c r="F589" s="260"/>
      <c r="G589" s="260"/>
      <c r="H589" s="260"/>
      <c r="I589" s="260"/>
      <c r="J589" s="260"/>
      <c r="K589" s="261" t="s">
        <v>39</v>
      </c>
      <c r="L589" s="261" t="s">
        <v>39</v>
      </c>
      <c r="M589" s="260"/>
      <c r="N589" s="260"/>
      <c r="O589" s="260"/>
      <c r="P589" s="260"/>
      <c r="Q589" s="260"/>
      <c r="R589" s="260"/>
      <c r="S589" s="260"/>
      <c r="T589" s="260"/>
      <c r="U589" s="260"/>
      <c r="V589" s="260"/>
      <c r="W589" s="260"/>
      <c r="X589" s="260"/>
      <c r="Y589" s="260"/>
      <c r="Z589" s="260"/>
    </row>
    <row r="590">
      <c r="A590" s="259"/>
      <c r="B590" s="260"/>
      <c r="C590" s="260"/>
      <c r="D590" s="260"/>
      <c r="E590" s="260"/>
      <c r="F590" s="260"/>
      <c r="G590" s="260"/>
      <c r="H590" s="260"/>
      <c r="I590" s="260"/>
      <c r="J590" s="260"/>
      <c r="K590" s="261" t="s">
        <v>39</v>
      </c>
      <c r="L590" s="261" t="s">
        <v>39</v>
      </c>
      <c r="M590" s="260"/>
      <c r="N590" s="260"/>
      <c r="O590" s="260"/>
      <c r="P590" s="260"/>
      <c r="Q590" s="260"/>
      <c r="R590" s="260"/>
      <c r="S590" s="260"/>
      <c r="T590" s="260"/>
      <c r="U590" s="260"/>
      <c r="V590" s="260"/>
      <c r="W590" s="260"/>
      <c r="X590" s="260"/>
      <c r="Y590" s="260"/>
      <c r="Z590" s="260"/>
    </row>
    <row r="591">
      <c r="A591" s="259"/>
      <c r="B591" s="260"/>
      <c r="C591" s="260"/>
      <c r="D591" s="260"/>
      <c r="E591" s="260"/>
      <c r="F591" s="260"/>
      <c r="G591" s="260"/>
      <c r="H591" s="260"/>
      <c r="I591" s="260"/>
      <c r="J591" s="260"/>
      <c r="K591" s="261" t="s">
        <v>39</v>
      </c>
      <c r="L591" s="261" t="s">
        <v>39</v>
      </c>
      <c r="M591" s="260"/>
      <c r="N591" s="260"/>
      <c r="O591" s="260"/>
      <c r="P591" s="260"/>
      <c r="Q591" s="260"/>
      <c r="R591" s="260"/>
      <c r="S591" s="260"/>
      <c r="T591" s="260"/>
      <c r="U591" s="260"/>
      <c r="V591" s="260"/>
      <c r="W591" s="260"/>
      <c r="X591" s="260"/>
      <c r="Y591" s="260"/>
      <c r="Z591" s="260"/>
    </row>
    <row r="592">
      <c r="A592" s="259"/>
      <c r="B592" s="260"/>
      <c r="C592" s="260"/>
      <c r="D592" s="260"/>
      <c r="E592" s="260"/>
      <c r="F592" s="260"/>
      <c r="G592" s="260"/>
      <c r="H592" s="260"/>
      <c r="I592" s="260"/>
      <c r="J592" s="260"/>
      <c r="K592" s="261" t="s">
        <v>39</v>
      </c>
      <c r="L592" s="261" t="s">
        <v>39</v>
      </c>
      <c r="M592" s="260"/>
      <c r="N592" s="260"/>
      <c r="O592" s="260"/>
      <c r="P592" s="260"/>
      <c r="Q592" s="260"/>
      <c r="R592" s="260"/>
      <c r="S592" s="260"/>
      <c r="T592" s="260"/>
      <c r="U592" s="260"/>
      <c r="V592" s="260"/>
      <c r="W592" s="260"/>
      <c r="X592" s="260"/>
      <c r="Y592" s="260"/>
      <c r="Z592" s="260"/>
    </row>
    <row r="593">
      <c r="A593" s="259"/>
      <c r="B593" s="260"/>
      <c r="C593" s="260"/>
      <c r="D593" s="260"/>
      <c r="E593" s="260"/>
      <c r="F593" s="260"/>
      <c r="G593" s="260"/>
      <c r="H593" s="260"/>
      <c r="I593" s="260"/>
      <c r="J593" s="260"/>
      <c r="K593" s="261" t="s">
        <v>39</v>
      </c>
      <c r="L593" s="261" t="s">
        <v>39</v>
      </c>
      <c r="M593" s="260"/>
      <c r="N593" s="260"/>
      <c r="O593" s="260"/>
      <c r="P593" s="260"/>
      <c r="Q593" s="260"/>
      <c r="R593" s="260"/>
      <c r="S593" s="260"/>
      <c r="T593" s="260"/>
      <c r="U593" s="260"/>
      <c r="V593" s="260"/>
      <c r="W593" s="260"/>
      <c r="X593" s="260"/>
      <c r="Y593" s="260"/>
      <c r="Z593" s="260"/>
    </row>
    <row r="594">
      <c r="A594" s="259"/>
      <c r="B594" s="260"/>
      <c r="C594" s="260"/>
      <c r="D594" s="260"/>
      <c r="E594" s="260"/>
      <c r="F594" s="260"/>
      <c r="G594" s="260"/>
      <c r="H594" s="260"/>
      <c r="I594" s="260"/>
      <c r="J594" s="260"/>
      <c r="K594" s="261" t="s">
        <v>39</v>
      </c>
      <c r="L594" s="261" t="s">
        <v>39</v>
      </c>
      <c r="M594" s="260"/>
      <c r="N594" s="260"/>
      <c r="O594" s="260"/>
      <c r="P594" s="260"/>
      <c r="Q594" s="260"/>
      <c r="R594" s="260"/>
      <c r="S594" s="260"/>
      <c r="T594" s="260"/>
      <c r="U594" s="260"/>
      <c r="V594" s="260"/>
      <c r="W594" s="260"/>
      <c r="X594" s="260"/>
      <c r="Y594" s="260"/>
      <c r="Z594" s="260"/>
    </row>
    <row r="595">
      <c r="A595" s="259"/>
      <c r="B595" s="260"/>
      <c r="C595" s="260"/>
      <c r="D595" s="260"/>
      <c r="E595" s="260"/>
      <c r="F595" s="260"/>
      <c r="G595" s="260"/>
      <c r="H595" s="260"/>
      <c r="I595" s="260"/>
      <c r="J595" s="260"/>
      <c r="K595" s="261" t="s">
        <v>39</v>
      </c>
      <c r="L595" s="261" t="s">
        <v>39</v>
      </c>
      <c r="M595" s="260"/>
      <c r="N595" s="260"/>
      <c r="O595" s="260"/>
      <c r="P595" s="260"/>
      <c r="Q595" s="260"/>
      <c r="R595" s="260"/>
      <c r="S595" s="260"/>
      <c r="T595" s="260"/>
      <c r="U595" s="260"/>
      <c r="V595" s="260"/>
      <c r="W595" s="260"/>
      <c r="X595" s="260"/>
      <c r="Y595" s="260"/>
      <c r="Z595" s="260"/>
    </row>
    <row r="596">
      <c r="A596" s="259"/>
      <c r="B596" s="260"/>
      <c r="C596" s="260"/>
      <c r="D596" s="260"/>
      <c r="E596" s="260"/>
      <c r="F596" s="260"/>
      <c r="G596" s="260"/>
      <c r="H596" s="260"/>
      <c r="I596" s="260"/>
      <c r="J596" s="260"/>
      <c r="K596" s="261" t="s">
        <v>39</v>
      </c>
      <c r="L596" s="261" t="s">
        <v>39</v>
      </c>
      <c r="M596" s="260"/>
      <c r="N596" s="260"/>
      <c r="O596" s="260"/>
      <c r="P596" s="260"/>
      <c r="Q596" s="260"/>
      <c r="R596" s="260"/>
      <c r="S596" s="260"/>
      <c r="T596" s="260"/>
      <c r="U596" s="260"/>
      <c r="V596" s="260"/>
      <c r="W596" s="260"/>
      <c r="X596" s="260"/>
      <c r="Y596" s="260"/>
      <c r="Z596" s="260"/>
    </row>
    <row r="597">
      <c r="A597" s="259"/>
      <c r="B597" s="260"/>
      <c r="C597" s="260"/>
      <c r="D597" s="260"/>
      <c r="E597" s="260"/>
      <c r="F597" s="260"/>
      <c r="G597" s="260"/>
      <c r="H597" s="260"/>
      <c r="I597" s="260"/>
      <c r="J597" s="260"/>
      <c r="K597" s="261" t="s">
        <v>39</v>
      </c>
      <c r="L597" s="261" t="s">
        <v>39</v>
      </c>
      <c r="M597" s="260"/>
      <c r="N597" s="260"/>
      <c r="O597" s="260"/>
      <c r="P597" s="260"/>
      <c r="Q597" s="260"/>
      <c r="R597" s="260"/>
      <c r="S597" s="260"/>
      <c r="T597" s="260"/>
      <c r="U597" s="260"/>
      <c r="V597" s="260"/>
      <c r="W597" s="260"/>
      <c r="X597" s="260"/>
      <c r="Y597" s="260"/>
      <c r="Z597" s="260"/>
    </row>
    <row r="598">
      <c r="A598" s="259"/>
      <c r="B598" s="260"/>
      <c r="C598" s="260"/>
      <c r="D598" s="260"/>
      <c r="E598" s="260"/>
      <c r="F598" s="260"/>
      <c r="G598" s="260"/>
      <c r="H598" s="260"/>
      <c r="I598" s="260"/>
      <c r="J598" s="260"/>
      <c r="K598" s="261" t="s">
        <v>39</v>
      </c>
      <c r="L598" s="261" t="s">
        <v>39</v>
      </c>
      <c r="M598" s="260"/>
      <c r="N598" s="260"/>
      <c r="O598" s="260"/>
      <c r="P598" s="260"/>
      <c r="Q598" s="260"/>
      <c r="R598" s="260"/>
      <c r="S598" s="260"/>
      <c r="T598" s="260"/>
      <c r="U598" s="260"/>
      <c r="V598" s="260"/>
      <c r="W598" s="260"/>
      <c r="X598" s="260"/>
      <c r="Y598" s="260"/>
      <c r="Z598" s="260"/>
    </row>
    <row r="599">
      <c r="A599" s="259"/>
      <c r="B599" s="260"/>
      <c r="C599" s="260"/>
      <c r="D599" s="260"/>
      <c r="E599" s="260"/>
      <c r="F599" s="260"/>
      <c r="G599" s="260"/>
      <c r="H599" s="260"/>
      <c r="I599" s="260"/>
      <c r="J599" s="260"/>
      <c r="K599" s="261" t="s">
        <v>39</v>
      </c>
      <c r="L599" s="261" t="s">
        <v>39</v>
      </c>
      <c r="M599" s="260"/>
      <c r="N599" s="260"/>
      <c r="O599" s="260"/>
      <c r="P599" s="260"/>
      <c r="Q599" s="260"/>
      <c r="R599" s="260"/>
      <c r="S599" s="260"/>
      <c r="T599" s="260"/>
      <c r="U599" s="260"/>
      <c r="V599" s="260"/>
      <c r="W599" s="260"/>
      <c r="X599" s="260"/>
      <c r="Y599" s="260"/>
      <c r="Z599" s="260"/>
    </row>
    <row r="600">
      <c r="A600" s="259"/>
      <c r="B600" s="260"/>
      <c r="C600" s="260"/>
      <c r="D600" s="260"/>
      <c r="E600" s="260"/>
      <c r="F600" s="260"/>
      <c r="G600" s="260"/>
      <c r="H600" s="260"/>
      <c r="I600" s="260"/>
      <c r="J600" s="260"/>
      <c r="K600" s="261" t="s">
        <v>39</v>
      </c>
      <c r="L600" s="261" t="s">
        <v>39</v>
      </c>
      <c r="M600" s="260"/>
      <c r="N600" s="260"/>
      <c r="O600" s="260"/>
      <c r="P600" s="260"/>
      <c r="Q600" s="260"/>
      <c r="R600" s="260"/>
      <c r="S600" s="260"/>
      <c r="T600" s="260"/>
      <c r="U600" s="260"/>
      <c r="V600" s="260"/>
      <c r="W600" s="260"/>
      <c r="X600" s="260"/>
      <c r="Y600" s="260"/>
      <c r="Z600" s="260"/>
    </row>
    <row r="601">
      <c r="A601" s="259"/>
      <c r="B601" s="260"/>
      <c r="C601" s="260"/>
      <c r="D601" s="260"/>
      <c r="E601" s="260"/>
      <c r="F601" s="260"/>
      <c r="G601" s="260"/>
      <c r="H601" s="260"/>
      <c r="I601" s="260"/>
      <c r="J601" s="260"/>
      <c r="K601" s="261" t="s">
        <v>39</v>
      </c>
      <c r="L601" s="261" t="s">
        <v>39</v>
      </c>
      <c r="M601" s="260"/>
      <c r="N601" s="260"/>
      <c r="O601" s="260"/>
      <c r="P601" s="260"/>
      <c r="Q601" s="260"/>
      <c r="R601" s="260"/>
      <c r="S601" s="260"/>
      <c r="T601" s="260"/>
      <c r="U601" s="260"/>
      <c r="V601" s="260"/>
      <c r="W601" s="260"/>
      <c r="X601" s="260"/>
      <c r="Y601" s="260"/>
      <c r="Z601" s="260"/>
    </row>
    <row r="602">
      <c r="A602" s="259"/>
      <c r="B602" s="260"/>
      <c r="C602" s="260"/>
      <c r="D602" s="260"/>
      <c r="E602" s="260"/>
      <c r="F602" s="260"/>
      <c r="G602" s="260"/>
      <c r="H602" s="260"/>
      <c r="I602" s="260"/>
      <c r="J602" s="260"/>
      <c r="K602" s="261" t="s">
        <v>39</v>
      </c>
      <c r="L602" s="261" t="s">
        <v>39</v>
      </c>
      <c r="M602" s="260"/>
      <c r="N602" s="260"/>
      <c r="O602" s="260"/>
      <c r="P602" s="260"/>
      <c r="Q602" s="260"/>
      <c r="R602" s="260"/>
      <c r="S602" s="260"/>
      <c r="T602" s="260"/>
      <c r="U602" s="260"/>
      <c r="V602" s="260"/>
      <c r="W602" s="260"/>
      <c r="X602" s="260"/>
      <c r="Y602" s="260"/>
      <c r="Z602" s="260"/>
    </row>
    <row r="603">
      <c r="A603" s="259"/>
      <c r="B603" s="260"/>
      <c r="C603" s="260"/>
      <c r="D603" s="260"/>
      <c r="E603" s="260"/>
      <c r="F603" s="260"/>
      <c r="G603" s="260"/>
      <c r="H603" s="260"/>
      <c r="I603" s="260"/>
      <c r="J603" s="260"/>
      <c r="K603" s="261" t="s">
        <v>39</v>
      </c>
      <c r="L603" s="261" t="s">
        <v>39</v>
      </c>
      <c r="M603" s="260"/>
      <c r="N603" s="260"/>
      <c r="O603" s="260"/>
      <c r="P603" s="260"/>
      <c r="Q603" s="260"/>
      <c r="R603" s="260"/>
      <c r="S603" s="260"/>
      <c r="T603" s="260"/>
      <c r="U603" s="260"/>
      <c r="V603" s="260"/>
      <c r="W603" s="260"/>
      <c r="X603" s="260"/>
      <c r="Y603" s="260"/>
      <c r="Z603" s="260"/>
    </row>
    <row r="604">
      <c r="A604" s="259"/>
      <c r="B604" s="260"/>
      <c r="C604" s="260"/>
      <c r="D604" s="260"/>
      <c r="E604" s="260"/>
      <c r="F604" s="260"/>
      <c r="G604" s="260"/>
      <c r="H604" s="260"/>
      <c r="I604" s="260"/>
      <c r="J604" s="260"/>
      <c r="K604" s="261" t="s">
        <v>39</v>
      </c>
      <c r="L604" s="261" t="s">
        <v>39</v>
      </c>
      <c r="M604" s="260"/>
      <c r="N604" s="260"/>
      <c r="O604" s="260"/>
      <c r="P604" s="260"/>
      <c r="Q604" s="260"/>
      <c r="R604" s="260"/>
      <c r="S604" s="260"/>
      <c r="T604" s="260"/>
      <c r="U604" s="260"/>
      <c r="V604" s="260"/>
      <c r="W604" s="260"/>
      <c r="X604" s="260"/>
      <c r="Y604" s="260"/>
      <c r="Z604" s="260"/>
    </row>
    <row r="605">
      <c r="A605" s="259"/>
      <c r="B605" s="260"/>
      <c r="C605" s="260"/>
      <c r="D605" s="260"/>
      <c r="E605" s="260"/>
      <c r="F605" s="260"/>
      <c r="G605" s="260"/>
      <c r="H605" s="260"/>
      <c r="I605" s="260"/>
      <c r="J605" s="260"/>
      <c r="K605" s="261" t="s">
        <v>39</v>
      </c>
      <c r="L605" s="261" t="s">
        <v>39</v>
      </c>
      <c r="M605" s="260"/>
      <c r="N605" s="260"/>
      <c r="O605" s="260"/>
      <c r="P605" s="260"/>
      <c r="Q605" s="260"/>
      <c r="R605" s="260"/>
      <c r="S605" s="260"/>
      <c r="T605" s="260"/>
      <c r="U605" s="260"/>
      <c r="V605" s="260"/>
      <c r="W605" s="260"/>
      <c r="X605" s="260"/>
      <c r="Y605" s="260"/>
      <c r="Z605" s="260"/>
    </row>
    <row r="606">
      <c r="A606" s="259"/>
      <c r="B606" s="260"/>
      <c r="C606" s="260"/>
      <c r="D606" s="260"/>
      <c r="E606" s="260"/>
      <c r="F606" s="260"/>
      <c r="G606" s="260"/>
      <c r="H606" s="260"/>
      <c r="I606" s="260"/>
      <c r="J606" s="260"/>
      <c r="K606" s="261" t="s">
        <v>39</v>
      </c>
      <c r="L606" s="261" t="s">
        <v>39</v>
      </c>
      <c r="M606" s="260"/>
      <c r="N606" s="260"/>
      <c r="O606" s="260"/>
      <c r="P606" s="260"/>
      <c r="Q606" s="260"/>
      <c r="R606" s="260"/>
      <c r="S606" s="260"/>
      <c r="T606" s="260"/>
      <c r="U606" s="260"/>
      <c r="V606" s="260"/>
      <c r="W606" s="260"/>
      <c r="X606" s="260"/>
      <c r="Y606" s="260"/>
      <c r="Z606" s="260"/>
    </row>
    <row r="607">
      <c r="A607" s="259"/>
      <c r="B607" s="260"/>
      <c r="C607" s="260"/>
      <c r="D607" s="260"/>
      <c r="E607" s="260"/>
      <c r="F607" s="260"/>
      <c r="G607" s="260"/>
      <c r="H607" s="260"/>
      <c r="I607" s="260"/>
      <c r="J607" s="260"/>
      <c r="K607" s="261" t="s">
        <v>39</v>
      </c>
      <c r="L607" s="261" t="s">
        <v>39</v>
      </c>
      <c r="M607" s="260"/>
      <c r="N607" s="260"/>
      <c r="O607" s="260"/>
      <c r="P607" s="260"/>
      <c r="Q607" s="260"/>
      <c r="R607" s="260"/>
      <c r="S607" s="260"/>
      <c r="T607" s="260"/>
      <c r="U607" s="260"/>
      <c r="V607" s="260"/>
      <c r="W607" s="260"/>
      <c r="X607" s="260"/>
      <c r="Y607" s="260"/>
      <c r="Z607" s="260"/>
    </row>
    <row r="608">
      <c r="A608" s="259"/>
      <c r="B608" s="260"/>
      <c r="C608" s="260"/>
      <c r="D608" s="260"/>
      <c r="E608" s="260"/>
      <c r="F608" s="260"/>
      <c r="G608" s="260"/>
      <c r="H608" s="260"/>
      <c r="I608" s="260"/>
      <c r="J608" s="260"/>
      <c r="K608" s="261" t="s">
        <v>39</v>
      </c>
      <c r="L608" s="261" t="s">
        <v>39</v>
      </c>
      <c r="M608" s="260"/>
      <c r="N608" s="260"/>
      <c r="O608" s="260"/>
      <c r="P608" s="260"/>
      <c r="Q608" s="260"/>
      <c r="R608" s="260"/>
      <c r="S608" s="260"/>
      <c r="T608" s="260"/>
      <c r="U608" s="260"/>
      <c r="V608" s="260"/>
      <c r="W608" s="260"/>
      <c r="X608" s="260"/>
      <c r="Y608" s="260"/>
      <c r="Z608" s="260"/>
    </row>
    <row r="609">
      <c r="A609" s="259"/>
      <c r="B609" s="260"/>
      <c r="C609" s="260"/>
      <c r="D609" s="260"/>
      <c r="E609" s="260"/>
      <c r="F609" s="260"/>
      <c r="G609" s="260"/>
      <c r="H609" s="260"/>
      <c r="I609" s="260"/>
      <c r="J609" s="260"/>
      <c r="K609" s="261" t="s">
        <v>39</v>
      </c>
      <c r="L609" s="261" t="s">
        <v>39</v>
      </c>
      <c r="M609" s="260"/>
      <c r="N609" s="260"/>
      <c r="O609" s="260"/>
      <c r="P609" s="260"/>
      <c r="Q609" s="260"/>
      <c r="R609" s="260"/>
      <c r="S609" s="260"/>
      <c r="T609" s="260"/>
      <c r="U609" s="260"/>
      <c r="V609" s="260"/>
      <c r="W609" s="260"/>
      <c r="X609" s="260"/>
      <c r="Y609" s="260"/>
      <c r="Z609" s="260"/>
    </row>
    <row r="610">
      <c r="A610" s="259"/>
      <c r="B610" s="260"/>
      <c r="C610" s="260"/>
      <c r="D610" s="260"/>
      <c r="E610" s="260"/>
      <c r="F610" s="260"/>
      <c r="G610" s="260"/>
      <c r="H610" s="260"/>
      <c r="I610" s="260"/>
      <c r="J610" s="260"/>
      <c r="K610" s="261" t="s">
        <v>39</v>
      </c>
      <c r="L610" s="261" t="s">
        <v>39</v>
      </c>
      <c r="M610" s="260"/>
      <c r="N610" s="260"/>
      <c r="O610" s="260"/>
      <c r="P610" s="260"/>
      <c r="Q610" s="260"/>
      <c r="R610" s="260"/>
      <c r="S610" s="260"/>
      <c r="T610" s="260"/>
      <c r="U610" s="260"/>
      <c r="V610" s="260"/>
      <c r="W610" s="260"/>
      <c r="X610" s="260"/>
      <c r="Y610" s="260"/>
      <c r="Z610" s="260"/>
    </row>
    <row r="611">
      <c r="A611" s="259"/>
      <c r="B611" s="260"/>
      <c r="C611" s="260"/>
      <c r="D611" s="260"/>
      <c r="E611" s="260"/>
      <c r="F611" s="260"/>
      <c r="G611" s="260"/>
      <c r="H611" s="260"/>
      <c r="I611" s="260"/>
      <c r="J611" s="260"/>
      <c r="K611" s="261" t="s">
        <v>39</v>
      </c>
      <c r="L611" s="261" t="s">
        <v>39</v>
      </c>
      <c r="M611" s="260"/>
      <c r="N611" s="260"/>
      <c r="O611" s="260"/>
      <c r="P611" s="260"/>
      <c r="Q611" s="260"/>
      <c r="R611" s="260"/>
      <c r="S611" s="260"/>
      <c r="T611" s="260"/>
      <c r="U611" s="260"/>
      <c r="V611" s="260"/>
      <c r="W611" s="260"/>
      <c r="X611" s="260"/>
      <c r="Y611" s="260"/>
      <c r="Z611" s="260"/>
    </row>
    <row r="612">
      <c r="A612" s="259"/>
      <c r="B612" s="260"/>
      <c r="C612" s="260"/>
      <c r="D612" s="260"/>
      <c r="E612" s="260"/>
      <c r="F612" s="260"/>
      <c r="G612" s="260"/>
      <c r="H612" s="260"/>
      <c r="I612" s="260"/>
      <c r="J612" s="260"/>
      <c r="K612" s="261" t="s">
        <v>39</v>
      </c>
      <c r="L612" s="261" t="s">
        <v>39</v>
      </c>
      <c r="M612" s="260"/>
      <c r="N612" s="260"/>
      <c r="O612" s="260"/>
      <c r="P612" s="260"/>
      <c r="Q612" s="260"/>
      <c r="R612" s="260"/>
      <c r="S612" s="260"/>
      <c r="T612" s="260"/>
      <c r="U612" s="260"/>
      <c r="V612" s="260"/>
      <c r="W612" s="260"/>
      <c r="X612" s="260"/>
      <c r="Y612" s="260"/>
      <c r="Z612" s="260"/>
    </row>
    <row r="613">
      <c r="A613" s="259"/>
      <c r="B613" s="260"/>
      <c r="C613" s="260"/>
      <c r="D613" s="260"/>
      <c r="E613" s="260"/>
      <c r="F613" s="260"/>
      <c r="G613" s="260"/>
      <c r="H613" s="260"/>
      <c r="I613" s="260"/>
      <c r="J613" s="260"/>
      <c r="K613" s="261" t="s">
        <v>39</v>
      </c>
      <c r="L613" s="261" t="s">
        <v>39</v>
      </c>
      <c r="M613" s="260"/>
      <c r="N613" s="260"/>
      <c r="O613" s="260"/>
      <c r="P613" s="260"/>
      <c r="Q613" s="260"/>
      <c r="R613" s="260"/>
      <c r="S613" s="260"/>
      <c r="T613" s="260"/>
      <c r="U613" s="260"/>
      <c r="V613" s="260"/>
      <c r="W613" s="260"/>
      <c r="X613" s="260"/>
      <c r="Y613" s="260"/>
      <c r="Z613" s="260"/>
    </row>
    <row r="614">
      <c r="A614" s="259"/>
      <c r="B614" s="260"/>
      <c r="C614" s="260"/>
      <c r="D614" s="260"/>
      <c r="E614" s="260"/>
      <c r="F614" s="260"/>
      <c r="G614" s="260"/>
      <c r="H614" s="260"/>
      <c r="I614" s="260"/>
      <c r="J614" s="260"/>
      <c r="K614" s="261" t="s">
        <v>39</v>
      </c>
      <c r="L614" s="261" t="s">
        <v>39</v>
      </c>
      <c r="M614" s="260"/>
      <c r="N614" s="260"/>
      <c r="O614" s="260"/>
      <c r="P614" s="260"/>
      <c r="Q614" s="260"/>
      <c r="R614" s="260"/>
      <c r="S614" s="260"/>
      <c r="T614" s="260"/>
      <c r="U614" s="260"/>
      <c r="V614" s="260"/>
      <c r="W614" s="260"/>
      <c r="X614" s="260"/>
      <c r="Y614" s="260"/>
      <c r="Z614" s="260"/>
    </row>
    <row r="615">
      <c r="A615" s="259"/>
      <c r="B615" s="260"/>
      <c r="C615" s="260"/>
      <c r="D615" s="260"/>
      <c r="E615" s="260"/>
      <c r="F615" s="260"/>
      <c r="G615" s="260"/>
      <c r="H615" s="260"/>
      <c r="I615" s="260"/>
      <c r="J615" s="260"/>
      <c r="K615" s="261" t="s">
        <v>39</v>
      </c>
      <c r="L615" s="261" t="s">
        <v>39</v>
      </c>
      <c r="M615" s="260"/>
      <c r="N615" s="260"/>
      <c r="O615" s="260"/>
      <c r="P615" s="260"/>
      <c r="Q615" s="260"/>
      <c r="R615" s="260"/>
      <c r="S615" s="260"/>
      <c r="T615" s="260"/>
      <c r="U615" s="260"/>
      <c r="V615" s="260"/>
      <c r="W615" s="260"/>
      <c r="X615" s="260"/>
      <c r="Y615" s="260"/>
      <c r="Z615" s="260"/>
    </row>
    <row r="616">
      <c r="A616" s="259"/>
      <c r="B616" s="260"/>
      <c r="C616" s="260"/>
      <c r="D616" s="260"/>
      <c r="E616" s="260"/>
      <c r="F616" s="260"/>
      <c r="G616" s="260"/>
      <c r="H616" s="260"/>
      <c r="I616" s="260"/>
      <c r="J616" s="260"/>
      <c r="K616" s="261" t="s">
        <v>39</v>
      </c>
      <c r="L616" s="261" t="s">
        <v>39</v>
      </c>
      <c r="M616" s="260"/>
      <c r="N616" s="260"/>
      <c r="O616" s="260"/>
      <c r="P616" s="260"/>
      <c r="Q616" s="260"/>
      <c r="R616" s="260"/>
      <c r="S616" s="260"/>
      <c r="T616" s="260"/>
      <c r="U616" s="260"/>
      <c r="V616" s="260"/>
      <c r="W616" s="260"/>
      <c r="X616" s="260"/>
      <c r="Y616" s="260"/>
      <c r="Z616" s="260"/>
    </row>
    <row r="617">
      <c r="A617" s="259"/>
      <c r="B617" s="260"/>
      <c r="C617" s="260"/>
      <c r="D617" s="260"/>
      <c r="E617" s="260"/>
      <c r="F617" s="260"/>
      <c r="G617" s="260"/>
      <c r="H617" s="260"/>
      <c r="I617" s="260"/>
      <c r="J617" s="260"/>
      <c r="K617" s="261" t="s">
        <v>39</v>
      </c>
      <c r="L617" s="261" t="s">
        <v>39</v>
      </c>
      <c r="M617" s="260"/>
      <c r="N617" s="260"/>
      <c r="O617" s="260"/>
      <c r="P617" s="260"/>
      <c r="Q617" s="260"/>
      <c r="R617" s="260"/>
      <c r="S617" s="260"/>
      <c r="T617" s="260"/>
      <c r="U617" s="260"/>
      <c r="V617" s="260"/>
      <c r="W617" s="260"/>
      <c r="X617" s="260"/>
      <c r="Y617" s="260"/>
      <c r="Z617" s="260"/>
    </row>
    <row r="618">
      <c r="A618" s="259"/>
      <c r="B618" s="260"/>
      <c r="C618" s="260"/>
      <c r="D618" s="260"/>
      <c r="E618" s="260"/>
      <c r="F618" s="260"/>
      <c r="G618" s="260"/>
      <c r="H618" s="260"/>
      <c r="I618" s="260"/>
      <c r="J618" s="260"/>
      <c r="K618" s="261" t="s">
        <v>39</v>
      </c>
      <c r="L618" s="261" t="s">
        <v>39</v>
      </c>
      <c r="M618" s="260"/>
      <c r="N618" s="260"/>
      <c r="O618" s="260"/>
      <c r="P618" s="260"/>
      <c r="Q618" s="260"/>
      <c r="R618" s="260"/>
      <c r="S618" s="260"/>
      <c r="T618" s="260"/>
      <c r="U618" s="260"/>
      <c r="V618" s="260"/>
      <c r="W618" s="260"/>
      <c r="X618" s="260"/>
      <c r="Y618" s="260"/>
      <c r="Z618" s="260"/>
    </row>
    <row r="619">
      <c r="A619" s="259"/>
      <c r="B619" s="260"/>
      <c r="C619" s="260"/>
      <c r="D619" s="260"/>
      <c r="E619" s="260"/>
      <c r="F619" s="260"/>
      <c r="G619" s="260"/>
      <c r="H619" s="260"/>
      <c r="I619" s="260"/>
      <c r="J619" s="260"/>
      <c r="K619" s="261" t="s">
        <v>39</v>
      </c>
      <c r="L619" s="261" t="s">
        <v>39</v>
      </c>
      <c r="M619" s="260"/>
      <c r="N619" s="260"/>
      <c r="O619" s="260"/>
      <c r="P619" s="260"/>
      <c r="Q619" s="260"/>
      <c r="R619" s="260"/>
      <c r="S619" s="260"/>
      <c r="T619" s="260"/>
      <c r="U619" s="260"/>
      <c r="V619" s="260"/>
      <c r="W619" s="260"/>
      <c r="X619" s="260"/>
      <c r="Y619" s="260"/>
      <c r="Z619" s="260"/>
    </row>
    <row r="620">
      <c r="A620" s="259"/>
      <c r="B620" s="260"/>
      <c r="C620" s="260"/>
      <c r="D620" s="260"/>
      <c r="E620" s="260"/>
      <c r="F620" s="260"/>
      <c r="G620" s="260"/>
      <c r="H620" s="260"/>
      <c r="I620" s="260"/>
      <c r="J620" s="260"/>
      <c r="K620" s="261" t="s">
        <v>39</v>
      </c>
      <c r="L620" s="261" t="s">
        <v>39</v>
      </c>
      <c r="M620" s="260"/>
      <c r="N620" s="260"/>
      <c r="O620" s="260"/>
      <c r="P620" s="260"/>
      <c r="Q620" s="260"/>
      <c r="R620" s="260"/>
      <c r="S620" s="260"/>
      <c r="T620" s="260"/>
      <c r="U620" s="260"/>
      <c r="V620" s="260"/>
      <c r="W620" s="260"/>
      <c r="X620" s="260"/>
      <c r="Y620" s="260"/>
      <c r="Z620" s="260"/>
    </row>
    <row r="621">
      <c r="A621" s="259"/>
      <c r="B621" s="260"/>
      <c r="C621" s="260"/>
      <c r="D621" s="260"/>
      <c r="E621" s="260"/>
      <c r="F621" s="260"/>
      <c r="G621" s="260"/>
      <c r="H621" s="260"/>
      <c r="I621" s="260"/>
      <c r="J621" s="260"/>
      <c r="K621" s="261" t="s">
        <v>39</v>
      </c>
      <c r="L621" s="261" t="s">
        <v>39</v>
      </c>
      <c r="M621" s="260"/>
      <c r="N621" s="260"/>
      <c r="O621" s="260"/>
      <c r="P621" s="260"/>
      <c r="Q621" s="260"/>
      <c r="R621" s="260"/>
      <c r="S621" s="260"/>
      <c r="T621" s="260"/>
      <c r="U621" s="260"/>
      <c r="V621" s="260"/>
      <c r="W621" s="260"/>
      <c r="X621" s="260"/>
      <c r="Y621" s="260"/>
      <c r="Z621" s="260"/>
    </row>
    <row r="622">
      <c r="A622" s="259"/>
      <c r="B622" s="260"/>
      <c r="C622" s="260"/>
      <c r="D622" s="260"/>
      <c r="E622" s="260"/>
      <c r="F622" s="260"/>
      <c r="G622" s="260"/>
      <c r="H622" s="260"/>
      <c r="I622" s="260"/>
      <c r="J622" s="260"/>
      <c r="K622" s="261" t="s">
        <v>39</v>
      </c>
      <c r="L622" s="261" t="s">
        <v>39</v>
      </c>
      <c r="M622" s="260"/>
      <c r="N622" s="260"/>
      <c r="O622" s="260"/>
      <c r="P622" s="260"/>
      <c r="Q622" s="260"/>
      <c r="R622" s="260"/>
      <c r="S622" s="260"/>
      <c r="T622" s="260"/>
      <c r="U622" s="260"/>
      <c r="V622" s="260"/>
      <c r="W622" s="260"/>
      <c r="X622" s="260"/>
      <c r="Y622" s="260"/>
      <c r="Z622" s="260"/>
    </row>
    <row r="623">
      <c r="A623" s="259"/>
      <c r="B623" s="260"/>
      <c r="C623" s="260"/>
      <c r="D623" s="260"/>
      <c r="E623" s="260"/>
      <c r="F623" s="260"/>
      <c r="G623" s="260"/>
      <c r="H623" s="260"/>
      <c r="I623" s="260"/>
      <c r="J623" s="260"/>
      <c r="K623" s="261" t="s">
        <v>39</v>
      </c>
      <c r="L623" s="261" t="s">
        <v>39</v>
      </c>
      <c r="M623" s="260"/>
      <c r="N623" s="260"/>
      <c r="O623" s="260"/>
      <c r="P623" s="260"/>
      <c r="Q623" s="260"/>
      <c r="R623" s="260"/>
      <c r="S623" s="260"/>
      <c r="T623" s="260"/>
      <c r="U623" s="260"/>
      <c r="V623" s="260"/>
      <c r="W623" s="260"/>
      <c r="X623" s="260"/>
      <c r="Y623" s="260"/>
      <c r="Z623" s="260"/>
    </row>
    <row r="624">
      <c r="A624" s="259"/>
      <c r="B624" s="260"/>
      <c r="C624" s="260"/>
      <c r="D624" s="260"/>
      <c r="E624" s="260"/>
      <c r="F624" s="260"/>
      <c r="G624" s="260"/>
      <c r="H624" s="260"/>
      <c r="I624" s="260"/>
      <c r="J624" s="260"/>
      <c r="K624" s="261" t="s">
        <v>39</v>
      </c>
      <c r="L624" s="261" t="s">
        <v>39</v>
      </c>
      <c r="M624" s="260"/>
      <c r="N624" s="260"/>
      <c r="O624" s="260"/>
      <c r="P624" s="260"/>
      <c r="Q624" s="260"/>
      <c r="R624" s="260"/>
      <c r="S624" s="260"/>
      <c r="T624" s="260"/>
      <c r="U624" s="260"/>
      <c r="V624" s="260"/>
      <c r="W624" s="260"/>
      <c r="X624" s="260"/>
      <c r="Y624" s="260"/>
      <c r="Z624" s="260"/>
    </row>
    <row r="625">
      <c r="A625" s="259"/>
      <c r="B625" s="260"/>
      <c r="C625" s="260"/>
      <c r="D625" s="260"/>
      <c r="E625" s="260"/>
      <c r="F625" s="260"/>
      <c r="G625" s="260"/>
      <c r="H625" s="260"/>
      <c r="I625" s="260"/>
      <c r="J625" s="260"/>
      <c r="K625" s="261" t="s">
        <v>39</v>
      </c>
      <c r="L625" s="261" t="s">
        <v>39</v>
      </c>
      <c r="M625" s="260"/>
      <c r="N625" s="260"/>
      <c r="O625" s="260"/>
      <c r="P625" s="260"/>
      <c r="Q625" s="260"/>
      <c r="R625" s="260"/>
      <c r="S625" s="260"/>
      <c r="T625" s="260"/>
      <c r="U625" s="260"/>
      <c r="V625" s="260"/>
      <c r="W625" s="260"/>
      <c r="X625" s="260"/>
      <c r="Y625" s="260"/>
      <c r="Z625" s="260"/>
    </row>
    <row r="626">
      <c r="A626" s="259"/>
      <c r="B626" s="260"/>
      <c r="C626" s="260"/>
      <c r="D626" s="260"/>
      <c r="E626" s="260"/>
      <c r="F626" s="260"/>
      <c r="G626" s="260"/>
      <c r="H626" s="260"/>
      <c r="I626" s="260"/>
      <c r="J626" s="260"/>
      <c r="K626" s="261" t="s">
        <v>39</v>
      </c>
      <c r="L626" s="261" t="s">
        <v>39</v>
      </c>
      <c r="M626" s="260"/>
      <c r="N626" s="260"/>
      <c r="O626" s="260"/>
      <c r="P626" s="260"/>
      <c r="Q626" s="260"/>
      <c r="R626" s="260"/>
      <c r="S626" s="260"/>
      <c r="T626" s="260"/>
      <c r="U626" s="260"/>
      <c r="V626" s="260"/>
      <c r="W626" s="260"/>
      <c r="X626" s="260"/>
      <c r="Y626" s="260"/>
      <c r="Z626" s="260"/>
    </row>
    <row r="627">
      <c r="A627" s="259"/>
      <c r="B627" s="260"/>
      <c r="C627" s="260"/>
      <c r="D627" s="260"/>
      <c r="E627" s="260"/>
      <c r="F627" s="260"/>
      <c r="G627" s="260"/>
      <c r="H627" s="260"/>
      <c r="I627" s="260"/>
      <c r="J627" s="260"/>
      <c r="K627" s="261" t="s">
        <v>39</v>
      </c>
      <c r="L627" s="261" t="s">
        <v>39</v>
      </c>
      <c r="M627" s="260"/>
      <c r="N627" s="260"/>
      <c r="O627" s="260"/>
      <c r="P627" s="260"/>
      <c r="Q627" s="260"/>
      <c r="R627" s="260"/>
      <c r="S627" s="260"/>
      <c r="T627" s="260"/>
      <c r="U627" s="260"/>
      <c r="V627" s="260"/>
      <c r="W627" s="260"/>
      <c r="X627" s="260"/>
      <c r="Y627" s="260"/>
      <c r="Z627" s="260"/>
    </row>
    <row r="628">
      <c r="A628" s="259"/>
      <c r="B628" s="260"/>
      <c r="C628" s="260"/>
      <c r="D628" s="260"/>
      <c r="E628" s="260"/>
      <c r="F628" s="260"/>
      <c r="G628" s="260"/>
      <c r="H628" s="260"/>
      <c r="I628" s="260"/>
      <c r="J628" s="260"/>
      <c r="K628" s="261" t="s">
        <v>39</v>
      </c>
      <c r="L628" s="261" t="s">
        <v>39</v>
      </c>
      <c r="M628" s="260"/>
      <c r="N628" s="260"/>
      <c r="O628" s="260"/>
      <c r="P628" s="260"/>
      <c r="Q628" s="260"/>
      <c r="R628" s="260"/>
      <c r="S628" s="260"/>
      <c r="T628" s="260"/>
      <c r="U628" s="260"/>
      <c r="V628" s="260"/>
      <c r="W628" s="260"/>
      <c r="X628" s="260"/>
      <c r="Y628" s="260"/>
      <c r="Z628" s="260"/>
    </row>
    <row r="629">
      <c r="A629" s="259"/>
      <c r="B629" s="260"/>
      <c r="C629" s="260"/>
      <c r="D629" s="260"/>
      <c r="E629" s="260"/>
      <c r="F629" s="260"/>
      <c r="G629" s="260"/>
      <c r="H629" s="260"/>
      <c r="I629" s="260"/>
      <c r="J629" s="260"/>
      <c r="K629" s="261" t="s">
        <v>39</v>
      </c>
      <c r="L629" s="261" t="s">
        <v>39</v>
      </c>
      <c r="M629" s="260"/>
      <c r="N629" s="260"/>
      <c r="O629" s="260"/>
      <c r="P629" s="260"/>
      <c r="Q629" s="260"/>
      <c r="R629" s="260"/>
      <c r="S629" s="260"/>
      <c r="T629" s="260"/>
      <c r="U629" s="260"/>
      <c r="V629" s="260"/>
      <c r="W629" s="260"/>
      <c r="X629" s="260"/>
      <c r="Y629" s="260"/>
      <c r="Z629" s="260"/>
    </row>
    <row r="630">
      <c r="A630" s="259"/>
      <c r="B630" s="260"/>
      <c r="C630" s="260"/>
      <c r="D630" s="260"/>
      <c r="E630" s="260"/>
      <c r="F630" s="260"/>
      <c r="G630" s="260"/>
      <c r="H630" s="260"/>
      <c r="I630" s="260"/>
      <c r="J630" s="260"/>
      <c r="K630" s="261" t="s">
        <v>39</v>
      </c>
      <c r="L630" s="261" t="s">
        <v>39</v>
      </c>
      <c r="M630" s="260"/>
      <c r="N630" s="260"/>
      <c r="O630" s="260"/>
      <c r="P630" s="260"/>
      <c r="Q630" s="260"/>
      <c r="R630" s="260"/>
      <c r="S630" s="260"/>
      <c r="T630" s="260"/>
      <c r="U630" s="260"/>
      <c r="V630" s="260"/>
      <c r="W630" s="260"/>
      <c r="X630" s="260"/>
      <c r="Y630" s="260"/>
      <c r="Z630" s="260"/>
    </row>
    <row r="631">
      <c r="A631" s="259"/>
      <c r="B631" s="260"/>
      <c r="C631" s="260"/>
      <c r="D631" s="260"/>
      <c r="E631" s="260"/>
      <c r="F631" s="260"/>
      <c r="G631" s="260"/>
      <c r="H631" s="260"/>
      <c r="I631" s="260"/>
      <c r="J631" s="260"/>
      <c r="K631" s="261" t="s">
        <v>39</v>
      </c>
      <c r="L631" s="261" t="s">
        <v>39</v>
      </c>
      <c r="M631" s="260"/>
      <c r="N631" s="260"/>
      <c r="O631" s="260"/>
      <c r="P631" s="260"/>
      <c r="Q631" s="260"/>
      <c r="R631" s="260"/>
      <c r="S631" s="260"/>
      <c r="T631" s="260"/>
      <c r="U631" s="260"/>
      <c r="V631" s="260"/>
      <c r="W631" s="260"/>
      <c r="X631" s="260"/>
      <c r="Y631" s="260"/>
      <c r="Z631" s="260"/>
    </row>
    <row r="632">
      <c r="A632" s="259"/>
      <c r="B632" s="260"/>
      <c r="C632" s="260"/>
      <c r="D632" s="260"/>
      <c r="E632" s="260"/>
      <c r="F632" s="260"/>
      <c r="G632" s="260"/>
      <c r="H632" s="260"/>
      <c r="I632" s="260"/>
      <c r="J632" s="260"/>
      <c r="K632" s="261" t="s">
        <v>39</v>
      </c>
      <c r="L632" s="261" t="s">
        <v>39</v>
      </c>
      <c r="M632" s="260"/>
      <c r="N632" s="260"/>
      <c r="O632" s="260"/>
      <c r="P632" s="260"/>
      <c r="Q632" s="260"/>
      <c r="R632" s="260"/>
      <c r="S632" s="260"/>
      <c r="T632" s="260"/>
      <c r="U632" s="260"/>
      <c r="V632" s="260"/>
      <c r="W632" s="260"/>
      <c r="X632" s="260"/>
      <c r="Y632" s="260"/>
      <c r="Z632" s="260"/>
    </row>
    <row r="633">
      <c r="A633" s="259"/>
      <c r="B633" s="260"/>
      <c r="C633" s="260"/>
      <c r="D633" s="260"/>
      <c r="E633" s="260"/>
      <c r="F633" s="260"/>
      <c r="G633" s="260"/>
      <c r="H633" s="260"/>
      <c r="I633" s="260"/>
      <c r="J633" s="260"/>
      <c r="K633" s="261" t="s">
        <v>39</v>
      </c>
      <c r="L633" s="261" t="s">
        <v>39</v>
      </c>
      <c r="M633" s="260"/>
      <c r="N633" s="260"/>
      <c r="O633" s="260"/>
      <c r="P633" s="260"/>
      <c r="Q633" s="260"/>
      <c r="R633" s="260"/>
      <c r="S633" s="260"/>
      <c r="T633" s="260"/>
      <c r="U633" s="260"/>
      <c r="V633" s="260"/>
      <c r="W633" s="260"/>
      <c r="X633" s="260"/>
      <c r="Y633" s="260"/>
      <c r="Z633" s="260"/>
    </row>
    <row r="634">
      <c r="A634" s="259"/>
      <c r="B634" s="260"/>
      <c r="C634" s="260"/>
      <c r="D634" s="260"/>
      <c r="E634" s="260"/>
      <c r="F634" s="260"/>
      <c r="G634" s="260"/>
      <c r="H634" s="260"/>
      <c r="I634" s="260"/>
      <c r="J634" s="260"/>
      <c r="K634" s="261" t="s">
        <v>39</v>
      </c>
      <c r="L634" s="261" t="s">
        <v>39</v>
      </c>
      <c r="M634" s="260"/>
      <c r="N634" s="260"/>
      <c r="O634" s="260"/>
      <c r="P634" s="260"/>
      <c r="Q634" s="260"/>
      <c r="R634" s="260"/>
      <c r="S634" s="260"/>
      <c r="T634" s="260"/>
      <c r="U634" s="260"/>
      <c r="V634" s="260"/>
      <c r="W634" s="260"/>
      <c r="X634" s="260"/>
      <c r="Y634" s="260"/>
      <c r="Z634" s="260"/>
    </row>
    <row r="635">
      <c r="A635" s="259"/>
      <c r="B635" s="260"/>
      <c r="C635" s="260"/>
      <c r="D635" s="260"/>
      <c r="E635" s="260"/>
      <c r="F635" s="260"/>
      <c r="G635" s="260"/>
      <c r="H635" s="260"/>
      <c r="I635" s="260"/>
      <c r="J635" s="260"/>
      <c r="K635" s="261" t="s">
        <v>39</v>
      </c>
      <c r="L635" s="261" t="s">
        <v>39</v>
      </c>
      <c r="M635" s="260"/>
      <c r="N635" s="260"/>
      <c r="O635" s="260"/>
      <c r="P635" s="260"/>
      <c r="Q635" s="260"/>
      <c r="R635" s="260"/>
      <c r="S635" s="260"/>
      <c r="T635" s="260"/>
      <c r="U635" s="260"/>
      <c r="V635" s="260"/>
      <c r="W635" s="260"/>
      <c r="X635" s="260"/>
      <c r="Y635" s="260"/>
      <c r="Z635" s="260"/>
    </row>
    <row r="636">
      <c r="A636" s="259"/>
      <c r="B636" s="260"/>
      <c r="C636" s="260"/>
      <c r="D636" s="260"/>
      <c r="E636" s="260"/>
      <c r="F636" s="260"/>
      <c r="G636" s="260"/>
      <c r="H636" s="260"/>
      <c r="I636" s="260"/>
      <c r="J636" s="260"/>
      <c r="K636" s="261" t="s">
        <v>39</v>
      </c>
      <c r="L636" s="261" t="s">
        <v>39</v>
      </c>
      <c r="M636" s="260"/>
      <c r="N636" s="260"/>
      <c r="O636" s="260"/>
      <c r="P636" s="260"/>
      <c r="Q636" s="260"/>
      <c r="R636" s="260"/>
      <c r="S636" s="260"/>
      <c r="T636" s="260"/>
      <c r="U636" s="260"/>
      <c r="V636" s="260"/>
      <c r="W636" s="260"/>
      <c r="X636" s="260"/>
      <c r="Y636" s="260"/>
      <c r="Z636" s="260"/>
    </row>
    <row r="637">
      <c r="A637" s="259"/>
      <c r="B637" s="260"/>
      <c r="C637" s="260"/>
      <c r="D637" s="260"/>
      <c r="E637" s="260"/>
      <c r="F637" s="260"/>
      <c r="G637" s="260"/>
      <c r="H637" s="260"/>
      <c r="I637" s="260"/>
      <c r="J637" s="260"/>
      <c r="K637" s="261" t="s">
        <v>39</v>
      </c>
      <c r="L637" s="261" t="s">
        <v>39</v>
      </c>
      <c r="M637" s="260"/>
      <c r="N637" s="260"/>
      <c r="O637" s="260"/>
      <c r="P637" s="260"/>
      <c r="Q637" s="260"/>
      <c r="R637" s="260"/>
      <c r="S637" s="260"/>
      <c r="T637" s="260"/>
      <c r="U637" s="260"/>
      <c r="V637" s="260"/>
      <c r="W637" s="260"/>
      <c r="X637" s="260"/>
      <c r="Y637" s="260"/>
      <c r="Z637" s="260"/>
    </row>
    <row r="638">
      <c r="A638" s="259"/>
      <c r="B638" s="260"/>
      <c r="C638" s="260"/>
      <c r="D638" s="260"/>
      <c r="E638" s="260"/>
      <c r="F638" s="260"/>
      <c r="G638" s="260"/>
      <c r="H638" s="260"/>
      <c r="I638" s="260"/>
      <c r="J638" s="260"/>
      <c r="K638" s="261" t="s">
        <v>39</v>
      </c>
      <c r="L638" s="261" t="s">
        <v>39</v>
      </c>
      <c r="M638" s="260"/>
      <c r="N638" s="260"/>
      <c r="O638" s="260"/>
      <c r="P638" s="260"/>
      <c r="Q638" s="260"/>
      <c r="R638" s="260"/>
      <c r="S638" s="260"/>
      <c r="T638" s="260"/>
      <c r="U638" s="260"/>
      <c r="V638" s="260"/>
      <c r="W638" s="260"/>
      <c r="X638" s="260"/>
      <c r="Y638" s="260"/>
      <c r="Z638" s="260"/>
    </row>
    <row r="639">
      <c r="A639" s="259"/>
      <c r="B639" s="260"/>
      <c r="C639" s="260"/>
      <c r="D639" s="260"/>
      <c r="E639" s="260"/>
      <c r="F639" s="260"/>
      <c r="G639" s="260"/>
      <c r="H639" s="260"/>
      <c r="I639" s="260"/>
      <c r="J639" s="260"/>
      <c r="K639" s="261" t="s">
        <v>39</v>
      </c>
      <c r="L639" s="261" t="s">
        <v>39</v>
      </c>
      <c r="M639" s="260"/>
      <c r="N639" s="260"/>
      <c r="O639" s="260"/>
      <c r="P639" s="260"/>
      <c r="Q639" s="260"/>
      <c r="R639" s="260"/>
      <c r="S639" s="260"/>
      <c r="T639" s="260"/>
      <c r="U639" s="260"/>
      <c r="V639" s="260"/>
      <c r="W639" s="260"/>
      <c r="X639" s="260"/>
      <c r="Y639" s="260"/>
      <c r="Z639" s="260"/>
    </row>
    <row r="640">
      <c r="A640" s="259"/>
      <c r="B640" s="260"/>
      <c r="C640" s="260"/>
      <c r="D640" s="260"/>
      <c r="E640" s="260"/>
      <c r="F640" s="260"/>
      <c r="G640" s="260"/>
      <c r="H640" s="260"/>
      <c r="I640" s="260"/>
      <c r="J640" s="260"/>
      <c r="K640" s="261" t="s">
        <v>39</v>
      </c>
      <c r="L640" s="261" t="s">
        <v>39</v>
      </c>
      <c r="M640" s="260"/>
      <c r="N640" s="260"/>
      <c r="O640" s="260"/>
      <c r="P640" s="260"/>
      <c r="Q640" s="260"/>
      <c r="R640" s="260"/>
      <c r="S640" s="260"/>
      <c r="T640" s="260"/>
      <c r="U640" s="260"/>
      <c r="V640" s="260"/>
      <c r="W640" s="260"/>
      <c r="X640" s="260"/>
      <c r="Y640" s="260"/>
      <c r="Z640" s="260"/>
    </row>
    <row r="641">
      <c r="A641" s="259"/>
      <c r="B641" s="260"/>
      <c r="C641" s="260"/>
      <c r="D641" s="260"/>
      <c r="E641" s="260"/>
      <c r="F641" s="260"/>
      <c r="G641" s="260"/>
      <c r="H641" s="260"/>
      <c r="I641" s="260"/>
      <c r="J641" s="260"/>
      <c r="K641" s="261" t="s">
        <v>39</v>
      </c>
      <c r="L641" s="261" t="s">
        <v>39</v>
      </c>
      <c r="M641" s="260"/>
      <c r="N641" s="260"/>
      <c r="O641" s="260"/>
      <c r="P641" s="260"/>
      <c r="Q641" s="260"/>
      <c r="R641" s="260"/>
      <c r="S641" s="260"/>
      <c r="T641" s="260"/>
      <c r="U641" s="260"/>
      <c r="V641" s="260"/>
      <c r="W641" s="260"/>
      <c r="X641" s="260"/>
      <c r="Y641" s="260"/>
      <c r="Z641" s="260"/>
    </row>
    <row r="642">
      <c r="A642" s="259"/>
      <c r="B642" s="260"/>
      <c r="C642" s="260"/>
      <c r="D642" s="260"/>
      <c r="E642" s="260"/>
      <c r="F642" s="260"/>
      <c r="G642" s="260"/>
      <c r="H642" s="260"/>
      <c r="I642" s="260"/>
      <c r="J642" s="260"/>
      <c r="K642" s="261" t="s">
        <v>39</v>
      </c>
      <c r="L642" s="261" t="s">
        <v>39</v>
      </c>
      <c r="M642" s="260"/>
      <c r="N642" s="260"/>
      <c r="O642" s="260"/>
      <c r="P642" s="260"/>
      <c r="Q642" s="260"/>
      <c r="R642" s="260"/>
      <c r="S642" s="260"/>
      <c r="T642" s="260"/>
      <c r="U642" s="260"/>
      <c r="V642" s="260"/>
      <c r="W642" s="260"/>
      <c r="X642" s="260"/>
      <c r="Y642" s="260"/>
      <c r="Z642" s="260"/>
    </row>
    <row r="643">
      <c r="A643" s="259"/>
      <c r="B643" s="260"/>
      <c r="C643" s="260"/>
      <c r="D643" s="260"/>
      <c r="E643" s="260"/>
      <c r="F643" s="260"/>
      <c r="G643" s="260"/>
      <c r="H643" s="260"/>
      <c r="I643" s="260"/>
      <c r="J643" s="260"/>
      <c r="K643" s="261" t="s">
        <v>39</v>
      </c>
      <c r="L643" s="261" t="s">
        <v>39</v>
      </c>
      <c r="M643" s="260"/>
      <c r="N643" s="260"/>
      <c r="O643" s="260"/>
      <c r="P643" s="260"/>
      <c r="Q643" s="260"/>
      <c r="R643" s="260"/>
      <c r="S643" s="260"/>
      <c r="T643" s="260"/>
      <c r="U643" s="260"/>
      <c r="V643" s="260"/>
      <c r="W643" s="260"/>
      <c r="X643" s="260"/>
      <c r="Y643" s="260"/>
      <c r="Z643" s="260"/>
    </row>
    <row r="644">
      <c r="A644" s="259"/>
      <c r="B644" s="260"/>
      <c r="C644" s="260"/>
      <c r="D644" s="260"/>
      <c r="E644" s="260"/>
      <c r="F644" s="260"/>
      <c r="G644" s="260"/>
      <c r="H644" s="260"/>
      <c r="I644" s="260"/>
      <c r="J644" s="260"/>
      <c r="K644" s="261" t="s">
        <v>39</v>
      </c>
      <c r="L644" s="261" t="s">
        <v>39</v>
      </c>
      <c r="M644" s="260"/>
      <c r="N644" s="260"/>
      <c r="O644" s="260"/>
      <c r="P644" s="260"/>
      <c r="Q644" s="260"/>
      <c r="R644" s="260"/>
      <c r="S644" s="260"/>
      <c r="T644" s="260"/>
      <c r="U644" s="260"/>
      <c r="V644" s="260"/>
      <c r="W644" s="260"/>
      <c r="X644" s="260"/>
      <c r="Y644" s="260"/>
      <c r="Z644" s="260"/>
    </row>
    <row r="645">
      <c r="A645" s="259"/>
      <c r="B645" s="260"/>
      <c r="C645" s="260"/>
      <c r="D645" s="260"/>
      <c r="E645" s="260"/>
      <c r="F645" s="260"/>
      <c r="G645" s="260"/>
      <c r="H645" s="260"/>
      <c r="I645" s="260"/>
      <c r="J645" s="260"/>
      <c r="K645" s="261" t="s">
        <v>39</v>
      </c>
      <c r="L645" s="261" t="s">
        <v>39</v>
      </c>
      <c r="M645" s="260"/>
      <c r="N645" s="260"/>
      <c r="O645" s="260"/>
      <c r="P645" s="260"/>
      <c r="Q645" s="260"/>
      <c r="R645" s="260"/>
      <c r="S645" s="260"/>
      <c r="T645" s="260"/>
      <c r="U645" s="260"/>
      <c r="V645" s="260"/>
      <c r="W645" s="260"/>
      <c r="X645" s="260"/>
      <c r="Y645" s="260"/>
      <c r="Z645" s="260"/>
    </row>
    <row r="646">
      <c r="A646" s="259"/>
      <c r="B646" s="260"/>
      <c r="C646" s="260"/>
      <c r="D646" s="260"/>
      <c r="E646" s="260"/>
      <c r="F646" s="260"/>
      <c r="G646" s="260"/>
      <c r="H646" s="260"/>
      <c r="I646" s="260"/>
      <c r="J646" s="260"/>
      <c r="K646" s="261" t="s">
        <v>39</v>
      </c>
      <c r="L646" s="261" t="s">
        <v>39</v>
      </c>
      <c r="M646" s="260"/>
      <c r="N646" s="260"/>
      <c r="O646" s="260"/>
      <c r="P646" s="260"/>
      <c r="Q646" s="260"/>
      <c r="R646" s="260"/>
      <c r="S646" s="260"/>
      <c r="T646" s="260"/>
      <c r="U646" s="260"/>
      <c r="V646" s="260"/>
      <c r="W646" s="260"/>
      <c r="X646" s="260"/>
      <c r="Y646" s="260"/>
      <c r="Z646" s="260"/>
    </row>
    <row r="647">
      <c r="A647" s="259"/>
      <c r="B647" s="260"/>
      <c r="C647" s="260"/>
      <c r="D647" s="260"/>
      <c r="E647" s="260"/>
      <c r="F647" s="260"/>
      <c r="G647" s="260"/>
      <c r="H647" s="260"/>
      <c r="I647" s="260"/>
      <c r="J647" s="260"/>
      <c r="K647" s="261" t="s">
        <v>39</v>
      </c>
      <c r="L647" s="261" t="s">
        <v>39</v>
      </c>
      <c r="M647" s="260"/>
      <c r="N647" s="260"/>
      <c r="O647" s="260"/>
      <c r="P647" s="260"/>
      <c r="Q647" s="260"/>
      <c r="R647" s="260"/>
      <c r="S647" s="260"/>
      <c r="T647" s="260"/>
      <c r="U647" s="260"/>
      <c r="V647" s="260"/>
      <c r="W647" s="260"/>
      <c r="X647" s="260"/>
      <c r="Y647" s="260"/>
      <c r="Z647" s="260"/>
    </row>
    <row r="648">
      <c r="A648" s="259"/>
      <c r="B648" s="260"/>
      <c r="C648" s="260"/>
      <c r="D648" s="260"/>
      <c r="E648" s="260"/>
      <c r="F648" s="260"/>
      <c r="G648" s="260"/>
      <c r="H648" s="260"/>
      <c r="I648" s="260"/>
      <c r="J648" s="260"/>
      <c r="K648" s="261" t="s">
        <v>39</v>
      </c>
      <c r="L648" s="261" t="s">
        <v>39</v>
      </c>
      <c r="M648" s="260"/>
      <c r="N648" s="260"/>
      <c r="O648" s="260"/>
      <c r="P648" s="260"/>
      <c r="Q648" s="260"/>
      <c r="R648" s="260"/>
      <c r="S648" s="260"/>
      <c r="T648" s="260"/>
      <c r="U648" s="260"/>
      <c r="V648" s="260"/>
      <c r="W648" s="260"/>
      <c r="X648" s="260"/>
      <c r="Y648" s="260"/>
      <c r="Z648" s="260"/>
    </row>
    <row r="649">
      <c r="A649" s="259"/>
      <c r="B649" s="260"/>
      <c r="C649" s="260"/>
      <c r="D649" s="260"/>
      <c r="E649" s="260"/>
      <c r="F649" s="260"/>
      <c r="G649" s="260"/>
      <c r="H649" s="260"/>
      <c r="I649" s="260"/>
      <c r="J649" s="260"/>
      <c r="K649" s="261" t="s">
        <v>39</v>
      </c>
      <c r="L649" s="261" t="s">
        <v>39</v>
      </c>
      <c r="M649" s="260"/>
      <c r="N649" s="260"/>
      <c r="O649" s="260"/>
      <c r="P649" s="260"/>
      <c r="Q649" s="260"/>
      <c r="R649" s="260"/>
      <c r="S649" s="260"/>
      <c r="T649" s="260"/>
      <c r="U649" s="260"/>
      <c r="V649" s="260"/>
      <c r="W649" s="260"/>
      <c r="X649" s="260"/>
      <c r="Y649" s="260"/>
      <c r="Z649" s="260"/>
    </row>
    <row r="650">
      <c r="A650" s="259"/>
      <c r="B650" s="260"/>
      <c r="C650" s="260"/>
      <c r="D650" s="260"/>
      <c r="E650" s="260"/>
      <c r="F650" s="260"/>
      <c r="G650" s="260"/>
      <c r="H650" s="260"/>
      <c r="I650" s="260"/>
      <c r="J650" s="260"/>
      <c r="K650" s="261" t="s">
        <v>39</v>
      </c>
      <c r="L650" s="261" t="s">
        <v>39</v>
      </c>
      <c r="M650" s="260"/>
      <c r="N650" s="260"/>
      <c r="O650" s="260"/>
      <c r="P650" s="260"/>
      <c r="Q650" s="260"/>
      <c r="R650" s="260"/>
      <c r="S650" s="260"/>
      <c r="T650" s="260"/>
      <c r="U650" s="260"/>
      <c r="V650" s="260"/>
      <c r="W650" s="260"/>
      <c r="X650" s="260"/>
      <c r="Y650" s="260"/>
      <c r="Z650" s="260"/>
    </row>
    <row r="651">
      <c r="A651" s="259"/>
      <c r="B651" s="260"/>
      <c r="C651" s="260"/>
      <c r="D651" s="260"/>
      <c r="E651" s="260"/>
      <c r="F651" s="260"/>
      <c r="G651" s="260"/>
      <c r="H651" s="260"/>
      <c r="I651" s="260"/>
      <c r="J651" s="260"/>
      <c r="K651" s="261" t="s">
        <v>39</v>
      </c>
      <c r="L651" s="261" t="s">
        <v>39</v>
      </c>
      <c r="M651" s="260"/>
      <c r="N651" s="260"/>
      <c r="O651" s="260"/>
      <c r="P651" s="260"/>
      <c r="Q651" s="260"/>
      <c r="R651" s="260"/>
      <c r="S651" s="260"/>
      <c r="T651" s="260"/>
      <c r="U651" s="260"/>
      <c r="V651" s="260"/>
      <c r="W651" s="260"/>
      <c r="X651" s="260"/>
      <c r="Y651" s="260"/>
      <c r="Z651" s="260"/>
    </row>
    <row r="652">
      <c r="A652" s="259"/>
      <c r="B652" s="260"/>
      <c r="C652" s="260"/>
      <c r="D652" s="260"/>
      <c r="E652" s="260"/>
      <c r="F652" s="260"/>
      <c r="G652" s="260"/>
      <c r="H652" s="260"/>
      <c r="I652" s="260"/>
      <c r="J652" s="260"/>
      <c r="K652" s="261" t="s">
        <v>39</v>
      </c>
      <c r="L652" s="261" t="s">
        <v>39</v>
      </c>
      <c r="M652" s="260"/>
      <c r="N652" s="260"/>
      <c r="O652" s="260"/>
      <c r="P652" s="260"/>
      <c r="Q652" s="260"/>
      <c r="R652" s="260"/>
      <c r="S652" s="260"/>
      <c r="T652" s="260"/>
      <c r="U652" s="260"/>
      <c r="V652" s="260"/>
      <c r="W652" s="260"/>
      <c r="X652" s="260"/>
      <c r="Y652" s="260"/>
      <c r="Z652" s="260"/>
    </row>
    <row r="653">
      <c r="A653" s="259"/>
      <c r="B653" s="260"/>
      <c r="C653" s="260"/>
      <c r="D653" s="260"/>
      <c r="E653" s="260"/>
      <c r="F653" s="260"/>
      <c r="G653" s="260"/>
      <c r="H653" s="260"/>
      <c r="I653" s="260"/>
      <c r="J653" s="260"/>
      <c r="K653" s="261" t="s">
        <v>39</v>
      </c>
      <c r="L653" s="261" t="s">
        <v>39</v>
      </c>
      <c r="M653" s="260"/>
      <c r="N653" s="260"/>
      <c r="O653" s="260"/>
      <c r="P653" s="260"/>
      <c r="Q653" s="260"/>
      <c r="R653" s="260"/>
      <c r="S653" s="260"/>
      <c r="T653" s="260"/>
      <c r="U653" s="260"/>
      <c r="V653" s="260"/>
      <c r="W653" s="260"/>
      <c r="X653" s="260"/>
      <c r="Y653" s="260"/>
      <c r="Z653" s="260"/>
    </row>
    <row r="654">
      <c r="A654" s="259"/>
      <c r="B654" s="260"/>
      <c r="C654" s="260"/>
      <c r="D654" s="260"/>
      <c r="E654" s="260"/>
      <c r="F654" s="260"/>
      <c r="G654" s="260"/>
      <c r="H654" s="260"/>
      <c r="I654" s="260"/>
      <c r="J654" s="260"/>
      <c r="K654" s="261" t="s">
        <v>39</v>
      </c>
      <c r="L654" s="261" t="s">
        <v>39</v>
      </c>
      <c r="M654" s="260"/>
      <c r="N654" s="260"/>
      <c r="O654" s="260"/>
      <c r="P654" s="260"/>
      <c r="Q654" s="260"/>
      <c r="R654" s="260"/>
      <c r="S654" s="260"/>
      <c r="T654" s="260"/>
      <c r="U654" s="260"/>
      <c r="V654" s="260"/>
      <c r="W654" s="260"/>
      <c r="X654" s="260"/>
      <c r="Y654" s="260"/>
      <c r="Z654" s="260"/>
    </row>
    <row r="655">
      <c r="A655" s="259"/>
      <c r="B655" s="260"/>
      <c r="C655" s="260"/>
      <c r="D655" s="260"/>
      <c r="E655" s="260"/>
      <c r="F655" s="260"/>
      <c r="G655" s="260"/>
      <c r="H655" s="260"/>
      <c r="I655" s="260"/>
      <c r="J655" s="260"/>
      <c r="K655" s="261" t="s">
        <v>39</v>
      </c>
      <c r="L655" s="261" t="s">
        <v>39</v>
      </c>
      <c r="M655" s="260"/>
      <c r="N655" s="260"/>
      <c r="O655" s="260"/>
      <c r="P655" s="260"/>
      <c r="Q655" s="260"/>
      <c r="R655" s="260"/>
      <c r="S655" s="260"/>
      <c r="T655" s="260"/>
      <c r="U655" s="260"/>
      <c r="V655" s="260"/>
      <c r="W655" s="260"/>
      <c r="X655" s="260"/>
      <c r="Y655" s="260"/>
      <c r="Z655" s="260"/>
    </row>
    <row r="656">
      <c r="A656" s="259"/>
      <c r="B656" s="260"/>
      <c r="C656" s="260"/>
      <c r="D656" s="260"/>
      <c r="E656" s="260"/>
      <c r="F656" s="260"/>
      <c r="G656" s="260"/>
      <c r="H656" s="260"/>
      <c r="I656" s="260"/>
      <c r="J656" s="260"/>
      <c r="K656" s="261" t="s">
        <v>39</v>
      </c>
      <c r="L656" s="261" t="s">
        <v>39</v>
      </c>
      <c r="M656" s="260"/>
      <c r="N656" s="260"/>
      <c r="O656" s="260"/>
      <c r="P656" s="260"/>
      <c r="Q656" s="260"/>
      <c r="R656" s="260"/>
      <c r="S656" s="260"/>
      <c r="T656" s="260"/>
      <c r="U656" s="260"/>
      <c r="V656" s="260"/>
      <c r="W656" s="260"/>
      <c r="X656" s="260"/>
      <c r="Y656" s="260"/>
      <c r="Z656" s="260"/>
    </row>
    <row r="657">
      <c r="A657" s="259"/>
      <c r="B657" s="260"/>
      <c r="C657" s="260"/>
      <c r="D657" s="260"/>
      <c r="E657" s="260"/>
      <c r="F657" s="260"/>
      <c r="G657" s="260"/>
      <c r="H657" s="260"/>
      <c r="I657" s="260"/>
      <c r="J657" s="260"/>
      <c r="K657" s="261" t="s">
        <v>39</v>
      </c>
      <c r="L657" s="261" t="s">
        <v>39</v>
      </c>
      <c r="M657" s="260"/>
      <c r="N657" s="260"/>
      <c r="O657" s="260"/>
      <c r="P657" s="260"/>
      <c r="Q657" s="260"/>
      <c r="R657" s="260"/>
      <c r="S657" s="260"/>
      <c r="T657" s="260"/>
      <c r="U657" s="260"/>
      <c r="V657" s="260"/>
      <c r="W657" s="260"/>
      <c r="X657" s="260"/>
      <c r="Y657" s="260"/>
      <c r="Z657" s="260"/>
    </row>
    <row r="658">
      <c r="A658" s="259"/>
      <c r="B658" s="260"/>
      <c r="C658" s="260"/>
      <c r="D658" s="260"/>
      <c r="E658" s="260"/>
      <c r="F658" s="260"/>
      <c r="G658" s="260"/>
      <c r="H658" s="260"/>
      <c r="I658" s="260"/>
      <c r="J658" s="260"/>
      <c r="K658" s="261" t="s">
        <v>39</v>
      </c>
      <c r="L658" s="261" t="s">
        <v>39</v>
      </c>
      <c r="M658" s="260"/>
      <c r="N658" s="260"/>
      <c r="O658" s="260"/>
      <c r="P658" s="260"/>
      <c r="Q658" s="260"/>
      <c r="R658" s="260"/>
      <c r="S658" s="260"/>
      <c r="T658" s="260"/>
      <c r="U658" s="260"/>
      <c r="V658" s="260"/>
      <c r="W658" s="260"/>
      <c r="X658" s="260"/>
      <c r="Y658" s="260"/>
      <c r="Z658" s="260"/>
    </row>
    <row r="659">
      <c r="A659" s="259"/>
      <c r="B659" s="260"/>
      <c r="C659" s="260"/>
      <c r="D659" s="260"/>
      <c r="E659" s="260"/>
      <c r="F659" s="260"/>
      <c r="G659" s="260"/>
      <c r="H659" s="260"/>
      <c r="I659" s="260"/>
      <c r="J659" s="260"/>
      <c r="K659" s="261" t="s">
        <v>39</v>
      </c>
      <c r="L659" s="261" t="s">
        <v>39</v>
      </c>
      <c r="M659" s="260"/>
      <c r="N659" s="260"/>
      <c r="O659" s="260"/>
      <c r="P659" s="260"/>
      <c r="Q659" s="260"/>
      <c r="R659" s="260"/>
      <c r="S659" s="260"/>
      <c r="T659" s="260"/>
      <c r="U659" s="260"/>
      <c r="V659" s="260"/>
      <c r="W659" s="260"/>
      <c r="X659" s="260"/>
      <c r="Y659" s="260"/>
      <c r="Z659" s="260"/>
    </row>
    <row r="660">
      <c r="A660" s="259"/>
      <c r="B660" s="260"/>
      <c r="C660" s="260"/>
      <c r="D660" s="260"/>
      <c r="E660" s="260"/>
      <c r="F660" s="260"/>
      <c r="G660" s="260"/>
      <c r="H660" s="260"/>
      <c r="I660" s="260"/>
      <c r="J660" s="260"/>
      <c r="K660" s="261" t="s">
        <v>39</v>
      </c>
      <c r="L660" s="261" t="s">
        <v>39</v>
      </c>
      <c r="M660" s="260"/>
      <c r="N660" s="260"/>
      <c r="O660" s="260"/>
      <c r="P660" s="260"/>
      <c r="Q660" s="260"/>
      <c r="R660" s="260"/>
      <c r="S660" s="260"/>
      <c r="T660" s="260"/>
      <c r="U660" s="260"/>
      <c r="V660" s="260"/>
      <c r="W660" s="260"/>
      <c r="X660" s="260"/>
      <c r="Y660" s="260"/>
      <c r="Z660" s="260"/>
    </row>
    <row r="661">
      <c r="A661" s="259"/>
      <c r="B661" s="260"/>
      <c r="C661" s="260"/>
      <c r="D661" s="260"/>
      <c r="E661" s="260"/>
      <c r="F661" s="260"/>
      <c r="G661" s="260"/>
      <c r="H661" s="260"/>
      <c r="I661" s="260"/>
      <c r="J661" s="260"/>
      <c r="K661" s="261" t="s">
        <v>39</v>
      </c>
      <c r="L661" s="261" t="s">
        <v>39</v>
      </c>
      <c r="M661" s="260"/>
      <c r="N661" s="260"/>
      <c r="O661" s="260"/>
      <c r="P661" s="260"/>
      <c r="Q661" s="260"/>
      <c r="R661" s="260"/>
      <c r="S661" s="260"/>
      <c r="T661" s="260"/>
      <c r="U661" s="260"/>
      <c r="V661" s="260"/>
      <c r="W661" s="260"/>
      <c r="X661" s="260"/>
      <c r="Y661" s="260"/>
      <c r="Z661" s="260"/>
    </row>
    <row r="662">
      <c r="A662" s="259"/>
      <c r="B662" s="260"/>
      <c r="C662" s="260"/>
      <c r="D662" s="260"/>
      <c r="E662" s="260"/>
      <c r="F662" s="260"/>
      <c r="G662" s="260"/>
      <c r="H662" s="260"/>
      <c r="I662" s="260"/>
      <c r="J662" s="260"/>
      <c r="K662" s="261" t="s">
        <v>39</v>
      </c>
      <c r="L662" s="261" t="s">
        <v>39</v>
      </c>
      <c r="M662" s="260"/>
      <c r="N662" s="260"/>
      <c r="O662" s="260"/>
      <c r="P662" s="260"/>
      <c r="Q662" s="260"/>
      <c r="R662" s="260"/>
      <c r="S662" s="260"/>
      <c r="T662" s="260"/>
      <c r="U662" s="260"/>
      <c r="V662" s="260"/>
      <c r="W662" s="260"/>
      <c r="X662" s="260"/>
      <c r="Y662" s="260"/>
      <c r="Z662" s="260"/>
    </row>
    <row r="663">
      <c r="A663" s="259"/>
      <c r="B663" s="260"/>
      <c r="C663" s="260"/>
      <c r="D663" s="260"/>
      <c r="E663" s="260"/>
      <c r="F663" s="260"/>
      <c r="G663" s="260"/>
      <c r="H663" s="260"/>
      <c r="I663" s="260"/>
      <c r="J663" s="260"/>
      <c r="K663" s="261" t="s">
        <v>39</v>
      </c>
      <c r="L663" s="261" t="s">
        <v>39</v>
      </c>
      <c r="M663" s="260"/>
      <c r="N663" s="260"/>
      <c r="O663" s="260"/>
      <c r="P663" s="260"/>
      <c r="Q663" s="260"/>
      <c r="R663" s="260"/>
      <c r="S663" s="260"/>
      <c r="T663" s="260"/>
      <c r="U663" s="260"/>
      <c r="V663" s="260"/>
      <c r="W663" s="260"/>
      <c r="X663" s="260"/>
      <c r="Y663" s="260"/>
      <c r="Z663" s="260"/>
    </row>
    <row r="664">
      <c r="A664" s="259"/>
      <c r="B664" s="260"/>
      <c r="C664" s="260"/>
      <c r="D664" s="260"/>
      <c r="E664" s="260"/>
      <c r="F664" s="260"/>
      <c r="G664" s="260"/>
      <c r="H664" s="260"/>
      <c r="I664" s="260"/>
      <c r="J664" s="260"/>
      <c r="K664" s="261" t="s">
        <v>39</v>
      </c>
      <c r="L664" s="261" t="s">
        <v>39</v>
      </c>
      <c r="M664" s="260"/>
      <c r="N664" s="260"/>
      <c r="O664" s="260"/>
      <c r="P664" s="260"/>
      <c r="Q664" s="260"/>
      <c r="R664" s="260"/>
      <c r="S664" s="260"/>
      <c r="T664" s="260"/>
      <c r="U664" s="260"/>
      <c r="V664" s="260"/>
      <c r="W664" s="260"/>
      <c r="X664" s="260"/>
      <c r="Y664" s="260"/>
      <c r="Z664" s="260"/>
    </row>
    <row r="665">
      <c r="A665" s="259"/>
      <c r="B665" s="260"/>
      <c r="C665" s="260"/>
      <c r="D665" s="260"/>
      <c r="E665" s="260"/>
      <c r="F665" s="260"/>
      <c r="G665" s="260"/>
      <c r="H665" s="260"/>
      <c r="I665" s="260"/>
      <c r="J665" s="260"/>
      <c r="K665" s="261" t="s">
        <v>39</v>
      </c>
      <c r="L665" s="261" t="s">
        <v>39</v>
      </c>
      <c r="M665" s="260"/>
      <c r="N665" s="260"/>
      <c r="O665" s="260"/>
      <c r="P665" s="260"/>
      <c r="Q665" s="260"/>
      <c r="R665" s="260"/>
      <c r="S665" s="260"/>
      <c r="T665" s="260"/>
      <c r="U665" s="260"/>
      <c r="V665" s="260"/>
      <c r="W665" s="260"/>
      <c r="X665" s="260"/>
      <c r="Y665" s="260"/>
      <c r="Z665" s="260"/>
    </row>
    <row r="666">
      <c r="A666" s="259"/>
      <c r="B666" s="260"/>
      <c r="C666" s="260"/>
      <c r="D666" s="260"/>
      <c r="E666" s="260"/>
      <c r="F666" s="260"/>
      <c r="G666" s="260"/>
      <c r="H666" s="260"/>
      <c r="I666" s="260"/>
      <c r="J666" s="260"/>
      <c r="K666" s="261" t="s">
        <v>39</v>
      </c>
      <c r="L666" s="261" t="s">
        <v>39</v>
      </c>
      <c r="M666" s="260"/>
      <c r="N666" s="260"/>
      <c r="O666" s="260"/>
      <c r="P666" s="260"/>
      <c r="Q666" s="260"/>
      <c r="R666" s="260"/>
      <c r="S666" s="260"/>
      <c r="T666" s="260"/>
      <c r="U666" s="260"/>
      <c r="V666" s="260"/>
      <c r="W666" s="260"/>
      <c r="X666" s="260"/>
      <c r="Y666" s="260"/>
      <c r="Z666" s="260"/>
    </row>
    <row r="667">
      <c r="A667" s="259"/>
      <c r="B667" s="260"/>
      <c r="C667" s="260"/>
      <c r="D667" s="260"/>
      <c r="E667" s="260"/>
      <c r="F667" s="260"/>
      <c r="G667" s="260"/>
      <c r="H667" s="260"/>
      <c r="I667" s="260"/>
      <c r="J667" s="260"/>
      <c r="K667" s="261" t="s">
        <v>39</v>
      </c>
      <c r="L667" s="261" t="s">
        <v>39</v>
      </c>
      <c r="M667" s="260"/>
      <c r="N667" s="260"/>
      <c r="O667" s="260"/>
      <c r="P667" s="260"/>
      <c r="Q667" s="260"/>
      <c r="R667" s="260"/>
      <c r="S667" s="260"/>
      <c r="T667" s="260"/>
      <c r="U667" s="260"/>
      <c r="V667" s="260"/>
      <c r="W667" s="260"/>
      <c r="X667" s="260"/>
      <c r="Y667" s="260"/>
      <c r="Z667" s="260"/>
    </row>
    <row r="668">
      <c r="A668" s="259"/>
      <c r="B668" s="260"/>
      <c r="C668" s="260"/>
      <c r="D668" s="260"/>
      <c r="E668" s="260"/>
      <c r="F668" s="260"/>
      <c r="G668" s="260"/>
      <c r="H668" s="260"/>
      <c r="I668" s="260"/>
      <c r="J668" s="260"/>
      <c r="K668" s="261" t="s">
        <v>39</v>
      </c>
      <c r="L668" s="261" t="s">
        <v>39</v>
      </c>
      <c r="M668" s="260"/>
      <c r="N668" s="260"/>
      <c r="O668" s="260"/>
      <c r="P668" s="260"/>
      <c r="Q668" s="260"/>
      <c r="R668" s="260"/>
      <c r="S668" s="260"/>
      <c r="T668" s="260"/>
      <c r="U668" s="260"/>
      <c r="V668" s="260"/>
      <c r="W668" s="260"/>
      <c r="X668" s="260"/>
      <c r="Y668" s="260"/>
      <c r="Z668" s="260"/>
    </row>
    <row r="669">
      <c r="A669" s="259"/>
      <c r="B669" s="260"/>
      <c r="C669" s="260"/>
      <c r="D669" s="260"/>
      <c r="E669" s="260"/>
      <c r="F669" s="260"/>
      <c r="G669" s="260"/>
      <c r="H669" s="260"/>
      <c r="I669" s="260"/>
      <c r="J669" s="260"/>
      <c r="K669" s="261" t="s">
        <v>39</v>
      </c>
      <c r="L669" s="261" t="s">
        <v>39</v>
      </c>
      <c r="M669" s="260"/>
      <c r="N669" s="260"/>
      <c r="O669" s="260"/>
      <c r="P669" s="260"/>
      <c r="Q669" s="260"/>
      <c r="R669" s="260"/>
      <c r="S669" s="260"/>
      <c r="T669" s="260"/>
      <c r="U669" s="260"/>
      <c r="V669" s="260"/>
      <c r="W669" s="260"/>
      <c r="X669" s="260"/>
      <c r="Y669" s="260"/>
      <c r="Z669" s="260"/>
    </row>
    <row r="670">
      <c r="A670" s="259"/>
      <c r="B670" s="260"/>
      <c r="C670" s="260"/>
      <c r="D670" s="260"/>
      <c r="E670" s="260"/>
      <c r="F670" s="260"/>
      <c r="G670" s="260"/>
      <c r="H670" s="260"/>
      <c r="I670" s="260"/>
      <c r="J670" s="260"/>
      <c r="K670" s="261" t="s">
        <v>39</v>
      </c>
      <c r="L670" s="261" t="s">
        <v>39</v>
      </c>
      <c r="M670" s="260"/>
      <c r="N670" s="260"/>
      <c r="O670" s="260"/>
      <c r="P670" s="260"/>
      <c r="Q670" s="260"/>
      <c r="R670" s="260"/>
      <c r="S670" s="260"/>
      <c r="T670" s="260"/>
      <c r="U670" s="260"/>
      <c r="V670" s="260"/>
      <c r="W670" s="260"/>
      <c r="X670" s="260"/>
      <c r="Y670" s="260"/>
      <c r="Z670" s="260"/>
    </row>
    <row r="671">
      <c r="A671" s="259"/>
      <c r="B671" s="260"/>
      <c r="C671" s="260"/>
      <c r="D671" s="260"/>
      <c r="E671" s="260"/>
      <c r="F671" s="260"/>
      <c r="G671" s="260"/>
      <c r="H671" s="260"/>
      <c r="I671" s="260"/>
      <c r="J671" s="260"/>
      <c r="K671" s="261" t="s">
        <v>39</v>
      </c>
      <c r="L671" s="261" t="s">
        <v>39</v>
      </c>
      <c r="M671" s="260"/>
      <c r="N671" s="260"/>
      <c r="O671" s="260"/>
      <c r="P671" s="260"/>
      <c r="Q671" s="260"/>
      <c r="R671" s="260"/>
      <c r="S671" s="260"/>
      <c r="T671" s="260"/>
      <c r="U671" s="260"/>
      <c r="V671" s="260"/>
      <c r="W671" s="260"/>
      <c r="X671" s="260"/>
      <c r="Y671" s="260"/>
      <c r="Z671" s="260"/>
    </row>
    <row r="672">
      <c r="A672" s="259"/>
      <c r="B672" s="260"/>
      <c r="C672" s="260"/>
      <c r="D672" s="260"/>
      <c r="E672" s="260"/>
      <c r="F672" s="260"/>
      <c r="G672" s="260"/>
      <c r="H672" s="260"/>
      <c r="I672" s="260"/>
      <c r="J672" s="260"/>
      <c r="K672" s="261" t="s">
        <v>39</v>
      </c>
      <c r="L672" s="261" t="s">
        <v>39</v>
      </c>
      <c r="M672" s="260"/>
      <c r="N672" s="260"/>
      <c r="O672" s="260"/>
      <c r="P672" s="260"/>
      <c r="Q672" s="260"/>
      <c r="R672" s="260"/>
      <c r="S672" s="260"/>
      <c r="T672" s="260"/>
      <c r="U672" s="260"/>
      <c r="V672" s="260"/>
      <c r="W672" s="260"/>
      <c r="X672" s="260"/>
      <c r="Y672" s="260"/>
      <c r="Z672" s="260"/>
    </row>
    <row r="673">
      <c r="A673" s="259"/>
      <c r="B673" s="260"/>
      <c r="C673" s="260"/>
      <c r="D673" s="260"/>
      <c r="E673" s="260"/>
      <c r="F673" s="260"/>
      <c r="G673" s="260"/>
      <c r="H673" s="260"/>
      <c r="I673" s="260"/>
      <c r="J673" s="260"/>
      <c r="K673" s="261" t="s">
        <v>39</v>
      </c>
      <c r="L673" s="261" t="s">
        <v>39</v>
      </c>
      <c r="M673" s="260"/>
      <c r="N673" s="260"/>
      <c r="O673" s="260"/>
      <c r="P673" s="260"/>
      <c r="Q673" s="260"/>
      <c r="R673" s="260"/>
      <c r="S673" s="260"/>
      <c r="T673" s="260"/>
      <c r="U673" s="260"/>
      <c r="V673" s="260"/>
      <c r="W673" s="260"/>
      <c r="X673" s="260"/>
      <c r="Y673" s="260"/>
      <c r="Z673" s="260"/>
    </row>
    <row r="674">
      <c r="A674" s="259"/>
      <c r="B674" s="260"/>
      <c r="C674" s="260"/>
      <c r="D674" s="260"/>
      <c r="E674" s="260"/>
      <c r="F674" s="260"/>
      <c r="G674" s="260"/>
      <c r="H674" s="260"/>
      <c r="I674" s="260"/>
      <c r="J674" s="260"/>
      <c r="K674" s="261" t="s">
        <v>39</v>
      </c>
      <c r="L674" s="261" t="s">
        <v>39</v>
      </c>
      <c r="M674" s="260"/>
      <c r="N674" s="260"/>
      <c r="O674" s="260"/>
      <c r="P674" s="260"/>
      <c r="Q674" s="260"/>
      <c r="R674" s="260"/>
      <c r="S674" s="260"/>
      <c r="T674" s="260"/>
      <c r="U674" s="260"/>
      <c r="V674" s="260"/>
      <c r="W674" s="260"/>
      <c r="X674" s="260"/>
      <c r="Y674" s="260"/>
      <c r="Z674" s="260"/>
    </row>
    <row r="675">
      <c r="A675" s="259"/>
      <c r="B675" s="260"/>
      <c r="C675" s="260"/>
      <c r="D675" s="260"/>
      <c r="E675" s="260"/>
      <c r="F675" s="260"/>
      <c r="G675" s="260"/>
      <c r="H675" s="260"/>
      <c r="I675" s="260"/>
      <c r="J675" s="260"/>
      <c r="K675" s="261" t="s">
        <v>39</v>
      </c>
      <c r="L675" s="261" t="s">
        <v>39</v>
      </c>
      <c r="M675" s="260"/>
      <c r="N675" s="260"/>
      <c r="O675" s="260"/>
      <c r="P675" s="260"/>
      <c r="Q675" s="260"/>
      <c r="R675" s="260"/>
      <c r="S675" s="260"/>
      <c r="T675" s="260"/>
      <c r="U675" s="260"/>
      <c r="V675" s="260"/>
      <c r="W675" s="260"/>
      <c r="X675" s="260"/>
      <c r="Y675" s="260"/>
      <c r="Z675" s="260"/>
    </row>
    <row r="676">
      <c r="A676" s="259"/>
      <c r="B676" s="260"/>
      <c r="C676" s="260"/>
      <c r="D676" s="260"/>
      <c r="E676" s="260"/>
      <c r="F676" s="260"/>
      <c r="G676" s="260"/>
      <c r="H676" s="260"/>
      <c r="I676" s="260"/>
      <c r="J676" s="260"/>
      <c r="K676" s="261" t="s">
        <v>39</v>
      </c>
      <c r="L676" s="261" t="s">
        <v>39</v>
      </c>
      <c r="M676" s="260"/>
      <c r="N676" s="260"/>
      <c r="O676" s="260"/>
      <c r="P676" s="260"/>
      <c r="Q676" s="260"/>
      <c r="R676" s="260"/>
      <c r="S676" s="260"/>
      <c r="T676" s="260"/>
      <c r="U676" s="260"/>
      <c r="V676" s="260"/>
      <c r="W676" s="260"/>
      <c r="X676" s="260"/>
      <c r="Y676" s="260"/>
      <c r="Z676" s="260"/>
    </row>
    <row r="677">
      <c r="A677" s="259"/>
      <c r="B677" s="260"/>
      <c r="C677" s="260"/>
      <c r="D677" s="260"/>
      <c r="E677" s="260"/>
      <c r="F677" s="260"/>
      <c r="G677" s="260"/>
      <c r="H677" s="260"/>
      <c r="I677" s="260"/>
      <c r="J677" s="260"/>
      <c r="K677" s="261" t="s">
        <v>39</v>
      </c>
      <c r="L677" s="261" t="s">
        <v>39</v>
      </c>
      <c r="M677" s="260"/>
      <c r="N677" s="260"/>
      <c r="O677" s="260"/>
      <c r="P677" s="260"/>
      <c r="Q677" s="260"/>
      <c r="R677" s="260"/>
      <c r="S677" s="260"/>
      <c r="T677" s="260"/>
      <c r="U677" s="260"/>
      <c r="V677" s="260"/>
      <c r="W677" s="260"/>
      <c r="X677" s="260"/>
      <c r="Y677" s="260"/>
      <c r="Z677" s="260"/>
    </row>
    <row r="678">
      <c r="A678" s="259"/>
      <c r="B678" s="260"/>
      <c r="C678" s="260"/>
      <c r="D678" s="260"/>
      <c r="E678" s="260"/>
      <c r="F678" s="260"/>
      <c r="G678" s="260"/>
      <c r="H678" s="260"/>
      <c r="I678" s="260"/>
      <c r="J678" s="260"/>
      <c r="K678" s="261" t="s">
        <v>39</v>
      </c>
      <c r="L678" s="261" t="s">
        <v>39</v>
      </c>
      <c r="M678" s="260"/>
      <c r="N678" s="260"/>
      <c r="O678" s="260"/>
      <c r="P678" s="260"/>
      <c r="Q678" s="260"/>
      <c r="R678" s="260"/>
      <c r="S678" s="260"/>
      <c r="T678" s="260"/>
      <c r="U678" s="260"/>
      <c r="V678" s="260"/>
      <c r="W678" s="260"/>
      <c r="X678" s="260"/>
      <c r="Y678" s="260"/>
      <c r="Z678" s="260"/>
    </row>
    <row r="679">
      <c r="A679" s="259"/>
      <c r="B679" s="260"/>
      <c r="C679" s="260"/>
      <c r="D679" s="260"/>
      <c r="E679" s="260"/>
      <c r="F679" s="260"/>
      <c r="G679" s="260"/>
      <c r="H679" s="260"/>
      <c r="I679" s="260"/>
      <c r="J679" s="260"/>
      <c r="K679" s="261" t="s">
        <v>39</v>
      </c>
      <c r="L679" s="261" t="s">
        <v>39</v>
      </c>
      <c r="M679" s="260"/>
      <c r="N679" s="260"/>
      <c r="O679" s="260"/>
      <c r="P679" s="260"/>
      <c r="Q679" s="260"/>
      <c r="R679" s="260"/>
      <c r="S679" s="260"/>
      <c r="T679" s="260"/>
      <c r="U679" s="260"/>
      <c r="V679" s="260"/>
      <c r="W679" s="260"/>
      <c r="X679" s="260"/>
      <c r="Y679" s="260"/>
      <c r="Z679" s="260"/>
    </row>
    <row r="680">
      <c r="A680" s="259"/>
      <c r="B680" s="260"/>
      <c r="C680" s="260"/>
      <c r="D680" s="260"/>
      <c r="E680" s="260"/>
      <c r="F680" s="260"/>
      <c r="G680" s="260"/>
      <c r="H680" s="260"/>
      <c r="I680" s="260"/>
      <c r="J680" s="260"/>
      <c r="K680" s="261" t="s">
        <v>39</v>
      </c>
      <c r="L680" s="261" t="s">
        <v>39</v>
      </c>
      <c r="M680" s="260"/>
      <c r="N680" s="260"/>
      <c r="O680" s="260"/>
      <c r="P680" s="260"/>
      <c r="Q680" s="260"/>
      <c r="R680" s="260"/>
      <c r="S680" s="260"/>
      <c r="T680" s="260"/>
      <c r="U680" s="260"/>
      <c r="V680" s="260"/>
      <c r="W680" s="260"/>
      <c r="X680" s="260"/>
      <c r="Y680" s="260"/>
      <c r="Z680" s="260"/>
    </row>
    <row r="681">
      <c r="A681" s="259"/>
      <c r="B681" s="260"/>
      <c r="C681" s="260"/>
      <c r="D681" s="260"/>
      <c r="E681" s="260"/>
      <c r="F681" s="260"/>
      <c r="G681" s="260"/>
      <c r="H681" s="260"/>
      <c r="I681" s="260"/>
      <c r="J681" s="260"/>
      <c r="K681" s="261" t="s">
        <v>39</v>
      </c>
      <c r="L681" s="261" t="s">
        <v>39</v>
      </c>
      <c r="M681" s="260"/>
      <c r="N681" s="260"/>
      <c r="O681" s="260"/>
      <c r="P681" s="260"/>
      <c r="Q681" s="260"/>
      <c r="R681" s="260"/>
      <c r="S681" s="260"/>
      <c r="T681" s="260"/>
      <c r="U681" s="260"/>
      <c r="V681" s="260"/>
      <c r="W681" s="260"/>
      <c r="X681" s="260"/>
      <c r="Y681" s="260"/>
      <c r="Z681" s="260"/>
    </row>
    <row r="682">
      <c r="A682" s="259"/>
      <c r="B682" s="260"/>
      <c r="C682" s="260"/>
      <c r="D682" s="260"/>
      <c r="E682" s="260"/>
      <c r="F682" s="260"/>
      <c r="G682" s="260"/>
      <c r="H682" s="260"/>
      <c r="I682" s="260"/>
      <c r="J682" s="260"/>
      <c r="K682" s="261" t="s">
        <v>39</v>
      </c>
      <c r="L682" s="261" t="s">
        <v>39</v>
      </c>
      <c r="M682" s="260"/>
      <c r="N682" s="260"/>
      <c r="O682" s="260"/>
      <c r="P682" s="260"/>
      <c r="Q682" s="260"/>
      <c r="R682" s="260"/>
      <c r="S682" s="260"/>
      <c r="T682" s="260"/>
      <c r="U682" s="260"/>
      <c r="V682" s="260"/>
      <c r="W682" s="260"/>
      <c r="X682" s="260"/>
      <c r="Y682" s="260"/>
      <c r="Z682" s="260"/>
    </row>
    <row r="683">
      <c r="A683" s="259"/>
      <c r="B683" s="260"/>
      <c r="C683" s="260"/>
      <c r="D683" s="260"/>
      <c r="E683" s="260"/>
      <c r="F683" s="260"/>
      <c r="G683" s="260"/>
      <c r="H683" s="260"/>
      <c r="I683" s="260"/>
      <c r="J683" s="260"/>
      <c r="K683" s="261" t="s">
        <v>39</v>
      </c>
      <c r="L683" s="261" t="s">
        <v>39</v>
      </c>
      <c r="M683" s="260"/>
      <c r="N683" s="260"/>
      <c r="O683" s="260"/>
      <c r="P683" s="260"/>
      <c r="Q683" s="260"/>
      <c r="R683" s="260"/>
      <c r="S683" s="260"/>
      <c r="T683" s="260"/>
      <c r="U683" s="260"/>
      <c r="V683" s="260"/>
      <c r="W683" s="260"/>
      <c r="X683" s="260"/>
      <c r="Y683" s="260"/>
      <c r="Z683" s="260"/>
    </row>
    <row r="684">
      <c r="A684" s="259"/>
      <c r="B684" s="260"/>
      <c r="C684" s="260"/>
      <c r="D684" s="260"/>
      <c r="E684" s="260"/>
      <c r="F684" s="260"/>
      <c r="G684" s="260"/>
      <c r="H684" s="260"/>
      <c r="I684" s="260"/>
      <c r="J684" s="260"/>
      <c r="K684" s="261" t="s">
        <v>39</v>
      </c>
      <c r="L684" s="261" t="s">
        <v>39</v>
      </c>
      <c r="M684" s="260"/>
      <c r="N684" s="260"/>
      <c r="O684" s="260"/>
      <c r="P684" s="260"/>
      <c r="Q684" s="260"/>
      <c r="R684" s="260"/>
      <c r="S684" s="260"/>
      <c r="T684" s="260"/>
      <c r="U684" s="260"/>
      <c r="V684" s="260"/>
      <c r="W684" s="260"/>
      <c r="X684" s="260"/>
      <c r="Y684" s="260"/>
      <c r="Z684" s="260"/>
    </row>
    <row r="685">
      <c r="A685" s="259"/>
      <c r="B685" s="260"/>
      <c r="C685" s="260"/>
      <c r="D685" s="260"/>
      <c r="E685" s="260"/>
      <c r="F685" s="260"/>
      <c r="G685" s="260"/>
      <c r="H685" s="260"/>
      <c r="I685" s="260"/>
      <c r="J685" s="260"/>
      <c r="K685" s="261" t="s">
        <v>39</v>
      </c>
      <c r="L685" s="261" t="s">
        <v>39</v>
      </c>
      <c r="M685" s="260"/>
      <c r="N685" s="260"/>
      <c r="O685" s="260"/>
      <c r="P685" s="260"/>
      <c r="Q685" s="260"/>
      <c r="R685" s="260"/>
      <c r="S685" s="260"/>
      <c r="T685" s="260"/>
      <c r="U685" s="260"/>
      <c r="V685" s="260"/>
      <c r="W685" s="260"/>
      <c r="X685" s="260"/>
      <c r="Y685" s="260"/>
      <c r="Z685" s="260"/>
    </row>
    <row r="686">
      <c r="A686" s="259"/>
      <c r="B686" s="260"/>
      <c r="C686" s="260"/>
      <c r="D686" s="260"/>
      <c r="E686" s="260"/>
      <c r="F686" s="260"/>
      <c r="G686" s="260"/>
      <c r="H686" s="260"/>
      <c r="I686" s="260"/>
      <c r="J686" s="260"/>
      <c r="K686" s="261" t="s">
        <v>39</v>
      </c>
      <c r="L686" s="261" t="s">
        <v>39</v>
      </c>
      <c r="M686" s="260"/>
      <c r="N686" s="260"/>
      <c r="O686" s="260"/>
      <c r="P686" s="260"/>
      <c r="Q686" s="260"/>
      <c r="R686" s="260"/>
      <c r="S686" s="260"/>
      <c r="T686" s="260"/>
      <c r="U686" s="260"/>
      <c r="V686" s="260"/>
      <c r="W686" s="260"/>
      <c r="X686" s="260"/>
      <c r="Y686" s="260"/>
      <c r="Z686" s="260"/>
    </row>
    <row r="687">
      <c r="A687" s="259"/>
      <c r="B687" s="260"/>
      <c r="C687" s="260"/>
      <c r="D687" s="260"/>
      <c r="E687" s="260"/>
      <c r="F687" s="260"/>
      <c r="G687" s="260"/>
      <c r="H687" s="260"/>
      <c r="I687" s="260"/>
      <c r="J687" s="260"/>
      <c r="K687" s="261" t="s">
        <v>39</v>
      </c>
      <c r="L687" s="261" t="s">
        <v>39</v>
      </c>
      <c r="M687" s="260"/>
      <c r="N687" s="260"/>
      <c r="O687" s="260"/>
      <c r="P687" s="260"/>
      <c r="Q687" s="260"/>
      <c r="R687" s="260"/>
      <c r="S687" s="260"/>
      <c r="T687" s="260"/>
      <c r="U687" s="260"/>
      <c r="V687" s="260"/>
      <c r="W687" s="260"/>
      <c r="X687" s="260"/>
      <c r="Y687" s="260"/>
      <c r="Z687" s="260"/>
    </row>
    <row r="688">
      <c r="A688" s="259"/>
      <c r="B688" s="260"/>
      <c r="C688" s="260"/>
      <c r="D688" s="260"/>
      <c r="E688" s="260"/>
      <c r="F688" s="260"/>
      <c r="G688" s="260"/>
      <c r="H688" s="260"/>
      <c r="I688" s="260"/>
      <c r="J688" s="260"/>
      <c r="K688" s="261" t="s">
        <v>39</v>
      </c>
      <c r="L688" s="261" t="s">
        <v>39</v>
      </c>
      <c r="M688" s="260"/>
      <c r="N688" s="260"/>
      <c r="O688" s="260"/>
      <c r="P688" s="260"/>
      <c r="Q688" s="260"/>
      <c r="R688" s="260"/>
      <c r="S688" s="260"/>
      <c r="T688" s="260"/>
      <c r="U688" s="260"/>
      <c r="V688" s="260"/>
      <c r="W688" s="260"/>
      <c r="X688" s="260"/>
      <c r="Y688" s="260"/>
      <c r="Z688" s="260"/>
    </row>
    <row r="689">
      <c r="A689" s="259"/>
      <c r="B689" s="260"/>
      <c r="C689" s="260"/>
      <c r="D689" s="260"/>
      <c r="E689" s="260"/>
      <c r="F689" s="260"/>
      <c r="G689" s="260"/>
      <c r="H689" s="260"/>
      <c r="I689" s="260"/>
      <c r="J689" s="260"/>
      <c r="K689" s="261" t="s">
        <v>39</v>
      </c>
      <c r="L689" s="261" t="s">
        <v>39</v>
      </c>
      <c r="M689" s="260"/>
      <c r="N689" s="260"/>
      <c r="O689" s="260"/>
      <c r="P689" s="260"/>
      <c r="Q689" s="260"/>
      <c r="R689" s="260"/>
      <c r="S689" s="260"/>
      <c r="T689" s="260"/>
      <c r="U689" s="260"/>
      <c r="V689" s="260"/>
      <c r="W689" s="260"/>
      <c r="X689" s="260"/>
      <c r="Y689" s="260"/>
      <c r="Z689" s="260"/>
    </row>
    <row r="690">
      <c r="A690" s="259"/>
      <c r="B690" s="260"/>
      <c r="C690" s="260"/>
      <c r="D690" s="260"/>
      <c r="E690" s="260"/>
      <c r="F690" s="260"/>
      <c r="G690" s="260"/>
      <c r="H690" s="260"/>
      <c r="I690" s="260"/>
      <c r="J690" s="260"/>
      <c r="K690" s="261" t="s">
        <v>39</v>
      </c>
      <c r="L690" s="261" t="s">
        <v>39</v>
      </c>
      <c r="M690" s="260"/>
      <c r="N690" s="260"/>
      <c r="O690" s="260"/>
      <c r="P690" s="260"/>
      <c r="Q690" s="260"/>
      <c r="R690" s="260"/>
      <c r="S690" s="260"/>
      <c r="T690" s="260"/>
      <c r="U690" s="260"/>
      <c r="V690" s="260"/>
      <c r="W690" s="260"/>
      <c r="X690" s="260"/>
      <c r="Y690" s="260"/>
      <c r="Z690" s="260"/>
    </row>
    <row r="691">
      <c r="A691" s="259"/>
      <c r="B691" s="260"/>
      <c r="C691" s="260"/>
      <c r="D691" s="260"/>
      <c r="E691" s="260"/>
      <c r="F691" s="260"/>
      <c r="G691" s="260"/>
      <c r="H691" s="260"/>
      <c r="I691" s="260"/>
      <c r="J691" s="260"/>
      <c r="K691" s="261" t="s">
        <v>39</v>
      </c>
      <c r="L691" s="261" t="s">
        <v>39</v>
      </c>
      <c r="M691" s="260"/>
      <c r="N691" s="260"/>
      <c r="O691" s="260"/>
      <c r="P691" s="260"/>
      <c r="Q691" s="260"/>
      <c r="R691" s="260"/>
      <c r="S691" s="260"/>
      <c r="T691" s="260"/>
      <c r="U691" s="260"/>
      <c r="V691" s="260"/>
      <c r="W691" s="260"/>
      <c r="X691" s="260"/>
      <c r="Y691" s="260"/>
      <c r="Z691" s="260"/>
    </row>
    <row r="692">
      <c r="A692" s="259"/>
      <c r="B692" s="260"/>
      <c r="C692" s="260"/>
      <c r="D692" s="260"/>
      <c r="E692" s="260"/>
      <c r="F692" s="260"/>
      <c r="G692" s="260"/>
      <c r="H692" s="260"/>
      <c r="I692" s="260"/>
      <c r="J692" s="260"/>
      <c r="K692" s="261" t="s">
        <v>39</v>
      </c>
      <c r="L692" s="261" t="s">
        <v>39</v>
      </c>
      <c r="M692" s="260"/>
      <c r="N692" s="260"/>
      <c r="O692" s="260"/>
      <c r="P692" s="260"/>
      <c r="Q692" s="260"/>
      <c r="R692" s="260"/>
      <c r="S692" s="260"/>
      <c r="T692" s="260"/>
      <c r="U692" s="260"/>
      <c r="V692" s="260"/>
      <c r="W692" s="260"/>
      <c r="X692" s="260"/>
      <c r="Y692" s="260"/>
      <c r="Z692" s="260"/>
    </row>
    <row r="693">
      <c r="A693" s="259"/>
      <c r="B693" s="260"/>
      <c r="C693" s="260"/>
      <c r="D693" s="260"/>
      <c r="E693" s="260"/>
      <c r="F693" s="260"/>
      <c r="G693" s="260"/>
      <c r="H693" s="260"/>
      <c r="I693" s="260"/>
      <c r="J693" s="260"/>
      <c r="K693" s="261" t="s">
        <v>39</v>
      </c>
      <c r="L693" s="261" t="s">
        <v>39</v>
      </c>
      <c r="M693" s="260"/>
      <c r="N693" s="260"/>
      <c r="O693" s="260"/>
      <c r="P693" s="260"/>
      <c r="Q693" s="260"/>
      <c r="R693" s="260"/>
      <c r="S693" s="260"/>
      <c r="T693" s="260"/>
      <c r="U693" s="260"/>
      <c r="V693" s="260"/>
      <c r="W693" s="260"/>
      <c r="X693" s="260"/>
      <c r="Y693" s="260"/>
      <c r="Z693" s="260"/>
    </row>
    <row r="694">
      <c r="A694" s="259"/>
      <c r="B694" s="260"/>
      <c r="C694" s="260"/>
      <c r="D694" s="260"/>
      <c r="E694" s="260"/>
      <c r="F694" s="260"/>
      <c r="G694" s="260"/>
      <c r="H694" s="260"/>
      <c r="I694" s="260"/>
      <c r="J694" s="260"/>
      <c r="K694" s="261" t="s">
        <v>39</v>
      </c>
      <c r="L694" s="261" t="s">
        <v>39</v>
      </c>
      <c r="M694" s="260"/>
      <c r="N694" s="260"/>
      <c r="O694" s="260"/>
      <c r="P694" s="260"/>
      <c r="Q694" s="260"/>
      <c r="R694" s="260"/>
      <c r="S694" s="260"/>
      <c r="T694" s="260"/>
      <c r="U694" s="260"/>
      <c r="V694" s="260"/>
      <c r="W694" s="260"/>
      <c r="X694" s="260"/>
      <c r="Y694" s="260"/>
      <c r="Z694" s="260"/>
    </row>
    <row r="695">
      <c r="A695" s="259"/>
      <c r="B695" s="260"/>
      <c r="C695" s="260"/>
      <c r="D695" s="260"/>
      <c r="E695" s="260"/>
      <c r="F695" s="260"/>
      <c r="G695" s="260"/>
      <c r="H695" s="260"/>
      <c r="I695" s="260"/>
      <c r="J695" s="260"/>
      <c r="K695" s="261" t="s">
        <v>39</v>
      </c>
      <c r="L695" s="261" t="s">
        <v>39</v>
      </c>
      <c r="M695" s="260"/>
      <c r="N695" s="260"/>
      <c r="O695" s="260"/>
      <c r="P695" s="260"/>
      <c r="Q695" s="260"/>
      <c r="R695" s="260"/>
      <c r="S695" s="260"/>
      <c r="T695" s="260"/>
      <c r="U695" s="260"/>
      <c r="V695" s="260"/>
      <c r="W695" s="260"/>
      <c r="X695" s="260"/>
      <c r="Y695" s="260"/>
      <c r="Z695" s="260"/>
    </row>
    <row r="696">
      <c r="A696" s="259"/>
      <c r="B696" s="260"/>
      <c r="C696" s="260"/>
      <c r="D696" s="260"/>
      <c r="E696" s="260"/>
      <c r="F696" s="260"/>
      <c r="G696" s="260"/>
      <c r="H696" s="260"/>
      <c r="I696" s="260"/>
      <c r="J696" s="260"/>
      <c r="K696" s="261" t="s">
        <v>39</v>
      </c>
      <c r="L696" s="261" t="s">
        <v>39</v>
      </c>
      <c r="M696" s="260"/>
      <c r="N696" s="260"/>
      <c r="O696" s="260"/>
      <c r="P696" s="260"/>
      <c r="Q696" s="260"/>
      <c r="R696" s="260"/>
      <c r="S696" s="260"/>
      <c r="T696" s="260"/>
      <c r="U696" s="260"/>
      <c r="V696" s="260"/>
      <c r="W696" s="260"/>
      <c r="X696" s="260"/>
      <c r="Y696" s="260"/>
      <c r="Z696" s="260"/>
    </row>
    <row r="697">
      <c r="A697" s="259"/>
      <c r="B697" s="260"/>
      <c r="C697" s="260"/>
      <c r="D697" s="260"/>
      <c r="E697" s="260"/>
      <c r="F697" s="260"/>
      <c r="G697" s="260"/>
      <c r="H697" s="260"/>
      <c r="I697" s="260"/>
      <c r="J697" s="260"/>
      <c r="K697" s="261" t="s">
        <v>39</v>
      </c>
      <c r="L697" s="261" t="s">
        <v>39</v>
      </c>
      <c r="M697" s="260"/>
      <c r="N697" s="260"/>
      <c r="O697" s="260"/>
      <c r="P697" s="260"/>
      <c r="Q697" s="260"/>
      <c r="R697" s="260"/>
      <c r="S697" s="260"/>
      <c r="T697" s="260"/>
      <c r="U697" s="260"/>
      <c r="V697" s="260"/>
      <c r="W697" s="260"/>
      <c r="X697" s="260"/>
      <c r="Y697" s="260"/>
      <c r="Z697" s="260"/>
    </row>
    <row r="698">
      <c r="A698" s="259"/>
      <c r="B698" s="260"/>
      <c r="C698" s="260"/>
      <c r="D698" s="260"/>
      <c r="E698" s="260"/>
      <c r="F698" s="260"/>
      <c r="G698" s="260"/>
      <c r="H698" s="260"/>
      <c r="I698" s="260"/>
      <c r="J698" s="260"/>
      <c r="K698" s="261" t="s">
        <v>39</v>
      </c>
      <c r="L698" s="261" t="s">
        <v>39</v>
      </c>
      <c r="M698" s="260"/>
      <c r="N698" s="260"/>
      <c r="O698" s="260"/>
      <c r="P698" s="260"/>
      <c r="Q698" s="260"/>
      <c r="R698" s="260"/>
      <c r="S698" s="260"/>
      <c r="T698" s="260"/>
      <c r="U698" s="260"/>
      <c r="V698" s="260"/>
      <c r="W698" s="260"/>
      <c r="X698" s="260"/>
      <c r="Y698" s="260"/>
      <c r="Z698" s="260"/>
    </row>
    <row r="699">
      <c r="A699" s="259"/>
      <c r="B699" s="260"/>
      <c r="C699" s="260"/>
      <c r="D699" s="260"/>
      <c r="E699" s="260"/>
      <c r="F699" s="260"/>
      <c r="G699" s="260"/>
      <c r="H699" s="260"/>
      <c r="I699" s="260"/>
      <c r="J699" s="260"/>
      <c r="K699" s="261" t="s">
        <v>39</v>
      </c>
      <c r="L699" s="261" t="s">
        <v>39</v>
      </c>
      <c r="M699" s="260"/>
      <c r="N699" s="260"/>
      <c r="O699" s="260"/>
      <c r="P699" s="260"/>
      <c r="Q699" s="260"/>
      <c r="R699" s="260"/>
      <c r="S699" s="260"/>
      <c r="T699" s="260"/>
      <c r="U699" s="260"/>
      <c r="V699" s="260"/>
      <c r="W699" s="260"/>
      <c r="X699" s="260"/>
      <c r="Y699" s="260"/>
      <c r="Z699" s="260"/>
    </row>
    <row r="700">
      <c r="A700" s="259"/>
      <c r="B700" s="260"/>
      <c r="C700" s="260"/>
      <c r="D700" s="260"/>
      <c r="E700" s="260"/>
      <c r="F700" s="260"/>
      <c r="G700" s="260"/>
      <c r="H700" s="260"/>
      <c r="I700" s="260"/>
      <c r="J700" s="260"/>
      <c r="K700" s="261" t="s">
        <v>39</v>
      </c>
      <c r="L700" s="261" t="s">
        <v>39</v>
      </c>
      <c r="M700" s="260"/>
      <c r="N700" s="260"/>
      <c r="O700" s="260"/>
      <c r="P700" s="260"/>
      <c r="Q700" s="260"/>
      <c r="R700" s="260"/>
      <c r="S700" s="260"/>
      <c r="T700" s="260"/>
      <c r="U700" s="260"/>
      <c r="V700" s="260"/>
      <c r="W700" s="260"/>
      <c r="X700" s="260"/>
      <c r="Y700" s="260"/>
      <c r="Z700" s="260"/>
    </row>
    <row r="701">
      <c r="A701" s="259"/>
      <c r="B701" s="260"/>
      <c r="C701" s="260"/>
      <c r="D701" s="260"/>
      <c r="E701" s="260"/>
      <c r="F701" s="260"/>
      <c r="G701" s="260"/>
      <c r="H701" s="260"/>
      <c r="I701" s="260"/>
      <c r="J701" s="260"/>
      <c r="K701" s="261" t="s">
        <v>39</v>
      </c>
      <c r="L701" s="261" t="s">
        <v>39</v>
      </c>
      <c r="M701" s="260"/>
      <c r="N701" s="260"/>
      <c r="O701" s="260"/>
      <c r="P701" s="260"/>
      <c r="Q701" s="260"/>
      <c r="R701" s="260"/>
      <c r="S701" s="260"/>
      <c r="T701" s="260"/>
      <c r="U701" s="260"/>
      <c r="V701" s="260"/>
      <c r="W701" s="260"/>
      <c r="X701" s="260"/>
      <c r="Y701" s="260"/>
      <c r="Z701" s="260"/>
    </row>
    <row r="702">
      <c r="A702" s="259"/>
      <c r="B702" s="260"/>
      <c r="C702" s="260"/>
      <c r="D702" s="260"/>
      <c r="E702" s="260"/>
      <c r="F702" s="260"/>
      <c r="G702" s="260"/>
      <c r="H702" s="260"/>
      <c r="I702" s="260"/>
      <c r="J702" s="260"/>
      <c r="K702" s="261" t="s">
        <v>39</v>
      </c>
      <c r="L702" s="261" t="s">
        <v>39</v>
      </c>
      <c r="M702" s="260"/>
      <c r="N702" s="260"/>
      <c r="O702" s="260"/>
      <c r="P702" s="260"/>
      <c r="Q702" s="260"/>
      <c r="R702" s="260"/>
      <c r="S702" s="260"/>
      <c r="T702" s="260"/>
      <c r="U702" s="260"/>
      <c r="V702" s="260"/>
      <c r="W702" s="260"/>
      <c r="X702" s="260"/>
      <c r="Y702" s="260"/>
      <c r="Z702" s="260"/>
    </row>
    <row r="703">
      <c r="A703" s="259"/>
      <c r="B703" s="260"/>
      <c r="C703" s="260"/>
      <c r="D703" s="260"/>
      <c r="E703" s="260"/>
      <c r="F703" s="260"/>
      <c r="G703" s="260"/>
      <c r="H703" s="260"/>
      <c r="I703" s="260"/>
      <c r="J703" s="260"/>
      <c r="K703" s="261" t="s">
        <v>39</v>
      </c>
      <c r="L703" s="261" t="s">
        <v>39</v>
      </c>
      <c r="M703" s="260"/>
      <c r="N703" s="260"/>
      <c r="O703" s="260"/>
      <c r="P703" s="260"/>
      <c r="Q703" s="260"/>
      <c r="R703" s="260"/>
      <c r="S703" s="260"/>
      <c r="T703" s="260"/>
      <c r="U703" s="260"/>
      <c r="V703" s="260"/>
      <c r="W703" s="260"/>
      <c r="X703" s="260"/>
      <c r="Y703" s="260"/>
      <c r="Z703" s="260"/>
    </row>
    <row r="704">
      <c r="A704" s="259"/>
      <c r="B704" s="260"/>
      <c r="C704" s="260"/>
      <c r="D704" s="260"/>
      <c r="E704" s="260"/>
      <c r="F704" s="260"/>
      <c r="G704" s="260"/>
      <c r="H704" s="260"/>
      <c r="I704" s="260"/>
      <c r="J704" s="260"/>
      <c r="K704" s="261" t="s">
        <v>39</v>
      </c>
      <c r="L704" s="261" t="s">
        <v>39</v>
      </c>
      <c r="M704" s="260"/>
      <c r="N704" s="260"/>
      <c r="O704" s="260"/>
      <c r="P704" s="260"/>
      <c r="Q704" s="260"/>
      <c r="R704" s="260"/>
      <c r="S704" s="260"/>
      <c r="T704" s="260"/>
      <c r="U704" s="260"/>
      <c r="V704" s="260"/>
      <c r="W704" s="260"/>
      <c r="X704" s="260"/>
      <c r="Y704" s="260"/>
      <c r="Z704" s="260"/>
    </row>
    <row r="705">
      <c r="A705" s="259"/>
      <c r="B705" s="260"/>
      <c r="C705" s="260"/>
      <c r="D705" s="260"/>
      <c r="E705" s="260"/>
      <c r="F705" s="260"/>
      <c r="G705" s="260"/>
      <c r="H705" s="260"/>
      <c r="I705" s="260"/>
      <c r="J705" s="260"/>
      <c r="K705" s="261" t="s">
        <v>39</v>
      </c>
      <c r="L705" s="261" t="s">
        <v>39</v>
      </c>
      <c r="M705" s="260"/>
      <c r="N705" s="260"/>
      <c r="O705" s="260"/>
      <c r="P705" s="260"/>
      <c r="Q705" s="260"/>
      <c r="R705" s="260"/>
      <c r="S705" s="260"/>
      <c r="T705" s="260"/>
      <c r="U705" s="260"/>
      <c r="V705" s="260"/>
      <c r="W705" s="260"/>
      <c r="X705" s="260"/>
      <c r="Y705" s="260"/>
      <c r="Z705" s="260"/>
    </row>
    <row r="706">
      <c r="A706" s="259"/>
      <c r="B706" s="260"/>
      <c r="C706" s="260"/>
      <c r="D706" s="260"/>
      <c r="E706" s="260"/>
      <c r="F706" s="260"/>
      <c r="G706" s="260"/>
      <c r="H706" s="260"/>
      <c r="I706" s="260"/>
      <c r="J706" s="260"/>
      <c r="K706" s="261" t="s">
        <v>39</v>
      </c>
      <c r="L706" s="261" t="s">
        <v>39</v>
      </c>
      <c r="M706" s="260"/>
      <c r="N706" s="260"/>
      <c r="O706" s="260"/>
      <c r="P706" s="260"/>
      <c r="Q706" s="260"/>
      <c r="R706" s="260"/>
      <c r="S706" s="260"/>
      <c r="T706" s="260"/>
      <c r="U706" s="260"/>
      <c r="V706" s="260"/>
      <c r="W706" s="260"/>
      <c r="X706" s="260"/>
      <c r="Y706" s="260"/>
      <c r="Z706" s="260"/>
    </row>
    <row r="707">
      <c r="A707" s="259"/>
      <c r="B707" s="260"/>
      <c r="C707" s="260"/>
      <c r="D707" s="260"/>
      <c r="E707" s="260"/>
      <c r="F707" s="260"/>
      <c r="G707" s="260"/>
      <c r="H707" s="260"/>
      <c r="I707" s="260"/>
      <c r="J707" s="260"/>
      <c r="K707" s="261" t="s">
        <v>39</v>
      </c>
      <c r="L707" s="261" t="s">
        <v>39</v>
      </c>
      <c r="M707" s="260"/>
      <c r="N707" s="260"/>
      <c r="O707" s="260"/>
      <c r="P707" s="260"/>
      <c r="Q707" s="260"/>
      <c r="R707" s="260"/>
      <c r="S707" s="260"/>
      <c r="T707" s="260"/>
      <c r="U707" s="260"/>
      <c r="V707" s="260"/>
      <c r="W707" s="260"/>
      <c r="X707" s="260"/>
      <c r="Y707" s="260"/>
      <c r="Z707" s="260"/>
    </row>
    <row r="708">
      <c r="A708" s="259"/>
      <c r="B708" s="260"/>
      <c r="C708" s="260"/>
      <c r="D708" s="260"/>
      <c r="E708" s="260"/>
      <c r="F708" s="260"/>
      <c r="G708" s="260"/>
      <c r="H708" s="260"/>
      <c r="I708" s="260"/>
      <c r="J708" s="260"/>
      <c r="K708" s="261" t="s">
        <v>39</v>
      </c>
      <c r="L708" s="261" t="s">
        <v>39</v>
      </c>
      <c r="M708" s="260"/>
      <c r="N708" s="260"/>
      <c r="O708" s="260"/>
      <c r="P708" s="260"/>
      <c r="Q708" s="260"/>
      <c r="R708" s="260"/>
      <c r="S708" s="260"/>
      <c r="T708" s="260"/>
      <c r="U708" s="260"/>
      <c r="V708" s="260"/>
      <c r="W708" s="260"/>
      <c r="X708" s="260"/>
      <c r="Y708" s="260"/>
      <c r="Z708" s="260"/>
    </row>
    <row r="709">
      <c r="A709" s="259"/>
      <c r="B709" s="260"/>
      <c r="C709" s="260"/>
      <c r="D709" s="260"/>
      <c r="E709" s="260"/>
      <c r="F709" s="260"/>
      <c r="G709" s="260"/>
      <c r="H709" s="260"/>
      <c r="I709" s="260"/>
      <c r="J709" s="260"/>
      <c r="K709" s="261" t="s">
        <v>39</v>
      </c>
      <c r="L709" s="261" t="s">
        <v>39</v>
      </c>
      <c r="M709" s="260"/>
      <c r="N709" s="260"/>
      <c r="O709" s="260"/>
      <c r="P709" s="260"/>
      <c r="Q709" s="260"/>
      <c r="R709" s="260"/>
      <c r="S709" s="260"/>
      <c r="T709" s="260"/>
      <c r="U709" s="260"/>
      <c r="V709" s="260"/>
      <c r="W709" s="260"/>
      <c r="X709" s="260"/>
      <c r="Y709" s="260"/>
      <c r="Z709" s="260"/>
    </row>
    <row r="710">
      <c r="A710" s="259"/>
      <c r="B710" s="260"/>
      <c r="C710" s="260"/>
      <c r="D710" s="260"/>
      <c r="E710" s="260"/>
      <c r="F710" s="260"/>
      <c r="G710" s="260"/>
      <c r="H710" s="260"/>
      <c r="I710" s="260"/>
      <c r="J710" s="260"/>
      <c r="K710" s="261" t="s">
        <v>39</v>
      </c>
      <c r="L710" s="261" t="s">
        <v>39</v>
      </c>
      <c r="M710" s="260"/>
      <c r="N710" s="260"/>
      <c r="O710" s="260"/>
      <c r="P710" s="260"/>
      <c r="Q710" s="260"/>
      <c r="R710" s="260"/>
      <c r="S710" s="260"/>
      <c r="T710" s="260"/>
      <c r="U710" s="260"/>
      <c r="V710" s="260"/>
      <c r="W710" s="260"/>
      <c r="X710" s="260"/>
      <c r="Y710" s="260"/>
      <c r="Z710" s="260"/>
    </row>
    <row r="711">
      <c r="A711" s="259"/>
      <c r="B711" s="260"/>
      <c r="C711" s="260"/>
      <c r="D711" s="260"/>
      <c r="E711" s="260"/>
      <c r="F711" s="260"/>
      <c r="G711" s="260"/>
      <c r="H711" s="260"/>
      <c r="I711" s="260"/>
      <c r="J711" s="260"/>
      <c r="K711" s="261" t="s">
        <v>39</v>
      </c>
      <c r="L711" s="261" t="s">
        <v>39</v>
      </c>
      <c r="M711" s="260"/>
      <c r="N711" s="260"/>
      <c r="O711" s="260"/>
      <c r="P711" s="260"/>
      <c r="Q711" s="260"/>
      <c r="R711" s="260"/>
      <c r="S711" s="260"/>
      <c r="T711" s="260"/>
      <c r="U711" s="260"/>
      <c r="V711" s="260"/>
      <c r="W711" s="260"/>
      <c r="X711" s="260"/>
      <c r="Y711" s="260"/>
      <c r="Z711" s="260"/>
    </row>
    <row r="712">
      <c r="A712" s="259"/>
      <c r="B712" s="260"/>
      <c r="C712" s="260"/>
      <c r="D712" s="260"/>
      <c r="E712" s="260"/>
      <c r="F712" s="260"/>
      <c r="G712" s="260"/>
      <c r="H712" s="260"/>
      <c r="I712" s="260"/>
      <c r="J712" s="260"/>
      <c r="K712" s="261" t="s">
        <v>39</v>
      </c>
      <c r="L712" s="261" t="s">
        <v>39</v>
      </c>
      <c r="M712" s="260"/>
      <c r="N712" s="260"/>
      <c r="O712" s="260"/>
      <c r="P712" s="260"/>
      <c r="Q712" s="260"/>
      <c r="R712" s="260"/>
      <c r="S712" s="260"/>
      <c r="T712" s="260"/>
      <c r="U712" s="260"/>
      <c r="V712" s="260"/>
      <c r="W712" s="260"/>
      <c r="X712" s="260"/>
      <c r="Y712" s="260"/>
      <c r="Z712" s="260"/>
    </row>
    <row r="713">
      <c r="A713" s="259"/>
      <c r="B713" s="260"/>
      <c r="C713" s="260"/>
      <c r="D713" s="260"/>
      <c r="E713" s="260"/>
      <c r="F713" s="260"/>
      <c r="G713" s="260"/>
      <c r="H713" s="260"/>
      <c r="I713" s="260"/>
      <c r="J713" s="260"/>
      <c r="K713" s="261" t="s">
        <v>39</v>
      </c>
      <c r="L713" s="261" t="s">
        <v>39</v>
      </c>
      <c r="M713" s="260"/>
      <c r="N713" s="260"/>
      <c r="O713" s="260"/>
      <c r="P713" s="260"/>
      <c r="Q713" s="260"/>
      <c r="R713" s="260"/>
      <c r="S713" s="260"/>
      <c r="T713" s="260"/>
      <c r="U713" s="260"/>
      <c r="V713" s="260"/>
      <c r="W713" s="260"/>
      <c r="X713" s="260"/>
      <c r="Y713" s="260"/>
      <c r="Z713" s="260"/>
    </row>
    <row r="714">
      <c r="A714" s="259"/>
      <c r="B714" s="260"/>
      <c r="C714" s="260"/>
      <c r="D714" s="260"/>
      <c r="E714" s="260"/>
      <c r="F714" s="260"/>
      <c r="G714" s="260"/>
      <c r="H714" s="260"/>
      <c r="I714" s="260"/>
      <c r="J714" s="260"/>
      <c r="K714" s="261" t="s">
        <v>39</v>
      </c>
      <c r="L714" s="261" t="s">
        <v>39</v>
      </c>
      <c r="M714" s="260"/>
      <c r="N714" s="260"/>
      <c r="O714" s="260"/>
      <c r="P714" s="260"/>
      <c r="Q714" s="260"/>
      <c r="R714" s="260"/>
      <c r="S714" s="260"/>
      <c r="T714" s="260"/>
      <c r="U714" s="260"/>
      <c r="V714" s="260"/>
      <c r="W714" s="260"/>
      <c r="X714" s="260"/>
      <c r="Y714" s="260"/>
      <c r="Z714" s="260"/>
    </row>
    <row r="715">
      <c r="A715" s="259"/>
      <c r="B715" s="260"/>
      <c r="C715" s="260"/>
      <c r="D715" s="260"/>
      <c r="E715" s="260"/>
      <c r="F715" s="260"/>
      <c r="G715" s="260"/>
      <c r="H715" s="260"/>
      <c r="I715" s="260"/>
      <c r="J715" s="260"/>
      <c r="K715" s="261" t="s">
        <v>39</v>
      </c>
      <c r="L715" s="261" t="s">
        <v>39</v>
      </c>
      <c r="M715" s="260"/>
      <c r="N715" s="260"/>
      <c r="O715" s="260"/>
      <c r="P715" s="260"/>
      <c r="Q715" s="260"/>
      <c r="R715" s="260"/>
      <c r="S715" s="260"/>
      <c r="T715" s="260"/>
      <c r="U715" s="260"/>
      <c r="V715" s="260"/>
      <c r="W715" s="260"/>
      <c r="X715" s="260"/>
      <c r="Y715" s="260"/>
      <c r="Z715" s="260"/>
    </row>
    <row r="716">
      <c r="A716" s="259"/>
      <c r="B716" s="260"/>
      <c r="C716" s="260"/>
      <c r="D716" s="260"/>
      <c r="E716" s="260"/>
      <c r="F716" s="260"/>
      <c r="G716" s="260"/>
      <c r="H716" s="260"/>
      <c r="I716" s="260"/>
      <c r="J716" s="260"/>
      <c r="K716" s="261" t="s">
        <v>39</v>
      </c>
      <c r="L716" s="261" t="s">
        <v>39</v>
      </c>
      <c r="M716" s="260"/>
      <c r="N716" s="260"/>
      <c r="O716" s="260"/>
      <c r="P716" s="260"/>
      <c r="Q716" s="260"/>
      <c r="R716" s="260"/>
      <c r="S716" s="260"/>
      <c r="T716" s="260"/>
      <c r="U716" s="260"/>
      <c r="V716" s="260"/>
      <c r="W716" s="260"/>
      <c r="X716" s="260"/>
      <c r="Y716" s="260"/>
      <c r="Z716" s="260"/>
    </row>
    <row r="717">
      <c r="A717" s="259"/>
      <c r="B717" s="260"/>
      <c r="C717" s="260"/>
      <c r="D717" s="260"/>
      <c r="E717" s="260"/>
      <c r="F717" s="260"/>
      <c r="G717" s="260"/>
      <c r="H717" s="260"/>
      <c r="I717" s="260"/>
      <c r="J717" s="260"/>
      <c r="K717" s="261" t="s">
        <v>39</v>
      </c>
      <c r="L717" s="261" t="s">
        <v>39</v>
      </c>
      <c r="M717" s="260"/>
      <c r="N717" s="260"/>
      <c r="O717" s="260"/>
      <c r="P717" s="260"/>
      <c r="Q717" s="260"/>
      <c r="R717" s="260"/>
      <c r="S717" s="260"/>
      <c r="T717" s="260"/>
      <c r="U717" s="260"/>
      <c r="V717" s="260"/>
      <c r="W717" s="260"/>
      <c r="X717" s="260"/>
      <c r="Y717" s="260"/>
      <c r="Z717" s="260"/>
    </row>
    <row r="718">
      <c r="A718" s="259"/>
      <c r="B718" s="260"/>
      <c r="C718" s="260"/>
      <c r="D718" s="260"/>
      <c r="E718" s="260"/>
      <c r="F718" s="260"/>
      <c r="G718" s="260"/>
      <c r="H718" s="260"/>
      <c r="I718" s="260"/>
      <c r="J718" s="260"/>
      <c r="K718" s="261" t="s">
        <v>39</v>
      </c>
      <c r="L718" s="261" t="s">
        <v>39</v>
      </c>
      <c r="M718" s="260"/>
      <c r="N718" s="260"/>
      <c r="O718" s="260"/>
      <c r="P718" s="260"/>
      <c r="Q718" s="260"/>
      <c r="R718" s="260"/>
      <c r="S718" s="260"/>
      <c r="T718" s="260"/>
      <c r="U718" s="260"/>
      <c r="V718" s="260"/>
      <c r="W718" s="260"/>
      <c r="X718" s="260"/>
      <c r="Y718" s="260"/>
      <c r="Z718" s="260"/>
    </row>
    <row r="719">
      <c r="A719" s="259"/>
      <c r="B719" s="260"/>
      <c r="C719" s="260"/>
      <c r="D719" s="260"/>
      <c r="E719" s="260"/>
      <c r="F719" s="260"/>
      <c r="G719" s="260"/>
      <c r="H719" s="260"/>
      <c r="I719" s="260"/>
      <c r="J719" s="260"/>
      <c r="K719" s="261" t="s">
        <v>39</v>
      </c>
      <c r="L719" s="261" t="s">
        <v>39</v>
      </c>
      <c r="M719" s="260"/>
      <c r="N719" s="260"/>
      <c r="O719" s="260"/>
      <c r="P719" s="260"/>
      <c r="Q719" s="260"/>
      <c r="R719" s="260"/>
      <c r="S719" s="260"/>
      <c r="T719" s="260"/>
      <c r="U719" s="260"/>
      <c r="V719" s="260"/>
      <c r="W719" s="260"/>
      <c r="X719" s="260"/>
      <c r="Y719" s="260"/>
      <c r="Z719" s="260"/>
    </row>
    <row r="720">
      <c r="A720" s="259"/>
      <c r="B720" s="260"/>
      <c r="C720" s="260"/>
      <c r="D720" s="260"/>
      <c r="E720" s="260"/>
      <c r="F720" s="260"/>
      <c r="G720" s="260"/>
      <c r="H720" s="260"/>
      <c r="I720" s="260"/>
      <c r="J720" s="260"/>
      <c r="K720" s="261" t="s">
        <v>39</v>
      </c>
      <c r="L720" s="261" t="s">
        <v>39</v>
      </c>
      <c r="M720" s="260"/>
      <c r="N720" s="260"/>
      <c r="O720" s="260"/>
      <c r="P720" s="260"/>
      <c r="Q720" s="260"/>
      <c r="R720" s="260"/>
      <c r="S720" s="260"/>
      <c r="T720" s="260"/>
      <c r="U720" s="260"/>
      <c r="V720" s="260"/>
      <c r="W720" s="260"/>
      <c r="X720" s="260"/>
      <c r="Y720" s="260"/>
      <c r="Z720" s="260"/>
    </row>
    <row r="721">
      <c r="A721" s="259"/>
      <c r="B721" s="260"/>
      <c r="C721" s="260"/>
      <c r="D721" s="260"/>
      <c r="E721" s="260"/>
      <c r="F721" s="260"/>
      <c r="G721" s="260"/>
      <c r="H721" s="260"/>
      <c r="I721" s="260"/>
      <c r="J721" s="260"/>
      <c r="K721" s="261" t="s">
        <v>39</v>
      </c>
      <c r="L721" s="261" t="s">
        <v>39</v>
      </c>
      <c r="M721" s="260"/>
      <c r="N721" s="260"/>
      <c r="O721" s="260"/>
      <c r="P721" s="260"/>
      <c r="Q721" s="260"/>
      <c r="R721" s="260"/>
      <c r="S721" s="260"/>
      <c r="T721" s="260"/>
      <c r="U721" s="260"/>
      <c r="V721" s="260"/>
      <c r="W721" s="260"/>
      <c r="X721" s="260"/>
      <c r="Y721" s="260"/>
      <c r="Z721" s="260"/>
    </row>
    <row r="722">
      <c r="A722" s="259"/>
      <c r="B722" s="260"/>
      <c r="C722" s="260"/>
      <c r="D722" s="260"/>
      <c r="E722" s="260"/>
      <c r="F722" s="260"/>
      <c r="G722" s="260"/>
      <c r="H722" s="260"/>
      <c r="I722" s="260"/>
      <c r="J722" s="260"/>
      <c r="K722" s="261" t="s">
        <v>39</v>
      </c>
      <c r="L722" s="261" t="s">
        <v>39</v>
      </c>
      <c r="M722" s="260"/>
      <c r="N722" s="260"/>
      <c r="O722" s="260"/>
      <c r="P722" s="260"/>
      <c r="Q722" s="260"/>
      <c r="R722" s="260"/>
      <c r="S722" s="260"/>
      <c r="T722" s="260"/>
      <c r="U722" s="260"/>
      <c r="V722" s="260"/>
      <c r="W722" s="260"/>
      <c r="X722" s="260"/>
      <c r="Y722" s="260"/>
      <c r="Z722" s="260"/>
    </row>
    <row r="723">
      <c r="A723" s="259"/>
      <c r="B723" s="260"/>
      <c r="C723" s="260"/>
      <c r="D723" s="260"/>
      <c r="E723" s="260"/>
      <c r="F723" s="260"/>
      <c r="G723" s="260"/>
      <c r="H723" s="260"/>
      <c r="I723" s="260"/>
      <c r="J723" s="260"/>
      <c r="K723" s="261" t="s">
        <v>39</v>
      </c>
      <c r="L723" s="261" t="s">
        <v>39</v>
      </c>
      <c r="M723" s="260"/>
      <c r="N723" s="260"/>
      <c r="O723" s="260"/>
      <c r="P723" s="260"/>
      <c r="Q723" s="260"/>
      <c r="R723" s="260"/>
      <c r="S723" s="260"/>
      <c r="T723" s="260"/>
      <c r="U723" s="260"/>
      <c r="V723" s="260"/>
      <c r="W723" s="260"/>
      <c r="X723" s="260"/>
      <c r="Y723" s="260"/>
      <c r="Z723" s="260"/>
    </row>
    <row r="724">
      <c r="A724" s="259"/>
      <c r="B724" s="260"/>
      <c r="C724" s="260"/>
      <c r="D724" s="260"/>
      <c r="E724" s="260"/>
      <c r="F724" s="260"/>
      <c r="G724" s="260"/>
      <c r="H724" s="260"/>
      <c r="I724" s="260"/>
      <c r="J724" s="260"/>
      <c r="K724" s="261" t="s">
        <v>39</v>
      </c>
      <c r="L724" s="261" t="s">
        <v>39</v>
      </c>
      <c r="M724" s="260"/>
      <c r="N724" s="260"/>
      <c r="O724" s="260"/>
      <c r="P724" s="260"/>
      <c r="Q724" s="260"/>
      <c r="R724" s="260"/>
      <c r="S724" s="260"/>
      <c r="T724" s="260"/>
      <c r="U724" s="260"/>
      <c r="V724" s="260"/>
      <c r="W724" s="260"/>
      <c r="X724" s="260"/>
      <c r="Y724" s="260"/>
      <c r="Z724" s="260"/>
    </row>
    <row r="725">
      <c r="A725" s="259"/>
      <c r="B725" s="260"/>
      <c r="C725" s="260"/>
      <c r="D725" s="260"/>
      <c r="E725" s="260"/>
      <c r="F725" s="260"/>
      <c r="G725" s="260"/>
      <c r="H725" s="260"/>
      <c r="I725" s="260"/>
      <c r="J725" s="260"/>
      <c r="K725" s="261" t="s">
        <v>39</v>
      </c>
      <c r="L725" s="261" t="s">
        <v>39</v>
      </c>
      <c r="M725" s="260"/>
      <c r="N725" s="260"/>
      <c r="O725" s="260"/>
      <c r="P725" s="260"/>
      <c r="Q725" s="260"/>
      <c r="R725" s="260"/>
      <c r="S725" s="260"/>
      <c r="T725" s="260"/>
      <c r="U725" s="260"/>
      <c r="V725" s="260"/>
      <c r="W725" s="260"/>
      <c r="X725" s="260"/>
      <c r="Y725" s="260"/>
      <c r="Z725" s="260"/>
    </row>
    <row r="726">
      <c r="A726" s="259"/>
      <c r="B726" s="260"/>
      <c r="C726" s="260"/>
      <c r="D726" s="260"/>
      <c r="E726" s="260"/>
      <c r="F726" s="260"/>
      <c r="G726" s="260"/>
      <c r="H726" s="260"/>
      <c r="I726" s="260"/>
      <c r="J726" s="260"/>
      <c r="K726" s="261" t="s">
        <v>39</v>
      </c>
      <c r="L726" s="261" t="s">
        <v>39</v>
      </c>
      <c r="M726" s="260"/>
      <c r="N726" s="260"/>
      <c r="O726" s="260"/>
      <c r="P726" s="260"/>
      <c r="Q726" s="260"/>
      <c r="R726" s="260"/>
      <c r="S726" s="260"/>
      <c r="T726" s="260"/>
      <c r="U726" s="260"/>
      <c r="V726" s="260"/>
      <c r="W726" s="260"/>
      <c r="X726" s="260"/>
      <c r="Y726" s="260"/>
      <c r="Z726" s="260"/>
    </row>
    <row r="727">
      <c r="A727" s="259"/>
      <c r="B727" s="260"/>
      <c r="C727" s="260"/>
      <c r="D727" s="260"/>
      <c r="E727" s="260"/>
      <c r="F727" s="260"/>
      <c r="G727" s="260"/>
      <c r="H727" s="260"/>
      <c r="I727" s="260"/>
      <c r="J727" s="260"/>
      <c r="K727" s="261" t="s">
        <v>39</v>
      </c>
      <c r="L727" s="261" t="s">
        <v>39</v>
      </c>
      <c r="M727" s="260"/>
      <c r="N727" s="260"/>
      <c r="O727" s="260"/>
      <c r="P727" s="260"/>
      <c r="Q727" s="260"/>
      <c r="R727" s="260"/>
      <c r="S727" s="260"/>
      <c r="T727" s="260"/>
      <c r="U727" s="260"/>
      <c r="V727" s="260"/>
      <c r="W727" s="260"/>
      <c r="X727" s="260"/>
      <c r="Y727" s="260"/>
      <c r="Z727" s="260"/>
    </row>
    <row r="728">
      <c r="A728" s="259"/>
      <c r="B728" s="260"/>
      <c r="C728" s="260"/>
      <c r="D728" s="260"/>
      <c r="E728" s="260"/>
      <c r="F728" s="260"/>
      <c r="G728" s="260"/>
      <c r="H728" s="260"/>
      <c r="I728" s="260"/>
      <c r="J728" s="260"/>
      <c r="K728" s="261" t="s">
        <v>39</v>
      </c>
      <c r="L728" s="261" t="s">
        <v>39</v>
      </c>
      <c r="M728" s="260"/>
      <c r="N728" s="260"/>
      <c r="O728" s="260"/>
      <c r="P728" s="260"/>
      <c r="Q728" s="260"/>
      <c r="R728" s="260"/>
      <c r="S728" s="260"/>
      <c r="T728" s="260"/>
      <c r="U728" s="260"/>
      <c r="V728" s="260"/>
      <c r="W728" s="260"/>
      <c r="X728" s="260"/>
      <c r="Y728" s="260"/>
      <c r="Z728" s="260"/>
    </row>
    <row r="729">
      <c r="A729" s="259"/>
      <c r="B729" s="260"/>
      <c r="C729" s="260"/>
      <c r="D729" s="260"/>
      <c r="E729" s="260"/>
      <c r="F729" s="260"/>
      <c r="G729" s="260"/>
      <c r="H729" s="260"/>
      <c r="I729" s="260"/>
      <c r="J729" s="260"/>
      <c r="K729" s="261" t="s">
        <v>39</v>
      </c>
      <c r="L729" s="261" t="s">
        <v>39</v>
      </c>
      <c r="M729" s="260"/>
      <c r="N729" s="260"/>
      <c r="O729" s="260"/>
      <c r="P729" s="260"/>
      <c r="Q729" s="260"/>
      <c r="R729" s="260"/>
      <c r="S729" s="260"/>
      <c r="T729" s="260"/>
      <c r="U729" s="260"/>
      <c r="V729" s="260"/>
      <c r="W729" s="260"/>
      <c r="X729" s="260"/>
      <c r="Y729" s="260"/>
      <c r="Z729" s="260"/>
    </row>
    <row r="730">
      <c r="A730" s="259"/>
      <c r="B730" s="260"/>
      <c r="C730" s="260"/>
      <c r="D730" s="260"/>
      <c r="E730" s="260"/>
      <c r="F730" s="260"/>
      <c r="G730" s="260"/>
      <c r="H730" s="260"/>
      <c r="I730" s="260"/>
      <c r="J730" s="260"/>
      <c r="K730" s="261" t="s">
        <v>39</v>
      </c>
      <c r="L730" s="261" t="s">
        <v>39</v>
      </c>
      <c r="M730" s="260"/>
      <c r="N730" s="260"/>
      <c r="O730" s="260"/>
      <c r="P730" s="260"/>
      <c r="Q730" s="260"/>
      <c r="R730" s="260"/>
      <c r="S730" s="260"/>
      <c r="T730" s="260"/>
      <c r="U730" s="260"/>
      <c r="V730" s="260"/>
      <c r="W730" s="260"/>
      <c r="X730" s="260"/>
      <c r="Y730" s="260"/>
      <c r="Z730" s="260"/>
    </row>
    <row r="731">
      <c r="A731" s="259"/>
      <c r="B731" s="260"/>
      <c r="C731" s="260"/>
      <c r="D731" s="260"/>
      <c r="E731" s="260"/>
      <c r="F731" s="260"/>
      <c r="G731" s="260"/>
      <c r="H731" s="260"/>
      <c r="I731" s="260"/>
      <c r="J731" s="260"/>
      <c r="K731" s="261" t="s">
        <v>39</v>
      </c>
      <c r="L731" s="261" t="s">
        <v>39</v>
      </c>
      <c r="M731" s="260"/>
      <c r="N731" s="260"/>
      <c r="O731" s="260"/>
      <c r="P731" s="260"/>
      <c r="Q731" s="260"/>
      <c r="R731" s="260"/>
      <c r="S731" s="260"/>
      <c r="T731" s="260"/>
      <c r="U731" s="260"/>
      <c r="V731" s="260"/>
      <c r="W731" s="260"/>
      <c r="X731" s="260"/>
      <c r="Y731" s="260"/>
      <c r="Z731" s="260"/>
    </row>
    <row r="732">
      <c r="A732" s="259"/>
      <c r="B732" s="260"/>
      <c r="C732" s="260"/>
      <c r="D732" s="260"/>
      <c r="E732" s="260"/>
      <c r="F732" s="260"/>
      <c r="G732" s="260"/>
      <c r="H732" s="260"/>
      <c r="I732" s="260"/>
      <c r="J732" s="260"/>
      <c r="K732" s="261" t="s">
        <v>39</v>
      </c>
      <c r="L732" s="261" t="s">
        <v>39</v>
      </c>
      <c r="M732" s="260"/>
      <c r="N732" s="260"/>
      <c r="O732" s="260"/>
      <c r="P732" s="260"/>
      <c r="Q732" s="260"/>
      <c r="R732" s="260"/>
      <c r="S732" s="260"/>
      <c r="T732" s="260"/>
      <c r="U732" s="260"/>
      <c r="V732" s="260"/>
      <c r="W732" s="260"/>
      <c r="X732" s="260"/>
      <c r="Y732" s="260"/>
      <c r="Z732" s="260"/>
    </row>
    <row r="733">
      <c r="A733" s="259"/>
      <c r="B733" s="260"/>
      <c r="C733" s="260"/>
      <c r="D733" s="260"/>
      <c r="E733" s="260"/>
      <c r="F733" s="260"/>
      <c r="G733" s="260"/>
      <c r="H733" s="260"/>
      <c r="I733" s="260"/>
      <c r="J733" s="260"/>
      <c r="K733" s="261" t="s">
        <v>39</v>
      </c>
      <c r="L733" s="261" t="s">
        <v>39</v>
      </c>
      <c r="M733" s="260"/>
      <c r="N733" s="260"/>
      <c r="O733" s="260"/>
      <c r="P733" s="260"/>
      <c r="Q733" s="260"/>
      <c r="R733" s="260"/>
      <c r="S733" s="260"/>
      <c r="T733" s="260"/>
      <c r="U733" s="260"/>
      <c r="V733" s="260"/>
      <c r="W733" s="260"/>
      <c r="X733" s="260"/>
      <c r="Y733" s="260"/>
      <c r="Z733" s="260"/>
    </row>
    <row r="734">
      <c r="A734" s="259"/>
      <c r="B734" s="260"/>
      <c r="C734" s="260"/>
      <c r="D734" s="260"/>
      <c r="E734" s="260"/>
      <c r="F734" s="260"/>
      <c r="G734" s="260"/>
      <c r="H734" s="260"/>
      <c r="I734" s="260"/>
      <c r="J734" s="260"/>
      <c r="K734" s="261" t="s">
        <v>39</v>
      </c>
      <c r="L734" s="261" t="s">
        <v>39</v>
      </c>
      <c r="M734" s="260"/>
      <c r="N734" s="260"/>
      <c r="O734" s="260"/>
      <c r="P734" s="260"/>
      <c r="Q734" s="260"/>
      <c r="R734" s="260"/>
      <c r="S734" s="260"/>
      <c r="T734" s="260"/>
      <c r="U734" s="260"/>
      <c r="V734" s="260"/>
      <c r="W734" s="260"/>
      <c r="X734" s="260"/>
      <c r="Y734" s="260"/>
      <c r="Z734" s="260"/>
    </row>
    <row r="735">
      <c r="A735" s="259"/>
      <c r="B735" s="260"/>
      <c r="C735" s="260"/>
      <c r="D735" s="260"/>
      <c r="E735" s="260"/>
      <c r="F735" s="260"/>
      <c r="G735" s="260"/>
      <c r="H735" s="260"/>
      <c r="I735" s="260"/>
      <c r="J735" s="260"/>
      <c r="K735" s="261" t="s">
        <v>39</v>
      </c>
      <c r="L735" s="261" t="s">
        <v>39</v>
      </c>
      <c r="M735" s="260"/>
      <c r="N735" s="260"/>
      <c r="O735" s="260"/>
      <c r="P735" s="260"/>
      <c r="Q735" s="260"/>
      <c r="R735" s="260"/>
      <c r="S735" s="260"/>
      <c r="T735" s="260"/>
      <c r="U735" s="260"/>
      <c r="V735" s="260"/>
      <c r="W735" s="260"/>
      <c r="X735" s="260"/>
      <c r="Y735" s="260"/>
      <c r="Z735" s="260"/>
    </row>
    <row r="736">
      <c r="A736" s="259"/>
      <c r="B736" s="260"/>
      <c r="C736" s="260"/>
      <c r="D736" s="260"/>
      <c r="E736" s="260"/>
      <c r="F736" s="260"/>
      <c r="G736" s="260"/>
      <c r="H736" s="260"/>
      <c r="I736" s="260"/>
      <c r="J736" s="260"/>
      <c r="K736" s="261" t="s">
        <v>39</v>
      </c>
      <c r="L736" s="261" t="s">
        <v>39</v>
      </c>
      <c r="M736" s="260"/>
      <c r="N736" s="260"/>
      <c r="O736" s="260"/>
      <c r="P736" s="260"/>
      <c r="Q736" s="260"/>
      <c r="R736" s="260"/>
      <c r="S736" s="260"/>
      <c r="T736" s="260"/>
      <c r="U736" s="260"/>
      <c r="V736" s="260"/>
      <c r="W736" s="260"/>
      <c r="X736" s="260"/>
      <c r="Y736" s="260"/>
      <c r="Z736" s="260"/>
    </row>
    <row r="737">
      <c r="A737" s="259"/>
      <c r="B737" s="260"/>
      <c r="C737" s="260"/>
      <c r="D737" s="260"/>
      <c r="E737" s="260"/>
      <c r="F737" s="260"/>
      <c r="G737" s="260"/>
      <c r="H737" s="260"/>
      <c r="I737" s="260"/>
      <c r="J737" s="260"/>
      <c r="K737" s="261" t="s">
        <v>39</v>
      </c>
      <c r="L737" s="261" t="s">
        <v>39</v>
      </c>
      <c r="M737" s="260"/>
      <c r="N737" s="260"/>
      <c r="O737" s="260"/>
      <c r="P737" s="260"/>
      <c r="Q737" s="260"/>
      <c r="R737" s="260"/>
      <c r="S737" s="260"/>
      <c r="T737" s="260"/>
      <c r="U737" s="260"/>
      <c r="V737" s="260"/>
      <c r="W737" s="260"/>
      <c r="X737" s="260"/>
      <c r="Y737" s="260"/>
      <c r="Z737" s="260"/>
    </row>
    <row r="738">
      <c r="A738" s="259"/>
      <c r="B738" s="260"/>
      <c r="C738" s="260"/>
      <c r="D738" s="260"/>
      <c r="E738" s="260"/>
      <c r="F738" s="260"/>
      <c r="G738" s="260"/>
      <c r="H738" s="260"/>
      <c r="I738" s="260"/>
      <c r="J738" s="260"/>
      <c r="K738" s="261" t="s">
        <v>39</v>
      </c>
      <c r="L738" s="261" t="s">
        <v>39</v>
      </c>
      <c r="M738" s="260"/>
      <c r="N738" s="260"/>
      <c r="O738" s="260"/>
      <c r="P738" s="260"/>
      <c r="Q738" s="260"/>
      <c r="R738" s="260"/>
      <c r="S738" s="260"/>
      <c r="T738" s="260"/>
      <c r="U738" s="260"/>
      <c r="V738" s="260"/>
      <c r="W738" s="260"/>
      <c r="X738" s="260"/>
      <c r="Y738" s="260"/>
      <c r="Z738" s="260"/>
    </row>
    <row r="739">
      <c r="A739" s="259"/>
      <c r="B739" s="260"/>
      <c r="C739" s="260"/>
      <c r="D739" s="260"/>
      <c r="E739" s="260"/>
      <c r="F739" s="260"/>
      <c r="G739" s="260"/>
      <c r="H739" s="260"/>
      <c r="I739" s="260"/>
      <c r="J739" s="260"/>
      <c r="K739" s="261" t="s">
        <v>39</v>
      </c>
      <c r="L739" s="261" t="s">
        <v>39</v>
      </c>
      <c r="M739" s="260"/>
      <c r="N739" s="260"/>
      <c r="O739" s="260"/>
      <c r="P739" s="260"/>
      <c r="Q739" s="260"/>
      <c r="R739" s="260"/>
      <c r="S739" s="260"/>
      <c r="T739" s="260"/>
      <c r="U739" s="260"/>
      <c r="V739" s="260"/>
      <c r="W739" s="260"/>
      <c r="X739" s="260"/>
      <c r="Y739" s="260"/>
      <c r="Z739" s="260"/>
    </row>
    <row r="740">
      <c r="A740" s="259"/>
      <c r="B740" s="260"/>
      <c r="C740" s="260"/>
      <c r="D740" s="260"/>
      <c r="E740" s="260"/>
      <c r="F740" s="260"/>
      <c r="G740" s="260"/>
      <c r="H740" s="260"/>
      <c r="I740" s="260"/>
      <c r="J740" s="260"/>
      <c r="K740" s="261" t="s">
        <v>39</v>
      </c>
      <c r="L740" s="261" t="s">
        <v>39</v>
      </c>
      <c r="M740" s="260"/>
      <c r="N740" s="260"/>
      <c r="O740" s="260"/>
      <c r="P740" s="260"/>
      <c r="Q740" s="260"/>
      <c r="R740" s="260"/>
      <c r="S740" s="260"/>
      <c r="T740" s="260"/>
      <c r="U740" s="260"/>
      <c r="V740" s="260"/>
      <c r="W740" s="260"/>
      <c r="X740" s="260"/>
      <c r="Y740" s="260"/>
      <c r="Z740" s="260"/>
    </row>
    <row r="741">
      <c r="A741" s="259"/>
      <c r="B741" s="260"/>
      <c r="C741" s="260"/>
      <c r="D741" s="260"/>
      <c r="E741" s="260"/>
      <c r="F741" s="260"/>
      <c r="G741" s="260"/>
      <c r="H741" s="260"/>
      <c r="I741" s="260"/>
      <c r="J741" s="260"/>
      <c r="K741" s="261" t="s">
        <v>39</v>
      </c>
      <c r="L741" s="261" t="s">
        <v>39</v>
      </c>
      <c r="M741" s="260"/>
      <c r="N741" s="260"/>
      <c r="O741" s="260"/>
      <c r="P741" s="260"/>
      <c r="Q741" s="260"/>
      <c r="R741" s="260"/>
      <c r="S741" s="260"/>
      <c r="T741" s="260"/>
      <c r="U741" s="260"/>
      <c r="V741" s="260"/>
      <c r="W741" s="260"/>
      <c r="X741" s="260"/>
      <c r="Y741" s="260"/>
      <c r="Z741" s="260"/>
    </row>
    <row r="742">
      <c r="A742" s="259"/>
      <c r="B742" s="260"/>
      <c r="C742" s="260"/>
      <c r="D742" s="260"/>
      <c r="E742" s="260"/>
      <c r="F742" s="260"/>
      <c r="G742" s="260"/>
      <c r="H742" s="260"/>
      <c r="I742" s="260"/>
      <c r="J742" s="260"/>
      <c r="K742" s="261" t="s">
        <v>39</v>
      </c>
      <c r="L742" s="261" t="s">
        <v>39</v>
      </c>
      <c r="M742" s="260"/>
      <c r="N742" s="260"/>
      <c r="O742" s="260"/>
      <c r="P742" s="260"/>
      <c r="Q742" s="260"/>
      <c r="R742" s="260"/>
      <c r="S742" s="260"/>
      <c r="T742" s="260"/>
      <c r="U742" s="260"/>
      <c r="V742" s="260"/>
      <c r="W742" s="260"/>
      <c r="X742" s="260"/>
      <c r="Y742" s="260"/>
      <c r="Z742" s="260"/>
    </row>
    <row r="743">
      <c r="A743" s="259"/>
      <c r="B743" s="260"/>
      <c r="C743" s="260"/>
      <c r="D743" s="260"/>
      <c r="E743" s="260"/>
      <c r="F743" s="260"/>
      <c r="G743" s="260"/>
      <c r="H743" s="260"/>
      <c r="I743" s="260"/>
      <c r="J743" s="260"/>
      <c r="K743" s="261" t="s">
        <v>39</v>
      </c>
      <c r="L743" s="261" t="s">
        <v>39</v>
      </c>
      <c r="M743" s="260"/>
      <c r="N743" s="260"/>
      <c r="O743" s="260"/>
      <c r="P743" s="260"/>
      <c r="Q743" s="260"/>
      <c r="R743" s="260"/>
      <c r="S743" s="260"/>
      <c r="T743" s="260"/>
      <c r="U743" s="260"/>
      <c r="V743" s="260"/>
      <c r="W743" s="260"/>
      <c r="X743" s="260"/>
      <c r="Y743" s="260"/>
      <c r="Z743" s="260"/>
    </row>
    <row r="744">
      <c r="A744" s="259"/>
      <c r="B744" s="260"/>
      <c r="C744" s="260"/>
      <c r="D744" s="260"/>
      <c r="E744" s="260"/>
      <c r="F744" s="260"/>
      <c r="G744" s="260"/>
      <c r="H744" s="260"/>
      <c r="I744" s="260"/>
      <c r="J744" s="260"/>
      <c r="K744" s="261" t="s">
        <v>39</v>
      </c>
      <c r="L744" s="261" t="s">
        <v>39</v>
      </c>
      <c r="M744" s="260"/>
      <c r="N744" s="260"/>
      <c r="O744" s="260"/>
      <c r="P744" s="260"/>
      <c r="Q744" s="260"/>
      <c r="R744" s="260"/>
      <c r="S744" s="260"/>
      <c r="T744" s="260"/>
      <c r="U744" s="260"/>
      <c r="V744" s="260"/>
      <c r="W744" s="260"/>
      <c r="X744" s="260"/>
      <c r="Y744" s="260"/>
      <c r="Z744" s="260"/>
    </row>
    <row r="745">
      <c r="A745" s="259"/>
      <c r="B745" s="260"/>
      <c r="C745" s="260"/>
      <c r="D745" s="260"/>
      <c r="E745" s="260"/>
      <c r="F745" s="260"/>
      <c r="G745" s="260"/>
      <c r="H745" s="260"/>
      <c r="I745" s="260"/>
      <c r="J745" s="260"/>
      <c r="K745" s="261" t="s">
        <v>39</v>
      </c>
      <c r="L745" s="261" t="s">
        <v>39</v>
      </c>
      <c r="M745" s="260"/>
      <c r="N745" s="260"/>
      <c r="O745" s="260"/>
      <c r="P745" s="260"/>
      <c r="Q745" s="260"/>
      <c r="R745" s="260"/>
      <c r="S745" s="260"/>
      <c r="T745" s="260"/>
      <c r="U745" s="260"/>
      <c r="V745" s="260"/>
      <c r="W745" s="260"/>
      <c r="X745" s="260"/>
      <c r="Y745" s="260"/>
      <c r="Z745" s="260"/>
    </row>
    <row r="746">
      <c r="A746" s="259"/>
      <c r="B746" s="260"/>
      <c r="C746" s="260"/>
      <c r="D746" s="260"/>
      <c r="E746" s="260"/>
      <c r="F746" s="260"/>
      <c r="G746" s="260"/>
      <c r="H746" s="260"/>
      <c r="I746" s="260"/>
      <c r="J746" s="260"/>
      <c r="K746" s="261" t="s">
        <v>39</v>
      </c>
      <c r="L746" s="261" t="s">
        <v>39</v>
      </c>
      <c r="M746" s="260"/>
      <c r="N746" s="260"/>
      <c r="O746" s="260"/>
      <c r="P746" s="260"/>
      <c r="Q746" s="260"/>
      <c r="R746" s="260"/>
      <c r="S746" s="260"/>
      <c r="T746" s="260"/>
      <c r="U746" s="260"/>
      <c r="V746" s="260"/>
      <c r="W746" s="260"/>
      <c r="X746" s="260"/>
      <c r="Y746" s="260"/>
      <c r="Z746" s="260"/>
    </row>
    <row r="747">
      <c r="A747" s="259"/>
      <c r="B747" s="260"/>
      <c r="C747" s="260"/>
      <c r="D747" s="260"/>
      <c r="E747" s="260"/>
      <c r="F747" s="260"/>
      <c r="G747" s="260"/>
      <c r="H747" s="260"/>
      <c r="I747" s="260"/>
      <c r="J747" s="260"/>
      <c r="K747" s="261" t="s">
        <v>39</v>
      </c>
      <c r="L747" s="261" t="s">
        <v>39</v>
      </c>
      <c r="M747" s="260"/>
      <c r="N747" s="260"/>
      <c r="O747" s="260"/>
      <c r="P747" s="260"/>
      <c r="Q747" s="260"/>
      <c r="R747" s="260"/>
      <c r="S747" s="260"/>
      <c r="T747" s="260"/>
      <c r="U747" s="260"/>
      <c r="V747" s="260"/>
      <c r="W747" s="260"/>
      <c r="X747" s="260"/>
      <c r="Y747" s="260"/>
      <c r="Z747" s="260"/>
    </row>
    <row r="748">
      <c r="A748" s="259"/>
      <c r="B748" s="260"/>
      <c r="C748" s="260"/>
      <c r="D748" s="260"/>
      <c r="E748" s="260"/>
      <c r="F748" s="260"/>
      <c r="G748" s="260"/>
      <c r="H748" s="260"/>
      <c r="I748" s="260"/>
      <c r="J748" s="260"/>
      <c r="K748" s="261" t="s">
        <v>39</v>
      </c>
      <c r="L748" s="261" t="s">
        <v>39</v>
      </c>
      <c r="M748" s="260"/>
      <c r="N748" s="260"/>
      <c r="O748" s="260"/>
      <c r="P748" s="260"/>
      <c r="Q748" s="260"/>
      <c r="R748" s="260"/>
      <c r="S748" s="260"/>
      <c r="T748" s="260"/>
      <c r="U748" s="260"/>
      <c r="V748" s="260"/>
      <c r="W748" s="260"/>
      <c r="X748" s="260"/>
      <c r="Y748" s="260"/>
      <c r="Z748" s="260"/>
    </row>
    <row r="749">
      <c r="A749" s="259"/>
      <c r="B749" s="260"/>
      <c r="C749" s="260"/>
      <c r="D749" s="260"/>
      <c r="E749" s="260"/>
      <c r="F749" s="260"/>
      <c r="G749" s="260"/>
      <c r="H749" s="260"/>
      <c r="I749" s="260"/>
      <c r="J749" s="260"/>
      <c r="K749" s="261" t="s">
        <v>39</v>
      </c>
      <c r="L749" s="261" t="s">
        <v>39</v>
      </c>
      <c r="M749" s="260"/>
      <c r="N749" s="260"/>
      <c r="O749" s="260"/>
      <c r="P749" s="260"/>
      <c r="Q749" s="260"/>
      <c r="R749" s="260"/>
      <c r="S749" s="260"/>
      <c r="T749" s="260"/>
      <c r="U749" s="260"/>
      <c r="V749" s="260"/>
      <c r="W749" s="260"/>
      <c r="X749" s="260"/>
      <c r="Y749" s="260"/>
      <c r="Z749" s="260"/>
    </row>
    <row r="750">
      <c r="A750" s="259"/>
      <c r="B750" s="260"/>
      <c r="C750" s="260"/>
      <c r="D750" s="260"/>
      <c r="E750" s="260"/>
      <c r="F750" s="260"/>
      <c r="G750" s="260"/>
      <c r="H750" s="260"/>
      <c r="I750" s="260"/>
      <c r="J750" s="260"/>
      <c r="K750" s="261" t="s">
        <v>39</v>
      </c>
      <c r="L750" s="261" t="s">
        <v>39</v>
      </c>
      <c r="M750" s="260"/>
      <c r="N750" s="260"/>
      <c r="O750" s="260"/>
      <c r="P750" s="260"/>
      <c r="Q750" s="260"/>
      <c r="R750" s="260"/>
      <c r="S750" s="260"/>
      <c r="T750" s="260"/>
      <c r="U750" s="260"/>
      <c r="V750" s="260"/>
      <c r="W750" s="260"/>
      <c r="X750" s="260"/>
      <c r="Y750" s="260"/>
      <c r="Z750" s="260"/>
    </row>
    <row r="751">
      <c r="A751" s="259"/>
      <c r="B751" s="260"/>
      <c r="C751" s="260"/>
      <c r="D751" s="260"/>
      <c r="E751" s="260"/>
      <c r="F751" s="260"/>
      <c r="G751" s="260"/>
      <c r="H751" s="260"/>
      <c r="I751" s="260"/>
      <c r="J751" s="260"/>
      <c r="K751" s="261" t="s">
        <v>39</v>
      </c>
      <c r="L751" s="261" t="s">
        <v>39</v>
      </c>
      <c r="M751" s="260"/>
      <c r="N751" s="260"/>
      <c r="O751" s="260"/>
      <c r="P751" s="260"/>
      <c r="Q751" s="260"/>
      <c r="R751" s="260"/>
      <c r="S751" s="260"/>
      <c r="T751" s="260"/>
      <c r="U751" s="260"/>
      <c r="V751" s="260"/>
      <c r="W751" s="260"/>
      <c r="X751" s="260"/>
      <c r="Y751" s="260"/>
      <c r="Z751" s="260"/>
    </row>
    <row r="752">
      <c r="A752" s="259"/>
      <c r="B752" s="260"/>
      <c r="C752" s="260"/>
      <c r="D752" s="260"/>
      <c r="E752" s="260"/>
      <c r="F752" s="260"/>
      <c r="G752" s="260"/>
      <c r="H752" s="260"/>
      <c r="I752" s="260"/>
      <c r="J752" s="260"/>
      <c r="K752" s="261" t="s">
        <v>39</v>
      </c>
      <c r="L752" s="261" t="s">
        <v>39</v>
      </c>
      <c r="M752" s="260"/>
      <c r="N752" s="260"/>
      <c r="O752" s="260"/>
      <c r="P752" s="260"/>
      <c r="Q752" s="260"/>
      <c r="R752" s="260"/>
      <c r="S752" s="260"/>
      <c r="T752" s="260"/>
      <c r="U752" s="260"/>
      <c r="V752" s="260"/>
      <c r="W752" s="260"/>
      <c r="X752" s="260"/>
      <c r="Y752" s="260"/>
      <c r="Z752" s="260"/>
    </row>
    <row r="753">
      <c r="A753" s="259"/>
      <c r="B753" s="260"/>
      <c r="C753" s="260"/>
      <c r="D753" s="260"/>
      <c r="E753" s="260"/>
      <c r="F753" s="260"/>
      <c r="G753" s="260"/>
      <c r="H753" s="260"/>
      <c r="I753" s="260"/>
      <c r="J753" s="260"/>
      <c r="K753" s="261" t="s">
        <v>39</v>
      </c>
      <c r="L753" s="261" t="s">
        <v>39</v>
      </c>
      <c r="M753" s="260"/>
      <c r="N753" s="260"/>
      <c r="O753" s="260"/>
      <c r="P753" s="260"/>
      <c r="Q753" s="260"/>
      <c r="R753" s="260"/>
      <c r="S753" s="260"/>
      <c r="T753" s="260"/>
      <c r="U753" s="260"/>
      <c r="V753" s="260"/>
      <c r="W753" s="260"/>
      <c r="X753" s="260"/>
      <c r="Y753" s="260"/>
      <c r="Z753" s="260"/>
    </row>
    <row r="754">
      <c r="A754" s="259"/>
      <c r="B754" s="260"/>
      <c r="C754" s="260"/>
      <c r="D754" s="260"/>
      <c r="E754" s="260"/>
      <c r="F754" s="260"/>
      <c r="G754" s="260"/>
      <c r="H754" s="260"/>
      <c r="I754" s="260"/>
      <c r="J754" s="260"/>
      <c r="K754" s="261" t="s">
        <v>39</v>
      </c>
      <c r="L754" s="261" t="s">
        <v>39</v>
      </c>
      <c r="M754" s="260"/>
      <c r="N754" s="260"/>
      <c r="O754" s="260"/>
      <c r="P754" s="260"/>
      <c r="Q754" s="260"/>
      <c r="R754" s="260"/>
      <c r="S754" s="260"/>
      <c r="T754" s="260"/>
      <c r="U754" s="260"/>
      <c r="V754" s="260"/>
      <c r="W754" s="260"/>
      <c r="X754" s="260"/>
      <c r="Y754" s="260"/>
      <c r="Z754" s="260"/>
    </row>
    <row r="755">
      <c r="A755" s="259"/>
      <c r="B755" s="260"/>
      <c r="C755" s="260"/>
      <c r="D755" s="260"/>
      <c r="E755" s="260"/>
      <c r="F755" s="260"/>
      <c r="G755" s="260"/>
      <c r="H755" s="260"/>
      <c r="I755" s="260"/>
      <c r="J755" s="260"/>
      <c r="K755" s="261" t="s">
        <v>39</v>
      </c>
      <c r="L755" s="261" t="s">
        <v>39</v>
      </c>
      <c r="M755" s="260"/>
      <c r="N755" s="260"/>
      <c r="O755" s="260"/>
      <c r="P755" s="260"/>
      <c r="Q755" s="260"/>
      <c r="R755" s="260"/>
      <c r="S755" s="260"/>
      <c r="T755" s="260"/>
      <c r="U755" s="260"/>
      <c r="V755" s="260"/>
      <c r="W755" s="260"/>
      <c r="X755" s="260"/>
      <c r="Y755" s="260"/>
      <c r="Z755" s="260"/>
    </row>
    <row r="756">
      <c r="A756" s="259"/>
      <c r="B756" s="260"/>
      <c r="C756" s="260"/>
      <c r="D756" s="260"/>
      <c r="E756" s="260"/>
      <c r="F756" s="260"/>
      <c r="G756" s="260"/>
      <c r="H756" s="260"/>
      <c r="I756" s="260"/>
      <c r="J756" s="260"/>
      <c r="K756" s="261" t="s">
        <v>39</v>
      </c>
      <c r="L756" s="261" t="s">
        <v>39</v>
      </c>
      <c r="M756" s="260"/>
      <c r="N756" s="260"/>
      <c r="O756" s="260"/>
      <c r="P756" s="260"/>
      <c r="Q756" s="260"/>
      <c r="R756" s="260"/>
      <c r="S756" s="260"/>
      <c r="T756" s="260"/>
      <c r="U756" s="260"/>
      <c r="V756" s="260"/>
      <c r="W756" s="260"/>
      <c r="X756" s="260"/>
      <c r="Y756" s="260"/>
      <c r="Z756" s="260"/>
    </row>
    <row r="757">
      <c r="A757" s="259"/>
      <c r="B757" s="260"/>
      <c r="C757" s="260"/>
      <c r="D757" s="260"/>
      <c r="E757" s="260"/>
      <c r="F757" s="260"/>
      <c r="G757" s="260"/>
      <c r="H757" s="260"/>
      <c r="I757" s="260"/>
      <c r="J757" s="260"/>
      <c r="K757" s="261" t="s">
        <v>39</v>
      </c>
      <c r="L757" s="261" t="s">
        <v>39</v>
      </c>
      <c r="M757" s="260"/>
      <c r="N757" s="260"/>
      <c r="O757" s="260"/>
      <c r="P757" s="260"/>
      <c r="Q757" s="260"/>
      <c r="R757" s="260"/>
      <c r="S757" s="260"/>
      <c r="T757" s="260"/>
      <c r="U757" s="260"/>
      <c r="V757" s="260"/>
      <c r="W757" s="260"/>
      <c r="X757" s="260"/>
      <c r="Y757" s="260"/>
      <c r="Z757" s="260"/>
    </row>
    <row r="758">
      <c r="A758" s="259"/>
      <c r="B758" s="260"/>
      <c r="C758" s="260"/>
      <c r="D758" s="260"/>
      <c r="E758" s="260"/>
      <c r="F758" s="260"/>
      <c r="G758" s="260"/>
      <c r="H758" s="260"/>
      <c r="I758" s="260"/>
      <c r="J758" s="260"/>
      <c r="K758" s="261" t="s">
        <v>39</v>
      </c>
      <c r="L758" s="261" t="s">
        <v>39</v>
      </c>
      <c r="M758" s="260"/>
      <c r="N758" s="260"/>
      <c r="O758" s="260"/>
      <c r="P758" s="260"/>
      <c r="Q758" s="260"/>
      <c r="R758" s="260"/>
      <c r="S758" s="260"/>
      <c r="T758" s="260"/>
      <c r="U758" s="260"/>
      <c r="V758" s="260"/>
      <c r="W758" s="260"/>
      <c r="X758" s="260"/>
      <c r="Y758" s="260"/>
      <c r="Z758" s="260"/>
    </row>
    <row r="759">
      <c r="A759" s="259"/>
      <c r="B759" s="260"/>
      <c r="C759" s="260"/>
      <c r="D759" s="260"/>
      <c r="E759" s="260"/>
      <c r="F759" s="260"/>
      <c r="G759" s="260"/>
      <c r="H759" s="260"/>
      <c r="I759" s="260"/>
      <c r="J759" s="260"/>
      <c r="K759" s="261" t="s">
        <v>39</v>
      </c>
      <c r="L759" s="261" t="s">
        <v>39</v>
      </c>
      <c r="M759" s="260"/>
      <c r="N759" s="260"/>
      <c r="O759" s="260"/>
      <c r="P759" s="260"/>
      <c r="Q759" s="260"/>
      <c r="R759" s="260"/>
      <c r="S759" s="260"/>
      <c r="T759" s="260"/>
      <c r="U759" s="260"/>
      <c r="V759" s="260"/>
      <c r="W759" s="260"/>
      <c r="X759" s="260"/>
      <c r="Y759" s="260"/>
      <c r="Z759" s="260"/>
    </row>
    <row r="760">
      <c r="A760" s="259"/>
      <c r="B760" s="260"/>
      <c r="C760" s="260"/>
      <c r="D760" s="260"/>
      <c r="E760" s="260"/>
      <c r="F760" s="260"/>
      <c r="G760" s="260"/>
      <c r="H760" s="260"/>
      <c r="I760" s="260"/>
      <c r="J760" s="260"/>
      <c r="K760" s="261" t="s">
        <v>39</v>
      </c>
      <c r="L760" s="261" t="s">
        <v>39</v>
      </c>
      <c r="M760" s="260"/>
      <c r="N760" s="260"/>
      <c r="O760" s="260"/>
      <c r="P760" s="260"/>
      <c r="Q760" s="260"/>
      <c r="R760" s="260"/>
      <c r="S760" s="260"/>
      <c r="T760" s="260"/>
      <c r="U760" s="260"/>
      <c r="V760" s="260"/>
      <c r="W760" s="260"/>
      <c r="X760" s="260"/>
      <c r="Y760" s="260"/>
      <c r="Z760" s="260"/>
    </row>
    <row r="761">
      <c r="A761" s="259"/>
      <c r="B761" s="260"/>
      <c r="C761" s="260"/>
      <c r="D761" s="260"/>
      <c r="E761" s="260"/>
      <c r="F761" s="260"/>
      <c r="G761" s="260"/>
      <c r="H761" s="260"/>
      <c r="I761" s="260"/>
      <c r="J761" s="260"/>
      <c r="K761" s="261" t="s">
        <v>39</v>
      </c>
      <c r="L761" s="261" t="s">
        <v>39</v>
      </c>
      <c r="M761" s="260"/>
      <c r="N761" s="260"/>
      <c r="O761" s="260"/>
      <c r="P761" s="260"/>
      <c r="Q761" s="260"/>
      <c r="R761" s="260"/>
      <c r="S761" s="260"/>
      <c r="T761" s="260"/>
      <c r="U761" s="260"/>
      <c r="V761" s="260"/>
      <c r="W761" s="260"/>
      <c r="X761" s="260"/>
      <c r="Y761" s="260"/>
      <c r="Z761" s="260"/>
    </row>
    <row r="762">
      <c r="A762" s="259"/>
      <c r="B762" s="260"/>
      <c r="C762" s="260"/>
      <c r="D762" s="260"/>
      <c r="E762" s="260"/>
      <c r="F762" s="260"/>
      <c r="G762" s="260"/>
      <c r="H762" s="260"/>
      <c r="I762" s="260"/>
      <c r="J762" s="260"/>
      <c r="K762" s="261" t="s">
        <v>39</v>
      </c>
      <c r="L762" s="261" t="s">
        <v>39</v>
      </c>
      <c r="M762" s="260"/>
      <c r="N762" s="260"/>
      <c r="O762" s="260"/>
      <c r="P762" s="260"/>
      <c r="Q762" s="260"/>
      <c r="R762" s="260"/>
      <c r="S762" s="260"/>
      <c r="T762" s="260"/>
      <c r="U762" s="260"/>
      <c r="V762" s="260"/>
      <c r="W762" s="260"/>
      <c r="X762" s="260"/>
      <c r="Y762" s="260"/>
      <c r="Z762" s="260"/>
    </row>
    <row r="763">
      <c r="A763" s="259"/>
      <c r="B763" s="260"/>
      <c r="C763" s="260"/>
      <c r="D763" s="260"/>
      <c r="E763" s="260"/>
      <c r="F763" s="260"/>
      <c r="G763" s="260"/>
      <c r="H763" s="260"/>
      <c r="I763" s="260"/>
      <c r="J763" s="260"/>
      <c r="K763" s="261" t="s">
        <v>39</v>
      </c>
      <c r="L763" s="261" t="s">
        <v>39</v>
      </c>
      <c r="M763" s="260"/>
      <c r="N763" s="260"/>
      <c r="O763" s="260"/>
      <c r="P763" s="260"/>
      <c r="Q763" s="260"/>
      <c r="R763" s="260"/>
      <c r="S763" s="260"/>
      <c r="T763" s="260"/>
      <c r="U763" s="260"/>
      <c r="V763" s="260"/>
      <c r="W763" s="260"/>
      <c r="X763" s="260"/>
      <c r="Y763" s="260"/>
      <c r="Z763" s="260"/>
    </row>
    <row r="764">
      <c r="A764" s="259"/>
      <c r="B764" s="260"/>
      <c r="C764" s="260"/>
      <c r="D764" s="260"/>
      <c r="E764" s="260"/>
      <c r="F764" s="260"/>
      <c r="G764" s="260"/>
      <c r="H764" s="260"/>
      <c r="I764" s="260"/>
      <c r="J764" s="260"/>
      <c r="K764" s="261" t="s">
        <v>39</v>
      </c>
      <c r="L764" s="261" t="s">
        <v>39</v>
      </c>
      <c r="M764" s="260"/>
      <c r="N764" s="260"/>
      <c r="O764" s="260"/>
      <c r="P764" s="260"/>
      <c r="Q764" s="260"/>
      <c r="R764" s="260"/>
      <c r="S764" s="260"/>
      <c r="T764" s="260"/>
      <c r="U764" s="260"/>
      <c r="V764" s="260"/>
      <c r="W764" s="260"/>
      <c r="X764" s="260"/>
      <c r="Y764" s="260"/>
      <c r="Z764" s="260"/>
    </row>
    <row r="765">
      <c r="A765" s="259"/>
      <c r="B765" s="260"/>
      <c r="C765" s="260"/>
      <c r="D765" s="260"/>
      <c r="E765" s="260"/>
      <c r="F765" s="260"/>
      <c r="G765" s="260"/>
      <c r="H765" s="260"/>
      <c r="I765" s="260"/>
      <c r="J765" s="260"/>
      <c r="K765" s="261" t="s">
        <v>39</v>
      </c>
      <c r="L765" s="261" t="s">
        <v>39</v>
      </c>
      <c r="M765" s="260"/>
      <c r="N765" s="260"/>
      <c r="O765" s="260"/>
      <c r="P765" s="260"/>
      <c r="Q765" s="260"/>
      <c r="R765" s="260"/>
      <c r="S765" s="260"/>
      <c r="T765" s="260"/>
      <c r="U765" s="260"/>
      <c r="V765" s="260"/>
      <c r="W765" s="260"/>
      <c r="X765" s="260"/>
      <c r="Y765" s="260"/>
      <c r="Z765" s="260"/>
    </row>
    <row r="766">
      <c r="A766" s="259"/>
      <c r="B766" s="260"/>
      <c r="C766" s="260"/>
      <c r="D766" s="260"/>
      <c r="E766" s="260"/>
      <c r="F766" s="260"/>
      <c r="G766" s="260"/>
      <c r="H766" s="260"/>
      <c r="I766" s="260"/>
      <c r="J766" s="260"/>
      <c r="K766" s="261" t="s">
        <v>39</v>
      </c>
      <c r="L766" s="261" t="s">
        <v>39</v>
      </c>
      <c r="M766" s="260"/>
      <c r="N766" s="260"/>
      <c r="O766" s="260"/>
      <c r="P766" s="260"/>
      <c r="Q766" s="260"/>
      <c r="R766" s="260"/>
      <c r="S766" s="260"/>
      <c r="T766" s="260"/>
      <c r="U766" s="260"/>
      <c r="V766" s="260"/>
      <c r="W766" s="260"/>
      <c r="X766" s="260"/>
      <c r="Y766" s="260"/>
      <c r="Z766" s="260"/>
    </row>
    <row r="767">
      <c r="A767" s="259"/>
      <c r="B767" s="260"/>
      <c r="C767" s="260"/>
      <c r="D767" s="260"/>
      <c r="E767" s="260"/>
      <c r="F767" s="260"/>
      <c r="G767" s="260"/>
      <c r="H767" s="260"/>
      <c r="I767" s="260"/>
      <c r="J767" s="260"/>
      <c r="K767" s="261" t="s">
        <v>39</v>
      </c>
      <c r="L767" s="261" t="s">
        <v>39</v>
      </c>
      <c r="M767" s="260"/>
      <c r="N767" s="260"/>
      <c r="O767" s="260"/>
      <c r="P767" s="260"/>
      <c r="Q767" s="260"/>
      <c r="R767" s="260"/>
      <c r="S767" s="260"/>
      <c r="T767" s="260"/>
      <c r="U767" s="260"/>
      <c r="V767" s="260"/>
      <c r="W767" s="260"/>
      <c r="X767" s="260"/>
      <c r="Y767" s="260"/>
      <c r="Z767" s="260"/>
    </row>
    <row r="768">
      <c r="A768" s="259"/>
      <c r="B768" s="260"/>
      <c r="C768" s="260"/>
      <c r="D768" s="260"/>
      <c r="E768" s="260"/>
      <c r="F768" s="260"/>
      <c r="G768" s="260"/>
      <c r="H768" s="260"/>
      <c r="I768" s="260"/>
      <c r="J768" s="260"/>
      <c r="K768" s="261" t="s">
        <v>39</v>
      </c>
      <c r="L768" s="261" t="s">
        <v>39</v>
      </c>
      <c r="M768" s="260"/>
      <c r="N768" s="260"/>
      <c r="O768" s="260"/>
      <c r="P768" s="260"/>
      <c r="Q768" s="260"/>
      <c r="R768" s="260"/>
      <c r="S768" s="260"/>
      <c r="T768" s="260"/>
      <c r="U768" s="260"/>
      <c r="V768" s="260"/>
      <c r="W768" s="260"/>
      <c r="X768" s="260"/>
      <c r="Y768" s="260"/>
      <c r="Z768" s="260"/>
    </row>
    <row r="769">
      <c r="A769" s="259"/>
      <c r="B769" s="260"/>
      <c r="C769" s="260"/>
      <c r="D769" s="260"/>
      <c r="E769" s="260"/>
      <c r="F769" s="260"/>
      <c r="G769" s="260"/>
      <c r="H769" s="260"/>
      <c r="I769" s="260"/>
      <c r="J769" s="260"/>
      <c r="K769" s="261" t="s">
        <v>39</v>
      </c>
      <c r="L769" s="261" t="s">
        <v>39</v>
      </c>
      <c r="M769" s="260"/>
      <c r="N769" s="260"/>
      <c r="O769" s="260"/>
      <c r="P769" s="260"/>
      <c r="Q769" s="260"/>
      <c r="R769" s="260"/>
      <c r="S769" s="260"/>
      <c r="T769" s="260"/>
      <c r="U769" s="260"/>
      <c r="V769" s="260"/>
      <c r="W769" s="260"/>
      <c r="X769" s="260"/>
      <c r="Y769" s="260"/>
      <c r="Z769" s="260"/>
    </row>
    <row r="770">
      <c r="A770" s="259"/>
      <c r="B770" s="260"/>
      <c r="C770" s="260"/>
      <c r="D770" s="260"/>
      <c r="E770" s="260"/>
      <c r="F770" s="260"/>
      <c r="G770" s="260"/>
      <c r="H770" s="260"/>
      <c r="I770" s="260"/>
      <c r="J770" s="260"/>
      <c r="K770" s="261" t="s">
        <v>39</v>
      </c>
      <c r="L770" s="261" t="s">
        <v>39</v>
      </c>
      <c r="M770" s="260"/>
      <c r="N770" s="260"/>
      <c r="O770" s="260"/>
      <c r="P770" s="260"/>
      <c r="Q770" s="260"/>
      <c r="R770" s="260"/>
      <c r="S770" s="260"/>
      <c r="T770" s="260"/>
      <c r="U770" s="260"/>
      <c r="V770" s="260"/>
      <c r="W770" s="260"/>
      <c r="X770" s="260"/>
      <c r="Y770" s="260"/>
      <c r="Z770" s="260"/>
    </row>
    <row r="771">
      <c r="A771" s="259"/>
      <c r="B771" s="260"/>
      <c r="C771" s="260"/>
      <c r="D771" s="260"/>
      <c r="E771" s="260"/>
      <c r="F771" s="260"/>
      <c r="G771" s="260"/>
      <c r="H771" s="260"/>
      <c r="I771" s="260"/>
      <c r="J771" s="260"/>
      <c r="K771" s="261" t="s">
        <v>39</v>
      </c>
      <c r="L771" s="261" t="s">
        <v>39</v>
      </c>
      <c r="M771" s="260"/>
      <c r="N771" s="260"/>
      <c r="O771" s="260"/>
      <c r="P771" s="260"/>
      <c r="Q771" s="260"/>
      <c r="R771" s="260"/>
      <c r="S771" s="260"/>
      <c r="T771" s="260"/>
      <c r="U771" s="260"/>
      <c r="V771" s="260"/>
      <c r="W771" s="260"/>
      <c r="X771" s="260"/>
      <c r="Y771" s="260"/>
      <c r="Z771" s="260"/>
    </row>
    <row r="772">
      <c r="A772" s="259"/>
      <c r="B772" s="260"/>
      <c r="C772" s="260"/>
      <c r="D772" s="260"/>
      <c r="E772" s="260"/>
      <c r="F772" s="260"/>
      <c r="G772" s="260"/>
      <c r="H772" s="260"/>
      <c r="I772" s="260"/>
      <c r="J772" s="260"/>
      <c r="K772" s="261" t="s">
        <v>39</v>
      </c>
      <c r="L772" s="261" t="s">
        <v>39</v>
      </c>
      <c r="M772" s="260"/>
      <c r="N772" s="260"/>
      <c r="O772" s="260"/>
      <c r="P772" s="260"/>
      <c r="Q772" s="260"/>
      <c r="R772" s="260"/>
      <c r="S772" s="260"/>
      <c r="T772" s="260"/>
      <c r="U772" s="260"/>
      <c r="V772" s="260"/>
      <c r="W772" s="260"/>
      <c r="X772" s="260"/>
      <c r="Y772" s="260"/>
      <c r="Z772" s="260"/>
    </row>
    <row r="773">
      <c r="A773" s="259"/>
      <c r="B773" s="260"/>
      <c r="C773" s="260"/>
      <c r="D773" s="260"/>
      <c r="E773" s="260"/>
      <c r="F773" s="260"/>
      <c r="G773" s="260"/>
      <c r="H773" s="260"/>
      <c r="I773" s="260"/>
      <c r="J773" s="260"/>
      <c r="K773" s="261" t="s">
        <v>39</v>
      </c>
      <c r="L773" s="261" t="s">
        <v>39</v>
      </c>
      <c r="M773" s="260"/>
      <c r="N773" s="260"/>
      <c r="O773" s="260"/>
      <c r="P773" s="260"/>
      <c r="Q773" s="260"/>
      <c r="R773" s="260"/>
      <c r="S773" s="260"/>
      <c r="T773" s="260"/>
      <c r="U773" s="260"/>
      <c r="V773" s="260"/>
      <c r="W773" s="260"/>
      <c r="X773" s="260"/>
      <c r="Y773" s="260"/>
      <c r="Z773" s="260"/>
    </row>
    <row r="774">
      <c r="A774" s="259"/>
      <c r="B774" s="260"/>
      <c r="C774" s="260"/>
      <c r="D774" s="260"/>
      <c r="E774" s="260"/>
      <c r="F774" s="260"/>
      <c r="G774" s="260"/>
      <c r="H774" s="260"/>
      <c r="I774" s="260"/>
      <c r="J774" s="260"/>
      <c r="K774" s="261" t="s">
        <v>39</v>
      </c>
      <c r="L774" s="261" t="s">
        <v>39</v>
      </c>
      <c r="M774" s="260"/>
      <c r="N774" s="260"/>
      <c r="O774" s="260"/>
      <c r="P774" s="260"/>
      <c r="Q774" s="260"/>
      <c r="R774" s="260"/>
      <c r="S774" s="260"/>
      <c r="T774" s="260"/>
      <c r="U774" s="260"/>
      <c r="V774" s="260"/>
      <c r="W774" s="260"/>
      <c r="X774" s="260"/>
      <c r="Y774" s="260"/>
      <c r="Z774" s="260"/>
    </row>
    <row r="775">
      <c r="A775" s="259"/>
      <c r="B775" s="260"/>
      <c r="C775" s="260"/>
      <c r="D775" s="260"/>
      <c r="E775" s="260"/>
      <c r="F775" s="260"/>
      <c r="G775" s="260"/>
      <c r="H775" s="260"/>
      <c r="I775" s="260"/>
      <c r="J775" s="260"/>
      <c r="K775" s="261" t="s">
        <v>39</v>
      </c>
      <c r="L775" s="261" t="s">
        <v>39</v>
      </c>
      <c r="M775" s="260"/>
      <c r="N775" s="260"/>
      <c r="O775" s="260"/>
      <c r="P775" s="260"/>
      <c r="Q775" s="260"/>
      <c r="R775" s="260"/>
      <c r="S775" s="260"/>
      <c r="T775" s="260"/>
      <c r="U775" s="260"/>
      <c r="V775" s="260"/>
      <c r="W775" s="260"/>
      <c r="X775" s="260"/>
      <c r="Y775" s="260"/>
      <c r="Z775" s="260"/>
    </row>
    <row r="776">
      <c r="A776" s="259"/>
      <c r="B776" s="260"/>
      <c r="C776" s="260"/>
      <c r="D776" s="260"/>
      <c r="E776" s="260"/>
      <c r="F776" s="260"/>
      <c r="G776" s="260"/>
      <c r="H776" s="260"/>
      <c r="I776" s="260"/>
      <c r="J776" s="260"/>
      <c r="K776" s="261" t="s">
        <v>39</v>
      </c>
      <c r="L776" s="261" t="s">
        <v>39</v>
      </c>
      <c r="M776" s="260"/>
      <c r="N776" s="260"/>
      <c r="O776" s="260"/>
      <c r="P776" s="260"/>
      <c r="Q776" s="260"/>
      <c r="R776" s="260"/>
      <c r="S776" s="260"/>
      <c r="T776" s="260"/>
      <c r="U776" s="260"/>
      <c r="V776" s="260"/>
      <c r="W776" s="260"/>
      <c r="X776" s="260"/>
      <c r="Y776" s="260"/>
      <c r="Z776" s="260"/>
    </row>
    <row r="777">
      <c r="A777" s="259"/>
      <c r="B777" s="260"/>
      <c r="C777" s="260"/>
      <c r="D777" s="260"/>
      <c r="E777" s="260"/>
      <c r="F777" s="260"/>
      <c r="G777" s="260"/>
      <c r="H777" s="260"/>
      <c r="I777" s="260"/>
      <c r="J777" s="260"/>
      <c r="K777" s="261" t="s">
        <v>39</v>
      </c>
      <c r="L777" s="261" t="s">
        <v>39</v>
      </c>
      <c r="M777" s="260"/>
      <c r="N777" s="260"/>
      <c r="O777" s="260"/>
      <c r="P777" s="260"/>
      <c r="Q777" s="260"/>
      <c r="R777" s="260"/>
      <c r="S777" s="260"/>
      <c r="T777" s="260"/>
      <c r="U777" s="260"/>
      <c r="V777" s="260"/>
      <c r="W777" s="260"/>
      <c r="X777" s="260"/>
      <c r="Y777" s="260"/>
      <c r="Z777" s="260"/>
    </row>
    <row r="778">
      <c r="A778" s="259"/>
      <c r="B778" s="260"/>
      <c r="C778" s="260"/>
      <c r="D778" s="260"/>
      <c r="E778" s="260"/>
      <c r="F778" s="260"/>
      <c r="G778" s="260"/>
      <c r="H778" s="260"/>
      <c r="I778" s="260"/>
      <c r="J778" s="260"/>
      <c r="K778" s="261" t="s">
        <v>39</v>
      </c>
      <c r="L778" s="261" t="s">
        <v>39</v>
      </c>
      <c r="M778" s="260"/>
      <c r="N778" s="260"/>
      <c r="O778" s="260"/>
      <c r="P778" s="260"/>
      <c r="Q778" s="260"/>
      <c r="R778" s="260"/>
      <c r="S778" s="260"/>
      <c r="T778" s="260"/>
      <c r="U778" s="260"/>
      <c r="V778" s="260"/>
      <c r="W778" s="260"/>
      <c r="X778" s="260"/>
      <c r="Y778" s="260"/>
      <c r="Z778" s="260"/>
    </row>
    <row r="779">
      <c r="A779" s="259"/>
      <c r="B779" s="260"/>
      <c r="C779" s="260"/>
      <c r="D779" s="260"/>
      <c r="E779" s="260"/>
      <c r="F779" s="260"/>
      <c r="G779" s="260"/>
      <c r="H779" s="260"/>
      <c r="I779" s="260"/>
      <c r="J779" s="260"/>
      <c r="K779" s="261" t="s">
        <v>39</v>
      </c>
      <c r="L779" s="261" t="s">
        <v>39</v>
      </c>
      <c r="M779" s="260"/>
      <c r="N779" s="260"/>
      <c r="O779" s="260"/>
      <c r="P779" s="260"/>
      <c r="Q779" s="260"/>
      <c r="R779" s="260"/>
      <c r="S779" s="260"/>
      <c r="T779" s="260"/>
      <c r="U779" s="260"/>
      <c r="V779" s="260"/>
      <c r="W779" s="260"/>
      <c r="X779" s="260"/>
      <c r="Y779" s="260"/>
      <c r="Z779" s="260"/>
    </row>
    <row r="780">
      <c r="A780" s="259"/>
      <c r="B780" s="260"/>
      <c r="C780" s="260"/>
      <c r="D780" s="260"/>
      <c r="E780" s="260"/>
      <c r="F780" s="260"/>
      <c r="G780" s="260"/>
      <c r="H780" s="260"/>
      <c r="I780" s="260"/>
      <c r="J780" s="260"/>
      <c r="K780" s="261" t="s">
        <v>39</v>
      </c>
      <c r="L780" s="261" t="s">
        <v>39</v>
      </c>
      <c r="M780" s="260"/>
      <c r="N780" s="260"/>
      <c r="O780" s="260"/>
      <c r="P780" s="260"/>
      <c r="Q780" s="260"/>
      <c r="R780" s="260"/>
      <c r="S780" s="260"/>
      <c r="T780" s="260"/>
      <c r="U780" s="260"/>
      <c r="V780" s="260"/>
      <c r="W780" s="260"/>
      <c r="X780" s="260"/>
      <c r="Y780" s="260"/>
      <c r="Z780" s="260"/>
    </row>
    <row r="781">
      <c r="A781" s="259"/>
      <c r="B781" s="260"/>
      <c r="C781" s="260"/>
      <c r="D781" s="260"/>
      <c r="E781" s="260"/>
      <c r="F781" s="260"/>
      <c r="G781" s="260"/>
      <c r="H781" s="260"/>
      <c r="I781" s="260"/>
      <c r="J781" s="260"/>
      <c r="K781" s="261" t="s">
        <v>39</v>
      </c>
      <c r="L781" s="261" t="s">
        <v>39</v>
      </c>
      <c r="M781" s="260"/>
      <c r="N781" s="260"/>
      <c r="O781" s="260"/>
      <c r="P781" s="260"/>
      <c r="Q781" s="260"/>
      <c r="R781" s="260"/>
      <c r="S781" s="260"/>
      <c r="T781" s="260"/>
      <c r="U781" s="260"/>
      <c r="V781" s="260"/>
      <c r="W781" s="260"/>
      <c r="X781" s="260"/>
      <c r="Y781" s="260"/>
      <c r="Z781" s="260"/>
    </row>
    <row r="782">
      <c r="A782" s="259"/>
      <c r="B782" s="260"/>
      <c r="C782" s="260"/>
      <c r="D782" s="260"/>
      <c r="E782" s="260"/>
      <c r="F782" s="260"/>
      <c r="G782" s="260"/>
      <c r="H782" s="260"/>
      <c r="I782" s="260"/>
      <c r="J782" s="260"/>
      <c r="K782" s="261" t="s">
        <v>39</v>
      </c>
      <c r="L782" s="261" t="s">
        <v>39</v>
      </c>
      <c r="M782" s="260"/>
      <c r="N782" s="260"/>
      <c r="O782" s="260"/>
      <c r="P782" s="260"/>
      <c r="Q782" s="260"/>
      <c r="R782" s="260"/>
      <c r="S782" s="260"/>
      <c r="T782" s="260"/>
      <c r="U782" s="260"/>
      <c r="V782" s="260"/>
      <c r="W782" s="260"/>
      <c r="X782" s="260"/>
      <c r="Y782" s="260"/>
      <c r="Z782" s="260"/>
    </row>
    <row r="783">
      <c r="A783" s="259"/>
      <c r="B783" s="260"/>
      <c r="C783" s="260"/>
      <c r="D783" s="260"/>
      <c r="E783" s="260"/>
      <c r="F783" s="260"/>
      <c r="G783" s="260"/>
      <c r="H783" s="260"/>
      <c r="I783" s="260"/>
      <c r="J783" s="260"/>
      <c r="K783" s="261" t="s">
        <v>39</v>
      </c>
      <c r="L783" s="261" t="s">
        <v>39</v>
      </c>
      <c r="M783" s="260"/>
      <c r="N783" s="260"/>
      <c r="O783" s="260"/>
      <c r="P783" s="260"/>
      <c r="Q783" s="260"/>
      <c r="R783" s="260"/>
      <c r="S783" s="260"/>
      <c r="T783" s="260"/>
      <c r="U783" s="260"/>
      <c r="V783" s="260"/>
      <c r="W783" s="260"/>
      <c r="X783" s="260"/>
      <c r="Y783" s="260"/>
      <c r="Z783" s="260"/>
    </row>
    <row r="784">
      <c r="A784" s="259"/>
      <c r="B784" s="260"/>
      <c r="C784" s="260"/>
      <c r="D784" s="260"/>
      <c r="E784" s="260"/>
      <c r="F784" s="260"/>
      <c r="G784" s="260"/>
      <c r="H784" s="260"/>
      <c r="I784" s="260"/>
      <c r="J784" s="260"/>
      <c r="K784" s="261" t="s">
        <v>39</v>
      </c>
      <c r="L784" s="261" t="s">
        <v>39</v>
      </c>
      <c r="M784" s="260"/>
      <c r="N784" s="260"/>
      <c r="O784" s="260"/>
      <c r="P784" s="260"/>
      <c r="Q784" s="260"/>
      <c r="R784" s="260"/>
      <c r="S784" s="260"/>
      <c r="T784" s="260"/>
      <c r="U784" s="260"/>
      <c r="V784" s="260"/>
      <c r="W784" s="260"/>
      <c r="X784" s="260"/>
      <c r="Y784" s="260"/>
      <c r="Z784" s="260"/>
    </row>
    <row r="785">
      <c r="A785" s="259"/>
      <c r="B785" s="260"/>
      <c r="C785" s="260"/>
      <c r="D785" s="260"/>
      <c r="E785" s="260"/>
      <c r="F785" s="260"/>
      <c r="G785" s="260"/>
      <c r="H785" s="260"/>
      <c r="I785" s="260"/>
      <c r="J785" s="260"/>
      <c r="K785" s="261" t="s">
        <v>39</v>
      </c>
      <c r="L785" s="261" t="s">
        <v>39</v>
      </c>
      <c r="M785" s="260"/>
      <c r="N785" s="260"/>
      <c r="O785" s="260"/>
      <c r="P785" s="260"/>
      <c r="Q785" s="260"/>
      <c r="R785" s="260"/>
      <c r="S785" s="260"/>
      <c r="T785" s="260"/>
      <c r="U785" s="260"/>
      <c r="V785" s="260"/>
      <c r="W785" s="260"/>
      <c r="X785" s="260"/>
      <c r="Y785" s="260"/>
      <c r="Z785" s="260"/>
    </row>
    <row r="786">
      <c r="A786" s="259"/>
      <c r="B786" s="260"/>
      <c r="C786" s="260"/>
      <c r="D786" s="260"/>
      <c r="E786" s="260"/>
      <c r="F786" s="260"/>
      <c r="G786" s="260"/>
      <c r="H786" s="260"/>
      <c r="I786" s="260"/>
      <c r="J786" s="260"/>
      <c r="K786" s="261" t="s">
        <v>39</v>
      </c>
      <c r="L786" s="261" t="s">
        <v>39</v>
      </c>
      <c r="M786" s="260"/>
      <c r="N786" s="260"/>
      <c r="O786" s="260"/>
      <c r="P786" s="260"/>
      <c r="Q786" s="260"/>
      <c r="R786" s="260"/>
      <c r="S786" s="260"/>
      <c r="T786" s="260"/>
      <c r="U786" s="260"/>
      <c r="V786" s="260"/>
      <c r="W786" s="260"/>
      <c r="X786" s="260"/>
      <c r="Y786" s="260"/>
      <c r="Z786" s="260"/>
    </row>
    <row r="787">
      <c r="A787" s="259"/>
      <c r="B787" s="260"/>
      <c r="C787" s="260"/>
      <c r="D787" s="260"/>
      <c r="E787" s="260"/>
      <c r="F787" s="260"/>
      <c r="G787" s="260"/>
      <c r="H787" s="260"/>
      <c r="I787" s="260"/>
      <c r="J787" s="260"/>
      <c r="K787" s="261" t="s">
        <v>39</v>
      </c>
      <c r="L787" s="261" t="s">
        <v>39</v>
      </c>
      <c r="M787" s="260"/>
      <c r="N787" s="260"/>
      <c r="O787" s="260"/>
      <c r="P787" s="260"/>
      <c r="Q787" s="260"/>
      <c r="R787" s="260"/>
      <c r="S787" s="260"/>
      <c r="T787" s="260"/>
      <c r="U787" s="260"/>
      <c r="V787" s="260"/>
      <c r="W787" s="260"/>
      <c r="X787" s="260"/>
      <c r="Y787" s="260"/>
      <c r="Z787" s="260"/>
    </row>
    <row r="788">
      <c r="A788" s="259"/>
      <c r="B788" s="260"/>
      <c r="C788" s="260"/>
      <c r="D788" s="260"/>
      <c r="E788" s="260"/>
      <c r="F788" s="260"/>
      <c r="G788" s="260"/>
      <c r="H788" s="260"/>
      <c r="I788" s="260"/>
      <c r="J788" s="260"/>
      <c r="K788" s="261" t="s">
        <v>39</v>
      </c>
      <c r="L788" s="261" t="s">
        <v>39</v>
      </c>
      <c r="M788" s="260"/>
      <c r="N788" s="260"/>
      <c r="O788" s="260"/>
      <c r="P788" s="260"/>
      <c r="Q788" s="260"/>
      <c r="R788" s="260"/>
      <c r="S788" s="260"/>
      <c r="T788" s="260"/>
      <c r="U788" s="260"/>
      <c r="V788" s="260"/>
      <c r="W788" s="260"/>
      <c r="X788" s="260"/>
      <c r="Y788" s="260"/>
      <c r="Z788" s="260"/>
    </row>
    <row r="789">
      <c r="A789" s="259"/>
      <c r="B789" s="260"/>
      <c r="C789" s="260"/>
      <c r="D789" s="260"/>
      <c r="E789" s="260"/>
      <c r="F789" s="260"/>
      <c r="G789" s="260"/>
      <c r="H789" s="260"/>
      <c r="I789" s="260"/>
      <c r="J789" s="260"/>
      <c r="K789" s="261" t="s">
        <v>39</v>
      </c>
      <c r="L789" s="261" t="s">
        <v>39</v>
      </c>
      <c r="M789" s="260"/>
      <c r="N789" s="260"/>
      <c r="O789" s="260"/>
      <c r="P789" s="260"/>
      <c r="Q789" s="260"/>
      <c r="R789" s="260"/>
      <c r="S789" s="260"/>
      <c r="T789" s="260"/>
      <c r="U789" s="260"/>
      <c r="V789" s="260"/>
      <c r="W789" s="260"/>
      <c r="X789" s="260"/>
      <c r="Y789" s="260"/>
      <c r="Z789" s="260"/>
    </row>
    <row r="790">
      <c r="A790" s="259"/>
      <c r="B790" s="260"/>
      <c r="C790" s="260"/>
      <c r="D790" s="260"/>
      <c r="E790" s="260"/>
      <c r="F790" s="260"/>
      <c r="G790" s="260"/>
      <c r="H790" s="260"/>
      <c r="I790" s="260"/>
      <c r="J790" s="260"/>
      <c r="K790" s="261" t="s">
        <v>39</v>
      </c>
      <c r="L790" s="261" t="s">
        <v>39</v>
      </c>
      <c r="M790" s="260"/>
      <c r="N790" s="260"/>
      <c r="O790" s="260"/>
      <c r="P790" s="260"/>
      <c r="Q790" s="260"/>
      <c r="R790" s="260"/>
      <c r="S790" s="260"/>
      <c r="T790" s="260"/>
      <c r="U790" s="260"/>
      <c r="V790" s="260"/>
      <c r="W790" s="260"/>
      <c r="X790" s="260"/>
      <c r="Y790" s="260"/>
      <c r="Z790" s="260"/>
    </row>
    <row r="791">
      <c r="A791" s="259"/>
      <c r="B791" s="260"/>
      <c r="C791" s="260"/>
      <c r="D791" s="260"/>
      <c r="E791" s="260"/>
      <c r="F791" s="260"/>
      <c r="G791" s="260"/>
      <c r="H791" s="260"/>
      <c r="I791" s="260"/>
      <c r="J791" s="260"/>
      <c r="K791" s="261" t="s">
        <v>39</v>
      </c>
      <c r="L791" s="261" t="s">
        <v>39</v>
      </c>
      <c r="M791" s="260"/>
      <c r="N791" s="260"/>
      <c r="O791" s="260"/>
      <c r="P791" s="260"/>
      <c r="Q791" s="260"/>
      <c r="R791" s="260"/>
      <c r="S791" s="260"/>
      <c r="T791" s="260"/>
      <c r="U791" s="260"/>
      <c r="V791" s="260"/>
      <c r="W791" s="260"/>
      <c r="X791" s="260"/>
      <c r="Y791" s="260"/>
      <c r="Z791" s="260"/>
    </row>
    <row r="792">
      <c r="A792" s="259"/>
      <c r="B792" s="260"/>
      <c r="C792" s="260"/>
      <c r="D792" s="260"/>
      <c r="E792" s="260"/>
      <c r="F792" s="260"/>
      <c r="G792" s="260"/>
      <c r="H792" s="260"/>
      <c r="I792" s="260"/>
      <c r="J792" s="260"/>
      <c r="K792" s="261" t="s">
        <v>39</v>
      </c>
      <c r="L792" s="261" t="s">
        <v>39</v>
      </c>
      <c r="M792" s="260"/>
      <c r="N792" s="260"/>
      <c r="O792" s="260"/>
      <c r="P792" s="260"/>
      <c r="Q792" s="260"/>
      <c r="R792" s="260"/>
      <c r="S792" s="260"/>
      <c r="T792" s="260"/>
      <c r="U792" s="260"/>
      <c r="V792" s="260"/>
      <c r="W792" s="260"/>
      <c r="X792" s="260"/>
      <c r="Y792" s="260"/>
      <c r="Z792" s="260"/>
    </row>
    <row r="793">
      <c r="A793" s="259"/>
      <c r="B793" s="260"/>
      <c r="C793" s="260"/>
      <c r="D793" s="260"/>
      <c r="E793" s="260"/>
      <c r="F793" s="260"/>
      <c r="G793" s="260"/>
      <c r="H793" s="260"/>
      <c r="I793" s="260"/>
      <c r="J793" s="260"/>
      <c r="K793" s="261" t="s">
        <v>39</v>
      </c>
      <c r="L793" s="261" t="s">
        <v>39</v>
      </c>
      <c r="M793" s="260"/>
      <c r="N793" s="260"/>
      <c r="O793" s="260"/>
      <c r="P793" s="260"/>
      <c r="Q793" s="260"/>
      <c r="R793" s="260"/>
      <c r="S793" s="260"/>
      <c r="T793" s="260"/>
      <c r="U793" s="260"/>
      <c r="V793" s="260"/>
      <c r="W793" s="260"/>
      <c r="X793" s="260"/>
      <c r="Y793" s="260"/>
      <c r="Z793" s="260"/>
    </row>
    <row r="794">
      <c r="A794" s="259"/>
      <c r="B794" s="260"/>
      <c r="C794" s="260"/>
      <c r="D794" s="260"/>
      <c r="E794" s="260"/>
      <c r="F794" s="260"/>
      <c r="G794" s="260"/>
      <c r="H794" s="260"/>
      <c r="I794" s="260"/>
      <c r="J794" s="260"/>
      <c r="K794" s="261" t="s">
        <v>39</v>
      </c>
      <c r="L794" s="261" t="s">
        <v>39</v>
      </c>
      <c r="M794" s="260"/>
      <c r="N794" s="260"/>
      <c r="O794" s="260"/>
      <c r="P794" s="260"/>
      <c r="Q794" s="260"/>
      <c r="R794" s="260"/>
      <c r="S794" s="260"/>
      <c r="T794" s="260"/>
      <c r="U794" s="260"/>
      <c r="V794" s="260"/>
      <c r="W794" s="260"/>
      <c r="X794" s="260"/>
      <c r="Y794" s="260"/>
      <c r="Z794" s="260"/>
    </row>
    <row r="795">
      <c r="A795" s="259"/>
      <c r="B795" s="260"/>
      <c r="C795" s="260"/>
      <c r="D795" s="260"/>
      <c r="E795" s="260"/>
      <c r="F795" s="260"/>
      <c r="G795" s="260"/>
      <c r="H795" s="260"/>
      <c r="I795" s="260"/>
      <c r="J795" s="260"/>
      <c r="K795" s="261" t="s">
        <v>39</v>
      </c>
      <c r="L795" s="261" t="s">
        <v>39</v>
      </c>
      <c r="M795" s="260"/>
      <c r="N795" s="260"/>
      <c r="O795" s="260"/>
      <c r="P795" s="260"/>
      <c r="Q795" s="260"/>
      <c r="R795" s="260"/>
      <c r="S795" s="260"/>
      <c r="T795" s="260"/>
      <c r="U795" s="260"/>
      <c r="V795" s="260"/>
      <c r="W795" s="260"/>
      <c r="X795" s="260"/>
      <c r="Y795" s="260"/>
      <c r="Z795" s="260"/>
    </row>
    <row r="796">
      <c r="A796" s="259"/>
      <c r="B796" s="260"/>
      <c r="C796" s="260"/>
      <c r="D796" s="260"/>
      <c r="E796" s="260"/>
      <c r="F796" s="260"/>
      <c r="G796" s="260"/>
      <c r="H796" s="260"/>
      <c r="I796" s="260"/>
      <c r="J796" s="260"/>
      <c r="K796" s="261" t="s">
        <v>39</v>
      </c>
      <c r="L796" s="261" t="s">
        <v>39</v>
      </c>
      <c r="M796" s="260"/>
      <c r="N796" s="260"/>
      <c r="O796" s="260"/>
      <c r="P796" s="260"/>
      <c r="Q796" s="260"/>
      <c r="R796" s="260"/>
      <c r="S796" s="260"/>
      <c r="T796" s="260"/>
      <c r="U796" s="260"/>
      <c r="V796" s="260"/>
      <c r="W796" s="260"/>
      <c r="X796" s="260"/>
      <c r="Y796" s="260"/>
      <c r="Z796" s="260"/>
    </row>
    <row r="797">
      <c r="A797" s="259"/>
      <c r="B797" s="260"/>
      <c r="C797" s="260"/>
      <c r="D797" s="260"/>
      <c r="E797" s="260"/>
      <c r="F797" s="260"/>
      <c r="G797" s="260"/>
      <c r="H797" s="260"/>
      <c r="I797" s="260"/>
      <c r="J797" s="260"/>
      <c r="K797" s="261" t="s">
        <v>39</v>
      </c>
      <c r="L797" s="261" t="s">
        <v>39</v>
      </c>
      <c r="M797" s="260"/>
      <c r="N797" s="260"/>
      <c r="O797" s="260"/>
      <c r="P797" s="260"/>
      <c r="Q797" s="260"/>
      <c r="R797" s="260"/>
      <c r="S797" s="260"/>
      <c r="T797" s="260"/>
      <c r="U797" s="260"/>
      <c r="V797" s="260"/>
      <c r="W797" s="260"/>
      <c r="X797" s="260"/>
      <c r="Y797" s="260"/>
      <c r="Z797" s="260"/>
    </row>
    <row r="798">
      <c r="A798" s="259"/>
      <c r="B798" s="260"/>
      <c r="C798" s="260"/>
      <c r="D798" s="260"/>
      <c r="E798" s="260"/>
      <c r="F798" s="260"/>
      <c r="G798" s="260"/>
      <c r="H798" s="260"/>
      <c r="I798" s="260"/>
      <c r="J798" s="260"/>
      <c r="K798" s="261" t="s">
        <v>39</v>
      </c>
      <c r="L798" s="261" t="s">
        <v>39</v>
      </c>
      <c r="M798" s="260"/>
      <c r="N798" s="260"/>
      <c r="O798" s="260"/>
      <c r="P798" s="260"/>
      <c r="Q798" s="260"/>
      <c r="R798" s="260"/>
      <c r="S798" s="260"/>
      <c r="T798" s="260"/>
      <c r="U798" s="260"/>
      <c r="V798" s="260"/>
      <c r="W798" s="260"/>
      <c r="X798" s="260"/>
      <c r="Y798" s="260"/>
      <c r="Z798" s="260"/>
    </row>
    <row r="799">
      <c r="A799" s="259"/>
      <c r="B799" s="260"/>
      <c r="C799" s="260"/>
      <c r="D799" s="260"/>
      <c r="E799" s="260"/>
      <c r="F799" s="260"/>
      <c r="G799" s="260"/>
      <c r="H799" s="260"/>
      <c r="I799" s="260"/>
      <c r="J799" s="260"/>
      <c r="K799" s="261" t="s">
        <v>39</v>
      </c>
      <c r="L799" s="261" t="s">
        <v>39</v>
      </c>
      <c r="M799" s="260"/>
      <c r="N799" s="260"/>
      <c r="O799" s="260"/>
      <c r="P799" s="260"/>
      <c r="Q799" s="260"/>
      <c r="R799" s="260"/>
      <c r="S799" s="260"/>
      <c r="T799" s="260"/>
      <c r="U799" s="260"/>
      <c r="V799" s="260"/>
      <c r="W799" s="260"/>
      <c r="X799" s="260"/>
      <c r="Y799" s="260"/>
      <c r="Z799" s="260"/>
    </row>
    <row r="800">
      <c r="A800" s="259"/>
      <c r="B800" s="260"/>
      <c r="C800" s="260"/>
      <c r="D800" s="260"/>
      <c r="E800" s="260"/>
      <c r="F800" s="260"/>
      <c r="G800" s="260"/>
      <c r="H800" s="260"/>
      <c r="I800" s="260"/>
      <c r="J800" s="260"/>
      <c r="K800" s="261" t="s">
        <v>39</v>
      </c>
      <c r="L800" s="261" t="s">
        <v>39</v>
      </c>
      <c r="M800" s="260"/>
      <c r="N800" s="260"/>
      <c r="O800" s="260"/>
      <c r="P800" s="260"/>
      <c r="Q800" s="260"/>
      <c r="R800" s="260"/>
      <c r="S800" s="260"/>
      <c r="T800" s="260"/>
      <c r="U800" s="260"/>
      <c r="V800" s="260"/>
      <c r="W800" s="260"/>
      <c r="X800" s="260"/>
      <c r="Y800" s="260"/>
      <c r="Z800" s="260"/>
    </row>
    <row r="801">
      <c r="A801" s="259"/>
      <c r="B801" s="260"/>
      <c r="C801" s="260"/>
      <c r="D801" s="260"/>
      <c r="E801" s="260"/>
      <c r="F801" s="260"/>
      <c r="G801" s="260"/>
      <c r="H801" s="260"/>
      <c r="I801" s="260"/>
      <c r="J801" s="260"/>
      <c r="K801" s="261" t="s">
        <v>39</v>
      </c>
      <c r="L801" s="261" t="s">
        <v>39</v>
      </c>
      <c r="M801" s="260"/>
      <c r="N801" s="260"/>
      <c r="O801" s="260"/>
      <c r="P801" s="260"/>
      <c r="Q801" s="260"/>
      <c r="R801" s="260"/>
      <c r="S801" s="260"/>
      <c r="T801" s="260"/>
      <c r="U801" s="260"/>
      <c r="V801" s="260"/>
      <c r="W801" s="260"/>
      <c r="X801" s="260"/>
      <c r="Y801" s="260"/>
      <c r="Z801" s="260"/>
    </row>
    <row r="802">
      <c r="A802" s="259"/>
      <c r="B802" s="260"/>
      <c r="C802" s="260"/>
      <c r="D802" s="260"/>
      <c r="E802" s="260"/>
      <c r="F802" s="260"/>
      <c r="G802" s="260"/>
      <c r="H802" s="260"/>
      <c r="I802" s="260"/>
      <c r="J802" s="260"/>
      <c r="K802" s="261" t="s">
        <v>39</v>
      </c>
      <c r="L802" s="261" t="s">
        <v>39</v>
      </c>
      <c r="M802" s="260"/>
      <c r="N802" s="260"/>
      <c r="O802" s="260"/>
      <c r="P802" s="260"/>
      <c r="Q802" s="260"/>
      <c r="R802" s="260"/>
      <c r="S802" s="260"/>
      <c r="T802" s="260"/>
      <c r="U802" s="260"/>
      <c r="V802" s="260"/>
      <c r="W802" s="260"/>
      <c r="X802" s="260"/>
      <c r="Y802" s="260"/>
      <c r="Z802" s="260"/>
    </row>
    <row r="803">
      <c r="A803" s="259"/>
      <c r="B803" s="260"/>
      <c r="C803" s="260"/>
      <c r="D803" s="260"/>
      <c r="E803" s="260"/>
      <c r="F803" s="260"/>
      <c r="G803" s="260"/>
      <c r="H803" s="260"/>
      <c r="I803" s="260"/>
      <c r="J803" s="260"/>
      <c r="K803" s="261" t="s">
        <v>39</v>
      </c>
      <c r="L803" s="261" t="s">
        <v>39</v>
      </c>
      <c r="M803" s="260"/>
      <c r="N803" s="260"/>
      <c r="O803" s="260"/>
      <c r="P803" s="260"/>
      <c r="Q803" s="260"/>
      <c r="R803" s="260"/>
      <c r="S803" s="260"/>
      <c r="T803" s="260"/>
      <c r="U803" s="260"/>
      <c r="V803" s="260"/>
      <c r="W803" s="260"/>
      <c r="X803" s="260"/>
      <c r="Y803" s="260"/>
      <c r="Z803" s="260"/>
    </row>
    <row r="804">
      <c r="A804" s="259"/>
      <c r="B804" s="260"/>
      <c r="C804" s="260"/>
      <c r="D804" s="260"/>
      <c r="E804" s="260"/>
      <c r="F804" s="260"/>
      <c r="G804" s="260"/>
      <c r="H804" s="260"/>
      <c r="I804" s="260"/>
      <c r="J804" s="260"/>
      <c r="K804" s="261" t="s">
        <v>39</v>
      </c>
      <c r="L804" s="261" t="s">
        <v>39</v>
      </c>
      <c r="M804" s="260"/>
      <c r="N804" s="260"/>
      <c r="O804" s="260"/>
      <c r="P804" s="260"/>
      <c r="Q804" s="260"/>
      <c r="R804" s="260"/>
      <c r="S804" s="260"/>
      <c r="T804" s="260"/>
      <c r="U804" s="260"/>
      <c r="V804" s="260"/>
      <c r="W804" s="260"/>
      <c r="X804" s="260"/>
      <c r="Y804" s="260"/>
      <c r="Z804" s="260"/>
    </row>
    <row r="805">
      <c r="A805" s="259"/>
      <c r="B805" s="260"/>
      <c r="C805" s="260"/>
      <c r="D805" s="260"/>
      <c r="E805" s="260"/>
      <c r="F805" s="260"/>
      <c r="G805" s="260"/>
      <c r="H805" s="260"/>
      <c r="I805" s="260"/>
      <c r="J805" s="260"/>
      <c r="K805" s="261" t="s">
        <v>39</v>
      </c>
      <c r="L805" s="261" t="s">
        <v>39</v>
      </c>
      <c r="M805" s="260"/>
      <c r="N805" s="260"/>
      <c r="O805" s="260"/>
      <c r="P805" s="260"/>
      <c r="Q805" s="260"/>
      <c r="R805" s="260"/>
      <c r="S805" s="260"/>
      <c r="T805" s="260"/>
      <c r="U805" s="260"/>
      <c r="V805" s="260"/>
      <c r="W805" s="260"/>
      <c r="X805" s="260"/>
      <c r="Y805" s="260"/>
      <c r="Z805" s="260"/>
    </row>
    <row r="806">
      <c r="A806" s="259"/>
      <c r="B806" s="260"/>
      <c r="C806" s="260"/>
      <c r="D806" s="260"/>
      <c r="E806" s="260"/>
      <c r="F806" s="260"/>
      <c r="G806" s="260"/>
      <c r="H806" s="260"/>
      <c r="I806" s="260"/>
      <c r="J806" s="260"/>
      <c r="K806" s="261" t="s">
        <v>39</v>
      </c>
      <c r="L806" s="261" t="s">
        <v>39</v>
      </c>
      <c r="M806" s="260"/>
      <c r="N806" s="260"/>
      <c r="O806" s="260"/>
      <c r="P806" s="260"/>
      <c r="Q806" s="260"/>
      <c r="R806" s="260"/>
      <c r="S806" s="260"/>
      <c r="T806" s="260"/>
      <c r="U806" s="260"/>
      <c r="V806" s="260"/>
      <c r="W806" s="260"/>
      <c r="X806" s="260"/>
      <c r="Y806" s="260"/>
      <c r="Z806" s="260"/>
    </row>
    <row r="807">
      <c r="A807" s="259"/>
      <c r="B807" s="260"/>
      <c r="C807" s="260"/>
      <c r="D807" s="260"/>
      <c r="E807" s="260"/>
      <c r="F807" s="260"/>
      <c r="G807" s="260"/>
      <c r="H807" s="260"/>
      <c r="I807" s="260"/>
      <c r="J807" s="260"/>
      <c r="K807" s="261" t="s">
        <v>39</v>
      </c>
      <c r="L807" s="261" t="s">
        <v>39</v>
      </c>
      <c r="M807" s="260"/>
      <c r="N807" s="260"/>
      <c r="O807" s="260"/>
      <c r="P807" s="260"/>
      <c r="Q807" s="260"/>
      <c r="R807" s="260"/>
      <c r="S807" s="260"/>
      <c r="T807" s="260"/>
      <c r="U807" s="260"/>
      <c r="V807" s="260"/>
      <c r="W807" s="260"/>
      <c r="X807" s="260"/>
      <c r="Y807" s="260"/>
      <c r="Z807" s="260"/>
    </row>
    <row r="808">
      <c r="A808" s="259"/>
      <c r="B808" s="260"/>
      <c r="C808" s="260"/>
      <c r="D808" s="260"/>
      <c r="E808" s="260"/>
      <c r="F808" s="260"/>
      <c r="G808" s="260"/>
      <c r="H808" s="260"/>
      <c r="I808" s="260"/>
      <c r="J808" s="260"/>
      <c r="K808" s="261" t="s">
        <v>39</v>
      </c>
      <c r="L808" s="261" t="s">
        <v>39</v>
      </c>
      <c r="M808" s="260"/>
      <c r="N808" s="260"/>
      <c r="O808" s="260"/>
      <c r="P808" s="260"/>
      <c r="Q808" s="260"/>
      <c r="R808" s="260"/>
      <c r="S808" s="260"/>
      <c r="T808" s="260"/>
      <c r="U808" s="260"/>
      <c r="V808" s="260"/>
      <c r="W808" s="260"/>
      <c r="X808" s="260"/>
      <c r="Y808" s="260"/>
      <c r="Z808" s="260"/>
    </row>
    <row r="809">
      <c r="A809" s="259"/>
      <c r="B809" s="260"/>
      <c r="C809" s="260"/>
      <c r="D809" s="260"/>
      <c r="E809" s="260"/>
      <c r="F809" s="260"/>
      <c r="G809" s="260"/>
      <c r="H809" s="260"/>
      <c r="I809" s="260"/>
      <c r="J809" s="260"/>
      <c r="K809" s="261" t="s">
        <v>39</v>
      </c>
      <c r="L809" s="261" t="s">
        <v>39</v>
      </c>
      <c r="M809" s="260"/>
      <c r="N809" s="260"/>
      <c r="O809" s="260"/>
      <c r="P809" s="260"/>
      <c r="Q809" s="260"/>
      <c r="R809" s="260"/>
      <c r="S809" s="260"/>
      <c r="T809" s="260"/>
      <c r="U809" s="260"/>
      <c r="V809" s="260"/>
      <c r="W809" s="260"/>
      <c r="X809" s="260"/>
      <c r="Y809" s="260"/>
      <c r="Z809" s="260"/>
    </row>
    <row r="810">
      <c r="A810" s="259"/>
      <c r="B810" s="260"/>
      <c r="C810" s="260"/>
      <c r="D810" s="260"/>
      <c r="E810" s="260"/>
      <c r="F810" s="260"/>
      <c r="G810" s="260"/>
      <c r="H810" s="260"/>
      <c r="I810" s="260"/>
      <c r="J810" s="260"/>
      <c r="K810" s="261" t="s">
        <v>39</v>
      </c>
      <c r="L810" s="261" t="s">
        <v>39</v>
      </c>
      <c r="M810" s="260"/>
      <c r="N810" s="260"/>
      <c r="O810" s="260"/>
      <c r="P810" s="260"/>
      <c r="Q810" s="260"/>
      <c r="R810" s="260"/>
      <c r="S810" s="260"/>
      <c r="T810" s="260"/>
      <c r="U810" s="260"/>
      <c r="V810" s="260"/>
      <c r="W810" s="260"/>
      <c r="X810" s="260"/>
      <c r="Y810" s="260"/>
      <c r="Z810" s="260"/>
    </row>
    <row r="811">
      <c r="A811" s="259"/>
      <c r="B811" s="260"/>
      <c r="C811" s="260"/>
      <c r="D811" s="260"/>
      <c r="E811" s="260"/>
      <c r="F811" s="260"/>
      <c r="G811" s="260"/>
      <c r="H811" s="260"/>
      <c r="I811" s="260"/>
      <c r="J811" s="260"/>
      <c r="K811" s="261" t="s">
        <v>39</v>
      </c>
      <c r="L811" s="261" t="s">
        <v>39</v>
      </c>
      <c r="M811" s="260"/>
      <c r="N811" s="260"/>
      <c r="O811" s="260"/>
      <c r="P811" s="260"/>
      <c r="Q811" s="260"/>
      <c r="R811" s="260"/>
      <c r="S811" s="260"/>
      <c r="T811" s="260"/>
      <c r="U811" s="260"/>
      <c r="V811" s="260"/>
      <c r="W811" s="260"/>
      <c r="X811" s="260"/>
      <c r="Y811" s="260"/>
      <c r="Z811" s="260"/>
    </row>
    <row r="812">
      <c r="A812" s="259"/>
      <c r="B812" s="260"/>
      <c r="C812" s="260"/>
      <c r="D812" s="260"/>
      <c r="E812" s="260"/>
      <c r="F812" s="260"/>
      <c r="G812" s="260"/>
      <c r="H812" s="260"/>
      <c r="I812" s="260"/>
      <c r="J812" s="260"/>
      <c r="K812" s="261" t="s">
        <v>39</v>
      </c>
      <c r="L812" s="261" t="s">
        <v>39</v>
      </c>
      <c r="M812" s="260"/>
      <c r="N812" s="260"/>
      <c r="O812" s="260"/>
      <c r="P812" s="260"/>
      <c r="Q812" s="260"/>
      <c r="R812" s="260"/>
      <c r="S812" s="260"/>
      <c r="T812" s="260"/>
      <c r="U812" s="260"/>
      <c r="V812" s="260"/>
      <c r="W812" s="260"/>
      <c r="X812" s="260"/>
      <c r="Y812" s="260"/>
      <c r="Z812" s="260"/>
    </row>
    <row r="813">
      <c r="A813" s="259"/>
      <c r="B813" s="260"/>
      <c r="C813" s="260"/>
      <c r="D813" s="260"/>
      <c r="E813" s="260"/>
      <c r="F813" s="260"/>
      <c r="G813" s="260"/>
      <c r="H813" s="260"/>
      <c r="I813" s="260"/>
      <c r="J813" s="260"/>
      <c r="K813" s="261" t="s">
        <v>39</v>
      </c>
      <c r="L813" s="261" t="s">
        <v>39</v>
      </c>
      <c r="M813" s="260"/>
      <c r="N813" s="260"/>
      <c r="O813" s="260"/>
      <c r="P813" s="260"/>
      <c r="Q813" s="260"/>
      <c r="R813" s="260"/>
      <c r="S813" s="260"/>
      <c r="T813" s="260"/>
      <c r="U813" s="260"/>
      <c r="V813" s="260"/>
      <c r="W813" s="260"/>
      <c r="X813" s="260"/>
      <c r="Y813" s="260"/>
      <c r="Z813" s="260"/>
    </row>
    <row r="814">
      <c r="A814" s="259"/>
      <c r="B814" s="260"/>
      <c r="C814" s="260"/>
      <c r="D814" s="260"/>
      <c r="E814" s="260"/>
      <c r="F814" s="260"/>
      <c r="G814" s="260"/>
      <c r="H814" s="260"/>
      <c r="I814" s="260"/>
      <c r="J814" s="260"/>
      <c r="K814" s="261" t="s">
        <v>39</v>
      </c>
      <c r="L814" s="261" t="s">
        <v>39</v>
      </c>
      <c r="M814" s="260"/>
      <c r="N814" s="260"/>
      <c r="O814" s="260"/>
      <c r="P814" s="260"/>
      <c r="Q814" s="260"/>
      <c r="R814" s="260"/>
      <c r="S814" s="260"/>
      <c r="T814" s="260"/>
      <c r="U814" s="260"/>
      <c r="V814" s="260"/>
      <c r="W814" s="260"/>
      <c r="X814" s="260"/>
      <c r="Y814" s="260"/>
      <c r="Z814" s="260"/>
    </row>
    <row r="815">
      <c r="A815" s="259"/>
      <c r="B815" s="260"/>
      <c r="C815" s="260"/>
      <c r="D815" s="260"/>
      <c r="E815" s="260"/>
      <c r="F815" s="260"/>
      <c r="G815" s="260"/>
      <c r="H815" s="260"/>
      <c r="I815" s="260"/>
      <c r="J815" s="260"/>
      <c r="K815" s="261" t="s">
        <v>39</v>
      </c>
      <c r="L815" s="261" t="s">
        <v>39</v>
      </c>
      <c r="M815" s="260"/>
      <c r="N815" s="260"/>
      <c r="O815" s="260"/>
      <c r="P815" s="260"/>
      <c r="Q815" s="260"/>
      <c r="R815" s="260"/>
      <c r="S815" s="260"/>
      <c r="T815" s="260"/>
      <c r="U815" s="260"/>
      <c r="V815" s="260"/>
      <c r="W815" s="260"/>
      <c r="X815" s="260"/>
      <c r="Y815" s="260"/>
      <c r="Z815" s="260"/>
    </row>
    <row r="816">
      <c r="A816" s="259"/>
      <c r="B816" s="260"/>
      <c r="C816" s="260"/>
      <c r="D816" s="260"/>
      <c r="E816" s="260"/>
      <c r="F816" s="260"/>
      <c r="G816" s="260"/>
      <c r="H816" s="260"/>
      <c r="I816" s="260"/>
      <c r="J816" s="260"/>
      <c r="K816" s="261" t="s">
        <v>39</v>
      </c>
      <c r="L816" s="261" t="s">
        <v>39</v>
      </c>
      <c r="M816" s="260"/>
      <c r="N816" s="260"/>
      <c r="O816" s="260"/>
      <c r="P816" s="260"/>
      <c r="Q816" s="260"/>
      <c r="R816" s="260"/>
      <c r="S816" s="260"/>
      <c r="T816" s="260"/>
      <c r="U816" s="260"/>
      <c r="V816" s="260"/>
      <c r="W816" s="260"/>
      <c r="X816" s="260"/>
      <c r="Y816" s="260"/>
      <c r="Z816" s="260"/>
    </row>
    <row r="817">
      <c r="A817" s="259"/>
      <c r="B817" s="260"/>
      <c r="C817" s="260"/>
      <c r="D817" s="260"/>
      <c r="E817" s="260"/>
      <c r="F817" s="260"/>
      <c r="G817" s="260"/>
      <c r="H817" s="260"/>
      <c r="I817" s="260"/>
      <c r="J817" s="260"/>
      <c r="K817" s="261" t="s">
        <v>39</v>
      </c>
      <c r="L817" s="261" t="s">
        <v>39</v>
      </c>
      <c r="M817" s="260"/>
      <c r="N817" s="260"/>
      <c r="O817" s="260"/>
      <c r="P817" s="260"/>
      <c r="Q817" s="260"/>
      <c r="R817" s="260"/>
      <c r="S817" s="260"/>
      <c r="T817" s="260"/>
      <c r="U817" s="260"/>
      <c r="V817" s="260"/>
      <c r="W817" s="260"/>
      <c r="X817" s="260"/>
      <c r="Y817" s="260"/>
      <c r="Z817" s="260"/>
    </row>
    <row r="818">
      <c r="A818" s="259"/>
      <c r="B818" s="260"/>
      <c r="C818" s="260"/>
      <c r="D818" s="260"/>
      <c r="E818" s="260"/>
      <c r="F818" s="260"/>
      <c r="G818" s="260"/>
      <c r="H818" s="260"/>
      <c r="I818" s="260"/>
      <c r="J818" s="260"/>
      <c r="K818" s="261" t="s">
        <v>39</v>
      </c>
      <c r="L818" s="261" t="s">
        <v>39</v>
      </c>
      <c r="M818" s="260"/>
      <c r="N818" s="260"/>
      <c r="O818" s="260"/>
      <c r="P818" s="260"/>
      <c r="Q818" s="260"/>
      <c r="R818" s="260"/>
      <c r="S818" s="260"/>
      <c r="T818" s="260"/>
      <c r="U818" s="260"/>
      <c r="V818" s="260"/>
      <c r="W818" s="260"/>
      <c r="X818" s="260"/>
      <c r="Y818" s="260"/>
      <c r="Z818" s="260"/>
    </row>
    <row r="819">
      <c r="A819" s="259"/>
      <c r="B819" s="260"/>
      <c r="C819" s="260"/>
      <c r="D819" s="260"/>
      <c r="E819" s="260"/>
      <c r="F819" s="260"/>
      <c r="G819" s="260"/>
      <c r="H819" s="260"/>
      <c r="I819" s="260"/>
      <c r="J819" s="260"/>
      <c r="K819" s="261" t="s">
        <v>39</v>
      </c>
      <c r="L819" s="261" t="s">
        <v>39</v>
      </c>
      <c r="M819" s="260"/>
      <c r="N819" s="260"/>
      <c r="O819" s="260"/>
      <c r="P819" s="260"/>
      <c r="Q819" s="260"/>
      <c r="R819" s="260"/>
      <c r="S819" s="260"/>
      <c r="T819" s="260"/>
      <c r="U819" s="260"/>
      <c r="V819" s="260"/>
      <c r="W819" s="260"/>
      <c r="X819" s="260"/>
      <c r="Y819" s="260"/>
      <c r="Z819" s="260"/>
    </row>
    <row r="820">
      <c r="A820" s="259"/>
      <c r="B820" s="260"/>
      <c r="C820" s="260"/>
      <c r="D820" s="260"/>
      <c r="E820" s="260"/>
      <c r="F820" s="260"/>
      <c r="G820" s="260"/>
      <c r="H820" s="260"/>
      <c r="I820" s="260"/>
      <c r="J820" s="260"/>
      <c r="K820" s="261" t="s">
        <v>39</v>
      </c>
      <c r="L820" s="261" t="s">
        <v>39</v>
      </c>
      <c r="M820" s="260"/>
      <c r="N820" s="260"/>
      <c r="O820" s="260"/>
      <c r="P820" s="260"/>
      <c r="Q820" s="260"/>
      <c r="R820" s="260"/>
      <c r="S820" s="260"/>
      <c r="T820" s="260"/>
      <c r="U820" s="260"/>
      <c r="V820" s="260"/>
      <c r="W820" s="260"/>
      <c r="X820" s="260"/>
      <c r="Y820" s="260"/>
      <c r="Z820" s="260"/>
    </row>
    <row r="821">
      <c r="A821" s="259"/>
      <c r="B821" s="260"/>
      <c r="C821" s="260"/>
      <c r="D821" s="260"/>
      <c r="E821" s="260"/>
      <c r="F821" s="260"/>
      <c r="G821" s="260"/>
      <c r="H821" s="260"/>
      <c r="I821" s="260"/>
      <c r="J821" s="260"/>
      <c r="K821" s="261" t="s">
        <v>39</v>
      </c>
      <c r="L821" s="261" t="s">
        <v>39</v>
      </c>
      <c r="M821" s="260"/>
      <c r="N821" s="260"/>
      <c r="O821" s="260"/>
      <c r="P821" s="260"/>
      <c r="Q821" s="260"/>
      <c r="R821" s="260"/>
      <c r="S821" s="260"/>
      <c r="T821" s="260"/>
      <c r="U821" s="260"/>
      <c r="V821" s="260"/>
      <c r="W821" s="260"/>
      <c r="X821" s="260"/>
      <c r="Y821" s="260"/>
      <c r="Z821" s="260"/>
    </row>
    <row r="822">
      <c r="A822" s="259"/>
      <c r="B822" s="260"/>
      <c r="C822" s="260"/>
      <c r="D822" s="260"/>
      <c r="E822" s="260"/>
      <c r="F822" s="260"/>
      <c r="G822" s="260"/>
      <c r="H822" s="260"/>
      <c r="I822" s="260"/>
      <c r="J822" s="260"/>
      <c r="K822" s="261" t="s">
        <v>39</v>
      </c>
      <c r="L822" s="261" t="s">
        <v>39</v>
      </c>
      <c r="M822" s="260"/>
      <c r="N822" s="260"/>
      <c r="O822" s="260"/>
      <c r="P822" s="260"/>
      <c r="Q822" s="260"/>
      <c r="R822" s="260"/>
      <c r="S822" s="260"/>
      <c r="T822" s="260"/>
      <c r="U822" s="260"/>
      <c r="V822" s="260"/>
      <c r="W822" s="260"/>
      <c r="X822" s="260"/>
      <c r="Y822" s="260"/>
      <c r="Z822" s="260"/>
    </row>
    <row r="823">
      <c r="A823" s="259"/>
      <c r="B823" s="260"/>
      <c r="C823" s="260"/>
      <c r="D823" s="260"/>
      <c r="E823" s="260"/>
      <c r="F823" s="260"/>
      <c r="G823" s="260"/>
      <c r="H823" s="260"/>
      <c r="I823" s="260"/>
      <c r="J823" s="260"/>
      <c r="K823" s="261" t="s">
        <v>39</v>
      </c>
      <c r="L823" s="261" t="s">
        <v>39</v>
      </c>
      <c r="M823" s="260"/>
      <c r="N823" s="260"/>
      <c r="O823" s="260"/>
      <c r="P823" s="260"/>
      <c r="Q823" s="260"/>
      <c r="R823" s="260"/>
      <c r="S823" s="260"/>
      <c r="T823" s="260"/>
      <c r="U823" s="260"/>
      <c r="V823" s="260"/>
      <c r="W823" s="260"/>
      <c r="X823" s="260"/>
      <c r="Y823" s="260"/>
      <c r="Z823" s="260"/>
    </row>
    <row r="824">
      <c r="A824" s="259"/>
      <c r="B824" s="260"/>
      <c r="C824" s="260"/>
      <c r="D824" s="260"/>
      <c r="E824" s="260"/>
      <c r="F824" s="260"/>
      <c r="G824" s="260"/>
      <c r="H824" s="260"/>
      <c r="I824" s="260"/>
      <c r="J824" s="260"/>
      <c r="K824" s="261" t="s">
        <v>39</v>
      </c>
      <c r="L824" s="261" t="s">
        <v>39</v>
      </c>
      <c r="M824" s="260"/>
      <c r="N824" s="260"/>
      <c r="O824" s="260"/>
      <c r="P824" s="260"/>
      <c r="Q824" s="260"/>
      <c r="R824" s="260"/>
      <c r="S824" s="260"/>
      <c r="T824" s="260"/>
      <c r="U824" s="260"/>
      <c r="V824" s="260"/>
      <c r="W824" s="260"/>
      <c r="X824" s="260"/>
      <c r="Y824" s="260"/>
      <c r="Z824" s="260"/>
    </row>
    <row r="825">
      <c r="A825" s="259"/>
      <c r="B825" s="260"/>
      <c r="C825" s="260"/>
      <c r="D825" s="260"/>
      <c r="E825" s="260"/>
      <c r="F825" s="260"/>
      <c r="G825" s="260"/>
      <c r="H825" s="260"/>
      <c r="I825" s="260"/>
      <c r="J825" s="260"/>
      <c r="K825" s="261" t="s">
        <v>39</v>
      </c>
      <c r="L825" s="261" t="s">
        <v>39</v>
      </c>
      <c r="M825" s="260"/>
      <c r="N825" s="260"/>
      <c r="O825" s="260"/>
      <c r="P825" s="260"/>
      <c r="Q825" s="260"/>
      <c r="R825" s="260"/>
      <c r="S825" s="260"/>
      <c r="T825" s="260"/>
      <c r="U825" s="260"/>
      <c r="V825" s="260"/>
      <c r="W825" s="260"/>
      <c r="X825" s="260"/>
      <c r="Y825" s="260"/>
      <c r="Z825" s="260"/>
    </row>
    <row r="826">
      <c r="A826" s="259"/>
      <c r="B826" s="260"/>
      <c r="C826" s="260"/>
      <c r="D826" s="260"/>
      <c r="E826" s="260"/>
      <c r="F826" s="260"/>
      <c r="G826" s="260"/>
      <c r="H826" s="260"/>
      <c r="I826" s="260"/>
      <c r="J826" s="260"/>
      <c r="K826" s="261" t="s">
        <v>39</v>
      </c>
      <c r="L826" s="261" t="s">
        <v>39</v>
      </c>
      <c r="M826" s="260"/>
      <c r="N826" s="260"/>
      <c r="O826" s="260"/>
      <c r="P826" s="260"/>
      <c r="Q826" s="260"/>
      <c r="R826" s="260"/>
      <c r="S826" s="260"/>
      <c r="T826" s="260"/>
      <c r="U826" s="260"/>
      <c r="V826" s="260"/>
      <c r="W826" s="260"/>
      <c r="X826" s="260"/>
      <c r="Y826" s="260"/>
      <c r="Z826" s="260"/>
    </row>
    <row r="827">
      <c r="A827" s="259"/>
      <c r="B827" s="260"/>
      <c r="C827" s="260"/>
      <c r="D827" s="260"/>
      <c r="E827" s="260"/>
      <c r="F827" s="260"/>
      <c r="G827" s="260"/>
      <c r="H827" s="260"/>
      <c r="I827" s="260"/>
      <c r="J827" s="260"/>
      <c r="K827" s="261" t="s">
        <v>39</v>
      </c>
      <c r="L827" s="261" t="s">
        <v>39</v>
      </c>
      <c r="M827" s="260"/>
      <c r="N827" s="260"/>
      <c r="O827" s="260"/>
      <c r="P827" s="260"/>
      <c r="Q827" s="260"/>
      <c r="R827" s="260"/>
      <c r="S827" s="260"/>
      <c r="T827" s="260"/>
      <c r="U827" s="260"/>
      <c r="V827" s="260"/>
      <c r="W827" s="260"/>
      <c r="X827" s="260"/>
      <c r="Y827" s="260"/>
      <c r="Z827" s="260"/>
    </row>
    <row r="828">
      <c r="A828" s="259"/>
      <c r="B828" s="260"/>
      <c r="C828" s="260"/>
      <c r="D828" s="260"/>
      <c r="E828" s="260"/>
      <c r="F828" s="260"/>
      <c r="G828" s="260"/>
      <c r="H828" s="260"/>
      <c r="I828" s="260"/>
      <c r="J828" s="260"/>
      <c r="K828" s="261" t="s">
        <v>39</v>
      </c>
      <c r="L828" s="261" t="s">
        <v>39</v>
      </c>
      <c r="M828" s="260"/>
      <c r="N828" s="260"/>
      <c r="O828" s="260"/>
      <c r="P828" s="260"/>
      <c r="Q828" s="260"/>
      <c r="R828" s="260"/>
      <c r="S828" s="260"/>
      <c r="T828" s="260"/>
      <c r="U828" s="260"/>
      <c r="V828" s="260"/>
      <c r="W828" s="260"/>
      <c r="X828" s="260"/>
      <c r="Y828" s="260"/>
      <c r="Z828" s="260"/>
    </row>
    <row r="829">
      <c r="A829" s="259"/>
      <c r="B829" s="260"/>
      <c r="C829" s="260"/>
      <c r="D829" s="260"/>
      <c r="E829" s="260"/>
      <c r="F829" s="260"/>
      <c r="G829" s="260"/>
      <c r="H829" s="260"/>
      <c r="I829" s="260"/>
      <c r="J829" s="260"/>
      <c r="K829" s="261" t="s">
        <v>39</v>
      </c>
      <c r="L829" s="261" t="s">
        <v>39</v>
      </c>
      <c r="M829" s="260"/>
      <c r="N829" s="260"/>
      <c r="O829" s="260"/>
      <c r="P829" s="260"/>
      <c r="Q829" s="260"/>
      <c r="R829" s="260"/>
      <c r="S829" s="260"/>
      <c r="T829" s="260"/>
      <c r="U829" s="260"/>
      <c r="V829" s="260"/>
      <c r="W829" s="260"/>
      <c r="X829" s="260"/>
      <c r="Y829" s="260"/>
      <c r="Z829" s="260"/>
    </row>
    <row r="830">
      <c r="A830" s="259"/>
      <c r="B830" s="260"/>
      <c r="C830" s="260"/>
      <c r="D830" s="260"/>
      <c r="E830" s="260"/>
      <c r="F830" s="260"/>
      <c r="G830" s="260"/>
      <c r="H830" s="260"/>
      <c r="I830" s="260"/>
      <c r="J830" s="260"/>
      <c r="K830" s="261" t="s">
        <v>39</v>
      </c>
      <c r="L830" s="261" t="s">
        <v>39</v>
      </c>
      <c r="M830" s="260"/>
      <c r="N830" s="260"/>
      <c r="O830" s="260"/>
      <c r="P830" s="260"/>
      <c r="Q830" s="260"/>
      <c r="R830" s="260"/>
      <c r="S830" s="260"/>
      <c r="T830" s="260"/>
      <c r="U830" s="260"/>
      <c r="V830" s="260"/>
      <c r="W830" s="260"/>
      <c r="X830" s="260"/>
      <c r="Y830" s="260"/>
      <c r="Z830" s="260"/>
    </row>
    <row r="831">
      <c r="A831" s="259"/>
      <c r="B831" s="260"/>
      <c r="C831" s="260"/>
      <c r="D831" s="260"/>
      <c r="E831" s="260"/>
      <c r="F831" s="260"/>
      <c r="G831" s="260"/>
      <c r="H831" s="260"/>
      <c r="I831" s="260"/>
      <c r="J831" s="260"/>
      <c r="K831" s="261" t="s">
        <v>39</v>
      </c>
      <c r="L831" s="261" t="s">
        <v>39</v>
      </c>
      <c r="M831" s="260"/>
      <c r="N831" s="260"/>
      <c r="O831" s="260"/>
      <c r="P831" s="260"/>
      <c r="Q831" s="260"/>
      <c r="R831" s="260"/>
      <c r="S831" s="260"/>
      <c r="T831" s="260"/>
      <c r="U831" s="260"/>
      <c r="V831" s="260"/>
      <c r="W831" s="260"/>
      <c r="X831" s="260"/>
      <c r="Y831" s="260"/>
      <c r="Z831" s="260"/>
    </row>
    <row r="832">
      <c r="A832" s="259"/>
      <c r="B832" s="260"/>
      <c r="C832" s="260"/>
      <c r="D832" s="260"/>
      <c r="E832" s="260"/>
      <c r="F832" s="260"/>
      <c r="G832" s="260"/>
      <c r="H832" s="260"/>
      <c r="I832" s="260"/>
      <c r="J832" s="260"/>
      <c r="K832" s="261" t="s">
        <v>39</v>
      </c>
      <c r="L832" s="261" t="s">
        <v>39</v>
      </c>
      <c r="M832" s="260"/>
      <c r="N832" s="260"/>
      <c r="O832" s="260"/>
      <c r="P832" s="260"/>
      <c r="Q832" s="260"/>
      <c r="R832" s="260"/>
      <c r="S832" s="260"/>
      <c r="T832" s="260"/>
      <c r="U832" s="260"/>
      <c r="V832" s="260"/>
      <c r="W832" s="260"/>
      <c r="X832" s="260"/>
      <c r="Y832" s="260"/>
      <c r="Z832" s="260"/>
    </row>
    <row r="833">
      <c r="A833" s="259"/>
      <c r="B833" s="260"/>
      <c r="C833" s="260"/>
      <c r="D833" s="260"/>
      <c r="E833" s="260"/>
      <c r="F833" s="260"/>
      <c r="G833" s="260"/>
      <c r="H833" s="260"/>
      <c r="I833" s="260"/>
      <c r="J833" s="260"/>
      <c r="K833" s="261" t="s">
        <v>39</v>
      </c>
      <c r="L833" s="261" t="s">
        <v>39</v>
      </c>
      <c r="M833" s="260"/>
      <c r="N833" s="260"/>
      <c r="O833" s="260"/>
      <c r="P833" s="260"/>
      <c r="Q833" s="260"/>
      <c r="R833" s="260"/>
      <c r="S833" s="260"/>
      <c r="T833" s="260"/>
      <c r="U833" s="260"/>
      <c r="V833" s="260"/>
      <c r="W833" s="260"/>
      <c r="X833" s="260"/>
      <c r="Y833" s="260"/>
      <c r="Z833" s="260"/>
    </row>
    <row r="834">
      <c r="A834" s="259"/>
      <c r="B834" s="260"/>
      <c r="C834" s="260"/>
      <c r="D834" s="260"/>
      <c r="E834" s="260"/>
      <c r="F834" s="260"/>
      <c r="G834" s="260"/>
      <c r="H834" s="260"/>
      <c r="I834" s="260"/>
      <c r="J834" s="260"/>
      <c r="K834" s="261" t="s">
        <v>39</v>
      </c>
      <c r="L834" s="261" t="s">
        <v>39</v>
      </c>
      <c r="M834" s="260"/>
      <c r="N834" s="260"/>
      <c r="O834" s="260"/>
      <c r="P834" s="260"/>
      <c r="Q834" s="260"/>
      <c r="R834" s="260"/>
      <c r="S834" s="260"/>
      <c r="T834" s="260"/>
      <c r="U834" s="260"/>
      <c r="V834" s="260"/>
      <c r="W834" s="260"/>
      <c r="X834" s="260"/>
      <c r="Y834" s="260"/>
      <c r="Z834" s="260"/>
    </row>
    <row r="835">
      <c r="A835" s="259"/>
      <c r="B835" s="260"/>
      <c r="C835" s="260"/>
      <c r="D835" s="260"/>
      <c r="E835" s="260"/>
      <c r="F835" s="260"/>
      <c r="G835" s="260"/>
      <c r="H835" s="260"/>
      <c r="I835" s="260"/>
      <c r="J835" s="260"/>
      <c r="K835" s="261" t="s">
        <v>39</v>
      </c>
      <c r="L835" s="261" t="s">
        <v>39</v>
      </c>
      <c r="M835" s="260"/>
      <c r="N835" s="260"/>
      <c r="O835" s="260"/>
      <c r="P835" s="260"/>
      <c r="Q835" s="260"/>
      <c r="R835" s="260"/>
      <c r="S835" s="260"/>
      <c r="T835" s="260"/>
      <c r="U835" s="260"/>
      <c r="V835" s="260"/>
      <c r="W835" s="260"/>
      <c r="X835" s="260"/>
      <c r="Y835" s="260"/>
      <c r="Z835" s="260"/>
    </row>
    <row r="836">
      <c r="A836" s="259"/>
      <c r="B836" s="260"/>
      <c r="C836" s="260"/>
      <c r="D836" s="260"/>
      <c r="E836" s="260"/>
      <c r="F836" s="260"/>
      <c r="G836" s="260"/>
      <c r="H836" s="260"/>
      <c r="I836" s="260"/>
      <c r="J836" s="260"/>
      <c r="K836" s="261" t="s">
        <v>39</v>
      </c>
      <c r="L836" s="261" t="s">
        <v>39</v>
      </c>
      <c r="M836" s="260"/>
      <c r="N836" s="260"/>
      <c r="O836" s="260"/>
      <c r="P836" s="260"/>
      <c r="Q836" s="260"/>
      <c r="R836" s="260"/>
      <c r="S836" s="260"/>
      <c r="T836" s="260"/>
      <c r="U836" s="260"/>
      <c r="V836" s="260"/>
      <c r="W836" s="260"/>
      <c r="X836" s="260"/>
      <c r="Y836" s="260"/>
      <c r="Z836" s="260"/>
    </row>
    <row r="837">
      <c r="A837" s="259"/>
      <c r="B837" s="260"/>
      <c r="C837" s="260"/>
      <c r="D837" s="260"/>
      <c r="E837" s="260"/>
      <c r="F837" s="260"/>
      <c r="G837" s="260"/>
      <c r="H837" s="260"/>
      <c r="I837" s="260"/>
      <c r="J837" s="260"/>
      <c r="K837" s="261" t="s">
        <v>39</v>
      </c>
      <c r="L837" s="261" t="s">
        <v>39</v>
      </c>
      <c r="M837" s="260"/>
      <c r="N837" s="260"/>
      <c r="O837" s="260"/>
      <c r="P837" s="260"/>
      <c r="Q837" s="260"/>
      <c r="R837" s="260"/>
      <c r="S837" s="260"/>
      <c r="T837" s="260"/>
      <c r="U837" s="260"/>
      <c r="V837" s="260"/>
      <c r="W837" s="260"/>
      <c r="X837" s="260"/>
      <c r="Y837" s="260"/>
      <c r="Z837" s="260"/>
    </row>
    <row r="838">
      <c r="A838" s="259"/>
      <c r="B838" s="260"/>
      <c r="C838" s="260"/>
      <c r="D838" s="260"/>
      <c r="E838" s="260"/>
      <c r="F838" s="260"/>
      <c r="G838" s="260"/>
      <c r="H838" s="260"/>
      <c r="I838" s="260"/>
      <c r="J838" s="260"/>
      <c r="K838" s="261" t="s">
        <v>39</v>
      </c>
      <c r="L838" s="261" t="s">
        <v>39</v>
      </c>
      <c r="M838" s="260"/>
      <c r="N838" s="260"/>
      <c r="O838" s="260"/>
      <c r="P838" s="260"/>
      <c r="Q838" s="260"/>
      <c r="R838" s="260"/>
      <c r="S838" s="260"/>
      <c r="T838" s="260"/>
      <c r="U838" s="260"/>
      <c r="V838" s="260"/>
      <c r="W838" s="260"/>
      <c r="X838" s="260"/>
      <c r="Y838" s="260"/>
      <c r="Z838" s="260"/>
    </row>
    <row r="839">
      <c r="A839" s="259"/>
      <c r="B839" s="260"/>
      <c r="C839" s="260"/>
      <c r="D839" s="260"/>
      <c r="E839" s="260"/>
      <c r="F839" s="260"/>
      <c r="G839" s="260"/>
      <c r="H839" s="260"/>
      <c r="I839" s="260"/>
      <c r="J839" s="260"/>
      <c r="K839" s="261" t="s">
        <v>39</v>
      </c>
      <c r="L839" s="261" t="s">
        <v>39</v>
      </c>
      <c r="M839" s="260"/>
      <c r="N839" s="260"/>
      <c r="O839" s="260"/>
      <c r="P839" s="260"/>
      <c r="Q839" s="260"/>
      <c r="R839" s="260"/>
      <c r="S839" s="260"/>
      <c r="T839" s="260"/>
      <c r="U839" s="260"/>
      <c r="V839" s="260"/>
      <c r="W839" s="260"/>
      <c r="X839" s="260"/>
      <c r="Y839" s="260"/>
      <c r="Z839" s="260"/>
    </row>
    <row r="840">
      <c r="A840" s="259"/>
      <c r="B840" s="260"/>
      <c r="C840" s="260"/>
      <c r="D840" s="260"/>
      <c r="E840" s="260"/>
      <c r="F840" s="260"/>
      <c r="G840" s="260"/>
      <c r="H840" s="260"/>
      <c r="I840" s="260"/>
      <c r="J840" s="260"/>
      <c r="K840" s="261" t="s">
        <v>39</v>
      </c>
      <c r="L840" s="261" t="s">
        <v>39</v>
      </c>
      <c r="M840" s="260"/>
      <c r="N840" s="260"/>
      <c r="O840" s="260"/>
      <c r="P840" s="260"/>
      <c r="Q840" s="260"/>
      <c r="R840" s="260"/>
      <c r="S840" s="260"/>
      <c r="T840" s="260"/>
      <c r="U840" s="260"/>
      <c r="V840" s="260"/>
      <c r="W840" s="260"/>
      <c r="X840" s="260"/>
      <c r="Y840" s="260"/>
      <c r="Z840" s="260"/>
    </row>
    <row r="841">
      <c r="A841" s="259"/>
      <c r="B841" s="260"/>
      <c r="C841" s="260"/>
      <c r="D841" s="260"/>
      <c r="E841" s="260"/>
      <c r="F841" s="260"/>
      <c r="G841" s="260"/>
      <c r="H841" s="260"/>
      <c r="I841" s="260"/>
      <c r="J841" s="260"/>
      <c r="K841" s="261" t="s">
        <v>39</v>
      </c>
      <c r="L841" s="261" t="s">
        <v>39</v>
      </c>
      <c r="M841" s="260"/>
      <c r="N841" s="260"/>
      <c r="O841" s="260"/>
      <c r="P841" s="260"/>
      <c r="Q841" s="260"/>
      <c r="R841" s="260"/>
      <c r="S841" s="260"/>
      <c r="T841" s="260"/>
      <c r="U841" s="260"/>
      <c r="V841" s="260"/>
      <c r="W841" s="260"/>
      <c r="X841" s="260"/>
      <c r="Y841" s="260"/>
      <c r="Z841" s="260"/>
    </row>
    <row r="842">
      <c r="A842" s="259"/>
      <c r="B842" s="260"/>
      <c r="C842" s="260"/>
      <c r="D842" s="260"/>
      <c r="E842" s="260"/>
      <c r="F842" s="260"/>
      <c r="G842" s="260"/>
      <c r="H842" s="260"/>
      <c r="I842" s="260"/>
      <c r="J842" s="260"/>
      <c r="K842" s="261" t="s">
        <v>39</v>
      </c>
      <c r="L842" s="261" t="s">
        <v>39</v>
      </c>
      <c r="M842" s="260"/>
      <c r="N842" s="260"/>
      <c r="O842" s="260"/>
      <c r="P842" s="260"/>
      <c r="Q842" s="260"/>
      <c r="R842" s="260"/>
      <c r="S842" s="260"/>
      <c r="T842" s="260"/>
      <c r="U842" s="260"/>
      <c r="V842" s="260"/>
      <c r="W842" s="260"/>
      <c r="X842" s="260"/>
      <c r="Y842" s="260"/>
      <c r="Z842" s="260"/>
    </row>
    <row r="843">
      <c r="A843" s="259"/>
      <c r="B843" s="260"/>
      <c r="C843" s="260"/>
      <c r="D843" s="260"/>
      <c r="E843" s="260"/>
      <c r="F843" s="260"/>
      <c r="G843" s="260"/>
      <c r="H843" s="260"/>
      <c r="I843" s="260"/>
      <c r="J843" s="260"/>
      <c r="K843" s="261" t="s">
        <v>39</v>
      </c>
      <c r="L843" s="261" t="s">
        <v>39</v>
      </c>
      <c r="M843" s="260"/>
      <c r="N843" s="260"/>
      <c r="O843" s="260"/>
      <c r="P843" s="260"/>
      <c r="Q843" s="260"/>
      <c r="R843" s="260"/>
      <c r="S843" s="260"/>
      <c r="T843" s="260"/>
      <c r="U843" s="260"/>
      <c r="V843" s="260"/>
      <c r="W843" s="260"/>
      <c r="X843" s="260"/>
      <c r="Y843" s="260"/>
      <c r="Z843" s="260"/>
    </row>
    <row r="844">
      <c r="A844" s="259"/>
      <c r="B844" s="260"/>
      <c r="C844" s="260"/>
      <c r="D844" s="260"/>
      <c r="E844" s="260"/>
      <c r="F844" s="260"/>
      <c r="G844" s="260"/>
      <c r="H844" s="260"/>
      <c r="I844" s="260"/>
      <c r="J844" s="260"/>
      <c r="K844" s="261" t="s">
        <v>39</v>
      </c>
      <c r="L844" s="261" t="s">
        <v>39</v>
      </c>
      <c r="M844" s="260"/>
      <c r="N844" s="260"/>
      <c r="O844" s="260"/>
      <c r="P844" s="260"/>
      <c r="Q844" s="260"/>
      <c r="R844" s="260"/>
      <c r="S844" s="260"/>
      <c r="T844" s="260"/>
      <c r="U844" s="260"/>
      <c r="V844" s="260"/>
      <c r="W844" s="260"/>
      <c r="X844" s="260"/>
      <c r="Y844" s="260"/>
      <c r="Z844" s="260"/>
    </row>
    <row r="845">
      <c r="A845" s="259"/>
      <c r="B845" s="260"/>
      <c r="C845" s="260"/>
      <c r="D845" s="260"/>
      <c r="E845" s="260"/>
      <c r="F845" s="260"/>
      <c r="G845" s="260"/>
      <c r="H845" s="260"/>
      <c r="I845" s="260"/>
      <c r="J845" s="260"/>
      <c r="K845" s="261" t="s">
        <v>39</v>
      </c>
      <c r="L845" s="261" t="s">
        <v>39</v>
      </c>
      <c r="M845" s="260"/>
      <c r="N845" s="260"/>
      <c r="O845" s="260"/>
      <c r="P845" s="260"/>
      <c r="Q845" s="260"/>
      <c r="R845" s="260"/>
      <c r="S845" s="260"/>
      <c r="T845" s="260"/>
      <c r="U845" s="260"/>
      <c r="V845" s="260"/>
      <c r="W845" s="260"/>
      <c r="X845" s="260"/>
      <c r="Y845" s="260"/>
      <c r="Z845" s="260"/>
    </row>
    <row r="846">
      <c r="A846" s="259"/>
      <c r="B846" s="260"/>
      <c r="C846" s="260"/>
      <c r="D846" s="260"/>
      <c r="E846" s="260"/>
      <c r="F846" s="260"/>
      <c r="G846" s="260"/>
      <c r="H846" s="260"/>
      <c r="I846" s="260"/>
      <c r="J846" s="260"/>
      <c r="K846" s="261" t="s">
        <v>39</v>
      </c>
      <c r="L846" s="261" t="s">
        <v>39</v>
      </c>
      <c r="M846" s="260"/>
      <c r="N846" s="260"/>
      <c r="O846" s="260"/>
      <c r="P846" s="260"/>
      <c r="Q846" s="260"/>
      <c r="R846" s="260"/>
      <c r="S846" s="260"/>
      <c r="T846" s="260"/>
      <c r="U846" s="260"/>
      <c r="V846" s="260"/>
      <c r="W846" s="260"/>
      <c r="X846" s="260"/>
      <c r="Y846" s="260"/>
      <c r="Z846" s="260"/>
    </row>
    <row r="847">
      <c r="A847" s="259"/>
      <c r="B847" s="260"/>
      <c r="C847" s="260"/>
      <c r="D847" s="260"/>
      <c r="E847" s="260"/>
      <c r="F847" s="260"/>
      <c r="G847" s="260"/>
      <c r="H847" s="260"/>
      <c r="I847" s="260"/>
      <c r="J847" s="260"/>
      <c r="K847" s="261" t="s">
        <v>39</v>
      </c>
      <c r="L847" s="261" t="s">
        <v>39</v>
      </c>
      <c r="M847" s="260"/>
      <c r="N847" s="260"/>
      <c r="O847" s="260"/>
      <c r="P847" s="260"/>
      <c r="Q847" s="260"/>
      <c r="R847" s="260"/>
      <c r="S847" s="260"/>
      <c r="T847" s="260"/>
      <c r="U847" s="260"/>
      <c r="V847" s="260"/>
      <c r="W847" s="260"/>
      <c r="X847" s="260"/>
      <c r="Y847" s="260"/>
      <c r="Z847" s="260"/>
    </row>
    <row r="848">
      <c r="A848" s="259"/>
      <c r="B848" s="260"/>
      <c r="C848" s="260"/>
      <c r="D848" s="260"/>
      <c r="E848" s="260"/>
      <c r="F848" s="260"/>
      <c r="G848" s="260"/>
      <c r="H848" s="260"/>
      <c r="I848" s="260"/>
      <c r="J848" s="260"/>
      <c r="K848" s="261" t="s">
        <v>39</v>
      </c>
      <c r="L848" s="261" t="s">
        <v>39</v>
      </c>
      <c r="M848" s="260"/>
      <c r="N848" s="260"/>
      <c r="O848" s="260"/>
      <c r="P848" s="260"/>
      <c r="Q848" s="260"/>
      <c r="R848" s="260"/>
      <c r="S848" s="260"/>
      <c r="T848" s="260"/>
      <c r="U848" s="260"/>
      <c r="V848" s="260"/>
      <c r="W848" s="260"/>
      <c r="X848" s="260"/>
      <c r="Y848" s="260"/>
      <c r="Z848" s="260"/>
    </row>
    <row r="849">
      <c r="A849" s="259"/>
      <c r="B849" s="260"/>
      <c r="C849" s="260"/>
      <c r="D849" s="260"/>
      <c r="E849" s="260"/>
      <c r="F849" s="260"/>
      <c r="G849" s="260"/>
      <c r="H849" s="260"/>
      <c r="I849" s="260"/>
      <c r="J849" s="260"/>
      <c r="K849" s="261" t="s">
        <v>39</v>
      </c>
      <c r="L849" s="261" t="s">
        <v>39</v>
      </c>
      <c r="M849" s="260"/>
      <c r="N849" s="260"/>
      <c r="O849" s="260"/>
      <c r="P849" s="260"/>
      <c r="Q849" s="260"/>
      <c r="R849" s="260"/>
      <c r="S849" s="260"/>
      <c r="T849" s="260"/>
      <c r="U849" s="260"/>
      <c r="V849" s="260"/>
      <c r="W849" s="260"/>
      <c r="X849" s="260"/>
      <c r="Y849" s="260"/>
      <c r="Z849" s="260"/>
    </row>
    <row r="850">
      <c r="A850" s="259"/>
      <c r="B850" s="260"/>
      <c r="C850" s="260"/>
      <c r="D850" s="260"/>
      <c r="E850" s="260"/>
      <c r="F850" s="260"/>
      <c r="G850" s="260"/>
      <c r="H850" s="260"/>
      <c r="I850" s="260"/>
      <c r="J850" s="260"/>
      <c r="K850" s="261" t="s">
        <v>39</v>
      </c>
      <c r="L850" s="261" t="s">
        <v>39</v>
      </c>
      <c r="M850" s="260"/>
      <c r="N850" s="260"/>
      <c r="O850" s="260"/>
      <c r="P850" s="260"/>
      <c r="Q850" s="260"/>
      <c r="R850" s="260"/>
      <c r="S850" s="260"/>
      <c r="T850" s="260"/>
      <c r="U850" s="260"/>
      <c r="V850" s="260"/>
      <c r="W850" s="260"/>
      <c r="X850" s="260"/>
      <c r="Y850" s="260"/>
      <c r="Z850" s="260"/>
    </row>
    <row r="851">
      <c r="A851" s="259"/>
      <c r="B851" s="260"/>
      <c r="C851" s="260"/>
      <c r="D851" s="260"/>
      <c r="E851" s="260"/>
      <c r="F851" s="260"/>
      <c r="G851" s="260"/>
      <c r="H851" s="260"/>
      <c r="I851" s="260"/>
      <c r="J851" s="260"/>
      <c r="K851" s="261" t="s">
        <v>39</v>
      </c>
      <c r="L851" s="261" t="s">
        <v>39</v>
      </c>
      <c r="M851" s="260"/>
      <c r="N851" s="260"/>
      <c r="O851" s="260"/>
      <c r="P851" s="260"/>
      <c r="Q851" s="260"/>
      <c r="R851" s="260"/>
      <c r="S851" s="260"/>
      <c r="T851" s="260"/>
      <c r="U851" s="260"/>
      <c r="V851" s="260"/>
      <c r="W851" s="260"/>
      <c r="X851" s="260"/>
      <c r="Y851" s="260"/>
      <c r="Z851" s="260"/>
    </row>
    <row r="852">
      <c r="A852" s="259"/>
      <c r="B852" s="260"/>
      <c r="C852" s="260"/>
      <c r="D852" s="260"/>
      <c r="E852" s="260"/>
      <c r="F852" s="260"/>
      <c r="G852" s="260"/>
      <c r="H852" s="260"/>
      <c r="I852" s="260"/>
      <c r="J852" s="260"/>
      <c r="K852" s="261" t="s">
        <v>39</v>
      </c>
      <c r="L852" s="261" t="s">
        <v>39</v>
      </c>
      <c r="M852" s="260"/>
      <c r="N852" s="260"/>
      <c r="O852" s="260"/>
      <c r="P852" s="260"/>
      <c r="Q852" s="260"/>
      <c r="R852" s="260"/>
      <c r="S852" s="260"/>
      <c r="T852" s="260"/>
      <c r="U852" s="260"/>
      <c r="V852" s="260"/>
      <c r="W852" s="260"/>
      <c r="X852" s="260"/>
      <c r="Y852" s="260"/>
      <c r="Z852" s="260"/>
    </row>
    <row r="853">
      <c r="A853" s="259"/>
      <c r="B853" s="260"/>
      <c r="C853" s="260"/>
      <c r="D853" s="260"/>
      <c r="E853" s="260"/>
      <c r="F853" s="260"/>
      <c r="G853" s="260"/>
      <c r="H853" s="260"/>
      <c r="I853" s="260"/>
      <c r="J853" s="260"/>
      <c r="K853" s="261" t="s">
        <v>39</v>
      </c>
      <c r="L853" s="261" t="s">
        <v>39</v>
      </c>
      <c r="M853" s="260"/>
      <c r="N853" s="260"/>
      <c r="O853" s="260"/>
      <c r="P853" s="260"/>
      <c r="Q853" s="260"/>
      <c r="R853" s="260"/>
      <c r="S853" s="260"/>
      <c r="T853" s="260"/>
      <c r="U853" s="260"/>
      <c r="V853" s="260"/>
      <c r="W853" s="260"/>
      <c r="X853" s="260"/>
      <c r="Y853" s="260"/>
      <c r="Z853" s="260"/>
    </row>
    <row r="854">
      <c r="A854" s="259"/>
      <c r="B854" s="260"/>
      <c r="C854" s="260"/>
      <c r="D854" s="260"/>
      <c r="E854" s="260"/>
      <c r="F854" s="260"/>
      <c r="G854" s="260"/>
      <c r="H854" s="260"/>
      <c r="I854" s="260"/>
      <c r="J854" s="260"/>
      <c r="K854" s="261" t="s">
        <v>39</v>
      </c>
      <c r="L854" s="261" t="s">
        <v>39</v>
      </c>
      <c r="M854" s="260"/>
      <c r="N854" s="260"/>
      <c r="O854" s="260"/>
      <c r="P854" s="260"/>
      <c r="Q854" s="260"/>
      <c r="R854" s="260"/>
      <c r="S854" s="260"/>
      <c r="T854" s="260"/>
      <c r="U854" s="260"/>
      <c r="V854" s="260"/>
      <c r="W854" s="260"/>
      <c r="X854" s="260"/>
      <c r="Y854" s="260"/>
      <c r="Z854" s="260"/>
    </row>
    <row r="855">
      <c r="A855" s="259"/>
      <c r="B855" s="260"/>
      <c r="C855" s="260"/>
      <c r="D855" s="260"/>
      <c r="E855" s="260"/>
      <c r="F855" s="260"/>
      <c r="G855" s="260"/>
      <c r="H855" s="260"/>
      <c r="I855" s="260"/>
      <c r="J855" s="260"/>
      <c r="K855" s="261" t="s">
        <v>39</v>
      </c>
      <c r="L855" s="261" t="s">
        <v>39</v>
      </c>
      <c r="M855" s="260"/>
      <c r="N855" s="260"/>
      <c r="O855" s="260"/>
      <c r="P855" s="260"/>
      <c r="Q855" s="260"/>
      <c r="R855" s="260"/>
      <c r="S855" s="260"/>
      <c r="T855" s="260"/>
      <c r="U855" s="260"/>
      <c r="V855" s="260"/>
      <c r="W855" s="260"/>
      <c r="X855" s="260"/>
      <c r="Y855" s="260"/>
      <c r="Z855" s="260"/>
    </row>
    <row r="856">
      <c r="A856" s="259"/>
      <c r="B856" s="260"/>
      <c r="C856" s="260"/>
      <c r="D856" s="260"/>
      <c r="E856" s="260"/>
      <c r="F856" s="260"/>
      <c r="G856" s="260"/>
      <c r="H856" s="260"/>
      <c r="I856" s="260"/>
      <c r="J856" s="260"/>
      <c r="K856" s="261" t="s">
        <v>39</v>
      </c>
      <c r="L856" s="261" t="s">
        <v>39</v>
      </c>
      <c r="M856" s="260"/>
      <c r="N856" s="260"/>
      <c r="O856" s="260"/>
      <c r="P856" s="260"/>
      <c r="Q856" s="260"/>
      <c r="R856" s="260"/>
      <c r="S856" s="260"/>
      <c r="T856" s="260"/>
      <c r="U856" s="260"/>
      <c r="V856" s="260"/>
      <c r="W856" s="260"/>
      <c r="X856" s="260"/>
      <c r="Y856" s="260"/>
      <c r="Z856" s="260"/>
    </row>
    <row r="857">
      <c r="A857" s="259"/>
      <c r="B857" s="260"/>
      <c r="C857" s="260"/>
      <c r="D857" s="260"/>
      <c r="E857" s="260"/>
      <c r="F857" s="260"/>
      <c r="G857" s="260"/>
      <c r="H857" s="260"/>
      <c r="I857" s="260"/>
      <c r="J857" s="260"/>
      <c r="K857" s="261" t="s">
        <v>39</v>
      </c>
      <c r="L857" s="261" t="s">
        <v>39</v>
      </c>
      <c r="M857" s="260"/>
      <c r="N857" s="260"/>
      <c r="O857" s="260"/>
      <c r="P857" s="260"/>
      <c r="Q857" s="260"/>
      <c r="R857" s="260"/>
      <c r="S857" s="260"/>
      <c r="T857" s="260"/>
      <c r="U857" s="260"/>
      <c r="V857" s="260"/>
      <c r="W857" s="260"/>
      <c r="X857" s="260"/>
      <c r="Y857" s="260"/>
      <c r="Z857" s="260"/>
    </row>
    <row r="858">
      <c r="A858" s="259"/>
      <c r="B858" s="260"/>
      <c r="C858" s="260"/>
      <c r="D858" s="260"/>
      <c r="E858" s="260"/>
      <c r="F858" s="260"/>
      <c r="G858" s="260"/>
      <c r="H858" s="260"/>
      <c r="I858" s="260"/>
      <c r="J858" s="260"/>
      <c r="K858" s="261" t="s">
        <v>39</v>
      </c>
      <c r="L858" s="261" t="s">
        <v>39</v>
      </c>
      <c r="M858" s="260"/>
      <c r="N858" s="260"/>
      <c r="O858" s="260"/>
      <c r="P858" s="260"/>
      <c r="Q858" s="260"/>
      <c r="R858" s="260"/>
      <c r="S858" s="260"/>
      <c r="T858" s="260"/>
      <c r="U858" s="260"/>
      <c r="V858" s="260"/>
      <c r="W858" s="260"/>
      <c r="X858" s="260"/>
      <c r="Y858" s="260"/>
      <c r="Z858" s="260"/>
    </row>
    <row r="859">
      <c r="A859" s="259"/>
      <c r="B859" s="260"/>
      <c r="C859" s="260"/>
      <c r="D859" s="260"/>
      <c r="E859" s="260"/>
      <c r="F859" s="260"/>
      <c r="G859" s="260"/>
      <c r="H859" s="260"/>
      <c r="I859" s="260"/>
      <c r="J859" s="260"/>
      <c r="K859" s="261" t="s">
        <v>39</v>
      </c>
      <c r="L859" s="261" t="s">
        <v>39</v>
      </c>
      <c r="M859" s="260"/>
      <c r="N859" s="260"/>
      <c r="O859" s="260"/>
      <c r="P859" s="260"/>
      <c r="Q859" s="260"/>
      <c r="R859" s="260"/>
      <c r="S859" s="260"/>
      <c r="T859" s="260"/>
      <c r="U859" s="260"/>
      <c r="V859" s="260"/>
      <c r="W859" s="260"/>
      <c r="X859" s="260"/>
      <c r="Y859" s="260"/>
      <c r="Z859" s="260"/>
    </row>
    <row r="860">
      <c r="A860" s="259"/>
      <c r="B860" s="260"/>
      <c r="C860" s="260"/>
      <c r="D860" s="260"/>
      <c r="E860" s="260"/>
      <c r="F860" s="260"/>
      <c r="G860" s="260"/>
      <c r="H860" s="260"/>
      <c r="I860" s="260"/>
      <c r="J860" s="260"/>
      <c r="K860" s="261" t="s">
        <v>39</v>
      </c>
      <c r="L860" s="261" t="s">
        <v>39</v>
      </c>
      <c r="M860" s="260"/>
      <c r="N860" s="260"/>
      <c r="O860" s="260"/>
      <c r="P860" s="260"/>
      <c r="Q860" s="260"/>
      <c r="R860" s="260"/>
      <c r="S860" s="260"/>
      <c r="T860" s="260"/>
      <c r="U860" s="260"/>
      <c r="V860" s="260"/>
      <c r="W860" s="260"/>
      <c r="X860" s="260"/>
      <c r="Y860" s="260"/>
      <c r="Z860" s="260"/>
    </row>
    <row r="861">
      <c r="A861" s="259"/>
      <c r="B861" s="260"/>
      <c r="C861" s="260"/>
      <c r="D861" s="260"/>
      <c r="E861" s="260"/>
      <c r="F861" s="260"/>
      <c r="G861" s="260"/>
      <c r="H861" s="260"/>
      <c r="I861" s="260"/>
      <c r="J861" s="260"/>
      <c r="K861" s="261" t="s">
        <v>39</v>
      </c>
      <c r="L861" s="261" t="s">
        <v>39</v>
      </c>
      <c r="M861" s="260"/>
      <c r="N861" s="260"/>
      <c r="O861" s="260"/>
      <c r="P861" s="260"/>
      <c r="Q861" s="260"/>
      <c r="R861" s="260"/>
      <c r="S861" s="260"/>
      <c r="T861" s="260"/>
      <c r="U861" s="260"/>
      <c r="V861" s="260"/>
      <c r="W861" s="260"/>
      <c r="X861" s="260"/>
      <c r="Y861" s="260"/>
      <c r="Z861" s="260"/>
    </row>
    <row r="862">
      <c r="A862" s="259"/>
      <c r="B862" s="260"/>
      <c r="C862" s="260"/>
      <c r="D862" s="260"/>
      <c r="E862" s="260"/>
      <c r="F862" s="260"/>
      <c r="G862" s="260"/>
      <c r="H862" s="260"/>
      <c r="I862" s="260"/>
      <c r="J862" s="260"/>
      <c r="K862" s="261" t="s">
        <v>39</v>
      </c>
      <c r="L862" s="261" t="s">
        <v>39</v>
      </c>
      <c r="M862" s="260"/>
      <c r="N862" s="260"/>
      <c r="O862" s="260"/>
      <c r="P862" s="260"/>
      <c r="Q862" s="260"/>
      <c r="R862" s="260"/>
      <c r="S862" s="260"/>
      <c r="T862" s="260"/>
      <c r="U862" s="260"/>
      <c r="V862" s="260"/>
      <c r="W862" s="260"/>
      <c r="X862" s="260"/>
      <c r="Y862" s="260"/>
      <c r="Z862" s="260"/>
    </row>
    <row r="863">
      <c r="A863" s="259"/>
      <c r="B863" s="260"/>
      <c r="C863" s="260"/>
      <c r="D863" s="260"/>
      <c r="E863" s="260"/>
      <c r="F863" s="260"/>
      <c r="G863" s="260"/>
      <c r="H863" s="260"/>
      <c r="I863" s="260"/>
      <c r="J863" s="260"/>
      <c r="K863" s="261" t="s">
        <v>39</v>
      </c>
      <c r="L863" s="261" t="s">
        <v>39</v>
      </c>
      <c r="M863" s="260"/>
      <c r="N863" s="260"/>
      <c r="O863" s="260"/>
      <c r="P863" s="260"/>
      <c r="Q863" s="260"/>
      <c r="R863" s="260"/>
      <c r="S863" s="260"/>
      <c r="T863" s="260"/>
      <c r="U863" s="260"/>
      <c r="V863" s="260"/>
      <c r="W863" s="260"/>
      <c r="X863" s="260"/>
      <c r="Y863" s="260"/>
      <c r="Z863" s="260"/>
    </row>
    <row r="864">
      <c r="A864" s="259"/>
      <c r="B864" s="260"/>
      <c r="C864" s="260"/>
      <c r="D864" s="260"/>
      <c r="E864" s="260"/>
      <c r="F864" s="260"/>
      <c r="G864" s="260"/>
      <c r="H864" s="260"/>
      <c r="I864" s="260"/>
      <c r="J864" s="260"/>
      <c r="K864" s="261" t="s">
        <v>39</v>
      </c>
      <c r="L864" s="261" t="s">
        <v>39</v>
      </c>
      <c r="M864" s="260"/>
      <c r="N864" s="260"/>
      <c r="O864" s="260"/>
      <c r="P864" s="260"/>
      <c r="Q864" s="260"/>
      <c r="R864" s="260"/>
      <c r="S864" s="260"/>
      <c r="T864" s="260"/>
      <c r="U864" s="260"/>
      <c r="V864" s="260"/>
      <c r="W864" s="260"/>
      <c r="X864" s="260"/>
      <c r="Y864" s="260"/>
      <c r="Z864" s="260"/>
    </row>
    <row r="865">
      <c r="A865" s="259"/>
      <c r="B865" s="260"/>
      <c r="C865" s="260"/>
      <c r="D865" s="260"/>
      <c r="E865" s="260"/>
      <c r="F865" s="260"/>
      <c r="G865" s="260"/>
      <c r="H865" s="260"/>
      <c r="I865" s="260"/>
      <c r="J865" s="260"/>
      <c r="K865" s="261" t="s">
        <v>39</v>
      </c>
      <c r="L865" s="261" t="s">
        <v>39</v>
      </c>
      <c r="M865" s="260"/>
      <c r="N865" s="260"/>
      <c r="O865" s="260"/>
      <c r="P865" s="260"/>
      <c r="Q865" s="260"/>
      <c r="R865" s="260"/>
      <c r="S865" s="260"/>
      <c r="T865" s="260"/>
      <c r="U865" s="260"/>
      <c r="V865" s="260"/>
      <c r="W865" s="260"/>
      <c r="X865" s="260"/>
      <c r="Y865" s="260"/>
      <c r="Z865" s="260"/>
    </row>
    <row r="866">
      <c r="A866" s="259"/>
      <c r="B866" s="260"/>
      <c r="C866" s="260"/>
      <c r="D866" s="260"/>
      <c r="E866" s="260"/>
      <c r="F866" s="260"/>
      <c r="G866" s="260"/>
      <c r="H866" s="260"/>
      <c r="I866" s="260"/>
      <c r="J866" s="260"/>
      <c r="K866" s="261" t="s">
        <v>39</v>
      </c>
      <c r="L866" s="261" t="s">
        <v>39</v>
      </c>
      <c r="M866" s="260"/>
      <c r="N866" s="260"/>
      <c r="O866" s="260"/>
      <c r="P866" s="260"/>
      <c r="Q866" s="260"/>
      <c r="R866" s="260"/>
      <c r="S866" s="260"/>
      <c r="T866" s="260"/>
      <c r="U866" s="260"/>
      <c r="V866" s="260"/>
      <c r="W866" s="260"/>
      <c r="X866" s="260"/>
      <c r="Y866" s="260"/>
      <c r="Z866" s="260"/>
    </row>
    <row r="867">
      <c r="A867" s="259"/>
      <c r="B867" s="260"/>
      <c r="C867" s="260"/>
      <c r="D867" s="260"/>
      <c r="E867" s="260"/>
      <c r="F867" s="260"/>
      <c r="G867" s="260"/>
      <c r="H867" s="260"/>
      <c r="I867" s="260"/>
      <c r="J867" s="260"/>
      <c r="K867" s="261" t="s">
        <v>39</v>
      </c>
      <c r="L867" s="261" t="s">
        <v>39</v>
      </c>
      <c r="M867" s="260"/>
      <c r="N867" s="260"/>
      <c r="O867" s="260"/>
      <c r="P867" s="260"/>
      <c r="Q867" s="260"/>
      <c r="R867" s="260"/>
      <c r="S867" s="260"/>
      <c r="T867" s="260"/>
      <c r="U867" s="260"/>
      <c r="V867" s="260"/>
      <c r="W867" s="260"/>
      <c r="X867" s="260"/>
      <c r="Y867" s="260"/>
      <c r="Z867" s="260"/>
    </row>
    <row r="868">
      <c r="A868" s="259"/>
      <c r="B868" s="260"/>
      <c r="C868" s="260"/>
      <c r="D868" s="260"/>
      <c r="E868" s="260"/>
      <c r="F868" s="260"/>
      <c r="G868" s="260"/>
      <c r="H868" s="260"/>
      <c r="I868" s="260"/>
      <c r="J868" s="260"/>
      <c r="K868" s="261" t="s">
        <v>39</v>
      </c>
      <c r="L868" s="261" t="s">
        <v>39</v>
      </c>
      <c r="M868" s="260"/>
      <c r="N868" s="260"/>
      <c r="O868" s="260"/>
      <c r="P868" s="260"/>
      <c r="Q868" s="260"/>
      <c r="R868" s="260"/>
      <c r="S868" s="260"/>
      <c r="T868" s="260"/>
      <c r="U868" s="260"/>
      <c r="V868" s="260"/>
      <c r="W868" s="260"/>
      <c r="X868" s="260"/>
      <c r="Y868" s="260"/>
      <c r="Z868" s="260"/>
    </row>
    <row r="869">
      <c r="A869" s="259"/>
      <c r="B869" s="260"/>
      <c r="C869" s="260"/>
      <c r="D869" s="260"/>
      <c r="E869" s="260"/>
      <c r="F869" s="260"/>
      <c r="G869" s="260"/>
      <c r="H869" s="260"/>
      <c r="I869" s="260"/>
      <c r="J869" s="260"/>
      <c r="K869" s="261" t="s">
        <v>39</v>
      </c>
      <c r="L869" s="261" t="s">
        <v>39</v>
      </c>
      <c r="M869" s="260"/>
      <c r="N869" s="260"/>
      <c r="O869" s="260"/>
      <c r="P869" s="260"/>
      <c r="Q869" s="260"/>
      <c r="R869" s="260"/>
      <c r="S869" s="260"/>
      <c r="T869" s="260"/>
      <c r="U869" s="260"/>
      <c r="V869" s="260"/>
      <c r="W869" s="260"/>
      <c r="X869" s="260"/>
      <c r="Y869" s="260"/>
      <c r="Z869" s="260"/>
    </row>
    <row r="870">
      <c r="A870" s="259"/>
      <c r="B870" s="260"/>
      <c r="C870" s="260"/>
      <c r="D870" s="260"/>
      <c r="E870" s="260"/>
      <c r="F870" s="260"/>
      <c r="G870" s="260"/>
      <c r="H870" s="260"/>
      <c r="I870" s="260"/>
      <c r="J870" s="260"/>
      <c r="K870" s="261" t="s">
        <v>39</v>
      </c>
      <c r="L870" s="261" t="s">
        <v>39</v>
      </c>
      <c r="M870" s="260"/>
      <c r="N870" s="260"/>
      <c r="O870" s="260"/>
      <c r="P870" s="260"/>
      <c r="Q870" s="260"/>
      <c r="R870" s="260"/>
      <c r="S870" s="260"/>
      <c r="T870" s="260"/>
      <c r="U870" s="260"/>
      <c r="V870" s="260"/>
      <c r="W870" s="260"/>
      <c r="X870" s="260"/>
      <c r="Y870" s="260"/>
      <c r="Z870" s="260"/>
    </row>
    <row r="871">
      <c r="A871" s="259"/>
      <c r="B871" s="260"/>
      <c r="C871" s="260"/>
      <c r="D871" s="260"/>
      <c r="E871" s="260"/>
      <c r="F871" s="260"/>
      <c r="G871" s="260"/>
      <c r="H871" s="260"/>
      <c r="I871" s="260"/>
      <c r="J871" s="260"/>
      <c r="K871" s="261" t="s">
        <v>39</v>
      </c>
      <c r="L871" s="261" t="s">
        <v>39</v>
      </c>
      <c r="M871" s="260"/>
      <c r="N871" s="260"/>
      <c r="O871" s="260"/>
      <c r="P871" s="260"/>
      <c r="Q871" s="260"/>
      <c r="R871" s="260"/>
      <c r="S871" s="260"/>
      <c r="T871" s="260"/>
      <c r="U871" s="260"/>
      <c r="V871" s="260"/>
      <c r="W871" s="260"/>
      <c r="X871" s="260"/>
      <c r="Y871" s="260"/>
      <c r="Z871" s="260"/>
    </row>
    <row r="872">
      <c r="A872" s="259"/>
      <c r="B872" s="260"/>
      <c r="C872" s="260"/>
      <c r="D872" s="260"/>
      <c r="E872" s="260"/>
      <c r="F872" s="260"/>
      <c r="G872" s="260"/>
      <c r="H872" s="260"/>
      <c r="I872" s="260"/>
      <c r="J872" s="260"/>
      <c r="K872" s="261" t="s">
        <v>39</v>
      </c>
      <c r="L872" s="261" t="s">
        <v>39</v>
      </c>
      <c r="M872" s="260"/>
      <c r="N872" s="260"/>
      <c r="O872" s="260"/>
      <c r="P872" s="260"/>
      <c r="Q872" s="260"/>
      <c r="R872" s="260"/>
      <c r="S872" s="260"/>
      <c r="T872" s="260"/>
      <c r="U872" s="260"/>
      <c r="V872" s="260"/>
      <c r="W872" s="260"/>
      <c r="X872" s="260"/>
      <c r="Y872" s="260"/>
      <c r="Z872" s="260"/>
    </row>
    <row r="873">
      <c r="A873" s="259"/>
      <c r="B873" s="260"/>
      <c r="C873" s="260"/>
      <c r="D873" s="260"/>
      <c r="E873" s="260"/>
      <c r="F873" s="260"/>
      <c r="G873" s="260"/>
      <c r="H873" s="260"/>
      <c r="I873" s="260"/>
      <c r="J873" s="260"/>
      <c r="K873" s="261" t="s">
        <v>39</v>
      </c>
      <c r="L873" s="261" t="s">
        <v>39</v>
      </c>
      <c r="M873" s="260"/>
      <c r="N873" s="260"/>
      <c r="O873" s="260"/>
      <c r="P873" s="260"/>
      <c r="Q873" s="260"/>
      <c r="R873" s="260"/>
      <c r="S873" s="260"/>
      <c r="T873" s="260"/>
      <c r="U873" s="260"/>
      <c r="V873" s="260"/>
      <c r="W873" s="260"/>
      <c r="X873" s="260"/>
      <c r="Y873" s="260"/>
      <c r="Z873" s="260"/>
    </row>
    <row r="874">
      <c r="A874" s="259"/>
      <c r="B874" s="260"/>
      <c r="C874" s="260"/>
      <c r="D874" s="260"/>
      <c r="E874" s="260"/>
      <c r="F874" s="260"/>
      <c r="G874" s="260"/>
      <c r="H874" s="260"/>
      <c r="I874" s="260"/>
      <c r="J874" s="260"/>
      <c r="K874" s="261" t="s">
        <v>39</v>
      </c>
      <c r="L874" s="261" t="s">
        <v>39</v>
      </c>
      <c r="M874" s="260"/>
      <c r="N874" s="260"/>
      <c r="O874" s="260"/>
      <c r="P874" s="260"/>
      <c r="Q874" s="260"/>
      <c r="R874" s="260"/>
      <c r="S874" s="260"/>
      <c r="T874" s="260"/>
      <c r="U874" s="260"/>
      <c r="V874" s="260"/>
      <c r="W874" s="260"/>
      <c r="X874" s="260"/>
      <c r="Y874" s="260"/>
      <c r="Z874" s="260"/>
    </row>
    <row r="875">
      <c r="A875" s="259"/>
      <c r="B875" s="260"/>
      <c r="C875" s="260"/>
      <c r="D875" s="260"/>
      <c r="E875" s="260"/>
      <c r="F875" s="260"/>
      <c r="G875" s="260"/>
      <c r="H875" s="260"/>
      <c r="I875" s="260"/>
      <c r="J875" s="260"/>
      <c r="K875" s="261" t="s">
        <v>39</v>
      </c>
      <c r="L875" s="261" t="s">
        <v>39</v>
      </c>
      <c r="M875" s="260"/>
      <c r="N875" s="260"/>
      <c r="O875" s="260"/>
      <c r="P875" s="260"/>
      <c r="Q875" s="260"/>
      <c r="R875" s="260"/>
      <c r="S875" s="260"/>
      <c r="T875" s="260"/>
      <c r="U875" s="260"/>
      <c r="V875" s="260"/>
      <c r="W875" s="260"/>
      <c r="X875" s="260"/>
      <c r="Y875" s="260"/>
      <c r="Z875" s="260"/>
    </row>
    <row r="876">
      <c r="A876" s="259"/>
      <c r="B876" s="260"/>
      <c r="C876" s="260"/>
      <c r="D876" s="260"/>
      <c r="E876" s="260"/>
      <c r="F876" s="260"/>
      <c r="G876" s="260"/>
      <c r="H876" s="260"/>
      <c r="I876" s="260"/>
      <c r="J876" s="260"/>
      <c r="K876" s="261" t="s">
        <v>39</v>
      </c>
      <c r="L876" s="261" t="s">
        <v>39</v>
      </c>
      <c r="M876" s="260"/>
      <c r="N876" s="260"/>
      <c r="O876" s="260"/>
      <c r="P876" s="260"/>
      <c r="Q876" s="260"/>
      <c r="R876" s="260"/>
      <c r="S876" s="260"/>
      <c r="T876" s="260"/>
      <c r="U876" s="260"/>
      <c r="V876" s="260"/>
      <c r="W876" s="260"/>
      <c r="X876" s="260"/>
      <c r="Y876" s="260"/>
      <c r="Z876" s="260"/>
    </row>
    <row r="877">
      <c r="A877" s="259"/>
      <c r="B877" s="260"/>
      <c r="C877" s="260"/>
      <c r="D877" s="260"/>
      <c r="E877" s="260"/>
      <c r="F877" s="260"/>
      <c r="G877" s="260"/>
      <c r="H877" s="260"/>
      <c r="I877" s="260"/>
      <c r="J877" s="260"/>
      <c r="K877" s="261" t="s">
        <v>39</v>
      </c>
      <c r="L877" s="261" t="s">
        <v>39</v>
      </c>
      <c r="M877" s="260"/>
      <c r="N877" s="260"/>
      <c r="O877" s="260"/>
      <c r="P877" s="260"/>
      <c r="Q877" s="260"/>
      <c r="R877" s="260"/>
      <c r="S877" s="260"/>
      <c r="T877" s="260"/>
      <c r="U877" s="260"/>
      <c r="V877" s="260"/>
      <c r="W877" s="260"/>
      <c r="X877" s="260"/>
      <c r="Y877" s="260"/>
      <c r="Z877" s="260"/>
    </row>
    <row r="878">
      <c r="A878" s="259"/>
      <c r="B878" s="260"/>
      <c r="C878" s="260"/>
      <c r="D878" s="260"/>
      <c r="E878" s="260"/>
      <c r="F878" s="260"/>
      <c r="G878" s="260"/>
      <c r="H878" s="260"/>
      <c r="I878" s="260"/>
      <c r="J878" s="260"/>
      <c r="K878" s="261" t="s">
        <v>39</v>
      </c>
      <c r="L878" s="261" t="s">
        <v>39</v>
      </c>
      <c r="M878" s="260"/>
      <c r="N878" s="260"/>
      <c r="O878" s="260"/>
      <c r="P878" s="260"/>
      <c r="Q878" s="260"/>
      <c r="R878" s="260"/>
      <c r="S878" s="260"/>
      <c r="T878" s="260"/>
      <c r="U878" s="260"/>
      <c r="V878" s="260"/>
      <c r="W878" s="260"/>
      <c r="X878" s="260"/>
      <c r="Y878" s="260"/>
      <c r="Z878" s="260"/>
    </row>
    <row r="879">
      <c r="A879" s="259"/>
      <c r="B879" s="260"/>
      <c r="C879" s="260"/>
      <c r="D879" s="260"/>
      <c r="E879" s="260"/>
      <c r="F879" s="260"/>
      <c r="G879" s="260"/>
      <c r="H879" s="260"/>
      <c r="I879" s="260"/>
      <c r="J879" s="260"/>
      <c r="K879" s="261" t="s">
        <v>39</v>
      </c>
      <c r="L879" s="261" t="s">
        <v>39</v>
      </c>
      <c r="M879" s="260"/>
      <c r="N879" s="260"/>
      <c r="O879" s="260"/>
      <c r="P879" s="260"/>
      <c r="Q879" s="260"/>
      <c r="R879" s="260"/>
      <c r="S879" s="260"/>
      <c r="T879" s="260"/>
      <c r="U879" s="260"/>
      <c r="V879" s="260"/>
      <c r="W879" s="260"/>
      <c r="X879" s="260"/>
      <c r="Y879" s="260"/>
      <c r="Z879" s="260"/>
    </row>
    <row r="880">
      <c r="A880" s="259"/>
      <c r="B880" s="260"/>
      <c r="C880" s="260"/>
      <c r="D880" s="260"/>
      <c r="E880" s="260"/>
      <c r="F880" s="260"/>
      <c r="G880" s="260"/>
      <c r="H880" s="260"/>
      <c r="I880" s="260"/>
      <c r="J880" s="260"/>
      <c r="K880" s="261" t="s">
        <v>39</v>
      </c>
      <c r="L880" s="261" t="s">
        <v>39</v>
      </c>
      <c r="M880" s="260"/>
      <c r="N880" s="260"/>
      <c r="O880" s="260"/>
      <c r="P880" s="260"/>
      <c r="Q880" s="260"/>
      <c r="R880" s="260"/>
      <c r="S880" s="260"/>
      <c r="T880" s="260"/>
      <c r="U880" s="260"/>
      <c r="V880" s="260"/>
      <c r="W880" s="260"/>
      <c r="X880" s="260"/>
      <c r="Y880" s="260"/>
      <c r="Z880" s="260"/>
    </row>
    <row r="881">
      <c r="A881" s="259"/>
      <c r="B881" s="260"/>
      <c r="C881" s="260"/>
      <c r="D881" s="260"/>
      <c r="E881" s="260"/>
      <c r="F881" s="260"/>
      <c r="G881" s="260"/>
      <c r="H881" s="260"/>
      <c r="I881" s="260"/>
      <c r="J881" s="260"/>
      <c r="K881" s="261" t="s">
        <v>39</v>
      </c>
      <c r="L881" s="261" t="s">
        <v>39</v>
      </c>
      <c r="M881" s="260"/>
      <c r="N881" s="260"/>
      <c r="O881" s="260"/>
      <c r="P881" s="260"/>
      <c r="Q881" s="260"/>
      <c r="R881" s="260"/>
      <c r="S881" s="260"/>
      <c r="T881" s="260"/>
      <c r="U881" s="260"/>
      <c r="V881" s="260"/>
      <c r="W881" s="260"/>
      <c r="X881" s="260"/>
      <c r="Y881" s="260"/>
      <c r="Z881" s="260"/>
    </row>
    <row r="882">
      <c r="A882" s="259"/>
      <c r="B882" s="260"/>
      <c r="C882" s="260"/>
      <c r="D882" s="260"/>
      <c r="E882" s="260"/>
      <c r="F882" s="260"/>
      <c r="G882" s="260"/>
      <c r="H882" s="260"/>
      <c r="I882" s="260"/>
      <c r="J882" s="260"/>
      <c r="K882" s="261" t="s">
        <v>39</v>
      </c>
      <c r="L882" s="261" t="s">
        <v>39</v>
      </c>
      <c r="M882" s="260"/>
      <c r="N882" s="260"/>
      <c r="O882" s="260"/>
      <c r="P882" s="260"/>
      <c r="Q882" s="260"/>
      <c r="R882" s="260"/>
      <c r="S882" s="260"/>
      <c r="T882" s="260"/>
      <c r="U882" s="260"/>
      <c r="V882" s="260"/>
      <c r="W882" s="260"/>
      <c r="X882" s="260"/>
      <c r="Y882" s="260"/>
      <c r="Z882" s="260"/>
    </row>
    <row r="883">
      <c r="A883" s="259"/>
      <c r="B883" s="260"/>
      <c r="C883" s="260"/>
      <c r="D883" s="260"/>
      <c r="E883" s="260"/>
      <c r="F883" s="260"/>
      <c r="G883" s="260"/>
      <c r="H883" s="260"/>
      <c r="I883" s="260"/>
      <c r="J883" s="260"/>
      <c r="K883" s="261" t="s">
        <v>39</v>
      </c>
      <c r="L883" s="261" t="s">
        <v>39</v>
      </c>
      <c r="M883" s="260"/>
      <c r="N883" s="260"/>
      <c r="O883" s="260"/>
      <c r="P883" s="260"/>
      <c r="Q883" s="260"/>
      <c r="R883" s="260"/>
      <c r="S883" s="260"/>
      <c r="T883" s="260"/>
      <c r="U883" s="260"/>
      <c r="V883" s="260"/>
      <c r="W883" s="260"/>
      <c r="X883" s="260"/>
      <c r="Y883" s="260"/>
      <c r="Z883" s="260"/>
    </row>
    <row r="884">
      <c r="A884" s="259"/>
      <c r="B884" s="260"/>
      <c r="C884" s="260"/>
      <c r="D884" s="260"/>
      <c r="E884" s="260"/>
      <c r="F884" s="260"/>
      <c r="G884" s="260"/>
      <c r="H884" s="260"/>
      <c r="I884" s="260"/>
      <c r="J884" s="260"/>
      <c r="K884" s="261" t="s">
        <v>39</v>
      </c>
      <c r="L884" s="261" t="s">
        <v>39</v>
      </c>
      <c r="M884" s="260"/>
      <c r="N884" s="260"/>
      <c r="O884" s="260"/>
      <c r="P884" s="260"/>
      <c r="Q884" s="260"/>
      <c r="R884" s="260"/>
      <c r="S884" s="260"/>
      <c r="T884" s="260"/>
      <c r="U884" s="260"/>
      <c r="V884" s="260"/>
      <c r="W884" s="260"/>
      <c r="X884" s="260"/>
      <c r="Y884" s="260"/>
      <c r="Z884" s="260"/>
    </row>
    <row r="885">
      <c r="A885" s="259"/>
      <c r="B885" s="260"/>
      <c r="C885" s="260"/>
      <c r="D885" s="260"/>
      <c r="E885" s="260"/>
      <c r="F885" s="260"/>
      <c r="G885" s="260"/>
      <c r="H885" s="260"/>
      <c r="I885" s="260"/>
      <c r="J885" s="260"/>
      <c r="K885" s="261" t="s">
        <v>39</v>
      </c>
      <c r="L885" s="261" t="s">
        <v>39</v>
      </c>
      <c r="M885" s="260"/>
      <c r="N885" s="260"/>
      <c r="O885" s="260"/>
      <c r="P885" s="260"/>
      <c r="Q885" s="260"/>
      <c r="R885" s="260"/>
      <c r="S885" s="260"/>
      <c r="T885" s="260"/>
      <c r="U885" s="260"/>
      <c r="V885" s="260"/>
      <c r="W885" s="260"/>
      <c r="X885" s="260"/>
      <c r="Y885" s="260"/>
      <c r="Z885" s="260"/>
    </row>
    <row r="886">
      <c r="A886" s="259"/>
      <c r="B886" s="260"/>
      <c r="C886" s="260"/>
      <c r="D886" s="260"/>
      <c r="E886" s="260"/>
      <c r="F886" s="260"/>
      <c r="G886" s="260"/>
      <c r="H886" s="260"/>
      <c r="I886" s="260"/>
      <c r="J886" s="260"/>
      <c r="K886" s="261" t="s">
        <v>39</v>
      </c>
      <c r="L886" s="261" t="s">
        <v>39</v>
      </c>
      <c r="M886" s="260"/>
      <c r="N886" s="260"/>
      <c r="O886" s="260"/>
      <c r="P886" s="260"/>
      <c r="Q886" s="260"/>
      <c r="R886" s="260"/>
      <c r="S886" s="260"/>
      <c r="T886" s="260"/>
      <c r="U886" s="260"/>
      <c r="V886" s="260"/>
      <c r="W886" s="260"/>
      <c r="X886" s="260"/>
      <c r="Y886" s="260"/>
      <c r="Z886" s="260"/>
    </row>
    <row r="887">
      <c r="A887" s="259"/>
      <c r="B887" s="260"/>
      <c r="C887" s="260"/>
      <c r="D887" s="260"/>
      <c r="E887" s="260"/>
      <c r="F887" s="260"/>
      <c r="G887" s="260"/>
      <c r="H887" s="260"/>
      <c r="I887" s="260"/>
      <c r="J887" s="260"/>
      <c r="K887" s="261" t="s">
        <v>39</v>
      </c>
      <c r="L887" s="261" t="s">
        <v>39</v>
      </c>
      <c r="M887" s="260"/>
      <c r="N887" s="260"/>
      <c r="O887" s="260"/>
      <c r="P887" s="260"/>
      <c r="Q887" s="260"/>
      <c r="R887" s="260"/>
      <c r="S887" s="260"/>
      <c r="T887" s="260"/>
      <c r="U887" s="260"/>
      <c r="V887" s="260"/>
      <c r="W887" s="260"/>
      <c r="X887" s="260"/>
      <c r="Y887" s="260"/>
      <c r="Z887" s="260"/>
    </row>
    <row r="888">
      <c r="A888" s="259"/>
      <c r="B888" s="260"/>
      <c r="C888" s="260"/>
      <c r="D888" s="260"/>
      <c r="E888" s="260"/>
      <c r="F888" s="260"/>
      <c r="G888" s="260"/>
      <c r="H888" s="260"/>
      <c r="I888" s="260"/>
      <c r="J888" s="260"/>
      <c r="K888" s="261" t="s">
        <v>39</v>
      </c>
      <c r="L888" s="261" t="s">
        <v>39</v>
      </c>
      <c r="M888" s="260"/>
      <c r="N888" s="260"/>
      <c r="O888" s="260"/>
      <c r="P888" s="260"/>
      <c r="Q888" s="260"/>
      <c r="R888" s="260"/>
      <c r="S888" s="260"/>
      <c r="T888" s="260"/>
      <c r="U888" s="260"/>
      <c r="V888" s="260"/>
      <c r="W888" s="260"/>
      <c r="X888" s="260"/>
      <c r="Y888" s="260"/>
      <c r="Z888" s="260"/>
    </row>
    <row r="889">
      <c r="A889" s="259"/>
      <c r="B889" s="260"/>
      <c r="C889" s="260"/>
      <c r="D889" s="260"/>
      <c r="E889" s="260"/>
      <c r="F889" s="260"/>
      <c r="G889" s="260"/>
      <c r="H889" s="260"/>
      <c r="I889" s="260"/>
      <c r="J889" s="260"/>
      <c r="K889" s="261" t="s">
        <v>39</v>
      </c>
      <c r="L889" s="261" t="s">
        <v>39</v>
      </c>
      <c r="M889" s="260"/>
      <c r="N889" s="260"/>
      <c r="O889" s="260"/>
      <c r="P889" s="260"/>
      <c r="Q889" s="260"/>
      <c r="R889" s="260"/>
      <c r="S889" s="260"/>
      <c r="T889" s="260"/>
      <c r="U889" s="260"/>
      <c r="V889" s="260"/>
      <c r="W889" s="260"/>
      <c r="X889" s="260"/>
      <c r="Y889" s="260"/>
      <c r="Z889" s="260"/>
    </row>
    <row r="890">
      <c r="A890" s="259"/>
      <c r="B890" s="260"/>
      <c r="C890" s="260"/>
      <c r="D890" s="260"/>
      <c r="E890" s="260"/>
      <c r="F890" s="260"/>
      <c r="G890" s="260"/>
      <c r="H890" s="260"/>
      <c r="I890" s="260"/>
      <c r="J890" s="260"/>
      <c r="K890" s="261" t="s">
        <v>39</v>
      </c>
      <c r="L890" s="261" t="s">
        <v>39</v>
      </c>
      <c r="M890" s="260"/>
      <c r="N890" s="260"/>
      <c r="O890" s="260"/>
      <c r="P890" s="260"/>
      <c r="Q890" s="260"/>
      <c r="R890" s="260"/>
      <c r="S890" s="260"/>
      <c r="T890" s="260"/>
      <c r="U890" s="260"/>
      <c r="V890" s="260"/>
      <c r="W890" s="260"/>
      <c r="X890" s="260"/>
      <c r="Y890" s="260"/>
      <c r="Z890" s="260"/>
    </row>
    <row r="891">
      <c r="A891" s="259"/>
      <c r="B891" s="260"/>
      <c r="C891" s="260"/>
      <c r="D891" s="260"/>
      <c r="E891" s="260"/>
      <c r="F891" s="260"/>
      <c r="G891" s="260"/>
      <c r="H891" s="260"/>
      <c r="I891" s="260"/>
      <c r="J891" s="260"/>
      <c r="K891" s="261" t="s">
        <v>39</v>
      </c>
      <c r="L891" s="261" t="s">
        <v>39</v>
      </c>
      <c r="M891" s="260"/>
      <c r="N891" s="260"/>
      <c r="O891" s="260"/>
      <c r="P891" s="260"/>
      <c r="Q891" s="260"/>
      <c r="R891" s="260"/>
      <c r="S891" s="260"/>
      <c r="T891" s="260"/>
      <c r="U891" s="260"/>
      <c r="V891" s="260"/>
      <c r="W891" s="260"/>
      <c r="X891" s="260"/>
      <c r="Y891" s="260"/>
      <c r="Z891" s="260"/>
    </row>
    <row r="892">
      <c r="A892" s="259"/>
      <c r="B892" s="260"/>
      <c r="C892" s="260"/>
      <c r="D892" s="260"/>
      <c r="E892" s="260"/>
      <c r="F892" s="260"/>
      <c r="G892" s="260"/>
      <c r="H892" s="260"/>
      <c r="I892" s="260"/>
      <c r="J892" s="260"/>
      <c r="K892" s="261" t="s">
        <v>39</v>
      </c>
      <c r="L892" s="261" t="s">
        <v>39</v>
      </c>
      <c r="M892" s="260"/>
      <c r="N892" s="260"/>
      <c r="O892" s="260"/>
      <c r="P892" s="260"/>
      <c r="Q892" s="260"/>
      <c r="R892" s="260"/>
      <c r="S892" s="260"/>
      <c r="T892" s="260"/>
      <c r="U892" s="260"/>
      <c r="V892" s="260"/>
      <c r="W892" s="260"/>
      <c r="X892" s="260"/>
      <c r="Y892" s="260"/>
      <c r="Z892" s="260"/>
    </row>
    <row r="893">
      <c r="A893" s="259"/>
      <c r="B893" s="260"/>
      <c r="C893" s="260"/>
      <c r="D893" s="260"/>
      <c r="E893" s="260"/>
      <c r="F893" s="260"/>
      <c r="G893" s="260"/>
      <c r="H893" s="260"/>
      <c r="I893" s="260"/>
      <c r="J893" s="260"/>
      <c r="K893" s="261" t="s">
        <v>39</v>
      </c>
      <c r="L893" s="261" t="s">
        <v>39</v>
      </c>
      <c r="M893" s="260"/>
      <c r="N893" s="260"/>
      <c r="O893" s="260"/>
      <c r="P893" s="260"/>
      <c r="Q893" s="260"/>
      <c r="R893" s="260"/>
      <c r="S893" s="260"/>
      <c r="T893" s="260"/>
      <c r="U893" s="260"/>
      <c r="V893" s="260"/>
      <c r="W893" s="260"/>
      <c r="X893" s="260"/>
      <c r="Y893" s="260"/>
      <c r="Z893" s="260"/>
    </row>
    <row r="894">
      <c r="A894" s="259"/>
      <c r="B894" s="260"/>
      <c r="C894" s="260"/>
      <c r="D894" s="260"/>
      <c r="E894" s="260"/>
      <c r="F894" s="260"/>
      <c r="G894" s="260"/>
      <c r="H894" s="260"/>
      <c r="I894" s="260"/>
      <c r="J894" s="260"/>
      <c r="K894" s="261" t="s">
        <v>39</v>
      </c>
      <c r="L894" s="261" t="s">
        <v>39</v>
      </c>
      <c r="M894" s="260"/>
      <c r="N894" s="260"/>
      <c r="O894" s="260"/>
      <c r="P894" s="260"/>
      <c r="Q894" s="260"/>
      <c r="R894" s="260"/>
      <c r="S894" s="260"/>
      <c r="T894" s="260"/>
      <c r="U894" s="260"/>
      <c r="V894" s="260"/>
      <c r="W894" s="260"/>
      <c r="X894" s="260"/>
      <c r="Y894" s="260"/>
      <c r="Z894" s="260"/>
    </row>
    <row r="895">
      <c r="A895" s="259"/>
      <c r="B895" s="260"/>
      <c r="C895" s="260"/>
      <c r="D895" s="260"/>
      <c r="E895" s="260"/>
      <c r="F895" s="260"/>
      <c r="G895" s="260"/>
      <c r="H895" s="260"/>
      <c r="I895" s="260"/>
      <c r="J895" s="260"/>
      <c r="K895" s="261" t="s">
        <v>39</v>
      </c>
      <c r="L895" s="261" t="s">
        <v>39</v>
      </c>
      <c r="M895" s="260"/>
      <c r="N895" s="260"/>
      <c r="O895" s="260"/>
      <c r="P895" s="260"/>
      <c r="Q895" s="260"/>
      <c r="R895" s="260"/>
      <c r="S895" s="260"/>
      <c r="T895" s="260"/>
      <c r="U895" s="260"/>
      <c r="V895" s="260"/>
      <c r="W895" s="260"/>
      <c r="X895" s="260"/>
      <c r="Y895" s="260"/>
      <c r="Z895" s="260"/>
    </row>
    <row r="896">
      <c r="A896" s="259"/>
      <c r="B896" s="260"/>
      <c r="C896" s="260"/>
      <c r="D896" s="260"/>
      <c r="E896" s="260"/>
      <c r="F896" s="260"/>
      <c r="G896" s="260"/>
      <c r="H896" s="260"/>
      <c r="I896" s="260"/>
      <c r="J896" s="260"/>
      <c r="K896" s="261" t="s">
        <v>39</v>
      </c>
      <c r="L896" s="261" t="s">
        <v>39</v>
      </c>
      <c r="M896" s="260"/>
      <c r="N896" s="260"/>
      <c r="O896" s="260"/>
      <c r="P896" s="260"/>
      <c r="Q896" s="260"/>
      <c r="R896" s="260"/>
      <c r="S896" s="260"/>
      <c r="T896" s="260"/>
      <c r="U896" s="260"/>
      <c r="V896" s="260"/>
      <c r="W896" s="260"/>
      <c r="X896" s="260"/>
      <c r="Y896" s="260"/>
      <c r="Z896" s="260"/>
    </row>
    <row r="897">
      <c r="A897" s="259"/>
      <c r="B897" s="260"/>
      <c r="C897" s="260"/>
      <c r="D897" s="260"/>
      <c r="E897" s="260"/>
      <c r="F897" s="260"/>
      <c r="G897" s="260"/>
      <c r="H897" s="260"/>
      <c r="I897" s="260"/>
      <c r="J897" s="260"/>
      <c r="K897" s="261" t="s">
        <v>39</v>
      </c>
      <c r="L897" s="261" t="s">
        <v>39</v>
      </c>
      <c r="M897" s="260"/>
      <c r="N897" s="260"/>
      <c r="O897" s="260"/>
      <c r="P897" s="260"/>
      <c r="Q897" s="260"/>
      <c r="R897" s="260"/>
      <c r="S897" s="260"/>
      <c r="T897" s="260"/>
      <c r="U897" s="260"/>
      <c r="V897" s="260"/>
      <c r="W897" s="260"/>
      <c r="X897" s="260"/>
      <c r="Y897" s="260"/>
      <c r="Z897" s="260"/>
    </row>
    <row r="898">
      <c r="A898" s="259"/>
      <c r="B898" s="260"/>
      <c r="C898" s="260"/>
      <c r="D898" s="260"/>
      <c r="E898" s="260"/>
      <c r="F898" s="260"/>
      <c r="G898" s="260"/>
      <c r="H898" s="260"/>
      <c r="I898" s="260"/>
      <c r="J898" s="260"/>
      <c r="K898" s="261" t="s">
        <v>39</v>
      </c>
      <c r="L898" s="261" t="s">
        <v>39</v>
      </c>
      <c r="M898" s="260"/>
      <c r="N898" s="260"/>
      <c r="O898" s="260"/>
      <c r="P898" s="260"/>
      <c r="Q898" s="260"/>
      <c r="R898" s="260"/>
      <c r="S898" s="260"/>
      <c r="T898" s="260"/>
      <c r="U898" s="260"/>
      <c r="V898" s="260"/>
      <c r="W898" s="260"/>
      <c r="X898" s="260"/>
      <c r="Y898" s="260"/>
      <c r="Z898" s="260"/>
    </row>
    <row r="899">
      <c r="A899" s="259"/>
      <c r="B899" s="260"/>
      <c r="C899" s="260"/>
      <c r="D899" s="260"/>
      <c r="E899" s="260"/>
      <c r="F899" s="260"/>
      <c r="G899" s="260"/>
      <c r="H899" s="260"/>
      <c r="I899" s="260"/>
      <c r="J899" s="260"/>
      <c r="K899" s="261" t="s">
        <v>39</v>
      </c>
      <c r="L899" s="261" t="s">
        <v>39</v>
      </c>
      <c r="M899" s="260"/>
      <c r="N899" s="260"/>
      <c r="O899" s="260"/>
      <c r="P899" s="260"/>
      <c r="Q899" s="260"/>
      <c r="R899" s="260"/>
      <c r="S899" s="260"/>
      <c r="T899" s="260"/>
      <c r="U899" s="260"/>
      <c r="V899" s="260"/>
      <c r="W899" s="260"/>
      <c r="X899" s="260"/>
      <c r="Y899" s="260"/>
      <c r="Z899" s="260"/>
    </row>
    <row r="900">
      <c r="A900" s="259"/>
      <c r="B900" s="260"/>
      <c r="C900" s="260"/>
      <c r="D900" s="260"/>
      <c r="E900" s="260"/>
      <c r="F900" s="260"/>
      <c r="G900" s="260"/>
      <c r="H900" s="260"/>
      <c r="I900" s="260"/>
      <c r="J900" s="260"/>
      <c r="K900" s="261" t="s">
        <v>39</v>
      </c>
      <c r="L900" s="261" t="s">
        <v>39</v>
      </c>
      <c r="M900" s="260"/>
      <c r="N900" s="260"/>
      <c r="O900" s="260"/>
      <c r="P900" s="260"/>
      <c r="Q900" s="260"/>
      <c r="R900" s="260"/>
      <c r="S900" s="260"/>
      <c r="T900" s="260"/>
      <c r="U900" s="260"/>
      <c r="V900" s="260"/>
      <c r="W900" s="260"/>
      <c r="X900" s="260"/>
      <c r="Y900" s="260"/>
      <c r="Z900" s="260"/>
    </row>
    <row r="901">
      <c r="A901" s="259"/>
      <c r="B901" s="260"/>
      <c r="C901" s="260"/>
      <c r="D901" s="260"/>
      <c r="E901" s="260"/>
      <c r="F901" s="260"/>
      <c r="G901" s="260"/>
      <c r="H901" s="260"/>
      <c r="I901" s="260"/>
      <c r="J901" s="260"/>
      <c r="K901" s="261" t="s">
        <v>39</v>
      </c>
      <c r="L901" s="261" t="s">
        <v>39</v>
      </c>
      <c r="M901" s="260"/>
      <c r="N901" s="260"/>
      <c r="O901" s="260"/>
      <c r="P901" s="260"/>
      <c r="Q901" s="260"/>
      <c r="R901" s="260"/>
      <c r="S901" s="260"/>
      <c r="T901" s="260"/>
      <c r="U901" s="260"/>
      <c r="V901" s="260"/>
      <c r="W901" s="260"/>
      <c r="X901" s="260"/>
      <c r="Y901" s="260"/>
      <c r="Z901" s="260"/>
    </row>
    <row r="902">
      <c r="A902" s="259"/>
      <c r="B902" s="260"/>
      <c r="C902" s="260"/>
      <c r="D902" s="260"/>
      <c r="E902" s="260"/>
      <c r="F902" s="260"/>
      <c r="G902" s="260"/>
      <c r="H902" s="260"/>
      <c r="I902" s="260"/>
      <c r="J902" s="260"/>
      <c r="K902" s="261" t="s">
        <v>39</v>
      </c>
      <c r="L902" s="261" t="s">
        <v>39</v>
      </c>
      <c r="M902" s="260"/>
      <c r="N902" s="260"/>
      <c r="O902" s="260"/>
      <c r="P902" s="260"/>
      <c r="Q902" s="260"/>
      <c r="R902" s="260"/>
      <c r="S902" s="260"/>
      <c r="T902" s="260"/>
      <c r="U902" s="260"/>
      <c r="V902" s="260"/>
      <c r="W902" s="260"/>
      <c r="X902" s="260"/>
      <c r="Y902" s="260"/>
      <c r="Z902" s="260"/>
    </row>
    <row r="903">
      <c r="A903" s="259"/>
      <c r="B903" s="260"/>
      <c r="C903" s="260"/>
      <c r="D903" s="260"/>
      <c r="E903" s="260"/>
      <c r="F903" s="260"/>
      <c r="G903" s="260"/>
      <c r="H903" s="260"/>
      <c r="I903" s="260"/>
      <c r="J903" s="260"/>
      <c r="K903" s="261" t="s">
        <v>39</v>
      </c>
      <c r="L903" s="261" t="s">
        <v>39</v>
      </c>
      <c r="M903" s="260"/>
      <c r="N903" s="260"/>
      <c r="O903" s="260"/>
      <c r="P903" s="260"/>
      <c r="Q903" s="260"/>
      <c r="R903" s="260"/>
      <c r="S903" s="260"/>
      <c r="T903" s="260"/>
      <c r="U903" s="260"/>
      <c r="V903" s="260"/>
      <c r="W903" s="260"/>
      <c r="X903" s="260"/>
      <c r="Y903" s="260"/>
      <c r="Z903" s="260"/>
    </row>
    <row r="904">
      <c r="A904" s="259"/>
      <c r="B904" s="260"/>
      <c r="C904" s="260"/>
      <c r="D904" s="260"/>
      <c r="E904" s="260"/>
      <c r="F904" s="260"/>
      <c r="G904" s="260"/>
      <c r="H904" s="260"/>
      <c r="I904" s="260"/>
      <c r="J904" s="260"/>
      <c r="K904" s="261" t="s">
        <v>39</v>
      </c>
      <c r="L904" s="261" t="s">
        <v>39</v>
      </c>
      <c r="M904" s="260"/>
      <c r="N904" s="260"/>
      <c r="O904" s="260"/>
      <c r="P904" s="260"/>
      <c r="Q904" s="260"/>
      <c r="R904" s="260"/>
      <c r="S904" s="260"/>
      <c r="T904" s="260"/>
      <c r="U904" s="260"/>
      <c r="V904" s="260"/>
      <c r="W904" s="260"/>
      <c r="X904" s="260"/>
      <c r="Y904" s="260"/>
      <c r="Z904" s="260"/>
    </row>
    <row r="905">
      <c r="A905" s="259"/>
      <c r="B905" s="260"/>
      <c r="C905" s="260"/>
      <c r="D905" s="260"/>
      <c r="E905" s="260"/>
      <c r="F905" s="260"/>
      <c r="G905" s="260"/>
      <c r="H905" s="260"/>
      <c r="I905" s="260"/>
      <c r="J905" s="260"/>
      <c r="K905" s="261" t="s">
        <v>39</v>
      </c>
      <c r="L905" s="261" t="s">
        <v>39</v>
      </c>
      <c r="M905" s="260"/>
      <c r="N905" s="260"/>
      <c r="O905" s="260"/>
      <c r="P905" s="260"/>
      <c r="Q905" s="260"/>
      <c r="R905" s="260"/>
      <c r="S905" s="260"/>
      <c r="T905" s="260"/>
      <c r="U905" s="260"/>
      <c r="V905" s="260"/>
      <c r="W905" s="260"/>
      <c r="X905" s="260"/>
      <c r="Y905" s="260"/>
      <c r="Z905" s="260"/>
    </row>
    <row r="906">
      <c r="A906" s="259"/>
      <c r="B906" s="260"/>
      <c r="C906" s="260"/>
      <c r="D906" s="260"/>
      <c r="E906" s="260"/>
      <c r="F906" s="260"/>
      <c r="G906" s="260"/>
      <c r="H906" s="260"/>
      <c r="I906" s="260"/>
      <c r="J906" s="260"/>
      <c r="K906" s="261" t="s">
        <v>39</v>
      </c>
      <c r="L906" s="261" t="s">
        <v>39</v>
      </c>
      <c r="M906" s="260"/>
      <c r="N906" s="260"/>
      <c r="O906" s="260"/>
      <c r="P906" s="260"/>
      <c r="Q906" s="260"/>
      <c r="R906" s="260"/>
      <c r="S906" s="260"/>
      <c r="T906" s="260"/>
      <c r="U906" s="260"/>
      <c r="V906" s="260"/>
      <c r="W906" s="260"/>
      <c r="X906" s="260"/>
      <c r="Y906" s="260"/>
      <c r="Z906" s="260"/>
    </row>
    <row r="907">
      <c r="A907" s="259"/>
      <c r="B907" s="260"/>
      <c r="C907" s="260"/>
      <c r="D907" s="260"/>
      <c r="E907" s="260"/>
      <c r="F907" s="260"/>
      <c r="G907" s="260"/>
      <c r="H907" s="260"/>
      <c r="I907" s="260"/>
      <c r="J907" s="260"/>
      <c r="K907" s="261" t="s">
        <v>39</v>
      </c>
      <c r="L907" s="261" t="s">
        <v>39</v>
      </c>
      <c r="M907" s="260"/>
      <c r="N907" s="260"/>
      <c r="O907" s="260"/>
      <c r="P907" s="260"/>
      <c r="Q907" s="260"/>
      <c r="R907" s="260"/>
      <c r="S907" s="260"/>
      <c r="T907" s="260"/>
      <c r="U907" s="260"/>
      <c r="V907" s="260"/>
      <c r="W907" s="260"/>
      <c r="X907" s="260"/>
      <c r="Y907" s="260"/>
      <c r="Z907" s="260"/>
    </row>
    <row r="908">
      <c r="A908" s="259"/>
      <c r="B908" s="260"/>
      <c r="C908" s="260"/>
      <c r="D908" s="260"/>
      <c r="E908" s="260"/>
      <c r="F908" s="260"/>
      <c r="G908" s="260"/>
      <c r="H908" s="260"/>
      <c r="I908" s="260"/>
      <c r="J908" s="260"/>
      <c r="K908" s="261" t="s">
        <v>39</v>
      </c>
      <c r="L908" s="261" t="s">
        <v>39</v>
      </c>
      <c r="M908" s="260"/>
      <c r="N908" s="260"/>
      <c r="O908" s="260"/>
      <c r="P908" s="260"/>
      <c r="Q908" s="260"/>
      <c r="R908" s="260"/>
      <c r="S908" s="260"/>
      <c r="T908" s="260"/>
      <c r="U908" s="260"/>
      <c r="V908" s="260"/>
      <c r="W908" s="260"/>
      <c r="X908" s="260"/>
      <c r="Y908" s="260"/>
      <c r="Z908" s="260"/>
    </row>
    <row r="909">
      <c r="A909" s="259"/>
      <c r="B909" s="260"/>
      <c r="C909" s="260"/>
      <c r="D909" s="260"/>
      <c r="E909" s="260"/>
      <c r="F909" s="260"/>
      <c r="G909" s="260"/>
      <c r="H909" s="260"/>
      <c r="I909" s="260"/>
      <c r="J909" s="260"/>
      <c r="K909" s="261" t="s">
        <v>39</v>
      </c>
      <c r="L909" s="261" t="s">
        <v>39</v>
      </c>
      <c r="M909" s="260"/>
      <c r="N909" s="260"/>
      <c r="O909" s="260"/>
      <c r="P909" s="260"/>
      <c r="Q909" s="260"/>
      <c r="R909" s="260"/>
      <c r="S909" s="260"/>
      <c r="T909" s="260"/>
      <c r="U909" s="260"/>
      <c r="V909" s="260"/>
      <c r="W909" s="260"/>
      <c r="X909" s="260"/>
      <c r="Y909" s="260"/>
      <c r="Z909" s="260"/>
    </row>
    <row r="910">
      <c r="A910" s="259"/>
      <c r="B910" s="260"/>
      <c r="C910" s="260"/>
      <c r="D910" s="260"/>
      <c r="E910" s="260"/>
      <c r="F910" s="260"/>
      <c r="G910" s="260"/>
      <c r="H910" s="260"/>
      <c r="I910" s="260"/>
      <c r="J910" s="260"/>
      <c r="K910" s="261" t="s">
        <v>39</v>
      </c>
      <c r="L910" s="261" t="s">
        <v>39</v>
      </c>
      <c r="M910" s="260"/>
      <c r="N910" s="260"/>
      <c r="O910" s="260"/>
      <c r="P910" s="260"/>
      <c r="Q910" s="260"/>
      <c r="R910" s="260"/>
      <c r="S910" s="260"/>
      <c r="T910" s="260"/>
      <c r="U910" s="260"/>
      <c r="V910" s="260"/>
      <c r="W910" s="260"/>
      <c r="X910" s="260"/>
      <c r="Y910" s="260"/>
      <c r="Z910" s="260"/>
    </row>
    <row r="911">
      <c r="A911" s="259"/>
      <c r="B911" s="260"/>
      <c r="C911" s="260"/>
      <c r="D911" s="260"/>
      <c r="E911" s="260"/>
      <c r="F911" s="260"/>
      <c r="G911" s="260"/>
      <c r="H911" s="260"/>
      <c r="I911" s="260"/>
      <c r="J911" s="260"/>
      <c r="K911" s="261" t="s">
        <v>39</v>
      </c>
      <c r="L911" s="261" t="s">
        <v>39</v>
      </c>
      <c r="M911" s="260"/>
      <c r="N911" s="260"/>
      <c r="O911" s="260"/>
      <c r="P911" s="260"/>
      <c r="Q911" s="260"/>
      <c r="R911" s="260"/>
      <c r="S911" s="260"/>
      <c r="T911" s="260"/>
      <c r="U911" s="260"/>
      <c r="V911" s="260"/>
      <c r="W911" s="260"/>
      <c r="X911" s="260"/>
      <c r="Y911" s="260"/>
      <c r="Z911" s="260"/>
    </row>
    <row r="912">
      <c r="A912" s="259"/>
      <c r="B912" s="260"/>
      <c r="C912" s="260"/>
      <c r="D912" s="260"/>
      <c r="E912" s="260"/>
      <c r="F912" s="260"/>
      <c r="G912" s="260"/>
      <c r="H912" s="260"/>
      <c r="I912" s="260"/>
      <c r="J912" s="260"/>
      <c r="K912" s="261" t="s">
        <v>39</v>
      </c>
      <c r="L912" s="261" t="s">
        <v>39</v>
      </c>
      <c r="M912" s="260"/>
      <c r="N912" s="260"/>
      <c r="O912" s="260"/>
      <c r="P912" s="260"/>
      <c r="Q912" s="260"/>
      <c r="R912" s="260"/>
      <c r="S912" s="260"/>
      <c r="T912" s="260"/>
      <c r="U912" s="260"/>
      <c r="V912" s="260"/>
      <c r="W912" s="260"/>
      <c r="X912" s="260"/>
      <c r="Y912" s="260"/>
      <c r="Z912" s="260"/>
    </row>
    <row r="913">
      <c r="A913" s="259"/>
      <c r="B913" s="260"/>
      <c r="C913" s="260"/>
      <c r="D913" s="260"/>
      <c r="E913" s="260"/>
      <c r="F913" s="260"/>
      <c r="G913" s="260"/>
      <c r="H913" s="260"/>
      <c r="I913" s="260"/>
      <c r="J913" s="260"/>
      <c r="K913" s="261" t="s">
        <v>39</v>
      </c>
      <c r="L913" s="261" t="s">
        <v>39</v>
      </c>
      <c r="M913" s="260"/>
      <c r="N913" s="260"/>
      <c r="O913" s="260"/>
      <c r="P913" s="260"/>
      <c r="Q913" s="260"/>
      <c r="R913" s="260"/>
      <c r="S913" s="260"/>
      <c r="T913" s="260"/>
      <c r="U913" s="260"/>
      <c r="V913" s="260"/>
      <c r="W913" s="260"/>
      <c r="X913" s="260"/>
      <c r="Y913" s="260"/>
      <c r="Z913" s="260"/>
    </row>
    <row r="914">
      <c r="A914" s="259"/>
      <c r="B914" s="260"/>
      <c r="C914" s="260"/>
      <c r="D914" s="260"/>
      <c r="E914" s="260"/>
      <c r="F914" s="260"/>
      <c r="G914" s="260"/>
      <c r="H914" s="260"/>
      <c r="I914" s="260"/>
      <c r="J914" s="260"/>
      <c r="K914" s="261" t="s">
        <v>39</v>
      </c>
      <c r="L914" s="261" t="s">
        <v>39</v>
      </c>
      <c r="M914" s="260"/>
      <c r="N914" s="260"/>
      <c r="O914" s="260"/>
      <c r="P914" s="260"/>
      <c r="Q914" s="260"/>
      <c r="R914" s="260"/>
      <c r="S914" s="260"/>
      <c r="T914" s="260"/>
      <c r="U914" s="260"/>
      <c r="V914" s="260"/>
      <c r="W914" s="260"/>
      <c r="X914" s="260"/>
      <c r="Y914" s="260"/>
      <c r="Z914" s="260"/>
    </row>
    <row r="915">
      <c r="A915" s="259"/>
      <c r="B915" s="260"/>
      <c r="C915" s="260"/>
      <c r="D915" s="260"/>
      <c r="E915" s="260"/>
      <c r="F915" s="260"/>
      <c r="G915" s="260"/>
      <c r="H915" s="260"/>
      <c r="I915" s="260"/>
      <c r="J915" s="260"/>
      <c r="K915" s="261" t="s">
        <v>39</v>
      </c>
      <c r="L915" s="261" t="s">
        <v>39</v>
      </c>
      <c r="M915" s="260"/>
      <c r="N915" s="260"/>
      <c r="O915" s="260"/>
      <c r="P915" s="260"/>
      <c r="Q915" s="260"/>
      <c r="R915" s="260"/>
      <c r="S915" s="260"/>
      <c r="T915" s="260"/>
      <c r="U915" s="260"/>
      <c r="V915" s="260"/>
      <c r="W915" s="260"/>
      <c r="X915" s="260"/>
      <c r="Y915" s="260"/>
      <c r="Z915" s="260"/>
    </row>
    <row r="916">
      <c r="A916" s="259"/>
      <c r="B916" s="260"/>
      <c r="C916" s="260"/>
      <c r="D916" s="260"/>
      <c r="E916" s="260"/>
      <c r="F916" s="260"/>
      <c r="G916" s="260"/>
      <c r="H916" s="260"/>
      <c r="I916" s="260"/>
      <c r="J916" s="260"/>
      <c r="K916" s="261" t="s">
        <v>39</v>
      </c>
      <c r="L916" s="261" t="s">
        <v>39</v>
      </c>
      <c r="M916" s="260"/>
      <c r="N916" s="260"/>
      <c r="O916" s="260"/>
      <c r="P916" s="260"/>
      <c r="Q916" s="260"/>
      <c r="R916" s="260"/>
      <c r="S916" s="260"/>
      <c r="T916" s="260"/>
      <c r="U916" s="260"/>
      <c r="V916" s="260"/>
      <c r="W916" s="260"/>
      <c r="X916" s="260"/>
      <c r="Y916" s="260"/>
      <c r="Z916" s="260"/>
    </row>
    <row r="917">
      <c r="A917" s="259"/>
      <c r="B917" s="260"/>
      <c r="C917" s="260"/>
      <c r="D917" s="260"/>
      <c r="E917" s="260"/>
      <c r="F917" s="260"/>
      <c r="G917" s="260"/>
      <c r="H917" s="260"/>
      <c r="I917" s="260"/>
      <c r="J917" s="260"/>
      <c r="K917" s="261" t="s">
        <v>39</v>
      </c>
      <c r="L917" s="261" t="s">
        <v>39</v>
      </c>
      <c r="M917" s="260"/>
      <c r="N917" s="260"/>
      <c r="O917" s="260"/>
      <c r="P917" s="260"/>
      <c r="Q917" s="260"/>
      <c r="R917" s="260"/>
      <c r="S917" s="260"/>
      <c r="T917" s="260"/>
      <c r="U917" s="260"/>
      <c r="V917" s="260"/>
      <c r="W917" s="260"/>
      <c r="X917" s="260"/>
      <c r="Y917" s="260"/>
      <c r="Z917" s="260"/>
    </row>
    <row r="918">
      <c r="A918" s="259"/>
      <c r="B918" s="260"/>
      <c r="C918" s="260"/>
      <c r="D918" s="260"/>
      <c r="E918" s="260"/>
      <c r="F918" s="260"/>
      <c r="G918" s="260"/>
      <c r="H918" s="260"/>
      <c r="I918" s="260"/>
      <c r="J918" s="260"/>
      <c r="K918" s="261" t="s">
        <v>39</v>
      </c>
      <c r="L918" s="261" t="s">
        <v>39</v>
      </c>
      <c r="M918" s="260"/>
      <c r="N918" s="260"/>
      <c r="O918" s="260"/>
      <c r="P918" s="260"/>
      <c r="Q918" s="260"/>
      <c r="R918" s="260"/>
      <c r="S918" s="260"/>
      <c r="T918" s="260"/>
      <c r="U918" s="260"/>
      <c r="V918" s="260"/>
      <c r="W918" s="260"/>
      <c r="X918" s="260"/>
      <c r="Y918" s="260"/>
      <c r="Z918" s="260"/>
    </row>
    <row r="919">
      <c r="A919" s="259"/>
      <c r="B919" s="260"/>
      <c r="C919" s="260"/>
      <c r="D919" s="260"/>
      <c r="E919" s="260"/>
      <c r="F919" s="260"/>
      <c r="G919" s="260"/>
      <c r="H919" s="260"/>
      <c r="I919" s="260"/>
      <c r="J919" s="260"/>
      <c r="K919" s="261" t="s">
        <v>39</v>
      </c>
      <c r="L919" s="261" t="s">
        <v>39</v>
      </c>
      <c r="M919" s="260"/>
      <c r="N919" s="260"/>
      <c r="O919" s="260"/>
      <c r="P919" s="260"/>
      <c r="Q919" s="260"/>
      <c r="R919" s="260"/>
      <c r="S919" s="260"/>
      <c r="T919" s="260"/>
      <c r="U919" s="260"/>
      <c r="V919" s="260"/>
      <c r="W919" s="260"/>
      <c r="X919" s="260"/>
      <c r="Y919" s="260"/>
      <c r="Z919" s="260"/>
    </row>
    <row r="920">
      <c r="A920" s="259"/>
      <c r="B920" s="260"/>
      <c r="C920" s="260"/>
      <c r="D920" s="260"/>
      <c r="E920" s="260"/>
      <c r="F920" s="260"/>
      <c r="G920" s="260"/>
      <c r="H920" s="260"/>
      <c r="I920" s="260"/>
      <c r="J920" s="260"/>
      <c r="K920" s="261" t="s">
        <v>39</v>
      </c>
      <c r="L920" s="261" t="s">
        <v>39</v>
      </c>
      <c r="M920" s="260"/>
      <c r="N920" s="260"/>
      <c r="O920" s="260"/>
      <c r="P920" s="260"/>
      <c r="Q920" s="260"/>
      <c r="R920" s="260"/>
      <c r="S920" s="260"/>
      <c r="T920" s="260"/>
      <c r="U920" s="260"/>
      <c r="V920" s="260"/>
      <c r="W920" s="260"/>
      <c r="X920" s="260"/>
      <c r="Y920" s="260"/>
      <c r="Z920" s="260"/>
    </row>
    <row r="921">
      <c r="A921" s="259"/>
      <c r="B921" s="260"/>
      <c r="C921" s="260"/>
      <c r="D921" s="260"/>
      <c r="E921" s="260"/>
      <c r="F921" s="260"/>
      <c r="G921" s="260"/>
      <c r="H921" s="260"/>
      <c r="I921" s="260"/>
      <c r="J921" s="260"/>
      <c r="K921" s="261" t="s">
        <v>39</v>
      </c>
      <c r="L921" s="261" t="s">
        <v>39</v>
      </c>
      <c r="M921" s="260"/>
      <c r="N921" s="260"/>
      <c r="O921" s="260"/>
      <c r="P921" s="260"/>
      <c r="Q921" s="260"/>
      <c r="R921" s="260"/>
      <c r="S921" s="260"/>
      <c r="T921" s="260"/>
      <c r="U921" s="260"/>
      <c r="V921" s="260"/>
      <c r="W921" s="260"/>
      <c r="X921" s="260"/>
      <c r="Y921" s="260"/>
      <c r="Z921" s="260"/>
    </row>
    <row r="922">
      <c r="A922" s="259"/>
      <c r="B922" s="260"/>
      <c r="C922" s="260"/>
      <c r="D922" s="260"/>
      <c r="E922" s="260"/>
      <c r="F922" s="260"/>
      <c r="G922" s="260"/>
      <c r="H922" s="260"/>
      <c r="I922" s="260"/>
      <c r="J922" s="260"/>
      <c r="K922" s="261" t="s">
        <v>39</v>
      </c>
      <c r="L922" s="261" t="s">
        <v>39</v>
      </c>
      <c r="M922" s="260"/>
      <c r="N922" s="260"/>
      <c r="O922" s="260"/>
      <c r="P922" s="260"/>
      <c r="Q922" s="260"/>
      <c r="R922" s="260"/>
      <c r="S922" s="260"/>
      <c r="T922" s="260"/>
      <c r="U922" s="260"/>
      <c r="V922" s="260"/>
      <c r="W922" s="260"/>
      <c r="X922" s="260"/>
      <c r="Y922" s="260"/>
      <c r="Z922" s="260"/>
    </row>
    <row r="923">
      <c r="A923" s="259"/>
      <c r="B923" s="260"/>
      <c r="C923" s="260"/>
      <c r="D923" s="260"/>
      <c r="E923" s="260"/>
      <c r="F923" s="260"/>
      <c r="G923" s="260"/>
      <c r="H923" s="260"/>
      <c r="I923" s="260"/>
      <c r="J923" s="260"/>
      <c r="K923" s="261" t="s">
        <v>39</v>
      </c>
      <c r="L923" s="261" t="s">
        <v>39</v>
      </c>
      <c r="M923" s="260"/>
      <c r="N923" s="260"/>
      <c r="O923" s="260"/>
      <c r="P923" s="260"/>
      <c r="Q923" s="260"/>
      <c r="R923" s="260"/>
      <c r="S923" s="260"/>
      <c r="T923" s="260"/>
      <c r="U923" s="260"/>
      <c r="V923" s="260"/>
      <c r="W923" s="260"/>
      <c r="X923" s="260"/>
      <c r="Y923" s="260"/>
      <c r="Z923" s="260"/>
    </row>
    <row r="924">
      <c r="A924" s="259"/>
      <c r="B924" s="260"/>
      <c r="C924" s="260"/>
      <c r="D924" s="260"/>
      <c r="E924" s="260"/>
      <c r="F924" s="260"/>
      <c r="G924" s="260"/>
      <c r="H924" s="260"/>
      <c r="I924" s="260"/>
      <c r="J924" s="260"/>
      <c r="K924" s="261" t="s">
        <v>39</v>
      </c>
      <c r="L924" s="261" t="s">
        <v>39</v>
      </c>
      <c r="M924" s="260"/>
      <c r="N924" s="260"/>
      <c r="O924" s="260"/>
      <c r="P924" s="260"/>
      <c r="Q924" s="260"/>
      <c r="R924" s="260"/>
      <c r="S924" s="260"/>
      <c r="T924" s="260"/>
      <c r="U924" s="260"/>
      <c r="V924" s="260"/>
      <c r="W924" s="260"/>
      <c r="X924" s="260"/>
      <c r="Y924" s="260"/>
      <c r="Z924" s="260"/>
    </row>
    <row r="925">
      <c r="A925" s="259"/>
      <c r="B925" s="260"/>
      <c r="C925" s="260"/>
      <c r="D925" s="260"/>
      <c r="E925" s="260"/>
      <c r="F925" s="260"/>
      <c r="G925" s="260"/>
      <c r="H925" s="260"/>
      <c r="I925" s="260"/>
      <c r="J925" s="260"/>
      <c r="K925" s="261" t="s">
        <v>39</v>
      </c>
      <c r="L925" s="261" t="s">
        <v>39</v>
      </c>
      <c r="M925" s="260"/>
      <c r="N925" s="260"/>
      <c r="O925" s="260"/>
      <c r="P925" s="260"/>
      <c r="Q925" s="260"/>
      <c r="R925" s="260"/>
      <c r="S925" s="260"/>
      <c r="T925" s="260"/>
      <c r="U925" s="260"/>
      <c r="V925" s="260"/>
      <c r="W925" s="260"/>
      <c r="X925" s="260"/>
      <c r="Y925" s="260"/>
      <c r="Z925" s="260"/>
    </row>
    <row r="926">
      <c r="A926" s="259"/>
      <c r="B926" s="260"/>
      <c r="C926" s="260"/>
      <c r="D926" s="260"/>
      <c r="E926" s="260"/>
      <c r="F926" s="260"/>
      <c r="G926" s="260"/>
      <c r="H926" s="260"/>
      <c r="I926" s="260"/>
      <c r="J926" s="260"/>
      <c r="K926" s="261" t="s">
        <v>39</v>
      </c>
      <c r="L926" s="261" t="s">
        <v>39</v>
      </c>
      <c r="M926" s="260"/>
      <c r="N926" s="260"/>
      <c r="O926" s="260"/>
      <c r="P926" s="260"/>
      <c r="Q926" s="260"/>
      <c r="R926" s="260"/>
      <c r="S926" s="260"/>
      <c r="T926" s="260"/>
      <c r="U926" s="260"/>
      <c r="V926" s="260"/>
      <c r="W926" s="260"/>
      <c r="X926" s="260"/>
      <c r="Y926" s="260"/>
      <c r="Z926" s="260"/>
    </row>
    <row r="927">
      <c r="A927" s="259"/>
      <c r="B927" s="260"/>
      <c r="C927" s="260"/>
      <c r="D927" s="260"/>
      <c r="E927" s="260"/>
      <c r="F927" s="260"/>
      <c r="G927" s="260"/>
      <c r="H927" s="260"/>
      <c r="I927" s="260"/>
      <c r="J927" s="260"/>
      <c r="K927" s="261" t="s">
        <v>39</v>
      </c>
      <c r="L927" s="261" t="s">
        <v>39</v>
      </c>
      <c r="M927" s="260"/>
      <c r="N927" s="260"/>
      <c r="O927" s="260"/>
      <c r="P927" s="260"/>
      <c r="Q927" s="260"/>
      <c r="R927" s="260"/>
      <c r="S927" s="260"/>
      <c r="T927" s="260"/>
      <c r="U927" s="260"/>
      <c r="V927" s="260"/>
      <c r="W927" s="260"/>
      <c r="X927" s="260"/>
      <c r="Y927" s="260"/>
      <c r="Z927" s="260"/>
    </row>
    <row r="928">
      <c r="A928" s="259"/>
      <c r="B928" s="260"/>
      <c r="C928" s="260"/>
      <c r="D928" s="260"/>
      <c r="E928" s="260"/>
      <c r="F928" s="260"/>
      <c r="G928" s="260"/>
      <c r="H928" s="260"/>
      <c r="I928" s="260"/>
      <c r="J928" s="260"/>
      <c r="K928" s="261" t="s">
        <v>39</v>
      </c>
      <c r="L928" s="261" t="s">
        <v>39</v>
      </c>
      <c r="M928" s="260"/>
      <c r="N928" s="260"/>
      <c r="O928" s="260"/>
      <c r="P928" s="260"/>
      <c r="Q928" s="260"/>
      <c r="R928" s="260"/>
      <c r="S928" s="260"/>
      <c r="T928" s="260"/>
      <c r="U928" s="260"/>
      <c r="V928" s="260"/>
      <c r="W928" s="260"/>
      <c r="X928" s="260"/>
      <c r="Y928" s="260"/>
      <c r="Z928" s="260"/>
    </row>
    <row r="929">
      <c r="A929" s="259"/>
      <c r="B929" s="260"/>
      <c r="C929" s="260"/>
      <c r="D929" s="260"/>
      <c r="E929" s="260"/>
      <c r="F929" s="260"/>
      <c r="G929" s="260"/>
      <c r="H929" s="260"/>
      <c r="I929" s="260"/>
      <c r="J929" s="260"/>
      <c r="K929" s="261" t="s">
        <v>39</v>
      </c>
      <c r="L929" s="261" t="s">
        <v>39</v>
      </c>
      <c r="M929" s="260"/>
      <c r="N929" s="260"/>
      <c r="O929" s="260"/>
      <c r="P929" s="260"/>
      <c r="Q929" s="260"/>
      <c r="R929" s="260"/>
      <c r="S929" s="260"/>
      <c r="T929" s="260"/>
      <c r="U929" s="260"/>
      <c r="V929" s="260"/>
      <c r="W929" s="260"/>
      <c r="X929" s="260"/>
      <c r="Y929" s="260"/>
      <c r="Z929" s="260"/>
    </row>
    <row r="930">
      <c r="A930" s="259"/>
      <c r="B930" s="260"/>
      <c r="C930" s="260"/>
      <c r="D930" s="260"/>
      <c r="E930" s="260"/>
      <c r="F930" s="260"/>
      <c r="G930" s="260"/>
      <c r="H930" s="260"/>
      <c r="I930" s="260"/>
      <c r="J930" s="260"/>
      <c r="K930" s="261" t="s">
        <v>39</v>
      </c>
      <c r="L930" s="261" t="s">
        <v>39</v>
      </c>
      <c r="M930" s="260"/>
      <c r="N930" s="260"/>
      <c r="O930" s="260"/>
      <c r="P930" s="260"/>
      <c r="Q930" s="260"/>
      <c r="R930" s="260"/>
      <c r="S930" s="260"/>
      <c r="T930" s="260"/>
      <c r="U930" s="260"/>
      <c r="V930" s="260"/>
      <c r="W930" s="260"/>
      <c r="X930" s="260"/>
      <c r="Y930" s="260"/>
      <c r="Z930" s="260"/>
    </row>
    <row r="931">
      <c r="A931" s="259"/>
      <c r="B931" s="260"/>
      <c r="C931" s="260"/>
      <c r="D931" s="260"/>
      <c r="E931" s="260"/>
      <c r="F931" s="260"/>
      <c r="G931" s="260"/>
      <c r="H931" s="260"/>
      <c r="I931" s="260"/>
      <c r="J931" s="260"/>
      <c r="K931" s="261" t="s">
        <v>39</v>
      </c>
      <c r="L931" s="261" t="s">
        <v>39</v>
      </c>
      <c r="M931" s="260"/>
      <c r="N931" s="260"/>
      <c r="O931" s="260"/>
      <c r="P931" s="260"/>
      <c r="Q931" s="260"/>
      <c r="R931" s="260"/>
      <c r="S931" s="260"/>
      <c r="T931" s="260"/>
      <c r="U931" s="260"/>
      <c r="V931" s="260"/>
      <c r="W931" s="260"/>
      <c r="X931" s="260"/>
      <c r="Y931" s="260"/>
      <c r="Z931" s="260"/>
    </row>
    <row r="932">
      <c r="A932" s="259"/>
      <c r="B932" s="260"/>
      <c r="C932" s="260"/>
      <c r="D932" s="260"/>
      <c r="E932" s="260"/>
      <c r="F932" s="260"/>
      <c r="G932" s="260"/>
      <c r="H932" s="260"/>
      <c r="I932" s="260"/>
      <c r="J932" s="260"/>
      <c r="K932" s="261" t="s">
        <v>39</v>
      </c>
      <c r="L932" s="261" t="s">
        <v>39</v>
      </c>
      <c r="M932" s="260"/>
      <c r="N932" s="260"/>
      <c r="O932" s="260"/>
      <c r="P932" s="260"/>
      <c r="Q932" s="260"/>
      <c r="R932" s="260"/>
      <c r="S932" s="260"/>
      <c r="T932" s="260"/>
      <c r="U932" s="260"/>
      <c r="V932" s="260"/>
      <c r="W932" s="260"/>
      <c r="X932" s="260"/>
      <c r="Y932" s="260"/>
      <c r="Z932" s="260"/>
    </row>
    <row r="933">
      <c r="A933" s="259"/>
      <c r="B933" s="260"/>
      <c r="C933" s="260"/>
      <c r="D933" s="260"/>
      <c r="E933" s="260"/>
      <c r="F933" s="260"/>
      <c r="G933" s="260"/>
      <c r="H933" s="260"/>
      <c r="I933" s="260"/>
      <c r="J933" s="260"/>
      <c r="K933" s="261" t="s">
        <v>39</v>
      </c>
      <c r="L933" s="261" t="s">
        <v>39</v>
      </c>
      <c r="M933" s="260"/>
      <c r="N933" s="260"/>
      <c r="O933" s="260"/>
      <c r="P933" s="260"/>
      <c r="Q933" s="260"/>
      <c r="R933" s="260"/>
      <c r="S933" s="260"/>
      <c r="T933" s="260"/>
      <c r="U933" s="260"/>
      <c r="V933" s="260"/>
      <c r="W933" s="260"/>
      <c r="X933" s="260"/>
      <c r="Y933" s="260"/>
      <c r="Z933" s="260"/>
    </row>
    <row r="934">
      <c r="A934" s="259"/>
      <c r="B934" s="260"/>
      <c r="C934" s="260"/>
      <c r="D934" s="260"/>
      <c r="E934" s="260"/>
      <c r="F934" s="260"/>
      <c r="G934" s="260"/>
      <c r="H934" s="260"/>
      <c r="I934" s="260"/>
      <c r="J934" s="260"/>
      <c r="K934" s="261" t="s">
        <v>39</v>
      </c>
      <c r="L934" s="261" t="s">
        <v>39</v>
      </c>
      <c r="M934" s="260"/>
      <c r="N934" s="260"/>
      <c r="O934" s="260"/>
      <c r="P934" s="260"/>
      <c r="Q934" s="260"/>
      <c r="R934" s="260"/>
      <c r="S934" s="260"/>
      <c r="T934" s="260"/>
      <c r="U934" s="260"/>
      <c r="V934" s="260"/>
      <c r="W934" s="260"/>
      <c r="X934" s="260"/>
      <c r="Y934" s="260"/>
      <c r="Z934" s="260"/>
    </row>
    <row r="935">
      <c r="A935" s="259"/>
      <c r="B935" s="260"/>
      <c r="C935" s="260"/>
      <c r="D935" s="260"/>
      <c r="E935" s="260"/>
      <c r="F935" s="260"/>
      <c r="G935" s="260"/>
      <c r="H935" s="260"/>
      <c r="I935" s="260"/>
      <c r="J935" s="260"/>
      <c r="K935" s="261" t="s">
        <v>39</v>
      </c>
      <c r="L935" s="261" t="s">
        <v>39</v>
      </c>
      <c r="M935" s="260"/>
      <c r="N935" s="260"/>
      <c r="O935" s="260"/>
      <c r="P935" s="260"/>
      <c r="Q935" s="260"/>
      <c r="R935" s="260"/>
      <c r="S935" s="260"/>
      <c r="T935" s="260"/>
      <c r="U935" s="260"/>
      <c r="V935" s="260"/>
      <c r="W935" s="260"/>
      <c r="X935" s="260"/>
      <c r="Y935" s="260"/>
      <c r="Z935" s="260"/>
    </row>
    <row r="936">
      <c r="A936" s="259"/>
      <c r="B936" s="260"/>
      <c r="C936" s="260"/>
      <c r="D936" s="260"/>
      <c r="E936" s="260"/>
      <c r="F936" s="260"/>
      <c r="G936" s="260"/>
      <c r="H936" s="260"/>
      <c r="I936" s="260"/>
      <c r="J936" s="260"/>
      <c r="K936" s="261" t="s">
        <v>39</v>
      </c>
      <c r="L936" s="261" t="s">
        <v>39</v>
      </c>
      <c r="M936" s="260"/>
      <c r="N936" s="260"/>
      <c r="O936" s="260"/>
      <c r="P936" s="260"/>
      <c r="Q936" s="260"/>
      <c r="R936" s="260"/>
      <c r="S936" s="260"/>
      <c r="T936" s="260"/>
      <c r="U936" s="260"/>
      <c r="V936" s="260"/>
      <c r="W936" s="260"/>
      <c r="X936" s="260"/>
      <c r="Y936" s="260"/>
      <c r="Z936" s="260"/>
    </row>
    <row r="937">
      <c r="A937" s="259"/>
      <c r="B937" s="260"/>
      <c r="C937" s="260"/>
      <c r="D937" s="260"/>
      <c r="E937" s="260"/>
      <c r="F937" s="260"/>
      <c r="G937" s="260"/>
      <c r="H937" s="260"/>
      <c r="I937" s="260"/>
      <c r="J937" s="260"/>
      <c r="K937" s="261" t="s">
        <v>39</v>
      </c>
      <c r="L937" s="261" t="s">
        <v>39</v>
      </c>
      <c r="M937" s="260"/>
      <c r="N937" s="260"/>
      <c r="O937" s="260"/>
      <c r="P937" s="260"/>
      <c r="Q937" s="260"/>
      <c r="R937" s="260"/>
      <c r="S937" s="260"/>
      <c r="T937" s="260"/>
      <c r="U937" s="260"/>
      <c r="V937" s="260"/>
      <c r="W937" s="260"/>
      <c r="X937" s="260"/>
      <c r="Y937" s="260"/>
      <c r="Z937" s="260"/>
    </row>
    <row r="938">
      <c r="A938" s="259"/>
      <c r="B938" s="260"/>
      <c r="C938" s="260"/>
      <c r="D938" s="260"/>
      <c r="E938" s="260"/>
      <c r="F938" s="260"/>
      <c r="G938" s="260"/>
      <c r="H938" s="260"/>
      <c r="I938" s="260"/>
      <c r="J938" s="260"/>
      <c r="K938" s="261" t="s">
        <v>39</v>
      </c>
      <c r="L938" s="261" t="s">
        <v>39</v>
      </c>
      <c r="M938" s="260"/>
      <c r="N938" s="260"/>
      <c r="O938" s="260"/>
      <c r="P938" s="260"/>
      <c r="Q938" s="260"/>
      <c r="R938" s="260"/>
      <c r="S938" s="260"/>
      <c r="T938" s="260"/>
      <c r="U938" s="260"/>
      <c r="V938" s="260"/>
      <c r="W938" s="260"/>
      <c r="X938" s="260"/>
      <c r="Y938" s="260"/>
      <c r="Z938" s="260"/>
    </row>
    <row r="939">
      <c r="A939" s="259"/>
      <c r="B939" s="260"/>
      <c r="C939" s="260"/>
      <c r="D939" s="260"/>
      <c r="E939" s="260"/>
      <c r="F939" s="260"/>
      <c r="G939" s="260"/>
      <c r="H939" s="260"/>
      <c r="I939" s="260"/>
      <c r="J939" s="260"/>
      <c r="K939" s="261" t="s">
        <v>39</v>
      </c>
      <c r="L939" s="261" t="s">
        <v>39</v>
      </c>
      <c r="M939" s="260"/>
      <c r="N939" s="260"/>
      <c r="O939" s="260"/>
      <c r="P939" s="260"/>
      <c r="Q939" s="260"/>
      <c r="R939" s="260"/>
      <c r="S939" s="260"/>
      <c r="T939" s="260"/>
      <c r="U939" s="260"/>
      <c r="V939" s="260"/>
      <c r="W939" s="260"/>
      <c r="X939" s="260"/>
      <c r="Y939" s="260"/>
      <c r="Z939" s="260"/>
    </row>
    <row r="940">
      <c r="A940" s="259"/>
      <c r="B940" s="260"/>
      <c r="C940" s="260"/>
      <c r="D940" s="260"/>
      <c r="E940" s="260"/>
      <c r="F940" s="260"/>
      <c r="G940" s="260"/>
      <c r="H940" s="260"/>
      <c r="I940" s="260"/>
      <c r="J940" s="260"/>
      <c r="K940" s="261" t="s">
        <v>39</v>
      </c>
      <c r="L940" s="261" t="s">
        <v>39</v>
      </c>
      <c r="M940" s="260"/>
      <c r="N940" s="260"/>
      <c r="O940" s="260"/>
      <c r="P940" s="260"/>
      <c r="Q940" s="260"/>
      <c r="R940" s="260"/>
      <c r="S940" s="260"/>
      <c r="T940" s="260"/>
      <c r="U940" s="260"/>
      <c r="V940" s="260"/>
      <c r="W940" s="260"/>
      <c r="X940" s="260"/>
      <c r="Y940" s="260"/>
      <c r="Z940" s="260"/>
    </row>
    <row r="941">
      <c r="A941" s="259"/>
      <c r="B941" s="260"/>
      <c r="C941" s="260"/>
      <c r="D941" s="260"/>
      <c r="E941" s="260"/>
      <c r="F941" s="260"/>
      <c r="G941" s="260"/>
      <c r="H941" s="260"/>
      <c r="I941" s="260"/>
      <c r="J941" s="260"/>
      <c r="K941" s="261" t="s">
        <v>39</v>
      </c>
      <c r="L941" s="261" t="s">
        <v>39</v>
      </c>
      <c r="M941" s="260"/>
      <c r="N941" s="260"/>
      <c r="O941" s="260"/>
      <c r="P941" s="260"/>
      <c r="Q941" s="260"/>
      <c r="R941" s="260"/>
      <c r="S941" s="260"/>
      <c r="T941" s="260"/>
      <c r="U941" s="260"/>
      <c r="V941" s="260"/>
      <c r="W941" s="260"/>
      <c r="X941" s="260"/>
      <c r="Y941" s="260"/>
      <c r="Z941" s="260"/>
    </row>
    <row r="942">
      <c r="A942" s="259"/>
      <c r="B942" s="260"/>
      <c r="C942" s="260"/>
      <c r="D942" s="260"/>
      <c r="E942" s="260"/>
      <c r="F942" s="260"/>
      <c r="G942" s="260"/>
      <c r="H942" s="260"/>
      <c r="I942" s="260"/>
      <c r="J942" s="260"/>
      <c r="K942" s="261" t="s">
        <v>39</v>
      </c>
      <c r="L942" s="261" t="s">
        <v>39</v>
      </c>
      <c r="M942" s="260"/>
      <c r="N942" s="260"/>
      <c r="O942" s="260"/>
      <c r="P942" s="260"/>
      <c r="Q942" s="260"/>
      <c r="R942" s="260"/>
      <c r="S942" s="260"/>
      <c r="T942" s="260"/>
      <c r="U942" s="260"/>
      <c r="V942" s="260"/>
      <c r="W942" s="260"/>
      <c r="X942" s="260"/>
      <c r="Y942" s="260"/>
      <c r="Z942" s="260"/>
    </row>
    <row r="943">
      <c r="A943" s="259"/>
      <c r="B943" s="260"/>
      <c r="C943" s="260"/>
      <c r="D943" s="260"/>
      <c r="E943" s="260"/>
      <c r="F943" s="260"/>
      <c r="G943" s="260"/>
      <c r="H943" s="260"/>
      <c r="I943" s="260"/>
      <c r="J943" s="260"/>
      <c r="K943" s="261" t="s">
        <v>39</v>
      </c>
      <c r="L943" s="261" t="s">
        <v>39</v>
      </c>
      <c r="M943" s="260"/>
      <c r="N943" s="260"/>
      <c r="O943" s="260"/>
      <c r="P943" s="260"/>
      <c r="Q943" s="260"/>
      <c r="R943" s="260"/>
      <c r="S943" s="260"/>
      <c r="T943" s="260"/>
      <c r="U943" s="260"/>
      <c r="V943" s="260"/>
      <c r="W943" s="260"/>
      <c r="X943" s="260"/>
      <c r="Y943" s="260"/>
      <c r="Z943" s="260"/>
    </row>
    <row r="944">
      <c r="A944" s="259"/>
      <c r="B944" s="260"/>
      <c r="C944" s="260"/>
      <c r="D944" s="260"/>
      <c r="E944" s="260"/>
      <c r="F944" s="260"/>
      <c r="G944" s="260"/>
      <c r="H944" s="260"/>
      <c r="I944" s="260"/>
      <c r="J944" s="260"/>
      <c r="K944" s="261" t="s">
        <v>39</v>
      </c>
      <c r="L944" s="261" t="s">
        <v>39</v>
      </c>
      <c r="M944" s="260"/>
      <c r="N944" s="260"/>
      <c r="O944" s="260"/>
      <c r="P944" s="260"/>
      <c r="Q944" s="260"/>
      <c r="R944" s="260"/>
      <c r="S944" s="260"/>
      <c r="T944" s="260"/>
      <c r="U944" s="260"/>
      <c r="V944" s="260"/>
      <c r="W944" s="260"/>
      <c r="X944" s="260"/>
      <c r="Y944" s="260"/>
      <c r="Z944" s="260"/>
    </row>
    <row r="945">
      <c r="A945" s="259"/>
      <c r="B945" s="260"/>
      <c r="C945" s="260"/>
      <c r="D945" s="260"/>
      <c r="E945" s="260"/>
      <c r="F945" s="260"/>
      <c r="G945" s="260"/>
      <c r="H945" s="260"/>
      <c r="I945" s="260"/>
      <c r="J945" s="260"/>
      <c r="K945" s="261" t="s">
        <v>39</v>
      </c>
      <c r="L945" s="261" t="s">
        <v>39</v>
      </c>
      <c r="M945" s="260"/>
      <c r="N945" s="260"/>
      <c r="O945" s="260"/>
      <c r="P945" s="260"/>
      <c r="Q945" s="260"/>
      <c r="R945" s="260"/>
      <c r="S945" s="260"/>
      <c r="T945" s="260"/>
      <c r="U945" s="260"/>
      <c r="V945" s="260"/>
      <c r="W945" s="260"/>
      <c r="X945" s="260"/>
      <c r="Y945" s="260"/>
      <c r="Z945" s="260"/>
    </row>
    <row r="946">
      <c r="A946" s="259"/>
      <c r="B946" s="260"/>
      <c r="C946" s="260"/>
      <c r="D946" s="260"/>
      <c r="E946" s="260"/>
      <c r="F946" s="260"/>
      <c r="G946" s="260"/>
      <c r="H946" s="260"/>
      <c r="I946" s="260"/>
      <c r="J946" s="260"/>
      <c r="K946" s="261" t="s">
        <v>39</v>
      </c>
      <c r="L946" s="261" t="s">
        <v>39</v>
      </c>
      <c r="M946" s="260"/>
      <c r="N946" s="260"/>
      <c r="O946" s="260"/>
      <c r="P946" s="260"/>
      <c r="Q946" s="260"/>
      <c r="R946" s="260"/>
      <c r="S946" s="260"/>
      <c r="T946" s="260"/>
      <c r="U946" s="260"/>
      <c r="V946" s="260"/>
      <c r="W946" s="260"/>
      <c r="X946" s="260"/>
      <c r="Y946" s="260"/>
      <c r="Z946" s="260"/>
    </row>
    <row r="947">
      <c r="A947" s="259"/>
      <c r="B947" s="260"/>
      <c r="C947" s="260"/>
      <c r="D947" s="260"/>
      <c r="E947" s="260"/>
      <c r="F947" s="260"/>
      <c r="G947" s="260"/>
      <c r="H947" s="260"/>
      <c r="I947" s="260"/>
      <c r="J947" s="260"/>
      <c r="K947" s="261" t="s">
        <v>39</v>
      </c>
      <c r="L947" s="261" t="s">
        <v>39</v>
      </c>
      <c r="M947" s="260"/>
      <c r="N947" s="260"/>
      <c r="O947" s="260"/>
      <c r="P947" s="260"/>
      <c r="Q947" s="260"/>
      <c r="R947" s="260"/>
      <c r="S947" s="260"/>
      <c r="T947" s="260"/>
      <c r="U947" s="260"/>
      <c r="V947" s="260"/>
      <c r="W947" s="260"/>
      <c r="X947" s="260"/>
      <c r="Y947" s="260"/>
      <c r="Z947" s="260"/>
    </row>
    <row r="948">
      <c r="A948" s="259"/>
      <c r="B948" s="260"/>
      <c r="C948" s="260"/>
      <c r="D948" s="260"/>
      <c r="E948" s="260"/>
      <c r="F948" s="260"/>
      <c r="G948" s="260"/>
      <c r="H948" s="260"/>
      <c r="I948" s="260"/>
      <c r="J948" s="260"/>
      <c r="K948" s="261" t="s">
        <v>39</v>
      </c>
      <c r="L948" s="261" t="s">
        <v>39</v>
      </c>
      <c r="M948" s="260"/>
      <c r="N948" s="260"/>
      <c r="O948" s="260"/>
      <c r="P948" s="260"/>
      <c r="Q948" s="260"/>
      <c r="R948" s="260"/>
      <c r="S948" s="260"/>
      <c r="T948" s="260"/>
      <c r="U948" s="260"/>
      <c r="V948" s="260"/>
      <c r="W948" s="260"/>
      <c r="X948" s="260"/>
      <c r="Y948" s="260"/>
      <c r="Z948" s="260"/>
    </row>
    <row r="949">
      <c r="A949" s="259"/>
      <c r="B949" s="260"/>
      <c r="C949" s="260"/>
      <c r="D949" s="260"/>
      <c r="E949" s="260"/>
      <c r="F949" s="260"/>
      <c r="G949" s="260"/>
      <c r="H949" s="260"/>
      <c r="I949" s="260"/>
      <c r="J949" s="260"/>
      <c r="K949" s="261" t="s">
        <v>39</v>
      </c>
      <c r="L949" s="261" t="s">
        <v>39</v>
      </c>
      <c r="M949" s="260"/>
      <c r="N949" s="260"/>
      <c r="O949" s="260"/>
      <c r="P949" s="260"/>
      <c r="Q949" s="260"/>
      <c r="R949" s="260"/>
      <c r="S949" s="260"/>
      <c r="T949" s="260"/>
      <c r="U949" s="260"/>
      <c r="V949" s="260"/>
      <c r="W949" s="260"/>
      <c r="X949" s="260"/>
      <c r="Y949" s="260"/>
      <c r="Z949" s="260"/>
    </row>
    <row r="950">
      <c r="A950" s="259"/>
      <c r="B950" s="260"/>
      <c r="C950" s="260"/>
      <c r="D950" s="260"/>
      <c r="E950" s="260"/>
      <c r="F950" s="260"/>
      <c r="G950" s="260"/>
      <c r="H950" s="260"/>
      <c r="I950" s="260"/>
      <c r="J950" s="260"/>
      <c r="K950" s="261" t="s">
        <v>39</v>
      </c>
      <c r="L950" s="261" t="s">
        <v>39</v>
      </c>
      <c r="M950" s="260"/>
      <c r="N950" s="260"/>
      <c r="O950" s="260"/>
      <c r="P950" s="260"/>
      <c r="Q950" s="260"/>
      <c r="R950" s="260"/>
      <c r="S950" s="260"/>
      <c r="T950" s="260"/>
      <c r="U950" s="260"/>
      <c r="V950" s="260"/>
      <c r="W950" s="260"/>
      <c r="X950" s="260"/>
      <c r="Y950" s="260"/>
      <c r="Z950" s="260"/>
    </row>
    <row r="951">
      <c r="A951" s="259"/>
      <c r="B951" s="260"/>
      <c r="C951" s="260"/>
      <c r="D951" s="260"/>
      <c r="E951" s="260"/>
      <c r="F951" s="260"/>
      <c r="G951" s="260"/>
      <c r="H951" s="260"/>
      <c r="I951" s="260"/>
      <c r="J951" s="260"/>
      <c r="K951" s="261" t="s">
        <v>39</v>
      </c>
      <c r="L951" s="261" t="s">
        <v>39</v>
      </c>
      <c r="M951" s="260"/>
      <c r="N951" s="260"/>
      <c r="O951" s="260"/>
      <c r="P951" s="260"/>
      <c r="Q951" s="260"/>
      <c r="R951" s="260"/>
      <c r="S951" s="260"/>
      <c r="T951" s="260"/>
      <c r="U951" s="260"/>
      <c r="V951" s="260"/>
      <c r="W951" s="260"/>
      <c r="X951" s="260"/>
      <c r="Y951" s="260"/>
      <c r="Z951" s="260"/>
    </row>
    <row r="952">
      <c r="A952" s="259"/>
      <c r="B952" s="260"/>
      <c r="C952" s="260"/>
      <c r="D952" s="260"/>
      <c r="E952" s="260"/>
      <c r="F952" s="260"/>
      <c r="G952" s="260"/>
      <c r="H952" s="260"/>
      <c r="I952" s="260"/>
      <c r="J952" s="260"/>
      <c r="K952" s="261" t="s">
        <v>39</v>
      </c>
      <c r="L952" s="261" t="s">
        <v>39</v>
      </c>
      <c r="M952" s="260"/>
      <c r="N952" s="260"/>
      <c r="O952" s="260"/>
      <c r="P952" s="260"/>
      <c r="Q952" s="260"/>
      <c r="R952" s="260"/>
      <c r="S952" s="260"/>
      <c r="T952" s="260"/>
      <c r="U952" s="260"/>
      <c r="V952" s="260"/>
      <c r="W952" s="260"/>
      <c r="X952" s="260"/>
      <c r="Y952" s="260"/>
      <c r="Z952" s="260"/>
    </row>
    <row r="953">
      <c r="A953" s="259"/>
      <c r="B953" s="260"/>
      <c r="C953" s="260"/>
      <c r="D953" s="260"/>
      <c r="E953" s="260"/>
      <c r="F953" s="260"/>
      <c r="G953" s="260"/>
      <c r="H953" s="260"/>
      <c r="I953" s="260"/>
      <c r="J953" s="260"/>
      <c r="K953" s="261" t="s">
        <v>39</v>
      </c>
      <c r="L953" s="261" t="s">
        <v>39</v>
      </c>
      <c r="M953" s="260"/>
      <c r="N953" s="260"/>
      <c r="O953" s="260"/>
      <c r="P953" s="260"/>
      <c r="Q953" s="260"/>
      <c r="R953" s="260"/>
      <c r="S953" s="260"/>
      <c r="T953" s="260"/>
      <c r="U953" s="260"/>
      <c r="V953" s="260"/>
      <c r="W953" s="260"/>
      <c r="X953" s="260"/>
      <c r="Y953" s="260"/>
      <c r="Z953" s="260"/>
    </row>
    <row r="954">
      <c r="A954" s="259"/>
      <c r="B954" s="260"/>
      <c r="C954" s="260"/>
      <c r="D954" s="260"/>
      <c r="E954" s="260"/>
      <c r="F954" s="260"/>
      <c r="G954" s="260"/>
      <c r="H954" s="260"/>
      <c r="I954" s="260"/>
      <c r="J954" s="260"/>
      <c r="K954" s="261" t="s">
        <v>39</v>
      </c>
      <c r="L954" s="261" t="s">
        <v>39</v>
      </c>
      <c r="M954" s="260"/>
      <c r="N954" s="260"/>
      <c r="O954" s="260"/>
      <c r="P954" s="260"/>
      <c r="Q954" s="260"/>
      <c r="R954" s="260"/>
      <c r="S954" s="260"/>
      <c r="T954" s="260"/>
      <c r="U954" s="260"/>
      <c r="V954" s="260"/>
      <c r="W954" s="260"/>
      <c r="X954" s="260"/>
      <c r="Y954" s="260"/>
      <c r="Z954" s="260"/>
    </row>
    <row r="955">
      <c r="A955" s="259"/>
      <c r="B955" s="260"/>
      <c r="C955" s="260"/>
      <c r="D955" s="260"/>
      <c r="E955" s="260"/>
      <c r="F955" s="260"/>
      <c r="G955" s="260"/>
      <c r="H955" s="260"/>
      <c r="I955" s="260"/>
      <c r="J955" s="260"/>
      <c r="K955" s="261" t="s">
        <v>39</v>
      </c>
      <c r="L955" s="261" t="s">
        <v>39</v>
      </c>
      <c r="M955" s="260"/>
      <c r="N955" s="260"/>
      <c r="O955" s="260"/>
      <c r="P955" s="260"/>
      <c r="Q955" s="260"/>
      <c r="R955" s="260"/>
      <c r="S955" s="260"/>
      <c r="T955" s="260"/>
      <c r="U955" s="260"/>
      <c r="V955" s="260"/>
      <c r="W955" s="260"/>
      <c r="X955" s="260"/>
      <c r="Y955" s="260"/>
      <c r="Z955" s="260"/>
    </row>
    <row r="956">
      <c r="A956" s="259"/>
      <c r="B956" s="260"/>
      <c r="C956" s="260"/>
      <c r="D956" s="260"/>
      <c r="E956" s="260"/>
      <c r="F956" s="260"/>
      <c r="G956" s="260"/>
      <c r="H956" s="260"/>
      <c r="I956" s="260"/>
      <c r="J956" s="260"/>
      <c r="K956" s="261" t="s">
        <v>39</v>
      </c>
      <c r="L956" s="261" t="s">
        <v>39</v>
      </c>
      <c r="M956" s="260"/>
      <c r="N956" s="260"/>
      <c r="O956" s="260"/>
      <c r="P956" s="260"/>
      <c r="Q956" s="260"/>
      <c r="R956" s="260"/>
      <c r="S956" s="260"/>
      <c r="T956" s="260"/>
      <c r="U956" s="260"/>
      <c r="V956" s="260"/>
      <c r="W956" s="260"/>
      <c r="X956" s="260"/>
      <c r="Y956" s="260"/>
      <c r="Z956" s="260"/>
    </row>
    <row r="957">
      <c r="A957" s="259"/>
      <c r="B957" s="260"/>
      <c r="C957" s="260"/>
      <c r="D957" s="260"/>
      <c r="E957" s="260"/>
      <c r="F957" s="260"/>
      <c r="G957" s="260"/>
      <c r="H957" s="260"/>
      <c r="I957" s="260"/>
      <c r="J957" s="260"/>
      <c r="K957" s="261" t="s">
        <v>39</v>
      </c>
      <c r="L957" s="261" t="s">
        <v>39</v>
      </c>
      <c r="M957" s="260"/>
      <c r="N957" s="260"/>
      <c r="O957" s="260"/>
      <c r="P957" s="260"/>
      <c r="Q957" s="260"/>
      <c r="R957" s="260"/>
      <c r="S957" s="260"/>
      <c r="T957" s="260"/>
      <c r="U957" s="260"/>
      <c r="V957" s="260"/>
      <c r="W957" s="260"/>
      <c r="X957" s="260"/>
      <c r="Y957" s="260"/>
      <c r="Z957" s="260"/>
    </row>
    <row r="958">
      <c r="A958" s="259"/>
      <c r="B958" s="260"/>
      <c r="C958" s="260"/>
      <c r="D958" s="260"/>
      <c r="E958" s="260"/>
      <c r="F958" s="260"/>
      <c r="G958" s="260"/>
      <c r="H958" s="260"/>
      <c r="I958" s="260"/>
      <c r="J958" s="260"/>
      <c r="K958" s="261" t="s">
        <v>39</v>
      </c>
      <c r="L958" s="261" t="s">
        <v>39</v>
      </c>
      <c r="M958" s="260"/>
      <c r="N958" s="260"/>
      <c r="O958" s="260"/>
      <c r="P958" s="260"/>
      <c r="Q958" s="260"/>
      <c r="R958" s="260"/>
      <c r="S958" s="260"/>
      <c r="T958" s="260"/>
      <c r="U958" s="260"/>
      <c r="V958" s="260"/>
      <c r="W958" s="260"/>
      <c r="X958" s="260"/>
      <c r="Y958" s="260"/>
      <c r="Z958" s="260"/>
    </row>
    <row r="959">
      <c r="A959" s="259"/>
      <c r="B959" s="260"/>
      <c r="C959" s="260"/>
      <c r="D959" s="260"/>
      <c r="E959" s="260"/>
      <c r="F959" s="260"/>
      <c r="G959" s="260"/>
      <c r="H959" s="260"/>
      <c r="I959" s="260"/>
      <c r="J959" s="260"/>
      <c r="K959" s="261" t="s">
        <v>39</v>
      </c>
      <c r="L959" s="261" t="s">
        <v>39</v>
      </c>
      <c r="M959" s="260"/>
      <c r="N959" s="260"/>
      <c r="O959" s="260"/>
      <c r="P959" s="260"/>
      <c r="Q959" s="260"/>
      <c r="R959" s="260"/>
      <c r="S959" s="260"/>
      <c r="T959" s="260"/>
      <c r="U959" s="260"/>
      <c r="V959" s="260"/>
      <c r="W959" s="260"/>
      <c r="X959" s="260"/>
      <c r="Y959" s="260"/>
      <c r="Z959" s="260"/>
    </row>
    <row r="960">
      <c r="A960" s="259"/>
      <c r="B960" s="260"/>
      <c r="C960" s="260"/>
      <c r="D960" s="260"/>
      <c r="E960" s="260"/>
      <c r="F960" s="260"/>
      <c r="G960" s="260"/>
      <c r="H960" s="260"/>
      <c r="I960" s="260"/>
      <c r="J960" s="260"/>
      <c r="K960" s="261" t="s">
        <v>39</v>
      </c>
      <c r="L960" s="261" t="s">
        <v>39</v>
      </c>
      <c r="M960" s="260"/>
      <c r="N960" s="260"/>
      <c r="O960" s="260"/>
      <c r="P960" s="260"/>
      <c r="Q960" s="260"/>
      <c r="R960" s="260"/>
      <c r="S960" s="260"/>
      <c r="T960" s="260"/>
      <c r="U960" s="260"/>
      <c r="V960" s="260"/>
      <c r="W960" s="260"/>
      <c r="X960" s="260"/>
      <c r="Y960" s="260"/>
      <c r="Z960" s="260"/>
    </row>
    <row r="961">
      <c r="A961" s="259"/>
      <c r="B961" s="260"/>
      <c r="C961" s="260"/>
      <c r="D961" s="260"/>
      <c r="E961" s="260"/>
      <c r="F961" s="260"/>
      <c r="G961" s="260"/>
      <c r="H961" s="260"/>
      <c r="I961" s="260"/>
      <c r="J961" s="260"/>
      <c r="K961" s="261" t="s">
        <v>39</v>
      </c>
      <c r="L961" s="261" t="s">
        <v>39</v>
      </c>
      <c r="M961" s="260"/>
      <c r="N961" s="260"/>
      <c r="O961" s="260"/>
      <c r="P961" s="260"/>
      <c r="Q961" s="260"/>
      <c r="R961" s="260"/>
      <c r="S961" s="260"/>
      <c r="T961" s="260"/>
      <c r="U961" s="260"/>
      <c r="V961" s="260"/>
      <c r="W961" s="260"/>
      <c r="X961" s="260"/>
      <c r="Y961" s="260"/>
      <c r="Z961" s="260"/>
    </row>
    <row r="962">
      <c r="A962" s="259"/>
      <c r="B962" s="260"/>
      <c r="C962" s="260"/>
      <c r="D962" s="260"/>
      <c r="E962" s="260"/>
      <c r="F962" s="260"/>
      <c r="G962" s="260"/>
      <c r="H962" s="260"/>
      <c r="I962" s="260"/>
      <c r="J962" s="260"/>
      <c r="K962" s="261" t="s">
        <v>39</v>
      </c>
      <c r="L962" s="261" t="s">
        <v>39</v>
      </c>
      <c r="M962" s="260"/>
      <c r="N962" s="260"/>
      <c r="O962" s="260"/>
      <c r="P962" s="260"/>
      <c r="Q962" s="260"/>
      <c r="R962" s="260"/>
      <c r="S962" s="260"/>
      <c r="T962" s="260"/>
      <c r="U962" s="260"/>
      <c r="V962" s="260"/>
      <c r="W962" s="260"/>
      <c r="X962" s="260"/>
      <c r="Y962" s="260"/>
      <c r="Z962" s="260"/>
    </row>
    <row r="963">
      <c r="A963" s="259"/>
      <c r="B963" s="260"/>
      <c r="C963" s="260"/>
      <c r="D963" s="260"/>
      <c r="E963" s="260"/>
      <c r="F963" s="260"/>
      <c r="G963" s="260"/>
      <c r="H963" s="260"/>
      <c r="I963" s="260"/>
      <c r="J963" s="260"/>
      <c r="K963" s="261" t="s">
        <v>39</v>
      </c>
      <c r="L963" s="261" t="s">
        <v>39</v>
      </c>
      <c r="M963" s="260"/>
      <c r="N963" s="260"/>
      <c r="O963" s="260"/>
      <c r="P963" s="260"/>
      <c r="Q963" s="260"/>
      <c r="R963" s="260"/>
      <c r="S963" s="260"/>
      <c r="T963" s="260"/>
      <c r="U963" s="260"/>
      <c r="V963" s="260"/>
      <c r="W963" s="260"/>
      <c r="X963" s="260"/>
      <c r="Y963" s="260"/>
      <c r="Z963" s="260"/>
    </row>
    <row r="964">
      <c r="A964" s="259"/>
      <c r="B964" s="260"/>
      <c r="C964" s="260"/>
      <c r="D964" s="260"/>
      <c r="E964" s="260"/>
      <c r="F964" s="260"/>
      <c r="G964" s="260"/>
      <c r="H964" s="260"/>
      <c r="I964" s="260"/>
      <c r="J964" s="260"/>
      <c r="K964" s="261" t="s">
        <v>39</v>
      </c>
      <c r="L964" s="261" t="s">
        <v>39</v>
      </c>
      <c r="M964" s="260"/>
      <c r="N964" s="260"/>
      <c r="O964" s="260"/>
      <c r="P964" s="260"/>
      <c r="Q964" s="260"/>
      <c r="R964" s="260"/>
      <c r="S964" s="260"/>
      <c r="T964" s="260"/>
      <c r="U964" s="260"/>
      <c r="V964" s="260"/>
      <c r="W964" s="260"/>
      <c r="X964" s="260"/>
      <c r="Y964" s="260"/>
      <c r="Z964" s="260"/>
    </row>
    <row r="965">
      <c r="A965" s="259"/>
      <c r="B965" s="260"/>
      <c r="C965" s="260"/>
      <c r="D965" s="260"/>
      <c r="E965" s="260"/>
      <c r="F965" s="260"/>
      <c r="G965" s="260"/>
      <c r="H965" s="260"/>
      <c r="I965" s="260"/>
      <c r="J965" s="260"/>
      <c r="K965" s="261" t="s">
        <v>39</v>
      </c>
      <c r="L965" s="261" t="s">
        <v>39</v>
      </c>
      <c r="M965" s="260"/>
      <c r="N965" s="260"/>
      <c r="O965" s="260"/>
      <c r="P965" s="260"/>
      <c r="Q965" s="260"/>
      <c r="R965" s="260"/>
      <c r="S965" s="260"/>
      <c r="T965" s="260"/>
      <c r="U965" s="260"/>
      <c r="V965" s="260"/>
      <c r="W965" s="260"/>
      <c r="X965" s="260"/>
      <c r="Y965" s="260"/>
      <c r="Z965" s="260"/>
    </row>
    <row r="966">
      <c r="A966" s="259"/>
      <c r="B966" s="260"/>
      <c r="C966" s="260"/>
      <c r="D966" s="260"/>
      <c r="E966" s="260"/>
      <c r="F966" s="260"/>
      <c r="G966" s="260"/>
      <c r="H966" s="260"/>
      <c r="I966" s="260"/>
      <c r="J966" s="260"/>
      <c r="K966" s="261" t="s">
        <v>39</v>
      </c>
      <c r="L966" s="261" t="s">
        <v>39</v>
      </c>
      <c r="M966" s="260"/>
      <c r="N966" s="260"/>
      <c r="O966" s="260"/>
      <c r="P966" s="260"/>
      <c r="Q966" s="260"/>
      <c r="R966" s="260"/>
      <c r="S966" s="260"/>
      <c r="T966" s="260"/>
      <c r="U966" s="260"/>
      <c r="V966" s="260"/>
      <c r="W966" s="260"/>
      <c r="X966" s="260"/>
      <c r="Y966" s="260"/>
      <c r="Z966" s="260"/>
    </row>
    <row r="967">
      <c r="A967" s="259"/>
      <c r="B967" s="260"/>
      <c r="C967" s="260"/>
      <c r="D967" s="260"/>
      <c r="E967" s="260"/>
      <c r="F967" s="260"/>
      <c r="G967" s="260"/>
      <c r="H967" s="260"/>
      <c r="I967" s="260"/>
      <c r="J967" s="260"/>
      <c r="K967" s="261" t="s">
        <v>39</v>
      </c>
      <c r="L967" s="261" t="s">
        <v>39</v>
      </c>
      <c r="M967" s="260"/>
      <c r="N967" s="260"/>
      <c r="O967" s="260"/>
      <c r="P967" s="260"/>
      <c r="Q967" s="260"/>
      <c r="R967" s="260"/>
      <c r="S967" s="260"/>
      <c r="T967" s="260"/>
      <c r="U967" s="260"/>
      <c r="V967" s="260"/>
      <c r="W967" s="260"/>
      <c r="X967" s="260"/>
      <c r="Y967" s="260"/>
      <c r="Z967" s="260"/>
    </row>
    <row r="968">
      <c r="A968" s="259"/>
      <c r="B968" s="260"/>
      <c r="C968" s="260"/>
      <c r="D968" s="260"/>
      <c r="E968" s="260"/>
      <c r="F968" s="260"/>
      <c r="G968" s="260"/>
      <c r="H968" s="260"/>
      <c r="I968" s="260"/>
      <c r="J968" s="260"/>
      <c r="K968" s="261" t="s">
        <v>39</v>
      </c>
      <c r="L968" s="261" t="s">
        <v>39</v>
      </c>
      <c r="M968" s="260"/>
      <c r="N968" s="260"/>
      <c r="O968" s="260"/>
      <c r="P968" s="260"/>
      <c r="Q968" s="260"/>
      <c r="R968" s="260"/>
      <c r="S968" s="260"/>
      <c r="T968" s="260"/>
      <c r="U968" s="260"/>
      <c r="V968" s="260"/>
      <c r="W968" s="260"/>
      <c r="X968" s="260"/>
      <c r="Y968" s="260"/>
      <c r="Z968" s="260"/>
    </row>
    <row r="969">
      <c r="A969" s="259"/>
      <c r="B969" s="260"/>
      <c r="C969" s="260"/>
      <c r="D969" s="260"/>
      <c r="E969" s="260"/>
      <c r="F969" s="260"/>
      <c r="G969" s="260"/>
      <c r="H969" s="260"/>
      <c r="I969" s="260"/>
      <c r="J969" s="260"/>
      <c r="K969" s="261" t="s">
        <v>39</v>
      </c>
      <c r="L969" s="261" t="s">
        <v>39</v>
      </c>
      <c r="M969" s="260"/>
      <c r="N969" s="260"/>
      <c r="O969" s="260"/>
      <c r="P969" s="260"/>
      <c r="Q969" s="260"/>
      <c r="R969" s="260"/>
      <c r="S969" s="260"/>
      <c r="T969" s="260"/>
      <c r="U969" s="260"/>
      <c r="V969" s="260"/>
      <c r="W969" s="260"/>
      <c r="X969" s="260"/>
      <c r="Y969" s="260"/>
      <c r="Z969" s="260"/>
    </row>
    <row r="970">
      <c r="A970" s="259"/>
      <c r="B970" s="260"/>
      <c r="C970" s="260"/>
      <c r="D970" s="260"/>
      <c r="E970" s="260"/>
      <c r="F970" s="260"/>
      <c r="G970" s="260"/>
      <c r="H970" s="260"/>
      <c r="I970" s="260"/>
      <c r="J970" s="260"/>
      <c r="K970" s="261" t="s">
        <v>39</v>
      </c>
      <c r="L970" s="261" t="s">
        <v>39</v>
      </c>
      <c r="M970" s="260"/>
      <c r="N970" s="260"/>
      <c r="O970" s="260"/>
      <c r="P970" s="260"/>
      <c r="Q970" s="260"/>
      <c r="R970" s="260"/>
      <c r="S970" s="260"/>
      <c r="T970" s="260"/>
      <c r="U970" s="260"/>
      <c r="V970" s="260"/>
      <c r="W970" s="260"/>
      <c r="X970" s="260"/>
      <c r="Y970" s="260"/>
      <c r="Z970" s="260"/>
    </row>
    <row r="971">
      <c r="A971" s="259"/>
      <c r="B971" s="260"/>
      <c r="C971" s="260"/>
      <c r="D971" s="260"/>
      <c r="E971" s="260"/>
      <c r="F971" s="260"/>
      <c r="G971" s="260"/>
      <c r="H971" s="260"/>
      <c r="I971" s="260"/>
      <c r="J971" s="260"/>
      <c r="K971" s="261" t="s">
        <v>39</v>
      </c>
      <c r="L971" s="261" t="s">
        <v>39</v>
      </c>
      <c r="M971" s="260"/>
      <c r="N971" s="260"/>
      <c r="O971" s="260"/>
      <c r="P971" s="260"/>
      <c r="Q971" s="260"/>
      <c r="R971" s="260"/>
      <c r="S971" s="260"/>
      <c r="T971" s="260"/>
      <c r="U971" s="260"/>
      <c r="V971" s="260"/>
      <c r="W971" s="260"/>
      <c r="X971" s="260"/>
      <c r="Y971" s="260"/>
      <c r="Z971" s="260"/>
    </row>
    <row r="972">
      <c r="A972" s="259"/>
      <c r="B972" s="260"/>
      <c r="C972" s="260"/>
      <c r="D972" s="260"/>
      <c r="E972" s="260"/>
      <c r="F972" s="260"/>
      <c r="G972" s="260"/>
      <c r="H972" s="260"/>
      <c r="I972" s="260"/>
      <c r="J972" s="260"/>
      <c r="K972" s="261" t="s">
        <v>39</v>
      </c>
      <c r="L972" s="261" t="s">
        <v>39</v>
      </c>
      <c r="M972" s="260"/>
      <c r="N972" s="260"/>
      <c r="O972" s="260"/>
      <c r="P972" s="260"/>
      <c r="Q972" s="260"/>
      <c r="R972" s="260"/>
      <c r="S972" s="260"/>
      <c r="T972" s="260"/>
      <c r="U972" s="260"/>
      <c r="V972" s="260"/>
      <c r="W972" s="260"/>
      <c r="X972" s="260"/>
      <c r="Y972" s="260"/>
      <c r="Z972" s="260"/>
    </row>
    <row r="973">
      <c r="A973" s="259"/>
      <c r="B973" s="260"/>
      <c r="C973" s="260"/>
      <c r="D973" s="260"/>
      <c r="E973" s="260"/>
      <c r="F973" s="260"/>
      <c r="G973" s="260"/>
      <c r="H973" s="260"/>
      <c r="I973" s="260"/>
      <c r="J973" s="260"/>
      <c r="K973" s="261" t="s">
        <v>39</v>
      </c>
      <c r="L973" s="261" t="s">
        <v>39</v>
      </c>
      <c r="M973" s="260"/>
      <c r="N973" s="260"/>
      <c r="O973" s="260"/>
      <c r="P973" s="260"/>
      <c r="Q973" s="260"/>
      <c r="R973" s="260"/>
      <c r="S973" s="260"/>
      <c r="T973" s="260"/>
      <c r="U973" s="260"/>
      <c r="V973" s="260"/>
      <c r="W973" s="260"/>
      <c r="X973" s="260"/>
      <c r="Y973" s="260"/>
      <c r="Z973" s="260"/>
    </row>
    <row r="974">
      <c r="A974" s="259"/>
      <c r="B974" s="260"/>
      <c r="C974" s="260"/>
      <c r="D974" s="260"/>
      <c r="E974" s="260"/>
      <c r="F974" s="260"/>
      <c r="G974" s="260"/>
      <c r="H974" s="260"/>
      <c r="I974" s="260"/>
      <c r="J974" s="260"/>
      <c r="K974" s="261" t="s">
        <v>39</v>
      </c>
      <c r="L974" s="261" t="s">
        <v>39</v>
      </c>
      <c r="M974" s="260"/>
      <c r="N974" s="260"/>
      <c r="O974" s="260"/>
      <c r="P974" s="260"/>
      <c r="Q974" s="260"/>
      <c r="R974" s="260"/>
      <c r="S974" s="260"/>
      <c r="T974" s="260"/>
      <c r="U974" s="260"/>
      <c r="V974" s="260"/>
      <c r="W974" s="260"/>
      <c r="X974" s="260"/>
      <c r="Y974" s="260"/>
      <c r="Z974" s="260"/>
    </row>
    <row r="975">
      <c r="A975" s="259"/>
      <c r="B975" s="260"/>
      <c r="C975" s="260"/>
      <c r="D975" s="260"/>
      <c r="E975" s="260"/>
      <c r="F975" s="260"/>
      <c r="G975" s="260"/>
      <c r="H975" s="260"/>
      <c r="I975" s="260"/>
      <c r="J975" s="260"/>
      <c r="K975" s="261" t="s">
        <v>39</v>
      </c>
      <c r="L975" s="261" t="s">
        <v>39</v>
      </c>
      <c r="M975" s="260"/>
      <c r="N975" s="260"/>
      <c r="O975" s="260"/>
      <c r="P975" s="260"/>
      <c r="Q975" s="260"/>
      <c r="R975" s="260"/>
      <c r="S975" s="260"/>
      <c r="T975" s="260"/>
      <c r="U975" s="260"/>
      <c r="V975" s="260"/>
      <c r="W975" s="260"/>
      <c r="X975" s="260"/>
      <c r="Y975" s="260"/>
      <c r="Z975" s="260"/>
    </row>
    <row r="976">
      <c r="A976" s="259"/>
      <c r="B976" s="260"/>
      <c r="C976" s="260"/>
      <c r="D976" s="260"/>
      <c r="E976" s="260"/>
      <c r="F976" s="260"/>
      <c r="G976" s="260"/>
      <c r="H976" s="260"/>
      <c r="I976" s="260"/>
      <c r="J976" s="260"/>
      <c r="K976" s="261" t="s">
        <v>39</v>
      </c>
      <c r="L976" s="261" t="s">
        <v>39</v>
      </c>
      <c r="M976" s="260"/>
      <c r="N976" s="260"/>
      <c r="O976" s="260"/>
      <c r="P976" s="260"/>
      <c r="Q976" s="260"/>
      <c r="R976" s="260"/>
      <c r="S976" s="260"/>
      <c r="T976" s="260"/>
      <c r="U976" s="260"/>
      <c r="V976" s="260"/>
      <c r="W976" s="260"/>
      <c r="X976" s="260"/>
      <c r="Y976" s="260"/>
      <c r="Z976" s="260"/>
    </row>
    <row r="977">
      <c r="A977" s="259"/>
      <c r="B977" s="260"/>
      <c r="C977" s="260"/>
      <c r="D977" s="260"/>
      <c r="E977" s="260"/>
      <c r="F977" s="260"/>
      <c r="G977" s="260"/>
      <c r="H977" s="260"/>
      <c r="I977" s="260"/>
      <c r="J977" s="260"/>
      <c r="K977" s="261" t="s">
        <v>39</v>
      </c>
      <c r="L977" s="261" t="s">
        <v>39</v>
      </c>
      <c r="M977" s="260"/>
      <c r="N977" s="260"/>
      <c r="O977" s="260"/>
      <c r="P977" s="260"/>
      <c r="Q977" s="260"/>
      <c r="R977" s="260"/>
      <c r="S977" s="260"/>
      <c r="T977" s="260"/>
      <c r="U977" s="260"/>
      <c r="V977" s="260"/>
      <c r="W977" s="260"/>
      <c r="X977" s="260"/>
      <c r="Y977" s="260"/>
      <c r="Z977" s="260"/>
    </row>
    <row r="978">
      <c r="A978" s="259"/>
      <c r="B978" s="260"/>
      <c r="C978" s="260"/>
      <c r="D978" s="260"/>
      <c r="E978" s="260"/>
      <c r="F978" s="260"/>
      <c r="G978" s="260"/>
      <c r="H978" s="260"/>
      <c r="I978" s="260"/>
      <c r="J978" s="260"/>
      <c r="K978" s="261" t="s">
        <v>39</v>
      </c>
      <c r="L978" s="261" t="s">
        <v>39</v>
      </c>
      <c r="M978" s="260"/>
      <c r="N978" s="260"/>
      <c r="O978" s="260"/>
      <c r="P978" s="260"/>
      <c r="Q978" s="260"/>
      <c r="R978" s="260"/>
      <c r="S978" s="260"/>
      <c r="T978" s="260"/>
      <c r="U978" s="260"/>
      <c r="V978" s="260"/>
      <c r="W978" s="260"/>
      <c r="X978" s="260"/>
      <c r="Y978" s="260"/>
      <c r="Z978" s="260"/>
    </row>
    <row r="979">
      <c r="A979" s="259"/>
      <c r="B979" s="260"/>
      <c r="C979" s="260"/>
      <c r="D979" s="260"/>
      <c r="E979" s="260"/>
      <c r="F979" s="260"/>
      <c r="G979" s="260"/>
      <c r="H979" s="260"/>
      <c r="I979" s="260"/>
      <c r="J979" s="260"/>
      <c r="K979" s="261" t="s">
        <v>39</v>
      </c>
      <c r="L979" s="261" t="s">
        <v>39</v>
      </c>
      <c r="M979" s="260"/>
      <c r="N979" s="260"/>
      <c r="O979" s="260"/>
      <c r="P979" s="260"/>
      <c r="Q979" s="260"/>
      <c r="R979" s="260"/>
      <c r="S979" s="260"/>
      <c r="T979" s="260"/>
      <c r="U979" s="260"/>
      <c r="V979" s="260"/>
      <c r="W979" s="260"/>
      <c r="X979" s="260"/>
      <c r="Y979" s="260"/>
      <c r="Z979" s="260"/>
    </row>
    <row r="980">
      <c r="A980" s="259"/>
      <c r="B980" s="260"/>
      <c r="C980" s="260"/>
      <c r="D980" s="260"/>
      <c r="E980" s="260"/>
      <c r="F980" s="260"/>
      <c r="G980" s="260"/>
      <c r="H980" s="260"/>
      <c r="I980" s="260"/>
      <c r="J980" s="260"/>
      <c r="K980" s="261" t="s">
        <v>39</v>
      </c>
      <c r="L980" s="261" t="s">
        <v>39</v>
      </c>
      <c r="M980" s="260"/>
      <c r="N980" s="260"/>
      <c r="O980" s="260"/>
      <c r="P980" s="260"/>
      <c r="Q980" s="260"/>
      <c r="R980" s="260"/>
      <c r="S980" s="260"/>
      <c r="T980" s="260"/>
      <c r="U980" s="260"/>
      <c r="V980" s="260"/>
      <c r="W980" s="260"/>
      <c r="X980" s="260"/>
      <c r="Y980" s="260"/>
      <c r="Z980" s="260"/>
    </row>
    <row r="981">
      <c r="A981" s="259"/>
      <c r="B981" s="260"/>
      <c r="C981" s="260"/>
      <c r="D981" s="260"/>
      <c r="E981" s="260"/>
      <c r="F981" s="260"/>
      <c r="G981" s="260"/>
      <c r="H981" s="260"/>
      <c r="I981" s="260"/>
      <c r="J981" s="260"/>
      <c r="K981" s="261" t="s">
        <v>39</v>
      </c>
      <c r="L981" s="261" t="s">
        <v>39</v>
      </c>
      <c r="M981" s="260"/>
      <c r="N981" s="260"/>
      <c r="O981" s="260"/>
      <c r="P981" s="260"/>
      <c r="Q981" s="260"/>
      <c r="R981" s="260"/>
      <c r="S981" s="260"/>
      <c r="T981" s="260"/>
      <c r="U981" s="260"/>
      <c r="V981" s="260"/>
      <c r="W981" s="260"/>
      <c r="X981" s="260"/>
      <c r="Y981" s="260"/>
      <c r="Z981" s="260"/>
    </row>
    <row r="982">
      <c r="A982" s="259"/>
      <c r="B982" s="260"/>
      <c r="C982" s="260"/>
      <c r="D982" s="260"/>
      <c r="E982" s="260"/>
      <c r="F982" s="260"/>
      <c r="G982" s="260"/>
      <c r="H982" s="260"/>
      <c r="I982" s="260"/>
      <c r="J982" s="260"/>
      <c r="K982" s="261" t="s">
        <v>39</v>
      </c>
      <c r="L982" s="261" t="s">
        <v>39</v>
      </c>
      <c r="M982" s="260"/>
      <c r="N982" s="260"/>
      <c r="O982" s="260"/>
      <c r="P982" s="260"/>
      <c r="Q982" s="260"/>
      <c r="R982" s="260"/>
      <c r="S982" s="260"/>
      <c r="T982" s="260"/>
      <c r="U982" s="260"/>
      <c r="V982" s="260"/>
      <c r="W982" s="260"/>
      <c r="X982" s="260"/>
      <c r="Y982" s="260"/>
      <c r="Z982" s="260"/>
    </row>
    <row r="983">
      <c r="A983" s="259"/>
      <c r="B983" s="260"/>
      <c r="C983" s="260"/>
      <c r="D983" s="260"/>
      <c r="E983" s="260"/>
      <c r="F983" s="260"/>
      <c r="G983" s="260"/>
      <c r="H983" s="260"/>
      <c r="I983" s="260"/>
      <c r="J983" s="260"/>
      <c r="K983" s="261" t="s">
        <v>39</v>
      </c>
      <c r="L983" s="261" t="s">
        <v>39</v>
      </c>
      <c r="M983" s="260"/>
      <c r="N983" s="260"/>
      <c r="O983" s="260"/>
      <c r="P983" s="260"/>
      <c r="Q983" s="260"/>
      <c r="R983" s="260"/>
      <c r="S983" s="260"/>
      <c r="T983" s="260"/>
      <c r="U983" s="260"/>
      <c r="V983" s="260"/>
      <c r="W983" s="260"/>
      <c r="X983" s="260"/>
      <c r="Y983" s="260"/>
      <c r="Z983" s="260"/>
    </row>
    <row r="984">
      <c r="A984" s="259"/>
      <c r="B984" s="260"/>
      <c r="C984" s="260"/>
      <c r="D984" s="260"/>
      <c r="E984" s="260"/>
      <c r="F984" s="260"/>
      <c r="G984" s="260"/>
      <c r="H984" s="260"/>
      <c r="I984" s="260"/>
      <c r="J984" s="260"/>
      <c r="K984" s="261" t="s">
        <v>39</v>
      </c>
      <c r="L984" s="261" t="s">
        <v>39</v>
      </c>
      <c r="M984" s="260"/>
      <c r="N984" s="260"/>
      <c r="O984" s="260"/>
      <c r="P984" s="260"/>
      <c r="Q984" s="260"/>
      <c r="R984" s="260"/>
      <c r="S984" s="260"/>
      <c r="T984" s="260"/>
      <c r="U984" s="260"/>
      <c r="V984" s="260"/>
      <c r="W984" s="260"/>
      <c r="X984" s="260"/>
      <c r="Y984" s="260"/>
      <c r="Z984" s="260"/>
    </row>
    <row r="985">
      <c r="A985" s="259"/>
      <c r="B985" s="260"/>
      <c r="C985" s="260"/>
      <c r="D985" s="260"/>
      <c r="E985" s="260"/>
      <c r="F985" s="260"/>
      <c r="G985" s="260"/>
      <c r="H985" s="260"/>
      <c r="I985" s="260"/>
      <c r="J985" s="260"/>
      <c r="K985" s="261" t="s">
        <v>39</v>
      </c>
      <c r="L985" s="261" t="s">
        <v>39</v>
      </c>
      <c r="M985" s="260"/>
      <c r="N985" s="260"/>
      <c r="O985" s="260"/>
      <c r="P985" s="260"/>
      <c r="Q985" s="260"/>
      <c r="R985" s="260"/>
      <c r="S985" s="260"/>
      <c r="T985" s="260"/>
      <c r="U985" s="260"/>
      <c r="V985" s="260"/>
      <c r="W985" s="260"/>
      <c r="X985" s="260"/>
      <c r="Y985" s="260"/>
      <c r="Z985" s="260"/>
    </row>
    <row r="986">
      <c r="A986" s="259"/>
      <c r="B986" s="260"/>
      <c r="C986" s="260"/>
      <c r="D986" s="260"/>
      <c r="E986" s="260"/>
      <c r="F986" s="260"/>
      <c r="G986" s="260"/>
      <c r="H986" s="260"/>
      <c r="I986" s="260"/>
      <c r="J986" s="260"/>
      <c r="K986" s="261" t="s">
        <v>39</v>
      </c>
      <c r="L986" s="261" t="s">
        <v>39</v>
      </c>
      <c r="M986" s="260"/>
      <c r="N986" s="260"/>
      <c r="O986" s="260"/>
      <c r="P986" s="260"/>
      <c r="Q986" s="260"/>
      <c r="R986" s="260"/>
      <c r="S986" s="260"/>
      <c r="T986" s="260"/>
      <c r="U986" s="260"/>
      <c r="V986" s="260"/>
      <c r="W986" s="260"/>
      <c r="X986" s="260"/>
      <c r="Y986" s="260"/>
      <c r="Z986" s="260"/>
    </row>
    <row r="987">
      <c r="A987" s="259"/>
      <c r="B987" s="260"/>
      <c r="C987" s="260"/>
      <c r="D987" s="260"/>
      <c r="E987" s="260"/>
      <c r="F987" s="260"/>
      <c r="G987" s="260"/>
      <c r="H987" s="260"/>
      <c r="I987" s="260"/>
      <c r="J987" s="260"/>
      <c r="K987" s="261" t="s">
        <v>39</v>
      </c>
      <c r="L987" s="261" t="s">
        <v>39</v>
      </c>
      <c r="M987" s="260"/>
      <c r="N987" s="260"/>
      <c r="O987" s="260"/>
      <c r="P987" s="260"/>
      <c r="Q987" s="260"/>
      <c r="R987" s="260"/>
      <c r="S987" s="260"/>
      <c r="T987" s="260"/>
      <c r="U987" s="260"/>
      <c r="V987" s="260"/>
      <c r="W987" s="260"/>
      <c r="X987" s="260"/>
      <c r="Y987" s="260"/>
      <c r="Z987" s="260"/>
    </row>
    <row r="988">
      <c r="A988" s="259"/>
      <c r="B988" s="260"/>
      <c r="C988" s="260"/>
      <c r="D988" s="260"/>
      <c r="E988" s="260"/>
      <c r="F988" s="260"/>
      <c r="G988" s="260"/>
      <c r="H988" s="260"/>
      <c r="I988" s="260"/>
      <c r="J988" s="260"/>
      <c r="K988" s="261" t="s">
        <v>39</v>
      </c>
      <c r="L988" s="261" t="s">
        <v>39</v>
      </c>
      <c r="M988" s="260"/>
      <c r="N988" s="260"/>
      <c r="O988" s="260"/>
      <c r="P988" s="260"/>
      <c r="Q988" s="260"/>
      <c r="R988" s="260"/>
      <c r="S988" s="260"/>
      <c r="T988" s="260"/>
      <c r="U988" s="260"/>
      <c r="V988" s="260"/>
      <c r="W988" s="260"/>
      <c r="X988" s="260"/>
      <c r="Y988" s="260"/>
      <c r="Z988" s="260"/>
    </row>
    <row r="989">
      <c r="A989" s="259"/>
      <c r="B989" s="260"/>
      <c r="C989" s="260"/>
      <c r="D989" s="260"/>
      <c r="E989" s="260"/>
      <c r="F989" s="260"/>
      <c r="G989" s="260"/>
      <c r="H989" s="260"/>
      <c r="I989" s="260"/>
      <c r="J989" s="260"/>
      <c r="K989" s="261" t="s">
        <v>39</v>
      </c>
      <c r="L989" s="261" t="s">
        <v>39</v>
      </c>
      <c r="M989" s="260"/>
      <c r="N989" s="260"/>
      <c r="O989" s="260"/>
      <c r="P989" s="260"/>
      <c r="Q989" s="260"/>
      <c r="R989" s="260"/>
      <c r="S989" s="260"/>
      <c r="T989" s="260"/>
      <c r="U989" s="260"/>
      <c r="V989" s="260"/>
      <c r="W989" s="260"/>
      <c r="X989" s="260"/>
      <c r="Y989" s="260"/>
      <c r="Z989" s="260"/>
    </row>
    <row r="990">
      <c r="A990" s="259"/>
      <c r="B990" s="260"/>
      <c r="C990" s="260"/>
      <c r="D990" s="260"/>
      <c r="E990" s="260"/>
      <c r="F990" s="260"/>
      <c r="G990" s="260"/>
      <c r="H990" s="260"/>
      <c r="I990" s="260"/>
      <c r="J990" s="260"/>
      <c r="K990" s="261" t="s">
        <v>39</v>
      </c>
      <c r="L990" s="261" t="s">
        <v>39</v>
      </c>
      <c r="M990" s="260"/>
      <c r="N990" s="260"/>
      <c r="O990" s="260"/>
      <c r="P990" s="260"/>
      <c r="Q990" s="260"/>
      <c r="R990" s="260"/>
      <c r="S990" s="260"/>
      <c r="T990" s="260"/>
      <c r="U990" s="260"/>
      <c r="V990" s="260"/>
      <c r="W990" s="260"/>
      <c r="X990" s="260"/>
      <c r="Y990" s="260"/>
      <c r="Z990" s="260"/>
    </row>
    <row r="991">
      <c r="A991" s="259"/>
      <c r="B991" s="260"/>
      <c r="C991" s="260"/>
      <c r="D991" s="260"/>
      <c r="E991" s="260"/>
      <c r="F991" s="260"/>
      <c r="G991" s="260"/>
      <c r="H991" s="260"/>
      <c r="I991" s="260"/>
      <c r="J991" s="260"/>
      <c r="K991" s="261" t="s">
        <v>39</v>
      </c>
      <c r="L991" s="261" t="s">
        <v>39</v>
      </c>
      <c r="M991" s="260"/>
      <c r="N991" s="260"/>
      <c r="O991" s="260"/>
      <c r="P991" s="260"/>
      <c r="Q991" s="260"/>
      <c r="R991" s="260"/>
      <c r="S991" s="260"/>
      <c r="T991" s="260"/>
      <c r="U991" s="260"/>
      <c r="V991" s="260"/>
      <c r="W991" s="260"/>
      <c r="X991" s="260"/>
      <c r="Y991" s="260"/>
      <c r="Z991" s="260"/>
    </row>
    <row r="992">
      <c r="A992" s="259"/>
      <c r="B992" s="260"/>
      <c r="C992" s="260"/>
      <c r="D992" s="260"/>
      <c r="E992" s="260"/>
      <c r="F992" s="260"/>
      <c r="G992" s="260"/>
      <c r="H992" s="260"/>
      <c r="I992" s="260"/>
      <c r="J992" s="260"/>
      <c r="K992" s="261" t="s">
        <v>39</v>
      </c>
      <c r="L992" s="261" t="s">
        <v>39</v>
      </c>
      <c r="M992" s="260"/>
      <c r="N992" s="260"/>
      <c r="O992" s="260"/>
      <c r="P992" s="260"/>
      <c r="Q992" s="260"/>
      <c r="R992" s="260"/>
      <c r="S992" s="260"/>
      <c r="T992" s="260"/>
      <c r="U992" s="260"/>
      <c r="V992" s="260"/>
      <c r="W992" s="260"/>
      <c r="X992" s="260"/>
      <c r="Y992" s="260"/>
      <c r="Z992" s="260"/>
    </row>
    <row r="993">
      <c r="A993" s="259"/>
      <c r="B993" s="260"/>
      <c r="C993" s="260"/>
      <c r="D993" s="260"/>
      <c r="E993" s="260"/>
      <c r="F993" s="260"/>
      <c r="G993" s="260"/>
      <c r="H993" s="260"/>
      <c r="I993" s="260"/>
      <c r="J993" s="260"/>
      <c r="K993" s="261" t="s">
        <v>39</v>
      </c>
      <c r="L993" s="261" t="s">
        <v>39</v>
      </c>
      <c r="M993" s="260"/>
      <c r="N993" s="260"/>
      <c r="O993" s="260"/>
      <c r="P993" s="260"/>
      <c r="Q993" s="260"/>
      <c r="R993" s="260"/>
      <c r="S993" s="260"/>
      <c r="T993" s="260"/>
      <c r="U993" s="260"/>
      <c r="V993" s="260"/>
      <c r="W993" s="260"/>
      <c r="X993" s="260"/>
      <c r="Y993" s="260"/>
      <c r="Z993" s="260"/>
    </row>
    <row r="994">
      <c r="A994" s="259"/>
      <c r="B994" s="260"/>
      <c r="C994" s="260"/>
      <c r="D994" s="260"/>
      <c r="E994" s="260"/>
      <c r="F994" s="260"/>
      <c r="G994" s="260"/>
      <c r="H994" s="260"/>
      <c r="I994" s="260"/>
      <c r="J994" s="260"/>
      <c r="K994" s="261" t="s">
        <v>39</v>
      </c>
      <c r="L994" s="261" t="s">
        <v>39</v>
      </c>
      <c r="M994" s="260"/>
      <c r="N994" s="260"/>
      <c r="O994" s="260"/>
      <c r="P994" s="260"/>
      <c r="Q994" s="260"/>
      <c r="R994" s="260"/>
      <c r="S994" s="260"/>
      <c r="T994" s="260"/>
      <c r="U994" s="260"/>
      <c r="V994" s="260"/>
      <c r="W994" s="260"/>
      <c r="X994" s="260"/>
      <c r="Y994" s="260"/>
      <c r="Z994" s="260"/>
    </row>
    <row r="995">
      <c r="A995" s="259"/>
      <c r="B995" s="260"/>
      <c r="C995" s="260"/>
      <c r="D995" s="260"/>
      <c r="E995" s="260"/>
      <c r="F995" s="260"/>
      <c r="G995" s="260"/>
      <c r="H995" s="260"/>
      <c r="I995" s="260"/>
      <c r="J995" s="260"/>
      <c r="K995" s="261" t="s">
        <v>39</v>
      </c>
      <c r="L995" s="261" t="s">
        <v>39</v>
      </c>
      <c r="M995" s="260"/>
      <c r="N995" s="260"/>
      <c r="O995" s="260"/>
      <c r="P995" s="260"/>
      <c r="Q995" s="260"/>
      <c r="R995" s="260"/>
      <c r="S995" s="260"/>
      <c r="T995" s="260"/>
      <c r="U995" s="260"/>
      <c r="V995" s="260"/>
      <c r="W995" s="260"/>
      <c r="X995" s="260"/>
      <c r="Y995" s="260"/>
      <c r="Z995" s="260"/>
    </row>
    <row r="996">
      <c r="A996" s="259"/>
      <c r="B996" s="260"/>
      <c r="C996" s="260"/>
      <c r="D996" s="260"/>
      <c r="E996" s="260"/>
      <c r="F996" s="260"/>
      <c r="G996" s="260"/>
      <c r="H996" s="260"/>
      <c r="I996" s="260"/>
      <c r="J996" s="260"/>
      <c r="K996" s="261" t="s">
        <v>39</v>
      </c>
      <c r="L996" s="261" t="s">
        <v>39</v>
      </c>
      <c r="M996" s="260"/>
      <c r="N996" s="260"/>
      <c r="O996" s="260"/>
      <c r="P996" s="260"/>
      <c r="Q996" s="260"/>
      <c r="R996" s="260"/>
      <c r="S996" s="260"/>
      <c r="T996" s="260"/>
      <c r="U996" s="260"/>
      <c r="V996" s="260"/>
      <c r="W996" s="260"/>
      <c r="X996" s="260"/>
      <c r="Y996" s="260"/>
      <c r="Z996" s="260"/>
    </row>
    <row r="997">
      <c r="A997" s="259"/>
      <c r="B997" s="260"/>
      <c r="C997" s="260"/>
      <c r="D997" s="260"/>
      <c r="E997" s="260"/>
      <c r="F997" s="260"/>
      <c r="G997" s="260"/>
      <c r="H997" s="260"/>
      <c r="I997" s="260"/>
      <c r="J997" s="260"/>
      <c r="K997" s="261" t="s">
        <v>39</v>
      </c>
      <c r="L997" s="261" t="s">
        <v>39</v>
      </c>
      <c r="M997" s="260"/>
      <c r="N997" s="260"/>
      <c r="O997" s="260"/>
      <c r="P997" s="260"/>
      <c r="Q997" s="260"/>
      <c r="R997" s="260"/>
      <c r="S997" s="260"/>
      <c r="T997" s="260"/>
      <c r="U997" s="260"/>
      <c r="V997" s="260"/>
      <c r="W997" s="260"/>
      <c r="X997" s="260"/>
      <c r="Y997" s="260"/>
      <c r="Z997" s="260"/>
    </row>
    <row r="998">
      <c r="A998" s="259"/>
      <c r="B998" s="260"/>
      <c r="C998" s="260"/>
      <c r="D998" s="260"/>
      <c r="E998" s="260"/>
      <c r="F998" s="260"/>
      <c r="G998" s="260"/>
      <c r="H998" s="260"/>
      <c r="I998" s="260"/>
      <c r="J998" s="260"/>
      <c r="K998" s="261" t="s">
        <v>39</v>
      </c>
      <c r="L998" s="261" t="s">
        <v>39</v>
      </c>
      <c r="M998" s="260"/>
      <c r="N998" s="260"/>
      <c r="O998" s="260"/>
      <c r="P998" s="260"/>
      <c r="Q998" s="260"/>
      <c r="R998" s="260"/>
      <c r="S998" s="260"/>
      <c r="T998" s="260"/>
      <c r="U998" s="260"/>
      <c r="V998" s="260"/>
      <c r="W998" s="260"/>
      <c r="X998" s="260"/>
      <c r="Y998" s="260"/>
      <c r="Z998" s="260"/>
    </row>
    <row r="999">
      <c r="A999" s="259"/>
      <c r="B999" s="260"/>
      <c r="C999" s="260"/>
      <c r="D999" s="260"/>
      <c r="E999" s="260"/>
      <c r="F999" s="260"/>
      <c r="G999" s="260"/>
      <c r="H999" s="260"/>
      <c r="I999" s="260"/>
      <c r="J999" s="260"/>
      <c r="K999" s="261" t="s">
        <v>39</v>
      </c>
      <c r="L999" s="261" t="s">
        <v>39</v>
      </c>
      <c r="M999" s="260"/>
      <c r="N999" s="260"/>
      <c r="O999" s="260"/>
      <c r="P999" s="260"/>
      <c r="Q999" s="260"/>
      <c r="R999" s="260"/>
      <c r="S999" s="260"/>
      <c r="T999" s="260"/>
      <c r="U999" s="260"/>
      <c r="V999" s="260"/>
      <c r="W999" s="260"/>
      <c r="X999" s="260"/>
      <c r="Y999" s="260"/>
      <c r="Z999" s="260"/>
    </row>
    <row r="1000">
      <c r="A1000" s="259"/>
      <c r="B1000" s="260"/>
      <c r="C1000" s="260"/>
      <c r="D1000" s="260"/>
      <c r="E1000" s="260"/>
      <c r="F1000" s="260"/>
      <c r="G1000" s="260"/>
      <c r="H1000" s="260"/>
      <c r="I1000" s="260"/>
      <c r="J1000" s="260"/>
      <c r="K1000" s="261" t="s">
        <v>39</v>
      </c>
      <c r="L1000" s="261" t="s">
        <v>39</v>
      </c>
      <c r="M1000" s="260"/>
      <c r="N1000" s="260"/>
      <c r="O1000" s="260"/>
      <c r="P1000" s="260"/>
      <c r="Q1000" s="260"/>
      <c r="R1000" s="260"/>
      <c r="S1000" s="260"/>
      <c r="T1000" s="260"/>
      <c r="U1000" s="260"/>
      <c r="V1000" s="260"/>
      <c r="W1000" s="260"/>
      <c r="X1000" s="260"/>
      <c r="Y1000" s="260"/>
      <c r="Z1000" s="260"/>
    </row>
  </sheetData>
  <dataValidations>
    <dataValidation type="list" allowBlank="1" sqref="H3:H1000">
      <formula1>'Treatment Key'!$G$2:$G1000</formula1>
    </dataValidation>
    <dataValidation type="list" allowBlank="1" sqref="C3:C1000">
      <formula1>'Treatment Key'!$B$2:$B1000</formula1>
    </dataValidation>
    <dataValidation type="list" allowBlank="1" sqref="D3:D1000">
      <formula1>'Treatment Key'!$A$2:$A1000</formula1>
    </dataValidation>
    <dataValidation type="list" allowBlank="1" showErrorMessage="1" sqref="B3:B1000">
      <formula1>'Treatment Key'!$Z$3:$Z$1000</formula1>
    </dataValidation>
    <dataValidation type="list" allowBlank="1" showErrorMessage="1" sqref="G3:G1000">
      <formula1>'Treatment Key'!$E$2:$E1000</formula1>
    </dataValidation>
    <dataValidation type="list" allowBlank="1" showErrorMessage="1" sqref="I3:I1000">
      <formula1>'Treatment Key'!$F$2:$F1000</formula1>
    </dataValidation>
    <dataValidation type="list" allowBlank="1" showErrorMessage="1" sqref="J3:J1000">
      <formula1>'Treatment Key'!$H$2:$H1000</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6.88"/>
    <col customWidth="1" min="2" max="2" width="15.0"/>
    <col customWidth="1" min="3" max="3" width="28.5"/>
    <col customWidth="1" min="4" max="4" width="14.38"/>
  </cols>
  <sheetData>
    <row r="1">
      <c r="A1" s="269" t="s">
        <v>8579</v>
      </c>
      <c r="B1" s="269" t="s">
        <v>9146</v>
      </c>
      <c r="C1" s="269" t="s">
        <v>9765</v>
      </c>
      <c r="D1" s="269" t="s">
        <v>9148</v>
      </c>
      <c r="E1" s="269" t="s">
        <v>8581</v>
      </c>
      <c r="F1" s="269" t="s">
        <v>8580</v>
      </c>
      <c r="G1" s="269" t="s">
        <v>5954</v>
      </c>
      <c r="H1" s="269" t="s">
        <v>9766</v>
      </c>
      <c r="I1" s="26"/>
      <c r="J1" s="26"/>
      <c r="K1" s="270" t="s">
        <v>8583</v>
      </c>
      <c r="L1" s="270" t="s">
        <v>8584</v>
      </c>
      <c r="M1" s="26"/>
      <c r="N1" s="26"/>
      <c r="O1" s="26"/>
      <c r="P1" s="26"/>
      <c r="Q1" s="26"/>
      <c r="R1" s="26"/>
      <c r="S1" s="26"/>
      <c r="T1" s="26"/>
      <c r="U1" s="26"/>
      <c r="V1" s="26"/>
      <c r="W1" s="26"/>
      <c r="X1" s="26"/>
      <c r="Y1" s="26"/>
      <c r="Z1" s="26"/>
    </row>
    <row r="2">
      <c r="A2" s="271" t="s">
        <v>9153</v>
      </c>
      <c r="B2" s="271" t="s">
        <v>9152</v>
      </c>
      <c r="C2" s="271" t="s">
        <v>9154</v>
      </c>
      <c r="D2" s="271" t="s">
        <v>9155</v>
      </c>
      <c r="E2" s="271" t="s">
        <v>9767</v>
      </c>
      <c r="F2" s="271" t="s">
        <v>9212</v>
      </c>
      <c r="G2" s="271" t="s">
        <v>5967</v>
      </c>
      <c r="H2" s="271" t="s">
        <v>8911</v>
      </c>
      <c r="I2" s="26"/>
      <c r="J2" s="26"/>
      <c r="K2" s="26"/>
      <c r="L2" s="26"/>
      <c r="M2" s="26"/>
      <c r="N2" s="26"/>
      <c r="O2" s="26"/>
      <c r="P2" s="26"/>
      <c r="Q2" s="26"/>
      <c r="R2" s="26"/>
      <c r="S2" s="26"/>
      <c r="T2" s="26"/>
      <c r="U2" s="26"/>
      <c r="V2" s="26"/>
      <c r="W2" s="26"/>
      <c r="X2" s="26"/>
      <c r="Y2" s="26"/>
      <c r="Z2" s="270" t="s">
        <v>9768</v>
      </c>
    </row>
    <row r="3">
      <c r="A3" s="271" t="s">
        <v>9769</v>
      </c>
      <c r="B3" s="271" t="s">
        <v>9770</v>
      </c>
      <c r="C3" s="271" t="s">
        <v>9771</v>
      </c>
      <c r="D3" s="271" t="s">
        <v>9772</v>
      </c>
      <c r="E3" s="271" t="s">
        <v>9773</v>
      </c>
      <c r="F3" s="271" t="s">
        <v>9774</v>
      </c>
      <c r="G3" s="271" t="s">
        <v>5967</v>
      </c>
      <c r="H3" s="271" t="s">
        <v>9775</v>
      </c>
      <c r="I3" s="26"/>
      <c r="J3" s="26"/>
      <c r="K3" s="26"/>
      <c r="L3" s="26"/>
      <c r="M3" s="26"/>
      <c r="N3" s="26"/>
      <c r="O3" s="26"/>
      <c r="P3" s="26"/>
      <c r="Q3" s="26"/>
      <c r="R3" s="26"/>
      <c r="S3" s="26"/>
      <c r="T3" s="26"/>
      <c r="U3" s="26"/>
      <c r="V3" s="26"/>
      <c r="W3" s="26"/>
      <c r="X3" s="26"/>
      <c r="Y3" s="26"/>
      <c r="Z3" s="26" t="str">
        <f>IFERROR(__xludf.DUMMYFUNCTION("UNIQUE(
  TOCOL({
    FILTER('PLANT Intake Coding'!F3:F1001, LEN('PLANT Intake Coding'!F3:F1001));
    FILTER('Transplant Log'!H3:H1001, LEN('Transplant Log'!H3:H1001))
  }, 1)
)
"),"HS-BE-AW-1A")</f>
        <v>HS-BE-AW-1A</v>
      </c>
    </row>
    <row r="4">
      <c r="A4" s="270" t="s">
        <v>9208</v>
      </c>
      <c r="B4" s="271" t="s">
        <v>6477</v>
      </c>
      <c r="C4" s="272" t="s">
        <v>9209</v>
      </c>
      <c r="D4" s="270" t="s">
        <v>9210</v>
      </c>
      <c r="E4" s="271" t="s">
        <v>9231</v>
      </c>
      <c r="F4" s="271" t="s">
        <v>9164</v>
      </c>
      <c r="G4" s="199" t="s">
        <v>5978</v>
      </c>
      <c r="H4" s="273" t="s">
        <v>9186</v>
      </c>
      <c r="I4" s="26"/>
      <c r="J4" s="26"/>
      <c r="K4" s="26"/>
      <c r="L4" s="26"/>
      <c r="M4" s="26"/>
      <c r="N4" s="26"/>
      <c r="O4" s="26"/>
      <c r="P4" s="26"/>
      <c r="Q4" s="26"/>
      <c r="R4" s="26"/>
      <c r="S4" s="26"/>
      <c r="T4" s="26"/>
      <c r="U4" s="26"/>
      <c r="V4" s="26"/>
      <c r="W4" s="26"/>
      <c r="X4" s="26"/>
      <c r="Y4" s="26"/>
      <c r="Z4" s="26" t="str">
        <f>IFERROR(__xludf.DUMMYFUNCTION("""COMPUTED_VALUE"""),"HS-PO-GO-1A")</f>
        <v>HS-PO-GO-1A</v>
      </c>
    </row>
    <row r="5">
      <c r="A5" s="270" t="s">
        <v>9429</v>
      </c>
      <c r="B5" s="271" t="s">
        <v>9162</v>
      </c>
      <c r="C5" s="28" t="s">
        <v>9776</v>
      </c>
      <c r="D5" s="28" t="s">
        <v>9431</v>
      </c>
      <c r="E5" s="271" t="s">
        <v>8598</v>
      </c>
      <c r="F5" s="271" t="s">
        <v>9157</v>
      </c>
      <c r="G5" s="271" t="s">
        <v>5956</v>
      </c>
      <c r="H5" s="273" t="s">
        <v>9333</v>
      </c>
      <c r="I5" s="26"/>
      <c r="J5" s="26"/>
      <c r="K5" s="26"/>
      <c r="L5" s="26"/>
      <c r="M5" s="26"/>
      <c r="N5" s="26"/>
      <c r="O5" s="26"/>
      <c r="P5" s="26"/>
      <c r="Q5" s="26"/>
      <c r="R5" s="26"/>
      <c r="S5" s="26"/>
      <c r="T5" s="26"/>
      <c r="U5" s="26"/>
      <c r="V5" s="26"/>
      <c r="W5" s="26"/>
      <c r="X5" s="26"/>
      <c r="Y5" s="26"/>
      <c r="Z5" s="26" t="str">
        <f>IFERROR(__xludf.DUMMYFUNCTION("""COMPUTED_VALUE"""),"HS-PH-HL-1A")</f>
        <v>HS-PH-HL-1A</v>
      </c>
    </row>
    <row r="6">
      <c r="A6" s="26"/>
      <c r="B6" s="271" t="s">
        <v>9166</v>
      </c>
      <c r="C6" s="26"/>
      <c r="D6" s="26"/>
      <c r="E6" s="271" t="s">
        <v>9223</v>
      </c>
      <c r="F6" s="26"/>
      <c r="G6" s="271" t="s">
        <v>9777</v>
      </c>
      <c r="H6" s="271"/>
      <c r="I6" s="26"/>
      <c r="J6" s="26"/>
      <c r="K6" s="26"/>
      <c r="L6" s="26"/>
      <c r="M6" s="26"/>
      <c r="N6" s="26"/>
      <c r="O6" s="26"/>
      <c r="P6" s="26"/>
      <c r="Q6" s="26"/>
      <c r="R6" s="26"/>
      <c r="S6" s="26"/>
      <c r="T6" s="26"/>
      <c r="U6" s="26"/>
      <c r="V6" s="26"/>
      <c r="W6" s="26"/>
      <c r="X6" s="26"/>
      <c r="Y6" s="26"/>
      <c r="Z6" s="26" t="str">
        <f>IFERROR(__xludf.DUMMYFUNCTION("""COMPUTED_VALUE"""),"HS-PH-BRL-1A")</f>
        <v>HS-PH-BRL-1A</v>
      </c>
    </row>
    <row r="7">
      <c r="A7" s="26"/>
      <c r="B7" s="26"/>
      <c r="C7" s="26"/>
      <c r="D7" s="26"/>
      <c r="E7" s="271" t="s">
        <v>9177</v>
      </c>
      <c r="F7" s="26"/>
      <c r="G7" s="271" t="s">
        <v>5958</v>
      </c>
      <c r="H7" s="271"/>
      <c r="I7" s="26"/>
      <c r="J7" s="26"/>
      <c r="K7" s="26"/>
      <c r="L7" s="26"/>
      <c r="M7" s="26"/>
      <c r="N7" s="26"/>
      <c r="O7" s="26"/>
      <c r="P7" s="26"/>
      <c r="Q7" s="26"/>
      <c r="R7" s="26"/>
      <c r="S7" s="26"/>
      <c r="T7" s="26"/>
      <c r="U7" s="26"/>
      <c r="V7" s="26"/>
      <c r="W7" s="26"/>
      <c r="X7" s="26"/>
      <c r="Y7" s="26"/>
      <c r="Z7" s="26" t="str">
        <f>IFERROR(__xludf.DUMMYFUNCTION("""COMPUTED_VALUE"""),"HS-PI-PEP-1A")</f>
        <v>HS-PI-PEP-1A</v>
      </c>
    </row>
    <row r="8">
      <c r="A8" s="26"/>
      <c r="B8" s="26"/>
      <c r="C8" s="26"/>
      <c r="D8" s="26"/>
      <c r="E8" s="271" t="s">
        <v>9156</v>
      </c>
      <c r="F8" s="26"/>
      <c r="G8" s="271" t="s">
        <v>5974</v>
      </c>
      <c r="H8" s="271"/>
      <c r="I8" s="26"/>
      <c r="J8" s="26"/>
      <c r="K8" s="26"/>
      <c r="L8" s="26"/>
      <c r="M8" s="26"/>
      <c r="N8" s="26"/>
      <c r="O8" s="26"/>
      <c r="P8" s="26"/>
      <c r="Q8" s="26"/>
      <c r="R8" s="26"/>
      <c r="S8" s="26"/>
      <c r="T8" s="26"/>
      <c r="U8" s="26"/>
      <c r="V8" s="26"/>
      <c r="W8" s="26"/>
      <c r="X8" s="26"/>
      <c r="Y8" s="26"/>
      <c r="Z8" s="26" t="str">
        <f>IFERROR(__xludf.DUMMYFUNCTION("""COMPUTED_VALUE"""),"HS-CT-BM-1A")</f>
        <v>HS-CT-BM-1A</v>
      </c>
    </row>
    <row r="9">
      <c r="A9" s="26"/>
      <c r="B9" s="26"/>
      <c r="C9" s="26"/>
      <c r="D9" s="26"/>
      <c r="E9" s="271" t="s">
        <v>9392</v>
      </c>
      <c r="F9" s="26"/>
      <c r="G9" s="271" t="s">
        <v>5970</v>
      </c>
      <c r="H9" s="271"/>
      <c r="I9" s="26"/>
      <c r="J9" s="26"/>
      <c r="K9" s="26"/>
      <c r="L9" s="26"/>
      <c r="M9" s="26"/>
      <c r="N9" s="26"/>
      <c r="O9" s="26"/>
      <c r="P9" s="26"/>
      <c r="Q9" s="26"/>
      <c r="R9" s="26"/>
      <c r="S9" s="26"/>
      <c r="T9" s="26"/>
      <c r="U9" s="26"/>
      <c r="V9" s="26"/>
      <c r="W9" s="26"/>
      <c r="X9" s="26"/>
      <c r="Y9" s="26"/>
      <c r="Z9" s="26" t="str">
        <f>IFERROR(__xludf.DUMMYFUNCTION("""COMPUTED_VALUE"""),"HS-DR-SP-1A")</f>
        <v>HS-DR-SP-1A</v>
      </c>
    </row>
    <row r="10">
      <c r="A10" s="26"/>
      <c r="B10" s="26"/>
      <c r="C10" s="26"/>
      <c r="D10" s="26"/>
      <c r="E10" s="271" t="s">
        <v>9778</v>
      </c>
      <c r="F10" s="26"/>
      <c r="G10" s="26"/>
      <c r="H10" s="271"/>
      <c r="I10" s="26"/>
      <c r="J10" s="26"/>
      <c r="K10" s="26"/>
      <c r="L10" s="26"/>
      <c r="M10" s="26"/>
      <c r="N10" s="26"/>
      <c r="O10" s="26"/>
      <c r="P10" s="26"/>
      <c r="Q10" s="26"/>
      <c r="R10" s="26"/>
      <c r="S10" s="26"/>
      <c r="T10" s="26"/>
      <c r="U10" s="26"/>
      <c r="V10" s="26"/>
      <c r="W10" s="26"/>
      <c r="X10" s="26"/>
      <c r="Y10" s="26"/>
      <c r="Z10" s="26" t="str">
        <f>IFERROR(__xludf.DUMMYFUNCTION("""COMPUTED_VALUE"""),"FM-PH-WK-1A")</f>
        <v>FM-PH-WK-1A</v>
      </c>
    </row>
    <row r="11">
      <c r="A11" s="26"/>
      <c r="B11" s="26"/>
      <c r="C11" s="26"/>
      <c r="D11" s="26"/>
      <c r="E11" s="271" t="s">
        <v>9779</v>
      </c>
      <c r="F11" s="26"/>
      <c r="G11" s="26"/>
      <c r="H11" s="26"/>
      <c r="I11" s="26"/>
      <c r="J11" s="26"/>
      <c r="K11" s="26"/>
      <c r="L11" s="26"/>
      <c r="M11" s="26"/>
      <c r="N11" s="26"/>
      <c r="O11" s="26"/>
      <c r="P11" s="26"/>
      <c r="Q11" s="26"/>
      <c r="R11" s="26"/>
      <c r="S11" s="26"/>
      <c r="T11" s="26"/>
      <c r="U11" s="26"/>
      <c r="V11" s="26"/>
      <c r="W11" s="26"/>
      <c r="X11" s="26"/>
      <c r="Y11" s="26"/>
      <c r="Z11" s="26" t="str">
        <f>IFERROR(__xludf.DUMMYFUNCTION("""COMPUTED_VALUE"""),"WM-PH-WK-1A")</f>
        <v>WM-PH-WK-1A</v>
      </c>
    </row>
    <row r="12">
      <c r="A12" s="26"/>
      <c r="B12" s="26"/>
      <c r="C12" s="26"/>
      <c r="D12" s="26"/>
      <c r="E12" s="273" t="s">
        <v>9450</v>
      </c>
      <c r="F12" s="26"/>
      <c r="G12" s="26"/>
      <c r="H12" s="26"/>
      <c r="I12" s="26"/>
      <c r="J12" s="26"/>
      <c r="K12" s="26"/>
      <c r="L12" s="26"/>
      <c r="M12" s="26"/>
      <c r="N12" s="26"/>
      <c r="O12" s="26"/>
      <c r="P12" s="26"/>
      <c r="Q12" s="26"/>
      <c r="R12" s="26"/>
      <c r="S12" s="26"/>
      <c r="T12" s="26"/>
      <c r="U12" s="26"/>
      <c r="V12" s="26"/>
      <c r="W12" s="26"/>
      <c r="X12" s="26"/>
      <c r="Y12" s="26"/>
      <c r="Z12" s="26" t="str">
        <f>IFERROR(__xludf.DUMMYFUNCTION("""COMPUTED_VALUE"""),"WM-MA-PE-1A")</f>
        <v>WM-MA-PE-1A</v>
      </c>
    </row>
    <row r="13">
      <c r="A13" s="26"/>
      <c r="B13" s="26"/>
      <c r="C13" s="26"/>
      <c r="D13" s="26"/>
      <c r="E13" s="273" t="s">
        <v>8589</v>
      </c>
      <c r="F13" s="26"/>
      <c r="G13" s="26"/>
      <c r="H13" s="26"/>
      <c r="I13" s="26"/>
      <c r="J13" s="26"/>
      <c r="K13" s="26"/>
      <c r="L13" s="26"/>
      <c r="M13" s="26"/>
      <c r="N13" s="26"/>
      <c r="O13" s="26"/>
      <c r="P13" s="26"/>
      <c r="Q13" s="26"/>
      <c r="R13" s="26"/>
      <c r="S13" s="26"/>
      <c r="T13" s="26"/>
      <c r="U13" s="26"/>
      <c r="V13" s="26"/>
      <c r="W13" s="26"/>
      <c r="X13" s="26"/>
      <c r="Y13" s="26"/>
      <c r="Z13" s="26" t="str">
        <f>IFERROR(__xludf.DUMMYFUNCTION("""COMPUTED_VALUE"""),"TLC-PH-CS-1A")</f>
        <v>TLC-PH-CS-1A</v>
      </c>
    </row>
    <row r="14">
      <c r="A14" s="26"/>
      <c r="B14" s="26"/>
      <c r="C14" s="26"/>
      <c r="D14" s="26"/>
      <c r="E14" s="273" t="s">
        <v>9163</v>
      </c>
      <c r="F14" s="26"/>
      <c r="G14" s="26"/>
      <c r="H14" s="26"/>
      <c r="I14" s="26"/>
      <c r="J14" s="26"/>
      <c r="K14" s="26"/>
      <c r="L14" s="26"/>
      <c r="M14" s="26"/>
      <c r="N14" s="26"/>
      <c r="O14" s="26"/>
      <c r="P14" s="26"/>
      <c r="Q14" s="26"/>
      <c r="R14" s="26"/>
      <c r="S14" s="26"/>
      <c r="T14" s="26"/>
      <c r="U14" s="26"/>
      <c r="V14" s="26"/>
      <c r="W14" s="26"/>
      <c r="X14" s="26"/>
      <c r="Y14" s="26"/>
      <c r="Z14" s="26" t="str">
        <f>IFERROR(__xludf.DUMMYFUNCTION("""COMPUTED_VALUE"""),"TAG-AO-DR-1A")</f>
        <v>TAG-AO-DR-1A</v>
      </c>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t="str">
        <f>IFERROR(__xludf.DUMMYFUNCTION("""COMPUTED_VALUE"""),"FMY-PH-GC-1A")</f>
        <v>FMY-PH-GC-1A</v>
      </c>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t="str">
        <f>IFERROR(__xludf.DUMMYFUNCTION("""COMPUTED_VALUE"""),"FMY-AL-RSD-1A")</f>
        <v>FMY-AL-RSD-1A</v>
      </c>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t="str">
        <f>IFERROR(__xludf.DUMMYFUNCTION("""COMPUTED_VALUE"""),"FMY-AL-GVF-1A")</f>
        <v>FMY-AL-GVF-1A</v>
      </c>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t="str">
        <f>IFERROR(__xludf.DUMMYFUNCTION("""COMPUTED_VALUE"""),"FMY-MA-DE-1A")</f>
        <v>FMY-MA-DE-1A</v>
      </c>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t="str">
        <f>IFERROR(__xludf.DUMMYFUNCTION("""COMPUTED_VALUE"""),"FMY-MA-DE-1A-2")</f>
        <v>FMY-MA-DE-1A-2</v>
      </c>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t="str">
        <f>IFERROR(__xludf.DUMMYFUNCTION("""COMPUTED_VALUE"""),"TLC-SC-SS-1A")</f>
        <v>TLC-SC-SS-1A</v>
      </c>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t="str">
        <f>IFERROR(__xludf.DUMMYFUNCTION("""COMPUTED_VALUE"""),"MMP-MA-AD-1A")</f>
        <v>MMP-MA-AD-1A</v>
      </c>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t="str">
        <f>IFERROR(__xludf.DUMMYFUNCTION("""COMPUTED_VALUE"""),"OLN-MA-AD-1A")</f>
        <v>OLN-MA-AD-1A</v>
      </c>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t="str">
        <f>IFERROR(__xludf.DUMMYFUNCTION("""COMPUTED_VALUE"""),"OLN-PH-WP-1A")</f>
        <v>OLN-PH-WP-1A</v>
      </c>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t="str">
        <f>IFERROR(__xludf.DUMMYFUNCTION("""COMPUTED_VALUE"""),"OLN-ALT-PT-1A")</f>
        <v>OLN-ALT-PT-1A</v>
      </c>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t="str">
        <f>IFERROR(__xludf.DUMMYFUNCTION("""COMPUTED_VALUE"""),"OLN-FI-RF-1A")</f>
        <v>OLN-FI-RF-1A</v>
      </c>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t="str">
        <f>IFERROR(__xludf.DUMMYFUNCTION("""COMPUTED_VALUE"""),"OLN-PH-STS-1A")</f>
        <v>OLN-PH-STS-1A</v>
      </c>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t="str">
        <f>IFERROR(__xludf.DUMMYFUNCTION("""COMPUTED_VALUE"""),"OLN-PH-SD-1A")</f>
        <v>OLN-PH-SD-1A</v>
      </c>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t="str">
        <f>IFERROR(__xludf.DUMMYFUNCTION("""COMPUTED_VALUE"""),"AR-PH-WP-1A")</f>
        <v>AR-PH-WP-1A</v>
      </c>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t="str">
        <f>IFERROR(__xludf.DUMMYFUNCTION("""COMPUTED_VALUE"""),"AR-AL-LM-1A")</f>
        <v>AR-AL-LM-1A</v>
      </c>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t="str">
        <f>IFERROR(__xludf.DUMMYFUNCTION("""COMPUTED_VALUE"""),"ZB-SE-HA-1A")</f>
        <v>ZB-SE-HA-1A</v>
      </c>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t="str">
        <f>IFERROR(__xludf.DUMMYFUNCTION("""COMPUTED_VALUE"""),"IST-PH-PP-1A")</f>
        <v>IST-PH-PP-1A</v>
      </c>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t="str">
        <f>IFERROR(__xludf.DUMMYFUNCTION("""COMPUTED_VALUE"""),"IST-PH-GCN-1A")</f>
        <v>IST-PH-GCN-1A</v>
      </c>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t="str">
        <f>IFERROR(__xludf.DUMMYFUNCTION("""COMPUTED_VALUE"""),"TGG-HO-GF-1A")</f>
        <v>TGG-HO-GF-1A</v>
      </c>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t="str">
        <f>IFERROR(__xludf.DUMMYFUNCTION("""COMPUTED_VALUE"""),"TGG-HO-PU-1A")</f>
        <v>TGG-HO-PU-1A</v>
      </c>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t="str">
        <f>IFERROR(__xludf.DUMMYFUNCTION("""COMPUTED_VALUE"""),"FM-MA-DE-1A")</f>
        <v>FM-MA-DE-1A</v>
      </c>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t="str">
        <f>IFERROR(__xludf.DUMMYFUNCTION("""COMPUTED_VALUE"""),"AM-PH-PP-1A")</f>
        <v>AM-PH-PP-1A</v>
      </c>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t="str">
        <f>IFERROR(__xludf.DUMMYFUNCTION("""COMPUTED_VALUE"""),"AM-PH-WW-1A")</f>
        <v>AM-PH-WW-1A</v>
      </c>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t="str">
        <f>IFERROR(__xludf.DUMMYFUNCTION("""COMPUTED_VALUE"""),"AM-PH-GL-1A")</f>
        <v>AM-PH-GL-1A</v>
      </c>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t="str">
        <f>IFERROR(__xludf.DUMMYFUNCTION("""COMPUTED_VALUE"""),"AM-PH-BI-1A")</f>
        <v>AM-PH-BI-1A</v>
      </c>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t="str">
        <f>IFERROR(__xludf.DUMMYFUNCTION("""COMPUTED_VALUE"""),"TGOPS-PH-PPM-1A")</f>
        <v>TGOPS-PH-PPM-1A</v>
      </c>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t="str">
        <f>IFERROR(__xludf.DUMMYFUNCTION("""COMPUTED_VALUE"""),"TGOPS-PH-PPM-1A-2")</f>
        <v>TGOPS-PH-PPM-1A-2</v>
      </c>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t="str">
        <f>IFERROR(__xludf.DUMMYFUNCTION("""COMPUTED_VALUE"""),"TGOPS-PH-PPM-1A-3")</f>
        <v>TGOPS-PH-PPM-1A-3</v>
      </c>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t="str">
        <f>IFERROR(__xludf.DUMMYFUNCTION("""COMPUTED_VALUE"""),"TGOPS-PH-POO-1A")</f>
        <v>TGOPS-PH-POO-1A</v>
      </c>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t="str">
        <f>IFERROR(__xludf.DUMMYFUNCTION("""COMPUTED_VALUE"""),"TGOPS-PH-POO-1A-2")</f>
        <v>TGOPS-PH-POO-1A-2</v>
      </c>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t="str">
        <f>IFERROR(__xludf.DUMMYFUNCTION("""COMPUTED_VALUE"""),"TGOPS-PH-POO-1A-3")</f>
        <v>TGOPS-PH-POO-1A-3</v>
      </c>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t="str">
        <f>IFERROR(__xludf.DUMMYFUNCTION("""COMPUTED_VALUE"""),"TGOPS-PH-WW-1A")</f>
        <v>TGOPS-PH-WW-1A</v>
      </c>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t="str">
        <f>IFERROR(__xludf.DUMMYFUNCTION("""COMPUTED_VALUE"""),"TGOPS-PH-WW-1A-2")</f>
        <v>TGOPS-PH-WW-1A-2</v>
      </c>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t="str">
        <f>IFERROR(__xludf.DUMMYFUNCTION("""COMPUTED_VALUE"""),"TGOPS-PH-WW-1A-3")</f>
        <v>TGOPS-PH-WW-1A-3</v>
      </c>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t="str">
        <f>IFERROR(__xludf.DUMMYFUNCTION("""COMPUTED_VALUE"""),"BWH-PH-MO-1A")</f>
        <v>BWH-PH-MO-1A</v>
      </c>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t="str">
        <f>IFERROR(__xludf.DUMMYFUNCTION("""COMPUTED_VALUE"""),"BWH-PH-MO-1A-2")</f>
        <v>BWH-PH-MO-1A-2</v>
      </c>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t="str">
        <f>IFERROR(__xludf.DUMMYFUNCTION("""COMPUTED_VALUE"""),"BWH-PH-MO-1A-3")</f>
        <v>BWH-PH-MO-1A-3</v>
      </c>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t="str">
        <f>IFERROR(__xludf.DUMMYFUNCTION("""COMPUTED_VALUE"""),"BWH-PH-MO-1A-4")</f>
        <v>BWH-PH-MO-1A-4</v>
      </c>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t="str">
        <f>IFERROR(__xludf.DUMMYFUNCTION("""COMPUTED_VALUE"""),"BWH-PH-MO-1A-5")</f>
        <v>BWH-PH-MO-1A-5</v>
      </c>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t="str">
        <f>IFERROR(__xludf.DUMMYFUNCTION("""COMPUTED_VALUE"""),"BWH-PH-RAPK-1A")</f>
        <v>BWH-PH-RAPK-1A</v>
      </c>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t="str">
        <f>IFERROR(__xludf.DUMMYFUNCTION("""COMPUTED_VALUE"""),"BWH-PH-RAPK-1A-2")</f>
        <v>BWH-PH-RAPK-1A-2</v>
      </c>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t="str">
        <f>IFERROR(__xludf.DUMMYFUNCTION("""COMPUTED_VALUE"""),"BWH-PH-RAPK-1A-3")</f>
        <v>BWH-PH-RAPK-1A-3</v>
      </c>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t="str">
        <f>IFERROR(__xludf.DUMMYFUNCTION("""COMPUTED_VALUE"""),"BWH-PH-RAPK-1A-4")</f>
        <v>BWH-PH-RAPK-1A-4</v>
      </c>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t="str">
        <f>IFERROR(__xludf.DUMMYFUNCTION("""COMPUTED_VALUE"""),"BWH-PH-RAPK-1A-5")</f>
        <v>BWH-PH-RAPK-1A-5</v>
      </c>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t="str">
        <f>IFERROR(__xludf.DUMMYFUNCTION("""COMPUTED_VALUE"""),"BWH-PO-PAJ-1A")</f>
        <v>BWH-PO-PAJ-1A</v>
      </c>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t="str">
        <f>IFERROR(__xludf.DUMMYFUNCTION("""COMPUTED_VALUE"""),"BWH-PO-PAJ-1A-2")</f>
        <v>BWH-PO-PAJ-1A-2</v>
      </c>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t="str">
        <f>IFERROR(__xludf.DUMMYFUNCTION("""COMPUTED_VALUE"""),"BWH-PO-PAJ-1A-3")</f>
        <v>BWH-PO-PAJ-1A-3</v>
      </c>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t="str">
        <f>IFERROR(__xludf.DUMMYFUNCTION("""COMPUTED_VALUE"""),"BWH-PO-PAJ-1A-4")</f>
        <v>BWH-PO-PAJ-1A-4</v>
      </c>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t="str">
        <f>IFERROR(__xludf.DUMMYFUNCTION("""COMPUTED_VALUE"""),"BWH-PO-PAJ-1A-5")</f>
        <v>BWH-PO-PAJ-1A-5</v>
      </c>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t="str">
        <f>IFERROR(__xludf.DUMMYFUNCTION("""COMPUTED_VALUE"""),"BWH-SYN-PS-1A")</f>
        <v>BWH-SYN-PS-1A</v>
      </c>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t="str">
        <f>IFERROR(__xludf.DUMMYFUNCTION("""COMPUTED_VALUE"""),"BWH-SYN-PS-1A-2")</f>
        <v>BWH-SYN-PS-1A-2</v>
      </c>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t="str">
        <f>IFERROR(__xludf.DUMMYFUNCTION("""COMPUTED_VALUE"""),"BWH-SYN-PS-1A-3")</f>
        <v>BWH-SYN-PS-1A-3</v>
      </c>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t="str">
        <f>IFERROR(__xludf.DUMMYFUNCTION("""COMPUTED_VALUE"""),"BWH-SYN-PS-1A-4")</f>
        <v>BWH-SYN-PS-1A-4</v>
      </c>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t="str">
        <f>IFERROR(__xludf.DUMMYFUNCTION("""COMPUTED_VALUE"""),"BWH-SYN-PS-1A-5")</f>
        <v>BWH-SYN-PS-1A-5</v>
      </c>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t="str">
        <f>IFERROR(__xludf.DUMMYFUNCTION("""COMPUTED_VALUE"""),"FPH-PH-GCN-1A")</f>
        <v>FPH-PH-GCN-1A</v>
      </c>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t="str">
        <f>IFERROR(__xludf.DUMMYFUNCTION("""COMPUTED_VALUE"""),"BTPG-HO-KP-1A")</f>
        <v>BTPG-HO-KP-1A</v>
      </c>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t="str">
        <f>IFERROR(__xludf.DUMMYFUNCTION("""COMPUTED_VALUE"""),"BPF-CE-SOH-1A")</f>
        <v>BPF-CE-SOH-1A</v>
      </c>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t="str">
        <f>IFERROR(__xludf.DUMMYFUNCTION("""COMPUTED_VALUE"""),"BPF-CE-SOH-1A-2")</f>
        <v>BPF-CE-SOH-1A-2</v>
      </c>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t="str">
        <f>IFERROR(__xludf.DUMMYFUNCTION("""COMPUTED_VALUE"""),"BPF-CE-SOH-1A-3")</f>
        <v>BPF-CE-SOH-1A-3</v>
      </c>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t="str">
        <f>IFERROR(__xludf.DUMMYFUNCTION("""COMPUTED_VALUE"""),"BPF-CE-SOH-1A-4")</f>
        <v>BPF-CE-SOH-1A-4</v>
      </c>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t="str">
        <f>IFERROR(__xludf.DUMMYFUNCTION("""COMPUTED_VALUE"""),"BPF-CE-SOH-1A-5")</f>
        <v>BPF-CE-SOH-1A-5</v>
      </c>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t="str">
        <f>IFERROR(__xludf.DUMMYFUNCTION("""COMPUTED_VALUE"""),"BPF-SE-SOP-1A")</f>
        <v>BPF-SE-SOP-1A</v>
      </c>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t="str">
        <f>IFERROR(__xludf.DUMMYFUNCTION("""COMPUTED_VALUE"""),"BPF-SE-SOP-1A-2")</f>
        <v>BPF-SE-SOP-1A-2</v>
      </c>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t="str">
        <f>IFERROR(__xludf.DUMMYFUNCTION("""COMPUTED_VALUE"""),"BPF-SE-SOP-1A-3")</f>
        <v>BPF-SE-SOP-1A-3</v>
      </c>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t="str">
        <f>IFERROR(__xludf.DUMMYFUNCTION("""COMPUTED_VALUE"""),"BPF-SE-SOP-1A-4")</f>
        <v>BPF-SE-SOP-1A-4</v>
      </c>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t="str">
        <f>IFERROR(__xludf.DUMMYFUNCTION("""COMPUTED_VALUE"""),"BPF-SE-SOP-1A-5")</f>
        <v>BPF-SE-SOP-1A-5</v>
      </c>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t="str">
        <f>IFERROR(__xludf.DUMMYFUNCTION("""COMPUTED_VALUE"""),"BPF-PO-NE-1A")</f>
        <v>BPF-PO-NE-1A</v>
      </c>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t="str">
        <f>IFERROR(__xludf.DUMMYFUNCTION("""COMPUTED_VALUE"""),"BPF-PO-NE-1A-2")</f>
        <v>BPF-PO-NE-1A-2</v>
      </c>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t="str">
        <f>IFERROR(__xludf.DUMMYFUNCTION("""COMPUTED_VALUE"""),"FM-PH-PP-1A")</f>
        <v>FM-PH-PP-1A</v>
      </c>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t="str">
        <f>IFERROR(__xludf.DUMMYFUNCTION("""COMPUTED_VALUE"""),"FM-PH-BMV-1A")</f>
        <v>FM-PH-BMV-1A</v>
      </c>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t="str">
        <f>IFERROR(__xludf.DUMMYFUNCTION("""COMPUTED_VALUE"""),"FM-PH-BMV-1A-2")</f>
        <v>FM-PH-BMV-1A-2</v>
      </c>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t="str">
        <f>IFERROR(__xludf.DUMMYFUNCTION("""COMPUTED_VALUE"""),"FM-SYN-BA-1A")</f>
        <v>FM-SYN-BA-1A</v>
      </c>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t="str">
        <f>IFERROR(__xludf.DUMMYFUNCTION("""COMPUTED_VALUE"""),"FMY-AL-RSD-1A-2")</f>
        <v>FMY-AL-RSD-1A-2</v>
      </c>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t="str">
        <f>IFERROR(__xludf.DUMMYFUNCTION("""COMPUTED_VALUE"""),"FMY-MA-PE-1A")</f>
        <v>FMY-MA-PE-1A</v>
      </c>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t="str">
        <f>IFERROR(__xludf.DUMMYFUNCTION("""COMPUTED_VALUE"""),"FMY-AG-SPA-1A")</f>
        <v>FMY-AG-SPA-1A</v>
      </c>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t="str">
        <f>IFERROR(__xludf.DUMMYFUNCTION("""COMPUTED_VALUE"""),"FMY-CA-MA-1A")</f>
        <v>FMY-CA-MA-1A</v>
      </c>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t="str">
        <f>IFERROR(__xludf.DUMMYFUNCTION("""COMPUTED_VALUE"""),"FMY-MA-DE-1A-3")</f>
        <v>FMY-MA-DE-1A-3</v>
      </c>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t="str">
        <f>IFERROR(__xludf.DUMMYFUNCTION("""COMPUTED_VALUE"""),"FMY-MA-DE-1A-4")</f>
        <v>FMY-MA-DE-1A-4</v>
      </c>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t="str">
        <f>IFERROR(__xludf.DUMMYFUNCTION("""COMPUTED_VALUE"""),"FMY-MA-DE-1A-5")</f>
        <v>FMY-MA-DE-1A-5</v>
      </c>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t="str">
        <f>IFERROR(__xludf.DUMMYFUNCTION("""COMPUTED_VALUE"""),"FMY-PH-PL-1A")</f>
        <v>FMY-PH-PL-1A</v>
      </c>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t="str">
        <f>IFERROR(__xludf.DUMMYFUNCTION("""COMPUTED_VALUE"""),"HD-AL-LO-1A")</f>
        <v>HD-AL-LO-1A</v>
      </c>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t="str">
        <f>IFERROR(__xludf.DUMMYFUNCTION("""COMPUTED_VALUE"""),"HD-AL-LO-1A-2")</f>
        <v>HD-AL-LO-1A-2</v>
      </c>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t="str">
        <f>IFERROR(__xludf.DUMMYFUNCTION("""COMPUTED_VALUE"""),"HD-AL-GVF-1A-2")</f>
        <v>HD-AL-GVF-1A-2</v>
      </c>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t="str">
        <f>IFERROR(__xludf.DUMMYFUNCTION("""COMPUTED_VALUE"""),"HD-AL-BDS-1A")</f>
        <v>HD-AL-BDS-1A</v>
      </c>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t="str">
        <f>IFERROR(__xludf.DUMMYFUNCTION("""COMPUTED_VALUE"""),"HD-PH-GG-1A")</f>
        <v>HD-PH-GG-1A</v>
      </c>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t="str">
        <f>IFERROR(__xludf.DUMMYFUNCTION("""COMPUTED_VALUE"""),"HD-HO-SSS-1A")</f>
        <v>HD-HO-SSS-1A</v>
      </c>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t="str">
        <f>IFERROR(__xludf.DUMMYFUNCTION("""COMPUTED_VALUE"""),"HD-ST-TR-1A")</f>
        <v>HD-ST-TR-1A</v>
      </c>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t="str">
        <f>IFERROR(__xludf.DUMMYFUNCTION("""COMPUTED_VALUE"""),"TRL-FIC-TE-1A")</f>
        <v>TRL-FIC-TE-1A</v>
      </c>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t="str">
        <f>IFERROR(__xludf.DUMMYFUNCTION("""COMPUTED_VALUE"""),"TRL-SYN-PA-1A")</f>
        <v>TRL-SYN-PA-1A</v>
      </c>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t="str">
        <f>IFERROR(__xludf.DUMMYFUNCTION("""COMPUTED_VALUE"""),"TRL-PH-JB-1A")</f>
        <v>TRL-PH-JB-1A</v>
      </c>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t="str">
        <f>IFERROR(__xludf.DUMMYFUNCTION("""COMPUTED_VALUE"""),"RSV-PH-RS-1A")</f>
        <v>RSV-PH-RS-1A</v>
      </c>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t="str">
        <f>IFERROR(__xludf.DUMMYFUNCTION("""COMPUTED_VALUE"""),"RSV-EPI-PM-1A")</f>
        <v>RSV-EPI-PM-1A</v>
      </c>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t="str">
        <f>IFERROR(__xludf.DUMMYFUNCTION("""COMPUTED_VALUE"""),"TGE-PH-FB-1A")</f>
        <v>TGE-PH-FB-1A</v>
      </c>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t="str">
        <f>IFERROR(__xludf.DUMMYFUNCTION("""COMPUTED_VALUE"""),"TGE-PH-ROF-1A")</f>
        <v>TGE-PH-ROF-1A</v>
      </c>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t="str">
        <f>IFERROR(__xludf.DUMMYFUNCTION("""COMPUTED_VALUE"""),"TGE-PH-BI-1A")</f>
        <v>TGE-PH-BI-1A</v>
      </c>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t="str">
        <f>IFERROR(__xludf.DUMMYFUNCTION("""COMPUTED_VALUE"""),"TGE-PH-RS-1A")</f>
        <v>TGE-PH-RS-1A</v>
      </c>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t="str">
        <f>IFERROR(__xludf.DUMMYFUNCTION("""COMPUTED_VALUE"""),"TGE-COL-DI-1A")</f>
        <v>TGE-COL-DI-1A</v>
      </c>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t="str">
        <f>IFERROR(__xludf.DUMMYFUNCTION("""COMPUTED_VALUE"""),"LOA-PH-DO-1A")</f>
        <v>LOA-PH-DO-1A</v>
      </c>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t="str">
        <f>IFERROR(__xludf.DUMMYFUNCTION("""COMPUTED_VALUE"""),"IST-CR-GJ-1A")</f>
        <v>IST-CR-GJ-1A</v>
      </c>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t="str">
        <f>IFERROR(__xludf.DUMMYFUNCTION("""COMPUTED_VALUE"""),"DSE-AL-MAN-1A")</f>
        <v>DSE-AL-MAN-1A</v>
      </c>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t="str">
        <f>IFERROR(__xludf.DUMMYFUNCTION("""COMPUTED_VALUE"""),"DSE-AL-MAN-1A-2")</f>
        <v>DSE-AL-MAN-1A-2</v>
      </c>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t="str">
        <f>IFERROR(__xludf.DUMMYFUNCTION("""COMPUTED_VALUE"""),"DSE-AL-MAN-1A-3")</f>
        <v>DSE-AL-MAN-1A-3</v>
      </c>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t="str">
        <f>IFERROR(__xludf.DUMMYFUNCTION("""COMPUTED_VALUE"""),"DSE-AL-MAN-1A-4")</f>
        <v>DSE-AL-MAN-1A-4</v>
      </c>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t="str">
        <f>IFERROR(__xludf.DUMMYFUNCTION("""COMPUTED_VALUE"""),"DSE-AL-MAN-1A-5")</f>
        <v>DSE-AL-MAN-1A-5</v>
      </c>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t="str">
        <f>IFERROR(__xludf.DUMMYFUNCTION("""COMPUTED_VALUE"""),"DSE-COL-MOJ-1A")</f>
        <v>DSE-COL-MOJ-1A</v>
      </c>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t="str">
        <f>IFERROR(__xludf.DUMMYFUNCTION("""COMPUTED_VALUE"""),"DSE-COL-MOJ-1A-2")</f>
        <v>DSE-COL-MOJ-1A-2</v>
      </c>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t="str">
        <f>IFERROR(__xludf.DUMMYFUNCTION("""COMPUTED_VALUE"""),"DSE-COL-MOJ-1A-3")</f>
        <v>DSE-COL-MOJ-1A-3</v>
      </c>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t="str">
        <f>IFERROR(__xludf.DUMMYFUNCTION("""COMPUTED_VALUE"""),"DSE-COL-MOJ-1A-4")</f>
        <v>DSE-COL-MOJ-1A-4</v>
      </c>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t="str">
        <f>IFERROR(__xludf.DUMMYFUNCTION("""COMPUTED_VALUE"""),"DSE-COL-MOJ-1A-5")</f>
        <v>DSE-COL-MOJ-1A-5</v>
      </c>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t="str">
        <f>IFERROR(__xludf.DUMMYFUNCTION("""COMPUTED_VALUE"""),"DSE-COL-MOJ-1A-6")</f>
        <v>DSE-COL-MOJ-1A-6</v>
      </c>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t="str">
        <f>IFERROR(__xludf.DUMMYFUNCTION("""COMPUTED_VALUE"""),"DSE-COL-MOJ-1A-7")</f>
        <v>DSE-COL-MOJ-1A-7</v>
      </c>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t="str">
        <f>IFERROR(__xludf.DUMMYFUNCTION("""COMPUTED_VALUE"""),"DSE-COL-MOJ-1A-8")</f>
        <v>DSE-COL-MOJ-1A-8</v>
      </c>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t="str">
        <f>IFERROR(__xludf.DUMMYFUNCTION("""COMPUTED_VALUE"""),"DSE-COL-MOJ-1A-9")</f>
        <v>DSE-COL-MOJ-1A-9</v>
      </c>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t="str">
        <f>IFERROR(__xludf.DUMMYFUNCTION("""COMPUTED_VALUE"""),"DSE-AL-PC-1A")</f>
        <v>DSE-AL-PC-1A</v>
      </c>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t="str">
        <f>IFERROR(__xludf.DUMMYFUNCTION("""COMPUTED_VALUE"""),"DSE-AL-PC-1A-2")</f>
        <v>DSE-AL-PC-1A-2</v>
      </c>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t="str">
        <f>IFERROR(__xludf.DUMMYFUNCTION("""COMPUTED_VALUE"""),"DSE-AL-PC-1A-3")</f>
        <v>DSE-AL-PC-1A-3</v>
      </c>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t="str">
        <f>IFERROR(__xludf.DUMMYFUNCTION("""COMPUTED_VALUE"""),"DSE-AL-PC-1A-4")</f>
        <v>DSE-AL-PC-1A-4</v>
      </c>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t="str">
        <f>IFERROR(__xludf.DUMMYFUNCTION("""COMPUTED_VALUE"""),"DSE-PIP-CR-1A")</f>
        <v>DSE-PIP-CR-1A</v>
      </c>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t="str">
        <f>IFERROR(__xludf.DUMMYFUNCTION("""COMPUTED_VALUE"""),"DSE-PIP-CR-1A-2")</f>
        <v>DSE-PIP-CR-1A-2</v>
      </c>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t="str">
        <f>IFERROR(__xludf.DUMMYFUNCTION("""COMPUTED_VALUE"""),"DSE-PIP-CR-1A-3")</f>
        <v>DSE-PIP-CR-1A-3</v>
      </c>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t="str">
        <f>IFERROR(__xludf.DUMMYFUNCTION("""COMPUTED_VALUE"""),"DSE-AL-PO-1A")</f>
        <v>DSE-AL-PO-1A</v>
      </c>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t="str">
        <f>IFERROR(__xludf.DUMMYFUNCTION("""COMPUTED_VALUE"""),"DSE-AL-PO-1A-2")</f>
        <v>DSE-AL-PO-1A-2</v>
      </c>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t="str">
        <f>IFERROR(__xludf.DUMMYFUNCTION("""COMPUTED_VALUE"""),"DSE-AL-PO-1A-3")</f>
        <v>DSE-AL-PO-1A-3</v>
      </c>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t="str">
        <f>IFERROR(__xludf.DUMMYFUNCTION("""COMPUTED_VALUE"""),"DSE-AL-PO-1A-4")</f>
        <v>DSE-AL-PO-1A-4</v>
      </c>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t="str">
        <f>IFERROR(__xludf.DUMMYFUNCTION("""COMPUTED_VALUE"""),"DSE-PH-MF-1A")</f>
        <v>DSE-PH-MF-1A</v>
      </c>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t="str">
        <f>IFERROR(__xludf.DUMMYFUNCTION("""COMPUTED_VALUE"""),"DSE-PH-MF-1A-2")</f>
        <v>DSE-PH-MF-1A-2</v>
      </c>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t="str">
        <f>IFERROR(__xludf.DUMMYFUNCTION("""COMPUTED_VALUE"""),"DSE-PH-MF-1A-3")</f>
        <v>DSE-PH-MF-1A-3</v>
      </c>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t="str">
        <f>IFERROR(__xludf.DUMMYFUNCTION("""COMPUTED_VALUE"""),"DSE-PH-MF-1A-4")</f>
        <v>DSE-PH-MF-1A-4</v>
      </c>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t="str">
        <f>IFERROR(__xludf.DUMMYFUNCTION("""COMPUTED_VALUE"""),"DSE-PH-MF-1A-5")</f>
        <v>DSE-PH-MF-1A-5</v>
      </c>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t="str">
        <f>IFERROR(__xludf.DUMMYFUNCTION("""COMPUTED_VALUE"""),"DSE-PH-MF-1A-6")</f>
        <v>DSE-PH-MF-1A-6</v>
      </c>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t="str">
        <f>IFERROR(__xludf.DUMMYFUNCTION("""COMPUTED_VALUE"""),"DSE-PH-MF-1A-7")</f>
        <v>DSE-PH-MF-1A-7</v>
      </c>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t="str">
        <f>IFERROR(__xludf.DUMMYFUNCTION("""COMPUTED_VALUE"""),"DSE-PH-MF-1A-8")</f>
        <v>DSE-PH-MF-1A-8</v>
      </c>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t="str">
        <f>IFERROR(__xludf.DUMMYFUNCTION("""COMPUTED_VALUE"""),"DSE-PH-MF-1A-9")</f>
        <v>DSE-PH-MF-1A-9</v>
      </c>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t="str">
        <f>IFERROR(__xludf.DUMMYFUNCTION("""COMPUTED_VALUE"""),"DSE-PH-MF-1A-10")</f>
        <v>DSE-PH-MF-1A-10</v>
      </c>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t="str">
        <f>IFERROR(__xludf.DUMMYFUNCTION("""COMPUTED_VALUE"""),"DSE-PH-MF-1A-11")</f>
        <v>DSE-PH-MF-1A-11</v>
      </c>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t="str">
        <f>IFERROR(__xludf.DUMMYFUNCTION("""COMPUTED_VALUE"""),"DSE-PH-MF-1A-12")</f>
        <v>DSE-PH-MF-1A-12</v>
      </c>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t="str">
        <f>IFERROR(__xludf.DUMMYFUNCTION("""COMPUTED_VALUE"""),"DSE-PH-RK-1A")</f>
        <v>DSE-PH-RK-1A</v>
      </c>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t="str">
        <f>IFERROR(__xludf.DUMMYFUNCTION("""COMPUTED_VALUE"""),"DSE-PH-RK-1A-2")</f>
        <v>DSE-PH-RK-1A-2</v>
      </c>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t="str">
        <f>IFERROR(__xludf.DUMMYFUNCTION("""COMPUTED_VALUE"""),"DSE-PH-RK-1A-3")</f>
        <v>DSE-PH-RK-1A-3</v>
      </c>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t="str">
        <f>IFERROR(__xludf.DUMMYFUNCTION("""COMPUTED_VALUE"""),"DSE-PH-RK-1A-4")</f>
        <v>DSE-PH-RK-1A-4</v>
      </c>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t="str">
        <f>IFERROR(__xludf.DUMMYFUNCTION("""COMPUTED_VALUE"""),"DSE-PH-RK-1A-5")</f>
        <v>DSE-PH-RK-1A-5</v>
      </c>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t="str">
        <f>IFERROR(__xludf.DUMMYFUNCTION("""COMPUTED_VALUE"""),"DSE-PH-RK-1A-6")</f>
        <v>DSE-PH-RK-1A-6</v>
      </c>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t="str">
        <f>IFERROR(__xludf.DUMMYFUNCTION("""COMPUTED_VALUE"""),"AGP-AL-NI-1A")</f>
        <v>AGP-AL-NI-1A</v>
      </c>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t="str">
        <f>IFERROR(__xludf.DUMMYFUNCTION("""COMPUTED_VALUE"""),"AGP-AL-NI-1A-2")</f>
        <v>AGP-AL-NI-1A-2</v>
      </c>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t="str">
        <f>IFERROR(__xludf.DUMMYFUNCTION("""COMPUTED_VALUE"""),"AGP-AL-NI-1A-3")</f>
        <v>AGP-AL-NI-1A-3</v>
      </c>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t="str">
        <f>IFERROR(__xludf.DUMMYFUNCTION("""COMPUTED_VALUE"""),"AGP-COL-MOJ-1A")</f>
        <v>AGP-COL-MOJ-1A</v>
      </c>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t="str">
        <f>IFERROR(__xludf.DUMMYFUNCTION("""COMPUTED_VALUE"""),"AGP-COL-MOJ-1A-2")</f>
        <v>AGP-COL-MOJ-1A-2</v>
      </c>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t="str">
        <f>IFERROR(__xludf.DUMMYFUNCTION("""COMPUTED_VALUE"""),"AGP-COL-MOJ-1A-3")</f>
        <v>AGP-COL-MOJ-1A-3</v>
      </c>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t="str">
        <f>IFERROR(__xludf.DUMMYFUNCTION("""COMPUTED_VALUE"""),"AGP-PH-TS-1A")</f>
        <v>AGP-PH-TS-1A</v>
      </c>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t="str">
        <f>IFERROR(__xludf.DUMMYFUNCTION("""COMPUTED_VALUE"""),"AGP-PH-OM-1A")</f>
        <v>AGP-PH-OM-1A</v>
      </c>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t="str">
        <f>IFERROR(__xludf.DUMMYFUNCTION("""COMPUTED_VALUE"""),"AGP-PH-BC-1A")</f>
        <v>AGP-PH-BC-1A</v>
      </c>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t="str">
        <f>IFERROR(__xludf.DUMMYFUNCTION("""COMPUTED_VALUE"""),"AGP-PH-BC-1A-2")</f>
        <v>AGP-PH-BC-1A-2</v>
      </c>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t="str">
        <f>IFERROR(__xludf.DUMMYFUNCTION("""COMPUTED_VALUE"""),"AGP-PH-BC-1A-3")</f>
        <v>AGP-PH-BC-1A-3</v>
      </c>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t="str">
        <f>IFERROR(__xludf.DUMMYFUNCTION("""COMPUTED_VALUE"""),"AGP-PH-BC-1A-4")</f>
        <v>AGP-PH-BC-1A-4</v>
      </c>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t="str">
        <f>IFERROR(__xludf.DUMMYFUNCTION("""COMPUTED_VALUE"""),"AGP-MA-TCN-1A")</f>
        <v>AGP-MA-TCN-1A</v>
      </c>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t="str">
        <f>IFERROR(__xludf.DUMMYFUNCTION("""COMPUTED_VALUE"""),"AGP-MA-TCN-1A-2")</f>
        <v>AGP-MA-TCN-1A-2</v>
      </c>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t="str">
        <f>IFERROR(__xludf.DUMMYFUNCTION("""COMPUTED_VALUE"""),"AGP-MA-TCN-1A-3")</f>
        <v>AGP-MA-TCN-1A-3</v>
      </c>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t="str">
        <f>IFERROR(__xludf.DUMMYFUNCTION("""COMPUTED_VALUE"""),"JJP-PH-PP-1A")</f>
        <v>JJP-PH-PP-1A</v>
      </c>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t="str">
        <f>IFERROR(__xludf.DUMMYFUNCTION("""COMPUTED_VALUE"""),"BWH-PH-VRCRH-1A")</f>
        <v>BWH-PH-VRCRH-1A</v>
      </c>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t="str">
        <f>IFERROR(__xludf.DUMMYFUNCTION("""COMPUTED_VALUE"""),"BWH-FIC-SH-1A")</f>
        <v>BWH-FIC-SH-1A</v>
      </c>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t="str">
        <f>IFERROR(__xludf.DUMMYFUNCTION("""COMPUTED_VALUE"""),"BWH-FIC-SH-1A-2")</f>
        <v>BWH-FIC-SH-1A-2</v>
      </c>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t="str">
        <f>IFERROR(__xludf.DUMMYFUNCTION("""COMPUTED_VALUE"""),"BWH-FIC-SH-1A-3")</f>
        <v>BWH-FIC-SH-1A-3</v>
      </c>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t="str">
        <f>IFERROR(__xludf.DUMMYFUNCTION("""COMPUTED_VALUE"""),"BWH-FIC-SH-1A-4")</f>
        <v>BWH-FIC-SH-1A-4</v>
      </c>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t="str">
        <f>IFERROR(__xludf.DUMMYFUNCTION("""COMPUTED_VALUE"""),"BWH-FIC-SH-1A-5")</f>
        <v>BWH-FIC-SH-1A-5</v>
      </c>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t="str">
        <f>IFERROR(__xludf.DUMMYFUNCTION("""COMPUTED_VALUE"""),"BWH-AL-VM-1A")</f>
        <v>BWH-AL-VM-1A</v>
      </c>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t="str">
        <f>IFERROR(__xludf.DUMMYFUNCTION("""COMPUTED_VALUE"""),"BWH-AL-VM-1A-2")</f>
        <v>BWH-AL-VM-1A-2</v>
      </c>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t="str">
        <f>IFERROR(__xludf.DUMMYFUNCTION("""COMPUTED_VALUE"""),"BWH-AL-VM-1A-3")</f>
        <v>BWH-AL-VM-1A-3</v>
      </c>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t="str">
        <f>IFERROR(__xludf.DUMMYFUNCTION("""COMPUTED_VALUE"""),"BWH-AL-VM-1A-4")</f>
        <v>BWH-AL-VM-1A-4</v>
      </c>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t="str">
        <f>IFERROR(__xludf.DUMMYFUNCTION("""COMPUTED_VALUE"""),"BWH-AL-VM-1A-5")</f>
        <v>BWH-AL-VM-1A-5</v>
      </c>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t="str">
        <f>IFERROR(__xludf.DUMMYFUNCTION("""COMPUTED_VALUE"""),"BWH-PH-RAPK-2A")</f>
        <v>BWH-PH-RAPK-2A</v>
      </c>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t="str">
        <f>IFERROR(__xludf.DUMMYFUNCTION("""COMPUTED_VALUE"""),"BWH-PH-RAPK-2A-2")</f>
        <v>BWH-PH-RAPK-2A-2</v>
      </c>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t="str">
        <f>IFERROR(__xludf.DUMMYFUNCTION("""COMPUTED_VALUE"""),"BWH-PH-RAPK-2A-3")</f>
        <v>BWH-PH-RAPK-2A-3</v>
      </c>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t="str">
        <f>IFERROR(__xludf.DUMMYFUNCTION("""COMPUTED_VALUE"""),"BWH-PH-RAPK-2A-4")</f>
        <v>BWH-PH-RAPK-2A-4</v>
      </c>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t="str">
        <f>IFERROR(__xludf.DUMMYFUNCTION("""COMPUTED_VALUE"""),"BWH-PH-RAPK-2A-5")</f>
        <v>BWH-PH-RAPK-2A-5</v>
      </c>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t="str">
        <f>IFERROR(__xludf.DUMMYFUNCTION("""COMPUTED_VALUE"""),"BWH-PH-BMV-1A")</f>
        <v>BWH-PH-BMV-1A</v>
      </c>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t="str">
        <f>IFERROR(__xludf.DUMMYFUNCTION("""COMPUTED_VALUE"""),"BWH-PH-BMV-1A-2")</f>
        <v>BWH-PH-BMV-1A-2</v>
      </c>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t="str">
        <f>IFERROR(__xludf.DUMMYFUNCTION("""COMPUTED_VALUE"""),"BWH-PH-BMV-1A-3")</f>
        <v>BWH-PH-BMV-1A-3</v>
      </c>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t="str">
        <f>IFERROR(__xludf.DUMMYFUNCTION("""COMPUTED_VALUE"""),"BWH-PH-BMV-1A-4")</f>
        <v>BWH-PH-BMV-1A-4</v>
      </c>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t="str">
        <f>IFERROR(__xludf.DUMMYFUNCTION("""COMPUTED_VALUE"""),"BWH-PH-BMV-1A-5")</f>
        <v>BWH-PH-BMV-1A-5</v>
      </c>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t="str">
        <f>IFERROR(__xludf.DUMMYFUNCTION("""COMPUTED_VALUE"""),"BWH-PH-PV-1A")</f>
        <v>BWH-PH-PV-1A</v>
      </c>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t="str">
        <f>IFERROR(__xludf.DUMMYFUNCTION("""COMPUTED_VALUE"""),"BWH-PH-PV-1A-2")</f>
        <v>BWH-PH-PV-1A-2</v>
      </c>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t="str">
        <f>IFERROR(__xludf.DUMMYFUNCTION("""COMPUTED_VALUE"""),"BWH-PH-PV-1A-3")</f>
        <v>BWH-PH-PV-1A-3</v>
      </c>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t="str">
        <f>IFERROR(__xludf.DUMMYFUNCTION("""COMPUTED_VALUE"""),"BWH-PH-PV-1A-4")</f>
        <v>BWH-PH-PV-1A-4</v>
      </c>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t="str">
        <f>IFERROR(__xludf.DUMMYFUNCTION("""COMPUTED_VALUE"""),"BWH-PH-PV-1A-5")</f>
        <v>BWH-PH-PV-1A-5</v>
      </c>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t="str">
        <f>IFERROR(__xludf.DUMMYFUNCTION("""COMPUTED_VALUE"""),"TG-ASP-HU-1A")</f>
        <v>TG-ASP-HU-1A</v>
      </c>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t="str">
        <f>IFERROR(__xludf.DUMMYFUNCTION("""COMPUTED_VALUE"""),"TG-ASP-VI-1A")</f>
        <v>TG-ASP-VI-1A</v>
      </c>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t="str">
        <f>IFERROR(__xludf.DUMMYFUNCTION("""COMPUTED_VALUE"""),"TG-ASP-AG-1A")</f>
        <v>TG-ASP-AG-1A</v>
      </c>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t="str">
        <f>IFERROR(__xludf.DUMMYFUNCTION("""COMPUTED_VALUE"""),"TG-BL-BMF-1A")</f>
        <v>TG-BL-BMF-1A</v>
      </c>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t="str">
        <f>IFERROR(__xludf.DUMMYFUNCTION("""COMPUTED_VALUE"""),"TG-FI-RE-1A")</f>
        <v>TG-FI-RE-1A</v>
      </c>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t="str">
        <f>IFERROR(__xludf.DUMMYFUNCTION("""COMPUTED_VALUE"""),"TG-CT-BM-1A")</f>
        <v>TG-CT-BM-1A</v>
      </c>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t="str">
        <f>IFERROR(__xludf.DUMMYFUNCTION("""COMPUTED_VALUE"""),"TG-MAR-LL-1A")</f>
        <v>TG-MAR-LL-1A</v>
      </c>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t="str">
        <f>IFERROR(__xludf.DUMMYFUNCTION("""COMPUTED_VALUE"""),"TG-MAR-LR-1A")</f>
        <v>TG-MAR-LR-1A</v>
      </c>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t="str">
        <f>IFERROR(__xludf.DUMMYFUNCTION("""COMPUTED_VALUE"""),"TG-HO-CA-1A")</f>
        <v>TG-HO-CA-1A</v>
      </c>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t="str">
        <f>IFERROR(__xludf.DUMMYFUNCTION("""COMPUTED_VALUE"""),"TG-CA-PIN-1A")</f>
        <v>TG-CA-PIN-1A</v>
      </c>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t="str">
        <f>IFERROR(__xludf.DUMMYFUNCTION("""COMPUTED_VALUE"""),"TG-CA-DOT-1A")</f>
        <v>TG-CA-DOT-1A</v>
      </c>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t="str">
        <f>IFERROR(__xludf.DUMMYFUNCTION("""COMPUTED_VALUE"""),"TG-PI-DS-1A")</f>
        <v>TG-PI-DS-1A</v>
      </c>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t="str">
        <f>IFERROR(__xludf.DUMMYFUNCTION("""COMPUTED_VALUE"""),"TG-HYP-PS-1A")</f>
        <v>TG-HYP-PS-1A</v>
      </c>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t="str">
        <f>IFERROR(__xludf.DUMMYFUNCTION("""COMPUTED_VALUE"""),"TG-CHL-SPI-1A")</f>
        <v>TG-CHL-SPI-1A</v>
      </c>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t="str">
        <f>IFERROR(__xludf.DUMMYFUNCTION("""COMPUTED_VALUE"""),"TG-CHA-EL-1A")</f>
        <v>TG-CHA-EL-1A</v>
      </c>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t="str">
        <f>IFERROR(__xludf.DUMMYFUNCTION("""COMPUTED_VALUE"""),"TG-BE-REX-1A")</f>
        <v>TG-BE-REX-1A</v>
      </c>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t="str">
        <f>IFERROR(__xludf.DUMMYFUNCTION("""COMPUTED_VALUE"""),"HS-CHL-SPI-1A")</f>
        <v>HS-CHL-SPI-1A</v>
      </c>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t="str">
        <f>IFERROR(__xludf.DUMMYFUNCTION("""COMPUTED_VALUE"""),"HS-CHL-SPI-1A-2")</f>
        <v>HS-CHL-SPI-1A-2</v>
      </c>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t="str">
        <f>IFERROR(__xludf.DUMMYFUNCTION("""COMPUTED_VALUE"""),"BWH-PO-PAJ-2A")</f>
        <v>BWH-PO-PAJ-2A</v>
      </c>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t="str">
        <f>IFERROR(__xludf.DUMMYFUNCTION("""COMPUTED_VALUE"""),"BWH-PO-PAJ-2A-2")</f>
        <v>BWH-PO-PAJ-2A-2</v>
      </c>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t="str">
        <f>IFERROR(__xludf.DUMMYFUNCTION("""COMPUTED_VALUE"""),"BWH-PO-PAJ-2A-3")</f>
        <v>BWH-PO-PAJ-2A-3</v>
      </c>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t="str">
        <f>IFERROR(__xludf.DUMMYFUNCTION("""COMPUTED_VALUE"""),"BWH-PO-PAJ-2A-4")</f>
        <v>BWH-PO-PAJ-2A-4</v>
      </c>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t="str">
        <f>IFERROR(__xludf.DUMMYFUNCTION("""COMPUTED_VALUE"""),"BWH-PO-PAJ-2A-5")</f>
        <v>BWH-PO-PAJ-2A-5</v>
      </c>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t="str">
        <f>IFERROR(__xludf.DUMMYFUNCTION("""COMPUTED_VALUE"""),"BWH-MA-AD-1A")</f>
        <v>BWH-MA-AD-1A</v>
      </c>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t="str">
        <f>IFERROR(__xludf.DUMMYFUNCTION("""COMPUTED_VALUE"""),"BWH-MA-AD-1A-2")</f>
        <v>BWH-MA-AD-1A-2</v>
      </c>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t="str">
        <f>IFERROR(__xludf.DUMMYFUNCTION("""COMPUTED_VALUE"""),"BWH-MA-AD-1A-3")</f>
        <v>BWH-MA-AD-1A-3</v>
      </c>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t="str">
        <f>IFERROR(__xludf.DUMMYFUNCTION("""COMPUTED_VALUE"""),"BWH-MA-AD-1A-4")</f>
        <v>BWH-MA-AD-1A-4</v>
      </c>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t="str">
        <f>IFERROR(__xludf.DUMMYFUNCTION("""COMPUTED_VALUE"""),"BWH-MA-AD-1A-5")</f>
        <v>BWH-MA-AD-1A-5</v>
      </c>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t="str">
        <f>IFERROR(__xludf.DUMMYFUNCTION("""COMPUTED_VALUE"""),"BWH-CA-FW-1A")</f>
        <v>BWH-CA-FW-1A</v>
      </c>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t="str">
        <f>IFERROR(__xludf.DUMMYFUNCTION("""COMPUTED_VALUE"""),"BWH-CA-FW-1A-2")</f>
        <v>BWH-CA-FW-1A-2</v>
      </c>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t="str">
        <f>IFERROR(__xludf.DUMMYFUNCTION("""COMPUTED_VALUE"""),"BWH-CA-FW-1A-3")</f>
        <v>BWH-CA-FW-1A-3</v>
      </c>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t="str">
        <f>IFERROR(__xludf.DUMMYFUNCTION("""COMPUTED_VALUE"""),"BWH-CA-FW-1A-4")</f>
        <v>BWH-CA-FW-1A-4</v>
      </c>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t="str">
        <f>IFERROR(__xludf.DUMMYFUNCTION("""COMPUTED_VALUE"""),"BWH-CA-FW-1A-5")</f>
        <v>BWH-CA-FW-1A-5</v>
      </c>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t="str">
        <f>IFERROR(__xludf.DUMMYFUNCTION("""COMPUTED_VALUE"""),"BWH-PH-BRL-1A")</f>
        <v>BWH-PH-BRL-1A</v>
      </c>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t="str">
        <f>IFERROR(__xludf.DUMMYFUNCTION("""COMPUTED_VALUE"""),"BWH-PH-BRL-1A-2")</f>
        <v>BWH-PH-BRL-1A-2</v>
      </c>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t="str">
        <f>IFERROR(__xludf.DUMMYFUNCTION("""COMPUTED_VALUE"""),"BWH-PH-BRL-1A-3")</f>
        <v>BWH-PH-BRL-1A-3</v>
      </c>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t="str">
        <f>IFERROR(__xludf.DUMMYFUNCTION("""COMPUTED_VALUE"""),"BWH-PH-BRL-1A-4")</f>
        <v>BWH-PH-BRL-1A-4</v>
      </c>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t="str">
        <f>IFERROR(__xludf.DUMMYFUNCTION("""COMPUTED_VALUE"""),"BWH-PH-BRL-1A-5")</f>
        <v>BWH-PH-BRL-1A-5</v>
      </c>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t="str">
        <f>IFERROR(__xludf.DUMMYFUNCTION("""COMPUTED_VALUE"""),"BWH-CA-MA-1A")</f>
        <v>BWH-CA-MA-1A</v>
      </c>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t="str">
        <f>IFERROR(__xludf.DUMMYFUNCTION("""COMPUTED_VALUE"""),"BWH-CA-MA-1A-2")</f>
        <v>BWH-CA-MA-1A-2</v>
      </c>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t="str">
        <f>IFERROR(__xludf.DUMMYFUNCTION("""COMPUTED_VALUE"""),"BWH-CA-MA-1A-3")</f>
        <v>BWH-CA-MA-1A-3</v>
      </c>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t="str">
        <f>IFERROR(__xludf.DUMMYFUNCTION("""COMPUTED_VALUE"""),"BWH-CA-MA-1A-4")</f>
        <v>BWH-CA-MA-1A-4</v>
      </c>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t="str">
        <f>IFERROR(__xludf.DUMMYFUNCTION("""COMPUTED_VALUE"""),"BWH-CA-MA-1A-5")</f>
        <v>BWH-CA-MA-1A-5</v>
      </c>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t="str">
        <f>IFERROR(__xludf.DUMMYFUNCTION("""COMPUTED_VALUE"""),"BWH-ST-TR-1A")</f>
        <v>BWH-ST-TR-1A</v>
      </c>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t="str">
        <f>IFERROR(__xludf.DUMMYFUNCTION("""COMPUTED_VALUE"""),"BWH-ST-TR-1A-2")</f>
        <v>BWH-ST-TR-1A-2</v>
      </c>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t="str">
        <f>IFERROR(__xludf.DUMMYFUNCTION("""COMPUTED_VALUE"""),"BWH-ST-TR-1A-3")</f>
        <v>BWH-ST-TR-1A-3</v>
      </c>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t="str">
        <f>IFERROR(__xludf.DUMMYFUNCTION("""COMPUTED_VALUE"""),"BWH-ST-TR-1A-4")</f>
        <v>BWH-ST-TR-1A-4</v>
      </c>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t="str">
        <f>IFERROR(__xludf.DUMMYFUNCTION("""COMPUTED_VALUE"""),"BWH-ST-TR-1A-5")</f>
        <v>BWH-ST-TR-1A-5</v>
      </c>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t="str">
        <f>IFERROR(__xludf.DUMMYFUNCTION("""COMPUTED_VALUE"""),"BWH-ST-TR-1A-6")</f>
        <v>BWH-ST-TR-1A-6</v>
      </c>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t="str">
        <f>IFERROR(__xludf.DUMMYFUNCTION("""COMPUTED_VALUE"""),"BWH-ST-TR-1A-7")</f>
        <v>BWH-ST-TR-1A-7</v>
      </c>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t="str">
        <f>IFERROR(__xludf.DUMMYFUNCTION("""COMPUTED_VALUE"""),"BWH-ST-TR-1A-8")</f>
        <v>BWH-ST-TR-1A-8</v>
      </c>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t="str">
        <f>IFERROR(__xludf.DUMMYFUNCTION("""COMPUTED_VALUE"""),"BWH-HO-KQ-1A")</f>
        <v>BWH-HO-KQ-1A</v>
      </c>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t="str">
        <f>IFERROR(__xludf.DUMMYFUNCTION("""COMPUTED_VALUE"""),"BWH-HO-KQ-1A-2")</f>
        <v>BWH-HO-KQ-1A-2</v>
      </c>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t="str">
        <f>IFERROR(__xludf.DUMMYFUNCTION("""COMPUTED_VALUE"""),"BWH-HO-KQ-1A-3")</f>
        <v>BWH-HO-KQ-1A-3</v>
      </c>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t="str">
        <f>IFERROR(__xludf.DUMMYFUNCTION("""COMPUTED_VALUE"""),"BWH-HO-KQ-1A-4")</f>
        <v>BWH-HO-KQ-1A-4</v>
      </c>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t="str">
        <f>IFERROR(__xludf.DUMMYFUNCTION("""COMPUTED_VALUE"""),"BWH-HO-KQ-1A-5")</f>
        <v>BWH-HO-KQ-1A-5</v>
      </c>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t="str">
        <f>IFERROR(__xludf.DUMMYFUNCTION("""COMPUTED_VALUE"""),"BPF-SE-SOP-2A")</f>
        <v>BPF-SE-SOP-2A</v>
      </c>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t="str">
        <f>IFERROR(__xludf.DUMMYFUNCTION("""COMPUTED_VALUE"""),"BPF-SE-SOP-2A-2")</f>
        <v>BPF-SE-SOP-2A-2</v>
      </c>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t="str">
        <f>IFERROR(__xludf.DUMMYFUNCTION("""COMPUTED_VALUE"""),"BPF-SE-SOP-2A-3")</f>
        <v>BPF-SE-SOP-2A-3</v>
      </c>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t="str">
        <f>IFERROR(__xludf.DUMMYFUNCTION("""COMPUTED_VALUE"""),"BPF-SE-SOP-2A-4")</f>
        <v>BPF-SE-SOP-2A-4</v>
      </c>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t="str">
        <f>IFERROR(__xludf.DUMMYFUNCTION("""COMPUTED_VALUE"""),"BPF-SE-SOP-2A-5")</f>
        <v>BPF-SE-SOP-2A-5</v>
      </c>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t="str">
        <f>IFERROR(__xludf.DUMMYFUNCTION("""COMPUTED_VALUE"""),"BPF-SE-SOP-2A-6")</f>
        <v>BPF-SE-SOP-2A-6</v>
      </c>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t="str">
        <f>IFERROR(__xludf.DUMMYFUNCTION("""COMPUTED_VALUE"""),"BPF-SE-SOP-2A-7")</f>
        <v>BPF-SE-SOP-2A-7</v>
      </c>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t="str">
        <f>IFERROR(__xludf.DUMMYFUNCTION("""COMPUTED_VALUE"""),"BPF-SE-VSP-1A")</f>
        <v>BPF-SE-VSP-1A</v>
      </c>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t="str">
        <f>IFERROR(__xludf.DUMMYFUNCTION("""COMPUTED_VALUE"""),"BPF-SE-VSP-1A-2")</f>
        <v>BPF-SE-VSP-1A-2</v>
      </c>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t="str">
        <f>IFERROR(__xludf.DUMMYFUNCTION("""COMPUTED_VALUE"""),"BPF-SE-VSP-1A-3")</f>
        <v>BPF-SE-VSP-1A-3</v>
      </c>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t="str">
        <f>IFERROR(__xludf.DUMMYFUNCTION("""COMPUTED_VALUE"""),"BPF-SE-VSP-1A-4")</f>
        <v>BPF-SE-VSP-1A-4</v>
      </c>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t="str">
        <f>IFERROR(__xludf.DUMMYFUNCTION("""COMPUTED_VALUE"""),"BPF-SE-VSP-1A-5")</f>
        <v>BPF-SE-VSP-1A-5</v>
      </c>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t="str">
        <f>IFERROR(__xludf.DUMMYFUNCTION("""COMPUTED_VALUE"""),"BPF-SE-VSP-1A-6")</f>
        <v>BPF-SE-VSP-1A-6</v>
      </c>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t="str">
        <f>IFERROR(__xludf.DUMMYFUNCTION("""COMPUTED_VALUE"""),"BPF-CE-SOH-2A")</f>
        <v>BPF-CE-SOH-2A</v>
      </c>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t="str">
        <f>IFERROR(__xludf.DUMMYFUNCTION("""COMPUTED_VALUE"""),"BPF-CE-SOH-2A-2")</f>
        <v>BPF-CE-SOH-2A-2</v>
      </c>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t="str">
        <f>IFERROR(__xludf.DUMMYFUNCTION("""COMPUTED_VALUE"""),"BPF-CE-SOH-2A-3")</f>
        <v>BPF-CE-SOH-2A-3</v>
      </c>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t="str">
        <f>IFERROR(__xludf.DUMMYFUNCTION("""COMPUTED_VALUE"""),"BPF-CE-SOH-2A-4")</f>
        <v>BPF-CE-SOH-2A-4</v>
      </c>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t="str">
        <f>IFERROR(__xludf.DUMMYFUNCTION("""COMPUTED_VALUE"""),"BPF-CE-SOH-2A-5")</f>
        <v>BPF-CE-SOH-2A-5</v>
      </c>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t="str">
        <f>IFERROR(__xludf.DUMMYFUNCTION("""COMPUTED_VALUE"""),"BPF-CE-VSH-1A")</f>
        <v>BPF-CE-VSH-1A</v>
      </c>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t="str">
        <f>IFERROR(__xludf.DUMMYFUNCTION("""COMPUTED_VALUE"""),"BPF-CE-VSH-1A-2")</f>
        <v>BPF-CE-VSH-1A-2</v>
      </c>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t="str">
        <f>IFERROR(__xludf.DUMMYFUNCTION("""COMPUTED_VALUE"""),"BPF-CE-VSH-1A-3")</f>
        <v>BPF-CE-VSH-1A-3</v>
      </c>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t="str">
        <f>IFERROR(__xludf.DUMMYFUNCTION("""COMPUTED_VALUE"""),"BPF-SE-SOT-1A")</f>
        <v>BPF-SE-SOT-1A</v>
      </c>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t="str">
        <f>IFERROR(__xludf.DUMMYFUNCTION("""COMPUTED_VALUE"""),"BPF-SE-SOT-1A-2")</f>
        <v>BPF-SE-SOT-1A-2</v>
      </c>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t="str">
        <f>IFERROR(__xludf.DUMMYFUNCTION("""COMPUTED_VALUE"""),"BPF-SE-SOT-1A-3")</f>
        <v>BPF-SE-SOT-1A-3</v>
      </c>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t="str">
        <f>IFERROR(__xludf.DUMMYFUNCTION("""COMPUTED_VALUE"""),"WM-PH-SSW-1A")</f>
        <v>WM-PH-SSW-1A</v>
      </c>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t="str">
        <f>IFERROR(__xludf.DUMMYFUNCTION("""COMPUTED_VALUE"""),"IST-AE-LP-1A")</f>
        <v>IST-AE-LP-1A</v>
      </c>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t="str">
        <f>IFERROR(__xludf.DUMMYFUNCTION("""COMPUTED_VALUE"""),"IST-BE-SC-1A")</f>
        <v>IST-BE-SC-1A</v>
      </c>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t="str">
        <f>IFERROR(__xludf.DUMMYFUNCTION("""COMPUTED_VALUE"""),"IST-PO-MQ-1A")</f>
        <v>IST-PO-MQ-1A</v>
      </c>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t="str">
        <f>IFERROR(__xludf.DUMMYFUNCTION("""COMPUTED_VALUE"""),"IST-PH-WP-1A")</f>
        <v>IST-PH-WP-1A</v>
      </c>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t="str">
        <f>IFERROR(__xludf.DUMMYFUNCTION("""COMPUTED_VALUE"""),"IST-PH-RFV-1A")</f>
        <v>IST-PH-RFV-1A</v>
      </c>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t="str">
        <f>IFERROR(__xludf.DUMMYFUNCTION("""COMPUTED_VALUE"""),"TLC-BE-GI-1A")</f>
        <v>TLC-BE-GI-1A</v>
      </c>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t="str">
        <f>IFERROR(__xludf.DUMMYFUNCTION("""COMPUTED_VALUE"""),"TLC-PH-BXP-1A")</f>
        <v>TLC-PH-BXP-1A</v>
      </c>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t="str">
        <f>IFERROR(__xludf.DUMMYFUNCTION("""COMPUTED_VALUE"""),"TLC-PH-GCN-1A")</f>
        <v>TLC-PH-GCN-1A</v>
      </c>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t="str">
        <f>IFERROR(__xludf.DUMMYFUNCTION("""COMPUTED_VALUE"""),"TLC-BE-BLM-1A")</f>
        <v>TLC-BE-BLM-1A</v>
      </c>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t="str">
        <f>IFERROR(__xludf.DUMMYFUNCTION("""COMPUTED_VALUE"""),"TLC-BE-BR-1A")</f>
        <v>TLC-BE-BR-1A</v>
      </c>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t="str">
        <f>IFERROR(__xludf.DUMMYFUNCTION("""COMPUTED_VALUE"""),"TLC-BE-MAC-1A")</f>
        <v>TLC-BE-MAC-1A</v>
      </c>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t="str">
        <f>IFERROR(__xludf.DUMMYFUNCTION("""COMPUTED_VALUE"""),"TLC-BE-SLC-1A")</f>
        <v>TLC-BE-SLC-1A</v>
      </c>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t="str">
        <f>IFERROR(__xludf.DUMMYFUNCTION("""COMPUTED_VALUE"""),"SS-PIN-BU-1A")</f>
        <v>SS-PIN-BU-1A</v>
      </c>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t="str">
        <f>IFERROR(__xludf.DUMMYFUNCTION("""COMPUTED_VALUE"""),"AGP-PH-CHE-1A")</f>
        <v>AGP-PH-CHE-1A</v>
      </c>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t="str">
        <f>IFERROR(__xludf.DUMMYFUNCTION("""COMPUTED_VALUE"""),"AGP-PH-CHE-1A-2")</f>
        <v>AGP-PH-CHE-1A-2</v>
      </c>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t="str">
        <f>IFERROR(__xludf.DUMMYFUNCTION("""COMPUTED_VALUE"""),"AGP-PH-SD-1A")</f>
        <v>AGP-PH-SD-1A</v>
      </c>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t="str">
        <f>IFERROR(__xludf.DUMMYFUNCTION("""COMPUTED_VALUE"""),"AGP-PH-SD-1A-2")</f>
        <v>AGP-PH-SD-1A-2</v>
      </c>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t="str">
        <f>IFERROR(__xludf.DUMMYFUNCTION("""COMPUTED_VALUE"""),"AGP-SYN-EC-1A")</f>
        <v>AGP-SYN-EC-1A</v>
      </c>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t="str">
        <f>IFERROR(__xludf.DUMMYFUNCTION("""COMPUTED_VALUE"""),"AGP-PH-GX-1A")</f>
        <v>AGP-PH-GX-1A</v>
      </c>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t="str">
        <f>IFERROR(__xludf.DUMMYFUNCTION("""COMPUTED_VALUE"""),"AGP-PH-GX-1A-2")</f>
        <v>AGP-PH-GX-1A-2</v>
      </c>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t="str">
        <f>IFERROR(__xludf.DUMMYFUNCTION("""COMPUTED_VALUE"""),"AGP-PH-ROF-1A")</f>
        <v>AGP-PH-ROF-1A</v>
      </c>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t="str">
        <f>IFERROR(__xludf.DUMMYFUNCTION("""COMPUTED_VALUE"""),"AGP-PH-ROF-1A-2")</f>
        <v>AGP-PH-ROF-1A-2</v>
      </c>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t="str">
        <f>IFERROR(__xludf.DUMMYFUNCTION("""COMPUTED_VALUE"""),"SS-HO-CO-1A")</f>
        <v>SS-HO-CO-1A</v>
      </c>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t="str">
        <f>IFERROR(__xludf.DUMMYFUNCTION("""COMPUTED_VALUE"""),"SS-HO-WV-1A-5")</f>
        <v>SS-HO-WV-1A-5</v>
      </c>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t="str">
        <f>IFERROR(__xludf.DUMMYFUNCTION("""COMPUTED_VALUE"""),"SS-HO-LI-1A")</f>
        <v>SS-HO-LI-1A</v>
      </c>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t="str">
        <f>IFERROR(__xludf.DUMMYFUNCTION("""COMPUTED_VALUE"""),"SS-HO-PU-1A")</f>
        <v>SS-HO-PU-1A</v>
      </c>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t="str">
        <f>IFERROR(__xludf.DUMMYFUNCTION("""COMPUTED_VALUE"""),"SS-HO-OB-1A")</f>
        <v>SS-HO-OB-1A</v>
      </c>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t="str">
        <f>IFERROR(__xludf.DUMMYFUNCTION("""COMPUTED_VALUE"""),"SS-PIN-BU-1A-2")</f>
        <v>SS-PIN-BU-1A-2</v>
      </c>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t="str">
        <f>IFERROR(__xludf.DUMMYFUNCTION("""COMPUTED_VALUE"""),"SS-PIN-BU-1A-3")</f>
        <v>SS-PIN-BU-1A-3</v>
      </c>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t="str">
        <f>IFERROR(__xludf.DUMMYFUNCTION("""COMPUTED_VALUE"""),"SS-PIN-BU-1A-4")</f>
        <v>SS-PIN-BU-1A-4</v>
      </c>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t="str">
        <f>IFERROR(__xludf.DUMMYFUNCTION("""COMPUTED_VALUE"""),"SS-PIN-BU-1A-5")</f>
        <v>SS-PIN-BU-1A-5</v>
      </c>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t="str">
        <f>IFERROR(__xludf.DUMMYFUNCTION("""COMPUTED_VALUE"""),"SS-PIN-BU-1A-6")</f>
        <v>SS-PIN-BU-1A-6</v>
      </c>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t="str">
        <f>IFERROR(__xludf.DUMMYFUNCTION("""COMPUTED_VALUE"""),"SS-PIN-BU-1A-7")</f>
        <v>SS-PIN-BU-1A-7</v>
      </c>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t="str">
        <f>IFERROR(__xludf.DUMMYFUNCTION("""COMPUTED_VALUE"""),"SS-PIN-BU-1A-8")</f>
        <v>SS-PIN-BU-1A-8</v>
      </c>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t="str">
        <f>IFERROR(__xludf.DUMMYFUNCTION("""COMPUTED_VALUE"""),"SS-PIN-BU-1A-9")</f>
        <v>SS-PIN-BU-1A-9</v>
      </c>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t="str">
        <f>IFERROR(__xludf.DUMMYFUNCTION("""COMPUTED_VALUE"""),"SS-PIN-BU-1A-10")</f>
        <v>SS-PIN-BU-1A-10</v>
      </c>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t="str">
        <f>IFERROR(__xludf.DUMMYFUNCTION("""COMPUTED_VALUE"""),"SS-PIN-BU-1A-11")</f>
        <v>SS-PIN-BU-1A-11</v>
      </c>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t="str">
        <f>IFERROR(__xludf.DUMMYFUNCTION("""COMPUTED_VALUE"""),"SS-PIN-BU-1A-12")</f>
        <v>SS-PIN-BU-1A-12</v>
      </c>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t="str">
        <f>IFERROR(__xludf.DUMMYFUNCTION("""COMPUTED_VALUE"""),"SS-PIN-BU-1A-13")</f>
        <v>SS-PIN-BU-1A-13</v>
      </c>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t="str">
        <f>IFERROR(__xludf.DUMMYFUNCTION("""COMPUTED_VALUE"""),"SS-PIN-BU-1A-14")</f>
        <v>SS-PIN-BU-1A-14</v>
      </c>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t="str">
        <f>IFERROR(__xludf.DUMMYFUNCTION("""COMPUTED_VALUE"""),"SS-PIN-BU-1A-15")</f>
        <v>SS-PIN-BU-1A-15</v>
      </c>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t="str">
        <f>IFERROR(__xludf.DUMMYFUNCTION("""COMPUTED_VALUE"""),"SS-PIN-BU-1A-16")</f>
        <v>SS-PIN-BU-1A-16</v>
      </c>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t="str">
        <f>IFERROR(__xludf.DUMMYFUNCTION("""COMPUTED_VALUE"""),"SS-PIN-BU-1A-17")</f>
        <v>SS-PIN-BU-1A-17</v>
      </c>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t="str">
        <f>IFERROR(__xludf.DUMMYFUNCTION("""COMPUTED_VALUE"""),"SS-PIN-BU-1A-18")</f>
        <v>SS-PIN-BU-1A-18</v>
      </c>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t="str">
        <f>IFERROR(__xludf.DUMMYFUNCTION("""COMPUTED_VALUE"""),"SS-PIN-BU-1A-19")</f>
        <v>SS-PIN-BU-1A-19</v>
      </c>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t="str">
        <f>IFERROR(__xludf.DUMMYFUNCTION("""COMPUTED_VALUE"""),"SS-PIN-BU-1A-20")</f>
        <v>SS-PIN-BU-1A-20</v>
      </c>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t="str">
        <f>IFERROR(__xludf.DUMMYFUNCTION("""COMPUTED_VALUE"""),"SS-PIN-BU-1A-21")</f>
        <v>SS-PIN-BU-1A-21</v>
      </c>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t="str">
        <f>IFERROR(__xludf.DUMMYFUNCTION("""COMPUTED_VALUE"""),"SS-PIN-BU-1A-22")</f>
        <v>SS-PIN-BU-1A-22</v>
      </c>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t="str">
        <f>IFERROR(__xludf.DUMMYFUNCTION("""COMPUTED_VALUE"""),"SS-PIN-BU-1A-23")</f>
        <v>SS-PIN-BU-1A-23</v>
      </c>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t="str">
        <f>IFERROR(__xludf.DUMMYFUNCTION("""COMPUTED_VALUE"""),"SS-PIN-BU-1A-24")</f>
        <v>SS-PIN-BU-1A-24</v>
      </c>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t="str">
        <f>IFERROR(__xludf.DUMMYFUNCTION("""COMPUTED_VALUE"""),"SS-PIN-BU-1A-25")</f>
        <v>SS-PIN-BU-1A-25</v>
      </c>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t="str">
        <f>IFERROR(__xludf.DUMMYFUNCTION("""COMPUTED_VALUE"""),"SS-PIN-BU-1A-26")</f>
        <v>SS-PIN-BU-1A-26</v>
      </c>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t="str">
        <f>IFERROR(__xludf.DUMMYFUNCTION("""COMPUTED_VALUE"""),"SS-PIN-BU-1A-27")</f>
        <v>SS-PIN-BU-1A-27</v>
      </c>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t="str">
        <f>IFERROR(__xludf.DUMMYFUNCTION("""COMPUTED_VALUE"""),"SS-PIN-BU-1A-28")</f>
        <v>SS-PIN-BU-1A-28</v>
      </c>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t="str">
        <f>IFERROR(__xludf.DUMMYFUNCTION("""COMPUTED_VALUE"""),"SS-PIN-BU-1A-29")</f>
        <v>SS-PIN-BU-1A-29</v>
      </c>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t="str">
        <f>IFERROR(__xludf.DUMMYFUNCTION("""COMPUTED_VALUE"""),"SS-PIN-BU-1A-30")</f>
        <v>SS-PIN-BU-1A-30</v>
      </c>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t="str">
        <f>IFERROR(__xludf.DUMMYFUNCTION("""COMPUTED_VALUE"""),"SS-PIN-BU-1A-31")</f>
        <v>SS-PIN-BU-1A-31</v>
      </c>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t="str">
        <f>IFERROR(__xludf.DUMMYFUNCTION("""COMPUTED_VALUE"""),"SS-PIN-BU-1A-32")</f>
        <v>SS-PIN-BU-1A-32</v>
      </c>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t="str">
        <f>IFERROR(__xludf.DUMMYFUNCTION("""COMPUTED_VALUE"""),"SS-PIN-BU-1A-33")</f>
        <v>SS-PIN-BU-1A-33</v>
      </c>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t="str">
        <f>IFERROR(__xludf.DUMMYFUNCTION("""COMPUTED_VALUE"""),"SS-PIN-BU-1A-34")</f>
        <v>SS-PIN-BU-1A-34</v>
      </c>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t="str">
        <f>IFERROR(__xludf.DUMMYFUNCTION("""COMPUTED_VALUE"""),"SS-PIN-BU-1A-35")</f>
        <v>SS-PIN-BU-1A-35</v>
      </c>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t="str">
        <f>IFERROR(__xludf.DUMMYFUNCTION("""COMPUTED_VALUE"""),"SS-PIN-BU-1A-36")</f>
        <v>SS-PIN-BU-1A-36</v>
      </c>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t="str">
        <f>IFERROR(__xludf.DUMMYFUNCTION("""COMPUTED_VALUE"""),"SS-PIN-BU-1A-37")</f>
        <v>SS-PIN-BU-1A-37</v>
      </c>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t="str">
        <f>IFERROR(__xludf.DUMMYFUNCTION("""COMPUTED_VALUE"""),"SS-PIN-BU-1A-38")</f>
        <v>SS-PIN-BU-1A-38</v>
      </c>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t="str">
        <f>IFERROR(__xludf.DUMMYFUNCTION("""COMPUTED_VALUE"""),"SS-PIN-BU-1A-39")</f>
        <v>SS-PIN-BU-1A-39</v>
      </c>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t="str">
        <f>IFERROR(__xludf.DUMMYFUNCTION("""COMPUTED_VALUE"""),"SS-PIN-BU-1A-40")</f>
        <v>SS-PIN-BU-1A-40</v>
      </c>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t="str">
        <f>IFERROR(__xludf.DUMMYFUNCTION("""COMPUTED_VALUE"""),"SS-PIN-BU-1A-41")</f>
        <v>SS-PIN-BU-1A-41</v>
      </c>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t="str">
        <f>IFERROR(__xludf.DUMMYFUNCTION("""COMPUTED_VALUE"""),"SS-PIN-BU-1A-42")</f>
        <v>SS-PIN-BU-1A-42</v>
      </c>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t="str">
        <f>IFERROR(__xludf.DUMMYFUNCTION("""COMPUTED_VALUE"""),"SS-PIN-BU-1A-43")</f>
        <v>SS-PIN-BU-1A-43</v>
      </c>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t="str">
        <f>IFERROR(__xludf.DUMMYFUNCTION("""COMPUTED_VALUE"""),"SS-PIN-BU-1A-44")</f>
        <v>SS-PIN-BU-1A-44</v>
      </c>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t="str">
        <f>IFERROR(__xludf.DUMMYFUNCTION("""COMPUTED_VALUE"""),"SS-PIN-BU-1A-45")</f>
        <v>SS-PIN-BU-1A-45</v>
      </c>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t="str">
        <f>IFERROR(__xludf.DUMMYFUNCTION("""COMPUTED_VALUE"""),"SS-HO-CO-1A-2")</f>
        <v>SS-HO-CO-1A-2</v>
      </c>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t="str">
        <f>IFERROR(__xludf.DUMMYFUNCTION("""COMPUTED_VALUE"""),"SS-HO-CO-1A-3")</f>
        <v>SS-HO-CO-1A-3</v>
      </c>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t="str">
        <f>IFERROR(__xludf.DUMMYFUNCTION("""COMPUTED_VALUE"""),"SS-HO-CO-1A-4")</f>
        <v>SS-HO-CO-1A-4</v>
      </c>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t="str">
        <f>IFERROR(__xludf.DUMMYFUNCTION("""COMPUTED_VALUE"""),"SS-HO-CO-1A-5")</f>
        <v>SS-HO-CO-1A-5</v>
      </c>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t="str">
        <f>IFERROR(__xludf.DUMMYFUNCTION("""COMPUTED_VALUE"""),"SS-HO-CO-1A-6")</f>
        <v>SS-HO-CO-1A-6</v>
      </c>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t="str">
        <f>IFERROR(__xludf.DUMMYFUNCTION("""COMPUTED_VALUE"""),"SS-HO-CO-1A-7")</f>
        <v>SS-HO-CO-1A-7</v>
      </c>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t="str">
        <f>IFERROR(__xludf.DUMMYFUNCTION("""COMPUTED_VALUE"""),"SS-HO-CO-1A-8")</f>
        <v>SS-HO-CO-1A-8</v>
      </c>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t="str">
        <f>IFERROR(__xludf.DUMMYFUNCTION("""COMPUTED_VALUE"""),"SS-HO-CO-1A-9")</f>
        <v>SS-HO-CO-1A-9</v>
      </c>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t="str">
        <f>IFERROR(__xludf.DUMMYFUNCTION("""COMPUTED_VALUE"""),"SS-HO-CO-1A-10")</f>
        <v>SS-HO-CO-1A-10</v>
      </c>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t="str">
        <f>IFERROR(__xludf.DUMMYFUNCTION("""COMPUTED_VALUE"""),"SS-HO-CO-1A-11")</f>
        <v>SS-HO-CO-1A-11</v>
      </c>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t="str">
        <f>IFERROR(__xludf.DUMMYFUNCTION("""COMPUTED_VALUE"""),"SS-HO-CO-1A-12")</f>
        <v>SS-HO-CO-1A-12</v>
      </c>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t="str">
        <f>IFERROR(__xludf.DUMMYFUNCTION("""COMPUTED_VALUE"""),"SS-HO-CO-1A-13")</f>
        <v>SS-HO-CO-1A-13</v>
      </c>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t="str">
        <f>IFERROR(__xludf.DUMMYFUNCTION("""COMPUTED_VALUE"""),"SS-HO-CO-1A-14")</f>
        <v>SS-HO-CO-1A-14</v>
      </c>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t="str">
        <f>IFERROR(__xludf.DUMMYFUNCTION("""COMPUTED_VALUE"""),"SS-HO-CO-1A-15")</f>
        <v>SS-HO-CO-1A-15</v>
      </c>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t="str">
        <f>IFERROR(__xludf.DUMMYFUNCTION("""COMPUTED_VALUE"""),"AGP-SYN-EC-1A-2")</f>
        <v>AGP-SYN-EC-1A-2</v>
      </c>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t="str">
        <f>IFERROR(__xludf.DUMMYFUNCTION("""COMPUTED_VALUE"""),"HS-BE-AW-CU-6")</f>
        <v>HS-BE-AW-CU-6</v>
      </c>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t="str">
        <f>IFERROR(__xludf.DUMMYFUNCTION("""COMPUTED_VALUE"""),"HS-PO-GO-CU-6")</f>
        <v>HS-PO-GO-CU-6</v>
      </c>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t="str">
        <f>IFERROR(__xludf.DUMMYFUNCTION("""COMPUTED_VALUE"""),"SS-HO-OB-1A-2")</f>
        <v>SS-HO-OB-1A-2</v>
      </c>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t="str">
        <f>IFERROR(__xludf.DUMMYFUNCTION("""COMPUTED_VALUE"""),"SS-HO-OB-1A-3")</f>
        <v>SS-HO-OB-1A-3</v>
      </c>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t="str">
        <f>IFERROR(__xludf.DUMMYFUNCTION("""COMPUTED_VALUE"""),"SS-HO-OB-1A-4")</f>
        <v>SS-HO-OB-1A-4</v>
      </c>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t="str">
        <f>IFERROR(__xludf.DUMMYFUNCTION("""COMPUTED_VALUE"""),"SS-HO-OB-1A-5")</f>
        <v>SS-HO-OB-1A-5</v>
      </c>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t="str">
        <f>IFERROR(__xludf.DUMMYFUNCTION("""COMPUTED_VALUE"""),"SS-HO-PU-1A-2")</f>
        <v>SS-HO-PU-1A-2</v>
      </c>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t="str">
        <f>IFERROR(__xludf.DUMMYFUNCTION("""COMPUTED_VALUE"""),"SS-HO-PU-1A-3")</f>
        <v>SS-HO-PU-1A-3</v>
      </c>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t="str">
        <f>IFERROR(__xludf.DUMMYFUNCTION("""COMPUTED_VALUE"""),"SS-HO-PU-1A-4")</f>
        <v>SS-HO-PU-1A-4</v>
      </c>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t="str">
        <f>IFERROR(__xludf.DUMMYFUNCTION("""COMPUTED_VALUE"""),"SS-HO-PU-1A-5")</f>
        <v>SS-HO-PU-1A-5</v>
      </c>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t="str">
        <f>IFERROR(__xludf.DUMMYFUNCTION("""COMPUTED_VALUE"""),"SS-HO-PU-1A-6")</f>
        <v>SS-HO-PU-1A-6</v>
      </c>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t="str">
        <f>IFERROR(__xludf.DUMMYFUNCTION("""COMPUTED_VALUE"""),"SS-HO-PU-1A-7")</f>
        <v>SS-HO-PU-1A-7</v>
      </c>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t="str">
        <f>IFERROR(__xludf.DUMMYFUNCTION("""COMPUTED_VALUE"""),"SS-HO-PU-1A-8")</f>
        <v>SS-HO-PU-1A-8</v>
      </c>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t="str">
        <f>IFERROR(__xludf.DUMMYFUNCTION("""COMPUTED_VALUE"""),"SS-HO-PU-1A-9")</f>
        <v>SS-HO-PU-1A-9</v>
      </c>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t="str">
        <f>IFERROR(__xludf.DUMMYFUNCTION("""COMPUTED_VALUE"""),"SS-HO-PU-1A-10")</f>
        <v>SS-HO-PU-1A-10</v>
      </c>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t="str">
        <f>IFERROR(__xludf.DUMMYFUNCTION("""COMPUTED_VALUE"""),"SS-HO-LI-1A-2")</f>
        <v>SS-HO-LI-1A-2</v>
      </c>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t="str">
        <f>IFERROR(__xludf.DUMMYFUNCTION("""COMPUTED_VALUE"""),"SS-HO-LI-1A-3")</f>
        <v>SS-HO-LI-1A-3</v>
      </c>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t="str">
        <f>IFERROR(__xludf.DUMMYFUNCTION("""COMPUTED_VALUE"""),"SS-HO-LI-1A-4")</f>
        <v>SS-HO-LI-1A-4</v>
      </c>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t="str">
        <f>IFERROR(__xludf.DUMMYFUNCTION("""COMPUTED_VALUE"""),"SS-HO-LI-1A-5")</f>
        <v>SS-HO-LI-1A-5</v>
      </c>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t="str">
        <f>IFERROR(__xludf.DUMMYFUNCTION("""COMPUTED_VALUE"""),"SS-HO-LI-1A-6")</f>
        <v>SS-HO-LI-1A-6</v>
      </c>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t="str">
        <f>IFERROR(__xludf.DUMMYFUNCTION("""COMPUTED_VALUE"""),"SS-HO-LI-1A-7")</f>
        <v>SS-HO-LI-1A-7</v>
      </c>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t="str">
        <f>IFERROR(__xludf.DUMMYFUNCTION("""COMPUTED_VALUE"""),"SS-HO-LI-1A-8")</f>
        <v>SS-HO-LI-1A-8</v>
      </c>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t="str">
        <f>IFERROR(__xludf.DUMMYFUNCTION("""COMPUTED_VALUE"""),"SS-HO-LI-1A-9")</f>
        <v>SS-HO-LI-1A-9</v>
      </c>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t="str">
        <f>IFERROR(__xludf.DUMMYFUNCTION("""COMPUTED_VALUE"""),"SS-HO-LI-1A-10")</f>
        <v>SS-HO-LI-1A-10</v>
      </c>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t="str">
        <f>IFERROR(__xludf.DUMMYFUNCTION("""COMPUTED_VALUE"""),"SS-HO-WV-1A")</f>
        <v>SS-HO-WV-1A</v>
      </c>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t="str">
        <f>IFERROR(__xludf.DUMMYFUNCTION("""COMPUTED_VALUE"""),"SS-HO-WV-1A-2")</f>
        <v>SS-HO-WV-1A-2</v>
      </c>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t="str">
        <f>IFERROR(__xludf.DUMMYFUNCTION("""COMPUTED_VALUE"""),"SS-HO-WV-1A-3")</f>
        <v>SS-HO-WV-1A-3</v>
      </c>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t="str">
        <f>IFERROR(__xludf.DUMMYFUNCTION("""COMPUTED_VALUE"""),"SS-HO-WV-1A-4")</f>
        <v>SS-HO-WV-1A-4</v>
      </c>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t="str">
        <f>IFERROR(__xludf.DUMMYFUNCTION("""COMPUTED_VALUE"""),"IST-AN-FL-1A")</f>
        <v>IST-AN-FL-1A</v>
      </c>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t="str">
        <f>IFERROR(__xludf.DUMMYFUNCTION("""COMPUTED_VALUE"""),"IST-AN-CRY-1A")</f>
        <v>IST-AN-CRY-1A</v>
      </c>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t="str">
        <f>IFERROR(__xludf.DUMMYFUNCTION("""COMPUTED_VALUE"""),"IST-PH-GL-1A")</f>
        <v>IST-PH-GL-1A</v>
      </c>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t="str">
        <f>IFERROR(__xludf.DUMMYFUNCTION("""COMPUTED_VALUE"""),"DSE-PH-PP-1A")</f>
        <v>DSE-PH-PP-1A</v>
      </c>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t="str">
        <f>IFERROR(__xludf.DUMMYFUNCTION("""COMPUTED_VALUE"""),"DSE-PH-PP-1A-2")</f>
        <v>DSE-PH-PP-1A-2</v>
      </c>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t="str">
        <f>IFERROR(__xludf.DUMMYFUNCTION("""COMPUTED_VALUE"""),"DSE-PH-PP-1A-3")</f>
        <v>DSE-PH-PP-1A-3</v>
      </c>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t="str">
        <f>IFERROR(__xludf.DUMMYFUNCTION("""COMPUTED_VALUE"""),"DSE-PH-RC-1A")</f>
        <v>DSE-PH-RC-1A</v>
      </c>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t="str">
        <f>IFERROR(__xludf.DUMMYFUNCTION("""COMPUTED_VALUE"""),"DSE-PH-RC-1A-2")</f>
        <v>DSE-PH-RC-1A-2</v>
      </c>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t="str">
        <f>IFERROR(__xludf.DUMMYFUNCTION("""COMPUTED_VALUE"""),"DSE-PH-RC-1A-3")</f>
        <v>DSE-PH-RC-1A-3</v>
      </c>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t="str">
        <f>IFERROR(__xludf.DUMMYFUNCTION("""COMPUTED_VALUE"""),"DSE-PH-PP-1A-4")</f>
        <v>DSE-PH-PP-1A-4</v>
      </c>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t="str">
        <f>IFERROR(__xludf.DUMMYFUNCTION("""COMPUTED_VALUE"""),"DSE-SYN-RR-1A")</f>
        <v>DSE-SYN-RR-1A</v>
      </c>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t="str">
        <f>IFERROR(__xludf.DUMMYFUNCTION("""COMPUTED_VALUE"""),"DSE-SYN-RR-1A-2")</f>
        <v>DSE-SYN-RR-1A-2</v>
      </c>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t="str">
        <f>IFERROR(__xludf.DUMMYFUNCTION("""COMPUTED_VALUE"""),"DSE-SYN-RR-1A-3")</f>
        <v>DSE-SYN-RR-1A-3</v>
      </c>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t="str">
        <f>IFERROR(__xludf.DUMMYFUNCTION("""COMPUTED_VALUE"""),"DSE-PH-PL-1A")</f>
        <v>DSE-PH-PL-1A</v>
      </c>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t="str">
        <f>IFERROR(__xludf.DUMMYFUNCTION("""COMPUTED_VALUE"""),"DSE-PH-PL-1A-2")</f>
        <v>DSE-PH-PL-1A-2</v>
      </c>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t="str">
        <f>IFERROR(__xludf.DUMMYFUNCTION("""COMPUTED_VALUE"""),"DSE-PH-PL-1A-3")</f>
        <v>DSE-PH-PL-1A-3</v>
      </c>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t="str">
        <f>IFERROR(__xludf.DUMMYFUNCTION("""COMPUTED_VALUE"""),"DSE-AL-VE-1A")</f>
        <v>DSE-AL-VE-1A</v>
      </c>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t="str">
        <f>IFERROR(__xludf.DUMMYFUNCTION("""COMPUTED_VALUE"""),"DSE-AL-VE-1A-2")</f>
        <v>DSE-AL-VE-1A-2</v>
      </c>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t="str">
        <f>IFERROR(__xludf.DUMMYFUNCTION("""COMPUTED_VALUE"""),"DSE-AL-VE-1A-3")</f>
        <v>DSE-AL-VE-1A-3</v>
      </c>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t="str">
        <f>IFERROR(__xludf.DUMMYFUNCTION("""COMPUTED_VALUE"""),"DSE-SYN-BA-1A")</f>
        <v>DSE-SYN-BA-1A</v>
      </c>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t="str">
        <f>IFERROR(__xludf.DUMMYFUNCTION("""COMPUTED_VALUE"""),"DSE-SYN-BA-1A-2")</f>
        <v>DSE-SYN-BA-1A-2</v>
      </c>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t="str">
        <f>IFERROR(__xludf.DUMMYFUNCTION("""COMPUTED_VALUE"""),"DSE-SYN-BA-1A-3")</f>
        <v>DSE-SYN-BA-1A-3</v>
      </c>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t="str">
        <f>IFERROR(__xludf.DUMMYFUNCTION("""COMPUTED_VALUE"""),"DSE-PH-JO-1A")</f>
        <v>DSE-PH-JO-1A</v>
      </c>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t="str">
        <f>IFERROR(__xludf.DUMMYFUNCTION("""COMPUTED_VALUE"""),"DSE-PH-JO-1A-2")</f>
        <v>DSE-PH-JO-1A-2</v>
      </c>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t="str">
        <f>IFERROR(__xludf.DUMMYFUNCTION("""COMPUTED_VALUE"""),"DSE-PH-JO-1A-3")</f>
        <v>DSE-PH-JO-1A-3</v>
      </c>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t="str">
        <f>IFERROR(__xludf.DUMMYFUNCTION("""COMPUTED_VALUE"""),"DSE-PH-BIL-1A")</f>
        <v>DSE-PH-BIL-1A</v>
      </c>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t="str">
        <f>IFERROR(__xludf.DUMMYFUNCTION("""COMPUTED_VALUE"""),"IST-PO-MQ-1A-2")</f>
        <v>IST-PO-MQ-1A-2</v>
      </c>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t="str">
        <f>IFERROR(__xludf.DUMMYFUNCTION("""COMPUTED_VALUE"""),"TLC-BE-BLM-1A-2")</f>
        <v>TLC-BE-BLM-1A-2</v>
      </c>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t="str">
        <f>IFERROR(__xludf.DUMMYFUNCTION("""COMPUTED_VALUE"""),"DSE-PH-BIL-1A-2")</f>
        <v>DSE-PH-BIL-1A-2</v>
      </c>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t="str">
        <f>IFERROR(__xludf.DUMMYFUNCTION("""COMPUTED_VALUE"""),"DSE-PH-BIL-1A-3")</f>
        <v>DSE-PH-BIL-1A-3</v>
      </c>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t="str">
        <f>IFERROR(__xludf.DUMMYFUNCTION("""COMPUTED_VALUE"""),"TLC-SYN-AU-1A")</f>
        <v>TLC-SYN-AU-1A</v>
      </c>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t="str">
        <f>IFERROR(__xludf.DUMMYFUNCTION("""COMPUTED_VALUE"""),"TLC-AL-VF-1A")</f>
        <v>TLC-AL-VF-1A</v>
      </c>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t="str">
        <f>IFERROR(__xludf.DUMMYFUNCTION("""COMPUTED_VALUE"""),"TLC-AL-TD-1A")</f>
        <v>TLC-AL-TD-1A</v>
      </c>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t="str">
        <f>IFERROR(__xludf.DUMMYFUNCTION("""COMPUTED_VALUE"""),"SS-PH-MI-1A")</f>
        <v>SS-PH-MI-1A</v>
      </c>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t="str">
        <f>IFERROR(__xludf.DUMMYFUNCTION("""COMPUTED_VALUE"""),"SS-PH-MI-1A-3")</f>
        <v>SS-PH-MI-1A-3</v>
      </c>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t="str">
        <f>IFERROR(__xludf.DUMMYFUNCTION("""COMPUTED_VALUE"""),"SS-PH-MI-1A-2")</f>
        <v>SS-PH-MI-1A-2</v>
      </c>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t="str">
        <f>IFERROR(__xludf.DUMMYFUNCTION("""COMPUTED_VALUE"""),"SS-PH-MI-1A-4")</f>
        <v>SS-PH-MI-1A-4</v>
      </c>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t="str">
        <f>IFERROR(__xludf.DUMMYFUNCTION("""COMPUTED_VALUE"""),"SS-PH-MI-1A-5")</f>
        <v>SS-PH-MI-1A-5</v>
      </c>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t="str">
        <f>IFERROR(__xludf.DUMMYFUNCTION("""COMPUTED_VALUE"""),"SS-PH-MI-1A-6")</f>
        <v>SS-PH-MI-1A-6</v>
      </c>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t="str">
        <f>IFERROR(__xludf.DUMMYFUNCTION("""COMPUTED_VALUE"""),"SS-PH-MI-1A-7")</f>
        <v>SS-PH-MI-1A-7</v>
      </c>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t="str">
        <f>IFERROR(__xludf.DUMMYFUNCTION("""COMPUTED_VALUE"""),"SS-PH-MI-1A-8")</f>
        <v>SS-PH-MI-1A-8</v>
      </c>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t="str">
        <f>IFERROR(__xludf.DUMMYFUNCTION("""COMPUTED_VALUE"""),"SS-PH-MI-1A-9")</f>
        <v>SS-PH-MI-1A-9</v>
      </c>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t="str">
        <f>IFERROR(__xludf.DUMMYFUNCTION("""COMPUTED_VALUE"""),"SS-PH-MI-1A-10")</f>
        <v>SS-PH-MI-1A-10</v>
      </c>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t="str">
        <f>IFERROR(__xludf.DUMMYFUNCTION("""COMPUTED_VALUE"""),"SS-PH-MI-1A-11")</f>
        <v>SS-PH-MI-1A-11</v>
      </c>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t="str">
        <f>IFERROR(__xludf.DUMMYFUNCTION("""COMPUTED_VALUE"""),"SS-PH-MI-1A-12")</f>
        <v>SS-PH-MI-1A-12</v>
      </c>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t="str">
        <f>IFERROR(__xludf.DUMMYFUNCTION("""COMPUTED_VALUE"""),"SS-PH-MI-1A-13")</f>
        <v>SS-PH-MI-1A-13</v>
      </c>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t="str">
        <f>IFERROR(__xludf.DUMMYFUNCTION("""COMPUTED_VALUE"""),"SS-PH-MI-1A-14")</f>
        <v>SS-PH-MI-1A-14</v>
      </c>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t="str">
        <f>IFERROR(__xludf.DUMMYFUNCTION("""COMPUTED_VALUE"""),"SS-PH-MI-1A-15")</f>
        <v>SS-PH-MI-1A-15</v>
      </c>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t="str">
        <f>IFERROR(__xludf.DUMMYFUNCTION("""COMPUTED_VALUE"""),"SS-PH-MI-1A-16")</f>
        <v>SS-PH-MI-1A-16</v>
      </c>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t="str">
        <f>IFERROR(__xludf.DUMMYFUNCTION("""COMPUTED_VALUE"""),"SS-PH-MI-1A-17")</f>
        <v>SS-PH-MI-1A-17</v>
      </c>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t="str">
        <f>IFERROR(__xludf.DUMMYFUNCTION("""COMPUTED_VALUE"""),"SS-PH-MI-1A-18")</f>
        <v>SS-PH-MI-1A-18</v>
      </c>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t="str">
        <f>IFERROR(__xludf.DUMMYFUNCTION("""COMPUTED_VALUE"""),"SS-PH-MI-1A-19")</f>
        <v>SS-PH-MI-1A-19</v>
      </c>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t="str">
        <f>IFERROR(__xludf.DUMMYFUNCTION("""COMPUTED_VALUE"""),"SS-PH-MI-1A-20")</f>
        <v>SS-PH-MI-1A-20</v>
      </c>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t="str">
        <f>IFERROR(__xludf.DUMMYFUNCTION("""COMPUTED_VALUE"""),"SS-PH-MI-1A-21")</f>
        <v>SS-PH-MI-1A-21</v>
      </c>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t="str">
        <f>IFERROR(__xludf.DUMMYFUNCTION("""COMPUTED_VALUE"""),"SS-PH-MI-1A-22")</f>
        <v>SS-PH-MI-1A-22</v>
      </c>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t="str">
        <f>IFERROR(__xludf.DUMMYFUNCTION("""COMPUTED_VALUE"""),"SS-PH-MI-1A-23")</f>
        <v>SS-PH-MI-1A-23</v>
      </c>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t="str">
        <f>IFERROR(__xludf.DUMMYFUNCTION("""COMPUTED_VALUE"""),"SS-PH-MI-1A-24")</f>
        <v>SS-PH-MI-1A-24</v>
      </c>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t="str">
        <f>IFERROR(__xludf.DUMMYFUNCTION("""COMPUTED_VALUE"""),"SS-PH-MI-1A-25")</f>
        <v>SS-PH-MI-1A-25</v>
      </c>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t="str">
        <f>IFERROR(__xludf.DUMMYFUNCTION("""COMPUTED_VALUE"""),"SS-PH-MI-1A-26")</f>
        <v>SS-PH-MI-1A-26</v>
      </c>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t="str">
        <f>IFERROR(__xludf.DUMMYFUNCTION("""COMPUTED_VALUE"""),"SS-PH-MI-1A-27")</f>
        <v>SS-PH-MI-1A-27</v>
      </c>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t="str">
        <f>IFERROR(__xludf.DUMMYFUNCTION("""COMPUTED_VALUE"""),"SS-PH-MI-1A-28")</f>
        <v>SS-PH-MI-1A-28</v>
      </c>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t="str">
        <f>IFERROR(__xludf.DUMMYFUNCTION("""COMPUTED_VALUE"""),"SS-PH-MI-1A-29")</f>
        <v>SS-PH-MI-1A-29</v>
      </c>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t="str">
        <f>IFERROR(__xludf.DUMMYFUNCTION("""COMPUTED_VALUE"""),"SS-PH-MI-1A-30")</f>
        <v>SS-PH-MI-1A-30</v>
      </c>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t="str">
        <f>IFERROR(__xludf.DUMMYFUNCTION("""COMPUTED_VALUE"""),"SS-PH-MI-1A-31")</f>
        <v>SS-PH-MI-1A-31</v>
      </c>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t="str">
        <f>IFERROR(__xludf.DUMMYFUNCTION("""COMPUTED_VALUE"""),"SS-PH-MI-1A-32")</f>
        <v>SS-PH-MI-1A-32</v>
      </c>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t="str">
        <f>IFERROR(__xludf.DUMMYFUNCTION("""COMPUTED_VALUE"""),"SS-PH-MI-1A-33")</f>
        <v>SS-PH-MI-1A-33</v>
      </c>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t="str">
        <f>IFERROR(__xludf.DUMMYFUNCTION("""COMPUTED_VALUE"""),"SS-PH-MI-1A-34")</f>
        <v>SS-PH-MI-1A-34</v>
      </c>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t="str">
        <f>IFERROR(__xludf.DUMMYFUNCTION("""COMPUTED_VALUE"""),"BWH-AL-CU-1A")</f>
        <v>BWH-AL-CU-1A</v>
      </c>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t="str">
        <f>IFERROR(__xludf.DUMMYFUNCTION("""COMPUTED_VALUE"""),"BWH-AL-CU-1A-2")</f>
        <v>BWH-AL-CU-1A-2</v>
      </c>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t="str">
        <f>IFERROR(__xludf.DUMMYFUNCTION("""COMPUTED_VALUE"""),"BWH-AL-CU-1A-3")</f>
        <v>BWH-AL-CU-1A-3</v>
      </c>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t="str">
        <f>IFERROR(__xludf.DUMMYFUNCTION("""COMPUTED_VALUE"""),"BWH-AL-CU-1A-4")</f>
        <v>BWH-AL-CU-1A-4</v>
      </c>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t="str">
        <f>IFERROR(__xludf.DUMMYFUNCTION("""COMPUTED_VALUE"""),"BWH-AL-CU-1A-5")</f>
        <v>BWH-AL-CU-1A-5</v>
      </c>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t="str">
        <f>IFERROR(__xludf.DUMMYFUNCTION("""COMPUTED_VALUE"""),"BWH-AL-QD-1A")</f>
        <v>BWH-AL-QD-1A</v>
      </c>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t="str">
        <f>IFERROR(__xludf.DUMMYFUNCTION("""COMPUTED_VALUE"""),"BWH-AL-QD-1A-2")</f>
        <v>BWH-AL-QD-1A-2</v>
      </c>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t="str">
        <f>IFERROR(__xludf.DUMMYFUNCTION("""COMPUTED_VALUE"""),"BWH-AL-QD-1A-3")</f>
        <v>BWH-AL-QD-1A-3</v>
      </c>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t="str">
        <f>IFERROR(__xludf.DUMMYFUNCTION("""COMPUTED_VALUE"""),"BWH-AL-QD-1A-4")</f>
        <v>BWH-AL-QD-1A-4</v>
      </c>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t="str">
        <f>IFERROR(__xludf.DUMMYFUNCTION("""COMPUTED_VALUE"""),"BWH-AL-QD-1A-5")</f>
        <v>BWH-AL-QD-1A-5</v>
      </c>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t="str">
        <f>IFERROR(__xludf.DUMMYFUNCTION("""COMPUTED_VALUE"""),"BWH-PH-BIL-1A")</f>
        <v>BWH-PH-BIL-1A</v>
      </c>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t="str">
        <f>IFERROR(__xludf.DUMMYFUNCTION("""COMPUTED_VALUE"""),"BWH-PH-BIL-1A-2")</f>
        <v>BWH-PH-BIL-1A-2</v>
      </c>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t="str">
        <f>IFERROR(__xludf.DUMMYFUNCTION("""COMPUTED_VALUE"""),"BWH-PH-BIL-1A-3")</f>
        <v>BWH-PH-BIL-1A-3</v>
      </c>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t="str">
        <f>IFERROR(__xludf.DUMMYFUNCTION("""COMPUTED_VALUE"""),"BWH-PH-BIL-1A-4")</f>
        <v>BWH-PH-BIL-1A-4</v>
      </c>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t="str">
        <f>IFERROR(__xludf.DUMMYFUNCTION("""COMPUTED_VALUE"""),"BWH-PH-BIL-1A-5")</f>
        <v>BWH-PH-BIL-1A-5</v>
      </c>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t="str">
        <f>IFERROR(__xludf.DUMMYFUNCTION("""COMPUTED_VALUE"""),"BWH-PH-FBS-1A")</f>
        <v>BWH-PH-FBS-1A</v>
      </c>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t="str">
        <f>IFERROR(__xludf.DUMMYFUNCTION("""COMPUTED_VALUE"""),"BWH-PH-FBS-1A-2")</f>
        <v>BWH-PH-FBS-1A-2</v>
      </c>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t="str">
        <f>IFERROR(__xludf.DUMMYFUNCTION("""COMPUTED_VALUE"""),"BWH-PH-FBS-1A-3")</f>
        <v>BWH-PH-FBS-1A-3</v>
      </c>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t="str">
        <f>IFERROR(__xludf.DUMMYFUNCTION("""COMPUTED_VALUE"""),"BWH-PH-FBS-1A-4")</f>
        <v>BWH-PH-FBS-1A-4</v>
      </c>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t="str">
        <f>IFERROR(__xludf.DUMMYFUNCTION("""COMPUTED_VALUE"""),"BWH-PH-FBS-1A-5")</f>
        <v>BWH-PH-FBS-1A-5</v>
      </c>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t="str">
        <f>IFERROR(__xludf.DUMMYFUNCTION("""COMPUTED_VALUE"""),"BWH-PH-WA-1A")</f>
        <v>BWH-PH-WA-1A</v>
      </c>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t="str">
        <f>IFERROR(__xludf.DUMMYFUNCTION("""COMPUTED_VALUE"""),"BWH-PH-WA-1A-2")</f>
        <v>BWH-PH-WA-1A-2</v>
      </c>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t="str">
        <f>IFERROR(__xludf.DUMMYFUNCTION("""COMPUTED_VALUE"""),"BWH-PH-WA-1A-3")</f>
        <v>BWH-PH-WA-1A-3</v>
      </c>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t="str">
        <f>IFERROR(__xludf.DUMMYFUNCTION("""COMPUTED_VALUE"""),"BWH-PH-WA-1A-4")</f>
        <v>BWH-PH-WA-1A-4</v>
      </c>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t="str">
        <f>IFERROR(__xludf.DUMMYFUNCTION("""COMPUTED_VALUE"""),"BWH-PH-WA-1A-5")</f>
        <v>BWH-PH-WA-1A-5</v>
      </c>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t="str">
        <f>IFERROR(__xludf.DUMMYFUNCTION("""COMPUTED_VALUE"""),"BWH-SYN-WE-1A")</f>
        <v>BWH-SYN-WE-1A</v>
      </c>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t="str">
        <f>IFERROR(__xludf.DUMMYFUNCTION("""COMPUTED_VALUE"""),"BWH-SYN-WE-1A-2")</f>
        <v>BWH-SYN-WE-1A-2</v>
      </c>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t="str">
        <f>IFERROR(__xludf.DUMMYFUNCTION("""COMPUTED_VALUE"""),"BWH-SYN-WE-1A-3")</f>
        <v>BWH-SYN-WE-1A-3</v>
      </c>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t="str">
        <f>IFERROR(__xludf.DUMMYFUNCTION("""COMPUTED_VALUE"""),"BWH-SYN-WE-1A-4")</f>
        <v>BWH-SYN-WE-1A-4</v>
      </c>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t="str">
        <f>IFERROR(__xludf.DUMMYFUNCTION("""COMPUTED_VALUE"""),"BWH-SYN-WE-1A-5")</f>
        <v>BWH-SYN-WE-1A-5</v>
      </c>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t="str">
        <f>IFERROR(__xludf.DUMMYFUNCTION("""COMPUTED_VALUE"""),"BWH-PH-VGC-1A")</f>
        <v>BWH-PH-VGC-1A</v>
      </c>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t="str">
        <f>IFERROR(__xludf.DUMMYFUNCTION("""COMPUTED_VALUE"""),"BWH-PH-VGC-1A-2")</f>
        <v>BWH-PH-VGC-1A-2</v>
      </c>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t="str">
        <f>IFERROR(__xludf.DUMMYFUNCTION("""COMPUTED_VALUE"""),"BWH-PH-VGC-1A-3")</f>
        <v>BWH-PH-VGC-1A-3</v>
      </c>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t="str">
        <f>IFERROR(__xludf.DUMMYFUNCTION("""COMPUTED_VALUE"""),"BWH-PH-VGC-1A-4")</f>
        <v>BWH-PH-VGC-1A-4</v>
      </c>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t="str">
        <f>IFERROR(__xludf.DUMMYFUNCTION("""COMPUTED_VALUE"""),"BWH-PH-VGC-1A-5")</f>
        <v>BWH-PH-VGC-1A-5</v>
      </c>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t="str">
        <f>IFERROR(__xludf.DUMMYFUNCTION("""COMPUTED_VALUE"""),"TG-NE-BP-1A")</f>
        <v>TG-NE-BP-1A</v>
      </c>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t="str">
        <f>IFERROR(__xludf.DUMMYFUNCTION("""COMPUTED_VALUE"""),"TG-BE-MAC-2A")</f>
        <v>TG-BE-MAC-2A</v>
      </c>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t="str">
        <f>IFERROR(__xludf.DUMMYFUNCTION("""COMPUTED_VALUE"""),"TG-BE-MAC-2A-2")</f>
        <v>TG-BE-MAC-2A-2</v>
      </c>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t="str">
        <f>IFERROR(__xludf.DUMMYFUNCTION("""COMPUTED_VALUE"""),"TG-CA-MA-2A")</f>
        <v>TG-CA-MA-2A</v>
      </c>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t="str">
        <f>IFERROR(__xludf.DUMMYFUNCTION("""COMPUTED_VALUE"""),"TG-CA-MA-2A-2")</f>
        <v>TG-CA-MA-2A-2</v>
      </c>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t="str">
        <f>IFERROR(__xludf.DUMMYFUNCTION("""COMPUTED_VALUE"""),"TG-CA-MA-2A-3")</f>
        <v>TG-CA-MA-2A-3</v>
      </c>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t="str">
        <f>IFERROR(__xludf.DUMMYFUNCTION("""COMPUTED_VALUE"""),"TG-CA-MA-2A-4")</f>
        <v>TG-CA-MA-2A-4</v>
      </c>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t="str">
        <f>IFERROR(__xludf.DUMMYFUNCTION("""COMPUTED_VALUE"""),"TG-CA-MA-2A-5")</f>
        <v>TG-CA-MA-2A-5</v>
      </c>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t="str">
        <f>IFERROR(__xludf.DUMMYFUNCTION("""COMPUTED_VALUE"""),"TG-BE-REX-2A")</f>
        <v>TG-BE-REX-2A</v>
      </c>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t="str">
        <f>IFERROR(__xludf.DUMMYFUNCTION("""COMPUTED_VALUE"""),"TG-BE-REX-2A-2")</f>
        <v>TG-BE-REX-2A-2</v>
      </c>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t="str">
        <f>IFERROR(__xludf.DUMMYFUNCTION("""COMPUTED_VALUE"""),"TG-BE-REX-2A-3")</f>
        <v>TG-BE-REX-2A-3</v>
      </c>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t="str">
        <f>IFERROR(__xludf.DUMMYFUNCTION("""COMPUTED_VALUE"""),"TG-BE-REX-2A-4")</f>
        <v>TG-BE-REX-2A-4</v>
      </c>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t="str">
        <f>IFERROR(__xludf.DUMMYFUNCTION("""COMPUTED_VALUE"""),"TG-BE-REX-2A-5")</f>
        <v>TG-BE-REX-2A-5</v>
      </c>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t="str">
        <f>IFERROR(__xludf.DUMMYFUNCTION("""COMPUTED_VALUE"""),"TG-NE-BP-2A")</f>
        <v>TG-NE-BP-2A</v>
      </c>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t="str">
        <f>IFERROR(__xludf.DUMMYFUNCTION("""COMPUTED_VALUE"""),"TG-NE-BP-2A-2")</f>
        <v>TG-NE-BP-2A-2</v>
      </c>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t="str">
        <f>IFERROR(__xludf.DUMMYFUNCTION("""COMPUTED_VALUE"""),"TG-NE-BP-2A-3")</f>
        <v>TG-NE-BP-2A-3</v>
      </c>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t="str">
        <f>IFERROR(__xludf.DUMMYFUNCTION("""COMPUTED_VALUE"""),"TG-NE-BP-2A-4")</f>
        <v>TG-NE-BP-2A-4</v>
      </c>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t="str">
        <f>IFERROR(__xludf.DUMMYFUNCTION("""COMPUTED_VALUE"""),"TG-NE-BP-2A-5")</f>
        <v>TG-NE-BP-2A-5</v>
      </c>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t="str">
        <f>IFERROR(__xludf.DUMMYFUNCTION("""COMPUTED_VALUE"""),"TG-AL-VDM-1A")</f>
        <v>TG-AL-VDM-1A</v>
      </c>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t="str">
        <f>IFERROR(__xludf.DUMMYFUNCTION("""COMPUTED_VALUE"""),"TG-AL-VDM-1A-2")</f>
        <v>TG-AL-VDM-1A-2</v>
      </c>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t="str">
        <f>IFERROR(__xludf.DUMMYFUNCTION("""COMPUTED_VALUE"""),"TG-AL-VDM-1A-3")</f>
        <v>TG-AL-VDM-1A-3</v>
      </c>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t="str">
        <f>IFERROR(__xludf.DUMMYFUNCTION("""COMPUTED_VALUE"""),"TG-SC-SAT-1A")</f>
        <v>TG-SC-SAT-1A</v>
      </c>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t="str">
        <f>IFERROR(__xludf.DUMMYFUNCTION("""COMPUTED_VALUE"""),"TG-SC-SAT-1A-2")</f>
        <v>TG-SC-SAT-1A-2</v>
      </c>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t="str">
        <f>IFERROR(__xludf.DUMMYFUNCTION("""COMPUTED_VALUE"""),"TG-SC-SAT-1A-3")</f>
        <v>TG-SC-SAT-1A-3</v>
      </c>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t="str">
        <f>IFERROR(__xludf.DUMMYFUNCTION("""COMPUTED_VALUE"""),"TG-SC-SAT-1A-4")</f>
        <v>TG-SC-SAT-1A-4</v>
      </c>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t="str">
        <f>IFERROR(__xludf.DUMMYFUNCTION("""COMPUTED_VALUE"""),"TG-SC-SAT-1A-5")</f>
        <v>TG-SC-SAT-1A-5</v>
      </c>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t="str">
        <f>IFERROR(__xludf.DUMMYFUNCTION("""COMPUTED_VALUE"""),"RPS-FA-FI-1A")</f>
        <v>RPS-FA-FI-1A</v>
      </c>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t="str">
        <f>IFERROR(__xludf.DUMMYFUNCTION("""COMPUTED_VALUE"""),"TA-PH-MIC-1A")</f>
        <v>TA-PH-MIC-1A</v>
      </c>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t="str">
        <f>IFERROR(__xludf.DUMMYFUNCTION("""COMPUTED_VALUE"""),"MPL-PH-CS-1A")</f>
        <v>MPL-PH-CS-1A</v>
      </c>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t="str">
        <f>IFERROR(__xludf.DUMMYFUNCTION("""COMPUTED_VALUE"""),"MPL-PH-CS-1A-2")</f>
        <v>MPL-PH-CS-1A-2</v>
      </c>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t="str">
        <f>IFERROR(__xludf.DUMMYFUNCTION("""COMPUTED_VALUE"""),"MPL-PH-CS-1A-3")</f>
        <v>MPL-PH-CS-1A-3</v>
      </c>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t="str">
        <f>IFERROR(__xludf.DUMMYFUNCTION("""COMPUTED_VALUE"""),"MPL-PH-CS-1A-4")</f>
        <v>MPL-PH-CS-1A-4</v>
      </c>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t="str">
        <f>IFERROR(__xludf.DUMMYFUNCTION("""COMPUTED_VALUE"""),"MPL-SC-SAT-1A")</f>
        <v>MPL-SC-SAT-1A</v>
      </c>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t="str">
        <f>IFERROR(__xludf.DUMMYFUNCTION("""COMPUTED_VALUE"""),"MPL-SC-SAT-1A-2")</f>
        <v>MPL-SC-SAT-1A-2</v>
      </c>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t="str">
        <f>IFERROR(__xludf.DUMMYFUNCTION("""COMPUTED_VALUE"""),"MPL-SC-SAT-1A-3")</f>
        <v>MPL-SC-SAT-1A-3</v>
      </c>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t="str">
        <f>IFERROR(__xludf.DUMMYFUNCTION("""COMPUTED_VALUE"""),"MPL-SC-DF-1A")</f>
        <v>MPL-SC-DF-1A</v>
      </c>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t="str">
        <f>IFERROR(__xludf.DUMMYFUNCTION("""COMPUTED_VALUE"""),"MPL-SC-DF-1A-2")</f>
        <v>MPL-SC-DF-1A-2</v>
      </c>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t="str">
        <f>IFERROR(__xludf.DUMMYFUNCTION("""COMPUTED_VALUE"""),"MPL-SC-DF-1A-3")</f>
        <v>MPL-SC-DF-1A-3</v>
      </c>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t="str">
        <f>IFERROR(__xludf.DUMMYFUNCTION("""COMPUTED_VALUE"""),"MPL-CHL-SPI-1A")</f>
        <v>MPL-CHL-SPI-1A</v>
      </c>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t="str">
        <f>IFERROR(__xludf.DUMMYFUNCTION("""COMPUTED_VALUE"""),"MPL-CHL-SPI-1A-2")</f>
        <v>MPL-CHL-SPI-1A-2</v>
      </c>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t="str">
        <f>IFERROR(__xludf.DUMMYFUNCTION("""COMPUTED_VALUE"""),"MPL-CHL-SPI-1A-3")</f>
        <v>MPL-CHL-SPI-1A-3</v>
      </c>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t="str">
        <f>IFERROR(__xludf.DUMMYFUNCTION("""COMPUTED_VALUE"""),"MPL-SYN-VA-1A")</f>
        <v>MPL-SYN-VA-1A</v>
      </c>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t="str">
        <f>IFERROR(__xludf.DUMMYFUNCTION("""COMPUTED_VALUE"""),"MPL-SYN-VA-1A-2")</f>
        <v>MPL-SYN-VA-1A-2</v>
      </c>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t="str">
        <f>IFERROR(__xludf.DUMMYFUNCTION("""COMPUTED_VALUE"""),"MPL-SYN-VA-1A-3")</f>
        <v>MPL-SYN-VA-1A-3</v>
      </c>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t="str">
        <f>IFERROR(__xludf.DUMMYFUNCTION("""COMPUTED_VALUE"""),"FM-RH-TET-1A")</f>
        <v>FM-RH-TET-1A</v>
      </c>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t="str">
        <f>IFERROR(__xludf.DUMMYFUNCTION("""COMPUTED_VALUE"""),"HS-SP-PLD-1A")</f>
        <v>HS-SP-PLD-1A</v>
      </c>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t="str">
        <f>IFERROR(__xludf.DUMMYFUNCTION("""COMPUTED_VALUE"""),"HS-PH-UN-1A")</f>
        <v>HS-PH-UN-1A</v>
      </c>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t="str">
        <f>IFERROR(__xludf.DUMMYFUNCTION("""COMPUTED_VALUE"""),"BWH-SYN-WE-2A")</f>
        <v>BWH-SYN-WE-2A</v>
      </c>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t="str">
        <f>IFERROR(__xludf.DUMMYFUNCTION("""COMPUTED_VALUE"""),"BWH-SYN-WE-2A-2")</f>
        <v>BWH-SYN-WE-2A-2</v>
      </c>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t="str">
        <f>IFERROR(__xludf.DUMMYFUNCTION("""COMPUTED_VALUE"""),"HS-PH-ROF-1A")</f>
        <v>HS-PH-ROF-1A</v>
      </c>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t="str">
        <f>IFERROR(__xludf.DUMMYFUNCTION("""COMPUTED_VALUE"""),"TA-OC-HB-1A")</f>
        <v>TA-OC-HB-1A</v>
      </c>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t="str">
        <f>IFERROR(__xludf.DUMMYFUNCTION("""COMPUTED_VALUE"""),"EH-TO-CP-1A")</f>
        <v>EH-TO-CP-1A</v>
      </c>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t="str">
        <f>IFERROR(__xludf.DUMMYFUNCTION("""COMPUTED_VALUE"""),"EH-TO-ERC-1A")</f>
        <v>EH-TO-ERC-1A</v>
      </c>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t="str">
        <f>IFERROR(__xludf.DUMMYFUNCTION("""COMPUTED_VALUE"""),"TA-TH-TH-1A")</f>
        <v>TA-TH-TH-1A</v>
      </c>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t="str">
        <f>IFERROR(__xludf.DUMMYFUNCTION("""COMPUTED_VALUE"""),"TA-ALL-CH-1A")</f>
        <v>TA-ALL-CH-1A</v>
      </c>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t="str">
        <f>IFERROR(__xludf.DUMMYFUNCTION("""COMPUTED_VALUE"""),"TA-OR-OR-1A")</f>
        <v>TA-OR-OR-1A</v>
      </c>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t="str">
        <f>IFERROR(__xludf.DUMMYFUNCTION("""COMPUTED_VALUE"""),"TA-SAL-RO-1A")</f>
        <v>TA-SAL-RO-1A</v>
      </c>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t="str">
        <f>IFERROR(__xludf.DUMMYFUNCTION("""COMPUTED_VALUE"""),"TA-TH-TH-1A-2")</f>
        <v>TA-TH-TH-1A-2</v>
      </c>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t="str">
        <f>IFERROR(__xludf.DUMMYFUNCTION("""COMPUTED_VALUE"""),"TA-TH-TH-1A-3")</f>
        <v>TA-TH-TH-1A-3</v>
      </c>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t="str">
        <f>IFERROR(__xludf.DUMMYFUNCTION("""COMPUTED_VALUE"""),"TA-TH-TH-1A-4")</f>
        <v>TA-TH-TH-1A-4</v>
      </c>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t="str">
        <f>IFERROR(__xludf.DUMMYFUNCTION("""COMPUTED_VALUE"""),"EH-TO-CP-1A-2")</f>
        <v>EH-TO-CP-1A-2</v>
      </c>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t="str">
        <f>IFERROR(__xludf.DUMMYFUNCTION("""COMPUTED_VALUE"""),"EH-TO-CP-1A-3")</f>
        <v>EH-TO-CP-1A-3</v>
      </c>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t="str">
        <f>IFERROR(__xludf.DUMMYFUNCTION("""COMPUTED_VALUE"""),"EH-TO-CP-1A-4")</f>
        <v>EH-TO-CP-1A-4</v>
      </c>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t="str">
        <f>IFERROR(__xludf.DUMMYFUNCTION("""COMPUTED_VALUE"""),"EH-TO-CP-1A-5")</f>
        <v>EH-TO-CP-1A-5</v>
      </c>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t="str">
        <f>IFERROR(__xludf.DUMMYFUNCTION("""COMPUTED_VALUE"""),"EH-TO-CP-1A-6")</f>
        <v>EH-TO-CP-1A-6</v>
      </c>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t="str">
        <f>IFERROR(__xludf.DUMMYFUNCTION("""COMPUTED_VALUE"""),"EH-TO-CP-1A-7")</f>
        <v>EH-TO-CP-1A-7</v>
      </c>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t="str">
        <f>IFERROR(__xludf.DUMMYFUNCTION("""COMPUTED_VALUE"""),"EH-TO-CP-1A-8")</f>
        <v>EH-TO-CP-1A-8</v>
      </c>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t="str">
        <f>IFERROR(__xludf.DUMMYFUNCTION("""COMPUTED_VALUE"""),"EH-TO-ERC-1A-2")</f>
        <v>EH-TO-ERC-1A-2</v>
      </c>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t="str">
        <f>IFERROR(__xludf.DUMMYFUNCTION("""COMPUTED_VALUE"""),"EH-TO-ERC-1A-3")</f>
        <v>EH-TO-ERC-1A-3</v>
      </c>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t="str">
        <f>IFERROR(__xludf.DUMMYFUNCTION("""COMPUTED_VALUE"""),"EH-TO-ERC-1A-4")</f>
        <v>EH-TO-ERC-1A-4</v>
      </c>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t="str">
        <f>IFERROR(__xludf.DUMMYFUNCTION("""COMPUTED_VALUE"""),"EH-TO-ERC-1A-5")</f>
        <v>EH-TO-ERC-1A-5</v>
      </c>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t="str">
        <f>IFERROR(__xludf.DUMMYFUNCTION("""COMPUTED_VALUE"""),"EH-TO-ERC-1A-6")</f>
        <v>EH-TO-ERC-1A-6</v>
      </c>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t="str">
        <f>IFERROR(__xludf.DUMMYFUNCTION("""COMPUTED_VALUE"""),"EH-TO-ERC-1A-7")</f>
        <v>EH-TO-ERC-1A-7</v>
      </c>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t="str">
        <f>IFERROR(__xludf.DUMMYFUNCTION("""COMPUTED_VALUE"""),"EH-TO-ERC-1A-8")</f>
        <v>EH-TO-ERC-1A-8</v>
      </c>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t="str">
        <f>IFERROR(__xludf.DUMMYFUNCTION("""COMPUTED_VALUE"""),"EH-TO-ERC-1A-9")</f>
        <v>EH-TO-ERC-1A-9</v>
      </c>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t="str">
        <f>IFERROR(__xludf.DUMMYFUNCTION("""COMPUTED_VALUE"""),"TA-CY-LE-1A")</f>
        <v>TA-CY-LE-1A</v>
      </c>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t="str">
        <f>IFERROR(__xludf.DUMMYFUNCTION("""COMPUTED_VALUE"""),"TA-SAL-RO-1A-2")</f>
        <v>TA-SAL-RO-1A-2</v>
      </c>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t="str">
        <f>IFERROR(__xludf.DUMMYFUNCTION("""COMPUTED_VALUE"""),"TA-SAL-RO-1A-3")</f>
        <v>TA-SAL-RO-1A-3</v>
      </c>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t="str">
        <f>IFERROR(__xludf.DUMMYFUNCTION("""COMPUTED_VALUE"""),"TA-SAL-RO-1A-4")</f>
        <v>TA-SAL-RO-1A-4</v>
      </c>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t="str">
        <f>IFERROR(__xludf.DUMMYFUNCTION("""COMPUTED_VALUE"""),"EH-TO-ERC-1A-10")</f>
        <v>EH-TO-ERC-1A-10</v>
      </c>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t="str">
        <f>IFERROR(__xludf.DUMMYFUNCTION("""COMPUTED_VALUE"""),"DSE-PH-GIG-1A")</f>
        <v>DSE-PH-GIG-1A</v>
      </c>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t="str">
        <f>IFERROR(__xludf.DUMMYFUNCTION("""COMPUTED_VALUE"""),"DSE-PH-GIG-1A-2")</f>
        <v>DSE-PH-GIG-1A-2</v>
      </c>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t="str">
        <f>IFERROR(__xludf.DUMMYFUNCTION("""COMPUTED_VALUE"""),"DSE-PH-GIG-1A-3")</f>
        <v>DSE-PH-GIG-1A-3</v>
      </c>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t="str">
        <f>IFERROR(__xludf.DUMMYFUNCTION("""COMPUTED_VALUE"""),"DSE-AN-CLA-1A")</f>
        <v>DSE-AN-CLA-1A</v>
      </c>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t="str">
        <f>IFERROR(__xludf.DUMMYFUNCTION("""COMPUTED_VALUE"""),"DSE-AN-CLA-1A-2")</f>
        <v>DSE-AN-CLA-1A-2</v>
      </c>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t="str">
        <f>IFERROR(__xludf.DUMMYFUNCTION("""COMPUTED_VALUE"""),"DSE-AN-CLA-1A-3")</f>
        <v>DSE-AN-CLA-1A-3</v>
      </c>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t="str">
        <f>IFERROR(__xludf.DUMMYFUNCTION("""COMPUTED_VALUE"""),"DSE-AN-RXL-1A")</f>
        <v>DSE-AN-RXL-1A</v>
      </c>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t="str">
        <f>IFERROR(__xludf.DUMMYFUNCTION("""COMPUTED_VALUE"""),"DSE-AN-RXL-1A-2")</f>
        <v>DSE-AN-RXL-1A-2</v>
      </c>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t="str">
        <f>IFERROR(__xludf.DUMMYFUNCTION("""COMPUTED_VALUE"""),"DSE-AN-RXL-1A-3")</f>
        <v>DSE-AN-RXL-1A-3</v>
      </c>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t="str">
        <f>IFERROR(__xludf.DUMMYFUNCTION("""COMPUTED_VALUE"""),"DSE-AN-RXL-1A-4")</f>
        <v>DSE-AN-RXL-1A-4</v>
      </c>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t="str">
        <f>IFERROR(__xludf.DUMMYFUNCTION("""COMPUTED_VALUE"""),"DSE-AN-RXL-1A-5")</f>
        <v>DSE-AN-RXL-1A-5</v>
      </c>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t="str">
        <f>IFERROR(__xludf.DUMMYFUNCTION("""COMPUTED_VALUE"""),"DSE-PH-PV-1A")</f>
        <v>DSE-PH-PV-1A</v>
      </c>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t="str">
        <f>IFERROR(__xludf.DUMMYFUNCTION("""COMPUTED_VALUE"""),"DSE-PH-PV-1A-2")</f>
        <v>DSE-PH-PV-1A-2</v>
      </c>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t="str">
        <f>IFERROR(__xludf.DUMMYFUNCTION("""COMPUTED_VALUE"""),"DSE-PH-PV-1A-3")</f>
        <v>DSE-PH-PV-1A-3</v>
      </c>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t="str">
        <f>IFERROR(__xludf.DUMMYFUNCTION("""COMPUTED_VALUE"""),"DSE-PH-PV-1A-4")</f>
        <v>DSE-PH-PV-1A-4</v>
      </c>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t="str">
        <f>IFERROR(__xludf.DUMMYFUNCTION("""COMPUTED_VALUE"""),"DSE-PH-PV-1A-5")</f>
        <v>DSE-PH-PV-1A-5</v>
      </c>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t="str">
        <f>IFERROR(__xludf.DUMMYFUNCTION("""COMPUTED_VALUE"""),"DSE-SYN-STC-1A")</f>
        <v>DSE-SYN-STC-1A</v>
      </c>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t="str">
        <f>IFERROR(__xludf.DUMMYFUNCTION("""COMPUTED_VALUE"""),"DSE-SYN-STC-1A-2")</f>
        <v>DSE-SYN-STC-1A-2</v>
      </c>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t="str">
        <f>IFERROR(__xludf.DUMMYFUNCTION("""COMPUTED_VALUE"""),"DSE-SYN-STC-1A-3")</f>
        <v>DSE-SYN-STC-1A-3</v>
      </c>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t="str">
        <f>IFERROR(__xludf.DUMMYFUNCTION("""COMPUTED_VALUE"""),"DSE-SYN-STC-1A-4")</f>
        <v>DSE-SYN-STC-1A-4</v>
      </c>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t="str">
        <f>IFERROR(__xludf.DUMMYFUNCTION("""COMPUTED_VALUE"""),"DSE-SYN-STC-1A-5")</f>
        <v>DSE-SYN-STC-1A-5</v>
      </c>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t="str">
        <f>IFERROR(__xludf.DUMMYFUNCTION("""COMPUTED_VALUE"""),"DSE-SYN-STC-1A-6")</f>
        <v>DSE-SYN-STC-1A-6</v>
      </c>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t="str">
        <f>IFERROR(__xludf.DUMMYFUNCTION("""COMPUTED_VALUE"""),"DSE-SYN-STC-1A-7")</f>
        <v>DSE-SYN-STC-1A-7</v>
      </c>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t="str">
        <f>IFERROR(__xludf.DUMMYFUNCTION("""COMPUTED_VALUE"""),"DSE-SYN-STC-1A-8")</f>
        <v>DSE-SYN-STC-1A-8</v>
      </c>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t="str">
        <f>IFERROR(__xludf.DUMMYFUNCTION("""COMPUTED_VALUE"""),"DSE-SYN-STC-1A-9")</f>
        <v>DSE-SYN-STC-1A-9</v>
      </c>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t="str">
        <f>IFERROR(__xludf.DUMMYFUNCTION("""COMPUTED_VALUE"""),"DSE-SYN-STC-1A-10")</f>
        <v>DSE-SYN-STC-1A-10</v>
      </c>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t="str">
        <f>IFERROR(__xludf.DUMMYFUNCTION("""COMPUTED_VALUE"""),"DSE-SYN-GLO-1A")</f>
        <v>DSE-SYN-GLO-1A</v>
      </c>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t="str">
        <f>IFERROR(__xludf.DUMMYFUNCTION("""COMPUTED_VALUE"""),"DSE-SYN-GLO-1A-2")</f>
        <v>DSE-SYN-GLO-1A-2</v>
      </c>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t="str">
        <f>IFERROR(__xludf.DUMMYFUNCTION("""COMPUTED_VALUE"""),"DSE-SYN-GLO-1A-3")</f>
        <v>DSE-SYN-GLO-1A-3</v>
      </c>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t="str">
        <f>IFERROR(__xludf.DUMMYFUNCTION("""COMPUTED_VALUE"""),"DSE-SYN-MC-1A")</f>
        <v>DSE-SYN-MC-1A</v>
      </c>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t="str">
        <f>IFERROR(__xludf.DUMMYFUNCTION("""COMPUTED_VALUE"""),"DSE-SYN-MC-1A-2")</f>
        <v>DSE-SYN-MC-1A-2</v>
      </c>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t="str">
        <f>IFERROR(__xludf.DUMMYFUNCTION("""COMPUTED_VALUE"""),"DSE-SYN-MC-1A-3")</f>
        <v>DSE-SYN-MC-1A-3</v>
      </c>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t="str">
        <f>IFERROR(__xludf.DUMMYFUNCTION("""COMPUTED_VALUE"""),"DSE-SYN-MC-1A-4")</f>
        <v>DSE-SYN-MC-1A-4</v>
      </c>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t="str">
        <f>IFERROR(__xludf.DUMMYFUNCTION("""COMPUTED_VALUE"""),"DSE-SYN-MC-1A-5")</f>
        <v>DSE-SYN-MC-1A-5</v>
      </c>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t="str">
        <f>IFERROR(__xludf.DUMMYFUNCTION("""COMPUTED_VALUE"""),"DSE-SYN-MC-1A-6")</f>
        <v>DSE-SYN-MC-1A-6</v>
      </c>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t="str">
        <f>IFERROR(__xludf.DUMMYFUNCTION("""COMPUTED_VALUE"""),"DSE-SYN-MC-1A-7")</f>
        <v>DSE-SYN-MC-1A-7</v>
      </c>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t="str">
        <f>IFERROR(__xludf.DUMMYFUNCTION("""COMPUTED_VALUE"""),"DSE-SYN-MC-1A-8")</f>
        <v>DSE-SYN-MC-1A-8</v>
      </c>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t="str">
        <f>IFERROR(__xludf.DUMMYFUNCTION("""COMPUTED_VALUE"""),"DSE-SYN-MC-1A-9")</f>
        <v>DSE-SYN-MC-1A-9</v>
      </c>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t="str">
        <f>IFERROR(__xludf.DUMMYFUNCTION("""COMPUTED_VALUE"""),"DSE-SYN-MC-1A-10")</f>
        <v>DSE-SYN-MC-1A-10</v>
      </c>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t="str">
        <f>IFERROR(__xludf.DUMMYFUNCTION("""COMPUTED_VALUE"""),"DSE-SYN-NR-1A")</f>
        <v>DSE-SYN-NR-1A</v>
      </c>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t="str">
        <f>IFERROR(__xludf.DUMMYFUNCTION("""COMPUTED_VALUE"""),"DSE-SYN-NR-1A-2")</f>
        <v>DSE-SYN-NR-1A-2</v>
      </c>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t="str">
        <f>IFERROR(__xludf.DUMMYFUNCTION("""COMPUTED_VALUE"""),"DSE-SYN-NR-1A-3")</f>
        <v>DSE-SYN-NR-1A-3</v>
      </c>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t="str">
        <f>IFERROR(__xludf.DUMMYFUNCTION("""COMPUTED_VALUE"""),"DSE-SYN-MM-1A")</f>
        <v>DSE-SYN-MM-1A</v>
      </c>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t="str">
        <f>IFERROR(__xludf.DUMMYFUNCTION("""COMPUTED_VALUE"""),"DSE-SYN-MM-1A-2")</f>
        <v>DSE-SYN-MM-1A-2</v>
      </c>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t="str">
        <f>IFERROR(__xludf.DUMMYFUNCTION("""COMPUTED_VALUE"""),"DSE-SYN-MM-1A-3")</f>
        <v>DSE-SYN-MM-1A-3</v>
      </c>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t="str">
        <f>IFERROR(__xludf.DUMMYFUNCTION("""COMPUTED_VALUE"""),"TA-OR-OR-1A-2")</f>
        <v>TA-OR-OR-1A-2</v>
      </c>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t="str">
        <f>IFERROR(__xludf.DUMMYFUNCTION("""COMPUTED_VALUE"""),"TA-OR-OR-1A-3")</f>
        <v>TA-OR-OR-1A-3</v>
      </c>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t="str">
        <f>IFERROR(__xludf.DUMMYFUNCTION("""COMPUTED_VALUE"""),"TA-OR-OR-1A-4")</f>
        <v>TA-OR-OR-1A-4</v>
      </c>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t="str">
        <f>IFERROR(__xludf.DUMMYFUNCTION("""COMPUTED_VALUE"""),"TA-OR-OR-1A-5")</f>
        <v>TA-OR-OR-1A-5</v>
      </c>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t="str">
        <f>IFERROR(__xludf.DUMMYFUNCTION("""COMPUTED_VALUE"""),"TA-OR-OR-1A-6")</f>
        <v>TA-OR-OR-1A-6</v>
      </c>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t="str">
        <f>IFERROR(__xludf.DUMMYFUNCTION("""COMPUTED_VALUE"""),"TA-OR-OR-1A-7")</f>
        <v>TA-OR-OR-1A-7</v>
      </c>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t="str">
        <f>IFERROR(__xludf.DUMMYFUNCTION("""COMPUTED_VALUE"""),"TA-OR-OR-1A-8")</f>
        <v>TA-OR-OR-1A-8</v>
      </c>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t="str">
        <f>IFERROR(__xludf.DUMMYFUNCTION("""COMPUTED_VALUE"""),"TA-OR-OR-1A-9")</f>
        <v>TA-OR-OR-1A-9</v>
      </c>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t="str">
        <f>IFERROR(__xludf.DUMMYFUNCTION("""COMPUTED_VALUE"""),"TA-OR-OR-1A-10")</f>
        <v>TA-OR-OR-1A-10</v>
      </c>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t="str">
        <f>IFERROR(__xludf.DUMMYFUNCTION("""COMPUTED_VALUE"""),"TA-OR-OR-1A-11")</f>
        <v>TA-OR-OR-1A-11</v>
      </c>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t="str">
        <f>IFERROR(__xludf.DUMMYFUNCTION("""COMPUTED_VALUE"""),"TA-OR-OR-1A-12")</f>
        <v>TA-OR-OR-1A-12</v>
      </c>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t="str">
        <f>IFERROR(__xludf.DUMMYFUNCTION("""COMPUTED_VALUE"""),"TA-OR-OR-1A-13")</f>
        <v>TA-OR-OR-1A-13</v>
      </c>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t="str">
        <f>IFERROR(__xludf.DUMMYFUNCTION("""COMPUTED_VALUE"""),"TA-OR-OR-1A-14")</f>
        <v>TA-OR-OR-1A-14</v>
      </c>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t="str">
        <f>IFERROR(__xludf.DUMMYFUNCTION("""COMPUTED_VALUE"""),"TA-OR-OR-1A-15")</f>
        <v>TA-OR-OR-1A-15</v>
      </c>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t="str">
        <f>IFERROR(__xludf.DUMMYFUNCTION("""COMPUTED_VALUE"""),"TG-ALO-VER-1A")</f>
        <v>TG-ALO-VER-1A</v>
      </c>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t="str">
        <f>IFERROR(__xludf.DUMMYFUNCTION("""COMPUTED_VALUE"""),"TG-ALO-VER-1A-2")</f>
        <v>TG-ALO-VER-1A-2</v>
      </c>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t="str">
        <f>IFERROR(__xludf.DUMMYFUNCTION("""COMPUTED_VALUE"""),"TG-ALO-VER-1A-3")</f>
        <v>TG-ALO-VER-1A-3</v>
      </c>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t="str">
        <f>IFERROR(__xludf.DUMMYFUNCTION("""COMPUTED_VALUE"""),"TG-MA-VMI-1A")</f>
        <v>TG-MA-VMI-1A</v>
      </c>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t="str">
        <f>IFERROR(__xludf.DUMMYFUNCTION("""COMPUTED_VALUE"""),"TG-MA-VMI-1A-2")</f>
        <v>TG-MA-VMI-1A-2</v>
      </c>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t="str">
        <f>IFERROR(__xludf.DUMMYFUNCTION("""COMPUTED_VALUE"""),"TG-SP-VPLD-1A")</f>
        <v>TG-SP-VPLD-1A</v>
      </c>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t="str">
        <f>IFERROR(__xludf.DUMMYFUNCTION("""COMPUTED_VALUE"""),"TG-PO-GO-1A")</f>
        <v>TG-PO-GO-1A</v>
      </c>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t="str">
        <f>IFERROR(__xludf.DUMMYFUNCTION("""COMPUTED_VALUE"""),"TG-PO-GO-1A-2")</f>
        <v>TG-PO-GO-1A-2</v>
      </c>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t="str">
        <f>IFERROR(__xludf.DUMMYFUNCTION("""COMPUTED_VALUE"""),"TG-PO-GO-1A-3")</f>
        <v>TG-PO-GO-1A-3</v>
      </c>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t="str">
        <f>IFERROR(__xludf.DUMMYFUNCTION("""COMPUTED_VALUE"""),"TG-DI-CAM-1A")</f>
        <v>TG-DI-CAM-1A</v>
      </c>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t="str">
        <f>IFERROR(__xludf.DUMMYFUNCTION("""COMPUTED_VALUE"""),"TG-DI-CAM-1A-2")</f>
        <v>TG-DI-CAM-1A-2</v>
      </c>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t="str">
        <f>IFERROR(__xludf.DUMMYFUNCTION("""COMPUTED_VALUE"""),"TG-SYN-BUT-1A")</f>
        <v>TG-SYN-BUT-1A</v>
      </c>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t="str">
        <f>IFERROR(__xludf.DUMMYFUNCTION("""COMPUTED_VALUE"""),"TG-SYN-BUT-1A-2")</f>
        <v>TG-SYN-BUT-1A-2</v>
      </c>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t="str">
        <f>IFERROR(__xludf.DUMMYFUNCTION("""COMPUTED_VALUE"""),"TG-SP-PLI-1A")</f>
        <v>TG-SP-PLI-1A</v>
      </c>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t="str">
        <f>IFERROR(__xludf.DUMMYFUNCTION("""COMPUTED_VALUE"""),"TG-SP-PLI-1A-2")</f>
        <v>TG-SP-PLI-1A-2</v>
      </c>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t="str">
        <f>IFERROR(__xludf.DUMMYFUNCTION("""COMPUTED_VALUE"""),"TG-NE-BP-3A")</f>
        <v>TG-NE-BP-3A</v>
      </c>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t="str">
        <f>IFERROR(__xludf.DUMMYFUNCTION("""COMPUTED_VALUE"""),"TG-NE-BP-3A-2")</f>
        <v>TG-NE-BP-3A-2</v>
      </c>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t="str">
        <f>IFERROR(__xludf.DUMMYFUNCTION("""COMPUTED_VALUE"""),"DSE-SYN-GLO-1A-4")</f>
        <v>DSE-SYN-GLO-1A-4</v>
      </c>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t="str">
        <f>IFERROR(__xludf.DUMMYFUNCTION("""COMPUTED_VALUE"""),"DSE-SYN-GLO-1A-5")</f>
        <v>DSE-SYN-GLO-1A-5</v>
      </c>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t="str">
        <f>IFERROR(__xludf.DUMMYFUNCTION("""COMPUTED_VALUE"""),"DSE-SYN-GLO-1A-6")</f>
        <v>DSE-SYN-GLO-1A-6</v>
      </c>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t="str">
        <f>IFERROR(__xludf.DUMMYFUNCTION("""COMPUTED_VALUE"""),"DSE-SYN-NR-1A-4")</f>
        <v>DSE-SYN-NR-1A-4</v>
      </c>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t="str">
        <f>IFERROR(__xludf.DUMMYFUNCTION("""COMPUTED_VALUE"""),"DSE-SYN-NR-1A-5")</f>
        <v>DSE-SYN-NR-1A-5</v>
      </c>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t="str">
        <f>IFERROR(__xludf.DUMMYFUNCTION("""COMPUTED_VALUE"""),"DSE-SYN-NR-1A-6")</f>
        <v>DSE-SYN-NR-1A-6</v>
      </c>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t="str">
        <f>IFERROR(__xludf.DUMMYFUNCTION("""COMPUTED_VALUE"""),"DSE-SYN-MM-1A-4")</f>
        <v>DSE-SYN-MM-1A-4</v>
      </c>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t="str">
        <f>IFERROR(__xludf.DUMMYFUNCTION("""COMPUTED_VALUE"""),"DSE-SYN-MM-1A-5")</f>
        <v>DSE-SYN-MM-1A-5</v>
      </c>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t="str">
        <f>IFERROR(__xludf.DUMMYFUNCTION("""COMPUTED_VALUE"""),"DSE-SYN-MM-1A-6")</f>
        <v>DSE-SYN-MM-1A-6</v>
      </c>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t="str">
        <f>IFERROR(__xludf.DUMMYFUNCTION("""COMPUTED_VALUE"""),"DR-AC-JMB-1A")</f>
        <v>DR-AC-JMB-1A</v>
      </c>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t="str">
        <f>IFERROR(__xludf.DUMMYFUNCTION("""COMPUTED_VALUE"""),"DR-AC-JMB-1A-2")</f>
        <v>DR-AC-JMB-1A-2</v>
      </c>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t="str">
        <f>IFERROR(__xludf.DUMMYFUNCTION("""COMPUTED_VALUE"""),"DR-AC-JMB-1A-3")</f>
        <v>DR-AC-JMB-1A-3</v>
      </c>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t="str">
        <f>IFERROR(__xludf.DUMMYFUNCTION("""COMPUTED_VALUE"""),"DR-AC-JMB-1A-4")</f>
        <v>DR-AC-JMB-1A-4</v>
      </c>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t="str">
        <f>IFERROR(__xludf.DUMMYFUNCTION("""COMPUTED_VALUE"""),"DR-AC-JMB-1A-5")</f>
        <v>DR-AC-JMB-1A-5</v>
      </c>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t="str">
        <f>IFERROR(__xludf.DUMMYFUNCTION("""COMPUTED_VALUE"""),"DR-AC-JMB-1A-6")</f>
        <v>DR-AC-JMB-1A-6</v>
      </c>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t="str">
        <f>IFERROR(__xludf.DUMMYFUNCTION("""COMPUTED_VALUE"""),"DR-AC-JMB-1A-7")</f>
        <v>DR-AC-JMB-1A-7</v>
      </c>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t="str">
        <f>IFERROR(__xludf.DUMMYFUNCTION("""COMPUTED_VALUE"""),"HS-PO-GO-1H")</f>
        <v>HS-PO-GO-1H</v>
      </c>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t="str">
        <f>IFERROR(__xludf.DUMMYFUNCTION("""COMPUTED_VALUE"""),"TOGPS-PH-POO-1A-2")</f>
        <v>TOGPS-PH-POO-1A-2</v>
      </c>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t="str">
        <f>IFERROR(__xludf.DUMMYFUNCTION("""COMPUTED_VALUE"""),"FMY-MA-DE-1A-4A")</f>
        <v>FMY-MA-DE-1A-4A</v>
      </c>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t="str">
        <f>IFERROR(__xludf.DUMMYFUNCTION("""COMPUTED_VALUE"""),"FMY-MA-DE-1A-4B")</f>
        <v>FMY-MA-DE-1A-4B</v>
      </c>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t="str">
        <f>IFERROR(__xludf.DUMMYFUNCTION("""COMPUTED_VALUE"""),"FMY-MA-DE-1A-4C")</f>
        <v>FMY-MA-DE-1A-4C</v>
      </c>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t="str">
        <f>IFERROR(__xludf.DUMMYFUNCTION("""COMPUTED_VALUE"""),"FMY-MA-DE-1A-4D")</f>
        <v>FMY-MA-DE-1A-4D</v>
      </c>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t="str">
        <f>IFERROR(__xludf.DUMMYFUNCTION("""COMPUTED_VALUE"""),"FMY-MA-DE-1A-4E")</f>
        <v>FMY-MA-DE-1A-4E</v>
      </c>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t="str">
        <f>IFERROR(__xludf.DUMMYFUNCTION("""COMPUTED_VALUE"""),"FMY-MA-DE-1A-4F")</f>
        <v>FMY-MA-DE-1A-4F</v>
      </c>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t="str">
        <f>IFERROR(__xludf.DUMMYFUNCTION("""COMPUTED_VALUE"""),"FMY-MA-DE-1A-3A")</f>
        <v>FMY-MA-DE-1A-3A</v>
      </c>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t="str">
        <f>IFERROR(__xludf.DUMMYFUNCTION("""COMPUTED_VALUE"""),"FMY-MA-DE-1A-3B")</f>
        <v>FMY-MA-DE-1A-3B</v>
      </c>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t="str">
        <f>IFERROR(__xludf.DUMMYFUNCTION("""COMPUTED_VALUE"""),"FMY-MA-DE-1A-3C")</f>
        <v>FMY-MA-DE-1A-3C</v>
      </c>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t="str">
        <f>IFERROR(__xludf.DUMMYFUNCTION("""COMPUTED_VALUE"""),"FMY-MA-DE-1A-3D")</f>
        <v>FMY-MA-DE-1A-3D</v>
      </c>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t="str">
        <f>IFERROR(__xludf.DUMMYFUNCTION("""COMPUTED_VALUE"""),"FMY-MA-DE-1A-3E")</f>
        <v>FMY-MA-DE-1A-3E</v>
      </c>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t="str">
        <f>IFERROR(__xludf.DUMMYFUNCTION("""COMPUTED_VALUE"""),"HD-AL-LO-1A-2B")</f>
        <v>HD-AL-LO-1A-2B</v>
      </c>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t="str">
        <f>IFERROR(__xludf.DUMMYFUNCTION("""COMPUTED_VALUE"""),"HD-AL-LO-1A-2C")</f>
        <v>HD-AL-LO-1A-2C</v>
      </c>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t="str">
        <f>IFERROR(__xludf.DUMMYFUNCTION("""COMPUTED_VALUE"""),"HS-PH-HL-1B")</f>
        <v>HS-PH-HL-1B</v>
      </c>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t="str">
        <f>IFERROR(__xludf.DUMMYFUNCTION("""COMPUTED_VALUE"""),"HS-PH-HL-1C")</f>
        <v>HS-PH-HL-1C</v>
      </c>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t="str">
        <f>IFERROR(__xludf.DUMMYFUNCTION("""COMPUTED_VALUE"""),"HD-AL-LO-1B")</f>
        <v>HD-AL-LO-1B</v>
      </c>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t="str">
        <f>IFERROR(__xludf.DUMMYFUNCTION("""COMPUTED_VALUE"""),"HS-PI-PEP-1C")</f>
        <v>HS-PI-PEP-1C</v>
      </c>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t="str">
        <f>IFERROR(__xludf.DUMMYFUNCTION("""COMPUTED_VALUE"""),"HS-PO-GO-1I")</f>
        <v>HS-PO-GO-1I</v>
      </c>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t="str">
        <f>IFERROR(__xludf.DUMMYFUNCTION("""COMPUTED_VALUE"""),"HS-SPA-PLD-1F")</f>
        <v>HS-SPA-PLD-1F</v>
      </c>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t="str">
        <f>IFERROR(__xludf.DUMMYFUNCTION("""COMPUTED_VALUE"""),"HS-PI-PEP-1B")</f>
        <v>HS-PI-PEP-1B</v>
      </c>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t="str">
        <f>IFERROR(__xludf.DUMMYFUNCTION("""COMPUTED_VALUE"""),"WM-PH-WK-1D")</f>
        <v>WM-PH-WK-1D</v>
      </c>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t="str">
        <f>IFERROR(__xludf.DUMMYFUNCTION("""COMPUTED_VALUE"""),"BWH-PO-PAJ-1A-4A")</f>
        <v>BWH-PO-PAJ-1A-4A</v>
      </c>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t="str">
        <f>IFERROR(__xludf.DUMMYFUNCTION("""COMPUTED_VALUE"""),"BWH-PO-PAJ-1A-4B")</f>
        <v>BWH-PO-PAJ-1A-4B</v>
      </c>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t="str">
        <f>IFERROR(__xludf.DUMMYFUNCTION("""COMPUTED_VALUE"""),"BWH-PO-PAJ-1A-4C")</f>
        <v>BWH-PO-PAJ-1A-4C</v>
      </c>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t="str">
        <f>IFERROR(__xludf.DUMMYFUNCTION("""COMPUTED_VALUE"""),"FMY-MA-DE-1A-5B")</f>
        <v>FMY-MA-DE-1A-5B</v>
      </c>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t="str">
        <f>IFERROR(__xludf.DUMMYFUNCTION("""COMPUTED_VALUE"""),"FMY-MA-DE-1A-5C")</f>
        <v>FMY-MA-DE-1A-5C</v>
      </c>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t="str">
        <f>IFERROR(__xludf.DUMMYFUNCTION("""COMPUTED_VALUE"""),"FMY-MA-DE-1A-5D")</f>
        <v>FMY-MA-DE-1A-5D</v>
      </c>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t="str">
        <f>IFERROR(__xludf.DUMMYFUNCTION("""COMPUTED_VALUE"""),"WM-PH-WK-1B")</f>
        <v>WM-PH-WK-1B</v>
      </c>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t="str">
        <f>IFERROR(__xludf.DUMMYFUNCTION("""COMPUTED_VALUE"""),"HD-ST-TR-1B")</f>
        <v>HD-ST-TR-1B</v>
      </c>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t="str">
        <f>IFERROR(__xludf.DUMMYFUNCTION("""COMPUTED_VALUE"""),"HD-ST-TR-1C")</f>
        <v>HD-ST-TR-1C</v>
      </c>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t="str">
        <f>IFERROR(__xludf.DUMMYFUNCTION("""COMPUTED_VALUE"""),"IST-PH-PP-1B")</f>
        <v>IST-PH-PP-1B</v>
      </c>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t="str">
        <f>IFERROR(__xludf.DUMMYFUNCTION("""COMPUTED_VALUE"""),"IST-PH-PP-1C")</f>
        <v>IST-PH-PP-1C</v>
      </c>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t="str">
        <f>IFERROR(__xludf.DUMMYFUNCTION("""COMPUTED_VALUE"""),"HD-AL-GVF-1A")</f>
        <v>HD-AL-GVF-1A</v>
      </c>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t="str">
        <f>IFERROR(__xludf.DUMMYFUNCTION("""COMPUTED_VALUE"""),"HD-AL-GVF-1A-2B")</f>
        <v>HD-AL-GVF-1A-2B</v>
      </c>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t="str">
        <f>IFERROR(__xludf.DUMMYFUNCTION("""COMPUTED_VALUE"""),"HS-SPA-PLD-1C")</f>
        <v>HS-SPA-PLD-1C</v>
      </c>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t="str">
        <f>IFERROR(__xludf.DUMMYFUNCTION("""COMPUTED_VALUE"""),"HS-SP-PLD-1E")</f>
        <v>HS-SP-PLD-1E</v>
      </c>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t="str">
        <f>IFERROR(__xludf.DUMMYFUNCTION("""COMPUTED_VALUE"""),"HS-BE-AW-1B")</f>
        <v>HS-BE-AW-1B</v>
      </c>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t="str">
        <f>IFERROR(__xludf.DUMMYFUNCTION("""COMPUTED_VALUE"""),"HS-BE-AW-1C")</f>
        <v>HS-BE-AW-1C</v>
      </c>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t="str">
        <f>IFERROR(__xludf.DUMMYFUNCTION("""COMPUTED_VALUE"""),"FMY-CA-MA-1B")</f>
        <v>FMY-CA-MA-1B</v>
      </c>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t="str">
        <f>IFERROR(__xludf.DUMMYFUNCTION("""COMPUTED_VALUE"""),"FMY-CA-MA-1C")</f>
        <v>FMY-CA-MA-1C</v>
      </c>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t="str">
        <f>IFERROR(__xludf.DUMMYFUNCTION("""COMPUTED_VALUE"""),"FMY-CA-MA-1D")</f>
        <v>FMY-CA-MA-1D</v>
      </c>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t="str">
        <f>IFERROR(__xludf.DUMMYFUNCTION("""COMPUTED_VALUE"""),"FMY-CA-MA-1E")</f>
        <v>FMY-CA-MA-1E</v>
      </c>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t="str">
        <f>IFERROR(__xludf.DUMMYFUNCTION("""COMPUTED_VALUE"""),"FMY-CA-MA-1F")</f>
        <v>FMY-CA-MA-1F</v>
      </c>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t="str">
        <f>IFERROR(__xludf.DUMMYFUNCTION("""COMPUTED_VALUE"""),"FMY-CA-MA-1G")</f>
        <v>FMY-CA-MA-1G</v>
      </c>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t="str">
        <f>IFERROR(__xludf.DUMMYFUNCTION("""COMPUTED_VALUE"""),"FMY-CA-MA-1H")</f>
        <v>FMY-CA-MA-1H</v>
      </c>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t="str">
        <f>IFERROR(__xludf.DUMMYFUNCTION("""COMPUTED_VALUE"""),"HS-PH-BRL-1B")</f>
        <v>HS-PH-BRL-1B</v>
      </c>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t="str">
        <f>IFERROR(__xludf.DUMMYFUNCTION("""COMPUTED_VALUE"""),"HS-PH-BRL-1C")</f>
        <v>HS-PH-BRL-1C</v>
      </c>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t="str">
        <f>IFERROR(__xludf.DUMMYFUNCTION("""COMPUTED_VALUE"""),"TGOPS-PH-WW-1B")</f>
        <v>TGOPS-PH-WW-1B</v>
      </c>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t="str">
        <f>IFERROR(__xludf.DUMMYFUNCTION("""COMPUTED_VALUE"""),"TGOPS-PH-WW-1C")</f>
        <v>TGOPS-PH-WW-1C</v>
      </c>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t="str">
        <f>IFERROR(__xludf.DUMMYFUNCTION("""COMPUTED_VALUE"""),"TGOPS-PH-WW-1D")</f>
        <v>TGOPS-PH-WW-1D</v>
      </c>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t="str">
        <f>IFERROR(__xludf.DUMMYFUNCTION("""COMPUTED_VALUE"""),"TGOPS-PH-WW-1E")</f>
        <v>TGOPS-PH-WW-1E</v>
      </c>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t="str">
        <f>IFERROR(__xludf.DUMMYFUNCTION("""COMPUTED_VALUE"""),"TGOPS-PH-WW-1F")</f>
        <v>TGOPS-PH-WW-1F</v>
      </c>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t="str">
        <f>IFERROR(__xludf.DUMMYFUNCTION("""COMPUTED_VALUE"""),"TGOPS-PH-WW-1A-3B")</f>
        <v>TGOPS-PH-WW-1A-3B</v>
      </c>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t="str">
        <f>IFERROR(__xludf.DUMMYFUNCTION("""COMPUTED_VALUE"""),"TGOPS-PH-WW-1A-3C")</f>
        <v>TGOPS-PH-WW-1A-3C</v>
      </c>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t="str">
        <f>IFERROR(__xludf.DUMMYFUNCTION("""COMPUTED_VALUE"""),"TGOPS-PH-WW-1A-2D")</f>
        <v>TGOPS-PH-WW-1A-2D</v>
      </c>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t="str">
        <f>IFERROR(__xludf.DUMMYFUNCTION("""COMPUTED_VALUE"""),"TGOPS-PH-WW-1A-2B")</f>
        <v>TGOPS-PH-WW-1A-2B</v>
      </c>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t="str">
        <f>IFERROR(__xludf.DUMMYFUNCTION("""COMPUTED_VALUE"""),"TGOPS-PH-WW-1A-2C")</f>
        <v>TGOPS-PH-WW-1A-2C</v>
      </c>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t="str">
        <f>IFERROR(__xludf.DUMMYFUNCTION("""COMPUTED_VALUE"""),"FMY-PH-PL-1B")</f>
        <v>FMY-PH-PL-1B</v>
      </c>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t="str">
        <f>IFERROR(__xludf.DUMMYFUNCTION("""COMPUTED_VALUE"""),"FMY-MA-PE-1B")</f>
        <v>FMY-MA-PE-1B</v>
      </c>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t="str">
        <f>IFERROR(__xludf.DUMMYFUNCTION("""COMPUTED_VALUE"""),"FMY-MA-PE-1C")</f>
        <v>FMY-MA-PE-1C</v>
      </c>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t="str">
        <f>IFERROR(__xludf.DUMMYFUNCTION("""COMPUTED_VALUE"""),"FMY-MA-PE-1D")</f>
        <v>FMY-MA-PE-1D</v>
      </c>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t="str">
        <f>IFERROR(__xludf.DUMMYFUNCTION("""COMPUTED_VALUE"""),"FMY-MA-PE-1E")</f>
        <v>FMY-MA-PE-1E</v>
      </c>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t="str">
        <f>IFERROR(__xludf.DUMMYFUNCTION("""COMPUTED_VALUE"""),"FMY-MA-PE-1F")</f>
        <v>FMY-MA-PE-1F</v>
      </c>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t="str">
        <f>IFERROR(__xludf.DUMMYFUNCTION("""COMPUTED_VALUE"""),"FMY-MA-PE-1G")</f>
        <v>FMY-MA-PE-1G</v>
      </c>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t="str">
        <f>IFERROR(__xludf.DUMMYFUNCTION("""COMPUTED_VALUE"""),"FMY-AG-SPA-1B")</f>
        <v>FMY-AG-SPA-1B</v>
      </c>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t="str">
        <f>IFERROR(__xludf.DUMMYFUNCTION("""COMPUTED_VALUE"""),"FMY-AG-SPA-1C")</f>
        <v>FMY-AG-SPA-1C</v>
      </c>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t="str">
        <f>IFERROR(__xludf.DUMMYFUNCTION("""COMPUTED_VALUE"""),"FMY-AG-SPA-1D")</f>
        <v>FMY-AG-SPA-1D</v>
      </c>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t="str">
        <f>IFERROR(__xludf.DUMMYFUNCTION("""COMPUTED_VALUE"""),"FMY-AG-SPA-1E")</f>
        <v>FMY-AG-SPA-1E</v>
      </c>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t="str">
        <f>IFERROR(__xludf.DUMMYFUNCTION("""COMPUTED_VALUE"""),"FMY-AG-SPA-1F")</f>
        <v>FMY-AG-SPA-1F</v>
      </c>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t="str">
        <f>IFERROR(__xludf.DUMMYFUNCTION("""COMPUTED_VALUE"""),"FMY-MA-DE-1B")</f>
        <v>FMY-MA-DE-1B</v>
      </c>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t="str">
        <f>IFERROR(__xludf.DUMMYFUNCTION("""COMPUTED_VALUE"""),"FMY-MA-DE-1C")</f>
        <v>FMY-MA-DE-1C</v>
      </c>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t="str">
        <f>IFERROR(__xludf.DUMMYFUNCTION("""COMPUTED_VALUE"""),"FMY-MA-DE-1D")</f>
        <v>FMY-MA-DE-1D</v>
      </c>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t="str">
        <f>IFERROR(__xludf.DUMMYFUNCTION("""COMPUTED_VALUE"""),"FMY-MA-DE-1E")</f>
        <v>FMY-MA-DE-1E</v>
      </c>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t="str">
        <f>IFERROR(__xludf.DUMMYFUNCTION("""COMPUTED_VALUE"""),"HS-PH-HL-1F")</f>
        <v>HS-PH-HL-1F</v>
      </c>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t="str">
        <f>IFERROR(__xludf.DUMMYFUNCTION("""COMPUTED_VALUE"""),"HS-PH-BRL-1D")</f>
        <v>HS-PH-BRL-1D</v>
      </c>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t="str">
        <f>IFERROR(__xludf.DUMMYFUNCTION("""COMPUTED_VALUE"""),"BTPG-HO-KP-1B")</f>
        <v>BTPG-HO-KP-1B</v>
      </c>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t="str">
        <f>IFERROR(__xludf.DUMMYFUNCTION("""COMPUTED_VALUE"""),"BTPG-HO-KP-1C")</f>
        <v>BTPG-HO-KP-1C</v>
      </c>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t="str">
        <f>IFERROR(__xludf.DUMMYFUNCTION("""COMPUTED_VALUE"""),"BTPG-HO-KP-1D")</f>
        <v>BTPG-HO-KP-1D</v>
      </c>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t="str">
        <f>IFERROR(__xludf.DUMMYFUNCTION("""COMPUTED_VALUE"""),"BTPG-HO-KP-1E")</f>
        <v>BTPG-HO-KP-1E</v>
      </c>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t="str">
        <f>IFERROR(__xludf.DUMMYFUNCTION("""COMPUTED_VALUE"""),"BTPG-HO-KP-1F")</f>
        <v>BTPG-HO-KP-1F</v>
      </c>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t="str">
        <f>IFERROR(__xludf.DUMMYFUNCTION("""COMPUTED_VALUE"""),"HS-BE-AW-1I")</f>
        <v>HS-BE-AW-1I</v>
      </c>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t="str">
        <f>IFERROR(__xludf.DUMMYFUNCTION("""COMPUTED_VALUE"""),"HS-BE-AW-1K")</f>
        <v>HS-BE-AW-1K</v>
      </c>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t="str">
        <f>IFERROR(__xludf.DUMMYFUNCTION("""COMPUTED_VALUE"""),"BWH-PO-PAJ-1B")</f>
        <v>BWH-PO-PAJ-1B</v>
      </c>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t="str">
        <f>IFERROR(__xludf.DUMMYFUNCTION("""COMPUTED_VALUE"""),"HS-PO-GO-1K")</f>
        <v>HS-PO-GO-1K</v>
      </c>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t="str">
        <f>IFERROR(__xludf.DUMMYFUNCTION("""COMPUTED_VALUE"""),"HS-PO-GO-1D")</f>
        <v>HS-PO-GO-1D</v>
      </c>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t="str">
        <f>IFERROR(__xludf.DUMMYFUNCTION("""COMPUTED_VALUE"""),"AGP-AL-NI-1A-3B")</f>
        <v>AGP-AL-NI-1A-3B</v>
      </c>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t="str">
        <f>IFERROR(__xludf.DUMMYFUNCTION("""COMPUTED_VALUE"""),"AGP-AL-NI-1A-3C")</f>
        <v>AGP-AL-NI-1A-3C</v>
      </c>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t="str">
        <f>IFERROR(__xludf.DUMMYFUNCTION("""COMPUTED_VALUE"""),"AGP-PH-BC-1B")</f>
        <v>AGP-PH-BC-1B</v>
      </c>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t="str">
        <f>IFERROR(__xludf.DUMMYFUNCTION("""COMPUTED_VALUE"""),"AGP-PH-BC-1C")</f>
        <v>AGP-PH-BC-1C</v>
      </c>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t="str">
        <f>IFERROR(__xludf.DUMMYFUNCTION("""COMPUTED_VALUE"""),"AGP-PH-BC-1A-2A")</f>
        <v>AGP-PH-BC-1A-2A</v>
      </c>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t="str">
        <f>IFERROR(__xludf.DUMMYFUNCTION("""COMPUTED_VALUE"""),"AGP-PH-BC-1A-2B")</f>
        <v>AGP-PH-BC-1A-2B</v>
      </c>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t="str">
        <f>IFERROR(__xludf.DUMMYFUNCTION("""COMPUTED_VALUE"""),"AGP-PH-BC-1A-3A")</f>
        <v>AGP-PH-BC-1A-3A</v>
      </c>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t="str">
        <f>IFERROR(__xludf.DUMMYFUNCTION("""COMPUTED_VALUE"""),"AGP-PH-BC-1A-3B")</f>
        <v>AGP-PH-BC-1A-3B</v>
      </c>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t="str">
        <f>IFERROR(__xludf.DUMMYFUNCTION("""COMPUTED_VALUE"""),"AGP-PH-BC-1A-4B")</f>
        <v>AGP-PH-BC-1A-4B</v>
      </c>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t="str">
        <f>IFERROR(__xludf.DUMMYFUNCTION("""COMPUTED_VALUE"""),"BPF-PO-NE-1A-2A")</f>
        <v>BPF-PO-NE-1A-2A</v>
      </c>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t="str">
        <f>IFERROR(__xludf.DUMMYFUNCTION("""COMPUTED_VALUE"""),"BPF-PO-NE-1A-2B")</f>
        <v>BPF-PO-NE-1A-2B</v>
      </c>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t="str">
        <f>IFERROR(__xludf.DUMMYFUNCTION("""COMPUTED_VALUE"""),"BPF-PO-NE-1A-2C")</f>
        <v>BPF-PO-NE-1A-2C</v>
      </c>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t="str">
        <f>IFERROR(__xludf.DUMMYFUNCTION("""COMPUTED_VALUE"""),"BWH-PH-VRCRH-1B")</f>
        <v>BWH-PH-VRCRH-1B</v>
      </c>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t="str">
        <f>IFERROR(__xludf.DUMMYFUNCTION("""COMPUTED_VALUE"""),"BWH-PH-VRCRH-1C")</f>
        <v>BWH-PH-VRCRH-1C</v>
      </c>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t="str">
        <f>IFERROR(__xludf.DUMMYFUNCTION("""COMPUTED_VALUE"""),"BWH-PH-VRCRH-1D")</f>
        <v>BWH-PH-VRCRH-1D</v>
      </c>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t="str">
        <f>IFERROR(__xludf.DUMMYFUNCTION("""COMPUTED_VALUE"""),"BWH-PH-VRCRH-1E")</f>
        <v>BWH-PH-VRCRH-1E</v>
      </c>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t="str">
        <f>IFERROR(__xludf.DUMMYFUNCTION("""COMPUTED_VALUE"""),"BWH-PH-VRCRH-1F")</f>
        <v>BWH-PH-VRCRH-1F</v>
      </c>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t="str">
        <f>IFERROR(__xludf.DUMMYFUNCTION("""COMPUTED_VALUE"""),"FM-PH-BMV-1A-2B")</f>
        <v>FM-PH-BMV-1A-2B</v>
      </c>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t="str">
        <f>IFERROR(__xludf.DUMMYFUNCTION("""COMPUTED_VALUE"""),"FM-PH-BMV-1A-2A")</f>
        <v>FM-PH-BMV-1A-2A</v>
      </c>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t="str">
        <f>IFERROR(__xludf.DUMMYFUNCTION("""COMPUTED_VALUE"""),"AM-PH-BI-1B")</f>
        <v>AM-PH-BI-1B</v>
      </c>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t="str">
        <f>IFERROR(__xludf.DUMMYFUNCTION("""COMPUTED_VALUE"""),"AM-PH-BI-1C")</f>
        <v>AM-PH-BI-1C</v>
      </c>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t="str">
        <f>IFERROR(__xludf.DUMMYFUNCTION("""COMPUTED_VALUE"""),"HS-BE-AW-1M")</f>
        <v>HS-BE-AW-1M</v>
      </c>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t="str">
        <f>IFERROR(__xludf.DUMMYFUNCTION("""COMPUTED_VALUE"""),"HS-BE-AW-1N")</f>
        <v>HS-BE-AW-1N</v>
      </c>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t="str">
        <f>IFERROR(__xludf.DUMMYFUNCTION("""COMPUTED_VALUE"""),"HS-BE-AW-1O")</f>
        <v>HS-BE-AW-1O</v>
      </c>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t="str">
        <f>IFERROR(__xludf.DUMMYFUNCTION("""COMPUTED_VALUE"""),"HS-BE-AW-1P")</f>
        <v>HS-BE-AW-1P</v>
      </c>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t="str">
        <f>IFERROR(__xludf.DUMMYFUNCTION("""COMPUTED_VALUE"""),"HS-BE-AW-1Q")</f>
        <v>HS-BE-AW-1Q</v>
      </c>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t="str">
        <f>IFERROR(__xludf.DUMMYFUNCTION("""COMPUTED_VALUE"""),"HS-BE-AW-1R")</f>
        <v>HS-BE-AW-1R</v>
      </c>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t="str">
        <f>IFERROR(__xludf.DUMMYFUNCTION("""COMPUTED_VALUE"""),"FM-PH-PP-1B")</f>
        <v>FM-PH-PP-1B</v>
      </c>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t="str">
        <f>IFERROR(__xludf.DUMMYFUNCTION("""COMPUTED_VALUE"""),"FM-PH-PP-1C")</f>
        <v>FM-PH-PP-1C</v>
      </c>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t="str">
        <f>IFERROR(__xludf.DUMMYFUNCTION("""COMPUTED_VALUE"""),"FM-PH-PP-1D")</f>
        <v>FM-PH-PP-1D</v>
      </c>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t="str">
        <f>IFERROR(__xludf.DUMMYFUNCTION("""COMPUTED_VALUE"""),"HS-BE-AW-1G")</f>
        <v>HS-BE-AW-1G</v>
      </c>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t="str">
        <f>IFERROR(__xludf.DUMMYFUNCTION("""COMPUTED_VALUE"""),"HS-BE-AW-1D")</f>
        <v>HS-BE-AW-1D</v>
      </c>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t="str">
        <f>IFERROR(__xludf.DUMMYFUNCTION("""COMPUTED_VALUE"""),"HS-PO-GO-1B")</f>
        <v>HS-PO-GO-1B</v>
      </c>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t="str">
        <f>IFERROR(__xludf.DUMMYFUNCTION("""COMPUTED_VALUE"""),"HS-PO-GO-1J")</f>
        <v>HS-PO-GO-1J</v>
      </c>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t="str">
        <f>IFERROR(__xludf.DUMMYFUNCTION("""COMPUTED_VALUE"""),"BWH-PO-PAJ-1A-3A")</f>
        <v>BWH-PO-PAJ-1A-3A</v>
      </c>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t="str">
        <f>IFERROR(__xludf.DUMMYFUNCTION("""COMPUTED_VALUE"""),"HS-PO-GO-1C")</f>
        <v>HS-PO-GO-1C</v>
      </c>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t="str">
        <f>IFERROR(__xludf.DUMMYFUNCTION("""COMPUTED_VALUE"""),"HD-AL-BDS-1B")</f>
        <v>HD-AL-BDS-1B</v>
      </c>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t="str">
        <f>IFERROR(__xludf.DUMMYFUNCTION("""COMPUTED_VALUE"""),"HD-AL-BDS-1C")</f>
        <v>HD-AL-BDS-1C</v>
      </c>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t="str">
        <f>IFERROR(__xludf.DUMMYFUNCTION("""COMPUTED_VALUE"""),"FM-SYN-MB-1A")</f>
        <v>FM-SYN-MB-1A</v>
      </c>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t="str">
        <f>IFERROR(__xludf.DUMMYFUNCTION("""COMPUTED_VALUE"""),"BPF-SE-SOP-2B")</f>
        <v>BPF-SE-SOP-2B</v>
      </c>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t="str">
        <f>IFERROR(__xludf.DUMMYFUNCTION("""COMPUTED_VALUE"""),"TLC-PH-CS-1B")</f>
        <v>TLC-PH-CS-1B</v>
      </c>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t="str">
        <f>IFERROR(__xludf.DUMMYFUNCTION("""COMPUTED_VALUE"""),"HS-PH-HL-1G")</f>
        <v>HS-PH-HL-1G</v>
      </c>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t="str">
        <f>IFERROR(__xludf.DUMMYFUNCTION("""COMPUTED_VALUE"""),"HS-PO-GO-1G")</f>
        <v>HS-PO-GO-1G</v>
      </c>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t="str">
        <f>IFERROR(__xludf.DUMMYFUNCTION("""COMPUTED_VALUE"""),"WM-PH-WK-1C")</f>
        <v>WM-PH-WK-1C</v>
      </c>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t="str">
        <f>IFERROR(__xludf.DUMMYFUNCTION("""COMPUTED_VALUE"""),"HS-BE-AW-1S")</f>
        <v>HS-BE-AW-1S</v>
      </c>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t="str">
        <f>IFERROR(__xludf.DUMMYFUNCTION("""COMPUTED_VALUE"""),"HS-PO-GO-1L")</f>
        <v>HS-PO-GO-1L</v>
      </c>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t="str">
        <f>IFERROR(__xludf.DUMMYFUNCTION("""COMPUTED_VALUE"""),"BWH-PO-PAJ-2A-4B")</f>
        <v>BWH-PO-PAJ-2A-4B</v>
      </c>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t="str">
        <f>IFERROR(__xludf.DUMMYFUNCTION("""COMPUTED_VALUE"""),"BPF-SE-SOP-2C")</f>
        <v>BPF-SE-SOP-2C</v>
      </c>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t="str">
        <f>IFERROR(__xludf.DUMMYFUNCTION("""COMPUTED_VALUE"""),"HS-BE-AW-1U")</f>
        <v>HS-BE-AW-1U</v>
      </c>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t="str">
        <f>IFERROR(__xludf.DUMMYFUNCTION("""COMPUTED_VALUE"""),"HS-BE-AW-1T")</f>
        <v>HS-BE-AW-1T</v>
      </c>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t="str">
        <f>IFERROR(__xludf.DUMMYFUNCTION("""COMPUTED_VALUE"""),"HS-BE-AW-1L")</f>
        <v>HS-BE-AW-1L</v>
      </c>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t="str">
        <f>IFERROR(__xludf.DUMMYFUNCTION("""COMPUTED_VALUE"""),"HS-PH-HL-1H")</f>
        <v>HS-PH-HL-1H</v>
      </c>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t="str">
        <f>IFERROR(__xludf.DUMMYFUNCTION("""COMPUTED_VALUE"""),"HS-PH-BRL-1E")</f>
        <v>HS-PH-BRL-1E</v>
      </c>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t="str">
        <f>IFERROR(__xludf.DUMMYFUNCTION("""COMPUTED_VALUE"""),"HS-PO-GO-1M")</f>
        <v>HS-PO-GO-1M</v>
      </c>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t="str">
        <f>IFERROR(__xludf.DUMMYFUNCTION("""COMPUTED_VALUE"""),"AGP-SYN-EC-1B")</f>
        <v>AGP-SYN-EC-1B</v>
      </c>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t="str">
        <f>IFERROR(__xludf.DUMMYFUNCTION("""COMPUTED_VALUE"""),"AGP-SYN-EC-1C")</f>
        <v>AGP-SYN-EC-1C</v>
      </c>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t="str">
        <f>IFERROR(__xludf.DUMMYFUNCTION("""COMPUTED_VALUE"""),"AGP-SYN-EC-1D")</f>
        <v>AGP-SYN-EC-1D</v>
      </c>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t="str">
        <f>IFERROR(__xludf.DUMMYFUNCTION("""COMPUTED_VALUE"""),"FM-PH-WK-1B")</f>
        <v>FM-PH-WK-1B</v>
      </c>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t="str">
        <f>IFERROR(__xludf.DUMMYFUNCTION("""COMPUTED_VALUE"""),"HS-DR-SP-1B")</f>
        <v>HS-DR-SP-1B</v>
      </c>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t="str">
        <f>IFERROR(__xludf.DUMMYFUNCTION("""COMPUTED_VALUE"""),"HS-DR-SP-1C")</f>
        <v>HS-DR-SP-1C</v>
      </c>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t="str">
        <f>IFERROR(__xludf.DUMMYFUNCTION("""COMPUTED_VALUE"""),"JJP-PH-PP-1B")</f>
        <v>JJP-PH-PP-1B</v>
      </c>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t="str">
        <f>IFERROR(__xludf.DUMMYFUNCTION("""COMPUTED_VALUE"""),"BPF-CE-VSH-1B")</f>
        <v>BPF-CE-VSH-1B</v>
      </c>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t="str">
        <f>IFERROR(__xludf.DUMMYFUNCTION("""COMPUTED_VALUE"""),"TLC-BE-BR-1B")</f>
        <v>TLC-BE-BR-1B</v>
      </c>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t="str">
        <f>IFERROR(__xludf.DUMMYFUNCTION("""COMPUTED_VALUE"""),"IST-PH-GL-1B")</f>
        <v>IST-PH-GL-1B</v>
      </c>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t="str">
        <f>IFERROR(__xludf.DUMMYFUNCTION("""COMPUTED_VALUE"""),"IST-PH-GL-1C")</f>
        <v>IST-PH-GL-1C</v>
      </c>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t="str">
        <f>IFERROR(__xludf.DUMMYFUNCTION("""COMPUTED_VALUE"""),"TLC-SYN-AU-1B")</f>
        <v>TLC-SYN-AU-1B</v>
      </c>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t="str">
        <f>IFERROR(__xludf.DUMMYFUNCTION("""COMPUTED_VALUE"""),"TLC-PH-BXP-1B")</f>
        <v>TLC-PH-BXP-1B</v>
      </c>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t="str">
        <f>IFERROR(__xludf.DUMMYFUNCTION("""COMPUTED_VALUE"""),"DSE-COL-MOJ-1A-9B")</f>
        <v>DSE-COL-MOJ-1A-9B</v>
      </c>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t="str">
        <f>IFERROR(__xludf.DUMMYFUNCTION("""COMPUTED_VALUE"""),"TLC-BE-MAC-1B")</f>
        <v>TLC-BE-MAC-1B</v>
      </c>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t="str">
        <f>IFERROR(__xludf.DUMMYFUNCTION("""COMPUTED_VALUE"""),"HS-PO-GO-1O")</f>
        <v>HS-PO-GO-1O</v>
      </c>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t="str">
        <f>IFERROR(__xludf.DUMMYFUNCTION("""COMPUTED_VALUE"""),"HS-PO-GO-1N")</f>
        <v>HS-PO-GO-1N</v>
      </c>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t="str">
        <f>IFERROR(__xludf.DUMMYFUNCTION("""COMPUTED_VALUE"""),"HS-CT-BM-1B")</f>
        <v>HS-CT-BM-1B</v>
      </c>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t="str">
        <f>IFERROR(__xludf.DUMMYFUNCTION("""COMPUTED_VALUE"""),"TG-CHL-SPI-1B")</f>
        <v>TG-CHL-SPI-1B</v>
      </c>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t="str">
        <f>IFERROR(__xludf.DUMMYFUNCTION("""COMPUTED_VALUE"""),"AGP-AL-NI-1A-2B")</f>
        <v>AGP-AL-NI-1A-2B</v>
      </c>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t="str">
        <f>IFERROR(__xludf.DUMMYFUNCTION("""COMPUTED_VALUE"""),"AGP-AL-NI-1A-2C")</f>
        <v>AGP-AL-NI-1A-2C</v>
      </c>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t="str">
        <f>IFERROR(__xludf.DUMMYFUNCTION("""COMPUTED_VALUE"""),"TLC-PH-GCN-1B")</f>
        <v>TLC-PH-GCN-1B</v>
      </c>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t="str">
        <f>IFERROR(__xludf.DUMMYFUNCTION("""COMPUTED_VALUE"""),"TLC-PH-GCN-1C")</f>
        <v>TLC-PH-GCN-1C</v>
      </c>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t="str">
        <f>IFERROR(__xludf.DUMMYFUNCTION("""COMPUTED_VALUE"""),"TLC-PH-GCN-1D")</f>
        <v>TLC-PH-GCN-1D</v>
      </c>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t="str">
        <f>IFERROR(__xludf.DUMMYFUNCTION("""COMPUTED_VALUE"""),"TLC-PH-GCN-1E")</f>
        <v>TLC-PH-GCN-1E</v>
      </c>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t="str">
        <f>IFERROR(__xludf.DUMMYFUNCTION("""COMPUTED_VALUE"""),"AGP-PH-ROF-1B")</f>
        <v>AGP-PH-ROF-1B</v>
      </c>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t="str">
        <f>IFERROR(__xludf.DUMMYFUNCTION("""COMPUTED_VALUE"""),"AGP-PH-ROF-1C")</f>
        <v>AGP-PH-ROF-1C</v>
      </c>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t="str">
        <f>IFERROR(__xludf.DUMMYFUNCTION("""COMPUTED_VALUE"""),"AGP-PH-ROF-1D")</f>
        <v>AGP-PH-ROF-1D</v>
      </c>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t="str">
        <f>IFERROR(__xludf.DUMMYFUNCTION("""COMPUTED_VALUE"""),"AGP-PH-ROF-1E")</f>
        <v>AGP-PH-ROF-1E</v>
      </c>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t="str">
        <f>IFERROR(__xludf.DUMMYFUNCTION("""COMPUTED_VALUE"""),"BWH-PH-RAPK-2A-2B")</f>
        <v>BWH-PH-RAPK-2A-2B</v>
      </c>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t="str">
        <f>IFERROR(__xludf.DUMMYFUNCTION("""COMPUTED_VALUE"""),"IST-PH-WP-1B")</f>
        <v>IST-PH-WP-1B</v>
      </c>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t="str">
        <f>IFERROR(__xludf.DUMMYFUNCTION("""COMPUTED_VALUE"""),"BWH-SYN-WE-1A-4B")</f>
        <v>BWH-SYN-WE-1A-4B</v>
      </c>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t="str">
        <f>IFERROR(__xludf.DUMMYFUNCTION("""COMPUTED_VALUE"""),"BWH-SYN-WE-1A-4C")</f>
        <v>BWH-SYN-WE-1A-4C</v>
      </c>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t="str">
        <f>IFERROR(__xludf.DUMMYFUNCTION("""COMPUTED_VALUE"""),"BWH-AL-QD-1B")</f>
        <v>BWH-AL-QD-1B</v>
      </c>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t="str">
        <f>IFERROR(__xludf.DUMMYFUNCTION("""COMPUTED_VALUE"""),"BWH-AL-QD-1C")</f>
        <v>BWH-AL-QD-1C</v>
      </c>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t="str">
        <f>IFERROR(__xludf.DUMMYFUNCTION("""COMPUTED_VALUE"""),"BWH-AL-QD-1D")</f>
        <v>BWH-AL-QD-1D</v>
      </c>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t="str">
        <f>IFERROR(__xludf.DUMMYFUNCTION("""COMPUTED_VALUE"""),"BWH-AL-QD-1A-3B")</f>
        <v>BWH-AL-QD-1A-3B</v>
      </c>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t="str">
        <f>IFERROR(__xludf.DUMMYFUNCTION("""COMPUTED_VALUE"""),"BWH-AL-QD-1A-3C")</f>
        <v>BWH-AL-QD-1A-3C</v>
      </c>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t="str">
        <f>IFERROR(__xludf.DUMMYFUNCTION("""COMPUTED_VALUE"""),"BWH-AL-QD-1A-5B")</f>
        <v>BWH-AL-QD-1A-5B</v>
      </c>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t="str">
        <f>IFERROR(__xludf.DUMMYFUNCTION("""COMPUTED_VALUE"""),"BWH-AL-QD-1A-5C")</f>
        <v>BWH-AL-QD-1A-5C</v>
      </c>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t="str">
        <f>IFERROR(__xludf.DUMMYFUNCTION("""COMPUTED_VALUE"""),"BWH-AL-QD-1A-5D")</f>
        <v>BWH-AL-QD-1A-5D</v>
      </c>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t="str">
        <f>IFERROR(__xludf.DUMMYFUNCTION("""COMPUTED_VALUE"""),"BWH-AL-QD-1A-5E")</f>
        <v>BWH-AL-QD-1A-5E</v>
      </c>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t="str">
        <f>IFERROR(__xludf.DUMMYFUNCTION("""COMPUTED_VALUE"""),"BWH-AL-QD-1A-5F")</f>
        <v>BWH-AL-QD-1A-5F</v>
      </c>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t="str">
        <f>IFERROR(__xludf.DUMMYFUNCTION("""COMPUTED_VALUE"""),"BWH-AL-QD-1A-4B")</f>
        <v>BWH-AL-QD-1A-4B</v>
      </c>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t="str">
        <f>IFERROR(__xludf.DUMMYFUNCTION("""COMPUTED_VALUE"""),"BWH-AL-QD-1A-4C")</f>
        <v>BWH-AL-QD-1A-4C</v>
      </c>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t="str">
        <f>IFERROR(__xludf.DUMMYFUNCTION("""COMPUTED_VALUE"""),"BWH-AL-QD-1A-4D")</f>
        <v>BWH-AL-QD-1A-4D</v>
      </c>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t="str">
        <f>IFERROR(__xludf.DUMMYFUNCTION("""COMPUTED_VALUE"""),"BWH-AL-QD-1A-4E")</f>
        <v>BWH-AL-QD-1A-4E</v>
      </c>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t="str">
        <f>IFERROR(__xludf.DUMMYFUNCTION("""COMPUTED_VALUE"""),"RSV-EPI-PM-1B")</f>
        <v>RSV-EPI-PM-1B</v>
      </c>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t="str">
        <f>IFERROR(__xludf.DUMMYFUNCTION("""COMPUTED_VALUE"""),"HS-CT-BM-1C")</f>
        <v>HS-CT-BM-1C</v>
      </c>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t="str">
        <f>IFERROR(__xludf.DUMMYFUNCTION("""COMPUTED_VALUE"""),"TLC-BE-SLC-1B")</f>
        <v>TLC-BE-SLC-1B</v>
      </c>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t="str">
        <f>IFERROR(__xludf.DUMMYFUNCTION("""COMPUTED_VALUE"""),"TLC-BE-SLC-1C")</f>
        <v>TLC-BE-SLC-1C</v>
      </c>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t="str">
        <f>IFERROR(__xludf.DUMMYFUNCTION("""COMPUTED_VALUE"""),"TA-OC-HB-1B")</f>
        <v>TA-OC-HB-1B</v>
      </c>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t="str">
        <f>IFERROR(__xludf.DUMMYFUNCTION("""COMPUTED_VALUE"""),"TA-OC-HB-1C")</f>
        <v>TA-OC-HB-1C</v>
      </c>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t="str">
        <f>IFERROR(__xludf.DUMMYFUNCTION("""COMPUTED_VALUE"""),"TA-OC-HB-1D")</f>
        <v>TA-OC-HB-1D</v>
      </c>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t="str">
        <f>IFERROR(__xludf.DUMMYFUNCTION("""COMPUTED_VALUE"""),"TA-OC-HB-1E")</f>
        <v>TA-OC-HB-1E</v>
      </c>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t="str">
        <f>IFERROR(__xludf.DUMMYFUNCTION("""COMPUTED_VALUE"""),"TA-OC-HB-1F")</f>
        <v>TA-OC-HB-1F</v>
      </c>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t="str">
        <f>IFERROR(__xludf.DUMMYFUNCTION("""COMPUTED_VALUE"""),"TA-OC-HB-1G")</f>
        <v>TA-OC-HB-1G</v>
      </c>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t="str">
        <f>IFERROR(__xludf.DUMMYFUNCTION("""COMPUTED_VALUE"""),"TA-OC-HB-1H")</f>
        <v>TA-OC-HB-1H</v>
      </c>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t="str">
        <f>IFERROR(__xludf.DUMMYFUNCTION("""COMPUTED_VALUE"""),"TA-OC-HB-1I")</f>
        <v>TA-OC-HB-1I</v>
      </c>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t="str">
        <f>IFERROR(__xludf.DUMMYFUNCTION("""COMPUTED_VALUE"""),"TA-OC-HB-1J")</f>
        <v>TA-OC-HB-1J</v>
      </c>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t="str">
        <f>IFERROR(__xludf.DUMMYFUNCTION("""COMPUTED_VALUE"""),"TA-OC-HB-1K")</f>
        <v>TA-OC-HB-1K</v>
      </c>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t="str">
        <f>IFERROR(__xludf.DUMMYFUNCTION("""COMPUTED_VALUE"""),"TA-OC-HB-1L")</f>
        <v>TA-OC-HB-1L</v>
      </c>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t="str">
        <f>IFERROR(__xludf.DUMMYFUNCTION("""COMPUTED_VALUE"""),"TA-OC-HB-1M")</f>
        <v>TA-OC-HB-1M</v>
      </c>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t="str">
        <f>IFERROR(__xludf.DUMMYFUNCTION("""COMPUTED_VALUE"""),"BWH-AL-QD-1E")</f>
        <v>BWH-AL-QD-1E</v>
      </c>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t="str">
        <f>IFERROR(__xludf.DUMMYFUNCTION("""COMPUTED_VALUE"""),"HS-DR-SP-1D")</f>
        <v>HS-DR-SP-1D</v>
      </c>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t="str">
        <f>IFERROR(__xludf.DUMMYFUNCTION("""COMPUTED_VALUE"""),"HS-SP-PLD-1B")</f>
        <v>HS-SP-PLD-1B</v>
      </c>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t="str">
        <f>IFERROR(__xludf.DUMMYFUNCTION("""COMPUTED_VALUE"""),"HS-SP-PLD-1C")</f>
        <v>HS-SP-PLD-1C</v>
      </c>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t="str">
        <f>IFERROR(__xludf.DUMMYFUNCTION("""COMPUTED_VALUE"""),"HS-SP-PLD-1D")</f>
        <v>HS-SP-PLD-1D</v>
      </c>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t="str">
        <f>IFERROR(__xludf.DUMMYFUNCTION("""COMPUTED_VALUE"""),"HS-SP-PLD-1F")</f>
        <v>HS-SP-PLD-1F</v>
      </c>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t="str">
        <f>IFERROR(__xludf.DUMMYFUNCTION("""COMPUTED_VALUE"""),"HS-SP-PLD-1G")</f>
        <v>HS-SP-PLD-1G</v>
      </c>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t="str">
        <f>IFERROR(__xludf.DUMMYFUNCTION("""COMPUTED_VALUE"""),"HS-SP-PLD-1H")</f>
        <v>HS-SP-PLD-1H</v>
      </c>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t="str">
        <f>IFERROR(__xludf.DUMMYFUNCTION("""COMPUTED_VALUE"""),"BWH-PH-RAPK-1A-5B")</f>
        <v>BWH-PH-RAPK-1A-5B</v>
      </c>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t="str">
        <f>IFERROR(__xludf.DUMMYFUNCTION("""COMPUTED_VALUE"""),"BWH-PH-RAPK-1A-5C")</f>
        <v>BWH-PH-RAPK-1A-5C</v>
      </c>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t="str">
        <f>IFERROR(__xludf.DUMMYFUNCTION("""COMPUTED_VALUE"""),"TA-TH-TH-1B")</f>
        <v>TA-TH-TH-1B</v>
      </c>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t="str">
        <f>IFERROR(__xludf.DUMMYFUNCTION("""COMPUTED_VALUE"""),"TA-TH-TH-1C")</f>
        <v>TA-TH-TH-1C</v>
      </c>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t="str">
        <f>IFERROR(__xludf.DUMMYFUNCTION("""COMPUTED_VALUE"""),"TA-TH-TH-1A-2B")</f>
        <v>TA-TH-TH-1A-2B</v>
      </c>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t="str">
        <f>IFERROR(__xludf.DUMMYFUNCTION("""COMPUTED_VALUE"""),"AGP-AL-NI-1A-3D")</f>
        <v>AGP-AL-NI-1A-3D</v>
      </c>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t="str">
        <f>IFERROR(__xludf.DUMMYFUNCTION("""COMPUTED_VALUE"""),"AGP-AL-NI-1A-3E")</f>
        <v>AGP-AL-NI-1A-3E</v>
      </c>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t="str">
        <f>IFERROR(__xludf.DUMMYFUNCTION("""COMPUTED_VALUE"""),"AGP-AL-NI-1A-3F")</f>
        <v>AGP-AL-NI-1A-3F</v>
      </c>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t="str">
        <f>IFERROR(__xludf.DUMMYFUNCTION("""COMPUTED_VALUE"""),"AGP-AL-NI-1A-3G")</f>
        <v>AGP-AL-NI-1A-3G</v>
      </c>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t="str">
        <f>IFERROR(__xludf.DUMMYFUNCTION("""COMPUTED_VALUE"""),"AGP-AL-NI-1A-3H")</f>
        <v>AGP-AL-NI-1A-3H</v>
      </c>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t="str">
        <f>IFERROR(__xludf.DUMMYFUNCTION("""COMPUTED_VALUE"""),"AGP-AL-NI-1A-3I")</f>
        <v>AGP-AL-NI-1A-3I</v>
      </c>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t="str">
        <f>IFERROR(__xludf.DUMMYFUNCTION("""COMPUTED_VALUE"""),"AGP-AL-NI-1A-3J")</f>
        <v>AGP-AL-NI-1A-3J</v>
      </c>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t="str">
        <f>IFERROR(__xludf.DUMMYFUNCTION("""COMPUTED_VALUE"""),"BWH-SYN-WE-1B")</f>
        <v>BWH-SYN-WE-1B</v>
      </c>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t="str">
        <f>IFERROR(__xludf.DUMMYFUNCTION("""COMPUTED_VALUE"""),"FMY-MA-DE-1A-2B")</f>
        <v>FMY-MA-DE-1A-2B</v>
      </c>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t="str">
        <f>IFERROR(__xludf.DUMMYFUNCTION("""COMPUTED_VALUE"""),"TG-NE-BP-3A-2B")</f>
        <v>TG-NE-BP-3A-2B</v>
      </c>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t="str">
        <f>IFERROR(__xludf.DUMMYFUNCTION("""COMPUTED_VALUE"""),"HD-AL-LO-1C")</f>
        <v>HD-AL-LO-1C</v>
      </c>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0" width="26.25"/>
    <col customWidth="1" min="21" max="26" width="7.63"/>
  </cols>
  <sheetData>
    <row r="1" ht="39.75" customHeight="1">
      <c r="A1" s="274" t="s">
        <v>9780</v>
      </c>
      <c r="B1" s="274" t="s">
        <v>9781</v>
      </c>
      <c r="C1" s="274" t="s">
        <v>9782</v>
      </c>
      <c r="D1" s="274" t="s">
        <v>0</v>
      </c>
      <c r="E1" s="274" t="s">
        <v>1</v>
      </c>
      <c r="F1" s="274" t="s">
        <v>2</v>
      </c>
      <c r="G1" s="274" t="s">
        <v>3</v>
      </c>
      <c r="H1" s="274" t="s">
        <v>4</v>
      </c>
      <c r="I1" s="274" t="s">
        <v>11</v>
      </c>
      <c r="J1" s="274" t="s">
        <v>6</v>
      </c>
      <c r="K1" s="274" t="s">
        <v>10</v>
      </c>
      <c r="L1" s="274" t="s">
        <v>12</v>
      </c>
      <c r="M1" s="274" t="s">
        <v>1135</v>
      </c>
      <c r="N1" s="274" t="s">
        <v>1085</v>
      </c>
      <c r="O1" s="274" t="s">
        <v>9783</v>
      </c>
      <c r="P1" s="274" t="s">
        <v>9784</v>
      </c>
      <c r="Q1" s="274" t="s">
        <v>9785</v>
      </c>
      <c r="R1" s="274" t="s">
        <v>9786</v>
      </c>
      <c r="S1" s="274" t="s">
        <v>9787</v>
      </c>
      <c r="T1" s="274" t="s">
        <v>9788</v>
      </c>
      <c r="U1" s="275"/>
      <c r="V1" s="275"/>
      <c r="W1" s="275"/>
      <c r="X1" s="275"/>
      <c r="Y1" s="275"/>
      <c r="Z1" s="275"/>
    </row>
    <row r="2" ht="120.0" customHeight="1">
      <c r="A2" s="276" t="s">
        <v>9789</v>
      </c>
      <c r="B2" s="276" t="s">
        <v>9790</v>
      </c>
      <c r="C2" s="276" t="s">
        <v>9791</v>
      </c>
      <c r="D2" s="277" t="s">
        <v>9792</v>
      </c>
      <c r="E2" s="277" t="s">
        <v>9793</v>
      </c>
      <c r="F2" s="277" t="s">
        <v>9794</v>
      </c>
      <c r="G2" s="277" t="s">
        <v>9795</v>
      </c>
      <c r="H2" s="277" t="s">
        <v>9796</v>
      </c>
      <c r="I2" s="277" t="s">
        <v>9797</v>
      </c>
      <c r="J2" s="277" t="s">
        <v>9798</v>
      </c>
      <c r="K2" s="277" t="s">
        <v>9799</v>
      </c>
      <c r="L2" s="277" t="s">
        <v>9800</v>
      </c>
      <c r="M2" s="277" t="s">
        <v>9801</v>
      </c>
      <c r="N2" s="277" t="s">
        <v>9802</v>
      </c>
      <c r="O2" s="277" t="s">
        <v>9803</v>
      </c>
      <c r="P2" s="277" t="s">
        <v>9804</v>
      </c>
      <c r="Q2" s="277" t="s">
        <v>9805</v>
      </c>
      <c r="R2" s="277" t="s">
        <v>9806</v>
      </c>
      <c r="S2" s="276" t="s">
        <v>9807</v>
      </c>
      <c r="T2" s="277" t="s">
        <v>9808</v>
      </c>
      <c r="U2" s="278"/>
      <c r="V2" s="278"/>
      <c r="W2" s="278"/>
      <c r="X2" s="278"/>
      <c r="Y2" s="278"/>
      <c r="Z2" s="278"/>
    </row>
    <row r="3">
      <c r="A3" s="278"/>
      <c r="B3" s="278"/>
      <c r="C3" s="278"/>
      <c r="D3" s="278"/>
      <c r="E3" s="278"/>
      <c r="F3" s="278"/>
      <c r="G3" s="278"/>
      <c r="H3" s="278"/>
      <c r="I3" s="278"/>
      <c r="J3" s="278"/>
      <c r="K3" s="278"/>
      <c r="L3" s="278"/>
      <c r="M3" s="278"/>
      <c r="N3" s="278"/>
      <c r="O3" s="278"/>
      <c r="P3" s="278"/>
      <c r="Q3" s="278"/>
      <c r="R3" s="278"/>
      <c r="S3" s="278"/>
      <c r="T3" s="278"/>
      <c r="U3" s="278"/>
      <c r="V3" s="278"/>
      <c r="W3" s="278"/>
      <c r="X3" s="278"/>
      <c r="Y3" s="278"/>
      <c r="Z3" s="278"/>
    </row>
    <row r="4">
      <c r="A4" s="278"/>
      <c r="B4" s="278"/>
      <c r="C4" s="278"/>
      <c r="D4" s="278"/>
      <c r="E4" s="278"/>
      <c r="F4" s="278"/>
      <c r="G4" s="278"/>
      <c r="H4" s="278"/>
      <c r="I4" s="278"/>
      <c r="J4" s="278"/>
      <c r="K4" s="278"/>
      <c r="L4" s="278"/>
      <c r="M4" s="278"/>
      <c r="N4" s="278"/>
      <c r="O4" s="278"/>
      <c r="P4" s="278"/>
      <c r="Q4" s="278"/>
      <c r="R4" s="278"/>
      <c r="S4" s="278"/>
      <c r="T4" s="278"/>
      <c r="U4" s="278"/>
      <c r="V4" s="278"/>
      <c r="W4" s="278"/>
      <c r="X4" s="278"/>
      <c r="Y4" s="278"/>
      <c r="Z4" s="278"/>
    </row>
    <row r="5">
      <c r="A5" s="278"/>
      <c r="B5" s="278"/>
      <c r="C5" s="278"/>
      <c r="D5" s="278"/>
      <c r="E5" s="278"/>
      <c r="F5" s="278"/>
      <c r="G5" s="278"/>
      <c r="H5" s="278"/>
      <c r="I5" s="278"/>
      <c r="J5" s="278"/>
      <c r="K5" s="278"/>
      <c r="L5" s="278"/>
      <c r="M5" s="278"/>
      <c r="N5" s="278"/>
      <c r="O5" s="278"/>
      <c r="P5" s="278"/>
      <c r="Q5" s="278"/>
      <c r="R5" s="278"/>
      <c r="S5" s="278"/>
      <c r="T5" s="278"/>
      <c r="U5" s="278"/>
      <c r="V5" s="278"/>
      <c r="W5" s="278"/>
      <c r="X5" s="278"/>
      <c r="Y5" s="278"/>
      <c r="Z5" s="278"/>
    </row>
    <row r="6">
      <c r="A6" s="278"/>
      <c r="B6" s="278"/>
      <c r="C6" s="278"/>
      <c r="D6" s="278"/>
      <c r="E6" s="278"/>
      <c r="F6" s="278"/>
      <c r="G6" s="278"/>
      <c r="H6" s="278"/>
      <c r="I6" s="278"/>
      <c r="J6" s="278"/>
      <c r="K6" s="278"/>
      <c r="L6" s="278"/>
      <c r="M6" s="278"/>
      <c r="N6" s="278"/>
      <c r="O6" s="278"/>
      <c r="P6" s="278"/>
      <c r="Q6" s="278"/>
      <c r="R6" s="278"/>
      <c r="S6" s="278"/>
      <c r="T6" s="278"/>
      <c r="U6" s="278"/>
      <c r="V6" s="278"/>
      <c r="W6" s="278"/>
      <c r="X6" s="278"/>
      <c r="Y6" s="278"/>
      <c r="Z6" s="278"/>
    </row>
    <row r="7">
      <c r="A7" s="278"/>
      <c r="B7" s="278"/>
      <c r="C7" s="278"/>
      <c r="D7" s="278"/>
      <c r="E7" s="278"/>
      <c r="F7" s="278"/>
      <c r="G7" s="278"/>
      <c r="H7" s="278"/>
      <c r="I7" s="278"/>
      <c r="J7" s="278"/>
      <c r="K7" s="278"/>
      <c r="L7" s="278"/>
      <c r="M7" s="278"/>
      <c r="N7" s="278"/>
      <c r="O7" s="278"/>
      <c r="P7" s="278"/>
      <c r="Q7" s="278"/>
      <c r="R7" s="278"/>
      <c r="S7" s="278"/>
      <c r="T7" s="278"/>
      <c r="U7" s="278"/>
      <c r="V7" s="278"/>
      <c r="W7" s="278"/>
      <c r="X7" s="278"/>
      <c r="Y7" s="278"/>
      <c r="Z7" s="278"/>
    </row>
    <row r="8">
      <c r="A8" s="278"/>
      <c r="B8" s="278"/>
      <c r="C8" s="278"/>
      <c r="D8" s="278"/>
      <c r="E8" s="278"/>
      <c r="F8" s="278"/>
      <c r="G8" s="278"/>
      <c r="H8" s="278"/>
      <c r="I8" s="278"/>
      <c r="J8" s="278"/>
      <c r="K8" s="278"/>
      <c r="L8" s="278"/>
      <c r="M8" s="278"/>
      <c r="N8" s="278"/>
      <c r="O8" s="278"/>
      <c r="P8" s="278"/>
      <c r="Q8" s="278"/>
      <c r="R8" s="278"/>
      <c r="S8" s="278"/>
      <c r="T8" s="278"/>
      <c r="U8" s="278"/>
      <c r="V8" s="278"/>
      <c r="W8" s="278"/>
      <c r="X8" s="278"/>
      <c r="Y8" s="278"/>
      <c r="Z8" s="278"/>
    </row>
    <row r="9">
      <c r="A9" s="278"/>
      <c r="B9" s="278"/>
      <c r="C9" s="278"/>
      <c r="D9" s="278"/>
      <c r="E9" s="278"/>
      <c r="F9" s="278"/>
      <c r="G9" s="278"/>
      <c r="H9" s="278"/>
      <c r="I9" s="278"/>
      <c r="J9" s="278"/>
      <c r="K9" s="278"/>
      <c r="L9" s="278"/>
      <c r="M9" s="278"/>
      <c r="N9" s="278"/>
      <c r="O9" s="278"/>
      <c r="P9" s="278"/>
      <c r="Q9" s="278"/>
      <c r="R9" s="278"/>
      <c r="S9" s="278"/>
      <c r="T9" s="278"/>
      <c r="U9" s="278"/>
      <c r="V9" s="278"/>
      <c r="W9" s="278"/>
      <c r="X9" s="278"/>
      <c r="Y9" s="278"/>
      <c r="Z9" s="278"/>
    </row>
    <row r="10">
      <c r="A10" s="278"/>
      <c r="B10" s="278"/>
      <c r="C10" s="278"/>
      <c r="D10" s="278"/>
      <c r="E10" s="278"/>
      <c r="F10" s="278"/>
      <c r="G10" s="278"/>
      <c r="H10" s="278"/>
      <c r="I10" s="278"/>
      <c r="J10" s="278"/>
      <c r="K10" s="278"/>
      <c r="L10" s="278"/>
      <c r="M10" s="278"/>
      <c r="N10" s="278"/>
      <c r="O10" s="278"/>
      <c r="P10" s="278"/>
      <c r="Q10" s="278"/>
      <c r="R10" s="278"/>
      <c r="S10" s="278"/>
      <c r="T10" s="278"/>
      <c r="U10" s="278"/>
      <c r="V10" s="278"/>
      <c r="W10" s="278"/>
      <c r="X10" s="278"/>
      <c r="Y10" s="278"/>
      <c r="Z10" s="278"/>
    </row>
    <row r="11">
      <c r="A11" s="278"/>
      <c r="B11" s="278"/>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278"/>
    </row>
    <row r="12">
      <c r="A12" s="278"/>
      <c r="B12" s="278"/>
      <c r="C12" s="278"/>
      <c r="D12" s="278"/>
      <c r="E12" s="278"/>
      <c r="F12" s="278"/>
      <c r="G12" s="278"/>
      <c r="H12" s="278"/>
      <c r="I12" s="278"/>
      <c r="J12" s="278"/>
      <c r="K12" s="278"/>
      <c r="L12" s="278"/>
      <c r="M12" s="278"/>
      <c r="N12" s="278"/>
      <c r="O12" s="278"/>
      <c r="P12" s="278"/>
      <c r="Q12" s="278"/>
      <c r="R12" s="278"/>
      <c r="S12" s="278"/>
      <c r="T12" s="278"/>
      <c r="U12" s="278"/>
      <c r="V12" s="278"/>
      <c r="W12" s="278"/>
      <c r="X12" s="278"/>
      <c r="Y12" s="278"/>
      <c r="Z12" s="278"/>
    </row>
    <row r="13">
      <c r="A13" s="278"/>
      <c r="B13" s="278"/>
      <c r="C13" s="278"/>
      <c r="D13" s="278"/>
      <c r="E13" s="278"/>
      <c r="F13" s="278"/>
      <c r="G13" s="278"/>
      <c r="H13" s="278"/>
      <c r="I13" s="278"/>
      <c r="J13" s="278"/>
      <c r="K13" s="278"/>
      <c r="L13" s="278"/>
      <c r="M13" s="278"/>
      <c r="N13" s="278"/>
      <c r="O13" s="278"/>
      <c r="P13" s="278"/>
      <c r="Q13" s="278"/>
      <c r="R13" s="278"/>
      <c r="S13" s="278"/>
      <c r="T13" s="278"/>
      <c r="U13" s="278"/>
      <c r="V13" s="278"/>
      <c r="W13" s="278"/>
      <c r="X13" s="278"/>
      <c r="Y13" s="278"/>
      <c r="Z13" s="278"/>
    </row>
    <row r="14">
      <c r="A14" s="278"/>
      <c r="B14" s="278"/>
      <c r="C14" s="278"/>
      <c r="D14" s="278"/>
      <c r="E14" s="278"/>
      <c r="F14" s="278"/>
      <c r="G14" s="278"/>
      <c r="H14" s="278"/>
      <c r="I14" s="278"/>
      <c r="J14" s="278"/>
      <c r="K14" s="278"/>
      <c r="L14" s="278"/>
      <c r="M14" s="278"/>
      <c r="N14" s="278"/>
      <c r="O14" s="278"/>
      <c r="P14" s="278"/>
      <c r="Q14" s="278"/>
      <c r="R14" s="278"/>
      <c r="S14" s="278"/>
      <c r="T14" s="278"/>
      <c r="U14" s="278"/>
      <c r="V14" s="278"/>
      <c r="W14" s="278"/>
      <c r="X14" s="278"/>
      <c r="Y14" s="278"/>
      <c r="Z14" s="278"/>
    </row>
    <row r="15">
      <c r="A15" s="278"/>
      <c r="B15" s="278"/>
      <c r="C15" s="278"/>
      <c r="D15" s="278"/>
      <c r="E15" s="278"/>
      <c r="F15" s="278"/>
      <c r="G15" s="278"/>
      <c r="H15" s="278"/>
      <c r="I15" s="278"/>
      <c r="J15" s="278"/>
      <c r="K15" s="278"/>
      <c r="L15" s="278"/>
      <c r="M15" s="278"/>
      <c r="N15" s="278"/>
      <c r="O15" s="278"/>
      <c r="P15" s="278"/>
      <c r="Q15" s="278"/>
      <c r="R15" s="278"/>
      <c r="S15" s="278"/>
      <c r="T15" s="278"/>
      <c r="U15" s="278"/>
      <c r="V15" s="278"/>
      <c r="W15" s="278"/>
      <c r="X15" s="278"/>
      <c r="Y15" s="278"/>
      <c r="Z15" s="278"/>
    </row>
    <row r="16">
      <c r="A16" s="278"/>
      <c r="B16" s="278"/>
      <c r="C16" s="278"/>
      <c r="D16" s="278"/>
      <c r="E16" s="278"/>
      <c r="F16" s="278"/>
      <c r="G16" s="278"/>
      <c r="H16" s="278"/>
      <c r="I16" s="278"/>
      <c r="J16" s="278"/>
      <c r="K16" s="278"/>
      <c r="L16" s="278"/>
      <c r="M16" s="278"/>
      <c r="N16" s="278"/>
      <c r="O16" s="278"/>
      <c r="P16" s="278"/>
      <c r="Q16" s="278"/>
      <c r="R16" s="278"/>
      <c r="S16" s="278"/>
      <c r="T16" s="278"/>
      <c r="U16" s="278"/>
      <c r="V16" s="278"/>
      <c r="W16" s="278"/>
      <c r="X16" s="278"/>
      <c r="Y16" s="278"/>
      <c r="Z16" s="278"/>
    </row>
    <row r="17">
      <c r="A17" s="278"/>
      <c r="B17" s="278"/>
      <c r="C17" s="278"/>
      <c r="D17" s="278"/>
      <c r="E17" s="278"/>
      <c r="F17" s="278"/>
      <c r="G17" s="278"/>
      <c r="H17" s="278"/>
      <c r="I17" s="278"/>
      <c r="J17" s="278"/>
      <c r="K17" s="278"/>
      <c r="L17" s="278"/>
      <c r="M17" s="278"/>
      <c r="N17" s="278"/>
      <c r="O17" s="278"/>
      <c r="P17" s="278"/>
      <c r="Q17" s="278"/>
      <c r="R17" s="278"/>
      <c r="S17" s="278"/>
      <c r="T17" s="278"/>
      <c r="U17" s="278"/>
      <c r="V17" s="278"/>
      <c r="W17" s="278"/>
      <c r="X17" s="278"/>
      <c r="Y17" s="278"/>
      <c r="Z17" s="278"/>
    </row>
    <row r="18">
      <c r="A18" s="278"/>
      <c r="B18" s="278"/>
      <c r="C18" s="278"/>
      <c r="D18" s="278"/>
      <c r="E18" s="278"/>
      <c r="F18" s="278"/>
      <c r="G18" s="278"/>
      <c r="H18" s="278"/>
      <c r="I18" s="278"/>
      <c r="J18" s="278"/>
      <c r="K18" s="278"/>
      <c r="L18" s="278"/>
      <c r="M18" s="278"/>
      <c r="N18" s="278"/>
      <c r="O18" s="278"/>
      <c r="P18" s="278"/>
      <c r="Q18" s="278"/>
      <c r="R18" s="278"/>
      <c r="S18" s="278"/>
      <c r="T18" s="278"/>
      <c r="U18" s="278"/>
      <c r="V18" s="278"/>
      <c r="W18" s="278"/>
      <c r="X18" s="278"/>
      <c r="Y18" s="278"/>
      <c r="Z18" s="278"/>
    </row>
    <row r="19">
      <c r="A19" s="278"/>
      <c r="B19" s="278"/>
      <c r="C19" s="278"/>
      <c r="D19" s="278"/>
      <c r="E19" s="278"/>
      <c r="F19" s="278"/>
      <c r="G19" s="278"/>
      <c r="H19" s="278"/>
      <c r="I19" s="278"/>
      <c r="J19" s="278"/>
      <c r="K19" s="278"/>
      <c r="L19" s="278"/>
      <c r="M19" s="278"/>
      <c r="N19" s="278"/>
      <c r="O19" s="278"/>
      <c r="P19" s="278"/>
      <c r="Q19" s="278"/>
      <c r="R19" s="278"/>
      <c r="S19" s="278"/>
      <c r="T19" s="278"/>
      <c r="U19" s="278"/>
      <c r="V19" s="278"/>
      <c r="W19" s="278"/>
      <c r="X19" s="278"/>
      <c r="Y19" s="278"/>
      <c r="Z19" s="278"/>
    </row>
    <row r="20">
      <c r="A20" s="278"/>
      <c r="B20" s="278"/>
      <c r="C20" s="278"/>
      <c r="D20" s="278"/>
      <c r="E20" s="278"/>
      <c r="F20" s="278"/>
      <c r="G20" s="278"/>
      <c r="H20" s="278"/>
      <c r="I20" s="278"/>
      <c r="J20" s="278"/>
      <c r="K20" s="278"/>
      <c r="L20" s="278"/>
      <c r="M20" s="278"/>
      <c r="N20" s="278"/>
      <c r="O20" s="278"/>
      <c r="P20" s="278"/>
      <c r="Q20" s="278"/>
      <c r="R20" s="278"/>
      <c r="S20" s="278"/>
      <c r="T20" s="278"/>
      <c r="U20" s="278"/>
      <c r="V20" s="278"/>
      <c r="W20" s="278"/>
      <c r="X20" s="278"/>
      <c r="Y20" s="278"/>
      <c r="Z20" s="278"/>
    </row>
    <row r="21" ht="15.75" customHeight="1">
      <c r="A21" s="278"/>
      <c r="B21" s="278"/>
      <c r="C21" s="278"/>
      <c r="D21" s="278"/>
      <c r="E21" s="278"/>
      <c r="F21" s="278"/>
      <c r="G21" s="278"/>
      <c r="H21" s="278"/>
      <c r="I21" s="278"/>
      <c r="J21" s="278"/>
      <c r="K21" s="278"/>
      <c r="L21" s="278"/>
      <c r="M21" s="278"/>
      <c r="N21" s="278"/>
      <c r="O21" s="278"/>
      <c r="P21" s="278"/>
      <c r="Q21" s="278"/>
      <c r="R21" s="278"/>
      <c r="S21" s="278"/>
      <c r="T21" s="278"/>
      <c r="U21" s="278"/>
      <c r="V21" s="278"/>
      <c r="W21" s="278"/>
      <c r="X21" s="278"/>
      <c r="Y21" s="278"/>
      <c r="Z21" s="278"/>
    </row>
    <row r="22" ht="15.75" customHeight="1">
      <c r="A22" s="278"/>
      <c r="B22" s="278"/>
      <c r="C22" s="278"/>
      <c r="D22" s="278"/>
      <c r="E22" s="278"/>
      <c r="F22" s="278"/>
      <c r="G22" s="278"/>
      <c r="H22" s="278"/>
      <c r="I22" s="278"/>
      <c r="J22" s="278"/>
      <c r="K22" s="278"/>
      <c r="L22" s="278"/>
      <c r="M22" s="278"/>
      <c r="N22" s="278"/>
      <c r="O22" s="278"/>
      <c r="P22" s="278"/>
      <c r="Q22" s="278"/>
      <c r="R22" s="278"/>
      <c r="S22" s="278"/>
      <c r="T22" s="278"/>
      <c r="U22" s="278"/>
      <c r="V22" s="278"/>
      <c r="W22" s="278"/>
      <c r="X22" s="278"/>
      <c r="Y22" s="278"/>
      <c r="Z22" s="278"/>
    </row>
    <row r="23" ht="15.75" customHeight="1">
      <c r="A23" s="278"/>
      <c r="B23" s="278"/>
      <c r="C23" s="278"/>
      <c r="D23" s="278"/>
      <c r="E23" s="278"/>
      <c r="F23" s="278"/>
      <c r="G23" s="278"/>
      <c r="H23" s="278"/>
      <c r="I23" s="278"/>
      <c r="J23" s="278"/>
      <c r="K23" s="278"/>
      <c r="L23" s="278"/>
      <c r="M23" s="278"/>
      <c r="N23" s="278"/>
      <c r="O23" s="278"/>
      <c r="P23" s="278"/>
      <c r="Q23" s="278"/>
      <c r="R23" s="278"/>
      <c r="S23" s="278"/>
      <c r="T23" s="278"/>
      <c r="U23" s="278"/>
      <c r="V23" s="278"/>
      <c r="W23" s="278"/>
      <c r="X23" s="278"/>
      <c r="Y23" s="278"/>
      <c r="Z23" s="278"/>
    </row>
    <row r="24" ht="15.75" customHeight="1">
      <c r="A24" s="278"/>
      <c r="B24" s="278"/>
      <c r="C24" s="278"/>
      <c r="D24" s="278"/>
      <c r="E24" s="278"/>
      <c r="F24" s="278"/>
      <c r="G24" s="278"/>
      <c r="H24" s="278"/>
      <c r="I24" s="278"/>
      <c r="J24" s="278"/>
      <c r="K24" s="278"/>
      <c r="L24" s="278"/>
      <c r="M24" s="278"/>
      <c r="N24" s="278"/>
      <c r="O24" s="278"/>
      <c r="P24" s="278"/>
      <c r="Q24" s="278"/>
      <c r="R24" s="278"/>
      <c r="S24" s="278"/>
      <c r="T24" s="278"/>
      <c r="U24" s="278"/>
      <c r="V24" s="278"/>
      <c r="W24" s="278"/>
      <c r="X24" s="278"/>
      <c r="Y24" s="278"/>
      <c r="Z24" s="278"/>
    </row>
    <row r="25" ht="15.75" customHeight="1">
      <c r="A25" s="278"/>
      <c r="B25" s="278"/>
      <c r="C25" s="278"/>
      <c r="D25" s="278"/>
      <c r="E25" s="278"/>
      <c r="F25" s="278"/>
      <c r="G25" s="278"/>
      <c r="H25" s="278"/>
      <c r="I25" s="278"/>
      <c r="J25" s="278"/>
      <c r="K25" s="278"/>
      <c r="L25" s="278"/>
      <c r="M25" s="278"/>
      <c r="N25" s="278"/>
      <c r="O25" s="278"/>
      <c r="P25" s="278"/>
      <c r="Q25" s="278"/>
      <c r="R25" s="278"/>
      <c r="S25" s="278"/>
      <c r="T25" s="278"/>
      <c r="U25" s="278"/>
      <c r="V25" s="278"/>
      <c r="W25" s="278"/>
      <c r="X25" s="278"/>
      <c r="Y25" s="278"/>
      <c r="Z25" s="278"/>
    </row>
    <row r="26" ht="15.75" customHeight="1">
      <c r="A26" s="278"/>
      <c r="B26" s="278"/>
      <c r="C26" s="278"/>
      <c r="D26" s="278"/>
      <c r="E26" s="278"/>
      <c r="F26" s="278"/>
      <c r="G26" s="278"/>
      <c r="H26" s="278"/>
      <c r="I26" s="278"/>
      <c r="J26" s="278"/>
      <c r="K26" s="278"/>
      <c r="L26" s="278"/>
      <c r="M26" s="278"/>
      <c r="N26" s="278"/>
      <c r="O26" s="278"/>
      <c r="P26" s="278"/>
      <c r="Q26" s="278"/>
      <c r="R26" s="278"/>
      <c r="S26" s="278"/>
      <c r="T26" s="278"/>
      <c r="U26" s="278"/>
      <c r="V26" s="278"/>
      <c r="W26" s="278"/>
      <c r="X26" s="278"/>
      <c r="Y26" s="278"/>
      <c r="Z26" s="278"/>
    </row>
    <row r="27" ht="15.75" customHeight="1">
      <c r="A27" s="278"/>
      <c r="B27" s="278"/>
      <c r="C27" s="278"/>
      <c r="D27" s="278"/>
      <c r="E27" s="278"/>
      <c r="F27" s="278"/>
      <c r="G27" s="278"/>
      <c r="H27" s="278"/>
      <c r="I27" s="278"/>
      <c r="J27" s="278"/>
      <c r="K27" s="278"/>
      <c r="L27" s="278"/>
      <c r="M27" s="278"/>
      <c r="N27" s="278"/>
      <c r="O27" s="278"/>
      <c r="P27" s="278"/>
      <c r="Q27" s="278"/>
      <c r="R27" s="278"/>
      <c r="S27" s="278"/>
      <c r="T27" s="278"/>
      <c r="U27" s="278"/>
      <c r="V27" s="278"/>
      <c r="W27" s="278"/>
      <c r="X27" s="278"/>
      <c r="Y27" s="278"/>
      <c r="Z27" s="278"/>
    </row>
    <row r="28" ht="15.75" customHeight="1">
      <c r="A28" s="278"/>
      <c r="B28" s="278"/>
      <c r="C28" s="278"/>
      <c r="D28" s="278"/>
      <c r="E28" s="278"/>
      <c r="F28" s="278"/>
      <c r="G28" s="278"/>
      <c r="H28" s="278"/>
      <c r="I28" s="278"/>
      <c r="J28" s="278"/>
      <c r="K28" s="278"/>
      <c r="L28" s="278"/>
      <c r="M28" s="278"/>
      <c r="N28" s="278"/>
      <c r="O28" s="278"/>
      <c r="P28" s="278"/>
      <c r="Q28" s="278"/>
      <c r="R28" s="278"/>
      <c r="S28" s="278"/>
      <c r="T28" s="278"/>
      <c r="U28" s="278"/>
      <c r="V28" s="278"/>
      <c r="W28" s="278"/>
      <c r="X28" s="278"/>
      <c r="Y28" s="278"/>
      <c r="Z28" s="278"/>
    </row>
    <row r="29" ht="15.75" customHeight="1">
      <c r="A29" s="278"/>
      <c r="B29" s="278"/>
      <c r="C29" s="278"/>
      <c r="D29" s="278"/>
      <c r="E29" s="278"/>
      <c r="F29" s="278"/>
      <c r="G29" s="278"/>
      <c r="H29" s="278"/>
      <c r="I29" s="278"/>
      <c r="J29" s="278"/>
      <c r="K29" s="278"/>
      <c r="L29" s="278"/>
      <c r="M29" s="278"/>
      <c r="N29" s="278"/>
      <c r="O29" s="278"/>
      <c r="P29" s="278"/>
      <c r="Q29" s="278"/>
      <c r="R29" s="278"/>
      <c r="S29" s="278"/>
      <c r="T29" s="278"/>
      <c r="U29" s="278"/>
      <c r="V29" s="278"/>
      <c r="W29" s="278"/>
      <c r="X29" s="278"/>
      <c r="Y29" s="278"/>
      <c r="Z29" s="278"/>
    </row>
    <row r="30" ht="15.75" customHeight="1">
      <c r="A30" s="278"/>
      <c r="B30" s="278"/>
      <c r="C30" s="278"/>
      <c r="D30" s="278"/>
      <c r="E30" s="278"/>
      <c r="F30" s="278"/>
      <c r="G30" s="278"/>
      <c r="H30" s="278"/>
      <c r="I30" s="278"/>
      <c r="J30" s="278"/>
      <c r="K30" s="278"/>
      <c r="L30" s="278"/>
      <c r="M30" s="278"/>
      <c r="N30" s="278"/>
      <c r="O30" s="278"/>
      <c r="P30" s="278"/>
      <c r="Q30" s="278"/>
      <c r="R30" s="278"/>
      <c r="S30" s="278"/>
      <c r="T30" s="278"/>
      <c r="U30" s="278"/>
      <c r="V30" s="278"/>
      <c r="W30" s="278"/>
      <c r="X30" s="278"/>
      <c r="Y30" s="278"/>
      <c r="Z30" s="278"/>
    </row>
    <row r="31" ht="15.75" customHeight="1">
      <c r="A31" s="278"/>
      <c r="B31" s="278"/>
      <c r="C31" s="278"/>
      <c r="D31" s="278"/>
      <c r="E31" s="278"/>
      <c r="F31" s="278"/>
      <c r="G31" s="278"/>
      <c r="H31" s="278"/>
      <c r="I31" s="278"/>
      <c r="J31" s="278"/>
      <c r="K31" s="278"/>
      <c r="L31" s="278"/>
      <c r="M31" s="278"/>
      <c r="N31" s="278"/>
      <c r="O31" s="278"/>
      <c r="P31" s="278"/>
      <c r="Q31" s="278"/>
      <c r="R31" s="278"/>
      <c r="S31" s="278"/>
      <c r="T31" s="278"/>
      <c r="U31" s="278"/>
      <c r="V31" s="278"/>
      <c r="W31" s="278"/>
      <c r="X31" s="278"/>
      <c r="Y31" s="278"/>
      <c r="Z31" s="278"/>
    </row>
    <row r="32" ht="15.75" customHeight="1">
      <c r="A32" s="278"/>
      <c r="B32" s="278"/>
      <c r="C32" s="278"/>
      <c r="D32" s="278"/>
      <c r="E32" s="278"/>
      <c r="F32" s="278"/>
      <c r="G32" s="278"/>
      <c r="H32" s="278"/>
      <c r="I32" s="278"/>
      <c r="J32" s="278"/>
      <c r="K32" s="278"/>
      <c r="L32" s="278"/>
      <c r="M32" s="278"/>
      <c r="N32" s="278"/>
      <c r="O32" s="278"/>
      <c r="P32" s="278"/>
      <c r="Q32" s="278"/>
      <c r="R32" s="278"/>
      <c r="S32" s="278"/>
      <c r="T32" s="278"/>
      <c r="U32" s="278"/>
      <c r="V32" s="278"/>
      <c r="W32" s="278"/>
      <c r="X32" s="278"/>
      <c r="Y32" s="278"/>
      <c r="Z32" s="278"/>
    </row>
    <row r="33" ht="15.75" customHeight="1">
      <c r="A33" s="278"/>
      <c r="B33" s="278"/>
      <c r="C33" s="278"/>
      <c r="D33" s="278"/>
      <c r="E33" s="278"/>
      <c r="F33" s="278"/>
      <c r="G33" s="278"/>
      <c r="H33" s="278"/>
      <c r="I33" s="278"/>
      <c r="J33" s="278"/>
      <c r="K33" s="278"/>
      <c r="L33" s="278"/>
      <c r="M33" s="278"/>
      <c r="N33" s="278"/>
      <c r="O33" s="278"/>
      <c r="P33" s="278"/>
      <c r="Q33" s="278"/>
      <c r="R33" s="278"/>
      <c r="S33" s="278"/>
      <c r="T33" s="278"/>
      <c r="U33" s="278"/>
      <c r="V33" s="278"/>
      <c r="W33" s="278"/>
      <c r="X33" s="278"/>
      <c r="Y33" s="278"/>
      <c r="Z33" s="278"/>
    </row>
    <row r="34" ht="15.75" customHeight="1">
      <c r="A34" s="278"/>
      <c r="B34" s="278"/>
      <c r="C34" s="278"/>
      <c r="D34" s="278"/>
      <c r="E34" s="278"/>
      <c r="F34" s="278"/>
      <c r="G34" s="278"/>
      <c r="H34" s="278"/>
      <c r="I34" s="278"/>
      <c r="J34" s="278"/>
      <c r="K34" s="278"/>
      <c r="L34" s="278"/>
      <c r="M34" s="278"/>
      <c r="N34" s="278"/>
      <c r="O34" s="278"/>
      <c r="P34" s="278"/>
      <c r="Q34" s="278"/>
      <c r="R34" s="278"/>
      <c r="S34" s="278"/>
      <c r="T34" s="278"/>
      <c r="U34" s="278"/>
      <c r="V34" s="278"/>
      <c r="W34" s="278"/>
      <c r="X34" s="278"/>
      <c r="Y34" s="278"/>
      <c r="Z34" s="278"/>
    </row>
    <row r="35" ht="15.75" customHeight="1">
      <c r="A35" s="278"/>
      <c r="B35" s="278"/>
      <c r="C35" s="278"/>
      <c r="D35" s="278"/>
      <c r="E35" s="278"/>
      <c r="F35" s="278"/>
      <c r="G35" s="278"/>
      <c r="H35" s="278"/>
      <c r="I35" s="278"/>
      <c r="J35" s="278"/>
      <c r="K35" s="278"/>
      <c r="L35" s="278"/>
      <c r="M35" s="278"/>
      <c r="N35" s="278"/>
      <c r="O35" s="278"/>
      <c r="P35" s="278"/>
      <c r="Q35" s="278"/>
      <c r="R35" s="278"/>
      <c r="S35" s="278"/>
      <c r="T35" s="278"/>
      <c r="U35" s="278"/>
      <c r="V35" s="278"/>
      <c r="W35" s="278"/>
      <c r="X35" s="278"/>
      <c r="Y35" s="278"/>
      <c r="Z35" s="278"/>
    </row>
    <row r="36" ht="15.75" customHeight="1">
      <c r="A36" s="278"/>
      <c r="B36" s="278"/>
      <c r="C36" s="278"/>
      <c r="D36" s="278"/>
      <c r="E36" s="278"/>
      <c r="F36" s="278"/>
      <c r="G36" s="278"/>
      <c r="H36" s="278"/>
      <c r="I36" s="278"/>
      <c r="J36" s="278"/>
      <c r="K36" s="278"/>
      <c r="L36" s="278"/>
      <c r="M36" s="278"/>
      <c r="N36" s="278"/>
      <c r="O36" s="278"/>
      <c r="P36" s="278"/>
      <c r="Q36" s="278"/>
      <c r="R36" s="278"/>
      <c r="S36" s="278"/>
      <c r="T36" s="278"/>
      <c r="U36" s="278"/>
      <c r="V36" s="278"/>
      <c r="W36" s="278"/>
      <c r="X36" s="278"/>
      <c r="Y36" s="278"/>
      <c r="Z36" s="278"/>
    </row>
    <row r="37" ht="15.75" customHeight="1">
      <c r="A37" s="278"/>
      <c r="B37" s="278"/>
      <c r="C37" s="278"/>
      <c r="D37" s="278"/>
      <c r="E37" s="278"/>
      <c r="F37" s="278"/>
      <c r="G37" s="278"/>
      <c r="H37" s="278"/>
      <c r="I37" s="278"/>
      <c r="J37" s="278"/>
      <c r="K37" s="278"/>
      <c r="L37" s="278"/>
      <c r="M37" s="278"/>
      <c r="N37" s="278"/>
      <c r="O37" s="278"/>
      <c r="P37" s="278"/>
      <c r="Q37" s="278"/>
      <c r="R37" s="278"/>
      <c r="S37" s="278"/>
      <c r="T37" s="278"/>
      <c r="U37" s="278"/>
      <c r="V37" s="278"/>
      <c r="W37" s="278"/>
      <c r="X37" s="278"/>
      <c r="Y37" s="278"/>
      <c r="Z37" s="278"/>
    </row>
    <row r="38" ht="15.75" customHeight="1">
      <c r="A38" s="278"/>
      <c r="B38" s="278"/>
      <c r="C38" s="278"/>
      <c r="D38" s="278"/>
      <c r="E38" s="278"/>
      <c r="F38" s="278"/>
      <c r="G38" s="278"/>
      <c r="H38" s="278"/>
      <c r="I38" s="278"/>
      <c r="J38" s="278"/>
      <c r="K38" s="278"/>
      <c r="L38" s="278"/>
      <c r="M38" s="278"/>
      <c r="N38" s="278"/>
      <c r="O38" s="278"/>
      <c r="P38" s="278"/>
      <c r="Q38" s="278"/>
      <c r="R38" s="278"/>
      <c r="S38" s="278"/>
      <c r="T38" s="278"/>
      <c r="U38" s="278"/>
      <c r="V38" s="278"/>
      <c r="W38" s="278"/>
      <c r="X38" s="278"/>
      <c r="Y38" s="278"/>
      <c r="Z38" s="278"/>
    </row>
    <row r="39" ht="15.75" customHeight="1">
      <c r="A39" s="278"/>
      <c r="B39" s="278"/>
      <c r="C39" s="278"/>
      <c r="D39" s="278"/>
      <c r="E39" s="278"/>
      <c r="F39" s="278"/>
      <c r="G39" s="278"/>
      <c r="H39" s="278"/>
      <c r="I39" s="278"/>
      <c r="J39" s="278"/>
      <c r="K39" s="278"/>
      <c r="L39" s="278"/>
      <c r="M39" s="278"/>
      <c r="N39" s="278"/>
      <c r="O39" s="278"/>
      <c r="P39" s="278"/>
      <c r="Q39" s="278"/>
      <c r="R39" s="278"/>
      <c r="S39" s="278"/>
      <c r="T39" s="278"/>
      <c r="U39" s="278"/>
      <c r="V39" s="278"/>
      <c r="W39" s="278"/>
      <c r="X39" s="278"/>
      <c r="Y39" s="278"/>
      <c r="Z39" s="278"/>
    </row>
    <row r="40" ht="15.75" customHeight="1">
      <c r="A40" s="278"/>
      <c r="B40" s="278"/>
      <c r="C40" s="278"/>
      <c r="D40" s="278"/>
      <c r="E40" s="278"/>
      <c r="F40" s="278"/>
      <c r="G40" s="278"/>
      <c r="H40" s="278"/>
      <c r="I40" s="278"/>
      <c r="J40" s="278"/>
      <c r="K40" s="278"/>
      <c r="L40" s="278"/>
      <c r="M40" s="278"/>
      <c r="N40" s="278"/>
      <c r="O40" s="278"/>
      <c r="P40" s="278"/>
      <c r="Q40" s="278"/>
      <c r="R40" s="278"/>
      <c r="S40" s="278"/>
      <c r="T40" s="278"/>
      <c r="U40" s="278"/>
      <c r="V40" s="278"/>
      <c r="W40" s="278"/>
      <c r="X40" s="278"/>
      <c r="Y40" s="278"/>
      <c r="Z40" s="278"/>
    </row>
    <row r="41" ht="15.75" customHeight="1">
      <c r="A41" s="278"/>
      <c r="B41" s="278"/>
      <c r="C41" s="278"/>
      <c r="D41" s="278"/>
      <c r="E41" s="278"/>
      <c r="F41" s="278"/>
      <c r="G41" s="278"/>
      <c r="H41" s="278"/>
      <c r="I41" s="278"/>
      <c r="J41" s="278"/>
      <c r="K41" s="278"/>
      <c r="L41" s="278"/>
      <c r="M41" s="278"/>
      <c r="N41" s="278"/>
      <c r="O41" s="278"/>
      <c r="P41" s="278"/>
      <c r="Q41" s="278"/>
      <c r="R41" s="278"/>
      <c r="S41" s="278"/>
      <c r="T41" s="278"/>
      <c r="U41" s="278"/>
      <c r="V41" s="278"/>
      <c r="W41" s="278"/>
      <c r="X41" s="278"/>
      <c r="Y41" s="278"/>
      <c r="Z41" s="278"/>
    </row>
    <row r="42" ht="15.75" customHeight="1">
      <c r="A42" s="278"/>
      <c r="B42" s="278"/>
      <c r="C42" s="278"/>
      <c r="D42" s="278"/>
      <c r="E42" s="278"/>
      <c r="F42" s="278"/>
      <c r="G42" s="278"/>
      <c r="H42" s="278"/>
      <c r="I42" s="278"/>
      <c r="J42" s="278"/>
      <c r="K42" s="278"/>
      <c r="L42" s="278"/>
      <c r="M42" s="278"/>
      <c r="N42" s="278"/>
      <c r="O42" s="278"/>
      <c r="P42" s="278"/>
      <c r="Q42" s="278"/>
      <c r="R42" s="278"/>
      <c r="S42" s="278"/>
      <c r="T42" s="278"/>
      <c r="U42" s="278"/>
      <c r="V42" s="278"/>
      <c r="W42" s="278"/>
      <c r="X42" s="278"/>
      <c r="Y42" s="278"/>
      <c r="Z42" s="278"/>
    </row>
    <row r="43" ht="15.75" customHeight="1">
      <c r="A43" s="278"/>
      <c r="B43" s="278"/>
      <c r="C43" s="278"/>
      <c r="D43" s="278"/>
      <c r="E43" s="278"/>
      <c r="F43" s="278"/>
      <c r="G43" s="278"/>
      <c r="H43" s="278"/>
      <c r="I43" s="278"/>
      <c r="J43" s="278"/>
      <c r="K43" s="278"/>
      <c r="L43" s="278"/>
      <c r="M43" s="278"/>
      <c r="N43" s="278"/>
      <c r="O43" s="278"/>
      <c r="P43" s="278"/>
      <c r="Q43" s="278"/>
      <c r="R43" s="278"/>
      <c r="S43" s="278"/>
      <c r="T43" s="278"/>
      <c r="U43" s="278"/>
      <c r="V43" s="278"/>
      <c r="W43" s="278"/>
      <c r="X43" s="278"/>
      <c r="Y43" s="278"/>
      <c r="Z43" s="278"/>
    </row>
    <row r="44" ht="15.75" customHeight="1">
      <c r="A44" s="278"/>
      <c r="B44" s="278"/>
      <c r="C44" s="278"/>
      <c r="D44" s="278"/>
      <c r="E44" s="278"/>
      <c r="F44" s="278"/>
      <c r="G44" s="278"/>
      <c r="H44" s="278"/>
      <c r="I44" s="278"/>
      <c r="J44" s="278"/>
      <c r="K44" s="278"/>
      <c r="L44" s="278"/>
      <c r="M44" s="278"/>
      <c r="N44" s="278"/>
      <c r="O44" s="278"/>
      <c r="P44" s="278"/>
      <c r="Q44" s="278"/>
      <c r="R44" s="278"/>
      <c r="S44" s="278"/>
      <c r="T44" s="278"/>
      <c r="U44" s="278"/>
      <c r="V44" s="278"/>
      <c r="W44" s="278"/>
      <c r="X44" s="278"/>
      <c r="Y44" s="278"/>
      <c r="Z44" s="278"/>
    </row>
    <row r="45" ht="15.75" customHeight="1">
      <c r="A45" s="278"/>
      <c r="B45" s="278"/>
      <c r="C45" s="278"/>
      <c r="D45" s="278"/>
      <c r="E45" s="278"/>
      <c r="F45" s="278"/>
      <c r="G45" s="278"/>
      <c r="H45" s="278"/>
      <c r="I45" s="278"/>
      <c r="J45" s="278"/>
      <c r="K45" s="278"/>
      <c r="L45" s="278"/>
      <c r="M45" s="278"/>
      <c r="N45" s="278"/>
      <c r="O45" s="278"/>
      <c r="P45" s="278"/>
      <c r="Q45" s="278"/>
      <c r="R45" s="278"/>
      <c r="S45" s="278"/>
      <c r="T45" s="278"/>
      <c r="U45" s="278"/>
      <c r="V45" s="278"/>
      <c r="W45" s="278"/>
      <c r="X45" s="278"/>
      <c r="Y45" s="278"/>
      <c r="Z45" s="278"/>
    </row>
    <row r="46" ht="15.75" customHeight="1">
      <c r="A46" s="278"/>
      <c r="B46" s="278"/>
      <c r="C46" s="278"/>
      <c r="D46" s="278"/>
      <c r="E46" s="278"/>
      <c r="F46" s="278"/>
      <c r="G46" s="278"/>
      <c r="H46" s="278"/>
      <c r="I46" s="278"/>
      <c r="J46" s="278"/>
      <c r="K46" s="278"/>
      <c r="L46" s="278"/>
      <c r="M46" s="278"/>
      <c r="N46" s="278"/>
      <c r="O46" s="278"/>
      <c r="P46" s="278"/>
      <c r="Q46" s="278"/>
      <c r="R46" s="278"/>
      <c r="S46" s="278"/>
      <c r="T46" s="278"/>
      <c r="U46" s="278"/>
      <c r="V46" s="278"/>
      <c r="W46" s="278"/>
      <c r="X46" s="278"/>
      <c r="Y46" s="278"/>
      <c r="Z46" s="278"/>
    </row>
    <row r="47" ht="15.75" customHeight="1">
      <c r="A47" s="278"/>
      <c r="B47" s="278"/>
      <c r="C47" s="278"/>
      <c r="D47" s="278"/>
      <c r="E47" s="278"/>
      <c r="F47" s="278"/>
      <c r="G47" s="278"/>
      <c r="H47" s="278"/>
      <c r="I47" s="278"/>
      <c r="J47" s="278"/>
      <c r="K47" s="278"/>
      <c r="L47" s="278"/>
      <c r="M47" s="278"/>
      <c r="N47" s="278"/>
      <c r="O47" s="278"/>
      <c r="P47" s="278"/>
      <c r="Q47" s="278"/>
      <c r="R47" s="278"/>
      <c r="S47" s="278"/>
      <c r="T47" s="278"/>
      <c r="U47" s="278"/>
      <c r="V47" s="278"/>
      <c r="W47" s="278"/>
      <c r="X47" s="278"/>
      <c r="Y47" s="278"/>
      <c r="Z47" s="278"/>
    </row>
    <row r="48" ht="15.75" customHeight="1">
      <c r="A48" s="278"/>
      <c r="B48" s="278"/>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row>
    <row r="49" ht="15.75" customHeight="1">
      <c r="A49" s="278"/>
      <c r="B49" s="278"/>
      <c r="C49" s="278"/>
      <c r="D49" s="278"/>
      <c r="E49" s="278"/>
      <c r="F49" s="278"/>
      <c r="G49" s="278"/>
      <c r="H49" s="278"/>
      <c r="I49" s="278"/>
      <c r="J49" s="278"/>
      <c r="K49" s="278"/>
      <c r="L49" s="278"/>
      <c r="M49" s="278"/>
      <c r="N49" s="278"/>
      <c r="O49" s="278"/>
      <c r="P49" s="278"/>
      <c r="Q49" s="278"/>
      <c r="R49" s="278"/>
      <c r="S49" s="278"/>
      <c r="T49" s="278"/>
      <c r="U49" s="278"/>
      <c r="V49" s="278"/>
      <c r="W49" s="278"/>
      <c r="X49" s="278"/>
      <c r="Y49" s="278"/>
      <c r="Z49" s="278"/>
    </row>
    <row r="50" ht="15.75" customHeight="1">
      <c r="A50" s="278"/>
      <c r="B50" s="278"/>
      <c r="C50" s="278"/>
      <c r="D50" s="278"/>
      <c r="E50" s="278"/>
      <c r="F50" s="278"/>
      <c r="G50" s="278"/>
      <c r="H50" s="278"/>
      <c r="I50" s="278"/>
      <c r="J50" s="278"/>
      <c r="K50" s="278"/>
      <c r="L50" s="278"/>
      <c r="M50" s="278"/>
      <c r="N50" s="278"/>
      <c r="O50" s="278"/>
      <c r="P50" s="278"/>
      <c r="Q50" s="278"/>
      <c r="R50" s="278"/>
      <c r="S50" s="278"/>
      <c r="T50" s="278"/>
      <c r="U50" s="278"/>
      <c r="V50" s="278"/>
      <c r="W50" s="278"/>
      <c r="X50" s="278"/>
      <c r="Y50" s="278"/>
      <c r="Z50" s="278"/>
    </row>
    <row r="51" ht="15.75" customHeight="1">
      <c r="A51" s="278"/>
      <c r="B51" s="278"/>
      <c r="C51" s="278"/>
      <c r="D51" s="278"/>
      <c r="E51" s="278"/>
      <c r="F51" s="278"/>
      <c r="G51" s="278"/>
      <c r="H51" s="278"/>
      <c r="I51" s="278"/>
      <c r="J51" s="278"/>
      <c r="K51" s="278"/>
      <c r="L51" s="278"/>
      <c r="M51" s="278"/>
      <c r="N51" s="278"/>
      <c r="O51" s="278"/>
      <c r="P51" s="278"/>
      <c r="Q51" s="278"/>
      <c r="R51" s="278"/>
      <c r="S51" s="278"/>
      <c r="T51" s="278"/>
      <c r="U51" s="278"/>
      <c r="V51" s="278"/>
      <c r="W51" s="278"/>
      <c r="X51" s="278"/>
      <c r="Y51" s="278"/>
      <c r="Z51" s="278"/>
    </row>
    <row r="52" ht="15.75" customHeight="1">
      <c r="A52" s="278"/>
      <c r="B52" s="278"/>
      <c r="C52" s="278"/>
      <c r="D52" s="278"/>
      <c r="E52" s="278"/>
      <c r="F52" s="278"/>
      <c r="G52" s="278"/>
      <c r="H52" s="278"/>
      <c r="I52" s="278"/>
      <c r="J52" s="278"/>
      <c r="K52" s="278"/>
      <c r="L52" s="278"/>
      <c r="M52" s="278"/>
      <c r="N52" s="278"/>
      <c r="O52" s="278"/>
      <c r="P52" s="278"/>
      <c r="Q52" s="278"/>
      <c r="R52" s="278"/>
      <c r="S52" s="278"/>
      <c r="T52" s="278"/>
      <c r="U52" s="278"/>
      <c r="V52" s="278"/>
      <c r="W52" s="278"/>
      <c r="X52" s="278"/>
      <c r="Y52" s="278"/>
      <c r="Z52" s="278"/>
    </row>
    <row r="53" ht="15.75" customHeight="1">
      <c r="A53" s="278"/>
      <c r="B53" s="278"/>
      <c r="C53" s="278"/>
      <c r="D53" s="278"/>
      <c r="E53" s="278"/>
      <c r="F53" s="278"/>
      <c r="G53" s="278"/>
      <c r="H53" s="278"/>
      <c r="I53" s="278"/>
      <c r="J53" s="278"/>
      <c r="K53" s="278"/>
      <c r="L53" s="278"/>
      <c r="M53" s="278"/>
      <c r="N53" s="278"/>
      <c r="O53" s="278"/>
      <c r="P53" s="278"/>
      <c r="Q53" s="278"/>
      <c r="R53" s="278"/>
      <c r="S53" s="278"/>
      <c r="T53" s="278"/>
      <c r="U53" s="278"/>
      <c r="V53" s="278"/>
      <c r="W53" s="278"/>
      <c r="X53" s="278"/>
      <c r="Y53" s="278"/>
      <c r="Z53" s="278"/>
    </row>
    <row r="54" ht="15.75" customHeight="1">
      <c r="A54" s="278"/>
      <c r="B54" s="278"/>
      <c r="C54" s="278"/>
      <c r="D54" s="278"/>
      <c r="E54" s="278"/>
      <c r="F54" s="278"/>
      <c r="G54" s="278"/>
      <c r="H54" s="278"/>
      <c r="I54" s="278"/>
      <c r="J54" s="278"/>
      <c r="K54" s="278"/>
      <c r="L54" s="278"/>
      <c r="M54" s="278"/>
      <c r="N54" s="278"/>
      <c r="O54" s="278"/>
      <c r="P54" s="278"/>
      <c r="Q54" s="278"/>
      <c r="R54" s="278"/>
      <c r="S54" s="278"/>
      <c r="T54" s="278"/>
      <c r="U54" s="278"/>
      <c r="V54" s="278"/>
      <c r="W54" s="278"/>
      <c r="X54" s="278"/>
      <c r="Y54" s="278"/>
      <c r="Z54" s="278"/>
    </row>
    <row r="55" ht="15.75" customHeight="1">
      <c r="A55" s="278"/>
      <c r="B55" s="278"/>
      <c r="C55" s="278"/>
      <c r="D55" s="278"/>
      <c r="E55" s="278"/>
      <c r="F55" s="278"/>
      <c r="G55" s="278"/>
      <c r="H55" s="278"/>
      <c r="I55" s="278"/>
      <c r="J55" s="278"/>
      <c r="K55" s="278"/>
      <c r="L55" s="278"/>
      <c r="M55" s="278"/>
      <c r="N55" s="278"/>
      <c r="O55" s="278"/>
      <c r="P55" s="278"/>
      <c r="Q55" s="278"/>
      <c r="R55" s="278"/>
      <c r="S55" s="278"/>
      <c r="T55" s="278"/>
      <c r="U55" s="278"/>
      <c r="V55" s="278"/>
      <c r="W55" s="278"/>
      <c r="X55" s="278"/>
      <c r="Y55" s="278"/>
      <c r="Z55" s="278"/>
    </row>
    <row r="56" ht="15.75" customHeight="1">
      <c r="A56" s="278"/>
      <c r="B56" s="278"/>
      <c r="C56" s="278"/>
      <c r="D56" s="278"/>
      <c r="E56" s="278"/>
      <c r="F56" s="278"/>
      <c r="G56" s="278"/>
      <c r="H56" s="278"/>
      <c r="I56" s="278"/>
      <c r="J56" s="278"/>
      <c r="K56" s="278"/>
      <c r="L56" s="278"/>
      <c r="M56" s="278"/>
      <c r="N56" s="278"/>
      <c r="O56" s="278"/>
      <c r="P56" s="278"/>
      <c r="Q56" s="278"/>
      <c r="R56" s="278"/>
      <c r="S56" s="278"/>
      <c r="T56" s="278"/>
      <c r="U56" s="278"/>
      <c r="V56" s="278"/>
      <c r="W56" s="278"/>
      <c r="X56" s="278"/>
      <c r="Y56" s="278"/>
      <c r="Z56" s="278"/>
    </row>
    <row r="57" ht="15.75" customHeight="1">
      <c r="A57" s="278"/>
      <c r="B57" s="278"/>
      <c r="C57" s="278"/>
      <c r="D57" s="278"/>
      <c r="E57" s="278"/>
      <c r="F57" s="278"/>
      <c r="G57" s="278"/>
      <c r="H57" s="278"/>
      <c r="I57" s="278"/>
      <c r="J57" s="278"/>
      <c r="K57" s="278"/>
      <c r="L57" s="278"/>
      <c r="M57" s="278"/>
      <c r="N57" s="278"/>
      <c r="O57" s="278"/>
      <c r="P57" s="278"/>
      <c r="Q57" s="278"/>
      <c r="R57" s="278"/>
      <c r="S57" s="278"/>
      <c r="T57" s="278"/>
      <c r="U57" s="278"/>
      <c r="V57" s="278"/>
      <c r="W57" s="278"/>
      <c r="X57" s="278"/>
      <c r="Y57" s="278"/>
      <c r="Z57" s="278"/>
    </row>
    <row r="58" ht="15.75" customHeight="1">
      <c r="A58" s="278"/>
      <c r="B58" s="278"/>
      <c r="C58" s="278"/>
      <c r="D58" s="278"/>
      <c r="E58" s="278"/>
      <c r="F58" s="278"/>
      <c r="G58" s="278"/>
      <c r="H58" s="278"/>
      <c r="I58" s="278"/>
      <c r="J58" s="278"/>
      <c r="K58" s="278"/>
      <c r="L58" s="278"/>
      <c r="M58" s="278"/>
      <c r="N58" s="278"/>
      <c r="O58" s="278"/>
      <c r="P58" s="278"/>
      <c r="Q58" s="278"/>
      <c r="R58" s="278"/>
      <c r="S58" s="278"/>
      <c r="T58" s="278"/>
      <c r="U58" s="278"/>
      <c r="V58" s="278"/>
      <c r="W58" s="278"/>
      <c r="X58" s="278"/>
      <c r="Y58" s="278"/>
      <c r="Z58" s="278"/>
    </row>
    <row r="59" ht="15.75" customHeight="1">
      <c r="A59" s="278"/>
      <c r="B59" s="278"/>
      <c r="C59" s="278"/>
      <c r="D59" s="278"/>
      <c r="E59" s="278"/>
      <c r="F59" s="278"/>
      <c r="G59" s="278"/>
      <c r="H59" s="278"/>
      <c r="I59" s="278"/>
      <c r="J59" s="278"/>
      <c r="K59" s="278"/>
      <c r="L59" s="278"/>
      <c r="M59" s="278"/>
      <c r="N59" s="278"/>
      <c r="O59" s="278"/>
      <c r="P59" s="278"/>
      <c r="Q59" s="278"/>
      <c r="R59" s="278"/>
      <c r="S59" s="278"/>
      <c r="T59" s="278"/>
      <c r="U59" s="278"/>
      <c r="V59" s="278"/>
      <c r="W59" s="278"/>
      <c r="X59" s="278"/>
      <c r="Y59" s="278"/>
      <c r="Z59" s="278"/>
    </row>
    <row r="60" ht="15.75" customHeight="1">
      <c r="A60" s="278"/>
      <c r="B60" s="278"/>
      <c r="C60" s="278"/>
      <c r="D60" s="278"/>
      <c r="E60" s="278"/>
      <c r="F60" s="278"/>
      <c r="G60" s="278"/>
      <c r="H60" s="278"/>
      <c r="I60" s="278"/>
      <c r="J60" s="278"/>
      <c r="K60" s="278"/>
      <c r="L60" s="278"/>
      <c r="M60" s="278"/>
      <c r="N60" s="278"/>
      <c r="O60" s="278"/>
      <c r="P60" s="278"/>
      <c r="Q60" s="278"/>
      <c r="R60" s="278"/>
      <c r="S60" s="278"/>
      <c r="T60" s="278"/>
      <c r="U60" s="278"/>
      <c r="V60" s="278"/>
      <c r="W60" s="278"/>
      <c r="X60" s="278"/>
      <c r="Y60" s="278"/>
      <c r="Z60" s="278"/>
    </row>
    <row r="61" ht="15.75" customHeight="1">
      <c r="A61" s="278"/>
      <c r="B61" s="278"/>
      <c r="C61" s="278"/>
      <c r="D61" s="278"/>
      <c r="E61" s="278"/>
      <c r="F61" s="278"/>
      <c r="G61" s="278"/>
      <c r="H61" s="278"/>
      <c r="I61" s="278"/>
      <c r="J61" s="278"/>
      <c r="K61" s="278"/>
      <c r="L61" s="278"/>
      <c r="M61" s="278"/>
      <c r="N61" s="278"/>
      <c r="O61" s="278"/>
      <c r="P61" s="278"/>
      <c r="Q61" s="278"/>
      <c r="R61" s="278"/>
      <c r="S61" s="278"/>
      <c r="T61" s="278"/>
      <c r="U61" s="278"/>
      <c r="V61" s="278"/>
      <c r="W61" s="278"/>
      <c r="X61" s="278"/>
      <c r="Y61" s="278"/>
      <c r="Z61" s="278"/>
    </row>
    <row r="62" ht="15.75" customHeight="1">
      <c r="A62" s="278"/>
      <c r="B62" s="278"/>
      <c r="C62" s="278"/>
      <c r="D62" s="278"/>
      <c r="E62" s="278"/>
      <c r="F62" s="278"/>
      <c r="G62" s="278"/>
      <c r="H62" s="278"/>
      <c r="I62" s="278"/>
      <c r="J62" s="278"/>
      <c r="K62" s="278"/>
      <c r="L62" s="278"/>
      <c r="M62" s="278"/>
      <c r="N62" s="278"/>
      <c r="O62" s="278"/>
      <c r="P62" s="278"/>
      <c r="Q62" s="278"/>
      <c r="R62" s="278"/>
      <c r="S62" s="278"/>
      <c r="T62" s="278"/>
      <c r="U62" s="278"/>
      <c r="V62" s="278"/>
      <c r="W62" s="278"/>
      <c r="X62" s="278"/>
      <c r="Y62" s="278"/>
      <c r="Z62" s="278"/>
    </row>
    <row r="63" ht="15.75" customHeight="1">
      <c r="A63" s="278"/>
      <c r="B63" s="278"/>
      <c r="C63" s="278"/>
      <c r="D63" s="278"/>
      <c r="E63" s="278"/>
      <c r="F63" s="278"/>
      <c r="G63" s="278"/>
      <c r="H63" s="278"/>
      <c r="I63" s="278"/>
      <c r="J63" s="278"/>
      <c r="K63" s="278"/>
      <c r="L63" s="278"/>
      <c r="M63" s="278"/>
      <c r="N63" s="278"/>
      <c r="O63" s="278"/>
      <c r="P63" s="278"/>
      <c r="Q63" s="278"/>
      <c r="R63" s="278"/>
      <c r="S63" s="278"/>
      <c r="T63" s="278"/>
      <c r="U63" s="278"/>
      <c r="V63" s="278"/>
      <c r="W63" s="278"/>
      <c r="X63" s="278"/>
      <c r="Y63" s="278"/>
      <c r="Z63" s="278"/>
    </row>
    <row r="64" ht="15.75" customHeight="1">
      <c r="A64" s="278"/>
      <c r="B64" s="278"/>
      <c r="C64" s="278"/>
      <c r="D64" s="278"/>
      <c r="E64" s="278"/>
      <c r="F64" s="278"/>
      <c r="G64" s="278"/>
      <c r="H64" s="278"/>
      <c r="I64" s="278"/>
      <c r="J64" s="278"/>
      <c r="K64" s="278"/>
      <c r="L64" s="278"/>
      <c r="M64" s="278"/>
      <c r="N64" s="278"/>
      <c r="O64" s="278"/>
      <c r="P64" s="278"/>
      <c r="Q64" s="278"/>
      <c r="R64" s="278"/>
      <c r="S64" s="278"/>
      <c r="T64" s="278"/>
      <c r="U64" s="278"/>
      <c r="V64" s="278"/>
      <c r="W64" s="278"/>
      <c r="X64" s="278"/>
      <c r="Y64" s="278"/>
      <c r="Z64" s="278"/>
    </row>
    <row r="65" ht="15.75" customHeight="1">
      <c r="A65" s="278"/>
      <c r="B65" s="278"/>
      <c r="C65" s="278"/>
      <c r="D65" s="278"/>
      <c r="E65" s="278"/>
      <c r="F65" s="278"/>
      <c r="G65" s="278"/>
      <c r="H65" s="278"/>
      <c r="I65" s="278"/>
      <c r="J65" s="278"/>
      <c r="K65" s="278"/>
      <c r="L65" s="278"/>
      <c r="M65" s="278"/>
      <c r="N65" s="278"/>
      <c r="O65" s="278"/>
      <c r="P65" s="278"/>
      <c r="Q65" s="278"/>
      <c r="R65" s="278"/>
      <c r="S65" s="278"/>
      <c r="T65" s="278"/>
      <c r="U65" s="278"/>
      <c r="V65" s="278"/>
      <c r="W65" s="278"/>
      <c r="X65" s="278"/>
      <c r="Y65" s="278"/>
      <c r="Z65" s="278"/>
    </row>
    <row r="66" ht="15.75" customHeight="1">
      <c r="A66" s="278"/>
      <c r="B66" s="278"/>
      <c r="C66" s="278"/>
      <c r="D66" s="278"/>
      <c r="E66" s="278"/>
      <c r="F66" s="278"/>
      <c r="G66" s="278"/>
      <c r="H66" s="278"/>
      <c r="I66" s="278"/>
      <c r="J66" s="278"/>
      <c r="K66" s="278"/>
      <c r="L66" s="278"/>
      <c r="M66" s="278"/>
      <c r="N66" s="278"/>
      <c r="O66" s="278"/>
      <c r="P66" s="278"/>
      <c r="Q66" s="278"/>
      <c r="R66" s="278"/>
      <c r="S66" s="278"/>
      <c r="T66" s="278"/>
      <c r="U66" s="278"/>
      <c r="V66" s="278"/>
      <c r="W66" s="278"/>
      <c r="X66" s="278"/>
      <c r="Y66" s="278"/>
      <c r="Z66" s="278"/>
    </row>
    <row r="67" ht="15.75" customHeight="1">
      <c r="A67" s="278"/>
      <c r="B67" s="278"/>
      <c r="C67" s="278"/>
      <c r="D67" s="278"/>
      <c r="E67" s="278"/>
      <c r="F67" s="278"/>
      <c r="G67" s="278"/>
      <c r="H67" s="278"/>
      <c r="I67" s="278"/>
      <c r="J67" s="278"/>
      <c r="K67" s="278"/>
      <c r="L67" s="278"/>
      <c r="M67" s="278"/>
      <c r="N67" s="278"/>
      <c r="O67" s="278"/>
      <c r="P67" s="278"/>
      <c r="Q67" s="278"/>
      <c r="R67" s="278"/>
      <c r="S67" s="278"/>
      <c r="T67" s="278"/>
      <c r="U67" s="278"/>
      <c r="V67" s="278"/>
      <c r="W67" s="278"/>
      <c r="X67" s="278"/>
      <c r="Y67" s="278"/>
      <c r="Z67" s="278"/>
    </row>
    <row r="68" ht="15.75" customHeight="1">
      <c r="A68" s="278"/>
      <c r="B68" s="278"/>
      <c r="C68" s="278"/>
      <c r="D68" s="278"/>
      <c r="E68" s="278"/>
      <c r="F68" s="278"/>
      <c r="G68" s="278"/>
      <c r="H68" s="278"/>
      <c r="I68" s="278"/>
      <c r="J68" s="278"/>
      <c r="K68" s="278"/>
      <c r="L68" s="278"/>
      <c r="M68" s="278"/>
      <c r="N68" s="278"/>
      <c r="O68" s="278"/>
      <c r="P68" s="278"/>
      <c r="Q68" s="278"/>
      <c r="R68" s="278"/>
      <c r="S68" s="278"/>
      <c r="T68" s="278"/>
      <c r="U68" s="278"/>
      <c r="V68" s="278"/>
      <c r="W68" s="278"/>
      <c r="X68" s="278"/>
      <c r="Y68" s="278"/>
      <c r="Z68" s="278"/>
    </row>
    <row r="69" ht="15.75" customHeight="1">
      <c r="A69" s="278"/>
      <c r="B69" s="278"/>
      <c r="C69" s="278"/>
      <c r="D69" s="278"/>
      <c r="E69" s="278"/>
      <c r="F69" s="278"/>
      <c r="G69" s="278"/>
      <c r="H69" s="278"/>
      <c r="I69" s="278"/>
      <c r="J69" s="278"/>
      <c r="K69" s="278"/>
      <c r="L69" s="278"/>
      <c r="M69" s="278"/>
      <c r="N69" s="278"/>
      <c r="O69" s="278"/>
      <c r="P69" s="278"/>
      <c r="Q69" s="278"/>
      <c r="R69" s="278"/>
      <c r="S69" s="278"/>
      <c r="T69" s="278"/>
      <c r="U69" s="278"/>
      <c r="V69" s="278"/>
      <c r="W69" s="278"/>
      <c r="X69" s="278"/>
      <c r="Y69" s="278"/>
      <c r="Z69" s="278"/>
    </row>
    <row r="70" ht="15.75" customHeight="1">
      <c r="A70" s="278"/>
      <c r="B70" s="278"/>
      <c r="C70" s="278"/>
      <c r="D70" s="278"/>
      <c r="E70" s="278"/>
      <c r="F70" s="278"/>
      <c r="G70" s="278"/>
      <c r="H70" s="278"/>
      <c r="I70" s="278"/>
      <c r="J70" s="278"/>
      <c r="K70" s="278"/>
      <c r="L70" s="278"/>
      <c r="M70" s="278"/>
      <c r="N70" s="278"/>
      <c r="O70" s="278"/>
      <c r="P70" s="278"/>
      <c r="Q70" s="278"/>
      <c r="R70" s="278"/>
      <c r="S70" s="278"/>
      <c r="T70" s="278"/>
      <c r="U70" s="278"/>
      <c r="V70" s="278"/>
      <c r="W70" s="278"/>
      <c r="X70" s="278"/>
      <c r="Y70" s="278"/>
      <c r="Z70" s="278"/>
    </row>
    <row r="71" ht="15.75" customHeight="1">
      <c r="A71" s="278"/>
      <c r="B71" s="278"/>
      <c r="C71" s="278"/>
      <c r="D71" s="278"/>
      <c r="E71" s="278"/>
      <c r="F71" s="278"/>
      <c r="G71" s="278"/>
      <c r="H71" s="278"/>
      <c r="I71" s="278"/>
      <c r="J71" s="278"/>
      <c r="K71" s="278"/>
      <c r="L71" s="278"/>
      <c r="M71" s="278"/>
      <c r="N71" s="278"/>
      <c r="O71" s="278"/>
      <c r="P71" s="278"/>
      <c r="Q71" s="278"/>
      <c r="R71" s="278"/>
      <c r="S71" s="278"/>
      <c r="T71" s="278"/>
      <c r="U71" s="278"/>
      <c r="V71" s="278"/>
      <c r="W71" s="278"/>
      <c r="X71" s="278"/>
      <c r="Y71" s="278"/>
      <c r="Z71" s="278"/>
    </row>
    <row r="72" ht="15.75" customHeight="1">
      <c r="A72" s="278"/>
      <c r="B72" s="278"/>
      <c r="C72" s="278"/>
      <c r="D72" s="278"/>
      <c r="E72" s="278"/>
      <c r="F72" s="278"/>
      <c r="G72" s="278"/>
      <c r="H72" s="278"/>
      <c r="I72" s="278"/>
      <c r="J72" s="278"/>
      <c r="K72" s="278"/>
      <c r="L72" s="278"/>
      <c r="M72" s="278"/>
      <c r="N72" s="278"/>
      <c r="O72" s="278"/>
      <c r="P72" s="278"/>
      <c r="Q72" s="278"/>
      <c r="R72" s="278"/>
      <c r="S72" s="278"/>
      <c r="T72" s="278"/>
      <c r="U72" s="278"/>
      <c r="V72" s="278"/>
      <c r="W72" s="278"/>
      <c r="X72" s="278"/>
      <c r="Y72" s="278"/>
      <c r="Z72" s="278"/>
    </row>
    <row r="73" ht="15.75" customHeight="1">
      <c r="A73" s="278"/>
      <c r="B73" s="278"/>
      <c r="C73" s="278"/>
      <c r="D73" s="278"/>
      <c r="E73" s="278"/>
      <c r="F73" s="278"/>
      <c r="G73" s="278"/>
      <c r="H73" s="278"/>
      <c r="I73" s="278"/>
      <c r="J73" s="278"/>
      <c r="K73" s="278"/>
      <c r="L73" s="278"/>
      <c r="M73" s="278"/>
      <c r="N73" s="278"/>
      <c r="O73" s="278"/>
      <c r="P73" s="278"/>
      <c r="Q73" s="278"/>
      <c r="R73" s="278"/>
      <c r="S73" s="278"/>
      <c r="T73" s="278"/>
      <c r="U73" s="278"/>
      <c r="V73" s="278"/>
      <c r="W73" s="278"/>
      <c r="X73" s="278"/>
      <c r="Y73" s="278"/>
      <c r="Z73" s="278"/>
    </row>
    <row r="74" ht="15.75" customHeight="1">
      <c r="A74" s="278"/>
      <c r="B74" s="278"/>
      <c r="C74" s="278"/>
      <c r="D74" s="278"/>
      <c r="E74" s="278"/>
      <c r="F74" s="278"/>
      <c r="G74" s="278"/>
      <c r="H74" s="278"/>
      <c r="I74" s="278"/>
      <c r="J74" s="278"/>
      <c r="K74" s="278"/>
      <c r="L74" s="278"/>
      <c r="M74" s="278"/>
      <c r="N74" s="278"/>
      <c r="O74" s="278"/>
      <c r="P74" s="278"/>
      <c r="Q74" s="278"/>
      <c r="R74" s="278"/>
      <c r="S74" s="278"/>
      <c r="T74" s="278"/>
      <c r="U74" s="278"/>
      <c r="V74" s="278"/>
      <c r="W74" s="278"/>
      <c r="X74" s="278"/>
      <c r="Y74" s="278"/>
      <c r="Z74" s="278"/>
    </row>
    <row r="75" ht="15.75" customHeight="1">
      <c r="A75" s="278"/>
      <c r="B75" s="278"/>
      <c r="C75" s="278"/>
      <c r="D75" s="278"/>
      <c r="E75" s="278"/>
      <c r="F75" s="278"/>
      <c r="G75" s="278"/>
      <c r="H75" s="278"/>
      <c r="I75" s="278"/>
      <c r="J75" s="278"/>
      <c r="K75" s="278"/>
      <c r="L75" s="278"/>
      <c r="M75" s="278"/>
      <c r="N75" s="278"/>
      <c r="O75" s="278"/>
      <c r="P75" s="278"/>
      <c r="Q75" s="278"/>
      <c r="R75" s="278"/>
      <c r="S75" s="278"/>
      <c r="T75" s="278"/>
      <c r="U75" s="278"/>
      <c r="V75" s="278"/>
      <c r="W75" s="278"/>
      <c r="X75" s="278"/>
      <c r="Y75" s="278"/>
      <c r="Z75" s="278"/>
    </row>
    <row r="76" ht="15.75" customHeight="1">
      <c r="A76" s="278"/>
      <c r="B76" s="278"/>
      <c r="C76" s="278"/>
      <c r="D76" s="278"/>
      <c r="E76" s="278"/>
      <c r="F76" s="278"/>
      <c r="G76" s="278"/>
      <c r="H76" s="278"/>
      <c r="I76" s="278"/>
      <c r="J76" s="278"/>
      <c r="K76" s="278"/>
      <c r="L76" s="278"/>
      <c r="M76" s="278"/>
      <c r="N76" s="278"/>
      <c r="O76" s="278"/>
      <c r="P76" s="278"/>
      <c r="Q76" s="278"/>
      <c r="R76" s="278"/>
      <c r="S76" s="278"/>
      <c r="T76" s="278"/>
      <c r="U76" s="278"/>
      <c r="V76" s="278"/>
      <c r="W76" s="278"/>
      <c r="X76" s="278"/>
      <c r="Y76" s="278"/>
      <c r="Z76" s="278"/>
    </row>
    <row r="77" ht="15.75" customHeight="1">
      <c r="A77" s="278"/>
      <c r="B77" s="278"/>
      <c r="C77" s="278"/>
      <c r="D77" s="278"/>
      <c r="E77" s="278"/>
      <c r="F77" s="278"/>
      <c r="G77" s="278"/>
      <c r="H77" s="278"/>
      <c r="I77" s="278"/>
      <c r="J77" s="278"/>
      <c r="K77" s="278"/>
      <c r="L77" s="278"/>
      <c r="M77" s="278"/>
      <c r="N77" s="278"/>
      <c r="O77" s="278"/>
      <c r="P77" s="278"/>
      <c r="Q77" s="278"/>
      <c r="R77" s="278"/>
      <c r="S77" s="278"/>
      <c r="T77" s="278"/>
      <c r="U77" s="278"/>
      <c r="V77" s="278"/>
      <c r="W77" s="278"/>
      <c r="X77" s="278"/>
      <c r="Y77" s="278"/>
      <c r="Z77" s="278"/>
    </row>
    <row r="78" ht="15.75" customHeight="1">
      <c r="A78" s="278"/>
      <c r="B78" s="278"/>
      <c r="C78" s="278"/>
      <c r="D78" s="278"/>
      <c r="E78" s="278"/>
      <c r="F78" s="278"/>
      <c r="G78" s="278"/>
      <c r="H78" s="278"/>
      <c r="I78" s="278"/>
      <c r="J78" s="278"/>
      <c r="K78" s="278"/>
      <c r="L78" s="278"/>
      <c r="M78" s="278"/>
      <c r="N78" s="278"/>
      <c r="O78" s="278"/>
      <c r="P78" s="278"/>
      <c r="Q78" s="278"/>
      <c r="R78" s="278"/>
      <c r="S78" s="278"/>
      <c r="T78" s="278"/>
      <c r="U78" s="278"/>
      <c r="V78" s="278"/>
      <c r="W78" s="278"/>
      <c r="X78" s="278"/>
      <c r="Y78" s="278"/>
      <c r="Z78" s="278"/>
    </row>
    <row r="79" ht="15.75" customHeight="1">
      <c r="A79" s="278"/>
      <c r="B79" s="278"/>
      <c r="C79" s="278"/>
      <c r="D79" s="278"/>
      <c r="E79" s="278"/>
      <c r="F79" s="278"/>
      <c r="G79" s="278"/>
      <c r="H79" s="278"/>
      <c r="I79" s="278"/>
      <c r="J79" s="278"/>
      <c r="K79" s="278"/>
      <c r="L79" s="278"/>
      <c r="M79" s="278"/>
      <c r="N79" s="278"/>
      <c r="O79" s="278"/>
      <c r="P79" s="278"/>
      <c r="Q79" s="278"/>
      <c r="R79" s="278"/>
      <c r="S79" s="278"/>
      <c r="T79" s="278"/>
      <c r="U79" s="278"/>
      <c r="V79" s="278"/>
      <c r="W79" s="278"/>
      <c r="X79" s="278"/>
      <c r="Y79" s="278"/>
      <c r="Z79" s="278"/>
    </row>
    <row r="80" ht="15.75" customHeight="1">
      <c r="A80" s="278"/>
      <c r="B80" s="278"/>
      <c r="C80" s="278"/>
      <c r="D80" s="278"/>
      <c r="E80" s="278"/>
      <c r="F80" s="278"/>
      <c r="G80" s="278"/>
      <c r="H80" s="278"/>
      <c r="I80" s="278"/>
      <c r="J80" s="278"/>
      <c r="K80" s="278"/>
      <c r="L80" s="278"/>
      <c r="M80" s="278"/>
      <c r="N80" s="278"/>
      <c r="O80" s="278"/>
      <c r="P80" s="278"/>
      <c r="Q80" s="278"/>
      <c r="R80" s="278"/>
      <c r="S80" s="278"/>
      <c r="T80" s="278"/>
      <c r="U80" s="278"/>
      <c r="V80" s="278"/>
      <c r="W80" s="278"/>
      <c r="X80" s="278"/>
      <c r="Y80" s="278"/>
      <c r="Z80" s="278"/>
    </row>
    <row r="81" ht="15.75" customHeight="1">
      <c r="A81" s="278"/>
      <c r="B81" s="278"/>
      <c r="C81" s="278"/>
      <c r="D81" s="278"/>
      <c r="E81" s="278"/>
      <c r="F81" s="278"/>
      <c r="G81" s="278"/>
      <c r="H81" s="278"/>
      <c r="I81" s="278"/>
      <c r="J81" s="278"/>
      <c r="K81" s="278"/>
      <c r="L81" s="278"/>
      <c r="M81" s="278"/>
      <c r="N81" s="278"/>
      <c r="O81" s="278"/>
      <c r="P81" s="278"/>
      <c r="Q81" s="278"/>
      <c r="R81" s="278"/>
      <c r="S81" s="278"/>
      <c r="T81" s="278"/>
      <c r="U81" s="278"/>
      <c r="V81" s="278"/>
      <c r="W81" s="278"/>
      <c r="X81" s="278"/>
      <c r="Y81" s="278"/>
      <c r="Z81" s="278"/>
    </row>
    <row r="82" ht="15.75" customHeight="1">
      <c r="A82" s="278"/>
      <c r="B82" s="278"/>
      <c r="C82" s="278"/>
      <c r="D82" s="278"/>
      <c r="E82" s="278"/>
      <c r="F82" s="278"/>
      <c r="G82" s="278"/>
      <c r="H82" s="278"/>
      <c r="I82" s="278"/>
      <c r="J82" s="278"/>
      <c r="K82" s="278"/>
      <c r="L82" s="278"/>
      <c r="M82" s="278"/>
      <c r="N82" s="278"/>
      <c r="O82" s="278"/>
      <c r="P82" s="278"/>
      <c r="Q82" s="278"/>
      <c r="R82" s="278"/>
      <c r="S82" s="278"/>
      <c r="T82" s="278"/>
      <c r="U82" s="278"/>
      <c r="V82" s="278"/>
      <c r="W82" s="278"/>
      <c r="X82" s="278"/>
      <c r="Y82" s="278"/>
      <c r="Z82" s="278"/>
    </row>
    <row r="83" ht="15.75" customHeight="1">
      <c r="A83" s="278"/>
      <c r="B83" s="278"/>
      <c r="C83" s="278"/>
      <c r="D83" s="278"/>
      <c r="E83" s="278"/>
      <c r="F83" s="278"/>
      <c r="G83" s="278"/>
      <c r="H83" s="278"/>
      <c r="I83" s="278"/>
      <c r="J83" s="278"/>
      <c r="K83" s="278"/>
      <c r="L83" s="278"/>
      <c r="M83" s="278"/>
      <c r="N83" s="278"/>
      <c r="O83" s="278"/>
      <c r="P83" s="278"/>
      <c r="Q83" s="278"/>
      <c r="R83" s="278"/>
      <c r="S83" s="278"/>
      <c r="T83" s="278"/>
      <c r="U83" s="278"/>
      <c r="V83" s="278"/>
      <c r="W83" s="278"/>
      <c r="X83" s="278"/>
      <c r="Y83" s="278"/>
      <c r="Z83" s="278"/>
    </row>
    <row r="84" ht="15.75" customHeight="1">
      <c r="A84" s="278"/>
      <c r="B84" s="278"/>
      <c r="C84" s="278"/>
      <c r="D84" s="278"/>
      <c r="E84" s="278"/>
      <c r="F84" s="278"/>
      <c r="G84" s="278"/>
      <c r="H84" s="278"/>
      <c r="I84" s="278"/>
      <c r="J84" s="278"/>
      <c r="K84" s="278"/>
      <c r="L84" s="278"/>
      <c r="M84" s="278"/>
      <c r="N84" s="278"/>
      <c r="O84" s="278"/>
      <c r="P84" s="278"/>
      <c r="Q84" s="278"/>
      <c r="R84" s="278"/>
      <c r="S84" s="278"/>
      <c r="T84" s="278"/>
      <c r="U84" s="278"/>
      <c r="V84" s="278"/>
      <c r="W84" s="278"/>
      <c r="X84" s="278"/>
      <c r="Y84" s="278"/>
      <c r="Z84" s="278"/>
    </row>
    <row r="85" ht="15.75" customHeight="1">
      <c r="A85" s="278"/>
      <c r="B85" s="278"/>
      <c r="C85" s="278"/>
      <c r="D85" s="278"/>
      <c r="E85" s="278"/>
      <c r="F85" s="278"/>
      <c r="G85" s="278"/>
      <c r="H85" s="278"/>
      <c r="I85" s="278"/>
      <c r="J85" s="278"/>
      <c r="K85" s="278"/>
      <c r="L85" s="278"/>
      <c r="M85" s="278"/>
      <c r="N85" s="278"/>
      <c r="O85" s="278"/>
      <c r="P85" s="278"/>
      <c r="Q85" s="278"/>
      <c r="R85" s="278"/>
      <c r="S85" s="278"/>
      <c r="T85" s="278"/>
      <c r="U85" s="278"/>
      <c r="V85" s="278"/>
      <c r="W85" s="278"/>
      <c r="X85" s="278"/>
      <c r="Y85" s="278"/>
      <c r="Z85" s="278"/>
    </row>
    <row r="86" ht="15.75" customHeight="1">
      <c r="A86" s="278"/>
      <c r="B86" s="278"/>
      <c r="C86" s="278"/>
      <c r="D86" s="278"/>
      <c r="E86" s="278"/>
      <c r="F86" s="278"/>
      <c r="G86" s="278"/>
      <c r="H86" s="278"/>
      <c r="I86" s="278"/>
      <c r="J86" s="278"/>
      <c r="K86" s="278"/>
      <c r="L86" s="278"/>
      <c r="M86" s="278"/>
      <c r="N86" s="278"/>
      <c r="O86" s="278"/>
      <c r="P86" s="278"/>
      <c r="Q86" s="278"/>
      <c r="R86" s="278"/>
      <c r="S86" s="278"/>
      <c r="T86" s="278"/>
      <c r="U86" s="278"/>
      <c r="V86" s="278"/>
      <c r="W86" s="278"/>
      <c r="X86" s="278"/>
      <c r="Y86" s="278"/>
      <c r="Z86" s="278"/>
    </row>
    <row r="87" ht="15.75" customHeight="1">
      <c r="A87" s="278"/>
      <c r="B87" s="278"/>
      <c r="C87" s="278"/>
      <c r="D87" s="278"/>
      <c r="E87" s="278"/>
      <c r="F87" s="278"/>
      <c r="G87" s="278"/>
      <c r="H87" s="278"/>
      <c r="I87" s="278"/>
      <c r="J87" s="278"/>
      <c r="K87" s="278"/>
      <c r="L87" s="278"/>
      <c r="M87" s="278"/>
      <c r="N87" s="278"/>
      <c r="O87" s="278"/>
      <c r="P87" s="278"/>
      <c r="Q87" s="278"/>
      <c r="R87" s="278"/>
      <c r="S87" s="278"/>
      <c r="T87" s="278"/>
      <c r="U87" s="278"/>
      <c r="V87" s="278"/>
      <c r="W87" s="278"/>
      <c r="X87" s="278"/>
      <c r="Y87" s="278"/>
      <c r="Z87" s="278"/>
    </row>
    <row r="88" ht="15.75" customHeight="1">
      <c r="A88" s="278"/>
      <c r="B88" s="278"/>
      <c r="C88" s="278"/>
      <c r="D88" s="278"/>
      <c r="E88" s="278"/>
      <c r="F88" s="278"/>
      <c r="G88" s="278"/>
      <c r="H88" s="278"/>
      <c r="I88" s="278"/>
      <c r="J88" s="278"/>
      <c r="K88" s="278"/>
      <c r="L88" s="278"/>
      <c r="M88" s="278"/>
      <c r="N88" s="278"/>
      <c r="O88" s="278"/>
      <c r="P88" s="278"/>
      <c r="Q88" s="278"/>
      <c r="R88" s="278"/>
      <c r="S88" s="278"/>
      <c r="T88" s="278"/>
      <c r="U88" s="278"/>
      <c r="V88" s="278"/>
      <c r="W88" s="278"/>
      <c r="X88" s="278"/>
      <c r="Y88" s="278"/>
      <c r="Z88" s="278"/>
    </row>
    <row r="89" ht="15.75" customHeight="1">
      <c r="A89" s="278"/>
      <c r="B89" s="278"/>
      <c r="C89" s="278"/>
      <c r="D89" s="278"/>
      <c r="E89" s="278"/>
      <c r="F89" s="278"/>
      <c r="G89" s="278"/>
      <c r="H89" s="278"/>
      <c r="I89" s="278"/>
      <c r="J89" s="278"/>
      <c r="K89" s="278"/>
      <c r="L89" s="278"/>
      <c r="M89" s="278"/>
      <c r="N89" s="278"/>
      <c r="O89" s="278"/>
      <c r="P89" s="278"/>
      <c r="Q89" s="278"/>
      <c r="R89" s="278"/>
      <c r="S89" s="278"/>
      <c r="T89" s="278"/>
      <c r="U89" s="278"/>
      <c r="V89" s="278"/>
      <c r="W89" s="278"/>
      <c r="X89" s="278"/>
      <c r="Y89" s="278"/>
      <c r="Z89" s="278"/>
    </row>
    <row r="90" ht="15.75" customHeight="1">
      <c r="A90" s="278"/>
      <c r="B90" s="278"/>
      <c r="C90" s="278"/>
      <c r="D90" s="278"/>
      <c r="E90" s="278"/>
      <c r="F90" s="278"/>
      <c r="G90" s="278"/>
      <c r="H90" s="278"/>
      <c r="I90" s="278"/>
      <c r="J90" s="278"/>
      <c r="K90" s="278"/>
      <c r="L90" s="278"/>
      <c r="M90" s="278"/>
      <c r="N90" s="278"/>
      <c r="O90" s="278"/>
      <c r="P90" s="278"/>
      <c r="Q90" s="278"/>
      <c r="R90" s="278"/>
      <c r="S90" s="278"/>
      <c r="T90" s="278"/>
      <c r="U90" s="278"/>
      <c r="V90" s="278"/>
      <c r="W90" s="278"/>
      <c r="X90" s="278"/>
      <c r="Y90" s="278"/>
      <c r="Z90" s="278"/>
    </row>
    <row r="91" ht="15.75" customHeight="1">
      <c r="A91" s="278"/>
      <c r="B91" s="278"/>
      <c r="C91" s="278"/>
      <c r="D91" s="278"/>
      <c r="E91" s="278"/>
      <c r="F91" s="278"/>
      <c r="G91" s="278"/>
      <c r="H91" s="278"/>
      <c r="I91" s="278"/>
      <c r="J91" s="278"/>
      <c r="K91" s="278"/>
      <c r="L91" s="278"/>
      <c r="M91" s="278"/>
      <c r="N91" s="278"/>
      <c r="O91" s="278"/>
      <c r="P91" s="278"/>
      <c r="Q91" s="278"/>
      <c r="R91" s="278"/>
      <c r="S91" s="278"/>
      <c r="T91" s="278"/>
      <c r="U91" s="278"/>
      <c r="V91" s="278"/>
      <c r="W91" s="278"/>
      <c r="X91" s="278"/>
      <c r="Y91" s="278"/>
      <c r="Z91" s="278"/>
    </row>
    <row r="92" ht="15.75" customHeight="1">
      <c r="A92" s="278"/>
      <c r="B92" s="278"/>
      <c r="C92" s="278"/>
      <c r="D92" s="278"/>
      <c r="E92" s="278"/>
      <c r="F92" s="278"/>
      <c r="G92" s="278"/>
      <c r="H92" s="278"/>
      <c r="I92" s="278"/>
      <c r="J92" s="278"/>
      <c r="K92" s="278"/>
      <c r="L92" s="278"/>
      <c r="M92" s="278"/>
      <c r="N92" s="278"/>
      <c r="O92" s="278"/>
      <c r="P92" s="278"/>
      <c r="Q92" s="278"/>
      <c r="R92" s="278"/>
      <c r="S92" s="278"/>
      <c r="T92" s="278"/>
      <c r="U92" s="278"/>
      <c r="V92" s="278"/>
      <c r="W92" s="278"/>
      <c r="X92" s="278"/>
      <c r="Y92" s="278"/>
      <c r="Z92" s="278"/>
    </row>
    <row r="93" ht="15.75" customHeight="1">
      <c r="A93" s="278"/>
      <c r="B93" s="278"/>
      <c r="C93" s="278"/>
      <c r="D93" s="278"/>
      <c r="E93" s="278"/>
      <c r="F93" s="278"/>
      <c r="G93" s="278"/>
      <c r="H93" s="278"/>
      <c r="I93" s="278"/>
      <c r="J93" s="278"/>
      <c r="K93" s="278"/>
      <c r="L93" s="278"/>
      <c r="M93" s="278"/>
      <c r="N93" s="278"/>
      <c r="O93" s="278"/>
      <c r="P93" s="278"/>
      <c r="Q93" s="278"/>
      <c r="R93" s="278"/>
      <c r="S93" s="278"/>
      <c r="T93" s="278"/>
      <c r="U93" s="278"/>
      <c r="V93" s="278"/>
      <c r="W93" s="278"/>
      <c r="X93" s="278"/>
      <c r="Y93" s="278"/>
      <c r="Z93" s="278"/>
    </row>
    <row r="94" ht="15.75" customHeight="1">
      <c r="A94" s="278"/>
      <c r="B94" s="278"/>
      <c r="C94" s="278"/>
      <c r="D94" s="278"/>
      <c r="E94" s="278"/>
      <c r="F94" s="278"/>
      <c r="G94" s="278"/>
      <c r="H94" s="278"/>
      <c r="I94" s="278"/>
      <c r="J94" s="278"/>
      <c r="K94" s="278"/>
      <c r="L94" s="278"/>
      <c r="M94" s="278"/>
      <c r="N94" s="278"/>
      <c r="O94" s="278"/>
      <c r="P94" s="278"/>
      <c r="Q94" s="278"/>
      <c r="R94" s="278"/>
      <c r="S94" s="278"/>
      <c r="T94" s="278"/>
      <c r="U94" s="278"/>
      <c r="V94" s="278"/>
      <c r="W94" s="278"/>
      <c r="X94" s="278"/>
      <c r="Y94" s="278"/>
      <c r="Z94" s="278"/>
    </row>
    <row r="95" ht="15.75" customHeight="1">
      <c r="A95" s="278"/>
      <c r="B95" s="278"/>
      <c r="C95" s="278"/>
      <c r="D95" s="278"/>
      <c r="E95" s="278"/>
      <c r="F95" s="278"/>
      <c r="G95" s="278"/>
      <c r="H95" s="278"/>
      <c r="I95" s="278"/>
      <c r="J95" s="278"/>
      <c r="K95" s="278"/>
      <c r="L95" s="278"/>
      <c r="M95" s="278"/>
      <c r="N95" s="278"/>
      <c r="O95" s="278"/>
      <c r="P95" s="278"/>
      <c r="Q95" s="278"/>
      <c r="R95" s="278"/>
      <c r="S95" s="278"/>
      <c r="T95" s="278"/>
      <c r="U95" s="278"/>
      <c r="V95" s="278"/>
      <c r="W95" s="278"/>
      <c r="X95" s="278"/>
      <c r="Y95" s="278"/>
      <c r="Z95" s="278"/>
    </row>
    <row r="96" ht="15.75" customHeight="1">
      <c r="A96" s="278"/>
      <c r="B96" s="278"/>
      <c r="C96" s="278"/>
      <c r="D96" s="278"/>
      <c r="E96" s="278"/>
      <c r="F96" s="278"/>
      <c r="G96" s="278"/>
      <c r="H96" s="278"/>
      <c r="I96" s="278"/>
      <c r="J96" s="278"/>
      <c r="K96" s="278"/>
      <c r="L96" s="278"/>
      <c r="M96" s="278"/>
      <c r="N96" s="278"/>
      <c r="O96" s="278"/>
      <c r="P96" s="278"/>
      <c r="Q96" s="278"/>
      <c r="R96" s="278"/>
      <c r="S96" s="278"/>
      <c r="T96" s="278"/>
      <c r="U96" s="278"/>
      <c r="V96" s="278"/>
      <c r="W96" s="278"/>
      <c r="X96" s="278"/>
      <c r="Y96" s="278"/>
      <c r="Z96" s="278"/>
    </row>
    <row r="97" ht="15.75" customHeight="1">
      <c r="A97" s="278"/>
      <c r="B97" s="278"/>
      <c r="C97" s="278"/>
      <c r="D97" s="278"/>
      <c r="E97" s="278"/>
      <c r="F97" s="278"/>
      <c r="G97" s="278"/>
      <c r="H97" s="278"/>
      <c r="I97" s="278"/>
      <c r="J97" s="278"/>
      <c r="K97" s="278"/>
      <c r="L97" s="278"/>
      <c r="M97" s="278"/>
      <c r="N97" s="278"/>
      <c r="O97" s="278"/>
      <c r="P97" s="278"/>
      <c r="Q97" s="278"/>
      <c r="R97" s="278"/>
      <c r="S97" s="278"/>
      <c r="T97" s="278"/>
      <c r="U97" s="278"/>
      <c r="V97" s="278"/>
      <c r="W97" s="278"/>
      <c r="X97" s="278"/>
      <c r="Y97" s="278"/>
      <c r="Z97" s="278"/>
    </row>
    <row r="98" ht="15.75" customHeight="1">
      <c r="A98" s="278"/>
      <c r="B98" s="278"/>
      <c r="C98" s="278"/>
      <c r="D98" s="278"/>
      <c r="E98" s="278"/>
      <c r="F98" s="278"/>
      <c r="G98" s="278"/>
      <c r="H98" s="278"/>
      <c r="I98" s="278"/>
      <c r="J98" s="278"/>
      <c r="K98" s="278"/>
      <c r="L98" s="278"/>
      <c r="M98" s="278"/>
      <c r="N98" s="278"/>
      <c r="O98" s="278"/>
      <c r="P98" s="278"/>
      <c r="Q98" s="278"/>
      <c r="R98" s="278"/>
      <c r="S98" s="278"/>
      <c r="T98" s="278"/>
      <c r="U98" s="278"/>
      <c r="V98" s="278"/>
      <c r="W98" s="278"/>
      <c r="X98" s="278"/>
      <c r="Y98" s="278"/>
      <c r="Z98" s="278"/>
    </row>
    <row r="99" ht="15.75" customHeight="1">
      <c r="A99" s="278"/>
      <c r="B99" s="278"/>
      <c r="C99" s="278"/>
      <c r="D99" s="278"/>
      <c r="E99" s="278"/>
      <c r="F99" s="278"/>
      <c r="G99" s="278"/>
      <c r="H99" s="278"/>
      <c r="I99" s="278"/>
      <c r="J99" s="278"/>
      <c r="K99" s="278"/>
      <c r="L99" s="278"/>
      <c r="M99" s="278"/>
      <c r="N99" s="278"/>
      <c r="O99" s="278"/>
      <c r="P99" s="278"/>
      <c r="Q99" s="278"/>
      <c r="R99" s="278"/>
      <c r="S99" s="278"/>
      <c r="T99" s="278"/>
      <c r="U99" s="278"/>
      <c r="V99" s="278"/>
      <c r="W99" s="278"/>
      <c r="X99" s="278"/>
      <c r="Y99" s="278"/>
      <c r="Z99" s="278"/>
    </row>
    <row r="100" ht="15.75" customHeight="1">
      <c r="A100" s="278"/>
      <c r="B100" s="278"/>
      <c r="C100" s="278"/>
      <c r="D100" s="278"/>
      <c r="E100" s="278"/>
      <c r="F100" s="278"/>
      <c r="G100" s="278"/>
      <c r="H100" s="278"/>
      <c r="I100" s="278"/>
      <c r="J100" s="278"/>
      <c r="K100" s="278"/>
      <c r="L100" s="278"/>
      <c r="M100" s="278"/>
      <c r="N100" s="278"/>
      <c r="O100" s="278"/>
      <c r="P100" s="278"/>
      <c r="Q100" s="278"/>
      <c r="R100" s="278"/>
      <c r="S100" s="278"/>
      <c r="T100" s="278"/>
      <c r="U100" s="278"/>
      <c r="V100" s="278"/>
      <c r="W100" s="278"/>
      <c r="X100" s="278"/>
      <c r="Y100" s="278"/>
      <c r="Z100" s="278"/>
    </row>
    <row r="101" ht="15.75" customHeight="1">
      <c r="A101" s="278"/>
      <c r="B101" s="278"/>
      <c r="C101" s="278"/>
      <c r="D101" s="278"/>
      <c r="E101" s="278"/>
      <c r="F101" s="278"/>
      <c r="G101" s="278"/>
      <c r="H101" s="278"/>
      <c r="I101" s="278"/>
      <c r="J101" s="278"/>
      <c r="K101" s="278"/>
      <c r="L101" s="278"/>
      <c r="M101" s="278"/>
      <c r="N101" s="278"/>
      <c r="O101" s="278"/>
      <c r="P101" s="278"/>
      <c r="Q101" s="278"/>
      <c r="R101" s="278"/>
      <c r="S101" s="278"/>
      <c r="T101" s="278"/>
      <c r="U101" s="278"/>
      <c r="V101" s="278"/>
      <c r="W101" s="278"/>
      <c r="X101" s="278"/>
      <c r="Y101" s="278"/>
      <c r="Z101" s="278"/>
    </row>
    <row r="102" ht="15.75" customHeight="1">
      <c r="A102" s="278"/>
      <c r="B102" s="278"/>
      <c r="C102" s="278"/>
      <c r="D102" s="278"/>
      <c r="E102" s="278"/>
      <c r="F102" s="278"/>
      <c r="G102" s="278"/>
      <c r="H102" s="278"/>
      <c r="I102" s="278"/>
      <c r="J102" s="278"/>
      <c r="K102" s="278"/>
      <c r="L102" s="278"/>
      <c r="M102" s="278"/>
      <c r="N102" s="278"/>
      <c r="O102" s="278"/>
      <c r="P102" s="278"/>
      <c r="Q102" s="278"/>
      <c r="R102" s="278"/>
      <c r="S102" s="278"/>
      <c r="T102" s="278"/>
      <c r="U102" s="278"/>
      <c r="V102" s="278"/>
      <c r="W102" s="278"/>
      <c r="X102" s="278"/>
      <c r="Y102" s="278"/>
      <c r="Z102" s="278"/>
    </row>
    <row r="103" ht="15.75" customHeight="1">
      <c r="A103" s="278"/>
      <c r="B103" s="278"/>
      <c r="C103" s="278"/>
      <c r="D103" s="278"/>
      <c r="E103" s="278"/>
      <c r="F103" s="278"/>
      <c r="G103" s="278"/>
      <c r="H103" s="278"/>
      <c r="I103" s="278"/>
      <c r="J103" s="278"/>
      <c r="K103" s="278"/>
      <c r="L103" s="278"/>
      <c r="M103" s="278"/>
      <c r="N103" s="278"/>
      <c r="O103" s="278"/>
      <c r="P103" s="278"/>
      <c r="Q103" s="278"/>
      <c r="R103" s="278"/>
      <c r="S103" s="278"/>
      <c r="T103" s="278"/>
      <c r="U103" s="278"/>
      <c r="V103" s="278"/>
      <c r="W103" s="278"/>
      <c r="X103" s="278"/>
      <c r="Y103" s="278"/>
      <c r="Z103" s="278"/>
    </row>
    <row r="104" ht="15.75" customHeight="1">
      <c r="A104" s="278"/>
      <c r="B104" s="278"/>
      <c r="C104" s="278"/>
      <c r="D104" s="278"/>
      <c r="E104" s="278"/>
      <c r="F104" s="278"/>
      <c r="G104" s="278"/>
      <c r="H104" s="278"/>
      <c r="I104" s="278"/>
      <c r="J104" s="278"/>
      <c r="K104" s="278"/>
      <c r="L104" s="278"/>
      <c r="M104" s="278"/>
      <c r="N104" s="278"/>
      <c r="O104" s="278"/>
      <c r="P104" s="278"/>
      <c r="Q104" s="278"/>
      <c r="R104" s="278"/>
      <c r="S104" s="278"/>
      <c r="T104" s="278"/>
      <c r="U104" s="278"/>
      <c r="V104" s="278"/>
      <c r="W104" s="278"/>
      <c r="X104" s="278"/>
      <c r="Y104" s="278"/>
      <c r="Z104" s="278"/>
    </row>
    <row r="105" ht="15.75" customHeight="1">
      <c r="A105" s="278"/>
      <c r="B105" s="278"/>
      <c r="C105" s="278"/>
      <c r="D105" s="278"/>
      <c r="E105" s="278"/>
      <c r="F105" s="278"/>
      <c r="G105" s="278"/>
      <c r="H105" s="278"/>
      <c r="I105" s="278"/>
      <c r="J105" s="278"/>
      <c r="K105" s="278"/>
      <c r="L105" s="278"/>
      <c r="M105" s="278"/>
      <c r="N105" s="278"/>
      <c r="O105" s="278"/>
      <c r="P105" s="278"/>
      <c r="Q105" s="278"/>
      <c r="R105" s="278"/>
      <c r="S105" s="278"/>
      <c r="T105" s="278"/>
      <c r="U105" s="278"/>
      <c r="V105" s="278"/>
      <c r="W105" s="278"/>
      <c r="X105" s="278"/>
      <c r="Y105" s="278"/>
      <c r="Z105" s="278"/>
    </row>
    <row r="106" ht="15.75" customHeight="1">
      <c r="A106" s="278"/>
      <c r="B106" s="278"/>
      <c r="C106" s="278"/>
      <c r="D106" s="278"/>
      <c r="E106" s="278"/>
      <c r="F106" s="278"/>
      <c r="G106" s="278"/>
      <c r="H106" s="278"/>
      <c r="I106" s="278"/>
      <c r="J106" s="278"/>
      <c r="K106" s="278"/>
      <c r="L106" s="278"/>
      <c r="M106" s="278"/>
      <c r="N106" s="278"/>
      <c r="O106" s="278"/>
      <c r="P106" s="278"/>
      <c r="Q106" s="278"/>
      <c r="R106" s="278"/>
      <c r="S106" s="278"/>
      <c r="T106" s="278"/>
      <c r="U106" s="278"/>
      <c r="V106" s="278"/>
      <c r="W106" s="278"/>
      <c r="X106" s="278"/>
      <c r="Y106" s="278"/>
      <c r="Z106" s="278"/>
    </row>
    <row r="107" ht="15.75" customHeight="1">
      <c r="A107" s="278"/>
      <c r="B107" s="278"/>
      <c r="C107" s="278"/>
      <c r="D107" s="278"/>
      <c r="E107" s="278"/>
      <c r="F107" s="278"/>
      <c r="G107" s="278"/>
      <c r="H107" s="278"/>
      <c r="I107" s="278"/>
      <c r="J107" s="278"/>
      <c r="K107" s="278"/>
      <c r="L107" s="278"/>
      <c r="M107" s="278"/>
      <c r="N107" s="278"/>
      <c r="O107" s="278"/>
      <c r="P107" s="278"/>
      <c r="Q107" s="278"/>
      <c r="R107" s="278"/>
      <c r="S107" s="278"/>
      <c r="T107" s="278"/>
      <c r="U107" s="278"/>
      <c r="V107" s="278"/>
      <c r="W107" s="278"/>
      <c r="X107" s="278"/>
      <c r="Y107" s="278"/>
      <c r="Z107" s="278"/>
    </row>
    <row r="108" ht="15.75" customHeight="1">
      <c r="A108" s="278"/>
      <c r="B108" s="278"/>
      <c r="C108" s="278"/>
      <c r="D108" s="278"/>
      <c r="E108" s="278"/>
      <c r="F108" s="278"/>
      <c r="G108" s="278"/>
      <c r="H108" s="278"/>
      <c r="I108" s="278"/>
      <c r="J108" s="278"/>
      <c r="K108" s="278"/>
      <c r="L108" s="278"/>
      <c r="M108" s="278"/>
      <c r="N108" s="278"/>
      <c r="O108" s="278"/>
      <c r="P108" s="278"/>
      <c r="Q108" s="278"/>
      <c r="R108" s="278"/>
      <c r="S108" s="278"/>
      <c r="T108" s="278"/>
      <c r="U108" s="278"/>
      <c r="V108" s="278"/>
      <c r="W108" s="278"/>
      <c r="X108" s="278"/>
      <c r="Y108" s="278"/>
      <c r="Z108" s="278"/>
    </row>
    <row r="109" ht="15.75" customHeight="1">
      <c r="A109" s="278"/>
      <c r="B109" s="278"/>
      <c r="C109" s="278"/>
      <c r="D109" s="278"/>
      <c r="E109" s="278"/>
      <c r="F109" s="278"/>
      <c r="G109" s="278"/>
      <c r="H109" s="278"/>
      <c r="I109" s="278"/>
      <c r="J109" s="278"/>
      <c r="K109" s="278"/>
      <c r="L109" s="278"/>
      <c r="M109" s="278"/>
      <c r="N109" s="278"/>
      <c r="O109" s="278"/>
      <c r="P109" s="278"/>
      <c r="Q109" s="278"/>
      <c r="R109" s="278"/>
      <c r="S109" s="278"/>
      <c r="T109" s="278"/>
      <c r="U109" s="278"/>
      <c r="V109" s="278"/>
      <c r="W109" s="278"/>
      <c r="X109" s="278"/>
      <c r="Y109" s="278"/>
      <c r="Z109" s="278"/>
    </row>
    <row r="110" ht="15.75" customHeight="1">
      <c r="A110" s="278"/>
      <c r="B110" s="278"/>
      <c r="C110" s="278"/>
      <c r="D110" s="278"/>
      <c r="E110" s="278"/>
      <c r="F110" s="278"/>
      <c r="G110" s="278"/>
      <c r="H110" s="278"/>
      <c r="I110" s="278"/>
      <c r="J110" s="278"/>
      <c r="K110" s="278"/>
      <c r="L110" s="278"/>
      <c r="M110" s="278"/>
      <c r="N110" s="278"/>
      <c r="O110" s="278"/>
      <c r="P110" s="278"/>
      <c r="Q110" s="278"/>
      <c r="R110" s="278"/>
      <c r="S110" s="278"/>
      <c r="T110" s="278"/>
      <c r="U110" s="278"/>
      <c r="V110" s="278"/>
      <c r="W110" s="278"/>
      <c r="X110" s="278"/>
      <c r="Y110" s="278"/>
      <c r="Z110" s="278"/>
    </row>
    <row r="111" ht="15.75" customHeight="1">
      <c r="A111" s="278"/>
      <c r="B111" s="278"/>
      <c r="C111" s="278"/>
      <c r="D111" s="278"/>
      <c r="E111" s="278"/>
      <c r="F111" s="278"/>
      <c r="G111" s="278"/>
      <c r="H111" s="278"/>
      <c r="I111" s="278"/>
      <c r="J111" s="278"/>
      <c r="K111" s="278"/>
      <c r="L111" s="278"/>
      <c r="M111" s="278"/>
      <c r="N111" s="278"/>
      <c r="O111" s="278"/>
      <c r="P111" s="278"/>
      <c r="Q111" s="278"/>
      <c r="R111" s="278"/>
      <c r="S111" s="278"/>
      <c r="T111" s="278"/>
      <c r="U111" s="278"/>
      <c r="V111" s="278"/>
      <c r="W111" s="278"/>
      <c r="X111" s="278"/>
      <c r="Y111" s="278"/>
      <c r="Z111" s="278"/>
    </row>
    <row r="112" ht="15.75" customHeight="1">
      <c r="A112" s="278"/>
      <c r="B112" s="278"/>
      <c r="C112" s="278"/>
      <c r="D112" s="278"/>
      <c r="E112" s="278"/>
      <c r="F112" s="278"/>
      <c r="G112" s="278"/>
      <c r="H112" s="278"/>
      <c r="I112" s="278"/>
      <c r="J112" s="278"/>
      <c r="K112" s="278"/>
      <c r="L112" s="278"/>
      <c r="M112" s="278"/>
      <c r="N112" s="278"/>
      <c r="O112" s="278"/>
      <c r="P112" s="278"/>
      <c r="Q112" s="278"/>
      <c r="R112" s="278"/>
      <c r="S112" s="278"/>
      <c r="T112" s="278"/>
      <c r="U112" s="278"/>
      <c r="V112" s="278"/>
      <c r="W112" s="278"/>
      <c r="X112" s="278"/>
      <c r="Y112" s="278"/>
      <c r="Z112" s="278"/>
    </row>
    <row r="113" ht="15.75" customHeight="1">
      <c r="A113" s="278"/>
      <c r="B113" s="278"/>
      <c r="C113" s="278"/>
      <c r="D113" s="278"/>
      <c r="E113" s="278"/>
      <c r="F113" s="278"/>
      <c r="G113" s="278"/>
      <c r="H113" s="278"/>
      <c r="I113" s="278"/>
      <c r="J113" s="278"/>
      <c r="K113" s="278"/>
      <c r="L113" s="278"/>
      <c r="M113" s="278"/>
      <c r="N113" s="278"/>
      <c r="O113" s="278"/>
      <c r="P113" s="278"/>
      <c r="Q113" s="278"/>
      <c r="R113" s="278"/>
      <c r="S113" s="278"/>
      <c r="T113" s="278"/>
      <c r="U113" s="278"/>
      <c r="V113" s="278"/>
      <c r="W113" s="278"/>
      <c r="X113" s="278"/>
      <c r="Y113" s="278"/>
      <c r="Z113" s="278"/>
    </row>
    <row r="114" ht="15.75" customHeight="1">
      <c r="A114" s="278"/>
      <c r="B114" s="278"/>
      <c r="C114" s="278"/>
      <c r="D114" s="278"/>
      <c r="E114" s="278"/>
      <c r="F114" s="278"/>
      <c r="G114" s="278"/>
      <c r="H114" s="278"/>
      <c r="I114" s="278"/>
      <c r="J114" s="278"/>
      <c r="K114" s="278"/>
      <c r="L114" s="278"/>
      <c r="M114" s="278"/>
      <c r="N114" s="278"/>
      <c r="O114" s="278"/>
      <c r="P114" s="278"/>
      <c r="Q114" s="278"/>
      <c r="R114" s="278"/>
      <c r="S114" s="278"/>
      <c r="T114" s="278"/>
      <c r="U114" s="278"/>
      <c r="V114" s="278"/>
      <c r="W114" s="278"/>
      <c r="X114" s="278"/>
      <c r="Y114" s="278"/>
      <c r="Z114" s="278"/>
    </row>
    <row r="115" ht="15.75" customHeight="1">
      <c r="A115" s="278"/>
      <c r="B115" s="278"/>
      <c r="C115" s="278"/>
      <c r="D115" s="278"/>
      <c r="E115" s="278"/>
      <c r="F115" s="278"/>
      <c r="G115" s="278"/>
      <c r="H115" s="278"/>
      <c r="I115" s="278"/>
      <c r="J115" s="278"/>
      <c r="K115" s="278"/>
      <c r="L115" s="278"/>
      <c r="M115" s="278"/>
      <c r="N115" s="278"/>
      <c r="O115" s="278"/>
      <c r="P115" s="278"/>
      <c r="Q115" s="278"/>
      <c r="R115" s="278"/>
      <c r="S115" s="278"/>
      <c r="T115" s="278"/>
      <c r="U115" s="278"/>
      <c r="V115" s="278"/>
      <c r="W115" s="278"/>
      <c r="X115" s="278"/>
      <c r="Y115" s="278"/>
      <c r="Z115" s="278"/>
    </row>
    <row r="116" ht="15.75" customHeight="1">
      <c r="A116" s="278"/>
      <c r="B116" s="278"/>
      <c r="C116" s="278"/>
      <c r="D116" s="278"/>
      <c r="E116" s="278"/>
      <c r="F116" s="278"/>
      <c r="G116" s="278"/>
      <c r="H116" s="278"/>
      <c r="I116" s="278"/>
      <c r="J116" s="278"/>
      <c r="K116" s="278"/>
      <c r="L116" s="278"/>
      <c r="M116" s="278"/>
      <c r="N116" s="278"/>
      <c r="O116" s="278"/>
      <c r="P116" s="278"/>
      <c r="Q116" s="278"/>
      <c r="R116" s="278"/>
      <c r="S116" s="278"/>
      <c r="T116" s="278"/>
      <c r="U116" s="278"/>
      <c r="V116" s="278"/>
      <c r="W116" s="278"/>
      <c r="X116" s="278"/>
      <c r="Y116" s="278"/>
      <c r="Z116" s="278"/>
    </row>
    <row r="117" ht="15.75" customHeight="1">
      <c r="A117" s="278"/>
      <c r="B117" s="278"/>
      <c r="C117" s="278"/>
      <c r="D117" s="278"/>
      <c r="E117" s="278"/>
      <c r="F117" s="278"/>
      <c r="G117" s="278"/>
      <c r="H117" s="278"/>
      <c r="I117" s="278"/>
      <c r="J117" s="278"/>
      <c r="K117" s="278"/>
      <c r="L117" s="278"/>
      <c r="M117" s="278"/>
      <c r="N117" s="278"/>
      <c r="O117" s="278"/>
      <c r="P117" s="278"/>
      <c r="Q117" s="278"/>
      <c r="R117" s="278"/>
      <c r="S117" s="278"/>
      <c r="T117" s="278"/>
      <c r="U117" s="278"/>
      <c r="V117" s="278"/>
      <c r="W117" s="278"/>
      <c r="X117" s="278"/>
      <c r="Y117" s="278"/>
      <c r="Z117" s="278"/>
    </row>
    <row r="118" ht="15.75" customHeight="1">
      <c r="A118" s="278"/>
      <c r="B118" s="278"/>
      <c r="C118" s="278"/>
      <c r="D118" s="278"/>
      <c r="E118" s="278"/>
      <c r="F118" s="278"/>
      <c r="G118" s="278"/>
      <c r="H118" s="278"/>
      <c r="I118" s="278"/>
      <c r="J118" s="278"/>
      <c r="K118" s="278"/>
      <c r="L118" s="278"/>
      <c r="M118" s="278"/>
      <c r="N118" s="278"/>
      <c r="O118" s="278"/>
      <c r="P118" s="278"/>
      <c r="Q118" s="278"/>
      <c r="R118" s="278"/>
      <c r="S118" s="278"/>
      <c r="T118" s="278"/>
      <c r="U118" s="278"/>
      <c r="V118" s="278"/>
      <c r="W118" s="278"/>
      <c r="X118" s="278"/>
      <c r="Y118" s="278"/>
      <c r="Z118" s="278"/>
    </row>
    <row r="119" ht="15.75" customHeight="1">
      <c r="A119" s="278"/>
      <c r="B119" s="278"/>
      <c r="C119" s="278"/>
      <c r="D119" s="278"/>
      <c r="E119" s="278"/>
      <c r="F119" s="278"/>
      <c r="G119" s="278"/>
      <c r="H119" s="278"/>
      <c r="I119" s="278"/>
      <c r="J119" s="278"/>
      <c r="K119" s="278"/>
      <c r="L119" s="278"/>
      <c r="M119" s="278"/>
      <c r="N119" s="278"/>
      <c r="O119" s="278"/>
      <c r="P119" s="278"/>
      <c r="Q119" s="278"/>
      <c r="R119" s="278"/>
      <c r="S119" s="278"/>
      <c r="T119" s="278"/>
      <c r="U119" s="278"/>
      <c r="V119" s="278"/>
      <c r="W119" s="278"/>
      <c r="X119" s="278"/>
      <c r="Y119" s="278"/>
      <c r="Z119" s="278"/>
    </row>
    <row r="120" ht="15.75" customHeight="1">
      <c r="A120" s="278"/>
      <c r="B120" s="278"/>
      <c r="C120" s="278"/>
      <c r="D120" s="278"/>
      <c r="E120" s="278"/>
      <c r="F120" s="278"/>
      <c r="G120" s="278"/>
      <c r="H120" s="278"/>
      <c r="I120" s="278"/>
      <c r="J120" s="278"/>
      <c r="K120" s="278"/>
      <c r="L120" s="278"/>
      <c r="M120" s="278"/>
      <c r="N120" s="278"/>
      <c r="O120" s="278"/>
      <c r="P120" s="278"/>
      <c r="Q120" s="278"/>
      <c r="R120" s="278"/>
      <c r="S120" s="278"/>
      <c r="T120" s="278"/>
      <c r="U120" s="278"/>
      <c r="V120" s="278"/>
      <c r="W120" s="278"/>
      <c r="X120" s="278"/>
      <c r="Y120" s="278"/>
      <c r="Z120" s="278"/>
    </row>
    <row r="121" ht="15.75" customHeight="1">
      <c r="A121" s="278"/>
      <c r="B121" s="278"/>
      <c r="C121" s="278"/>
      <c r="D121" s="278"/>
      <c r="E121" s="278"/>
      <c r="F121" s="278"/>
      <c r="G121" s="278"/>
      <c r="H121" s="278"/>
      <c r="I121" s="278"/>
      <c r="J121" s="278"/>
      <c r="K121" s="278"/>
      <c r="L121" s="278"/>
      <c r="M121" s="278"/>
      <c r="N121" s="278"/>
      <c r="O121" s="278"/>
      <c r="P121" s="278"/>
      <c r="Q121" s="278"/>
      <c r="R121" s="278"/>
      <c r="S121" s="278"/>
      <c r="T121" s="278"/>
      <c r="U121" s="278"/>
      <c r="V121" s="278"/>
      <c r="W121" s="278"/>
      <c r="X121" s="278"/>
      <c r="Y121" s="278"/>
      <c r="Z121" s="278"/>
    </row>
    <row r="122" ht="15.75" customHeight="1">
      <c r="A122" s="278"/>
      <c r="B122" s="278"/>
      <c r="C122" s="278"/>
      <c r="D122" s="278"/>
      <c r="E122" s="278"/>
      <c r="F122" s="278"/>
      <c r="G122" s="278"/>
      <c r="H122" s="278"/>
      <c r="I122" s="278"/>
      <c r="J122" s="278"/>
      <c r="K122" s="278"/>
      <c r="L122" s="278"/>
      <c r="M122" s="278"/>
      <c r="N122" s="278"/>
      <c r="O122" s="278"/>
      <c r="P122" s="278"/>
      <c r="Q122" s="278"/>
      <c r="R122" s="278"/>
      <c r="S122" s="278"/>
      <c r="T122" s="278"/>
      <c r="U122" s="278"/>
      <c r="V122" s="278"/>
      <c r="W122" s="278"/>
      <c r="X122" s="278"/>
      <c r="Y122" s="278"/>
      <c r="Z122" s="278"/>
    </row>
    <row r="123" ht="15.75" customHeight="1">
      <c r="A123" s="278"/>
      <c r="B123" s="278"/>
      <c r="C123" s="278"/>
      <c r="D123" s="278"/>
      <c r="E123" s="278"/>
      <c r="F123" s="278"/>
      <c r="G123" s="278"/>
      <c r="H123" s="278"/>
      <c r="I123" s="278"/>
      <c r="J123" s="278"/>
      <c r="K123" s="278"/>
      <c r="L123" s="278"/>
      <c r="M123" s="278"/>
      <c r="N123" s="278"/>
      <c r="O123" s="278"/>
      <c r="P123" s="278"/>
      <c r="Q123" s="278"/>
      <c r="R123" s="278"/>
      <c r="S123" s="278"/>
      <c r="T123" s="278"/>
      <c r="U123" s="278"/>
      <c r="V123" s="278"/>
      <c r="W123" s="278"/>
      <c r="X123" s="278"/>
      <c r="Y123" s="278"/>
      <c r="Z123" s="278"/>
    </row>
    <row r="124" ht="15.75" customHeight="1">
      <c r="A124" s="278"/>
      <c r="B124" s="278"/>
      <c r="C124" s="278"/>
      <c r="D124" s="278"/>
      <c r="E124" s="278"/>
      <c r="F124" s="278"/>
      <c r="G124" s="278"/>
      <c r="H124" s="278"/>
      <c r="I124" s="278"/>
      <c r="J124" s="278"/>
      <c r="K124" s="278"/>
      <c r="L124" s="278"/>
      <c r="M124" s="278"/>
      <c r="N124" s="278"/>
      <c r="O124" s="278"/>
      <c r="P124" s="278"/>
      <c r="Q124" s="278"/>
      <c r="R124" s="278"/>
      <c r="S124" s="278"/>
      <c r="T124" s="278"/>
      <c r="U124" s="278"/>
      <c r="V124" s="278"/>
      <c r="W124" s="278"/>
      <c r="X124" s="278"/>
      <c r="Y124" s="278"/>
      <c r="Z124" s="278"/>
    </row>
    <row r="125" ht="15.75" customHeight="1">
      <c r="A125" s="278"/>
      <c r="B125" s="278"/>
      <c r="C125" s="278"/>
      <c r="D125" s="278"/>
      <c r="E125" s="278"/>
      <c r="F125" s="278"/>
      <c r="G125" s="278"/>
      <c r="H125" s="278"/>
      <c r="I125" s="278"/>
      <c r="J125" s="278"/>
      <c r="K125" s="278"/>
      <c r="L125" s="278"/>
      <c r="M125" s="278"/>
      <c r="N125" s="278"/>
      <c r="O125" s="278"/>
      <c r="P125" s="278"/>
      <c r="Q125" s="278"/>
      <c r="R125" s="278"/>
      <c r="S125" s="278"/>
      <c r="T125" s="278"/>
      <c r="U125" s="278"/>
      <c r="V125" s="278"/>
      <c r="W125" s="278"/>
      <c r="X125" s="278"/>
      <c r="Y125" s="278"/>
      <c r="Z125" s="278"/>
    </row>
    <row r="126" ht="15.75" customHeight="1">
      <c r="A126" s="278"/>
      <c r="B126" s="278"/>
      <c r="C126" s="278"/>
      <c r="D126" s="278"/>
      <c r="E126" s="278"/>
      <c r="F126" s="278"/>
      <c r="G126" s="278"/>
      <c r="H126" s="278"/>
      <c r="I126" s="278"/>
      <c r="J126" s="278"/>
      <c r="K126" s="278"/>
      <c r="L126" s="278"/>
      <c r="M126" s="278"/>
      <c r="N126" s="278"/>
      <c r="O126" s="278"/>
      <c r="P126" s="278"/>
      <c r="Q126" s="278"/>
      <c r="R126" s="278"/>
      <c r="S126" s="278"/>
      <c r="T126" s="278"/>
      <c r="U126" s="278"/>
      <c r="V126" s="278"/>
      <c r="W126" s="278"/>
      <c r="X126" s="278"/>
      <c r="Y126" s="278"/>
      <c r="Z126" s="278"/>
    </row>
    <row r="127" ht="15.75" customHeight="1">
      <c r="A127" s="278"/>
      <c r="B127" s="278"/>
      <c r="C127" s="278"/>
      <c r="D127" s="278"/>
      <c r="E127" s="278"/>
      <c r="F127" s="278"/>
      <c r="G127" s="278"/>
      <c r="H127" s="278"/>
      <c r="I127" s="278"/>
      <c r="J127" s="278"/>
      <c r="K127" s="278"/>
      <c r="L127" s="278"/>
      <c r="M127" s="278"/>
      <c r="N127" s="278"/>
      <c r="O127" s="278"/>
      <c r="P127" s="278"/>
      <c r="Q127" s="278"/>
      <c r="R127" s="278"/>
      <c r="S127" s="278"/>
      <c r="T127" s="278"/>
      <c r="U127" s="278"/>
      <c r="V127" s="278"/>
      <c r="W127" s="278"/>
      <c r="X127" s="278"/>
      <c r="Y127" s="278"/>
      <c r="Z127" s="278"/>
    </row>
    <row r="128" ht="15.75" customHeight="1">
      <c r="A128" s="278"/>
      <c r="B128" s="278"/>
      <c r="C128" s="278"/>
      <c r="D128" s="278"/>
      <c r="E128" s="278"/>
      <c r="F128" s="278"/>
      <c r="G128" s="278"/>
      <c r="H128" s="278"/>
      <c r="I128" s="278"/>
      <c r="J128" s="278"/>
      <c r="K128" s="278"/>
      <c r="L128" s="278"/>
      <c r="M128" s="278"/>
      <c r="N128" s="278"/>
      <c r="O128" s="278"/>
      <c r="P128" s="278"/>
      <c r="Q128" s="278"/>
      <c r="R128" s="278"/>
      <c r="S128" s="278"/>
      <c r="T128" s="278"/>
      <c r="U128" s="278"/>
      <c r="V128" s="278"/>
      <c r="W128" s="278"/>
      <c r="X128" s="278"/>
      <c r="Y128" s="278"/>
      <c r="Z128" s="278"/>
    </row>
    <row r="129" ht="15.75" customHeight="1">
      <c r="A129" s="278"/>
      <c r="B129" s="278"/>
      <c r="C129" s="278"/>
      <c r="D129" s="278"/>
      <c r="E129" s="278"/>
      <c r="F129" s="278"/>
      <c r="G129" s="278"/>
      <c r="H129" s="278"/>
      <c r="I129" s="278"/>
      <c r="J129" s="278"/>
      <c r="K129" s="278"/>
      <c r="L129" s="278"/>
      <c r="M129" s="278"/>
      <c r="N129" s="278"/>
      <c r="O129" s="278"/>
      <c r="P129" s="278"/>
      <c r="Q129" s="278"/>
      <c r="R129" s="278"/>
      <c r="S129" s="278"/>
      <c r="T129" s="278"/>
      <c r="U129" s="278"/>
      <c r="V129" s="278"/>
      <c r="W129" s="278"/>
      <c r="X129" s="278"/>
      <c r="Y129" s="278"/>
      <c r="Z129" s="278"/>
    </row>
    <row r="130" ht="15.75" customHeight="1">
      <c r="A130" s="278"/>
      <c r="B130" s="278"/>
      <c r="C130" s="278"/>
      <c r="D130" s="278"/>
      <c r="E130" s="278"/>
      <c r="F130" s="278"/>
      <c r="G130" s="278"/>
      <c r="H130" s="278"/>
      <c r="I130" s="278"/>
      <c r="J130" s="278"/>
      <c r="K130" s="278"/>
      <c r="L130" s="278"/>
      <c r="M130" s="278"/>
      <c r="N130" s="278"/>
      <c r="O130" s="278"/>
      <c r="P130" s="278"/>
      <c r="Q130" s="278"/>
      <c r="R130" s="278"/>
      <c r="S130" s="278"/>
      <c r="T130" s="278"/>
      <c r="U130" s="278"/>
      <c r="V130" s="278"/>
      <c r="W130" s="278"/>
      <c r="X130" s="278"/>
      <c r="Y130" s="278"/>
      <c r="Z130" s="278"/>
    </row>
    <row r="131" ht="15.75" customHeight="1">
      <c r="A131" s="278"/>
      <c r="B131" s="278"/>
      <c r="C131" s="278"/>
      <c r="D131" s="278"/>
      <c r="E131" s="278"/>
      <c r="F131" s="278"/>
      <c r="G131" s="278"/>
      <c r="H131" s="278"/>
      <c r="I131" s="278"/>
      <c r="J131" s="278"/>
      <c r="K131" s="278"/>
      <c r="L131" s="278"/>
      <c r="M131" s="278"/>
      <c r="N131" s="278"/>
      <c r="O131" s="278"/>
      <c r="P131" s="278"/>
      <c r="Q131" s="278"/>
      <c r="R131" s="278"/>
      <c r="S131" s="278"/>
      <c r="T131" s="278"/>
      <c r="U131" s="278"/>
      <c r="V131" s="278"/>
      <c r="W131" s="278"/>
      <c r="X131" s="278"/>
      <c r="Y131" s="278"/>
      <c r="Z131" s="278"/>
    </row>
    <row r="132" ht="15.75" customHeight="1">
      <c r="A132" s="278"/>
      <c r="B132" s="278"/>
      <c r="C132" s="278"/>
      <c r="D132" s="278"/>
      <c r="E132" s="278"/>
      <c r="F132" s="278"/>
      <c r="G132" s="278"/>
      <c r="H132" s="278"/>
      <c r="I132" s="278"/>
      <c r="J132" s="278"/>
      <c r="K132" s="278"/>
      <c r="L132" s="278"/>
      <c r="M132" s="278"/>
      <c r="N132" s="278"/>
      <c r="O132" s="278"/>
      <c r="P132" s="278"/>
      <c r="Q132" s="278"/>
      <c r="R132" s="278"/>
      <c r="S132" s="278"/>
      <c r="T132" s="278"/>
      <c r="U132" s="278"/>
      <c r="V132" s="278"/>
      <c r="W132" s="278"/>
      <c r="X132" s="278"/>
      <c r="Y132" s="278"/>
      <c r="Z132" s="278"/>
    </row>
    <row r="133" ht="15.75" customHeight="1">
      <c r="A133" s="278"/>
      <c r="B133" s="278"/>
      <c r="C133" s="278"/>
      <c r="D133" s="278"/>
      <c r="E133" s="278"/>
      <c r="F133" s="278"/>
      <c r="G133" s="278"/>
      <c r="H133" s="278"/>
      <c r="I133" s="278"/>
      <c r="J133" s="278"/>
      <c r="K133" s="278"/>
      <c r="L133" s="278"/>
      <c r="M133" s="278"/>
      <c r="N133" s="278"/>
      <c r="O133" s="278"/>
      <c r="P133" s="278"/>
      <c r="Q133" s="278"/>
      <c r="R133" s="278"/>
      <c r="S133" s="278"/>
      <c r="T133" s="278"/>
      <c r="U133" s="278"/>
      <c r="V133" s="278"/>
      <c r="W133" s="278"/>
      <c r="X133" s="278"/>
      <c r="Y133" s="278"/>
      <c r="Z133" s="278"/>
    </row>
    <row r="134" ht="15.75" customHeight="1">
      <c r="A134" s="278"/>
      <c r="B134" s="278"/>
      <c r="C134" s="278"/>
      <c r="D134" s="278"/>
      <c r="E134" s="278"/>
      <c r="F134" s="278"/>
      <c r="G134" s="278"/>
      <c r="H134" s="278"/>
      <c r="I134" s="278"/>
      <c r="J134" s="278"/>
      <c r="K134" s="278"/>
      <c r="L134" s="278"/>
      <c r="M134" s="278"/>
      <c r="N134" s="278"/>
      <c r="O134" s="278"/>
      <c r="P134" s="278"/>
      <c r="Q134" s="278"/>
      <c r="R134" s="278"/>
      <c r="S134" s="278"/>
      <c r="T134" s="278"/>
      <c r="U134" s="278"/>
      <c r="V134" s="278"/>
      <c r="W134" s="278"/>
      <c r="X134" s="278"/>
      <c r="Y134" s="278"/>
      <c r="Z134" s="278"/>
    </row>
    <row r="135" ht="15.75" customHeight="1">
      <c r="A135" s="278"/>
      <c r="B135" s="278"/>
      <c r="C135" s="278"/>
      <c r="D135" s="278"/>
      <c r="E135" s="278"/>
      <c r="F135" s="278"/>
      <c r="G135" s="278"/>
      <c r="H135" s="278"/>
      <c r="I135" s="278"/>
      <c r="J135" s="278"/>
      <c r="K135" s="278"/>
      <c r="L135" s="278"/>
      <c r="M135" s="278"/>
      <c r="N135" s="278"/>
      <c r="O135" s="278"/>
      <c r="P135" s="278"/>
      <c r="Q135" s="278"/>
      <c r="R135" s="278"/>
      <c r="S135" s="278"/>
      <c r="T135" s="278"/>
      <c r="U135" s="278"/>
      <c r="V135" s="278"/>
      <c r="W135" s="278"/>
      <c r="X135" s="278"/>
      <c r="Y135" s="278"/>
      <c r="Z135" s="278"/>
    </row>
    <row r="136" ht="15.75" customHeight="1">
      <c r="A136" s="278"/>
      <c r="B136" s="278"/>
      <c r="C136" s="278"/>
      <c r="D136" s="278"/>
      <c r="E136" s="278"/>
      <c r="F136" s="278"/>
      <c r="G136" s="278"/>
      <c r="H136" s="278"/>
      <c r="I136" s="278"/>
      <c r="J136" s="278"/>
      <c r="K136" s="278"/>
      <c r="L136" s="278"/>
      <c r="M136" s="278"/>
      <c r="N136" s="278"/>
      <c r="O136" s="278"/>
      <c r="P136" s="278"/>
      <c r="Q136" s="278"/>
      <c r="R136" s="278"/>
      <c r="S136" s="278"/>
      <c r="T136" s="278"/>
      <c r="U136" s="278"/>
      <c r="V136" s="278"/>
      <c r="W136" s="278"/>
      <c r="X136" s="278"/>
      <c r="Y136" s="278"/>
      <c r="Z136" s="278"/>
    </row>
    <row r="137" ht="15.75" customHeight="1">
      <c r="A137" s="278"/>
      <c r="B137" s="278"/>
      <c r="C137" s="278"/>
      <c r="D137" s="278"/>
      <c r="E137" s="278"/>
      <c r="F137" s="278"/>
      <c r="G137" s="278"/>
      <c r="H137" s="278"/>
      <c r="I137" s="278"/>
      <c r="J137" s="278"/>
      <c r="K137" s="278"/>
      <c r="L137" s="278"/>
      <c r="M137" s="278"/>
      <c r="N137" s="278"/>
      <c r="O137" s="278"/>
      <c r="P137" s="278"/>
      <c r="Q137" s="278"/>
      <c r="R137" s="278"/>
      <c r="S137" s="278"/>
      <c r="T137" s="278"/>
      <c r="U137" s="278"/>
      <c r="V137" s="278"/>
      <c r="W137" s="278"/>
      <c r="X137" s="278"/>
      <c r="Y137" s="278"/>
      <c r="Z137" s="278"/>
    </row>
    <row r="138" ht="15.75" customHeight="1">
      <c r="A138" s="278"/>
      <c r="B138" s="278"/>
      <c r="C138" s="278"/>
      <c r="D138" s="278"/>
      <c r="E138" s="278"/>
      <c r="F138" s="278"/>
      <c r="G138" s="278"/>
      <c r="H138" s="278"/>
      <c r="I138" s="278"/>
      <c r="J138" s="278"/>
      <c r="K138" s="278"/>
      <c r="L138" s="278"/>
      <c r="M138" s="278"/>
      <c r="N138" s="278"/>
      <c r="O138" s="278"/>
      <c r="P138" s="278"/>
      <c r="Q138" s="278"/>
      <c r="R138" s="278"/>
      <c r="S138" s="278"/>
      <c r="T138" s="278"/>
      <c r="U138" s="278"/>
      <c r="V138" s="278"/>
      <c r="W138" s="278"/>
      <c r="X138" s="278"/>
      <c r="Y138" s="278"/>
      <c r="Z138" s="278"/>
    </row>
    <row r="139" ht="15.75" customHeight="1">
      <c r="A139" s="278"/>
      <c r="B139" s="278"/>
      <c r="C139" s="278"/>
      <c r="D139" s="278"/>
      <c r="E139" s="278"/>
      <c r="F139" s="278"/>
      <c r="G139" s="278"/>
      <c r="H139" s="278"/>
      <c r="I139" s="278"/>
      <c r="J139" s="278"/>
      <c r="K139" s="278"/>
      <c r="L139" s="278"/>
      <c r="M139" s="278"/>
      <c r="N139" s="278"/>
      <c r="O139" s="278"/>
      <c r="P139" s="278"/>
      <c r="Q139" s="278"/>
      <c r="R139" s="278"/>
      <c r="S139" s="278"/>
      <c r="T139" s="278"/>
      <c r="U139" s="278"/>
      <c r="V139" s="278"/>
      <c r="W139" s="278"/>
      <c r="X139" s="278"/>
      <c r="Y139" s="278"/>
      <c r="Z139" s="278"/>
    </row>
    <row r="140" ht="15.75" customHeight="1">
      <c r="A140" s="278"/>
      <c r="B140" s="278"/>
      <c r="C140" s="278"/>
      <c r="D140" s="278"/>
      <c r="E140" s="278"/>
      <c r="F140" s="278"/>
      <c r="G140" s="278"/>
      <c r="H140" s="278"/>
      <c r="I140" s="278"/>
      <c r="J140" s="278"/>
      <c r="K140" s="278"/>
      <c r="L140" s="278"/>
      <c r="M140" s="278"/>
      <c r="N140" s="278"/>
      <c r="O140" s="278"/>
      <c r="P140" s="278"/>
      <c r="Q140" s="278"/>
      <c r="R140" s="278"/>
      <c r="S140" s="278"/>
      <c r="T140" s="278"/>
      <c r="U140" s="278"/>
      <c r="V140" s="278"/>
      <c r="W140" s="278"/>
      <c r="X140" s="278"/>
      <c r="Y140" s="278"/>
      <c r="Z140" s="278"/>
    </row>
    <row r="141" ht="15.75" customHeight="1">
      <c r="A141" s="278"/>
      <c r="B141" s="278"/>
      <c r="C141" s="278"/>
      <c r="D141" s="278"/>
      <c r="E141" s="278"/>
      <c r="F141" s="278"/>
      <c r="G141" s="278"/>
      <c r="H141" s="278"/>
      <c r="I141" s="278"/>
      <c r="J141" s="278"/>
      <c r="K141" s="278"/>
      <c r="L141" s="278"/>
      <c r="M141" s="278"/>
      <c r="N141" s="278"/>
      <c r="O141" s="278"/>
      <c r="P141" s="278"/>
      <c r="Q141" s="278"/>
      <c r="R141" s="278"/>
      <c r="S141" s="278"/>
      <c r="T141" s="278"/>
      <c r="U141" s="278"/>
      <c r="V141" s="278"/>
      <c r="W141" s="278"/>
      <c r="X141" s="278"/>
      <c r="Y141" s="278"/>
      <c r="Z141" s="278"/>
    </row>
    <row r="142" ht="15.75" customHeight="1">
      <c r="A142" s="278"/>
      <c r="B142" s="278"/>
      <c r="C142" s="278"/>
      <c r="D142" s="278"/>
      <c r="E142" s="278"/>
      <c r="F142" s="278"/>
      <c r="G142" s="278"/>
      <c r="H142" s="278"/>
      <c r="I142" s="278"/>
      <c r="J142" s="278"/>
      <c r="K142" s="278"/>
      <c r="L142" s="278"/>
      <c r="M142" s="278"/>
      <c r="N142" s="278"/>
      <c r="O142" s="278"/>
      <c r="P142" s="278"/>
      <c r="Q142" s="278"/>
      <c r="R142" s="278"/>
      <c r="S142" s="278"/>
      <c r="T142" s="278"/>
      <c r="U142" s="278"/>
      <c r="V142" s="278"/>
      <c r="W142" s="278"/>
      <c r="X142" s="278"/>
      <c r="Y142" s="278"/>
      <c r="Z142" s="278"/>
    </row>
    <row r="143" ht="15.75" customHeight="1">
      <c r="A143" s="278"/>
      <c r="B143" s="278"/>
      <c r="C143" s="278"/>
      <c r="D143" s="278"/>
      <c r="E143" s="278"/>
      <c r="F143" s="278"/>
      <c r="G143" s="278"/>
      <c r="H143" s="278"/>
      <c r="I143" s="278"/>
      <c r="J143" s="278"/>
      <c r="K143" s="278"/>
      <c r="L143" s="278"/>
      <c r="M143" s="278"/>
      <c r="N143" s="278"/>
      <c r="O143" s="278"/>
      <c r="P143" s="278"/>
      <c r="Q143" s="278"/>
      <c r="R143" s="278"/>
      <c r="S143" s="278"/>
      <c r="T143" s="278"/>
      <c r="U143" s="278"/>
      <c r="V143" s="278"/>
      <c r="W143" s="278"/>
      <c r="X143" s="278"/>
      <c r="Y143" s="278"/>
      <c r="Z143" s="278"/>
    </row>
    <row r="144" ht="15.75" customHeight="1">
      <c r="A144" s="278"/>
      <c r="B144" s="278"/>
      <c r="C144" s="278"/>
      <c r="D144" s="278"/>
      <c r="E144" s="278"/>
      <c r="F144" s="278"/>
      <c r="G144" s="278"/>
      <c r="H144" s="278"/>
      <c r="I144" s="278"/>
      <c r="J144" s="278"/>
      <c r="K144" s="278"/>
      <c r="L144" s="278"/>
      <c r="M144" s="278"/>
      <c r="N144" s="278"/>
      <c r="O144" s="278"/>
      <c r="P144" s="278"/>
      <c r="Q144" s="278"/>
      <c r="R144" s="278"/>
      <c r="S144" s="278"/>
      <c r="T144" s="278"/>
      <c r="U144" s="278"/>
      <c r="V144" s="278"/>
      <c r="W144" s="278"/>
      <c r="X144" s="278"/>
      <c r="Y144" s="278"/>
      <c r="Z144" s="278"/>
    </row>
    <row r="145" ht="15.75" customHeight="1">
      <c r="A145" s="278"/>
      <c r="B145" s="278"/>
      <c r="C145" s="278"/>
      <c r="D145" s="278"/>
      <c r="E145" s="278"/>
      <c r="F145" s="278"/>
      <c r="G145" s="278"/>
      <c r="H145" s="278"/>
      <c r="I145" s="278"/>
      <c r="J145" s="278"/>
      <c r="K145" s="278"/>
      <c r="L145" s="278"/>
      <c r="M145" s="278"/>
      <c r="N145" s="278"/>
      <c r="O145" s="278"/>
      <c r="P145" s="278"/>
      <c r="Q145" s="278"/>
      <c r="R145" s="278"/>
      <c r="S145" s="278"/>
      <c r="T145" s="278"/>
      <c r="U145" s="278"/>
      <c r="V145" s="278"/>
      <c r="W145" s="278"/>
      <c r="X145" s="278"/>
      <c r="Y145" s="278"/>
      <c r="Z145" s="278"/>
    </row>
    <row r="146" ht="15.75" customHeight="1">
      <c r="A146" s="278"/>
      <c r="B146" s="278"/>
      <c r="C146" s="278"/>
      <c r="D146" s="278"/>
      <c r="E146" s="278"/>
      <c r="F146" s="278"/>
      <c r="G146" s="278"/>
      <c r="H146" s="278"/>
      <c r="I146" s="278"/>
      <c r="J146" s="278"/>
      <c r="K146" s="278"/>
      <c r="L146" s="278"/>
      <c r="M146" s="278"/>
      <c r="N146" s="278"/>
      <c r="O146" s="278"/>
      <c r="P146" s="278"/>
      <c r="Q146" s="278"/>
      <c r="R146" s="278"/>
      <c r="S146" s="278"/>
      <c r="T146" s="278"/>
      <c r="U146" s="278"/>
      <c r="V146" s="278"/>
      <c r="W146" s="278"/>
      <c r="X146" s="278"/>
      <c r="Y146" s="278"/>
      <c r="Z146" s="278"/>
    </row>
    <row r="147" ht="15.75" customHeight="1">
      <c r="A147" s="278"/>
      <c r="B147" s="278"/>
      <c r="C147" s="278"/>
      <c r="D147" s="278"/>
      <c r="E147" s="278"/>
      <c r="F147" s="278"/>
      <c r="G147" s="278"/>
      <c r="H147" s="278"/>
      <c r="I147" s="278"/>
      <c r="J147" s="278"/>
      <c r="K147" s="278"/>
      <c r="L147" s="278"/>
      <c r="M147" s="278"/>
      <c r="N147" s="278"/>
      <c r="O147" s="278"/>
      <c r="P147" s="278"/>
      <c r="Q147" s="278"/>
      <c r="R147" s="278"/>
      <c r="S147" s="278"/>
      <c r="T147" s="278"/>
      <c r="U147" s="278"/>
      <c r="V147" s="278"/>
      <c r="W147" s="278"/>
      <c r="X147" s="278"/>
      <c r="Y147" s="278"/>
      <c r="Z147" s="278"/>
    </row>
    <row r="148" ht="15.75" customHeight="1">
      <c r="A148" s="278"/>
      <c r="B148" s="278"/>
      <c r="C148" s="278"/>
      <c r="D148" s="278"/>
      <c r="E148" s="278"/>
      <c r="F148" s="278"/>
      <c r="G148" s="278"/>
      <c r="H148" s="278"/>
      <c r="I148" s="278"/>
      <c r="J148" s="278"/>
      <c r="K148" s="278"/>
      <c r="L148" s="278"/>
      <c r="M148" s="278"/>
      <c r="N148" s="278"/>
      <c r="O148" s="278"/>
      <c r="P148" s="278"/>
      <c r="Q148" s="278"/>
      <c r="R148" s="278"/>
      <c r="S148" s="278"/>
      <c r="T148" s="278"/>
      <c r="U148" s="278"/>
      <c r="V148" s="278"/>
      <c r="W148" s="278"/>
      <c r="X148" s="278"/>
      <c r="Y148" s="278"/>
      <c r="Z148" s="278"/>
    </row>
    <row r="149" ht="15.75" customHeight="1">
      <c r="A149" s="278"/>
      <c r="B149" s="278"/>
      <c r="C149" s="278"/>
      <c r="D149" s="278"/>
      <c r="E149" s="278"/>
      <c r="F149" s="278"/>
      <c r="G149" s="278"/>
      <c r="H149" s="278"/>
      <c r="I149" s="278"/>
      <c r="J149" s="278"/>
      <c r="K149" s="278"/>
      <c r="L149" s="278"/>
      <c r="M149" s="278"/>
      <c r="N149" s="278"/>
      <c r="O149" s="278"/>
      <c r="P149" s="278"/>
      <c r="Q149" s="278"/>
      <c r="R149" s="278"/>
      <c r="S149" s="278"/>
      <c r="T149" s="278"/>
      <c r="U149" s="278"/>
      <c r="V149" s="278"/>
      <c r="W149" s="278"/>
      <c r="X149" s="278"/>
      <c r="Y149" s="278"/>
      <c r="Z149" s="278"/>
    </row>
    <row r="150" ht="15.75" customHeight="1">
      <c r="A150" s="278"/>
      <c r="B150" s="278"/>
      <c r="C150" s="278"/>
      <c r="D150" s="278"/>
      <c r="E150" s="278"/>
      <c r="F150" s="278"/>
      <c r="G150" s="278"/>
      <c r="H150" s="278"/>
      <c r="I150" s="278"/>
      <c r="J150" s="278"/>
      <c r="K150" s="278"/>
      <c r="L150" s="278"/>
      <c r="M150" s="278"/>
      <c r="N150" s="278"/>
      <c r="O150" s="278"/>
      <c r="P150" s="278"/>
      <c r="Q150" s="278"/>
      <c r="R150" s="278"/>
      <c r="S150" s="278"/>
      <c r="T150" s="278"/>
      <c r="U150" s="278"/>
      <c r="V150" s="278"/>
      <c r="W150" s="278"/>
      <c r="X150" s="278"/>
      <c r="Y150" s="278"/>
      <c r="Z150" s="278"/>
    </row>
    <row r="151" ht="15.75" customHeight="1">
      <c r="A151" s="278"/>
      <c r="B151" s="278"/>
      <c r="C151" s="278"/>
      <c r="D151" s="278"/>
      <c r="E151" s="278"/>
      <c r="F151" s="278"/>
      <c r="G151" s="278"/>
      <c r="H151" s="278"/>
      <c r="I151" s="278"/>
      <c r="J151" s="278"/>
      <c r="K151" s="278"/>
      <c r="L151" s="278"/>
      <c r="M151" s="278"/>
      <c r="N151" s="278"/>
      <c r="O151" s="278"/>
      <c r="P151" s="278"/>
      <c r="Q151" s="278"/>
      <c r="R151" s="278"/>
      <c r="S151" s="278"/>
      <c r="T151" s="278"/>
      <c r="U151" s="278"/>
      <c r="V151" s="278"/>
      <c r="W151" s="278"/>
      <c r="X151" s="278"/>
      <c r="Y151" s="278"/>
      <c r="Z151" s="278"/>
    </row>
    <row r="152" ht="15.75" customHeight="1">
      <c r="A152" s="278"/>
      <c r="B152" s="278"/>
      <c r="C152" s="278"/>
      <c r="D152" s="278"/>
      <c r="E152" s="278"/>
      <c r="F152" s="278"/>
      <c r="G152" s="278"/>
      <c r="H152" s="278"/>
      <c r="I152" s="278"/>
      <c r="J152" s="278"/>
      <c r="K152" s="278"/>
      <c r="L152" s="278"/>
      <c r="M152" s="278"/>
      <c r="N152" s="278"/>
      <c r="O152" s="278"/>
      <c r="P152" s="278"/>
      <c r="Q152" s="278"/>
      <c r="R152" s="278"/>
      <c r="S152" s="278"/>
      <c r="T152" s="278"/>
      <c r="U152" s="278"/>
      <c r="V152" s="278"/>
      <c r="W152" s="278"/>
      <c r="X152" s="278"/>
      <c r="Y152" s="278"/>
      <c r="Z152" s="278"/>
    </row>
    <row r="153" ht="15.75" customHeight="1">
      <c r="A153" s="278"/>
      <c r="B153" s="278"/>
      <c r="C153" s="278"/>
      <c r="D153" s="278"/>
      <c r="E153" s="278"/>
      <c r="F153" s="278"/>
      <c r="G153" s="278"/>
      <c r="H153" s="278"/>
      <c r="I153" s="278"/>
      <c r="J153" s="278"/>
      <c r="K153" s="278"/>
      <c r="L153" s="278"/>
      <c r="M153" s="278"/>
      <c r="N153" s="278"/>
      <c r="O153" s="278"/>
      <c r="P153" s="278"/>
      <c r="Q153" s="278"/>
      <c r="R153" s="278"/>
      <c r="S153" s="278"/>
      <c r="T153" s="278"/>
      <c r="U153" s="278"/>
      <c r="V153" s="278"/>
      <c r="W153" s="278"/>
      <c r="X153" s="278"/>
      <c r="Y153" s="278"/>
      <c r="Z153" s="278"/>
    </row>
    <row r="154" ht="15.75" customHeight="1">
      <c r="A154" s="278"/>
      <c r="B154" s="278"/>
      <c r="C154" s="278"/>
      <c r="D154" s="278"/>
      <c r="E154" s="278"/>
      <c r="F154" s="278"/>
      <c r="G154" s="278"/>
      <c r="H154" s="278"/>
      <c r="I154" s="278"/>
      <c r="J154" s="278"/>
      <c r="K154" s="278"/>
      <c r="L154" s="278"/>
      <c r="M154" s="278"/>
      <c r="N154" s="278"/>
      <c r="O154" s="278"/>
      <c r="P154" s="278"/>
      <c r="Q154" s="278"/>
      <c r="R154" s="278"/>
      <c r="S154" s="278"/>
      <c r="T154" s="278"/>
      <c r="U154" s="278"/>
      <c r="V154" s="278"/>
      <c r="W154" s="278"/>
      <c r="X154" s="278"/>
      <c r="Y154" s="278"/>
      <c r="Z154" s="278"/>
    </row>
    <row r="155" ht="15.75" customHeight="1">
      <c r="A155" s="278"/>
      <c r="B155" s="278"/>
      <c r="C155" s="278"/>
      <c r="D155" s="278"/>
      <c r="E155" s="278"/>
      <c r="F155" s="278"/>
      <c r="G155" s="278"/>
      <c r="H155" s="278"/>
      <c r="I155" s="278"/>
      <c r="J155" s="278"/>
      <c r="K155" s="278"/>
      <c r="L155" s="278"/>
      <c r="M155" s="278"/>
      <c r="N155" s="278"/>
      <c r="O155" s="278"/>
      <c r="P155" s="278"/>
      <c r="Q155" s="278"/>
      <c r="R155" s="278"/>
      <c r="S155" s="278"/>
      <c r="T155" s="278"/>
      <c r="U155" s="278"/>
      <c r="V155" s="278"/>
      <c r="W155" s="278"/>
      <c r="X155" s="278"/>
      <c r="Y155" s="278"/>
      <c r="Z155" s="278"/>
    </row>
    <row r="156" ht="15.75" customHeight="1">
      <c r="A156" s="278"/>
      <c r="B156" s="278"/>
      <c r="C156" s="278"/>
      <c r="D156" s="278"/>
      <c r="E156" s="278"/>
      <c r="F156" s="278"/>
      <c r="G156" s="278"/>
      <c r="H156" s="278"/>
      <c r="I156" s="278"/>
      <c r="J156" s="278"/>
      <c r="K156" s="278"/>
      <c r="L156" s="278"/>
      <c r="M156" s="278"/>
      <c r="N156" s="278"/>
      <c r="O156" s="278"/>
      <c r="P156" s="278"/>
      <c r="Q156" s="278"/>
      <c r="R156" s="278"/>
      <c r="S156" s="278"/>
      <c r="T156" s="278"/>
      <c r="U156" s="278"/>
      <c r="V156" s="278"/>
      <c r="W156" s="278"/>
      <c r="X156" s="278"/>
      <c r="Y156" s="278"/>
      <c r="Z156" s="278"/>
    </row>
    <row r="157" ht="15.75" customHeight="1">
      <c r="A157" s="278"/>
      <c r="B157" s="278"/>
      <c r="C157" s="278"/>
      <c r="D157" s="278"/>
      <c r="E157" s="278"/>
      <c r="F157" s="278"/>
      <c r="G157" s="278"/>
      <c r="H157" s="278"/>
      <c r="I157" s="278"/>
      <c r="J157" s="278"/>
      <c r="K157" s="278"/>
      <c r="L157" s="278"/>
      <c r="M157" s="278"/>
      <c r="N157" s="278"/>
      <c r="O157" s="278"/>
      <c r="P157" s="278"/>
      <c r="Q157" s="278"/>
      <c r="R157" s="278"/>
      <c r="S157" s="278"/>
      <c r="T157" s="278"/>
      <c r="U157" s="278"/>
      <c r="V157" s="278"/>
      <c r="W157" s="278"/>
      <c r="X157" s="278"/>
      <c r="Y157" s="278"/>
      <c r="Z157" s="278"/>
    </row>
    <row r="158" ht="15.75" customHeight="1">
      <c r="A158" s="278"/>
      <c r="B158" s="278"/>
      <c r="C158" s="278"/>
      <c r="D158" s="278"/>
      <c r="E158" s="278"/>
      <c r="F158" s="278"/>
      <c r="G158" s="278"/>
      <c r="H158" s="278"/>
      <c r="I158" s="278"/>
      <c r="J158" s="278"/>
      <c r="K158" s="278"/>
      <c r="L158" s="278"/>
      <c r="M158" s="278"/>
      <c r="N158" s="278"/>
      <c r="O158" s="278"/>
      <c r="P158" s="278"/>
      <c r="Q158" s="278"/>
      <c r="R158" s="278"/>
      <c r="S158" s="278"/>
      <c r="T158" s="278"/>
      <c r="U158" s="278"/>
      <c r="V158" s="278"/>
      <c r="W158" s="278"/>
      <c r="X158" s="278"/>
      <c r="Y158" s="278"/>
      <c r="Z158" s="278"/>
    </row>
    <row r="159" ht="15.75" customHeight="1">
      <c r="A159" s="278"/>
      <c r="B159" s="278"/>
      <c r="C159" s="278"/>
      <c r="D159" s="278"/>
      <c r="E159" s="278"/>
      <c r="F159" s="278"/>
      <c r="G159" s="278"/>
      <c r="H159" s="278"/>
      <c r="I159" s="278"/>
      <c r="J159" s="278"/>
      <c r="K159" s="278"/>
      <c r="L159" s="278"/>
      <c r="M159" s="278"/>
      <c r="N159" s="278"/>
      <c r="O159" s="278"/>
      <c r="P159" s="278"/>
      <c r="Q159" s="278"/>
      <c r="R159" s="278"/>
      <c r="S159" s="278"/>
      <c r="T159" s="278"/>
      <c r="U159" s="278"/>
      <c r="V159" s="278"/>
      <c r="W159" s="278"/>
      <c r="X159" s="278"/>
      <c r="Y159" s="278"/>
      <c r="Z159" s="278"/>
    </row>
    <row r="160" ht="15.75" customHeight="1">
      <c r="A160" s="278"/>
      <c r="B160" s="278"/>
      <c r="C160" s="278"/>
      <c r="D160" s="278"/>
      <c r="E160" s="278"/>
      <c r="F160" s="278"/>
      <c r="G160" s="278"/>
      <c r="H160" s="278"/>
      <c r="I160" s="278"/>
      <c r="J160" s="278"/>
      <c r="K160" s="278"/>
      <c r="L160" s="278"/>
      <c r="M160" s="278"/>
      <c r="N160" s="278"/>
      <c r="O160" s="278"/>
      <c r="P160" s="278"/>
      <c r="Q160" s="278"/>
      <c r="R160" s="278"/>
      <c r="S160" s="278"/>
      <c r="T160" s="278"/>
      <c r="U160" s="278"/>
      <c r="V160" s="278"/>
      <c r="W160" s="278"/>
      <c r="X160" s="278"/>
      <c r="Y160" s="278"/>
      <c r="Z160" s="278"/>
    </row>
    <row r="161" ht="15.75" customHeight="1">
      <c r="A161" s="278"/>
      <c r="B161" s="278"/>
      <c r="C161" s="278"/>
      <c r="D161" s="278"/>
      <c r="E161" s="278"/>
      <c r="F161" s="278"/>
      <c r="G161" s="278"/>
      <c r="H161" s="278"/>
      <c r="I161" s="278"/>
      <c r="J161" s="278"/>
      <c r="K161" s="278"/>
      <c r="L161" s="278"/>
      <c r="M161" s="278"/>
      <c r="N161" s="278"/>
      <c r="O161" s="278"/>
      <c r="P161" s="278"/>
      <c r="Q161" s="278"/>
      <c r="R161" s="278"/>
      <c r="S161" s="278"/>
      <c r="T161" s="278"/>
      <c r="U161" s="278"/>
      <c r="V161" s="278"/>
      <c r="W161" s="278"/>
      <c r="X161" s="278"/>
      <c r="Y161" s="278"/>
      <c r="Z161" s="278"/>
    </row>
    <row r="162" ht="15.75" customHeight="1">
      <c r="A162" s="278"/>
      <c r="B162" s="278"/>
      <c r="C162" s="278"/>
      <c r="D162" s="278"/>
      <c r="E162" s="278"/>
      <c r="F162" s="278"/>
      <c r="G162" s="278"/>
      <c r="H162" s="278"/>
      <c r="I162" s="278"/>
      <c r="J162" s="278"/>
      <c r="K162" s="278"/>
      <c r="L162" s="278"/>
      <c r="M162" s="278"/>
      <c r="N162" s="278"/>
      <c r="O162" s="278"/>
      <c r="P162" s="278"/>
      <c r="Q162" s="278"/>
      <c r="R162" s="278"/>
      <c r="S162" s="278"/>
      <c r="T162" s="278"/>
      <c r="U162" s="278"/>
      <c r="V162" s="278"/>
      <c r="W162" s="278"/>
      <c r="X162" s="278"/>
      <c r="Y162" s="278"/>
      <c r="Z162" s="278"/>
    </row>
    <row r="163" ht="15.75" customHeight="1">
      <c r="A163" s="278"/>
      <c r="B163" s="278"/>
      <c r="C163" s="278"/>
      <c r="D163" s="278"/>
      <c r="E163" s="278"/>
      <c r="F163" s="278"/>
      <c r="G163" s="278"/>
      <c r="H163" s="278"/>
      <c r="I163" s="278"/>
      <c r="J163" s="278"/>
      <c r="K163" s="278"/>
      <c r="L163" s="278"/>
      <c r="M163" s="278"/>
      <c r="N163" s="278"/>
      <c r="O163" s="278"/>
      <c r="P163" s="278"/>
      <c r="Q163" s="278"/>
      <c r="R163" s="278"/>
      <c r="S163" s="278"/>
      <c r="T163" s="278"/>
      <c r="U163" s="278"/>
      <c r="V163" s="278"/>
      <c r="W163" s="278"/>
      <c r="X163" s="278"/>
      <c r="Y163" s="278"/>
      <c r="Z163" s="278"/>
    </row>
    <row r="164" ht="15.75" customHeight="1">
      <c r="A164" s="278"/>
      <c r="B164" s="278"/>
      <c r="C164" s="278"/>
      <c r="D164" s="278"/>
      <c r="E164" s="278"/>
      <c r="F164" s="278"/>
      <c r="G164" s="278"/>
      <c r="H164" s="278"/>
      <c r="I164" s="278"/>
      <c r="J164" s="278"/>
      <c r="K164" s="278"/>
      <c r="L164" s="278"/>
      <c r="M164" s="278"/>
      <c r="N164" s="278"/>
      <c r="O164" s="278"/>
      <c r="P164" s="278"/>
      <c r="Q164" s="278"/>
      <c r="R164" s="278"/>
      <c r="S164" s="278"/>
      <c r="T164" s="278"/>
      <c r="U164" s="278"/>
      <c r="V164" s="278"/>
      <c r="W164" s="278"/>
      <c r="X164" s="278"/>
      <c r="Y164" s="278"/>
      <c r="Z164" s="278"/>
    </row>
    <row r="165" ht="15.75" customHeight="1">
      <c r="A165" s="278"/>
      <c r="B165" s="278"/>
      <c r="C165" s="278"/>
      <c r="D165" s="278"/>
      <c r="E165" s="278"/>
      <c r="F165" s="278"/>
      <c r="G165" s="278"/>
      <c r="H165" s="278"/>
      <c r="I165" s="278"/>
      <c r="J165" s="278"/>
      <c r="K165" s="278"/>
      <c r="L165" s="278"/>
      <c r="M165" s="278"/>
      <c r="N165" s="278"/>
      <c r="O165" s="278"/>
      <c r="P165" s="278"/>
      <c r="Q165" s="278"/>
      <c r="R165" s="278"/>
      <c r="S165" s="278"/>
      <c r="T165" s="278"/>
      <c r="U165" s="278"/>
      <c r="V165" s="278"/>
      <c r="W165" s="278"/>
      <c r="X165" s="278"/>
      <c r="Y165" s="278"/>
      <c r="Z165" s="278"/>
    </row>
    <row r="166" ht="15.75" customHeight="1">
      <c r="A166" s="278"/>
      <c r="B166" s="278"/>
      <c r="C166" s="278"/>
      <c r="D166" s="278"/>
      <c r="E166" s="278"/>
      <c r="F166" s="278"/>
      <c r="G166" s="278"/>
      <c r="H166" s="278"/>
      <c r="I166" s="278"/>
      <c r="J166" s="278"/>
      <c r="K166" s="278"/>
      <c r="L166" s="278"/>
      <c r="M166" s="278"/>
      <c r="N166" s="278"/>
      <c r="O166" s="278"/>
      <c r="P166" s="278"/>
      <c r="Q166" s="278"/>
      <c r="R166" s="278"/>
      <c r="S166" s="278"/>
      <c r="T166" s="278"/>
      <c r="U166" s="278"/>
      <c r="V166" s="278"/>
      <c r="W166" s="278"/>
      <c r="X166" s="278"/>
      <c r="Y166" s="278"/>
      <c r="Z166" s="278"/>
    </row>
    <row r="167" ht="15.75" customHeight="1">
      <c r="A167" s="278"/>
      <c r="B167" s="278"/>
      <c r="C167" s="278"/>
      <c r="D167" s="278"/>
      <c r="E167" s="278"/>
      <c r="F167" s="278"/>
      <c r="G167" s="278"/>
      <c r="H167" s="278"/>
      <c r="I167" s="278"/>
      <c r="J167" s="278"/>
      <c r="K167" s="278"/>
      <c r="L167" s="278"/>
      <c r="M167" s="278"/>
      <c r="N167" s="278"/>
      <c r="O167" s="278"/>
      <c r="P167" s="278"/>
      <c r="Q167" s="278"/>
      <c r="R167" s="278"/>
      <c r="S167" s="278"/>
      <c r="T167" s="278"/>
      <c r="U167" s="278"/>
      <c r="V167" s="278"/>
      <c r="W167" s="278"/>
      <c r="X167" s="278"/>
      <c r="Y167" s="278"/>
      <c r="Z167" s="278"/>
    </row>
    <row r="168" ht="15.75" customHeight="1">
      <c r="A168" s="278"/>
      <c r="B168" s="278"/>
      <c r="C168" s="278"/>
      <c r="D168" s="278"/>
      <c r="E168" s="278"/>
      <c r="F168" s="278"/>
      <c r="G168" s="278"/>
      <c r="H168" s="278"/>
      <c r="I168" s="278"/>
      <c r="J168" s="278"/>
      <c r="K168" s="278"/>
      <c r="L168" s="278"/>
      <c r="M168" s="278"/>
      <c r="N168" s="278"/>
      <c r="O168" s="278"/>
      <c r="P168" s="278"/>
      <c r="Q168" s="278"/>
      <c r="R168" s="278"/>
      <c r="S168" s="278"/>
      <c r="T168" s="278"/>
      <c r="U168" s="278"/>
      <c r="V168" s="278"/>
      <c r="W168" s="278"/>
      <c r="X168" s="278"/>
      <c r="Y168" s="278"/>
      <c r="Z168" s="278"/>
    </row>
    <row r="169" ht="15.75" customHeight="1">
      <c r="A169" s="278"/>
      <c r="B169" s="278"/>
      <c r="C169" s="278"/>
      <c r="D169" s="278"/>
      <c r="E169" s="278"/>
      <c r="F169" s="278"/>
      <c r="G169" s="278"/>
      <c r="H169" s="278"/>
      <c r="I169" s="278"/>
      <c r="J169" s="278"/>
      <c r="K169" s="278"/>
      <c r="L169" s="278"/>
      <c r="M169" s="278"/>
      <c r="N169" s="278"/>
      <c r="O169" s="278"/>
      <c r="P169" s="278"/>
      <c r="Q169" s="278"/>
      <c r="R169" s="278"/>
      <c r="S169" s="278"/>
      <c r="T169" s="278"/>
      <c r="U169" s="278"/>
      <c r="V169" s="278"/>
      <c r="W169" s="278"/>
      <c r="X169" s="278"/>
      <c r="Y169" s="278"/>
      <c r="Z169" s="278"/>
    </row>
    <row r="170" ht="15.75" customHeight="1">
      <c r="A170" s="278"/>
      <c r="B170" s="278"/>
      <c r="C170" s="278"/>
      <c r="D170" s="278"/>
      <c r="E170" s="278"/>
      <c r="F170" s="278"/>
      <c r="G170" s="278"/>
      <c r="H170" s="278"/>
      <c r="I170" s="278"/>
      <c r="J170" s="278"/>
      <c r="K170" s="278"/>
      <c r="L170" s="278"/>
      <c r="M170" s="278"/>
      <c r="N170" s="278"/>
      <c r="O170" s="278"/>
      <c r="P170" s="278"/>
      <c r="Q170" s="278"/>
      <c r="R170" s="278"/>
      <c r="S170" s="278"/>
      <c r="T170" s="278"/>
      <c r="U170" s="278"/>
      <c r="V170" s="278"/>
      <c r="W170" s="278"/>
      <c r="X170" s="278"/>
      <c r="Y170" s="278"/>
      <c r="Z170" s="278"/>
    </row>
    <row r="171" ht="15.75" customHeight="1">
      <c r="A171" s="278"/>
      <c r="B171" s="278"/>
      <c r="C171" s="278"/>
      <c r="D171" s="278"/>
      <c r="E171" s="278"/>
      <c r="F171" s="278"/>
      <c r="G171" s="278"/>
      <c r="H171" s="278"/>
      <c r="I171" s="278"/>
      <c r="J171" s="278"/>
      <c r="K171" s="278"/>
      <c r="L171" s="278"/>
      <c r="M171" s="278"/>
      <c r="N171" s="278"/>
      <c r="O171" s="278"/>
      <c r="P171" s="278"/>
      <c r="Q171" s="278"/>
      <c r="R171" s="278"/>
      <c r="S171" s="278"/>
      <c r="T171" s="278"/>
      <c r="U171" s="278"/>
      <c r="V171" s="278"/>
      <c r="W171" s="278"/>
      <c r="X171" s="278"/>
      <c r="Y171" s="278"/>
      <c r="Z171" s="278"/>
    </row>
    <row r="172" ht="15.75" customHeight="1">
      <c r="A172" s="278"/>
      <c r="B172" s="278"/>
      <c r="C172" s="278"/>
      <c r="D172" s="278"/>
      <c r="E172" s="278"/>
      <c r="F172" s="278"/>
      <c r="G172" s="278"/>
      <c r="H172" s="278"/>
      <c r="I172" s="278"/>
      <c r="J172" s="278"/>
      <c r="K172" s="278"/>
      <c r="L172" s="278"/>
      <c r="M172" s="278"/>
      <c r="N172" s="278"/>
      <c r="O172" s="278"/>
      <c r="P172" s="278"/>
      <c r="Q172" s="278"/>
      <c r="R172" s="278"/>
      <c r="S172" s="278"/>
      <c r="T172" s="278"/>
      <c r="U172" s="278"/>
      <c r="V172" s="278"/>
      <c r="W172" s="278"/>
      <c r="X172" s="278"/>
      <c r="Y172" s="278"/>
      <c r="Z172" s="278"/>
    </row>
    <row r="173" ht="15.75" customHeight="1">
      <c r="A173" s="278"/>
      <c r="B173" s="278"/>
      <c r="C173" s="278"/>
      <c r="D173" s="278"/>
      <c r="E173" s="278"/>
      <c r="F173" s="278"/>
      <c r="G173" s="278"/>
      <c r="H173" s="278"/>
      <c r="I173" s="278"/>
      <c r="J173" s="278"/>
      <c r="K173" s="278"/>
      <c r="L173" s="278"/>
      <c r="M173" s="278"/>
      <c r="N173" s="278"/>
      <c r="O173" s="278"/>
      <c r="P173" s="278"/>
      <c r="Q173" s="278"/>
      <c r="R173" s="278"/>
      <c r="S173" s="278"/>
      <c r="T173" s="278"/>
      <c r="U173" s="278"/>
      <c r="V173" s="278"/>
      <c r="W173" s="278"/>
      <c r="X173" s="278"/>
      <c r="Y173" s="278"/>
      <c r="Z173" s="278"/>
    </row>
    <row r="174" ht="15.75" customHeight="1">
      <c r="A174" s="278"/>
      <c r="B174" s="278"/>
      <c r="C174" s="278"/>
      <c r="D174" s="278"/>
      <c r="E174" s="278"/>
      <c r="F174" s="278"/>
      <c r="G174" s="278"/>
      <c r="H174" s="278"/>
      <c r="I174" s="278"/>
      <c r="J174" s="278"/>
      <c r="K174" s="278"/>
      <c r="L174" s="278"/>
      <c r="M174" s="278"/>
      <c r="N174" s="278"/>
      <c r="O174" s="278"/>
      <c r="P174" s="278"/>
      <c r="Q174" s="278"/>
      <c r="R174" s="278"/>
      <c r="S174" s="278"/>
      <c r="T174" s="278"/>
      <c r="U174" s="278"/>
      <c r="V174" s="278"/>
      <c r="W174" s="278"/>
      <c r="X174" s="278"/>
      <c r="Y174" s="278"/>
      <c r="Z174" s="278"/>
    </row>
    <row r="175" ht="15.75" customHeight="1">
      <c r="A175" s="278"/>
      <c r="B175" s="278"/>
      <c r="C175" s="278"/>
      <c r="D175" s="278"/>
      <c r="E175" s="278"/>
      <c r="F175" s="278"/>
      <c r="G175" s="278"/>
      <c r="H175" s="278"/>
      <c r="I175" s="278"/>
      <c r="J175" s="278"/>
      <c r="K175" s="278"/>
      <c r="L175" s="278"/>
      <c r="M175" s="278"/>
      <c r="N175" s="278"/>
      <c r="O175" s="278"/>
      <c r="P175" s="278"/>
      <c r="Q175" s="278"/>
      <c r="R175" s="278"/>
      <c r="S175" s="278"/>
      <c r="T175" s="278"/>
      <c r="U175" s="278"/>
      <c r="V175" s="278"/>
      <c r="W175" s="278"/>
      <c r="X175" s="278"/>
      <c r="Y175" s="278"/>
      <c r="Z175" s="278"/>
    </row>
    <row r="176" ht="15.75" customHeight="1">
      <c r="A176" s="278"/>
      <c r="B176" s="278"/>
      <c r="C176" s="278"/>
      <c r="D176" s="278"/>
      <c r="E176" s="278"/>
      <c r="F176" s="278"/>
      <c r="G176" s="278"/>
      <c r="H176" s="278"/>
      <c r="I176" s="278"/>
      <c r="J176" s="278"/>
      <c r="K176" s="278"/>
      <c r="L176" s="278"/>
      <c r="M176" s="278"/>
      <c r="N176" s="278"/>
      <c r="O176" s="278"/>
      <c r="P176" s="278"/>
      <c r="Q176" s="278"/>
      <c r="R176" s="278"/>
      <c r="S176" s="278"/>
      <c r="T176" s="278"/>
      <c r="U176" s="278"/>
      <c r="V176" s="278"/>
      <c r="W176" s="278"/>
      <c r="X176" s="278"/>
      <c r="Y176" s="278"/>
      <c r="Z176" s="278"/>
    </row>
    <row r="177" ht="15.75" customHeight="1">
      <c r="A177" s="278"/>
      <c r="B177" s="278"/>
      <c r="C177" s="278"/>
      <c r="D177" s="278"/>
      <c r="E177" s="278"/>
      <c r="F177" s="278"/>
      <c r="G177" s="278"/>
      <c r="H177" s="278"/>
      <c r="I177" s="278"/>
      <c r="J177" s="278"/>
      <c r="K177" s="278"/>
      <c r="L177" s="278"/>
      <c r="M177" s="278"/>
      <c r="N177" s="278"/>
      <c r="O177" s="278"/>
      <c r="P177" s="278"/>
      <c r="Q177" s="278"/>
      <c r="R177" s="278"/>
      <c r="S177" s="278"/>
      <c r="T177" s="278"/>
      <c r="U177" s="278"/>
      <c r="V177" s="278"/>
      <c r="W177" s="278"/>
      <c r="X177" s="278"/>
      <c r="Y177" s="278"/>
      <c r="Z177" s="278"/>
    </row>
    <row r="178" ht="15.75" customHeight="1">
      <c r="A178" s="278"/>
      <c r="B178" s="278"/>
      <c r="C178" s="278"/>
      <c r="D178" s="278"/>
      <c r="E178" s="278"/>
      <c r="F178" s="278"/>
      <c r="G178" s="278"/>
      <c r="H178" s="278"/>
      <c r="I178" s="278"/>
      <c r="J178" s="278"/>
      <c r="K178" s="278"/>
      <c r="L178" s="278"/>
      <c r="M178" s="278"/>
      <c r="N178" s="278"/>
      <c r="O178" s="278"/>
      <c r="P178" s="278"/>
      <c r="Q178" s="278"/>
      <c r="R178" s="278"/>
      <c r="S178" s="278"/>
      <c r="T178" s="278"/>
      <c r="U178" s="278"/>
      <c r="V178" s="278"/>
      <c r="W178" s="278"/>
      <c r="X178" s="278"/>
      <c r="Y178" s="278"/>
      <c r="Z178" s="278"/>
    </row>
    <row r="179" ht="15.75" customHeight="1">
      <c r="A179" s="278"/>
      <c r="B179" s="278"/>
      <c r="C179" s="278"/>
      <c r="D179" s="278"/>
      <c r="E179" s="278"/>
      <c r="F179" s="278"/>
      <c r="G179" s="278"/>
      <c r="H179" s="278"/>
      <c r="I179" s="278"/>
      <c r="J179" s="278"/>
      <c r="K179" s="278"/>
      <c r="L179" s="278"/>
      <c r="M179" s="278"/>
      <c r="N179" s="278"/>
      <c r="O179" s="278"/>
      <c r="P179" s="278"/>
      <c r="Q179" s="278"/>
      <c r="R179" s="278"/>
      <c r="S179" s="278"/>
      <c r="T179" s="278"/>
      <c r="U179" s="278"/>
      <c r="V179" s="278"/>
      <c r="W179" s="278"/>
      <c r="X179" s="278"/>
      <c r="Y179" s="278"/>
      <c r="Z179" s="278"/>
    </row>
    <row r="180" ht="15.75" customHeight="1">
      <c r="A180" s="278"/>
      <c r="B180" s="278"/>
      <c r="C180" s="278"/>
      <c r="D180" s="278"/>
      <c r="E180" s="278"/>
      <c r="F180" s="278"/>
      <c r="G180" s="278"/>
      <c r="H180" s="278"/>
      <c r="I180" s="278"/>
      <c r="J180" s="278"/>
      <c r="K180" s="278"/>
      <c r="L180" s="278"/>
      <c r="M180" s="278"/>
      <c r="N180" s="278"/>
      <c r="O180" s="278"/>
      <c r="P180" s="278"/>
      <c r="Q180" s="278"/>
      <c r="R180" s="278"/>
      <c r="S180" s="278"/>
      <c r="T180" s="278"/>
      <c r="U180" s="278"/>
      <c r="V180" s="278"/>
      <c r="W180" s="278"/>
      <c r="X180" s="278"/>
      <c r="Y180" s="278"/>
      <c r="Z180" s="278"/>
    </row>
    <row r="181" ht="15.75" customHeight="1">
      <c r="A181" s="278"/>
      <c r="B181" s="278"/>
      <c r="C181" s="278"/>
      <c r="D181" s="278"/>
      <c r="E181" s="278"/>
      <c r="F181" s="278"/>
      <c r="G181" s="278"/>
      <c r="H181" s="278"/>
      <c r="I181" s="278"/>
      <c r="J181" s="278"/>
      <c r="K181" s="278"/>
      <c r="L181" s="278"/>
      <c r="M181" s="278"/>
      <c r="N181" s="278"/>
      <c r="O181" s="278"/>
      <c r="P181" s="278"/>
      <c r="Q181" s="278"/>
      <c r="R181" s="278"/>
      <c r="S181" s="278"/>
      <c r="T181" s="278"/>
      <c r="U181" s="278"/>
      <c r="V181" s="278"/>
      <c r="W181" s="278"/>
      <c r="X181" s="278"/>
      <c r="Y181" s="278"/>
      <c r="Z181" s="278"/>
    </row>
    <row r="182" ht="15.75" customHeight="1">
      <c r="A182" s="278"/>
      <c r="B182" s="278"/>
      <c r="C182" s="278"/>
      <c r="D182" s="278"/>
      <c r="E182" s="278"/>
      <c r="F182" s="278"/>
      <c r="G182" s="278"/>
      <c r="H182" s="278"/>
      <c r="I182" s="278"/>
      <c r="J182" s="278"/>
      <c r="K182" s="278"/>
      <c r="L182" s="278"/>
      <c r="M182" s="278"/>
      <c r="N182" s="278"/>
      <c r="O182" s="278"/>
      <c r="P182" s="278"/>
      <c r="Q182" s="278"/>
      <c r="R182" s="278"/>
      <c r="S182" s="278"/>
      <c r="T182" s="278"/>
      <c r="U182" s="278"/>
      <c r="V182" s="278"/>
      <c r="W182" s="278"/>
      <c r="X182" s="278"/>
      <c r="Y182" s="278"/>
      <c r="Z182" s="278"/>
    </row>
    <row r="183" ht="15.75" customHeight="1">
      <c r="A183" s="278"/>
      <c r="B183" s="278"/>
      <c r="C183" s="278"/>
      <c r="D183" s="278"/>
      <c r="E183" s="278"/>
      <c r="F183" s="278"/>
      <c r="G183" s="278"/>
      <c r="H183" s="278"/>
      <c r="I183" s="278"/>
      <c r="J183" s="278"/>
      <c r="K183" s="278"/>
      <c r="L183" s="278"/>
      <c r="M183" s="278"/>
      <c r="N183" s="278"/>
      <c r="O183" s="278"/>
      <c r="P183" s="278"/>
      <c r="Q183" s="278"/>
      <c r="R183" s="278"/>
      <c r="S183" s="278"/>
      <c r="T183" s="278"/>
      <c r="U183" s="278"/>
      <c r="V183" s="278"/>
      <c r="W183" s="278"/>
      <c r="X183" s="278"/>
      <c r="Y183" s="278"/>
      <c r="Z183" s="278"/>
    </row>
    <row r="184" ht="15.75" customHeight="1">
      <c r="A184" s="278"/>
      <c r="B184" s="278"/>
      <c r="C184" s="278"/>
      <c r="D184" s="278"/>
      <c r="E184" s="278"/>
      <c r="F184" s="278"/>
      <c r="G184" s="278"/>
      <c r="H184" s="278"/>
      <c r="I184" s="278"/>
      <c r="J184" s="278"/>
      <c r="K184" s="278"/>
      <c r="L184" s="278"/>
      <c r="M184" s="278"/>
      <c r="N184" s="278"/>
      <c r="O184" s="278"/>
      <c r="P184" s="278"/>
      <c r="Q184" s="278"/>
      <c r="R184" s="278"/>
      <c r="S184" s="278"/>
      <c r="T184" s="278"/>
      <c r="U184" s="278"/>
      <c r="V184" s="278"/>
      <c r="W184" s="278"/>
      <c r="X184" s="278"/>
      <c r="Y184" s="278"/>
      <c r="Z184" s="278"/>
    </row>
    <row r="185" ht="15.75" customHeight="1">
      <c r="A185" s="278"/>
      <c r="B185" s="278"/>
      <c r="C185" s="278"/>
      <c r="D185" s="278"/>
      <c r="E185" s="278"/>
      <c r="F185" s="278"/>
      <c r="G185" s="278"/>
      <c r="H185" s="278"/>
      <c r="I185" s="278"/>
      <c r="J185" s="278"/>
      <c r="K185" s="278"/>
      <c r="L185" s="278"/>
      <c r="M185" s="278"/>
      <c r="N185" s="278"/>
      <c r="O185" s="278"/>
      <c r="P185" s="278"/>
      <c r="Q185" s="278"/>
      <c r="R185" s="278"/>
      <c r="S185" s="278"/>
      <c r="T185" s="278"/>
      <c r="U185" s="278"/>
      <c r="V185" s="278"/>
      <c r="W185" s="278"/>
      <c r="X185" s="278"/>
      <c r="Y185" s="278"/>
      <c r="Z185" s="278"/>
    </row>
    <row r="186" ht="15.75" customHeight="1">
      <c r="A186" s="278"/>
      <c r="B186" s="278"/>
      <c r="C186" s="278"/>
      <c r="D186" s="278"/>
      <c r="E186" s="278"/>
      <c r="F186" s="278"/>
      <c r="G186" s="278"/>
      <c r="H186" s="278"/>
      <c r="I186" s="278"/>
      <c r="J186" s="278"/>
      <c r="K186" s="278"/>
      <c r="L186" s="278"/>
      <c r="M186" s="278"/>
      <c r="N186" s="278"/>
      <c r="O186" s="278"/>
      <c r="P186" s="278"/>
      <c r="Q186" s="278"/>
      <c r="R186" s="278"/>
      <c r="S186" s="278"/>
      <c r="T186" s="278"/>
      <c r="U186" s="278"/>
      <c r="V186" s="278"/>
      <c r="W186" s="278"/>
      <c r="X186" s="278"/>
      <c r="Y186" s="278"/>
      <c r="Z186" s="278"/>
    </row>
    <row r="187" ht="15.75" customHeight="1">
      <c r="A187" s="278"/>
      <c r="B187" s="278"/>
      <c r="C187" s="278"/>
      <c r="D187" s="278"/>
      <c r="E187" s="278"/>
      <c r="F187" s="278"/>
      <c r="G187" s="278"/>
      <c r="H187" s="278"/>
      <c r="I187" s="278"/>
      <c r="J187" s="278"/>
      <c r="K187" s="278"/>
      <c r="L187" s="278"/>
      <c r="M187" s="278"/>
      <c r="N187" s="278"/>
      <c r="O187" s="278"/>
      <c r="P187" s="278"/>
      <c r="Q187" s="278"/>
      <c r="R187" s="278"/>
      <c r="S187" s="278"/>
      <c r="T187" s="278"/>
      <c r="U187" s="278"/>
      <c r="V187" s="278"/>
      <c r="W187" s="278"/>
      <c r="X187" s="278"/>
      <c r="Y187" s="278"/>
      <c r="Z187" s="278"/>
    </row>
    <row r="188" ht="15.75" customHeight="1">
      <c r="A188" s="278"/>
      <c r="B188" s="278"/>
      <c r="C188" s="278"/>
      <c r="D188" s="278"/>
      <c r="E188" s="278"/>
      <c r="F188" s="278"/>
      <c r="G188" s="278"/>
      <c r="H188" s="278"/>
      <c r="I188" s="278"/>
      <c r="J188" s="278"/>
      <c r="K188" s="278"/>
      <c r="L188" s="278"/>
      <c r="M188" s="278"/>
      <c r="N188" s="278"/>
      <c r="O188" s="278"/>
      <c r="P188" s="278"/>
      <c r="Q188" s="278"/>
      <c r="R188" s="278"/>
      <c r="S188" s="278"/>
      <c r="T188" s="278"/>
      <c r="U188" s="278"/>
      <c r="V188" s="278"/>
      <c r="W188" s="278"/>
      <c r="X188" s="278"/>
      <c r="Y188" s="278"/>
      <c r="Z188" s="278"/>
    </row>
    <row r="189" ht="15.75" customHeight="1">
      <c r="A189" s="278"/>
      <c r="B189" s="278"/>
      <c r="C189" s="278"/>
      <c r="D189" s="278"/>
      <c r="E189" s="278"/>
      <c r="F189" s="278"/>
      <c r="G189" s="278"/>
      <c r="H189" s="278"/>
      <c r="I189" s="278"/>
      <c r="J189" s="278"/>
      <c r="K189" s="278"/>
      <c r="L189" s="278"/>
      <c r="M189" s="278"/>
      <c r="N189" s="278"/>
      <c r="O189" s="278"/>
      <c r="P189" s="278"/>
      <c r="Q189" s="278"/>
      <c r="R189" s="278"/>
      <c r="S189" s="278"/>
      <c r="T189" s="278"/>
      <c r="U189" s="278"/>
      <c r="V189" s="278"/>
      <c r="W189" s="278"/>
      <c r="X189" s="278"/>
      <c r="Y189" s="278"/>
      <c r="Z189" s="278"/>
    </row>
    <row r="190" ht="15.75" customHeight="1">
      <c r="A190" s="278"/>
      <c r="B190" s="278"/>
      <c r="C190" s="278"/>
      <c r="D190" s="278"/>
      <c r="E190" s="278"/>
      <c r="F190" s="278"/>
      <c r="G190" s="278"/>
      <c r="H190" s="278"/>
      <c r="I190" s="278"/>
      <c r="J190" s="278"/>
      <c r="K190" s="278"/>
      <c r="L190" s="278"/>
      <c r="M190" s="278"/>
      <c r="N190" s="278"/>
      <c r="O190" s="278"/>
      <c r="P190" s="278"/>
      <c r="Q190" s="278"/>
      <c r="R190" s="278"/>
      <c r="S190" s="278"/>
      <c r="T190" s="278"/>
      <c r="U190" s="278"/>
      <c r="V190" s="278"/>
      <c r="W190" s="278"/>
      <c r="X190" s="278"/>
      <c r="Y190" s="278"/>
      <c r="Z190" s="278"/>
    </row>
    <row r="191" ht="15.75" customHeight="1">
      <c r="A191" s="278"/>
      <c r="B191" s="278"/>
      <c r="C191" s="278"/>
      <c r="D191" s="278"/>
      <c r="E191" s="278"/>
      <c r="F191" s="278"/>
      <c r="G191" s="278"/>
      <c r="H191" s="278"/>
      <c r="I191" s="278"/>
      <c r="J191" s="278"/>
      <c r="K191" s="278"/>
      <c r="L191" s="278"/>
      <c r="M191" s="278"/>
      <c r="N191" s="278"/>
      <c r="O191" s="278"/>
      <c r="P191" s="278"/>
      <c r="Q191" s="278"/>
      <c r="R191" s="278"/>
      <c r="S191" s="278"/>
      <c r="T191" s="278"/>
      <c r="U191" s="278"/>
      <c r="V191" s="278"/>
      <c r="W191" s="278"/>
      <c r="X191" s="278"/>
      <c r="Y191" s="278"/>
      <c r="Z191" s="278"/>
    </row>
    <row r="192" ht="15.75" customHeight="1">
      <c r="A192" s="278"/>
      <c r="B192" s="278"/>
      <c r="C192" s="278"/>
      <c r="D192" s="278"/>
      <c r="E192" s="278"/>
      <c r="F192" s="278"/>
      <c r="G192" s="278"/>
      <c r="H192" s="278"/>
      <c r="I192" s="278"/>
      <c r="J192" s="278"/>
      <c r="K192" s="278"/>
      <c r="L192" s="278"/>
      <c r="M192" s="278"/>
      <c r="N192" s="278"/>
      <c r="O192" s="278"/>
      <c r="P192" s="278"/>
      <c r="Q192" s="278"/>
      <c r="R192" s="278"/>
      <c r="S192" s="278"/>
      <c r="T192" s="278"/>
      <c r="U192" s="278"/>
      <c r="V192" s="278"/>
      <c r="W192" s="278"/>
      <c r="X192" s="278"/>
      <c r="Y192" s="278"/>
      <c r="Z192" s="278"/>
    </row>
    <row r="193" ht="15.75" customHeight="1">
      <c r="A193" s="278"/>
      <c r="B193" s="278"/>
      <c r="C193" s="278"/>
      <c r="D193" s="278"/>
      <c r="E193" s="278"/>
      <c r="F193" s="278"/>
      <c r="G193" s="278"/>
      <c r="H193" s="278"/>
      <c r="I193" s="278"/>
      <c r="J193" s="278"/>
      <c r="K193" s="278"/>
      <c r="L193" s="278"/>
      <c r="M193" s="278"/>
      <c r="N193" s="278"/>
      <c r="O193" s="278"/>
      <c r="P193" s="278"/>
      <c r="Q193" s="278"/>
      <c r="R193" s="278"/>
      <c r="S193" s="278"/>
      <c r="T193" s="278"/>
      <c r="U193" s="278"/>
      <c r="V193" s="278"/>
      <c r="W193" s="278"/>
      <c r="X193" s="278"/>
      <c r="Y193" s="278"/>
      <c r="Z193" s="278"/>
    </row>
    <row r="194" ht="15.75" customHeight="1">
      <c r="A194" s="278"/>
      <c r="B194" s="278"/>
      <c r="C194" s="278"/>
      <c r="D194" s="278"/>
      <c r="E194" s="278"/>
      <c r="F194" s="278"/>
      <c r="G194" s="278"/>
      <c r="H194" s="278"/>
      <c r="I194" s="278"/>
      <c r="J194" s="278"/>
      <c r="K194" s="278"/>
      <c r="L194" s="278"/>
      <c r="M194" s="278"/>
      <c r="N194" s="278"/>
      <c r="O194" s="278"/>
      <c r="P194" s="278"/>
      <c r="Q194" s="278"/>
      <c r="R194" s="278"/>
      <c r="S194" s="278"/>
      <c r="T194" s="278"/>
      <c r="U194" s="278"/>
      <c r="V194" s="278"/>
      <c r="W194" s="278"/>
      <c r="X194" s="278"/>
      <c r="Y194" s="278"/>
      <c r="Z194" s="278"/>
    </row>
    <row r="195" ht="15.75" customHeight="1">
      <c r="A195" s="278"/>
      <c r="B195" s="278"/>
      <c r="C195" s="278"/>
      <c r="D195" s="278"/>
      <c r="E195" s="278"/>
      <c r="F195" s="278"/>
      <c r="G195" s="278"/>
      <c r="H195" s="278"/>
      <c r="I195" s="278"/>
      <c r="J195" s="278"/>
      <c r="K195" s="278"/>
      <c r="L195" s="278"/>
      <c r="M195" s="278"/>
      <c r="N195" s="278"/>
      <c r="O195" s="278"/>
      <c r="P195" s="278"/>
      <c r="Q195" s="278"/>
      <c r="R195" s="278"/>
      <c r="S195" s="278"/>
      <c r="T195" s="278"/>
      <c r="U195" s="278"/>
      <c r="V195" s="278"/>
      <c r="W195" s="278"/>
      <c r="X195" s="278"/>
      <c r="Y195" s="278"/>
      <c r="Z195" s="278"/>
    </row>
    <row r="196" ht="15.75" customHeight="1">
      <c r="A196" s="278"/>
      <c r="B196" s="278"/>
      <c r="C196" s="278"/>
      <c r="D196" s="278"/>
      <c r="E196" s="278"/>
      <c r="F196" s="278"/>
      <c r="G196" s="278"/>
      <c r="H196" s="278"/>
      <c r="I196" s="278"/>
      <c r="J196" s="278"/>
      <c r="K196" s="278"/>
      <c r="L196" s="278"/>
      <c r="M196" s="278"/>
      <c r="N196" s="278"/>
      <c r="O196" s="278"/>
      <c r="P196" s="278"/>
      <c r="Q196" s="278"/>
      <c r="R196" s="278"/>
      <c r="S196" s="278"/>
      <c r="T196" s="278"/>
      <c r="U196" s="278"/>
      <c r="V196" s="278"/>
      <c r="W196" s="278"/>
      <c r="X196" s="278"/>
      <c r="Y196" s="278"/>
      <c r="Z196" s="278"/>
    </row>
    <row r="197" ht="15.75" customHeight="1">
      <c r="A197" s="278"/>
      <c r="B197" s="278"/>
      <c r="C197" s="278"/>
      <c r="D197" s="278"/>
      <c r="E197" s="278"/>
      <c r="F197" s="278"/>
      <c r="G197" s="278"/>
      <c r="H197" s="278"/>
      <c r="I197" s="278"/>
      <c r="J197" s="278"/>
      <c r="K197" s="278"/>
      <c r="L197" s="278"/>
      <c r="M197" s="278"/>
      <c r="N197" s="278"/>
      <c r="O197" s="278"/>
      <c r="P197" s="278"/>
      <c r="Q197" s="278"/>
      <c r="R197" s="278"/>
      <c r="S197" s="278"/>
      <c r="T197" s="278"/>
      <c r="U197" s="278"/>
      <c r="V197" s="278"/>
      <c r="W197" s="278"/>
      <c r="X197" s="278"/>
      <c r="Y197" s="278"/>
      <c r="Z197" s="278"/>
    </row>
    <row r="198" ht="15.75" customHeight="1">
      <c r="A198" s="278"/>
      <c r="B198" s="278"/>
      <c r="C198" s="278"/>
      <c r="D198" s="278"/>
      <c r="E198" s="278"/>
      <c r="F198" s="278"/>
      <c r="G198" s="278"/>
      <c r="H198" s="278"/>
      <c r="I198" s="278"/>
      <c r="J198" s="278"/>
      <c r="K198" s="278"/>
      <c r="L198" s="278"/>
      <c r="M198" s="278"/>
      <c r="N198" s="278"/>
      <c r="O198" s="278"/>
      <c r="P198" s="278"/>
      <c r="Q198" s="278"/>
      <c r="R198" s="278"/>
      <c r="S198" s="278"/>
      <c r="T198" s="278"/>
      <c r="U198" s="278"/>
      <c r="V198" s="278"/>
      <c r="W198" s="278"/>
      <c r="X198" s="278"/>
      <c r="Y198" s="278"/>
      <c r="Z198" s="278"/>
    </row>
    <row r="199" ht="15.75" customHeight="1">
      <c r="A199" s="278"/>
      <c r="B199" s="278"/>
      <c r="C199" s="278"/>
      <c r="D199" s="278"/>
      <c r="E199" s="278"/>
      <c r="F199" s="278"/>
      <c r="G199" s="278"/>
      <c r="H199" s="278"/>
      <c r="I199" s="278"/>
      <c r="J199" s="278"/>
      <c r="K199" s="278"/>
      <c r="L199" s="278"/>
      <c r="M199" s="278"/>
      <c r="N199" s="278"/>
      <c r="O199" s="278"/>
      <c r="P199" s="278"/>
      <c r="Q199" s="278"/>
      <c r="R199" s="278"/>
      <c r="S199" s="278"/>
      <c r="T199" s="278"/>
      <c r="U199" s="278"/>
      <c r="V199" s="278"/>
      <c r="W199" s="278"/>
      <c r="X199" s="278"/>
      <c r="Y199" s="278"/>
      <c r="Z199" s="278"/>
    </row>
    <row r="200" ht="15.75" customHeight="1">
      <c r="A200" s="278"/>
      <c r="B200" s="278"/>
      <c r="C200" s="278"/>
      <c r="D200" s="278"/>
      <c r="E200" s="278"/>
      <c r="F200" s="278"/>
      <c r="G200" s="278"/>
      <c r="H200" s="278"/>
      <c r="I200" s="278"/>
      <c r="J200" s="278"/>
      <c r="K200" s="278"/>
      <c r="L200" s="278"/>
      <c r="M200" s="278"/>
      <c r="N200" s="278"/>
      <c r="O200" s="278"/>
      <c r="P200" s="278"/>
      <c r="Q200" s="278"/>
      <c r="R200" s="278"/>
      <c r="S200" s="278"/>
      <c r="T200" s="278"/>
      <c r="U200" s="278"/>
      <c r="V200" s="278"/>
      <c r="W200" s="278"/>
      <c r="X200" s="278"/>
      <c r="Y200" s="278"/>
      <c r="Z200" s="278"/>
    </row>
    <row r="201" ht="15.75" customHeight="1">
      <c r="A201" s="278"/>
      <c r="B201" s="278"/>
      <c r="C201" s="278"/>
      <c r="D201" s="278"/>
      <c r="E201" s="278"/>
      <c r="F201" s="278"/>
      <c r="G201" s="278"/>
      <c r="H201" s="278"/>
      <c r="I201" s="278"/>
      <c r="J201" s="278"/>
      <c r="K201" s="278"/>
      <c r="L201" s="278"/>
      <c r="M201" s="278"/>
      <c r="N201" s="278"/>
      <c r="O201" s="278"/>
      <c r="P201" s="278"/>
      <c r="Q201" s="278"/>
      <c r="R201" s="278"/>
      <c r="S201" s="278"/>
      <c r="T201" s="278"/>
      <c r="U201" s="278"/>
      <c r="V201" s="278"/>
      <c r="W201" s="278"/>
      <c r="X201" s="278"/>
      <c r="Y201" s="278"/>
      <c r="Z201" s="278"/>
    </row>
    <row r="202" ht="15.75" customHeight="1">
      <c r="A202" s="278"/>
      <c r="B202" s="278"/>
      <c r="C202" s="278"/>
      <c r="D202" s="278"/>
      <c r="E202" s="278"/>
      <c r="F202" s="278"/>
      <c r="G202" s="278"/>
      <c r="H202" s="278"/>
      <c r="I202" s="278"/>
      <c r="J202" s="278"/>
      <c r="K202" s="278"/>
      <c r="L202" s="278"/>
      <c r="M202" s="278"/>
      <c r="N202" s="278"/>
      <c r="O202" s="278"/>
      <c r="P202" s="278"/>
      <c r="Q202" s="278"/>
      <c r="R202" s="278"/>
      <c r="S202" s="278"/>
      <c r="T202" s="278"/>
      <c r="U202" s="278"/>
      <c r="V202" s="278"/>
      <c r="W202" s="278"/>
      <c r="X202" s="278"/>
      <c r="Y202" s="278"/>
      <c r="Z202" s="278"/>
    </row>
    <row r="203" ht="15.75" customHeight="1">
      <c r="A203" s="278"/>
      <c r="B203" s="278"/>
      <c r="C203" s="278"/>
      <c r="D203" s="278"/>
      <c r="E203" s="278"/>
      <c r="F203" s="278"/>
      <c r="G203" s="278"/>
      <c r="H203" s="278"/>
      <c r="I203" s="278"/>
      <c r="J203" s="278"/>
      <c r="K203" s="278"/>
      <c r="L203" s="278"/>
      <c r="M203" s="278"/>
      <c r="N203" s="278"/>
      <c r="O203" s="278"/>
      <c r="P203" s="278"/>
      <c r="Q203" s="278"/>
      <c r="R203" s="278"/>
      <c r="S203" s="278"/>
      <c r="T203" s="278"/>
      <c r="U203" s="278"/>
      <c r="V203" s="278"/>
      <c r="W203" s="278"/>
      <c r="X203" s="278"/>
      <c r="Y203" s="278"/>
      <c r="Z203" s="278"/>
    </row>
    <row r="204" ht="15.75" customHeight="1">
      <c r="A204" s="278"/>
      <c r="B204" s="278"/>
      <c r="C204" s="278"/>
      <c r="D204" s="278"/>
      <c r="E204" s="278"/>
      <c r="F204" s="278"/>
      <c r="G204" s="278"/>
      <c r="H204" s="278"/>
      <c r="I204" s="278"/>
      <c r="J204" s="278"/>
      <c r="K204" s="278"/>
      <c r="L204" s="278"/>
      <c r="M204" s="278"/>
      <c r="N204" s="278"/>
      <c r="O204" s="278"/>
      <c r="P204" s="278"/>
      <c r="Q204" s="278"/>
      <c r="R204" s="278"/>
      <c r="S204" s="278"/>
      <c r="T204" s="278"/>
      <c r="U204" s="278"/>
      <c r="V204" s="278"/>
      <c r="W204" s="278"/>
      <c r="X204" s="278"/>
      <c r="Y204" s="278"/>
      <c r="Z204" s="278"/>
    </row>
    <row r="205" ht="15.75" customHeight="1">
      <c r="A205" s="278"/>
      <c r="B205" s="278"/>
      <c r="C205" s="278"/>
      <c r="D205" s="278"/>
      <c r="E205" s="278"/>
      <c r="F205" s="278"/>
      <c r="G205" s="278"/>
      <c r="H205" s="278"/>
      <c r="I205" s="278"/>
      <c r="J205" s="278"/>
      <c r="K205" s="278"/>
      <c r="L205" s="278"/>
      <c r="M205" s="278"/>
      <c r="N205" s="278"/>
      <c r="O205" s="278"/>
      <c r="P205" s="278"/>
      <c r="Q205" s="278"/>
      <c r="R205" s="278"/>
      <c r="S205" s="278"/>
      <c r="T205" s="278"/>
      <c r="U205" s="278"/>
      <c r="V205" s="278"/>
      <c r="W205" s="278"/>
      <c r="X205" s="278"/>
      <c r="Y205" s="278"/>
      <c r="Z205" s="278"/>
    </row>
    <row r="206" ht="15.75" customHeight="1">
      <c r="A206" s="278"/>
      <c r="B206" s="278"/>
      <c r="C206" s="278"/>
      <c r="D206" s="278"/>
      <c r="E206" s="278"/>
      <c r="F206" s="278"/>
      <c r="G206" s="278"/>
      <c r="H206" s="278"/>
      <c r="I206" s="278"/>
      <c r="J206" s="278"/>
      <c r="K206" s="278"/>
      <c r="L206" s="278"/>
      <c r="M206" s="278"/>
      <c r="N206" s="278"/>
      <c r="O206" s="278"/>
      <c r="P206" s="278"/>
      <c r="Q206" s="278"/>
      <c r="R206" s="278"/>
      <c r="S206" s="278"/>
      <c r="T206" s="278"/>
      <c r="U206" s="278"/>
      <c r="V206" s="278"/>
      <c r="W206" s="278"/>
      <c r="X206" s="278"/>
      <c r="Y206" s="278"/>
      <c r="Z206" s="278"/>
    </row>
    <row r="207" ht="15.75" customHeight="1">
      <c r="A207" s="278"/>
      <c r="B207" s="278"/>
      <c r="C207" s="278"/>
      <c r="D207" s="278"/>
      <c r="E207" s="278"/>
      <c r="F207" s="278"/>
      <c r="G207" s="278"/>
      <c r="H207" s="278"/>
      <c r="I207" s="278"/>
      <c r="J207" s="278"/>
      <c r="K207" s="278"/>
      <c r="L207" s="278"/>
      <c r="M207" s="278"/>
      <c r="N207" s="278"/>
      <c r="O207" s="278"/>
      <c r="P207" s="278"/>
      <c r="Q207" s="278"/>
      <c r="R207" s="278"/>
      <c r="S207" s="278"/>
      <c r="T207" s="278"/>
      <c r="U207" s="278"/>
      <c r="V207" s="278"/>
      <c r="W207" s="278"/>
      <c r="X207" s="278"/>
      <c r="Y207" s="278"/>
      <c r="Z207" s="278"/>
    </row>
    <row r="208" ht="15.75" customHeight="1">
      <c r="A208" s="278"/>
      <c r="B208" s="278"/>
      <c r="C208" s="278"/>
      <c r="D208" s="278"/>
      <c r="E208" s="278"/>
      <c r="F208" s="278"/>
      <c r="G208" s="278"/>
      <c r="H208" s="278"/>
      <c r="I208" s="278"/>
      <c r="J208" s="278"/>
      <c r="K208" s="278"/>
      <c r="L208" s="278"/>
      <c r="M208" s="278"/>
      <c r="N208" s="278"/>
      <c r="O208" s="278"/>
      <c r="P208" s="278"/>
      <c r="Q208" s="278"/>
      <c r="R208" s="278"/>
      <c r="S208" s="278"/>
      <c r="T208" s="278"/>
      <c r="U208" s="278"/>
      <c r="V208" s="278"/>
      <c r="W208" s="278"/>
      <c r="X208" s="278"/>
      <c r="Y208" s="278"/>
      <c r="Z208" s="278"/>
    </row>
    <row r="209" ht="15.75" customHeight="1">
      <c r="A209" s="278"/>
      <c r="B209" s="278"/>
      <c r="C209" s="278"/>
      <c r="D209" s="278"/>
      <c r="E209" s="278"/>
      <c r="F209" s="278"/>
      <c r="G209" s="278"/>
      <c r="H209" s="278"/>
      <c r="I209" s="278"/>
      <c r="J209" s="278"/>
      <c r="K209" s="278"/>
      <c r="L209" s="278"/>
      <c r="M209" s="278"/>
      <c r="N209" s="278"/>
      <c r="O209" s="278"/>
      <c r="P209" s="278"/>
      <c r="Q209" s="278"/>
      <c r="R209" s="278"/>
      <c r="S209" s="278"/>
      <c r="T209" s="278"/>
      <c r="U209" s="278"/>
      <c r="V209" s="278"/>
      <c r="W209" s="278"/>
      <c r="X209" s="278"/>
      <c r="Y209" s="278"/>
      <c r="Z209" s="278"/>
    </row>
    <row r="210" ht="15.75" customHeight="1">
      <c r="A210" s="278"/>
      <c r="B210" s="278"/>
      <c r="C210" s="278"/>
      <c r="D210" s="278"/>
      <c r="E210" s="278"/>
      <c r="F210" s="278"/>
      <c r="G210" s="278"/>
      <c r="H210" s="278"/>
      <c r="I210" s="278"/>
      <c r="J210" s="278"/>
      <c r="K210" s="278"/>
      <c r="L210" s="278"/>
      <c r="M210" s="278"/>
      <c r="N210" s="278"/>
      <c r="O210" s="278"/>
      <c r="P210" s="278"/>
      <c r="Q210" s="278"/>
      <c r="R210" s="278"/>
      <c r="S210" s="278"/>
      <c r="T210" s="278"/>
      <c r="U210" s="278"/>
      <c r="V210" s="278"/>
      <c r="W210" s="278"/>
      <c r="X210" s="278"/>
      <c r="Y210" s="278"/>
      <c r="Z210" s="278"/>
    </row>
    <row r="211" ht="15.75" customHeight="1">
      <c r="A211" s="278"/>
      <c r="B211" s="278"/>
      <c r="C211" s="278"/>
      <c r="D211" s="278"/>
      <c r="E211" s="278"/>
      <c r="F211" s="278"/>
      <c r="G211" s="278"/>
      <c r="H211" s="278"/>
      <c r="I211" s="278"/>
      <c r="J211" s="278"/>
      <c r="K211" s="278"/>
      <c r="L211" s="278"/>
      <c r="M211" s="278"/>
      <c r="N211" s="278"/>
      <c r="O211" s="278"/>
      <c r="P211" s="278"/>
      <c r="Q211" s="278"/>
      <c r="R211" s="278"/>
      <c r="S211" s="278"/>
      <c r="T211" s="278"/>
      <c r="U211" s="278"/>
      <c r="V211" s="278"/>
      <c r="W211" s="278"/>
      <c r="X211" s="278"/>
      <c r="Y211" s="278"/>
      <c r="Z211" s="278"/>
    </row>
    <row r="212" ht="15.75" customHeight="1">
      <c r="A212" s="278"/>
      <c r="B212" s="278"/>
      <c r="C212" s="278"/>
      <c r="D212" s="278"/>
      <c r="E212" s="278"/>
      <c r="F212" s="278"/>
      <c r="G212" s="278"/>
      <c r="H212" s="278"/>
      <c r="I212" s="278"/>
      <c r="J212" s="278"/>
      <c r="K212" s="278"/>
      <c r="L212" s="278"/>
      <c r="M212" s="278"/>
      <c r="N212" s="278"/>
      <c r="O212" s="278"/>
      <c r="P212" s="278"/>
      <c r="Q212" s="278"/>
      <c r="R212" s="278"/>
      <c r="S212" s="278"/>
      <c r="T212" s="278"/>
      <c r="U212" s="278"/>
      <c r="V212" s="278"/>
      <c r="W212" s="278"/>
      <c r="X212" s="278"/>
      <c r="Y212" s="278"/>
      <c r="Z212" s="278"/>
    </row>
    <row r="213" ht="15.75" customHeight="1">
      <c r="A213" s="278"/>
      <c r="B213" s="278"/>
      <c r="C213" s="278"/>
      <c r="D213" s="278"/>
      <c r="E213" s="278"/>
      <c r="F213" s="278"/>
      <c r="G213" s="278"/>
      <c r="H213" s="278"/>
      <c r="I213" s="278"/>
      <c r="J213" s="278"/>
      <c r="K213" s="278"/>
      <c r="L213" s="278"/>
      <c r="M213" s="278"/>
      <c r="N213" s="278"/>
      <c r="O213" s="278"/>
      <c r="P213" s="278"/>
      <c r="Q213" s="278"/>
      <c r="R213" s="278"/>
      <c r="S213" s="278"/>
      <c r="T213" s="278"/>
      <c r="U213" s="278"/>
      <c r="V213" s="278"/>
      <c r="W213" s="278"/>
      <c r="X213" s="278"/>
      <c r="Y213" s="278"/>
      <c r="Z213" s="278"/>
    </row>
    <row r="214" ht="15.75" customHeight="1">
      <c r="A214" s="278"/>
      <c r="B214" s="278"/>
      <c r="C214" s="278"/>
      <c r="D214" s="278"/>
      <c r="E214" s="278"/>
      <c r="F214" s="278"/>
      <c r="G214" s="278"/>
      <c r="H214" s="278"/>
      <c r="I214" s="278"/>
      <c r="J214" s="278"/>
      <c r="K214" s="278"/>
      <c r="L214" s="278"/>
      <c r="M214" s="278"/>
      <c r="N214" s="278"/>
      <c r="O214" s="278"/>
      <c r="P214" s="278"/>
      <c r="Q214" s="278"/>
      <c r="R214" s="278"/>
      <c r="S214" s="278"/>
      <c r="T214" s="278"/>
      <c r="U214" s="278"/>
      <c r="V214" s="278"/>
      <c r="W214" s="278"/>
      <c r="X214" s="278"/>
      <c r="Y214" s="278"/>
      <c r="Z214" s="278"/>
    </row>
    <row r="215" ht="15.75" customHeight="1">
      <c r="A215" s="278"/>
      <c r="B215" s="278"/>
      <c r="C215" s="278"/>
      <c r="D215" s="278"/>
      <c r="E215" s="278"/>
      <c r="F215" s="278"/>
      <c r="G215" s="278"/>
      <c r="H215" s="278"/>
      <c r="I215" s="278"/>
      <c r="J215" s="278"/>
      <c r="K215" s="278"/>
      <c r="L215" s="278"/>
      <c r="M215" s="278"/>
      <c r="N215" s="278"/>
      <c r="O215" s="278"/>
      <c r="P215" s="278"/>
      <c r="Q215" s="278"/>
      <c r="R215" s="278"/>
      <c r="S215" s="278"/>
      <c r="T215" s="278"/>
      <c r="U215" s="278"/>
      <c r="V215" s="278"/>
      <c r="W215" s="278"/>
      <c r="X215" s="278"/>
      <c r="Y215" s="278"/>
      <c r="Z215" s="278"/>
    </row>
    <row r="216" ht="15.75" customHeight="1">
      <c r="A216" s="278"/>
      <c r="B216" s="278"/>
      <c r="C216" s="278"/>
      <c r="D216" s="278"/>
      <c r="E216" s="278"/>
      <c r="F216" s="278"/>
      <c r="G216" s="278"/>
      <c r="H216" s="278"/>
      <c r="I216" s="278"/>
      <c r="J216" s="278"/>
      <c r="K216" s="278"/>
      <c r="L216" s="278"/>
      <c r="M216" s="278"/>
      <c r="N216" s="278"/>
      <c r="O216" s="278"/>
      <c r="P216" s="278"/>
      <c r="Q216" s="278"/>
      <c r="R216" s="278"/>
      <c r="S216" s="278"/>
      <c r="T216" s="278"/>
      <c r="U216" s="278"/>
      <c r="V216" s="278"/>
      <c r="W216" s="278"/>
      <c r="X216" s="278"/>
      <c r="Y216" s="278"/>
      <c r="Z216" s="278"/>
    </row>
    <row r="217" ht="15.75" customHeight="1">
      <c r="A217" s="278"/>
      <c r="B217" s="278"/>
      <c r="C217" s="278"/>
      <c r="D217" s="278"/>
      <c r="E217" s="278"/>
      <c r="F217" s="278"/>
      <c r="G217" s="278"/>
      <c r="H217" s="278"/>
      <c r="I217" s="278"/>
      <c r="J217" s="278"/>
      <c r="K217" s="278"/>
      <c r="L217" s="278"/>
      <c r="M217" s="278"/>
      <c r="N217" s="278"/>
      <c r="O217" s="278"/>
      <c r="P217" s="278"/>
      <c r="Q217" s="278"/>
      <c r="R217" s="278"/>
      <c r="S217" s="278"/>
      <c r="T217" s="278"/>
      <c r="U217" s="278"/>
      <c r="V217" s="278"/>
      <c r="W217" s="278"/>
      <c r="X217" s="278"/>
      <c r="Y217" s="278"/>
      <c r="Z217" s="278"/>
    </row>
    <row r="218" ht="15.75" customHeight="1">
      <c r="A218" s="278"/>
      <c r="B218" s="278"/>
      <c r="C218" s="278"/>
      <c r="D218" s="278"/>
      <c r="E218" s="278"/>
      <c r="F218" s="278"/>
      <c r="G218" s="278"/>
      <c r="H218" s="278"/>
      <c r="I218" s="278"/>
      <c r="J218" s="278"/>
      <c r="K218" s="278"/>
      <c r="L218" s="278"/>
      <c r="M218" s="278"/>
      <c r="N218" s="278"/>
      <c r="O218" s="278"/>
      <c r="P218" s="278"/>
      <c r="Q218" s="278"/>
      <c r="R218" s="278"/>
      <c r="S218" s="278"/>
      <c r="T218" s="278"/>
      <c r="U218" s="278"/>
      <c r="V218" s="278"/>
      <c r="W218" s="278"/>
      <c r="X218" s="278"/>
      <c r="Y218" s="278"/>
      <c r="Z218" s="278"/>
    </row>
    <row r="219" ht="15.75" customHeight="1">
      <c r="A219" s="278"/>
      <c r="B219" s="278"/>
      <c r="C219" s="278"/>
      <c r="D219" s="278"/>
      <c r="E219" s="278"/>
      <c r="F219" s="278"/>
      <c r="G219" s="278"/>
      <c r="H219" s="278"/>
      <c r="I219" s="278"/>
      <c r="J219" s="278"/>
      <c r="K219" s="278"/>
      <c r="L219" s="278"/>
      <c r="M219" s="278"/>
      <c r="N219" s="278"/>
      <c r="O219" s="278"/>
      <c r="P219" s="278"/>
      <c r="Q219" s="278"/>
      <c r="R219" s="278"/>
      <c r="S219" s="278"/>
      <c r="T219" s="278"/>
      <c r="U219" s="278"/>
      <c r="V219" s="278"/>
      <c r="W219" s="278"/>
      <c r="X219" s="278"/>
      <c r="Y219" s="278"/>
      <c r="Z219" s="278"/>
    </row>
    <row r="220" ht="15.75" customHeight="1">
      <c r="A220" s="278"/>
      <c r="B220" s="278"/>
      <c r="C220" s="278"/>
      <c r="D220" s="278"/>
      <c r="E220" s="278"/>
      <c r="F220" s="278"/>
      <c r="G220" s="278"/>
      <c r="H220" s="278"/>
      <c r="I220" s="278"/>
      <c r="J220" s="278"/>
      <c r="K220" s="278"/>
      <c r="L220" s="278"/>
      <c r="M220" s="278"/>
      <c r="N220" s="278"/>
      <c r="O220" s="278"/>
      <c r="P220" s="278"/>
      <c r="Q220" s="278"/>
      <c r="R220" s="278"/>
      <c r="S220" s="278"/>
      <c r="T220" s="278"/>
      <c r="U220" s="278"/>
      <c r="V220" s="278"/>
      <c r="W220" s="278"/>
      <c r="X220" s="278"/>
      <c r="Y220" s="278"/>
      <c r="Z220" s="278"/>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9.38"/>
    <col customWidth="1" min="3" max="3" width="22.13"/>
    <col customWidth="1" min="4" max="4" width="9.63"/>
    <col customWidth="1" min="5" max="5" width="20.63"/>
    <col customWidth="1" min="7" max="7" width="5.63"/>
    <col customWidth="1" min="8" max="8" width="29.25"/>
    <col customWidth="1" min="9" max="9" width="15.63"/>
    <col customWidth="1" min="10" max="10" width="10.25"/>
    <col customWidth="1" min="11" max="11" width="26.63"/>
    <col customWidth="1" min="12" max="12" width="18.25"/>
    <col customWidth="1" min="13" max="13" width="10.38"/>
    <col customWidth="1" min="14" max="14" width="27.88"/>
    <col customWidth="1" min="15" max="15" width="21.5"/>
    <col customWidth="1" min="16" max="16" width="9.13"/>
    <col customWidth="1" min="17" max="17" width="17.13"/>
    <col customWidth="1" min="18" max="18" width="12.0"/>
    <col customWidth="1" min="19" max="19" width="21.88"/>
    <col customWidth="1" min="21" max="21" width="7.88"/>
    <col customWidth="1" min="22" max="22" width="16.13"/>
    <col customWidth="1" min="23" max="23" width="7.0"/>
    <col customWidth="1" min="24" max="24" width="12.63"/>
    <col customWidth="1" min="25" max="25" width="6.88"/>
    <col customWidth="1" min="26" max="26" width="15.25"/>
    <col customWidth="1" min="27" max="27" width="7.63"/>
    <col customWidth="1" min="28" max="28" width="5.63"/>
    <col customWidth="1" min="29" max="30" width="9.5"/>
    <col customWidth="1" min="31" max="31" width="8.5"/>
    <col customWidth="1" min="32" max="32" width="21.0"/>
    <col customWidth="1" min="33" max="35" width="14.38"/>
  </cols>
  <sheetData>
    <row r="1">
      <c r="A1" s="279" t="s">
        <v>9809</v>
      </c>
      <c r="B1" s="280" t="s">
        <v>9810</v>
      </c>
      <c r="C1" s="281" t="s">
        <v>9811</v>
      </c>
      <c r="D1" s="282" t="s">
        <v>9810</v>
      </c>
      <c r="E1" s="281" t="s">
        <v>9812</v>
      </c>
      <c r="F1" s="282" t="s">
        <v>9810</v>
      </c>
      <c r="G1" s="281" t="s">
        <v>4</v>
      </c>
      <c r="H1" s="282" t="s">
        <v>9813</v>
      </c>
      <c r="I1" s="283" t="s">
        <v>9814</v>
      </c>
      <c r="J1" s="281" t="s">
        <v>9810</v>
      </c>
      <c r="K1" s="280" t="s">
        <v>9813</v>
      </c>
      <c r="L1" s="281" t="s">
        <v>9815</v>
      </c>
      <c r="M1" s="281" t="s">
        <v>9810</v>
      </c>
      <c r="N1" s="280" t="s">
        <v>9813</v>
      </c>
      <c r="O1" s="283" t="s">
        <v>9816</v>
      </c>
      <c r="P1" s="283" t="s">
        <v>9810</v>
      </c>
      <c r="Q1" s="284" t="s">
        <v>9817</v>
      </c>
      <c r="R1" s="283" t="s">
        <v>9810</v>
      </c>
      <c r="S1" s="285" t="s">
        <v>9813</v>
      </c>
      <c r="T1" s="283" t="s">
        <v>9818</v>
      </c>
      <c r="U1" s="285" t="s">
        <v>9810</v>
      </c>
      <c r="V1" s="281" t="s">
        <v>9809</v>
      </c>
      <c r="W1" s="280" t="s">
        <v>9810</v>
      </c>
      <c r="X1" s="283" t="s">
        <v>6644</v>
      </c>
      <c r="Y1" s="285" t="s">
        <v>9810</v>
      </c>
      <c r="Z1" s="283" t="s">
        <v>9819</v>
      </c>
      <c r="AA1" s="286" t="s">
        <v>9810</v>
      </c>
      <c r="AB1" s="285" t="s">
        <v>4</v>
      </c>
      <c r="AC1" s="283" t="s">
        <v>9820</v>
      </c>
      <c r="AD1" s="283" t="s">
        <v>9821</v>
      </c>
      <c r="AE1" s="283" t="s">
        <v>9822</v>
      </c>
      <c r="AF1" s="283"/>
      <c r="AG1" s="287" t="s">
        <v>1036</v>
      </c>
      <c r="AH1" s="287"/>
      <c r="AI1" s="287"/>
    </row>
    <row r="2">
      <c r="A2" s="288" t="s">
        <v>311</v>
      </c>
      <c r="B2" s="289" t="s">
        <v>1136</v>
      </c>
      <c r="C2" s="290" t="s">
        <v>1017</v>
      </c>
      <c r="D2" s="291" t="s">
        <v>1137</v>
      </c>
      <c r="E2" s="292" t="s">
        <v>77</v>
      </c>
      <c r="F2" s="293" t="s">
        <v>1138</v>
      </c>
      <c r="G2" s="294" t="s">
        <v>19</v>
      </c>
      <c r="H2" s="295" t="s">
        <v>9823</v>
      </c>
      <c r="I2" s="290" t="s">
        <v>9824</v>
      </c>
      <c r="J2" s="290" t="s">
        <v>1387</v>
      </c>
      <c r="K2" s="296" t="s">
        <v>9825</v>
      </c>
      <c r="L2" s="292" t="s">
        <v>9826</v>
      </c>
      <c r="M2" s="294" t="s">
        <v>9827</v>
      </c>
      <c r="N2" s="297" t="s">
        <v>9828</v>
      </c>
      <c r="O2" s="290" t="s">
        <v>9829</v>
      </c>
      <c r="P2" s="294" t="s">
        <v>9830</v>
      </c>
      <c r="Q2" s="298"/>
      <c r="R2" s="294"/>
      <c r="S2" s="297"/>
      <c r="T2" s="292"/>
      <c r="U2" s="299"/>
      <c r="V2" s="290" t="s">
        <v>6098</v>
      </c>
      <c r="W2" s="300" t="s">
        <v>8893</v>
      </c>
      <c r="X2" s="290" t="s">
        <v>8798</v>
      </c>
      <c r="Y2" s="300" t="s">
        <v>1198</v>
      </c>
      <c r="Z2" s="301" t="s">
        <v>8792</v>
      </c>
      <c r="AA2" s="302" t="s">
        <v>1137</v>
      </c>
      <c r="AB2" s="296" t="s">
        <v>11</v>
      </c>
      <c r="AC2" s="290" t="s">
        <v>5967</v>
      </c>
      <c r="AD2" s="290" t="s">
        <v>9831</v>
      </c>
      <c r="AE2" s="290">
        <v>0.13</v>
      </c>
      <c r="AF2" s="21"/>
      <c r="AG2" s="21" t="s">
        <v>9832</v>
      </c>
      <c r="AH2" s="21"/>
      <c r="AI2" s="21"/>
    </row>
    <row r="3">
      <c r="A3" s="288" t="s">
        <v>117</v>
      </c>
      <c r="B3" s="289" t="s">
        <v>1141</v>
      </c>
      <c r="C3" s="292" t="s">
        <v>58</v>
      </c>
      <c r="D3" s="293" t="s">
        <v>1142</v>
      </c>
      <c r="E3" s="292" t="s">
        <v>18</v>
      </c>
      <c r="F3" s="293" t="s">
        <v>1143</v>
      </c>
      <c r="G3" s="294" t="s">
        <v>1210</v>
      </c>
      <c r="H3" s="295" t="s">
        <v>9833</v>
      </c>
      <c r="I3" s="292" t="s">
        <v>9834</v>
      </c>
      <c r="J3" s="294" t="s">
        <v>9835</v>
      </c>
      <c r="K3" s="297" t="s">
        <v>9836</v>
      </c>
      <c r="L3" s="292" t="s">
        <v>9837</v>
      </c>
      <c r="M3" s="294" t="s">
        <v>9838</v>
      </c>
      <c r="N3" s="297" t="s">
        <v>9839</v>
      </c>
      <c r="O3" s="292"/>
      <c r="P3" s="303"/>
      <c r="Q3" s="298"/>
      <c r="R3" s="294"/>
      <c r="S3" s="297"/>
      <c r="T3" s="290" t="s">
        <v>9840</v>
      </c>
      <c r="U3" s="289" t="s">
        <v>6966</v>
      </c>
      <c r="V3" s="290" t="s">
        <v>6085</v>
      </c>
      <c r="W3" s="300" t="s">
        <v>8909</v>
      </c>
      <c r="X3" s="290" t="s">
        <v>8794</v>
      </c>
      <c r="Y3" s="300" t="s">
        <v>8894</v>
      </c>
      <c r="Z3" s="301" t="s">
        <v>8790</v>
      </c>
      <c r="AA3" s="302" t="s">
        <v>8902</v>
      </c>
      <c r="AB3" s="297"/>
      <c r="AC3" s="290" t="s">
        <v>5967</v>
      </c>
      <c r="AD3" s="290" t="s">
        <v>9841</v>
      </c>
      <c r="AE3" s="290">
        <v>0.91</v>
      </c>
      <c r="AF3" s="21"/>
      <c r="AG3" s="21" t="s">
        <v>9842</v>
      </c>
      <c r="AH3" s="21"/>
      <c r="AI3" s="21"/>
    </row>
    <row r="4">
      <c r="A4" s="304" t="s">
        <v>97</v>
      </c>
      <c r="B4" s="299" t="s">
        <v>1157</v>
      </c>
      <c r="C4" s="290" t="s">
        <v>197</v>
      </c>
      <c r="D4" s="291" t="s">
        <v>1158</v>
      </c>
      <c r="E4" s="210" t="s">
        <v>323</v>
      </c>
      <c r="F4" s="305" t="s">
        <v>1159</v>
      </c>
      <c r="G4" s="294" t="s">
        <v>1214</v>
      </c>
      <c r="H4" s="295" t="s">
        <v>9843</v>
      </c>
      <c r="I4" s="292" t="s">
        <v>9844</v>
      </c>
      <c r="J4" s="294" t="s">
        <v>1183</v>
      </c>
      <c r="K4" s="297" t="s">
        <v>9845</v>
      </c>
      <c r="L4" s="292" t="s">
        <v>9846</v>
      </c>
      <c r="M4" s="294" t="s">
        <v>9847</v>
      </c>
      <c r="N4" s="297" t="s">
        <v>9848</v>
      </c>
      <c r="O4" s="290" t="s">
        <v>9849</v>
      </c>
      <c r="P4" s="294" t="s">
        <v>9850</v>
      </c>
      <c r="Q4" s="306" t="s">
        <v>9851</v>
      </c>
      <c r="R4" s="307" t="s">
        <v>9852</v>
      </c>
      <c r="S4" s="297"/>
      <c r="T4" s="292"/>
      <c r="U4" s="289" t="s">
        <v>6955</v>
      </c>
      <c r="V4" s="290" t="s">
        <v>6111</v>
      </c>
      <c r="W4" s="300" t="s">
        <v>8914</v>
      </c>
      <c r="X4" s="290" t="s">
        <v>8784</v>
      </c>
      <c r="Y4" s="300" t="s">
        <v>1286</v>
      </c>
      <c r="Z4" s="290" t="s">
        <v>8778</v>
      </c>
      <c r="AA4" s="302" t="s">
        <v>1209</v>
      </c>
      <c r="AB4" s="297"/>
      <c r="AC4" s="290" t="s">
        <v>5956</v>
      </c>
      <c r="AD4" s="290" t="s">
        <v>9853</v>
      </c>
      <c r="AE4" s="290">
        <v>0.66</v>
      </c>
      <c r="AF4" s="21"/>
      <c r="AG4" s="21" t="s">
        <v>9854</v>
      </c>
      <c r="AH4" s="21"/>
      <c r="AI4" s="21"/>
    </row>
    <row r="5">
      <c r="A5" s="288" t="s">
        <v>172</v>
      </c>
      <c r="B5" s="289" t="s">
        <v>1154</v>
      </c>
      <c r="C5" s="292" t="s">
        <v>64</v>
      </c>
      <c r="D5" s="293" t="s">
        <v>1155</v>
      </c>
      <c r="E5" s="290" t="s">
        <v>213</v>
      </c>
      <c r="F5" s="291" t="s">
        <v>1156</v>
      </c>
      <c r="G5" s="294" t="s">
        <v>1225</v>
      </c>
      <c r="H5" s="295" t="s">
        <v>9855</v>
      </c>
      <c r="I5" s="292" t="s">
        <v>9856</v>
      </c>
      <c r="J5" s="294" t="s">
        <v>1310</v>
      </c>
      <c r="K5" s="297" t="s">
        <v>9857</v>
      </c>
      <c r="L5" s="292" t="s">
        <v>9858</v>
      </c>
      <c r="M5" s="294" t="s">
        <v>9859</v>
      </c>
      <c r="N5" s="297" t="s">
        <v>9860</v>
      </c>
      <c r="O5" s="290" t="s">
        <v>9861</v>
      </c>
      <c r="P5" s="294" t="s">
        <v>9862</v>
      </c>
      <c r="Q5" s="306" t="s">
        <v>9863</v>
      </c>
      <c r="R5" s="307" t="s">
        <v>1144</v>
      </c>
      <c r="S5" s="296" t="s">
        <v>9864</v>
      </c>
      <c r="T5" s="290" t="s">
        <v>9865</v>
      </c>
      <c r="U5" s="289" t="s">
        <v>8896</v>
      </c>
      <c r="V5" s="290" t="s">
        <v>6105</v>
      </c>
      <c r="W5" s="300" t="s">
        <v>8897</v>
      </c>
      <c r="X5" s="290" t="s">
        <v>8802</v>
      </c>
      <c r="Y5" s="300" t="s">
        <v>8906</v>
      </c>
      <c r="Z5" s="308" t="s">
        <v>8785</v>
      </c>
      <c r="AA5" s="302" t="s">
        <v>1396</v>
      </c>
      <c r="AB5" s="297"/>
      <c r="AC5" s="290" t="s">
        <v>5956</v>
      </c>
      <c r="AD5" s="290" t="s">
        <v>9866</v>
      </c>
      <c r="AE5" s="290">
        <v>0.29</v>
      </c>
      <c r="AF5" s="21"/>
      <c r="AG5" s="21" t="s">
        <v>9867</v>
      </c>
      <c r="AH5" s="21"/>
      <c r="AI5" s="21"/>
    </row>
    <row r="6">
      <c r="A6" s="288" t="s">
        <v>168</v>
      </c>
      <c r="B6" s="289" t="s">
        <v>1149</v>
      </c>
      <c r="C6" s="292" t="s">
        <v>86</v>
      </c>
      <c r="D6" s="293" t="s">
        <v>1150</v>
      </c>
      <c r="E6" s="290" t="s">
        <v>123</v>
      </c>
      <c r="F6" s="291" t="s">
        <v>1151</v>
      </c>
      <c r="G6" s="294" t="s">
        <v>348</v>
      </c>
      <c r="H6" s="295" t="s">
        <v>9868</v>
      </c>
      <c r="I6" s="292" t="s">
        <v>9869</v>
      </c>
      <c r="J6" s="294" t="s">
        <v>9870</v>
      </c>
      <c r="K6" s="296" t="s">
        <v>9871</v>
      </c>
      <c r="L6" s="292" t="s">
        <v>9872</v>
      </c>
      <c r="M6" s="294" t="s">
        <v>9873</v>
      </c>
      <c r="N6" s="297" t="s">
        <v>9874</v>
      </c>
      <c r="O6" s="290" t="s">
        <v>9875</v>
      </c>
      <c r="P6" s="307" t="s">
        <v>9876</v>
      </c>
      <c r="Q6" s="306" t="s">
        <v>9877</v>
      </c>
      <c r="R6" s="307" t="s">
        <v>9878</v>
      </c>
      <c r="S6" s="297"/>
      <c r="T6" s="292"/>
      <c r="U6" s="299"/>
      <c r="V6" s="292"/>
      <c r="W6" s="309"/>
      <c r="X6" s="290" t="s">
        <v>8776</v>
      </c>
      <c r="Y6" s="300" t="s">
        <v>1314</v>
      </c>
      <c r="Z6" s="310" t="s">
        <v>9879</v>
      </c>
      <c r="AA6" s="302" t="s">
        <v>9880</v>
      </c>
      <c r="AB6" s="297"/>
      <c r="AC6" s="290" t="s">
        <v>5978</v>
      </c>
      <c r="AD6" s="290" t="s">
        <v>9881</v>
      </c>
      <c r="AE6" s="292"/>
      <c r="AF6" s="21"/>
      <c r="AG6" s="21" t="s">
        <v>9882</v>
      </c>
      <c r="AH6" s="21"/>
      <c r="AI6" s="21"/>
    </row>
    <row r="7">
      <c r="A7" s="304" t="s">
        <v>138</v>
      </c>
      <c r="B7" s="299" t="s">
        <v>1269</v>
      </c>
      <c r="C7" s="290" t="s">
        <v>370</v>
      </c>
      <c r="D7" s="291" t="s">
        <v>1173</v>
      </c>
      <c r="E7" s="292" t="s">
        <v>36</v>
      </c>
      <c r="F7" s="293" t="s">
        <v>1174</v>
      </c>
      <c r="G7" s="294" t="s">
        <v>1296</v>
      </c>
      <c r="H7" s="295" t="s">
        <v>9843</v>
      </c>
      <c r="I7" s="292" t="s">
        <v>9883</v>
      </c>
      <c r="J7" s="294" t="s">
        <v>1390</v>
      </c>
      <c r="K7" s="296" t="s">
        <v>9884</v>
      </c>
      <c r="L7" s="292" t="s">
        <v>9885</v>
      </c>
      <c r="M7" s="294" t="s">
        <v>1278</v>
      </c>
      <c r="N7" s="297" t="s">
        <v>9886</v>
      </c>
      <c r="O7" s="290" t="s">
        <v>9887</v>
      </c>
      <c r="P7" s="307" t="s">
        <v>9888</v>
      </c>
      <c r="Q7" s="306" t="s">
        <v>9889</v>
      </c>
      <c r="R7" s="307" t="s">
        <v>9890</v>
      </c>
      <c r="S7" s="296" t="s">
        <v>9891</v>
      </c>
      <c r="T7" s="292"/>
      <c r="U7" s="299"/>
      <c r="V7" s="292"/>
      <c r="W7" s="309"/>
      <c r="X7" s="292"/>
      <c r="Y7" s="309"/>
      <c r="Z7" s="311" t="s">
        <v>8788</v>
      </c>
      <c r="AA7" s="302" t="s">
        <v>1400</v>
      </c>
      <c r="AB7" s="297"/>
      <c r="AC7" s="290" t="s">
        <v>5958</v>
      </c>
      <c r="AD7" s="290" t="s">
        <v>9853</v>
      </c>
      <c r="AE7" s="290">
        <v>1.75</v>
      </c>
      <c r="AF7" s="21"/>
      <c r="AG7" s="21" t="s">
        <v>9892</v>
      </c>
      <c r="AH7" s="21"/>
      <c r="AI7" s="21"/>
    </row>
    <row r="8">
      <c r="A8" s="288" t="s">
        <v>252</v>
      </c>
      <c r="B8" s="289" t="s">
        <v>1162</v>
      </c>
      <c r="C8" s="290" t="s">
        <v>375</v>
      </c>
      <c r="D8" s="291" t="s">
        <v>1158</v>
      </c>
      <c r="E8" s="292" t="s">
        <v>30</v>
      </c>
      <c r="F8" s="293" t="s">
        <v>1164</v>
      </c>
      <c r="G8" s="294" t="s">
        <v>1304</v>
      </c>
      <c r="H8" s="295" t="s">
        <v>9893</v>
      </c>
      <c r="I8" s="292" t="s">
        <v>9894</v>
      </c>
      <c r="J8" s="294" t="s">
        <v>1199</v>
      </c>
      <c r="K8" s="296" t="s">
        <v>9895</v>
      </c>
      <c r="L8" s="292" t="s">
        <v>479</v>
      </c>
      <c r="M8" s="294" t="s">
        <v>9896</v>
      </c>
      <c r="N8" s="297" t="s">
        <v>9897</v>
      </c>
      <c r="O8" s="290" t="s">
        <v>9898</v>
      </c>
      <c r="P8" s="294" t="s">
        <v>9899</v>
      </c>
      <c r="Q8" s="306" t="s">
        <v>9900</v>
      </c>
      <c r="R8" s="307" t="s">
        <v>9901</v>
      </c>
      <c r="S8" s="312"/>
      <c r="T8" s="292"/>
      <c r="U8" s="299"/>
      <c r="V8" s="292"/>
      <c r="W8" s="309"/>
      <c r="X8" s="292"/>
      <c r="Y8" s="309"/>
      <c r="Z8" s="313" t="s">
        <v>8786</v>
      </c>
      <c r="AA8" s="302" t="s">
        <v>1403</v>
      </c>
      <c r="AB8" s="297"/>
      <c r="AC8" s="290" t="s">
        <v>5958</v>
      </c>
      <c r="AD8" s="290" t="s">
        <v>9841</v>
      </c>
      <c r="AE8" s="292"/>
      <c r="AF8" s="21"/>
      <c r="AG8" s="21" t="s">
        <v>9902</v>
      </c>
      <c r="AH8" s="21"/>
      <c r="AI8" s="21"/>
    </row>
    <row r="9">
      <c r="A9" s="304" t="s">
        <v>43</v>
      </c>
      <c r="B9" s="299" t="s">
        <v>1144</v>
      </c>
      <c r="C9" s="292" t="s">
        <v>17</v>
      </c>
      <c r="D9" s="293" t="s">
        <v>1163</v>
      </c>
      <c r="E9" s="290" t="s">
        <v>1146</v>
      </c>
      <c r="F9" s="291" t="s">
        <v>1147</v>
      </c>
      <c r="G9" s="294" t="s">
        <v>1308</v>
      </c>
      <c r="H9" s="295" t="s">
        <v>9903</v>
      </c>
      <c r="I9" s="303"/>
      <c r="J9" s="303"/>
      <c r="K9" s="297"/>
      <c r="L9" s="292" t="s">
        <v>9904</v>
      </c>
      <c r="M9" s="294" t="s">
        <v>9905</v>
      </c>
      <c r="N9" s="297" t="s">
        <v>9906</v>
      </c>
      <c r="O9" s="290" t="s">
        <v>9907</v>
      </c>
      <c r="P9" s="307" t="s">
        <v>9908</v>
      </c>
      <c r="Q9" s="306" t="s">
        <v>9909</v>
      </c>
      <c r="R9" s="307" t="s">
        <v>1222</v>
      </c>
      <c r="S9" s="296" t="s">
        <v>9910</v>
      </c>
      <c r="T9" s="292"/>
      <c r="U9" s="299"/>
      <c r="V9" s="292"/>
      <c r="W9" s="309"/>
      <c r="X9" s="292"/>
      <c r="Y9" s="309"/>
      <c r="Z9" s="310" t="s">
        <v>8789</v>
      </c>
      <c r="AA9" s="302" t="s">
        <v>8911</v>
      </c>
      <c r="AB9" s="297"/>
      <c r="AC9" s="290" t="s">
        <v>5958</v>
      </c>
      <c r="AD9" s="290" t="s">
        <v>9866</v>
      </c>
      <c r="AE9" s="290">
        <v>0.5</v>
      </c>
      <c r="AF9" s="21"/>
      <c r="AG9" s="21" t="s">
        <v>9911</v>
      </c>
      <c r="AH9" s="21"/>
      <c r="AI9" s="21"/>
    </row>
    <row r="10">
      <c r="A10" s="288" t="s">
        <v>61</v>
      </c>
      <c r="B10" s="289" t="s">
        <v>1194</v>
      </c>
      <c r="C10" s="290" t="s">
        <v>377</v>
      </c>
      <c r="D10" s="291" t="s">
        <v>1145</v>
      </c>
      <c r="E10" s="290" t="s">
        <v>388</v>
      </c>
      <c r="F10" s="291" t="s">
        <v>1178</v>
      </c>
      <c r="G10" s="294" t="s">
        <v>1001</v>
      </c>
      <c r="H10" s="295"/>
      <c r="I10" s="303"/>
      <c r="J10" s="303"/>
      <c r="K10" s="297"/>
      <c r="L10" s="292" t="s">
        <v>9912</v>
      </c>
      <c r="M10" s="294" t="s">
        <v>9913</v>
      </c>
      <c r="N10" s="297" t="s">
        <v>9914</v>
      </c>
      <c r="O10" s="292"/>
      <c r="P10" s="303"/>
      <c r="Q10" s="298"/>
      <c r="R10" s="294"/>
      <c r="S10" s="297"/>
      <c r="T10" s="292"/>
      <c r="U10" s="299"/>
      <c r="V10" s="292"/>
      <c r="W10" s="309"/>
      <c r="X10" s="292"/>
      <c r="Y10" s="309"/>
      <c r="Z10" s="290" t="s">
        <v>8791</v>
      </c>
      <c r="AA10" s="302" t="s">
        <v>1327</v>
      </c>
      <c r="AB10" s="297"/>
      <c r="AC10" s="290" t="s">
        <v>5958</v>
      </c>
      <c r="AD10" s="290" t="s">
        <v>9915</v>
      </c>
      <c r="AE10" s="290">
        <v>1.06</v>
      </c>
      <c r="AF10" s="21"/>
      <c r="AG10" s="21" t="s">
        <v>9916</v>
      </c>
      <c r="AH10" s="21"/>
      <c r="AI10" s="21"/>
    </row>
    <row r="11">
      <c r="A11" s="304" t="s">
        <v>166</v>
      </c>
      <c r="B11" s="299" t="s">
        <v>1273</v>
      </c>
      <c r="C11" s="290" t="s">
        <v>378</v>
      </c>
      <c r="D11" s="291" t="s">
        <v>1368</v>
      </c>
      <c r="E11" s="292" t="s">
        <v>1182</v>
      </c>
      <c r="F11" s="293" t="s">
        <v>1183</v>
      </c>
      <c r="G11" s="294" t="s">
        <v>1329</v>
      </c>
      <c r="H11" s="295"/>
      <c r="I11" s="303"/>
      <c r="J11" s="303"/>
      <c r="K11" s="297"/>
      <c r="L11" s="292" t="s">
        <v>9917</v>
      </c>
      <c r="M11" s="294" t="s">
        <v>1332</v>
      </c>
      <c r="N11" s="297" t="s">
        <v>9918</v>
      </c>
      <c r="O11" s="292"/>
      <c r="P11" s="303"/>
      <c r="Q11" s="306" t="s">
        <v>9919</v>
      </c>
      <c r="R11" s="307" t="s">
        <v>9920</v>
      </c>
      <c r="S11" s="296" t="s">
        <v>9921</v>
      </c>
      <c r="T11" s="292"/>
      <c r="U11" s="299"/>
      <c r="V11" s="292"/>
      <c r="W11" s="309"/>
      <c r="X11" s="292"/>
      <c r="Y11" s="309"/>
      <c r="Z11" s="290" t="s">
        <v>8787</v>
      </c>
      <c r="AA11" s="302" t="s">
        <v>1314</v>
      </c>
      <c r="AB11" s="297"/>
      <c r="AC11" s="290" t="s">
        <v>5963</v>
      </c>
      <c r="AD11" s="290" t="s">
        <v>9922</v>
      </c>
      <c r="AE11" s="290">
        <v>3.99</v>
      </c>
      <c r="AF11" s="21"/>
      <c r="AG11" s="21" t="s">
        <v>9923</v>
      </c>
      <c r="AH11" s="21"/>
      <c r="AI11" s="21"/>
    </row>
    <row r="12">
      <c r="A12" s="288" t="s">
        <v>208</v>
      </c>
      <c r="B12" s="289" t="s">
        <v>1278</v>
      </c>
      <c r="C12" s="210" t="s">
        <v>200</v>
      </c>
      <c r="D12" s="305" t="s">
        <v>1178</v>
      </c>
      <c r="E12" s="210" t="s">
        <v>279</v>
      </c>
      <c r="F12" s="305" t="s">
        <v>1190</v>
      </c>
      <c r="G12" s="294" t="s">
        <v>1315</v>
      </c>
      <c r="H12" s="295"/>
      <c r="I12" s="303"/>
      <c r="J12" s="303"/>
      <c r="K12" s="297"/>
      <c r="L12" s="292" t="s">
        <v>9924</v>
      </c>
      <c r="M12" s="294" t="s">
        <v>9925</v>
      </c>
      <c r="N12" s="297" t="s">
        <v>9926</v>
      </c>
      <c r="O12" s="290" t="s">
        <v>9927</v>
      </c>
      <c r="P12" s="294" t="s">
        <v>9928</v>
      </c>
      <c r="Q12" s="298"/>
      <c r="R12" s="307"/>
      <c r="S12" s="296" t="s">
        <v>9929</v>
      </c>
      <c r="T12" s="292"/>
      <c r="U12" s="299"/>
      <c r="V12" s="292"/>
      <c r="W12" s="309"/>
      <c r="X12" s="292"/>
      <c r="Y12" s="309"/>
      <c r="Z12" s="290" t="s">
        <v>8780</v>
      </c>
      <c r="AA12" s="302" t="s">
        <v>1180</v>
      </c>
      <c r="AB12" s="297"/>
      <c r="AC12" s="290" t="s">
        <v>5974</v>
      </c>
      <c r="AD12" s="290" t="s">
        <v>9866</v>
      </c>
      <c r="AE12" s="290">
        <v>0.94</v>
      </c>
      <c r="AF12" s="21"/>
      <c r="AG12" s="21" t="s">
        <v>9930</v>
      </c>
      <c r="AH12" s="21"/>
      <c r="AI12" s="21"/>
    </row>
    <row r="13">
      <c r="A13" s="304" t="s">
        <v>16</v>
      </c>
      <c r="B13" s="299" t="s">
        <v>1191</v>
      </c>
      <c r="C13" s="290" t="s">
        <v>173</v>
      </c>
      <c r="D13" s="291" t="s">
        <v>1307</v>
      </c>
      <c r="E13" s="290" t="s">
        <v>69</v>
      </c>
      <c r="F13" s="291" t="s">
        <v>1193</v>
      </c>
      <c r="G13" s="294" t="s">
        <v>1306</v>
      </c>
      <c r="H13" s="295"/>
      <c r="I13" s="303"/>
      <c r="J13" s="303"/>
      <c r="K13" s="297"/>
      <c r="L13" s="292" t="s">
        <v>9931</v>
      </c>
      <c r="M13" s="294" t="s">
        <v>9932</v>
      </c>
      <c r="N13" s="297" t="s">
        <v>9933</v>
      </c>
      <c r="O13" s="290" t="s">
        <v>9934</v>
      </c>
      <c r="P13" s="307" t="s">
        <v>9935</v>
      </c>
      <c r="Q13" s="306" t="s">
        <v>9936</v>
      </c>
      <c r="R13" s="307" t="s">
        <v>1298</v>
      </c>
      <c r="S13" s="296"/>
      <c r="T13" s="292"/>
      <c r="U13" s="299"/>
      <c r="V13" s="292"/>
      <c r="W13" s="309"/>
      <c r="X13" s="292"/>
      <c r="Y13" s="309"/>
      <c r="Z13" s="290" t="s">
        <v>8782</v>
      </c>
      <c r="AA13" s="302" t="s">
        <v>8917</v>
      </c>
      <c r="AB13" s="297"/>
      <c r="AC13" s="290" t="s">
        <v>5970</v>
      </c>
      <c r="AD13" s="290" t="s">
        <v>9841</v>
      </c>
      <c r="AE13" s="290">
        <v>1.35</v>
      </c>
      <c r="AF13" s="21"/>
      <c r="AG13" s="21" t="s">
        <v>9937</v>
      </c>
      <c r="AH13" s="21"/>
      <c r="AI13" s="21"/>
    </row>
    <row r="14">
      <c r="A14" s="288" t="s">
        <v>105</v>
      </c>
      <c r="B14" s="299" t="s">
        <v>1197</v>
      </c>
      <c r="C14" s="290" t="s">
        <v>401</v>
      </c>
      <c r="D14" s="291" t="s">
        <v>1168</v>
      </c>
      <c r="E14" s="290" t="s">
        <v>244</v>
      </c>
      <c r="F14" s="291" t="s">
        <v>1199</v>
      </c>
      <c r="G14" s="294" t="s">
        <v>1310</v>
      </c>
      <c r="H14" s="295" t="s">
        <v>9938</v>
      </c>
      <c r="I14" s="303"/>
      <c r="J14" s="303"/>
      <c r="K14" s="297"/>
      <c r="L14" s="292" t="s">
        <v>9939</v>
      </c>
      <c r="M14" s="294" t="s">
        <v>9940</v>
      </c>
      <c r="N14" s="297" t="s">
        <v>9941</v>
      </c>
      <c r="O14" s="290" t="s">
        <v>9816</v>
      </c>
      <c r="P14" s="294" t="s">
        <v>9942</v>
      </c>
      <c r="Q14" s="306" t="s">
        <v>9822</v>
      </c>
      <c r="R14" s="307" t="s">
        <v>1387</v>
      </c>
      <c r="S14" s="296"/>
      <c r="T14" s="292"/>
      <c r="U14" s="299"/>
      <c r="V14" s="292"/>
      <c r="W14" s="309"/>
      <c r="X14" s="292"/>
      <c r="Y14" s="309"/>
      <c r="Z14" s="290" t="s">
        <v>8783</v>
      </c>
      <c r="AA14" s="302" t="s">
        <v>8920</v>
      </c>
      <c r="AB14" s="297"/>
      <c r="AC14" s="290" t="s">
        <v>5970</v>
      </c>
      <c r="AD14" s="290" t="s">
        <v>9866</v>
      </c>
      <c r="AE14" s="290">
        <v>1.35</v>
      </c>
      <c r="AF14" s="21"/>
      <c r="AG14" s="21" t="s">
        <v>9943</v>
      </c>
      <c r="AH14" s="21"/>
      <c r="AI14" s="21"/>
    </row>
    <row r="15">
      <c r="A15" s="288" t="s">
        <v>332</v>
      </c>
      <c r="B15" s="289" t="s">
        <v>1200</v>
      </c>
      <c r="C15" s="290" t="s">
        <v>398</v>
      </c>
      <c r="D15" s="291" t="s">
        <v>1321</v>
      </c>
      <c r="E15" s="290" t="s">
        <v>247</v>
      </c>
      <c r="F15" s="291" t="s">
        <v>1202</v>
      </c>
      <c r="G15" s="294"/>
      <c r="H15" s="295"/>
      <c r="I15" s="303"/>
      <c r="J15" s="303"/>
      <c r="K15" s="297"/>
      <c r="L15" s="292" t="s">
        <v>9944</v>
      </c>
      <c r="M15" s="294" t="s">
        <v>9945</v>
      </c>
      <c r="N15" s="297" t="s">
        <v>9946</v>
      </c>
      <c r="O15" s="292"/>
      <c r="P15" s="303"/>
      <c r="Q15" s="306" t="s">
        <v>9947</v>
      </c>
      <c r="R15" s="307" t="s">
        <v>9908</v>
      </c>
      <c r="S15" s="296" t="s">
        <v>9948</v>
      </c>
      <c r="T15" s="292"/>
      <c r="U15" s="299"/>
      <c r="V15" s="292"/>
      <c r="W15" s="309"/>
      <c r="X15" s="292"/>
      <c r="Y15" s="309"/>
      <c r="Z15" s="311" t="s">
        <v>8793</v>
      </c>
      <c r="AA15" s="302" t="s">
        <v>1249</v>
      </c>
      <c r="AB15" s="297"/>
      <c r="AC15" s="292"/>
      <c r="AD15" s="292"/>
      <c r="AE15" s="292"/>
      <c r="AF15" s="21"/>
      <c r="AG15" s="21" t="s">
        <v>9949</v>
      </c>
      <c r="AH15" s="21"/>
      <c r="AI15" s="21"/>
    </row>
    <row r="16">
      <c r="A16" s="288" t="s">
        <v>246</v>
      </c>
      <c r="B16" s="289" t="s">
        <v>1203</v>
      </c>
      <c r="C16" s="290" t="s">
        <v>9950</v>
      </c>
      <c r="D16" s="291" t="s">
        <v>1316</v>
      </c>
      <c r="E16" s="290" t="s">
        <v>392</v>
      </c>
      <c r="F16" s="291" t="s">
        <v>1205</v>
      </c>
      <c r="G16" s="307" t="s">
        <v>19</v>
      </c>
      <c r="H16" s="314" t="s">
        <v>9951</v>
      </c>
      <c r="I16" s="303"/>
      <c r="J16" s="303"/>
      <c r="K16" s="297"/>
      <c r="L16" s="292" t="s">
        <v>9952</v>
      </c>
      <c r="M16" s="294" t="s">
        <v>1348</v>
      </c>
      <c r="N16" s="297" t="s">
        <v>9953</v>
      </c>
      <c r="O16" s="292"/>
      <c r="P16" s="303"/>
      <c r="Q16" s="306" t="s">
        <v>9954</v>
      </c>
      <c r="R16" s="307" t="s">
        <v>9955</v>
      </c>
      <c r="S16" s="296" t="s">
        <v>9956</v>
      </c>
      <c r="T16" s="292"/>
      <c r="U16" s="299"/>
      <c r="V16" s="292"/>
      <c r="W16" s="309"/>
      <c r="X16" s="292"/>
      <c r="Y16" s="309"/>
      <c r="Z16" s="292"/>
      <c r="AA16" s="315"/>
      <c r="AB16" s="297"/>
      <c r="AC16" s="292"/>
      <c r="AD16" s="292"/>
      <c r="AE16" s="292"/>
      <c r="AF16" s="21"/>
      <c r="AG16" s="21" t="s">
        <v>9957</v>
      </c>
      <c r="AH16" s="21"/>
      <c r="AI16" s="21"/>
    </row>
    <row r="17">
      <c r="A17" s="304" t="s">
        <v>9958</v>
      </c>
      <c r="B17" s="299" t="s">
        <v>1207</v>
      </c>
      <c r="C17" s="290" t="s">
        <v>249</v>
      </c>
      <c r="D17" s="291" t="s">
        <v>1190</v>
      </c>
      <c r="E17" s="292" t="s">
        <v>59</v>
      </c>
      <c r="F17" s="293" t="s">
        <v>1196</v>
      </c>
      <c r="G17" s="307" t="s">
        <v>71</v>
      </c>
      <c r="H17" s="314" t="s">
        <v>9959</v>
      </c>
      <c r="I17" s="303"/>
      <c r="J17" s="303"/>
      <c r="K17" s="297"/>
      <c r="L17" s="303"/>
      <c r="M17" s="303"/>
      <c r="N17" s="297"/>
      <c r="O17" s="292"/>
      <c r="P17" s="303"/>
      <c r="Q17" s="298"/>
      <c r="R17" s="294"/>
      <c r="S17" s="297"/>
      <c r="T17" s="292"/>
      <c r="U17" s="299"/>
      <c r="V17" s="292"/>
      <c r="W17" s="309"/>
      <c r="X17" s="292"/>
      <c r="Y17" s="309"/>
      <c r="Z17" s="292"/>
      <c r="AA17" s="315"/>
      <c r="AB17" s="297"/>
      <c r="AC17" s="292"/>
      <c r="AD17" s="292"/>
      <c r="AE17" s="292"/>
      <c r="AF17" s="21"/>
      <c r="AG17" s="21" t="s">
        <v>9960</v>
      </c>
      <c r="AH17" s="21"/>
      <c r="AI17" s="21"/>
    </row>
    <row r="18">
      <c r="A18" s="304" t="s">
        <v>76</v>
      </c>
      <c r="B18" s="299" t="s">
        <v>1211</v>
      </c>
      <c r="C18" s="292" t="s">
        <v>35</v>
      </c>
      <c r="D18" s="293" t="s">
        <v>1302</v>
      </c>
      <c r="E18" s="290" t="s">
        <v>394</v>
      </c>
      <c r="F18" s="291" t="s">
        <v>1370</v>
      </c>
      <c r="G18" s="294"/>
      <c r="H18" s="295"/>
      <c r="I18" s="303"/>
      <c r="J18" s="303"/>
      <c r="K18" s="297"/>
      <c r="L18" s="303"/>
      <c r="M18" s="303"/>
      <c r="N18" s="297"/>
      <c r="O18" s="292"/>
      <c r="P18" s="303"/>
      <c r="Q18" s="298"/>
      <c r="R18" s="294"/>
      <c r="S18" s="297"/>
      <c r="T18" s="292"/>
      <c r="U18" s="299"/>
      <c r="V18" s="292"/>
      <c r="W18" s="309"/>
      <c r="X18" s="292"/>
      <c r="Y18" s="309"/>
      <c r="Z18" s="292"/>
      <c r="AA18" s="315"/>
      <c r="AB18" s="297"/>
      <c r="AC18" s="292"/>
      <c r="AD18" s="292"/>
      <c r="AE18" s="292"/>
      <c r="AF18" s="21"/>
      <c r="AG18" s="21" t="s">
        <v>9961</v>
      </c>
      <c r="AH18" s="21"/>
      <c r="AI18" s="21"/>
    </row>
    <row r="19">
      <c r="A19" s="304" t="s">
        <v>79</v>
      </c>
      <c r="B19" s="299" t="s">
        <v>1215</v>
      </c>
      <c r="C19" s="210" t="s">
        <v>40</v>
      </c>
      <c r="D19" s="305" t="s">
        <v>1196</v>
      </c>
      <c r="E19" s="290" t="s">
        <v>402</v>
      </c>
      <c r="F19" s="291" t="s">
        <v>1209</v>
      </c>
      <c r="G19" s="307" t="s">
        <v>348</v>
      </c>
      <c r="H19" s="314" t="s">
        <v>9962</v>
      </c>
      <c r="I19" s="303"/>
      <c r="J19" s="303"/>
      <c r="K19" s="297"/>
      <c r="L19" s="303"/>
      <c r="M19" s="303"/>
      <c r="N19" s="297"/>
      <c r="O19" s="292"/>
      <c r="P19" s="303"/>
      <c r="Q19" s="298"/>
      <c r="R19" s="294"/>
      <c r="S19" s="297"/>
      <c r="T19" s="292"/>
      <c r="U19" s="299"/>
      <c r="V19" s="292"/>
      <c r="W19" s="309"/>
      <c r="X19" s="292"/>
      <c r="Y19" s="309"/>
      <c r="Z19" s="292"/>
      <c r="AA19" s="315"/>
      <c r="AB19" s="297"/>
      <c r="AC19" s="292"/>
      <c r="AD19" s="292"/>
      <c r="AE19" s="292"/>
      <c r="AF19" s="21"/>
      <c r="AG19" s="21" t="s">
        <v>9963</v>
      </c>
      <c r="AH19" s="21"/>
      <c r="AI19" s="21"/>
    </row>
    <row r="20">
      <c r="A20" s="288" t="s">
        <v>1221</v>
      </c>
      <c r="B20" s="299" t="s">
        <v>1222</v>
      </c>
      <c r="C20" s="210" t="s">
        <v>233</v>
      </c>
      <c r="D20" s="305" t="s">
        <v>1313</v>
      </c>
      <c r="E20" s="290" t="s">
        <v>237</v>
      </c>
      <c r="F20" s="291" t="s">
        <v>1213</v>
      </c>
      <c r="G20" s="307" t="s">
        <v>1296</v>
      </c>
      <c r="H20" s="314" t="s">
        <v>9964</v>
      </c>
      <c r="I20" s="303"/>
      <c r="J20" s="303"/>
      <c r="K20" s="297"/>
      <c r="L20" s="303"/>
      <c r="M20" s="303"/>
      <c r="N20" s="297"/>
      <c r="O20" s="292"/>
      <c r="P20" s="303"/>
      <c r="Q20" s="298"/>
      <c r="R20" s="294"/>
      <c r="S20" s="297"/>
      <c r="T20" s="292"/>
      <c r="U20" s="299"/>
      <c r="V20" s="292"/>
      <c r="W20" s="309"/>
      <c r="X20" s="292"/>
      <c r="Y20" s="309"/>
      <c r="Z20" s="292"/>
      <c r="AA20" s="315"/>
      <c r="AB20" s="297"/>
      <c r="AC20" s="292"/>
      <c r="AD20" s="292"/>
      <c r="AE20" s="292"/>
      <c r="AF20" s="21"/>
      <c r="AG20" s="21" t="s">
        <v>9965</v>
      </c>
      <c r="AH20" s="21"/>
      <c r="AI20" s="21"/>
    </row>
    <row r="21">
      <c r="A21" s="288" t="s">
        <v>230</v>
      </c>
      <c r="B21" s="289" t="s">
        <v>1226</v>
      </c>
      <c r="C21" s="210" t="s">
        <v>223</v>
      </c>
      <c r="D21" s="305" t="s">
        <v>1311</v>
      </c>
      <c r="E21" s="290" t="s">
        <v>419</v>
      </c>
      <c r="F21" s="291" t="s">
        <v>1217</v>
      </c>
      <c r="G21" s="307" t="s">
        <v>1301</v>
      </c>
      <c r="H21" s="314" t="s">
        <v>9959</v>
      </c>
      <c r="I21" s="303"/>
      <c r="J21" s="303"/>
      <c r="K21" s="297"/>
      <c r="L21" s="303"/>
      <c r="M21" s="303"/>
      <c r="N21" s="297"/>
      <c r="O21" s="292"/>
      <c r="P21" s="303"/>
      <c r="Q21" s="298"/>
      <c r="R21" s="294"/>
      <c r="S21" s="297"/>
      <c r="T21" s="292"/>
      <c r="U21" s="299"/>
      <c r="V21" s="292"/>
      <c r="W21" s="309"/>
      <c r="X21" s="292"/>
      <c r="Y21" s="309"/>
      <c r="Z21" s="292"/>
      <c r="AA21" s="315"/>
      <c r="AB21" s="297"/>
      <c r="AC21" s="292"/>
      <c r="AD21" s="292"/>
      <c r="AE21" s="292"/>
      <c r="AF21" s="21"/>
      <c r="AG21" s="21" t="s">
        <v>9966</v>
      </c>
      <c r="AH21" s="21"/>
      <c r="AI21" s="21"/>
    </row>
    <row r="22">
      <c r="A22" s="304" t="s">
        <v>57</v>
      </c>
      <c r="B22" s="299" t="s">
        <v>1230</v>
      </c>
      <c r="C22" s="292" t="s">
        <v>89</v>
      </c>
      <c r="D22" s="293" t="s">
        <v>1227</v>
      </c>
      <c r="E22" s="290" t="s">
        <v>62</v>
      </c>
      <c r="F22" s="291" t="s">
        <v>1228</v>
      </c>
      <c r="G22" s="294"/>
      <c r="H22" s="295"/>
      <c r="I22" s="303"/>
      <c r="J22" s="303"/>
      <c r="K22" s="297"/>
      <c r="L22" s="303"/>
      <c r="M22" s="303"/>
      <c r="N22" s="297"/>
      <c r="O22" s="292"/>
      <c r="P22" s="303"/>
      <c r="Q22" s="298"/>
      <c r="R22" s="294"/>
      <c r="S22" s="297"/>
      <c r="T22" s="292"/>
      <c r="U22" s="299"/>
      <c r="V22" s="292"/>
      <c r="W22" s="309"/>
      <c r="X22" s="292"/>
      <c r="Y22" s="309"/>
      <c r="Z22" s="292"/>
      <c r="AA22" s="315"/>
      <c r="AB22" s="297"/>
      <c r="AC22" s="292"/>
      <c r="AD22" s="292"/>
      <c r="AE22" s="292"/>
      <c r="AF22" s="21"/>
      <c r="AG22" s="21" t="s">
        <v>9967</v>
      </c>
      <c r="AH22" s="21"/>
      <c r="AI22" s="21"/>
    </row>
    <row r="23">
      <c r="A23" s="288" t="s">
        <v>369</v>
      </c>
      <c r="B23" s="289" t="s">
        <v>1234</v>
      </c>
      <c r="C23" s="292" t="s">
        <v>111</v>
      </c>
      <c r="D23" s="293" t="s">
        <v>1231</v>
      </c>
      <c r="E23" s="292" t="s">
        <v>108</v>
      </c>
      <c r="F23" s="293" t="s">
        <v>1245</v>
      </c>
      <c r="G23" s="316" t="s">
        <v>1315</v>
      </c>
      <c r="H23" s="28" t="s">
        <v>9968</v>
      </c>
      <c r="I23" s="303"/>
      <c r="J23" s="303"/>
      <c r="K23" s="297"/>
      <c r="L23" s="303"/>
      <c r="M23" s="303"/>
      <c r="N23" s="297"/>
      <c r="O23" s="292"/>
      <c r="P23" s="303"/>
      <c r="Q23" s="298"/>
      <c r="R23" s="294"/>
      <c r="S23" s="297"/>
      <c r="T23" s="292"/>
      <c r="U23" s="299"/>
      <c r="V23" s="292"/>
      <c r="W23" s="309"/>
      <c r="X23" s="292"/>
      <c r="Y23" s="309"/>
      <c r="Z23" s="292"/>
      <c r="AA23" s="315"/>
      <c r="AB23" s="297"/>
      <c r="AC23" s="292"/>
      <c r="AD23" s="292"/>
      <c r="AE23" s="292"/>
      <c r="AF23" s="21"/>
      <c r="AG23" s="21" t="s">
        <v>9969</v>
      </c>
      <c r="AH23" s="21"/>
      <c r="AI23" s="21"/>
    </row>
    <row r="24">
      <c r="A24" s="288" t="s">
        <v>236</v>
      </c>
      <c r="B24" s="289" t="s">
        <v>1188</v>
      </c>
      <c r="C24" s="290" t="s">
        <v>371</v>
      </c>
      <c r="D24" s="291" t="s">
        <v>1235</v>
      </c>
      <c r="E24" s="290" t="s">
        <v>112</v>
      </c>
      <c r="F24" s="291" t="s">
        <v>1232</v>
      </c>
      <c r="G24" s="307" t="s">
        <v>1325</v>
      </c>
      <c r="H24" s="314" t="s">
        <v>9970</v>
      </c>
      <c r="I24" s="303"/>
      <c r="J24" s="303"/>
      <c r="K24" s="297"/>
      <c r="L24" s="303"/>
      <c r="M24" s="303"/>
      <c r="N24" s="297"/>
      <c r="O24" s="292"/>
      <c r="P24" s="303"/>
      <c r="Q24" s="298"/>
      <c r="R24" s="294"/>
      <c r="S24" s="297"/>
      <c r="T24" s="292"/>
      <c r="U24" s="299"/>
      <c r="V24" s="292"/>
      <c r="W24" s="309"/>
      <c r="X24" s="292"/>
      <c r="Y24" s="309"/>
      <c r="Z24" s="292"/>
      <c r="AA24" s="315"/>
      <c r="AB24" s="297"/>
      <c r="AC24" s="292"/>
      <c r="AD24" s="292"/>
      <c r="AE24" s="292"/>
      <c r="AF24" s="21"/>
      <c r="AG24" s="21" t="s">
        <v>9971</v>
      </c>
      <c r="AH24" s="21"/>
      <c r="AI24" s="21"/>
    </row>
    <row r="25">
      <c r="A25" s="288" t="s">
        <v>125</v>
      </c>
      <c r="B25" s="289" t="s">
        <v>1238</v>
      </c>
      <c r="C25" s="290" t="s">
        <v>1239</v>
      </c>
      <c r="D25" s="291" t="s">
        <v>1240</v>
      </c>
      <c r="E25" s="290" t="s">
        <v>215</v>
      </c>
      <c r="F25" s="291" t="s">
        <v>1236</v>
      </c>
      <c r="G25" s="294"/>
      <c r="H25" s="295"/>
      <c r="I25" s="303"/>
      <c r="J25" s="303"/>
      <c r="K25" s="297"/>
      <c r="L25" s="303"/>
      <c r="M25" s="303"/>
      <c r="N25" s="297"/>
      <c r="O25" s="292"/>
      <c r="P25" s="303"/>
      <c r="Q25" s="298"/>
      <c r="R25" s="294"/>
      <c r="S25" s="297"/>
      <c r="T25" s="292"/>
      <c r="U25" s="299"/>
      <c r="V25" s="292"/>
      <c r="W25" s="309"/>
      <c r="X25" s="292"/>
      <c r="Y25" s="309"/>
      <c r="Z25" s="292"/>
      <c r="AA25" s="315"/>
      <c r="AB25" s="297"/>
      <c r="AC25" s="292"/>
      <c r="AD25" s="292"/>
      <c r="AE25" s="292"/>
      <c r="AF25" s="21"/>
      <c r="AG25" s="21" t="s">
        <v>9972</v>
      </c>
      <c r="AH25" s="21"/>
      <c r="AI25" s="21"/>
    </row>
    <row r="26">
      <c r="A26" s="288" t="s">
        <v>222</v>
      </c>
      <c r="B26" s="289" t="s">
        <v>1243</v>
      </c>
      <c r="C26" s="290" t="s">
        <v>396</v>
      </c>
      <c r="D26" s="291" t="s">
        <v>1240</v>
      </c>
      <c r="E26" s="210" t="s">
        <v>250</v>
      </c>
      <c r="F26" s="305" t="s">
        <v>1241</v>
      </c>
      <c r="G26" s="294"/>
      <c r="H26" s="295"/>
      <c r="I26" s="303"/>
      <c r="J26" s="303"/>
      <c r="K26" s="297"/>
      <c r="L26" s="303"/>
      <c r="M26" s="303"/>
      <c r="N26" s="297"/>
      <c r="O26" s="292"/>
      <c r="P26" s="303"/>
      <c r="Q26" s="298"/>
      <c r="R26" s="294"/>
      <c r="S26" s="297"/>
      <c r="T26" s="292"/>
      <c r="U26" s="299"/>
      <c r="V26" s="292"/>
      <c r="W26" s="309"/>
      <c r="X26" s="292"/>
      <c r="Y26" s="309"/>
      <c r="Z26" s="292"/>
      <c r="AA26" s="315"/>
      <c r="AB26" s="297"/>
      <c r="AC26" s="292"/>
      <c r="AD26" s="292"/>
      <c r="AE26" s="292"/>
      <c r="AF26" s="21"/>
      <c r="AG26" s="21" t="s">
        <v>9973</v>
      </c>
      <c r="AH26" s="21"/>
      <c r="AI26" s="21"/>
    </row>
    <row r="27">
      <c r="A27" s="288" t="s">
        <v>1247</v>
      </c>
      <c r="B27" s="289" t="s">
        <v>1248</v>
      </c>
      <c r="C27" s="290" t="s">
        <v>383</v>
      </c>
      <c r="D27" s="291" t="s">
        <v>1244</v>
      </c>
      <c r="E27" s="290" t="s">
        <v>121</v>
      </c>
      <c r="F27" s="291" t="s">
        <v>1220</v>
      </c>
      <c r="G27" s="294"/>
      <c r="H27" s="295"/>
      <c r="I27" s="303"/>
      <c r="J27" s="303"/>
      <c r="K27" s="297"/>
      <c r="L27" s="303"/>
      <c r="M27" s="303"/>
      <c r="N27" s="297"/>
      <c r="O27" s="292"/>
      <c r="P27" s="303"/>
      <c r="Q27" s="298"/>
      <c r="R27" s="294"/>
      <c r="S27" s="297"/>
      <c r="T27" s="292"/>
      <c r="U27" s="299"/>
      <c r="V27" s="292"/>
      <c r="W27" s="309"/>
      <c r="X27" s="292"/>
      <c r="Y27" s="309"/>
      <c r="Z27" s="292"/>
      <c r="AA27" s="315"/>
      <c r="AB27" s="297"/>
      <c r="AC27" s="292"/>
      <c r="AD27" s="292"/>
      <c r="AE27" s="292"/>
      <c r="AF27" s="21"/>
      <c r="AG27" s="21" t="s">
        <v>9974</v>
      </c>
      <c r="AH27" s="21"/>
      <c r="AI27" s="21"/>
    </row>
    <row r="28">
      <c r="A28" s="304" t="s">
        <v>49</v>
      </c>
      <c r="B28" s="299" t="s">
        <v>1255</v>
      </c>
      <c r="C28" s="292" t="s">
        <v>51</v>
      </c>
      <c r="D28" s="293" t="s">
        <v>1249</v>
      </c>
      <c r="E28" s="292" t="s">
        <v>6739</v>
      </c>
      <c r="F28" s="293" t="s">
        <v>9975</v>
      </c>
      <c r="G28" s="294"/>
      <c r="H28" s="295"/>
      <c r="I28" s="303"/>
      <c r="J28" s="303"/>
      <c r="K28" s="297"/>
      <c r="L28" s="303"/>
      <c r="M28" s="303"/>
      <c r="N28" s="297"/>
      <c r="O28" s="292"/>
      <c r="P28" s="303"/>
      <c r="Q28" s="298"/>
      <c r="R28" s="294"/>
      <c r="S28" s="297"/>
      <c r="T28" s="292"/>
      <c r="U28" s="299"/>
      <c r="V28" s="292"/>
      <c r="W28" s="309"/>
      <c r="X28" s="292"/>
      <c r="Y28" s="309"/>
      <c r="Z28" s="292"/>
      <c r="AA28" s="315"/>
      <c r="AB28" s="297"/>
      <c r="AC28" s="292"/>
      <c r="AD28" s="292"/>
      <c r="AE28" s="292"/>
      <c r="AF28" s="21"/>
      <c r="AG28" s="21" t="s">
        <v>9976</v>
      </c>
      <c r="AH28" s="21"/>
      <c r="AI28" s="21"/>
    </row>
    <row r="29">
      <c r="A29" s="304" t="s">
        <v>101</v>
      </c>
      <c r="B29" s="299" t="s">
        <v>1252</v>
      </c>
      <c r="C29" s="292" t="s">
        <v>26</v>
      </c>
      <c r="D29" s="293" t="s">
        <v>1253</v>
      </c>
      <c r="E29" s="290" t="s">
        <v>67</v>
      </c>
      <c r="F29" s="291" t="s">
        <v>1250</v>
      </c>
      <c r="G29" s="294"/>
      <c r="H29" s="295"/>
      <c r="I29" s="303"/>
      <c r="J29" s="303"/>
      <c r="K29" s="297"/>
      <c r="L29" s="303"/>
      <c r="M29" s="303"/>
      <c r="N29" s="297"/>
      <c r="O29" s="292"/>
      <c r="P29" s="303"/>
      <c r="Q29" s="298"/>
      <c r="R29" s="294"/>
      <c r="S29" s="297"/>
      <c r="T29" s="292"/>
      <c r="U29" s="299"/>
      <c r="V29" s="292"/>
      <c r="W29" s="309"/>
      <c r="X29" s="292"/>
      <c r="Y29" s="309"/>
      <c r="Z29" s="292"/>
      <c r="AA29" s="315"/>
      <c r="AB29" s="297"/>
      <c r="AC29" s="292"/>
      <c r="AD29" s="292"/>
      <c r="AE29" s="292"/>
      <c r="AF29" s="21"/>
      <c r="AG29" s="21" t="s">
        <v>9977</v>
      </c>
      <c r="AH29" s="21"/>
      <c r="AI29" s="21"/>
    </row>
    <row r="30">
      <c r="A30" s="304"/>
      <c r="B30" s="299"/>
      <c r="C30" s="292" t="s">
        <v>1260</v>
      </c>
      <c r="D30" s="293" t="s">
        <v>1261</v>
      </c>
      <c r="E30" s="292" t="s">
        <v>103</v>
      </c>
      <c r="F30" s="293" t="s">
        <v>1254</v>
      </c>
      <c r="G30" s="294"/>
      <c r="H30" s="295"/>
      <c r="I30" s="303"/>
      <c r="J30" s="303"/>
      <c r="K30" s="297"/>
      <c r="L30" s="303"/>
      <c r="M30" s="303"/>
      <c r="N30" s="297"/>
      <c r="O30" s="292"/>
      <c r="P30" s="303"/>
      <c r="Q30" s="298"/>
      <c r="R30" s="294"/>
      <c r="S30" s="297"/>
      <c r="T30" s="292"/>
      <c r="U30" s="299"/>
      <c r="V30" s="292"/>
      <c r="W30" s="309"/>
      <c r="X30" s="292"/>
      <c r="Y30" s="309"/>
      <c r="Z30" s="292"/>
      <c r="AA30" s="315"/>
      <c r="AB30" s="297"/>
      <c r="AC30" s="292"/>
      <c r="AD30" s="292"/>
      <c r="AE30" s="292"/>
      <c r="AF30" s="21"/>
      <c r="AG30" s="21" t="s">
        <v>9978</v>
      </c>
      <c r="AH30" s="21"/>
      <c r="AI30" s="21"/>
    </row>
    <row r="31">
      <c r="A31" s="304"/>
      <c r="B31" s="299"/>
      <c r="C31" s="292" t="s">
        <v>32</v>
      </c>
      <c r="D31" s="293" t="s">
        <v>1256</v>
      </c>
      <c r="E31" s="290" t="s">
        <v>228</v>
      </c>
      <c r="F31" s="291" t="s">
        <v>1267</v>
      </c>
      <c r="G31" s="294"/>
      <c r="H31" s="295"/>
      <c r="I31" s="303"/>
      <c r="J31" s="303"/>
      <c r="K31" s="297"/>
      <c r="L31" s="303"/>
      <c r="M31" s="303"/>
      <c r="N31" s="297"/>
      <c r="O31" s="292"/>
      <c r="P31" s="303"/>
      <c r="Q31" s="298"/>
      <c r="R31" s="294"/>
      <c r="S31" s="297"/>
      <c r="T31" s="292"/>
      <c r="U31" s="299"/>
      <c r="V31" s="292"/>
      <c r="W31" s="309"/>
      <c r="X31" s="292"/>
      <c r="Y31" s="309"/>
      <c r="Z31" s="292"/>
      <c r="AA31" s="315"/>
      <c r="AB31" s="297"/>
      <c r="AC31" s="292"/>
      <c r="AD31" s="292"/>
      <c r="AE31" s="292"/>
      <c r="AF31" s="21"/>
      <c r="AG31" s="21" t="s">
        <v>9979</v>
      </c>
      <c r="AH31" s="21"/>
      <c r="AI31" s="21"/>
    </row>
    <row r="32">
      <c r="A32" s="304"/>
      <c r="B32" s="299"/>
      <c r="C32" s="290" t="s">
        <v>278</v>
      </c>
      <c r="D32" s="291" t="s">
        <v>1266</v>
      </c>
      <c r="E32" s="290" t="s">
        <v>1262</v>
      </c>
      <c r="F32" s="291" t="s">
        <v>1263</v>
      </c>
      <c r="G32" s="294"/>
      <c r="H32" s="295"/>
      <c r="I32" s="303"/>
      <c r="J32" s="303"/>
      <c r="K32" s="297"/>
      <c r="L32" s="303"/>
      <c r="M32" s="303"/>
      <c r="N32" s="297"/>
      <c r="O32" s="292"/>
      <c r="P32" s="303"/>
      <c r="Q32" s="298"/>
      <c r="R32" s="294"/>
      <c r="S32" s="297"/>
      <c r="T32" s="292"/>
      <c r="U32" s="299"/>
      <c r="V32" s="292"/>
      <c r="W32" s="309"/>
      <c r="X32" s="292"/>
      <c r="Y32" s="309"/>
      <c r="Z32" s="292"/>
      <c r="AA32" s="315"/>
      <c r="AB32" s="297"/>
      <c r="AC32" s="292"/>
      <c r="AD32" s="292"/>
      <c r="AE32" s="292"/>
      <c r="AF32" s="21"/>
      <c r="AG32" s="21" t="s">
        <v>9980</v>
      </c>
      <c r="AH32" s="21"/>
      <c r="AI32" s="21"/>
    </row>
    <row r="33">
      <c r="A33" s="304"/>
      <c r="B33" s="299"/>
      <c r="C33" s="292" t="s">
        <v>23</v>
      </c>
      <c r="D33" s="293" t="s">
        <v>1270</v>
      </c>
      <c r="E33" s="290" t="s">
        <v>169</v>
      </c>
      <c r="F33" s="291" t="s">
        <v>1271</v>
      </c>
      <c r="G33" s="294"/>
      <c r="H33" s="295"/>
      <c r="I33" s="303"/>
      <c r="J33" s="303"/>
      <c r="K33" s="297"/>
      <c r="L33" s="303"/>
      <c r="M33" s="303"/>
      <c r="N33" s="297"/>
      <c r="O33" s="292"/>
      <c r="P33" s="303"/>
      <c r="Q33" s="298"/>
      <c r="R33" s="294"/>
      <c r="S33" s="297"/>
      <c r="T33" s="292"/>
      <c r="U33" s="299"/>
      <c r="V33" s="292"/>
      <c r="W33" s="309"/>
      <c r="X33" s="292"/>
      <c r="Y33" s="309"/>
      <c r="Z33" s="292"/>
      <c r="AA33" s="315"/>
      <c r="AB33" s="297"/>
      <c r="AC33" s="292"/>
      <c r="AD33" s="292"/>
      <c r="AE33" s="292"/>
      <c r="AF33" s="21"/>
      <c r="AG33" s="21" t="s">
        <v>9981</v>
      </c>
      <c r="AH33" s="21"/>
      <c r="AI33" s="21"/>
    </row>
    <row r="34">
      <c r="A34" s="304"/>
      <c r="B34" s="299"/>
      <c r="C34" s="292" t="s">
        <v>73</v>
      </c>
      <c r="D34" s="293" t="s">
        <v>1274</v>
      </c>
      <c r="E34" s="290" t="s">
        <v>1275</v>
      </c>
      <c r="F34" s="291" t="s">
        <v>1276</v>
      </c>
      <c r="G34" s="294"/>
      <c r="H34" s="295"/>
      <c r="I34" s="303"/>
      <c r="J34" s="303"/>
      <c r="K34" s="297"/>
      <c r="L34" s="303"/>
      <c r="M34" s="303"/>
      <c r="N34" s="297"/>
      <c r="O34" s="292"/>
      <c r="P34" s="303"/>
      <c r="Q34" s="298"/>
      <c r="R34" s="294"/>
      <c r="S34" s="297"/>
      <c r="T34" s="292"/>
      <c r="U34" s="299"/>
      <c r="V34" s="292"/>
      <c r="W34" s="309"/>
      <c r="X34" s="292"/>
      <c r="Y34" s="309"/>
      <c r="Z34" s="292"/>
      <c r="AA34" s="315"/>
      <c r="AB34" s="297"/>
      <c r="AC34" s="292"/>
      <c r="AD34" s="292"/>
      <c r="AE34" s="292"/>
      <c r="AF34" s="21"/>
      <c r="AG34" s="21" t="s">
        <v>9982</v>
      </c>
      <c r="AH34" s="21"/>
      <c r="AI34" s="21"/>
    </row>
    <row r="35">
      <c r="A35" s="304"/>
      <c r="B35" s="299"/>
      <c r="C35" s="292" t="s">
        <v>102</v>
      </c>
      <c r="D35" s="293" t="s">
        <v>1283</v>
      </c>
      <c r="E35" s="210" t="s">
        <v>384</v>
      </c>
      <c r="F35" s="305" t="s">
        <v>1281</v>
      </c>
      <c r="G35" s="294"/>
      <c r="H35" s="295"/>
      <c r="I35" s="303"/>
      <c r="J35" s="303"/>
      <c r="K35" s="297"/>
      <c r="L35" s="303"/>
      <c r="M35" s="303"/>
      <c r="N35" s="297"/>
      <c r="O35" s="292"/>
      <c r="P35" s="303"/>
      <c r="Q35" s="298"/>
      <c r="R35" s="294"/>
      <c r="S35" s="297"/>
      <c r="T35" s="292"/>
      <c r="U35" s="299"/>
      <c r="V35" s="292"/>
      <c r="W35" s="309"/>
      <c r="X35" s="292"/>
      <c r="Y35" s="309"/>
      <c r="Z35" s="292"/>
      <c r="AA35" s="315"/>
      <c r="AB35" s="297"/>
      <c r="AC35" s="292"/>
      <c r="AD35" s="292"/>
      <c r="AE35" s="292"/>
      <c r="AF35" s="21"/>
      <c r="AG35" s="21" t="s">
        <v>9983</v>
      </c>
      <c r="AH35" s="21"/>
      <c r="AI35" s="21"/>
    </row>
    <row r="36">
      <c r="A36" s="304"/>
      <c r="B36" s="299"/>
      <c r="C36" s="210" t="s">
        <v>1279</v>
      </c>
      <c r="D36" s="305" t="s">
        <v>1280</v>
      </c>
      <c r="E36" s="290" t="s">
        <v>99</v>
      </c>
      <c r="F36" s="293" t="s">
        <v>1287</v>
      </c>
      <c r="G36" s="294"/>
      <c r="H36" s="295"/>
      <c r="I36" s="303"/>
      <c r="J36" s="303"/>
      <c r="K36" s="297"/>
      <c r="L36" s="303"/>
      <c r="M36" s="303"/>
      <c r="N36" s="297"/>
      <c r="O36" s="292"/>
      <c r="P36" s="303"/>
      <c r="Q36" s="298"/>
      <c r="R36" s="294"/>
      <c r="S36" s="297"/>
      <c r="T36" s="292"/>
      <c r="U36" s="299"/>
      <c r="V36" s="292"/>
      <c r="W36" s="309"/>
      <c r="X36" s="292"/>
      <c r="Y36" s="309"/>
      <c r="Z36" s="292"/>
      <c r="AA36" s="315"/>
      <c r="AB36" s="297"/>
      <c r="AC36" s="292"/>
      <c r="AD36" s="292"/>
      <c r="AE36" s="292"/>
      <c r="AF36" s="21"/>
      <c r="AG36" s="21" t="s">
        <v>9984</v>
      </c>
      <c r="AH36" s="21"/>
      <c r="AI36" s="21"/>
    </row>
    <row r="37">
      <c r="A37" s="304"/>
      <c r="B37" s="299"/>
      <c r="C37" s="210" t="s">
        <v>219</v>
      </c>
      <c r="D37" s="305" t="s">
        <v>1286</v>
      </c>
      <c r="E37" s="290" t="s">
        <v>209</v>
      </c>
      <c r="F37" s="291" t="s">
        <v>1284</v>
      </c>
      <c r="G37" s="294"/>
      <c r="H37" s="295"/>
      <c r="I37" s="303"/>
      <c r="J37" s="303"/>
      <c r="K37" s="297"/>
      <c r="L37" s="303"/>
      <c r="M37" s="303"/>
      <c r="N37" s="297"/>
      <c r="O37" s="292"/>
      <c r="P37" s="303"/>
      <c r="Q37" s="298"/>
      <c r="R37" s="294"/>
      <c r="S37" s="297"/>
      <c r="T37" s="292"/>
      <c r="U37" s="299"/>
      <c r="V37" s="292"/>
      <c r="W37" s="309"/>
      <c r="X37" s="292"/>
      <c r="Y37" s="309"/>
      <c r="Z37" s="292"/>
      <c r="AA37" s="315"/>
      <c r="AB37" s="297"/>
      <c r="AC37" s="292"/>
      <c r="AD37" s="292"/>
      <c r="AE37" s="292"/>
      <c r="AF37" s="21"/>
      <c r="AG37" s="21" t="s">
        <v>9985</v>
      </c>
      <c r="AH37" s="21"/>
      <c r="AI37" s="21"/>
    </row>
    <row r="38">
      <c r="A38" s="304"/>
      <c r="B38" s="299"/>
      <c r="C38" s="210" t="s">
        <v>159</v>
      </c>
      <c r="D38" s="305" t="s">
        <v>1288</v>
      </c>
      <c r="E38" s="210" t="s">
        <v>384</v>
      </c>
      <c r="F38" s="305" t="s">
        <v>1369</v>
      </c>
      <c r="G38" s="294"/>
      <c r="H38" s="295"/>
      <c r="I38" s="303"/>
      <c r="J38" s="303"/>
      <c r="K38" s="297"/>
      <c r="L38" s="303"/>
      <c r="M38" s="303"/>
      <c r="N38" s="297"/>
      <c r="O38" s="292"/>
      <c r="P38" s="303"/>
      <c r="Q38" s="298"/>
      <c r="R38" s="294"/>
      <c r="S38" s="297"/>
      <c r="T38" s="292"/>
      <c r="U38" s="299"/>
      <c r="V38" s="292"/>
      <c r="W38" s="309"/>
      <c r="X38" s="292"/>
      <c r="Y38" s="309"/>
      <c r="Z38" s="292"/>
      <c r="AA38" s="315"/>
      <c r="AB38" s="297"/>
      <c r="AC38" s="292"/>
      <c r="AD38" s="292"/>
      <c r="AE38" s="292"/>
      <c r="AF38" s="21"/>
      <c r="AG38" s="21" t="s">
        <v>9986</v>
      </c>
      <c r="AH38" s="21"/>
      <c r="AI38" s="21"/>
    </row>
    <row r="39">
      <c r="A39" s="304"/>
      <c r="B39" s="299"/>
      <c r="C39" s="292" t="s">
        <v>1293</v>
      </c>
      <c r="D39" s="293" t="s">
        <v>1294</v>
      </c>
      <c r="E39" s="210" t="s">
        <v>253</v>
      </c>
      <c r="F39" s="305" t="s">
        <v>1291</v>
      </c>
      <c r="G39" s="294"/>
      <c r="H39" s="295"/>
      <c r="I39" s="303"/>
      <c r="J39" s="303"/>
      <c r="K39" s="297"/>
      <c r="L39" s="303"/>
      <c r="M39" s="303"/>
      <c r="N39" s="297"/>
      <c r="O39" s="292"/>
      <c r="P39" s="303"/>
      <c r="Q39" s="298"/>
      <c r="R39" s="294"/>
      <c r="S39" s="297"/>
      <c r="T39" s="292"/>
      <c r="U39" s="299"/>
      <c r="V39" s="292"/>
      <c r="W39" s="309"/>
      <c r="X39" s="292"/>
      <c r="Y39" s="309"/>
      <c r="Z39" s="292"/>
      <c r="AA39" s="315"/>
      <c r="AB39" s="297"/>
      <c r="AC39" s="292"/>
      <c r="AD39" s="292"/>
      <c r="AE39" s="292"/>
      <c r="AF39" s="21"/>
      <c r="AG39" s="21" t="s">
        <v>9987</v>
      </c>
      <c r="AH39" s="21"/>
      <c r="AI39" s="21"/>
    </row>
    <row r="40">
      <c r="A40" s="304"/>
      <c r="B40" s="299"/>
      <c r="C40" s="292" t="s">
        <v>840</v>
      </c>
      <c r="D40" s="293" t="s">
        <v>1290</v>
      </c>
      <c r="E40" s="210" t="s">
        <v>288</v>
      </c>
      <c r="F40" s="305" t="s">
        <v>1295</v>
      </c>
      <c r="G40" s="294"/>
      <c r="H40" s="295"/>
      <c r="I40" s="303"/>
      <c r="J40" s="303"/>
      <c r="K40" s="297"/>
      <c r="L40" s="303"/>
      <c r="M40" s="303"/>
      <c r="N40" s="297"/>
      <c r="O40" s="292"/>
      <c r="P40" s="303"/>
      <c r="Q40" s="298"/>
      <c r="R40" s="294"/>
      <c r="S40" s="297"/>
      <c r="T40" s="292"/>
      <c r="U40" s="299"/>
      <c r="V40" s="292"/>
      <c r="W40" s="309"/>
      <c r="X40" s="292"/>
      <c r="Y40" s="309"/>
      <c r="Z40" s="292"/>
      <c r="AA40" s="315"/>
      <c r="AB40" s="297"/>
      <c r="AC40" s="292"/>
      <c r="AD40" s="292"/>
      <c r="AE40" s="292"/>
      <c r="AF40" s="21"/>
      <c r="AG40" s="21" t="s">
        <v>9988</v>
      </c>
      <c r="AH40" s="21"/>
      <c r="AI40" s="21"/>
    </row>
    <row r="41">
      <c r="A41" s="304"/>
      <c r="B41" s="299"/>
      <c r="C41" s="290" t="s">
        <v>373</v>
      </c>
      <c r="D41" s="291" t="s">
        <v>1367</v>
      </c>
      <c r="E41" s="290" t="s">
        <v>139</v>
      </c>
      <c r="F41" s="291" t="s">
        <v>1305</v>
      </c>
      <c r="G41" s="294"/>
      <c r="H41" s="295"/>
      <c r="I41" s="303"/>
      <c r="J41" s="303"/>
      <c r="K41" s="297"/>
      <c r="L41" s="303"/>
      <c r="M41" s="303"/>
      <c r="N41" s="297"/>
      <c r="O41" s="292"/>
      <c r="P41" s="303"/>
      <c r="Q41" s="298"/>
      <c r="R41" s="294"/>
      <c r="S41" s="297"/>
      <c r="T41" s="292"/>
      <c r="U41" s="299"/>
      <c r="V41" s="292"/>
      <c r="W41" s="309"/>
      <c r="X41" s="292"/>
      <c r="Y41" s="309"/>
      <c r="Z41" s="292"/>
      <c r="AA41" s="315"/>
      <c r="AB41" s="297"/>
      <c r="AC41" s="292"/>
      <c r="AD41" s="292"/>
      <c r="AE41" s="292"/>
      <c r="AF41" s="21"/>
      <c r="AG41" s="21" t="s">
        <v>9989</v>
      </c>
      <c r="AH41" s="21"/>
      <c r="AI41" s="21"/>
    </row>
    <row r="42">
      <c r="A42" s="304"/>
      <c r="B42" s="299"/>
      <c r="C42" s="292"/>
      <c r="D42" s="293"/>
      <c r="E42" s="210" t="s">
        <v>259</v>
      </c>
      <c r="F42" s="305" t="s">
        <v>1303</v>
      </c>
      <c r="G42" s="294"/>
      <c r="H42" s="295"/>
      <c r="I42" s="303"/>
      <c r="J42" s="303"/>
      <c r="K42" s="297"/>
      <c r="L42" s="303"/>
      <c r="M42" s="303"/>
      <c r="N42" s="297"/>
      <c r="O42" s="292"/>
      <c r="P42" s="303"/>
      <c r="Q42" s="298"/>
      <c r="R42" s="294"/>
      <c r="S42" s="297"/>
      <c r="T42" s="292"/>
      <c r="U42" s="299"/>
      <c r="V42" s="292"/>
      <c r="W42" s="309"/>
      <c r="X42" s="292"/>
      <c r="Y42" s="309"/>
      <c r="Z42" s="292"/>
      <c r="AA42" s="315"/>
      <c r="AB42" s="297"/>
      <c r="AC42" s="292"/>
      <c r="AD42" s="292"/>
      <c r="AE42" s="292"/>
      <c r="AF42" s="21"/>
      <c r="AG42" s="21" t="s">
        <v>9990</v>
      </c>
      <c r="AH42" s="21"/>
      <c r="AI42" s="21"/>
    </row>
    <row r="43">
      <c r="A43" s="304"/>
      <c r="B43" s="299"/>
      <c r="C43" s="292"/>
      <c r="D43" s="293"/>
      <c r="E43" s="210" t="s">
        <v>186</v>
      </c>
      <c r="F43" s="305" t="s">
        <v>1198</v>
      </c>
      <c r="G43" s="294"/>
      <c r="H43" s="295"/>
      <c r="I43" s="303"/>
      <c r="J43" s="303"/>
      <c r="K43" s="297"/>
      <c r="L43" s="303"/>
      <c r="M43" s="303"/>
      <c r="N43" s="297"/>
      <c r="O43" s="292"/>
      <c r="P43" s="303"/>
      <c r="Q43" s="298"/>
      <c r="R43" s="294"/>
      <c r="S43" s="297"/>
      <c r="T43" s="292"/>
      <c r="U43" s="299"/>
      <c r="V43" s="292"/>
      <c r="W43" s="309"/>
      <c r="X43" s="292"/>
      <c r="Y43" s="309"/>
      <c r="Z43" s="292"/>
      <c r="AA43" s="315"/>
      <c r="AB43" s="297"/>
      <c r="AC43" s="292"/>
      <c r="AD43" s="292"/>
      <c r="AE43" s="292"/>
      <c r="AF43" s="21"/>
      <c r="AG43" s="21" t="s">
        <v>9991</v>
      </c>
      <c r="AH43" s="21"/>
      <c r="AI43" s="21"/>
    </row>
    <row r="44">
      <c r="A44" s="304"/>
      <c r="B44" s="299"/>
      <c r="C44" s="292"/>
      <c r="D44" s="293"/>
      <c r="E44" s="210" t="s">
        <v>312</v>
      </c>
      <c r="F44" s="305" t="s">
        <v>1309</v>
      </c>
      <c r="G44" s="294"/>
      <c r="H44" s="295"/>
      <c r="I44" s="303"/>
      <c r="J44" s="303"/>
      <c r="K44" s="297"/>
      <c r="L44" s="303"/>
      <c r="M44" s="303"/>
      <c r="N44" s="297"/>
      <c r="O44" s="292"/>
      <c r="P44" s="303"/>
      <c r="Q44" s="298"/>
      <c r="R44" s="294"/>
      <c r="S44" s="297"/>
      <c r="T44" s="292"/>
      <c r="U44" s="299"/>
      <c r="V44" s="292"/>
      <c r="W44" s="309"/>
      <c r="X44" s="292"/>
      <c r="Y44" s="309"/>
      <c r="Z44" s="292"/>
      <c r="AA44" s="315"/>
      <c r="AB44" s="297"/>
      <c r="AC44" s="292"/>
      <c r="AD44" s="292"/>
      <c r="AE44" s="292"/>
      <c r="AF44" s="21"/>
      <c r="AG44" s="21" t="s">
        <v>9992</v>
      </c>
      <c r="AH44" s="21"/>
      <c r="AI44" s="21"/>
    </row>
    <row r="45">
      <c r="A45" s="304"/>
      <c r="B45" s="299"/>
      <c r="C45" s="292"/>
      <c r="D45" s="293"/>
      <c r="E45" s="210" t="s">
        <v>321</v>
      </c>
      <c r="F45" s="305" t="s">
        <v>1312</v>
      </c>
      <c r="G45" s="294"/>
      <c r="H45" s="295"/>
      <c r="I45" s="303"/>
      <c r="J45" s="303"/>
      <c r="K45" s="297"/>
      <c r="L45" s="303"/>
      <c r="M45" s="303"/>
      <c r="N45" s="297"/>
      <c r="O45" s="292"/>
      <c r="P45" s="303"/>
      <c r="Q45" s="298"/>
      <c r="R45" s="294"/>
      <c r="S45" s="297"/>
      <c r="T45" s="292"/>
      <c r="U45" s="299"/>
      <c r="V45" s="292"/>
      <c r="W45" s="309"/>
      <c r="X45" s="292"/>
      <c r="Y45" s="309"/>
      <c r="Z45" s="292"/>
      <c r="AA45" s="315"/>
      <c r="AB45" s="297"/>
      <c r="AC45" s="292"/>
      <c r="AD45" s="292"/>
      <c r="AE45" s="292"/>
      <c r="AF45" s="21"/>
      <c r="AG45" s="21" t="s">
        <v>9993</v>
      </c>
      <c r="AH45" s="21"/>
      <c r="AI45" s="21"/>
    </row>
    <row r="46">
      <c r="A46" s="304"/>
      <c r="B46" s="299"/>
      <c r="C46" s="292"/>
      <c r="D46" s="293"/>
      <c r="E46" s="290" t="s">
        <v>226</v>
      </c>
      <c r="F46" s="291" t="s">
        <v>1317</v>
      </c>
      <c r="G46" s="294"/>
      <c r="H46" s="295"/>
      <c r="I46" s="303"/>
      <c r="J46" s="303"/>
      <c r="K46" s="297"/>
      <c r="L46" s="303"/>
      <c r="M46" s="303"/>
      <c r="N46" s="297"/>
      <c r="O46" s="292"/>
      <c r="P46" s="303"/>
      <c r="Q46" s="298"/>
      <c r="R46" s="294"/>
      <c r="S46" s="297"/>
      <c r="T46" s="292"/>
      <c r="U46" s="299"/>
      <c r="V46" s="292"/>
      <c r="W46" s="309"/>
      <c r="X46" s="292"/>
      <c r="Y46" s="309"/>
      <c r="Z46" s="292"/>
      <c r="AA46" s="315"/>
      <c r="AB46" s="297"/>
      <c r="AC46" s="292"/>
      <c r="AD46" s="292"/>
      <c r="AE46" s="292"/>
      <c r="AF46" s="21"/>
      <c r="AG46" s="21" t="s">
        <v>9994</v>
      </c>
      <c r="AH46" s="21"/>
      <c r="AI46" s="21"/>
    </row>
    <row r="47">
      <c r="A47" s="304"/>
      <c r="B47" s="299"/>
      <c r="C47" s="292"/>
      <c r="D47" s="293"/>
      <c r="E47" s="290" t="s">
        <v>153</v>
      </c>
      <c r="F47" s="291" t="s">
        <v>1323</v>
      </c>
      <c r="G47" s="294"/>
      <c r="H47" s="295"/>
      <c r="I47" s="303"/>
      <c r="J47" s="303"/>
      <c r="K47" s="297"/>
      <c r="L47" s="303"/>
      <c r="M47" s="303"/>
      <c r="N47" s="297"/>
      <c r="O47" s="292"/>
      <c r="P47" s="303"/>
      <c r="Q47" s="298"/>
      <c r="R47" s="294"/>
      <c r="S47" s="297"/>
      <c r="T47" s="292"/>
      <c r="U47" s="299"/>
      <c r="V47" s="292"/>
      <c r="W47" s="309"/>
      <c r="X47" s="292"/>
      <c r="Y47" s="309"/>
      <c r="Z47" s="292"/>
      <c r="AA47" s="315"/>
      <c r="AB47" s="297"/>
      <c r="AC47" s="292"/>
      <c r="AD47" s="292"/>
      <c r="AE47" s="292"/>
      <c r="AF47" s="21"/>
      <c r="AG47" s="21" t="s">
        <v>9995</v>
      </c>
      <c r="AH47" s="21"/>
      <c r="AI47" s="21"/>
    </row>
    <row r="48">
      <c r="A48" s="304"/>
      <c r="B48" s="299"/>
      <c r="C48" s="292"/>
      <c r="D48" s="293"/>
      <c r="E48" s="210" t="s">
        <v>273</v>
      </c>
      <c r="F48" s="305" t="s">
        <v>1333</v>
      </c>
      <c r="G48" s="294"/>
      <c r="H48" s="295"/>
      <c r="I48" s="303"/>
      <c r="J48" s="303"/>
      <c r="K48" s="297"/>
      <c r="L48" s="303"/>
      <c r="M48" s="303"/>
      <c r="N48" s="297"/>
      <c r="O48" s="292"/>
      <c r="P48" s="303"/>
      <c r="Q48" s="298"/>
      <c r="R48" s="294"/>
      <c r="S48" s="297"/>
      <c r="T48" s="292"/>
      <c r="U48" s="299"/>
      <c r="V48" s="292"/>
      <c r="W48" s="309"/>
      <c r="X48" s="292"/>
      <c r="Y48" s="309"/>
      <c r="Z48" s="292"/>
      <c r="AA48" s="315"/>
      <c r="AB48" s="297"/>
      <c r="AC48" s="292"/>
      <c r="AD48" s="292"/>
      <c r="AE48" s="292"/>
      <c r="AF48" s="21"/>
      <c r="AG48" s="21" t="s">
        <v>9996</v>
      </c>
      <c r="AH48" s="21"/>
      <c r="AI48" s="21"/>
    </row>
    <row r="49">
      <c r="A49" s="304"/>
      <c r="B49" s="299"/>
      <c r="C49" s="292"/>
      <c r="D49" s="293"/>
      <c r="E49" s="292" t="s">
        <v>52</v>
      </c>
      <c r="F49" s="293" t="s">
        <v>1326</v>
      </c>
      <c r="G49" s="294"/>
      <c r="H49" s="295"/>
      <c r="I49" s="303"/>
      <c r="J49" s="303"/>
      <c r="K49" s="297"/>
      <c r="L49" s="303"/>
      <c r="M49" s="303"/>
      <c r="N49" s="297"/>
      <c r="O49" s="292"/>
      <c r="P49" s="303"/>
      <c r="Q49" s="298"/>
      <c r="R49" s="294"/>
      <c r="S49" s="297"/>
      <c r="T49" s="292"/>
      <c r="U49" s="299"/>
      <c r="V49" s="292"/>
      <c r="W49" s="309"/>
      <c r="X49" s="292"/>
      <c r="Y49" s="309"/>
      <c r="Z49" s="292"/>
      <c r="AA49" s="315"/>
      <c r="AB49" s="297"/>
      <c r="AC49" s="292"/>
      <c r="AD49" s="292"/>
      <c r="AE49" s="292"/>
      <c r="AF49" s="21"/>
      <c r="AG49" s="21" t="s">
        <v>9997</v>
      </c>
      <c r="AH49" s="21"/>
      <c r="AI49" s="21"/>
    </row>
    <row r="50">
      <c r="A50" s="304"/>
      <c r="B50" s="299"/>
      <c r="C50" s="292"/>
      <c r="D50" s="293"/>
      <c r="E50" s="292" t="s">
        <v>33</v>
      </c>
      <c r="F50" s="293" t="s">
        <v>1324</v>
      </c>
      <c r="G50" s="294"/>
      <c r="H50" s="295"/>
      <c r="I50" s="303"/>
      <c r="J50" s="303"/>
      <c r="K50" s="297"/>
      <c r="L50" s="303"/>
      <c r="M50" s="303"/>
      <c r="N50" s="297"/>
      <c r="O50" s="292"/>
      <c r="P50" s="303"/>
      <c r="Q50" s="298"/>
      <c r="R50" s="294"/>
      <c r="S50" s="297"/>
      <c r="T50" s="292"/>
      <c r="U50" s="299"/>
      <c r="V50" s="292"/>
      <c r="W50" s="309"/>
      <c r="X50" s="292"/>
      <c r="Y50" s="309"/>
      <c r="Z50" s="292"/>
      <c r="AA50" s="315"/>
      <c r="AB50" s="297"/>
      <c r="AC50" s="292"/>
      <c r="AD50" s="292"/>
      <c r="AE50" s="292"/>
      <c r="AF50" s="21"/>
      <c r="AG50" s="21" t="s">
        <v>9998</v>
      </c>
      <c r="AH50" s="21"/>
      <c r="AI50" s="21"/>
    </row>
    <row r="51">
      <c r="A51" s="304"/>
      <c r="B51" s="299"/>
      <c r="C51" s="292"/>
      <c r="D51" s="293"/>
      <c r="E51" s="290" t="s">
        <v>390</v>
      </c>
      <c r="F51" s="291" t="s">
        <v>1208</v>
      </c>
      <c r="G51" s="294"/>
      <c r="H51" s="295"/>
      <c r="I51" s="303"/>
      <c r="J51" s="303"/>
      <c r="K51" s="297"/>
      <c r="L51" s="303"/>
      <c r="M51" s="303"/>
      <c r="N51" s="297"/>
      <c r="O51" s="292"/>
      <c r="P51" s="303"/>
      <c r="Q51" s="298"/>
      <c r="R51" s="294"/>
      <c r="S51" s="297"/>
      <c r="T51" s="292"/>
      <c r="U51" s="299"/>
      <c r="V51" s="292"/>
      <c r="W51" s="309"/>
      <c r="X51" s="292"/>
      <c r="Y51" s="309"/>
      <c r="Z51" s="292"/>
      <c r="AA51" s="315"/>
      <c r="AB51" s="297"/>
      <c r="AC51" s="292"/>
      <c r="AD51" s="292"/>
      <c r="AE51" s="292"/>
      <c r="AF51" s="21"/>
      <c r="AG51" s="21" t="s">
        <v>9999</v>
      </c>
      <c r="AH51" s="21"/>
      <c r="AI51" s="21"/>
    </row>
    <row r="52">
      <c r="A52" s="304"/>
      <c r="B52" s="299"/>
      <c r="C52" s="292"/>
      <c r="D52" s="293"/>
      <c r="E52" s="290" t="s">
        <v>206</v>
      </c>
      <c r="F52" s="291" t="s">
        <v>1314</v>
      </c>
      <c r="G52" s="294"/>
      <c r="H52" s="295"/>
      <c r="I52" s="303"/>
      <c r="J52" s="303"/>
      <c r="K52" s="297"/>
      <c r="L52" s="303"/>
      <c r="M52" s="303"/>
      <c r="N52" s="297"/>
      <c r="O52" s="292"/>
      <c r="P52" s="303"/>
      <c r="Q52" s="298"/>
      <c r="R52" s="294"/>
      <c r="S52" s="297"/>
      <c r="T52" s="292"/>
      <c r="U52" s="299"/>
      <c r="V52" s="292"/>
      <c r="W52" s="309"/>
      <c r="X52" s="292"/>
      <c r="Y52" s="309"/>
      <c r="Z52" s="292"/>
      <c r="AA52" s="315"/>
      <c r="AB52" s="297"/>
      <c r="AC52" s="292"/>
      <c r="AD52" s="292"/>
      <c r="AE52" s="292"/>
      <c r="AF52" s="21"/>
      <c r="AG52" s="21" t="s">
        <v>10000</v>
      </c>
      <c r="AH52" s="21"/>
      <c r="AI52" s="21"/>
    </row>
    <row r="53">
      <c r="A53" s="304"/>
      <c r="B53" s="299"/>
      <c r="C53" s="292"/>
      <c r="D53" s="293"/>
      <c r="E53" s="290" t="s">
        <v>838</v>
      </c>
      <c r="F53" s="293" t="s">
        <v>1322</v>
      </c>
      <c r="G53" s="294"/>
      <c r="H53" s="295"/>
      <c r="I53" s="303"/>
      <c r="J53" s="303"/>
      <c r="K53" s="297"/>
      <c r="L53" s="303"/>
      <c r="M53" s="303"/>
      <c r="N53" s="297"/>
      <c r="O53" s="292"/>
      <c r="P53" s="303"/>
      <c r="Q53" s="298"/>
      <c r="R53" s="294"/>
      <c r="S53" s="297"/>
      <c r="T53" s="292"/>
      <c r="U53" s="299"/>
      <c r="V53" s="292"/>
      <c r="W53" s="309"/>
      <c r="X53" s="292"/>
      <c r="Y53" s="309"/>
      <c r="Z53" s="292"/>
      <c r="AA53" s="315"/>
      <c r="AB53" s="297"/>
      <c r="AC53" s="292"/>
      <c r="AD53" s="292"/>
      <c r="AE53" s="292"/>
      <c r="AF53" s="21"/>
      <c r="AG53" s="21" t="s">
        <v>10001</v>
      </c>
      <c r="AH53" s="21"/>
      <c r="AI53" s="21"/>
    </row>
    <row r="54">
      <c r="A54" s="304"/>
      <c r="B54" s="299"/>
      <c r="C54" s="292"/>
      <c r="D54" s="293"/>
      <c r="E54" s="290" t="s">
        <v>234</v>
      </c>
      <c r="F54" s="291" t="s">
        <v>1330</v>
      </c>
      <c r="G54" s="294"/>
      <c r="H54" s="295"/>
      <c r="I54" s="303"/>
      <c r="J54" s="303"/>
      <c r="K54" s="297"/>
      <c r="L54" s="303"/>
      <c r="M54" s="303"/>
      <c r="N54" s="297"/>
      <c r="O54" s="292"/>
      <c r="P54" s="303"/>
      <c r="Q54" s="298"/>
      <c r="R54" s="294"/>
      <c r="S54" s="297"/>
      <c r="T54" s="292"/>
      <c r="U54" s="299"/>
      <c r="V54" s="292"/>
      <c r="W54" s="309"/>
      <c r="X54" s="292"/>
      <c r="Y54" s="309"/>
      <c r="Z54" s="292"/>
      <c r="AA54" s="315"/>
      <c r="AB54" s="297"/>
      <c r="AC54" s="292"/>
      <c r="AD54" s="292"/>
      <c r="AE54" s="292"/>
      <c r="AF54" s="21"/>
      <c r="AG54" s="21" t="s">
        <v>10002</v>
      </c>
      <c r="AH54" s="21"/>
      <c r="AI54" s="21"/>
    </row>
    <row r="55">
      <c r="A55" s="304"/>
      <c r="B55" s="299"/>
      <c r="C55" s="292"/>
      <c r="D55" s="293"/>
      <c r="E55" s="210" t="s">
        <v>283</v>
      </c>
      <c r="F55" s="305" t="s">
        <v>1270</v>
      </c>
      <c r="G55" s="294"/>
      <c r="H55" s="295"/>
      <c r="I55" s="303"/>
      <c r="J55" s="303"/>
      <c r="K55" s="297"/>
      <c r="L55" s="303"/>
      <c r="M55" s="303"/>
      <c r="N55" s="297"/>
      <c r="O55" s="292"/>
      <c r="P55" s="303"/>
      <c r="Q55" s="298"/>
      <c r="R55" s="294"/>
      <c r="S55" s="297"/>
      <c r="T55" s="292"/>
      <c r="U55" s="299"/>
      <c r="V55" s="292"/>
      <c r="W55" s="309"/>
      <c r="X55" s="292"/>
      <c r="Y55" s="309"/>
      <c r="Z55" s="292"/>
      <c r="AA55" s="315"/>
      <c r="AB55" s="297"/>
      <c r="AC55" s="292"/>
      <c r="AD55" s="292"/>
      <c r="AE55" s="292"/>
      <c r="AF55" s="21"/>
      <c r="AG55" s="21" t="s">
        <v>10003</v>
      </c>
      <c r="AH55" s="21"/>
      <c r="AI55" s="21"/>
    </row>
    <row r="56">
      <c r="A56" s="304"/>
      <c r="B56" s="299"/>
      <c r="C56" s="292"/>
      <c r="D56" s="293"/>
      <c r="E56" s="290" t="s">
        <v>160</v>
      </c>
      <c r="F56" s="291" t="s">
        <v>1222</v>
      </c>
      <c r="G56" s="294"/>
      <c r="H56" s="295"/>
      <c r="I56" s="303"/>
      <c r="J56" s="303"/>
      <c r="K56" s="297"/>
      <c r="L56" s="303"/>
      <c r="M56" s="303"/>
      <c r="N56" s="297"/>
      <c r="O56" s="292"/>
      <c r="P56" s="303"/>
      <c r="Q56" s="298"/>
      <c r="R56" s="294"/>
      <c r="S56" s="297"/>
      <c r="T56" s="292"/>
      <c r="U56" s="299"/>
      <c r="V56" s="292"/>
      <c r="W56" s="309"/>
      <c r="X56" s="292"/>
      <c r="Y56" s="309"/>
      <c r="Z56" s="292"/>
      <c r="AA56" s="315"/>
      <c r="AB56" s="297"/>
      <c r="AC56" s="292"/>
      <c r="AD56" s="292"/>
      <c r="AE56" s="292"/>
      <c r="AF56" s="21"/>
      <c r="AG56" s="21" t="s">
        <v>10004</v>
      </c>
      <c r="AH56" s="21"/>
      <c r="AI56" s="21"/>
    </row>
    <row r="57">
      <c r="A57" s="304"/>
      <c r="B57" s="299"/>
      <c r="C57" s="292"/>
      <c r="D57" s="293"/>
      <c r="E57" s="292" t="s">
        <v>114</v>
      </c>
      <c r="F57" s="293" t="s">
        <v>1332</v>
      </c>
      <c r="G57" s="294"/>
      <c r="H57" s="295"/>
      <c r="I57" s="303"/>
      <c r="J57" s="303"/>
      <c r="K57" s="297"/>
      <c r="L57" s="303"/>
      <c r="M57" s="303"/>
      <c r="N57" s="297"/>
      <c r="O57" s="292"/>
      <c r="P57" s="303"/>
      <c r="Q57" s="298"/>
      <c r="R57" s="294"/>
      <c r="S57" s="297"/>
      <c r="T57" s="292"/>
      <c r="U57" s="299"/>
      <c r="V57" s="292"/>
      <c r="W57" s="309"/>
      <c r="X57" s="292"/>
      <c r="Y57" s="309"/>
      <c r="Z57" s="292"/>
      <c r="AA57" s="315"/>
      <c r="AB57" s="297"/>
      <c r="AC57" s="292"/>
      <c r="AD57" s="292"/>
      <c r="AE57" s="292"/>
      <c r="AF57" s="21"/>
      <c r="AG57" s="21" t="s">
        <v>10005</v>
      </c>
      <c r="AH57" s="21"/>
      <c r="AI57" s="21"/>
    </row>
    <row r="58">
      <c r="A58" s="304"/>
      <c r="B58" s="299"/>
      <c r="C58" s="292"/>
      <c r="D58" s="293"/>
      <c r="E58" s="210" t="s">
        <v>363</v>
      </c>
      <c r="F58" s="305" t="s">
        <v>1318</v>
      </c>
      <c r="G58" s="294"/>
      <c r="H58" s="295"/>
      <c r="I58" s="303"/>
      <c r="J58" s="303"/>
      <c r="K58" s="297"/>
      <c r="L58" s="303"/>
      <c r="M58" s="303"/>
      <c r="N58" s="297"/>
      <c r="O58" s="292"/>
      <c r="P58" s="303"/>
      <c r="Q58" s="298"/>
      <c r="R58" s="294"/>
      <c r="S58" s="297"/>
      <c r="T58" s="292"/>
      <c r="U58" s="299"/>
      <c r="V58" s="292"/>
      <c r="W58" s="309"/>
      <c r="X58" s="292"/>
      <c r="Y58" s="309"/>
      <c r="Z58" s="292"/>
      <c r="AA58" s="315"/>
      <c r="AB58" s="297"/>
      <c r="AC58" s="292"/>
      <c r="AD58" s="292"/>
      <c r="AE58" s="292"/>
      <c r="AF58" s="21"/>
      <c r="AG58" s="21" t="s">
        <v>10006</v>
      </c>
      <c r="AH58" s="21"/>
      <c r="AI58" s="21"/>
    </row>
    <row r="59">
      <c r="A59" s="304"/>
      <c r="B59" s="299"/>
      <c r="C59" s="292"/>
      <c r="D59" s="293"/>
      <c r="E59" s="290" t="s">
        <v>147</v>
      </c>
      <c r="F59" s="291" t="s">
        <v>1335</v>
      </c>
      <c r="G59" s="294"/>
      <c r="H59" s="295"/>
      <c r="I59" s="303"/>
      <c r="J59" s="303"/>
      <c r="K59" s="297"/>
      <c r="L59" s="303"/>
      <c r="M59" s="303"/>
      <c r="N59" s="297"/>
      <c r="O59" s="292"/>
      <c r="P59" s="303"/>
      <c r="Q59" s="298"/>
      <c r="R59" s="294"/>
      <c r="S59" s="297"/>
      <c r="T59" s="292"/>
      <c r="U59" s="299"/>
      <c r="V59" s="292"/>
      <c r="W59" s="309"/>
      <c r="X59" s="292"/>
      <c r="Y59" s="309"/>
      <c r="Z59" s="292"/>
      <c r="AA59" s="315"/>
      <c r="AB59" s="297"/>
      <c r="AC59" s="292"/>
      <c r="AD59" s="292"/>
      <c r="AE59" s="292"/>
      <c r="AF59" s="21"/>
      <c r="AG59" s="21" t="s">
        <v>10007</v>
      </c>
      <c r="AH59" s="21"/>
      <c r="AI59" s="21"/>
    </row>
    <row r="60">
      <c r="A60" s="304"/>
      <c r="B60" s="299"/>
      <c r="C60" s="292"/>
      <c r="D60" s="293"/>
      <c r="E60" s="210" t="s">
        <v>380</v>
      </c>
      <c r="F60" s="305" t="s">
        <v>1334</v>
      </c>
      <c r="G60" s="294"/>
      <c r="H60" s="295"/>
      <c r="I60" s="303"/>
      <c r="J60" s="303"/>
      <c r="K60" s="297"/>
      <c r="L60" s="303"/>
      <c r="M60" s="303"/>
      <c r="N60" s="297"/>
      <c r="O60" s="292"/>
      <c r="P60" s="303"/>
      <c r="Q60" s="298"/>
      <c r="R60" s="294"/>
      <c r="S60" s="297"/>
      <c r="T60" s="292"/>
      <c r="U60" s="299"/>
      <c r="V60" s="292"/>
      <c r="W60" s="309"/>
      <c r="X60" s="292"/>
      <c r="Y60" s="309"/>
      <c r="Z60" s="292"/>
      <c r="AA60" s="315"/>
      <c r="AB60" s="297"/>
      <c r="AC60" s="292"/>
      <c r="AD60" s="292"/>
      <c r="AE60" s="292"/>
      <c r="AF60" s="21"/>
      <c r="AG60" s="21" t="s">
        <v>10008</v>
      </c>
      <c r="AH60" s="21"/>
      <c r="AI60" s="21"/>
    </row>
    <row r="61">
      <c r="A61" s="304"/>
      <c r="B61" s="299"/>
      <c r="C61" s="292"/>
      <c r="D61" s="293"/>
      <c r="E61" s="290" t="s">
        <v>404</v>
      </c>
      <c r="F61" s="291" t="s">
        <v>1343</v>
      </c>
      <c r="G61" s="294"/>
      <c r="H61" s="295"/>
      <c r="I61" s="303"/>
      <c r="J61" s="303"/>
      <c r="K61" s="297"/>
      <c r="L61" s="303"/>
      <c r="M61" s="303"/>
      <c r="N61" s="297"/>
      <c r="O61" s="292"/>
      <c r="P61" s="303"/>
      <c r="Q61" s="298"/>
      <c r="R61" s="294"/>
      <c r="S61" s="297"/>
      <c r="T61" s="292"/>
      <c r="U61" s="299"/>
      <c r="V61" s="292"/>
      <c r="W61" s="309"/>
      <c r="X61" s="292"/>
      <c r="Y61" s="309"/>
      <c r="Z61" s="292"/>
      <c r="AA61" s="315"/>
      <c r="AB61" s="297"/>
      <c r="AC61" s="292"/>
      <c r="AD61" s="292"/>
      <c r="AE61" s="292"/>
      <c r="AF61" s="21"/>
      <c r="AG61" s="21" t="s">
        <v>10009</v>
      </c>
      <c r="AH61" s="21"/>
      <c r="AI61" s="21"/>
    </row>
    <row r="62">
      <c r="A62" s="304"/>
      <c r="B62" s="299"/>
      <c r="C62" s="292"/>
      <c r="D62" s="293"/>
      <c r="E62" s="292" t="s">
        <v>90</v>
      </c>
      <c r="F62" s="293" t="s">
        <v>1337</v>
      </c>
      <c r="G62" s="294"/>
      <c r="H62" s="295"/>
      <c r="I62" s="303"/>
      <c r="J62" s="303"/>
      <c r="K62" s="297"/>
      <c r="L62" s="303"/>
      <c r="M62" s="303"/>
      <c r="N62" s="297"/>
      <c r="O62" s="292"/>
      <c r="P62" s="303"/>
      <c r="Q62" s="298"/>
      <c r="R62" s="294"/>
      <c r="S62" s="297"/>
      <c r="T62" s="292"/>
      <c r="U62" s="299"/>
      <c r="V62" s="292"/>
      <c r="W62" s="309"/>
      <c r="X62" s="292"/>
      <c r="Y62" s="309"/>
      <c r="Z62" s="292"/>
      <c r="AA62" s="315"/>
      <c r="AB62" s="297"/>
      <c r="AC62" s="292"/>
      <c r="AD62" s="292"/>
      <c r="AE62" s="292"/>
      <c r="AF62" s="21"/>
      <c r="AG62" s="21" t="s">
        <v>10010</v>
      </c>
      <c r="AH62" s="21"/>
      <c r="AI62" s="21"/>
    </row>
    <row r="63">
      <c r="A63" s="304"/>
      <c r="B63" s="299"/>
      <c r="C63" s="292"/>
      <c r="D63" s="293"/>
      <c r="E63" s="210" t="s">
        <v>304</v>
      </c>
      <c r="F63" s="305" t="s">
        <v>1339</v>
      </c>
      <c r="G63" s="294"/>
      <c r="H63" s="295"/>
      <c r="I63" s="303"/>
      <c r="J63" s="303"/>
      <c r="K63" s="297"/>
      <c r="L63" s="303"/>
      <c r="M63" s="303"/>
      <c r="N63" s="297"/>
      <c r="O63" s="292"/>
      <c r="P63" s="303"/>
      <c r="Q63" s="298"/>
      <c r="R63" s="294"/>
      <c r="S63" s="297"/>
      <c r="T63" s="292"/>
      <c r="U63" s="299"/>
      <c r="V63" s="292"/>
      <c r="W63" s="309"/>
      <c r="X63" s="292"/>
      <c r="Y63" s="309"/>
      <c r="Z63" s="292"/>
      <c r="AA63" s="315"/>
      <c r="AB63" s="297"/>
      <c r="AC63" s="292"/>
      <c r="AD63" s="292"/>
      <c r="AE63" s="292"/>
      <c r="AF63" s="21"/>
      <c r="AG63" s="21" t="s">
        <v>10011</v>
      </c>
      <c r="AH63" s="21"/>
      <c r="AI63" s="21"/>
    </row>
    <row r="64">
      <c r="A64" s="304"/>
      <c r="B64" s="299"/>
      <c r="C64" s="292"/>
      <c r="D64" s="293"/>
      <c r="E64" s="292" t="s">
        <v>239</v>
      </c>
      <c r="F64" s="293" t="s">
        <v>1344</v>
      </c>
      <c r="G64" s="294"/>
      <c r="H64" s="295"/>
      <c r="I64" s="303"/>
      <c r="J64" s="303"/>
      <c r="K64" s="297"/>
      <c r="L64" s="303"/>
      <c r="M64" s="303"/>
      <c r="N64" s="297"/>
      <c r="O64" s="292"/>
      <c r="P64" s="303"/>
      <c r="Q64" s="298"/>
      <c r="R64" s="294"/>
      <c r="S64" s="297"/>
      <c r="T64" s="292"/>
      <c r="U64" s="299"/>
      <c r="V64" s="292"/>
      <c r="W64" s="309"/>
      <c r="X64" s="292"/>
      <c r="Y64" s="309"/>
      <c r="Z64" s="292"/>
      <c r="AA64" s="315"/>
      <c r="AB64" s="297"/>
      <c r="AC64" s="292"/>
      <c r="AD64" s="292"/>
      <c r="AE64" s="292"/>
      <c r="AF64" s="21"/>
      <c r="AG64" s="21" t="s">
        <v>10012</v>
      </c>
      <c r="AH64" s="21"/>
      <c r="AI64" s="21"/>
    </row>
    <row r="65">
      <c r="A65" s="304"/>
      <c r="B65" s="299"/>
      <c r="C65" s="292"/>
      <c r="D65" s="293"/>
      <c r="E65" s="290" t="s">
        <v>231</v>
      </c>
      <c r="F65" s="291" t="s">
        <v>1341</v>
      </c>
      <c r="G65" s="294"/>
      <c r="H65" s="295"/>
      <c r="I65" s="303"/>
      <c r="J65" s="303"/>
      <c r="K65" s="297"/>
      <c r="L65" s="303"/>
      <c r="M65" s="303"/>
      <c r="N65" s="297"/>
      <c r="O65" s="292"/>
      <c r="P65" s="303"/>
      <c r="Q65" s="298"/>
      <c r="R65" s="294"/>
      <c r="S65" s="297"/>
      <c r="T65" s="292"/>
      <c r="U65" s="299"/>
      <c r="V65" s="292"/>
      <c r="W65" s="309"/>
      <c r="X65" s="292"/>
      <c r="Y65" s="309"/>
      <c r="Z65" s="292"/>
      <c r="AA65" s="315"/>
      <c r="AB65" s="297"/>
      <c r="AC65" s="292"/>
      <c r="AD65" s="292"/>
      <c r="AE65" s="292"/>
      <c r="AF65" s="21"/>
      <c r="AG65" s="21" t="s">
        <v>10013</v>
      </c>
      <c r="AH65" s="21"/>
      <c r="AI65" s="21"/>
    </row>
    <row r="66">
      <c r="A66" s="304"/>
      <c r="B66" s="299"/>
      <c r="C66" s="292"/>
      <c r="D66" s="293"/>
      <c r="E66" s="290" t="s">
        <v>65</v>
      </c>
      <c r="F66" s="291" t="s">
        <v>1341</v>
      </c>
      <c r="G66" s="294"/>
      <c r="H66" s="295"/>
      <c r="I66" s="303"/>
      <c r="J66" s="303"/>
      <c r="K66" s="297"/>
      <c r="L66" s="303"/>
      <c r="M66" s="303"/>
      <c r="N66" s="297"/>
      <c r="O66" s="292"/>
      <c r="P66" s="303"/>
      <c r="Q66" s="298"/>
      <c r="R66" s="294"/>
      <c r="S66" s="297"/>
      <c r="T66" s="292"/>
      <c r="U66" s="299"/>
      <c r="V66" s="292"/>
      <c r="W66" s="309"/>
      <c r="X66" s="292"/>
      <c r="Y66" s="309"/>
      <c r="Z66" s="292"/>
      <c r="AA66" s="315"/>
      <c r="AB66" s="297"/>
      <c r="AC66" s="292"/>
      <c r="AD66" s="292"/>
      <c r="AE66" s="292"/>
      <c r="AF66" s="21"/>
      <c r="AG66" s="21" t="s">
        <v>10014</v>
      </c>
      <c r="AH66" s="21"/>
      <c r="AI66" s="21"/>
    </row>
    <row r="67">
      <c r="A67" s="304"/>
      <c r="B67" s="299"/>
      <c r="C67" s="292"/>
      <c r="D67" s="293"/>
      <c r="E67" s="290" t="s">
        <v>95</v>
      </c>
      <c r="F67" s="291" t="s">
        <v>1348</v>
      </c>
      <c r="G67" s="294"/>
      <c r="H67" s="295"/>
      <c r="I67" s="303"/>
      <c r="J67" s="303"/>
      <c r="K67" s="297"/>
      <c r="L67" s="303"/>
      <c r="M67" s="303"/>
      <c r="N67" s="297"/>
      <c r="O67" s="292"/>
      <c r="P67" s="303"/>
      <c r="Q67" s="298"/>
      <c r="R67" s="294"/>
      <c r="S67" s="297"/>
      <c r="T67" s="292"/>
      <c r="U67" s="299"/>
      <c r="V67" s="292"/>
      <c r="W67" s="309"/>
      <c r="X67" s="292"/>
      <c r="Y67" s="309"/>
      <c r="Z67" s="292"/>
      <c r="AA67" s="315"/>
      <c r="AB67" s="297"/>
      <c r="AC67" s="292"/>
      <c r="AD67" s="292"/>
      <c r="AE67" s="292"/>
      <c r="AF67" s="21"/>
      <c r="AG67" s="21" t="s">
        <v>10015</v>
      </c>
      <c r="AH67" s="21"/>
      <c r="AI67" s="21"/>
    </row>
    <row r="68">
      <c r="A68" s="304"/>
      <c r="B68" s="299"/>
      <c r="C68" s="292"/>
      <c r="D68" s="293"/>
      <c r="E68" s="210" t="s">
        <v>336</v>
      </c>
      <c r="F68" s="305" t="s">
        <v>1346</v>
      </c>
      <c r="G68" s="294"/>
      <c r="H68" s="295"/>
      <c r="I68" s="303"/>
      <c r="J68" s="303"/>
      <c r="K68" s="297"/>
      <c r="L68" s="303"/>
      <c r="M68" s="303"/>
      <c r="N68" s="297"/>
      <c r="O68" s="292"/>
      <c r="P68" s="303"/>
      <c r="Q68" s="298"/>
      <c r="R68" s="294"/>
      <c r="S68" s="297"/>
      <c r="T68" s="292"/>
      <c r="U68" s="299"/>
      <c r="V68" s="292"/>
      <c r="W68" s="309"/>
      <c r="X68" s="292"/>
      <c r="Y68" s="309"/>
      <c r="Z68" s="292"/>
      <c r="AA68" s="315"/>
      <c r="AB68" s="297"/>
      <c r="AC68" s="292"/>
      <c r="AD68" s="292"/>
      <c r="AE68" s="292"/>
      <c r="AF68" s="21"/>
      <c r="AG68" s="21" t="s">
        <v>10016</v>
      </c>
      <c r="AH68" s="21"/>
      <c r="AI68" s="21"/>
    </row>
    <row r="69">
      <c r="A69" s="304"/>
      <c r="B69" s="299"/>
      <c r="C69" s="292"/>
      <c r="D69" s="293"/>
      <c r="E69" s="210" t="s">
        <v>174</v>
      </c>
      <c r="F69" s="305" t="s">
        <v>1352</v>
      </c>
      <c r="G69" s="294"/>
      <c r="H69" s="295"/>
      <c r="I69" s="303"/>
      <c r="J69" s="303"/>
      <c r="K69" s="297"/>
      <c r="L69" s="303"/>
      <c r="M69" s="303"/>
      <c r="N69" s="297"/>
      <c r="O69" s="292"/>
      <c r="P69" s="303"/>
      <c r="Q69" s="298"/>
      <c r="R69" s="294"/>
      <c r="S69" s="297"/>
      <c r="T69" s="292"/>
      <c r="U69" s="299"/>
      <c r="V69" s="292"/>
      <c r="W69" s="309"/>
      <c r="X69" s="292"/>
      <c r="Y69" s="309"/>
      <c r="Z69" s="292"/>
      <c r="AA69" s="315"/>
      <c r="AB69" s="297"/>
      <c r="AC69" s="292"/>
      <c r="AD69" s="292"/>
      <c r="AE69" s="292"/>
      <c r="AF69" s="21"/>
      <c r="AG69" s="21" t="s">
        <v>10017</v>
      </c>
      <c r="AH69" s="21"/>
      <c r="AI69" s="21"/>
    </row>
    <row r="70">
      <c r="A70" s="304"/>
      <c r="B70" s="299"/>
      <c r="C70" s="292"/>
      <c r="D70" s="293"/>
      <c r="E70" s="210" t="s">
        <v>180</v>
      </c>
      <c r="F70" s="305" t="s">
        <v>1353</v>
      </c>
      <c r="G70" s="294"/>
      <c r="H70" s="295"/>
      <c r="I70" s="303"/>
      <c r="J70" s="303"/>
      <c r="K70" s="297"/>
      <c r="L70" s="303"/>
      <c r="M70" s="303"/>
      <c r="N70" s="297"/>
      <c r="O70" s="292"/>
      <c r="P70" s="303"/>
      <c r="Q70" s="298"/>
      <c r="R70" s="294"/>
      <c r="S70" s="297"/>
      <c r="T70" s="292"/>
      <c r="U70" s="299"/>
      <c r="V70" s="292"/>
      <c r="W70" s="309"/>
      <c r="X70" s="292"/>
      <c r="Y70" s="309"/>
      <c r="Z70" s="292"/>
      <c r="AA70" s="315"/>
      <c r="AB70" s="297"/>
      <c r="AC70" s="292"/>
      <c r="AD70" s="292"/>
      <c r="AE70" s="292"/>
      <c r="AF70" s="21"/>
      <c r="AG70" s="21" t="s">
        <v>10018</v>
      </c>
      <c r="AH70" s="21"/>
      <c r="AI70" s="21"/>
    </row>
    <row r="71">
      <c r="A71" s="304"/>
      <c r="B71" s="299"/>
      <c r="C71" s="292"/>
      <c r="D71" s="293"/>
      <c r="E71" s="290" t="s">
        <v>41</v>
      </c>
      <c r="F71" s="291" t="s">
        <v>1298</v>
      </c>
      <c r="G71" s="294"/>
      <c r="H71" s="295"/>
      <c r="I71" s="303"/>
      <c r="J71" s="303"/>
      <c r="K71" s="297"/>
      <c r="L71" s="303"/>
      <c r="M71" s="303"/>
      <c r="N71" s="297"/>
      <c r="O71" s="292"/>
      <c r="P71" s="303"/>
      <c r="Q71" s="298"/>
      <c r="R71" s="294"/>
      <c r="S71" s="297"/>
      <c r="T71" s="292"/>
      <c r="U71" s="299"/>
      <c r="V71" s="292"/>
      <c r="W71" s="309"/>
      <c r="X71" s="292"/>
      <c r="Y71" s="309"/>
      <c r="Z71" s="292"/>
      <c r="AA71" s="315"/>
      <c r="AB71" s="297"/>
      <c r="AC71" s="292"/>
      <c r="AD71" s="292"/>
      <c r="AE71" s="292"/>
      <c r="AF71" s="21"/>
      <c r="AG71" s="21" t="s">
        <v>10019</v>
      </c>
      <c r="AH71" s="21"/>
      <c r="AI71" s="21"/>
    </row>
    <row r="72">
      <c r="A72" s="304"/>
      <c r="B72" s="299"/>
      <c r="C72" s="292"/>
      <c r="D72" s="293"/>
      <c r="E72" s="210" t="s">
        <v>198</v>
      </c>
      <c r="F72" s="305" t="s">
        <v>1349</v>
      </c>
      <c r="G72" s="294"/>
      <c r="H72" s="295"/>
      <c r="I72" s="303"/>
      <c r="J72" s="303"/>
      <c r="K72" s="297"/>
      <c r="L72" s="303"/>
      <c r="M72" s="303"/>
      <c r="N72" s="297"/>
      <c r="O72" s="292"/>
      <c r="P72" s="303"/>
      <c r="Q72" s="298"/>
      <c r="R72" s="294"/>
      <c r="S72" s="297"/>
      <c r="T72" s="292"/>
      <c r="U72" s="299"/>
      <c r="V72" s="292"/>
      <c r="W72" s="309"/>
      <c r="X72" s="292"/>
      <c r="Y72" s="309"/>
      <c r="Z72" s="292"/>
      <c r="AA72" s="315"/>
      <c r="AB72" s="297"/>
      <c r="AC72" s="292"/>
      <c r="AD72" s="292"/>
      <c r="AE72" s="292"/>
      <c r="AF72" s="21"/>
      <c r="AG72" s="21" t="s">
        <v>10020</v>
      </c>
      <c r="AH72" s="21"/>
      <c r="AI72" s="21"/>
    </row>
    <row r="73">
      <c r="A73" s="304"/>
      <c r="B73" s="299"/>
      <c r="C73" s="292"/>
      <c r="D73" s="293"/>
      <c r="E73" s="290" t="s">
        <v>399</v>
      </c>
      <c r="F73" s="291" t="s">
        <v>1350</v>
      </c>
      <c r="G73" s="294"/>
      <c r="H73" s="295"/>
      <c r="I73" s="303"/>
      <c r="J73" s="303"/>
      <c r="K73" s="297"/>
      <c r="L73" s="303"/>
      <c r="M73" s="303"/>
      <c r="N73" s="297"/>
      <c r="O73" s="292"/>
      <c r="P73" s="303"/>
      <c r="Q73" s="298"/>
      <c r="R73" s="294"/>
      <c r="S73" s="297"/>
      <c r="T73" s="292"/>
      <c r="U73" s="299"/>
      <c r="V73" s="292"/>
      <c r="W73" s="309"/>
      <c r="X73" s="292"/>
      <c r="Y73" s="309"/>
      <c r="Z73" s="292"/>
      <c r="AA73" s="315"/>
      <c r="AB73" s="297"/>
      <c r="AC73" s="292"/>
      <c r="AD73" s="292"/>
      <c r="AE73" s="292"/>
      <c r="AF73" s="21"/>
      <c r="AG73" s="21" t="s">
        <v>10021</v>
      </c>
      <c r="AH73" s="21"/>
      <c r="AI73" s="21"/>
    </row>
    <row r="74">
      <c r="A74" s="304"/>
      <c r="B74" s="299"/>
      <c r="C74" s="292"/>
      <c r="D74" s="293"/>
      <c r="E74" s="292" t="s">
        <v>74</v>
      </c>
      <c r="F74" s="293" t="s">
        <v>1180</v>
      </c>
      <c r="G74" s="294"/>
      <c r="H74" s="295"/>
      <c r="I74" s="303"/>
      <c r="J74" s="303"/>
      <c r="K74" s="297"/>
      <c r="L74" s="303"/>
      <c r="M74" s="303"/>
      <c r="N74" s="297"/>
      <c r="O74" s="292"/>
      <c r="P74" s="303"/>
      <c r="Q74" s="298"/>
      <c r="R74" s="294"/>
      <c r="S74" s="297"/>
      <c r="T74" s="292"/>
      <c r="U74" s="299"/>
      <c r="V74" s="292"/>
      <c r="W74" s="309"/>
      <c r="X74" s="292"/>
      <c r="Y74" s="309"/>
      <c r="Z74" s="292"/>
      <c r="AA74" s="315"/>
      <c r="AB74" s="297"/>
      <c r="AC74" s="292"/>
      <c r="AD74" s="292"/>
      <c r="AE74" s="292"/>
      <c r="AF74" s="21"/>
      <c r="AG74" s="21" t="s">
        <v>10022</v>
      </c>
      <c r="AH74" s="21"/>
      <c r="AI74" s="21"/>
    </row>
    <row r="75">
      <c r="A75" s="304"/>
      <c r="B75" s="299"/>
      <c r="C75" s="292"/>
      <c r="D75" s="293"/>
      <c r="E75" s="210" t="s">
        <v>478</v>
      </c>
      <c r="F75" s="305" t="s">
        <v>1347</v>
      </c>
      <c r="G75" s="294"/>
      <c r="H75" s="295"/>
      <c r="I75" s="303"/>
      <c r="J75" s="303"/>
      <c r="K75" s="297"/>
      <c r="L75" s="303"/>
      <c r="M75" s="303"/>
      <c r="N75" s="297"/>
      <c r="O75" s="292"/>
      <c r="P75" s="303"/>
      <c r="Q75" s="298"/>
      <c r="R75" s="294"/>
      <c r="S75" s="297"/>
      <c r="T75" s="292"/>
      <c r="U75" s="299"/>
      <c r="V75" s="292"/>
      <c r="W75" s="309"/>
      <c r="X75" s="292"/>
      <c r="Y75" s="309"/>
      <c r="Z75" s="292"/>
      <c r="AA75" s="315"/>
      <c r="AB75" s="297"/>
      <c r="AC75" s="292"/>
      <c r="AD75" s="292"/>
      <c r="AE75" s="292"/>
      <c r="AF75" s="21"/>
      <c r="AG75" s="21" t="s">
        <v>10023</v>
      </c>
      <c r="AH75" s="21"/>
      <c r="AI75" s="21"/>
    </row>
    <row r="76">
      <c r="A76" s="304"/>
      <c r="B76" s="299"/>
      <c r="C76" s="292"/>
      <c r="D76" s="293"/>
      <c r="E76" s="290" t="s">
        <v>92</v>
      </c>
      <c r="F76" s="291" t="s">
        <v>1351</v>
      </c>
      <c r="G76" s="294"/>
      <c r="H76" s="295"/>
      <c r="I76" s="303"/>
      <c r="J76" s="303"/>
      <c r="K76" s="297"/>
      <c r="L76" s="303"/>
      <c r="M76" s="303"/>
      <c r="N76" s="297"/>
      <c r="O76" s="292"/>
      <c r="P76" s="303"/>
      <c r="Q76" s="298"/>
      <c r="R76" s="294"/>
      <c r="S76" s="297"/>
      <c r="T76" s="292"/>
      <c r="U76" s="299"/>
      <c r="V76" s="292"/>
      <c r="W76" s="309"/>
      <c r="X76" s="292"/>
      <c r="Y76" s="309"/>
      <c r="Z76" s="292"/>
      <c r="AA76" s="315"/>
      <c r="AB76" s="297"/>
      <c r="AC76" s="292"/>
      <c r="AD76" s="292"/>
      <c r="AE76" s="292"/>
      <c r="AF76" s="21"/>
      <c r="AG76" s="21" t="s">
        <v>10024</v>
      </c>
      <c r="AH76" s="21"/>
      <c r="AI76" s="21"/>
    </row>
    <row r="77">
      <c r="A77" s="304"/>
      <c r="B77" s="299"/>
      <c r="C77" s="292"/>
      <c r="D77" s="293"/>
      <c r="E77" s="210" t="s">
        <v>328</v>
      </c>
      <c r="F77" s="305" t="s">
        <v>1355</v>
      </c>
      <c r="G77" s="294"/>
      <c r="H77" s="295"/>
      <c r="I77" s="303"/>
      <c r="J77" s="303"/>
      <c r="K77" s="297"/>
      <c r="L77" s="303"/>
      <c r="M77" s="303"/>
      <c r="N77" s="297"/>
      <c r="O77" s="292"/>
      <c r="P77" s="303"/>
      <c r="Q77" s="298"/>
      <c r="R77" s="294"/>
      <c r="S77" s="297"/>
      <c r="T77" s="292"/>
      <c r="U77" s="299"/>
      <c r="V77" s="292"/>
      <c r="W77" s="309"/>
      <c r="X77" s="292"/>
      <c r="Y77" s="309"/>
      <c r="Z77" s="292"/>
      <c r="AA77" s="315"/>
      <c r="AB77" s="297"/>
      <c r="AC77" s="292"/>
      <c r="AD77" s="292"/>
      <c r="AE77" s="292"/>
      <c r="AF77" s="21"/>
      <c r="AG77" s="21" t="s">
        <v>10025</v>
      </c>
      <c r="AH77" s="21"/>
      <c r="AI77" s="21"/>
    </row>
    <row r="78">
      <c r="A78" s="304"/>
      <c r="B78" s="299"/>
      <c r="C78" s="292"/>
      <c r="D78" s="293"/>
      <c r="E78" s="290" t="s">
        <v>224</v>
      </c>
      <c r="F78" s="291" t="s">
        <v>1354</v>
      </c>
      <c r="G78" s="294"/>
      <c r="H78" s="295"/>
      <c r="I78" s="303"/>
      <c r="J78" s="303"/>
      <c r="K78" s="297"/>
      <c r="L78" s="303"/>
      <c r="M78" s="303"/>
      <c r="N78" s="297"/>
      <c r="O78" s="292"/>
      <c r="P78" s="303"/>
      <c r="Q78" s="298"/>
      <c r="R78" s="294"/>
      <c r="S78" s="297"/>
      <c r="T78" s="292"/>
      <c r="U78" s="299"/>
      <c r="V78" s="292"/>
      <c r="W78" s="309"/>
      <c r="X78" s="292"/>
      <c r="Y78" s="309"/>
      <c r="Z78" s="292"/>
      <c r="AA78" s="315"/>
      <c r="AB78" s="297"/>
      <c r="AC78" s="292"/>
      <c r="AD78" s="292"/>
      <c r="AE78" s="292"/>
      <c r="AF78" s="21"/>
      <c r="AG78" s="21" t="s">
        <v>10026</v>
      </c>
      <c r="AH78" s="21"/>
      <c r="AI78" s="21"/>
    </row>
    <row r="79">
      <c r="A79" s="304"/>
      <c r="B79" s="299"/>
      <c r="C79" s="292"/>
      <c r="D79" s="293"/>
      <c r="E79" s="290" t="s">
        <v>220</v>
      </c>
      <c r="F79" s="291" t="s">
        <v>1357</v>
      </c>
      <c r="G79" s="294"/>
      <c r="H79" s="295"/>
      <c r="I79" s="303"/>
      <c r="J79" s="303"/>
      <c r="K79" s="297"/>
      <c r="L79" s="303"/>
      <c r="M79" s="303"/>
      <c r="N79" s="297"/>
      <c r="O79" s="292"/>
      <c r="P79" s="303"/>
      <c r="Q79" s="298"/>
      <c r="R79" s="294"/>
      <c r="S79" s="297"/>
      <c r="T79" s="292"/>
      <c r="U79" s="299"/>
      <c r="V79" s="292"/>
      <c r="W79" s="309"/>
      <c r="X79" s="292"/>
      <c r="Y79" s="309"/>
      <c r="Z79" s="292"/>
      <c r="AA79" s="315"/>
      <c r="AB79" s="297"/>
      <c r="AC79" s="292"/>
      <c r="AD79" s="292"/>
      <c r="AE79" s="292"/>
      <c r="AF79" s="21"/>
      <c r="AG79" s="21" t="s">
        <v>10027</v>
      </c>
      <c r="AH79" s="21"/>
      <c r="AI79" s="21"/>
    </row>
    <row r="80">
      <c r="A80" s="304"/>
      <c r="B80" s="299"/>
      <c r="C80" s="292"/>
      <c r="D80" s="293"/>
      <c r="E80" s="210" t="s">
        <v>319</v>
      </c>
      <c r="F80" s="305" t="s">
        <v>1356</v>
      </c>
      <c r="G80" s="294"/>
      <c r="H80" s="295"/>
      <c r="I80" s="303"/>
      <c r="J80" s="303"/>
      <c r="K80" s="297"/>
      <c r="L80" s="303"/>
      <c r="M80" s="303"/>
      <c r="N80" s="297"/>
      <c r="O80" s="292"/>
      <c r="P80" s="303"/>
      <c r="Q80" s="298"/>
      <c r="R80" s="294"/>
      <c r="S80" s="297"/>
      <c r="T80" s="292"/>
      <c r="U80" s="299"/>
      <c r="V80" s="292"/>
      <c r="W80" s="309"/>
      <c r="X80" s="292"/>
      <c r="Y80" s="309"/>
      <c r="Z80" s="292"/>
      <c r="AA80" s="315"/>
      <c r="AB80" s="297"/>
      <c r="AC80" s="292"/>
      <c r="AD80" s="292"/>
      <c r="AE80" s="292"/>
      <c r="AF80" s="21"/>
      <c r="AG80" s="21" t="s">
        <v>10028</v>
      </c>
      <c r="AH80" s="21"/>
      <c r="AI80" s="21"/>
    </row>
    <row r="81">
      <c r="A81" s="304"/>
      <c r="B81" s="299"/>
      <c r="C81" s="292"/>
      <c r="D81" s="293"/>
      <c r="E81" s="292" t="s">
        <v>840</v>
      </c>
      <c r="F81" s="293" t="s">
        <v>1290</v>
      </c>
      <c r="G81" s="294"/>
      <c r="H81" s="295"/>
      <c r="I81" s="303"/>
      <c r="J81" s="303"/>
      <c r="K81" s="297"/>
      <c r="L81" s="303"/>
      <c r="M81" s="303"/>
      <c r="N81" s="297"/>
      <c r="O81" s="292"/>
      <c r="P81" s="303"/>
      <c r="Q81" s="298"/>
      <c r="R81" s="294"/>
      <c r="S81" s="297"/>
      <c r="T81" s="292"/>
      <c r="U81" s="299"/>
      <c r="V81" s="292"/>
      <c r="W81" s="309"/>
      <c r="X81" s="292"/>
      <c r="Y81" s="309"/>
      <c r="Z81" s="292"/>
      <c r="AA81" s="315"/>
      <c r="AB81" s="297"/>
      <c r="AC81" s="292"/>
      <c r="AD81" s="292"/>
      <c r="AE81" s="292"/>
      <c r="AF81" s="21"/>
      <c r="AG81" s="21" t="s">
        <v>10029</v>
      </c>
      <c r="AH81" s="21"/>
      <c r="AI81" s="21"/>
    </row>
    <row r="82">
      <c r="A82" s="304"/>
      <c r="B82" s="299"/>
      <c r="C82" s="292"/>
      <c r="D82" s="293"/>
      <c r="E82" s="210" t="s">
        <v>342</v>
      </c>
      <c r="F82" s="305" t="s">
        <v>1358</v>
      </c>
      <c r="G82" s="294"/>
      <c r="H82" s="295"/>
      <c r="I82" s="303"/>
      <c r="J82" s="303"/>
      <c r="K82" s="297"/>
      <c r="L82" s="303"/>
      <c r="M82" s="303"/>
      <c r="N82" s="297"/>
      <c r="O82" s="292"/>
      <c r="P82" s="303"/>
      <c r="Q82" s="298"/>
      <c r="R82" s="294"/>
      <c r="S82" s="297"/>
      <c r="T82" s="292"/>
      <c r="U82" s="299"/>
      <c r="V82" s="292"/>
      <c r="W82" s="309"/>
      <c r="X82" s="292"/>
      <c r="Y82" s="309"/>
      <c r="Z82" s="292"/>
      <c r="AA82" s="315"/>
      <c r="AB82" s="297"/>
      <c r="AC82" s="292"/>
      <c r="AD82" s="292"/>
      <c r="AE82" s="292"/>
      <c r="AF82" s="21"/>
      <c r="AG82" s="21" t="s">
        <v>10030</v>
      </c>
      <c r="AH82" s="21"/>
      <c r="AI82" s="21"/>
    </row>
    <row r="83">
      <c r="A83" s="304"/>
      <c r="B83" s="299"/>
      <c r="C83" s="292"/>
      <c r="D83" s="293"/>
      <c r="E83" s="292" t="s">
        <v>44</v>
      </c>
      <c r="F83" s="293" t="s">
        <v>1361</v>
      </c>
      <c r="G83" s="294"/>
      <c r="H83" s="295"/>
      <c r="I83" s="303"/>
      <c r="J83" s="303"/>
      <c r="K83" s="297"/>
      <c r="L83" s="303"/>
      <c r="M83" s="303"/>
      <c r="N83" s="297"/>
      <c r="O83" s="292"/>
      <c r="P83" s="303"/>
      <c r="Q83" s="298"/>
      <c r="R83" s="294"/>
      <c r="S83" s="297"/>
      <c r="T83" s="292"/>
      <c r="U83" s="299"/>
      <c r="V83" s="292"/>
      <c r="W83" s="309"/>
      <c r="X83" s="292"/>
      <c r="Y83" s="309"/>
      <c r="Z83" s="292"/>
      <c r="AA83" s="315"/>
      <c r="AB83" s="297"/>
      <c r="AC83" s="292"/>
      <c r="AD83" s="292"/>
      <c r="AE83" s="292"/>
      <c r="AF83" s="21"/>
      <c r="AG83" s="21" t="s">
        <v>10031</v>
      </c>
      <c r="AH83" s="21"/>
      <c r="AI83" s="21"/>
    </row>
    <row r="84">
      <c r="A84" s="304"/>
      <c r="B84" s="299"/>
      <c r="C84" s="292"/>
      <c r="D84" s="293"/>
      <c r="E84" s="290" t="s">
        <v>1362</v>
      </c>
      <c r="F84" s="293" t="s">
        <v>1363</v>
      </c>
      <c r="G84" s="294"/>
      <c r="H84" s="295"/>
      <c r="I84" s="303"/>
      <c r="J84" s="303"/>
      <c r="K84" s="297"/>
      <c r="L84" s="303"/>
      <c r="M84" s="303"/>
      <c r="N84" s="297"/>
      <c r="O84" s="292"/>
      <c r="P84" s="303"/>
      <c r="Q84" s="298"/>
      <c r="R84" s="294"/>
      <c r="S84" s="297"/>
      <c r="T84" s="292"/>
      <c r="U84" s="299"/>
      <c r="V84" s="292"/>
      <c r="W84" s="309"/>
      <c r="X84" s="292"/>
      <c r="Y84" s="309"/>
      <c r="Z84" s="292"/>
      <c r="AA84" s="315"/>
      <c r="AB84" s="297"/>
      <c r="AC84" s="292"/>
      <c r="AD84" s="292"/>
      <c r="AE84" s="292"/>
      <c r="AF84" s="21"/>
      <c r="AG84" s="21" t="s">
        <v>10032</v>
      </c>
      <c r="AH84" s="21"/>
      <c r="AI84" s="21"/>
    </row>
    <row r="85">
      <c r="A85" s="304"/>
      <c r="B85" s="299"/>
      <c r="C85" s="292"/>
      <c r="D85" s="293"/>
      <c r="E85" s="292" t="s">
        <v>84</v>
      </c>
      <c r="F85" s="293" t="s">
        <v>1364</v>
      </c>
      <c r="G85" s="294"/>
      <c r="H85" s="295"/>
      <c r="I85" s="303"/>
      <c r="J85" s="303"/>
      <c r="K85" s="297"/>
      <c r="L85" s="303"/>
      <c r="M85" s="303"/>
      <c r="N85" s="297"/>
      <c r="O85" s="292"/>
      <c r="P85" s="303"/>
      <c r="Q85" s="298"/>
      <c r="R85" s="294"/>
      <c r="S85" s="297"/>
      <c r="T85" s="292"/>
      <c r="U85" s="299"/>
      <c r="V85" s="292"/>
      <c r="W85" s="309"/>
      <c r="X85" s="292"/>
      <c r="Y85" s="309"/>
      <c r="Z85" s="292"/>
      <c r="AA85" s="315"/>
      <c r="AB85" s="297"/>
      <c r="AC85" s="292"/>
      <c r="AD85" s="292"/>
      <c r="AE85" s="292"/>
      <c r="AF85" s="21"/>
      <c r="AG85" s="21" t="s">
        <v>10033</v>
      </c>
      <c r="AH85" s="21"/>
      <c r="AI85" s="21"/>
    </row>
    <row r="86">
      <c r="A86" s="304"/>
      <c r="B86" s="299"/>
      <c r="C86" s="292"/>
      <c r="D86" s="293"/>
      <c r="E86" s="290" t="s">
        <v>119</v>
      </c>
      <c r="F86" s="291" t="s">
        <v>1365</v>
      </c>
      <c r="G86" s="294"/>
      <c r="H86" s="295"/>
      <c r="I86" s="303"/>
      <c r="J86" s="303"/>
      <c r="K86" s="297"/>
      <c r="L86" s="303"/>
      <c r="M86" s="303"/>
      <c r="N86" s="297"/>
      <c r="O86" s="292"/>
      <c r="P86" s="303"/>
      <c r="Q86" s="298"/>
      <c r="R86" s="294"/>
      <c r="S86" s="297"/>
      <c r="T86" s="292"/>
      <c r="U86" s="299"/>
      <c r="V86" s="292"/>
      <c r="W86" s="309"/>
      <c r="X86" s="292"/>
      <c r="Y86" s="309"/>
      <c r="Z86" s="292"/>
      <c r="AA86" s="315"/>
      <c r="AB86" s="297"/>
      <c r="AC86" s="292"/>
      <c r="AD86" s="292"/>
      <c r="AE86" s="292"/>
      <c r="AF86" s="21"/>
      <c r="AG86" s="21" t="s">
        <v>10034</v>
      </c>
      <c r="AH86" s="21"/>
      <c r="AI86" s="21"/>
    </row>
    <row r="87">
      <c r="A87" s="304"/>
      <c r="B87" s="299"/>
      <c r="C87" s="292"/>
      <c r="D87" s="293"/>
      <c r="E87" s="290" t="s">
        <v>201</v>
      </c>
      <c r="F87" s="291" t="s">
        <v>10035</v>
      </c>
      <c r="G87" s="294"/>
      <c r="H87" s="295"/>
      <c r="I87" s="303"/>
      <c r="J87" s="303"/>
      <c r="K87" s="297"/>
      <c r="L87" s="303"/>
      <c r="M87" s="303"/>
      <c r="N87" s="297"/>
      <c r="O87" s="292"/>
      <c r="P87" s="303"/>
      <c r="Q87" s="298"/>
      <c r="R87" s="294"/>
      <c r="S87" s="297"/>
      <c r="T87" s="292"/>
      <c r="U87" s="299"/>
      <c r="V87" s="292"/>
      <c r="W87" s="309"/>
      <c r="X87" s="292"/>
      <c r="Y87" s="309"/>
      <c r="Z87" s="292"/>
      <c r="AA87" s="315"/>
      <c r="AB87" s="297"/>
      <c r="AC87" s="292"/>
      <c r="AD87" s="292"/>
      <c r="AE87" s="292"/>
      <c r="AF87" s="21"/>
      <c r="AG87" s="21" t="s">
        <v>10036</v>
      </c>
      <c r="AH87" s="21"/>
      <c r="AI87" s="21"/>
    </row>
    <row r="88">
      <c r="A88" s="304"/>
      <c r="B88" s="299"/>
      <c r="C88" s="292"/>
      <c r="D88" s="293"/>
      <c r="E88" s="290" t="s">
        <v>443</v>
      </c>
      <c r="F88" s="291" t="s">
        <v>1371</v>
      </c>
      <c r="G88" s="294"/>
      <c r="H88" s="295"/>
      <c r="I88" s="303"/>
      <c r="J88" s="303"/>
      <c r="K88" s="297"/>
      <c r="L88" s="303"/>
      <c r="M88" s="303"/>
      <c r="N88" s="297"/>
      <c r="O88" s="292"/>
      <c r="P88" s="303"/>
      <c r="Q88" s="298"/>
      <c r="R88" s="294"/>
      <c r="S88" s="297"/>
      <c r="T88" s="292"/>
      <c r="U88" s="299"/>
      <c r="V88" s="292"/>
      <c r="W88" s="309"/>
      <c r="X88" s="292"/>
      <c r="Y88" s="309"/>
      <c r="Z88" s="292"/>
      <c r="AA88" s="315"/>
      <c r="AB88" s="297"/>
      <c r="AC88" s="292"/>
      <c r="AD88" s="292"/>
      <c r="AE88" s="292"/>
      <c r="AF88" s="21"/>
      <c r="AG88" s="21" t="s">
        <v>10037</v>
      </c>
      <c r="AH88" s="21"/>
      <c r="AI88" s="21"/>
    </row>
    <row r="89">
      <c r="A89" s="304"/>
      <c r="B89" s="299"/>
      <c r="C89" s="292"/>
      <c r="D89" s="293"/>
      <c r="E89" s="210" t="s">
        <v>458</v>
      </c>
      <c r="F89" s="305" t="s">
        <v>1360</v>
      </c>
      <c r="G89" s="294"/>
      <c r="H89" s="295"/>
      <c r="I89" s="303"/>
      <c r="J89" s="303"/>
      <c r="K89" s="297"/>
      <c r="L89" s="303"/>
      <c r="M89" s="303"/>
      <c r="N89" s="297"/>
      <c r="O89" s="292"/>
      <c r="P89" s="303"/>
      <c r="Q89" s="298"/>
      <c r="R89" s="294"/>
      <c r="S89" s="297"/>
      <c r="T89" s="292"/>
      <c r="U89" s="299"/>
      <c r="V89" s="292"/>
      <c r="W89" s="309"/>
      <c r="X89" s="292"/>
      <c r="Y89" s="309"/>
      <c r="Z89" s="292"/>
      <c r="AA89" s="315"/>
      <c r="AB89" s="297"/>
      <c r="AC89" s="292"/>
      <c r="AD89" s="292"/>
      <c r="AE89" s="292"/>
      <c r="AF89" s="21"/>
      <c r="AG89" s="21" t="s">
        <v>10038</v>
      </c>
      <c r="AH89" s="21"/>
      <c r="AI89" s="21"/>
    </row>
    <row r="90">
      <c r="A90" s="304"/>
      <c r="B90" s="299"/>
      <c r="C90" s="292"/>
      <c r="D90" s="293"/>
      <c r="E90" s="210" t="s">
        <v>470</v>
      </c>
      <c r="F90" s="305" t="s">
        <v>1359</v>
      </c>
      <c r="G90" s="294"/>
      <c r="H90" s="295"/>
      <c r="I90" s="303"/>
      <c r="J90" s="303"/>
      <c r="K90" s="297"/>
      <c r="L90" s="303"/>
      <c r="M90" s="303"/>
      <c r="N90" s="297"/>
      <c r="O90" s="292"/>
      <c r="P90" s="303"/>
      <c r="Q90" s="298"/>
      <c r="R90" s="294"/>
      <c r="S90" s="297"/>
      <c r="T90" s="292"/>
      <c r="U90" s="299"/>
      <c r="V90" s="292"/>
      <c r="W90" s="309"/>
      <c r="X90" s="292"/>
      <c r="Y90" s="309"/>
      <c r="Z90" s="292"/>
      <c r="AA90" s="315"/>
      <c r="AB90" s="297"/>
      <c r="AC90" s="292"/>
      <c r="AD90" s="292"/>
      <c r="AE90" s="292"/>
      <c r="AF90" s="21"/>
      <c r="AG90" s="21" t="s">
        <v>10039</v>
      </c>
      <c r="AH90" s="21"/>
      <c r="AI90" s="21"/>
    </row>
    <row r="91">
      <c r="A91" s="304"/>
      <c r="B91" s="299"/>
      <c r="C91" s="292"/>
      <c r="D91" s="293"/>
      <c r="E91" s="210" t="s">
        <v>474</v>
      </c>
      <c r="F91" s="305" t="s">
        <v>1372</v>
      </c>
      <c r="G91" s="294"/>
      <c r="H91" s="295"/>
      <c r="I91" s="303"/>
      <c r="J91" s="303"/>
      <c r="K91" s="297"/>
      <c r="L91" s="303"/>
      <c r="M91" s="303"/>
      <c r="N91" s="297"/>
      <c r="O91" s="292"/>
      <c r="P91" s="303"/>
      <c r="Q91" s="298"/>
      <c r="R91" s="294"/>
      <c r="S91" s="297"/>
      <c r="T91" s="292"/>
      <c r="U91" s="299"/>
      <c r="V91" s="292"/>
      <c r="W91" s="309"/>
      <c r="X91" s="292"/>
      <c r="Y91" s="309"/>
      <c r="Z91" s="292"/>
      <c r="AA91" s="315"/>
      <c r="AB91" s="297"/>
      <c r="AC91" s="292"/>
      <c r="AD91" s="292"/>
      <c r="AE91" s="292"/>
      <c r="AF91" s="21"/>
      <c r="AG91" s="21" t="s">
        <v>10040</v>
      </c>
      <c r="AH91" s="21"/>
      <c r="AI91" s="21"/>
    </row>
    <row r="92">
      <c r="A92" s="304"/>
      <c r="B92" s="299"/>
      <c r="C92" s="292"/>
      <c r="D92" s="293"/>
      <c r="E92" s="201"/>
      <c r="F92" s="317"/>
      <c r="G92" s="294"/>
      <c r="H92" s="295"/>
      <c r="I92" s="303"/>
      <c r="J92" s="303"/>
      <c r="K92" s="297"/>
      <c r="L92" s="303"/>
      <c r="M92" s="303"/>
      <c r="N92" s="297"/>
      <c r="O92" s="292"/>
      <c r="P92" s="303"/>
      <c r="Q92" s="298"/>
      <c r="R92" s="294"/>
      <c r="S92" s="297"/>
      <c r="T92" s="292"/>
      <c r="U92" s="299"/>
      <c r="V92" s="292"/>
      <c r="W92" s="309"/>
      <c r="X92" s="292"/>
      <c r="Y92" s="309"/>
      <c r="Z92" s="292"/>
      <c r="AA92" s="315"/>
      <c r="AB92" s="297"/>
      <c r="AC92" s="292"/>
      <c r="AD92" s="292"/>
      <c r="AE92" s="292"/>
      <c r="AF92" s="21"/>
      <c r="AG92" s="21"/>
      <c r="AH92" s="21"/>
      <c r="AI92" s="21"/>
    </row>
    <row r="93">
      <c r="A93" s="304"/>
      <c r="B93" s="299"/>
      <c r="C93" s="292"/>
      <c r="D93" s="293"/>
      <c r="E93" s="201"/>
      <c r="F93" s="293"/>
      <c r="G93" s="294"/>
      <c r="H93" s="295"/>
      <c r="I93" s="303"/>
      <c r="J93" s="303"/>
      <c r="K93" s="297"/>
      <c r="L93" s="303"/>
      <c r="M93" s="303"/>
      <c r="N93" s="297"/>
      <c r="O93" s="292"/>
      <c r="P93" s="303"/>
      <c r="Q93" s="298"/>
      <c r="R93" s="294"/>
      <c r="S93" s="297"/>
      <c r="T93" s="292"/>
      <c r="U93" s="299"/>
      <c r="V93" s="292"/>
      <c r="W93" s="309"/>
      <c r="X93" s="292"/>
      <c r="Y93" s="309"/>
      <c r="Z93" s="292"/>
      <c r="AA93" s="315"/>
      <c r="AB93" s="297"/>
      <c r="AC93" s="292"/>
      <c r="AD93" s="292"/>
      <c r="AE93" s="292"/>
      <c r="AF93" s="21"/>
      <c r="AG93" s="21"/>
      <c r="AH93" s="21"/>
      <c r="AI93" s="21"/>
    </row>
    <row r="94">
      <c r="A94" s="304"/>
      <c r="B94" s="299"/>
      <c r="C94" s="292"/>
      <c r="D94" s="293"/>
      <c r="E94" s="292"/>
      <c r="F94" s="293"/>
      <c r="G94" s="294"/>
      <c r="H94" s="295"/>
      <c r="I94" s="303"/>
      <c r="J94" s="303"/>
      <c r="K94" s="297"/>
      <c r="L94" s="303"/>
      <c r="M94" s="303"/>
      <c r="N94" s="297"/>
      <c r="O94" s="292"/>
      <c r="P94" s="303"/>
      <c r="Q94" s="298"/>
      <c r="R94" s="294"/>
      <c r="S94" s="297"/>
      <c r="T94" s="292"/>
      <c r="U94" s="299"/>
      <c r="V94" s="292"/>
      <c r="W94" s="309"/>
      <c r="X94" s="292"/>
      <c r="Y94" s="309"/>
      <c r="Z94" s="292"/>
      <c r="AA94" s="315"/>
      <c r="AB94" s="297"/>
      <c r="AC94" s="292"/>
      <c r="AD94" s="292"/>
      <c r="AE94" s="292"/>
      <c r="AF94" s="21"/>
      <c r="AG94" s="21"/>
      <c r="AH94" s="21"/>
      <c r="AI94" s="21"/>
    </row>
    <row r="95">
      <c r="A95" s="304"/>
      <c r="B95" s="299"/>
      <c r="C95" s="292"/>
      <c r="D95" s="293"/>
      <c r="E95" s="292"/>
      <c r="F95" s="293"/>
      <c r="G95" s="294"/>
      <c r="H95" s="295"/>
      <c r="I95" s="303"/>
      <c r="J95" s="303"/>
      <c r="K95" s="297"/>
      <c r="L95" s="303"/>
      <c r="M95" s="303"/>
      <c r="N95" s="297"/>
      <c r="O95" s="292"/>
      <c r="P95" s="303"/>
      <c r="Q95" s="298"/>
      <c r="R95" s="294"/>
      <c r="S95" s="297"/>
      <c r="T95" s="292"/>
      <c r="U95" s="299"/>
      <c r="V95" s="292"/>
      <c r="W95" s="309"/>
      <c r="X95" s="292"/>
      <c r="Y95" s="309"/>
      <c r="Z95" s="292"/>
      <c r="AA95" s="315"/>
      <c r="AB95" s="297"/>
      <c r="AC95" s="292"/>
      <c r="AD95" s="292"/>
      <c r="AE95" s="292"/>
      <c r="AF95" s="21"/>
      <c r="AG95" s="21"/>
      <c r="AH95" s="21"/>
      <c r="AI95" s="21"/>
    </row>
    <row r="96">
      <c r="A96" s="304"/>
      <c r="B96" s="299"/>
      <c r="C96" s="292"/>
      <c r="D96" s="293"/>
      <c r="E96" s="292"/>
      <c r="F96" s="293"/>
      <c r="G96" s="294"/>
      <c r="H96" s="295"/>
      <c r="I96" s="303"/>
      <c r="J96" s="303"/>
      <c r="K96" s="297"/>
      <c r="L96" s="303"/>
      <c r="M96" s="303"/>
      <c r="N96" s="297"/>
      <c r="O96" s="292"/>
      <c r="P96" s="303"/>
      <c r="Q96" s="298"/>
      <c r="R96" s="294"/>
      <c r="S96" s="297"/>
      <c r="T96" s="292"/>
      <c r="U96" s="299"/>
      <c r="V96" s="292"/>
      <c r="W96" s="309"/>
      <c r="X96" s="292"/>
      <c r="Y96" s="309"/>
      <c r="Z96" s="292"/>
      <c r="AA96" s="315"/>
      <c r="AB96" s="297"/>
      <c r="AC96" s="292"/>
      <c r="AD96" s="292"/>
      <c r="AE96" s="292"/>
      <c r="AF96" s="21"/>
      <c r="AG96" s="21"/>
      <c r="AH96" s="21"/>
      <c r="AI96" s="21"/>
    </row>
    <row r="97">
      <c r="A97" s="304"/>
      <c r="B97" s="299"/>
      <c r="C97" s="292"/>
      <c r="D97" s="293"/>
      <c r="E97" s="292"/>
      <c r="F97" s="293"/>
      <c r="G97" s="294"/>
      <c r="H97" s="295"/>
      <c r="I97" s="303"/>
      <c r="J97" s="303"/>
      <c r="K97" s="297"/>
      <c r="L97" s="303"/>
      <c r="M97" s="303"/>
      <c r="N97" s="297"/>
      <c r="O97" s="292"/>
      <c r="P97" s="303"/>
      <c r="Q97" s="298"/>
      <c r="R97" s="294"/>
      <c r="S97" s="297"/>
      <c r="T97" s="292"/>
      <c r="U97" s="299"/>
      <c r="V97" s="292"/>
      <c r="W97" s="309"/>
      <c r="X97" s="292"/>
      <c r="Y97" s="309"/>
      <c r="Z97" s="292"/>
      <c r="AA97" s="315"/>
      <c r="AB97" s="297"/>
      <c r="AC97" s="292"/>
      <c r="AD97" s="292"/>
      <c r="AE97" s="292"/>
      <c r="AF97" s="21"/>
      <c r="AG97" s="21"/>
      <c r="AH97" s="21"/>
      <c r="AI97" s="21"/>
    </row>
    <row r="98">
      <c r="A98" s="304"/>
      <c r="B98" s="299"/>
      <c r="C98" s="292"/>
      <c r="D98" s="293"/>
      <c r="E98" s="292"/>
      <c r="F98" s="293"/>
      <c r="G98" s="294"/>
      <c r="H98" s="295"/>
      <c r="I98" s="303"/>
      <c r="J98" s="303"/>
      <c r="K98" s="297"/>
      <c r="L98" s="303"/>
      <c r="M98" s="303"/>
      <c r="N98" s="297"/>
      <c r="O98" s="292"/>
      <c r="P98" s="303"/>
      <c r="Q98" s="298"/>
      <c r="R98" s="294"/>
      <c r="S98" s="297"/>
      <c r="T98" s="292"/>
      <c r="U98" s="299"/>
      <c r="V98" s="292"/>
      <c r="W98" s="309"/>
      <c r="X98" s="292"/>
      <c r="Y98" s="309"/>
      <c r="Z98" s="292"/>
      <c r="AA98" s="315"/>
      <c r="AB98" s="297"/>
      <c r="AC98" s="292"/>
      <c r="AD98" s="292"/>
      <c r="AE98" s="292"/>
      <c r="AF98" s="303"/>
      <c r="AG98" s="303"/>
      <c r="AH98" s="303"/>
      <c r="AI98" s="303"/>
    </row>
    <row r="99">
      <c r="A99" s="304"/>
      <c r="B99" s="299"/>
      <c r="C99" s="292"/>
      <c r="D99" s="293"/>
      <c r="E99" s="292"/>
      <c r="F99" s="293"/>
      <c r="G99" s="294"/>
      <c r="H99" s="295"/>
      <c r="I99" s="303"/>
      <c r="J99" s="303"/>
      <c r="K99" s="297"/>
      <c r="L99" s="303"/>
      <c r="M99" s="303"/>
      <c r="N99" s="297"/>
      <c r="O99" s="292"/>
      <c r="P99" s="303"/>
      <c r="Q99" s="298"/>
      <c r="R99" s="294"/>
      <c r="S99" s="297"/>
      <c r="T99" s="292"/>
      <c r="U99" s="299"/>
      <c r="V99" s="292"/>
      <c r="W99" s="309"/>
      <c r="X99" s="292"/>
      <c r="Y99" s="309"/>
      <c r="Z99" s="292"/>
      <c r="AA99" s="315"/>
      <c r="AB99" s="297"/>
      <c r="AC99" s="292"/>
      <c r="AD99" s="292"/>
      <c r="AE99" s="292"/>
      <c r="AF99" s="303"/>
      <c r="AG99" s="303"/>
      <c r="AH99" s="303"/>
      <c r="AI99" s="303"/>
    </row>
    <row r="100">
      <c r="A100" s="304"/>
      <c r="B100" s="299"/>
      <c r="C100" s="292"/>
      <c r="D100" s="293"/>
      <c r="E100" s="292"/>
      <c r="F100" s="293"/>
      <c r="G100" s="294"/>
      <c r="H100" s="295"/>
      <c r="I100" s="303"/>
      <c r="J100" s="303"/>
      <c r="K100" s="297"/>
      <c r="L100" s="303"/>
      <c r="M100" s="303"/>
      <c r="N100" s="297"/>
      <c r="O100" s="292"/>
      <c r="P100" s="303"/>
      <c r="Q100" s="298"/>
      <c r="R100" s="294"/>
      <c r="S100" s="297"/>
      <c r="T100" s="292"/>
      <c r="U100" s="299"/>
      <c r="V100" s="292"/>
      <c r="W100" s="309"/>
      <c r="X100" s="292"/>
      <c r="Y100" s="309"/>
      <c r="Z100" s="292"/>
      <c r="AA100" s="315"/>
      <c r="AB100" s="297"/>
      <c r="AC100" s="292"/>
      <c r="AD100" s="292"/>
      <c r="AE100" s="292"/>
      <c r="AF100" s="303"/>
      <c r="AG100" s="303"/>
      <c r="AH100" s="303"/>
      <c r="AI100" s="303"/>
    </row>
    <row r="101">
      <c r="A101" s="304"/>
      <c r="B101" s="299"/>
      <c r="C101" s="292"/>
      <c r="D101" s="293"/>
      <c r="E101" s="292"/>
      <c r="F101" s="293"/>
      <c r="G101" s="294"/>
      <c r="H101" s="295"/>
      <c r="I101" s="303"/>
      <c r="J101" s="303"/>
      <c r="K101" s="297"/>
      <c r="L101" s="303"/>
      <c r="M101" s="303"/>
      <c r="N101" s="297"/>
      <c r="O101" s="292"/>
      <c r="P101" s="303"/>
      <c r="Q101" s="298"/>
      <c r="R101" s="294"/>
      <c r="S101" s="297"/>
      <c r="T101" s="292"/>
      <c r="U101" s="299"/>
      <c r="V101" s="292"/>
      <c r="W101" s="309"/>
      <c r="X101" s="292"/>
      <c r="Y101" s="309"/>
      <c r="Z101" s="292"/>
      <c r="AA101" s="315"/>
      <c r="AB101" s="297"/>
      <c r="AC101" s="292"/>
      <c r="AD101" s="292"/>
      <c r="AE101" s="292"/>
      <c r="AF101" s="303"/>
      <c r="AG101" s="303"/>
      <c r="AH101" s="303"/>
      <c r="AI101" s="303"/>
    </row>
    <row r="102">
      <c r="A102" s="304"/>
      <c r="B102" s="299"/>
      <c r="C102" s="292"/>
      <c r="D102" s="293"/>
      <c r="E102" s="292"/>
      <c r="F102" s="293"/>
      <c r="G102" s="294"/>
      <c r="H102" s="295"/>
      <c r="I102" s="303"/>
      <c r="J102" s="303"/>
      <c r="K102" s="297"/>
      <c r="L102" s="303"/>
      <c r="M102" s="303"/>
      <c r="N102" s="297"/>
      <c r="O102" s="292"/>
      <c r="P102" s="303"/>
      <c r="Q102" s="298"/>
      <c r="R102" s="294"/>
      <c r="S102" s="297"/>
      <c r="T102" s="292"/>
      <c r="U102" s="299"/>
      <c r="V102" s="292"/>
      <c r="W102" s="309"/>
      <c r="X102" s="292"/>
      <c r="Y102" s="309"/>
      <c r="Z102" s="292"/>
      <c r="AA102" s="315"/>
      <c r="AB102" s="297"/>
      <c r="AC102" s="292"/>
      <c r="AD102" s="292"/>
      <c r="AE102" s="292"/>
      <c r="AF102" s="303"/>
      <c r="AG102" s="303"/>
      <c r="AH102" s="303"/>
      <c r="AI102" s="303"/>
    </row>
    <row r="103">
      <c r="A103" s="304"/>
      <c r="B103" s="299"/>
      <c r="C103" s="292"/>
      <c r="D103" s="293"/>
      <c r="E103" s="292"/>
      <c r="F103" s="293"/>
      <c r="G103" s="294"/>
      <c r="H103" s="295"/>
      <c r="I103" s="303"/>
      <c r="J103" s="303"/>
      <c r="K103" s="297"/>
      <c r="L103" s="303"/>
      <c r="M103" s="303"/>
      <c r="N103" s="297"/>
      <c r="O103" s="292"/>
      <c r="P103" s="303"/>
      <c r="Q103" s="298"/>
      <c r="R103" s="294"/>
      <c r="S103" s="297"/>
      <c r="T103" s="292"/>
      <c r="U103" s="299"/>
      <c r="V103" s="292"/>
      <c r="W103" s="309"/>
      <c r="X103" s="292"/>
      <c r="Y103" s="309"/>
      <c r="Z103" s="292"/>
      <c r="AA103" s="315"/>
      <c r="AB103" s="297"/>
      <c r="AC103" s="292"/>
      <c r="AD103" s="292"/>
      <c r="AE103" s="292"/>
      <c r="AF103" s="303"/>
      <c r="AG103" s="303"/>
      <c r="AH103" s="303"/>
      <c r="AI103" s="303"/>
    </row>
    <row r="104">
      <c r="A104" s="304"/>
      <c r="B104" s="299"/>
      <c r="C104" s="292"/>
      <c r="D104" s="293"/>
      <c r="E104" s="292"/>
      <c r="F104" s="293"/>
      <c r="G104" s="294"/>
      <c r="H104" s="295"/>
      <c r="I104" s="303"/>
      <c r="J104" s="303"/>
      <c r="K104" s="297"/>
      <c r="L104" s="303"/>
      <c r="M104" s="303"/>
      <c r="N104" s="297"/>
      <c r="O104" s="292"/>
      <c r="P104" s="303"/>
      <c r="Q104" s="298"/>
      <c r="R104" s="294"/>
      <c r="S104" s="297"/>
      <c r="T104" s="292"/>
      <c r="U104" s="299"/>
      <c r="V104" s="292"/>
      <c r="W104" s="309"/>
      <c r="X104" s="292"/>
      <c r="Y104" s="309"/>
      <c r="Z104" s="292"/>
      <c r="AA104" s="315"/>
      <c r="AB104" s="297"/>
      <c r="AC104" s="292"/>
      <c r="AD104" s="292"/>
      <c r="AE104" s="292"/>
      <c r="AF104" s="303"/>
      <c r="AG104" s="303"/>
      <c r="AH104" s="303"/>
      <c r="AI104" s="303"/>
    </row>
    <row r="105">
      <c r="A105" s="304"/>
      <c r="B105" s="299"/>
      <c r="C105" s="292"/>
      <c r="D105" s="293"/>
      <c r="E105" s="292"/>
      <c r="F105" s="293"/>
      <c r="G105" s="294"/>
      <c r="H105" s="295"/>
      <c r="I105" s="303"/>
      <c r="J105" s="303"/>
      <c r="K105" s="297"/>
      <c r="L105" s="303"/>
      <c r="M105" s="303"/>
      <c r="N105" s="297"/>
      <c r="O105" s="292"/>
      <c r="P105" s="303"/>
      <c r="Q105" s="298"/>
      <c r="R105" s="294"/>
      <c r="S105" s="297"/>
      <c r="T105" s="292"/>
      <c r="U105" s="299"/>
      <c r="V105" s="292"/>
      <c r="W105" s="309"/>
      <c r="X105" s="292"/>
      <c r="Y105" s="309"/>
      <c r="Z105" s="292"/>
      <c r="AA105" s="315"/>
      <c r="AB105" s="297"/>
      <c r="AC105" s="292"/>
      <c r="AD105" s="292"/>
      <c r="AE105" s="292"/>
      <c r="AF105" s="303"/>
      <c r="AG105" s="303"/>
      <c r="AH105" s="303"/>
      <c r="AI105" s="303"/>
    </row>
    <row r="106">
      <c r="A106" s="304"/>
      <c r="B106" s="299"/>
      <c r="C106" s="292"/>
      <c r="D106" s="293"/>
      <c r="E106" s="292"/>
      <c r="F106" s="293"/>
      <c r="G106" s="294"/>
      <c r="H106" s="295"/>
      <c r="I106" s="303"/>
      <c r="J106" s="303"/>
      <c r="K106" s="297"/>
      <c r="L106" s="303"/>
      <c r="M106" s="303"/>
      <c r="N106" s="297"/>
      <c r="O106" s="292"/>
      <c r="P106" s="303"/>
      <c r="Q106" s="298"/>
      <c r="R106" s="294"/>
      <c r="S106" s="297"/>
      <c r="T106" s="292"/>
      <c r="U106" s="299"/>
      <c r="V106" s="292"/>
      <c r="W106" s="309"/>
      <c r="X106" s="292"/>
      <c r="Y106" s="309"/>
      <c r="Z106" s="292"/>
      <c r="AA106" s="315"/>
      <c r="AB106" s="297"/>
      <c r="AC106" s="292"/>
      <c r="AD106" s="292"/>
      <c r="AE106" s="292"/>
      <c r="AF106" s="303"/>
      <c r="AG106" s="303"/>
      <c r="AH106" s="303"/>
      <c r="AI106" s="303"/>
    </row>
    <row r="107">
      <c r="A107" s="304"/>
      <c r="B107" s="299"/>
      <c r="C107" s="292"/>
      <c r="D107" s="293"/>
      <c r="E107" s="292"/>
      <c r="F107" s="293"/>
      <c r="G107" s="294"/>
      <c r="H107" s="295"/>
      <c r="I107" s="303"/>
      <c r="J107" s="303"/>
      <c r="K107" s="297"/>
      <c r="L107" s="303"/>
      <c r="M107" s="303"/>
      <c r="N107" s="297"/>
      <c r="O107" s="292"/>
      <c r="P107" s="303"/>
      <c r="Q107" s="298"/>
      <c r="R107" s="294"/>
      <c r="S107" s="297"/>
      <c r="T107" s="292"/>
      <c r="U107" s="299"/>
      <c r="V107" s="292"/>
      <c r="W107" s="309"/>
      <c r="X107" s="292"/>
      <c r="Y107" s="309"/>
      <c r="Z107" s="292"/>
      <c r="AA107" s="315"/>
      <c r="AB107" s="297"/>
      <c r="AC107" s="292"/>
      <c r="AD107" s="292"/>
      <c r="AE107" s="292"/>
      <c r="AF107" s="303"/>
      <c r="AG107" s="303"/>
      <c r="AH107" s="303"/>
      <c r="AI107" s="303"/>
    </row>
    <row r="108">
      <c r="A108" s="304"/>
      <c r="B108" s="299"/>
      <c r="C108" s="292"/>
      <c r="D108" s="293"/>
      <c r="E108" s="292"/>
      <c r="F108" s="293"/>
      <c r="G108" s="294"/>
      <c r="H108" s="295"/>
      <c r="I108" s="303"/>
      <c r="J108" s="303"/>
      <c r="K108" s="297"/>
      <c r="L108" s="303"/>
      <c r="M108" s="303"/>
      <c r="N108" s="297"/>
      <c r="O108" s="292"/>
      <c r="P108" s="303"/>
      <c r="Q108" s="298"/>
      <c r="R108" s="294"/>
      <c r="S108" s="297"/>
      <c r="T108" s="292"/>
      <c r="U108" s="299"/>
      <c r="V108" s="292"/>
      <c r="W108" s="309"/>
      <c r="X108" s="292"/>
      <c r="Y108" s="309"/>
      <c r="Z108" s="292"/>
      <c r="AA108" s="315"/>
      <c r="AB108" s="297"/>
      <c r="AC108" s="292"/>
      <c r="AD108" s="292"/>
      <c r="AE108" s="292"/>
      <c r="AF108" s="303"/>
      <c r="AG108" s="303"/>
      <c r="AH108" s="303"/>
      <c r="AI108" s="303"/>
    </row>
    <row r="109">
      <c r="A109" s="304"/>
      <c r="B109" s="299"/>
      <c r="C109" s="292"/>
      <c r="D109" s="293"/>
      <c r="E109" s="292"/>
      <c r="F109" s="293"/>
      <c r="G109" s="294"/>
      <c r="H109" s="295"/>
      <c r="I109" s="303"/>
      <c r="J109" s="303"/>
      <c r="K109" s="297"/>
      <c r="L109" s="303"/>
      <c r="M109" s="303"/>
      <c r="N109" s="297"/>
      <c r="O109" s="292"/>
      <c r="P109" s="303"/>
      <c r="Q109" s="298"/>
      <c r="R109" s="294"/>
      <c r="S109" s="297"/>
      <c r="T109" s="292"/>
      <c r="U109" s="299"/>
      <c r="V109" s="292"/>
      <c r="W109" s="309"/>
      <c r="X109" s="292"/>
      <c r="Y109" s="309"/>
      <c r="Z109" s="292"/>
      <c r="AA109" s="315"/>
      <c r="AB109" s="297"/>
      <c r="AC109" s="292"/>
      <c r="AD109" s="292"/>
      <c r="AE109" s="292"/>
      <c r="AF109" s="303"/>
      <c r="AG109" s="303"/>
      <c r="AH109" s="303"/>
      <c r="AI109" s="303"/>
    </row>
    <row r="110">
      <c r="A110" s="304"/>
      <c r="B110" s="299"/>
      <c r="C110" s="292"/>
      <c r="D110" s="293"/>
      <c r="E110" s="292"/>
      <c r="F110" s="293"/>
      <c r="G110" s="294"/>
      <c r="H110" s="295"/>
      <c r="I110" s="303"/>
      <c r="J110" s="303"/>
      <c r="K110" s="297"/>
      <c r="L110" s="303"/>
      <c r="M110" s="303"/>
      <c r="N110" s="297"/>
      <c r="O110" s="292"/>
      <c r="P110" s="303"/>
      <c r="Q110" s="298"/>
      <c r="R110" s="294"/>
      <c r="S110" s="297"/>
      <c r="T110" s="292"/>
      <c r="U110" s="299"/>
      <c r="V110" s="292"/>
      <c r="W110" s="309"/>
      <c r="X110" s="292"/>
      <c r="Y110" s="309"/>
      <c r="Z110" s="292"/>
      <c r="AA110" s="315"/>
      <c r="AB110" s="297"/>
      <c r="AC110" s="292"/>
      <c r="AD110" s="292"/>
      <c r="AE110" s="292"/>
      <c r="AF110" s="303"/>
      <c r="AG110" s="303"/>
      <c r="AH110" s="303"/>
      <c r="AI110" s="303"/>
    </row>
    <row r="111">
      <c r="A111" s="304"/>
      <c r="B111" s="299"/>
      <c r="C111" s="292"/>
      <c r="D111" s="293"/>
      <c r="E111" s="292"/>
      <c r="F111" s="293"/>
      <c r="G111" s="294"/>
      <c r="H111" s="295"/>
      <c r="I111" s="303"/>
      <c r="J111" s="303"/>
      <c r="K111" s="297"/>
      <c r="L111" s="303"/>
      <c r="M111" s="303"/>
      <c r="N111" s="297"/>
      <c r="O111" s="292"/>
      <c r="P111" s="303"/>
      <c r="Q111" s="298"/>
      <c r="R111" s="294"/>
      <c r="S111" s="297"/>
      <c r="T111" s="292"/>
      <c r="U111" s="299"/>
      <c r="V111" s="292"/>
      <c r="W111" s="309"/>
      <c r="X111" s="292"/>
      <c r="Y111" s="309"/>
      <c r="Z111" s="292"/>
      <c r="AA111" s="315"/>
      <c r="AB111" s="297"/>
      <c r="AC111" s="292"/>
      <c r="AD111" s="292"/>
      <c r="AE111" s="292"/>
      <c r="AF111" s="303"/>
      <c r="AG111" s="303"/>
      <c r="AH111" s="303"/>
      <c r="AI111" s="303"/>
    </row>
    <row r="112">
      <c r="A112" s="304"/>
      <c r="B112" s="299"/>
      <c r="C112" s="292"/>
      <c r="D112" s="293"/>
      <c r="E112" s="292"/>
      <c r="F112" s="293"/>
      <c r="G112" s="294"/>
      <c r="H112" s="295"/>
      <c r="I112" s="303"/>
      <c r="J112" s="303"/>
      <c r="K112" s="297"/>
      <c r="L112" s="303"/>
      <c r="M112" s="303"/>
      <c r="N112" s="297"/>
      <c r="O112" s="292"/>
      <c r="P112" s="303"/>
      <c r="Q112" s="298"/>
      <c r="R112" s="294"/>
      <c r="S112" s="297"/>
      <c r="T112" s="292"/>
      <c r="U112" s="299"/>
      <c r="V112" s="292"/>
      <c r="W112" s="309"/>
      <c r="X112" s="292"/>
      <c r="Y112" s="309"/>
      <c r="Z112" s="292"/>
      <c r="AA112" s="315"/>
      <c r="AB112" s="297"/>
      <c r="AC112" s="292"/>
      <c r="AD112" s="292"/>
      <c r="AE112" s="292"/>
      <c r="AF112" s="303"/>
      <c r="AG112" s="303"/>
      <c r="AH112" s="303"/>
      <c r="AI112" s="303"/>
    </row>
    <row r="113">
      <c r="A113" s="304"/>
      <c r="B113" s="299"/>
      <c r="C113" s="292"/>
      <c r="D113" s="293"/>
      <c r="E113" s="292"/>
      <c r="F113" s="293"/>
      <c r="G113" s="294"/>
      <c r="H113" s="295"/>
      <c r="I113" s="303"/>
      <c r="J113" s="303"/>
      <c r="K113" s="297"/>
      <c r="L113" s="303"/>
      <c r="M113" s="303"/>
      <c r="N113" s="297"/>
      <c r="O113" s="292"/>
      <c r="P113" s="303"/>
      <c r="Q113" s="298"/>
      <c r="R113" s="294"/>
      <c r="S113" s="297"/>
      <c r="T113" s="292"/>
      <c r="U113" s="299"/>
      <c r="V113" s="292"/>
      <c r="W113" s="309"/>
      <c r="X113" s="292"/>
      <c r="Y113" s="309"/>
      <c r="Z113" s="292"/>
      <c r="AA113" s="315"/>
      <c r="AB113" s="297"/>
      <c r="AC113" s="292"/>
      <c r="AD113" s="292"/>
      <c r="AE113" s="292"/>
      <c r="AF113" s="303"/>
      <c r="AG113" s="303"/>
      <c r="AH113" s="303"/>
      <c r="AI113" s="303"/>
    </row>
    <row r="114">
      <c r="A114" s="304"/>
      <c r="B114" s="299"/>
      <c r="C114" s="292"/>
      <c r="D114" s="293"/>
      <c r="E114" s="292"/>
      <c r="F114" s="293"/>
      <c r="G114" s="294"/>
      <c r="H114" s="295"/>
      <c r="I114" s="303"/>
      <c r="J114" s="303"/>
      <c r="K114" s="297"/>
      <c r="L114" s="303"/>
      <c r="M114" s="303"/>
      <c r="N114" s="297"/>
      <c r="O114" s="292"/>
      <c r="P114" s="303"/>
      <c r="Q114" s="298"/>
      <c r="R114" s="294"/>
      <c r="S114" s="297"/>
      <c r="T114" s="292"/>
      <c r="U114" s="299"/>
      <c r="V114" s="292"/>
      <c r="W114" s="309"/>
      <c r="X114" s="292"/>
      <c r="Y114" s="309"/>
      <c r="Z114" s="292"/>
      <c r="AA114" s="315"/>
      <c r="AB114" s="297"/>
      <c r="AC114" s="292"/>
      <c r="AD114" s="292"/>
      <c r="AE114" s="292"/>
      <c r="AF114" s="303"/>
      <c r="AG114" s="303"/>
      <c r="AH114" s="303"/>
      <c r="AI114" s="303"/>
    </row>
    <row r="115">
      <c r="A115" s="304"/>
      <c r="B115" s="299"/>
      <c r="C115" s="292"/>
      <c r="D115" s="293"/>
      <c r="E115" s="292"/>
      <c r="F115" s="293"/>
      <c r="G115" s="294"/>
      <c r="H115" s="295"/>
      <c r="I115" s="303"/>
      <c r="J115" s="303"/>
      <c r="K115" s="297"/>
      <c r="L115" s="303"/>
      <c r="M115" s="303"/>
      <c r="N115" s="297"/>
      <c r="O115" s="292"/>
      <c r="P115" s="303"/>
      <c r="Q115" s="298"/>
      <c r="R115" s="294"/>
      <c r="S115" s="297"/>
      <c r="T115" s="292"/>
      <c r="U115" s="299"/>
      <c r="V115" s="292"/>
      <c r="W115" s="309"/>
      <c r="X115" s="292"/>
      <c r="Y115" s="309"/>
      <c r="Z115" s="292"/>
      <c r="AA115" s="315"/>
      <c r="AB115" s="297"/>
      <c r="AC115" s="292"/>
      <c r="AD115" s="292"/>
      <c r="AE115" s="292"/>
      <c r="AF115" s="303"/>
      <c r="AG115" s="303"/>
      <c r="AH115" s="303"/>
      <c r="AI115" s="303"/>
    </row>
    <row r="116">
      <c r="A116" s="304"/>
      <c r="B116" s="299"/>
      <c r="C116" s="292"/>
      <c r="D116" s="293"/>
      <c r="E116" s="292"/>
      <c r="F116" s="293"/>
      <c r="G116" s="294"/>
      <c r="H116" s="295"/>
      <c r="I116" s="303"/>
      <c r="J116" s="303"/>
      <c r="K116" s="297"/>
      <c r="L116" s="303"/>
      <c r="M116" s="303"/>
      <c r="N116" s="297"/>
      <c r="O116" s="292"/>
      <c r="P116" s="303"/>
      <c r="Q116" s="298"/>
      <c r="R116" s="294"/>
      <c r="S116" s="297"/>
      <c r="T116" s="292"/>
      <c r="U116" s="299"/>
      <c r="V116" s="292"/>
      <c r="W116" s="309"/>
      <c r="X116" s="292"/>
      <c r="Y116" s="309"/>
      <c r="Z116" s="292"/>
      <c r="AA116" s="315"/>
      <c r="AB116" s="297"/>
      <c r="AC116" s="292"/>
      <c r="AD116" s="292"/>
      <c r="AE116" s="292"/>
      <c r="AF116" s="303"/>
      <c r="AG116" s="303"/>
      <c r="AH116" s="303"/>
      <c r="AI116" s="303"/>
    </row>
    <row r="117">
      <c r="A117" s="304"/>
      <c r="B117" s="299"/>
      <c r="C117" s="292"/>
      <c r="D117" s="293"/>
      <c r="E117" s="292"/>
      <c r="F117" s="293"/>
      <c r="G117" s="294"/>
      <c r="H117" s="295"/>
      <c r="I117" s="303"/>
      <c r="J117" s="303"/>
      <c r="K117" s="297"/>
      <c r="L117" s="303"/>
      <c r="M117" s="303"/>
      <c r="N117" s="297"/>
      <c r="O117" s="292"/>
      <c r="P117" s="303"/>
      <c r="Q117" s="298"/>
      <c r="R117" s="294"/>
      <c r="S117" s="297"/>
      <c r="T117" s="292"/>
      <c r="U117" s="299"/>
      <c r="V117" s="292"/>
      <c r="W117" s="309"/>
      <c r="X117" s="292"/>
      <c r="Y117" s="309"/>
      <c r="Z117" s="292"/>
      <c r="AA117" s="315"/>
      <c r="AB117" s="297"/>
      <c r="AC117" s="292"/>
      <c r="AD117" s="292"/>
      <c r="AE117" s="292"/>
      <c r="AF117" s="303"/>
      <c r="AG117" s="303"/>
      <c r="AH117" s="303"/>
      <c r="AI117" s="303"/>
    </row>
    <row r="118">
      <c r="A118" s="304"/>
      <c r="B118" s="299"/>
      <c r="C118" s="292"/>
      <c r="D118" s="293"/>
      <c r="E118" s="292"/>
      <c r="F118" s="293"/>
      <c r="G118" s="294"/>
      <c r="H118" s="295"/>
      <c r="I118" s="303"/>
      <c r="J118" s="303"/>
      <c r="K118" s="297"/>
      <c r="L118" s="303"/>
      <c r="M118" s="303"/>
      <c r="N118" s="297"/>
      <c r="O118" s="292"/>
      <c r="P118" s="303"/>
      <c r="Q118" s="298"/>
      <c r="R118" s="294"/>
      <c r="S118" s="297"/>
      <c r="T118" s="292"/>
      <c r="U118" s="299"/>
      <c r="V118" s="292"/>
      <c r="W118" s="309"/>
      <c r="X118" s="292"/>
      <c r="Y118" s="309"/>
      <c r="Z118" s="292"/>
      <c r="AA118" s="315"/>
      <c r="AB118" s="297"/>
      <c r="AC118" s="292"/>
      <c r="AD118" s="292"/>
      <c r="AE118" s="292"/>
      <c r="AF118" s="303"/>
      <c r="AG118" s="303"/>
      <c r="AH118" s="303"/>
      <c r="AI118" s="303"/>
    </row>
    <row r="119">
      <c r="A119" s="304"/>
      <c r="B119" s="299"/>
      <c r="C119" s="292"/>
      <c r="D119" s="293"/>
      <c r="E119" s="292"/>
      <c r="F119" s="293"/>
      <c r="G119" s="294"/>
      <c r="H119" s="295"/>
      <c r="I119" s="303"/>
      <c r="J119" s="303"/>
      <c r="K119" s="297"/>
      <c r="L119" s="303"/>
      <c r="M119" s="303"/>
      <c r="N119" s="297"/>
      <c r="O119" s="292"/>
      <c r="P119" s="303"/>
      <c r="Q119" s="298"/>
      <c r="R119" s="294"/>
      <c r="S119" s="297"/>
      <c r="T119" s="292"/>
      <c r="U119" s="299"/>
      <c r="V119" s="292"/>
      <c r="W119" s="309"/>
      <c r="X119" s="292"/>
      <c r="Y119" s="309"/>
      <c r="Z119" s="292"/>
      <c r="AA119" s="315"/>
      <c r="AB119" s="297"/>
      <c r="AC119" s="292"/>
      <c r="AD119" s="292"/>
      <c r="AE119" s="292"/>
      <c r="AF119" s="303"/>
      <c r="AG119" s="303"/>
      <c r="AH119" s="303"/>
      <c r="AI119" s="303"/>
    </row>
    <row r="120">
      <c r="A120" s="304"/>
      <c r="B120" s="299"/>
      <c r="C120" s="292"/>
      <c r="D120" s="293"/>
      <c r="E120" s="292"/>
      <c r="F120" s="293"/>
      <c r="G120" s="294"/>
      <c r="H120" s="295"/>
      <c r="I120" s="303"/>
      <c r="J120" s="303"/>
      <c r="K120" s="297"/>
      <c r="L120" s="303"/>
      <c r="M120" s="303"/>
      <c r="N120" s="297"/>
      <c r="O120" s="292"/>
      <c r="P120" s="303"/>
      <c r="Q120" s="298"/>
      <c r="R120" s="294"/>
      <c r="S120" s="297"/>
      <c r="T120" s="292"/>
      <c r="U120" s="299"/>
      <c r="V120" s="292"/>
      <c r="W120" s="309"/>
      <c r="X120" s="292"/>
      <c r="Y120" s="309"/>
      <c r="Z120" s="292"/>
      <c r="AA120" s="315"/>
      <c r="AB120" s="297"/>
      <c r="AC120" s="292"/>
      <c r="AD120" s="292"/>
      <c r="AE120" s="292"/>
      <c r="AF120" s="303"/>
      <c r="AG120" s="303"/>
      <c r="AH120" s="303"/>
      <c r="AI120" s="303"/>
    </row>
    <row r="121">
      <c r="A121" s="304"/>
      <c r="B121" s="299"/>
      <c r="C121" s="292"/>
      <c r="D121" s="293"/>
      <c r="E121" s="292"/>
      <c r="F121" s="293"/>
      <c r="G121" s="294"/>
      <c r="H121" s="295"/>
      <c r="I121" s="303"/>
      <c r="J121" s="303"/>
      <c r="K121" s="297"/>
      <c r="L121" s="303"/>
      <c r="M121" s="303"/>
      <c r="N121" s="297"/>
      <c r="O121" s="292"/>
      <c r="P121" s="303"/>
      <c r="Q121" s="298"/>
      <c r="R121" s="294"/>
      <c r="S121" s="297"/>
      <c r="T121" s="292"/>
      <c r="U121" s="299"/>
      <c r="V121" s="292"/>
      <c r="W121" s="309"/>
      <c r="X121" s="292"/>
      <c r="Y121" s="309"/>
      <c r="Z121" s="292"/>
      <c r="AA121" s="315"/>
      <c r="AB121" s="297"/>
      <c r="AC121" s="292"/>
      <c r="AD121" s="292"/>
      <c r="AE121" s="292"/>
      <c r="AF121" s="303"/>
      <c r="AG121" s="303"/>
      <c r="AH121" s="303"/>
      <c r="AI121" s="303"/>
    </row>
    <row r="122">
      <c r="A122" s="304"/>
      <c r="B122" s="299"/>
      <c r="C122" s="292"/>
      <c r="D122" s="293"/>
      <c r="E122" s="292"/>
      <c r="F122" s="293"/>
      <c r="G122" s="294"/>
      <c r="H122" s="295"/>
      <c r="I122" s="303"/>
      <c r="J122" s="303"/>
      <c r="K122" s="297"/>
      <c r="L122" s="303"/>
      <c r="M122" s="303"/>
      <c r="N122" s="297"/>
      <c r="O122" s="292"/>
      <c r="P122" s="303"/>
      <c r="Q122" s="298"/>
      <c r="R122" s="294"/>
      <c r="S122" s="297"/>
      <c r="T122" s="292"/>
      <c r="U122" s="299"/>
      <c r="V122" s="292"/>
      <c r="W122" s="309"/>
      <c r="X122" s="292"/>
      <c r="Y122" s="309"/>
      <c r="Z122" s="292"/>
      <c r="AA122" s="315"/>
      <c r="AB122" s="297"/>
      <c r="AC122" s="292"/>
      <c r="AD122" s="292"/>
      <c r="AE122" s="292"/>
      <c r="AF122" s="303"/>
      <c r="AG122" s="303"/>
      <c r="AH122" s="303"/>
      <c r="AI122" s="303"/>
    </row>
    <row r="123">
      <c r="A123" s="304"/>
      <c r="B123" s="299"/>
      <c r="C123" s="292"/>
      <c r="D123" s="293"/>
      <c r="E123" s="292"/>
      <c r="F123" s="293"/>
      <c r="G123" s="294"/>
      <c r="H123" s="295"/>
      <c r="I123" s="303"/>
      <c r="J123" s="303"/>
      <c r="K123" s="297"/>
      <c r="L123" s="303"/>
      <c r="M123" s="303"/>
      <c r="N123" s="297"/>
      <c r="O123" s="292"/>
      <c r="P123" s="303"/>
      <c r="Q123" s="298"/>
      <c r="R123" s="294"/>
      <c r="S123" s="297"/>
      <c r="T123" s="292"/>
      <c r="U123" s="299"/>
      <c r="V123" s="292"/>
      <c r="W123" s="309"/>
      <c r="X123" s="292"/>
      <c r="Y123" s="309"/>
      <c r="Z123" s="292"/>
      <c r="AA123" s="315"/>
      <c r="AB123" s="297"/>
      <c r="AC123" s="292"/>
      <c r="AD123" s="292"/>
      <c r="AE123" s="292"/>
      <c r="AF123" s="303"/>
      <c r="AG123" s="303"/>
      <c r="AH123" s="303"/>
      <c r="AI123" s="303"/>
    </row>
    <row r="124">
      <c r="A124" s="304"/>
      <c r="B124" s="299"/>
      <c r="C124" s="292"/>
      <c r="D124" s="293"/>
      <c r="E124" s="292"/>
      <c r="F124" s="293"/>
      <c r="G124" s="294"/>
      <c r="H124" s="295"/>
      <c r="I124" s="303"/>
      <c r="J124" s="303"/>
      <c r="K124" s="297"/>
      <c r="L124" s="303"/>
      <c r="M124" s="303"/>
      <c r="N124" s="297"/>
      <c r="O124" s="292"/>
      <c r="P124" s="303"/>
      <c r="Q124" s="298"/>
      <c r="R124" s="294"/>
      <c r="S124" s="297"/>
      <c r="T124" s="292"/>
      <c r="U124" s="299"/>
      <c r="V124" s="292"/>
      <c r="W124" s="309"/>
      <c r="X124" s="292"/>
      <c r="Y124" s="309"/>
      <c r="Z124" s="292"/>
      <c r="AA124" s="315"/>
      <c r="AB124" s="297"/>
      <c r="AC124" s="292"/>
      <c r="AD124" s="292"/>
      <c r="AE124" s="292"/>
      <c r="AF124" s="303"/>
      <c r="AG124" s="303"/>
      <c r="AH124" s="303"/>
      <c r="AI124" s="303"/>
    </row>
    <row r="125">
      <c r="A125" s="304"/>
      <c r="B125" s="299"/>
      <c r="C125" s="292"/>
      <c r="D125" s="293"/>
      <c r="E125" s="292"/>
      <c r="F125" s="293"/>
      <c r="G125" s="294"/>
      <c r="H125" s="295"/>
      <c r="I125" s="303"/>
      <c r="J125" s="303"/>
      <c r="K125" s="297"/>
      <c r="L125" s="303"/>
      <c r="M125" s="303"/>
      <c r="N125" s="297"/>
      <c r="O125" s="292"/>
      <c r="P125" s="303"/>
      <c r="Q125" s="298"/>
      <c r="R125" s="294"/>
      <c r="S125" s="297"/>
      <c r="T125" s="292"/>
      <c r="U125" s="299"/>
      <c r="V125" s="292"/>
      <c r="W125" s="309"/>
      <c r="X125" s="292"/>
      <c r="Y125" s="309"/>
      <c r="Z125" s="292"/>
      <c r="AA125" s="315"/>
      <c r="AB125" s="297"/>
      <c r="AC125" s="292"/>
      <c r="AD125" s="292"/>
      <c r="AE125" s="292"/>
      <c r="AF125" s="303"/>
      <c r="AG125" s="303"/>
      <c r="AH125" s="303"/>
      <c r="AI125" s="303"/>
    </row>
    <row r="126">
      <c r="A126" s="304"/>
      <c r="B126" s="299"/>
      <c r="C126" s="292"/>
      <c r="D126" s="293"/>
      <c r="E126" s="292"/>
      <c r="F126" s="293"/>
      <c r="G126" s="294"/>
      <c r="H126" s="295"/>
      <c r="I126" s="303"/>
      <c r="J126" s="303"/>
      <c r="K126" s="297"/>
      <c r="L126" s="303"/>
      <c r="M126" s="303"/>
      <c r="N126" s="297"/>
      <c r="O126" s="292"/>
      <c r="P126" s="303"/>
      <c r="Q126" s="298"/>
      <c r="R126" s="294"/>
      <c r="S126" s="297"/>
      <c r="T126" s="292"/>
      <c r="U126" s="299"/>
      <c r="V126" s="292"/>
      <c r="W126" s="309"/>
      <c r="X126" s="292"/>
      <c r="Y126" s="309"/>
      <c r="Z126" s="292"/>
      <c r="AA126" s="315"/>
      <c r="AB126" s="297"/>
      <c r="AC126" s="292"/>
      <c r="AD126" s="292"/>
      <c r="AE126" s="292"/>
      <c r="AF126" s="303"/>
      <c r="AG126" s="303"/>
      <c r="AH126" s="303"/>
      <c r="AI126" s="303"/>
    </row>
    <row r="127">
      <c r="A127" s="304"/>
      <c r="B127" s="299"/>
      <c r="C127" s="292"/>
      <c r="D127" s="293"/>
      <c r="E127" s="292"/>
      <c r="F127" s="293"/>
      <c r="G127" s="294"/>
      <c r="H127" s="295"/>
      <c r="I127" s="303"/>
      <c r="J127" s="303"/>
      <c r="K127" s="297"/>
      <c r="L127" s="303"/>
      <c r="M127" s="303"/>
      <c r="N127" s="297"/>
      <c r="O127" s="292"/>
      <c r="P127" s="303"/>
      <c r="Q127" s="298"/>
      <c r="R127" s="294"/>
      <c r="S127" s="297"/>
      <c r="T127" s="292"/>
      <c r="U127" s="299"/>
      <c r="V127" s="292"/>
      <c r="W127" s="309"/>
      <c r="X127" s="292"/>
      <c r="Y127" s="309"/>
      <c r="Z127" s="292"/>
      <c r="AA127" s="315"/>
      <c r="AB127" s="297"/>
      <c r="AC127" s="292"/>
      <c r="AD127" s="292"/>
      <c r="AE127" s="292"/>
      <c r="AF127" s="303"/>
      <c r="AG127" s="303"/>
      <c r="AH127" s="303"/>
      <c r="AI127" s="303"/>
    </row>
    <row r="128">
      <c r="A128" s="304"/>
      <c r="B128" s="299"/>
      <c r="C128" s="292"/>
      <c r="D128" s="293"/>
      <c r="E128" s="292"/>
      <c r="F128" s="293"/>
      <c r="G128" s="294"/>
      <c r="H128" s="295"/>
      <c r="I128" s="303"/>
      <c r="J128" s="303"/>
      <c r="K128" s="297"/>
      <c r="L128" s="303"/>
      <c r="M128" s="303"/>
      <c r="N128" s="297"/>
      <c r="O128" s="292"/>
      <c r="P128" s="303"/>
      <c r="Q128" s="298"/>
      <c r="R128" s="294"/>
      <c r="S128" s="297"/>
      <c r="T128" s="292"/>
      <c r="U128" s="299"/>
      <c r="V128" s="292"/>
      <c r="W128" s="309"/>
      <c r="X128" s="292"/>
      <c r="Y128" s="309"/>
      <c r="Z128" s="292"/>
      <c r="AA128" s="315"/>
      <c r="AB128" s="297"/>
      <c r="AC128" s="292"/>
      <c r="AD128" s="292"/>
      <c r="AE128" s="292"/>
      <c r="AF128" s="303"/>
      <c r="AG128" s="303"/>
      <c r="AH128" s="303"/>
      <c r="AI128" s="303"/>
    </row>
    <row r="129">
      <c r="A129" s="304"/>
      <c r="B129" s="299"/>
      <c r="C129" s="292"/>
      <c r="D129" s="293"/>
      <c r="E129" s="292"/>
      <c r="F129" s="293"/>
      <c r="G129" s="294"/>
      <c r="H129" s="295"/>
      <c r="I129" s="303"/>
      <c r="J129" s="303"/>
      <c r="K129" s="297"/>
      <c r="L129" s="303"/>
      <c r="M129" s="303"/>
      <c r="N129" s="297"/>
      <c r="O129" s="292"/>
      <c r="P129" s="303"/>
      <c r="Q129" s="298"/>
      <c r="R129" s="294"/>
      <c r="S129" s="297"/>
      <c r="T129" s="292"/>
      <c r="U129" s="299"/>
      <c r="V129" s="292"/>
      <c r="W129" s="309"/>
      <c r="X129" s="292"/>
      <c r="Y129" s="309"/>
      <c r="Z129" s="292"/>
      <c r="AA129" s="315"/>
      <c r="AB129" s="297"/>
      <c r="AC129" s="292"/>
      <c r="AD129" s="292"/>
      <c r="AE129" s="292"/>
      <c r="AF129" s="303"/>
      <c r="AG129" s="303"/>
      <c r="AH129" s="303"/>
      <c r="AI129" s="303"/>
    </row>
    <row r="130">
      <c r="A130" s="304"/>
      <c r="B130" s="299"/>
      <c r="C130" s="292"/>
      <c r="D130" s="293"/>
      <c r="E130" s="292"/>
      <c r="F130" s="293"/>
      <c r="G130" s="294"/>
      <c r="H130" s="295"/>
      <c r="I130" s="303"/>
      <c r="J130" s="303"/>
      <c r="K130" s="297"/>
      <c r="L130" s="303"/>
      <c r="M130" s="303"/>
      <c r="N130" s="297"/>
      <c r="O130" s="292"/>
      <c r="P130" s="303"/>
      <c r="Q130" s="298"/>
      <c r="R130" s="294"/>
      <c r="S130" s="297"/>
      <c r="T130" s="292"/>
      <c r="U130" s="299"/>
      <c r="V130" s="292"/>
      <c r="W130" s="309"/>
      <c r="X130" s="292"/>
      <c r="Y130" s="309"/>
      <c r="Z130" s="292"/>
      <c r="AA130" s="315"/>
      <c r="AB130" s="297"/>
      <c r="AC130" s="292"/>
      <c r="AD130" s="292"/>
      <c r="AE130" s="292"/>
      <c r="AF130" s="303"/>
      <c r="AG130" s="303"/>
      <c r="AH130" s="303"/>
      <c r="AI130" s="303"/>
    </row>
    <row r="131">
      <c r="A131" s="304"/>
      <c r="B131" s="299"/>
      <c r="C131" s="292"/>
      <c r="D131" s="293"/>
      <c r="E131" s="292"/>
      <c r="F131" s="293"/>
      <c r="G131" s="294"/>
      <c r="H131" s="295"/>
      <c r="I131" s="303"/>
      <c r="J131" s="303"/>
      <c r="K131" s="297"/>
      <c r="L131" s="303"/>
      <c r="M131" s="303"/>
      <c r="N131" s="297"/>
      <c r="O131" s="292"/>
      <c r="P131" s="303"/>
      <c r="Q131" s="298"/>
      <c r="R131" s="294"/>
      <c r="S131" s="297"/>
      <c r="T131" s="292"/>
      <c r="U131" s="299"/>
      <c r="V131" s="292"/>
      <c r="W131" s="309"/>
      <c r="X131" s="292"/>
      <c r="Y131" s="309"/>
      <c r="Z131" s="292"/>
      <c r="AA131" s="315"/>
      <c r="AB131" s="297"/>
      <c r="AC131" s="292"/>
      <c r="AD131" s="292"/>
      <c r="AE131" s="292"/>
      <c r="AF131" s="303"/>
      <c r="AG131" s="303"/>
      <c r="AH131" s="303"/>
      <c r="AI131" s="303"/>
    </row>
    <row r="132">
      <c r="A132" s="304"/>
      <c r="B132" s="299"/>
      <c r="C132" s="292"/>
      <c r="D132" s="293"/>
      <c r="E132" s="292"/>
      <c r="F132" s="293"/>
      <c r="G132" s="294"/>
      <c r="H132" s="295"/>
      <c r="I132" s="303"/>
      <c r="J132" s="303"/>
      <c r="K132" s="297"/>
      <c r="L132" s="303"/>
      <c r="M132" s="303"/>
      <c r="N132" s="297"/>
      <c r="O132" s="292"/>
      <c r="P132" s="303"/>
      <c r="Q132" s="298"/>
      <c r="R132" s="294"/>
      <c r="S132" s="297"/>
      <c r="T132" s="292"/>
      <c r="U132" s="299"/>
      <c r="V132" s="292"/>
      <c r="W132" s="309"/>
      <c r="X132" s="292"/>
      <c r="Y132" s="309"/>
      <c r="Z132" s="292"/>
      <c r="AA132" s="315"/>
      <c r="AB132" s="297"/>
      <c r="AC132" s="292"/>
      <c r="AD132" s="292"/>
      <c r="AE132" s="292"/>
      <c r="AF132" s="303"/>
      <c r="AG132" s="303"/>
      <c r="AH132" s="303"/>
      <c r="AI132" s="303"/>
    </row>
    <row r="133">
      <c r="A133" s="304"/>
      <c r="B133" s="299"/>
      <c r="C133" s="292"/>
      <c r="D133" s="293"/>
      <c r="E133" s="292"/>
      <c r="F133" s="293"/>
      <c r="G133" s="294"/>
      <c r="H133" s="295"/>
      <c r="I133" s="303"/>
      <c r="J133" s="303"/>
      <c r="K133" s="297"/>
      <c r="L133" s="303"/>
      <c r="M133" s="303"/>
      <c r="N133" s="297"/>
      <c r="O133" s="292"/>
      <c r="P133" s="303"/>
      <c r="Q133" s="298"/>
      <c r="R133" s="294"/>
      <c r="S133" s="297"/>
      <c r="T133" s="292"/>
      <c r="U133" s="299"/>
      <c r="V133" s="292"/>
      <c r="W133" s="309"/>
      <c r="X133" s="292"/>
      <c r="Y133" s="309"/>
      <c r="Z133" s="292"/>
      <c r="AA133" s="315"/>
      <c r="AB133" s="297"/>
      <c r="AC133" s="292"/>
      <c r="AD133" s="292"/>
      <c r="AE133" s="292"/>
      <c r="AF133" s="303"/>
      <c r="AG133" s="303"/>
      <c r="AH133" s="303"/>
      <c r="AI133" s="303"/>
    </row>
    <row r="134">
      <c r="A134" s="304"/>
      <c r="B134" s="299"/>
      <c r="C134" s="292"/>
      <c r="D134" s="293"/>
      <c r="E134" s="292"/>
      <c r="F134" s="293"/>
      <c r="G134" s="294"/>
      <c r="H134" s="295"/>
      <c r="I134" s="303"/>
      <c r="J134" s="303"/>
      <c r="K134" s="297"/>
      <c r="L134" s="303"/>
      <c r="M134" s="303"/>
      <c r="N134" s="297"/>
      <c r="O134" s="292"/>
      <c r="P134" s="303"/>
      <c r="Q134" s="298"/>
      <c r="R134" s="294"/>
      <c r="S134" s="297"/>
      <c r="T134" s="292"/>
      <c r="U134" s="299"/>
      <c r="V134" s="292"/>
      <c r="W134" s="309"/>
      <c r="X134" s="292"/>
      <c r="Y134" s="309"/>
      <c r="Z134" s="292"/>
      <c r="AA134" s="315"/>
      <c r="AB134" s="297"/>
      <c r="AC134" s="292"/>
      <c r="AD134" s="292"/>
      <c r="AE134" s="292"/>
      <c r="AF134" s="303"/>
      <c r="AG134" s="303"/>
      <c r="AH134" s="303"/>
      <c r="AI134" s="303"/>
    </row>
    <row r="135">
      <c r="A135" s="304"/>
      <c r="B135" s="299"/>
      <c r="C135" s="292"/>
      <c r="D135" s="293"/>
      <c r="E135" s="292"/>
      <c r="F135" s="293"/>
      <c r="G135" s="294"/>
      <c r="H135" s="295"/>
      <c r="I135" s="303"/>
      <c r="J135" s="303"/>
      <c r="K135" s="297"/>
      <c r="L135" s="303"/>
      <c r="M135" s="303"/>
      <c r="N135" s="297"/>
      <c r="O135" s="292"/>
      <c r="P135" s="303"/>
      <c r="Q135" s="298"/>
      <c r="R135" s="294"/>
      <c r="S135" s="297"/>
      <c r="T135" s="292"/>
      <c r="U135" s="299"/>
      <c r="V135" s="292"/>
      <c r="W135" s="309"/>
      <c r="X135" s="292"/>
      <c r="Y135" s="309"/>
      <c r="Z135" s="292"/>
      <c r="AA135" s="315"/>
      <c r="AB135" s="297"/>
      <c r="AC135" s="292"/>
      <c r="AD135" s="292"/>
      <c r="AE135" s="292"/>
      <c r="AF135" s="303"/>
      <c r="AG135" s="303"/>
      <c r="AH135" s="303"/>
      <c r="AI135" s="303"/>
    </row>
    <row r="136">
      <c r="A136" s="304"/>
      <c r="B136" s="299"/>
      <c r="C136" s="292"/>
      <c r="D136" s="293"/>
      <c r="E136" s="292"/>
      <c r="F136" s="293"/>
      <c r="G136" s="294"/>
      <c r="H136" s="295"/>
      <c r="I136" s="303"/>
      <c r="J136" s="303"/>
      <c r="K136" s="297"/>
      <c r="L136" s="303"/>
      <c r="M136" s="303"/>
      <c r="N136" s="297"/>
      <c r="O136" s="292"/>
      <c r="P136" s="303"/>
      <c r="Q136" s="298"/>
      <c r="R136" s="294"/>
      <c r="S136" s="297"/>
      <c r="T136" s="292"/>
      <c r="U136" s="299"/>
      <c r="V136" s="292"/>
      <c r="W136" s="309"/>
      <c r="X136" s="292"/>
      <c r="Y136" s="309"/>
      <c r="Z136" s="292"/>
      <c r="AA136" s="315"/>
      <c r="AB136" s="297"/>
      <c r="AC136" s="292"/>
      <c r="AD136" s="292"/>
      <c r="AE136" s="292"/>
      <c r="AF136" s="303"/>
      <c r="AG136" s="303"/>
      <c r="AH136" s="303"/>
      <c r="AI136" s="303"/>
    </row>
    <row r="137">
      <c r="A137" s="304"/>
      <c r="B137" s="299"/>
      <c r="C137" s="292"/>
      <c r="D137" s="293"/>
      <c r="E137" s="292"/>
      <c r="F137" s="293"/>
      <c r="G137" s="294"/>
      <c r="H137" s="295"/>
      <c r="I137" s="303"/>
      <c r="J137" s="303"/>
      <c r="K137" s="297"/>
      <c r="L137" s="303"/>
      <c r="M137" s="303"/>
      <c r="N137" s="297"/>
      <c r="O137" s="292"/>
      <c r="P137" s="303"/>
      <c r="Q137" s="298"/>
      <c r="R137" s="294"/>
      <c r="S137" s="297"/>
      <c r="T137" s="292"/>
      <c r="U137" s="299"/>
      <c r="V137" s="292"/>
      <c r="W137" s="309"/>
      <c r="X137" s="292"/>
      <c r="Y137" s="309"/>
      <c r="Z137" s="292"/>
      <c r="AA137" s="315"/>
      <c r="AB137" s="297"/>
      <c r="AC137" s="292"/>
      <c r="AD137" s="292"/>
      <c r="AE137" s="292"/>
      <c r="AF137" s="303"/>
      <c r="AG137" s="303"/>
      <c r="AH137" s="303"/>
      <c r="AI137" s="303"/>
    </row>
    <row r="138">
      <c r="A138" s="304"/>
      <c r="B138" s="299"/>
      <c r="C138" s="292"/>
      <c r="D138" s="293"/>
      <c r="E138" s="292"/>
      <c r="F138" s="293"/>
      <c r="G138" s="294"/>
      <c r="H138" s="295"/>
      <c r="I138" s="303"/>
      <c r="J138" s="303"/>
      <c r="K138" s="297"/>
      <c r="L138" s="303"/>
      <c r="M138" s="303"/>
      <c r="N138" s="297"/>
      <c r="O138" s="292"/>
      <c r="P138" s="303"/>
      <c r="Q138" s="298"/>
      <c r="R138" s="294"/>
      <c r="S138" s="297"/>
      <c r="T138" s="292"/>
      <c r="U138" s="299"/>
      <c r="V138" s="292"/>
      <c r="W138" s="309"/>
      <c r="X138" s="292"/>
      <c r="Y138" s="309"/>
      <c r="Z138" s="292"/>
      <c r="AA138" s="315"/>
      <c r="AB138" s="297"/>
      <c r="AC138" s="292"/>
      <c r="AD138" s="292"/>
      <c r="AE138" s="292"/>
      <c r="AF138" s="303"/>
      <c r="AG138" s="303"/>
      <c r="AH138" s="303"/>
      <c r="AI138" s="303"/>
    </row>
    <row r="139">
      <c r="A139" s="304"/>
      <c r="B139" s="299"/>
      <c r="C139" s="292"/>
      <c r="D139" s="293"/>
      <c r="E139" s="292"/>
      <c r="F139" s="293"/>
      <c r="G139" s="294"/>
      <c r="H139" s="295"/>
      <c r="I139" s="303"/>
      <c r="J139" s="303"/>
      <c r="K139" s="297"/>
      <c r="L139" s="303"/>
      <c r="M139" s="303"/>
      <c r="N139" s="297"/>
      <c r="O139" s="292"/>
      <c r="P139" s="303"/>
      <c r="Q139" s="298"/>
      <c r="R139" s="294"/>
      <c r="S139" s="297"/>
      <c r="T139" s="292"/>
      <c r="U139" s="299"/>
      <c r="V139" s="292"/>
      <c r="W139" s="309"/>
      <c r="X139" s="292"/>
      <c r="Y139" s="309"/>
      <c r="Z139" s="292"/>
      <c r="AA139" s="315"/>
      <c r="AB139" s="297"/>
      <c r="AC139" s="292"/>
      <c r="AD139" s="292"/>
      <c r="AE139" s="292"/>
      <c r="AF139" s="303"/>
      <c r="AG139" s="303"/>
      <c r="AH139" s="303"/>
      <c r="AI139" s="303"/>
    </row>
    <row r="140">
      <c r="A140" s="304"/>
      <c r="B140" s="299"/>
      <c r="C140" s="292"/>
      <c r="D140" s="293"/>
      <c r="E140" s="292"/>
      <c r="F140" s="293"/>
      <c r="G140" s="294"/>
      <c r="H140" s="295"/>
      <c r="I140" s="303"/>
      <c r="J140" s="303"/>
      <c r="K140" s="297"/>
      <c r="L140" s="303"/>
      <c r="M140" s="303"/>
      <c r="N140" s="297"/>
      <c r="O140" s="292"/>
      <c r="P140" s="303"/>
      <c r="Q140" s="298"/>
      <c r="R140" s="294"/>
      <c r="S140" s="297"/>
      <c r="T140" s="292"/>
      <c r="U140" s="299"/>
      <c r="V140" s="292"/>
      <c r="W140" s="309"/>
      <c r="X140" s="292"/>
      <c r="Y140" s="309"/>
      <c r="Z140" s="292"/>
      <c r="AA140" s="315"/>
      <c r="AB140" s="297"/>
      <c r="AC140" s="292"/>
      <c r="AD140" s="292"/>
      <c r="AE140" s="292"/>
      <c r="AF140" s="303"/>
      <c r="AG140" s="303"/>
      <c r="AH140" s="303"/>
      <c r="AI140" s="303"/>
    </row>
    <row r="141">
      <c r="A141" s="304"/>
      <c r="B141" s="299"/>
      <c r="C141" s="292"/>
      <c r="D141" s="293"/>
      <c r="E141" s="292"/>
      <c r="F141" s="293"/>
      <c r="G141" s="294"/>
      <c r="H141" s="295"/>
      <c r="I141" s="303"/>
      <c r="J141" s="303"/>
      <c r="K141" s="297"/>
      <c r="L141" s="303"/>
      <c r="M141" s="303"/>
      <c r="N141" s="297"/>
      <c r="O141" s="292"/>
      <c r="P141" s="303"/>
      <c r="Q141" s="298"/>
      <c r="R141" s="294"/>
      <c r="S141" s="297"/>
      <c r="T141" s="292"/>
      <c r="U141" s="299"/>
      <c r="V141" s="292"/>
      <c r="W141" s="309"/>
      <c r="X141" s="292"/>
      <c r="Y141" s="309"/>
      <c r="Z141" s="292"/>
      <c r="AA141" s="315"/>
      <c r="AB141" s="297"/>
      <c r="AC141" s="292"/>
      <c r="AD141" s="292"/>
      <c r="AE141" s="292"/>
      <c r="AF141" s="303"/>
      <c r="AG141" s="303"/>
      <c r="AH141" s="303"/>
      <c r="AI141" s="303"/>
    </row>
    <row r="142">
      <c r="A142" s="304"/>
      <c r="B142" s="299"/>
      <c r="C142" s="292"/>
      <c r="D142" s="293"/>
      <c r="E142" s="292"/>
      <c r="F142" s="293"/>
      <c r="G142" s="294"/>
      <c r="H142" s="295"/>
      <c r="I142" s="303"/>
      <c r="J142" s="303"/>
      <c r="K142" s="297"/>
      <c r="L142" s="303"/>
      <c r="M142" s="303"/>
      <c r="N142" s="297"/>
      <c r="O142" s="292"/>
      <c r="P142" s="303"/>
      <c r="Q142" s="298"/>
      <c r="R142" s="294"/>
      <c r="S142" s="297"/>
      <c r="T142" s="292"/>
      <c r="U142" s="299"/>
      <c r="V142" s="292"/>
      <c r="W142" s="309"/>
      <c r="X142" s="292"/>
      <c r="Y142" s="309"/>
      <c r="Z142" s="292"/>
      <c r="AA142" s="315"/>
      <c r="AB142" s="297"/>
      <c r="AC142" s="292"/>
      <c r="AD142" s="292"/>
      <c r="AE142" s="292"/>
      <c r="AF142" s="303"/>
      <c r="AG142" s="303"/>
      <c r="AH142" s="303"/>
      <c r="AI142" s="303"/>
    </row>
    <row r="143">
      <c r="A143" s="304"/>
      <c r="B143" s="299"/>
      <c r="C143" s="292"/>
      <c r="D143" s="293"/>
      <c r="E143" s="292"/>
      <c r="F143" s="293"/>
      <c r="G143" s="294"/>
      <c r="H143" s="295"/>
      <c r="I143" s="303"/>
      <c r="J143" s="303"/>
      <c r="K143" s="297"/>
      <c r="L143" s="303"/>
      <c r="M143" s="303"/>
      <c r="N143" s="297"/>
      <c r="O143" s="292"/>
      <c r="P143" s="303"/>
      <c r="Q143" s="298"/>
      <c r="R143" s="294"/>
      <c r="S143" s="297"/>
      <c r="T143" s="292"/>
      <c r="U143" s="299"/>
      <c r="V143" s="292"/>
      <c r="W143" s="309"/>
      <c r="X143" s="292"/>
      <c r="Y143" s="309"/>
      <c r="Z143" s="292"/>
      <c r="AA143" s="315"/>
      <c r="AB143" s="297"/>
      <c r="AC143" s="292"/>
      <c r="AD143" s="292"/>
      <c r="AE143" s="292"/>
      <c r="AF143" s="303"/>
      <c r="AG143" s="303"/>
      <c r="AH143" s="303"/>
      <c r="AI143" s="303"/>
    </row>
    <row r="144">
      <c r="A144" s="304"/>
      <c r="B144" s="299"/>
      <c r="C144" s="292"/>
      <c r="D144" s="293"/>
      <c r="E144" s="292"/>
      <c r="F144" s="293"/>
      <c r="G144" s="294"/>
      <c r="H144" s="295"/>
      <c r="I144" s="303"/>
      <c r="J144" s="303"/>
      <c r="K144" s="297"/>
      <c r="L144" s="303"/>
      <c r="M144" s="303"/>
      <c r="N144" s="297"/>
      <c r="O144" s="292"/>
      <c r="P144" s="303"/>
      <c r="Q144" s="298"/>
      <c r="R144" s="294"/>
      <c r="S144" s="297"/>
      <c r="T144" s="292"/>
      <c r="U144" s="299"/>
      <c r="V144" s="292"/>
      <c r="W144" s="309"/>
      <c r="X144" s="292"/>
      <c r="Y144" s="309"/>
      <c r="Z144" s="292"/>
      <c r="AA144" s="315"/>
      <c r="AB144" s="297"/>
      <c r="AC144" s="292"/>
      <c r="AD144" s="292"/>
      <c r="AE144" s="292"/>
      <c r="AF144" s="303"/>
      <c r="AG144" s="303"/>
      <c r="AH144" s="303"/>
      <c r="AI144" s="303"/>
    </row>
    <row r="145">
      <c r="A145" s="304"/>
      <c r="B145" s="299"/>
      <c r="C145" s="292"/>
      <c r="D145" s="293"/>
      <c r="E145" s="292"/>
      <c r="F145" s="293"/>
      <c r="G145" s="294"/>
      <c r="H145" s="295"/>
      <c r="I145" s="303"/>
      <c r="J145" s="303"/>
      <c r="K145" s="297"/>
      <c r="L145" s="303"/>
      <c r="M145" s="303"/>
      <c r="N145" s="297"/>
      <c r="O145" s="292"/>
      <c r="P145" s="303"/>
      <c r="Q145" s="298"/>
      <c r="R145" s="294"/>
      <c r="S145" s="297"/>
      <c r="T145" s="292"/>
      <c r="U145" s="299"/>
      <c r="V145" s="292"/>
      <c r="W145" s="309"/>
      <c r="X145" s="292"/>
      <c r="Y145" s="309"/>
      <c r="Z145" s="292"/>
      <c r="AA145" s="315"/>
      <c r="AB145" s="297"/>
      <c r="AC145" s="292"/>
      <c r="AD145" s="292"/>
      <c r="AE145" s="292"/>
      <c r="AF145" s="303"/>
      <c r="AG145" s="303"/>
      <c r="AH145" s="303"/>
      <c r="AI145" s="303"/>
    </row>
    <row r="146">
      <c r="A146" s="304"/>
      <c r="B146" s="299"/>
      <c r="C146" s="292"/>
      <c r="D146" s="293"/>
      <c r="E146" s="292"/>
      <c r="F146" s="293"/>
      <c r="G146" s="294"/>
      <c r="H146" s="295"/>
      <c r="I146" s="303"/>
      <c r="J146" s="303"/>
      <c r="K146" s="297"/>
      <c r="L146" s="303"/>
      <c r="M146" s="303"/>
      <c r="N146" s="297"/>
      <c r="O146" s="292"/>
      <c r="P146" s="303"/>
      <c r="Q146" s="298"/>
      <c r="R146" s="294"/>
      <c r="S146" s="297"/>
      <c r="T146" s="292"/>
      <c r="U146" s="299"/>
      <c r="V146" s="292"/>
      <c r="W146" s="309"/>
      <c r="X146" s="292"/>
      <c r="Y146" s="309"/>
      <c r="Z146" s="292"/>
      <c r="AA146" s="315"/>
      <c r="AB146" s="297"/>
      <c r="AC146" s="292"/>
      <c r="AD146" s="292"/>
      <c r="AE146" s="292"/>
      <c r="AF146" s="303"/>
      <c r="AG146" s="303"/>
      <c r="AH146" s="303"/>
      <c r="AI146" s="303"/>
    </row>
    <row r="147">
      <c r="A147" s="304"/>
      <c r="B147" s="299"/>
      <c r="C147" s="292"/>
      <c r="D147" s="293"/>
      <c r="E147" s="292"/>
      <c r="F147" s="293"/>
      <c r="G147" s="294"/>
      <c r="H147" s="295"/>
      <c r="I147" s="303"/>
      <c r="J147" s="303"/>
      <c r="K147" s="297"/>
      <c r="L147" s="303"/>
      <c r="M147" s="303"/>
      <c r="N147" s="297"/>
      <c r="O147" s="292"/>
      <c r="P147" s="303"/>
      <c r="Q147" s="298"/>
      <c r="R147" s="294"/>
      <c r="S147" s="297"/>
      <c r="T147" s="292"/>
      <c r="U147" s="299"/>
      <c r="V147" s="292"/>
      <c r="W147" s="309"/>
      <c r="X147" s="292"/>
      <c r="Y147" s="309"/>
      <c r="Z147" s="292"/>
      <c r="AA147" s="315"/>
      <c r="AB147" s="297"/>
      <c r="AC147" s="292"/>
      <c r="AD147" s="292"/>
      <c r="AE147" s="292"/>
      <c r="AF147" s="303"/>
      <c r="AG147" s="303"/>
      <c r="AH147" s="303"/>
      <c r="AI147" s="303"/>
    </row>
    <row r="148">
      <c r="A148" s="304"/>
      <c r="B148" s="299"/>
      <c r="C148" s="292"/>
      <c r="D148" s="293"/>
      <c r="E148" s="292"/>
      <c r="F148" s="293"/>
      <c r="G148" s="294"/>
      <c r="H148" s="295"/>
      <c r="I148" s="303"/>
      <c r="J148" s="303"/>
      <c r="K148" s="297"/>
      <c r="L148" s="303"/>
      <c r="M148" s="303"/>
      <c r="N148" s="297"/>
      <c r="O148" s="292"/>
      <c r="P148" s="303"/>
      <c r="Q148" s="298"/>
      <c r="R148" s="294"/>
      <c r="S148" s="297"/>
      <c r="T148" s="292"/>
      <c r="U148" s="299"/>
      <c r="V148" s="292"/>
      <c r="W148" s="309"/>
      <c r="X148" s="292"/>
      <c r="Y148" s="309"/>
      <c r="Z148" s="292"/>
      <c r="AA148" s="315"/>
      <c r="AB148" s="297"/>
      <c r="AC148" s="292"/>
      <c r="AD148" s="292"/>
      <c r="AE148" s="292"/>
      <c r="AF148" s="303"/>
      <c r="AG148" s="303"/>
      <c r="AH148" s="303"/>
      <c r="AI148" s="303"/>
    </row>
    <row r="149">
      <c r="A149" s="304"/>
      <c r="B149" s="299"/>
      <c r="C149" s="292"/>
      <c r="D149" s="293"/>
      <c r="E149" s="292"/>
      <c r="F149" s="293"/>
      <c r="G149" s="294"/>
      <c r="H149" s="295"/>
      <c r="I149" s="303"/>
      <c r="J149" s="303"/>
      <c r="K149" s="297"/>
      <c r="L149" s="303"/>
      <c r="M149" s="303"/>
      <c r="N149" s="297"/>
      <c r="O149" s="292"/>
      <c r="P149" s="303"/>
      <c r="Q149" s="298"/>
      <c r="R149" s="294"/>
      <c r="S149" s="297"/>
      <c r="T149" s="292"/>
      <c r="U149" s="299"/>
      <c r="V149" s="292"/>
      <c r="W149" s="309"/>
      <c r="X149" s="292"/>
      <c r="Y149" s="309"/>
      <c r="Z149" s="292"/>
      <c r="AA149" s="315"/>
      <c r="AB149" s="297"/>
      <c r="AC149" s="292"/>
      <c r="AD149" s="292"/>
      <c r="AE149" s="292"/>
      <c r="AF149" s="303"/>
      <c r="AG149" s="303"/>
      <c r="AH149" s="303"/>
      <c r="AI149" s="303"/>
    </row>
    <row r="150">
      <c r="A150" s="304"/>
      <c r="B150" s="299"/>
      <c r="C150" s="292"/>
      <c r="D150" s="293"/>
      <c r="E150" s="292"/>
      <c r="F150" s="293"/>
      <c r="G150" s="294"/>
      <c r="H150" s="295"/>
      <c r="I150" s="303"/>
      <c r="J150" s="303"/>
      <c r="K150" s="297"/>
      <c r="L150" s="303"/>
      <c r="M150" s="303"/>
      <c r="N150" s="297"/>
      <c r="O150" s="292"/>
      <c r="P150" s="303"/>
      <c r="Q150" s="298"/>
      <c r="R150" s="294"/>
      <c r="S150" s="297"/>
      <c r="T150" s="292"/>
      <c r="U150" s="299"/>
      <c r="V150" s="292"/>
      <c r="W150" s="309"/>
      <c r="X150" s="292"/>
      <c r="Y150" s="309"/>
      <c r="Z150" s="292"/>
      <c r="AA150" s="315"/>
      <c r="AB150" s="297"/>
      <c r="AC150" s="292"/>
      <c r="AD150" s="292"/>
      <c r="AE150" s="292"/>
      <c r="AF150" s="303"/>
      <c r="AG150" s="303"/>
      <c r="AH150" s="303"/>
      <c r="AI150" s="303"/>
    </row>
    <row r="151">
      <c r="A151" s="304"/>
      <c r="B151" s="299"/>
      <c r="C151" s="292"/>
      <c r="D151" s="293"/>
      <c r="E151" s="292"/>
      <c r="F151" s="293"/>
      <c r="G151" s="294"/>
      <c r="H151" s="295"/>
      <c r="I151" s="303"/>
      <c r="J151" s="303"/>
      <c r="K151" s="297"/>
      <c r="L151" s="303"/>
      <c r="M151" s="303"/>
      <c r="N151" s="297"/>
      <c r="O151" s="292"/>
      <c r="P151" s="303"/>
      <c r="Q151" s="298"/>
      <c r="R151" s="294"/>
      <c r="S151" s="297"/>
      <c r="T151" s="292"/>
      <c r="U151" s="299"/>
      <c r="V151" s="292"/>
      <c r="W151" s="309"/>
      <c r="X151" s="292"/>
      <c r="Y151" s="309"/>
      <c r="Z151" s="292"/>
      <c r="AA151" s="315"/>
      <c r="AB151" s="297"/>
      <c r="AC151" s="292"/>
      <c r="AD151" s="292"/>
      <c r="AE151" s="292"/>
      <c r="AF151" s="303"/>
      <c r="AG151" s="303"/>
      <c r="AH151" s="303"/>
      <c r="AI151" s="303"/>
    </row>
    <row r="152">
      <c r="A152" s="304"/>
      <c r="B152" s="299"/>
      <c r="C152" s="292"/>
      <c r="D152" s="293"/>
      <c r="E152" s="292"/>
      <c r="F152" s="293"/>
      <c r="G152" s="294"/>
      <c r="H152" s="295"/>
      <c r="I152" s="303"/>
      <c r="J152" s="303"/>
      <c r="K152" s="297"/>
      <c r="L152" s="303"/>
      <c r="M152" s="303"/>
      <c r="N152" s="297"/>
      <c r="O152" s="292"/>
      <c r="P152" s="303"/>
      <c r="Q152" s="298"/>
      <c r="R152" s="294"/>
      <c r="S152" s="297"/>
      <c r="T152" s="292"/>
      <c r="U152" s="299"/>
      <c r="V152" s="292"/>
      <c r="W152" s="309"/>
      <c r="X152" s="292"/>
      <c r="Y152" s="309"/>
      <c r="Z152" s="292"/>
      <c r="AA152" s="315"/>
      <c r="AB152" s="297"/>
      <c r="AC152" s="292"/>
      <c r="AD152" s="292"/>
      <c r="AE152" s="292"/>
      <c r="AF152" s="303"/>
      <c r="AG152" s="303"/>
      <c r="AH152" s="303"/>
      <c r="AI152" s="303"/>
    </row>
    <row r="153">
      <c r="A153" s="304"/>
      <c r="B153" s="299"/>
      <c r="C153" s="292"/>
      <c r="D153" s="293"/>
      <c r="E153" s="292"/>
      <c r="F153" s="293"/>
      <c r="G153" s="294"/>
      <c r="H153" s="295"/>
      <c r="I153" s="303"/>
      <c r="J153" s="303"/>
      <c r="K153" s="297"/>
      <c r="L153" s="303"/>
      <c r="M153" s="303"/>
      <c r="N153" s="297"/>
      <c r="O153" s="292"/>
      <c r="P153" s="303"/>
      <c r="Q153" s="298"/>
      <c r="R153" s="294"/>
      <c r="S153" s="297"/>
      <c r="T153" s="292"/>
      <c r="U153" s="299"/>
      <c r="V153" s="292"/>
      <c r="W153" s="309"/>
      <c r="X153" s="292"/>
      <c r="Y153" s="309"/>
      <c r="Z153" s="292"/>
      <c r="AA153" s="315"/>
      <c r="AB153" s="297"/>
      <c r="AC153" s="292"/>
      <c r="AD153" s="292"/>
      <c r="AE153" s="292"/>
      <c r="AF153" s="303"/>
      <c r="AG153" s="303"/>
      <c r="AH153" s="303"/>
      <c r="AI153" s="303"/>
    </row>
    <row r="154">
      <c r="A154" s="304"/>
      <c r="B154" s="299"/>
      <c r="C154" s="292"/>
      <c r="D154" s="293"/>
      <c r="E154" s="292"/>
      <c r="F154" s="293"/>
      <c r="G154" s="294"/>
      <c r="H154" s="295"/>
      <c r="I154" s="303"/>
      <c r="J154" s="303"/>
      <c r="K154" s="297"/>
      <c r="L154" s="303"/>
      <c r="M154" s="303"/>
      <c r="N154" s="297"/>
      <c r="O154" s="292"/>
      <c r="P154" s="303"/>
      <c r="Q154" s="298"/>
      <c r="R154" s="294"/>
      <c r="S154" s="297"/>
      <c r="T154" s="292"/>
      <c r="U154" s="299"/>
      <c r="V154" s="292"/>
      <c r="W154" s="309"/>
      <c r="X154" s="292"/>
      <c r="Y154" s="309"/>
      <c r="Z154" s="292"/>
      <c r="AA154" s="315"/>
      <c r="AB154" s="297"/>
      <c r="AC154" s="292"/>
      <c r="AD154" s="292"/>
      <c r="AE154" s="292"/>
      <c r="AF154" s="303"/>
      <c r="AG154" s="303"/>
      <c r="AH154" s="303"/>
      <c r="AI154" s="303"/>
    </row>
    <row r="155">
      <c r="A155" s="304"/>
      <c r="B155" s="299"/>
      <c r="C155" s="292"/>
      <c r="D155" s="293"/>
      <c r="E155" s="292"/>
      <c r="F155" s="293"/>
      <c r="G155" s="294"/>
      <c r="H155" s="295"/>
      <c r="I155" s="303"/>
      <c r="J155" s="303"/>
      <c r="K155" s="297"/>
      <c r="L155" s="303"/>
      <c r="M155" s="303"/>
      <c r="N155" s="297"/>
      <c r="O155" s="292"/>
      <c r="P155" s="303"/>
      <c r="Q155" s="298"/>
      <c r="R155" s="294"/>
      <c r="S155" s="297"/>
      <c r="T155" s="292"/>
      <c r="U155" s="299"/>
      <c r="V155" s="292"/>
      <c r="W155" s="309"/>
      <c r="X155" s="292"/>
      <c r="Y155" s="309"/>
      <c r="Z155" s="292"/>
      <c r="AA155" s="315"/>
      <c r="AB155" s="297"/>
      <c r="AC155" s="292"/>
      <c r="AD155" s="292"/>
      <c r="AE155" s="292"/>
      <c r="AF155" s="303"/>
      <c r="AG155" s="303"/>
      <c r="AH155" s="303"/>
      <c r="AI155" s="303"/>
    </row>
    <row r="156">
      <c r="A156" s="304"/>
      <c r="B156" s="299"/>
      <c r="C156" s="292"/>
      <c r="D156" s="293"/>
      <c r="E156" s="292"/>
      <c r="F156" s="293"/>
      <c r="G156" s="294"/>
      <c r="H156" s="295"/>
      <c r="I156" s="303"/>
      <c r="J156" s="303"/>
      <c r="K156" s="297"/>
      <c r="L156" s="303"/>
      <c r="M156" s="303"/>
      <c r="N156" s="297"/>
      <c r="O156" s="292"/>
      <c r="P156" s="303"/>
      <c r="Q156" s="298"/>
      <c r="R156" s="294"/>
      <c r="S156" s="297"/>
      <c r="T156" s="292"/>
      <c r="U156" s="299"/>
      <c r="V156" s="292"/>
      <c r="W156" s="309"/>
      <c r="X156" s="292"/>
      <c r="Y156" s="309"/>
      <c r="Z156" s="292"/>
      <c r="AA156" s="315"/>
      <c r="AB156" s="297"/>
      <c r="AC156" s="292"/>
      <c r="AD156" s="292"/>
      <c r="AE156" s="292"/>
      <c r="AF156" s="303"/>
      <c r="AG156" s="303"/>
      <c r="AH156" s="303"/>
      <c r="AI156" s="303"/>
    </row>
    <row r="157">
      <c r="A157" s="304"/>
      <c r="B157" s="299"/>
      <c r="C157" s="292"/>
      <c r="D157" s="293"/>
      <c r="E157" s="292"/>
      <c r="F157" s="293"/>
      <c r="G157" s="294"/>
      <c r="H157" s="295"/>
      <c r="I157" s="303"/>
      <c r="J157" s="303"/>
      <c r="K157" s="297"/>
      <c r="L157" s="303"/>
      <c r="M157" s="303"/>
      <c r="N157" s="297"/>
      <c r="O157" s="292"/>
      <c r="P157" s="303"/>
      <c r="Q157" s="298"/>
      <c r="R157" s="294"/>
      <c r="S157" s="297"/>
      <c r="T157" s="292"/>
      <c r="U157" s="299"/>
      <c r="V157" s="292"/>
      <c r="W157" s="309"/>
      <c r="X157" s="292"/>
      <c r="Y157" s="309"/>
      <c r="Z157" s="292"/>
      <c r="AA157" s="315"/>
      <c r="AB157" s="297"/>
      <c r="AC157" s="292"/>
      <c r="AD157" s="292"/>
      <c r="AE157" s="292"/>
      <c r="AF157" s="303"/>
      <c r="AG157" s="303"/>
      <c r="AH157" s="303"/>
      <c r="AI157" s="303"/>
    </row>
    <row r="158">
      <c r="A158" s="304"/>
      <c r="B158" s="299"/>
      <c r="C158" s="292"/>
      <c r="D158" s="293"/>
      <c r="E158" s="292"/>
      <c r="F158" s="293"/>
      <c r="G158" s="294"/>
      <c r="H158" s="295"/>
      <c r="I158" s="303"/>
      <c r="J158" s="303"/>
      <c r="K158" s="297"/>
      <c r="L158" s="303"/>
      <c r="M158" s="303"/>
      <c r="N158" s="297"/>
      <c r="O158" s="292"/>
      <c r="P158" s="303"/>
      <c r="Q158" s="298"/>
      <c r="R158" s="294"/>
      <c r="S158" s="297"/>
      <c r="T158" s="292"/>
      <c r="U158" s="299"/>
      <c r="V158" s="292"/>
      <c r="W158" s="309"/>
      <c r="X158" s="292"/>
      <c r="Y158" s="309"/>
      <c r="Z158" s="292"/>
      <c r="AA158" s="315"/>
      <c r="AB158" s="297"/>
      <c r="AC158" s="292"/>
      <c r="AD158" s="292"/>
      <c r="AE158" s="292"/>
      <c r="AF158" s="303"/>
      <c r="AG158" s="303"/>
      <c r="AH158" s="303"/>
      <c r="AI158" s="303"/>
    </row>
    <row r="159">
      <c r="A159" s="304"/>
      <c r="B159" s="299"/>
      <c r="C159" s="292"/>
      <c r="D159" s="293"/>
      <c r="E159" s="292"/>
      <c r="F159" s="293"/>
      <c r="G159" s="294"/>
      <c r="H159" s="295"/>
      <c r="I159" s="303"/>
      <c r="J159" s="303"/>
      <c r="K159" s="297"/>
      <c r="L159" s="303"/>
      <c r="M159" s="303"/>
      <c r="N159" s="297"/>
      <c r="O159" s="292"/>
      <c r="P159" s="303"/>
      <c r="Q159" s="298"/>
      <c r="R159" s="294"/>
      <c r="S159" s="297"/>
      <c r="T159" s="292"/>
      <c r="U159" s="299"/>
      <c r="V159" s="292"/>
      <c r="W159" s="309"/>
      <c r="X159" s="292"/>
      <c r="Y159" s="309"/>
      <c r="Z159" s="292"/>
      <c r="AA159" s="315"/>
      <c r="AB159" s="297"/>
      <c r="AC159" s="292"/>
      <c r="AD159" s="292"/>
      <c r="AE159" s="292"/>
      <c r="AF159" s="303"/>
      <c r="AG159" s="303"/>
      <c r="AH159" s="303"/>
      <c r="AI159" s="303"/>
    </row>
    <row r="160">
      <c r="A160" s="304"/>
      <c r="B160" s="299"/>
      <c r="C160" s="292"/>
      <c r="D160" s="293"/>
      <c r="E160" s="292"/>
      <c r="F160" s="293"/>
      <c r="G160" s="294"/>
      <c r="H160" s="295"/>
      <c r="I160" s="303"/>
      <c r="J160" s="303"/>
      <c r="K160" s="297"/>
      <c r="L160" s="303"/>
      <c r="M160" s="303"/>
      <c r="N160" s="297"/>
      <c r="O160" s="292"/>
      <c r="P160" s="303"/>
      <c r="Q160" s="298"/>
      <c r="R160" s="294"/>
      <c r="S160" s="297"/>
      <c r="T160" s="292"/>
      <c r="U160" s="299"/>
      <c r="V160" s="292"/>
      <c r="W160" s="309"/>
      <c r="X160" s="292"/>
      <c r="Y160" s="309"/>
      <c r="Z160" s="292"/>
      <c r="AA160" s="315"/>
      <c r="AB160" s="297"/>
      <c r="AC160" s="292"/>
      <c r="AD160" s="292"/>
      <c r="AE160" s="292"/>
      <c r="AF160" s="303"/>
      <c r="AG160" s="303"/>
      <c r="AH160" s="303"/>
      <c r="AI160" s="303"/>
    </row>
    <row r="161">
      <c r="A161" s="304"/>
      <c r="B161" s="299"/>
      <c r="C161" s="292"/>
      <c r="D161" s="293"/>
      <c r="E161" s="292"/>
      <c r="F161" s="293"/>
      <c r="G161" s="294"/>
      <c r="H161" s="295"/>
      <c r="I161" s="303"/>
      <c r="J161" s="303"/>
      <c r="K161" s="297"/>
      <c r="L161" s="303"/>
      <c r="M161" s="303"/>
      <c r="N161" s="297"/>
      <c r="O161" s="292"/>
      <c r="P161" s="303"/>
      <c r="Q161" s="298"/>
      <c r="R161" s="294"/>
      <c r="S161" s="297"/>
      <c r="T161" s="292"/>
      <c r="U161" s="299"/>
      <c r="V161" s="292"/>
      <c r="W161" s="309"/>
      <c r="X161" s="292"/>
      <c r="Y161" s="309"/>
      <c r="Z161" s="292"/>
      <c r="AA161" s="315"/>
      <c r="AB161" s="297"/>
      <c r="AC161" s="292"/>
      <c r="AD161" s="292"/>
      <c r="AE161" s="292"/>
      <c r="AF161" s="303"/>
      <c r="AG161" s="303"/>
      <c r="AH161" s="303"/>
      <c r="AI161" s="303"/>
    </row>
    <row r="162">
      <c r="A162" s="304"/>
      <c r="B162" s="299"/>
      <c r="C162" s="292"/>
      <c r="D162" s="293"/>
      <c r="E162" s="292"/>
      <c r="F162" s="293"/>
      <c r="G162" s="294"/>
      <c r="H162" s="295"/>
      <c r="I162" s="303"/>
      <c r="J162" s="303"/>
      <c r="K162" s="297"/>
      <c r="L162" s="303"/>
      <c r="M162" s="303"/>
      <c r="N162" s="297"/>
      <c r="O162" s="292"/>
      <c r="P162" s="303"/>
      <c r="Q162" s="298"/>
      <c r="R162" s="294"/>
      <c r="S162" s="297"/>
      <c r="T162" s="292"/>
      <c r="U162" s="299"/>
      <c r="V162" s="292"/>
      <c r="W162" s="309"/>
      <c r="X162" s="292"/>
      <c r="Y162" s="309"/>
      <c r="Z162" s="292"/>
      <c r="AA162" s="315"/>
      <c r="AB162" s="297"/>
      <c r="AC162" s="292"/>
      <c r="AD162" s="292"/>
      <c r="AE162" s="292"/>
      <c r="AF162" s="303"/>
      <c r="AG162" s="303"/>
      <c r="AH162" s="303"/>
      <c r="AI162" s="303"/>
    </row>
    <row r="163">
      <c r="A163" s="304"/>
      <c r="B163" s="299"/>
      <c r="C163" s="292"/>
      <c r="D163" s="293"/>
      <c r="E163" s="292"/>
      <c r="F163" s="293"/>
      <c r="G163" s="294"/>
      <c r="H163" s="295"/>
      <c r="I163" s="303"/>
      <c r="J163" s="303"/>
      <c r="K163" s="297"/>
      <c r="L163" s="303"/>
      <c r="M163" s="303"/>
      <c r="N163" s="297"/>
      <c r="O163" s="292"/>
      <c r="P163" s="303"/>
      <c r="Q163" s="298"/>
      <c r="R163" s="294"/>
      <c r="S163" s="297"/>
      <c r="T163" s="292"/>
      <c r="U163" s="299"/>
      <c r="V163" s="292"/>
      <c r="W163" s="309"/>
      <c r="X163" s="292"/>
      <c r="Y163" s="309"/>
      <c r="Z163" s="292"/>
      <c r="AA163" s="315"/>
      <c r="AB163" s="297"/>
      <c r="AC163" s="292"/>
      <c r="AD163" s="292"/>
      <c r="AE163" s="292"/>
      <c r="AF163" s="303"/>
      <c r="AG163" s="303"/>
      <c r="AH163" s="303"/>
      <c r="AI163" s="303"/>
    </row>
    <row r="164">
      <c r="A164" s="304"/>
      <c r="B164" s="299"/>
      <c r="C164" s="292"/>
      <c r="D164" s="293"/>
      <c r="E164" s="292"/>
      <c r="F164" s="293"/>
      <c r="G164" s="294"/>
      <c r="H164" s="295"/>
      <c r="I164" s="303"/>
      <c r="J164" s="303"/>
      <c r="K164" s="297"/>
      <c r="L164" s="303"/>
      <c r="M164" s="303"/>
      <c r="N164" s="297"/>
      <c r="O164" s="292"/>
      <c r="P164" s="303"/>
      <c r="Q164" s="298"/>
      <c r="R164" s="294"/>
      <c r="S164" s="297"/>
      <c r="T164" s="292"/>
      <c r="U164" s="299"/>
      <c r="V164" s="292"/>
      <c r="W164" s="309"/>
      <c r="X164" s="292"/>
      <c r="Y164" s="309"/>
      <c r="Z164" s="292"/>
      <c r="AA164" s="315"/>
      <c r="AB164" s="297"/>
      <c r="AC164" s="292"/>
      <c r="AD164" s="292"/>
      <c r="AE164" s="292"/>
      <c r="AF164" s="303"/>
      <c r="AG164" s="303"/>
      <c r="AH164" s="303"/>
      <c r="AI164" s="303"/>
    </row>
    <row r="165">
      <c r="A165" s="304"/>
      <c r="B165" s="299"/>
      <c r="C165" s="292"/>
      <c r="D165" s="293"/>
      <c r="E165" s="292"/>
      <c r="F165" s="293"/>
      <c r="G165" s="294"/>
      <c r="H165" s="295"/>
      <c r="I165" s="303"/>
      <c r="J165" s="303"/>
      <c r="K165" s="297"/>
      <c r="L165" s="303"/>
      <c r="M165" s="303"/>
      <c r="N165" s="297"/>
      <c r="O165" s="292"/>
      <c r="P165" s="303"/>
      <c r="Q165" s="298"/>
      <c r="R165" s="294"/>
      <c r="S165" s="297"/>
      <c r="T165" s="292"/>
      <c r="U165" s="299"/>
      <c r="V165" s="292"/>
      <c r="W165" s="309"/>
      <c r="X165" s="292"/>
      <c r="Y165" s="309"/>
      <c r="Z165" s="292"/>
      <c r="AA165" s="315"/>
      <c r="AB165" s="297"/>
      <c r="AC165" s="292"/>
      <c r="AD165" s="292"/>
      <c r="AE165" s="292"/>
      <c r="AF165" s="303"/>
      <c r="AG165" s="303"/>
      <c r="AH165" s="303"/>
      <c r="AI165" s="303"/>
    </row>
    <row r="166">
      <c r="A166" s="304"/>
      <c r="B166" s="299"/>
      <c r="C166" s="292"/>
      <c r="D166" s="293"/>
      <c r="E166" s="292"/>
      <c r="F166" s="293"/>
      <c r="G166" s="294"/>
      <c r="H166" s="295"/>
      <c r="I166" s="303"/>
      <c r="J166" s="303"/>
      <c r="K166" s="297"/>
      <c r="L166" s="303"/>
      <c r="M166" s="303"/>
      <c r="N166" s="297"/>
      <c r="O166" s="292"/>
      <c r="P166" s="303"/>
      <c r="Q166" s="298"/>
      <c r="R166" s="294"/>
      <c r="S166" s="297"/>
      <c r="T166" s="292"/>
      <c r="U166" s="299"/>
      <c r="V166" s="292"/>
      <c r="W166" s="309"/>
      <c r="X166" s="292"/>
      <c r="Y166" s="309"/>
      <c r="Z166" s="292"/>
      <c r="AA166" s="315"/>
      <c r="AB166" s="297"/>
      <c r="AC166" s="292"/>
      <c r="AD166" s="292"/>
      <c r="AE166" s="292"/>
      <c r="AF166" s="303"/>
      <c r="AG166" s="303"/>
      <c r="AH166" s="303"/>
      <c r="AI166" s="303"/>
    </row>
    <row r="167">
      <c r="A167" s="304"/>
      <c r="B167" s="299"/>
      <c r="C167" s="292"/>
      <c r="D167" s="293"/>
      <c r="E167" s="292"/>
      <c r="F167" s="293"/>
      <c r="G167" s="294"/>
      <c r="H167" s="295"/>
      <c r="I167" s="303"/>
      <c r="J167" s="303"/>
      <c r="K167" s="297"/>
      <c r="L167" s="303"/>
      <c r="M167" s="303"/>
      <c r="N167" s="297"/>
      <c r="O167" s="292"/>
      <c r="P167" s="303"/>
      <c r="Q167" s="298"/>
      <c r="R167" s="294"/>
      <c r="S167" s="297"/>
      <c r="T167" s="292"/>
      <c r="U167" s="299"/>
      <c r="V167" s="292"/>
      <c r="W167" s="309"/>
      <c r="X167" s="292"/>
      <c r="Y167" s="309"/>
      <c r="Z167" s="292"/>
      <c r="AA167" s="315"/>
      <c r="AB167" s="297"/>
      <c r="AC167" s="292"/>
      <c r="AD167" s="292"/>
      <c r="AE167" s="292"/>
      <c r="AF167" s="303"/>
      <c r="AG167" s="303"/>
      <c r="AH167" s="303"/>
      <c r="AI167" s="303"/>
    </row>
    <row r="168">
      <c r="A168" s="304"/>
      <c r="B168" s="299"/>
      <c r="C168" s="292"/>
      <c r="D168" s="293"/>
      <c r="E168" s="292"/>
      <c r="F168" s="293"/>
      <c r="G168" s="294"/>
      <c r="H168" s="295"/>
      <c r="I168" s="303"/>
      <c r="J168" s="303"/>
      <c r="K168" s="297"/>
      <c r="L168" s="303"/>
      <c r="M168" s="303"/>
      <c r="N168" s="297"/>
      <c r="O168" s="292"/>
      <c r="P168" s="303"/>
      <c r="Q168" s="298"/>
      <c r="R168" s="294"/>
      <c r="S168" s="297"/>
      <c r="T168" s="292"/>
      <c r="U168" s="299"/>
      <c r="V168" s="292"/>
      <c r="W168" s="309"/>
      <c r="X168" s="292"/>
      <c r="Y168" s="309"/>
      <c r="Z168" s="292"/>
      <c r="AA168" s="315"/>
      <c r="AB168" s="297"/>
      <c r="AC168" s="292"/>
      <c r="AD168" s="292"/>
      <c r="AE168" s="292"/>
      <c r="AF168" s="303"/>
      <c r="AG168" s="303"/>
      <c r="AH168" s="303"/>
      <c r="AI168" s="303"/>
    </row>
    <row r="169">
      <c r="A169" s="304"/>
      <c r="B169" s="299"/>
      <c r="C169" s="292"/>
      <c r="D169" s="293"/>
      <c r="E169" s="292"/>
      <c r="F169" s="293"/>
      <c r="G169" s="294"/>
      <c r="H169" s="295"/>
      <c r="I169" s="303"/>
      <c r="J169" s="303"/>
      <c r="K169" s="297"/>
      <c r="L169" s="303"/>
      <c r="M169" s="303"/>
      <c r="N169" s="297"/>
      <c r="O169" s="292"/>
      <c r="P169" s="303"/>
      <c r="Q169" s="298"/>
      <c r="R169" s="294"/>
      <c r="S169" s="297"/>
      <c r="T169" s="292"/>
      <c r="U169" s="299"/>
      <c r="V169" s="292"/>
      <c r="W169" s="309"/>
      <c r="X169" s="292"/>
      <c r="Y169" s="309"/>
      <c r="Z169" s="292"/>
      <c r="AA169" s="315"/>
      <c r="AB169" s="297"/>
      <c r="AC169" s="292"/>
      <c r="AD169" s="292"/>
      <c r="AE169" s="292"/>
      <c r="AF169" s="303"/>
      <c r="AG169" s="303"/>
      <c r="AH169" s="303"/>
      <c r="AI169" s="303"/>
    </row>
    <row r="170">
      <c r="A170" s="304"/>
      <c r="B170" s="299"/>
      <c r="C170" s="292"/>
      <c r="D170" s="293"/>
      <c r="E170" s="292"/>
      <c r="F170" s="293"/>
      <c r="G170" s="294"/>
      <c r="H170" s="295"/>
      <c r="I170" s="303"/>
      <c r="J170" s="303"/>
      <c r="K170" s="297"/>
      <c r="L170" s="303"/>
      <c r="M170" s="303"/>
      <c r="N170" s="297"/>
      <c r="O170" s="292"/>
      <c r="P170" s="303"/>
      <c r="Q170" s="298"/>
      <c r="R170" s="294"/>
      <c r="S170" s="297"/>
      <c r="T170" s="292"/>
      <c r="U170" s="299"/>
      <c r="V170" s="292"/>
      <c r="W170" s="309"/>
      <c r="X170" s="292"/>
      <c r="Y170" s="309"/>
      <c r="Z170" s="292"/>
      <c r="AA170" s="315"/>
      <c r="AB170" s="297"/>
      <c r="AC170" s="292"/>
      <c r="AD170" s="292"/>
      <c r="AE170" s="292"/>
      <c r="AF170" s="303"/>
      <c r="AG170" s="303"/>
      <c r="AH170" s="303"/>
      <c r="AI170" s="303"/>
    </row>
    <row r="171">
      <c r="A171" s="304"/>
      <c r="B171" s="299"/>
      <c r="C171" s="292"/>
      <c r="D171" s="293"/>
      <c r="E171" s="292"/>
      <c r="F171" s="293"/>
      <c r="G171" s="294"/>
      <c r="H171" s="295"/>
      <c r="I171" s="303"/>
      <c r="J171" s="303"/>
      <c r="K171" s="297"/>
      <c r="L171" s="303"/>
      <c r="M171" s="303"/>
      <c r="N171" s="297"/>
      <c r="O171" s="292"/>
      <c r="P171" s="303"/>
      <c r="Q171" s="298"/>
      <c r="R171" s="294"/>
      <c r="S171" s="297"/>
      <c r="T171" s="292"/>
      <c r="U171" s="299"/>
      <c r="V171" s="292"/>
      <c r="W171" s="309"/>
      <c r="X171" s="292"/>
      <c r="Y171" s="309"/>
      <c r="Z171" s="292"/>
      <c r="AA171" s="315"/>
      <c r="AB171" s="297"/>
      <c r="AC171" s="292"/>
      <c r="AD171" s="292"/>
      <c r="AE171" s="292"/>
      <c r="AF171" s="303"/>
      <c r="AG171" s="303"/>
      <c r="AH171" s="303"/>
      <c r="AI171" s="303"/>
    </row>
    <row r="172">
      <c r="A172" s="304"/>
      <c r="B172" s="299"/>
      <c r="C172" s="292"/>
      <c r="D172" s="293"/>
      <c r="E172" s="292"/>
      <c r="F172" s="293"/>
      <c r="G172" s="294"/>
      <c r="H172" s="295"/>
      <c r="I172" s="303"/>
      <c r="J172" s="303"/>
      <c r="K172" s="297"/>
      <c r="L172" s="303"/>
      <c r="M172" s="303"/>
      <c r="N172" s="297"/>
      <c r="O172" s="292"/>
      <c r="P172" s="303"/>
      <c r="Q172" s="298"/>
      <c r="R172" s="294"/>
      <c r="S172" s="297"/>
      <c r="T172" s="292"/>
      <c r="U172" s="299"/>
      <c r="V172" s="292"/>
      <c r="W172" s="309"/>
      <c r="X172" s="292"/>
      <c r="Y172" s="309"/>
      <c r="Z172" s="292"/>
      <c r="AA172" s="315"/>
      <c r="AB172" s="297"/>
      <c r="AC172" s="292"/>
      <c r="AD172" s="292"/>
      <c r="AE172" s="292"/>
      <c r="AF172" s="303"/>
      <c r="AG172" s="303"/>
      <c r="AH172" s="303"/>
      <c r="AI172" s="303"/>
    </row>
    <row r="173">
      <c r="A173" s="304"/>
      <c r="B173" s="299"/>
      <c r="C173" s="292"/>
      <c r="D173" s="293"/>
      <c r="E173" s="292"/>
      <c r="F173" s="293"/>
      <c r="G173" s="294"/>
      <c r="H173" s="295"/>
      <c r="I173" s="303"/>
      <c r="J173" s="303"/>
      <c r="K173" s="297"/>
      <c r="L173" s="303"/>
      <c r="M173" s="303"/>
      <c r="N173" s="297"/>
      <c r="O173" s="292"/>
      <c r="P173" s="303"/>
      <c r="Q173" s="298"/>
      <c r="R173" s="294"/>
      <c r="S173" s="297"/>
      <c r="T173" s="292"/>
      <c r="U173" s="299"/>
      <c r="V173" s="292"/>
      <c r="W173" s="309"/>
      <c r="X173" s="292"/>
      <c r="Y173" s="309"/>
      <c r="Z173" s="292"/>
      <c r="AA173" s="315"/>
      <c r="AB173" s="297"/>
      <c r="AC173" s="292"/>
      <c r="AD173" s="292"/>
      <c r="AE173" s="292"/>
      <c r="AF173" s="303"/>
      <c r="AG173" s="303"/>
      <c r="AH173" s="303"/>
      <c r="AI173" s="303"/>
    </row>
    <row r="174">
      <c r="A174" s="304"/>
      <c r="B174" s="299"/>
      <c r="C174" s="292"/>
      <c r="D174" s="293"/>
      <c r="E174" s="292"/>
      <c r="F174" s="293"/>
      <c r="G174" s="294"/>
      <c r="H174" s="295"/>
      <c r="I174" s="303"/>
      <c r="J174" s="303"/>
      <c r="K174" s="297"/>
      <c r="L174" s="303"/>
      <c r="M174" s="303"/>
      <c r="N174" s="297"/>
      <c r="O174" s="292"/>
      <c r="P174" s="303"/>
      <c r="Q174" s="298"/>
      <c r="R174" s="294"/>
      <c r="S174" s="297"/>
      <c r="T174" s="292"/>
      <c r="U174" s="299"/>
      <c r="V174" s="292"/>
      <c r="W174" s="309"/>
      <c r="X174" s="292"/>
      <c r="Y174" s="309"/>
      <c r="Z174" s="292"/>
      <c r="AA174" s="315"/>
      <c r="AB174" s="297"/>
      <c r="AC174" s="292"/>
      <c r="AD174" s="292"/>
      <c r="AE174" s="292"/>
      <c r="AF174" s="303"/>
      <c r="AG174" s="303"/>
      <c r="AH174" s="303"/>
      <c r="AI174" s="303"/>
    </row>
    <row r="175">
      <c r="A175" s="304"/>
      <c r="B175" s="299"/>
      <c r="C175" s="292"/>
      <c r="D175" s="293"/>
      <c r="E175" s="292"/>
      <c r="F175" s="293"/>
      <c r="G175" s="294"/>
      <c r="H175" s="295"/>
      <c r="I175" s="303"/>
      <c r="J175" s="303"/>
      <c r="K175" s="297"/>
      <c r="L175" s="303"/>
      <c r="M175" s="303"/>
      <c r="N175" s="297"/>
      <c r="O175" s="292"/>
      <c r="P175" s="303"/>
      <c r="Q175" s="298"/>
      <c r="R175" s="294"/>
      <c r="S175" s="297"/>
      <c r="T175" s="292"/>
      <c r="U175" s="299"/>
      <c r="V175" s="292"/>
      <c r="W175" s="309"/>
      <c r="X175" s="292"/>
      <c r="Y175" s="309"/>
      <c r="Z175" s="292"/>
      <c r="AA175" s="315"/>
      <c r="AB175" s="297"/>
      <c r="AC175" s="292"/>
      <c r="AD175" s="292"/>
      <c r="AE175" s="292"/>
      <c r="AF175" s="303"/>
      <c r="AG175" s="303"/>
      <c r="AH175" s="303"/>
      <c r="AI175" s="303"/>
    </row>
    <row r="176">
      <c r="A176" s="304"/>
      <c r="B176" s="299"/>
      <c r="C176" s="292"/>
      <c r="D176" s="293"/>
      <c r="E176" s="292"/>
      <c r="F176" s="293"/>
      <c r="G176" s="294"/>
      <c r="H176" s="295"/>
      <c r="I176" s="303"/>
      <c r="J176" s="303"/>
      <c r="K176" s="297"/>
      <c r="L176" s="303"/>
      <c r="M176" s="303"/>
      <c r="N176" s="297"/>
      <c r="O176" s="292"/>
      <c r="P176" s="303"/>
      <c r="Q176" s="298"/>
      <c r="R176" s="294"/>
      <c r="S176" s="297"/>
      <c r="T176" s="292"/>
      <c r="U176" s="299"/>
      <c r="V176" s="292"/>
      <c r="W176" s="309"/>
      <c r="X176" s="292"/>
      <c r="Y176" s="309"/>
      <c r="Z176" s="292"/>
      <c r="AA176" s="315"/>
      <c r="AB176" s="297"/>
      <c r="AC176" s="292"/>
      <c r="AD176" s="292"/>
      <c r="AE176" s="292"/>
      <c r="AF176" s="303"/>
      <c r="AG176" s="303"/>
      <c r="AH176" s="303"/>
      <c r="AI176" s="303"/>
    </row>
    <row r="177">
      <c r="A177" s="304"/>
      <c r="B177" s="299"/>
      <c r="C177" s="292"/>
      <c r="D177" s="293"/>
      <c r="E177" s="292"/>
      <c r="F177" s="293"/>
      <c r="G177" s="294"/>
      <c r="H177" s="295"/>
      <c r="I177" s="303"/>
      <c r="J177" s="303"/>
      <c r="K177" s="297"/>
      <c r="L177" s="303"/>
      <c r="M177" s="303"/>
      <c r="N177" s="297"/>
      <c r="O177" s="292"/>
      <c r="P177" s="303"/>
      <c r="Q177" s="298"/>
      <c r="R177" s="294"/>
      <c r="S177" s="297"/>
      <c r="T177" s="292"/>
      <c r="U177" s="299"/>
      <c r="V177" s="292"/>
      <c r="W177" s="309"/>
      <c r="X177" s="292"/>
      <c r="Y177" s="309"/>
      <c r="Z177" s="292"/>
      <c r="AA177" s="315"/>
      <c r="AB177" s="297"/>
      <c r="AC177" s="292"/>
      <c r="AD177" s="292"/>
      <c r="AE177" s="292"/>
      <c r="AF177" s="303"/>
      <c r="AG177" s="303"/>
      <c r="AH177" s="303"/>
      <c r="AI177" s="303"/>
    </row>
    <row r="178">
      <c r="A178" s="304"/>
      <c r="B178" s="299"/>
      <c r="C178" s="292"/>
      <c r="D178" s="293"/>
      <c r="E178" s="292"/>
      <c r="F178" s="293"/>
      <c r="G178" s="294"/>
      <c r="H178" s="295"/>
      <c r="I178" s="303"/>
      <c r="J178" s="303"/>
      <c r="K178" s="297"/>
      <c r="L178" s="303"/>
      <c r="M178" s="303"/>
      <c r="N178" s="297"/>
      <c r="O178" s="292"/>
      <c r="P178" s="303"/>
      <c r="Q178" s="298"/>
      <c r="R178" s="294"/>
      <c r="S178" s="297"/>
      <c r="T178" s="292"/>
      <c r="U178" s="299"/>
      <c r="V178" s="292"/>
      <c r="W178" s="309"/>
      <c r="X178" s="292"/>
      <c r="Y178" s="309"/>
      <c r="Z178" s="292"/>
      <c r="AA178" s="315"/>
      <c r="AB178" s="297"/>
      <c r="AC178" s="292"/>
      <c r="AD178" s="292"/>
      <c r="AE178" s="292"/>
      <c r="AF178" s="303"/>
      <c r="AG178" s="303"/>
      <c r="AH178" s="303"/>
      <c r="AI178" s="303"/>
    </row>
    <row r="179">
      <c r="A179" s="304"/>
      <c r="B179" s="299"/>
      <c r="C179" s="292"/>
      <c r="D179" s="293"/>
      <c r="E179" s="292"/>
      <c r="F179" s="293"/>
      <c r="G179" s="294"/>
      <c r="H179" s="295"/>
      <c r="I179" s="303"/>
      <c r="J179" s="303"/>
      <c r="K179" s="297"/>
      <c r="L179" s="303"/>
      <c r="M179" s="303"/>
      <c r="N179" s="297"/>
      <c r="O179" s="292"/>
      <c r="P179" s="303"/>
      <c r="Q179" s="298"/>
      <c r="R179" s="294"/>
      <c r="S179" s="297"/>
      <c r="T179" s="292"/>
      <c r="U179" s="299"/>
      <c r="V179" s="292"/>
      <c r="W179" s="309"/>
      <c r="X179" s="292"/>
      <c r="Y179" s="309"/>
      <c r="Z179" s="292"/>
      <c r="AA179" s="315"/>
      <c r="AB179" s="297"/>
      <c r="AC179" s="292"/>
      <c r="AD179" s="292"/>
      <c r="AE179" s="292"/>
      <c r="AF179" s="303"/>
      <c r="AG179" s="303"/>
      <c r="AH179" s="303"/>
      <c r="AI179" s="303"/>
    </row>
    <row r="180">
      <c r="A180" s="304"/>
      <c r="B180" s="299"/>
      <c r="C180" s="292"/>
      <c r="D180" s="293"/>
      <c r="E180" s="292"/>
      <c r="F180" s="293"/>
      <c r="G180" s="294"/>
      <c r="H180" s="295"/>
      <c r="I180" s="303"/>
      <c r="J180" s="303"/>
      <c r="K180" s="297"/>
      <c r="L180" s="303"/>
      <c r="M180" s="303"/>
      <c r="N180" s="297"/>
      <c r="O180" s="292"/>
      <c r="P180" s="303"/>
      <c r="Q180" s="298"/>
      <c r="R180" s="294"/>
      <c r="S180" s="297"/>
      <c r="T180" s="292"/>
      <c r="U180" s="299"/>
      <c r="V180" s="292"/>
      <c r="W180" s="309"/>
      <c r="X180" s="292"/>
      <c r="Y180" s="309"/>
      <c r="Z180" s="292"/>
      <c r="AA180" s="315"/>
      <c r="AB180" s="297"/>
      <c r="AC180" s="292"/>
      <c r="AD180" s="292"/>
      <c r="AE180" s="292"/>
      <c r="AF180" s="303"/>
      <c r="AG180" s="303"/>
      <c r="AH180" s="303"/>
      <c r="AI180" s="303"/>
    </row>
    <row r="181">
      <c r="A181" s="304"/>
      <c r="B181" s="299"/>
      <c r="C181" s="292"/>
      <c r="D181" s="293"/>
      <c r="E181" s="292"/>
      <c r="F181" s="293"/>
      <c r="G181" s="294"/>
      <c r="H181" s="295"/>
      <c r="I181" s="303"/>
      <c r="J181" s="303"/>
      <c r="K181" s="297"/>
      <c r="L181" s="303"/>
      <c r="M181" s="303"/>
      <c r="N181" s="297"/>
      <c r="O181" s="292"/>
      <c r="P181" s="303"/>
      <c r="Q181" s="298"/>
      <c r="R181" s="294"/>
      <c r="S181" s="297"/>
      <c r="T181" s="292"/>
      <c r="U181" s="299"/>
      <c r="V181" s="292"/>
      <c r="W181" s="309"/>
      <c r="X181" s="292"/>
      <c r="Y181" s="309"/>
      <c r="Z181" s="292"/>
      <c r="AA181" s="315"/>
      <c r="AB181" s="297"/>
      <c r="AC181" s="292"/>
      <c r="AD181" s="292"/>
      <c r="AE181" s="292"/>
      <c r="AF181" s="303"/>
      <c r="AG181" s="303"/>
      <c r="AH181" s="303"/>
      <c r="AI181" s="303"/>
    </row>
    <row r="182">
      <c r="A182" s="304"/>
      <c r="B182" s="299"/>
      <c r="C182" s="292"/>
      <c r="D182" s="293"/>
      <c r="E182" s="292"/>
      <c r="F182" s="293"/>
      <c r="G182" s="294"/>
      <c r="H182" s="295"/>
      <c r="I182" s="303"/>
      <c r="J182" s="303"/>
      <c r="K182" s="297"/>
      <c r="L182" s="303"/>
      <c r="M182" s="303"/>
      <c r="N182" s="297"/>
      <c r="O182" s="292"/>
      <c r="P182" s="303"/>
      <c r="Q182" s="298"/>
      <c r="R182" s="294"/>
      <c r="S182" s="297"/>
      <c r="T182" s="292"/>
      <c r="U182" s="299"/>
      <c r="V182" s="292"/>
      <c r="W182" s="309"/>
      <c r="X182" s="292"/>
      <c r="Y182" s="309"/>
      <c r="Z182" s="292"/>
      <c r="AA182" s="315"/>
      <c r="AB182" s="297"/>
      <c r="AC182" s="292"/>
      <c r="AD182" s="292"/>
      <c r="AE182" s="292"/>
      <c r="AF182" s="303"/>
      <c r="AG182" s="303"/>
      <c r="AH182" s="303"/>
      <c r="AI182" s="303"/>
    </row>
    <row r="183">
      <c r="A183" s="304"/>
      <c r="B183" s="299"/>
      <c r="C183" s="292"/>
      <c r="D183" s="293"/>
      <c r="E183" s="292"/>
      <c r="F183" s="293"/>
      <c r="G183" s="294"/>
      <c r="H183" s="295"/>
      <c r="I183" s="303"/>
      <c r="J183" s="303"/>
      <c r="K183" s="297"/>
      <c r="L183" s="303"/>
      <c r="M183" s="303"/>
      <c r="N183" s="297"/>
      <c r="O183" s="292"/>
      <c r="P183" s="303"/>
      <c r="Q183" s="298"/>
      <c r="R183" s="294"/>
      <c r="S183" s="297"/>
      <c r="T183" s="292"/>
      <c r="U183" s="299"/>
      <c r="V183" s="292"/>
      <c r="W183" s="309"/>
      <c r="X183" s="292"/>
      <c r="Y183" s="309"/>
      <c r="Z183" s="292"/>
      <c r="AA183" s="315"/>
      <c r="AB183" s="297"/>
      <c r="AC183" s="292"/>
      <c r="AD183" s="292"/>
      <c r="AE183" s="292"/>
      <c r="AF183" s="303"/>
      <c r="AG183" s="303"/>
      <c r="AH183" s="303"/>
      <c r="AI183" s="303"/>
    </row>
    <row r="184">
      <c r="A184" s="304"/>
      <c r="B184" s="299"/>
      <c r="C184" s="292"/>
      <c r="D184" s="293"/>
      <c r="E184" s="292"/>
      <c r="F184" s="293"/>
      <c r="G184" s="294"/>
      <c r="H184" s="295"/>
      <c r="I184" s="303"/>
      <c r="J184" s="303"/>
      <c r="K184" s="297"/>
      <c r="L184" s="303"/>
      <c r="M184" s="303"/>
      <c r="N184" s="297"/>
      <c r="O184" s="292"/>
      <c r="P184" s="303"/>
      <c r="Q184" s="298"/>
      <c r="R184" s="294"/>
      <c r="S184" s="297"/>
      <c r="T184" s="292"/>
      <c r="U184" s="299"/>
      <c r="V184" s="292"/>
      <c r="W184" s="309"/>
      <c r="X184" s="292"/>
      <c r="Y184" s="309"/>
      <c r="Z184" s="292"/>
      <c r="AA184" s="315"/>
      <c r="AB184" s="297"/>
      <c r="AC184" s="292"/>
      <c r="AD184" s="292"/>
      <c r="AE184" s="292"/>
      <c r="AF184" s="303"/>
      <c r="AG184" s="303"/>
      <c r="AH184" s="303"/>
      <c r="AI184" s="303"/>
    </row>
    <row r="185">
      <c r="A185" s="304"/>
      <c r="B185" s="299"/>
      <c r="C185" s="292"/>
      <c r="D185" s="293"/>
      <c r="E185" s="292"/>
      <c r="F185" s="293"/>
      <c r="G185" s="294"/>
      <c r="H185" s="295"/>
      <c r="I185" s="303"/>
      <c r="J185" s="303"/>
      <c r="K185" s="297"/>
      <c r="L185" s="303"/>
      <c r="M185" s="303"/>
      <c r="N185" s="297"/>
      <c r="O185" s="292"/>
      <c r="P185" s="303"/>
      <c r="Q185" s="298"/>
      <c r="R185" s="294"/>
      <c r="S185" s="297"/>
      <c r="T185" s="292"/>
      <c r="U185" s="299"/>
      <c r="V185" s="292"/>
      <c r="W185" s="309"/>
      <c r="X185" s="292"/>
      <c r="Y185" s="309"/>
      <c r="Z185" s="292"/>
      <c r="AA185" s="315"/>
      <c r="AB185" s="297"/>
      <c r="AC185" s="292"/>
      <c r="AD185" s="292"/>
      <c r="AE185" s="292"/>
      <c r="AF185" s="303"/>
      <c r="AG185" s="303"/>
      <c r="AH185" s="303"/>
      <c r="AI185" s="303"/>
    </row>
    <row r="186">
      <c r="A186" s="304"/>
      <c r="B186" s="299"/>
      <c r="C186" s="292"/>
      <c r="D186" s="293"/>
      <c r="E186" s="292"/>
      <c r="F186" s="293"/>
      <c r="G186" s="294"/>
      <c r="H186" s="295"/>
      <c r="I186" s="303"/>
      <c r="J186" s="303"/>
      <c r="K186" s="297"/>
      <c r="L186" s="303"/>
      <c r="M186" s="303"/>
      <c r="N186" s="297"/>
      <c r="O186" s="292"/>
      <c r="P186" s="303"/>
      <c r="Q186" s="298"/>
      <c r="R186" s="294"/>
      <c r="S186" s="297"/>
      <c r="T186" s="292"/>
      <c r="U186" s="299"/>
      <c r="V186" s="292"/>
      <c r="W186" s="309"/>
      <c r="X186" s="292"/>
      <c r="Y186" s="309"/>
      <c r="Z186" s="292"/>
      <c r="AA186" s="315"/>
      <c r="AB186" s="297"/>
      <c r="AC186" s="292"/>
      <c r="AD186" s="292"/>
      <c r="AE186" s="292"/>
      <c r="AF186" s="303"/>
      <c r="AG186" s="303"/>
      <c r="AH186" s="303"/>
      <c r="AI186" s="303"/>
    </row>
    <row r="187">
      <c r="A187" s="304"/>
      <c r="B187" s="299"/>
      <c r="C187" s="292"/>
      <c r="D187" s="293"/>
      <c r="E187" s="292"/>
      <c r="F187" s="293"/>
      <c r="G187" s="294"/>
      <c r="H187" s="295"/>
      <c r="I187" s="303"/>
      <c r="J187" s="303"/>
      <c r="K187" s="297"/>
      <c r="L187" s="303"/>
      <c r="M187" s="303"/>
      <c r="N187" s="297"/>
      <c r="O187" s="292"/>
      <c r="P187" s="303"/>
      <c r="Q187" s="298"/>
      <c r="R187" s="294"/>
      <c r="S187" s="297"/>
      <c r="T187" s="292"/>
      <c r="U187" s="299"/>
      <c r="V187" s="292"/>
      <c r="W187" s="309"/>
      <c r="X187" s="292"/>
      <c r="Y187" s="309"/>
      <c r="Z187" s="292"/>
      <c r="AA187" s="315"/>
      <c r="AB187" s="297"/>
      <c r="AC187" s="292"/>
      <c r="AD187" s="292"/>
      <c r="AE187" s="292"/>
      <c r="AF187" s="303"/>
      <c r="AG187" s="303"/>
      <c r="AH187" s="303"/>
      <c r="AI187" s="303"/>
    </row>
    <row r="188">
      <c r="A188" s="304"/>
      <c r="B188" s="299"/>
      <c r="C188" s="292"/>
      <c r="D188" s="293"/>
      <c r="E188" s="292"/>
      <c r="F188" s="293"/>
      <c r="G188" s="294"/>
      <c r="H188" s="295"/>
      <c r="I188" s="303"/>
      <c r="J188" s="303"/>
      <c r="K188" s="297"/>
      <c r="L188" s="303"/>
      <c r="M188" s="303"/>
      <c r="N188" s="297"/>
      <c r="O188" s="292"/>
      <c r="P188" s="303"/>
      <c r="Q188" s="298"/>
      <c r="R188" s="294"/>
      <c r="S188" s="297"/>
      <c r="T188" s="292"/>
      <c r="U188" s="299"/>
      <c r="V188" s="292"/>
      <c r="W188" s="309"/>
      <c r="X188" s="292"/>
      <c r="Y188" s="309"/>
      <c r="Z188" s="292"/>
      <c r="AA188" s="315"/>
      <c r="AB188" s="297"/>
      <c r="AC188" s="292"/>
      <c r="AD188" s="292"/>
      <c r="AE188" s="292"/>
      <c r="AF188" s="303"/>
      <c r="AG188" s="303"/>
      <c r="AH188" s="303"/>
      <c r="AI188" s="303"/>
    </row>
    <row r="189">
      <c r="A189" s="304"/>
      <c r="B189" s="299"/>
      <c r="C189" s="292"/>
      <c r="D189" s="293"/>
      <c r="E189" s="292"/>
      <c r="F189" s="293"/>
      <c r="G189" s="294"/>
      <c r="H189" s="295"/>
      <c r="I189" s="303"/>
      <c r="J189" s="303"/>
      <c r="K189" s="297"/>
      <c r="L189" s="303"/>
      <c r="M189" s="303"/>
      <c r="N189" s="297"/>
      <c r="O189" s="292"/>
      <c r="P189" s="303"/>
      <c r="Q189" s="298"/>
      <c r="R189" s="294"/>
      <c r="S189" s="297"/>
      <c r="T189" s="292"/>
      <c r="U189" s="299"/>
      <c r="V189" s="292"/>
      <c r="W189" s="309"/>
      <c r="X189" s="292"/>
      <c r="Y189" s="309"/>
      <c r="Z189" s="292"/>
      <c r="AA189" s="315"/>
      <c r="AB189" s="297"/>
      <c r="AC189" s="292"/>
      <c r="AD189" s="292"/>
      <c r="AE189" s="292"/>
      <c r="AF189" s="303"/>
      <c r="AG189" s="303"/>
      <c r="AH189" s="303"/>
      <c r="AI189" s="303"/>
    </row>
    <row r="190">
      <c r="A190" s="304"/>
      <c r="B190" s="299"/>
      <c r="C190" s="292"/>
      <c r="D190" s="293"/>
      <c r="E190" s="292"/>
      <c r="F190" s="293"/>
      <c r="G190" s="294"/>
      <c r="H190" s="295"/>
      <c r="I190" s="303"/>
      <c r="J190" s="303"/>
      <c r="K190" s="297"/>
      <c r="L190" s="303"/>
      <c r="M190" s="303"/>
      <c r="N190" s="297"/>
      <c r="O190" s="292"/>
      <c r="P190" s="303"/>
      <c r="Q190" s="298"/>
      <c r="R190" s="294"/>
      <c r="S190" s="297"/>
      <c r="T190" s="292"/>
      <c r="U190" s="299"/>
      <c r="V190" s="292"/>
      <c r="W190" s="309"/>
      <c r="X190" s="292"/>
      <c r="Y190" s="309"/>
      <c r="Z190" s="292"/>
      <c r="AA190" s="315"/>
      <c r="AB190" s="297"/>
      <c r="AC190" s="292"/>
      <c r="AD190" s="292"/>
      <c r="AE190" s="292"/>
      <c r="AF190" s="303"/>
      <c r="AG190" s="303"/>
      <c r="AH190" s="303"/>
      <c r="AI190" s="303"/>
    </row>
    <row r="191">
      <c r="A191" s="304"/>
      <c r="B191" s="299"/>
      <c r="C191" s="292"/>
      <c r="D191" s="293"/>
      <c r="E191" s="292"/>
      <c r="F191" s="293"/>
      <c r="G191" s="294"/>
      <c r="H191" s="295"/>
      <c r="I191" s="303"/>
      <c r="J191" s="303"/>
      <c r="K191" s="297"/>
      <c r="L191" s="303"/>
      <c r="M191" s="303"/>
      <c r="N191" s="297"/>
      <c r="O191" s="292"/>
      <c r="P191" s="303"/>
      <c r="Q191" s="298"/>
      <c r="R191" s="294"/>
      <c r="S191" s="297"/>
      <c r="T191" s="292"/>
      <c r="U191" s="299"/>
      <c r="V191" s="292"/>
      <c r="W191" s="309"/>
      <c r="X191" s="292"/>
      <c r="Y191" s="309"/>
      <c r="Z191" s="292"/>
      <c r="AA191" s="315"/>
      <c r="AB191" s="297"/>
      <c r="AC191" s="292"/>
      <c r="AD191" s="292"/>
      <c r="AE191" s="292"/>
      <c r="AF191" s="303"/>
      <c r="AG191" s="303"/>
      <c r="AH191" s="303"/>
      <c r="AI191" s="303"/>
    </row>
    <row r="192">
      <c r="A192" s="304"/>
      <c r="B192" s="299"/>
      <c r="C192" s="292"/>
      <c r="D192" s="293"/>
      <c r="E192" s="292"/>
      <c r="F192" s="293"/>
      <c r="G192" s="294"/>
      <c r="H192" s="295"/>
      <c r="I192" s="303"/>
      <c r="J192" s="303"/>
      <c r="K192" s="297"/>
      <c r="L192" s="303"/>
      <c r="M192" s="303"/>
      <c r="N192" s="297"/>
      <c r="O192" s="292"/>
      <c r="P192" s="303"/>
      <c r="Q192" s="298"/>
      <c r="R192" s="294"/>
      <c r="S192" s="297"/>
      <c r="T192" s="292"/>
      <c r="U192" s="299"/>
      <c r="V192" s="292"/>
      <c r="W192" s="309"/>
      <c r="X192" s="292"/>
      <c r="Y192" s="309"/>
      <c r="Z192" s="292"/>
      <c r="AA192" s="315"/>
      <c r="AB192" s="297"/>
      <c r="AC192" s="292"/>
      <c r="AD192" s="292"/>
      <c r="AE192" s="292"/>
      <c r="AF192" s="303"/>
      <c r="AG192" s="303"/>
      <c r="AH192" s="303"/>
      <c r="AI192" s="303"/>
    </row>
    <row r="193">
      <c r="A193" s="304"/>
      <c r="B193" s="299"/>
      <c r="C193" s="292"/>
      <c r="D193" s="293"/>
      <c r="E193" s="292"/>
      <c r="F193" s="293"/>
      <c r="G193" s="294"/>
      <c r="H193" s="295"/>
      <c r="I193" s="303"/>
      <c r="J193" s="303"/>
      <c r="K193" s="297"/>
      <c r="L193" s="303"/>
      <c r="M193" s="303"/>
      <c r="N193" s="297"/>
      <c r="O193" s="292"/>
      <c r="P193" s="303"/>
      <c r="Q193" s="298"/>
      <c r="R193" s="294"/>
      <c r="S193" s="297"/>
      <c r="T193" s="292"/>
      <c r="U193" s="299"/>
      <c r="V193" s="292"/>
      <c r="W193" s="309"/>
      <c r="X193" s="292"/>
      <c r="Y193" s="309"/>
      <c r="Z193" s="292"/>
      <c r="AA193" s="315"/>
      <c r="AB193" s="297"/>
      <c r="AC193" s="292"/>
      <c r="AD193" s="292"/>
      <c r="AE193" s="292"/>
      <c r="AF193" s="303"/>
      <c r="AG193" s="303"/>
      <c r="AH193" s="303"/>
      <c r="AI193" s="303"/>
    </row>
    <row r="194">
      <c r="A194" s="304"/>
      <c r="B194" s="299"/>
      <c r="C194" s="292"/>
      <c r="D194" s="293"/>
      <c r="E194" s="292"/>
      <c r="F194" s="293"/>
      <c r="G194" s="294"/>
      <c r="H194" s="295"/>
      <c r="I194" s="303"/>
      <c r="J194" s="303"/>
      <c r="K194" s="297"/>
      <c r="L194" s="303"/>
      <c r="M194" s="303"/>
      <c r="N194" s="297"/>
      <c r="O194" s="292"/>
      <c r="P194" s="303"/>
      <c r="Q194" s="298"/>
      <c r="R194" s="294"/>
      <c r="S194" s="297"/>
      <c r="T194" s="292"/>
      <c r="U194" s="299"/>
      <c r="V194" s="292"/>
      <c r="W194" s="309"/>
      <c r="X194" s="292"/>
      <c r="Y194" s="309"/>
      <c r="Z194" s="292"/>
      <c r="AA194" s="315"/>
      <c r="AB194" s="297"/>
      <c r="AC194" s="292"/>
      <c r="AD194" s="292"/>
      <c r="AE194" s="292"/>
      <c r="AF194" s="303"/>
      <c r="AG194" s="303"/>
      <c r="AH194" s="303"/>
      <c r="AI194" s="303"/>
    </row>
    <row r="195">
      <c r="A195" s="304"/>
      <c r="B195" s="299"/>
      <c r="C195" s="292"/>
      <c r="D195" s="293"/>
      <c r="E195" s="292"/>
      <c r="F195" s="293"/>
      <c r="G195" s="294"/>
      <c r="H195" s="295"/>
      <c r="I195" s="303"/>
      <c r="J195" s="303"/>
      <c r="K195" s="297"/>
      <c r="L195" s="303"/>
      <c r="M195" s="303"/>
      <c r="N195" s="297"/>
      <c r="O195" s="292"/>
      <c r="P195" s="303"/>
      <c r="Q195" s="298"/>
      <c r="R195" s="294"/>
      <c r="S195" s="297"/>
      <c r="T195" s="292"/>
      <c r="U195" s="299"/>
      <c r="V195" s="292"/>
      <c r="W195" s="309"/>
      <c r="X195" s="292"/>
      <c r="Y195" s="309"/>
      <c r="Z195" s="292"/>
      <c r="AA195" s="315"/>
      <c r="AB195" s="297"/>
      <c r="AC195" s="292"/>
      <c r="AD195" s="292"/>
      <c r="AE195" s="292"/>
      <c r="AF195" s="303"/>
      <c r="AG195" s="303"/>
      <c r="AH195" s="303"/>
      <c r="AI195" s="303"/>
    </row>
    <row r="196">
      <c r="A196" s="304"/>
      <c r="B196" s="299"/>
      <c r="C196" s="292"/>
      <c r="D196" s="293"/>
      <c r="E196" s="292"/>
      <c r="F196" s="293"/>
      <c r="G196" s="294"/>
      <c r="H196" s="295"/>
      <c r="I196" s="303"/>
      <c r="J196" s="303"/>
      <c r="K196" s="297"/>
      <c r="L196" s="303"/>
      <c r="M196" s="303"/>
      <c r="N196" s="297"/>
      <c r="O196" s="292"/>
      <c r="P196" s="303"/>
      <c r="Q196" s="298"/>
      <c r="R196" s="294"/>
      <c r="S196" s="297"/>
      <c r="T196" s="292"/>
      <c r="U196" s="299"/>
      <c r="V196" s="292"/>
      <c r="W196" s="309"/>
      <c r="X196" s="292"/>
      <c r="Y196" s="309"/>
      <c r="Z196" s="292"/>
      <c r="AA196" s="315"/>
      <c r="AB196" s="297"/>
      <c r="AC196" s="292"/>
      <c r="AD196" s="292"/>
      <c r="AE196" s="292"/>
      <c r="AF196" s="303"/>
      <c r="AG196" s="303"/>
      <c r="AH196" s="303"/>
      <c r="AI196" s="303"/>
    </row>
    <row r="197">
      <c r="A197" s="304"/>
      <c r="B197" s="299"/>
      <c r="C197" s="292"/>
      <c r="D197" s="293"/>
      <c r="E197" s="292"/>
      <c r="F197" s="293"/>
      <c r="G197" s="294"/>
      <c r="H197" s="295"/>
      <c r="I197" s="303"/>
      <c r="J197" s="303"/>
      <c r="K197" s="297"/>
      <c r="L197" s="303"/>
      <c r="M197" s="303"/>
      <c r="N197" s="297"/>
      <c r="O197" s="292"/>
      <c r="P197" s="303"/>
      <c r="Q197" s="298"/>
      <c r="R197" s="294"/>
      <c r="S197" s="297"/>
      <c r="T197" s="292"/>
      <c r="U197" s="299"/>
      <c r="V197" s="292"/>
      <c r="W197" s="309"/>
      <c r="X197" s="292"/>
      <c r="Y197" s="309"/>
      <c r="Z197" s="292"/>
      <c r="AA197" s="315"/>
      <c r="AB197" s="297"/>
      <c r="AC197" s="292"/>
      <c r="AD197" s="292"/>
      <c r="AE197" s="292"/>
      <c r="AF197" s="303"/>
      <c r="AG197" s="303"/>
      <c r="AH197" s="303"/>
      <c r="AI197" s="303"/>
    </row>
    <row r="198">
      <c r="A198" s="304"/>
      <c r="B198" s="299"/>
      <c r="C198" s="292"/>
      <c r="D198" s="293"/>
      <c r="E198" s="292"/>
      <c r="F198" s="293"/>
      <c r="G198" s="294"/>
      <c r="H198" s="295"/>
      <c r="I198" s="303"/>
      <c r="J198" s="303"/>
      <c r="K198" s="297"/>
      <c r="L198" s="303"/>
      <c r="M198" s="303"/>
      <c r="N198" s="297"/>
      <c r="O198" s="292"/>
      <c r="P198" s="303"/>
      <c r="Q198" s="298"/>
      <c r="R198" s="294"/>
      <c r="S198" s="297"/>
      <c r="T198" s="292"/>
      <c r="U198" s="299"/>
      <c r="V198" s="292"/>
      <c r="W198" s="309"/>
      <c r="X198" s="292"/>
      <c r="Y198" s="309"/>
      <c r="Z198" s="292"/>
      <c r="AA198" s="315"/>
      <c r="AB198" s="297"/>
      <c r="AC198" s="292"/>
      <c r="AD198" s="292"/>
      <c r="AE198" s="292"/>
      <c r="AF198" s="303"/>
      <c r="AG198" s="303"/>
      <c r="AH198" s="303"/>
      <c r="AI198" s="303"/>
    </row>
    <row r="199">
      <c r="A199" s="304"/>
      <c r="B199" s="299"/>
      <c r="C199" s="292"/>
      <c r="D199" s="293"/>
      <c r="E199" s="292"/>
      <c r="F199" s="293"/>
      <c r="G199" s="294"/>
      <c r="H199" s="295"/>
      <c r="I199" s="303"/>
      <c r="J199" s="303"/>
      <c r="K199" s="297"/>
      <c r="L199" s="303"/>
      <c r="M199" s="303"/>
      <c r="N199" s="297"/>
      <c r="O199" s="292"/>
      <c r="P199" s="303"/>
      <c r="Q199" s="298"/>
      <c r="R199" s="294"/>
      <c r="S199" s="297"/>
      <c r="T199" s="292"/>
      <c r="U199" s="299"/>
      <c r="V199" s="292"/>
      <c r="W199" s="309"/>
      <c r="X199" s="292"/>
      <c r="Y199" s="309"/>
      <c r="Z199" s="292"/>
      <c r="AA199" s="315"/>
      <c r="AB199" s="297"/>
      <c r="AC199" s="292"/>
      <c r="AD199" s="292"/>
      <c r="AE199" s="292"/>
      <c r="AF199" s="303"/>
      <c r="AG199" s="303"/>
      <c r="AH199" s="303"/>
      <c r="AI199" s="303"/>
    </row>
    <row r="200">
      <c r="A200" s="304"/>
      <c r="B200" s="299"/>
      <c r="C200" s="292"/>
      <c r="D200" s="293"/>
      <c r="E200" s="292"/>
      <c r="F200" s="293"/>
      <c r="G200" s="294"/>
      <c r="H200" s="295"/>
      <c r="I200" s="303"/>
      <c r="J200" s="303"/>
      <c r="K200" s="297"/>
      <c r="L200" s="303"/>
      <c r="M200" s="303"/>
      <c r="N200" s="297"/>
      <c r="O200" s="292"/>
      <c r="P200" s="303"/>
      <c r="Q200" s="298"/>
      <c r="R200" s="294"/>
      <c r="S200" s="297"/>
      <c r="T200" s="292"/>
      <c r="U200" s="299"/>
      <c r="V200" s="292"/>
      <c r="W200" s="309"/>
      <c r="X200" s="292"/>
      <c r="Y200" s="309"/>
      <c r="Z200" s="292"/>
      <c r="AA200" s="315"/>
      <c r="AB200" s="297"/>
      <c r="AC200" s="292"/>
      <c r="AD200" s="292"/>
      <c r="AE200" s="292"/>
      <c r="AF200" s="303"/>
      <c r="AG200" s="303"/>
      <c r="AH200" s="303"/>
      <c r="AI200" s="303"/>
    </row>
    <row r="201">
      <c r="A201" s="304"/>
      <c r="B201" s="299"/>
      <c r="C201" s="292"/>
      <c r="D201" s="293"/>
      <c r="E201" s="292"/>
      <c r="F201" s="293"/>
      <c r="G201" s="294"/>
      <c r="H201" s="295"/>
      <c r="I201" s="303"/>
      <c r="J201" s="303"/>
      <c r="K201" s="297"/>
      <c r="L201" s="303"/>
      <c r="M201" s="303"/>
      <c r="N201" s="297"/>
      <c r="O201" s="292"/>
      <c r="P201" s="303"/>
      <c r="Q201" s="298"/>
      <c r="R201" s="294"/>
      <c r="S201" s="297"/>
      <c r="T201" s="292"/>
      <c r="U201" s="299"/>
      <c r="V201" s="292"/>
      <c r="W201" s="309"/>
      <c r="X201" s="292"/>
      <c r="Y201" s="309"/>
      <c r="Z201" s="292"/>
      <c r="AA201" s="315"/>
      <c r="AB201" s="297"/>
      <c r="AC201" s="292"/>
      <c r="AD201" s="292"/>
      <c r="AE201" s="292"/>
      <c r="AF201" s="303"/>
      <c r="AG201" s="303"/>
      <c r="AH201" s="303"/>
      <c r="AI201" s="303"/>
    </row>
    <row r="202">
      <c r="A202" s="304"/>
      <c r="B202" s="299"/>
      <c r="C202" s="292"/>
      <c r="D202" s="293"/>
      <c r="E202" s="292"/>
      <c r="F202" s="293"/>
      <c r="G202" s="294"/>
      <c r="H202" s="295"/>
      <c r="I202" s="303"/>
      <c r="J202" s="303"/>
      <c r="K202" s="297"/>
      <c r="L202" s="303"/>
      <c r="M202" s="303"/>
      <c r="N202" s="297"/>
      <c r="O202" s="292"/>
      <c r="P202" s="303"/>
      <c r="Q202" s="298"/>
      <c r="R202" s="294"/>
      <c r="S202" s="297"/>
      <c r="T202" s="292"/>
      <c r="U202" s="299"/>
      <c r="V202" s="292"/>
      <c r="W202" s="309"/>
      <c r="X202" s="292"/>
      <c r="Y202" s="309"/>
      <c r="Z202" s="292"/>
      <c r="AA202" s="315"/>
      <c r="AB202" s="297"/>
      <c r="AC202" s="292"/>
      <c r="AD202" s="292"/>
      <c r="AE202" s="292"/>
      <c r="AF202" s="303"/>
      <c r="AG202" s="303"/>
      <c r="AH202" s="303"/>
      <c r="AI202" s="303"/>
    </row>
    <row r="203">
      <c r="A203" s="304"/>
      <c r="B203" s="299"/>
      <c r="C203" s="292"/>
      <c r="D203" s="293"/>
      <c r="E203" s="292"/>
      <c r="F203" s="293"/>
      <c r="G203" s="294"/>
      <c r="H203" s="295"/>
      <c r="I203" s="303"/>
      <c r="J203" s="303"/>
      <c r="K203" s="297"/>
      <c r="L203" s="303"/>
      <c r="M203" s="303"/>
      <c r="N203" s="297"/>
      <c r="O203" s="292"/>
      <c r="P203" s="303"/>
      <c r="Q203" s="298"/>
      <c r="R203" s="294"/>
      <c r="S203" s="297"/>
      <c r="T203" s="292"/>
      <c r="U203" s="299"/>
      <c r="V203" s="292"/>
      <c r="W203" s="309"/>
      <c r="X203" s="292"/>
      <c r="Y203" s="309"/>
      <c r="Z203" s="292"/>
      <c r="AA203" s="315"/>
      <c r="AB203" s="297"/>
      <c r="AC203" s="292"/>
      <c r="AD203" s="292"/>
      <c r="AE203" s="292"/>
      <c r="AF203" s="303"/>
      <c r="AG203" s="303"/>
      <c r="AH203" s="303"/>
      <c r="AI203" s="303"/>
    </row>
    <row r="204">
      <c r="A204" s="304"/>
      <c r="B204" s="299"/>
      <c r="C204" s="292"/>
      <c r="D204" s="293"/>
      <c r="E204" s="292"/>
      <c r="F204" s="293"/>
      <c r="G204" s="294"/>
      <c r="H204" s="295"/>
      <c r="I204" s="303"/>
      <c r="J204" s="303"/>
      <c r="K204" s="297"/>
      <c r="L204" s="303"/>
      <c r="M204" s="303"/>
      <c r="N204" s="297"/>
      <c r="O204" s="292"/>
      <c r="P204" s="303"/>
      <c r="Q204" s="298"/>
      <c r="R204" s="294"/>
      <c r="S204" s="297"/>
      <c r="T204" s="292"/>
      <c r="U204" s="299"/>
      <c r="V204" s="292"/>
      <c r="W204" s="309"/>
      <c r="X204" s="292"/>
      <c r="Y204" s="309"/>
      <c r="Z204" s="292"/>
      <c r="AA204" s="315"/>
      <c r="AB204" s="297"/>
      <c r="AC204" s="292"/>
      <c r="AD204" s="292"/>
      <c r="AE204" s="292"/>
      <c r="AF204" s="303"/>
      <c r="AG204" s="303"/>
      <c r="AH204" s="303"/>
      <c r="AI204" s="303"/>
    </row>
    <row r="205">
      <c r="A205" s="304"/>
      <c r="B205" s="299"/>
      <c r="C205" s="292"/>
      <c r="D205" s="293"/>
      <c r="E205" s="292"/>
      <c r="F205" s="293"/>
      <c r="G205" s="294"/>
      <c r="H205" s="295"/>
      <c r="I205" s="303"/>
      <c r="J205" s="303"/>
      <c r="K205" s="297"/>
      <c r="L205" s="303"/>
      <c r="M205" s="303"/>
      <c r="N205" s="297"/>
      <c r="O205" s="292"/>
      <c r="P205" s="303"/>
      <c r="Q205" s="298"/>
      <c r="R205" s="294"/>
      <c r="S205" s="297"/>
      <c r="T205" s="292"/>
      <c r="U205" s="299"/>
      <c r="V205" s="292"/>
      <c r="W205" s="309"/>
      <c r="X205" s="292"/>
      <c r="Y205" s="309"/>
      <c r="Z205" s="292"/>
      <c r="AA205" s="315"/>
      <c r="AB205" s="297"/>
      <c r="AC205" s="292"/>
      <c r="AD205" s="292"/>
      <c r="AE205" s="292"/>
      <c r="AF205" s="303"/>
      <c r="AG205" s="303"/>
      <c r="AH205" s="303"/>
      <c r="AI205" s="303"/>
    </row>
    <row r="206">
      <c r="A206" s="304"/>
      <c r="B206" s="299"/>
      <c r="C206" s="292"/>
      <c r="D206" s="293"/>
      <c r="E206" s="292"/>
      <c r="F206" s="293"/>
      <c r="G206" s="294"/>
      <c r="H206" s="295"/>
      <c r="I206" s="303"/>
      <c r="J206" s="303"/>
      <c r="K206" s="297"/>
      <c r="L206" s="303"/>
      <c r="M206" s="303"/>
      <c r="N206" s="297"/>
      <c r="O206" s="292"/>
      <c r="P206" s="303"/>
      <c r="Q206" s="298"/>
      <c r="R206" s="294"/>
      <c r="S206" s="297"/>
      <c r="T206" s="292"/>
      <c r="U206" s="299"/>
      <c r="V206" s="292"/>
      <c r="W206" s="309"/>
      <c r="X206" s="292"/>
      <c r="Y206" s="309"/>
      <c r="Z206" s="292"/>
      <c r="AA206" s="315"/>
      <c r="AB206" s="297"/>
      <c r="AC206" s="292"/>
      <c r="AD206" s="292"/>
      <c r="AE206" s="292"/>
      <c r="AF206" s="303"/>
      <c r="AG206" s="303"/>
      <c r="AH206" s="303"/>
      <c r="AI206" s="303"/>
    </row>
    <row r="207">
      <c r="A207" s="304"/>
      <c r="B207" s="299"/>
      <c r="C207" s="292"/>
      <c r="D207" s="293"/>
      <c r="E207" s="292"/>
      <c r="F207" s="293"/>
      <c r="G207" s="294"/>
      <c r="H207" s="295"/>
      <c r="I207" s="303"/>
      <c r="J207" s="303"/>
      <c r="K207" s="297"/>
      <c r="L207" s="303"/>
      <c r="M207" s="303"/>
      <c r="N207" s="297"/>
      <c r="O207" s="292"/>
      <c r="P207" s="303"/>
      <c r="Q207" s="298"/>
      <c r="R207" s="294"/>
      <c r="S207" s="297"/>
      <c r="T207" s="292"/>
      <c r="U207" s="299"/>
      <c r="V207" s="292"/>
      <c r="W207" s="309"/>
      <c r="X207" s="292"/>
      <c r="Y207" s="309"/>
      <c r="Z207" s="292"/>
      <c r="AA207" s="315"/>
      <c r="AB207" s="297"/>
      <c r="AC207" s="292"/>
      <c r="AD207" s="292"/>
      <c r="AE207" s="292"/>
      <c r="AF207" s="303"/>
      <c r="AG207" s="303"/>
      <c r="AH207" s="303"/>
      <c r="AI207" s="303"/>
    </row>
    <row r="208">
      <c r="A208" s="304"/>
      <c r="B208" s="299"/>
      <c r="C208" s="292"/>
      <c r="D208" s="293"/>
      <c r="E208" s="292"/>
      <c r="F208" s="293"/>
      <c r="G208" s="294"/>
      <c r="H208" s="295"/>
      <c r="I208" s="303"/>
      <c r="J208" s="303"/>
      <c r="K208" s="297"/>
      <c r="L208" s="303"/>
      <c r="M208" s="303"/>
      <c r="N208" s="297"/>
      <c r="O208" s="292"/>
      <c r="P208" s="303"/>
      <c r="Q208" s="298"/>
      <c r="R208" s="294"/>
      <c r="S208" s="297"/>
      <c r="T208" s="292"/>
      <c r="U208" s="299"/>
      <c r="V208" s="292"/>
      <c r="W208" s="309"/>
      <c r="X208" s="292"/>
      <c r="Y208" s="309"/>
      <c r="Z208" s="292"/>
      <c r="AA208" s="315"/>
      <c r="AB208" s="297"/>
      <c r="AC208" s="292"/>
      <c r="AD208" s="292"/>
      <c r="AE208" s="292"/>
      <c r="AF208" s="303"/>
      <c r="AG208" s="303"/>
      <c r="AH208" s="303"/>
      <c r="AI208" s="303"/>
    </row>
    <row r="209">
      <c r="A209" s="304"/>
      <c r="B209" s="299"/>
      <c r="C209" s="292"/>
      <c r="D209" s="293"/>
      <c r="E209" s="292"/>
      <c r="F209" s="293"/>
      <c r="G209" s="294"/>
      <c r="H209" s="295"/>
      <c r="I209" s="303"/>
      <c r="J209" s="303"/>
      <c r="K209" s="297"/>
      <c r="L209" s="303"/>
      <c r="M209" s="303"/>
      <c r="N209" s="297"/>
      <c r="O209" s="292"/>
      <c r="P209" s="303"/>
      <c r="Q209" s="298"/>
      <c r="R209" s="294"/>
      <c r="S209" s="297"/>
      <c r="T209" s="292"/>
      <c r="U209" s="299"/>
      <c r="V209" s="292"/>
      <c r="W209" s="309"/>
      <c r="X209" s="292"/>
      <c r="Y209" s="309"/>
      <c r="Z209" s="292"/>
      <c r="AA209" s="315"/>
      <c r="AB209" s="297"/>
      <c r="AC209" s="292"/>
      <c r="AD209" s="292"/>
      <c r="AE209" s="292"/>
      <c r="AF209" s="303"/>
      <c r="AG209" s="303"/>
      <c r="AH209" s="303"/>
      <c r="AI209" s="303"/>
    </row>
    <row r="210">
      <c r="A210" s="304"/>
      <c r="B210" s="299"/>
      <c r="C210" s="292"/>
      <c r="D210" s="293"/>
      <c r="E210" s="292"/>
      <c r="F210" s="293"/>
      <c r="G210" s="294"/>
      <c r="H210" s="295"/>
      <c r="I210" s="303"/>
      <c r="J210" s="303"/>
      <c r="K210" s="297"/>
      <c r="L210" s="303"/>
      <c r="M210" s="303"/>
      <c r="N210" s="297"/>
      <c r="O210" s="292"/>
      <c r="P210" s="303"/>
      <c r="Q210" s="298"/>
      <c r="R210" s="294"/>
      <c r="S210" s="297"/>
      <c r="T210" s="292"/>
      <c r="U210" s="299"/>
      <c r="V210" s="292"/>
      <c r="W210" s="309"/>
      <c r="X210" s="292"/>
      <c r="Y210" s="309"/>
      <c r="Z210" s="292"/>
      <c r="AA210" s="315"/>
      <c r="AB210" s="297"/>
      <c r="AC210" s="292"/>
      <c r="AD210" s="292"/>
      <c r="AE210" s="292"/>
      <c r="AF210" s="303"/>
      <c r="AG210" s="303"/>
      <c r="AH210" s="303"/>
      <c r="AI210" s="303"/>
    </row>
    <row r="211">
      <c r="A211" s="304"/>
      <c r="B211" s="299"/>
      <c r="C211" s="292"/>
      <c r="D211" s="293"/>
      <c r="E211" s="292"/>
      <c r="F211" s="293"/>
      <c r="G211" s="294"/>
      <c r="H211" s="295"/>
      <c r="I211" s="303"/>
      <c r="J211" s="303"/>
      <c r="K211" s="297"/>
      <c r="L211" s="303"/>
      <c r="M211" s="303"/>
      <c r="N211" s="297"/>
      <c r="O211" s="292"/>
      <c r="P211" s="303"/>
      <c r="Q211" s="298"/>
      <c r="R211" s="294"/>
      <c r="S211" s="297"/>
      <c r="T211" s="292"/>
      <c r="U211" s="299"/>
      <c r="V211" s="292"/>
      <c r="W211" s="309"/>
      <c r="X211" s="292"/>
      <c r="Y211" s="309"/>
      <c r="Z211" s="292"/>
      <c r="AA211" s="315"/>
      <c r="AB211" s="297"/>
      <c r="AC211" s="292"/>
      <c r="AD211" s="292"/>
      <c r="AE211" s="292"/>
      <c r="AF211" s="303"/>
      <c r="AG211" s="303"/>
      <c r="AH211" s="303"/>
      <c r="AI211" s="303"/>
    </row>
    <row r="212">
      <c r="A212" s="304"/>
      <c r="B212" s="299"/>
      <c r="C212" s="292"/>
      <c r="D212" s="293"/>
      <c r="E212" s="292"/>
      <c r="F212" s="293"/>
      <c r="G212" s="294"/>
      <c r="H212" s="295"/>
      <c r="I212" s="303"/>
      <c r="J212" s="303"/>
      <c r="K212" s="297"/>
      <c r="L212" s="303"/>
      <c r="M212" s="303"/>
      <c r="N212" s="297"/>
      <c r="O212" s="292"/>
      <c r="P212" s="303"/>
      <c r="Q212" s="298"/>
      <c r="R212" s="294"/>
      <c r="S212" s="297"/>
      <c r="T212" s="292"/>
      <c r="U212" s="299"/>
      <c r="V212" s="292"/>
      <c r="W212" s="309"/>
      <c r="X212" s="292"/>
      <c r="Y212" s="309"/>
      <c r="Z212" s="292"/>
      <c r="AA212" s="315"/>
      <c r="AB212" s="297"/>
      <c r="AC212" s="292"/>
      <c r="AD212" s="292"/>
      <c r="AE212" s="292"/>
      <c r="AF212" s="303"/>
      <c r="AG212" s="303"/>
      <c r="AH212" s="303"/>
      <c r="AI212" s="303"/>
    </row>
    <row r="213">
      <c r="A213" s="304"/>
      <c r="B213" s="299"/>
      <c r="C213" s="292"/>
      <c r="D213" s="293"/>
      <c r="E213" s="292"/>
      <c r="F213" s="293"/>
      <c r="G213" s="294"/>
      <c r="H213" s="295"/>
      <c r="I213" s="303"/>
      <c r="J213" s="303"/>
      <c r="K213" s="297"/>
      <c r="L213" s="303"/>
      <c r="M213" s="303"/>
      <c r="N213" s="297"/>
      <c r="O213" s="292"/>
      <c r="P213" s="303"/>
      <c r="Q213" s="298"/>
      <c r="R213" s="294"/>
      <c r="S213" s="297"/>
      <c r="T213" s="292"/>
      <c r="U213" s="299"/>
      <c r="V213" s="292"/>
      <c r="W213" s="309"/>
      <c r="X213" s="292"/>
      <c r="Y213" s="309"/>
      <c r="Z213" s="292"/>
      <c r="AA213" s="315"/>
      <c r="AB213" s="297"/>
      <c r="AC213" s="292"/>
      <c r="AD213" s="292"/>
      <c r="AE213" s="292"/>
      <c r="AF213" s="303"/>
      <c r="AG213" s="303"/>
      <c r="AH213" s="303"/>
      <c r="AI213" s="303"/>
    </row>
    <row r="214">
      <c r="A214" s="304"/>
      <c r="B214" s="299"/>
      <c r="C214" s="292"/>
      <c r="D214" s="293"/>
      <c r="E214" s="292"/>
      <c r="F214" s="293"/>
      <c r="G214" s="294"/>
      <c r="H214" s="295"/>
      <c r="I214" s="303"/>
      <c r="J214" s="303"/>
      <c r="K214" s="297"/>
      <c r="L214" s="303"/>
      <c r="M214" s="303"/>
      <c r="N214" s="297"/>
      <c r="O214" s="292"/>
      <c r="P214" s="303"/>
      <c r="Q214" s="298"/>
      <c r="R214" s="294"/>
      <c r="S214" s="297"/>
      <c r="T214" s="292"/>
      <c r="U214" s="299"/>
      <c r="V214" s="292"/>
      <c r="W214" s="309"/>
      <c r="X214" s="292"/>
      <c r="Y214" s="309"/>
      <c r="Z214" s="292"/>
      <c r="AA214" s="315"/>
      <c r="AB214" s="297"/>
      <c r="AC214" s="292"/>
      <c r="AD214" s="292"/>
      <c r="AE214" s="292"/>
      <c r="AF214" s="303"/>
      <c r="AG214" s="303"/>
      <c r="AH214" s="303"/>
      <c r="AI214" s="303"/>
    </row>
    <row r="215">
      <c r="A215" s="304"/>
      <c r="B215" s="299"/>
      <c r="C215" s="292"/>
      <c r="D215" s="293"/>
      <c r="E215" s="292"/>
      <c r="F215" s="293"/>
      <c r="G215" s="294"/>
      <c r="H215" s="295"/>
      <c r="I215" s="303"/>
      <c r="J215" s="303"/>
      <c r="K215" s="297"/>
      <c r="L215" s="303"/>
      <c r="M215" s="303"/>
      <c r="N215" s="297"/>
      <c r="O215" s="292"/>
      <c r="P215" s="303"/>
      <c r="Q215" s="298"/>
      <c r="R215" s="294"/>
      <c r="S215" s="297"/>
      <c r="T215" s="292"/>
      <c r="U215" s="299"/>
      <c r="V215" s="292"/>
      <c r="W215" s="309"/>
      <c r="X215" s="292"/>
      <c r="Y215" s="309"/>
      <c r="Z215" s="292"/>
      <c r="AA215" s="315"/>
      <c r="AB215" s="297"/>
      <c r="AC215" s="292"/>
      <c r="AD215" s="292"/>
      <c r="AE215" s="292"/>
      <c r="AF215" s="303"/>
      <c r="AG215" s="303"/>
      <c r="AH215" s="303"/>
      <c r="AI215" s="303"/>
    </row>
    <row r="216">
      <c r="A216" s="304"/>
      <c r="B216" s="299"/>
      <c r="C216" s="292"/>
      <c r="D216" s="293"/>
      <c r="E216" s="292"/>
      <c r="F216" s="293"/>
      <c r="G216" s="294"/>
      <c r="H216" s="295"/>
      <c r="I216" s="303"/>
      <c r="J216" s="303"/>
      <c r="K216" s="297"/>
      <c r="L216" s="303"/>
      <c r="M216" s="303"/>
      <c r="N216" s="297"/>
      <c r="O216" s="292"/>
      <c r="P216" s="303"/>
      <c r="Q216" s="298"/>
      <c r="R216" s="294"/>
      <c r="S216" s="297"/>
      <c r="T216" s="292"/>
      <c r="U216" s="299"/>
      <c r="V216" s="292"/>
      <c r="W216" s="309"/>
      <c r="X216" s="292"/>
      <c r="Y216" s="309"/>
      <c r="Z216" s="292"/>
      <c r="AA216" s="315"/>
      <c r="AB216" s="297"/>
      <c r="AC216" s="292"/>
      <c r="AD216" s="292"/>
      <c r="AE216" s="292"/>
      <c r="AF216" s="303"/>
      <c r="AG216" s="303"/>
      <c r="AH216" s="303"/>
      <c r="AI216" s="303"/>
    </row>
    <row r="217">
      <c r="A217" s="304"/>
      <c r="B217" s="299"/>
      <c r="C217" s="292"/>
      <c r="D217" s="293"/>
      <c r="E217" s="292"/>
      <c r="F217" s="293"/>
      <c r="G217" s="294"/>
      <c r="H217" s="295"/>
      <c r="I217" s="303"/>
      <c r="J217" s="303"/>
      <c r="K217" s="297"/>
      <c r="L217" s="303"/>
      <c r="M217" s="303"/>
      <c r="N217" s="297"/>
      <c r="O217" s="292"/>
      <c r="P217" s="303"/>
      <c r="Q217" s="298"/>
      <c r="R217" s="294"/>
      <c r="S217" s="297"/>
      <c r="T217" s="292"/>
      <c r="U217" s="299"/>
      <c r="V217" s="292"/>
      <c r="W217" s="309"/>
      <c r="X217" s="292"/>
      <c r="Y217" s="309"/>
      <c r="Z217" s="292"/>
      <c r="AA217" s="315"/>
      <c r="AB217" s="297"/>
      <c r="AC217" s="292"/>
      <c r="AD217" s="292"/>
      <c r="AE217" s="292"/>
      <c r="AF217" s="303"/>
      <c r="AG217" s="303"/>
      <c r="AH217" s="303"/>
      <c r="AI217" s="303"/>
    </row>
    <row r="218">
      <c r="A218" s="304"/>
      <c r="B218" s="299"/>
      <c r="C218" s="292"/>
      <c r="D218" s="293"/>
      <c r="E218" s="292"/>
      <c r="F218" s="293"/>
      <c r="G218" s="294"/>
      <c r="H218" s="295"/>
      <c r="I218" s="303"/>
      <c r="J218" s="303"/>
      <c r="K218" s="297"/>
      <c r="L218" s="303"/>
      <c r="M218" s="303"/>
      <c r="N218" s="297"/>
      <c r="O218" s="292"/>
      <c r="P218" s="303"/>
      <c r="Q218" s="298"/>
      <c r="R218" s="294"/>
      <c r="S218" s="297"/>
      <c r="T218" s="292"/>
      <c r="U218" s="299"/>
      <c r="V218" s="292"/>
      <c r="W218" s="309"/>
      <c r="X218" s="292"/>
      <c r="Y218" s="309"/>
      <c r="Z218" s="292"/>
      <c r="AA218" s="315"/>
      <c r="AB218" s="297"/>
      <c r="AC218" s="292"/>
      <c r="AD218" s="292"/>
      <c r="AE218" s="292"/>
      <c r="AF218" s="303"/>
      <c r="AG218" s="303"/>
      <c r="AH218" s="303"/>
      <c r="AI218" s="303"/>
    </row>
    <row r="219">
      <c r="A219" s="304"/>
      <c r="B219" s="299"/>
      <c r="C219" s="292"/>
      <c r="D219" s="293"/>
      <c r="E219" s="292"/>
      <c r="F219" s="293"/>
      <c r="G219" s="294"/>
      <c r="H219" s="295"/>
      <c r="I219" s="303"/>
      <c r="J219" s="303"/>
      <c r="K219" s="297"/>
      <c r="L219" s="303"/>
      <c r="M219" s="303"/>
      <c r="N219" s="297"/>
      <c r="O219" s="292"/>
      <c r="P219" s="303"/>
      <c r="Q219" s="298"/>
      <c r="R219" s="294"/>
      <c r="S219" s="297"/>
      <c r="T219" s="292"/>
      <c r="U219" s="299"/>
      <c r="V219" s="292"/>
      <c r="W219" s="309"/>
      <c r="X219" s="292"/>
      <c r="Y219" s="309"/>
      <c r="Z219" s="292"/>
      <c r="AA219" s="315"/>
      <c r="AB219" s="297"/>
      <c r="AC219" s="292"/>
      <c r="AD219" s="292"/>
      <c r="AE219" s="292"/>
      <c r="AF219" s="303"/>
      <c r="AG219" s="303"/>
      <c r="AH219" s="303"/>
      <c r="AI219" s="303"/>
    </row>
    <row r="220">
      <c r="A220" s="304"/>
      <c r="B220" s="299"/>
      <c r="C220" s="292"/>
      <c r="D220" s="293"/>
      <c r="E220" s="292"/>
      <c r="F220" s="293"/>
      <c r="G220" s="294"/>
      <c r="H220" s="295"/>
      <c r="I220" s="303"/>
      <c r="J220" s="303"/>
      <c r="K220" s="297"/>
      <c r="L220" s="303"/>
      <c r="M220" s="303"/>
      <c r="N220" s="297"/>
      <c r="O220" s="292"/>
      <c r="P220" s="303"/>
      <c r="Q220" s="298"/>
      <c r="R220" s="294"/>
      <c r="S220" s="297"/>
      <c r="T220" s="292"/>
      <c r="U220" s="299"/>
      <c r="V220" s="292"/>
      <c r="W220" s="309"/>
      <c r="X220" s="292"/>
      <c r="Y220" s="309"/>
      <c r="Z220" s="292"/>
      <c r="AA220" s="315"/>
      <c r="AB220" s="297"/>
      <c r="AC220" s="292"/>
      <c r="AD220" s="292"/>
      <c r="AE220" s="292"/>
      <c r="AF220" s="303"/>
      <c r="AG220" s="303"/>
      <c r="AH220" s="303"/>
      <c r="AI220" s="303"/>
    </row>
    <row r="221">
      <c r="A221" s="304"/>
      <c r="B221" s="299"/>
      <c r="C221" s="292"/>
      <c r="D221" s="293"/>
      <c r="E221" s="292"/>
      <c r="F221" s="293"/>
      <c r="G221" s="294"/>
      <c r="H221" s="295"/>
      <c r="I221" s="303"/>
      <c r="J221" s="303"/>
      <c r="K221" s="297"/>
      <c r="L221" s="303"/>
      <c r="M221" s="303"/>
      <c r="N221" s="297"/>
      <c r="O221" s="292"/>
      <c r="P221" s="303"/>
      <c r="Q221" s="298"/>
      <c r="R221" s="294"/>
      <c r="S221" s="297"/>
      <c r="T221" s="292"/>
      <c r="U221" s="299"/>
      <c r="V221" s="292"/>
      <c r="W221" s="309"/>
      <c r="X221" s="292"/>
      <c r="Y221" s="309"/>
      <c r="Z221" s="292"/>
      <c r="AA221" s="315"/>
      <c r="AB221" s="297"/>
      <c r="AC221" s="292"/>
      <c r="AD221" s="292"/>
      <c r="AE221" s="292"/>
      <c r="AF221" s="303"/>
      <c r="AG221" s="303"/>
      <c r="AH221" s="303"/>
      <c r="AI221" s="303"/>
    </row>
    <row r="222">
      <c r="A222" s="304"/>
      <c r="B222" s="299"/>
      <c r="C222" s="292"/>
      <c r="D222" s="293"/>
      <c r="E222" s="292"/>
      <c r="F222" s="293"/>
      <c r="G222" s="294"/>
      <c r="H222" s="295"/>
      <c r="I222" s="303"/>
      <c r="J222" s="303"/>
      <c r="K222" s="297"/>
      <c r="L222" s="303"/>
      <c r="M222" s="303"/>
      <c r="N222" s="297"/>
      <c r="O222" s="292"/>
      <c r="P222" s="303"/>
      <c r="Q222" s="298"/>
      <c r="R222" s="294"/>
      <c r="S222" s="297"/>
      <c r="T222" s="292"/>
      <c r="U222" s="299"/>
      <c r="V222" s="292"/>
      <c r="W222" s="309"/>
      <c r="X222" s="292"/>
      <c r="Y222" s="309"/>
      <c r="Z222" s="292"/>
      <c r="AA222" s="315"/>
      <c r="AB222" s="297"/>
      <c r="AC222" s="292"/>
      <c r="AD222" s="292"/>
      <c r="AE222" s="292"/>
      <c r="AF222" s="303"/>
      <c r="AG222" s="303"/>
      <c r="AH222" s="303"/>
      <c r="AI222" s="303"/>
    </row>
    <row r="223">
      <c r="A223" s="304"/>
      <c r="B223" s="299"/>
      <c r="C223" s="292"/>
      <c r="D223" s="293"/>
      <c r="E223" s="292"/>
      <c r="F223" s="293"/>
      <c r="G223" s="294"/>
      <c r="H223" s="295"/>
      <c r="I223" s="303"/>
      <c r="J223" s="303"/>
      <c r="K223" s="297"/>
      <c r="L223" s="303"/>
      <c r="M223" s="303"/>
      <c r="N223" s="297"/>
      <c r="O223" s="292"/>
      <c r="P223" s="303"/>
      <c r="Q223" s="298"/>
      <c r="R223" s="294"/>
      <c r="S223" s="297"/>
      <c r="T223" s="292"/>
      <c r="U223" s="299"/>
      <c r="V223" s="292"/>
      <c r="W223" s="309"/>
      <c r="X223" s="292"/>
      <c r="Y223" s="309"/>
      <c r="Z223" s="292"/>
      <c r="AA223" s="315"/>
      <c r="AB223" s="297"/>
      <c r="AC223" s="292"/>
      <c r="AD223" s="292"/>
      <c r="AE223" s="292"/>
      <c r="AF223" s="303"/>
      <c r="AG223" s="303"/>
      <c r="AH223" s="303"/>
      <c r="AI223" s="303"/>
    </row>
    <row r="224">
      <c r="A224" s="304"/>
      <c r="B224" s="299"/>
      <c r="C224" s="292"/>
      <c r="D224" s="293"/>
      <c r="E224" s="292"/>
      <c r="F224" s="293"/>
      <c r="G224" s="294"/>
      <c r="H224" s="295"/>
      <c r="I224" s="303"/>
      <c r="J224" s="303"/>
      <c r="K224" s="297"/>
      <c r="L224" s="303"/>
      <c r="M224" s="303"/>
      <c r="N224" s="297"/>
      <c r="O224" s="292"/>
      <c r="P224" s="303"/>
      <c r="Q224" s="298"/>
      <c r="R224" s="294"/>
      <c r="S224" s="297"/>
      <c r="T224" s="292"/>
      <c r="U224" s="299"/>
      <c r="V224" s="292"/>
      <c r="W224" s="309"/>
      <c r="X224" s="292"/>
      <c r="Y224" s="309"/>
      <c r="Z224" s="292"/>
      <c r="AA224" s="315"/>
      <c r="AB224" s="297"/>
      <c r="AC224" s="292"/>
      <c r="AD224" s="292"/>
      <c r="AE224" s="292"/>
      <c r="AF224" s="303"/>
      <c r="AG224" s="303"/>
      <c r="AH224" s="303"/>
      <c r="AI224" s="303"/>
    </row>
    <row r="225">
      <c r="A225" s="304"/>
      <c r="B225" s="299"/>
      <c r="C225" s="292"/>
      <c r="D225" s="293"/>
      <c r="E225" s="292"/>
      <c r="F225" s="293"/>
      <c r="G225" s="294"/>
      <c r="H225" s="295"/>
      <c r="I225" s="303"/>
      <c r="J225" s="303"/>
      <c r="K225" s="297"/>
      <c r="L225" s="303"/>
      <c r="M225" s="303"/>
      <c r="N225" s="297"/>
      <c r="O225" s="292"/>
      <c r="P225" s="303"/>
      <c r="Q225" s="298"/>
      <c r="R225" s="294"/>
      <c r="S225" s="297"/>
      <c r="T225" s="292"/>
      <c r="U225" s="299"/>
      <c r="V225" s="292"/>
      <c r="W225" s="309"/>
      <c r="X225" s="292"/>
      <c r="Y225" s="309"/>
      <c r="Z225" s="292"/>
      <c r="AA225" s="315"/>
      <c r="AB225" s="297"/>
      <c r="AC225" s="292"/>
      <c r="AD225" s="292"/>
      <c r="AE225" s="292"/>
      <c r="AF225" s="303"/>
      <c r="AG225" s="303"/>
      <c r="AH225" s="303"/>
      <c r="AI225" s="303"/>
    </row>
    <row r="226">
      <c r="A226" s="304"/>
      <c r="B226" s="299"/>
      <c r="C226" s="292"/>
      <c r="D226" s="293"/>
      <c r="E226" s="292"/>
      <c r="F226" s="293"/>
      <c r="G226" s="294"/>
      <c r="H226" s="295"/>
      <c r="I226" s="303"/>
      <c r="J226" s="303"/>
      <c r="K226" s="297"/>
      <c r="L226" s="303"/>
      <c r="M226" s="303"/>
      <c r="N226" s="297"/>
      <c r="O226" s="292"/>
      <c r="P226" s="303"/>
      <c r="Q226" s="298"/>
      <c r="R226" s="294"/>
      <c r="S226" s="297"/>
      <c r="T226" s="292"/>
      <c r="U226" s="299"/>
      <c r="V226" s="292"/>
      <c r="W226" s="309"/>
      <c r="X226" s="292"/>
      <c r="Y226" s="309"/>
      <c r="Z226" s="292"/>
      <c r="AA226" s="315"/>
      <c r="AB226" s="297"/>
      <c r="AC226" s="292"/>
      <c r="AD226" s="292"/>
      <c r="AE226" s="292"/>
      <c r="AF226" s="303"/>
      <c r="AG226" s="303"/>
      <c r="AH226" s="303"/>
      <c r="AI226" s="303"/>
    </row>
    <row r="227">
      <c r="A227" s="304"/>
      <c r="B227" s="299"/>
      <c r="C227" s="292"/>
      <c r="D227" s="293"/>
      <c r="E227" s="292"/>
      <c r="F227" s="293"/>
      <c r="G227" s="294"/>
      <c r="H227" s="295"/>
      <c r="I227" s="303"/>
      <c r="J227" s="303"/>
      <c r="K227" s="297"/>
      <c r="L227" s="303"/>
      <c r="M227" s="303"/>
      <c r="N227" s="297"/>
      <c r="O227" s="292"/>
      <c r="P227" s="303"/>
      <c r="Q227" s="298"/>
      <c r="R227" s="294"/>
      <c r="S227" s="297"/>
      <c r="T227" s="292"/>
      <c r="U227" s="299"/>
      <c r="V227" s="292"/>
      <c r="W227" s="309"/>
      <c r="X227" s="292"/>
      <c r="Y227" s="309"/>
      <c r="Z227" s="292"/>
      <c r="AA227" s="315"/>
      <c r="AB227" s="297"/>
      <c r="AC227" s="292"/>
      <c r="AD227" s="292"/>
      <c r="AE227" s="292"/>
      <c r="AF227" s="303"/>
      <c r="AG227" s="303"/>
      <c r="AH227" s="303"/>
      <c r="AI227" s="303"/>
    </row>
    <row r="228">
      <c r="A228" s="304"/>
      <c r="B228" s="299"/>
      <c r="C228" s="292"/>
      <c r="D228" s="293"/>
      <c r="E228" s="292"/>
      <c r="F228" s="293"/>
      <c r="G228" s="294"/>
      <c r="H228" s="295"/>
      <c r="I228" s="303"/>
      <c r="J228" s="303"/>
      <c r="K228" s="297"/>
      <c r="L228" s="303"/>
      <c r="M228" s="303"/>
      <c r="N228" s="297"/>
      <c r="O228" s="292"/>
      <c r="P228" s="303"/>
      <c r="Q228" s="298"/>
      <c r="R228" s="294"/>
      <c r="S228" s="297"/>
      <c r="T228" s="292"/>
      <c r="U228" s="299"/>
      <c r="V228" s="292"/>
      <c r="W228" s="309"/>
      <c r="X228" s="292"/>
      <c r="Y228" s="309"/>
      <c r="Z228" s="292"/>
      <c r="AA228" s="315"/>
      <c r="AB228" s="297"/>
      <c r="AC228" s="292"/>
      <c r="AD228" s="292"/>
      <c r="AE228" s="292"/>
      <c r="AF228" s="303"/>
      <c r="AG228" s="303"/>
      <c r="AH228" s="303"/>
      <c r="AI228" s="303"/>
    </row>
    <row r="229">
      <c r="A229" s="304"/>
      <c r="B229" s="299"/>
      <c r="C229" s="292"/>
      <c r="D229" s="293"/>
      <c r="E229" s="292"/>
      <c r="F229" s="293"/>
      <c r="G229" s="294"/>
      <c r="H229" s="295"/>
      <c r="I229" s="303"/>
      <c r="J229" s="303"/>
      <c r="K229" s="297"/>
      <c r="L229" s="303"/>
      <c r="M229" s="303"/>
      <c r="N229" s="297"/>
      <c r="O229" s="292"/>
      <c r="P229" s="303"/>
      <c r="Q229" s="298"/>
      <c r="R229" s="294"/>
      <c r="S229" s="297"/>
      <c r="T229" s="292"/>
      <c r="U229" s="299"/>
      <c r="V229" s="292"/>
      <c r="W229" s="309"/>
      <c r="X229" s="292"/>
      <c r="Y229" s="309"/>
      <c r="Z229" s="292"/>
      <c r="AA229" s="315"/>
      <c r="AB229" s="297"/>
      <c r="AC229" s="292"/>
      <c r="AD229" s="292"/>
      <c r="AE229" s="292"/>
      <c r="AF229" s="303"/>
      <c r="AG229" s="303"/>
      <c r="AH229" s="303"/>
      <c r="AI229" s="303"/>
    </row>
    <row r="230">
      <c r="A230" s="304"/>
      <c r="B230" s="299"/>
      <c r="C230" s="292"/>
      <c r="D230" s="293"/>
      <c r="E230" s="292"/>
      <c r="F230" s="293"/>
      <c r="G230" s="294"/>
      <c r="H230" s="295"/>
      <c r="I230" s="303"/>
      <c r="J230" s="303"/>
      <c r="K230" s="297"/>
      <c r="L230" s="303"/>
      <c r="M230" s="303"/>
      <c r="N230" s="297"/>
      <c r="O230" s="292"/>
      <c r="P230" s="303"/>
      <c r="Q230" s="298"/>
      <c r="R230" s="294"/>
      <c r="S230" s="297"/>
      <c r="T230" s="292"/>
      <c r="U230" s="299"/>
      <c r="V230" s="292"/>
      <c r="W230" s="309"/>
      <c r="X230" s="292"/>
      <c r="Y230" s="309"/>
      <c r="Z230" s="292"/>
      <c r="AA230" s="315"/>
      <c r="AB230" s="297"/>
      <c r="AC230" s="292"/>
      <c r="AD230" s="292"/>
      <c r="AE230" s="292"/>
      <c r="AF230" s="303"/>
      <c r="AG230" s="303"/>
      <c r="AH230" s="303"/>
      <c r="AI230" s="303"/>
    </row>
    <row r="231">
      <c r="A231" s="304"/>
      <c r="B231" s="299"/>
      <c r="C231" s="292"/>
      <c r="D231" s="293"/>
      <c r="E231" s="292"/>
      <c r="F231" s="293"/>
      <c r="G231" s="294"/>
      <c r="H231" s="295"/>
      <c r="I231" s="303"/>
      <c r="J231" s="303"/>
      <c r="K231" s="297"/>
      <c r="L231" s="303"/>
      <c r="M231" s="303"/>
      <c r="N231" s="297"/>
      <c r="O231" s="292"/>
      <c r="P231" s="303"/>
      <c r="Q231" s="298"/>
      <c r="R231" s="294"/>
      <c r="S231" s="297"/>
      <c r="T231" s="292"/>
      <c r="U231" s="299"/>
      <c r="V231" s="292"/>
      <c r="W231" s="309"/>
      <c r="X231" s="292"/>
      <c r="Y231" s="309"/>
      <c r="Z231" s="292"/>
      <c r="AA231" s="315"/>
      <c r="AB231" s="297"/>
      <c r="AC231" s="292"/>
      <c r="AD231" s="292"/>
      <c r="AE231" s="292"/>
      <c r="AF231" s="303"/>
      <c r="AG231" s="303"/>
      <c r="AH231" s="303"/>
      <c r="AI231" s="303"/>
    </row>
    <row r="232">
      <c r="A232" s="304"/>
      <c r="B232" s="299"/>
      <c r="C232" s="292"/>
      <c r="D232" s="293"/>
      <c r="E232" s="292"/>
      <c r="F232" s="293"/>
      <c r="G232" s="294"/>
      <c r="H232" s="295"/>
      <c r="I232" s="303"/>
      <c r="J232" s="303"/>
      <c r="K232" s="297"/>
      <c r="L232" s="303"/>
      <c r="M232" s="303"/>
      <c r="N232" s="297"/>
      <c r="O232" s="292"/>
      <c r="P232" s="303"/>
      <c r="Q232" s="298"/>
      <c r="R232" s="294"/>
      <c r="S232" s="297"/>
      <c r="T232" s="292"/>
      <c r="U232" s="299"/>
      <c r="V232" s="292"/>
      <c r="W232" s="309"/>
      <c r="X232" s="292"/>
      <c r="Y232" s="309"/>
      <c r="Z232" s="292"/>
      <c r="AA232" s="315"/>
      <c r="AB232" s="297"/>
      <c r="AC232" s="292"/>
      <c r="AD232" s="292"/>
      <c r="AE232" s="292"/>
      <c r="AF232" s="303"/>
      <c r="AG232" s="303"/>
      <c r="AH232" s="303"/>
      <c r="AI232" s="303"/>
    </row>
    <row r="233">
      <c r="A233" s="304"/>
      <c r="B233" s="299"/>
      <c r="C233" s="292"/>
      <c r="D233" s="293"/>
      <c r="E233" s="292"/>
      <c r="F233" s="293"/>
      <c r="G233" s="294"/>
      <c r="H233" s="295"/>
      <c r="I233" s="303"/>
      <c r="J233" s="303"/>
      <c r="K233" s="297"/>
      <c r="L233" s="303"/>
      <c r="M233" s="303"/>
      <c r="N233" s="297"/>
      <c r="O233" s="292"/>
      <c r="P233" s="303"/>
      <c r="Q233" s="298"/>
      <c r="R233" s="294"/>
      <c r="S233" s="297"/>
      <c r="T233" s="292"/>
      <c r="U233" s="299"/>
      <c r="V233" s="292"/>
      <c r="W233" s="309"/>
      <c r="X233" s="292"/>
      <c r="Y233" s="309"/>
      <c r="Z233" s="292"/>
      <c r="AA233" s="315"/>
      <c r="AB233" s="297"/>
      <c r="AC233" s="292"/>
      <c r="AD233" s="292"/>
      <c r="AE233" s="292"/>
      <c r="AF233" s="303"/>
      <c r="AG233" s="303"/>
      <c r="AH233" s="303"/>
      <c r="AI233" s="303"/>
    </row>
    <row r="234">
      <c r="A234" s="304"/>
      <c r="B234" s="299"/>
      <c r="C234" s="292"/>
      <c r="D234" s="293"/>
      <c r="E234" s="292"/>
      <c r="F234" s="293"/>
      <c r="G234" s="294"/>
      <c r="H234" s="295"/>
      <c r="I234" s="303"/>
      <c r="J234" s="303"/>
      <c r="K234" s="297"/>
      <c r="L234" s="303"/>
      <c r="M234" s="303"/>
      <c r="N234" s="297"/>
      <c r="O234" s="292"/>
      <c r="P234" s="303"/>
      <c r="Q234" s="298"/>
      <c r="R234" s="294"/>
      <c r="S234" s="297"/>
      <c r="T234" s="292"/>
      <c r="U234" s="299"/>
      <c r="V234" s="292"/>
      <c r="W234" s="309"/>
      <c r="X234" s="292"/>
      <c r="Y234" s="309"/>
      <c r="Z234" s="292"/>
      <c r="AA234" s="315"/>
      <c r="AB234" s="297"/>
      <c r="AC234" s="292"/>
      <c r="AD234" s="292"/>
      <c r="AE234" s="292"/>
      <c r="AF234" s="303"/>
      <c r="AG234" s="303"/>
      <c r="AH234" s="303"/>
      <c r="AI234" s="303"/>
    </row>
    <row r="235">
      <c r="A235" s="304"/>
      <c r="B235" s="299"/>
      <c r="C235" s="292"/>
      <c r="D235" s="293"/>
      <c r="E235" s="292"/>
      <c r="F235" s="293"/>
      <c r="G235" s="294"/>
      <c r="H235" s="295"/>
      <c r="I235" s="303"/>
      <c r="J235" s="303"/>
      <c r="K235" s="297"/>
      <c r="L235" s="303"/>
      <c r="M235" s="303"/>
      <c r="N235" s="297"/>
      <c r="O235" s="292"/>
      <c r="P235" s="303"/>
      <c r="Q235" s="298"/>
      <c r="R235" s="294"/>
      <c r="S235" s="297"/>
      <c r="T235" s="292"/>
      <c r="U235" s="299"/>
      <c r="V235" s="292"/>
      <c r="W235" s="309"/>
      <c r="X235" s="292"/>
      <c r="Y235" s="309"/>
      <c r="Z235" s="292"/>
      <c r="AA235" s="315"/>
      <c r="AB235" s="297"/>
      <c r="AC235" s="292"/>
      <c r="AD235" s="292"/>
      <c r="AE235" s="292"/>
      <c r="AF235" s="303"/>
      <c r="AG235" s="303"/>
      <c r="AH235" s="303"/>
      <c r="AI235" s="303"/>
    </row>
    <row r="236">
      <c r="A236" s="304"/>
      <c r="B236" s="299"/>
      <c r="C236" s="292"/>
      <c r="D236" s="293"/>
      <c r="E236" s="292"/>
      <c r="F236" s="293"/>
      <c r="G236" s="294"/>
      <c r="H236" s="295"/>
      <c r="I236" s="303"/>
      <c r="J236" s="303"/>
      <c r="K236" s="297"/>
      <c r="L236" s="303"/>
      <c r="M236" s="303"/>
      <c r="N236" s="297"/>
      <c r="O236" s="292"/>
      <c r="P236" s="303"/>
      <c r="Q236" s="298"/>
      <c r="R236" s="294"/>
      <c r="S236" s="297"/>
      <c r="T236" s="292"/>
      <c r="U236" s="299"/>
      <c r="V236" s="292"/>
      <c r="W236" s="309"/>
      <c r="X236" s="292"/>
      <c r="Y236" s="309"/>
      <c r="Z236" s="292"/>
      <c r="AA236" s="315"/>
      <c r="AB236" s="297"/>
      <c r="AC236" s="292"/>
      <c r="AD236" s="292"/>
      <c r="AE236" s="292"/>
      <c r="AF236" s="303"/>
      <c r="AG236" s="303"/>
      <c r="AH236" s="303"/>
      <c r="AI236" s="303"/>
    </row>
    <row r="237">
      <c r="A237" s="304"/>
      <c r="B237" s="299"/>
      <c r="C237" s="292"/>
      <c r="D237" s="293"/>
      <c r="E237" s="292"/>
      <c r="F237" s="293"/>
      <c r="G237" s="294"/>
      <c r="H237" s="295"/>
      <c r="I237" s="303"/>
      <c r="J237" s="303"/>
      <c r="K237" s="297"/>
      <c r="L237" s="303"/>
      <c r="M237" s="303"/>
      <c r="N237" s="297"/>
      <c r="O237" s="292"/>
      <c r="P237" s="303"/>
      <c r="Q237" s="298"/>
      <c r="R237" s="294"/>
      <c r="S237" s="297"/>
      <c r="T237" s="292"/>
      <c r="U237" s="299"/>
      <c r="V237" s="292"/>
      <c r="W237" s="309"/>
      <c r="X237" s="292"/>
      <c r="Y237" s="309"/>
      <c r="Z237" s="292"/>
      <c r="AA237" s="315"/>
      <c r="AB237" s="297"/>
      <c r="AC237" s="292"/>
      <c r="AD237" s="292"/>
      <c r="AE237" s="292"/>
      <c r="AF237" s="303"/>
      <c r="AG237" s="303"/>
      <c r="AH237" s="303"/>
      <c r="AI237" s="303"/>
    </row>
    <row r="238">
      <c r="A238" s="304"/>
      <c r="B238" s="299"/>
      <c r="C238" s="292"/>
      <c r="D238" s="293"/>
      <c r="E238" s="292"/>
      <c r="F238" s="293"/>
      <c r="G238" s="294"/>
      <c r="H238" s="295"/>
      <c r="I238" s="303"/>
      <c r="J238" s="303"/>
      <c r="K238" s="297"/>
      <c r="L238" s="303"/>
      <c r="M238" s="303"/>
      <c r="N238" s="297"/>
      <c r="O238" s="292"/>
      <c r="P238" s="303"/>
      <c r="Q238" s="298"/>
      <c r="R238" s="294"/>
      <c r="S238" s="297"/>
      <c r="T238" s="292"/>
      <c r="U238" s="299"/>
      <c r="V238" s="292"/>
      <c r="W238" s="309"/>
      <c r="X238" s="292"/>
      <c r="Y238" s="309"/>
      <c r="Z238" s="292"/>
      <c r="AA238" s="315"/>
      <c r="AB238" s="297"/>
      <c r="AC238" s="292"/>
      <c r="AD238" s="292"/>
      <c r="AE238" s="292"/>
      <c r="AF238" s="303"/>
      <c r="AG238" s="303"/>
      <c r="AH238" s="303"/>
      <c r="AI238" s="303"/>
    </row>
    <row r="239">
      <c r="A239" s="304"/>
      <c r="B239" s="299"/>
      <c r="C239" s="292"/>
      <c r="D239" s="293"/>
      <c r="E239" s="292"/>
      <c r="F239" s="293"/>
      <c r="G239" s="294"/>
      <c r="H239" s="295"/>
      <c r="I239" s="303"/>
      <c r="J239" s="303"/>
      <c r="K239" s="297"/>
      <c r="L239" s="303"/>
      <c r="M239" s="303"/>
      <c r="N239" s="297"/>
      <c r="O239" s="292"/>
      <c r="P239" s="303"/>
      <c r="Q239" s="298"/>
      <c r="R239" s="294"/>
      <c r="S239" s="297"/>
      <c r="T239" s="292"/>
      <c r="U239" s="299"/>
      <c r="V239" s="292"/>
      <c r="W239" s="309"/>
      <c r="X239" s="292"/>
      <c r="Y239" s="309"/>
      <c r="Z239" s="292"/>
      <c r="AA239" s="315"/>
      <c r="AB239" s="297"/>
      <c r="AC239" s="292"/>
      <c r="AD239" s="292"/>
      <c r="AE239" s="292"/>
      <c r="AF239" s="303"/>
      <c r="AG239" s="303"/>
      <c r="AH239" s="303"/>
      <c r="AI239" s="303"/>
    </row>
    <row r="240">
      <c r="A240" s="304"/>
      <c r="B240" s="299"/>
      <c r="C240" s="292"/>
      <c r="D240" s="293"/>
      <c r="E240" s="292"/>
      <c r="F240" s="293"/>
      <c r="G240" s="294"/>
      <c r="H240" s="295"/>
      <c r="I240" s="303"/>
      <c r="J240" s="303"/>
      <c r="K240" s="297"/>
      <c r="L240" s="303"/>
      <c r="M240" s="303"/>
      <c r="N240" s="297"/>
      <c r="O240" s="292"/>
      <c r="P240" s="303"/>
      <c r="Q240" s="298"/>
      <c r="R240" s="294"/>
      <c r="S240" s="297"/>
      <c r="T240" s="292"/>
      <c r="U240" s="299"/>
      <c r="V240" s="292"/>
      <c r="W240" s="309"/>
      <c r="X240" s="292"/>
      <c r="Y240" s="309"/>
      <c r="Z240" s="292"/>
      <c r="AA240" s="315"/>
      <c r="AB240" s="297"/>
      <c r="AC240" s="292"/>
      <c r="AD240" s="292"/>
      <c r="AE240" s="292"/>
      <c r="AF240" s="303"/>
      <c r="AG240" s="303"/>
      <c r="AH240" s="303"/>
      <c r="AI240" s="303"/>
    </row>
    <row r="241">
      <c r="A241" s="304"/>
      <c r="B241" s="299"/>
      <c r="C241" s="292"/>
      <c r="D241" s="293"/>
      <c r="E241" s="292"/>
      <c r="F241" s="293"/>
      <c r="G241" s="294"/>
      <c r="H241" s="295"/>
      <c r="I241" s="303"/>
      <c r="J241" s="303"/>
      <c r="K241" s="297"/>
      <c r="L241" s="303"/>
      <c r="M241" s="303"/>
      <c r="N241" s="297"/>
      <c r="O241" s="292"/>
      <c r="P241" s="303"/>
      <c r="Q241" s="298"/>
      <c r="R241" s="294"/>
      <c r="S241" s="297"/>
      <c r="T241" s="292"/>
      <c r="U241" s="299"/>
      <c r="V241" s="292"/>
      <c r="W241" s="309"/>
      <c r="X241" s="292"/>
      <c r="Y241" s="309"/>
      <c r="Z241" s="292"/>
      <c r="AA241" s="315"/>
      <c r="AB241" s="297"/>
      <c r="AC241" s="292"/>
      <c r="AD241" s="292"/>
      <c r="AE241" s="292"/>
      <c r="AF241" s="303"/>
      <c r="AG241" s="303"/>
      <c r="AH241" s="303"/>
      <c r="AI241" s="303"/>
    </row>
    <row r="242">
      <c r="A242" s="304"/>
      <c r="B242" s="299"/>
      <c r="C242" s="292"/>
      <c r="D242" s="293"/>
      <c r="E242" s="292"/>
      <c r="F242" s="293"/>
      <c r="G242" s="294"/>
      <c r="H242" s="295"/>
      <c r="I242" s="303"/>
      <c r="J242" s="303"/>
      <c r="K242" s="297"/>
      <c r="L242" s="303"/>
      <c r="M242" s="303"/>
      <c r="N242" s="297"/>
      <c r="O242" s="292"/>
      <c r="P242" s="303"/>
      <c r="Q242" s="298"/>
      <c r="R242" s="294"/>
      <c r="S242" s="297"/>
      <c r="T242" s="292"/>
      <c r="U242" s="299"/>
      <c r="V242" s="292"/>
      <c r="W242" s="309"/>
      <c r="X242" s="292"/>
      <c r="Y242" s="309"/>
      <c r="Z242" s="292"/>
      <c r="AA242" s="315"/>
      <c r="AB242" s="297"/>
      <c r="AC242" s="292"/>
      <c r="AD242" s="292"/>
      <c r="AE242" s="292"/>
      <c r="AF242" s="303"/>
      <c r="AG242" s="303"/>
      <c r="AH242" s="303"/>
      <c r="AI242" s="303"/>
    </row>
    <row r="243">
      <c r="A243" s="304"/>
      <c r="B243" s="299"/>
      <c r="C243" s="292"/>
      <c r="D243" s="293"/>
      <c r="E243" s="292"/>
      <c r="F243" s="293"/>
      <c r="G243" s="294"/>
      <c r="H243" s="295"/>
      <c r="I243" s="303"/>
      <c r="J243" s="303"/>
      <c r="K243" s="297"/>
      <c r="L243" s="303"/>
      <c r="M243" s="303"/>
      <c r="N243" s="297"/>
      <c r="O243" s="292"/>
      <c r="P243" s="303"/>
      <c r="Q243" s="298"/>
      <c r="R243" s="294"/>
      <c r="S243" s="297"/>
      <c r="T243" s="292"/>
      <c r="U243" s="299"/>
      <c r="V243" s="292"/>
      <c r="W243" s="309"/>
      <c r="X243" s="292"/>
      <c r="Y243" s="309"/>
      <c r="Z243" s="292"/>
      <c r="AA243" s="315"/>
      <c r="AB243" s="297"/>
      <c r="AC243" s="292"/>
      <c r="AD243" s="292"/>
      <c r="AE243" s="292"/>
      <c r="AF243" s="303"/>
      <c r="AG243" s="303"/>
      <c r="AH243" s="303"/>
      <c r="AI243" s="303"/>
    </row>
    <row r="244">
      <c r="A244" s="304"/>
      <c r="B244" s="299"/>
      <c r="C244" s="292"/>
      <c r="D244" s="293"/>
      <c r="E244" s="292"/>
      <c r="F244" s="293"/>
      <c r="G244" s="294"/>
      <c r="H244" s="295"/>
      <c r="I244" s="303"/>
      <c r="J244" s="303"/>
      <c r="K244" s="297"/>
      <c r="L244" s="303"/>
      <c r="M244" s="303"/>
      <c r="N244" s="297"/>
      <c r="O244" s="292"/>
      <c r="P244" s="303"/>
      <c r="Q244" s="298"/>
      <c r="R244" s="294"/>
      <c r="S244" s="297"/>
      <c r="T244" s="292"/>
      <c r="U244" s="299"/>
      <c r="V244" s="292"/>
      <c r="W244" s="309"/>
      <c r="X244" s="292"/>
      <c r="Y244" s="309"/>
      <c r="Z244" s="292"/>
      <c r="AA244" s="315"/>
      <c r="AB244" s="297"/>
      <c r="AC244" s="292"/>
      <c r="AD244" s="292"/>
      <c r="AE244" s="292"/>
      <c r="AF244" s="303"/>
      <c r="AG244" s="303"/>
      <c r="AH244" s="303"/>
      <c r="AI244" s="303"/>
    </row>
    <row r="245">
      <c r="A245" s="304"/>
      <c r="B245" s="299"/>
      <c r="C245" s="292"/>
      <c r="D245" s="293"/>
      <c r="E245" s="292"/>
      <c r="F245" s="293"/>
      <c r="G245" s="294"/>
      <c r="H245" s="295"/>
      <c r="I245" s="303"/>
      <c r="J245" s="303"/>
      <c r="K245" s="297"/>
      <c r="L245" s="303"/>
      <c r="M245" s="303"/>
      <c r="N245" s="297"/>
      <c r="O245" s="292"/>
      <c r="P245" s="303"/>
      <c r="Q245" s="298"/>
      <c r="R245" s="294"/>
      <c r="S245" s="297"/>
      <c r="T245" s="292"/>
      <c r="U245" s="299"/>
      <c r="V245" s="292"/>
      <c r="W245" s="309"/>
      <c r="X245" s="292"/>
      <c r="Y245" s="309"/>
      <c r="Z245" s="292"/>
      <c r="AA245" s="315"/>
      <c r="AB245" s="297"/>
      <c r="AC245" s="292"/>
      <c r="AD245" s="292"/>
      <c r="AE245" s="292"/>
      <c r="AF245" s="303"/>
      <c r="AG245" s="303"/>
      <c r="AH245" s="303"/>
      <c r="AI245" s="303"/>
    </row>
    <row r="246">
      <c r="A246" s="304"/>
      <c r="B246" s="299"/>
      <c r="C246" s="292"/>
      <c r="D246" s="293"/>
      <c r="E246" s="292"/>
      <c r="F246" s="293"/>
      <c r="G246" s="294"/>
      <c r="H246" s="295"/>
      <c r="I246" s="303"/>
      <c r="J246" s="303"/>
      <c r="K246" s="297"/>
      <c r="L246" s="303"/>
      <c r="M246" s="303"/>
      <c r="N246" s="297"/>
      <c r="O246" s="292"/>
      <c r="P246" s="303"/>
      <c r="Q246" s="298"/>
      <c r="R246" s="294"/>
      <c r="S246" s="297"/>
      <c r="T246" s="292"/>
      <c r="U246" s="299"/>
      <c r="V246" s="292"/>
      <c r="W246" s="309"/>
      <c r="X246" s="292"/>
      <c r="Y246" s="309"/>
      <c r="Z246" s="292"/>
      <c r="AA246" s="315"/>
      <c r="AB246" s="297"/>
      <c r="AC246" s="292"/>
      <c r="AD246" s="292"/>
      <c r="AE246" s="292"/>
      <c r="AF246" s="303"/>
      <c r="AG246" s="303"/>
      <c r="AH246" s="303"/>
      <c r="AI246" s="303"/>
    </row>
    <row r="247">
      <c r="A247" s="304"/>
      <c r="B247" s="299"/>
      <c r="C247" s="292"/>
      <c r="D247" s="293"/>
      <c r="E247" s="292"/>
      <c r="F247" s="293"/>
      <c r="G247" s="294"/>
      <c r="H247" s="295"/>
      <c r="I247" s="303"/>
      <c r="J247" s="303"/>
      <c r="K247" s="297"/>
      <c r="L247" s="303"/>
      <c r="M247" s="303"/>
      <c r="N247" s="297"/>
      <c r="O247" s="292"/>
      <c r="P247" s="303"/>
      <c r="Q247" s="298"/>
      <c r="R247" s="294"/>
      <c r="S247" s="297"/>
      <c r="T247" s="292"/>
      <c r="U247" s="299"/>
      <c r="V247" s="292"/>
      <c r="W247" s="309"/>
      <c r="X247" s="292"/>
      <c r="Y247" s="309"/>
      <c r="Z247" s="292"/>
      <c r="AA247" s="315"/>
      <c r="AB247" s="297"/>
      <c r="AC247" s="292"/>
      <c r="AD247" s="292"/>
      <c r="AE247" s="292"/>
      <c r="AF247" s="303"/>
      <c r="AG247" s="303"/>
      <c r="AH247" s="303"/>
      <c r="AI247" s="303"/>
    </row>
    <row r="248">
      <c r="A248" s="304"/>
      <c r="B248" s="299"/>
      <c r="C248" s="292"/>
      <c r="D248" s="293"/>
      <c r="E248" s="292"/>
      <c r="F248" s="293"/>
      <c r="G248" s="294"/>
      <c r="H248" s="295"/>
      <c r="I248" s="303"/>
      <c r="J248" s="303"/>
      <c r="K248" s="297"/>
      <c r="L248" s="303"/>
      <c r="M248" s="303"/>
      <c r="N248" s="297"/>
      <c r="O248" s="292"/>
      <c r="P248" s="303"/>
      <c r="Q248" s="298"/>
      <c r="R248" s="294"/>
      <c r="S248" s="297"/>
      <c r="T248" s="292"/>
      <c r="U248" s="299"/>
      <c r="V248" s="292"/>
      <c r="W248" s="309"/>
      <c r="X248" s="292"/>
      <c r="Y248" s="309"/>
      <c r="Z248" s="292"/>
      <c r="AA248" s="315"/>
      <c r="AB248" s="297"/>
      <c r="AC248" s="292"/>
      <c r="AD248" s="292"/>
      <c r="AE248" s="292"/>
      <c r="AF248" s="303"/>
      <c r="AG248" s="303"/>
      <c r="AH248" s="303"/>
      <c r="AI248" s="303"/>
    </row>
    <row r="249">
      <c r="A249" s="304"/>
      <c r="B249" s="299"/>
      <c r="C249" s="292"/>
      <c r="D249" s="293"/>
      <c r="E249" s="292"/>
      <c r="F249" s="293"/>
      <c r="G249" s="294"/>
      <c r="H249" s="295"/>
      <c r="I249" s="303"/>
      <c r="J249" s="303"/>
      <c r="K249" s="297"/>
      <c r="L249" s="303"/>
      <c r="M249" s="303"/>
      <c r="N249" s="297"/>
      <c r="O249" s="292"/>
      <c r="P249" s="303"/>
      <c r="Q249" s="298"/>
      <c r="R249" s="294"/>
      <c r="S249" s="297"/>
      <c r="T249" s="292"/>
      <c r="U249" s="299"/>
      <c r="V249" s="292"/>
      <c r="W249" s="309"/>
      <c r="X249" s="292"/>
      <c r="Y249" s="309"/>
      <c r="Z249" s="292"/>
      <c r="AA249" s="315"/>
      <c r="AB249" s="297"/>
      <c r="AC249" s="292"/>
      <c r="AD249" s="292"/>
      <c r="AE249" s="292"/>
      <c r="AF249" s="303"/>
      <c r="AG249" s="303"/>
      <c r="AH249" s="303"/>
      <c r="AI249" s="303"/>
    </row>
    <row r="250">
      <c r="A250" s="304"/>
      <c r="B250" s="299"/>
      <c r="C250" s="292"/>
      <c r="D250" s="293"/>
      <c r="E250" s="292"/>
      <c r="F250" s="293"/>
      <c r="G250" s="294"/>
      <c r="H250" s="295"/>
      <c r="I250" s="303"/>
      <c r="J250" s="303"/>
      <c r="K250" s="297"/>
      <c r="L250" s="303"/>
      <c r="M250" s="303"/>
      <c r="N250" s="297"/>
      <c r="O250" s="292"/>
      <c r="P250" s="303"/>
      <c r="Q250" s="298"/>
      <c r="R250" s="294"/>
      <c r="S250" s="297"/>
      <c r="T250" s="292"/>
      <c r="U250" s="299"/>
      <c r="V250" s="292"/>
      <c r="W250" s="309"/>
      <c r="X250" s="292"/>
      <c r="Y250" s="309"/>
      <c r="Z250" s="292"/>
      <c r="AA250" s="315"/>
      <c r="AB250" s="297"/>
      <c r="AC250" s="292"/>
      <c r="AD250" s="292"/>
      <c r="AE250" s="292"/>
      <c r="AF250" s="303"/>
      <c r="AG250" s="303"/>
      <c r="AH250" s="303"/>
      <c r="AI250" s="303"/>
    </row>
    <row r="251">
      <c r="A251" s="304"/>
      <c r="B251" s="299"/>
      <c r="C251" s="292"/>
      <c r="D251" s="293"/>
      <c r="E251" s="292"/>
      <c r="F251" s="293"/>
      <c r="G251" s="294"/>
      <c r="H251" s="295"/>
      <c r="I251" s="303"/>
      <c r="J251" s="303"/>
      <c r="K251" s="297"/>
      <c r="L251" s="303"/>
      <c r="M251" s="303"/>
      <c r="N251" s="297"/>
      <c r="O251" s="292"/>
      <c r="P251" s="303"/>
      <c r="Q251" s="298"/>
      <c r="R251" s="294"/>
      <c r="S251" s="297"/>
      <c r="T251" s="292"/>
      <c r="U251" s="299"/>
      <c r="V251" s="292"/>
      <c r="W251" s="309"/>
      <c r="X251" s="292"/>
      <c r="Y251" s="309"/>
      <c r="Z251" s="292"/>
      <c r="AA251" s="315"/>
      <c r="AB251" s="297"/>
      <c r="AC251" s="292"/>
      <c r="AD251" s="292"/>
      <c r="AE251" s="292"/>
      <c r="AF251" s="303"/>
      <c r="AG251" s="303"/>
      <c r="AH251" s="303"/>
      <c r="AI251" s="303"/>
    </row>
    <row r="252">
      <c r="A252" s="304"/>
      <c r="B252" s="299"/>
      <c r="C252" s="292"/>
      <c r="D252" s="293"/>
      <c r="E252" s="292"/>
      <c r="F252" s="293"/>
      <c r="G252" s="294"/>
      <c r="H252" s="295"/>
      <c r="I252" s="303"/>
      <c r="J252" s="303"/>
      <c r="K252" s="297"/>
      <c r="L252" s="303"/>
      <c r="M252" s="303"/>
      <c r="N252" s="297"/>
      <c r="O252" s="292"/>
      <c r="P252" s="303"/>
      <c r="Q252" s="298"/>
      <c r="R252" s="294"/>
      <c r="S252" s="297"/>
      <c r="T252" s="292"/>
      <c r="U252" s="299"/>
      <c r="V252" s="292"/>
      <c r="W252" s="309"/>
      <c r="X252" s="292"/>
      <c r="Y252" s="309"/>
      <c r="Z252" s="292"/>
      <c r="AA252" s="315"/>
      <c r="AB252" s="297"/>
      <c r="AC252" s="292"/>
      <c r="AD252" s="292"/>
      <c r="AE252" s="292"/>
      <c r="AF252" s="303"/>
      <c r="AG252" s="303"/>
      <c r="AH252" s="303"/>
      <c r="AI252" s="303"/>
    </row>
    <row r="253">
      <c r="A253" s="304"/>
      <c r="B253" s="299"/>
      <c r="C253" s="292"/>
      <c r="D253" s="293"/>
      <c r="E253" s="292"/>
      <c r="F253" s="293"/>
      <c r="G253" s="294"/>
      <c r="H253" s="295"/>
      <c r="I253" s="303"/>
      <c r="J253" s="303"/>
      <c r="K253" s="297"/>
      <c r="L253" s="303"/>
      <c r="M253" s="303"/>
      <c r="N253" s="297"/>
      <c r="O253" s="292"/>
      <c r="P253" s="303"/>
      <c r="Q253" s="298"/>
      <c r="R253" s="294"/>
      <c r="S253" s="297"/>
      <c r="T253" s="292"/>
      <c r="U253" s="299"/>
      <c r="V253" s="292"/>
      <c r="W253" s="309"/>
      <c r="X253" s="292"/>
      <c r="Y253" s="309"/>
      <c r="Z253" s="292"/>
      <c r="AA253" s="315"/>
      <c r="AB253" s="297"/>
      <c r="AC253" s="292"/>
      <c r="AD253" s="292"/>
      <c r="AE253" s="292"/>
      <c r="AF253" s="303"/>
      <c r="AG253" s="303"/>
      <c r="AH253" s="303"/>
      <c r="AI253" s="303"/>
    </row>
    <row r="254">
      <c r="A254" s="304"/>
      <c r="B254" s="299"/>
      <c r="C254" s="292"/>
      <c r="D254" s="293"/>
      <c r="E254" s="292"/>
      <c r="F254" s="293"/>
      <c r="G254" s="294"/>
      <c r="H254" s="295"/>
      <c r="I254" s="303"/>
      <c r="J254" s="303"/>
      <c r="K254" s="297"/>
      <c r="L254" s="303"/>
      <c r="M254" s="303"/>
      <c r="N254" s="297"/>
      <c r="O254" s="292"/>
      <c r="P254" s="303"/>
      <c r="Q254" s="298"/>
      <c r="R254" s="294"/>
      <c r="S254" s="297"/>
      <c r="T254" s="292"/>
      <c r="U254" s="299"/>
      <c r="V254" s="292"/>
      <c r="W254" s="309"/>
      <c r="X254" s="292"/>
      <c r="Y254" s="309"/>
      <c r="Z254" s="292"/>
      <c r="AA254" s="315"/>
      <c r="AB254" s="297"/>
      <c r="AC254" s="292"/>
      <c r="AD254" s="292"/>
      <c r="AE254" s="292"/>
      <c r="AF254" s="303"/>
      <c r="AG254" s="303"/>
      <c r="AH254" s="303"/>
      <c r="AI254" s="303"/>
    </row>
    <row r="255">
      <c r="A255" s="304"/>
      <c r="B255" s="299"/>
      <c r="C255" s="292"/>
      <c r="D255" s="293"/>
      <c r="E255" s="292"/>
      <c r="F255" s="293"/>
      <c r="G255" s="294"/>
      <c r="H255" s="295"/>
      <c r="I255" s="303"/>
      <c r="J255" s="303"/>
      <c r="K255" s="297"/>
      <c r="L255" s="303"/>
      <c r="M255" s="303"/>
      <c r="N255" s="297"/>
      <c r="O255" s="292"/>
      <c r="P255" s="303"/>
      <c r="Q255" s="298"/>
      <c r="R255" s="294"/>
      <c r="S255" s="297"/>
      <c r="T255" s="292"/>
      <c r="U255" s="299"/>
      <c r="V255" s="292"/>
      <c r="W255" s="309"/>
      <c r="X255" s="292"/>
      <c r="Y255" s="309"/>
      <c r="Z255" s="292"/>
      <c r="AA255" s="315"/>
      <c r="AB255" s="297"/>
      <c r="AC255" s="292"/>
      <c r="AD255" s="292"/>
      <c r="AE255" s="292"/>
      <c r="AF255" s="303"/>
      <c r="AG255" s="303"/>
      <c r="AH255" s="303"/>
      <c r="AI255" s="303"/>
    </row>
    <row r="256">
      <c r="A256" s="304"/>
      <c r="B256" s="299"/>
      <c r="C256" s="292"/>
      <c r="D256" s="293"/>
      <c r="E256" s="292"/>
      <c r="F256" s="293"/>
      <c r="G256" s="294"/>
      <c r="H256" s="295"/>
      <c r="I256" s="303"/>
      <c r="J256" s="303"/>
      <c r="K256" s="297"/>
      <c r="L256" s="303"/>
      <c r="M256" s="303"/>
      <c r="N256" s="297"/>
      <c r="O256" s="292"/>
      <c r="P256" s="303"/>
      <c r="Q256" s="298"/>
      <c r="R256" s="294"/>
      <c r="S256" s="297"/>
      <c r="T256" s="292"/>
      <c r="U256" s="299"/>
      <c r="V256" s="292"/>
      <c r="W256" s="309"/>
      <c r="X256" s="292"/>
      <c r="Y256" s="309"/>
      <c r="Z256" s="292"/>
      <c r="AA256" s="315"/>
      <c r="AB256" s="297"/>
      <c r="AC256" s="292"/>
      <c r="AD256" s="292"/>
      <c r="AE256" s="292"/>
      <c r="AF256" s="303"/>
      <c r="AG256" s="303"/>
      <c r="AH256" s="303"/>
      <c r="AI256" s="303"/>
    </row>
    <row r="257">
      <c r="A257" s="304"/>
      <c r="B257" s="299"/>
      <c r="C257" s="292"/>
      <c r="D257" s="293"/>
      <c r="E257" s="292"/>
      <c r="F257" s="293"/>
      <c r="G257" s="294"/>
      <c r="H257" s="295"/>
      <c r="I257" s="303"/>
      <c r="J257" s="303"/>
      <c r="K257" s="297"/>
      <c r="L257" s="303"/>
      <c r="M257" s="303"/>
      <c r="N257" s="297"/>
      <c r="O257" s="292"/>
      <c r="P257" s="303"/>
      <c r="Q257" s="298"/>
      <c r="R257" s="294"/>
      <c r="S257" s="297"/>
      <c r="T257" s="292"/>
      <c r="U257" s="299"/>
      <c r="V257" s="292"/>
      <c r="W257" s="309"/>
      <c r="X257" s="292"/>
      <c r="Y257" s="309"/>
      <c r="Z257" s="292"/>
      <c r="AA257" s="315"/>
      <c r="AB257" s="297"/>
      <c r="AC257" s="292"/>
      <c r="AD257" s="292"/>
      <c r="AE257" s="292"/>
      <c r="AF257" s="303"/>
      <c r="AG257" s="303"/>
      <c r="AH257" s="303"/>
      <c r="AI257" s="303"/>
    </row>
    <row r="258">
      <c r="A258" s="304"/>
      <c r="B258" s="299"/>
      <c r="C258" s="292"/>
      <c r="D258" s="293"/>
      <c r="E258" s="292"/>
      <c r="F258" s="293"/>
      <c r="G258" s="294"/>
      <c r="H258" s="295"/>
      <c r="I258" s="303"/>
      <c r="J258" s="303"/>
      <c r="K258" s="297"/>
      <c r="L258" s="303"/>
      <c r="M258" s="303"/>
      <c r="N258" s="297"/>
      <c r="O258" s="292"/>
      <c r="P258" s="303"/>
      <c r="Q258" s="298"/>
      <c r="R258" s="294"/>
      <c r="S258" s="297"/>
      <c r="T258" s="292"/>
      <c r="U258" s="299"/>
      <c r="V258" s="292"/>
      <c r="W258" s="309"/>
      <c r="X258" s="292"/>
      <c r="Y258" s="309"/>
      <c r="Z258" s="292"/>
      <c r="AA258" s="315"/>
      <c r="AB258" s="297"/>
      <c r="AC258" s="292"/>
      <c r="AD258" s="292"/>
      <c r="AE258" s="292"/>
      <c r="AF258" s="303"/>
      <c r="AG258" s="303"/>
      <c r="AH258" s="303"/>
      <c r="AI258" s="303"/>
    </row>
    <row r="259">
      <c r="A259" s="304"/>
      <c r="B259" s="299"/>
      <c r="C259" s="292"/>
      <c r="D259" s="293"/>
      <c r="E259" s="292"/>
      <c r="F259" s="293"/>
      <c r="G259" s="294"/>
      <c r="H259" s="295"/>
      <c r="I259" s="303"/>
      <c r="J259" s="303"/>
      <c r="K259" s="297"/>
      <c r="L259" s="303"/>
      <c r="M259" s="303"/>
      <c r="N259" s="297"/>
      <c r="O259" s="292"/>
      <c r="P259" s="303"/>
      <c r="Q259" s="298"/>
      <c r="R259" s="294"/>
      <c r="S259" s="297"/>
      <c r="T259" s="292"/>
      <c r="U259" s="299"/>
      <c r="V259" s="292"/>
      <c r="W259" s="309"/>
      <c r="X259" s="292"/>
      <c r="Y259" s="309"/>
      <c r="Z259" s="292"/>
      <c r="AA259" s="315"/>
      <c r="AB259" s="297"/>
      <c r="AC259" s="292"/>
      <c r="AD259" s="292"/>
      <c r="AE259" s="292"/>
      <c r="AF259" s="303"/>
      <c r="AG259" s="303"/>
      <c r="AH259" s="303"/>
      <c r="AI259" s="303"/>
    </row>
    <row r="260">
      <c r="A260" s="304"/>
      <c r="B260" s="299"/>
      <c r="C260" s="292"/>
      <c r="D260" s="293"/>
      <c r="E260" s="292"/>
      <c r="F260" s="293"/>
      <c r="G260" s="294"/>
      <c r="H260" s="295"/>
      <c r="I260" s="303"/>
      <c r="J260" s="303"/>
      <c r="K260" s="297"/>
      <c r="L260" s="303"/>
      <c r="M260" s="303"/>
      <c r="N260" s="297"/>
      <c r="O260" s="292"/>
      <c r="P260" s="303"/>
      <c r="Q260" s="298"/>
      <c r="R260" s="294"/>
      <c r="S260" s="297"/>
      <c r="T260" s="292"/>
      <c r="U260" s="299"/>
      <c r="V260" s="292"/>
      <c r="W260" s="309"/>
      <c r="X260" s="292"/>
      <c r="Y260" s="309"/>
      <c r="Z260" s="292"/>
      <c r="AA260" s="315"/>
      <c r="AB260" s="297"/>
      <c r="AC260" s="292"/>
      <c r="AD260" s="292"/>
      <c r="AE260" s="292"/>
      <c r="AF260" s="303"/>
      <c r="AG260" s="303"/>
      <c r="AH260" s="303"/>
      <c r="AI260" s="303"/>
    </row>
    <row r="261">
      <c r="A261" s="304"/>
      <c r="B261" s="299"/>
      <c r="C261" s="292"/>
      <c r="D261" s="293"/>
      <c r="E261" s="292"/>
      <c r="F261" s="293"/>
      <c r="G261" s="294"/>
      <c r="H261" s="295"/>
      <c r="I261" s="303"/>
      <c r="J261" s="303"/>
      <c r="K261" s="297"/>
      <c r="L261" s="303"/>
      <c r="M261" s="303"/>
      <c r="N261" s="297"/>
      <c r="O261" s="292"/>
      <c r="P261" s="303"/>
      <c r="Q261" s="298"/>
      <c r="R261" s="294"/>
      <c r="S261" s="297"/>
      <c r="T261" s="292"/>
      <c r="U261" s="299"/>
      <c r="V261" s="292"/>
      <c r="W261" s="309"/>
      <c r="X261" s="292"/>
      <c r="Y261" s="309"/>
      <c r="Z261" s="292"/>
      <c r="AA261" s="315"/>
      <c r="AB261" s="297"/>
      <c r="AC261" s="292"/>
      <c r="AD261" s="292"/>
      <c r="AE261" s="292"/>
      <c r="AF261" s="303"/>
      <c r="AG261" s="303"/>
      <c r="AH261" s="303"/>
      <c r="AI261" s="303"/>
    </row>
    <row r="262">
      <c r="A262" s="304"/>
      <c r="B262" s="299"/>
      <c r="C262" s="292"/>
      <c r="D262" s="293"/>
      <c r="E262" s="292"/>
      <c r="F262" s="293"/>
      <c r="G262" s="294"/>
      <c r="H262" s="295"/>
      <c r="I262" s="303"/>
      <c r="J262" s="303"/>
      <c r="K262" s="297"/>
      <c r="L262" s="303"/>
      <c r="M262" s="303"/>
      <c r="N262" s="297"/>
      <c r="O262" s="292"/>
      <c r="P262" s="303"/>
      <c r="Q262" s="298"/>
      <c r="R262" s="294"/>
      <c r="S262" s="297"/>
      <c r="T262" s="292"/>
      <c r="U262" s="299"/>
      <c r="V262" s="292"/>
      <c r="W262" s="309"/>
      <c r="X262" s="292"/>
      <c r="Y262" s="309"/>
      <c r="Z262" s="292"/>
      <c r="AA262" s="315"/>
      <c r="AB262" s="297"/>
      <c r="AC262" s="292"/>
      <c r="AD262" s="292"/>
      <c r="AE262" s="292"/>
      <c r="AF262" s="303"/>
      <c r="AG262" s="303"/>
      <c r="AH262" s="303"/>
      <c r="AI262" s="303"/>
    </row>
    <row r="263">
      <c r="A263" s="304"/>
      <c r="B263" s="299"/>
      <c r="C263" s="292"/>
      <c r="D263" s="293"/>
      <c r="E263" s="292"/>
      <c r="F263" s="293"/>
      <c r="G263" s="294"/>
      <c r="H263" s="295"/>
      <c r="I263" s="303"/>
      <c r="J263" s="303"/>
      <c r="K263" s="297"/>
      <c r="L263" s="303"/>
      <c r="M263" s="303"/>
      <c r="N263" s="297"/>
      <c r="O263" s="292"/>
      <c r="P263" s="303"/>
      <c r="Q263" s="298"/>
      <c r="R263" s="294"/>
      <c r="S263" s="297"/>
      <c r="T263" s="292"/>
      <c r="U263" s="299"/>
      <c r="V263" s="292"/>
      <c r="W263" s="309"/>
      <c r="X263" s="292"/>
      <c r="Y263" s="309"/>
      <c r="Z263" s="292"/>
      <c r="AA263" s="315"/>
      <c r="AB263" s="297"/>
      <c r="AC263" s="292"/>
      <c r="AD263" s="292"/>
      <c r="AE263" s="292"/>
      <c r="AF263" s="303"/>
      <c r="AG263" s="303"/>
      <c r="AH263" s="303"/>
      <c r="AI263" s="303"/>
    </row>
    <row r="264">
      <c r="A264" s="304"/>
      <c r="B264" s="299"/>
      <c r="C264" s="292"/>
      <c r="D264" s="293"/>
      <c r="E264" s="292"/>
      <c r="F264" s="293"/>
      <c r="G264" s="294"/>
      <c r="H264" s="295"/>
      <c r="I264" s="303"/>
      <c r="J264" s="303"/>
      <c r="K264" s="297"/>
      <c r="L264" s="303"/>
      <c r="M264" s="303"/>
      <c r="N264" s="297"/>
      <c r="O264" s="292"/>
      <c r="P264" s="303"/>
      <c r="Q264" s="298"/>
      <c r="R264" s="294"/>
      <c r="S264" s="297"/>
      <c r="T264" s="292"/>
      <c r="U264" s="299"/>
      <c r="V264" s="292"/>
      <c r="W264" s="309"/>
      <c r="X264" s="292"/>
      <c r="Y264" s="309"/>
      <c r="Z264" s="292"/>
      <c r="AA264" s="315"/>
      <c r="AB264" s="297"/>
      <c r="AC264" s="292"/>
      <c r="AD264" s="292"/>
      <c r="AE264" s="292"/>
      <c r="AF264" s="303"/>
      <c r="AG264" s="303"/>
      <c r="AH264" s="303"/>
      <c r="AI264" s="303"/>
    </row>
    <row r="265">
      <c r="A265" s="304"/>
      <c r="B265" s="299"/>
      <c r="C265" s="292"/>
      <c r="D265" s="293"/>
      <c r="E265" s="292"/>
      <c r="F265" s="293"/>
      <c r="G265" s="294"/>
      <c r="H265" s="295"/>
      <c r="I265" s="303"/>
      <c r="J265" s="303"/>
      <c r="K265" s="297"/>
      <c r="L265" s="303"/>
      <c r="M265" s="303"/>
      <c r="N265" s="297"/>
      <c r="O265" s="292"/>
      <c r="P265" s="303"/>
      <c r="Q265" s="298"/>
      <c r="R265" s="294"/>
      <c r="S265" s="297"/>
      <c r="T265" s="292"/>
      <c r="U265" s="299"/>
      <c r="V265" s="292"/>
      <c r="W265" s="309"/>
      <c r="X265" s="292"/>
      <c r="Y265" s="309"/>
      <c r="Z265" s="292"/>
      <c r="AA265" s="315"/>
      <c r="AB265" s="297"/>
      <c r="AC265" s="292"/>
      <c r="AD265" s="292"/>
      <c r="AE265" s="292"/>
      <c r="AF265" s="303"/>
      <c r="AG265" s="303"/>
      <c r="AH265" s="303"/>
      <c r="AI265" s="303"/>
    </row>
    <row r="266">
      <c r="A266" s="304"/>
      <c r="B266" s="299"/>
      <c r="C266" s="292"/>
      <c r="D266" s="293"/>
      <c r="E266" s="292"/>
      <c r="F266" s="293"/>
      <c r="G266" s="294"/>
      <c r="H266" s="295"/>
      <c r="I266" s="303"/>
      <c r="J266" s="303"/>
      <c r="K266" s="297"/>
      <c r="L266" s="303"/>
      <c r="M266" s="303"/>
      <c r="N266" s="297"/>
      <c r="O266" s="292"/>
      <c r="P266" s="303"/>
      <c r="Q266" s="298"/>
      <c r="R266" s="294"/>
      <c r="S266" s="297"/>
      <c r="T266" s="292"/>
      <c r="U266" s="299"/>
      <c r="V266" s="292"/>
      <c r="W266" s="309"/>
      <c r="X266" s="292"/>
      <c r="Y266" s="309"/>
      <c r="Z266" s="292"/>
      <c r="AA266" s="315"/>
      <c r="AB266" s="297"/>
      <c r="AC266" s="292"/>
      <c r="AD266" s="292"/>
      <c r="AE266" s="292"/>
      <c r="AF266" s="303"/>
      <c r="AG266" s="303"/>
      <c r="AH266" s="303"/>
      <c r="AI266" s="303"/>
    </row>
    <row r="267">
      <c r="A267" s="304"/>
      <c r="B267" s="299"/>
      <c r="C267" s="292"/>
      <c r="D267" s="293"/>
      <c r="E267" s="292"/>
      <c r="F267" s="293"/>
      <c r="G267" s="294"/>
      <c r="H267" s="295"/>
      <c r="I267" s="303"/>
      <c r="J267" s="303"/>
      <c r="K267" s="297"/>
      <c r="L267" s="303"/>
      <c r="M267" s="303"/>
      <c r="N267" s="297"/>
      <c r="O267" s="292"/>
      <c r="P267" s="303"/>
      <c r="Q267" s="298"/>
      <c r="R267" s="294"/>
      <c r="S267" s="297"/>
      <c r="T267" s="292"/>
      <c r="U267" s="299"/>
      <c r="V267" s="292"/>
      <c r="W267" s="309"/>
      <c r="X267" s="292"/>
      <c r="Y267" s="309"/>
      <c r="Z267" s="292"/>
      <c r="AA267" s="315"/>
      <c r="AB267" s="297"/>
      <c r="AC267" s="292"/>
      <c r="AD267" s="292"/>
      <c r="AE267" s="292"/>
      <c r="AF267" s="303"/>
      <c r="AG267" s="303"/>
      <c r="AH267" s="303"/>
      <c r="AI267" s="303"/>
    </row>
    <row r="268">
      <c r="A268" s="304"/>
      <c r="B268" s="299"/>
      <c r="C268" s="292"/>
      <c r="D268" s="293"/>
      <c r="E268" s="292"/>
      <c r="F268" s="293"/>
      <c r="G268" s="294"/>
      <c r="H268" s="295"/>
      <c r="I268" s="303"/>
      <c r="J268" s="303"/>
      <c r="K268" s="297"/>
      <c r="L268" s="303"/>
      <c r="M268" s="303"/>
      <c r="N268" s="297"/>
      <c r="O268" s="292"/>
      <c r="P268" s="303"/>
      <c r="Q268" s="298"/>
      <c r="R268" s="294"/>
      <c r="S268" s="297"/>
      <c r="T268" s="292"/>
      <c r="U268" s="299"/>
      <c r="V268" s="292"/>
      <c r="W268" s="309"/>
      <c r="X268" s="292"/>
      <c r="Y268" s="309"/>
      <c r="Z268" s="292"/>
      <c r="AA268" s="315"/>
      <c r="AB268" s="297"/>
      <c r="AC268" s="292"/>
      <c r="AD268" s="292"/>
      <c r="AE268" s="292"/>
      <c r="AF268" s="303"/>
      <c r="AG268" s="303"/>
      <c r="AH268" s="303"/>
      <c r="AI268" s="303"/>
    </row>
    <row r="269">
      <c r="A269" s="304"/>
      <c r="B269" s="299"/>
      <c r="C269" s="292"/>
      <c r="D269" s="293"/>
      <c r="E269" s="292"/>
      <c r="F269" s="293"/>
      <c r="G269" s="294"/>
      <c r="H269" s="295"/>
      <c r="I269" s="303"/>
      <c r="J269" s="303"/>
      <c r="K269" s="297"/>
      <c r="L269" s="303"/>
      <c r="M269" s="303"/>
      <c r="N269" s="297"/>
      <c r="O269" s="292"/>
      <c r="P269" s="303"/>
      <c r="Q269" s="298"/>
      <c r="R269" s="294"/>
      <c r="S269" s="297"/>
      <c r="T269" s="292"/>
      <c r="U269" s="299"/>
      <c r="V269" s="292"/>
      <c r="W269" s="309"/>
      <c r="X269" s="292"/>
      <c r="Y269" s="309"/>
      <c r="Z269" s="292"/>
      <c r="AA269" s="315"/>
      <c r="AB269" s="297"/>
      <c r="AC269" s="292"/>
      <c r="AD269" s="292"/>
      <c r="AE269" s="292"/>
      <c r="AF269" s="303"/>
      <c r="AG269" s="303"/>
      <c r="AH269" s="303"/>
      <c r="AI269" s="303"/>
    </row>
    <row r="270">
      <c r="A270" s="304"/>
      <c r="B270" s="299"/>
      <c r="C270" s="292"/>
      <c r="D270" s="293"/>
      <c r="E270" s="292"/>
      <c r="F270" s="293"/>
      <c r="G270" s="294"/>
      <c r="H270" s="295"/>
      <c r="I270" s="303"/>
      <c r="J270" s="303"/>
      <c r="K270" s="297"/>
      <c r="L270" s="303"/>
      <c r="M270" s="303"/>
      <c r="N270" s="297"/>
      <c r="O270" s="292"/>
      <c r="P270" s="303"/>
      <c r="Q270" s="298"/>
      <c r="R270" s="294"/>
      <c r="S270" s="297"/>
      <c r="T270" s="292"/>
      <c r="U270" s="299"/>
      <c r="V270" s="292"/>
      <c r="W270" s="309"/>
      <c r="X270" s="292"/>
      <c r="Y270" s="309"/>
      <c r="Z270" s="292"/>
      <c r="AA270" s="315"/>
      <c r="AB270" s="297"/>
      <c r="AC270" s="292"/>
      <c r="AD270" s="292"/>
      <c r="AE270" s="292"/>
      <c r="AF270" s="303"/>
      <c r="AG270" s="303"/>
      <c r="AH270" s="303"/>
      <c r="AI270" s="303"/>
    </row>
    <row r="271">
      <c r="A271" s="304"/>
      <c r="B271" s="299"/>
      <c r="C271" s="292"/>
      <c r="D271" s="293"/>
      <c r="E271" s="292"/>
      <c r="F271" s="293"/>
      <c r="G271" s="294"/>
      <c r="H271" s="295"/>
      <c r="I271" s="303"/>
      <c r="J271" s="303"/>
      <c r="K271" s="297"/>
      <c r="L271" s="303"/>
      <c r="M271" s="303"/>
      <c r="N271" s="297"/>
      <c r="O271" s="292"/>
      <c r="P271" s="303"/>
      <c r="Q271" s="298"/>
      <c r="R271" s="294"/>
      <c r="S271" s="297"/>
      <c r="T271" s="292"/>
      <c r="U271" s="299"/>
      <c r="V271" s="292"/>
      <c r="W271" s="309"/>
      <c r="X271" s="292"/>
      <c r="Y271" s="309"/>
      <c r="Z271" s="292"/>
      <c r="AA271" s="315"/>
      <c r="AB271" s="297"/>
      <c r="AC271" s="292"/>
      <c r="AD271" s="292"/>
      <c r="AE271" s="292"/>
      <c r="AF271" s="303"/>
      <c r="AG271" s="303"/>
      <c r="AH271" s="303"/>
      <c r="AI271" s="303"/>
    </row>
    <row r="272">
      <c r="A272" s="304"/>
      <c r="B272" s="299"/>
      <c r="C272" s="292"/>
      <c r="D272" s="293"/>
      <c r="E272" s="292"/>
      <c r="F272" s="293"/>
      <c r="G272" s="294"/>
      <c r="H272" s="295"/>
      <c r="I272" s="303"/>
      <c r="J272" s="303"/>
      <c r="K272" s="297"/>
      <c r="L272" s="303"/>
      <c r="M272" s="303"/>
      <c r="N272" s="297"/>
      <c r="O272" s="292"/>
      <c r="P272" s="303"/>
      <c r="Q272" s="298"/>
      <c r="R272" s="294"/>
      <c r="S272" s="297"/>
      <c r="T272" s="292"/>
      <c r="U272" s="299"/>
      <c r="V272" s="292"/>
      <c r="W272" s="309"/>
      <c r="X272" s="292"/>
      <c r="Y272" s="309"/>
      <c r="Z272" s="292"/>
      <c r="AA272" s="315"/>
      <c r="AB272" s="297"/>
      <c r="AC272" s="292"/>
      <c r="AD272" s="292"/>
      <c r="AE272" s="292"/>
      <c r="AF272" s="303"/>
      <c r="AG272" s="303"/>
      <c r="AH272" s="303"/>
      <c r="AI272" s="303"/>
    </row>
    <row r="273">
      <c r="A273" s="304"/>
      <c r="B273" s="299"/>
      <c r="C273" s="292"/>
      <c r="D273" s="293"/>
      <c r="E273" s="292"/>
      <c r="F273" s="293"/>
      <c r="G273" s="294"/>
      <c r="H273" s="295"/>
      <c r="I273" s="303"/>
      <c r="J273" s="303"/>
      <c r="K273" s="297"/>
      <c r="L273" s="303"/>
      <c r="M273" s="303"/>
      <c r="N273" s="297"/>
      <c r="O273" s="292"/>
      <c r="P273" s="303"/>
      <c r="Q273" s="298"/>
      <c r="R273" s="294"/>
      <c r="S273" s="297"/>
      <c r="T273" s="292"/>
      <c r="U273" s="299"/>
      <c r="V273" s="292"/>
      <c r="W273" s="309"/>
      <c r="X273" s="292"/>
      <c r="Y273" s="309"/>
      <c r="Z273" s="292"/>
      <c r="AA273" s="315"/>
      <c r="AB273" s="297"/>
      <c r="AC273" s="292"/>
      <c r="AD273" s="292"/>
      <c r="AE273" s="292"/>
      <c r="AF273" s="303"/>
      <c r="AG273" s="303"/>
      <c r="AH273" s="303"/>
      <c r="AI273" s="303"/>
    </row>
    <row r="274">
      <c r="A274" s="304"/>
      <c r="B274" s="299"/>
      <c r="C274" s="292"/>
      <c r="D274" s="293"/>
      <c r="E274" s="292"/>
      <c r="F274" s="293"/>
      <c r="G274" s="294"/>
      <c r="H274" s="295"/>
      <c r="I274" s="303"/>
      <c r="J274" s="303"/>
      <c r="K274" s="297"/>
      <c r="L274" s="303"/>
      <c r="M274" s="303"/>
      <c r="N274" s="297"/>
      <c r="O274" s="292"/>
      <c r="P274" s="303"/>
      <c r="Q274" s="298"/>
      <c r="R274" s="294"/>
      <c r="S274" s="297"/>
      <c r="T274" s="292"/>
      <c r="U274" s="299"/>
      <c r="V274" s="292"/>
      <c r="W274" s="309"/>
      <c r="X274" s="292"/>
      <c r="Y274" s="309"/>
      <c r="Z274" s="292"/>
      <c r="AA274" s="315"/>
      <c r="AB274" s="297"/>
      <c r="AC274" s="292"/>
      <c r="AD274" s="292"/>
      <c r="AE274" s="292"/>
      <c r="AF274" s="303"/>
      <c r="AG274" s="303"/>
      <c r="AH274" s="303"/>
      <c r="AI274" s="303"/>
    </row>
    <row r="275">
      <c r="A275" s="304"/>
      <c r="B275" s="299"/>
      <c r="C275" s="292"/>
      <c r="D275" s="293"/>
      <c r="E275" s="292"/>
      <c r="F275" s="293"/>
      <c r="G275" s="294"/>
      <c r="H275" s="295"/>
      <c r="I275" s="303"/>
      <c r="J275" s="303"/>
      <c r="K275" s="297"/>
      <c r="L275" s="303"/>
      <c r="M275" s="303"/>
      <c r="N275" s="297"/>
      <c r="O275" s="292"/>
      <c r="P275" s="303"/>
      <c r="Q275" s="298"/>
      <c r="R275" s="294"/>
      <c r="S275" s="297"/>
      <c r="T275" s="292"/>
      <c r="U275" s="299"/>
      <c r="V275" s="292"/>
      <c r="W275" s="309"/>
      <c r="X275" s="292"/>
      <c r="Y275" s="309"/>
      <c r="Z275" s="292"/>
      <c r="AA275" s="315"/>
      <c r="AB275" s="297"/>
      <c r="AC275" s="292"/>
      <c r="AD275" s="292"/>
      <c r="AE275" s="292"/>
      <c r="AF275" s="303"/>
      <c r="AG275" s="303"/>
      <c r="AH275" s="303"/>
      <c r="AI275" s="303"/>
    </row>
    <row r="276">
      <c r="A276" s="304"/>
      <c r="B276" s="299"/>
      <c r="C276" s="292"/>
      <c r="D276" s="293"/>
      <c r="E276" s="292"/>
      <c r="F276" s="293"/>
      <c r="G276" s="294"/>
      <c r="H276" s="295"/>
      <c r="I276" s="303"/>
      <c r="J276" s="303"/>
      <c r="K276" s="297"/>
      <c r="L276" s="303"/>
      <c r="M276" s="303"/>
      <c r="N276" s="297"/>
      <c r="O276" s="292"/>
      <c r="P276" s="303"/>
      <c r="Q276" s="298"/>
      <c r="R276" s="294"/>
      <c r="S276" s="297"/>
      <c r="T276" s="292"/>
      <c r="U276" s="299"/>
      <c r="V276" s="292"/>
      <c r="W276" s="309"/>
      <c r="X276" s="292"/>
      <c r="Y276" s="309"/>
      <c r="Z276" s="292"/>
      <c r="AA276" s="315"/>
      <c r="AB276" s="297"/>
      <c r="AC276" s="292"/>
      <c r="AD276" s="292"/>
      <c r="AE276" s="292"/>
      <c r="AF276" s="303"/>
      <c r="AG276" s="303"/>
      <c r="AH276" s="303"/>
      <c r="AI276" s="303"/>
    </row>
    <row r="277">
      <c r="A277" s="304"/>
      <c r="B277" s="299"/>
      <c r="C277" s="292"/>
      <c r="D277" s="293"/>
      <c r="E277" s="292"/>
      <c r="F277" s="293"/>
      <c r="G277" s="294"/>
      <c r="H277" s="295"/>
      <c r="I277" s="303"/>
      <c r="J277" s="303"/>
      <c r="K277" s="297"/>
      <c r="L277" s="303"/>
      <c r="M277" s="303"/>
      <c r="N277" s="297"/>
      <c r="O277" s="292"/>
      <c r="P277" s="303"/>
      <c r="Q277" s="298"/>
      <c r="R277" s="294"/>
      <c r="S277" s="297"/>
      <c r="T277" s="292"/>
      <c r="U277" s="299"/>
      <c r="V277" s="292"/>
      <c r="W277" s="309"/>
      <c r="X277" s="292"/>
      <c r="Y277" s="309"/>
      <c r="Z277" s="292"/>
      <c r="AA277" s="315"/>
      <c r="AB277" s="297"/>
      <c r="AC277" s="292"/>
      <c r="AD277" s="292"/>
      <c r="AE277" s="292"/>
      <c r="AF277" s="303"/>
      <c r="AG277" s="303"/>
      <c r="AH277" s="303"/>
      <c r="AI277" s="303"/>
    </row>
    <row r="278">
      <c r="A278" s="304"/>
      <c r="B278" s="299"/>
      <c r="C278" s="292"/>
      <c r="D278" s="293"/>
      <c r="E278" s="292"/>
      <c r="F278" s="293"/>
      <c r="G278" s="294"/>
      <c r="H278" s="295"/>
      <c r="I278" s="303"/>
      <c r="J278" s="303"/>
      <c r="K278" s="297"/>
      <c r="L278" s="303"/>
      <c r="M278" s="303"/>
      <c r="N278" s="297"/>
      <c r="O278" s="292"/>
      <c r="P278" s="303"/>
      <c r="Q278" s="298"/>
      <c r="R278" s="294"/>
      <c r="S278" s="297"/>
      <c r="T278" s="292"/>
      <c r="U278" s="299"/>
      <c r="V278" s="292"/>
      <c r="W278" s="309"/>
      <c r="X278" s="292"/>
      <c r="Y278" s="309"/>
      <c r="Z278" s="292"/>
      <c r="AA278" s="315"/>
      <c r="AB278" s="297"/>
      <c r="AC278" s="292"/>
      <c r="AD278" s="292"/>
      <c r="AE278" s="292"/>
      <c r="AF278" s="303"/>
      <c r="AG278" s="303"/>
      <c r="AH278" s="303"/>
      <c r="AI278" s="303"/>
    </row>
    <row r="279">
      <c r="A279" s="304"/>
      <c r="B279" s="299"/>
      <c r="C279" s="292"/>
      <c r="D279" s="293"/>
      <c r="E279" s="292"/>
      <c r="F279" s="293"/>
      <c r="G279" s="294"/>
      <c r="H279" s="295"/>
      <c r="I279" s="303"/>
      <c r="J279" s="303"/>
      <c r="K279" s="297"/>
      <c r="L279" s="303"/>
      <c r="M279" s="303"/>
      <c r="N279" s="297"/>
      <c r="O279" s="292"/>
      <c r="P279" s="303"/>
      <c r="Q279" s="298"/>
      <c r="R279" s="294"/>
      <c r="S279" s="297"/>
      <c r="T279" s="292"/>
      <c r="U279" s="299"/>
      <c r="V279" s="292"/>
      <c r="W279" s="309"/>
      <c r="X279" s="292"/>
      <c r="Y279" s="309"/>
      <c r="Z279" s="292"/>
      <c r="AA279" s="315"/>
      <c r="AB279" s="297"/>
      <c r="AC279" s="292"/>
      <c r="AD279" s="292"/>
      <c r="AE279" s="292"/>
      <c r="AF279" s="303"/>
      <c r="AG279" s="303"/>
      <c r="AH279" s="303"/>
      <c r="AI279" s="303"/>
    </row>
    <row r="280">
      <c r="A280" s="304"/>
      <c r="B280" s="299"/>
      <c r="C280" s="292"/>
      <c r="D280" s="293"/>
      <c r="E280" s="292"/>
      <c r="F280" s="293"/>
      <c r="G280" s="294"/>
      <c r="H280" s="295"/>
      <c r="I280" s="303"/>
      <c r="J280" s="303"/>
      <c r="K280" s="297"/>
      <c r="L280" s="303"/>
      <c r="M280" s="303"/>
      <c r="N280" s="297"/>
      <c r="O280" s="292"/>
      <c r="P280" s="303"/>
      <c r="Q280" s="298"/>
      <c r="R280" s="294"/>
      <c r="S280" s="297"/>
      <c r="T280" s="292"/>
      <c r="U280" s="299"/>
      <c r="V280" s="292"/>
      <c r="W280" s="309"/>
      <c r="X280" s="292"/>
      <c r="Y280" s="309"/>
      <c r="Z280" s="292"/>
      <c r="AA280" s="315"/>
      <c r="AB280" s="297"/>
      <c r="AC280" s="292"/>
      <c r="AD280" s="292"/>
      <c r="AE280" s="292"/>
      <c r="AF280" s="303"/>
      <c r="AG280" s="303"/>
      <c r="AH280" s="303"/>
      <c r="AI280" s="303"/>
    </row>
    <row r="281">
      <c r="A281" s="304"/>
      <c r="B281" s="299"/>
      <c r="C281" s="292"/>
      <c r="D281" s="293"/>
      <c r="E281" s="292"/>
      <c r="F281" s="293"/>
      <c r="G281" s="294"/>
      <c r="H281" s="295"/>
      <c r="I281" s="303"/>
      <c r="J281" s="303"/>
      <c r="K281" s="297"/>
      <c r="L281" s="303"/>
      <c r="M281" s="303"/>
      <c r="N281" s="297"/>
      <c r="O281" s="292"/>
      <c r="P281" s="303"/>
      <c r="Q281" s="298"/>
      <c r="R281" s="294"/>
      <c r="S281" s="297"/>
      <c r="T281" s="292"/>
      <c r="U281" s="299"/>
      <c r="V281" s="292"/>
      <c r="W281" s="309"/>
      <c r="X281" s="292"/>
      <c r="Y281" s="309"/>
      <c r="Z281" s="292"/>
      <c r="AA281" s="315"/>
      <c r="AB281" s="297"/>
      <c r="AC281" s="292"/>
      <c r="AD281" s="292"/>
      <c r="AE281" s="292"/>
      <c r="AF281" s="303"/>
      <c r="AG281" s="303"/>
      <c r="AH281" s="303"/>
      <c r="AI281" s="303"/>
    </row>
    <row r="282">
      <c r="A282" s="304"/>
      <c r="B282" s="299"/>
      <c r="C282" s="292"/>
      <c r="D282" s="293"/>
      <c r="E282" s="292"/>
      <c r="F282" s="293"/>
      <c r="G282" s="294"/>
      <c r="H282" s="295"/>
      <c r="I282" s="303"/>
      <c r="J282" s="303"/>
      <c r="K282" s="297"/>
      <c r="L282" s="303"/>
      <c r="M282" s="303"/>
      <c r="N282" s="297"/>
      <c r="O282" s="292"/>
      <c r="P282" s="303"/>
      <c r="Q282" s="298"/>
      <c r="R282" s="294"/>
      <c r="S282" s="297"/>
      <c r="T282" s="292"/>
      <c r="U282" s="299"/>
      <c r="V282" s="292"/>
      <c r="W282" s="309"/>
      <c r="X282" s="292"/>
      <c r="Y282" s="309"/>
      <c r="Z282" s="292"/>
      <c r="AA282" s="315"/>
      <c r="AB282" s="297"/>
      <c r="AC282" s="292"/>
      <c r="AD282" s="292"/>
      <c r="AE282" s="292"/>
      <c r="AF282" s="303"/>
      <c r="AG282" s="303"/>
      <c r="AH282" s="303"/>
      <c r="AI282" s="303"/>
    </row>
    <row r="283">
      <c r="A283" s="304"/>
      <c r="B283" s="299"/>
      <c r="C283" s="292"/>
      <c r="D283" s="293"/>
      <c r="E283" s="292"/>
      <c r="F283" s="293"/>
      <c r="G283" s="294"/>
      <c r="H283" s="295"/>
      <c r="I283" s="303"/>
      <c r="J283" s="303"/>
      <c r="K283" s="297"/>
      <c r="L283" s="303"/>
      <c r="M283" s="303"/>
      <c r="N283" s="297"/>
      <c r="O283" s="292"/>
      <c r="P283" s="303"/>
      <c r="Q283" s="298"/>
      <c r="R283" s="294"/>
      <c r="S283" s="297"/>
      <c r="T283" s="292"/>
      <c r="U283" s="299"/>
      <c r="V283" s="292"/>
      <c r="W283" s="309"/>
      <c r="X283" s="292"/>
      <c r="Y283" s="309"/>
      <c r="Z283" s="292"/>
      <c r="AA283" s="315"/>
      <c r="AB283" s="297"/>
      <c r="AC283" s="292"/>
      <c r="AD283" s="292"/>
      <c r="AE283" s="292"/>
      <c r="AF283" s="303"/>
      <c r="AG283" s="303"/>
      <c r="AH283" s="303"/>
      <c r="AI283" s="303"/>
    </row>
    <row r="284">
      <c r="A284" s="304"/>
      <c r="B284" s="299"/>
      <c r="C284" s="292"/>
      <c r="D284" s="293"/>
      <c r="E284" s="292"/>
      <c r="F284" s="293"/>
      <c r="G284" s="294"/>
      <c r="H284" s="295"/>
      <c r="I284" s="303"/>
      <c r="J284" s="303"/>
      <c r="K284" s="297"/>
      <c r="L284" s="303"/>
      <c r="M284" s="303"/>
      <c r="N284" s="297"/>
      <c r="O284" s="292"/>
      <c r="P284" s="303"/>
      <c r="Q284" s="298"/>
      <c r="R284" s="294"/>
      <c r="S284" s="297"/>
      <c r="T284" s="292"/>
      <c r="U284" s="299"/>
      <c r="V284" s="292"/>
      <c r="W284" s="309"/>
      <c r="X284" s="292"/>
      <c r="Y284" s="309"/>
      <c r="Z284" s="292"/>
      <c r="AA284" s="315"/>
      <c r="AB284" s="297"/>
      <c r="AC284" s="292"/>
      <c r="AD284" s="292"/>
      <c r="AE284" s="292"/>
      <c r="AF284" s="303"/>
      <c r="AG284" s="303"/>
      <c r="AH284" s="303"/>
      <c r="AI284" s="303"/>
    </row>
    <row r="285">
      <c r="A285" s="304"/>
      <c r="B285" s="299"/>
      <c r="C285" s="292"/>
      <c r="D285" s="293"/>
      <c r="E285" s="292"/>
      <c r="F285" s="293"/>
      <c r="G285" s="294"/>
      <c r="H285" s="295"/>
      <c r="I285" s="303"/>
      <c r="J285" s="303"/>
      <c r="K285" s="297"/>
      <c r="L285" s="303"/>
      <c r="M285" s="303"/>
      <c r="N285" s="297"/>
      <c r="O285" s="292"/>
      <c r="P285" s="303"/>
      <c r="Q285" s="298"/>
      <c r="R285" s="294"/>
      <c r="S285" s="297"/>
      <c r="T285" s="292"/>
      <c r="U285" s="299"/>
      <c r="V285" s="292"/>
      <c r="W285" s="309"/>
      <c r="X285" s="292"/>
      <c r="Y285" s="309"/>
      <c r="Z285" s="292"/>
      <c r="AA285" s="315"/>
      <c r="AB285" s="297"/>
      <c r="AC285" s="292"/>
      <c r="AD285" s="292"/>
      <c r="AE285" s="292"/>
      <c r="AF285" s="303"/>
      <c r="AG285" s="303"/>
      <c r="AH285" s="303"/>
      <c r="AI285" s="303"/>
    </row>
    <row r="286">
      <c r="A286" s="304"/>
      <c r="B286" s="299"/>
      <c r="C286" s="292"/>
      <c r="D286" s="293"/>
      <c r="E286" s="292"/>
      <c r="F286" s="293"/>
      <c r="G286" s="294"/>
      <c r="H286" s="295"/>
      <c r="I286" s="303"/>
      <c r="J286" s="303"/>
      <c r="K286" s="297"/>
      <c r="L286" s="303"/>
      <c r="M286" s="303"/>
      <c r="N286" s="297"/>
      <c r="O286" s="292"/>
      <c r="P286" s="303"/>
      <c r="Q286" s="298"/>
      <c r="R286" s="294"/>
      <c r="S286" s="297"/>
      <c r="T286" s="292"/>
      <c r="U286" s="299"/>
      <c r="V286" s="292"/>
      <c r="W286" s="309"/>
      <c r="X286" s="292"/>
      <c r="Y286" s="309"/>
      <c r="Z286" s="292"/>
      <c r="AA286" s="315"/>
      <c r="AB286" s="297"/>
      <c r="AC286" s="292"/>
      <c r="AD286" s="292"/>
      <c r="AE286" s="292"/>
      <c r="AF286" s="303"/>
      <c r="AG286" s="303"/>
      <c r="AH286" s="303"/>
      <c r="AI286" s="303"/>
    </row>
    <row r="287">
      <c r="A287" s="304"/>
      <c r="B287" s="299"/>
      <c r="C287" s="292"/>
      <c r="D287" s="293"/>
      <c r="E287" s="292"/>
      <c r="F287" s="293"/>
      <c r="G287" s="294"/>
      <c r="H287" s="295"/>
      <c r="I287" s="303"/>
      <c r="J287" s="303"/>
      <c r="K287" s="297"/>
      <c r="L287" s="303"/>
      <c r="M287" s="303"/>
      <c r="N287" s="297"/>
      <c r="O287" s="292"/>
      <c r="P287" s="303"/>
      <c r="Q287" s="298"/>
      <c r="R287" s="294"/>
      <c r="S287" s="297"/>
      <c r="T287" s="292"/>
      <c r="U287" s="299"/>
      <c r="V287" s="292"/>
      <c r="W287" s="309"/>
      <c r="X287" s="292"/>
      <c r="Y287" s="309"/>
      <c r="Z287" s="292"/>
      <c r="AA287" s="315"/>
      <c r="AB287" s="297"/>
      <c r="AC287" s="292"/>
      <c r="AD287" s="292"/>
      <c r="AE287" s="292"/>
      <c r="AF287" s="303"/>
      <c r="AG287" s="303"/>
      <c r="AH287" s="303"/>
      <c r="AI287" s="303"/>
    </row>
    <row r="288">
      <c r="A288" s="304"/>
      <c r="B288" s="299"/>
      <c r="C288" s="292"/>
      <c r="D288" s="293"/>
      <c r="E288" s="292"/>
      <c r="F288" s="293"/>
      <c r="G288" s="294"/>
      <c r="H288" s="295"/>
      <c r="I288" s="303"/>
      <c r="J288" s="303"/>
      <c r="K288" s="297"/>
      <c r="L288" s="303"/>
      <c r="M288" s="303"/>
      <c r="N288" s="297"/>
      <c r="O288" s="292"/>
      <c r="P288" s="303"/>
      <c r="Q288" s="298"/>
      <c r="R288" s="294"/>
      <c r="S288" s="297"/>
      <c r="T288" s="292"/>
      <c r="U288" s="299"/>
      <c r="V288" s="292"/>
      <c r="W288" s="309"/>
      <c r="X288" s="292"/>
      <c r="Y288" s="309"/>
      <c r="Z288" s="292"/>
      <c r="AA288" s="315"/>
      <c r="AB288" s="297"/>
      <c r="AC288" s="292"/>
      <c r="AD288" s="292"/>
      <c r="AE288" s="292"/>
      <c r="AF288" s="303"/>
      <c r="AG288" s="303"/>
      <c r="AH288" s="303"/>
      <c r="AI288" s="303"/>
    </row>
    <row r="289">
      <c r="A289" s="304"/>
      <c r="B289" s="299"/>
      <c r="C289" s="292"/>
      <c r="D289" s="293"/>
      <c r="E289" s="292"/>
      <c r="F289" s="293"/>
      <c r="G289" s="294"/>
      <c r="H289" s="295"/>
      <c r="I289" s="303"/>
      <c r="J289" s="303"/>
      <c r="K289" s="297"/>
      <c r="L289" s="303"/>
      <c r="M289" s="303"/>
      <c r="N289" s="297"/>
      <c r="O289" s="292"/>
      <c r="P289" s="303"/>
      <c r="Q289" s="298"/>
      <c r="R289" s="294"/>
      <c r="S289" s="297"/>
      <c r="T289" s="292"/>
      <c r="U289" s="299"/>
      <c r="V289" s="292"/>
      <c r="W289" s="309"/>
      <c r="X289" s="292"/>
      <c r="Y289" s="309"/>
      <c r="Z289" s="292"/>
      <c r="AA289" s="315"/>
      <c r="AB289" s="297"/>
      <c r="AC289" s="292"/>
      <c r="AD289" s="292"/>
      <c r="AE289" s="292"/>
      <c r="AF289" s="303"/>
      <c r="AG289" s="303"/>
      <c r="AH289" s="303"/>
      <c r="AI289" s="303"/>
    </row>
    <row r="290">
      <c r="A290" s="304"/>
      <c r="B290" s="299"/>
      <c r="C290" s="292"/>
      <c r="D290" s="293"/>
      <c r="E290" s="292"/>
      <c r="F290" s="293"/>
      <c r="G290" s="294"/>
      <c r="H290" s="295"/>
      <c r="I290" s="303"/>
      <c r="J290" s="303"/>
      <c r="K290" s="297"/>
      <c r="L290" s="303"/>
      <c r="M290" s="303"/>
      <c r="N290" s="297"/>
      <c r="O290" s="292"/>
      <c r="P290" s="303"/>
      <c r="Q290" s="298"/>
      <c r="R290" s="294"/>
      <c r="S290" s="297"/>
      <c r="T290" s="292"/>
      <c r="U290" s="299"/>
      <c r="V290" s="292"/>
      <c r="W290" s="309"/>
      <c r="X290" s="292"/>
      <c r="Y290" s="309"/>
      <c r="Z290" s="292"/>
      <c r="AA290" s="315"/>
      <c r="AB290" s="297"/>
      <c r="AC290" s="292"/>
      <c r="AD290" s="292"/>
      <c r="AE290" s="292"/>
      <c r="AF290" s="303"/>
      <c r="AG290" s="303"/>
      <c r="AH290" s="303"/>
      <c r="AI290" s="303"/>
    </row>
    <row r="291">
      <c r="A291" s="304"/>
      <c r="B291" s="299"/>
      <c r="C291" s="292"/>
      <c r="D291" s="293"/>
      <c r="E291" s="292"/>
      <c r="F291" s="293"/>
      <c r="G291" s="294"/>
      <c r="H291" s="295"/>
      <c r="I291" s="303"/>
      <c r="J291" s="303"/>
      <c r="K291" s="297"/>
      <c r="L291" s="303"/>
      <c r="M291" s="303"/>
      <c r="N291" s="297"/>
      <c r="O291" s="292"/>
      <c r="P291" s="303"/>
      <c r="Q291" s="298"/>
      <c r="R291" s="294"/>
      <c r="S291" s="297"/>
      <c r="T291" s="292"/>
      <c r="U291" s="299"/>
      <c r="V291" s="292"/>
      <c r="W291" s="309"/>
      <c r="X291" s="292"/>
      <c r="Y291" s="309"/>
      <c r="Z291" s="292"/>
      <c r="AA291" s="315"/>
      <c r="AB291" s="297"/>
      <c r="AC291" s="292"/>
      <c r="AD291" s="292"/>
      <c r="AE291" s="292"/>
      <c r="AF291" s="303"/>
      <c r="AG291" s="303"/>
      <c r="AH291" s="303"/>
      <c r="AI291" s="303"/>
    </row>
    <row r="292">
      <c r="A292" s="304"/>
      <c r="B292" s="299"/>
      <c r="C292" s="292"/>
      <c r="D292" s="293"/>
      <c r="E292" s="292"/>
      <c r="F292" s="293"/>
      <c r="G292" s="294"/>
      <c r="H292" s="295"/>
      <c r="I292" s="303"/>
      <c r="J292" s="303"/>
      <c r="K292" s="297"/>
      <c r="L292" s="303"/>
      <c r="M292" s="303"/>
      <c r="N292" s="297"/>
      <c r="O292" s="292"/>
      <c r="P292" s="303"/>
      <c r="Q292" s="298"/>
      <c r="R292" s="294"/>
      <c r="S292" s="297"/>
      <c r="T292" s="292"/>
      <c r="U292" s="299"/>
      <c r="V292" s="292"/>
      <c r="W292" s="309"/>
      <c r="X292" s="292"/>
      <c r="Y292" s="309"/>
      <c r="Z292" s="292"/>
      <c r="AA292" s="315"/>
      <c r="AB292" s="297"/>
      <c r="AC292" s="292"/>
      <c r="AD292" s="292"/>
      <c r="AE292" s="292"/>
      <c r="AF292" s="303"/>
      <c r="AG292" s="303"/>
      <c r="AH292" s="303"/>
      <c r="AI292" s="303"/>
    </row>
    <row r="293">
      <c r="A293" s="304"/>
      <c r="B293" s="299"/>
      <c r="C293" s="292"/>
      <c r="D293" s="293"/>
      <c r="E293" s="292"/>
      <c r="F293" s="293"/>
      <c r="G293" s="294"/>
      <c r="H293" s="295"/>
      <c r="I293" s="303"/>
      <c r="J293" s="303"/>
      <c r="K293" s="297"/>
      <c r="L293" s="303"/>
      <c r="M293" s="303"/>
      <c r="N293" s="297"/>
      <c r="O293" s="292"/>
      <c r="P293" s="303"/>
      <c r="Q293" s="298"/>
      <c r="R293" s="294"/>
      <c r="S293" s="297"/>
      <c r="T293" s="292"/>
      <c r="U293" s="299"/>
      <c r="V293" s="292"/>
      <c r="W293" s="309"/>
      <c r="X293" s="292"/>
      <c r="Y293" s="309"/>
      <c r="Z293" s="292"/>
      <c r="AA293" s="315"/>
      <c r="AB293" s="297"/>
      <c r="AC293" s="292"/>
      <c r="AD293" s="292"/>
      <c r="AE293" s="292"/>
      <c r="AF293" s="303"/>
      <c r="AG293" s="303"/>
      <c r="AH293" s="303"/>
      <c r="AI293" s="303"/>
    </row>
    <row r="294">
      <c r="A294" s="304"/>
      <c r="B294" s="299"/>
      <c r="C294" s="292"/>
      <c r="D294" s="293"/>
      <c r="E294" s="292"/>
      <c r="F294" s="293"/>
      <c r="G294" s="294"/>
      <c r="H294" s="295"/>
      <c r="I294" s="303"/>
      <c r="J294" s="303"/>
      <c r="K294" s="297"/>
      <c r="L294" s="303"/>
      <c r="M294" s="303"/>
      <c r="N294" s="297"/>
      <c r="O294" s="292"/>
      <c r="P294" s="303"/>
      <c r="Q294" s="298"/>
      <c r="R294" s="294"/>
      <c r="S294" s="297"/>
      <c r="T294" s="292"/>
      <c r="U294" s="299"/>
      <c r="V294" s="292"/>
      <c r="W294" s="309"/>
      <c r="X294" s="292"/>
      <c r="Y294" s="309"/>
      <c r="Z294" s="292"/>
      <c r="AA294" s="315"/>
      <c r="AB294" s="297"/>
      <c r="AC294" s="292"/>
      <c r="AD294" s="292"/>
      <c r="AE294" s="292"/>
      <c r="AF294" s="303"/>
      <c r="AG294" s="303"/>
      <c r="AH294" s="303"/>
      <c r="AI294" s="303"/>
    </row>
    <row r="295">
      <c r="A295" s="304"/>
      <c r="B295" s="299"/>
      <c r="C295" s="292"/>
      <c r="D295" s="293"/>
      <c r="E295" s="292"/>
      <c r="F295" s="293"/>
      <c r="G295" s="294"/>
      <c r="H295" s="295"/>
      <c r="I295" s="303"/>
      <c r="J295" s="303"/>
      <c r="K295" s="297"/>
      <c r="L295" s="303"/>
      <c r="M295" s="303"/>
      <c r="N295" s="297"/>
      <c r="O295" s="292"/>
      <c r="P295" s="303"/>
      <c r="Q295" s="298"/>
      <c r="R295" s="294"/>
      <c r="S295" s="297"/>
      <c r="T295" s="292"/>
      <c r="U295" s="299"/>
      <c r="V295" s="292"/>
      <c r="W295" s="309"/>
      <c r="X295" s="292"/>
      <c r="Y295" s="309"/>
      <c r="Z295" s="292"/>
      <c r="AA295" s="315"/>
      <c r="AB295" s="297"/>
      <c r="AC295" s="292"/>
      <c r="AD295" s="292"/>
      <c r="AE295" s="292"/>
      <c r="AF295" s="303"/>
      <c r="AG295" s="303"/>
      <c r="AH295" s="303"/>
      <c r="AI295" s="303"/>
    </row>
    <row r="296">
      <c r="A296" s="304"/>
      <c r="B296" s="299"/>
      <c r="C296" s="292"/>
      <c r="D296" s="293"/>
      <c r="E296" s="292"/>
      <c r="F296" s="293"/>
      <c r="G296" s="294"/>
      <c r="H296" s="295"/>
      <c r="I296" s="303"/>
      <c r="J296" s="303"/>
      <c r="K296" s="297"/>
      <c r="L296" s="303"/>
      <c r="M296" s="303"/>
      <c r="N296" s="297"/>
      <c r="O296" s="292"/>
      <c r="P296" s="303"/>
      <c r="Q296" s="298"/>
      <c r="R296" s="294"/>
      <c r="S296" s="297"/>
      <c r="T296" s="292"/>
      <c r="U296" s="299"/>
      <c r="V296" s="292"/>
      <c r="W296" s="309"/>
      <c r="X296" s="292"/>
      <c r="Y296" s="309"/>
      <c r="Z296" s="292"/>
      <c r="AA296" s="315"/>
      <c r="AB296" s="297"/>
      <c r="AC296" s="292"/>
      <c r="AD296" s="292"/>
      <c r="AE296" s="292"/>
      <c r="AF296" s="303"/>
      <c r="AG296" s="303"/>
      <c r="AH296" s="303"/>
      <c r="AI296" s="303"/>
    </row>
    <row r="297">
      <c r="A297" s="304"/>
      <c r="B297" s="299"/>
      <c r="C297" s="292"/>
      <c r="D297" s="293"/>
      <c r="E297" s="292"/>
      <c r="F297" s="293"/>
      <c r="G297" s="294"/>
      <c r="H297" s="295"/>
      <c r="I297" s="303"/>
      <c r="J297" s="303"/>
      <c r="K297" s="297"/>
      <c r="L297" s="303"/>
      <c r="M297" s="303"/>
      <c r="N297" s="297"/>
      <c r="O297" s="292"/>
      <c r="P297" s="303"/>
      <c r="Q297" s="298"/>
      <c r="R297" s="294"/>
      <c r="S297" s="297"/>
      <c r="T297" s="292"/>
      <c r="U297" s="299"/>
      <c r="V297" s="292"/>
      <c r="W297" s="309"/>
      <c r="X297" s="292"/>
      <c r="Y297" s="309"/>
      <c r="Z297" s="292"/>
      <c r="AA297" s="315"/>
      <c r="AB297" s="297"/>
      <c r="AC297" s="292"/>
      <c r="AD297" s="292"/>
      <c r="AE297" s="292"/>
      <c r="AF297" s="303"/>
      <c r="AG297" s="303"/>
      <c r="AH297" s="303"/>
      <c r="AI297" s="303"/>
    </row>
    <row r="298">
      <c r="A298" s="304"/>
      <c r="B298" s="299"/>
      <c r="C298" s="292"/>
      <c r="D298" s="293"/>
      <c r="E298" s="292"/>
      <c r="F298" s="293"/>
      <c r="G298" s="294"/>
      <c r="H298" s="295"/>
      <c r="I298" s="303"/>
      <c r="J298" s="303"/>
      <c r="K298" s="297"/>
      <c r="L298" s="303"/>
      <c r="M298" s="303"/>
      <c r="N298" s="297"/>
      <c r="O298" s="292"/>
      <c r="P298" s="303"/>
      <c r="Q298" s="298"/>
      <c r="R298" s="294"/>
      <c r="S298" s="297"/>
      <c r="T298" s="292"/>
      <c r="U298" s="299"/>
      <c r="V298" s="292"/>
      <c r="W298" s="309"/>
      <c r="X298" s="292"/>
      <c r="Y298" s="309"/>
      <c r="Z298" s="292"/>
      <c r="AA298" s="315"/>
      <c r="AB298" s="297"/>
      <c r="AC298" s="292"/>
      <c r="AD298" s="292"/>
      <c r="AE298" s="292"/>
      <c r="AF298" s="303"/>
      <c r="AG298" s="303"/>
      <c r="AH298" s="303"/>
      <c r="AI298" s="303"/>
    </row>
    <row r="299">
      <c r="A299" s="304"/>
      <c r="B299" s="299"/>
      <c r="C299" s="292"/>
      <c r="D299" s="293"/>
      <c r="E299" s="292"/>
      <c r="F299" s="293"/>
      <c r="G299" s="294"/>
      <c r="H299" s="295"/>
      <c r="I299" s="303"/>
      <c r="J299" s="303"/>
      <c r="K299" s="297"/>
      <c r="L299" s="303"/>
      <c r="M299" s="303"/>
      <c r="N299" s="297"/>
      <c r="O299" s="292"/>
      <c r="P299" s="303"/>
      <c r="Q299" s="298"/>
      <c r="R299" s="294"/>
      <c r="S299" s="297"/>
      <c r="T299" s="292"/>
      <c r="U299" s="299"/>
      <c r="V299" s="292"/>
      <c r="W299" s="309"/>
      <c r="X299" s="292"/>
      <c r="Y299" s="309"/>
      <c r="Z299" s="292"/>
      <c r="AA299" s="315"/>
      <c r="AB299" s="297"/>
      <c r="AC299" s="292"/>
      <c r="AD299" s="292"/>
      <c r="AE299" s="292"/>
      <c r="AF299" s="303"/>
      <c r="AG299" s="303"/>
      <c r="AH299" s="303"/>
      <c r="AI299" s="303"/>
    </row>
    <row r="300">
      <c r="A300" s="304"/>
      <c r="B300" s="299"/>
      <c r="C300" s="292"/>
      <c r="D300" s="293"/>
      <c r="E300" s="292"/>
      <c r="F300" s="293"/>
      <c r="G300" s="294"/>
      <c r="H300" s="295"/>
      <c r="I300" s="303"/>
      <c r="J300" s="303"/>
      <c r="K300" s="297"/>
      <c r="L300" s="303"/>
      <c r="M300" s="303"/>
      <c r="N300" s="297"/>
      <c r="O300" s="292"/>
      <c r="P300" s="303"/>
      <c r="Q300" s="298"/>
      <c r="R300" s="294"/>
      <c r="S300" s="297"/>
      <c r="T300" s="292"/>
      <c r="U300" s="299"/>
      <c r="V300" s="292"/>
      <c r="W300" s="309"/>
      <c r="X300" s="292"/>
      <c r="Y300" s="309"/>
      <c r="Z300" s="292"/>
      <c r="AA300" s="315"/>
      <c r="AB300" s="297"/>
      <c r="AC300" s="292"/>
      <c r="AD300" s="292"/>
      <c r="AE300" s="292"/>
      <c r="AF300" s="303"/>
      <c r="AG300" s="303"/>
      <c r="AH300" s="303"/>
      <c r="AI300" s="303"/>
    </row>
    <row r="301">
      <c r="A301" s="304"/>
      <c r="B301" s="299"/>
      <c r="C301" s="292"/>
      <c r="D301" s="293"/>
      <c r="E301" s="292"/>
      <c r="F301" s="293"/>
      <c r="G301" s="294"/>
      <c r="H301" s="295"/>
      <c r="I301" s="303"/>
      <c r="J301" s="303"/>
      <c r="K301" s="297"/>
      <c r="L301" s="303"/>
      <c r="M301" s="303"/>
      <c r="N301" s="297"/>
      <c r="O301" s="292"/>
      <c r="P301" s="303"/>
      <c r="Q301" s="298"/>
      <c r="R301" s="294"/>
      <c r="S301" s="297"/>
      <c r="T301" s="292"/>
      <c r="U301" s="299"/>
      <c r="V301" s="292"/>
      <c r="W301" s="309"/>
      <c r="X301" s="292"/>
      <c r="Y301" s="309"/>
      <c r="Z301" s="292"/>
      <c r="AA301" s="315"/>
      <c r="AB301" s="297"/>
      <c r="AC301" s="292"/>
      <c r="AD301" s="292"/>
      <c r="AE301" s="292"/>
      <c r="AF301" s="303"/>
      <c r="AG301" s="303"/>
      <c r="AH301" s="303"/>
      <c r="AI301" s="303"/>
    </row>
    <row r="302">
      <c r="A302" s="304"/>
      <c r="B302" s="299"/>
      <c r="C302" s="292"/>
      <c r="D302" s="293"/>
      <c r="E302" s="292"/>
      <c r="F302" s="293"/>
      <c r="G302" s="294"/>
      <c r="H302" s="295"/>
      <c r="I302" s="303"/>
      <c r="J302" s="303"/>
      <c r="K302" s="297"/>
      <c r="L302" s="303"/>
      <c r="M302" s="303"/>
      <c r="N302" s="297"/>
      <c r="O302" s="292"/>
      <c r="P302" s="303"/>
      <c r="Q302" s="298"/>
      <c r="R302" s="294"/>
      <c r="S302" s="297"/>
      <c r="T302" s="292"/>
      <c r="U302" s="299"/>
      <c r="V302" s="292"/>
      <c r="W302" s="309"/>
      <c r="X302" s="292"/>
      <c r="Y302" s="309"/>
      <c r="Z302" s="292"/>
      <c r="AA302" s="315"/>
      <c r="AB302" s="297"/>
      <c r="AC302" s="292"/>
      <c r="AD302" s="292"/>
      <c r="AE302" s="292"/>
      <c r="AF302" s="303"/>
      <c r="AG302" s="303"/>
      <c r="AH302" s="303"/>
      <c r="AI302" s="303"/>
    </row>
    <row r="303">
      <c r="A303" s="304"/>
      <c r="B303" s="299"/>
      <c r="C303" s="292"/>
      <c r="D303" s="293"/>
      <c r="E303" s="292"/>
      <c r="F303" s="293"/>
      <c r="G303" s="294"/>
      <c r="H303" s="295"/>
      <c r="I303" s="303"/>
      <c r="J303" s="303"/>
      <c r="K303" s="297"/>
      <c r="L303" s="303"/>
      <c r="M303" s="303"/>
      <c r="N303" s="297"/>
      <c r="O303" s="292"/>
      <c r="P303" s="303"/>
      <c r="Q303" s="298"/>
      <c r="R303" s="294"/>
      <c r="S303" s="297"/>
      <c r="T303" s="292"/>
      <c r="U303" s="299"/>
      <c r="V303" s="292"/>
      <c r="W303" s="309"/>
      <c r="X303" s="292"/>
      <c r="Y303" s="309"/>
      <c r="Z303" s="292"/>
      <c r="AA303" s="315"/>
      <c r="AB303" s="297"/>
      <c r="AC303" s="292"/>
      <c r="AD303" s="292"/>
      <c r="AE303" s="292"/>
      <c r="AF303" s="303"/>
      <c r="AG303" s="303"/>
      <c r="AH303" s="303"/>
      <c r="AI303" s="303"/>
    </row>
    <row r="304">
      <c r="A304" s="304"/>
      <c r="B304" s="299"/>
      <c r="C304" s="292"/>
      <c r="D304" s="293"/>
      <c r="E304" s="292"/>
      <c r="F304" s="293"/>
      <c r="G304" s="294"/>
      <c r="H304" s="295"/>
      <c r="I304" s="303"/>
      <c r="J304" s="303"/>
      <c r="K304" s="297"/>
      <c r="L304" s="303"/>
      <c r="M304" s="303"/>
      <c r="N304" s="297"/>
      <c r="O304" s="292"/>
      <c r="P304" s="303"/>
      <c r="Q304" s="298"/>
      <c r="R304" s="294"/>
      <c r="S304" s="297"/>
      <c r="T304" s="292"/>
      <c r="U304" s="299"/>
      <c r="V304" s="292"/>
      <c r="W304" s="309"/>
      <c r="X304" s="292"/>
      <c r="Y304" s="309"/>
      <c r="Z304" s="292"/>
      <c r="AA304" s="315"/>
      <c r="AB304" s="297"/>
      <c r="AC304" s="292"/>
      <c r="AD304" s="292"/>
      <c r="AE304" s="292"/>
      <c r="AF304" s="303"/>
      <c r="AG304" s="303"/>
      <c r="AH304" s="303"/>
      <c r="AI304" s="303"/>
    </row>
    <row r="305">
      <c r="A305" s="304"/>
      <c r="B305" s="299"/>
      <c r="C305" s="292"/>
      <c r="D305" s="293"/>
      <c r="E305" s="292"/>
      <c r="F305" s="293"/>
      <c r="G305" s="294"/>
      <c r="H305" s="295"/>
      <c r="I305" s="303"/>
      <c r="J305" s="303"/>
      <c r="K305" s="297"/>
      <c r="L305" s="303"/>
      <c r="M305" s="303"/>
      <c r="N305" s="297"/>
      <c r="O305" s="292"/>
      <c r="P305" s="303"/>
      <c r="Q305" s="298"/>
      <c r="R305" s="294"/>
      <c r="S305" s="297"/>
      <c r="T305" s="292"/>
      <c r="U305" s="299"/>
      <c r="V305" s="292"/>
      <c r="W305" s="309"/>
      <c r="X305" s="292"/>
      <c r="Y305" s="309"/>
      <c r="Z305" s="292"/>
      <c r="AA305" s="315"/>
      <c r="AB305" s="297"/>
      <c r="AC305" s="292"/>
      <c r="AD305" s="292"/>
      <c r="AE305" s="292"/>
      <c r="AF305" s="303"/>
      <c r="AG305" s="303"/>
      <c r="AH305" s="303"/>
      <c r="AI305" s="303"/>
    </row>
    <row r="306">
      <c r="A306" s="304"/>
      <c r="B306" s="299"/>
      <c r="C306" s="292"/>
      <c r="D306" s="293"/>
      <c r="E306" s="292"/>
      <c r="F306" s="293"/>
      <c r="G306" s="294"/>
      <c r="H306" s="295"/>
      <c r="I306" s="303"/>
      <c r="J306" s="303"/>
      <c r="K306" s="297"/>
      <c r="L306" s="303"/>
      <c r="M306" s="303"/>
      <c r="N306" s="297"/>
      <c r="O306" s="292"/>
      <c r="P306" s="303"/>
      <c r="Q306" s="298"/>
      <c r="R306" s="294"/>
      <c r="S306" s="297"/>
      <c r="T306" s="292"/>
      <c r="U306" s="299"/>
      <c r="V306" s="292"/>
      <c r="W306" s="309"/>
      <c r="X306" s="292"/>
      <c r="Y306" s="309"/>
      <c r="Z306" s="292"/>
      <c r="AA306" s="315"/>
      <c r="AB306" s="297"/>
      <c r="AC306" s="292"/>
      <c r="AD306" s="292"/>
      <c r="AE306" s="292"/>
      <c r="AF306" s="303"/>
      <c r="AG306" s="303"/>
      <c r="AH306" s="303"/>
      <c r="AI306" s="303"/>
    </row>
    <row r="307">
      <c r="A307" s="304"/>
      <c r="B307" s="299"/>
      <c r="C307" s="292"/>
      <c r="D307" s="293"/>
      <c r="E307" s="292"/>
      <c r="F307" s="293"/>
      <c r="G307" s="294"/>
      <c r="H307" s="295"/>
      <c r="I307" s="303"/>
      <c r="J307" s="303"/>
      <c r="K307" s="297"/>
      <c r="L307" s="303"/>
      <c r="M307" s="303"/>
      <c r="N307" s="297"/>
      <c r="O307" s="292"/>
      <c r="P307" s="303"/>
      <c r="Q307" s="298"/>
      <c r="R307" s="294"/>
      <c r="S307" s="297"/>
      <c r="T307" s="292"/>
      <c r="U307" s="299"/>
      <c r="V307" s="292"/>
      <c r="W307" s="309"/>
      <c r="X307" s="292"/>
      <c r="Y307" s="309"/>
      <c r="Z307" s="292"/>
      <c r="AA307" s="315"/>
      <c r="AB307" s="297"/>
      <c r="AC307" s="292"/>
      <c r="AD307" s="292"/>
      <c r="AE307" s="292"/>
      <c r="AF307" s="303"/>
      <c r="AG307" s="303"/>
      <c r="AH307" s="303"/>
      <c r="AI307" s="303"/>
    </row>
    <row r="308">
      <c r="A308" s="304"/>
      <c r="B308" s="299"/>
      <c r="C308" s="292"/>
      <c r="D308" s="293"/>
      <c r="E308" s="292"/>
      <c r="F308" s="293"/>
      <c r="G308" s="294"/>
      <c r="H308" s="295"/>
      <c r="I308" s="303"/>
      <c r="J308" s="303"/>
      <c r="K308" s="297"/>
      <c r="L308" s="303"/>
      <c r="M308" s="303"/>
      <c r="N308" s="297"/>
      <c r="O308" s="292"/>
      <c r="P308" s="303"/>
      <c r="Q308" s="298"/>
      <c r="R308" s="294"/>
      <c r="S308" s="297"/>
      <c r="T308" s="292"/>
      <c r="U308" s="299"/>
      <c r="V308" s="292"/>
      <c r="W308" s="309"/>
      <c r="X308" s="292"/>
      <c r="Y308" s="309"/>
      <c r="Z308" s="292"/>
      <c r="AA308" s="315"/>
      <c r="AB308" s="297"/>
      <c r="AC308" s="292"/>
      <c r="AD308" s="292"/>
      <c r="AE308" s="292"/>
      <c r="AF308" s="303"/>
      <c r="AG308" s="303"/>
      <c r="AH308" s="303"/>
      <c r="AI308" s="303"/>
    </row>
    <row r="309">
      <c r="A309" s="304"/>
      <c r="B309" s="299"/>
      <c r="C309" s="292"/>
      <c r="D309" s="293"/>
      <c r="E309" s="292"/>
      <c r="F309" s="293"/>
      <c r="G309" s="294"/>
      <c r="H309" s="295"/>
      <c r="I309" s="303"/>
      <c r="J309" s="303"/>
      <c r="K309" s="297"/>
      <c r="L309" s="303"/>
      <c r="M309" s="303"/>
      <c r="N309" s="297"/>
      <c r="O309" s="292"/>
      <c r="P309" s="303"/>
      <c r="Q309" s="298"/>
      <c r="R309" s="294"/>
      <c r="S309" s="297"/>
      <c r="T309" s="292"/>
      <c r="U309" s="299"/>
      <c r="V309" s="292"/>
      <c r="W309" s="309"/>
      <c r="X309" s="292"/>
      <c r="Y309" s="309"/>
      <c r="Z309" s="292"/>
      <c r="AA309" s="315"/>
      <c r="AB309" s="297"/>
      <c r="AC309" s="292"/>
      <c r="AD309" s="292"/>
      <c r="AE309" s="292"/>
      <c r="AF309" s="303"/>
      <c r="AG309" s="303"/>
      <c r="AH309" s="303"/>
      <c r="AI309" s="303"/>
    </row>
    <row r="310">
      <c r="A310" s="304"/>
      <c r="B310" s="299"/>
      <c r="C310" s="292"/>
      <c r="D310" s="293"/>
      <c r="E310" s="292"/>
      <c r="F310" s="293"/>
      <c r="G310" s="294"/>
      <c r="H310" s="295"/>
      <c r="I310" s="303"/>
      <c r="J310" s="303"/>
      <c r="K310" s="297"/>
      <c r="L310" s="303"/>
      <c r="M310" s="303"/>
      <c r="N310" s="297"/>
      <c r="O310" s="292"/>
      <c r="P310" s="303"/>
      <c r="Q310" s="298"/>
      <c r="R310" s="294"/>
      <c r="S310" s="297"/>
      <c r="T310" s="292"/>
      <c r="U310" s="299"/>
      <c r="V310" s="292"/>
      <c r="W310" s="309"/>
      <c r="X310" s="292"/>
      <c r="Y310" s="309"/>
      <c r="Z310" s="292"/>
      <c r="AA310" s="315"/>
      <c r="AB310" s="297"/>
      <c r="AC310" s="292"/>
      <c r="AD310" s="292"/>
      <c r="AE310" s="292"/>
      <c r="AF310" s="303"/>
      <c r="AG310" s="303"/>
      <c r="AH310" s="303"/>
      <c r="AI310" s="303"/>
    </row>
    <row r="311">
      <c r="A311" s="304"/>
      <c r="B311" s="299"/>
      <c r="C311" s="292"/>
      <c r="D311" s="293"/>
      <c r="E311" s="292"/>
      <c r="F311" s="293"/>
      <c r="G311" s="294"/>
      <c r="H311" s="295"/>
      <c r="I311" s="303"/>
      <c r="J311" s="303"/>
      <c r="K311" s="297"/>
      <c r="L311" s="303"/>
      <c r="M311" s="303"/>
      <c r="N311" s="297"/>
      <c r="O311" s="292"/>
      <c r="P311" s="303"/>
      <c r="Q311" s="298"/>
      <c r="R311" s="294"/>
      <c r="S311" s="297"/>
      <c r="T311" s="292"/>
      <c r="U311" s="299"/>
      <c r="V311" s="292"/>
      <c r="W311" s="309"/>
      <c r="X311" s="292"/>
      <c r="Y311" s="309"/>
      <c r="Z311" s="292"/>
      <c r="AA311" s="315"/>
      <c r="AB311" s="297"/>
      <c r="AC311" s="292"/>
      <c r="AD311" s="292"/>
      <c r="AE311" s="292"/>
      <c r="AF311" s="303"/>
      <c r="AG311" s="303"/>
      <c r="AH311" s="303"/>
      <c r="AI311" s="303"/>
    </row>
    <row r="312">
      <c r="A312" s="304"/>
      <c r="B312" s="299"/>
      <c r="C312" s="292"/>
      <c r="D312" s="293"/>
      <c r="E312" s="292"/>
      <c r="F312" s="293"/>
      <c r="G312" s="294"/>
      <c r="H312" s="295"/>
      <c r="I312" s="303"/>
      <c r="J312" s="303"/>
      <c r="K312" s="297"/>
      <c r="L312" s="303"/>
      <c r="M312" s="303"/>
      <c r="N312" s="297"/>
      <c r="O312" s="292"/>
      <c r="P312" s="303"/>
      <c r="Q312" s="298"/>
      <c r="R312" s="294"/>
      <c r="S312" s="297"/>
      <c r="T312" s="292"/>
      <c r="U312" s="299"/>
      <c r="V312" s="292"/>
      <c r="W312" s="309"/>
      <c r="X312" s="292"/>
      <c r="Y312" s="309"/>
      <c r="Z312" s="292"/>
      <c r="AA312" s="315"/>
      <c r="AB312" s="297"/>
      <c r="AC312" s="292"/>
      <c r="AD312" s="292"/>
      <c r="AE312" s="292"/>
      <c r="AF312" s="303"/>
      <c r="AG312" s="303"/>
      <c r="AH312" s="303"/>
      <c r="AI312" s="303"/>
    </row>
    <row r="313">
      <c r="A313" s="304"/>
      <c r="B313" s="299"/>
      <c r="C313" s="292"/>
      <c r="D313" s="293"/>
      <c r="E313" s="292"/>
      <c r="F313" s="293"/>
      <c r="G313" s="294"/>
      <c r="H313" s="295"/>
      <c r="I313" s="303"/>
      <c r="J313" s="303"/>
      <c r="K313" s="297"/>
      <c r="L313" s="303"/>
      <c r="M313" s="303"/>
      <c r="N313" s="297"/>
      <c r="O313" s="292"/>
      <c r="P313" s="303"/>
      <c r="Q313" s="298"/>
      <c r="R313" s="294"/>
      <c r="S313" s="297"/>
      <c r="T313" s="292"/>
      <c r="U313" s="299"/>
      <c r="V313" s="292"/>
      <c r="W313" s="309"/>
      <c r="X313" s="292"/>
      <c r="Y313" s="309"/>
      <c r="Z313" s="292"/>
      <c r="AA313" s="315"/>
      <c r="AB313" s="297"/>
      <c r="AC313" s="292"/>
      <c r="AD313" s="292"/>
      <c r="AE313" s="292"/>
      <c r="AF313" s="303"/>
      <c r="AG313" s="303"/>
      <c r="AH313" s="303"/>
      <c r="AI313" s="303"/>
    </row>
    <row r="314">
      <c r="A314" s="304"/>
      <c r="B314" s="299"/>
      <c r="C314" s="292"/>
      <c r="D314" s="293"/>
      <c r="E314" s="292"/>
      <c r="F314" s="293"/>
      <c r="G314" s="294"/>
      <c r="H314" s="295"/>
      <c r="I314" s="303"/>
      <c r="J314" s="303"/>
      <c r="K314" s="297"/>
      <c r="L314" s="303"/>
      <c r="M314" s="303"/>
      <c r="N314" s="297"/>
      <c r="O314" s="292"/>
      <c r="P314" s="303"/>
      <c r="Q314" s="298"/>
      <c r="R314" s="294"/>
      <c r="S314" s="297"/>
      <c r="T314" s="292"/>
      <c r="U314" s="299"/>
      <c r="V314" s="292"/>
      <c r="W314" s="309"/>
      <c r="X314" s="292"/>
      <c r="Y314" s="309"/>
      <c r="Z314" s="292"/>
      <c r="AA314" s="315"/>
      <c r="AB314" s="297"/>
      <c r="AC314" s="292"/>
      <c r="AD314" s="292"/>
      <c r="AE314" s="292"/>
      <c r="AF314" s="303"/>
      <c r="AG314" s="303"/>
      <c r="AH314" s="303"/>
      <c r="AI314" s="303"/>
    </row>
    <row r="315">
      <c r="A315" s="304"/>
      <c r="B315" s="299"/>
      <c r="C315" s="292"/>
      <c r="D315" s="293"/>
      <c r="E315" s="292"/>
      <c r="F315" s="293"/>
      <c r="G315" s="294"/>
      <c r="H315" s="295"/>
      <c r="I315" s="303"/>
      <c r="J315" s="303"/>
      <c r="K315" s="297"/>
      <c r="L315" s="303"/>
      <c r="M315" s="303"/>
      <c r="N315" s="297"/>
      <c r="O315" s="292"/>
      <c r="P315" s="303"/>
      <c r="Q315" s="298"/>
      <c r="R315" s="294"/>
      <c r="S315" s="297"/>
      <c r="T315" s="292"/>
      <c r="U315" s="299"/>
      <c r="V315" s="292"/>
      <c r="W315" s="309"/>
      <c r="X315" s="292"/>
      <c r="Y315" s="309"/>
      <c r="Z315" s="292"/>
      <c r="AA315" s="315"/>
      <c r="AB315" s="297"/>
      <c r="AC315" s="292"/>
      <c r="AD315" s="292"/>
      <c r="AE315" s="292"/>
      <c r="AF315" s="303"/>
      <c r="AG315" s="303"/>
      <c r="AH315" s="303"/>
      <c r="AI315" s="303"/>
    </row>
    <row r="316">
      <c r="A316" s="304"/>
      <c r="B316" s="299"/>
      <c r="C316" s="292"/>
      <c r="D316" s="293"/>
      <c r="E316" s="292"/>
      <c r="F316" s="293"/>
      <c r="G316" s="294"/>
      <c r="H316" s="295"/>
      <c r="I316" s="303"/>
      <c r="J316" s="303"/>
      <c r="K316" s="297"/>
      <c r="L316" s="303"/>
      <c r="M316" s="303"/>
      <c r="N316" s="297"/>
      <c r="O316" s="292"/>
      <c r="P316" s="303"/>
      <c r="Q316" s="298"/>
      <c r="R316" s="294"/>
      <c r="S316" s="297"/>
      <c r="T316" s="292"/>
      <c r="U316" s="299"/>
      <c r="V316" s="292"/>
      <c r="W316" s="309"/>
      <c r="X316" s="292"/>
      <c r="Y316" s="309"/>
      <c r="Z316" s="292"/>
      <c r="AA316" s="315"/>
      <c r="AB316" s="297"/>
      <c r="AC316" s="292"/>
      <c r="AD316" s="292"/>
      <c r="AE316" s="292"/>
      <c r="AF316" s="303"/>
      <c r="AG316" s="303"/>
      <c r="AH316" s="303"/>
      <c r="AI316" s="303"/>
    </row>
    <row r="317">
      <c r="A317" s="304"/>
      <c r="B317" s="299"/>
      <c r="C317" s="292"/>
      <c r="D317" s="293"/>
      <c r="E317" s="292"/>
      <c r="F317" s="293"/>
      <c r="G317" s="294"/>
      <c r="H317" s="295"/>
      <c r="I317" s="303"/>
      <c r="J317" s="303"/>
      <c r="K317" s="297"/>
      <c r="L317" s="303"/>
      <c r="M317" s="303"/>
      <c r="N317" s="297"/>
      <c r="O317" s="292"/>
      <c r="P317" s="303"/>
      <c r="Q317" s="298"/>
      <c r="R317" s="294"/>
      <c r="S317" s="297"/>
      <c r="T317" s="292"/>
      <c r="U317" s="299"/>
      <c r="V317" s="292"/>
      <c r="W317" s="309"/>
      <c r="X317" s="292"/>
      <c r="Y317" s="309"/>
      <c r="Z317" s="292"/>
      <c r="AA317" s="315"/>
      <c r="AB317" s="297"/>
      <c r="AC317" s="292"/>
      <c r="AD317" s="292"/>
      <c r="AE317" s="292"/>
      <c r="AF317" s="303"/>
      <c r="AG317" s="303"/>
      <c r="AH317" s="303"/>
      <c r="AI317" s="303"/>
    </row>
    <row r="318">
      <c r="A318" s="304"/>
      <c r="B318" s="299"/>
      <c r="C318" s="292"/>
      <c r="D318" s="293"/>
      <c r="E318" s="292"/>
      <c r="F318" s="293"/>
      <c r="G318" s="294"/>
      <c r="H318" s="295"/>
      <c r="I318" s="303"/>
      <c r="J318" s="303"/>
      <c r="K318" s="297"/>
      <c r="L318" s="303"/>
      <c r="M318" s="303"/>
      <c r="N318" s="297"/>
      <c r="O318" s="292"/>
      <c r="P318" s="303"/>
      <c r="Q318" s="298"/>
      <c r="R318" s="294"/>
      <c r="S318" s="297"/>
      <c r="T318" s="292"/>
      <c r="U318" s="299"/>
      <c r="V318" s="292"/>
      <c r="W318" s="309"/>
      <c r="X318" s="292"/>
      <c r="Y318" s="309"/>
      <c r="Z318" s="292"/>
      <c r="AA318" s="315"/>
      <c r="AB318" s="297"/>
      <c r="AC318" s="292"/>
      <c r="AD318" s="292"/>
      <c r="AE318" s="292"/>
      <c r="AF318" s="303"/>
      <c r="AG318" s="303"/>
      <c r="AH318" s="303"/>
      <c r="AI318" s="303"/>
    </row>
    <row r="319">
      <c r="A319" s="304"/>
      <c r="B319" s="299"/>
      <c r="C319" s="292"/>
      <c r="D319" s="293"/>
      <c r="E319" s="292"/>
      <c r="F319" s="293"/>
      <c r="G319" s="294"/>
      <c r="H319" s="295"/>
      <c r="I319" s="303"/>
      <c r="J319" s="303"/>
      <c r="K319" s="297"/>
      <c r="L319" s="303"/>
      <c r="M319" s="303"/>
      <c r="N319" s="297"/>
      <c r="O319" s="292"/>
      <c r="P319" s="303"/>
      <c r="Q319" s="298"/>
      <c r="R319" s="294"/>
      <c r="S319" s="297"/>
      <c r="T319" s="292"/>
      <c r="U319" s="299"/>
      <c r="V319" s="292"/>
      <c r="W319" s="309"/>
      <c r="X319" s="292"/>
      <c r="Y319" s="309"/>
      <c r="Z319" s="292"/>
      <c r="AA319" s="315"/>
      <c r="AB319" s="297"/>
      <c r="AC319" s="292"/>
      <c r="AD319" s="292"/>
      <c r="AE319" s="292"/>
      <c r="AF319" s="303"/>
      <c r="AG319" s="303"/>
      <c r="AH319" s="303"/>
      <c r="AI319" s="303"/>
    </row>
    <row r="320">
      <c r="A320" s="304"/>
      <c r="B320" s="299"/>
      <c r="C320" s="292"/>
      <c r="D320" s="293"/>
      <c r="E320" s="292"/>
      <c r="F320" s="293"/>
      <c r="G320" s="294"/>
      <c r="H320" s="295"/>
      <c r="I320" s="303"/>
      <c r="J320" s="303"/>
      <c r="K320" s="297"/>
      <c r="L320" s="303"/>
      <c r="M320" s="303"/>
      <c r="N320" s="297"/>
      <c r="O320" s="292"/>
      <c r="P320" s="303"/>
      <c r="Q320" s="298"/>
      <c r="R320" s="294"/>
      <c r="S320" s="297"/>
      <c r="T320" s="292"/>
      <c r="U320" s="299"/>
      <c r="V320" s="292"/>
      <c r="W320" s="309"/>
      <c r="X320" s="292"/>
      <c r="Y320" s="309"/>
      <c r="Z320" s="292"/>
      <c r="AA320" s="315"/>
      <c r="AB320" s="297"/>
      <c r="AC320" s="292"/>
      <c r="AD320" s="292"/>
      <c r="AE320" s="292"/>
      <c r="AF320" s="303"/>
      <c r="AG320" s="303"/>
      <c r="AH320" s="303"/>
      <c r="AI320" s="303"/>
    </row>
    <row r="321">
      <c r="A321" s="304"/>
      <c r="B321" s="299"/>
      <c r="C321" s="292"/>
      <c r="D321" s="293"/>
      <c r="E321" s="292"/>
      <c r="F321" s="293"/>
      <c r="G321" s="294"/>
      <c r="H321" s="295"/>
      <c r="I321" s="303"/>
      <c r="J321" s="303"/>
      <c r="K321" s="297"/>
      <c r="L321" s="303"/>
      <c r="M321" s="303"/>
      <c r="N321" s="297"/>
      <c r="O321" s="292"/>
      <c r="P321" s="303"/>
      <c r="Q321" s="298"/>
      <c r="R321" s="294"/>
      <c r="S321" s="297"/>
      <c r="T321" s="292"/>
      <c r="U321" s="299"/>
      <c r="V321" s="292"/>
      <c r="W321" s="309"/>
      <c r="X321" s="292"/>
      <c r="Y321" s="309"/>
      <c r="Z321" s="292"/>
      <c r="AA321" s="315"/>
      <c r="AB321" s="297"/>
      <c r="AC321" s="292"/>
      <c r="AD321" s="292"/>
      <c r="AE321" s="292"/>
      <c r="AF321" s="303"/>
      <c r="AG321" s="303"/>
      <c r="AH321" s="303"/>
      <c r="AI321" s="303"/>
    </row>
    <row r="322">
      <c r="A322" s="304"/>
      <c r="B322" s="299"/>
      <c r="C322" s="292"/>
      <c r="D322" s="293"/>
      <c r="E322" s="292"/>
      <c r="F322" s="293"/>
      <c r="G322" s="294"/>
      <c r="H322" s="295"/>
      <c r="I322" s="303"/>
      <c r="J322" s="303"/>
      <c r="K322" s="297"/>
      <c r="L322" s="303"/>
      <c r="M322" s="303"/>
      <c r="N322" s="297"/>
      <c r="O322" s="292"/>
      <c r="P322" s="303"/>
      <c r="Q322" s="298"/>
      <c r="R322" s="294"/>
      <c r="S322" s="297"/>
      <c r="T322" s="292"/>
      <c r="U322" s="299"/>
      <c r="V322" s="292"/>
      <c r="W322" s="309"/>
      <c r="X322" s="292"/>
      <c r="Y322" s="309"/>
      <c r="Z322" s="292"/>
      <c r="AA322" s="315"/>
      <c r="AB322" s="297"/>
      <c r="AC322" s="292"/>
      <c r="AD322" s="292"/>
      <c r="AE322" s="292"/>
      <c r="AF322" s="303"/>
      <c r="AG322" s="303"/>
      <c r="AH322" s="303"/>
      <c r="AI322" s="303"/>
    </row>
    <row r="323">
      <c r="A323" s="304"/>
      <c r="B323" s="299"/>
      <c r="C323" s="292"/>
      <c r="D323" s="293"/>
      <c r="E323" s="292"/>
      <c r="F323" s="293"/>
      <c r="G323" s="294"/>
      <c r="H323" s="295"/>
      <c r="I323" s="303"/>
      <c r="J323" s="303"/>
      <c r="K323" s="297"/>
      <c r="L323" s="303"/>
      <c r="M323" s="303"/>
      <c r="N323" s="297"/>
      <c r="O323" s="292"/>
      <c r="P323" s="303"/>
      <c r="Q323" s="298"/>
      <c r="R323" s="294"/>
      <c r="S323" s="297"/>
      <c r="T323" s="292"/>
      <c r="U323" s="299"/>
      <c r="V323" s="292"/>
      <c r="W323" s="309"/>
      <c r="X323" s="292"/>
      <c r="Y323" s="309"/>
      <c r="Z323" s="292"/>
      <c r="AA323" s="315"/>
      <c r="AB323" s="297"/>
      <c r="AC323" s="292"/>
      <c r="AD323" s="292"/>
      <c r="AE323" s="292"/>
      <c r="AF323" s="303"/>
      <c r="AG323" s="303"/>
      <c r="AH323" s="303"/>
      <c r="AI323" s="303"/>
    </row>
    <row r="324">
      <c r="A324" s="304"/>
      <c r="B324" s="299"/>
      <c r="C324" s="292"/>
      <c r="D324" s="293"/>
      <c r="E324" s="292"/>
      <c r="F324" s="293"/>
      <c r="G324" s="294"/>
      <c r="H324" s="295"/>
      <c r="I324" s="303"/>
      <c r="J324" s="303"/>
      <c r="K324" s="297"/>
      <c r="L324" s="303"/>
      <c r="M324" s="303"/>
      <c r="N324" s="297"/>
      <c r="O324" s="292"/>
      <c r="P324" s="303"/>
      <c r="Q324" s="298"/>
      <c r="R324" s="294"/>
      <c r="S324" s="297"/>
      <c r="T324" s="292"/>
      <c r="U324" s="299"/>
      <c r="V324" s="292"/>
      <c r="W324" s="309"/>
      <c r="X324" s="292"/>
      <c r="Y324" s="309"/>
      <c r="Z324" s="292"/>
      <c r="AA324" s="315"/>
      <c r="AB324" s="297"/>
      <c r="AC324" s="292"/>
      <c r="AD324" s="292"/>
      <c r="AE324" s="292"/>
      <c r="AF324" s="303"/>
      <c r="AG324" s="303"/>
      <c r="AH324" s="303"/>
      <c r="AI324" s="303"/>
    </row>
    <row r="325">
      <c r="A325" s="304"/>
      <c r="B325" s="299"/>
      <c r="C325" s="292"/>
      <c r="D325" s="293"/>
      <c r="E325" s="292"/>
      <c r="F325" s="293"/>
      <c r="G325" s="294"/>
      <c r="H325" s="295"/>
      <c r="I325" s="303"/>
      <c r="J325" s="303"/>
      <c r="K325" s="297"/>
      <c r="L325" s="303"/>
      <c r="M325" s="303"/>
      <c r="N325" s="297"/>
      <c r="O325" s="292"/>
      <c r="P325" s="303"/>
      <c r="Q325" s="298"/>
      <c r="R325" s="294"/>
      <c r="S325" s="297"/>
      <c r="T325" s="292"/>
      <c r="U325" s="299"/>
      <c r="V325" s="292"/>
      <c r="W325" s="309"/>
      <c r="X325" s="292"/>
      <c r="Y325" s="309"/>
      <c r="Z325" s="292"/>
      <c r="AA325" s="315"/>
      <c r="AB325" s="297"/>
      <c r="AC325" s="292"/>
      <c r="AD325" s="292"/>
      <c r="AE325" s="292"/>
      <c r="AF325" s="303"/>
      <c r="AG325" s="303"/>
      <c r="AH325" s="303"/>
      <c r="AI325" s="303"/>
    </row>
    <row r="326">
      <c r="A326" s="304"/>
      <c r="B326" s="299"/>
      <c r="C326" s="292"/>
      <c r="D326" s="293"/>
      <c r="E326" s="292"/>
      <c r="F326" s="293"/>
      <c r="G326" s="294"/>
      <c r="H326" s="295"/>
      <c r="I326" s="303"/>
      <c r="J326" s="303"/>
      <c r="K326" s="297"/>
      <c r="L326" s="303"/>
      <c r="M326" s="303"/>
      <c r="N326" s="297"/>
      <c r="O326" s="292"/>
      <c r="P326" s="303"/>
      <c r="Q326" s="298"/>
      <c r="R326" s="294"/>
      <c r="S326" s="297"/>
      <c r="T326" s="292"/>
      <c r="U326" s="299"/>
      <c r="V326" s="292"/>
      <c r="W326" s="309"/>
      <c r="X326" s="292"/>
      <c r="Y326" s="309"/>
      <c r="Z326" s="292"/>
      <c r="AA326" s="315"/>
      <c r="AB326" s="297"/>
      <c r="AC326" s="292"/>
      <c r="AD326" s="292"/>
      <c r="AE326" s="292"/>
      <c r="AF326" s="303"/>
      <c r="AG326" s="303"/>
      <c r="AH326" s="303"/>
      <c r="AI326" s="303"/>
    </row>
    <row r="327">
      <c r="A327" s="304"/>
      <c r="B327" s="299"/>
      <c r="C327" s="292"/>
      <c r="D327" s="293"/>
      <c r="E327" s="292"/>
      <c r="F327" s="293"/>
      <c r="G327" s="294"/>
      <c r="H327" s="295"/>
      <c r="I327" s="303"/>
      <c r="J327" s="303"/>
      <c r="K327" s="297"/>
      <c r="L327" s="303"/>
      <c r="M327" s="303"/>
      <c r="N327" s="297"/>
      <c r="O327" s="292"/>
      <c r="P327" s="303"/>
      <c r="Q327" s="298"/>
      <c r="R327" s="294"/>
      <c r="S327" s="297"/>
      <c r="T327" s="292"/>
      <c r="U327" s="299"/>
      <c r="V327" s="292"/>
      <c r="W327" s="309"/>
      <c r="X327" s="292"/>
      <c r="Y327" s="309"/>
      <c r="Z327" s="292"/>
      <c r="AA327" s="315"/>
      <c r="AB327" s="297"/>
      <c r="AC327" s="292"/>
      <c r="AD327" s="292"/>
      <c r="AE327" s="292"/>
      <c r="AF327" s="303"/>
      <c r="AG327" s="303"/>
      <c r="AH327" s="303"/>
      <c r="AI327" s="303"/>
    </row>
    <row r="328">
      <c r="A328" s="304"/>
      <c r="B328" s="299"/>
      <c r="C328" s="292"/>
      <c r="D328" s="293"/>
      <c r="E328" s="292"/>
      <c r="F328" s="293"/>
      <c r="G328" s="294"/>
      <c r="H328" s="295"/>
      <c r="I328" s="303"/>
      <c r="J328" s="303"/>
      <c r="K328" s="297"/>
      <c r="L328" s="303"/>
      <c r="M328" s="303"/>
      <c r="N328" s="297"/>
      <c r="O328" s="292"/>
      <c r="P328" s="303"/>
      <c r="Q328" s="298"/>
      <c r="R328" s="294"/>
      <c r="S328" s="297"/>
      <c r="T328" s="292"/>
      <c r="U328" s="299"/>
      <c r="V328" s="292"/>
      <c r="W328" s="309"/>
      <c r="X328" s="292"/>
      <c r="Y328" s="309"/>
      <c r="Z328" s="292"/>
      <c r="AA328" s="315"/>
      <c r="AB328" s="297"/>
      <c r="AC328" s="292"/>
      <c r="AD328" s="292"/>
      <c r="AE328" s="292"/>
      <c r="AF328" s="303"/>
      <c r="AG328" s="303"/>
      <c r="AH328" s="303"/>
      <c r="AI328" s="303"/>
    </row>
    <row r="329">
      <c r="A329" s="304"/>
      <c r="B329" s="299"/>
      <c r="C329" s="292"/>
      <c r="D329" s="293"/>
      <c r="E329" s="292"/>
      <c r="F329" s="293"/>
      <c r="G329" s="294"/>
      <c r="H329" s="295"/>
      <c r="I329" s="303"/>
      <c r="J329" s="303"/>
      <c r="K329" s="297"/>
      <c r="L329" s="303"/>
      <c r="M329" s="303"/>
      <c r="N329" s="297"/>
      <c r="O329" s="292"/>
      <c r="P329" s="303"/>
      <c r="Q329" s="298"/>
      <c r="R329" s="294"/>
      <c r="S329" s="297"/>
      <c r="T329" s="292"/>
      <c r="U329" s="299"/>
      <c r="V329" s="292"/>
      <c r="W329" s="309"/>
      <c r="X329" s="292"/>
      <c r="Y329" s="309"/>
      <c r="Z329" s="292"/>
      <c r="AA329" s="315"/>
      <c r="AB329" s="297"/>
      <c r="AC329" s="292"/>
      <c r="AD329" s="292"/>
      <c r="AE329" s="292"/>
      <c r="AF329" s="303"/>
      <c r="AG329" s="303"/>
      <c r="AH329" s="303"/>
      <c r="AI329" s="303"/>
    </row>
    <row r="330">
      <c r="A330" s="304"/>
      <c r="B330" s="299"/>
      <c r="C330" s="292"/>
      <c r="D330" s="293"/>
      <c r="E330" s="292"/>
      <c r="F330" s="293"/>
      <c r="G330" s="294"/>
      <c r="H330" s="295"/>
      <c r="I330" s="303"/>
      <c r="J330" s="303"/>
      <c r="K330" s="297"/>
      <c r="L330" s="303"/>
      <c r="M330" s="303"/>
      <c r="N330" s="297"/>
      <c r="O330" s="292"/>
      <c r="P330" s="303"/>
      <c r="Q330" s="298"/>
      <c r="R330" s="294"/>
      <c r="S330" s="297"/>
      <c r="T330" s="292"/>
      <c r="U330" s="299"/>
      <c r="V330" s="292"/>
      <c r="W330" s="309"/>
      <c r="X330" s="292"/>
      <c r="Y330" s="309"/>
      <c r="Z330" s="292"/>
      <c r="AA330" s="315"/>
      <c r="AB330" s="297"/>
      <c r="AC330" s="292"/>
      <c r="AD330" s="292"/>
      <c r="AE330" s="292"/>
      <c r="AF330" s="303"/>
      <c r="AG330" s="303"/>
      <c r="AH330" s="303"/>
      <c r="AI330" s="303"/>
    </row>
    <row r="331">
      <c r="A331" s="304"/>
      <c r="B331" s="299"/>
      <c r="C331" s="292"/>
      <c r="D331" s="293"/>
      <c r="E331" s="292"/>
      <c r="F331" s="293"/>
      <c r="G331" s="294"/>
      <c r="H331" s="295"/>
      <c r="I331" s="303"/>
      <c r="J331" s="303"/>
      <c r="K331" s="297"/>
      <c r="L331" s="303"/>
      <c r="M331" s="303"/>
      <c r="N331" s="297"/>
      <c r="O331" s="292"/>
      <c r="P331" s="303"/>
      <c r="Q331" s="298"/>
      <c r="R331" s="294"/>
      <c r="S331" s="297"/>
      <c r="T331" s="292"/>
      <c r="U331" s="299"/>
      <c r="V331" s="292"/>
      <c r="W331" s="309"/>
      <c r="X331" s="292"/>
      <c r="Y331" s="309"/>
      <c r="Z331" s="292"/>
      <c r="AA331" s="315"/>
      <c r="AB331" s="297"/>
      <c r="AC331" s="292"/>
      <c r="AD331" s="292"/>
      <c r="AE331" s="292"/>
      <c r="AF331" s="303"/>
      <c r="AG331" s="303"/>
      <c r="AH331" s="303"/>
      <c r="AI331" s="303"/>
    </row>
    <row r="332">
      <c r="A332" s="304"/>
      <c r="B332" s="299"/>
      <c r="C332" s="292"/>
      <c r="D332" s="293"/>
      <c r="E332" s="292"/>
      <c r="F332" s="293"/>
      <c r="G332" s="294"/>
      <c r="H332" s="295"/>
      <c r="I332" s="303"/>
      <c r="J332" s="303"/>
      <c r="K332" s="297"/>
      <c r="L332" s="303"/>
      <c r="M332" s="303"/>
      <c r="N332" s="297"/>
      <c r="O332" s="292"/>
      <c r="P332" s="303"/>
      <c r="Q332" s="298"/>
      <c r="R332" s="294"/>
      <c r="S332" s="297"/>
      <c r="T332" s="292"/>
      <c r="U332" s="299"/>
      <c r="V332" s="292"/>
      <c r="W332" s="309"/>
      <c r="X332" s="292"/>
      <c r="Y332" s="309"/>
      <c r="Z332" s="292"/>
      <c r="AA332" s="315"/>
      <c r="AB332" s="297"/>
      <c r="AC332" s="292"/>
      <c r="AD332" s="292"/>
      <c r="AE332" s="292"/>
      <c r="AF332" s="303"/>
      <c r="AG332" s="303"/>
      <c r="AH332" s="303"/>
      <c r="AI332" s="303"/>
    </row>
    <row r="333">
      <c r="A333" s="304"/>
      <c r="B333" s="299"/>
      <c r="C333" s="292"/>
      <c r="D333" s="293"/>
      <c r="E333" s="292"/>
      <c r="F333" s="293"/>
      <c r="G333" s="294"/>
      <c r="H333" s="295"/>
      <c r="I333" s="303"/>
      <c r="J333" s="303"/>
      <c r="K333" s="297"/>
      <c r="L333" s="303"/>
      <c r="M333" s="303"/>
      <c r="N333" s="297"/>
      <c r="O333" s="292"/>
      <c r="P333" s="303"/>
      <c r="Q333" s="298"/>
      <c r="R333" s="294"/>
      <c r="S333" s="297"/>
      <c r="T333" s="292"/>
      <c r="U333" s="299"/>
      <c r="V333" s="292"/>
      <c r="W333" s="309"/>
      <c r="X333" s="292"/>
      <c r="Y333" s="309"/>
      <c r="Z333" s="292"/>
      <c r="AA333" s="315"/>
      <c r="AB333" s="297"/>
      <c r="AC333" s="292"/>
      <c r="AD333" s="292"/>
      <c r="AE333" s="292"/>
      <c r="AF333" s="303"/>
      <c r="AG333" s="303"/>
      <c r="AH333" s="303"/>
      <c r="AI333" s="303"/>
    </row>
    <row r="334">
      <c r="A334" s="304"/>
      <c r="B334" s="299"/>
      <c r="C334" s="292"/>
      <c r="D334" s="293"/>
      <c r="E334" s="292"/>
      <c r="F334" s="293"/>
      <c r="G334" s="294"/>
      <c r="H334" s="295"/>
      <c r="I334" s="303"/>
      <c r="J334" s="303"/>
      <c r="K334" s="297"/>
      <c r="L334" s="303"/>
      <c r="M334" s="303"/>
      <c r="N334" s="297"/>
      <c r="O334" s="292"/>
      <c r="P334" s="303"/>
      <c r="Q334" s="298"/>
      <c r="R334" s="294"/>
      <c r="S334" s="297"/>
      <c r="T334" s="292"/>
      <c r="U334" s="299"/>
      <c r="V334" s="292"/>
      <c r="W334" s="309"/>
      <c r="X334" s="292"/>
      <c r="Y334" s="309"/>
      <c r="Z334" s="292"/>
      <c r="AA334" s="315"/>
      <c r="AB334" s="297"/>
      <c r="AC334" s="292"/>
      <c r="AD334" s="292"/>
      <c r="AE334" s="292"/>
      <c r="AF334" s="303"/>
      <c r="AG334" s="303"/>
      <c r="AH334" s="303"/>
      <c r="AI334" s="303"/>
    </row>
    <row r="335">
      <c r="A335" s="304"/>
      <c r="B335" s="299"/>
      <c r="C335" s="292"/>
      <c r="D335" s="293"/>
      <c r="E335" s="292"/>
      <c r="F335" s="293"/>
      <c r="G335" s="294"/>
      <c r="H335" s="295"/>
      <c r="I335" s="303"/>
      <c r="J335" s="303"/>
      <c r="K335" s="297"/>
      <c r="L335" s="303"/>
      <c r="M335" s="303"/>
      <c r="N335" s="297"/>
      <c r="O335" s="292"/>
      <c r="P335" s="303"/>
      <c r="Q335" s="298"/>
      <c r="R335" s="294"/>
      <c r="S335" s="297"/>
      <c r="T335" s="292"/>
      <c r="U335" s="299"/>
      <c r="V335" s="292"/>
      <c r="W335" s="309"/>
      <c r="X335" s="292"/>
      <c r="Y335" s="309"/>
      <c r="Z335" s="292"/>
      <c r="AA335" s="315"/>
      <c r="AB335" s="297"/>
      <c r="AC335" s="292"/>
      <c r="AD335" s="292"/>
      <c r="AE335" s="292"/>
      <c r="AF335" s="303"/>
      <c r="AG335" s="303"/>
      <c r="AH335" s="303"/>
      <c r="AI335" s="303"/>
    </row>
    <row r="336">
      <c r="A336" s="304"/>
      <c r="B336" s="299"/>
      <c r="C336" s="292"/>
      <c r="D336" s="293"/>
      <c r="E336" s="292"/>
      <c r="F336" s="293"/>
      <c r="G336" s="294"/>
      <c r="H336" s="295"/>
      <c r="I336" s="303"/>
      <c r="J336" s="303"/>
      <c r="K336" s="297"/>
      <c r="L336" s="303"/>
      <c r="M336" s="303"/>
      <c r="N336" s="297"/>
      <c r="O336" s="292"/>
      <c r="P336" s="303"/>
      <c r="Q336" s="298"/>
      <c r="R336" s="294"/>
      <c r="S336" s="297"/>
      <c r="T336" s="292"/>
      <c r="U336" s="299"/>
      <c r="V336" s="292"/>
      <c r="W336" s="309"/>
      <c r="X336" s="292"/>
      <c r="Y336" s="309"/>
      <c r="Z336" s="292"/>
      <c r="AA336" s="315"/>
      <c r="AB336" s="297"/>
      <c r="AC336" s="292"/>
      <c r="AD336" s="292"/>
      <c r="AE336" s="292"/>
      <c r="AF336" s="303"/>
      <c r="AG336" s="303"/>
      <c r="AH336" s="303"/>
      <c r="AI336" s="303"/>
    </row>
    <row r="337">
      <c r="A337" s="304"/>
      <c r="B337" s="299"/>
      <c r="C337" s="292"/>
      <c r="D337" s="293"/>
      <c r="E337" s="292"/>
      <c r="F337" s="293"/>
      <c r="G337" s="294"/>
      <c r="H337" s="295"/>
      <c r="I337" s="303"/>
      <c r="J337" s="303"/>
      <c r="K337" s="297"/>
      <c r="L337" s="303"/>
      <c r="M337" s="303"/>
      <c r="N337" s="297"/>
      <c r="O337" s="292"/>
      <c r="P337" s="303"/>
      <c r="Q337" s="298"/>
      <c r="R337" s="294"/>
      <c r="S337" s="297"/>
      <c r="T337" s="292"/>
      <c r="U337" s="299"/>
      <c r="V337" s="292"/>
      <c r="W337" s="309"/>
      <c r="X337" s="292"/>
      <c r="Y337" s="309"/>
      <c r="Z337" s="292"/>
      <c r="AA337" s="315"/>
      <c r="AB337" s="297"/>
      <c r="AC337" s="292"/>
      <c r="AD337" s="292"/>
      <c r="AE337" s="292"/>
      <c r="AF337" s="303"/>
      <c r="AG337" s="303"/>
      <c r="AH337" s="303"/>
      <c r="AI337" s="303"/>
    </row>
    <row r="338">
      <c r="A338" s="304"/>
      <c r="B338" s="299"/>
      <c r="C338" s="292"/>
      <c r="D338" s="293"/>
      <c r="E338" s="292"/>
      <c r="F338" s="293"/>
      <c r="G338" s="294"/>
      <c r="H338" s="295"/>
      <c r="I338" s="303"/>
      <c r="J338" s="303"/>
      <c r="K338" s="297"/>
      <c r="L338" s="303"/>
      <c r="M338" s="303"/>
      <c r="N338" s="297"/>
      <c r="O338" s="292"/>
      <c r="P338" s="303"/>
      <c r="Q338" s="298"/>
      <c r="R338" s="294"/>
      <c r="S338" s="297"/>
      <c r="T338" s="292"/>
      <c r="U338" s="299"/>
      <c r="V338" s="292"/>
      <c r="W338" s="309"/>
      <c r="X338" s="292"/>
      <c r="Y338" s="309"/>
      <c r="Z338" s="292"/>
      <c r="AA338" s="315"/>
      <c r="AB338" s="297"/>
      <c r="AC338" s="292"/>
      <c r="AD338" s="292"/>
      <c r="AE338" s="292"/>
      <c r="AF338" s="303"/>
      <c r="AG338" s="303"/>
      <c r="AH338" s="303"/>
      <c r="AI338" s="303"/>
    </row>
    <row r="339">
      <c r="A339" s="304"/>
      <c r="B339" s="299"/>
      <c r="C339" s="292"/>
      <c r="D339" s="293"/>
      <c r="E339" s="292"/>
      <c r="F339" s="293"/>
      <c r="G339" s="294"/>
      <c r="H339" s="295"/>
      <c r="I339" s="303"/>
      <c r="J339" s="303"/>
      <c r="K339" s="297"/>
      <c r="L339" s="303"/>
      <c r="M339" s="303"/>
      <c r="N339" s="297"/>
      <c r="O339" s="292"/>
      <c r="P339" s="303"/>
      <c r="Q339" s="298"/>
      <c r="R339" s="294"/>
      <c r="S339" s="297"/>
      <c r="T339" s="292"/>
      <c r="U339" s="299"/>
      <c r="V339" s="292"/>
      <c r="W339" s="309"/>
      <c r="X339" s="292"/>
      <c r="Y339" s="309"/>
      <c r="Z339" s="292"/>
      <c r="AA339" s="315"/>
      <c r="AB339" s="297"/>
      <c r="AC339" s="292"/>
      <c r="AD339" s="292"/>
      <c r="AE339" s="292"/>
      <c r="AF339" s="303"/>
      <c r="AG339" s="303"/>
      <c r="AH339" s="303"/>
      <c r="AI339" s="303"/>
    </row>
    <row r="340">
      <c r="A340" s="304"/>
      <c r="B340" s="299"/>
      <c r="C340" s="292"/>
      <c r="D340" s="293"/>
      <c r="E340" s="292"/>
      <c r="F340" s="293"/>
      <c r="G340" s="294"/>
      <c r="H340" s="295"/>
      <c r="I340" s="303"/>
      <c r="J340" s="303"/>
      <c r="K340" s="297"/>
      <c r="L340" s="303"/>
      <c r="M340" s="303"/>
      <c r="N340" s="297"/>
      <c r="O340" s="292"/>
      <c r="P340" s="303"/>
      <c r="Q340" s="298"/>
      <c r="R340" s="294"/>
      <c r="S340" s="297"/>
      <c r="T340" s="292"/>
      <c r="U340" s="299"/>
      <c r="V340" s="292"/>
      <c r="W340" s="309"/>
      <c r="X340" s="292"/>
      <c r="Y340" s="309"/>
      <c r="Z340" s="292"/>
      <c r="AA340" s="315"/>
      <c r="AB340" s="297"/>
      <c r="AC340" s="292"/>
      <c r="AD340" s="292"/>
      <c r="AE340" s="292"/>
      <c r="AF340" s="303"/>
      <c r="AG340" s="303"/>
      <c r="AH340" s="303"/>
      <c r="AI340" s="303"/>
    </row>
    <row r="341">
      <c r="A341" s="304"/>
      <c r="B341" s="299"/>
      <c r="C341" s="292"/>
      <c r="D341" s="293"/>
      <c r="E341" s="292"/>
      <c r="F341" s="293"/>
      <c r="G341" s="294"/>
      <c r="H341" s="295"/>
      <c r="I341" s="303"/>
      <c r="J341" s="303"/>
      <c r="K341" s="297"/>
      <c r="L341" s="303"/>
      <c r="M341" s="303"/>
      <c r="N341" s="297"/>
      <c r="O341" s="292"/>
      <c r="P341" s="303"/>
      <c r="Q341" s="298"/>
      <c r="R341" s="294"/>
      <c r="S341" s="297"/>
      <c r="T341" s="292"/>
      <c r="U341" s="299"/>
      <c r="V341" s="292"/>
      <c r="W341" s="309"/>
      <c r="X341" s="292"/>
      <c r="Y341" s="309"/>
      <c r="Z341" s="292"/>
      <c r="AA341" s="315"/>
      <c r="AB341" s="297"/>
      <c r="AC341" s="292"/>
      <c r="AD341" s="292"/>
      <c r="AE341" s="292"/>
      <c r="AF341" s="303"/>
      <c r="AG341" s="303"/>
      <c r="AH341" s="303"/>
      <c r="AI341" s="303"/>
    </row>
    <row r="342">
      <c r="A342" s="304"/>
      <c r="B342" s="299"/>
      <c r="C342" s="292"/>
      <c r="D342" s="293"/>
      <c r="E342" s="292"/>
      <c r="F342" s="293"/>
      <c r="G342" s="294"/>
      <c r="H342" s="295"/>
      <c r="I342" s="303"/>
      <c r="J342" s="303"/>
      <c r="K342" s="297"/>
      <c r="L342" s="303"/>
      <c r="M342" s="303"/>
      <c r="N342" s="297"/>
      <c r="O342" s="292"/>
      <c r="P342" s="303"/>
      <c r="Q342" s="298"/>
      <c r="R342" s="294"/>
      <c r="S342" s="297"/>
      <c r="T342" s="292"/>
      <c r="U342" s="299"/>
      <c r="V342" s="292"/>
      <c r="W342" s="309"/>
      <c r="X342" s="292"/>
      <c r="Y342" s="309"/>
      <c r="Z342" s="292"/>
      <c r="AA342" s="315"/>
      <c r="AB342" s="297"/>
      <c r="AC342" s="292"/>
      <c r="AD342" s="292"/>
      <c r="AE342" s="292"/>
      <c r="AF342" s="303"/>
      <c r="AG342" s="303"/>
      <c r="AH342" s="303"/>
      <c r="AI342" s="303"/>
    </row>
    <row r="343">
      <c r="A343" s="304"/>
      <c r="B343" s="299"/>
      <c r="C343" s="292"/>
      <c r="D343" s="293"/>
      <c r="E343" s="292"/>
      <c r="F343" s="293"/>
      <c r="G343" s="294"/>
      <c r="H343" s="295"/>
      <c r="I343" s="303"/>
      <c r="J343" s="303"/>
      <c r="K343" s="297"/>
      <c r="L343" s="303"/>
      <c r="M343" s="303"/>
      <c r="N343" s="297"/>
      <c r="O343" s="292"/>
      <c r="P343" s="303"/>
      <c r="Q343" s="298"/>
      <c r="R343" s="294"/>
      <c r="S343" s="297"/>
      <c r="T343" s="292"/>
      <c r="U343" s="299"/>
      <c r="V343" s="292"/>
      <c r="W343" s="309"/>
      <c r="X343" s="292"/>
      <c r="Y343" s="309"/>
      <c r="Z343" s="292"/>
      <c r="AA343" s="315"/>
      <c r="AB343" s="297"/>
      <c r="AC343" s="292"/>
      <c r="AD343" s="292"/>
      <c r="AE343" s="292"/>
      <c r="AF343" s="303"/>
      <c r="AG343" s="303"/>
      <c r="AH343" s="303"/>
      <c r="AI343" s="303"/>
    </row>
    <row r="344">
      <c r="A344" s="304"/>
      <c r="B344" s="299"/>
      <c r="C344" s="292"/>
      <c r="D344" s="293"/>
      <c r="E344" s="292"/>
      <c r="F344" s="293"/>
      <c r="G344" s="294"/>
      <c r="H344" s="295"/>
      <c r="I344" s="303"/>
      <c r="J344" s="303"/>
      <c r="K344" s="297"/>
      <c r="L344" s="303"/>
      <c r="M344" s="303"/>
      <c r="N344" s="297"/>
      <c r="O344" s="292"/>
      <c r="P344" s="303"/>
      <c r="Q344" s="298"/>
      <c r="R344" s="294"/>
      <c r="S344" s="297"/>
      <c r="T344" s="292"/>
      <c r="U344" s="299"/>
      <c r="V344" s="292"/>
      <c r="W344" s="309"/>
      <c r="X344" s="292"/>
      <c r="Y344" s="309"/>
      <c r="Z344" s="292"/>
      <c r="AA344" s="315"/>
      <c r="AB344" s="297"/>
      <c r="AC344" s="292"/>
      <c r="AD344" s="292"/>
      <c r="AE344" s="292"/>
      <c r="AF344" s="303"/>
      <c r="AG344" s="303"/>
      <c r="AH344" s="303"/>
      <c r="AI344" s="303"/>
    </row>
    <row r="345">
      <c r="A345" s="304"/>
      <c r="B345" s="299"/>
      <c r="C345" s="292"/>
      <c r="D345" s="293"/>
      <c r="E345" s="292"/>
      <c r="F345" s="293"/>
      <c r="G345" s="294"/>
      <c r="H345" s="295"/>
      <c r="I345" s="303"/>
      <c r="J345" s="303"/>
      <c r="K345" s="297"/>
      <c r="L345" s="303"/>
      <c r="M345" s="303"/>
      <c r="N345" s="297"/>
      <c r="O345" s="292"/>
      <c r="P345" s="303"/>
      <c r="Q345" s="298"/>
      <c r="R345" s="294"/>
      <c r="S345" s="297"/>
      <c r="T345" s="292"/>
      <c r="U345" s="299"/>
      <c r="V345" s="292"/>
      <c r="W345" s="309"/>
      <c r="X345" s="292"/>
      <c r="Y345" s="309"/>
      <c r="Z345" s="292"/>
      <c r="AA345" s="315"/>
      <c r="AB345" s="297"/>
      <c r="AC345" s="292"/>
      <c r="AD345" s="292"/>
      <c r="AE345" s="292"/>
      <c r="AF345" s="303"/>
      <c r="AG345" s="303"/>
      <c r="AH345" s="303"/>
      <c r="AI345" s="303"/>
    </row>
    <row r="346">
      <c r="A346" s="304"/>
      <c r="B346" s="299"/>
      <c r="C346" s="292"/>
      <c r="D346" s="293"/>
      <c r="E346" s="292"/>
      <c r="F346" s="293"/>
      <c r="G346" s="294"/>
      <c r="H346" s="295"/>
      <c r="I346" s="303"/>
      <c r="J346" s="303"/>
      <c r="K346" s="297"/>
      <c r="L346" s="303"/>
      <c r="M346" s="303"/>
      <c r="N346" s="297"/>
      <c r="O346" s="292"/>
      <c r="P346" s="303"/>
      <c r="Q346" s="298"/>
      <c r="R346" s="294"/>
      <c r="S346" s="297"/>
      <c r="T346" s="292"/>
      <c r="U346" s="299"/>
      <c r="V346" s="292"/>
      <c r="W346" s="309"/>
      <c r="X346" s="292"/>
      <c r="Y346" s="309"/>
      <c r="Z346" s="292"/>
      <c r="AA346" s="315"/>
      <c r="AB346" s="297"/>
      <c r="AC346" s="292"/>
      <c r="AD346" s="292"/>
      <c r="AE346" s="292"/>
      <c r="AF346" s="303"/>
      <c r="AG346" s="303"/>
      <c r="AH346" s="303"/>
      <c r="AI346" s="303"/>
    </row>
    <row r="347">
      <c r="A347" s="304"/>
      <c r="B347" s="299"/>
      <c r="C347" s="292"/>
      <c r="D347" s="293"/>
      <c r="E347" s="292"/>
      <c r="F347" s="293"/>
      <c r="G347" s="294"/>
      <c r="H347" s="295"/>
      <c r="I347" s="303"/>
      <c r="J347" s="303"/>
      <c r="K347" s="297"/>
      <c r="L347" s="303"/>
      <c r="M347" s="303"/>
      <c r="N347" s="297"/>
      <c r="O347" s="292"/>
      <c r="P347" s="303"/>
      <c r="Q347" s="298"/>
      <c r="R347" s="294"/>
      <c r="S347" s="297"/>
      <c r="T347" s="292"/>
      <c r="U347" s="299"/>
      <c r="V347" s="292"/>
      <c r="W347" s="309"/>
      <c r="X347" s="292"/>
      <c r="Y347" s="309"/>
      <c r="Z347" s="292"/>
      <c r="AA347" s="315"/>
      <c r="AB347" s="297"/>
      <c r="AC347" s="292"/>
      <c r="AD347" s="292"/>
      <c r="AE347" s="292"/>
      <c r="AF347" s="303"/>
      <c r="AG347" s="303"/>
      <c r="AH347" s="303"/>
      <c r="AI347" s="303"/>
    </row>
    <row r="348">
      <c r="A348" s="304"/>
      <c r="B348" s="299"/>
      <c r="C348" s="292"/>
      <c r="D348" s="293"/>
      <c r="E348" s="292"/>
      <c r="F348" s="293"/>
      <c r="G348" s="294"/>
      <c r="H348" s="295"/>
      <c r="I348" s="303"/>
      <c r="J348" s="303"/>
      <c r="K348" s="297"/>
      <c r="L348" s="303"/>
      <c r="M348" s="303"/>
      <c r="N348" s="297"/>
      <c r="O348" s="292"/>
      <c r="P348" s="303"/>
      <c r="Q348" s="298"/>
      <c r="R348" s="294"/>
      <c r="S348" s="297"/>
      <c r="T348" s="292"/>
      <c r="U348" s="299"/>
      <c r="V348" s="292"/>
      <c r="W348" s="309"/>
      <c r="X348" s="292"/>
      <c r="Y348" s="309"/>
      <c r="Z348" s="292"/>
      <c r="AA348" s="315"/>
      <c r="AB348" s="297"/>
      <c r="AC348" s="292"/>
      <c r="AD348" s="292"/>
      <c r="AE348" s="292"/>
      <c r="AF348" s="303"/>
      <c r="AG348" s="303"/>
      <c r="AH348" s="303"/>
      <c r="AI348" s="303"/>
    </row>
    <row r="349">
      <c r="A349" s="304"/>
      <c r="B349" s="299"/>
      <c r="C349" s="292"/>
      <c r="D349" s="293"/>
      <c r="E349" s="292"/>
      <c r="F349" s="293"/>
      <c r="G349" s="294"/>
      <c r="H349" s="295"/>
      <c r="I349" s="303"/>
      <c r="J349" s="303"/>
      <c r="K349" s="297"/>
      <c r="L349" s="303"/>
      <c r="M349" s="303"/>
      <c r="N349" s="297"/>
      <c r="O349" s="292"/>
      <c r="P349" s="303"/>
      <c r="Q349" s="298"/>
      <c r="R349" s="294"/>
      <c r="S349" s="297"/>
      <c r="T349" s="292"/>
      <c r="U349" s="299"/>
      <c r="V349" s="292"/>
      <c r="W349" s="309"/>
      <c r="X349" s="292"/>
      <c r="Y349" s="309"/>
      <c r="Z349" s="292"/>
      <c r="AA349" s="315"/>
      <c r="AB349" s="297"/>
      <c r="AC349" s="292"/>
      <c r="AD349" s="292"/>
      <c r="AE349" s="292"/>
      <c r="AF349" s="303"/>
      <c r="AG349" s="303"/>
      <c r="AH349" s="303"/>
      <c r="AI349" s="303"/>
    </row>
    <row r="350">
      <c r="A350" s="304"/>
      <c r="B350" s="299"/>
      <c r="C350" s="292"/>
      <c r="D350" s="293"/>
      <c r="E350" s="292"/>
      <c r="F350" s="293"/>
      <c r="G350" s="294"/>
      <c r="H350" s="295"/>
      <c r="I350" s="303"/>
      <c r="J350" s="303"/>
      <c r="K350" s="297"/>
      <c r="L350" s="303"/>
      <c r="M350" s="303"/>
      <c r="N350" s="297"/>
      <c r="O350" s="292"/>
      <c r="P350" s="303"/>
      <c r="Q350" s="298"/>
      <c r="R350" s="294"/>
      <c r="S350" s="297"/>
      <c r="T350" s="292"/>
      <c r="U350" s="299"/>
      <c r="V350" s="292"/>
      <c r="W350" s="309"/>
      <c r="X350" s="292"/>
      <c r="Y350" s="309"/>
      <c r="Z350" s="292"/>
      <c r="AA350" s="315"/>
      <c r="AB350" s="297"/>
      <c r="AC350" s="292"/>
      <c r="AD350" s="292"/>
      <c r="AE350" s="292"/>
      <c r="AF350" s="303"/>
      <c r="AG350" s="303"/>
      <c r="AH350" s="303"/>
      <c r="AI350" s="303"/>
    </row>
    <row r="351">
      <c r="A351" s="304"/>
      <c r="B351" s="299"/>
      <c r="C351" s="292"/>
      <c r="D351" s="293"/>
      <c r="E351" s="292"/>
      <c r="F351" s="293"/>
      <c r="G351" s="294"/>
      <c r="H351" s="295"/>
      <c r="I351" s="303"/>
      <c r="J351" s="303"/>
      <c r="K351" s="297"/>
      <c r="L351" s="303"/>
      <c r="M351" s="303"/>
      <c r="N351" s="297"/>
      <c r="O351" s="292"/>
      <c r="P351" s="303"/>
      <c r="Q351" s="298"/>
      <c r="R351" s="294"/>
      <c r="S351" s="297"/>
      <c r="T351" s="292"/>
      <c r="U351" s="299"/>
      <c r="V351" s="292"/>
      <c r="W351" s="309"/>
      <c r="X351" s="292"/>
      <c r="Y351" s="309"/>
      <c r="Z351" s="292"/>
      <c r="AA351" s="315"/>
      <c r="AB351" s="297"/>
      <c r="AC351" s="292"/>
      <c r="AD351" s="292"/>
      <c r="AE351" s="292"/>
      <c r="AF351" s="303"/>
      <c r="AG351" s="303"/>
      <c r="AH351" s="303"/>
      <c r="AI351" s="303"/>
    </row>
    <row r="352">
      <c r="A352" s="304"/>
      <c r="B352" s="299"/>
      <c r="C352" s="292"/>
      <c r="D352" s="293"/>
      <c r="E352" s="292"/>
      <c r="F352" s="293"/>
      <c r="G352" s="294"/>
      <c r="H352" s="295"/>
      <c r="I352" s="303"/>
      <c r="J352" s="303"/>
      <c r="K352" s="297"/>
      <c r="L352" s="303"/>
      <c r="M352" s="303"/>
      <c r="N352" s="297"/>
      <c r="O352" s="292"/>
      <c r="P352" s="303"/>
      <c r="Q352" s="298"/>
      <c r="R352" s="294"/>
      <c r="S352" s="297"/>
      <c r="T352" s="292"/>
      <c r="U352" s="299"/>
      <c r="V352" s="292"/>
      <c r="W352" s="309"/>
      <c r="X352" s="292"/>
      <c r="Y352" s="309"/>
      <c r="Z352" s="292"/>
      <c r="AA352" s="315"/>
      <c r="AB352" s="297"/>
      <c r="AC352" s="292"/>
      <c r="AD352" s="292"/>
      <c r="AE352" s="292"/>
      <c r="AF352" s="303"/>
      <c r="AG352" s="303"/>
      <c r="AH352" s="303"/>
      <c r="AI352" s="303"/>
    </row>
    <row r="353">
      <c r="A353" s="304"/>
      <c r="B353" s="299"/>
      <c r="C353" s="292"/>
      <c r="D353" s="293"/>
      <c r="E353" s="292"/>
      <c r="F353" s="293"/>
      <c r="G353" s="294"/>
      <c r="H353" s="295"/>
      <c r="I353" s="303"/>
      <c r="J353" s="303"/>
      <c r="K353" s="297"/>
      <c r="L353" s="303"/>
      <c r="M353" s="303"/>
      <c r="N353" s="297"/>
      <c r="O353" s="292"/>
      <c r="P353" s="303"/>
      <c r="Q353" s="298"/>
      <c r="R353" s="294"/>
      <c r="S353" s="297"/>
      <c r="T353" s="292"/>
      <c r="U353" s="299"/>
      <c r="V353" s="292"/>
      <c r="W353" s="309"/>
      <c r="X353" s="292"/>
      <c r="Y353" s="309"/>
      <c r="Z353" s="292"/>
      <c r="AA353" s="315"/>
      <c r="AB353" s="297"/>
      <c r="AC353" s="292"/>
      <c r="AD353" s="292"/>
      <c r="AE353" s="292"/>
      <c r="AF353" s="303"/>
      <c r="AG353" s="303"/>
      <c r="AH353" s="303"/>
      <c r="AI353" s="303"/>
    </row>
    <row r="354">
      <c r="A354" s="304"/>
      <c r="B354" s="299"/>
      <c r="C354" s="292"/>
      <c r="D354" s="293"/>
      <c r="E354" s="292"/>
      <c r="F354" s="293"/>
      <c r="G354" s="294"/>
      <c r="H354" s="295"/>
      <c r="I354" s="303"/>
      <c r="J354" s="303"/>
      <c r="K354" s="297"/>
      <c r="L354" s="303"/>
      <c r="M354" s="303"/>
      <c r="N354" s="297"/>
      <c r="O354" s="292"/>
      <c r="P354" s="303"/>
      <c r="Q354" s="298"/>
      <c r="R354" s="294"/>
      <c r="S354" s="297"/>
      <c r="T354" s="292"/>
      <c r="U354" s="299"/>
      <c r="V354" s="292"/>
      <c r="W354" s="309"/>
      <c r="X354" s="292"/>
      <c r="Y354" s="309"/>
      <c r="Z354" s="292"/>
      <c r="AA354" s="315"/>
      <c r="AB354" s="297"/>
      <c r="AC354" s="292"/>
      <c r="AD354" s="292"/>
      <c r="AE354" s="292"/>
      <c r="AF354" s="303"/>
      <c r="AG354" s="303"/>
      <c r="AH354" s="303"/>
      <c r="AI354" s="303"/>
    </row>
    <row r="355">
      <c r="A355" s="304"/>
      <c r="B355" s="299"/>
      <c r="C355" s="292"/>
      <c r="D355" s="293"/>
      <c r="E355" s="292"/>
      <c r="F355" s="293"/>
      <c r="G355" s="294"/>
      <c r="H355" s="295"/>
      <c r="I355" s="303"/>
      <c r="J355" s="303"/>
      <c r="K355" s="297"/>
      <c r="L355" s="303"/>
      <c r="M355" s="303"/>
      <c r="N355" s="297"/>
      <c r="O355" s="292"/>
      <c r="P355" s="303"/>
      <c r="Q355" s="298"/>
      <c r="R355" s="294"/>
      <c r="S355" s="297"/>
      <c r="T355" s="292"/>
      <c r="U355" s="299"/>
      <c r="V355" s="292"/>
      <c r="W355" s="309"/>
      <c r="X355" s="292"/>
      <c r="Y355" s="309"/>
      <c r="Z355" s="292"/>
      <c r="AA355" s="315"/>
      <c r="AB355" s="297"/>
      <c r="AC355" s="292"/>
      <c r="AD355" s="292"/>
      <c r="AE355" s="292"/>
      <c r="AF355" s="303"/>
      <c r="AG355" s="303"/>
      <c r="AH355" s="303"/>
      <c r="AI355" s="303"/>
    </row>
    <row r="356">
      <c r="A356" s="304"/>
      <c r="B356" s="299"/>
      <c r="C356" s="292"/>
      <c r="D356" s="293"/>
      <c r="E356" s="292"/>
      <c r="F356" s="293"/>
      <c r="G356" s="294"/>
      <c r="H356" s="295"/>
      <c r="I356" s="303"/>
      <c r="J356" s="303"/>
      <c r="K356" s="297"/>
      <c r="L356" s="303"/>
      <c r="M356" s="303"/>
      <c r="N356" s="297"/>
      <c r="O356" s="292"/>
      <c r="P356" s="303"/>
      <c r="Q356" s="298"/>
      <c r="R356" s="294"/>
      <c r="S356" s="297"/>
      <c r="T356" s="292"/>
      <c r="U356" s="299"/>
      <c r="V356" s="292"/>
      <c r="W356" s="309"/>
      <c r="X356" s="292"/>
      <c r="Y356" s="309"/>
      <c r="Z356" s="292"/>
      <c r="AA356" s="315"/>
      <c r="AB356" s="297"/>
      <c r="AC356" s="292"/>
      <c r="AD356" s="292"/>
      <c r="AE356" s="292"/>
      <c r="AF356" s="303"/>
      <c r="AG356" s="303"/>
      <c r="AH356" s="303"/>
      <c r="AI356" s="303"/>
    </row>
    <row r="357">
      <c r="A357" s="304"/>
      <c r="B357" s="299"/>
      <c r="C357" s="292"/>
      <c r="D357" s="293"/>
      <c r="E357" s="292"/>
      <c r="F357" s="293"/>
      <c r="G357" s="294"/>
      <c r="H357" s="295"/>
      <c r="I357" s="303"/>
      <c r="J357" s="303"/>
      <c r="K357" s="297"/>
      <c r="L357" s="303"/>
      <c r="M357" s="303"/>
      <c r="N357" s="297"/>
      <c r="O357" s="292"/>
      <c r="P357" s="303"/>
      <c r="Q357" s="298"/>
      <c r="R357" s="294"/>
      <c r="S357" s="297"/>
      <c r="T357" s="292"/>
      <c r="U357" s="299"/>
      <c r="V357" s="292"/>
      <c r="W357" s="309"/>
      <c r="X357" s="292"/>
      <c r="Y357" s="309"/>
      <c r="Z357" s="292"/>
      <c r="AA357" s="315"/>
      <c r="AB357" s="297"/>
      <c r="AC357" s="292"/>
      <c r="AD357" s="292"/>
      <c r="AE357" s="292"/>
      <c r="AF357" s="303"/>
      <c r="AG357" s="303"/>
      <c r="AH357" s="303"/>
      <c r="AI357" s="303"/>
    </row>
    <row r="358">
      <c r="A358" s="304"/>
      <c r="B358" s="299"/>
      <c r="C358" s="292"/>
      <c r="D358" s="293"/>
      <c r="E358" s="292"/>
      <c r="F358" s="293"/>
      <c r="G358" s="294"/>
      <c r="H358" s="295"/>
      <c r="I358" s="303"/>
      <c r="J358" s="303"/>
      <c r="K358" s="297"/>
      <c r="L358" s="303"/>
      <c r="M358" s="303"/>
      <c r="N358" s="297"/>
      <c r="O358" s="292"/>
      <c r="P358" s="303"/>
      <c r="Q358" s="298"/>
      <c r="R358" s="294"/>
      <c r="S358" s="297"/>
      <c r="T358" s="292"/>
      <c r="U358" s="299"/>
      <c r="V358" s="292"/>
      <c r="W358" s="309"/>
      <c r="X358" s="292"/>
      <c r="Y358" s="309"/>
      <c r="Z358" s="292"/>
      <c r="AA358" s="315"/>
      <c r="AB358" s="297"/>
      <c r="AC358" s="292"/>
      <c r="AD358" s="292"/>
      <c r="AE358" s="292"/>
      <c r="AF358" s="303"/>
      <c r="AG358" s="303"/>
      <c r="AH358" s="303"/>
      <c r="AI358" s="303"/>
    </row>
    <row r="359">
      <c r="A359" s="304"/>
      <c r="B359" s="299"/>
      <c r="C359" s="292"/>
      <c r="D359" s="293"/>
      <c r="E359" s="292"/>
      <c r="F359" s="293"/>
      <c r="G359" s="294"/>
      <c r="H359" s="295"/>
      <c r="I359" s="303"/>
      <c r="J359" s="303"/>
      <c r="K359" s="297"/>
      <c r="L359" s="303"/>
      <c r="M359" s="303"/>
      <c r="N359" s="297"/>
      <c r="O359" s="292"/>
      <c r="P359" s="303"/>
      <c r="Q359" s="298"/>
      <c r="R359" s="294"/>
      <c r="S359" s="297"/>
      <c r="T359" s="292"/>
      <c r="U359" s="299"/>
      <c r="V359" s="292"/>
      <c r="W359" s="309"/>
      <c r="X359" s="292"/>
      <c r="Y359" s="309"/>
      <c r="Z359" s="292"/>
      <c r="AA359" s="315"/>
      <c r="AB359" s="297"/>
      <c r="AC359" s="292"/>
      <c r="AD359" s="292"/>
      <c r="AE359" s="292"/>
      <c r="AF359" s="303"/>
      <c r="AG359" s="303"/>
      <c r="AH359" s="303"/>
      <c r="AI359" s="303"/>
    </row>
    <row r="360">
      <c r="A360" s="304"/>
      <c r="B360" s="299"/>
      <c r="C360" s="292"/>
      <c r="D360" s="293"/>
      <c r="E360" s="292"/>
      <c r="F360" s="293"/>
      <c r="G360" s="294"/>
      <c r="H360" s="295"/>
      <c r="I360" s="303"/>
      <c r="J360" s="303"/>
      <c r="K360" s="297"/>
      <c r="L360" s="303"/>
      <c r="M360" s="303"/>
      <c r="N360" s="297"/>
      <c r="O360" s="292"/>
      <c r="P360" s="303"/>
      <c r="Q360" s="298"/>
      <c r="R360" s="294"/>
      <c r="S360" s="297"/>
      <c r="T360" s="292"/>
      <c r="U360" s="299"/>
      <c r="V360" s="292"/>
      <c r="W360" s="309"/>
      <c r="X360" s="292"/>
      <c r="Y360" s="309"/>
      <c r="Z360" s="292"/>
      <c r="AA360" s="315"/>
      <c r="AB360" s="297"/>
      <c r="AC360" s="292"/>
      <c r="AD360" s="292"/>
      <c r="AE360" s="292"/>
      <c r="AF360" s="303"/>
      <c r="AG360" s="303"/>
      <c r="AH360" s="303"/>
      <c r="AI360" s="303"/>
    </row>
    <row r="361">
      <c r="A361" s="304"/>
      <c r="B361" s="299"/>
      <c r="C361" s="292"/>
      <c r="D361" s="293"/>
      <c r="E361" s="292"/>
      <c r="F361" s="293"/>
      <c r="G361" s="294"/>
      <c r="H361" s="295"/>
      <c r="I361" s="303"/>
      <c r="J361" s="303"/>
      <c r="K361" s="297"/>
      <c r="L361" s="303"/>
      <c r="M361" s="303"/>
      <c r="N361" s="297"/>
      <c r="O361" s="292"/>
      <c r="P361" s="303"/>
      <c r="Q361" s="298"/>
      <c r="R361" s="294"/>
      <c r="S361" s="297"/>
      <c r="T361" s="292"/>
      <c r="U361" s="299"/>
      <c r="V361" s="292"/>
      <c r="W361" s="309"/>
      <c r="X361" s="292"/>
      <c r="Y361" s="309"/>
      <c r="Z361" s="292"/>
      <c r="AA361" s="315"/>
      <c r="AB361" s="297"/>
      <c r="AC361" s="292"/>
      <c r="AD361" s="292"/>
      <c r="AE361" s="292"/>
      <c r="AF361" s="303"/>
      <c r="AG361" s="303"/>
      <c r="AH361" s="303"/>
      <c r="AI361" s="303"/>
    </row>
    <row r="362">
      <c r="A362" s="304"/>
      <c r="B362" s="299"/>
      <c r="C362" s="292"/>
      <c r="D362" s="293"/>
      <c r="E362" s="292"/>
      <c r="F362" s="293"/>
      <c r="G362" s="294"/>
      <c r="H362" s="295"/>
      <c r="I362" s="303"/>
      <c r="J362" s="303"/>
      <c r="K362" s="297"/>
      <c r="L362" s="303"/>
      <c r="M362" s="303"/>
      <c r="N362" s="297"/>
      <c r="O362" s="292"/>
      <c r="P362" s="303"/>
      <c r="Q362" s="298"/>
      <c r="R362" s="294"/>
      <c r="S362" s="297"/>
      <c r="T362" s="292"/>
      <c r="U362" s="299"/>
      <c r="V362" s="292"/>
      <c r="W362" s="309"/>
      <c r="X362" s="292"/>
      <c r="Y362" s="309"/>
      <c r="Z362" s="292"/>
      <c r="AA362" s="315"/>
      <c r="AB362" s="297"/>
      <c r="AC362" s="292"/>
      <c r="AD362" s="292"/>
      <c r="AE362" s="292"/>
      <c r="AF362" s="303"/>
      <c r="AG362" s="303"/>
      <c r="AH362" s="303"/>
      <c r="AI362" s="303"/>
    </row>
    <row r="363">
      <c r="A363" s="304"/>
      <c r="B363" s="299"/>
      <c r="C363" s="292"/>
      <c r="D363" s="293"/>
      <c r="E363" s="292"/>
      <c r="F363" s="293"/>
      <c r="G363" s="294"/>
      <c r="H363" s="295"/>
      <c r="I363" s="303"/>
      <c r="J363" s="303"/>
      <c r="K363" s="297"/>
      <c r="L363" s="303"/>
      <c r="M363" s="303"/>
      <c r="N363" s="297"/>
      <c r="O363" s="292"/>
      <c r="P363" s="303"/>
      <c r="Q363" s="298"/>
      <c r="R363" s="294"/>
      <c r="S363" s="297"/>
      <c r="T363" s="292"/>
      <c r="U363" s="299"/>
      <c r="V363" s="292"/>
      <c r="W363" s="309"/>
      <c r="X363" s="292"/>
      <c r="Y363" s="309"/>
      <c r="Z363" s="292"/>
      <c r="AA363" s="315"/>
      <c r="AB363" s="297"/>
      <c r="AC363" s="292"/>
      <c r="AD363" s="292"/>
      <c r="AE363" s="292"/>
      <c r="AF363" s="303"/>
      <c r="AG363" s="303"/>
      <c r="AH363" s="303"/>
      <c r="AI363" s="303"/>
    </row>
    <row r="364">
      <c r="A364" s="304"/>
      <c r="B364" s="299"/>
      <c r="C364" s="292"/>
      <c r="D364" s="293"/>
      <c r="E364" s="292"/>
      <c r="F364" s="293"/>
      <c r="G364" s="294"/>
      <c r="H364" s="295"/>
      <c r="I364" s="303"/>
      <c r="J364" s="303"/>
      <c r="K364" s="297"/>
      <c r="L364" s="303"/>
      <c r="M364" s="303"/>
      <c r="N364" s="297"/>
      <c r="O364" s="292"/>
      <c r="P364" s="303"/>
      <c r="Q364" s="298"/>
      <c r="R364" s="294"/>
      <c r="S364" s="297"/>
      <c r="T364" s="292"/>
      <c r="U364" s="299"/>
      <c r="V364" s="292"/>
      <c r="W364" s="309"/>
      <c r="X364" s="292"/>
      <c r="Y364" s="309"/>
      <c r="Z364" s="292"/>
      <c r="AA364" s="315"/>
      <c r="AB364" s="297"/>
      <c r="AC364" s="292"/>
      <c r="AD364" s="292"/>
      <c r="AE364" s="292"/>
      <c r="AF364" s="303"/>
      <c r="AG364" s="303"/>
      <c r="AH364" s="303"/>
      <c r="AI364" s="303"/>
    </row>
    <row r="365">
      <c r="A365" s="304"/>
      <c r="B365" s="299"/>
      <c r="C365" s="292"/>
      <c r="D365" s="293"/>
      <c r="E365" s="292"/>
      <c r="F365" s="293"/>
      <c r="G365" s="294"/>
      <c r="H365" s="295"/>
      <c r="I365" s="303"/>
      <c r="J365" s="303"/>
      <c r="K365" s="297"/>
      <c r="L365" s="303"/>
      <c r="M365" s="303"/>
      <c r="N365" s="297"/>
      <c r="O365" s="292"/>
      <c r="P365" s="303"/>
      <c r="Q365" s="298"/>
      <c r="R365" s="294"/>
      <c r="S365" s="297"/>
      <c r="T365" s="292"/>
      <c r="U365" s="299"/>
      <c r="V365" s="292"/>
      <c r="W365" s="309"/>
      <c r="X365" s="292"/>
      <c r="Y365" s="309"/>
      <c r="Z365" s="292"/>
      <c r="AA365" s="315"/>
      <c r="AB365" s="297"/>
      <c r="AC365" s="292"/>
      <c r="AD365" s="292"/>
      <c r="AE365" s="292"/>
      <c r="AF365" s="303"/>
      <c r="AG365" s="303"/>
      <c r="AH365" s="303"/>
      <c r="AI365" s="303"/>
    </row>
    <row r="366">
      <c r="A366" s="304"/>
      <c r="B366" s="299"/>
      <c r="C366" s="292"/>
      <c r="D366" s="293"/>
      <c r="E366" s="292"/>
      <c r="F366" s="293"/>
      <c r="G366" s="294"/>
      <c r="H366" s="295"/>
      <c r="I366" s="303"/>
      <c r="J366" s="303"/>
      <c r="K366" s="297"/>
      <c r="L366" s="303"/>
      <c r="M366" s="303"/>
      <c r="N366" s="297"/>
      <c r="O366" s="292"/>
      <c r="P366" s="303"/>
      <c r="Q366" s="298"/>
      <c r="R366" s="294"/>
      <c r="S366" s="297"/>
      <c r="T366" s="292"/>
      <c r="U366" s="299"/>
      <c r="V366" s="292"/>
      <c r="W366" s="309"/>
      <c r="X366" s="292"/>
      <c r="Y366" s="309"/>
      <c r="Z366" s="292"/>
      <c r="AA366" s="315"/>
      <c r="AB366" s="297"/>
      <c r="AC366" s="292"/>
      <c r="AD366" s="292"/>
      <c r="AE366" s="292"/>
      <c r="AF366" s="303"/>
      <c r="AG366" s="303"/>
      <c r="AH366" s="303"/>
      <c r="AI366" s="303"/>
    </row>
    <row r="367">
      <c r="A367" s="304"/>
      <c r="B367" s="299"/>
      <c r="C367" s="292"/>
      <c r="D367" s="293"/>
      <c r="E367" s="292"/>
      <c r="F367" s="293"/>
      <c r="G367" s="294"/>
      <c r="H367" s="295"/>
      <c r="I367" s="303"/>
      <c r="J367" s="303"/>
      <c r="K367" s="297"/>
      <c r="L367" s="303"/>
      <c r="M367" s="303"/>
      <c r="N367" s="297"/>
      <c r="O367" s="292"/>
      <c r="P367" s="303"/>
      <c r="Q367" s="298"/>
      <c r="R367" s="294"/>
      <c r="S367" s="297"/>
      <c r="T367" s="292"/>
      <c r="U367" s="299"/>
      <c r="V367" s="292"/>
      <c r="W367" s="309"/>
      <c r="X367" s="292"/>
      <c r="Y367" s="309"/>
      <c r="Z367" s="292"/>
      <c r="AA367" s="315"/>
      <c r="AB367" s="297"/>
      <c r="AC367" s="292"/>
      <c r="AD367" s="292"/>
      <c r="AE367" s="292"/>
      <c r="AF367" s="303"/>
      <c r="AG367" s="303"/>
      <c r="AH367" s="303"/>
      <c r="AI367" s="303"/>
    </row>
    <row r="368">
      <c r="A368" s="304"/>
      <c r="B368" s="299"/>
      <c r="C368" s="292"/>
      <c r="D368" s="293"/>
      <c r="E368" s="292"/>
      <c r="F368" s="293"/>
      <c r="G368" s="294"/>
      <c r="H368" s="295"/>
      <c r="I368" s="303"/>
      <c r="J368" s="303"/>
      <c r="K368" s="297"/>
      <c r="L368" s="303"/>
      <c r="M368" s="303"/>
      <c r="N368" s="297"/>
      <c r="O368" s="292"/>
      <c r="P368" s="303"/>
      <c r="Q368" s="298"/>
      <c r="R368" s="294"/>
      <c r="S368" s="297"/>
      <c r="T368" s="292"/>
      <c r="U368" s="299"/>
      <c r="V368" s="292"/>
      <c r="W368" s="309"/>
      <c r="X368" s="292"/>
      <c r="Y368" s="309"/>
      <c r="Z368" s="292"/>
      <c r="AA368" s="315"/>
      <c r="AB368" s="297"/>
      <c r="AC368" s="292"/>
      <c r="AD368" s="292"/>
      <c r="AE368" s="292"/>
      <c r="AF368" s="303"/>
      <c r="AG368" s="303"/>
      <c r="AH368" s="303"/>
      <c r="AI368" s="303"/>
    </row>
    <row r="369">
      <c r="A369" s="304"/>
      <c r="B369" s="299"/>
      <c r="C369" s="292"/>
      <c r="D369" s="293"/>
      <c r="E369" s="292"/>
      <c r="F369" s="293"/>
      <c r="G369" s="294"/>
      <c r="H369" s="295"/>
      <c r="I369" s="303"/>
      <c r="J369" s="303"/>
      <c r="K369" s="297"/>
      <c r="L369" s="303"/>
      <c r="M369" s="303"/>
      <c r="N369" s="297"/>
      <c r="O369" s="292"/>
      <c r="P369" s="303"/>
      <c r="Q369" s="298"/>
      <c r="R369" s="294"/>
      <c r="S369" s="297"/>
      <c r="T369" s="292"/>
      <c r="U369" s="299"/>
      <c r="V369" s="292"/>
      <c r="W369" s="309"/>
      <c r="X369" s="292"/>
      <c r="Y369" s="309"/>
      <c r="Z369" s="292"/>
      <c r="AA369" s="315"/>
      <c r="AB369" s="297"/>
      <c r="AC369" s="292"/>
      <c r="AD369" s="292"/>
      <c r="AE369" s="292"/>
      <c r="AF369" s="303"/>
      <c r="AG369" s="303"/>
      <c r="AH369" s="303"/>
      <c r="AI369" s="303"/>
    </row>
    <row r="370">
      <c r="A370" s="304"/>
      <c r="B370" s="299"/>
      <c r="C370" s="292"/>
      <c r="D370" s="293"/>
      <c r="E370" s="292"/>
      <c r="F370" s="293"/>
      <c r="G370" s="294"/>
      <c r="H370" s="295"/>
      <c r="I370" s="303"/>
      <c r="J370" s="303"/>
      <c r="K370" s="297"/>
      <c r="L370" s="303"/>
      <c r="M370" s="303"/>
      <c r="N370" s="297"/>
      <c r="O370" s="292"/>
      <c r="P370" s="303"/>
      <c r="Q370" s="298"/>
      <c r="R370" s="294"/>
      <c r="S370" s="297"/>
      <c r="T370" s="292"/>
      <c r="U370" s="299"/>
      <c r="V370" s="292"/>
      <c r="W370" s="309"/>
      <c r="X370" s="292"/>
      <c r="Y370" s="309"/>
      <c r="Z370" s="292"/>
      <c r="AA370" s="315"/>
      <c r="AB370" s="297"/>
      <c r="AC370" s="292"/>
      <c r="AD370" s="292"/>
      <c r="AE370" s="292"/>
      <c r="AF370" s="303"/>
      <c r="AG370" s="303"/>
      <c r="AH370" s="303"/>
      <c r="AI370" s="303"/>
    </row>
    <row r="371">
      <c r="A371" s="304"/>
      <c r="B371" s="299"/>
      <c r="C371" s="292"/>
      <c r="D371" s="293"/>
      <c r="E371" s="292"/>
      <c r="F371" s="293"/>
      <c r="G371" s="294"/>
      <c r="H371" s="295"/>
      <c r="I371" s="303"/>
      <c r="J371" s="303"/>
      <c r="K371" s="297"/>
      <c r="L371" s="303"/>
      <c r="M371" s="303"/>
      <c r="N371" s="297"/>
      <c r="O371" s="292"/>
      <c r="P371" s="303"/>
      <c r="Q371" s="298"/>
      <c r="R371" s="294"/>
      <c r="S371" s="297"/>
      <c r="T371" s="292"/>
      <c r="U371" s="299"/>
      <c r="V371" s="292"/>
      <c r="W371" s="309"/>
      <c r="X371" s="292"/>
      <c r="Y371" s="309"/>
      <c r="Z371" s="292"/>
      <c r="AA371" s="315"/>
      <c r="AB371" s="297"/>
      <c r="AC371" s="292"/>
      <c r="AD371" s="292"/>
      <c r="AE371" s="292"/>
      <c r="AF371" s="303"/>
      <c r="AG371" s="303"/>
      <c r="AH371" s="303"/>
      <c r="AI371" s="303"/>
    </row>
    <row r="372">
      <c r="A372" s="304"/>
      <c r="B372" s="299"/>
      <c r="C372" s="292"/>
      <c r="D372" s="293"/>
      <c r="E372" s="292"/>
      <c r="F372" s="293"/>
      <c r="G372" s="294"/>
      <c r="H372" s="295"/>
      <c r="I372" s="303"/>
      <c r="J372" s="303"/>
      <c r="K372" s="297"/>
      <c r="L372" s="303"/>
      <c r="M372" s="303"/>
      <c r="N372" s="297"/>
      <c r="O372" s="292"/>
      <c r="P372" s="303"/>
      <c r="Q372" s="298"/>
      <c r="R372" s="294"/>
      <c r="S372" s="297"/>
      <c r="T372" s="292"/>
      <c r="U372" s="299"/>
      <c r="V372" s="292"/>
      <c r="W372" s="309"/>
      <c r="X372" s="292"/>
      <c r="Y372" s="309"/>
      <c r="Z372" s="292"/>
      <c r="AA372" s="315"/>
      <c r="AB372" s="297"/>
      <c r="AC372" s="292"/>
      <c r="AD372" s="292"/>
      <c r="AE372" s="292"/>
      <c r="AF372" s="303"/>
      <c r="AG372" s="303"/>
      <c r="AH372" s="303"/>
      <c r="AI372" s="303"/>
    </row>
    <row r="373">
      <c r="A373" s="304"/>
      <c r="B373" s="299"/>
      <c r="C373" s="292"/>
      <c r="D373" s="293"/>
      <c r="E373" s="292"/>
      <c r="F373" s="293"/>
      <c r="G373" s="294"/>
      <c r="H373" s="295"/>
      <c r="I373" s="303"/>
      <c r="J373" s="303"/>
      <c r="K373" s="297"/>
      <c r="L373" s="303"/>
      <c r="M373" s="303"/>
      <c r="N373" s="297"/>
      <c r="O373" s="292"/>
      <c r="P373" s="303"/>
      <c r="Q373" s="298"/>
      <c r="R373" s="294"/>
      <c r="S373" s="297"/>
      <c r="T373" s="292"/>
      <c r="U373" s="299"/>
      <c r="V373" s="292"/>
      <c r="W373" s="309"/>
      <c r="X373" s="292"/>
      <c r="Y373" s="309"/>
      <c r="Z373" s="292"/>
      <c r="AA373" s="315"/>
      <c r="AB373" s="297"/>
      <c r="AC373" s="292"/>
      <c r="AD373" s="292"/>
      <c r="AE373" s="292"/>
      <c r="AF373" s="303"/>
      <c r="AG373" s="303"/>
      <c r="AH373" s="303"/>
      <c r="AI373" s="303"/>
    </row>
    <row r="374">
      <c r="A374" s="304"/>
      <c r="B374" s="299"/>
      <c r="C374" s="292"/>
      <c r="D374" s="293"/>
      <c r="E374" s="292"/>
      <c r="F374" s="293"/>
      <c r="G374" s="294"/>
      <c r="H374" s="295"/>
      <c r="I374" s="303"/>
      <c r="J374" s="303"/>
      <c r="K374" s="297"/>
      <c r="L374" s="303"/>
      <c r="M374" s="303"/>
      <c r="N374" s="297"/>
      <c r="O374" s="292"/>
      <c r="P374" s="303"/>
      <c r="Q374" s="298"/>
      <c r="R374" s="294"/>
      <c r="S374" s="297"/>
      <c r="T374" s="292"/>
      <c r="U374" s="299"/>
      <c r="V374" s="292"/>
      <c r="W374" s="309"/>
      <c r="X374" s="292"/>
      <c r="Y374" s="309"/>
      <c r="Z374" s="292"/>
      <c r="AA374" s="315"/>
      <c r="AB374" s="297"/>
      <c r="AC374" s="292"/>
      <c r="AD374" s="292"/>
      <c r="AE374" s="292"/>
      <c r="AF374" s="303"/>
      <c r="AG374" s="303"/>
      <c r="AH374" s="303"/>
      <c r="AI374" s="303"/>
    </row>
    <row r="375">
      <c r="A375" s="304"/>
      <c r="B375" s="299"/>
      <c r="C375" s="292"/>
      <c r="D375" s="293"/>
      <c r="E375" s="292"/>
      <c r="F375" s="293"/>
      <c r="G375" s="294"/>
      <c r="H375" s="295"/>
      <c r="I375" s="303"/>
      <c r="J375" s="303"/>
      <c r="K375" s="297"/>
      <c r="L375" s="303"/>
      <c r="M375" s="303"/>
      <c r="N375" s="297"/>
      <c r="O375" s="292"/>
      <c r="P375" s="303"/>
      <c r="Q375" s="298"/>
      <c r="R375" s="294"/>
      <c r="S375" s="297"/>
      <c r="T375" s="292"/>
      <c r="U375" s="299"/>
      <c r="V375" s="292"/>
      <c r="W375" s="309"/>
      <c r="X375" s="292"/>
      <c r="Y375" s="309"/>
      <c r="Z375" s="292"/>
      <c r="AA375" s="315"/>
      <c r="AB375" s="297"/>
      <c r="AC375" s="292"/>
      <c r="AD375" s="292"/>
      <c r="AE375" s="292"/>
      <c r="AF375" s="303"/>
      <c r="AG375" s="303"/>
      <c r="AH375" s="303"/>
      <c r="AI375" s="303"/>
    </row>
    <row r="376">
      <c r="A376" s="304"/>
      <c r="B376" s="299"/>
      <c r="C376" s="292"/>
      <c r="D376" s="293"/>
      <c r="E376" s="292"/>
      <c r="F376" s="293"/>
      <c r="G376" s="294"/>
      <c r="H376" s="295"/>
      <c r="I376" s="303"/>
      <c r="J376" s="303"/>
      <c r="K376" s="297"/>
      <c r="L376" s="303"/>
      <c r="M376" s="303"/>
      <c r="N376" s="297"/>
      <c r="O376" s="292"/>
      <c r="P376" s="303"/>
      <c r="Q376" s="298"/>
      <c r="R376" s="294"/>
      <c r="S376" s="297"/>
      <c r="T376" s="292"/>
      <c r="U376" s="299"/>
      <c r="V376" s="292"/>
      <c r="W376" s="309"/>
      <c r="X376" s="292"/>
      <c r="Y376" s="309"/>
      <c r="Z376" s="292"/>
      <c r="AA376" s="315"/>
      <c r="AB376" s="297"/>
      <c r="AC376" s="292"/>
      <c r="AD376" s="292"/>
      <c r="AE376" s="292"/>
      <c r="AF376" s="303"/>
      <c r="AG376" s="303"/>
      <c r="AH376" s="303"/>
      <c r="AI376" s="303"/>
    </row>
    <row r="377">
      <c r="A377" s="304"/>
      <c r="B377" s="299"/>
      <c r="C377" s="292"/>
      <c r="D377" s="293"/>
      <c r="E377" s="292"/>
      <c r="F377" s="293"/>
      <c r="G377" s="294"/>
      <c r="H377" s="295"/>
      <c r="I377" s="303"/>
      <c r="J377" s="303"/>
      <c r="K377" s="297"/>
      <c r="L377" s="303"/>
      <c r="M377" s="303"/>
      <c r="N377" s="297"/>
      <c r="O377" s="292"/>
      <c r="P377" s="303"/>
      <c r="Q377" s="298"/>
      <c r="R377" s="294"/>
      <c r="S377" s="297"/>
      <c r="T377" s="292"/>
      <c r="U377" s="299"/>
      <c r="V377" s="292"/>
      <c r="W377" s="309"/>
      <c r="X377" s="292"/>
      <c r="Y377" s="309"/>
      <c r="Z377" s="292"/>
      <c r="AA377" s="315"/>
      <c r="AB377" s="297"/>
      <c r="AC377" s="292"/>
      <c r="AD377" s="292"/>
      <c r="AE377" s="292"/>
      <c r="AF377" s="303"/>
      <c r="AG377" s="303"/>
      <c r="AH377" s="303"/>
      <c r="AI377" s="303"/>
    </row>
    <row r="378">
      <c r="A378" s="304"/>
      <c r="B378" s="299"/>
      <c r="C378" s="292"/>
      <c r="D378" s="293"/>
      <c r="E378" s="292"/>
      <c r="F378" s="293"/>
      <c r="G378" s="294"/>
      <c r="H378" s="295"/>
      <c r="I378" s="303"/>
      <c r="J378" s="303"/>
      <c r="K378" s="297"/>
      <c r="L378" s="303"/>
      <c r="M378" s="303"/>
      <c r="N378" s="297"/>
      <c r="O378" s="292"/>
      <c r="P378" s="303"/>
      <c r="Q378" s="298"/>
      <c r="R378" s="294"/>
      <c r="S378" s="297"/>
      <c r="T378" s="292"/>
      <c r="U378" s="299"/>
      <c r="V378" s="292"/>
      <c r="W378" s="309"/>
      <c r="X378" s="292"/>
      <c r="Y378" s="309"/>
      <c r="Z378" s="292"/>
      <c r="AA378" s="315"/>
      <c r="AB378" s="297"/>
      <c r="AC378" s="292"/>
      <c r="AD378" s="292"/>
      <c r="AE378" s="292"/>
      <c r="AF378" s="303"/>
      <c r="AG378" s="303"/>
      <c r="AH378" s="303"/>
      <c r="AI378" s="303"/>
    </row>
    <row r="379">
      <c r="A379" s="304"/>
      <c r="B379" s="299"/>
      <c r="C379" s="292"/>
      <c r="D379" s="293"/>
      <c r="E379" s="292"/>
      <c r="F379" s="293"/>
      <c r="G379" s="294"/>
      <c r="H379" s="295"/>
      <c r="I379" s="303"/>
      <c r="J379" s="303"/>
      <c r="K379" s="297"/>
      <c r="L379" s="303"/>
      <c r="M379" s="303"/>
      <c r="N379" s="297"/>
      <c r="O379" s="292"/>
      <c r="P379" s="303"/>
      <c r="Q379" s="298"/>
      <c r="R379" s="294"/>
      <c r="S379" s="297"/>
      <c r="T379" s="292"/>
      <c r="U379" s="299"/>
      <c r="V379" s="292"/>
      <c r="W379" s="309"/>
      <c r="X379" s="292"/>
      <c r="Y379" s="309"/>
      <c r="Z379" s="292"/>
      <c r="AA379" s="315"/>
      <c r="AB379" s="297"/>
      <c r="AC379" s="292"/>
      <c r="AD379" s="292"/>
      <c r="AE379" s="292"/>
      <c r="AF379" s="303"/>
      <c r="AG379" s="303"/>
      <c r="AH379" s="303"/>
      <c r="AI379" s="303"/>
    </row>
    <row r="380">
      <c r="A380" s="304"/>
      <c r="B380" s="299"/>
      <c r="C380" s="292"/>
      <c r="D380" s="293"/>
      <c r="E380" s="292"/>
      <c r="F380" s="293"/>
      <c r="G380" s="294"/>
      <c r="H380" s="295"/>
      <c r="I380" s="303"/>
      <c r="J380" s="303"/>
      <c r="K380" s="297"/>
      <c r="L380" s="303"/>
      <c r="M380" s="303"/>
      <c r="N380" s="297"/>
      <c r="O380" s="292"/>
      <c r="P380" s="303"/>
      <c r="Q380" s="298"/>
      <c r="R380" s="294"/>
      <c r="S380" s="297"/>
      <c r="T380" s="292"/>
      <c r="U380" s="299"/>
      <c r="V380" s="292"/>
      <c r="W380" s="309"/>
      <c r="X380" s="292"/>
      <c r="Y380" s="309"/>
      <c r="Z380" s="292"/>
      <c r="AA380" s="315"/>
      <c r="AB380" s="297"/>
      <c r="AC380" s="292"/>
      <c r="AD380" s="292"/>
      <c r="AE380" s="292"/>
      <c r="AF380" s="303"/>
      <c r="AG380" s="303"/>
      <c r="AH380" s="303"/>
      <c r="AI380" s="303"/>
    </row>
    <row r="381">
      <c r="A381" s="304"/>
      <c r="B381" s="299"/>
      <c r="C381" s="292"/>
      <c r="D381" s="293"/>
      <c r="E381" s="292"/>
      <c r="F381" s="293"/>
      <c r="G381" s="294"/>
      <c r="H381" s="295"/>
      <c r="I381" s="303"/>
      <c r="J381" s="303"/>
      <c r="K381" s="297"/>
      <c r="L381" s="303"/>
      <c r="M381" s="303"/>
      <c r="N381" s="297"/>
      <c r="O381" s="292"/>
      <c r="P381" s="303"/>
      <c r="Q381" s="298"/>
      <c r="R381" s="294"/>
      <c r="S381" s="297"/>
      <c r="T381" s="292"/>
      <c r="U381" s="299"/>
      <c r="V381" s="292"/>
      <c r="W381" s="309"/>
      <c r="X381" s="292"/>
      <c r="Y381" s="309"/>
      <c r="Z381" s="292"/>
      <c r="AA381" s="315"/>
      <c r="AB381" s="297"/>
      <c r="AC381" s="292"/>
      <c r="AD381" s="292"/>
      <c r="AE381" s="292"/>
      <c r="AF381" s="303"/>
      <c r="AG381" s="303"/>
      <c r="AH381" s="303"/>
      <c r="AI381" s="303"/>
    </row>
    <row r="382">
      <c r="A382" s="304"/>
      <c r="B382" s="299"/>
      <c r="C382" s="292"/>
      <c r="D382" s="293"/>
      <c r="E382" s="292"/>
      <c r="F382" s="293"/>
      <c r="G382" s="294"/>
      <c r="H382" s="295"/>
      <c r="I382" s="303"/>
      <c r="J382" s="303"/>
      <c r="K382" s="297"/>
      <c r="L382" s="303"/>
      <c r="M382" s="303"/>
      <c r="N382" s="297"/>
      <c r="O382" s="292"/>
      <c r="P382" s="303"/>
      <c r="Q382" s="298"/>
      <c r="R382" s="294"/>
      <c r="S382" s="297"/>
      <c r="T382" s="292"/>
      <c r="U382" s="299"/>
      <c r="V382" s="292"/>
      <c r="W382" s="309"/>
      <c r="X382" s="292"/>
      <c r="Y382" s="309"/>
      <c r="Z382" s="292"/>
      <c r="AA382" s="315"/>
      <c r="AB382" s="297"/>
      <c r="AC382" s="292"/>
      <c r="AD382" s="292"/>
      <c r="AE382" s="292"/>
      <c r="AF382" s="303"/>
      <c r="AG382" s="303"/>
      <c r="AH382" s="303"/>
      <c r="AI382" s="303"/>
    </row>
    <row r="383">
      <c r="A383" s="304"/>
      <c r="B383" s="299"/>
      <c r="C383" s="292"/>
      <c r="D383" s="293"/>
      <c r="E383" s="292"/>
      <c r="F383" s="293"/>
      <c r="G383" s="294"/>
      <c r="H383" s="295"/>
      <c r="I383" s="303"/>
      <c r="J383" s="303"/>
      <c r="K383" s="297"/>
      <c r="L383" s="303"/>
      <c r="M383" s="303"/>
      <c r="N383" s="297"/>
      <c r="O383" s="292"/>
      <c r="P383" s="303"/>
      <c r="Q383" s="298"/>
      <c r="R383" s="294"/>
      <c r="S383" s="297"/>
      <c r="T383" s="292"/>
      <c r="U383" s="299"/>
      <c r="V383" s="292"/>
      <c r="W383" s="309"/>
      <c r="X383" s="292"/>
      <c r="Y383" s="309"/>
      <c r="Z383" s="292"/>
      <c r="AA383" s="315"/>
      <c r="AB383" s="297"/>
      <c r="AC383" s="292"/>
      <c r="AD383" s="292"/>
      <c r="AE383" s="292"/>
      <c r="AF383" s="303"/>
      <c r="AG383" s="303"/>
      <c r="AH383" s="303"/>
      <c r="AI383" s="303"/>
    </row>
    <row r="384">
      <c r="A384" s="304"/>
      <c r="B384" s="299"/>
      <c r="C384" s="292"/>
      <c r="D384" s="293"/>
      <c r="E384" s="292"/>
      <c r="F384" s="293"/>
      <c r="G384" s="294"/>
      <c r="H384" s="295"/>
      <c r="I384" s="303"/>
      <c r="J384" s="303"/>
      <c r="K384" s="297"/>
      <c r="L384" s="303"/>
      <c r="M384" s="303"/>
      <c r="N384" s="297"/>
      <c r="O384" s="292"/>
      <c r="P384" s="303"/>
      <c r="Q384" s="298"/>
      <c r="R384" s="294"/>
      <c r="S384" s="297"/>
      <c r="T384" s="292"/>
      <c r="U384" s="299"/>
      <c r="V384" s="292"/>
      <c r="W384" s="309"/>
      <c r="X384" s="292"/>
      <c r="Y384" s="309"/>
      <c r="Z384" s="292"/>
      <c r="AA384" s="315"/>
      <c r="AB384" s="297"/>
      <c r="AC384" s="292"/>
      <c r="AD384" s="292"/>
      <c r="AE384" s="292"/>
      <c r="AF384" s="303"/>
      <c r="AG384" s="303"/>
      <c r="AH384" s="303"/>
      <c r="AI384" s="303"/>
    </row>
    <row r="385">
      <c r="A385" s="304"/>
      <c r="B385" s="299"/>
      <c r="C385" s="292"/>
      <c r="D385" s="293"/>
      <c r="E385" s="292"/>
      <c r="F385" s="293"/>
      <c r="G385" s="294"/>
      <c r="H385" s="295"/>
      <c r="I385" s="303"/>
      <c r="J385" s="303"/>
      <c r="K385" s="297"/>
      <c r="L385" s="303"/>
      <c r="M385" s="303"/>
      <c r="N385" s="297"/>
      <c r="O385" s="292"/>
      <c r="P385" s="303"/>
      <c r="Q385" s="298"/>
      <c r="R385" s="294"/>
      <c r="S385" s="297"/>
      <c r="T385" s="292"/>
      <c r="U385" s="299"/>
      <c r="V385" s="292"/>
      <c r="W385" s="309"/>
      <c r="X385" s="292"/>
      <c r="Y385" s="309"/>
      <c r="Z385" s="292"/>
      <c r="AA385" s="315"/>
      <c r="AB385" s="297"/>
      <c r="AC385" s="292"/>
      <c r="AD385" s="292"/>
      <c r="AE385" s="292"/>
      <c r="AF385" s="303"/>
      <c r="AG385" s="303"/>
      <c r="AH385" s="303"/>
      <c r="AI385" s="303"/>
    </row>
    <row r="386">
      <c r="A386" s="304"/>
      <c r="B386" s="299"/>
      <c r="C386" s="292"/>
      <c r="D386" s="293"/>
      <c r="E386" s="292"/>
      <c r="F386" s="293"/>
      <c r="G386" s="294"/>
      <c r="H386" s="295"/>
      <c r="I386" s="303"/>
      <c r="J386" s="303"/>
      <c r="K386" s="297"/>
      <c r="L386" s="303"/>
      <c r="M386" s="303"/>
      <c r="N386" s="297"/>
      <c r="O386" s="292"/>
      <c r="P386" s="303"/>
      <c r="Q386" s="298"/>
      <c r="R386" s="294"/>
      <c r="S386" s="297"/>
      <c r="T386" s="292"/>
      <c r="U386" s="299"/>
      <c r="V386" s="292"/>
      <c r="W386" s="309"/>
      <c r="X386" s="292"/>
      <c r="Y386" s="309"/>
      <c r="Z386" s="292"/>
      <c r="AA386" s="315"/>
      <c r="AB386" s="297"/>
      <c r="AC386" s="292"/>
      <c r="AD386" s="292"/>
      <c r="AE386" s="292"/>
      <c r="AF386" s="303"/>
      <c r="AG386" s="303"/>
      <c r="AH386" s="303"/>
      <c r="AI386" s="303"/>
    </row>
    <row r="387">
      <c r="A387" s="304"/>
      <c r="B387" s="299"/>
      <c r="C387" s="292"/>
      <c r="D387" s="293"/>
      <c r="E387" s="292"/>
      <c r="F387" s="293"/>
      <c r="G387" s="294"/>
      <c r="H387" s="295"/>
      <c r="I387" s="303"/>
      <c r="J387" s="303"/>
      <c r="K387" s="297"/>
      <c r="L387" s="303"/>
      <c r="M387" s="303"/>
      <c r="N387" s="297"/>
      <c r="O387" s="292"/>
      <c r="P387" s="303"/>
      <c r="Q387" s="298"/>
      <c r="R387" s="294"/>
      <c r="S387" s="297"/>
      <c r="T387" s="292"/>
      <c r="U387" s="299"/>
      <c r="V387" s="292"/>
      <c r="W387" s="309"/>
      <c r="X387" s="292"/>
      <c r="Y387" s="309"/>
      <c r="Z387" s="292"/>
      <c r="AA387" s="315"/>
      <c r="AB387" s="297"/>
      <c r="AC387" s="292"/>
      <c r="AD387" s="292"/>
      <c r="AE387" s="292"/>
      <c r="AF387" s="303"/>
      <c r="AG387" s="303"/>
      <c r="AH387" s="303"/>
      <c r="AI387" s="303"/>
    </row>
    <row r="388">
      <c r="A388" s="304"/>
      <c r="B388" s="299"/>
      <c r="C388" s="292"/>
      <c r="D388" s="293"/>
      <c r="E388" s="292"/>
      <c r="F388" s="293"/>
      <c r="G388" s="294"/>
      <c r="H388" s="295"/>
      <c r="I388" s="303"/>
      <c r="J388" s="303"/>
      <c r="K388" s="297"/>
      <c r="L388" s="303"/>
      <c r="M388" s="303"/>
      <c r="N388" s="297"/>
      <c r="O388" s="292"/>
      <c r="P388" s="303"/>
      <c r="Q388" s="298"/>
      <c r="R388" s="294"/>
      <c r="S388" s="297"/>
      <c r="T388" s="292"/>
      <c r="U388" s="299"/>
      <c r="V388" s="292"/>
      <c r="W388" s="309"/>
      <c r="X388" s="292"/>
      <c r="Y388" s="309"/>
      <c r="Z388" s="292"/>
      <c r="AA388" s="315"/>
      <c r="AB388" s="297"/>
      <c r="AC388" s="292"/>
      <c r="AD388" s="292"/>
      <c r="AE388" s="292"/>
      <c r="AF388" s="303"/>
      <c r="AG388" s="303"/>
      <c r="AH388" s="303"/>
      <c r="AI388" s="303"/>
    </row>
    <row r="389">
      <c r="A389" s="304"/>
      <c r="B389" s="299"/>
      <c r="C389" s="292"/>
      <c r="D389" s="293"/>
      <c r="E389" s="292"/>
      <c r="F389" s="293"/>
      <c r="G389" s="294"/>
      <c r="H389" s="295"/>
      <c r="I389" s="303"/>
      <c r="J389" s="303"/>
      <c r="K389" s="297"/>
      <c r="L389" s="303"/>
      <c r="M389" s="303"/>
      <c r="N389" s="297"/>
      <c r="O389" s="292"/>
      <c r="P389" s="303"/>
      <c r="Q389" s="298"/>
      <c r="R389" s="294"/>
      <c r="S389" s="297"/>
      <c r="T389" s="292"/>
      <c r="U389" s="299"/>
      <c r="V389" s="292"/>
      <c r="W389" s="309"/>
      <c r="X389" s="292"/>
      <c r="Y389" s="309"/>
      <c r="Z389" s="292"/>
      <c r="AA389" s="315"/>
      <c r="AB389" s="297"/>
      <c r="AC389" s="292"/>
      <c r="AD389" s="292"/>
      <c r="AE389" s="292"/>
      <c r="AF389" s="303"/>
      <c r="AG389" s="303"/>
      <c r="AH389" s="303"/>
      <c r="AI389" s="303"/>
    </row>
    <row r="390">
      <c r="A390" s="304"/>
      <c r="B390" s="299"/>
      <c r="C390" s="292"/>
      <c r="D390" s="293"/>
      <c r="E390" s="292"/>
      <c r="F390" s="293"/>
      <c r="G390" s="294"/>
      <c r="H390" s="295"/>
      <c r="I390" s="303"/>
      <c r="J390" s="303"/>
      <c r="K390" s="297"/>
      <c r="L390" s="303"/>
      <c r="M390" s="303"/>
      <c r="N390" s="297"/>
      <c r="O390" s="292"/>
      <c r="P390" s="303"/>
      <c r="Q390" s="298"/>
      <c r="R390" s="294"/>
      <c r="S390" s="297"/>
      <c r="T390" s="292"/>
      <c r="U390" s="299"/>
      <c r="V390" s="292"/>
      <c r="W390" s="309"/>
      <c r="X390" s="292"/>
      <c r="Y390" s="309"/>
      <c r="Z390" s="292"/>
      <c r="AA390" s="315"/>
      <c r="AB390" s="297"/>
      <c r="AC390" s="292"/>
      <c r="AD390" s="292"/>
      <c r="AE390" s="292"/>
      <c r="AF390" s="303"/>
      <c r="AG390" s="303"/>
      <c r="AH390" s="303"/>
      <c r="AI390" s="303"/>
    </row>
    <row r="391">
      <c r="A391" s="304"/>
      <c r="B391" s="299"/>
      <c r="C391" s="292"/>
      <c r="D391" s="293"/>
      <c r="E391" s="292"/>
      <c r="F391" s="293"/>
      <c r="G391" s="294"/>
      <c r="H391" s="295"/>
      <c r="I391" s="303"/>
      <c r="J391" s="303"/>
      <c r="K391" s="297"/>
      <c r="L391" s="303"/>
      <c r="M391" s="303"/>
      <c r="N391" s="297"/>
      <c r="O391" s="292"/>
      <c r="P391" s="303"/>
      <c r="Q391" s="298"/>
      <c r="R391" s="294"/>
      <c r="S391" s="297"/>
      <c r="T391" s="292"/>
      <c r="U391" s="299"/>
      <c r="V391" s="292"/>
      <c r="W391" s="309"/>
      <c r="X391" s="292"/>
      <c r="Y391" s="309"/>
      <c r="Z391" s="292"/>
      <c r="AA391" s="315"/>
      <c r="AB391" s="297"/>
      <c r="AC391" s="292"/>
      <c r="AD391" s="292"/>
      <c r="AE391" s="292"/>
      <c r="AF391" s="303"/>
      <c r="AG391" s="303"/>
      <c r="AH391" s="303"/>
      <c r="AI391" s="303"/>
    </row>
    <row r="392">
      <c r="A392" s="304"/>
      <c r="B392" s="299"/>
      <c r="C392" s="292"/>
      <c r="D392" s="293"/>
      <c r="E392" s="292"/>
      <c r="F392" s="293"/>
      <c r="G392" s="294"/>
      <c r="H392" s="295"/>
      <c r="I392" s="303"/>
      <c r="J392" s="303"/>
      <c r="K392" s="297"/>
      <c r="L392" s="303"/>
      <c r="M392" s="303"/>
      <c r="N392" s="297"/>
      <c r="O392" s="292"/>
      <c r="P392" s="303"/>
      <c r="Q392" s="298"/>
      <c r="R392" s="294"/>
      <c r="S392" s="297"/>
      <c r="T392" s="292"/>
      <c r="U392" s="299"/>
      <c r="V392" s="292"/>
      <c r="W392" s="309"/>
      <c r="X392" s="292"/>
      <c r="Y392" s="309"/>
      <c r="Z392" s="292"/>
      <c r="AA392" s="315"/>
      <c r="AB392" s="297"/>
      <c r="AC392" s="292"/>
      <c r="AD392" s="292"/>
      <c r="AE392" s="292"/>
      <c r="AF392" s="303"/>
      <c r="AG392" s="303"/>
      <c r="AH392" s="303"/>
      <c r="AI392" s="303"/>
    </row>
    <row r="393">
      <c r="A393" s="304"/>
      <c r="B393" s="299"/>
      <c r="C393" s="292"/>
      <c r="D393" s="293"/>
      <c r="E393" s="292"/>
      <c r="F393" s="293"/>
      <c r="G393" s="294"/>
      <c r="H393" s="295"/>
      <c r="I393" s="303"/>
      <c r="J393" s="303"/>
      <c r="K393" s="297"/>
      <c r="L393" s="303"/>
      <c r="M393" s="303"/>
      <c r="N393" s="297"/>
      <c r="O393" s="292"/>
      <c r="P393" s="303"/>
      <c r="Q393" s="298"/>
      <c r="R393" s="294"/>
      <c r="S393" s="297"/>
      <c r="T393" s="292"/>
      <c r="U393" s="299"/>
      <c r="V393" s="292"/>
      <c r="W393" s="309"/>
      <c r="X393" s="292"/>
      <c r="Y393" s="309"/>
      <c r="Z393" s="292"/>
      <c r="AA393" s="315"/>
      <c r="AB393" s="297"/>
      <c r="AC393" s="292"/>
      <c r="AD393" s="292"/>
      <c r="AE393" s="292"/>
      <c r="AF393" s="303"/>
      <c r="AG393" s="303"/>
      <c r="AH393" s="303"/>
      <c r="AI393" s="303"/>
    </row>
    <row r="394">
      <c r="A394" s="304"/>
      <c r="B394" s="299"/>
      <c r="C394" s="292"/>
      <c r="D394" s="293"/>
      <c r="E394" s="292"/>
      <c r="F394" s="293"/>
      <c r="G394" s="294"/>
      <c r="H394" s="295"/>
      <c r="I394" s="303"/>
      <c r="J394" s="303"/>
      <c r="K394" s="297"/>
      <c r="L394" s="303"/>
      <c r="M394" s="303"/>
      <c r="N394" s="297"/>
      <c r="O394" s="292"/>
      <c r="P394" s="303"/>
      <c r="Q394" s="298"/>
      <c r="R394" s="294"/>
      <c r="S394" s="297"/>
      <c r="T394" s="292"/>
      <c r="U394" s="299"/>
      <c r="V394" s="292"/>
      <c r="W394" s="309"/>
      <c r="X394" s="292"/>
      <c r="Y394" s="309"/>
      <c r="Z394" s="292"/>
      <c r="AA394" s="315"/>
      <c r="AB394" s="297"/>
      <c r="AC394" s="292"/>
      <c r="AD394" s="292"/>
      <c r="AE394" s="292"/>
      <c r="AF394" s="303"/>
      <c r="AG394" s="303"/>
      <c r="AH394" s="303"/>
      <c r="AI394" s="303"/>
    </row>
    <row r="395">
      <c r="A395" s="304"/>
      <c r="B395" s="299"/>
      <c r="C395" s="292"/>
      <c r="D395" s="293"/>
      <c r="E395" s="292"/>
      <c r="F395" s="293"/>
      <c r="G395" s="294"/>
      <c r="H395" s="295"/>
      <c r="I395" s="303"/>
      <c r="J395" s="303"/>
      <c r="K395" s="297"/>
      <c r="L395" s="303"/>
      <c r="M395" s="303"/>
      <c r="N395" s="297"/>
      <c r="O395" s="292"/>
      <c r="P395" s="303"/>
      <c r="Q395" s="298"/>
      <c r="R395" s="294"/>
      <c r="S395" s="297"/>
      <c r="T395" s="292"/>
      <c r="U395" s="299"/>
      <c r="V395" s="292"/>
      <c r="W395" s="309"/>
      <c r="X395" s="292"/>
      <c r="Y395" s="309"/>
      <c r="Z395" s="292"/>
      <c r="AA395" s="315"/>
      <c r="AB395" s="297"/>
      <c r="AC395" s="292"/>
      <c r="AD395" s="292"/>
      <c r="AE395" s="292"/>
      <c r="AF395" s="303"/>
      <c r="AG395" s="303"/>
      <c r="AH395" s="303"/>
      <c r="AI395" s="303"/>
    </row>
    <row r="396">
      <c r="A396" s="304"/>
      <c r="B396" s="299"/>
      <c r="C396" s="292"/>
      <c r="D396" s="293"/>
      <c r="E396" s="292"/>
      <c r="F396" s="293"/>
      <c r="G396" s="294"/>
      <c r="H396" s="295"/>
      <c r="I396" s="303"/>
      <c r="J396" s="303"/>
      <c r="K396" s="297"/>
      <c r="L396" s="303"/>
      <c r="M396" s="303"/>
      <c r="N396" s="297"/>
      <c r="O396" s="292"/>
      <c r="P396" s="303"/>
      <c r="Q396" s="298"/>
      <c r="R396" s="294"/>
      <c r="S396" s="297"/>
      <c r="T396" s="292"/>
      <c r="U396" s="299"/>
      <c r="V396" s="292"/>
      <c r="W396" s="309"/>
      <c r="X396" s="292"/>
      <c r="Y396" s="309"/>
      <c r="Z396" s="292"/>
      <c r="AA396" s="315"/>
      <c r="AB396" s="297"/>
      <c r="AC396" s="292"/>
      <c r="AD396" s="292"/>
      <c r="AE396" s="292"/>
      <c r="AF396" s="303"/>
      <c r="AG396" s="303"/>
      <c r="AH396" s="303"/>
      <c r="AI396" s="303"/>
    </row>
    <row r="397">
      <c r="A397" s="304"/>
      <c r="B397" s="299"/>
      <c r="C397" s="292"/>
      <c r="D397" s="293"/>
      <c r="E397" s="292"/>
      <c r="F397" s="293"/>
      <c r="G397" s="294"/>
      <c r="H397" s="295"/>
      <c r="I397" s="303"/>
      <c r="J397" s="303"/>
      <c r="K397" s="297"/>
      <c r="L397" s="303"/>
      <c r="M397" s="303"/>
      <c r="N397" s="297"/>
      <c r="O397" s="292"/>
      <c r="P397" s="303"/>
      <c r="Q397" s="298"/>
      <c r="R397" s="294"/>
      <c r="S397" s="297"/>
      <c r="T397" s="292"/>
      <c r="U397" s="299"/>
      <c r="V397" s="292"/>
      <c r="W397" s="309"/>
      <c r="X397" s="292"/>
      <c r="Y397" s="309"/>
      <c r="Z397" s="292"/>
      <c r="AA397" s="315"/>
      <c r="AB397" s="297"/>
      <c r="AC397" s="292"/>
      <c r="AD397" s="292"/>
      <c r="AE397" s="292"/>
      <c r="AF397" s="303"/>
      <c r="AG397" s="303"/>
      <c r="AH397" s="303"/>
      <c r="AI397" s="303"/>
    </row>
    <row r="398">
      <c r="A398" s="304"/>
      <c r="B398" s="299"/>
      <c r="C398" s="292"/>
      <c r="D398" s="293"/>
      <c r="E398" s="292"/>
      <c r="F398" s="293"/>
      <c r="G398" s="294"/>
      <c r="H398" s="295"/>
      <c r="I398" s="303"/>
      <c r="J398" s="303"/>
      <c r="K398" s="297"/>
      <c r="L398" s="303"/>
      <c r="M398" s="303"/>
      <c r="N398" s="297"/>
      <c r="O398" s="292"/>
      <c r="P398" s="303"/>
      <c r="Q398" s="298"/>
      <c r="R398" s="294"/>
      <c r="S398" s="297"/>
      <c r="T398" s="292"/>
      <c r="U398" s="299"/>
      <c r="V398" s="292"/>
      <c r="W398" s="309"/>
      <c r="X398" s="292"/>
      <c r="Y398" s="309"/>
      <c r="Z398" s="292"/>
      <c r="AA398" s="315"/>
      <c r="AB398" s="297"/>
      <c r="AC398" s="292"/>
      <c r="AD398" s="292"/>
      <c r="AE398" s="292"/>
      <c r="AF398" s="303"/>
      <c r="AG398" s="303"/>
      <c r="AH398" s="303"/>
      <c r="AI398" s="303"/>
    </row>
    <row r="399">
      <c r="A399" s="304"/>
      <c r="B399" s="299"/>
      <c r="C399" s="292"/>
      <c r="D399" s="293"/>
      <c r="E399" s="292"/>
      <c r="F399" s="293"/>
      <c r="G399" s="294"/>
      <c r="H399" s="295"/>
      <c r="I399" s="303"/>
      <c r="J399" s="303"/>
      <c r="K399" s="297"/>
      <c r="L399" s="303"/>
      <c r="M399" s="303"/>
      <c r="N399" s="297"/>
      <c r="O399" s="292"/>
      <c r="P399" s="303"/>
      <c r="Q399" s="298"/>
      <c r="R399" s="294"/>
      <c r="S399" s="297"/>
      <c r="T399" s="292"/>
      <c r="U399" s="299"/>
      <c r="V399" s="292"/>
      <c r="W399" s="309"/>
      <c r="X399" s="292"/>
      <c r="Y399" s="309"/>
      <c r="Z399" s="292"/>
      <c r="AA399" s="315"/>
      <c r="AB399" s="297"/>
      <c r="AC399" s="292"/>
      <c r="AD399" s="292"/>
      <c r="AE399" s="292"/>
      <c r="AF399" s="303"/>
      <c r="AG399" s="303"/>
      <c r="AH399" s="303"/>
      <c r="AI399" s="303"/>
    </row>
    <row r="400">
      <c r="A400" s="304"/>
      <c r="B400" s="299"/>
      <c r="C400" s="292"/>
      <c r="D400" s="293"/>
      <c r="E400" s="292"/>
      <c r="F400" s="293"/>
      <c r="G400" s="294"/>
      <c r="H400" s="295"/>
      <c r="I400" s="303"/>
      <c r="J400" s="303"/>
      <c r="K400" s="297"/>
      <c r="L400" s="303"/>
      <c r="M400" s="303"/>
      <c r="N400" s="297"/>
      <c r="O400" s="292"/>
      <c r="P400" s="303"/>
      <c r="Q400" s="298"/>
      <c r="R400" s="294"/>
      <c r="S400" s="297"/>
      <c r="T400" s="292"/>
      <c r="U400" s="299"/>
      <c r="V400" s="292"/>
      <c r="W400" s="309"/>
      <c r="X400" s="292"/>
      <c r="Y400" s="309"/>
      <c r="Z400" s="292"/>
      <c r="AA400" s="315"/>
      <c r="AB400" s="297"/>
      <c r="AC400" s="292"/>
      <c r="AD400" s="292"/>
      <c r="AE400" s="292"/>
      <c r="AF400" s="303"/>
      <c r="AG400" s="303"/>
      <c r="AH400" s="303"/>
      <c r="AI400" s="303"/>
    </row>
    <row r="401">
      <c r="A401" s="304"/>
      <c r="B401" s="299"/>
      <c r="C401" s="292"/>
      <c r="D401" s="293"/>
      <c r="E401" s="292"/>
      <c r="F401" s="293"/>
      <c r="G401" s="294"/>
      <c r="H401" s="295"/>
      <c r="I401" s="303"/>
      <c r="J401" s="303"/>
      <c r="K401" s="297"/>
      <c r="L401" s="303"/>
      <c r="M401" s="303"/>
      <c r="N401" s="297"/>
      <c r="O401" s="292"/>
      <c r="P401" s="303"/>
      <c r="Q401" s="298"/>
      <c r="R401" s="294"/>
      <c r="S401" s="297"/>
      <c r="T401" s="292"/>
      <c r="U401" s="299"/>
      <c r="V401" s="292"/>
      <c r="W401" s="309"/>
      <c r="X401" s="292"/>
      <c r="Y401" s="309"/>
      <c r="Z401" s="292"/>
      <c r="AA401" s="315"/>
      <c r="AB401" s="297"/>
      <c r="AC401" s="292"/>
      <c r="AD401" s="292"/>
      <c r="AE401" s="292"/>
      <c r="AF401" s="303"/>
      <c r="AG401" s="303"/>
      <c r="AH401" s="303"/>
      <c r="AI401" s="303"/>
    </row>
    <row r="402">
      <c r="A402" s="304"/>
      <c r="B402" s="299"/>
      <c r="C402" s="292"/>
      <c r="D402" s="293"/>
      <c r="E402" s="292"/>
      <c r="F402" s="293"/>
      <c r="G402" s="294"/>
      <c r="H402" s="295"/>
      <c r="I402" s="303"/>
      <c r="J402" s="303"/>
      <c r="K402" s="297"/>
      <c r="L402" s="303"/>
      <c r="M402" s="303"/>
      <c r="N402" s="297"/>
      <c r="O402" s="292"/>
      <c r="P402" s="303"/>
      <c r="Q402" s="298"/>
      <c r="R402" s="294"/>
      <c r="S402" s="297"/>
      <c r="T402" s="292"/>
      <c r="U402" s="299"/>
      <c r="V402" s="292"/>
      <c r="W402" s="309"/>
      <c r="X402" s="292"/>
      <c r="Y402" s="309"/>
      <c r="Z402" s="292"/>
      <c r="AA402" s="315"/>
      <c r="AB402" s="297"/>
      <c r="AC402" s="292"/>
      <c r="AD402" s="292"/>
      <c r="AE402" s="292"/>
      <c r="AF402" s="303"/>
      <c r="AG402" s="303"/>
      <c r="AH402" s="303"/>
      <c r="AI402" s="303"/>
    </row>
    <row r="403">
      <c r="A403" s="304"/>
      <c r="B403" s="299"/>
      <c r="C403" s="292"/>
      <c r="D403" s="293"/>
      <c r="E403" s="292"/>
      <c r="F403" s="293"/>
      <c r="G403" s="294"/>
      <c r="H403" s="295"/>
      <c r="I403" s="303"/>
      <c r="J403" s="303"/>
      <c r="K403" s="297"/>
      <c r="L403" s="303"/>
      <c r="M403" s="303"/>
      <c r="N403" s="297"/>
      <c r="O403" s="292"/>
      <c r="P403" s="303"/>
      <c r="Q403" s="298"/>
      <c r="R403" s="294"/>
      <c r="S403" s="297"/>
      <c r="T403" s="292"/>
      <c r="U403" s="299"/>
      <c r="V403" s="292"/>
      <c r="W403" s="309"/>
      <c r="X403" s="292"/>
      <c r="Y403" s="309"/>
      <c r="Z403" s="292"/>
      <c r="AA403" s="315"/>
      <c r="AB403" s="297"/>
      <c r="AC403" s="292"/>
      <c r="AD403" s="292"/>
      <c r="AE403" s="292"/>
      <c r="AF403" s="303"/>
      <c r="AG403" s="303"/>
      <c r="AH403" s="303"/>
      <c r="AI403" s="303"/>
    </row>
    <row r="404">
      <c r="A404" s="304"/>
      <c r="B404" s="299"/>
      <c r="C404" s="292"/>
      <c r="D404" s="293"/>
      <c r="E404" s="292"/>
      <c r="F404" s="293"/>
      <c r="G404" s="294"/>
      <c r="H404" s="295"/>
      <c r="I404" s="303"/>
      <c r="J404" s="303"/>
      <c r="K404" s="297"/>
      <c r="L404" s="303"/>
      <c r="M404" s="303"/>
      <c r="N404" s="297"/>
      <c r="O404" s="292"/>
      <c r="P404" s="303"/>
      <c r="Q404" s="298"/>
      <c r="R404" s="294"/>
      <c r="S404" s="297"/>
      <c r="T404" s="292"/>
      <c r="U404" s="299"/>
      <c r="V404" s="292"/>
      <c r="W404" s="309"/>
      <c r="X404" s="292"/>
      <c r="Y404" s="309"/>
      <c r="Z404" s="292"/>
      <c r="AA404" s="315"/>
      <c r="AB404" s="297"/>
      <c r="AC404" s="292"/>
      <c r="AD404" s="292"/>
      <c r="AE404" s="292"/>
      <c r="AF404" s="303"/>
      <c r="AG404" s="303"/>
      <c r="AH404" s="303"/>
      <c r="AI404" s="303"/>
    </row>
    <row r="405">
      <c r="A405" s="304"/>
      <c r="B405" s="299"/>
      <c r="C405" s="292"/>
      <c r="D405" s="293"/>
      <c r="E405" s="292"/>
      <c r="F405" s="293"/>
      <c r="G405" s="294"/>
      <c r="H405" s="295"/>
      <c r="I405" s="303"/>
      <c r="J405" s="303"/>
      <c r="K405" s="297"/>
      <c r="L405" s="303"/>
      <c r="M405" s="303"/>
      <c r="N405" s="297"/>
      <c r="O405" s="292"/>
      <c r="P405" s="303"/>
      <c r="Q405" s="298"/>
      <c r="R405" s="294"/>
      <c r="S405" s="297"/>
      <c r="T405" s="292"/>
      <c r="U405" s="299"/>
      <c r="V405" s="292"/>
      <c r="W405" s="309"/>
      <c r="X405" s="292"/>
      <c r="Y405" s="309"/>
      <c r="Z405" s="292"/>
      <c r="AA405" s="315"/>
      <c r="AB405" s="297"/>
      <c r="AC405" s="292"/>
      <c r="AD405" s="292"/>
      <c r="AE405" s="292"/>
      <c r="AF405" s="303"/>
      <c r="AG405" s="303"/>
      <c r="AH405" s="303"/>
      <c r="AI405" s="303"/>
    </row>
    <row r="406">
      <c r="A406" s="304"/>
      <c r="B406" s="299"/>
      <c r="C406" s="292"/>
      <c r="D406" s="293"/>
      <c r="E406" s="292"/>
      <c r="F406" s="293"/>
      <c r="G406" s="294"/>
      <c r="H406" s="295"/>
      <c r="I406" s="303"/>
      <c r="J406" s="303"/>
      <c r="K406" s="297"/>
      <c r="L406" s="303"/>
      <c r="M406" s="303"/>
      <c r="N406" s="297"/>
      <c r="O406" s="292"/>
      <c r="P406" s="303"/>
      <c r="Q406" s="298"/>
      <c r="R406" s="294"/>
      <c r="S406" s="297"/>
      <c r="T406" s="292"/>
      <c r="U406" s="299"/>
      <c r="V406" s="292"/>
      <c r="W406" s="309"/>
      <c r="X406" s="292"/>
      <c r="Y406" s="309"/>
      <c r="Z406" s="292"/>
      <c r="AA406" s="315"/>
      <c r="AB406" s="297"/>
      <c r="AC406" s="292"/>
      <c r="AD406" s="292"/>
      <c r="AE406" s="292"/>
      <c r="AF406" s="303"/>
      <c r="AG406" s="303"/>
      <c r="AH406" s="303"/>
      <c r="AI406" s="303"/>
    </row>
    <row r="407">
      <c r="A407" s="304"/>
      <c r="B407" s="299"/>
      <c r="C407" s="292"/>
      <c r="D407" s="293"/>
      <c r="E407" s="292"/>
      <c r="F407" s="293"/>
      <c r="G407" s="294"/>
      <c r="H407" s="295"/>
      <c r="I407" s="303"/>
      <c r="J407" s="303"/>
      <c r="K407" s="297"/>
      <c r="L407" s="303"/>
      <c r="M407" s="303"/>
      <c r="N407" s="297"/>
      <c r="O407" s="292"/>
      <c r="P407" s="303"/>
      <c r="Q407" s="298"/>
      <c r="R407" s="294"/>
      <c r="S407" s="297"/>
      <c r="T407" s="292"/>
      <c r="U407" s="299"/>
      <c r="V407" s="292"/>
      <c r="W407" s="309"/>
      <c r="X407" s="292"/>
      <c r="Y407" s="309"/>
      <c r="Z407" s="292"/>
      <c r="AA407" s="315"/>
      <c r="AB407" s="297"/>
      <c r="AC407" s="292"/>
      <c r="AD407" s="292"/>
      <c r="AE407" s="292"/>
      <c r="AF407" s="303"/>
      <c r="AG407" s="303"/>
      <c r="AH407" s="303"/>
      <c r="AI407" s="303"/>
    </row>
    <row r="408">
      <c r="A408" s="304"/>
      <c r="B408" s="299"/>
      <c r="C408" s="292"/>
      <c r="D408" s="293"/>
      <c r="E408" s="292"/>
      <c r="F408" s="293"/>
      <c r="G408" s="294"/>
      <c r="H408" s="295"/>
      <c r="I408" s="303"/>
      <c r="J408" s="303"/>
      <c r="K408" s="297"/>
      <c r="L408" s="303"/>
      <c r="M408" s="303"/>
      <c r="N408" s="297"/>
      <c r="O408" s="292"/>
      <c r="P408" s="303"/>
      <c r="Q408" s="298"/>
      <c r="R408" s="294"/>
      <c r="S408" s="297"/>
      <c r="T408" s="292"/>
      <c r="U408" s="299"/>
      <c r="V408" s="292"/>
      <c r="W408" s="309"/>
      <c r="X408" s="292"/>
      <c r="Y408" s="309"/>
      <c r="Z408" s="292"/>
      <c r="AA408" s="315"/>
      <c r="AB408" s="297"/>
      <c r="AC408" s="292"/>
      <c r="AD408" s="292"/>
      <c r="AE408" s="292"/>
      <c r="AF408" s="303"/>
      <c r="AG408" s="303"/>
      <c r="AH408" s="303"/>
      <c r="AI408" s="303"/>
    </row>
    <row r="409">
      <c r="A409" s="304"/>
      <c r="B409" s="299"/>
      <c r="C409" s="292"/>
      <c r="D409" s="293"/>
      <c r="E409" s="292"/>
      <c r="F409" s="293"/>
      <c r="G409" s="294"/>
      <c r="H409" s="295"/>
      <c r="I409" s="303"/>
      <c r="J409" s="303"/>
      <c r="K409" s="297"/>
      <c r="L409" s="303"/>
      <c r="M409" s="303"/>
      <c r="N409" s="297"/>
      <c r="O409" s="292"/>
      <c r="P409" s="303"/>
      <c r="Q409" s="298"/>
      <c r="R409" s="294"/>
      <c r="S409" s="297"/>
      <c r="T409" s="292"/>
      <c r="U409" s="299"/>
      <c r="V409" s="292"/>
      <c r="W409" s="309"/>
      <c r="X409" s="292"/>
      <c r="Y409" s="309"/>
      <c r="Z409" s="292"/>
      <c r="AA409" s="315"/>
      <c r="AB409" s="297"/>
      <c r="AC409" s="292"/>
      <c r="AD409" s="292"/>
      <c r="AE409" s="292"/>
      <c r="AF409" s="303"/>
      <c r="AG409" s="303"/>
      <c r="AH409" s="303"/>
      <c r="AI409" s="303"/>
    </row>
    <row r="410">
      <c r="A410" s="304"/>
      <c r="B410" s="299"/>
      <c r="C410" s="292"/>
      <c r="D410" s="293"/>
      <c r="E410" s="292"/>
      <c r="F410" s="293"/>
      <c r="G410" s="294"/>
      <c r="H410" s="295"/>
      <c r="I410" s="303"/>
      <c r="J410" s="303"/>
      <c r="K410" s="297"/>
      <c r="L410" s="303"/>
      <c r="M410" s="303"/>
      <c r="N410" s="297"/>
      <c r="O410" s="292"/>
      <c r="P410" s="303"/>
      <c r="Q410" s="298"/>
      <c r="R410" s="294"/>
      <c r="S410" s="297"/>
      <c r="T410" s="292"/>
      <c r="U410" s="299"/>
      <c r="V410" s="292"/>
      <c r="W410" s="309"/>
      <c r="X410" s="292"/>
      <c r="Y410" s="309"/>
      <c r="Z410" s="292"/>
      <c r="AA410" s="315"/>
      <c r="AB410" s="297"/>
      <c r="AC410" s="292"/>
      <c r="AD410" s="292"/>
      <c r="AE410" s="292"/>
      <c r="AF410" s="303"/>
      <c r="AG410" s="303"/>
      <c r="AH410" s="303"/>
      <c r="AI410" s="303"/>
    </row>
    <row r="411">
      <c r="A411" s="304"/>
      <c r="B411" s="299"/>
      <c r="C411" s="292"/>
      <c r="D411" s="293"/>
      <c r="E411" s="292"/>
      <c r="F411" s="293"/>
      <c r="G411" s="294"/>
      <c r="H411" s="295"/>
      <c r="I411" s="303"/>
      <c r="J411" s="303"/>
      <c r="K411" s="297"/>
      <c r="L411" s="303"/>
      <c r="M411" s="303"/>
      <c r="N411" s="297"/>
      <c r="O411" s="292"/>
      <c r="P411" s="303"/>
      <c r="Q411" s="298"/>
      <c r="R411" s="294"/>
      <c r="S411" s="297"/>
      <c r="T411" s="292"/>
      <c r="U411" s="299"/>
      <c r="V411" s="292"/>
      <c r="W411" s="309"/>
      <c r="X411" s="292"/>
      <c r="Y411" s="309"/>
      <c r="Z411" s="292"/>
      <c r="AA411" s="315"/>
      <c r="AB411" s="297"/>
      <c r="AC411" s="292"/>
      <c r="AD411" s="292"/>
      <c r="AE411" s="292"/>
      <c r="AF411" s="303"/>
      <c r="AG411" s="303"/>
      <c r="AH411" s="303"/>
      <c r="AI411" s="303"/>
    </row>
    <row r="412">
      <c r="A412" s="304"/>
      <c r="B412" s="299"/>
      <c r="C412" s="292"/>
      <c r="D412" s="293"/>
      <c r="E412" s="292"/>
      <c r="F412" s="293"/>
      <c r="G412" s="294"/>
      <c r="H412" s="295"/>
      <c r="I412" s="303"/>
      <c r="J412" s="303"/>
      <c r="K412" s="297"/>
      <c r="L412" s="303"/>
      <c r="M412" s="303"/>
      <c r="N412" s="297"/>
      <c r="O412" s="292"/>
      <c r="P412" s="303"/>
      <c r="Q412" s="298"/>
      <c r="R412" s="294"/>
      <c r="S412" s="297"/>
      <c r="T412" s="292"/>
      <c r="U412" s="299"/>
      <c r="V412" s="292"/>
      <c r="W412" s="309"/>
      <c r="X412" s="292"/>
      <c r="Y412" s="309"/>
      <c r="Z412" s="292"/>
      <c r="AA412" s="315"/>
      <c r="AB412" s="297"/>
      <c r="AC412" s="292"/>
      <c r="AD412" s="292"/>
      <c r="AE412" s="292"/>
      <c r="AF412" s="303"/>
      <c r="AG412" s="303"/>
      <c r="AH412" s="303"/>
      <c r="AI412" s="303"/>
    </row>
    <row r="413">
      <c r="A413" s="304"/>
      <c r="B413" s="299"/>
      <c r="C413" s="292"/>
      <c r="D413" s="293"/>
      <c r="E413" s="292"/>
      <c r="F413" s="293"/>
      <c r="G413" s="294"/>
      <c r="H413" s="295"/>
      <c r="I413" s="303"/>
      <c r="J413" s="303"/>
      <c r="K413" s="297"/>
      <c r="L413" s="303"/>
      <c r="M413" s="303"/>
      <c r="N413" s="297"/>
      <c r="O413" s="292"/>
      <c r="P413" s="303"/>
      <c r="Q413" s="298"/>
      <c r="R413" s="294"/>
      <c r="S413" s="297"/>
      <c r="T413" s="292"/>
      <c r="U413" s="299"/>
      <c r="V413" s="292"/>
      <c r="W413" s="309"/>
      <c r="X413" s="292"/>
      <c r="Y413" s="309"/>
      <c r="Z413" s="292"/>
      <c r="AA413" s="315"/>
      <c r="AB413" s="297"/>
      <c r="AC413" s="292"/>
      <c r="AD413" s="292"/>
      <c r="AE413" s="292"/>
      <c r="AF413" s="303"/>
      <c r="AG413" s="303"/>
      <c r="AH413" s="303"/>
      <c r="AI413" s="303"/>
    </row>
    <row r="414">
      <c r="A414" s="304"/>
      <c r="B414" s="299"/>
      <c r="C414" s="292"/>
      <c r="D414" s="293"/>
      <c r="E414" s="292"/>
      <c r="F414" s="293"/>
      <c r="G414" s="294"/>
      <c r="H414" s="295"/>
      <c r="I414" s="303"/>
      <c r="J414" s="303"/>
      <c r="K414" s="297"/>
      <c r="L414" s="303"/>
      <c r="M414" s="303"/>
      <c r="N414" s="297"/>
      <c r="O414" s="292"/>
      <c r="P414" s="303"/>
      <c r="Q414" s="298"/>
      <c r="R414" s="294"/>
      <c r="S414" s="297"/>
      <c r="T414" s="292"/>
      <c r="U414" s="299"/>
      <c r="V414" s="292"/>
      <c r="W414" s="309"/>
      <c r="X414" s="292"/>
      <c r="Y414" s="309"/>
      <c r="Z414" s="292"/>
      <c r="AA414" s="315"/>
      <c r="AB414" s="297"/>
      <c r="AC414" s="292"/>
      <c r="AD414" s="292"/>
      <c r="AE414" s="292"/>
      <c r="AF414" s="303"/>
      <c r="AG414" s="303"/>
      <c r="AH414" s="303"/>
      <c r="AI414" s="303"/>
    </row>
    <row r="415">
      <c r="A415" s="304"/>
      <c r="B415" s="299"/>
      <c r="C415" s="292"/>
      <c r="D415" s="293"/>
      <c r="E415" s="292"/>
      <c r="F415" s="293"/>
      <c r="G415" s="294"/>
      <c r="H415" s="295"/>
      <c r="I415" s="303"/>
      <c r="J415" s="303"/>
      <c r="K415" s="297"/>
      <c r="L415" s="303"/>
      <c r="M415" s="303"/>
      <c r="N415" s="297"/>
      <c r="O415" s="292"/>
      <c r="P415" s="303"/>
      <c r="Q415" s="298"/>
      <c r="R415" s="294"/>
      <c r="S415" s="297"/>
      <c r="T415" s="292"/>
      <c r="U415" s="299"/>
      <c r="V415" s="292"/>
      <c r="W415" s="309"/>
      <c r="X415" s="292"/>
      <c r="Y415" s="309"/>
      <c r="Z415" s="292"/>
      <c r="AA415" s="315"/>
      <c r="AB415" s="297"/>
      <c r="AC415" s="292"/>
      <c r="AD415" s="292"/>
      <c r="AE415" s="292"/>
      <c r="AF415" s="303"/>
      <c r="AG415" s="303"/>
      <c r="AH415" s="303"/>
      <c r="AI415" s="303"/>
    </row>
    <row r="416">
      <c r="A416" s="304"/>
      <c r="B416" s="299"/>
      <c r="C416" s="292"/>
      <c r="D416" s="293"/>
      <c r="E416" s="292"/>
      <c r="F416" s="293"/>
      <c r="G416" s="294"/>
      <c r="H416" s="295"/>
      <c r="I416" s="303"/>
      <c r="J416" s="303"/>
      <c r="K416" s="297"/>
      <c r="L416" s="303"/>
      <c r="M416" s="303"/>
      <c r="N416" s="297"/>
      <c r="O416" s="292"/>
      <c r="P416" s="303"/>
      <c r="Q416" s="298"/>
      <c r="R416" s="294"/>
      <c r="S416" s="297"/>
      <c r="T416" s="292"/>
      <c r="U416" s="299"/>
      <c r="V416" s="292"/>
      <c r="W416" s="309"/>
      <c r="X416" s="292"/>
      <c r="Y416" s="309"/>
      <c r="Z416" s="292"/>
      <c r="AA416" s="315"/>
      <c r="AB416" s="297"/>
      <c r="AC416" s="292"/>
      <c r="AD416" s="292"/>
      <c r="AE416" s="292"/>
      <c r="AF416" s="303"/>
      <c r="AG416" s="303"/>
      <c r="AH416" s="303"/>
      <c r="AI416" s="303"/>
    </row>
    <row r="417">
      <c r="A417" s="304"/>
      <c r="B417" s="299"/>
      <c r="C417" s="292"/>
      <c r="D417" s="293"/>
      <c r="E417" s="292"/>
      <c r="F417" s="293"/>
      <c r="G417" s="294"/>
      <c r="H417" s="295"/>
      <c r="I417" s="303"/>
      <c r="J417" s="303"/>
      <c r="K417" s="297"/>
      <c r="L417" s="303"/>
      <c r="M417" s="303"/>
      <c r="N417" s="297"/>
      <c r="O417" s="292"/>
      <c r="P417" s="303"/>
      <c r="Q417" s="298"/>
      <c r="R417" s="294"/>
      <c r="S417" s="297"/>
      <c r="T417" s="292"/>
      <c r="U417" s="299"/>
      <c r="V417" s="292"/>
      <c r="W417" s="309"/>
      <c r="X417" s="292"/>
      <c r="Y417" s="309"/>
      <c r="Z417" s="292"/>
      <c r="AA417" s="315"/>
      <c r="AB417" s="297"/>
      <c r="AC417" s="292"/>
      <c r="AD417" s="292"/>
      <c r="AE417" s="292"/>
      <c r="AF417" s="303"/>
      <c r="AG417" s="303"/>
      <c r="AH417" s="303"/>
      <c r="AI417" s="303"/>
    </row>
    <row r="418">
      <c r="A418" s="304"/>
      <c r="B418" s="299"/>
      <c r="C418" s="292"/>
      <c r="D418" s="293"/>
      <c r="E418" s="292"/>
      <c r="F418" s="293"/>
      <c r="G418" s="294"/>
      <c r="H418" s="295"/>
      <c r="I418" s="303"/>
      <c r="J418" s="303"/>
      <c r="K418" s="297"/>
      <c r="L418" s="303"/>
      <c r="M418" s="303"/>
      <c r="N418" s="297"/>
      <c r="O418" s="292"/>
      <c r="P418" s="303"/>
      <c r="Q418" s="298"/>
      <c r="R418" s="294"/>
      <c r="S418" s="297"/>
      <c r="T418" s="292"/>
      <c r="U418" s="299"/>
      <c r="V418" s="292"/>
      <c r="W418" s="309"/>
      <c r="X418" s="292"/>
      <c r="Y418" s="309"/>
      <c r="Z418" s="292"/>
      <c r="AA418" s="315"/>
      <c r="AB418" s="297"/>
      <c r="AC418" s="292"/>
      <c r="AD418" s="292"/>
      <c r="AE418" s="292"/>
      <c r="AF418" s="303"/>
      <c r="AG418" s="303"/>
      <c r="AH418" s="303"/>
      <c r="AI418" s="303"/>
    </row>
    <row r="419">
      <c r="A419" s="304"/>
      <c r="B419" s="299"/>
      <c r="C419" s="292"/>
      <c r="D419" s="293"/>
      <c r="E419" s="292"/>
      <c r="F419" s="293"/>
      <c r="G419" s="294"/>
      <c r="H419" s="295"/>
      <c r="I419" s="303"/>
      <c r="J419" s="303"/>
      <c r="K419" s="297"/>
      <c r="L419" s="303"/>
      <c r="M419" s="303"/>
      <c r="N419" s="297"/>
      <c r="O419" s="292"/>
      <c r="P419" s="303"/>
      <c r="Q419" s="298"/>
      <c r="R419" s="294"/>
      <c r="S419" s="297"/>
      <c r="T419" s="292"/>
      <c r="U419" s="299"/>
      <c r="V419" s="292"/>
      <c r="W419" s="309"/>
      <c r="X419" s="292"/>
      <c r="Y419" s="309"/>
      <c r="Z419" s="292"/>
      <c r="AA419" s="315"/>
      <c r="AB419" s="297"/>
      <c r="AC419" s="292"/>
      <c r="AD419" s="292"/>
      <c r="AE419" s="292"/>
      <c r="AF419" s="303"/>
      <c r="AG419" s="303"/>
      <c r="AH419" s="303"/>
      <c r="AI419" s="303"/>
    </row>
    <row r="420">
      <c r="A420" s="304"/>
      <c r="B420" s="299"/>
      <c r="C420" s="292"/>
      <c r="D420" s="293"/>
      <c r="E420" s="292"/>
      <c r="F420" s="293"/>
      <c r="G420" s="294"/>
      <c r="H420" s="295"/>
      <c r="I420" s="303"/>
      <c r="J420" s="303"/>
      <c r="K420" s="297"/>
      <c r="L420" s="303"/>
      <c r="M420" s="303"/>
      <c r="N420" s="297"/>
      <c r="O420" s="292"/>
      <c r="P420" s="303"/>
      <c r="Q420" s="298"/>
      <c r="R420" s="294"/>
      <c r="S420" s="297"/>
      <c r="T420" s="292"/>
      <c r="U420" s="299"/>
      <c r="V420" s="292"/>
      <c r="W420" s="309"/>
      <c r="X420" s="292"/>
      <c r="Y420" s="309"/>
      <c r="Z420" s="292"/>
      <c r="AA420" s="315"/>
      <c r="AB420" s="297"/>
      <c r="AC420" s="292"/>
      <c r="AD420" s="292"/>
      <c r="AE420" s="292"/>
      <c r="AF420" s="303"/>
      <c r="AG420" s="303"/>
      <c r="AH420" s="303"/>
      <c r="AI420" s="303"/>
    </row>
    <row r="421">
      <c r="A421" s="304"/>
      <c r="B421" s="299"/>
      <c r="C421" s="292"/>
      <c r="D421" s="293"/>
      <c r="E421" s="292"/>
      <c r="F421" s="293"/>
      <c r="G421" s="294"/>
      <c r="H421" s="295"/>
      <c r="I421" s="303"/>
      <c r="J421" s="303"/>
      <c r="K421" s="297"/>
      <c r="L421" s="303"/>
      <c r="M421" s="303"/>
      <c r="N421" s="297"/>
      <c r="O421" s="292"/>
      <c r="P421" s="303"/>
      <c r="Q421" s="298"/>
      <c r="R421" s="294"/>
      <c r="S421" s="297"/>
      <c r="T421" s="292"/>
      <c r="U421" s="299"/>
      <c r="V421" s="292"/>
      <c r="W421" s="309"/>
      <c r="X421" s="292"/>
      <c r="Y421" s="309"/>
      <c r="Z421" s="292"/>
      <c r="AA421" s="315"/>
      <c r="AB421" s="297"/>
      <c r="AC421" s="292"/>
      <c r="AD421" s="292"/>
      <c r="AE421" s="292"/>
      <c r="AF421" s="303"/>
      <c r="AG421" s="303"/>
      <c r="AH421" s="303"/>
      <c r="AI421" s="303"/>
    </row>
    <row r="422">
      <c r="A422" s="304"/>
      <c r="B422" s="299"/>
      <c r="C422" s="292"/>
      <c r="D422" s="293"/>
      <c r="E422" s="292"/>
      <c r="F422" s="293"/>
      <c r="G422" s="294"/>
      <c r="H422" s="295"/>
      <c r="I422" s="303"/>
      <c r="J422" s="303"/>
      <c r="K422" s="297"/>
      <c r="L422" s="303"/>
      <c r="M422" s="303"/>
      <c r="N422" s="297"/>
      <c r="O422" s="292"/>
      <c r="P422" s="303"/>
      <c r="Q422" s="298"/>
      <c r="R422" s="294"/>
      <c r="S422" s="297"/>
      <c r="T422" s="292"/>
      <c r="U422" s="299"/>
      <c r="V422" s="292"/>
      <c r="W422" s="309"/>
      <c r="X422" s="292"/>
      <c r="Y422" s="309"/>
      <c r="Z422" s="292"/>
      <c r="AA422" s="315"/>
      <c r="AB422" s="297"/>
      <c r="AC422" s="292"/>
      <c r="AD422" s="292"/>
      <c r="AE422" s="292"/>
      <c r="AF422" s="303"/>
      <c r="AG422" s="303"/>
      <c r="AH422" s="303"/>
      <c r="AI422" s="303"/>
    </row>
    <row r="423">
      <c r="A423" s="304"/>
      <c r="B423" s="299"/>
      <c r="C423" s="292"/>
      <c r="D423" s="293"/>
      <c r="E423" s="292"/>
      <c r="F423" s="293"/>
      <c r="G423" s="294"/>
      <c r="H423" s="295"/>
      <c r="I423" s="303"/>
      <c r="J423" s="303"/>
      <c r="K423" s="297"/>
      <c r="L423" s="303"/>
      <c r="M423" s="303"/>
      <c r="N423" s="297"/>
      <c r="O423" s="292"/>
      <c r="P423" s="303"/>
      <c r="Q423" s="298"/>
      <c r="R423" s="294"/>
      <c r="S423" s="297"/>
      <c r="T423" s="292"/>
      <c r="U423" s="299"/>
      <c r="V423" s="292"/>
      <c r="W423" s="309"/>
      <c r="X423" s="292"/>
      <c r="Y423" s="309"/>
      <c r="Z423" s="292"/>
      <c r="AA423" s="315"/>
      <c r="AB423" s="297"/>
      <c r="AC423" s="292"/>
      <c r="AD423" s="292"/>
      <c r="AE423" s="292"/>
      <c r="AF423" s="303"/>
      <c r="AG423" s="303"/>
      <c r="AH423" s="303"/>
      <c r="AI423" s="303"/>
    </row>
    <row r="424">
      <c r="A424" s="304"/>
      <c r="B424" s="299"/>
      <c r="C424" s="292"/>
      <c r="D424" s="293"/>
      <c r="E424" s="292"/>
      <c r="F424" s="293"/>
      <c r="G424" s="294"/>
      <c r="H424" s="295"/>
      <c r="I424" s="303"/>
      <c r="J424" s="303"/>
      <c r="K424" s="297"/>
      <c r="L424" s="303"/>
      <c r="M424" s="303"/>
      <c r="N424" s="297"/>
      <c r="O424" s="292"/>
      <c r="P424" s="303"/>
      <c r="Q424" s="298"/>
      <c r="R424" s="294"/>
      <c r="S424" s="297"/>
      <c r="T424" s="292"/>
      <c r="U424" s="299"/>
      <c r="V424" s="292"/>
      <c r="W424" s="309"/>
      <c r="X424" s="292"/>
      <c r="Y424" s="309"/>
      <c r="Z424" s="292"/>
      <c r="AA424" s="315"/>
      <c r="AB424" s="297"/>
      <c r="AC424" s="292"/>
      <c r="AD424" s="292"/>
      <c r="AE424" s="292"/>
      <c r="AF424" s="303"/>
      <c r="AG424" s="303"/>
      <c r="AH424" s="303"/>
      <c r="AI424" s="303"/>
    </row>
    <row r="425">
      <c r="A425" s="304"/>
      <c r="B425" s="299"/>
      <c r="C425" s="292"/>
      <c r="D425" s="293"/>
      <c r="E425" s="292"/>
      <c r="F425" s="293"/>
      <c r="G425" s="294"/>
      <c r="H425" s="295"/>
      <c r="I425" s="303"/>
      <c r="J425" s="303"/>
      <c r="K425" s="297"/>
      <c r="L425" s="303"/>
      <c r="M425" s="303"/>
      <c r="N425" s="297"/>
      <c r="O425" s="292"/>
      <c r="P425" s="303"/>
      <c r="Q425" s="298"/>
      <c r="R425" s="294"/>
      <c r="S425" s="297"/>
      <c r="T425" s="292"/>
      <c r="U425" s="299"/>
      <c r="V425" s="292"/>
      <c r="W425" s="309"/>
      <c r="X425" s="292"/>
      <c r="Y425" s="309"/>
      <c r="Z425" s="292"/>
      <c r="AA425" s="315"/>
      <c r="AB425" s="297"/>
      <c r="AC425" s="292"/>
      <c r="AD425" s="292"/>
      <c r="AE425" s="292"/>
      <c r="AF425" s="303"/>
      <c r="AG425" s="303"/>
      <c r="AH425" s="303"/>
      <c r="AI425" s="303"/>
    </row>
    <row r="426">
      <c r="A426" s="304"/>
      <c r="B426" s="299"/>
      <c r="C426" s="292"/>
      <c r="D426" s="293"/>
      <c r="E426" s="292"/>
      <c r="F426" s="293"/>
      <c r="G426" s="294"/>
      <c r="H426" s="295"/>
      <c r="I426" s="303"/>
      <c r="J426" s="303"/>
      <c r="K426" s="297"/>
      <c r="L426" s="303"/>
      <c r="M426" s="303"/>
      <c r="N426" s="297"/>
      <c r="O426" s="292"/>
      <c r="P426" s="303"/>
      <c r="Q426" s="298"/>
      <c r="R426" s="294"/>
      <c r="S426" s="297"/>
      <c r="T426" s="292"/>
      <c r="U426" s="299"/>
      <c r="V426" s="292"/>
      <c r="W426" s="309"/>
      <c r="X426" s="292"/>
      <c r="Y426" s="309"/>
      <c r="Z426" s="292"/>
      <c r="AA426" s="315"/>
      <c r="AB426" s="297"/>
      <c r="AC426" s="292"/>
      <c r="AD426" s="292"/>
      <c r="AE426" s="292"/>
      <c r="AF426" s="303"/>
      <c r="AG426" s="303"/>
      <c r="AH426" s="303"/>
      <c r="AI426" s="303"/>
    </row>
    <row r="427">
      <c r="A427" s="304"/>
      <c r="B427" s="299"/>
      <c r="C427" s="292"/>
      <c r="D427" s="293"/>
      <c r="E427" s="292"/>
      <c r="F427" s="293"/>
      <c r="G427" s="294"/>
      <c r="H427" s="295"/>
      <c r="I427" s="303"/>
      <c r="J427" s="303"/>
      <c r="K427" s="297"/>
      <c r="L427" s="303"/>
      <c r="M427" s="303"/>
      <c r="N427" s="297"/>
      <c r="O427" s="292"/>
      <c r="P427" s="303"/>
      <c r="Q427" s="298"/>
      <c r="R427" s="294"/>
      <c r="S427" s="297"/>
      <c r="T427" s="292"/>
      <c r="U427" s="299"/>
      <c r="V427" s="292"/>
      <c r="W427" s="309"/>
      <c r="X427" s="292"/>
      <c r="Y427" s="309"/>
      <c r="Z427" s="292"/>
      <c r="AA427" s="315"/>
      <c r="AB427" s="297"/>
      <c r="AC427" s="292"/>
      <c r="AD427" s="292"/>
      <c r="AE427" s="292"/>
      <c r="AF427" s="303"/>
      <c r="AG427" s="303"/>
      <c r="AH427" s="303"/>
      <c r="AI427" s="303"/>
    </row>
    <row r="428">
      <c r="A428" s="304"/>
      <c r="B428" s="299"/>
      <c r="C428" s="292"/>
      <c r="D428" s="293"/>
      <c r="E428" s="292"/>
      <c r="F428" s="293"/>
      <c r="G428" s="294"/>
      <c r="H428" s="295"/>
      <c r="I428" s="303"/>
      <c r="J428" s="303"/>
      <c r="K428" s="297"/>
      <c r="L428" s="303"/>
      <c r="M428" s="303"/>
      <c r="N428" s="297"/>
      <c r="O428" s="292"/>
      <c r="P428" s="303"/>
      <c r="Q428" s="298"/>
      <c r="R428" s="294"/>
      <c r="S428" s="297"/>
      <c r="T428" s="292"/>
      <c r="U428" s="299"/>
      <c r="V428" s="292"/>
      <c r="W428" s="309"/>
      <c r="X428" s="292"/>
      <c r="Y428" s="309"/>
      <c r="Z428" s="292"/>
      <c r="AA428" s="315"/>
      <c r="AB428" s="297"/>
      <c r="AC428" s="292"/>
      <c r="AD428" s="292"/>
      <c r="AE428" s="292"/>
      <c r="AF428" s="303"/>
      <c r="AG428" s="303"/>
      <c r="AH428" s="303"/>
      <c r="AI428" s="303"/>
    </row>
    <row r="429">
      <c r="A429" s="304"/>
      <c r="B429" s="299"/>
      <c r="C429" s="292"/>
      <c r="D429" s="293"/>
      <c r="E429" s="292"/>
      <c r="F429" s="293"/>
      <c r="G429" s="294"/>
      <c r="H429" s="295"/>
      <c r="I429" s="303"/>
      <c r="J429" s="303"/>
      <c r="K429" s="297"/>
      <c r="L429" s="303"/>
      <c r="M429" s="303"/>
      <c r="N429" s="297"/>
      <c r="O429" s="292"/>
      <c r="P429" s="303"/>
      <c r="Q429" s="298"/>
      <c r="R429" s="294"/>
      <c r="S429" s="297"/>
      <c r="T429" s="292"/>
      <c r="U429" s="299"/>
      <c r="V429" s="292"/>
      <c r="W429" s="309"/>
      <c r="X429" s="292"/>
      <c r="Y429" s="309"/>
      <c r="Z429" s="292"/>
      <c r="AA429" s="315"/>
      <c r="AB429" s="297"/>
      <c r="AC429" s="292"/>
      <c r="AD429" s="292"/>
      <c r="AE429" s="292"/>
      <c r="AF429" s="303"/>
      <c r="AG429" s="303"/>
      <c r="AH429" s="303"/>
      <c r="AI429" s="303"/>
    </row>
    <row r="430">
      <c r="A430" s="304"/>
      <c r="B430" s="299"/>
      <c r="C430" s="292"/>
      <c r="D430" s="293"/>
      <c r="E430" s="292"/>
      <c r="F430" s="293"/>
      <c r="G430" s="294"/>
      <c r="H430" s="295"/>
      <c r="I430" s="303"/>
      <c r="J430" s="303"/>
      <c r="K430" s="297"/>
      <c r="L430" s="303"/>
      <c r="M430" s="303"/>
      <c r="N430" s="297"/>
      <c r="O430" s="292"/>
      <c r="P430" s="303"/>
      <c r="Q430" s="298"/>
      <c r="R430" s="294"/>
      <c r="S430" s="297"/>
      <c r="T430" s="292"/>
      <c r="U430" s="299"/>
      <c r="V430" s="292"/>
      <c r="W430" s="309"/>
      <c r="X430" s="292"/>
      <c r="Y430" s="309"/>
      <c r="Z430" s="292"/>
      <c r="AA430" s="315"/>
      <c r="AB430" s="297"/>
      <c r="AC430" s="292"/>
      <c r="AD430" s="292"/>
      <c r="AE430" s="292"/>
      <c r="AF430" s="303"/>
      <c r="AG430" s="303"/>
      <c r="AH430" s="303"/>
      <c r="AI430" s="303"/>
    </row>
    <row r="431">
      <c r="A431" s="304"/>
      <c r="B431" s="299"/>
      <c r="C431" s="292"/>
      <c r="D431" s="293"/>
      <c r="E431" s="292"/>
      <c r="F431" s="293"/>
      <c r="G431" s="294"/>
      <c r="H431" s="295"/>
      <c r="I431" s="303"/>
      <c r="J431" s="303"/>
      <c r="K431" s="297"/>
      <c r="L431" s="303"/>
      <c r="M431" s="303"/>
      <c r="N431" s="297"/>
      <c r="O431" s="292"/>
      <c r="P431" s="303"/>
      <c r="Q431" s="298"/>
      <c r="R431" s="294"/>
      <c r="S431" s="297"/>
      <c r="T431" s="292"/>
      <c r="U431" s="299"/>
      <c r="V431" s="292"/>
      <c r="W431" s="309"/>
      <c r="X431" s="292"/>
      <c r="Y431" s="309"/>
      <c r="Z431" s="292"/>
      <c r="AA431" s="315"/>
      <c r="AB431" s="297"/>
      <c r="AC431" s="292"/>
      <c r="AD431" s="292"/>
      <c r="AE431" s="292"/>
      <c r="AF431" s="303"/>
      <c r="AG431" s="303"/>
      <c r="AH431" s="303"/>
      <c r="AI431" s="303"/>
    </row>
    <row r="432">
      <c r="A432" s="304"/>
      <c r="B432" s="299"/>
      <c r="C432" s="292"/>
      <c r="D432" s="293"/>
      <c r="E432" s="292"/>
      <c r="F432" s="293"/>
      <c r="G432" s="294"/>
      <c r="H432" s="295"/>
      <c r="I432" s="303"/>
      <c r="J432" s="303"/>
      <c r="K432" s="297"/>
      <c r="L432" s="303"/>
      <c r="M432" s="303"/>
      <c r="N432" s="297"/>
      <c r="O432" s="292"/>
      <c r="P432" s="303"/>
      <c r="Q432" s="298"/>
      <c r="R432" s="294"/>
      <c r="S432" s="297"/>
      <c r="T432" s="292"/>
      <c r="U432" s="299"/>
      <c r="V432" s="292"/>
      <c r="W432" s="309"/>
      <c r="X432" s="292"/>
      <c r="Y432" s="309"/>
      <c r="Z432" s="292"/>
      <c r="AA432" s="315"/>
      <c r="AB432" s="297"/>
      <c r="AC432" s="292"/>
      <c r="AD432" s="292"/>
      <c r="AE432" s="292"/>
      <c r="AF432" s="303"/>
      <c r="AG432" s="303"/>
      <c r="AH432" s="303"/>
      <c r="AI432" s="303"/>
    </row>
    <row r="433">
      <c r="A433" s="304"/>
      <c r="B433" s="299"/>
      <c r="C433" s="292"/>
      <c r="D433" s="293"/>
      <c r="E433" s="292"/>
      <c r="F433" s="293"/>
      <c r="G433" s="294"/>
      <c r="H433" s="295"/>
      <c r="I433" s="303"/>
      <c r="J433" s="303"/>
      <c r="K433" s="297"/>
      <c r="L433" s="303"/>
      <c r="M433" s="303"/>
      <c r="N433" s="297"/>
      <c r="O433" s="292"/>
      <c r="P433" s="303"/>
      <c r="Q433" s="298"/>
      <c r="R433" s="294"/>
      <c r="S433" s="297"/>
      <c r="T433" s="292"/>
      <c r="U433" s="299"/>
      <c r="V433" s="292"/>
      <c r="W433" s="309"/>
      <c r="X433" s="292"/>
      <c r="Y433" s="309"/>
      <c r="Z433" s="292"/>
      <c r="AA433" s="315"/>
      <c r="AB433" s="297"/>
      <c r="AC433" s="292"/>
      <c r="AD433" s="292"/>
      <c r="AE433" s="292"/>
      <c r="AF433" s="303"/>
      <c r="AG433" s="303"/>
      <c r="AH433" s="303"/>
      <c r="AI433" s="303"/>
    </row>
    <row r="434">
      <c r="A434" s="304"/>
      <c r="B434" s="299"/>
      <c r="C434" s="292"/>
      <c r="D434" s="293"/>
      <c r="E434" s="292"/>
      <c r="F434" s="293"/>
      <c r="G434" s="294"/>
      <c r="H434" s="295"/>
      <c r="I434" s="303"/>
      <c r="J434" s="303"/>
      <c r="K434" s="297"/>
      <c r="L434" s="303"/>
      <c r="M434" s="303"/>
      <c r="N434" s="297"/>
      <c r="O434" s="292"/>
      <c r="P434" s="303"/>
      <c r="Q434" s="298"/>
      <c r="R434" s="294"/>
      <c r="S434" s="297"/>
      <c r="T434" s="292"/>
      <c r="U434" s="299"/>
      <c r="V434" s="292"/>
      <c r="W434" s="309"/>
      <c r="X434" s="292"/>
      <c r="Y434" s="309"/>
      <c r="Z434" s="292"/>
      <c r="AA434" s="315"/>
      <c r="AB434" s="297"/>
      <c r="AC434" s="292"/>
      <c r="AD434" s="292"/>
      <c r="AE434" s="292"/>
      <c r="AF434" s="303"/>
      <c r="AG434" s="303"/>
      <c r="AH434" s="303"/>
      <c r="AI434" s="303"/>
    </row>
    <row r="435">
      <c r="A435" s="304"/>
      <c r="B435" s="299"/>
      <c r="C435" s="292"/>
      <c r="D435" s="293"/>
      <c r="E435" s="292"/>
      <c r="F435" s="293"/>
      <c r="G435" s="294"/>
      <c r="H435" s="295"/>
      <c r="I435" s="303"/>
      <c r="J435" s="303"/>
      <c r="K435" s="297"/>
      <c r="L435" s="303"/>
      <c r="M435" s="303"/>
      <c r="N435" s="297"/>
      <c r="O435" s="292"/>
      <c r="P435" s="303"/>
      <c r="Q435" s="298"/>
      <c r="R435" s="294"/>
      <c r="S435" s="297"/>
      <c r="T435" s="292"/>
      <c r="U435" s="299"/>
      <c r="V435" s="292"/>
      <c r="W435" s="309"/>
      <c r="X435" s="292"/>
      <c r="Y435" s="309"/>
      <c r="Z435" s="292"/>
      <c r="AA435" s="315"/>
      <c r="AB435" s="297"/>
      <c r="AC435" s="292"/>
      <c r="AD435" s="292"/>
      <c r="AE435" s="292"/>
      <c r="AF435" s="303"/>
      <c r="AG435" s="303"/>
      <c r="AH435" s="303"/>
      <c r="AI435" s="303"/>
    </row>
    <row r="436">
      <c r="A436" s="304"/>
      <c r="B436" s="299"/>
      <c r="C436" s="292"/>
      <c r="D436" s="293"/>
      <c r="E436" s="292"/>
      <c r="F436" s="293"/>
      <c r="G436" s="294"/>
      <c r="H436" s="295"/>
      <c r="I436" s="303"/>
      <c r="J436" s="303"/>
      <c r="K436" s="297"/>
      <c r="L436" s="303"/>
      <c r="M436" s="303"/>
      <c r="N436" s="297"/>
      <c r="O436" s="292"/>
      <c r="P436" s="303"/>
      <c r="Q436" s="298"/>
      <c r="R436" s="294"/>
      <c r="S436" s="297"/>
      <c r="T436" s="292"/>
      <c r="U436" s="299"/>
      <c r="V436" s="292"/>
      <c r="W436" s="309"/>
      <c r="X436" s="292"/>
      <c r="Y436" s="309"/>
      <c r="Z436" s="292"/>
      <c r="AA436" s="315"/>
      <c r="AB436" s="297"/>
      <c r="AC436" s="292"/>
      <c r="AD436" s="292"/>
      <c r="AE436" s="292"/>
      <c r="AF436" s="303"/>
      <c r="AG436" s="303"/>
      <c r="AH436" s="303"/>
      <c r="AI436" s="303"/>
    </row>
    <row r="437">
      <c r="A437" s="304"/>
      <c r="B437" s="299"/>
      <c r="C437" s="292"/>
      <c r="D437" s="293"/>
      <c r="E437" s="292"/>
      <c r="F437" s="293"/>
      <c r="G437" s="294"/>
      <c r="H437" s="295"/>
      <c r="I437" s="303"/>
      <c r="J437" s="303"/>
      <c r="K437" s="297"/>
      <c r="L437" s="303"/>
      <c r="M437" s="303"/>
      <c r="N437" s="297"/>
      <c r="O437" s="292"/>
      <c r="P437" s="303"/>
      <c r="Q437" s="298"/>
      <c r="R437" s="294"/>
      <c r="S437" s="297"/>
      <c r="T437" s="292"/>
      <c r="U437" s="299"/>
      <c r="V437" s="292"/>
      <c r="W437" s="309"/>
      <c r="X437" s="292"/>
      <c r="Y437" s="309"/>
      <c r="Z437" s="292"/>
      <c r="AA437" s="315"/>
      <c r="AB437" s="297"/>
      <c r="AC437" s="292"/>
      <c r="AD437" s="292"/>
      <c r="AE437" s="292"/>
      <c r="AF437" s="303"/>
      <c r="AG437" s="303"/>
      <c r="AH437" s="303"/>
      <c r="AI437" s="303"/>
    </row>
    <row r="438">
      <c r="A438" s="304"/>
      <c r="B438" s="299"/>
      <c r="C438" s="292"/>
      <c r="D438" s="293"/>
      <c r="E438" s="292"/>
      <c r="F438" s="293"/>
      <c r="G438" s="294"/>
      <c r="H438" s="295"/>
      <c r="I438" s="303"/>
      <c r="J438" s="303"/>
      <c r="K438" s="297"/>
      <c r="L438" s="303"/>
      <c r="M438" s="303"/>
      <c r="N438" s="297"/>
      <c r="O438" s="292"/>
      <c r="P438" s="303"/>
      <c r="Q438" s="298"/>
      <c r="R438" s="294"/>
      <c r="S438" s="297"/>
      <c r="T438" s="292"/>
      <c r="U438" s="299"/>
      <c r="V438" s="292"/>
      <c r="W438" s="309"/>
      <c r="X438" s="292"/>
      <c r="Y438" s="309"/>
      <c r="Z438" s="292"/>
      <c r="AA438" s="315"/>
      <c r="AB438" s="297"/>
      <c r="AC438" s="292"/>
      <c r="AD438" s="292"/>
      <c r="AE438" s="292"/>
      <c r="AF438" s="303"/>
      <c r="AG438" s="303"/>
      <c r="AH438" s="303"/>
      <c r="AI438" s="303"/>
    </row>
    <row r="439">
      <c r="A439" s="304"/>
      <c r="B439" s="299"/>
      <c r="C439" s="292"/>
      <c r="D439" s="293"/>
      <c r="E439" s="292"/>
      <c r="F439" s="293"/>
      <c r="G439" s="294"/>
      <c r="H439" s="295"/>
      <c r="I439" s="303"/>
      <c r="J439" s="303"/>
      <c r="K439" s="297"/>
      <c r="L439" s="303"/>
      <c r="M439" s="303"/>
      <c r="N439" s="297"/>
      <c r="O439" s="292"/>
      <c r="P439" s="303"/>
      <c r="Q439" s="298"/>
      <c r="R439" s="294"/>
      <c r="S439" s="297"/>
      <c r="T439" s="292"/>
      <c r="U439" s="299"/>
      <c r="V439" s="292"/>
      <c r="W439" s="309"/>
      <c r="X439" s="292"/>
      <c r="Y439" s="309"/>
      <c r="Z439" s="292"/>
      <c r="AA439" s="315"/>
      <c r="AB439" s="297"/>
      <c r="AC439" s="292"/>
      <c r="AD439" s="292"/>
      <c r="AE439" s="292"/>
      <c r="AF439" s="303"/>
      <c r="AG439" s="303"/>
      <c r="AH439" s="303"/>
      <c r="AI439" s="303"/>
    </row>
    <row r="440">
      <c r="A440" s="304"/>
      <c r="B440" s="299"/>
      <c r="C440" s="292"/>
      <c r="D440" s="293"/>
      <c r="E440" s="292"/>
      <c r="F440" s="293"/>
      <c r="G440" s="294"/>
      <c r="H440" s="295"/>
      <c r="I440" s="303"/>
      <c r="J440" s="303"/>
      <c r="K440" s="297"/>
      <c r="L440" s="303"/>
      <c r="M440" s="303"/>
      <c r="N440" s="297"/>
      <c r="O440" s="292"/>
      <c r="P440" s="303"/>
      <c r="Q440" s="298"/>
      <c r="R440" s="294"/>
      <c r="S440" s="297"/>
      <c r="T440" s="292"/>
      <c r="U440" s="299"/>
      <c r="V440" s="292"/>
      <c r="W440" s="309"/>
      <c r="X440" s="292"/>
      <c r="Y440" s="309"/>
      <c r="Z440" s="292"/>
      <c r="AA440" s="315"/>
      <c r="AB440" s="297"/>
      <c r="AC440" s="292"/>
      <c r="AD440" s="292"/>
      <c r="AE440" s="292"/>
      <c r="AF440" s="303"/>
      <c r="AG440" s="303"/>
      <c r="AH440" s="303"/>
      <c r="AI440" s="303"/>
    </row>
    <row r="441">
      <c r="A441" s="304"/>
      <c r="B441" s="299"/>
      <c r="C441" s="292"/>
      <c r="D441" s="293"/>
      <c r="E441" s="292"/>
      <c r="F441" s="293"/>
      <c r="G441" s="294"/>
      <c r="H441" s="295"/>
      <c r="I441" s="303"/>
      <c r="J441" s="303"/>
      <c r="K441" s="297"/>
      <c r="L441" s="303"/>
      <c r="M441" s="303"/>
      <c r="N441" s="297"/>
      <c r="O441" s="292"/>
      <c r="P441" s="303"/>
      <c r="Q441" s="298"/>
      <c r="R441" s="294"/>
      <c r="S441" s="297"/>
      <c r="T441" s="292"/>
      <c r="U441" s="299"/>
      <c r="V441" s="292"/>
      <c r="W441" s="309"/>
      <c r="X441" s="292"/>
      <c r="Y441" s="309"/>
      <c r="Z441" s="292"/>
      <c r="AA441" s="315"/>
      <c r="AB441" s="297"/>
      <c r="AC441" s="292"/>
      <c r="AD441" s="292"/>
      <c r="AE441" s="292"/>
      <c r="AF441" s="303"/>
      <c r="AG441" s="303"/>
      <c r="AH441" s="303"/>
      <c r="AI441" s="303"/>
    </row>
    <row r="442">
      <c r="A442" s="304"/>
      <c r="B442" s="299"/>
      <c r="C442" s="292"/>
      <c r="D442" s="293"/>
      <c r="E442" s="292"/>
      <c r="F442" s="293"/>
      <c r="G442" s="294"/>
      <c r="H442" s="295"/>
      <c r="I442" s="303"/>
      <c r="J442" s="303"/>
      <c r="K442" s="297"/>
      <c r="L442" s="303"/>
      <c r="M442" s="303"/>
      <c r="N442" s="297"/>
      <c r="O442" s="292"/>
      <c r="P442" s="303"/>
      <c r="Q442" s="298"/>
      <c r="R442" s="294"/>
      <c r="S442" s="297"/>
      <c r="T442" s="292"/>
      <c r="U442" s="299"/>
      <c r="V442" s="292"/>
      <c r="W442" s="309"/>
      <c r="X442" s="292"/>
      <c r="Y442" s="309"/>
      <c r="Z442" s="292"/>
      <c r="AA442" s="315"/>
      <c r="AB442" s="297"/>
      <c r="AC442" s="292"/>
      <c r="AD442" s="292"/>
      <c r="AE442" s="292"/>
      <c r="AF442" s="303"/>
      <c r="AG442" s="303"/>
      <c r="AH442" s="303"/>
      <c r="AI442" s="303"/>
    </row>
    <row r="443">
      <c r="A443" s="304"/>
      <c r="B443" s="299"/>
      <c r="C443" s="292"/>
      <c r="D443" s="293"/>
      <c r="E443" s="292"/>
      <c r="F443" s="293"/>
      <c r="G443" s="294"/>
      <c r="H443" s="295"/>
      <c r="I443" s="303"/>
      <c r="J443" s="303"/>
      <c r="K443" s="297"/>
      <c r="L443" s="303"/>
      <c r="M443" s="303"/>
      <c r="N443" s="297"/>
      <c r="O443" s="292"/>
      <c r="P443" s="303"/>
      <c r="Q443" s="298"/>
      <c r="R443" s="294"/>
      <c r="S443" s="297"/>
      <c r="T443" s="292"/>
      <c r="U443" s="299"/>
      <c r="V443" s="292"/>
      <c r="W443" s="309"/>
      <c r="X443" s="292"/>
      <c r="Y443" s="309"/>
      <c r="Z443" s="292"/>
      <c r="AA443" s="315"/>
      <c r="AB443" s="297"/>
      <c r="AC443" s="292"/>
      <c r="AD443" s="292"/>
      <c r="AE443" s="292"/>
      <c r="AF443" s="303"/>
      <c r="AG443" s="303"/>
      <c r="AH443" s="303"/>
      <c r="AI443" s="303"/>
    </row>
    <row r="444">
      <c r="A444" s="304"/>
      <c r="B444" s="299"/>
      <c r="C444" s="292"/>
      <c r="D444" s="293"/>
      <c r="E444" s="292"/>
      <c r="F444" s="293"/>
      <c r="G444" s="294"/>
      <c r="H444" s="295"/>
      <c r="I444" s="303"/>
      <c r="J444" s="303"/>
      <c r="K444" s="297"/>
      <c r="L444" s="303"/>
      <c r="M444" s="303"/>
      <c r="N444" s="297"/>
      <c r="O444" s="292"/>
      <c r="P444" s="303"/>
      <c r="Q444" s="298"/>
      <c r="R444" s="294"/>
      <c r="S444" s="297"/>
      <c r="T444" s="292"/>
      <c r="U444" s="299"/>
      <c r="V444" s="292"/>
      <c r="W444" s="309"/>
      <c r="X444" s="292"/>
      <c r="Y444" s="309"/>
      <c r="Z444" s="292"/>
      <c r="AA444" s="315"/>
      <c r="AB444" s="297"/>
      <c r="AC444" s="292"/>
      <c r="AD444" s="292"/>
      <c r="AE444" s="292"/>
      <c r="AF444" s="303"/>
      <c r="AG444" s="303"/>
      <c r="AH444" s="303"/>
      <c r="AI444" s="303"/>
    </row>
    <row r="445">
      <c r="A445" s="304"/>
      <c r="B445" s="299"/>
      <c r="C445" s="292"/>
      <c r="D445" s="293"/>
      <c r="E445" s="292"/>
      <c r="F445" s="293"/>
      <c r="G445" s="294"/>
      <c r="H445" s="295"/>
      <c r="I445" s="303"/>
      <c r="J445" s="303"/>
      <c r="K445" s="297"/>
      <c r="L445" s="303"/>
      <c r="M445" s="303"/>
      <c r="N445" s="297"/>
      <c r="O445" s="292"/>
      <c r="P445" s="303"/>
      <c r="Q445" s="298"/>
      <c r="R445" s="294"/>
      <c r="S445" s="297"/>
      <c r="T445" s="292"/>
      <c r="U445" s="299"/>
      <c r="V445" s="292"/>
      <c r="W445" s="309"/>
      <c r="X445" s="292"/>
      <c r="Y445" s="309"/>
      <c r="Z445" s="292"/>
      <c r="AA445" s="315"/>
      <c r="AB445" s="297"/>
      <c r="AC445" s="292"/>
      <c r="AD445" s="292"/>
      <c r="AE445" s="292"/>
      <c r="AF445" s="303"/>
      <c r="AG445" s="303"/>
      <c r="AH445" s="303"/>
      <c r="AI445" s="303"/>
    </row>
    <row r="446">
      <c r="A446" s="304"/>
      <c r="B446" s="299"/>
      <c r="C446" s="292"/>
      <c r="D446" s="293"/>
      <c r="E446" s="292"/>
      <c r="F446" s="293"/>
      <c r="G446" s="294"/>
      <c r="H446" s="295"/>
      <c r="I446" s="303"/>
      <c r="J446" s="303"/>
      <c r="K446" s="297"/>
      <c r="L446" s="303"/>
      <c r="M446" s="303"/>
      <c r="N446" s="297"/>
      <c r="O446" s="292"/>
      <c r="P446" s="303"/>
      <c r="Q446" s="298"/>
      <c r="R446" s="294"/>
      <c r="S446" s="297"/>
      <c r="T446" s="292"/>
      <c r="U446" s="299"/>
      <c r="V446" s="292"/>
      <c r="W446" s="309"/>
      <c r="X446" s="292"/>
      <c r="Y446" s="309"/>
      <c r="Z446" s="292"/>
      <c r="AA446" s="315"/>
      <c r="AB446" s="297"/>
      <c r="AC446" s="292"/>
      <c r="AD446" s="292"/>
      <c r="AE446" s="292"/>
      <c r="AF446" s="303"/>
      <c r="AG446" s="303"/>
      <c r="AH446" s="303"/>
      <c r="AI446" s="303"/>
    </row>
    <row r="447">
      <c r="A447" s="304"/>
      <c r="B447" s="299"/>
      <c r="C447" s="292"/>
      <c r="D447" s="293"/>
      <c r="E447" s="292"/>
      <c r="F447" s="293"/>
      <c r="G447" s="294"/>
      <c r="H447" s="295"/>
      <c r="I447" s="303"/>
      <c r="J447" s="303"/>
      <c r="K447" s="297"/>
      <c r="L447" s="303"/>
      <c r="M447" s="303"/>
      <c r="N447" s="297"/>
      <c r="O447" s="292"/>
      <c r="P447" s="303"/>
      <c r="Q447" s="298"/>
      <c r="R447" s="294"/>
      <c r="S447" s="297"/>
      <c r="T447" s="292"/>
      <c r="U447" s="299"/>
      <c r="V447" s="292"/>
      <c r="W447" s="309"/>
      <c r="X447" s="292"/>
      <c r="Y447" s="309"/>
      <c r="Z447" s="292"/>
      <c r="AA447" s="315"/>
      <c r="AB447" s="297"/>
      <c r="AC447" s="292"/>
      <c r="AD447" s="292"/>
      <c r="AE447" s="292"/>
      <c r="AF447" s="303"/>
      <c r="AG447" s="303"/>
      <c r="AH447" s="303"/>
      <c r="AI447" s="303"/>
    </row>
    <row r="448">
      <c r="A448" s="304"/>
      <c r="B448" s="299"/>
      <c r="C448" s="292"/>
      <c r="D448" s="293"/>
      <c r="E448" s="292"/>
      <c r="F448" s="293"/>
      <c r="G448" s="294"/>
      <c r="H448" s="295"/>
      <c r="I448" s="303"/>
      <c r="J448" s="303"/>
      <c r="K448" s="297"/>
      <c r="L448" s="303"/>
      <c r="M448" s="303"/>
      <c r="N448" s="297"/>
      <c r="O448" s="292"/>
      <c r="P448" s="303"/>
      <c r="Q448" s="298"/>
      <c r="R448" s="294"/>
      <c r="S448" s="297"/>
      <c r="T448" s="292"/>
      <c r="U448" s="299"/>
      <c r="V448" s="292"/>
      <c r="W448" s="309"/>
      <c r="X448" s="292"/>
      <c r="Y448" s="309"/>
      <c r="Z448" s="292"/>
      <c r="AA448" s="315"/>
      <c r="AB448" s="297"/>
      <c r="AC448" s="292"/>
      <c r="AD448" s="292"/>
      <c r="AE448" s="292"/>
      <c r="AF448" s="303"/>
      <c r="AG448" s="303"/>
      <c r="AH448" s="303"/>
      <c r="AI448" s="303"/>
    </row>
    <row r="449">
      <c r="A449" s="304"/>
      <c r="B449" s="299"/>
      <c r="C449" s="292"/>
      <c r="D449" s="293"/>
      <c r="E449" s="292"/>
      <c r="F449" s="293"/>
      <c r="G449" s="294"/>
      <c r="H449" s="295"/>
      <c r="I449" s="303"/>
      <c r="J449" s="303"/>
      <c r="K449" s="297"/>
      <c r="L449" s="303"/>
      <c r="M449" s="303"/>
      <c r="N449" s="297"/>
      <c r="O449" s="292"/>
      <c r="P449" s="303"/>
      <c r="Q449" s="298"/>
      <c r="R449" s="294"/>
      <c r="S449" s="297"/>
      <c r="T449" s="292"/>
      <c r="U449" s="299"/>
      <c r="V449" s="292"/>
      <c r="W449" s="309"/>
      <c r="X449" s="292"/>
      <c r="Y449" s="309"/>
      <c r="Z449" s="292"/>
      <c r="AA449" s="315"/>
      <c r="AB449" s="297"/>
      <c r="AC449" s="292"/>
      <c r="AD449" s="292"/>
      <c r="AE449" s="292"/>
      <c r="AF449" s="303"/>
      <c r="AG449" s="303"/>
      <c r="AH449" s="303"/>
      <c r="AI449" s="303"/>
    </row>
    <row r="450">
      <c r="A450" s="304"/>
      <c r="B450" s="299"/>
      <c r="C450" s="292"/>
      <c r="D450" s="293"/>
      <c r="E450" s="292"/>
      <c r="F450" s="293"/>
      <c r="G450" s="294"/>
      <c r="H450" s="295"/>
      <c r="I450" s="303"/>
      <c r="J450" s="303"/>
      <c r="K450" s="297"/>
      <c r="L450" s="303"/>
      <c r="M450" s="303"/>
      <c r="N450" s="297"/>
      <c r="O450" s="292"/>
      <c r="P450" s="303"/>
      <c r="Q450" s="298"/>
      <c r="R450" s="294"/>
      <c r="S450" s="297"/>
      <c r="T450" s="292"/>
      <c r="U450" s="299"/>
      <c r="V450" s="292"/>
      <c r="W450" s="309"/>
      <c r="X450" s="292"/>
      <c r="Y450" s="309"/>
      <c r="Z450" s="292"/>
      <c r="AA450" s="315"/>
      <c r="AB450" s="297"/>
      <c r="AC450" s="292"/>
      <c r="AD450" s="292"/>
      <c r="AE450" s="292"/>
      <c r="AF450" s="303"/>
      <c r="AG450" s="303"/>
      <c r="AH450" s="303"/>
      <c r="AI450" s="303"/>
    </row>
    <row r="451">
      <c r="A451" s="304"/>
      <c r="B451" s="299"/>
      <c r="C451" s="292"/>
      <c r="D451" s="293"/>
      <c r="E451" s="292"/>
      <c r="F451" s="293"/>
      <c r="G451" s="294"/>
      <c r="H451" s="295"/>
      <c r="I451" s="303"/>
      <c r="J451" s="303"/>
      <c r="K451" s="297"/>
      <c r="L451" s="303"/>
      <c r="M451" s="303"/>
      <c r="N451" s="297"/>
      <c r="O451" s="292"/>
      <c r="P451" s="303"/>
      <c r="Q451" s="298"/>
      <c r="R451" s="294"/>
      <c r="S451" s="297"/>
      <c r="T451" s="292"/>
      <c r="U451" s="299"/>
      <c r="V451" s="292"/>
      <c r="W451" s="309"/>
      <c r="X451" s="292"/>
      <c r="Y451" s="309"/>
      <c r="Z451" s="292"/>
      <c r="AA451" s="315"/>
      <c r="AB451" s="297"/>
      <c r="AC451" s="292"/>
      <c r="AD451" s="292"/>
      <c r="AE451" s="292"/>
      <c r="AF451" s="303"/>
      <c r="AG451" s="303"/>
      <c r="AH451" s="303"/>
      <c r="AI451" s="303"/>
    </row>
    <row r="452">
      <c r="A452" s="304"/>
      <c r="B452" s="299"/>
      <c r="C452" s="292"/>
      <c r="D452" s="293"/>
      <c r="E452" s="292"/>
      <c r="F452" s="293"/>
      <c r="G452" s="294"/>
      <c r="H452" s="295"/>
      <c r="I452" s="303"/>
      <c r="J452" s="303"/>
      <c r="K452" s="297"/>
      <c r="L452" s="303"/>
      <c r="M452" s="303"/>
      <c r="N452" s="297"/>
      <c r="O452" s="292"/>
      <c r="P452" s="303"/>
      <c r="Q452" s="298"/>
      <c r="R452" s="294"/>
      <c r="S452" s="297"/>
      <c r="T452" s="292"/>
      <c r="U452" s="299"/>
      <c r="V452" s="292"/>
      <c r="W452" s="309"/>
      <c r="X452" s="292"/>
      <c r="Y452" s="309"/>
      <c r="Z452" s="292"/>
      <c r="AA452" s="315"/>
      <c r="AB452" s="297"/>
      <c r="AC452" s="292"/>
      <c r="AD452" s="292"/>
      <c r="AE452" s="292"/>
      <c r="AF452" s="303"/>
      <c r="AG452" s="303"/>
      <c r="AH452" s="303"/>
      <c r="AI452" s="303"/>
    </row>
    <row r="453">
      <c r="A453" s="304"/>
      <c r="B453" s="299"/>
      <c r="C453" s="292"/>
      <c r="D453" s="293"/>
      <c r="E453" s="292"/>
      <c r="F453" s="293"/>
      <c r="G453" s="294"/>
      <c r="H453" s="295"/>
      <c r="I453" s="303"/>
      <c r="J453" s="303"/>
      <c r="K453" s="297"/>
      <c r="L453" s="303"/>
      <c r="M453" s="303"/>
      <c r="N453" s="297"/>
      <c r="O453" s="292"/>
      <c r="P453" s="303"/>
      <c r="Q453" s="298"/>
      <c r="R453" s="294"/>
      <c r="S453" s="297"/>
      <c r="T453" s="292"/>
      <c r="U453" s="299"/>
      <c r="V453" s="292"/>
      <c r="W453" s="309"/>
      <c r="X453" s="292"/>
      <c r="Y453" s="309"/>
      <c r="Z453" s="292"/>
      <c r="AA453" s="315"/>
      <c r="AB453" s="297"/>
      <c r="AC453" s="292"/>
      <c r="AD453" s="292"/>
      <c r="AE453" s="292"/>
      <c r="AF453" s="303"/>
      <c r="AG453" s="303"/>
      <c r="AH453" s="303"/>
      <c r="AI453" s="303"/>
    </row>
    <row r="454">
      <c r="A454" s="304"/>
      <c r="B454" s="299"/>
      <c r="C454" s="292"/>
      <c r="D454" s="293"/>
      <c r="E454" s="292"/>
      <c r="F454" s="293"/>
      <c r="G454" s="294"/>
      <c r="H454" s="295"/>
      <c r="I454" s="303"/>
      <c r="J454" s="303"/>
      <c r="K454" s="297"/>
      <c r="L454" s="303"/>
      <c r="M454" s="303"/>
      <c r="N454" s="297"/>
      <c r="O454" s="292"/>
      <c r="P454" s="303"/>
      <c r="Q454" s="298"/>
      <c r="R454" s="294"/>
      <c r="S454" s="297"/>
      <c r="T454" s="292"/>
      <c r="U454" s="299"/>
      <c r="V454" s="292"/>
      <c r="W454" s="309"/>
      <c r="X454" s="292"/>
      <c r="Y454" s="309"/>
      <c r="Z454" s="292"/>
      <c r="AA454" s="315"/>
      <c r="AB454" s="297"/>
      <c r="AC454" s="292"/>
      <c r="AD454" s="292"/>
      <c r="AE454" s="292"/>
      <c r="AF454" s="303"/>
      <c r="AG454" s="303"/>
      <c r="AH454" s="303"/>
      <c r="AI454" s="303"/>
    </row>
    <row r="455">
      <c r="A455" s="304"/>
      <c r="B455" s="299"/>
      <c r="C455" s="292"/>
      <c r="D455" s="293"/>
      <c r="E455" s="292"/>
      <c r="F455" s="293"/>
      <c r="G455" s="294"/>
      <c r="H455" s="295"/>
      <c r="I455" s="303"/>
      <c r="J455" s="303"/>
      <c r="K455" s="297"/>
      <c r="L455" s="303"/>
      <c r="M455" s="303"/>
      <c r="N455" s="297"/>
      <c r="O455" s="292"/>
      <c r="P455" s="303"/>
      <c r="Q455" s="298"/>
      <c r="R455" s="294"/>
      <c r="S455" s="297"/>
      <c r="T455" s="292"/>
      <c r="U455" s="299"/>
      <c r="V455" s="292"/>
      <c r="W455" s="309"/>
      <c r="X455" s="292"/>
      <c r="Y455" s="309"/>
      <c r="Z455" s="292"/>
      <c r="AA455" s="315"/>
      <c r="AB455" s="297"/>
      <c r="AC455" s="292"/>
      <c r="AD455" s="292"/>
      <c r="AE455" s="292"/>
      <c r="AF455" s="303"/>
      <c r="AG455" s="303"/>
      <c r="AH455" s="303"/>
      <c r="AI455" s="303"/>
    </row>
    <row r="456">
      <c r="A456" s="304"/>
      <c r="B456" s="299"/>
      <c r="C456" s="292"/>
      <c r="D456" s="293"/>
      <c r="E456" s="292"/>
      <c r="F456" s="293"/>
      <c r="G456" s="294"/>
      <c r="H456" s="295"/>
      <c r="I456" s="303"/>
      <c r="J456" s="303"/>
      <c r="K456" s="297"/>
      <c r="L456" s="303"/>
      <c r="M456" s="303"/>
      <c r="N456" s="297"/>
      <c r="O456" s="292"/>
      <c r="P456" s="303"/>
      <c r="Q456" s="298"/>
      <c r="R456" s="294"/>
      <c r="S456" s="297"/>
      <c r="T456" s="292"/>
      <c r="U456" s="299"/>
      <c r="V456" s="292"/>
      <c r="W456" s="309"/>
      <c r="X456" s="292"/>
      <c r="Y456" s="309"/>
      <c r="Z456" s="292"/>
      <c r="AA456" s="315"/>
      <c r="AB456" s="297"/>
      <c r="AC456" s="292"/>
      <c r="AD456" s="292"/>
      <c r="AE456" s="292"/>
      <c r="AF456" s="303"/>
      <c r="AG456" s="303"/>
      <c r="AH456" s="303"/>
      <c r="AI456" s="303"/>
    </row>
    <row r="457">
      <c r="A457" s="304"/>
      <c r="B457" s="299"/>
      <c r="C457" s="292"/>
      <c r="D457" s="293"/>
      <c r="E457" s="292"/>
      <c r="F457" s="293"/>
      <c r="G457" s="294"/>
      <c r="H457" s="295"/>
      <c r="I457" s="303"/>
      <c r="J457" s="303"/>
      <c r="K457" s="297"/>
      <c r="L457" s="303"/>
      <c r="M457" s="303"/>
      <c r="N457" s="297"/>
      <c r="O457" s="292"/>
      <c r="P457" s="303"/>
      <c r="Q457" s="298"/>
      <c r="R457" s="294"/>
      <c r="S457" s="297"/>
      <c r="T457" s="292"/>
      <c r="U457" s="299"/>
      <c r="V457" s="292"/>
      <c r="W457" s="309"/>
      <c r="X457" s="292"/>
      <c r="Y457" s="309"/>
      <c r="Z457" s="292"/>
      <c r="AA457" s="315"/>
      <c r="AB457" s="297"/>
      <c r="AC457" s="292"/>
      <c r="AD457" s="292"/>
      <c r="AE457" s="292"/>
      <c r="AF457" s="303"/>
      <c r="AG457" s="303"/>
      <c r="AH457" s="303"/>
      <c r="AI457" s="303"/>
    </row>
    <row r="458">
      <c r="A458" s="304"/>
      <c r="B458" s="299"/>
      <c r="C458" s="292"/>
      <c r="D458" s="293"/>
      <c r="E458" s="292"/>
      <c r="F458" s="293"/>
      <c r="G458" s="294"/>
      <c r="H458" s="295"/>
      <c r="I458" s="303"/>
      <c r="J458" s="303"/>
      <c r="K458" s="297"/>
      <c r="L458" s="303"/>
      <c r="M458" s="303"/>
      <c r="N458" s="297"/>
      <c r="O458" s="292"/>
      <c r="P458" s="303"/>
      <c r="Q458" s="298"/>
      <c r="R458" s="294"/>
      <c r="S458" s="297"/>
      <c r="T458" s="292"/>
      <c r="U458" s="299"/>
      <c r="V458" s="292"/>
      <c r="W458" s="309"/>
      <c r="X458" s="292"/>
      <c r="Y458" s="309"/>
      <c r="Z458" s="292"/>
      <c r="AA458" s="315"/>
      <c r="AB458" s="297"/>
      <c r="AC458" s="292"/>
      <c r="AD458" s="292"/>
      <c r="AE458" s="292"/>
      <c r="AF458" s="303"/>
      <c r="AG458" s="303"/>
      <c r="AH458" s="303"/>
      <c r="AI458" s="303"/>
    </row>
    <row r="459">
      <c r="A459" s="304"/>
      <c r="B459" s="299"/>
      <c r="C459" s="292"/>
      <c r="D459" s="293"/>
      <c r="E459" s="292"/>
      <c r="F459" s="293"/>
      <c r="G459" s="294"/>
      <c r="H459" s="295"/>
      <c r="I459" s="303"/>
      <c r="J459" s="303"/>
      <c r="K459" s="297"/>
      <c r="L459" s="303"/>
      <c r="M459" s="303"/>
      <c r="N459" s="297"/>
      <c r="O459" s="292"/>
      <c r="P459" s="303"/>
      <c r="Q459" s="298"/>
      <c r="R459" s="294"/>
      <c r="S459" s="297"/>
      <c r="T459" s="292"/>
      <c r="U459" s="299"/>
      <c r="V459" s="292"/>
      <c r="W459" s="309"/>
      <c r="X459" s="292"/>
      <c r="Y459" s="309"/>
      <c r="Z459" s="292"/>
      <c r="AA459" s="315"/>
      <c r="AB459" s="297"/>
      <c r="AC459" s="292"/>
      <c r="AD459" s="292"/>
      <c r="AE459" s="292"/>
      <c r="AF459" s="303"/>
      <c r="AG459" s="303"/>
      <c r="AH459" s="303"/>
      <c r="AI459" s="303"/>
    </row>
    <row r="460">
      <c r="A460" s="304"/>
      <c r="B460" s="299"/>
      <c r="C460" s="292"/>
      <c r="D460" s="293"/>
      <c r="E460" s="292"/>
      <c r="F460" s="293"/>
      <c r="G460" s="294"/>
      <c r="H460" s="295"/>
      <c r="I460" s="303"/>
      <c r="J460" s="303"/>
      <c r="K460" s="297"/>
      <c r="L460" s="303"/>
      <c r="M460" s="303"/>
      <c r="N460" s="297"/>
      <c r="O460" s="292"/>
      <c r="P460" s="303"/>
      <c r="Q460" s="298"/>
      <c r="R460" s="294"/>
      <c r="S460" s="297"/>
      <c r="T460" s="292"/>
      <c r="U460" s="299"/>
      <c r="V460" s="292"/>
      <c r="W460" s="309"/>
      <c r="X460" s="292"/>
      <c r="Y460" s="309"/>
      <c r="Z460" s="292"/>
      <c r="AA460" s="315"/>
      <c r="AB460" s="297"/>
      <c r="AC460" s="292"/>
      <c r="AD460" s="292"/>
      <c r="AE460" s="292"/>
      <c r="AF460" s="303"/>
      <c r="AG460" s="303"/>
      <c r="AH460" s="303"/>
      <c r="AI460" s="303"/>
    </row>
    <row r="461">
      <c r="A461" s="304"/>
      <c r="B461" s="299"/>
      <c r="C461" s="292"/>
      <c r="D461" s="293"/>
      <c r="E461" s="292"/>
      <c r="F461" s="293"/>
      <c r="G461" s="294"/>
      <c r="H461" s="295"/>
      <c r="I461" s="303"/>
      <c r="J461" s="303"/>
      <c r="K461" s="297"/>
      <c r="L461" s="303"/>
      <c r="M461" s="303"/>
      <c r="N461" s="297"/>
      <c r="O461" s="292"/>
      <c r="P461" s="303"/>
      <c r="Q461" s="298"/>
      <c r="R461" s="294"/>
      <c r="S461" s="297"/>
      <c r="T461" s="292"/>
      <c r="U461" s="299"/>
      <c r="V461" s="292"/>
      <c r="W461" s="309"/>
      <c r="X461" s="292"/>
      <c r="Y461" s="309"/>
      <c r="Z461" s="292"/>
      <c r="AA461" s="315"/>
      <c r="AB461" s="297"/>
      <c r="AC461" s="292"/>
      <c r="AD461" s="292"/>
      <c r="AE461" s="292"/>
      <c r="AF461" s="303"/>
      <c r="AG461" s="303"/>
      <c r="AH461" s="303"/>
      <c r="AI461" s="303"/>
    </row>
    <row r="462">
      <c r="A462" s="304"/>
      <c r="B462" s="299"/>
      <c r="C462" s="292"/>
      <c r="D462" s="293"/>
      <c r="E462" s="292"/>
      <c r="F462" s="293"/>
      <c r="G462" s="294"/>
      <c r="H462" s="295"/>
      <c r="I462" s="303"/>
      <c r="J462" s="303"/>
      <c r="K462" s="297"/>
      <c r="L462" s="303"/>
      <c r="M462" s="303"/>
      <c r="N462" s="297"/>
      <c r="O462" s="292"/>
      <c r="P462" s="303"/>
      <c r="Q462" s="298"/>
      <c r="R462" s="294"/>
      <c r="S462" s="297"/>
      <c r="T462" s="292"/>
      <c r="U462" s="299"/>
      <c r="V462" s="292"/>
      <c r="W462" s="309"/>
      <c r="X462" s="292"/>
      <c r="Y462" s="309"/>
      <c r="Z462" s="292"/>
      <c r="AA462" s="315"/>
      <c r="AB462" s="297"/>
      <c r="AC462" s="292"/>
      <c r="AD462" s="292"/>
      <c r="AE462" s="292"/>
      <c r="AF462" s="303"/>
      <c r="AG462" s="303"/>
      <c r="AH462" s="303"/>
      <c r="AI462" s="303"/>
    </row>
    <row r="463">
      <c r="A463" s="304"/>
      <c r="B463" s="299"/>
      <c r="C463" s="292"/>
      <c r="D463" s="293"/>
      <c r="E463" s="292"/>
      <c r="F463" s="293"/>
      <c r="G463" s="294"/>
      <c r="H463" s="295"/>
      <c r="I463" s="303"/>
      <c r="J463" s="303"/>
      <c r="K463" s="297"/>
      <c r="L463" s="303"/>
      <c r="M463" s="303"/>
      <c r="N463" s="297"/>
      <c r="O463" s="292"/>
      <c r="P463" s="303"/>
      <c r="Q463" s="298"/>
      <c r="R463" s="294"/>
      <c r="S463" s="297"/>
      <c r="T463" s="292"/>
      <c r="U463" s="299"/>
      <c r="V463" s="292"/>
      <c r="W463" s="309"/>
      <c r="X463" s="292"/>
      <c r="Y463" s="309"/>
      <c r="Z463" s="292"/>
      <c r="AA463" s="315"/>
      <c r="AB463" s="297"/>
      <c r="AC463" s="292"/>
      <c r="AD463" s="292"/>
      <c r="AE463" s="292"/>
      <c r="AF463" s="303"/>
      <c r="AG463" s="303"/>
      <c r="AH463" s="303"/>
      <c r="AI463" s="303"/>
    </row>
    <row r="464">
      <c r="A464" s="304"/>
      <c r="B464" s="299"/>
      <c r="C464" s="292"/>
      <c r="D464" s="293"/>
      <c r="E464" s="292"/>
      <c r="F464" s="293"/>
      <c r="G464" s="294"/>
      <c r="H464" s="295"/>
      <c r="I464" s="303"/>
      <c r="J464" s="303"/>
      <c r="K464" s="297"/>
      <c r="L464" s="303"/>
      <c r="M464" s="303"/>
      <c r="N464" s="297"/>
      <c r="O464" s="292"/>
      <c r="P464" s="303"/>
      <c r="Q464" s="298"/>
      <c r="R464" s="294"/>
      <c r="S464" s="297"/>
      <c r="T464" s="292"/>
      <c r="U464" s="299"/>
      <c r="V464" s="292"/>
      <c r="W464" s="309"/>
      <c r="X464" s="292"/>
      <c r="Y464" s="309"/>
      <c r="Z464" s="292"/>
      <c r="AA464" s="315"/>
      <c r="AB464" s="297"/>
      <c r="AC464" s="292"/>
      <c r="AD464" s="292"/>
      <c r="AE464" s="292"/>
      <c r="AF464" s="303"/>
      <c r="AG464" s="303"/>
      <c r="AH464" s="303"/>
      <c r="AI464" s="303"/>
    </row>
    <row r="465">
      <c r="A465" s="304"/>
      <c r="B465" s="299"/>
      <c r="C465" s="292"/>
      <c r="D465" s="293"/>
      <c r="E465" s="292"/>
      <c r="F465" s="293"/>
      <c r="G465" s="294"/>
      <c r="H465" s="295"/>
      <c r="I465" s="303"/>
      <c r="J465" s="303"/>
      <c r="K465" s="297"/>
      <c r="L465" s="303"/>
      <c r="M465" s="303"/>
      <c r="N465" s="297"/>
      <c r="O465" s="292"/>
      <c r="P465" s="303"/>
      <c r="Q465" s="298"/>
      <c r="R465" s="294"/>
      <c r="S465" s="297"/>
      <c r="T465" s="292"/>
      <c r="U465" s="299"/>
      <c r="V465" s="292"/>
      <c r="W465" s="309"/>
      <c r="X465" s="292"/>
      <c r="Y465" s="309"/>
      <c r="Z465" s="292"/>
      <c r="AA465" s="315"/>
      <c r="AB465" s="297"/>
      <c r="AC465" s="292"/>
      <c r="AD465" s="292"/>
      <c r="AE465" s="292"/>
      <c r="AF465" s="303"/>
      <c r="AG465" s="303"/>
      <c r="AH465" s="303"/>
      <c r="AI465" s="303"/>
    </row>
    <row r="466">
      <c r="A466" s="304"/>
      <c r="B466" s="299"/>
      <c r="C466" s="292"/>
      <c r="D466" s="293"/>
      <c r="E466" s="292"/>
      <c r="F466" s="293"/>
      <c r="G466" s="294"/>
      <c r="H466" s="295"/>
      <c r="I466" s="303"/>
      <c r="J466" s="303"/>
      <c r="K466" s="297"/>
      <c r="L466" s="303"/>
      <c r="M466" s="303"/>
      <c r="N466" s="297"/>
      <c r="O466" s="292"/>
      <c r="P466" s="303"/>
      <c r="Q466" s="298"/>
      <c r="R466" s="294"/>
      <c r="S466" s="297"/>
      <c r="T466" s="292"/>
      <c r="U466" s="299"/>
      <c r="V466" s="292"/>
      <c r="W466" s="309"/>
      <c r="X466" s="292"/>
      <c r="Y466" s="309"/>
      <c r="Z466" s="292"/>
      <c r="AA466" s="315"/>
      <c r="AB466" s="297"/>
      <c r="AC466" s="292"/>
      <c r="AD466" s="292"/>
      <c r="AE466" s="292"/>
      <c r="AF466" s="303"/>
      <c r="AG466" s="303"/>
      <c r="AH466" s="303"/>
      <c r="AI466" s="303"/>
    </row>
    <row r="467">
      <c r="A467" s="304"/>
      <c r="B467" s="299"/>
      <c r="C467" s="292"/>
      <c r="D467" s="293"/>
      <c r="E467" s="292"/>
      <c r="F467" s="293"/>
      <c r="G467" s="294"/>
      <c r="H467" s="295"/>
      <c r="I467" s="303"/>
      <c r="J467" s="303"/>
      <c r="K467" s="297"/>
      <c r="L467" s="303"/>
      <c r="M467" s="303"/>
      <c r="N467" s="297"/>
      <c r="O467" s="292"/>
      <c r="P467" s="303"/>
      <c r="Q467" s="298"/>
      <c r="R467" s="294"/>
      <c r="S467" s="297"/>
      <c r="T467" s="292"/>
      <c r="U467" s="299"/>
      <c r="V467" s="292"/>
      <c r="W467" s="309"/>
      <c r="X467" s="292"/>
      <c r="Y467" s="309"/>
      <c r="Z467" s="292"/>
      <c r="AA467" s="315"/>
      <c r="AB467" s="297"/>
      <c r="AC467" s="292"/>
      <c r="AD467" s="292"/>
      <c r="AE467" s="292"/>
      <c r="AF467" s="303"/>
      <c r="AG467" s="303"/>
      <c r="AH467" s="303"/>
      <c r="AI467" s="303"/>
    </row>
    <row r="468">
      <c r="A468" s="304"/>
      <c r="B468" s="299"/>
      <c r="C468" s="292"/>
      <c r="D468" s="293"/>
      <c r="E468" s="292"/>
      <c r="F468" s="293"/>
      <c r="G468" s="294"/>
      <c r="H468" s="295"/>
      <c r="I468" s="303"/>
      <c r="J468" s="303"/>
      <c r="K468" s="297"/>
      <c r="L468" s="303"/>
      <c r="M468" s="303"/>
      <c r="N468" s="297"/>
      <c r="O468" s="292"/>
      <c r="P468" s="303"/>
      <c r="Q468" s="298"/>
      <c r="R468" s="294"/>
      <c r="S468" s="297"/>
      <c r="T468" s="292"/>
      <c r="U468" s="299"/>
      <c r="V468" s="292"/>
      <c r="W468" s="309"/>
      <c r="X468" s="292"/>
      <c r="Y468" s="309"/>
      <c r="Z468" s="292"/>
      <c r="AA468" s="315"/>
      <c r="AB468" s="297"/>
      <c r="AC468" s="292"/>
      <c r="AD468" s="292"/>
      <c r="AE468" s="292"/>
      <c r="AF468" s="303"/>
      <c r="AG468" s="303"/>
      <c r="AH468" s="303"/>
      <c r="AI468" s="303"/>
    </row>
    <row r="469">
      <c r="A469" s="304"/>
      <c r="B469" s="299"/>
      <c r="C469" s="292"/>
      <c r="D469" s="293"/>
      <c r="E469" s="292"/>
      <c r="F469" s="293"/>
      <c r="G469" s="294"/>
      <c r="H469" s="295"/>
      <c r="I469" s="303"/>
      <c r="J469" s="303"/>
      <c r="K469" s="297"/>
      <c r="L469" s="303"/>
      <c r="M469" s="303"/>
      <c r="N469" s="297"/>
      <c r="O469" s="292"/>
      <c r="P469" s="303"/>
      <c r="Q469" s="298"/>
      <c r="R469" s="294"/>
      <c r="S469" s="297"/>
      <c r="T469" s="292"/>
      <c r="U469" s="299"/>
      <c r="V469" s="292"/>
      <c r="W469" s="309"/>
      <c r="X469" s="292"/>
      <c r="Y469" s="309"/>
      <c r="Z469" s="292"/>
      <c r="AA469" s="315"/>
      <c r="AB469" s="297"/>
      <c r="AC469" s="292"/>
      <c r="AD469" s="292"/>
      <c r="AE469" s="292"/>
      <c r="AF469" s="303"/>
      <c r="AG469" s="303"/>
      <c r="AH469" s="303"/>
      <c r="AI469" s="303"/>
    </row>
    <row r="470">
      <c r="A470" s="304"/>
      <c r="B470" s="299"/>
      <c r="C470" s="292"/>
      <c r="D470" s="293"/>
      <c r="E470" s="292"/>
      <c r="F470" s="293"/>
      <c r="G470" s="294"/>
      <c r="H470" s="295"/>
      <c r="I470" s="303"/>
      <c r="J470" s="303"/>
      <c r="K470" s="297"/>
      <c r="L470" s="303"/>
      <c r="M470" s="303"/>
      <c r="N470" s="297"/>
      <c r="O470" s="292"/>
      <c r="P470" s="303"/>
      <c r="Q470" s="298"/>
      <c r="R470" s="294"/>
      <c r="S470" s="297"/>
      <c r="T470" s="292"/>
      <c r="U470" s="299"/>
      <c r="V470" s="292"/>
      <c r="W470" s="309"/>
      <c r="X470" s="292"/>
      <c r="Y470" s="309"/>
      <c r="Z470" s="292"/>
      <c r="AA470" s="315"/>
      <c r="AB470" s="297"/>
      <c r="AC470" s="292"/>
      <c r="AD470" s="292"/>
      <c r="AE470" s="292"/>
      <c r="AF470" s="303"/>
      <c r="AG470" s="303"/>
      <c r="AH470" s="303"/>
      <c r="AI470" s="303"/>
    </row>
    <row r="471">
      <c r="A471" s="304"/>
      <c r="B471" s="299"/>
      <c r="C471" s="292"/>
      <c r="D471" s="293"/>
      <c r="E471" s="292"/>
      <c r="F471" s="293"/>
      <c r="G471" s="294"/>
      <c r="H471" s="295"/>
      <c r="I471" s="303"/>
      <c r="J471" s="303"/>
      <c r="K471" s="297"/>
      <c r="L471" s="303"/>
      <c r="M471" s="303"/>
      <c r="N471" s="297"/>
      <c r="O471" s="292"/>
      <c r="P471" s="303"/>
      <c r="Q471" s="298"/>
      <c r="R471" s="294"/>
      <c r="S471" s="297"/>
      <c r="T471" s="292"/>
      <c r="U471" s="299"/>
      <c r="V471" s="292"/>
      <c r="W471" s="309"/>
      <c r="X471" s="292"/>
      <c r="Y471" s="309"/>
      <c r="Z471" s="292"/>
      <c r="AA471" s="315"/>
      <c r="AB471" s="297"/>
      <c r="AC471" s="292"/>
      <c r="AD471" s="292"/>
      <c r="AE471" s="292"/>
      <c r="AF471" s="303"/>
      <c r="AG471" s="303"/>
      <c r="AH471" s="303"/>
      <c r="AI471" s="303"/>
    </row>
    <row r="472">
      <c r="A472" s="304"/>
      <c r="B472" s="299"/>
      <c r="C472" s="292"/>
      <c r="D472" s="293"/>
      <c r="E472" s="292"/>
      <c r="F472" s="293"/>
      <c r="G472" s="294"/>
      <c r="H472" s="295"/>
      <c r="I472" s="303"/>
      <c r="J472" s="303"/>
      <c r="K472" s="297"/>
      <c r="L472" s="303"/>
      <c r="M472" s="303"/>
      <c r="N472" s="297"/>
      <c r="O472" s="292"/>
      <c r="P472" s="303"/>
      <c r="Q472" s="298"/>
      <c r="R472" s="294"/>
      <c r="S472" s="297"/>
      <c r="T472" s="292"/>
      <c r="U472" s="299"/>
      <c r="V472" s="292"/>
      <c r="W472" s="309"/>
      <c r="X472" s="292"/>
      <c r="Y472" s="309"/>
      <c r="Z472" s="292"/>
      <c r="AA472" s="315"/>
      <c r="AB472" s="297"/>
      <c r="AC472" s="292"/>
      <c r="AD472" s="292"/>
      <c r="AE472" s="292"/>
      <c r="AF472" s="303"/>
      <c r="AG472" s="303"/>
      <c r="AH472" s="303"/>
      <c r="AI472" s="303"/>
    </row>
    <row r="473">
      <c r="A473" s="304"/>
      <c r="B473" s="299"/>
      <c r="C473" s="292"/>
      <c r="D473" s="293"/>
      <c r="E473" s="292"/>
      <c r="F473" s="293"/>
      <c r="G473" s="294"/>
      <c r="H473" s="295"/>
      <c r="I473" s="303"/>
      <c r="J473" s="303"/>
      <c r="K473" s="297"/>
      <c r="L473" s="303"/>
      <c r="M473" s="303"/>
      <c r="N473" s="297"/>
      <c r="O473" s="292"/>
      <c r="P473" s="303"/>
      <c r="Q473" s="298"/>
      <c r="R473" s="294"/>
      <c r="S473" s="297"/>
      <c r="T473" s="292"/>
      <c r="U473" s="299"/>
      <c r="V473" s="292"/>
      <c r="W473" s="309"/>
      <c r="X473" s="292"/>
      <c r="Y473" s="309"/>
      <c r="Z473" s="292"/>
      <c r="AA473" s="315"/>
      <c r="AB473" s="297"/>
      <c r="AC473" s="292"/>
      <c r="AD473" s="292"/>
      <c r="AE473" s="292"/>
      <c r="AF473" s="303"/>
      <c r="AG473" s="303"/>
      <c r="AH473" s="303"/>
      <c r="AI473" s="303"/>
    </row>
    <row r="474">
      <c r="A474" s="304"/>
      <c r="B474" s="299"/>
      <c r="C474" s="292"/>
      <c r="D474" s="293"/>
      <c r="E474" s="292"/>
      <c r="F474" s="293"/>
      <c r="G474" s="294"/>
      <c r="H474" s="295"/>
      <c r="I474" s="303"/>
      <c r="J474" s="303"/>
      <c r="K474" s="297"/>
      <c r="L474" s="303"/>
      <c r="M474" s="303"/>
      <c r="N474" s="297"/>
      <c r="O474" s="292"/>
      <c r="P474" s="303"/>
      <c r="Q474" s="298"/>
      <c r="R474" s="294"/>
      <c r="S474" s="297"/>
      <c r="T474" s="292"/>
      <c r="U474" s="299"/>
      <c r="V474" s="292"/>
      <c r="W474" s="309"/>
      <c r="X474" s="292"/>
      <c r="Y474" s="309"/>
      <c r="Z474" s="292"/>
      <c r="AA474" s="315"/>
      <c r="AB474" s="297"/>
      <c r="AC474" s="292"/>
      <c r="AD474" s="292"/>
      <c r="AE474" s="292"/>
      <c r="AF474" s="303"/>
      <c r="AG474" s="303"/>
      <c r="AH474" s="303"/>
      <c r="AI474" s="303"/>
    </row>
    <row r="475">
      <c r="A475" s="304"/>
      <c r="B475" s="299"/>
      <c r="C475" s="292"/>
      <c r="D475" s="293"/>
      <c r="E475" s="292"/>
      <c r="F475" s="293"/>
      <c r="G475" s="294"/>
      <c r="H475" s="295"/>
      <c r="I475" s="303"/>
      <c r="J475" s="303"/>
      <c r="K475" s="297"/>
      <c r="L475" s="303"/>
      <c r="M475" s="303"/>
      <c r="N475" s="297"/>
      <c r="O475" s="292"/>
      <c r="P475" s="303"/>
      <c r="Q475" s="298"/>
      <c r="R475" s="294"/>
      <c r="S475" s="297"/>
      <c r="T475" s="292"/>
      <c r="U475" s="299"/>
      <c r="V475" s="292"/>
      <c r="W475" s="309"/>
      <c r="X475" s="292"/>
      <c r="Y475" s="309"/>
      <c r="Z475" s="292"/>
      <c r="AA475" s="315"/>
      <c r="AB475" s="297"/>
      <c r="AC475" s="292"/>
      <c r="AD475" s="292"/>
      <c r="AE475" s="292"/>
      <c r="AF475" s="303"/>
      <c r="AG475" s="303"/>
      <c r="AH475" s="303"/>
      <c r="AI475" s="303"/>
    </row>
    <row r="476">
      <c r="A476" s="304"/>
      <c r="B476" s="299"/>
      <c r="C476" s="292"/>
      <c r="D476" s="293"/>
      <c r="E476" s="292"/>
      <c r="F476" s="293"/>
      <c r="G476" s="294"/>
      <c r="H476" s="295"/>
      <c r="I476" s="303"/>
      <c r="J476" s="303"/>
      <c r="K476" s="297"/>
      <c r="L476" s="303"/>
      <c r="M476" s="303"/>
      <c r="N476" s="297"/>
      <c r="O476" s="292"/>
      <c r="P476" s="303"/>
      <c r="Q476" s="298"/>
      <c r="R476" s="294"/>
      <c r="S476" s="297"/>
      <c r="T476" s="292"/>
      <c r="U476" s="299"/>
      <c r="V476" s="292"/>
      <c r="W476" s="309"/>
      <c r="X476" s="292"/>
      <c r="Y476" s="309"/>
      <c r="Z476" s="292"/>
      <c r="AA476" s="315"/>
      <c r="AB476" s="297"/>
      <c r="AC476" s="292"/>
      <c r="AD476" s="292"/>
      <c r="AE476" s="292"/>
      <c r="AF476" s="303"/>
      <c r="AG476" s="303"/>
      <c r="AH476" s="303"/>
      <c r="AI476" s="303"/>
    </row>
    <row r="477">
      <c r="A477" s="304"/>
      <c r="B477" s="299"/>
      <c r="C477" s="292"/>
      <c r="D477" s="293"/>
      <c r="E477" s="292"/>
      <c r="F477" s="293"/>
      <c r="G477" s="294"/>
      <c r="H477" s="295"/>
      <c r="I477" s="303"/>
      <c r="J477" s="303"/>
      <c r="K477" s="297"/>
      <c r="L477" s="303"/>
      <c r="M477" s="303"/>
      <c r="N477" s="297"/>
      <c r="O477" s="292"/>
      <c r="P477" s="303"/>
      <c r="Q477" s="298"/>
      <c r="R477" s="294"/>
      <c r="S477" s="297"/>
      <c r="T477" s="292"/>
      <c r="U477" s="299"/>
      <c r="V477" s="292"/>
      <c r="W477" s="309"/>
      <c r="X477" s="292"/>
      <c r="Y477" s="309"/>
      <c r="Z477" s="292"/>
      <c r="AA477" s="315"/>
      <c r="AB477" s="297"/>
      <c r="AC477" s="292"/>
      <c r="AD477" s="292"/>
      <c r="AE477" s="292"/>
      <c r="AF477" s="303"/>
      <c r="AG477" s="303"/>
      <c r="AH477" s="303"/>
      <c r="AI477" s="303"/>
    </row>
    <row r="478">
      <c r="A478" s="304"/>
      <c r="B478" s="299"/>
      <c r="C478" s="292"/>
      <c r="D478" s="293"/>
      <c r="E478" s="292"/>
      <c r="F478" s="293"/>
      <c r="G478" s="294"/>
      <c r="H478" s="295"/>
      <c r="I478" s="303"/>
      <c r="J478" s="303"/>
      <c r="K478" s="297"/>
      <c r="L478" s="303"/>
      <c r="M478" s="303"/>
      <c r="N478" s="297"/>
      <c r="O478" s="292"/>
      <c r="P478" s="303"/>
      <c r="Q478" s="298"/>
      <c r="R478" s="294"/>
      <c r="S478" s="297"/>
      <c r="T478" s="292"/>
      <c r="U478" s="299"/>
      <c r="V478" s="292"/>
      <c r="W478" s="309"/>
      <c r="X478" s="292"/>
      <c r="Y478" s="309"/>
      <c r="Z478" s="292"/>
      <c r="AA478" s="315"/>
      <c r="AB478" s="297"/>
      <c r="AC478" s="292"/>
      <c r="AD478" s="292"/>
      <c r="AE478" s="292"/>
      <c r="AF478" s="303"/>
      <c r="AG478" s="303"/>
      <c r="AH478" s="303"/>
      <c r="AI478" s="303"/>
    </row>
    <row r="479">
      <c r="A479" s="304"/>
      <c r="B479" s="299"/>
      <c r="C479" s="292"/>
      <c r="D479" s="293"/>
      <c r="E479" s="292"/>
      <c r="F479" s="293"/>
      <c r="G479" s="294"/>
      <c r="H479" s="295"/>
      <c r="I479" s="303"/>
      <c r="J479" s="303"/>
      <c r="K479" s="297"/>
      <c r="L479" s="303"/>
      <c r="M479" s="303"/>
      <c r="N479" s="297"/>
      <c r="O479" s="292"/>
      <c r="P479" s="303"/>
      <c r="Q479" s="298"/>
      <c r="R479" s="294"/>
      <c r="S479" s="297"/>
      <c r="T479" s="292"/>
      <c r="U479" s="299"/>
      <c r="V479" s="292"/>
      <c r="W479" s="309"/>
      <c r="X479" s="292"/>
      <c r="Y479" s="309"/>
      <c r="Z479" s="292"/>
      <c r="AA479" s="315"/>
      <c r="AB479" s="297"/>
      <c r="AC479" s="292"/>
      <c r="AD479" s="292"/>
      <c r="AE479" s="292"/>
      <c r="AF479" s="303"/>
      <c r="AG479" s="303"/>
      <c r="AH479" s="303"/>
      <c r="AI479" s="303"/>
    </row>
    <row r="480">
      <c r="A480" s="304"/>
      <c r="B480" s="299"/>
      <c r="C480" s="292"/>
      <c r="D480" s="293"/>
      <c r="E480" s="292"/>
      <c r="F480" s="293"/>
      <c r="G480" s="294"/>
      <c r="H480" s="295"/>
      <c r="I480" s="303"/>
      <c r="J480" s="303"/>
      <c r="K480" s="297"/>
      <c r="L480" s="303"/>
      <c r="M480" s="303"/>
      <c r="N480" s="297"/>
      <c r="O480" s="292"/>
      <c r="P480" s="303"/>
      <c r="Q480" s="298"/>
      <c r="R480" s="294"/>
      <c r="S480" s="297"/>
      <c r="T480" s="292"/>
      <c r="U480" s="299"/>
      <c r="V480" s="292"/>
      <c r="W480" s="309"/>
      <c r="X480" s="292"/>
      <c r="Y480" s="309"/>
      <c r="Z480" s="292"/>
      <c r="AA480" s="315"/>
      <c r="AB480" s="297"/>
      <c r="AC480" s="292"/>
      <c r="AD480" s="292"/>
      <c r="AE480" s="292"/>
      <c r="AF480" s="303"/>
      <c r="AG480" s="303"/>
      <c r="AH480" s="303"/>
      <c r="AI480" s="303"/>
    </row>
    <row r="481">
      <c r="A481" s="304"/>
      <c r="B481" s="299"/>
      <c r="C481" s="292"/>
      <c r="D481" s="293"/>
      <c r="E481" s="292"/>
      <c r="F481" s="293"/>
      <c r="G481" s="294"/>
      <c r="H481" s="295"/>
      <c r="I481" s="303"/>
      <c r="J481" s="303"/>
      <c r="K481" s="297"/>
      <c r="L481" s="303"/>
      <c r="M481" s="303"/>
      <c r="N481" s="297"/>
      <c r="O481" s="292"/>
      <c r="P481" s="303"/>
      <c r="Q481" s="298"/>
      <c r="R481" s="294"/>
      <c r="S481" s="297"/>
      <c r="T481" s="292"/>
      <c r="U481" s="299"/>
      <c r="V481" s="292"/>
      <c r="W481" s="309"/>
      <c r="X481" s="292"/>
      <c r="Y481" s="309"/>
      <c r="Z481" s="292"/>
      <c r="AA481" s="315"/>
      <c r="AB481" s="297"/>
      <c r="AC481" s="292"/>
      <c r="AD481" s="292"/>
      <c r="AE481" s="292"/>
      <c r="AF481" s="303"/>
      <c r="AG481" s="303"/>
      <c r="AH481" s="303"/>
      <c r="AI481" s="303"/>
    </row>
    <row r="482">
      <c r="A482" s="304"/>
      <c r="B482" s="299"/>
      <c r="C482" s="292"/>
      <c r="D482" s="293"/>
      <c r="E482" s="292"/>
      <c r="F482" s="293"/>
      <c r="G482" s="294"/>
      <c r="H482" s="295"/>
      <c r="I482" s="303"/>
      <c r="J482" s="303"/>
      <c r="K482" s="297"/>
      <c r="L482" s="303"/>
      <c r="M482" s="303"/>
      <c r="N482" s="297"/>
      <c r="O482" s="292"/>
      <c r="P482" s="303"/>
      <c r="Q482" s="298"/>
      <c r="R482" s="294"/>
      <c r="S482" s="297"/>
      <c r="T482" s="292"/>
      <c r="U482" s="299"/>
      <c r="V482" s="292"/>
      <c r="W482" s="309"/>
      <c r="X482" s="292"/>
      <c r="Y482" s="309"/>
      <c r="Z482" s="292"/>
      <c r="AA482" s="315"/>
      <c r="AB482" s="297"/>
      <c r="AC482" s="292"/>
      <c r="AD482" s="292"/>
      <c r="AE482" s="292"/>
      <c r="AF482" s="303"/>
      <c r="AG482" s="303"/>
      <c r="AH482" s="303"/>
      <c r="AI482" s="303"/>
    </row>
    <row r="483">
      <c r="A483" s="304"/>
      <c r="B483" s="299"/>
      <c r="C483" s="292"/>
      <c r="D483" s="293"/>
      <c r="E483" s="292"/>
      <c r="F483" s="293"/>
      <c r="G483" s="294"/>
      <c r="H483" s="295"/>
      <c r="I483" s="303"/>
      <c r="J483" s="303"/>
      <c r="K483" s="297"/>
      <c r="L483" s="303"/>
      <c r="M483" s="303"/>
      <c r="N483" s="297"/>
      <c r="O483" s="292"/>
      <c r="P483" s="303"/>
      <c r="Q483" s="298"/>
      <c r="R483" s="294"/>
      <c r="S483" s="297"/>
      <c r="T483" s="292"/>
      <c r="U483" s="299"/>
      <c r="V483" s="292"/>
      <c r="W483" s="309"/>
      <c r="X483" s="292"/>
      <c r="Y483" s="309"/>
      <c r="Z483" s="292"/>
      <c r="AA483" s="315"/>
      <c r="AB483" s="297"/>
      <c r="AC483" s="292"/>
      <c r="AD483" s="292"/>
      <c r="AE483" s="292"/>
      <c r="AF483" s="303"/>
      <c r="AG483" s="303"/>
      <c r="AH483" s="303"/>
      <c r="AI483" s="303"/>
    </row>
    <row r="484">
      <c r="A484" s="304"/>
      <c r="B484" s="299"/>
      <c r="C484" s="292"/>
      <c r="D484" s="293"/>
      <c r="E484" s="292"/>
      <c r="F484" s="293"/>
      <c r="G484" s="294"/>
      <c r="H484" s="295"/>
      <c r="I484" s="303"/>
      <c r="J484" s="303"/>
      <c r="K484" s="297"/>
      <c r="L484" s="303"/>
      <c r="M484" s="303"/>
      <c r="N484" s="297"/>
      <c r="O484" s="292"/>
      <c r="P484" s="303"/>
      <c r="Q484" s="298"/>
      <c r="R484" s="294"/>
      <c r="S484" s="297"/>
      <c r="T484" s="292"/>
      <c r="U484" s="299"/>
      <c r="V484" s="292"/>
      <c r="W484" s="309"/>
      <c r="X484" s="292"/>
      <c r="Y484" s="309"/>
      <c r="Z484" s="292"/>
      <c r="AA484" s="315"/>
      <c r="AB484" s="297"/>
      <c r="AC484" s="292"/>
      <c r="AD484" s="292"/>
      <c r="AE484" s="292"/>
      <c r="AF484" s="303"/>
      <c r="AG484" s="303"/>
      <c r="AH484" s="303"/>
      <c r="AI484" s="303"/>
    </row>
    <row r="485">
      <c r="A485" s="304"/>
      <c r="B485" s="299"/>
      <c r="C485" s="292"/>
      <c r="D485" s="293"/>
      <c r="E485" s="292"/>
      <c r="F485" s="293"/>
      <c r="G485" s="294"/>
      <c r="H485" s="295"/>
      <c r="I485" s="303"/>
      <c r="J485" s="303"/>
      <c r="K485" s="297"/>
      <c r="L485" s="303"/>
      <c r="M485" s="303"/>
      <c r="N485" s="297"/>
      <c r="O485" s="292"/>
      <c r="P485" s="303"/>
      <c r="Q485" s="298"/>
      <c r="R485" s="294"/>
      <c r="S485" s="297"/>
      <c r="T485" s="292"/>
      <c r="U485" s="299"/>
      <c r="V485" s="292"/>
      <c r="W485" s="309"/>
      <c r="X485" s="292"/>
      <c r="Y485" s="309"/>
      <c r="Z485" s="292"/>
      <c r="AA485" s="315"/>
      <c r="AB485" s="297"/>
      <c r="AC485" s="292"/>
      <c r="AD485" s="292"/>
      <c r="AE485" s="292"/>
      <c r="AF485" s="303"/>
      <c r="AG485" s="303"/>
      <c r="AH485" s="303"/>
      <c r="AI485" s="303"/>
    </row>
    <row r="486">
      <c r="A486" s="304"/>
      <c r="B486" s="299"/>
      <c r="C486" s="292"/>
      <c r="D486" s="293"/>
      <c r="E486" s="292"/>
      <c r="F486" s="293"/>
      <c r="G486" s="294"/>
      <c r="H486" s="295"/>
      <c r="I486" s="303"/>
      <c r="J486" s="303"/>
      <c r="K486" s="297"/>
      <c r="L486" s="303"/>
      <c r="M486" s="303"/>
      <c r="N486" s="297"/>
      <c r="O486" s="292"/>
      <c r="P486" s="303"/>
      <c r="Q486" s="298"/>
      <c r="R486" s="294"/>
      <c r="S486" s="297"/>
      <c r="T486" s="292"/>
      <c r="U486" s="299"/>
      <c r="V486" s="292"/>
      <c r="W486" s="309"/>
      <c r="X486" s="292"/>
      <c r="Y486" s="309"/>
      <c r="Z486" s="292"/>
      <c r="AA486" s="315"/>
      <c r="AB486" s="297"/>
      <c r="AC486" s="292"/>
      <c r="AD486" s="292"/>
      <c r="AE486" s="292"/>
      <c r="AF486" s="303"/>
      <c r="AG486" s="303"/>
      <c r="AH486" s="303"/>
      <c r="AI486" s="303"/>
    </row>
    <row r="487">
      <c r="A487" s="304"/>
      <c r="B487" s="299"/>
      <c r="C487" s="292"/>
      <c r="D487" s="293"/>
      <c r="E487" s="292"/>
      <c r="F487" s="293"/>
      <c r="G487" s="294"/>
      <c r="H487" s="295"/>
      <c r="I487" s="303"/>
      <c r="J487" s="303"/>
      <c r="K487" s="297"/>
      <c r="L487" s="303"/>
      <c r="M487" s="303"/>
      <c r="N487" s="297"/>
      <c r="O487" s="292"/>
      <c r="P487" s="303"/>
      <c r="Q487" s="298"/>
      <c r="R487" s="294"/>
      <c r="S487" s="297"/>
      <c r="T487" s="292"/>
      <c r="U487" s="299"/>
      <c r="V487" s="292"/>
      <c r="W487" s="309"/>
      <c r="X487" s="292"/>
      <c r="Y487" s="309"/>
      <c r="Z487" s="292"/>
      <c r="AA487" s="315"/>
      <c r="AB487" s="297"/>
      <c r="AC487" s="292"/>
      <c r="AD487" s="292"/>
      <c r="AE487" s="292"/>
      <c r="AF487" s="303"/>
      <c r="AG487" s="303"/>
      <c r="AH487" s="303"/>
      <c r="AI487" s="303"/>
    </row>
    <row r="488">
      <c r="A488" s="304"/>
      <c r="B488" s="299"/>
      <c r="C488" s="292"/>
      <c r="D488" s="293"/>
      <c r="E488" s="292"/>
      <c r="F488" s="293"/>
      <c r="G488" s="294"/>
      <c r="H488" s="295"/>
      <c r="I488" s="303"/>
      <c r="J488" s="303"/>
      <c r="K488" s="297"/>
      <c r="L488" s="303"/>
      <c r="M488" s="303"/>
      <c r="N488" s="297"/>
      <c r="O488" s="292"/>
      <c r="P488" s="303"/>
      <c r="Q488" s="298"/>
      <c r="R488" s="294"/>
      <c r="S488" s="297"/>
      <c r="T488" s="292"/>
      <c r="U488" s="299"/>
      <c r="V488" s="292"/>
      <c r="W488" s="309"/>
      <c r="X488" s="292"/>
      <c r="Y488" s="309"/>
      <c r="Z488" s="292"/>
      <c r="AA488" s="315"/>
      <c r="AB488" s="297"/>
      <c r="AC488" s="292"/>
      <c r="AD488" s="292"/>
      <c r="AE488" s="292"/>
      <c r="AF488" s="303"/>
      <c r="AG488" s="303"/>
      <c r="AH488" s="303"/>
      <c r="AI488" s="303"/>
    </row>
    <row r="489">
      <c r="A489" s="304"/>
      <c r="B489" s="299"/>
      <c r="C489" s="292"/>
      <c r="D489" s="293"/>
      <c r="E489" s="292"/>
      <c r="F489" s="293"/>
      <c r="G489" s="294"/>
      <c r="H489" s="295"/>
      <c r="I489" s="303"/>
      <c r="J489" s="303"/>
      <c r="K489" s="297"/>
      <c r="L489" s="303"/>
      <c r="M489" s="303"/>
      <c r="N489" s="297"/>
      <c r="O489" s="292"/>
      <c r="P489" s="303"/>
      <c r="Q489" s="298"/>
      <c r="R489" s="294"/>
      <c r="S489" s="297"/>
      <c r="T489" s="292"/>
      <c r="U489" s="299"/>
      <c r="V489" s="292"/>
      <c r="W489" s="309"/>
      <c r="X489" s="292"/>
      <c r="Y489" s="309"/>
      <c r="Z489" s="292"/>
      <c r="AA489" s="315"/>
      <c r="AB489" s="297"/>
      <c r="AC489" s="292"/>
      <c r="AD489" s="292"/>
      <c r="AE489" s="292"/>
      <c r="AF489" s="303"/>
      <c r="AG489" s="303"/>
      <c r="AH489" s="303"/>
      <c r="AI489" s="303"/>
    </row>
    <row r="490">
      <c r="A490" s="304"/>
      <c r="B490" s="299"/>
      <c r="C490" s="292"/>
      <c r="D490" s="293"/>
      <c r="E490" s="292"/>
      <c r="F490" s="293"/>
      <c r="G490" s="294"/>
      <c r="H490" s="295"/>
      <c r="I490" s="303"/>
      <c r="J490" s="303"/>
      <c r="K490" s="297"/>
      <c r="L490" s="303"/>
      <c r="M490" s="303"/>
      <c r="N490" s="297"/>
      <c r="O490" s="292"/>
      <c r="P490" s="303"/>
      <c r="Q490" s="298"/>
      <c r="R490" s="294"/>
      <c r="S490" s="297"/>
      <c r="T490" s="292"/>
      <c r="U490" s="299"/>
      <c r="V490" s="292"/>
      <c r="W490" s="309"/>
      <c r="X490" s="292"/>
      <c r="Y490" s="309"/>
      <c r="Z490" s="292"/>
      <c r="AA490" s="315"/>
      <c r="AB490" s="297"/>
      <c r="AC490" s="292"/>
      <c r="AD490" s="292"/>
      <c r="AE490" s="292"/>
      <c r="AF490" s="303"/>
      <c r="AG490" s="303"/>
      <c r="AH490" s="303"/>
      <c r="AI490" s="303"/>
    </row>
    <row r="491">
      <c r="A491" s="304"/>
      <c r="B491" s="299"/>
      <c r="C491" s="292"/>
      <c r="D491" s="293"/>
      <c r="E491" s="292"/>
      <c r="F491" s="293"/>
      <c r="G491" s="294"/>
      <c r="H491" s="295"/>
      <c r="I491" s="303"/>
      <c r="J491" s="303"/>
      <c r="K491" s="297"/>
      <c r="L491" s="303"/>
      <c r="M491" s="303"/>
      <c r="N491" s="297"/>
      <c r="O491" s="292"/>
      <c r="P491" s="303"/>
      <c r="Q491" s="298"/>
      <c r="R491" s="294"/>
      <c r="S491" s="297"/>
      <c r="T491" s="292"/>
      <c r="U491" s="299"/>
      <c r="V491" s="292"/>
      <c r="W491" s="309"/>
      <c r="X491" s="292"/>
      <c r="Y491" s="309"/>
      <c r="Z491" s="292"/>
      <c r="AA491" s="315"/>
      <c r="AB491" s="297"/>
      <c r="AC491" s="292"/>
      <c r="AD491" s="292"/>
      <c r="AE491" s="292"/>
      <c r="AF491" s="303"/>
      <c r="AG491" s="303"/>
      <c r="AH491" s="303"/>
      <c r="AI491" s="303"/>
    </row>
    <row r="492">
      <c r="A492" s="304"/>
      <c r="B492" s="299"/>
      <c r="C492" s="292"/>
      <c r="D492" s="293"/>
      <c r="E492" s="292"/>
      <c r="F492" s="293"/>
      <c r="G492" s="294"/>
      <c r="H492" s="295"/>
      <c r="I492" s="303"/>
      <c r="J492" s="303"/>
      <c r="K492" s="297"/>
      <c r="L492" s="303"/>
      <c r="M492" s="303"/>
      <c r="N492" s="297"/>
      <c r="O492" s="292"/>
      <c r="P492" s="303"/>
      <c r="Q492" s="298"/>
      <c r="R492" s="294"/>
      <c r="S492" s="297"/>
      <c r="T492" s="292"/>
      <c r="U492" s="299"/>
      <c r="V492" s="292"/>
      <c r="W492" s="309"/>
      <c r="X492" s="292"/>
      <c r="Y492" s="309"/>
      <c r="Z492" s="292"/>
      <c r="AA492" s="315"/>
      <c r="AB492" s="297"/>
      <c r="AC492" s="292"/>
      <c r="AD492" s="292"/>
      <c r="AE492" s="292"/>
      <c r="AF492" s="303"/>
      <c r="AG492" s="303"/>
      <c r="AH492" s="303"/>
      <c r="AI492" s="303"/>
    </row>
    <row r="493">
      <c r="A493" s="304"/>
      <c r="B493" s="299"/>
      <c r="C493" s="292"/>
      <c r="D493" s="293"/>
      <c r="E493" s="292"/>
      <c r="F493" s="293"/>
      <c r="G493" s="294"/>
      <c r="H493" s="295"/>
      <c r="I493" s="303"/>
      <c r="J493" s="303"/>
      <c r="K493" s="297"/>
      <c r="L493" s="303"/>
      <c r="M493" s="303"/>
      <c r="N493" s="297"/>
      <c r="O493" s="292"/>
      <c r="P493" s="303"/>
      <c r="Q493" s="298"/>
      <c r="R493" s="294"/>
      <c r="S493" s="297"/>
      <c r="T493" s="292"/>
      <c r="U493" s="299"/>
      <c r="V493" s="292"/>
      <c r="W493" s="309"/>
      <c r="X493" s="292"/>
      <c r="Y493" s="309"/>
      <c r="Z493" s="292"/>
      <c r="AA493" s="315"/>
      <c r="AB493" s="297"/>
      <c r="AC493" s="292"/>
      <c r="AD493" s="292"/>
      <c r="AE493" s="292"/>
      <c r="AF493" s="303"/>
      <c r="AG493" s="303"/>
      <c r="AH493" s="303"/>
      <c r="AI493" s="303"/>
    </row>
    <row r="494">
      <c r="A494" s="304"/>
      <c r="B494" s="299"/>
      <c r="C494" s="292"/>
      <c r="D494" s="293"/>
      <c r="E494" s="292"/>
      <c r="F494" s="293"/>
      <c r="G494" s="294"/>
      <c r="H494" s="295"/>
      <c r="I494" s="303"/>
      <c r="J494" s="303"/>
      <c r="K494" s="297"/>
      <c r="L494" s="303"/>
      <c r="M494" s="303"/>
      <c r="N494" s="297"/>
      <c r="O494" s="292"/>
      <c r="P494" s="303"/>
      <c r="Q494" s="298"/>
      <c r="R494" s="294"/>
      <c r="S494" s="297"/>
      <c r="T494" s="292"/>
      <c r="U494" s="299"/>
      <c r="V494" s="292"/>
      <c r="W494" s="309"/>
      <c r="X494" s="292"/>
      <c r="Y494" s="309"/>
      <c r="Z494" s="292"/>
      <c r="AA494" s="315"/>
      <c r="AB494" s="297"/>
      <c r="AC494" s="292"/>
      <c r="AD494" s="292"/>
      <c r="AE494" s="292"/>
      <c r="AF494" s="303"/>
      <c r="AG494" s="303"/>
      <c r="AH494" s="303"/>
      <c r="AI494" s="303"/>
    </row>
    <row r="495">
      <c r="A495" s="304"/>
      <c r="B495" s="299"/>
      <c r="C495" s="292"/>
      <c r="D495" s="293"/>
      <c r="E495" s="292"/>
      <c r="F495" s="293"/>
      <c r="G495" s="294"/>
      <c r="H495" s="295"/>
      <c r="I495" s="303"/>
      <c r="J495" s="303"/>
      <c r="K495" s="297"/>
      <c r="L495" s="303"/>
      <c r="M495" s="303"/>
      <c r="N495" s="297"/>
      <c r="O495" s="292"/>
      <c r="P495" s="303"/>
      <c r="Q495" s="298"/>
      <c r="R495" s="294"/>
      <c r="S495" s="297"/>
      <c r="T495" s="292"/>
      <c r="U495" s="299"/>
      <c r="V495" s="292"/>
      <c r="W495" s="309"/>
      <c r="X495" s="292"/>
      <c r="Y495" s="309"/>
      <c r="Z495" s="292"/>
      <c r="AA495" s="315"/>
      <c r="AB495" s="297"/>
      <c r="AC495" s="292"/>
      <c r="AD495" s="292"/>
      <c r="AE495" s="292"/>
      <c r="AF495" s="303"/>
      <c r="AG495" s="303"/>
      <c r="AH495" s="303"/>
      <c r="AI495" s="303"/>
    </row>
    <row r="496">
      <c r="A496" s="304"/>
      <c r="B496" s="299"/>
      <c r="C496" s="292"/>
      <c r="D496" s="293"/>
      <c r="E496" s="292"/>
      <c r="F496" s="293"/>
      <c r="G496" s="294"/>
      <c r="H496" s="295"/>
      <c r="I496" s="303"/>
      <c r="J496" s="303"/>
      <c r="K496" s="297"/>
      <c r="L496" s="303"/>
      <c r="M496" s="303"/>
      <c r="N496" s="297"/>
      <c r="O496" s="292"/>
      <c r="P496" s="303"/>
      <c r="Q496" s="298"/>
      <c r="R496" s="294"/>
      <c r="S496" s="297"/>
      <c r="T496" s="292"/>
      <c r="U496" s="299"/>
      <c r="V496" s="292"/>
      <c r="W496" s="309"/>
      <c r="X496" s="292"/>
      <c r="Y496" s="309"/>
      <c r="Z496" s="292"/>
      <c r="AA496" s="315"/>
      <c r="AB496" s="297"/>
      <c r="AC496" s="292"/>
      <c r="AD496" s="292"/>
      <c r="AE496" s="292"/>
      <c r="AF496" s="303"/>
      <c r="AG496" s="303"/>
      <c r="AH496" s="303"/>
      <c r="AI496" s="303"/>
    </row>
    <row r="497">
      <c r="A497" s="304"/>
      <c r="B497" s="299"/>
      <c r="C497" s="292"/>
      <c r="D497" s="293"/>
      <c r="E497" s="292"/>
      <c r="F497" s="293"/>
      <c r="G497" s="294"/>
      <c r="H497" s="295"/>
      <c r="I497" s="303"/>
      <c r="J497" s="303"/>
      <c r="K497" s="297"/>
      <c r="L497" s="303"/>
      <c r="M497" s="303"/>
      <c r="N497" s="297"/>
      <c r="O497" s="292"/>
      <c r="P497" s="303"/>
      <c r="Q497" s="298"/>
      <c r="R497" s="294"/>
      <c r="S497" s="297"/>
      <c r="T497" s="292"/>
      <c r="U497" s="299"/>
      <c r="V497" s="292"/>
      <c r="W497" s="309"/>
      <c r="X497" s="292"/>
      <c r="Y497" s="309"/>
      <c r="Z497" s="292"/>
      <c r="AA497" s="315"/>
      <c r="AB497" s="297"/>
      <c r="AC497" s="292"/>
      <c r="AD497" s="292"/>
      <c r="AE497" s="292"/>
      <c r="AF497" s="303"/>
      <c r="AG497" s="303"/>
      <c r="AH497" s="303"/>
      <c r="AI497" s="303"/>
    </row>
    <row r="498">
      <c r="A498" s="304"/>
      <c r="B498" s="299"/>
      <c r="C498" s="292"/>
      <c r="D498" s="293"/>
      <c r="E498" s="292"/>
      <c r="F498" s="293"/>
      <c r="G498" s="294"/>
      <c r="H498" s="295"/>
      <c r="I498" s="303"/>
      <c r="J498" s="303"/>
      <c r="K498" s="297"/>
      <c r="L498" s="303"/>
      <c r="M498" s="303"/>
      <c r="N498" s="297"/>
      <c r="O498" s="292"/>
      <c r="P498" s="303"/>
      <c r="Q498" s="298"/>
      <c r="R498" s="294"/>
      <c r="S498" s="297"/>
      <c r="T498" s="292"/>
      <c r="U498" s="299"/>
      <c r="V498" s="292"/>
      <c r="W498" s="309"/>
      <c r="X498" s="292"/>
      <c r="Y498" s="309"/>
      <c r="Z498" s="292"/>
      <c r="AA498" s="315"/>
      <c r="AB498" s="297"/>
      <c r="AC498" s="292"/>
      <c r="AD498" s="292"/>
      <c r="AE498" s="292"/>
      <c r="AF498" s="303"/>
      <c r="AG498" s="303"/>
      <c r="AH498" s="303"/>
      <c r="AI498" s="303"/>
    </row>
    <row r="499">
      <c r="A499" s="304"/>
      <c r="B499" s="299"/>
      <c r="C499" s="292"/>
      <c r="D499" s="293"/>
      <c r="E499" s="292"/>
      <c r="F499" s="293"/>
      <c r="G499" s="294"/>
      <c r="H499" s="295"/>
      <c r="I499" s="303"/>
      <c r="J499" s="303"/>
      <c r="K499" s="297"/>
      <c r="L499" s="303"/>
      <c r="M499" s="303"/>
      <c r="N499" s="297"/>
      <c r="O499" s="292"/>
      <c r="P499" s="303"/>
      <c r="Q499" s="298"/>
      <c r="R499" s="294"/>
      <c r="S499" s="297"/>
      <c r="T499" s="292"/>
      <c r="U499" s="299"/>
      <c r="V499" s="292"/>
      <c r="W499" s="309"/>
      <c r="X499" s="292"/>
      <c r="Y499" s="309"/>
      <c r="Z499" s="292"/>
      <c r="AA499" s="315"/>
      <c r="AB499" s="297"/>
      <c r="AC499" s="292"/>
      <c r="AD499" s="292"/>
      <c r="AE499" s="292"/>
      <c r="AF499" s="303"/>
      <c r="AG499" s="303"/>
      <c r="AH499" s="303"/>
      <c r="AI499" s="303"/>
    </row>
    <row r="500">
      <c r="A500" s="304"/>
      <c r="B500" s="299"/>
      <c r="C500" s="292"/>
      <c r="D500" s="293"/>
      <c r="E500" s="292"/>
      <c r="F500" s="293"/>
      <c r="G500" s="294"/>
      <c r="H500" s="295"/>
      <c r="I500" s="303"/>
      <c r="J500" s="303"/>
      <c r="K500" s="297"/>
      <c r="L500" s="303"/>
      <c r="M500" s="303"/>
      <c r="N500" s="297"/>
      <c r="O500" s="292"/>
      <c r="P500" s="303"/>
      <c r="Q500" s="298"/>
      <c r="R500" s="294"/>
      <c r="S500" s="297"/>
      <c r="T500" s="292"/>
      <c r="U500" s="299"/>
      <c r="V500" s="292"/>
      <c r="W500" s="309"/>
      <c r="X500" s="292"/>
      <c r="Y500" s="309"/>
      <c r="Z500" s="292"/>
      <c r="AA500" s="315"/>
      <c r="AB500" s="297"/>
      <c r="AC500" s="292"/>
      <c r="AD500" s="292"/>
      <c r="AE500" s="292"/>
      <c r="AF500" s="303"/>
      <c r="AG500" s="303"/>
      <c r="AH500" s="303"/>
      <c r="AI500" s="303"/>
    </row>
    <row r="501">
      <c r="A501" s="304"/>
      <c r="B501" s="299"/>
      <c r="C501" s="292"/>
      <c r="D501" s="293"/>
      <c r="E501" s="292"/>
      <c r="F501" s="293"/>
      <c r="G501" s="294"/>
      <c r="H501" s="295"/>
      <c r="I501" s="303"/>
      <c r="J501" s="303"/>
      <c r="K501" s="297"/>
      <c r="L501" s="303"/>
      <c r="M501" s="303"/>
      <c r="N501" s="297"/>
      <c r="O501" s="292"/>
      <c r="P501" s="303"/>
      <c r="Q501" s="298"/>
      <c r="R501" s="294"/>
      <c r="S501" s="297"/>
      <c r="T501" s="292"/>
      <c r="U501" s="299"/>
      <c r="V501" s="292"/>
      <c r="W501" s="309"/>
      <c r="X501" s="292"/>
      <c r="Y501" s="309"/>
      <c r="Z501" s="292"/>
      <c r="AA501" s="315"/>
      <c r="AB501" s="297"/>
      <c r="AC501" s="292"/>
      <c r="AD501" s="292"/>
      <c r="AE501" s="292"/>
      <c r="AF501" s="303"/>
      <c r="AG501" s="303"/>
      <c r="AH501" s="303"/>
      <c r="AI501" s="303"/>
    </row>
    <row r="502">
      <c r="A502" s="304"/>
      <c r="B502" s="299"/>
      <c r="C502" s="292"/>
      <c r="D502" s="293"/>
      <c r="E502" s="292"/>
      <c r="F502" s="293"/>
      <c r="G502" s="294"/>
      <c r="H502" s="295"/>
      <c r="I502" s="303"/>
      <c r="J502" s="303"/>
      <c r="K502" s="297"/>
      <c r="L502" s="303"/>
      <c r="M502" s="303"/>
      <c r="N502" s="297"/>
      <c r="O502" s="292"/>
      <c r="P502" s="303"/>
      <c r="Q502" s="298"/>
      <c r="R502" s="294"/>
      <c r="S502" s="297"/>
      <c r="T502" s="292"/>
      <c r="U502" s="299"/>
      <c r="V502" s="292"/>
      <c r="W502" s="309"/>
      <c r="X502" s="292"/>
      <c r="Y502" s="309"/>
      <c r="Z502" s="292"/>
      <c r="AA502" s="315"/>
      <c r="AB502" s="297"/>
      <c r="AC502" s="292"/>
      <c r="AD502" s="292"/>
      <c r="AE502" s="292"/>
      <c r="AF502" s="303"/>
      <c r="AG502" s="303"/>
      <c r="AH502" s="303"/>
      <c r="AI502" s="303"/>
    </row>
    <row r="503">
      <c r="A503" s="304"/>
      <c r="B503" s="299"/>
      <c r="C503" s="292"/>
      <c r="D503" s="293"/>
      <c r="E503" s="292"/>
      <c r="F503" s="293"/>
      <c r="G503" s="294"/>
      <c r="H503" s="295"/>
      <c r="I503" s="303"/>
      <c r="J503" s="303"/>
      <c r="K503" s="297"/>
      <c r="L503" s="303"/>
      <c r="M503" s="303"/>
      <c r="N503" s="297"/>
      <c r="O503" s="292"/>
      <c r="P503" s="303"/>
      <c r="Q503" s="298"/>
      <c r="R503" s="294"/>
      <c r="S503" s="297"/>
      <c r="T503" s="292"/>
      <c r="U503" s="299"/>
      <c r="V503" s="292"/>
      <c r="W503" s="309"/>
      <c r="X503" s="292"/>
      <c r="Y503" s="309"/>
      <c r="Z503" s="292"/>
      <c r="AA503" s="315"/>
      <c r="AB503" s="297"/>
      <c r="AC503" s="292"/>
      <c r="AD503" s="292"/>
      <c r="AE503" s="292"/>
      <c r="AF503" s="303"/>
      <c r="AG503" s="303"/>
      <c r="AH503" s="303"/>
      <c r="AI503" s="303"/>
    </row>
    <row r="504">
      <c r="A504" s="304"/>
      <c r="B504" s="299"/>
      <c r="C504" s="292"/>
      <c r="D504" s="293"/>
      <c r="E504" s="292"/>
      <c r="F504" s="293"/>
      <c r="G504" s="294"/>
      <c r="H504" s="295"/>
      <c r="I504" s="303"/>
      <c r="J504" s="303"/>
      <c r="K504" s="297"/>
      <c r="L504" s="303"/>
      <c r="M504" s="303"/>
      <c r="N504" s="297"/>
      <c r="O504" s="292"/>
      <c r="P504" s="303"/>
      <c r="Q504" s="298"/>
      <c r="R504" s="294"/>
      <c r="S504" s="297"/>
      <c r="T504" s="292"/>
      <c r="U504" s="299"/>
      <c r="V504" s="292"/>
      <c r="W504" s="309"/>
      <c r="X504" s="292"/>
      <c r="Y504" s="309"/>
      <c r="Z504" s="292"/>
      <c r="AA504" s="315"/>
      <c r="AB504" s="297"/>
      <c r="AC504" s="292"/>
      <c r="AD504" s="292"/>
      <c r="AE504" s="292"/>
      <c r="AF504" s="303"/>
      <c r="AG504" s="303"/>
      <c r="AH504" s="303"/>
      <c r="AI504" s="303"/>
    </row>
    <row r="505">
      <c r="A505" s="304"/>
      <c r="B505" s="299"/>
      <c r="C505" s="292"/>
      <c r="D505" s="293"/>
      <c r="E505" s="292"/>
      <c r="F505" s="293"/>
      <c r="G505" s="294"/>
      <c r="H505" s="295"/>
      <c r="I505" s="303"/>
      <c r="J505" s="303"/>
      <c r="K505" s="297"/>
      <c r="L505" s="303"/>
      <c r="M505" s="303"/>
      <c r="N505" s="297"/>
      <c r="O505" s="292"/>
      <c r="P505" s="303"/>
      <c r="Q505" s="298"/>
      <c r="R505" s="294"/>
      <c r="S505" s="297"/>
      <c r="T505" s="292"/>
      <c r="U505" s="299"/>
      <c r="V505" s="292"/>
      <c r="W505" s="309"/>
      <c r="X505" s="292"/>
      <c r="Y505" s="309"/>
      <c r="Z505" s="292"/>
      <c r="AA505" s="315"/>
      <c r="AB505" s="297"/>
      <c r="AC505" s="292"/>
      <c r="AD505" s="292"/>
      <c r="AE505" s="292"/>
      <c r="AF505" s="303"/>
      <c r="AG505" s="303"/>
      <c r="AH505" s="303"/>
      <c r="AI505" s="303"/>
    </row>
    <row r="506">
      <c r="A506" s="304"/>
      <c r="B506" s="299"/>
      <c r="C506" s="292"/>
      <c r="D506" s="293"/>
      <c r="E506" s="292"/>
      <c r="F506" s="293"/>
      <c r="G506" s="294"/>
      <c r="H506" s="295"/>
      <c r="I506" s="303"/>
      <c r="J506" s="303"/>
      <c r="K506" s="297"/>
      <c r="L506" s="303"/>
      <c r="M506" s="303"/>
      <c r="N506" s="297"/>
      <c r="O506" s="292"/>
      <c r="P506" s="303"/>
      <c r="Q506" s="298"/>
      <c r="R506" s="294"/>
      <c r="S506" s="297"/>
      <c r="T506" s="292"/>
      <c r="U506" s="299"/>
      <c r="V506" s="292"/>
      <c r="W506" s="309"/>
      <c r="X506" s="292"/>
      <c r="Y506" s="309"/>
      <c r="Z506" s="292"/>
      <c r="AA506" s="315"/>
      <c r="AB506" s="297"/>
      <c r="AC506" s="292"/>
      <c r="AD506" s="292"/>
      <c r="AE506" s="292"/>
      <c r="AF506" s="303"/>
      <c r="AG506" s="303"/>
      <c r="AH506" s="303"/>
      <c r="AI506" s="303"/>
    </row>
    <row r="507">
      <c r="A507" s="304"/>
      <c r="B507" s="299"/>
      <c r="C507" s="292"/>
      <c r="D507" s="293"/>
      <c r="E507" s="292"/>
      <c r="F507" s="293"/>
      <c r="G507" s="294"/>
      <c r="H507" s="295"/>
      <c r="I507" s="303"/>
      <c r="J507" s="303"/>
      <c r="K507" s="297"/>
      <c r="L507" s="303"/>
      <c r="M507" s="303"/>
      <c r="N507" s="297"/>
      <c r="O507" s="292"/>
      <c r="P507" s="303"/>
      <c r="Q507" s="298"/>
      <c r="R507" s="294"/>
      <c r="S507" s="297"/>
      <c r="T507" s="292"/>
      <c r="U507" s="299"/>
      <c r="V507" s="292"/>
      <c r="W507" s="309"/>
      <c r="X507" s="292"/>
      <c r="Y507" s="309"/>
      <c r="Z507" s="292"/>
      <c r="AA507" s="315"/>
      <c r="AB507" s="297"/>
      <c r="AC507" s="292"/>
      <c r="AD507" s="292"/>
      <c r="AE507" s="292"/>
      <c r="AF507" s="303"/>
      <c r="AG507" s="303"/>
      <c r="AH507" s="303"/>
      <c r="AI507" s="303"/>
    </row>
    <row r="508">
      <c r="A508" s="304"/>
      <c r="B508" s="299"/>
      <c r="C508" s="292"/>
      <c r="D508" s="293"/>
      <c r="E508" s="292"/>
      <c r="F508" s="293"/>
      <c r="G508" s="294"/>
      <c r="H508" s="295"/>
      <c r="I508" s="303"/>
      <c r="J508" s="303"/>
      <c r="K508" s="297"/>
      <c r="L508" s="303"/>
      <c r="M508" s="303"/>
      <c r="N508" s="297"/>
      <c r="O508" s="292"/>
      <c r="P508" s="303"/>
      <c r="Q508" s="298"/>
      <c r="R508" s="294"/>
      <c r="S508" s="297"/>
      <c r="T508" s="292"/>
      <c r="U508" s="299"/>
      <c r="V508" s="292"/>
      <c r="W508" s="309"/>
      <c r="X508" s="292"/>
      <c r="Y508" s="309"/>
      <c r="Z508" s="292"/>
      <c r="AA508" s="315"/>
      <c r="AB508" s="297"/>
      <c r="AC508" s="292"/>
      <c r="AD508" s="292"/>
      <c r="AE508" s="292"/>
      <c r="AF508" s="303"/>
      <c r="AG508" s="303"/>
      <c r="AH508" s="303"/>
      <c r="AI508" s="303"/>
    </row>
    <row r="509">
      <c r="A509" s="304"/>
      <c r="B509" s="299"/>
      <c r="C509" s="292"/>
      <c r="D509" s="293"/>
      <c r="E509" s="292"/>
      <c r="F509" s="293"/>
      <c r="G509" s="294"/>
      <c r="H509" s="295"/>
      <c r="I509" s="303"/>
      <c r="J509" s="303"/>
      <c r="K509" s="297"/>
      <c r="L509" s="303"/>
      <c r="M509" s="303"/>
      <c r="N509" s="297"/>
      <c r="O509" s="292"/>
      <c r="P509" s="303"/>
      <c r="Q509" s="298"/>
      <c r="R509" s="294"/>
      <c r="S509" s="297"/>
      <c r="T509" s="292"/>
      <c r="U509" s="299"/>
      <c r="V509" s="292"/>
      <c r="W509" s="309"/>
      <c r="X509" s="292"/>
      <c r="Y509" s="309"/>
      <c r="Z509" s="292"/>
      <c r="AA509" s="315"/>
      <c r="AB509" s="297"/>
      <c r="AC509" s="292"/>
      <c r="AD509" s="292"/>
      <c r="AE509" s="292"/>
      <c r="AF509" s="303"/>
      <c r="AG509" s="303"/>
      <c r="AH509" s="303"/>
      <c r="AI509" s="303"/>
    </row>
    <row r="510">
      <c r="A510" s="304"/>
      <c r="B510" s="299"/>
      <c r="C510" s="292"/>
      <c r="D510" s="293"/>
      <c r="E510" s="292"/>
      <c r="F510" s="293"/>
      <c r="G510" s="294"/>
      <c r="H510" s="295"/>
      <c r="I510" s="303"/>
      <c r="J510" s="303"/>
      <c r="K510" s="297"/>
      <c r="L510" s="303"/>
      <c r="M510" s="303"/>
      <c r="N510" s="297"/>
      <c r="O510" s="292"/>
      <c r="P510" s="303"/>
      <c r="Q510" s="298"/>
      <c r="R510" s="294"/>
      <c r="S510" s="297"/>
      <c r="T510" s="292"/>
      <c r="U510" s="299"/>
      <c r="V510" s="292"/>
      <c r="W510" s="309"/>
      <c r="X510" s="292"/>
      <c r="Y510" s="309"/>
      <c r="Z510" s="292"/>
      <c r="AA510" s="315"/>
      <c r="AB510" s="297"/>
      <c r="AC510" s="292"/>
      <c r="AD510" s="292"/>
      <c r="AE510" s="292"/>
      <c r="AF510" s="303"/>
      <c r="AG510" s="303"/>
      <c r="AH510" s="303"/>
      <c r="AI510" s="303"/>
    </row>
    <row r="511">
      <c r="A511" s="304"/>
      <c r="B511" s="299"/>
      <c r="C511" s="292"/>
      <c r="D511" s="293"/>
      <c r="E511" s="292"/>
      <c r="F511" s="293"/>
      <c r="G511" s="294"/>
      <c r="H511" s="295"/>
      <c r="I511" s="303"/>
      <c r="J511" s="303"/>
      <c r="K511" s="297"/>
      <c r="L511" s="303"/>
      <c r="M511" s="303"/>
      <c r="N511" s="297"/>
      <c r="O511" s="292"/>
      <c r="P511" s="303"/>
      <c r="Q511" s="298"/>
      <c r="R511" s="294"/>
      <c r="S511" s="297"/>
      <c r="T511" s="292"/>
      <c r="U511" s="299"/>
      <c r="V511" s="292"/>
      <c r="W511" s="309"/>
      <c r="X511" s="292"/>
      <c r="Y511" s="309"/>
      <c r="Z511" s="292"/>
      <c r="AA511" s="315"/>
      <c r="AB511" s="297"/>
      <c r="AC511" s="292"/>
      <c r="AD511" s="292"/>
      <c r="AE511" s="292"/>
      <c r="AF511" s="303"/>
      <c r="AG511" s="303"/>
      <c r="AH511" s="303"/>
      <c r="AI511" s="303"/>
    </row>
    <row r="512">
      <c r="A512" s="304"/>
      <c r="B512" s="299"/>
      <c r="C512" s="292"/>
      <c r="D512" s="293"/>
      <c r="E512" s="292"/>
      <c r="F512" s="293"/>
      <c r="G512" s="294"/>
      <c r="H512" s="295"/>
      <c r="I512" s="303"/>
      <c r="J512" s="303"/>
      <c r="K512" s="297"/>
      <c r="L512" s="303"/>
      <c r="M512" s="303"/>
      <c r="N512" s="297"/>
      <c r="O512" s="292"/>
      <c r="P512" s="303"/>
      <c r="Q512" s="298"/>
      <c r="R512" s="294"/>
      <c r="S512" s="297"/>
      <c r="T512" s="292"/>
      <c r="U512" s="299"/>
      <c r="V512" s="292"/>
      <c r="W512" s="309"/>
      <c r="X512" s="292"/>
      <c r="Y512" s="309"/>
      <c r="Z512" s="292"/>
      <c r="AA512" s="315"/>
      <c r="AB512" s="297"/>
      <c r="AC512" s="292"/>
      <c r="AD512" s="292"/>
      <c r="AE512" s="292"/>
      <c r="AF512" s="303"/>
      <c r="AG512" s="303"/>
      <c r="AH512" s="303"/>
      <c r="AI512" s="303"/>
    </row>
    <row r="513">
      <c r="A513" s="304"/>
      <c r="B513" s="299"/>
      <c r="C513" s="292"/>
      <c r="D513" s="293"/>
      <c r="E513" s="292"/>
      <c r="F513" s="293"/>
      <c r="G513" s="294"/>
      <c r="H513" s="295"/>
      <c r="I513" s="303"/>
      <c r="J513" s="303"/>
      <c r="K513" s="297"/>
      <c r="L513" s="303"/>
      <c r="M513" s="303"/>
      <c r="N513" s="297"/>
      <c r="O513" s="292"/>
      <c r="P513" s="303"/>
      <c r="Q513" s="298"/>
      <c r="R513" s="294"/>
      <c r="S513" s="297"/>
      <c r="T513" s="292"/>
      <c r="U513" s="299"/>
      <c r="V513" s="292"/>
      <c r="W513" s="309"/>
      <c r="X513" s="292"/>
      <c r="Y513" s="309"/>
      <c r="Z513" s="292"/>
      <c r="AA513" s="315"/>
      <c r="AB513" s="297"/>
      <c r="AC513" s="292"/>
      <c r="AD513" s="292"/>
      <c r="AE513" s="292"/>
      <c r="AF513" s="303"/>
      <c r="AG513" s="303"/>
      <c r="AH513" s="303"/>
      <c r="AI513" s="303"/>
    </row>
    <row r="514">
      <c r="A514" s="304"/>
      <c r="B514" s="299"/>
      <c r="C514" s="292"/>
      <c r="D514" s="293"/>
      <c r="E514" s="292"/>
      <c r="F514" s="293"/>
      <c r="G514" s="294"/>
      <c r="H514" s="295"/>
      <c r="I514" s="303"/>
      <c r="J514" s="303"/>
      <c r="K514" s="297"/>
      <c r="L514" s="303"/>
      <c r="M514" s="303"/>
      <c r="N514" s="297"/>
      <c r="O514" s="292"/>
      <c r="P514" s="303"/>
      <c r="Q514" s="298"/>
      <c r="R514" s="294"/>
      <c r="S514" s="297"/>
      <c r="T514" s="292"/>
      <c r="U514" s="299"/>
      <c r="V514" s="292"/>
      <c r="W514" s="309"/>
      <c r="X514" s="292"/>
      <c r="Y514" s="309"/>
      <c r="Z514" s="292"/>
      <c r="AA514" s="315"/>
      <c r="AB514" s="297"/>
      <c r="AC514" s="292"/>
      <c r="AD514" s="292"/>
      <c r="AE514" s="292"/>
      <c r="AF514" s="303"/>
      <c r="AG514" s="303"/>
      <c r="AH514" s="303"/>
      <c r="AI514" s="303"/>
    </row>
    <row r="515">
      <c r="A515" s="304"/>
      <c r="B515" s="299"/>
      <c r="C515" s="292"/>
      <c r="D515" s="293"/>
      <c r="E515" s="292"/>
      <c r="F515" s="293"/>
      <c r="G515" s="294"/>
      <c r="H515" s="295"/>
      <c r="I515" s="303"/>
      <c r="J515" s="303"/>
      <c r="K515" s="297"/>
      <c r="L515" s="303"/>
      <c r="M515" s="303"/>
      <c r="N515" s="297"/>
      <c r="O515" s="292"/>
      <c r="P515" s="303"/>
      <c r="Q515" s="298"/>
      <c r="R515" s="294"/>
      <c r="S515" s="297"/>
      <c r="T515" s="292"/>
      <c r="U515" s="299"/>
      <c r="V515" s="292"/>
      <c r="W515" s="309"/>
      <c r="X515" s="292"/>
      <c r="Y515" s="309"/>
      <c r="Z515" s="292"/>
      <c r="AA515" s="315"/>
      <c r="AB515" s="297"/>
      <c r="AC515" s="292"/>
      <c r="AD515" s="292"/>
      <c r="AE515" s="292"/>
      <c r="AF515" s="303"/>
      <c r="AG515" s="303"/>
      <c r="AH515" s="303"/>
      <c r="AI515" s="303"/>
    </row>
    <row r="516">
      <c r="A516" s="304"/>
      <c r="B516" s="299"/>
      <c r="C516" s="292"/>
      <c r="D516" s="293"/>
      <c r="E516" s="292"/>
      <c r="F516" s="293"/>
      <c r="G516" s="294"/>
      <c r="H516" s="295"/>
      <c r="I516" s="303"/>
      <c r="J516" s="303"/>
      <c r="K516" s="297"/>
      <c r="L516" s="303"/>
      <c r="M516" s="303"/>
      <c r="N516" s="297"/>
      <c r="O516" s="292"/>
      <c r="P516" s="303"/>
      <c r="Q516" s="298"/>
      <c r="R516" s="294"/>
      <c r="S516" s="297"/>
      <c r="T516" s="292"/>
      <c r="U516" s="299"/>
      <c r="V516" s="292"/>
      <c r="W516" s="309"/>
      <c r="X516" s="292"/>
      <c r="Y516" s="309"/>
      <c r="Z516" s="292"/>
      <c r="AA516" s="315"/>
      <c r="AB516" s="297"/>
      <c r="AC516" s="292"/>
      <c r="AD516" s="292"/>
      <c r="AE516" s="292"/>
      <c r="AF516" s="303"/>
      <c r="AG516" s="303"/>
      <c r="AH516" s="303"/>
      <c r="AI516" s="303"/>
    </row>
    <row r="517">
      <c r="A517" s="304"/>
      <c r="B517" s="299"/>
      <c r="C517" s="292"/>
      <c r="D517" s="293"/>
      <c r="E517" s="292"/>
      <c r="F517" s="293"/>
      <c r="G517" s="294"/>
      <c r="H517" s="295"/>
      <c r="I517" s="303"/>
      <c r="J517" s="303"/>
      <c r="K517" s="297"/>
      <c r="L517" s="303"/>
      <c r="M517" s="303"/>
      <c r="N517" s="297"/>
      <c r="O517" s="292"/>
      <c r="P517" s="303"/>
      <c r="Q517" s="298"/>
      <c r="R517" s="294"/>
      <c r="S517" s="297"/>
      <c r="T517" s="292"/>
      <c r="U517" s="299"/>
      <c r="V517" s="292"/>
      <c r="W517" s="309"/>
      <c r="X517" s="292"/>
      <c r="Y517" s="309"/>
      <c r="Z517" s="292"/>
      <c r="AA517" s="315"/>
      <c r="AB517" s="297"/>
      <c r="AC517" s="292"/>
      <c r="AD517" s="292"/>
      <c r="AE517" s="292"/>
      <c r="AF517" s="303"/>
      <c r="AG517" s="303"/>
      <c r="AH517" s="303"/>
      <c r="AI517" s="303"/>
    </row>
    <row r="518">
      <c r="A518" s="304"/>
      <c r="B518" s="299"/>
      <c r="C518" s="292"/>
      <c r="D518" s="293"/>
      <c r="E518" s="292"/>
      <c r="F518" s="293"/>
      <c r="G518" s="294"/>
      <c r="H518" s="295"/>
      <c r="I518" s="303"/>
      <c r="J518" s="303"/>
      <c r="K518" s="297"/>
      <c r="L518" s="303"/>
      <c r="M518" s="303"/>
      <c r="N518" s="297"/>
      <c r="O518" s="292"/>
      <c r="P518" s="303"/>
      <c r="Q518" s="298"/>
      <c r="R518" s="294"/>
      <c r="S518" s="297"/>
      <c r="T518" s="292"/>
      <c r="U518" s="299"/>
      <c r="V518" s="292"/>
      <c r="W518" s="309"/>
      <c r="X518" s="292"/>
      <c r="Y518" s="309"/>
      <c r="Z518" s="292"/>
      <c r="AA518" s="315"/>
      <c r="AB518" s="297"/>
      <c r="AC518" s="292"/>
      <c r="AD518" s="292"/>
      <c r="AE518" s="292"/>
      <c r="AF518" s="303"/>
      <c r="AG518" s="303"/>
      <c r="AH518" s="303"/>
      <c r="AI518" s="303"/>
    </row>
    <row r="519">
      <c r="A519" s="304"/>
      <c r="B519" s="299"/>
      <c r="C519" s="292"/>
      <c r="D519" s="293"/>
      <c r="E519" s="292"/>
      <c r="F519" s="293"/>
      <c r="G519" s="294"/>
      <c r="H519" s="295"/>
      <c r="I519" s="303"/>
      <c r="J519" s="303"/>
      <c r="K519" s="297"/>
      <c r="L519" s="303"/>
      <c r="M519" s="303"/>
      <c r="N519" s="297"/>
      <c r="O519" s="292"/>
      <c r="P519" s="303"/>
      <c r="Q519" s="298"/>
      <c r="R519" s="294"/>
      <c r="S519" s="297"/>
      <c r="T519" s="292"/>
      <c r="U519" s="299"/>
      <c r="V519" s="292"/>
      <c r="W519" s="309"/>
      <c r="X519" s="292"/>
      <c r="Y519" s="309"/>
      <c r="Z519" s="292"/>
      <c r="AA519" s="315"/>
      <c r="AB519" s="297"/>
      <c r="AC519" s="292"/>
      <c r="AD519" s="292"/>
      <c r="AE519" s="292"/>
      <c r="AF519" s="303"/>
      <c r="AG519" s="303"/>
      <c r="AH519" s="303"/>
      <c r="AI519" s="303"/>
    </row>
    <row r="520">
      <c r="A520" s="304"/>
      <c r="B520" s="299"/>
      <c r="C520" s="292"/>
      <c r="D520" s="293"/>
      <c r="E520" s="292"/>
      <c r="F520" s="293"/>
      <c r="G520" s="294"/>
      <c r="H520" s="295"/>
      <c r="I520" s="303"/>
      <c r="J520" s="303"/>
      <c r="K520" s="297"/>
      <c r="L520" s="303"/>
      <c r="M520" s="303"/>
      <c r="N520" s="297"/>
      <c r="O520" s="292"/>
      <c r="P520" s="303"/>
      <c r="Q520" s="298"/>
      <c r="R520" s="294"/>
      <c r="S520" s="297"/>
      <c r="T520" s="292"/>
      <c r="U520" s="299"/>
      <c r="V520" s="292"/>
      <c r="W520" s="309"/>
      <c r="X520" s="292"/>
      <c r="Y520" s="309"/>
      <c r="Z520" s="292"/>
      <c r="AA520" s="315"/>
      <c r="AB520" s="297"/>
      <c r="AC520" s="292"/>
      <c r="AD520" s="292"/>
      <c r="AE520" s="292"/>
      <c r="AF520" s="303"/>
      <c r="AG520" s="303"/>
      <c r="AH520" s="303"/>
      <c r="AI520" s="303"/>
    </row>
    <row r="521">
      <c r="A521" s="304"/>
      <c r="B521" s="299"/>
      <c r="C521" s="292"/>
      <c r="D521" s="293"/>
      <c r="E521" s="292"/>
      <c r="F521" s="293"/>
      <c r="G521" s="294"/>
      <c r="H521" s="295"/>
      <c r="I521" s="303"/>
      <c r="J521" s="303"/>
      <c r="K521" s="297"/>
      <c r="L521" s="303"/>
      <c r="M521" s="303"/>
      <c r="N521" s="297"/>
      <c r="O521" s="292"/>
      <c r="P521" s="303"/>
      <c r="Q521" s="298"/>
      <c r="R521" s="294"/>
      <c r="S521" s="297"/>
      <c r="T521" s="292"/>
      <c r="U521" s="299"/>
      <c r="V521" s="292"/>
      <c r="W521" s="309"/>
      <c r="X521" s="292"/>
      <c r="Y521" s="309"/>
      <c r="Z521" s="292"/>
      <c r="AA521" s="315"/>
      <c r="AB521" s="297"/>
      <c r="AC521" s="292"/>
      <c r="AD521" s="292"/>
      <c r="AE521" s="292"/>
      <c r="AF521" s="303"/>
      <c r="AG521" s="303"/>
      <c r="AH521" s="303"/>
      <c r="AI521" s="303"/>
    </row>
    <row r="522">
      <c r="A522" s="304"/>
      <c r="B522" s="299"/>
      <c r="C522" s="292"/>
      <c r="D522" s="293"/>
      <c r="E522" s="292"/>
      <c r="F522" s="293"/>
      <c r="G522" s="294"/>
      <c r="H522" s="295"/>
      <c r="I522" s="303"/>
      <c r="J522" s="303"/>
      <c r="K522" s="297"/>
      <c r="L522" s="303"/>
      <c r="M522" s="303"/>
      <c r="N522" s="297"/>
      <c r="O522" s="292"/>
      <c r="P522" s="303"/>
      <c r="Q522" s="298"/>
      <c r="R522" s="294"/>
      <c r="S522" s="297"/>
      <c r="T522" s="292"/>
      <c r="U522" s="299"/>
      <c r="V522" s="292"/>
      <c r="W522" s="309"/>
      <c r="X522" s="292"/>
      <c r="Y522" s="309"/>
      <c r="Z522" s="292"/>
      <c r="AA522" s="315"/>
      <c r="AB522" s="297"/>
      <c r="AC522" s="292"/>
      <c r="AD522" s="292"/>
      <c r="AE522" s="292"/>
      <c r="AF522" s="303"/>
      <c r="AG522" s="303"/>
      <c r="AH522" s="303"/>
      <c r="AI522" s="303"/>
    </row>
    <row r="523">
      <c r="A523" s="304"/>
      <c r="B523" s="299"/>
      <c r="C523" s="292"/>
      <c r="D523" s="293"/>
      <c r="E523" s="292"/>
      <c r="F523" s="293"/>
      <c r="G523" s="294"/>
      <c r="H523" s="295"/>
      <c r="I523" s="303"/>
      <c r="J523" s="303"/>
      <c r="K523" s="297"/>
      <c r="L523" s="303"/>
      <c r="M523" s="303"/>
      <c r="N523" s="297"/>
      <c r="O523" s="292"/>
      <c r="P523" s="303"/>
      <c r="Q523" s="298"/>
      <c r="R523" s="294"/>
      <c r="S523" s="297"/>
      <c r="T523" s="292"/>
      <c r="U523" s="299"/>
      <c r="V523" s="292"/>
      <c r="W523" s="309"/>
      <c r="X523" s="292"/>
      <c r="Y523" s="309"/>
      <c r="Z523" s="292"/>
      <c r="AA523" s="315"/>
      <c r="AB523" s="297"/>
      <c r="AC523" s="292"/>
      <c r="AD523" s="292"/>
      <c r="AE523" s="292"/>
      <c r="AF523" s="303"/>
      <c r="AG523" s="303"/>
      <c r="AH523" s="303"/>
      <c r="AI523" s="303"/>
    </row>
    <row r="524">
      <c r="A524" s="304"/>
      <c r="B524" s="299"/>
      <c r="C524" s="292"/>
      <c r="D524" s="293"/>
      <c r="E524" s="292"/>
      <c r="F524" s="293"/>
      <c r="G524" s="294"/>
      <c r="H524" s="295"/>
      <c r="I524" s="303"/>
      <c r="J524" s="303"/>
      <c r="K524" s="297"/>
      <c r="L524" s="303"/>
      <c r="M524" s="303"/>
      <c r="N524" s="297"/>
      <c r="O524" s="292"/>
      <c r="P524" s="303"/>
      <c r="Q524" s="298"/>
      <c r="R524" s="294"/>
      <c r="S524" s="297"/>
      <c r="T524" s="292"/>
      <c r="U524" s="299"/>
      <c r="V524" s="292"/>
      <c r="W524" s="309"/>
      <c r="X524" s="292"/>
      <c r="Y524" s="309"/>
      <c r="Z524" s="292"/>
      <c r="AA524" s="315"/>
      <c r="AB524" s="297"/>
      <c r="AC524" s="292"/>
      <c r="AD524" s="292"/>
      <c r="AE524" s="292"/>
      <c r="AF524" s="303"/>
      <c r="AG524" s="303"/>
      <c r="AH524" s="303"/>
      <c r="AI524" s="303"/>
    </row>
    <row r="525">
      <c r="A525" s="304"/>
      <c r="B525" s="299"/>
      <c r="C525" s="292"/>
      <c r="D525" s="293"/>
      <c r="E525" s="292"/>
      <c r="F525" s="293"/>
      <c r="G525" s="294"/>
      <c r="H525" s="295"/>
      <c r="I525" s="303"/>
      <c r="J525" s="303"/>
      <c r="K525" s="297"/>
      <c r="L525" s="303"/>
      <c r="M525" s="303"/>
      <c r="N525" s="297"/>
      <c r="O525" s="292"/>
      <c r="P525" s="303"/>
      <c r="Q525" s="298"/>
      <c r="R525" s="294"/>
      <c r="S525" s="297"/>
      <c r="T525" s="292"/>
      <c r="U525" s="299"/>
      <c r="V525" s="292"/>
      <c r="W525" s="309"/>
      <c r="X525" s="292"/>
      <c r="Y525" s="309"/>
      <c r="Z525" s="292"/>
      <c r="AA525" s="315"/>
      <c r="AB525" s="297"/>
      <c r="AC525" s="292"/>
      <c r="AD525" s="292"/>
      <c r="AE525" s="292"/>
      <c r="AF525" s="303"/>
      <c r="AG525" s="303"/>
      <c r="AH525" s="303"/>
      <c r="AI525" s="303"/>
    </row>
    <row r="526">
      <c r="A526" s="304"/>
      <c r="B526" s="299"/>
      <c r="C526" s="292"/>
      <c r="D526" s="293"/>
      <c r="E526" s="292"/>
      <c r="F526" s="293"/>
      <c r="G526" s="294"/>
      <c r="H526" s="295"/>
      <c r="I526" s="303"/>
      <c r="J526" s="303"/>
      <c r="K526" s="297"/>
      <c r="L526" s="303"/>
      <c r="M526" s="303"/>
      <c r="N526" s="297"/>
      <c r="O526" s="292"/>
      <c r="P526" s="303"/>
      <c r="Q526" s="298"/>
      <c r="R526" s="294"/>
      <c r="S526" s="297"/>
      <c r="T526" s="292"/>
      <c r="U526" s="299"/>
      <c r="V526" s="292"/>
      <c r="W526" s="309"/>
      <c r="X526" s="292"/>
      <c r="Y526" s="309"/>
      <c r="Z526" s="292"/>
      <c r="AA526" s="315"/>
      <c r="AB526" s="297"/>
      <c r="AC526" s="292"/>
      <c r="AD526" s="292"/>
      <c r="AE526" s="292"/>
      <c r="AF526" s="303"/>
      <c r="AG526" s="303"/>
      <c r="AH526" s="303"/>
      <c r="AI526" s="303"/>
    </row>
    <row r="527">
      <c r="A527" s="304"/>
      <c r="B527" s="299"/>
      <c r="C527" s="292"/>
      <c r="D527" s="293"/>
      <c r="E527" s="292"/>
      <c r="F527" s="293"/>
      <c r="G527" s="294"/>
      <c r="H527" s="295"/>
      <c r="I527" s="303"/>
      <c r="J527" s="303"/>
      <c r="K527" s="297"/>
      <c r="L527" s="303"/>
      <c r="M527" s="303"/>
      <c r="N527" s="297"/>
      <c r="O527" s="292"/>
      <c r="P527" s="303"/>
      <c r="Q527" s="298"/>
      <c r="R527" s="294"/>
      <c r="S527" s="297"/>
      <c r="T527" s="292"/>
      <c r="U527" s="299"/>
      <c r="V527" s="292"/>
      <c r="W527" s="309"/>
      <c r="X527" s="292"/>
      <c r="Y527" s="309"/>
      <c r="Z527" s="292"/>
      <c r="AA527" s="315"/>
      <c r="AB527" s="297"/>
      <c r="AC527" s="292"/>
      <c r="AD527" s="292"/>
      <c r="AE527" s="292"/>
      <c r="AF527" s="303"/>
      <c r="AG527" s="303"/>
      <c r="AH527" s="303"/>
      <c r="AI527" s="303"/>
    </row>
    <row r="528">
      <c r="A528" s="304"/>
      <c r="B528" s="299"/>
      <c r="C528" s="292"/>
      <c r="D528" s="293"/>
      <c r="E528" s="292"/>
      <c r="F528" s="293"/>
      <c r="G528" s="294"/>
      <c r="H528" s="295"/>
      <c r="I528" s="303"/>
      <c r="J528" s="303"/>
      <c r="K528" s="297"/>
      <c r="L528" s="303"/>
      <c r="M528" s="303"/>
      <c r="N528" s="297"/>
      <c r="O528" s="292"/>
      <c r="P528" s="303"/>
      <c r="Q528" s="298"/>
      <c r="R528" s="294"/>
      <c r="S528" s="297"/>
      <c r="T528" s="292"/>
      <c r="U528" s="299"/>
      <c r="V528" s="292"/>
      <c r="W528" s="309"/>
      <c r="X528" s="292"/>
      <c r="Y528" s="309"/>
      <c r="Z528" s="292"/>
      <c r="AA528" s="315"/>
      <c r="AB528" s="297"/>
      <c r="AC528" s="292"/>
      <c r="AD528" s="292"/>
      <c r="AE528" s="292"/>
      <c r="AF528" s="303"/>
      <c r="AG528" s="303"/>
      <c r="AH528" s="303"/>
      <c r="AI528" s="303"/>
    </row>
    <row r="529">
      <c r="A529" s="304"/>
      <c r="B529" s="299"/>
      <c r="C529" s="292"/>
      <c r="D529" s="293"/>
      <c r="E529" s="292"/>
      <c r="F529" s="293"/>
      <c r="G529" s="294"/>
      <c r="H529" s="295"/>
      <c r="I529" s="303"/>
      <c r="J529" s="303"/>
      <c r="K529" s="297"/>
      <c r="L529" s="303"/>
      <c r="M529" s="303"/>
      <c r="N529" s="297"/>
      <c r="O529" s="292"/>
      <c r="P529" s="303"/>
      <c r="Q529" s="298"/>
      <c r="R529" s="294"/>
      <c r="S529" s="297"/>
      <c r="T529" s="292"/>
      <c r="U529" s="299"/>
      <c r="V529" s="292"/>
      <c r="W529" s="309"/>
      <c r="X529" s="292"/>
      <c r="Y529" s="309"/>
      <c r="Z529" s="292"/>
      <c r="AA529" s="315"/>
      <c r="AB529" s="297"/>
      <c r="AC529" s="292"/>
      <c r="AD529" s="292"/>
      <c r="AE529" s="292"/>
      <c r="AF529" s="303"/>
      <c r="AG529" s="303"/>
      <c r="AH529" s="303"/>
      <c r="AI529" s="303"/>
    </row>
    <row r="530">
      <c r="A530" s="304"/>
      <c r="B530" s="299"/>
      <c r="C530" s="292"/>
      <c r="D530" s="293"/>
      <c r="E530" s="292"/>
      <c r="F530" s="293"/>
      <c r="G530" s="294"/>
      <c r="H530" s="295"/>
      <c r="I530" s="303"/>
      <c r="J530" s="303"/>
      <c r="K530" s="297"/>
      <c r="L530" s="303"/>
      <c r="M530" s="303"/>
      <c r="N530" s="297"/>
      <c r="O530" s="292"/>
      <c r="P530" s="303"/>
      <c r="Q530" s="298"/>
      <c r="R530" s="294"/>
      <c r="S530" s="297"/>
      <c r="T530" s="292"/>
      <c r="U530" s="299"/>
      <c r="V530" s="292"/>
      <c r="W530" s="309"/>
      <c r="X530" s="292"/>
      <c r="Y530" s="309"/>
      <c r="Z530" s="292"/>
      <c r="AA530" s="315"/>
      <c r="AB530" s="297"/>
      <c r="AC530" s="292"/>
      <c r="AD530" s="292"/>
      <c r="AE530" s="292"/>
      <c r="AF530" s="303"/>
      <c r="AG530" s="303"/>
      <c r="AH530" s="303"/>
      <c r="AI530" s="303"/>
    </row>
    <row r="531">
      <c r="A531" s="304"/>
      <c r="B531" s="299"/>
      <c r="C531" s="292"/>
      <c r="D531" s="293"/>
      <c r="E531" s="292"/>
      <c r="F531" s="293"/>
      <c r="G531" s="294"/>
      <c r="H531" s="295"/>
      <c r="I531" s="303"/>
      <c r="J531" s="303"/>
      <c r="K531" s="297"/>
      <c r="L531" s="303"/>
      <c r="M531" s="303"/>
      <c r="N531" s="297"/>
      <c r="O531" s="292"/>
      <c r="P531" s="303"/>
      <c r="Q531" s="298"/>
      <c r="R531" s="294"/>
      <c r="S531" s="297"/>
      <c r="T531" s="292"/>
      <c r="U531" s="299"/>
      <c r="V531" s="292"/>
      <c r="W531" s="309"/>
      <c r="X531" s="292"/>
      <c r="Y531" s="309"/>
      <c r="Z531" s="292"/>
      <c r="AA531" s="315"/>
      <c r="AB531" s="297"/>
      <c r="AC531" s="292"/>
      <c r="AD531" s="292"/>
      <c r="AE531" s="292"/>
      <c r="AF531" s="303"/>
      <c r="AG531" s="303"/>
      <c r="AH531" s="303"/>
      <c r="AI531" s="303"/>
    </row>
    <row r="532">
      <c r="A532" s="304"/>
      <c r="B532" s="299"/>
      <c r="C532" s="292"/>
      <c r="D532" s="293"/>
      <c r="E532" s="292"/>
      <c r="F532" s="293"/>
      <c r="G532" s="294"/>
      <c r="H532" s="295"/>
      <c r="I532" s="303"/>
      <c r="J532" s="303"/>
      <c r="K532" s="297"/>
      <c r="L532" s="303"/>
      <c r="M532" s="303"/>
      <c r="N532" s="297"/>
      <c r="O532" s="292"/>
      <c r="P532" s="303"/>
      <c r="Q532" s="298"/>
      <c r="R532" s="294"/>
      <c r="S532" s="297"/>
      <c r="T532" s="292"/>
      <c r="U532" s="299"/>
      <c r="V532" s="292"/>
      <c r="W532" s="309"/>
      <c r="X532" s="292"/>
      <c r="Y532" s="309"/>
      <c r="Z532" s="292"/>
      <c r="AA532" s="315"/>
      <c r="AB532" s="297"/>
      <c r="AC532" s="292"/>
      <c r="AD532" s="292"/>
      <c r="AE532" s="292"/>
      <c r="AF532" s="303"/>
      <c r="AG532" s="303"/>
      <c r="AH532" s="303"/>
      <c r="AI532" s="303"/>
    </row>
    <row r="533">
      <c r="A533" s="304"/>
      <c r="B533" s="299"/>
      <c r="C533" s="292"/>
      <c r="D533" s="293"/>
      <c r="E533" s="292"/>
      <c r="F533" s="293"/>
      <c r="G533" s="294"/>
      <c r="H533" s="295"/>
      <c r="I533" s="303"/>
      <c r="J533" s="303"/>
      <c r="K533" s="297"/>
      <c r="L533" s="303"/>
      <c r="M533" s="303"/>
      <c r="N533" s="297"/>
      <c r="O533" s="292"/>
      <c r="P533" s="303"/>
      <c r="Q533" s="298"/>
      <c r="R533" s="294"/>
      <c r="S533" s="297"/>
      <c r="T533" s="292"/>
      <c r="U533" s="299"/>
      <c r="V533" s="292"/>
      <c r="W533" s="309"/>
      <c r="X533" s="292"/>
      <c r="Y533" s="309"/>
      <c r="Z533" s="292"/>
      <c r="AA533" s="315"/>
      <c r="AB533" s="297"/>
      <c r="AC533" s="292"/>
      <c r="AD533" s="292"/>
      <c r="AE533" s="292"/>
      <c r="AF533" s="303"/>
      <c r="AG533" s="303"/>
      <c r="AH533" s="303"/>
      <c r="AI533" s="303"/>
    </row>
    <row r="534">
      <c r="A534" s="304"/>
      <c r="B534" s="299"/>
      <c r="C534" s="292"/>
      <c r="D534" s="293"/>
      <c r="E534" s="292"/>
      <c r="F534" s="293"/>
      <c r="G534" s="294"/>
      <c r="H534" s="295"/>
      <c r="I534" s="303"/>
      <c r="J534" s="303"/>
      <c r="K534" s="297"/>
      <c r="L534" s="303"/>
      <c r="M534" s="303"/>
      <c r="N534" s="297"/>
      <c r="O534" s="292"/>
      <c r="P534" s="303"/>
      <c r="Q534" s="298"/>
      <c r="R534" s="294"/>
      <c r="S534" s="297"/>
      <c r="T534" s="292"/>
      <c r="U534" s="299"/>
      <c r="V534" s="292"/>
      <c r="W534" s="309"/>
      <c r="X534" s="292"/>
      <c r="Y534" s="309"/>
      <c r="Z534" s="292"/>
      <c r="AA534" s="315"/>
      <c r="AB534" s="297"/>
      <c r="AC534" s="292"/>
      <c r="AD534" s="292"/>
      <c r="AE534" s="292"/>
      <c r="AF534" s="303"/>
      <c r="AG534" s="303"/>
      <c r="AH534" s="303"/>
      <c r="AI534" s="303"/>
    </row>
    <row r="535">
      <c r="A535" s="304"/>
      <c r="B535" s="299"/>
      <c r="C535" s="292"/>
      <c r="D535" s="293"/>
      <c r="E535" s="292"/>
      <c r="F535" s="293"/>
      <c r="G535" s="294"/>
      <c r="H535" s="295"/>
      <c r="I535" s="303"/>
      <c r="J535" s="303"/>
      <c r="K535" s="297"/>
      <c r="L535" s="303"/>
      <c r="M535" s="303"/>
      <c r="N535" s="297"/>
      <c r="O535" s="292"/>
      <c r="P535" s="303"/>
      <c r="Q535" s="298"/>
      <c r="R535" s="294"/>
      <c r="S535" s="297"/>
      <c r="T535" s="292"/>
      <c r="U535" s="299"/>
      <c r="V535" s="292"/>
      <c r="W535" s="309"/>
      <c r="X535" s="292"/>
      <c r="Y535" s="309"/>
      <c r="Z535" s="292"/>
      <c r="AA535" s="315"/>
      <c r="AB535" s="297"/>
      <c r="AC535" s="292"/>
      <c r="AD535" s="292"/>
      <c r="AE535" s="292"/>
      <c r="AF535" s="303"/>
      <c r="AG535" s="303"/>
      <c r="AH535" s="303"/>
      <c r="AI535" s="303"/>
    </row>
    <row r="536">
      <c r="A536" s="304"/>
      <c r="B536" s="299"/>
      <c r="C536" s="292"/>
      <c r="D536" s="293"/>
      <c r="E536" s="292"/>
      <c r="F536" s="293"/>
      <c r="G536" s="294"/>
      <c r="H536" s="295"/>
      <c r="I536" s="303"/>
      <c r="J536" s="303"/>
      <c r="K536" s="297"/>
      <c r="L536" s="303"/>
      <c r="M536" s="303"/>
      <c r="N536" s="297"/>
      <c r="O536" s="292"/>
      <c r="P536" s="303"/>
      <c r="Q536" s="298"/>
      <c r="R536" s="294"/>
      <c r="S536" s="297"/>
      <c r="T536" s="292"/>
      <c r="U536" s="299"/>
      <c r="V536" s="292"/>
      <c r="W536" s="309"/>
      <c r="X536" s="292"/>
      <c r="Y536" s="309"/>
      <c r="Z536" s="292"/>
      <c r="AA536" s="315"/>
      <c r="AB536" s="297"/>
      <c r="AC536" s="292"/>
      <c r="AD536" s="292"/>
      <c r="AE536" s="292"/>
      <c r="AF536" s="303"/>
      <c r="AG536" s="303"/>
      <c r="AH536" s="303"/>
      <c r="AI536" s="303"/>
    </row>
    <row r="537">
      <c r="A537" s="304"/>
      <c r="B537" s="299"/>
      <c r="C537" s="292"/>
      <c r="D537" s="293"/>
      <c r="E537" s="292"/>
      <c r="F537" s="293"/>
      <c r="G537" s="294"/>
      <c r="H537" s="295"/>
      <c r="I537" s="303"/>
      <c r="J537" s="303"/>
      <c r="K537" s="297"/>
      <c r="L537" s="303"/>
      <c r="M537" s="303"/>
      <c r="N537" s="297"/>
      <c r="O537" s="292"/>
      <c r="P537" s="303"/>
      <c r="Q537" s="298"/>
      <c r="R537" s="294"/>
      <c r="S537" s="297"/>
      <c r="T537" s="292"/>
      <c r="U537" s="299"/>
      <c r="V537" s="292"/>
      <c r="W537" s="309"/>
      <c r="X537" s="292"/>
      <c r="Y537" s="309"/>
      <c r="Z537" s="292"/>
      <c r="AA537" s="315"/>
      <c r="AB537" s="297"/>
      <c r="AC537" s="292"/>
      <c r="AD537" s="292"/>
      <c r="AE537" s="292"/>
      <c r="AF537" s="303"/>
      <c r="AG537" s="303"/>
      <c r="AH537" s="303"/>
      <c r="AI537" s="303"/>
    </row>
    <row r="538">
      <c r="A538" s="304"/>
      <c r="B538" s="299"/>
      <c r="C538" s="292"/>
      <c r="D538" s="293"/>
      <c r="E538" s="292"/>
      <c r="F538" s="293"/>
      <c r="G538" s="294"/>
      <c r="H538" s="295"/>
      <c r="I538" s="303"/>
      <c r="J538" s="303"/>
      <c r="K538" s="297"/>
      <c r="L538" s="303"/>
      <c r="M538" s="303"/>
      <c r="N538" s="297"/>
      <c r="O538" s="292"/>
      <c r="P538" s="303"/>
      <c r="Q538" s="298"/>
      <c r="R538" s="294"/>
      <c r="S538" s="297"/>
      <c r="T538" s="292"/>
      <c r="U538" s="299"/>
      <c r="V538" s="292"/>
      <c r="W538" s="309"/>
      <c r="X538" s="292"/>
      <c r="Y538" s="309"/>
      <c r="Z538" s="292"/>
      <c r="AA538" s="315"/>
      <c r="AB538" s="297"/>
      <c r="AC538" s="292"/>
      <c r="AD538" s="292"/>
      <c r="AE538" s="292"/>
      <c r="AF538" s="303"/>
      <c r="AG538" s="303"/>
      <c r="AH538" s="303"/>
      <c r="AI538" s="303"/>
    </row>
    <row r="539">
      <c r="A539" s="304"/>
      <c r="B539" s="299"/>
      <c r="C539" s="292"/>
      <c r="D539" s="293"/>
      <c r="E539" s="292"/>
      <c r="F539" s="293"/>
      <c r="G539" s="294"/>
      <c r="H539" s="295"/>
      <c r="I539" s="303"/>
      <c r="J539" s="303"/>
      <c r="K539" s="297"/>
      <c r="L539" s="303"/>
      <c r="M539" s="303"/>
      <c r="N539" s="297"/>
      <c r="O539" s="292"/>
      <c r="P539" s="303"/>
      <c r="Q539" s="298"/>
      <c r="R539" s="294"/>
      <c r="S539" s="297"/>
      <c r="T539" s="292"/>
      <c r="U539" s="299"/>
      <c r="V539" s="292"/>
      <c r="W539" s="309"/>
      <c r="X539" s="292"/>
      <c r="Y539" s="309"/>
      <c r="Z539" s="292"/>
      <c r="AA539" s="315"/>
      <c r="AB539" s="297"/>
      <c r="AC539" s="292"/>
      <c r="AD539" s="292"/>
      <c r="AE539" s="292"/>
      <c r="AF539" s="303"/>
      <c r="AG539" s="303"/>
      <c r="AH539" s="303"/>
      <c r="AI539" s="303"/>
    </row>
    <row r="540">
      <c r="A540" s="304"/>
      <c r="B540" s="299"/>
      <c r="C540" s="292"/>
      <c r="D540" s="293"/>
      <c r="E540" s="292"/>
      <c r="F540" s="293"/>
      <c r="G540" s="294"/>
      <c r="H540" s="295"/>
      <c r="I540" s="303"/>
      <c r="J540" s="303"/>
      <c r="K540" s="297"/>
      <c r="L540" s="303"/>
      <c r="M540" s="303"/>
      <c r="N540" s="297"/>
      <c r="O540" s="292"/>
      <c r="P540" s="303"/>
      <c r="Q540" s="298"/>
      <c r="R540" s="294"/>
      <c r="S540" s="297"/>
      <c r="T540" s="292"/>
      <c r="U540" s="299"/>
      <c r="V540" s="292"/>
      <c r="W540" s="309"/>
      <c r="X540" s="292"/>
      <c r="Y540" s="309"/>
      <c r="Z540" s="292"/>
      <c r="AA540" s="315"/>
      <c r="AB540" s="297"/>
      <c r="AC540" s="292"/>
      <c r="AD540" s="292"/>
      <c r="AE540" s="292"/>
      <c r="AF540" s="303"/>
      <c r="AG540" s="303"/>
      <c r="AH540" s="303"/>
      <c r="AI540" s="303"/>
    </row>
    <row r="541">
      <c r="A541" s="304"/>
      <c r="B541" s="299"/>
      <c r="C541" s="292"/>
      <c r="D541" s="293"/>
      <c r="E541" s="292"/>
      <c r="F541" s="293"/>
      <c r="G541" s="294"/>
      <c r="H541" s="295"/>
      <c r="I541" s="303"/>
      <c r="J541" s="303"/>
      <c r="K541" s="297"/>
      <c r="L541" s="303"/>
      <c r="M541" s="303"/>
      <c r="N541" s="297"/>
      <c r="O541" s="292"/>
      <c r="P541" s="303"/>
      <c r="Q541" s="298"/>
      <c r="R541" s="294"/>
      <c r="S541" s="297"/>
      <c r="T541" s="292"/>
      <c r="U541" s="299"/>
      <c r="V541" s="292"/>
      <c r="W541" s="309"/>
      <c r="X541" s="292"/>
      <c r="Y541" s="309"/>
      <c r="Z541" s="292"/>
      <c r="AA541" s="315"/>
      <c r="AB541" s="297"/>
      <c r="AC541" s="292"/>
      <c r="AD541" s="292"/>
      <c r="AE541" s="292"/>
      <c r="AF541" s="303"/>
      <c r="AG541" s="303"/>
      <c r="AH541" s="303"/>
      <c r="AI541" s="303"/>
    </row>
    <row r="542">
      <c r="A542" s="304"/>
      <c r="B542" s="299"/>
      <c r="C542" s="292"/>
      <c r="D542" s="293"/>
      <c r="E542" s="292"/>
      <c r="F542" s="293"/>
      <c r="G542" s="294"/>
      <c r="H542" s="295"/>
      <c r="I542" s="303"/>
      <c r="J542" s="303"/>
      <c r="K542" s="297"/>
      <c r="L542" s="303"/>
      <c r="M542" s="303"/>
      <c r="N542" s="297"/>
      <c r="O542" s="292"/>
      <c r="P542" s="303"/>
      <c r="Q542" s="298"/>
      <c r="R542" s="294"/>
      <c r="S542" s="297"/>
      <c r="T542" s="292"/>
      <c r="U542" s="299"/>
      <c r="V542" s="292"/>
      <c r="W542" s="309"/>
      <c r="X542" s="292"/>
      <c r="Y542" s="309"/>
      <c r="Z542" s="292"/>
      <c r="AA542" s="315"/>
      <c r="AB542" s="297"/>
      <c r="AC542" s="292"/>
      <c r="AD542" s="292"/>
      <c r="AE542" s="292"/>
      <c r="AF542" s="303"/>
      <c r="AG542" s="303"/>
      <c r="AH542" s="303"/>
      <c r="AI542" s="303"/>
    </row>
    <row r="543">
      <c r="A543" s="304"/>
      <c r="B543" s="299"/>
      <c r="C543" s="292"/>
      <c r="D543" s="293"/>
      <c r="E543" s="292"/>
      <c r="F543" s="293"/>
      <c r="G543" s="294"/>
      <c r="H543" s="295"/>
      <c r="I543" s="303"/>
      <c r="J543" s="303"/>
      <c r="K543" s="297"/>
      <c r="L543" s="303"/>
      <c r="M543" s="303"/>
      <c r="N543" s="297"/>
      <c r="O543" s="292"/>
      <c r="P543" s="303"/>
      <c r="Q543" s="298"/>
      <c r="R543" s="294"/>
      <c r="S543" s="297"/>
      <c r="T543" s="292"/>
      <c r="U543" s="299"/>
      <c r="V543" s="292"/>
      <c r="W543" s="309"/>
      <c r="X543" s="292"/>
      <c r="Y543" s="309"/>
      <c r="Z543" s="292"/>
      <c r="AA543" s="315"/>
      <c r="AB543" s="297"/>
      <c r="AC543" s="292"/>
      <c r="AD543" s="292"/>
      <c r="AE543" s="292"/>
      <c r="AF543" s="303"/>
      <c r="AG543" s="303"/>
      <c r="AH543" s="303"/>
      <c r="AI543" s="303"/>
    </row>
    <row r="544">
      <c r="A544" s="304"/>
      <c r="B544" s="299"/>
      <c r="C544" s="292"/>
      <c r="D544" s="293"/>
      <c r="E544" s="292"/>
      <c r="F544" s="293"/>
      <c r="G544" s="294"/>
      <c r="H544" s="295"/>
      <c r="I544" s="303"/>
      <c r="J544" s="303"/>
      <c r="K544" s="297"/>
      <c r="L544" s="303"/>
      <c r="M544" s="303"/>
      <c r="N544" s="297"/>
      <c r="O544" s="292"/>
      <c r="P544" s="303"/>
      <c r="Q544" s="298"/>
      <c r="R544" s="294"/>
      <c r="S544" s="297"/>
      <c r="T544" s="292"/>
      <c r="U544" s="299"/>
      <c r="V544" s="292"/>
      <c r="W544" s="309"/>
      <c r="X544" s="292"/>
      <c r="Y544" s="309"/>
      <c r="Z544" s="292"/>
      <c r="AA544" s="315"/>
      <c r="AB544" s="297"/>
      <c r="AC544" s="292"/>
      <c r="AD544" s="292"/>
      <c r="AE544" s="292"/>
      <c r="AF544" s="303"/>
      <c r="AG544" s="303"/>
      <c r="AH544" s="303"/>
      <c r="AI544" s="303"/>
    </row>
    <row r="545">
      <c r="A545" s="304"/>
      <c r="B545" s="299"/>
      <c r="C545" s="292"/>
      <c r="D545" s="293"/>
      <c r="E545" s="292"/>
      <c r="F545" s="293"/>
      <c r="G545" s="294"/>
      <c r="H545" s="295"/>
      <c r="I545" s="303"/>
      <c r="J545" s="303"/>
      <c r="K545" s="297"/>
      <c r="L545" s="303"/>
      <c r="M545" s="303"/>
      <c r="N545" s="297"/>
      <c r="O545" s="292"/>
      <c r="P545" s="303"/>
      <c r="Q545" s="298"/>
      <c r="R545" s="294"/>
      <c r="S545" s="297"/>
      <c r="T545" s="292"/>
      <c r="U545" s="299"/>
      <c r="V545" s="292"/>
      <c r="W545" s="309"/>
      <c r="X545" s="292"/>
      <c r="Y545" s="309"/>
      <c r="Z545" s="292"/>
      <c r="AA545" s="315"/>
      <c r="AB545" s="297"/>
      <c r="AC545" s="292"/>
      <c r="AD545" s="292"/>
      <c r="AE545" s="292"/>
      <c r="AF545" s="303"/>
      <c r="AG545" s="303"/>
      <c r="AH545" s="303"/>
      <c r="AI545" s="303"/>
    </row>
    <row r="546">
      <c r="A546" s="304"/>
      <c r="B546" s="299"/>
      <c r="C546" s="292"/>
      <c r="D546" s="293"/>
      <c r="E546" s="292"/>
      <c r="F546" s="293"/>
      <c r="G546" s="294"/>
      <c r="H546" s="295"/>
      <c r="I546" s="303"/>
      <c r="J546" s="303"/>
      <c r="K546" s="297"/>
      <c r="L546" s="303"/>
      <c r="M546" s="303"/>
      <c r="N546" s="297"/>
      <c r="O546" s="292"/>
      <c r="P546" s="303"/>
      <c r="Q546" s="298"/>
      <c r="R546" s="294"/>
      <c r="S546" s="297"/>
      <c r="T546" s="292"/>
      <c r="U546" s="299"/>
      <c r="V546" s="292"/>
      <c r="W546" s="309"/>
      <c r="X546" s="292"/>
      <c r="Y546" s="309"/>
      <c r="Z546" s="292"/>
      <c r="AA546" s="315"/>
      <c r="AB546" s="297"/>
      <c r="AC546" s="292"/>
      <c r="AD546" s="292"/>
      <c r="AE546" s="292"/>
      <c r="AF546" s="303"/>
      <c r="AG546" s="303"/>
      <c r="AH546" s="303"/>
      <c r="AI546" s="303"/>
    </row>
    <row r="547">
      <c r="A547" s="304"/>
      <c r="B547" s="299"/>
      <c r="C547" s="292"/>
      <c r="D547" s="293"/>
      <c r="E547" s="292"/>
      <c r="F547" s="293"/>
      <c r="G547" s="294"/>
      <c r="H547" s="295"/>
      <c r="I547" s="303"/>
      <c r="J547" s="303"/>
      <c r="K547" s="297"/>
      <c r="L547" s="303"/>
      <c r="M547" s="303"/>
      <c r="N547" s="297"/>
      <c r="O547" s="292"/>
      <c r="P547" s="303"/>
      <c r="Q547" s="298"/>
      <c r="R547" s="294"/>
      <c r="S547" s="297"/>
      <c r="T547" s="292"/>
      <c r="U547" s="299"/>
      <c r="V547" s="292"/>
      <c r="W547" s="309"/>
      <c r="X547" s="292"/>
      <c r="Y547" s="309"/>
      <c r="Z547" s="292"/>
      <c r="AA547" s="315"/>
      <c r="AB547" s="297"/>
      <c r="AC547" s="292"/>
      <c r="AD547" s="292"/>
      <c r="AE547" s="292"/>
      <c r="AF547" s="303"/>
      <c r="AG547" s="303"/>
      <c r="AH547" s="303"/>
      <c r="AI547" s="303"/>
    </row>
    <row r="548">
      <c r="A548" s="304"/>
      <c r="B548" s="299"/>
      <c r="C548" s="292"/>
      <c r="D548" s="293"/>
      <c r="E548" s="292"/>
      <c r="F548" s="293"/>
      <c r="G548" s="294"/>
      <c r="H548" s="295"/>
      <c r="I548" s="303"/>
      <c r="J548" s="303"/>
      <c r="K548" s="297"/>
      <c r="L548" s="303"/>
      <c r="M548" s="303"/>
      <c r="N548" s="297"/>
      <c r="O548" s="292"/>
      <c r="P548" s="303"/>
      <c r="Q548" s="298"/>
      <c r="R548" s="294"/>
      <c r="S548" s="297"/>
      <c r="T548" s="292"/>
      <c r="U548" s="299"/>
      <c r="V548" s="292"/>
      <c r="W548" s="309"/>
      <c r="X548" s="292"/>
      <c r="Y548" s="309"/>
      <c r="Z548" s="292"/>
      <c r="AA548" s="315"/>
      <c r="AB548" s="297"/>
      <c r="AC548" s="292"/>
      <c r="AD548" s="292"/>
      <c r="AE548" s="292"/>
      <c r="AF548" s="303"/>
      <c r="AG548" s="303"/>
      <c r="AH548" s="303"/>
      <c r="AI548" s="303"/>
    </row>
    <row r="549">
      <c r="A549" s="304"/>
      <c r="B549" s="299"/>
      <c r="C549" s="292"/>
      <c r="D549" s="293"/>
      <c r="E549" s="292"/>
      <c r="F549" s="293"/>
      <c r="G549" s="294"/>
      <c r="H549" s="295"/>
      <c r="I549" s="303"/>
      <c r="J549" s="303"/>
      <c r="K549" s="297"/>
      <c r="L549" s="303"/>
      <c r="M549" s="303"/>
      <c r="N549" s="297"/>
      <c r="O549" s="292"/>
      <c r="P549" s="303"/>
      <c r="Q549" s="298"/>
      <c r="R549" s="294"/>
      <c r="S549" s="297"/>
      <c r="T549" s="292"/>
      <c r="U549" s="299"/>
      <c r="V549" s="292"/>
      <c r="W549" s="309"/>
      <c r="X549" s="292"/>
      <c r="Y549" s="309"/>
      <c r="Z549" s="292"/>
      <c r="AA549" s="315"/>
      <c r="AB549" s="297"/>
      <c r="AC549" s="292"/>
      <c r="AD549" s="292"/>
      <c r="AE549" s="292"/>
      <c r="AF549" s="303"/>
      <c r="AG549" s="303"/>
      <c r="AH549" s="303"/>
      <c r="AI549" s="303"/>
    </row>
    <row r="550">
      <c r="A550" s="304"/>
      <c r="B550" s="299"/>
      <c r="C550" s="292"/>
      <c r="D550" s="293"/>
      <c r="E550" s="292"/>
      <c r="F550" s="293"/>
      <c r="G550" s="294"/>
      <c r="H550" s="295"/>
      <c r="I550" s="303"/>
      <c r="J550" s="303"/>
      <c r="K550" s="297"/>
      <c r="L550" s="303"/>
      <c r="M550" s="303"/>
      <c r="N550" s="297"/>
      <c r="O550" s="292"/>
      <c r="P550" s="303"/>
      <c r="Q550" s="298"/>
      <c r="R550" s="294"/>
      <c r="S550" s="297"/>
      <c r="T550" s="292"/>
      <c r="U550" s="299"/>
      <c r="V550" s="292"/>
      <c r="W550" s="309"/>
      <c r="X550" s="292"/>
      <c r="Y550" s="309"/>
      <c r="Z550" s="292"/>
      <c r="AA550" s="315"/>
      <c r="AB550" s="297"/>
      <c r="AC550" s="292"/>
      <c r="AD550" s="292"/>
      <c r="AE550" s="292"/>
      <c r="AF550" s="303"/>
      <c r="AG550" s="303"/>
      <c r="AH550" s="303"/>
      <c r="AI550" s="303"/>
    </row>
    <row r="551">
      <c r="A551" s="304"/>
      <c r="B551" s="299"/>
      <c r="C551" s="292"/>
      <c r="D551" s="293"/>
      <c r="E551" s="292"/>
      <c r="F551" s="293"/>
      <c r="G551" s="294"/>
      <c r="H551" s="295"/>
      <c r="I551" s="303"/>
      <c r="J551" s="303"/>
      <c r="K551" s="297"/>
      <c r="L551" s="303"/>
      <c r="M551" s="303"/>
      <c r="N551" s="297"/>
      <c r="O551" s="292"/>
      <c r="P551" s="303"/>
      <c r="Q551" s="298"/>
      <c r="R551" s="294"/>
      <c r="S551" s="297"/>
      <c r="T551" s="292"/>
      <c r="U551" s="299"/>
      <c r="V551" s="292"/>
      <c r="W551" s="309"/>
      <c r="X551" s="292"/>
      <c r="Y551" s="309"/>
      <c r="Z551" s="292"/>
      <c r="AA551" s="315"/>
      <c r="AB551" s="297"/>
      <c r="AC551" s="292"/>
      <c r="AD551" s="292"/>
      <c r="AE551" s="292"/>
      <c r="AF551" s="303"/>
      <c r="AG551" s="303"/>
      <c r="AH551" s="303"/>
      <c r="AI551" s="303"/>
    </row>
    <row r="552">
      <c r="A552" s="304"/>
      <c r="B552" s="299"/>
      <c r="C552" s="292"/>
      <c r="D552" s="293"/>
      <c r="E552" s="292"/>
      <c r="F552" s="293"/>
      <c r="G552" s="294"/>
      <c r="H552" s="295"/>
      <c r="I552" s="303"/>
      <c r="J552" s="303"/>
      <c r="K552" s="297"/>
      <c r="L552" s="303"/>
      <c r="M552" s="303"/>
      <c r="N552" s="297"/>
      <c r="O552" s="292"/>
      <c r="P552" s="303"/>
      <c r="Q552" s="298"/>
      <c r="R552" s="294"/>
      <c r="S552" s="297"/>
      <c r="T552" s="292"/>
      <c r="U552" s="299"/>
      <c r="V552" s="292"/>
      <c r="W552" s="309"/>
      <c r="X552" s="292"/>
      <c r="Y552" s="309"/>
      <c r="Z552" s="292"/>
      <c r="AA552" s="315"/>
      <c r="AB552" s="297"/>
      <c r="AC552" s="292"/>
      <c r="AD552" s="292"/>
      <c r="AE552" s="292"/>
      <c r="AF552" s="303"/>
      <c r="AG552" s="303"/>
      <c r="AH552" s="303"/>
      <c r="AI552" s="303"/>
    </row>
    <row r="553">
      <c r="A553" s="304"/>
      <c r="B553" s="299"/>
      <c r="C553" s="292"/>
      <c r="D553" s="293"/>
      <c r="E553" s="292"/>
      <c r="F553" s="293"/>
      <c r="G553" s="294"/>
      <c r="H553" s="295"/>
      <c r="I553" s="303"/>
      <c r="J553" s="303"/>
      <c r="K553" s="297"/>
      <c r="L553" s="303"/>
      <c r="M553" s="303"/>
      <c r="N553" s="297"/>
      <c r="O553" s="292"/>
      <c r="P553" s="303"/>
      <c r="Q553" s="298"/>
      <c r="R553" s="294"/>
      <c r="S553" s="297"/>
      <c r="T553" s="292"/>
      <c r="U553" s="299"/>
      <c r="V553" s="292"/>
      <c r="W553" s="309"/>
      <c r="X553" s="292"/>
      <c r="Y553" s="309"/>
      <c r="Z553" s="292"/>
      <c r="AA553" s="315"/>
      <c r="AB553" s="297"/>
      <c r="AC553" s="292"/>
      <c r="AD553" s="292"/>
      <c r="AE553" s="292"/>
      <c r="AF553" s="303"/>
      <c r="AG553" s="303"/>
      <c r="AH553" s="303"/>
      <c r="AI553" s="303"/>
    </row>
    <row r="554">
      <c r="A554" s="304"/>
      <c r="B554" s="299"/>
      <c r="C554" s="292"/>
      <c r="D554" s="293"/>
      <c r="E554" s="292"/>
      <c r="F554" s="293"/>
      <c r="G554" s="294"/>
      <c r="H554" s="295"/>
      <c r="I554" s="303"/>
      <c r="J554" s="303"/>
      <c r="K554" s="297"/>
      <c r="L554" s="303"/>
      <c r="M554" s="303"/>
      <c r="N554" s="297"/>
      <c r="O554" s="292"/>
      <c r="P554" s="303"/>
      <c r="Q554" s="298"/>
      <c r="R554" s="294"/>
      <c r="S554" s="297"/>
      <c r="T554" s="292"/>
      <c r="U554" s="299"/>
      <c r="V554" s="292"/>
      <c r="W554" s="309"/>
      <c r="X554" s="292"/>
      <c r="Y554" s="309"/>
      <c r="Z554" s="292"/>
      <c r="AA554" s="315"/>
      <c r="AB554" s="297"/>
      <c r="AC554" s="292"/>
      <c r="AD554" s="292"/>
      <c r="AE554" s="292"/>
      <c r="AF554" s="303"/>
      <c r="AG554" s="303"/>
      <c r="AH554" s="303"/>
      <c r="AI554" s="303"/>
    </row>
    <row r="555">
      <c r="A555" s="304"/>
      <c r="B555" s="299"/>
      <c r="C555" s="292"/>
      <c r="D555" s="293"/>
      <c r="E555" s="292"/>
      <c r="F555" s="293"/>
      <c r="G555" s="294"/>
      <c r="H555" s="295"/>
      <c r="I555" s="303"/>
      <c r="J555" s="303"/>
      <c r="K555" s="297"/>
      <c r="L555" s="303"/>
      <c r="M555" s="303"/>
      <c r="N555" s="297"/>
      <c r="O555" s="292"/>
      <c r="P555" s="303"/>
      <c r="Q555" s="298"/>
      <c r="R555" s="294"/>
      <c r="S555" s="297"/>
      <c r="T555" s="292"/>
      <c r="U555" s="299"/>
      <c r="V555" s="292"/>
      <c r="W555" s="309"/>
      <c r="X555" s="292"/>
      <c r="Y555" s="309"/>
      <c r="Z555" s="292"/>
      <c r="AA555" s="315"/>
      <c r="AB555" s="297"/>
      <c r="AC555" s="292"/>
      <c r="AD555" s="292"/>
      <c r="AE555" s="292"/>
      <c r="AF555" s="303"/>
      <c r="AG555" s="303"/>
      <c r="AH555" s="303"/>
      <c r="AI555" s="303"/>
    </row>
    <row r="556">
      <c r="A556" s="304"/>
      <c r="B556" s="299"/>
      <c r="C556" s="292"/>
      <c r="D556" s="293"/>
      <c r="E556" s="292"/>
      <c r="F556" s="293"/>
      <c r="G556" s="294"/>
      <c r="H556" s="295"/>
      <c r="I556" s="303"/>
      <c r="J556" s="303"/>
      <c r="K556" s="297"/>
      <c r="L556" s="303"/>
      <c r="M556" s="303"/>
      <c r="N556" s="297"/>
      <c r="O556" s="292"/>
      <c r="P556" s="303"/>
      <c r="Q556" s="298"/>
      <c r="R556" s="294"/>
      <c r="S556" s="297"/>
      <c r="T556" s="292"/>
      <c r="U556" s="299"/>
      <c r="V556" s="292"/>
      <c r="W556" s="309"/>
      <c r="X556" s="292"/>
      <c r="Y556" s="309"/>
      <c r="Z556" s="292"/>
      <c r="AA556" s="315"/>
      <c r="AB556" s="297"/>
      <c r="AC556" s="292"/>
      <c r="AD556" s="292"/>
      <c r="AE556" s="292"/>
      <c r="AF556" s="303"/>
      <c r="AG556" s="303"/>
      <c r="AH556" s="303"/>
      <c r="AI556" s="303"/>
    </row>
    <row r="557">
      <c r="A557" s="304"/>
      <c r="B557" s="299"/>
      <c r="C557" s="292"/>
      <c r="D557" s="293"/>
      <c r="E557" s="292"/>
      <c r="F557" s="293"/>
      <c r="G557" s="294"/>
      <c r="H557" s="295"/>
      <c r="I557" s="303"/>
      <c r="J557" s="303"/>
      <c r="K557" s="297"/>
      <c r="L557" s="303"/>
      <c r="M557" s="303"/>
      <c r="N557" s="297"/>
      <c r="O557" s="292"/>
      <c r="P557" s="303"/>
      <c r="Q557" s="298"/>
      <c r="R557" s="294"/>
      <c r="S557" s="297"/>
      <c r="T557" s="292"/>
      <c r="U557" s="299"/>
      <c r="V557" s="292"/>
      <c r="W557" s="309"/>
      <c r="X557" s="292"/>
      <c r="Y557" s="309"/>
      <c r="Z557" s="292"/>
      <c r="AA557" s="315"/>
      <c r="AB557" s="297"/>
      <c r="AC557" s="292"/>
      <c r="AD557" s="292"/>
      <c r="AE557" s="292"/>
      <c r="AF557" s="303"/>
      <c r="AG557" s="303"/>
      <c r="AH557" s="303"/>
      <c r="AI557" s="303"/>
    </row>
    <row r="558">
      <c r="A558" s="304"/>
      <c r="B558" s="299"/>
      <c r="C558" s="292"/>
      <c r="D558" s="293"/>
      <c r="E558" s="292"/>
      <c r="F558" s="293"/>
      <c r="G558" s="294"/>
      <c r="H558" s="295"/>
      <c r="I558" s="303"/>
      <c r="J558" s="303"/>
      <c r="K558" s="297"/>
      <c r="L558" s="303"/>
      <c r="M558" s="303"/>
      <c r="N558" s="297"/>
      <c r="O558" s="292"/>
      <c r="P558" s="303"/>
      <c r="Q558" s="298"/>
      <c r="R558" s="294"/>
      <c r="S558" s="297"/>
      <c r="T558" s="292"/>
      <c r="U558" s="299"/>
      <c r="V558" s="292"/>
      <c r="W558" s="309"/>
      <c r="X558" s="292"/>
      <c r="Y558" s="309"/>
      <c r="Z558" s="292"/>
      <c r="AA558" s="315"/>
      <c r="AB558" s="297"/>
      <c r="AC558" s="292"/>
      <c r="AD558" s="292"/>
      <c r="AE558" s="292"/>
      <c r="AF558" s="303"/>
      <c r="AG558" s="303"/>
      <c r="AH558" s="303"/>
      <c r="AI558" s="303"/>
    </row>
    <row r="559">
      <c r="A559" s="304"/>
      <c r="B559" s="299"/>
      <c r="C559" s="292"/>
      <c r="D559" s="293"/>
      <c r="E559" s="292"/>
      <c r="F559" s="293"/>
      <c r="G559" s="294"/>
      <c r="H559" s="295"/>
      <c r="I559" s="303"/>
      <c r="J559" s="303"/>
      <c r="K559" s="297"/>
      <c r="L559" s="303"/>
      <c r="M559" s="303"/>
      <c r="N559" s="297"/>
      <c r="O559" s="292"/>
      <c r="P559" s="303"/>
      <c r="Q559" s="298"/>
      <c r="R559" s="294"/>
      <c r="S559" s="297"/>
      <c r="T559" s="292"/>
      <c r="U559" s="299"/>
      <c r="V559" s="292"/>
      <c r="W559" s="309"/>
      <c r="X559" s="292"/>
      <c r="Y559" s="309"/>
      <c r="Z559" s="292"/>
      <c r="AA559" s="315"/>
      <c r="AB559" s="297"/>
      <c r="AC559" s="292"/>
      <c r="AD559" s="292"/>
      <c r="AE559" s="292"/>
      <c r="AF559" s="303"/>
      <c r="AG559" s="303"/>
      <c r="AH559" s="303"/>
      <c r="AI559" s="303"/>
    </row>
    <row r="560">
      <c r="A560" s="304"/>
      <c r="B560" s="299"/>
      <c r="C560" s="292"/>
      <c r="D560" s="293"/>
      <c r="E560" s="292"/>
      <c r="F560" s="293"/>
      <c r="G560" s="294"/>
      <c r="H560" s="295"/>
      <c r="I560" s="303"/>
      <c r="J560" s="303"/>
      <c r="K560" s="297"/>
      <c r="L560" s="303"/>
      <c r="M560" s="303"/>
      <c r="N560" s="297"/>
      <c r="O560" s="292"/>
      <c r="P560" s="303"/>
      <c r="Q560" s="298"/>
      <c r="R560" s="294"/>
      <c r="S560" s="297"/>
      <c r="T560" s="292"/>
      <c r="U560" s="299"/>
      <c r="V560" s="292"/>
      <c r="W560" s="309"/>
      <c r="X560" s="292"/>
      <c r="Y560" s="309"/>
      <c r="Z560" s="292"/>
      <c r="AA560" s="315"/>
      <c r="AB560" s="297"/>
      <c r="AC560" s="292"/>
      <c r="AD560" s="292"/>
      <c r="AE560" s="292"/>
      <c r="AF560" s="303"/>
      <c r="AG560" s="303"/>
      <c r="AH560" s="303"/>
      <c r="AI560" s="303"/>
    </row>
    <row r="561">
      <c r="A561" s="304"/>
      <c r="B561" s="299"/>
      <c r="C561" s="292"/>
      <c r="D561" s="293"/>
      <c r="E561" s="292"/>
      <c r="F561" s="293"/>
      <c r="G561" s="294"/>
      <c r="H561" s="295"/>
      <c r="I561" s="303"/>
      <c r="J561" s="303"/>
      <c r="K561" s="297"/>
      <c r="L561" s="303"/>
      <c r="M561" s="303"/>
      <c r="N561" s="297"/>
      <c r="O561" s="292"/>
      <c r="P561" s="303"/>
      <c r="Q561" s="298"/>
      <c r="R561" s="294"/>
      <c r="S561" s="297"/>
      <c r="T561" s="292"/>
      <c r="U561" s="299"/>
      <c r="V561" s="292"/>
      <c r="W561" s="309"/>
      <c r="X561" s="292"/>
      <c r="Y561" s="309"/>
      <c r="Z561" s="292"/>
      <c r="AA561" s="315"/>
      <c r="AB561" s="297"/>
      <c r="AC561" s="292"/>
      <c r="AD561" s="292"/>
      <c r="AE561" s="292"/>
      <c r="AF561" s="303"/>
      <c r="AG561" s="303"/>
      <c r="AH561" s="303"/>
      <c r="AI561" s="303"/>
    </row>
    <row r="562">
      <c r="A562" s="304"/>
      <c r="B562" s="299"/>
      <c r="C562" s="292"/>
      <c r="D562" s="293"/>
      <c r="E562" s="292"/>
      <c r="F562" s="293"/>
      <c r="G562" s="294"/>
      <c r="H562" s="295"/>
      <c r="I562" s="303"/>
      <c r="J562" s="303"/>
      <c r="K562" s="297"/>
      <c r="L562" s="303"/>
      <c r="M562" s="303"/>
      <c r="N562" s="297"/>
      <c r="O562" s="292"/>
      <c r="P562" s="303"/>
      <c r="Q562" s="298"/>
      <c r="R562" s="294"/>
      <c r="S562" s="297"/>
      <c r="T562" s="292"/>
      <c r="U562" s="299"/>
      <c r="V562" s="292"/>
      <c r="W562" s="309"/>
      <c r="X562" s="292"/>
      <c r="Y562" s="309"/>
      <c r="Z562" s="292"/>
      <c r="AA562" s="315"/>
      <c r="AB562" s="297"/>
      <c r="AC562" s="292"/>
      <c r="AD562" s="292"/>
      <c r="AE562" s="292"/>
      <c r="AF562" s="303"/>
      <c r="AG562" s="303"/>
      <c r="AH562" s="303"/>
      <c r="AI562" s="303"/>
    </row>
    <row r="563">
      <c r="A563" s="304"/>
      <c r="B563" s="299"/>
      <c r="C563" s="292"/>
      <c r="D563" s="293"/>
      <c r="E563" s="292"/>
      <c r="F563" s="293"/>
      <c r="G563" s="294"/>
      <c r="H563" s="295"/>
      <c r="I563" s="303"/>
      <c r="J563" s="303"/>
      <c r="K563" s="297"/>
      <c r="L563" s="303"/>
      <c r="M563" s="303"/>
      <c r="N563" s="297"/>
      <c r="O563" s="292"/>
      <c r="P563" s="303"/>
      <c r="Q563" s="298"/>
      <c r="R563" s="294"/>
      <c r="S563" s="297"/>
      <c r="T563" s="292"/>
      <c r="U563" s="299"/>
      <c r="V563" s="292"/>
      <c r="W563" s="309"/>
      <c r="X563" s="292"/>
      <c r="Y563" s="309"/>
      <c r="Z563" s="292"/>
      <c r="AA563" s="315"/>
      <c r="AB563" s="297"/>
      <c r="AC563" s="292"/>
      <c r="AD563" s="292"/>
      <c r="AE563" s="292"/>
      <c r="AF563" s="303"/>
      <c r="AG563" s="303"/>
      <c r="AH563" s="303"/>
      <c r="AI563" s="303"/>
    </row>
    <row r="564">
      <c r="A564" s="304"/>
      <c r="B564" s="299"/>
      <c r="C564" s="292"/>
      <c r="D564" s="293"/>
      <c r="E564" s="292"/>
      <c r="F564" s="293"/>
      <c r="G564" s="294"/>
      <c r="H564" s="295"/>
      <c r="I564" s="303"/>
      <c r="J564" s="303"/>
      <c r="K564" s="297"/>
      <c r="L564" s="303"/>
      <c r="M564" s="303"/>
      <c r="N564" s="297"/>
      <c r="O564" s="292"/>
      <c r="P564" s="303"/>
      <c r="Q564" s="298"/>
      <c r="R564" s="294"/>
      <c r="S564" s="297"/>
      <c r="T564" s="292"/>
      <c r="U564" s="299"/>
      <c r="V564" s="292"/>
      <c r="W564" s="309"/>
      <c r="X564" s="292"/>
      <c r="Y564" s="309"/>
      <c r="Z564" s="292"/>
      <c r="AA564" s="315"/>
      <c r="AB564" s="297"/>
      <c r="AC564" s="292"/>
      <c r="AD564" s="292"/>
      <c r="AE564" s="292"/>
      <c r="AF564" s="303"/>
      <c r="AG564" s="303"/>
      <c r="AH564" s="303"/>
      <c r="AI564" s="303"/>
    </row>
    <row r="565">
      <c r="A565" s="304"/>
      <c r="B565" s="299"/>
      <c r="C565" s="292"/>
      <c r="D565" s="293"/>
      <c r="E565" s="292"/>
      <c r="F565" s="293"/>
      <c r="G565" s="294"/>
      <c r="H565" s="295"/>
      <c r="I565" s="303"/>
      <c r="J565" s="303"/>
      <c r="K565" s="297"/>
      <c r="L565" s="303"/>
      <c r="M565" s="303"/>
      <c r="N565" s="297"/>
      <c r="O565" s="292"/>
      <c r="P565" s="303"/>
      <c r="Q565" s="298"/>
      <c r="R565" s="294"/>
      <c r="S565" s="297"/>
      <c r="T565" s="292"/>
      <c r="U565" s="299"/>
      <c r="V565" s="292"/>
      <c r="W565" s="309"/>
      <c r="X565" s="292"/>
      <c r="Y565" s="309"/>
      <c r="Z565" s="292"/>
      <c r="AA565" s="315"/>
      <c r="AB565" s="297"/>
      <c r="AC565" s="292"/>
      <c r="AD565" s="292"/>
      <c r="AE565" s="292"/>
      <c r="AF565" s="303"/>
      <c r="AG565" s="303"/>
      <c r="AH565" s="303"/>
      <c r="AI565" s="303"/>
    </row>
    <row r="566">
      <c r="A566" s="304"/>
      <c r="B566" s="299"/>
      <c r="C566" s="292"/>
      <c r="D566" s="293"/>
      <c r="E566" s="292"/>
      <c r="F566" s="293"/>
      <c r="G566" s="294"/>
      <c r="H566" s="295"/>
      <c r="I566" s="303"/>
      <c r="J566" s="303"/>
      <c r="K566" s="297"/>
      <c r="L566" s="303"/>
      <c r="M566" s="303"/>
      <c r="N566" s="297"/>
      <c r="O566" s="292"/>
      <c r="P566" s="303"/>
      <c r="Q566" s="298"/>
      <c r="R566" s="294"/>
      <c r="S566" s="297"/>
      <c r="T566" s="292"/>
      <c r="U566" s="299"/>
      <c r="V566" s="292"/>
      <c r="W566" s="309"/>
      <c r="X566" s="292"/>
      <c r="Y566" s="309"/>
      <c r="Z566" s="292"/>
      <c r="AA566" s="315"/>
      <c r="AB566" s="297"/>
      <c r="AC566" s="292"/>
      <c r="AD566" s="292"/>
      <c r="AE566" s="292"/>
      <c r="AF566" s="303"/>
      <c r="AG566" s="303"/>
      <c r="AH566" s="303"/>
      <c r="AI566" s="303"/>
    </row>
    <row r="567">
      <c r="A567" s="304"/>
      <c r="B567" s="299"/>
      <c r="C567" s="292"/>
      <c r="D567" s="293"/>
      <c r="E567" s="292"/>
      <c r="F567" s="293"/>
      <c r="G567" s="294"/>
      <c r="H567" s="295"/>
      <c r="I567" s="303"/>
      <c r="J567" s="303"/>
      <c r="K567" s="297"/>
      <c r="L567" s="303"/>
      <c r="M567" s="303"/>
      <c r="N567" s="297"/>
      <c r="O567" s="292"/>
      <c r="P567" s="303"/>
      <c r="Q567" s="298"/>
      <c r="R567" s="294"/>
      <c r="S567" s="297"/>
      <c r="T567" s="292"/>
      <c r="U567" s="299"/>
      <c r="V567" s="292"/>
      <c r="W567" s="309"/>
      <c r="X567" s="292"/>
      <c r="Y567" s="309"/>
      <c r="Z567" s="292"/>
      <c r="AA567" s="315"/>
      <c r="AB567" s="297"/>
      <c r="AC567" s="292"/>
      <c r="AD567" s="292"/>
      <c r="AE567" s="292"/>
      <c r="AF567" s="303"/>
      <c r="AG567" s="303"/>
      <c r="AH567" s="303"/>
      <c r="AI567" s="303"/>
    </row>
    <row r="568">
      <c r="A568" s="304"/>
      <c r="B568" s="299"/>
      <c r="C568" s="292"/>
      <c r="D568" s="293"/>
      <c r="E568" s="292"/>
      <c r="F568" s="293"/>
      <c r="G568" s="294"/>
      <c r="H568" s="295"/>
      <c r="I568" s="303"/>
      <c r="J568" s="303"/>
      <c r="K568" s="297"/>
      <c r="L568" s="303"/>
      <c r="M568" s="303"/>
      <c r="N568" s="297"/>
      <c r="O568" s="292"/>
      <c r="P568" s="303"/>
      <c r="Q568" s="298"/>
      <c r="R568" s="294"/>
      <c r="S568" s="297"/>
      <c r="T568" s="292"/>
      <c r="U568" s="299"/>
      <c r="V568" s="292"/>
      <c r="W568" s="309"/>
      <c r="X568" s="292"/>
      <c r="Y568" s="309"/>
      <c r="Z568" s="292"/>
      <c r="AA568" s="315"/>
      <c r="AB568" s="297"/>
      <c r="AC568" s="292"/>
      <c r="AD568" s="292"/>
      <c r="AE568" s="292"/>
      <c r="AF568" s="303"/>
      <c r="AG568" s="303"/>
      <c r="AH568" s="303"/>
      <c r="AI568" s="303"/>
    </row>
    <row r="569">
      <c r="A569" s="304"/>
      <c r="B569" s="299"/>
      <c r="C569" s="292"/>
      <c r="D569" s="293"/>
      <c r="E569" s="292"/>
      <c r="F569" s="293"/>
      <c r="G569" s="294"/>
      <c r="H569" s="295"/>
      <c r="I569" s="303"/>
      <c r="J569" s="303"/>
      <c r="K569" s="297"/>
      <c r="L569" s="303"/>
      <c r="M569" s="303"/>
      <c r="N569" s="297"/>
      <c r="O569" s="292"/>
      <c r="P569" s="303"/>
      <c r="Q569" s="298"/>
      <c r="R569" s="294"/>
      <c r="S569" s="297"/>
      <c r="T569" s="292"/>
      <c r="U569" s="299"/>
      <c r="V569" s="292"/>
      <c r="W569" s="309"/>
      <c r="X569" s="292"/>
      <c r="Y569" s="309"/>
      <c r="Z569" s="292"/>
      <c r="AA569" s="315"/>
      <c r="AB569" s="297"/>
      <c r="AC569" s="292"/>
      <c r="AD569" s="292"/>
      <c r="AE569" s="292"/>
      <c r="AF569" s="303"/>
      <c r="AG569" s="303"/>
      <c r="AH569" s="303"/>
      <c r="AI569" s="303"/>
    </row>
    <row r="570">
      <c r="A570" s="304"/>
      <c r="B570" s="299"/>
      <c r="C570" s="292"/>
      <c r="D570" s="293"/>
      <c r="E570" s="292"/>
      <c r="F570" s="293"/>
      <c r="G570" s="294"/>
      <c r="H570" s="295"/>
      <c r="I570" s="303"/>
      <c r="J570" s="303"/>
      <c r="K570" s="297"/>
      <c r="L570" s="303"/>
      <c r="M570" s="303"/>
      <c r="N570" s="297"/>
      <c r="O570" s="292"/>
      <c r="P570" s="303"/>
      <c r="Q570" s="298"/>
      <c r="R570" s="294"/>
      <c r="S570" s="297"/>
      <c r="T570" s="292"/>
      <c r="U570" s="299"/>
      <c r="V570" s="292"/>
      <c r="W570" s="309"/>
      <c r="X570" s="292"/>
      <c r="Y570" s="309"/>
      <c r="Z570" s="292"/>
      <c r="AA570" s="315"/>
      <c r="AB570" s="297"/>
      <c r="AC570" s="292"/>
      <c r="AD570" s="292"/>
      <c r="AE570" s="292"/>
      <c r="AF570" s="303"/>
      <c r="AG570" s="303"/>
      <c r="AH570" s="303"/>
      <c r="AI570" s="303"/>
    </row>
    <row r="571">
      <c r="A571" s="304"/>
      <c r="B571" s="299"/>
      <c r="C571" s="292"/>
      <c r="D571" s="293"/>
      <c r="E571" s="292"/>
      <c r="F571" s="293"/>
      <c r="G571" s="294"/>
      <c r="H571" s="295"/>
      <c r="I571" s="303"/>
      <c r="J571" s="303"/>
      <c r="K571" s="297"/>
      <c r="L571" s="303"/>
      <c r="M571" s="303"/>
      <c r="N571" s="297"/>
      <c r="O571" s="292"/>
      <c r="P571" s="303"/>
      <c r="Q571" s="298"/>
      <c r="R571" s="294"/>
      <c r="S571" s="297"/>
      <c r="T571" s="292"/>
      <c r="U571" s="299"/>
      <c r="V571" s="292"/>
      <c r="W571" s="309"/>
      <c r="X571" s="292"/>
      <c r="Y571" s="309"/>
      <c r="Z571" s="292"/>
      <c r="AA571" s="315"/>
      <c r="AB571" s="297"/>
      <c r="AC571" s="292"/>
      <c r="AD571" s="292"/>
      <c r="AE571" s="292"/>
      <c r="AF571" s="303"/>
      <c r="AG571" s="303"/>
      <c r="AH571" s="303"/>
      <c r="AI571" s="303"/>
    </row>
    <row r="572">
      <c r="A572" s="304"/>
      <c r="B572" s="299"/>
      <c r="C572" s="292"/>
      <c r="D572" s="293"/>
      <c r="E572" s="292"/>
      <c r="F572" s="293"/>
      <c r="G572" s="294"/>
      <c r="H572" s="295"/>
      <c r="I572" s="303"/>
      <c r="J572" s="303"/>
      <c r="K572" s="297"/>
      <c r="L572" s="303"/>
      <c r="M572" s="303"/>
      <c r="N572" s="297"/>
      <c r="O572" s="292"/>
      <c r="P572" s="303"/>
      <c r="Q572" s="298"/>
      <c r="R572" s="294"/>
      <c r="S572" s="297"/>
      <c r="T572" s="292"/>
      <c r="U572" s="299"/>
      <c r="V572" s="292"/>
      <c r="W572" s="309"/>
      <c r="X572" s="292"/>
      <c r="Y572" s="309"/>
      <c r="Z572" s="292"/>
      <c r="AA572" s="315"/>
      <c r="AB572" s="297"/>
      <c r="AC572" s="292"/>
      <c r="AD572" s="292"/>
      <c r="AE572" s="292"/>
      <c r="AF572" s="303"/>
      <c r="AG572" s="303"/>
      <c r="AH572" s="303"/>
      <c r="AI572" s="303"/>
    </row>
    <row r="573">
      <c r="A573" s="304"/>
      <c r="B573" s="299"/>
      <c r="C573" s="292"/>
      <c r="D573" s="293"/>
      <c r="E573" s="292"/>
      <c r="F573" s="293"/>
      <c r="G573" s="294"/>
      <c r="H573" s="295"/>
      <c r="I573" s="303"/>
      <c r="J573" s="303"/>
      <c r="K573" s="297"/>
      <c r="L573" s="303"/>
      <c r="M573" s="303"/>
      <c r="N573" s="297"/>
      <c r="O573" s="292"/>
      <c r="P573" s="303"/>
      <c r="Q573" s="298"/>
      <c r="R573" s="294"/>
      <c r="S573" s="297"/>
      <c r="T573" s="292"/>
      <c r="U573" s="299"/>
      <c r="V573" s="292"/>
      <c r="W573" s="309"/>
      <c r="X573" s="292"/>
      <c r="Y573" s="309"/>
      <c r="Z573" s="292"/>
      <c r="AA573" s="315"/>
      <c r="AB573" s="297"/>
      <c r="AC573" s="292"/>
      <c r="AD573" s="292"/>
      <c r="AE573" s="292"/>
      <c r="AF573" s="303"/>
      <c r="AG573" s="303"/>
      <c r="AH573" s="303"/>
      <c r="AI573" s="303"/>
    </row>
    <row r="574">
      <c r="A574" s="304"/>
      <c r="B574" s="299"/>
      <c r="C574" s="292"/>
      <c r="D574" s="293"/>
      <c r="E574" s="292"/>
      <c r="F574" s="293"/>
      <c r="G574" s="294"/>
      <c r="H574" s="295"/>
      <c r="I574" s="303"/>
      <c r="J574" s="303"/>
      <c r="K574" s="297"/>
      <c r="L574" s="303"/>
      <c r="M574" s="303"/>
      <c r="N574" s="297"/>
      <c r="O574" s="292"/>
      <c r="P574" s="303"/>
      <c r="Q574" s="298"/>
      <c r="R574" s="294"/>
      <c r="S574" s="297"/>
      <c r="T574" s="292"/>
      <c r="U574" s="299"/>
      <c r="V574" s="292"/>
      <c r="W574" s="309"/>
      <c r="X574" s="292"/>
      <c r="Y574" s="309"/>
      <c r="Z574" s="292"/>
      <c r="AA574" s="315"/>
      <c r="AB574" s="297"/>
      <c r="AC574" s="292"/>
      <c r="AD574" s="292"/>
      <c r="AE574" s="292"/>
      <c r="AF574" s="303"/>
      <c r="AG574" s="303"/>
      <c r="AH574" s="303"/>
      <c r="AI574" s="303"/>
    </row>
    <row r="575">
      <c r="A575" s="304"/>
      <c r="B575" s="299"/>
      <c r="C575" s="292"/>
      <c r="D575" s="293"/>
      <c r="E575" s="292"/>
      <c r="F575" s="293"/>
      <c r="G575" s="294"/>
      <c r="H575" s="295"/>
      <c r="I575" s="303"/>
      <c r="J575" s="303"/>
      <c r="K575" s="297"/>
      <c r="L575" s="303"/>
      <c r="M575" s="303"/>
      <c r="N575" s="297"/>
      <c r="O575" s="292"/>
      <c r="P575" s="303"/>
      <c r="Q575" s="298"/>
      <c r="R575" s="294"/>
      <c r="S575" s="297"/>
      <c r="T575" s="292"/>
      <c r="U575" s="299"/>
      <c r="V575" s="292"/>
      <c r="W575" s="309"/>
      <c r="X575" s="292"/>
      <c r="Y575" s="309"/>
      <c r="Z575" s="292"/>
      <c r="AA575" s="315"/>
      <c r="AB575" s="297"/>
      <c r="AC575" s="292"/>
      <c r="AD575" s="292"/>
      <c r="AE575" s="292"/>
      <c r="AF575" s="303"/>
      <c r="AG575" s="303"/>
      <c r="AH575" s="303"/>
      <c r="AI575" s="303"/>
    </row>
    <row r="576">
      <c r="A576" s="304"/>
      <c r="B576" s="299"/>
      <c r="C576" s="292"/>
      <c r="D576" s="293"/>
      <c r="E576" s="292"/>
      <c r="F576" s="293"/>
      <c r="G576" s="294"/>
      <c r="H576" s="295"/>
      <c r="I576" s="303"/>
      <c r="J576" s="303"/>
      <c r="K576" s="297"/>
      <c r="L576" s="303"/>
      <c r="M576" s="303"/>
      <c r="N576" s="297"/>
      <c r="O576" s="292"/>
      <c r="P576" s="303"/>
      <c r="Q576" s="298"/>
      <c r="R576" s="294"/>
      <c r="S576" s="297"/>
      <c r="T576" s="292"/>
      <c r="U576" s="299"/>
      <c r="V576" s="292"/>
      <c r="W576" s="309"/>
      <c r="X576" s="292"/>
      <c r="Y576" s="309"/>
      <c r="Z576" s="292"/>
      <c r="AA576" s="315"/>
      <c r="AB576" s="297"/>
      <c r="AC576" s="292"/>
      <c r="AD576" s="292"/>
      <c r="AE576" s="292"/>
      <c r="AF576" s="303"/>
      <c r="AG576" s="303"/>
      <c r="AH576" s="303"/>
      <c r="AI576" s="303"/>
    </row>
    <row r="577">
      <c r="A577" s="304"/>
      <c r="B577" s="299"/>
      <c r="C577" s="292"/>
      <c r="D577" s="293"/>
      <c r="E577" s="292"/>
      <c r="F577" s="293"/>
      <c r="G577" s="294"/>
      <c r="H577" s="295"/>
      <c r="I577" s="303"/>
      <c r="J577" s="303"/>
      <c r="K577" s="297"/>
      <c r="L577" s="303"/>
      <c r="M577" s="303"/>
      <c r="N577" s="297"/>
      <c r="O577" s="292"/>
      <c r="P577" s="303"/>
      <c r="Q577" s="298"/>
      <c r="R577" s="294"/>
      <c r="S577" s="297"/>
      <c r="T577" s="292"/>
      <c r="U577" s="299"/>
      <c r="V577" s="292"/>
      <c r="W577" s="309"/>
      <c r="X577" s="292"/>
      <c r="Y577" s="309"/>
      <c r="Z577" s="292"/>
      <c r="AA577" s="315"/>
      <c r="AB577" s="297"/>
      <c r="AC577" s="292"/>
      <c r="AD577" s="292"/>
      <c r="AE577" s="292"/>
      <c r="AF577" s="303"/>
      <c r="AG577" s="303"/>
      <c r="AH577" s="303"/>
      <c r="AI577" s="303"/>
    </row>
    <row r="578">
      <c r="A578" s="304"/>
      <c r="B578" s="299"/>
      <c r="C578" s="292"/>
      <c r="D578" s="293"/>
      <c r="E578" s="292"/>
      <c r="F578" s="293"/>
      <c r="G578" s="294"/>
      <c r="H578" s="295"/>
      <c r="I578" s="303"/>
      <c r="J578" s="303"/>
      <c r="K578" s="297"/>
      <c r="L578" s="303"/>
      <c r="M578" s="303"/>
      <c r="N578" s="297"/>
      <c r="O578" s="292"/>
      <c r="P578" s="303"/>
      <c r="Q578" s="298"/>
      <c r="R578" s="294"/>
      <c r="S578" s="297"/>
      <c r="T578" s="292"/>
      <c r="U578" s="299"/>
      <c r="V578" s="292"/>
      <c r="W578" s="309"/>
      <c r="X578" s="292"/>
      <c r="Y578" s="309"/>
      <c r="Z578" s="292"/>
      <c r="AA578" s="315"/>
      <c r="AB578" s="297"/>
      <c r="AC578" s="292"/>
      <c r="AD578" s="292"/>
      <c r="AE578" s="292"/>
      <c r="AF578" s="303"/>
      <c r="AG578" s="303"/>
      <c r="AH578" s="303"/>
      <c r="AI578" s="303"/>
    </row>
    <row r="579">
      <c r="A579" s="304"/>
      <c r="B579" s="299"/>
      <c r="C579" s="292"/>
      <c r="D579" s="293"/>
      <c r="E579" s="292"/>
      <c r="F579" s="293"/>
      <c r="G579" s="294"/>
      <c r="H579" s="295"/>
      <c r="I579" s="303"/>
      <c r="J579" s="303"/>
      <c r="K579" s="297"/>
      <c r="L579" s="303"/>
      <c r="M579" s="303"/>
      <c r="N579" s="297"/>
      <c r="O579" s="292"/>
      <c r="P579" s="303"/>
      <c r="Q579" s="298"/>
      <c r="R579" s="294"/>
      <c r="S579" s="297"/>
      <c r="T579" s="292"/>
      <c r="U579" s="299"/>
      <c r="V579" s="292"/>
      <c r="W579" s="309"/>
      <c r="X579" s="292"/>
      <c r="Y579" s="309"/>
      <c r="Z579" s="292"/>
      <c r="AA579" s="315"/>
      <c r="AB579" s="297"/>
      <c r="AC579" s="292"/>
      <c r="AD579" s="292"/>
      <c r="AE579" s="292"/>
      <c r="AF579" s="303"/>
      <c r="AG579" s="303"/>
      <c r="AH579" s="303"/>
      <c r="AI579" s="303"/>
    </row>
    <row r="580">
      <c r="A580" s="304"/>
      <c r="B580" s="299"/>
      <c r="C580" s="292"/>
      <c r="D580" s="293"/>
      <c r="E580" s="292"/>
      <c r="F580" s="293"/>
      <c r="G580" s="294"/>
      <c r="H580" s="295"/>
      <c r="I580" s="303"/>
      <c r="J580" s="303"/>
      <c r="K580" s="297"/>
      <c r="L580" s="303"/>
      <c r="M580" s="303"/>
      <c r="N580" s="297"/>
      <c r="O580" s="292"/>
      <c r="P580" s="303"/>
      <c r="Q580" s="298"/>
      <c r="R580" s="294"/>
      <c r="S580" s="297"/>
      <c r="T580" s="292"/>
      <c r="U580" s="299"/>
      <c r="V580" s="292"/>
      <c r="W580" s="309"/>
      <c r="X580" s="292"/>
      <c r="Y580" s="309"/>
      <c r="Z580" s="292"/>
      <c r="AA580" s="315"/>
      <c r="AB580" s="297"/>
      <c r="AC580" s="292"/>
      <c r="AD580" s="292"/>
      <c r="AE580" s="292"/>
      <c r="AF580" s="303"/>
      <c r="AG580" s="303"/>
      <c r="AH580" s="303"/>
      <c r="AI580" s="303"/>
    </row>
    <row r="581">
      <c r="A581" s="304"/>
      <c r="B581" s="299"/>
      <c r="C581" s="292"/>
      <c r="D581" s="293"/>
      <c r="E581" s="292"/>
      <c r="F581" s="293"/>
      <c r="G581" s="294"/>
      <c r="H581" s="295"/>
      <c r="I581" s="303"/>
      <c r="J581" s="303"/>
      <c r="K581" s="297"/>
      <c r="L581" s="303"/>
      <c r="M581" s="303"/>
      <c r="N581" s="297"/>
      <c r="O581" s="292"/>
      <c r="P581" s="303"/>
      <c r="Q581" s="298"/>
      <c r="R581" s="294"/>
      <c r="S581" s="297"/>
      <c r="T581" s="292"/>
      <c r="U581" s="299"/>
      <c r="V581" s="292"/>
      <c r="W581" s="309"/>
      <c r="X581" s="292"/>
      <c r="Y581" s="309"/>
      <c r="Z581" s="292"/>
      <c r="AA581" s="315"/>
      <c r="AB581" s="297"/>
      <c r="AC581" s="292"/>
      <c r="AD581" s="292"/>
      <c r="AE581" s="292"/>
      <c r="AF581" s="303"/>
      <c r="AG581" s="303"/>
      <c r="AH581" s="303"/>
      <c r="AI581" s="303"/>
    </row>
    <row r="582">
      <c r="A582" s="304"/>
      <c r="B582" s="299"/>
      <c r="C582" s="292"/>
      <c r="D582" s="293"/>
      <c r="E582" s="292"/>
      <c r="F582" s="293"/>
      <c r="G582" s="294"/>
      <c r="H582" s="295"/>
      <c r="I582" s="303"/>
      <c r="J582" s="303"/>
      <c r="K582" s="297"/>
      <c r="L582" s="303"/>
      <c r="M582" s="303"/>
      <c r="N582" s="297"/>
      <c r="O582" s="292"/>
      <c r="P582" s="303"/>
      <c r="Q582" s="298"/>
      <c r="R582" s="294"/>
      <c r="S582" s="297"/>
      <c r="T582" s="292"/>
      <c r="U582" s="299"/>
      <c r="V582" s="292"/>
      <c r="W582" s="309"/>
      <c r="X582" s="292"/>
      <c r="Y582" s="309"/>
      <c r="Z582" s="292"/>
      <c r="AA582" s="315"/>
      <c r="AB582" s="297"/>
      <c r="AC582" s="292"/>
      <c r="AD582" s="292"/>
      <c r="AE582" s="292"/>
      <c r="AF582" s="303"/>
      <c r="AG582" s="303"/>
      <c r="AH582" s="303"/>
      <c r="AI582" s="303"/>
    </row>
    <row r="583">
      <c r="A583" s="304"/>
      <c r="B583" s="299"/>
      <c r="C583" s="292"/>
      <c r="D583" s="293"/>
      <c r="E583" s="292"/>
      <c r="F583" s="293"/>
      <c r="G583" s="294"/>
      <c r="H583" s="295"/>
      <c r="I583" s="303"/>
      <c r="J583" s="303"/>
      <c r="K583" s="297"/>
      <c r="L583" s="303"/>
      <c r="M583" s="303"/>
      <c r="N583" s="297"/>
      <c r="O583" s="292"/>
      <c r="P583" s="303"/>
      <c r="Q583" s="298"/>
      <c r="R583" s="294"/>
      <c r="S583" s="297"/>
      <c r="T583" s="292"/>
      <c r="U583" s="299"/>
      <c r="V583" s="292"/>
      <c r="W583" s="309"/>
      <c r="X583" s="292"/>
      <c r="Y583" s="309"/>
      <c r="Z583" s="292"/>
      <c r="AA583" s="315"/>
      <c r="AB583" s="297"/>
      <c r="AC583" s="292"/>
      <c r="AD583" s="292"/>
      <c r="AE583" s="292"/>
      <c r="AF583" s="303"/>
      <c r="AG583" s="303"/>
      <c r="AH583" s="303"/>
      <c r="AI583" s="303"/>
    </row>
    <row r="584">
      <c r="A584" s="304"/>
      <c r="B584" s="299"/>
      <c r="C584" s="292"/>
      <c r="D584" s="293"/>
      <c r="E584" s="292"/>
      <c r="F584" s="293"/>
      <c r="G584" s="294"/>
      <c r="H584" s="295"/>
      <c r="I584" s="303"/>
      <c r="J584" s="303"/>
      <c r="K584" s="297"/>
      <c r="L584" s="303"/>
      <c r="M584" s="303"/>
      <c r="N584" s="297"/>
      <c r="O584" s="292"/>
      <c r="P584" s="303"/>
      <c r="Q584" s="298"/>
      <c r="R584" s="294"/>
      <c r="S584" s="297"/>
      <c r="T584" s="292"/>
      <c r="U584" s="299"/>
      <c r="V584" s="292"/>
      <c r="W584" s="309"/>
      <c r="X584" s="292"/>
      <c r="Y584" s="309"/>
      <c r="Z584" s="292"/>
      <c r="AA584" s="315"/>
      <c r="AB584" s="297"/>
      <c r="AC584" s="292"/>
      <c r="AD584" s="292"/>
      <c r="AE584" s="292"/>
      <c r="AF584" s="303"/>
      <c r="AG584" s="303"/>
      <c r="AH584" s="303"/>
      <c r="AI584" s="303"/>
    </row>
    <row r="585">
      <c r="A585" s="304"/>
      <c r="B585" s="299"/>
      <c r="C585" s="292"/>
      <c r="D585" s="293"/>
      <c r="E585" s="292"/>
      <c r="F585" s="293"/>
      <c r="G585" s="294"/>
      <c r="H585" s="295"/>
      <c r="I585" s="303"/>
      <c r="J585" s="303"/>
      <c r="K585" s="297"/>
      <c r="L585" s="303"/>
      <c r="M585" s="303"/>
      <c r="N585" s="297"/>
      <c r="O585" s="292"/>
      <c r="P585" s="303"/>
      <c r="Q585" s="298"/>
      <c r="R585" s="294"/>
      <c r="S585" s="297"/>
      <c r="T585" s="292"/>
      <c r="U585" s="299"/>
      <c r="V585" s="292"/>
      <c r="W585" s="309"/>
      <c r="X585" s="292"/>
      <c r="Y585" s="309"/>
      <c r="Z585" s="292"/>
      <c r="AA585" s="315"/>
      <c r="AB585" s="297"/>
      <c r="AC585" s="292"/>
      <c r="AD585" s="292"/>
      <c r="AE585" s="292"/>
      <c r="AF585" s="303"/>
      <c r="AG585" s="303"/>
      <c r="AH585" s="303"/>
      <c r="AI585" s="303"/>
    </row>
    <row r="586">
      <c r="A586" s="304"/>
      <c r="B586" s="299"/>
      <c r="C586" s="292"/>
      <c r="D586" s="293"/>
      <c r="E586" s="292"/>
      <c r="F586" s="293"/>
      <c r="G586" s="294"/>
      <c r="H586" s="295"/>
      <c r="I586" s="303"/>
      <c r="J586" s="303"/>
      <c r="K586" s="297"/>
      <c r="L586" s="303"/>
      <c r="M586" s="303"/>
      <c r="N586" s="297"/>
      <c r="O586" s="292"/>
      <c r="P586" s="303"/>
      <c r="Q586" s="298"/>
      <c r="R586" s="294"/>
      <c r="S586" s="297"/>
      <c r="T586" s="292"/>
      <c r="U586" s="299"/>
      <c r="V586" s="292"/>
      <c r="W586" s="309"/>
      <c r="X586" s="292"/>
      <c r="Y586" s="309"/>
      <c r="Z586" s="292"/>
      <c r="AA586" s="315"/>
      <c r="AB586" s="297"/>
      <c r="AC586" s="292"/>
      <c r="AD586" s="292"/>
      <c r="AE586" s="292"/>
      <c r="AF586" s="303"/>
      <c r="AG586" s="303"/>
      <c r="AH586" s="303"/>
      <c r="AI586" s="303"/>
    </row>
    <row r="587">
      <c r="A587" s="304"/>
      <c r="B587" s="299"/>
      <c r="C587" s="292"/>
      <c r="D587" s="293"/>
      <c r="E587" s="292"/>
      <c r="F587" s="293"/>
      <c r="G587" s="294"/>
      <c r="H587" s="295"/>
      <c r="I587" s="303"/>
      <c r="J587" s="303"/>
      <c r="K587" s="297"/>
      <c r="L587" s="303"/>
      <c r="M587" s="303"/>
      <c r="N587" s="297"/>
      <c r="O587" s="292"/>
      <c r="P587" s="303"/>
      <c r="Q587" s="298"/>
      <c r="R587" s="294"/>
      <c r="S587" s="297"/>
      <c r="T587" s="292"/>
      <c r="U587" s="299"/>
      <c r="V587" s="292"/>
      <c r="W587" s="309"/>
      <c r="X587" s="292"/>
      <c r="Y587" s="309"/>
      <c r="Z587" s="292"/>
      <c r="AA587" s="315"/>
      <c r="AB587" s="297"/>
      <c r="AC587" s="292"/>
      <c r="AD587" s="292"/>
      <c r="AE587" s="292"/>
      <c r="AF587" s="303"/>
      <c r="AG587" s="303"/>
      <c r="AH587" s="303"/>
      <c r="AI587" s="303"/>
    </row>
    <row r="588">
      <c r="A588" s="304"/>
      <c r="B588" s="299"/>
      <c r="C588" s="292"/>
      <c r="D588" s="293"/>
      <c r="E588" s="292"/>
      <c r="F588" s="293"/>
      <c r="G588" s="294"/>
      <c r="H588" s="295"/>
      <c r="I588" s="303"/>
      <c r="J588" s="303"/>
      <c r="K588" s="297"/>
      <c r="L588" s="303"/>
      <c r="M588" s="303"/>
      <c r="N588" s="297"/>
      <c r="O588" s="292"/>
      <c r="P588" s="303"/>
      <c r="Q588" s="298"/>
      <c r="R588" s="294"/>
      <c r="S588" s="297"/>
      <c r="T588" s="292"/>
      <c r="U588" s="299"/>
      <c r="V588" s="292"/>
      <c r="W588" s="309"/>
      <c r="X588" s="292"/>
      <c r="Y588" s="309"/>
      <c r="Z588" s="292"/>
      <c r="AA588" s="315"/>
      <c r="AB588" s="297"/>
      <c r="AC588" s="292"/>
      <c r="AD588" s="292"/>
      <c r="AE588" s="292"/>
      <c r="AF588" s="303"/>
      <c r="AG588" s="303"/>
      <c r="AH588" s="303"/>
      <c r="AI588" s="303"/>
    </row>
    <row r="589">
      <c r="A589" s="304"/>
      <c r="B589" s="299"/>
      <c r="C589" s="292"/>
      <c r="D589" s="293"/>
      <c r="E589" s="292"/>
      <c r="F589" s="293"/>
      <c r="G589" s="294"/>
      <c r="H589" s="295"/>
      <c r="I589" s="303"/>
      <c r="J589" s="303"/>
      <c r="K589" s="297"/>
      <c r="L589" s="303"/>
      <c r="M589" s="303"/>
      <c r="N589" s="297"/>
      <c r="O589" s="292"/>
      <c r="P589" s="303"/>
      <c r="Q589" s="298"/>
      <c r="R589" s="294"/>
      <c r="S589" s="297"/>
      <c r="T589" s="292"/>
      <c r="U589" s="299"/>
      <c r="V589" s="292"/>
      <c r="W589" s="309"/>
      <c r="X589" s="292"/>
      <c r="Y589" s="309"/>
      <c r="Z589" s="292"/>
      <c r="AA589" s="315"/>
      <c r="AB589" s="297"/>
      <c r="AC589" s="292"/>
      <c r="AD589" s="292"/>
      <c r="AE589" s="292"/>
      <c r="AF589" s="303"/>
      <c r="AG589" s="303"/>
      <c r="AH589" s="303"/>
      <c r="AI589" s="303"/>
    </row>
    <row r="590">
      <c r="A590" s="304"/>
      <c r="B590" s="299"/>
      <c r="C590" s="292"/>
      <c r="D590" s="293"/>
      <c r="E590" s="292"/>
      <c r="F590" s="293"/>
      <c r="G590" s="294"/>
      <c r="H590" s="295"/>
      <c r="I590" s="303"/>
      <c r="J590" s="303"/>
      <c r="K590" s="297"/>
      <c r="L590" s="303"/>
      <c r="M590" s="303"/>
      <c r="N590" s="297"/>
      <c r="O590" s="292"/>
      <c r="P590" s="303"/>
      <c r="Q590" s="298"/>
      <c r="R590" s="294"/>
      <c r="S590" s="297"/>
      <c r="T590" s="292"/>
      <c r="U590" s="299"/>
      <c r="V590" s="292"/>
      <c r="W590" s="309"/>
      <c r="X590" s="292"/>
      <c r="Y590" s="309"/>
      <c r="Z590" s="292"/>
      <c r="AA590" s="315"/>
      <c r="AB590" s="297"/>
      <c r="AC590" s="292"/>
      <c r="AD590" s="292"/>
      <c r="AE590" s="292"/>
      <c r="AF590" s="303"/>
      <c r="AG590" s="303"/>
      <c r="AH590" s="303"/>
      <c r="AI590" s="303"/>
    </row>
    <row r="591">
      <c r="A591" s="304"/>
      <c r="B591" s="299"/>
      <c r="C591" s="292"/>
      <c r="D591" s="293"/>
      <c r="E591" s="292"/>
      <c r="F591" s="293"/>
      <c r="G591" s="294"/>
      <c r="H591" s="295"/>
      <c r="I591" s="303"/>
      <c r="J591" s="303"/>
      <c r="K591" s="297"/>
      <c r="L591" s="303"/>
      <c r="M591" s="303"/>
      <c r="N591" s="297"/>
      <c r="O591" s="292"/>
      <c r="P591" s="303"/>
      <c r="Q591" s="298"/>
      <c r="R591" s="294"/>
      <c r="S591" s="297"/>
      <c r="T591" s="292"/>
      <c r="U591" s="299"/>
      <c r="V591" s="292"/>
      <c r="W591" s="309"/>
      <c r="X591" s="292"/>
      <c r="Y591" s="309"/>
      <c r="Z591" s="292"/>
      <c r="AA591" s="315"/>
      <c r="AB591" s="297"/>
      <c r="AC591" s="292"/>
      <c r="AD591" s="292"/>
      <c r="AE591" s="292"/>
      <c r="AF591" s="303"/>
      <c r="AG591" s="303"/>
      <c r="AH591" s="303"/>
      <c r="AI591" s="303"/>
    </row>
    <row r="592">
      <c r="A592" s="304"/>
      <c r="B592" s="299"/>
      <c r="C592" s="292"/>
      <c r="D592" s="293"/>
      <c r="E592" s="292"/>
      <c r="F592" s="293"/>
      <c r="G592" s="294"/>
      <c r="H592" s="295"/>
      <c r="I592" s="303"/>
      <c r="J592" s="303"/>
      <c r="K592" s="297"/>
      <c r="L592" s="303"/>
      <c r="M592" s="303"/>
      <c r="N592" s="297"/>
      <c r="O592" s="292"/>
      <c r="P592" s="303"/>
      <c r="Q592" s="298"/>
      <c r="R592" s="294"/>
      <c r="S592" s="297"/>
      <c r="T592" s="292"/>
      <c r="U592" s="299"/>
      <c r="V592" s="292"/>
      <c r="W592" s="309"/>
      <c r="X592" s="292"/>
      <c r="Y592" s="309"/>
      <c r="Z592" s="292"/>
      <c r="AA592" s="315"/>
      <c r="AB592" s="297"/>
      <c r="AC592" s="292"/>
      <c r="AD592" s="292"/>
      <c r="AE592" s="292"/>
      <c r="AF592" s="303"/>
      <c r="AG592" s="303"/>
      <c r="AH592" s="303"/>
      <c r="AI592" s="303"/>
    </row>
    <row r="593">
      <c r="A593" s="304"/>
      <c r="B593" s="299"/>
      <c r="C593" s="292"/>
      <c r="D593" s="293"/>
      <c r="E593" s="292"/>
      <c r="F593" s="293"/>
      <c r="G593" s="294"/>
      <c r="H593" s="295"/>
      <c r="I593" s="303"/>
      <c r="J593" s="303"/>
      <c r="K593" s="297"/>
      <c r="L593" s="303"/>
      <c r="M593" s="303"/>
      <c r="N593" s="297"/>
      <c r="O593" s="292"/>
      <c r="P593" s="303"/>
      <c r="Q593" s="298"/>
      <c r="R593" s="294"/>
      <c r="S593" s="297"/>
      <c r="T593" s="292"/>
      <c r="U593" s="299"/>
      <c r="V593" s="292"/>
      <c r="W593" s="309"/>
      <c r="X593" s="292"/>
      <c r="Y593" s="309"/>
      <c r="Z593" s="292"/>
      <c r="AA593" s="315"/>
      <c r="AB593" s="297"/>
      <c r="AC593" s="292"/>
      <c r="AD593" s="292"/>
      <c r="AE593" s="292"/>
      <c r="AF593" s="303"/>
      <c r="AG593" s="303"/>
      <c r="AH593" s="303"/>
      <c r="AI593" s="303"/>
    </row>
    <row r="594">
      <c r="A594" s="304"/>
      <c r="B594" s="299"/>
      <c r="C594" s="292"/>
      <c r="D594" s="293"/>
      <c r="E594" s="292"/>
      <c r="F594" s="293"/>
      <c r="G594" s="294"/>
      <c r="H594" s="295"/>
      <c r="I594" s="303"/>
      <c r="J594" s="303"/>
      <c r="K594" s="297"/>
      <c r="L594" s="303"/>
      <c r="M594" s="303"/>
      <c r="N594" s="297"/>
      <c r="O594" s="292"/>
      <c r="P594" s="303"/>
      <c r="Q594" s="298"/>
      <c r="R594" s="294"/>
      <c r="S594" s="297"/>
      <c r="T594" s="292"/>
      <c r="U594" s="299"/>
      <c r="V594" s="292"/>
      <c r="W594" s="309"/>
      <c r="X594" s="292"/>
      <c r="Y594" s="309"/>
      <c r="Z594" s="292"/>
      <c r="AA594" s="315"/>
      <c r="AB594" s="297"/>
      <c r="AC594" s="292"/>
      <c r="AD594" s="292"/>
      <c r="AE594" s="292"/>
      <c r="AF594" s="303"/>
      <c r="AG594" s="303"/>
      <c r="AH594" s="303"/>
      <c r="AI594" s="303"/>
    </row>
    <row r="595">
      <c r="A595" s="304"/>
      <c r="B595" s="299"/>
      <c r="C595" s="292"/>
      <c r="D595" s="293"/>
      <c r="E595" s="292"/>
      <c r="F595" s="293"/>
      <c r="G595" s="294"/>
      <c r="H595" s="295"/>
      <c r="I595" s="303"/>
      <c r="J595" s="303"/>
      <c r="K595" s="297"/>
      <c r="L595" s="303"/>
      <c r="M595" s="303"/>
      <c r="N595" s="297"/>
      <c r="O595" s="292"/>
      <c r="P595" s="303"/>
      <c r="Q595" s="298"/>
      <c r="R595" s="294"/>
      <c r="S595" s="297"/>
      <c r="T595" s="292"/>
      <c r="U595" s="299"/>
      <c r="V595" s="292"/>
      <c r="W595" s="309"/>
      <c r="X595" s="292"/>
      <c r="Y595" s="309"/>
      <c r="Z595" s="292"/>
      <c r="AA595" s="315"/>
      <c r="AB595" s="297"/>
      <c r="AC595" s="292"/>
      <c r="AD595" s="292"/>
      <c r="AE595" s="292"/>
      <c r="AF595" s="303"/>
      <c r="AG595" s="303"/>
      <c r="AH595" s="303"/>
      <c r="AI595" s="303"/>
    </row>
    <row r="596">
      <c r="A596" s="304"/>
      <c r="B596" s="299"/>
      <c r="C596" s="292"/>
      <c r="D596" s="293"/>
      <c r="E596" s="292"/>
      <c r="F596" s="293"/>
      <c r="G596" s="294"/>
      <c r="H596" s="295"/>
      <c r="I596" s="303"/>
      <c r="J596" s="303"/>
      <c r="K596" s="297"/>
      <c r="L596" s="303"/>
      <c r="M596" s="303"/>
      <c r="N596" s="297"/>
      <c r="O596" s="292"/>
      <c r="P596" s="303"/>
      <c r="Q596" s="298"/>
      <c r="R596" s="294"/>
      <c r="S596" s="297"/>
      <c r="T596" s="292"/>
      <c r="U596" s="299"/>
      <c r="V596" s="292"/>
      <c r="W596" s="309"/>
      <c r="X596" s="292"/>
      <c r="Y596" s="309"/>
      <c r="Z596" s="292"/>
      <c r="AA596" s="315"/>
      <c r="AB596" s="297"/>
      <c r="AC596" s="292"/>
      <c r="AD596" s="292"/>
      <c r="AE596" s="292"/>
      <c r="AF596" s="303"/>
      <c r="AG596" s="303"/>
      <c r="AH596" s="303"/>
      <c r="AI596" s="303"/>
    </row>
    <row r="597">
      <c r="A597" s="304"/>
      <c r="B597" s="299"/>
      <c r="C597" s="292"/>
      <c r="D597" s="293"/>
      <c r="E597" s="292"/>
      <c r="F597" s="293"/>
      <c r="G597" s="294"/>
      <c r="H597" s="295"/>
      <c r="I597" s="303"/>
      <c r="J597" s="303"/>
      <c r="K597" s="297"/>
      <c r="L597" s="303"/>
      <c r="M597" s="303"/>
      <c r="N597" s="297"/>
      <c r="O597" s="292"/>
      <c r="P597" s="303"/>
      <c r="Q597" s="298"/>
      <c r="R597" s="294"/>
      <c r="S597" s="297"/>
      <c r="T597" s="292"/>
      <c r="U597" s="299"/>
      <c r="V597" s="292"/>
      <c r="W597" s="309"/>
      <c r="X597" s="292"/>
      <c r="Y597" s="309"/>
      <c r="Z597" s="292"/>
      <c r="AA597" s="315"/>
      <c r="AB597" s="297"/>
      <c r="AC597" s="292"/>
      <c r="AD597" s="292"/>
      <c r="AE597" s="292"/>
      <c r="AF597" s="303"/>
      <c r="AG597" s="303"/>
      <c r="AH597" s="303"/>
      <c r="AI597" s="303"/>
    </row>
    <row r="598">
      <c r="A598" s="304"/>
      <c r="B598" s="299"/>
      <c r="C598" s="292"/>
      <c r="D598" s="293"/>
      <c r="E598" s="292"/>
      <c r="F598" s="293"/>
      <c r="G598" s="294"/>
      <c r="H598" s="295"/>
      <c r="I598" s="303"/>
      <c r="J598" s="303"/>
      <c r="K598" s="297"/>
      <c r="L598" s="303"/>
      <c r="M598" s="303"/>
      <c r="N598" s="297"/>
      <c r="O598" s="292"/>
      <c r="P598" s="303"/>
      <c r="Q598" s="298"/>
      <c r="R598" s="294"/>
      <c r="S598" s="297"/>
      <c r="T598" s="292"/>
      <c r="U598" s="299"/>
      <c r="V598" s="292"/>
      <c r="W598" s="309"/>
      <c r="X598" s="292"/>
      <c r="Y598" s="309"/>
      <c r="Z598" s="292"/>
      <c r="AA598" s="315"/>
      <c r="AB598" s="297"/>
      <c r="AC598" s="292"/>
      <c r="AD598" s="292"/>
      <c r="AE598" s="292"/>
      <c r="AF598" s="303"/>
      <c r="AG598" s="303"/>
      <c r="AH598" s="303"/>
      <c r="AI598" s="303"/>
    </row>
    <row r="599">
      <c r="A599" s="304"/>
      <c r="B599" s="299"/>
      <c r="C599" s="292"/>
      <c r="D599" s="293"/>
      <c r="E599" s="292"/>
      <c r="F599" s="293"/>
      <c r="G599" s="294"/>
      <c r="H599" s="295"/>
      <c r="I599" s="303"/>
      <c r="J599" s="303"/>
      <c r="K599" s="297"/>
      <c r="L599" s="303"/>
      <c r="M599" s="303"/>
      <c r="N599" s="297"/>
      <c r="O599" s="292"/>
      <c r="P599" s="303"/>
      <c r="Q599" s="298"/>
      <c r="R599" s="294"/>
      <c r="S599" s="297"/>
      <c r="T599" s="292"/>
      <c r="U599" s="299"/>
      <c r="V599" s="292"/>
      <c r="W599" s="309"/>
      <c r="X599" s="292"/>
      <c r="Y599" s="309"/>
      <c r="Z599" s="292"/>
      <c r="AA599" s="315"/>
      <c r="AB599" s="297"/>
      <c r="AC599" s="292"/>
      <c r="AD599" s="292"/>
      <c r="AE599" s="292"/>
      <c r="AF599" s="303"/>
      <c r="AG599" s="303"/>
      <c r="AH599" s="303"/>
      <c r="AI599" s="303"/>
    </row>
    <row r="600">
      <c r="A600" s="304"/>
      <c r="B600" s="299"/>
      <c r="C600" s="292"/>
      <c r="D600" s="293"/>
      <c r="E600" s="292"/>
      <c r="F600" s="293"/>
      <c r="G600" s="294"/>
      <c r="H600" s="295"/>
      <c r="I600" s="303"/>
      <c r="J600" s="303"/>
      <c r="K600" s="297"/>
      <c r="L600" s="303"/>
      <c r="M600" s="303"/>
      <c r="N600" s="297"/>
      <c r="O600" s="292"/>
      <c r="P600" s="303"/>
      <c r="Q600" s="298"/>
      <c r="R600" s="294"/>
      <c r="S600" s="297"/>
      <c r="T600" s="292"/>
      <c r="U600" s="299"/>
      <c r="V600" s="292"/>
      <c r="W600" s="309"/>
      <c r="X600" s="292"/>
      <c r="Y600" s="309"/>
      <c r="Z600" s="292"/>
      <c r="AA600" s="315"/>
      <c r="AB600" s="297"/>
      <c r="AC600" s="292"/>
      <c r="AD600" s="292"/>
      <c r="AE600" s="292"/>
      <c r="AF600" s="303"/>
      <c r="AG600" s="303"/>
      <c r="AH600" s="303"/>
      <c r="AI600" s="303"/>
    </row>
    <row r="601">
      <c r="A601" s="304"/>
      <c r="B601" s="299"/>
      <c r="C601" s="292"/>
      <c r="D601" s="293"/>
      <c r="E601" s="292"/>
      <c r="F601" s="293"/>
      <c r="G601" s="294"/>
      <c r="H601" s="295"/>
      <c r="I601" s="303"/>
      <c r="J601" s="303"/>
      <c r="K601" s="297"/>
      <c r="L601" s="303"/>
      <c r="M601" s="303"/>
      <c r="N601" s="297"/>
      <c r="O601" s="292"/>
      <c r="P601" s="303"/>
      <c r="Q601" s="298"/>
      <c r="R601" s="294"/>
      <c r="S601" s="297"/>
      <c r="T601" s="292"/>
      <c r="U601" s="299"/>
      <c r="V601" s="292"/>
      <c r="W601" s="309"/>
      <c r="X601" s="292"/>
      <c r="Y601" s="309"/>
      <c r="Z601" s="292"/>
      <c r="AA601" s="315"/>
      <c r="AB601" s="297"/>
      <c r="AC601" s="292"/>
      <c r="AD601" s="292"/>
      <c r="AE601" s="292"/>
      <c r="AF601" s="303"/>
      <c r="AG601" s="303"/>
      <c r="AH601" s="303"/>
      <c r="AI601" s="303"/>
    </row>
    <row r="602">
      <c r="A602" s="304"/>
      <c r="B602" s="299"/>
      <c r="C602" s="292"/>
      <c r="D602" s="293"/>
      <c r="E602" s="292"/>
      <c r="F602" s="293"/>
      <c r="G602" s="294"/>
      <c r="H602" s="295"/>
      <c r="I602" s="303"/>
      <c r="J602" s="303"/>
      <c r="K602" s="297"/>
      <c r="L602" s="303"/>
      <c r="M602" s="303"/>
      <c r="N602" s="297"/>
      <c r="O602" s="292"/>
      <c r="P602" s="303"/>
      <c r="Q602" s="298"/>
      <c r="R602" s="294"/>
      <c r="S602" s="297"/>
      <c r="T602" s="292"/>
      <c r="U602" s="299"/>
      <c r="V602" s="292"/>
      <c r="W602" s="309"/>
      <c r="X602" s="292"/>
      <c r="Y602" s="309"/>
      <c r="Z602" s="292"/>
      <c r="AA602" s="315"/>
      <c r="AB602" s="297"/>
      <c r="AC602" s="292"/>
      <c r="AD602" s="292"/>
      <c r="AE602" s="292"/>
      <c r="AF602" s="303"/>
      <c r="AG602" s="303"/>
      <c r="AH602" s="303"/>
      <c r="AI602" s="303"/>
    </row>
    <row r="603">
      <c r="A603" s="304"/>
      <c r="B603" s="299"/>
      <c r="C603" s="292"/>
      <c r="D603" s="293"/>
      <c r="E603" s="292"/>
      <c r="F603" s="293"/>
      <c r="G603" s="294"/>
      <c r="H603" s="295"/>
      <c r="I603" s="303"/>
      <c r="J603" s="303"/>
      <c r="K603" s="297"/>
      <c r="L603" s="303"/>
      <c r="M603" s="303"/>
      <c r="N603" s="297"/>
      <c r="O603" s="292"/>
      <c r="P603" s="303"/>
      <c r="Q603" s="298"/>
      <c r="R603" s="294"/>
      <c r="S603" s="297"/>
      <c r="T603" s="292"/>
      <c r="U603" s="299"/>
      <c r="V603" s="292"/>
      <c r="W603" s="309"/>
      <c r="X603" s="292"/>
      <c r="Y603" s="309"/>
      <c r="Z603" s="292"/>
      <c r="AA603" s="315"/>
      <c r="AB603" s="297"/>
      <c r="AC603" s="292"/>
      <c r="AD603" s="292"/>
      <c r="AE603" s="292"/>
      <c r="AF603" s="303"/>
      <c r="AG603" s="303"/>
      <c r="AH603" s="303"/>
      <c r="AI603" s="303"/>
    </row>
    <row r="604">
      <c r="A604" s="304"/>
      <c r="B604" s="299"/>
      <c r="C604" s="292"/>
      <c r="D604" s="293"/>
      <c r="E604" s="292"/>
      <c r="F604" s="293"/>
      <c r="G604" s="294"/>
      <c r="H604" s="295"/>
      <c r="I604" s="303"/>
      <c r="J604" s="303"/>
      <c r="K604" s="297"/>
      <c r="L604" s="303"/>
      <c r="M604" s="303"/>
      <c r="N604" s="297"/>
      <c r="O604" s="292"/>
      <c r="P604" s="303"/>
      <c r="Q604" s="298"/>
      <c r="R604" s="294"/>
      <c r="S604" s="297"/>
      <c r="T604" s="292"/>
      <c r="U604" s="299"/>
      <c r="V604" s="292"/>
      <c r="W604" s="309"/>
      <c r="X604" s="292"/>
      <c r="Y604" s="309"/>
      <c r="Z604" s="292"/>
      <c r="AA604" s="315"/>
      <c r="AB604" s="297"/>
      <c r="AC604" s="292"/>
      <c r="AD604" s="292"/>
      <c r="AE604" s="292"/>
      <c r="AF604" s="303"/>
      <c r="AG604" s="303"/>
      <c r="AH604" s="303"/>
      <c r="AI604" s="303"/>
    </row>
    <row r="605">
      <c r="A605" s="304"/>
      <c r="B605" s="299"/>
      <c r="C605" s="292"/>
      <c r="D605" s="293"/>
      <c r="E605" s="292"/>
      <c r="F605" s="293"/>
      <c r="G605" s="294"/>
      <c r="H605" s="295"/>
      <c r="I605" s="303"/>
      <c r="J605" s="303"/>
      <c r="K605" s="297"/>
      <c r="L605" s="303"/>
      <c r="M605" s="303"/>
      <c r="N605" s="297"/>
      <c r="O605" s="292"/>
      <c r="P605" s="303"/>
      <c r="Q605" s="298"/>
      <c r="R605" s="294"/>
      <c r="S605" s="297"/>
      <c r="T605" s="292"/>
      <c r="U605" s="299"/>
      <c r="V605" s="292"/>
      <c r="W605" s="309"/>
      <c r="X605" s="292"/>
      <c r="Y605" s="309"/>
      <c r="Z605" s="292"/>
      <c r="AA605" s="315"/>
      <c r="AB605" s="297"/>
      <c r="AC605" s="292"/>
      <c r="AD605" s="292"/>
      <c r="AE605" s="292"/>
      <c r="AF605" s="303"/>
      <c r="AG605" s="303"/>
      <c r="AH605" s="303"/>
      <c r="AI605" s="303"/>
    </row>
    <row r="606">
      <c r="A606" s="304"/>
      <c r="B606" s="299"/>
      <c r="C606" s="292"/>
      <c r="D606" s="293"/>
      <c r="E606" s="292"/>
      <c r="F606" s="293"/>
      <c r="G606" s="294"/>
      <c r="H606" s="295"/>
      <c r="I606" s="303"/>
      <c r="J606" s="303"/>
      <c r="K606" s="297"/>
      <c r="L606" s="303"/>
      <c r="M606" s="303"/>
      <c r="N606" s="297"/>
      <c r="O606" s="292"/>
      <c r="P606" s="303"/>
      <c r="Q606" s="298"/>
      <c r="R606" s="294"/>
      <c r="S606" s="297"/>
      <c r="T606" s="292"/>
      <c r="U606" s="299"/>
      <c r="V606" s="292"/>
      <c r="W606" s="309"/>
      <c r="X606" s="292"/>
      <c r="Y606" s="309"/>
      <c r="Z606" s="292"/>
      <c r="AA606" s="315"/>
      <c r="AB606" s="297"/>
      <c r="AC606" s="292"/>
      <c r="AD606" s="292"/>
      <c r="AE606" s="292"/>
      <c r="AF606" s="303"/>
      <c r="AG606" s="303"/>
      <c r="AH606" s="303"/>
      <c r="AI606" s="303"/>
    </row>
    <row r="607">
      <c r="A607" s="304"/>
      <c r="B607" s="299"/>
      <c r="C607" s="292"/>
      <c r="D607" s="293"/>
      <c r="E607" s="292"/>
      <c r="F607" s="293"/>
      <c r="G607" s="294"/>
      <c r="H607" s="295"/>
      <c r="I607" s="303"/>
      <c r="J607" s="303"/>
      <c r="K607" s="297"/>
      <c r="L607" s="303"/>
      <c r="M607" s="303"/>
      <c r="N607" s="297"/>
      <c r="O607" s="292"/>
      <c r="P607" s="303"/>
      <c r="Q607" s="298"/>
      <c r="R607" s="294"/>
      <c r="S607" s="297"/>
      <c r="T607" s="292"/>
      <c r="U607" s="299"/>
      <c r="V607" s="292"/>
      <c r="W607" s="309"/>
      <c r="X607" s="292"/>
      <c r="Y607" s="309"/>
      <c r="Z607" s="292"/>
      <c r="AA607" s="315"/>
      <c r="AB607" s="297"/>
      <c r="AC607" s="292"/>
      <c r="AD607" s="292"/>
      <c r="AE607" s="292"/>
      <c r="AF607" s="303"/>
      <c r="AG607" s="303"/>
      <c r="AH607" s="303"/>
      <c r="AI607" s="303"/>
    </row>
    <row r="608">
      <c r="A608" s="304"/>
      <c r="B608" s="299"/>
      <c r="C608" s="292"/>
      <c r="D608" s="293"/>
      <c r="E608" s="292"/>
      <c r="F608" s="293"/>
      <c r="G608" s="294"/>
      <c r="H608" s="295"/>
      <c r="I608" s="303"/>
      <c r="J608" s="303"/>
      <c r="K608" s="297"/>
      <c r="L608" s="303"/>
      <c r="M608" s="303"/>
      <c r="N608" s="297"/>
      <c r="O608" s="292"/>
      <c r="P608" s="303"/>
      <c r="Q608" s="298"/>
      <c r="R608" s="294"/>
      <c r="S608" s="297"/>
      <c r="T608" s="292"/>
      <c r="U608" s="299"/>
      <c r="V608" s="292"/>
      <c r="W608" s="309"/>
      <c r="X608" s="292"/>
      <c r="Y608" s="309"/>
      <c r="Z608" s="292"/>
      <c r="AA608" s="315"/>
      <c r="AB608" s="297"/>
      <c r="AC608" s="292"/>
      <c r="AD608" s="292"/>
      <c r="AE608" s="292"/>
      <c r="AF608" s="303"/>
      <c r="AG608" s="303"/>
      <c r="AH608" s="303"/>
      <c r="AI608" s="303"/>
    </row>
    <row r="609">
      <c r="A609" s="304"/>
      <c r="B609" s="299"/>
      <c r="C609" s="292"/>
      <c r="D609" s="293"/>
      <c r="E609" s="292"/>
      <c r="F609" s="293"/>
      <c r="G609" s="294"/>
      <c r="H609" s="295"/>
      <c r="I609" s="303"/>
      <c r="J609" s="303"/>
      <c r="K609" s="297"/>
      <c r="L609" s="303"/>
      <c r="M609" s="303"/>
      <c r="N609" s="297"/>
      <c r="O609" s="292"/>
      <c r="P609" s="303"/>
      <c r="Q609" s="298"/>
      <c r="R609" s="294"/>
      <c r="S609" s="297"/>
      <c r="T609" s="292"/>
      <c r="U609" s="299"/>
      <c r="V609" s="292"/>
      <c r="W609" s="309"/>
      <c r="X609" s="292"/>
      <c r="Y609" s="309"/>
      <c r="Z609" s="292"/>
      <c r="AA609" s="315"/>
      <c r="AB609" s="297"/>
      <c r="AC609" s="292"/>
      <c r="AD609" s="292"/>
      <c r="AE609" s="292"/>
      <c r="AF609" s="303"/>
      <c r="AG609" s="303"/>
      <c r="AH609" s="303"/>
      <c r="AI609" s="303"/>
    </row>
    <row r="610">
      <c r="A610" s="304"/>
      <c r="B610" s="299"/>
      <c r="C610" s="292"/>
      <c r="D610" s="293"/>
      <c r="E610" s="292"/>
      <c r="F610" s="293"/>
      <c r="G610" s="294"/>
      <c r="H610" s="295"/>
      <c r="I610" s="303"/>
      <c r="J610" s="303"/>
      <c r="K610" s="297"/>
      <c r="L610" s="303"/>
      <c r="M610" s="303"/>
      <c r="N610" s="297"/>
      <c r="O610" s="292"/>
      <c r="P610" s="303"/>
      <c r="Q610" s="298"/>
      <c r="R610" s="294"/>
      <c r="S610" s="297"/>
      <c r="T610" s="292"/>
      <c r="U610" s="299"/>
      <c r="V610" s="292"/>
      <c r="W610" s="309"/>
      <c r="X610" s="292"/>
      <c r="Y610" s="309"/>
      <c r="Z610" s="292"/>
      <c r="AA610" s="315"/>
      <c r="AB610" s="297"/>
      <c r="AC610" s="292"/>
      <c r="AD610" s="292"/>
      <c r="AE610" s="292"/>
      <c r="AF610" s="303"/>
      <c r="AG610" s="303"/>
      <c r="AH610" s="303"/>
      <c r="AI610" s="303"/>
    </row>
    <row r="611">
      <c r="A611" s="304"/>
      <c r="B611" s="299"/>
      <c r="C611" s="292"/>
      <c r="D611" s="293"/>
      <c r="E611" s="292"/>
      <c r="F611" s="293"/>
      <c r="G611" s="294"/>
      <c r="H611" s="295"/>
      <c r="I611" s="303"/>
      <c r="J611" s="303"/>
      <c r="K611" s="297"/>
      <c r="L611" s="303"/>
      <c r="M611" s="303"/>
      <c r="N611" s="297"/>
      <c r="O611" s="292"/>
      <c r="P611" s="303"/>
      <c r="Q611" s="298"/>
      <c r="R611" s="294"/>
      <c r="S611" s="297"/>
      <c r="T611" s="292"/>
      <c r="U611" s="299"/>
      <c r="V611" s="292"/>
      <c r="W611" s="309"/>
      <c r="X611" s="292"/>
      <c r="Y611" s="309"/>
      <c r="Z611" s="292"/>
      <c r="AA611" s="315"/>
      <c r="AB611" s="297"/>
      <c r="AC611" s="292"/>
      <c r="AD611" s="292"/>
      <c r="AE611" s="292"/>
      <c r="AF611" s="303"/>
      <c r="AG611" s="303"/>
      <c r="AH611" s="303"/>
      <c r="AI611" s="303"/>
    </row>
    <row r="612">
      <c r="A612" s="304"/>
      <c r="B612" s="299"/>
      <c r="C612" s="292"/>
      <c r="D612" s="293"/>
      <c r="E612" s="292"/>
      <c r="F612" s="293"/>
      <c r="G612" s="294"/>
      <c r="H612" s="295"/>
      <c r="I612" s="303"/>
      <c r="J612" s="303"/>
      <c r="K612" s="297"/>
      <c r="L612" s="303"/>
      <c r="M612" s="303"/>
      <c r="N612" s="297"/>
      <c r="O612" s="292"/>
      <c r="P612" s="303"/>
      <c r="Q612" s="298"/>
      <c r="R612" s="294"/>
      <c r="S612" s="297"/>
      <c r="T612" s="292"/>
      <c r="U612" s="299"/>
      <c r="V612" s="292"/>
      <c r="W612" s="309"/>
      <c r="X612" s="292"/>
      <c r="Y612" s="309"/>
      <c r="Z612" s="292"/>
      <c r="AA612" s="315"/>
      <c r="AB612" s="297"/>
      <c r="AC612" s="292"/>
      <c r="AD612" s="292"/>
      <c r="AE612" s="292"/>
      <c r="AF612" s="303"/>
      <c r="AG612" s="303"/>
      <c r="AH612" s="303"/>
      <c r="AI612" s="303"/>
    </row>
    <row r="613">
      <c r="A613" s="304"/>
      <c r="B613" s="299"/>
      <c r="C613" s="292"/>
      <c r="D613" s="293"/>
      <c r="E613" s="292"/>
      <c r="F613" s="293"/>
      <c r="G613" s="294"/>
      <c r="H613" s="295"/>
      <c r="I613" s="303"/>
      <c r="J613" s="303"/>
      <c r="K613" s="297"/>
      <c r="L613" s="303"/>
      <c r="M613" s="303"/>
      <c r="N613" s="297"/>
      <c r="O613" s="292"/>
      <c r="P613" s="303"/>
      <c r="Q613" s="298"/>
      <c r="R613" s="294"/>
      <c r="S613" s="297"/>
      <c r="T613" s="292"/>
      <c r="U613" s="299"/>
      <c r="V613" s="292"/>
      <c r="W613" s="309"/>
      <c r="X613" s="292"/>
      <c r="Y613" s="309"/>
      <c r="Z613" s="292"/>
      <c r="AA613" s="315"/>
      <c r="AB613" s="297"/>
      <c r="AC613" s="292"/>
      <c r="AD613" s="292"/>
      <c r="AE613" s="292"/>
      <c r="AF613" s="303"/>
      <c r="AG613" s="303"/>
      <c r="AH613" s="303"/>
      <c r="AI613" s="303"/>
    </row>
    <row r="614">
      <c r="A614" s="304"/>
      <c r="B614" s="299"/>
      <c r="C614" s="292"/>
      <c r="D614" s="293"/>
      <c r="E614" s="292"/>
      <c r="F614" s="293"/>
      <c r="G614" s="294"/>
      <c r="H614" s="295"/>
      <c r="I614" s="303"/>
      <c r="J614" s="303"/>
      <c r="K614" s="297"/>
      <c r="L614" s="303"/>
      <c r="M614" s="303"/>
      <c r="N614" s="297"/>
      <c r="O614" s="292"/>
      <c r="P614" s="303"/>
      <c r="Q614" s="298"/>
      <c r="R614" s="294"/>
      <c r="S614" s="297"/>
      <c r="T614" s="292"/>
      <c r="U614" s="299"/>
      <c r="V614" s="292"/>
      <c r="W614" s="309"/>
      <c r="X614" s="292"/>
      <c r="Y614" s="309"/>
      <c r="Z614" s="292"/>
      <c r="AA614" s="315"/>
      <c r="AB614" s="297"/>
      <c r="AC614" s="292"/>
      <c r="AD614" s="292"/>
      <c r="AE614" s="292"/>
      <c r="AF614" s="303"/>
      <c r="AG614" s="303"/>
      <c r="AH614" s="303"/>
      <c r="AI614" s="303"/>
    </row>
    <row r="615">
      <c r="A615" s="304"/>
      <c r="B615" s="299"/>
      <c r="C615" s="292"/>
      <c r="D615" s="293"/>
      <c r="E615" s="292"/>
      <c r="F615" s="293"/>
      <c r="G615" s="294"/>
      <c r="H615" s="295"/>
      <c r="I615" s="303"/>
      <c r="J615" s="303"/>
      <c r="K615" s="297"/>
      <c r="L615" s="303"/>
      <c r="M615" s="303"/>
      <c r="N615" s="297"/>
      <c r="O615" s="292"/>
      <c r="P615" s="303"/>
      <c r="Q615" s="298"/>
      <c r="R615" s="294"/>
      <c r="S615" s="297"/>
      <c r="T615" s="292"/>
      <c r="U615" s="299"/>
      <c r="V615" s="292"/>
      <c r="W615" s="309"/>
      <c r="X615" s="292"/>
      <c r="Y615" s="309"/>
      <c r="Z615" s="292"/>
      <c r="AA615" s="315"/>
      <c r="AB615" s="297"/>
      <c r="AC615" s="292"/>
      <c r="AD615" s="292"/>
      <c r="AE615" s="292"/>
      <c r="AF615" s="303"/>
      <c r="AG615" s="303"/>
      <c r="AH615" s="303"/>
      <c r="AI615" s="303"/>
    </row>
    <row r="616">
      <c r="A616" s="304"/>
      <c r="B616" s="299"/>
      <c r="C616" s="292"/>
      <c r="D616" s="293"/>
      <c r="E616" s="292"/>
      <c r="F616" s="293"/>
      <c r="G616" s="294"/>
      <c r="H616" s="295"/>
      <c r="I616" s="303"/>
      <c r="J616" s="303"/>
      <c r="K616" s="297"/>
      <c r="L616" s="303"/>
      <c r="M616" s="303"/>
      <c r="N616" s="297"/>
      <c r="O616" s="292"/>
      <c r="P616" s="303"/>
      <c r="Q616" s="298"/>
      <c r="R616" s="294"/>
      <c r="S616" s="297"/>
      <c r="T616" s="292"/>
      <c r="U616" s="299"/>
      <c r="V616" s="292"/>
      <c r="W616" s="309"/>
      <c r="X616" s="292"/>
      <c r="Y616" s="309"/>
      <c r="Z616" s="292"/>
      <c r="AA616" s="315"/>
      <c r="AB616" s="297"/>
      <c r="AC616" s="292"/>
      <c r="AD616" s="292"/>
      <c r="AE616" s="292"/>
      <c r="AF616" s="303"/>
      <c r="AG616" s="303"/>
      <c r="AH616" s="303"/>
      <c r="AI616" s="303"/>
    </row>
    <row r="617">
      <c r="A617" s="304"/>
      <c r="B617" s="299"/>
      <c r="C617" s="292"/>
      <c r="D617" s="293"/>
      <c r="E617" s="292"/>
      <c r="F617" s="293"/>
      <c r="G617" s="294"/>
      <c r="H617" s="295"/>
      <c r="I617" s="303"/>
      <c r="J617" s="303"/>
      <c r="K617" s="297"/>
      <c r="L617" s="303"/>
      <c r="M617" s="303"/>
      <c r="N617" s="297"/>
      <c r="O617" s="292"/>
      <c r="P617" s="303"/>
      <c r="Q617" s="298"/>
      <c r="R617" s="294"/>
      <c r="S617" s="297"/>
      <c r="T617" s="292"/>
      <c r="U617" s="299"/>
      <c r="V617" s="292"/>
      <c r="W617" s="309"/>
      <c r="X617" s="292"/>
      <c r="Y617" s="309"/>
      <c r="Z617" s="292"/>
      <c r="AA617" s="315"/>
      <c r="AB617" s="297"/>
      <c r="AC617" s="292"/>
      <c r="AD617" s="292"/>
      <c r="AE617" s="292"/>
      <c r="AF617" s="303"/>
      <c r="AG617" s="303"/>
      <c r="AH617" s="303"/>
      <c r="AI617" s="303"/>
    </row>
    <row r="618">
      <c r="A618" s="304"/>
      <c r="B618" s="299"/>
      <c r="C618" s="292"/>
      <c r="D618" s="293"/>
      <c r="E618" s="292"/>
      <c r="F618" s="293"/>
      <c r="G618" s="294"/>
      <c r="H618" s="295"/>
      <c r="I618" s="303"/>
      <c r="J618" s="303"/>
      <c r="K618" s="297"/>
      <c r="L618" s="303"/>
      <c r="M618" s="303"/>
      <c r="N618" s="297"/>
      <c r="O618" s="292"/>
      <c r="P618" s="303"/>
      <c r="Q618" s="298"/>
      <c r="R618" s="294"/>
      <c r="S618" s="297"/>
      <c r="T618" s="292"/>
      <c r="U618" s="299"/>
      <c r="V618" s="292"/>
      <c r="W618" s="309"/>
      <c r="X618" s="292"/>
      <c r="Y618" s="309"/>
      <c r="Z618" s="292"/>
      <c r="AA618" s="315"/>
      <c r="AB618" s="297"/>
      <c r="AC618" s="292"/>
      <c r="AD618" s="292"/>
      <c r="AE618" s="292"/>
      <c r="AF618" s="303"/>
      <c r="AG618" s="303"/>
      <c r="AH618" s="303"/>
      <c r="AI618" s="303"/>
    </row>
    <row r="619">
      <c r="A619" s="304"/>
      <c r="B619" s="299"/>
      <c r="C619" s="292"/>
      <c r="D619" s="293"/>
      <c r="E619" s="292"/>
      <c r="F619" s="293"/>
      <c r="G619" s="294"/>
      <c r="H619" s="295"/>
      <c r="I619" s="303"/>
      <c r="J619" s="303"/>
      <c r="K619" s="297"/>
      <c r="L619" s="303"/>
      <c r="M619" s="303"/>
      <c r="N619" s="297"/>
      <c r="O619" s="292"/>
      <c r="P619" s="303"/>
      <c r="Q619" s="298"/>
      <c r="R619" s="294"/>
      <c r="S619" s="297"/>
      <c r="T619" s="292"/>
      <c r="U619" s="299"/>
      <c r="V619" s="292"/>
      <c r="W619" s="309"/>
      <c r="X619" s="292"/>
      <c r="Y619" s="309"/>
      <c r="Z619" s="292"/>
      <c r="AA619" s="315"/>
      <c r="AB619" s="297"/>
      <c r="AC619" s="292"/>
      <c r="AD619" s="292"/>
      <c r="AE619" s="292"/>
      <c r="AF619" s="303"/>
      <c r="AG619" s="303"/>
      <c r="AH619" s="303"/>
      <c r="AI619" s="303"/>
    </row>
    <row r="620">
      <c r="A620" s="304"/>
      <c r="B620" s="299"/>
      <c r="C620" s="292"/>
      <c r="D620" s="293"/>
      <c r="E620" s="292"/>
      <c r="F620" s="293"/>
      <c r="G620" s="294"/>
      <c r="H620" s="295"/>
      <c r="I620" s="303"/>
      <c r="J620" s="303"/>
      <c r="K620" s="297"/>
      <c r="L620" s="303"/>
      <c r="M620" s="303"/>
      <c r="N620" s="297"/>
      <c r="O620" s="292"/>
      <c r="P620" s="303"/>
      <c r="Q620" s="298"/>
      <c r="R620" s="294"/>
      <c r="S620" s="297"/>
      <c r="T620" s="292"/>
      <c r="U620" s="299"/>
      <c r="V620" s="292"/>
      <c r="W620" s="309"/>
      <c r="X620" s="292"/>
      <c r="Y620" s="309"/>
      <c r="Z620" s="292"/>
      <c r="AA620" s="315"/>
      <c r="AB620" s="297"/>
      <c r="AC620" s="292"/>
      <c r="AD620" s="292"/>
      <c r="AE620" s="292"/>
      <c r="AF620" s="303"/>
      <c r="AG620" s="303"/>
      <c r="AH620" s="303"/>
      <c r="AI620" s="303"/>
    </row>
    <row r="621">
      <c r="A621" s="304"/>
      <c r="B621" s="299"/>
      <c r="C621" s="292"/>
      <c r="D621" s="293"/>
      <c r="E621" s="292"/>
      <c r="F621" s="293"/>
      <c r="G621" s="294"/>
      <c r="H621" s="295"/>
      <c r="I621" s="303"/>
      <c r="J621" s="303"/>
      <c r="K621" s="297"/>
      <c r="L621" s="303"/>
      <c r="M621" s="303"/>
      <c r="N621" s="297"/>
      <c r="O621" s="292"/>
      <c r="P621" s="303"/>
      <c r="Q621" s="298"/>
      <c r="R621" s="294"/>
      <c r="S621" s="297"/>
      <c r="T621" s="292"/>
      <c r="U621" s="299"/>
      <c r="V621" s="292"/>
      <c r="W621" s="309"/>
      <c r="X621" s="292"/>
      <c r="Y621" s="309"/>
      <c r="Z621" s="292"/>
      <c r="AA621" s="315"/>
      <c r="AB621" s="297"/>
      <c r="AC621" s="292"/>
      <c r="AD621" s="292"/>
      <c r="AE621" s="292"/>
      <c r="AF621" s="303"/>
      <c r="AG621" s="303"/>
      <c r="AH621" s="303"/>
      <c r="AI621" s="303"/>
    </row>
    <row r="622">
      <c r="A622" s="304"/>
      <c r="B622" s="299"/>
      <c r="C622" s="292"/>
      <c r="D622" s="293"/>
      <c r="E622" s="292"/>
      <c r="F622" s="293"/>
      <c r="G622" s="294"/>
      <c r="H622" s="295"/>
      <c r="I622" s="303"/>
      <c r="J622" s="303"/>
      <c r="K622" s="297"/>
      <c r="L622" s="303"/>
      <c r="M622" s="303"/>
      <c r="N622" s="297"/>
      <c r="O622" s="292"/>
      <c r="P622" s="303"/>
      <c r="Q622" s="298"/>
      <c r="R622" s="294"/>
      <c r="S622" s="297"/>
      <c r="T622" s="292"/>
      <c r="U622" s="299"/>
      <c r="V622" s="292"/>
      <c r="W622" s="309"/>
      <c r="X622" s="292"/>
      <c r="Y622" s="309"/>
      <c r="Z622" s="292"/>
      <c r="AA622" s="315"/>
      <c r="AB622" s="297"/>
      <c r="AC622" s="292"/>
      <c r="AD622" s="292"/>
      <c r="AE622" s="292"/>
      <c r="AF622" s="303"/>
      <c r="AG622" s="303"/>
      <c r="AH622" s="303"/>
      <c r="AI622" s="303"/>
    </row>
    <row r="623">
      <c r="A623" s="304"/>
      <c r="B623" s="299"/>
      <c r="C623" s="292"/>
      <c r="D623" s="293"/>
      <c r="E623" s="292"/>
      <c r="F623" s="293"/>
      <c r="G623" s="294"/>
      <c r="H623" s="295"/>
      <c r="I623" s="303"/>
      <c r="J623" s="303"/>
      <c r="K623" s="297"/>
      <c r="L623" s="303"/>
      <c r="M623" s="303"/>
      <c r="N623" s="297"/>
      <c r="O623" s="292"/>
      <c r="P623" s="303"/>
      <c r="Q623" s="298"/>
      <c r="R623" s="294"/>
      <c r="S623" s="297"/>
      <c r="T623" s="292"/>
      <c r="U623" s="299"/>
      <c r="V623" s="292"/>
      <c r="W623" s="309"/>
      <c r="X623" s="292"/>
      <c r="Y623" s="309"/>
      <c r="Z623" s="292"/>
      <c r="AA623" s="315"/>
      <c r="AB623" s="297"/>
      <c r="AC623" s="292"/>
      <c r="AD623" s="292"/>
      <c r="AE623" s="292"/>
      <c r="AF623" s="303"/>
      <c r="AG623" s="303"/>
      <c r="AH623" s="303"/>
      <c r="AI623" s="303"/>
    </row>
    <row r="624">
      <c r="A624" s="304"/>
      <c r="B624" s="299"/>
      <c r="C624" s="292"/>
      <c r="D624" s="293"/>
      <c r="E624" s="292"/>
      <c r="F624" s="293"/>
      <c r="G624" s="294"/>
      <c r="H624" s="295"/>
      <c r="I624" s="303"/>
      <c r="J624" s="303"/>
      <c r="K624" s="297"/>
      <c r="L624" s="303"/>
      <c r="M624" s="303"/>
      <c r="N624" s="297"/>
      <c r="O624" s="292"/>
      <c r="P624" s="303"/>
      <c r="Q624" s="298"/>
      <c r="R624" s="294"/>
      <c r="S624" s="297"/>
      <c r="T624" s="292"/>
      <c r="U624" s="299"/>
      <c r="V624" s="292"/>
      <c r="W624" s="309"/>
      <c r="X624" s="292"/>
      <c r="Y624" s="309"/>
      <c r="Z624" s="292"/>
      <c r="AA624" s="315"/>
      <c r="AB624" s="297"/>
      <c r="AC624" s="292"/>
      <c r="AD624" s="292"/>
      <c r="AE624" s="292"/>
      <c r="AF624" s="303"/>
      <c r="AG624" s="303"/>
      <c r="AH624" s="303"/>
      <c r="AI624" s="303"/>
    </row>
    <row r="625">
      <c r="A625" s="304"/>
      <c r="B625" s="299"/>
      <c r="C625" s="292"/>
      <c r="D625" s="293"/>
      <c r="E625" s="292"/>
      <c r="F625" s="293"/>
      <c r="G625" s="294"/>
      <c r="H625" s="295"/>
      <c r="I625" s="303"/>
      <c r="J625" s="303"/>
      <c r="K625" s="297"/>
      <c r="L625" s="303"/>
      <c r="M625" s="303"/>
      <c r="N625" s="297"/>
      <c r="O625" s="292"/>
      <c r="P625" s="303"/>
      <c r="Q625" s="298"/>
      <c r="R625" s="294"/>
      <c r="S625" s="297"/>
      <c r="T625" s="292"/>
      <c r="U625" s="299"/>
      <c r="V625" s="292"/>
      <c r="W625" s="309"/>
      <c r="X625" s="292"/>
      <c r="Y625" s="309"/>
      <c r="Z625" s="292"/>
      <c r="AA625" s="315"/>
      <c r="AB625" s="297"/>
      <c r="AC625" s="292"/>
      <c r="AD625" s="292"/>
      <c r="AE625" s="292"/>
      <c r="AF625" s="303"/>
      <c r="AG625" s="303"/>
      <c r="AH625" s="303"/>
      <c r="AI625" s="303"/>
    </row>
    <row r="626">
      <c r="A626" s="304"/>
      <c r="B626" s="299"/>
      <c r="C626" s="292"/>
      <c r="D626" s="293"/>
      <c r="E626" s="292"/>
      <c r="F626" s="293"/>
      <c r="G626" s="294"/>
      <c r="H626" s="295"/>
      <c r="I626" s="303"/>
      <c r="J626" s="303"/>
      <c r="K626" s="297"/>
      <c r="L626" s="303"/>
      <c r="M626" s="303"/>
      <c r="N626" s="297"/>
      <c r="O626" s="292"/>
      <c r="P626" s="303"/>
      <c r="Q626" s="298"/>
      <c r="R626" s="294"/>
      <c r="S626" s="297"/>
      <c r="T626" s="292"/>
      <c r="U626" s="299"/>
      <c r="V626" s="292"/>
      <c r="W626" s="309"/>
      <c r="X626" s="292"/>
      <c r="Y626" s="309"/>
      <c r="Z626" s="292"/>
      <c r="AA626" s="315"/>
      <c r="AB626" s="297"/>
      <c r="AC626" s="292"/>
      <c r="AD626" s="292"/>
      <c r="AE626" s="292"/>
      <c r="AF626" s="303"/>
      <c r="AG626" s="303"/>
      <c r="AH626" s="303"/>
      <c r="AI626" s="303"/>
    </row>
    <row r="627">
      <c r="A627" s="304"/>
      <c r="B627" s="299"/>
      <c r="C627" s="292"/>
      <c r="D627" s="293"/>
      <c r="E627" s="292"/>
      <c r="F627" s="293"/>
      <c r="G627" s="294"/>
      <c r="H627" s="295"/>
      <c r="I627" s="303"/>
      <c r="J627" s="303"/>
      <c r="K627" s="297"/>
      <c r="L627" s="303"/>
      <c r="M627" s="303"/>
      <c r="N627" s="297"/>
      <c r="O627" s="292"/>
      <c r="P627" s="303"/>
      <c r="Q627" s="298"/>
      <c r="R627" s="294"/>
      <c r="S627" s="297"/>
      <c r="T627" s="292"/>
      <c r="U627" s="299"/>
      <c r="V627" s="292"/>
      <c r="W627" s="309"/>
      <c r="X627" s="292"/>
      <c r="Y627" s="309"/>
      <c r="Z627" s="292"/>
      <c r="AA627" s="315"/>
      <c r="AB627" s="297"/>
      <c r="AC627" s="292"/>
      <c r="AD627" s="292"/>
      <c r="AE627" s="292"/>
      <c r="AF627" s="303"/>
      <c r="AG627" s="303"/>
      <c r="AH627" s="303"/>
      <c r="AI627" s="303"/>
    </row>
    <row r="628">
      <c r="A628" s="304"/>
      <c r="B628" s="299"/>
      <c r="C628" s="292"/>
      <c r="D628" s="293"/>
      <c r="E628" s="292"/>
      <c r="F628" s="293"/>
      <c r="G628" s="294"/>
      <c r="H628" s="295"/>
      <c r="I628" s="303"/>
      <c r="J628" s="303"/>
      <c r="K628" s="297"/>
      <c r="L628" s="303"/>
      <c r="M628" s="303"/>
      <c r="N628" s="297"/>
      <c r="O628" s="292"/>
      <c r="P628" s="303"/>
      <c r="Q628" s="298"/>
      <c r="R628" s="294"/>
      <c r="S628" s="297"/>
      <c r="T628" s="292"/>
      <c r="U628" s="299"/>
      <c r="V628" s="292"/>
      <c r="W628" s="309"/>
      <c r="X628" s="292"/>
      <c r="Y628" s="309"/>
      <c r="Z628" s="292"/>
      <c r="AA628" s="315"/>
      <c r="AB628" s="297"/>
      <c r="AC628" s="292"/>
      <c r="AD628" s="292"/>
      <c r="AE628" s="292"/>
      <c r="AF628" s="303"/>
      <c r="AG628" s="303"/>
      <c r="AH628" s="303"/>
      <c r="AI628" s="303"/>
    </row>
    <row r="629">
      <c r="A629" s="304"/>
      <c r="B629" s="299"/>
      <c r="C629" s="292"/>
      <c r="D629" s="293"/>
      <c r="E629" s="292"/>
      <c r="F629" s="293"/>
      <c r="G629" s="294"/>
      <c r="H629" s="295"/>
      <c r="I629" s="303"/>
      <c r="J629" s="303"/>
      <c r="K629" s="297"/>
      <c r="L629" s="303"/>
      <c r="M629" s="303"/>
      <c r="N629" s="297"/>
      <c r="O629" s="292"/>
      <c r="P629" s="303"/>
      <c r="Q629" s="298"/>
      <c r="R629" s="294"/>
      <c r="S629" s="297"/>
      <c r="T629" s="292"/>
      <c r="U629" s="299"/>
      <c r="V629" s="292"/>
      <c r="W629" s="309"/>
      <c r="X629" s="292"/>
      <c r="Y629" s="309"/>
      <c r="Z629" s="292"/>
      <c r="AA629" s="315"/>
      <c r="AB629" s="297"/>
      <c r="AC629" s="292"/>
      <c r="AD629" s="292"/>
      <c r="AE629" s="292"/>
      <c r="AF629" s="303"/>
      <c r="AG629" s="303"/>
      <c r="AH629" s="303"/>
      <c r="AI629" s="303"/>
    </row>
    <row r="630">
      <c r="A630" s="304"/>
      <c r="B630" s="299"/>
      <c r="C630" s="292"/>
      <c r="D630" s="293"/>
      <c r="E630" s="292"/>
      <c r="F630" s="293"/>
      <c r="G630" s="294"/>
      <c r="H630" s="295"/>
      <c r="I630" s="303"/>
      <c r="J630" s="303"/>
      <c r="K630" s="297"/>
      <c r="L630" s="303"/>
      <c r="M630" s="303"/>
      <c r="N630" s="297"/>
      <c r="O630" s="292"/>
      <c r="P630" s="303"/>
      <c r="Q630" s="298"/>
      <c r="R630" s="294"/>
      <c r="S630" s="297"/>
      <c r="T630" s="292"/>
      <c r="U630" s="299"/>
      <c r="V630" s="292"/>
      <c r="W630" s="309"/>
      <c r="X630" s="292"/>
      <c r="Y630" s="309"/>
      <c r="Z630" s="292"/>
      <c r="AA630" s="315"/>
      <c r="AB630" s="297"/>
      <c r="AC630" s="292"/>
      <c r="AD630" s="292"/>
      <c r="AE630" s="292"/>
      <c r="AF630" s="303"/>
      <c r="AG630" s="303"/>
      <c r="AH630" s="303"/>
      <c r="AI630" s="303"/>
    </row>
    <row r="631">
      <c r="A631" s="304"/>
      <c r="B631" s="299"/>
      <c r="C631" s="292"/>
      <c r="D631" s="293"/>
      <c r="E631" s="292"/>
      <c r="F631" s="293"/>
      <c r="G631" s="294"/>
      <c r="H631" s="295"/>
      <c r="I631" s="303"/>
      <c r="J631" s="303"/>
      <c r="K631" s="297"/>
      <c r="L631" s="303"/>
      <c r="M631" s="303"/>
      <c r="N631" s="297"/>
      <c r="O631" s="292"/>
      <c r="P631" s="303"/>
      <c r="Q631" s="298"/>
      <c r="R631" s="294"/>
      <c r="S631" s="297"/>
      <c r="T631" s="292"/>
      <c r="U631" s="299"/>
      <c r="V631" s="292"/>
      <c r="W631" s="309"/>
      <c r="X631" s="292"/>
      <c r="Y631" s="309"/>
      <c r="Z631" s="292"/>
      <c r="AA631" s="315"/>
      <c r="AB631" s="297"/>
      <c r="AC631" s="292"/>
      <c r="AD631" s="292"/>
      <c r="AE631" s="292"/>
      <c r="AF631" s="303"/>
      <c r="AG631" s="303"/>
      <c r="AH631" s="303"/>
      <c r="AI631" s="303"/>
    </row>
    <row r="632">
      <c r="A632" s="304"/>
      <c r="B632" s="299"/>
      <c r="C632" s="292"/>
      <c r="D632" s="293"/>
      <c r="E632" s="292"/>
      <c r="F632" s="293"/>
      <c r="G632" s="294"/>
      <c r="H632" s="295"/>
      <c r="I632" s="303"/>
      <c r="J632" s="303"/>
      <c r="K632" s="297"/>
      <c r="L632" s="303"/>
      <c r="M632" s="303"/>
      <c r="N632" s="297"/>
      <c r="O632" s="292"/>
      <c r="P632" s="303"/>
      <c r="Q632" s="298"/>
      <c r="R632" s="294"/>
      <c r="S632" s="297"/>
      <c r="T632" s="292"/>
      <c r="U632" s="299"/>
      <c r="V632" s="292"/>
      <c r="W632" s="309"/>
      <c r="X632" s="292"/>
      <c r="Y632" s="309"/>
      <c r="Z632" s="292"/>
      <c r="AA632" s="315"/>
      <c r="AB632" s="297"/>
      <c r="AC632" s="292"/>
      <c r="AD632" s="292"/>
      <c r="AE632" s="292"/>
      <c r="AF632" s="303"/>
      <c r="AG632" s="303"/>
      <c r="AH632" s="303"/>
      <c r="AI632" s="303"/>
    </row>
    <row r="633">
      <c r="A633" s="304"/>
      <c r="B633" s="299"/>
      <c r="C633" s="292"/>
      <c r="D633" s="293"/>
      <c r="E633" s="292"/>
      <c r="F633" s="293"/>
      <c r="G633" s="294"/>
      <c r="H633" s="295"/>
      <c r="I633" s="303"/>
      <c r="J633" s="303"/>
      <c r="K633" s="297"/>
      <c r="L633" s="303"/>
      <c r="M633" s="303"/>
      <c r="N633" s="297"/>
      <c r="O633" s="292"/>
      <c r="P633" s="303"/>
      <c r="Q633" s="298"/>
      <c r="R633" s="294"/>
      <c r="S633" s="297"/>
      <c r="T633" s="292"/>
      <c r="U633" s="299"/>
      <c r="V633" s="292"/>
      <c r="W633" s="309"/>
      <c r="X633" s="292"/>
      <c r="Y633" s="309"/>
      <c r="Z633" s="292"/>
      <c r="AA633" s="315"/>
      <c r="AB633" s="297"/>
      <c r="AC633" s="292"/>
      <c r="AD633" s="292"/>
      <c r="AE633" s="292"/>
      <c r="AF633" s="303"/>
      <c r="AG633" s="303"/>
      <c r="AH633" s="303"/>
      <c r="AI633" s="303"/>
    </row>
    <row r="634">
      <c r="A634" s="304"/>
      <c r="B634" s="299"/>
      <c r="C634" s="292"/>
      <c r="D634" s="293"/>
      <c r="E634" s="292"/>
      <c r="F634" s="293"/>
      <c r="G634" s="294"/>
      <c r="H634" s="295"/>
      <c r="I634" s="303"/>
      <c r="J634" s="303"/>
      <c r="K634" s="297"/>
      <c r="L634" s="303"/>
      <c r="M634" s="303"/>
      <c r="N634" s="297"/>
      <c r="O634" s="292"/>
      <c r="P634" s="303"/>
      <c r="Q634" s="298"/>
      <c r="R634" s="294"/>
      <c r="S634" s="297"/>
      <c r="T634" s="292"/>
      <c r="U634" s="299"/>
      <c r="V634" s="292"/>
      <c r="W634" s="309"/>
      <c r="X634" s="292"/>
      <c r="Y634" s="309"/>
      <c r="Z634" s="292"/>
      <c r="AA634" s="315"/>
      <c r="AB634" s="297"/>
      <c r="AC634" s="292"/>
      <c r="AD634" s="292"/>
      <c r="AE634" s="292"/>
      <c r="AF634" s="303"/>
      <c r="AG634" s="303"/>
      <c r="AH634" s="303"/>
      <c r="AI634" s="303"/>
    </row>
    <row r="635">
      <c r="A635" s="304"/>
      <c r="B635" s="299"/>
      <c r="C635" s="292"/>
      <c r="D635" s="293"/>
      <c r="E635" s="292"/>
      <c r="F635" s="293"/>
      <c r="G635" s="294"/>
      <c r="H635" s="295"/>
      <c r="I635" s="303"/>
      <c r="J635" s="303"/>
      <c r="K635" s="297"/>
      <c r="L635" s="303"/>
      <c r="M635" s="303"/>
      <c r="N635" s="297"/>
      <c r="O635" s="292"/>
      <c r="P635" s="303"/>
      <c r="Q635" s="298"/>
      <c r="R635" s="294"/>
      <c r="S635" s="297"/>
      <c r="T635" s="292"/>
      <c r="U635" s="299"/>
      <c r="V635" s="292"/>
      <c r="W635" s="309"/>
      <c r="X635" s="292"/>
      <c r="Y635" s="309"/>
      <c r="Z635" s="292"/>
      <c r="AA635" s="315"/>
      <c r="AB635" s="297"/>
      <c r="AC635" s="292"/>
      <c r="AD635" s="292"/>
      <c r="AE635" s="292"/>
      <c r="AF635" s="303"/>
      <c r="AG635" s="303"/>
      <c r="AH635" s="303"/>
      <c r="AI635" s="303"/>
    </row>
    <row r="636">
      <c r="A636" s="304"/>
      <c r="B636" s="299"/>
      <c r="C636" s="292"/>
      <c r="D636" s="293"/>
      <c r="E636" s="292"/>
      <c r="F636" s="293"/>
      <c r="G636" s="294"/>
      <c r="H636" s="295"/>
      <c r="I636" s="303"/>
      <c r="J636" s="303"/>
      <c r="K636" s="297"/>
      <c r="L636" s="303"/>
      <c r="M636" s="303"/>
      <c r="N636" s="297"/>
      <c r="O636" s="292"/>
      <c r="P636" s="303"/>
      <c r="Q636" s="298"/>
      <c r="R636" s="294"/>
      <c r="S636" s="297"/>
      <c r="T636" s="292"/>
      <c r="U636" s="299"/>
      <c r="V636" s="292"/>
      <c r="W636" s="309"/>
      <c r="X636" s="292"/>
      <c r="Y636" s="309"/>
      <c r="Z636" s="292"/>
      <c r="AA636" s="315"/>
      <c r="AB636" s="297"/>
      <c r="AC636" s="292"/>
      <c r="AD636" s="292"/>
      <c r="AE636" s="292"/>
      <c r="AF636" s="303"/>
      <c r="AG636" s="303"/>
      <c r="AH636" s="303"/>
      <c r="AI636" s="303"/>
    </row>
    <row r="637">
      <c r="A637" s="304"/>
      <c r="B637" s="299"/>
      <c r="C637" s="292"/>
      <c r="D637" s="293"/>
      <c r="E637" s="292"/>
      <c r="F637" s="293"/>
      <c r="G637" s="294"/>
      <c r="H637" s="295"/>
      <c r="I637" s="303"/>
      <c r="J637" s="303"/>
      <c r="K637" s="297"/>
      <c r="L637" s="303"/>
      <c r="M637" s="303"/>
      <c r="N637" s="297"/>
      <c r="O637" s="292"/>
      <c r="P637" s="303"/>
      <c r="Q637" s="298"/>
      <c r="R637" s="294"/>
      <c r="S637" s="297"/>
      <c r="T637" s="292"/>
      <c r="U637" s="299"/>
      <c r="V637" s="292"/>
      <c r="W637" s="309"/>
      <c r="X637" s="292"/>
      <c r="Y637" s="309"/>
      <c r="Z637" s="292"/>
      <c r="AA637" s="315"/>
      <c r="AB637" s="297"/>
      <c r="AC637" s="292"/>
      <c r="AD637" s="292"/>
      <c r="AE637" s="292"/>
      <c r="AF637" s="303"/>
      <c r="AG637" s="303"/>
      <c r="AH637" s="303"/>
      <c r="AI637" s="303"/>
    </row>
    <row r="638">
      <c r="A638" s="304"/>
      <c r="B638" s="299"/>
      <c r="C638" s="292"/>
      <c r="D638" s="293"/>
      <c r="E638" s="292"/>
      <c r="F638" s="293"/>
      <c r="G638" s="294"/>
      <c r="H638" s="295"/>
      <c r="I638" s="303"/>
      <c r="J638" s="303"/>
      <c r="K638" s="297"/>
      <c r="L638" s="303"/>
      <c r="M638" s="303"/>
      <c r="N638" s="297"/>
      <c r="O638" s="292"/>
      <c r="P638" s="303"/>
      <c r="Q638" s="298"/>
      <c r="R638" s="294"/>
      <c r="S638" s="297"/>
      <c r="T638" s="292"/>
      <c r="U638" s="299"/>
      <c r="V638" s="292"/>
      <c r="W638" s="309"/>
      <c r="X638" s="292"/>
      <c r="Y638" s="309"/>
      <c r="Z638" s="292"/>
      <c r="AA638" s="315"/>
      <c r="AB638" s="297"/>
      <c r="AC638" s="292"/>
      <c r="AD638" s="292"/>
      <c r="AE638" s="292"/>
      <c r="AF638" s="303"/>
      <c r="AG638" s="303"/>
      <c r="AH638" s="303"/>
      <c r="AI638" s="303"/>
    </row>
    <row r="639">
      <c r="A639" s="304"/>
      <c r="B639" s="299"/>
      <c r="C639" s="292"/>
      <c r="D639" s="293"/>
      <c r="E639" s="292"/>
      <c r="F639" s="293"/>
      <c r="G639" s="294"/>
      <c r="H639" s="295"/>
      <c r="I639" s="303"/>
      <c r="J639" s="303"/>
      <c r="K639" s="297"/>
      <c r="L639" s="303"/>
      <c r="M639" s="303"/>
      <c r="N639" s="297"/>
      <c r="O639" s="292"/>
      <c r="P639" s="303"/>
      <c r="Q639" s="298"/>
      <c r="R639" s="294"/>
      <c r="S639" s="297"/>
      <c r="T639" s="292"/>
      <c r="U639" s="299"/>
      <c r="V639" s="292"/>
      <c r="W639" s="309"/>
      <c r="X639" s="292"/>
      <c r="Y639" s="309"/>
      <c r="Z639" s="292"/>
      <c r="AA639" s="315"/>
      <c r="AB639" s="297"/>
      <c r="AC639" s="292"/>
      <c r="AD639" s="292"/>
      <c r="AE639" s="292"/>
      <c r="AF639" s="303"/>
      <c r="AG639" s="303"/>
      <c r="AH639" s="303"/>
      <c r="AI639" s="303"/>
    </row>
    <row r="640">
      <c r="A640" s="304"/>
      <c r="B640" s="299"/>
      <c r="C640" s="292"/>
      <c r="D640" s="293"/>
      <c r="E640" s="292"/>
      <c r="F640" s="293"/>
      <c r="G640" s="294"/>
      <c r="H640" s="295"/>
      <c r="I640" s="303"/>
      <c r="J640" s="303"/>
      <c r="K640" s="297"/>
      <c r="L640" s="303"/>
      <c r="M640" s="303"/>
      <c r="N640" s="297"/>
      <c r="O640" s="292"/>
      <c r="P640" s="303"/>
      <c r="Q640" s="298"/>
      <c r="R640" s="294"/>
      <c r="S640" s="297"/>
      <c r="T640" s="292"/>
      <c r="U640" s="299"/>
      <c r="V640" s="292"/>
      <c r="W640" s="309"/>
      <c r="X640" s="292"/>
      <c r="Y640" s="309"/>
      <c r="Z640" s="292"/>
      <c r="AA640" s="315"/>
      <c r="AB640" s="297"/>
      <c r="AC640" s="292"/>
      <c r="AD640" s="292"/>
      <c r="AE640" s="292"/>
      <c r="AF640" s="303"/>
      <c r="AG640" s="303"/>
      <c r="AH640" s="303"/>
      <c r="AI640" s="303"/>
    </row>
    <row r="641">
      <c r="A641" s="304"/>
      <c r="B641" s="299"/>
      <c r="C641" s="292"/>
      <c r="D641" s="293"/>
      <c r="E641" s="292"/>
      <c r="F641" s="293"/>
      <c r="G641" s="294"/>
      <c r="H641" s="295"/>
      <c r="I641" s="303"/>
      <c r="J641" s="303"/>
      <c r="K641" s="297"/>
      <c r="L641" s="303"/>
      <c r="M641" s="303"/>
      <c r="N641" s="297"/>
      <c r="O641" s="292"/>
      <c r="P641" s="303"/>
      <c r="Q641" s="298"/>
      <c r="R641" s="294"/>
      <c r="S641" s="297"/>
      <c r="T641" s="292"/>
      <c r="U641" s="299"/>
      <c r="V641" s="292"/>
      <c r="W641" s="309"/>
      <c r="X641" s="292"/>
      <c r="Y641" s="309"/>
      <c r="Z641" s="292"/>
      <c r="AA641" s="315"/>
      <c r="AB641" s="297"/>
      <c r="AC641" s="292"/>
      <c r="AD641" s="292"/>
      <c r="AE641" s="292"/>
      <c r="AF641" s="303"/>
      <c r="AG641" s="303"/>
      <c r="AH641" s="303"/>
      <c r="AI641" s="303"/>
    </row>
    <row r="642">
      <c r="A642" s="304"/>
      <c r="B642" s="299"/>
      <c r="C642" s="292"/>
      <c r="D642" s="293"/>
      <c r="E642" s="292"/>
      <c r="F642" s="293"/>
      <c r="G642" s="294"/>
      <c r="H642" s="295"/>
      <c r="I642" s="303"/>
      <c r="J642" s="303"/>
      <c r="K642" s="297"/>
      <c r="L642" s="303"/>
      <c r="M642" s="303"/>
      <c r="N642" s="297"/>
      <c r="O642" s="292"/>
      <c r="P642" s="303"/>
      <c r="Q642" s="298"/>
      <c r="R642" s="294"/>
      <c r="S642" s="297"/>
      <c r="T642" s="292"/>
      <c r="U642" s="299"/>
      <c r="V642" s="292"/>
      <c r="W642" s="309"/>
      <c r="X642" s="292"/>
      <c r="Y642" s="309"/>
      <c r="Z642" s="292"/>
      <c r="AA642" s="315"/>
      <c r="AB642" s="297"/>
      <c r="AC642" s="292"/>
      <c r="AD642" s="292"/>
      <c r="AE642" s="292"/>
      <c r="AF642" s="303"/>
      <c r="AG642" s="303"/>
      <c r="AH642" s="303"/>
      <c r="AI642" s="303"/>
    </row>
    <row r="643">
      <c r="A643" s="304"/>
      <c r="B643" s="299"/>
      <c r="C643" s="292"/>
      <c r="D643" s="293"/>
      <c r="E643" s="292"/>
      <c r="F643" s="293"/>
      <c r="G643" s="294"/>
      <c r="H643" s="295"/>
      <c r="I643" s="303"/>
      <c r="J643" s="303"/>
      <c r="K643" s="297"/>
      <c r="L643" s="303"/>
      <c r="M643" s="303"/>
      <c r="N643" s="297"/>
      <c r="O643" s="292"/>
      <c r="P643" s="303"/>
      <c r="Q643" s="298"/>
      <c r="R643" s="294"/>
      <c r="S643" s="297"/>
      <c r="T643" s="292"/>
      <c r="U643" s="299"/>
      <c r="V643" s="292"/>
      <c r="W643" s="309"/>
      <c r="X643" s="292"/>
      <c r="Y643" s="309"/>
      <c r="Z643" s="292"/>
      <c r="AA643" s="315"/>
      <c r="AB643" s="297"/>
      <c r="AC643" s="292"/>
      <c r="AD643" s="292"/>
      <c r="AE643" s="292"/>
      <c r="AF643" s="303"/>
      <c r="AG643" s="303"/>
      <c r="AH643" s="303"/>
      <c r="AI643" s="303"/>
    </row>
    <row r="644">
      <c r="A644" s="304"/>
      <c r="B644" s="299"/>
      <c r="C644" s="292"/>
      <c r="D644" s="293"/>
      <c r="E644" s="292"/>
      <c r="F644" s="293"/>
      <c r="G644" s="294"/>
      <c r="H644" s="295"/>
      <c r="I644" s="303"/>
      <c r="J644" s="303"/>
      <c r="K644" s="297"/>
      <c r="L644" s="303"/>
      <c r="M644" s="303"/>
      <c r="N644" s="297"/>
      <c r="O644" s="292"/>
      <c r="P644" s="303"/>
      <c r="Q644" s="298"/>
      <c r="R644" s="294"/>
      <c r="S644" s="297"/>
      <c r="T644" s="292"/>
      <c r="U644" s="299"/>
      <c r="V644" s="292"/>
      <c r="W644" s="309"/>
      <c r="X644" s="292"/>
      <c r="Y644" s="309"/>
      <c r="Z644" s="292"/>
      <c r="AA644" s="315"/>
      <c r="AB644" s="297"/>
      <c r="AC644" s="292"/>
      <c r="AD644" s="292"/>
      <c r="AE644" s="292"/>
      <c r="AF644" s="303"/>
      <c r="AG644" s="303"/>
      <c r="AH644" s="303"/>
      <c r="AI644" s="303"/>
    </row>
    <row r="645">
      <c r="A645" s="304"/>
      <c r="B645" s="299"/>
      <c r="C645" s="292"/>
      <c r="D645" s="293"/>
      <c r="E645" s="292"/>
      <c r="F645" s="293"/>
      <c r="G645" s="294"/>
      <c r="H645" s="295"/>
      <c r="I645" s="303"/>
      <c r="J645" s="303"/>
      <c r="K645" s="297"/>
      <c r="L645" s="303"/>
      <c r="M645" s="303"/>
      <c r="N645" s="297"/>
      <c r="O645" s="292"/>
      <c r="P645" s="303"/>
      <c r="Q645" s="298"/>
      <c r="R645" s="294"/>
      <c r="S645" s="297"/>
      <c r="T645" s="292"/>
      <c r="U645" s="299"/>
      <c r="V645" s="292"/>
      <c r="W645" s="309"/>
      <c r="X645" s="292"/>
      <c r="Y645" s="309"/>
      <c r="Z645" s="292"/>
      <c r="AA645" s="315"/>
      <c r="AB645" s="297"/>
      <c r="AC645" s="292"/>
      <c r="AD645" s="292"/>
      <c r="AE645" s="292"/>
      <c r="AF645" s="303"/>
      <c r="AG645" s="303"/>
      <c r="AH645" s="303"/>
      <c r="AI645" s="303"/>
    </row>
    <row r="646">
      <c r="A646" s="304"/>
      <c r="B646" s="299"/>
      <c r="C646" s="292"/>
      <c r="D646" s="293"/>
      <c r="E646" s="292"/>
      <c r="F646" s="293"/>
      <c r="G646" s="294"/>
      <c r="H646" s="295"/>
      <c r="I646" s="303"/>
      <c r="J646" s="303"/>
      <c r="K646" s="297"/>
      <c r="L646" s="303"/>
      <c r="M646" s="303"/>
      <c r="N646" s="297"/>
      <c r="O646" s="292"/>
      <c r="P646" s="303"/>
      <c r="Q646" s="298"/>
      <c r="R646" s="294"/>
      <c r="S646" s="297"/>
      <c r="T646" s="292"/>
      <c r="U646" s="299"/>
      <c r="V646" s="292"/>
      <c r="W646" s="309"/>
      <c r="X646" s="292"/>
      <c r="Y646" s="309"/>
      <c r="Z646" s="292"/>
      <c r="AA646" s="315"/>
      <c r="AB646" s="297"/>
      <c r="AC646" s="292"/>
      <c r="AD646" s="292"/>
      <c r="AE646" s="292"/>
      <c r="AF646" s="303"/>
      <c r="AG646" s="303"/>
      <c r="AH646" s="303"/>
      <c r="AI646" s="303"/>
    </row>
    <row r="647">
      <c r="A647" s="304"/>
      <c r="B647" s="299"/>
      <c r="C647" s="292"/>
      <c r="D647" s="293"/>
      <c r="E647" s="292"/>
      <c r="F647" s="293"/>
      <c r="G647" s="294"/>
      <c r="H647" s="295"/>
      <c r="I647" s="303"/>
      <c r="J647" s="303"/>
      <c r="K647" s="297"/>
      <c r="L647" s="303"/>
      <c r="M647" s="303"/>
      <c r="N647" s="297"/>
      <c r="O647" s="292"/>
      <c r="P647" s="303"/>
      <c r="Q647" s="298"/>
      <c r="R647" s="294"/>
      <c r="S647" s="297"/>
      <c r="T647" s="292"/>
      <c r="U647" s="299"/>
      <c r="V647" s="292"/>
      <c r="W647" s="309"/>
      <c r="X647" s="292"/>
      <c r="Y647" s="309"/>
      <c r="Z647" s="292"/>
      <c r="AA647" s="315"/>
      <c r="AB647" s="297"/>
      <c r="AC647" s="292"/>
      <c r="AD647" s="292"/>
      <c r="AE647" s="292"/>
      <c r="AF647" s="303"/>
      <c r="AG647" s="303"/>
      <c r="AH647" s="303"/>
      <c r="AI647" s="303"/>
    </row>
    <row r="648">
      <c r="A648" s="304"/>
      <c r="B648" s="299"/>
      <c r="C648" s="292"/>
      <c r="D648" s="293"/>
      <c r="E648" s="292"/>
      <c r="F648" s="293"/>
      <c r="G648" s="294"/>
      <c r="H648" s="295"/>
      <c r="I648" s="303"/>
      <c r="J648" s="303"/>
      <c r="K648" s="297"/>
      <c r="L648" s="303"/>
      <c r="M648" s="303"/>
      <c r="N648" s="297"/>
      <c r="O648" s="292"/>
      <c r="P648" s="303"/>
      <c r="Q648" s="298"/>
      <c r="R648" s="294"/>
      <c r="S648" s="297"/>
      <c r="T648" s="292"/>
      <c r="U648" s="299"/>
      <c r="V648" s="292"/>
      <c r="W648" s="309"/>
      <c r="X648" s="292"/>
      <c r="Y648" s="309"/>
      <c r="Z648" s="292"/>
      <c r="AA648" s="315"/>
      <c r="AB648" s="297"/>
      <c r="AC648" s="292"/>
      <c r="AD648" s="292"/>
      <c r="AE648" s="292"/>
      <c r="AF648" s="303"/>
      <c r="AG648" s="303"/>
      <c r="AH648" s="303"/>
      <c r="AI648" s="303"/>
    </row>
    <row r="649">
      <c r="A649" s="304"/>
      <c r="B649" s="299"/>
      <c r="C649" s="292"/>
      <c r="D649" s="293"/>
      <c r="E649" s="292"/>
      <c r="F649" s="293"/>
      <c r="G649" s="294"/>
      <c r="H649" s="295"/>
      <c r="I649" s="303"/>
      <c r="J649" s="303"/>
      <c r="K649" s="297"/>
      <c r="L649" s="303"/>
      <c r="M649" s="303"/>
      <c r="N649" s="297"/>
      <c r="O649" s="292"/>
      <c r="P649" s="303"/>
      <c r="Q649" s="298"/>
      <c r="R649" s="294"/>
      <c r="S649" s="297"/>
      <c r="T649" s="292"/>
      <c r="U649" s="299"/>
      <c r="V649" s="292"/>
      <c r="W649" s="309"/>
      <c r="X649" s="292"/>
      <c r="Y649" s="309"/>
      <c r="Z649" s="292"/>
      <c r="AA649" s="315"/>
      <c r="AB649" s="297"/>
      <c r="AC649" s="292"/>
      <c r="AD649" s="292"/>
      <c r="AE649" s="292"/>
      <c r="AF649" s="303"/>
      <c r="AG649" s="303"/>
      <c r="AH649" s="303"/>
      <c r="AI649" s="303"/>
    </row>
    <row r="650">
      <c r="A650" s="304"/>
      <c r="B650" s="299"/>
      <c r="C650" s="292"/>
      <c r="D650" s="293"/>
      <c r="E650" s="292"/>
      <c r="F650" s="293"/>
      <c r="G650" s="294"/>
      <c r="H650" s="295"/>
      <c r="I650" s="303"/>
      <c r="J650" s="303"/>
      <c r="K650" s="297"/>
      <c r="L650" s="303"/>
      <c r="M650" s="303"/>
      <c r="N650" s="297"/>
      <c r="O650" s="292"/>
      <c r="P650" s="303"/>
      <c r="Q650" s="298"/>
      <c r="R650" s="294"/>
      <c r="S650" s="297"/>
      <c r="T650" s="292"/>
      <c r="U650" s="299"/>
      <c r="V650" s="292"/>
      <c r="W650" s="309"/>
      <c r="X650" s="292"/>
      <c r="Y650" s="309"/>
      <c r="Z650" s="292"/>
      <c r="AA650" s="315"/>
      <c r="AB650" s="297"/>
      <c r="AC650" s="292"/>
      <c r="AD650" s="292"/>
      <c r="AE650" s="292"/>
      <c r="AF650" s="303"/>
      <c r="AG650" s="303"/>
      <c r="AH650" s="303"/>
      <c r="AI650" s="303"/>
    </row>
    <row r="651">
      <c r="A651" s="304"/>
      <c r="B651" s="299"/>
      <c r="C651" s="292"/>
      <c r="D651" s="293"/>
      <c r="E651" s="292"/>
      <c r="F651" s="293"/>
      <c r="G651" s="294"/>
      <c r="H651" s="295"/>
      <c r="I651" s="303"/>
      <c r="J651" s="303"/>
      <c r="K651" s="297"/>
      <c r="L651" s="303"/>
      <c r="M651" s="303"/>
      <c r="N651" s="297"/>
      <c r="O651" s="292"/>
      <c r="P651" s="303"/>
      <c r="Q651" s="298"/>
      <c r="R651" s="294"/>
      <c r="S651" s="297"/>
      <c r="T651" s="292"/>
      <c r="U651" s="299"/>
      <c r="V651" s="292"/>
      <c r="W651" s="309"/>
      <c r="X651" s="292"/>
      <c r="Y651" s="309"/>
      <c r="Z651" s="292"/>
      <c r="AA651" s="315"/>
      <c r="AB651" s="297"/>
      <c r="AC651" s="292"/>
      <c r="AD651" s="292"/>
      <c r="AE651" s="292"/>
      <c r="AF651" s="303"/>
      <c r="AG651" s="303"/>
      <c r="AH651" s="303"/>
      <c r="AI651" s="303"/>
    </row>
    <row r="652">
      <c r="A652" s="304"/>
      <c r="B652" s="299"/>
      <c r="C652" s="292"/>
      <c r="D652" s="293"/>
      <c r="E652" s="292"/>
      <c r="F652" s="293"/>
      <c r="G652" s="294"/>
      <c r="H652" s="295"/>
      <c r="I652" s="303"/>
      <c r="J652" s="303"/>
      <c r="K652" s="297"/>
      <c r="L652" s="303"/>
      <c r="M652" s="303"/>
      <c r="N652" s="297"/>
      <c r="O652" s="292"/>
      <c r="P652" s="303"/>
      <c r="Q652" s="298"/>
      <c r="R652" s="294"/>
      <c r="S652" s="297"/>
      <c r="T652" s="292"/>
      <c r="U652" s="299"/>
      <c r="V652" s="292"/>
      <c r="W652" s="309"/>
      <c r="X652" s="292"/>
      <c r="Y652" s="309"/>
      <c r="Z652" s="292"/>
      <c r="AA652" s="315"/>
      <c r="AB652" s="297"/>
      <c r="AC652" s="292"/>
      <c r="AD652" s="292"/>
      <c r="AE652" s="292"/>
      <c r="AF652" s="303"/>
      <c r="AG652" s="303"/>
      <c r="AH652" s="303"/>
      <c r="AI652" s="303"/>
    </row>
    <row r="653">
      <c r="A653" s="304"/>
      <c r="B653" s="299"/>
      <c r="C653" s="292"/>
      <c r="D653" s="293"/>
      <c r="E653" s="292"/>
      <c r="F653" s="293"/>
      <c r="G653" s="294"/>
      <c r="H653" s="295"/>
      <c r="I653" s="303"/>
      <c r="J653" s="303"/>
      <c r="K653" s="297"/>
      <c r="L653" s="303"/>
      <c r="M653" s="303"/>
      <c r="N653" s="297"/>
      <c r="O653" s="292"/>
      <c r="P653" s="303"/>
      <c r="Q653" s="298"/>
      <c r="R653" s="294"/>
      <c r="S653" s="297"/>
      <c r="T653" s="292"/>
      <c r="U653" s="299"/>
      <c r="V653" s="292"/>
      <c r="W653" s="309"/>
      <c r="X653" s="292"/>
      <c r="Y653" s="309"/>
      <c r="Z653" s="292"/>
      <c r="AA653" s="315"/>
      <c r="AB653" s="297"/>
      <c r="AC653" s="292"/>
      <c r="AD653" s="292"/>
      <c r="AE653" s="292"/>
      <c r="AF653" s="303"/>
      <c r="AG653" s="303"/>
      <c r="AH653" s="303"/>
      <c r="AI653" s="303"/>
    </row>
    <row r="654">
      <c r="A654" s="304"/>
      <c r="B654" s="299"/>
      <c r="C654" s="292"/>
      <c r="D654" s="293"/>
      <c r="E654" s="292"/>
      <c r="F654" s="293"/>
      <c r="G654" s="294"/>
      <c r="H654" s="295"/>
      <c r="I654" s="303"/>
      <c r="J654" s="303"/>
      <c r="K654" s="297"/>
      <c r="L654" s="303"/>
      <c r="M654" s="303"/>
      <c r="N654" s="297"/>
      <c r="O654" s="292"/>
      <c r="P654" s="303"/>
      <c r="Q654" s="298"/>
      <c r="R654" s="294"/>
      <c r="S654" s="297"/>
      <c r="T654" s="292"/>
      <c r="U654" s="299"/>
      <c r="V654" s="292"/>
      <c r="W654" s="309"/>
      <c r="X654" s="292"/>
      <c r="Y654" s="309"/>
      <c r="Z654" s="292"/>
      <c r="AA654" s="315"/>
      <c r="AB654" s="297"/>
      <c r="AC654" s="292"/>
      <c r="AD654" s="292"/>
      <c r="AE654" s="292"/>
      <c r="AF654" s="303"/>
      <c r="AG654" s="303"/>
      <c r="AH654" s="303"/>
      <c r="AI654" s="303"/>
    </row>
    <row r="655">
      <c r="A655" s="304"/>
      <c r="B655" s="299"/>
      <c r="C655" s="292"/>
      <c r="D655" s="293"/>
      <c r="E655" s="292"/>
      <c r="F655" s="293"/>
      <c r="G655" s="294"/>
      <c r="H655" s="295"/>
      <c r="I655" s="303"/>
      <c r="J655" s="303"/>
      <c r="K655" s="297"/>
      <c r="L655" s="303"/>
      <c r="M655" s="303"/>
      <c r="N655" s="297"/>
      <c r="O655" s="292"/>
      <c r="P655" s="303"/>
      <c r="Q655" s="298"/>
      <c r="R655" s="294"/>
      <c r="S655" s="297"/>
      <c r="T655" s="292"/>
      <c r="U655" s="299"/>
      <c r="V655" s="292"/>
      <c r="W655" s="309"/>
      <c r="X655" s="292"/>
      <c r="Y655" s="309"/>
      <c r="Z655" s="292"/>
      <c r="AA655" s="315"/>
      <c r="AB655" s="297"/>
      <c r="AC655" s="292"/>
      <c r="AD655" s="292"/>
      <c r="AE655" s="292"/>
      <c r="AF655" s="303"/>
      <c r="AG655" s="303"/>
      <c r="AH655" s="303"/>
      <c r="AI655" s="303"/>
    </row>
    <row r="656">
      <c r="A656" s="304"/>
      <c r="B656" s="299"/>
      <c r="C656" s="292"/>
      <c r="D656" s="293"/>
      <c r="E656" s="292"/>
      <c r="F656" s="293"/>
      <c r="G656" s="294"/>
      <c r="H656" s="295"/>
      <c r="I656" s="303"/>
      <c r="J656" s="303"/>
      <c r="K656" s="297"/>
      <c r="L656" s="303"/>
      <c r="M656" s="303"/>
      <c r="N656" s="297"/>
      <c r="O656" s="292"/>
      <c r="P656" s="303"/>
      <c r="Q656" s="298"/>
      <c r="R656" s="294"/>
      <c r="S656" s="297"/>
      <c r="T656" s="292"/>
      <c r="U656" s="299"/>
      <c r="V656" s="292"/>
      <c r="W656" s="309"/>
      <c r="X656" s="292"/>
      <c r="Y656" s="309"/>
      <c r="Z656" s="292"/>
      <c r="AA656" s="315"/>
      <c r="AB656" s="297"/>
      <c r="AC656" s="292"/>
      <c r="AD656" s="292"/>
      <c r="AE656" s="292"/>
      <c r="AF656" s="303"/>
      <c r="AG656" s="303"/>
      <c r="AH656" s="303"/>
      <c r="AI656" s="303"/>
    </row>
    <row r="657">
      <c r="A657" s="304"/>
      <c r="B657" s="299"/>
      <c r="C657" s="292"/>
      <c r="D657" s="293"/>
      <c r="E657" s="292"/>
      <c r="F657" s="293"/>
      <c r="G657" s="294"/>
      <c r="H657" s="295"/>
      <c r="I657" s="303"/>
      <c r="J657" s="303"/>
      <c r="K657" s="297"/>
      <c r="L657" s="303"/>
      <c r="M657" s="303"/>
      <c r="N657" s="297"/>
      <c r="O657" s="292"/>
      <c r="P657" s="303"/>
      <c r="Q657" s="298"/>
      <c r="R657" s="294"/>
      <c r="S657" s="297"/>
      <c r="T657" s="292"/>
      <c r="U657" s="299"/>
      <c r="V657" s="292"/>
      <c r="W657" s="309"/>
      <c r="X657" s="292"/>
      <c r="Y657" s="309"/>
      <c r="Z657" s="292"/>
      <c r="AA657" s="315"/>
      <c r="AB657" s="297"/>
      <c r="AC657" s="292"/>
      <c r="AD657" s="292"/>
      <c r="AE657" s="292"/>
      <c r="AF657" s="303"/>
      <c r="AG657" s="303"/>
      <c r="AH657" s="303"/>
      <c r="AI657" s="303"/>
    </row>
    <row r="658">
      <c r="A658" s="304"/>
      <c r="B658" s="299"/>
      <c r="C658" s="292"/>
      <c r="D658" s="293"/>
      <c r="E658" s="292"/>
      <c r="F658" s="293"/>
      <c r="G658" s="294"/>
      <c r="H658" s="295"/>
      <c r="I658" s="303"/>
      <c r="J658" s="303"/>
      <c r="K658" s="297"/>
      <c r="L658" s="303"/>
      <c r="M658" s="303"/>
      <c r="N658" s="297"/>
      <c r="O658" s="292"/>
      <c r="P658" s="303"/>
      <c r="Q658" s="298"/>
      <c r="R658" s="294"/>
      <c r="S658" s="297"/>
      <c r="T658" s="292"/>
      <c r="U658" s="299"/>
      <c r="V658" s="292"/>
      <c r="W658" s="309"/>
      <c r="X658" s="292"/>
      <c r="Y658" s="309"/>
      <c r="Z658" s="292"/>
      <c r="AA658" s="315"/>
      <c r="AB658" s="297"/>
      <c r="AC658" s="292"/>
      <c r="AD658" s="292"/>
      <c r="AE658" s="292"/>
      <c r="AF658" s="303"/>
      <c r="AG658" s="303"/>
      <c r="AH658" s="303"/>
      <c r="AI658" s="303"/>
    </row>
    <row r="659">
      <c r="A659" s="304"/>
      <c r="B659" s="299"/>
      <c r="C659" s="292"/>
      <c r="D659" s="293"/>
      <c r="E659" s="292"/>
      <c r="F659" s="293"/>
      <c r="G659" s="294"/>
      <c r="H659" s="295"/>
      <c r="I659" s="303"/>
      <c r="J659" s="303"/>
      <c r="K659" s="297"/>
      <c r="L659" s="303"/>
      <c r="M659" s="303"/>
      <c r="N659" s="297"/>
      <c r="O659" s="292"/>
      <c r="P659" s="303"/>
      <c r="Q659" s="298"/>
      <c r="R659" s="294"/>
      <c r="S659" s="297"/>
      <c r="T659" s="292"/>
      <c r="U659" s="299"/>
      <c r="V659" s="292"/>
      <c r="W659" s="309"/>
      <c r="X659" s="292"/>
      <c r="Y659" s="309"/>
      <c r="Z659" s="292"/>
      <c r="AA659" s="315"/>
      <c r="AB659" s="297"/>
      <c r="AC659" s="292"/>
      <c r="AD659" s="292"/>
      <c r="AE659" s="292"/>
      <c r="AF659" s="303"/>
      <c r="AG659" s="303"/>
      <c r="AH659" s="303"/>
      <c r="AI659" s="303"/>
    </row>
    <row r="660">
      <c r="A660" s="304"/>
      <c r="B660" s="299"/>
      <c r="C660" s="292"/>
      <c r="D660" s="293"/>
      <c r="E660" s="292"/>
      <c r="F660" s="293"/>
      <c r="G660" s="294"/>
      <c r="H660" s="295"/>
      <c r="I660" s="303"/>
      <c r="J660" s="303"/>
      <c r="K660" s="297"/>
      <c r="L660" s="303"/>
      <c r="M660" s="303"/>
      <c r="N660" s="297"/>
      <c r="O660" s="292"/>
      <c r="P660" s="303"/>
      <c r="Q660" s="298"/>
      <c r="R660" s="294"/>
      <c r="S660" s="297"/>
      <c r="T660" s="292"/>
      <c r="U660" s="299"/>
      <c r="V660" s="292"/>
      <c r="W660" s="309"/>
      <c r="X660" s="292"/>
      <c r="Y660" s="309"/>
      <c r="Z660" s="292"/>
      <c r="AA660" s="315"/>
      <c r="AB660" s="297"/>
      <c r="AC660" s="292"/>
      <c r="AD660" s="292"/>
      <c r="AE660" s="292"/>
      <c r="AF660" s="303"/>
      <c r="AG660" s="303"/>
      <c r="AH660" s="303"/>
      <c r="AI660" s="303"/>
    </row>
    <row r="661">
      <c r="A661" s="304"/>
      <c r="B661" s="299"/>
      <c r="C661" s="292"/>
      <c r="D661" s="293"/>
      <c r="E661" s="292"/>
      <c r="F661" s="293"/>
      <c r="G661" s="294"/>
      <c r="H661" s="295"/>
      <c r="I661" s="303"/>
      <c r="J661" s="303"/>
      <c r="K661" s="297"/>
      <c r="L661" s="303"/>
      <c r="M661" s="303"/>
      <c r="N661" s="297"/>
      <c r="O661" s="292"/>
      <c r="P661" s="303"/>
      <c r="Q661" s="298"/>
      <c r="R661" s="294"/>
      <c r="S661" s="297"/>
      <c r="T661" s="292"/>
      <c r="U661" s="299"/>
      <c r="V661" s="292"/>
      <c r="W661" s="309"/>
      <c r="X661" s="292"/>
      <c r="Y661" s="309"/>
      <c r="Z661" s="292"/>
      <c r="AA661" s="315"/>
      <c r="AB661" s="297"/>
      <c r="AC661" s="292"/>
      <c r="AD661" s="292"/>
      <c r="AE661" s="292"/>
      <c r="AF661" s="303"/>
      <c r="AG661" s="303"/>
      <c r="AH661" s="303"/>
      <c r="AI661" s="303"/>
    </row>
    <row r="662">
      <c r="A662" s="304"/>
      <c r="B662" s="299"/>
      <c r="C662" s="292"/>
      <c r="D662" s="293"/>
      <c r="E662" s="292"/>
      <c r="F662" s="293"/>
      <c r="G662" s="294"/>
      <c r="H662" s="295"/>
      <c r="I662" s="303"/>
      <c r="J662" s="303"/>
      <c r="K662" s="297"/>
      <c r="L662" s="303"/>
      <c r="M662" s="303"/>
      <c r="N662" s="297"/>
      <c r="O662" s="292"/>
      <c r="P662" s="303"/>
      <c r="Q662" s="298"/>
      <c r="R662" s="294"/>
      <c r="S662" s="297"/>
      <c r="T662" s="292"/>
      <c r="U662" s="299"/>
      <c r="V662" s="292"/>
      <c r="W662" s="309"/>
      <c r="X662" s="292"/>
      <c r="Y662" s="309"/>
      <c r="Z662" s="292"/>
      <c r="AA662" s="315"/>
      <c r="AB662" s="297"/>
      <c r="AC662" s="292"/>
      <c r="AD662" s="292"/>
      <c r="AE662" s="292"/>
      <c r="AF662" s="303"/>
      <c r="AG662" s="303"/>
      <c r="AH662" s="303"/>
      <c r="AI662" s="303"/>
    </row>
    <row r="663">
      <c r="A663" s="304"/>
      <c r="B663" s="299"/>
      <c r="C663" s="292"/>
      <c r="D663" s="293"/>
      <c r="E663" s="292"/>
      <c r="F663" s="293"/>
      <c r="G663" s="294"/>
      <c r="H663" s="295"/>
      <c r="I663" s="303"/>
      <c r="J663" s="303"/>
      <c r="K663" s="297"/>
      <c r="L663" s="303"/>
      <c r="M663" s="303"/>
      <c r="N663" s="297"/>
      <c r="O663" s="292"/>
      <c r="P663" s="303"/>
      <c r="Q663" s="298"/>
      <c r="R663" s="294"/>
      <c r="S663" s="297"/>
      <c r="T663" s="292"/>
      <c r="U663" s="299"/>
      <c r="V663" s="292"/>
      <c r="W663" s="309"/>
      <c r="X663" s="292"/>
      <c r="Y663" s="309"/>
      <c r="Z663" s="292"/>
      <c r="AA663" s="315"/>
      <c r="AB663" s="297"/>
      <c r="AC663" s="292"/>
      <c r="AD663" s="292"/>
      <c r="AE663" s="292"/>
      <c r="AF663" s="303"/>
      <c r="AG663" s="303"/>
      <c r="AH663" s="303"/>
      <c r="AI663" s="303"/>
    </row>
    <row r="664">
      <c r="A664" s="304"/>
      <c r="B664" s="299"/>
      <c r="C664" s="292"/>
      <c r="D664" s="293"/>
      <c r="E664" s="292"/>
      <c r="F664" s="293"/>
      <c r="G664" s="294"/>
      <c r="H664" s="295"/>
      <c r="I664" s="303"/>
      <c r="J664" s="303"/>
      <c r="K664" s="297"/>
      <c r="L664" s="303"/>
      <c r="M664" s="303"/>
      <c r="N664" s="297"/>
      <c r="O664" s="292"/>
      <c r="P664" s="303"/>
      <c r="Q664" s="298"/>
      <c r="R664" s="294"/>
      <c r="S664" s="297"/>
      <c r="T664" s="292"/>
      <c r="U664" s="299"/>
      <c r="V664" s="292"/>
      <c r="W664" s="309"/>
      <c r="X664" s="292"/>
      <c r="Y664" s="309"/>
      <c r="Z664" s="292"/>
      <c r="AA664" s="315"/>
      <c r="AB664" s="297"/>
      <c r="AC664" s="292"/>
      <c r="AD664" s="292"/>
      <c r="AE664" s="292"/>
      <c r="AF664" s="303"/>
      <c r="AG664" s="303"/>
      <c r="AH664" s="303"/>
      <c r="AI664" s="303"/>
    </row>
    <row r="665">
      <c r="A665" s="304"/>
      <c r="B665" s="299"/>
      <c r="C665" s="292"/>
      <c r="D665" s="293"/>
      <c r="E665" s="292"/>
      <c r="F665" s="293"/>
      <c r="G665" s="294"/>
      <c r="H665" s="295"/>
      <c r="I665" s="303"/>
      <c r="J665" s="303"/>
      <c r="K665" s="297"/>
      <c r="L665" s="303"/>
      <c r="M665" s="303"/>
      <c r="N665" s="297"/>
      <c r="O665" s="292"/>
      <c r="P665" s="303"/>
      <c r="Q665" s="298"/>
      <c r="R665" s="294"/>
      <c r="S665" s="297"/>
      <c r="T665" s="292"/>
      <c r="U665" s="299"/>
      <c r="V665" s="292"/>
      <c r="W665" s="309"/>
      <c r="X665" s="292"/>
      <c r="Y665" s="309"/>
      <c r="Z665" s="292"/>
      <c r="AA665" s="315"/>
      <c r="AB665" s="297"/>
      <c r="AC665" s="292"/>
      <c r="AD665" s="292"/>
      <c r="AE665" s="292"/>
      <c r="AF665" s="303"/>
      <c r="AG665" s="303"/>
      <c r="AH665" s="303"/>
      <c r="AI665" s="303"/>
    </row>
    <row r="666">
      <c r="A666" s="304"/>
      <c r="B666" s="299"/>
      <c r="C666" s="292"/>
      <c r="D666" s="293"/>
      <c r="E666" s="292"/>
      <c r="F666" s="293"/>
      <c r="G666" s="294"/>
      <c r="H666" s="295"/>
      <c r="I666" s="303"/>
      <c r="J666" s="303"/>
      <c r="K666" s="297"/>
      <c r="L666" s="303"/>
      <c r="M666" s="303"/>
      <c r="N666" s="297"/>
      <c r="O666" s="292"/>
      <c r="P666" s="303"/>
      <c r="Q666" s="298"/>
      <c r="R666" s="294"/>
      <c r="S666" s="297"/>
      <c r="T666" s="292"/>
      <c r="U666" s="299"/>
      <c r="V666" s="292"/>
      <c r="W666" s="309"/>
      <c r="X666" s="292"/>
      <c r="Y666" s="309"/>
      <c r="Z666" s="292"/>
      <c r="AA666" s="315"/>
      <c r="AB666" s="297"/>
      <c r="AC666" s="292"/>
      <c r="AD666" s="292"/>
      <c r="AE666" s="292"/>
      <c r="AF666" s="303"/>
      <c r="AG666" s="303"/>
      <c r="AH666" s="303"/>
      <c r="AI666" s="303"/>
    </row>
    <row r="667">
      <c r="A667" s="304"/>
      <c r="B667" s="299"/>
      <c r="C667" s="292"/>
      <c r="D667" s="293"/>
      <c r="E667" s="292"/>
      <c r="F667" s="293"/>
      <c r="G667" s="294"/>
      <c r="H667" s="295"/>
      <c r="I667" s="303"/>
      <c r="J667" s="303"/>
      <c r="K667" s="297"/>
      <c r="L667" s="303"/>
      <c r="M667" s="303"/>
      <c r="N667" s="297"/>
      <c r="O667" s="292"/>
      <c r="P667" s="303"/>
      <c r="Q667" s="298"/>
      <c r="R667" s="294"/>
      <c r="S667" s="297"/>
      <c r="T667" s="292"/>
      <c r="U667" s="299"/>
      <c r="V667" s="292"/>
      <c r="W667" s="309"/>
      <c r="X667" s="292"/>
      <c r="Y667" s="309"/>
      <c r="Z667" s="292"/>
      <c r="AA667" s="315"/>
      <c r="AB667" s="297"/>
      <c r="AC667" s="292"/>
      <c r="AD667" s="292"/>
      <c r="AE667" s="292"/>
      <c r="AF667" s="303"/>
      <c r="AG667" s="303"/>
      <c r="AH667" s="303"/>
      <c r="AI667" s="303"/>
    </row>
    <row r="668">
      <c r="A668" s="304"/>
      <c r="B668" s="299"/>
      <c r="C668" s="292"/>
      <c r="D668" s="293"/>
      <c r="E668" s="292"/>
      <c r="F668" s="293"/>
      <c r="G668" s="294"/>
      <c r="H668" s="295"/>
      <c r="I668" s="303"/>
      <c r="J668" s="303"/>
      <c r="K668" s="297"/>
      <c r="L668" s="303"/>
      <c r="M668" s="303"/>
      <c r="N668" s="297"/>
      <c r="O668" s="292"/>
      <c r="P668" s="303"/>
      <c r="Q668" s="298"/>
      <c r="R668" s="294"/>
      <c r="S668" s="297"/>
      <c r="T668" s="292"/>
      <c r="U668" s="299"/>
      <c r="V668" s="292"/>
      <c r="W668" s="309"/>
      <c r="X668" s="292"/>
      <c r="Y668" s="309"/>
      <c r="Z668" s="292"/>
      <c r="AA668" s="315"/>
      <c r="AB668" s="297"/>
      <c r="AC668" s="292"/>
      <c r="AD668" s="292"/>
      <c r="AE668" s="292"/>
      <c r="AF668" s="303"/>
      <c r="AG668" s="303"/>
      <c r="AH668" s="303"/>
      <c r="AI668" s="303"/>
    </row>
    <row r="669">
      <c r="A669" s="304"/>
      <c r="B669" s="299"/>
      <c r="C669" s="292"/>
      <c r="D669" s="293"/>
      <c r="E669" s="292"/>
      <c r="F669" s="293"/>
      <c r="G669" s="294"/>
      <c r="H669" s="295"/>
      <c r="I669" s="303"/>
      <c r="J669" s="303"/>
      <c r="K669" s="297"/>
      <c r="L669" s="303"/>
      <c r="M669" s="303"/>
      <c r="N669" s="297"/>
      <c r="O669" s="292"/>
      <c r="P669" s="303"/>
      <c r="Q669" s="298"/>
      <c r="R669" s="294"/>
      <c r="S669" s="297"/>
      <c r="T669" s="292"/>
      <c r="U669" s="299"/>
      <c r="V669" s="292"/>
      <c r="W669" s="309"/>
      <c r="X669" s="292"/>
      <c r="Y669" s="309"/>
      <c r="Z669" s="292"/>
      <c r="AA669" s="315"/>
      <c r="AB669" s="297"/>
      <c r="AC669" s="292"/>
      <c r="AD669" s="292"/>
      <c r="AE669" s="292"/>
      <c r="AF669" s="303"/>
      <c r="AG669" s="303"/>
      <c r="AH669" s="303"/>
      <c r="AI669" s="303"/>
    </row>
    <row r="670">
      <c r="A670" s="304"/>
      <c r="B670" s="299"/>
      <c r="C670" s="292"/>
      <c r="D670" s="293"/>
      <c r="E670" s="292"/>
      <c r="F670" s="293"/>
      <c r="G670" s="294"/>
      <c r="H670" s="295"/>
      <c r="I670" s="303"/>
      <c r="J670" s="303"/>
      <c r="K670" s="297"/>
      <c r="L670" s="303"/>
      <c r="M670" s="303"/>
      <c r="N670" s="297"/>
      <c r="O670" s="292"/>
      <c r="P670" s="303"/>
      <c r="Q670" s="298"/>
      <c r="R670" s="294"/>
      <c r="S670" s="297"/>
      <c r="T670" s="292"/>
      <c r="U670" s="299"/>
      <c r="V670" s="292"/>
      <c r="W670" s="309"/>
      <c r="X670" s="292"/>
      <c r="Y670" s="309"/>
      <c r="Z670" s="292"/>
      <c r="AA670" s="315"/>
      <c r="AB670" s="297"/>
      <c r="AC670" s="292"/>
      <c r="AD670" s="292"/>
      <c r="AE670" s="292"/>
      <c r="AF670" s="303"/>
      <c r="AG670" s="303"/>
      <c r="AH670" s="303"/>
      <c r="AI670" s="303"/>
    </row>
    <row r="671">
      <c r="A671" s="304"/>
      <c r="B671" s="299"/>
      <c r="C671" s="292"/>
      <c r="D671" s="293"/>
      <c r="E671" s="292"/>
      <c r="F671" s="293"/>
      <c r="G671" s="294"/>
      <c r="H671" s="295"/>
      <c r="I671" s="303"/>
      <c r="J671" s="303"/>
      <c r="K671" s="297"/>
      <c r="L671" s="303"/>
      <c r="M671" s="303"/>
      <c r="N671" s="297"/>
      <c r="O671" s="292"/>
      <c r="P671" s="303"/>
      <c r="Q671" s="298"/>
      <c r="R671" s="294"/>
      <c r="S671" s="297"/>
      <c r="T671" s="292"/>
      <c r="U671" s="299"/>
      <c r="V671" s="292"/>
      <c r="W671" s="309"/>
      <c r="X671" s="292"/>
      <c r="Y671" s="309"/>
      <c r="Z671" s="292"/>
      <c r="AA671" s="315"/>
      <c r="AB671" s="297"/>
      <c r="AC671" s="292"/>
      <c r="AD671" s="292"/>
      <c r="AE671" s="292"/>
      <c r="AF671" s="303"/>
      <c r="AG671" s="303"/>
      <c r="AH671" s="303"/>
      <c r="AI671" s="303"/>
    </row>
    <row r="672">
      <c r="A672" s="304"/>
      <c r="B672" s="299"/>
      <c r="C672" s="292"/>
      <c r="D672" s="293"/>
      <c r="E672" s="292"/>
      <c r="F672" s="293"/>
      <c r="G672" s="294"/>
      <c r="H672" s="295"/>
      <c r="I672" s="303"/>
      <c r="J672" s="303"/>
      <c r="K672" s="297"/>
      <c r="L672" s="303"/>
      <c r="M672" s="303"/>
      <c r="N672" s="297"/>
      <c r="O672" s="292"/>
      <c r="P672" s="303"/>
      <c r="Q672" s="298"/>
      <c r="R672" s="294"/>
      <c r="S672" s="297"/>
      <c r="T672" s="292"/>
      <c r="U672" s="299"/>
      <c r="V672" s="292"/>
      <c r="W672" s="309"/>
      <c r="X672" s="292"/>
      <c r="Y672" s="309"/>
      <c r="Z672" s="292"/>
      <c r="AA672" s="315"/>
      <c r="AB672" s="297"/>
      <c r="AC672" s="292"/>
      <c r="AD672" s="292"/>
      <c r="AE672" s="292"/>
      <c r="AF672" s="303"/>
      <c r="AG672" s="303"/>
      <c r="AH672" s="303"/>
      <c r="AI672" s="303"/>
    </row>
    <row r="673">
      <c r="A673" s="304"/>
      <c r="B673" s="299"/>
      <c r="C673" s="292"/>
      <c r="D673" s="293"/>
      <c r="E673" s="292"/>
      <c r="F673" s="293"/>
      <c r="G673" s="294"/>
      <c r="H673" s="295"/>
      <c r="I673" s="303"/>
      <c r="J673" s="303"/>
      <c r="K673" s="297"/>
      <c r="L673" s="303"/>
      <c r="M673" s="303"/>
      <c r="N673" s="297"/>
      <c r="O673" s="292"/>
      <c r="P673" s="303"/>
      <c r="Q673" s="298"/>
      <c r="R673" s="294"/>
      <c r="S673" s="297"/>
      <c r="T673" s="292"/>
      <c r="U673" s="299"/>
      <c r="V673" s="292"/>
      <c r="W673" s="309"/>
      <c r="X673" s="292"/>
      <c r="Y673" s="309"/>
      <c r="Z673" s="292"/>
      <c r="AA673" s="315"/>
      <c r="AB673" s="297"/>
      <c r="AC673" s="292"/>
      <c r="AD673" s="292"/>
      <c r="AE673" s="292"/>
      <c r="AF673" s="303"/>
      <c r="AG673" s="303"/>
      <c r="AH673" s="303"/>
      <c r="AI673" s="303"/>
    </row>
    <row r="674">
      <c r="A674" s="304"/>
      <c r="B674" s="299"/>
      <c r="C674" s="292"/>
      <c r="D674" s="293"/>
      <c r="E674" s="292"/>
      <c r="F674" s="293"/>
      <c r="G674" s="294"/>
      <c r="H674" s="295"/>
      <c r="I674" s="303"/>
      <c r="J674" s="303"/>
      <c r="K674" s="297"/>
      <c r="L674" s="303"/>
      <c r="M674" s="303"/>
      <c r="N674" s="297"/>
      <c r="O674" s="292"/>
      <c r="P674" s="303"/>
      <c r="Q674" s="298"/>
      <c r="R674" s="294"/>
      <c r="S674" s="297"/>
      <c r="T674" s="292"/>
      <c r="U674" s="299"/>
      <c r="V674" s="292"/>
      <c r="W674" s="309"/>
      <c r="X674" s="292"/>
      <c r="Y674" s="309"/>
      <c r="Z674" s="292"/>
      <c r="AA674" s="315"/>
      <c r="AB674" s="297"/>
      <c r="AC674" s="292"/>
      <c r="AD674" s="292"/>
      <c r="AE674" s="292"/>
      <c r="AF674" s="303"/>
      <c r="AG674" s="303"/>
      <c r="AH674" s="303"/>
      <c r="AI674" s="303"/>
    </row>
    <row r="675">
      <c r="A675" s="304"/>
      <c r="B675" s="299"/>
      <c r="C675" s="292"/>
      <c r="D675" s="293"/>
      <c r="E675" s="292"/>
      <c r="F675" s="293"/>
      <c r="G675" s="294"/>
      <c r="H675" s="295"/>
      <c r="I675" s="303"/>
      <c r="J675" s="303"/>
      <c r="K675" s="297"/>
      <c r="L675" s="303"/>
      <c r="M675" s="303"/>
      <c r="N675" s="297"/>
      <c r="O675" s="292"/>
      <c r="P675" s="303"/>
      <c r="Q675" s="298"/>
      <c r="R675" s="294"/>
      <c r="S675" s="297"/>
      <c r="T675" s="292"/>
      <c r="U675" s="299"/>
      <c r="V675" s="292"/>
      <c r="W675" s="309"/>
      <c r="X675" s="292"/>
      <c r="Y675" s="309"/>
      <c r="Z675" s="292"/>
      <c r="AA675" s="315"/>
      <c r="AB675" s="297"/>
      <c r="AC675" s="292"/>
      <c r="AD675" s="292"/>
      <c r="AE675" s="292"/>
      <c r="AF675" s="303"/>
      <c r="AG675" s="303"/>
      <c r="AH675" s="303"/>
      <c r="AI675" s="303"/>
    </row>
    <row r="676">
      <c r="A676" s="304"/>
      <c r="B676" s="299"/>
      <c r="C676" s="292"/>
      <c r="D676" s="293"/>
      <c r="E676" s="292"/>
      <c r="F676" s="293"/>
      <c r="G676" s="294"/>
      <c r="H676" s="295"/>
      <c r="I676" s="303"/>
      <c r="J676" s="303"/>
      <c r="K676" s="297"/>
      <c r="L676" s="303"/>
      <c r="M676" s="303"/>
      <c r="N676" s="297"/>
      <c r="O676" s="292"/>
      <c r="P676" s="303"/>
      <c r="Q676" s="298"/>
      <c r="R676" s="294"/>
      <c r="S676" s="297"/>
      <c r="T676" s="292"/>
      <c r="U676" s="299"/>
      <c r="V676" s="292"/>
      <c r="W676" s="309"/>
      <c r="X676" s="292"/>
      <c r="Y676" s="309"/>
      <c r="Z676" s="292"/>
      <c r="AA676" s="315"/>
      <c r="AB676" s="297"/>
      <c r="AC676" s="292"/>
      <c r="AD676" s="292"/>
      <c r="AE676" s="292"/>
      <c r="AF676" s="303"/>
      <c r="AG676" s="303"/>
      <c r="AH676" s="303"/>
      <c r="AI676" s="303"/>
    </row>
    <row r="677">
      <c r="A677" s="304"/>
      <c r="B677" s="299"/>
      <c r="C677" s="292"/>
      <c r="D677" s="293"/>
      <c r="E677" s="292"/>
      <c r="F677" s="293"/>
      <c r="G677" s="294"/>
      <c r="H677" s="295"/>
      <c r="I677" s="303"/>
      <c r="J677" s="303"/>
      <c r="K677" s="297"/>
      <c r="L677" s="303"/>
      <c r="M677" s="303"/>
      <c r="N677" s="297"/>
      <c r="O677" s="292"/>
      <c r="P677" s="303"/>
      <c r="Q677" s="298"/>
      <c r="R677" s="294"/>
      <c r="S677" s="297"/>
      <c r="T677" s="292"/>
      <c r="U677" s="299"/>
      <c r="V677" s="292"/>
      <c r="W677" s="309"/>
      <c r="X677" s="292"/>
      <c r="Y677" s="309"/>
      <c r="Z677" s="292"/>
      <c r="AA677" s="315"/>
      <c r="AB677" s="297"/>
      <c r="AC677" s="292"/>
      <c r="AD677" s="292"/>
      <c r="AE677" s="292"/>
      <c r="AF677" s="303"/>
      <c r="AG677" s="303"/>
      <c r="AH677" s="303"/>
      <c r="AI677" s="303"/>
    </row>
    <row r="678">
      <c r="A678" s="304"/>
      <c r="B678" s="299"/>
      <c r="C678" s="292"/>
      <c r="D678" s="293"/>
      <c r="E678" s="292"/>
      <c r="F678" s="293"/>
      <c r="G678" s="294"/>
      <c r="H678" s="295"/>
      <c r="I678" s="303"/>
      <c r="J678" s="303"/>
      <c r="K678" s="297"/>
      <c r="L678" s="303"/>
      <c r="M678" s="303"/>
      <c r="N678" s="297"/>
      <c r="O678" s="292"/>
      <c r="P678" s="303"/>
      <c r="Q678" s="298"/>
      <c r="R678" s="294"/>
      <c r="S678" s="297"/>
      <c r="T678" s="292"/>
      <c r="U678" s="299"/>
      <c r="V678" s="292"/>
      <c r="W678" s="309"/>
      <c r="X678" s="292"/>
      <c r="Y678" s="309"/>
      <c r="Z678" s="292"/>
      <c r="AA678" s="315"/>
      <c r="AB678" s="297"/>
      <c r="AC678" s="292"/>
      <c r="AD678" s="292"/>
      <c r="AE678" s="292"/>
      <c r="AF678" s="303"/>
      <c r="AG678" s="303"/>
      <c r="AH678" s="303"/>
      <c r="AI678" s="303"/>
    </row>
    <row r="679">
      <c r="A679" s="304"/>
      <c r="B679" s="299"/>
      <c r="C679" s="292"/>
      <c r="D679" s="293"/>
      <c r="E679" s="292"/>
      <c r="F679" s="293"/>
      <c r="G679" s="294"/>
      <c r="H679" s="295"/>
      <c r="I679" s="303"/>
      <c r="J679" s="303"/>
      <c r="K679" s="297"/>
      <c r="L679" s="303"/>
      <c r="M679" s="303"/>
      <c r="N679" s="297"/>
      <c r="O679" s="292"/>
      <c r="P679" s="303"/>
      <c r="Q679" s="298"/>
      <c r="R679" s="294"/>
      <c r="S679" s="297"/>
      <c r="T679" s="292"/>
      <c r="U679" s="299"/>
      <c r="V679" s="292"/>
      <c r="W679" s="309"/>
      <c r="X679" s="292"/>
      <c r="Y679" s="309"/>
      <c r="Z679" s="292"/>
      <c r="AA679" s="315"/>
      <c r="AB679" s="297"/>
      <c r="AC679" s="292"/>
      <c r="AD679" s="292"/>
      <c r="AE679" s="292"/>
      <c r="AF679" s="303"/>
      <c r="AG679" s="303"/>
      <c r="AH679" s="303"/>
      <c r="AI679" s="303"/>
    </row>
    <row r="680">
      <c r="A680" s="304"/>
      <c r="B680" s="299"/>
      <c r="C680" s="292"/>
      <c r="D680" s="293"/>
      <c r="E680" s="292"/>
      <c r="F680" s="293"/>
      <c r="G680" s="294"/>
      <c r="H680" s="295"/>
      <c r="I680" s="303"/>
      <c r="J680" s="303"/>
      <c r="K680" s="297"/>
      <c r="L680" s="303"/>
      <c r="M680" s="303"/>
      <c r="N680" s="297"/>
      <c r="O680" s="292"/>
      <c r="P680" s="303"/>
      <c r="Q680" s="298"/>
      <c r="R680" s="294"/>
      <c r="S680" s="297"/>
      <c r="T680" s="292"/>
      <c r="U680" s="299"/>
      <c r="V680" s="292"/>
      <c r="W680" s="309"/>
      <c r="X680" s="292"/>
      <c r="Y680" s="309"/>
      <c r="Z680" s="292"/>
      <c r="AA680" s="315"/>
      <c r="AB680" s="297"/>
      <c r="AC680" s="292"/>
      <c r="AD680" s="292"/>
      <c r="AE680" s="292"/>
      <c r="AF680" s="303"/>
      <c r="AG680" s="303"/>
      <c r="AH680" s="303"/>
      <c r="AI680" s="303"/>
    </row>
    <row r="681">
      <c r="A681" s="304"/>
      <c r="B681" s="299"/>
      <c r="C681" s="292"/>
      <c r="D681" s="293"/>
      <c r="E681" s="292"/>
      <c r="F681" s="293"/>
      <c r="G681" s="294"/>
      <c r="H681" s="295"/>
      <c r="I681" s="303"/>
      <c r="J681" s="303"/>
      <c r="K681" s="297"/>
      <c r="L681" s="303"/>
      <c r="M681" s="303"/>
      <c r="N681" s="297"/>
      <c r="O681" s="292"/>
      <c r="P681" s="303"/>
      <c r="Q681" s="298"/>
      <c r="R681" s="294"/>
      <c r="S681" s="297"/>
      <c r="T681" s="292"/>
      <c r="U681" s="299"/>
      <c r="V681" s="292"/>
      <c r="W681" s="309"/>
      <c r="X681" s="292"/>
      <c r="Y681" s="309"/>
      <c r="Z681" s="292"/>
      <c r="AA681" s="315"/>
      <c r="AB681" s="297"/>
      <c r="AC681" s="292"/>
      <c r="AD681" s="292"/>
      <c r="AE681" s="292"/>
      <c r="AF681" s="303"/>
      <c r="AG681" s="303"/>
      <c r="AH681" s="303"/>
      <c r="AI681" s="303"/>
    </row>
    <row r="682">
      <c r="A682" s="304"/>
      <c r="B682" s="299"/>
      <c r="C682" s="292"/>
      <c r="D682" s="293"/>
      <c r="E682" s="292"/>
      <c r="F682" s="293"/>
      <c r="G682" s="294"/>
      <c r="H682" s="295"/>
      <c r="I682" s="303"/>
      <c r="J682" s="303"/>
      <c r="K682" s="297"/>
      <c r="L682" s="303"/>
      <c r="M682" s="303"/>
      <c r="N682" s="297"/>
      <c r="O682" s="292"/>
      <c r="P682" s="303"/>
      <c r="Q682" s="298"/>
      <c r="R682" s="294"/>
      <c r="S682" s="297"/>
      <c r="T682" s="292"/>
      <c r="U682" s="299"/>
      <c r="V682" s="292"/>
      <c r="W682" s="309"/>
      <c r="X682" s="292"/>
      <c r="Y682" s="309"/>
      <c r="Z682" s="292"/>
      <c r="AA682" s="315"/>
      <c r="AB682" s="297"/>
      <c r="AC682" s="292"/>
      <c r="AD682" s="292"/>
      <c r="AE682" s="292"/>
      <c r="AF682" s="303"/>
      <c r="AG682" s="303"/>
      <c r="AH682" s="303"/>
      <c r="AI682" s="303"/>
    </row>
    <row r="683">
      <c r="A683" s="304"/>
      <c r="B683" s="299"/>
      <c r="C683" s="292"/>
      <c r="D683" s="293"/>
      <c r="E683" s="292"/>
      <c r="F683" s="293"/>
      <c r="G683" s="294"/>
      <c r="H683" s="295"/>
      <c r="I683" s="303"/>
      <c r="J683" s="303"/>
      <c r="K683" s="297"/>
      <c r="L683" s="303"/>
      <c r="M683" s="303"/>
      <c r="N683" s="297"/>
      <c r="O683" s="292"/>
      <c r="P683" s="303"/>
      <c r="Q683" s="298"/>
      <c r="R683" s="294"/>
      <c r="S683" s="297"/>
      <c r="T683" s="292"/>
      <c r="U683" s="299"/>
      <c r="V683" s="292"/>
      <c r="W683" s="309"/>
      <c r="X683" s="292"/>
      <c r="Y683" s="309"/>
      <c r="Z683" s="292"/>
      <c r="AA683" s="315"/>
      <c r="AB683" s="297"/>
      <c r="AC683" s="292"/>
      <c r="AD683" s="292"/>
      <c r="AE683" s="292"/>
      <c r="AF683" s="303"/>
      <c r="AG683" s="303"/>
      <c r="AH683" s="303"/>
      <c r="AI683" s="303"/>
    </row>
    <row r="684">
      <c r="A684" s="304"/>
      <c r="B684" s="299"/>
      <c r="C684" s="292"/>
      <c r="D684" s="293"/>
      <c r="E684" s="292"/>
      <c r="F684" s="293"/>
      <c r="G684" s="294"/>
      <c r="H684" s="295"/>
      <c r="I684" s="303"/>
      <c r="J684" s="303"/>
      <c r="K684" s="297"/>
      <c r="L684" s="303"/>
      <c r="M684" s="303"/>
      <c r="N684" s="297"/>
      <c r="O684" s="292"/>
      <c r="P684" s="303"/>
      <c r="Q684" s="298"/>
      <c r="R684" s="294"/>
      <c r="S684" s="297"/>
      <c r="T684" s="292"/>
      <c r="U684" s="299"/>
      <c r="V684" s="292"/>
      <c r="W684" s="309"/>
      <c r="X684" s="292"/>
      <c r="Y684" s="309"/>
      <c r="Z684" s="292"/>
      <c r="AA684" s="315"/>
      <c r="AB684" s="297"/>
      <c r="AC684" s="292"/>
      <c r="AD684" s="292"/>
      <c r="AE684" s="292"/>
      <c r="AF684" s="303"/>
      <c r="AG684" s="303"/>
      <c r="AH684" s="303"/>
      <c r="AI684" s="303"/>
    </row>
    <row r="685">
      <c r="A685" s="304"/>
      <c r="B685" s="299"/>
      <c r="C685" s="292"/>
      <c r="D685" s="293"/>
      <c r="E685" s="292"/>
      <c r="F685" s="293"/>
      <c r="G685" s="294"/>
      <c r="H685" s="295"/>
      <c r="I685" s="303"/>
      <c r="J685" s="303"/>
      <c r="K685" s="297"/>
      <c r="L685" s="303"/>
      <c r="M685" s="303"/>
      <c r="N685" s="297"/>
      <c r="O685" s="292"/>
      <c r="P685" s="303"/>
      <c r="Q685" s="298"/>
      <c r="R685" s="294"/>
      <c r="S685" s="297"/>
      <c r="T685" s="292"/>
      <c r="U685" s="299"/>
      <c r="V685" s="292"/>
      <c r="W685" s="309"/>
      <c r="X685" s="292"/>
      <c r="Y685" s="309"/>
      <c r="Z685" s="292"/>
      <c r="AA685" s="315"/>
      <c r="AB685" s="297"/>
      <c r="AC685" s="292"/>
      <c r="AD685" s="292"/>
      <c r="AE685" s="292"/>
      <c r="AF685" s="303"/>
      <c r="AG685" s="303"/>
      <c r="AH685" s="303"/>
      <c r="AI685" s="303"/>
    </row>
    <row r="686">
      <c r="A686" s="304"/>
      <c r="B686" s="299"/>
      <c r="C686" s="292"/>
      <c r="D686" s="293"/>
      <c r="E686" s="292"/>
      <c r="F686" s="293"/>
      <c r="G686" s="294"/>
      <c r="H686" s="295"/>
      <c r="I686" s="303"/>
      <c r="J686" s="303"/>
      <c r="K686" s="297"/>
      <c r="L686" s="303"/>
      <c r="M686" s="303"/>
      <c r="N686" s="297"/>
      <c r="O686" s="292"/>
      <c r="P686" s="303"/>
      <c r="Q686" s="298"/>
      <c r="R686" s="294"/>
      <c r="S686" s="297"/>
      <c r="T686" s="292"/>
      <c r="U686" s="299"/>
      <c r="V686" s="292"/>
      <c r="W686" s="309"/>
      <c r="X686" s="292"/>
      <c r="Y686" s="309"/>
      <c r="Z686" s="292"/>
      <c r="AA686" s="315"/>
      <c r="AB686" s="297"/>
      <c r="AC686" s="292"/>
      <c r="AD686" s="292"/>
      <c r="AE686" s="292"/>
      <c r="AF686" s="303"/>
      <c r="AG686" s="303"/>
      <c r="AH686" s="303"/>
      <c r="AI686" s="303"/>
    </row>
    <row r="687">
      <c r="A687" s="304"/>
      <c r="B687" s="299"/>
      <c r="C687" s="292"/>
      <c r="D687" s="293"/>
      <c r="E687" s="292"/>
      <c r="F687" s="293"/>
      <c r="G687" s="294"/>
      <c r="H687" s="295"/>
      <c r="I687" s="303"/>
      <c r="J687" s="303"/>
      <c r="K687" s="297"/>
      <c r="L687" s="303"/>
      <c r="M687" s="303"/>
      <c r="N687" s="297"/>
      <c r="O687" s="292"/>
      <c r="P687" s="303"/>
      <c r="Q687" s="298"/>
      <c r="R687" s="294"/>
      <c r="S687" s="297"/>
      <c r="T687" s="292"/>
      <c r="U687" s="299"/>
      <c r="V687" s="292"/>
      <c r="W687" s="309"/>
      <c r="X687" s="292"/>
      <c r="Y687" s="309"/>
      <c r="Z687" s="292"/>
      <c r="AA687" s="315"/>
      <c r="AB687" s="297"/>
      <c r="AC687" s="292"/>
      <c r="AD687" s="292"/>
      <c r="AE687" s="292"/>
      <c r="AF687" s="303"/>
      <c r="AG687" s="303"/>
      <c r="AH687" s="303"/>
      <c r="AI687" s="303"/>
    </row>
    <row r="688">
      <c r="A688" s="304"/>
      <c r="B688" s="299"/>
      <c r="C688" s="292"/>
      <c r="D688" s="293"/>
      <c r="E688" s="292"/>
      <c r="F688" s="293"/>
      <c r="G688" s="294"/>
      <c r="H688" s="295"/>
      <c r="I688" s="303"/>
      <c r="J688" s="303"/>
      <c r="K688" s="297"/>
      <c r="L688" s="303"/>
      <c r="M688" s="303"/>
      <c r="N688" s="297"/>
      <c r="O688" s="292"/>
      <c r="P688" s="303"/>
      <c r="Q688" s="298"/>
      <c r="R688" s="294"/>
      <c r="S688" s="297"/>
      <c r="T688" s="292"/>
      <c r="U688" s="299"/>
      <c r="V688" s="292"/>
      <c r="W688" s="309"/>
      <c r="X688" s="292"/>
      <c r="Y688" s="309"/>
      <c r="Z688" s="292"/>
      <c r="AA688" s="315"/>
      <c r="AB688" s="297"/>
      <c r="AC688" s="292"/>
      <c r="AD688" s="292"/>
      <c r="AE688" s="292"/>
      <c r="AF688" s="303"/>
      <c r="AG688" s="303"/>
      <c r="AH688" s="303"/>
      <c r="AI688" s="303"/>
    </row>
    <row r="689">
      <c r="A689" s="304"/>
      <c r="B689" s="299"/>
      <c r="C689" s="292"/>
      <c r="D689" s="293"/>
      <c r="E689" s="292"/>
      <c r="F689" s="293"/>
      <c r="G689" s="294"/>
      <c r="H689" s="295"/>
      <c r="I689" s="303"/>
      <c r="J689" s="303"/>
      <c r="K689" s="297"/>
      <c r="L689" s="303"/>
      <c r="M689" s="303"/>
      <c r="N689" s="297"/>
      <c r="O689" s="292"/>
      <c r="P689" s="303"/>
      <c r="Q689" s="298"/>
      <c r="R689" s="294"/>
      <c r="S689" s="297"/>
      <c r="T689" s="292"/>
      <c r="U689" s="299"/>
      <c r="V689" s="292"/>
      <c r="W689" s="309"/>
      <c r="X689" s="292"/>
      <c r="Y689" s="309"/>
      <c r="Z689" s="292"/>
      <c r="AA689" s="315"/>
      <c r="AB689" s="297"/>
      <c r="AC689" s="292"/>
      <c r="AD689" s="292"/>
      <c r="AE689" s="292"/>
      <c r="AF689" s="303"/>
      <c r="AG689" s="303"/>
      <c r="AH689" s="303"/>
      <c r="AI689" s="303"/>
    </row>
    <row r="690">
      <c r="A690" s="304"/>
      <c r="B690" s="299"/>
      <c r="C690" s="292"/>
      <c r="D690" s="293"/>
      <c r="E690" s="292"/>
      <c r="F690" s="293"/>
      <c r="G690" s="294"/>
      <c r="H690" s="295"/>
      <c r="I690" s="303"/>
      <c r="J690" s="303"/>
      <c r="K690" s="297"/>
      <c r="L690" s="303"/>
      <c r="M690" s="303"/>
      <c r="N690" s="297"/>
      <c r="O690" s="292"/>
      <c r="P690" s="303"/>
      <c r="Q690" s="298"/>
      <c r="R690" s="294"/>
      <c r="S690" s="297"/>
      <c r="T690" s="292"/>
      <c r="U690" s="299"/>
      <c r="V690" s="292"/>
      <c r="W690" s="309"/>
      <c r="X690" s="292"/>
      <c r="Y690" s="309"/>
      <c r="Z690" s="292"/>
      <c r="AA690" s="315"/>
      <c r="AB690" s="297"/>
      <c r="AC690" s="292"/>
      <c r="AD690" s="292"/>
      <c r="AE690" s="292"/>
      <c r="AF690" s="303"/>
      <c r="AG690" s="303"/>
      <c r="AH690" s="303"/>
      <c r="AI690" s="303"/>
    </row>
    <row r="691">
      <c r="A691" s="304"/>
      <c r="B691" s="299"/>
      <c r="C691" s="292"/>
      <c r="D691" s="293"/>
      <c r="E691" s="292"/>
      <c r="F691" s="293"/>
      <c r="G691" s="294"/>
      <c r="H691" s="295"/>
      <c r="I691" s="303"/>
      <c r="J691" s="303"/>
      <c r="K691" s="297"/>
      <c r="L691" s="303"/>
      <c r="M691" s="303"/>
      <c r="N691" s="297"/>
      <c r="O691" s="292"/>
      <c r="P691" s="303"/>
      <c r="Q691" s="298"/>
      <c r="R691" s="294"/>
      <c r="S691" s="297"/>
      <c r="T691" s="292"/>
      <c r="U691" s="299"/>
      <c r="V691" s="292"/>
      <c r="W691" s="309"/>
      <c r="X691" s="292"/>
      <c r="Y691" s="309"/>
      <c r="Z691" s="292"/>
      <c r="AA691" s="315"/>
      <c r="AB691" s="297"/>
      <c r="AC691" s="292"/>
      <c r="AD691" s="292"/>
      <c r="AE691" s="292"/>
      <c r="AF691" s="303"/>
      <c r="AG691" s="303"/>
      <c r="AH691" s="303"/>
      <c r="AI691" s="303"/>
    </row>
    <row r="692">
      <c r="A692" s="304"/>
      <c r="B692" s="299"/>
      <c r="C692" s="292"/>
      <c r="D692" s="293"/>
      <c r="E692" s="292"/>
      <c r="F692" s="293"/>
      <c r="G692" s="294"/>
      <c r="H692" s="295"/>
      <c r="I692" s="303"/>
      <c r="J692" s="303"/>
      <c r="K692" s="297"/>
      <c r="L692" s="303"/>
      <c r="M692" s="303"/>
      <c r="N692" s="297"/>
      <c r="O692" s="292"/>
      <c r="P692" s="303"/>
      <c r="Q692" s="298"/>
      <c r="R692" s="294"/>
      <c r="S692" s="297"/>
      <c r="T692" s="292"/>
      <c r="U692" s="299"/>
      <c r="V692" s="292"/>
      <c r="W692" s="309"/>
      <c r="X692" s="292"/>
      <c r="Y692" s="309"/>
      <c r="Z692" s="292"/>
      <c r="AA692" s="315"/>
      <c r="AB692" s="297"/>
      <c r="AC692" s="292"/>
      <c r="AD692" s="292"/>
      <c r="AE692" s="292"/>
      <c r="AF692" s="303"/>
      <c r="AG692" s="303"/>
      <c r="AH692" s="303"/>
      <c r="AI692" s="303"/>
    </row>
    <row r="693">
      <c r="A693" s="304"/>
      <c r="B693" s="299"/>
      <c r="C693" s="292"/>
      <c r="D693" s="293"/>
      <c r="E693" s="292"/>
      <c r="F693" s="293"/>
      <c r="G693" s="294"/>
      <c r="H693" s="295"/>
      <c r="I693" s="303"/>
      <c r="J693" s="303"/>
      <c r="K693" s="297"/>
      <c r="L693" s="303"/>
      <c r="M693" s="303"/>
      <c r="N693" s="297"/>
      <c r="O693" s="292"/>
      <c r="P693" s="303"/>
      <c r="Q693" s="298"/>
      <c r="R693" s="294"/>
      <c r="S693" s="297"/>
      <c r="T693" s="292"/>
      <c r="U693" s="299"/>
      <c r="V693" s="292"/>
      <c r="W693" s="309"/>
      <c r="X693" s="292"/>
      <c r="Y693" s="309"/>
      <c r="Z693" s="292"/>
      <c r="AA693" s="315"/>
      <c r="AB693" s="297"/>
      <c r="AC693" s="292"/>
      <c r="AD693" s="292"/>
      <c r="AE693" s="292"/>
      <c r="AF693" s="303"/>
      <c r="AG693" s="303"/>
      <c r="AH693" s="303"/>
      <c r="AI693" s="303"/>
    </row>
    <row r="694">
      <c r="A694" s="304"/>
      <c r="B694" s="299"/>
      <c r="C694" s="292"/>
      <c r="D694" s="293"/>
      <c r="E694" s="292"/>
      <c r="F694" s="293"/>
      <c r="G694" s="294"/>
      <c r="H694" s="295"/>
      <c r="I694" s="303"/>
      <c r="J694" s="303"/>
      <c r="K694" s="297"/>
      <c r="L694" s="303"/>
      <c r="M694" s="303"/>
      <c r="N694" s="297"/>
      <c r="O694" s="292"/>
      <c r="P694" s="303"/>
      <c r="Q694" s="298"/>
      <c r="R694" s="294"/>
      <c r="S694" s="297"/>
      <c r="T694" s="292"/>
      <c r="U694" s="299"/>
      <c r="V694" s="292"/>
      <c r="W694" s="309"/>
      <c r="X694" s="292"/>
      <c r="Y694" s="309"/>
      <c r="Z694" s="292"/>
      <c r="AA694" s="315"/>
      <c r="AB694" s="297"/>
      <c r="AC694" s="292"/>
      <c r="AD694" s="292"/>
      <c r="AE694" s="292"/>
      <c r="AF694" s="303"/>
      <c r="AG694" s="303"/>
      <c r="AH694" s="303"/>
      <c r="AI694" s="303"/>
    </row>
    <row r="695">
      <c r="A695" s="304"/>
      <c r="B695" s="299"/>
      <c r="C695" s="292"/>
      <c r="D695" s="293"/>
      <c r="E695" s="292"/>
      <c r="F695" s="293"/>
      <c r="G695" s="294"/>
      <c r="H695" s="295"/>
      <c r="I695" s="303"/>
      <c r="J695" s="303"/>
      <c r="K695" s="297"/>
      <c r="L695" s="303"/>
      <c r="M695" s="303"/>
      <c r="N695" s="297"/>
      <c r="O695" s="292"/>
      <c r="P695" s="303"/>
      <c r="Q695" s="298"/>
      <c r="R695" s="294"/>
      <c r="S695" s="297"/>
      <c r="T695" s="292"/>
      <c r="U695" s="299"/>
      <c r="V695" s="292"/>
      <c r="W695" s="309"/>
      <c r="X695" s="292"/>
      <c r="Y695" s="309"/>
      <c r="Z695" s="292"/>
      <c r="AA695" s="315"/>
      <c r="AB695" s="297"/>
      <c r="AC695" s="292"/>
      <c r="AD695" s="292"/>
      <c r="AE695" s="292"/>
      <c r="AF695" s="303"/>
      <c r="AG695" s="303"/>
      <c r="AH695" s="303"/>
      <c r="AI695" s="303"/>
    </row>
    <row r="696">
      <c r="A696" s="304"/>
      <c r="B696" s="299"/>
      <c r="C696" s="292"/>
      <c r="D696" s="293"/>
      <c r="E696" s="292"/>
      <c r="F696" s="293"/>
      <c r="G696" s="294"/>
      <c r="H696" s="295"/>
      <c r="I696" s="303"/>
      <c r="J696" s="303"/>
      <c r="K696" s="297"/>
      <c r="L696" s="303"/>
      <c r="M696" s="303"/>
      <c r="N696" s="297"/>
      <c r="O696" s="292"/>
      <c r="P696" s="303"/>
      <c r="Q696" s="298"/>
      <c r="R696" s="294"/>
      <c r="S696" s="297"/>
      <c r="T696" s="292"/>
      <c r="U696" s="299"/>
      <c r="V696" s="292"/>
      <c r="W696" s="309"/>
      <c r="X696" s="292"/>
      <c r="Y696" s="309"/>
      <c r="Z696" s="292"/>
      <c r="AA696" s="315"/>
      <c r="AB696" s="297"/>
      <c r="AC696" s="292"/>
      <c r="AD696" s="292"/>
      <c r="AE696" s="292"/>
      <c r="AF696" s="303"/>
      <c r="AG696" s="303"/>
      <c r="AH696" s="303"/>
      <c r="AI696" s="303"/>
    </row>
    <row r="697">
      <c r="A697" s="304"/>
      <c r="B697" s="299"/>
      <c r="C697" s="292"/>
      <c r="D697" s="293"/>
      <c r="E697" s="292"/>
      <c r="F697" s="293"/>
      <c r="G697" s="294"/>
      <c r="H697" s="295"/>
      <c r="I697" s="303"/>
      <c r="J697" s="303"/>
      <c r="K697" s="297"/>
      <c r="L697" s="303"/>
      <c r="M697" s="303"/>
      <c r="N697" s="297"/>
      <c r="O697" s="292"/>
      <c r="P697" s="303"/>
      <c r="Q697" s="298"/>
      <c r="R697" s="294"/>
      <c r="S697" s="297"/>
      <c r="T697" s="292"/>
      <c r="U697" s="299"/>
      <c r="V697" s="292"/>
      <c r="W697" s="309"/>
      <c r="X697" s="292"/>
      <c r="Y697" s="309"/>
      <c r="Z697" s="292"/>
      <c r="AA697" s="315"/>
      <c r="AB697" s="297"/>
      <c r="AC697" s="292"/>
      <c r="AD697" s="292"/>
      <c r="AE697" s="292"/>
      <c r="AF697" s="303"/>
      <c r="AG697" s="303"/>
      <c r="AH697" s="303"/>
      <c r="AI697" s="303"/>
    </row>
    <row r="698">
      <c r="A698" s="304"/>
      <c r="B698" s="299"/>
      <c r="C698" s="292"/>
      <c r="D698" s="293"/>
      <c r="E698" s="292"/>
      <c r="F698" s="293"/>
      <c r="G698" s="294"/>
      <c r="H698" s="295"/>
      <c r="I698" s="303"/>
      <c r="J698" s="303"/>
      <c r="K698" s="297"/>
      <c r="L698" s="303"/>
      <c r="M698" s="303"/>
      <c r="N698" s="297"/>
      <c r="O698" s="292"/>
      <c r="P698" s="303"/>
      <c r="Q698" s="298"/>
      <c r="R698" s="294"/>
      <c r="S698" s="297"/>
      <c r="T698" s="292"/>
      <c r="U698" s="299"/>
      <c r="V698" s="292"/>
      <c r="W698" s="309"/>
      <c r="X698" s="292"/>
      <c r="Y698" s="309"/>
      <c r="Z698" s="292"/>
      <c r="AA698" s="315"/>
      <c r="AB698" s="297"/>
      <c r="AC698" s="292"/>
      <c r="AD698" s="292"/>
      <c r="AE698" s="292"/>
      <c r="AF698" s="303"/>
      <c r="AG698" s="303"/>
      <c r="AH698" s="303"/>
      <c r="AI698" s="303"/>
    </row>
    <row r="699">
      <c r="A699" s="304"/>
      <c r="B699" s="299"/>
      <c r="C699" s="292"/>
      <c r="D699" s="293"/>
      <c r="E699" s="292"/>
      <c r="F699" s="293"/>
      <c r="G699" s="294"/>
      <c r="H699" s="295"/>
      <c r="I699" s="303"/>
      <c r="J699" s="303"/>
      <c r="K699" s="297"/>
      <c r="L699" s="303"/>
      <c r="M699" s="303"/>
      <c r="N699" s="297"/>
      <c r="O699" s="292"/>
      <c r="P699" s="303"/>
      <c r="Q699" s="298"/>
      <c r="R699" s="294"/>
      <c r="S699" s="297"/>
      <c r="T699" s="292"/>
      <c r="U699" s="299"/>
      <c r="V699" s="292"/>
      <c r="W699" s="309"/>
      <c r="X699" s="292"/>
      <c r="Y699" s="309"/>
      <c r="Z699" s="292"/>
      <c r="AA699" s="315"/>
      <c r="AB699" s="297"/>
      <c r="AC699" s="292"/>
      <c r="AD699" s="292"/>
      <c r="AE699" s="292"/>
      <c r="AF699" s="303"/>
      <c r="AG699" s="303"/>
      <c r="AH699" s="303"/>
      <c r="AI699" s="303"/>
    </row>
    <row r="700">
      <c r="A700" s="304"/>
      <c r="B700" s="299"/>
      <c r="C700" s="292"/>
      <c r="D700" s="293"/>
      <c r="E700" s="292"/>
      <c r="F700" s="293"/>
      <c r="G700" s="294"/>
      <c r="H700" s="295"/>
      <c r="I700" s="303"/>
      <c r="J700" s="303"/>
      <c r="K700" s="297"/>
      <c r="L700" s="303"/>
      <c r="M700" s="303"/>
      <c r="N700" s="297"/>
      <c r="O700" s="292"/>
      <c r="P700" s="303"/>
      <c r="Q700" s="298"/>
      <c r="R700" s="294"/>
      <c r="S700" s="297"/>
      <c r="T700" s="292"/>
      <c r="U700" s="299"/>
      <c r="V700" s="292"/>
      <c r="W700" s="309"/>
      <c r="X700" s="292"/>
      <c r="Y700" s="309"/>
      <c r="Z700" s="292"/>
      <c r="AA700" s="315"/>
      <c r="AB700" s="297"/>
      <c r="AC700" s="292"/>
      <c r="AD700" s="292"/>
      <c r="AE700" s="292"/>
      <c r="AF700" s="303"/>
      <c r="AG700" s="303"/>
      <c r="AH700" s="303"/>
      <c r="AI700" s="303"/>
    </row>
    <row r="701">
      <c r="A701" s="304"/>
      <c r="B701" s="299"/>
      <c r="C701" s="292"/>
      <c r="D701" s="293"/>
      <c r="E701" s="292"/>
      <c r="F701" s="293"/>
      <c r="G701" s="294"/>
      <c r="H701" s="295"/>
      <c r="I701" s="303"/>
      <c r="J701" s="303"/>
      <c r="K701" s="297"/>
      <c r="L701" s="303"/>
      <c r="M701" s="303"/>
      <c r="N701" s="297"/>
      <c r="O701" s="292"/>
      <c r="P701" s="303"/>
      <c r="Q701" s="298"/>
      <c r="R701" s="294"/>
      <c r="S701" s="297"/>
      <c r="T701" s="292"/>
      <c r="U701" s="299"/>
      <c r="V701" s="292"/>
      <c r="W701" s="309"/>
      <c r="X701" s="292"/>
      <c r="Y701" s="309"/>
      <c r="Z701" s="292"/>
      <c r="AA701" s="315"/>
      <c r="AB701" s="297"/>
      <c r="AC701" s="292"/>
      <c r="AD701" s="292"/>
      <c r="AE701" s="292"/>
      <c r="AF701" s="303"/>
      <c r="AG701" s="303"/>
      <c r="AH701" s="303"/>
      <c r="AI701" s="303"/>
    </row>
    <row r="702">
      <c r="A702" s="304"/>
      <c r="B702" s="299"/>
      <c r="C702" s="292"/>
      <c r="D702" s="293"/>
      <c r="E702" s="292"/>
      <c r="F702" s="293"/>
      <c r="G702" s="294"/>
      <c r="H702" s="295"/>
      <c r="I702" s="303"/>
      <c r="J702" s="303"/>
      <c r="K702" s="297"/>
      <c r="L702" s="303"/>
      <c r="M702" s="303"/>
      <c r="N702" s="297"/>
      <c r="O702" s="292"/>
      <c r="P702" s="303"/>
      <c r="Q702" s="298"/>
      <c r="R702" s="294"/>
      <c r="S702" s="297"/>
      <c r="T702" s="292"/>
      <c r="U702" s="299"/>
      <c r="V702" s="292"/>
      <c r="W702" s="309"/>
      <c r="X702" s="292"/>
      <c r="Y702" s="309"/>
      <c r="Z702" s="292"/>
      <c r="AA702" s="315"/>
      <c r="AB702" s="297"/>
      <c r="AC702" s="292"/>
      <c r="AD702" s="292"/>
      <c r="AE702" s="292"/>
      <c r="AF702" s="303"/>
      <c r="AG702" s="303"/>
      <c r="AH702" s="303"/>
      <c r="AI702" s="303"/>
    </row>
    <row r="703">
      <c r="A703" s="304"/>
      <c r="B703" s="299"/>
      <c r="C703" s="292"/>
      <c r="D703" s="293"/>
      <c r="E703" s="292"/>
      <c r="F703" s="293"/>
      <c r="G703" s="294"/>
      <c r="H703" s="295"/>
      <c r="I703" s="303"/>
      <c r="J703" s="303"/>
      <c r="K703" s="297"/>
      <c r="L703" s="303"/>
      <c r="M703" s="303"/>
      <c r="N703" s="297"/>
      <c r="O703" s="292"/>
      <c r="P703" s="303"/>
      <c r="Q703" s="298"/>
      <c r="R703" s="294"/>
      <c r="S703" s="297"/>
      <c r="T703" s="292"/>
      <c r="U703" s="299"/>
      <c r="V703" s="292"/>
      <c r="W703" s="309"/>
      <c r="X703" s="292"/>
      <c r="Y703" s="309"/>
      <c r="Z703" s="292"/>
      <c r="AA703" s="315"/>
      <c r="AB703" s="297"/>
      <c r="AC703" s="292"/>
      <c r="AD703" s="292"/>
      <c r="AE703" s="292"/>
      <c r="AF703" s="303"/>
      <c r="AG703" s="303"/>
      <c r="AH703" s="303"/>
      <c r="AI703" s="303"/>
    </row>
    <row r="704">
      <c r="A704" s="304"/>
      <c r="B704" s="299"/>
      <c r="C704" s="292"/>
      <c r="D704" s="293"/>
      <c r="E704" s="292"/>
      <c r="F704" s="293"/>
      <c r="G704" s="294"/>
      <c r="H704" s="295"/>
      <c r="I704" s="303"/>
      <c r="J704" s="303"/>
      <c r="K704" s="297"/>
      <c r="L704" s="303"/>
      <c r="M704" s="303"/>
      <c r="N704" s="297"/>
      <c r="O704" s="292"/>
      <c r="P704" s="303"/>
      <c r="Q704" s="298"/>
      <c r="R704" s="294"/>
      <c r="S704" s="297"/>
      <c r="T704" s="292"/>
      <c r="U704" s="299"/>
      <c r="V704" s="292"/>
      <c r="W704" s="309"/>
      <c r="X704" s="292"/>
      <c r="Y704" s="309"/>
      <c r="Z704" s="292"/>
      <c r="AA704" s="315"/>
      <c r="AB704" s="297"/>
      <c r="AC704" s="292"/>
      <c r="AD704" s="292"/>
      <c r="AE704" s="292"/>
      <c r="AF704" s="303"/>
      <c r="AG704" s="303"/>
      <c r="AH704" s="303"/>
      <c r="AI704" s="303"/>
    </row>
    <row r="705">
      <c r="A705" s="304"/>
      <c r="B705" s="299"/>
      <c r="C705" s="292"/>
      <c r="D705" s="293"/>
      <c r="E705" s="292"/>
      <c r="F705" s="293"/>
      <c r="G705" s="294"/>
      <c r="H705" s="295"/>
      <c r="I705" s="303"/>
      <c r="J705" s="303"/>
      <c r="K705" s="297"/>
      <c r="L705" s="303"/>
      <c r="M705" s="303"/>
      <c r="N705" s="297"/>
      <c r="O705" s="292"/>
      <c r="P705" s="303"/>
      <c r="Q705" s="298"/>
      <c r="R705" s="294"/>
      <c r="S705" s="297"/>
      <c r="T705" s="292"/>
      <c r="U705" s="299"/>
      <c r="V705" s="292"/>
      <c r="W705" s="309"/>
      <c r="X705" s="292"/>
      <c r="Y705" s="309"/>
      <c r="Z705" s="292"/>
      <c r="AA705" s="315"/>
      <c r="AB705" s="297"/>
      <c r="AC705" s="292"/>
      <c r="AD705" s="292"/>
      <c r="AE705" s="292"/>
      <c r="AF705" s="303"/>
      <c r="AG705" s="303"/>
      <c r="AH705" s="303"/>
      <c r="AI705" s="303"/>
    </row>
    <row r="706">
      <c r="A706" s="304"/>
      <c r="B706" s="299"/>
      <c r="C706" s="292"/>
      <c r="D706" s="293"/>
      <c r="E706" s="292"/>
      <c r="F706" s="293"/>
      <c r="G706" s="294"/>
      <c r="H706" s="295"/>
      <c r="I706" s="303"/>
      <c r="J706" s="303"/>
      <c r="K706" s="297"/>
      <c r="L706" s="303"/>
      <c r="M706" s="303"/>
      <c r="N706" s="297"/>
      <c r="O706" s="292"/>
      <c r="P706" s="303"/>
      <c r="Q706" s="298"/>
      <c r="R706" s="294"/>
      <c r="S706" s="297"/>
      <c r="T706" s="292"/>
      <c r="U706" s="299"/>
      <c r="V706" s="292"/>
      <c r="W706" s="309"/>
      <c r="X706" s="292"/>
      <c r="Y706" s="309"/>
      <c r="Z706" s="292"/>
      <c r="AA706" s="315"/>
      <c r="AB706" s="297"/>
      <c r="AC706" s="292"/>
      <c r="AD706" s="292"/>
      <c r="AE706" s="292"/>
      <c r="AF706" s="303"/>
      <c r="AG706" s="303"/>
      <c r="AH706" s="303"/>
      <c r="AI706" s="303"/>
    </row>
    <row r="707">
      <c r="A707" s="304"/>
      <c r="B707" s="299"/>
      <c r="C707" s="292"/>
      <c r="D707" s="293"/>
      <c r="E707" s="292"/>
      <c r="F707" s="293"/>
      <c r="G707" s="294"/>
      <c r="H707" s="295"/>
      <c r="I707" s="303"/>
      <c r="J707" s="303"/>
      <c r="K707" s="297"/>
      <c r="L707" s="303"/>
      <c r="M707" s="303"/>
      <c r="N707" s="297"/>
      <c r="O707" s="292"/>
      <c r="P707" s="303"/>
      <c r="Q707" s="298"/>
      <c r="R707" s="294"/>
      <c r="S707" s="297"/>
      <c r="T707" s="292"/>
      <c r="U707" s="299"/>
      <c r="V707" s="292"/>
      <c r="W707" s="309"/>
      <c r="X707" s="292"/>
      <c r="Y707" s="309"/>
      <c r="Z707" s="292"/>
      <c r="AA707" s="315"/>
      <c r="AB707" s="297"/>
      <c r="AC707" s="292"/>
      <c r="AD707" s="292"/>
      <c r="AE707" s="292"/>
      <c r="AF707" s="303"/>
      <c r="AG707" s="303"/>
      <c r="AH707" s="303"/>
      <c r="AI707" s="303"/>
    </row>
    <row r="708">
      <c r="A708" s="304"/>
      <c r="B708" s="299"/>
      <c r="C708" s="292"/>
      <c r="D708" s="293"/>
      <c r="E708" s="292"/>
      <c r="F708" s="293"/>
      <c r="G708" s="294"/>
      <c r="H708" s="295"/>
      <c r="I708" s="303"/>
      <c r="J708" s="303"/>
      <c r="K708" s="297"/>
      <c r="L708" s="303"/>
      <c r="M708" s="303"/>
      <c r="N708" s="297"/>
      <c r="O708" s="292"/>
      <c r="P708" s="303"/>
      <c r="Q708" s="298"/>
      <c r="R708" s="294"/>
      <c r="S708" s="297"/>
      <c r="T708" s="292"/>
      <c r="U708" s="299"/>
      <c r="V708" s="292"/>
      <c r="W708" s="309"/>
      <c r="X708" s="292"/>
      <c r="Y708" s="309"/>
      <c r="Z708" s="292"/>
      <c r="AA708" s="315"/>
      <c r="AB708" s="297"/>
      <c r="AC708" s="292"/>
      <c r="AD708" s="292"/>
      <c r="AE708" s="292"/>
      <c r="AF708" s="303"/>
      <c r="AG708" s="303"/>
      <c r="AH708" s="303"/>
      <c r="AI708" s="303"/>
    </row>
    <row r="709">
      <c r="A709" s="304"/>
      <c r="B709" s="299"/>
      <c r="C709" s="292"/>
      <c r="D709" s="293"/>
      <c r="E709" s="292"/>
      <c r="F709" s="293"/>
      <c r="G709" s="294"/>
      <c r="H709" s="295"/>
      <c r="I709" s="303"/>
      <c r="J709" s="303"/>
      <c r="K709" s="297"/>
      <c r="L709" s="303"/>
      <c r="M709" s="303"/>
      <c r="N709" s="297"/>
      <c r="O709" s="292"/>
      <c r="P709" s="303"/>
      <c r="Q709" s="298"/>
      <c r="R709" s="294"/>
      <c r="S709" s="297"/>
      <c r="T709" s="292"/>
      <c r="U709" s="299"/>
      <c r="V709" s="292"/>
      <c r="W709" s="309"/>
      <c r="X709" s="292"/>
      <c r="Y709" s="309"/>
      <c r="Z709" s="292"/>
      <c r="AA709" s="315"/>
      <c r="AB709" s="297"/>
      <c r="AC709" s="292"/>
      <c r="AD709" s="292"/>
      <c r="AE709" s="292"/>
      <c r="AF709" s="303"/>
      <c r="AG709" s="303"/>
      <c r="AH709" s="303"/>
      <c r="AI709" s="303"/>
    </row>
    <row r="710">
      <c r="A710" s="304"/>
      <c r="B710" s="299"/>
      <c r="C710" s="292"/>
      <c r="D710" s="293"/>
      <c r="E710" s="292"/>
      <c r="F710" s="293"/>
      <c r="G710" s="294"/>
      <c r="H710" s="295"/>
      <c r="I710" s="303"/>
      <c r="J710" s="303"/>
      <c r="K710" s="297"/>
      <c r="L710" s="303"/>
      <c r="M710" s="303"/>
      <c r="N710" s="297"/>
      <c r="O710" s="292"/>
      <c r="P710" s="303"/>
      <c r="Q710" s="298"/>
      <c r="R710" s="294"/>
      <c r="S710" s="297"/>
      <c r="T710" s="292"/>
      <c r="U710" s="299"/>
      <c r="V710" s="292"/>
      <c r="W710" s="309"/>
      <c r="X710" s="292"/>
      <c r="Y710" s="309"/>
      <c r="Z710" s="292"/>
      <c r="AA710" s="315"/>
      <c r="AB710" s="297"/>
      <c r="AC710" s="292"/>
      <c r="AD710" s="292"/>
      <c r="AE710" s="292"/>
      <c r="AF710" s="303"/>
      <c r="AG710" s="303"/>
      <c r="AH710" s="303"/>
      <c r="AI710" s="303"/>
    </row>
    <row r="711">
      <c r="A711" s="304"/>
      <c r="B711" s="299"/>
      <c r="C711" s="292"/>
      <c r="D711" s="293"/>
      <c r="E711" s="292"/>
      <c r="F711" s="293"/>
      <c r="G711" s="294"/>
      <c r="H711" s="295"/>
      <c r="I711" s="303"/>
      <c r="J711" s="303"/>
      <c r="K711" s="297"/>
      <c r="L711" s="303"/>
      <c r="M711" s="303"/>
      <c r="N711" s="297"/>
      <c r="O711" s="292"/>
      <c r="P711" s="303"/>
      <c r="Q711" s="298"/>
      <c r="R711" s="294"/>
      <c r="S711" s="297"/>
      <c r="T711" s="292"/>
      <c r="U711" s="299"/>
      <c r="V711" s="292"/>
      <c r="W711" s="309"/>
      <c r="X711" s="292"/>
      <c r="Y711" s="309"/>
      <c r="Z711" s="292"/>
      <c r="AA711" s="315"/>
      <c r="AB711" s="297"/>
      <c r="AC711" s="292"/>
      <c r="AD711" s="292"/>
      <c r="AE711" s="292"/>
      <c r="AF711" s="303"/>
      <c r="AG711" s="303"/>
      <c r="AH711" s="303"/>
      <c r="AI711" s="303"/>
    </row>
    <row r="712">
      <c r="A712" s="304"/>
      <c r="B712" s="299"/>
      <c r="C712" s="292"/>
      <c r="D712" s="293"/>
      <c r="E712" s="292"/>
      <c r="F712" s="293"/>
      <c r="G712" s="294"/>
      <c r="H712" s="295"/>
      <c r="I712" s="303"/>
      <c r="J712" s="303"/>
      <c r="K712" s="297"/>
      <c r="L712" s="303"/>
      <c r="M712" s="303"/>
      <c r="N712" s="297"/>
      <c r="O712" s="292"/>
      <c r="P712" s="303"/>
      <c r="Q712" s="298"/>
      <c r="R712" s="294"/>
      <c r="S712" s="297"/>
      <c r="T712" s="292"/>
      <c r="U712" s="299"/>
      <c r="V712" s="292"/>
      <c r="W712" s="309"/>
      <c r="X712" s="292"/>
      <c r="Y712" s="309"/>
      <c r="Z712" s="292"/>
      <c r="AA712" s="315"/>
      <c r="AB712" s="297"/>
      <c r="AC712" s="292"/>
      <c r="AD712" s="292"/>
      <c r="AE712" s="292"/>
      <c r="AF712" s="303"/>
      <c r="AG712" s="303"/>
      <c r="AH712" s="303"/>
      <c r="AI712" s="303"/>
    </row>
    <row r="713">
      <c r="A713" s="304"/>
      <c r="B713" s="299"/>
      <c r="C713" s="292"/>
      <c r="D713" s="293"/>
      <c r="E713" s="292"/>
      <c r="F713" s="293"/>
      <c r="G713" s="294"/>
      <c r="H713" s="295"/>
      <c r="I713" s="303"/>
      <c r="J713" s="303"/>
      <c r="K713" s="297"/>
      <c r="L713" s="303"/>
      <c r="M713" s="303"/>
      <c r="N713" s="297"/>
      <c r="O713" s="292"/>
      <c r="P713" s="303"/>
      <c r="Q713" s="298"/>
      <c r="R713" s="294"/>
      <c r="S713" s="297"/>
      <c r="T713" s="292"/>
      <c r="U713" s="299"/>
      <c r="V713" s="292"/>
      <c r="W713" s="309"/>
      <c r="X713" s="292"/>
      <c r="Y713" s="309"/>
      <c r="Z713" s="292"/>
      <c r="AA713" s="315"/>
      <c r="AB713" s="297"/>
      <c r="AC713" s="292"/>
      <c r="AD713" s="292"/>
      <c r="AE713" s="292"/>
      <c r="AF713" s="303"/>
      <c r="AG713" s="303"/>
      <c r="AH713" s="303"/>
      <c r="AI713" s="303"/>
    </row>
    <row r="714">
      <c r="A714" s="304"/>
      <c r="B714" s="299"/>
      <c r="C714" s="292"/>
      <c r="D714" s="293"/>
      <c r="E714" s="292"/>
      <c r="F714" s="293"/>
      <c r="G714" s="294"/>
      <c r="H714" s="295"/>
      <c r="I714" s="303"/>
      <c r="J714" s="303"/>
      <c r="K714" s="297"/>
      <c r="L714" s="303"/>
      <c r="M714" s="303"/>
      <c r="N714" s="297"/>
      <c r="O714" s="292"/>
      <c r="P714" s="303"/>
      <c r="Q714" s="298"/>
      <c r="R714" s="294"/>
      <c r="S714" s="297"/>
      <c r="T714" s="292"/>
      <c r="U714" s="299"/>
      <c r="V714" s="292"/>
      <c r="W714" s="309"/>
      <c r="X714" s="292"/>
      <c r="Y714" s="309"/>
      <c r="Z714" s="292"/>
      <c r="AA714" s="315"/>
      <c r="AB714" s="297"/>
      <c r="AC714" s="292"/>
      <c r="AD714" s="292"/>
      <c r="AE714" s="292"/>
      <c r="AF714" s="303"/>
      <c r="AG714" s="303"/>
      <c r="AH714" s="303"/>
      <c r="AI714" s="303"/>
    </row>
    <row r="715">
      <c r="A715" s="304"/>
      <c r="B715" s="299"/>
      <c r="C715" s="292"/>
      <c r="D715" s="293"/>
      <c r="E715" s="292"/>
      <c r="F715" s="293"/>
      <c r="G715" s="294"/>
      <c r="H715" s="295"/>
      <c r="I715" s="303"/>
      <c r="J715" s="303"/>
      <c r="K715" s="297"/>
      <c r="L715" s="303"/>
      <c r="M715" s="303"/>
      <c r="N715" s="297"/>
      <c r="O715" s="292"/>
      <c r="P715" s="303"/>
      <c r="Q715" s="298"/>
      <c r="R715" s="294"/>
      <c r="S715" s="297"/>
      <c r="T715" s="292"/>
      <c r="U715" s="299"/>
      <c r="V715" s="292"/>
      <c r="W715" s="309"/>
      <c r="X715" s="292"/>
      <c r="Y715" s="309"/>
      <c r="Z715" s="292"/>
      <c r="AA715" s="315"/>
      <c r="AB715" s="297"/>
      <c r="AC715" s="292"/>
      <c r="AD715" s="292"/>
      <c r="AE715" s="292"/>
      <c r="AF715" s="303"/>
      <c r="AG715" s="303"/>
      <c r="AH715" s="303"/>
      <c r="AI715" s="303"/>
    </row>
    <row r="716">
      <c r="A716" s="304"/>
      <c r="B716" s="299"/>
      <c r="C716" s="292"/>
      <c r="D716" s="293"/>
      <c r="E716" s="292"/>
      <c r="F716" s="293"/>
      <c r="G716" s="294"/>
      <c r="H716" s="295"/>
      <c r="I716" s="303"/>
      <c r="J716" s="303"/>
      <c r="K716" s="297"/>
      <c r="L716" s="303"/>
      <c r="M716" s="303"/>
      <c r="N716" s="297"/>
      <c r="O716" s="292"/>
      <c r="P716" s="303"/>
      <c r="Q716" s="298"/>
      <c r="R716" s="294"/>
      <c r="S716" s="297"/>
      <c r="T716" s="292"/>
      <c r="U716" s="299"/>
      <c r="V716" s="292"/>
      <c r="W716" s="309"/>
      <c r="X716" s="292"/>
      <c r="Y716" s="309"/>
      <c r="Z716" s="292"/>
      <c r="AA716" s="315"/>
      <c r="AB716" s="297"/>
      <c r="AC716" s="292"/>
      <c r="AD716" s="292"/>
      <c r="AE716" s="292"/>
      <c r="AF716" s="303"/>
      <c r="AG716" s="303"/>
      <c r="AH716" s="303"/>
      <c r="AI716" s="303"/>
    </row>
    <row r="717">
      <c r="A717" s="304"/>
      <c r="B717" s="299"/>
      <c r="C717" s="292"/>
      <c r="D717" s="293"/>
      <c r="E717" s="292"/>
      <c r="F717" s="293"/>
      <c r="G717" s="294"/>
      <c r="H717" s="295"/>
      <c r="I717" s="303"/>
      <c r="J717" s="303"/>
      <c r="K717" s="297"/>
      <c r="L717" s="303"/>
      <c r="M717" s="303"/>
      <c r="N717" s="297"/>
      <c r="O717" s="292"/>
      <c r="P717" s="303"/>
      <c r="Q717" s="298"/>
      <c r="R717" s="294"/>
      <c r="S717" s="297"/>
      <c r="T717" s="292"/>
      <c r="U717" s="299"/>
      <c r="V717" s="292"/>
      <c r="W717" s="309"/>
      <c r="X717" s="292"/>
      <c r="Y717" s="309"/>
      <c r="Z717" s="292"/>
      <c r="AA717" s="315"/>
      <c r="AB717" s="297"/>
      <c r="AC717" s="292"/>
      <c r="AD717" s="292"/>
      <c r="AE717" s="292"/>
      <c r="AF717" s="303"/>
      <c r="AG717" s="303"/>
      <c r="AH717" s="303"/>
      <c r="AI717" s="303"/>
    </row>
    <row r="718">
      <c r="A718" s="304"/>
      <c r="B718" s="299"/>
      <c r="C718" s="292"/>
      <c r="D718" s="293"/>
      <c r="E718" s="292"/>
      <c r="F718" s="293"/>
      <c r="G718" s="294"/>
      <c r="H718" s="295"/>
      <c r="I718" s="303"/>
      <c r="J718" s="303"/>
      <c r="K718" s="297"/>
      <c r="L718" s="303"/>
      <c r="M718" s="303"/>
      <c r="N718" s="297"/>
      <c r="O718" s="292"/>
      <c r="P718" s="303"/>
      <c r="Q718" s="298"/>
      <c r="R718" s="294"/>
      <c r="S718" s="297"/>
      <c r="T718" s="292"/>
      <c r="U718" s="299"/>
      <c r="V718" s="292"/>
      <c r="W718" s="309"/>
      <c r="X718" s="292"/>
      <c r="Y718" s="309"/>
      <c r="Z718" s="292"/>
      <c r="AA718" s="315"/>
      <c r="AB718" s="297"/>
      <c r="AC718" s="292"/>
      <c r="AD718" s="292"/>
      <c r="AE718" s="292"/>
      <c r="AF718" s="303"/>
      <c r="AG718" s="303"/>
      <c r="AH718" s="303"/>
      <c r="AI718" s="303"/>
    </row>
    <row r="719">
      <c r="A719" s="304"/>
      <c r="B719" s="299"/>
      <c r="C719" s="292"/>
      <c r="D719" s="293"/>
      <c r="E719" s="292"/>
      <c r="F719" s="293"/>
      <c r="G719" s="294"/>
      <c r="H719" s="295"/>
      <c r="I719" s="303"/>
      <c r="J719" s="303"/>
      <c r="K719" s="297"/>
      <c r="L719" s="303"/>
      <c r="M719" s="303"/>
      <c r="N719" s="297"/>
      <c r="O719" s="292"/>
      <c r="P719" s="303"/>
      <c r="Q719" s="298"/>
      <c r="R719" s="294"/>
      <c r="S719" s="297"/>
      <c r="T719" s="292"/>
      <c r="U719" s="299"/>
      <c r="V719" s="292"/>
      <c r="W719" s="309"/>
      <c r="X719" s="292"/>
      <c r="Y719" s="309"/>
      <c r="Z719" s="292"/>
      <c r="AA719" s="315"/>
      <c r="AB719" s="297"/>
      <c r="AC719" s="292"/>
      <c r="AD719" s="292"/>
      <c r="AE719" s="292"/>
      <c r="AF719" s="303"/>
      <c r="AG719" s="303"/>
      <c r="AH719" s="303"/>
      <c r="AI719" s="303"/>
    </row>
    <row r="720">
      <c r="A720" s="304"/>
      <c r="B720" s="299"/>
      <c r="C720" s="292"/>
      <c r="D720" s="293"/>
      <c r="E720" s="292"/>
      <c r="F720" s="293"/>
      <c r="G720" s="294"/>
      <c r="H720" s="295"/>
      <c r="I720" s="303"/>
      <c r="J720" s="303"/>
      <c r="K720" s="297"/>
      <c r="L720" s="303"/>
      <c r="M720" s="303"/>
      <c r="N720" s="297"/>
      <c r="O720" s="292"/>
      <c r="P720" s="303"/>
      <c r="Q720" s="298"/>
      <c r="R720" s="294"/>
      <c r="S720" s="297"/>
      <c r="T720" s="292"/>
      <c r="U720" s="299"/>
      <c r="V720" s="292"/>
      <c r="W720" s="309"/>
      <c r="X720" s="292"/>
      <c r="Y720" s="309"/>
      <c r="Z720" s="292"/>
      <c r="AA720" s="315"/>
      <c r="AB720" s="297"/>
      <c r="AC720" s="292"/>
      <c r="AD720" s="292"/>
      <c r="AE720" s="292"/>
      <c r="AF720" s="303"/>
      <c r="AG720" s="303"/>
      <c r="AH720" s="303"/>
      <c r="AI720" s="303"/>
    </row>
    <row r="721">
      <c r="A721" s="304"/>
      <c r="B721" s="299"/>
      <c r="C721" s="292"/>
      <c r="D721" s="293"/>
      <c r="E721" s="292"/>
      <c r="F721" s="293"/>
      <c r="G721" s="294"/>
      <c r="H721" s="295"/>
      <c r="I721" s="303"/>
      <c r="J721" s="303"/>
      <c r="K721" s="297"/>
      <c r="L721" s="303"/>
      <c r="M721" s="303"/>
      <c r="N721" s="297"/>
      <c r="O721" s="292"/>
      <c r="P721" s="303"/>
      <c r="Q721" s="298"/>
      <c r="R721" s="294"/>
      <c r="S721" s="297"/>
      <c r="T721" s="292"/>
      <c r="U721" s="299"/>
      <c r="V721" s="292"/>
      <c r="W721" s="309"/>
      <c r="X721" s="292"/>
      <c r="Y721" s="309"/>
      <c r="Z721" s="292"/>
      <c r="AA721" s="315"/>
      <c r="AB721" s="297"/>
      <c r="AC721" s="292"/>
      <c r="AD721" s="292"/>
      <c r="AE721" s="292"/>
      <c r="AF721" s="303"/>
      <c r="AG721" s="303"/>
      <c r="AH721" s="303"/>
      <c r="AI721" s="303"/>
    </row>
    <row r="722">
      <c r="A722" s="304"/>
      <c r="B722" s="299"/>
      <c r="C722" s="292"/>
      <c r="D722" s="293"/>
      <c r="E722" s="292"/>
      <c r="F722" s="293"/>
      <c r="G722" s="294"/>
      <c r="H722" s="295"/>
      <c r="I722" s="303"/>
      <c r="J722" s="303"/>
      <c r="K722" s="297"/>
      <c r="L722" s="303"/>
      <c r="M722" s="303"/>
      <c r="N722" s="297"/>
      <c r="O722" s="292"/>
      <c r="P722" s="303"/>
      <c r="Q722" s="298"/>
      <c r="R722" s="294"/>
      <c r="S722" s="297"/>
      <c r="T722" s="292"/>
      <c r="U722" s="299"/>
      <c r="V722" s="292"/>
      <c r="W722" s="309"/>
      <c r="X722" s="292"/>
      <c r="Y722" s="309"/>
      <c r="Z722" s="292"/>
      <c r="AA722" s="315"/>
      <c r="AB722" s="297"/>
      <c r="AC722" s="292"/>
      <c r="AD722" s="292"/>
      <c r="AE722" s="292"/>
      <c r="AF722" s="303"/>
      <c r="AG722" s="303"/>
      <c r="AH722" s="303"/>
      <c r="AI722" s="303"/>
    </row>
    <row r="723">
      <c r="A723" s="304"/>
      <c r="B723" s="299"/>
      <c r="C723" s="292"/>
      <c r="D723" s="293"/>
      <c r="E723" s="292"/>
      <c r="F723" s="293"/>
      <c r="G723" s="294"/>
      <c r="H723" s="295"/>
      <c r="I723" s="303"/>
      <c r="J723" s="303"/>
      <c r="K723" s="297"/>
      <c r="L723" s="303"/>
      <c r="M723" s="303"/>
      <c r="N723" s="297"/>
      <c r="O723" s="292"/>
      <c r="P723" s="303"/>
      <c r="Q723" s="298"/>
      <c r="R723" s="294"/>
      <c r="S723" s="297"/>
      <c r="T723" s="292"/>
      <c r="U723" s="299"/>
      <c r="V723" s="292"/>
      <c r="W723" s="309"/>
      <c r="X723" s="292"/>
      <c r="Y723" s="309"/>
      <c r="Z723" s="292"/>
      <c r="AA723" s="315"/>
      <c r="AB723" s="297"/>
      <c r="AC723" s="292"/>
      <c r="AD723" s="292"/>
      <c r="AE723" s="292"/>
      <c r="AF723" s="303"/>
      <c r="AG723" s="303"/>
      <c r="AH723" s="303"/>
      <c r="AI723" s="303"/>
    </row>
    <row r="724">
      <c r="A724" s="304"/>
      <c r="B724" s="299"/>
      <c r="C724" s="292"/>
      <c r="D724" s="293"/>
      <c r="E724" s="292"/>
      <c r="F724" s="293"/>
      <c r="G724" s="294"/>
      <c r="H724" s="295"/>
      <c r="I724" s="303"/>
      <c r="J724" s="303"/>
      <c r="K724" s="297"/>
      <c r="L724" s="303"/>
      <c r="M724" s="303"/>
      <c r="N724" s="297"/>
      <c r="O724" s="292"/>
      <c r="P724" s="303"/>
      <c r="Q724" s="298"/>
      <c r="R724" s="294"/>
      <c r="S724" s="297"/>
      <c r="T724" s="292"/>
      <c r="U724" s="299"/>
      <c r="V724" s="292"/>
      <c r="W724" s="309"/>
      <c r="X724" s="292"/>
      <c r="Y724" s="309"/>
      <c r="Z724" s="292"/>
      <c r="AA724" s="315"/>
      <c r="AB724" s="297"/>
      <c r="AC724" s="292"/>
      <c r="AD724" s="292"/>
      <c r="AE724" s="292"/>
      <c r="AF724" s="303"/>
      <c r="AG724" s="303"/>
      <c r="AH724" s="303"/>
      <c r="AI724" s="303"/>
    </row>
    <row r="725">
      <c r="A725" s="304"/>
      <c r="B725" s="299"/>
      <c r="C725" s="292"/>
      <c r="D725" s="293"/>
      <c r="E725" s="292"/>
      <c r="F725" s="293"/>
      <c r="G725" s="294"/>
      <c r="H725" s="295"/>
      <c r="I725" s="303"/>
      <c r="J725" s="303"/>
      <c r="K725" s="297"/>
      <c r="L725" s="303"/>
      <c r="M725" s="303"/>
      <c r="N725" s="297"/>
      <c r="O725" s="292"/>
      <c r="P725" s="303"/>
      <c r="Q725" s="298"/>
      <c r="R725" s="294"/>
      <c r="S725" s="297"/>
      <c r="T725" s="292"/>
      <c r="U725" s="299"/>
      <c r="V725" s="292"/>
      <c r="W725" s="309"/>
      <c r="X725" s="292"/>
      <c r="Y725" s="309"/>
      <c r="Z725" s="292"/>
      <c r="AA725" s="315"/>
      <c r="AB725" s="297"/>
      <c r="AC725" s="292"/>
      <c r="AD725" s="292"/>
      <c r="AE725" s="292"/>
      <c r="AF725" s="303"/>
      <c r="AG725" s="303"/>
      <c r="AH725" s="303"/>
      <c r="AI725" s="303"/>
    </row>
    <row r="726">
      <c r="A726" s="304"/>
      <c r="B726" s="299"/>
      <c r="C726" s="292"/>
      <c r="D726" s="293"/>
      <c r="E726" s="292"/>
      <c r="F726" s="293"/>
      <c r="G726" s="294"/>
      <c r="H726" s="295"/>
      <c r="I726" s="303"/>
      <c r="J726" s="303"/>
      <c r="K726" s="297"/>
      <c r="L726" s="303"/>
      <c r="M726" s="303"/>
      <c r="N726" s="297"/>
      <c r="O726" s="292"/>
      <c r="P726" s="303"/>
      <c r="Q726" s="298"/>
      <c r="R726" s="294"/>
      <c r="S726" s="297"/>
      <c r="T726" s="292"/>
      <c r="U726" s="299"/>
      <c r="V726" s="292"/>
      <c r="W726" s="309"/>
      <c r="X726" s="292"/>
      <c r="Y726" s="309"/>
      <c r="Z726" s="292"/>
      <c r="AA726" s="315"/>
      <c r="AB726" s="297"/>
      <c r="AC726" s="292"/>
      <c r="AD726" s="292"/>
      <c r="AE726" s="292"/>
      <c r="AF726" s="303"/>
      <c r="AG726" s="303"/>
      <c r="AH726" s="303"/>
      <c r="AI726" s="303"/>
    </row>
    <row r="727">
      <c r="A727" s="304"/>
      <c r="B727" s="299"/>
      <c r="C727" s="292"/>
      <c r="D727" s="293"/>
      <c r="E727" s="292"/>
      <c r="F727" s="293"/>
      <c r="G727" s="294"/>
      <c r="H727" s="295"/>
      <c r="I727" s="303"/>
      <c r="J727" s="303"/>
      <c r="K727" s="297"/>
      <c r="L727" s="303"/>
      <c r="M727" s="303"/>
      <c r="N727" s="297"/>
      <c r="O727" s="292"/>
      <c r="P727" s="303"/>
      <c r="Q727" s="298"/>
      <c r="R727" s="294"/>
      <c r="S727" s="297"/>
      <c r="T727" s="292"/>
      <c r="U727" s="299"/>
      <c r="V727" s="292"/>
      <c r="W727" s="309"/>
      <c r="X727" s="292"/>
      <c r="Y727" s="309"/>
      <c r="Z727" s="292"/>
      <c r="AA727" s="315"/>
      <c r="AB727" s="297"/>
      <c r="AC727" s="292"/>
      <c r="AD727" s="292"/>
      <c r="AE727" s="292"/>
      <c r="AF727" s="303"/>
      <c r="AG727" s="303"/>
      <c r="AH727" s="303"/>
      <c r="AI727" s="303"/>
    </row>
    <row r="728">
      <c r="A728" s="304"/>
      <c r="B728" s="299"/>
      <c r="C728" s="292"/>
      <c r="D728" s="293"/>
      <c r="E728" s="292"/>
      <c r="F728" s="293"/>
      <c r="G728" s="294"/>
      <c r="H728" s="295"/>
      <c r="I728" s="303"/>
      <c r="J728" s="303"/>
      <c r="K728" s="297"/>
      <c r="L728" s="303"/>
      <c r="M728" s="303"/>
      <c r="N728" s="297"/>
      <c r="O728" s="292"/>
      <c r="P728" s="303"/>
      <c r="Q728" s="298"/>
      <c r="R728" s="294"/>
      <c r="S728" s="297"/>
      <c r="T728" s="292"/>
      <c r="U728" s="299"/>
      <c r="V728" s="292"/>
      <c r="W728" s="309"/>
      <c r="X728" s="292"/>
      <c r="Y728" s="309"/>
      <c r="Z728" s="292"/>
      <c r="AA728" s="315"/>
      <c r="AB728" s="297"/>
      <c r="AC728" s="292"/>
      <c r="AD728" s="292"/>
      <c r="AE728" s="292"/>
      <c r="AF728" s="303"/>
      <c r="AG728" s="303"/>
      <c r="AH728" s="303"/>
      <c r="AI728" s="303"/>
    </row>
    <row r="729">
      <c r="A729" s="304"/>
      <c r="B729" s="299"/>
      <c r="C729" s="292"/>
      <c r="D729" s="293"/>
      <c r="E729" s="292"/>
      <c r="F729" s="293"/>
      <c r="G729" s="294"/>
      <c r="H729" s="295"/>
      <c r="I729" s="303"/>
      <c r="J729" s="303"/>
      <c r="K729" s="297"/>
      <c r="L729" s="303"/>
      <c r="M729" s="303"/>
      <c r="N729" s="297"/>
      <c r="O729" s="292"/>
      <c r="P729" s="303"/>
      <c r="Q729" s="298"/>
      <c r="R729" s="294"/>
      <c r="S729" s="297"/>
      <c r="T729" s="292"/>
      <c r="U729" s="299"/>
      <c r="V729" s="292"/>
      <c r="W729" s="309"/>
      <c r="X729" s="292"/>
      <c r="Y729" s="309"/>
      <c r="Z729" s="292"/>
      <c r="AA729" s="315"/>
      <c r="AB729" s="297"/>
      <c r="AC729" s="292"/>
      <c r="AD729" s="292"/>
      <c r="AE729" s="292"/>
      <c r="AF729" s="303"/>
      <c r="AG729" s="303"/>
      <c r="AH729" s="303"/>
      <c r="AI729" s="303"/>
    </row>
    <row r="730">
      <c r="A730" s="304"/>
      <c r="B730" s="299"/>
      <c r="C730" s="292"/>
      <c r="D730" s="293"/>
      <c r="E730" s="292"/>
      <c r="F730" s="293"/>
      <c r="G730" s="294"/>
      <c r="H730" s="295"/>
      <c r="I730" s="303"/>
      <c r="J730" s="303"/>
      <c r="K730" s="297"/>
      <c r="L730" s="303"/>
      <c r="M730" s="303"/>
      <c r="N730" s="297"/>
      <c r="O730" s="292"/>
      <c r="P730" s="303"/>
      <c r="Q730" s="298"/>
      <c r="R730" s="294"/>
      <c r="S730" s="297"/>
      <c r="T730" s="292"/>
      <c r="U730" s="299"/>
      <c r="V730" s="292"/>
      <c r="W730" s="309"/>
      <c r="X730" s="292"/>
      <c r="Y730" s="309"/>
      <c r="Z730" s="292"/>
      <c r="AA730" s="315"/>
      <c r="AB730" s="297"/>
      <c r="AC730" s="292"/>
      <c r="AD730" s="292"/>
      <c r="AE730" s="292"/>
      <c r="AF730" s="303"/>
      <c r="AG730" s="303"/>
      <c r="AH730" s="303"/>
      <c r="AI730" s="303"/>
    </row>
    <row r="731">
      <c r="A731" s="304"/>
      <c r="B731" s="299"/>
      <c r="C731" s="292"/>
      <c r="D731" s="293"/>
      <c r="E731" s="292"/>
      <c r="F731" s="293"/>
      <c r="G731" s="294"/>
      <c r="H731" s="295"/>
      <c r="I731" s="303"/>
      <c r="J731" s="303"/>
      <c r="K731" s="297"/>
      <c r="L731" s="303"/>
      <c r="M731" s="303"/>
      <c r="N731" s="297"/>
      <c r="O731" s="292"/>
      <c r="P731" s="303"/>
      <c r="Q731" s="298"/>
      <c r="R731" s="294"/>
      <c r="S731" s="297"/>
      <c r="T731" s="292"/>
      <c r="U731" s="299"/>
      <c r="V731" s="292"/>
      <c r="W731" s="309"/>
      <c r="X731" s="292"/>
      <c r="Y731" s="309"/>
      <c r="Z731" s="292"/>
      <c r="AA731" s="315"/>
      <c r="AB731" s="297"/>
      <c r="AC731" s="292"/>
      <c r="AD731" s="292"/>
      <c r="AE731" s="292"/>
      <c r="AF731" s="303"/>
      <c r="AG731" s="303"/>
      <c r="AH731" s="303"/>
      <c r="AI731" s="303"/>
    </row>
    <row r="732">
      <c r="A732" s="304"/>
      <c r="B732" s="299"/>
      <c r="C732" s="292"/>
      <c r="D732" s="293"/>
      <c r="E732" s="292"/>
      <c r="F732" s="293"/>
      <c r="G732" s="294"/>
      <c r="H732" s="295"/>
      <c r="I732" s="303"/>
      <c r="J732" s="303"/>
      <c r="K732" s="297"/>
      <c r="L732" s="303"/>
      <c r="M732" s="303"/>
      <c r="N732" s="297"/>
      <c r="O732" s="292"/>
      <c r="P732" s="303"/>
      <c r="Q732" s="298"/>
      <c r="R732" s="294"/>
      <c r="S732" s="297"/>
      <c r="T732" s="292"/>
      <c r="U732" s="299"/>
      <c r="V732" s="292"/>
      <c r="W732" s="309"/>
      <c r="X732" s="292"/>
      <c r="Y732" s="309"/>
      <c r="Z732" s="292"/>
      <c r="AA732" s="315"/>
      <c r="AB732" s="297"/>
      <c r="AC732" s="292"/>
      <c r="AD732" s="292"/>
      <c r="AE732" s="292"/>
      <c r="AF732" s="303"/>
      <c r="AG732" s="303"/>
      <c r="AH732" s="303"/>
      <c r="AI732" s="303"/>
    </row>
    <row r="733">
      <c r="A733" s="304"/>
      <c r="B733" s="299"/>
      <c r="C733" s="292"/>
      <c r="D733" s="293"/>
      <c r="E733" s="292"/>
      <c r="F733" s="293"/>
      <c r="G733" s="294"/>
      <c r="H733" s="295"/>
      <c r="I733" s="303"/>
      <c r="J733" s="303"/>
      <c r="K733" s="297"/>
      <c r="L733" s="303"/>
      <c r="M733" s="303"/>
      <c r="N733" s="297"/>
      <c r="O733" s="292"/>
      <c r="P733" s="303"/>
      <c r="Q733" s="298"/>
      <c r="R733" s="294"/>
      <c r="S733" s="297"/>
      <c r="T733" s="292"/>
      <c r="U733" s="299"/>
      <c r="V733" s="292"/>
      <c r="W733" s="309"/>
      <c r="X733" s="292"/>
      <c r="Y733" s="309"/>
      <c r="Z733" s="292"/>
      <c r="AA733" s="315"/>
      <c r="AB733" s="297"/>
      <c r="AC733" s="292"/>
      <c r="AD733" s="292"/>
      <c r="AE733" s="292"/>
      <c r="AF733" s="303"/>
      <c r="AG733" s="303"/>
      <c r="AH733" s="303"/>
      <c r="AI733" s="303"/>
    </row>
    <row r="734">
      <c r="A734" s="304"/>
      <c r="B734" s="299"/>
      <c r="C734" s="292"/>
      <c r="D734" s="293"/>
      <c r="E734" s="292"/>
      <c r="F734" s="293"/>
      <c r="G734" s="294"/>
      <c r="H734" s="295"/>
      <c r="I734" s="303"/>
      <c r="J734" s="303"/>
      <c r="K734" s="297"/>
      <c r="L734" s="303"/>
      <c r="M734" s="303"/>
      <c r="N734" s="297"/>
      <c r="O734" s="292"/>
      <c r="P734" s="303"/>
      <c r="Q734" s="298"/>
      <c r="R734" s="294"/>
      <c r="S734" s="297"/>
      <c r="T734" s="292"/>
      <c r="U734" s="299"/>
      <c r="V734" s="292"/>
      <c r="W734" s="309"/>
      <c r="X734" s="292"/>
      <c r="Y734" s="309"/>
      <c r="Z734" s="292"/>
      <c r="AA734" s="315"/>
      <c r="AB734" s="297"/>
      <c r="AC734" s="292"/>
      <c r="AD734" s="292"/>
      <c r="AE734" s="292"/>
      <c r="AF734" s="303"/>
      <c r="AG734" s="303"/>
      <c r="AH734" s="303"/>
      <c r="AI734" s="303"/>
    </row>
    <row r="735">
      <c r="A735" s="304"/>
      <c r="B735" s="299"/>
      <c r="C735" s="292"/>
      <c r="D735" s="293"/>
      <c r="E735" s="292"/>
      <c r="F735" s="293"/>
      <c r="G735" s="294"/>
      <c r="H735" s="295"/>
      <c r="I735" s="303"/>
      <c r="J735" s="303"/>
      <c r="K735" s="297"/>
      <c r="L735" s="303"/>
      <c r="M735" s="303"/>
      <c r="N735" s="297"/>
      <c r="O735" s="292"/>
      <c r="P735" s="303"/>
      <c r="Q735" s="298"/>
      <c r="R735" s="294"/>
      <c r="S735" s="297"/>
      <c r="T735" s="292"/>
      <c r="U735" s="299"/>
      <c r="V735" s="292"/>
      <c r="W735" s="309"/>
      <c r="X735" s="292"/>
      <c r="Y735" s="309"/>
      <c r="Z735" s="292"/>
      <c r="AA735" s="315"/>
      <c r="AB735" s="297"/>
      <c r="AC735" s="292"/>
      <c r="AD735" s="292"/>
      <c r="AE735" s="292"/>
      <c r="AF735" s="303"/>
      <c r="AG735" s="303"/>
      <c r="AH735" s="303"/>
      <c r="AI735" s="303"/>
    </row>
    <row r="736">
      <c r="A736" s="304"/>
      <c r="B736" s="299"/>
      <c r="C736" s="292"/>
      <c r="D736" s="293"/>
      <c r="E736" s="292"/>
      <c r="F736" s="293"/>
      <c r="G736" s="294"/>
      <c r="H736" s="295"/>
      <c r="I736" s="303"/>
      <c r="J736" s="303"/>
      <c r="K736" s="297"/>
      <c r="L736" s="303"/>
      <c r="M736" s="303"/>
      <c r="N736" s="297"/>
      <c r="O736" s="292"/>
      <c r="P736" s="303"/>
      <c r="Q736" s="298"/>
      <c r="R736" s="294"/>
      <c r="S736" s="297"/>
      <c r="T736" s="292"/>
      <c r="U736" s="299"/>
      <c r="V736" s="292"/>
      <c r="W736" s="309"/>
      <c r="X736" s="292"/>
      <c r="Y736" s="309"/>
      <c r="Z736" s="292"/>
      <c r="AA736" s="315"/>
      <c r="AB736" s="297"/>
      <c r="AC736" s="292"/>
      <c r="AD736" s="292"/>
      <c r="AE736" s="292"/>
      <c r="AF736" s="303"/>
      <c r="AG736" s="303"/>
      <c r="AH736" s="303"/>
      <c r="AI736" s="303"/>
    </row>
    <row r="737">
      <c r="A737" s="304"/>
      <c r="B737" s="299"/>
      <c r="C737" s="292"/>
      <c r="D737" s="293"/>
      <c r="E737" s="292"/>
      <c r="F737" s="293"/>
      <c r="G737" s="294"/>
      <c r="H737" s="295"/>
      <c r="I737" s="303"/>
      <c r="J737" s="303"/>
      <c r="K737" s="297"/>
      <c r="L737" s="303"/>
      <c r="M737" s="303"/>
      <c r="N737" s="297"/>
      <c r="O737" s="292"/>
      <c r="P737" s="303"/>
      <c r="Q737" s="298"/>
      <c r="R737" s="294"/>
      <c r="S737" s="297"/>
      <c r="T737" s="292"/>
      <c r="U737" s="299"/>
      <c r="V737" s="292"/>
      <c r="W737" s="309"/>
      <c r="X737" s="292"/>
      <c r="Y737" s="309"/>
      <c r="Z737" s="292"/>
      <c r="AA737" s="315"/>
      <c r="AB737" s="297"/>
      <c r="AC737" s="292"/>
      <c r="AD737" s="292"/>
      <c r="AE737" s="292"/>
      <c r="AF737" s="303"/>
      <c r="AG737" s="303"/>
      <c r="AH737" s="303"/>
      <c r="AI737" s="303"/>
    </row>
    <row r="738">
      <c r="A738" s="304"/>
      <c r="B738" s="299"/>
      <c r="C738" s="292"/>
      <c r="D738" s="293"/>
      <c r="E738" s="292"/>
      <c r="F738" s="293"/>
      <c r="G738" s="294"/>
      <c r="H738" s="295"/>
      <c r="I738" s="303"/>
      <c r="J738" s="303"/>
      <c r="K738" s="297"/>
      <c r="L738" s="303"/>
      <c r="M738" s="303"/>
      <c r="N738" s="297"/>
      <c r="O738" s="292"/>
      <c r="P738" s="303"/>
      <c r="Q738" s="298"/>
      <c r="R738" s="294"/>
      <c r="S738" s="297"/>
      <c r="T738" s="292"/>
      <c r="U738" s="299"/>
      <c r="V738" s="292"/>
      <c r="W738" s="309"/>
      <c r="X738" s="292"/>
      <c r="Y738" s="309"/>
      <c r="Z738" s="292"/>
      <c r="AA738" s="315"/>
      <c r="AB738" s="297"/>
      <c r="AC738" s="292"/>
      <c r="AD738" s="292"/>
      <c r="AE738" s="292"/>
      <c r="AF738" s="303"/>
      <c r="AG738" s="303"/>
      <c r="AH738" s="303"/>
      <c r="AI738" s="303"/>
    </row>
    <row r="739">
      <c r="A739" s="304"/>
      <c r="B739" s="299"/>
      <c r="C739" s="292"/>
      <c r="D739" s="293"/>
      <c r="E739" s="292"/>
      <c r="F739" s="293"/>
      <c r="G739" s="294"/>
      <c r="H739" s="295"/>
      <c r="I739" s="303"/>
      <c r="J739" s="303"/>
      <c r="K739" s="297"/>
      <c r="L739" s="303"/>
      <c r="M739" s="303"/>
      <c r="N739" s="297"/>
      <c r="O739" s="292"/>
      <c r="P739" s="303"/>
      <c r="Q739" s="298"/>
      <c r="R739" s="294"/>
      <c r="S739" s="297"/>
      <c r="T739" s="292"/>
      <c r="U739" s="299"/>
      <c r="V739" s="292"/>
      <c r="W739" s="309"/>
      <c r="X739" s="292"/>
      <c r="Y739" s="309"/>
      <c r="Z739" s="292"/>
      <c r="AA739" s="315"/>
      <c r="AB739" s="297"/>
      <c r="AC739" s="292"/>
      <c r="AD739" s="292"/>
      <c r="AE739" s="292"/>
      <c r="AF739" s="303"/>
      <c r="AG739" s="303"/>
      <c r="AH739" s="303"/>
      <c r="AI739" s="303"/>
    </row>
    <row r="740">
      <c r="A740" s="304"/>
      <c r="B740" s="299"/>
      <c r="C740" s="292"/>
      <c r="D740" s="293"/>
      <c r="E740" s="292"/>
      <c r="F740" s="293"/>
      <c r="G740" s="294"/>
      <c r="H740" s="295"/>
      <c r="I740" s="303"/>
      <c r="J740" s="303"/>
      <c r="K740" s="297"/>
      <c r="L740" s="303"/>
      <c r="M740" s="303"/>
      <c r="N740" s="297"/>
      <c r="O740" s="292"/>
      <c r="P740" s="303"/>
      <c r="Q740" s="298"/>
      <c r="R740" s="294"/>
      <c r="S740" s="297"/>
      <c r="T740" s="292"/>
      <c r="U740" s="299"/>
      <c r="V740" s="292"/>
      <c r="W740" s="309"/>
      <c r="X740" s="292"/>
      <c r="Y740" s="309"/>
      <c r="Z740" s="292"/>
      <c r="AA740" s="315"/>
      <c r="AB740" s="297"/>
      <c r="AC740" s="292"/>
      <c r="AD740" s="292"/>
      <c r="AE740" s="292"/>
      <c r="AF740" s="303"/>
      <c r="AG740" s="303"/>
      <c r="AH740" s="303"/>
      <c r="AI740" s="303"/>
    </row>
    <row r="741">
      <c r="A741" s="304"/>
      <c r="B741" s="299"/>
      <c r="C741" s="292"/>
      <c r="D741" s="293"/>
      <c r="E741" s="292"/>
      <c r="F741" s="293"/>
      <c r="G741" s="294"/>
      <c r="H741" s="295"/>
      <c r="I741" s="303"/>
      <c r="J741" s="303"/>
      <c r="K741" s="297"/>
      <c r="L741" s="303"/>
      <c r="M741" s="303"/>
      <c r="N741" s="297"/>
      <c r="O741" s="292"/>
      <c r="P741" s="303"/>
      <c r="Q741" s="298"/>
      <c r="R741" s="294"/>
      <c r="S741" s="297"/>
      <c r="T741" s="292"/>
      <c r="U741" s="299"/>
      <c r="V741" s="292"/>
      <c r="W741" s="309"/>
      <c r="X741" s="292"/>
      <c r="Y741" s="309"/>
      <c r="Z741" s="292"/>
      <c r="AA741" s="315"/>
      <c r="AB741" s="297"/>
      <c r="AC741" s="292"/>
      <c r="AD741" s="292"/>
      <c r="AE741" s="292"/>
      <c r="AF741" s="303"/>
      <c r="AG741" s="303"/>
      <c r="AH741" s="303"/>
      <c r="AI741" s="303"/>
    </row>
    <row r="742">
      <c r="A742" s="304"/>
      <c r="B742" s="299"/>
      <c r="C742" s="292"/>
      <c r="D742" s="293"/>
      <c r="E742" s="292"/>
      <c r="F742" s="293"/>
      <c r="G742" s="294"/>
      <c r="H742" s="295"/>
      <c r="I742" s="303"/>
      <c r="J742" s="303"/>
      <c r="K742" s="297"/>
      <c r="L742" s="303"/>
      <c r="M742" s="303"/>
      <c r="N742" s="297"/>
      <c r="O742" s="292"/>
      <c r="P742" s="303"/>
      <c r="Q742" s="298"/>
      <c r="R742" s="294"/>
      <c r="S742" s="297"/>
      <c r="T742" s="292"/>
      <c r="U742" s="299"/>
      <c r="V742" s="292"/>
      <c r="W742" s="309"/>
      <c r="X742" s="292"/>
      <c r="Y742" s="309"/>
      <c r="Z742" s="292"/>
      <c r="AA742" s="315"/>
      <c r="AB742" s="297"/>
      <c r="AC742" s="292"/>
      <c r="AD742" s="292"/>
      <c r="AE742" s="292"/>
      <c r="AF742" s="303"/>
      <c r="AG742" s="303"/>
      <c r="AH742" s="303"/>
      <c r="AI742" s="303"/>
    </row>
    <row r="743">
      <c r="A743" s="304"/>
      <c r="B743" s="299"/>
      <c r="C743" s="292"/>
      <c r="D743" s="293"/>
      <c r="E743" s="292"/>
      <c r="F743" s="293"/>
      <c r="G743" s="294"/>
      <c r="H743" s="295"/>
      <c r="I743" s="303"/>
      <c r="J743" s="303"/>
      <c r="K743" s="297"/>
      <c r="L743" s="303"/>
      <c r="M743" s="303"/>
      <c r="N743" s="297"/>
      <c r="O743" s="292"/>
      <c r="P743" s="303"/>
      <c r="Q743" s="298"/>
      <c r="R743" s="294"/>
      <c r="S743" s="297"/>
      <c r="T743" s="292"/>
      <c r="U743" s="299"/>
      <c r="V743" s="292"/>
      <c r="W743" s="309"/>
      <c r="X743" s="292"/>
      <c r="Y743" s="309"/>
      <c r="Z743" s="292"/>
      <c r="AA743" s="315"/>
      <c r="AB743" s="297"/>
      <c r="AC743" s="292"/>
      <c r="AD743" s="292"/>
      <c r="AE743" s="292"/>
      <c r="AF743" s="303"/>
      <c r="AG743" s="303"/>
      <c r="AH743" s="303"/>
      <c r="AI743" s="303"/>
    </row>
    <row r="744">
      <c r="A744" s="304"/>
      <c r="B744" s="299"/>
      <c r="C744" s="292"/>
      <c r="D744" s="293"/>
      <c r="E744" s="292"/>
      <c r="F744" s="293"/>
      <c r="G744" s="294"/>
      <c r="H744" s="295"/>
      <c r="I744" s="303"/>
      <c r="J744" s="303"/>
      <c r="K744" s="297"/>
      <c r="L744" s="303"/>
      <c r="M744" s="303"/>
      <c r="N744" s="297"/>
      <c r="O744" s="292"/>
      <c r="P744" s="303"/>
      <c r="Q744" s="298"/>
      <c r="R744" s="294"/>
      <c r="S744" s="297"/>
      <c r="T744" s="292"/>
      <c r="U744" s="299"/>
      <c r="V744" s="292"/>
      <c r="W744" s="309"/>
      <c r="X744" s="292"/>
      <c r="Y744" s="309"/>
      <c r="Z744" s="292"/>
      <c r="AA744" s="315"/>
      <c r="AB744" s="297"/>
      <c r="AC744" s="292"/>
      <c r="AD744" s="292"/>
      <c r="AE744" s="292"/>
      <c r="AF744" s="303"/>
      <c r="AG744" s="303"/>
      <c r="AH744" s="303"/>
      <c r="AI744" s="303"/>
    </row>
    <row r="745">
      <c r="A745" s="304"/>
      <c r="B745" s="299"/>
      <c r="C745" s="292"/>
      <c r="D745" s="293"/>
      <c r="E745" s="292"/>
      <c r="F745" s="293"/>
      <c r="G745" s="294"/>
      <c r="H745" s="295"/>
      <c r="I745" s="303"/>
      <c r="J745" s="303"/>
      <c r="K745" s="297"/>
      <c r="L745" s="303"/>
      <c r="M745" s="303"/>
      <c r="N745" s="297"/>
      <c r="O745" s="292"/>
      <c r="P745" s="303"/>
      <c r="Q745" s="298"/>
      <c r="R745" s="294"/>
      <c r="S745" s="297"/>
      <c r="T745" s="292"/>
      <c r="U745" s="299"/>
      <c r="V745" s="292"/>
      <c r="W745" s="309"/>
      <c r="X745" s="292"/>
      <c r="Y745" s="309"/>
      <c r="Z745" s="292"/>
      <c r="AA745" s="315"/>
      <c r="AB745" s="297"/>
      <c r="AC745" s="292"/>
      <c r="AD745" s="292"/>
      <c r="AE745" s="292"/>
      <c r="AF745" s="303"/>
      <c r="AG745" s="303"/>
      <c r="AH745" s="303"/>
      <c r="AI745" s="303"/>
    </row>
    <row r="746">
      <c r="A746" s="304"/>
      <c r="B746" s="299"/>
      <c r="C746" s="292"/>
      <c r="D746" s="293"/>
      <c r="E746" s="292"/>
      <c r="F746" s="293"/>
      <c r="G746" s="294"/>
      <c r="H746" s="295"/>
      <c r="I746" s="303"/>
      <c r="J746" s="303"/>
      <c r="K746" s="297"/>
      <c r="L746" s="303"/>
      <c r="M746" s="303"/>
      <c r="N746" s="297"/>
      <c r="O746" s="292"/>
      <c r="P746" s="303"/>
      <c r="Q746" s="298"/>
      <c r="R746" s="294"/>
      <c r="S746" s="297"/>
      <c r="T746" s="292"/>
      <c r="U746" s="299"/>
      <c r="V746" s="292"/>
      <c r="W746" s="309"/>
      <c r="X746" s="292"/>
      <c r="Y746" s="309"/>
      <c r="Z746" s="292"/>
      <c r="AA746" s="315"/>
      <c r="AB746" s="297"/>
      <c r="AC746" s="292"/>
      <c r="AD746" s="292"/>
      <c r="AE746" s="292"/>
      <c r="AF746" s="303"/>
      <c r="AG746" s="303"/>
      <c r="AH746" s="303"/>
      <c r="AI746" s="303"/>
    </row>
    <row r="747">
      <c r="A747" s="304"/>
      <c r="B747" s="299"/>
      <c r="C747" s="292"/>
      <c r="D747" s="293"/>
      <c r="E747" s="292"/>
      <c r="F747" s="293"/>
      <c r="G747" s="294"/>
      <c r="H747" s="295"/>
      <c r="I747" s="303"/>
      <c r="J747" s="303"/>
      <c r="K747" s="297"/>
      <c r="L747" s="303"/>
      <c r="M747" s="303"/>
      <c r="N747" s="297"/>
      <c r="O747" s="292"/>
      <c r="P747" s="303"/>
      <c r="Q747" s="298"/>
      <c r="R747" s="294"/>
      <c r="S747" s="297"/>
      <c r="T747" s="292"/>
      <c r="U747" s="299"/>
      <c r="V747" s="292"/>
      <c r="W747" s="309"/>
      <c r="X747" s="292"/>
      <c r="Y747" s="309"/>
      <c r="Z747" s="292"/>
      <c r="AA747" s="315"/>
      <c r="AB747" s="297"/>
      <c r="AC747" s="292"/>
      <c r="AD747" s="292"/>
      <c r="AE747" s="292"/>
      <c r="AF747" s="303"/>
      <c r="AG747" s="303"/>
      <c r="AH747" s="303"/>
      <c r="AI747" s="303"/>
    </row>
    <row r="748">
      <c r="A748" s="304"/>
      <c r="B748" s="299"/>
      <c r="C748" s="292"/>
      <c r="D748" s="293"/>
      <c r="E748" s="292"/>
      <c r="F748" s="293"/>
      <c r="G748" s="294"/>
      <c r="H748" s="295"/>
      <c r="I748" s="303"/>
      <c r="J748" s="303"/>
      <c r="K748" s="297"/>
      <c r="L748" s="303"/>
      <c r="M748" s="303"/>
      <c r="N748" s="297"/>
      <c r="O748" s="292"/>
      <c r="P748" s="303"/>
      <c r="Q748" s="298"/>
      <c r="R748" s="294"/>
      <c r="S748" s="297"/>
      <c r="T748" s="292"/>
      <c r="U748" s="299"/>
      <c r="V748" s="292"/>
      <c r="W748" s="309"/>
      <c r="X748" s="292"/>
      <c r="Y748" s="309"/>
      <c r="Z748" s="292"/>
      <c r="AA748" s="315"/>
      <c r="AB748" s="297"/>
      <c r="AC748" s="292"/>
      <c r="AD748" s="292"/>
      <c r="AE748" s="292"/>
      <c r="AF748" s="303"/>
      <c r="AG748" s="303"/>
      <c r="AH748" s="303"/>
      <c r="AI748" s="303"/>
    </row>
    <row r="749">
      <c r="A749" s="304"/>
      <c r="B749" s="299"/>
      <c r="C749" s="292"/>
      <c r="D749" s="293"/>
      <c r="E749" s="292"/>
      <c r="F749" s="293"/>
      <c r="G749" s="294"/>
      <c r="H749" s="295"/>
      <c r="I749" s="303"/>
      <c r="J749" s="303"/>
      <c r="K749" s="297"/>
      <c r="L749" s="303"/>
      <c r="M749" s="303"/>
      <c r="N749" s="297"/>
      <c r="O749" s="292"/>
      <c r="P749" s="303"/>
      <c r="Q749" s="298"/>
      <c r="R749" s="294"/>
      <c r="S749" s="297"/>
      <c r="T749" s="292"/>
      <c r="U749" s="299"/>
      <c r="V749" s="292"/>
      <c r="W749" s="309"/>
      <c r="X749" s="292"/>
      <c r="Y749" s="309"/>
      <c r="Z749" s="292"/>
      <c r="AA749" s="315"/>
      <c r="AB749" s="297"/>
      <c r="AC749" s="292"/>
      <c r="AD749" s="292"/>
      <c r="AE749" s="292"/>
      <c r="AF749" s="303"/>
      <c r="AG749" s="303"/>
      <c r="AH749" s="303"/>
      <c r="AI749" s="303"/>
    </row>
    <row r="750">
      <c r="A750" s="304"/>
      <c r="B750" s="299"/>
      <c r="C750" s="292"/>
      <c r="D750" s="293"/>
      <c r="E750" s="292"/>
      <c r="F750" s="293"/>
      <c r="G750" s="294"/>
      <c r="H750" s="295"/>
      <c r="I750" s="303"/>
      <c r="J750" s="303"/>
      <c r="K750" s="297"/>
      <c r="L750" s="303"/>
      <c r="M750" s="303"/>
      <c r="N750" s="297"/>
      <c r="O750" s="292"/>
      <c r="P750" s="303"/>
      <c r="Q750" s="298"/>
      <c r="R750" s="294"/>
      <c r="S750" s="297"/>
      <c r="T750" s="292"/>
      <c r="U750" s="299"/>
      <c r="V750" s="292"/>
      <c r="W750" s="309"/>
      <c r="X750" s="292"/>
      <c r="Y750" s="309"/>
      <c r="Z750" s="292"/>
      <c r="AA750" s="315"/>
      <c r="AB750" s="297"/>
      <c r="AC750" s="292"/>
      <c r="AD750" s="292"/>
      <c r="AE750" s="292"/>
      <c r="AF750" s="303"/>
      <c r="AG750" s="303"/>
      <c r="AH750" s="303"/>
      <c r="AI750" s="303"/>
    </row>
    <row r="751">
      <c r="A751" s="304"/>
      <c r="B751" s="299"/>
      <c r="C751" s="292"/>
      <c r="D751" s="293"/>
      <c r="E751" s="292"/>
      <c r="F751" s="293"/>
      <c r="G751" s="294"/>
      <c r="H751" s="295"/>
      <c r="I751" s="303"/>
      <c r="J751" s="303"/>
      <c r="K751" s="297"/>
      <c r="L751" s="303"/>
      <c r="M751" s="303"/>
      <c r="N751" s="297"/>
      <c r="O751" s="292"/>
      <c r="P751" s="303"/>
      <c r="Q751" s="298"/>
      <c r="R751" s="294"/>
      <c r="S751" s="297"/>
      <c r="T751" s="292"/>
      <c r="U751" s="299"/>
      <c r="V751" s="292"/>
      <c r="W751" s="309"/>
      <c r="X751" s="292"/>
      <c r="Y751" s="309"/>
      <c r="Z751" s="292"/>
      <c r="AA751" s="315"/>
      <c r="AB751" s="297"/>
      <c r="AC751" s="292"/>
      <c r="AD751" s="292"/>
      <c r="AE751" s="292"/>
      <c r="AF751" s="303"/>
      <c r="AG751" s="303"/>
      <c r="AH751" s="303"/>
      <c r="AI751" s="303"/>
    </row>
    <row r="752">
      <c r="A752" s="304"/>
      <c r="B752" s="299"/>
      <c r="C752" s="292"/>
      <c r="D752" s="293"/>
      <c r="E752" s="292"/>
      <c r="F752" s="293"/>
      <c r="G752" s="294"/>
      <c r="H752" s="295"/>
      <c r="I752" s="303"/>
      <c r="J752" s="303"/>
      <c r="K752" s="297"/>
      <c r="L752" s="303"/>
      <c r="M752" s="303"/>
      <c r="N752" s="297"/>
      <c r="O752" s="292"/>
      <c r="P752" s="303"/>
      <c r="Q752" s="298"/>
      <c r="R752" s="294"/>
      <c r="S752" s="297"/>
      <c r="T752" s="292"/>
      <c r="U752" s="299"/>
      <c r="V752" s="292"/>
      <c r="W752" s="309"/>
      <c r="X752" s="292"/>
      <c r="Y752" s="309"/>
      <c r="Z752" s="292"/>
      <c r="AA752" s="315"/>
      <c r="AB752" s="297"/>
      <c r="AC752" s="292"/>
      <c r="AD752" s="292"/>
      <c r="AE752" s="292"/>
      <c r="AF752" s="303"/>
      <c r="AG752" s="303"/>
      <c r="AH752" s="303"/>
      <c r="AI752" s="303"/>
    </row>
    <row r="753">
      <c r="A753" s="304"/>
      <c r="B753" s="299"/>
      <c r="C753" s="292"/>
      <c r="D753" s="293"/>
      <c r="E753" s="292"/>
      <c r="F753" s="293"/>
      <c r="G753" s="294"/>
      <c r="H753" s="295"/>
      <c r="I753" s="303"/>
      <c r="J753" s="303"/>
      <c r="K753" s="297"/>
      <c r="L753" s="303"/>
      <c r="M753" s="303"/>
      <c r="N753" s="297"/>
      <c r="O753" s="292"/>
      <c r="P753" s="303"/>
      <c r="Q753" s="298"/>
      <c r="R753" s="294"/>
      <c r="S753" s="297"/>
      <c r="T753" s="292"/>
      <c r="U753" s="299"/>
      <c r="V753" s="292"/>
      <c r="W753" s="309"/>
      <c r="X753" s="292"/>
      <c r="Y753" s="309"/>
      <c r="Z753" s="292"/>
      <c r="AA753" s="315"/>
      <c r="AB753" s="297"/>
      <c r="AC753" s="292"/>
      <c r="AD753" s="292"/>
      <c r="AE753" s="292"/>
      <c r="AF753" s="303"/>
      <c r="AG753" s="303"/>
      <c r="AH753" s="303"/>
      <c r="AI753" s="303"/>
    </row>
    <row r="754">
      <c r="A754" s="304"/>
      <c r="B754" s="299"/>
      <c r="C754" s="292"/>
      <c r="D754" s="293"/>
      <c r="E754" s="292"/>
      <c r="F754" s="293"/>
      <c r="G754" s="294"/>
      <c r="H754" s="295"/>
      <c r="I754" s="303"/>
      <c r="J754" s="303"/>
      <c r="K754" s="297"/>
      <c r="L754" s="303"/>
      <c r="M754" s="303"/>
      <c r="N754" s="297"/>
      <c r="O754" s="292"/>
      <c r="P754" s="303"/>
      <c r="Q754" s="298"/>
      <c r="R754" s="294"/>
      <c r="S754" s="297"/>
      <c r="T754" s="292"/>
      <c r="U754" s="299"/>
      <c r="V754" s="292"/>
      <c r="W754" s="309"/>
      <c r="X754" s="292"/>
      <c r="Y754" s="309"/>
      <c r="Z754" s="292"/>
      <c r="AA754" s="315"/>
      <c r="AB754" s="297"/>
      <c r="AC754" s="292"/>
      <c r="AD754" s="292"/>
      <c r="AE754" s="292"/>
      <c r="AF754" s="303"/>
      <c r="AG754" s="303"/>
      <c r="AH754" s="303"/>
      <c r="AI754" s="303"/>
    </row>
    <row r="755">
      <c r="A755" s="304"/>
      <c r="B755" s="299"/>
      <c r="C755" s="292"/>
      <c r="D755" s="293"/>
      <c r="E755" s="292"/>
      <c r="F755" s="293"/>
      <c r="G755" s="294"/>
      <c r="H755" s="295"/>
      <c r="I755" s="303"/>
      <c r="J755" s="303"/>
      <c r="K755" s="297"/>
      <c r="L755" s="303"/>
      <c r="M755" s="303"/>
      <c r="N755" s="297"/>
      <c r="O755" s="292"/>
      <c r="P755" s="303"/>
      <c r="Q755" s="298"/>
      <c r="R755" s="294"/>
      <c r="S755" s="297"/>
      <c r="T755" s="292"/>
      <c r="U755" s="299"/>
      <c r="V755" s="292"/>
      <c r="W755" s="309"/>
      <c r="X755" s="292"/>
      <c r="Y755" s="309"/>
      <c r="Z755" s="292"/>
      <c r="AA755" s="315"/>
      <c r="AB755" s="297"/>
      <c r="AC755" s="292"/>
      <c r="AD755" s="292"/>
      <c r="AE755" s="292"/>
      <c r="AF755" s="303"/>
      <c r="AG755" s="303"/>
      <c r="AH755" s="303"/>
      <c r="AI755" s="303"/>
    </row>
    <row r="756">
      <c r="A756" s="304"/>
      <c r="B756" s="299"/>
      <c r="C756" s="292"/>
      <c r="D756" s="293"/>
      <c r="E756" s="292"/>
      <c r="F756" s="293"/>
      <c r="G756" s="294"/>
      <c r="H756" s="295"/>
      <c r="I756" s="303"/>
      <c r="J756" s="303"/>
      <c r="K756" s="297"/>
      <c r="L756" s="303"/>
      <c r="M756" s="303"/>
      <c r="N756" s="297"/>
      <c r="O756" s="292"/>
      <c r="P756" s="303"/>
      <c r="Q756" s="298"/>
      <c r="R756" s="294"/>
      <c r="S756" s="297"/>
      <c r="T756" s="292"/>
      <c r="U756" s="299"/>
      <c r="V756" s="292"/>
      <c r="W756" s="309"/>
      <c r="X756" s="292"/>
      <c r="Y756" s="309"/>
      <c r="Z756" s="292"/>
      <c r="AA756" s="315"/>
      <c r="AB756" s="297"/>
      <c r="AC756" s="292"/>
      <c r="AD756" s="292"/>
      <c r="AE756" s="292"/>
      <c r="AF756" s="303"/>
      <c r="AG756" s="303"/>
      <c r="AH756" s="303"/>
      <c r="AI756" s="303"/>
    </row>
    <row r="757">
      <c r="A757" s="304"/>
      <c r="B757" s="299"/>
      <c r="C757" s="292"/>
      <c r="D757" s="293"/>
      <c r="E757" s="292"/>
      <c r="F757" s="293"/>
      <c r="G757" s="294"/>
      <c r="H757" s="295"/>
      <c r="I757" s="303"/>
      <c r="J757" s="303"/>
      <c r="K757" s="297"/>
      <c r="L757" s="303"/>
      <c r="M757" s="303"/>
      <c r="N757" s="297"/>
      <c r="O757" s="292"/>
      <c r="P757" s="303"/>
      <c r="Q757" s="298"/>
      <c r="R757" s="294"/>
      <c r="S757" s="297"/>
      <c r="T757" s="292"/>
      <c r="U757" s="299"/>
      <c r="V757" s="292"/>
      <c r="W757" s="309"/>
      <c r="X757" s="292"/>
      <c r="Y757" s="309"/>
      <c r="Z757" s="292"/>
      <c r="AA757" s="315"/>
      <c r="AB757" s="297"/>
      <c r="AC757" s="292"/>
      <c r="AD757" s="292"/>
      <c r="AE757" s="292"/>
      <c r="AF757" s="303"/>
      <c r="AG757" s="303"/>
      <c r="AH757" s="303"/>
      <c r="AI757" s="303"/>
    </row>
    <row r="758">
      <c r="A758" s="304"/>
      <c r="B758" s="299"/>
      <c r="C758" s="292"/>
      <c r="D758" s="293"/>
      <c r="E758" s="292"/>
      <c r="F758" s="293"/>
      <c r="G758" s="294"/>
      <c r="H758" s="295"/>
      <c r="I758" s="303"/>
      <c r="J758" s="303"/>
      <c r="K758" s="297"/>
      <c r="L758" s="303"/>
      <c r="M758" s="303"/>
      <c r="N758" s="297"/>
      <c r="O758" s="292"/>
      <c r="P758" s="303"/>
      <c r="Q758" s="298"/>
      <c r="R758" s="294"/>
      <c r="S758" s="297"/>
      <c r="T758" s="292"/>
      <c r="U758" s="299"/>
      <c r="V758" s="292"/>
      <c r="W758" s="309"/>
      <c r="X758" s="292"/>
      <c r="Y758" s="309"/>
      <c r="Z758" s="292"/>
      <c r="AA758" s="315"/>
      <c r="AB758" s="297"/>
      <c r="AC758" s="292"/>
      <c r="AD758" s="292"/>
      <c r="AE758" s="292"/>
      <c r="AF758" s="303"/>
      <c r="AG758" s="303"/>
      <c r="AH758" s="303"/>
      <c r="AI758" s="303"/>
    </row>
    <row r="759">
      <c r="A759" s="304"/>
      <c r="B759" s="299"/>
      <c r="C759" s="292"/>
      <c r="D759" s="293"/>
      <c r="E759" s="292"/>
      <c r="F759" s="293"/>
      <c r="G759" s="294"/>
      <c r="H759" s="295"/>
      <c r="I759" s="303"/>
      <c r="J759" s="303"/>
      <c r="K759" s="297"/>
      <c r="L759" s="303"/>
      <c r="M759" s="303"/>
      <c r="N759" s="297"/>
      <c r="O759" s="292"/>
      <c r="P759" s="303"/>
      <c r="Q759" s="298"/>
      <c r="R759" s="294"/>
      <c r="S759" s="297"/>
      <c r="T759" s="292"/>
      <c r="U759" s="299"/>
      <c r="V759" s="292"/>
      <c r="W759" s="309"/>
      <c r="X759" s="292"/>
      <c r="Y759" s="309"/>
      <c r="Z759" s="292"/>
      <c r="AA759" s="315"/>
      <c r="AB759" s="297"/>
      <c r="AC759" s="292"/>
      <c r="AD759" s="292"/>
      <c r="AE759" s="292"/>
      <c r="AF759" s="303"/>
      <c r="AG759" s="303"/>
      <c r="AH759" s="303"/>
      <c r="AI759" s="303"/>
    </row>
    <row r="760">
      <c r="A760" s="304"/>
      <c r="B760" s="299"/>
      <c r="C760" s="292"/>
      <c r="D760" s="293"/>
      <c r="E760" s="292"/>
      <c r="F760" s="293"/>
      <c r="G760" s="294"/>
      <c r="H760" s="295"/>
      <c r="I760" s="303"/>
      <c r="J760" s="303"/>
      <c r="K760" s="297"/>
      <c r="L760" s="303"/>
      <c r="M760" s="303"/>
      <c r="N760" s="297"/>
      <c r="O760" s="292"/>
      <c r="P760" s="303"/>
      <c r="Q760" s="298"/>
      <c r="R760" s="294"/>
      <c r="S760" s="297"/>
      <c r="T760" s="292"/>
      <c r="U760" s="299"/>
      <c r="V760" s="292"/>
      <c r="W760" s="309"/>
      <c r="X760" s="292"/>
      <c r="Y760" s="309"/>
      <c r="Z760" s="292"/>
      <c r="AA760" s="315"/>
      <c r="AB760" s="297"/>
      <c r="AC760" s="292"/>
      <c r="AD760" s="292"/>
      <c r="AE760" s="292"/>
      <c r="AF760" s="303"/>
      <c r="AG760" s="303"/>
      <c r="AH760" s="303"/>
      <c r="AI760" s="303"/>
    </row>
    <row r="761">
      <c r="A761" s="304"/>
      <c r="B761" s="299"/>
      <c r="C761" s="292"/>
      <c r="D761" s="293"/>
      <c r="E761" s="292"/>
      <c r="F761" s="293"/>
      <c r="G761" s="294"/>
      <c r="H761" s="295"/>
      <c r="I761" s="303"/>
      <c r="J761" s="303"/>
      <c r="K761" s="297"/>
      <c r="L761" s="303"/>
      <c r="M761" s="303"/>
      <c r="N761" s="297"/>
      <c r="O761" s="292"/>
      <c r="P761" s="303"/>
      <c r="Q761" s="298"/>
      <c r="R761" s="294"/>
      <c r="S761" s="297"/>
      <c r="T761" s="292"/>
      <c r="U761" s="299"/>
      <c r="V761" s="292"/>
      <c r="W761" s="309"/>
      <c r="X761" s="292"/>
      <c r="Y761" s="309"/>
      <c r="Z761" s="292"/>
      <c r="AA761" s="315"/>
      <c r="AB761" s="297"/>
      <c r="AC761" s="292"/>
      <c r="AD761" s="292"/>
      <c r="AE761" s="292"/>
      <c r="AF761" s="303"/>
      <c r="AG761" s="303"/>
      <c r="AH761" s="303"/>
      <c r="AI761" s="303"/>
    </row>
    <row r="762">
      <c r="A762" s="304"/>
      <c r="B762" s="299"/>
      <c r="C762" s="292"/>
      <c r="D762" s="293"/>
      <c r="E762" s="292"/>
      <c r="F762" s="293"/>
      <c r="G762" s="294"/>
      <c r="H762" s="295"/>
      <c r="I762" s="303"/>
      <c r="J762" s="303"/>
      <c r="K762" s="297"/>
      <c r="L762" s="303"/>
      <c r="M762" s="303"/>
      <c r="N762" s="297"/>
      <c r="O762" s="292"/>
      <c r="P762" s="303"/>
      <c r="Q762" s="298"/>
      <c r="R762" s="294"/>
      <c r="S762" s="297"/>
      <c r="T762" s="292"/>
      <c r="U762" s="299"/>
      <c r="V762" s="292"/>
      <c r="W762" s="309"/>
      <c r="X762" s="292"/>
      <c r="Y762" s="309"/>
      <c r="Z762" s="292"/>
      <c r="AA762" s="315"/>
      <c r="AB762" s="297"/>
      <c r="AC762" s="292"/>
      <c r="AD762" s="292"/>
      <c r="AE762" s="292"/>
      <c r="AF762" s="303"/>
      <c r="AG762" s="303"/>
      <c r="AH762" s="303"/>
      <c r="AI762" s="303"/>
    </row>
    <row r="763">
      <c r="A763" s="304"/>
      <c r="B763" s="299"/>
      <c r="C763" s="292"/>
      <c r="D763" s="293"/>
      <c r="E763" s="292"/>
      <c r="F763" s="293"/>
      <c r="G763" s="294"/>
      <c r="H763" s="295"/>
      <c r="I763" s="303"/>
      <c r="J763" s="303"/>
      <c r="K763" s="297"/>
      <c r="L763" s="303"/>
      <c r="M763" s="303"/>
      <c r="N763" s="297"/>
      <c r="O763" s="292"/>
      <c r="P763" s="303"/>
      <c r="Q763" s="298"/>
      <c r="R763" s="294"/>
      <c r="S763" s="297"/>
      <c r="T763" s="292"/>
      <c r="U763" s="299"/>
      <c r="V763" s="292"/>
      <c r="W763" s="309"/>
      <c r="X763" s="292"/>
      <c r="Y763" s="309"/>
      <c r="Z763" s="292"/>
      <c r="AA763" s="315"/>
      <c r="AB763" s="297"/>
      <c r="AC763" s="292"/>
      <c r="AD763" s="292"/>
      <c r="AE763" s="292"/>
      <c r="AF763" s="303"/>
      <c r="AG763" s="303"/>
      <c r="AH763" s="303"/>
      <c r="AI763" s="303"/>
    </row>
    <row r="764">
      <c r="A764" s="304"/>
      <c r="B764" s="299"/>
      <c r="C764" s="292"/>
      <c r="D764" s="293"/>
      <c r="E764" s="292"/>
      <c r="F764" s="293"/>
      <c r="G764" s="294"/>
      <c r="H764" s="295"/>
      <c r="I764" s="303"/>
      <c r="J764" s="303"/>
      <c r="K764" s="297"/>
      <c r="L764" s="303"/>
      <c r="M764" s="303"/>
      <c r="N764" s="297"/>
      <c r="O764" s="292"/>
      <c r="P764" s="303"/>
      <c r="Q764" s="298"/>
      <c r="R764" s="294"/>
      <c r="S764" s="297"/>
      <c r="T764" s="292"/>
      <c r="U764" s="299"/>
      <c r="V764" s="292"/>
      <c r="W764" s="309"/>
      <c r="X764" s="292"/>
      <c r="Y764" s="309"/>
      <c r="Z764" s="292"/>
      <c r="AA764" s="315"/>
      <c r="AB764" s="297"/>
      <c r="AC764" s="292"/>
      <c r="AD764" s="292"/>
      <c r="AE764" s="292"/>
      <c r="AF764" s="303"/>
      <c r="AG764" s="303"/>
      <c r="AH764" s="303"/>
      <c r="AI764" s="303"/>
    </row>
    <row r="765">
      <c r="A765" s="304"/>
      <c r="B765" s="299"/>
      <c r="C765" s="292"/>
      <c r="D765" s="293"/>
      <c r="E765" s="292"/>
      <c r="F765" s="293"/>
      <c r="G765" s="294"/>
      <c r="H765" s="295"/>
      <c r="I765" s="303"/>
      <c r="J765" s="303"/>
      <c r="K765" s="297"/>
      <c r="L765" s="303"/>
      <c r="M765" s="303"/>
      <c r="N765" s="297"/>
      <c r="O765" s="292"/>
      <c r="P765" s="303"/>
      <c r="Q765" s="298"/>
      <c r="R765" s="294"/>
      <c r="S765" s="297"/>
      <c r="T765" s="292"/>
      <c r="U765" s="299"/>
      <c r="V765" s="292"/>
      <c r="W765" s="309"/>
      <c r="X765" s="292"/>
      <c r="Y765" s="309"/>
      <c r="Z765" s="292"/>
      <c r="AA765" s="315"/>
      <c r="AB765" s="297"/>
      <c r="AC765" s="292"/>
      <c r="AD765" s="292"/>
      <c r="AE765" s="292"/>
      <c r="AF765" s="303"/>
      <c r="AG765" s="303"/>
      <c r="AH765" s="303"/>
      <c r="AI765" s="303"/>
    </row>
    <row r="766">
      <c r="A766" s="304"/>
      <c r="B766" s="299"/>
      <c r="C766" s="292"/>
      <c r="D766" s="293"/>
      <c r="E766" s="292"/>
      <c r="F766" s="293"/>
      <c r="G766" s="294"/>
      <c r="H766" s="295"/>
      <c r="I766" s="303"/>
      <c r="J766" s="303"/>
      <c r="K766" s="297"/>
      <c r="L766" s="303"/>
      <c r="M766" s="303"/>
      <c r="N766" s="297"/>
      <c r="O766" s="292"/>
      <c r="P766" s="303"/>
      <c r="Q766" s="298"/>
      <c r="R766" s="294"/>
      <c r="S766" s="297"/>
      <c r="T766" s="292"/>
      <c r="U766" s="299"/>
      <c r="V766" s="292"/>
      <c r="W766" s="309"/>
      <c r="X766" s="292"/>
      <c r="Y766" s="309"/>
      <c r="Z766" s="292"/>
      <c r="AA766" s="315"/>
      <c r="AB766" s="297"/>
      <c r="AC766" s="292"/>
      <c r="AD766" s="292"/>
      <c r="AE766" s="292"/>
      <c r="AF766" s="303"/>
      <c r="AG766" s="303"/>
      <c r="AH766" s="303"/>
      <c r="AI766" s="303"/>
    </row>
    <row r="767">
      <c r="A767" s="304"/>
      <c r="B767" s="299"/>
      <c r="C767" s="292"/>
      <c r="D767" s="293"/>
      <c r="E767" s="292"/>
      <c r="F767" s="293"/>
      <c r="G767" s="294"/>
      <c r="H767" s="295"/>
      <c r="I767" s="303"/>
      <c r="J767" s="303"/>
      <c r="K767" s="297"/>
      <c r="L767" s="303"/>
      <c r="M767" s="303"/>
      <c r="N767" s="297"/>
      <c r="O767" s="292"/>
      <c r="P767" s="303"/>
      <c r="Q767" s="298"/>
      <c r="R767" s="294"/>
      <c r="S767" s="297"/>
      <c r="T767" s="292"/>
      <c r="U767" s="299"/>
      <c r="V767" s="292"/>
      <c r="W767" s="309"/>
      <c r="X767" s="292"/>
      <c r="Y767" s="309"/>
      <c r="Z767" s="292"/>
      <c r="AA767" s="315"/>
      <c r="AB767" s="297"/>
      <c r="AC767" s="292"/>
      <c r="AD767" s="292"/>
      <c r="AE767" s="292"/>
      <c r="AF767" s="303"/>
      <c r="AG767" s="303"/>
      <c r="AH767" s="303"/>
      <c r="AI767" s="303"/>
    </row>
    <row r="768">
      <c r="A768" s="304"/>
      <c r="B768" s="299"/>
      <c r="C768" s="292"/>
      <c r="D768" s="293"/>
      <c r="E768" s="292"/>
      <c r="F768" s="293"/>
      <c r="G768" s="294"/>
      <c r="H768" s="295"/>
      <c r="I768" s="303"/>
      <c r="J768" s="303"/>
      <c r="K768" s="297"/>
      <c r="L768" s="303"/>
      <c r="M768" s="303"/>
      <c r="N768" s="297"/>
      <c r="O768" s="292"/>
      <c r="P768" s="303"/>
      <c r="Q768" s="298"/>
      <c r="R768" s="294"/>
      <c r="S768" s="297"/>
      <c r="T768" s="292"/>
      <c r="U768" s="299"/>
      <c r="V768" s="292"/>
      <c r="W768" s="309"/>
      <c r="X768" s="292"/>
      <c r="Y768" s="309"/>
      <c r="Z768" s="292"/>
      <c r="AA768" s="315"/>
      <c r="AB768" s="297"/>
      <c r="AC768" s="292"/>
      <c r="AD768" s="292"/>
      <c r="AE768" s="292"/>
      <c r="AF768" s="303"/>
      <c r="AG768" s="303"/>
      <c r="AH768" s="303"/>
      <c r="AI768" s="303"/>
    </row>
    <row r="769">
      <c r="A769" s="304"/>
      <c r="B769" s="299"/>
      <c r="C769" s="292"/>
      <c r="D769" s="293"/>
      <c r="E769" s="292"/>
      <c r="F769" s="293"/>
      <c r="G769" s="294"/>
      <c r="H769" s="295"/>
      <c r="I769" s="303"/>
      <c r="J769" s="303"/>
      <c r="K769" s="297"/>
      <c r="L769" s="303"/>
      <c r="M769" s="303"/>
      <c r="N769" s="297"/>
      <c r="O769" s="292"/>
      <c r="P769" s="303"/>
      <c r="Q769" s="298"/>
      <c r="R769" s="294"/>
      <c r="S769" s="297"/>
      <c r="T769" s="292"/>
      <c r="U769" s="299"/>
      <c r="V769" s="292"/>
      <c r="W769" s="309"/>
      <c r="X769" s="292"/>
      <c r="Y769" s="309"/>
      <c r="Z769" s="292"/>
      <c r="AA769" s="315"/>
      <c r="AB769" s="297"/>
      <c r="AC769" s="292"/>
      <c r="AD769" s="292"/>
      <c r="AE769" s="292"/>
      <c r="AF769" s="303"/>
      <c r="AG769" s="303"/>
      <c r="AH769" s="303"/>
      <c r="AI769" s="303"/>
    </row>
    <row r="770">
      <c r="A770" s="304"/>
      <c r="B770" s="299"/>
      <c r="C770" s="292"/>
      <c r="D770" s="293"/>
      <c r="E770" s="292"/>
      <c r="F770" s="293"/>
      <c r="G770" s="294"/>
      <c r="H770" s="295"/>
      <c r="I770" s="303"/>
      <c r="J770" s="303"/>
      <c r="K770" s="297"/>
      <c r="L770" s="303"/>
      <c r="M770" s="303"/>
      <c r="N770" s="297"/>
      <c r="O770" s="292"/>
      <c r="P770" s="303"/>
      <c r="Q770" s="298"/>
      <c r="R770" s="294"/>
      <c r="S770" s="297"/>
      <c r="T770" s="292"/>
      <c r="U770" s="299"/>
      <c r="V770" s="292"/>
      <c r="W770" s="309"/>
      <c r="X770" s="292"/>
      <c r="Y770" s="309"/>
      <c r="Z770" s="292"/>
      <c r="AA770" s="315"/>
      <c r="AB770" s="297"/>
      <c r="AC770" s="292"/>
      <c r="AD770" s="292"/>
      <c r="AE770" s="292"/>
      <c r="AF770" s="303"/>
      <c r="AG770" s="303"/>
      <c r="AH770" s="303"/>
      <c r="AI770" s="303"/>
    </row>
    <row r="771">
      <c r="A771" s="304"/>
      <c r="B771" s="299"/>
      <c r="C771" s="292"/>
      <c r="D771" s="293"/>
      <c r="E771" s="292"/>
      <c r="F771" s="293"/>
      <c r="G771" s="294"/>
      <c r="H771" s="295"/>
      <c r="I771" s="303"/>
      <c r="J771" s="303"/>
      <c r="K771" s="297"/>
      <c r="L771" s="303"/>
      <c r="M771" s="303"/>
      <c r="N771" s="297"/>
      <c r="O771" s="292"/>
      <c r="P771" s="303"/>
      <c r="Q771" s="298"/>
      <c r="R771" s="294"/>
      <c r="S771" s="297"/>
      <c r="T771" s="292"/>
      <c r="U771" s="299"/>
      <c r="V771" s="292"/>
      <c r="W771" s="309"/>
      <c r="X771" s="292"/>
      <c r="Y771" s="309"/>
      <c r="Z771" s="292"/>
      <c r="AA771" s="315"/>
      <c r="AB771" s="297"/>
      <c r="AC771" s="292"/>
      <c r="AD771" s="292"/>
      <c r="AE771" s="292"/>
      <c r="AF771" s="303"/>
      <c r="AG771" s="303"/>
      <c r="AH771" s="303"/>
      <c r="AI771" s="303"/>
    </row>
    <row r="772">
      <c r="A772" s="304"/>
      <c r="B772" s="299"/>
      <c r="C772" s="292"/>
      <c r="D772" s="293"/>
      <c r="E772" s="292"/>
      <c r="F772" s="293"/>
      <c r="G772" s="294"/>
      <c r="H772" s="295"/>
      <c r="I772" s="303"/>
      <c r="J772" s="303"/>
      <c r="K772" s="297"/>
      <c r="L772" s="303"/>
      <c r="M772" s="303"/>
      <c r="N772" s="297"/>
      <c r="O772" s="292"/>
      <c r="P772" s="303"/>
      <c r="Q772" s="298"/>
      <c r="R772" s="294"/>
      <c r="S772" s="297"/>
      <c r="T772" s="292"/>
      <c r="U772" s="299"/>
      <c r="V772" s="292"/>
      <c r="W772" s="309"/>
      <c r="X772" s="292"/>
      <c r="Y772" s="309"/>
      <c r="Z772" s="292"/>
      <c r="AA772" s="315"/>
      <c r="AB772" s="297"/>
      <c r="AC772" s="292"/>
      <c r="AD772" s="292"/>
      <c r="AE772" s="292"/>
      <c r="AF772" s="303"/>
      <c r="AG772" s="303"/>
      <c r="AH772" s="303"/>
      <c r="AI772" s="303"/>
    </row>
    <row r="773">
      <c r="A773" s="304"/>
      <c r="B773" s="299"/>
      <c r="C773" s="292"/>
      <c r="D773" s="293"/>
      <c r="E773" s="292"/>
      <c r="F773" s="293"/>
      <c r="G773" s="294"/>
      <c r="H773" s="295"/>
      <c r="I773" s="303"/>
      <c r="J773" s="303"/>
      <c r="K773" s="297"/>
      <c r="L773" s="303"/>
      <c r="M773" s="303"/>
      <c r="N773" s="297"/>
      <c r="O773" s="292"/>
      <c r="P773" s="303"/>
      <c r="Q773" s="298"/>
      <c r="R773" s="294"/>
      <c r="S773" s="297"/>
      <c r="T773" s="292"/>
      <c r="U773" s="299"/>
      <c r="V773" s="292"/>
      <c r="W773" s="309"/>
      <c r="X773" s="292"/>
      <c r="Y773" s="309"/>
      <c r="Z773" s="292"/>
      <c r="AA773" s="315"/>
      <c r="AB773" s="297"/>
      <c r="AC773" s="292"/>
      <c r="AD773" s="292"/>
      <c r="AE773" s="292"/>
      <c r="AF773" s="303"/>
      <c r="AG773" s="303"/>
      <c r="AH773" s="303"/>
      <c r="AI773" s="303"/>
    </row>
    <row r="774">
      <c r="A774" s="304"/>
      <c r="B774" s="299"/>
      <c r="C774" s="292"/>
      <c r="D774" s="293"/>
      <c r="E774" s="292"/>
      <c r="F774" s="293"/>
      <c r="G774" s="294"/>
      <c r="H774" s="295"/>
      <c r="I774" s="303"/>
      <c r="J774" s="303"/>
      <c r="K774" s="297"/>
      <c r="L774" s="303"/>
      <c r="M774" s="303"/>
      <c r="N774" s="297"/>
      <c r="O774" s="292"/>
      <c r="P774" s="303"/>
      <c r="Q774" s="298"/>
      <c r="R774" s="294"/>
      <c r="S774" s="297"/>
      <c r="T774" s="292"/>
      <c r="U774" s="299"/>
      <c r="V774" s="292"/>
      <c r="W774" s="309"/>
      <c r="X774" s="292"/>
      <c r="Y774" s="309"/>
      <c r="Z774" s="292"/>
      <c r="AA774" s="315"/>
      <c r="AB774" s="297"/>
      <c r="AC774" s="292"/>
      <c r="AD774" s="292"/>
      <c r="AE774" s="292"/>
      <c r="AF774" s="303"/>
      <c r="AG774" s="303"/>
      <c r="AH774" s="303"/>
      <c r="AI774" s="303"/>
    </row>
    <row r="775">
      <c r="A775" s="304"/>
      <c r="B775" s="299"/>
      <c r="C775" s="292"/>
      <c r="D775" s="293"/>
      <c r="E775" s="292"/>
      <c r="F775" s="293"/>
      <c r="G775" s="294"/>
      <c r="H775" s="295"/>
      <c r="I775" s="303"/>
      <c r="J775" s="303"/>
      <c r="K775" s="297"/>
      <c r="L775" s="303"/>
      <c r="M775" s="303"/>
      <c r="N775" s="297"/>
      <c r="O775" s="292"/>
      <c r="P775" s="303"/>
      <c r="Q775" s="298"/>
      <c r="R775" s="294"/>
      <c r="S775" s="297"/>
      <c r="T775" s="292"/>
      <c r="U775" s="299"/>
      <c r="V775" s="292"/>
      <c r="W775" s="309"/>
      <c r="X775" s="292"/>
      <c r="Y775" s="309"/>
      <c r="Z775" s="292"/>
      <c r="AA775" s="315"/>
      <c r="AB775" s="297"/>
      <c r="AC775" s="292"/>
      <c r="AD775" s="292"/>
      <c r="AE775" s="292"/>
      <c r="AF775" s="303"/>
      <c r="AG775" s="303"/>
      <c r="AH775" s="303"/>
      <c r="AI775" s="303"/>
    </row>
    <row r="776">
      <c r="A776" s="304"/>
      <c r="B776" s="299"/>
      <c r="C776" s="292"/>
      <c r="D776" s="293"/>
      <c r="E776" s="292"/>
      <c r="F776" s="293"/>
      <c r="G776" s="294"/>
      <c r="H776" s="295"/>
      <c r="I776" s="303"/>
      <c r="J776" s="303"/>
      <c r="K776" s="297"/>
      <c r="L776" s="303"/>
      <c r="M776" s="303"/>
      <c r="N776" s="297"/>
      <c r="O776" s="292"/>
      <c r="P776" s="303"/>
      <c r="Q776" s="298"/>
      <c r="R776" s="294"/>
      <c r="S776" s="297"/>
      <c r="T776" s="292"/>
      <c r="U776" s="299"/>
      <c r="V776" s="292"/>
      <c r="W776" s="309"/>
      <c r="X776" s="292"/>
      <c r="Y776" s="309"/>
      <c r="Z776" s="292"/>
      <c r="AA776" s="315"/>
      <c r="AB776" s="297"/>
      <c r="AC776" s="292"/>
      <c r="AD776" s="292"/>
      <c r="AE776" s="292"/>
      <c r="AF776" s="303"/>
      <c r="AG776" s="303"/>
      <c r="AH776" s="303"/>
      <c r="AI776" s="303"/>
    </row>
    <row r="777">
      <c r="A777" s="304"/>
      <c r="B777" s="299"/>
      <c r="C777" s="292"/>
      <c r="D777" s="293"/>
      <c r="E777" s="292"/>
      <c r="F777" s="293"/>
      <c r="G777" s="294"/>
      <c r="H777" s="295"/>
      <c r="I777" s="303"/>
      <c r="J777" s="303"/>
      <c r="K777" s="297"/>
      <c r="L777" s="303"/>
      <c r="M777" s="303"/>
      <c r="N777" s="297"/>
      <c r="O777" s="292"/>
      <c r="P777" s="303"/>
      <c r="Q777" s="298"/>
      <c r="R777" s="294"/>
      <c r="S777" s="297"/>
      <c r="T777" s="292"/>
      <c r="U777" s="299"/>
      <c r="V777" s="292"/>
      <c r="W777" s="309"/>
      <c r="X777" s="292"/>
      <c r="Y777" s="309"/>
      <c r="Z777" s="292"/>
      <c r="AA777" s="315"/>
      <c r="AB777" s="297"/>
      <c r="AC777" s="292"/>
      <c r="AD777" s="292"/>
      <c r="AE777" s="292"/>
      <c r="AF777" s="303"/>
      <c r="AG777" s="303"/>
      <c r="AH777" s="303"/>
      <c r="AI777" s="303"/>
    </row>
    <row r="778">
      <c r="A778" s="304"/>
      <c r="B778" s="299"/>
      <c r="C778" s="292"/>
      <c r="D778" s="293"/>
      <c r="E778" s="292"/>
      <c r="F778" s="293"/>
      <c r="G778" s="294"/>
      <c r="H778" s="295"/>
      <c r="I778" s="303"/>
      <c r="J778" s="303"/>
      <c r="K778" s="297"/>
      <c r="L778" s="303"/>
      <c r="M778" s="303"/>
      <c r="N778" s="297"/>
      <c r="O778" s="292"/>
      <c r="P778" s="303"/>
      <c r="Q778" s="298"/>
      <c r="R778" s="294"/>
      <c r="S778" s="297"/>
      <c r="T778" s="292"/>
      <c r="U778" s="299"/>
      <c r="V778" s="292"/>
      <c r="W778" s="309"/>
      <c r="X778" s="292"/>
      <c r="Y778" s="309"/>
      <c r="Z778" s="292"/>
      <c r="AA778" s="315"/>
      <c r="AB778" s="297"/>
      <c r="AC778" s="292"/>
      <c r="AD778" s="292"/>
      <c r="AE778" s="292"/>
      <c r="AF778" s="303"/>
      <c r="AG778" s="303"/>
      <c r="AH778" s="303"/>
      <c r="AI778" s="303"/>
    </row>
    <row r="779">
      <c r="A779" s="304"/>
      <c r="B779" s="299"/>
      <c r="C779" s="292"/>
      <c r="D779" s="293"/>
      <c r="E779" s="292"/>
      <c r="F779" s="293"/>
      <c r="G779" s="294"/>
      <c r="H779" s="295"/>
      <c r="I779" s="303"/>
      <c r="J779" s="303"/>
      <c r="K779" s="297"/>
      <c r="L779" s="303"/>
      <c r="M779" s="303"/>
      <c r="N779" s="297"/>
      <c r="O779" s="292"/>
      <c r="P779" s="303"/>
      <c r="Q779" s="298"/>
      <c r="R779" s="294"/>
      <c r="S779" s="297"/>
      <c r="T779" s="292"/>
      <c r="U779" s="299"/>
      <c r="V779" s="292"/>
      <c r="W779" s="309"/>
      <c r="X779" s="292"/>
      <c r="Y779" s="309"/>
      <c r="Z779" s="292"/>
      <c r="AA779" s="315"/>
      <c r="AB779" s="297"/>
      <c r="AC779" s="292"/>
      <c r="AD779" s="292"/>
      <c r="AE779" s="292"/>
      <c r="AF779" s="303"/>
      <c r="AG779" s="303"/>
      <c r="AH779" s="303"/>
      <c r="AI779" s="303"/>
    </row>
    <row r="780">
      <c r="A780" s="304"/>
      <c r="B780" s="299"/>
      <c r="C780" s="292"/>
      <c r="D780" s="293"/>
      <c r="E780" s="292"/>
      <c r="F780" s="293"/>
      <c r="G780" s="294"/>
      <c r="H780" s="295"/>
      <c r="I780" s="303"/>
      <c r="J780" s="303"/>
      <c r="K780" s="297"/>
      <c r="L780" s="303"/>
      <c r="M780" s="303"/>
      <c r="N780" s="297"/>
      <c r="O780" s="292"/>
      <c r="P780" s="303"/>
      <c r="Q780" s="298"/>
      <c r="R780" s="294"/>
      <c r="S780" s="297"/>
      <c r="T780" s="292"/>
      <c r="U780" s="299"/>
      <c r="V780" s="292"/>
      <c r="W780" s="309"/>
      <c r="X780" s="292"/>
      <c r="Y780" s="309"/>
      <c r="Z780" s="292"/>
      <c r="AA780" s="315"/>
      <c r="AB780" s="297"/>
      <c r="AC780" s="292"/>
      <c r="AD780" s="292"/>
      <c r="AE780" s="292"/>
      <c r="AF780" s="303"/>
      <c r="AG780" s="303"/>
      <c r="AH780" s="303"/>
      <c r="AI780" s="303"/>
    </row>
    <row r="781">
      <c r="A781" s="304"/>
      <c r="B781" s="299"/>
      <c r="C781" s="292"/>
      <c r="D781" s="293"/>
      <c r="E781" s="292"/>
      <c r="F781" s="293"/>
      <c r="G781" s="294"/>
      <c r="H781" s="295"/>
      <c r="I781" s="303"/>
      <c r="J781" s="303"/>
      <c r="K781" s="297"/>
      <c r="L781" s="303"/>
      <c r="M781" s="303"/>
      <c r="N781" s="297"/>
      <c r="O781" s="292"/>
      <c r="P781" s="303"/>
      <c r="Q781" s="298"/>
      <c r="R781" s="294"/>
      <c r="S781" s="297"/>
      <c r="T781" s="292"/>
      <c r="U781" s="299"/>
      <c r="V781" s="292"/>
      <c r="W781" s="309"/>
      <c r="X781" s="292"/>
      <c r="Y781" s="309"/>
      <c r="Z781" s="292"/>
      <c r="AA781" s="315"/>
      <c r="AB781" s="297"/>
      <c r="AC781" s="292"/>
      <c r="AD781" s="292"/>
      <c r="AE781" s="292"/>
      <c r="AF781" s="303"/>
      <c r="AG781" s="303"/>
      <c r="AH781" s="303"/>
      <c r="AI781" s="303"/>
    </row>
    <row r="782">
      <c r="A782" s="304"/>
      <c r="B782" s="299"/>
      <c r="C782" s="292"/>
      <c r="D782" s="293"/>
      <c r="E782" s="292"/>
      <c r="F782" s="293"/>
      <c r="G782" s="294"/>
      <c r="H782" s="295"/>
      <c r="I782" s="303"/>
      <c r="J782" s="303"/>
      <c r="K782" s="297"/>
      <c r="L782" s="303"/>
      <c r="M782" s="303"/>
      <c r="N782" s="297"/>
      <c r="O782" s="292"/>
      <c r="P782" s="303"/>
      <c r="Q782" s="298"/>
      <c r="R782" s="294"/>
      <c r="S782" s="297"/>
      <c r="T782" s="292"/>
      <c r="U782" s="299"/>
      <c r="V782" s="292"/>
      <c r="W782" s="309"/>
      <c r="X782" s="292"/>
      <c r="Y782" s="309"/>
      <c r="Z782" s="292"/>
      <c r="AA782" s="315"/>
      <c r="AB782" s="297"/>
      <c r="AC782" s="292"/>
      <c r="AD782" s="292"/>
      <c r="AE782" s="292"/>
      <c r="AF782" s="303"/>
      <c r="AG782" s="303"/>
      <c r="AH782" s="303"/>
      <c r="AI782" s="303"/>
    </row>
    <row r="783">
      <c r="A783" s="304"/>
      <c r="B783" s="299"/>
      <c r="C783" s="292"/>
      <c r="D783" s="293"/>
      <c r="E783" s="292"/>
      <c r="F783" s="293"/>
      <c r="G783" s="294"/>
      <c r="H783" s="295"/>
      <c r="I783" s="303"/>
      <c r="J783" s="303"/>
      <c r="K783" s="297"/>
      <c r="L783" s="303"/>
      <c r="M783" s="303"/>
      <c r="N783" s="297"/>
      <c r="O783" s="292"/>
      <c r="P783" s="303"/>
      <c r="Q783" s="298"/>
      <c r="R783" s="294"/>
      <c r="S783" s="297"/>
      <c r="T783" s="292"/>
      <c r="U783" s="299"/>
      <c r="V783" s="292"/>
      <c r="W783" s="309"/>
      <c r="X783" s="292"/>
      <c r="Y783" s="309"/>
      <c r="Z783" s="292"/>
      <c r="AA783" s="315"/>
      <c r="AB783" s="297"/>
      <c r="AC783" s="292"/>
      <c r="AD783" s="292"/>
      <c r="AE783" s="292"/>
      <c r="AF783" s="303"/>
      <c r="AG783" s="303"/>
      <c r="AH783" s="303"/>
      <c r="AI783" s="303"/>
    </row>
    <row r="784">
      <c r="A784" s="304"/>
      <c r="B784" s="299"/>
      <c r="C784" s="292"/>
      <c r="D784" s="293"/>
      <c r="E784" s="292"/>
      <c r="F784" s="293"/>
      <c r="G784" s="294"/>
      <c r="H784" s="295"/>
      <c r="I784" s="303"/>
      <c r="J784" s="303"/>
      <c r="K784" s="297"/>
      <c r="L784" s="303"/>
      <c r="M784" s="303"/>
      <c r="N784" s="297"/>
      <c r="O784" s="292"/>
      <c r="P784" s="303"/>
      <c r="Q784" s="298"/>
      <c r="R784" s="294"/>
      <c r="S784" s="297"/>
      <c r="T784" s="292"/>
      <c r="U784" s="299"/>
      <c r="V784" s="292"/>
      <c r="W784" s="309"/>
      <c r="X784" s="292"/>
      <c r="Y784" s="309"/>
      <c r="Z784" s="292"/>
      <c r="AA784" s="315"/>
      <c r="AB784" s="297"/>
      <c r="AC784" s="292"/>
      <c r="AD784" s="292"/>
      <c r="AE784" s="292"/>
      <c r="AF784" s="303"/>
      <c r="AG784" s="303"/>
      <c r="AH784" s="303"/>
      <c r="AI784" s="303"/>
    </row>
    <row r="785">
      <c r="A785" s="304"/>
      <c r="B785" s="299"/>
      <c r="C785" s="292"/>
      <c r="D785" s="293"/>
      <c r="E785" s="292"/>
      <c r="F785" s="293"/>
      <c r="G785" s="294"/>
      <c r="H785" s="295"/>
      <c r="I785" s="303"/>
      <c r="J785" s="303"/>
      <c r="K785" s="297"/>
      <c r="L785" s="303"/>
      <c r="M785" s="303"/>
      <c r="N785" s="297"/>
      <c r="O785" s="292"/>
      <c r="P785" s="303"/>
      <c r="Q785" s="298"/>
      <c r="R785" s="294"/>
      <c r="S785" s="297"/>
      <c r="T785" s="292"/>
      <c r="U785" s="299"/>
      <c r="V785" s="292"/>
      <c r="W785" s="309"/>
      <c r="X785" s="292"/>
      <c r="Y785" s="309"/>
      <c r="Z785" s="292"/>
      <c r="AA785" s="315"/>
      <c r="AB785" s="297"/>
      <c r="AC785" s="292"/>
      <c r="AD785" s="292"/>
      <c r="AE785" s="292"/>
      <c r="AF785" s="303"/>
      <c r="AG785" s="303"/>
      <c r="AH785" s="303"/>
      <c r="AI785" s="303"/>
    </row>
    <row r="786">
      <c r="A786" s="304"/>
      <c r="B786" s="299"/>
      <c r="C786" s="292"/>
      <c r="D786" s="293"/>
      <c r="E786" s="292"/>
      <c r="F786" s="293"/>
      <c r="G786" s="294"/>
      <c r="H786" s="295"/>
      <c r="I786" s="303"/>
      <c r="J786" s="303"/>
      <c r="K786" s="297"/>
      <c r="L786" s="303"/>
      <c r="M786" s="303"/>
      <c r="N786" s="297"/>
      <c r="O786" s="292"/>
      <c r="P786" s="303"/>
      <c r="Q786" s="298"/>
      <c r="R786" s="294"/>
      <c r="S786" s="297"/>
      <c r="T786" s="292"/>
      <c r="U786" s="299"/>
      <c r="V786" s="292"/>
      <c r="W786" s="309"/>
      <c r="X786" s="292"/>
      <c r="Y786" s="309"/>
      <c r="Z786" s="292"/>
      <c r="AA786" s="315"/>
      <c r="AB786" s="297"/>
      <c r="AC786" s="292"/>
      <c r="AD786" s="292"/>
      <c r="AE786" s="292"/>
      <c r="AF786" s="303"/>
      <c r="AG786" s="303"/>
      <c r="AH786" s="303"/>
      <c r="AI786" s="303"/>
    </row>
    <row r="787">
      <c r="A787" s="304"/>
      <c r="B787" s="299"/>
      <c r="C787" s="292"/>
      <c r="D787" s="293"/>
      <c r="E787" s="292"/>
      <c r="F787" s="293"/>
      <c r="G787" s="294"/>
      <c r="H787" s="295"/>
      <c r="I787" s="303"/>
      <c r="J787" s="303"/>
      <c r="K787" s="297"/>
      <c r="L787" s="303"/>
      <c r="M787" s="303"/>
      <c r="N787" s="297"/>
      <c r="O787" s="292"/>
      <c r="P787" s="303"/>
      <c r="Q787" s="298"/>
      <c r="R787" s="294"/>
      <c r="S787" s="297"/>
      <c r="T787" s="292"/>
      <c r="U787" s="299"/>
      <c r="V787" s="292"/>
      <c r="W787" s="309"/>
      <c r="X787" s="292"/>
      <c r="Y787" s="309"/>
      <c r="Z787" s="292"/>
      <c r="AA787" s="315"/>
      <c r="AB787" s="297"/>
      <c r="AC787" s="292"/>
      <c r="AD787" s="292"/>
      <c r="AE787" s="292"/>
      <c r="AF787" s="303"/>
      <c r="AG787" s="303"/>
      <c r="AH787" s="303"/>
      <c r="AI787" s="303"/>
    </row>
    <row r="788">
      <c r="A788" s="304"/>
      <c r="B788" s="299"/>
      <c r="C788" s="292"/>
      <c r="D788" s="293"/>
      <c r="E788" s="292"/>
      <c r="F788" s="293"/>
      <c r="G788" s="294"/>
      <c r="H788" s="295"/>
      <c r="I788" s="303"/>
      <c r="J788" s="303"/>
      <c r="K788" s="297"/>
      <c r="L788" s="303"/>
      <c r="M788" s="303"/>
      <c r="N788" s="297"/>
      <c r="O788" s="292"/>
      <c r="P788" s="303"/>
      <c r="Q788" s="298"/>
      <c r="R788" s="294"/>
      <c r="S788" s="297"/>
      <c r="T788" s="292"/>
      <c r="U788" s="299"/>
      <c r="V788" s="292"/>
      <c r="W788" s="309"/>
      <c r="X788" s="292"/>
      <c r="Y788" s="309"/>
      <c r="Z788" s="292"/>
      <c r="AA788" s="315"/>
      <c r="AB788" s="297"/>
      <c r="AC788" s="292"/>
      <c r="AD788" s="292"/>
      <c r="AE788" s="292"/>
      <c r="AF788" s="303"/>
      <c r="AG788" s="303"/>
      <c r="AH788" s="303"/>
      <c r="AI788" s="303"/>
    </row>
    <row r="789">
      <c r="A789" s="304"/>
      <c r="B789" s="299"/>
      <c r="C789" s="292"/>
      <c r="D789" s="293"/>
      <c r="E789" s="292"/>
      <c r="F789" s="293"/>
      <c r="G789" s="294"/>
      <c r="H789" s="295"/>
      <c r="I789" s="303"/>
      <c r="J789" s="303"/>
      <c r="K789" s="297"/>
      <c r="L789" s="303"/>
      <c r="M789" s="303"/>
      <c r="N789" s="297"/>
      <c r="O789" s="292"/>
      <c r="P789" s="303"/>
      <c r="Q789" s="298"/>
      <c r="R789" s="294"/>
      <c r="S789" s="297"/>
      <c r="T789" s="292"/>
      <c r="U789" s="299"/>
      <c r="V789" s="292"/>
      <c r="W789" s="309"/>
      <c r="X789" s="292"/>
      <c r="Y789" s="309"/>
      <c r="Z789" s="292"/>
      <c r="AA789" s="315"/>
      <c r="AB789" s="297"/>
      <c r="AC789" s="292"/>
      <c r="AD789" s="292"/>
      <c r="AE789" s="292"/>
      <c r="AF789" s="303"/>
      <c r="AG789" s="303"/>
      <c r="AH789" s="303"/>
      <c r="AI789" s="303"/>
    </row>
    <row r="790">
      <c r="A790" s="304"/>
      <c r="B790" s="299"/>
      <c r="C790" s="292"/>
      <c r="D790" s="293"/>
      <c r="E790" s="292"/>
      <c r="F790" s="293"/>
      <c r="G790" s="294"/>
      <c r="H790" s="295"/>
      <c r="I790" s="303"/>
      <c r="J790" s="303"/>
      <c r="K790" s="297"/>
      <c r="L790" s="303"/>
      <c r="M790" s="303"/>
      <c r="N790" s="297"/>
      <c r="O790" s="292"/>
      <c r="P790" s="303"/>
      <c r="Q790" s="298"/>
      <c r="R790" s="294"/>
      <c r="S790" s="297"/>
      <c r="T790" s="292"/>
      <c r="U790" s="299"/>
      <c r="V790" s="292"/>
      <c r="W790" s="309"/>
      <c r="X790" s="292"/>
      <c r="Y790" s="309"/>
      <c r="Z790" s="292"/>
      <c r="AA790" s="315"/>
      <c r="AB790" s="297"/>
      <c r="AC790" s="292"/>
      <c r="AD790" s="292"/>
      <c r="AE790" s="292"/>
      <c r="AF790" s="303"/>
      <c r="AG790" s="303"/>
      <c r="AH790" s="303"/>
      <c r="AI790" s="303"/>
    </row>
    <row r="791">
      <c r="A791" s="304"/>
      <c r="B791" s="299"/>
      <c r="C791" s="292"/>
      <c r="D791" s="293"/>
      <c r="E791" s="292"/>
      <c r="F791" s="293"/>
      <c r="G791" s="294"/>
      <c r="H791" s="295"/>
      <c r="I791" s="303"/>
      <c r="J791" s="303"/>
      <c r="K791" s="297"/>
      <c r="L791" s="303"/>
      <c r="M791" s="303"/>
      <c r="N791" s="297"/>
      <c r="O791" s="292"/>
      <c r="P791" s="303"/>
      <c r="Q791" s="298"/>
      <c r="R791" s="294"/>
      <c r="S791" s="297"/>
      <c r="T791" s="292"/>
      <c r="U791" s="299"/>
      <c r="V791" s="292"/>
      <c r="W791" s="309"/>
      <c r="X791" s="292"/>
      <c r="Y791" s="309"/>
      <c r="Z791" s="292"/>
      <c r="AA791" s="315"/>
      <c r="AB791" s="297"/>
      <c r="AC791" s="292"/>
      <c r="AD791" s="292"/>
      <c r="AE791" s="292"/>
      <c r="AF791" s="303"/>
      <c r="AG791" s="303"/>
      <c r="AH791" s="303"/>
      <c r="AI791" s="303"/>
    </row>
    <row r="792">
      <c r="A792" s="304"/>
      <c r="B792" s="299"/>
      <c r="C792" s="292"/>
      <c r="D792" s="293"/>
      <c r="E792" s="292"/>
      <c r="F792" s="293"/>
      <c r="G792" s="294"/>
      <c r="H792" s="295"/>
      <c r="I792" s="303"/>
      <c r="J792" s="303"/>
      <c r="K792" s="297"/>
      <c r="L792" s="303"/>
      <c r="M792" s="303"/>
      <c r="N792" s="297"/>
      <c r="O792" s="292"/>
      <c r="P792" s="303"/>
      <c r="Q792" s="298"/>
      <c r="R792" s="294"/>
      <c r="S792" s="297"/>
      <c r="T792" s="292"/>
      <c r="U792" s="299"/>
      <c r="V792" s="292"/>
      <c r="W792" s="309"/>
      <c r="X792" s="292"/>
      <c r="Y792" s="309"/>
      <c r="Z792" s="292"/>
      <c r="AA792" s="315"/>
      <c r="AB792" s="297"/>
      <c r="AC792" s="292"/>
      <c r="AD792" s="292"/>
      <c r="AE792" s="292"/>
      <c r="AF792" s="303"/>
      <c r="AG792" s="303"/>
      <c r="AH792" s="303"/>
      <c r="AI792" s="303"/>
    </row>
    <row r="793">
      <c r="A793" s="304"/>
      <c r="B793" s="299"/>
      <c r="C793" s="292"/>
      <c r="D793" s="293"/>
      <c r="E793" s="292"/>
      <c r="F793" s="293"/>
      <c r="G793" s="294"/>
      <c r="H793" s="295"/>
      <c r="I793" s="303"/>
      <c r="J793" s="303"/>
      <c r="K793" s="297"/>
      <c r="L793" s="303"/>
      <c r="M793" s="303"/>
      <c r="N793" s="297"/>
      <c r="O793" s="292"/>
      <c r="P793" s="303"/>
      <c r="Q793" s="298"/>
      <c r="R793" s="294"/>
      <c r="S793" s="297"/>
      <c r="T793" s="292"/>
      <c r="U793" s="299"/>
      <c r="V793" s="292"/>
      <c r="W793" s="309"/>
      <c r="X793" s="292"/>
      <c r="Y793" s="309"/>
      <c r="Z793" s="292"/>
      <c r="AA793" s="315"/>
      <c r="AB793" s="297"/>
      <c r="AC793" s="292"/>
      <c r="AD793" s="292"/>
      <c r="AE793" s="292"/>
      <c r="AF793" s="303"/>
      <c r="AG793" s="303"/>
      <c r="AH793" s="303"/>
      <c r="AI793" s="303"/>
    </row>
    <row r="794">
      <c r="A794" s="304"/>
      <c r="B794" s="299"/>
      <c r="C794" s="292"/>
      <c r="D794" s="293"/>
      <c r="E794" s="292"/>
      <c r="F794" s="293"/>
      <c r="G794" s="294"/>
      <c r="H794" s="295"/>
      <c r="I794" s="303"/>
      <c r="J794" s="303"/>
      <c r="K794" s="297"/>
      <c r="L794" s="303"/>
      <c r="M794" s="303"/>
      <c r="N794" s="297"/>
      <c r="O794" s="292"/>
      <c r="P794" s="303"/>
      <c r="Q794" s="298"/>
      <c r="R794" s="294"/>
      <c r="S794" s="297"/>
      <c r="T794" s="292"/>
      <c r="U794" s="299"/>
      <c r="V794" s="292"/>
      <c r="W794" s="309"/>
      <c r="X794" s="292"/>
      <c r="Y794" s="309"/>
      <c r="Z794" s="292"/>
      <c r="AA794" s="315"/>
      <c r="AB794" s="297"/>
      <c r="AC794" s="292"/>
      <c r="AD794" s="292"/>
      <c r="AE794" s="292"/>
      <c r="AF794" s="303"/>
      <c r="AG794" s="303"/>
      <c r="AH794" s="303"/>
      <c r="AI794" s="303"/>
    </row>
    <row r="795">
      <c r="A795" s="304"/>
      <c r="B795" s="299"/>
      <c r="C795" s="292"/>
      <c r="D795" s="293"/>
      <c r="E795" s="292"/>
      <c r="F795" s="293"/>
      <c r="G795" s="294"/>
      <c r="H795" s="295"/>
      <c r="I795" s="303"/>
      <c r="J795" s="303"/>
      <c r="K795" s="297"/>
      <c r="L795" s="303"/>
      <c r="M795" s="303"/>
      <c r="N795" s="297"/>
      <c r="O795" s="292"/>
      <c r="P795" s="303"/>
      <c r="Q795" s="298"/>
      <c r="R795" s="294"/>
      <c r="S795" s="297"/>
      <c r="T795" s="292"/>
      <c r="U795" s="299"/>
      <c r="V795" s="292"/>
      <c r="W795" s="309"/>
      <c r="X795" s="292"/>
      <c r="Y795" s="309"/>
      <c r="Z795" s="292"/>
      <c r="AA795" s="315"/>
      <c r="AB795" s="297"/>
      <c r="AC795" s="292"/>
      <c r="AD795" s="292"/>
      <c r="AE795" s="292"/>
      <c r="AF795" s="303"/>
      <c r="AG795" s="303"/>
      <c r="AH795" s="303"/>
      <c r="AI795" s="303"/>
    </row>
    <row r="796">
      <c r="A796" s="304"/>
      <c r="B796" s="299"/>
      <c r="C796" s="292"/>
      <c r="D796" s="293"/>
      <c r="E796" s="292"/>
      <c r="F796" s="293"/>
      <c r="G796" s="294"/>
      <c r="H796" s="295"/>
      <c r="I796" s="303"/>
      <c r="J796" s="303"/>
      <c r="K796" s="297"/>
      <c r="L796" s="303"/>
      <c r="M796" s="303"/>
      <c r="N796" s="297"/>
      <c r="O796" s="292"/>
      <c r="P796" s="303"/>
      <c r="Q796" s="298"/>
      <c r="R796" s="294"/>
      <c r="S796" s="297"/>
      <c r="T796" s="292"/>
      <c r="U796" s="299"/>
      <c r="V796" s="292"/>
      <c r="W796" s="309"/>
      <c r="X796" s="292"/>
      <c r="Y796" s="309"/>
      <c r="Z796" s="292"/>
      <c r="AA796" s="315"/>
      <c r="AB796" s="297"/>
      <c r="AC796" s="292"/>
      <c r="AD796" s="292"/>
      <c r="AE796" s="292"/>
      <c r="AF796" s="303"/>
      <c r="AG796" s="303"/>
      <c r="AH796" s="303"/>
      <c r="AI796" s="303"/>
    </row>
    <row r="797">
      <c r="A797" s="304"/>
      <c r="B797" s="299"/>
      <c r="C797" s="292"/>
      <c r="D797" s="293"/>
      <c r="E797" s="292"/>
      <c r="F797" s="293"/>
      <c r="G797" s="294"/>
      <c r="H797" s="295"/>
      <c r="I797" s="303"/>
      <c r="J797" s="303"/>
      <c r="K797" s="297"/>
      <c r="L797" s="303"/>
      <c r="M797" s="303"/>
      <c r="N797" s="297"/>
      <c r="O797" s="292"/>
      <c r="P797" s="303"/>
      <c r="Q797" s="298"/>
      <c r="R797" s="294"/>
      <c r="S797" s="297"/>
      <c r="T797" s="292"/>
      <c r="U797" s="299"/>
      <c r="V797" s="292"/>
      <c r="W797" s="309"/>
      <c r="X797" s="292"/>
      <c r="Y797" s="309"/>
      <c r="Z797" s="292"/>
      <c r="AA797" s="315"/>
      <c r="AB797" s="297"/>
      <c r="AC797" s="292"/>
      <c r="AD797" s="292"/>
      <c r="AE797" s="292"/>
      <c r="AF797" s="303"/>
      <c r="AG797" s="303"/>
      <c r="AH797" s="303"/>
      <c r="AI797" s="303"/>
    </row>
    <row r="798">
      <c r="A798" s="304"/>
      <c r="B798" s="299"/>
      <c r="C798" s="292"/>
      <c r="D798" s="293"/>
      <c r="E798" s="292"/>
      <c r="F798" s="293"/>
      <c r="G798" s="294"/>
      <c r="H798" s="295"/>
      <c r="I798" s="303"/>
      <c r="J798" s="303"/>
      <c r="K798" s="297"/>
      <c r="L798" s="303"/>
      <c r="M798" s="303"/>
      <c r="N798" s="297"/>
      <c r="O798" s="292"/>
      <c r="P798" s="303"/>
      <c r="Q798" s="298"/>
      <c r="R798" s="294"/>
      <c r="S798" s="297"/>
      <c r="T798" s="292"/>
      <c r="U798" s="299"/>
      <c r="V798" s="292"/>
      <c r="W798" s="309"/>
      <c r="X798" s="292"/>
      <c r="Y798" s="309"/>
      <c r="Z798" s="292"/>
      <c r="AA798" s="315"/>
      <c r="AB798" s="297"/>
      <c r="AC798" s="292"/>
      <c r="AD798" s="292"/>
      <c r="AE798" s="292"/>
      <c r="AF798" s="303"/>
      <c r="AG798" s="303"/>
      <c r="AH798" s="303"/>
      <c r="AI798" s="303"/>
    </row>
    <row r="799">
      <c r="A799" s="304"/>
      <c r="B799" s="299"/>
      <c r="C799" s="292"/>
      <c r="D799" s="293"/>
      <c r="E799" s="292"/>
      <c r="F799" s="293"/>
      <c r="G799" s="294"/>
      <c r="H799" s="295"/>
      <c r="I799" s="303"/>
      <c r="J799" s="303"/>
      <c r="K799" s="297"/>
      <c r="L799" s="303"/>
      <c r="M799" s="303"/>
      <c r="N799" s="297"/>
      <c r="O799" s="292"/>
      <c r="P799" s="303"/>
      <c r="Q799" s="298"/>
      <c r="R799" s="294"/>
      <c r="S799" s="297"/>
      <c r="T799" s="292"/>
      <c r="U799" s="299"/>
      <c r="V799" s="292"/>
      <c r="W799" s="309"/>
      <c r="X799" s="292"/>
      <c r="Y799" s="309"/>
      <c r="Z799" s="292"/>
      <c r="AA799" s="315"/>
      <c r="AB799" s="297"/>
      <c r="AC799" s="292"/>
      <c r="AD799" s="292"/>
      <c r="AE799" s="292"/>
      <c r="AF799" s="303"/>
      <c r="AG799" s="303"/>
      <c r="AH799" s="303"/>
      <c r="AI799" s="303"/>
    </row>
    <row r="800">
      <c r="A800" s="304"/>
      <c r="B800" s="299"/>
      <c r="C800" s="292"/>
      <c r="D800" s="293"/>
      <c r="E800" s="292"/>
      <c r="F800" s="293"/>
      <c r="G800" s="294"/>
      <c r="H800" s="295"/>
      <c r="I800" s="303"/>
      <c r="J800" s="303"/>
      <c r="K800" s="297"/>
      <c r="L800" s="303"/>
      <c r="M800" s="303"/>
      <c r="N800" s="297"/>
      <c r="O800" s="292"/>
      <c r="P800" s="303"/>
      <c r="Q800" s="298"/>
      <c r="R800" s="294"/>
      <c r="S800" s="297"/>
      <c r="T800" s="292"/>
      <c r="U800" s="299"/>
      <c r="V800" s="292"/>
      <c r="W800" s="309"/>
      <c r="X800" s="292"/>
      <c r="Y800" s="309"/>
      <c r="Z800" s="292"/>
      <c r="AA800" s="315"/>
      <c r="AB800" s="297"/>
      <c r="AC800" s="292"/>
      <c r="AD800" s="292"/>
      <c r="AE800" s="292"/>
      <c r="AF800" s="303"/>
      <c r="AG800" s="303"/>
      <c r="AH800" s="303"/>
      <c r="AI800" s="303"/>
    </row>
    <row r="801">
      <c r="A801" s="304"/>
      <c r="B801" s="299"/>
      <c r="C801" s="292"/>
      <c r="D801" s="293"/>
      <c r="E801" s="292"/>
      <c r="F801" s="293"/>
      <c r="G801" s="294"/>
      <c r="H801" s="295"/>
      <c r="I801" s="303"/>
      <c r="J801" s="303"/>
      <c r="K801" s="297"/>
      <c r="L801" s="303"/>
      <c r="M801" s="303"/>
      <c r="N801" s="297"/>
      <c r="O801" s="292"/>
      <c r="P801" s="303"/>
      <c r="Q801" s="298"/>
      <c r="R801" s="294"/>
      <c r="S801" s="297"/>
      <c r="T801" s="292"/>
      <c r="U801" s="299"/>
      <c r="V801" s="292"/>
      <c r="W801" s="309"/>
      <c r="X801" s="292"/>
      <c r="Y801" s="309"/>
      <c r="Z801" s="292"/>
      <c r="AA801" s="315"/>
      <c r="AB801" s="297"/>
      <c r="AC801" s="292"/>
      <c r="AD801" s="292"/>
      <c r="AE801" s="292"/>
      <c r="AF801" s="303"/>
      <c r="AG801" s="303"/>
      <c r="AH801" s="303"/>
      <c r="AI801" s="303"/>
    </row>
    <row r="802">
      <c r="A802" s="304"/>
      <c r="B802" s="299"/>
      <c r="C802" s="292"/>
      <c r="D802" s="293"/>
      <c r="E802" s="292"/>
      <c r="F802" s="293"/>
      <c r="G802" s="294"/>
      <c r="H802" s="295"/>
      <c r="I802" s="303"/>
      <c r="J802" s="303"/>
      <c r="K802" s="297"/>
      <c r="L802" s="303"/>
      <c r="M802" s="303"/>
      <c r="N802" s="297"/>
      <c r="O802" s="292"/>
      <c r="P802" s="303"/>
      <c r="Q802" s="298"/>
      <c r="R802" s="294"/>
      <c r="S802" s="297"/>
      <c r="T802" s="292"/>
      <c r="U802" s="299"/>
      <c r="V802" s="292"/>
      <c r="W802" s="309"/>
      <c r="X802" s="292"/>
      <c r="Y802" s="309"/>
      <c r="Z802" s="292"/>
      <c r="AA802" s="315"/>
      <c r="AB802" s="297"/>
      <c r="AC802" s="292"/>
      <c r="AD802" s="292"/>
      <c r="AE802" s="292"/>
      <c r="AF802" s="303"/>
      <c r="AG802" s="303"/>
      <c r="AH802" s="303"/>
      <c r="AI802" s="303"/>
    </row>
    <row r="803">
      <c r="A803" s="304"/>
      <c r="B803" s="299"/>
      <c r="C803" s="292"/>
      <c r="D803" s="293"/>
      <c r="E803" s="292"/>
      <c r="F803" s="293"/>
      <c r="G803" s="294"/>
      <c r="H803" s="295"/>
      <c r="I803" s="303"/>
      <c r="J803" s="303"/>
      <c r="K803" s="297"/>
      <c r="L803" s="303"/>
      <c r="M803" s="303"/>
      <c r="N803" s="297"/>
      <c r="O803" s="292"/>
      <c r="P803" s="303"/>
      <c r="Q803" s="298"/>
      <c r="R803" s="294"/>
      <c r="S803" s="297"/>
      <c r="T803" s="292"/>
      <c r="U803" s="299"/>
      <c r="V803" s="292"/>
      <c r="W803" s="309"/>
      <c r="X803" s="292"/>
      <c r="Y803" s="309"/>
      <c r="Z803" s="292"/>
      <c r="AA803" s="315"/>
      <c r="AB803" s="297"/>
      <c r="AC803" s="292"/>
      <c r="AD803" s="292"/>
      <c r="AE803" s="292"/>
      <c r="AF803" s="303"/>
      <c r="AG803" s="303"/>
      <c r="AH803" s="303"/>
      <c r="AI803" s="303"/>
    </row>
    <row r="804">
      <c r="A804" s="304"/>
      <c r="B804" s="299"/>
      <c r="C804" s="292"/>
      <c r="D804" s="293"/>
      <c r="E804" s="292"/>
      <c r="F804" s="293"/>
      <c r="G804" s="294"/>
      <c r="H804" s="295"/>
      <c r="I804" s="303"/>
      <c r="J804" s="303"/>
      <c r="K804" s="297"/>
      <c r="L804" s="303"/>
      <c r="M804" s="303"/>
      <c r="N804" s="297"/>
      <c r="O804" s="292"/>
      <c r="P804" s="303"/>
      <c r="Q804" s="298"/>
      <c r="R804" s="294"/>
      <c r="S804" s="297"/>
      <c r="T804" s="292"/>
      <c r="U804" s="299"/>
      <c r="V804" s="292"/>
      <c r="W804" s="309"/>
      <c r="X804" s="292"/>
      <c r="Y804" s="309"/>
      <c r="Z804" s="292"/>
      <c r="AA804" s="315"/>
      <c r="AB804" s="297"/>
      <c r="AC804" s="292"/>
      <c r="AD804" s="292"/>
      <c r="AE804" s="292"/>
      <c r="AF804" s="303"/>
      <c r="AG804" s="303"/>
      <c r="AH804" s="303"/>
      <c r="AI804" s="303"/>
    </row>
    <row r="805">
      <c r="A805" s="304"/>
      <c r="B805" s="299"/>
      <c r="C805" s="292"/>
      <c r="D805" s="293"/>
      <c r="E805" s="292"/>
      <c r="F805" s="293"/>
      <c r="G805" s="294"/>
      <c r="H805" s="295"/>
      <c r="I805" s="303"/>
      <c r="J805" s="303"/>
      <c r="K805" s="297"/>
      <c r="L805" s="303"/>
      <c r="M805" s="303"/>
      <c r="N805" s="297"/>
      <c r="O805" s="292"/>
      <c r="P805" s="303"/>
      <c r="Q805" s="298"/>
      <c r="R805" s="294"/>
      <c r="S805" s="297"/>
      <c r="T805" s="292"/>
      <c r="U805" s="299"/>
      <c r="V805" s="292"/>
      <c r="W805" s="309"/>
      <c r="X805" s="292"/>
      <c r="Y805" s="309"/>
      <c r="Z805" s="292"/>
      <c r="AA805" s="315"/>
      <c r="AB805" s="297"/>
      <c r="AC805" s="292"/>
      <c r="AD805" s="292"/>
      <c r="AE805" s="292"/>
      <c r="AF805" s="303"/>
      <c r="AG805" s="303"/>
      <c r="AH805" s="303"/>
      <c r="AI805" s="303"/>
    </row>
    <row r="806">
      <c r="A806" s="304"/>
      <c r="B806" s="299"/>
      <c r="C806" s="292"/>
      <c r="D806" s="293"/>
      <c r="E806" s="292"/>
      <c r="F806" s="293"/>
      <c r="G806" s="294"/>
      <c r="H806" s="295"/>
      <c r="I806" s="303"/>
      <c r="J806" s="303"/>
      <c r="K806" s="297"/>
      <c r="L806" s="303"/>
      <c r="M806" s="303"/>
      <c r="N806" s="297"/>
      <c r="O806" s="292"/>
      <c r="P806" s="303"/>
      <c r="Q806" s="298"/>
      <c r="R806" s="294"/>
      <c r="S806" s="297"/>
      <c r="T806" s="292"/>
      <c r="U806" s="299"/>
      <c r="V806" s="292"/>
      <c r="W806" s="309"/>
      <c r="X806" s="292"/>
      <c r="Y806" s="309"/>
      <c r="Z806" s="292"/>
      <c r="AA806" s="315"/>
      <c r="AB806" s="297"/>
      <c r="AC806" s="292"/>
      <c r="AD806" s="292"/>
      <c r="AE806" s="292"/>
      <c r="AF806" s="303"/>
      <c r="AG806" s="303"/>
      <c r="AH806" s="303"/>
      <c r="AI806" s="303"/>
    </row>
    <row r="807">
      <c r="A807" s="304"/>
      <c r="B807" s="299"/>
      <c r="C807" s="292"/>
      <c r="D807" s="293"/>
      <c r="E807" s="292"/>
      <c r="F807" s="293"/>
      <c r="G807" s="294"/>
      <c r="H807" s="295"/>
      <c r="I807" s="303"/>
      <c r="J807" s="303"/>
      <c r="K807" s="297"/>
      <c r="L807" s="303"/>
      <c r="M807" s="303"/>
      <c r="N807" s="297"/>
      <c r="O807" s="292"/>
      <c r="P807" s="303"/>
      <c r="Q807" s="298"/>
      <c r="R807" s="294"/>
      <c r="S807" s="297"/>
      <c r="T807" s="292"/>
      <c r="U807" s="299"/>
      <c r="V807" s="292"/>
      <c r="W807" s="309"/>
      <c r="X807" s="292"/>
      <c r="Y807" s="309"/>
      <c r="Z807" s="292"/>
      <c r="AA807" s="315"/>
      <c r="AB807" s="297"/>
      <c r="AC807" s="292"/>
      <c r="AD807" s="292"/>
      <c r="AE807" s="292"/>
      <c r="AF807" s="303"/>
      <c r="AG807" s="303"/>
      <c r="AH807" s="303"/>
      <c r="AI807" s="303"/>
    </row>
    <row r="808">
      <c r="A808" s="304"/>
      <c r="B808" s="299"/>
      <c r="C808" s="292"/>
      <c r="D808" s="293"/>
      <c r="E808" s="292"/>
      <c r="F808" s="293"/>
      <c r="G808" s="294"/>
      <c r="H808" s="295"/>
      <c r="I808" s="303"/>
      <c r="J808" s="303"/>
      <c r="K808" s="297"/>
      <c r="L808" s="303"/>
      <c r="M808" s="303"/>
      <c r="N808" s="297"/>
      <c r="O808" s="292"/>
      <c r="P808" s="303"/>
      <c r="Q808" s="298"/>
      <c r="R808" s="294"/>
      <c r="S808" s="297"/>
      <c r="T808" s="292"/>
      <c r="U808" s="299"/>
      <c r="V808" s="292"/>
      <c r="W808" s="309"/>
      <c r="X808" s="292"/>
      <c r="Y808" s="309"/>
      <c r="Z808" s="292"/>
      <c r="AA808" s="315"/>
      <c r="AB808" s="297"/>
      <c r="AC808" s="292"/>
      <c r="AD808" s="292"/>
      <c r="AE808" s="292"/>
      <c r="AF808" s="303"/>
      <c r="AG808" s="303"/>
      <c r="AH808" s="303"/>
      <c r="AI808" s="303"/>
    </row>
    <row r="809">
      <c r="A809" s="304"/>
      <c r="B809" s="299"/>
      <c r="C809" s="292"/>
      <c r="D809" s="293"/>
      <c r="E809" s="292"/>
      <c r="F809" s="293"/>
      <c r="G809" s="294"/>
      <c r="H809" s="295"/>
      <c r="I809" s="303"/>
      <c r="J809" s="303"/>
      <c r="K809" s="297"/>
      <c r="L809" s="303"/>
      <c r="M809" s="303"/>
      <c r="N809" s="297"/>
      <c r="O809" s="292"/>
      <c r="P809" s="303"/>
      <c r="Q809" s="298"/>
      <c r="R809" s="294"/>
      <c r="S809" s="297"/>
      <c r="T809" s="292"/>
      <c r="U809" s="299"/>
      <c r="V809" s="292"/>
      <c r="W809" s="309"/>
      <c r="X809" s="292"/>
      <c r="Y809" s="309"/>
      <c r="Z809" s="292"/>
      <c r="AA809" s="315"/>
      <c r="AB809" s="297"/>
      <c r="AC809" s="292"/>
      <c r="AD809" s="292"/>
      <c r="AE809" s="292"/>
      <c r="AF809" s="303"/>
      <c r="AG809" s="303"/>
      <c r="AH809" s="303"/>
      <c r="AI809" s="303"/>
    </row>
    <row r="810">
      <c r="A810" s="304"/>
      <c r="B810" s="299"/>
      <c r="C810" s="292"/>
      <c r="D810" s="293"/>
      <c r="E810" s="292"/>
      <c r="F810" s="293"/>
      <c r="G810" s="294"/>
      <c r="H810" s="295"/>
      <c r="I810" s="303"/>
      <c r="J810" s="303"/>
      <c r="K810" s="297"/>
      <c r="L810" s="303"/>
      <c r="M810" s="303"/>
      <c r="N810" s="297"/>
      <c r="O810" s="292"/>
      <c r="P810" s="303"/>
      <c r="Q810" s="298"/>
      <c r="R810" s="294"/>
      <c r="S810" s="297"/>
      <c r="T810" s="292"/>
      <c r="U810" s="299"/>
      <c r="V810" s="292"/>
      <c r="W810" s="309"/>
      <c r="X810" s="292"/>
      <c r="Y810" s="309"/>
      <c r="Z810" s="292"/>
      <c r="AA810" s="315"/>
      <c r="AB810" s="297"/>
      <c r="AC810" s="292"/>
      <c r="AD810" s="292"/>
      <c r="AE810" s="292"/>
      <c r="AF810" s="303"/>
      <c r="AG810" s="303"/>
      <c r="AH810" s="303"/>
      <c r="AI810" s="303"/>
    </row>
    <row r="811">
      <c r="A811" s="304"/>
      <c r="B811" s="299"/>
      <c r="C811" s="292"/>
      <c r="D811" s="293"/>
      <c r="E811" s="292"/>
      <c r="F811" s="293"/>
      <c r="G811" s="294"/>
      <c r="H811" s="295"/>
      <c r="I811" s="303"/>
      <c r="J811" s="303"/>
      <c r="K811" s="297"/>
      <c r="L811" s="303"/>
      <c r="M811" s="303"/>
      <c r="N811" s="297"/>
      <c r="O811" s="292"/>
      <c r="P811" s="303"/>
      <c r="Q811" s="298"/>
      <c r="R811" s="294"/>
      <c r="S811" s="297"/>
      <c r="T811" s="292"/>
      <c r="U811" s="299"/>
      <c r="V811" s="292"/>
      <c r="W811" s="309"/>
      <c r="X811" s="292"/>
      <c r="Y811" s="309"/>
      <c r="Z811" s="292"/>
      <c r="AA811" s="315"/>
      <c r="AB811" s="297"/>
      <c r="AC811" s="292"/>
      <c r="AD811" s="292"/>
      <c r="AE811" s="292"/>
      <c r="AF811" s="303"/>
      <c r="AG811" s="303"/>
      <c r="AH811" s="303"/>
      <c r="AI811" s="303"/>
    </row>
    <row r="812">
      <c r="A812" s="304"/>
      <c r="B812" s="299"/>
      <c r="C812" s="292"/>
      <c r="D812" s="293"/>
      <c r="E812" s="292"/>
      <c r="F812" s="293"/>
      <c r="G812" s="294"/>
      <c r="H812" s="295"/>
      <c r="I812" s="303"/>
      <c r="J812" s="303"/>
      <c r="K812" s="297"/>
      <c r="L812" s="303"/>
      <c r="M812" s="303"/>
      <c r="N812" s="297"/>
      <c r="O812" s="292"/>
      <c r="P812" s="303"/>
      <c r="Q812" s="298"/>
      <c r="R812" s="294"/>
      <c r="S812" s="297"/>
      <c r="T812" s="292"/>
      <c r="U812" s="299"/>
      <c r="V812" s="292"/>
      <c r="W812" s="309"/>
      <c r="X812" s="292"/>
      <c r="Y812" s="309"/>
      <c r="Z812" s="292"/>
      <c r="AA812" s="315"/>
      <c r="AB812" s="297"/>
      <c r="AC812" s="292"/>
      <c r="AD812" s="292"/>
      <c r="AE812" s="292"/>
      <c r="AF812" s="303"/>
      <c r="AG812" s="303"/>
      <c r="AH812" s="303"/>
      <c r="AI812" s="303"/>
    </row>
    <row r="813">
      <c r="A813" s="304"/>
      <c r="B813" s="299"/>
      <c r="C813" s="292"/>
      <c r="D813" s="293"/>
      <c r="E813" s="292"/>
      <c r="F813" s="293"/>
      <c r="G813" s="294"/>
      <c r="H813" s="295"/>
      <c r="I813" s="303"/>
      <c r="J813" s="303"/>
      <c r="K813" s="297"/>
      <c r="L813" s="303"/>
      <c r="M813" s="303"/>
      <c r="N813" s="297"/>
      <c r="O813" s="292"/>
      <c r="P813" s="303"/>
      <c r="Q813" s="298"/>
      <c r="R813" s="294"/>
      <c r="S813" s="297"/>
      <c r="T813" s="292"/>
      <c r="U813" s="299"/>
      <c r="V813" s="292"/>
      <c r="W813" s="309"/>
      <c r="X813" s="292"/>
      <c r="Y813" s="309"/>
      <c r="Z813" s="292"/>
      <c r="AA813" s="315"/>
      <c r="AB813" s="297"/>
      <c r="AC813" s="292"/>
      <c r="AD813" s="292"/>
      <c r="AE813" s="292"/>
      <c r="AF813" s="303"/>
      <c r="AG813" s="303"/>
      <c r="AH813" s="303"/>
      <c r="AI813" s="303"/>
    </row>
    <row r="814">
      <c r="A814" s="304"/>
      <c r="B814" s="299"/>
      <c r="C814" s="292"/>
      <c r="D814" s="293"/>
      <c r="E814" s="292"/>
      <c r="F814" s="293"/>
      <c r="G814" s="294"/>
      <c r="H814" s="295"/>
      <c r="I814" s="303"/>
      <c r="J814" s="303"/>
      <c r="K814" s="297"/>
      <c r="L814" s="303"/>
      <c r="M814" s="303"/>
      <c r="N814" s="297"/>
      <c r="O814" s="292"/>
      <c r="P814" s="303"/>
      <c r="Q814" s="298"/>
      <c r="R814" s="294"/>
      <c r="S814" s="297"/>
      <c r="T814" s="292"/>
      <c r="U814" s="299"/>
      <c r="V814" s="292"/>
      <c r="W814" s="309"/>
      <c r="X814" s="292"/>
      <c r="Y814" s="309"/>
      <c r="Z814" s="292"/>
      <c r="AA814" s="315"/>
      <c r="AB814" s="297"/>
      <c r="AC814" s="292"/>
      <c r="AD814" s="292"/>
      <c r="AE814" s="292"/>
      <c r="AF814" s="303"/>
      <c r="AG814" s="303"/>
      <c r="AH814" s="303"/>
      <c r="AI814" s="303"/>
    </row>
    <row r="815">
      <c r="A815" s="304"/>
      <c r="B815" s="299"/>
      <c r="C815" s="292"/>
      <c r="D815" s="293"/>
      <c r="E815" s="292"/>
      <c r="F815" s="293"/>
      <c r="G815" s="294"/>
      <c r="H815" s="295"/>
      <c r="I815" s="303"/>
      <c r="J815" s="303"/>
      <c r="K815" s="297"/>
      <c r="L815" s="303"/>
      <c r="M815" s="303"/>
      <c r="N815" s="297"/>
      <c r="O815" s="292"/>
      <c r="P815" s="303"/>
      <c r="Q815" s="298"/>
      <c r="R815" s="294"/>
      <c r="S815" s="297"/>
      <c r="T815" s="292"/>
      <c r="U815" s="299"/>
      <c r="V815" s="292"/>
      <c r="W815" s="309"/>
      <c r="X815" s="292"/>
      <c r="Y815" s="309"/>
      <c r="Z815" s="292"/>
      <c r="AA815" s="315"/>
      <c r="AB815" s="297"/>
      <c r="AC815" s="292"/>
      <c r="AD815" s="292"/>
      <c r="AE815" s="292"/>
      <c r="AF815" s="303"/>
      <c r="AG815" s="303"/>
      <c r="AH815" s="303"/>
      <c r="AI815" s="303"/>
    </row>
    <row r="816">
      <c r="A816" s="304"/>
      <c r="B816" s="299"/>
      <c r="C816" s="292"/>
      <c r="D816" s="293"/>
      <c r="E816" s="292"/>
      <c r="F816" s="293"/>
      <c r="G816" s="294"/>
      <c r="H816" s="295"/>
      <c r="I816" s="303"/>
      <c r="J816" s="303"/>
      <c r="K816" s="297"/>
      <c r="L816" s="303"/>
      <c r="M816" s="303"/>
      <c r="N816" s="297"/>
      <c r="O816" s="292"/>
      <c r="P816" s="303"/>
      <c r="Q816" s="298"/>
      <c r="R816" s="294"/>
      <c r="S816" s="297"/>
      <c r="T816" s="292"/>
      <c r="U816" s="299"/>
      <c r="V816" s="292"/>
      <c r="W816" s="309"/>
      <c r="X816" s="292"/>
      <c r="Y816" s="309"/>
      <c r="Z816" s="292"/>
      <c r="AA816" s="315"/>
      <c r="AB816" s="297"/>
      <c r="AC816" s="292"/>
      <c r="AD816" s="292"/>
      <c r="AE816" s="292"/>
      <c r="AF816" s="303"/>
      <c r="AG816" s="303"/>
      <c r="AH816" s="303"/>
      <c r="AI816" s="303"/>
    </row>
    <row r="817">
      <c r="A817" s="304"/>
      <c r="B817" s="299"/>
      <c r="C817" s="292"/>
      <c r="D817" s="293"/>
      <c r="E817" s="292"/>
      <c r="F817" s="293"/>
      <c r="G817" s="294"/>
      <c r="H817" s="295"/>
      <c r="I817" s="303"/>
      <c r="J817" s="303"/>
      <c r="K817" s="297"/>
      <c r="L817" s="303"/>
      <c r="M817" s="303"/>
      <c r="N817" s="297"/>
      <c r="O817" s="292"/>
      <c r="P817" s="303"/>
      <c r="Q817" s="298"/>
      <c r="R817" s="294"/>
      <c r="S817" s="297"/>
      <c r="T817" s="292"/>
      <c r="U817" s="299"/>
      <c r="V817" s="292"/>
      <c r="W817" s="309"/>
      <c r="X817" s="292"/>
      <c r="Y817" s="309"/>
      <c r="Z817" s="292"/>
      <c r="AA817" s="315"/>
      <c r="AB817" s="297"/>
      <c r="AC817" s="292"/>
      <c r="AD817" s="292"/>
      <c r="AE817" s="292"/>
      <c r="AF817" s="303"/>
      <c r="AG817" s="303"/>
      <c r="AH817" s="303"/>
      <c r="AI817" s="303"/>
    </row>
    <row r="818">
      <c r="A818" s="304"/>
      <c r="B818" s="299"/>
      <c r="C818" s="292"/>
      <c r="D818" s="293"/>
      <c r="E818" s="292"/>
      <c r="F818" s="293"/>
      <c r="G818" s="294"/>
      <c r="H818" s="295"/>
      <c r="I818" s="303"/>
      <c r="J818" s="303"/>
      <c r="K818" s="297"/>
      <c r="L818" s="303"/>
      <c r="M818" s="303"/>
      <c r="N818" s="297"/>
      <c r="O818" s="292"/>
      <c r="P818" s="303"/>
      <c r="Q818" s="298"/>
      <c r="R818" s="294"/>
      <c r="S818" s="297"/>
      <c r="T818" s="292"/>
      <c r="U818" s="299"/>
      <c r="V818" s="292"/>
      <c r="W818" s="309"/>
      <c r="X818" s="292"/>
      <c r="Y818" s="309"/>
      <c r="Z818" s="292"/>
      <c r="AA818" s="315"/>
      <c r="AB818" s="297"/>
      <c r="AC818" s="292"/>
      <c r="AD818" s="292"/>
      <c r="AE818" s="292"/>
      <c r="AF818" s="303"/>
      <c r="AG818" s="303"/>
      <c r="AH818" s="303"/>
      <c r="AI818" s="303"/>
    </row>
    <row r="819">
      <c r="A819" s="304"/>
      <c r="B819" s="299"/>
      <c r="C819" s="292"/>
      <c r="D819" s="293"/>
      <c r="E819" s="292"/>
      <c r="F819" s="293"/>
      <c r="G819" s="294"/>
      <c r="H819" s="295"/>
      <c r="I819" s="303"/>
      <c r="J819" s="303"/>
      <c r="K819" s="297"/>
      <c r="L819" s="303"/>
      <c r="M819" s="303"/>
      <c r="N819" s="297"/>
      <c r="O819" s="292"/>
      <c r="P819" s="303"/>
      <c r="Q819" s="298"/>
      <c r="R819" s="294"/>
      <c r="S819" s="297"/>
      <c r="T819" s="292"/>
      <c r="U819" s="299"/>
      <c r="V819" s="292"/>
      <c r="W819" s="309"/>
      <c r="X819" s="292"/>
      <c r="Y819" s="309"/>
      <c r="Z819" s="292"/>
      <c r="AA819" s="315"/>
      <c r="AB819" s="297"/>
      <c r="AC819" s="292"/>
      <c r="AD819" s="292"/>
      <c r="AE819" s="292"/>
      <c r="AF819" s="303"/>
      <c r="AG819" s="303"/>
      <c r="AH819" s="303"/>
      <c r="AI819" s="303"/>
    </row>
    <row r="820">
      <c r="A820" s="304"/>
      <c r="B820" s="299"/>
      <c r="C820" s="292"/>
      <c r="D820" s="293"/>
      <c r="E820" s="292"/>
      <c r="F820" s="293"/>
      <c r="G820" s="294"/>
      <c r="H820" s="295"/>
      <c r="I820" s="303"/>
      <c r="J820" s="303"/>
      <c r="K820" s="297"/>
      <c r="L820" s="303"/>
      <c r="M820" s="303"/>
      <c r="N820" s="297"/>
      <c r="O820" s="292"/>
      <c r="P820" s="303"/>
      <c r="Q820" s="298"/>
      <c r="R820" s="294"/>
      <c r="S820" s="297"/>
      <c r="T820" s="292"/>
      <c r="U820" s="299"/>
      <c r="V820" s="292"/>
      <c r="W820" s="309"/>
      <c r="X820" s="292"/>
      <c r="Y820" s="309"/>
      <c r="Z820" s="292"/>
      <c r="AA820" s="315"/>
      <c r="AB820" s="297"/>
      <c r="AC820" s="292"/>
      <c r="AD820" s="292"/>
      <c r="AE820" s="292"/>
      <c r="AF820" s="303"/>
      <c r="AG820" s="303"/>
      <c r="AH820" s="303"/>
      <c r="AI820" s="303"/>
    </row>
    <row r="821">
      <c r="A821" s="304"/>
      <c r="B821" s="299"/>
      <c r="C821" s="292"/>
      <c r="D821" s="293"/>
      <c r="E821" s="292"/>
      <c r="F821" s="293"/>
      <c r="G821" s="294"/>
      <c r="H821" s="295"/>
      <c r="I821" s="303"/>
      <c r="J821" s="303"/>
      <c r="K821" s="297"/>
      <c r="L821" s="303"/>
      <c r="M821" s="303"/>
      <c r="N821" s="297"/>
      <c r="O821" s="292"/>
      <c r="P821" s="303"/>
      <c r="Q821" s="298"/>
      <c r="R821" s="294"/>
      <c r="S821" s="297"/>
      <c r="T821" s="292"/>
      <c r="U821" s="299"/>
      <c r="V821" s="292"/>
      <c r="W821" s="309"/>
      <c r="X821" s="292"/>
      <c r="Y821" s="309"/>
      <c r="Z821" s="292"/>
      <c r="AA821" s="315"/>
      <c r="AB821" s="297"/>
      <c r="AC821" s="292"/>
      <c r="AD821" s="292"/>
      <c r="AE821" s="292"/>
      <c r="AF821" s="303"/>
      <c r="AG821" s="303"/>
      <c r="AH821" s="303"/>
      <c r="AI821" s="303"/>
    </row>
    <row r="822">
      <c r="A822" s="304"/>
      <c r="B822" s="299"/>
      <c r="C822" s="292"/>
      <c r="D822" s="293"/>
      <c r="E822" s="292"/>
      <c r="F822" s="293"/>
      <c r="G822" s="294"/>
      <c r="H822" s="295"/>
      <c r="I822" s="303"/>
      <c r="J822" s="303"/>
      <c r="K822" s="297"/>
      <c r="L822" s="303"/>
      <c r="M822" s="303"/>
      <c r="N822" s="297"/>
      <c r="O822" s="292"/>
      <c r="P822" s="303"/>
      <c r="Q822" s="298"/>
      <c r="R822" s="294"/>
      <c r="S822" s="297"/>
      <c r="T822" s="292"/>
      <c r="U822" s="299"/>
      <c r="V822" s="292"/>
      <c r="W822" s="309"/>
      <c r="X822" s="292"/>
      <c r="Y822" s="309"/>
      <c r="Z822" s="292"/>
      <c r="AA822" s="315"/>
      <c r="AB822" s="297"/>
      <c r="AC822" s="292"/>
      <c r="AD822" s="292"/>
      <c r="AE822" s="292"/>
      <c r="AF822" s="303"/>
      <c r="AG822" s="303"/>
      <c r="AH822" s="303"/>
      <c r="AI822" s="303"/>
    </row>
    <row r="823">
      <c r="A823" s="304"/>
      <c r="B823" s="299"/>
      <c r="C823" s="292"/>
      <c r="D823" s="293"/>
      <c r="E823" s="292"/>
      <c r="F823" s="293"/>
      <c r="G823" s="294"/>
      <c r="H823" s="295"/>
      <c r="I823" s="303"/>
      <c r="J823" s="303"/>
      <c r="K823" s="297"/>
      <c r="L823" s="303"/>
      <c r="M823" s="303"/>
      <c r="N823" s="297"/>
      <c r="O823" s="292"/>
      <c r="P823" s="303"/>
      <c r="Q823" s="298"/>
      <c r="R823" s="294"/>
      <c r="S823" s="297"/>
      <c r="T823" s="292"/>
      <c r="U823" s="299"/>
      <c r="V823" s="292"/>
      <c r="W823" s="309"/>
      <c r="X823" s="292"/>
      <c r="Y823" s="309"/>
      <c r="Z823" s="292"/>
      <c r="AA823" s="315"/>
      <c r="AB823" s="297"/>
      <c r="AC823" s="292"/>
      <c r="AD823" s="292"/>
      <c r="AE823" s="292"/>
      <c r="AF823" s="303"/>
      <c r="AG823" s="303"/>
      <c r="AH823" s="303"/>
      <c r="AI823" s="303"/>
    </row>
    <row r="824">
      <c r="A824" s="304"/>
      <c r="B824" s="299"/>
      <c r="C824" s="292"/>
      <c r="D824" s="293"/>
      <c r="E824" s="292"/>
      <c r="F824" s="293"/>
      <c r="G824" s="294"/>
      <c r="H824" s="295"/>
      <c r="I824" s="303"/>
      <c r="J824" s="303"/>
      <c r="K824" s="297"/>
      <c r="L824" s="303"/>
      <c r="M824" s="303"/>
      <c r="N824" s="297"/>
      <c r="O824" s="292"/>
      <c r="P824" s="303"/>
      <c r="Q824" s="298"/>
      <c r="R824" s="294"/>
      <c r="S824" s="297"/>
      <c r="T824" s="292"/>
      <c r="U824" s="299"/>
      <c r="V824" s="292"/>
      <c r="W824" s="309"/>
      <c r="X824" s="292"/>
      <c r="Y824" s="309"/>
      <c r="Z824" s="292"/>
      <c r="AA824" s="315"/>
      <c r="AB824" s="297"/>
      <c r="AC824" s="292"/>
      <c r="AD824" s="292"/>
      <c r="AE824" s="292"/>
      <c r="AF824" s="303"/>
      <c r="AG824" s="303"/>
      <c r="AH824" s="303"/>
      <c r="AI824" s="303"/>
    </row>
    <row r="825">
      <c r="A825" s="304"/>
      <c r="B825" s="299"/>
      <c r="C825" s="292"/>
      <c r="D825" s="293"/>
      <c r="E825" s="292"/>
      <c r="F825" s="293"/>
      <c r="G825" s="294"/>
      <c r="H825" s="295"/>
      <c r="I825" s="303"/>
      <c r="J825" s="303"/>
      <c r="K825" s="297"/>
      <c r="L825" s="303"/>
      <c r="M825" s="303"/>
      <c r="N825" s="297"/>
      <c r="O825" s="292"/>
      <c r="P825" s="303"/>
      <c r="Q825" s="298"/>
      <c r="R825" s="294"/>
      <c r="S825" s="297"/>
      <c r="T825" s="292"/>
      <c r="U825" s="299"/>
      <c r="V825" s="292"/>
      <c r="W825" s="309"/>
      <c r="X825" s="292"/>
      <c r="Y825" s="309"/>
      <c r="Z825" s="292"/>
      <c r="AA825" s="315"/>
      <c r="AB825" s="297"/>
      <c r="AC825" s="292"/>
      <c r="AD825" s="292"/>
      <c r="AE825" s="292"/>
      <c r="AF825" s="303"/>
      <c r="AG825" s="303"/>
      <c r="AH825" s="303"/>
      <c r="AI825" s="303"/>
    </row>
    <row r="826">
      <c r="A826" s="304"/>
      <c r="B826" s="299"/>
      <c r="C826" s="292"/>
      <c r="D826" s="293"/>
      <c r="E826" s="292"/>
      <c r="F826" s="293"/>
      <c r="G826" s="294"/>
      <c r="H826" s="295"/>
      <c r="I826" s="303"/>
      <c r="J826" s="303"/>
      <c r="K826" s="297"/>
      <c r="L826" s="303"/>
      <c r="M826" s="303"/>
      <c r="N826" s="297"/>
      <c r="O826" s="292"/>
      <c r="P826" s="303"/>
      <c r="Q826" s="298"/>
      <c r="R826" s="294"/>
      <c r="S826" s="297"/>
      <c r="T826" s="292"/>
      <c r="U826" s="299"/>
      <c r="V826" s="292"/>
      <c r="W826" s="309"/>
      <c r="X826" s="292"/>
      <c r="Y826" s="309"/>
      <c r="Z826" s="292"/>
      <c r="AA826" s="315"/>
      <c r="AB826" s="297"/>
      <c r="AC826" s="292"/>
      <c r="AD826" s="292"/>
      <c r="AE826" s="292"/>
      <c r="AF826" s="303"/>
      <c r="AG826" s="303"/>
      <c r="AH826" s="303"/>
      <c r="AI826" s="303"/>
    </row>
    <row r="827">
      <c r="A827" s="304"/>
      <c r="B827" s="299"/>
      <c r="C827" s="292"/>
      <c r="D827" s="293"/>
      <c r="E827" s="292"/>
      <c r="F827" s="293"/>
      <c r="G827" s="294"/>
      <c r="H827" s="295"/>
      <c r="I827" s="303"/>
      <c r="J827" s="303"/>
      <c r="K827" s="297"/>
      <c r="L827" s="303"/>
      <c r="M827" s="303"/>
      <c r="N827" s="297"/>
      <c r="O827" s="292"/>
      <c r="P827" s="303"/>
      <c r="Q827" s="298"/>
      <c r="R827" s="294"/>
      <c r="S827" s="297"/>
      <c r="T827" s="292"/>
      <c r="U827" s="299"/>
      <c r="V827" s="292"/>
      <c r="W827" s="309"/>
      <c r="X827" s="292"/>
      <c r="Y827" s="309"/>
      <c r="Z827" s="292"/>
      <c r="AA827" s="315"/>
      <c r="AB827" s="297"/>
      <c r="AC827" s="292"/>
      <c r="AD827" s="292"/>
      <c r="AE827" s="292"/>
      <c r="AF827" s="303"/>
      <c r="AG827" s="303"/>
      <c r="AH827" s="303"/>
      <c r="AI827" s="303"/>
    </row>
    <row r="828">
      <c r="A828" s="304"/>
      <c r="B828" s="299"/>
      <c r="C828" s="292"/>
      <c r="D828" s="293"/>
      <c r="E828" s="292"/>
      <c r="F828" s="293"/>
      <c r="G828" s="294"/>
      <c r="H828" s="295"/>
      <c r="I828" s="303"/>
      <c r="J828" s="303"/>
      <c r="K828" s="297"/>
      <c r="L828" s="303"/>
      <c r="M828" s="303"/>
      <c r="N828" s="297"/>
      <c r="O828" s="292"/>
      <c r="P828" s="303"/>
      <c r="Q828" s="298"/>
      <c r="R828" s="294"/>
      <c r="S828" s="297"/>
      <c r="T828" s="292"/>
      <c r="U828" s="299"/>
      <c r="V828" s="292"/>
      <c r="W828" s="309"/>
      <c r="X828" s="292"/>
      <c r="Y828" s="309"/>
      <c r="Z828" s="292"/>
      <c r="AA828" s="315"/>
      <c r="AB828" s="297"/>
      <c r="AC828" s="292"/>
      <c r="AD828" s="292"/>
      <c r="AE828" s="292"/>
      <c r="AF828" s="303"/>
      <c r="AG828" s="303"/>
      <c r="AH828" s="303"/>
      <c r="AI828" s="303"/>
    </row>
    <row r="829">
      <c r="A829" s="304"/>
      <c r="B829" s="299"/>
      <c r="C829" s="292"/>
      <c r="D829" s="293"/>
      <c r="E829" s="292"/>
      <c r="F829" s="293"/>
      <c r="G829" s="294"/>
      <c r="H829" s="295"/>
      <c r="I829" s="303"/>
      <c r="J829" s="303"/>
      <c r="K829" s="297"/>
      <c r="L829" s="303"/>
      <c r="M829" s="303"/>
      <c r="N829" s="297"/>
      <c r="O829" s="292"/>
      <c r="P829" s="303"/>
      <c r="Q829" s="298"/>
      <c r="R829" s="294"/>
      <c r="S829" s="297"/>
      <c r="T829" s="292"/>
      <c r="U829" s="299"/>
      <c r="V829" s="292"/>
      <c r="W829" s="309"/>
      <c r="X829" s="292"/>
      <c r="Y829" s="309"/>
      <c r="Z829" s="292"/>
      <c r="AA829" s="315"/>
      <c r="AB829" s="297"/>
      <c r="AC829" s="292"/>
      <c r="AD829" s="292"/>
      <c r="AE829" s="292"/>
      <c r="AF829" s="303"/>
      <c r="AG829" s="303"/>
      <c r="AH829" s="303"/>
      <c r="AI829" s="303"/>
    </row>
    <row r="830">
      <c r="A830" s="304"/>
      <c r="B830" s="299"/>
      <c r="C830" s="292"/>
      <c r="D830" s="293"/>
      <c r="E830" s="292"/>
      <c r="F830" s="293"/>
      <c r="G830" s="294"/>
      <c r="H830" s="295"/>
      <c r="I830" s="303"/>
      <c r="J830" s="303"/>
      <c r="K830" s="297"/>
      <c r="L830" s="303"/>
      <c r="M830" s="303"/>
      <c r="N830" s="297"/>
      <c r="O830" s="292"/>
      <c r="P830" s="303"/>
      <c r="Q830" s="298"/>
      <c r="R830" s="294"/>
      <c r="S830" s="297"/>
      <c r="T830" s="292"/>
      <c r="U830" s="299"/>
      <c r="V830" s="292"/>
      <c r="W830" s="309"/>
      <c r="X830" s="292"/>
      <c r="Y830" s="309"/>
      <c r="Z830" s="292"/>
      <c r="AA830" s="315"/>
      <c r="AB830" s="297"/>
      <c r="AC830" s="292"/>
      <c r="AD830" s="292"/>
      <c r="AE830" s="292"/>
      <c r="AF830" s="303"/>
      <c r="AG830" s="303"/>
      <c r="AH830" s="303"/>
      <c r="AI830" s="303"/>
    </row>
    <row r="831">
      <c r="A831" s="304"/>
      <c r="B831" s="299"/>
      <c r="C831" s="292"/>
      <c r="D831" s="293"/>
      <c r="E831" s="292"/>
      <c r="F831" s="293"/>
      <c r="G831" s="294"/>
      <c r="H831" s="295"/>
      <c r="I831" s="303"/>
      <c r="J831" s="303"/>
      <c r="K831" s="297"/>
      <c r="L831" s="303"/>
      <c r="M831" s="303"/>
      <c r="N831" s="297"/>
      <c r="O831" s="292"/>
      <c r="P831" s="303"/>
      <c r="Q831" s="298"/>
      <c r="R831" s="294"/>
      <c r="S831" s="297"/>
      <c r="T831" s="292"/>
      <c r="U831" s="299"/>
      <c r="V831" s="292"/>
      <c r="W831" s="309"/>
      <c r="X831" s="292"/>
      <c r="Y831" s="309"/>
      <c r="Z831" s="292"/>
      <c r="AA831" s="315"/>
      <c r="AB831" s="297"/>
      <c r="AC831" s="292"/>
      <c r="AD831" s="292"/>
      <c r="AE831" s="292"/>
      <c r="AF831" s="303"/>
      <c r="AG831" s="303"/>
      <c r="AH831" s="303"/>
      <c r="AI831" s="303"/>
    </row>
    <row r="832">
      <c r="A832" s="304"/>
      <c r="B832" s="299"/>
      <c r="C832" s="292"/>
      <c r="D832" s="293"/>
      <c r="E832" s="292"/>
      <c r="F832" s="293"/>
      <c r="G832" s="294"/>
      <c r="H832" s="295"/>
      <c r="I832" s="303"/>
      <c r="J832" s="303"/>
      <c r="K832" s="297"/>
      <c r="L832" s="303"/>
      <c r="M832" s="303"/>
      <c r="N832" s="297"/>
      <c r="O832" s="292"/>
      <c r="P832" s="303"/>
      <c r="Q832" s="298"/>
      <c r="R832" s="294"/>
      <c r="S832" s="297"/>
      <c r="T832" s="292"/>
      <c r="U832" s="299"/>
      <c r="V832" s="292"/>
      <c r="W832" s="309"/>
      <c r="X832" s="292"/>
      <c r="Y832" s="309"/>
      <c r="Z832" s="292"/>
      <c r="AA832" s="315"/>
      <c r="AB832" s="297"/>
      <c r="AC832" s="292"/>
      <c r="AD832" s="292"/>
      <c r="AE832" s="292"/>
      <c r="AF832" s="303"/>
      <c r="AG832" s="303"/>
      <c r="AH832" s="303"/>
      <c r="AI832" s="303"/>
    </row>
    <row r="833">
      <c r="A833" s="304"/>
      <c r="B833" s="299"/>
      <c r="C833" s="292"/>
      <c r="D833" s="293"/>
      <c r="E833" s="292"/>
      <c r="F833" s="293"/>
      <c r="G833" s="294"/>
      <c r="H833" s="295"/>
      <c r="I833" s="303"/>
      <c r="J833" s="303"/>
      <c r="K833" s="297"/>
      <c r="L833" s="303"/>
      <c r="M833" s="303"/>
      <c r="N833" s="297"/>
      <c r="O833" s="292"/>
      <c r="P833" s="303"/>
      <c r="Q833" s="298"/>
      <c r="R833" s="294"/>
      <c r="S833" s="297"/>
      <c r="T833" s="292"/>
      <c r="U833" s="299"/>
      <c r="V833" s="292"/>
      <c r="W833" s="309"/>
      <c r="X833" s="292"/>
      <c r="Y833" s="309"/>
      <c r="Z833" s="292"/>
      <c r="AA833" s="315"/>
      <c r="AB833" s="297"/>
      <c r="AC833" s="292"/>
      <c r="AD833" s="292"/>
      <c r="AE833" s="292"/>
      <c r="AF833" s="303"/>
      <c r="AG833" s="303"/>
      <c r="AH833" s="303"/>
      <c r="AI833" s="303"/>
    </row>
    <row r="834">
      <c r="A834" s="304"/>
      <c r="B834" s="299"/>
      <c r="C834" s="292"/>
      <c r="D834" s="293"/>
      <c r="E834" s="292"/>
      <c r="F834" s="293"/>
      <c r="G834" s="294"/>
      <c r="H834" s="295"/>
      <c r="I834" s="303"/>
      <c r="J834" s="303"/>
      <c r="K834" s="297"/>
      <c r="L834" s="303"/>
      <c r="M834" s="303"/>
      <c r="N834" s="297"/>
      <c r="O834" s="292"/>
      <c r="P834" s="303"/>
      <c r="Q834" s="298"/>
      <c r="R834" s="294"/>
      <c r="S834" s="297"/>
      <c r="T834" s="292"/>
      <c r="U834" s="299"/>
      <c r="V834" s="292"/>
      <c r="W834" s="309"/>
      <c r="X834" s="292"/>
      <c r="Y834" s="309"/>
      <c r="Z834" s="292"/>
      <c r="AA834" s="315"/>
      <c r="AB834" s="297"/>
      <c r="AC834" s="292"/>
      <c r="AD834" s="292"/>
      <c r="AE834" s="292"/>
      <c r="AF834" s="303"/>
      <c r="AG834" s="303"/>
      <c r="AH834" s="303"/>
      <c r="AI834" s="303"/>
    </row>
    <row r="835">
      <c r="A835" s="304"/>
      <c r="B835" s="299"/>
      <c r="C835" s="292"/>
      <c r="D835" s="293"/>
      <c r="E835" s="292"/>
      <c r="F835" s="293"/>
      <c r="G835" s="294"/>
      <c r="H835" s="295"/>
      <c r="I835" s="303"/>
      <c r="J835" s="303"/>
      <c r="K835" s="297"/>
      <c r="L835" s="303"/>
      <c r="M835" s="303"/>
      <c r="N835" s="297"/>
      <c r="O835" s="292"/>
      <c r="P835" s="303"/>
      <c r="Q835" s="298"/>
      <c r="R835" s="294"/>
      <c r="S835" s="297"/>
      <c r="T835" s="292"/>
      <c r="U835" s="299"/>
      <c r="V835" s="292"/>
      <c r="W835" s="309"/>
      <c r="X835" s="292"/>
      <c r="Y835" s="309"/>
      <c r="Z835" s="292"/>
      <c r="AA835" s="315"/>
      <c r="AB835" s="297"/>
      <c r="AC835" s="292"/>
      <c r="AD835" s="292"/>
      <c r="AE835" s="292"/>
      <c r="AF835" s="303"/>
      <c r="AG835" s="303"/>
      <c r="AH835" s="303"/>
      <c r="AI835" s="303"/>
    </row>
    <row r="836">
      <c r="A836" s="304"/>
      <c r="B836" s="299"/>
      <c r="C836" s="292"/>
      <c r="D836" s="293"/>
      <c r="E836" s="292"/>
      <c r="F836" s="293"/>
      <c r="G836" s="294"/>
      <c r="H836" s="295"/>
      <c r="I836" s="303"/>
      <c r="J836" s="303"/>
      <c r="K836" s="297"/>
      <c r="L836" s="303"/>
      <c r="M836" s="303"/>
      <c r="N836" s="297"/>
      <c r="O836" s="292"/>
      <c r="P836" s="303"/>
      <c r="Q836" s="298"/>
      <c r="R836" s="294"/>
      <c r="S836" s="297"/>
      <c r="T836" s="292"/>
      <c r="U836" s="299"/>
      <c r="V836" s="292"/>
      <c r="W836" s="309"/>
      <c r="X836" s="292"/>
      <c r="Y836" s="309"/>
      <c r="Z836" s="292"/>
      <c r="AA836" s="315"/>
      <c r="AB836" s="297"/>
      <c r="AC836" s="292"/>
      <c r="AD836" s="292"/>
      <c r="AE836" s="292"/>
      <c r="AF836" s="303"/>
      <c r="AG836" s="303"/>
      <c r="AH836" s="303"/>
      <c r="AI836" s="303"/>
    </row>
    <row r="837">
      <c r="A837" s="304"/>
      <c r="B837" s="299"/>
      <c r="C837" s="292"/>
      <c r="D837" s="293"/>
      <c r="E837" s="292"/>
      <c r="F837" s="293"/>
      <c r="G837" s="294"/>
      <c r="H837" s="295"/>
      <c r="I837" s="303"/>
      <c r="J837" s="303"/>
      <c r="K837" s="297"/>
      <c r="L837" s="303"/>
      <c r="M837" s="303"/>
      <c r="N837" s="297"/>
      <c r="O837" s="292"/>
      <c r="P837" s="303"/>
      <c r="Q837" s="298"/>
      <c r="R837" s="294"/>
      <c r="S837" s="297"/>
      <c r="T837" s="292"/>
      <c r="U837" s="299"/>
      <c r="V837" s="292"/>
      <c r="W837" s="309"/>
      <c r="X837" s="292"/>
      <c r="Y837" s="309"/>
      <c r="Z837" s="292"/>
      <c r="AA837" s="315"/>
      <c r="AB837" s="297"/>
      <c r="AC837" s="292"/>
      <c r="AD837" s="292"/>
      <c r="AE837" s="292"/>
      <c r="AF837" s="303"/>
      <c r="AG837" s="303"/>
      <c r="AH837" s="303"/>
      <c r="AI837" s="303"/>
    </row>
    <row r="838">
      <c r="A838" s="304"/>
      <c r="B838" s="299"/>
      <c r="C838" s="292"/>
      <c r="D838" s="293"/>
      <c r="E838" s="292"/>
      <c r="F838" s="293"/>
      <c r="G838" s="294"/>
      <c r="H838" s="295"/>
      <c r="I838" s="303"/>
      <c r="J838" s="303"/>
      <c r="K838" s="297"/>
      <c r="L838" s="303"/>
      <c r="M838" s="303"/>
      <c r="N838" s="297"/>
      <c r="O838" s="292"/>
      <c r="P838" s="303"/>
      <c r="Q838" s="298"/>
      <c r="R838" s="294"/>
      <c r="S838" s="297"/>
      <c r="T838" s="292"/>
      <c r="U838" s="299"/>
      <c r="V838" s="292"/>
      <c r="W838" s="309"/>
      <c r="X838" s="292"/>
      <c r="Y838" s="309"/>
      <c r="Z838" s="292"/>
      <c r="AA838" s="315"/>
      <c r="AB838" s="297"/>
      <c r="AC838" s="292"/>
      <c r="AD838" s="292"/>
      <c r="AE838" s="292"/>
      <c r="AF838" s="303"/>
      <c r="AG838" s="303"/>
      <c r="AH838" s="303"/>
      <c r="AI838" s="303"/>
    </row>
    <row r="839">
      <c r="A839" s="304"/>
      <c r="B839" s="299"/>
      <c r="C839" s="292"/>
      <c r="D839" s="293"/>
      <c r="E839" s="292"/>
      <c r="F839" s="293"/>
      <c r="G839" s="294"/>
      <c r="H839" s="295"/>
      <c r="I839" s="303"/>
      <c r="J839" s="303"/>
      <c r="K839" s="297"/>
      <c r="L839" s="303"/>
      <c r="M839" s="303"/>
      <c r="N839" s="297"/>
      <c r="O839" s="292"/>
      <c r="P839" s="303"/>
      <c r="Q839" s="298"/>
      <c r="R839" s="294"/>
      <c r="S839" s="297"/>
      <c r="T839" s="292"/>
      <c r="U839" s="299"/>
      <c r="V839" s="292"/>
      <c r="W839" s="309"/>
      <c r="X839" s="292"/>
      <c r="Y839" s="309"/>
      <c r="Z839" s="292"/>
      <c r="AA839" s="315"/>
      <c r="AB839" s="297"/>
      <c r="AC839" s="292"/>
      <c r="AD839" s="292"/>
      <c r="AE839" s="292"/>
      <c r="AF839" s="303"/>
      <c r="AG839" s="303"/>
      <c r="AH839" s="303"/>
      <c r="AI839" s="303"/>
    </row>
    <row r="840">
      <c r="A840" s="304"/>
      <c r="B840" s="299"/>
      <c r="C840" s="292"/>
      <c r="D840" s="293"/>
      <c r="E840" s="292"/>
      <c r="F840" s="293"/>
      <c r="G840" s="294"/>
      <c r="H840" s="295"/>
      <c r="I840" s="303"/>
      <c r="J840" s="303"/>
      <c r="K840" s="297"/>
      <c r="L840" s="303"/>
      <c r="M840" s="303"/>
      <c r="N840" s="297"/>
      <c r="O840" s="292"/>
      <c r="P840" s="303"/>
      <c r="Q840" s="298"/>
      <c r="R840" s="294"/>
      <c r="S840" s="297"/>
      <c r="T840" s="292"/>
      <c r="U840" s="299"/>
      <c r="V840" s="292"/>
      <c r="W840" s="309"/>
      <c r="X840" s="292"/>
      <c r="Y840" s="309"/>
      <c r="Z840" s="292"/>
      <c r="AA840" s="315"/>
      <c r="AB840" s="297"/>
      <c r="AC840" s="292"/>
      <c r="AD840" s="292"/>
      <c r="AE840" s="292"/>
      <c r="AF840" s="303"/>
      <c r="AG840" s="303"/>
      <c r="AH840" s="303"/>
      <c r="AI840" s="303"/>
    </row>
    <row r="841">
      <c r="A841" s="304"/>
      <c r="B841" s="299"/>
      <c r="C841" s="292"/>
      <c r="D841" s="293"/>
      <c r="E841" s="292"/>
      <c r="F841" s="293"/>
      <c r="G841" s="294"/>
      <c r="H841" s="295"/>
      <c r="I841" s="303"/>
      <c r="J841" s="303"/>
      <c r="K841" s="297"/>
      <c r="L841" s="303"/>
      <c r="M841" s="303"/>
      <c r="N841" s="297"/>
      <c r="O841" s="292"/>
      <c r="P841" s="303"/>
      <c r="Q841" s="298"/>
      <c r="R841" s="294"/>
      <c r="S841" s="297"/>
      <c r="T841" s="292"/>
      <c r="U841" s="299"/>
      <c r="V841" s="292"/>
      <c r="W841" s="309"/>
      <c r="X841" s="292"/>
      <c r="Y841" s="309"/>
      <c r="Z841" s="292"/>
      <c r="AA841" s="315"/>
      <c r="AB841" s="297"/>
      <c r="AC841" s="292"/>
      <c r="AD841" s="292"/>
      <c r="AE841" s="292"/>
      <c r="AF841" s="303"/>
      <c r="AG841" s="303"/>
      <c r="AH841" s="303"/>
      <c r="AI841" s="303"/>
    </row>
    <row r="842">
      <c r="A842" s="304"/>
      <c r="B842" s="299"/>
      <c r="C842" s="292"/>
      <c r="D842" s="293"/>
      <c r="E842" s="292"/>
      <c r="F842" s="293"/>
      <c r="G842" s="294"/>
      <c r="H842" s="295"/>
      <c r="I842" s="303"/>
      <c r="J842" s="303"/>
      <c r="K842" s="297"/>
      <c r="L842" s="303"/>
      <c r="M842" s="303"/>
      <c r="N842" s="297"/>
      <c r="O842" s="292"/>
      <c r="P842" s="303"/>
      <c r="Q842" s="298"/>
      <c r="R842" s="294"/>
      <c r="S842" s="297"/>
      <c r="T842" s="292"/>
      <c r="U842" s="299"/>
      <c r="V842" s="292"/>
      <c r="W842" s="309"/>
      <c r="X842" s="292"/>
      <c r="Y842" s="309"/>
      <c r="Z842" s="292"/>
      <c r="AA842" s="315"/>
      <c r="AB842" s="297"/>
      <c r="AC842" s="292"/>
      <c r="AD842" s="292"/>
      <c r="AE842" s="292"/>
      <c r="AF842" s="303"/>
      <c r="AG842" s="303"/>
      <c r="AH842" s="303"/>
      <c r="AI842" s="303"/>
    </row>
    <row r="843">
      <c r="A843" s="304"/>
      <c r="B843" s="299"/>
      <c r="C843" s="292"/>
      <c r="D843" s="293"/>
      <c r="E843" s="292"/>
      <c r="F843" s="293"/>
      <c r="G843" s="294"/>
      <c r="H843" s="295"/>
      <c r="I843" s="303"/>
      <c r="J843" s="303"/>
      <c r="K843" s="297"/>
      <c r="L843" s="303"/>
      <c r="M843" s="303"/>
      <c r="N843" s="297"/>
      <c r="O843" s="292"/>
      <c r="P843" s="303"/>
      <c r="Q843" s="298"/>
      <c r="R843" s="294"/>
      <c r="S843" s="297"/>
      <c r="T843" s="292"/>
      <c r="U843" s="299"/>
      <c r="V843" s="292"/>
      <c r="W843" s="309"/>
      <c r="X843" s="292"/>
      <c r="Y843" s="309"/>
      <c r="Z843" s="292"/>
      <c r="AA843" s="315"/>
      <c r="AB843" s="297"/>
      <c r="AC843" s="292"/>
      <c r="AD843" s="292"/>
      <c r="AE843" s="292"/>
      <c r="AF843" s="303"/>
      <c r="AG843" s="303"/>
      <c r="AH843" s="303"/>
      <c r="AI843" s="303"/>
    </row>
    <row r="844">
      <c r="A844" s="304"/>
      <c r="B844" s="299"/>
      <c r="C844" s="292"/>
      <c r="D844" s="293"/>
      <c r="E844" s="292"/>
      <c r="F844" s="293"/>
      <c r="G844" s="294"/>
      <c r="H844" s="295"/>
      <c r="I844" s="303"/>
      <c r="J844" s="303"/>
      <c r="K844" s="297"/>
      <c r="L844" s="303"/>
      <c r="M844" s="303"/>
      <c r="N844" s="297"/>
      <c r="O844" s="292"/>
      <c r="P844" s="303"/>
      <c r="Q844" s="298"/>
      <c r="R844" s="294"/>
      <c r="S844" s="297"/>
      <c r="T844" s="292"/>
      <c r="U844" s="299"/>
      <c r="V844" s="292"/>
      <c r="W844" s="309"/>
      <c r="X844" s="292"/>
      <c r="Y844" s="309"/>
      <c r="Z844" s="292"/>
      <c r="AA844" s="315"/>
      <c r="AB844" s="297"/>
      <c r="AC844" s="292"/>
      <c r="AD844" s="292"/>
      <c r="AE844" s="292"/>
      <c r="AF844" s="303"/>
      <c r="AG844" s="303"/>
      <c r="AH844" s="303"/>
      <c r="AI844" s="303"/>
    </row>
    <row r="845">
      <c r="A845" s="304"/>
      <c r="B845" s="299"/>
      <c r="C845" s="292"/>
      <c r="D845" s="293"/>
      <c r="E845" s="292"/>
      <c r="F845" s="293"/>
      <c r="G845" s="294"/>
      <c r="H845" s="295"/>
      <c r="I845" s="303"/>
      <c r="J845" s="303"/>
      <c r="K845" s="297"/>
      <c r="L845" s="303"/>
      <c r="M845" s="303"/>
      <c r="N845" s="297"/>
      <c r="O845" s="292"/>
      <c r="P845" s="303"/>
      <c r="Q845" s="298"/>
      <c r="R845" s="294"/>
      <c r="S845" s="297"/>
      <c r="T845" s="292"/>
      <c r="U845" s="299"/>
      <c r="V845" s="292"/>
      <c r="W845" s="309"/>
      <c r="X845" s="292"/>
      <c r="Y845" s="309"/>
      <c r="Z845" s="292"/>
      <c r="AA845" s="315"/>
      <c r="AB845" s="297"/>
      <c r="AC845" s="292"/>
      <c r="AD845" s="292"/>
      <c r="AE845" s="292"/>
      <c r="AF845" s="303"/>
      <c r="AG845" s="303"/>
      <c r="AH845" s="303"/>
      <c r="AI845" s="303"/>
    </row>
    <row r="846">
      <c r="A846" s="304"/>
      <c r="B846" s="299"/>
      <c r="C846" s="292"/>
      <c r="D846" s="293"/>
      <c r="E846" s="292"/>
      <c r="F846" s="293"/>
      <c r="G846" s="294"/>
      <c r="H846" s="295"/>
      <c r="I846" s="303"/>
      <c r="J846" s="303"/>
      <c r="K846" s="297"/>
      <c r="L846" s="303"/>
      <c r="M846" s="303"/>
      <c r="N846" s="297"/>
      <c r="O846" s="292"/>
      <c r="P846" s="303"/>
      <c r="Q846" s="298"/>
      <c r="R846" s="294"/>
      <c r="S846" s="297"/>
      <c r="T846" s="292"/>
      <c r="U846" s="299"/>
      <c r="V846" s="292"/>
      <c r="W846" s="309"/>
      <c r="X846" s="292"/>
      <c r="Y846" s="309"/>
      <c r="Z846" s="292"/>
      <c r="AA846" s="315"/>
      <c r="AB846" s="297"/>
      <c r="AC846" s="292"/>
      <c r="AD846" s="292"/>
      <c r="AE846" s="292"/>
      <c r="AF846" s="303"/>
      <c r="AG846" s="303"/>
      <c r="AH846" s="303"/>
      <c r="AI846" s="303"/>
    </row>
    <row r="847">
      <c r="A847" s="304"/>
      <c r="B847" s="299"/>
      <c r="C847" s="292"/>
      <c r="D847" s="293"/>
      <c r="E847" s="292"/>
      <c r="F847" s="293"/>
      <c r="G847" s="294"/>
      <c r="H847" s="295"/>
      <c r="I847" s="303"/>
      <c r="J847" s="303"/>
      <c r="K847" s="297"/>
      <c r="L847" s="303"/>
      <c r="M847" s="303"/>
      <c r="N847" s="297"/>
      <c r="O847" s="292"/>
      <c r="P847" s="303"/>
      <c r="Q847" s="298"/>
      <c r="R847" s="294"/>
      <c r="S847" s="297"/>
      <c r="T847" s="292"/>
      <c r="U847" s="299"/>
      <c r="V847" s="292"/>
      <c r="W847" s="309"/>
      <c r="X847" s="292"/>
      <c r="Y847" s="309"/>
      <c r="Z847" s="292"/>
      <c r="AA847" s="315"/>
      <c r="AB847" s="297"/>
      <c r="AC847" s="292"/>
      <c r="AD847" s="292"/>
      <c r="AE847" s="292"/>
      <c r="AF847" s="303"/>
      <c r="AG847" s="303"/>
      <c r="AH847" s="303"/>
      <c r="AI847" s="303"/>
    </row>
    <row r="848">
      <c r="A848" s="304"/>
      <c r="B848" s="299"/>
      <c r="C848" s="292"/>
      <c r="D848" s="293"/>
      <c r="E848" s="292"/>
      <c r="F848" s="293"/>
      <c r="G848" s="294"/>
      <c r="H848" s="295"/>
      <c r="I848" s="303"/>
      <c r="J848" s="303"/>
      <c r="K848" s="297"/>
      <c r="L848" s="303"/>
      <c r="M848" s="303"/>
      <c r="N848" s="297"/>
      <c r="O848" s="292"/>
      <c r="P848" s="303"/>
      <c r="Q848" s="298"/>
      <c r="R848" s="294"/>
      <c r="S848" s="297"/>
      <c r="T848" s="292"/>
      <c r="U848" s="299"/>
      <c r="V848" s="292"/>
      <c r="W848" s="309"/>
      <c r="X848" s="292"/>
      <c r="Y848" s="309"/>
      <c r="Z848" s="292"/>
      <c r="AA848" s="315"/>
      <c r="AB848" s="297"/>
      <c r="AC848" s="292"/>
      <c r="AD848" s="292"/>
      <c r="AE848" s="292"/>
      <c r="AF848" s="303"/>
      <c r="AG848" s="303"/>
      <c r="AH848" s="303"/>
      <c r="AI848" s="303"/>
    </row>
    <row r="849">
      <c r="A849" s="304"/>
      <c r="B849" s="299"/>
      <c r="C849" s="292"/>
      <c r="D849" s="293"/>
      <c r="E849" s="292"/>
      <c r="F849" s="293"/>
      <c r="G849" s="294"/>
      <c r="H849" s="295"/>
      <c r="I849" s="303"/>
      <c r="J849" s="303"/>
      <c r="K849" s="297"/>
      <c r="L849" s="303"/>
      <c r="M849" s="303"/>
      <c r="N849" s="297"/>
      <c r="O849" s="292"/>
      <c r="P849" s="303"/>
      <c r="Q849" s="298"/>
      <c r="R849" s="294"/>
      <c r="S849" s="297"/>
      <c r="T849" s="292"/>
      <c r="U849" s="299"/>
      <c r="V849" s="292"/>
      <c r="W849" s="309"/>
      <c r="X849" s="292"/>
      <c r="Y849" s="309"/>
      <c r="Z849" s="292"/>
      <c r="AA849" s="315"/>
      <c r="AB849" s="297"/>
      <c r="AC849" s="292"/>
      <c r="AD849" s="292"/>
      <c r="AE849" s="292"/>
      <c r="AF849" s="303"/>
      <c r="AG849" s="303"/>
      <c r="AH849" s="303"/>
      <c r="AI849" s="303"/>
    </row>
    <row r="850">
      <c r="A850" s="304"/>
      <c r="B850" s="299"/>
      <c r="C850" s="292"/>
      <c r="D850" s="293"/>
      <c r="E850" s="292"/>
      <c r="F850" s="293"/>
      <c r="G850" s="294"/>
      <c r="H850" s="295"/>
      <c r="I850" s="303"/>
      <c r="J850" s="303"/>
      <c r="K850" s="297"/>
      <c r="L850" s="303"/>
      <c r="M850" s="303"/>
      <c r="N850" s="297"/>
      <c r="O850" s="292"/>
      <c r="P850" s="303"/>
      <c r="Q850" s="298"/>
      <c r="R850" s="294"/>
      <c r="S850" s="297"/>
      <c r="T850" s="292"/>
      <c r="U850" s="299"/>
      <c r="V850" s="292"/>
      <c r="W850" s="309"/>
      <c r="X850" s="292"/>
      <c r="Y850" s="309"/>
      <c r="Z850" s="292"/>
      <c r="AA850" s="315"/>
      <c r="AB850" s="297"/>
      <c r="AC850" s="292"/>
      <c r="AD850" s="292"/>
      <c r="AE850" s="292"/>
      <c r="AF850" s="303"/>
      <c r="AG850" s="303"/>
      <c r="AH850" s="303"/>
      <c r="AI850" s="303"/>
    </row>
    <row r="851">
      <c r="A851" s="304"/>
      <c r="B851" s="299"/>
      <c r="C851" s="292"/>
      <c r="D851" s="293"/>
      <c r="E851" s="292"/>
      <c r="F851" s="293"/>
      <c r="G851" s="294"/>
      <c r="H851" s="295"/>
      <c r="I851" s="303"/>
      <c r="J851" s="303"/>
      <c r="K851" s="297"/>
      <c r="L851" s="303"/>
      <c r="M851" s="303"/>
      <c r="N851" s="297"/>
      <c r="O851" s="292"/>
      <c r="P851" s="303"/>
      <c r="Q851" s="298"/>
      <c r="R851" s="294"/>
      <c r="S851" s="297"/>
      <c r="T851" s="292"/>
      <c r="U851" s="299"/>
      <c r="V851" s="292"/>
      <c r="W851" s="309"/>
      <c r="X851" s="292"/>
      <c r="Y851" s="309"/>
      <c r="Z851" s="292"/>
      <c r="AA851" s="315"/>
      <c r="AB851" s="297"/>
      <c r="AC851" s="292"/>
      <c r="AD851" s="292"/>
      <c r="AE851" s="292"/>
      <c r="AF851" s="303"/>
      <c r="AG851" s="303"/>
      <c r="AH851" s="303"/>
      <c r="AI851" s="303"/>
    </row>
    <row r="852">
      <c r="A852" s="304"/>
      <c r="B852" s="299"/>
      <c r="C852" s="292"/>
      <c r="D852" s="293"/>
      <c r="E852" s="292"/>
      <c r="F852" s="293"/>
      <c r="G852" s="294"/>
      <c r="H852" s="295"/>
      <c r="I852" s="303"/>
      <c r="J852" s="303"/>
      <c r="K852" s="297"/>
      <c r="L852" s="303"/>
      <c r="M852" s="303"/>
      <c r="N852" s="297"/>
      <c r="O852" s="292"/>
      <c r="P852" s="303"/>
      <c r="Q852" s="298"/>
      <c r="R852" s="294"/>
      <c r="S852" s="297"/>
      <c r="T852" s="292"/>
      <c r="U852" s="299"/>
      <c r="V852" s="292"/>
      <c r="W852" s="309"/>
      <c r="X852" s="292"/>
      <c r="Y852" s="309"/>
      <c r="Z852" s="292"/>
      <c r="AA852" s="315"/>
      <c r="AB852" s="297"/>
      <c r="AC852" s="292"/>
      <c r="AD852" s="292"/>
      <c r="AE852" s="292"/>
      <c r="AF852" s="303"/>
      <c r="AG852" s="303"/>
      <c r="AH852" s="303"/>
      <c r="AI852" s="303"/>
    </row>
    <row r="853">
      <c r="A853" s="304"/>
      <c r="B853" s="299"/>
      <c r="C853" s="292"/>
      <c r="D853" s="293"/>
      <c r="E853" s="292"/>
      <c r="F853" s="293"/>
      <c r="G853" s="294"/>
      <c r="H853" s="295"/>
      <c r="I853" s="303"/>
      <c r="J853" s="303"/>
      <c r="K853" s="297"/>
      <c r="L853" s="303"/>
      <c r="M853" s="303"/>
      <c r="N853" s="297"/>
      <c r="O853" s="292"/>
      <c r="P853" s="303"/>
      <c r="Q853" s="298"/>
      <c r="R853" s="294"/>
      <c r="S853" s="297"/>
      <c r="T853" s="292"/>
      <c r="U853" s="299"/>
      <c r="V853" s="292"/>
      <c r="W853" s="309"/>
      <c r="X853" s="292"/>
      <c r="Y853" s="309"/>
      <c r="Z853" s="292"/>
      <c r="AA853" s="315"/>
      <c r="AB853" s="297"/>
      <c r="AC853" s="292"/>
      <c r="AD853" s="292"/>
      <c r="AE853" s="292"/>
      <c r="AF853" s="303"/>
      <c r="AG853" s="303"/>
      <c r="AH853" s="303"/>
      <c r="AI853" s="303"/>
    </row>
    <row r="854">
      <c r="A854" s="304"/>
      <c r="B854" s="299"/>
      <c r="C854" s="292"/>
      <c r="D854" s="293"/>
      <c r="E854" s="292"/>
      <c r="F854" s="293"/>
      <c r="G854" s="294"/>
      <c r="H854" s="295"/>
      <c r="I854" s="303"/>
      <c r="J854" s="303"/>
      <c r="K854" s="297"/>
      <c r="L854" s="303"/>
      <c r="M854" s="303"/>
      <c r="N854" s="297"/>
      <c r="O854" s="292"/>
      <c r="P854" s="303"/>
      <c r="Q854" s="298"/>
      <c r="R854" s="294"/>
      <c r="S854" s="297"/>
      <c r="T854" s="292"/>
      <c r="U854" s="299"/>
      <c r="V854" s="292"/>
      <c r="W854" s="309"/>
      <c r="X854" s="292"/>
      <c r="Y854" s="309"/>
      <c r="Z854" s="292"/>
      <c r="AA854" s="315"/>
      <c r="AB854" s="297"/>
      <c r="AC854" s="292"/>
      <c r="AD854" s="292"/>
      <c r="AE854" s="292"/>
      <c r="AF854" s="303"/>
      <c r="AG854" s="303"/>
      <c r="AH854" s="303"/>
      <c r="AI854" s="303"/>
    </row>
    <row r="855">
      <c r="A855" s="304"/>
      <c r="B855" s="299"/>
      <c r="C855" s="292"/>
      <c r="D855" s="293"/>
      <c r="E855" s="292"/>
      <c r="F855" s="293"/>
      <c r="G855" s="294"/>
      <c r="H855" s="295"/>
      <c r="I855" s="303"/>
      <c r="J855" s="303"/>
      <c r="K855" s="297"/>
      <c r="L855" s="303"/>
      <c r="M855" s="303"/>
      <c r="N855" s="297"/>
      <c r="O855" s="292"/>
      <c r="P855" s="303"/>
      <c r="Q855" s="298"/>
      <c r="R855" s="294"/>
      <c r="S855" s="297"/>
      <c r="T855" s="292"/>
      <c r="U855" s="299"/>
      <c r="V855" s="292"/>
      <c r="W855" s="309"/>
      <c r="X855" s="292"/>
      <c r="Y855" s="309"/>
      <c r="Z855" s="292"/>
      <c r="AA855" s="315"/>
      <c r="AB855" s="297"/>
      <c r="AC855" s="292"/>
      <c r="AD855" s="292"/>
      <c r="AE855" s="292"/>
      <c r="AF855" s="303"/>
      <c r="AG855" s="303"/>
      <c r="AH855" s="303"/>
      <c r="AI855" s="303"/>
    </row>
    <row r="856">
      <c r="A856" s="304"/>
      <c r="B856" s="299"/>
      <c r="C856" s="292"/>
      <c r="D856" s="293"/>
      <c r="E856" s="292"/>
      <c r="F856" s="293"/>
      <c r="G856" s="294"/>
      <c r="H856" s="295"/>
      <c r="I856" s="303"/>
      <c r="J856" s="303"/>
      <c r="K856" s="297"/>
      <c r="L856" s="303"/>
      <c r="M856" s="303"/>
      <c r="N856" s="297"/>
      <c r="O856" s="292"/>
      <c r="P856" s="303"/>
      <c r="Q856" s="298"/>
      <c r="R856" s="294"/>
      <c r="S856" s="297"/>
      <c r="T856" s="292"/>
      <c r="U856" s="299"/>
      <c r="V856" s="292"/>
      <c r="W856" s="309"/>
      <c r="X856" s="292"/>
      <c r="Y856" s="309"/>
      <c r="Z856" s="292"/>
      <c r="AA856" s="315"/>
      <c r="AB856" s="297"/>
      <c r="AC856" s="292"/>
      <c r="AD856" s="292"/>
      <c r="AE856" s="292"/>
      <c r="AF856" s="303"/>
      <c r="AG856" s="303"/>
      <c r="AH856" s="303"/>
      <c r="AI856" s="303"/>
    </row>
    <row r="857">
      <c r="A857" s="304"/>
      <c r="B857" s="299"/>
      <c r="C857" s="292"/>
      <c r="D857" s="293"/>
      <c r="E857" s="292"/>
      <c r="F857" s="293"/>
      <c r="G857" s="294"/>
      <c r="H857" s="295"/>
      <c r="I857" s="303"/>
      <c r="J857" s="303"/>
      <c r="K857" s="297"/>
      <c r="L857" s="303"/>
      <c r="M857" s="303"/>
      <c r="N857" s="297"/>
      <c r="O857" s="292"/>
      <c r="P857" s="303"/>
      <c r="Q857" s="298"/>
      <c r="R857" s="294"/>
      <c r="S857" s="297"/>
      <c r="T857" s="292"/>
      <c r="U857" s="299"/>
      <c r="V857" s="292"/>
      <c r="W857" s="309"/>
      <c r="X857" s="292"/>
      <c r="Y857" s="309"/>
      <c r="Z857" s="292"/>
      <c r="AA857" s="315"/>
      <c r="AB857" s="297"/>
      <c r="AC857" s="292"/>
      <c r="AD857" s="292"/>
      <c r="AE857" s="292"/>
      <c r="AF857" s="303"/>
      <c r="AG857" s="303"/>
      <c r="AH857" s="303"/>
      <c r="AI857" s="303"/>
    </row>
    <row r="858">
      <c r="A858" s="304"/>
      <c r="B858" s="299"/>
      <c r="C858" s="292"/>
      <c r="D858" s="293"/>
      <c r="E858" s="292"/>
      <c r="F858" s="293"/>
      <c r="G858" s="294"/>
      <c r="H858" s="295"/>
      <c r="I858" s="303"/>
      <c r="J858" s="303"/>
      <c r="K858" s="297"/>
      <c r="L858" s="303"/>
      <c r="M858" s="303"/>
      <c r="N858" s="297"/>
      <c r="O858" s="292"/>
      <c r="P858" s="303"/>
      <c r="Q858" s="298"/>
      <c r="R858" s="294"/>
      <c r="S858" s="297"/>
      <c r="T858" s="292"/>
      <c r="U858" s="299"/>
      <c r="V858" s="292"/>
      <c r="W858" s="309"/>
      <c r="X858" s="292"/>
      <c r="Y858" s="309"/>
      <c r="Z858" s="292"/>
      <c r="AA858" s="315"/>
      <c r="AB858" s="297"/>
      <c r="AC858" s="292"/>
      <c r="AD858" s="292"/>
      <c r="AE858" s="292"/>
      <c r="AF858" s="303"/>
      <c r="AG858" s="303"/>
      <c r="AH858" s="303"/>
      <c r="AI858" s="303"/>
    </row>
    <row r="859">
      <c r="A859" s="304"/>
      <c r="B859" s="299"/>
      <c r="C859" s="292"/>
      <c r="D859" s="293"/>
      <c r="E859" s="292"/>
      <c r="F859" s="293"/>
      <c r="G859" s="294"/>
      <c r="H859" s="295"/>
      <c r="I859" s="303"/>
      <c r="J859" s="303"/>
      <c r="K859" s="297"/>
      <c r="L859" s="303"/>
      <c r="M859" s="303"/>
      <c r="N859" s="297"/>
      <c r="O859" s="292"/>
      <c r="P859" s="303"/>
      <c r="Q859" s="298"/>
      <c r="R859" s="294"/>
      <c r="S859" s="297"/>
      <c r="T859" s="292"/>
      <c r="U859" s="299"/>
      <c r="V859" s="292"/>
      <c r="W859" s="309"/>
      <c r="X859" s="292"/>
      <c r="Y859" s="309"/>
      <c r="Z859" s="292"/>
      <c r="AA859" s="315"/>
      <c r="AB859" s="297"/>
      <c r="AC859" s="292"/>
      <c r="AD859" s="292"/>
      <c r="AE859" s="292"/>
      <c r="AF859" s="303"/>
      <c r="AG859" s="303"/>
      <c r="AH859" s="303"/>
      <c r="AI859" s="303"/>
    </row>
    <row r="860">
      <c r="A860" s="304"/>
      <c r="B860" s="299"/>
      <c r="C860" s="292"/>
      <c r="D860" s="293"/>
      <c r="E860" s="292"/>
      <c r="F860" s="293"/>
      <c r="G860" s="294"/>
      <c r="H860" s="295"/>
      <c r="I860" s="303"/>
      <c r="J860" s="303"/>
      <c r="K860" s="297"/>
      <c r="L860" s="303"/>
      <c r="M860" s="303"/>
      <c r="N860" s="297"/>
      <c r="O860" s="292"/>
      <c r="P860" s="303"/>
      <c r="Q860" s="298"/>
      <c r="R860" s="294"/>
      <c r="S860" s="297"/>
      <c r="T860" s="292"/>
      <c r="U860" s="299"/>
      <c r="V860" s="292"/>
      <c r="W860" s="309"/>
      <c r="X860" s="292"/>
      <c r="Y860" s="309"/>
      <c r="Z860" s="292"/>
      <c r="AA860" s="315"/>
      <c r="AB860" s="297"/>
      <c r="AC860" s="292"/>
      <c r="AD860" s="292"/>
      <c r="AE860" s="292"/>
      <c r="AF860" s="303"/>
      <c r="AG860" s="303"/>
      <c r="AH860" s="303"/>
      <c r="AI860" s="303"/>
    </row>
    <row r="861">
      <c r="A861" s="304"/>
      <c r="B861" s="299"/>
      <c r="C861" s="292"/>
      <c r="D861" s="293"/>
      <c r="E861" s="292"/>
      <c r="F861" s="293"/>
      <c r="G861" s="294"/>
      <c r="H861" s="295"/>
      <c r="I861" s="303"/>
      <c r="J861" s="303"/>
      <c r="K861" s="297"/>
      <c r="L861" s="303"/>
      <c r="M861" s="303"/>
      <c r="N861" s="297"/>
      <c r="O861" s="292"/>
      <c r="P861" s="303"/>
      <c r="Q861" s="298"/>
      <c r="R861" s="294"/>
      <c r="S861" s="297"/>
      <c r="T861" s="292"/>
      <c r="U861" s="299"/>
      <c r="V861" s="292"/>
      <c r="W861" s="309"/>
      <c r="X861" s="292"/>
      <c r="Y861" s="309"/>
      <c r="Z861" s="292"/>
      <c r="AA861" s="315"/>
      <c r="AB861" s="297"/>
      <c r="AC861" s="292"/>
      <c r="AD861" s="292"/>
      <c r="AE861" s="292"/>
      <c r="AF861" s="303"/>
      <c r="AG861" s="303"/>
      <c r="AH861" s="303"/>
      <c r="AI861" s="303"/>
    </row>
    <row r="862">
      <c r="A862" s="304"/>
      <c r="B862" s="299"/>
      <c r="C862" s="292"/>
      <c r="D862" s="293"/>
      <c r="E862" s="292"/>
      <c r="F862" s="293"/>
      <c r="G862" s="294"/>
      <c r="H862" s="295"/>
      <c r="I862" s="303"/>
      <c r="J862" s="303"/>
      <c r="K862" s="297"/>
      <c r="L862" s="303"/>
      <c r="M862" s="303"/>
      <c r="N862" s="297"/>
      <c r="O862" s="292"/>
      <c r="P862" s="303"/>
      <c r="Q862" s="298"/>
      <c r="R862" s="294"/>
      <c r="S862" s="297"/>
      <c r="T862" s="292"/>
      <c r="U862" s="299"/>
      <c r="V862" s="292"/>
      <c r="W862" s="309"/>
      <c r="X862" s="292"/>
      <c r="Y862" s="309"/>
      <c r="Z862" s="292"/>
      <c r="AA862" s="315"/>
      <c r="AB862" s="297"/>
      <c r="AC862" s="292"/>
      <c r="AD862" s="292"/>
      <c r="AE862" s="292"/>
      <c r="AF862" s="303"/>
      <c r="AG862" s="303"/>
      <c r="AH862" s="303"/>
      <c r="AI862" s="303"/>
    </row>
    <row r="863">
      <c r="A863" s="304"/>
      <c r="B863" s="299"/>
      <c r="C863" s="292"/>
      <c r="D863" s="293"/>
      <c r="E863" s="292"/>
      <c r="F863" s="293"/>
      <c r="G863" s="294"/>
      <c r="H863" s="295"/>
      <c r="I863" s="303"/>
      <c r="J863" s="303"/>
      <c r="K863" s="297"/>
      <c r="L863" s="303"/>
      <c r="M863" s="303"/>
      <c r="N863" s="297"/>
      <c r="O863" s="292"/>
      <c r="P863" s="303"/>
      <c r="Q863" s="298"/>
      <c r="R863" s="294"/>
      <c r="S863" s="297"/>
      <c r="T863" s="292"/>
      <c r="U863" s="299"/>
      <c r="V863" s="292"/>
      <c r="W863" s="309"/>
      <c r="X863" s="292"/>
      <c r="Y863" s="309"/>
      <c r="Z863" s="292"/>
      <c r="AA863" s="315"/>
      <c r="AB863" s="297"/>
      <c r="AC863" s="292"/>
      <c r="AD863" s="292"/>
      <c r="AE863" s="292"/>
      <c r="AF863" s="303"/>
      <c r="AG863" s="303"/>
      <c r="AH863" s="303"/>
      <c r="AI863" s="303"/>
    </row>
    <row r="864">
      <c r="A864" s="304"/>
      <c r="B864" s="299"/>
      <c r="C864" s="292"/>
      <c r="D864" s="293"/>
      <c r="E864" s="292"/>
      <c r="F864" s="293"/>
      <c r="G864" s="294"/>
      <c r="H864" s="295"/>
      <c r="I864" s="303"/>
      <c r="J864" s="303"/>
      <c r="K864" s="297"/>
      <c r="L864" s="303"/>
      <c r="M864" s="303"/>
      <c r="N864" s="297"/>
      <c r="O864" s="292"/>
      <c r="P864" s="303"/>
      <c r="Q864" s="298"/>
      <c r="R864" s="294"/>
      <c r="S864" s="297"/>
      <c r="T864" s="292"/>
      <c r="U864" s="299"/>
      <c r="V864" s="292"/>
      <c r="W864" s="309"/>
      <c r="X864" s="292"/>
      <c r="Y864" s="309"/>
      <c r="Z864" s="292"/>
      <c r="AA864" s="315"/>
      <c r="AB864" s="297"/>
      <c r="AC864" s="292"/>
      <c r="AD864" s="292"/>
      <c r="AE864" s="292"/>
      <c r="AF864" s="303"/>
      <c r="AG864" s="303"/>
      <c r="AH864" s="303"/>
      <c r="AI864" s="303"/>
    </row>
    <row r="865">
      <c r="A865" s="304"/>
      <c r="B865" s="299"/>
      <c r="C865" s="292"/>
      <c r="D865" s="293"/>
      <c r="E865" s="292"/>
      <c r="F865" s="293"/>
      <c r="G865" s="294"/>
      <c r="H865" s="295"/>
      <c r="I865" s="303"/>
      <c r="J865" s="303"/>
      <c r="K865" s="297"/>
      <c r="L865" s="303"/>
      <c r="M865" s="303"/>
      <c r="N865" s="297"/>
      <c r="O865" s="292"/>
      <c r="P865" s="303"/>
      <c r="Q865" s="298"/>
      <c r="R865" s="294"/>
      <c r="S865" s="297"/>
      <c r="T865" s="292"/>
      <c r="U865" s="299"/>
      <c r="V865" s="292"/>
      <c r="W865" s="309"/>
      <c r="X865" s="292"/>
      <c r="Y865" s="309"/>
      <c r="Z865" s="292"/>
      <c r="AA865" s="315"/>
      <c r="AB865" s="297"/>
      <c r="AC865" s="292"/>
      <c r="AD865" s="292"/>
      <c r="AE865" s="292"/>
      <c r="AF865" s="303"/>
      <c r="AG865" s="303"/>
      <c r="AH865" s="303"/>
      <c r="AI865" s="303"/>
    </row>
    <row r="866">
      <c r="A866" s="304"/>
      <c r="B866" s="299"/>
      <c r="C866" s="292"/>
      <c r="D866" s="293"/>
      <c r="E866" s="292"/>
      <c r="F866" s="293"/>
      <c r="G866" s="294"/>
      <c r="H866" s="295"/>
      <c r="I866" s="303"/>
      <c r="J866" s="303"/>
      <c r="K866" s="297"/>
      <c r="L866" s="303"/>
      <c r="M866" s="303"/>
      <c r="N866" s="297"/>
      <c r="O866" s="292"/>
      <c r="P866" s="303"/>
      <c r="Q866" s="298"/>
      <c r="R866" s="294"/>
      <c r="S866" s="297"/>
      <c r="T866" s="292"/>
      <c r="U866" s="299"/>
      <c r="V866" s="292"/>
      <c r="W866" s="309"/>
      <c r="X866" s="292"/>
      <c r="Y866" s="309"/>
      <c r="Z866" s="292"/>
      <c r="AA866" s="315"/>
      <c r="AB866" s="297"/>
      <c r="AC866" s="292"/>
      <c r="AD866" s="292"/>
      <c r="AE866" s="292"/>
      <c r="AF866" s="303"/>
      <c r="AG866" s="303"/>
      <c r="AH866" s="303"/>
      <c r="AI866" s="303"/>
    </row>
    <row r="867">
      <c r="A867" s="304"/>
      <c r="B867" s="299"/>
      <c r="C867" s="292"/>
      <c r="D867" s="293"/>
      <c r="E867" s="292"/>
      <c r="F867" s="293"/>
      <c r="G867" s="294"/>
      <c r="H867" s="295"/>
      <c r="I867" s="303"/>
      <c r="J867" s="303"/>
      <c r="K867" s="297"/>
      <c r="L867" s="303"/>
      <c r="M867" s="303"/>
      <c r="N867" s="297"/>
      <c r="O867" s="292"/>
      <c r="P867" s="303"/>
      <c r="Q867" s="298"/>
      <c r="R867" s="294"/>
      <c r="S867" s="297"/>
      <c r="T867" s="292"/>
      <c r="U867" s="299"/>
      <c r="V867" s="292"/>
      <c r="W867" s="309"/>
      <c r="X867" s="292"/>
      <c r="Y867" s="309"/>
      <c r="Z867" s="292"/>
      <c r="AA867" s="315"/>
      <c r="AB867" s="297"/>
      <c r="AC867" s="292"/>
      <c r="AD867" s="292"/>
      <c r="AE867" s="292"/>
      <c r="AF867" s="303"/>
      <c r="AG867" s="303"/>
      <c r="AH867" s="303"/>
      <c r="AI867" s="303"/>
    </row>
    <row r="868">
      <c r="A868" s="304"/>
      <c r="B868" s="299"/>
      <c r="C868" s="292"/>
      <c r="D868" s="293"/>
      <c r="E868" s="292"/>
      <c r="F868" s="293"/>
      <c r="G868" s="294"/>
      <c r="H868" s="295"/>
      <c r="I868" s="303"/>
      <c r="J868" s="303"/>
      <c r="K868" s="297"/>
      <c r="L868" s="303"/>
      <c r="M868" s="303"/>
      <c r="N868" s="297"/>
      <c r="O868" s="292"/>
      <c r="P868" s="303"/>
      <c r="Q868" s="298"/>
      <c r="R868" s="294"/>
      <c r="S868" s="297"/>
      <c r="T868" s="292"/>
      <c r="U868" s="299"/>
      <c r="V868" s="292"/>
      <c r="W868" s="309"/>
      <c r="X868" s="292"/>
      <c r="Y868" s="309"/>
      <c r="Z868" s="292"/>
      <c r="AA868" s="315"/>
      <c r="AB868" s="297"/>
      <c r="AC868" s="292"/>
      <c r="AD868" s="292"/>
      <c r="AE868" s="292"/>
      <c r="AF868" s="303"/>
      <c r="AG868" s="303"/>
      <c r="AH868" s="303"/>
      <c r="AI868" s="303"/>
    </row>
    <row r="869">
      <c r="A869" s="304"/>
      <c r="B869" s="299"/>
      <c r="C869" s="292"/>
      <c r="D869" s="293"/>
      <c r="E869" s="292"/>
      <c r="F869" s="293"/>
      <c r="G869" s="294"/>
      <c r="H869" s="295"/>
      <c r="I869" s="303"/>
      <c r="J869" s="303"/>
      <c r="K869" s="297"/>
      <c r="L869" s="303"/>
      <c r="M869" s="303"/>
      <c r="N869" s="297"/>
      <c r="O869" s="292"/>
      <c r="P869" s="303"/>
      <c r="Q869" s="298"/>
      <c r="R869" s="294"/>
      <c r="S869" s="297"/>
      <c r="T869" s="292"/>
      <c r="U869" s="299"/>
      <c r="V869" s="292"/>
      <c r="W869" s="309"/>
      <c r="X869" s="292"/>
      <c r="Y869" s="309"/>
      <c r="Z869" s="292"/>
      <c r="AA869" s="315"/>
      <c r="AB869" s="297"/>
      <c r="AC869" s="292"/>
      <c r="AD869" s="292"/>
      <c r="AE869" s="292"/>
      <c r="AF869" s="303"/>
      <c r="AG869" s="303"/>
      <c r="AH869" s="303"/>
      <c r="AI869" s="303"/>
    </row>
    <row r="870">
      <c r="A870" s="304"/>
      <c r="B870" s="299"/>
      <c r="C870" s="292"/>
      <c r="D870" s="293"/>
      <c r="E870" s="292"/>
      <c r="F870" s="293"/>
      <c r="G870" s="294"/>
      <c r="H870" s="295"/>
      <c r="I870" s="303"/>
      <c r="J870" s="303"/>
      <c r="K870" s="297"/>
      <c r="L870" s="303"/>
      <c r="M870" s="303"/>
      <c r="N870" s="297"/>
      <c r="O870" s="292"/>
      <c r="P870" s="303"/>
      <c r="Q870" s="298"/>
      <c r="R870" s="294"/>
      <c r="S870" s="297"/>
      <c r="T870" s="292"/>
      <c r="U870" s="299"/>
      <c r="V870" s="292"/>
      <c r="W870" s="309"/>
      <c r="X870" s="292"/>
      <c r="Y870" s="309"/>
      <c r="Z870" s="292"/>
      <c r="AA870" s="315"/>
      <c r="AB870" s="297"/>
      <c r="AC870" s="292"/>
      <c r="AD870" s="292"/>
      <c r="AE870" s="292"/>
      <c r="AF870" s="303"/>
      <c r="AG870" s="303"/>
      <c r="AH870" s="303"/>
      <c r="AI870" s="303"/>
    </row>
    <row r="871">
      <c r="A871" s="304"/>
      <c r="B871" s="299"/>
      <c r="C871" s="292"/>
      <c r="D871" s="293"/>
      <c r="E871" s="292"/>
      <c r="F871" s="293"/>
      <c r="G871" s="294"/>
      <c r="H871" s="295"/>
      <c r="I871" s="303"/>
      <c r="J871" s="303"/>
      <c r="K871" s="297"/>
      <c r="L871" s="303"/>
      <c r="M871" s="303"/>
      <c r="N871" s="297"/>
      <c r="O871" s="292"/>
      <c r="P871" s="303"/>
      <c r="Q871" s="298"/>
      <c r="R871" s="294"/>
      <c r="S871" s="297"/>
      <c r="T871" s="292"/>
      <c r="U871" s="299"/>
      <c r="V871" s="292"/>
      <c r="W871" s="309"/>
      <c r="X871" s="292"/>
      <c r="Y871" s="309"/>
      <c r="Z871" s="292"/>
      <c r="AA871" s="315"/>
      <c r="AB871" s="297"/>
      <c r="AC871" s="292"/>
      <c r="AD871" s="292"/>
      <c r="AE871" s="292"/>
      <c r="AF871" s="303"/>
      <c r="AG871" s="303"/>
      <c r="AH871" s="303"/>
      <c r="AI871" s="303"/>
    </row>
    <row r="872">
      <c r="A872" s="304"/>
      <c r="B872" s="299"/>
      <c r="C872" s="292"/>
      <c r="D872" s="293"/>
      <c r="E872" s="292"/>
      <c r="F872" s="293"/>
      <c r="G872" s="294"/>
      <c r="H872" s="295"/>
      <c r="I872" s="303"/>
      <c r="J872" s="303"/>
      <c r="K872" s="297"/>
      <c r="L872" s="303"/>
      <c r="M872" s="303"/>
      <c r="N872" s="297"/>
      <c r="O872" s="292"/>
      <c r="P872" s="303"/>
      <c r="Q872" s="298"/>
      <c r="R872" s="294"/>
      <c r="S872" s="297"/>
      <c r="T872" s="292"/>
      <c r="U872" s="299"/>
      <c r="V872" s="292"/>
      <c r="W872" s="309"/>
      <c r="X872" s="292"/>
      <c r="Y872" s="309"/>
      <c r="Z872" s="292"/>
      <c r="AA872" s="315"/>
      <c r="AB872" s="297"/>
      <c r="AC872" s="292"/>
      <c r="AD872" s="292"/>
      <c r="AE872" s="292"/>
      <c r="AF872" s="303"/>
      <c r="AG872" s="303"/>
      <c r="AH872" s="303"/>
      <c r="AI872" s="303"/>
    </row>
    <row r="873">
      <c r="A873" s="304"/>
      <c r="B873" s="299"/>
      <c r="C873" s="292"/>
      <c r="D873" s="293"/>
      <c r="E873" s="292"/>
      <c r="F873" s="293"/>
      <c r="G873" s="294"/>
      <c r="H873" s="295"/>
      <c r="I873" s="303"/>
      <c r="J873" s="303"/>
      <c r="K873" s="297"/>
      <c r="L873" s="303"/>
      <c r="M873" s="303"/>
      <c r="N873" s="297"/>
      <c r="O873" s="292"/>
      <c r="P873" s="303"/>
      <c r="Q873" s="298"/>
      <c r="R873" s="294"/>
      <c r="S873" s="297"/>
      <c r="T873" s="292"/>
      <c r="U873" s="299"/>
      <c r="V873" s="292"/>
      <c r="W873" s="309"/>
      <c r="X873" s="292"/>
      <c r="Y873" s="309"/>
      <c r="Z873" s="292"/>
      <c r="AA873" s="315"/>
      <c r="AB873" s="297"/>
      <c r="AC873" s="292"/>
      <c r="AD873" s="292"/>
      <c r="AE873" s="292"/>
      <c r="AF873" s="303"/>
      <c r="AG873" s="303"/>
      <c r="AH873" s="303"/>
      <c r="AI873" s="303"/>
    </row>
    <row r="874">
      <c r="A874" s="304"/>
      <c r="B874" s="299"/>
      <c r="C874" s="292"/>
      <c r="D874" s="293"/>
      <c r="E874" s="292"/>
      <c r="F874" s="293"/>
      <c r="G874" s="294"/>
      <c r="H874" s="295"/>
      <c r="I874" s="303"/>
      <c r="J874" s="303"/>
      <c r="K874" s="297"/>
      <c r="L874" s="303"/>
      <c r="M874" s="303"/>
      <c r="N874" s="297"/>
      <c r="O874" s="292"/>
      <c r="P874" s="303"/>
      <c r="Q874" s="298"/>
      <c r="R874" s="294"/>
      <c r="S874" s="297"/>
      <c r="T874" s="292"/>
      <c r="U874" s="299"/>
      <c r="V874" s="292"/>
      <c r="W874" s="309"/>
      <c r="X874" s="292"/>
      <c r="Y874" s="309"/>
      <c r="Z874" s="292"/>
      <c r="AA874" s="315"/>
      <c r="AB874" s="297"/>
      <c r="AC874" s="292"/>
      <c r="AD874" s="292"/>
      <c r="AE874" s="292"/>
      <c r="AF874" s="303"/>
      <c r="AG874" s="303"/>
      <c r="AH874" s="303"/>
      <c r="AI874" s="303"/>
    </row>
    <row r="875">
      <c r="A875" s="304"/>
      <c r="B875" s="299"/>
      <c r="C875" s="292"/>
      <c r="D875" s="293"/>
      <c r="E875" s="292"/>
      <c r="F875" s="293"/>
      <c r="G875" s="294"/>
      <c r="H875" s="295"/>
      <c r="I875" s="303"/>
      <c r="J875" s="303"/>
      <c r="K875" s="297"/>
      <c r="L875" s="303"/>
      <c r="M875" s="303"/>
      <c r="N875" s="297"/>
      <c r="O875" s="292"/>
      <c r="P875" s="303"/>
      <c r="Q875" s="298"/>
      <c r="R875" s="294"/>
      <c r="S875" s="297"/>
      <c r="T875" s="292"/>
      <c r="U875" s="299"/>
      <c r="V875" s="292"/>
      <c r="W875" s="309"/>
      <c r="X875" s="292"/>
      <c r="Y875" s="309"/>
      <c r="Z875" s="292"/>
      <c r="AA875" s="315"/>
      <c r="AB875" s="297"/>
      <c r="AC875" s="292"/>
      <c r="AD875" s="292"/>
      <c r="AE875" s="292"/>
      <c r="AF875" s="303"/>
      <c r="AG875" s="303"/>
      <c r="AH875" s="303"/>
      <c r="AI875" s="303"/>
    </row>
    <row r="876">
      <c r="A876" s="304"/>
      <c r="B876" s="299"/>
      <c r="C876" s="292"/>
      <c r="D876" s="293"/>
      <c r="E876" s="292"/>
      <c r="F876" s="293"/>
      <c r="G876" s="294"/>
      <c r="H876" s="295"/>
      <c r="I876" s="303"/>
      <c r="J876" s="303"/>
      <c r="K876" s="297"/>
      <c r="L876" s="303"/>
      <c r="M876" s="303"/>
      <c r="N876" s="297"/>
      <c r="O876" s="292"/>
      <c r="P876" s="303"/>
      <c r="Q876" s="298"/>
      <c r="R876" s="294"/>
      <c r="S876" s="297"/>
      <c r="T876" s="292"/>
      <c r="U876" s="299"/>
      <c r="V876" s="292"/>
      <c r="W876" s="309"/>
      <c r="X876" s="292"/>
      <c r="Y876" s="309"/>
      <c r="Z876" s="292"/>
      <c r="AA876" s="315"/>
      <c r="AB876" s="297"/>
      <c r="AC876" s="292"/>
      <c r="AD876" s="292"/>
      <c r="AE876" s="292"/>
      <c r="AF876" s="303"/>
      <c r="AG876" s="303"/>
      <c r="AH876" s="303"/>
      <c r="AI876" s="303"/>
    </row>
    <row r="877">
      <c r="A877" s="304"/>
      <c r="B877" s="299"/>
      <c r="C877" s="292"/>
      <c r="D877" s="293"/>
      <c r="E877" s="292"/>
      <c r="F877" s="293"/>
      <c r="G877" s="294"/>
      <c r="H877" s="295"/>
      <c r="I877" s="303"/>
      <c r="J877" s="303"/>
      <c r="K877" s="297"/>
      <c r="L877" s="303"/>
      <c r="M877" s="303"/>
      <c r="N877" s="297"/>
      <c r="O877" s="292"/>
      <c r="P877" s="303"/>
      <c r="Q877" s="298"/>
      <c r="R877" s="294"/>
      <c r="S877" s="297"/>
      <c r="T877" s="292"/>
      <c r="U877" s="299"/>
      <c r="V877" s="292"/>
      <c r="W877" s="309"/>
      <c r="X877" s="292"/>
      <c r="Y877" s="309"/>
      <c r="Z877" s="292"/>
      <c r="AA877" s="315"/>
      <c r="AB877" s="297"/>
      <c r="AC877" s="292"/>
      <c r="AD877" s="292"/>
      <c r="AE877" s="292"/>
      <c r="AF877" s="303"/>
      <c r="AG877" s="303"/>
      <c r="AH877" s="303"/>
      <c r="AI877" s="303"/>
    </row>
    <row r="878">
      <c r="A878" s="304"/>
      <c r="B878" s="299"/>
      <c r="C878" s="292"/>
      <c r="D878" s="293"/>
      <c r="E878" s="292"/>
      <c r="F878" s="293"/>
      <c r="G878" s="294"/>
      <c r="H878" s="295"/>
      <c r="I878" s="303"/>
      <c r="J878" s="303"/>
      <c r="K878" s="297"/>
      <c r="L878" s="303"/>
      <c r="M878" s="303"/>
      <c r="N878" s="297"/>
      <c r="O878" s="292"/>
      <c r="P878" s="303"/>
      <c r="Q878" s="298"/>
      <c r="R878" s="294"/>
      <c r="S878" s="297"/>
      <c r="T878" s="292"/>
      <c r="U878" s="299"/>
      <c r="V878" s="292"/>
      <c r="W878" s="309"/>
      <c r="X878" s="292"/>
      <c r="Y878" s="309"/>
      <c r="Z878" s="292"/>
      <c r="AA878" s="315"/>
      <c r="AB878" s="297"/>
      <c r="AC878" s="292"/>
      <c r="AD878" s="292"/>
      <c r="AE878" s="292"/>
      <c r="AF878" s="303"/>
      <c r="AG878" s="303"/>
      <c r="AH878" s="303"/>
      <c r="AI878" s="303"/>
    </row>
    <row r="879">
      <c r="A879" s="304"/>
      <c r="B879" s="299"/>
      <c r="C879" s="292"/>
      <c r="D879" s="293"/>
      <c r="E879" s="292"/>
      <c r="F879" s="293"/>
      <c r="G879" s="294"/>
      <c r="H879" s="295"/>
      <c r="I879" s="303"/>
      <c r="J879" s="303"/>
      <c r="K879" s="297"/>
      <c r="L879" s="303"/>
      <c r="M879" s="303"/>
      <c r="N879" s="297"/>
      <c r="O879" s="292"/>
      <c r="P879" s="303"/>
      <c r="Q879" s="298"/>
      <c r="R879" s="294"/>
      <c r="S879" s="297"/>
      <c r="T879" s="292"/>
      <c r="U879" s="299"/>
      <c r="V879" s="292"/>
      <c r="W879" s="309"/>
      <c r="X879" s="292"/>
      <c r="Y879" s="309"/>
      <c r="Z879" s="292"/>
      <c r="AA879" s="315"/>
      <c r="AB879" s="297"/>
      <c r="AC879" s="292"/>
      <c r="AD879" s="292"/>
      <c r="AE879" s="292"/>
      <c r="AF879" s="303"/>
      <c r="AG879" s="303"/>
      <c r="AH879" s="303"/>
      <c r="AI879" s="303"/>
    </row>
    <row r="880">
      <c r="A880" s="304"/>
      <c r="B880" s="299"/>
      <c r="C880" s="292"/>
      <c r="D880" s="293"/>
      <c r="E880" s="292"/>
      <c r="F880" s="293"/>
      <c r="G880" s="294"/>
      <c r="H880" s="295"/>
      <c r="I880" s="303"/>
      <c r="J880" s="303"/>
      <c r="K880" s="297"/>
      <c r="L880" s="303"/>
      <c r="M880" s="303"/>
      <c r="N880" s="297"/>
      <c r="O880" s="292"/>
      <c r="P880" s="303"/>
      <c r="Q880" s="298"/>
      <c r="R880" s="294"/>
      <c r="S880" s="297"/>
      <c r="T880" s="292"/>
      <c r="U880" s="299"/>
      <c r="V880" s="292"/>
      <c r="W880" s="309"/>
      <c r="X880" s="292"/>
      <c r="Y880" s="309"/>
      <c r="Z880" s="292"/>
      <c r="AA880" s="315"/>
      <c r="AB880" s="297"/>
      <c r="AC880" s="292"/>
      <c r="AD880" s="292"/>
      <c r="AE880" s="292"/>
      <c r="AF880" s="303"/>
      <c r="AG880" s="303"/>
      <c r="AH880" s="303"/>
      <c r="AI880" s="303"/>
    </row>
    <row r="881">
      <c r="A881" s="304"/>
      <c r="B881" s="299"/>
      <c r="C881" s="292"/>
      <c r="D881" s="293"/>
      <c r="E881" s="292"/>
      <c r="F881" s="293"/>
      <c r="G881" s="294"/>
      <c r="H881" s="295"/>
      <c r="I881" s="303"/>
      <c r="J881" s="303"/>
      <c r="K881" s="297"/>
      <c r="L881" s="303"/>
      <c r="M881" s="303"/>
      <c r="N881" s="297"/>
      <c r="O881" s="292"/>
      <c r="P881" s="303"/>
      <c r="Q881" s="298"/>
      <c r="R881" s="294"/>
      <c r="S881" s="297"/>
      <c r="T881" s="292"/>
      <c r="U881" s="299"/>
      <c r="V881" s="292"/>
      <c r="W881" s="309"/>
      <c r="X881" s="292"/>
      <c r="Y881" s="309"/>
      <c r="Z881" s="292"/>
      <c r="AA881" s="315"/>
      <c r="AB881" s="297"/>
      <c r="AC881" s="292"/>
      <c r="AD881" s="292"/>
      <c r="AE881" s="292"/>
      <c r="AF881" s="303"/>
      <c r="AG881" s="303"/>
      <c r="AH881" s="303"/>
      <c r="AI881" s="303"/>
    </row>
    <row r="882">
      <c r="A882" s="304"/>
      <c r="B882" s="299"/>
      <c r="C882" s="292"/>
      <c r="D882" s="293"/>
      <c r="E882" s="292"/>
      <c r="F882" s="293"/>
      <c r="G882" s="294"/>
      <c r="H882" s="295"/>
      <c r="I882" s="303"/>
      <c r="J882" s="303"/>
      <c r="K882" s="297"/>
      <c r="L882" s="303"/>
      <c r="M882" s="303"/>
      <c r="N882" s="297"/>
      <c r="O882" s="292"/>
      <c r="P882" s="303"/>
      <c r="Q882" s="298"/>
      <c r="R882" s="294"/>
      <c r="S882" s="297"/>
      <c r="T882" s="292"/>
      <c r="U882" s="299"/>
      <c r="V882" s="292"/>
      <c r="W882" s="309"/>
      <c r="X882" s="292"/>
      <c r="Y882" s="309"/>
      <c r="Z882" s="292"/>
      <c r="AA882" s="315"/>
      <c r="AB882" s="297"/>
      <c r="AC882" s="292"/>
      <c r="AD882" s="292"/>
      <c r="AE882" s="292"/>
      <c r="AF882" s="303"/>
      <c r="AG882" s="303"/>
      <c r="AH882" s="303"/>
      <c r="AI882" s="303"/>
    </row>
    <row r="883">
      <c r="A883" s="304"/>
      <c r="B883" s="299"/>
      <c r="C883" s="292"/>
      <c r="D883" s="293"/>
      <c r="E883" s="292"/>
      <c r="F883" s="293"/>
      <c r="G883" s="294"/>
      <c r="H883" s="295"/>
      <c r="I883" s="303"/>
      <c r="J883" s="303"/>
      <c r="K883" s="297"/>
      <c r="L883" s="303"/>
      <c r="M883" s="303"/>
      <c r="N883" s="297"/>
      <c r="O883" s="292"/>
      <c r="P883" s="303"/>
      <c r="Q883" s="298"/>
      <c r="R883" s="294"/>
      <c r="S883" s="297"/>
      <c r="T883" s="292"/>
      <c r="U883" s="299"/>
      <c r="V883" s="292"/>
      <c r="W883" s="309"/>
      <c r="X883" s="292"/>
      <c r="Y883" s="309"/>
      <c r="Z883" s="292"/>
      <c r="AA883" s="315"/>
      <c r="AB883" s="297"/>
      <c r="AC883" s="292"/>
      <c r="AD883" s="292"/>
      <c r="AE883" s="292"/>
      <c r="AF883" s="303"/>
      <c r="AG883" s="303"/>
      <c r="AH883" s="303"/>
      <c r="AI883" s="303"/>
    </row>
    <row r="884">
      <c r="A884" s="304"/>
      <c r="B884" s="299"/>
      <c r="C884" s="292"/>
      <c r="D884" s="293"/>
      <c r="E884" s="292"/>
      <c r="F884" s="293"/>
      <c r="G884" s="294"/>
      <c r="H884" s="295"/>
      <c r="I884" s="303"/>
      <c r="J884" s="303"/>
      <c r="K884" s="297"/>
      <c r="L884" s="303"/>
      <c r="M884" s="303"/>
      <c r="N884" s="297"/>
      <c r="O884" s="292"/>
      <c r="P884" s="303"/>
      <c r="Q884" s="298"/>
      <c r="R884" s="294"/>
      <c r="S884" s="297"/>
      <c r="T884" s="292"/>
      <c r="U884" s="299"/>
      <c r="V884" s="292"/>
      <c r="W884" s="309"/>
      <c r="X884" s="292"/>
      <c r="Y884" s="309"/>
      <c r="Z884" s="292"/>
      <c r="AA884" s="315"/>
      <c r="AB884" s="297"/>
      <c r="AC884" s="292"/>
      <c r="AD884" s="292"/>
      <c r="AE884" s="292"/>
      <c r="AF884" s="303"/>
      <c r="AG884" s="303"/>
      <c r="AH884" s="303"/>
      <c r="AI884" s="303"/>
    </row>
    <row r="885">
      <c r="A885" s="304"/>
      <c r="B885" s="299"/>
      <c r="C885" s="292"/>
      <c r="D885" s="293"/>
      <c r="E885" s="292"/>
      <c r="F885" s="293"/>
      <c r="G885" s="294"/>
      <c r="H885" s="295"/>
      <c r="I885" s="303"/>
      <c r="J885" s="303"/>
      <c r="K885" s="297"/>
      <c r="L885" s="303"/>
      <c r="M885" s="303"/>
      <c r="N885" s="297"/>
      <c r="O885" s="292"/>
      <c r="P885" s="303"/>
      <c r="Q885" s="298"/>
      <c r="R885" s="294"/>
      <c r="S885" s="297"/>
      <c r="T885" s="292"/>
      <c r="U885" s="299"/>
      <c r="V885" s="292"/>
      <c r="W885" s="309"/>
      <c r="X885" s="292"/>
      <c r="Y885" s="309"/>
      <c r="Z885" s="292"/>
      <c r="AA885" s="315"/>
      <c r="AB885" s="297"/>
      <c r="AC885" s="292"/>
      <c r="AD885" s="292"/>
      <c r="AE885" s="292"/>
      <c r="AF885" s="303"/>
      <c r="AG885" s="303"/>
      <c r="AH885" s="303"/>
      <c r="AI885" s="303"/>
    </row>
    <row r="886">
      <c r="A886" s="304"/>
      <c r="B886" s="299"/>
      <c r="C886" s="292"/>
      <c r="D886" s="293"/>
      <c r="E886" s="292"/>
      <c r="F886" s="293"/>
      <c r="G886" s="294"/>
      <c r="H886" s="295"/>
      <c r="I886" s="303"/>
      <c r="J886" s="303"/>
      <c r="K886" s="297"/>
      <c r="L886" s="303"/>
      <c r="M886" s="303"/>
      <c r="N886" s="297"/>
      <c r="O886" s="292"/>
      <c r="P886" s="303"/>
      <c r="Q886" s="298"/>
      <c r="R886" s="294"/>
      <c r="S886" s="297"/>
      <c r="T886" s="292"/>
      <c r="U886" s="299"/>
      <c r="V886" s="292"/>
      <c r="W886" s="309"/>
      <c r="X886" s="292"/>
      <c r="Y886" s="309"/>
      <c r="Z886" s="292"/>
      <c r="AA886" s="315"/>
      <c r="AB886" s="297"/>
      <c r="AC886" s="292"/>
      <c r="AD886" s="292"/>
      <c r="AE886" s="292"/>
      <c r="AF886" s="303"/>
      <c r="AG886" s="303"/>
      <c r="AH886" s="303"/>
      <c r="AI886" s="303"/>
    </row>
    <row r="887">
      <c r="A887" s="304"/>
      <c r="B887" s="299"/>
      <c r="C887" s="292"/>
      <c r="D887" s="293"/>
      <c r="E887" s="292"/>
      <c r="F887" s="293"/>
      <c r="G887" s="294"/>
      <c r="H887" s="295"/>
      <c r="I887" s="303"/>
      <c r="J887" s="303"/>
      <c r="K887" s="297"/>
      <c r="L887" s="303"/>
      <c r="M887" s="303"/>
      <c r="N887" s="297"/>
      <c r="O887" s="292"/>
      <c r="P887" s="303"/>
      <c r="Q887" s="298"/>
      <c r="R887" s="294"/>
      <c r="S887" s="297"/>
      <c r="T887" s="292"/>
      <c r="U887" s="299"/>
      <c r="V887" s="292"/>
      <c r="W887" s="309"/>
      <c r="X887" s="292"/>
      <c r="Y887" s="309"/>
      <c r="Z887" s="292"/>
      <c r="AA887" s="315"/>
      <c r="AB887" s="297"/>
      <c r="AC887" s="292"/>
      <c r="AD887" s="292"/>
      <c r="AE887" s="292"/>
      <c r="AF887" s="303"/>
      <c r="AG887" s="303"/>
      <c r="AH887" s="303"/>
      <c r="AI887" s="303"/>
    </row>
    <row r="888">
      <c r="A888" s="304"/>
      <c r="B888" s="299"/>
      <c r="C888" s="292"/>
      <c r="D888" s="293"/>
      <c r="E888" s="292"/>
      <c r="F888" s="293"/>
      <c r="G888" s="294"/>
      <c r="H888" s="295"/>
      <c r="I888" s="303"/>
      <c r="J888" s="303"/>
      <c r="K888" s="297"/>
      <c r="L888" s="303"/>
      <c r="M888" s="303"/>
      <c r="N888" s="297"/>
      <c r="O888" s="292"/>
      <c r="P888" s="303"/>
      <c r="Q888" s="298"/>
      <c r="R888" s="294"/>
      <c r="S888" s="297"/>
      <c r="T888" s="292"/>
      <c r="U888" s="299"/>
      <c r="V888" s="292"/>
      <c r="W888" s="309"/>
      <c r="X888" s="292"/>
      <c r="Y888" s="309"/>
      <c r="Z888" s="292"/>
      <c r="AA888" s="315"/>
      <c r="AB888" s="297"/>
      <c r="AC888" s="292"/>
      <c r="AD888" s="292"/>
      <c r="AE888" s="292"/>
      <c r="AF888" s="303"/>
      <c r="AG888" s="303"/>
      <c r="AH888" s="303"/>
      <c r="AI888" s="303"/>
    </row>
    <row r="889">
      <c r="A889" s="304"/>
      <c r="B889" s="299"/>
      <c r="C889" s="292"/>
      <c r="D889" s="293"/>
      <c r="E889" s="292"/>
      <c r="F889" s="293"/>
      <c r="G889" s="294"/>
      <c r="H889" s="295"/>
      <c r="I889" s="303"/>
      <c r="J889" s="303"/>
      <c r="K889" s="297"/>
      <c r="L889" s="303"/>
      <c r="M889" s="303"/>
      <c r="N889" s="297"/>
      <c r="O889" s="292"/>
      <c r="P889" s="303"/>
      <c r="Q889" s="298"/>
      <c r="R889" s="294"/>
      <c r="S889" s="297"/>
      <c r="T889" s="292"/>
      <c r="U889" s="299"/>
      <c r="V889" s="292"/>
      <c r="W889" s="309"/>
      <c r="X889" s="292"/>
      <c r="Y889" s="309"/>
      <c r="Z889" s="292"/>
      <c r="AA889" s="315"/>
      <c r="AB889" s="297"/>
      <c r="AC889" s="292"/>
      <c r="AD889" s="292"/>
      <c r="AE889" s="292"/>
      <c r="AF889" s="303"/>
      <c r="AG889" s="303"/>
      <c r="AH889" s="303"/>
      <c r="AI889" s="303"/>
    </row>
    <row r="890">
      <c r="A890" s="304"/>
      <c r="B890" s="299"/>
      <c r="C890" s="292"/>
      <c r="D890" s="293"/>
      <c r="E890" s="292"/>
      <c r="F890" s="293"/>
      <c r="G890" s="294"/>
      <c r="H890" s="295"/>
      <c r="I890" s="303"/>
      <c r="J890" s="303"/>
      <c r="K890" s="297"/>
      <c r="L890" s="303"/>
      <c r="M890" s="303"/>
      <c r="N890" s="297"/>
      <c r="O890" s="292"/>
      <c r="P890" s="303"/>
      <c r="Q890" s="298"/>
      <c r="R890" s="294"/>
      <c r="S890" s="297"/>
      <c r="T890" s="292"/>
      <c r="U890" s="299"/>
      <c r="V890" s="292"/>
      <c r="W890" s="309"/>
      <c r="X890" s="292"/>
      <c r="Y890" s="309"/>
      <c r="Z890" s="292"/>
      <c r="AA890" s="315"/>
      <c r="AB890" s="297"/>
      <c r="AC890" s="292"/>
      <c r="AD890" s="292"/>
      <c r="AE890" s="292"/>
      <c r="AF890" s="303"/>
      <c r="AG890" s="303"/>
      <c r="AH890" s="303"/>
      <c r="AI890" s="303"/>
    </row>
    <row r="891">
      <c r="A891" s="304"/>
      <c r="B891" s="299"/>
      <c r="C891" s="292"/>
      <c r="D891" s="293"/>
      <c r="E891" s="292"/>
      <c r="F891" s="293"/>
      <c r="G891" s="294"/>
      <c r="H891" s="295"/>
      <c r="I891" s="303"/>
      <c r="J891" s="303"/>
      <c r="K891" s="297"/>
      <c r="L891" s="303"/>
      <c r="M891" s="303"/>
      <c r="N891" s="297"/>
      <c r="O891" s="292"/>
      <c r="P891" s="303"/>
      <c r="Q891" s="298"/>
      <c r="R891" s="294"/>
      <c r="S891" s="297"/>
      <c r="T891" s="292"/>
      <c r="U891" s="299"/>
      <c r="V891" s="292"/>
      <c r="W891" s="309"/>
      <c r="X891" s="292"/>
      <c r="Y891" s="309"/>
      <c r="Z891" s="292"/>
      <c r="AA891" s="315"/>
      <c r="AB891" s="297"/>
      <c r="AC891" s="292"/>
      <c r="AD891" s="292"/>
      <c r="AE891" s="292"/>
      <c r="AF891" s="303"/>
      <c r="AG891" s="303"/>
      <c r="AH891" s="303"/>
      <c r="AI891" s="303"/>
    </row>
    <row r="892">
      <c r="A892" s="304"/>
      <c r="B892" s="299"/>
      <c r="C892" s="292"/>
      <c r="D892" s="293"/>
      <c r="E892" s="292"/>
      <c r="F892" s="293"/>
      <c r="G892" s="294"/>
      <c r="H892" s="295"/>
      <c r="I892" s="303"/>
      <c r="J892" s="303"/>
      <c r="K892" s="297"/>
      <c r="L892" s="303"/>
      <c r="M892" s="303"/>
      <c r="N892" s="297"/>
      <c r="O892" s="292"/>
      <c r="P892" s="303"/>
      <c r="Q892" s="298"/>
      <c r="R892" s="294"/>
      <c r="S892" s="297"/>
      <c r="T892" s="292"/>
      <c r="U892" s="299"/>
      <c r="V892" s="292"/>
      <c r="W892" s="309"/>
      <c r="X892" s="292"/>
      <c r="Y892" s="309"/>
      <c r="Z892" s="292"/>
      <c r="AA892" s="315"/>
      <c r="AB892" s="297"/>
      <c r="AC892" s="292"/>
      <c r="AD892" s="292"/>
      <c r="AE892" s="292"/>
      <c r="AF892" s="303"/>
      <c r="AG892" s="303"/>
      <c r="AH892" s="303"/>
      <c r="AI892" s="303"/>
    </row>
    <row r="893">
      <c r="A893" s="304"/>
      <c r="B893" s="299"/>
      <c r="C893" s="292"/>
      <c r="D893" s="293"/>
      <c r="E893" s="292"/>
      <c r="F893" s="293"/>
      <c r="G893" s="294"/>
      <c r="H893" s="295"/>
      <c r="I893" s="303"/>
      <c r="J893" s="303"/>
      <c r="K893" s="297"/>
      <c r="L893" s="303"/>
      <c r="M893" s="303"/>
      <c r="N893" s="297"/>
      <c r="O893" s="292"/>
      <c r="P893" s="303"/>
      <c r="Q893" s="298"/>
      <c r="R893" s="294"/>
      <c r="S893" s="297"/>
      <c r="T893" s="292"/>
      <c r="U893" s="299"/>
      <c r="V893" s="292"/>
      <c r="W893" s="309"/>
      <c r="X893" s="292"/>
      <c r="Y893" s="309"/>
      <c r="Z893" s="292"/>
      <c r="AA893" s="315"/>
      <c r="AB893" s="297"/>
      <c r="AC893" s="292"/>
      <c r="AD893" s="292"/>
      <c r="AE893" s="292"/>
      <c r="AF893" s="303"/>
      <c r="AG893" s="303"/>
      <c r="AH893" s="303"/>
      <c r="AI893" s="303"/>
    </row>
    <row r="894">
      <c r="A894" s="304"/>
      <c r="B894" s="299"/>
      <c r="C894" s="292"/>
      <c r="D894" s="293"/>
      <c r="E894" s="292"/>
      <c r="F894" s="293"/>
      <c r="G894" s="294"/>
      <c r="H894" s="295"/>
      <c r="I894" s="303"/>
      <c r="J894" s="303"/>
      <c r="K894" s="297"/>
      <c r="L894" s="303"/>
      <c r="M894" s="303"/>
      <c r="N894" s="297"/>
      <c r="O894" s="292"/>
      <c r="P894" s="303"/>
      <c r="Q894" s="298"/>
      <c r="R894" s="294"/>
      <c r="S894" s="297"/>
      <c r="T894" s="292"/>
      <c r="U894" s="299"/>
      <c r="V894" s="292"/>
      <c r="W894" s="309"/>
      <c r="X894" s="292"/>
      <c r="Y894" s="309"/>
      <c r="Z894" s="292"/>
      <c r="AA894" s="315"/>
      <c r="AB894" s="297"/>
      <c r="AC894" s="292"/>
      <c r="AD894" s="292"/>
      <c r="AE894" s="292"/>
      <c r="AF894" s="303"/>
      <c r="AG894" s="303"/>
      <c r="AH894" s="303"/>
      <c r="AI894" s="303"/>
    </row>
    <row r="895">
      <c r="A895" s="304"/>
      <c r="B895" s="299"/>
      <c r="C895" s="292"/>
      <c r="D895" s="293"/>
      <c r="E895" s="292"/>
      <c r="F895" s="293"/>
      <c r="G895" s="294"/>
      <c r="H895" s="295"/>
      <c r="I895" s="303"/>
      <c r="J895" s="303"/>
      <c r="K895" s="297"/>
      <c r="L895" s="303"/>
      <c r="M895" s="303"/>
      <c r="N895" s="297"/>
      <c r="O895" s="292"/>
      <c r="P895" s="303"/>
      <c r="Q895" s="298"/>
      <c r="R895" s="294"/>
      <c r="S895" s="297"/>
      <c r="T895" s="292"/>
      <c r="U895" s="299"/>
      <c r="V895" s="292"/>
      <c r="W895" s="309"/>
      <c r="X895" s="292"/>
      <c r="Y895" s="309"/>
      <c r="Z895" s="292"/>
      <c r="AA895" s="315"/>
      <c r="AB895" s="297"/>
      <c r="AC895" s="292"/>
      <c r="AD895" s="292"/>
      <c r="AE895" s="292"/>
      <c r="AF895" s="303"/>
      <c r="AG895" s="303"/>
      <c r="AH895" s="303"/>
      <c r="AI895" s="303"/>
    </row>
    <row r="896">
      <c r="A896" s="304"/>
      <c r="B896" s="299"/>
      <c r="C896" s="292"/>
      <c r="D896" s="293"/>
      <c r="E896" s="292"/>
      <c r="F896" s="293"/>
      <c r="G896" s="294"/>
      <c r="H896" s="295"/>
      <c r="I896" s="303"/>
      <c r="J896" s="303"/>
      <c r="K896" s="297"/>
      <c r="L896" s="303"/>
      <c r="M896" s="303"/>
      <c r="N896" s="297"/>
      <c r="O896" s="292"/>
      <c r="P896" s="303"/>
      <c r="Q896" s="298"/>
      <c r="R896" s="294"/>
      <c r="S896" s="297"/>
      <c r="T896" s="292"/>
      <c r="U896" s="299"/>
      <c r="V896" s="292"/>
      <c r="W896" s="309"/>
      <c r="X896" s="292"/>
      <c r="Y896" s="309"/>
      <c r="Z896" s="292"/>
      <c r="AA896" s="315"/>
      <c r="AB896" s="297"/>
      <c r="AC896" s="292"/>
      <c r="AD896" s="292"/>
      <c r="AE896" s="292"/>
      <c r="AF896" s="303"/>
      <c r="AG896" s="303"/>
      <c r="AH896" s="303"/>
      <c r="AI896" s="303"/>
    </row>
    <row r="897">
      <c r="A897" s="304"/>
      <c r="B897" s="299"/>
      <c r="C897" s="292"/>
      <c r="D897" s="293"/>
      <c r="E897" s="292"/>
      <c r="F897" s="293"/>
      <c r="G897" s="294"/>
      <c r="H897" s="295"/>
      <c r="I897" s="303"/>
      <c r="J897" s="303"/>
      <c r="K897" s="297"/>
      <c r="L897" s="303"/>
      <c r="M897" s="303"/>
      <c r="N897" s="297"/>
      <c r="O897" s="292"/>
      <c r="P897" s="303"/>
      <c r="Q897" s="298"/>
      <c r="R897" s="294"/>
      <c r="S897" s="297"/>
      <c r="T897" s="292"/>
      <c r="U897" s="299"/>
      <c r="V897" s="292"/>
      <c r="W897" s="309"/>
      <c r="X897" s="292"/>
      <c r="Y897" s="309"/>
      <c r="Z897" s="292"/>
      <c r="AA897" s="315"/>
      <c r="AB897" s="297"/>
      <c r="AC897" s="292"/>
      <c r="AD897" s="292"/>
      <c r="AE897" s="292"/>
      <c r="AF897" s="303"/>
      <c r="AG897" s="303"/>
      <c r="AH897" s="303"/>
      <c r="AI897" s="303"/>
    </row>
    <row r="898">
      <c r="A898" s="304"/>
      <c r="B898" s="299"/>
      <c r="C898" s="292"/>
      <c r="D898" s="293"/>
      <c r="E898" s="292"/>
      <c r="F898" s="293"/>
      <c r="G898" s="294"/>
      <c r="H898" s="295"/>
      <c r="I898" s="303"/>
      <c r="J898" s="303"/>
      <c r="K898" s="297"/>
      <c r="L898" s="303"/>
      <c r="M898" s="303"/>
      <c r="N898" s="297"/>
      <c r="O898" s="292"/>
      <c r="P898" s="303"/>
      <c r="Q898" s="298"/>
      <c r="R898" s="294"/>
      <c r="S898" s="297"/>
      <c r="T898" s="292"/>
      <c r="U898" s="299"/>
      <c r="V898" s="292"/>
      <c r="W898" s="309"/>
      <c r="X898" s="292"/>
      <c r="Y898" s="309"/>
      <c r="Z898" s="292"/>
      <c r="AA898" s="315"/>
      <c r="AB898" s="297"/>
      <c r="AC898" s="292"/>
      <c r="AD898" s="292"/>
      <c r="AE898" s="292"/>
      <c r="AF898" s="303"/>
      <c r="AG898" s="303"/>
      <c r="AH898" s="303"/>
      <c r="AI898" s="303"/>
    </row>
    <row r="899">
      <c r="A899" s="304"/>
      <c r="B899" s="299"/>
      <c r="C899" s="292"/>
      <c r="D899" s="293"/>
      <c r="E899" s="292"/>
      <c r="F899" s="293"/>
      <c r="G899" s="294"/>
      <c r="H899" s="295"/>
      <c r="I899" s="303"/>
      <c r="J899" s="303"/>
      <c r="K899" s="297"/>
      <c r="L899" s="303"/>
      <c r="M899" s="303"/>
      <c r="N899" s="297"/>
      <c r="O899" s="292"/>
      <c r="P899" s="303"/>
      <c r="Q899" s="298"/>
      <c r="R899" s="294"/>
      <c r="S899" s="297"/>
      <c r="T899" s="292"/>
      <c r="U899" s="299"/>
      <c r="V899" s="292"/>
      <c r="W899" s="309"/>
      <c r="X899" s="292"/>
      <c r="Y899" s="309"/>
      <c r="Z899" s="292"/>
      <c r="AA899" s="315"/>
      <c r="AB899" s="297"/>
      <c r="AC899" s="292"/>
      <c r="AD899" s="292"/>
      <c r="AE899" s="292"/>
      <c r="AF899" s="303"/>
      <c r="AG899" s="303"/>
      <c r="AH899" s="303"/>
      <c r="AI899" s="303"/>
    </row>
    <row r="900">
      <c r="A900" s="304"/>
      <c r="B900" s="299"/>
      <c r="C900" s="292"/>
      <c r="D900" s="293"/>
      <c r="E900" s="292"/>
      <c r="F900" s="293"/>
      <c r="G900" s="294"/>
      <c r="H900" s="295"/>
      <c r="I900" s="303"/>
      <c r="J900" s="303"/>
      <c r="K900" s="297"/>
      <c r="L900" s="303"/>
      <c r="M900" s="303"/>
      <c r="N900" s="297"/>
      <c r="O900" s="292"/>
      <c r="P900" s="303"/>
      <c r="Q900" s="298"/>
      <c r="R900" s="294"/>
      <c r="S900" s="297"/>
      <c r="T900" s="292"/>
      <c r="U900" s="299"/>
      <c r="V900" s="292"/>
      <c r="W900" s="309"/>
      <c r="X900" s="292"/>
      <c r="Y900" s="309"/>
      <c r="Z900" s="292"/>
      <c r="AA900" s="315"/>
      <c r="AB900" s="297"/>
      <c r="AC900" s="292"/>
      <c r="AD900" s="292"/>
      <c r="AE900" s="292"/>
      <c r="AF900" s="303"/>
      <c r="AG900" s="303"/>
      <c r="AH900" s="303"/>
      <c r="AI900" s="303"/>
    </row>
    <row r="901">
      <c r="A901" s="304"/>
      <c r="B901" s="299"/>
      <c r="C901" s="292"/>
      <c r="D901" s="293"/>
      <c r="E901" s="292"/>
      <c r="F901" s="293"/>
      <c r="G901" s="294"/>
      <c r="H901" s="295"/>
      <c r="I901" s="303"/>
      <c r="J901" s="303"/>
      <c r="K901" s="297"/>
      <c r="L901" s="303"/>
      <c r="M901" s="303"/>
      <c r="N901" s="297"/>
      <c r="O901" s="292"/>
      <c r="P901" s="303"/>
      <c r="Q901" s="298"/>
      <c r="R901" s="294"/>
      <c r="S901" s="297"/>
      <c r="T901" s="292"/>
      <c r="U901" s="299"/>
      <c r="V901" s="292"/>
      <c r="W901" s="309"/>
      <c r="X901" s="292"/>
      <c r="Y901" s="309"/>
      <c r="Z901" s="292"/>
      <c r="AA901" s="315"/>
      <c r="AB901" s="297"/>
      <c r="AC901" s="292"/>
      <c r="AD901" s="292"/>
      <c r="AE901" s="292"/>
      <c r="AF901" s="303"/>
      <c r="AG901" s="303"/>
      <c r="AH901" s="303"/>
      <c r="AI901" s="303"/>
    </row>
    <row r="902">
      <c r="A902" s="304"/>
      <c r="B902" s="299"/>
      <c r="C902" s="292"/>
      <c r="D902" s="293"/>
      <c r="E902" s="292"/>
      <c r="F902" s="293"/>
      <c r="G902" s="294"/>
      <c r="H902" s="295"/>
      <c r="I902" s="303"/>
      <c r="J902" s="303"/>
      <c r="K902" s="297"/>
      <c r="L902" s="303"/>
      <c r="M902" s="303"/>
      <c r="N902" s="297"/>
      <c r="O902" s="292"/>
      <c r="P902" s="303"/>
      <c r="Q902" s="298"/>
      <c r="R902" s="294"/>
      <c r="S902" s="297"/>
      <c r="T902" s="292"/>
      <c r="U902" s="299"/>
      <c r="V902" s="292"/>
      <c r="W902" s="309"/>
      <c r="X902" s="292"/>
      <c r="Y902" s="309"/>
      <c r="Z902" s="292"/>
      <c r="AA902" s="315"/>
      <c r="AB902" s="297"/>
      <c r="AC902" s="292"/>
      <c r="AD902" s="292"/>
      <c r="AE902" s="292"/>
      <c r="AF902" s="303"/>
      <c r="AG902" s="303"/>
      <c r="AH902" s="303"/>
      <c r="AI902" s="303"/>
    </row>
    <row r="903">
      <c r="A903" s="304"/>
      <c r="B903" s="299"/>
      <c r="C903" s="292"/>
      <c r="D903" s="293"/>
      <c r="E903" s="292"/>
      <c r="F903" s="293"/>
      <c r="G903" s="294"/>
      <c r="H903" s="295"/>
      <c r="I903" s="303"/>
      <c r="J903" s="303"/>
      <c r="K903" s="297"/>
      <c r="L903" s="303"/>
      <c r="M903" s="303"/>
      <c r="N903" s="297"/>
      <c r="O903" s="292"/>
      <c r="P903" s="303"/>
      <c r="Q903" s="298"/>
      <c r="R903" s="294"/>
      <c r="S903" s="297"/>
      <c r="T903" s="292"/>
      <c r="U903" s="299"/>
      <c r="V903" s="292"/>
      <c r="W903" s="309"/>
      <c r="X903" s="292"/>
      <c r="Y903" s="309"/>
      <c r="Z903" s="292"/>
      <c r="AA903" s="315"/>
      <c r="AB903" s="297"/>
      <c r="AC903" s="292"/>
      <c r="AD903" s="292"/>
      <c r="AE903" s="292"/>
      <c r="AF903" s="303"/>
      <c r="AG903" s="303"/>
      <c r="AH903" s="303"/>
      <c r="AI903" s="303"/>
    </row>
    <row r="904">
      <c r="A904" s="304"/>
      <c r="B904" s="299"/>
      <c r="C904" s="292"/>
      <c r="D904" s="293"/>
      <c r="E904" s="292"/>
      <c r="F904" s="293"/>
      <c r="G904" s="294"/>
      <c r="H904" s="295"/>
      <c r="I904" s="303"/>
      <c r="J904" s="303"/>
      <c r="K904" s="297"/>
      <c r="L904" s="303"/>
      <c r="M904" s="303"/>
      <c r="N904" s="297"/>
      <c r="O904" s="292"/>
      <c r="P904" s="303"/>
      <c r="Q904" s="298"/>
      <c r="R904" s="294"/>
      <c r="S904" s="297"/>
      <c r="T904" s="292"/>
      <c r="U904" s="299"/>
      <c r="V904" s="292"/>
      <c r="W904" s="309"/>
      <c r="X904" s="292"/>
      <c r="Y904" s="309"/>
      <c r="Z904" s="292"/>
      <c r="AA904" s="315"/>
      <c r="AB904" s="297"/>
      <c r="AC904" s="292"/>
      <c r="AD904" s="292"/>
      <c r="AE904" s="292"/>
      <c r="AF904" s="303"/>
      <c r="AG904" s="303"/>
      <c r="AH904" s="303"/>
      <c r="AI904" s="303"/>
    </row>
    <row r="905">
      <c r="A905" s="304"/>
      <c r="B905" s="299"/>
      <c r="C905" s="292"/>
      <c r="D905" s="293"/>
      <c r="E905" s="292"/>
      <c r="F905" s="293"/>
      <c r="G905" s="294"/>
      <c r="H905" s="295"/>
      <c r="I905" s="303"/>
      <c r="J905" s="303"/>
      <c r="K905" s="297"/>
      <c r="L905" s="303"/>
      <c r="M905" s="303"/>
      <c r="N905" s="297"/>
      <c r="O905" s="292"/>
      <c r="P905" s="303"/>
      <c r="Q905" s="298"/>
      <c r="R905" s="294"/>
      <c r="S905" s="297"/>
      <c r="T905" s="292"/>
      <c r="U905" s="299"/>
      <c r="V905" s="292"/>
      <c r="W905" s="309"/>
      <c r="X905" s="292"/>
      <c r="Y905" s="309"/>
      <c r="Z905" s="292"/>
      <c r="AA905" s="315"/>
      <c r="AB905" s="297"/>
      <c r="AC905" s="292"/>
      <c r="AD905" s="292"/>
      <c r="AE905" s="292"/>
      <c r="AF905" s="303"/>
      <c r="AG905" s="303"/>
      <c r="AH905" s="303"/>
      <c r="AI905" s="303"/>
    </row>
    <row r="906">
      <c r="A906" s="304"/>
      <c r="B906" s="299"/>
      <c r="C906" s="292"/>
      <c r="D906" s="293"/>
      <c r="E906" s="292"/>
      <c r="F906" s="293"/>
      <c r="G906" s="294"/>
      <c r="H906" s="295"/>
      <c r="I906" s="303"/>
      <c r="J906" s="303"/>
      <c r="K906" s="297"/>
      <c r="L906" s="303"/>
      <c r="M906" s="303"/>
      <c r="N906" s="297"/>
      <c r="O906" s="292"/>
      <c r="P906" s="303"/>
      <c r="Q906" s="298"/>
      <c r="R906" s="294"/>
      <c r="S906" s="297"/>
      <c r="T906" s="292"/>
      <c r="U906" s="299"/>
      <c r="V906" s="292"/>
      <c r="W906" s="309"/>
      <c r="X906" s="292"/>
      <c r="Y906" s="309"/>
      <c r="Z906" s="292"/>
      <c r="AA906" s="315"/>
      <c r="AB906" s="297"/>
      <c r="AC906" s="292"/>
      <c r="AD906" s="292"/>
      <c r="AE906" s="292"/>
      <c r="AF906" s="303"/>
      <c r="AG906" s="303"/>
      <c r="AH906" s="303"/>
      <c r="AI906" s="303"/>
    </row>
    <row r="907">
      <c r="A907" s="304"/>
      <c r="B907" s="299"/>
      <c r="C907" s="292"/>
      <c r="D907" s="293"/>
      <c r="E907" s="292"/>
      <c r="F907" s="293"/>
      <c r="G907" s="294"/>
      <c r="H907" s="295"/>
      <c r="I907" s="303"/>
      <c r="J907" s="303"/>
      <c r="K907" s="297"/>
      <c r="L907" s="303"/>
      <c r="M907" s="303"/>
      <c r="N907" s="297"/>
      <c r="O907" s="292"/>
      <c r="P907" s="303"/>
      <c r="Q907" s="298"/>
      <c r="R907" s="294"/>
      <c r="S907" s="297"/>
      <c r="T907" s="292"/>
      <c r="U907" s="299"/>
      <c r="V907" s="292"/>
      <c r="W907" s="309"/>
      <c r="X907" s="292"/>
      <c r="Y907" s="309"/>
      <c r="Z907" s="292"/>
      <c r="AA907" s="315"/>
      <c r="AB907" s="297"/>
      <c r="AC907" s="292"/>
      <c r="AD907" s="292"/>
      <c r="AE907" s="292"/>
      <c r="AF907" s="303"/>
      <c r="AG907" s="303"/>
      <c r="AH907" s="303"/>
      <c r="AI907" s="303"/>
    </row>
    <row r="908">
      <c r="A908" s="304"/>
      <c r="B908" s="299"/>
      <c r="C908" s="292"/>
      <c r="D908" s="293"/>
      <c r="E908" s="292"/>
      <c r="F908" s="293"/>
      <c r="G908" s="294"/>
      <c r="H908" s="295"/>
      <c r="I908" s="303"/>
      <c r="J908" s="303"/>
      <c r="K908" s="297"/>
      <c r="L908" s="303"/>
      <c r="M908" s="303"/>
      <c r="N908" s="297"/>
      <c r="O908" s="292"/>
      <c r="P908" s="303"/>
      <c r="Q908" s="298"/>
      <c r="R908" s="294"/>
      <c r="S908" s="297"/>
      <c r="T908" s="292"/>
      <c r="U908" s="299"/>
      <c r="V908" s="292"/>
      <c r="W908" s="309"/>
      <c r="X908" s="292"/>
      <c r="Y908" s="309"/>
      <c r="Z908" s="292"/>
      <c r="AA908" s="315"/>
      <c r="AB908" s="297"/>
      <c r="AC908" s="292"/>
      <c r="AD908" s="292"/>
      <c r="AE908" s="292"/>
      <c r="AF908" s="303"/>
      <c r="AG908" s="303"/>
      <c r="AH908" s="303"/>
      <c r="AI908" s="303"/>
    </row>
    <row r="909">
      <c r="A909" s="304"/>
      <c r="B909" s="299"/>
      <c r="C909" s="292"/>
      <c r="D909" s="293"/>
      <c r="E909" s="292"/>
      <c r="F909" s="293"/>
      <c r="G909" s="294"/>
      <c r="H909" s="295"/>
      <c r="I909" s="303"/>
      <c r="J909" s="303"/>
      <c r="K909" s="297"/>
      <c r="L909" s="303"/>
      <c r="M909" s="303"/>
      <c r="N909" s="297"/>
      <c r="O909" s="292"/>
      <c r="P909" s="303"/>
      <c r="Q909" s="298"/>
      <c r="R909" s="294"/>
      <c r="S909" s="297"/>
      <c r="T909" s="292"/>
      <c r="U909" s="299"/>
      <c r="V909" s="292"/>
      <c r="W909" s="309"/>
      <c r="X909" s="292"/>
      <c r="Y909" s="309"/>
      <c r="Z909" s="292"/>
      <c r="AA909" s="315"/>
      <c r="AB909" s="297"/>
      <c r="AC909" s="292"/>
      <c r="AD909" s="292"/>
      <c r="AE909" s="292"/>
      <c r="AF909" s="303"/>
      <c r="AG909" s="303"/>
      <c r="AH909" s="303"/>
      <c r="AI909" s="303"/>
    </row>
    <row r="910">
      <c r="A910" s="304"/>
      <c r="B910" s="299"/>
      <c r="C910" s="292"/>
      <c r="D910" s="293"/>
      <c r="E910" s="292"/>
      <c r="F910" s="293"/>
      <c r="G910" s="294"/>
      <c r="H910" s="295"/>
      <c r="I910" s="303"/>
      <c r="J910" s="303"/>
      <c r="K910" s="297"/>
      <c r="L910" s="303"/>
      <c r="M910" s="303"/>
      <c r="N910" s="297"/>
      <c r="O910" s="292"/>
      <c r="P910" s="303"/>
      <c r="Q910" s="298"/>
      <c r="R910" s="294"/>
      <c r="S910" s="297"/>
      <c r="T910" s="292"/>
      <c r="U910" s="299"/>
      <c r="V910" s="292"/>
      <c r="W910" s="309"/>
      <c r="X910" s="292"/>
      <c r="Y910" s="309"/>
      <c r="Z910" s="292"/>
      <c r="AA910" s="315"/>
      <c r="AB910" s="297"/>
      <c r="AC910" s="292"/>
      <c r="AD910" s="292"/>
      <c r="AE910" s="292"/>
      <c r="AF910" s="303"/>
      <c r="AG910" s="303"/>
      <c r="AH910" s="303"/>
      <c r="AI910" s="303"/>
    </row>
    <row r="911">
      <c r="A911" s="304"/>
      <c r="B911" s="299"/>
      <c r="C911" s="292"/>
      <c r="D911" s="293"/>
      <c r="E911" s="292"/>
      <c r="F911" s="293"/>
      <c r="G911" s="294"/>
      <c r="H911" s="295"/>
      <c r="I911" s="303"/>
      <c r="J911" s="303"/>
      <c r="K911" s="297"/>
      <c r="L911" s="303"/>
      <c r="M911" s="303"/>
      <c r="N911" s="297"/>
      <c r="O911" s="292"/>
      <c r="P911" s="303"/>
      <c r="Q911" s="298"/>
      <c r="R911" s="294"/>
      <c r="S911" s="297"/>
      <c r="T911" s="292"/>
      <c r="U911" s="299"/>
      <c r="V911" s="292"/>
      <c r="W911" s="309"/>
      <c r="X911" s="292"/>
      <c r="Y911" s="309"/>
      <c r="Z911" s="292"/>
      <c r="AA911" s="315"/>
      <c r="AB911" s="297"/>
      <c r="AC911" s="292"/>
      <c r="AD911" s="292"/>
      <c r="AE911" s="292"/>
      <c r="AF911" s="303"/>
      <c r="AG911" s="303"/>
      <c r="AH911" s="303"/>
      <c r="AI911" s="303"/>
    </row>
    <row r="912">
      <c r="A912" s="304"/>
      <c r="B912" s="299"/>
      <c r="C912" s="292"/>
      <c r="D912" s="293"/>
      <c r="E912" s="292"/>
      <c r="F912" s="293"/>
      <c r="G912" s="294"/>
      <c r="H912" s="295"/>
      <c r="I912" s="303"/>
      <c r="J912" s="303"/>
      <c r="K912" s="297"/>
      <c r="L912" s="303"/>
      <c r="M912" s="303"/>
      <c r="N912" s="297"/>
      <c r="O912" s="292"/>
      <c r="P912" s="303"/>
      <c r="Q912" s="298"/>
      <c r="R912" s="294"/>
      <c r="S912" s="297"/>
      <c r="T912" s="292"/>
      <c r="U912" s="299"/>
      <c r="V912" s="292"/>
      <c r="W912" s="309"/>
      <c r="X912" s="292"/>
      <c r="Y912" s="309"/>
      <c r="Z912" s="292"/>
      <c r="AA912" s="315"/>
      <c r="AB912" s="297"/>
      <c r="AC912" s="292"/>
      <c r="AD912" s="292"/>
      <c r="AE912" s="292"/>
      <c r="AF912" s="303"/>
      <c r="AG912" s="303"/>
      <c r="AH912" s="303"/>
      <c r="AI912" s="303"/>
    </row>
    <row r="913">
      <c r="A913" s="304"/>
      <c r="B913" s="299"/>
      <c r="C913" s="292"/>
      <c r="D913" s="293"/>
      <c r="E913" s="292"/>
      <c r="F913" s="293"/>
      <c r="G913" s="294"/>
      <c r="H913" s="295"/>
      <c r="I913" s="303"/>
      <c r="J913" s="303"/>
      <c r="K913" s="297"/>
      <c r="L913" s="303"/>
      <c r="M913" s="303"/>
      <c r="N913" s="297"/>
      <c r="O913" s="292"/>
      <c r="P913" s="303"/>
      <c r="Q913" s="298"/>
      <c r="R913" s="294"/>
      <c r="S913" s="297"/>
      <c r="T913" s="292"/>
      <c r="U913" s="299"/>
      <c r="V913" s="292"/>
      <c r="W913" s="309"/>
      <c r="X913" s="292"/>
      <c r="Y913" s="309"/>
      <c r="Z913" s="292"/>
      <c r="AA913" s="315"/>
      <c r="AB913" s="297"/>
      <c r="AC913" s="292"/>
      <c r="AD913" s="292"/>
      <c r="AE913" s="292"/>
      <c r="AF913" s="303"/>
      <c r="AG913" s="303"/>
      <c r="AH913" s="303"/>
      <c r="AI913" s="303"/>
    </row>
    <row r="914">
      <c r="A914" s="304"/>
      <c r="B914" s="299"/>
      <c r="C914" s="292"/>
      <c r="D914" s="293"/>
      <c r="E914" s="292"/>
      <c r="F914" s="293"/>
      <c r="G914" s="294"/>
      <c r="H914" s="295"/>
      <c r="I914" s="303"/>
      <c r="J914" s="303"/>
      <c r="K914" s="297"/>
      <c r="L914" s="303"/>
      <c r="M914" s="303"/>
      <c r="N914" s="297"/>
      <c r="O914" s="292"/>
      <c r="P914" s="303"/>
      <c r="Q914" s="298"/>
      <c r="R914" s="294"/>
      <c r="S914" s="297"/>
      <c r="T914" s="292"/>
      <c r="U914" s="299"/>
      <c r="V914" s="292"/>
      <c r="W914" s="309"/>
      <c r="X914" s="292"/>
      <c r="Y914" s="309"/>
      <c r="Z914" s="292"/>
      <c r="AA914" s="315"/>
      <c r="AB914" s="297"/>
      <c r="AC914" s="292"/>
      <c r="AD914" s="292"/>
      <c r="AE914" s="292"/>
      <c r="AF914" s="303"/>
      <c r="AG914" s="303"/>
      <c r="AH914" s="303"/>
      <c r="AI914" s="303"/>
    </row>
    <row r="915">
      <c r="A915" s="304"/>
      <c r="B915" s="299"/>
      <c r="C915" s="292"/>
      <c r="D915" s="293"/>
      <c r="E915" s="292"/>
      <c r="F915" s="293"/>
      <c r="G915" s="294"/>
      <c r="H915" s="295"/>
      <c r="I915" s="303"/>
      <c r="J915" s="303"/>
      <c r="K915" s="297"/>
      <c r="L915" s="303"/>
      <c r="M915" s="303"/>
      <c r="N915" s="297"/>
      <c r="O915" s="292"/>
      <c r="P915" s="303"/>
      <c r="Q915" s="298"/>
      <c r="R915" s="294"/>
      <c r="S915" s="297"/>
      <c r="T915" s="292"/>
      <c r="U915" s="299"/>
      <c r="V915" s="292"/>
      <c r="W915" s="309"/>
      <c r="X915" s="292"/>
      <c r="Y915" s="309"/>
      <c r="Z915" s="292"/>
      <c r="AA915" s="315"/>
      <c r="AB915" s="297"/>
      <c r="AC915" s="292"/>
      <c r="AD915" s="292"/>
      <c r="AE915" s="292"/>
      <c r="AF915" s="303"/>
      <c r="AG915" s="303"/>
      <c r="AH915" s="303"/>
      <c r="AI915" s="303"/>
    </row>
    <row r="916">
      <c r="A916" s="304"/>
      <c r="B916" s="299"/>
      <c r="C916" s="292"/>
      <c r="D916" s="293"/>
      <c r="E916" s="292"/>
      <c r="F916" s="293"/>
      <c r="G916" s="294"/>
      <c r="H916" s="295"/>
      <c r="I916" s="303"/>
      <c r="J916" s="303"/>
      <c r="K916" s="297"/>
      <c r="L916" s="303"/>
      <c r="M916" s="303"/>
      <c r="N916" s="297"/>
      <c r="O916" s="292"/>
      <c r="P916" s="303"/>
      <c r="Q916" s="298"/>
      <c r="R916" s="294"/>
      <c r="S916" s="297"/>
      <c r="T916" s="292"/>
      <c r="U916" s="299"/>
      <c r="V916" s="292"/>
      <c r="W916" s="309"/>
      <c r="X916" s="292"/>
      <c r="Y916" s="309"/>
      <c r="Z916" s="292"/>
      <c r="AA916" s="315"/>
      <c r="AB916" s="297"/>
      <c r="AC916" s="292"/>
      <c r="AD916" s="292"/>
      <c r="AE916" s="292"/>
      <c r="AF916" s="303"/>
      <c r="AG916" s="303"/>
      <c r="AH916" s="303"/>
      <c r="AI916" s="303"/>
    </row>
    <row r="917">
      <c r="A917" s="304"/>
      <c r="B917" s="299"/>
      <c r="C917" s="292"/>
      <c r="D917" s="293"/>
      <c r="E917" s="292"/>
      <c r="F917" s="293"/>
      <c r="G917" s="294"/>
      <c r="H917" s="295"/>
      <c r="I917" s="303"/>
      <c r="J917" s="303"/>
      <c r="K917" s="297"/>
      <c r="L917" s="303"/>
      <c r="M917" s="303"/>
      <c r="N917" s="297"/>
      <c r="O917" s="292"/>
      <c r="P917" s="303"/>
      <c r="Q917" s="298"/>
      <c r="R917" s="294"/>
      <c r="S917" s="297"/>
      <c r="T917" s="292"/>
      <c r="U917" s="299"/>
      <c r="V917" s="292"/>
      <c r="W917" s="309"/>
      <c r="X917" s="292"/>
      <c r="Y917" s="309"/>
      <c r="Z917" s="292"/>
      <c r="AA917" s="315"/>
      <c r="AB917" s="297"/>
      <c r="AC917" s="292"/>
      <c r="AD917" s="292"/>
      <c r="AE917" s="292"/>
      <c r="AF917" s="303"/>
      <c r="AG917" s="303"/>
      <c r="AH917" s="303"/>
      <c r="AI917" s="303"/>
    </row>
    <row r="918">
      <c r="A918" s="304"/>
      <c r="B918" s="299"/>
      <c r="C918" s="292"/>
      <c r="D918" s="293"/>
      <c r="E918" s="292"/>
      <c r="F918" s="293"/>
      <c r="G918" s="294"/>
      <c r="H918" s="295"/>
      <c r="I918" s="303"/>
      <c r="J918" s="303"/>
      <c r="K918" s="297"/>
      <c r="L918" s="303"/>
      <c r="M918" s="303"/>
      <c r="N918" s="297"/>
      <c r="O918" s="292"/>
      <c r="P918" s="303"/>
      <c r="Q918" s="298"/>
      <c r="R918" s="294"/>
      <c r="S918" s="297"/>
      <c r="T918" s="292"/>
      <c r="U918" s="299"/>
      <c r="V918" s="292"/>
      <c r="W918" s="309"/>
      <c r="X918" s="292"/>
      <c r="Y918" s="309"/>
      <c r="Z918" s="292"/>
      <c r="AA918" s="315"/>
      <c r="AB918" s="297"/>
      <c r="AC918" s="292"/>
      <c r="AD918" s="292"/>
      <c r="AE918" s="292"/>
      <c r="AF918" s="303"/>
      <c r="AG918" s="303"/>
      <c r="AH918" s="303"/>
      <c r="AI918" s="303"/>
    </row>
    <row r="919">
      <c r="A919" s="304"/>
      <c r="B919" s="299"/>
      <c r="C919" s="292"/>
      <c r="D919" s="293"/>
      <c r="E919" s="292"/>
      <c r="F919" s="293"/>
      <c r="G919" s="294"/>
      <c r="H919" s="295"/>
      <c r="I919" s="303"/>
      <c r="J919" s="303"/>
      <c r="K919" s="297"/>
      <c r="L919" s="303"/>
      <c r="M919" s="303"/>
      <c r="N919" s="297"/>
      <c r="O919" s="292"/>
      <c r="P919" s="303"/>
      <c r="Q919" s="298"/>
      <c r="R919" s="294"/>
      <c r="S919" s="297"/>
      <c r="T919" s="292"/>
      <c r="U919" s="299"/>
      <c r="V919" s="292"/>
      <c r="W919" s="309"/>
      <c r="X919" s="292"/>
      <c r="Y919" s="309"/>
      <c r="Z919" s="292"/>
      <c r="AA919" s="315"/>
      <c r="AB919" s="297"/>
      <c r="AC919" s="292"/>
      <c r="AD919" s="292"/>
      <c r="AE919" s="292"/>
      <c r="AF919" s="303"/>
      <c r="AG919" s="303"/>
      <c r="AH919" s="303"/>
      <c r="AI919" s="303"/>
    </row>
    <row r="920">
      <c r="A920" s="304"/>
      <c r="B920" s="299"/>
      <c r="C920" s="292"/>
      <c r="D920" s="293"/>
      <c r="E920" s="292"/>
      <c r="F920" s="293"/>
      <c r="G920" s="294"/>
      <c r="H920" s="295"/>
      <c r="I920" s="303"/>
      <c r="J920" s="303"/>
      <c r="K920" s="297"/>
      <c r="L920" s="303"/>
      <c r="M920" s="303"/>
      <c r="N920" s="297"/>
      <c r="O920" s="292"/>
      <c r="P920" s="303"/>
      <c r="Q920" s="298"/>
      <c r="R920" s="294"/>
      <c r="S920" s="297"/>
      <c r="T920" s="292"/>
      <c r="U920" s="299"/>
      <c r="V920" s="292"/>
      <c r="W920" s="309"/>
      <c r="X920" s="292"/>
      <c r="Y920" s="309"/>
      <c r="Z920" s="292"/>
      <c r="AA920" s="315"/>
      <c r="AB920" s="297"/>
      <c r="AC920" s="292"/>
      <c r="AD920" s="292"/>
      <c r="AE920" s="292"/>
      <c r="AF920" s="303"/>
      <c r="AG920" s="303"/>
      <c r="AH920" s="303"/>
      <c r="AI920" s="303"/>
    </row>
    <row r="921">
      <c r="A921" s="304"/>
      <c r="B921" s="299"/>
      <c r="C921" s="292"/>
      <c r="D921" s="293"/>
      <c r="E921" s="292"/>
      <c r="F921" s="293"/>
      <c r="G921" s="294"/>
      <c r="H921" s="295"/>
      <c r="I921" s="303"/>
      <c r="J921" s="303"/>
      <c r="K921" s="297"/>
      <c r="L921" s="303"/>
      <c r="M921" s="303"/>
      <c r="N921" s="297"/>
      <c r="O921" s="292"/>
      <c r="P921" s="303"/>
      <c r="Q921" s="298"/>
      <c r="R921" s="294"/>
      <c r="S921" s="297"/>
      <c r="T921" s="292"/>
      <c r="U921" s="299"/>
      <c r="V921" s="292"/>
      <c r="W921" s="309"/>
      <c r="X921" s="292"/>
      <c r="Y921" s="309"/>
      <c r="Z921" s="292"/>
      <c r="AA921" s="315"/>
      <c r="AB921" s="297"/>
      <c r="AC921" s="292"/>
      <c r="AD921" s="292"/>
      <c r="AE921" s="292"/>
      <c r="AF921" s="303"/>
      <c r="AG921" s="303"/>
      <c r="AH921" s="303"/>
      <c r="AI921" s="303"/>
    </row>
    <row r="922">
      <c r="A922" s="304"/>
      <c r="B922" s="299"/>
      <c r="C922" s="292"/>
      <c r="D922" s="293"/>
      <c r="E922" s="292"/>
      <c r="F922" s="293"/>
      <c r="G922" s="294"/>
      <c r="H922" s="295"/>
      <c r="I922" s="303"/>
      <c r="J922" s="303"/>
      <c r="K922" s="297"/>
      <c r="L922" s="303"/>
      <c r="M922" s="303"/>
      <c r="N922" s="297"/>
      <c r="O922" s="292"/>
      <c r="P922" s="303"/>
      <c r="Q922" s="298"/>
      <c r="R922" s="294"/>
      <c r="S922" s="297"/>
      <c r="T922" s="292"/>
      <c r="U922" s="299"/>
      <c r="V922" s="292"/>
      <c r="W922" s="309"/>
      <c r="X922" s="292"/>
      <c r="Y922" s="309"/>
      <c r="Z922" s="292"/>
      <c r="AA922" s="315"/>
      <c r="AB922" s="297"/>
      <c r="AC922" s="292"/>
      <c r="AD922" s="292"/>
      <c r="AE922" s="292"/>
      <c r="AF922" s="303"/>
      <c r="AG922" s="303"/>
      <c r="AH922" s="303"/>
      <c r="AI922" s="303"/>
    </row>
    <row r="923">
      <c r="A923" s="304"/>
      <c r="B923" s="299"/>
      <c r="C923" s="292"/>
      <c r="D923" s="293"/>
      <c r="E923" s="292"/>
      <c r="F923" s="293"/>
      <c r="G923" s="294"/>
      <c r="H923" s="295"/>
      <c r="I923" s="303"/>
      <c r="J923" s="303"/>
      <c r="K923" s="297"/>
      <c r="L923" s="303"/>
      <c r="M923" s="303"/>
      <c r="N923" s="297"/>
      <c r="O923" s="292"/>
      <c r="P923" s="303"/>
      <c r="Q923" s="298"/>
      <c r="R923" s="294"/>
      <c r="S923" s="297"/>
      <c r="T923" s="292"/>
      <c r="U923" s="299"/>
      <c r="V923" s="292"/>
      <c r="W923" s="309"/>
      <c r="X923" s="292"/>
      <c r="Y923" s="309"/>
      <c r="Z923" s="292"/>
      <c r="AA923" s="315"/>
      <c r="AB923" s="297"/>
      <c r="AC923" s="292"/>
      <c r="AD923" s="292"/>
      <c r="AE923" s="292"/>
      <c r="AF923" s="303"/>
      <c r="AG923" s="303"/>
      <c r="AH923" s="303"/>
      <c r="AI923" s="303"/>
    </row>
    <row r="924">
      <c r="A924" s="304"/>
      <c r="B924" s="299"/>
      <c r="C924" s="292"/>
      <c r="D924" s="293"/>
      <c r="E924" s="292"/>
      <c r="F924" s="293"/>
      <c r="G924" s="294"/>
      <c r="H924" s="295"/>
      <c r="I924" s="303"/>
      <c r="J924" s="303"/>
      <c r="K924" s="297"/>
      <c r="L924" s="303"/>
      <c r="M924" s="303"/>
      <c r="N924" s="297"/>
      <c r="O924" s="292"/>
      <c r="P924" s="303"/>
      <c r="Q924" s="298"/>
      <c r="R924" s="294"/>
      <c r="S924" s="297"/>
      <c r="T924" s="292"/>
      <c r="U924" s="299"/>
      <c r="V924" s="292"/>
      <c r="W924" s="309"/>
      <c r="X924" s="292"/>
      <c r="Y924" s="309"/>
      <c r="Z924" s="292"/>
      <c r="AA924" s="315"/>
      <c r="AB924" s="297"/>
      <c r="AC924" s="292"/>
      <c r="AD924" s="292"/>
      <c r="AE924" s="292"/>
      <c r="AF924" s="303"/>
      <c r="AG924" s="303"/>
      <c r="AH924" s="303"/>
      <c r="AI924" s="303"/>
    </row>
    <row r="925">
      <c r="A925" s="304"/>
      <c r="B925" s="299"/>
      <c r="C925" s="292"/>
      <c r="D925" s="293"/>
      <c r="E925" s="292"/>
      <c r="F925" s="293"/>
      <c r="G925" s="294"/>
      <c r="H925" s="295"/>
      <c r="I925" s="303"/>
      <c r="J925" s="303"/>
      <c r="K925" s="297"/>
      <c r="L925" s="303"/>
      <c r="M925" s="303"/>
      <c r="N925" s="297"/>
      <c r="O925" s="292"/>
      <c r="P925" s="303"/>
      <c r="Q925" s="298"/>
      <c r="R925" s="294"/>
      <c r="S925" s="297"/>
      <c r="T925" s="292"/>
      <c r="U925" s="299"/>
      <c r="V925" s="292"/>
      <c r="W925" s="309"/>
      <c r="X925" s="292"/>
      <c r="Y925" s="309"/>
      <c r="Z925" s="292"/>
      <c r="AA925" s="315"/>
      <c r="AB925" s="297"/>
      <c r="AC925" s="292"/>
      <c r="AD925" s="292"/>
      <c r="AE925" s="292"/>
      <c r="AF925" s="303"/>
      <c r="AG925" s="303"/>
      <c r="AH925" s="303"/>
      <c r="AI925" s="303"/>
    </row>
    <row r="926">
      <c r="A926" s="304"/>
      <c r="B926" s="299"/>
      <c r="C926" s="292"/>
      <c r="D926" s="293"/>
      <c r="E926" s="292"/>
      <c r="F926" s="293"/>
      <c r="G926" s="294"/>
      <c r="H926" s="295"/>
      <c r="I926" s="303"/>
      <c r="J926" s="303"/>
      <c r="K926" s="297"/>
      <c r="L926" s="303"/>
      <c r="M926" s="303"/>
      <c r="N926" s="297"/>
      <c r="O926" s="292"/>
      <c r="P926" s="303"/>
      <c r="Q926" s="298"/>
      <c r="R926" s="294"/>
      <c r="S926" s="297"/>
      <c r="T926" s="292"/>
      <c r="U926" s="299"/>
      <c r="V926" s="292"/>
      <c r="W926" s="309"/>
      <c r="X926" s="292"/>
      <c r="Y926" s="309"/>
      <c r="Z926" s="292"/>
      <c r="AA926" s="315"/>
      <c r="AB926" s="297"/>
      <c r="AC926" s="292"/>
      <c r="AD926" s="292"/>
      <c r="AE926" s="292"/>
      <c r="AF926" s="303"/>
      <c r="AG926" s="303"/>
      <c r="AH926" s="303"/>
      <c r="AI926" s="303"/>
    </row>
    <row r="927">
      <c r="A927" s="304"/>
      <c r="B927" s="299"/>
      <c r="C927" s="292"/>
      <c r="D927" s="293"/>
      <c r="E927" s="292"/>
      <c r="F927" s="293"/>
      <c r="G927" s="294"/>
      <c r="H927" s="295"/>
      <c r="I927" s="303"/>
      <c r="J927" s="303"/>
      <c r="K927" s="297"/>
      <c r="L927" s="303"/>
      <c r="M927" s="303"/>
      <c r="N927" s="297"/>
      <c r="O927" s="292"/>
      <c r="P927" s="303"/>
      <c r="Q927" s="298"/>
      <c r="R927" s="294"/>
      <c r="S927" s="297"/>
      <c r="T927" s="292"/>
      <c r="U927" s="299"/>
      <c r="V927" s="292"/>
      <c r="W927" s="309"/>
      <c r="X927" s="292"/>
      <c r="Y927" s="309"/>
      <c r="Z927" s="292"/>
      <c r="AA927" s="315"/>
      <c r="AB927" s="297"/>
      <c r="AC927" s="292"/>
      <c r="AD927" s="292"/>
      <c r="AE927" s="292"/>
      <c r="AF927" s="303"/>
      <c r="AG927" s="303"/>
      <c r="AH927" s="303"/>
      <c r="AI927" s="303"/>
    </row>
    <row r="928">
      <c r="A928" s="304"/>
      <c r="B928" s="299"/>
      <c r="C928" s="292"/>
      <c r="D928" s="293"/>
      <c r="E928" s="292"/>
      <c r="F928" s="293"/>
      <c r="G928" s="294"/>
      <c r="H928" s="295"/>
      <c r="I928" s="303"/>
      <c r="J928" s="303"/>
      <c r="K928" s="297"/>
      <c r="L928" s="303"/>
      <c r="M928" s="303"/>
      <c r="N928" s="297"/>
      <c r="O928" s="292"/>
      <c r="P928" s="303"/>
      <c r="Q928" s="298"/>
      <c r="R928" s="294"/>
      <c r="S928" s="297"/>
      <c r="T928" s="292"/>
      <c r="U928" s="299"/>
      <c r="V928" s="292"/>
      <c r="W928" s="309"/>
      <c r="X928" s="292"/>
      <c r="Y928" s="309"/>
      <c r="Z928" s="292"/>
      <c r="AA928" s="315"/>
      <c r="AB928" s="297"/>
      <c r="AC928" s="292"/>
      <c r="AD928" s="292"/>
      <c r="AE928" s="292"/>
      <c r="AF928" s="303"/>
      <c r="AG928" s="303"/>
      <c r="AH928" s="303"/>
      <c r="AI928" s="303"/>
    </row>
    <row r="929">
      <c r="A929" s="304"/>
      <c r="B929" s="299"/>
      <c r="C929" s="292"/>
      <c r="D929" s="293"/>
      <c r="E929" s="292"/>
      <c r="F929" s="293"/>
      <c r="G929" s="294"/>
      <c r="H929" s="295"/>
      <c r="I929" s="303"/>
      <c r="J929" s="303"/>
      <c r="K929" s="297"/>
      <c r="L929" s="303"/>
      <c r="M929" s="303"/>
      <c r="N929" s="297"/>
      <c r="O929" s="292"/>
      <c r="P929" s="303"/>
      <c r="Q929" s="298"/>
      <c r="R929" s="294"/>
      <c r="S929" s="297"/>
      <c r="T929" s="292"/>
      <c r="U929" s="299"/>
      <c r="V929" s="292"/>
      <c r="W929" s="309"/>
      <c r="X929" s="292"/>
      <c r="Y929" s="309"/>
      <c r="Z929" s="292"/>
      <c r="AA929" s="315"/>
      <c r="AB929" s="297"/>
      <c r="AC929" s="292"/>
      <c r="AD929" s="292"/>
      <c r="AE929" s="292"/>
      <c r="AF929" s="303"/>
      <c r="AG929" s="303"/>
      <c r="AH929" s="303"/>
      <c r="AI929" s="303"/>
    </row>
    <row r="930">
      <c r="A930" s="304"/>
      <c r="B930" s="299"/>
      <c r="C930" s="292"/>
      <c r="D930" s="293"/>
      <c r="E930" s="292"/>
      <c r="F930" s="293"/>
      <c r="G930" s="294"/>
      <c r="H930" s="295"/>
      <c r="I930" s="303"/>
      <c r="J930" s="303"/>
      <c r="K930" s="297"/>
      <c r="L930" s="303"/>
      <c r="M930" s="303"/>
      <c r="N930" s="297"/>
      <c r="O930" s="292"/>
      <c r="P930" s="303"/>
      <c r="Q930" s="298"/>
      <c r="R930" s="294"/>
      <c r="S930" s="297"/>
      <c r="T930" s="292"/>
      <c r="U930" s="299"/>
      <c r="V930" s="292"/>
      <c r="W930" s="309"/>
      <c r="X930" s="292"/>
      <c r="Y930" s="309"/>
      <c r="Z930" s="292"/>
      <c r="AA930" s="315"/>
      <c r="AB930" s="297"/>
      <c r="AC930" s="292"/>
      <c r="AD930" s="292"/>
      <c r="AE930" s="292"/>
      <c r="AF930" s="303"/>
      <c r="AG930" s="303"/>
      <c r="AH930" s="303"/>
      <c r="AI930" s="303"/>
    </row>
    <row r="931">
      <c r="A931" s="304"/>
      <c r="B931" s="299"/>
      <c r="C931" s="292"/>
      <c r="D931" s="293"/>
      <c r="E931" s="292"/>
      <c r="F931" s="293"/>
      <c r="G931" s="294"/>
      <c r="H931" s="295"/>
      <c r="I931" s="303"/>
      <c r="J931" s="303"/>
      <c r="K931" s="297"/>
      <c r="L931" s="303"/>
      <c r="M931" s="303"/>
      <c r="N931" s="297"/>
      <c r="O931" s="292"/>
      <c r="P931" s="303"/>
      <c r="Q931" s="298"/>
      <c r="R931" s="294"/>
      <c r="S931" s="297"/>
      <c r="T931" s="292"/>
      <c r="U931" s="299"/>
      <c r="V931" s="292"/>
      <c r="W931" s="309"/>
      <c r="X931" s="292"/>
      <c r="Y931" s="309"/>
      <c r="Z931" s="292"/>
      <c r="AA931" s="315"/>
      <c r="AB931" s="297"/>
      <c r="AC931" s="292"/>
      <c r="AD931" s="292"/>
      <c r="AE931" s="292"/>
      <c r="AF931" s="303"/>
      <c r="AG931" s="303"/>
      <c r="AH931" s="303"/>
      <c r="AI931" s="303"/>
    </row>
    <row r="932">
      <c r="A932" s="304"/>
      <c r="B932" s="299"/>
      <c r="C932" s="292"/>
      <c r="D932" s="293"/>
      <c r="E932" s="292"/>
      <c r="F932" s="293"/>
      <c r="G932" s="294"/>
      <c r="H932" s="295"/>
      <c r="I932" s="303"/>
      <c r="J932" s="303"/>
      <c r="K932" s="297"/>
      <c r="L932" s="303"/>
      <c r="M932" s="303"/>
      <c r="N932" s="297"/>
      <c r="O932" s="292"/>
      <c r="P932" s="303"/>
      <c r="Q932" s="298"/>
      <c r="R932" s="294"/>
      <c r="S932" s="297"/>
      <c r="T932" s="292"/>
      <c r="U932" s="299"/>
      <c r="V932" s="292"/>
      <c r="W932" s="309"/>
      <c r="X932" s="292"/>
      <c r="Y932" s="309"/>
      <c r="Z932" s="292"/>
      <c r="AA932" s="315"/>
      <c r="AB932" s="297"/>
      <c r="AC932" s="292"/>
      <c r="AD932" s="292"/>
      <c r="AE932" s="292"/>
      <c r="AF932" s="303"/>
      <c r="AG932" s="303"/>
      <c r="AH932" s="303"/>
      <c r="AI932" s="303"/>
    </row>
    <row r="933">
      <c r="A933" s="304"/>
      <c r="B933" s="299"/>
      <c r="C933" s="292"/>
      <c r="D933" s="293"/>
      <c r="E933" s="292"/>
      <c r="F933" s="293"/>
      <c r="G933" s="294"/>
      <c r="H933" s="295"/>
      <c r="I933" s="303"/>
      <c r="J933" s="303"/>
      <c r="K933" s="297"/>
      <c r="L933" s="303"/>
      <c r="M933" s="303"/>
      <c r="N933" s="297"/>
      <c r="O933" s="292"/>
      <c r="P933" s="303"/>
      <c r="Q933" s="298"/>
      <c r="R933" s="294"/>
      <c r="S933" s="297"/>
      <c r="T933" s="292"/>
      <c r="U933" s="299"/>
      <c r="V933" s="292"/>
      <c r="W933" s="309"/>
      <c r="X933" s="292"/>
      <c r="Y933" s="309"/>
      <c r="Z933" s="292"/>
      <c r="AA933" s="315"/>
      <c r="AB933" s="297"/>
      <c r="AC933" s="292"/>
      <c r="AD933" s="292"/>
      <c r="AE933" s="292"/>
      <c r="AF933" s="303"/>
      <c r="AG933" s="303"/>
      <c r="AH933" s="303"/>
      <c r="AI933" s="303"/>
    </row>
    <row r="934">
      <c r="A934" s="304"/>
      <c r="B934" s="299"/>
      <c r="C934" s="292"/>
      <c r="D934" s="293"/>
      <c r="E934" s="292"/>
      <c r="F934" s="293"/>
      <c r="G934" s="294"/>
      <c r="H934" s="295"/>
      <c r="I934" s="303"/>
      <c r="J934" s="303"/>
      <c r="K934" s="297"/>
      <c r="L934" s="303"/>
      <c r="M934" s="303"/>
      <c r="N934" s="297"/>
      <c r="O934" s="292"/>
      <c r="P934" s="303"/>
      <c r="Q934" s="298"/>
      <c r="R934" s="294"/>
      <c r="S934" s="297"/>
      <c r="T934" s="292"/>
      <c r="U934" s="299"/>
      <c r="V934" s="292"/>
      <c r="W934" s="309"/>
      <c r="X934" s="292"/>
      <c r="Y934" s="309"/>
      <c r="Z934" s="292"/>
      <c r="AA934" s="315"/>
      <c r="AB934" s="297"/>
      <c r="AC934" s="292"/>
      <c r="AD934" s="292"/>
      <c r="AE934" s="292"/>
      <c r="AF934" s="303"/>
      <c r="AG934" s="303"/>
      <c r="AH934" s="303"/>
      <c r="AI934" s="303"/>
    </row>
    <row r="935">
      <c r="A935" s="304"/>
      <c r="B935" s="299"/>
      <c r="C935" s="292"/>
      <c r="D935" s="293"/>
      <c r="E935" s="292"/>
      <c r="F935" s="293"/>
      <c r="G935" s="294"/>
      <c r="H935" s="295"/>
      <c r="I935" s="303"/>
      <c r="J935" s="303"/>
      <c r="K935" s="297"/>
      <c r="L935" s="303"/>
      <c r="M935" s="303"/>
      <c r="N935" s="297"/>
      <c r="O935" s="292"/>
      <c r="P935" s="303"/>
      <c r="Q935" s="298"/>
      <c r="R935" s="294"/>
      <c r="S935" s="297"/>
      <c r="T935" s="292"/>
      <c r="U935" s="299"/>
      <c r="V935" s="292"/>
      <c r="W935" s="309"/>
      <c r="X935" s="292"/>
      <c r="Y935" s="309"/>
      <c r="Z935" s="292"/>
      <c r="AA935" s="315"/>
      <c r="AB935" s="297"/>
      <c r="AC935" s="292"/>
      <c r="AD935" s="292"/>
      <c r="AE935" s="292"/>
      <c r="AF935" s="303"/>
      <c r="AG935" s="303"/>
      <c r="AH935" s="303"/>
      <c r="AI935" s="303"/>
    </row>
    <row r="936">
      <c r="A936" s="304"/>
      <c r="B936" s="299"/>
      <c r="C936" s="292"/>
      <c r="D936" s="293"/>
      <c r="E936" s="292"/>
      <c r="F936" s="293"/>
      <c r="G936" s="294"/>
      <c r="H936" s="295"/>
      <c r="I936" s="303"/>
      <c r="J936" s="303"/>
      <c r="K936" s="297"/>
      <c r="L936" s="303"/>
      <c r="M936" s="303"/>
      <c r="N936" s="297"/>
      <c r="O936" s="292"/>
      <c r="P936" s="303"/>
      <c r="Q936" s="298"/>
      <c r="R936" s="294"/>
      <c r="S936" s="297"/>
      <c r="T936" s="292"/>
      <c r="U936" s="299"/>
      <c r="V936" s="292"/>
      <c r="W936" s="309"/>
      <c r="X936" s="292"/>
      <c r="Y936" s="309"/>
      <c r="Z936" s="292"/>
      <c r="AA936" s="315"/>
      <c r="AB936" s="297"/>
      <c r="AC936" s="292"/>
      <c r="AD936" s="292"/>
      <c r="AE936" s="292"/>
      <c r="AF936" s="303"/>
      <c r="AG936" s="303"/>
      <c r="AH936" s="303"/>
      <c r="AI936" s="303"/>
    </row>
    <row r="937">
      <c r="A937" s="304"/>
      <c r="B937" s="299"/>
      <c r="C937" s="292"/>
      <c r="D937" s="293"/>
      <c r="E937" s="292"/>
      <c r="F937" s="293"/>
      <c r="G937" s="294"/>
      <c r="H937" s="295"/>
      <c r="I937" s="303"/>
      <c r="J937" s="303"/>
      <c r="K937" s="297"/>
      <c r="L937" s="303"/>
      <c r="M937" s="303"/>
      <c r="N937" s="297"/>
      <c r="O937" s="292"/>
      <c r="P937" s="303"/>
      <c r="Q937" s="298"/>
      <c r="R937" s="294"/>
      <c r="S937" s="297"/>
      <c r="T937" s="292"/>
      <c r="U937" s="299"/>
      <c r="V937" s="292"/>
      <c r="W937" s="309"/>
      <c r="X937" s="292"/>
      <c r="Y937" s="309"/>
      <c r="Z937" s="292"/>
      <c r="AA937" s="315"/>
      <c r="AB937" s="297"/>
      <c r="AC937" s="292"/>
      <c r="AD937" s="292"/>
      <c r="AE937" s="292"/>
      <c r="AF937" s="303"/>
      <c r="AG937" s="303"/>
      <c r="AH937" s="303"/>
      <c r="AI937" s="303"/>
    </row>
    <row r="938">
      <c r="A938" s="304"/>
      <c r="B938" s="299"/>
      <c r="C938" s="292"/>
      <c r="D938" s="293"/>
      <c r="E938" s="292"/>
      <c r="F938" s="293"/>
      <c r="G938" s="294"/>
      <c r="H938" s="295"/>
      <c r="I938" s="303"/>
      <c r="J938" s="303"/>
      <c r="K938" s="297"/>
      <c r="L938" s="303"/>
      <c r="M938" s="303"/>
      <c r="N938" s="297"/>
      <c r="O938" s="292"/>
      <c r="P938" s="303"/>
      <c r="Q938" s="298"/>
      <c r="R938" s="294"/>
      <c r="S938" s="297"/>
      <c r="T938" s="292"/>
      <c r="U938" s="299"/>
      <c r="V938" s="292"/>
      <c r="W938" s="309"/>
      <c r="X938" s="292"/>
      <c r="Y938" s="309"/>
      <c r="Z938" s="292"/>
      <c r="AA938" s="315"/>
      <c r="AB938" s="297"/>
      <c r="AC938" s="292"/>
      <c r="AD938" s="292"/>
      <c r="AE938" s="292"/>
      <c r="AF938" s="303"/>
      <c r="AG938" s="303"/>
      <c r="AH938" s="303"/>
      <c r="AI938" s="303"/>
    </row>
    <row r="939">
      <c r="A939" s="304"/>
      <c r="B939" s="299"/>
      <c r="C939" s="292"/>
      <c r="D939" s="293"/>
      <c r="E939" s="292"/>
      <c r="F939" s="293"/>
      <c r="G939" s="294"/>
      <c r="H939" s="295"/>
      <c r="I939" s="303"/>
      <c r="J939" s="303"/>
      <c r="K939" s="297"/>
      <c r="L939" s="303"/>
      <c r="M939" s="303"/>
      <c r="N939" s="297"/>
      <c r="O939" s="292"/>
      <c r="P939" s="303"/>
      <c r="Q939" s="298"/>
      <c r="R939" s="294"/>
      <c r="S939" s="297"/>
      <c r="T939" s="292"/>
      <c r="U939" s="299"/>
      <c r="V939" s="292"/>
      <c r="W939" s="309"/>
      <c r="X939" s="292"/>
      <c r="Y939" s="309"/>
      <c r="Z939" s="292"/>
      <c r="AA939" s="315"/>
      <c r="AB939" s="297"/>
      <c r="AC939" s="292"/>
      <c r="AD939" s="292"/>
      <c r="AE939" s="292"/>
      <c r="AF939" s="303"/>
      <c r="AG939" s="303"/>
      <c r="AH939" s="303"/>
      <c r="AI939" s="303"/>
    </row>
    <row r="940">
      <c r="A940" s="304"/>
      <c r="B940" s="299"/>
      <c r="C940" s="292"/>
      <c r="D940" s="293"/>
      <c r="E940" s="292"/>
      <c r="F940" s="293"/>
      <c r="G940" s="294"/>
      <c r="H940" s="295"/>
      <c r="I940" s="303"/>
      <c r="J940" s="303"/>
      <c r="K940" s="297"/>
      <c r="L940" s="303"/>
      <c r="M940" s="303"/>
      <c r="N940" s="297"/>
      <c r="O940" s="292"/>
      <c r="P940" s="303"/>
      <c r="Q940" s="298"/>
      <c r="R940" s="294"/>
      <c r="S940" s="297"/>
      <c r="T940" s="292"/>
      <c r="U940" s="299"/>
      <c r="V940" s="292"/>
      <c r="W940" s="309"/>
      <c r="X940" s="292"/>
      <c r="Y940" s="309"/>
      <c r="Z940" s="292"/>
      <c r="AA940" s="315"/>
      <c r="AB940" s="297"/>
      <c r="AC940" s="292"/>
      <c r="AD940" s="292"/>
      <c r="AE940" s="292"/>
      <c r="AF940" s="303"/>
      <c r="AG940" s="303"/>
      <c r="AH940" s="303"/>
      <c r="AI940" s="303"/>
    </row>
    <row r="941">
      <c r="A941" s="304"/>
      <c r="B941" s="299"/>
      <c r="C941" s="292"/>
      <c r="D941" s="293"/>
      <c r="E941" s="292"/>
      <c r="F941" s="293"/>
      <c r="G941" s="294"/>
      <c r="H941" s="295"/>
      <c r="I941" s="303"/>
      <c r="J941" s="303"/>
      <c r="K941" s="297"/>
      <c r="L941" s="303"/>
      <c r="M941" s="303"/>
      <c r="N941" s="297"/>
      <c r="O941" s="292"/>
      <c r="P941" s="303"/>
      <c r="Q941" s="298"/>
      <c r="R941" s="294"/>
      <c r="S941" s="297"/>
      <c r="T941" s="292"/>
      <c r="U941" s="299"/>
      <c r="V941" s="292"/>
      <c r="W941" s="309"/>
      <c r="X941" s="292"/>
      <c r="Y941" s="309"/>
      <c r="Z941" s="292"/>
      <c r="AA941" s="315"/>
      <c r="AB941" s="297"/>
      <c r="AC941" s="292"/>
      <c r="AD941" s="292"/>
      <c r="AE941" s="292"/>
      <c r="AF941" s="303"/>
      <c r="AG941" s="303"/>
      <c r="AH941" s="303"/>
      <c r="AI941" s="303"/>
    </row>
    <row r="942">
      <c r="A942" s="304"/>
      <c r="B942" s="299"/>
      <c r="C942" s="292"/>
      <c r="D942" s="293"/>
      <c r="E942" s="292"/>
      <c r="F942" s="293"/>
      <c r="G942" s="294"/>
      <c r="H942" s="295"/>
      <c r="I942" s="303"/>
      <c r="J942" s="303"/>
      <c r="K942" s="297"/>
      <c r="L942" s="303"/>
      <c r="M942" s="303"/>
      <c r="N942" s="297"/>
      <c r="O942" s="292"/>
      <c r="P942" s="303"/>
      <c r="Q942" s="298"/>
      <c r="R942" s="294"/>
      <c r="S942" s="297"/>
      <c r="T942" s="292"/>
      <c r="U942" s="299"/>
      <c r="V942" s="292"/>
      <c r="W942" s="309"/>
      <c r="X942" s="292"/>
      <c r="Y942" s="309"/>
      <c r="Z942" s="292"/>
      <c r="AA942" s="315"/>
      <c r="AB942" s="297"/>
      <c r="AC942" s="292"/>
      <c r="AD942" s="292"/>
      <c r="AE942" s="292"/>
      <c r="AF942" s="303"/>
      <c r="AG942" s="303"/>
      <c r="AH942" s="303"/>
      <c r="AI942" s="303"/>
    </row>
    <row r="943">
      <c r="A943" s="304"/>
      <c r="B943" s="299"/>
      <c r="C943" s="292"/>
      <c r="D943" s="293"/>
      <c r="E943" s="292"/>
      <c r="F943" s="293"/>
      <c r="G943" s="294"/>
      <c r="H943" s="295"/>
      <c r="I943" s="303"/>
      <c r="J943" s="303"/>
      <c r="K943" s="297"/>
      <c r="L943" s="303"/>
      <c r="M943" s="303"/>
      <c r="N943" s="297"/>
      <c r="O943" s="292"/>
      <c r="P943" s="303"/>
      <c r="Q943" s="298"/>
      <c r="R943" s="294"/>
      <c r="S943" s="297"/>
      <c r="T943" s="292"/>
      <c r="U943" s="299"/>
      <c r="V943" s="292"/>
      <c r="W943" s="309"/>
      <c r="X943" s="292"/>
      <c r="Y943" s="309"/>
      <c r="Z943" s="292"/>
      <c r="AA943" s="315"/>
      <c r="AB943" s="297"/>
      <c r="AC943" s="292"/>
      <c r="AD943" s="292"/>
      <c r="AE943" s="292"/>
      <c r="AF943" s="303"/>
      <c r="AG943" s="303"/>
      <c r="AH943" s="303"/>
      <c r="AI943" s="303"/>
    </row>
    <row r="944">
      <c r="A944" s="304"/>
      <c r="B944" s="299"/>
      <c r="C944" s="292"/>
      <c r="D944" s="293"/>
      <c r="E944" s="292"/>
      <c r="F944" s="293"/>
      <c r="G944" s="294"/>
      <c r="H944" s="295"/>
      <c r="I944" s="303"/>
      <c r="J944" s="303"/>
      <c r="K944" s="297"/>
      <c r="L944" s="303"/>
      <c r="M944" s="303"/>
      <c r="N944" s="297"/>
      <c r="O944" s="292"/>
      <c r="P944" s="303"/>
      <c r="Q944" s="298"/>
      <c r="R944" s="294"/>
      <c r="S944" s="297"/>
      <c r="T944" s="292"/>
      <c r="U944" s="299"/>
      <c r="V944" s="292"/>
      <c r="W944" s="309"/>
      <c r="X944" s="292"/>
      <c r="Y944" s="309"/>
      <c r="Z944" s="292"/>
      <c r="AA944" s="315"/>
      <c r="AB944" s="297"/>
      <c r="AC944" s="292"/>
      <c r="AD944" s="292"/>
      <c r="AE944" s="292"/>
      <c r="AF944" s="303"/>
      <c r="AG944" s="303"/>
      <c r="AH944" s="303"/>
      <c r="AI944" s="303"/>
    </row>
    <row r="945">
      <c r="A945" s="304"/>
      <c r="B945" s="299"/>
      <c r="C945" s="292"/>
      <c r="D945" s="293"/>
      <c r="E945" s="292"/>
      <c r="F945" s="293"/>
      <c r="G945" s="294"/>
      <c r="H945" s="295"/>
      <c r="I945" s="303"/>
      <c r="J945" s="303"/>
      <c r="K945" s="297"/>
      <c r="L945" s="303"/>
      <c r="M945" s="303"/>
      <c r="N945" s="297"/>
      <c r="O945" s="292"/>
      <c r="P945" s="303"/>
      <c r="Q945" s="298"/>
      <c r="R945" s="294"/>
      <c r="S945" s="297"/>
      <c r="T945" s="292"/>
      <c r="U945" s="299"/>
      <c r="V945" s="292"/>
      <c r="W945" s="309"/>
      <c r="X945" s="292"/>
      <c r="Y945" s="309"/>
      <c r="Z945" s="292"/>
      <c r="AA945" s="315"/>
      <c r="AB945" s="297"/>
      <c r="AC945" s="292"/>
      <c r="AD945" s="292"/>
      <c r="AE945" s="292"/>
      <c r="AF945" s="303"/>
      <c r="AG945" s="303"/>
      <c r="AH945" s="303"/>
      <c r="AI945" s="303"/>
    </row>
    <row r="946">
      <c r="A946" s="304"/>
      <c r="B946" s="299"/>
      <c r="C946" s="292"/>
      <c r="D946" s="293"/>
      <c r="E946" s="292"/>
      <c r="F946" s="293"/>
      <c r="G946" s="294"/>
      <c r="H946" s="295"/>
      <c r="I946" s="303"/>
      <c r="J946" s="303"/>
      <c r="K946" s="297"/>
      <c r="L946" s="303"/>
      <c r="M946" s="303"/>
      <c r="N946" s="297"/>
      <c r="O946" s="292"/>
      <c r="P946" s="303"/>
      <c r="Q946" s="298"/>
      <c r="R946" s="294"/>
      <c r="S946" s="297"/>
      <c r="T946" s="292"/>
      <c r="U946" s="299"/>
      <c r="V946" s="292"/>
      <c r="W946" s="309"/>
      <c r="X946" s="292"/>
      <c r="Y946" s="309"/>
      <c r="Z946" s="292"/>
      <c r="AA946" s="315"/>
      <c r="AB946" s="297"/>
      <c r="AC946" s="292"/>
      <c r="AD946" s="292"/>
      <c r="AE946" s="292"/>
      <c r="AF946" s="303"/>
      <c r="AG946" s="303"/>
      <c r="AH946" s="303"/>
      <c r="AI946" s="303"/>
    </row>
    <row r="947">
      <c r="A947" s="304"/>
      <c r="B947" s="299"/>
      <c r="C947" s="292"/>
      <c r="D947" s="293"/>
      <c r="E947" s="292"/>
      <c r="F947" s="293"/>
      <c r="G947" s="294"/>
      <c r="H947" s="295"/>
      <c r="I947" s="303"/>
      <c r="J947" s="303"/>
      <c r="K947" s="297"/>
      <c r="L947" s="303"/>
      <c r="M947" s="303"/>
      <c r="N947" s="297"/>
      <c r="O947" s="292"/>
      <c r="P947" s="303"/>
      <c r="Q947" s="298"/>
      <c r="R947" s="294"/>
      <c r="S947" s="297"/>
      <c r="T947" s="292"/>
      <c r="U947" s="299"/>
      <c r="V947" s="292"/>
      <c r="W947" s="309"/>
      <c r="X947" s="292"/>
      <c r="Y947" s="309"/>
      <c r="Z947" s="292"/>
      <c r="AA947" s="315"/>
      <c r="AB947" s="297"/>
      <c r="AC947" s="292"/>
      <c r="AD947" s="292"/>
      <c r="AE947" s="292"/>
      <c r="AF947" s="303"/>
      <c r="AG947" s="303"/>
      <c r="AH947" s="303"/>
      <c r="AI947" s="303"/>
    </row>
    <row r="948">
      <c r="A948" s="304"/>
      <c r="B948" s="299"/>
      <c r="C948" s="292"/>
      <c r="D948" s="293"/>
      <c r="E948" s="292"/>
      <c r="F948" s="293"/>
      <c r="G948" s="294"/>
      <c r="H948" s="295"/>
      <c r="I948" s="303"/>
      <c r="J948" s="303"/>
      <c r="K948" s="297"/>
      <c r="L948" s="303"/>
      <c r="M948" s="303"/>
      <c r="N948" s="297"/>
      <c r="O948" s="292"/>
      <c r="P948" s="303"/>
      <c r="Q948" s="298"/>
      <c r="R948" s="294"/>
      <c r="S948" s="297"/>
      <c r="T948" s="292"/>
      <c r="U948" s="299"/>
      <c r="V948" s="292"/>
      <c r="W948" s="309"/>
      <c r="X948" s="292"/>
      <c r="Y948" s="309"/>
      <c r="Z948" s="292"/>
      <c r="AA948" s="315"/>
      <c r="AB948" s="297"/>
      <c r="AC948" s="292"/>
      <c r="AD948" s="292"/>
      <c r="AE948" s="292"/>
      <c r="AF948" s="303"/>
      <c r="AG948" s="303"/>
      <c r="AH948" s="303"/>
      <c r="AI948" s="303"/>
    </row>
    <row r="949">
      <c r="A949" s="304"/>
      <c r="B949" s="299"/>
      <c r="C949" s="292"/>
      <c r="D949" s="293"/>
      <c r="E949" s="292"/>
      <c r="F949" s="293"/>
      <c r="G949" s="294"/>
      <c r="H949" s="295"/>
      <c r="I949" s="303"/>
      <c r="J949" s="303"/>
      <c r="K949" s="297"/>
      <c r="L949" s="303"/>
      <c r="M949" s="303"/>
      <c r="N949" s="297"/>
      <c r="O949" s="292"/>
      <c r="P949" s="303"/>
      <c r="Q949" s="298"/>
      <c r="R949" s="294"/>
      <c r="S949" s="297"/>
      <c r="T949" s="292"/>
      <c r="U949" s="299"/>
      <c r="V949" s="292"/>
      <c r="W949" s="309"/>
      <c r="X949" s="292"/>
      <c r="Y949" s="309"/>
      <c r="Z949" s="292"/>
      <c r="AA949" s="315"/>
      <c r="AB949" s="297"/>
      <c r="AC949" s="292"/>
      <c r="AD949" s="292"/>
      <c r="AE949" s="292"/>
      <c r="AF949" s="303"/>
      <c r="AG949" s="303"/>
      <c r="AH949" s="303"/>
      <c r="AI949" s="303"/>
    </row>
    <row r="950">
      <c r="A950" s="304"/>
      <c r="B950" s="299"/>
      <c r="C950" s="292"/>
      <c r="D950" s="293"/>
      <c r="E950" s="292"/>
      <c r="F950" s="293"/>
      <c r="G950" s="294"/>
      <c r="H950" s="295"/>
      <c r="I950" s="303"/>
      <c r="J950" s="303"/>
      <c r="K950" s="297"/>
      <c r="L950" s="303"/>
      <c r="M950" s="303"/>
      <c r="N950" s="297"/>
      <c r="O950" s="292"/>
      <c r="P950" s="303"/>
      <c r="Q950" s="298"/>
      <c r="R950" s="294"/>
      <c r="S950" s="297"/>
      <c r="T950" s="292"/>
      <c r="U950" s="299"/>
      <c r="V950" s="292"/>
      <c r="W950" s="309"/>
      <c r="X950" s="292"/>
      <c r="Y950" s="309"/>
      <c r="Z950" s="292"/>
      <c r="AA950" s="315"/>
      <c r="AB950" s="297"/>
      <c r="AC950" s="292"/>
      <c r="AD950" s="292"/>
      <c r="AE950" s="292"/>
      <c r="AF950" s="303"/>
      <c r="AG950" s="303"/>
      <c r="AH950" s="303"/>
      <c r="AI950" s="303"/>
    </row>
    <row r="951">
      <c r="A951" s="304"/>
      <c r="B951" s="299"/>
      <c r="C951" s="292"/>
      <c r="D951" s="293"/>
      <c r="E951" s="292"/>
      <c r="F951" s="293"/>
      <c r="G951" s="294"/>
      <c r="H951" s="295"/>
      <c r="I951" s="303"/>
      <c r="J951" s="303"/>
      <c r="K951" s="297"/>
      <c r="L951" s="303"/>
      <c r="M951" s="303"/>
      <c r="N951" s="297"/>
      <c r="O951" s="292"/>
      <c r="P951" s="303"/>
      <c r="Q951" s="298"/>
      <c r="R951" s="294"/>
      <c r="S951" s="297"/>
      <c r="T951" s="292"/>
      <c r="U951" s="299"/>
      <c r="V951" s="292"/>
      <c r="W951" s="309"/>
      <c r="X951" s="292"/>
      <c r="Y951" s="309"/>
      <c r="Z951" s="292"/>
      <c r="AA951" s="315"/>
      <c r="AB951" s="297"/>
      <c r="AC951" s="292"/>
      <c r="AD951" s="292"/>
      <c r="AE951" s="292"/>
      <c r="AF951" s="303"/>
      <c r="AG951" s="303"/>
      <c r="AH951" s="303"/>
      <c r="AI951" s="303"/>
    </row>
    <row r="952">
      <c r="A952" s="304"/>
      <c r="B952" s="299"/>
      <c r="C952" s="292"/>
      <c r="D952" s="293"/>
      <c r="E952" s="292"/>
      <c r="F952" s="293"/>
      <c r="G952" s="294"/>
      <c r="H952" s="295"/>
      <c r="I952" s="303"/>
      <c r="J952" s="303"/>
      <c r="K952" s="297"/>
      <c r="L952" s="303"/>
      <c r="M952" s="303"/>
      <c r="N952" s="297"/>
      <c r="O952" s="292"/>
      <c r="P952" s="303"/>
      <c r="Q952" s="298"/>
      <c r="R952" s="294"/>
      <c r="S952" s="297"/>
      <c r="T952" s="292"/>
      <c r="U952" s="299"/>
      <c r="V952" s="292"/>
      <c r="W952" s="309"/>
      <c r="X952" s="292"/>
      <c r="Y952" s="309"/>
      <c r="Z952" s="292"/>
      <c r="AA952" s="315"/>
      <c r="AB952" s="297"/>
      <c r="AC952" s="292"/>
      <c r="AD952" s="292"/>
      <c r="AE952" s="292"/>
      <c r="AF952" s="303"/>
      <c r="AG952" s="303"/>
      <c r="AH952" s="303"/>
      <c r="AI952" s="303"/>
    </row>
    <row r="953">
      <c r="A953" s="304"/>
      <c r="B953" s="299"/>
      <c r="C953" s="292"/>
      <c r="D953" s="293"/>
      <c r="E953" s="292"/>
      <c r="F953" s="293"/>
      <c r="G953" s="294"/>
      <c r="H953" s="295"/>
      <c r="I953" s="303"/>
      <c r="J953" s="303"/>
      <c r="K953" s="297"/>
      <c r="L953" s="303"/>
      <c r="M953" s="303"/>
      <c r="N953" s="297"/>
      <c r="O953" s="292"/>
      <c r="P953" s="303"/>
      <c r="Q953" s="298"/>
      <c r="R953" s="294"/>
      <c r="S953" s="297"/>
      <c r="T953" s="292"/>
      <c r="U953" s="299"/>
      <c r="V953" s="292"/>
      <c r="W953" s="309"/>
      <c r="X953" s="292"/>
      <c r="Y953" s="309"/>
      <c r="Z953" s="292"/>
      <c r="AA953" s="315"/>
      <c r="AB953" s="297"/>
      <c r="AC953" s="292"/>
      <c r="AD953" s="292"/>
      <c r="AE953" s="292"/>
      <c r="AF953" s="303"/>
      <c r="AG953" s="303"/>
      <c r="AH953" s="303"/>
      <c r="AI953" s="303"/>
    </row>
    <row r="954">
      <c r="A954" s="304"/>
      <c r="B954" s="299"/>
      <c r="C954" s="292"/>
      <c r="D954" s="293"/>
      <c r="E954" s="292"/>
      <c r="F954" s="293"/>
      <c r="G954" s="294"/>
      <c r="H954" s="295"/>
      <c r="I954" s="303"/>
      <c r="J954" s="303"/>
      <c r="K954" s="297"/>
      <c r="L954" s="303"/>
      <c r="M954" s="303"/>
      <c r="N954" s="297"/>
      <c r="O954" s="292"/>
      <c r="P954" s="303"/>
      <c r="Q954" s="298"/>
      <c r="R954" s="294"/>
      <c r="S954" s="297"/>
      <c r="T954" s="292"/>
      <c r="U954" s="299"/>
      <c r="V954" s="292"/>
      <c r="W954" s="309"/>
      <c r="X954" s="292"/>
      <c r="Y954" s="309"/>
      <c r="Z954" s="292"/>
      <c r="AA954" s="315"/>
      <c r="AB954" s="297"/>
      <c r="AC954" s="292"/>
      <c r="AD954" s="292"/>
      <c r="AE954" s="292"/>
      <c r="AF954" s="303"/>
      <c r="AG954" s="303"/>
      <c r="AH954" s="303"/>
      <c r="AI954" s="303"/>
    </row>
    <row r="955">
      <c r="A955" s="304"/>
      <c r="B955" s="299"/>
      <c r="C955" s="292"/>
      <c r="D955" s="293"/>
      <c r="E955" s="292"/>
      <c r="F955" s="293"/>
      <c r="G955" s="294"/>
      <c r="H955" s="295"/>
      <c r="I955" s="303"/>
      <c r="J955" s="303"/>
      <c r="K955" s="297"/>
      <c r="L955" s="303"/>
      <c r="M955" s="303"/>
      <c r="N955" s="297"/>
      <c r="O955" s="292"/>
      <c r="P955" s="303"/>
      <c r="Q955" s="298"/>
      <c r="R955" s="294"/>
      <c r="S955" s="297"/>
      <c r="T955" s="292"/>
      <c r="U955" s="299"/>
      <c r="V955" s="292"/>
      <c r="W955" s="309"/>
      <c r="X955" s="292"/>
      <c r="Y955" s="309"/>
      <c r="Z955" s="292"/>
      <c r="AA955" s="315"/>
      <c r="AB955" s="297"/>
      <c r="AC955" s="292"/>
      <c r="AD955" s="292"/>
      <c r="AE955" s="292"/>
      <c r="AF955" s="303"/>
      <c r="AG955" s="303"/>
      <c r="AH955" s="303"/>
      <c r="AI955" s="303"/>
    </row>
    <row r="956">
      <c r="A956" s="304"/>
      <c r="B956" s="299"/>
      <c r="C956" s="292"/>
      <c r="D956" s="293"/>
      <c r="E956" s="292"/>
      <c r="F956" s="293"/>
      <c r="G956" s="294"/>
      <c r="H956" s="295"/>
      <c r="I956" s="303"/>
      <c r="J956" s="303"/>
      <c r="K956" s="297"/>
      <c r="L956" s="303"/>
      <c r="M956" s="303"/>
      <c r="N956" s="297"/>
      <c r="O956" s="292"/>
      <c r="P956" s="303"/>
      <c r="Q956" s="298"/>
      <c r="R956" s="294"/>
      <c r="S956" s="297"/>
      <c r="T956" s="292"/>
      <c r="U956" s="299"/>
      <c r="V956" s="292"/>
      <c r="W956" s="309"/>
      <c r="X956" s="292"/>
      <c r="Y956" s="309"/>
      <c r="Z956" s="292"/>
      <c r="AA956" s="315"/>
      <c r="AB956" s="297"/>
      <c r="AC956" s="292"/>
      <c r="AD956" s="292"/>
      <c r="AE956" s="292"/>
      <c r="AF956" s="303"/>
      <c r="AG956" s="303"/>
      <c r="AH956" s="303"/>
      <c r="AI956" s="303"/>
    </row>
    <row r="957">
      <c r="A957" s="304"/>
      <c r="B957" s="299"/>
      <c r="C957" s="292"/>
      <c r="D957" s="293"/>
      <c r="E957" s="292"/>
      <c r="F957" s="293"/>
      <c r="G957" s="294"/>
      <c r="H957" s="295"/>
      <c r="I957" s="303"/>
      <c r="J957" s="303"/>
      <c r="K957" s="297"/>
      <c r="L957" s="303"/>
      <c r="M957" s="303"/>
      <c r="N957" s="297"/>
      <c r="O957" s="292"/>
      <c r="P957" s="303"/>
      <c r="Q957" s="298"/>
      <c r="R957" s="294"/>
      <c r="S957" s="297"/>
      <c r="T957" s="292"/>
      <c r="U957" s="299"/>
      <c r="V957" s="292"/>
      <c r="W957" s="309"/>
      <c r="X957" s="292"/>
      <c r="Y957" s="309"/>
      <c r="Z957" s="292"/>
      <c r="AA957" s="315"/>
      <c r="AB957" s="297"/>
      <c r="AC957" s="292"/>
      <c r="AD957" s="292"/>
      <c r="AE957" s="292"/>
      <c r="AF957" s="303"/>
      <c r="AG957" s="303"/>
      <c r="AH957" s="303"/>
      <c r="AI957" s="303"/>
    </row>
    <row r="958">
      <c r="A958" s="304"/>
      <c r="B958" s="299"/>
      <c r="C958" s="292"/>
      <c r="D958" s="293"/>
      <c r="E958" s="292"/>
      <c r="F958" s="293"/>
      <c r="G958" s="294"/>
      <c r="H958" s="295"/>
      <c r="I958" s="303"/>
      <c r="J958" s="303"/>
      <c r="K958" s="297"/>
      <c r="L958" s="303"/>
      <c r="M958" s="303"/>
      <c r="N958" s="297"/>
      <c r="O958" s="292"/>
      <c r="P958" s="303"/>
      <c r="Q958" s="298"/>
      <c r="R958" s="294"/>
      <c r="S958" s="297"/>
      <c r="T958" s="292"/>
      <c r="U958" s="299"/>
      <c r="V958" s="292"/>
      <c r="W958" s="309"/>
      <c r="X958" s="292"/>
      <c r="Y958" s="309"/>
      <c r="Z958" s="292"/>
      <c r="AA958" s="315"/>
      <c r="AB958" s="297"/>
      <c r="AC958" s="292"/>
      <c r="AD958" s="292"/>
      <c r="AE958" s="292"/>
      <c r="AF958" s="303"/>
      <c r="AG958" s="303"/>
      <c r="AH958" s="303"/>
      <c r="AI958" s="303"/>
    </row>
    <row r="959">
      <c r="A959" s="304"/>
      <c r="B959" s="299"/>
      <c r="C959" s="292"/>
      <c r="D959" s="293"/>
      <c r="E959" s="292"/>
      <c r="F959" s="293"/>
      <c r="G959" s="294"/>
      <c r="H959" s="295"/>
      <c r="I959" s="303"/>
      <c r="J959" s="303"/>
      <c r="K959" s="297"/>
      <c r="L959" s="303"/>
      <c r="M959" s="303"/>
      <c r="N959" s="297"/>
      <c r="O959" s="292"/>
      <c r="P959" s="303"/>
      <c r="Q959" s="298"/>
      <c r="R959" s="294"/>
      <c r="S959" s="297"/>
      <c r="T959" s="292"/>
      <c r="U959" s="299"/>
      <c r="V959" s="292"/>
      <c r="W959" s="309"/>
      <c r="X959" s="292"/>
      <c r="Y959" s="309"/>
      <c r="Z959" s="292"/>
      <c r="AA959" s="315"/>
      <c r="AB959" s="297"/>
      <c r="AC959" s="292"/>
      <c r="AD959" s="292"/>
      <c r="AE959" s="292"/>
      <c r="AF959" s="303"/>
      <c r="AG959" s="303"/>
      <c r="AH959" s="303"/>
      <c r="AI959" s="303"/>
    </row>
    <row r="960">
      <c r="A960" s="304"/>
      <c r="B960" s="299"/>
      <c r="C960" s="292"/>
      <c r="D960" s="293"/>
      <c r="E960" s="292"/>
      <c r="F960" s="293"/>
      <c r="G960" s="294"/>
      <c r="H960" s="295"/>
      <c r="I960" s="303"/>
      <c r="J960" s="303"/>
      <c r="K960" s="297"/>
      <c r="L960" s="303"/>
      <c r="M960" s="303"/>
      <c r="N960" s="297"/>
      <c r="O960" s="292"/>
      <c r="P960" s="303"/>
      <c r="Q960" s="298"/>
      <c r="R960" s="294"/>
      <c r="S960" s="297"/>
      <c r="T960" s="292"/>
      <c r="U960" s="299"/>
      <c r="V960" s="292"/>
      <c r="W960" s="309"/>
      <c r="X960" s="292"/>
      <c r="Y960" s="309"/>
      <c r="Z960" s="292"/>
      <c r="AA960" s="315"/>
      <c r="AB960" s="297"/>
      <c r="AC960" s="292"/>
      <c r="AD960" s="292"/>
      <c r="AE960" s="292"/>
      <c r="AF960" s="303"/>
      <c r="AG960" s="303"/>
      <c r="AH960" s="303"/>
      <c r="AI960" s="303"/>
    </row>
    <row r="961">
      <c r="A961" s="304"/>
      <c r="B961" s="299"/>
      <c r="C961" s="292"/>
      <c r="D961" s="293"/>
      <c r="E961" s="292"/>
      <c r="F961" s="293"/>
      <c r="G961" s="294"/>
      <c r="H961" s="295"/>
      <c r="I961" s="303"/>
      <c r="J961" s="303"/>
      <c r="K961" s="297"/>
      <c r="L961" s="303"/>
      <c r="M961" s="303"/>
      <c r="N961" s="297"/>
      <c r="O961" s="292"/>
      <c r="P961" s="303"/>
      <c r="Q961" s="298"/>
      <c r="R961" s="294"/>
      <c r="S961" s="297"/>
      <c r="T961" s="292"/>
      <c r="U961" s="299"/>
      <c r="V961" s="292"/>
      <c r="W961" s="309"/>
      <c r="X961" s="292"/>
      <c r="Y961" s="309"/>
      <c r="Z961" s="292"/>
      <c r="AA961" s="315"/>
      <c r="AB961" s="297"/>
      <c r="AC961" s="292"/>
      <c r="AD961" s="292"/>
      <c r="AE961" s="292"/>
      <c r="AF961" s="303"/>
      <c r="AG961" s="303"/>
      <c r="AH961" s="303"/>
      <c r="AI961" s="303"/>
    </row>
    <row r="962">
      <c r="A962" s="304"/>
      <c r="B962" s="299"/>
      <c r="C962" s="292"/>
      <c r="D962" s="293"/>
      <c r="E962" s="292"/>
      <c r="F962" s="293"/>
      <c r="G962" s="294"/>
      <c r="H962" s="295"/>
      <c r="I962" s="303"/>
      <c r="J962" s="303"/>
      <c r="K962" s="297"/>
      <c r="L962" s="303"/>
      <c r="M962" s="303"/>
      <c r="N962" s="297"/>
      <c r="O962" s="292"/>
      <c r="P962" s="303"/>
      <c r="Q962" s="298"/>
      <c r="R962" s="294"/>
      <c r="S962" s="297"/>
      <c r="T962" s="292"/>
      <c r="U962" s="299"/>
      <c r="V962" s="292"/>
      <c r="W962" s="309"/>
      <c r="X962" s="292"/>
      <c r="Y962" s="309"/>
      <c r="Z962" s="292"/>
      <c r="AA962" s="315"/>
      <c r="AB962" s="297"/>
      <c r="AC962" s="292"/>
      <c r="AD962" s="292"/>
      <c r="AE962" s="292"/>
      <c r="AF962" s="303"/>
      <c r="AG962" s="303"/>
      <c r="AH962" s="303"/>
      <c r="AI962" s="303"/>
    </row>
    <row r="963">
      <c r="A963" s="304"/>
      <c r="B963" s="299"/>
      <c r="C963" s="292"/>
      <c r="D963" s="293"/>
      <c r="E963" s="292"/>
      <c r="F963" s="293"/>
      <c r="G963" s="294"/>
      <c r="H963" s="295"/>
      <c r="I963" s="303"/>
      <c r="J963" s="303"/>
      <c r="K963" s="297"/>
      <c r="L963" s="303"/>
      <c r="M963" s="303"/>
      <c r="N963" s="297"/>
      <c r="O963" s="292"/>
      <c r="P963" s="303"/>
      <c r="Q963" s="298"/>
      <c r="R963" s="294"/>
      <c r="S963" s="297"/>
      <c r="T963" s="292"/>
      <c r="U963" s="299"/>
      <c r="V963" s="292"/>
      <c r="W963" s="309"/>
      <c r="X963" s="292"/>
      <c r="Y963" s="309"/>
      <c r="Z963" s="292"/>
      <c r="AA963" s="315"/>
      <c r="AB963" s="297"/>
      <c r="AC963" s="292"/>
      <c r="AD963" s="292"/>
      <c r="AE963" s="292"/>
      <c r="AF963" s="303"/>
      <c r="AG963" s="303"/>
      <c r="AH963" s="303"/>
      <c r="AI963" s="303"/>
    </row>
    <row r="964">
      <c r="A964" s="304"/>
      <c r="B964" s="299"/>
      <c r="C964" s="292"/>
      <c r="D964" s="293"/>
      <c r="E964" s="292"/>
      <c r="F964" s="293"/>
      <c r="G964" s="294"/>
      <c r="H964" s="295"/>
      <c r="I964" s="303"/>
      <c r="J964" s="303"/>
      <c r="K964" s="297"/>
      <c r="L964" s="303"/>
      <c r="M964" s="303"/>
      <c r="N964" s="297"/>
      <c r="O964" s="292"/>
      <c r="P964" s="303"/>
      <c r="Q964" s="298"/>
      <c r="R964" s="294"/>
      <c r="S964" s="297"/>
      <c r="T964" s="292"/>
      <c r="U964" s="299"/>
      <c r="V964" s="292"/>
      <c r="W964" s="309"/>
      <c r="X964" s="292"/>
      <c r="Y964" s="309"/>
      <c r="Z964" s="292"/>
      <c r="AA964" s="315"/>
      <c r="AB964" s="297"/>
      <c r="AC964" s="292"/>
      <c r="AD964" s="292"/>
      <c r="AE964" s="292"/>
      <c r="AF964" s="303"/>
      <c r="AG964" s="303"/>
      <c r="AH964" s="303"/>
      <c r="AI964" s="303"/>
    </row>
    <row r="965">
      <c r="A965" s="304"/>
      <c r="B965" s="299"/>
      <c r="C965" s="292"/>
      <c r="D965" s="293"/>
      <c r="E965" s="292"/>
      <c r="F965" s="293"/>
      <c r="G965" s="294"/>
      <c r="H965" s="295"/>
      <c r="I965" s="303"/>
      <c r="J965" s="303"/>
      <c r="K965" s="297"/>
      <c r="L965" s="303"/>
      <c r="M965" s="303"/>
      <c r="N965" s="297"/>
      <c r="O965" s="292"/>
      <c r="P965" s="303"/>
      <c r="Q965" s="298"/>
      <c r="R965" s="294"/>
      <c r="S965" s="297"/>
      <c r="T965" s="292"/>
      <c r="U965" s="299"/>
      <c r="V965" s="292"/>
      <c r="W965" s="309"/>
      <c r="X965" s="292"/>
      <c r="Y965" s="309"/>
      <c r="Z965" s="292"/>
      <c r="AA965" s="315"/>
      <c r="AB965" s="297"/>
      <c r="AC965" s="292"/>
      <c r="AD965" s="292"/>
      <c r="AE965" s="292"/>
      <c r="AF965" s="303"/>
      <c r="AG965" s="303"/>
      <c r="AH965" s="303"/>
      <c r="AI965" s="303"/>
    </row>
    <row r="966">
      <c r="A966" s="304"/>
      <c r="B966" s="299"/>
      <c r="C966" s="292"/>
      <c r="D966" s="293"/>
      <c r="E966" s="292"/>
      <c r="F966" s="293"/>
      <c r="G966" s="294"/>
      <c r="H966" s="295"/>
      <c r="I966" s="303"/>
      <c r="J966" s="303"/>
      <c r="K966" s="297"/>
      <c r="L966" s="303"/>
      <c r="M966" s="303"/>
      <c r="N966" s="297"/>
      <c r="O966" s="292"/>
      <c r="P966" s="303"/>
      <c r="Q966" s="298"/>
      <c r="R966" s="294"/>
      <c r="S966" s="297"/>
      <c r="T966" s="292"/>
      <c r="U966" s="299"/>
      <c r="V966" s="292"/>
      <c r="W966" s="309"/>
      <c r="X966" s="292"/>
      <c r="Y966" s="309"/>
      <c r="Z966" s="292"/>
      <c r="AA966" s="315"/>
      <c r="AB966" s="297"/>
      <c r="AC966" s="292"/>
      <c r="AD966" s="292"/>
      <c r="AE966" s="292"/>
      <c r="AF966" s="303"/>
      <c r="AG966" s="303"/>
      <c r="AH966" s="303"/>
      <c r="AI966" s="303"/>
    </row>
    <row r="967">
      <c r="A967" s="304"/>
      <c r="B967" s="299"/>
      <c r="C967" s="292"/>
      <c r="D967" s="293"/>
      <c r="E967" s="292"/>
      <c r="F967" s="293"/>
      <c r="G967" s="294"/>
      <c r="H967" s="295"/>
      <c r="I967" s="303"/>
      <c r="J967" s="303"/>
      <c r="K967" s="297"/>
      <c r="L967" s="303"/>
      <c r="M967" s="303"/>
      <c r="N967" s="297"/>
      <c r="O967" s="292"/>
      <c r="P967" s="303"/>
      <c r="Q967" s="298"/>
      <c r="R967" s="294"/>
      <c r="S967" s="297"/>
      <c r="T967" s="292"/>
      <c r="U967" s="299"/>
      <c r="V967" s="292"/>
      <c r="W967" s="309"/>
      <c r="X967" s="292"/>
      <c r="Y967" s="309"/>
      <c r="Z967" s="292"/>
      <c r="AA967" s="315"/>
      <c r="AB967" s="297"/>
      <c r="AC967" s="292"/>
      <c r="AD967" s="292"/>
      <c r="AE967" s="292"/>
      <c r="AF967" s="303"/>
      <c r="AG967" s="303"/>
      <c r="AH967" s="303"/>
      <c r="AI967" s="303"/>
    </row>
    <row r="968">
      <c r="A968" s="304"/>
      <c r="B968" s="299"/>
      <c r="C968" s="292"/>
      <c r="D968" s="293"/>
      <c r="E968" s="292"/>
      <c r="F968" s="293"/>
      <c r="G968" s="294"/>
      <c r="H968" s="295"/>
      <c r="I968" s="303"/>
      <c r="J968" s="303"/>
      <c r="K968" s="297"/>
      <c r="L968" s="303"/>
      <c r="M968" s="303"/>
      <c r="N968" s="297"/>
      <c r="O968" s="292"/>
      <c r="P968" s="303"/>
      <c r="Q968" s="298"/>
      <c r="R968" s="294"/>
      <c r="S968" s="297"/>
      <c r="T968" s="292"/>
      <c r="U968" s="299"/>
      <c r="V968" s="292"/>
      <c r="W968" s="309"/>
      <c r="X968" s="292"/>
      <c r="Y968" s="309"/>
      <c r="Z968" s="292"/>
      <c r="AA968" s="315"/>
      <c r="AB968" s="297"/>
      <c r="AC968" s="292"/>
      <c r="AD968" s="292"/>
      <c r="AE968" s="292"/>
      <c r="AF968" s="303"/>
      <c r="AG968" s="303"/>
      <c r="AH968" s="303"/>
      <c r="AI968" s="303"/>
    </row>
    <row r="969">
      <c r="A969" s="304"/>
      <c r="B969" s="299"/>
      <c r="C969" s="292"/>
      <c r="D969" s="293"/>
      <c r="E969" s="292"/>
      <c r="F969" s="293"/>
      <c r="G969" s="294"/>
      <c r="H969" s="295"/>
      <c r="I969" s="303"/>
      <c r="J969" s="303"/>
      <c r="K969" s="297"/>
      <c r="L969" s="303"/>
      <c r="M969" s="303"/>
      <c r="N969" s="297"/>
      <c r="O969" s="292"/>
      <c r="P969" s="303"/>
      <c r="Q969" s="298"/>
      <c r="R969" s="294"/>
      <c r="S969" s="297"/>
      <c r="T969" s="292"/>
      <c r="U969" s="299"/>
      <c r="V969" s="292"/>
      <c r="W969" s="309"/>
      <c r="X969" s="292"/>
      <c r="Y969" s="309"/>
      <c r="Z969" s="292"/>
      <c r="AA969" s="315"/>
      <c r="AB969" s="297"/>
      <c r="AC969" s="292"/>
      <c r="AD969" s="292"/>
      <c r="AE969" s="292"/>
      <c r="AF969" s="303"/>
      <c r="AG969" s="303"/>
      <c r="AH969" s="303"/>
      <c r="AI969" s="303"/>
    </row>
    <row r="970">
      <c r="A970" s="304"/>
      <c r="B970" s="299"/>
      <c r="C970" s="292"/>
      <c r="D970" s="293"/>
      <c r="E970" s="292"/>
      <c r="F970" s="293"/>
      <c r="G970" s="294"/>
      <c r="H970" s="295"/>
      <c r="I970" s="303"/>
      <c r="J970" s="303"/>
      <c r="K970" s="297"/>
      <c r="L970" s="303"/>
      <c r="M970" s="303"/>
      <c r="N970" s="297"/>
      <c r="O970" s="292"/>
      <c r="P970" s="303"/>
      <c r="Q970" s="298"/>
      <c r="R970" s="294"/>
      <c r="S970" s="297"/>
      <c r="T970" s="292"/>
      <c r="U970" s="299"/>
      <c r="V970" s="292"/>
      <c r="W970" s="309"/>
      <c r="X970" s="292"/>
      <c r="Y970" s="309"/>
      <c r="Z970" s="292"/>
      <c r="AA970" s="315"/>
      <c r="AB970" s="297"/>
      <c r="AC970" s="292"/>
      <c r="AD970" s="292"/>
      <c r="AE970" s="292"/>
      <c r="AF970" s="303"/>
      <c r="AG970" s="303"/>
      <c r="AH970" s="303"/>
      <c r="AI970" s="303"/>
    </row>
    <row r="971">
      <c r="A971" s="304"/>
      <c r="B971" s="299"/>
      <c r="C971" s="292"/>
      <c r="D971" s="293"/>
      <c r="E971" s="292"/>
      <c r="F971" s="293"/>
      <c r="G971" s="294"/>
      <c r="H971" s="295"/>
      <c r="I971" s="303"/>
      <c r="J971" s="303"/>
      <c r="K971" s="297"/>
      <c r="L971" s="303"/>
      <c r="M971" s="303"/>
      <c r="N971" s="297"/>
      <c r="O971" s="292"/>
      <c r="P971" s="303"/>
      <c r="Q971" s="298"/>
      <c r="R971" s="294"/>
      <c r="S971" s="297"/>
      <c r="T971" s="292"/>
      <c r="U971" s="299"/>
      <c r="V971" s="292"/>
      <c r="W971" s="309"/>
      <c r="X971" s="292"/>
      <c r="Y971" s="309"/>
      <c r="Z971" s="292"/>
      <c r="AA971" s="315"/>
      <c r="AB971" s="297"/>
      <c r="AC971" s="292"/>
      <c r="AD971" s="292"/>
      <c r="AE971" s="292"/>
      <c r="AF971" s="303"/>
      <c r="AG971" s="303"/>
      <c r="AH971" s="303"/>
      <c r="AI971" s="303"/>
    </row>
    <row r="972">
      <c r="A972" s="304"/>
      <c r="B972" s="299"/>
      <c r="C972" s="292"/>
      <c r="D972" s="293"/>
      <c r="E972" s="292"/>
      <c r="F972" s="293"/>
      <c r="G972" s="294"/>
      <c r="H972" s="295"/>
      <c r="I972" s="303"/>
      <c r="J972" s="303"/>
      <c r="K972" s="297"/>
      <c r="L972" s="303"/>
      <c r="M972" s="303"/>
      <c r="N972" s="297"/>
      <c r="O972" s="292"/>
      <c r="P972" s="303"/>
      <c r="Q972" s="298"/>
      <c r="R972" s="294"/>
      <c r="S972" s="297"/>
      <c r="T972" s="292"/>
      <c r="U972" s="299"/>
      <c r="V972" s="292"/>
      <c r="W972" s="309"/>
      <c r="X972" s="292"/>
      <c r="Y972" s="309"/>
      <c r="Z972" s="292"/>
      <c r="AA972" s="315"/>
      <c r="AB972" s="297"/>
      <c r="AC972" s="292"/>
      <c r="AD972" s="292"/>
      <c r="AE972" s="292"/>
      <c r="AF972" s="303"/>
      <c r="AG972" s="303"/>
      <c r="AH972" s="303"/>
      <c r="AI972" s="303"/>
    </row>
    <row r="973">
      <c r="A973" s="304"/>
      <c r="B973" s="299"/>
      <c r="C973" s="292"/>
      <c r="D973" s="293"/>
      <c r="E973" s="292"/>
      <c r="F973" s="293"/>
      <c r="G973" s="294"/>
      <c r="H973" s="295"/>
      <c r="I973" s="303"/>
      <c r="J973" s="303"/>
      <c r="K973" s="297"/>
      <c r="L973" s="303"/>
      <c r="M973" s="303"/>
      <c r="N973" s="297"/>
      <c r="O973" s="292"/>
      <c r="P973" s="303"/>
      <c r="Q973" s="298"/>
      <c r="R973" s="294"/>
      <c r="S973" s="297"/>
      <c r="T973" s="292"/>
      <c r="U973" s="299"/>
      <c r="V973" s="292"/>
      <c r="W973" s="309"/>
      <c r="X973" s="292"/>
      <c r="Y973" s="309"/>
      <c r="Z973" s="292"/>
      <c r="AA973" s="315"/>
      <c r="AB973" s="297"/>
      <c r="AC973" s="292"/>
      <c r="AD973" s="292"/>
      <c r="AE973" s="292"/>
      <c r="AF973" s="303"/>
      <c r="AG973" s="303"/>
      <c r="AH973" s="303"/>
      <c r="AI973" s="303"/>
    </row>
    <row r="974">
      <c r="A974" s="304"/>
      <c r="B974" s="299"/>
      <c r="C974" s="292"/>
      <c r="D974" s="293"/>
      <c r="E974" s="292"/>
      <c r="F974" s="293"/>
      <c r="G974" s="294"/>
      <c r="H974" s="295"/>
      <c r="I974" s="303"/>
      <c r="J974" s="303"/>
      <c r="K974" s="297"/>
      <c r="L974" s="303"/>
      <c r="M974" s="303"/>
      <c r="N974" s="297"/>
      <c r="O974" s="292"/>
      <c r="P974" s="303"/>
      <c r="Q974" s="298"/>
      <c r="R974" s="294"/>
      <c r="S974" s="297"/>
      <c r="T974" s="292"/>
      <c r="U974" s="299"/>
      <c r="V974" s="292"/>
      <c r="W974" s="309"/>
      <c r="X974" s="292"/>
      <c r="Y974" s="309"/>
      <c r="Z974" s="292"/>
      <c r="AA974" s="315"/>
      <c r="AB974" s="297"/>
      <c r="AC974" s="292"/>
      <c r="AD974" s="292"/>
      <c r="AE974" s="292"/>
      <c r="AF974" s="303"/>
      <c r="AG974" s="303"/>
      <c r="AH974" s="303"/>
      <c r="AI974" s="303"/>
    </row>
    <row r="975">
      <c r="A975" s="304"/>
      <c r="B975" s="299"/>
      <c r="C975" s="292"/>
      <c r="D975" s="293"/>
      <c r="E975" s="292"/>
      <c r="F975" s="293"/>
      <c r="G975" s="294"/>
      <c r="H975" s="295"/>
      <c r="I975" s="303"/>
      <c r="J975" s="303"/>
      <c r="K975" s="297"/>
      <c r="L975" s="303"/>
      <c r="M975" s="303"/>
      <c r="N975" s="297"/>
      <c r="O975" s="292"/>
      <c r="P975" s="303"/>
      <c r="Q975" s="298"/>
      <c r="R975" s="294"/>
      <c r="S975" s="297"/>
      <c r="T975" s="292"/>
      <c r="U975" s="299"/>
      <c r="V975" s="292"/>
      <c r="W975" s="309"/>
      <c r="X975" s="292"/>
      <c r="Y975" s="309"/>
      <c r="Z975" s="292"/>
      <c r="AA975" s="315"/>
      <c r="AB975" s="297"/>
      <c r="AC975" s="292"/>
      <c r="AD975" s="292"/>
      <c r="AE975" s="292"/>
      <c r="AF975" s="303"/>
      <c r="AG975" s="303"/>
      <c r="AH975" s="303"/>
      <c r="AI975" s="303"/>
    </row>
    <row r="976">
      <c r="A976" s="304"/>
      <c r="B976" s="299"/>
      <c r="C976" s="292"/>
      <c r="D976" s="293"/>
      <c r="E976" s="292"/>
      <c r="F976" s="293"/>
      <c r="G976" s="294"/>
      <c r="H976" s="295"/>
      <c r="I976" s="303"/>
      <c r="J976" s="303"/>
      <c r="K976" s="297"/>
      <c r="L976" s="303"/>
      <c r="M976" s="303"/>
      <c r="N976" s="297"/>
      <c r="O976" s="292"/>
      <c r="P976" s="303"/>
      <c r="Q976" s="298"/>
      <c r="R976" s="294"/>
      <c r="S976" s="297"/>
      <c r="T976" s="292"/>
      <c r="U976" s="299"/>
      <c r="V976" s="292"/>
      <c r="W976" s="309"/>
      <c r="X976" s="292"/>
      <c r="Y976" s="309"/>
      <c r="Z976" s="292"/>
      <c r="AA976" s="315"/>
      <c r="AB976" s="297"/>
      <c r="AC976" s="292"/>
      <c r="AD976" s="292"/>
      <c r="AE976" s="292"/>
      <c r="AF976" s="303"/>
      <c r="AG976" s="303"/>
      <c r="AH976" s="303"/>
      <c r="AI976" s="303"/>
    </row>
    <row r="977">
      <c r="A977" s="304"/>
      <c r="B977" s="299"/>
      <c r="C977" s="292"/>
      <c r="D977" s="293"/>
      <c r="E977" s="292"/>
      <c r="F977" s="293"/>
      <c r="G977" s="294"/>
      <c r="H977" s="295"/>
      <c r="I977" s="303"/>
      <c r="J977" s="303"/>
      <c r="K977" s="297"/>
      <c r="L977" s="303"/>
      <c r="M977" s="303"/>
      <c r="N977" s="297"/>
      <c r="O977" s="292"/>
      <c r="P977" s="303"/>
      <c r="Q977" s="298"/>
      <c r="R977" s="294"/>
      <c r="S977" s="297"/>
      <c r="T977" s="292"/>
      <c r="U977" s="299"/>
      <c r="V977" s="292"/>
      <c r="W977" s="309"/>
      <c r="X977" s="292"/>
      <c r="Y977" s="309"/>
      <c r="Z977" s="292"/>
      <c r="AA977" s="315"/>
      <c r="AB977" s="297"/>
      <c r="AC977" s="292"/>
      <c r="AD977" s="292"/>
      <c r="AE977" s="292"/>
      <c r="AF977" s="303"/>
      <c r="AG977" s="303"/>
      <c r="AH977" s="303"/>
      <c r="AI977" s="303"/>
    </row>
    <row r="978">
      <c r="A978" s="304"/>
      <c r="B978" s="299"/>
      <c r="C978" s="292"/>
      <c r="D978" s="293"/>
      <c r="E978" s="292"/>
      <c r="F978" s="293"/>
      <c r="G978" s="294"/>
      <c r="H978" s="295"/>
      <c r="I978" s="303"/>
      <c r="J978" s="303"/>
      <c r="K978" s="297"/>
      <c r="L978" s="303"/>
      <c r="M978" s="303"/>
      <c r="N978" s="297"/>
      <c r="O978" s="292"/>
      <c r="P978" s="303"/>
      <c r="Q978" s="298"/>
      <c r="R978" s="294"/>
      <c r="S978" s="297"/>
      <c r="T978" s="292"/>
      <c r="U978" s="299"/>
      <c r="V978" s="292"/>
      <c r="W978" s="309"/>
      <c r="X978" s="292"/>
      <c r="Y978" s="309"/>
      <c r="Z978" s="292"/>
      <c r="AA978" s="315"/>
      <c r="AB978" s="297"/>
      <c r="AC978" s="292"/>
      <c r="AD978" s="292"/>
      <c r="AE978" s="292"/>
      <c r="AF978" s="303"/>
      <c r="AG978" s="303"/>
      <c r="AH978" s="303"/>
      <c r="AI978" s="303"/>
    </row>
    <row r="979">
      <c r="A979" s="304"/>
      <c r="B979" s="299"/>
      <c r="C979" s="292"/>
      <c r="D979" s="293"/>
      <c r="E979" s="292"/>
      <c r="F979" s="293"/>
      <c r="G979" s="294"/>
      <c r="H979" s="295"/>
      <c r="I979" s="303"/>
      <c r="J979" s="303"/>
      <c r="K979" s="297"/>
      <c r="L979" s="303"/>
      <c r="M979" s="303"/>
      <c r="N979" s="297"/>
      <c r="O979" s="292"/>
      <c r="P979" s="303"/>
      <c r="Q979" s="298"/>
      <c r="R979" s="294"/>
      <c r="S979" s="297"/>
      <c r="T979" s="292"/>
      <c r="U979" s="299"/>
      <c r="V979" s="292"/>
      <c r="W979" s="309"/>
      <c r="X979" s="292"/>
      <c r="Y979" s="309"/>
      <c r="Z979" s="292"/>
      <c r="AA979" s="315"/>
      <c r="AB979" s="297"/>
      <c r="AC979" s="292"/>
      <c r="AD979" s="292"/>
      <c r="AE979" s="292"/>
      <c r="AF979" s="303"/>
      <c r="AG979" s="303"/>
      <c r="AH979" s="303"/>
      <c r="AI979" s="303"/>
    </row>
    <row r="980">
      <c r="A980" s="304"/>
      <c r="B980" s="299"/>
      <c r="C980" s="292"/>
      <c r="D980" s="293"/>
      <c r="E980" s="292"/>
      <c r="F980" s="293"/>
      <c r="G980" s="294"/>
      <c r="H980" s="295"/>
      <c r="I980" s="303"/>
      <c r="J980" s="303"/>
      <c r="K980" s="297"/>
      <c r="L980" s="303"/>
      <c r="M980" s="303"/>
      <c r="N980" s="297"/>
      <c r="O980" s="292"/>
      <c r="P980" s="303"/>
      <c r="Q980" s="298"/>
      <c r="R980" s="294"/>
      <c r="S980" s="297"/>
      <c r="T980" s="292"/>
      <c r="U980" s="299"/>
      <c r="V980" s="292"/>
      <c r="W980" s="309"/>
      <c r="X980" s="292"/>
      <c r="Y980" s="309"/>
      <c r="Z980" s="292"/>
      <c r="AA980" s="315"/>
      <c r="AB980" s="297"/>
      <c r="AC980" s="292"/>
      <c r="AD980" s="292"/>
      <c r="AE980" s="292"/>
      <c r="AF980" s="303"/>
      <c r="AG980" s="303"/>
      <c r="AH980" s="303"/>
      <c r="AI980" s="303"/>
    </row>
    <row r="981">
      <c r="A981" s="304"/>
      <c r="B981" s="299"/>
      <c r="C981" s="292"/>
      <c r="D981" s="293"/>
      <c r="E981" s="292"/>
      <c r="F981" s="293"/>
      <c r="G981" s="294"/>
      <c r="H981" s="295"/>
      <c r="I981" s="303"/>
      <c r="J981" s="303"/>
      <c r="K981" s="297"/>
      <c r="L981" s="303"/>
      <c r="M981" s="303"/>
      <c r="N981" s="297"/>
      <c r="O981" s="292"/>
      <c r="P981" s="303"/>
      <c r="Q981" s="298"/>
      <c r="R981" s="294"/>
      <c r="S981" s="297"/>
      <c r="T981" s="292"/>
      <c r="U981" s="299"/>
      <c r="V981" s="292"/>
      <c r="W981" s="309"/>
      <c r="X981" s="292"/>
      <c r="Y981" s="309"/>
      <c r="Z981" s="292"/>
      <c r="AA981" s="315"/>
      <c r="AB981" s="297"/>
      <c r="AC981" s="292"/>
      <c r="AD981" s="292"/>
      <c r="AE981" s="292"/>
      <c r="AF981" s="303"/>
      <c r="AG981" s="303"/>
      <c r="AH981" s="303"/>
      <c r="AI981" s="303"/>
    </row>
    <row r="982">
      <c r="A982" s="304"/>
      <c r="B982" s="299"/>
      <c r="C982" s="292"/>
      <c r="D982" s="293"/>
      <c r="E982" s="292"/>
      <c r="F982" s="293"/>
      <c r="G982" s="294"/>
      <c r="H982" s="295"/>
      <c r="I982" s="303"/>
      <c r="J982" s="303"/>
      <c r="K982" s="297"/>
      <c r="L982" s="303"/>
      <c r="M982" s="303"/>
      <c r="N982" s="297"/>
      <c r="O982" s="292"/>
      <c r="P982" s="303"/>
      <c r="Q982" s="298"/>
      <c r="R982" s="294"/>
      <c r="S982" s="297"/>
      <c r="T982" s="292"/>
      <c r="U982" s="299"/>
      <c r="V982" s="292"/>
      <c r="W982" s="309"/>
      <c r="X982" s="292"/>
      <c r="Y982" s="309"/>
      <c r="Z982" s="292"/>
      <c r="AA982" s="315"/>
      <c r="AB982" s="297"/>
      <c r="AC982" s="292"/>
      <c r="AD982" s="292"/>
      <c r="AE982" s="292"/>
      <c r="AF982" s="303"/>
      <c r="AG982" s="303"/>
      <c r="AH982" s="303"/>
      <c r="AI982" s="303"/>
    </row>
    <row r="983">
      <c r="A983" s="304"/>
      <c r="B983" s="299"/>
      <c r="C983" s="292"/>
      <c r="D983" s="293"/>
      <c r="E983" s="292"/>
      <c r="F983" s="293"/>
      <c r="G983" s="294"/>
      <c r="H983" s="295"/>
      <c r="I983" s="303"/>
      <c r="J983" s="303"/>
      <c r="K983" s="297"/>
      <c r="L983" s="303"/>
      <c r="M983" s="303"/>
      <c r="N983" s="297"/>
      <c r="O983" s="292"/>
      <c r="P983" s="303"/>
      <c r="Q983" s="298"/>
      <c r="R983" s="294"/>
      <c r="S983" s="297"/>
      <c r="T983" s="292"/>
      <c r="U983" s="299"/>
      <c r="V983" s="292"/>
      <c r="W983" s="309"/>
      <c r="X983" s="292"/>
      <c r="Y983" s="309"/>
      <c r="Z983" s="292"/>
      <c r="AA983" s="315"/>
      <c r="AB983" s="297"/>
      <c r="AC983" s="292"/>
      <c r="AD983" s="292"/>
      <c r="AE983" s="292"/>
      <c r="AF983" s="303"/>
      <c r="AG983" s="303"/>
      <c r="AH983" s="303"/>
      <c r="AI983" s="303"/>
    </row>
    <row r="984">
      <c r="A984" s="304"/>
      <c r="B984" s="299"/>
      <c r="C984" s="292"/>
      <c r="D984" s="293"/>
      <c r="E984" s="292"/>
      <c r="F984" s="293"/>
      <c r="G984" s="294"/>
      <c r="H984" s="295"/>
      <c r="I984" s="303"/>
      <c r="J984" s="303"/>
      <c r="K984" s="297"/>
      <c r="L984" s="303"/>
      <c r="M984" s="303"/>
      <c r="N984" s="297"/>
      <c r="O984" s="292"/>
      <c r="P984" s="303"/>
      <c r="Q984" s="298"/>
      <c r="R984" s="294"/>
      <c r="S984" s="297"/>
      <c r="T984" s="292"/>
      <c r="U984" s="299"/>
      <c r="V984" s="292"/>
      <c r="W984" s="309"/>
      <c r="X984" s="292"/>
      <c r="Y984" s="309"/>
      <c r="Z984" s="292"/>
      <c r="AA984" s="315"/>
      <c r="AB984" s="297"/>
      <c r="AC984" s="292"/>
      <c r="AD984" s="292"/>
      <c r="AE984" s="292"/>
      <c r="AF984" s="303"/>
      <c r="AG984" s="303"/>
      <c r="AH984" s="303"/>
      <c r="AI984" s="303"/>
    </row>
    <row r="985">
      <c r="A985" s="304"/>
      <c r="B985" s="299"/>
      <c r="C985" s="292"/>
      <c r="D985" s="293"/>
      <c r="E985" s="292"/>
      <c r="F985" s="293"/>
      <c r="G985" s="294"/>
      <c r="H985" s="295"/>
      <c r="I985" s="303"/>
      <c r="J985" s="303"/>
      <c r="K985" s="297"/>
      <c r="L985" s="303"/>
      <c r="M985" s="303"/>
      <c r="N985" s="297"/>
      <c r="O985" s="292"/>
      <c r="P985" s="303"/>
      <c r="Q985" s="298"/>
      <c r="R985" s="294"/>
      <c r="S985" s="297"/>
      <c r="T985" s="292"/>
      <c r="U985" s="299"/>
      <c r="V985" s="292"/>
      <c r="W985" s="309"/>
      <c r="X985" s="292"/>
      <c r="Y985" s="309"/>
      <c r="Z985" s="292"/>
      <c r="AA985" s="315"/>
      <c r="AB985" s="297"/>
      <c r="AC985" s="292"/>
      <c r="AD985" s="292"/>
      <c r="AE985" s="292"/>
      <c r="AF985" s="303"/>
      <c r="AG985" s="303"/>
      <c r="AH985" s="303"/>
      <c r="AI985" s="303"/>
    </row>
    <row r="986">
      <c r="A986" s="304"/>
      <c r="B986" s="299"/>
      <c r="C986" s="292"/>
      <c r="D986" s="293"/>
      <c r="E986" s="292"/>
      <c r="F986" s="293"/>
      <c r="G986" s="294"/>
      <c r="H986" s="295"/>
      <c r="I986" s="303"/>
      <c r="J986" s="303"/>
      <c r="K986" s="297"/>
      <c r="L986" s="303"/>
      <c r="M986" s="303"/>
      <c r="N986" s="297"/>
      <c r="O986" s="292"/>
      <c r="P986" s="303"/>
      <c r="Q986" s="298"/>
      <c r="R986" s="294"/>
      <c r="S986" s="297"/>
      <c r="T986" s="292"/>
      <c r="U986" s="299"/>
      <c r="V986" s="292"/>
      <c r="W986" s="309"/>
      <c r="X986" s="292"/>
      <c r="Y986" s="309"/>
      <c r="Z986" s="292"/>
      <c r="AA986" s="315"/>
      <c r="AB986" s="297"/>
      <c r="AC986" s="292"/>
      <c r="AD986" s="292"/>
      <c r="AE986" s="292"/>
      <c r="AF986" s="303"/>
      <c r="AG986" s="303"/>
      <c r="AH986" s="303"/>
      <c r="AI986" s="303"/>
    </row>
    <row r="987">
      <c r="A987" s="304"/>
      <c r="B987" s="299"/>
      <c r="C987" s="292"/>
      <c r="D987" s="293"/>
      <c r="E987" s="292"/>
      <c r="F987" s="293"/>
      <c r="G987" s="294"/>
      <c r="H987" s="295"/>
      <c r="I987" s="303"/>
      <c r="J987" s="303"/>
      <c r="K987" s="297"/>
      <c r="L987" s="303"/>
      <c r="M987" s="303"/>
      <c r="N987" s="297"/>
      <c r="O987" s="292"/>
      <c r="P987" s="303"/>
      <c r="Q987" s="298"/>
      <c r="R987" s="294"/>
      <c r="S987" s="297"/>
      <c r="T987" s="292"/>
      <c r="U987" s="299"/>
      <c r="V987" s="292"/>
      <c r="W987" s="309"/>
      <c r="X987" s="292"/>
      <c r="Y987" s="309"/>
      <c r="Z987" s="292"/>
      <c r="AA987" s="315"/>
      <c r="AB987" s="297"/>
      <c r="AC987" s="292"/>
      <c r="AD987" s="292"/>
      <c r="AE987" s="292"/>
      <c r="AF987" s="303"/>
      <c r="AG987" s="303"/>
      <c r="AH987" s="303"/>
      <c r="AI987" s="303"/>
    </row>
    <row r="988">
      <c r="A988" s="304"/>
      <c r="B988" s="299"/>
      <c r="C988" s="292"/>
      <c r="D988" s="293"/>
      <c r="E988" s="292"/>
      <c r="F988" s="293"/>
      <c r="G988" s="294"/>
      <c r="H988" s="295"/>
      <c r="I988" s="303"/>
      <c r="J988" s="303"/>
      <c r="K988" s="297"/>
      <c r="L988" s="303"/>
      <c r="M988" s="303"/>
      <c r="N988" s="297"/>
      <c r="O988" s="292"/>
      <c r="P988" s="303"/>
      <c r="Q988" s="298"/>
      <c r="R988" s="294"/>
      <c r="S988" s="297"/>
      <c r="T988" s="292"/>
      <c r="U988" s="299"/>
      <c r="V988" s="292"/>
      <c r="W988" s="309"/>
      <c r="X988" s="292"/>
      <c r="Y988" s="309"/>
      <c r="Z988" s="292"/>
      <c r="AA988" s="315"/>
      <c r="AB988" s="297"/>
      <c r="AC988" s="292"/>
      <c r="AD988" s="292"/>
      <c r="AE988" s="292"/>
      <c r="AF988" s="303"/>
      <c r="AG988" s="303"/>
      <c r="AH988" s="303"/>
      <c r="AI988" s="303"/>
    </row>
    <row r="989">
      <c r="A989" s="304"/>
      <c r="B989" s="299"/>
      <c r="C989" s="292"/>
      <c r="D989" s="293"/>
      <c r="E989" s="292"/>
      <c r="F989" s="293"/>
      <c r="G989" s="294"/>
      <c r="H989" s="295"/>
      <c r="I989" s="303"/>
      <c r="J989" s="303"/>
      <c r="K989" s="297"/>
      <c r="L989" s="303"/>
      <c r="M989" s="303"/>
      <c r="N989" s="297"/>
      <c r="O989" s="292"/>
      <c r="P989" s="303"/>
      <c r="Q989" s="298"/>
      <c r="R989" s="294"/>
      <c r="S989" s="297"/>
      <c r="T989" s="292"/>
      <c r="U989" s="299"/>
      <c r="V989" s="292"/>
      <c r="W989" s="309"/>
      <c r="X989" s="292"/>
      <c r="Y989" s="309"/>
      <c r="Z989" s="292"/>
      <c r="AA989" s="315"/>
      <c r="AB989" s="297"/>
      <c r="AC989" s="292"/>
      <c r="AD989" s="292"/>
      <c r="AE989" s="292"/>
      <c r="AF989" s="303"/>
      <c r="AG989" s="303"/>
      <c r="AH989" s="303"/>
      <c r="AI989" s="303"/>
    </row>
    <row r="990">
      <c r="A990" s="304"/>
      <c r="B990" s="299"/>
      <c r="C990" s="292"/>
      <c r="D990" s="293"/>
      <c r="E990" s="292"/>
      <c r="F990" s="293"/>
      <c r="G990" s="294"/>
      <c r="H990" s="295"/>
      <c r="I990" s="303"/>
      <c r="J990" s="303"/>
      <c r="K990" s="297"/>
      <c r="L990" s="303"/>
      <c r="M990" s="303"/>
      <c r="N990" s="297"/>
      <c r="O990" s="292"/>
      <c r="P990" s="303"/>
      <c r="Q990" s="298"/>
      <c r="R990" s="294"/>
      <c r="S990" s="297"/>
      <c r="T990" s="292"/>
      <c r="U990" s="299"/>
      <c r="V990" s="292"/>
      <c r="W990" s="309"/>
      <c r="X990" s="292"/>
      <c r="Y990" s="309"/>
      <c r="Z990" s="292"/>
      <c r="AA990" s="315"/>
      <c r="AB990" s="297"/>
      <c r="AC990" s="292"/>
      <c r="AD990" s="292"/>
      <c r="AE990" s="292"/>
      <c r="AF990" s="303"/>
      <c r="AG990" s="303"/>
      <c r="AH990" s="303"/>
      <c r="AI990" s="303"/>
    </row>
    <row r="991">
      <c r="A991" s="304"/>
      <c r="B991" s="299"/>
      <c r="C991" s="292"/>
      <c r="D991" s="293"/>
      <c r="E991" s="292"/>
      <c r="F991" s="293"/>
      <c r="G991" s="294"/>
      <c r="H991" s="295"/>
      <c r="I991" s="303"/>
      <c r="J991" s="303"/>
      <c r="K991" s="297"/>
      <c r="L991" s="303"/>
      <c r="M991" s="303"/>
      <c r="N991" s="297"/>
      <c r="O991" s="292"/>
      <c r="P991" s="303"/>
      <c r="Q991" s="298"/>
      <c r="R991" s="294"/>
      <c r="S991" s="297"/>
      <c r="T991" s="292"/>
      <c r="U991" s="299"/>
      <c r="V991" s="292"/>
      <c r="W991" s="309"/>
      <c r="X991" s="292"/>
      <c r="Y991" s="309"/>
      <c r="Z991" s="292"/>
      <c r="AA991" s="315"/>
      <c r="AB991" s="297"/>
      <c r="AC991" s="292"/>
      <c r="AD991" s="292"/>
      <c r="AE991" s="292"/>
      <c r="AF991" s="303"/>
      <c r="AG991" s="303"/>
      <c r="AH991" s="303"/>
      <c r="AI991" s="303"/>
    </row>
    <row r="992">
      <c r="A992" s="304"/>
      <c r="B992" s="299"/>
      <c r="C992" s="292"/>
      <c r="D992" s="293"/>
      <c r="E992" s="292"/>
      <c r="F992" s="293"/>
      <c r="G992" s="294"/>
      <c r="H992" s="295"/>
      <c r="I992" s="303"/>
      <c r="J992" s="303"/>
      <c r="K992" s="297"/>
      <c r="L992" s="303"/>
      <c r="M992" s="303"/>
      <c r="N992" s="297"/>
      <c r="O992" s="292"/>
      <c r="P992" s="303"/>
      <c r="Q992" s="298"/>
      <c r="R992" s="294"/>
      <c r="S992" s="297"/>
      <c r="T992" s="292"/>
      <c r="U992" s="299"/>
      <c r="V992" s="292"/>
      <c r="W992" s="309"/>
      <c r="X992" s="292"/>
      <c r="Y992" s="309"/>
      <c r="Z992" s="292"/>
      <c r="AA992" s="315"/>
      <c r="AB992" s="297"/>
      <c r="AC992" s="292"/>
      <c r="AD992" s="292"/>
      <c r="AE992" s="292"/>
      <c r="AF992" s="303"/>
      <c r="AG992" s="303"/>
      <c r="AH992" s="303"/>
      <c r="AI992" s="303"/>
    </row>
    <row r="993">
      <c r="A993" s="304"/>
      <c r="B993" s="299"/>
      <c r="C993" s="292"/>
      <c r="D993" s="293"/>
      <c r="E993" s="292"/>
      <c r="F993" s="293"/>
      <c r="G993" s="294"/>
      <c r="H993" s="295"/>
      <c r="I993" s="303"/>
      <c r="J993" s="303"/>
      <c r="K993" s="297"/>
      <c r="L993" s="303"/>
      <c r="M993" s="303"/>
      <c r="N993" s="297"/>
      <c r="O993" s="292"/>
      <c r="P993" s="303"/>
      <c r="Q993" s="298"/>
      <c r="R993" s="294"/>
      <c r="S993" s="297"/>
      <c r="T993" s="292"/>
      <c r="U993" s="299"/>
      <c r="V993" s="292"/>
      <c r="W993" s="309"/>
      <c r="X993" s="292"/>
      <c r="Y993" s="309"/>
      <c r="Z993" s="292"/>
      <c r="AA993" s="315"/>
      <c r="AB993" s="297"/>
      <c r="AC993" s="292"/>
      <c r="AD993" s="292"/>
      <c r="AE993" s="292"/>
      <c r="AF993" s="303"/>
      <c r="AG993" s="303"/>
      <c r="AH993" s="303"/>
      <c r="AI993" s="303"/>
    </row>
    <row r="994">
      <c r="A994" s="304"/>
      <c r="B994" s="299"/>
      <c r="C994" s="292"/>
      <c r="D994" s="293"/>
      <c r="E994" s="292"/>
      <c r="F994" s="293"/>
      <c r="G994" s="294"/>
      <c r="H994" s="295"/>
      <c r="I994" s="303"/>
      <c r="J994" s="303"/>
      <c r="K994" s="297"/>
      <c r="L994" s="303"/>
      <c r="M994" s="303"/>
      <c r="N994" s="297"/>
      <c r="O994" s="292"/>
      <c r="P994" s="303"/>
      <c r="Q994" s="298"/>
      <c r="R994" s="294"/>
      <c r="S994" s="297"/>
      <c r="T994" s="292"/>
      <c r="U994" s="299"/>
      <c r="V994" s="292"/>
      <c r="W994" s="309"/>
      <c r="X994" s="292"/>
      <c r="Y994" s="309"/>
      <c r="Z994" s="292"/>
      <c r="AA994" s="315"/>
      <c r="AB994" s="297"/>
      <c r="AC994" s="292"/>
      <c r="AD994" s="292"/>
      <c r="AE994" s="292"/>
      <c r="AF994" s="303"/>
      <c r="AG994" s="303"/>
      <c r="AH994" s="303"/>
      <c r="AI994" s="303"/>
    </row>
    <row r="995">
      <c r="A995" s="304"/>
      <c r="B995" s="299"/>
      <c r="C995" s="292"/>
      <c r="D995" s="293"/>
      <c r="E995" s="292"/>
      <c r="F995" s="293"/>
      <c r="G995" s="294"/>
      <c r="H995" s="295"/>
      <c r="I995" s="303"/>
      <c r="J995" s="303"/>
      <c r="K995" s="297"/>
      <c r="L995" s="303"/>
      <c r="M995" s="303"/>
      <c r="N995" s="297"/>
      <c r="O995" s="292"/>
      <c r="P995" s="303"/>
      <c r="Q995" s="298"/>
      <c r="R995" s="294"/>
      <c r="S995" s="297"/>
      <c r="T995" s="292"/>
      <c r="U995" s="299"/>
      <c r="V995" s="292"/>
      <c r="W995" s="309"/>
      <c r="X995" s="292"/>
      <c r="Y995" s="309"/>
      <c r="Z995" s="292"/>
      <c r="AA995" s="315"/>
      <c r="AB995" s="297"/>
      <c r="AC995" s="292"/>
      <c r="AD995" s="292"/>
      <c r="AE995" s="292"/>
      <c r="AF995" s="303"/>
      <c r="AG995" s="303"/>
      <c r="AH995" s="303"/>
      <c r="AI995" s="303"/>
    </row>
    <row r="996">
      <c r="A996" s="304"/>
      <c r="B996" s="299"/>
      <c r="C996" s="292"/>
      <c r="D996" s="293"/>
      <c r="E996" s="292"/>
      <c r="F996" s="293"/>
      <c r="G996" s="294"/>
      <c r="H996" s="295"/>
      <c r="I996" s="303"/>
      <c r="J996" s="303"/>
      <c r="K996" s="297"/>
      <c r="L996" s="303"/>
      <c r="M996" s="303"/>
      <c r="N996" s="297"/>
      <c r="O996" s="292"/>
      <c r="P996" s="303"/>
      <c r="Q996" s="298"/>
      <c r="R996" s="294"/>
      <c r="S996" s="297"/>
      <c r="T996" s="292"/>
      <c r="U996" s="299"/>
      <c r="V996" s="292"/>
      <c r="W996" s="309"/>
      <c r="X996" s="292"/>
      <c r="Y996" s="309"/>
      <c r="Z996" s="292"/>
      <c r="AA996" s="315"/>
      <c r="AB996" s="297"/>
      <c r="AC996" s="292"/>
      <c r="AD996" s="292"/>
      <c r="AE996" s="292"/>
      <c r="AF996" s="303"/>
      <c r="AG996" s="303"/>
      <c r="AH996" s="303"/>
      <c r="AI996" s="303"/>
    </row>
    <row r="997">
      <c r="A997" s="304"/>
      <c r="B997" s="299"/>
      <c r="C997" s="292"/>
      <c r="D997" s="293"/>
      <c r="E997" s="292"/>
      <c r="F997" s="293"/>
      <c r="G997" s="294"/>
      <c r="H997" s="295"/>
      <c r="I997" s="303"/>
      <c r="J997" s="303"/>
      <c r="K997" s="297"/>
      <c r="L997" s="303"/>
      <c r="M997" s="303"/>
      <c r="N997" s="297"/>
      <c r="O997" s="292"/>
      <c r="P997" s="303"/>
      <c r="Q997" s="298"/>
      <c r="R997" s="294"/>
      <c r="S997" s="297"/>
      <c r="T997" s="292"/>
      <c r="U997" s="299"/>
      <c r="V997" s="292"/>
      <c r="W997" s="309"/>
      <c r="X997" s="292"/>
      <c r="Y997" s="309"/>
      <c r="Z997" s="292"/>
      <c r="AA997" s="315"/>
      <c r="AB997" s="297"/>
      <c r="AC997" s="292"/>
      <c r="AD997" s="292"/>
      <c r="AE997" s="292"/>
      <c r="AF997" s="303"/>
      <c r="AG997" s="303"/>
      <c r="AH997" s="303"/>
      <c r="AI997" s="303"/>
    </row>
    <row r="998">
      <c r="A998" s="304"/>
      <c r="B998" s="299"/>
      <c r="C998" s="292"/>
      <c r="D998" s="293"/>
      <c r="E998" s="292"/>
      <c r="F998" s="293"/>
      <c r="G998" s="294"/>
      <c r="H998" s="295"/>
      <c r="I998" s="303"/>
      <c r="J998" s="303"/>
      <c r="K998" s="297"/>
      <c r="L998" s="303"/>
      <c r="M998" s="303"/>
      <c r="N998" s="297"/>
      <c r="O998" s="292"/>
      <c r="P998" s="303"/>
      <c r="Q998" s="298"/>
      <c r="R998" s="294"/>
      <c r="S998" s="297"/>
      <c r="T998" s="292"/>
      <c r="U998" s="299"/>
      <c r="V998" s="292"/>
      <c r="W998" s="309"/>
      <c r="X998" s="292"/>
      <c r="Y998" s="309"/>
      <c r="Z998" s="292"/>
      <c r="AA998" s="315"/>
      <c r="AB998" s="297"/>
      <c r="AC998" s="292"/>
      <c r="AD998" s="292"/>
      <c r="AE998" s="292"/>
      <c r="AF998" s="303"/>
      <c r="AG998" s="303"/>
      <c r="AH998" s="303"/>
      <c r="AI998" s="303"/>
    </row>
    <row r="999">
      <c r="A999" s="304"/>
      <c r="B999" s="299"/>
      <c r="C999" s="292"/>
      <c r="D999" s="293"/>
      <c r="E999" s="292"/>
      <c r="F999" s="293"/>
      <c r="G999" s="294"/>
      <c r="H999" s="295"/>
      <c r="I999" s="303"/>
      <c r="J999" s="303"/>
      <c r="K999" s="297"/>
      <c r="L999" s="303"/>
      <c r="M999" s="303"/>
      <c r="N999" s="297"/>
      <c r="O999" s="292"/>
      <c r="P999" s="303"/>
      <c r="Q999" s="298"/>
      <c r="R999" s="294"/>
      <c r="S999" s="297"/>
      <c r="T999" s="292"/>
      <c r="U999" s="299"/>
      <c r="V999" s="292"/>
      <c r="W999" s="309"/>
      <c r="X999" s="292"/>
      <c r="Y999" s="309"/>
      <c r="Z999" s="292"/>
      <c r="AA999" s="315"/>
      <c r="AB999" s="297"/>
      <c r="AC999" s="292"/>
      <c r="AD999" s="292"/>
      <c r="AE999" s="292"/>
      <c r="AF999" s="303"/>
      <c r="AG999" s="303"/>
      <c r="AH999" s="303"/>
      <c r="AI999" s="303"/>
    </row>
    <row r="1000">
      <c r="A1000" s="304"/>
      <c r="B1000" s="299"/>
      <c r="C1000" s="292"/>
      <c r="D1000" s="293"/>
      <c r="E1000" s="292"/>
      <c r="F1000" s="293"/>
      <c r="G1000" s="294"/>
      <c r="H1000" s="295"/>
      <c r="I1000" s="303"/>
      <c r="J1000" s="303"/>
      <c r="K1000" s="297"/>
      <c r="L1000" s="303"/>
      <c r="M1000" s="303"/>
      <c r="N1000" s="297"/>
      <c r="O1000" s="292"/>
      <c r="P1000" s="303"/>
      <c r="Q1000" s="298"/>
      <c r="R1000" s="294"/>
      <c r="S1000" s="297"/>
      <c r="T1000" s="292"/>
      <c r="U1000" s="299"/>
      <c r="V1000" s="292"/>
      <c r="W1000" s="309"/>
      <c r="X1000" s="292"/>
      <c r="Y1000" s="309"/>
      <c r="Z1000" s="292"/>
      <c r="AA1000" s="315"/>
      <c r="AB1000" s="297"/>
      <c r="AC1000" s="292"/>
      <c r="AD1000" s="292"/>
      <c r="AE1000" s="292"/>
      <c r="AF1000" s="303"/>
      <c r="AG1000" s="303"/>
      <c r="AH1000" s="303"/>
      <c r="AI1000" s="303"/>
    </row>
    <row r="1001">
      <c r="A1001" s="304"/>
      <c r="B1001" s="299"/>
      <c r="C1001" s="292"/>
      <c r="D1001" s="293"/>
      <c r="E1001" s="292"/>
      <c r="F1001" s="293"/>
      <c r="G1001" s="294"/>
      <c r="H1001" s="295"/>
      <c r="I1001" s="303"/>
      <c r="J1001" s="303"/>
      <c r="K1001" s="297"/>
      <c r="L1001" s="303"/>
      <c r="M1001" s="303"/>
      <c r="N1001" s="297"/>
      <c r="O1001" s="292"/>
      <c r="P1001" s="303"/>
      <c r="Q1001" s="298"/>
      <c r="R1001" s="294"/>
      <c r="S1001" s="297"/>
      <c r="T1001" s="292"/>
      <c r="U1001" s="299"/>
      <c r="V1001" s="292"/>
      <c r="W1001" s="309"/>
      <c r="X1001" s="292"/>
      <c r="Y1001" s="309"/>
      <c r="Z1001" s="292"/>
      <c r="AA1001" s="315"/>
      <c r="AB1001" s="297"/>
      <c r="AC1001" s="292"/>
      <c r="AD1001" s="292"/>
      <c r="AE1001" s="292"/>
      <c r="AF1001" s="303"/>
      <c r="AG1001" s="303"/>
      <c r="AH1001" s="303"/>
      <c r="AI1001" s="303"/>
    </row>
    <row r="1002">
      <c r="A1002" s="304"/>
      <c r="B1002" s="299"/>
      <c r="C1002" s="292"/>
      <c r="D1002" s="293"/>
      <c r="E1002" s="292"/>
      <c r="F1002" s="293"/>
      <c r="G1002" s="294"/>
      <c r="H1002" s="295"/>
      <c r="I1002" s="303"/>
      <c r="J1002" s="303"/>
      <c r="K1002" s="297"/>
      <c r="L1002" s="303"/>
      <c r="M1002" s="303"/>
      <c r="N1002" s="297"/>
      <c r="O1002" s="292"/>
      <c r="P1002" s="303"/>
      <c r="Q1002" s="298"/>
      <c r="R1002" s="294"/>
      <c r="S1002" s="297"/>
      <c r="T1002" s="292"/>
      <c r="U1002" s="299"/>
      <c r="V1002" s="292"/>
      <c r="W1002" s="309"/>
      <c r="X1002" s="292"/>
      <c r="Y1002" s="309"/>
      <c r="Z1002" s="292"/>
      <c r="AA1002" s="315"/>
      <c r="AB1002" s="297"/>
      <c r="AC1002" s="292"/>
      <c r="AD1002" s="292"/>
      <c r="AE1002" s="292"/>
      <c r="AF1002" s="303"/>
      <c r="AG1002" s="303"/>
      <c r="AH1002" s="303"/>
      <c r="AI1002" s="303"/>
    </row>
    <row r="1003">
      <c r="A1003" s="304"/>
      <c r="B1003" s="299"/>
      <c r="C1003" s="292"/>
      <c r="D1003" s="293"/>
      <c r="E1003" s="292"/>
      <c r="F1003" s="293"/>
      <c r="G1003" s="294"/>
      <c r="H1003" s="295"/>
      <c r="I1003" s="303"/>
      <c r="J1003" s="303"/>
      <c r="K1003" s="297"/>
      <c r="L1003" s="303"/>
      <c r="M1003" s="303"/>
      <c r="N1003" s="297"/>
      <c r="O1003" s="292"/>
      <c r="P1003" s="303"/>
      <c r="Q1003" s="298"/>
      <c r="R1003" s="294"/>
      <c r="S1003" s="297"/>
      <c r="T1003" s="292"/>
      <c r="U1003" s="299"/>
      <c r="V1003" s="292"/>
      <c r="W1003" s="309"/>
      <c r="X1003" s="292"/>
      <c r="Y1003" s="309"/>
      <c r="Z1003" s="292"/>
      <c r="AA1003" s="315"/>
      <c r="AB1003" s="297"/>
      <c r="AC1003" s="292"/>
      <c r="AD1003" s="292"/>
      <c r="AE1003" s="292"/>
      <c r="AF1003" s="303"/>
      <c r="AG1003" s="303"/>
      <c r="AH1003" s="303"/>
      <c r="AI1003" s="303"/>
    </row>
    <row r="1004">
      <c r="A1004" s="304"/>
      <c r="B1004" s="299"/>
      <c r="C1004" s="292"/>
      <c r="D1004" s="293"/>
      <c r="E1004" s="292"/>
      <c r="F1004" s="293"/>
      <c r="G1004" s="294"/>
      <c r="H1004" s="295"/>
      <c r="I1004" s="303"/>
      <c r="J1004" s="303"/>
      <c r="K1004" s="297"/>
      <c r="L1004" s="303"/>
      <c r="M1004" s="303"/>
      <c r="N1004" s="297"/>
      <c r="O1004" s="292"/>
      <c r="P1004" s="303"/>
      <c r="Q1004" s="298"/>
      <c r="R1004" s="294"/>
      <c r="S1004" s="297"/>
      <c r="T1004" s="292"/>
      <c r="U1004" s="299"/>
      <c r="V1004" s="292"/>
      <c r="W1004" s="309"/>
      <c r="X1004" s="292"/>
      <c r="Y1004" s="309"/>
      <c r="Z1004" s="292"/>
      <c r="AA1004" s="315"/>
      <c r="AB1004" s="297"/>
      <c r="AC1004" s="292"/>
      <c r="AD1004" s="292"/>
      <c r="AE1004" s="292"/>
      <c r="AF1004" s="303"/>
      <c r="AG1004" s="303"/>
      <c r="AH1004" s="303"/>
      <c r="AI1004" s="303"/>
    </row>
    <row r="1005">
      <c r="A1005" s="304"/>
      <c r="B1005" s="299"/>
      <c r="C1005" s="292"/>
      <c r="D1005" s="293"/>
      <c r="E1005" s="292"/>
      <c r="F1005" s="293"/>
      <c r="G1005" s="294"/>
      <c r="H1005" s="295"/>
      <c r="I1005" s="303"/>
      <c r="J1005" s="303"/>
      <c r="K1005" s="297"/>
      <c r="L1005" s="303"/>
      <c r="M1005" s="303"/>
      <c r="N1005" s="297"/>
      <c r="O1005" s="292"/>
      <c r="P1005" s="303"/>
      <c r="Q1005" s="298"/>
      <c r="R1005" s="294"/>
      <c r="S1005" s="297"/>
      <c r="T1005" s="292"/>
      <c r="U1005" s="299"/>
      <c r="V1005" s="292"/>
      <c r="W1005" s="309"/>
      <c r="X1005" s="292"/>
      <c r="Y1005" s="309"/>
      <c r="Z1005" s="292"/>
      <c r="AA1005" s="315"/>
      <c r="AB1005" s="297"/>
      <c r="AC1005" s="292"/>
      <c r="AD1005" s="292"/>
      <c r="AE1005" s="292"/>
      <c r="AF1005" s="303"/>
      <c r="AG1005" s="303"/>
      <c r="AH1005" s="303"/>
      <c r="AI1005" s="303"/>
    </row>
    <row r="1006">
      <c r="A1006" s="304"/>
      <c r="B1006" s="299"/>
      <c r="C1006" s="292"/>
      <c r="D1006" s="293"/>
      <c r="E1006" s="292"/>
      <c r="F1006" s="293"/>
      <c r="G1006" s="294"/>
      <c r="H1006" s="295"/>
      <c r="I1006" s="303"/>
      <c r="J1006" s="303"/>
      <c r="K1006" s="297"/>
      <c r="L1006" s="303"/>
      <c r="M1006" s="303"/>
      <c r="N1006" s="297"/>
      <c r="O1006" s="292"/>
      <c r="P1006" s="303"/>
      <c r="Q1006" s="298"/>
      <c r="R1006" s="294"/>
      <c r="S1006" s="297"/>
      <c r="T1006" s="292"/>
      <c r="U1006" s="299"/>
      <c r="V1006" s="292"/>
      <c r="W1006" s="309"/>
      <c r="X1006" s="292"/>
      <c r="Y1006" s="309"/>
      <c r="Z1006" s="292"/>
      <c r="AA1006" s="315"/>
      <c r="AB1006" s="297"/>
      <c r="AC1006" s="292"/>
      <c r="AD1006" s="292"/>
      <c r="AE1006" s="292"/>
      <c r="AF1006" s="303"/>
      <c r="AG1006" s="303"/>
      <c r="AH1006" s="303"/>
      <c r="AI1006" s="303"/>
    </row>
    <row r="1007">
      <c r="A1007" s="304"/>
      <c r="B1007" s="299"/>
      <c r="C1007" s="292"/>
      <c r="D1007" s="293"/>
      <c r="E1007" s="292"/>
      <c r="F1007" s="293"/>
      <c r="G1007" s="294"/>
      <c r="H1007" s="295"/>
      <c r="I1007" s="303"/>
      <c r="J1007" s="303"/>
      <c r="K1007" s="297"/>
      <c r="L1007" s="303"/>
      <c r="M1007" s="303"/>
      <c r="N1007" s="297"/>
      <c r="O1007" s="292"/>
      <c r="P1007" s="303"/>
      <c r="Q1007" s="298"/>
      <c r="R1007" s="294"/>
      <c r="S1007" s="297"/>
      <c r="T1007" s="292"/>
      <c r="U1007" s="299"/>
      <c r="V1007" s="292"/>
      <c r="W1007" s="309"/>
      <c r="X1007" s="292"/>
      <c r="Y1007" s="309"/>
      <c r="Z1007" s="292"/>
      <c r="AA1007" s="315"/>
      <c r="AB1007" s="297"/>
      <c r="AC1007" s="292"/>
      <c r="AD1007" s="292"/>
      <c r="AE1007" s="292"/>
      <c r="AF1007" s="303"/>
      <c r="AG1007" s="303"/>
      <c r="AH1007" s="303"/>
      <c r="AI1007" s="303"/>
    </row>
    <row r="1008">
      <c r="A1008" s="304"/>
      <c r="B1008" s="299"/>
      <c r="C1008" s="292"/>
      <c r="D1008" s="293"/>
      <c r="E1008" s="292"/>
      <c r="F1008" s="293"/>
      <c r="G1008" s="294"/>
      <c r="H1008" s="295"/>
      <c r="I1008" s="303"/>
      <c r="J1008" s="303"/>
      <c r="K1008" s="297"/>
      <c r="L1008" s="303"/>
      <c r="M1008" s="303"/>
      <c r="N1008" s="297"/>
      <c r="O1008" s="292"/>
      <c r="P1008" s="303"/>
      <c r="Q1008" s="298"/>
      <c r="R1008" s="294"/>
      <c r="S1008" s="297"/>
      <c r="T1008" s="292"/>
      <c r="U1008" s="299"/>
      <c r="V1008" s="292"/>
      <c r="W1008" s="309"/>
      <c r="X1008" s="292"/>
      <c r="Y1008" s="309"/>
      <c r="Z1008" s="292"/>
      <c r="AA1008" s="315"/>
      <c r="AB1008" s="297"/>
      <c r="AC1008" s="292"/>
      <c r="AD1008" s="292"/>
      <c r="AE1008" s="292"/>
      <c r="AF1008" s="303"/>
      <c r="AG1008" s="303"/>
      <c r="AH1008" s="303"/>
      <c r="AI1008" s="303"/>
    </row>
    <row r="1009">
      <c r="A1009" s="304"/>
      <c r="B1009" s="299"/>
      <c r="C1009" s="292"/>
      <c r="D1009" s="293"/>
      <c r="E1009" s="292"/>
      <c r="F1009" s="293"/>
      <c r="G1009" s="294"/>
      <c r="H1009" s="295"/>
      <c r="I1009" s="303"/>
      <c r="J1009" s="303"/>
      <c r="K1009" s="297"/>
      <c r="L1009" s="303"/>
      <c r="M1009" s="303"/>
      <c r="N1009" s="297"/>
      <c r="O1009" s="292"/>
      <c r="P1009" s="303"/>
      <c r="Q1009" s="298"/>
      <c r="R1009" s="294"/>
      <c r="S1009" s="297"/>
      <c r="T1009" s="292"/>
      <c r="U1009" s="299"/>
      <c r="V1009" s="292"/>
      <c r="W1009" s="309"/>
      <c r="X1009" s="292"/>
      <c r="Y1009" s="309"/>
      <c r="Z1009" s="292"/>
      <c r="AA1009" s="315"/>
      <c r="AB1009" s="297"/>
      <c r="AC1009" s="292"/>
      <c r="AD1009" s="292"/>
      <c r="AE1009" s="292"/>
      <c r="AF1009" s="303"/>
      <c r="AG1009" s="303"/>
      <c r="AH1009" s="303"/>
      <c r="AI1009" s="303"/>
    </row>
    <row r="1010">
      <c r="A1010" s="304"/>
      <c r="B1010" s="299"/>
      <c r="C1010" s="292"/>
      <c r="D1010" s="293"/>
      <c r="E1010" s="292"/>
      <c r="F1010" s="293"/>
      <c r="G1010" s="294"/>
      <c r="H1010" s="295"/>
      <c r="I1010" s="303"/>
      <c r="J1010" s="303"/>
      <c r="K1010" s="297"/>
      <c r="L1010" s="303"/>
      <c r="M1010" s="303"/>
      <c r="N1010" s="297"/>
      <c r="O1010" s="292"/>
      <c r="P1010" s="303"/>
      <c r="Q1010" s="298"/>
      <c r="R1010" s="294"/>
      <c r="S1010" s="297"/>
      <c r="T1010" s="292"/>
      <c r="U1010" s="299"/>
      <c r="V1010" s="292"/>
      <c r="W1010" s="309"/>
      <c r="X1010" s="292"/>
      <c r="Y1010" s="309"/>
      <c r="Z1010" s="292"/>
      <c r="AA1010" s="315"/>
      <c r="AB1010" s="297"/>
      <c r="AC1010" s="292"/>
      <c r="AD1010" s="292"/>
      <c r="AE1010" s="292"/>
      <c r="AF1010" s="303"/>
      <c r="AG1010" s="303"/>
      <c r="AH1010" s="303"/>
      <c r="AI1010" s="303"/>
    </row>
    <row r="1011">
      <c r="A1011" s="304"/>
      <c r="B1011" s="299"/>
      <c r="C1011" s="292"/>
      <c r="D1011" s="293"/>
      <c r="E1011" s="292"/>
      <c r="F1011" s="293"/>
      <c r="G1011" s="294"/>
      <c r="H1011" s="295"/>
      <c r="I1011" s="303"/>
      <c r="J1011" s="303"/>
      <c r="K1011" s="297"/>
      <c r="L1011" s="303"/>
      <c r="M1011" s="303"/>
      <c r="N1011" s="297"/>
      <c r="O1011" s="292"/>
      <c r="P1011" s="303"/>
      <c r="Q1011" s="298"/>
      <c r="R1011" s="294"/>
      <c r="S1011" s="297"/>
      <c r="T1011" s="292"/>
      <c r="U1011" s="299"/>
      <c r="V1011" s="292"/>
      <c r="W1011" s="309"/>
      <c r="X1011" s="292"/>
      <c r="Y1011" s="309"/>
      <c r="Z1011" s="292"/>
      <c r="AA1011" s="315"/>
      <c r="AB1011" s="297"/>
      <c r="AC1011" s="292"/>
      <c r="AD1011" s="292"/>
      <c r="AE1011" s="292"/>
      <c r="AF1011" s="303"/>
      <c r="AG1011" s="303"/>
      <c r="AH1011" s="303"/>
      <c r="AI1011" s="303"/>
    </row>
    <row r="1012">
      <c r="A1012" s="304"/>
      <c r="B1012" s="299"/>
      <c r="C1012" s="292"/>
      <c r="D1012" s="293"/>
      <c r="E1012" s="292"/>
      <c r="F1012" s="293"/>
      <c r="G1012" s="294"/>
      <c r="H1012" s="295"/>
      <c r="I1012" s="303"/>
      <c r="J1012" s="303"/>
      <c r="K1012" s="297"/>
      <c r="L1012" s="303"/>
      <c r="M1012" s="303"/>
      <c r="N1012" s="297"/>
      <c r="O1012" s="292"/>
      <c r="P1012" s="303"/>
      <c r="Q1012" s="298"/>
      <c r="R1012" s="294"/>
      <c r="S1012" s="297"/>
      <c r="T1012" s="292"/>
      <c r="U1012" s="299"/>
      <c r="V1012" s="292"/>
      <c r="W1012" s="309"/>
      <c r="X1012" s="292"/>
      <c r="Y1012" s="309"/>
      <c r="Z1012" s="292"/>
      <c r="AA1012" s="315"/>
      <c r="AB1012" s="297"/>
      <c r="AC1012" s="292"/>
      <c r="AD1012" s="292"/>
      <c r="AE1012" s="292"/>
      <c r="AF1012" s="303"/>
      <c r="AG1012" s="303"/>
      <c r="AH1012" s="303"/>
      <c r="AI1012" s="303"/>
    </row>
    <row r="1013">
      <c r="A1013" s="304"/>
      <c r="B1013" s="299"/>
      <c r="C1013" s="292"/>
      <c r="D1013" s="293"/>
      <c r="E1013" s="292"/>
      <c r="F1013" s="293"/>
      <c r="G1013" s="294"/>
      <c r="H1013" s="295"/>
      <c r="I1013" s="303"/>
      <c r="J1013" s="303"/>
      <c r="K1013" s="297"/>
      <c r="L1013" s="303"/>
      <c r="M1013" s="303"/>
      <c r="N1013" s="297"/>
      <c r="O1013" s="292"/>
      <c r="P1013" s="303"/>
      <c r="Q1013" s="298"/>
      <c r="R1013" s="294"/>
      <c r="S1013" s="297"/>
      <c r="T1013" s="292"/>
      <c r="U1013" s="299"/>
      <c r="V1013" s="292"/>
      <c r="W1013" s="309"/>
      <c r="X1013" s="292"/>
      <c r="Y1013" s="309"/>
      <c r="Z1013" s="292"/>
      <c r="AA1013" s="315"/>
      <c r="AB1013" s="297"/>
      <c r="AC1013" s="292"/>
      <c r="AD1013" s="292"/>
      <c r="AE1013" s="292"/>
      <c r="AF1013" s="303"/>
      <c r="AG1013" s="303"/>
      <c r="AH1013" s="303"/>
      <c r="AI1013" s="303"/>
    </row>
    <row r="1014">
      <c r="A1014" s="304"/>
      <c r="B1014" s="299"/>
      <c r="C1014" s="292"/>
      <c r="D1014" s="293"/>
      <c r="E1014" s="292"/>
      <c r="F1014" s="293"/>
      <c r="G1014" s="294"/>
      <c r="H1014" s="295"/>
      <c r="I1014" s="303"/>
      <c r="J1014" s="303"/>
      <c r="K1014" s="297"/>
      <c r="L1014" s="303"/>
      <c r="M1014" s="303"/>
      <c r="N1014" s="297"/>
      <c r="O1014" s="292"/>
      <c r="P1014" s="303"/>
      <c r="Q1014" s="298"/>
      <c r="R1014" s="294"/>
      <c r="S1014" s="297"/>
      <c r="T1014" s="292"/>
      <c r="U1014" s="299"/>
      <c r="V1014" s="292"/>
      <c r="W1014" s="309"/>
      <c r="X1014" s="292"/>
      <c r="Y1014" s="309"/>
      <c r="Z1014" s="292"/>
      <c r="AA1014" s="315"/>
      <c r="AB1014" s="297"/>
      <c r="AC1014" s="292"/>
      <c r="AD1014" s="292"/>
      <c r="AE1014" s="292"/>
      <c r="AF1014" s="303"/>
      <c r="AG1014" s="303"/>
      <c r="AH1014" s="303"/>
      <c r="AI1014" s="303"/>
    </row>
    <row r="1015">
      <c r="A1015" s="304"/>
      <c r="B1015" s="299"/>
      <c r="C1015" s="292"/>
      <c r="D1015" s="293"/>
      <c r="E1015" s="292"/>
      <c r="F1015" s="293"/>
      <c r="G1015" s="294"/>
      <c r="H1015" s="295"/>
      <c r="I1015" s="303"/>
      <c r="J1015" s="303"/>
      <c r="K1015" s="297"/>
      <c r="L1015" s="303"/>
      <c r="M1015" s="303"/>
      <c r="N1015" s="297"/>
      <c r="O1015" s="292"/>
      <c r="P1015" s="303"/>
      <c r="Q1015" s="298"/>
      <c r="R1015" s="294"/>
      <c r="S1015" s="297"/>
      <c r="T1015" s="292"/>
      <c r="U1015" s="299"/>
      <c r="V1015" s="292"/>
      <c r="W1015" s="309"/>
      <c r="X1015" s="292"/>
      <c r="Y1015" s="309"/>
      <c r="Z1015" s="292"/>
      <c r="AA1015" s="315"/>
      <c r="AB1015" s="297"/>
      <c r="AC1015" s="292"/>
      <c r="AD1015" s="292"/>
      <c r="AE1015" s="292"/>
      <c r="AF1015" s="303"/>
      <c r="AG1015" s="303"/>
      <c r="AH1015" s="303"/>
      <c r="AI1015" s="303"/>
    </row>
    <row r="1016">
      <c r="A1016" s="304"/>
      <c r="B1016" s="299"/>
      <c r="C1016" s="292"/>
      <c r="D1016" s="293"/>
      <c r="E1016" s="292"/>
      <c r="F1016" s="293"/>
      <c r="G1016" s="294"/>
      <c r="H1016" s="295"/>
      <c r="I1016" s="303"/>
      <c r="J1016" s="303"/>
      <c r="K1016" s="297"/>
      <c r="L1016" s="303"/>
      <c r="M1016" s="303"/>
      <c r="N1016" s="297"/>
      <c r="O1016" s="292"/>
      <c r="P1016" s="303"/>
      <c r="Q1016" s="298"/>
      <c r="R1016" s="294"/>
      <c r="S1016" s="297"/>
      <c r="T1016" s="292"/>
      <c r="U1016" s="299"/>
      <c r="V1016" s="292"/>
      <c r="W1016" s="309"/>
      <c r="X1016" s="292"/>
      <c r="Y1016" s="309"/>
      <c r="Z1016" s="292"/>
      <c r="AA1016" s="315"/>
      <c r="AB1016" s="297"/>
      <c r="AC1016" s="292"/>
      <c r="AD1016" s="292"/>
      <c r="AE1016" s="292"/>
      <c r="AF1016" s="303"/>
      <c r="AG1016" s="303"/>
      <c r="AH1016" s="303"/>
      <c r="AI1016" s="303"/>
    </row>
    <row r="1017">
      <c r="A1017" s="304"/>
      <c r="B1017" s="299"/>
      <c r="C1017" s="292"/>
      <c r="D1017" s="293"/>
      <c r="E1017" s="292"/>
      <c r="F1017" s="293"/>
      <c r="G1017" s="294"/>
      <c r="H1017" s="295"/>
      <c r="I1017" s="303"/>
      <c r="J1017" s="303"/>
      <c r="K1017" s="297"/>
      <c r="L1017" s="303"/>
      <c r="M1017" s="303"/>
      <c r="N1017" s="297"/>
      <c r="O1017" s="292"/>
      <c r="P1017" s="303"/>
      <c r="Q1017" s="298"/>
      <c r="R1017" s="294"/>
      <c r="S1017" s="297"/>
      <c r="T1017" s="292"/>
      <c r="U1017" s="299"/>
      <c r="V1017" s="292"/>
      <c r="W1017" s="309"/>
      <c r="X1017" s="292"/>
      <c r="Y1017" s="309"/>
      <c r="Z1017" s="292"/>
      <c r="AA1017" s="315"/>
      <c r="AB1017" s="297"/>
      <c r="AC1017" s="292"/>
      <c r="AD1017" s="292"/>
      <c r="AE1017" s="292"/>
      <c r="AF1017" s="303"/>
      <c r="AG1017" s="303"/>
      <c r="AH1017" s="303"/>
      <c r="AI1017" s="303"/>
    </row>
    <row r="1018">
      <c r="A1018" s="304"/>
      <c r="B1018" s="299"/>
      <c r="C1018" s="292"/>
      <c r="D1018" s="293"/>
      <c r="E1018" s="292"/>
      <c r="F1018" s="293"/>
      <c r="G1018" s="294"/>
      <c r="H1018" s="295"/>
      <c r="I1018" s="303"/>
      <c r="J1018" s="303"/>
      <c r="K1018" s="297"/>
      <c r="L1018" s="303"/>
      <c r="M1018" s="303"/>
      <c r="N1018" s="297"/>
      <c r="O1018" s="292"/>
      <c r="P1018" s="303"/>
      <c r="Q1018" s="298"/>
      <c r="R1018" s="294"/>
      <c r="S1018" s="297"/>
      <c r="T1018" s="292"/>
      <c r="U1018" s="299"/>
      <c r="V1018" s="292"/>
      <c r="W1018" s="309"/>
      <c r="X1018" s="292"/>
      <c r="Y1018" s="309"/>
      <c r="Z1018" s="292"/>
      <c r="AA1018" s="315"/>
      <c r="AB1018" s="297"/>
      <c r="AC1018" s="292"/>
      <c r="AD1018" s="292"/>
      <c r="AE1018" s="292"/>
      <c r="AF1018" s="303"/>
      <c r="AG1018" s="303"/>
      <c r="AH1018" s="303"/>
      <c r="AI1018" s="303"/>
    </row>
    <row r="1019">
      <c r="A1019" s="304"/>
      <c r="B1019" s="299"/>
      <c r="C1019" s="292"/>
      <c r="D1019" s="293"/>
      <c r="E1019" s="292"/>
      <c r="F1019" s="293"/>
      <c r="G1019" s="294"/>
      <c r="H1019" s="295"/>
      <c r="I1019" s="303"/>
      <c r="J1019" s="303"/>
      <c r="K1019" s="297"/>
      <c r="L1019" s="303"/>
      <c r="M1019" s="303"/>
      <c r="N1019" s="297"/>
      <c r="O1019" s="292"/>
      <c r="P1019" s="303"/>
      <c r="Q1019" s="298"/>
      <c r="R1019" s="294"/>
      <c r="S1019" s="297"/>
      <c r="T1019" s="292"/>
      <c r="U1019" s="299"/>
      <c r="V1019" s="292"/>
      <c r="W1019" s="309"/>
      <c r="X1019" s="292"/>
      <c r="Y1019" s="309"/>
      <c r="Z1019" s="292"/>
      <c r="AA1019" s="315"/>
      <c r="AB1019" s="297"/>
      <c r="AC1019" s="292"/>
      <c r="AD1019" s="292"/>
      <c r="AE1019" s="292"/>
      <c r="AF1019" s="303"/>
      <c r="AG1019" s="303"/>
      <c r="AH1019" s="303"/>
      <c r="AI1019" s="303"/>
    </row>
    <row r="1020">
      <c r="A1020" s="304"/>
      <c r="B1020" s="299"/>
      <c r="C1020" s="292"/>
      <c r="D1020" s="293"/>
      <c r="E1020" s="292"/>
      <c r="F1020" s="293"/>
      <c r="G1020" s="294"/>
      <c r="H1020" s="295"/>
      <c r="I1020" s="303"/>
      <c r="J1020" s="303"/>
      <c r="K1020" s="297"/>
      <c r="L1020" s="303"/>
      <c r="M1020" s="303"/>
      <c r="N1020" s="297"/>
      <c r="O1020" s="292"/>
      <c r="P1020" s="303"/>
      <c r="Q1020" s="298"/>
      <c r="R1020" s="294"/>
      <c r="S1020" s="297"/>
      <c r="T1020" s="292"/>
      <c r="U1020" s="299"/>
      <c r="V1020" s="292"/>
      <c r="W1020" s="309"/>
      <c r="X1020" s="292"/>
      <c r="Y1020" s="309"/>
      <c r="Z1020" s="292"/>
      <c r="AA1020" s="315"/>
      <c r="AB1020" s="297"/>
      <c r="AC1020" s="292"/>
      <c r="AD1020" s="292"/>
      <c r="AE1020" s="292"/>
      <c r="AF1020" s="303"/>
      <c r="AG1020" s="303"/>
      <c r="AH1020" s="303"/>
      <c r="AI1020" s="303"/>
    </row>
    <row r="1021">
      <c r="A1021" s="304"/>
      <c r="B1021" s="299"/>
      <c r="C1021" s="292"/>
      <c r="D1021" s="293"/>
      <c r="E1021" s="292"/>
      <c r="F1021" s="293"/>
      <c r="G1021" s="294"/>
      <c r="H1021" s="295"/>
      <c r="I1021" s="303"/>
      <c r="J1021" s="303"/>
      <c r="K1021" s="297"/>
      <c r="L1021" s="303"/>
      <c r="M1021" s="303"/>
      <c r="N1021" s="297"/>
      <c r="O1021" s="292"/>
      <c r="P1021" s="303"/>
      <c r="Q1021" s="298"/>
      <c r="R1021" s="294"/>
      <c r="S1021" s="297"/>
      <c r="T1021" s="292"/>
      <c r="U1021" s="299"/>
      <c r="V1021" s="292"/>
      <c r="W1021" s="309"/>
      <c r="X1021" s="292"/>
      <c r="Y1021" s="309"/>
      <c r="Z1021" s="292"/>
      <c r="AA1021" s="315"/>
      <c r="AB1021" s="297"/>
      <c r="AC1021" s="292"/>
      <c r="AD1021" s="292"/>
      <c r="AE1021" s="292"/>
      <c r="AF1021" s="303"/>
      <c r="AG1021" s="303"/>
      <c r="AH1021" s="303"/>
      <c r="AI1021" s="303"/>
    </row>
    <row r="1022">
      <c r="A1022" s="304"/>
      <c r="B1022" s="299"/>
      <c r="C1022" s="292"/>
      <c r="D1022" s="293"/>
      <c r="E1022" s="292"/>
      <c r="F1022" s="293"/>
      <c r="G1022" s="294"/>
      <c r="H1022" s="295"/>
      <c r="I1022" s="303"/>
      <c r="J1022" s="303"/>
      <c r="K1022" s="297"/>
      <c r="L1022" s="303"/>
      <c r="M1022" s="303"/>
      <c r="N1022" s="297"/>
      <c r="O1022" s="292"/>
      <c r="P1022" s="303"/>
      <c r="Q1022" s="298"/>
      <c r="R1022" s="294"/>
      <c r="S1022" s="297"/>
      <c r="T1022" s="292"/>
      <c r="U1022" s="299"/>
      <c r="V1022" s="292"/>
      <c r="W1022" s="309"/>
      <c r="X1022" s="292"/>
      <c r="Y1022" s="309"/>
      <c r="Z1022" s="292"/>
      <c r="AA1022" s="315"/>
      <c r="AB1022" s="297"/>
      <c r="AC1022" s="292"/>
      <c r="AD1022" s="292"/>
      <c r="AE1022" s="292"/>
      <c r="AF1022" s="303"/>
      <c r="AG1022" s="303"/>
      <c r="AH1022" s="303"/>
      <c r="AI1022" s="303"/>
    </row>
    <row r="1023">
      <c r="A1023" s="304"/>
      <c r="B1023" s="299"/>
      <c r="C1023" s="292"/>
      <c r="D1023" s="293"/>
      <c r="E1023" s="292"/>
      <c r="F1023" s="293"/>
      <c r="G1023" s="294"/>
      <c r="H1023" s="295"/>
      <c r="I1023" s="303"/>
      <c r="J1023" s="303"/>
      <c r="K1023" s="297"/>
      <c r="L1023" s="303"/>
      <c r="M1023" s="303"/>
      <c r="N1023" s="297"/>
      <c r="O1023" s="292"/>
      <c r="P1023" s="303"/>
      <c r="Q1023" s="298"/>
      <c r="R1023" s="294"/>
      <c r="S1023" s="297"/>
      <c r="T1023" s="292"/>
      <c r="U1023" s="299"/>
      <c r="V1023" s="292"/>
      <c r="W1023" s="309"/>
      <c r="X1023" s="292"/>
      <c r="Y1023" s="309"/>
      <c r="Z1023" s="292"/>
      <c r="AA1023" s="315"/>
      <c r="AB1023" s="297"/>
      <c r="AC1023" s="292"/>
      <c r="AD1023" s="292"/>
      <c r="AE1023" s="292"/>
      <c r="AF1023" s="303"/>
      <c r="AG1023" s="303"/>
      <c r="AH1023" s="303"/>
      <c r="AI1023" s="303"/>
    </row>
    <row r="1024">
      <c r="A1024" s="304"/>
      <c r="B1024" s="299"/>
      <c r="C1024" s="292"/>
      <c r="D1024" s="293"/>
      <c r="E1024" s="292"/>
      <c r="F1024" s="293"/>
      <c r="G1024" s="294"/>
      <c r="H1024" s="295"/>
      <c r="I1024" s="303"/>
      <c r="J1024" s="303"/>
      <c r="K1024" s="297"/>
      <c r="L1024" s="303"/>
      <c r="M1024" s="303"/>
      <c r="N1024" s="297"/>
      <c r="O1024" s="292"/>
      <c r="P1024" s="303"/>
      <c r="Q1024" s="298"/>
      <c r="R1024" s="294"/>
      <c r="S1024" s="297"/>
      <c r="T1024" s="292"/>
      <c r="U1024" s="299"/>
      <c r="V1024" s="292"/>
      <c r="W1024" s="309"/>
      <c r="X1024" s="292"/>
      <c r="Y1024" s="309"/>
      <c r="Z1024" s="292"/>
      <c r="AA1024" s="315"/>
      <c r="AB1024" s="297"/>
      <c r="AC1024" s="292"/>
      <c r="AD1024" s="292"/>
      <c r="AE1024" s="292"/>
      <c r="AF1024" s="303"/>
      <c r="AG1024" s="303"/>
      <c r="AH1024" s="303"/>
      <c r="AI1024" s="303"/>
    </row>
    <row r="1025">
      <c r="A1025" s="304"/>
      <c r="B1025" s="299"/>
      <c r="C1025" s="292"/>
      <c r="D1025" s="293"/>
      <c r="E1025" s="292"/>
      <c r="F1025" s="293"/>
      <c r="G1025" s="294"/>
      <c r="H1025" s="295"/>
      <c r="I1025" s="303"/>
      <c r="J1025" s="303"/>
      <c r="K1025" s="297"/>
      <c r="L1025" s="303"/>
      <c r="M1025" s="303"/>
      <c r="N1025" s="297"/>
      <c r="O1025" s="292"/>
      <c r="P1025" s="303"/>
      <c r="Q1025" s="298"/>
      <c r="R1025" s="294"/>
      <c r="S1025" s="297"/>
      <c r="T1025" s="292"/>
      <c r="U1025" s="299"/>
      <c r="V1025" s="292"/>
      <c r="W1025" s="309"/>
      <c r="X1025" s="292"/>
      <c r="Y1025" s="309"/>
      <c r="Z1025" s="292"/>
      <c r="AA1025" s="315"/>
      <c r="AB1025" s="297"/>
      <c r="AC1025" s="292"/>
      <c r="AD1025" s="292"/>
      <c r="AE1025" s="292"/>
      <c r="AF1025" s="303"/>
      <c r="AG1025" s="303"/>
      <c r="AH1025" s="303"/>
      <c r="AI1025" s="303"/>
    </row>
    <row r="1026">
      <c r="A1026" s="304"/>
      <c r="B1026" s="299"/>
      <c r="C1026" s="292"/>
      <c r="D1026" s="293"/>
      <c r="E1026" s="292"/>
      <c r="F1026" s="293"/>
      <c r="G1026" s="294"/>
      <c r="H1026" s="295"/>
      <c r="I1026" s="303"/>
      <c r="J1026" s="303"/>
      <c r="K1026" s="297"/>
      <c r="L1026" s="303"/>
      <c r="M1026" s="303"/>
      <c r="N1026" s="297"/>
      <c r="O1026" s="292"/>
      <c r="P1026" s="303"/>
      <c r="Q1026" s="298"/>
      <c r="R1026" s="294"/>
      <c r="S1026" s="297"/>
      <c r="T1026" s="292"/>
      <c r="U1026" s="299"/>
      <c r="V1026" s="292"/>
      <c r="W1026" s="309"/>
      <c r="X1026" s="292"/>
      <c r="Y1026" s="309"/>
      <c r="Z1026" s="292"/>
      <c r="AA1026" s="315"/>
      <c r="AB1026" s="297"/>
      <c r="AC1026" s="292"/>
      <c r="AD1026" s="292"/>
      <c r="AE1026" s="292"/>
      <c r="AF1026" s="303"/>
      <c r="AG1026" s="303"/>
      <c r="AH1026" s="303"/>
      <c r="AI1026" s="303"/>
    </row>
    <row r="1027">
      <c r="A1027" s="304"/>
      <c r="B1027" s="299"/>
      <c r="C1027" s="292"/>
      <c r="D1027" s="293"/>
      <c r="E1027" s="292"/>
      <c r="F1027" s="293"/>
      <c r="G1027" s="294"/>
      <c r="H1027" s="295"/>
      <c r="I1027" s="303"/>
      <c r="J1027" s="303"/>
      <c r="K1027" s="297"/>
      <c r="L1027" s="303"/>
      <c r="M1027" s="303"/>
      <c r="N1027" s="297"/>
      <c r="O1027" s="292"/>
      <c r="P1027" s="303"/>
      <c r="Q1027" s="298"/>
      <c r="R1027" s="294"/>
      <c r="S1027" s="297"/>
      <c r="T1027" s="292"/>
      <c r="U1027" s="299"/>
      <c r="V1027" s="292"/>
      <c r="W1027" s="309"/>
      <c r="X1027" s="292"/>
      <c r="Y1027" s="309"/>
      <c r="Z1027" s="292"/>
      <c r="AA1027" s="315"/>
      <c r="AB1027" s="297"/>
      <c r="AC1027" s="292"/>
      <c r="AD1027" s="292"/>
      <c r="AE1027" s="292"/>
      <c r="AF1027" s="303"/>
      <c r="AG1027" s="303"/>
      <c r="AH1027" s="303"/>
      <c r="AI1027" s="303"/>
    </row>
    <row r="1028">
      <c r="A1028" s="304"/>
      <c r="B1028" s="299"/>
      <c r="C1028" s="292"/>
      <c r="D1028" s="293"/>
      <c r="E1028" s="292"/>
      <c r="F1028" s="293"/>
      <c r="G1028" s="294"/>
      <c r="H1028" s="295"/>
      <c r="I1028" s="303"/>
      <c r="J1028" s="303"/>
      <c r="K1028" s="297"/>
      <c r="L1028" s="303"/>
      <c r="M1028" s="303"/>
      <c r="N1028" s="297"/>
      <c r="O1028" s="292"/>
      <c r="P1028" s="303"/>
      <c r="Q1028" s="298"/>
      <c r="R1028" s="294"/>
      <c r="S1028" s="297"/>
      <c r="T1028" s="292"/>
      <c r="U1028" s="299"/>
      <c r="V1028" s="292"/>
      <c r="W1028" s="309"/>
      <c r="X1028" s="292"/>
      <c r="Y1028" s="309"/>
      <c r="Z1028" s="292"/>
      <c r="AA1028" s="315"/>
      <c r="AB1028" s="297"/>
      <c r="AC1028" s="292"/>
      <c r="AD1028" s="292"/>
      <c r="AE1028" s="292"/>
      <c r="AF1028" s="303"/>
      <c r="AG1028" s="303"/>
      <c r="AH1028" s="303"/>
      <c r="AI1028" s="303"/>
    </row>
    <row r="1029">
      <c r="A1029" s="304"/>
      <c r="B1029" s="299"/>
      <c r="C1029" s="292"/>
      <c r="D1029" s="293"/>
      <c r="E1029" s="292"/>
      <c r="F1029" s="293"/>
      <c r="G1029" s="294"/>
      <c r="H1029" s="295"/>
      <c r="I1029" s="303"/>
      <c r="J1029" s="303"/>
      <c r="K1029" s="297"/>
      <c r="L1029" s="303"/>
      <c r="M1029" s="303"/>
      <c r="N1029" s="297"/>
      <c r="O1029" s="292"/>
      <c r="P1029" s="303"/>
      <c r="Q1029" s="298"/>
      <c r="R1029" s="294"/>
      <c r="S1029" s="297"/>
      <c r="T1029" s="292"/>
      <c r="U1029" s="299"/>
      <c r="V1029" s="292"/>
      <c r="W1029" s="309"/>
      <c r="X1029" s="292"/>
      <c r="Y1029" s="309"/>
      <c r="Z1029" s="292"/>
      <c r="AA1029" s="315"/>
      <c r="AB1029" s="297"/>
      <c r="AC1029" s="292"/>
      <c r="AD1029" s="292"/>
      <c r="AE1029" s="292"/>
      <c r="AF1029" s="303"/>
      <c r="AG1029" s="303"/>
      <c r="AH1029" s="303"/>
      <c r="AI1029" s="303"/>
    </row>
    <row r="1030">
      <c r="A1030" s="304"/>
      <c r="B1030" s="299"/>
      <c r="C1030" s="292"/>
      <c r="D1030" s="293"/>
      <c r="E1030" s="292"/>
      <c r="F1030" s="293"/>
      <c r="G1030" s="294"/>
      <c r="H1030" s="295"/>
      <c r="I1030" s="303"/>
      <c r="J1030" s="303"/>
      <c r="K1030" s="297"/>
      <c r="L1030" s="303"/>
      <c r="M1030" s="303"/>
      <c r="N1030" s="297"/>
      <c r="O1030" s="292"/>
      <c r="P1030" s="303"/>
      <c r="Q1030" s="298"/>
      <c r="R1030" s="294"/>
      <c r="S1030" s="297"/>
      <c r="T1030" s="292"/>
      <c r="U1030" s="299"/>
      <c r="V1030" s="292"/>
      <c r="W1030" s="309"/>
      <c r="X1030" s="292"/>
      <c r="Y1030" s="309"/>
      <c r="Z1030" s="292"/>
      <c r="AA1030" s="315"/>
      <c r="AB1030" s="297"/>
      <c r="AC1030" s="292"/>
      <c r="AD1030" s="292"/>
      <c r="AE1030" s="292"/>
      <c r="AF1030" s="303"/>
      <c r="AG1030" s="303"/>
      <c r="AH1030" s="303"/>
      <c r="AI1030" s="303"/>
    </row>
    <row r="1031">
      <c r="A1031" s="304"/>
      <c r="B1031" s="299"/>
      <c r="C1031" s="292"/>
      <c r="D1031" s="293"/>
      <c r="E1031" s="292"/>
      <c r="F1031" s="293"/>
      <c r="G1031" s="294"/>
      <c r="H1031" s="295"/>
      <c r="I1031" s="303"/>
      <c r="J1031" s="303"/>
      <c r="K1031" s="297"/>
      <c r="L1031" s="303"/>
      <c r="M1031" s="303"/>
      <c r="N1031" s="297"/>
      <c r="O1031" s="292"/>
      <c r="P1031" s="303"/>
      <c r="Q1031" s="298"/>
      <c r="R1031" s="294"/>
      <c r="S1031" s="297"/>
      <c r="T1031" s="292"/>
      <c r="U1031" s="299"/>
      <c r="V1031" s="292"/>
      <c r="W1031" s="309"/>
      <c r="X1031" s="292"/>
      <c r="Y1031" s="309"/>
      <c r="Z1031" s="292"/>
      <c r="AA1031" s="315"/>
      <c r="AB1031" s="297"/>
      <c r="AC1031" s="292"/>
      <c r="AD1031" s="292"/>
      <c r="AE1031" s="292"/>
      <c r="AF1031" s="303"/>
      <c r="AG1031" s="303"/>
      <c r="AH1031" s="303"/>
      <c r="AI1031" s="303"/>
    </row>
    <row r="1032">
      <c r="A1032" s="304"/>
      <c r="B1032" s="299"/>
      <c r="C1032" s="292"/>
      <c r="D1032" s="293"/>
      <c r="E1032" s="292"/>
      <c r="F1032" s="293"/>
      <c r="G1032" s="294"/>
      <c r="H1032" s="295"/>
      <c r="I1032" s="303"/>
      <c r="J1032" s="303"/>
      <c r="K1032" s="297"/>
      <c r="L1032" s="303"/>
      <c r="M1032" s="303"/>
      <c r="N1032" s="297"/>
      <c r="O1032" s="292"/>
      <c r="P1032" s="303"/>
      <c r="Q1032" s="298"/>
      <c r="R1032" s="294"/>
      <c r="S1032" s="297"/>
      <c r="T1032" s="292"/>
      <c r="U1032" s="299"/>
      <c r="V1032" s="292"/>
      <c r="W1032" s="309"/>
      <c r="X1032" s="292"/>
      <c r="Y1032" s="309"/>
      <c r="Z1032" s="292"/>
      <c r="AA1032" s="315"/>
      <c r="AB1032" s="297"/>
      <c r="AC1032" s="292"/>
      <c r="AD1032" s="292"/>
      <c r="AE1032" s="292"/>
      <c r="AF1032" s="303"/>
      <c r="AG1032" s="303"/>
      <c r="AH1032" s="303"/>
      <c r="AI1032" s="303"/>
    </row>
    <row r="1033">
      <c r="A1033" s="304"/>
      <c r="B1033" s="318"/>
      <c r="C1033" s="292"/>
      <c r="D1033" s="293"/>
      <c r="E1033" s="292"/>
      <c r="F1033" s="293"/>
      <c r="G1033" s="294"/>
      <c r="H1033" s="295"/>
      <c r="I1033" s="303"/>
      <c r="J1033" s="303"/>
      <c r="K1033" s="303"/>
      <c r="L1033" s="303"/>
      <c r="M1033" s="303"/>
      <c r="N1033" s="303"/>
      <c r="O1033" s="292"/>
      <c r="P1033" s="303"/>
      <c r="Q1033" s="298"/>
      <c r="R1033" s="294"/>
      <c r="S1033" s="297"/>
      <c r="T1033" s="292"/>
      <c r="U1033" s="299"/>
      <c r="V1033" s="292"/>
      <c r="W1033" s="309"/>
      <c r="X1033" s="292"/>
      <c r="Y1033" s="309"/>
      <c r="Z1033" s="292"/>
      <c r="AA1033" s="315"/>
      <c r="AB1033" s="297"/>
      <c r="AC1033" s="292"/>
      <c r="AD1033" s="292"/>
      <c r="AE1033" s="292"/>
      <c r="AF1033" s="303"/>
      <c r="AG1033" s="303"/>
      <c r="AH1033" s="303"/>
      <c r="AI1033" s="303"/>
    </row>
    <row r="1034">
      <c r="A1034" s="304"/>
      <c r="B1034" s="318"/>
      <c r="C1034" s="292"/>
      <c r="D1034" s="293"/>
      <c r="E1034" s="292"/>
      <c r="F1034" s="293"/>
      <c r="G1034" s="294"/>
      <c r="H1034" s="295"/>
      <c r="I1034" s="303"/>
      <c r="J1034" s="303"/>
      <c r="K1034" s="303"/>
      <c r="L1034" s="303"/>
      <c r="M1034" s="303"/>
      <c r="N1034" s="303"/>
      <c r="Q1034" s="298"/>
      <c r="R1034" s="294"/>
      <c r="S1034" s="297"/>
      <c r="T1034" s="292"/>
      <c r="U1034" s="299"/>
      <c r="V1034" s="292"/>
      <c r="W1034" s="309"/>
      <c r="X1034" s="292"/>
      <c r="Y1034" s="309"/>
      <c r="Z1034" s="292"/>
      <c r="AA1034" s="315"/>
      <c r="AB1034" s="297"/>
      <c r="AC1034" s="292"/>
      <c r="AD1034" s="292"/>
      <c r="AE1034" s="292"/>
      <c r="AF1034" s="303"/>
      <c r="AG1034" s="303"/>
      <c r="AH1034" s="303"/>
      <c r="AI1034" s="303"/>
    </row>
    <row r="1035">
      <c r="A1035" s="304"/>
      <c r="B1035" s="318"/>
      <c r="C1035" s="292"/>
      <c r="D1035" s="293"/>
      <c r="E1035" s="292"/>
      <c r="F1035" s="293"/>
      <c r="G1035" s="294"/>
      <c r="H1035" s="295"/>
      <c r="I1035" s="303"/>
      <c r="J1035" s="303"/>
      <c r="K1035" s="303"/>
      <c r="L1035" s="303"/>
      <c r="M1035" s="303"/>
      <c r="N1035" s="303"/>
      <c r="Q1035" s="298"/>
      <c r="R1035" s="294"/>
      <c r="S1035" s="297"/>
      <c r="T1035" s="292"/>
      <c r="U1035" s="299"/>
      <c r="V1035" s="292"/>
      <c r="W1035" s="309"/>
      <c r="X1035" s="292"/>
      <c r="Y1035" s="309"/>
      <c r="Z1035" s="292"/>
      <c r="AA1035" s="315"/>
      <c r="AB1035" s="297"/>
      <c r="AC1035" s="292"/>
      <c r="AD1035" s="292"/>
      <c r="AE1035" s="292"/>
      <c r="AF1035" s="303"/>
      <c r="AG1035" s="303"/>
      <c r="AH1035" s="303"/>
      <c r="AI1035" s="303"/>
    </row>
    <row r="1036">
      <c r="A1036" s="304"/>
      <c r="B1036" s="318"/>
      <c r="C1036" s="292"/>
      <c r="D1036" s="293"/>
      <c r="E1036" s="292"/>
      <c r="F1036" s="293"/>
      <c r="G1036" s="294"/>
      <c r="H1036" s="295"/>
      <c r="I1036" s="303"/>
      <c r="J1036" s="303"/>
      <c r="K1036" s="303"/>
      <c r="L1036" s="303"/>
      <c r="M1036" s="303"/>
      <c r="N1036" s="303"/>
      <c r="Q1036" s="298"/>
      <c r="R1036" s="294"/>
      <c r="S1036" s="297"/>
      <c r="T1036" s="292"/>
      <c r="U1036" s="299"/>
      <c r="V1036" s="292"/>
      <c r="W1036" s="309"/>
      <c r="X1036" s="292"/>
      <c r="Y1036" s="309"/>
      <c r="Z1036" s="292"/>
      <c r="AA1036" s="315"/>
      <c r="AB1036" s="297"/>
      <c r="AC1036" s="292"/>
      <c r="AD1036" s="292"/>
      <c r="AE1036" s="292"/>
      <c r="AF1036" s="303"/>
      <c r="AG1036" s="303"/>
      <c r="AH1036" s="303"/>
      <c r="AI1036" s="303"/>
    </row>
    <row r="1037">
      <c r="A1037" s="304"/>
      <c r="B1037" s="318"/>
      <c r="C1037" s="292"/>
      <c r="D1037" s="293"/>
      <c r="E1037" s="292"/>
      <c r="F1037" s="293"/>
      <c r="G1037" s="294"/>
      <c r="H1037" s="295"/>
      <c r="I1037" s="303"/>
      <c r="J1037" s="303"/>
      <c r="K1037" s="303"/>
      <c r="L1037" s="303"/>
      <c r="M1037" s="303"/>
      <c r="N1037" s="303"/>
      <c r="Q1037" s="298"/>
      <c r="R1037" s="294"/>
      <c r="S1037" s="297"/>
      <c r="T1037" s="292"/>
      <c r="U1037" s="299"/>
      <c r="V1037" s="292"/>
      <c r="W1037" s="309"/>
      <c r="X1037" s="292"/>
      <c r="Y1037" s="309"/>
      <c r="Z1037" s="292"/>
      <c r="AA1037" s="315"/>
      <c r="AB1037" s="297"/>
      <c r="AC1037" s="292"/>
      <c r="AD1037" s="292"/>
      <c r="AE1037" s="292"/>
      <c r="AF1037" s="303"/>
      <c r="AG1037" s="303"/>
      <c r="AH1037" s="303"/>
      <c r="AI1037" s="303"/>
    </row>
    <row r="1038">
      <c r="A1038" s="304"/>
      <c r="B1038" s="318"/>
      <c r="C1038" s="292"/>
      <c r="D1038" s="293"/>
      <c r="E1038" s="292"/>
      <c r="F1038" s="293"/>
      <c r="G1038" s="294"/>
      <c r="H1038" s="295"/>
      <c r="I1038" s="303"/>
      <c r="J1038" s="303"/>
      <c r="K1038" s="303"/>
      <c r="L1038" s="303"/>
      <c r="M1038" s="303"/>
      <c r="N1038" s="303"/>
      <c r="Q1038" s="298"/>
      <c r="R1038" s="294"/>
      <c r="S1038" s="297"/>
      <c r="T1038" s="292"/>
      <c r="U1038" s="299"/>
      <c r="V1038" s="292"/>
      <c r="W1038" s="309"/>
      <c r="X1038" s="292"/>
      <c r="Y1038" s="309"/>
      <c r="Z1038" s="292"/>
      <c r="AA1038" s="315"/>
      <c r="AB1038" s="297"/>
      <c r="AC1038" s="292"/>
      <c r="AD1038" s="292"/>
      <c r="AE1038" s="292"/>
      <c r="AF1038" s="303"/>
      <c r="AG1038" s="303"/>
      <c r="AH1038" s="303"/>
      <c r="AI1038" s="303"/>
    </row>
    <row r="1039">
      <c r="A1039" s="304"/>
      <c r="B1039" s="318"/>
      <c r="C1039" s="292"/>
      <c r="D1039" s="293"/>
      <c r="E1039" s="292"/>
      <c r="F1039" s="293"/>
      <c r="G1039" s="294"/>
      <c r="H1039" s="295"/>
      <c r="I1039" s="303"/>
      <c r="J1039" s="303"/>
      <c r="K1039" s="303"/>
      <c r="L1039" s="303"/>
      <c r="M1039" s="303"/>
      <c r="N1039" s="303"/>
      <c r="Q1039" s="298"/>
      <c r="R1039" s="294"/>
      <c r="S1039" s="297"/>
      <c r="T1039" s="292"/>
      <c r="U1039" s="299"/>
      <c r="V1039" s="292"/>
      <c r="W1039" s="309"/>
      <c r="X1039" s="292"/>
      <c r="Y1039" s="309"/>
      <c r="Z1039" s="292"/>
      <c r="AA1039" s="315"/>
      <c r="AB1039" s="297"/>
      <c r="AC1039" s="292"/>
      <c r="AD1039" s="292"/>
      <c r="AE1039" s="292"/>
      <c r="AF1039" s="303"/>
      <c r="AG1039" s="303"/>
      <c r="AH1039" s="303"/>
      <c r="AI1039" s="303"/>
    </row>
    <row r="1040">
      <c r="A1040" s="304"/>
      <c r="B1040" s="318"/>
      <c r="C1040" s="292"/>
      <c r="D1040" s="293"/>
      <c r="E1040" s="292"/>
      <c r="F1040" s="293"/>
      <c r="G1040" s="294"/>
      <c r="H1040" s="295"/>
      <c r="I1040" s="303"/>
      <c r="J1040" s="303"/>
      <c r="K1040" s="303"/>
      <c r="L1040" s="303"/>
      <c r="M1040" s="303"/>
      <c r="N1040" s="303"/>
      <c r="Q1040" s="298"/>
      <c r="R1040" s="294"/>
      <c r="S1040" s="297"/>
      <c r="T1040" s="292"/>
      <c r="U1040" s="299"/>
      <c r="V1040" s="292"/>
      <c r="W1040" s="309"/>
      <c r="X1040" s="292"/>
      <c r="Y1040" s="309"/>
      <c r="Z1040" s="292"/>
      <c r="AA1040" s="315"/>
      <c r="AB1040" s="297"/>
      <c r="AC1040" s="292"/>
      <c r="AD1040" s="292"/>
      <c r="AE1040" s="292"/>
      <c r="AF1040" s="303"/>
      <c r="AG1040" s="303"/>
      <c r="AH1040" s="303"/>
      <c r="AI1040" s="303"/>
    </row>
    <row r="1041">
      <c r="A1041" s="292"/>
      <c r="B1041" s="318"/>
      <c r="C1041" s="292"/>
      <c r="D1041" s="293"/>
      <c r="E1041" s="292"/>
      <c r="F1041" s="293"/>
      <c r="G1041" s="294"/>
      <c r="H1041" s="303"/>
      <c r="I1041" s="303"/>
      <c r="J1041" s="303"/>
      <c r="K1041" s="303"/>
      <c r="L1041" s="303"/>
      <c r="M1041" s="303"/>
      <c r="N1041" s="303"/>
      <c r="Q1041" s="298"/>
      <c r="R1041" s="294"/>
      <c r="S1041" s="297"/>
      <c r="T1041" s="292"/>
      <c r="U1041" s="299"/>
      <c r="V1041" s="292"/>
      <c r="W1041" s="309"/>
      <c r="X1041" s="292"/>
      <c r="Y1041" s="309"/>
      <c r="Z1041" s="292"/>
      <c r="AA1041" s="315"/>
      <c r="AB1041" s="297"/>
      <c r="AC1041" s="292"/>
      <c r="AD1041" s="292"/>
      <c r="AE1041" s="292"/>
      <c r="AF1041" s="303"/>
      <c r="AG1041" s="303"/>
      <c r="AH1041" s="303"/>
      <c r="AI1041" s="303"/>
    </row>
    <row r="1042">
      <c r="A1042" s="292"/>
      <c r="B1042" s="318"/>
      <c r="C1042" s="292"/>
      <c r="D1042" s="293"/>
      <c r="E1042" s="292"/>
      <c r="F1042" s="293"/>
      <c r="G1042" s="294"/>
      <c r="H1042" s="303"/>
      <c r="I1042" s="303"/>
      <c r="J1042" s="303"/>
      <c r="K1042" s="303"/>
      <c r="L1042" s="303"/>
      <c r="M1042" s="303"/>
      <c r="N1042" s="303"/>
      <c r="Q1042" s="292"/>
      <c r="R1042" s="294"/>
      <c r="S1042" s="297"/>
      <c r="T1042" s="292"/>
      <c r="U1042" s="299"/>
      <c r="V1042" s="292"/>
      <c r="W1042" s="309"/>
      <c r="X1042" s="292"/>
      <c r="Y1042" s="309"/>
      <c r="Z1042" s="292"/>
      <c r="AA1042" s="315"/>
      <c r="AB1042" s="297"/>
      <c r="AC1042" s="292"/>
      <c r="AD1042" s="292"/>
      <c r="AE1042" s="292"/>
      <c r="AF1042" s="303"/>
      <c r="AG1042" s="303"/>
      <c r="AH1042" s="303"/>
      <c r="AI1042" s="303"/>
    </row>
    <row r="1043">
      <c r="A1043" s="292"/>
      <c r="B1043" s="318"/>
      <c r="C1043" s="292"/>
      <c r="D1043" s="293"/>
      <c r="E1043" s="292"/>
      <c r="F1043" s="293"/>
      <c r="G1043" s="294"/>
      <c r="H1043" s="303"/>
      <c r="I1043" s="303"/>
      <c r="J1043" s="303"/>
      <c r="K1043" s="303"/>
      <c r="L1043" s="303"/>
      <c r="M1043" s="303"/>
      <c r="N1043" s="303"/>
      <c r="Q1043" s="292"/>
      <c r="R1043" s="294"/>
      <c r="S1043" s="297"/>
      <c r="T1043" s="292"/>
      <c r="U1043" s="299"/>
      <c r="V1043" s="292"/>
      <c r="W1043" s="309"/>
      <c r="X1043" s="292"/>
      <c r="Y1043" s="309"/>
      <c r="Z1043" s="292"/>
      <c r="AA1043" s="315"/>
      <c r="AB1043" s="297"/>
      <c r="AC1043" s="292"/>
      <c r="AD1043" s="292"/>
      <c r="AE1043" s="292"/>
      <c r="AF1043" s="303"/>
      <c r="AG1043" s="303"/>
      <c r="AH1043" s="303"/>
      <c r="AI1043" s="303"/>
    </row>
    <row r="1044">
      <c r="A1044" s="292"/>
      <c r="B1044" s="318"/>
      <c r="C1044" s="292"/>
      <c r="D1044" s="293"/>
      <c r="E1044" s="292"/>
      <c r="F1044" s="293"/>
      <c r="G1044" s="294"/>
      <c r="H1044" s="303"/>
      <c r="I1044" s="303"/>
      <c r="J1044" s="303"/>
      <c r="K1044" s="303"/>
      <c r="L1044" s="303"/>
      <c r="M1044" s="303"/>
      <c r="N1044" s="303"/>
      <c r="Q1044" s="292"/>
      <c r="R1044" s="294"/>
      <c r="S1044" s="297"/>
      <c r="T1044" s="292"/>
      <c r="U1044" s="299"/>
      <c r="V1044" s="292"/>
      <c r="W1044" s="309"/>
      <c r="X1044" s="292"/>
      <c r="Y1044" s="309"/>
      <c r="Z1044" s="292"/>
      <c r="AA1044" s="315"/>
      <c r="AB1044" s="297"/>
      <c r="AC1044" s="292"/>
      <c r="AD1044" s="292"/>
      <c r="AE1044" s="292"/>
      <c r="AF1044" s="303"/>
      <c r="AG1044" s="303"/>
      <c r="AH1044" s="303"/>
      <c r="AI1044" s="303"/>
    </row>
    <row r="1045">
      <c r="A1045" s="292"/>
      <c r="B1045" s="318"/>
      <c r="C1045" s="292"/>
      <c r="D1045" s="293"/>
      <c r="E1045" s="292"/>
      <c r="F1045" s="293"/>
      <c r="G1045" s="294"/>
      <c r="H1045" s="303"/>
      <c r="I1045" s="303"/>
      <c r="J1045" s="303"/>
      <c r="K1045" s="303"/>
      <c r="L1045" s="303"/>
      <c r="M1045" s="303"/>
      <c r="N1045" s="303"/>
      <c r="Q1045" s="292"/>
      <c r="R1045" s="294"/>
      <c r="S1045" s="297"/>
      <c r="T1045" s="292"/>
      <c r="U1045" s="299"/>
      <c r="V1045" s="292"/>
      <c r="W1045" s="309"/>
      <c r="X1045" s="292"/>
      <c r="Y1045" s="309"/>
      <c r="Z1045" s="292"/>
      <c r="AA1045" s="315"/>
      <c r="AB1045" s="297"/>
      <c r="AC1045" s="292"/>
      <c r="AD1045" s="292"/>
      <c r="AE1045" s="292"/>
      <c r="AF1045" s="303"/>
      <c r="AG1045" s="303"/>
      <c r="AH1045" s="303"/>
      <c r="AI1045" s="303"/>
    </row>
    <row r="1046">
      <c r="A1046" s="292"/>
      <c r="B1046" s="318"/>
      <c r="C1046" s="292"/>
      <c r="D1046" s="293"/>
      <c r="E1046" s="292"/>
      <c r="F1046" s="293"/>
      <c r="G1046" s="294"/>
      <c r="H1046" s="303"/>
      <c r="I1046" s="303"/>
      <c r="J1046" s="303"/>
      <c r="K1046" s="303"/>
      <c r="L1046" s="303"/>
      <c r="M1046" s="303"/>
      <c r="N1046" s="303"/>
      <c r="Q1046" s="292"/>
      <c r="R1046" s="294"/>
      <c r="S1046" s="297"/>
      <c r="T1046" s="292"/>
      <c r="U1046" s="299"/>
      <c r="V1046" s="292"/>
      <c r="W1046" s="309"/>
      <c r="X1046" s="292"/>
      <c r="Y1046" s="309"/>
      <c r="Z1046" s="292"/>
      <c r="AA1046" s="315"/>
      <c r="AB1046" s="297"/>
      <c r="AC1046" s="292"/>
      <c r="AD1046" s="292"/>
      <c r="AE1046" s="292"/>
      <c r="AF1046" s="303"/>
      <c r="AG1046" s="303"/>
      <c r="AH1046" s="303"/>
      <c r="AI1046" s="303"/>
    </row>
    <row r="1047">
      <c r="A1047" s="292"/>
      <c r="B1047" s="318"/>
      <c r="C1047" s="292"/>
      <c r="D1047" s="293"/>
      <c r="E1047" s="292"/>
      <c r="F1047" s="293"/>
      <c r="G1047" s="294"/>
      <c r="H1047" s="303"/>
      <c r="I1047" s="303"/>
      <c r="J1047" s="303"/>
      <c r="K1047" s="303"/>
      <c r="L1047" s="303"/>
      <c r="M1047" s="303"/>
      <c r="N1047" s="303"/>
      <c r="Q1047" s="292"/>
      <c r="R1047" s="294"/>
      <c r="S1047" s="297"/>
      <c r="T1047" s="292"/>
      <c r="U1047" s="299"/>
      <c r="V1047" s="292"/>
      <c r="W1047" s="309"/>
      <c r="X1047" s="292"/>
      <c r="Y1047" s="309"/>
      <c r="Z1047" s="292"/>
      <c r="AA1047" s="315"/>
      <c r="AB1047" s="297"/>
      <c r="AC1047" s="292"/>
      <c r="AD1047" s="292"/>
      <c r="AE1047" s="292"/>
      <c r="AF1047" s="303"/>
      <c r="AG1047" s="303"/>
      <c r="AH1047" s="303"/>
      <c r="AI1047" s="303"/>
    </row>
    <row r="1048">
      <c r="A1048" s="292"/>
      <c r="B1048" s="318"/>
      <c r="C1048" s="292"/>
      <c r="D1048" s="293"/>
      <c r="E1048" s="292"/>
      <c r="F1048" s="293"/>
      <c r="G1048" s="294"/>
      <c r="H1048" s="303"/>
      <c r="I1048" s="303"/>
      <c r="J1048" s="303"/>
      <c r="K1048" s="303"/>
      <c r="L1048" s="303"/>
      <c r="M1048" s="303"/>
      <c r="N1048" s="303"/>
      <c r="Q1048" s="292"/>
      <c r="R1048" s="294"/>
      <c r="S1048" s="297"/>
      <c r="T1048" s="292"/>
      <c r="U1048" s="299"/>
      <c r="V1048" s="292"/>
      <c r="W1048" s="309"/>
      <c r="X1048" s="292"/>
      <c r="Y1048" s="309"/>
      <c r="Z1048" s="292"/>
      <c r="AA1048" s="315"/>
      <c r="AB1048" s="297"/>
      <c r="AC1048" s="292"/>
      <c r="AD1048" s="292"/>
      <c r="AE1048" s="292"/>
      <c r="AF1048" s="303"/>
      <c r="AG1048" s="303"/>
      <c r="AH1048" s="303"/>
      <c r="AI1048" s="303"/>
    </row>
    <row r="1049">
      <c r="A1049" s="292"/>
      <c r="B1049" s="318"/>
      <c r="C1049" s="292"/>
      <c r="D1049" s="293"/>
      <c r="E1049" s="292"/>
      <c r="F1049" s="293"/>
      <c r="G1049" s="294"/>
      <c r="H1049" s="303"/>
      <c r="I1049" s="303"/>
      <c r="J1049" s="303"/>
      <c r="K1049" s="303"/>
      <c r="L1049" s="303"/>
      <c r="M1049" s="303"/>
      <c r="N1049" s="303"/>
      <c r="Q1049" s="292"/>
      <c r="R1049" s="294"/>
      <c r="S1049" s="297"/>
      <c r="T1049" s="292"/>
      <c r="U1049" s="299"/>
      <c r="V1049" s="292"/>
      <c r="W1049" s="309"/>
      <c r="X1049" s="292"/>
      <c r="Y1049" s="309"/>
      <c r="Z1049" s="292"/>
      <c r="AA1049" s="315"/>
      <c r="AB1049" s="297"/>
      <c r="AC1049" s="292"/>
      <c r="AD1049" s="292"/>
      <c r="AE1049" s="292"/>
      <c r="AF1049" s="303"/>
      <c r="AG1049" s="303"/>
      <c r="AH1049" s="303"/>
      <c r="AI1049" s="303"/>
    </row>
    <row r="1050">
      <c r="A1050" s="292"/>
      <c r="B1050" s="318"/>
      <c r="C1050" s="292"/>
      <c r="D1050" s="293"/>
      <c r="E1050" s="292"/>
      <c r="F1050" s="293"/>
      <c r="G1050" s="294"/>
      <c r="H1050" s="303"/>
      <c r="I1050" s="303"/>
      <c r="J1050" s="303"/>
      <c r="K1050" s="303"/>
      <c r="L1050" s="303"/>
      <c r="M1050" s="303"/>
      <c r="N1050" s="303"/>
      <c r="Q1050" s="292"/>
      <c r="R1050" s="294"/>
      <c r="S1050" s="297"/>
      <c r="T1050" s="292"/>
      <c r="U1050" s="299"/>
      <c r="V1050" s="292"/>
      <c r="W1050" s="309"/>
      <c r="X1050" s="292"/>
      <c r="Y1050" s="309"/>
      <c r="Z1050" s="292"/>
      <c r="AA1050" s="315"/>
      <c r="AB1050" s="297"/>
      <c r="AC1050" s="292"/>
      <c r="AD1050" s="292"/>
      <c r="AE1050" s="292"/>
      <c r="AF1050" s="303"/>
      <c r="AG1050" s="303"/>
      <c r="AH1050" s="303"/>
      <c r="AI1050" s="303"/>
    </row>
    <row r="1051">
      <c r="A1051" s="292"/>
      <c r="B1051" s="318"/>
      <c r="C1051" s="292"/>
      <c r="D1051" s="293"/>
      <c r="E1051" s="292"/>
      <c r="F1051" s="293"/>
      <c r="G1051" s="294"/>
      <c r="H1051" s="303"/>
      <c r="I1051" s="303"/>
      <c r="J1051" s="303"/>
      <c r="K1051" s="303"/>
      <c r="L1051" s="303"/>
      <c r="M1051" s="303"/>
      <c r="N1051" s="303"/>
      <c r="Q1051" s="292"/>
      <c r="R1051" s="294"/>
      <c r="S1051" s="297"/>
      <c r="T1051" s="292"/>
      <c r="U1051" s="299"/>
      <c r="V1051" s="292"/>
      <c r="W1051" s="309"/>
      <c r="X1051" s="292"/>
      <c r="Y1051" s="309"/>
      <c r="Z1051" s="292"/>
      <c r="AA1051" s="315"/>
      <c r="AB1051" s="297"/>
      <c r="AC1051" s="292"/>
      <c r="AD1051" s="292"/>
      <c r="AE1051" s="292"/>
      <c r="AF1051" s="303"/>
      <c r="AG1051" s="303"/>
      <c r="AH1051" s="303"/>
      <c r="AI1051" s="303"/>
    </row>
    <row r="1052">
      <c r="A1052" s="292"/>
      <c r="B1052" s="318"/>
      <c r="C1052" s="292"/>
      <c r="D1052" s="293"/>
      <c r="E1052" s="292"/>
      <c r="F1052" s="293"/>
      <c r="G1052" s="294"/>
      <c r="H1052" s="303"/>
      <c r="I1052" s="303"/>
      <c r="J1052" s="303"/>
      <c r="K1052" s="303"/>
      <c r="L1052" s="303"/>
      <c r="M1052" s="303"/>
      <c r="N1052" s="303"/>
      <c r="Q1052" s="292"/>
      <c r="R1052" s="294"/>
      <c r="S1052" s="297"/>
      <c r="T1052" s="292"/>
      <c r="U1052" s="299"/>
      <c r="V1052" s="292"/>
      <c r="W1052" s="309"/>
      <c r="X1052" s="292"/>
      <c r="Y1052" s="309"/>
      <c r="Z1052" s="292"/>
      <c r="AA1052" s="315"/>
      <c r="AB1052" s="297"/>
      <c r="AC1052" s="292"/>
      <c r="AD1052" s="292"/>
      <c r="AE1052" s="292"/>
      <c r="AF1052" s="303"/>
      <c r="AG1052" s="303"/>
      <c r="AH1052" s="303"/>
      <c r="AI1052" s="303"/>
    </row>
    <row r="1053">
      <c r="A1053" s="292"/>
      <c r="B1053" s="318"/>
      <c r="C1053" s="292"/>
      <c r="D1053" s="293"/>
      <c r="E1053" s="292"/>
      <c r="F1053" s="293"/>
      <c r="G1053" s="294"/>
      <c r="H1053" s="303"/>
      <c r="I1053" s="303"/>
      <c r="J1053" s="303"/>
      <c r="K1053" s="303"/>
      <c r="L1053" s="303"/>
      <c r="M1053" s="303"/>
      <c r="N1053" s="303"/>
      <c r="Q1053" s="292"/>
      <c r="R1053" s="294"/>
      <c r="S1053" s="297"/>
      <c r="T1053" s="292"/>
      <c r="U1053" s="299"/>
      <c r="V1053" s="292"/>
      <c r="W1053" s="309"/>
      <c r="X1053" s="292"/>
      <c r="Y1053" s="309"/>
      <c r="Z1053" s="292"/>
      <c r="AA1053" s="315"/>
      <c r="AB1053" s="297"/>
      <c r="AC1053" s="292"/>
      <c r="AD1053" s="292"/>
      <c r="AE1053" s="292"/>
      <c r="AF1053" s="303"/>
      <c r="AG1053" s="303"/>
      <c r="AH1053" s="303"/>
      <c r="AI1053" s="303"/>
    </row>
    <row r="1054">
      <c r="A1054" s="292"/>
      <c r="B1054" s="318"/>
      <c r="C1054" s="292"/>
      <c r="D1054" s="293"/>
      <c r="E1054" s="292"/>
      <c r="F1054" s="293"/>
      <c r="G1054" s="294"/>
      <c r="H1054" s="303"/>
      <c r="I1054" s="303"/>
      <c r="J1054" s="303"/>
      <c r="K1054" s="303"/>
      <c r="L1054" s="303"/>
      <c r="M1054" s="303"/>
      <c r="N1054" s="303"/>
      <c r="Q1054" s="292"/>
      <c r="R1054" s="294"/>
      <c r="S1054" s="297"/>
      <c r="T1054" s="292"/>
      <c r="U1054" s="299"/>
      <c r="V1054" s="292"/>
      <c r="W1054" s="309"/>
      <c r="X1054" s="292"/>
      <c r="Y1054" s="309"/>
      <c r="Z1054" s="292"/>
      <c r="AA1054" s="315"/>
      <c r="AB1054" s="297"/>
      <c r="AC1054" s="292"/>
      <c r="AD1054" s="292"/>
      <c r="AE1054" s="292"/>
      <c r="AF1054" s="303"/>
      <c r="AG1054" s="303"/>
      <c r="AH1054" s="303"/>
      <c r="AI1054" s="303"/>
    </row>
    <row r="1055">
      <c r="A1055" s="292"/>
      <c r="B1055" s="318"/>
      <c r="C1055" s="292"/>
      <c r="D1055" s="293"/>
      <c r="E1055" s="292"/>
      <c r="F1055" s="293"/>
      <c r="G1055" s="294"/>
      <c r="H1055" s="303"/>
      <c r="I1055" s="303"/>
      <c r="J1055" s="303"/>
      <c r="K1055" s="303"/>
      <c r="L1055" s="303"/>
      <c r="M1055" s="303"/>
      <c r="N1055" s="303"/>
      <c r="Q1055" s="292"/>
      <c r="R1055" s="294"/>
      <c r="S1055" s="297"/>
      <c r="T1055" s="292"/>
      <c r="U1055" s="299"/>
      <c r="V1055" s="292"/>
      <c r="W1055" s="309"/>
      <c r="X1055" s="292"/>
      <c r="Y1055" s="309"/>
      <c r="Z1055" s="292"/>
      <c r="AA1055" s="315"/>
      <c r="AB1055" s="297"/>
      <c r="AC1055" s="292"/>
      <c r="AD1055" s="292"/>
      <c r="AE1055" s="292"/>
      <c r="AF1055" s="303"/>
      <c r="AG1055" s="303"/>
      <c r="AH1055" s="303"/>
      <c r="AI1055" s="303"/>
    </row>
    <row r="1056">
      <c r="A1056" s="292"/>
      <c r="B1056" s="318"/>
      <c r="C1056" s="292"/>
      <c r="D1056" s="293"/>
      <c r="E1056" s="292"/>
      <c r="F1056" s="293"/>
      <c r="G1056" s="294"/>
      <c r="H1056" s="303"/>
      <c r="I1056" s="303"/>
      <c r="J1056" s="303"/>
      <c r="K1056" s="303"/>
      <c r="L1056" s="303"/>
      <c r="M1056" s="303"/>
      <c r="N1056" s="303"/>
      <c r="Q1056" s="292"/>
      <c r="R1056" s="294"/>
      <c r="S1056" s="297"/>
      <c r="T1056" s="292"/>
      <c r="U1056" s="299"/>
      <c r="V1056" s="292"/>
      <c r="W1056" s="309"/>
      <c r="X1056" s="292"/>
      <c r="Y1056" s="309"/>
      <c r="Z1056" s="292"/>
      <c r="AA1056" s="315"/>
      <c r="AB1056" s="297"/>
      <c r="AC1056" s="292"/>
      <c r="AD1056" s="292"/>
      <c r="AE1056" s="292"/>
      <c r="AF1056" s="303"/>
      <c r="AG1056" s="303"/>
      <c r="AH1056" s="303"/>
      <c r="AI1056" s="303"/>
    </row>
    <row r="1057">
      <c r="A1057" s="292"/>
      <c r="B1057" s="318"/>
      <c r="C1057" s="292"/>
      <c r="D1057" s="293"/>
      <c r="E1057" s="292"/>
      <c r="F1057" s="293"/>
      <c r="G1057" s="294"/>
      <c r="H1057" s="303"/>
      <c r="I1057" s="303"/>
      <c r="J1057" s="303"/>
      <c r="K1057" s="303"/>
      <c r="L1057" s="303"/>
      <c r="M1057" s="303"/>
      <c r="N1057" s="303"/>
      <c r="Q1057" s="292"/>
      <c r="R1057" s="294"/>
      <c r="S1057" s="297"/>
      <c r="T1057" s="292"/>
      <c r="U1057" s="299"/>
      <c r="V1057" s="292"/>
      <c r="W1057" s="309"/>
      <c r="X1057" s="292"/>
      <c r="Y1057" s="309"/>
      <c r="Z1057" s="292"/>
      <c r="AA1057" s="315"/>
      <c r="AB1057" s="297"/>
      <c r="AC1057" s="292"/>
      <c r="AD1057" s="292"/>
      <c r="AE1057" s="292"/>
      <c r="AF1057" s="303"/>
      <c r="AG1057" s="303"/>
      <c r="AH1057" s="303"/>
      <c r="AI1057" s="303"/>
    </row>
    <row r="1058">
      <c r="A1058" s="292"/>
      <c r="B1058" s="318"/>
      <c r="C1058" s="292"/>
      <c r="D1058" s="293"/>
      <c r="E1058" s="292"/>
      <c r="F1058" s="293"/>
      <c r="G1058" s="294"/>
      <c r="H1058" s="303"/>
      <c r="I1058" s="303"/>
      <c r="J1058" s="303"/>
      <c r="K1058" s="303"/>
      <c r="L1058" s="303"/>
      <c r="M1058" s="303"/>
      <c r="N1058" s="303"/>
      <c r="Q1058" s="292"/>
      <c r="R1058" s="294"/>
      <c r="S1058" s="297"/>
      <c r="T1058" s="292"/>
      <c r="U1058" s="299"/>
      <c r="V1058" s="292"/>
      <c r="W1058" s="309"/>
      <c r="X1058" s="292"/>
      <c r="Y1058" s="309"/>
      <c r="Z1058" s="292"/>
      <c r="AA1058" s="315"/>
      <c r="AB1058" s="297"/>
      <c r="AC1058" s="292"/>
      <c r="AD1058" s="292"/>
      <c r="AE1058" s="292"/>
      <c r="AF1058" s="303"/>
      <c r="AG1058" s="303"/>
      <c r="AH1058" s="303"/>
      <c r="AI1058" s="303"/>
    </row>
    <row r="1059">
      <c r="A1059" s="292"/>
      <c r="B1059" s="318"/>
      <c r="C1059" s="292"/>
      <c r="D1059" s="293"/>
      <c r="E1059" s="292"/>
      <c r="F1059" s="293"/>
      <c r="G1059" s="294"/>
      <c r="H1059" s="303"/>
      <c r="I1059" s="303"/>
      <c r="J1059" s="303"/>
      <c r="K1059" s="303"/>
      <c r="L1059" s="303"/>
      <c r="M1059" s="303"/>
      <c r="N1059" s="303"/>
      <c r="Q1059" s="292"/>
      <c r="R1059" s="294"/>
      <c r="S1059" s="297"/>
      <c r="T1059" s="292"/>
      <c r="U1059" s="299"/>
      <c r="V1059" s="292"/>
      <c r="W1059" s="309"/>
      <c r="X1059" s="292"/>
      <c r="Y1059" s="309"/>
      <c r="Z1059" s="292"/>
      <c r="AA1059" s="315"/>
      <c r="AB1059" s="297"/>
      <c r="AC1059" s="292"/>
      <c r="AD1059" s="292"/>
      <c r="AE1059" s="292"/>
      <c r="AF1059" s="303"/>
      <c r="AG1059" s="303"/>
      <c r="AH1059" s="303"/>
      <c r="AI1059" s="303"/>
    </row>
    <row r="1060">
      <c r="A1060" s="292"/>
      <c r="B1060" s="318"/>
      <c r="C1060" s="292"/>
      <c r="D1060" s="293"/>
      <c r="E1060" s="292"/>
      <c r="F1060" s="293"/>
      <c r="G1060" s="294"/>
      <c r="H1060" s="303"/>
      <c r="I1060" s="303"/>
      <c r="J1060" s="303"/>
      <c r="K1060" s="303"/>
      <c r="L1060" s="303"/>
      <c r="M1060" s="303"/>
      <c r="N1060" s="303"/>
      <c r="Q1060" s="292"/>
      <c r="R1060" s="294"/>
      <c r="S1060" s="297"/>
      <c r="T1060" s="292"/>
      <c r="U1060" s="299"/>
      <c r="V1060" s="292"/>
      <c r="W1060" s="309"/>
      <c r="X1060" s="292"/>
      <c r="Y1060" s="309"/>
      <c r="Z1060" s="292"/>
      <c r="AA1060" s="315"/>
      <c r="AB1060" s="297"/>
      <c r="AC1060" s="292"/>
      <c r="AD1060" s="292"/>
      <c r="AE1060" s="292"/>
      <c r="AF1060" s="303"/>
      <c r="AG1060" s="303"/>
      <c r="AH1060" s="303"/>
      <c r="AI1060" s="303"/>
    </row>
    <row r="1061">
      <c r="A1061" s="292"/>
      <c r="B1061" s="318"/>
      <c r="C1061" s="292"/>
      <c r="D1061" s="293"/>
      <c r="E1061" s="292"/>
      <c r="F1061" s="293"/>
      <c r="G1061" s="294"/>
      <c r="H1061" s="303"/>
      <c r="I1061" s="303"/>
      <c r="J1061" s="303"/>
      <c r="K1061" s="303"/>
      <c r="L1061" s="303"/>
      <c r="M1061" s="303"/>
      <c r="N1061" s="303"/>
      <c r="Q1061" s="292"/>
      <c r="R1061" s="294"/>
      <c r="S1061" s="297"/>
      <c r="T1061" s="292"/>
      <c r="U1061" s="299"/>
      <c r="V1061" s="292"/>
      <c r="W1061" s="309"/>
      <c r="X1061" s="292"/>
      <c r="Y1061" s="309"/>
      <c r="Z1061" s="292"/>
      <c r="AA1061" s="315"/>
      <c r="AB1061" s="297"/>
      <c r="AC1061" s="292"/>
      <c r="AD1061" s="292"/>
      <c r="AE1061" s="292"/>
      <c r="AF1061" s="303"/>
      <c r="AG1061" s="303"/>
      <c r="AH1061" s="303"/>
      <c r="AI1061" s="303"/>
    </row>
    <row r="1062">
      <c r="A1062" s="292"/>
      <c r="B1062" s="318"/>
      <c r="C1062" s="292"/>
      <c r="D1062" s="293"/>
      <c r="E1062" s="292"/>
      <c r="F1062" s="293"/>
      <c r="G1062" s="294"/>
      <c r="H1062" s="303"/>
      <c r="I1062" s="303"/>
      <c r="J1062" s="303"/>
      <c r="K1062" s="303"/>
      <c r="L1062" s="303"/>
      <c r="M1062" s="303"/>
      <c r="N1062" s="303"/>
      <c r="Q1062" s="292"/>
      <c r="R1062" s="294"/>
      <c r="S1062" s="297"/>
      <c r="T1062" s="292"/>
      <c r="U1062" s="299"/>
      <c r="V1062" s="292"/>
      <c r="W1062" s="309"/>
      <c r="X1062" s="292"/>
      <c r="Y1062" s="309"/>
      <c r="Z1062" s="292"/>
      <c r="AA1062" s="315"/>
      <c r="AB1062" s="297"/>
      <c r="AC1062" s="292"/>
      <c r="AD1062" s="292"/>
      <c r="AE1062" s="292"/>
      <c r="AF1062" s="303"/>
      <c r="AG1062" s="303"/>
      <c r="AH1062" s="303"/>
      <c r="AI1062" s="303"/>
    </row>
    <row r="1063">
      <c r="A1063" s="292"/>
      <c r="B1063" s="318"/>
      <c r="C1063" s="292"/>
      <c r="D1063" s="293"/>
      <c r="E1063" s="292"/>
      <c r="F1063" s="293"/>
      <c r="G1063" s="294"/>
      <c r="H1063" s="303"/>
      <c r="I1063" s="303"/>
      <c r="J1063" s="303"/>
      <c r="K1063" s="303"/>
      <c r="L1063" s="303"/>
      <c r="M1063" s="303"/>
      <c r="N1063" s="303"/>
      <c r="Q1063" s="292"/>
      <c r="R1063" s="294"/>
      <c r="S1063" s="297"/>
      <c r="T1063" s="292"/>
      <c r="U1063" s="299"/>
      <c r="V1063" s="292"/>
      <c r="W1063" s="309"/>
      <c r="X1063" s="292"/>
      <c r="Y1063" s="309"/>
      <c r="Z1063" s="292"/>
      <c r="AA1063" s="315"/>
      <c r="AB1063" s="297"/>
      <c r="AC1063" s="292"/>
      <c r="AD1063" s="292"/>
      <c r="AE1063" s="292"/>
      <c r="AF1063" s="303"/>
      <c r="AG1063" s="303"/>
      <c r="AH1063" s="303"/>
      <c r="AI1063" s="303"/>
    </row>
    <row r="1064">
      <c r="A1064" s="292"/>
      <c r="B1064" s="318"/>
      <c r="C1064" s="292"/>
      <c r="D1064" s="293"/>
      <c r="E1064" s="292"/>
      <c r="F1064" s="293"/>
      <c r="G1064" s="294"/>
      <c r="H1064" s="303"/>
      <c r="I1064" s="303"/>
      <c r="J1064" s="303"/>
      <c r="K1064" s="303"/>
      <c r="L1064" s="303"/>
      <c r="M1064" s="303"/>
      <c r="N1064" s="303"/>
      <c r="Q1064" s="292"/>
      <c r="R1064" s="294"/>
      <c r="S1064" s="297"/>
      <c r="T1064" s="292"/>
      <c r="U1064" s="299"/>
      <c r="V1064" s="292"/>
      <c r="W1064" s="309"/>
      <c r="X1064" s="292"/>
      <c r="Y1064" s="309"/>
      <c r="Z1064" s="292"/>
      <c r="AA1064" s="315"/>
      <c r="AB1064" s="297"/>
      <c r="AC1064" s="292"/>
      <c r="AD1064" s="292"/>
      <c r="AE1064" s="292"/>
      <c r="AF1064" s="303"/>
      <c r="AG1064" s="303"/>
      <c r="AH1064" s="303"/>
      <c r="AI1064" s="303"/>
    </row>
    <row r="1065">
      <c r="A1065" s="292"/>
      <c r="B1065" s="318"/>
      <c r="C1065" s="292"/>
      <c r="D1065" s="293"/>
      <c r="E1065" s="292"/>
      <c r="F1065" s="293"/>
      <c r="G1065" s="294"/>
      <c r="H1065" s="303"/>
      <c r="I1065" s="303"/>
      <c r="J1065" s="303"/>
      <c r="K1065" s="303"/>
      <c r="L1065" s="303"/>
      <c r="M1065" s="303"/>
      <c r="N1065" s="303"/>
      <c r="Q1065" s="292"/>
      <c r="R1065" s="294"/>
      <c r="S1065" s="297"/>
      <c r="T1065" s="292"/>
      <c r="U1065" s="299"/>
      <c r="V1065" s="292"/>
      <c r="W1065" s="309"/>
      <c r="X1065" s="292"/>
      <c r="Y1065" s="309"/>
      <c r="Z1065" s="292"/>
      <c r="AA1065" s="315"/>
      <c r="AB1065" s="297"/>
      <c r="AC1065" s="292"/>
      <c r="AD1065" s="292"/>
      <c r="AE1065" s="292"/>
      <c r="AF1065" s="303"/>
      <c r="AG1065" s="303"/>
      <c r="AH1065" s="303"/>
      <c r="AI1065" s="303"/>
    </row>
    <row r="1066">
      <c r="A1066" s="292"/>
      <c r="B1066" s="318"/>
      <c r="C1066" s="292"/>
      <c r="D1066" s="293"/>
      <c r="E1066" s="292"/>
      <c r="F1066" s="293"/>
      <c r="G1066" s="294"/>
      <c r="H1066" s="303"/>
      <c r="I1066" s="303"/>
      <c r="J1066" s="303"/>
      <c r="K1066" s="303"/>
      <c r="L1066" s="303"/>
      <c r="M1066" s="303"/>
      <c r="N1066" s="303"/>
      <c r="Q1066" s="292"/>
      <c r="R1066" s="294"/>
      <c r="S1066" s="297"/>
      <c r="T1066" s="292"/>
      <c r="U1066" s="299"/>
      <c r="V1066" s="292"/>
      <c r="W1066" s="309"/>
      <c r="X1066" s="292"/>
      <c r="Y1066" s="309"/>
      <c r="Z1066" s="292"/>
      <c r="AA1066" s="315"/>
      <c r="AB1066" s="297"/>
      <c r="AC1066" s="292"/>
      <c r="AD1066" s="292"/>
      <c r="AE1066" s="292"/>
      <c r="AF1066" s="303"/>
      <c r="AG1066" s="303"/>
      <c r="AH1066" s="303"/>
      <c r="AI1066" s="303"/>
    </row>
    <row r="1067">
      <c r="A1067" s="292"/>
      <c r="B1067" s="318"/>
      <c r="C1067" s="292"/>
      <c r="D1067" s="293"/>
      <c r="E1067" s="292"/>
      <c r="F1067" s="293"/>
      <c r="G1067" s="294"/>
      <c r="H1067" s="303"/>
      <c r="I1067" s="303"/>
      <c r="J1067" s="303"/>
      <c r="K1067" s="303"/>
      <c r="L1067" s="303"/>
      <c r="M1067" s="303"/>
      <c r="N1067" s="303"/>
      <c r="Q1067" s="292"/>
      <c r="R1067" s="294"/>
      <c r="S1067" s="297"/>
      <c r="T1067" s="292"/>
      <c r="U1067" s="299"/>
      <c r="V1067" s="292"/>
      <c r="W1067" s="309"/>
      <c r="X1067" s="292"/>
      <c r="Y1067" s="309"/>
      <c r="Z1067" s="292"/>
      <c r="AA1067" s="315"/>
      <c r="AB1067" s="297"/>
      <c r="AC1067" s="292"/>
      <c r="AD1067" s="292"/>
      <c r="AE1067" s="292"/>
      <c r="AF1067" s="303"/>
      <c r="AG1067" s="303"/>
      <c r="AH1067" s="303"/>
      <c r="AI1067" s="303"/>
    </row>
    <row r="1068">
      <c r="A1068" s="292"/>
      <c r="B1068" s="318"/>
      <c r="C1068" s="292"/>
      <c r="D1068" s="293"/>
      <c r="E1068" s="292"/>
      <c r="F1068" s="293"/>
      <c r="G1068" s="294"/>
      <c r="H1068" s="303"/>
      <c r="I1068" s="303"/>
      <c r="J1068" s="303"/>
      <c r="K1068" s="303"/>
      <c r="L1068" s="303"/>
      <c r="M1068" s="303"/>
      <c r="N1068" s="303"/>
      <c r="Q1068" s="292"/>
      <c r="R1068" s="294"/>
      <c r="S1068" s="297"/>
      <c r="T1068" s="292"/>
      <c r="U1068" s="299"/>
      <c r="V1068" s="292"/>
      <c r="W1068" s="309"/>
      <c r="X1068" s="292"/>
      <c r="Y1068" s="309"/>
      <c r="Z1068" s="292"/>
      <c r="AA1068" s="315"/>
      <c r="AB1068" s="297"/>
      <c r="AC1068" s="292"/>
      <c r="AD1068" s="292"/>
      <c r="AE1068" s="292"/>
      <c r="AF1068" s="303"/>
      <c r="AG1068" s="303"/>
      <c r="AH1068" s="303"/>
      <c r="AI1068" s="303"/>
    </row>
    <row r="1069">
      <c r="A1069" s="292"/>
      <c r="B1069" s="318"/>
      <c r="C1069" s="292"/>
      <c r="D1069" s="293"/>
      <c r="E1069" s="292"/>
      <c r="F1069" s="293"/>
      <c r="G1069" s="294"/>
      <c r="H1069" s="303"/>
      <c r="I1069" s="303"/>
      <c r="J1069" s="303"/>
      <c r="K1069" s="303"/>
      <c r="L1069" s="303"/>
      <c r="M1069" s="303"/>
      <c r="N1069" s="303"/>
      <c r="Q1069" s="292"/>
      <c r="R1069" s="294"/>
      <c r="S1069" s="297"/>
      <c r="T1069" s="292"/>
      <c r="U1069" s="299"/>
      <c r="V1069" s="292"/>
      <c r="W1069" s="309"/>
      <c r="X1069" s="292"/>
      <c r="Y1069" s="309"/>
      <c r="Z1069" s="292"/>
      <c r="AA1069" s="315"/>
      <c r="AB1069" s="297"/>
      <c r="AC1069" s="292"/>
      <c r="AD1069" s="292"/>
      <c r="AE1069" s="292"/>
      <c r="AF1069" s="303"/>
      <c r="AG1069" s="303"/>
      <c r="AH1069" s="303"/>
      <c r="AI1069" s="303"/>
    </row>
    <row r="1070">
      <c r="A1070" s="292"/>
      <c r="B1070" s="318"/>
      <c r="C1070" s="292"/>
      <c r="D1070" s="293"/>
      <c r="E1070" s="292"/>
      <c r="F1070" s="293"/>
      <c r="G1070" s="294"/>
      <c r="H1070" s="303"/>
      <c r="I1070" s="303"/>
      <c r="J1070" s="303"/>
      <c r="K1070" s="303"/>
      <c r="L1070" s="303"/>
      <c r="M1070" s="303"/>
      <c r="N1070" s="303"/>
      <c r="Q1070" s="292"/>
      <c r="R1070" s="294"/>
      <c r="S1070" s="297"/>
      <c r="T1070" s="292"/>
      <c r="U1070" s="299"/>
      <c r="V1070" s="292"/>
      <c r="W1070" s="309"/>
      <c r="X1070" s="292"/>
      <c r="Y1070" s="309"/>
      <c r="Z1070" s="292"/>
      <c r="AA1070" s="315"/>
      <c r="AB1070" s="297"/>
      <c r="AC1070" s="292"/>
      <c r="AD1070" s="292"/>
      <c r="AE1070" s="292"/>
      <c r="AF1070" s="303"/>
      <c r="AG1070" s="303"/>
      <c r="AH1070" s="303"/>
      <c r="AI1070" s="303"/>
    </row>
    <row r="1071">
      <c r="A1071" s="292"/>
      <c r="B1071" s="318"/>
      <c r="C1071" s="292"/>
      <c r="D1071" s="293"/>
      <c r="E1071" s="292"/>
      <c r="F1071" s="293"/>
      <c r="G1071" s="294"/>
      <c r="H1071" s="303"/>
      <c r="I1071" s="303"/>
      <c r="J1071" s="303"/>
      <c r="K1071" s="303"/>
      <c r="L1071" s="303"/>
      <c r="M1071" s="303"/>
      <c r="N1071" s="303"/>
      <c r="Q1071" s="292"/>
      <c r="R1071" s="294"/>
      <c r="S1071" s="297"/>
      <c r="T1071" s="292"/>
      <c r="U1071" s="299"/>
      <c r="V1071" s="292"/>
      <c r="W1071" s="309"/>
      <c r="X1071" s="292"/>
      <c r="Y1071" s="309"/>
      <c r="Z1071" s="292"/>
      <c r="AA1071" s="315"/>
      <c r="AB1071" s="297"/>
      <c r="AC1071" s="292"/>
      <c r="AD1071" s="292"/>
      <c r="AE1071" s="292"/>
      <c r="AF1071" s="303"/>
      <c r="AG1071" s="303"/>
      <c r="AH1071" s="303"/>
      <c r="AI1071" s="303"/>
    </row>
    <row r="1072">
      <c r="A1072" s="292"/>
      <c r="B1072" s="318"/>
      <c r="C1072" s="292"/>
      <c r="D1072" s="293"/>
      <c r="E1072" s="292"/>
      <c r="F1072" s="293"/>
      <c r="G1072" s="294"/>
      <c r="H1072" s="303"/>
      <c r="I1072" s="303"/>
      <c r="J1072" s="303"/>
      <c r="K1072" s="303"/>
      <c r="L1072" s="303"/>
      <c r="M1072" s="303"/>
      <c r="N1072" s="303"/>
      <c r="Q1072" s="292"/>
      <c r="R1072" s="294"/>
      <c r="S1072" s="297"/>
      <c r="T1072" s="292"/>
      <c r="U1072" s="299"/>
      <c r="V1072" s="292"/>
      <c r="W1072" s="309"/>
      <c r="X1072" s="292"/>
      <c r="Y1072" s="309"/>
      <c r="Z1072" s="292"/>
      <c r="AA1072" s="315"/>
      <c r="AB1072" s="297"/>
      <c r="AC1072" s="292"/>
      <c r="AD1072" s="292"/>
      <c r="AE1072" s="292"/>
      <c r="AF1072" s="303"/>
      <c r="AG1072" s="303"/>
      <c r="AH1072" s="303"/>
      <c r="AI1072" s="303"/>
    </row>
    <row r="1073">
      <c r="A1073" s="292"/>
      <c r="B1073" s="318"/>
      <c r="C1073" s="292"/>
      <c r="D1073" s="293"/>
      <c r="E1073" s="292"/>
      <c r="F1073" s="293"/>
      <c r="G1073" s="294"/>
      <c r="H1073" s="303"/>
      <c r="I1073" s="303"/>
      <c r="J1073" s="303"/>
      <c r="K1073" s="303"/>
      <c r="L1073" s="303"/>
      <c r="M1073" s="303"/>
      <c r="N1073" s="303"/>
      <c r="Q1073" s="292"/>
      <c r="R1073" s="294"/>
      <c r="S1073" s="297"/>
      <c r="T1073" s="292"/>
      <c r="U1073" s="299"/>
      <c r="V1073" s="292"/>
      <c r="W1073" s="309"/>
      <c r="X1073" s="292"/>
      <c r="Y1073" s="309"/>
      <c r="Z1073" s="292"/>
      <c r="AA1073" s="315"/>
      <c r="AB1073" s="297"/>
      <c r="AC1073" s="292"/>
      <c r="AD1073" s="292"/>
      <c r="AE1073" s="292"/>
      <c r="AF1073" s="303"/>
      <c r="AG1073" s="303"/>
      <c r="AH1073" s="303"/>
      <c r="AI1073" s="303"/>
    </row>
    <row r="1074">
      <c r="A1074" s="292"/>
      <c r="B1074" s="318"/>
      <c r="C1074" s="292"/>
      <c r="D1074" s="293"/>
      <c r="E1074" s="292"/>
      <c r="F1074" s="293"/>
      <c r="G1074" s="294"/>
      <c r="H1074" s="303"/>
      <c r="I1074" s="303"/>
      <c r="J1074" s="303"/>
      <c r="K1074" s="303"/>
      <c r="L1074" s="303"/>
      <c r="M1074" s="303"/>
      <c r="N1074" s="303"/>
      <c r="Q1074" s="292"/>
      <c r="R1074" s="294"/>
      <c r="S1074" s="297"/>
      <c r="T1074" s="292"/>
      <c r="U1074" s="299"/>
      <c r="V1074" s="292"/>
      <c r="W1074" s="309"/>
      <c r="X1074" s="292"/>
      <c r="Y1074" s="309"/>
      <c r="Z1074" s="292"/>
      <c r="AA1074" s="315"/>
      <c r="AB1074" s="297"/>
      <c r="AC1074" s="292"/>
      <c r="AD1074" s="292"/>
      <c r="AE1074" s="292"/>
      <c r="AF1074" s="303"/>
      <c r="AG1074" s="303"/>
      <c r="AH1074" s="303"/>
      <c r="AI1074" s="303"/>
    </row>
    <row r="1075">
      <c r="A1075" s="292"/>
      <c r="B1075" s="318"/>
      <c r="C1075" s="292"/>
      <c r="D1075" s="293"/>
      <c r="E1075" s="292"/>
      <c r="F1075" s="293"/>
      <c r="G1075" s="294"/>
      <c r="H1075" s="303"/>
      <c r="I1075" s="303"/>
      <c r="J1075" s="303"/>
      <c r="K1075" s="303"/>
      <c r="L1075" s="303"/>
      <c r="M1075" s="303"/>
      <c r="N1075" s="303"/>
      <c r="Q1075" s="292"/>
      <c r="R1075" s="294"/>
      <c r="S1075" s="297"/>
      <c r="T1075" s="292"/>
      <c r="U1075" s="299"/>
      <c r="V1075" s="292"/>
      <c r="W1075" s="309"/>
      <c r="X1075" s="292"/>
      <c r="Y1075" s="309"/>
      <c r="Z1075" s="292"/>
      <c r="AA1075" s="315"/>
      <c r="AB1075" s="297"/>
      <c r="AC1075" s="292"/>
      <c r="AD1075" s="292"/>
      <c r="AE1075" s="292"/>
      <c r="AF1075" s="303"/>
      <c r="AG1075" s="303"/>
      <c r="AH1075" s="303"/>
      <c r="AI1075" s="303"/>
    </row>
    <row r="1076">
      <c r="A1076" s="292"/>
      <c r="B1076" s="318"/>
      <c r="C1076" s="292"/>
      <c r="D1076" s="293"/>
      <c r="E1076" s="292"/>
      <c r="F1076" s="293"/>
      <c r="G1076" s="294"/>
      <c r="H1076" s="303"/>
      <c r="I1076" s="303"/>
      <c r="J1076" s="303"/>
      <c r="K1076" s="303"/>
      <c r="L1076" s="303"/>
      <c r="M1076" s="303"/>
      <c r="N1076" s="303"/>
      <c r="Q1076" s="292"/>
      <c r="R1076" s="294"/>
      <c r="S1076" s="297"/>
      <c r="T1076" s="292"/>
      <c r="U1076" s="299"/>
      <c r="V1076" s="292"/>
      <c r="W1076" s="309"/>
      <c r="X1076" s="292"/>
      <c r="Y1076" s="309"/>
      <c r="Z1076" s="292"/>
      <c r="AA1076" s="315"/>
      <c r="AB1076" s="297"/>
      <c r="AC1076" s="292"/>
      <c r="AD1076" s="292"/>
      <c r="AE1076" s="292"/>
      <c r="AF1076" s="303"/>
      <c r="AG1076" s="303"/>
      <c r="AH1076" s="303"/>
      <c r="AI1076" s="303"/>
    </row>
    <row r="1077">
      <c r="A1077" s="292"/>
      <c r="B1077" s="318"/>
      <c r="C1077" s="292"/>
      <c r="D1077" s="293"/>
      <c r="E1077" s="292"/>
      <c r="F1077" s="293"/>
      <c r="G1077" s="294"/>
      <c r="H1077" s="303"/>
      <c r="I1077" s="303"/>
      <c r="J1077" s="303"/>
      <c r="K1077" s="303"/>
      <c r="L1077" s="303"/>
      <c r="M1077" s="303"/>
      <c r="N1077" s="303"/>
      <c r="Q1077" s="292"/>
      <c r="R1077" s="294"/>
      <c r="S1077" s="297"/>
      <c r="T1077" s="292"/>
      <c r="U1077" s="299"/>
      <c r="V1077" s="292"/>
      <c r="W1077" s="309"/>
      <c r="X1077" s="292"/>
      <c r="Y1077" s="309"/>
      <c r="Z1077" s="292"/>
      <c r="AA1077" s="315"/>
      <c r="AB1077" s="297"/>
      <c r="AC1077" s="292"/>
      <c r="AD1077" s="292"/>
      <c r="AE1077" s="292"/>
      <c r="AF1077" s="303"/>
      <c r="AG1077" s="303"/>
      <c r="AH1077" s="303"/>
      <c r="AI1077" s="303"/>
    </row>
    <row r="1078">
      <c r="A1078" s="292"/>
      <c r="B1078" s="318"/>
      <c r="C1078" s="292"/>
      <c r="D1078" s="293"/>
      <c r="E1078" s="292"/>
      <c r="F1078" s="293"/>
      <c r="G1078" s="294"/>
      <c r="H1078" s="303"/>
      <c r="I1078" s="303"/>
      <c r="J1078" s="303"/>
      <c r="K1078" s="303"/>
      <c r="L1078" s="303"/>
      <c r="M1078" s="303"/>
      <c r="N1078" s="303"/>
      <c r="Q1078" s="292"/>
      <c r="R1078" s="294"/>
      <c r="S1078" s="297"/>
      <c r="T1078" s="292"/>
      <c r="U1078" s="299"/>
      <c r="V1078" s="292"/>
      <c r="W1078" s="309"/>
      <c r="X1078" s="292"/>
      <c r="Y1078" s="309"/>
      <c r="Z1078" s="292"/>
      <c r="AA1078" s="315"/>
      <c r="AB1078" s="297"/>
      <c r="AC1078" s="292"/>
      <c r="AD1078" s="292"/>
      <c r="AE1078" s="292"/>
      <c r="AF1078" s="303"/>
      <c r="AG1078" s="303"/>
      <c r="AH1078" s="303"/>
      <c r="AI1078" s="303"/>
    </row>
    <row r="1079">
      <c r="A1079" s="292"/>
      <c r="B1079" s="318"/>
      <c r="C1079" s="292"/>
      <c r="D1079" s="293"/>
      <c r="E1079" s="292"/>
      <c r="F1079" s="293"/>
      <c r="G1079" s="294"/>
      <c r="H1079" s="303"/>
      <c r="I1079" s="303"/>
      <c r="J1079" s="303"/>
      <c r="K1079" s="303"/>
      <c r="L1079" s="303"/>
      <c r="M1079" s="303"/>
      <c r="N1079" s="303"/>
      <c r="Q1079" s="292"/>
      <c r="R1079" s="294"/>
      <c r="S1079" s="297"/>
      <c r="T1079" s="292"/>
      <c r="U1079" s="299"/>
      <c r="V1079" s="292"/>
      <c r="W1079" s="309"/>
      <c r="X1079" s="292"/>
      <c r="Y1079" s="309"/>
      <c r="Z1079" s="292"/>
      <c r="AA1079" s="315"/>
      <c r="AB1079" s="297"/>
      <c r="AC1079" s="292"/>
      <c r="AD1079" s="292"/>
      <c r="AE1079" s="292"/>
      <c r="AF1079" s="303"/>
      <c r="AG1079" s="303"/>
      <c r="AH1079" s="303"/>
      <c r="AI1079" s="303"/>
    </row>
    <row r="1080">
      <c r="A1080" s="292"/>
      <c r="B1080" s="318"/>
      <c r="C1080" s="292"/>
      <c r="D1080" s="293"/>
      <c r="E1080" s="292"/>
      <c r="F1080" s="293"/>
      <c r="G1080" s="294"/>
      <c r="H1080" s="303"/>
      <c r="I1080" s="303"/>
      <c r="J1080" s="303"/>
      <c r="K1080" s="303"/>
      <c r="L1080" s="303"/>
      <c r="M1080" s="303"/>
      <c r="N1080" s="303"/>
      <c r="Q1080" s="292"/>
      <c r="R1080" s="294"/>
      <c r="S1080" s="297"/>
      <c r="T1080" s="292"/>
      <c r="U1080" s="299"/>
      <c r="V1080" s="292"/>
      <c r="W1080" s="309"/>
      <c r="X1080" s="292"/>
      <c r="Y1080" s="309"/>
      <c r="Z1080" s="292"/>
      <c r="AA1080" s="315"/>
      <c r="AB1080" s="297"/>
      <c r="AC1080" s="292"/>
      <c r="AD1080" s="292"/>
      <c r="AE1080" s="292"/>
      <c r="AF1080" s="303"/>
      <c r="AG1080" s="303"/>
      <c r="AH1080" s="303"/>
      <c r="AI1080" s="303"/>
    </row>
    <row r="1081">
      <c r="A1081" s="292"/>
      <c r="B1081" s="318"/>
      <c r="C1081" s="292"/>
      <c r="D1081" s="293"/>
      <c r="E1081" s="292"/>
      <c r="F1081" s="293"/>
      <c r="G1081" s="294"/>
      <c r="H1081" s="303"/>
      <c r="I1081" s="303"/>
      <c r="J1081" s="303"/>
      <c r="K1081" s="303"/>
      <c r="L1081" s="303"/>
      <c r="M1081" s="303"/>
      <c r="N1081" s="303"/>
      <c r="Q1081" s="292"/>
      <c r="R1081" s="294"/>
      <c r="S1081" s="297"/>
      <c r="T1081" s="292"/>
      <c r="U1081" s="299"/>
      <c r="V1081" s="292"/>
      <c r="W1081" s="309"/>
      <c r="X1081" s="292"/>
      <c r="Y1081" s="309"/>
      <c r="Z1081" s="292"/>
      <c r="AA1081" s="315"/>
      <c r="AB1081" s="297"/>
      <c r="AC1081" s="292"/>
      <c r="AD1081" s="292"/>
      <c r="AE1081" s="292"/>
      <c r="AF1081" s="303"/>
      <c r="AG1081" s="303"/>
      <c r="AH1081" s="303"/>
      <c r="AI1081" s="303"/>
    </row>
    <row r="1082">
      <c r="A1082" s="292"/>
      <c r="B1082" s="318"/>
      <c r="C1082" s="292"/>
      <c r="D1082" s="293"/>
      <c r="E1082" s="292"/>
      <c r="F1082" s="293"/>
      <c r="G1082" s="294"/>
      <c r="H1082" s="303"/>
      <c r="I1082" s="303"/>
      <c r="J1082" s="303"/>
      <c r="K1082" s="303"/>
      <c r="L1082" s="303"/>
      <c r="M1082" s="303"/>
      <c r="N1082" s="303"/>
      <c r="Q1082" s="292"/>
      <c r="R1082" s="294"/>
      <c r="S1082" s="297"/>
      <c r="T1082" s="292"/>
      <c r="U1082" s="299"/>
      <c r="V1082" s="292"/>
      <c r="W1082" s="309"/>
      <c r="X1082" s="292"/>
      <c r="Y1082" s="309"/>
      <c r="Z1082" s="292"/>
      <c r="AA1082" s="315"/>
      <c r="AB1082" s="297"/>
      <c r="AC1082" s="292"/>
      <c r="AD1082" s="292"/>
      <c r="AE1082" s="292"/>
      <c r="AF1082" s="303"/>
      <c r="AG1082" s="303"/>
      <c r="AH1082" s="303"/>
      <c r="AI1082" s="303"/>
    </row>
    <row r="1083">
      <c r="A1083" s="292"/>
      <c r="B1083" s="318"/>
      <c r="C1083" s="292"/>
      <c r="D1083" s="293"/>
      <c r="E1083" s="292"/>
      <c r="F1083" s="293"/>
      <c r="G1083" s="294"/>
      <c r="H1083" s="303"/>
      <c r="I1083" s="303"/>
      <c r="J1083" s="303"/>
      <c r="K1083" s="303"/>
      <c r="L1083" s="303"/>
      <c r="M1083" s="303"/>
      <c r="N1083" s="303"/>
      <c r="Q1083" s="292"/>
      <c r="R1083" s="294"/>
      <c r="S1083" s="297"/>
      <c r="T1083" s="292"/>
      <c r="U1083" s="299"/>
      <c r="V1083" s="292"/>
      <c r="W1083" s="309"/>
      <c r="X1083" s="292"/>
      <c r="Y1083" s="309"/>
      <c r="Z1083" s="292"/>
      <c r="AA1083" s="315"/>
      <c r="AB1083" s="297"/>
      <c r="AC1083" s="292"/>
      <c r="AD1083" s="292"/>
      <c r="AE1083" s="292"/>
      <c r="AF1083" s="303"/>
      <c r="AG1083" s="303"/>
      <c r="AH1083" s="303"/>
      <c r="AI1083" s="303"/>
    </row>
    <row r="1084">
      <c r="A1084" s="292"/>
      <c r="B1084" s="318"/>
      <c r="C1084" s="292"/>
      <c r="D1084" s="293"/>
      <c r="E1084" s="292"/>
      <c r="F1084" s="293"/>
      <c r="G1084" s="294"/>
      <c r="H1084" s="303"/>
      <c r="I1084" s="303"/>
      <c r="J1084" s="303"/>
      <c r="K1084" s="303"/>
      <c r="L1084" s="303"/>
      <c r="M1084" s="303"/>
      <c r="N1084" s="303"/>
      <c r="Q1084" s="292"/>
      <c r="R1084" s="294"/>
      <c r="S1084" s="297"/>
      <c r="T1084" s="292"/>
      <c r="U1084" s="299"/>
      <c r="V1084" s="292"/>
      <c r="W1084" s="309"/>
      <c r="X1084" s="292"/>
      <c r="Y1084" s="309"/>
      <c r="Z1084" s="292"/>
      <c r="AA1084" s="315"/>
      <c r="AB1084" s="297"/>
      <c r="AC1084" s="292"/>
      <c r="AD1084" s="292"/>
      <c r="AE1084" s="292"/>
      <c r="AF1084" s="303"/>
      <c r="AG1084" s="303"/>
      <c r="AH1084" s="303"/>
      <c r="AI1084" s="303"/>
    </row>
    <row r="1085">
      <c r="A1085" s="292"/>
      <c r="B1085" s="318"/>
      <c r="C1085" s="292"/>
      <c r="D1085" s="293"/>
      <c r="E1085" s="292"/>
      <c r="F1085" s="293"/>
      <c r="G1085" s="294"/>
      <c r="H1085" s="303"/>
      <c r="I1085" s="303"/>
      <c r="J1085" s="303"/>
      <c r="K1085" s="303"/>
      <c r="L1085" s="303"/>
      <c r="M1085" s="303"/>
      <c r="N1085" s="303"/>
      <c r="Q1085" s="292"/>
      <c r="R1085" s="294"/>
      <c r="S1085" s="297"/>
      <c r="T1085" s="292"/>
      <c r="U1085" s="299"/>
      <c r="V1085" s="292"/>
      <c r="W1085" s="309"/>
      <c r="X1085" s="292"/>
      <c r="Y1085" s="309"/>
      <c r="Z1085" s="292"/>
      <c r="AA1085" s="315"/>
      <c r="AB1085" s="297"/>
      <c r="AC1085" s="292"/>
      <c r="AD1085" s="292"/>
      <c r="AE1085" s="292"/>
      <c r="AF1085" s="303"/>
      <c r="AG1085" s="303"/>
      <c r="AH1085" s="303"/>
      <c r="AI1085" s="303"/>
    </row>
    <row r="1086">
      <c r="A1086" s="292"/>
      <c r="B1086" s="318"/>
      <c r="C1086" s="292"/>
      <c r="D1086" s="293"/>
      <c r="E1086" s="292"/>
      <c r="F1086" s="293"/>
      <c r="G1086" s="294"/>
      <c r="H1086" s="303"/>
      <c r="I1086" s="303"/>
      <c r="J1086" s="303"/>
      <c r="K1086" s="303"/>
      <c r="L1086" s="303"/>
      <c r="M1086" s="303"/>
      <c r="N1086" s="303"/>
      <c r="Q1086" s="292"/>
      <c r="R1086" s="294"/>
      <c r="S1086" s="297"/>
      <c r="T1086" s="292"/>
      <c r="U1086" s="299"/>
      <c r="V1086" s="292"/>
      <c r="W1086" s="309"/>
      <c r="X1086" s="292"/>
      <c r="Y1086" s="309"/>
      <c r="Z1086" s="292"/>
      <c r="AA1086" s="315"/>
      <c r="AB1086" s="297"/>
      <c r="AC1086" s="292"/>
      <c r="AD1086" s="292"/>
      <c r="AE1086" s="292"/>
      <c r="AF1086" s="303"/>
      <c r="AG1086" s="303"/>
      <c r="AH1086" s="303"/>
      <c r="AI1086" s="303"/>
    </row>
    <row r="1087">
      <c r="A1087" s="292"/>
      <c r="B1087" s="318"/>
      <c r="C1087" s="292"/>
      <c r="D1087" s="293"/>
      <c r="E1087" s="292"/>
      <c r="F1087" s="293"/>
      <c r="G1087" s="294"/>
      <c r="H1087" s="303"/>
      <c r="I1087" s="303"/>
      <c r="J1087" s="303"/>
      <c r="K1087" s="303"/>
      <c r="L1087" s="303"/>
      <c r="M1087" s="303"/>
      <c r="N1087" s="303"/>
      <c r="Q1087" s="292"/>
      <c r="R1087" s="294"/>
      <c r="S1087" s="297"/>
      <c r="T1087" s="292"/>
      <c r="U1087" s="299"/>
      <c r="V1087" s="292"/>
      <c r="W1087" s="309"/>
      <c r="X1087" s="292"/>
      <c r="Y1087" s="309"/>
      <c r="Z1087" s="292"/>
      <c r="AA1087" s="315"/>
      <c r="AB1087" s="297"/>
      <c r="AC1087" s="292"/>
      <c r="AD1087" s="292"/>
      <c r="AE1087" s="292"/>
      <c r="AF1087" s="303"/>
      <c r="AG1087" s="303"/>
      <c r="AH1087" s="303"/>
      <c r="AI1087" s="303"/>
    </row>
    <row r="1088">
      <c r="A1088" s="292"/>
      <c r="B1088" s="318"/>
      <c r="C1088" s="292"/>
      <c r="D1088" s="293"/>
      <c r="E1088" s="292"/>
      <c r="F1088" s="293"/>
      <c r="G1088" s="294"/>
      <c r="H1088" s="303"/>
      <c r="I1088" s="303"/>
      <c r="J1088" s="303"/>
      <c r="K1088" s="303"/>
      <c r="L1088" s="303"/>
      <c r="M1088" s="303"/>
      <c r="N1088" s="303"/>
      <c r="Q1088" s="292"/>
      <c r="R1088" s="294"/>
      <c r="S1088" s="297"/>
      <c r="T1088" s="292"/>
      <c r="U1088" s="299"/>
      <c r="V1088" s="292"/>
      <c r="W1088" s="309"/>
      <c r="X1088" s="292"/>
      <c r="Y1088" s="309"/>
      <c r="Z1088" s="292"/>
      <c r="AA1088" s="315"/>
      <c r="AB1088" s="297"/>
      <c r="AC1088" s="292"/>
      <c r="AD1088" s="292"/>
      <c r="AE1088" s="292"/>
      <c r="AF1088" s="303"/>
      <c r="AG1088" s="303"/>
      <c r="AH1088" s="303"/>
      <c r="AI1088" s="303"/>
    </row>
    <row r="1089">
      <c r="A1089" s="292"/>
      <c r="B1089" s="318"/>
      <c r="C1089" s="292"/>
      <c r="D1089" s="293"/>
      <c r="E1089" s="292"/>
      <c r="F1089" s="293"/>
      <c r="G1089" s="294"/>
      <c r="H1089" s="303"/>
      <c r="I1089" s="303"/>
      <c r="J1089" s="303"/>
      <c r="K1089" s="303"/>
      <c r="L1089" s="303"/>
      <c r="M1089" s="303"/>
      <c r="N1089" s="303"/>
      <c r="Q1089" s="292"/>
      <c r="R1089" s="294"/>
      <c r="S1089" s="297"/>
      <c r="T1089" s="292"/>
      <c r="U1089" s="299"/>
      <c r="V1089" s="292"/>
      <c r="W1089" s="309"/>
      <c r="X1089" s="292"/>
      <c r="Y1089" s="309"/>
      <c r="Z1089" s="292"/>
      <c r="AA1089" s="315"/>
      <c r="AB1089" s="297"/>
      <c r="AC1089" s="292"/>
      <c r="AD1089" s="292"/>
      <c r="AE1089" s="292"/>
      <c r="AF1089" s="303"/>
      <c r="AG1089" s="303"/>
      <c r="AH1089" s="303"/>
      <c r="AI1089" s="303"/>
    </row>
    <row r="1090">
      <c r="A1090" s="292"/>
      <c r="B1090" s="318"/>
      <c r="C1090" s="292"/>
      <c r="D1090" s="293"/>
      <c r="E1090" s="292"/>
      <c r="F1090" s="293"/>
      <c r="G1090" s="294"/>
      <c r="H1090" s="303"/>
      <c r="I1090" s="303"/>
      <c r="J1090" s="303"/>
      <c r="K1090" s="303"/>
      <c r="L1090" s="303"/>
      <c r="M1090" s="303"/>
      <c r="N1090" s="303"/>
      <c r="Q1090" s="292"/>
      <c r="R1090" s="294"/>
      <c r="S1090" s="297"/>
      <c r="T1090" s="292"/>
      <c r="U1090" s="299"/>
      <c r="V1090" s="292"/>
      <c r="W1090" s="309"/>
      <c r="X1090" s="292"/>
      <c r="Y1090" s="309"/>
      <c r="Z1090" s="292"/>
      <c r="AA1090" s="315"/>
      <c r="AB1090" s="297"/>
      <c r="AC1090" s="292"/>
      <c r="AD1090" s="292"/>
      <c r="AE1090" s="292"/>
      <c r="AF1090" s="303"/>
      <c r="AG1090" s="303"/>
      <c r="AH1090" s="303"/>
      <c r="AI1090" s="303"/>
    </row>
    <row r="1091">
      <c r="A1091" s="292"/>
      <c r="B1091" s="318"/>
      <c r="C1091" s="292"/>
      <c r="D1091" s="293"/>
      <c r="E1091" s="292"/>
      <c r="F1091" s="293"/>
      <c r="G1091" s="294"/>
      <c r="H1091" s="303"/>
      <c r="I1091" s="303"/>
      <c r="J1091" s="303"/>
      <c r="K1091" s="303"/>
      <c r="L1091" s="303"/>
      <c r="M1091" s="303"/>
      <c r="N1091" s="303"/>
      <c r="Q1091" s="292"/>
      <c r="R1091" s="294"/>
      <c r="S1091" s="297"/>
      <c r="T1091" s="292"/>
      <c r="U1091" s="299"/>
      <c r="V1091" s="292"/>
      <c r="W1091" s="309"/>
      <c r="X1091" s="292"/>
      <c r="Y1091" s="309"/>
      <c r="Z1091" s="292"/>
      <c r="AA1091" s="315"/>
      <c r="AB1091" s="297"/>
      <c r="AC1091" s="292"/>
      <c r="AD1091" s="292"/>
      <c r="AE1091" s="292"/>
      <c r="AF1091" s="303"/>
      <c r="AG1091" s="303"/>
      <c r="AH1091" s="303"/>
      <c r="AI1091" s="303"/>
    </row>
    <row r="1092">
      <c r="A1092" s="292"/>
      <c r="B1092" s="318"/>
      <c r="C1092" s="292"/>
      <c r="D1092" s="293"/>
      <c r="E1092" s="292"/>
      <c r="F1092" s="293"/>
      <c r="G1092" s="294"/>
      <c r="H1092" s="303"/>
      <c r="I1092" s="303"/>
      <c r="J1092" s="303"/>
      <c r="K1092" s="303"/>
      <c r="L1092" s="303"/>
      <c r="M1092" s="303"/>
      <c r="N1092" s="303"/>
      <c r="Q1092" s="292"/>
      <c r="R1092" s="294"/>
      <c r="S1092" s="297"/>
      <c r="T1092" s="292"/>
      <c r="U1092" s="299"/>
      <c r="V1092" s="292"/>
      <c r="W1092" s="309"/>
      <c r="X1092" s="292"/>
      <c r="Y1092" s="309"/>
      <c r="Z1092" s="292"/>
      <c r="AA1092" s="315"/>
      <c r="AB1092" s="297"/>
      <c r="AC1092" s="292"/>
      <c r="AD1092" s="292"/>
      <c r="AE1092" s="292"/>
      <c r="AF1092" s="303"/>
      <c r="AG1092" s="303"/>
      <c r="AH1092" s="303"/>
      <c r="AI1092" s="303"/>
    </row>
    <row r="1093">
      <c r="A1093" s="292"/>
      <c r="B1093" s="318"/>
      <c r="C1093" s="292"/>
      <c r="D1093" s="293"/>
      <c r="E1093" s="292"/>
      <c r="F1093" s="293"/>
      <c r="G1093" s="294"/>
      <c r="H1093" s="303"/>
      <c r="I1093" s="303"/>
      <c r="J1093" s="303"/>
      <c r="K1093" s="303"/>
      <c r="L1093" s="303"/>
      <c r="M1093" s="303"/>
      <c r="N1093" s="303"/>
      <c r="Q1093" s="292"/>
      <c r="R1093" s="294"/>
      <c r="S1093" s="297"/>
      <c r="T1093" s="292"/>
      <c r="U1093" s="299"/>
      <c r="V1093" s="292"/>
      <c r="W1093" s="309"/>
      <c r="X1093" s="292"/>
      <c r="Y1093" s="309"/>
      <c r="Z1093" s="292"/>
      <c r="AA1093" s="315"/>
      <c r="AB1093" s="297"/>
      <c r="AC1093" s="292"/>
      <c r="AD1093" s="292"/>
      <c r="AE1093" s="292"/>
      <c r="AF1093" s="303"/>
      <c r="AG1093" s="303"/>
      <c r="AH1093" s="303"/>
      <c r="AI1093" s="303"/>
    </row>
    <row r="1094">
      <c r="A1094" s="292"/>
      <c r="B1094" s="318"/>
      <c r="C1094" s="292"/>
      <c r="D1094" s="318"/>
      <c r="E1094" s="292"/>
      <c r="F1094" s="293"/>
      <c r="G1094" s="294"/>
      <c r="H1094" s="303"/>
      <c r="I1094" s="303"/>
      <c r="J1094" s="303"/>
      <c r="K1094" s="303"/>
      <c r="L1094" s="303"/>
      <c r="M1094" s="303"/>
      <c r="N1094" s="303"/>
      <c r="Q1094" s="292"/>
      <c r="R1094" s="294"/>
      <c r="S1094" s="297"/>
      <c r="T1094" s="292"/>
      <c r="U1094" s="299"/>
      <c r="V1094" s="292"/>
      <c r="W1094" s="309"/>
      <c r="X1094" s="292"/>
      <c r="Y1094" s="309"/>
      <c r="Z1094" s="292"/>
      <c r="AA1094" s="315"/>
      <c r="AB1094" s="297"/>
      <c r="AC1094" s="292"/>
      <c r="AD1094" s="292"/>
      <c r="AE1094" s="292"/>
      <c r="AF1094" s="303"/>
      <c r="AG1094" s="303"/>
      <c r="AH1094" s="303"/>
      <c r="AI1094" s="303"/>
    </row>
    <row r="1095">
      <c r="A1095" s="292"/>
      <c r="B1095" s="318"/>
      <c r="C1095" s="292"/>
      <c r="D1095" s="318"/>
      <c r="E1095" s="292"/>
      <c r="F1095" s="293"/>
      <c r="G1095" s="294"/>
      <c r="H1095" s="303"/>
      <c r="I1095" s="303"/>
      <c r="J1095" s="303"/>
      <c r="K1095" s="303"/>
      <c r="L1095" s="303"/>
      <c r="M1095" s="303"/>
      <c r="N1095" s="303"/>
      <c r="Q1095" s="292"/>
      <c r="R1095" s="294"/>
      <c r="S1095" s="297"/>
      <c r="T1095" s="292"/>
      <c r="U1095" s="299"/>
      <c r="V1095" s="292"/>
      <c r="W1095" s="309"/>
      <c r="X1095" s="292"/>
      <c r="Y1095" s="309"/>
      <c r="Z1095" s="292"/>
      <c r="AA1095" s="315"/>
      <c r="AB1095" s="297"/>
      <c r="AC1095" s="292"/>
      <c r="AD1095" s="292"/>
      <c r="AE1095" s="292"/>
      <c r="AF1095" s="303"/>
      <c r="AG1095" s="303"/>
      <c r="AH1095" s="303"/>
      <c r="AI1095" s="303"/>
    </row>
    <row r="1096">
      <c r="A1096" s="292"/>
      <c r="B1096" s="318"/>
      <c r="C1096" s="292"/>
      <c r="D1096" s="318"/>
      <c r="E1096" s="292"/>
      <c r="F1096" s="293"/>
      <c r="G1096" s="294"/>
      <c r="H1096" s="303"/>
      <c r="I1096" s="303"/>
      <c r="J1096" s="303"/>
      <c r="K1096" s="303"/>
      <c r="L1096" s="303"/>
      <c r="M1096" s="303"/>
      <c r="N1096" s="303"/>
      <c r="Q1096" s="292"/>
      <c r="R1096" s="294"/>
      <c r="S1096" s="297"/>
      <c r="T1096" s="292"/>
      <c r="U1096" s="299"/>
      <c r="V1096" s="292"/>
      <c r="W1096" s="309"/>
      <c r="X1096" s="292"/>
      <c r="Y1096" s="309"/>
      <c r="Z1096" s="292"/>
      <c r="AA1096" s="315"/>
      <c r="AB1096" s="297"/>
      <c r="AC1096" s="292"/>
      <c r="AD1096" s="292"/>
      <c r="AE1096" s="292"/>
      <c r="AF1096" s="303"/>
      <c r="AG1096" s="303"/>
      <c r="AH1096" s="303"/>
      <c r="AI1096" s="303"/>
    </row>
    <row r="1097">
      <c r="A1097" s="292"/>
      <c r="B1097" s="318"/>
      <c r="C1097" s="292"/>
      <c r="D1097" s="318"/>
      <c r="E1097" s="292"/>
      <c r="F1097" s="293"/>
      <c r="G1097" s="294"/>
      <c r="H1097" s="303"/>
      <c r="I1097" s="303"/>
      <c r="J1097" s="303"/>
      <c r="K1097" s="303"/>
      <c r="L1097" s="303"/>
      <c r="M1097" s="303"/>
      <c r="N1097" s="303"/>
      <c r="Q1097" s="292"/>
      <c r="R1097" s="294"/>
      <c r="S1097" s="297"/>
      <c r="T1097" s="292"/>
      <c r="U1097" s="299"/>
      <c r="V1097" s="292"/>
      <c r="W1097" s="309"/>
      <c r="X1097" s="292"/>
      <c r="Y1097" s="309"/>
      <c r="Z1097" s="292"/>
      <c r="AA1097" s="315"/>
      <c r="AB1097" s="297"/>
      <c r="AC1097" s="292"/>
      <c r="AD1097" s="292"/>
      <c r="AE1097" s="292"/>
      <c r="AF1097" s="303"/>
      <c r="AG1097" s="303"/>
      <c r="AH1097" s="303"/>
      <c r="AI1097" s="303"/>
    </row>
    <row r="1098">
      <c r="A1098" s="292"/>
      <c r="B1098" s="318"/>
      <c r="C1098" s="292"/>
      <c r="D1098" s="318"/>
      <c r="E1098" s="292"/>
      <c r="F1098" s="293"/>
      <c r="G1098" s="294"/>
      <c r="H1098" s="303"/>
      <c r="I1098" s="303"/>
      <c r="J1098" s="303"/>
      <c r="K1098" s="303"/>
      <c r="L1098" s="303"/>
      <c r="M1098" s="303"/>
      <c r="N1098" s="303"/>
      <c r="Q1098" s="292"/>
      <c r="R1098" s="294"/>
      <c r="S1098" s="297"/>
      <c r="T1098" s="292"/>
      <c r="U1098" s="299"/>
      <c r="V1098" s="292"/>
      <c r="W1098" s="309"/>
      <c r="X1098" s="292"/>
      <c r="Y1098" s="309"/>
      <c r="Z1098" s="292"/>
      <c r="AA1098" s="315"/>
      <c r="AB1098" s="297"/>
      <c r="AC1098" s="292"/>
      <c r="AD1098" s="292"/>
      <c r="AE1098" s="292"/>
      <c r="AF1098" s="303"/>
      <c r="AG1098" s="303"/>
      <c r="AH1098" s="303"/>
      <c r="AI1098" s="303"/>
    </row>
    <row r="1099">
      <c r="A1099" s="292"/>
      <c r="B1099" s="318"/>
      <c r="C1099" s="292"/>
      <c r="D1099" s="318"/>
      <c r="E1099" s="292"/>
      <c r="F1099" s="293"/>
      <c r="G1099" s="294"/>
      <c r="H1099" s="303"/>
      <c r="I1099" s="303"/>
      <c r="J1099" s="303"/>
      <c r="K1099" s="303"/>
      <c r="L1099" s="303"/>
      <c r="M1099" s="303"/>
      <c r="N1099" s="303"/>
      <c r="Q1099" s="292"/>
      <c r="R1099" s="294"/>
      <c r="S1099" s="297"/>
      <c r="T1099" s="292"/>
      <c r="U1099" s="299"/>
      <c r="V1099" s="292"/>
      <c r="W1099" s="309"/>
      <c r="X1099" s="292"/>
      <c r="Y1099" s="309"/>
      <c r="Z1099" s="292"/>
      <c r="AA1099" s="315"/>
      <c r="AB1099" s="297"/>
      <c r="AC1099" s="292"/>
      <c r="AD1099" s="292"/>
      <c r="AE1099" s="292"/>
      <c r="AF1099" s="303"/>
      <c r="AG1099" s="303"/>
      <c r="AH1099" s="303"/>
      <c r="AI1099" s="303"/>
    </row>
    <row r="1100">
      <c r="A1100" s="292"/>
      <c r="B1100" s="318"/>
      <c r="C1100" s="292"/>
      <c r="D1100" s="318"/>
      <c r="E1100" s="292"/>
      <c r="F1100" s="293"/>
      <c r="G1100" s="294"/>
      <c r="H1100" s="303"/>
      <c r="I1100" s="303"/>
      <c r="J1100" s="303"/>
      <c r="K1100" s="303"/>
      <c r="L1100" s="303"/>
      <c r="M1100" s="303"/>
      <c r="N1100" s="303"/>
      <c r="Q1100" s="292"/>
      <c r="R1100" s="294"/>
      <c r="S1100" s="297"/>
      <c r="T1100" s="292"/>
      <c r="U1100" s="299"/>
      <c r="V1100" s="292"/>
      <c r="W1100" s="309"/>
      <c r="X1100" s="292"/>
      <c r="Y1100" s="309"/>
      <c r="Z1100" s="292"/>
      <c r="AA1100" s="315"/>
      <c r="AB1100" s="297"/>
      <c r="AC1100" s="292"/>
      <c r="AD1100" s="292"/>
      <c r="AE1100" s="292"/>
      <c r="AF1100" s="303"/>
      <c r="AG1100" s="303"/>
      <c r="AH1100" s="303"/>
      <c r="AI1100" s="303"/>
    </row>
    <row r="1101">
      <c r="A1101" s="292"/>
      <c r="B1101" s="318"/>
      <c r="C1101" s="292"/>
      <c r="D1101" s="318"/>
      <c r="E1101" s="292"/>
      <c r="F1101" s="293"/>
      <c r="G1101" s="294"/>
      <c r="H1101" s="303"/>
      <c r="I1101" s="303"/>
      <c r="J1101" s="303"/>
      <c r="K1101" s="303"/>
      <c r="L1101" s="303"/>
      <c r="M1101" s="303"/>
      <c r="N1101" s="303"/>
      <c r="Q1101" s="292"/>
      <c r="R1101" s="294"/>
      <c r="S1101" s="297"/>
      <c r="T1101" s="292"/>
      <c r="U1101" s="299"/>
      <c r="V1101" s="292"/>
      <c r="W1101" s="309"/>
      <c r="X1101" s="292"/>
      <c r="Y1101" s="309"/>
      <c r="Z1101" s="292"/>
      <c r="AA1101" s="315"/>
      <c r="AB1101" s="297"/>
      <c r="AC1101" s="292"/>
      <c r="AD1101" s="292"/>
      <c r="AE1101" s="292"/>
      <c r="AF1101" s="303"/>
      <c r="AG1101" s="303"/>
      <c r="AH1101" s="303"/>
      <c r="AI1101" s="303"/>
    </row>
    <row r="1102">
      <c r="A1102" s="292"/>
      <c r="B1102" s="318"/>
      <c r="C1102" s="292"/>
      <c r="D1102" s="318"/>
      <c r="E1102" s="292"/>
      <c r="F1102" s="293"/>
      <c r="G1102" s="294"/>
      <c r="H1102" s="303"/>
      <c r="I1102" s="303"/>
      <c r="J1102" s="303"/>
      <c r="K1102" s="303"/>
      <c r="L1102" s="303"/>
      <c r="M1102" s="303"/>
      <c r="N1102" s="303"/>
      <c r="Q1102" s="292"/>
      <c r="R1102" s="294"/>
      <c r="S1102" s="297"/>
      <c r="T1102" s="292"/>
      <c r="U1102" s="299"/>
      <c r="V1102" s="292"/>
      <c r="W1102" s="309"/>
      <c r="X1102" s="292"/>
      <c r="Y1102" s="309"/>
      <c r="Z1102" s="292"/>
      <c r="AA1102" s="315"/>
      <c r="AB1102" s="297"/>
      <c r="AC1102" s="292"/>
      <c r="AD1102" s="292"/>
      <c r="AE1102" s="292"/>
      <c r="AF1102" s="303"/>
      <c r="AG1102" s="303"/>
      <c r="AH1102" s="303"/>
      <c r="AI1102" s="303"/>
    </row>
    <row r="1103">
      <c r="A1103" s="292"/>
      <c r="B1103" s="318"/>
      <c r="C1103" s="292"/>
      <c r="D1103" s="318"/>
      <c r="E1103" s="292"/>
      <c r="F1103" s="293"/>
      <c r="G1103" s="294"/>
      <c r="H1103" s="303"/>
      <c r="I1103" s="303"/>
      <c r="J1103" s="303"/>
      <c r="K1103" s="303"/>
      <c r="L1103" s="303"/>
      <c r="M1103" s="303"/>
      <c r="N1103" s="303"/>
      <c r="Q1103" s="292"/>
      <c r="R1103" s="294"/>
      <c r="S1103" s="297"/>
      <c r="T1103" s="292"/>
      <c r="U1103" s="299"/>
      <c r="V1103" s="292"/>
      <c r="W1103" s="309"/>
      <c r="X1103" s="292"/>
      <c r="Y1103" s="309"/>
      <c r="Z1103" s="292"/>
      <c r="AA1103" s="315"/>
      <c r="AB1103" s="297"/>
      <c r="AC1103" s="292"/>
      <c r="AD1103" s="292"/>
      <c r="AE1103" s="292"/>
      <c r="AF1103" s="303"/>
      <c r="AG1103" s="303"/>
      <c r="AH1103" s="303"/>
      <c r="AI1103" s="303"/>
    </row>
    <row r="1104">
      <c r="A1104" s="292"/>
      <c r="B1104" s="318"/>
      <c r="C1104" s="292"/>
      <c r="D1104" s="318"/>
      <c r="E1104" s="292"/>
      <c r="F1104" s="293"/>
      <c r="G1104" s="294"/>
      <c r="H1104" s="303"/>
      <c r="I1104" s="303"/>
      <c r="J1104" s="303"/>
      <c r="K1104" s="303"/>
      <c r="L1104" s="303"/>
      <c r="M1104" s="303"/>
      <c r="N1104" s="303"/>
      <c r="Q1104" s="292"/>
      <c r="R1104" s="294"/>
      <c r="S1104" s="297"/>
      <c r="T1104" s="292"/>
      <c r="U1104" s="299"/>
      <c r="V1104" s="292"/>
      <c r="W1104" s="309"/>
      <c r="X1104" s="292"/>
      <c r="Y1104" s="309"/>
      <c r="Z1104" s="292"/>
      <c r="AA1104" s="315"/>
      <c r="AB1104" s="297"/>
      <c r="AC1104" s="292"/>
      <c r="AD1104" s="292"/>
      <c r="AE1104" s="292"/>
      <c r="AF1104" s="303"/>
      <c r="AG1104" s="303"/>
      <c r="AH1104" s="303"/>
      <c r="AI1104" s="303"/>
    </row>
    <row r="1105">
      <c r="A1105" s="292"/>
      <c r="B1105" s="318"/>
      <c r="C1105" s="292"/>
      <c r="D1105" s="318"/>
      <c r="E1105" s="292"/>
      <c r="F1105" s="293"/>
      <c r="G1105" s="294"/>
      <c r="H1105" s="303"/>
      <c r="I1105" s="303"/>
      <c r="J1105" s="303"/>
      <c r="K1105" s="303"/>
      <c r="L1105" s="303"/>
      <c r="M1105" s="303"/>
      <c r="N1105" s="303"/>
      <c r="Q1105" s="292"/>
      <c r="R1105" s="294"/>
      <c r="S1105" s="297"/>
      <c r="T1105" s="292"/>
      <c r="U1105" s="299"/>
      <c r="V1105" s="292"/>
      <c r="W1105" s="309"/>
      <c r="X1105" s="292"/>
      <c r="Y1105" s="309"/>
      <c r="Z1105" s="292"/>
      <c r="AA1105" s="315"/>
      <c r="AB1105" s="297"/>
      <c r="AC1105" s="292"/>
      <c r="AD1105" s="292"/>
      <c r="AE1105" s="292"/>
      <c r="AF1105" s="303"/>
      <c r="AG1105" s="303"/>
      <c r="AH1105" s="303"/>
      <c r="AI1105" s="303"/>
    </row>
    <row r="1106">
      <c r="A1106" s="292"/>
      <c r="B1106" s="318"/>
      <c r="C1106" s="292"/>
      <c r="D1106" s="318"/>
      <c r="E1106" s="292"/>
      <c r="F1106" s="293"/>
      <c r="G1106" s="294"/>
      <c r="H1106" s="303"/>
      <c r="I1106" s="303"/>
      <c r="J1106" s="303"/>
      <c r="K1106" s="303"/>
      <c r="L1106" s="303"/>
      <c r="M1106" s="303"/>
      <c r="N1106" s="303"/>
      <c r="Q1106" s="292"/>
      <c r="R1106" s="294"/>
      <c r="S1106" s="297"/>
      <c r="T1106" s="292"/>
      <c r="U1106" s="299"/>
      <c r="V1106" s="292"/>
      <c r="W1106" s="309"/>
      <c r="X1106" s="292"/>
      <c r="Y1106" s="309"/>
      <c r="Z1106" s="292"/>
      <c r="AA1106" s="315"/>
      <c r="AB1106" s="297"/>
      <c r="AC1106" s="292"/>
      <c r="AD1106" s="292"/>
      <c r="AE1106" s="292"/>
      <c r="AF1106" s="303"/>
      <c r="AG1106" s="303"/>
      <c r="AH1106" s="303"/>
      <c r="AI1106" s="303"/>
    </row>
    <row r="1107">
      <c r="A1107" s="292"/>
      <c r="B1107" s="318"/>
      <c r="C1107" s="292"/>
      <c r="D1107" s="318"/>
      <c r="E1107" s="292"/>
      <c r="F1107" s="293"/>
      <c r="G1107" s="294"/>
      <c r="H1107" s="303"/>
      <c r="I1107" s="303"/>
      <c r="J1107" s="303"/>
      <c r="K1107" s="303"/>
      <c r="L1107" s="303"/>
      <c r="M1107" s="303"/>
      <c r="N1107" s="303"/>
      <c r="Q1107" s="292"/>
      <c r="R1107" s="294"/>
      <c r="S1107" s="297"/>
      <c r="T1107" s="292"/>
      <c r="U1107" s="299"/>
      <c r="V1107" s="292"/>
      <c r="W1107" s="309"/>
      <c r="X1107" s="292"/>
      <c r="Y1107" s="309"/>
      <c r="Z1107" s="292"/>
      <c r="AA1107" s="315"/>
      <c r="AB1107" s="297"/>
      <c r="AC1107" s="292"/>
      <c r="AD1107" s="292"/>
      <c r="AE1107" s="292"/>
      <c r="AF1107" s="303"/>
      <c r="AG1107" s="303"/>
      <c r="AH1107" s="303"/>
      <c r="AI1107" s="303"/>
    </row>
    <row r="1108">
      <c r="A1108" s="292"/>
      <c r="B1108" s="318"/>
      <c r="C1108" s="292"/>
      <c r="D1108" s="318"/>
      <c r="E1108" s="292"/>
      <c r="F1108" s="293"/>
      <c r="G1108" s="294"/>
      <c r="H1108" s="303"/>
      <c r="I1108" s="303"/>
      <c r="J1108" s="303"/>
      <c r="K1108" s="303"/>
      <c r="L1108" s="303"/>
      <c r="M1108" s="303"/>
      <c r="N1108" s="303"/>
      <c r="Q1108" s="292"/>
      <c r="R1108" s="294"/>
      <c r="S1108" s="297"/>
      <c r="T1108" s="292"/>
      <c r="U1108" s="299"/>
      <c r="V1108" s="292"/>
      <c r="W1108" s="309"/>
      <c r="X1108" s="292"/>
      <c r="Y1108" s="309"/>
      <c r="Z1108" s="292"/>
      <c r="AA1108" s="315"/>
      <c r="AB1108" s="297"/>
      <c r="AC1108" s="292"/>
      <c r="AD1108" s="292"/>
      <c r="AE1108" s="292"/>
      <c r="AF1108" s="303"/>
      <c r="AG1108" s="303"/>
      <c r="AH1108" s="303"/>
      <c r="AI1108" s="303"/>
    </row>
    <row r="1109">
      <c r="A1109" s="292"/>
      <c r="B1109" s="318"/>
      <c r="C1109" s="292"/>
      <c r="D1109" s="318"/>
      <c r="E1109" s="292"/>
      <c r="F1109" s="293"/>
      <c r="G1109" s="294"/>
      <c r="H1109" s="303"/>
      <c r="I1109" s="303"/>
      <c r="J1109" s="303"/>
      <c r="K1109" s="303"/>
      <c r="L1109" s="303"/>
      <c r="M1109" s="303"/>
      <c r="N1109" s="303"/>
      <c r="Q1109" s="292"/>
      <c r="R1109" s="294"/>
      <c r="S1109" s="297"/>
      <c r="T1109" s="292"/>
      <c r="U1109" s="299"/>
      <c r="V1109" s="292"/>
      <c r="W1109" s="309"/>
      <c r="X1109" s="292"/>
      <c r="Y1109" s="309"/>
      <c r="Z1109" s="292"/>
      <c r="AA1109" s="315"/>
      <c r="AB1109" s="297"/>
      <c r="AC1109" s="292"/>
      <c r="AD1109" s="292"/>
      <c r="AE1109" s="292"/>
      <c r="AF1109" s="303"/>
      <c r="AG1109" s="303"/>
      <c r="AH1109" s="303"/>
      <c r="AI1109" s="303"/>
    </row>
    <row r="1110">
      <c r="A1110" s="292"/>
      <c r="B1110" s="318"/>
      <c r="C1110" s="292"/>
      <c r="D1110" s="318"/>
      <c r="E1110" s="292"/>
      <c r="F1110" s="293"/>
      <c r="G1110" s="294"/>
      <c r="H1110" s="303"/>
      <c r="I1110" s="303"/>
      <c r="J1110" s="303"/>
      <c r="K1110" s="303"/>
      <c r="L1110" s="303"/>
      <c r="M1110" s="303"/>
      <c r="N1110" s="303"/>
      <c r="Q1110" s="292"/>
      <c r="R1110" s="294"/>
      <c r="S1110" s="297"/>
      <c r="T1110" s="292"/>
      <c r="U1110" s="299"/>
      <c r="V1110" s="292"/>
      <c r="W1110" s="309"/>
      <c r="X1110" s="292"/>
      <c r="Y1110" s="309"/>
      <c r="Z1110" s="292"/>
      <c r="AA1110" s="315"/>
      <c r="AB1110" s="297"/>
      <c r="AC1110" s="292"/>
      <c r="AD1110" s="292"/>
      <c r="AE1110" s="292"/>
      <c r="AF1110" s="303"/>
      <c r="AG1110" s="303"/>
      <c r="AH1110" s="303"/>
      <c r="AI1110" s="303"/>
    </row>
    <row r="1111">
      <c r="A1111" s="292"/>
      <c r="B1111" s="318"/>
      <c r="C1111" s="292"/>
      <c r="D1111" s="318"/>
      <c r="E1111" s="292"/>
      <c r="F1111" s="293"/>
      <c r="G1111" s="294"/>
      <c r="H1111" s="303"/>
      <c r="I1111" s="303"/>
      <c r="J1111" s="303"/>
      <c r="K1111" s="303"/>
      <c r="L1111" s="303"/>
      <c r="M1111" s="303"/>
      <c r="N1111" s="303"/>
      <c r="Q1111" s="292"/>
      <c r="R1111" s="294"/>
      <c r="S1111" s="297"/>
      <c r="T1111" s="292"/>
      <c r="U1111" s="299"/>
      <c r="V1111" s="292"/>
      <c r="W1111" s="309"/>
      <c r="X1111" s="292"/>
      <c r="Y1111" s="309"/>
      <c r="Z1111" s="292"/>
      <c r="AA1111" s="315"/>
      <c r="AB1111" s="297"/>
      <c r="AC1111" s="292"/>
      <c r="AD1111" s="292"/>
      <c r="AE1111" s="292"/>
      <c r="AF1111" s="303"/>
      <c r="AG1111" s="303"/>
      <c r="AH1111" s="303"/>
      <c r="AI1111" s="303"/>
    </row>
    <row r="1112">
      <c r="A1112" s="292"/>
      <c r="B1112" s="318"/>
      <c r="C1112" s="292"/>
      <c r="D1112" s="318"/>
      <c r="E1112" s="292"/>
      <c r="F1112" s="293"/>
      <c r="G1112" s="294"/>
      <c r="H1112" s="303"/>
      <c r="I1112" s="303"/>
      <c r="J1112" s="303"/>
      <c r="K1112" s="303"/>
      <c r="L1112" s="303"/>
      <c r="M1112" s="303"/>
      <c r="N1112" s="303"/>
      <c r="Q1112" s="292"/>
      <c r="R1112" s="294"/>
      <c r="S1112" s="297"/>
      <c r="T1112" s="292"/>
      <c r="U1112" s="299"/>
      <c r="V1112" s="292"/>
      <c r="W1112" s="309"/>
      <c r="X1112" s="292"/>
      <c r="Y1112" s="309"/>
      <c r="Z1112" s="292"/>
      <c r="AA1112" s="315"/>
      <c r="AB1112" s="297"/>
      <c r="AC1112" s="292"/>
      <c r="AD1112" s="292"/>
      <c r="AE1112" s="292"/>
      <c r="AF1112" s="303"/>
      <c r="AG1112" s="303"/>
      <c r="AH1112" s="303"/>
      <c r="AI1112" s="303"/>
    </row>
    <row r="1113">
      <c r="A1113" s="292"/>
      <c r="B1113" s="318"/>
      <c r="C1113" s="292"/>
      <c r="D1113" s="318"/>
      <c r="E1113" s="292"/>
      <c r="F1113" s="293"/>
      <c r="G1113" s="294"/>
      <c r="H1113" s="303"/>
      <c r="I1113" s="303"/>
      <c r="J1113" s="303"/>
      <c r="K1113" s="303"/>
      <c r="L1113" s="303"/>
      <c r="M1113" s="303"/>
      <c r="N1113" s="303"/>
      <c r="Q1113" s="292"/>
      <c r="R1113" s="294"/>
      <c r="S1113" s="297"/>
      <c r="T1113" s="292"/>
      <c r="U1113" s="299"/>
      <c r="V1113" s="292"/>
      <c r="W1113" s="309"/>
      <c r="X1113" s="292"/>
      <c r="Y1113" s="309"/>
      <c r="Z1113" s="292"/>
      <c r="AA1113" s="315"/>
      <c r="AB1113" s="297"/>
      <c r="AC1113" s="292"/>
      <c r="AD1113" s="292"/>
      <c r="AE1113" s="292"/>
      <c r="AF1113" s="303"/>
      <c r="AG1113" s="303"/>
      <c r="AH1113" s="303"/>
      <c r="AI1113" s="303"/>
    </row>
    <row r="1114">
      <c r="A1114" s="292"/>
      <c r="B1114" s="318"/>
      <c r="C1114" s="292"/>
      <c r="D1114" s="318"/>
      <c r="E1114" s="292"/>
      <c r="F1114" s="293"/>
      <c r="G1114" s="294"/>
      <c r="H1114" s="303"/>
      <c r="I1114" s="303"/>
      <c r="J1114" s="303"/>
      <c r="K1114" s="303"/>
      <c r="L1114" s="303"/>
      <c r="M1114" s="303"/>
      <c r="N1114" s="303"/>
      <c r="Q1114" s="292"/>
      <c r="R1114" s="294"/>
      <c r="S1114" s="297"/>
      <c r="T1114" s="292"/>
      <c r="U1114" s="299"/>
      <c r="V1114" s="292"/>
      <c r="W1114" s="309"/>
      <c r="X1114" s="292"/>
      <c r="Y1114" s="309"/>
      <c r="Z1114" s="292"/>
      <c r="AA1114" s="315"/>
      <c r="AB1114" s="297"/>
      <c r="AC1114" s="292"/>
      <c r="AD1114" s="292"/>
      <c r="AE1114" s="292"/>
      <c r="AF1114" s="303"/>
      <c r="AG1114" s="303"/>
      <c r="AH1114" s="303"/>
      <c r="AI1114" s="303"/>
    </row>
    <row r="1115">
      <c r="A1115" s="292"/>
      <c r="B1115" s="318"/>
      <c r="C1115" s="292"/>
      <c r="D1115" s="318"/>
      <c r="E1115" s="292"/>
      <c r="F1115" s="293"/>
      <c r="G1115" s="294"/>
      <c r="H1115" s="303"/>
      <c r="I1115" s="303"/>
      <c r="J1115" s="303"/>
      <c r="K1115" s="303"/>
      <c r="L1115" s="303"/>
      <c r="M1115" s="303"/>
      <c r="N1115" s="303"/>
      <c r="Q1115" s="292"/>
      <c r="R1115" s="294"/>
      <c r="S1115" s="297"/>
      <c r="T1115" s="292"/>
      <c r="U1115" s="299"/>
      <c r="V1115" s="292"/>
      <c r="W1115" s="309"/>
      <c r="X1115" s="292"/>
      <c r="Y1115" s="309"/>
      <c r="Z1115" s="292"/>
      <c r="AA1115" s="315"/>
      <c r="AB1115" s="297"/>
      <c r="AC1115" s="292"/>
      <c r="AD1115" s="292"/>
      <c r="AE1115" s="292"/>
      <c r="AF1115" s="303"/>
      <c r="AG1115" s="303"/>
      <c r="AH1115" s="303"/>
      <c r="AI1115" s="303"/>
    </row>
    <row r="1116">
      <c r="A1116" s="292"/>
      <c r="B1116" s="318"/>
      <c r="C1116" s="292"/>
      <c r="D1116" s="318"/>
      <c r="E1116" s="292"/>
      <c r="F1116" s="293"/>
      <c r="G1116" s="294"/>
      <c r="H1116" s="303"/>
      <c r="I1116" s="303"/>
      <c r="J1116" s="303"/>
      <c r="K1116" s="303"/>
      <c r="L1116" s="303"/>
      <c r="M1116" s="303"/>
      <c r="N1116" s="303"/>
      <c r="Q1116" s="292"/>
      <c r="R1116" s="294"/>
      <c r="S1116" s="297"/>
      <c r="T1116" s="292"/>
      <c r="U1116" s="299"/>
      <c r="V1116" s="292"/>
      <c r="W1116" s="309"/>
      <c r="X1116" s="292"/>
      <c r="Y1116" s="309"/>
      <c r="Z1116" s="292"/>
      <c r="AA1116" s="315"/>
      <c r="AB1116" s="297"/>
      <c r="AC1116" s="292"/>
      <c r="AD1116" s="292"/>
      <c r="AE1116" s="292"/>
      <c r="AF1116" s="303"/>
      <c r="AG1116" s="303"/>
      <c r="AH1116" s="303"/>
      <c r="AI1116" s="303"/>
    </row>
    <row r="1117">
      <c r="A1117" s="292"/>
      <c r="B1117" s="318"/>
      <c r="C1117" s="292"/>
      <c r="D1117" s="318"/>
      <c r="E1117" s="292"/>
      <c r="F1117" s="293"/>
      <c r="G1117" s="294"/>
      <c r="H1117" s="303"/>
      <c r="I1117" s="303"/>
      <c r="J1117" s="303"/>
      <c r="K1117" s="303"/>
      <c r="L1117" s="303"/>
      <c r="M1117" s="303"/>
      <c r="N1117" s="303"/>
      <c r="Q1117" s="292"/>
      <c r="R1117" s="294"/>
      <c r="S1117" s="297"/>
      <c r="T1117" s="292"/>
      <c r="U1117" s="299"/>
      <c r="V1117" s="292"/>
      <c r="W1117" s="309"/>
      <c r="X1117" s="292"/>
      <c r="Y1117" s="309"/>
      <c r="Z1117" s="292"/>
      <c r="AA1117" s="315"/>
      <c r="AB1117" s="297"/>
      <c r="AC1117" s="292"/>
      <c r="AD1117" s="292"/>
      <c r="AE1117" s="292"/>
      <c r="AF1117" s="303"/>
      <c r="AG1117" s="303"/>
      <c r="AH1117" s="303"/>
      <c r="AI1117" s="303"/>
    </row>
    <row r="1118">
      <c r="A1118" s="292"/>
      <c r="B1118" s="318"/>
      <c r="C1118" s="292"/>
      <c r="D1118" s="318"/>
      <c r="E1118" s="292"/>
      <c r="F1118" s="293"/>
      <c r="G1118" s="294"/>
      <c r="H1118" s="303"/>
      <c r="I1118" s="303"/>
      <c r="J1118" s="303"/>
      <c r="K1118" s="303"/>
      <c r="L1118" s="303"/>
      <c r="M1118" s="303"/>
      <c r="N1118" s="303"/>
      <c r="Q1118" s="292"/>
      <c r="R1118" s="294"/>
      <c r="S1118" s="297"/>
      <c r="T1118" s="292"/>
      <c r="U1118" s="299"/>
      <c r="V1118" s="292"/>
      <c r="W1118" s="309"/>
      <c r="X1118" s="292"/>
      <c r="Y1118" s="309"/>
      <c r="Z1118" s="292"/>
      <c r="AA1118" s="315"/>
      <c r="AB1118" s="297"/>
      <c r="AC1118" s="292"/>
      <c r="AD1118" s="292"/>
      <c r="AE1118" s="292"/>
      <c r="AF1118" s="303"/>
      <c r="AG1118" s="303"/>
      <c r="AH1118" s="303"/>
      <c r="AI1118" s="303"/>
    </row>
    <row r="1119">
      <c r="A1119" s="292"/>
      <c r="B1119" s="318"/>
      <c r="C1119" s="292"/>
      <c r="D1119" s="318"/>
      <c r="E1119" s="292"/>
      <c r="F1119" s="293"/>
      <c r="G1119" s="294"/>
      <c r="H1119" s="303"/>
      <c r="I1119" s="303"/>
      <c r="J1119" s="303"/>
      <c r="K1119" s="303"/>
      <c r="L1119" s="303"/>
      <c r="M1119" s="303"/>
      <c r="N1119" s="303"/>
      <c r="Q1119" s="292"/>
      <c r="R1119" s="294"/>
      <c r="S1119" s="297"/>
      <c r="T1119" s="292"/>
      <c r="U1119" s="299"/>
      <c r="V1119" s="292"/>
      <c r="W1119" s="309"/>
      <c r="X1119" s="292"/>
      <c r="Y1119" s="309"/>
      <c r="Z1119" s="292"/>
      <c r="AA1119" s="315"/>
      <c r="AB1119" s="297"/>
      <c r="AC1119" s="292"/>
      <c r="AD1119" s="292"/>
      <c r="AE1119" s="292"/>
      <c r="AF1119" s="303"/>
      <c r="AG1119" s="303"/>
      <c r="AH1119" s="303"/>
      <c r="AI1119" s="303"/>
    </row>
    <row r="1120">
      <c r="A1120" s="292"/>
      <c r="B1120" s="318"/>
      <c r="C1120" s="292"/>
      <c r="D1120" s="318"/>
      <c r="E1120" s="292"/>
      <c r="F1120" s="293"/>
      <c r="G1120" s="294"/>
      <c r="H1120" s="303"/>
      <c r="I1120" s="303"/>
      <c r="J1120" s="303"/>
      <c r="K1120" s="303"/>
      <c r="L1120" s="303"/>
      <c r="M1120" s="303"/>
      <c r="N1120" s="303"/>
      <c r="Q1120" s="292"/>
      <c r="R1120" s="294"/>
      <c r="S1120" s="297"/>
      <c r="T1120" s="292"/>
      <c r="U1120" s="299"/>
      <c r="V1120" s="292"/>
      <c r="W1120" s="309"/>
      <c r="X1120" s="292"/>
      <c r="Y1120" s="309"/>
      <c r="Z1120" s="292"/>
      <c r="AA1120" s="315"/>
      <c r="AB1120" s="297"/>
      <c r="AC1120" s="292"/>
      <c r="AD1120" s="292"/>
      <c r="AE1120" s="292"/>
      <c r="AF1120" s="303"/>
      <c r="AG1120" s="303"/>
      <c r="AH1120" s="303"/>
      <c r="AI1120" s="303"/>
    </row>
    <row r="1121">
      <c r="A1121" s="292"/>
      <c r="B1121" s="318"/>
      <c r="C1121" s="292"/>
      <c r="D1121" s="318"/>
      <c r="E1121" s="292"/>
      <c r="F1121" s="318"/>
      <c r="G1121" s="294"/>
      <c r="H1121" s="303"/>
      <c r="I1121" s="303"/>
      <c r="J1121" s="303"/>
      <c r="K1121" s="303"/>
      <c r="L1121" s="303"/>
      <c r="M1121" s="303"/>
      <c r="N1121" s="303"/>
      <c r="Q1121" s="292"/>
      <c r="R1121" s="294"/>
      <c r="S1121" s="297"/>
      <c r="T1121" s="292"/>
      <c r="U1121" s="299"/>
      <c r="V1121" s="292"/>
      <c r="W1121" s="309"/>
      <c r="X1121" s="292"/>
      <c r="Y1121" s="309"/>
      <c r="Z1121" s="292"/>
      <c r="AA1121" s="315"/>
      <c r="AB1121" s="297"/>
      <c r="AC1121" s="292"/>
      <c r="AD1121" s="292"/>
      <c r="AE1121" s="292"/>
      <c r="AF1121" s="303"/>
      <c r="AG1121" s="303"/>
      <c r="AH1121" s="303"/>
      <c r="AI1121" s="303"/>
    </row>
    <row r="1122">
      <c r="A1122" s="292"/>
      <c r="B1122" s="318"/>
      <c r="C1122" s="292"/>
      <c r="D1122" s="318"/>
      <c r="E1122" s="292"/>
      <c r="F1122" s="318"/>
      <c r="G1122" s="294"/>
      <c r="H1122" s="303"/>
      <c r="I1122" s="303"/>
      <c r="J1122" s="303"/>
      <c r="K1122" s="303"/>
      <c r="L1122" s="303"/>
      <c r="M1122" s="303"/>
      <c r="N1122" s="303"/>
      <c r="Q1122" s="292"/>
      <c r="R1122" s="294"/>
      <c r="S1122" s="297"/>
      <c r="T1122" s="292"/>
      <c r="U1122" s="299"/>
      <c r="V1122" s="292"/>
      <c r="W1122" s="309"/>
      <c r="X1122" s="292"/>
      <c r="Y1122" s="309"/>
      <c r="Z1122" s="292"/>
      <c r="AA1122" s="315"/>
      <c r="AB1122" s="297"/>
      <c r="AC1122" s="292"/>
      <c r="AD1122" s="292"/>
      <c r="AE1122" s="292"/>
      <c r="AF1122" s="303"/>
      <c r="AG1122" s="303"/>
      <c r="AH1122" s="303"/>
      <c r="AI1122" s="303"/>
    </row>
    <row r="1123">
      <c r="A1123" s="292"/>
      <c r="B1123" s="318"/>
      <c r="C1123" s="292"/>
      <c r="D1123" s="318"/>
      <c r="E1123" s="292"/>
      <c r="F1123" s="318"/>
      <c r="G1123" s="294"/>
      <c r="H1123" s="303"/>
      <c r="I1123" s="303"/>
      <c r="J1123" s="303"/>
      <c r="K1123" s="303"/>
      <c r="L1123" s="303"/>
      <c r="M1123" s="303"/>
      <c r="N1123" s="303"/>
      <c r="Q1123" s="292"/>
      <c r="R1123" s="294"/>
      <c r="S1123" s="297"/>
      <c r="T1123" s="292"/>
      <c r="U1123" s="299"/>
      <c r="V1123" s="292"/>
      <c r="W1123" s="309"/>
      <c r="X1123" s="292"/>
      <c r="Y1123" s="309"/>
      <c r="Z1123" s="292"/>
      <c r="AA1123" s="315"/>
      <c r="AB1123" s="297"/>
      <c r="AC1123" s="292"/>
      <c r="AD1123" s="292"/>
      <c r="AE1123" s="292"/>
      <c r="AF1123" s="303"/>
      <c r="AG1123" s="303"/>
      <c r="AH1123" s="303"/>
      <c r="AI1123" s="303"/>
    </row>
    <row r="1124">
      <c r="A1124" s="292"/>
      <c r="B1124" s="318"/>
      <c r="C1124" s="292"/>
      <c r="D1124" s="318"/>
      <c r="E1124" s="292"/>
      <c r="F1124" s="318"/>
      <c r="G1124" s="294"/>
      <c r="H1124" s="303"/>
      <c r="I1124" s="303"/>
      <c r="J1124" s="303"/>
      <c r="K1124" s="303"/>
      <c r="L1124" s="303"/>
      <c r="M1124" s="303"/>
      <c r="N1124" s="303"/>
      <c r="Q1124" s="292"/>
      <c r="R1124" s="294"/>
      <c r="S1124" s="297"/>
      <c r="T1124" s="292"/>
      <c r="U1124" s="299"/>
      <c r="V1124" s="292"/>
      <c r="W1124" s="309"/>
      <c r="X1124" s="292"/>
      <c r="Y1124" s="309"/>
      <c r="Z1124" s="292"/>
      <c r="AA1124" s="315"/>
      <c r="AB1124" s="297"/>
      <c r="AC1124" s="292"/>
      <c r="AD1124" s="292"/>
      <c r="AE1124" s="292"/>
      <c r="AF1124" s="303"/>
      <c r="AG1124" s="303"/>
      <c r="AH1124" s="303"/>
      <c r="AI1124" s="303"/>
    </row>
    <row r="1125">
      <c r="A1125" s="292"/>
      <c r="B1125" s="318"/>
      <c r="C1125" s="292"/>
      <c r="D1125" s="318"/>
      <c r="E1125" s="292"/>
      <c r="F1125" s="318"/>
      <c r="G1125" s="294"/>
      <c r="H1125" s="303"/>
      <c r="I1125" s="303"/>
      <c r="J1125" s="303"/>
      <c r="K1125" s="303"/>
      <c r="L1125" s="303"/>
      <c r="M1125" s="303"/>
      <c r="N1125" s="303"/>
      <c r="Q1125" s="292"/>
      <c r="R1125" s="294"/>
      <c r="S1125" s="297"/>
      <c r="T1125" s="292"/>
      <c r="U1125" s="299"/>
      <c r="V1125" s="292"/>
      <c r="W1125" s="309"/>
      <c r="X1125" s="292"/>
      <c r="Y1125" s="309"/>
      <c r="Z1125" s="292"/>
      <c r="AA1125" s="315"/>
      <c r="AB1125" s="297"/>
      <c r="AC1125" s="292"/>
      <c r="AD1125" s="292"/>
      <c r="AE1125" s="292"/>
      <c r="AF1125" s="303"/>
      <c r="AG1125" s="303"/>
      <c r="AH1125" s="303"/>
      <c r="AI1125" s="303"/>
    </row>
    <row r="1126">
      <c r="A1126" s="292"/>
      <c r="B1126" s="318"/>
      <c r="C1126" s="292"/>
      <c r="D1126" s="318"/>
      <c r="E1126" s="292"/>
      <c r="F1126" s="318"/>
      <c r="G1126" s="294"/>
      <c r="H1126" s="303"/>
      <c r="I1126" s="303"/>
      <c r="J1126" s="303"/>
      <c r="K1126" s="303"/>
      <c r="L1126" s="303"/>
      <c r="M1126" s="303"/>
      <c r="N1126" s="303"/>
      <c r="Q1126" s="292"/>
      <c r="R1126" s="294"/>
      <c r="S1126" s="297"/>
      <c r="T1126" s="292"/>
      <c r="U1126" s="299"/>
      <c r="V1126" s="292"/>
      <c r="W1126" s="309"/>
      <c r="X1126" s="292"/>
      <c r="Y1126" s="309"/>
      <c r="Z1126" s="292"/>
      <c r="AA1126" s="315"/>
      <c r="AB1126" s="297"/>
      <c r="AC1126" s="292"/>
      <c r="AD1126" s="292"/>
      <c r="AE1126" s="292"/>
      <c r="AF1126" s="303"/>
      <c r="AG1126" s="303"/>
      <c r="AH1126" s="303"/>
      <c r="AI1126" s="303"/>
    </row>
    <row r="1127">
      <c r="A1127" s="292"/>
      <c r="B1127" s="318"/>
      <c r="C1127" s="292"/>
      <c r="D1127" s="318"/>
      <c r="E1127" s="292"/>
      <c r="F1127" s="318"/>
      <c r="G1127" s="294"/>
      <c r="H1127" s="303"/>
      <c r="I1127" s="303"/>
      <c r="J1127" s="303"/>
      <c r="K1127" s="303"/>
      <c r="L1127" s="303"/>
      <c r="M1127" s="303"/>
      <c r="N1127" s="303"/>
      <c r="Q1127" s="292"/>
      <c r="R1127" s="294"/>
      <c r="S1127" s="297"/>
      <c r="T1127" s="292"/>
      <c r="U1127" s="299"/>
      <c r="V1127" s="292"/>
      <c r="W1127" s="309"/>
      <c r="X1127" s="292"/>
      <c r="Y1127" s="309"/>
      <c r="Z1127" s="292"/>
      <c r="AA1127" s="315"/>
      <c r="AB1127" s="297"/>
      <c r="AC1127" s="292"/>
      <c r="AD1127" s="292"/>
      <c r="AE1127" s="292"/>
      <c r="AF1127" s="303"/>
      <c r="AG1127" s="303"/>
      <c r="AH1127" s="303"/>
      <c r="AI1127" s="303"/>
    </row>
    <row r="1128">
      <c r="A1128" s="292"/>
      <c r="B1128" s="318"/>
      <c r="C1128" s="292"/>
      <c r="D1128" s="318"/>
      <c r="E1128" s="292"/>
      <c r="F1128" s="318"/>
      <c r="G1128" s="294"/>
      <c r="H1128" s="303"/>
      <c r="I1128" s="303"/>
      <c r="J1128" s="303"/>
      <c r="K1128" s="303"/>
      <c r="L1128" s="303"/>
      <c r="M1128" s="303"/>
      <c r="N1128" s="303"/>
      <c r="Q1128" s="292"/>
      <c r="R1128" s="294"/>
      <c r="S1128" s="297"/>
      <c r="T1128" s="292"/>
      <c r="U1128" s="299"/>
      <c r="V1128" s="292"/>
      <c r="W1128" s="309"/>
      <c r="X1128" s="292"/>
      <c r="Y1128" s="309"/>
      <c r="Z1128" s="292"/>
      <c r="AA1128" s="315"/>
      <c r="AB1128" s="297"/>
      <c r="AC1128" s="292"/>
      <c r="AD1128" s="292"/>
      <c r="AE1128" s="292"/>
      <c r="AF1128" s="303"/>
      <c r="AG1128" s="303"/>
      <c r="AH1128" s="303"/>
      <c r="AI1128" s="303"/>
    </row>
    <row r="1129">
      <c r="A1129" s="292"/>
      <c r="B1129" s="318"/>
      <c r="C1129" s="292"/>
      <c r="D1129" s="318"/>
      <c r="E1129" s="292"/>
      <c r="F1129" s="318"/>
      <c r="G1129" s="294"/>
      <c r="H1129" s="303"/>
      <c r="I1129" s="303"/>
      <c r="J1129" s="303"/>
      <c r="K1129" s="303"/>
      <c r="L1129" s="303"/>
      <c r="M1129" s="303"/>
      <c r="N1129" s="303"/>
      <c r="Q1129" s="292"/>
      <c r="R1129" s="294"/>
      <c r="S1129" s="297"/>
      <c r="T1129" s="292"/>
      <c r="U1129" s="299"/>
      <c r="V1129" s="292"/>
      <c r="W1129" s="309"/>
      <c r="X1129" s="292"/>
      <c r="Y1129" s="309"/>
      <c r="Z1129" s="292"/>
      <c r="AA1129" s="315"/>
      <c r="AB1129" s="297"/>
      <c r="AC1129" s="292"/>
      <c r="AD1129" s="292"/>
      <c r="AE1129" s="292"/>
      <c r="AF1129" s="303"/>
      <c r="AG1129" s="303"/>
      <c r="AH1129" s="303"/>
      <c r="AI1129" s="303"/>
    </row>
    <row r="1130">
      <c r="A1130" s="292"/>
      <c r="B1130" s="318"/>
      <c r="C1130" s="292"/>
      <c r="D1130" s="318"/>
      <c r="E1130" s="292"/>
      <c r="F1130" s="318"/>
      <c r="G1130" s="294"/>
      <c r="H1130" s="303"/>
      <c r="I1130" s="303"/>
      <c r="J1130" s="303"/>
      <c r="K1130" s="303"/>
      <c r="L1130" s="303"/>
      <c r="M1130" s="303"/>
      <c r="N1130" s="303"/>
      <c r="Q1130" s="292"/>
      <c r="R1130" s="294"/>
      <c r="S1130" s="297"/>
      <c r="T1130" s="292"/>
      <c r="U1130" s="299"/>
      <c r="V1130" s="292"/>
      <c r="W1130" s="309"/>
      <c r="X1130" s="292"/>
      <c r="Y1130" s="309"/>
      <c r="Z1130" s="292"/>
      <c r="AA1130" s="315"/>
      <c r="AB1130" s="297"/>
      <c r="AC1130" s="292"/>
      <c r="AD1130" s="292"/>
      <c r="AE1130" s="292"/>
      <c r="AF1130" s="303"/>
      <c r="AG1130" s="303"/>
      <c r="AH1130" s="303"/>
      <c r="AI1130" s="303"/>
    </row>
    <row r="1131">
      <c r="A1131" s="292"/>
      <c r="B1131" s="318"/>
      <c r="C1131" s="292"/>
      <c r="D1131" s="318"/>
      <c r="E1131" s="292"/>
      <c r="F1131" s="318"/>
      <c r="G1131" s="294"/>
      <c r="H1131" s="303"/>
      <c r="I1131" s="303"/>
      <c r="J1131" s="303"/>
      <c r="K1131" s="303"/>
      <c r="L1131" s="303"/>
      <c r="M1131" s="303"/>
      <c r="N1131" s="303"/>
      <c r="Q1131" s="292"/>
      <c r="R1131" s="294"/>
      <c r="S1131" s="297"/>
      <c r="T1131" s="292"/>
      <c r="U1131" s="299"/>
      <c r="V1131" s="292"/>
      <c r="W1131" s="309"/>
      <c r="X1131" s="292"/>
      <c r="Y1131" s="309"/>
      <c r="Z1131" s="292"/>
      <c r="AA1131" s="315"/>
      <c r="AB1131" s="297"/>
      <c r="AC1131" s="292"/>
      <c r="AD1131" s="292"/>
      <c r="AE1131" s="292"/>
      <c r="AF1131" s="303"/>
      <c r="AG1131" s="303"/>
      <c r="AH1131" s="303"/>
      <c r="AI1131" s="303"/>
    </row>
    <row r="1132">
      <c r="A1132" s="292"/>
      <c r="B1132" s="318"/>
      <c r="C1132" s="292"/>
      <c r="D1132" s="318"/>
      <c r="E1132" s="292"/>
      <c r="F1132" s="318"/>
      <c r="G1132" s="294"/>
      <c r="H1132" s="303"/>
      <c r="I1132" s="303"/>
      <c r="J1132" s="303"/>
      <c r="K1132" s="303"/>
      <c r="L1132" s="303"/>
      <c r="M1132" s="303"/>
      <c r="N1132" s="303"/>
      <c r="Q1132" s="292"/>
      <c r="R1132" s="294"/>
      <c r="S1132" s="297"/>
      <c r="T1132" s="292"/>
      <c r="U1132" s="299"/>
      <c r="V1132" s="292"/>
      <c r="W1132" s="309"/>
      <c r="X1132" s="292"/>
      <c r="Y1132" s="309"/>
      <c r="Z1132" s="292"/>
      <c r="AA1132" s="315"/>
      <c r="AB1132" s="297"/>
      <c r="AC1132" s="292"/>
      <c r="AD1132" s="292"/>
      <c r="AE1132" s="292"/>
      <c r="AF1132" s="303"/>
      <c r="AG1132" s="303"/>
      <c r="AH1132" s="303"/>
      <c r="AI1132" s="303"/>
    </row>
    <row r="1133">
      <c r="A1133" s="292"/>
      <c r="B1133" s="318"/>
      <c r="C1133" s="292"/>
      <c r="D1133" s="318"/>
      <c r="E1133" s="292"/>
      <c r="F1133" s="318"/>
      <c r="G1133" s="294"/>
      <c r="H1133" s="303"/>
      <c r="I1133" s="303"/>
      <c r="J1133" s="303"/>
      <c r="K1133" s="303"/>
      <c r="L1133" s="303"/>
      <c r="M1133" s="303"/>
      <c r="N1133" s="303"/>
      <c r="Q1133" s="292"/>
      <c r="R1133" s="294"/>
      <c r="S1133" s="297"/>
      <c r="T1133" s="292"/>
      <c r="U1133" s="299"/>
      <c r="V1133" s="292"/>
      <c r="W1133" s="309"/>
      <c r="X1133" s="292"/>
      <c r="Y1133" s="309"/>
      <c r="Z1133" s="292"/>
      <c r="AA1133" s="315"/>
      <c r="AB1133" s="297"/>
      <c r="AC1133" s="292"/>
      <c r="AD1133" s="292"/>
      <c r="AE1133" s="292"/>
      <c r="AF1133" s="303"/>
      <c r="AG1133" s="303"/>
      <c r="AH1133" s="303"/>
      <c r="AI1133" s="303"/>
    </row>
    <row r="1134">
      <c r="A1134" s="292"/>
      <c r="B1134" s="318"/>
      <c r="C1134" s="292"/>
      <c r="D1134" s="318"/>
      <c r="E1134" s="292"/>
      <c r="F1134" s="318"/>
      <c r="G1134" s="294"/>
      <c r="H1134" s="303"/>
      <c r="I1134" s="303"/>
      <c r="J1134" s="303"/>
      <c r="K1134" s="303"/>
      <c r="L1134" s="303"/>
      <c r="M1134" s="303"/>
      <c r="N1134" s="303"/>
      <c r="Q1134" s="292"/>
      <c r="R1134" s="294"/>
      <c r="S1134" s="297"/>
      <c r="T1134" s="292"/>
      <c r="U1134" s="299"/>
      <c r="V1134" s="292"/>
      <c r="W1134" s="309"/>
      <c r="X1134" s="292"/>
      <c r="Y1134" s="309"/>
      <c r="Z1134" s="292"/>
      <c r="AA1134" s="315"/>
      <c r="AB1134" s="297"/>
      <c r="AC1134" s="292"/>
      <c r="AD1134" s="292"/>
      <c r="AE1134" s="292"/>
      <c r="AF1134" s="303"/>
      <c r="AG1134" s="303"/>
      <c r="AH1134" s="303"/>
      <c r="AI1134" s="303"/>
    </row>
    <row r="1135">
      <c r="A1135" s="292"/>
      <c r="B1135" s="318"/>
      <c r="C1135" s="292"/>
      <c r="D1135" s="318"/>
      <c r="E1135" s="292"/>
      <c r="F1135" s="318"/>
      <c r="G1135" s="294"/>
      <c r="H1135" s="303"/>
      <c r="I1135" s="303"/>
      <c r="J1135" s="303"/>
      <c r="K1135" s="303"/>
      <c r="L1135" s="303"/>
      <c r="M1135" s="303"/>
      <c r="N1135" s="303"/>
      <c r="Q1135" s="292"/>
      <c r="R1135" s="294"/>
      <c r="S1135" s="297"/>
      <c r="T1135" s="292"/>
      <c r="U1135" s="299"/>
      <c r="V1135" s="292"/>
      <c r="W1135" s="309"/>
      <c r="X1135" s="292"/>
      <c r="Y1135" s="309"/>
      <c r="Z1135" s="292"/>
      <c r="AA1135" s="315"/>
      <c r="AB1135" s="297"/>
      <c r="AC1135" s="292"/>
      <c r="AD1135" s="292"/>
      <c r="AE1135" s="292"/>
      <c r="AF1135" s="303"/>
      <c r="AG1135" s="303"/>
      <c r="AH1135" s="303"/>
      <c r="AI1135" s="303"/>
    </row>
    <row r="1136">
      <c r="A1136" s="292"/>
      <c r="B1136" s="318"/>
      <c r="C1136" s="292"/>
      <c r="D1136" s="318"/>
      <c r="E1136" s="292"/>
      <c r="F1136" s="318"/>
      <c r="G1136" s="294"/>
      <c r="H1136" s="303"/>
      <c r="I1136" s="303"/>
      <c r="J1136" s="303"/>
      <c r="K1136" s="303"/>
      <c r="L1136" s="303"/>
      <c r="M1136" s="303"/>
      <c r="N1136" s="303"/>
      <c r="Q1136" s="292"/>
      <c r="R1136" s="294"/>
      <c r="S1136" s="297"/>
      <c r="T1136" s="292"/>
      <c r="U1136" s="299"/>
      <c r="V1136" s="292"/>
      <c r="W1136" s="309"/>
      <c r="X1136" s="292"/>
      <c r="Y1136" s="309"/>
      <c r="Z1136" s="292"/>
      <c r="AA1136" s="315"/>
      <c r="AB1136" s="297"/>
      <c r="AC1136" s="292"/>
      <c r="AD1136" s="292"/>
      <c r="AE1136" s="292"/>
      <c r="AF1136" s="303"/>
      <c r="AG1136" s="303"/>
      <c r="AH1136" s="303"/>
      <c r="AI1136" s="303"/>
    </row>
    <row r="1137">
      <c r="A1137" s="292"/>
      <c r="B1137" s="318"/>
      <c r="C1137" s="292"/>
      <c r="D1137" s="318"/>
      <c r="E1137" s="292"/>
      <c r="F1137" s="318"/>
      <c r="G1137" s="294"/>
      <c r="H1137" s="303"/>
      <c r="I1137" s="303"/>
      <c r="J1137" s="303"/>
      <c r="K1137" s="303"/>
      <c r="L1137" s="303"/>
      <c r="M1137" s="303"/>
      <c r="N1137" s="303"/>
      <c r="Q1137" s="292"/>
      <c r="R1137" s="294"/>
      <c r="S1137" s="297"/>
      <c r="T1137" s="292"/>
      <c r="U1137" s="299"/>
      <c r="V1137" s="292"/>
      <c r="W1137" s="309"/>
      <c r="X1137" s="292"/>
      <c r="Y1137" s="309"/>
      <c r="Z1137" s="292"/>
      <c r="AA1137" s="315"/>
      <c r="AB1137" s="297"/>
      <c r="AC1137" s="292"/>
      <c r="AD1137" s="292"/>
      <c r="AE1137" s="292"/>
      <c r="AF1137" s="303"/>
      <c r="AG1137" s="303"/>
      <c r="AH1137" s="303"/>
      <c r="AI1137" s="303"/>
    </row>
    <row r="1138">
      <c r="A1138" s="292"/>
      <c r="B1138" s="318"/>
      <c r="C1138" s="292"/>
      <c r="D1138" s="318"/>
      <c r="E1138" s="292"/>
      <c r="F1138" s="318"/>
      <c r="G1138" s="294"/>
      <c r="H1138" s="303"/>
      <c r="I1138" s="303"/>
      <c r="J1138" s="303"/>
      <c r="K1138" s="303"/>
      <c r="L1138" s="303"/>
      <c r="M1138" s="303"/>
      <c r="N1138" s="303"/>
      <c r="Q1138" s="292"/>
      <c r="R1138" s="294"/>
      <c r="S1138" s="297"/>
      <c r="T1138" s="292"/>
      <c r="U1138" s="299"/>
      <c r="V1138" s="292"/>
      <c r="W1138" s="309"/>
      <c r="X1138" s="292"/>
      <c r="Y1138" s="309"/>
      <c r="Z1138" s="292"/>
      <c r="AA1138" s="315"/>
      <c r="AB1138" s="297"/>
      <c r="AC1138" s="292"/>
      <c r="AD1138" s="292"/>
      <c r="AE1138" s="292"/>
      <c r="AF1138" s="303"/>
      <c r="AG1138" s="303"/>
      <c r="AH1138" s="303"/>
      <c r="AI1138" s="303"/>
    </row>
    <row r="1139">
      <c r="A1139" s="292"/>
      <c r="B1139" s="318"/>
      <c r="C1139" s="292"/>
      <c r="D1139" s="318"/>
      <c r="E1139" s="292"/>
      <c r="F1139" s="318"/>
      <c r="G1139" s="294"/>
      <c r="H1139" s="303"/>
      <c r="I1139" s="303"/>
      <c r="J1139" s="303"/>
      <c r="K1139" s="303"/>
      <c r="L1139" s="303"/>
      <c r="M1139" s="303"/>
      <c r="N1139" s="303"/>
      <c r="Q1139" s="292"/>
      <c r="R1139" s="294"/>
      <c r="S1139" s="297"/>
      <c r="T1139" s="292"/>
      <c r="U1139" s="299"/>
      <c r="V1139" s="292"/>
      <c r="W1139" s="309"/>
      <c r="X1139" s="292"/>
      <c r="Y1139" s="309"/>
      <c r="Z1139" s="292"/>
      <c r="AA1139" s="315"/>
      <c r="AB1139" s="297"/>
      <c r="AC1139" s="292"/>
      <c r="AD1139" s="292"/>
      <c r="AE1139" s="292"/>
      <c r="AF1139" s="303"/>
      <c r="AG1139" s="303"/>
      <c r="AH1139" s="303"/>
      <c r="AI1139" s="303"/>
    </row>
    <row r="1140">
      <c r="A1140" s="292"/>
      <c r="B1140" s="318"/>
      <c r="E1140" s="292"/>
      <c r="F1140" s="318"/>
      <c r="G1140" s="294"/>
      <c r="H1140" s="303"/>
      <c r="I1140" s="303"/>
      <c r="J1140" s="303"/>
      <c r="K1140" s="303"/>
      <c r="L1140" s="303"/>
      <c r="M1140" s="303"/>
      <c r="N1140" s="303"/>
      <c r="Q1140" s="292"/>
      <c r="R1140" s="294"/>
      <c r="S1140" s="297"/>
      <c r="T1140" s="292"/>
      <c r="U1140" s="299"/>
      <c r="V1140" s="292"/>
      <c r="W1140" s="309"/>
      <c r="X1140" s="292"/>
      <c r="Y1140" s="309"/>
      <c r="Z1140" s="292"/>
      <c r="AA1140" s="315"/>
      <c r="AB1140" s="297"/>
      <c r="AC1140" s="292"/>
      <c r="AD1140" s="292"/>
      <c r="AE1140" s="292"/>
      <c r="AF1140" s="303"/>
      <c r="AG1140" s="303"/>
      <c r="AH1140" s="303"/>
      <c r="AI1140" s="303"/>
    </row>
    <row r="1141">
      <c r="A1141" s="292"/>
      <c r="B1141" s="318"/>
      <c r="G1141" s="294"/>
      <c r="H1141" s="303"/>
      <c r="I1141" s="303"/>
      <c r="J1141" s="303"/>
      <c r="K1141" s="303"/>
      <c r="L1141" s="303"/>
      <c r="M1141" s="303"/>
      <c r="N1141" s="303"/>
      <c r="Q1141" s="292"/>
      <c r="R1141" s="294"/>
      <c r="S1141" s="297"/>
      <c r="T1141" s="292"/>
      <c r="U1141" s="299"/>
      <c r="V1141" s="292"/>
      <c r="W1141" s="309"/>
      <c r="X1141" s="292"/>
      <c r="Y1141" s="309"/>
      <c r="Z1141" s="292"/>
      <c r="AA1141" s="315"/>
      <c r="AB1141" s="297"/>
      <c r="AC1141" s="292"/>
      <c r="AD1141" s="292"/>
      <c r="AE1141" s="292"/>
      <c r="AF1141" s="303"/>
      <c r="AG1141" s="303"/>
      <c r="AH1141" s="303"/>
      <c r="AI1141" s="303"/>
    </row>
    <row r="1142">
      <c r="A1142" s="292"/>
      <c r="B1142" s="318"/>
      <c r="G1142" s="294"/>
      <c r="H1142" s="303"/>
      <c r="I1142" s="303"/>
      <c r="J1142" s="303"/>
      <c r="K1142" s="303"/>
      <c r="L1142" s="303"/>
      <c r="M1142" s="303"/>
      <c r="N1142" s="303"/>
      <c r="Q1142" s="292"/>
      <c r="R1142" s="294"/>
      <c r="S1142" s="297"/>
      <c r="T1142" s="292"/>
      <c r="U1142" s="299"/>
      <c r="V1142" s="292"/>
      <c r="W1142" s="309"/>
      <c r="X1142" s="292"/>
      <c r="Y1142" s="309"/>
      <c r="Z1142" s="292"/>
      <c r="AA1142" s="315"/>
      <c r="AB1142" s="297"/>
      <c r="AC1142" s="292"/>
      <c r="AD1142" s="292"/>
      <c r="AE1142" s="292"/>
      <c r="AF1142" s="303"/>
      <c r="AG1142" s="303"/>
      <c r="AH1142" s="303"/>
      <c r="AI1142" s="303"/>
    </row>
    <row r="1143">
      <c r="A1143" s="292"/>
      <c r="B1143" s="318"/>
      <c r="G1143" s="294"/>
      <c r="H1143" s="303"/>
      <c r="I1143" s="303"/>
      <c r="J1143" s="303"/>
      <c r="K1143" s="303"/>
      <c r="L1143" s="303"/>
      <c r="M1143" s="303"/>
      <c r="N1143" s="303"/>
      <c r="Q1143" s="292"/>
      <c r="R1143" s="294"/>
      <c r="S1143" s="303"/>
      <c r="T1143" s="292"/>
      <c r="U1143" s="318"/>
      <c r="V1143" s="292"/>
      <c r="W1143" s="319"/>
      <c r="X1143" s="292"/>
      <c r="Y1143" s="319"/>
      <c r="Z1143" s="292"/>
      <c r="AA1143" s="319"/>
      <c r="AB1143" s="303"/>
      <c r="AC1143" s="292"/>
      <c r="AD1143" s="292"/>
      <c r="AE1143" s="292"/>
      <c r="AF1143" s="303"/>
      <c r="AG1143" s="303"/>
      <c r="AH1143" s="303"/>
      <c r="AI1143" s="303"/>
    </row>
    <row r="1144">
      <c r="A1144" s="292"/>
      <c r="B1144" s="318"/>
      <c r="G1144" s="294"/>
      <c r="H1144" s="303"/>
      <c r="I1144" s="303"/>
      <c r="J1144" s="303"/>
      <c r="K1144" s="303"/>
      <c r="L1144" s="303"/>
      <c r="M1144" s="303"/>
      <c r="N1144" s="303"/>
      <c r="Q1144" s="292"/>
      <c r="R1144" s="294"/>
      <c r="S1144" s="303"/>
      <c r="T1144" s="292"/>
      <c r="U1144" s="318"/>
      <c r="V1144" s="292"/>
      <c r="W1144" s="319"/>
      <c r="X1144" s="292"/>
      <c r="Y1144" s="319"/>
      <c r="Z1144" s="292"/>
      <c r="AA1144" s="319"/>
      <c r="AB1144" s="303"/>
      <c r="AC1144" s="292"/>
      <c r="AD1144" s="292"/>
      <c r="AE1144" s="292"/>
      <c r="AF1144" s="303"/>
      <c r="AG1144" s="303"/>
      <c r="AH1144" s="303"/>
      <c r="AI1144" s="303"/>
    </row>
    <row r="1145">
      <c r="A1145" s="292"/>
      <c r="B1145" s="318"/>
      <c r="G1145" s="294"/>
      <c r="H1145" s="303"/>
      <c r="I1145" s="303"/>
      <c r="J1145" s="303"/>
      <c r="K1145" s="303"/>
      <c r="L1145" s="303"/>
      <c r="M1145" s="303"/>
      <c r="N1145" s="303"/>
      <c r="Q1145" s="292"/>
      <c r="R1145" s="294"/>
      <c r="S1145" s="303"/>
      <c r="T1145" s="292"/>
      <c r="U1145" s="318"/>
      <c r="V1145" s="292"/>
      <c r="W1145" s="319"/>
      <c r="X1145" s="292"/>
      <c r="Y1145" s="319"/>
      <c r="Z1145" s="292"/>
      <c r="AA1145" s="319"/>
      <c r="AB1145" s="303"/>
      <c r="AC1145" s="292"/>
      <c r="AD1145" s="292"/>
      <c r="AE1145" s="292"/>
      <c r="AF1145" s="303"/>
      <c r="AG1145" s="303"/>
      <c r="AH1145" s="303"/>
      <c r="AI1145" s="303"/>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6" width="26.25"/>
    <col customWidth="1" min="17" max="26" width="7.63"/>
  </cols>
  <sheetData>
    <row r="1" ht="39.75" customHeight="1">
      <c r="A1" s="274" t="s">
        <v>10041</v>
      </c>
      <c r="B1" s="274" t="s">
        <v>10042</v>
      </c>
      <c r="C1" s="274" t="s">
        <v>9782</v>
      </c>
      <c r="D1" s="274" t="s">
        <v>0</v>
      </c>
      <c r="E1" s="274" t="s">
        <v>5</v>
      </c>
      <c r="F1" s="274" t="s">
        <v>1078</v>
      </c>
      <c r="G1" s="274" t="s">
        <v>8357</v>
      </c>
      <c r="H1" s="274" t="s">
        <v>8359</v>
      </c>
      <c r="I1" s="274" t="s">
        <v>8</v>
      </c>
      <c r="J1" s="274" t="s">
        <v>1135</v>
      </c>
      <c r="K1" s="274" t="s">
        <v>1085</v>
      </c>
      <c r="L1" s="274" t="s">
        <v>8358</v>
      </c>
      <c r="M1" s="274" t="s">
        <v>1071</v>
      </c>
      <c r="N1" s="274" t="s">
        <v>8361</v>
      </c>
      <c r="O1" s="274" t="s">
        <v>1035</v>
      </c>
      <c r="P1" s="274" t="s">
        <v>9788</v>
      </c>
      <c r="Q1" s="320"/>
      <c r="R1" s="320"/>
      <c r="S1" s="320"/>
      <c r="T1" s="320"/>
      <c r="U1" s="320"/>
      <c r="V1" s="320"/>
      <c r="W1" s="320"/>
      <c r="X1" s="320"/>
      <c r="Y1" s="320"/>
      <c r="Z1" s="320"/>
    </row>
    <row r="2" ht="120.0" customHeight="1">
      <c r="A2" s="321" t="s">
        <v>10043</v>
      </c>
      <c r="B2" s="322" t="s">
        <v>10044</v>
      </c>
      <c r="C2" s="321" t="s">
        <v>10045</v>
      </c>
      <c r="D2" s="321" t="s">
        <v>10046</v>
      </c>
      <c r="E2" s="321" t="s">
        <v>10047</v>
      </c>
      <c r="F2" s="321" t="s">
        <v>10048</v>
      </c>
      <c r="G2" s="321" t="s">
        <v>10049</v>
      </c>
      <c r="H2" s="321" t="s">
        <v>10050</v>
      </c>
      <c r="I2" s="321" t="s">
        <v>10051</v>
      </c>
      <c r="J2" s="321" t="s">
        <v>10052</v>
      </c>
      <c r="K2" s="321" t="s">
        <v>9802</v>
      </c>
      <c r="L2" s="321" t="s">
        <v>10053</v>
      </c>
      <c r="M2" s="321" t="s">
        <v>10054</v>
      </c>
      <c r="N2" s="321" t="s">
        <v>10055</v>
      </c>
      <c r="O2" s="321" t="s">
        <v>10056</v>
      </c>
      <c r="P2" s="321" t="s">
        <v>9808</v>
      </c>
      <c r="Q2" s="320"/>
      <c r="R2" s="320"/>
      <c r="S2" s="320"/>
      <c r="T2" s="320"/>
      <c r="U2" s="320"/>
      <c r="V2" s="320"/>
      <c r="W2" s="320"/>
      <c r="X2" s="320"/>
      <c r="Y2" s="320"/>
      <c r="Z2" s="320"/>
    </row>
    <row r="3">
      <c r="A3" s="320"/>
      <c r="B3" s="320"/>
      <c r="C3" s="320"/>
      <c r="D3" s="320"/>
      <c r="E3" s="320"/>
      <c r="F3" s="320"/>
      <c r="G3" s="320"/>
      <c r="H3" s="320"/>
      <c r="I3" s="320"/>
      <c r="J3" s="320"/>
      <c r="K3" s="320"/>
      <c r="L3" s="320"/>
      <c r="M3" s="320"/>
      <c r="N3" s="320"/>
      <c r="O3" s="320"/>
      <c r="P3" s="320"/>
      <c r="Q3" s="320"/>
      <c r="R3" s="320"/>
      <c r="S3" s="320"/>
      <c r="T3" s="320"/>
      <c r="U3" s="320"/>
      <c r="V3" s="320"/>
      <c r="W3" s="320"/>
      <c r="X3" s="320"/>
      <c r="Y3" s="320"/>
      <c r="Z3" s="320"/>
    </row>
    <row r="4">
      <c r="A4" s="320"/>
      <c r="B4" s="320"/>
      <c r="C4" s="320"/>
      <c r="D4" s="320"/>
      <c r="E4" s="320"/>
      <c r="F4" s="320"/>
      <c r="G4" s="320"/>
      <c r="H4" s="320"/>
      <c r="I4" s="320"/>
      <c r="J4" s="320"/>
      <c r="K4" s="320"/>
      <c r="L4" s="320"/>
      <c r="M4" s="320"/>
      <c r="N4" s="320"/>
      <c r="O4" s="320"/>
      <c r="P4" s="320"/>
      <c r="Q4" s="320"/>
      <c r="R4" s="320"/>
      <c r="S4" s="320"/>
      <c r="T4" s="320"/>
      <c r="U4" s="320"/>
      <c r="V4" s="320"/>
      <c r="W4" s="320"/>
      <c r="X4" s="320"/>
      <c r="Y4" s="320"/>
      <c r="Z4" s="320"/>
    </row>
    <row r="5">
      <c r="A5" s="320"/>
      <c r="B5" s="320"/>
      <c r="C5" s="320"/>
      <c r="D5" s="320"/>
      <c r="E5" s="320"/>
      <c r="F5" s="320"/>
      <c r="G5" s="320"/>
      <c r="H5" s="320"/>
      <c r="I5" s="320"/>
      <c r="J5" s="320"/>
      <c r="K5" s="320"/>
      <c r="L5" s="320"/>
      <c r="M5" s="320"/>
      <c r="N5" s="320"/>
      <c r="O5" s="320"/>
      <c r="P5" s="320"/>
      <c r="Q5" s="320"/>
      <c r="R5" s="320"/>
      <c r="S5" s="320"/>
      <c r="T5" s="320"/>
      <c r="U5" s="320"/>
      <c r="V5" s="320"/>
      <c r="W5" s="320"/>
      <c r="X5" s="320"/>
      <c r="Y5" s="320"/>
      <c r="Z5" s="320"/>
    </row>
    <row r="6">
      <c r="A6" s="320"/>
      <c r="B6" s="320"/>
      <c r="C6" s="320"/>
      <c r="D6" s="320"/>
      <c r="E6" s="320"/>
      <c r="F6" s="320"/>
      <c r="G6" s="320"/>
      <c r="H6" s="320"/>
      <c r="I6" s="320"/>
      <c r="J6" s="320"/>
      <c r="K6" s="320"/>
      <c r="L6" s="320"/>
      <c r="M6" s="320"/>
      <c r="N6" s="320"/>
      <c r="O6" s="320"/>
      <c r="P6" s="320"/>
      <c r="Q6" s="320"/>
      <c r="R6" s="320"/>
      <c r="S6" s="320"/>
      <c r="T6" s="320"/>
      <c r="U6" s="320"/>
      <c r="V6" s="320"/>
      <c r="W6" s="320"/>
      <c r="X6" s="320"/>
      <c r="Y6" s="320"/>
      <c r="Z6" s="320"/>
    </row>
    <row r="7">
      <c r="A7" s="320"/>
      <c r="B7" s="320"/>
      <c r="C7" s="320"/>
      <c r="D7" s="320"/>
      <c r="E7" s="320"/>
      <c r="F7" s="320"/>
      <c r="G7" s="320"/>
      <c r="H7" s="320"/>
      <c r="I7" s="320"/>
      <c r="J7" s="320"/>
      <c r="K7" s="320"/>
      <c r="L7" s="320"/>
      <c r="M7" s="320"/>
      <c r="N7" s="320"/>
      <c r="O7" s="320"/>
      <c r="P7" s="320"/>
      <c r="Q7" s="320"/>
      <c r="R7" s="320"/>
      <c r="S7" s="320"/>
      <c r="T7" s="320"/>
      <c r="U7" s="320"/>
      <c r="V7" s="320"/>
      <c r="W7" s="320"/>
      <c r="X7" s="320"/>
      <c r="Y7" s="320"/>
      <c r="Z7" s="320"/>
    </row>
    <row r="8">
      <c r="A8" s="320"/>
      <c r="B8" s="320"/>
      <c r="C8" s="320"/>
      <c r="D8" s="320"/>
      <c r="E8" s="320"/>
      <c r="F8" s="320"/>
      <c r="G8" s="320"/>
      <c r="H8" s="320"/>
      <c r="I8" s="320"/>
      <c r="J8" s="320"/>
      <c r="K8" s="320"/>
      <c r="L8" s="320"/>
      <c r="M8" s="320"/>
      <c r="N8" s="320"/>
      <c r="O8" s="320"/>
      <c r="P8" s="320"/>
      <c r="Q8" s="320"/>
      <c r="R8" s="320"/>
      <c r="S8" s="320"/>
      <c r="T8" s="320"/>
      <c r="U8" s="320"/>
      <c r="V8" s="320"/>
      <c r="W8" s="320"/>
      <c r="X8" s="320"/>
      <c r="Y8" s="320"/>
      <c r="Z8" s="320"/>
    </row>
    <row r="9">
      <c r="A9" s="320"/>
      <c r="B9" s="320"/>
      <c r="C9" s="320"/>
      <c r="D9" s="320"/>
      <c r="E9" s="320"/>
      <c r="F9" s="320"/>
      <c r="G9" s="320"/>
      <c r="H9" s="320"/>
      <c r="I9" s="320"/>
      <c r="J9" s="320"/>
      <c r="K9" s="320"/>
      <c r="L9" s="320"/>
      <c r="M9" s="320"/>
      <c r="N9" s="320"/>
      <c r="O9" s="320"/>
      <c r="P9" s="320"/>
      <c r="Q9" s="320"/>
      <c r="R9" s="320"/>
      <c r="S9" s="320"/>
      <c r="T9" s="320"/>
      <c r="U9" s="320"/>
      <c r="V9" s="320"/>
      <c r="W9" s="320"/>
      <c r="X9" s="320"/>
      <c r="Y9" s="320"/>
      <c r="Z9" s="320"/>
    </row>
    <row r="10">
      <c r="A10" s="320"/>
      <c r="B10" s="320"/>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row>
    <row r="11">
      <c r="A11" s="320"/>
      <c r="B11" s="320"/>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0"/>
    </row>
    <row r="12">
      <c r="A12" s="320"/>
      <c r="B12" s="320"/>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row>
    <row r="13">
      <c r="A13" s="320"/>
      <c r="B13" s="320"/>
      <c r="C13" s="320"/>
      <c r="D13" s="320"/>
      <c r="E13" s="320"/>
      <c r="F13" s="320"/>
      <c r="G13" s="320"/>
      <c r="H13" s="320"/>
      <c r="I13" s="320"/>
      <c r="J13" s="320"/>
      <c r="K13" s="320"/>
      <c r="L13" s="320"/>
      <c r="M13" s="320"/>
      <c r="N13" s="320"/>
      <c r="O13" s="320"/>
      <c r="P13" s="320"/>
      <c r="Q13" s="320"/>
      <c r="R13" s="320"/>
      <c r="S13" s="320"/>
      <c r="T13" s="320"/>
      <c r="U13" s="320"/>
      <c r="V13" s="320"/>
      <c r="W13" s="320"/>
      <c r="X13" s="320"/>
      <c r="Y13" s="320"/>
      <c r="Z13" s="320"/>
    </row>
    <row r="14">
      <c r="A14" s="320"/>
      <c r="B14" s="320"/>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row>
    <row r="15">
      <c r="A15" s="320"/>
      <c r="B15" s="320"/>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row>
    <row r="16">
      <c r="A16" s="320"/>
      <c r="B16" s="320"/>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row>
    <row r="17">
      <c r="A17" s="320"/>
      <c r="B17" s="320"/>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row>
    <row r="18">
      <c r="A18" s="320"/>
      <c r="B18" s="320"/>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row>
    <row r="19">
      <c r="A19" s="320"/>
      <c r="B19" s="320"/>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row>
    <row r="20">
      <c r="A20" s="320"/>
      <c r="B20" s="320"/>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row>
    <row r="21">
      <c r="A21" s="320"/>
      <c r="B21" s="320"/>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row>
    <row r="22">
      <c r="A22" s="320"/>
      <c r="B22" s="320"/>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row>
    <row r="23">
      <c r="A23" s="320"/>
      <c r="B23" s="320"/>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row>
    <row r="24">
      <c r="A24" s="320"/>
      <c r="B24" s="320"/>
      <c r="C24" s="320"/>
      <c r="D24" s="320"/>
      <c r="E24" s="320"/>
      <c r="F24" s="320"/>
      <c r="G24" s="320"/>
      <c r="H24" s="320"/>
      <c r="I24" s="320"/>
      <c r="J24" s="320"/>
      <c r="K24" s="320"/>
      <c r="L24" s="320"/>
      <c r="M24" s="320"/>
      <c r="N24" s="320"/>
      <c r="O24" s="320"/>
      <c r="P24" s="320"/>
      <c r="Q24" s="320"/>
      <c r="R24" s="320"/>
      <c r="S24" s="320"/>
      <c r="T24" s="320"/>
      <c r="U24" s="320"/>
      <c r="V24" s="320"/>
      <c r="W24" s="320"/>
      <c r="X24" s="320"/>
      <c r="Y24" s="320"/>
      <c r="Z24" s="320"/>
    </row>
    <row r="25">
      <c r="A25" s="320"/>
      <c r="B25" s="320"/>
      <c r="C25" s="320"/>
      <c r="D25" s="320"/>
      <c r="E25" s="320"/>
      <c r="F25" s="320"/>
      <c r="G25" s="320"/>
      <c r="H25" s="320"/>
      <c r="I25" s="320"/>
      <c r="J25" s="320"/>
      <c r="K25" s="320"/>
      <c r="L25" s="320"/>
      <c r="M25" s="320"/>
      <c r="N25" s="320"/>
      <c r="O25" s="320"/>
      <c r="P25" s="320"/>
      <c r="Q25" s="320"/>
      <c r="R25" s="320"/>
      <c r="S25" s="320"/>
      <c r="T25" s="320"/>
      <c r="U25" s="320"/>
      <c r="V25" s="320"/>
      <c r="W25" s="320"/>
      <c r="X25" s="320"/>
      <c r="Y25" s="320"/>
      <c r="Z25" s="320"/>
    </row>
    <row r="26">
      <c r="A26" s="320"/>
      <c r="B26" s="320"/>
      <c r="C26" s="320"/>
      <c r="D26" s="320"/>
      <c r="E26" s="320"/>
      <c r="F26" s="320"/>
      <c r="G26" s="320"/>
      <c r="H26" s="320"/>
      <c r="I26" s="320"/>
      <c r="J26" s="320"/>
      <c r="K26" s="320"/>
      <c r="L26" s="320"/>
      <c r="M26" s="320"/>
      <c r="N26" s="320"/>
      <c r="O26" s="320"/>
      <c r="P26" s="320"/>
      <c r="Q26" s="320"/>
      <c r="R26" s="320"/>
      <c r="S26" s="320"/>
      <c r="T26" s="320"/>
      <c r="U26" s="320"/>
      <c r="V26" s="320"/>
      <c r="W26" s="320"/>
      <c r="X26" s="320"/>
      <c r="Y26" s="320"/>
      <c r="Z26" s="320"/>
    </row>
    <row r="27">
      <c r="A27" s="320"/>
      <c r="B27" s="320"/>
      <c r="C27" s="320"/>
      <c r="D27" s="320"/>
      <c r="E27" s="320"/>
      <c r="F27" s="320"/>
      <c r="G27" s="320"/>
      <c r="H27" s="320"/>
      <c r="I27" s="320"/>
      <c r="J27" s="320"/>
      <c r="K27" s="320"/>
      <c r="L27" s="320"/>
      <c r="M27" s="320"/>
      <c r="N27" s="320"/>
      <c r="O27" s="320"/>
      <c r="P27" s="320"/>
      <c r="Q27" s="320"/>
      <c r="R27" s="320"/>
      <c r="S27" s="320"/>
      <c r="T27" s="320"/>
      <c r="U27" s="320"/>
      <c r="V27" s="320"/>
      <c r="W27" s="320"/>
      <c r="X27" s="320"/>
      <c r="Y27" s="320"/>
      <c r="Z27" s="320"/>
    </row>
    <row r="28">
      <c r="A28" s="320"/>
      <c r="B28" s="320"/>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row>
    <row r="29">
      <c r="A29" s="320"/>
      <c r="B29" s="320"/>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row>
    <row r="30">
      <c r="A30" s="320"/>
      <c r="B30" s="320"/>
      <c r="C30" s="320"/>
      <c r="D30" s="320"/>
      <c r="E30" s="320"/>
      <c r="F30" s="320"/>
      <c r="G30" s="320"/>
      <c r="H30" s="320"/>
      <c r="I30" s="320"/>
      <c r="J30" s="320"/>
      <c r="K30" s="320"/>
      <c r="L30" s="320"/>
      <c r="M30" s="320"/>
      <c r="N30" s="320"/>
      <c r="O30" s="320"/>
      <c r="P30" s="320"/>
      <c r="Q30" s="320"/>
      <c r="R30" s="320"/>
      <c r="S30" s="320"/>
      <c r="T30" s="320"/>
      <c r="U30" s="320"/>
      <c r="V30" s="320"/>
      <c r="W30" s="320"/>
      <c r="X30" s="320"/>
      <c r="Y30" s="320"/>
      <c r="Z30" s="320"/>
    </row>
    <row r="31">
      <c r="A31" s="320"/>
      <c r="B31" s="320"/>
      <c r="C31" s="320"/>
      <c r="D31" s="320"/>
      <c r="E31" s="320"/>
      <c r="F31" s="320"/>
      <c r="G31" s="320"/>
      <c r="H31" s="320"/>
      <c r="I31" s="320"/>
      <c r="J31" s="320"/>
      <c r="K31" s="320"/>
      <c r="L31" s="320"/>
      <c r="M31" s="320"/>
      <c r="N31" s="320"/>
      <c r="O31" s="320"/>
      <c r="P31" s="320"/>
      <c r="Q31" s="320"/>
      <c r="R31" s="320"/>
      <c r="S31" s="320"/>
      <c r="T31" s="320"/>
      <c r="U31" s="320"/>
      <c r="V31" s="320"/>
      <c r="W31" s="320"/>
      <c r="X31" s="320"/>
      <c r="Y31" s="320"/>
      <c r="Z31" s="320"/>
    </row>
    <row r="32">
      <c r="A32" s="320"/>
      <c r="B32" s="320"/>
      <c r="C32" s="320"/>
      <c r="D32" s="320"/>
      <c r="E32" s="320"/>
      <c r="F32" s="320"/>
      <c r="G32" s="320"/>
      <c r="H32" s="320"/>
      <c r="I32" s="320"/>
      <c r="J32" s="320"/>
      <c r="K32" s="320"/>
      <c r="L32" s="320"/>
      <c r="M32" s="320"/>
      <c r="N32" s="320"/>
      <c r="O32" s="320"/>
      <c r="P32" s="320"/>
      <c r="Q32" s="320"/>
      <c r="R32" s="320"/>
      <c r="S32" s="320"/>
      <c r="T32" s="320"/>
      <c r="U32" s="320"/>
      <c r="V32" s="320"/>
      <c r="W32" s="320"/>
      <c r="X32" s="320"/>
      <c r="Y32" s="320"/>
      <c r="Z32" s="320"/>
    </row>
    <row r="33">
      <c r="A33" s="320"/>
      <c r="B33" s="320"/>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Z33" s="320"/>
    </row>
    <row r="34">
      <c r="A34" s="320"/>
      <c r="B34" s="320"/>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row>
    <row r="35">
      <c r="A35" s="320"/>
      <c r="B35" s="320"/>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row>
    <row r="36">
      <c r="A36" s="320"/>
      <c r="B36" s="320"/>
      <c r="C36" s="320"/>
      <c r="D36" s="320"/>
      <c r="E36" s="320"/>
      <c r="F36" s="320"/>
      <c r="G36" s="320"/>
      <c r="H36" s="320"/>
      <c r="I36" s="320"/>
      <c r="J36" s="320"/>
      <c r="K36" s="320"/>
      <c r="L36" s="320"/>
      <c r="M36" s="320"/>
      <c r="N36" s="320"/>
      <c r="O36" s="320"/>
      <c r="P36" s="320"/>
      <c r="Q36" s="320"/>
      <c r="R36" s="320"/>
      <c r="S36" s="320"/>
      <c r="T36" s="320"/>
      <c r="U36" s="320"/>
      <c r="V36" s="320"/>
      <c r="W36" s="320"/>
      <c r="X36" s="320"/>
      <c r="Y36" s="320"/>
      <c r="Z36" s="320"/>
    </row>
    <row r="37">
      <c r="A37" s="320"/>
      <c r="B37" s="320"/>
      <c r="C37" s="320"/>
      <c r="D37" s="320"/>
      <c r="E37" s="320"/>
      <c r="F37" s="320"/>
      <c r="G37" s="320"/>
      <c r="H37" s="320"/>
      <c r="I37" s="320"/>
      <c r="J37" s="320"/>
      <c r="K37" s="320"/>
      <c r="L37" s="320"/>
      <c r="M37" s="320"/>
      <c r="N37" s="320"/>
      <c r="O37" s="320"/>
      <c r="P37" s="320"/>
      <c r="Q37" s="320"/>
      <c r="R37" s="320"/>
      <c r="S37" s="320"/>
      <c r="T37" s="320"/>
      <c r="U37" s="320"/>
      <c r="V37" s="320"/>
      <c r="W37" s="320"/>
      <c r="X37" s="320"/>
      <c r="Y37" s="320"/>
      <c r="Z37" s="320"/>
    </row>
    <row r="38">
      <c r="A38" s="320"/>
      <c r="B38" s="320"/>
      <c r="C38" s="320"/>
      <c r="D38" s="320"/>
      <c r="E38" s="320"/>
      <c r="F38" s="320"/>
      <c r="G38" s="320"/>
      <c r="H38" s="320"/>
      <c r="I38" s="320"/>
      <c r="J38" s="320"/>
      <c r="K38" s="320"/>
      <c r="L38" s="320"/>
      <c r="M38" s="320"/>
      <c r="N38" s="320"/>
      <c r="O38" s="320"/>
      <c r="P38" s="320"/>
      <c r="Q38" s="320"/>
      <c r="R38" s="320"/>
      <c r="S38" s="320"/>
      <c r="T38" s="320"/>
      <c r="U38" s="320"/>
      <c r="V38" s="320"/>
      <c r="W38" s="320"/>
      <c r="X38" s="320"/>
      <c r="Y38" s="320"/>
      <c r="Z38" s="320"/>
    </row>
    <row r="39">
      <c r="A39" s="320"/>
      <c r="B39" s="320"/>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row>
    <row r="40">
      <c r="A40" s="320"/>
      <c r="B40" s="320"/>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row>
    <row r="41">
      <c r="A41" s="320"/>
      <c r="B41" s="320"/>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row>
    <row r="42">
      <c r="A42" s="320"/>
      <c r="B42" s="320"/>
      <c r="C42" s="320"/>
      <c r="D42" s="320"/>
      <c r="E42" s="320"/>
      <c r="F42" s="320"/>
      <c r="G42" s="320"/>
      <c r="H42" s="320"/>
      <c r="I42" s="320"/>
      <c r="J42" s="320"/>
      <c r="K42" s="320"/>
      <c r="L42" s="320"/>
      <c r="M42" s="320"/>
      <c r="N42" s="320"/>
      <c r="O42" s="320"/>
      <c r="P42" s="320"/>
      <c r="Q42" s="320"/>
      <c r="R42" s="320"/>
      <c r="S42" s="320"/>
      <c r="T42" s="320"/>
      <c r="U42" s="320"/>
      <c r="V42" s="320"/>
      <c r="W42" s="320"/>
      <c r="X42" s="320"/>
      <c r="Y42" s="320"/>
      <c r="Z42" s="320"/>
    </row>
    <row r="43">
      <c r="A43" s="320"/>
      <c r="B43" s="320"/>
      <c r="C43" s="320"/>
      <c r="D43" s="320"/>
      <c r="E43" s="320"/>
      <c r="F43" s="320"/>
      <c r="G43" s="320"/>
      <c r="H43" s="320"/>
      <c r="I43" s="320"/>
      <c r="J43" s="320"/>
      <c r="K43" s="320"/>
      <c r="L43" s="320"/>
      <c r="M43" s="320"/>
      <c r="N43" s="320"/>
      <c r="O43" s="320"/>
      <c r="P43" s="320"/>
      <c r="Q43" s="320"/>
      <c r="R43" s="320"/>
      <c r="S43" s="320"/>
      <c r="T43" s="320"/>
      <c r="U43" s="320"/>
      <c r="V43" s="320"/>
      <c r="W43" s="320"/>
      <c r="X43" s="320"/>
      <c r="Y43" s="320"/>
      <c r="Z43" s="320"/>
    </row>
    <row r="44">
      <c r="A44" s="320"/>
      <c r="B44" s="320"/>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row>
    <row r="45">
      <c r="A45" s="320"/>
      <c r="B45" s="320"/>
      <c r="C45" s="320"/>
      <c r="D45" s="320"/>
      <c r="E45" s="320"/>
      <c r="F45" s="320"/>
      <c r="G45" s="320"/>
      <c r="H45" s="320"/>
      <c r="I45" s="320"/>
      <c r="J45" s="320"/>
      <c r="K45" s="320"/>
      <c r="L45" s="320"/>
      <c r="M45" s="320"/>
      <c r="N45" s="320"/>
      <c r="O45" s="320"/>
      <c r="P45" s="320"/>
      <c r="Q45" s="320"/>
      <c r="R45" s="320"/>
      <c r="S45" s="320"/>
      <c r="T45" s="320"/>
      <c r="U45" s="320"/>
      <c r="V45" s="320"/>
      <c r="W45" s="320"/>
      <c r="X45" s="320"/>
      <c r="Y45" s="320"/>
      <c r="Z45" s="320"/>
    </row>
    <row r="46">
      <c r="A46" s="320"/>
      <c r="B46" s="320"/>
      <c r="C46" s="320"/>
      <c r="D46" s="320"/>
      <c r="E46" s="320"/>
      <c r="F46" s="320"/>
      <c r="G46" s="320"/>
      <c r="H46" s="320"/>
      <c r="I46" s="320"/>
      <c r="J46" s="320"/>
      <c r="K46" s="320"/>
      <c r="L46" s="320"/>
      <c r="M46" s="320"/>
      <c r="N46" s="320"/>
      <c r="O46" s="320"/>
      <c r="P46" s="320"/>
      <c r="Q46" s="320"/>
      <c r="R46" s="320"/>
      <c r="S46" s="320"/>
      <c r="T46" s="320"/>
      <c r="U46" s="320"/>
      <c r="V46" s="320"/>
      <c r="W46" s="320"/>
      <c r="X46" s="320"/>
      <c r="Y46" s="320"/>
      <c r="Z46" s="320"/>
    </row>
    <row r="47">
      <c r="A47" s="320"/>
      <c r="B47" s="320"/>
      <c r="C47" s="320"/>
      <c r="D47" s="320"/>
      <c r="E47" s="320"/>
      <c r="F47" s="320"/>
      <c r="G47" s="320"/>
      <c r="H47" s="320"/>
      <c r="I47" s="320"/>
      <c r="J47" s="320"/>
      <c r="K47" s="320"/>
      <c r="L47" s="320"/>
      <c r="M47" s="320"/>
      <c r="N47" s="320"/>
      <c r="O47" s="320"/>
      <c r="P47" s="320"/>
      <c r="Q47" s="320"/>
      <c r="R47" s="320"/>
      <c r="S47" s="320"/>
      <c r="T47" s="320"/>
      <c r="U47" s="320"/>
      <c r="V47" s="320"/>
      <c r="W47" s="320"/>
      <c r="X47" s="320"/>
      <c r="Y47" s="320"/>
      <c r="Z47" s="320"/>
    </row>
    <row r="48">
      <c r="A48" s="320"/>
      <c r="B48" s="320"/>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row>
    <row r="49">
      <c r="A49" s="320"/>
      <c r="B49" s="320"/>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row>
    <row r="50">
      <c r="A50" s="320"/>
      <c r="B50" s="320"/>
      <c r="C50" s="320"/>
      <c r="D50" s="320"/>
      <c r="E50" s="320"/>
      <c r="F50" s="320"/>
      <c r="G50" s="320"/>
      <c r="H50" s="320"/>
      <c r="I50" s="320"/>
      <c r="J50" s="320"/>
      <c r="K50" s="320"/>
      <c r="L50" s="320"/>
      <c r="M50" s="320"/>
      <c r="N50" s="320"/>
      <c r="O50" s="320"/>
      <c r="P50" s="320"/>
      <c r="Q50" s="320"/>
      <c r="R50" s="320"/>
      <c r="S50" s="320"/>
      <c r="T50" s="320"/>
      <c r="U50" s="320"/>
      <c r="V50" s="320"/>
      <c r="W50" s="320"/>
      <c r="X50" s="320"/>
      <c r="Y50" s="320"/>
      <c r="Z50" s="320"/>
    </row>
    <row r="51">
      <c r="A51" s="320"/>
      <c r="B51" s="320"/>
      <c r="C51" s="320"/>
      <c r="D51" s="320"/>
      <c r="E51" s="320"/>
      <c r="F51" s="320"/>
      <c r="G51" s="320"/>
      <c r="H51" s="320"/>
      <c r="I51" s="320"/>
      <c r="J51" s="320"/>
      <c r="K51" s="320"/>
      <c r="L51" s="320"/>
      <c r="M51" s="320"/>
      <c r="N51" s="320"/>
      <c r="O51" s="320"/>
      <c r="P51" s="320"/>
      <c r="Q51" s="320"/>
      <c r="R51" s="320"/>
      <c r="S51" s="320"/>
      <c r="T51" s="320"/>
      <c r="U51" s="320"/>
      <c r="V51" s="320"/>
      <c r="W51" s="320"/>
      <c r="X51" s="320"/>
      <c r="Y51" s="320"/>
      <c r="Z51" s="320"/>
    </row>
    <row r="52">
      <c r="A52" s="320"/>
      <c r="B52" s="320"/>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row>
    <row r="53">
      <c r="A53" s="320"/>
      <c r="B53" s="320"/>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row>
    <row r="54">
      <c r="A54" s="320"/>
      <c r="B54" s="320"/>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row>
    <row r="55">
      <c r="A55" s="320"/>
      <c r="B55" s="320"/>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row>
    <row r="56">
      <c r="A56" s="320"/>
      <c r="B56" s="320"/>
      <c r="C56" s="320"/>
      <c r="D56" s="320"/>
      <c r="E56" s="320"/>
      <c r="F56" s="320"/>
      <c r="G56" s="320"/>
      <c r="H56" s="320"/>
      <c r="I56" s="320"/>
      <c r="J56" s="320"/>
      <c r="K56" s="320"/>
      <c r="L56" s="320"/>
      <c r="M56" s="320"/>
      <c r="N56" s="320"/>
      <c r="O56" s="320"/>
      <c r="P56" s="320"/>
      <c r="Q56" s="320"/>
      <c r="R56" s="320"/>
      <c r="S56" s="320"/>
      <c r="T56" s="320"/>
      <c r="U56" s="320"/>
      <c r="V56" s="320"/>
      <c r="W56" s="320"/>
      <c r="X56" s="320"/>
      <c r="Y56" s="320"/>
      <c r="Z56" s="320"/>
    </row>
    <row r="57">
      <c r="A57" s="320"/>
      <c r="B57" s="320"/>
      <c r="C57" s="320"/>
      <c r="D57" s="320"/>
      <c r="E57" s="320"/>
      <c r="F57" s="320"/>
      <c r="G57" s="320"/>
      <c r="H57" s="320"/>
      <c r="I57" s="320"/>
      <c r="J57" s="320"/>
      <c r="K57" s="320"/>
      <c r="L57" s="320"/>
      <c r="M57" s="320"/>
      <c r="N57" s="320"/>
      <c r="O57" s="320"/>
      <c r="P57" s="320"/>
      <c r="Q57" s="320"/>
      <c r="R57" s="320"/>
      <c r="S57" s="320"/>
      <c r="T57" s="320"/>
      <c r="U57" s="320"/>
      <c r="V57" s="320"/>
      <c r="W57" s="320"/>
      <c r="X57" s="320"/>
      <c r="Y57" s="320"/>
      <c r="Z57" s="320"/>
    </row>
    <row r="58">
      <c r="A58" s="320"/>
      <c r="B58" s="320"/>
      <c r="C58" s="320"/>
      <c r="D58" s="320"/>
      <c r="E58" s="320"/>
      <c r="F58" s="320"/>
      <c r="G58" s="320"/>
      <c r="H58" s="320"/>
      <c r="I58" s="320"/>
      <c r="J58" s="320"/>
      <c r="K58" s="320"/>
      <c r="L58" s="320"/>
      <c r="M58" s="320"/>
      <c r="N58" s="320"/>
      <c r="O58" s="320"/>
      <c r="P58" s="320"/>
      <c r="Q58" s="320"/>
      <c r="R58" s="320"/>
      <c r="S58" s="320"/>
      <c r="T58" s="320"/>
      <c r="U58" s="320"/>
      <c r="V58" s="320"/>
      <c r="W58" s="320"/>
      <c r="X58" s="320"/>
      <c r="Y58" s="320"/>
      <c r="Z58" s="320"/>
    </row>
    <row r="59">
      <c r="A59" s="320"/>
      <c r="B59" s="320"/>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row>
    <row r="60">
      <c r="A60" s="320"/>
      <c r="B60" s="320"/>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row>
    <row r="61">
      <c r="A61" s="320"/>
      <c r="B61" s="320"/>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row>
    <row r="62">
      <c r="A62" s="320"/>
      <c r="B62" s="320"/>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row>
    <row r="63">
      <c r="A63" s="320"/>
      <c r="B63" s="320"/>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row>
    <row r="64">
      <c r="A64" s="320"/>
      <c r="B64" s="320"/>
      <c r="C64" s="320"/>
      <c r="D64" s="320"/>
      <c r="E64" s="320"/>
      <c r="F64" s="320"/>
      <c r="G64" s="320"/>
      <c r="H64" s="320"/>
      <c r="I64" s="320"/>
      <c r="J64" s="320"/>
      <c r="K64" s="320"/>
      <c r="L64" s="320"/>
      <c r="M64" s="320"/>
      <c r="N64" s="320"/>
      <c r="O64" s="320"/>
      <c r="P64" s="320"/>
      <c r="Q64" s="320"/>
      <c r="R64" s="320"/>
      <c r="S64" s="320"/>
      <c r="T64" s="320"/>
      <c r="U64" s="320"/>
      <c r="V64" s="320"/>
      <c r="W64" s="320"/>
      <c r="X64" s="320"/>
      <c r="Y64" s="320"/>
      <c r="Z64" s="320"/>
    </row>
    <row r="65">
      <c r="A65" s="320"/>
      <c r="B65" s="320"/>
      <c r="C65" s="320"/>
      <c r="D65" s="320"/>
      <c r="E65" s="320"/>
      <c r="F65" s="320"/>
      <c r="G65" s="320"/>
      <c r="H65" s="320"/>
      <c r="I65" s="320"/>
      <c r="J65" s="320"/>
      <c r="K65" s="320"/>
      <c r="L65" s="320"/>
      <c r="M65" s="320"/>
      <c r="N65" s="320"/>
      <c r="O65" s="320"/>
      <c r="P65" s="320"/>
      <c r="Q65" s="320"/>
      <c r="R65" s="320"/>
      <c r="S65" s="320"/>
      <c r="T65" s="320"/>
      <c r="U65" s="320"/>
      <c r="V65" s="320"/>
      <c r="W65" s="320"/>
      <c r="X65" s="320"/>
      <c r="Y65" s="320"/>
      <c r="Z65" s="320"/>
    </row>
    <row r="66">
      <c r="A66" s="320"/>
      <c r="B66" s="320"/>
      <c r="C66" s="320"/>
      <c r="D66" s="320"/>
      <c r="E66" s="320"/>
      <c r="F66" s="320"/>
      <c r="G66" s="320"/>
      <c r="H66" s="320"/>
      <c r="I66" s="320"/>
      <c r="J66" s="320"/>
      <c r="K66" s="320"/>
      <c r="L66" s="320"/>
      <c r="M66" s="320"/>
      <c r="N66" s="320"/>
      <c r="O66" s="320"/>
      <c r="P66" s="320"/>
      <c r="Q66" s="320"/>
      <c r="R66" s="320"/>
      <c r="S66" s="320"/>
      <c r="T66" s="320"/>
      <c r="U66" s="320"/>
      <c r="V66" s="320"/>
      <c r="W66" s="320"/>
      <c r="X66" s="320"/>
      <c r="Y66" s="320"/>
      <c r="Z66" s="320"/>
    </row>
    <row r="67">
      <c r="A67" s="320"/>
      <c r="B67" s="320"/>
      <c r="C67" s="320"/>
      <c r="D67" s="320"/>
      <c r="E67" s="320"/>
      <c r="F67" s="320"/>
      <c r="G67" s="320"/>
      <c r="H67" s="320"/>
      <c r="I67" s="320"/>
      <c r="J67" s="320"/>
      <c r="K67" s="320"/>
      <c r="L67" s="320"/>
      <c r="M67" s="320"/>
      <c r="N67" s="320"/>
      <c r="O67" s="320"/>
      <c r="P67" s="320"/>
      <c r="Q67" s="320"/>
      <c r="R67" s="320"/>
      <c r="S67" s="320"/>
      <c r="T67" s="320"/>
      <c r="U67" s="320"/>
      <c r="V67" s="320"/>
      <c r="W67" s="320"/>
      <c r="X67" s="320"/>
      <c r="Y67" s="320"/>
      <c r="Z67" s="320"/>
    </row>
    <row r="68">
      <c r="A68" s="320"/>
      <c r="B68" s="320"/>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row>
    <row r="69">
      <c r="A69" s="320"/>
      <c r="B69" s="320"/>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row>
    <row r="70">
      <c r="A70" s="320"/>
      <c r="B70" s="320"/>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row>
    <row r="71">
      <c r="A71" s="320"/>
      <c r="B71" s="320"/>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row>
    <row r="72">
      <c r="A72" s="320"/>
      <c r="B72" s="320"/>
      <c r="C72" s="320"/>
      <c r="D72" s="320"/>
      <c r="E72" s="320"/>
      <c r="F72" s="320"/>
      <c r="G72" s="320"/>
      <c r="H72" s="320"/>
      <c r="I72" s="320"/>
      <c r="J72" s="320"/>
      <c r="K72" s="320"/>
      <c r="L72" s="320"/>
      <c r="M72" s="320"/>
      <c r="N72" s="320"/>
      <c r="O72" s="320"/>
      <c r="P72" s="320"/>
      <c r="Q72" s="320"/>
      <c r="R72" s="320"/>
      <c r="S72" s="320"/>
      <c r="T72" s="320"/>
      <c r="U72" s="320"/>
      <c r="V72" s="320"/>
      <c r="W72" s="320"/>
      <c r="X72" s="320"/>
      <c r="Y72" s="320"/>
      <c r="Z72" s="320"/>
    </row>
    <row r="73">
      <c r="A73" s="320"/>
      <c r="B73" s="320"/>
      <c r="C73" s="320"/>
      <c r="D73" s="320"/>
      <c r="E73" s="320"/>
      <c r="F73" s="320"/>
      <c r="G73" s="320"/>
      <c r="H73" s="320"/>
      <c r="I73" s="320"/>
      <c r="J73" s="320"/>
      <c r="K73" s="320"/>
      <c r="L73" s="320"/>
      <c r="M73" s="320"/>
      <c r="N73" s="320"/>
      <c r="O73" s="320"/>
      <c r="P73" s="320"/>
      <c r="Q73" s="320"/>
      <c r="R73" s="320"/>
      <c r="S73" s="320"/>
      <c r="T73" s="320"/>
      <c r="U73" s="320"/>
      <c r="V73" s="320"/>
      <c r="W73" s="320"/>
      <c r="X73" s="320"/>
      <c r="Y73" s="320"/>
      <c r="Z73" s="320"/>
    </row>
    <row r="74">
      <c r="A74" s="320"/>
      <c r="B74" s="320"/>
      <c r="C74" s="320"/>
      <c r="D74" s="320"/>
      <c r="E74" s="320"/>
      <c r="F74" s="320"/>
      <c r="G74" s="320"/>
      <c r="H74" s="320"/>
      <c r="I74" s="320"/>
      <c r="J74" s="320"/>
      <c r="K74" s="320"/>
      <c r="L74" s="320"/>
      <c r="M74" s="320"/>
      <c r="N74" s="320"/>
      <c r="O74" s="320"/>
      <c r="P74" s="320"/>
      <c r="Q74" s="320"/>
      <c r="R74" s="320"/>
      <c r="S74" s="320"/>
      <c r="T74" s="320"/>
      <c r="U74" s="320"/>
      <c r="V74" s="320"/>
      <c r="W74" s="320"/>
      <c r="X74" s="320"/>
      <c r="Y74" s="320"/>
      <c r="Z74" s="320"/>
    </row>
    <row r="75">
      <c r="A75" s="320"/>
      <c r="B75" s="320"/>
      <c r="C75" s="320"/>
      <c r="D75" s="320"/>
      <c r="E75" s="320"/>
      <c r="F75" s="320"/>
      <c r="G75" s="320"/>
      <c r="H75" s="320"/>
      <c r="I75" s="320"/>
      <c r="J75" s="320"/>
      <c r="K75" s="320"/>
      <c r="L75" s="320"/>
      <c r="M75" s="320"/>
      <c r="N75" s="320"/>
      <c r="O75" s="320"/>
      <c r="P75" s="320"/>
      <c r="Q75" s="320"/>
      <c r="R75" s="320"/>
      <c r="S75" s="320"/>
      <c r="T75" s="320"/>
      <c r="U75" s="320"/>
      <c r="V75" s="320"/>
      <c r="W75" s="320"/>
      <c r="X75" s="320"/>
      <c r="Y75" s="320"/>
      <c r="Z75" s="320"/>
    </row>
    <row r="76">
      <c r="A76" s="320"/>
      <c r="B76" s="320"/>
      <c r="C76" s="320"/>
      <c r="D76" s="320"/>
      <c r="E76" s="320"/>
      <c r="F76" s="320"/>
      <c r="G76" s="320"/>
      <c r="H76" s="320"/>
      <c r="I76" s="320"/>
      <c r="J76" s="320"/>
      <c r="K76" s="320"/>
      <c r="L76" s="320"/>
      <c r="M76" s="320"/>
      <c r="N76" s="320"/>
      <c r="O76" s="320"/>
      <c r="P76" s="320"/>
      <c r="Q76" s="320"/>
      <c r="R76" s="320"/>
      <c r="S76" s="320"/>
      <c r="T76" s="320"/>
      <c r="U76" s="320"/>
      <c r="V76" s="320"/>
      <c r="W76" s="320"/>
      <c r="X76" s="320"/>
      <c r="Y76" s="320"/>
      <c r="Z76" s="320"/>
    </row>
    <row r="77">
      <c r="A77" s="320"/>
      <c r="B77" s="320"/>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row>
    <row r="78">
      <c r="A78" s="320"/>
      <c r="B78" s="320"/>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row>
    <row r="79">
      <c r="A79" s="320"/>
      <c r="B79" s="320"/>
      <c r="C79" s="320"/>
      <c r="D79" s="320"/>
      <c r="E79" s="320"/>
      <c r="F79" s="320"/>
      <c r="G79" s="320"/>
      <c r="H79" s="320"/>
      <c r="I79" s="320"/>
      <c r="J79" s="320"/>
      <c r="K79" s="320"/>
      <c r="L79" s="320"/>
      <c r="M79" s="320"/>
      <c r="N79" s="320"/>
      <c r="O79" s="320"/>
      <c r="P79" s="320"/>
      <c r="Q79" s="320"/>
      <c r="R79" s="320"/>
      <c r="S79" s="320"/>
      <c r="T79" s="320"/>
      <c r="U79" s="320"/>
      <c r="V79" s="320"/>
      <c r="W79" s="320"/>
      <c r="X79" s="320"/>
      <c r="Y79" s="320"/>
      <c r="Z79" s="320"/>
    </row>
    <row r="80">
      <c r="A80" s="320"/>
      <c r="B80" s="320"/>
      <c r="C80" s="320"/>
      <c r="D80" s="320"/>
      <c r="E80" s="320"/>
      <c r="F80" s="320"/>
      <c r="G80" s="320"/>
      <c r="H80" s="320"/>
      <c r="I80" s="320"/>
      <c r="J80" s="320"/>
      <c r="K80" s="320"/>
      <c r="L80" s="320"/>
      <c r="M80" s="320"/>
      <c r="N80" s="320"/>
      <c r="O80" s="320"/>
      <c r="P80" s="320"/>
      <c r="Q80" s="320"/>
      <c r="R80" s="320"/>
      <c r="S80" s="320"/>
      <c r="T80" s="320"/>
      <c r="U80" s="320"/>
      <c r="V80" s="320"/>
      <c r="W80" s="320"/>
      <c r="X80" s="320"/>
      <c r="Y80" s="320"/>
      <c r="Z80" s="320"/>
    </row>
    <row r="81">
      <c r="A81" s="320"/>
      <c r="B81" s="320"/>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row>
    <row r="82">
      <c r="A82" s="320"/>
      <c r="B82" s="320"/>
      <c r="C82" s="320"/>
      <c r="D82" s="320"/>
      <c r="E82" s="320"/>
      <c r="F82" s="320"/>
      <c r="G82" s="320"/>
      <c r="H82" s="320"/>
      <c r="I82" s="320"/>
      <c r="J82" s="320"/>
      <c r="K82" s="320"/>
      <c r="L82" s="320"/>
      <c r="M82" s="320"/>
      <c r="N82" s="320"/>
      <c r="O82" s="320"/>
      <c r="P82" s="320"/>
      <c r="Q82" s="320"/>
      <c r="R82" s="320"/>
      <c r="S82" s="320"/>
      <c r="T82" s="320"/>
      <c r="U82" s="320"/>
      <c r="V82" s="320"/>
      <c r="W82" s="320"/>
      <c r="X82" s="320"/>
      <c r="Y82" s="320"/>
      <c r="Z82" s="320"/>
    </row>
    <row r="83">
      <c r="A83" s="320"/>
      <c r="B83" s="320"/>
      <c r="C83" s="320"/>
      <c r="D83" s="320"/>
      <c r="E83" s="320"/>
      <c r="F83" s="320"/>
      <c r="G83" s="320"/>
      <c r="H83" s="320"/>
      <c r="I83" s="320"/>
      <c r="J83" s="320"/>
      <c r="K83" s="320"/>
      <c r="L83" s="320"/>
      <c r="M83" s="320"/>
      <c r="N83" s="320"/>
      <c r="O83" s="320"/>
      <c r="P83" s="320"/>
      <c r="Q83" s="320"/>
      <c r="R83" s="320"/>
      <c r="S83" s="320"/>
      <c r="T83" s="320"/>
      <c r="U83" s="320"/>
      <c r="V83" s="320"/>
      <c r="W83" s="320"/>
      <c r="X83" s="320"/>
      <c r="Y83" s="320"/>
      <c r="Z83" s="320"/>
    </row>
    <row r="84">
      <c r="A84" s="320"/>
      <c r="B84" s="320"/>
      <c r="C84" s="320"/>
      <c r="D84" s="320"/>
      <c r="E84" s="320"/>
      <c r="F84" s="320"/>
      <c r="G84" s="320"/>
      <c r="H84" s="320"/>
      <c r="I84" s="320"/>
      <c r="J84" s="320"/>
      <c r="K84" s="320"/>
      <c r="L84" s="320"/>
      <c r="M84" s="320"/>
      <c r="N84" s="320"/>
      <c r="O84" s="320"/>
      <c r="P84" s="320"/>
      <c r="Q84" s="320"/>
      <c r="R84" s="320"/>
      <c r="S84" s="320"/>
      <c r="T84" s="320"/>
      <c r="U84" s="320"/>
      <c r="V84" s="320"/>
      <c r="W84" s="320"/>
      <c r="X84" s="320"/>
      <c r="Y84" s="320"/>
      <c r="Z84" s="320"/>
    </row>
    <row r="85">
      <c r="A85" s="320"/>
      <c r="B85" s="320"/>
      <c r="C85" s="320"/>
      <c r="D85" s="320"/>
      <c r="E85" s="320"/>
      <c r="F85" s="320"/>
      <c r="G85" s="320"/>
      <c r="H85" s="320"/>
      <c r="I85" s="320"/>
      <c r="J85" s="320"/>
      <c r="K85" s="320"/>
      <c r="L85" s="320"/>
      <c r="M85" s="320"/>
      <c r="N85" s="320"/>
      <c r="O85" s="320"/>
      <c r="P85" s="320"/>
      <c r="Q85" s="320"/>
      <c r="R85" s="320"/>
      <c r="S85" s="320"/>
      <c r="T85" s="320"/>
      <c r="U85" s="320"/>
      <c r="V85" s="320"/>
      <c r="W85" s="320"/>
      <c r="X85" s="320"/>
      <c r="Y85" s="320"/>
      <c r="Z85" s="320"/>
    </row>
    <row r="86">
      <c r="A86" s="320"/>
      <c r="B86" s="320"/>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row>
    <row r="87">
      <c r="A87" s="320"/>
      <c r="B87" s="320"/>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row>
    <row r="88">
      <c r="A88" s="320"/>
      <c r="B88" s="320"/>
      <c r="C88" s="320"/>
      <c r="D88" s="320"/>
      <c r="E88" s="320"/>
      <c r="F88" s="320"/>
      <c r="G88" s="320"/>
      <c r="H88" s="320"/>
      <c r="I88" s="320"/>
      <c r="J88" s="320"/>
      <c r="K88" s="320"/>
      <c r="L88" s="320"/>
      <c r="M88" s="320"/>
      <c r="N88" s="320"/>
      <c r="O88" s="320"/>
      <c r="P88" s="320"/>
      <c r="Q88" s="320"/>
      <c r="R88" s="320"/>
      <c r="S88" s="320"/>
      <c r="T88" s="320"/>
      <c r="U88" s="320"/>
      <c r="V88" s="320"/>
      <c r="W88" s="320"/>
      <c r="X88" s="320"/>
      <c r="Y88" s="320"/>
      <c r="Z88" s="320"/>
    </row>
    <row r="89">
      <c r="A89" s="320"/>
      <c r="B89" s="320"/>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row>
    <row r="90">
      <c r="A90" s="320"/>
      <c r="B90" s="320"/>
      <c r="C90" s="320"/>
      <c r="D90" s="320"/>
      <c r="E90" s="320"/>
      <c r="F90" s="320"/>
      <c r="G90" s="320"/>
      <c r="H90" s="320"/>
      <c r="I90" s="320"/>
      <c r="J90" s="320"/>
      <c r="K90" s="320"/>
      <c r="L90" s="320"/>
      <c r="M90" s="320"/>
      <c r="N90" s="320"/>
      <c r="O90" s="320"/>
      <c r="P90" s="320"/>
      <c r="Q90" s="320"/>
      <c r="R90" s="320"/>
      <c r="S90" s="320"/>
      <c r="T90" s="320"/>
      <c r="U90" s="320"/>
      <c r="V90" s="320"/>
      <c r="W90" s="320"/>
      <c r="X90" s="320"/>
      <c r="Y90" s="320"/>
      <c r="Z90" s="320"/>
    </row>
    <row r="91">
      <c r="A91" s="320"/>
      <c r="B91" s="320"/>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row>
    <row r="92">
      <c r="A92" s="320"/>
      <c r="B92" s="320"/>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row>
    <row r="93">
      <c r="A93" s="320"/>
      <c r="B93" s="320"/>
      <c r="C93" s="320"/>
      <c r="D93" s="320"/>
      <c r="E93" s="320"/>
      <c r="F93" s="320"/>
      <c r="G93" s="320"/>
      <c r="H93" s="320"/>
      <c r="I93" s="320"/>
      <c r="J93" s="320"/>
      <c r="K93" s="320"/>
      <c r="L93" s="320"/>
      <c r="M93" s="320"/>
      <c r="N93" s="320"/>
      <c r="O93" s="320"/>
      <c r="P93" s="320"/>
      <c r="Q93" s="320"/>
      <c r="R93" s="320"/>
      <c r="S93" s="320"/>
      <c r="T93" s="320"/>
      <c r="U93" s="320"/>
      <c r="V93" s="320"/>
      <c r="W93" s="320"/>
      <c r="X93" s="320"/>
      <c r="Y93" s="320"/>
      <c r="Z93" s="320"/>
    </row>
    <row r="94">
      <c r="A94" s="320"/>
      <c r="B94" s="320"/>
      <c r="C94" s="320"/>
      <c r="D94" s="320"/>
      <c r="E94" s="320"/>
      <c r="F94" s="320"/>
      <c r="G94" s="320"/>
      <c r="H94" s="320"/>
      <c r="I94" s="320"/>
      <c r="J94" s="320"/>
      <c r="K94" s="320"/>
      <c r="L94" s="320"/>
      <c r="M94" s="320"/>
      <c r="N94" s="320"/>
      <c r="O94" s="320"/>
      <c r="P94" s="320"/>
      <c r="Q94" s="320"/>
      <c r="R94" s="320"/>
      <c r="S94" s="320"/>
      <c r="T94" s="320"/>
      <c r="U94" s="320"/>
      <c r="V94" s="320"/>
      <c r="W94" s="320"/>
      <c r="X94" s="320"/>
      <c r="Y94" s="320"/>
      <c r="Z94" s="320"/>
    </row>
    <row r="95">
      <c r="A95" s="320"/>
      <c r="B95" s="320"/>
      <c r="C95" s="320"/>
      <c r="D95" s="320"/>
      <c r="E95" s="320"/>
      <c r="F95" s="320"/>
      <c r="G95" s="320"/>
      <c r="H95" s="320"/>
      <c r="I95" s="320"/>
      <c r="J95" s="320"/>
      <c r="K95" s="320"/>
      <c r="L95" s="320"/>
      <c r="M95" s="320"/>
      <c r="N95" s="320"/>
      <c r="O95" s="320"/>
      <c r="P95" s="320"/>
      <c r="Q95" s="320"/>
      <c r="R95" s="320"/>
      <c r="S95" s="320"/>
      <c r="T95" s="320"/>
      <c r="U95" s="320"/>
      <c r="V95" s="320"/>
      <c r="W95" s="320"/>
      <c r="X95" s="320"/>
      <c r="Y95" s="320"/>
      <c r="Z95" s="320"/>
    </row>
    <row r="96">
      <c r="A96" s="320"/>
      <c r="B96" s="320"/>
      <c r="C96" s="320"/>
      <c r="D96" s="320"/>
      <c r="E96" s="320"/>
      <c r="F96" s="320"/>
      <c r="G96" s="320"/>
      <c r="H96" s="320"/>
      <c r="I96" s="320"/>
      <c r="J96" s="320"/>
      <c r="K96" s="320"/>
      <c r="L96" s="320"/>
      <c r="M96" s="320"/>
      <c r="N96" s="320"/>
      <c r="O96" s="320"/>
      <c r="P96" s="320"/>
      <c r="Q96" s="320"/>
      <c r="R96" s="320"/>
      <c r="S96" s="320"/>
      <c r="T96" s="320"/>
      <c r="U96" s="320"/>
      <c r="V96" s="320"/>
      <c r="W96" s="320"/>
      <c r="X96" s="320"/>
      <c r="Y96" s="320"/>
      <c r="Z96" s="320"/>
    </row>
    <row r="97">
      <c r="A97" s="320"/>
      <c r="B97" s="320"/>
      <c r="C97" s="320"/>
      <c r="D97" s="320"/>
      <c r="E97" s="320"/>
      <c r="F97" s="320"/>
      <c r="G97" s="320"/>
      <c r="H97" s="320"/>
      <c r="I97" s="320"/>
      <c r="J97" s="320"/>
      <c r="K97" s="320"/>
      <c r="L97" s="320"/>
      <c r="M97" s="320"/>
      <c r="N97" s="320"/>
      <c r="O97" s="320"/>
      <c r="P97" s="320"/>
      <c r="Q97" s="320"/>
      <c r="R97" s="320"/>
      <c r="S97" s="320"/>
      <c r="T97" s="320"/>
      <c r="U97" s="320"/>
      <c r="V97" s="320"/>
      <c r="W97" s="320"/>
      <c r="X97" s="320"/>
      <c r="Y97" s="320"/>
      <c r="Z97" s="320"/>
    </row>
    <row r="98">
      <c r="A98" s="320"/>
      <c r="B98" s="320"/>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row>
    <row r="99">
      <c r="A99" s="320"/>
      <c r="B99" s="320"/>
      <c r="C99" s="320"/>
      <c r="D99" s="320"/>
      <c r="E99" s="320"/>
      <c r="F99" s="320"/>
      <c r="G99" s="320"/>
      <c r="H99" s="320"/>
      <c r="I99" s="320"/>
      <c r="J99" s="320"/>
      <c r="K99" s="320"/>
      <c r="L99" s="320"/>
      <c r="M99" s="320"/>
      <c r="N99" s="320"/>
      <c r="O99" s="320"/>
      <c r="P99" s="320"/>
      <c r="Q99" s="320"/>
      <c r="R99" s="320"/>
      <c r="S99" s="320"/>
      <c r="T99" s="320"/>
      <c r="U99" s="320"/>
      <c r="V99" s="320"/>
      <c r="W99" s="320"/>
      <c r="X99" s="320"/>
      <c r="Y99" s="320"/>
      <c r="Z99" s="320"/>
    </row>
    <row r="100">
      <c r="A100" s="320"/>
      <c r="B100" s="320"/>
      <c r="C100" s="320"/>
      <c r="D100" s="320"/>
      <c r="E100" s="320"/>
      <c r="F100" s="320"/>
      <c r="G100" s="320"/>
      <c r="H100" s="320"/>
      <c r="I100" s="320"/>
      <c r="J100" s="320"/>
      <c r="K100" s="320"/>
      <c r="L100" s="320"/>
      <c r="M100" s="320"/>
      <c r="N100" s="320"/>
      <c r="O100" s="320"/>
      <c r="P100" s="320"/>
      <c r="Q100" s="320"/>
      <c r="R100" s="320"/>
      <c r="S100" s="320"/>
      <c r="T100" s="320"/>
      <c r="U100" s="320"/>
      <c r="V100" s="320"/>
      <c r="W100" s="320"/>
      <c r="X100" s="320"/>
      <c r="Y100" s="320"/>
      <c r="Z100" s="320"/>
    </row>
    <row r="101">
      <c r="A101" s="320"/>
      <c r="B101" s="320"/>
      <c r="C101" s="320"/>
      <c r="D101" s="320"/>
      <c r="E101" s="320"/>
      <c r="F101" s="320"/>
      <c r="G101" s="320"/>
      <c r="H101" s="320"/>
      <c r="I101" s="320"/>
      <c r="J101" s="320"/>
      <c r="K101" s="320"/>
      <c r="L101" s="320"/>
      <c r="M101" s="320"/>
      <c r="N101" s="320"/>
      <c r="O101" s="320"/>
      <c r="P101" s="320"/>
      <c r="Q101" s="320"/>
      <c r="R101" s="320"/>
      <c r="S101" s="320"/>
      <c r="T101" s="320"/>
      <c r="U101" s="320"/>
      <c r="V101" s="320"/>
      <c r="W101" s="320"/>
      <c r="X101" s="320"/>
      <c r="Y101" s="320"/>
      <c r="Z101" s="320"/>
    </row>
    <row r="102">
      <c r="A102" s="320"/>
      <c r="B102" s="320"/>
      <c r="C102" s="320"/>
      <c r="D102" s="320"/>
      <c r="E102" s="320"/>
      <c r="F102" s="320"/>
      <c r="G102" s="320"/>
      <c r="H102" s="320"/>
      <c r="I102" s="320"/>
      <c r="J102" s="320"/>
      <c r="K102" s="320"/>
      <c r="L102" s="320"/>
      <c r="M102" s="320"/>
      <c r="N102" s="320"/>
      <c r="O102" s="320"/>
      <c r="P102" s="320"/>
      <c r="Q102" s="320"/>
      <c r="R102" s="320"/>
      <c r="S102" s="320"/>
      <c r="T102" s="320"/>
      <c r="U102" s="320"/>
      <c r="V102" s="320"/>
      <c r="W102" s="320"/>
      <c r="X102" s="320"/>
      <c r="Y102" s="320"/>
      <c r="Z102" s="320"/>
    </row>
    <row r="103">
      <c r="A103" s="320"/>
      <c r="B103" s="320"/>
      <c r="C103" s="320"/>
      <c r="D103" s="320"/>
      <c r="E103" s="320"/>
      <c r="F103" s="320"/>
      <c r="G103" s="320"/>
      <c r="H103" s="320"/>
      <c r="I103" s="320"/>
      <c r="J103" s="320"/>
      <c r="K103" s="320"/>
      <c r="L103" s="320"/>
      <c r="M103" s="320"/>
      <c r="N103" s="320"/>
      <c r="O103" s="320"/>
      <c r="P103" s="320"/>
      <c r="Q103" s="320"/>
      <c r="R103" s="320"/>
      <c r="S103" s="320"/>
      <c r="T103" s="320"/>
      <c r="U103" s="320"/>
      <c r="V103" s="320"/>
      <c r="W103" s="320"/>
      <c r="X103" s="320"/>
      <c r="Y103" s="320"/>
      <c r="Z103" s="320"/>
    </row>
    <row r="104">
      <c r="A104" s="320"/>
      <c r="B104" s="320"/>
      <c r="C104" s="320"/>
      <c r="D104" s="320"/>
      <c r="E104" s="320"/>
      <c r="F104" s="320"/>
      <c r="G104" s="320"/>
      <c r="H104" s="320"/>
      <c r="I104" s="320"/>
      <c r="J104" s="320"/>
      <c r="K104" s="320"/>
      <c r="L104" s="320"/>
      <c r="M104" s="320"/>
      <c r="N104" s="320"/>
      <c r="O104" s="320"/>
      <c r="P104" s="320"/>
      <c r="Q104" s="320"/>
      <c r="R104" s="320"/>
      <c r="S104" s="320"/>
      <c r="T104" s="320"/>
      <c r="U104" s="320"/>
      <c r="V104" s="320"/>
      <c r="W104" s="320"/>
      <c r="X104" s="320"/>
      <c r="Y104" s="320"/>
      <c r="Z104" s="320"/>
    </row>
    <row r="105">
      <c r="A105" s="320"/>
      <c r="B105" s="320"/>
      <c r="C105" s="320"/>
      <c r="D105" s="320"/>
      <c r="E105" s="320"/>
      <c r="F105" s="320"/>
      <c r="G105" s="320"/>
      <c r="H105" s="320"/>
      <c r="I105" s="320"/>
      <c r="J105" s="320"/>
      <c r="K105" s="320"/>
      <c r="L105" s="320"/>
      <c r="M105" s="320"/>
      <c r="N105" s="320"/>
      <c r="O105" s="320"/>
      <c r="P105" s="320"/>
      <c r="Q105" s="320"/>
      <c r="R105" s="320"/>
      <c r="S105" s="320"/>
      <c r="T105" s="320"/>
      <c r="U105" s="320"/>
      <c r="V105" s="320"/>
      <c r="W105" s="320"/>
      <c r="X105" s="320"/>
      <c r="Y105" s="320"/>
      <c r="Z105" s="320"/>
    </row>
    <row r="106">
      <c r="A106" s="320"/>
      <c r="B106" s="320"/>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c r="Z106" s="320"/>
    </row>
    <row r="107">
      <c r="A107" s="320"/>
      <c r="B107" s="320"/>
      <c r="C107" s="320"/>
      <c r="D107" s="320"/>
      <c r="E107" s="320"/>
      <c r="F107" s="320"/>
      <c r="G107" s="320"/>
      <c r="H107" s="320"/>
      <c r="I107" s="320"/>
      <c r="J107" s="320"/>
      <c r="K107" s="320"/>
      <c r="L107" s="320"/>
      <c r="M107" s="320"/>
      <c r="N107" s="320"/>
      <c r="O107" s="320"/>
      <c r="P107" s="320"/>
      <c r="Q107" s="320"/>
      <c r="R107" s="320"/>
      <c r="S107" s="320"/>
      <c r="T107" s="320"/>
      <c r="U107" s="320"/>
      <c r="V107" s="320"/>
      <c r="W107" s="320"/>
      <c r="X107" s="320"/>
      <c r="Y107" s="320"/>
      <c r="Z107" s="320"/>
    </row>
    <row r="108">
      <c r="A108" s="320"/>
      <c r="B108" s="320"/>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c r="Z108" s="320"/>
    </row>
    <row r="109">
      <c r="A109" s="320"/>
      <c r="B109" s="320"/>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row>
    <row r="110">
      <c r="A110" s="320"/>
      <c r="B110" s="320"/>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row>
    <row r="111">
      <c r="A111" s="320"/>
      <c r="B111" s="320"/>
      <c r="C111" s="320"/>
      <c r="D111" s="320"/>
      <c r="E111" s="320"/>
      <c r="F111" s="320"/>
      <c r="G111" s="320"/>
      <c r="H111" s="320"/>
      <c r="I111" s="320"/>
      <c r="J111" s="320"/>
      <c r="K111" s="320"/>
      <c r="L111" s="320"/>
      <c r="M111" s="320"/>
      <c r="N111" s="320"/>
      <c r="O111" s="320"/>
      <c r="P111" s="320"/>
      <c r="Q111" s="320"/>
      <c r="R111" s="320"/>
      <c r="S111" s="320"/>
      <c r="T111" s="320"/>
      <c r="U111" s="320"/>
      <c r="V111" s="320"/>
      <c r="W111" s="320"/>
      <c r="X111" s="320"/>
      <c r="Y111" s="320"/>
      <c r="Z111" s="320"/>
    </row>
    <row r="112">
      <c r="A112" s="320"/>
      <c r="B112" s="320"/>
      <c r="C112" s="320"/>
      <c r="D112" s="320"/>
      <c r="E112" s="320"/>
      <c r="F112" s="320"/>
      <c r="G112" s="320"/>
      <c r="H112" s="320"/>
      <c r="I112" s="320"/>
      <c r="J112" s="320"/>
      <c r="K112" s="320"/>
      <c r="L112" s="320"/>
      <c r="M112" s="320"/>
      <c r="N112" s="320"/>
      <c r="O112" s="320"/>
      <c r="P112" s="320"/>
      <c r="Q112" s="320"/>
      <c r="R112" s="320"/>
      <c r="S112" s="320"/>
      <c r="T112" s="320"/>
      <c r="U112" s="320"/>
      <c r="V112" s="320"/>
      <c r="W112" s="320"/>
      <c r="X112" s="320"/>
      <c r="Y112" s="320"/>
      <c r="Z112" s="320"/>
    </row>
    <row r="113">
      <c r="A113" s="320"/>
      <c r="B113" s="320"/>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row>
    <row r="114">
      <c r="A114" s="320"/>
      <c r="B114" s="320"/>
      <c r="C114" s="320"/>
      <c r="D114" s="320"/>
      <c r="E114" s="320"/>
      <c r="F114" s="320"/>
      <c r="G114" s="320"/>
      <c r="H114" s="320"/>
      <c r="I114" s="320"/>
      <c r="J114" s="320"/>
      <c r="K114" s="320"/>
      <c r="L114" s="320"/>
      <c r="M114" s="320"/>
      <c r="N114" s="320"/>
      <c r="O114" s="320"/>
      <c r="P114" s="320"/>
      <c r="Q114" s="320"/>
      <c r="R114" s="320"/>
      <c r="S114" s="320"/>
      <c r="T114" s="320"/>
      <c r="U114" s="320"/>
      <c r="V114" s="320"/>
      <c r="W114" s="320"/>
      <c r="X114" s="320"/>
      <c r="Y114" s="320"/>
      <c r="Z114" s="320"/>
    </row>
    <row r="115">
      <c r="A115" s="320"/>
      <c r="B115" s="320"/>
      <c r="C115" s="320"/>
      <c r="D115" s="320"/>
      <c r="E115" s="320"/>
      <c r="F115" s="320"/>
      <c r="G115" s="320"/>
      <c r="H115" s="320"/>
      <c r="I115" s="320"/>
      <c r="J115" s="320"/>
      <c r="K115" s="320"/>
      <c r="L115" s="320"/>
      <c r="M115" s="320"/>
      <c r="N115" s="320"/>
      <c r="O115" s="320"/>
      <c r="P115" s="320"/>
      <c r="Q115" s="320"/>
      <c r="R115" s="320"/>
      <c r="S115" s="320"/>
      <c r="T115" s="320"/>
      <c r="U115" s="320"/>
      <c r="V115" s="320"/>
      <c r="W115" s="320"/>
      <c r="X115" s="320"/>
      <c r="Y115" s="320"/>
      <c r="Z115" s="320"/>
    </row>
    <row r="116">
      <c r="A116" s="320"/>
      <c r="B116" s="320"/>
      <c r="C116" s="320"/>
      <c r="D116" s="320"/>
      <c r="E116" s="320"/>
      <c r="F116" s="320"/>
      <c r="G116" s="320"/>
      <c r="H116" s="320"/>
      <c r="I116" s="320"/>
      <c r="J116" s="320"/>
      <c r="K116" s="320"/>
      <c r="L116" s="320"/>
      <c r="M116" s="320"/>
      <c r="N116" s="320"/>
      <c r="O116" s="320"/>
      <c r="P116" s="320"/>
      <c r="Q116" s="320"/>
      <c r="R116" s="320"/>
      <c r="S116" s="320"/>
      <c r="T116" s="320"/>
      <c r="U116" s="320"/>
      <c r="V116" s="320"/>
      <c r="W116" s="320"/>
      <c r="X116" s="320"/>
      <c r="Y116" s="320"/>
      <c r="Z116" s="320"/>
    </row>
    <row r="117">
      <c r="A117" s="320"/>
      <c r="B117" s="320"/>
      <c r="C117" s="320"/>
      <c r="D117" s="320"/>
      <c r="E117" s="320"/>
      <c r="F117" s="320"/>
      <c r="G117" s="320"/>
      <c r="H117" s="320"/>
      <c r="I117" s="320"/>
      <c r="J117" s="320"/>
      <c r="K117" s="320"/>
      <c r="L117" s="320"/>
      <c r="M117" s="320"/>
      <c r="N117" s="320"/>
      <c r="O117" s="320"/>
      <c r="P117" s="320"/>
      <c r="Q117" s="320"/>
      <c r="R117" s="320"/>
      <c r="S117" s="320"/>
      <c r="T117" s="320"/>
      <c r="U117" s="320"/>
      <c r="V117" s="320"/>
      <c r="W117" s="320"/>
      <c r="X117" s="320"/>
      <c r="Y117" s="320"/>
      <c r="Z117" s="320"/>
    </row>
    <row r="118">
      <c r="A118" s="320"/>
      <c r="B118" s="320"/>
      <c r="C118" s="320"/>
      <c r="D118" s="320"/>
      <c r="E118" s="320"/>
      <c r="F118" s="320"/>
      <c r="G118" s="320"/>
      <c r="H118" s="320"/>
      <c r="I118" s="320"/>
      <c r="J118" s="320"/>
      <c r="K118" s="320"/>
      <c r="L118" s="320"/>
      <c r="M118" s="320"/>
      <c r="N118" s="320"/>
      <c r="O118" s="320"/>
      <c r="P118" s="320"/>
      <c r="Q118" s="320"/>
      <c r="R118" s="320"/>
      <c r="S118" s="320"/>
      <c r="T118" s="320"/>
      <c r="U118" s="320"/>
      <c r="V118" s="320"/>
      <c r="W118" s="320"/>
      <c r="X118" s="320"/>
      <c r="Y118" s="320"/>
      <c r="Z118" s="320"/>
    </row>
    <row r="119">
      <c r="A119" s="320"/>
      <c r="B119" s="320"/>
      <c r="C119" s="320"/>
      <c r="D119" s="320"/>
      <c r="E119" s="320"/>
      <c r="F119" s="320"/>
      <c r="G119" s="320"/>
      <c r="H119" s="320"/>
      <c r="I119" s="320"/>
      <c r="J119" s="320"/>
      <c r="K119" s="320"/>
      <c r="L119" s="320"/>
      <c r="M119" s="320"/>
      <c r="N119" s="320"/>
      <c r="O119" s="320"/>
      <c r="P119" s="320"/>
      <c r="Q119" s="320"/>
      <c r="R119" s="320"/>
      <c r="S119" s="320"/>
      <c r="T119" s="320"/>
      <c r="U119" s="320"/>
      <c r="V119" s="320"/>
      <c r="W119" s="320"/>
      <c r="X119" s="320"/>
      <c r="Y119" s="320"/>
      <c r="Z119" s="320"/>
    </row>
    <row r="120">
      <c r="A120" s="320"/>
      <c r="B120" s="320"/>
      <c r="C120" s="320"/>
      <c r="D120" s="320"/>
      <c r="E120" s="320"/>
      <c r="F120" s="320"/>
      <c r="G120" s="320"/>
      <c r="H120" s="320"/>
      <c r="I120" s="320"/>
      <c r="J120" s="320"/>
      <c r="K120" s="320"/>
      <c r="L120" s="320"/>
      <c r="M120" s="320"/>
      <c r="N120" s="320"/>
      <c r="O120" s="320"/>
      <c r="P120" s="320"/>
      <c r="Q120" s="320"/>
      <c r="R120" s="320"/>
      <c r="S120" s="320"/>
      <c r="T120" s="320"/>
      <c r="U120" s="320"/>
      <c r="V120" s="320"/>
      <c r="W120" s="320"/>
      <c r="X120" s="320"/>
      <c r="Y120" s="320"/>
      <c r="Z120" s="320"/>
    </row>
    <row r="121">
      <c r="A121" s="320"/>
      <c r="B121" s="320"/>
      <c r="C121" s="320"/>
      <c r="D121" s="320"/>
      <c r="E121" s="320"/>
      <c r="F121" s="320"/>
      <c r="G121" s="320"/>
      <c r="H121" s="320"/>
      <c r="I121" s="320"/>
      <c r="J121" s="320"/>
      <c r="K121" s="320"/>
      <c r="L121" s="320"/>
      <c r="M121" s="320"/>
      <c r="N121" s="320"/>
      <c r="O121" s="320"/>
      <c r="P121" s="320"/>
      <c r="Q121" s="320"/>
      <c r="R121" s="320"/>
      <c r="S121" s="320"/>
      <c r="T121" s="320"/>
      <c r="U121" s="320"/>
      <c r="V121" s="320"/>
      <c r="W121" s="320"/>
      <c r="X121" s="320"/>
      <c r="Y121" s="320"/>
      <c r="Z121" s="320"/>
    </row>
    <row r="122">
      <c r="A122" s="320"/>
      <c r="B122" s="320"/>
      <c r="C122" s="320"/>
      <c r="D122" s="320"/>
      <c r="E122" s="320"/>
      <c r="F122" s="320"/>
      <c r="G122" s="320"/>
      <c r="H122" s="320"/>
      <c r="I122" s="320"/>
      <c r="J122" s="320"/>
      <c r="K122" s="320"/>
      <c r="L122" s="320"/>
      <c r="M122" s="320"/>
      <c r="N122" s="320"/>
      <c r="O122" s="320"/>
      <c r="P122" s="320"/>
      <c r="Q122" s="320"/>
      <c r="R122" s="320"/>
      <c r="S122" s="320"/>
      <c r="T122" s="320"/>
      <c r="U122" s="320"/>
      <c r="V122" s="320"/>
      <c r="W122" s="320"/>
      <c r="X122" s="320"/>
      <c r="Y122" s="320"/>
      <c r="Z122" s="320"/>
    </row>
    <row r="123">
      <c r="A123" s="320"/>
      <c r="B123" s="320"/>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row>
    <row r="124">
      <c r="A124" s="320"/>
      <c r="B124" s="320"/>
      <c r="C124" s="320"/>
      <c r="D124" s="320"/>
      <c r="E124" s="320"/>
      <c r="F124" s="320"/>
      <c r="G124" s="320"/>
      <c r="H124" s="320"/>
      <c r="I124" s="320"/>
      <c r="J124" s="320"/>
      <c r="K124" s="320"/>
      <c r="L124" s="320"/>
      <c r="M124" s="320"/>
      <c r="N124" s="320"/>
      <c r="O124" s="320"/>
      <c r="P124" s="320"/>
      <c r="Q124" s="320"/>
      <c r="R124" s="320"/>
      <c r="S124" s="320"/>
      <c r="T124" s="320"/>
      <c r="U124" s="320"/>
      <c r="V124" s="320"/>
      <c r="W124" s="320"/>
      <c r="X124" s="320"/>
      <c r="Y124" s="320"/>
      <c r="Z124" s="320"/>
    </row>
    <row r="125">
      <c r="A125" s="320"/>
      <c r="B125" s="320"/>
      <c r="C125" s="320"/>
      <c r="D125" s="320"/>
      <c r="E125" s="320"/>
      <c r="F125" s="320"/>
      <c r="G125" s="320"/>
      <c r="H125" s="320"/>
      <c r="I125" s="320"/>
      <c r="J125" s="320"/>
      <c r="K125" s="320"/>
      <c r="L125" s="320"/>
      <c r="M125" s="320"/>
      <c r="N125" s="320"/>
      <c r="O125" s="320"/>
      <c r="P125" s="320"/>
      <c r="Q125" s="320"/>
      <c r="R125" s="320"/>
      <c r="S125" s="320"/>
      <c r="T125" s="320"/>
      <c r="U125" s="320"/>
      <c r="V125" s="320"/>
      <c r="W125" s="320"/>
      <c r="X125" s="320"/>
      <c r="Y125" s="320"/>
      <c r="Z125" s="320"/>
    </row>
    <row r="126">
      <c r="A126" s="320"/>
      <c r="B126" s="320"/>
      <c r="C126" s="320"/>
      <c r="D126" s="320"/>
      <c r="E126" s="320"/>
      <c r="F126" s="320"/>
      <c r="G126" s="320"/>
      <c r="H126" s="320"/>
      <c r="I126" s="320"/>
      <c r="J126" s="320"/>
      <c r="K126" s="320"/>
      <c r="L126" s="320"/>
      <c r="M126" s="320"/>
      <c r="N126" s="320"/>
      <c r="O126" s="320"/>
      <c r="P126" s="320"/>
      <c r="Q126" s="320"/>
      <c r="R126" s="320"/>
      <c r="S126" s="320"/>
      <c r="T126" s="320"/>
      <c r="U126" s="320"/>
      <c r="V126" s="320"/>
      <c r="W126" s="320"/>
      <c r="X126" s="320"/>
      <c r="Y126" s="320"/>
      <c r="Z126" s="320"/>
    </row>
    <row r="127">
      <c r="A127" s="320"/>
      <c r="B127" s="320"/>
      <c r="C127" s="320"/>
      <c r="D127" s="320"/>
      <c r="E127" s="320"/>
      <c r="F127" s="320"/>
      <c r="G127" s="320"/>
      <c r="H127" s="320"/>
      <c r="I127" s="320"/>
      <c r="J127" s="320"/>
      <c r="K127" s="320"/>
      <c r="L127" s="320"/>
      <c r="M127" s="320"/>
      <c r="N127" s="320"/>
      <c r="O127" s="320"/>
      <c r="P127" s="320"/>
      <c r="Q127" s="320"/>
      <c r="R127" s="320"/>
      <c r="S127" s="320"/>
      <c r="T127" s="320"/>
      <c r="U127" s="320"/>
      <c r="V127" s="320"/>
      <c r="W127" s="320"/>
      <c r="X127" s="320"/>
      <c r="Y127" s="320"/>
      <c r="Z127" s="320"/>
    </row>
    <row r="128">
      <c r="A128" s="320"/>
      <c r="B128" s="320"/>
      <c r="C128" s="320"/>
      <c r="D128" s="320"/>
      <c r="E128" s="320"/>
      <c r="F128" s="320"/>
      <c r="G128" s="320"/>
      <c r="H128" s="320"/>
      <c r="I128" s="320"/>
      <c r="J128" s="320"/>
      <c r="K128" s="320"/>
      <c r="L128" s="320"/>
      <c r="M128" s="320"/>
      <c r="N128" s="320"/>
      <c r="O128" s="320"/>
      <c r="P128" s="320"/>
      <c r="Q128" s="320"/>
      <c r="R128" s="320"/>
      <c r="S128" s="320"/>
      <c r="T128" s="320"/>
      <c r="U128" s="320"/>
      <c r="V128" s="320"/>
      <c r="W128" s="320"/>
      <c r="X128" s="320"/>
      <c r="Y128" s="320"/>
      <c r="Z128" s="320"/>
    </row>
    <row r="129">
      <c r="A129" s="320"/>
      <c r="B129" s="320"/>
      <c r="C129" s="320"/>
      <c r="D129" s="320"/>
      <c r="E129" s="320"/>
      <c r="F129" s="320"/>
      <c r="G129" s="320"/>
      <c r="H129" s="320"/>
      <c r="I129" s="320"/>
      <c r="J129" s="320"/>
      <c r="K129" s="320"/>
      <c r="L129" s="320"/>
      <c r="M129" s="320"/>
      <c r="N129" s="320"/>
      <c r="O129" s="320"/>
      <c r="P129" s="320"/>
      <c r="Q129" s="320"/>
      <c r="R129" s="320"/>
      <c r="S129" s="320"/>
      <c r="T129" s="320"/>
      <c r="U129" s="320"/>
      <c r="V129" s="320"/>
      <c r="W129" s="320"/>
      <c r="X129" s="320"/>
      <c r="Y129" s="320"/>
      <c r="Z129" s="320"/>
    </row>
    <row r="130">
      <c r="A130" s="320"/>
      <c r="B130" s="320"/>
      <c r="C130" s="320"/>
      <c r="D130" s="320"/>
      <c r="E130" s="320"/>
      <c r="F130" s="320"/>
      <c r="G130" s="320"/>
      <c r="H130" s="320"/>
      <c r="I130" s="320"/>
      <c r="J130" s="320"/>
      <c r="K130" s="320"/>
      <c r="L130" s="320"/>
      <c r="M130" s="320"/>
      <c r="N130" s="320"/>
      <c r="O130" s="320"/>
      <c r="P130" s="320"/>
      <c r="Q130" s="320"/>
      <c r="R130" s="320"/>
      <c r="S130" s="320"/>
      <c r="T130" s="320"/>
      <c r="U130" s="320"/>
      <c r="V130" s="320"/>
      <c r="W130" s="320"/>
      <c r="X130" s="320"/>
      <c r="Y130" s="320"/>
      <c r="Z130" s="320"/>
    </row>
    <row r="131">
      <c r="A131" s="320"/>
      <c r="B131" s="320"/>
      <c r="C131" s="320"/>
      <c r="D131" s="320"/>
      <c r="E131" s="320"/>
      <c r="F131" s="320"/>
      <c r="G131" s="320"/>
      <c r="H131" s="320"/>
      <c r="I131" s="320"/>
      <c r="J131" s="320"/>
      <c r="K131" s="320"/>
      <c r="L131" s="320"/>
      <c r="M131" s="320"/>
      <c r="N131" s="320"/>
      <c r="O131" s="320"/>
      <c r="P131" s="320"/>
      <c r="Q131" s="320"/>
      <c r="R131" s="320"/>
      <c r="S131" s="320"/>
      <c r="T131" s="320"/>
      <c r="U131" s="320"/>
      <c r="V131" s="320"/>
      <c r="W131" s="320"/>
      <c r="X131" s="320"/>
      <c r="Y131" s="320"/>
      <c r="Z131" s="320"/>
    </row>
    <row r="132">
      <c r="A132" s="320"/>
      <c r="B132" s="320"/>
      <c r="C132" s="320"/>
      <c r="D132" s="320"/>
      <c r="E132" s="320"/>
      <c r="F132" s="320"/>
      <c r="G132" s="320"/>
      <c r="H132" s="320"/>
      <c r="I132" s="320"/>
      <c r="J132" s="320"/>
      <c r="K132" s="320"/>
      <c r="L132" s="320"/>
      <c r="M132" s="320"/>
      <c r="N132" s="320"/>
      <c r="O132" s="320"/>
      <c r="P132" s="320"/>
      <c r="Q132" s="320"/>
      <c r="R132" s="320"/>
      <c r="S132" s="320"/>
      <c r="T132" s="320"/>
      <c r="U132" s="320"/>
      <c r="V132" s="320"/>
      <c r="W132" s="320"/>
      <c r="X132" s="320"/>
      <c r="Y132" s="320"/>
      <c r="Z132" s="320"/>
    </row>
    <row r="133">
      <c r="A133" s="320"/>
      <c r="B133" s="320"/>
      <c r="C133" s="320"/>
      <c r="D133" s="320"/>
      <c r="E133" s="320"/>
      <c r="F133" s="320"/>
      <c r="G133" s="320"/>
      <c r="H133" s="320"/>
      <c r="I133" s="320"/>
      <c r="J133" s="320"/>
      <c r="K133" s="320"/>
      <c r="L133" s="320"/>
      <c r="M133" s="320"/>
      <c r="N133" s="320"/>
      <c r="O133" s="320"/>
      <c r="P133" s="320"/>
      <c r="Q133" s="320"/>
      <c r="R133" s="320"/>
      <c r="S133" s="320"/>
      <c r="T133" s="320"/>
      <c r="U133" s="320"/>
      <c r="V133" s="320"/>
      <c r="W133" s="320"/>
      <c r="X133" s="320"/>
      <c r="Y133" s="320"/>
      <c r="Z133" s="320"/>
    </row>
    <row r="134">
      <c r="A134" s="320"/>
      <c r="B134" s="320"/>
      <c r="C134" s="320"/>
      <c r="D134" s="320"/>
      <c r="E134" s="320"/>
      <c r="F134" s="320"/>
      <c r="G134" s="320"/>
      <c r="H134" s="320"/>
      <c r="I134" s="320"/>
      <c r="J134" s="320"/>
      <c r="K134" s="320"/>
      <c r="L134" s="320"/>
      <c r="M134" s="320"/>
      <c r="N134" s="320"/>
      <c r="O134" s="320"/>
      <c r="P134" s="320"/>
      <c r="Q134" s="320"/>
      <c r="R134" s="320"/>
      <c r="S134" s="320"/>
      <c r="T134" s="320"/>
      <c r="U134" s="320"/>
      <c r="V134" s="320"/>
      <c r="W134" s="320"/>
      <c r="X134" s="320"/>
      <c r="Y134" s="320"/>
      <c r="Z134" s="320"/>
    </row>
    <row r="135">
      <c r="A135" s="320"/>
      <c r="B135" s="320"/>
      <c r="C135" s="320"/>
      <c r="D135" s="320"/>
      <c r="E135" s="320"/>
      <c r="F135" s="320"/>
      <c r="G135" s="320"/>
      <c r="H135" s="320"/>
      <c r="I135" s="320"/>
      <c r="J135" s="320"/>
      <c r="K135" s="320"/>
      <c r="L135" s="320"/>
      <c r="M135" s="320"/>
      <c r="N135" s="320"/>
      <c r="O135" s="320"/>
      <c r="P135" s="320"/>
      <c r="Q135" s="320"/>
      <c r="R135" s="320"/>
      <c r="S135" s="320"/>
      <c r="T135" s="320"/>
      <c r="U135" s="320"/>
      <c r="V135" s="320"/>
      <c r="W135" s="320"/>
      <c r="X135" s="320"/>
      <c r="Y135" s="320"/>
      <c r="Z135" s="320"/>
    </row>
    <row r="136">
      <c r="A136" s="320"/>
      <c r="B136" s="320"/>
      <c r="C136" s="320"/>
      <c r="D136" s="320"/>
      <c r="E136" s="320"/>
      <c r="F136" s="320"/>
      <c r="G136" s="320"/>
      <c r="H136" s="320"/>
      <c r="I136" s="320"/>
      <c r="J136" s="320"/>
      <c r="K136" s="320"/>
      <c r="L136" s="320"/>
      <c r="M136" s="320"/>
      <c r="N136" s="320"/>
      <c r="O136" s="320"/>
      <c r="P136" s="320"/>
      <c r="Q136" s="320"/>
      <c r="R136" s="320"/>
      <c r="S136" s="320"/>
      <c r="T136" s="320"/>
      <c r="U136" s="320"/>
      <c r="V136" s="320"/>
      <c r="W136" s="320"/>
      <c r="X136" s="320"/>
      <c r="Y136" s="320"/>
      <c r="Z136" s="320"/>
    </row>
    <row r="137">
      <c r="A137" s="320"/>
      <c r="B137" s="320"/>
      <c r="C137" s="320"/>
      <c r="D137" s="320"/>
      <c r="E137" s="320"/>
      <c r="F137" s="320"/>
      <c r="G137" s="320"/>
      <c r="H137" s="320"/>
      <c r="I137" s="320"/>
      <c r="J137" s="320"/>
      <c r="K137" s="320"/>
      <c r="L137" s="320"/>
      <c r="M137" s="320"/>
      <c r="N137" s="320"/>
      <c r="O137" s="320"/>
      <c r="P137" s="320"/>
      <c r="Q137" s="320"/>
      <c r="R137" s="320"/>
      <c r="S137" s="320"/>
      <c r="T137" s="320"/>
      <c r="U137" s="320"/>
      <c r="V137" s="320"/>
      <c r="W137" s="320"/>
      <c r="X137" s="320"/>
      <c r="Y137" s="320"/>
      <c r="Z137" s="320"/>
    </row>
    <row r="138">
      <c r="A138" s="320"/>
      <c r="B138" s="320"/>
      <c r="C138" s="320"/>
      <c r="D138" s="320"/>
      <c r="E138" s="320"/>
      <c r="F138" s="320"/>
      <c r="G138" s="320"/>
      <c r="H138" s="320"/>
      <c r="I138" s="320"/>
      <c r="J138" s="320"/>
      <c r="K138" s="320"/>
      <c r="L138" s="320"/>
      <c r="M138" s="320"/>
      <c r="N138" s="320"/>
      <c r="O138" s="320"/>
      <c r="P138" s="320"/>
      <c r="Q138" s="320"/>
      <c r="R138" s="320"/>
      <c r="S138" s="320"/>
      <c r="T138" s="320"/>
      <c r="U138" s="320"/>
      <c r="V138" s="320"/>
      <c r="W138" s="320"/>
      <c r="X138" s="320"/>
      <c r="Y138" s="320"/>
      <c r="Z138" s="320"/>
    </row>
    <row r="139">
      <c r="A139" s="320"/>
      <c r="B139" s="320"/>
      <c r="C139" s="320"/>
      <c r="D139" s="320"/>
      <c r="E139" s="320"/>
      <c r="F139" s="320"/>
      <c r="G139" s="320"/>
      <c r="H139" s="320"/>
      <c r="I139" s="320"/>
      <c r="J139" s="320"/>
      <c r="K139" s="320"/>
      <c r="L139" s="320"/>
      <c r="M139" s="320"/>
      <c r="N139" s="320"/>
      <c r="O139" s="320"/>
      <c r="P139" s="320"/>
      <c r="Q139" s="320"/>
      <c r="R139" s="320"/>
      <c r="S139" s="320"/>
      <c r="T139" s="320"/>
      <c r="U139" s="320"/>
      <c r="V139" s="320"/>
      <c r="W139" s="320"/>
      <c r="X139" s="320"/>
      <c r="Y139" s="320"/>
      <c r="Z139" s="320"/>
    </row>
    <row r="140">
      <c r="A140" s="320"/>
      <c r="B140" s="320"/>
      <c r="C140" s="320"/>
      <c r="D140" s="320"/>
      <c r="E140" s="320"/>
      <c r="F140" s="320"/>
      <c r="G140" s="320"/>
      <c r="H140" s="320"/>
      <c r="I140" s="320"/>
      <c r="J140" s="320"/>
      <c r="K140" s="320"/>
      <c r="L140" s="320"/>
      <c r="M140" s="320"/>
      <c r="N140" s="320"/>
      <c r="O140" s="320"/>
      <c r="P140" s="320"/>
      <c r="Q140" s="320"/>
      <c r="R140" s="320"/>
      <c r="S140" s="320"/>
      <c r="T140" s="320"/>
      <c r="U140" s="320"/>
      <c r="V140" s="320"/>
      <c r="W140" s="320"/>
      <c r="X140" s="320"/>
      <c r="Y140" s="320"/>
      <c r="Z140" s="320"/>
    </row>
    <row r="141">
      <c r="A141" s="320"/>
      <c r="B141" s="320"/>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320"/>
      <c r="Z141" s="320"/>
    </row>
    <row r="142">
      <c r="A142" s="320"/>
      <c r="B142" s="320"/>
      <c r="C142" s="320"/>
      <c r="D142" s="320"/>
      <c r="E142" s="320"/>
      <c r="F142" s="320"/>
      <c r="G142" s="320"/>
      <c r="H142" s="320"/>
      <c r="I142" s="320"/>
      <c r="J142" s="320"/>
      <c r="K142" s="320"/>
      <c r="L142" s="320"/>
      <c r="M142" s="320"/>
      <c r="N142" s="320"/>
      <c r="O142" s="320"/>
      <c r="P142" s="320"/>
      <c r="Q142" s="320"/>
      <c r="R142" s="320"/>
      <c r="S142" s="320"/>
      <c r="T142" s="320"/>
      <c r="U142" s="320"/>
      <c r="V142" s="320"/>
      <c r="W142" s="320"/>
      <c r="X142" s="320"/>
      <c r="Y142" s="320"/>
      <c r="Z142" s="320"/>
    </row>
    <row r="143">
      <c r="A143" s="320"/>
      <c r="B143" s="320"/>
      <c r="C143" s="320"/>
      <c r="D143" s="320"/>
      <c r="E143" s="320"/>
      <c r="F143" s="320"/>
      <c r="G143" s="320"/>
      <c r="H143" s="320"/>
      <c r="I143" s="320"/>
      <c r="J143" s="320"/>
      <c r="K143" s="320"/>
      <c r="L143" s="320"/>
      <c r="M143" s="320"/>
      <c r="N143" s="320"/>
      <c r="O143" s="320"/>
      <c r="P143" s="320"/>
      <c r="Q143" s="320"/>
      <c r="R143" s="320"/>
      <c r="S143" s="320"/>
      <c r="T143" s="320"/>
      <c r="U143" s="320"/>
      <c r="V143" s="320"/>
      <c r="W143" s="320"/>
      <c r="X143" s="320"/>
      <c r="Y143" s="320"/>
      <c r="Z143" s="320"/>
    </row>
    <row r="144">
      <c r="A144" s="320"/>
      <c r="B144" s="320"/>
      <c r="C144" s="320"/>
      <c r="D144" s="320"/>
      <c r="E144" s="320"/>
      <c r="F144" s="320"/>
      <c r="G144" s="320"/>
      <c r="H144" s="320"/>
      <c r="I144" s="320"/>
      <c r="J144" s="320"/>
      <c r="K144" s="320"/>
      <c r="L144" s="320"/>
      <c r="M144" s="320"/>
      <c r="N144" s="320"/>
      <c r="O144" s="320"/>
      <c r="P144" s="320"/>
      <c r="Q144" s="320"/>
      <c r="R144" s="320"/>
      <c r="S144" s="320"/>
      <c r="T144" s="320"/>
      <c r="U144" s="320"/>
      <c r="V144" s="320"/>
      <c r="W144" s="320"/>
      <c r="X144" s="320"/>
      <c r="Y144" s="320"/>
      <c r="Z144" s="320"/>
    </row>
    <row r="145">
      <c r="A145" s="320"/>
      <c r="B145" s="320"/>
      <c r="C145" s="320"/>
      <c r="D145" s="320"/>
      <c r="E145" s="320"/>
      <c r="F145" s="320"/>
      <c r="G145" s="320"/>
      <c r="H145" s="320"/>
      <c r="I145" s="320"/>
      <c r="J145" s="320"/>
      <c r="K145" s="320"/>
      <c r="L145" s="320"/>
      <c r="M145" s="320"/>
      <c r="N145" s="320"/>
      <c r="O145" s="320"/>
      <c r="P145" s="320"/>
      <c r="Q145" s="320"/>
      <c r="R145" s="320"/>
      <c r="S145" s="320"/>
      <c r="T145" s="320"/>
      <c r="U145" s="320"/>
      <c r="V145" s="320"/>
      <c r="W145" s="320"/>
      <c r="X145" s="320"/>
      <c r="Y145" s="320"/>
      <c r="Z145" s="320"/>
    </row>
    <row r="146">
      <c r="A146" s="320"/>
      <c r="B146" s="320"/>
      <c r="C146" s="320"/>
      <c r="D146" s="320"/>
      <c r="E146" s="320"/>
      <c r="F146" s="320"/>
      <c r="G146" s="320"/>
      <c r="H146" s="320"/>
      <c r="I146" s="320"/>
      <c r="J146" s="320"/>
      <c r="K146" s="320"/>
      <c r="L146" s="320"/>
      <c r="M146" s="320"/>
      <c r="N146" s="320"/>
      <c r="O146" s="320"/>
      <c r="P146" s="320"/>
      <c r="Q146" s="320"/>
      <c r="R146" s="320"/>
      <c r="S146" s="320"/>
      <c r="T146" s="320"/>
      <c r="U146" s="320"/>
      <c r="V146" s="320"/>
      <c r="W146" s="320"/>
      <c r="X146" s="320"/>
      <c r="Y146" s="320"/>
      <c r="Z146" s="320"/>
    </row>
    <row r="147">
      <c r="A147" s="320"/>
      <c r="B147" s="320"/>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row>
    <row r="148">
      <c r="A148" s="320"/>
      <c r="B148" s="320"/>
      <c r="C148" s="320"/>
      <c r="D148" s="320"/>
      <c r="E148" s="320"/>
      <c r="F148" s="320"/>
      <c r="G148" s="320"/>
      <c r="H148" s="320"/>
      <c r="I148" s="320"/>
      <c r="J148" s="320"/>
      <c r="K148" s="320"/>
      <c r="L148" s="320"/>
      <c r="M148" s="320"/>
      <c r="N148" s="320"/>
      <c r="O148" s="320"/>
      <c r="P148" s="320"/>
      <c r="Q148" s="320"/>
      <c r="R148" s="320"/>
      <c r="S148" s="320"/>
      <c r="T148" s="320"/>
      <c r="U148" s="320"/>
      <c r="V148" s="320"/>
      <c r="W148" s="320"/>
      <c r="X148" s="320"/>
      <c r="Y148" s="320"/>
      <c r="Z148" s="320"/>
    </row>
    <row r="149">
      <c r="A149" s="320"/>
      <c r="B149" s="320"/>
      <c r="C149" s="320"/>
      <c r="D149" s="320"/>
      <c r="E149" s="320"/>
      <c r="F149" s="320"/>
      <c r="G149" s="320"/>
      <c r="H149" s="320"/>
      <c r="I149" s="320"/>
      <c r="J149" s="320"/>
      <c r="K149" s="320"/>
      <c r="L149" s="320"/>
      <c r="M149" s="320"/>
      <c r="N149" s="320"/>
      <c r="O149" s="320"/>
      <c r="P149" s="320"/>
      <c r="Q149" s="320"/>
      <c r="R149" s="320"/>
      <c r="S149" s="320"/>
      <c r="T149" s="320"/>
      <c r="U149" s="320"/>
      <c r="V149" s="320"/>
      <c r="W149" s="320"/>
      <c r="X149" s="320"/>
      <c r="Y149" s="320"/>
      <c r="Z149" s="320"/>
    </row>
    <row r="150">
      <c r="A150" s="320"/>
      <c r="B150" s="320"/>
      <c r="C150" s="320"/>
      <c r="D150" s="320"/>
      <c r="E150" s="320"/>
      <c r="F150" s="320"/>
      <c r="G150" s="320"/>
      <c r="H150" s="320"/>
      <c r="I150" s="320"/>
      <c r="J150" s="320"/>
      <c r="K150" s="320"/>
      <c r="L150" s="320"/>
      <c r="M150" s="320"/>
      <c r="N150" s="320"/>
      <c r="O150" s="320"/>
      <c r="P150" s="320"/>
      <c r="Q150" s="320"/>
      <c r="R150" s="320"/>
      <c r="S150" s="320"/>
      <c r="T150" s="320"/>
      <c r="U150" s="320"/>
      <c r="V150" s="320"/>
      <c r="W150" s="320"/>
      <c r="X150" s="320"/>
      <c r="Y150" s="320"/>
      <c r="Z150" s="320"/>
    </row>
    <row r="151">
      <c r="A151" s="320"/>
      <c r="B151" s="320"/>
      <c r="C151" s="320"/>
      <c r="D151" s="320"/>
      <c r="E151" s="320"/>
      <c r="F151" s="320"/>
      <c r="G151" s="320"/>
      <c r="H151" s="320"/>
      <c r="I151" s="320"/>
      <c r="J151" s="320"/>
      <c r="K151" s="320"/>
      <c r="L151" s="320"/>
      <c r="M151" s="320"/>
      <c r="N151" s="320"/>
      <c r="O151" s="320"/>
      <c r="P151" s="320"/>
      <c r="Q151" s="320"/>
      <c r="R151" s="320"/>
      <c r="S151" s="320"/>
      <c r="T151" s="320"/>
      <c r="U151" s="320"/>
      <c r="V151" s="320"/>
      <c r="W151" s="320"/>
      <c r="X151" s="320"/>
      <c r="Y151" s="320"/>
      <c r="Z151" s="320"/>
    </row>
    <row r="152">
      <c r="A152" s="320"/>
      <c r="B152" s="320"/>
      <c r="C152" s="320"/>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320"/>
      <c r="Z152" s="320"/>
    </row>
    <row r="153">
      <c r="A153" s="320"/>
      <c r="B153" s="320"/>
      <c r="C153" s="320"/>
      <c r="D153" s="320"/>
      <c r="E153" s="320"/>
      <c r="F153" s="320"/>
      <c r="G153" s="320"/>
      <c r="H153" s="320"/>
      <c r="I153" s="320"/>
      <c r="J153" s="320"/>
      <c r="K153" s="320"/>
      <c r="L153" s="320"/>
      <c r="M153" s="320"/>
      <c r="N153" s="320"/>
      <c r="O153" s="320"/>
      <c r="P153" s="320"/>
      <c r="Q153" s="320"/>
      <c r="R153" s="320"/>
      <c r="S153" s="320"/>
      <c r="T153" s="320"/>
      <c r="U153" s="320"/>
      <c r="V153" s="320"/>
      <c r="W153" s="320"/>
      <c r="X153" s="320"/>
      <c r="Y153" s="320"/>
      <c r="Z153" s="320"/>
    </row>
    <row r="154">
      <c r="A154" s="320"/>
      <c r="B154" s="320"/>
      <c r="C154" s="320"/>
      <c r="D154" s="320"/>
      <c r="E154" s="320"/>
      <c r="F154" s="320"/>
      <c r="G154" s="320"/>
      <c r="H154" s="320"/>
      <c r="I154" s="320"/>
      <c r="J154" s="320"/>
      <c r="K154" s="320"/>
      <c r="L154" s="320"/>
      <c r="M154" s="320"/>
      <c r="N154" s="320"/>
      <c r="O154" s="320"/>
      <c r="P154" s="320"/>
      <c r="Q154" s="320"/>
      <c r="R154" s="320"/>
      <c r="S154" s="320"/>
      <c r="T154" s="320"/>
      <c r="U154" s="320"/>
      <c r="V154" s="320"/>
      <c r="W154" s="320"/>
      <c r="X154" s="320"/>
      <c r="Y154" s="320"/>
      <c r="Z154" s="320"/>
    </row>
    <row r="155">
      <c r="A155" s="320"/>
      <c r="B155" s="320"/>
      <c r="C155" s="320"/>
      <c r="D155" s="320"/>
      <c r="E155" s="320"/>
      <c r="F155" s="320"/>
      <c r="G155" s="320"/>
      <c r="H155" s="320"/>
      <c r="I155" s="320"/>
      <c r="J155" s="320"/>
      <c r="K155" s="320"/>
      <c r="L155" s="320"/>
      <c r="M155" s="320"/>
      <c r="N155" s="320"/>
      <c r="O155" s="320"/>
      <c r="P155" s="320"/>
      <c r="Q155" s="320"/>
      <c r="R155" s="320"/>
      <c r="S155" s="320"/>
      <c r="T155" s="320"/>
      <c r="U155" s="320"/>
      <c r="V155" s="320"/>
      <c r="W155" s="320"/>
      <c r="X155" s="320"/>
      <c r="Y155" s="320"/>
      <c r="Z155" s="320"/>
    </row>
    <row r="156">
      <c r="A156" s="320"/>
      <c r="B156" s="320"/>
      <c r="C156" s="320"/>
      <c r="D156" s="320"/>
      <c r="E156" s="320"/>
      <c r="F156" s="320"/>
      <c r="G156" s="320"/>
      <c r="H156" s="320"/>
      <c r="I156" s="320"/>
      <c r="J156" s="320"/>
      <c r="K156" s="320"/>
      <c r="L156" s="320"/>
      <c r="M156" s="320"/>
      <c r="N156" s="320"/>
      <c r="O156" s="320"/>
      <c r="P156" s="320"/>
      <c r="Q156" s="320"/>
      <c r="R156" s="320"/>
      <c r="S156" s="320"/>
      <c r="T156" s="320"/>
      <c r="U156" s="320"/>
      <c r="V156" s="320"/>
      <c r="W156" s="320"/>
      <c r="X156" s="320"/>
      <c r="Y156" s="320"/>
      <c r="Z156" s="320"/>
    </row>
    <row r="157">
      <c r="A157" s="320"/>
      <c r="B157" s="320"/>
      <c r="C157" s="320"/>
      <c r="D157" s="320"/>
      <c r="E157" s="320"/>
      <c r="F157" s="320"/>
      <c r="G157" s="320"/>
      <c r="H157" s="320"/>
      <c r="I157" s="320"/>
      <c r="J157" s="320"/>
      <c r="K157" s="320"/>
      <c r="L157" s="320"/>
      <c r="M157" s="320"/>
      <c r="N157" s="320"/>
      <c r="O157" s="320"/>
      <c r="P157" s="320"/>
      <c r="Q157" s="320"/>
      <c r="R157" s="320"/>
      <c r="S157" s="320"/>
      <c r="T157" s="320"/>
      <c r="U157" s="320"/>
      <c r="V157" s="320"/>
      <c r="W157" s="320"/>
      <c r="X157" s="320"/>
      <c r="Y157" s="320"/>
      <c r="Z157" s="320"/>
    </row>
    <row r="158">
      <c r="A158" s="320"/>
      <c r="B158" s="320"/>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320"/>
      <c r="Z158" s="320"/>
    </row>
    <row r="159">
      <c r="A159" s="320"/>
      <c r="B159" s="320"/>
      <c r="C159" s="320"/>
      <c r="D159" s="320"/>
      <c r="E159" s="320"/>
      <c r="F159" s="320"/>
      <c r="G159" s="320"/>
      <c r="H159" s="320"/>
      <c r="I159" s="320"/>
      <c r="J159" s="320"/>
      <c r="K159" s="320"/>
      <c r="L159" s="320"/>
      <c r="M159" s="320"/>
      <c r="N159" s="320"/>
      <c r="O159" s="320"/>
      <c r="P159" s="320"/>
      <c r="Q159" s="320"/>
      <c r="R159" s="320"/>
      <c r="S159" s="320"/>
      <c r="T159" s="320"/>
      <c r="U159" s="320"/>
      <c r="V159" s="320"/>
      <c r="W159" s="320"/>
      <c r="X159" s="320"/>
      <c r="Y159" s="320"/>
      <c r="Z159" s="320"/>
    </row>
    <row r="160">
      <c r="A160" s="320"/>
      <c r="B160" s="320"/>
      <c r="C160" s="320"/>
      <c r="D160" s="320"/>
      <c r="E160" s="320"/>
      <c r="F160" s="320"/>
      <c r="G160" s="320"/>
      <c r="H160" s="320"/>
      <c r="I160" s="320"/>
      <c r="J160" s="320"/>
      <c r="K160" s="320"/>
      <c r="L160" s="320"/>
      <c r="M160" s="320"/>
      <c r="N160" s="320"/>
      <c r="O160" s="320"/>
      <c r="P160" s="320"/>
      <c r="Q160" s="320"/>
      <c r="R160" s="320"/>
      <c r="S160" s="320"/>
      <c r="T160" s="320"/>
      <c r="U160" s="320"/>
      <c r="V160" s="320"/>
      <c r="W160" s="320"/>
      <c r="X160" s="320"/>
      <c r="Y160" s="320"/>
      <c r="Z160" s="320"/>
    </row>
    <row r="161">
      <c r="A161" s="320"/>
      <c r="B161" s="320"/>
      <c r="C161" s="320"/>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320"/>
      <c r="Z161" s="320"/>
    </row>
    <row r="162">
      <c r="A162" s="320"/>
      <c r="B162" s="320"/>
      <c r="C162" s="320"/>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320"/>
      <c r="Z162" s="320"/>
    </row>
    <row r="163">
      <c r="A163" s="320"/>
      <c r="B163" s="320"/>
      <c r="C163" s="320"/>
      <c r="D163" s="320"/>
      <c r="E163" s="320"/>
      <c r="F163" s="320"/>
      <c r="G163" s="320"/>
      <c r="H163" s="320"/>
      <c r="I163" s="320"/>
      <c r="J163" s="320"/>
      <c r="K163" s="320"/>
      <c r="L163" s="320"/>
      <c r="M163" s="320"/>
      <c r="N163" s="320"/>
      <c r="O163" s="320"/>
      <c r="P163" s="320"/>
      <c r="Q163" s="320"/>
      <c r="R163" s="320"/>
      <c r="S163" s="320"/>
      <c r="T163" s="320"/>
      <c r="U163" s="320"/>
      <c r="V163" s="320"/>
      <c r="W163" s="320"/>
      <c r="X163" s="320"/>
      <c r="Y163" s="320"/>
      <c r="Z163" s="320"/>
    </row>
    <row r="164">
      <c r="A164" s="320"/>
      <c r="B164" s="320"/>
      <c r="C164" s="320"/>
      <c r="D164" s="320"/>
      <c r="E164" s="320"/>
      <c r="F164" s="320"/>
      <c r="G164" s="320"/>
      <c r="H164" s="320"/>
      <c r="I164" s="320"/>
      <c r="J164" s="320"/>
      <c r="K164" s="320"/>
      <c r="L164" s="320"/>
      <c r="M164" s="320"/>
      <c r="N164" s="320"/>
      <c r="O164" s="320"/>
      <c r="P164" s="320"/>
      <c r="Q164" s="320"/>
      <c r="R164" s="320"/>
      <c r="S164" s="320"/>
      <c r="T164" s="320"/>
      <c r="U164" s="320"/>
      <c r="V164" s="320"/>
      <c r="W164" s="320"/>
      <c r="X164" s="320"/>
      <c r="Y164" s="320"/>
      <c r="Z164" s="320"/>
    </row>
    <row r="165">
      <c r="A165" s="320"/>
      <c r="B165" s="320"/>
      <c r="C165" s="320"/>
      <c r="D165" s="320"/>
      <c r="E165" s="320"/>
      <c r="F165" s="320"/>
      <c r="G165" s="320"/>
      <c r="H165" s="320"/>
      <c r="I165" s="320"/>
      <c r="J165" s="320"/>
      <c r="K165" s="320"/>
      <c r="L165" s="320"/>
      <c r="M165" s="320"/>
      <c r="N165" s="320"/>
      <c r="O165" s="320"/>
      <c r="P165" s="320"/>
      <c r="Q165" s="320"/>
      <c r="R165" s="320"/>
      <c r="S165" s="320"/>
      <c r="T165" s="320"/>
      <c r="U165" s="320"/>
      <c r="V165" s="320"/>
      <c r="W165" s="320"/>
      <c r="X165" s="320"/>
      <c r="Y165" s="320"/>
      <c r="Z165" s="320"/>
    </row>
    <row r="166">
      <c r="A166" s="320"/>
      <c r="B166" s="320"/>
      <c r="C166" s="320"/>
      <c r="D166" s="320"/>
      <c r="E166" s="320"/>
      <c r="F166" s="320"/>
      <c r="G166" s="320"/>
      <c r="H166" s="320"/>
      <c r="I166" s="320"/>
      <c r="J166" s="320"/>
      <c r="K166" s="320"/>
      <c r="L166" s="320"/>
      <c r="M166" s="320"/>
      <c r="N166" s="320"/>
      <c r="O166" s="320"/>
      <c r="P166" s="320"/>
      <c r="Q166" s="320"/>
      <c r="R166" s="320"/>
      <c r="S166" s="320"/>
      <c r="T166" s="320"/>
      <c r="U166" s="320"/>
      <c r="V166" s="320"/>
      <c r="W166" s="320"/>
      <c r="X166" s="320"/>
      <c r="Y166" s="320"/>
      <c r="Z166" s="320"/>
    </row>
    <row r="167">
      <c r="A167" s="320"/>
      <c r="B167" s="320"/>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320"/>
      <c r="Z167" s="320"/>
    </row>
    <row r="168">
      <c r="A168" s="320"/>
      <c r="B168" s="320"/>
      <c r="C168" s="320"/>
      <c r="D168" s="320"/>
      <c r="E168" s="320"/>
      <c r="F168" s="320"/>
      <c r="G168" s="320"/>
      <c r="H168" s="320"/>
      <c r="I168" s="320"/>
      <c r="J168" s="320"/>
      <c r="K168" s="320"/>
      <c r="L168" s="320"/>
      <c r="M168" s="320"/>
      <c r="N168" s="320"/>
      <c r="O168" s="320"/>
      <c r="P168" s="320"/>
      <c r="Q168" s="320"/>
      <c r="R168" s="320"/>
      <c r="S168" s="320"/>
      <c r="T168" s="320"/>
      <c r="U168" s="320"/>
      <c r="V168" s="320"/>
      <c r="W168" s="320"/>
      <c r="X168" s="320"/>
      <c r="Y168" s="320"/>
      <c r="Z168" s="320"/>
    </row>
    <row r="169">
      <c r="A169" s="320"/>
      <c r="B169" s="320"/>
      <c r="C169" s="320"/>
      <c r="D169" s="320"/>
      <c r="E169" s="320"/>
      <c r="F169" s="320"/>
      <c r="G169" s="320"/>
      <c r="H169" s="320"/>
      <c r="I169" s="320"/>
      <c r="J169" s="320"/>
      <c r="K169" s="320"/>
      <c r="L169" s="320"/>
      <c r="M169" s="320"/>
      <c r="N169" s="320"/>
      <c r="O169" s="320"/>
      <c r="P169" s="320"/>
      <c r="Q169" s="320"/>
      <c r="R169" s="320"/>
      <c r="S169" s="320"/>
      <c r="T169" s="320"/>
      <c r="U169" s="320"/>
      <c r="V169" s="320"/>
      <c r="W169" s="320"/>
      <c r="X169" s="320"/>
      <c r="Y169" s="320"/>
      <c r="Z169" s="320"/>
    </row>
    <row r="170">
      <c r="A170" s="320"/>
      <c r="B170" s="320"/>
      <c r="C170" s="320"/>
      <c r="D170" s="320"/>
      <c r="E170" s="320"/>
      <c r="F170" s="320"/>
      <c r="G170" s="320"/>
      <c r="H170" s="320"/>
      <c r="I170" s="320"/>
      <c r="J170" s="320"/>
      <c r="K170" s="320"/>
      <c r="L170" s="320"/>
      <c r="M170" s="320"/>
      <c r="N170" s="320"/>
      <c r="O170" s="320"/>
      <c r="P170" s="320"/>
      <c r="Q170" s="320"/>
      <c r="R170" s="320"/>
      <c r="S170" s="320"/>
      <c r="T170" s="320"/>
      <c r="U170" s="320"/>
      <c r="V170" s="320"/>
      <c r="W170" s="320"/>
      <c r="X170" s="320"/>
      <c r="Y170" s="320"/>
      <c r="Z170" s="320"/>
    </row>
    <row r="171">
      <c r="A171" s="320"/>
      <c r="B171" s="320"/>
      <c r="C171" s="320"/>
      <c r="D171" s="320"/>
      <c r="E171" s="320"/>
      <c r="F171" s="320"/>
      <c r="G171" s="320"/>
      <c r="H171" s="320"/>
      <c r="I171" s="320"/>
      <c r="J171" s="320"/>
      <c r="K171" s="320"/>
      <c r="L171" s="320"/>
      <c r="M171" s="320"/>
      <c r="N171" s="320"/>
      <c r="O171" s="320"/>
      <c r="P171" s="320"/>
      <c r="Q171" s="320"/>
      <c r="R171" s="320"/>
      <c r="S171" s="320"/>
      <c r="T171" s="320"/>
      <c r="U171" s="320"/>
      <c r="V171" s="320"/>
      <c r="W171" s="320"/>
      <c r="X171" s="320"/>
      <c r="Y171" s="320"/>
      <c r="Z171" s="320"/>
    </row>
    <row r="172">
      <c r="A172" s="320"/>
      <c r="B172" s="320"/>
      <c r="C172" s="320"/>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320"/>
      <c r="Z172" s="320"/>
    </row>
    <row r="173">
      <c r="A173" s="320"/>
      <c r="B173" s="320"/>
      <c r="C173" s="320"/>
      <c r="D173" s="320"/>
      <c r="E173" s="320"/>
      <c r="F173" s="320"/>
      <c r="G173" s="320"/>
      <c r="H173" s="320"/>
      <c r="I173" s="320"/>
      <c r="J173" s="320"/>
      <c r="K173" s="320"/>
      <c r="L173" s="320"/>
      <c r="M173" s="320"/>
      <c r="N173" s="320"/>
      <c r="O173" s="320"/>
      <c r="P173" s="320"/>
      <c r="Q173" s="320"/>
      <c r="R173" s="320"/>
      <c r="S173" s="320"/>
      <c r="T173" s="320"/>
      <c r="U173" s="320"/>
      <c r="V173" s="320"/>
      <c r="W173" s="320"/>
      <c r="X173" s="320"/>
      <c r="Y173" s="320"/>
      <c r="Z173" s="320"/>
    </row>
    <row r="174">
      <c r="A174" s="320"/>
      <c r="B174" s="320"/>
      <c r="C174" s="320"/>
      <c r="D174" s="320"/>
      <c r="E174" s="320"/>
      <c r="F174" s="320"/>
      <c r="G174" s="320"/>
      <c r="H174" s="320"/>
      <c r="I174" s="320"/>
      <c r="J174" s="320"/>
      <c r="K174" s="320"/>
      <c r="L174" s="320"/>
      <c r="M174" s="320"/>
      <c r="N174" s="320"/>
      <c r="O174" s="320"/>
      <c r="P174" s="320"/>
      <c r="Q174" s="320"/>
      <c r="R174" s="320"/>
      <c r="S174" s="320"/>
      <c r="T174" s="320"/>
      <c r="U174" s="320"/>
      <c r="V174" s="320"/>
      <c r="W174" s="320"/>
      <c r="X174" s="320"/>
      <c r="Y174" s="320"/>
      <c r="Z174" s="320"/>
    </row>
    <row r="175">
      <c r="A175" s="320"/>
      <c r="B175" s="320"/>
      <c r="C175" s="320"/>
      <c r="D175" s="320"/>
      <c r="E175" s="320"/>
      <c r="F175" s="320"/>
      <c r="G175" s="320"/>
      <c r="H175" s="320"/>
      <c r="I175" s="320"/>
      <c r="J175" s="320"/>
      <c r="K175" s="320"/>
      <c r="L175" s="320"/>
      <c r="M175" s="320"/>
      <c r="N175" s="320"/>
      <c r="O175" s="320"/>
      <c r="P175" s="320"/>
      <c r="Q175" s="320"/>
      <c r="R175" s="320"/>
      <c r="S175" s="320"/>
      <c r="T175" s="320"/>
      <c r="U175" s="320"/>
      <c r="V175" s="320"/>
      <c r="W175" s="320"/>
      <c r="X175" s="320"/>
      <c r="Y175" s="320"/>
      <c r="Z175" s="320"/>
    </row>
    <row r="176">
      <c r="A176" s="320"/>
      <c r="B176" s="320"/>
      <c r="C176" s="320"/>
      <c r="D176" s="320"/>
      <c r="E176" s="320"/>
      <c r="F176" s="320"/>
      <c r="G176" s="320"/>
      <c r="H176" s="320"/>
      <c r="I176" s="320"/>
      <c r="J176" s="320"/>
      <c r="K176" s="320"/>
      <c r="L176" s="320"/>
      <c r="M176" s="320"/>
      <c r="N176" s="320"/>
      <c r="O176" s="320"/>
      <c r="P176" s="320"/>
      <c r="Q176" s="320"/>
      <c r="R176" s="320"/>
      <c r="S176" s="320"/>
      <c r="T176" s="320"/>
      <c r="U176" s="320"/>
      <c r="V176" s="320"/>
      <c r="W176" s="320"/>
      <c r="X176" s="320"/>
      <c r="Y176" s="320"/>
      <c r="Z176" s="320"/>
    </row>
    <row r="177">
      <c r="A177" s="320"/>
      <c r="B177" s="320"/>
      <c r="C177" s="320"/>
      <c r="D177" s="320"/>
      <c r="E177" s="320"/>
      <c r="F177" s="320"/>
      <c r="G177" s="320"/>
      <c r="H177" s="320"/>
      <c r="I177" s="320"/>
      <c r="J177" s="320"/>
      <c r="K177" s="320"/>
      <c r="L177" s="320"/>
      <c r="M177" s="320"/>
      <c r="N177" s="320"/>
      <c r="O177" s="320"/>
      <c r="P177" s="320"/>
      <c r="Q177" s="320"/>
      <c r="R177" s="320"/>
      <c r="S177" s="320"/>
      <c r="T177" s="320"/>
      <c r="U177" s="320"/>
      <c r="V177" s="320"/>
      <c r="W177" s="320"/>
      <c r="X177" s="320"/>
      <c r="Y177" s="320"/>
      <c r="Z177" s="320"/>
    </row>
    <row r="178">
      <c r="A178" s="320"/>
      <c r="B178" s="320"/>
      <c r="C178" s="320"/>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row>
    <row r="179">
      <c r="A179" s="320"/>
      <c r="B179" s="320"/>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row>
    <row r="180">
      <c r="A180" s="320"/>
      <c r="B180" s="320"/>
      <c r="C180" s="320"/>
      <c r="D180" s="320"/>
      <c r="E180" s="320"/>
      <c r="F180" s="320"/>
      <c r="G180" s="320"/>
      <c r="H180" s="320"/>
      <c r="I180" s="320"/>
      <c r="J180" s="320"/>
      <c r="K180" s="320"/>
      <c r="L180" s="320"/>
      <c r="M180" s="320"/>
      <c r="N180" s="320"/>
      <c r="O180" s="320"/>
      <c r="P180" s="320"/>
      <c r="Q180" s="320"/>
      <c r="R180" s="320"/>
      <c r="S180" s="320"/>
      <c r="T180" s="320"/>
      <c r="U180" s="320"/>
      <c r="V180" s="320"/>
      <c r="W180" s="320"/>
      <c r="X180" s="320"/>
      <c r="Y180" s="320"/>
      <c r="Z180" s="320"/>
    </row>
    <row r="181">
      <c r="A181" s="320"/>
      <c r="B181" s="320"/>
      <c r="C181" s="320"/>
      <c r="D181" s="320"/>
      <c r="E181" s="320"/>
      <c r="F181" s="320"/>
      <c r="G181" s="320"/>
      <c r="H181" s="320"/>
      <c r="I181" s="320"/>
      <c r="J181" s="320"/>
      <c r="K181" s="320"/>
      <c r="L181" s="320"/>
      <c r="M181" s="320"/>
      <c r="N181" s="320"/>
      <c r="O181" s="320"/>
      <c r="P181" s="320"/>
      <c r="Q181" s="320"/>
      <c r="R181" s="320"/>
      <c r="S181" s="320"/>
      <c r="T181" s="320"/>
      <c r="U181" s="320"/>
      <c r="V181" s="320"/>
      <c r="W181" s="320"/>
      <c r="X181" s="320"/>
      <c r="Y181" s="320"/>
      <c r="Z181" s="320"/>
    </row>
    <row r="182">
      <c r="A182" s="320"/>
      <c r="B182" s="320"/>
      <c r="C182" s="320"/>
      <c r="D182" s="320"/>
      <c r="E182" s="320"/>
      <c r="F182" s="320"/>
      <c r="G182" s="320"/>
      <c r="H182" s="320"/>
      <c r="I182" s="320"/>
      <c r="J182" s="320"/>
      <c r="K182" s="320"/>
      <c r="L182" s="320"/>
      <c r="M182" s="320"/>
      <c r="N182" s="320"/>
      <c r="O182" s="320"/>
      <c r="P182" s="320"/>
      <c r="Q182" s="320"/>
      <c r="R182" s="320"/>
      <c r="S182" s="320"/>
      <c r="T182" s="320"/>
      <c r="U182" s="320"/>
      <c r="V182" s="320"/>
      <c r="W182" s="320"/>
      <c r="X182" s="320"/>
      <c r="Y182" s="320"/>
      <c r="Z182" s="320"/>
    </row>
    <row r="183">
      <c r="A183" s="320"/>
      <c r="B183" s="320"/>
      <c r="C183" s="320"/>
      <c r="D183" s="320"/>
      <c r="E183" s="320"/>
      <c r="F183" s="320"/>
      <c r="G183" s="320"/>
      <c r="H183" s="320"/>
      <c r="I183" s="320"/>
      <c r="J183" s="320"/>
      <c r="K183" s="320"/>
      <c r="L183" s="320"/>
      <c r="M183" s="320"/>
      <c r="N183" s="320"/>
      <c r="O183" s="320"/>
      <c r="P183" s="320"/>
      <c r="Q183" s="320"/>
      <c r="R183" s="320"/>
      <c r="S183" s="320"/>
      <c r="T183" s="320"/>
      <c r="U183" s="320"/>
      <c r="V183" s="320"/>
      <c r="W183" s="320"/>
      <c r="X183" s="320"/>
      <c r="Y183" s="320"/>
      <c r="Z183" s="320"/>
    </row>
    <row r="184">
      <c r="A184" s="320"/>
      <c r="B184" s="320"/>
      <c r="C184" s="320"/>
      <c r="D184" s="320"/>
      <c r="E184" s="320"/>
      <c r="F184" s="320"/>
      <c r="G184" s="320"/>
      <c r="H184" s="320"/>
      <c r="I184" s="320"/>
      <c r="J184" s="320"/>
      <c r="K184" s="320"/>
      <c r="L184" s="320"/>
      <c r="M184" s="320"/>
      <c r="N184" s="320"/>
      <c r="O184" s="320"/>
      <c r="P184" s="320"/>
      <c r="Q184" s="320"/>
      <c r="R184" s="320"/>
      <c r="S184" s="320"/>
      <c r="T184" s="320"/>
      <c r="U184" s="320"/>
      <c r="V184" s="320"/>
      <c r="W184" s="320"/>
      <c r="X184" s="320"/>
      <c r="Y184" s="320"/>
      <c r="Z184" s="320"/>
    </row>
    <row r="185">
      <c r="A185" s="320"/>
      <c r="B185" s="320"/>
      <c r="C185" s="320"/>
      <c r="D185" s="320"/>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row>
    <row r="186">
      <c r="A186" s="320"/>
      <c r="B186" s="320"/>
      <c r="C186" s="320"/>
      <c r="D186" s="320"/>
      <c r="E186" s="320"/>
      <c r="F186" s="320"/>
      <c r="G186" s="320"/>
      <c r="H186" s="320"/>
      <c r="I186" s="320"/>
      <c r="J186" s="320"/>
      <c r="K186" s="320"/>
      <c r="L186" s="320"/>
      <c r="M186" s="320"/>
      <c r="N186" s="320"/>
      <c r="O186" s="320"/>
      <c r="P186" s="320"/>
      <c r="Q186" s="320"/>
      <c r="R186" s="320"/>
      <c r="S186" s="320"/>
      <c r="T186" s="320"/>
      <c r="U186" s="320"/>
      <c r="V186" s="320"/>
      <c r="W186" s="320"/>
      <c r="X186" s="320"/>
      <c r="Y186" s="320"/>
      <c r="Z186" s="320"/>
    </row>
    <row r="187">
      <c r="A187" s="320"/>
      <c r="B187" s="320"/>
      <c r="C187" s="320"/>
      <c r="D187" s="320"/>
      <c r="E187" s="320"/>
      <c r="F187" s="320"/>
      <c r="G187" s="320"/>
      <c r="H187" s="320"/>
      <c r="I187" s="320"/>
      <c r="J187" s="320"/>
      <c r="K187" s="320"/>
      <c r="L187" s="320"/>
      <c r="M187" s="320"/>
      <c r="N187" s="320"/>
      <c r="O187" s="320"/>
      <c r="P187" s="320"/>
      <c r="Q187" s="320"/>
      <c r="R187" s="320"/>
      <c r="S187" s="320"/>
      <c r="T187" s="320"/>
      <c r="U187" s="320"/>
      <c r="V187" s="320"/>
      <c r="W187" s="320"/>
      <c r="X187" s="320"/>
      <c r="Y187" s="320"/>
      <c r="Z187" s="320"/>
    </row>
    <row r="188">
      <c r="A188" s="320"/>
      <c r="B188" s="320"/>
      <c r="C188" s="320"/>
      <c r="D188" s="320"/>
      <c r="E188" s="320"/>
      <c r="F188" s="320"/>
      <c r="G188" s="320"/>
      <c r="H188" s="320"/>
      <c r="I188" s="320"/>
      <c r="J188" s="320"/>
      <c r="K188" s="320"/>
      <c r="L188" s="320"/>
      <c r="M188" s="320"/>
      <c r="N188" s="320"/>
      <c r="O188" s="320"/>
      <c r="P188" s="320"/>
      <c r="Q188" s="320"/>
      <c r="R188" s="320"/>
      <c r="S188" s="320"/>
      <c r="T188" s="320"/>
      <c r="U188" s="320"/>
      <c r="V188" s="320"/>
      <c r="W188" s="320"/>
      <c r="X188" s="320"/>
      <c r="Y188" s="320"/>
      <c r="Z188" s="320"/>
    </row>
    <row r="189">
      <c r="A189" s="320"/>
      <c r="B189" s="320"/>
      <c r="C189" s="320"/>
      <c r="D189" s="320"/>
      <c r="E189" s="320"/>
      <c r="F189" s="320"/>
      <c r="G189" s="320"/>
      <c r="H189" s="320"/>
      <c r="I189" s="320"/>
      <c r="J189" s="320"/>
      <c r="K189" s="320"/>
      <c r="L189" s="320"/>
      <c r="M189" s="320"/>
      <c r="N189" s="320"/>
      <c r="O189" s="320"/>
      <c r="P189" s="320"/>
      <c r="Q189" s="320"/>
      <c r="R189" s="320"/>
      <c r="S189" s="320"/>
      <c r="T189" s="320"/>
      <c r="U189" s="320"/>
      <c r="V189" s="320"/>
      <c r="W189" s="320"/>
      <c r="X189" s="320"/>
      <c r="Y189" s="320"/>
      <c r="Z189" s="320"/>
    </row>
    <row r="190">
      <c r="A190" s="320"/>
      <c r="B190" s="320"/>
      <c r="C190" s="320"/>
      <c r="D190" s="320"/>
      <c r="E190" s="320"/>
      <c r="F190" s="320"/>
      <c r="G190" s="320"/>
      <c r="H190" s="320"/>
      <c r="I190" s="320"/>
      <c r="J190" s="320"/>
      <c r="K190" s="320"/>
      <c r="L190" s="320"/>
      <c r="M190" s="320"/>
      <c r="N190" s="320"/>
      <c r="O190" s="320"/>
      <c r="P190" s="320"/>
      <c r="Q190" s="320"/>
      <c r="R190" s="320"/>
      <c r="S190" s="320"/>
      <c r="T190" s="320"/>
      <c r="U190" s="320"/>
      <c r="V190" s="320"/>
      <c r="W190" s="320"/>
      <c r="X190" s="320"/>
      <c r="Y190" s="320"/>
      <c r="Z190" s="320"/>
    </row>
    <row r="191">
      <c r="A191" s="320"/>
      <c r="B191" s="320"/>
      <c r="C191" s="320"/>
      <c r="D191" s="320"/>
      <c r="E191" s="320"/>
      <c r="F191" s="320"/>
      <c r="G191" s="320"/>
      <c r="H191" s="320"/>
      <c r="I191" s="320"/>
      <c r="J191" s="320"/>
      <c r="K191" s="320"/>
      <c r="L191" s="320"/>
      <c r="M191" s="320"/>
      <c r="N191" s="320"/>
      <c r="O191" s="320"/>
      <c r="P191" s="320"/>
      <c r="Q191" s="320"/>
      <c r="R191" s="320"/>
      <c r="S191" s="320"/>
      <c r="T191" s="320"/>
      <c r="U191" s="320"/>
      <c r="V191" s="320"/>
      <c r="W191" s="320"/>
      <c r="X191" s="320"/>
      <c r="Y191" s="320"/>
      <c r="Z191" s="320"/>
    </row>
    <row r="192">
      <c r="A192" s="320"/>
      <c r="B192" s="320"/>
      <c r="C192" s="320"/>
      <c r="D192" s="320"/>
      <c r="E192" s="320"/>
      <c r="F192" s="320"/>
      <c r="G192" s="320"/>
      <c r="H192" s="320"/>
      <c r="I192" s="320"/>
      <c r="J192" s="320"/>
      <c r="K192" s="320"/>
      <c r="L192" s="320"/>
      <c r="M192" s="320"/>
      <c r="N192" s="320"/>
      <c r="O192" s="320"/>
      <c r="P192" s="320"/>
      <c r="Q192" s="320"/>
      <c r="R192" s="320"/>
      <c r="S192" s="320"/>
      <c r="T192" s="320"/>
      <c r="U192" s="320"/>
      <c r="V192" s="320"/>
      <c r="W192" s="320"/>
      <c r="X192" s="320"/>
      <c r="Y192" s="320"/>
      <c r="Z192" s="320"/>
    </row>
    <row r="193">
      <c r="A193" s="320"/>
      <c r="B193" s="320"/>
      <c r="C193" s="320"/>
      <c r="D193" s="320"/>
      <c r="E193" s="320"/>
      <c r="F193" s="320"/>
      <c r="G193" s="320"/>
      <c r="H193" s="320"/>
      <c r="I193" s="320"/>
      <c r="J193" s="320"/>
      <c r="K193" s="320"/>
      <c r="L193" s="320"/>
      <c r="M193" s="320"/>
      <c r="N193" s="320"/>
      <c r="O193" s="320"/>
      <c r="P193" s="320"/>
      <c r="Q193" s="320"/>
      <c r="R193" s="320"/>
      <c r="S193" s="320"/>
      <c r="T193" s="320"/>
      <c r="U193" s="320"/>
      <c r="V193" s="320"/>
      <c r="W193" s="320"/>
      <c r="X193" s="320"/>
      <c r="Y193" s="320"/>
      <c r="Z193" s="320"/>
    </row>
    <row r="194">
      <c r="A194" s="320"/>
      <c r="B194" s="320"/>
      <c r="C194" s="320"/>
      <c r="D194" s="320"/>
      <c r="E194" s="320"/>
      <c r="F194" s="320"/>
      <c r="G194" s="320"/>
      <c r="H194" s="320"/>
      <c r="I194" s="320"/>
      <c r="J194" s="320"/>
      <c r="K194" s="320"/>
      <c r="L194" s="320"/>
      <c r="M194" s="320"/>
      <c r="N194" s="320"/>
      <c r="O194" s="320"/>
      <c r="P194" s="320"/>
      <c r="Q194" s="320"/>
      <c r="R194" s="320"/>
      <c r="S194" s="320"/>
      <c r="T194" s="320"/>
      <c r="U194" s="320"/>
      <c r="V194" s="320"/>
      <c r="W194" s="320"/>
      <c r="X194" s="320"/>
      <c r="Y194" s="320"/>
      <c r="Z194" s="320"/>
    </row>
    <row r="195">
      <c r="A195" s="320"/>
      <c r="B195" s="320"/>
      <c r="C195" s="320"/>
      <c r="D195" s="320"/>
      <c r="E195" s="320"/>
      <c r="F195" s="320"/>
      <c r="G195" s="320"/>
      <c r="H195" s="320"/>
      <c r="I195" s="320"/>
      <c r="J195" s="320"/>
      <c r="K195" s="320"/>
      <c r="L195" s="320"/>
      <c r="M195" s="320"/>
      <c r="N195" s="320"/>
      <c r="O195" s="320"/>
      <c r="P195" s="320"/>
      <c r="Q195" s="320"/>
      <c r="R195" s="320"/>
      <c r="S195" s="320"/>
      <c r="T195" s="320"/>
      <c r="U195" s="320"/>
      <c r="V195" s="320"/>
      <c r="W195" s="320"/>
      <c r="X195" s="320"/>
      <c r="Y195" s="320"/>
      <c r="Z195" s="320"/>
    </row>
    <row r="196">
      <c r="A196" s="320"/>
      <c r="B196" s="320"/>
      <c r="C196" s="320"/>
      <c r="D196" s="320"/>
      <c r="E196" s="320"/>
      <c r="F196" s="320"/>
      <c r="G196" s="320"/>
      <c r="H196" s="320"/>
      <c r="I196" s="320"/>
      <c r="J196" s="320"/>
      <c r="K196" s="320"/>
      <c r="L196" s="320"/>
      <c r="M196" s="320"/>
      <c r="N196" s="320"/>
      <c r="O196" s="320"/>
      <c r="P196" s="320"/>
      <c r="Q196" s="320"/>
      <c r="R196" s="320"/>
      <c r="S196" s="320"/>
      <c r="T196" s="320"/>
      <c r="U196" s="320"/>
      <c r="V196" s="320"/>
      <c r="W196" s="320"/>
      <c r="X196" s="320"/>
      <c r="Y196" s="320"/>
      <c r="Z196" s="320"/>
    </row>
    <row r="197">
      <c r="A197" s="320"/>
      <c r="B197" s="320"/>
      <c r="C197" s="320"/>
      <c r="D197" s="320"/>
      <c r="E197" s="320"/>
      <c r="F197" s="320"/>
      <c r="G197" s="320"/>
      <c r="H197" s="320"/>
      <c r="I197" s="320"/>
      <c r="J197" s="320"/>
      <c r="K197" s="320"/>
      <c r="L197" s="320"/>
      <c r="M197" s="320"/>
      <c r="N197" s="320"/>
      <c r="O197" s="320"/>
      <c r="P197" s="320"/>
      <c r="Q197" s="320"/>
      <c r="R197" s="320"/>
      <c r="S197" s="320"/>
      <c r="T197" s="320"/>
      <c r="U197" s="320"/>
      <c r="V197" s="320"/>
      <c r="W197" s="320"/>
      <c r="X197" s="320"/>
      <c r="Y197" s="320"/>
      <c r="Z197" s="320"/>
    </row>
    <row r="198">
      <c r="A198" s="320"/>
      <c r="B198" s="320"/>
      <c r="C198" s="320"/>
      <c r="D198" s="320"/>
      <c r="E198" s="320"/>
      <c r="F198" s="320"/>
      <c r="G198" s="320"/>
      <c r="H198" s="320"/>
      <c r="I198" s="320"/>
      <c r="J198" s="320"/>
      <c r="K198" s="320"/>
      <c r="L198" s="320"/>
      <c r="M198" s="320"/>
      <c r="N198" s="320"/>
      <c r="O198" s="320"/>
      <c r="P198" s="320"/>
      <c r="Q198" s="320"/>
      <c r="R198" s="320"/>
      <c r="S198" s="320"/>
      <c r="T198" s="320"/>
      <c r="U198" s="320"/>
      <c r="V198" s="320"/>
      <c r="W198" s="320"/>
      <c r="X198" s="320"/>
      <c r="Y198" s="320"/>
      <c r="Z198" s="320"/>
    </row>
    <row r="199">
      <c r="A199" s="320"/>
      <c r="B199" s="320"/>
      <c r="C199" s="320"/>
      <c r="D199" s="320"/>
      <c r="E199" s="320"/>
      <c r="F199" s="320"/>
      <c r="G199" s="320"/>
      <c r="H199" s="320"/>
      <c r="I199" s="320"/>
      <c r="J199" s="320"/>
      <c r="K199" s="320"/>
      <c r="L199" s="320"/>
      <c r="M199" s="320"/>
      <c r="N199" s="320"/>
      <c r="O199" s="320"/>
      <c r="P199" s="320"/>
      <c r="Q199" s="320"/>
      <c r="R199" s="320"/>
      <c r="S199" s="320"/>
      <c r="T199" s="320"/>
      <c r="U199" s="320"/>
      <c r="V199" s="320"/>
      <c r="W199" s="320"/>
      <c r="X199" s="320"/>
      <c r="Y199" s="320"/>
      <c r="Z199" s="320"/>
    </row>
    <row r="200">
      <c r="A200" s="320"/>
      <c r="B200" s="320"/>
      <c r="C200" s="320"/>
      <c r="D200" s="320"/>
      <c r="E200" s="320"/>
      <c r="F200" s="320"/>
      <c r="G200" s="320"/>
      <c r="H200" s="320"/>
      <c r="I200" s="320"/>
      <c r="J200" s="320"/>
      <c r="K200" s="320"/>
      <c r="L200" s="320"/>
      <c r="M200" s="320"/>
      <c r="N200" s="320"/>
      <c r="O200" s="320"/>
      <c r="P200" s="320"/>
      <c r="Q200" s="320"/>
      <c r="R200" s="320"/>
      <c r="S200" s="320"/>
      <c r="T200" s="320"/>
      <c r="U200" s="320"/>
      <c r="V200" s="320"/>
      <c r="W200" s="320"/>
      <c r="X200" s="320"/>
      <c r="Y200" s="320"/>
      <c r="Z200" s="320"/>
    </row>
    <row r="201">
      <c r="A201" s="320"/>
      <c r="B201" s="320"/>
      <c r="C201" s="320"/>
      <c r="D201" s="320"/>
      <c r="E201" s="320"/>
      <c r="F201" s="320"/>
      <c r="G201" s="320"/>
      <c r="H201" s="320"/>
      <c r="I201" s="320"/>
      <c r="J201" s="320"/>
      <c r="K201" s="320"/>
      <c r="L201" s="320"/>
      <c r="M201" s="320"/>
      <c r="N201" s="320"/>
      <c r="O201" s="320"/>
      <c r="P201" s="320"/>
      <c r="Q201" s="320"/>
      <c r="R201" s="320"/>
      <c r="S201" s="320"/>
      <c r="T201" s="320"/>
      <c r="U201" s="320"/>
      <c r="V201" s="320"/>
      <c r="W201" s="320"/>
      <c r="X201" s="320"/>
      <c r="Y201" s="320"/>
      <c r="Z201" s="320"/>
    </row>
    <row r="202">
      <c r="A202" s="320"/>
      <c r="B202" s="320"/>
      <c r="C202" s="320"/>
      <c r="D202" s="320"/>
      <c r="E202" s="320"/>
      <c r="F202" s="320"/>
      <c r="G202" s="320"/>
      <c r="H202" s="320"/>
      <c r="I202" s="320"/>
      <c r="J202" s="320"/>
      <c r="K202" s="320"/>
      <c r="L202" s="320"/>
      <c r="M202" s="320"/>
      <c r="N202" s="320"/>
      <c r="O202" s="320"/>
      <c r="P202" s="320"/>
      <c r="Q202" s="320"/>
      <c r="R202" s="320"/>
      <c r="S202" s="320"/>
      <c r="T202" s="320"/>
      <c r="U202" s="320"/>
      <c r="V202" s="320"/>
      <c r="W202" s="320"/>
      <c r="X202" s="320"/>
      <c r="Y202" s="320"/>
      <c r="Z202" s="320"/>
    </row>
    <row r="203">
      <c r="A203" s="320"/>
      <c r="B203" s="320"/>
      <c r="C203" s="320"/>
      <c r="D203" s="320"/>
      <c r="E203" s="320"/>
      <c r="F203" s="320"/>
      <c r="G203" s="320"/>
      <c r="H203" s="320"/>
      <c r="I203" s="320"/>
      <c r="J203" s="320"/>
      <c r="K203" s="320"/>
      <c r="L203" s="320"/>
      <c r="M203" s="320"/>
      <c r="N203" s="320"/>
      <c r="O203" s="320"/>
      <c r="P203" s="320"/>
      <c r="Q203" s="320"/>
      <c r="R203" s="320"/>
      <c r="S203" s="320"/>
      <c r="T203" s="320"/>
      <c r="U203" s="320"/>
      <c r="V203" s="320"/>
      <c r="W203" s="320"/>
      <c r="X203" s="320"/>
      <c r="Y203" s="320"/>
      <c r="Z203" s="320"/>
    </row>
    <row r="204">
      <c r="A204" s="320"/>
      <c r="B204" s="320"/>
      <c r="C204" s="320"/>
      <c r="D204" s="320"/>
      <c r="E204" s="320"/>
      <c r="F204" s="320"/>
      <c r="G204" s="320"/>
      <c r="H204" s="320"/>
      <c r="I204" s="320"/>
      <c r="J204" s="320"/>
      <c r="K204" s="320"/>
      <c r="L204" s="320"/>
      <c r="M204" s="320"/>
      <c r="N204" s="320"/>
      <c r="O204" s="320"/>
      <c r="P204" s="320"/>
      <c r="Q204" s="320"/>
      <c r="R204" s="320"/>
      <c r="S204" s="320"/>
      <c r="T204" s="320"/>
      <c r="U204" s="320"/>
      <c r="V204" s="320"/>
      <c r="W204" s="320"/>
      <c r="X204" s="320"/>
      <c r="Y204" s="320"/>
      <c r="Z204" s="320"/>
    </row>
    <row r="205">
      <c r="A205" s="320"/>
      <c r="B205" s="320"/>
      <c r="C205" s="320"/>
      <c r="D205" s="320"/>
      <c r="E205" s="320"/>
      <c r="F205" s="320"/>
      <c r="G205" s="320"/>
      <c r="H205" s="320"/>
      <c r="I205" s="320"/>
      <c r="J205" s="320"/>
      <c r="K205" s="320"/>
      <c r="L205" s="320"/>
      <c r="M205" s="320"/>
      <c r="N205" s="320"/>
      <c r="O205" s="320"/>
      <c r="P205" s="320"/>
      <c r="Q205" s="320"/>
      <c r="R205" s="320"/>
      <c r="S205" s="320"/>
      <c r="T205" s="320"/>
      <c r="U205" s="320"/>
      <c r="V205" s="320"/>
      <c r="W205" s="320"/>
      <c r="X205" s="320"/>
      <c r="Y205" s="320"/>
      <c r="Z205" s="320"/>
    </row>
    <row r="206">
      <c r="A206" s="320"/>
      <c r="B206" s="320"/>
      <c r="C206" s="320"/>
      <c r="D206" s="320"/>
      <c r="E206" s="320"/>
      <c r="F206" s="320"/>
      <c r="G206" s="320"/>
      <c r="H206" s="320"/>
      <c r="I206" s="320"/>
      <c r="J206" s="320"/>
      <c r="K206" s="320"/>
      <c r="L206" s="320"/>
      <c r="M206" s="320"/>
      <c r="N206" s="320"/>
      <c r="O206" s="320"/>
      <c r="P206" s="320"/>
      <c r="Q206" s="320"/>
      <c r="R206" s="320"/>
      <c r="S206" s="320"/>
      <c r="T206" s="320"/>
      <c r="U206" s="320"/>
      <c r="V206" s="320"/>
      <c r="W206" s="320"/>
      <c r="X206" s="320"/>
      <c r="Y206" s="320"/>
      <c r="Z206" s="320"/>
    </row>
    <row r="207">
      <c r="A207" s="320"/>
      <c r="B207" s="320"/>
      <c r="C207" s="320"/>
      <c r="D207" s="320"/>
      <c r="E207" s="320"/>
      <c r="F207" s="320"/>
      <c r="G207" s="320"/>
      <c r="H207" s="320"/>
      <c r="I207" s="320"/>
      <c r="J207" s="320"/>
      <c r="K207" s="320"/>
      <c r="L207" s="320"/>
      <c r="M207" s="320"/>
      <c r="N207" s="320"/>
      <c r="O207" s="320"/>
      <c r="P207" s="320"/>
      <c r="Q207" s="320"/>
      <c r="R207" s="320"/>
      <c r="S207" s="320"/>
      <c r="T207" s="320"/>
      <c r="U207" s="320"/>
      <c r="V207" s="320"/>
      <c r="W207" s="320"/>
      <c r="X207" s="320"/>
      <c r="Y207" s="320"/>
      <c r="Z207" s="320"/>
    </row>
    <row r="208">
      <c r="A208" s="320"/>
      <c r="B208" s="320"/>
      <c r="C208" s="320"/>
      <c r="D208" s="320"/>
      <c r="E208" s="320"/>
      <c r="F208" s="320"/>
      <c r="G208" s="320"/>
      <c r="H208" s="320"/>
      <c r="I208" s="320"/>
      <c r="J208" s="320"/>
      <c r="K208" s="320"/>
      <c r="L208" s="320"/>
      <c r="M208" s="320"/>
      <c r="N208" s="320"/>
      <c r="O208" s="320"/>
      <c r="P208" s="320"/>
      <c r="Q208" s="320"/>
      <c r="R208" s="320"/>
      <c r="S208" s="320"/>
      <c r="T208" s="320"/>
      <c r="U208" s="320"/>
      <c r="V208" s="320"/>
      <c r="W208" s="320"/>
      <c r="X208" s="320"/>
      <c r="Y208" s="320"/>
      <c r="Z208" s="320"/>
    </row>
    <row r="209">
      <c r="A209" s="320"/>
      <c r="B209" s="320"/>
      <c r="C209" s="320"/>
      <c r="D209" s="320"/>
      <c r="E209" s="320"/>
      <c r="F209" s="320"/>
      <c r="G209" s="320"/>
      <c r="H209" s="320"/>
      <c r="I209" s="320"/>
      <c r="J209" s="320"/>
      <c r="K209" s="320"/>
      <c r="L209" s="320"/>
      <c r="M209" s="320"/>
      <c r="N209" s="320"/>
      <c r="O209" s="320"/>
      <c r="P209" s="320"/>
      <c r="Q209" s="320"/>
      <c r="R209" s="320"/>
      <c r="S209" s="320"/>
      <c r="T209" s="320"/>
      <c r="U209" s="320"/>
      <c r="V209" s="320"/>
      <c r="W209" s="320"/>
      <c r="X209" s="320"/>
      <c r="Y209" s="320"/>
      <c r="Z209" s="320"/>
    </row>
    <row r="210">
      <c r="A210" s="320"/>
      <c r="B210" s="320"/>
      <c r="C210" s="320"/>
      <c r="D210" s="320"/>
      <c r="E210" s="320"/>
      <c r="F210" s="320"/>
      <c r="G210" s="320"/>
      <c r="H210" s="320"/>
      <c r="I210" s="320"/>
      <c r="J210" s="320"/>
      <c r="K210" s="320"/>
      <c r="L210" s="320"/>
      <c r="M210" s="320"/>
      <c r="N210" s="320"/>
      <c r="O210" s="320"/>
      <c r="P210" s="320"/>
      <c r="Q210" s="320"/>
      <c r="R210" s="320"/>
      <c r="S210" s="320"/>
      <c r="T210" s="320"/>
      <c r="U210" s="320"/>
      <c r="V210" s="320"/>
      <c r="W210" s="320"/>
      <c r="X210" s="320"/>
      <c r="Y210" s="320"/>
      <c r="Z210" s="320"/>
    </row>
    <row r="211">
      <c r="A211" s="320"/>
      <c r="B211" s="320"/>
      <c r="C211" s="320"/>
      <c r="D211" s="320"/>
      <c r="E211" s="320"/>
      <c r="F211" s="320"/>
      <c r="G211" s="320"/>
      <c r="H211" s="320"/>
      <c r="I211" s="320"/>
      <c r="J211" s="320"/>
      <c r="K211" s="320"/>
      <c r="L211" s="320"/>
      <c r="M211" s="320"/>
      <c r="N211" s="320"/>
      <c r="O211" s="320"/>
      <c r="P211" s="320"/>
      <c r="Q211" s="320"/>
      <c r="R211" s="320"/>
      <c r="S211" s="320"/>
      <c r="T211" s="320"/>
      <c r="U211" s="320"/>
      <c r="V211" s="320"/>
      <c r="W211" s="320"/>
      <c r="X211" s="320"/>
      <c r="Y211" s="320"/>
      <c r="Z211" s="320"/>
    </row>
    <row r="212">
      <c r="A212" s="320"/>
      <c r="B212" s="320"/>
      <c r="C212" s="320"/>
      <c r="D212" s="320"/>
      <c r="E212" s="320"/>
      <c r="F212" s="320"/>
      <c r="G212" s="320"/>
      <c r="H212" s="320"/>
      <c r="I212" s="320"/>
      <c r="J212" s="320"/>
      <c r="K212" s="320"/>
      <c r="L212" s="320"/>
      <c r="M212" s="320"/>
      <c r="N212" s="320"/>
      <c r="O212" s="320"/>
      <c r="P212" s="320"/>
      <c r="Q212" s="320"/>
      <c r="R212" s="320"/>
      <c r="S212" s="320"/>
      <c r="T212" s="320"/>
      <c r="U212" s="320"/>
      <c r="V212" s="320"/>
      <c r="W212" s="320"/>
      <c r="X212" s="320"/>
      <c r="Y212" s="320"/>
      <c r="Z212" s="320"/>
    </row>
    <row r="213">
      <c r="A213" s="320"/>
      <c r="B213" s="320"/>
      <c r="C213" s="320"/>
      <c r="D213" s="320"/>
      <c r="E213" s="320"/>
      <c r="F213" s="320"/>
      <c r="G213" s="320"/>
      <c r="H213" s="320"/>
      <c r="I213" s="320"/>
      <c r="J213" s="320"/>
      <c r="K213" s="320"/>
      <c r="L213" s="320"/>
      <c r="M213" s="320"/>
      <c r="N213" s="320"/>
      <c r="O213" s="320"/>
      <c r="P213" s="320"/>
      <c r="Q213" s="320"/>
      <c r="R213" s="320"/>
      <c r="S213" s="320"/>
      <c r="T213" s="320"/>
      <c r="U213" s="320"/>
      <c r="V213" s="320"/>
      <c r="W213" s="320"/>
      <c r="X213" s="320"/>
      <c r="Y213" s="320"/>
      <c r="Z213" s="320"/>
    </row>
    <row r="214">
      <c r="A214" s="320"/>
      <c r="B214" s="320"/>
      <c r="C214" s="320"/>
      <c r="D214" s="320"/>
      <c r="E214" s="320"/>
      <c r="F214" s="320"/>
      <c r="G214" s="320"/>
      <c r="H214" s="320"/>
      <c r="I214" s="320"/>
      <c r="J214" s="320"/>
      <c r="K214" s="320"/>
      <c r="L214" s="320"/>
      <c r="M214" s="320"/>
      <c r="N214" s="320"/>
      <c r="O214" s="320"/>
      <c r="P214" s="320"/>
      <c r="Q214" s="320"/>
      <c r="R214" s="320"/>
      <c r="S214" s="320"/>
      <c r="T214" s="320"/>
      <c r="U214" s="320"/>
      <c r="V214" s="320"/>
      <c r="W214" s="320"/>
      <c r="X214" s="320"/>
      <c r="Y214" s="320"/>
      <c r="Z214" s="320"/>
    </row>
    <row r="215">
      <c r="A215" s="320"/>
      <c r="B215" s="320"/>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row>
    <row r="216">
      <c r="A216" s="320"/>
      <c r="B216" s="320"/>
      <c r="C216" s="320"/>
      <c r="D216" s="320"/>
      <c r="E216" s="320"/>
      <c r="F216" s="320"/>
      <c r="G216" s="320"/>
      <c r="H216" s="320"/>
      <c r="I216" s="320"/>
      <c r="J216" s="320"/>
      <c r="K216" s="320"/>
      <c r="L216" s="320"/>
      <c r="M216" s="320"/>
      <c r="N216" s="320"/>
      <c r="O216" s="320"/>
      <c r="P216" s="320"/>
      <c r="Q216" s="320"/>
      <c r="R216" s="320"/>
      <c r="S216" s="320"/>
      <c r="T216" s="320"/>
      <c r="U216" s="320"/>
      <c r="V216" s="320"/>
      <c r="W216" s="320"/>
      <c r="X216" s="320"/>
      <c r="Y216" s="320"/>
      <c r="Z216" s="320"/>
    </row>
    <row r="217">
      <c r="A217" s="320"/>
      <c r="B217" s="320"/>
      <c r="C217" s="320"/>
      <c r="D217" s="320"/>
      <c r="E217" s="320"/>
      <c r="F217" s="320"/>
      <c r="G217" s="320"/>
      <c r="H217" s="320"/>
      <c r="I217" s="320"/>
      <c r="J217" s="320"/>
      <c r="K217" s="320"/>
      <c r="L217" s="320"/>
      <c r="M217" s="320"/>
      <c r="N217" s="320"/>
      <c r="O217" s="320"/>
      <c r="P217" s="320"/>
      <c r="Q217" s="320"/>
      <c r="R217" s="320"/>
      <c r="S217" s="320"/>
      <c r="T217" s="320"/>
      <c r="U217" s="320"/>
      <c r="V217" s="320"/>
      <c r="W217" s="320"/>
      <c r="X217" s="320"/>
      <c r="Y217" s="320"/>
      <c r="Z217" s="320"/>
    </row>
    <row r="218">
      <c r="A218" s="320"/>
      <c r="B218" s="320"/>
      <c r="C218" s="320"/>
      <c r="D218" s="320"/>
      <c r="E218" s="320"/>
      <c r="F218" s="320"/>
      <c r="G218" s="320"/>
      <c r="H218" s="320"/>
      <c r="I218" s="320"/>
      <c r="J218" s="320"/>
      <c r="K218" s="320"/>
      <c r="L218" s="320"/>
      <c r="M218" s="320"/>
      <c r="N218" s="320"/>
      <c r="O218" s="320"/>
      <c r="P218" s="320"/>
      <c r="Q218" s="320"/>
      <c r="R218" s="320"/>
      <c r="S218" s="320"/>
      <c r="T218" s="320"/>
      <c r="U218" s="320"/>
      <c r="V218" s="320"/>
      <c r="W218" s="320"/>
      <c r="X218" s="320"/>
      <c r="Y218" s="320"/>
      <c r="Z218" s="320"/>
    </row>
    <row r="219">
      <c r="A219" s="320"/>
      <c r="B219" s="320"/>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row>
    <row r="220">
      <c r="A220" s="320"/>
      <c r="B220" s="320"/>
      <c r="C220" s="320"/>
      <c r="D220" s="320"/>
      <c r="E220" s="320"/>
      <c r="F220" s="320"/>
      <c r="G220" s="320"/>
      <c r="H220" s="320"/>
      <c r="I220" s="320"/>
      <c r="J220" s="320"/>
      <c r="K220" s="320"/>
      <c r="L220" s="320"/>
      <c r="M220" s="320"/>
      <c r="N220" s="320"/>
      <c r="O220" s="320"/>
      <c r="P220" s="320"/>
      <c r="Q220" s="320"/>
      <c r="R220" s="320"/>
      <c r="S220" s="320"/>
      <c r="T220" s="320"/>
      <c r="U220" s="320"/>
      <c r="V220" s="320"/>
      <c r="W220" s="320"/>
      <c r="X220" s="320"/>
      <c r="Y220" s="320"/>
      <c r="Z220" s="320"/>
    </row>
    <row r="221">
      <c r="A221" s="320"/>
      <c r="B221" s="320"/>
      <c r="C221" s="320"/>
      <c r="D221" s="320"/>
      <c r="E221" s="320"/>
      <c r="F221" s="320"/>
      <c r="G221" s="320"/>
      <c r="H221" s="320"/>
      <c r="I221" s="320"/>
      <c r="J221" s="320"/>
      <c r="K221" s="320"/>
      <c r="L221" s="320"/>
      <c r="M221" s="320"/>
      <c r="N221" s="320"/>
      <c r="O221" s="320"/>
      <c r="P221" s="320"/>
      <c r="Q221" s="320"/>
      <c r="R221" s="320"/>
      <c r="S221" s="320"/>
      <c r="T221" s="320"/>
      <c r="U221" s="320"/>
      <c r="V221" s="320"/>
      <c r="W221" s="320"/>
      <c r="X221" s="320"/>
      <c r="Y221" s="320"/>
      <c r="Z221" s="320"/>
    </row>
    <row r="222">
      <c r="A222" s="320"/>
      <c r="B222" s="320"/>
      <c r="C222" s="320"/>
      <c r="D222" s="320"/>
      <c r="E222" s="320"/>
      <c r="F222" s="320"/>
      <c r="G222" s="320"/>
      <c r="H222" s="320"/>
      <c r="I222" s="320"/>
      <c r="J222" s="320"/>
      <c r="K222" s="320"/>
      <c r="L222" s="320"/>
      <c r="M222" s="320"/>
      <c r="N222" s="320"/>
      <c r="O222" s="320"/>
      <c r="P222" s="320"/>
      <c r="Q222" s="320"/>
      <c r="R222" s="320"/>
      <c r="S222" s="320"/>
      <c r="T222" s="320"/>
      <c r="U222" s="320"/>
      <c r="V222" s="320"/>
      <c r="W222" s="320"/>
      <c r="X222" s="320"/>
      <c r="Y222" s="320"/>
      <c r="Z222" s="320"/>
    </row>
    <row r="223">
      <c r="A223" s="320"/>
      <c r="B223" s="320"/>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row>
    <row r="224">
      <c r="A224" s="320"/>
      <c r="B224" s="320"/>
      <c r="C224" s="320"/>
      <c r="D224" s="320"/>
      <c r="E224" s="320"/>
      <c r="F224" s="320"/>
      <c r="G224" s="320"/>
      <c r="H224" s="320"/>
      <c r="I224" s="320"/>
      <c r="J224" s="320"/>
      <c r="K224" s="320"/>
      <c r="L224" s="320"/>
      <c r="M224" s="320"/>
      <c r="N224" s="320"/>
      <c r="O224" s="320"/>
      <c r="P224" s="320"/>
      <c r="Q224" s="320"/>
      <c r="R224" s="320"/>
      <c r="S224" s="320"/>
      <c r="T224" s="320"/>
      <c r="U224" s="320"/>
      <c r="V224" s="320"/>
      <c r="W224" s="320"/>
      <c r="X224" s="320"/>
      <c r="Y224" s="320"/>
      <c r="Z224" s="320"/>
    </row>
    <row r="225">
      <c r="A225" s="320"/>
      <c r="B225" s="320"/>
      <c r="C225" s="320"/>
      <c r="D225" s="320"/>
      <c r="E225" s="320"/>
      <c r="F225" s="320"/>
      <c r="G225" s="320"/>
      <c r="H225" s="320"/>
      <c r="I225" s="320"/>
      <c r="J225" s="320"/>
      <c r="K225" s="320"/>
      <c r="L225" s="320"/>
      <c r="M225" s="320"/>
      <c r="N225" s="320"/>
      <c r="O225" s="320"/>
      <c r="P225" s="320"/>
      <c r="Q225" s="320"/>
      <c r="R225" s="320"/>
      <c r="S225" s="320"/>
      <c r="T225" s="320"/>
      <c r="U225" s="320"/>
      <c r="V225" s="320"/>
      <c r="W225" s="320"/>
      <c r="X225" s="320"/>
      <c r="Y225" s="320"/>
      <c r="Z225" s="320"/>
    </row>
    <row r="226">
      <c r="A226" s="320"/>
      <c r="B226" s="320"/>
      <c r="C226" s="320"/>
      <c r="D226" s="320"/>
      <c r="E226" s="320"/>
      <c r="F226" s="320"/>
      <c r="G226" s="320"/>
      <c r="H226" s="320"/>
      <c r="I226" s="320"/>
      <c r="J226" s="320"/>
      <c r="K226" s="320"/>
      <c r="L226" s="320"/>
      <c r="M226" s="320"/>
      <c r="N226" s="320"/>
      <c r="O226" s="320"/>
      <c r="P226" s="320"/>
      <c r="Q226" s="320"/>
      <c r="R226" s="320"/>
      <c r="S226" s="320"/>
      <c r="T226" s="320"/>
      <c r="U226" s="320"/>
      <c r="V226" s="320"/>
      <c r="W226" s="320"/>
      <c r="X226" s="320"/>
      <c r="Y226" s="320"/>
      <c r="Z226" s="320"/>
    </row>
    <row r="227">
      <c r="A227" s="320"/>
      <c r="B227" s="320"/>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row>
    <row r="228">
      <c r="A228" s="320"/>
      <c r="B228" s="320"/>
      <c r="C228" s="320"/>
      <c r="D228" s="320"/>
      <c r="E228" s="320"/>
      <c r="F228" s="320"/>
      <c r="G228" s="320"/>
      <c r="H228" s="320"/>
      <c r="I228" s="320"/>
      <c r="J228" s="320"/>
      <c r="K228" s="320"/>
      <c r="L228" s="320"/>
      <c r="M228" s="320"/>
      <c r="N228" s="320"/>
      <c r="O228" s="320"/>
      <c r="P228" s="320"/>
      <c r="Q228" s="320"/>
      <c r="R228" s="320"/>
      <c r="S228" s="320"/>
      <c r="T228" s="320"/>
      <c r="U228" s="320"/>
      <c r="V228" s="320"/>
      <c r="W228" s="320"/>
      <c r="X228" s="320"/>
      <c r="Y228" s="320"/>
      <c r="Z228" s="320"/>
    </row>
    <row r="229">
      <c r="A229" s="320"/>
      <c r="B229" s="320"/>
      <c r="C229" s="320"/>
      <c r="D229" s="320"/>
      <c r="E229" s="320"/>
      <c r="F229" s="320"/>
      <c r="G229" s="320"/>
      <c r="H229" s="320"/>
      <c r="I229" s="320"/>
      <c r="J229" s="320"/>
      <c r="K229" s="320"/>
      <c r="L229" s="320"/>
      <c r="M229" s="320"/>
      <c r="N229" s="320"/>
      <c r="O229" s="320"/>
      <c r="P229" s="320"/>
      <c r="Q229" s="320"/>
      <c r="R229" s="320"/>
      <c r="S229" s="320"/>
      <c r="T229" s="320"/>
      <c r="U229" s="320"/>
      <c r="V229" s="320"/>
      <c r="W229" s="320"/>
      <c r="X229" s="320"/>
      <c r="Y229" s="320"/>
      <c r="Z229" s="320"/>
    </row>
    <row r="230">
      <c r="A230" s="320"/>
      <c r="B230" s="320"/>
      <c r="C230" s="320"/>
      <c r="D230" s="320"/>
      <c r="E230" s="320"/>
      <c r="F230" s="320"/>
      <c r="G230" s="320"/>
      <c r="H230" s="320"/>
      <c r="I230" s="320"/>
      <c r="J230" s="320"/>
      <c r="K230" s="320"/>
      <c r="L230" s="320"/>
      <c r="M230" s="320"/>
      <c r="N230" s="320"/>
      <c r="O230" s="320"/>
      <c r="P230" s="320"/>
      <c r="Q230" s="320"/>
      <c r="R230" s="320"/>
      <c r="S230" s="320"/>
      <c r="T230" s="320"/>
      <c r="U230" s="320"/>
      <c r="V230" s="320"/>
      <c r="W230" s="320"/>
      <c r="X230" s="320"/>
      <c r="Y230" s="320"/>
      <c r="Z230" s="320"/>
    </row>
    <row r="231">
      <c r="A231" s="320"/>
      <c r="B231" s="320"/>
      <c r="C231" s="320"/>
      <c r="D231" s="320"/>
      <c r="E231" s="320"/>
      <c r="F231" s="320"/>
      <c r="G231" s="320"/>
      <c r="H231" s="320"/>
      <c r="I231" s="320"/>
      <c r="J231" s="320"/>
      <c r="K231" s="320"/>
      <c r="L231" s="320"/>
      <c r="M231" s="320"/>
      <c r="N231" s="320"/>
      <c r="O231" s="320"/>
      <c r="P231" s="320"/>
      <c r="Q231" s="320"/>
      <c r="R231" s="320"/>
      <c r="S231" s="320"/>
      <c r="T231" s="320"/>
      <c r="U231" s="320"/>
      <c r="V231" s="320"/>
      <c r="W231" s="320"/>
      <c r="X231" s="320"/>
      <c r="Y231" s="320"/>
      <c r="Z231" s="320"/>
    </row>
    <row r="232">
      <c r="A232" s="320"/>
      <c r="B232" s="320"/>
      <c r="C232" s="320"/>
      <c r="D232" s="320"/>
      <c r="E232" s="320"/>
      <c r="F232" s="320"/>
      <c r="G232" s="320"/>
      <c r="H232" s="320"/>
      <c r="I232" s="320"/>
      <c r="J232" s="320"/>
      <c r="K232" s="320"/>
      <c r="L232" s="320"/>
      <c r="M232" s="320"/>
      <c r="N232" s="320"/>
      <c r="O232" s="320"/>
      <c r="P232" s="320"/>
      <c r="Q232" s="320"/>
      <c r="R232" s="320"/>
      <c r="S232" s="320"/>
      <c r="T232" s="320"/>
      <c r="U232" s="320"/>
      <c r="V232" s="320"/>
      <c r="W232" s="320"/>
      <c r="X232" s="320"/>
      <c r="Y232" s="320"/>
      <c r="Z232" s="320"/>
    </row>
    <row r="233">
      <c r="A233" s="320"/>
      <c r="B233" s="320"/>
      <c r="C233" s="320"/>
      <c r="D233" s="320"/>
      <c r="E233" s="320"/>
      <c r="F233" s="320"/>
      <c r="G233" s="320"/>
      <c r="H233" s="320"/>
      <c r="I233" s="320"/>
      <c r="J233" s="320"/>
      <c r="K233" s="320"/>
      <c r="L233" s="320"/>
      <c r="M233" s="320"/>
      <c r="N233" s="320"/>
      <c r="O233" s="320"/>
      <c r="P233" s="320"/>
      <c r="Q233" s="320"/>
      <c r="R233" s="320"/>
      <c r="S233" s="320"/>
      <c r="T233" s="320"/>
      <c r="U233" s="320"/>
      <c r="V233" s="320"/>
      <c r="W233" s="320"/>
      <c r="X233" s="320"/>
      <c r="Y233" s="320"/>
      <c r="Z233" s="320"/>
    </row>
    <row r="234">
      <c r="A234" s="320"/>
      <c r="B234" s="320"/>
      <c r="C234" s="320"/>
      <c r="D234" s="320"/>
      <c r="E234" s="320"/>
      <c r="F234" s="320"/>
      <c r="G234" s="320"/>
      <c r="H234" s="320"/>
      <c r="I234" s="320"/>
      <c r="J234" s="320"/>
      <c r="K234" s="320"/>
      <c r="L234" s="320"/>
      <c r="M234" s="320"/>
      <c r="N234" s="320"/>
      <c r="O234" s="320"/>
      <c r="P234" s="320"/>
      <c r="Q234" s="320"/>
      <c r="R234" s="320"/>
      <c r="S234" s="320"/>
      <c r="T234" s="320"/>
      <c r="U234" s="320"/>
      <c r="V234" s="320"/>
      <c r="W234" s="320"/>
      <c r="X234" s="320"/>
      <c r="Y234" s="320"/>
      <c r="Z234" s="320"/>
    </row>
    <row r="235">
      <c r="A235" s="320"/>
      <c r="B235" s="320"/>
      <c r="C235" s="320"/>
      <c r="D235" s="320"/>
      <c r="E235" s="320"/>
      <c r="F235" s="320"/>
      <c r="G235" s="320"/>
      <c r="H235" s="320"/>
      <c r="I235" s="320"/>
      <c r="J235" s="320"/>
      <c r="K235" s="320"/>
      <c r="L235" s="320"/>
      <c r="M235" s="320"/>
      <c r="N235" s="320"/>
      <c r="O235" s="320"/>
      <c r="P235" s="320"/>
      <c r="Q235" s="320"/>
      <c r="R235" s="320"/>
      <c r="S235" s="320"/>
      <c r="T235" s="320"/>
      <c r="U235" s="320"/>
      <c r="V235" s="320"/>
      <c r="W235" s="320"/>
      <c r="X235" s="320"/>
      <c r="Y235" s="320"/>
      <c r="Z235" s="320"/>
    </row>
    <row r="236">
      <c r="A236" s="320"/>
      <c r="B236" s="320"/>
      <c r="C236" s="320"/>
      <c r="D236" s="320"/>
      <c r="E236" s="320"/>
      <c r="F236" s="320"/>
      <c r="G236" s="320"/>
      <c r="H236" s="320"/>
      <c r="I236" s="320"/>
      <c r="J236" s="320"/>
      <c r="K236" s="320"/>
      <c r="L236" s="320"/>
      <c r="M236" s="320"/>
      <c r="N236" s="320"/>
      <c r="O236" s="320"/>
      <c r="P236" s="320"/>
      <c r="Q236" s="320"/>
      <c r="R236" s="320"/>
      <c r="S236" s="320"/>
      <c r="T236" s="320"/>
      <c r="U236" s="320"/>
      <c r="V236" s="320"/>
      <c r="W236" s="320"/>
      <c r="X236" s="320"/>
      <c r="Y236" s="320"/>
      <c r="Z236" s="320"/>
    </row>
    <row r="237">
      <c r="A237" s="320"/>
      <c r="B237" s="320"/>
      <c r="C237" s="320"/>
      <c r="D237" s="320"/>
      <c r="E237" s="320"/>
      <c r="F237" s="320"/>
      <c r="G237" s="320"/>
      <c r="H237" s="320"/>
      <c r="I237" s="320"/>
      <c r="J237" s="320"/>
      <c r="K237" s="320"/>
      <c r="L237" s="320"/>
      <c r="M237" s="320"/>
      <c r="N237" s="320"/>
      <c r="O237" s="320"/>
      <c r="P237" s="320"/>
      <c r="Q237" s="320"/>
      <c r="R237" s="320"/>
      <c r="S237" s="320"/>
      <c r="T237" s="320"/>
      <c r="U237" s="320"/>
      <c r="V237" s="320"/>
      <c r="W237" s="320"/>
      <c r="X237" s="320"/>
      <c r="Y237" s="320"/>
      <c r="Z237" s="320"/>
    </row>
    <row r="238">
      <c r="A238" s="320"/>
      <c r="B238" s="320"/>
      <c r="C238" s="320"/>
      <c r="D238" s="320"/>
      <c r="E238" s="320"/>
      <c r="F238" s="320"/>
      <c r="G238" s="320"/>
      <c r="H238" s="320"/>
      <c r="I238" s="320"/>
      <c r="J238" s="320"/>
      <c r="K238" s="320"/>
      <c r="L238" s="320"/>
      <c r="M238" s="320"/>
      <c r="N238" s="320"/>
      <c r="O238" s="320"/>
      <c r="P238" s="320"/>
      <c r="Q238" s="320"/>
      <c r="R238" s="320"/>
      <c r="S238" s="320"/>
      <c r="T238" s="320"/>
      <c r="U238" s="320"/>
      <c r="V238" s="320"/>
      <c r="W238" s="320"/>
      <c r="X238" s="320"/>
      <c r="Y238" s="320"/>
      <c r="Z238" s="320"/>
    </row>
    <row r="239">
      <c r="A239" s="320"/>
      <c r="B239" s="320"/>
      <c r="C239" s="320"/>
      <c r="D239" s="320"/>
      <c r="E239" s="320"/>
      <c r="F239" s="320"/>
      <c r="G239" s="320"/>
      <c r="H239" s="320"/>
      <c r="I239" s="320"/>
      <c r="J239" s="320"/>
      <c r="K239" s="320"/>
      <c r="L239" s="320"/>
      <c r="M239" s="320"/>
      <c r="N239" s="320"/>
      <c r="O239" s="320"/>
      <c r="P239" s="320"/>
      <c r="Q239" s="320"/>
      <c r="R239" s="320"/>
      <c r="S239" s="320"/>
      <c r="T239" s="320"/>
      <c r="U239" s="320"/>
      <c r="V239" s="320"/>
      <c r="W239" s="320"/>
      <c r="X239" s="320"/>
      <c r="Y239" s="320"/>
      <c r="Z239" s="320"/>
    </row>
    <row r="240">
      <c r="A240" s="320"/>
      <c r="B240" s="320"/>
      <c r="C240" s="320"/>
      <c r="D240" s="320"/>
      <c r="E240" s="320"/>
      <c r="F240" s="320"/>
      <c r="G240" s="320"/>
      <c r="H240" s="320"/>
      <c r="I240" s="320"/>
      <c r="J240" s="320"/>
      <c r="K240" s="320"/>
      <c r="L240" s="320"/>
      <c r="M240" s="320"/>
      <c r="N240" s="320"/>
      <c r="O240" s="320"/>
      <c r="P240" s="320"/>
      <c r="Q240" s="320"/>
      <c r="R240" s="320"/>
      <c r="S240" s="320"/>
      <c r="T240" s="320"/>
      <c r="U240" s="320"/>
      <c r="V240" s="320"/>
      <c r="W240" s="320"/>
      <c r="X240" s="320"/>
      <c r="Y240" s="320"/>
      <c r="Z240" s="320"/>
    </row>
    <row r="241">
      <c r="A241" s="320"/>
      <c r="B241" s="320"/>
      <c r="C241" s="320"/>
      <c r="D241" s="320"/>
      <c r="E241" s="320"/>
      <c r="F241" s="320"/>
      <c r="G241" s="320"/>
      <c r="H241" s="320"/>
      <c r="I241" s="320"/>
      <c r="J241" s="320"/>
      <c r="K241" s="320"/>
      <c r="L241" s="320"/>
      <c r="M241" s="320"/>
      <c r="N241" s="320"/>
      <c r="O241" s="320"/>
      <c r="P241" s="320"/>
      <c r="Q241" s="320"/>
      <c r="R241" s="320"/>
      <c r="S241" s="320"/>
      <c r="T241" s="320"/>
      <c r="U241" s="320"/>
      <c r="V241" s="320"/>
      <c r="W241" s="320"/>
      <c r="X241" s="320"/>
      <c r="Y241" s="320"/>
      <c r="Z241" s="320"/>
    </row>
    <row r="242">
      <c r="A242" s="320"/>
      <c r="B242" s="320"/>
      <c r="C242" s="320"/>
      <c r="D242" s="320"/>
      <c r="E242" s="320"/>
      <c r="F242" s="320"/>
      <c r="G242" s="320"/>
      <c r="H242" s="320"/>
      <c r="I242" s="320"/>
      <c r="J242" s="320"/>
      <c r="K242" s="320"/>
      <c r="L242" s="320"/>
      <c r="M242" s="320"/>
      <c r="N242" s="320"/>
      <c r="O242" s="320"/>
      <c r="P242" s="320"/>
      <c r="Q242" s="320"/>
      <c r="R242" s="320"/>
      <c r="S242" s="320"/>
      <c r="T242" s="320"/>
      <c r="U242" s="320"/>
      <c r="V242" s="320"/>
      <c r="W242" s="320"/>
      <c r="X242" s="320"/>
      <c r="Y242" s="320"/>
      <c r="Z242" s="320"/>
    </row>
    <row r="243">
      <c r="A243" s="320"/>
      <c r="B243" s="320"/>
      <c r="C243" s="320"/>
      <c r="D243" s="320"/>
      <c r="E243" s="320"/>
      <c r="F243" s="320"/>
      <c r="G243" s="320"/>
      <c r="H243" s="320"/>
      <c r="I243" s="320"/>
      <c r="J243" s="320"/>
      <c r="K243" s="320"/>
      <c r="L243" s="320"/>
      <c r="M243" s="320"/>
      <c r="N243" s="320"/>
      <c r="O243" s="320"/>
      <c r="P243" s="320"/>
      <c r="Q243" s="320"/>
      <c r="R243" s="320"/>
      <c r="S243" s="320"/>
      <c r="T243" s="320"/>
      <c r="U243" s="320"/>
      <c r="V243" s="320"/>
      <c r="W243" s="320"/>
      <c r="X243" s="320"/>
      <c r="Y243" s="320"/>
      <c r="Z243" s="320"/>
    </row>
    <row r="244">
      <c r="A244" s="320"/>
      <c r="B244" s="320"/>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row>
    <row r="245">
      <c r="A245" s="320"/>
      <c r="B245" s="320"/>
      <c r="C245" s="320"/>
      <c r="D245" s="320"/>
      <c r="E245" s="320"/>
      <c r="F245" s="320"/>
      <c r="G245" s="320"/>
      <c r="H245" s="320"/>
      <c r="I245" s="320"/>
      <c r="J245" s="320"/>
      <c r="K245" s="320"/>
      <c r="L245" s="320"/>
      <c r="M245" s="320"/>
      <c r="N245" s="320"/>
      <c r="O245" s="320"/>
      <c r="P245" s="320"/>
      <c r="Q245" s="320"/>
      <c r="R245" s="320"/>
      <c r="S245" s="320"/>
      <c r="T245" s="320"/>
      <c r="U245" s="320"/>
      <c r="V245" s="320"/>
      <c r="W245" s="320"/>
      <c r="X245" s="320"/>
      <c r="Y245" s="320"/>
      <c r="Z245" s="320"/>
    </row>
    <row r="246">
      <c r="A246" s="320"/>
      <c r="B246" s="320"/>
      <c r="C246" s="320"/>
      <c r="D246" s="320"/>
      <c r="E246" s="320"/>
      <c r="F246" s="320"/>
      <c r="G246" s="320"/>
      <c r="H246" s="320"/>
      <c r="I246" s="320"/>
      <c r="J246" s="320"/>
      <c r="K246" s="320"/>
      <c r="L246" s="320"/>
      <c r="M246" s="320"/>
      <c r="N246" s="320"/>
      <c r="O246" s="320"/>
      <c r="P246" s="320"/>
      <c r="Q246" s="320"/>
      <c r="R246" s="320"/>
      <c r="S246" s="320"/>
      <c r="T246" s="320"/>
      <c r="U246" s="320"/>
      <c r="V246" s="320"/>
      <c r="W246" s="320"/>
      <c r="X246" s="320"/>
      <c r="Y246" s="320"/>
      <c r="Z246" s="320"/>
    </row>
    <row r="247">
      <c r="A247" s="320"/>
      <c r="B247" s="320"/>
      <c r="C247" s="320"/>
      <c r="D247" s="320"/>
      <c r="E247" s="320"/>
      <c r="F247" s="320"/>
      <c r="G247" s="320"/>
      <c r="H247" s="320"/>
      <c r="I247" s="320"/>
      <c r="J247" s="320"/>
      <c r="K247" s="320"/>
      <c r="L247" s="320"/>
      <c r="M247" s="320"/>
      <c r="N247" s="320"/>
      <c r="O247" s="320"/>
      <c r="P247" s="320"/>
      <c r="Q247" s="320"/>
      <c r="R247" s="320"/>
      <c r="S247" s="320"/>
      <c r="T247" s="320"/>
      <c r="U247" s="320"/>
      <c r="V247" s="320"/>
      <c r="W247" s="320"/>
      <c r="X247" s="320"/>
      <c r="Y247" s="320"/>
      <c r="Z247" s="320"/>
    </row>
    <row r="248">
      <c r="A248" s="320"/>
      <c r="B248" s="320"/>
      <c r="C248" s="320"/>
      <c r="D248" s="320"/>
      <c r="E248" s="320"/>
      <c r="F248" s="320"/>
      <c r="G248" s="320"/>
      <c r="H248" s="320"/>
      <c r="I248" s="320"/>
      <c r="J248" s="320"/>
      <c r="K248" s="320"/>
      <c r="L248" s="320"/>
      <c r="M248" s="320"/>
      <c r="N248" s="320"/>
      <c r="O248" s="320"/>
      <c r="P248" s="320"/>
      <c r="Q248" s="320"/>
      <c r="R248" s="320"/>
      <c r="S248" s="320"/>
      <c r="T248" s="320"/>
      <c r="U248" s="320"/>
      <c r="V248" s="320"/>
      <c r="W248" s="320"/>
      <c r="X248" s="320"/>
      <c r="Y248" s="320"/>
      <c r="Z248" s="320"/>
    </row>
    <row r="249">
      <c r="A249" s="320"/>
      <c r="B249" s="320"/>
      <c r="C249" s="320"/>
      <c r="D249" s="320"/>
      <c r="E249" s="320"/>
      <c r="F249" s="320"/>
      <c r="G249" s="320"/>
      <c r="H249" s="320"/>
      <c r="I249" s="320"/>
      <c r="J249" s="320"/>
      <c r="K249" s="320"/>
      <c r="L249" s="320"/>
      <c r="M249" s="320"/>
      <c r="N249" s="320"/>
      <c r="O249" s="320"/>
      <c r="P249" s="320"/>
      <c r="Q249" s="320"/>
      <c r="R249" s="320"/>
      <c r="S249" s="320"/>
      <c r="T249" s="320"/>
      <c r="U249" s="320"/>
      <c r="V249" s="320"/>
      <c r="W249" s="320"/>
      <c r="X249" s="320"/>
      <c r="Y249" s="320"/>
      <c r="Z249" s="320"/>
    </row>
    <row r="250">
      <c r="A250" s="320"/>
      <c r="B250" s="320"/>
      <c r="C250" s="320"/>
      <c r="D250" s="320"/>
      <c r="E250" s="320"/>
      <c r="F250" s="320"/>
      <c r="G250" s="320"/>
      <c r="H250" s="320"/>
      <c r="I250" s="320"/>
      <c r="J250" s="320"/>
      <c r="K250" s="320"/>
      <c r="L250" s="320"/>
      <c r="M250" s="320"/>
      <c r="N250" s="320"/>
      <c r="O250" s="320"/>
      <c r="P250" s="320"/>
      <c r="Q250" s="320"/>
      <c r="R250" s="320"/>
      <c r="S250" s="320"/>
      <c r="T250" s="320"/>
      <c r="U250" s="320"/>
      <c r="V250" s="320"/>
      <c r="W250" s="320"/>
      <c r="X250" s="320"/>
      <c r="Y250" s="320"/>
      <c r="Z250" s="320"/>
    </row>
    <row r="251">
      <c r="A251" s="320"/>
      <c r="B251" s="320"/>
      <c r="C251" s="320"/>
      <c r="D251" s="320"/>
      <c r="E251" s="320"/>
      <c r="F251" s="320"/>
      <c r="G251" s="320"/>
      <c r="H251" s="320"/>
      <c r="I251" s="320"/>
      <c r="J251" s="320"/>
      <c r="K251" s="320"/>
      <c r="L251" s="320"/>
      <c r="M251" s="320"/>
      <c r="N251" s="320"/>
      <c r="O251" s="320"/>
      <c r="P251" s="320"/>
      <c r="Q251" s="320"/>
      <c r="R251" s="320"/>
      <c r="S251" s="320"/>
      <c r="T251" s="320"/>
      <c r="U251" s="320"/>
      <c r="V251" s="320"/>
      <c r="W251" s="320"/>
      <c r="X251" s="320"/>
      <c r="Y251" s="320"/>
      <c r="Z251" s="320"/>
    </row>
    <row r="252">
      <c r="A252" s="320"/>
      <c r="B252" s="320"/>
      <c r="C252" s="320"/>
      <c r="D252" s="320"/>
      <c r="E252" s="320"/>
      <c r="F252" s="320"/>
      <c r="G252" s="320"/>
      <c r="H252" s="320"/>
      <c r="I252" s="320"/>
      <c r="J252" s="320"/>
      <c r="K252" s="320"/>
      <c r="L252" s="320"/>
      <c r="M252" s="320"/>
      <c r="N252" s="320"/>
      <c r="O252" s="320"/>
      <c r="P252" s="320"/>
      <c r="Q252" s="320"/>
      <c r="R252" s="320"/>
      <c r="S252" s="320"/>
      <c r="T252" s="320"/>
      <c r="U252" s="320"/>
      <c r="V252" s="320"/>
      <c r="W252" s="320"/>
      <c r="X252" s="320"/>
      <c r="Y252" s="320"/>
      <c r="Z252" s="320"/>
    </row>
    <row r="253">
      <c r="A253" s="320"/>
      <c r="B253" s="320"/>
      <c r="C253" s="320"/>
      <c r="D253" s="320"/>
      <c r="E253" s="320"/>
      <c r="F253" s="320"/>
      <c r="G253" s="320"/>
      <c r="H253" s="320"/>
      <c r="I253" s="320"/>
      <c r="J253" s="320"/>
      <c r="K253" s="320"/>
      <c r="L253" s="320"/>
      <c r="M253" s="320"/>
      <c r="N253" s="320"/>
      <c r="O253" s="320"/>
      <c r="P253" s="320"/>
      <c r="Q253" s="320"/>
      <c r="R253" s="320"/>
      <c r="S253" s="320"/>
      <c r="T253" s="320"/>
      <c r="U253" s="320"/>
      <c r="V253" s="320"/>
      <c r="W253" s="320"/>
      <c r="X253" s="320"/>
      <c r="Y253" s="320"/>
      <c r="Z253" s="320"/>
    </row>
    <row r="254">
      <c r="A254" s="320"/>
      <c r="B254" s="320"/>
      <c r="C254" s="320"/>
      <c r="D254" s="320"/>
      <c r="E254" s="320"/>
      <c r="F254" s="320"/>
      <c r="G254" s="320"/>
      <c r="H254" s="320"/>
      <c r="I254" s="320"/>
      <c r="J254" s="320"/>
      <c r="K254" s="320"/>
      <c r="L254" s="320"/>
      <c r="M254" s="320"/>
      <c r="N254" s="320"/>
      <c r="O254" s="320"/>
      <c r="P254" s="320"/>
      <c r="Q254" s="320"/>
      <c r="R254" s="320"/>
      <c r="S254" s="320"/>
      <c r="T254" s="320"/>
      <c r="U254" s="320"/>
      <c r="V254" s="320"/>
      <c r="W254" s="320"/>
      <c r="X254" s="320"/>
      <c r="Y254" s="320"/>
      <c r="Z254" s="320"/>
    </row>
    <row r="255">
      <c r="A255" s="320"/>
      <c r="B255" s="320"/>
      <c r="C255" s="320"/>
      <c r="D255" s="320"/>
      <c r="E255" s="320"/>
      <c r="F255" s="320"/>
      <c r="G255" s="320"/>
      <c r="H255" s="320"/>
      <c r="I255" s="320"/>
      <c r="J255" s="320"/>
      <c r="K255" s="320"/>
      <c r="L255" s="320"/>
      <c r="M255" s="320"/>
      <c r="N255" s="320"/>
      <c r="O255" s="320"/>
      <c r="P255" s="320"/>
      <c r="Q255" s="320"/>
      <c r="R255" s="320"/>
      <c r="S255" s="320"/>
      <c r="T255" s="320"/>
      <c r="U255" s="320"/>
      <c r="V255" s="320"/>
      <c r="W255" s="320"/>
      <c r="X255" s="320"/>
      <c r="Y255" s="320"/>
      <c r="Z255" s="320"/>
    </row>
    <row r="256">
      <c r="A256" s="320"/>
      <c r="B256" s="320"/>
      <c r="C256" s="320"/>
      <c r="D256" s="320"/>
      <c r="E256" s="320"/>
      <c r="F256" s="320"/>
      <c r="G256" s="320"/>
      <c r="H256" s="320"/>
      <c r="I256" s="320"/>
      <c r="J256" s="320"/>
      <c r="K256" s="320"/>
      <c r="L256" s="320"/>
      <c r="M256" s="320"/>
      <c r="N256" s="320"/>
      <c r="O256" s="320"/>
      <c r="P256" s="320"/>
      <c r="Q256" s="320"/>
      <c r="R256" s="320"/>
      <c r="S256" s="320"/>
      <c r="T256" s="320"/>
      <c r="U256" s="320"/>
      <c r="V256" s="320"/>
      <c r="W256" s="320"/>
      <c r="X256" s="320"/>
      <c r="Y256" s="320"/>
      <c r="Z256" s="320"/>
    </row>
    <row r="257">
      <c r="A257" s="320"/>
      <c r="B257" s="320"/>
      <c r="C257" s="320"/>
      <c r="D257" s="320"/>
      <c r="E257" s="320"/>
      <c r="F257" s="320"/>
      <c r="G257" s="320"/>
      <c r="H257" s="320"/>
      <c r="I257" s="320"/>
      <c r="J257" s="320"/>
      <c r="K257" s="320"/>
      <c r="L257" s="320"/>
      <c r="M257" s="320"/>
      <c r="N257" s="320"/>
      <c r="O257" s="320"/>
      <c r="P257" s="320"/>
      <c r="Q257" s="320"/>
      <c r="R257" s="320"/>
      <c r="S257" s="320"/>
      <c r="T257" s="320"/>
      <c r="U257" s="320"/>
      <c r="V257" s="320"/>
      <c r="W257" s="320"/>
      <c r="X257" s="320"/>
      <c r="Y257" s="320"/>
      <c r="Z257" s="320"/>
    </row>
    <row r="258">
      <c r="A258" s="320"/>
      <c r="B258" s="320"/>
      <c r="C258" s="320"/>
      <c r="D258" s="320"/>
      <c r="E258" s="320"/>
      <c r="F258" s="320"/>
      <c r="G258" s="320"/>
      <c r="H258" s="320"/>
      <c r="I258" s="320"/>
      <c r="J258" s="320"/>
      <c r="K258" s="320"/>
      <c r="L258" s="320"/>
      <c r="M258" s="320"/>
      <c r="N258" s="320"/>
      <c r="O258" s="320"/>
      <c r="P258" s="320"/>
      <c r="Q258" s="320"/>
      <c r="R258" s="320"/>
      <c r="S258" s="320"/>
      <c r="T258" s="320"/>
      <c r="U258" s="320"/>
      <c r="V258" s="320"/>
      <c r="W258" s="320"/>
      <c r="X258" s="320"/>
      <c r="Y258" s="320"/>
      <c r="Z258" s="320"/>
    </row>
    <row r="259">
      <c r="A259" s="320"/>
      <c r="B259" s="320"/>
      <c r="C259" s="320"/>
      <c r="D259" s="320"/>
      <c r="E259" s="320"/>
      <c r="F259" s="320"/>
      <c r="G259" s="320"/>
      <c r="H259" s="320"/>
      <c r="I259" s="320"/>
      <c r="J259" s="320"/>
      <c r="K259" s="320"/>
      <c r="L259" s="320"/>
      <c r="M259" s="320"/>
      <c r="N259" s="320"/>
      <c r="O259" s="320"/>
      <c r="P259" s="320"/>
      <c r="Q259" s="320"/>
      <c r="R259" s="320"/>
      <c r="S259" s="320"/>
      <c r="T259" s="320"/>
      <c r="U259" s="320"/>
      <c r="V259" s="320"/>
      <c r="W259" s="320"/>
      <c r="X259" s="320"/>
      <c r="Y259" s="320"/>
      <c r="Z259" s="320"/>
    </row>
    <row r="260">
      <c r="A260" s="320"/>
      <c r="B260" s="320"/>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row>
    <row r="261">
      <c r="A261" s="320"/>
      <c r="B261" s="320"/>
      <c r="C261" s="320"/>
      <c r="D261" s="320"/>
      <c r="E261" s="320"/>
      <c r="F261" s="320"/>
      <c r="G261" s="320"/>
      <c r="H261" s="320"/>
      <c r="I261" s="320"/>
      <c r="J261" s="320"/>
      <c r="K261" s="320"/>
      <c r="L261" s="320"/>
      <c r="M261" s="320"/>
      <c r="N261" s="320"/>
      <c r="O261" s="320"/>
      <c r="P261" s="320"/>
      <c r="Q261" s="320"/>
      <c r="R261" s="320"/>
      <c r="S261" s="320"/>
      <c r="T261" s="320"/>
      <c r="U261" s="320"/>
      <c r="V261" s="320"/>
      <c r="W261" s="320"/>
      <c r="X261" s="320"/>
      <c r="Y261" s="320"/>
      <c r="Z261" s="320"/>
    </row>
    <row r="262">
      <c r="A262" s="320"/>
      <c r="B262" s="320"/>
      <c r="C262" s="320"/>
      <c r="D262" s="320"/>
      <c r="E262" s="320"/>
      <c r="F262" s="320"/>
      <c r="G262" s="320"/>
      <c r="H262" s="320"/>
      <c r="I262" s="320"/>
      <c r="J262" s="320"/>
      <c r="K262" s="320"/>
      <c r="L262" s="320"/>
      <c r="M262" s="320"/>
      <c r="N262" s="320"/>
      <c r="O262" s="320"/>
      <c r="P262" s="320"/>
      <c r="Q262" s="320"/>
      <c r="R262" s="320"/>
      <c r="S262" s="320"/>
      <c r="T262" s="320"/>
      <c r="U262" s="320"/>
      <c r="V262" s="320"/>
      <c r="W262" s="320"/>
      <c r="X262" s="320"/>
      <c r="Y262" s="320"/>
      <c r="Z262" s="320"/>
    </row>
    <row r="263">
      <c r="A263" s="320"/>
      <c r="B263" s="320"/>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c r="Z263" s="320"/>
    </row>
    <row r="264">
      <c r="A264" s="320"/>
      <c r="B264" s="320"/>
      <c r="C264" s="320"/>
      <c r="D264" s="320"/>
      <c r="E264" s="320"/>
      <c r="F264" s="320"/>
      <c r="G264" s="320"/>
      <c r="H264" s="320"/>
      <c r="I264" s="320"/>
      <c r="J264" s="320"/>
      <c r="K264" s="320"/>
      <c r="L264" s="320"/>
      <c r="M264" s="320"/>
      <c r="N264" s="320"/>
      <c r="O264" s="320"/>
      <c r="P264" s="320"/>
      <c r="Q264" s="320"/>
      <c r="R264" s="320"/>
      <c r="S264" s="320"/>
      <c r="T264" s="320"/>
      <c r="U264" s="320"/>
      <c r="V264" s="320"/>
      <c r="W264" s="320"/>
      <c r="X264" s="320"/>
      <c r="Y264" s="320"/>
      <c r="Z264" s="320"/>
    </row>
    <row r="265">
      <c r="A265" s="320"/>
      <c r="B265" s="320"/>
      <c r="C265" s="320"/>
      <c r="D265" s="320"/>
      <c r="E265" s="320"/>
      <c r="F265" s="320"/>
      <c r="G265" s="320"/>
      <c r="H265" s="320"/>
      <c r="I265" s="320"/>
      <c r="J265" s="320"/>
      <c r="K265" s="320"/>
      <c r="L265" s="320"/>
      <c r="M265" s="320"/>
      <c r="N265" s="320"/>
      <c r="O265" s="320"/>
      <c r="P265" s="320"/>
      <c r="Q265" s="320"/>
      <c r="R265" s="320"/>
      <c r="S265" s="320"/>
      <c r="T265" s="320"/>
      <c r="U265" s="320"/>
      <c r="V265" s="320"/>
      <c r="W265" s="320"/>
      <c r="X265" s="320"/>
      <c r="Y265" s="320"/>
      <c r="Z265" s="320"/>
    </row>
    <row r="266">
      <c r="A266" s="320"/>
      <c r="B266" s="320"/>
      <c r="C266" s="320"/>
      <c r="D266" s="320"/>
      <c r="E266" s="320"/>
      <c r="F266" s="320"/>
      <c r="G266" s="320"/>
      <c r="H266" s="320"/>
      <c r="I266" s="320"/>
      <c r="J266" s="320"/>
      <c r="K266" s="320"/>
      <c r="L266" s="320"/>
      <c r="M266" s="320"/>
      <c r="N266" s="320"/>
      <c r="O266" s="320"/>
      <c r="P266" s="320"/>
      <c r="Q266" s="320"/>
      <c r="R266" s="320"/>
      <c r="S266" s="320"/>
      <c r="T266" s="320"/>
      <c r="U266" s="320"/>
      <c r="V266" s="320"/>
      <c r="W266" s="320"/>
      <c r="X266" s="320"/>
      <c r="Y266" s="320"/>
      <c r="Z266" s="320"/>
    </row>
    <row r="267">
      <c r="A267" s="320"/>
      <c r="B267" s="320"/>
      <c r="C267" s="320"/>
      <c r="D267" s="320"/>
      <c r="E267" s="320"/>
      <c r="F267" s="320"/>
      <c r="G267" s="320"/>
      <c r="H267" s="320"/>
      <c r="I267" s="320"/>
      <c r="J267" s="320"/>
      <c r="K267" s="320"/>
      <c r="L267" s="320"/>
      <c r="M267" s="320"/>
      <c r="N267" s="320"/>
      <c r="O267" s="320"/>
      <c r="P267" s="320"/>
      <c r="Q267" s="320"/>
      <c r="R267" s="320"/>
      <c r="S267" s="320"/>
      <c r="T267" s="320"/>
      <c r="U267" s="320"/>
      <c r="V267" s="320"/>
      <c r="W267" s="320"/>
      <c r="X267" s="320"/>
      <c r="Y267" s="320"/>
      <c r="Z267" s="320"/>
    </row>
    <row r="268">
      <c r="A268" s="320"/>
      <c r="B268" s="320"/>
      <c r="C268" s="320"/>
      <c r="D268" s="320"/>
      <c r="E268" s="320"/>
      <c r="F268" s="320"/>
      <c r="G268" s="320"/>
      <c r="H268" s="320"/>
      <c r="I268" s="320"/>
      <c r="J268" s="320"/>
      <c r="K268" s="320"/>
      <c r="L268" s="320"/>
      <c r="M268" s="320"/>
      <c r="N268" s="320"/>
      <c r="O268" s="320"/>
      <c r="P268" s="320"/>
      <c r="Q268" s="320"/>
      <c r="R268" s="320"/>
      <c r="S268" s="320"/>
      <c r="T268" s="320"/>
      <c r="U268" s="320"/>
      <c r="V268" s="320"/>
      <c r="W268" s="320"/>
      <c r="X268" s="320"/>
      <c r="Y268" s="320"/>
      <c r="Z268" s="320"/>
    </row>
    <row r="269">
      <c r="A269" s="320"/>
      <c r="B269" s="320"/>
      <c r="C269" s="320"/>
      <c r="D269" s="320"/>
      <c r="E269" s="320"/>
      <c r="F269" s="320"/>
      <c r="G269" s="320"/>
      <c r="H269" s="320"/>
      <c r="I269" s="320"/>
      <c r="J269" s="320"/>
      <c r="K269" s="320"/>
      <c r="L269" s="320"/>
      <c r="M269" s="320"/>
      <c r="N269" s="320"/>
      <c r="O269" s="320"/>
      <c r="P269" s="320"/>
      <c r="Q269" s="320"/>
      <c r="R269" s="320"/>
      <c r="S269" s="320"/>
      <c r="T269" s="320"/>
      <c r="U269" s="320"/>
      <c r="V269" s="320"/>
      <c r="W269" s="320"/>
      <c r="X269" s="320"/>
      <c r="Y269" s="320"/>
      <c r="Z269" s="320"/>
    </row>
    <row r="270">
      <c r="A270" s="320"/>
      <c r="B270" s="320"/>
      <c r="C270" s="320"/>
      <c r="D270" s="320"/>
      <c r="E270" s="320"/>
      <c r="F270" s="320"/>
      <c r="G270" s="320"/>
      <c r="H270" s="320"/>
      <c r="I270" s="320"/>
      <c r="J270" s="320"/>
      <c r="K270" s="320"/>
      <c r="L270" s="320"/>
      <c r="M270" s="320"/>
      <c r="N270" s="320"/>
      <c r="O270" s="320"/>
      <c r="P270" s="320"/>
      <c r="Q270" s="320"/>
      <c r="R270" s="320"/>
      <c r="S270" s="320"/>
      <c r="T270" s="320"/>
      <c r="U270" s="320"/>
      <c r="V270" s="320"/>
      <c r="W270" s="320"/>
      <c r="X270" s="320"/>
      <c r="Y270" s="320"/>
      <c r="Z270" s="320"/>
    </row>
    <row r="271">
      <c r="A271" s="320"/>
      <c r="B271" s="320"/>
      <c r="C271" s="320"/>
      <c r="D271" s="320"/>
      <c r="E271" s="320"/>
      <c r="F271" s="320"/>
      <c r="G271" s="320"/>
      <c r="H271" s="320"/>
      <c r="I271" s="320"/>
      <c r="J271" s="320"/>
      <c r="K271" s="320"/>
      <c r="L271" s="320"/>
      <c r="M271" s="320"/>
      <c r="N271" s="320"/>
      <c r="O271" s="320"/>
      <c r="P271" s="320"/>
      <c r="Q271" s="320"/>
      <c r="R271" s="320"/>
      <c r="S271" s="320"/>
      <c r="T271" s="320"/>
      <c r="U271" s="320"/>
      <c r="V271" s="320"/>
      <c r="W271" s="320"/>
      <c r="X271" s="320"/>
      <c r="Y271" s="320"/>
      <c r="Z271" s="320"/>
    </row>
    <row r="272">
      <c r="A272" s="320"/>
      <c r="B272" s="320"/>
      <c r="C272" s="320"/>
      <c r="D272" s="320"/>
      <c r="E272" s="320"/>
      <c r="F272" s="320"/>
      <c r="G272" s="320"/>
      <c r="H272" s="320"/>
      <c r="I272" s="320"/>
      <c r="J272" s="320"/>
      <c r="K272" s="320"/>
      <c r="L272" s="320"/>
      <c r="M272" s="320"/>
      <c r="N272" s="320"/>
      <c r="O272" s="320"/>
      <c r="P272" s="320"/>
      <c r="Q272" s="320"/>
      <c r="R272" s="320"/>
      <c r="S272" s="320"/>
      <c r="T272" s="320"/>
      <c r="U272" s="320"/>
      <c r="V272" s="320"/>
      <c r="W272" s="320"/>
      <c r="X272" s="320"/>
      <c r="Y272" s="320"/>
      <c r="Z272" s="320"/>
    </row>
    <row r="273">
      <c r="A273" s="320"/>
      <c r="B273" s="320"/>
      <c r="C273" s="320"/>
      <c r="D273" s="320"/>
      <c r="E273" s="320"/>
      <c r="F273" s="320"/>
      <c r="G273" s="320"/>
      <c r="H273" s="320"/>
      <c r="I273" s="320"/>
      <c r="J273" s="320"/>
      <c r="K273" s="320"/>
      <c r="L273" s="320"/>
      <c r="M273" s="320"/>
      <c r="N273" s="320"/>
      <c r="O273" s="320"/>
      <c r="P273" s="320"/>
      <c r="Q273" s="320"/>
      <c r="R273" s="320"/>
      <c r="S273" s="320"/>
      <c r="T273" s="320"/>
      <c r="U273" s="320"/>
      <c r="V273" s="320"/>
      <c r="W273" s="320"/>
      <c r="X273" s="320"/>
      <c r="Y273" s="320"/>
      <c r="Z273" s="320"/>
    </row>
    <row r="274">
      <c r="A274" s="320"/>
      <c r="B274" s="320"/>
      <c r="C274" s="320"/>
      <c r="D274" s="320"/>
      <c r="E274" s="320"/>
      <c r="F274" s="320"/>
      <c r="G274" s="320"/>
      <c r="H274" s="320"/>
      <c r="I274" s="320"/>
      <c r="J274" s="320"/>
      <c r="K274" s="320"/>
      <c r="L274" s="320"/>
      <c r="M274" s="320"/>
      <c r="N274" s="320"/>
      <c r="O274" s="320"/>
      <c r="P274" s="320"/>
      <c r="Q274" s="320"/>
      <c r="R274" s="320"/>
      <c r="S274" s="320"/>
      <c r="T274" s="320"/>
      <c r="U274" s="320"/>
      <c r="V274" s="320"/>
      <c r="W274" s="320"/>
      <c r="X274" s="320"/>
      <c r="Y274" s="320"/>
      <c r="Z274" s="320"/>
    </row>
    <row r="275">
      <c r="A275" s="320"/>
      <c r="B275" s="320"/>
      <c r="C275" s="320"/>
      <c r="D275" s="320"/>
      <c r="E275" s="320"/>
      <c r="F275" s="320"/>
      <c r="G275" s="320"/>
      <c r="H275" s="320"/>
      <c r="I275" s="320"/>
      <c r="J275" s="320"/>
      <c r="K275" s="320"/>
      <c r="L275" s="320"/>
      <c r="M275" s="320"/>
      <c r="N275" s="320"/>
      <c r="O275" s="320"/>
      <c r="P275" s="320"/>
      <c r="Q275" s="320"/>
      <c r="R275" s="320"/>
      <c r="S275" s="320"/>
      <c r="T275" s="320"/>
      <c r="U275" s="320"/>
      <c r="V275" s="320"/>
      <c r="W275" s="320"/>
      <c r="X275" s="320"/>
      <c r="Y275" s="320"/>
      <c r="Z275" s="320"/>
    </row>
    <row r="276">
      <c r="A276" s="320"/>
      <c r="B276" s="320"/>
      <c r="C276" s="320"/>
      <c r="D276" s="320"/>
      <c r="E276" s="320"/>
      <c r="F276" s="320"/>
      <c r="G276" s="320"/>
      <c r="H276" s="320"/>
      <c r="I276" s="320"/>
      <c r="J276" s="320"/>
      <c r="K276" s="320"/>
      <c r="L276" s="320"/>
      <c r="M276" s="320"/>
      <c r="N276" s="320"/>
      <c r="O276" s="320"/>
      <c r="P276" s="320"/>
      <c r="Q276" s="320"/>
      <c r="R276" s="320"/>
      <c r="S276" s="320"/>
      <c r="T276" s="320"/>
      <c r="U276" s="320"/>
      <c r="V276" s="320"/>
      <c r="W276" s="320"/>
      <c r="X276" s="320"/>
      <c r="Y276" s="320"/>
      <c r="Z276" s="320"/>
    </row>
    <row r="277">
      <c r="A277" s="320"/>
      <c r="B277" s="320"/>
      <c r="C277" s="320"/>
      <c r="D277" s="320"/>
      <c r="E277" s="320"/>
      <c r="F277" s="320"/>
      <c r="G277" s="320"/>
      <c r="H277" s="320"/>
      <c r="I277" s="320"/>
      <c r="J277" s="320"/>
      <c r="K277" s="320"/>
      <c r="L277" s="320"/>
      <c r="M277" s="320"/>
      <c r="N277" s="320"/>
      <c r="O277" s="320"/>
      <c r="P277" s="320"/>
      <c r="Q277" s="320"/>
      <c r="R277" s="320"/>
      <c r="S277" s="320"/>
      <c r="T277" s="320"/>
      <c r="U277" s="320"/>
      <c r="V277" s="320"/>
      <c r="W277" s="320"/>
      <c r="X277" s="320"/>
      <c r="Y277" s="320"/>
      <c r="Z277" s="320"/>
    </row>
    <row r="278">
      <c r="A278" s="320"/>
      <c r="B278" s="320"/>
      <c r="C278" s="320"/>
      <c r="D278" s="320"/>
      <c r="E278" s="320"/>
      <c r="F278" s="320"/>
      <c r="G278" s="320"/>
      <c r="H278" s="320"/>
      <c r="I278" s="320"/>
      <c r="J278" s="320"/>
      <c r="K278" s="320"/>
      <c r="L278" s="320"/>
      <c r="M278" s="320"/>
      <c r="N278" s="320"/>
      <c r="O278" s="320"/>
      <c r="P278" s="320"/>
      <c r="Q278" s="320"/>
      <c r="R278" s="320"/>
      <c r="S278" s="320"/>
      <c r="T278" s="320"/>
      <c r="U278" s="320"/>
      <c r="V278" s="320"/>
      <c r="W278" s="320"/>
      <c r="X278" s="320"/>
      <c r="Y278" s="320"/>
      <c r="Z278" s="320"/>
    </row>
    <row r="279">
      <c r="A279" s="320"/>
      <c r="B279" s="320"/>
      <c r="C279" s="320"/>
      <c r="D279" s="320"/>
      <c r="E279" s="320"/>
      <c r="F279" s="320"/>
      <c r="G279" s="320"/>
      <c r="H279" s="320"/>
      <c r="I279" s="320"/>
      <c r="J279" s="320"/>
      <c r="K279" s="320"/>
      <c r="L279" s="320"/>
      <c r="M279" s="320"/>
      <c r="N279" s="320"/>
      <c r="O279" s="320"/>
      <c r="P279" s="320"/>
      <c r="Q279" s="320"/>
      <c r="R279" s="320"/>
      <c r="S279" s="320"/>
      <c r="T279" s="320"/>
      <c r="U279" s="320"/>
      <c r="V279" s="320"/>
      <c r="W279" s="320"/>
      <c r="X279" s="320"/>
      <c r="Y279" s="320"/>
      <c r="Z279" s="320"/>
    </row>
    <row r="280">
      <c r="A280" s="320"/>
      <c r="B280" s="320"/>
      <c r="C280" s="320"/>
      <c r="D280" s="320"/>
      <c r="E280" s="320"/>
      <c r="F280" s="320"/>
      <c r="G280" s="320"/>
      <c r="H280" s="320"/>
      <c r="I280" s="320"/>
      <c r="J280" s="320"/>
      <c r="K280" s="320"/>
      <c r="L280" s="320"/>
      <c r="M280" s="320"/>
      <c r="N280" s="320"/>
      <c r="O280" s="320"/>
      <c r="P280" s="320"/>
      <c r="Q280" s="320"/>
      <c r="R280" s="320"/>
      <c r="S280" s="320"/>
      <c r="T280" s="320"/>
      <c r="U280" s="320"/>
      <c r="V280" s="320"/>
      <c r="W280" s="320"/>
      <c r="X280" s="320"/>
      <c r="Y280" s="320"/>
      <c r="Z280" s="320"/>
    </row>
    <row r="281">
      <c r="A281" s="320"/>
      <c r="B281" s="320"/>
      <c r="C281" s="320"/>
      <c r="D281" s="320"/>
      <c r="E281" s="320"/>
      <c r="F281" s="320"/>
      <c r="G281" s="320"/>
      <c r="H281" s="320"/>
      <c r="I281" s="320"/>
      <c r="J281" s="320"/>
      <c r="K281" s="320"/>
      <c r="L281" s="320"/>
      <c r="M281" s="320"/>
      <c r="N281" s="320"/>
      <c r="O281" s="320"/>
      <c r="P281" s="320"/>
      <c r="Q281" s="320"/>
      <c r="R281" s="320"/>
      <c r="S281" s="320"/>
      <c r="T281" s="320"/>
      <c r="U281" s="320"/>
      <c r="V281" s="320"/>
      <c r="W281" s="320"/>
      <c r="X281" s="320"/>
      <c r="Y281" s="320"/>
      <c r="Z281" s="320"/>
    </row>
    <row r="282">
      <c r="A282" s="320"/>
      <c r="B282" s="320"/>
      <c r="C282" s="320"/>
      <c r="D282" s="320"/>
      <c r="E282" s="320"/>
      <c r="F282" s="320"/>
      <c r="G282" s="320"/>
      <c r="H282" s="320"/>
      <c r="I282" s="320"/>
      <c r="J282" s="320"/>
      <c r="K282" s="320"/>
      <c r="L282" s="320"/>
      <c r="M282" s="320"/>
      <c r="N282" s="320"/>
      <c r="O282" s="320"/>
      <c r="P282" s="320"/>
      <c r="Q282" s="320"/>
      <c r="R282" s="320"/>
      <c r="S282" s="320"/>
      <c r="T282" s="320"/>
      <c r="U282" s="320"/>
      <c r="V282" s="320"/>
      <c r="W282" s="320"/>
      <c r="X282" s="320"/>
      <c r="Y282" s="320"/>
      <c r="Z282" s="320"/>
    </row>
    <row r="283">
      <c r="A283" s="320"/>
      <c r="B283" s="320"/>
      <c r="C283" s="320"/>
      <c r="D283" s="320"/>
      <c r="E283" s="320"/>
      <c r="F283" s="320"/>
      <c r="G283" s="320"/>
      <c r="H283" s="320"/>
      <c r="I283" s="320"/>
      <c r="J283" s="320"/>
      <c r="K283" s="320"/>
      <c r="L283" s="320"/>
      <c r="M283" s="320"/>
      <c r="N283" s="320"/>
      <c r="O283" s="320"/>
      <c r="P283" s="320"/>
      <c r="Q283" s="320"/>
      <c r="R283" s="320"/>
      <c r="S283" s="320"/>
      <c r="T283" s="320"/>
      <c r="U283" s="320"/>
      <c r="V283" s="320"/>
      <c r="W283" s="320"/>
      <c r="X283" s="320"/>
      <c r="Y283" s="320"/>
      <c r="Z283" s="320"/>
    </row>
    <row r="284">
      <c r="A284" s="320"/>
      <c r="B284" s="320"/>
      <c r="C284" s="320"/>
      <c r="D284" s="320"/>
      <c r="E284" s="320"/>
      <c r="F284" s="320"/>
      <c r="G284" s="320"/>
      <c r="H284" s="320"/>
      <c r="I284" s="320"/>
      <c r="J284" s="320"/>
      <c r="K284" s="320"/>
      <c r="L284" s="320"/>
      <c r="M284" s="320"/>
      <c r="N284" s="320"/>
      <c r="O284" s="320"/>
      <c r="P284" s="320"/>
      <c r="Q284" s="320"/>
      <c r="R284" s="320"/>
      <c r="S284" s="320"/>
      <c r="T284" s="320"/>
      <c r="U284" s="320"/>
      <c r="V284" s="320"/>
      <c r="W284" s="320"/>
      <c r="X284" s="320"/>
      <c r="Y284" s="320"/>
      <c r="Z284" s="320"/>
    </row>
    <row r="285">
      <c r="A285" s="320"/>
      <c r="B285" s="320"/>
      <c r="C285" s="320"/>
      <c r="D285" s="320"/>
      <c r="E285" s="320"/>
      <c r="F285" s="320"/>
      <c r="G285" s="320"/>
      <c r="H285" s="320"/>
      <c r="I285" s="320"/>
      <c r="J285" s="320"/>
      <c r="K285" s="320"/>
      <c r="L285" s="320"/>
      <c r="M285" s="320"/>
      <c r="N285" s="320"/>
      <c r="O285" s="320"/>
      <c r="P285" s="320"/>
      <c r="Q285" s="320"/>
      <c r="R285" s="320"/>
      <c r="S285" s="320"/>
      <c r="T285" s="320"/>
      <c r="U285" s="320"/>
      <c r="V285" s="320"/>
      <c r="W285" s="320"/>
      <c r="X285" s="320"/>
      <c r="Y285" s="320"/>
      <c r="Z285" s="320"/>
    </row>
    <row r="286">
      <c r="A286" s="320"/>
      <c r="B286" s="320"/>
      <c r="C286" s="320"/>
      <c r="D286" s="320"/>
      <c r="E286" s="320"/>
      <c r="F286" s="320"/>
      <c r="G286" s="320"/>
      <c r="H286" s="320"/>
      <c r="I286" s="320"/>
      <c r="J286" s="320"/>
      <c r="K286" s="320"/>
      <c r="L286" s="320"/>
      <c r="M286" s="320"/>
      <c r="N286" s="320"/>
      <c r="O286" s="320"/>
      <c r="P286" s="320"/>
      <c r="Q286" s="320"/>
      <c r="R286" s="320"/>
      <c r="S286" s="320"/>
      <c r="T286" s="320"/>
      <c r="U286" s="320"/>
      <c r="V286" s="320"/>
      <c r="W286" s="320"/>
      <c r="X286" s="320"/>
      <c r="Y286" s="320"/>
      <c r="Z286" s="320"/>
    </row>
    <row r="287">
      <c r="A287" s="320"/>
      <c r="B287" s="320"/>
      <c r="C287" s="320"/>
      <c r="D287" s="320"/>
      <c r="E287" s="320"/>
      <c r="F287" s="320"/>
      <c r="G287" s="320"/>
      <c r="H287" s="320"/>
      <c r="I287" s="320"/>
      <c r="J287" s="320"/>
      <c r="K287" s="320"/>
      <c r="L287" s="320"/>
      <c r="M287" s="320"/>
      <c r="N287" s="320"/>
      <c r="O287" s="320"/>
      <c r="P287" s="320"/>
      <c r="Q287" s="320"/>
      <c r="R287" s="320"/>
      <c r="S287" s="320"/>
      <c r="T287" s="320"/>
      <c r="U287" s="320"/>
      <c r="V287" s="320"/>
      <c r="W287" s="320"/>
      <c r="X287" s="320"/>
      <c r="Y287" s="320"/>
      <c r="Z287" s="320"/>
    </row>
    <row r="288">
      <c r="A288" s="320"/>
      <c r="B288" s="320"/>
      <c r="C288" s="320"/>
      <c r="D288" s="320"/>
      <c r="E288" s="320"/>
      <c r="F288" s="320"/>
      <c r="G288" s="320"/>
      <c r="H288" s="320"/>
      <c r="I288" s="320"/>
      <c r="J288" s="320"/>
      <c r="K288" s="320"/>
      <c r="L288" s="320"/>
      <c r="M288" s="320"/>
      <c r="N288" s="320"/>
      <c r="O288" s="320"/>
      <c r="P288" s="320"/>
      <c r="Q288" s="320"/>
      <c r="R288" s="320"/>
      <c r="S288" s="320"/>
      <c r="T288" s="320"/>
      <c r="U288" s="320"/>
      <c r="V288" s="320"/>
      <c r="W288" s="320"/>
      <c r="X288" s="320"/>
      <c r="Y288" s="320"/>
      <c r="Z288" s="320"/>
    </row>
    <row r="289">
      <c r="A289" s="320"/>
      <c r="B289" s="320"/>
      <c r="C289" s="320"/>
      <c r="D289" s="320"/>
      <c r="E289" s="320"/>
      <c r="F289" s="320"/>
      <c r="G289" s="320"/>
      <c r="H289" s="320"/>
      <c r="I289" s="320"/>
      <c r="J289" s="320"/>
      <c r="K289" s="320"/>
      <c r="L289" s="320"/>
      <c r="M289" s="320"/>
      <c r="N289" s="320"/>
      <c r="O289" s="320"/>
      <c r="P289" s="320"/>
      <c r="Q289" s="320"/>
      <c r="R289" s="320"/>
      <c r="S289" s="320"/>
      <c r="T289" s="320"/>
      <c r="U289" s="320"/>
      <c r="V289" s="320"/>
      <c r="W289" s="320"/>
      <c r="X289" s="320"/>
      <c r="Y289" s="320"/>
      <c r="Z289" s="320"/>
    </row>
    <row r="290">
      <c r="A290" s="320"/>
      <c r="B290" s="320"/>
      <c r="C290" s="320"/>
      <c r="D290" s="320"/>
      <c r="E290" s="320"/>
      <c r="F290" s="320"/>
      <c r="G290" s="320"/>
      <c r="H290" s="320"/>
      <c r="I290" s="320"/>
      <c r="J290" s="320"/>
      <c r="K290" s="320"/>
      <c r="L290" s="320"/>
      <c r="M290" s="320"/>
      <c r="N290" s="320"/>
      <c r="O290" s="320"/>
      <c r="P290" s="320"/>
      <c r="Q290" s="320"/>
      <c r="R290" s="320"/>
      <c r="S290" s="320"/>
      <c r="T290" s="320"/>
      <c r="U290" s="320"/>
      <c r="V290" s="320"/>
      <c r="W290" s="320"/>
      <c r="X290" s="320"/>
      <c r="Y290" s="320"/>
      <c r="Z290" s="320"/>
    </row>
    <row r="291">
      <c r="A291" s="320"/>
      <c r="B291" s="320"/>
      <c r="C291" s="320"/>
      <c r="D291" s="320"/>
      <c r="E291" s="320"/>
      <c r="F291" s="320"/>
      <c r="G291" s="320"/>
      <c r="H291" s="320"/>
      <c r="I291" s="320"/>
      <c r="J291" s="320"/>
      <c r="K291" s="320"/>
      <c r="L291" s="320"/>
      <c r="M291" s="320"/>
      <c r="N291" s="320"/>
      <c r="O291" s="320"/>
      <c r="P291" s="320"/>
      <c r="Q291" s="320"/>
      <c r="R291" s="320"/>
      <c r="S291" s="320"/>
      <c r="T291" s="320"/>
      <c r="U291" s="320"/>
      <c r="V291" s="320"/>
      <c r="W291" s="320"/>
      <c r="X291" s="320"/>
      <c r="Y291" s="320"/>
      <c r="Z291" s="320"/>
    </row>
    <row r="292">
      <c r="A292" s="320"/>
      <c r="B292" s="320"/>
      <c r="C292" s="320"/>
      <c r="D292" s="320"/>
      <c r="E292" s="320"/>
      <c r="F292" s="320"/>
      <c r="G292" s="320"/>
      <c r="H292" s="320"/>
      <c r="I292" s="320"/>
      <c r="J292" s="320"/>
      <c r="K292" s="320"/>
      <c r="L292" s="320"/>
      <c r="M292" s="320"/>
      <c r="N292" s="320"/>
      <c r="O292" s="320"/>
      <c r="P292" s="320"/>
      <c r="Q292" s="320"/>
      <c r="R292" s="320"/>
      <c r="S292" s="320"/>
      <c r="T292" s="320"/>
      <c r="U292" s="320"/>
      <c r="V292" s="320"/>
      <c r="W292" s="320"/>
      <c r="X292" s="320"/>
      <c r="Y292" s="320"/>
      <c r="Z292" s="320"/>
    </row>
    <row r="293">
      <c r="A293" s="320"/>
      <c r="B293" s="320"/>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row>
    <row r="294">
      <c r="A294" s="320"/>
      <c r="B294" s="320"/>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row>
    <row r="295">
      <c r="A295" s="320"/>
      <c r="B295" s="320"/>
      <c r="C295" s="320"/>
      <c r="D295" s="320"/>
      <c r="E295" s="320"/>
      <c r="F295" s="320"/>
      <c r="G295" s="320"/>
      <c r="H295" s="320"/>
      <c r="I295" s="320"/>
      <c r="J295" s="320"/>
      <c r="K295" s="320"/>
      <c r="L295" s="320"/>
      <c r="M295" s="320"/>
      <c r="N295" s="320"/>
      <c r="O295" s="320"/>
      <c r="P295" s="320"/>
      <c r="Q295" s="320"/>
      <c r="R295" s="320"/>
      <c r="S295" s="320"/>
      <c r="T295" s="320"/>
      <c r="U295" s="320"/>
      <c r="V295" s="320"/>
      <c r="W295" s="320"/>
      <c r="X295" s="320"/>
      <c r="Y295" s="320"/>
      <c r="Z295" s="320"/>
    </row>
    <row r="296">
      <c r="A296" s="320"/>
      <c r="B296" s="320"/>
      <c r="C296" s="320"/>
      <c r="D296" s="320"/>
      <c r="E296" s="320"/>
      <c r="F296" s="320"/>
      <c r="G296" s="320"/>
      <c r="H296" s="320"/>
      <c r="I296" s="320"/>
      <c r="J296" s="320"/>
      <c r="K296" s="320"/>
      <c r="L296" s="320"/>
      <c r="M296" s="320"/>
      <c r="N296" s="320"/>
      <c r="O296" s="320"/>
      <c r="P296" s="320"/>
      <c r="Q296" s="320"/>
      <c r="R296" s="320"/>
      <c r="S296" s="320"/>
      <c r="T296" s="320"/>
      <c r="U296" s="320"/>
      <c r="V296" s="320"/>
      <c r="W296" s="320"/>
      <c r="X296" s="320"/>
      <c r="Y296" s="320"/>
      <c r="Z296" s="320"/>
    </row>
    <row r="297">
      <c r="A297" s="320"/>
      <c r="B297" s="320"/>
      <c r="C297" s="320"/>
      <c r="D297" s="320"/>
      <c r="E297" s="320"/>
      <c r="F297" s="320"/>
      <c r="G297" s="320"/>
      <c r="H297" s="320"/>
      <c r="I297" s="320"/>
      <c r="J297" s="320"/>
      <c r="K297" s="320"/>
      <c r="L297" s="320"/>
      <c r="M297" s="320"/>
      <c r="N297" s="320"/>
      <c r="O297" s="320"/>
      <c r="P297" s="320"/>
      <c r="Q297" s="320"/>
      <c r="R297" s="320"/>
      <c r="S297" s="320"/>
      <c r="T297" s="320"/>
      <c r="U297" s="320"/>
      <c r="V297" s="320"/>
      <c r="W297" s="320"/>
      <c r="X297" s="320"/>
      <c r="Y297" s="320"/>
      <c r="Z297" s="320"/>
    </row>
    <row r="298">
      <c r="A298" s="320"/>
      <c r="B298" s="320"/>
      <c r="C298" s="320"/>
      <c r="D298" s="320"/>
      <c r="E298" s="320"/>
      <c r="F298" s="320"/>
      <c r="G298" s="320"/>
      <c r="H298" s="320"/>
      <c r="I298" s="320"/>
      <c r="J298" s="320"/>
      <c r="K298" s="320"/>
      <c r="L298" s="320"/>
      <c r="M298" s="320"/>
      <c r="N298" s="320"/>
      <c r="O298" s="320"/>
      <c r="P298" s="320"/>
      <c r="Q298" s="320"/>
      <c r="R298" s="320"/>
      <c r="S298" s="320"/>
      <c r="T298" s="320"/>
      <c r="U298" s="320"/>
      <c r="V298" s="320"/>
      <c r="W298" s="320"/>
      <c r="X298" s="320"/>
      <c r="Y298" s="320"/>
      <c r="Z298" s="320"/>
    </row>
    <row r="299">
      <c r="A299" s="320"/>
      <c r="B299" s="320"/>
      <c r="C299" s="320"/>
      <c r="D299" s="320"/>
      <c r="E299" s="320"/>
      <c r="F299" s="320"/>
      <c r="G299" s="320"/>
      <c r="H299" s="320"/>
      <c r="I299" s="320"/>
      <c r="J299" s="320"/>
      <c r="K299" s="320"/>
      <c r="L299" s="320"/>
      <c r="M299" s="320"/>
      <c r="N299" s="320"/>
      <c r="O299" s="320"/>
      <c r="P299" s="320"/>
      <c r="Q299" s="320"/>
      <c r="R299" s="320"/>
      <c r="S299" s="320"/>
      <c r="T299" s="320"/>
      <c r="U299" s="320"/>
      <c r="V299" s="320"/>
      <c r="W299" s="320"/>
      <c r="X299" s="320"/>
      <c r="Y299" s="320"/>
      <c r="Z299" s="320"/>
    </row>
    <row r="300">
      <c r="A300" s="320"/>
      <c r="B300" s="320"/>
      <c r="C300" s="320"/>
      <c r="D300" s="320"/>
      <c r="E300" s="320"/>
      <c r="F300" s="320"/>
      <c r="G300" s="320"/>
      <c r="H300" s="320"/>
      <c r="I300" s="320"/>
      <c r="J300" s="320"/>
      <c r="K300" s="320"/>
      <c r="L300" s="320"/>
      <c r="M300" s="320"/>
      <c r="N300" s="320"/>
      <c r="O300" s="320"/>
      <c r="P300" s="320"/>
      <c r="Q300" s="320"/>
      <c r="R300" s="320"/>
      <c r="S300" s="320"/>
      <c r="T300" s="320"/>
      <c r="U300" s="320"/>
      <c r="V300" s="320"/>
      <c r="W300" s="320"/>
      <c r="X300" s="320"/>
      <c r="Y300" s="320"/>
      <c r="Z300" s="320"/>
    </row>
    <row r="301">
      <c r="A301" s="320"/>
      <c r="B301" s="320"/>
      <c r="C301" s="320"/>
      <c r="D301" s="320"/>
      <c r="E301" s="320"/>
      <c r="F301" s="320"/>
      <c r="G301" s="320"/>
      <c r="H301" s="320"/>
      <c r="I301" s="320"/>
      <c r="J301" s="320"/>
      <c r="K301" s="320"/>
      <c r="L301" s="320"/>
      <c r="M301" s="320"/>
      <c r="N301" s="320"/>
      <c r="O301" s="320"/>
      <c r="P301" s="320"/>
      <c r="Q301" s="320"/>
      <c r="R301" s="320"/>
      <c r="S301" s="320"/>
      <c r="T301" s="320"/>
      <c r="U301" s="320"/>
      <c r="V301" s="320"/>
      <c r="W301" s="320"/>
      <c r="X301" s="320"/>
      <c r="Y301" s="320"/>
      <c r="Z301" s="320"/>
    </row>
    <row r="302">
      <c r="A302" s="320"/>
      <c r="B302" s="320"/>
      <c r="C302" s="320"/>
      <c r="D302" s="320"/>
      <c r="E302" s="320"/>
      <c r="F302" s="320"/>
      <c r="G302" s="320"/>
      <c r="H302" s="320"/>
      <c r="I302" s="320"/>
      <c r="J302" s="320"/>
      <c r="K302" s="320"/>
      <c r="L302" s="320"/>
      <c r="M302" s="320"/>
      <c r="N302" s="320"/>
      <c r="O302" s="320"/>
      <c r="P302" s="320"/>
      <c r="Q302" s="320"/>
      <c r="R302" s="320"/>
      <c r="S302" s="320"/>
      <c r="T302" s="320"/>
      <c r="U302" s="320"/>
      <c r="V302" s="320"/>
      <c r="W302" s="320"/>
      <c r="X302" s="320"/>
      <c r="Y302" s="320"/>
      <c r="Z302" s="320"/>
    </row>
    <row r="303">
      <c r="A303" s="320"/>
      <c r="B303" s="320"/>
      <c r="C303" s="320"/>
      <c r="D303" s="320"/>
      <c r="E303" s="320"/>
      <c r="F303" s="320"/>
      <c r="G303" s="320"/>
      <c r="H303" s="320"/>
      <c r="I303" s="320"/>
      <c r="J303" s="320"/>
      <c r="K303" s="320"/>
      <c r="L303" s="320"/>
      <c r="M303" s="320"/>
      <c r="N303" s="320"/>
      <c r="O303" s="320"/>
      <c r="P303" s="320"/>
      <c r="Q303" s="320"/>
      <c r="R303" s="320"/>
      <c r="S303" s="320"/>
      <c r="T303" s="320"/>
      <c r="U303" s="320"/>
      <c r="V303" s="320"/>
      <c r="W303" s="320"/>
      <c r="X303" s="320"/>
      <c r="Y303" s="320"/>
      <c r="Z303" s="320"/>
    </row>
    <row r="304">
      <c r="A304" s="320"/>
      <c r="B304" s="320"/>
      <c r="C304" s="320"/>
      <c r="D304" s="320"/>
      <c r="E304" s="320"/>
      <c r="F304" s="320"/>
      <c r="G304" s="320"/>
      <c r="H304" s="320"/>
      <c r="I304" s="320"/>
      <c r="J304" s="320"/>
      <c r="K304" s="320"/>
      <c r="L304" s="320"/>
      <c r="M304" s="320"/>
      <c r="N304" s="320"/>
      <c r="O304" s="320"/>
      <c r="P304" s="320"/>
      <c r="Q304" s="320"/>
      <c r="R304" s="320"/>
      <c r="S304" s="320"/>
      <c r="T304" s="320"/>
      <c r="U304" s="320"/>
      <c r="V304" s="320"/>
      <c r="W304" s="320"/>
      <c r="X304" s="320"/>
      <c r="Y304" s="320"/>
      <c r="Z304" s="320"/>
    </row>
    <row r="305">
      <c r="A305" s="320"/>
      <c r="B305" s="320"/>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row>
    <row r="306">
      <c r="A306" s="320"/>
      <c r="B306" s="320"/>
      <c r="C306" s="320"/>
      <c r="D306" s="320"/>
      <c r="E306" s="320"/>
      <c r="F306" s="320"/>
      <c r="G306" s="320"/>
      <c r="H306" s="320"/>
      <c r="I306" s="320"/>
      <c r="J306" s="320"/>
      <c r="K306" s="320"/>
      <c r="L306" s="320"/>
      <c r="M306" s="320"/>
      <c r="N306" s="320"/>
      <c r="O306" s="320"/>
      <c r="P306" s="320"/>
      <c r="Q306" s="320"/>
      <c r="R306" s="320"/>
      <c r="S306" s="320"/>
      <c r="T306" s="320"/>
      <c r="U306" s="320"/>
      <c r="V306" s="320"/>
      <c r="W306" s="320"/>
      <c r="X306" s="320"/>
      <c r="Y306" s="320"/>
      <c r="Z306" s="320"/>
    </row>
    <row r="307">
      <c r="A307" s="320"/>
      <c r="B307" s="320"/>
      <c r="C307" s="320"/>
      <c r="D307" s="320"/>
      <c r="E307" s="320"/>
      <c r="F307" s="320"/>
      <c r="G307" s="320"/>
      <c r="H307" s="320"/>
      <c r="I307" s="320"/>
      <c r="J307" s="320"/>
      <c r="K307" s="320"/>
      <c r="L307" s="320"/>
      <c r="M307" s="320"/>
      <c r="N307" s="320"/>
      <c r="O307" s="320"/>
      <c r="P307" s="320"/>
      <c r="Q307" s="320"/>
      <c r="R307" s="320"/>
      <c r="S307" s="320"/>
      <c r="T307" s="320"/>
      <c r="U307" s="320"/>
      <c r="V307" s="320"/>
      <c r="W307" s="320"/>
      <c r="X307" s="320"/>
      <c r="Y307" s="320"/>
      <c r="Z307" s="320"/>
    </row>
    <row r="308">
      <c r="A308" s="320"/>
      <c r="B308" s="320"/>
      <c r="C308" s="320"/>
      <c r="D308" s="320"/>
      <c r="E308" s="320"/>
      <c r="F308" s="320"/>
      <c r="G308" s="320"/>
      <c r="H308" s="320"/>
      <c r="I308" s="320"/>
      <c r="J308" s="320"/>
      <c r="K308" s="320"/>
      <c r="L308" s="320"/>
      <c r="M308" s="320"/>
      <c r="N308" s="320"/>
      <c r="O308" s="320"/>
      <c r="P308" s="320"/>
      <c r="Q308" s="320"/>
      <c r="R308" s="320"/>
      <c r="S308" s="320"/>
      <c r="T308" s="320"/>
      <c r="U308" s="320"/>
      <c r="V308" s="320"/>
      <c r="W308" s="320"/>
      <c r="X308" s="320"/>
      <c r="Y308" s="320"/>
      <c r="Z308" s="320"/>
    </row>
    <row r="309">
      <c r="A309" s="320"/>
      <c r="B309" s="320"/>
      <c r="C309" s="320"/>
      <c r="D309" s="320"/>
      <c r="E309" s="320"/>
      <c r="F309" s="320"/>
      <c r="G309" s="320"/>
      <c r="H309" s="320"/>
      <c r="I309" s="320"/>
      <c r="J309" s="320"/>
      <c r="K309" s="320"/>
      <c r="L309" s="320"/>
      <c r="M309" s="320"/>
      <c r="N309" s="320"/>
      <c r="O309" s="320"/>
      <c r="P309" s="320"/>
      <c r="Q309" s="320"/>
      <c r="R309" s="320"/>
      <c r="S309" s="320"/>
      <c r="T309" s="320"/>
      <c r="U309" s="320"/>
      <c r="V309" s="320"/>
      <c r="W309" s="320"/>
      <c r="X309" s="320"/>
      <c r="Y309" s="320"/>
      <c r="Z309" s="320"/>
    </row>
    <row r="310">
      <c r="A310" s="320"/>
      <c r="B310" s="320"/>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c r="Z310" s="320"/>
    </row>
    <row r="311">
      <c r="A311" s="320"/>
      <c r="B311" s="320"/>
      <c r="C311" s="320"/>
      <c r="D311" s="320"/>
      <c r="E311" s="320"/>
      <c r="F311" s="320"/>
      <c r="G311" s="320"/>
      <c r="H311" s="320"/>
      <c r="I311" s="320"/>
      <c r="J311" s="320"/>
      <c r="K311" s="320"/>
      <c r="L311" s="320"/>
      <c r="M311" s="320"/>
      <c r="N311" s="320"/>
      <c r="O311" s="320"/>
      <c r="P311" s="320"/>
      <c r="Q311" s="320"/>
      <c r="R311" s="320"/>
      <c r="S311" s="320"/>
      <c r="T311" s="320"/>
      <c r="U311" s="320"/>
      <c r="V311" s="320"/>
      <c r="W311" s="320"/>
      <c r="X311" s="320"/>
      <c r="Y311" s="320"/>
      <c r="Z311" s="320"/>
    </row>
    <row r="312">
      <c r="A312" s="320"/>
      <c r="B312" s="320"/>
      <c r="C312" s="320"/>
      <c r="D312" s="320"/>
      <c r="E312" s="320"/>
      <c r="F312" s="320"/>
      <c r="G312" s="320"/>
      <c r="H312" s="320"/>
      <c r="I312" s="320"/>
      <c r="J312" s="320"/>
      <c r="K312" s="320"/>
      <c r="L312" s="320"/>
      <c r="M312" s="320"/>
      <c r="N312" s="320"/>
      <c r="O312" s="320"/>
      <c r="P312" s="320"/>
      <c r="Q312" s="320"/>
      <c r="R312" s="320"/>
      <c r="S312" s="320"/>
      <c r="T312" s="320"/>
      <c r="U312" s="320"/>
      <c r="V312" s="320"/>
      <c r="W312" s="320"/>
      <c r="X312" s="320"/>
      <c r="Y312" s="320"/>
      <c r="Z312" s="320"/>
    </row>
    <row r="313">
      <c r="A313" s="320"/>
      <c r="B313" s="320"/>
      <c r="C313" s="320"/>
      <c r="D313" s="320"/>
      <c r="E313" s="320"/>
      <c r="F313" s="320"/>
      <c r="G313" s="320"/>
      <c r="H313" s="320"/>
      <c r="I313" s="320"/>
      <c r="J313" s="320"/>
      <c r="K313" s="320"/>
      <c r="L313" s="320"/>
      <c r="M313" s="320"/>
      <c r="N313" s="320"/>
      <c r="O313" s="320"/>
      <c r="P313" s="320"/>
      <c r="Q313" s="320"/>
      <c r="R313" s="320"/>
      <c r="S313" s="320"/>
      <c r="T313" s="320"/>
      <c r="U313" s="320"/>
      <c r="V313" s="320"/>
      <c r="W313" s="320"/>
      <c r="X313" s="320"/>
      <c r="Y313" s="320"/>
      <c r="Z313" s="320"/>
    </row>
    <row r="314">
      <c r="A314" s="320"/>
      <c r="B314" s="320"/>
      <c r="C314" s="320"/>
      <c r="D314" s="320"/>
      <c r="E314" s="320"/>
      <c r="F314" s="320"/>
      <c r="G314" s="320"/>
      <c r="H314" s="320"/>
      <c r="I314" s="320"/>
      <c r="J314" s="320"/>
      <c r="K314" s="320"/>
      <c r="L314" s="320"/>
      <c r="M314" s="320"/>
      <c r="N314" s="320"/>
      <c r="O314" s="320"/>
      <c r="P314" s="320"/>
      <c r="Q314" s="320"/>
      <c r="R314" s="320"/>
      <c r="S314" s="320"/>
      <c r="T314" s="320"/>
      <c r="U314" s="320"/>
      <c r="V314" s="320"/>
      <c r="W314" s="320"/>
      <c r="X314" s="320"/>
      <c r="Y314" s="320"/>
      <c r="Z314" s="320"/>
    </row>
    <row r="315">
      <c r="A315" s="320"/>
      <c r="B315" s="320"/>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c r="Z315" s="320"/>
    </row>
    <row r="316">
      <c r="A316" s="320"/>
      <c r="B316" s="320"/>
      <c r="C316" s="320"/>
      <c r="D316" s="320"/>
      <c r="E316" s="320"/>
      <c r="F316" s="320"/>
      <c r="G316" s="320"/>
      <c r="H316" s="320"/>
      <c r="I316" s="320"/>
      <c r="J316" s="320"/>
      <c r="K316" s="320"/>
      <c r="L316" s="320"/>
      <c r="M316" s="320"/>
      <c r="N316" s="320"/>
      <c r="O316" s="320"/>
      <c r="P316" s="320"/>
      <c r="Q316" s="320"/>
      <c r="R316" s="320"/>
      <c r="S316" s="320"/>
      <c r="T316" s="320"/>
      <c r="U316" s="320"/>
      <c r="V316" s="320"/>
      <c r="W316" s="320"/>
      <c r="X316" s="320"/>
      <c r="Y316" s="320"/>
      <c r="Z316" s="320"/>
    </row>
    <row r="317">
      <c r="A317" s="320"/>
      <c r="B317" s="320"/>
      <c r="C317" s="320"/>
      <c r="D317" s="320"/>
      <c r="E317" s="320"/>
      <c r="F317" s="320"/>
      <c r="G317" s="320"/>
      <c r="H317" s="320"/>
      <c r="I317" s="320"/>
      <c r="J317" s="320"/>
      <c r="K317" s="320"/>
      <c r="L317" s="320"/>
      <c r="M317" s="320"/>
      <c r="N317" s="320"/>
      <c r="O317" s="320"/>
      <c r="P317" s="320"/>
      <c r="Q317" s="320"/>
      <c r="R317" s="320"/>
      <c r="S317" s="320"/>
      <c r="T317" s="320"/>
      <c r="U317" s="320"/>
      <c r="V317" s="320"/>
      <c r="W317" s="320"/>
      <c r="X317" s="320"/>
      <c r="Y317" s="320"/>
      <c r="Z317" s="320"/>
    </row>
    <row r="318">
      <c r="A318" s="320"/>
      <c r="B318" s="320"/>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row>
    <row r="319">
      <c r="A319" s="320"/>
      <c r="B319" s="320"/>
      <c r="C319" s="320"/>
      <c r="D319" s="320"/>
      <c r="E319" s="320"/>
      <c r="F319" s="320"/>
      <c r="G319" s="320"/>
      <c r="H319" s="320"/>
      <c r="I319" s="320"/>
      <c r="J319" s="320"/>
      <c r="K319" s="320"/>
      <c r="L319" s="320"/>
      <c r="M319" s="320"/>
      <c r="N319" s="320"/>
      <c r="O319" s="320"/>
      <c r="P319" s="320"/>
      <c r="Q319" s="320"/>
      <c r="R319" s="320"/>
      <c r="S319" s="320"/>
      <c r="T319" s="320"/>
      <c r="U319" s="320"/>
      <c r="V319" s="320"/>
      <c r="W319" s="320"/>
      <c r="X319" s="320"/>
      <c r="Y319" s="320"/>
      <c r="Z319" s="320"/>
    </row>
    <row r="320">
      <c r="A320" s="320"/>
      <c r="B320" s="320"/>
      <c r="C320" s="320"/>
      <c r="D320" s="320"/>
      <c r="E320" s="320"/>
      <c r="F320" s="320"/>
      <c r="G320" s="320"/>
      <c r="H320" s="320"/>
      <c r="I320" s="320"/>
      <c r="J320" s="320"/>
      <c r="K320" s="320"/>
      <c r="L320" s="320"/>
      <c r="M320" s="320"/>
      <c r="N320" s="320"/>
      <c r="O320" s="320"/>
      <c r="P320" s="320"/>
      <c r="Q320" s="320"/>
      <c r="R320" s="320"/>
      <c r="S320" s="320"/>
      <c r="T320" s="320"/>
      <c r="U320" s="320"/>
      <c r="V320" s="320"/>
      <c r="W320" s="320"/>
      <c r="X320" s="320"/>
      <c r="Y320" s="320"/>
      <c r="Z320" s="320"/>
    </row>
    <row r="321">
      <c r="A321" s="320"/>
      <c r="B321" s="320"/>
      <c r="C321" s="320"/>
      <c r="D321" s="320"/>
      <c r="E321" s="320"/>
      <c r="F321" s="320"/>
      <c r="G321" s="320"/>
      <c r="H321" s="320"/>
      <c r="I321" s="320"/>
      <c r="J321" s="320"/>
      <c r="K321" s="320"/>
      <c r="L321" s="320"/>
      <c r="M321" s="320"/>
      <c r="N321" s="320"/>
      <c r="O321" s="320"/>
      <c r="P321" s="320"/>
      <c r="Q321" s="320"/>
      <c r="R321" s="320"/>
      <c r="S321" s="320"/>
      <c r="T321" s="320"/>
      <c r="U321" s="320"/>
      <c r="V321" s="320"/>
      <c r="W321" s="320"/>
      <c r="X321" s="320"/>
      <c r="Y321" s="320"/>
      <c r="Z321" s="320"/>
    </row>
    <row r="322">
      <c r="A322" s="320"/>
      <c r="B322" s="320"/>
      <c r="C322" s="320"/>
      <c r="D322" s="320"/>
      <c r="E322" s="320"/>
      <c r="F322" s="320"/>
      <c r="G322" s="320"/>
      <c r="H322" s="320"/>
      <c r="I322" s="320"/>
      <c r="J322" s="320"/>
      <c r="K322" s="320"/>
      <c r="L322" s="320"/>
      <c r="M322" s="320"/>
      <c r="N322" s="320"/>
      <c r="O322" s="320"/>
      <c r="P322" s="320"/>
      <c r="Q322" s="320"/>
      <c r="R322" s="320"/>
      <c r="S322" s="320"/>
      <c r="T322" s="320"/>
      <c r="U322" s="320"/>
      <c r="V322" s="320"/>
      <c r="W322" s="320"/>
      <c r="X322" s="320"/>
      <c r="Y322" s="320"/>
      <c r="Z322" s="320"/>
    </row>
    <row r="323">
      <c r="A323" s="320"/>
      <c r="B323" s="320"/>
      <c r="C323" s="320"/>
      <c r="D323" s="320"/>
      <c r="E323" s="320"/>
      <c r="F323" s="320"/>
      <c r="G323" s="320"/>
      <c r="H323" s="320"/>
      <c r="I323" s="320"/>
      <c r="J323" s="320"/>
      <c r="K323" s="320"/>
      <c r="L323" s="320"/>
      <c r="M323" s="320"/>
      <c r="N323" s="320"/>
      <c r="O323" s="320"/>
      <c r="P323" s="320"/>
      <c r="Q323" s="320"/>
      <c r="R323" s="320"/>
      <c r="S323" s="320"/>
      <c r="T323" s="320"/>
      <c r="U323" s="320"/>
      <c r="V323" s="320"/>
      <c r="W323" s="320"/>
      <c r="X323" s="320"/>
      <c r="Y323" s="320"/>
      <c r="Z323" s="320"/>
    </row>
    <row r="324">
      <c r="A324" s="320"/>
      <c r="B324" s="320"/>
      <c r="C324" s="320"/>
      <c r="D324" s="320"/>
      <c r="E324" s="320"/>
      <c r="F324" s="320"/>
      <c r="G324" s="320"/>
      <c r="H324" s="320"/>
      <c r="I324" s="320"/>
      <c r="J324" s="320"/>
      <c r="K324" s="320"/>
      <c r="L324" s="320"/>
      <c r="M324" s="320"/>
      <c r="N324" s="320"/>
      <c r="O324" s="320"/>
      <c r="P324" s="320"/>
      <c r="Q324" s="320"/>
      <c r="R324" s="320"/>
      <c r="S324" s="320"/>
      <c r="T324" s="320"/>
      <c r="U324" s="320"/>
      <c r="V324" s="320"/>
      <c r="W324" s="320"/>
      <c r="X324" s="320"/>
      <c r="Y324" s="320"/>
      <c r="Z324" s="320"/>
    </row>
    <row r="325">
      <c r="A325" s="320"/>
      <c r="B325" s="320"/>
      <c r="C325" s="320"/>
      <c r="D325" s="320"/>
      <c r="E325" s="320"/>
      <c r="F325" s="320"/>
      <c r="G325" s="320"/>
      <c r="H325" s="320"/>
      <c r="I325" s="320"/>
      <c r="J325" s="320"/>
      <c r="K325" s="320"/>
      <c r="L325" s="320"/>
      <c r="M325" s="320"/>
      <c r="N325" s="320"/>
      <c r="O325" s="320"/>
      <c r="P325" s="320"/>
      <c r="Q325" s="320"/>
      <c r="R325" s="320"/>
      <c r="S325" s="320"/>
      <c r="T325" s="320"/>
      <c r="U325" s="320"/>
      <c r="V325" s="320"/>
      <c r="W325" s="320"/>
      <c r="X325" s="320"/>
      <c r="Y325" s="320"/>
      <c r="Z325" s="320"/>
    </row>
    <row r="326">
      <c r="A326" s="320"/>
      <c r="B326" s="320"/>
      <c r="C326" s="320"/>
      <c r="D326" s="320"/>
      <c r="E326" s="320"/>
      <c r="F326" s="320"/>
      <c r="G326" s="320"/>
      <c r="H326" s="320"/>
      <c r="I326" s="320"/>
      <c r="J326" s="320"/>
      <c r="K326" s="320"/>
      <c r="L326" s="320"/>
      <c r="M326" s="320"/>
      <c r="N326" s="320"/>
      <c r="O326" s="320"/>
      <c r="P326" s="320"/>
      <c r="Q326" s="320"/>
      <c r="R326" s="320"/>
      <c r="S326" s="320"/>
      <c r="T326" s="320"/>
      <c r="U326" s="320"/>
      <c r="V326" s="320"/>
      <c r="W326" s="320"/>
      <c r="X326" s="320"/>
      <c r="Y326" s="320"/>
      <c r="Z326" s="320"/>
    </row>
    <row r="327">
      <c r="A327" s="320"/>
      <c r="B327" s="320"/>
      <c r="C327" s="320"/>
      <c r="D327" s="320"/>
      <c r="E327" s="320"/>
      <c r="F327" s="320"/>
      <c r="G327" s="320"/>
      <c r="H327" s="320"/>
      <c r="I327" s="320"/>
      <c r="J327" s="320"/>
      <c r="K327" s="320"/>
      <c r="L327" s="320"/>
      <c r="M327" s="320"/>
      <c r="N327" s="320"/>
      <c r="O327" s="320"/>
      <c r="P327" s="320"/>
      <c r="Q327" s="320"/>
      <c r="R327" s="320"/>
      <c r="S327" s="320"/>
      <c r="T327" s="320"/>
      <c r="U327" s="320"/>
      <c r="V327" s="320"/>
      <c r="W327" s="320"/>
      <c r="X327" s="320"/>
      <c r="Y327" s="320"/>
      <c r="Z327" s="320"/>
    </row>
    <row r="328">
      <c r="A328" s="320"/>
      <c r="B328" s="320"/>
      <c r="C328" s="320"/>
      <c r="D328" s="320"/>
      <c r="E328" s="320"/>
      <c r="F328" s="320"/>
      <c r="G328" s="320"/>
      <c r="H328" s="320"/>
      <c r="I328" s="320"/>
      <c r="J328" s="320"/>
      <c r="K328" s="320"/>
      <c r="L328" s="320"/>
      <c r="M328" s="320"/>
      <c r="N328" s="320"/>
      <c r="O328" s="320"/>
      <c r="P328" s="320"/>
      <c r="Q328" s="320"/>
      <c r="R328" s="320"/>
      <c r="S328" s="320"/>
      <c r="T328" s="320"/>
      <c r="U328" s="320"/>
      <c r="V328" s="320"/>
      <c r="W328" s="320"/>
      <c r="X328" s="320"/>
      <c r="Y328" s="320"/>
      <c r="Z328" s="320"/>
    </row>
    <row r="329">
      <c r="A329" s="320"/>
      <c r="B329" s="320"/>
      <c r="C329" s="320"/>
      <c r="D329" s="320"/>
      <c r="E329" s="320"/>
      <c r="F329" s="320"/>
      <c r="G329" s="320"/>
      <c r="H329" s="320"/>
      <c r="I329" s="320"/>
      <c r="J329" s="320"/>
      <c r="K329" s="320"/>
      <c r="L329" s="320"/>
      <c r="M329" s="320"/>
      <c r="N329" s="320"/>
      <c r="O329" s="320"/>
      <c r="P329" s="320"/>
      <c r="Q329" s="320"/>
      <c r="R329" s="320"/>
      <c r="S329" s="320"/>
      <c r="T329" s="320"/>
      <c r="U329" s="320"/>
      <c r="V329" s="320"/>
      <c r="W329" s="320"/>
      <c r="X329" s="320"/>
      <c r="Y329" s="320"/>
      <c r="Z329" s="320"/>
    </row>
    <row r="330">
      <c r="A330" s="320"/>
      <c r="B330" s="320"/>
      <c r="C330" s="320"/>
      <c r="D330" s="320"/>
      <c r="E330" s="320"/>
      <c r="F330" s="320"/>
      <c r="G330" s="320"/>
      <c r="H330" s="320"/>
      <c r="I330" s="320"/>
      <c r="J330" s="320"/>
      <c r="K330" s="320"/>
      <c r="L330" s="320"/>
      <c r="M330" s="320"/>
      <c r="N330" s="320"/>
      <c r="O330" s="320"/>
      <c r="P330" s="320"/>
      <c r="Q330" s="320"/>
      <c r="R330" s="320"/>
      <c r="S330" s="320"/>
      <c r="T330" s="320"/>
      <c r="U330" s="320"/>
      <c r="V330" s="320"/>
      <c r="W330" s="320"/>
      <c r="X330" s="320"/>
      <c r="Y330" s="320"/>
      <c r="Z330" s="320"/>
    </row>
    <row r="331">
      <c r="A331" s="320"/>
      <c r="B331" s="320"/>
      <c r="C331" s="320"/>
      <c r="D331" s="320"/>
      <c r="E331" s="320"/>
      <c r="F331" s="320"/>
      <c r="G331" s="320"/>
      <c r="H331" s="320"/>
      <c r="I331" s="320"/>
      <c r="J331" s="320"/>
      <c r="K331" s="320"/>
      <c r="L331" s="320"/>
      <c r="M331" s="320"/>
      <c r="N331" s="320"/>
      <c r="O331" s="320"/>
      <c r="P331" s="320"/>
      <c r="Q331" s="320"/>
      <c r="R331" s="320"/>
      <c r="S331" s="320"/>
      <c r="T331" s="320"/>
      <c r="U331" s="320"/>
      <c r="V331" s="320"/>
      <c r="W331" s="320"/>
      <c r="X331" s="320"/>
      <c r="Y331" s="320"/>
      <c r="Z331" s="320"/>
    </row>
    <row r="332">
      <c r="A332" s="320"/>
      <c r="B332" s="320"/>
      <c r="C332" s="320"/>
      <c r="D332" s="320"/>
      <c r="E332" s="320"/>
      <c r="F332" s="320"/>
      <c r="G332" s="320"/>
      <c r="H332" s="320"/>
      <c r="I332" s="320"/>
      <c r="J332" s="320"/>
      <c r="K332" s="320"/>
      <c r="L332" s="320"/>
      <c r="M332" s="320"/>
      <c r="N332" s="320"/>
      <c r="O332" s="320"/>
      <c r="P332" s="320"/>
      <c r="Q332" s="320"/>
      <c r="R332" s="320"/>
      <c r="S332" s="320"/>
      <c r="T332" s="320"/>
      <c r="U332" s="320"/>
      <c r="V332" s="320"/>
      <c r="W332" s="320"/>
      <c r="X332" s="320"/>
      <c r="Y332" s="320"/>
      <c r="Z332" s="320"/>
    </row>
    <row r="333">
      <c r="A333" s="320"/>
      <c r="B333" s="320"/>
      <c r="C333" s="320"/>
      <c r="D333" s="320"/>
      <c r="E333" s="320"/>
      <c r="F333" s="320"/>
      <c r="G333" s="320"/>
      <c r="H333" s="320"/>
      <c r="I333" s="320"/>
      <c r="J333" s="320"/>
      <c r="K333" s="320"/>
      <c r="L333" s="320"/>
      <c r="M333" s="320"/>
      <c r="N333" s="320"/>
      <c r="O333" s="320"/>
      <c r="P333" s="320"/>
      <c r="Q333" s="320"/>
      <c r="R333" s="320"/>
      <c r="S333" s="320"/>
      <c r="T333" s="320"/>
      <c r="U333" s="320"/>
      <c r="V333" s="320"/>
      <c r="W333" s="320"/>
      <c r="X333" s="320"/>
      <c r="Y333" s="320"/>
      <c r="Z333" s="320"/>
    </row>
    <row r="334">
      <c r="A334" s="320"/>
      <c r="B334" s="320"/>
      <c r="C334" s="320"/>
      <c r="D334" s="320"/>
      <c r="E334" s="320"/>
      <c r="F334" s="320"/>
      <c r="G334" s="320"/>
      <c r="H334" s="320"/>
      <c r="I334" s="320"/>
      <c r="J334" s="320"/>
      <c r="K334" s="320"/>
      <c r="L334" s="320"/>
      <c r="M334" s="320"/>
      <c r="N334" s="320"/>
      <c r="O334" s="320"/>
      <c r="P334" s="320"/>
      <c r="Q334" s="320"/>
      <c r="R334" s="320"/>
      <c r="S334" s="320"/>
      <c r="T334" s="320"/>
      <c r="U334" s="320"/>
      <c r="V334" s="320"/>
      <c r="W334" s="320"/>
      <c r="X334" s="320"/>
      <c r="Y334" s="320"/>
      <c r="Z334" s="320"/>
    </row>
    <row r="335">
      <c r="A335" s="320"/>
      <c r="B335" s="320"/>
      <c r="C335" s="320"/>
      <c r="D335" s="320"/>
      <c r="E335" s="320"/>
      <c r="F335" s="320"/>
      <c r="G335" s="320"/>
      <c r="H335" s="320"/>
      <c r="I335" s="320"/>
      <c r="J335" s="320"/>
      <c r="K335" s="320"/>
      <c r="L335" s="320"/>
      <c r="M335" s="320"/>
      <c r="N335" s="320"/>
      <c r="O335" s="320"/>
      <c r="P335" s="320"/>
      <c r="Q335" s="320"/>
      <c r="R335" s="320"/>
      <c r="S335" s="320"/>
      <c r="T335" s="320"/>
      <c r="U335" s="320"/>
      <c r="V335" s="320"/>
      <c r="W335" s="320"/>
      <c r="X335" s="320"/>
      <c r="Y335" s="320"/>
      <c r="Z335" s="320"/>
    </row>
    <row r="336">
      <c r="A336" s="320"/>
      <c r="B336" s="320"/>
      <c r="C336" s="320"/>
      <c r="D336" s="320"/>
      <c r="E336" s="320"/>
      <c r="F336" s="320"/>
      <c r="G336" s="320"/>
      <c r="H336" s="320"/>
      <c r="I336" s="320"/>
      <c r="J336" s="320"/>
      <c r="K336" s="320"/>
      <c r="L336" s="320"/>
      <c r="M336" s="320"/>
      <c r="N336" s="320"/>
      <c r="O336" s="320"/>
      <c r="P336" s="320"/>
      <c r="Q336" s="320"/>
      <c r="R336" s="320"/>
      <c r="S336" s="320"/>
      <c r="T336" s="320"/>
      <c r="U336" s="320"/>
      <c r="V336" s="320"/>
      <c r="W336" s="320"/>
      <c r="X336" s="320"/>
      <c r="Y336" s="320"/>
      <c r="Z336" s="320"/>
    </row>
    <row r="337">
      <c r="A337" s="320"/>
      <c r="B337" s="320"/>
      <c r="C337" s="320"/>
      <c r="D337" s="320"/>
      <c r="E337" s="320"/>
      <c r="F337" s="320"/>
      <c r="G337" s="320"/>
      <c r="H337" s="320"/>
      <c r="I337" s="320"/>
      <c r="J337" s="320"/>
      <c r="K337" s="320"/>
      <c r="L337" s="320"/>
      <c r="M337" s="320"/>
      <c r="N337" s="320"/>
      <c r="O337" s="320"/>
      <c r="P337" s="320"/>
      <c r="Q337" s="320"/>
      <c r="R337" s="320"/>
      <c r="S337" s="320"/>
      <c r="T337" s="320"/>
      <c r="U337" s="320"/>
      <c r="V337" s="320"/>
      <c r="W337" s="320"/>
      <c r="X337" s="320"/>
      <c r="Y337" s="320"/>
      <c r="Z337" s="320"/>
    </row>
    <row r="338">
      <c r="A338" s="320"/>
      <c r="B338" s="320"/>
      <c r="C338" s="320"/>
      <c r="D338" s="320"/>
      <c r="E338" s="320"/>
      <c r="F338" s="320"/>
      <c r="G338" s="320"/>
      <c r="H338" s="320"/>
      <c r="I338" s="320"/>
      <c r="J338" s="320"/>
      <c r="K338" s="320"/>
      <c r="L338" s="320"/>
      <c r="M338" s="320"/>
      <c r="N338" s="320"/>
      <c r="O338" s="320"/>
      <c r="P338" s="320"/>
      <c r="Q338" s="320"/>
      <c r="R338" s="320"/>
      <c r="S338" s="320"/>
      <c r="T338" s="320"/>
      <c r="U338" s="320"/>
      <c r="V338" s="320"/>
      <c r="W338" s="320"/>
      <c r="X338" s="320"/>
      <c r="Y338" s="320"/>
      <c r="Z338" s="320"/>
    </row>
    <row r="339">
      <c r="A339" s="320"/>
      <c r="B339" s="320"/>
      <c r="C339" s="320"/>
      <c r="D339" s="320"/>
      <c r="E339" s="320"/>
      <c r="F339" s="320"/>
      <c r="G339" s="320"/>
      <c r="H339" s="320"/>
      <c r="I339" s="320"/>
      <c r="J339" s="320"/>
      <c r="K339" s="320"/>
      <c r="L339" s="320"/>
      <c r="M339" s="320"/>
      <c r="N339" s="320"/>
      <c r="O339" s="320"/>
      <c r="P339" s="320"/>
      <c r="Q339" s="320"/>
      <c r="R339" s="320"/>
      <c r="S339" s="320"/>
      <c r="T339" s="320"/>
      <c r="U339" s="320"/>
      <c r="V339" s="320"/>
      <c r="W339" s="320"/>
      <c r="X339" s="320"/>
      <c r="Y339" s="320"/>
      <c r="Z339" s="320"/>
    </row>
    <row r="340">
      <c r="A340" s="320"/>
      <c r="B340" s="320"/>
      <c r="C340" s="320"/>
      <c r="D340" s="320"/>
      <c r="E340" s="320"/>
      <c r="F340" s="320"/>
      <c r="G340" s="320"/>
      <c r="H340" s="320"/>
      <c r="I340" s="320"/>
      <c r="J340" s="320"/>
      <c r="K340" s="320"/>
      <c r="L340" s="320"/>
      <c r="M340" s="320"/>
      <c r="N340" s="320"/>
      <c r="O340" s="320"/>
      <c r="P340" s="320"/>
      <c r="Q340" s="320"/>
      <c r="R340" s="320"/>
      <c r="S340" s="320"/>
      <c r="T340" s="320"/>
      <c r="U340" s="320"/>
      <c r="V340" s="320"/>
      <c r="W340" s="320"/>
      <c r="X340" s="320"/>
      <c r="Y340" s="320"/>
      <c r="Z340" s="320"/>
    </row>
    <row r="341">
      <c r="A341" s="320"/>
      <c r="B341" s="320"/>
      <c r="C341" s="320"/>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row>
    <row r="342">
      <c r="A342" s="320"/>
      <c r="B342" s="320"/>
      <c r="C342" s="320"/>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row>
    <row r="343">
      <c r="A343" s="320"/>
      <c r="B343" s="320"/>
      <c r="C343" s="320"/>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row>
    <row r="344">
      <c r="A344" s="320"/>
      <c r="B344" s="320"/>
      <c r="C344" s="320"/>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row>
    <row r="345">
      <c r="A345" s="320"/>
      <c r="B345" s="320"/>
      <c r="C345" s="320"/>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row>
    <row r="346">
      <c r="A346" s="320"/>
      <c r="B346" s="320"/>
      <c r="C346" s="320"/>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row>
    <row r="347">
      <c r="A347" s="320"/>
      <c r="B347" s="320"/>
      <c r="C347" s="320"/>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row>
    <row r="348">
      <c r="A348" s="320"/>
      <c r="B348" s="320"/>
      <c r="C348" s="320"/>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row>
    <row r="349">
      <c r="A349" s="320"/>
      <c r="B349" s="320"/>
      <c r="C349" s="320"/>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row>
    <row r="350">
      <c r="A350" s="320"/>
      <c r="B350" s="320"/>
      <c r="C350" s="320"/>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row>
    <row r="351">
      <c r="A351" s="320"/>
      <c r="B351" s="320"/>
      <c r="C351" s="320"/>
      <c r="D351" s="320"/>
      <c r="E351" s="320"/>
      <c r="F351" s="320"/>
      <c r="G351" s="320"/>
      <c r="H351" s="320"/>
      <c r="I351" s="320"/>
      <c r="J351" s="320"/>
      <c r="K351" s="320"/>
      <c r="L351" s="320"/>
      <c r="M351" s="320"/>
      <c r="N351" s="320"/>
      <c r="O351" s="320"/>
      <c r="P351" s="320"/>
      <c r="Q351" s="320"/>
      <c r="R351" s="320"/>
      <c r="S351" s="320"/>
      <c r="T351" s="320"/>
      <c r="U351" s="320"/>
      <c r="V351" s="320"/>
      <c r="W351" s="320"/>
      <c r="X351" s="320"/>
      <c r="Y351" s="320"/>
      <c r="Z351" s="320"/>
    </row>
    <row r="352">
      <c r="A352" s="320"/>
      <c r="B352" s="320"/>
      <c r="C352" s="320"/>
      <c r="D352" s="320"/>
      <c r="E352" s="320"/>
      <c r="F352" s="320"/>
      <c r="G352" s="320"/>
      <c r="H352" s="320"/>
      <c r="I352" s="320"/>
      <c r="J352" s="320"/>
      <c r="K352" s="320"/>
      <c r="L352" s="320"/>
      <c r="M352" s="320"/>
      <c r="N352" s="320"/>
      <c r="O352" s="320"/>
      <c r="P352" s="320"/>
      <c r="Q352" s="320"/>
      <c r="R352" s="320"/>
      <c r="S352" s="320"/>
      <c r="T352" s="320"/>
      <c r="U352" s="320"/>
      <c r="V352" s="320"/>
      <c r="W352" s="320"/>
      <c r="X352" s="320"/>
      <c r="Y352" s="320"/>
      <c r="Z352" s="320"/>
    </row>
    <row r="353">
      <c r="A353" s="320"/>
      <c r="B353" s="320"/>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row>
    <row r="354">
      <c r="A354" s="320"/>
      <c r="B354" s="320"/>
      <c r="C354" s="320"/>
      <c r="D354" s="320"/>
      <c r="E354" s="320"/>
      <c r="F354" s="320"/>
      <c r="G354" s="320"/>
      <c r="H354" s="320"/>
      <c r="I354" s="320"/>
      <c r="J354" s="320"/>
      <c r="K354" s="320"/>
      <c r="L354" s="320"/>
      <c r="M354" s="320"/>
      <c r="N354" s="320"/>
      <c r="O354" s="320"/>
      <c r="P354" s="320"/>
      <c r="Q354" s="320"/>
      <c r="R354" s="320"/>
      <c r="S354" s="320"/>
      <c r="T354" s="320"/>
      <c r="U354" s="320"/>
      <c r="V354" s="320"/>
      <c r="W354" s="320"/>
      <c r="X354" s="320"/>
      <c r="Y354" s="320"/>
      <c r="Z354" s="320"/>
    </row>
    <row r="355">
      <c r="A355" s="320"/>
      <c r="B355" s="320"/>
      <c r="C355" s="320"/>
      <c r="D355" s="320"/>
      <c r="E355" s="320"/>
      <c r="F355" s="320"/>
      <c r="G355" s="320"/>
      <c r="H355" s="320"/>
      <c r="I355" s="320"/>
      <c r="J355" s="320"/>
      <c r="K355" s="320"/>
      <c r="L355" s="320"/>
      <c r="M355" s="320"/>
      <c r="N355" s="320"/>
      <c r="O355" s="320"/>
      <c r="P355" s="320"/>
      <c r="Q355" s="320"/>
      <c r="R355" s="320"/>
      <c r="S355" s="320"/>
      <c r="T355" s="320"/>
      <c r="U355" s="320"/>
      <c r="V355" s="320"/>
      <c r="W355" s="320"/>
      <c r="X355" s="320"/>
      <c r="Y355" s="320"/>
      <c r="Z355" s="320"/>
    </row>
    <row r="356">
      <c r="A356" s="320"/>
      <c r="B356" s="320"/>
      <c r="C356" s="320"/>
      <c r="D356" s="320"/>
      <c r="E356" s="320"/>
      <c r="F356" s="320"/>
      <c r="G356" s="320"/>
      <c r="H356" s="320"/>
      <c r="I356" s="320"/>
      <c r="J356" s="320"/>
      <c r="K356" s="320"/>
      <c r="L356" s="320"/>
      <c r="M356" s="320"/>
      <c r="N356" s="320"/>
      <c r="O356" s="320"/>
      <c r="P356" s="320"/>
      <c r="Q356" s="320"/>
      <c r="R356" s="320"/>
      <c r="S356" s="320"/>
      <c r="T356" s="320"/>
      <c r="U356" s="320"/>
      <c r="V356" s="320"/>
      <c r="W356" s="320"/>
      <c r="X356" s="320"/>
      <c r="Y356" s="320"/>
      <c r="Z356" s="320"/>
    </row>
    <row r="357">
      <c r="A357" s="320"/>
      <c r="B357" s="320"/>
      <c r="C357" s="320"/>
      <c r="D357" s="320"/>
      <c r="E357" s="320"/>
      <c r="F357" s="320"/>
      <c r="G357" s="320"/>
      <c r="H357" s="320"/>
      <c r="I357" s="320"/>
      <c r="J357" s="320"/>
      <c r="K357" s="320"/>
      <c r="L357" s="320"/>
      <c r="M357" s="320"/>
      <c r="N357" s="320"/>
      <c r="O357" s="320"/>
      <c r="P357" s="320"/>
      <c r="Q357" s="320"/>
      <c r="R357" s="320"/>
      <c r="S357" s="320"/>
      <c r="T357" s="320"/>
      <c r="U357" s="320"/>
      <c r="V357" s="320"/>
      <c r="W357" s="320"/>
      <c r="X357" s="320"/>
      <c r="Y357" s="320"/>
      <c r="Z357" s="320"/>
    </row>
    <row r="358">
      <c r="A358" s="320"/>
      <c r="B358" s="320"/>
      <c r="C358" s="320"/>
      <c r="D358" s="320"/>
      <c r="E358" s="320"/>
      <c r="F358" s="320"/>
      <c r="G358" s="320"/>
      <c r="H358" s="320"/>
      <c r="I358" s="320"/>
      <c r="J358" s="320"/>
      <c r="K358" s="320"/>
      <c r="L358" s="320"/>
      <c r="M358" s="320"/>
      <c r="N358" s="320"/>
      <c r="O358" s="320"/>
      <c r="P358" s="320"/>
      <c r="Q358" s="320"/>
      <c r="R358" s="320"/>
      <c r="S358" s="320"/>
      <c r="T358" s="320"/>
      <c r="U358" s="320"/>
      <c r="V358" s="320"/>
      <c r="W358" s="320"/>
      <c r="X358" s="320"/>
      <c r="Y358" s="320"/>
      <c r="Z358" s="320"/>
    </row>
    <row r="359">
      <c r="A359" s="320"/>
      <c r="B359" s="320"/>
      <c r="C359" s="320"/>
      <c r="D359" s="320"/>
      <c r="E359" s="320"/>
      <c r="F359" s="320"/>
      <c r="G359" s="320"/>
      <c r="H359" s="320"/>
      <c r="I359" s="320"/>
      <c r="J359" s="320"/>
      <c r="K359" s="320"/>
      <c r="L359" s="320"/>
      <c r="M359" s="320"/>
      <c r="N359" s="320"/>
      <c r="O359" s="320"/>
      <c r="P359" s="320"/>
      <c r="Q359" s="320"/>
      <c r="R359" s="320"/>
      <c r="S359" s="320"/>
      <c r="T359" s="320"/>
      <c r="U359" s="320"/>
      <c r="V359" s="320"/>
      <c r="W359" s="320"/>
      <c r="X359" s="320"/>
      <c r="Y359" s="320"/>
      <c r="Z359" s="320"/>
    </row>
    <row r="360">
      <c r="A360" s="320"/>
      <c r="B360" s="320"/>
      <c r="C360" s="320"/>
      <c r="D360" s="320"/>
      <c r="E360" s="320"/>
      <c r="F360" s="320"/>
      <c r="G360" s="320"/>
      <c r="H360" s="320"/>
      <c r="I360" s="320"/>
      <c r="J360" s="320"/>
      <c r="K360" s="320"/>
      <c r="L360" s="320"/>
      <c r="M360" s="320"/>
      <c r="N360" s="320"/>
      <c r="O360" s="320"/>
      <c r="P360" s="320"/>
      <c r="Q360" s="320"/>
      <c r="R360" s="320"/>
      <c r="S360" s="320"/>
      <c r="T360" s="320"/>
      <c r="U360" s="320"/>
      <c r="V360" s="320"/>
      <c r="W360" s="320"/>
      <c r="X360" s="320"/>
      <c r="Y360" s="320"/>
      <c r="Z360" s="320"/>
    </row>
    <row r="361">
      <c r="A361" s="320"/>
      <c r="B361" s="320"/>
      <c r="C361" s="320"/>
      <c r="D361" s="320"/>
      <c r="E361" s="320"/>
      <c r="F361" s="320"/>
      <c r="G361" s="320"/>
      <c r="H361" s="320"/>
      <c r="I361" s="320"/>
      <c r="J361" s="320"/>
      <c r="K361" s="320"/>
      <c r="L361" s="320"/>
      <c r="M361" s="320"/>
      <c r="N361" s="320"/>
      <c r="O361" s="320"/>
      <c r="P361" s="320"/>
      <c r="Q361" s="320"/>
      <c r="R361" s="320"/>
      <c r="S361" s="320"/>
      <c r="T361" s="320"/>
      <c r="U361" s="320"/>
      <c r="V361" s="320"/>
      <c r="W361" s="320"/>
      <c r="X361" s="320"/>
      <c r="Y361" s="320"/>
      <c r="Z361" s="320"/>
    </row>
    <row r="362">
      <c r="A362" s="320"/>
      <c r="B362" s="320"/>
      <c r="C362" s="320"/>
      <c r="D362" s="320"/>
      <c r="E362" s="320"/>
      <c r="F362" s="320"/>
      <c r="G362" s="320"/>
      <c r="H362" s="320"/>
      <c r="I362" s="320"/>
      <c r="J362" s="320"/>
      <c r="K362" s="320"/>
      <c r="L362" s="320"/>
      <c r="M362" s="320"/>
      <c r="N362" s="320"/>
      <c r="O362" s="320"/>
      <c r="P362" s="320"/>
      <c r="Q362" s="320"/>
      <c r="R362" s="320"/>
      <c r="S362" s="320"/>
      <c r="T362" s="320"/>
      <c r="U362" s="320"/>
      <c r="V362" s="320"/>
      <c r="W362" s="320"/>
      <c r="X362" s="320"/>
      <c r="Y362" s="320"/>
      <c r="Z362" s="320"/>
    </row>
    <row r="363">
      <c r="A363" s="320"/>
      <c r="B363" s="320"/>
      <c r="C363" s="320"/>
      <c r="D363" s="320"/>
      <c r="E363" s="320"/>
      <c r="F363" s="320"/>
      <c r="G363" s="320"/>
      <c r="H363" s="320"/>
      <c r="I363" s="320"/>
      <c r="J363" s="320"/>
      <c r="K363" s="320"/>
      <c r="L363" s="320"/>
      <c r="M363" s="320"/>
      <c r="N363" s="320"/>
      <c r="O363" s="320"/>
      <c r="P363" s="320"/>
      <c r="Q363" s="320"/>
      <c r="R363" s="320"/>
      <c r="S363" s="320"/>
      <c r="T363" s="320"/>
      <c r="U363" s="320"/>
      <c r="V363" s="320"/>
      <c r="W363" s="320"/>
      <c r="X363" s="320"/>
      <c r="Y363" s="320"/>
      <c r="Z363" s="320"/>
    </row>
    <row r="364">
      <c r="A364" s="320"/>
      <c r="B364" s="320"/>
      <c r="C364" s="320"/>
      <c r="D364" s="320"/>
      <c r="E364" s="320"/>
      <c r="F364" s="320"/>
      <c r="G364" s="320"/>
      <c r="H364" s="320"/>
      <c r="I364" s="320"/>
      <c r="J364" s="320"/>
      <c r="K364" s="320"/>
      <c r="L364" s="320"/>
      <c r="M364" s="320"/>
      <c r="N364" s="320"/>
      <c r="O364" s="320"/>
      <c r="P364" s="320"/>
      <c r="Q364" s="320"/>
      <c r="R364" s="320"/>
      <c r="S364" s="320"/>
      <c r="T364" s="320"/>
      <c r="U364" s="320"/>
      <c r="V364" s="320"/>
      <c r="W364" s="320"/>
      <c r="X364" s="320"/>
      <c r="Y364" s="320"/>
      <c r="Z364" s="320"/>
    </row>
    <row r="365">
      <c r="A365" s="320"/>
      <c r="B365" s="320"/>
      <c r="C365" s="320"/>
      <c r="D365" s="320"/>
      <c r="E365" s="320"/>
      <c r="F365" s="320"/>
      <c r="G365" s="320"/>
      <c r="H365" s="320"/>
      <c r="I365" s="320"/>
      <c r="J365" s="320"/>
      <c r="K365" s="320"/>
      <c r="L365" s="320"/>
      <c r="M365" s="320"/>
      <c r="N365" s="320"/>
      <c r="O365" s="320"/>
      <c r="P365" s="320"/>
      <c r="Q365" s="320"/>
      <c r="R365" s="320"/>
      <c r="S365" s="320"/>
      <c r="T365" s="320"/>
      <c r="U365" s="320"/>
      <c r="V365" s="320"/>
      <c r="W365" s="320"/>
      <c r="X365" s="320"/>
      <c r="Y365" s="320"/>
      <c r="Z365" s="320"/>
    </row>
    <row r="366">
      <c r="A366" s="320"/>
      <c r="B366" s="320"/>
      <c r="C366" s="320"/>
      <c r="D366" s="320"/>
      <c r="E366" s="320"/>
      <c r="F366" s="320"/>
      <c r="G366" s="320"/>
      <c r="H366" s="320"/>
      <c r="I366" s="320"/>
      <c r="J366" s="320"/>
      <c r="K366" s="320"/>
      <c r="L366" s="320"/>
      <c r="M366" s="320"/>
      <c r="N366" s="320"/>
      <c r="O366" s="320"/>
      <c r="P366" s="320"/>
      <c r="Q366" s="320"/>
      <c r="R366" s="320"/>
      <c r="S366" s="320"/>
      <c r="T366" s="320"/>
      <c r="U366" s="320"/>
      <c r="V366" s="320"/>
      <c r="W366" s="320"/>
      <c r="X366" s="320"/>
      <c r="Y366" s="320"/>
      <c r="Z366" s="320"/>
    </row>
    <row r="367">
      <c r="A367" s="320"/>
      <c r="B367" s="320"/>
      <c r="C367" s="320"/>
      <c r="D367" s="320"/>
      <c r="E367" s="320"/>
      <c r="F367" s="320"/>
      <c r="G367" s="320"/>
      <c r="H367" s="320"/>
      <c r="I367" s="320"/>
      <c r="J367" s="320"/>
      <c r="K367" s="320"/>
      <c r="L367" s="320"/>
      <c r="M367" s="320"/>
      <c r="N367" s="320"/>
      <c r="O367" s="320"/>
      <c r="P367" s="320"/>
      <c r="Q367" s="320"/>
      <c r="R367" s="320"/>
      <c r="S367" s="320"/>
      <c r="T367" s="320"/>
      <c r="U367" s="320"/>
      <c r="V367" s="320"/>
      <c r="W367" s="320"/>
      <c r="X367" s="320"/>
      <c r="Y367" s="320"/>
      <c r="Z367" s="320"/>
    </row>
    <row r="368">
      <c r="A368" s="320"/>
      <c r="B368" s="320"/>
      <c r="C368" s="320"/>
      <c r="D368" s="320"/>
      <c r="E368" s="320"/>
      <c r="F368" s="320"/>
      <c r="G368" s="320"/>
      <c r="H368" s="320"/>
      <c r="I368" s="320"/>
      <c r="J368" s="320"/>
      <c r="K368" s="320"/>
      <c r="L368" s="320"/>
      <c r="M368" s="320"/>
      <c r="N368" s="320"/>
      <c r="O368" s="320"/>
      <c r="P368" s="320"/>
      <c r="Q368" s="320"/>
      <c r="R368" s="320"/>
      <c r="S368" s="320"/>
      <c r="T368" s="320"/>
      <c r="U368" s="320"/>
      <c r="V368" s="320"/>
      <c r="W368" s="320"/>
      <c r="X368" s="320"/>
      <c r="Y368" s="320"/>
      <c r="Z368" s="320"/>
    </row>
    <row r="369">
      <c r="A369" s="320"/>
      <c r="B369" s="320"/>
      <c r="C369" s="320"/>
      <c r="D369" s="320"/>
      <c r="E369" s="320"/>
      <c r="F369" s="320"/>
      <c r="G369" s="320"/>
      <c r="H369" s="320"/>
      <c r="I369" s="320"/>
      <c r="J369" s="320"/>
      <c r="K369" s="320"/>
      <c r="L369" s="320"/>
      <c r="M369" s="320"/>
      <c r="N369" s="320"/>
      <c r="O369" s="320"/>
      <c r="P369" s="320"/>
      <c r="Q369" s="320"/>
      <c r="R369" s="320"/>
      <c r="S369" s="320"/>
      <c r="T369" s="320"/>
      <c r="U369" s="320"/>
      <c r="V369" s="320"/>
      <c r="W369" s="320"/>
      <c r="X369" s="320"/>
      <c r="Y369" s="320"/>
      <c r="Z369" s="320"/>
    </row>
    <row r="370">
      <c r="A370" s="320"/>
      <c r="B370" s="320"/>
      <c r="C370" s="320"/>
      <c r="D370" s="320"/>
      <c r="E370" s="320"/>
      <c r="F370" s="320"/>
      <c r="G370" s="320"/>
      <c r="H370" s="320"/>
      <c r="I370" s="320"/>
      <c r="J370" s="320"/>
      <c r="K370" s="320"/>
      <c r="L370" s="320"/>
      <c r="M370" s="320"/>
      <c r="N370" s="320"/>
      <c r="O370" s="320"/>
      <c r="P370" s="320"/>
      <c r="Q370" s="320"/>
      <c r="R370" s="320"/>
      <c r="S370" s="320"/>
      <c r="T370" s="320"/>
      <c r="U370" s="320"/>
      <c r="V370" s="320"/>
      <c r="W370" s="320"/>
      <c r="X370" s="320"/>
      <c r="Y370" s="320"/>
      <c r="Z370" s="320"/>
    </row>
    <row r="371">
      <c r="A371" s="320"/>
      <c r="B371" s="320"/>
      <c r="C371" s="320"/>
      <c r="D371" s="320"/>
      <c r="E371" s="320"/>
      <c r="F371" s="320"/>
      <c r="G371" s="320"/>
      <c r="H371" s="320"/>
      <c r="I371" s="320"/>
      <c r="J371" s="320"/>
      <c r="K371" s="320"/>
      <c r="L371" s="320"/>
      <c r="M371" s="320"/>
      <c r="N371" s="320"/>
      <c r="O371" s="320"/>
      <c r="P371" s="320"/>
      <c r="Q371" s="320"/>
      <c r="R371" s="320"/>
      <c r="S371" s="320"/>
      <c r="T371" s="320"/>
      <c r="U371" s="320"/>
      <c r="V371" s="320"/>
      <c r="W371" s="320"/>
      <c r="X371" s="320"/>
      <c r="Y371" s="320"/>
      <c r="Z371" s="320"/>
    </row>
    <row r="372">
      <c r="A372" s="320"/>
      <c r="B372" s="320"/>
      <c r="C372" s="320"/>
      <c r="D372" s="320"/>
      <c r="E372" s="320"/>
      <c r="F372" s="320"/>
      <c r="G372" s="320"/>
      <c r="H372" s="320"/>
      <c r="I372" s="320"/>
      <c r="J372" s="320"/>
      <c r="K372" s="320"/>
      <c r="L372" s="320"/>
      <c r="M372" s="320"/>
      <c r="N372" s="320"/>
      <c r="O372" s="320"/>
      <c r="P372" s="320"/>
      <c r="Q372" s="320"/>
      <c r="R372" s="320"/>
      <c r="S372" s="320"/>
      <c r="T372" s="320"/>
      <c r="U372" s="320"/>
      <c r="V372" s="320"/>
      <c r="W372" s="320"/>
      <c r="X372" s="320"/>
      <c r="Y372" s="320"/>
      <c r="Z372" s="320"/>
    </row>
    <row r="373">
      <c r="A373" s="320"/>
      <c r="B373" s="320"/>
      <c r="C373" s="320"/>
      <c r="D373" s="320"/>
      <c r="E373" s="320"/>
      <c r="F373" s="320"/>
      <c r="G373" s="320"/>
      <c r="H373" s="320"/>
      <c r="I373" s="320"/>
      <c r="J373" s="320"/>
      <c r="K373" s="320"/>
      <c r="L373" s="320"/>
      <c r="M373" s="320"/>
      <c r="N373" s="320"/>
      <c r="O373" s="320"/>
      <c r="P373" s="320"/>
      <c r="Q373" s="320"/>
      <c r="R373" s="320"/>
      <c r="S373" s="320"/>
      <c r="T373" s="320"/>
      <c r="U373" s="320"/>
      <c r="V373" s="320"/>
      <c r="W373" s="320"/>
      <c r="X373" s="320"/>
      <c r="Y373" s="320"/>
      <c r="Z373" s="320"/>
    </row>
    <row r="374">
      <c r="A374" s="320"/>
      <c r="B374" s="320"/>
      <c r="C374" s="320"/>
      <c r="D374" s="320"/>
      <c r="E374" s="320"/>
      <c r="F374" s="320"/>
      <c r="G374" s="320"/>
      <c r="H374" s="320"/>
      <c r="I374" s="320"/>
      <c r="J374" s="320"/>
      <c r="K374" s="320"/>
      <c r="L374" s="320"/>
      <c r="M374" s="320"/>
      <c r="N374" s="320"/>
      <c r="O374" s="320"/>
      <c r="P374" s="320"/>
      <c r="Q374" s="320"/>
      <c r="R374" s="320"/>
      <c r="S374" s="320"/>
      <c r="T374" s="320"/>
      <c r="U374" s="320"/>
      <c r="V374" s="320"/>
      <c r="W374" s="320"/>
      <c r="X374" s="320"/>
      <c r="Y374" s="320"/>
      <c r="Z374" s="320"/>
    </row>
    <row r="375">
      <c r="A375" s="320"/>
      <c r="B375" s="320"/>
      <c r="C375" s="320"/>
      <c r="D375" s="320"/>
      <c r="E375" s="320"/>
      <c r="F375" s="320"/>
      <c r="G375" s="320"/>
      <c r="H375" s="320"/>
      <c r="I375" s="320"/>
      <c r="J375" s="320"/>
      <c r="K375" s="320"/>
      <c r="L375" s="320"/>
      <c r="M375" s="320"/>
      <c r="N375" s="320"/>
      <c r="O375" s="320"/>
      <c r="P375" s="320"/>
      <c r="Q375" s="320"/>
      <c r="R375" s="320"/>
      <c r="S375" s="320"/>
      <c r="T375" s="320"/>
      <c r="U375" s="320"/>
      <c r="V375" s="320"/>
      <c r="W375" s="320"/>
      <c r="X375" s="320"/>
      <c r="Y375" s="320"/>
      <c r="Z375" s="320"/>
    </row>
    <row r="376">
      <c r="A376" s="320"/>
      <c r="B376" s="320"/>
      <c r="C376" s="320"/>
      <c r="D376" s="320"/>
      <c r="E376" s="320"/>
      <c r="F376" s="320"/>
      <c r="G376" s="320"/>
      <c r="H376" s="320"/>
      <c r="I376" s="320"/>
      <c r="J376" s="320"/>
      <c r="K376" s="320"/>
      <c r="L376" s="320"/>
      <c r="M376" s="320"/>
      <c r="N376" s="320"/>
      <c r="O376" s="320"/>
      <c r="P376" s="320"/>
      <c r="Q376" s="320"/>
      <c r="R376" s="320"/>
      <c r="S376" s="320"/>
      <c r="T376" s="320"/>
      <c r="U376" s="320"/>
      <c r="V376" s="320"/>
      <c r="W376" s="320"/>
      <c r="X376" s="320"/>
      <c r="Y376" s="320"/>
      <c r="Z376" s="320"/>
    </row>
    <row r="377">
      <c r="A377" s="320"/>
      <c r="B377" s="320"/>
      <c r="C377" s="320"/>
      <c r="D377" s="320"/>
      <c r="E377" s="320"/>
      <c r="F377" s="320"/>
      <c r="G377" s="320"/>
      <c r="H377" s="320"/>
      <c r="I377" s="320"/>
      <c r="J377" s="320"/>
      <c r="K377" s="320"/>
      <c r="L377" s="320"/>
      <c r="M377" s="320"/>
      <c r="N377" s="320"/>
      <c r="O377" s="320"/>
      <c r="P377" s="320"/>
      <c r="Q377" s="320"/>
      <c r="R377" s="320"/>
      <c r="S377" s="320"/>
      <c r="T377" s="320"/>
      <c r="U377" s="320"/>
      <c r="V377" s="320"/>
      <c r="W377" s="320"/>
      <c r="X377" s="320"/>
      <c r="Y377" s="320"/>
      <c r="Z377" s="320"/>
    </row>
    <row r="378">
      <c r="A378" s="320"/>
      <c r="B378" s="320"/>
      <c r="C378" s="320"/>
      <c r="D378" s="320"/>
      <c r="E378" s="320"/>
      <c r="F378" s="320"/>
      <c r="G378" s="320"/>
      <c r="H378" s="320"/>
      <c r="I378" s="320"/>
      <c r="J378" s="320"/>
      <c r="K378" s="320"/>
      <c r="L378" s="320"/>
      <c r="M378" s="320"/>
      <c r="N378" s="320"/>
      <c r="O378" s="320"/>
      <c r="P378" s="320"/>
      <c r="Q378" s="320"/>
      <c r="R378" s="320"/>
      <c r="S378" s="320"/>
      <c r="T378" s="320"/>
      <c r="U378" s="320"/>
      <c r="V378" s="320"/>
      <c r="W378" s="320"/>
      <c r="X378" s="320"/>
      <c r="Y378" s="320"/>
      <c r="Z378" s="320"/>
    </row>
    <row r="379">
      <c r="A379" s="320"/>
      <c r="B379" s="320"/>
      <c r="C379" s="320"/>
      <c r="D379" s="320"/>
      <c r="E379" s="320"/>
      <c r="F379" s="320"/>
      <c r="G379" s="320"/>
      <c r="H379" s="320"/>
      <c r="I379" s="320"/>
      <c r="J379" s="320"/>
      <c r="K379" s="320"/>
      <c r="L379" s="320"/>
      <c r="M379" s="320"/>
      <c r="N379" s="320"/>
      <c r="O379" s="320"/>
      <c r="P379" s="320"/>
      <c r="Q379" s="320"/>
      <c r="R379" s="320"/>
      <c r="S379" s="320"/>
      <c r="T379" s="320"/>
      <c r="U379" s="320"/>
      <c r="V379" s="320"/>
      <c r="W379" s="320"/>
      <c r="X379" s="320"/>
      <c r="Y379" s="320"/>
      <c r="Z379" s="320"/>
    </row>
    <row r="380">
      <c r="A380" s="320"/>
      <c r="B380" s="320"/>
      <c r="C380" s="320"/>
      <c r="D380" s="320"/>
      <c r="E380" s="320"/>
      <c r="F380" s="320"/>
      <c r="G380" s="320"/>
      <c r="H380" s="320"/>
      <c r="I380" s="320"/>
      <c r="J380" s="320"/>
      <c r="K380" s="320"/>
      <c r="L380" s="320"/>
      <c r="M380" s="320"/>
      <c r="N380" s="320"/>
      <c r="O380" s="320"/>
      <c r="P380" s="320"/>
      <c r="Q380" s="320"/>
      <c r="R380" s="320"/>
      <c r="S380" s="320"/>
      <c r="T380" s="320"/>
      <c r="U380" s="320"/>
      <c r="V380" s="320"/>
      <c r="W380" s="320"/>
      <c r="X380" s="320"/>
      <c r="Y380" s="320"/>
      <c r="Z380" s="320"/>
    </row>
    <row r="381">
      <c r="A381" s="320"/>
      <c r="B381" s="320"/>
      <c r="C381" s="320"/>
      <c r="D381" s="320"/>
      <c r="E381" s="320"/>
      <c r="F381" s="320"/>
      <c r="G381" s="320"/>
      <c r="H381" s="320"/>
      <c r="I381" s="320"/>
      <c r="J381" s="320"/>
      <c r="K381" s="320"/>
      <c r="L381" s="320"/>
      <c r="M381" s="320"/>
      <c r="N381" s="320"/>
      <c r="O381" s="320"/>
      <c r="P381" s="320"/>
      <c r="Q381" s="320"/>
      <c r="R381" s="320"/>
      <c r="S381" s="320"/>
      <c r="T381" s="320"/>
      <c r="U381" s="320"/>
      <c r="V381" s="320"/>
      <c r="W381" s="320"/>
      <c r="X381" s="320"/>
      <c r="Y381" s="320"/>
      <c r="Z381" s="320"/>
    </row>
    <row r="382">
      <c r="A382" s="320"/>
      <c r="B382" s="320"/>
      <c r="C382" s="320"/>
      <c r="D382" s="320"/>
      <c r="E382" s="320"/>
      <c r="F382" s="320"/>
      <c r="G382" s="320"/>
      <c r="H382" s="320"/>
      <c r="I382" s="320"/>
      <c r="J382" s="320"/>
      <c r="K382" s="320"/>
      <c r="L382" s="320"/>
      <c r="M382" s="320"/>
      <c r="N382" s="320"/>
      <c r="O382" s="320"/>
      <c r="P382" s="320"/>
      <c r="Q382" s="320"/>
      <c r="R382" s="320"/>
      <c r="S382" s="320"/>
      <c r="T382" s="320"/>
      <c r="U382" s="320"/>
      <c r="V382" s="320"/>
      <c r="W382" s="320"/>
      <c r="X382" s="320"/>
      <c r="Y382" s="320"/>
      <c r="Z382" s="320"/>
    </row>
    <row r="383">
      <c r="A383" s="320"/>
      <c r="B383" s="320"/>
      <c r="C383" s="320"/>
      <c r="D383" s="320"/>
      <c r="E383" s="320"/>
      <c r="F383" s="320"/>
      <c r="G383" s="320"/>
      <c r="H383" s="320"/>
      <c r="I383" s="320"/>
      <c r="J383" s="320"/>
      <c r="K383" s="320"/>
      <c r="L383" s="320"/>
      <c r="M383" s="320"/>
      <c r="N383" s="320"/>
      <c r="O383" s="320"/>
      <c r="P383" s="320"/>
      <c r="Q383" s="320"/>
      <c r="R383" s="320"/>
      <c r="S383" s="320"/>
      <c r="T383" s="320"/>
      <c r="U383" s="320"/>
      <c r="V383" s="320"/>
      <c r="W383" s="320"/>
      <c r="X383" s="320"/>
      <c r="Y383" s="320"/>
      <c r="Z383" s="320"/>
    </row>
    <row r="384">
      <c r="A384" s="320"/>
      <c r="B384" s="320"/>
      <c r="C384" s="320"/>
      <c r="D384" s="320"/>
      <c r="E384" s="320"/>
      <c r="F384" s="320"/>
      <c r="G384" s="320"/>
      <c r="H384" s="320"/>
      <c r="I384" s="320"/>
      <c r="J384" s="320"/>
      <c r="K384" s="320"/>
      <c r="L384" s="320"/>
      <c r="M384" s="320"/>
      <c r="N384" s="320"/>
      <c r="O384" s="320"/>
      <c r="P384" s="320"/>
      <c r="Q384" s="320"/>
      <c r="R384" s="320"/>
      <c r="S384" s="320"/>
      <c r="T384" s="320"/>
      <c r="U384" s="320"/>
      <c r="V384" s="320"/>
      <c r="W384" s="320"/>
      <c r="X384" s="320"/>
      <c r="Y384" s="320"/>
      <c r="Z384" s="320"/>
    </row>
    <row r="385">
      <c r="A385" s="320"/>
      <c r="B385" s="320"/>
      <c r="C385" s="320"/>
      <c r="D385" s="320"/>
      <c r="E385" s="320"/>
      <c r="F385" s="320"/>
      <c r="G385" s="320"/>
      <c r="H385" s="320"/>
      <c r="I385" s="320"/>
      <c r="J385" s="320"/>
      <c r="K385" s="320"/>
      <c r="L385" s="320"/>
      <c r="M385" s="320"/>
      <c r="N385" s="320"/>
      <c r="O385" s="320"/>
      <c r="P385" s="320"/>
      <c r="Q385" s="320"/>
      <c r="R385" s="320"/>
      <c r="S385" s="320"/>
      <c r="T385" s="320"/>
      <c r="U385" s="320"/>
      <c r="V385" s="320"/>
      <c r="W385" s="320"/>
      <c r="X385" s="320"/>
      <c r="Y385" s="320"/>
      <c r="Z385" s="320"/>
    </row>
    <row r="386">
      <c r="A386" s="320"/>
      <c r="B386" s="320"/>
      <c r="C386" s="320"/>
      <c r="D386" s="320"/>
      <c r="E386" s="320"/>
      <c r="F386" s="320"/>
      <c r="G386" s="320"/>
      <c r="H386" s="320"/>
      <c r="I386" s="320"/>
      <c r="J386" s="320"/>
      <c r="K386" s="320"/>
      <c r="L386" s="320"/>
      <c r="M386" s="320"/>
      <c r="N386" s="320"/>
      <c r="O386" s="320"/>
      <c r="P386" s="320"/>
      <c r="Q386" s="320"/>
      <c r="R386" s="320"/>
      <c r="S386" s="320"/>
      <c r="T386" s="320"/>
      <c r="U386" s="320"/>
      <c r="V386" s="320"/>
      <c r="W386" s="320"/>
      <c r="X386" s="320"/>
      <c r="Y386" s="320"/>
      <c r="Z386" s="320"/>
    </row>
    <row r="387">
      <c r="A387" s="320"/>
      <c r="B387" s="320"/>
      <c r="C387" s="320"/>
      <c r="D387" s="320"/>
      <c r="E387" s="320"/>
      <c r="F387" s="320"/>
      <c r="G387" s="320"/>
      <c r="H387" s="320"/>
      <c r="I387" s="320"/>
      <c r="J387" s="320"/>
      <c r="K387" s="320"/>
      <c r="L387" s="320"/>
      <c r="M387" s="320"/>
      <c r="N387" s="320"/>
      <c r="O387" s="320"/>
      <c r="P387" s="320"/>
      <c r="Q387" s="320"/>
      <c r="R387" s="320"/>
      <c r="S387" s="320"/>
      <c r="T387" s="320"/>
      <c r="U387" s="320"/>
      <c r="V387" s="320"/>
      <c r="W387" s="320"/>
      <c r="X387" s="320"/>
      <c r="Y387" s="320"/>
      <c r="Z387" s="320"/>
    </row>
    <row r="388">
      <c r="A388" s="320"/>
      <c r="B388" s="320"/>
      <c r="C388" s="320"/>
      <c r="D388" s="320"/>
      <c r="E388" s="320"/>
      <c r="F388" s="320"/>
      <c r="G388" s="320"/>
      <c r="H388" s="320"/>
      <c r="I388" s="320"/>
      <c r="J388" s="320"/>
      <c r="K388" s="320"/>
      <c r="L388" s="320"/>
      <c r="M388" s="320"/>
      <c r="N388" s="320"/>
      <c r="O388" s="320"/>
      <c r="P388" s="320"/>
      <c r="Q388" s="320"/>
      <c r="R388" s="320"/>
      <c r="S388" s="320"/>
      <c r="T388" s="320"/>
      <c r="U388" s="320"/>
      <c r="V388" s="320"/>
      <c r="W388" s="320"/>
      <c r="X388" s="320"/>
      <c r="Y388" s="320"/>
      <c r="Z388" s="320"/>
    </row>
    <row r="389">
      <c r="A389" s="320"/>
      <c r="B389" s="320"/>
      <c r="C389" s="320"/>
      <c r="D389" s="320"/>
      <c r="E389" s="320"/>
      <c r="F389" s="320"/>
      <c r="G389" s="320"/>
      <c r="H389" s="320"/>
      <c r="I389" s="320"/>
      <c r="J389" s="320"/>
      <c r="K389" s="320"/>
      <c r="L389" s="320"/>
      <c r="M389" s="320"/>
      <c r="N389" s="320"/>
      <c r="O389" s="320"/>
      <c r="P389" s="320"/>
      <c r="Q389" s="320"/>
      <c r="R389" s="320"/>
      <c r="S389" s="320"/>
      <c r="T389" s="320"/>
      <c r="U389" s="320"/>
      <c r="V389" s="320"/>
      <c r="W389" s="320"/>
      <c r="X389" s="320"/>
      <c r="Y389" s="320"/>
      <c r="Z389" s="320"/>
    </row>
    <row r="390">
      <c r="A390" s="320"/>
      <c r="B390" s="320"/>
      <c r="C390" s="320"/>
      <c r="D390" s="320"/>
      <c r="E390" s="320"/>
      <c r="F390" s="320"/>
      <c r="G390" s="320"/>
      <c r="H390" s="320"/>
      <c r="I390" s="320"/>
      <c r="J390" s="320"/>
      <c r="K390" s="320"/>
      <c r="L390" s="320"/>
      <c r="M390" s="320"/>
      <c r="N390" s="320"/>
      <c r="O390" s="320"/>
      <c r="P390" s="320"/>
      <c r="Q390" s="320"/>
      <c r="R390" s="320"/>
      <c r="S390" s="320"/>
      <c r="T390" s="320"/>
      <c r="U390" s="320"/>
      <c r="V390" s="320"/>
      <c r="W390" s="320"/>
      <c r="X390" s="320"/>
      <c r="Y390" s="320"/>
      <c r="Z390" s="320"/>
    </row>
    <row r="391">
      <c r="A391" s="320"/>
      <c r="B391" s="320"/>
      <c r="C391" s="320"/>
      <c r="D391" s="320"/>
      <c r="E391" s="320"/>
      <c r="F391" s="320"/>
      <c r="G391" s="320"/>
      <c r="H391" s="320"/>
      <c r="I391" s="320"/>
      <c r="J391" s="320"/>
      <c r="K391" s="320"/>
      <c r="L391" s="320"/>
      <c r="M391" s="320"/>
      <c r="N391" s="320"/>
      <c r="O391" s="320"/>
      <c r="P391" s="320"/>
      <c r="Q391" s="320"/>
      <c r="R391" s="320"/>
      <c r="S391" s="320"/>
      <c r="T391" s="320"/>
      <c r="U391" s="320"/>
      <c r="V391" s="320"/>
      <c r="W391" s="320"/>
      <c r="X391" s="320"/>
      <c r="Y391" s="320"/>
      <c r="Z391" s="320"/>
    </row>
    <row r="392">
      <c r="A392" s="320"/>
      <c r="B392" s="320"/>
      <c r="C392" s="320"/>
      <c r="D392" s="320"/>
      <c r="E392" s="320"/>
      <c r="F392" s="320"/>
      <c r="G392" s="320"/>
      <c r="H392" s="320"/>
      <c r="I392" s="320"/>
      <c r="J392" s="320"/>
      <c r="K392" s="320"/>
      <c r="L392" s="320"/>
      <c r="M392" s="320"/>
      <c r="N392" s="320"/>
      <c r="O392" s="320"/>
      <c r="P392" s="320"/>
      <c r="Q392" s="320"/>
      <c r="R392" s="320"/>
      <c r="S392" s="320"/>
      <c r="T392" s="320"/>
      <c r="U392" s="320"/>
      <c r="V392" s="320"/>
      <c r="W392" s="320"/>
      <c r="X392" s="320"/>
      <c r="Y392" s="320"/>
      <c r="Z392" s="320"/>
    </row>
    <row r="393">
      <c r="A393" s="320"/>
      <c r="B393" s="320"/>
      <c r="C393" s="320"/>
      <c r="D393" s="320"/>
      <c r="E393" s="320"/>
      <c r="F393" s="320"/>
      <c r="G393" s="320"/>
      <c r="H393" s="320"/>
      <c r="I393" s="320"/>
      <c r="J393" s="320"/>
      <c r="K393" s="320"/>
      <c r="L393" s="320"/>
      <c r="M393" s="320"/>
      <c r="N393" s="320"/>
      <c r="O393" s="320"/>
      <c r="P393" s="320"/>
      <c r="Q393" s="320"/>
      <c r="R393" s="320"/>
      <c r="S393" s="320"/>
      <c r="T393" s="320"/>
      <c r="U393" s="320"/>
      <c r="V393" s="320"/>
      <c r="W393" s="320"/>
      <c r="X393" s="320"/>
      <c r="Y393" s="320"/>
      <c r="Z393" s="320"/>
    </row>
    <row r="394">
      <c r="A394" s="320"/>
      <c r="B394" s="320"/>
      <c r="C394" s="320"/>
      <c r="D394" s="320"/>
      <c r="E394" s="320"/>
      <c r="F394" s="320"/>
      <c r="G394" s="320"/>
      <c r="H394" s="320"/>
      <c r="I394" s="320"/>
      <c r="J394" s="320"/>
      <c r="K394" s="320"/>
      <c r="L394" s="320"/>
      <c r="M394" s="320"/>
      <c r="N394" s="320"/>
      <c r="O394" s="320"/>
      <c r="P394" s="320"/>
      <c r="Q394" s="320"/>
      <c r="R394" s="320"/>
      <c r="S394" s="320"/>
      <c r="T394" s="320"/>
      <c r="U394" s="320"/>
      <c r="V394" s="320"/>
      <c r="W394" s="320"/>
      <c r="X394" s="320"/>
      <c r="Y394" s="320"/>
      <c r="Z394" s="320"/>
    </row>
    <row r="395">
      <c r="A395" s="320"/>
      <c r="B395" s="320"/>
      <c r="C395" s="320"/>
      <c r="D395" s="320"/>
      <c r="E395" s="320"/>
      <c r="F395" s="320"/>
      <c r="G395" s="320"/>
      <c r="H395" s="320"/>
      <c r="I395" s="320"/>
      <c r="J395" s="320"/>
      <c r="K395" s="320"/>
      <c r="L395" s="320"/>
      <c r="M395" s="320"/>
      <c r="N395" s="320"/>
      <c r="O395" s="320"/>
      <c r="P395" s="320"/>
      <c r="Q395" s="320"/>
      <c r="R395" s="320"/>
      <c r="S395" s="320"/>
      <c r="T395" s="320"/>
      <c r="U395" s="320"/>
      <c r="V395" s="320"/>
      <c r="W395" s="320"/>
      <c r="X395" s="320"/>
      <c r="Y395" s="320"/>
      <c r="Z395" s="320"/>
    </row>
    <row r="396">
      <c r="A396" s="320"/>
      <c r="B396" s="320"/>
      <c r="C396" s="320"/>
      <c r="D396" s="320"/>
      <c r="E396" s="320"/>
      <c r="F396" s="320"/>
      <c r="G396" s="320"/>
      <c r="H396" s="320"/>
      <c r="I396" s="320"/>
      <c r="J396" s="320"/>
      <c r="K396" s="320"/>
      <c r="L396" s="320"/>
      <c r="M396" s="320"/>
      <c r="N396" s="320"/>
      <c r="O396" s="320"/>
      <c r="P396" s="320"/>
      <c r="Q396" s="320"/>
      <c r="R396" s="320"/>
      <c r="S396" s="320"/>
      <c r="T396" s="320"/>
      <c r="U396" s="320"/>
      <c r="V396" s="320"/>
      <c r="W396" s="320"/>
      <c r="X396" s="320"/>
      <c r="Y396" s="320"/>
      <c r="Z396" s="320"/>
    </row>
    <row r="397">
      <c r="A397" s="320"/>
      <c r="B397" s="320"/>
      <c r="C397" s="320"/>
      <c r="D397" s="320"/>
      <c r="E397" s="320"/>
      <c r="F397" s="320"/>
      <c r="G397" s="320"/>
      <c r="H397" s="320"/>
      <c r="I397" s="320"/>
      <c r="J397" s="320"/>
      <c r="K397" s="320"/>
      <c r="L397" s="320"/>
      <c r="M397" s="320"/>
      <c r="N397" s="320"/>
      <c r="O397" s="320"/>
      <c r="P397" s="320"/>
      <c r="Q397" s="320"/>
      <c r="R397" s="320"/>
      <c r="S397" s="320"/>
      <c r="T397" s="320"/>
      <c r="U397" s="320"/>
      <c r="V397" s="320"/>
      <c r="W397" s="320"/>
      <c r="X397" s="320"/>
      <c r="Y397" s="320"/>
      <c r="Z397" s="320"/>
    </row>
    <row r="398">
      <c r="A398" s="320"/>
      <c r="B398" s="320"/>
      <c r="C398" s="320"/>
      <c r="D398" s="320"/>
      <c r="E398" s="320"/>
      <c r="F398" s="320"/>
      <c r="G398" s="320"/>
      <c r="H398" s="320"/>
      <c r="I398" s="320"/>
      <c r="J398" s="320"/>
      <c r="K398" s="320"/>
      <c r="L398" s="320"/>
      <c r="M398" s="320"/>
      <c r="N398" s="320"/>
      <c r="O398" s="320"/>
      <c r="P398" s="320"/>
      <c r="Q398" s="320"/>
      <c r="R398" s="320"/>
      <c r="S398" s="320"/>
      <c r="T398" s="320"/>
      <c r="U398" s="320"/>
      <c r="V398" s="320"/>
      <c r="W398" s="320"/>
      <c r="X398" s="320"/>
      <c r="Y398" s="320"/>
      <c r="Z398" s="320"/>
    </row>
    <row r="399">
      <c r="A399" s="320"/>
      <c r="B399" s="320"/>
      <c r="C399" s="320"/>
      <c r="D399" s="320"/>
      <c r="E399" s="320"/>
      <c r="F399" s="320"/>
      <c r="G399" s="320"/>
      <c r="H399" s="320"/>
      <c r="I399" s="320"/>
      <c r="J399" s="320"/>
      <c r="K399" s="320"/>
      <c r="L399" s="320"/>
      <c r="M399" s="320"/>
      <c r="N399" s="320"/>
      <c r="O399" s="320"/>
      <c r="P399" s="320"/>
      <c r="Q399" s="320"/>
      <c r="R399" s="320"/>
      <c r="S399" s="320"/>
      <c r="T399" s="320"/>
      <c r="U399" s="320"/>
      <c r="V399" s="320"/>
      <c r="W399" s="320"/>
      <c r="X399" s="320"/>
      <c r="Y399" s="320"/>
      <c r="Z399" s="320"/>
    </row>
    <row r="400">
      <c r="A400" s="320"/>
      <c r="B400" s="320"/>
      <c r="C400" s="320"/>
      <c r="D400" s="320"/>
      <c r="E400" s="320"/>
      <c r="F400" s="320"/>
      <c r="G400" s="320"/>
      <c r="H400" s="320"/>
      <c r="I400" s="320"/>
      <c r="J400" s="320"/>
      <c r="K400" s="320"/>
      <c r="L400" s="320"/>
      <c r="M400" s="320"/>
      <c r="N400" s="320"/>
      <c r="O400" s="320"/>
      <c r="P400" s="320"/>
      <c r="Q400" s="320"/>
      <c r="R400" s="320"/>
      <c r="S400" s="320"/>
      <c r="T400" s="320"/>
      <c r="U400" s="320"/>
      <c r="V400" s="320"/>
      <c r="W400" s="320"/>
      <c r="X400" s="320"/>
      <c r="Y400" s="320"/>
      <c r="Z400" s="320"/>
    </row>
    <row r="401">
      <c r="A401" s="320"/>
      <c r="B401" s="320"/>
      <c r="C401" s="320"/>
      <c r="D401" s="320"/>
      <c r="E401" s="320"/>
      <c r="F401" s="320"/>
      <c r="G401" s="320"/>
      <c r="H401" s="320"/>
      <c r="I401" s="320"/>
      <c r="J401" s="320"/>
      <c r="K401" s="320"/>
      <c r="L401" s="320"/>
      <c r="M401" s="320"/>
      <c r="N401" s="320"/>
      <c r="O401" s="320"/>
      <c r="P401" s="320"/>
      <c r="Q401" s="320"/>
      <c r="R401" s="320"/>
      <c r="S401" s="320"/>
      <c r="T401" s="320"/>
      <c r="U401" s="320"/>
      <c r="V401" s="320"/>
      <c r="W401" s="320"/>
      <c r="X401" s="320"/>
      <c r="Y401" s="320"/>
      <c r="Z401" s="320"/>
    </row>
    <row r="402">
      <c r="A402" s="320"/>
      <c r="B402" s="320"/>
      <c r="C402" s="320"/>
      <c r="D402" s="320"/>
      <c r="E402" s="320"/>
      <c r="F402" s="320"/>
      <c r="G402" s="320"/>
      <c r="H402" s="320"/>
      <c r="I402" s="320"/>
      <c r="J402" s="320"/>
      <c r="K402" s="320"/>
      <c r="L402" s="320"/>
      <c r="M402" s="320"/>
      <c r="N402" s="320"/>
      <c r="O402" s="320"/>
      <c r="P402" s="320"/>
      <c r="Q402" s="320"/>
      <c r="R402" s="320"/>
      <c r="S402" s="320"/>
      <c r="T402" s="320"/>
      <c r="U402" s="320"/>
      <c r="V402" s="320"/>
      <c r="W402" s="320"/>
      <c r="X402" s="320"/>
      <c r="Y402" s="320"/>
      <c r="Z402" s="320"/>
    </row>
    <row r="403">
      <c r="A403" s="320"/>
      <c r="B403" s="320"/>
      <c r="C403" s="320"/>
      <c r="D403" s="320"/>
      <c r="E403" s="320"/>
      <c r="F403" s="320"/>
      <c r="G403" s="320"/>
      <c r="H403" s="320"/>
      <c r="I403" s="320"/>
      <c r="J403" s="320"/>
      <c r="K403" s="320"/>
      <c r="L403" s="320"/>
      <c r="M403" s="320"/>
      <c r="N403" s="320"/>
      <c r="O403" s="320"/>
      <c r="P403" s="320"/>
      <c r="Q403" s="320"/>
      <c r="R403" s="320"/>
      <c r="S403" s="320"/>
      <c r="T403" s="320"/>
      <c r="U403" s="320"/>
      <c r="V403" s="320"/>
      <c r="W403" s="320"/>
      <c r="X403" s="320"/>
      <c r="Y403" s="320"/>
      <c r="Z403" s="320"/>
    </row>
    <row r="404">
      <c r="A404" s="320"/>
      <c r="B404" s="320"/>
      <c r="C404" s="320"/>
      <c r="D404" s="320"/>
      <c r="E404" s="320"/>
      <c r="F404" s="320"/>
      <c r="G404" s="320"/>
      <c r="H404" s="320"/>
      <c r="I404" s="320"/>
      <c r="J404" s="320"/>
      <c r="K404" s="320"/>
      <c r="L404" s="320"/>
      <c r="M404" s="320"/>
      <c r="N404" s="320"/>
      <c r="O404" s="320"/>
      <c r="P404" s="320"/>
      <c r="Q404" s="320"/>
      <c r="R404" s="320"/>
      <c r="S404" s="320"/>
      <c r="T404" s="320"/>
      <c r="U404" s="320"/>
      <c r="V404" s="320"/>
      <c r="W404" s="320"/>
      <c r="X404" s="320"/>
      <c r="Y404" s="320"/>
      <c r="Z404" s="320"/>
    </row>
    <row r="405">
      <c r="A405" s="320"/>
      <c r="B405" s="320"/>
      <c r="C405" s="320"/>
      <c r="D405" s="320"/>
      <c r="E405" s="320"/>
      <c r="F405" s="320"/>
      <c r="G405" s="320"/>
      <c r="H405" s="320"/>
      <c r="I405" s="320"/>
      <c r="J405" s="320"/>
      <c r="K405" s="320"/>
      <c r="L405" s="320"/>
      <c r="M405" s="320"/>
      <c r="N405" s="320"/>
      <c r="O405" s="320"/>
      <c r="P405" s="320"/>
      <c r="Q405" s="320"/>
      <c r="R405" s="320"/>
      <c r="S405" s="320"/>
      <c r="T405" s="320"/>
      <c r="U405" s="320"/>
      <c r="V405" s="320"/>
      <c r="W405" s="320"/>
      <c r="X405" s="320"/>
      <c r="Y405" s="320"/>
      <c r="Z405" s="320"/>
    </row>
    <row r="406">
      <c r="A406" s="320"/>
      <c r="B406" s="320"/>
      <c r="C406" s="320"/>
      <c r="D406" s="320"/>
      <c r="E406" s="320"/>
      <c r="F406" s="320"/>
      <c r="G406" s="320"/>
      <c r="H406" s="320"/>
      <c r="I406" s="320"/>
      <c r="J406" s="320"/>
      <c r="K406" s="320"/>
      <c r="L406" s="320"/>
      <c r="M406" s="320"/>
      <c r="N406" s="320"/>
      <c r="O406" s="320"/>
      <c r="P406" s="320"/>
      <c r="Q406" s="320"/>
      <c r="R406" s="320"/>
      <c r="S406" s="320"/>
      <c r="T406" s="320"/>
      <c r="U406" s="320"/>
      <c r="V406" s="320"/>
      <c r="W406" s="320"/>
      <c r="X406" s="320"/>
      <c r="Y406" s="320"/>
      <c r="Z406" s="320"/>
    </row>
    <row r="407">
      <c r="A407" s="320"/>
      <c r="B407" s="320"/>
      <c r="C407" s="320"/>
      <c r="D407" s="320"/>
      <c r="E407" s="320"/>
      <c r="F407" s="320"/>
      <c r="G407" s="320"/>
      <c r="H407" s="320"/>
      <c r="I407" s="320"/>
      <c r="J407" s="320"/>
      <c r="K407" s="320"/>
      <c r="L407" s="320"/>
      <c r="M407" s="320"/>
      <c r="N407" s="320"/>
      <c r="O407" s="320"/>
      <c r="P407" s="320"/>
      <c r="Q407" s="320"/>
      <c r="R407" s="320"/>
      <c r="S407" s="320"/>
      <c r="T407" s="320"/>
      <c r="U407" s="320"/>
      <c r="V407" s="320"/>
      <c r="W407" s="320"/>
      <c r="X407" s="320"/>
      <c r="Y407" s="320"/>
      <c r="Z407" s="320"/>
    </row>
    <row r="408">
      <c r="A408" s="320"/>
      <c r="B408" s="320"/>
      <c r="C408" s="320"/>
      <c r="D408" s="320"/>
      <c r="E408" s="320"/>
      <c r="F408" s="320"/>
      <c r="G408" s="320"/>
      <c r="H408" s="320"/>
      <c r="I408" s="320"/>
      <c r="J408" s="320"/>
      <c r="K408" s="320"/>
      <c r="L408" s="320"/>
      <c r="M408" s="320"/>
      <c r="N408" s="320"/>
      <c r="O408" s="320"/>
      <c r="P408" s="320"/>
      <c r="Q408" s="320"/>
      <c r="R408" s="320"/>
      <c r="S408" s="320"/>
      <c r="T408" s="320"/>
      <c r="U408" s="320"/>
      <c r="V408" s="320"/>
      <c r="W408" s="320"/>
      <c r="X408" s="320"/>
      <c r="Y408" s="320"/>
      <c r="Z408" s="320"/>
    </row>
    <row r="409">
      <c r="A409" s="320"/>
      <c r="B409" s="320"/>
      <c r="C409" s="320"/>
      <c r="D409" s="320"/>
      <c r="E409" s="320"/>
      <c r="F409" s="320"/>
      <c r="G409" s="320"/>
      <c r="H409" s="320"/>
      <c r="I409" s="320"/>
      <c r="J409" s="320"/>
      <c r="K409" s="320"/>
      <c r="L409" s="320"/>
      <c r="M409" s="320"/>
      <c r="N409" s="320"/>
      <c r="O409" s="320"/>
      <c r="P409" s="320"/>
      <c r="Q409" s="320"/>
      <c r="R409" s="320"/>
      <c r="S409" s="320"/>
      <c r="T409" s="320"/>
      <c r="U409" s="320"/>
      <c r="V409" s="320"/>
      <c r="W409" s="320"/>
      <c r="X409" s="320"/>
      <c r="Y409" s="320"/>
      <c r="Z409" s="320"/>
    </row>
    <row r="410">
      <c r="A410" s="320"/>
      <c r="B410" s="320"/>
      <c r="C410" s="320"/>
      <c r="D410" s="320"/>
      <c r="E410" s="320"/>
      <c r="F410" s="320"/>
      <c r="G410" s="320"/>
      <c r="H410" s="320"/>
      <c r="I410" s="320"/>
      <c r="J410" s="320"/>
      <c r="K410" s="320"/>
      <c r="L410" s="320"/>
      <c r="M410" s="320"/>
      <c r="N410" s="320"/>
      <c r="O410" s="320"/>
      <c r="P410" s="320"/>
      <c r="Q410" s="320"/>
      <c r="R410" s="320"/>
      <c r="S410" s="320"/>
      <c r="T410" s="320"/>
      <c r="U410" s="320"/>
      <c r="V410" s="320"/>
      <c r="W410" s="320"/>
      <c r="X410" s="320"/>
      <c r="Y410" s="320"/>
      <c r="Z410" s="320"/>
    </row>
    <row r="411">
      <c r="A411" s="320"/>
      <c r="B411" s="320"/>
      <c r="C411" s="320"/>
      <c r="D411" s="320"/>
      <c r="E411" s="320"/>
      <c r="F411" s="320"/>
      <c r="G411" s="320"/>
      <c r="H411" s="320"/>
      <c r="I411" s="320"/>
      <c r="J411" s="320"/>
      <c r="K411" s="320"/>
      <c r="L411" s="320"/>
      <c r="M411" s="320"/>
      <c r="N411" s="320"/>
      <c r="O411" s="320"/>
      <c r="P411" s="320"/>
      <c r="Q411" s="320"/>
      <c r="R411" s="320"/>
      <c r="S411" s="320"/>
      <c r="T411" s="320"/>
      <c r="U411" s="320"/>
      <c r="V411" s="320"/>
      <c r="W411" s="320"/>
      <c r="X411" s="320"/>
      <c r="Y411" s="320"/>
      <c r="Z411" s="320"/>
    </row>
    <row r="412">
      <c r="A412" s="320"/>
      <c r="B412" s="320"/>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row>
    <row r="413">
      <c r="A413" s="320"/>
      <c r="B413" s="320"/>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row>
    <row r="414">
      <c r="A414" s="320"/>
      <c r="B414" s="320"/>
      <c r="C414" s="320"/>
      <c r="D414" s="320"/>
      <c r="E414" s="320"/>
      <c r="F414" s="320"/>
      <c r="G414" s="320"/>
      <c r="H414" s="320"/>
      <c r="I414" s="320"/>
      <c r="J414" s="320"/>
      <c r="K414" s="320"/>
      <c r="L414" s="320"/>
      <c r="M414" s="320"/>
      <c r="N414" s="320"/>
      <c r="O414" s="320"/>
      <c r="P414" s="320"/>
      <c r="Q414" s="320"/>
      <c r="R414" s="320"/>
      <c r="S414" s="320"/>
      <c r="T414" s="320"/>
      <c r="U414" s="320"/>
      <c r="V414" s="320"/>
      <c r="W414" s="320"/>
      <c r="X414" s="320"/>
      <c r="Y414" s="320"/>
      <c r="Z414" s="320"/>
    </row>
    <row r="415">
      <c r="A415" s="320"/>
      <c r="B415" s="320"/>
      <c r="C415" s="320"/>
      <c r="D415" s="320"/>
      <c r="E415" s="320"/>
      <c r="F415" s="320"/>
      <c r="G415" s="320"/>
      <c r="H415" s="320"/>
      <c r="I415" s="320"/>
      <c r="J415" s="320"/>
      <c r="K415" s="320"/>
      <c r="L415" s="320"/>
      <c r="M415" s="320"/>
      <c r="N415" s="320"/>
      <c r="O415" s="320"/>
      <c r="P415" s="320"/>
      <c r="Q415" s="320"/>
      <c r="R415" s="320"/>
      <c r="S415" s="320"/>
      <c r="T415" s="320"/>
      <c r="U415" s="320"/>
      <c r="V415" s="320"/>
      <c r="W415" s="320"/>
      <c r="X415" s="320"/>
      <c r="Y415" s="320"/>
      <c r="Z415" s="320"/>
    </row>
    <row r="416">
      <c r="A416" s="320"/>
      <c r="B416" s="320"/>
      <c r="C416" s="320"/>
      <c r="D416" s="320"/>
      <c r="E416" s="320"/>
      <c r="F416" s="320"/>
      <c r="G416" s="320"/>
      <c r="H416" s="320"/>
      <c r="I416" s="320"/>
      <c r="J416" s="320"/>
      <c r="K416" s="320"/>
      <c r="L416" s="320"/>
      <c r="M416" s="320"/>
      <c r="N416" s="320"/>
      <c r="O416" s="320"/>
      <c r="P416" s="320"/>
      <c r="Q416" s="320"/>
      <c r="R416" s="320"/>
      <c r="S416" s="320"/>
      <c r="T416" s="320"/>
      <c r="U416" s="320"/>
      <c r="V416" s="320"/>
      <c r="W416" s="320"/>
      <c r="X416" s="320"/>
      <c r="Y416" s="320"/>
      <c r="Z416" s="320"/>
    </row>
    <row r="417">
      <c r="A417" s="320"/>
      <c r="B417" s="320"/>
      <c r="C417" s="320"/>
      <c r="D417" s="320"/>
      <c r="E417" s="320"/>
      <c r="F417" s="320"/>
      <c r="G417" s="320"/>
      <c r="H417" s="320"/>
      <c r="I417" s="320"/>
      <c r="J417" s="320"/>
      <c r="K417" s="320"/>
      <c r="L417" s="320"/>
      <c r="M417" s="320"/>
      <c r="N417" s="320"/>
      <c r="O417" s="320"/>
      <c r="P417" s="320"/>
      <c r="Q417" s="320"/>
      <c r="R417" s="320"/>
      <c r="S417" s="320"/>
      <c r="T417" s="320"/>
      <c r="U417" s="320"/>
      <c r="V417" s="320"/>
      <c r="W417" s="320"/>
      <c r="X417" s="320"/>
      <c r="Y417" s="320"/>
      <c r="Z417" s="320"/>
    </row>
    <row r="418">
      <c r="A418" s="320"/>
      <c r="B418" s="320"/>
      <c r="C418" s="320"/>
      <c r="D418" s="320"/>
      <c r="E418" s="320"/>
      <c r="F418" s="320"/>
      <c r="G418" s="320"/>
      <c r="H418" s="320"/>
      <c r="I418" s="320"/>
      <c r="J418" s="320"/>
      <c r="K418" s="320"/>
      <c r="L418" s="320"/>
      <c r="M418" s="320"/>
      <c r="N418" s="320"/>
      <c r="O418" s="320"/>
      <c r="P418" s="320"/>
      <c r="Q418" s="320"/>
      <c r="R418" s="320"/>
      <c r="S418" s="320"/>
      <c r="T418" s="320"/>
      <c r="U418" s="320"/>
      <c r="V418" s="320"/>
      <c r="W418" s="320"/>
      <c r="X418" s="320"/>
      <c r="Y418" s="320"/>
      <c r="Z418" s="320"/>
    </row>
    <row r="419">
      <c r="A419" s="320"/>
      <c r="B419" s="320"/>
      <c r="C419" s="320"/>
      <c r="D419" s="320"/>
      <c r="E419" s="320"/>
      <c r="F419" s="320"/>
      <c r="G419" s="320"/>
      <c r="H419" s="320"/>
      <c r="I419" s="320"/>
      <c r="J419" s="320"/>
      <c r="K419" s="320"/>
      <c r="L419" s="320"/>
      <c r="M419" s="320"/>
      <c r="N419" s="320"/>
      <c r="O419" s="320"/>
      <c r="P419" s="320"/>
      <c r="Q419" s="320"/>
      <c r="R419" s="320"/>
      <c r="S419" s="320"/>
      <c r="T419" s="320"/>
      <c r="U419" s="320"/>
      <c r="V419" s="320"/>
      <c r="W419" s="320"/>
      <c r="X419" s="320"/>
      <c r="Y419" s="320"/>
      <c r="Z419" s="320"/>
    </row>
    <row r="420">
      <c r="A420" s="320"/>
      <c r="B420" s="320"/>
      <c r="C420" s="320"/>
      <c r="D420" s="320"/>
      <c r="E420" s="320"/>
      <c r="F420" s="320"/>
      <c r="G420" s="320"/>
      <c r="H420" s="320"/>
      <c r="I420" s="320"/>
      <c r="J420" s="320"/>
      <c r="K420" s="320"/>
      <c r="L420" s="320"/>
      <c r="M420" s="320"/>
      <c r="N420" s="320"/>
      <c r="O420" s="320"/>
      <c r="P420" s="320"/>
      <c r="Q420" s="320"/>
      <c r="R420" s="320"/>
      <c r="S420" s="320"/>
      <c r="T420" s="320"/>
      <c r="U420" s="320"/>
      <c r="V420" s="320"/>
      <c r="W420" s="320"/>
      <c r="X420" s="320"/>
      <c r="Y420" s="320"/>
      <c r="Z420" s="320"/>
    </row>
    <row r="421">
      <c r="A421" s="320"/>
      <c r="B421" s="320"/>
      <c r="C421" s="320"/>
      <c r="D421" s="320"/>
      <c r="E421" s="320"/>
      <c r="F421" s="320"/>
      <c r="G421" s="320"/>
      <c r="H421" s="320"/>
      <c r="I421" s="320"/>
      <c r="J421" s="320"/>
      <c r="K421" s="320"/>
      <c r="L421" s="320"/>
      <c r="M421" s="320"/>
      <c r="N421" s="320"/>
      <c r="O421" s="320"/>
      <c r="P421" s="320"/>
      <c r="Q421" s="320"/>
      <c r="R421" s="320"/>
      <c r="S421" s="320"/>
      <c r="T421" s="320"/>
      <c r="U421" s="320"/>
      <c r="V421" s="320"/>
      <c r="W421" s="320"/>
      <c r="X421" s="320"/>
      <c r="Y421" s="320"/>
      <c r="Z421" s="320"/>
    </row>
    <row r="422">
      <c r="A422" s="320"/>
      <c r="B422" s="320"/>
      <c r="C422" s="320"/>
      <c r="D422" s="320"/>
      <c r="E422" s="320"/>
      <c r="F422" s="320"/>
      <c r="G422" s="320"/>
      <c r="H422" s="320"/>
      <c r="I422" s="320"/>
      <c r="J422" s="320"/>
      <c r="K422" s="320"/>
      <c r="L422" s="320"/>
      <c r="M422" s="320"/>
      <c r="N422" s="320"/>
      <c r="O422" s="320"/>
      <c r="P422" s="320"/>
      <c r="Q422" s="320"/>
      <c r="R422" s="320"/>
      <c r="S422" s="320"/>
      <c r="T422" s="320"/>
      <c r="U422" s="320"/>
      <c r="V422" s="320"/>
      <c r="W422" s="320"/>
      <c r="X422" s="320"/>
      <c r="Y422" s="320"/>
      <c r="Z422" s="320"/>
    </row>
    <row r="423">
      <c r="A423" s="320"/>
      <c r="B423" s="320"/>
      <c r="C423" s="320"/>
      <c r="D423" s="320"/>
      <c r="E423" s="320"/>
      <c r="F423" s="320"/>
      <c r="G423" s="320"/>
      <c r="H423" s="320"/>
      <c r="I423" s="320"/>
      <c r="J423" s="320"/>
      <c r="K423" s="320"/>
      <c r="L423" s="320"/>
      <c r="M423" s="320"/>
      <c r="N423" s="320"/>
      <c r="O423" s="320"/>
      <c r="P423" s="320"/>
      <c r="Q423" s="320"/>
      <c r="R423" s="320"/>
      <c r="S423" s="320"/>
      <c r="T423" s="320"/>
      <c r="U423" s="320"/>
      <c r="V423" s="320"/>
      <c r="W423" s="320"/>
      <c r="X423" s="320"/>
      <c r="Y423" s="320"/>
      <c r="Z423" s="320"/>
    </row>
    <row r="424">
      <c r="A424" s="320"/>
      <c r="B424" s="320"/>
      <c r="C424" s="320"/>
      <c r="D424" s="320"/>
      <c r="E424" s="320"/>
      <c r="F424" s="320"/>
      <c r="G424" s="320"/>
      <c r="H424" s="320"/>
      <c r="I424" s="320"/>
      <c r="J424" s="320"/>
      <c r="K424" s="320"/>
      <c r="L424" s="320"/>
      <c r="M424" s="320"/>
      <c r="N424" s="320"/>
      <c r="O424" s="320"/>
      <c r="P424" s="320"/>
      <c r="Q424" s="320"/>
      <c r="R424" s="320"/>
      <c r="S424" s="320"/>
      <c r="T424" s="320"/>
      <c r="U424" s="320"/>
      <c r="V424" s="320"/>
      <c r="W424" s="320"/>
      <c r="X424" s="320"/>
      <c r="Y424" s="320"/>
      <c r="Z424" s="320"/>
    </row>
    <row r="425">
      <c r="A425" s="320"/>
      <c r="B425" s="320"/>
      <c r="C425" s="320"/>
      <c r="D425" s="320"/>
      <c r="E425" s="320"/>
      <c r="F425" s="320"/>
      <c r="G425" s="320"/>
      <c r="H425" s="320"/>
      <c r="I425" s="320"/>
      <c r="J425" s="320"/>
      <c r="K425" s="320"/>
      <c r="L425" s="320"/>
      <c r="M425" s="320"/>
      <c r="N425" s="320"/>
      <c r="O425" s="320"/>
      <c r="P425" s="320"/>
      <c r="Q425" s="320"/>
      <c r="R425" s="320"/>
      <c r="S425" s="320"/>
      <c r="T425" s="320"/>
      <c r="U425" s="320"/>
      <c r="V425" s="320"/>
      <c r="W425" s="320"/>
      <c r="X425" s="320"/>
      <c r="Y425" s="320"/>
      <c r="Z425" s="320"/>
    </row>
    <row r="426">
      <c r="A426" s="320"/>
      <c r="B426" s="320"/>
      <c r="C426" s="320"/>
      <c r="D426" s="320"/>
      <c r="E426" s="320"/>
      <c r="F426" s="320"/>
      <c r="G426" s="320"/>
      <c r="H426" s="320"/>
      <c r="I426" s="320"/>
      <c r="J426" s="320"/>
      <c r="K426" s="320"/>
      <c r="L426" s="320"/>
      <c r="M426" s="320"/>
      <c r="N426" s="320"/>
      <c r="O426" s="320"/>
      <c r="P426" s="320"/>
      <c r="Q426" s="320"/>
      <c r="R426" s="320"/>
      <c r="S426" s="320"/>
      <c r="T426" s="320"/>
      <c r="U426" s="320"/>
      <c r="V426" s="320"/>
      <c r="W426" s="320"/>
      <c r="X426" s="320"/>
      <c r="Y426" s="320"/>
      <c r="Z426" s="320"/>
    </row>
    <row r="427">
      <c r="A427" s="320"/>
      <c r="B427" s="320"/>
      <c r="C427" s="320"/>
      <c r="D427" s="320"/>
      <c r="E427" s="320"/>
      <c r="F427" s="320"/>
      <c r="G427" s="320"/>
      <c r="H427" s="320"/>
      <c r="I427" s="320"/>
      <c r="J427" s="320"/>
      <c r="K427" s="320"/>
      <c r="L427" s="320"/>
      <c r="M427" s="320"/>
      <c r="N427" s="320"/>
      <c r="O427" s="320"/>
      <c r="P427" s="320"/>
      <c r="Q427" s="320"/>
      <c r="R427" s="320"/>
      <c r="S427" s="320"/>
      <c r="T427" s="320"/>
      <c r="U427" s="320"/>
      <c r="V427" s="320"/>
      <c r="W427" s="320"/>
      <c r="X427" s="320"/>
      <c r="Y427" s="320"/>
      <c r="Z427" s="320"/>
    </row>
    <row r="428">
      <c r="A428" s="320"/>
      <c r="B428" s="320"/>
      <c r="C428" s="320"/>
      <c r="D428" s="320"/>
      <c r="E428" s="320"/>
      <c r="F428" s="320"/>
      <c r="G428" s="320"/>
      <c r="H428" s="320"/>
      <c r="I428" s="320"/>
      <c r="J428" s="320"/>
      <c r="K428" s="320"/>
      <c r="L428" s="320"/>
      <c r="M428" s="320"/>
      <c r="N428" s="320"/>
      <c r="O428" s="320"/>
      <c r="P428" s="320"/>
      <c r="Q428" s="320"/>
      <c r="R428" s="320"/>
      <c r="S428" s="320"/>
      <c r="T428" s="320"/>
      <c r="U428" s="320"/>
      <c r="V428" s="320"/>
      <c r="W428" s="320"/>
      <c r="X428" s="320"/>
      <c r="Y428" s="320"/>
      <c r="Z428" s="320"/>
    </row>
    <row r="429">
      <c r="A429" s="320"/>
      <c r="B429" s="320"/>
      <c r="C429" s="320"/>
      <c r="D429" s="320"/>
      <c r="E429" s="320"/>
      <c r="F429" s="320"/>
      <c r="G429" s="320"/>
      <c r="H429" s="320"/>
      <c r="I429" s="320"/>
      <c r="J429" s="320"/>
      <c r="K429" s="320"/>
      <c r="L429" s="320"/>
      <c r="M429" s="320"/>
      <c r="N429" s="320"/>
      <c r="O429" s="320"/>
      <c r="P429" s="320"/>
      <c r="Q429" s="320"/>
      <c r="R429" s="320"/>
      <c r="S429" s="320"/>
      <c r="T429" s="320"/>
      <c r="U429" s="320"/>
      <c r="V429" s="320"/>
      <c r="W429" s="320"/>
      <c r="X429" s="320"/>
      <c r="Y429" s="320"/>
      <c r="Z429" s="320"/>
    </row>
    <row r="430">
      <c r="A430" s="320"/>
      <c r="B430" s="320"/>
      <c r="C430" s="320"/>
      <c r="D430" s="320"/>
      <c r="E430" s="320"/>
      <c r="F430" s="320"/>
      <c r="G430" s="320"/>
      <c r="H430" s="320"/>
      <c r="I430" s="320"/>
      <c r="J430" s="320"/>
      <c r="K430" s="320"/>
      <c r="L430" s="320"/>
      <c r="M430" s="320"/>
      <c r="N430" s="320"/>
      <c r="O430" s="320"/>
      <c r="P430" s="320"/>
      <c r="Q430" s="320"/>
      <c r="R430" s="320"/>
      <c r="S430" s="320"/>
      <c r="T430" s="320"/>
      <c r="U430" s="320"/>
      <c r="V430" s="320"/>
      <c r="W430" s="320"/>
      <c r="X430" s="320"/>
      <c r="Y430" s="320"/>
      <c r="Z430" s="320"/>
    </row>
    <row r="431">
      <c r="A431" s="320"/>
      <c r="B431" s="320"/>
      <c r="C431" s="320"/>
      <c r="D431" s="320"/>
      <c r="E431" s="320"/>
      <c r="F431" s="320"/>
      <c r="G431" s="320"/>
      <c r="H431" s="320"/>
      <c r="I431" s="320"/>
      <c r="J431" s="320"/>
      <c r="K431" s="320"/>
      <c r="L431" s="320"/>
      <c r="M431" s="320"/>
      <c r="N431" s="320"/>
      <c r="O431" s="320"/>
      <c r="P431" s="320"/>
      <c r="Q431" s="320"/>
      <c r="R431" s="320"/>
      <c r="S431" s="320"/>
      <c r="T431" s="320"/>
      <c r="U431" s="320"/>
      <c r="V431" s="320"/>
      <c r="W431" s="320"/>
      <c r="X431" s="320"/>
      <c r="Y431" s="320"/>
      <c r="Z431" s="320"/>
    </row>
    <row r="432">
      <c r="A432" s="320"/>
      <c r="B432" s="320"/>
      <c r="C432" s="320"/>
      <c r="D432" s="320"/>
      <c r="E432" s="320"/>
      <c r="F432" s="320"/>
      <c r="G432" s="320"/>
      <c r="H432" s="320"/>
      <c r="I432" s="320"/>
      <c r="J432" s="320"/>
      <c r="K432" s="320"/>
      <c r="L432" s="320"/>
      <c r="M432" s="320"/>
      <c r="N432" s="320"/>
      <c r="O432" s="320"/>
      <c r="P432" s="320"/>
      <c r="Q432" s="320"/>
      <c r="R432" s="320"/>
      <c r="S432" s="320"/>
      <c r="T432" s="320"/>
      <c r="U432" s="320"/>
      <c r="V432" s="320"/>
      <c r="W432" s="320"/>
      <c r="X432" s="320"/>
      <c r="Y432" s="320"/>
      <c r="Z432" s="320"/>
    </row>
    <row r="433">
      <c r="A433" s="320"/>
      <c r="B433" s="320"/>
      <c r="C433" s="320"/>
      <c r="D433" s="320"/>
      <c r="E433" s="320"/>
      <c r="F433" s="320"/>
      <c r="G433" s="320"/>
      <c r="H433" s="320"/>
      <c r="I433" s="320"/>
      <c r="J433" s="320"/>
      <c r="K433" s="320"/>
      <c r="L433" s="320"/>
      <c r="M433" s="320"/>
      <c r="N433" s="320"/>
      <c r="O433" s="320"/>
      <c r="P433" s="320"/>
      <c r="Q433" s="320"/>
      <c r="R433" s="320"/>
      <c r="S433" s="320"/>
      <c r="T433" s="320"/>
      <c r="U433" s="320"/>
      <c r="V433" s="320"/>
      <c r="W433" s="320"/>
      <c r="X433" s="320"/>
      <c r="Y433" s="320"/>
      <c r="Z433" s="320"/>
    </row>
    <row r="434">
      <c r="A434" s="320"/>
      <c r="B434" s="320"/>
      <c r="C434" s="320"/>
      <c r="D434" s="320"/>
      <c r="E434" s="320"/>
      <c r="F434" s="320"/>
      <c r="G434" s="320"/>
      <c r="H434" s="320"/>
      <c r="I434" s="320"/>
      <c r="J434" s="320"/>
      <c r="K434" s="320"/>
      <c r="L434" s="320"/>
      <c r="M434" s="320"/>
      <c r="N434" s="320"/>
      <c r="O434" s="320"/>
      <c r="P434" s="320"/>
      <c r="Q434" s="320"/>
      <c r="R434" s="320"/>
      <c r="S434" s="320"/>
      <c r="T434" s="320"/>
      <c r="U434" s="320"/>
      <c r="V434" s="320"/>
      <c r="W434" s="320"/>
      <c r="X434" s="320"/>
      <c r="Y434" s="320"/>
      <c r="Z434" s="320"/>
    </row>
    <row r="435">
      <c r="A435" s="320"/>
      <c r="B435" s="320"/>
      <c r="C435" s="320"/>
      <c r="D435" s="320"/>
      <c r="E435" s="320"/>
      <c r="F435" s="320"/>
      <c r="G435" s="320"/>
      <c r="H435" s="320"/>
      <c r="I435" s="320"/>
      <c r="J435" s="320"/>
      <c r="K435" s="320"/>
      <c r="L435" s="320"/>
      <c r="M435" s="320"/>
      <c r="N435" s="320"/>
      <c r="O435" s="320"/>
      <c r="P435" s="320"/>
      <c r="Q435" s="320"/>
      <c r="R435" s="320"/>
      <c r="S435" s="320"/>
      <c r="T435" s="320"/>
      <c r="U435" s="320"/>
      <c r="V435" s="320"/>
      <c r="W435" s="320"/>
      <c r="X435" s="320"/>
      <c r="Y435" s="320"/>
      <c r="Z435" s="320"/>
    </row>
    <row r="436">
      <c r="A436" s="320"/>
      <c r="B436" s="320"/>
      <c r="C436" s="320"/>
      <c r="D436" s="320"/>
      <c r="E436" s="320"/>
      <c r="F436" s="320"/>
      <c r="G436" s="320"/>
      <c r="H436" s="320"/>
      <c r="I436" s="320"/>
      <c r="J436" s="320"/>
      <c r="K436" s="320"/>
      <c r="L436" s="320"/>
      <c r="M436" s="320"/>
      <c r="N436" s="320"/>
      <c r="O436" s="320"/>
      <c r="P436" s="320"/>
      <c r="Q436" s="320"/>
      <c r="R436" s="320"/>
      <c r="S436" s="320"/>
      <c r="T436" s="320"/>
      <c r="U436" s="320"/>
      <c r="V436" s="320"/>
      <c r="W436" s="320"/>
      <c r="X436" s="320"/>
      <c r="Y436" s="320"/>
      <c r="Z436" s="320"/>
    </row>
    <row r="437">
      <c r="A437" s="320"/>
      <c r="B437" s="320"/>
      <c r="C437" s="320"/>
      <c r="D437" s="320"/>
      <c r="E437" s="320"/>
      <c r="F437" s="320"/>
      <c r="G437" s="320"/>
      <c r="H437" s="320"/>
      <c r="I437" s="320"/>
      <c r="J437" s="320"/>
      <c r="K437" s="320"/>
      <c r="L437" s="320"/>
      <c r="M437" s="320"/>
      <c r="N437" s="320"/>
      <c r="O437" s="320"/>
      <c r="P437" s="320"/>
      <c r="Q437" s="320"/>
      <c r="R437" s="320"/>
      <c r="S437" s="320"/>
      <c r="T437" s="320"/>
      <c r="U437" s="320"/>
      <c r="V437" s="320"/>
      <c r="W437" s="320"/>
      <c r="X437" s="320"/>
      <c r="Y437" s="320"/>
      <c r="Z437" s="320"/>
    </row>
    <row r="438">
      <c r="A438" s="320"/>
      <c r="B438" s="320"/>
      <c r="C438" s="320"/>
      <c r="D438" s="320"/>
      <c r="E438" s="320"/>
      <c r="F438" s="320"/>
      <c r="G438" s="320"/>
      <c r="H438" s="320"/>
      <c r="I438" s="320"/>
      <c r="J438" s="320"/>
      <c r="K438" s="320"/>
      <c r="L438" s="320"/>
      <c r="M438" s="320"/>
      <c r="N438" s="320"/>
      <c r="O438" s="320"/>
      <c r="P438" s="320"/>
      <c r="Q438" s="320"/>
      <c r="R438" s="320"/>
      <c r="S438" s="320"/>
      <c r="T438" s="320"/>
      <c r="U438" s="320"/>
      <c r="V438" s="320"/>
      <c r="W438" s="320"/>
      <c r="X438" s="320"/>
      <c r="Y438" s="320"/>
      <c r="Z438" s="320"/>
    </row>
    <row r="439">
      <c r="A439" s="320"/>
      <c r="B439" s="320"/>
      <c r="C439" s="320"/>
      <c r="D439" s="320"/>
      <c r="E439" s="320"/>
      <c r="F439" s="320"/>
      <c r="G439" s="320"/>
      <c r="H439" s="320"/>
      <c r="I439" s="320"/>
      <c r="J439" s="320"/>
      <c r="K439" s="320"/>
      <c r="L439" s="320"/>
      <c r="M439" s="320"/>
      <c r="N439" s="320"/>
      <c r="O439" s="320"/>
      <c r="P439" s="320"/>
      <c r="Q439" s="320"/>
      <c r="R439" s="320"/>
      <c r="S439" s="320"/>
      <c r="T439" s="320"/>
      <c r="U439" s="320"/>
      <c r="V439" s="320"/>
      <c r="W439" s="320"/>
      <c r="X439" s="320"/>
      <c r="Y439" s="320"/>
      <c r="Z439" s="320"/>
    </row>
    <row r="440">
      <c r="A440" s="320"/>
      <c r="B440" s="320"/>
      <c r="C440" s="320"/>
      <c r="D440" s="320"/>
      <c r="E440" s="320"/>
      <c r="F440" s="320"/>
      <c r="G440" s="320"/>
      <c r="H440" s="320"/>
      <c r="I440" s="320"/>
      <c r="J440" s="320"/>
      <c r="K440" s="320"/>
      <c r="L440" s="320"/>
      <c r="M440" s="320"/>
      <c r="N440" s="320"/>
      <c r="O440" s="320"/>
      <c r="P440" s="320"/>
      <c r="Q440" s="320"/>
      <c r="R440" s="320"/>
      <c r="S440" s="320"/>
      <c r="T440" s="320"/>
      <c r="U440" s="320"/>
      <c r="V440" s="320"/>
      <c r="W440" s="320"/>
      <c r="X440" s="320"/>
      <c r="Y440" s="320"/>
      <c r="Z440" s="320"/>
    </row>
    <row r="441">
      <c r="A441" s="320"/>
      <c r="B441" s="320"/>
      <c r="C441" s="320"/>
      <c r="D441" s="320"/>
      <c r="E441" s="320"/>
      <c r="F441" s="320"/>
      <c r="G441" s="320"/>
      <c r="H441" s="320"/>
      <c r="I441" s="320"/>
      <c r="J441" s="320"/>
      <c r="K441" s="320"/>
      <c r="L441" s="320"/>
      <c r="M441" s="320"/>
      <c r="N441" s="320"/>
      <c r="O441" s="320"/>
      <c r="P441" s="320"/>
      <c r="Q441" s="320"/>
      <c r="R441" s="320"/>
      <c r="S441" s="320"/>
      <c r="T441" s="320"/>
      <c r="U441" s="320"/>
      <c r="V441" s="320"/>
      <c r="W441" s="320"/>
      <c r="X441" s="320"/>
      <c r="Y441" s="320"/>
      <c r="Z441" s="320"/>
    </row>
    <row r="442">
      <c r="A442" s="320"/>
      <c r="B442" s="320"/>
      <c r="C442" s="320"/>
      <c r="D442" s="320"/>
      <c r="E442" s="320"/>
      <c r="F442" s="320"/>
      <c r="G442" s="320"/>
      <c r="H442" s="320"/>
      <c r="I442" s="320"/>
      <c r="J442" s="320"/>
      <c r="K442" s="320"/>
      <c r="L442" s="320"/>
      <c r="M442" s="320"/>
      <c r="N442" s="320"/>
      <c r="O442" s="320"/>
      <c r="P442" s="320"/>
      <c r="Q442" s="320"/>
      <c r="R442" s="320"/>
      <c r="S442" s="320"/>
      <c r="T442" s="320"/>
      <c r="U442" s="320"/>
      <c r="V442" s="320"/>
      <c r="W442" s="320"/>
      <c r="X442" s="320"/>
      <c r="Y442" s="320"/>
      <c r="Z442" s="320"/>
    </row>
    <row r="443">
      <c r="A443" s="320"/>
      <c r="B443" s="320"/>
      <c r="C443" s="320"/>
      <c r="D443" s="320"/>
      <c r="E443" s="320"/>
      <c r="F443" s="320"/>
      <c r="G443" s="320"/>
      <c r="H443" s="320"/>
      <c r="I443" s="320"/>
      <c r="J443" s="320"/>
      <c r="K443" s="320"/>
      <c r="L443" s="320"/>
      <c r="M443" s="320"/>
      <c r="N443" s="320"/>
      <c r="O443" s="320"/>
      <c r="P443" s="320"/>
      <c r="Q443" s="320"/>
      <c r="R443" s="320"/>
      <c r="S443" s="320"/>
      <c r="T443" s="320"/>
      <c r="U443" s="320"/>
      <c r="V443" s="320"/>
      <c r="W443" s="320"/>
      <c r="X443" s="320"/>
      <c r="Y443" s="320"/>
      <c r="Z443" s="320"/>
    </row>
    <row r="444">
      <c r="A444" s="320"/>
      <c r="B444" s="320"/>
      <c r="C444" s="320"/>
      <c r="D444" s="320"/>
      <c r="E444" s="320"/>
      <c r="F444" s="320"/>
      <c r="G444" s="320"/>
      <c r="H444" s="320"/>
      <c r="I444" s="320"/>
      <c r="J444" s="320"/>
      <c r="K444" s="320"/>
      <c r="L444" s="320"/>
      <c r="M444" s="320"/>
      <c r="N444" s="320"/>
      <c r="O444" s="320"/>
      <c r="P444" s="320"/>
      <c r="Q444" s="320"/>
      <c r="R444" s="320"/>
      <c r="S444" s="320"/>
      <c r="T444" s="320"/>
      <c r="U444" s="320"/>
      <c r="V444" s="320"/>
      <c r="W444" s="320"/>
      <c r="X444" s="320"/>
      <c r="Y444" s="320"/>
      <c r="Z444" s="320"/>
    </row>
    <row r="445">
      <c r="A445" s="320"/>
      <c r="B445" s="320"/>
      <c r="C445" s="320"/>
      <c r="D445" s="320"/>
      <c r="E445" s="320"/>
      <c r="F445" s="320"/>
      <c r="G445" s="320"/>
      <c r="H445" s="320"/>
      <c r="I445" s="320"/>
      <c r="J445" s="320"/>
      <c r="K445" s="320"/>
      <c r="L445" s="320"/>
      <c r="M445" s="320"/>
      <c r="N445" s="320"/>
      <c r="O445" s="320"/>
      <c r="P445" s="320"/>
      <c r="Q445" s="320"/>
      <c r="R445" s="320"/>
      <c r="S445" s="320"/>
      <c r="T445" s="320"/>
      <c r="U445" s="320"/>
      <c r="V445" s="320"/>
      <c r="W445" s="320"/>
      <c r="X445" s="320"/>
      <c r="Y445" s="320"/>
      <c r="Z445" s="320"/>
    </row>
    <row r="446">
      <c r="A446" s="320"/>
      <c r="B446" s="320"/>
      <c r="C446" s="320"/>
      <c r="D446" s="320"/>
      <c r="E446" s="320"/>
      <c r="F446" s="320"/>
      <c r="G446" s="320"/>
      <c r="H446" s="320"/>
      <c r="I446" s="320"/>
      <c r="J446" s="320"/>
      <c r="K446" s="320"/>
      <c r="L446" s="320"/>
      <c r="M446" s="320"/>
      <c r="N446" s="320"/>
      <c r="O446" s="320"/>
      <c r="P446" s="320"/>
      <c r="Q446" s="320"/>
      <c r="R446" s="320"/>
      <c r="S446" s="320"/>
      <c r="T446" s="320"/>
      <c r="U446" s="320"/>
      <c r="V446" s="320"/>
      <c r="W446" s="320"/>
      <c r="X446" s="320"/>
      <c r="Y446" s="320"/>
      <c r="Z446" s="320"/>
    </row>
    <row r="447">
      <c r="A447" s="320"/>
      <c r="B447" s="320"/>
      <c r="C447" s="320"/>
      <c r="D447" s="320"/>
      <c r="E447" s="320"/>
      <c r="F447" s="320"/>
      <c r="G447" s="320"/>
      <c r="H447" s="320"/>
      <c r="I447" s="320"/>
      <c r="J447" s="320"/>
      <c r="K447" s="320"/>
      <c r="L447" s="320"/>
      <c r="M447" s="320"/>
      <c r="N447" s="320"/>
      <c r="O447" s="320"/>
      <c r="P447" s="320"/>
      <c r="Q447" s="320"/>
      <c r="R447" s="320"/>
      <c r="S447" s="320"/>
      <c r="T447" s="320"/>
      <c r="U447" s="320"/>
      <c r="V447" s="320"/>
      <c r="W447" s="320"/>
      <c r="X447" s="320"/>
      <c r="Y447" s="320"/>
      <c r="Z447" s="320"/>
    </row>
    <row r="448">
      <c r="A448" s="320"/>
      <c r="B448" s="320"/>
      <c r="C448" s="320"/>
      <c r="D448" s="320"/>
      <c r="E448" s="320"/>
      <c r="F448" s="320"/>
      <c r="G448" s="320"/>
      <c r="H448" s="320"/>
      <c r="I448" s="320"/>
      <c r="J448" s="320"/>
      <c r="K448" s="320"/>
      <c r="L448" s="320"/>
      <c r="M448" s="320"/>
      <c r="N448" s="320"/>
      <c r="O448" s="320"/>
      <c r="P448" s="320"/>
      <c r="Q448" s="320"/>
      <c r="R448" s="320"/>
      <c r="S448" s="320"/>
      <c r="T448" s="320"/>
      <c r="U448" s="320"/>
      <c r="V448" s="320"/>
      <c r="W448" s="320"/>
      <c r="X448" s="320"/>
      <c r="Y448" s="320"/>
      <c r="Z448" s="320"/>
    </row>
    <row r="449">
      <c r="A449" s="320"/>
      <c r="B449" s="320"/>
      <c r="C449" s="320"/>
      <c r="D449" s="320"/>
      <c r="E449" s="320"/>
      <c r="F449" s="320"/>
      <c r="G449" s="320"/>
      <c r="H449" s="320"/>
      <c r="I449" s="320"/>
      <c r="J449" s="320"/>
      <c r="K449" s="320"/>
      <c r="L449" s="320"/>
      <c r="M449" s="320"/>
      <c r="N449" s="320"/>
      <c r="O449" s="320"/>
      <c r="P449" s="320"/>
      <c r="Q449" s="320"/>
      <c r="R449" s="320"/>
      <c r="S449" s="320"/>
      <c r="T449" s="320"/>
      <c r="U449" s="320"/>
      <c r="V449" s="320"/>
      <c r="W449" s="320"/>
      <c r="X449" s="320"/>
      <c r="Y449" s="320"/>
      <c r="Z449" s="320"/>
    </row>
    <row r="450">
      <c r="A450" s="320"/>
      <c r="B450" s="320"/>
      <c r="C450" s="320"/>
      <c r="D450" s="320"/>
      <c r="E450" s="320"/>
      <c r="F450" s="320"/>
      <c r="G450" s="320"/>
      <c r="H450" s="320"/>
      <c r="I450" s="320"/>
      <c r="J450" s="320"/>
      <c r="K450" s="320"/>
      <c r="L450" s="320"/>
      <c r="M450" s="320"/>
      <c r="N450" s="320"/>
      <c r="O450" s="320"/>
      <c r="P450" s="320"/>
      <c r="Q450" s="320"/>
      <c r="R450" s="320"/>
      <c r="S450" s="320"/>
      <c r="T450" s="320"/>
      <c r="U450" s="320"/>
      <c r="V450" s="320"/>
      <c r="W450" s="320"/>
      <c r="X450" s="320"/>
      <c r="Y450" s="320"/>
      <c r="Z450" s="320"/>
    </row>
    <row r="451">
      <c r="A451" s="320"/>
      <c r="B451" s="320"/>
      <c r="C451" s="320"/>
      <c r="D451" s="320"/>
      <c r="E451" s="320"/>
      <c r="F451" s="320"/>
      <c r="G451" s="320"/>
      <c r="H451" s="320"/>
      <c r="I451" s="320"/>
      <c r="J451" s="320"/>
      <c r="K451" s="320"/>
      <c r="L451" s="320"/>
      <c r="M451" s="320"/>
      <c r="N451" s="320"/>
      <c r="O451" s="320"/>
      <c r="P451" s="320"/>
      <c r="Q451" s="320"/>
      <c r="R451" s="320"/>
      <c r="S451" s="320"/>
      <c r="T451" s="320"/>
      <c r="U451" s="320"/>
      <c r="V451" s="320"/>
      <c r="W451" s="320"/>
      <c r="X451" s="320"/>
      <c r="Y451" s="320"/>
      <c r="Z451" s="320"/>
    </row>
    <row r="452">
      <c r="A452" s="320"/>
      <c r="B452" s="320"/>
      <c r="C452" s="320"/>
      <c r="D452" s="320"/>
      <c r="E452" s="320"/>
      <c r="F452" s="320"/>
      <c r="G452" s="320"/>
      <c r="H452" s="320"/>
      <c r="I452" s="320"/>
      <c r="J452" s="320"/>
      <c r="K452" s="320"/>
      <c r="L452" s="320"/>
      <c r="M452" s="320"/>
      <c r="N452" s="320"/>
      <c r="O452" s="320"/>
      <c r="P452" s="320"/>
      <c r="Q452" s="320"/>
      <c r="R452" s="320"/>
      <c r="S452" s="320"/>
      <c r="T452" s="320"/>
      <c r="U452" s="320"/>
      <c r="V452" s="320"/>
      <c r="W452" s="320"/>
      <c r="X452" s="320"/>
      <c r="Y452" s="320"/>
      <c r="Z452" s="320"/>
    </row>
    <row r="453">
      <c r="A453" s="320"/>
      <c r="B453" s="320"/>
      <c r="C453" s="320"/>
      <c r="D453" s="320"/>
      <c r="E453" s="320"/>
      <c r="F453" s="320"/>
      <c r="G453" s="320"/>
      <c r="H453" s="320"/>
      <c r="I453" s="320"/>
      <c r="J453" s="320"/>
      <c r="K453" s="320"/>
      <c r="L453" s="320"/>
      <c r="M453" s="320"/>
      <c r="N453" s="320"/>
      <c r="O453" s="320"/>
      <c r="P453" s="320"/>
      <c r="Q453" s="320"/>
      <c r="R453" s="320"/>
      <c r="S453" s="320"/>
      <c r="T453" s="320"/>
      <c r="U453" s="320"/>
      <c r="V453" s="320"/>
      <c r="W453" s="320"/>
      <c r="X453" s="320"/>
      <c r="Y453" s="320"/>
      <c r="Z453" s="320"/>
    </row>
    <row r="454">
      <c r="A454" s="320"/>
      <c r="B454" s="320"/>
      <c r="C454" s="320"/>
      <c r="D454" s="320"/>
      <c r="E454" s="320"/>
      <c r="F454" s="320"/>
      <c r="G454" s="320"/>
      <c r="H454" s="320"/>
      <c r="I454" s="320"/>
      <c r="J454" s="320"/>
      <c r="K454" s="320"/>
      <c r="L454" s="320"/>
      <c r="M454" s="320"/>
      <c r="N454" s="320"/>
      <c r="O454" s="320"/>
      <c r="P454" s="320"/>
      <c r="Q454" s="320"/>
      <c r="R454" s="320"/>
      <c r="S454" s="320"/>
      <c r="T454" s="320"/>
      <c r="U454" s="320"/>
      <c r="V454" s="320"/>
      <c r="W454" s="320"/>
      <c r="X454" s="320"/>
      <c r="Y454" s="320"/>
      <c r="Z454" s="320"/>
    </row>
    <row r="455">
      <c r="A455" s="320"/>
      <c r="B455" s="320"/>
      <c r="C455" s="320"/>
      <c r="D455" s="320"/>
      <c r="E455" s="320"/>
      <c r="F455" s="320"/>
      <c r="G455" s="320"/>
      <c r="H455" s="320"/>
      <c r="I455" s="320"/>
      <c r="J455" s="320"/>
      <c r="K455" s="320"/>
      <c r="L455" s="320"/>
      <c r="M455" s="320"/>
      <c r="N455" s="320"/>
      <c r="O455" s="320"/>
      <c r="P455" s="320"/>
      <c r="Q455" s="320"/>
      <c r="R455" s="320"/>
      <c r="S455" s="320"/>
      <c r="T455" s="320"/>
      <c r="U455" s="320"/>
      <c r="V455" s="320"/>
      <c r="W455" s="320"/>
      <c r="X455" s="320"/>
      <c r="Y455" s="320"/>
      <c r="Z455" s="320"/>
    </row>
    <row r="456">
      <c r="A456" s="320"/>
      <c r="B456" s="320"/>
      <c r="C456" s="320"/>
      <c r="D456" s="320"/>
      <c r="E456" s="320"/>
      <c r="F456" s="320"/>
      <c r="G456" s="320"/>
      <c r="H456" s="320"/>
      <c r="I456" s="320"/>
      <c r="J456" s="320"/>
      <c r="K456" s="320"/>
      <c r="L456" s="320"/>
      <c r="M456" s="320"/>
      <c r="N456" s="320"/>
      <c r="O456" s="320"/>
      <c r="P456" s="320"/>
      <c r="Q456" s="320"/>
      <c r="R456" s="320"/>
      <c r="S456" s="320"/>
      <c r="T456" s="320"/>
      <c r="U456" s="320"/>
      <c r="V456" s="320"/>
      <c r="W456" s="320"/>
      <c r="X456" s="320"/>
      <c r="Y456" s="320"/>
      <c r="Z456" s="320"/>
    </row>
    <row r="457">
      <c r="A457" s="320"/>
      <c r="B457" s="320"/>
      <c r="C457" s="320"/>
      <c r="D457" s="320"/>
      <c r="E457" s="320"/>
      <c r="F457" s="320"/>
      <c r="G457" s="320"/>
      <c r="H457" s="320"/>
      <c r="I457" s="320"/>
      <c r="J457" s="320"/>
      <c r="K457" s="320"/>
      <c r="L457" s="320"/>
      <c r="M457" s="320"/>
      <c r="N457" s="320"/>
      <c r="O457" s="320"/>
      <c r="P457" s="320"/>
      <c r="Q457" s="320"/>
      <c r="R457" s="320"/>
      <c r="S457" s="320"/>
      <c r="T457" s="320"/>
      <c r="U457" s="320"/>
      <c r="V457" s="320"/>
      <c r="W457" s="320"/>
      <c r="X457" s="320"/>
      <c r="Y457" s="320"/>
      <c r="Z457" s="320"/>
    </row>
    <row r="458">
      <c r="A458" s="320"/>
      <c r="B458" s="320"/>
      <c r="C458" s="320"/>
      <c r="D458" s="320"/>
      <c r="E458" s="320"/>
      <c r="F458" s="320"/>
      <c r="G458" s="320"/>
      <c r="H458" s="320"/>
      <c r="I458" s="320"/>
      <c r="J458" s="320"/>
      <c r="K458" s="320"/>
      <c r="L458" s="320"/>
      <c r="M458" s="320"/>
      <c r="N458" s="320"/>
      <c r="O458" s="320"/>
      <c r="P458" s="320"/>
      <c r="Q458" s="320"/>
      <c r="R458" s="320"/>
      <c r="S458" s="320"/>
      <c r="T458" s="320"/>
      <c r="U458" s="320"/>
      <c r="V458" s="320"/>
      <c r="W458" s="320"/>
      <c r="X458" s="320"/>
      <c r="Y458" s="320"/>
      <c r="Z458" s="320"/>
    </row>
    <row r="459">
      <c r="A459" s="320"/>
      <c r="B459" s="320"/>
      <c r="C459" s="320"/>
      <c r="D459" s="320"/>
      <c r="E459" s="320"/>
      <c r="F459" s="320"/>
      <c r="G459" s="320"/>
      <c r="H459" s="320"/>
      <c r="I459" s="320"/>
      <c r="J459" s="320"/>
      <c r="K459" s="320"/>
      <c r="L459" s="320"/>
      <c r="M459" s="320"/>
      <c r="N459" s="320"/>
      <c r="O459" s="320"/>
      <c r="P459" s="320"/>
      <c r="Q459" s="320"/>
      <c r="R459" s="320"/>
      <c r="S459" s="320"/>
      <c r="T459" s="320"/>
      <c r="U459" s="320"/>
      <c r="V459" s="320"/>
      <c r="W459" s="320"/>
      <c r="X459" s="320"/>
      <c r="Y459" s="320"/>
      <c r="Z459" s="320"/>
    </row>
    <row r="460">
      <c r="A460" s="320"/>
      <c r="B460" s="320"/>
      <c r="C460" s="320"/>
      <c r="D460" s="320"/>
      <c r="E460" s="320"/>
      <c r="F460" s="320"/>
      <c r="G460" s="320"/>
      <c r="H460" s="320"/>
      <c r="I460" s="320"/>
      <c r="J460" s="320"/>
      <c r="K460" s="320"/>
      <c r="L460" s="320"/>
      <c r="M460" s="320"/>
      <c r="N460" s="320"/>
      <c r="O460" s="320"/>
      <c r="P460" s="320"/>
      <c r="Q460" s="320"/>
      <c r="R460" s="320"/>
      <c r="S460" s="320"/>
      <c r="T460" s="320"/>
      <c r="U460" s="320"/>
      <c r="V460" s="320"/>
      <c r="W460" s="320"/>
      <c r="X460" s="320"/>
      <c r="Y460" s="320"/>
      <c r="Z460" s="320"/>
    </row>
    <row r="461">
      <c r="A461" s="320"/>
      <c r="B461" s="320"/>
      <c r="C461" s="320"/>
      <c r="D461" s="320"/>
      <c r="E461" s="320"/>
      <c r="F461" s="320"/>
      <c r="G461" s="320"/>
      <c r="H461" s="320"/>
      <c r="I461" s="320"/>
      <c r="J461" s="320"/>
      <c r="K461" s="320"/>
      <c r="L461" s="320"/>
      <c r="M461" s="320"/>
      <c r="N461" s="320"/>
      <c r="O461" s="320"/>
      <c r="P461" s="320"/>
      <c r="Q461" s="320"/>
      <c r="R461" s="320"/>
      <c r="S461" s="320"/>
      <c r="T461" s="320"/>
      <c r="U461" s="320"/>
      <c r="V461" s="320"/>
      <c r="W461" s="320"/>
      <c r="X461" s="320"/>
      <c r="Y461" s="320"/>
      <c r="Z461" s="320"/>
    </row>
    <row r="462">
      <c r="A462" s="320"/>
      <c r="B462" s="320"/>
      <c r="C462" s="320"/>
      <c r="D462" s="320"/>
      <c r="E462" s="320"/>
      <c r="F462" s="320"/>
      <c r="G462" s="320"/>
      <c r="H462" s="320"/>
      <c r="I462" s="320"/>
      <c r="J462" s="320"/>
      <c r="K462" s="320"/>
      <c r="L462" s="320"/>
      <c r="M462" s="320"/>
      <c r="N462" s="320"/>
      <c r="O462" s="320"/>
      <c r="P462" s="320"/>
      <c r="Q462" s="320"/>
      <c r="R462" s="320"/>
      <c r="S462" s="320"/>
      <c r="T462" s="320"/>
      <c r="U462" s="320"/>
      <c r="V462" s="320"/>
      <c r="W462" s="320"/>
      <c r="X462" s="320"/>
      <c r="Y462" s="320"/>
      <c r="Z462" s="320"/>
    </row>
    <row r="463">
      <c r="A463" s="320"/>
      <c r="B463" s="320"/>
      <c r="C463" s="320"/>
      <c r="D463" s="320"/>
      <c r="E463" s="320"/>
      <c r="F463" s="320"/>
      <c r="G463" s="320"/>
      <c r="H463" s="320"/>
      <c r="I463" s="320"/>
      <c r="J463" s="320"/>
      <c r="K463" s="320"/>
      <c r="L463" s="320"/>
      <c r="M463" s="320"/>
      <c r="N463" s="320"/>
      <c r="O463" s="320"/>
      <c r="P463" s="320"/>
      <c r="Q463" s="320"/>
      <c r="R463" s="320"/>
      <c r="S463" s="320"/>
      <c r="T463" s="320"/>
      <c r="U463" s="320"/>
      <c r="V463" s="320"/>
      <c r="W463" s="320"/>
      <c r="X463" s="320"/>
      <c r="Y463" s="320"/>
      <c r="Z463" s="320"/>
    </row>
    <row r="464">
      <c r="A464" s="320"/>
      <c r="B464" s="320"/>
      <c r="C464" s="320"/>
      <c r="D464" s="320"/>
      <c r="E464" s="320"/>
      <c r="F464" s="320"/>
      <c r="G464" s="320"/>
      <c r="H464" s="320"/>
      <c r="I464" s="320"/>
      <c r="J464" s="320"/>
      <c r="K464" s="320"/>
      <c r="L464" s="320"/>
      <c r="M464" s="320"/>
      <c r="N464" s="320"/>
      <c r="O464" s="320"/>
      <c r="P464" s="320"/>
      <c r="Q464" s="320"/>
      <c r="R464" s="320"/>
      <c r="S464" s="320"/>
      <c r="T464" s="320"/>
      <c r="U464" s="320"/>
      <c r="V464" s="320"/>
      <c r="W464" s="320"/>
      <c r="X464" s="320"/>
      <c r="Y464" s="320"/>
      <c r="Z464" s="320"/>
    </row>
    <row r="465">
      <c r="A465" s="320"/>
      <c r="B465" s="320"/>
      <c r="C465" s="320"/>
      <c r="D465" s="320"/>
      <c r="E465" s="320"/>
      <c r="F465" s="320"/>
      <c r="G465" s="320"/>
      <c r="H465" s="320"/>
      <c r="I465" s="320"/>
      <c r="J465" s="320"/>
      <c r="K465" s="320"/>
      <c r="L465" s="320"/>
      <c r="M465" s="320"/>
      <c r="N465" s="320"/>
      <c r="O465" s="320"/>
      <c r="P465" s="320"/>
      <c r="Q465" s="320"/>
      <c r="R465" s="320"/>
      <c r="S465" s="320"/>
      <c r="T465" s="320"/>
      <c r="U465" s="320"/>
      <c r="V465" s="320"/>
      <c r="W465" s="320"/>
      <c r="X465" s="320"/>
      <c r="Y465" s="320"/>
      <c r="Z465" s="320"/>
    </row>
    <row r="466">
      <c r="A466" s="320"/>
      <c r="B466" s="320"/>
      <c r="C466" s="320"/>
      <c r="D466" s="320"/>
      <c r="E466" s="320"/>
      <c r="F466" s="320"/>
      <c r="G466" s="320"/>
      <c r="H466" s="320"/>
      <c r="I466" s="320"/>
      <c r="J466" s="320"/>
      <c r="K466" s="320"/>
      <c r="L466" s="320"/>
      <c r="M466" s="320"/>
      <c r="N466" s="320"/>
      <c r="O466" s="320"/>
      <c r="P466" s="320"/>
      <c r="Q466" s="320"/>
      <c r="R466" s="320"/>
      <c r="S466" s="320"/>
      <c r="T466" s="320"/>
      <c r="U466" s="320"/>
      <c r="V466" s="320"/>
      <c r="W466" s="320"/>
      <c r="X466" s="320"/>
      <c r="Y466" s="320"/>
      <c r="Z466" s="320"/>
    </row>
    <row r="467">
      <c r="A467" s="320"/>
      <c r="B467" s="320"/>
      <c r="C467" s="320"/>
      <c r="D467" s="320"/>
      <c r="E467" s="320"/>
      <c r="F467" s="320"/>
      <c r="G467" s="320"/>
      <c r="H467" s="320"/>
      <c r="I467" s="320"/>
      <c r="J467" s="320"/>
      <c r="K467" s="320"/>
      <c r="L467" s="320"/>
      <c r="M467" s="320"/>
      <c r="N467" s="320"/>
      <c r="O467" s="320"/>
      <c r="P467" s="320"/>
      <c r="Q467" s="320"/>
      <c r="R467" s="320"/>
      <c r="S467" s="320"/>
      <c r="T467" s="320"/>
      <c r="U467" s="320"/>
      <c r="V467" s="320"/>
      <c r="W467" s="320"/>
      <c r="X467" s="320"/>
      <c r="Y467" s="320"/>
      <c r="Z467" s="320"/>
    </row>
    <row r="468">
      <c r="A468" s="320"/>
      <c r="B468" s="320"/>
      <c r="C468" s="320"/>
      <c r="D468" s="320"/>
      <c r="E468" s="320"/>
      <c r="F468" s="320"/>
      <c r="G468" s="320"/>
      <c r="H468" s="320"/>
      <c r="I468" s="320"/>
      <c r="J468" s="320"/>
      <c r="K468" s="320"/>
      <c r="L468" s="320"/>
      <c r="M468" s="320"/>
      <c r="N468" s="320"/>
      <c r="O468" s="320"/>
      <c r="P468" s="320"/>
      <c r="Q468" s="320"/>
      <c r="R468" s="320"/>
      <c r="S468" s="320"/>
      <c r="T468" s="320"/>
      <c r="U468" s="320"/>
      <c r="V468" s="320"/>
      <c r="W468" s="320"/>
      <c r="X468" s="320"/>
      <c r="Y468" s="320"/>
      <c r="Z468" s="320"/>
    </row>
    <row r="469">
      <c r="A469" s="320"/>
      <c r="B469" s="320"/>
      <c r="C469" s="320"/>
      <c r="D469" s="320"/>
      <c r="E469" s="320"/>
      <c r="F469" s="320"/>
      <c r="G469" s="320"/>
      <c r="H469" s="320"/>
      <c r="I469" s="320"/>
      <c r="J469" s="320"/>
      <c r="K469" s="320"/>
      <c r="L469" s="320"/>
      <c r="M469" s="320"/>
      <c r="N469" s="320"/>
      <c r="O469" s="320"/>
      <c r="P469" s="320"/>
      <c r="Q469" s="320"/>
      <c r="R469" s="320"/>
      <c r="S469" s="320"/>
      <c r="T469" s="320"/>
      <c r="U469" s="320"/>
      <c r="V469" s="320"/>
      <c r="W469" s="320"/>
      <c r="X469" s="320"/>
      <c r="Y469" s="320"/>
      <c r="Z469" s="320"/>
    </row>
    <row r="470">
      <c r="A470" s="320"/>
      <c r="B470" s="320"/>
      <c r="C470" s="320"/>
      <c r="D470" s="320"/>
      <c r="E470" s="320"/>
      <c r="F470" s="320"/>
      <c r="G470" s="320"/>
      <c r="H470" s="320"/>
      <c r="I470" s="320"/>
      <c r="J470" s="320"/>
      <c r="K470" s="320"/>
      <c r="L470" s="320"/>
      <c r="M470" s="320"/>
      <c r="N470" s="320"/>
      <c r="O470" s="320"/>
      <c r="P470" s="320"/>
      <c r="Q470" s="320"/>
      <c r="R470" s="320"/>
      <c r="S470" s="320"/>
      <c r="T470" s="320"/>
      <c r="U470" s="320"/>
      <c r="V470" s="320"/>
      <c r="W470" s="320"/>
      <c r="X470" s="320"/>
      <c r="Y470" s="320"/>
      <c r="Z470" s="320"/>
    </row>
    <row r="471">
      <c r="A471" s="320"/>
      <c r="B471" s="320"/>
      <c r="C471" s="320"/>
      <c r="D471" s="320"/>
      <c r="E471" s="320"/>
      <c r="F471" s="320"/>
      <c r="G471" s="320"/>
      <c r="H471" s="320"/>
      <c r="I471" s="320"/>
      <c r="J471" s="320"/>
      <c r="K471" s="320"/>
      <c r="L471" s="320"/>
      <c r="M471" s="320"/>
      <c r="N471" s="320"/>
      <c r="O471" s="320"/>
      <c r="P471" s="320"/>
      <c r="Q471" s="320"/>
      <c r="R471" s="320"/>
      <c r="S471" s="320"/>
      <c r="T471" s="320"/>
      <c r="U471" s="320"/>
      <c r="V471" s="320"/>
      <c r="W471" s="320"/>
      <c r="X471" s="320"/>
      <c r="Y471" s="320"/>
      <c r="Z471" s="320"/>
    </row>
    <row r="472">
      <c r="A472" s="320"/>
      <c r="B472" s="320"/>
      <c r="C472" s="320"/>
      <c r="D472" s="320"/>
      <c r="E472" s="320"/>
      <c r="F472" s="320"/>
      <c r="G472" s="320"/>
      <c r="H472" s="320"/>
      <c r="I472" s="320"/>
      <c r="J472" s="320"/>
      <c r="K472" s="320"/>
      <c r="L472" s="320"/>
      <c r="M472" s="320"/>
      <c r="N472" s="320"/>
      <c r="O472" s="320"/>
      <c r="P472" s="320"/>
      <c r="Q472" s="320"/>
      <c r="R472" s="320"/>
      <c r="S472" s="320"/>
      <c r="T472" s="320"/>
      <c r="U472" s="320"/>
      <c r="V472" s="320"/>
      <c r="W472" s="320"/>
      <c r="X472" s="320"/>
      <c r="Y472" s="320"/>
      <c r="Z472" s="320"/>
    </row>
    <row r="473">
      <c r="A473" s="320"/>
      <c r="B473" s="320"/>
      <c r="C473" s="320"/>
      <c r="D473" s="320"/>
      <c r="E473" s="320"/>
      <c r="F473" s="320"/>
      <c r="G473" s="320"/>
      <c r="H473" s="320"/>
      <c r="I473" s="320"/>
      <c r="J473" s="320"/>
      <c r="K473" s="320"/>
      <c r="L473" s="320"/>
      <c r="M473" s="320"/>
      <c r="N473" s="320"/>
      <c r="O473" s="320"/>
      <c r="P473" s="320"/>
      <c r="Q473" s="320"/>
      <c r="R473" s="320"/>
      <c r="S473" s="320"/>
      <c r="T473" s="320"/>
      <c r="U473" s="320"/>
      <c r="V473" s="320"/>
      <c r="W473" s="320"/>
      <c r="X473" s="320"/>
      <c r="Y473" s="320"/>
      <c r="Z473" s="320"/>
    </row>
    <row r="474">
      <c r="A474" s="320"/>
      <c r="B474" s="320"/>
      <c r="C474" s="320"/>
      <c r="D474" s="320"/>
      <c r="E474" s="320"/>
      <c r="F474" s="320"/>
      <c r="G474" s="320"/>
      <c r="H474" s="320"/>
      <c r="I474" s="320"/>
      <c r="J474" s="320"/>
      <c r="K474" s="320"/>
      <c r="L474" s="320"/>
      <c r="M474" s="320"/>
      <c r="N474" s="320"/>
      <c r="O474" s="320"/>
      <c r="P474" s="320"/>
      <c r="Q474" s="320"/>
      <c r="R474" s="320"/>
      <c r="S474" s="320"/>
      <c r="T474" s="320"/>
      <c r="U474" s="320"/>
      <c r="V474" s="320"/>
      <c r="W474" s="320"/>
      <c r="X474" s="320"/>
      <c r="Y474" s="320"/>
      <c r="Z474" s="320"/>
    </row>
    <row r="475">
      <c r="A475" s="320"/>
      <c r="B475" s="320"/>
      <c r="C475" s="320"/>
      <c r="D475" s="320"/>
      <c r="E475" s="320"/>
      <c r="F475" s="320"/>
      <c r="G475" s="320"/>
      <c r="H475" s="320"/>
      <c r="I475" s="320"/>
      <c r="J475" s="320"/>
      <c r="K475" s="320"/>
      <c r="L475" s="320"/>
      <c r="M475" s="320"/>
      <c r="N475" s="320"/>
      <c r="O475" s="320"/>
      <c r="P475" s="320"/>
      <c r="Q475" s="320"/>
      <c r="R475" s="320"/>
      <c r="S475" s="320"/>
      <c r="T475" s="320"/>
      <c r="U475" s="320"/>
      <c r="V475" s="320"/>
      <c r="W475" s="320"/>
      <c r="X475" s="320"/>
      <c r="Y475" s="320"/>
      <c r="Z475" s="320"/>
    </row>
    <row r="476">
      <c r="A476" s="320"/>
      <c r="B476" s="320"/>
      <c r="C476" s="320"/>
      <c r="D476" s="320"/>
      <c r="E476" s="320"/>
      <c r="F476" s="320"/>
      <c r="G476" s="320"/>
      <c r="H476" s="320"/>
      <c r="I476" s="320"/>
      <c r="J476" s="320"/>
      <c r="K476" s="320"/>
      <c r="L476" s="320"/>
      <c r="M476" s="320"/>
      <c r="N476" s="320"/>
      <c r="O476" s="320"/>
      <c r="P476" s="320"/>
      <c r="Q476" s="320"/>
      <c r="R476" s="320"/>
      <c r="S476" s="320"/>
      <c r="T476" s="320"/>
      <c r="U476" s="320"/>
      <c r="V476" s="320"/>
      <c r="W476" s="320"/>
      <c r="X476" s="320"/>
      <c r="Y476" s="320"/>
      <c r="Z476" s="320"/>
    </row>
    <row r="477">
      <c r="A477" s="320"/>
      <c r="B477" s="320"/>
      <c r="C477" s="320"/>
      <c r="D477" s="320"/>
      <c r="E477" s="320"/>
      <c r="F477" s="320"/>
      <c r="G477" s="320"/>
      <c r="H477" s="320"/>
      <c r="I477" s="320"/>
      <c r="J477" s="320"/>
      <c r="K477" s="320"/>
      <c r="L477" s="320"/>
      <c r="M477" s="320"/>
      <c r="N477" s="320"/>
      <c r="O477" s="320"/>
      <c r="P477" s="320"/>
      <c r="Q477" s="320"/>
      <c r="R477" s="320"/>
      <c r="S477" s="320"/>
      <c r="T477" s="320"/>
      <c r="U477" s="320"/>
      <c r="V477" s="320"/>
      <c r="W477" s="320"/>
      <c r="X477" s="320"/>
      <c r="Y477" s="320"/>
      <c r="Z477" s="320"/>
    </row>
    <row r="478">
      <c r="A478" s="320"/>
      <c r="B478" s="320"/>
      <c r="C478" s="320"/>
      <c r="D478" s="320"/>
      <c r="E478" s="320"/>
      <c r="F478" s="320"/>
      <c r="G478" s="320"/>
      <c r="H478" s="320"/>
      <c r="I478" s="320"/>
      <c r="J478" s="320"/>
      <c r="K478" s="320"/>
      <c r="L478" s="320"/>
      <c r="M478" s="320"/>
      <c r="N478" s="320"/>
      <c r="O478" s="320"/>
      <c r="P478" s="320"/>
      <c r="Q478" s="320"/>
      <c r="R478" s="320"/>
      <c r="S478" s="320"/>
      <c r="T478" s="320"/>
      <c r="U478" s="320"/>
      <c r="V478" s="320"/>
      <c r="W478" s="320"/>
      <c r="X478" s="320"/>
      <c r="Y478" s="320"/>
      <c r="Z478" s="320"/>
    </row>
    <row r="479">
      <c r="A479" s="320"/>
      <c r="B479" s="320"/>
      <c r="C479" s="320"/>
      <c r="D479" s="320"/>
      <c r="E479" s="320"/>
      <c r="F479" s="320"/>
      <c r="G479" s="320"/>
      <c r="H479" s="320"/>
      <c r="I479" s="320"/>
      <c r="J479" s="320"/>
      <c r="K479" s="320"/>
      <c r="L479" s="320"/>
      <c r="M479" s="320"/>
      <c r="N479" s="320"/>
      <c r="O479" s="320"/>
      <c r="P479" s="320"/>
      <c r="Q479" s="320"/>
      <c r="R479" s="320"/>
      <c r="S479" s="320"/>
      <c r="T479" s="320"/>
      <c r="U479" s="320"/>
      <c r="V479" s="320"/>
      <c r="W479" s="320"/>
      <c r="X479" s="320"/>
      <c r="Y479" s="320"/>
      <c r="Z479" s="320"/>
    </row>
    <row r="480">
      <c r="A480" s="320"/>
      <c r="B480" s="320"/>
      <c r="C480" s="320"/>
      <c r="D480" s="320"/>
      <c r="E480" s="320"/>
      <c r="F480" s="320"/>
      <c r="G480" s="320"/>
      <c r="H480" s="320"/>
      <c r="I480" s="320"/>
      <c r="J480" s="320"/>
      <c r="K480" s="320"/>
      <c r="L480" s="320"/>
      <c r="M480" s="320"/>
      <c r="N480" s="320"/>
      <c r="O480" s="320"/>
      <c r="P480" s="320"/>
      <c r="Q480" s="320"/>
      <c r="R480" s="320"/>
      <c r="S480" s="320"/>
      <c r="T480" s="320"/>
      <c r="U480" s="320"/>
      <c r="V480" s="320"/>
      <c r="W480" s="320"/>
      <c r="X480" s="320"/>
      <c r="Y480" s="320"/>
      <c r="Z480" s="320"/>
    </row>
    <row r="481">
      <c r="A481" s="320"/>
      <c r="B481" s="320"/>
      <c r="C481" s="320"/>
      <c r="D481" s="320"/>
      <c r="E481" s="320"/>
      <c r="F481" s="320"/>
      <c r="G481" s="320"/>
      <c r="H481" s="320"/>
      <c r="I481" s="320"/>
      <c r="J481" s="320"/>
      <c r="K481" s="320"/>
      <c r="L481" s="320"/>
      <c r="M481" s="320"/>
      <c r="N481" s="320"/>
      <c r="O481" s="320"/>
      <c r="P481" s="320"/>
      <c r="Q481" s="320"/>
      <c r="R481" s="320"/>
      <c r="S481" s="320"/>
      <c r="T481" s="320"/>
      <c r="U481" s="320"/>
      <c r="V481" s="320"/>
      <c r="W481" s="320"/>
      <c r="X481" s="320"/>
      <c r="Y481" s="320"/>
      <c r="Z481" s="320"/>
    </row>
    <row r="482">
      <c r="A482" s="320"/>
      <c r="B482" s="320"/>
      <c r="C482" s="320"/>
      <c r="D482" s="320"/>
      <c r="E482" s="320"/>
      <c r="F482" s="320"/>
      <c r="G482" s="320"/>
      <c r="H482" s="320"/>
      <c r="I482" s="320"/>
      <c r="J482" s="320"/>
      <c r="K482" s="320"/>
      <c r="L482" s="320"/>
      <c r="M482" s="320"/>
      <c r="N482" s="320"/>
      <c r="O482" s="320"/>
      <c r="P482" s="320"/>
      <c r="Q482" s="320"/>
      <c r="R482" s="320"/>
      <c r="S482" s="320"/>
      <c r="T482" s="320"/>
      <c r="U482" s="320"/>
      <c r="V482" s="320"/>
      <c r="W482" s="320"/>
      <c r="X482" s="320"/>
      <c r="Y482" s="320"/>
      <c r="Z482" s="320"/>
    </row>
    <row r="483">
      <c r="A483" s="320"/>
      <c r="B483" s="320"/>
      <c r="C483" s="320"/>
      <c r="D483" s="320"/>
      <c r="E483" s="320"/>
      <c r="F483" s="320"/>
      <c r="G483" s="320"/>
      <c r="H483" s="320"/>
      <c r="I483" s="320"/>
      <c r="J483" s="320"/>
      <c r="K483" s="320"/>
      <c r="L483" s="320"/>
      <c r="M483" s="320"/>
      <c r="N483" s="320"/>
      <c r="O483" s="320"/>
      <c r="P483" s="320"/>
      <c r="Q483" s="320"/>
      <c r="R483" s="320"/>
      <c r="S483" s="320"/>
      <c r="T483" s="320"/>
      <c r="U483" s="320"/>
      <c r="V483" s="320"/>
      <c r="W483" s="320"/>
      <c r="X483" s="320"/>
      <c r="Y483" s="320"/>
      <c r="Z483" s="320"/>
    </row>
    <row r="484">
      <c r="A484" s="320"/>
      <c r="B484" s="320"/>
      <c r="C484" s="320"/>
      <c r="D484" s="320"/>
      <c r="E484" s="320"/>
      <c r="F484" s="320"/>
      <c r="G484" s="320"/>
      <c r="H484" s="320"/>
      <c r="I484" s="320"/>
      <c r="J484" s="320"/>
      <c r="K484" s="320"/>
      <c r="L484" s="320"/>
      <c r="M484" s="320"/>
      <c r="N484" s="320"/>
      <c r="O484" s="320"/>
      <c r="P484" s="320"/>
      <c r="Q484" s="320"/>
      <c r="R484" s="320"/>
      <c r="S484" s="320"/>
      <c r="T484" s="320"/>
      <c r="U484" s="320"/>
      <c r="V484" s="320"/>
      <c r="W484" s="320"/>
      <c r="X484" s="320"/>
      <c r="Y484" s="320"/>
      <c r="Z484" s="320"/>
    </row>
    <row r="485">
      <c r="A485" s="320"/>
      <c r="B485" s="320"/>
      <c r="C485" s="320"/>
      <c r="D485" s="320"/>
      <c r="E485" s="320"/>
      <c r="F485" s="320"/>
      <c r="G485" s="320"/>
      <c r="H485" s="320"/>
      <c r="I485" s="320"/>
      <c r="J485" s="320"/>
      <c r="K485" s="320"/>
      <c r="L485" s="320"/>
      <c r="M485" s="320"/>
      <c r="N485" s="320"/>
      <c r="O485" s="320"/>
      <c r="P485" s="320"/>
      <c r="Q485" s="320"/>
      <c r="R485" s="320"/>
      <c r="S485" s="320"/>
      <c r="T485" s="320"/>
      <c r="U485" s="320"/>
      <c r="V485" s="320"/>
      <c r="W485" s="320"/>
      <c r="X485" s="320"/>
      <c r="Y485" s="320"/>
      <c r="Z485" s="320"/>
    </row>
    <row r="486">
      <c r="A486" s="320"/>
      <c r="B486" s="320"/>
      <c r="C486" s="320"/>
      <c r="D486" s="320"/>
      <c r="E486" s="320"/>
      <c r="F486" s="320"/>
      <c r="G486" s="320"/>
      <c r="H486" s="320"/>
      <c r="I486" s="320"/>
      <c r="J486" s="320"/>
      <c r="K486" s="320"/>
      <c r="L486" s="320"/>
      <c r="M486" s="320"/>
      <c r="N486" s="320"/>
      <c r="O486" s="320"/>
      <c r="P486" s="320"/>
      <c r="Q486" s="320"/>
      <c r="R486" s="320"/>
      <c r="S486" s="320"/>
      <c r="T486" s="320"/>
      <c r="U486" s="320"/>
      <c r="V486" s="320"/>
      <c r="W486" s="320"/>
      <c r="X486" s="320"/>
      <c r="Y486" s="320"/>
      <c r="Z486" s="320"/>
    </row>
    <row r="487">
      <c r="A487" s="320"/>
      <c r="B487" s="320"/>
      <c r="C487" s="320"/>
      <c r="D487" s="320"/>
      <c r="E487" s="320"/>
      <c r="F487" s="320"/>
      <c r="G487" s="320"/>
      <c r="H487" s="320"/>
      <c r="I487" s="320"/>
      <c r="J487" s="320"/>
      <c r="K487" s="320"/>
      <c r="L487" s="320"/>
      <c r="M487" s="320"/>
      <c r="N487" s="320"/>
      <c r="O487" s="320"/>
      <c r="P487" s="320"/>
      <c r="Q487" s="320"/>
      <c r="R487" s="320"/>
      <c r="S487" s="320"/>
      <c r="T487" s="320"/>
      <c r="U487" s="320"/>
      <c r="V487" s="320"/>
      <c r="W487" s="320"/>
      <c r="X487" s="320"/>
      <c r="Y487" s="320"/>
      <c r="Z487" s="320"/>
    </row>
    <row r="488">
      <c r="A488" s="320"/>
      <c r="B488" s="320"/>
      <c r="C488" s="320"/>
      <c r="D488" s="320"/>
      <c r="E488" s="320"/>
      <c r="F488" s="320"/>
      <c r="G488" s="320"/>
      <c r="H488" s="320"/>
      <c r="I488" s="320"/>
      <c r="J488" s="320"/>
      <c r="K488" s="320"/>
      <c r="L488" s="320"/>
      <c r="M488" s="320"/>
      <c r="N488" s="320"/>
      <c r="O488" s="320"/>
      <c r="P488" s="320"/>
      <c r="Q488" s="320"/>
      <c r="R488" s="320"/>
      <c r="S488" s="320"/>
      <c r="T488" s="320"/>
      <c r="U488" s="320"/>
      <c r="V488" s="320"/>
      <c r="W488" s="320"/>
      <c r="X488" s="320"/>
      <c r="Y488" s="320"/>
      <c r="Z488" s="320"/>
    </row>
    <row r="489">
      <c r="A489" s="320"/>
      <c r="B489" s="320"/>
      <c r="C489" s="320"/>
      <c r="D489" s="320"/>
      <c r="E489" s="320"/>
      <c r="F489" s="320"/>
      <c r="G489" s="320"/>
      <c r="H489" s="320"/>
      <c r="I489" s="320"/>
      <c r="J489" s="320"/>
      <c r="K489" s="320"/>
      <c r="L489" s="320"/>
      <c r="M489" s="320"/>
      <c r="N489" s="320"/>
      <c r="O489" s="320"/>
      <c r="P489" s="320"/>
      <c r="Q489" s="320"/>
      <c r="R489" s="320"/>
      <c r="S489" s="320"/>
      <c r="T489" s="320"/>
      <c r="U489" s="320"/>
      <c r="V489" s="320"/>
      <c r="W489" s="320"/>
      <c r="X489" s="320"/>
      <c r="Y489" s="320"/>
      <c r="Z489" s="320"/>
    </row>
    <row r="490">
      <c r="A490" s="320"/>
      <c r="B490" s="320"/>
      <c r="C490" s="320"/>
      <c r="D490" s="320"/>
      <c r="E490" s="320"/>
      <c r="F490" s="320"/>
      <c r="G490" s="320"/>
      <c r="H490" s="320"/>
      <c r="I490" s="320"/>
      <c r="J490" s="320"/>
      <c r="K490" s="320"/>
      <c r="L490" s="320"/>
      <c r="M490" s="320"/>
      <c r="N490" s="320"/>
      <c r="O490" s="320"/>
      <c r="P490" s="320"/>
      <c r="Q490" s="320"/>
      <c r="R490" s="320"/>
      <c r="S490" s="320"/>
      <c r="T490" s="320"/>
      <c r="U490" s="320"/>
      <c r="V490" s="320"/>
      <c r="W490" s="320"/>
      <c r="X490" s="320"/>
      <c r="Y490" s="320"/>
      <c r="Z490" s="320"/>
    </row>
    <row r="491">
      <c r="A491" s="320"/>
      <c r="B491" s="320"/>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row>
    <row r="492">
      <c r="A492" s="320"/>
      <c r="B492" s="320"/>
      <c r="C492" s="320"/>
      <c r="D492" s="320"/>
      <c r="E492" s="320"/>
      <c r="F492" s="320"/>
      <c r="G492" s="320"/>
      <c r="H492" s="320"/>
      <c r="I492" s="320"/>
      <c r="J492" s="320"/>
      <c r="K492" s="320"/>
      <c r="L492" s="320"/>
      <c r="M492" s="320"/>
      <c r="N492" s="320"/>
      <c r="O492" s="320"/>
      <c r="P492" s="320"/>
      <c r="Q492" s="320"/>
      <c r="R492" s="320"/>
      <c r="S492" s="320"/>
      <c r="T492" s="320"/>
      <c r="U492" s="320"/>
      <c r="V492" s="320"/>
      <c r="W492" s="320"/>
      <c r="X492" s="320"/>
      <c r="Y492" s="320"/>
      <c r="Z492" s="320"/>
    </row>
    <row r="493">
      <c r="A493" s="320"/>
      <c r="B493" s="320"/>
      <c r="C493" s="320"/>
      <c r="D493" s="320"/>
      <c r="E493" s="320"/>
      <c r="F493" s="320"/>
      <c r="G493" s="320"/>
      <c r="H493" s="320"/>
      <c r="I493" s="320"/>
      <c r="J493" s="320"/>
      <c r="K493" s="320"/>
      <c r="L493" s="320"/>
      <c r="M493" s="320"/>
      <c r="N493" s="320"/>
      <c r="O493" s="320"/>
      <c r="P493" s="320"/>
      <c r="Q493" s="320"/>
      <c r="R493" s="320"/>
      <c r="S493" s="320"/>
      <c r="T493" s="320"/>
      <c r="U493" s="320"/>
      <c r="V493" s="320"/>
      <c r="W493" s="320"/>
      <c r="X493" s="320"/>
      <c r="Y493" s="320"/>
      <c r="Z493" s="320"/>
    </row>
    <row r="494">
      <c r="A494" s="320"/>
      <c r="B494" s="320"/>
      <c r="C494" s="320"/>
      <c r="D494" s="320"/>
      <c r="E494" s="320"/>
      <c r="F494" s="320"/>
      <c r="G494" s="320"/>
      <c r="H494" s="320"/>
      <c r="I494" s="320"/>
      <c r="J494" s="320"/>
      <c r="K494" s="320"/>
      <c r="L494" s="320"/>
      <c r="M494" s="320"/>
      <c r="N494" s="320"/>
      <c r="O494" s="320"/>
      <c r="P494" s="320"/>
      <c r="Q494" s="320"/>
      <c r="R494" s="320"/>
      <c r="S494" s="320"/>
      <c r="T494" s="320"/>
      <c r="U494" s="320"/>
      <c r="V494" s="320"/>
      <c r="W494" s="320"/>
      <c r="X494" s="320"/>
      <c r="Y494" s="320"/>
      <c r="Z494" s="320"/>
    </row>
    <row r="495">
      <c r="A495" s="320"/>
      <c r="B495" s="320"/>
      <c r="C495" s="320"/>
      <c r="D495" s="320"/>
      <c r="E495" s="320"/>
      <c r="F495" s="320"/>
      <c r="G495" s="320"/>
      <c r="H495" s="320"/>
      <c r="I495" s="320"/>
      <c r="J495" s="320"/>
      <c r="K495" s="320"/>
      <c r="L495" s="320"/>
      <c r="M495" s="320"/>
      <c r="N495" s="320"/>
      <c r="O495" s="320"/>
      <c r="P495" s="320"/>
      <c r="Q495" s="320"/>
      <c r="R495" s="320"/>
      <c r="S495" s="320"/>
      <c r="T495" s="320"/>
      <c r="U495" s="320"/>
      <c r="V495" s="320"/>
      <c r="W495" s="320"/>
      <c r="X495" s="320"/>
      <c r="Y495" s="320"/>
      <c r="Z495" s="320"/>
    </row>
    <row r="496">
      <c r="A496" s="320"/>
      <c r="B496" s="320"/>
      <c r="C496" s="320"/>
      <c r="D496" s="320"/>
      <c r="E496" s="320"/>
      <c r="F496" s="320"/>
      <c r="G496" s="320"/>
      <c r="H496" s="320"/>
      <c r="I496" s="320"/>
      <c r="J496" s="320"/>
      <c r="K496" s="320"/>
      <c r="L496" s="320"/>
      <c r="M496" s="320"/>
      <c r="N496" s="320"/>
      <c r="O496" s="320"/>
      <c r="P496" s="320"/>
      <c r="Q496" s="320"/>
      <c r="R496" s="320"/>
      <c r="S496" s="320"/>
      <c r="T496" s="320"/>
      <c r="U496" s="320"/>
      <c r="V496" s="320"/>
      <c r="W496" s="320"/>
      <c r="X496" s="320"/>
      <c r="Y496" s="320"/>
      <c r="Z496" s="320"/>
    </row>
    <row r="497">
      <c r="A497" s="320"/>
      <c r="B497" s="320"/>
      <c r="C497" s="320"/>
      <c r="D497" s="320"/>
      <c r="E497" s="320"/>
      <c r="F497" s="320"/>
      <c r="G497" s="320"/>
      <c r="H497" s="320"/>
      <c r="I497" s="320"/>
      <c r="J497" s="320"/>
      <c r="K497" s="320"/>
      <c r="L497" s="320"/>
      <c r="M497" s="320"/>
      <c r="N497" s="320"/>
      <c r="O497" s="320"/>
      <c r="P497" s="320"/>
      <c r="Q497" s="320"/>
      <c r="R497" s="320"/>
      <c r="S497" s="320"/>
      <c r="T497" s="320"/>
      <c r="U497" s="320"/>
      <c r="V497" s="320"/>
      <c r="W497" s="320"/>
      <c r="X497" s="320"/>
      <c r="Y497" s="320"/>
      <c r="Z497" s="320"/>
    </row>
    <row r="498">
      <c r="A498" s="320"/>
      <c r="B498" s="320"/>
      <c r="C498" s="320"/>
      <c r="D498" s="320"/>
      <c r="E498" s="320"/>
      <c r="F498" s="320"/>
      <c r="G498" s="320"/>
      <c r="H498" s="320"/>
      <c r="I498" s="320"/>
      <c r="J498" s="320"/>
      <c r="K498" s="320"/>
      <c r="L498" s="320"/>
      <c r="M498" s="320"/>
      <c r="N498" s="320"/>
      <c r="O498" s="320"/>
      <c r="P498" s="320"/>
      <c r="Q498" s="320"/>
      <c r="R498" s="320"/>
      <c r="S498" s="320"/>
      <c r="T498" s="320"/>
      <c r="U498" s="320"/>
      <c r="V498" s="320"/>
      <c r="W498" s="320"/>
      <c r="X498" s="320"/>
      <c r="Y498" s="320"/>
      <c r="Z498" s="320"/>
    </row>
    <row r="499">
      <c r="A499" s="320"/>
      <c r="B499" s="320"/>
      <c r="C499" s="320"/>
      <c r="D499" s="320"/>
      <c r="E499" s="320"/>
      <c r="F499" s="320"/>
      <c r="G499" s="320"/>
      <c r="H499" s="320"/>
      <c r="I499" s="320"/>
      <c r="J499" s="320"/>
      <c r="K499" s="320"/>
      <c r="L499" s="320"/>
      <c r="M499" s="320"/>
      <c r="N499" s="320"/>
      <c r="O499" s="320"/>
      <c r="P499" s="320"/>
      <c r="Q499" s="320"/>
      <c r="R499" s="320"/>
      <c r="S499" s="320"/>
      <c r="T499" s="320"/>
      <c r="U499" s="320"/>
      <c r="V499" s="320"/>
      <c r="W499" s="320"/>
      <c r="X499" s="320"/>
      <c r="Y499" s="320"/>
      <c r="Z499" s="320"/>
    </row>
    <row r="500">
      <c r="A500" s="320"/>
      <c r="B500" s="320"/>
      <c r="C500" s="320"/>
      <c r="D500" s="320"/>
      <c r="E500" s="320"/>
      <c r="F500" s="320"/>
      <c r="G500" s="320"/>
      <c r="H500" s="320"/>
      <c r="I500" s="320"/>
      <c r="J500" s="320"/>
      <c r="K500" s="320"/>
      <c r="L500" s="320"/>
      <c r="M500" s="320"/>
      <c r="N500" s="320"/>
      <c r="O500" s="320"/>
      <c r="P500" s="320"/>
      <c r="Q500" s="320"/>
      <c r="R500" s="320"/>
      <c r="S500" s="320"/>
      <c r="T500" s="320"/>
      <c r="U500" s="320"/>
      <c r="V500" s="320"/>
      <c r="W500" s="320"/>
      <c r="X500" s="320"/>
      <c r="Y500" s="320"/>
      <c r="Z500" s="320"/>
    </row>
    <row r="501">
      <c r="A501" s="320"/>
      <c r="B501" s="320"/>
      <c r="C501" s="320"/>
      <c r="D501" s="320"/>
      <c r="E501" s="320"/>
      <c r="F501" s="320"/>
      <c r="G501" s="320"/>
      <c r="H501" s="320"/>
      <c r="I501" s="320"/>
      <c r="J501" s="320"/>
      <c r="K501" s="320"/>
      <c r="L501" s="320"/>
      <c r="M501" s="320"/>
      <c r="N501" s="320"/>
      <c r="O501" s="320"/>
      <c r="P501" s="320"/>
      <c r="Q501" s="320"/>
      <c r="R501" s="320"/>
      <c r="S501" s="320"/>
      <c r="T501" s="320"/>
      <c r="U501" s="320"/>
      <c r="V501" s="320"/>
      <c r="W501" s="320"/>
      <c r="X501" s="320"/>
      <c r="Y501" s="320"/>
      <c r="Z501" s="320"/>
    </row>
    <row r="502">
      <c r="A502" s="320"/>
      <c r="B502" s="320"/>
      <c r="C502" s="320"/>
      <c r="D502" s="320"/>
      <c r="E502" s="320"/>
      <c r="F502" s="320"/>
      <c r="G502" s="320"/>
      <c r="H502" s="320"/>
      <c r="I502" s="320"/>
      <c r="J502" s="320"/>
      <c r="K502" s="320"/>
      <c r="L502" s="320"/>
      <c r="M502" s="320"/>
      <c r="N502" s="320"/>
      <c r="O502" s="320"/>
      <c r="P502" s="320"/>
      <c r="Q502" s="320"/>
      <c r="R502" s="320"/>
      <c r="S502" s="320"/>
      <c r="T502" s="320"/>
      <c r="U502" s="320"/>
      <c r="V502" s="320"/>
      <c r="W502" s="320"/>
      <c r="X502" s="320"/>
      <c r="Y502" s="320"/>
      <c r="Z502" s="320"/>
    </row>
    <row r="503">
      <c r="A503" s="320"/>
      <c r="B503" s="320"/>
      <c r="C503" s="320"/>
      <c r="D503" s="320"/>
      <c r="E503" s="320"/>
      <c r="F503" s="320"/>
      <c r="G503" s="320"/>
      <c r="H503" s="320"/>
      <c r="I503" s="320"/>
      <c r="J503" s="320"/>
      <c r="K503" s="320"/>
      <c r="L503" s="320"/>
      <c r="M503" s="320"/>
      <c r="N503" s="320"/>
      <c r="O503" s="320"/>
      <c r="P503" s="320"/>
      <c r="Q503" s="320"/>
      <c r="R503" s="320"/>
      <c r="S503" s="320"/>
      <c r="T503" s="320"/>
      <c r="U503" s="320"/>
      <c r="V503" s="320"/>
      <c r="W503" s="320"/>
      <c r="X503" s="320"/>
      <c r="Y503" s="320"/>
      <c r="Z503" s="320"/>
    </row>
    <row r="504">
      <c r="A504" s="320"/>
      <c r="B504" s="320"/>
      <c r="C504" s="320"/>
      <c r="D504" s="320"/>
      <c r="E504" s="320"/>
      <c r="F504" s="320"/>
      <c r="G504" s="320"/>
      <c r="H504" s="320"/>
      <c r="I504" s="320"/>
      <c r="J504" s="320"/>
      <c r="K504" s="320"/>
      <c r="L504" s="320"/>
      <c r="M504" s="320"/>
      <c r="N504" s="320"/>
      <c r="O504" s="320"/>
      <c r="P504" s="320"/>
      <c r="Q504" s="320"/>
      <c r="R504" s="320"/>
      <c r="S504" s="320"/>
      <c r="T504" s="320"/>
      <c r="U504" s="320"/>
      <c r="V504" s="320"/>
      <c r="W504" s="320"/>
      <c r="X504" s="320"/>
      <c r="Y504" s="320"/>
      <c r="Z504" s="320"/>
    </row>
    <row r="505">
      <c r="A505" s="320"/>
      <c r="B505" s="320"/>
      <c r="C505" s="320"/>
      <c r="D505" s="320"/>
      <c r="E505" s="320"/>
      <c r="F505" s="320"/>
      <c r="G505" s="320"/>
      <c r="H505" s="320"/>
      <c r="I505" s="320"/>
      <c r="J505" s="320"/>
      <c r="K505" s="320"/>
      <c r="L505" s="320"/>
      <c r="M505" s="320"/>
      <c r="N505" s="320"/>
      <c r="O505" s="320"/>
      <c r="P505" s="320"/>
      <c r="Q505" s="320"/>
      <c r="R505" s="320"/>
      <c r="S505" s="320"/>
      <c r="T505" s="320"/>
      <c r="U505" s="320"/>
      <c r="V505" s="320"/>
      <c r="W505" s="320"/>
      <c r="X505" s="320"/>
      <c r="Y505" s="320"/>
      <c r="Z505" s="320"/>
    </row>
    <row r="506">
      <c r="A506" s="320"/>
      <c r="B506" s="320"/>
      <c r="C506" s="320"/>
      <c r="D506" s="320"/>
      <c r="E506" s="320"/>
      <c r="F506" s="320"/>
      <c r="G506" s="320"/>
      <c r="H506" s="320"/>
      <c r="I506" s="320"/>
      <c r="J506" s="320"/>
      <c r="K506" s="320"/>
      <c r="L506" s="320"/>
      <c r="M506" s="320"/>
      <c r="N506" s="320"/>
      <c r="O506" s="320"/>
      <c r="P506" s="320"/>
      <c r="Q506" s="320"/>
      <c r="R506" s="320"/>
      <c r="S506" s="320"/>
      <c r="T506" s="320"/>
      <c r="U506" s="320"/>
      <c r="V506" s="320"/>
      <c r="W506" s="320"/>
      <c r="X506" s="320"/>
      <c r="Y506" s="320"/>
      <c r="Z506" s="320"/>
    </row>
    <row r="507">
      <c r="A507" s="320"/>
      <c r="B507" s="320"/>
      <c r="C507" s="320"/>
      <c r="D507" s="320"/>
      <c r="E507" s="320"/>
      <c r="F507" s="320"/>
      <c r="G507" s="320"/>
      <c r="H507" s="320"/>
      <c r="I507" s="320"/>
      <c r="J507" s="320"/>
      <c r="K507" s="320"/>
      <c r="L507" s="320"/>
      <c r="M507" s="320"/>
      <c r="N507" s="320"/>
      <c r="O507" s="320"/>
      <c r="P507" s="320"/>
      <c r="Q507" s="320"/>
      <c r="R507" s="320"/>
      <c r="S507" s="320"/>
      <c r="T507" s="320"/>
      <c r="U507" s="320"/>
      <c r="V507" s="320"/>
      <c r="W507" s="320"/>
      <c r="X507" s="320"/>
      <c r="Y507" s="320"/>
      <c r="Z507" s="320"/>
    </row>
    <row r="508">
      <c r="A508" s="320"/>
      <c r="B508" s="320"/>
      <c r="C508" s="320"/>
      <c r="D508" s="320"/>
      <c r="E508" s="320"/>
      <c r="F508" s="320"/>
      <c r="G508" s="320"/>
      <c r="H508" s="320"/>
      <c r="I508" s="320"/>
      <c r="J508" s="320"/>
      <c r="K508" s="320"/>
      <c r="L508" s="320"/>
      <c r="M508" s="320"/>
      <c r="N508" s="320"/>
      <c r="O508" s="320"/>
      <c r="P508" s="320"/>
      <c r="Q508" s="320"/>
      <c r="R508" s="320"/>
      <c r="S508" s="320"/>
      <c r="T508" s="320"/>
      <c r="U508" s="320"/>
      <c r="V508" s="320"/>
      <c r="W508" s="320"/>
      <c r="X508" s="320"/>
      <c r="Y508" s="320"/>
      <c r="Z508" s="320"/>
    </row>
    <row r="509">
      <c r="A509" s="320"/>
      <c r="B509" s="320"/>
      <c r="C509" s="320"/>
      <c r="D509" s="320"/>
      <c r="E509" s="320"/>
      <c r="F509" s="320"/>
      <c r="G509" s="320"/>
      <c r="H509" s="320"/>
      <c r="I509" s="320"/>
      <c r="J509" s="320"/>
      <c r="K509" s="320"/>
      <c r="L509" s="320"/>
      <c r="M509" s="320"/>
      <c r="N509" s="320"/>
      <c r="O509" s="320"/>
      <c r="P509" s="320"/>
      <c r="Q509" s="320"/>
      <c r="R509" s="320"/>
      <c r="S509" s="320"/>
      <c r="T509" s="320"/>
      <c r="U509" s="320"/>
      <c r="V509" s="320"/>
      <c r="W509" s="320"/>
      <c r="X509" s="320"/>
      <c r="Y509" s="320"/>
      <c r="Z509" s="320"/>
    </row>
    <row r="510">
      <c r="A510" s="320"/>
      <c r="B510" s="320"/>
      <c r="C510" s="320"/>
      <c r="D510" s="320"/>
      <c r="E510" s="320"/>
      <c r="F510" s="320"/>
      <c r="G510" s="320"/>
      <c r="H510" s="320"/>
      <c r="I510" s="320"/>
      <c r="J510" s="320"/>
      <c r="K510" s="320"/>
      <c r="L510" s="320"/>
      <c r="M510" s="320"/>
      <c r="N510" s="320"/>
      <c r="O510" s="320"/>
      <c r="P510" s="320"/>
      <c r="Q510" s="320"/>
      <c r="R510" s="320"/>
      <c r="S510" s="320"/>
      <c r="T510" s="320"/>
      <c r="U510" s="320"/>
      <c r="V510" s="320"/>
      <c r="W510" s="320"/>
      <c r="X510" s="320"/>
      <c r="Y510" s="320"/>
      <c r="Z510" s="320"/>
    </row>
    <row r="511">
      <c r="A511" s="320"/>
      <c r="B511" s="320"/>
      <c r="C511" s="320"/>
      <c r="D511" s="320"/>
      <c r="E511" s="320"/>
      <c r="F511" s="320"/>
      <c r="G511" s="320"/>
      <c r="H511" s="320"/>
      <c r="I511" s="320"/>
      <c r="J511" s="320"/>
      <c r="K511" s="320"/>
      <c r="L511" s="320"/>
      <c r="M511" s="320"/>
      <c r="N511" s="320"/>
      <c r="O511" s="320"/>
      <c r="P511" s="320"/>
      <c r="Q511" s="320"/>
      <c r="R511" s="320"/>
      <c r="S511" s="320"/>
      <c r="T511" s="320"/>
      <c r="U511" s="320"/>
      <c r="V511" s="320"/>
      <c r="W511" s="320"/>
      <c r="X511" s="320"/>
      <c r="Y511" s="320"/>
      <c r="Z511" s="320"/>
    </row>
    <row r="512">
      <c r="A512" s="320"/>
      <c r="B512" s="320"/>
      <c r="C512" s="320"/>
      <c r="D512" s="320"/>
      <c r="E512" s="320"/>
      <c r="F512" s="320"/>
      <c r="G512" s="320"/>
      <c r="H512" s="320"/>
      <c r="I512" s="320"/>
      <c r="J512" s="320"/>
      <c r="K512" s="320"/>
      <c r="L512" s="320"/>
      <c r="M512" s="320"/>
      <c r="N512" s="320"/>
      <c r="O512" s="320"/>
      <c r="P512" s="320"/>
      <c r="Q512" s="320"/>
      <c r="R512" s="320"/>
      <c r="S512" s="320"/>
      <c r="T512" s="320"/>
      <c r="U512" s="320"/>
      <c r="V512" s="320"/>
      <c r="W512" s="320"/>
      <c r="X512" s="320"/>
      <c r="Y512" s="320"/>
      <c r="Z512" s="320"/>
    </row>
    <row r="513">
      <c r="A513" s="320"/>
      <c r="B513" s="320"/>
      <c r="C513" s="320"/>
      <c r="D513" s="320"/>
      <c r="E513" s="320"/>
      <c r="F513" s="320"/>
      <c r="G513" s="320"/>
      <c r="H513" s="320"/>
      <c r="I513" s="320"/>
      <c r="J513" s="320"/>
      <c r="K513" s="320"/>
      <c r="L513" s="320"/>
      <c r="M513" s="320"/>
      <c r="N513" s="320"/>
      <c r="O513" s="320"/>
      <c r="P513" s="320"/>
      <c r="Q513" s="320"/>
      <c r="R513" s="320"/>
      <c r="S513" s="320"/>
      <c r="T513" s="320"/>
      <c r="U513" s="320"/>
      <c r="V513" s="320"/>
      <c r="W513" s="320"/>
      <c r="X513" s="320"/>
      <c r="Y513" s="320"/>
      <c r="Z513" s="320"/>
    </row>
    <row r="514">
      <c r="A514" s="320"/>
      <c r="B514" s="320"/>
      <c r="C514" s="320"/>
      <c r="D514" s="320"/>
      <c r="E514" s="320"/>
      <c r="F514" s="320"/>
      <c r="G514" s="320"/>
      <c r="H514" s="320"/>
      <c r="I514" s="320"/>
      <c r="J514" s="320"/>
      <c r="K514" s="320"/>
      <c r="L514" s="320"/>
      <c r="M514" s="320"/>
      <c r="N514" s="320"/>
      <c r="O514" s="320"/>
      <c r="P514" s="320"/>
      <c r="Q514" s="320"/>
      <c r="R514" s="320"/>
      <c r="S514" s="320"/>
      <c r="T514" s="320"/>
      <c r="U514" s="320"/>
      <c r="V514" s="320"/>
      <c r="W514" s="320"/>
      <c r="X514" s="320"/>
      <c r="Y514" s="320"/>
      <c r="Z514" s="320"/>
    </row>
    <row r="515">
      <c r="A515" s="320"/>
      <c r="B515" s="320"/>
      <c r="C515" s="320"/>
      <c r="D515" s="320"/>
      <c r="E515" s="320"/>
      <c r="F515" s="320"/>
      <c r="G515" s="320"/>
      <c r="H515" s="320"/>
      <c r="I515" s="320"/>
      <c r="J515" s="320"/>
      <c r="K515" s="320"/>
      <c r="L515" s="320"/>
      <c r="M515" s="320"/>
      <c r="N515" s="320"/>
      <c r="O515" s="320"/>
      <c r="P515" s="320"/>
      <c r="Q515" s="320"/>
      <c r="R515" s="320"/>
      <c r="S515" s="320"/>
      <c r="T515" s="320"/>
      <c r="U515" s="320"/>
      <c r="V515" s="320"/>
      <c r="W515" s="320"/>
      <c r="X515" s="320"/>
      <c r="Y515" s="320"/>
      <c r="Z515" s="320"/>
    </row>
    <row r="516">
      <c r="A516" s="320"/>
      <c r="B516" s="320"/>
      <c r="C516" s="320"/>
      <c r="D516" s="320"/>
      <c r="E516" s="320"/>
      <c r="F516" s="320"/>
      <c r="G516" s="320"/>
      <c r="H516" s="320"/>
      <c r="I516" s="320"/>
      <c r="J516" s="320"/>
      <c r="K516" s="320"/>
      <c r="L516" s="320"/>
      <c r="M516" s="320"/>
      <c r="N516" s="320"/>
      <c r="O516" s="320"/>
      <c r="P516" s="320"/>
      <c r="Q516" s="320"/>
      <c r="R516" s="320"/>
      <c r="S516" s="320"/>
      <c r="T516" s="320"/>
      <c r="U516" s="320"/>
      <c r="V516" s="320"/>
      <c r="W516" s="320"/>
      <c r="X516" s="320"/>
      <c r="Y516" s="320"/>
      <c r="Z516" s="320"/>
    </row>
    <row r="517">
      <c r="A517" s="320"/>
      <c r="B517" s="320"/>
      <c r="C517" s="320"/>
      <c r="D517" s="320"/>
      <c r="E517" s="320"/>
      <c r="F517" s="320"/>
      <c r="G517" s="320"/>
      <c r="H517" s="320"/>
      <c r="I517" s="320"/>
      <c r="J517" s="320"/>
      <c r="K517" s="320"/>
      <c r="L517" s="320"/>
      <c r="M517" s="320"/>
      <c r="N517" s="320"/>
      <c r="O517" s="320"/>
      <c r="P517" s="320"/>
      <c r="Q517" s="320"/>
      <c r="R517" s="320"/>
      <c r="S517" s="320"/>
      <c r="T517" s="320"/>
      <c r="U517" s="320"/>
      <c r="V517" s="320"/>
      <c r="W517" s="320"/>
      <c r="X517" s="320"/>
      <c r="Y517" s="320"/>
      <c r="Z517" s="320"/>
    </row>
    <row r="518">
      <c r="A518" s="320"/>
      <c r="B518" s="320"/>
      <c r="C518" s="320"/>
      <c r="D518" s="320"/>
      <c r="E518" s="320"/>
      <c r="F518" s="320"/>
      <c r="G518" s="320"/>
      <c r="H518" s="320"/>
      <c r="I518" s="320"/>
      <c r="J518" s="320"/>
      <c r="K518" s="320"/>
      <c r="L518" s="320"/>
      <c r="M518" s="320"/>
      <c r="N518" s="320"/>
      <c r="O518" s="320"/>
      <c r="P518" s="320"/>
      <c r="Q518" s="320"/>
      <c r="R518" s="320"/>
      <c r="S518" s="320"/>
      <c r="T518" s="320"/>
      <c r="U518" s="320"/>
      <c r="V518" s="320"/>
      <c r="W518" s="320"/>
      <c r="X518" s="320"/>
      <c r="Y518" s="320"/>
      <c r="Z518" s="320"/>
    </row>
    <row r="519">
      <c r="A519" s="320"/>
      <c r="B519" s="320"/>
      <c r="C519" s="320"/>
      <c r="D519" s="320"/>
      <c r="E519" s="320"/>
      <c r="F519" s="320"/>
      <c r="G519" s="320"/>
      <c r="H519" s="320"/>
      <c r="I519" s="320"/>
      <c r="J519" s="320"/>
      <c r="K519" s="320"/>
      <c r="L519" s="320"/>
      <c r="M519" s="320"/>
      <c r="N519" s="320"/>
      <c r="O519" s="320"/>
      <c r="P519" s="320"/>
      <c r="Q519" s="320"/>
      <c r="R519" s="320"/>
      <c r="S519" s="320"/>
      <c r="T519" s="320"/>
      <c r="U519" s="320"/>
      <c r="V519" s="320"/>
      <c r="W519" s="320"/>
      <c r="X519" s="320"/>
      <c r="Y519" s="320"/>
      <c r="Z519" s="320"/>
    </row>
    <row r="520">
      <c r="A520" s="320"/>
      <c r="B520" s="320"/>
      <c r="C520" s="320"/>
      <c r="D520" s="320"/>
      <c r="E520" s="320"/>
      <c r="F520" s="320"/>
      <c r="G520" s="320"/>
      <c r="H520" s="320"/>
      <c r="I520" s="320"/>
      <c r="J520" s="320"/>
      <c r="K520" s="320"/>
      <c r="L520" s="320"/>
      <c r="M520" s="320"/>
      <c r="N520" s="320"/>
      <c r="O520" s="320"/>
      <c r="P520" s="320"/>
      <c r="Q520" s="320"/>
      <c r="R520" s="320"/>
      <c r="S520" s="320"/>
      <c r="T520" s="320"/>
      <c r="U520" s="320"/>
      <c r="V520" s="320"/>
      <c r="W520" s="320"/>
      <c r="X520" s="320"/>
      <c r="Y520" s="320"/>
      <c r="Z520" s="320"/>
    </row>
    <row r="521">
      <c r="A521" s="320"/>
      <c r="B521" s="320"/>
      <c r="C521" s="320"/>
      <c r="D521" s="320"/>
      <c r="E521" s="320"/>
      <c r="F521" s="320"/>
      <c r="G521" s="320"/>
      <c r="H521" s="320"/>
      <c r="I521" s="320"/>
      <c r="J521" s="320"/>
      <c r="K521" s="320"/>
      <c r="L521" s="320"/>
      <c r="M521" s="320"/>
      <c r="N521" s="320"/>
      <c r="O521" s="320"/>
      <c r="P521" s="320"/>
      <c r="Q521" s="320"/>
      <c r="R521" s="320"/>
      <c r="S521" s="320"/>
      <c r="T521" s="320"/>
      <c r="U521" s="320"/>
      <c r="V521" s="320"/>
      <c r="W521" s="320"/>
      <c r="X521" s="320"/>
      <c r="Y521" s="320"/>
      <c r="Z521" s="320"/>
    </row>
    <row r="522">
      <c r="A522" s="320"/>
      <c r="B522" s="320"/>
      <c r="C522" s="320"/>
      <c r="D522" s="320"/>
      <c r="E522" s="320"/>
      <c r="F522" s="320"/>
      <c r="G522" s="320"/>
      <c r="H522" s="320"/>
      <c r="I522" s="320"/>
      <c r="J522" s="320"/>
      <c r="K522" s="320"/>
      <c r="L522" s="320"/>
      <c r="M522" s="320"/>
      <c r="N522" s="320"/>
      <c r="O522" s="320"/>
      <c r="P522" s="320"/>
      <c r="Q522" s="320"/>
      <c r="R522" s="320"/>
      <c r="S522" s="320"/>
      <c r="T522" s="320"/>
      <c r="U522" s="320"/>
      <c r="V522" s="320"/>
      <c r="W522" s="320"/>
      <c r="X522" s="320"/>
      <c r="Y522" s="320"/>
      <c r="Z522" s="320"/>
    </row>
    <row r="523">
      <c r="A523" s="320"/>
      <c r="B523" s="320"/>
      <c r="C523" s="320"/>
      <c r="D523" s="320"/>
      <c r="E523" s="320"/>
      <c r="F523" s="320"/>
      <c r="G523" s="320"/>
      <c r="H523" s="320"/>
      <c r="I523" s="320"/>
      <c r="J523" s="320"/>
      <c r="K523" s="320"/>
      <c r="L523" s="320"/>
      <c r="M523" s="320"/>
      <c r="N523" s="320"/>
      <c r="O523" s="320"/>
      <c r="P523" s="320"/>
      <c r="Q523" s="320"/>
      <c r="R523" s="320"/>
      <c r="S523" s="320"/>
      <c r="T523" s="320"/>
      <c r="U523" s="320"/>
      <c r="V523" s="320"/>
      <c r="W523" s="320"/>
      <c r="X523" s="320"/>
      <c r="Y523" s="320"/>
      <c r="Z523" s="320"/>
    </row>
    <row r="524">
      <c r="A524" s="320"/>
      <c r="B524" s="320"/>
      <c r="C524" s="320"/>
      <c r="D524" s="320"/>
      <c r="E524" s="320"/>
      <c r="F524" s="320"/>
      <c r="G524" s="320"/>
      <c r="H524" s="320"/>
      <c r="I524" s="320"/>
      <c r="J524" s="320"/>
      <c r="K524" s="320"/>
      <c r="L524" s="320"/>
      <c r="M524" s="320"/>
      <c r="N524" s="320"/>
      <c r="O524" s="320"/>
      <c r="P524" s="320"/>
      <c r="Q524" s="320"/>
      <c r="R524" s="320"/>
      <c r="S524" s="320"/>
      <c r="T524" s="320"/>
      <c r="U524" s="320"/>
      <c r="V524" s="320"/>
      <c r="W524" s="320"/>
      <c r="X524" s="320"/>
      <c r="Y524" s="320"/>
      <c r="Z524" s="320"/>
    </row>
    <row r="525">
      <c r="A525" s="320"/>
      <c r="B525" s="320"/>
      <c r="C525" s="320"/>
      <c r="D525" s="320"/>
      <c r="E525" s="320"/>
      <c r="F525" s="320"/>
      <c r="G525" s="320"/>
      <c r="H525" s="320"/>
      <c r="I525" s="320"/>
      <c r="J525" s="320"/>
      <c r="K525" s="320"/>
      <c r="L525" s="320"/>
      <c r="M525" s="320"/>
      <c r="N525" s="320"/>
      <c r="O525" s="320"/>
      <c r="P525" s="320"/>
      <c r="Q525" s="320"/>
      <c r="R525" s="320"/>
      <c r="S525" s="320"/>
      <c r="T525" s="320"/>
      <c r="U525" s="320"/>
      <c r="V525" s="320"/>
      <c r="W525" s="320"/>
      <c r="X525" s="320"/>
      <c r="Y525" s="320"/>
      <c r="Z525" s="320"/>
    </row>
    <row r="526">
      <c r="A526" s="320"/>
      <c r="B526" s="320"/>
      <c r="C526" s="320"/>
      <c r="D526" s="320"/>
      <c r="E526" s="320"/>
      <c r="F526" s="320"/>
      <c r="G526" s="320"/>
      <c r="H526" s="320"/>
      <c r="I526" s="320"/>
      <c r="J526" s="320"/>
      <c r="K526" s="320"/>
      <c r="L526" s="320"/>
      <c r="M526" s="320"/>
      <c r="N526" s="320"/>
      <c r="O526" s="320"/>
      <c r="P526" s="320"/>
      <c r="Q526" s="320"/>
      <c r="R526" s="320"/>
      <c r="S526" s="320"/>
      <c r="T526" s="320"/>
      <c r="U526" s="320"/>
      <c r="V526" s="320"/>
      <c r="W526" s="320"/>
      <c r="X526" s="320"/>
      <c r="Y526" s="320"/>
      <c r="Z526" s="320"/>
    </row>
    <row r="527">
      <c r="A527" s="320"/>
      <c r="B527" s="320"/>
      <c r="C527" s="320"/>
      <c r="D527" s="320"/>
      <c r="E527" s="320"/>
      <c r="F527" s="320"/>
      <c r="G527" s="320"/>
      <c r="H527" s="320"/>
      <c r="I527" s="320"/>
      <c r="J527" s="320"/>
      <c r="K527" s="320"/>
      <c r="L527" s="320"/>
      <c r="M527" s="320"/>
      <c r="N527" s="320"/>
      <c r="O527" s="320"/>
      <c r="P527" s="320"/>
      <c r="Q527" s="320"/>
      <c r="R527" s="320"/>
      <c r="S527" s="320"/>
      <c r="T527" s="320"/>
      <c r="U527" s="320"/>
      <c r="V527" s="320"/>
      <c r="W527" s="320"/>
      <c r="X527" s="320"/>
      <c r="Y527" s="320"/>
      <c r="Z527" s="320"/>
    </row>
    <row r="528">
      <c r="A528" s="320"/>
      <c r="B528" s="320"/>
      <c r="C528" s="320"/>
      <c r="D528" s="320"/>
      <c r="E528" s="320"/>
      <c r="F528" s="320"/>
      <c r="G528" s="320"/>
      <c r="H528" s="320"/>
      <c r="I528" s="320"/>
      <c r="J528" s="320"/>
      <c r="K528" s="320"/>
      <c r="L528" s="320"/>
      <c r="M528" s="320"/>
      <c r="N528" s="320"/>
      <c r="O528" s="320"/>
      <c r="P528" s="320"/>
      <c r="Q528" s="320"/>
      <c r="R528" s="320"/>
      <c r="S528" s="320"/>
      <c r="T528" s="320"/>
      <c r="U528" s="320"/>
      <c r="V528" s="320"/>
      <c r="W528" s="320"/>
      <c r="X528" s="320"/>
      <c r="Y528" s="320"/>
      <c r="Z528" s="320"/>
    </row>
    <row r="529">
      <c r="A529" s="320"/>
      <c r="B529" s="320"/>
      <c r="C529" s="320"/>
      <c r="D529" s="320"/>
      <c r="E529" s="320"/>
      <c r="F529" s="320"/>
      <c r="G529" s="320"/>
      <c r="H529" s="320"/>
      <c r="I529" s="320"/>
      <c r="J529" s="320"/>
      <c r="K529" s="320"/>
      <c r="L529" s="320"/>
      <c r="M529" s="320"/>
      <c r="N529" s="320"/>
      <c r="O529" s="320"/>
      <c r="P529" s="320"/>
      <c r="Q529" s="320"/>
      <c r="R529" s="320"/>
      <c r="S529" s="320"/>
      <c r="T529" s="320"/>
      <c r="U529" s="320"/>
      <c r="V529" s="320"/>
      <c r="W529" s="320"/>
      <c r="X529" s="320"/>
      <c r="Y529" s="320"/>
      <c r="Z529" s="320"/>
    </row>
    <row r="530">
      <c r="A530" s="320"/>
      <c r="B530" s="320"/>
      <c r="C530" s="320"/>
      <c r="D530" s="320"/>
      <c r="E530" s="320"/>
      <c r="F530" s="320"/>
      <c r="G530" s="320"/>
      <c r="H530" s="320"/>
      <c r="I530" s="320"/>
      <c r="J530" s="320"/>
      <c r="K530" s="320"/>
      <c r="L530" s="320"/>
      <c r="M530" s="320"/>
      <c r="N530" s="320"/>
      <c r="O530" s="320"/>
      <c r="P530" s="320"/>
      <c r="Q530" s="320"/>
      <c r="R530" s="320"/>
      <c r="S530" s="320"/>
      <c r="T530" s="320"/>
      <c r="U530" s="320"/>
      <c r="V530" s="320"/>
      <c r="W530" s="320"/>
      <c r="X530" s="320"/>
      <c r="Y530" s="320"/>
      <c r="Z530" s="320"/>
    </row>
    <row r="531">
      <c r="A531" s="320"/>
      <c r="B531" s="320"/>
      <c r="C531" s="320"/>
      <c r="D531" s="320"/>
      <c r="E531" s="320"/>
      <c r="F531" s="320"/>
      <c r="G531" s="320"/>
      <c r="H531" s="320"/>
      <c r="I531" s="320"/>
      <c r="J531" s="320"/>
      <c r="K531" s="320"/>
      <c r="L531" s="320"/>
      <c r="M531" s="320"/>
      <c r="N531" s="320"/>
      <c r="O531" s="320"/>
      <c r="P531" s="320"/>
      <c r="Q531" s="320"/>
      <c r="R531" s="320"/>
      <c r="S531" s="320"/>
      <c r="T531" s="320"/>
      <c r="U531" s="320"/>
      <c r="V531" s="320"/>
      <c r="W531" s="320"/>
      <c r="X531" s="320"/>
      <c r="Y531" s="320"/>
      <c r="Z531" s="320"/>
    </row>
    <row r="532">
      <c r="A532" s="320"/>
      <c r="B532" s="320"/>
      <c r="C532" s="320"/>
      <c r="D532" s="320"/>
      <c r="E532" s="320"/>
      <c r="F532" s="320"/>
      <c r="G532" s="320"/>
      <c r="H532" s="320"/>
      <c r="I532" s="320"/>
      <c r="J532" s="320"/>
      <c r="K532" s="320"/>
      <c r="L532" s="320"/>
      <c r="M532" s="320"/>
      <c r="N532" s="320"/>
      <c r="O532" s="320"/>
      <c r="P532" s="320"/>
      <c r="Q532" s="320"/>
      <c r="R532" s="320"/>
      <c r="S532" s="320"/>
      <c r="T532" s="320"/>
      <c r="U532" s="320"/>
      <c r="V532" s="320"/>
      <c r="W532" s="320"/>
      <c r="X532" s="320"/>
      <c r="Y532" s="320"/>
      <c r="Z532" s="320"/>
    </row>
    <row r="533">
      <c r="A533" s="320"/>
      <c r="B533" s="320"/>
      <c r="C533" s="320"/>
      <c r="D533" s="320"/>
      <c r="E533" s="320"/>
      <c r="F533" s="320"/>
      <c r="G533" s="320"/>
      <c r="H533" s="320"/>
      <c r="I533" s="320"/>
      <c r="J533" s="320"/>
      <c r="K533" s="320"/>
      <c r="L533" s="320"/>
      <c r="M533" s="320"/>
      <c r="N533" s="320"/>
      <c r="O533" s="320"/>
      <c r="P533" s="320"/>
      <c r="Q533" s="320"/>
      <c r="R533" s="320"/>
      <c r="S533" s="320"/>
      <c r="T533" s="320"/>
      <c r="U533" s="320"/>
      <c r="V533" s="320"/>
      <c r="W533" s="320"/>
      <c r="X533" s="320"/>
      <c r="Y533" s="320"/>
      <c r="Z533" s="320"/>
    </row>
    <row r="534">
      <c r="A534" s="320"/>
      <c r="B534" s="320"/>
      <c r="C534" s="320"/>
      <c r="D534" s="320"/>
      <c r="E534" s="320"/>
      <c r="F534" s="320"/>
      <c r="G534" s="320"/>
      <c r="H534" s="320"/>
      <c r="I534" s="320"/>
      <c r="J534" s="320"/>
      <c r="K534" s="320"/>
      <c r="L534" s="320"/>
      <c r="M534" s="320"/>
      <c r="N534" s="320"/>
      <c r="O534" s="320"/>
      <c r="P534" s="320"/>
      <c r="Q534" s="320"/>
      <c r="R534" s="320"/>
      <c r="S534" s="320"/>
      <c r="T534" s="320"/>
      <c r="U534" s="320"/>
      <c r="V534" s="320"/>
      <c r="W534" s="320"/>
      <c r="X534" s="320"/>
      <c r="Y534" s="320"/>
      <c r="Z534" s="320"/>
    </row>
    <row r="535">
      <c r="A535" s="320"/>
      <c r="B535" s="320"/>
      <c r="C535" s="320"/>
      <c r="D535" s="320"/>
      <c r="E535" s="320"/>
      <c r="F535" s="320"/>
      <c r="G535" s="320"/>
      <c r="H535" s="320"/>
      <c r="I535" s="320"/>
      <c r="J535" s="320"/>
      <c r="K535" s="320"/>
      <c r="L535" s="320"/>
      <c r="M535" s="320"/>
      <c r="N535" s="320"/>
      <c r="O535" s="320"/>
      <c r="P535" s="320"/>
      <c r="Q535" s="320"/>
      <c r="R535" s="320"/>
      <c r="S535" s="320"/>
      <c r="T535" s="320"/>
      <c r="U535" s="320"/>
      <c r="V535" s="320"/>
      <c r="W535" s="320"/>
      <c r="X535" s="320"/>
      <c r="Y535" s="320"/>
      <c r="Z535" s="320"/>
    </row>
    <row r="536">
      <c r="A536" s="320"/>
      <c r="B536" s="320"/>
      <c r="C536" s="320"/>
      <c r="D536" s="320"/>
      <c r="E536" s="320"/>
      <c r="F536" s="320"/>
      <c r="G536" s="320"/>
      <c r="H536" s="320"/>
      <c r="I536" s="320"/>
      <c r="J536" s="320"/>
      <c r="K536" s="320"/>
      <c r="L536" s="320"/>
      <c r="M536" s="320"/>
      <c r="N536" s="320"/>
      <c r="O536" s="320"/>
      <c r="P536" s="320"/>
      <c r="Q536" s="320"/>
      <c r="R536" s="320"/>
      <c r="S536" s="320"/>
      <c r="T536" s="320"/>
      <c r="U536" s="320"/>
      <c r="V536" s="320"/>
      <c r="W536" s="320"/>
      <c r="X536" s="320"/>
      <c r="Y536" s="320"/>
      <c r="Z536" s="320"/>
    </row>
    <row r="537">
      <c r="A537" s="320"/>
      <c r="B537" s="320"/>
      <c r="C537" s="320"/>
      <c r="D537" s="320"/>
      <c r="E537" s="320"/>
      <c r="F537" s="320"/>
      <c r="G537" s="320"/>
      <c r="H537" s="320"/>
      <c r="I537" s="320"/>
      <c r="J537" s="320"/>
      <c r="K537" s="320"/>
      <c r="L537" s="320"/>
      <c r="M537" s="320"/>
      <c r="N537" s="320"/>
      <c r="O537" s="320"/>
      <c r="P537" s="320"/>
      <c r="Q537" s="320"/>
      <c r="R537" s="320"/>
      <c r="S537" s="320"/>
      <c r="T537" s="320"/>
      <c r="U537" s="320"/>
      <c r="V537" s="320"/>
      <c r="W537" s="320"/>
      <c r="X537" s="320"/>
      <c r="Y537" s="320"/>
      <c r="Z537" s="320"/>
    </row>
    <row r="538">
      <c r="A538" s="320"/>
      <c r="B538" s="320"/>
      <c r="C538" s="320"/>
      <c r="D538" s="320"/>
      <c r="E538" s="320"/>
      <c r="F538" s="320"/>
      <c r="G538" s="320"/>
      <c r="H538" s="320"/>
      <c r="I538" s="320"/>
      <c r="J538" s="320"/>
      <c r="K538" s="320"/>
      <c r="L538" s="320"/>
      <c r="M538" s="320"/>
      <c r="N538" s="320"/>
      <c r="O538" s="320"/>
      <c r="P538" s="320"/>
      <c r="Q538" s="320"/>
      <c r="R538" s="320"/>
      <c r="S538" s="320"/>
      <c r="T538" s="320"/>
      <c r="U538" s="320"/>
      <c r="V538" s="320"/>
      <c r="W538" s="320"/>
      <c r="X538" s="320"/>
      <c r="Y538" s="320"/>
      <c r="Z538" s="320"/>
    </row>
    <row r="539">
      <c r="A539" s="320"/>
      <c r="B539" s="320"/>
      <c r="C539" s="320"/>
      <c r="D539" s="320"/>
      <c r="E539" s="320"/>
      <c r="F539" s="320"/>
      <c r="G539" s="320"/>
      <c r="H539" s="320"/>
      <c r="I539" s="320"/>
      <c r="J539" s="320"/>
      <c r="K539" s="320"/>
      <c r="L539" s="320"/>
      <c r="M539" s="320"/>
      <c r="N539" s="320"/>
      <c r="O539" s="320"/>
      <c r="P539" s="320"/>
      <c r="Q539" s="320"/>
      <c r="R539" s="320"/>
      <c r="S539" s="320"/>
      <c r="T539" s="320"/>
      <c r="U539" s="320"/>
      <c r="V539" s="320"/>
      <c r="W539" s="320"/>
      <c r="X539" s="320"/>
      <c r="Y539" s="320"/>
      <c r="Z539" s="320"/>
    </row>
    <row r="540">
      <c r="A540" s="320"/>
      <c r="B540" s="320"/>
      <c r="C540" s="320"/>
      <c r="D540" s="320"/>
      <c r="E540" s="320"/>
      <c r="F540" s="320"/>
      <c r="G540" s="320"/>
      <c r="H540" s="320"/>
      <c r="I540" s="320"/>
      <c r="J540" s="320"/>
      <c r="K540" s="320"/>
      <c r="L540" s="320"/>
      <c r="M540" s="320"/>
      <c r="N540" s="320"/>
      <c r="O540" s="320"/>
      <c r="P540" s="320"/>
      <c r="Q540" s="320"/>
      <c r="R540" s="320"/>
      <c r="S540" s="320"/>
      <c r="T540" s="320"/>
      <c r="U540" s="320"/>
      <c r="V540" s="320"/>
      <c r="W540" s="320"/>
      <c r="X540" s="320"/>
      <c r="Y540" s="320"/>
      <c r="Z540" s="320"/>
    </row>
    <row r="541">
      <c r="A541" s="320"/>
      <c r="B541" s="320"/>
      <c r="C541" s="320"/>
      <c r="D541" s="320"/>
      <c r="E541" s="320"/>
      <c r="F541" s="320"/>
      <c r="G541" s="320"/>
      <c r="H541" s="320"/>
      <c r="I541" s="320"/>
      <c r="J541" s="320"/>
      <c r="K541" s="320"/>
      <c r="L541" s="320"/>
      <c r="M541" s="320"/>
      <c r="N541" s="320"/>
      <c r="O541" s="320"/>
      <c r="P541" s="320"/>
      <c r="Q541" s="320"/>
      <c r="R541" s="320"/>
      <c r="S541" s="320"/>
      <c r="T541" s="320"/>
      <c r="U541" s="320"/>
      <c r="V541" s="320"/>
      <c r="W541" s="320"/>
      <c r="X541" s="320"/>
      <c r="Y541" s="320"/>
      <c r="Z541" s="320"/>
    </row>
    <row r="542">
      <c r="A542" s="320"/>
      <c r="B542" s="320"/>
      <c r="C542" s="320"/>
      <c r="D542" s="320"/>
      <c r="E542" s="320"/>
      <c r="F542" s="320"/>
      <c r="G542" s="320"/>
      <c r="H542" s="320"/>
      <c r="I542" s="320"/>
      <c r="J542" s="320"/>
      <c r="K542" s="320"/>
      <c r="L542" s="320"/>
      <c r="M542" s="320"/>
      <c r="N542" s="320"/>
      <c r="O542" s="320"/>
      <c r="P542" s="320"/>
      <c r="Q542" s="320"/>
      <c r="R542" s="320"/>
      <c r="S542" s="320"/>
      <c r="T542" s="320"/>
      <c r="U542" s="320"/>
      <c r="V542" s="320"/>
      <c r="W542" s="320"/>
      <c r="X542" s="320"/>
      <c r="Y542" s="320"/>
      <c r="Z542" s="320"/>
    </row>
    <row r="543">
      <c r="A543" s="320"/>
      <c r="B543" s="320"/>
      <c r="C543" s="320"/>
      <c r="D543" s="320"/>
      <c r="E543" s="320"/>
      <c r="F543" s="320"/>
      <c r="G543" s="320"/>
      <c r="H543" s="320"/>
      <c r="I543" s="320"/>
      <c r="J543" s="320"/>
      <c r="K543" s="320"/>
      <c r="L543" s="320"/>
      <c r="M543" s="320"/>
      <c r="N543" s="320"/>
      <c r="O543" s="320"/>
      <c r="P543" s="320"/>
      <c r="Q543" s="320"/>
      <c r="R543" s="320"/>
      <c r="S543" s="320"/>
      <c r="T543" s="320"/>
      <c r="U543" s="320"/>
      <c r="V543" s="320"/>
      <c r="W543" s="320"/>
      <c r="X543" s="320"/>
      <c r="Y543" s="320"/>
      <c r="Z543" s="320"/>
    </row>
    <row r="544">
      <c r="A544" s="320"/>
      <c r="B544" s="320"/>
      <c r="C544" s="320"/>
      <c r="D544" s="320"/>
      <c r="E544" s="320"/>
      <c r="F544" s="320"/>
      <c r="G544" s="320"/>
      <c r="H544" s="320"/>
      <c r="I544" s="320"/>
      <c r="J544" s="320"/>
      <c r="K544" s="320"/>
      <c r="L544" s="320"/>
      <c r="M544" s="320"/>
      <c r="N544" s="320"/>
      <c r="O544" s="320"/>
      <c r="P544" s="320"/>
      <c r="Q544" s="320"/>
      <c r="R544" s="320"/>
      <c r="S544" s="320"/>
      <c r="T544" s="320"/>
      <c r="U544" s="320"/>
      <c r="V544" s="320"/>
      <c r="W544" s="320"/>
      <c r="X544" s="320"/>
      <c r="Y544" s="320"/>
      <c r="Z544" s="320"/>
    </row>
    <row r="545">
      <c r="A545" s="320"/>
      <c r="B545" s="320"/>
      <c r="C545" s="320"/>
      <c r="D545" s="320"/>
      <c r="E545" s="320"/>
      <c r="F545" s="320"/>
      <c r="G545" s="320"/>
      <c r="H545" s="320"/>
      <c r="I545" s="320"/>
      <c r="J545" s="320"/>
      <c r="K545" s="320"/>
      <c r="L545" s="320"/>
      <c r="M545" s="320"/>
      <c r="N545" s="320"/>
      <c r="O545" s="320"/>
      <c r="P545" s="320"/>
      <c r="Q545" s="320"/>
      <c r="R545" s="320"/>
      <c r="S545" s="320"/>
      <c r="T545" s="320"/>
      <c r="U545" s="320"/>
      <c r="V545" s="320"/>
      <c r="W545" s="320"/>
      <c r="X545" s="320"/>
      <c r="Y545" s="320"/>
      <c r="Z545" s="320"/>
    </row>
    <row r="546">
      <c r="A546" s="320"/>
      <c r="B546" s="320"/>
      <c r="C546" s="320"/>
      <c r="D546" s="320"/>
      <c r="E546" s="320"/>
      <c r="F546" s="320"/>
      <c r="G546" s="320"/>
      <c r="H546" s="320"/>
      <c r="I546" s="320"/>
      <c r="J546" s="320"/>
      <c r="K546" s="320"/>
      <c r="L546" s="320"/>
      <c r="M546" s="320"/>
      <c r="N546" s="320"/>
      <c r="O546" s="320"/>
      <c r="P546" s="320"/>
      <c r="Q546" s="320"/>
      <c r="R546" s="320"/>
      <c r="S546" s="320"/>
      <c r="T546" s="320"/>
      <c r="U546" s="320"/>
      <c r="V546" s="320"/>
      <c r="W546" s="320"/>
      <c r="X546" s="320"/>
      <c r="Y546" s="320"/>
      <c r="Z546" s="320"/>
    </row>
    <row r="547">
      <c r="A547" s="320"/>
      <c r="B547" s="320"/>
      <c r="C547" s="320"/>
      <c r="D547" s="320"/>
      <c r="E547" s="320"/>
      <c r="F547" s="320"/>
      <c r="G547" s="320"/>
      <c r="H547" s="320"/>
      <c r="I547" s="320"/>
      <c r="J547" s="320"/>
      <c r="K547" s="320"/>
      <c r="L547" s="320"/>
      <c r="M547" s="320"/>
      <c r="N547" s="320"/>
      <c r="O547" s="320"/>
      <c r="P547" s="320"/>
      <c r="Q547" s="320"/>
      <c r="R547" s="320"/>
      <c r="S547" s="320"/>
      <c r="T547" s="320"/>
      <c r="U547" s="320"/>
      <c r="V547" s="320"/>
      <c r="W547" s="320"/>
      <c r="X547" s="320"/>
      <c r="Y547" s="320"/>
      <c r="Z547" s="320"/>
    </row>
    <row r="548">
      <c r="A548" s="320"/>
      <c r="B548" s="320"/>
      <c r="C548" s="320"/>
      <c r="D548" s="320"/>
      <c r="E548" s="320"/>
      <c r="F548" s="320"/>
      <c r="G548" s="320"/>
      <c r="H548" s="320"/>
      <c r="I548" s="320"/>
      <c r="J548" s="320"/>
      <c r="K548" s="320"/>
      <c r="L548" s="320"/>
      <c r="M548" s="320"/>
      <c r="N548" s="320"/>
      <c r="O548" s="320"/>
      <c r="P548" s="320"/>
      <c r="Q548" s="320"/>
      <c r="R548" s="320"/>
      <c r="S548" s="320"/>
      <c r="T548" s="320"/>
      <c r="U548" s="320"/>
      <c r="V548" s="320"/>
      <c r="W548" s="320"/>
      <c r="X548" s="320"/>
      <c r="Y548" s="320"/>
      <c r="Z548" s="320"/>
    </row>
    <row r="549">
      <c r="A549" s="320"/>
      <c r="B549" s="320"/>
      <c r="C549" s="320"/>
      <c r="D549" s="320"/>
      <c r="E549" s="320"/>
      <c r="F549" s="320"/>
      <c r="G549" s="320"/>
      <c r="H549" s="320"/>
      <c r="I549" s="320"/>
      <c r="J549" s="320"/>
      <c r="K549" s="320"/>
      <c r="L549" s="320"/>
      <c r="M549" s="320"/>
      <c r="N549" s="320"/>
      <c r="O549" s="320"/>
      <c r="P549" s="320"/>
      <c r="Q549" s="320"/>
      <c r="R549" s="320"/>
      <c r="S549" s="320"/>
      <c r="T549" s="320"/>
      <c r="U549" s="320"/>
      <c r="V549" s="320"/>
      <c r="W549" s="320"/>
      <c r="X549" s="320"/>
      <c r="Y549" s="320"/>
      <c r="Z549" s="320"/>
    </row>
    <row r="550">
      <c r="A550" s="320"/>
      <c r="B550" s="320"/>
      <c r="C550" s="320"/>
      <c r="D550" s="320"/>
      <c r="E550" s="320"/>
      <c r="F550" s="320"/>
      <c r="G550" s="320"/>
      <c r="H550" s="320"/>
      <c r="I550" s="320"/>
      <c r="J550" s="320"/>
      <c r="K550" s="320"/>
      <c r="L550" s="320"/>
      <c r="M550" s="320"/>
      <c r="N550" s="320"/>
      <c r="O550" s="320"/>
      <c r="P550" s="320"/>
      <c r="Q550" s="320"/>
      <c r="R550" s="320"/>
      <c r="S550" s="320"/>
      <c r="T550" s="320"/>
      <c r="U550" s="320"/>
      <c r="V550" s="320"/>
      <c r="W550" s="320"/>
      <c r="X550" s="320"/>
      <c r="Y550" s="320"/>
      <c r="Z550" s="320"/>
    </row>
    <row r="551">
      <c r="A551" s="320"/>
      <c r="B551" s="320"/>
      <c r="C551" s="320"/>
      <c r="D551" s="320"/>
      <c r="E551" s="320"/>
      <c r="F551" s="320"/>
      <c r="G551" s="320"/>
      <c r="H551" s="320"/>
      <c r="I551" s="320"/>
      <c r="J551" s="320"/>
      <c r="K551" s="320"/>
      <c r="L551" s="320"/>
      <c r="M551" s="320"/>
      <c r="N551" s="320"/>
      <c r="O551" s="320"/>
      <c r="P551" s="320"/>
      <c r="Q551" s="320"/>
      <c r="R551" s="320"/>
      <c r="S551" s="320"/>
      <c r="T551" s="320"/>
      <c r="U551" s="320"/>
      <c r="V551" s="320"/>
      <c r="W551" s="320"/>
      <c r="X551" s="320"/>
      <c r="Y551" s="320"/>
      <c r="Z551" s="320"/>
    </row>
    <row r="552">
      <c r="A552" s="320"/>
      <c r="B552" s="320"/>
      <c r="C552" s="320"/>
      <c r="D552" s="320"/>
      <c r="E552" s="320"/>
      <c r="F552" s="320"/>
      <c r="G552" s="320"/>
      <c r="H552" s="320"/>
      <c r="I552" s="320"/>
      <c r="J552" s="320"/>
      <c r="K552" s="320"/>
      <c r="L552" s="320"/>
      <c r="M552" s="320"/>
      <c r="N552" s="320"/>
      <c r="O552" s="320"/>
      <c r="P552" s="320"/>
      <c r="Q552" s="320"/>
      <c r="R552" s="320"/>
      <c r="S552" s="320"/>
      <c r="T552" s="320"/>
      <c r="U552" s="320"/>
      <c r="V552" s="320"/>
      <c r="W552" s="320"/>
      <c r="X552" s="320"/>
      <c r="Y552" s="320"/>
      <c r="Z552" s="320"/>
    </row>
    <row r="553">
      <c r="A553" s="320"/>
      <c r="B553" s="320"/>
      <c r="C553" s="320"/>
      <c r="D553" s="320"/>
      <c r="E553" s="320"/>
      <c r="F553" s="320"/>
      <c r="G553" s="320"/>
      <c r="H553" s="320"/>
      <c r="I553" s="320"/>
      <c r="J553" s="320"/>
      <c r="K553" s="320"/>
      <c r="L553" s="320"/>
      <c r="M553" s="320"/>
      <c r="N553" s="320"/>
      <c r="O553" s="320"/>
      <c r="P553" s="320"/>
      <c r="Q553" s="320"/>
      <c r="R553" s="320"/>
      <c r="S553" s="320"/>
      <c r="T553" s="320"/>
      <c r="U553" s="320"/>
      <c r="V553" s="320"/>
      <c r="W553" s="320"/>
      <c r="X553" s="320"/>
      <c r="Y553" s="320"/>
      <c r="Z553" s="320"/>
    </row>
    <row r="554">
      <c r="A554" s="320"/>
      <c r="B554" s="320"/>
      <c r="C554" s="320"/>
      <c r="D554" s="320"/>
      <c r="E554" s="320"/>
      <c r="F554" s="320"/>
      <c r="G554" s="320"/>
      <c r="H554" s="320"/>
      <c r="I554" s="320"/>
      <c r="J554" s="320"/>
      <c r="K554" s="320"/>
      <c r="L554" s="320"/>
      <c r="M554" s="320"/>
      <c r="N554" s="320"/>
      <c r="O554" s="320"/>
      <c r="P554" s="320"/>
      <c r="Q554" s="320"/>
      <c r="R554" s="320"/>
      <c r="S554" s="320"/>
      <c r="T554" s="320"/>
      <c r="U554" s="320"/>
      <c r="V554" s="320"/>
      <c r="W554" s="320"/>
      <c r="X554" s="320"/>
      <c r="Y554" s="320"/>
      <c r="Z554" s="320"/>
    </row>
    <row r="555">
      <c r="A555" s="320"/>
      <c r="B555" s="320"/>
      <c r="C555" s="320"/>
      <c r="D555" s="320"/>
      <c r="E555" s="320"/>
      <c r="F555" s="320"/>
      <c r="G555" s="320"/>
      <c r="H555" s="320"/>
      <c r="I555" s="320"/>
      <c r="J555" s="320"/>
      <c r="K555" s="320"/>
      <c r="L555" s="320"/>
      <c r="M555" s="320"/>
      <c r="N555" s="320"/>
      <c r="O555" s="320"/>
      <c r="P555" s="320"/>
      <c r="Q555" s="320"/>
      <c r="R555" s="320"/>
      <c r="S555" s="320"/>
      <c r="T555" s="320"/>
      <c r="U555" s="320"/>
      <c r="V555" s="320"/>
      <c r="W555" s="320"/>
      <c r="X555" s="320"/>
      <c r="Y555" s="320"/>
      <c r="Z555" s="320"/>
    </row>
    <row r="556">
      <c r="A556" s="320"/>
      <c r="B556" s="320"/>
      <c r="C556" s="320"/>
      <c r="D556" s="320"/>
      <c r="E556" s="320"/>
      <c r="F556" s="320"/>
      <c r="G556" s="320"/>
      <c r="H556" s="320"/>
      <c r="I556" s="320"/>
      <c r="J556" s="320"/>
      <c r="K556" s="320"/>
      <c r="L556" s="320"/>
      <c r="M556" s="320"/>
      <c r="N556" s="320"/>
      <c r="O556" s="320"/>
      <c r="P556" s="320"/>
      <c r="Q556" s="320"/>
      <c r="R556" s="320"/>
      <c r="S556" s="320"/>
      <c r="T556" s="320"/>
      <c r="U556" s="320"/>
      <c r="V556" s="320"/>
      <c r="W556" s="320"/>
      <c r="X556" s="320"/>
      <c r="Y556" s="320"/>
      <c r="Z556" s="320"/>
    </row>
    <row r="557">
      <c r="A557" s="320"/>
      <c r="B557" s="320"/>
      <c r="C557" s="320"/>
      <c r="D557" s="320"/>
      <c r="E557" s="320"/>
      <c r="F557" s="320"/>
      <c r="G557" s="320"/>
      <c r="H557" s="320"/>
      <c r="I557" s="320"/>
      <c r="J557" s="320"/>
      <c r="K557" s="320"/>
      <c r="L557" s="320"/>
      <c r="M557" s="320"/>
      <c r="N557" s="320"/>
      <c r="O557" s="320"/>
      <c r="P557" s="320"/>
      <c r="Q557" s="320"/>
      <c r="R557" s="320"/>
      <c r="S557" s="320"/>
      <c r="T557" s="320"/>
      <c r="U557" s="320"/>
      <c r="V557" s="320"/>
      <c r="W557" s="320"/>
      <c r="X557" s="320"/>
      <c r="Y557" s="320"/>
      <c r="Z557" s="320"/>
    </row>
    <row r="558">
      <c r="A558" s="320"/>
      <c r="B558" s="320"/>
      <c r="C558" s="320"/>
      <c r="D558" s="320"/>
      <c r="E558" s="320"/>
      <c r="F558" s="320"/>
      <c r="G558" s="320"/>
      <c r="H558" s="320"/>
      <c r="I558" s="320"/>
      <c r="J558" s="320"/>
      <c r="K558" s="320"/>
      <c r="L558" s="320"/>
      <c r="M558" s="320"/>
      <c r="N558" s="320"/>
      <c r="O558" s="320"/>
      <c r="P558" s="320"/>
      <c r="Q558" s="320"/>
      <c r="R558" s="320"/>
      <c r="S558" s="320"/>
      <c r="T558" s="320"/>
      <c r="U558" s="320"/>
      <c r="V558" s="320"/>
      <c r="W558" s="320"/>
      <c r="X558" s="320"/>
      <c r="Y558" s="320"/>
      <c r="Z558" s="320"/>
    </row>
    <row r="559">
      <c r="A559" s="320"/>
      <c r="B559" s="320"/>
      <c r="C559" s="320"/>
      <c r="D559" s="320"/>
      <c r="E559" s="320"/>
      <c r="F559" s="320"/>
      <c r="G559" s="320"/>
      <c r="H559" s="320"/>
      <c r="I559" s="320"/>
      <c r="J559" s="320"/>
      <c r="K559" s="320"/>
      <c r="L559" s="320"/>
      <c r="M559" s="320"/>
      <c r="N559" s="320"/>
      <c r="O559" s="320"/>
      <c r="P559" s="320"/>
      <c r="Q559" s="320"/>
      <c r="R559" s="320"/>
      <c r="S559" s="320"/>
      <c r="T559" s="320"/>
      <c r="U559" s="320"/>
      <c r="V559" s="320"/>
      <c r="W559" s="320"/>
      <c r="X559" s="320"/>
      <c r="Y559" s="320"/>
      <c r="Z559" s="320"/>
    </row>
    <row r="560">
      <c r="A560" s="320"/>
      <c r="B560" s="320"/>
      <c r="C560" s="320"/>
      <c r="D560" s="320"/>
      <c r="E560" s="320"/>
      <c r="F560" s="320"/>
      <c r="G560" s="320"/>
      <c r="H560" s="320"/>
      <c r="I560" s="320"/>
      <c r="J560" s="320"/>
      <c r="K560" s="320"/>
      <c r="L560" s="320"/>
      <c r="M560" s="320"/>
      <c r="N560" s="320"/>
      <c r="O560" s="320"/>
      <c r="P560" s="320"/>
      <c r="Q560" s="320"/>
      <c r="R560" s="320"/>
      <c r="S560" s="320"/>
      <c r="T560" s="320"/>
      <c r="U560" s="320"/>
      <c r="V560" s="320"/>
      <c r="W560" s="320"/>
      <c r="X560" s="320"/>
      <c r="Y560" s="320"/>
      <c r="Z560" s="320"/>
    </row>
    <row r="561">
      <c r="A561" s="320"/>
      <c r="B561" s="320"/>
      <c r="C561" s="320"/>
      <c r="D561" s="320"/>
      <c r="E561" s="320"/>
      <c r="F561" s="320"/>
      <c r="G561" s="320"/>
      <c r="H561" s="320"/>
      <c r="I561" s="320"/>
      <c r="J561" s="320"/>
      <c r="K561" s="320"/>
      <c r="L561" s="320"/>
      <c r="M561" s="320"/>
      <c r="N561" s="320"/>
      <c r="O561" s="320"/>
      <c r="P561" s="320"/>
      <c r="Q561" s="320"/>
      <c r="R561" s="320"/>
      <c r="S561" s="320"/>
      <c r="T561" s="320"/>
      <c r="U561" s="320"/>
      <c r="V561" s="320"/>
      <c r="W561" s="320"/>
      <c r="X561" s="320"/>
      <c r="Y561" s="320"/>
      <c r="Z561" s="320"/>
    </row>
    <row r="562">
      <c r="A562" s="320"/>
      <c r="B562" s="320"/>
      <c r="C562" s="320"/>
      <c r="D562" s="320"/>
      <c r="E562" s="320"/>
      <c r="F562" s="320"/>
      <c r="G562" s="320"/>
      <c r="H562" s="320"/>
      <c r="I562" s="320"/>
      <c r="J562" s="320"/>
      <c r="K562" s="320"/>
      <c r="L562" s="320"/>
      <c r="M562" s="320"/>
      <c r="N562" s="320"/>
      <c r="O562" s="320"/>
      <c r="P562" s="320"/>
      <c r="Q562" s="320"/>
      <c r="R562" s="320"/>
      <c r="S562" s="320"/>
      <c r="T562" s="320"/>
      <c r="U562" s="320"/>
      <c r="V562" s="320"/>
      <c r="W562" s="320"/>
      <c r="X562" s="320"/>
      <c r="Y562" s="320"/>
      <c r="Z562" s="320"/>
    </row>
    <row r="563">
      <c r="A563" s="320"/>
      <c r="B563" s="320"/>
      <c r="C563" s="320"/>
      <c r="D563" s="320"/>
      <c r="E563" s="320"/>
      <c r="F563" s="320"/>
      <c r="G563" s="320"/>
      <c r="H563" s="320"/>
      <c r="I563" s="320"/>
      <c r="J563" s="320"/>
      <c r="K563" s="320"/>
      <c r="L563" s="320"/>
      <c r="M563" s="320"/>
      <c r="N563" s="320"/>
      <c r="O563" s="320"/>
      <c r="P563" s="320"/>
      <c r="Q563" s="320"/>
      <c r="R563" s="320"/>
      <c r="S563" s="320"/>
      <c r="T563" s="320"/>
      <c r="U563" s="320"/>
      <c r="V563" s="320"/>
      <c r="W563" s="320"/>
      <c r="X563" s="320"/>
      <c r="Y563" s="320"/>
      <c r="Z563" s="320"/>
    </row>
    <row r="564">
      <c r="A564" s="320"/>
      <c r="B564" s="320"/>
      <c r="C564" s="320"/>
      <c r="D564" s="320"/>
      <c r="E564" s="320"/>
      <c r="F564" s="320"/>
      <c r="G564" s="320"/>
      <c r="H564" s="320"/>
      <c r="I564" s="320"/>
      <c r="J564" s="320"/>
      <c r="K564" s="320"/>
      <c r="L564" s="320"/>
      <c r="M564" s="320"/>
      <c r="N564" s="320"/>
      <c r="O564" s="320"/>
      <c r="P564" s="320"/>
      <c r="Q564" s="320"/>
      <c r="R564" s="320"/>
      <c r="S564" s="320"/>
      <c r="T564" s="320"/>
      <c r="U564" s="320"/>
      <c r="V564" s="320"/>
      <c r="W564" s="320"/>
      <c r="X564" s="320"/>
      <c r="Y564" s="320"/>
      <c r="Z564" s="320"/>
    </row>
    <row r="565">
      <c r="A565" s="320"/>
      <c r="B565" s="320"/>
      <c r="C565" s="320"/>
      <c r="D565" s="320"/>
      <c r="E565" s="320"/>
      <c r="F565" s="320"/>
      <c r="G565" s="320"/>
      <c r="H565" s="320"/>
      <c r="I565" s="320"/>
      <c r="J565" s="320"/>
      <c r="K565" s="320"/>
      <c r="L565" s="320"/>
      <c r="M565" s="320"/>
      <c r="N565" s="320"/>
      <c r="O565" s="320"/>
      <c r="P565" s="320"/>
      <c r="Q565" s="320"/>
      <c r="R565" s="320"/>
      <c r="S565" s="320"/>
      <c r="T565" s="320"/>
      <c r="U565" s="320"/>
      <c r="V565" s="320"/>
      <c r="W565" s="320"/>
      <c r="X565" s="320"/>
      <c r="Y565" s="320"/>
      <c r="Z565" s="320"/>
    </row>
    <row r="566">
      <c r="A566" s="320"/>
      <c r="B566" s="320"/>
      <c r="C566" s="320"/>
      <c r="D566" s="320"/>
      <c r="E566" s="320"/>
      <c r="F566" s="320"/>
      <c r="G566" s="320"/>
      <c r="H566" s="320"/>
      <c r="I566" s="320"/>
      <c r="J566" s="320"/>
      <c r="K566" s="320"/>
      <c r="L566" s="320"/>
      <c r="M566" s="320"/>
      <c r="N566" s="320"/>
      <c r="O566" s="320"/>
      <c r="P566" s="320"/>
      <c r="Q566" s="320"/>
      <c r="R566" s="320"/>
      <c r="S566" s="320"/>
      <c r="T566" s="320"/>
      <c r="U566" s="320"/>
      <c r="V566" s="320"/>
      <c r="W566" s="320"/>
      <c r="X566" s="320"/>
      <c r="Y566" s="320"/>
      <c r="Z566" s="320"/>
    </row>
    <row r="567">
      <c r="A567" s="320"/>
      <c r="B567" s="320"/>
      <c r="C567" s="320"/>
      <c r="D567" s="320"/>
      <c r="E567" s="320"/>
      <c r="F567" s="320"/>
      <c r="G567" s="320"/>
      <c r="H567" s="320"/>
      <c r="I567" s="320"/>
      <c r="J567" s="320"/>
      <c r="K567" s="320"/>
      <c r="L567" s="320"/>
      <c r="M567" s="320"/>
      <c r="N567" s="320"/>
      <c r="O567" s="320"/>
      <c r="P567" s="320"/>
      <c r="Q567" s="320"/>
      <c r="R567" s="320"/>
      <c r="S567" s="320"/>
      <c r="T567" s="320"/>
      <c r="U567" s="320"/>
      <c r="V567" s="320"/>
      <c r="W567" s="320"/>
      <c r="X567" s="320"/>
      <c r="Y567" s="320"/>
      <c r="Z567" s="320"/>
    </row>
    <row r="568">
      <c r="A568" s="320"/>
      <c r="B568" s="320"/>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320"/>
      <c r="Z568" s="320"/>
    </row>
    <row r="569">
      <c r="A569" s="320"/>
      <c r="B569" s="320"/>
      <c r="C569" s="320"/>
      <c r="D569" s="320"/>
      <c r="E569" s="320"/>
      <c r="F569" s="320"/>
      <c r="G569" s="320"/>
      <c r="H569" s="320"/>
      <c r="I569" s="320"/>
      <c r="J569" s="320"/>
      <c r="K569" s="320"/>
      <c r="L569" s="320"/>
      <c r="M569" s="320"/>
      <c r="N569" s="320"/>
      <c r="O569" s="320"/>
      <c r="P569" s="320"/>
      <c r="Q569" s="320"/>
      <c r="R569" s="320"/>
      <c r="S569" s="320"/>
      <c r="T569" s="320"/>
      <c r="U569" s="320"/>
      <c r="V569" s="320"/>
      <c r="W569" s="320"/>
      <c r="X569" s="320"/>
      <c r="Y569" s="320"/>
      <c r="Z569" s="320"/>
    </row>
    <row r="570">
      <c r="A570" s="320"/>
      <c r="B570" s="320"/>
      <c r="C570" s="320"/>
      <c r="D570" s="320"/>
      <c r="E570" s="320"/>
      <c r="F570" s="320"/>
      <c r="G570" s="320"/>
      <c r="H570" s="320"/>
      <c r="I570" s="320"/>
      <c r="J570" s="320"/>
      <c r="K570" s="320"/>
      <c r="L570" s="320"/>
      <c r="M570" s="320"/>
      <c r="N570" s="320"/>
      <c r="O570" s="320"/>
      <c r="P570" s="320"/>
      <c r="Q570" s="320"/>
      <c r="R570" s="320"/>
      <c r="S570" s="320"/>
      <c r="T570" s="320"/>
      <c r="U570" s="320"/>
      <c r="V570" s="320"/>
      <c r="W570" s="320"/>
      <c r="X570" s="320"/>
      <c r="Y570" s="320"/>
      <c r="Z570" s="320"/>
    </row>
    <row r="571">
      <c r="A571" s="320"/>
      <c r="B571" s="320"/>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320"/>
      <c r="Z571" s="320"/>
    </row>
    <row r="572">
      <c r="A572" s="320"/>
      <c r="B572" s="320"/>
      <c r="C572" s="320"/>
      <c r="D572" s="320"/>
      <c r="E572" s="320"/>
      <c r="F572" s="320"/>
      <c r="G572" s="320"/>
      <c r="H572" s="320"/>
      <c r="I572" s="320"/>
      <c r="J572" s="320"/>
      <c r="K572" s="320"/>
      <c r="L572" s="320"/>
      <c r="M572" s="320"/>
      <c r="N572" s="320"/>
      <c r="O572" s="320"/>
      <c r="P572" s="320"/>
      <c r="Q572" s="320"/>
      <c r="R572" s="320"/>
      <c r="S572" s="320"/>
      <c r="T572" s="320"/>
      <c r="U572" s="320"/>
      <c r="V572" s="320"/>
      <c r="W572" s="320"/>
      <c r="X572" s="320"/>
      <c r="Y572" s="320"/>
      <c r="Z572" s="320"/>
    </row>
    <row r="573">
      <c r="A573" s="320"/>
      <c r="B573" s="320"/>
      <c r="C573" s="320"/>
      <c r="D573" s="320"/>
      <c r="E573" s="320"/>
      <c r="F573" s="320"/>
      <c r="G573" s="320"/>
      <c r="H573" s="320"/>
      <c r="I573" s="320"/>
      <c r="J573" s="320"/>
      <c r="K573" s="320"/>
      <c r="L573" s="320"/>
      <c r="M573" s="320"/>
      <c r="N573" s="320"/>
      <c r="O573" s="320"/>
      <c r="P573" s="320"/>
      <c r="Q573" s="320"/>
      <c r="R573" s="320"/>
      <c r="S573" s="320"/>
      <c r="T573" s="320"/>
      <c r="U573" s="320"/>
      <c r="V573" s="320"/>
      <c r="W573" s="320"/>
      <c r="X573" s="320"/>
      <c r="Y573" s="320"/>
      <c r="Z573" s="320"/>
    </row>
    <row r="574">
      <c r="A574" s="320"/>
      <c r="B574" s="320"/>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320"/>
      <c r="Z574" s="320"/>
    </row>
    <row r="575">
      <c r="A575" s="320"/>
      <c r="B575" s="320"/>
      <c r="C575" s="320"/>
      <c r="D575" s="320"/>
      <c r="E575" s="320"/>
      <c r="F575" s="320"/>
      <c r="G575" s="320"/>
      <c r="H575" s="320"/>
      <c r="I575" s="320"/>
      <c r="J575" s="320"/>
      <c r="K575" s="320"/>
      <c r="L575" s="320"/>
      <c r="M575" s="320"/>
      <c r="N575" s="320"/>
      <c r="O575" s="320"/>
      <c r="P575" s="320"/>
      <c r="Q575" s="320"/>
      <c r="R575" s="320"/>
      <c r="S575" s="320"/>
      <c r="T575" s="320"/>
      <c r="U575" s="320"/>
      <c r="V575" s="320"/>
      <c r="W575" s="320"/>
      <c r="X575" s="320"/>
      <c r="Y575" s="320"/>
      <c r="Z575" s="320"/>
    </row>
    <row r="576">
      <c r="A576" s="320"/>
      <c r="B576" s="320"/>
      <c r="C576" s="320"/>
      <c r="D576" s="320"/>
      <c r="E576" s="320"/>
      <c r="F576" s="320"/>
      <c r="G576" s="320"/>
      <c r="H576" s="320"/>
      <c r="I576" s="320"/>
      <c r="J576" s="320"/>
      <c r="K576" s="320"/>
      <c r="L576" s="320"/>
      <c r="M576" s="320"/>
      <c r="N576" s="320"/>
      <c r="O576" s="320"/>
      <c r="P576" s="320"/>
      <c r="Q576" s="320"/>
      <c r="R576" s="320"/>
      <c r="S576" s="320"/>
      <c r="T576" s="320"/>
      <c r="U576" s="320"/>
      <c r="V576" s="320"/>
      <c r="W576" s="320"/>
      <c r="X576" s="320"/>
      <c r="Y576" s="320"/>
      <c r="Z576" s="320"/>
    </row>
    <row r="577">
      <c r="A577" s="320"/>
      <c r="B577" s="320"/>
      <c r="C577" s="320"/>
      <c r="D577" s="320"/>
      <c r="E577" s="320"/>
      <c r="F577" s="320"/>
      <c r="G577" s="320"/>
      <c r="H577" s="320"/>
      <c r="I577" s="320"/>
      <c r="J577" s="320"/>
      <c r="K577" s="320"/>
      <c r="L577" s="320"/>
      <c r="M577" s="320"/>
      <c r="N577" s="320"/>
      <c r="O577" s="320"/>
      <c r="P577" s="320"/>
      <c r="Q577" s="320"/>
      <c r="R577" s="320"/>
      <c r="S577" s="320"/>
      <c r="T577" s="320"/>
      <c r="U577" s="320"/>
      <c r="V577" s="320"/>
      <c r="W577" s="320"/>
      <c r="X577" s="320"/>
      <c r="Y577" s="320"/>
      <c r="Z577" s="320"/>
    </row>
    <row r="578">
      <c r="A578" s="320"/>
      <c r="B578" s="320"/>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320"/>
      <c r="Z578" s="320"/>
    </row>
    <row r="579">
      <c r="A579" s="320"/>
      <c r="B579" s="320"/>
      <c r="C579" s="320"/>
      <c r="D579" s="320"/>
      <c r="E579" s="320"/>
      <c r="F579" s="320"/>
      <c r="G579" s="320"/>
      <c r="H579" s="320"/>
      <c r="I579" s="320"/>
      <c r="J579" s="320"/>
      <c r="K579" s="320"/>
      <c r="L579" s="320"/>
      <c r="M579" s="320"/>
      <c r="N579" s="320"/>
      <c r="O579" s="320"/>
      <c r="P579" s="320"/>
      <c r="Q579" s="320"/>
      <c r="R579" s="320"/>
      <c r="S579" s="320"/>
      <c r="T579" s="320"/>
      <c r="U579" s="320"/>
      <c r="V579" s="320"/>
      <c r="W579" s="320"/>
      <c r="X579" s="320"/>
      <c r="Y579" s="320"/>
      <c r="Z579" s="320"/>
    </row>
    <row r="580">
      <c r="A580" s="320"/>
      <c r="B580" s="320"/>
      <c r="C580" s="320"/>
      <c r="D580" s="320"/>
      <c r="E580" s="320"/>
      <c r="F580" s="320"/>
      <c r="G580" s="320"/>
      <c r="H580" s="320"/>
      <c r="I580" s="320"/>
      <c r="J580" s="320"/>
      <c r="K580" s="320"/>
      <c r="L580" s="320"/>
      <c r="M580" s="320"/>
      <c r="N580" s="320"/>
      <c r="O580" s="320"/>
      <c r="P580" s="320"/>
      <c r="Q580" s="320"/>
      <c r="R580" s="320"/>
      <c r="S580" s="320"/>
      <c r="T580" s="320"/>
      <c r="U580" s="320"/>
      <c r="V580" s="320"/>
      <c r="W580" s="320"/>
      <c r="X580" s="320"/>
      <c r="Y580" s="320"/>
      <c r="Z580" s="320"/>
    </row>
    <row r="581">
      <c r="A581" s="320"/>
      <c r="B581" s="320"/>
      <c r="C581" s="320"/>
      <c r="D581" s="320"/>
      <c r="E581" s="320"/>
      <c r="F581" s="320"/>
      <c r="G581" s="320"/>
      <c r="H581" s="320"/>
      <c r="I581" s="320"/>
      <c r="J581" s="320"/>
      <c r="K581" s="320"/>
      <c r="L581" s="320"/>
      <c r="M581" s="320"/>
      <c r="N581" s="320"/>
      <c r="O581" s="320"/>
      <c r="P581" s="320"/>
      <c r="Q581" s="320"/>
      <c r="R581" s="320"/>
      <c r="S581" s="320"/>
      <c r="T581" s="320"/>
      <c r="U581" s="320"/>
      <c r="V581" s="320"/>
      <c r="W581" s="320"/>
      <c r="X581" s="320"/>
      <c r="Y581" s="320"/>
      <c r="Z581" s="320"/>
    </row>
    <row r="582">
      <c r="A582" s="320"/>
      <c r="B582" s="320"/>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320"/>
      <c r="Z582" s="320"/>
    </row>
    <row r="583">
      <c r="A583" s="320"/>
      <c r="B583" s="320"/>
      <c r="C583" s="320"/>
      <c r="D583" s="320"/>
      <c r="E583" s="320"/>
      <c r="F583" s="320"/>
      <c r="G583" s="320"/>
      <c r="H583" s="320"/>
      <c r="I583" s="320"/>
      <c r="J583" s="320"/>
      <c r="K583" s="320"/>
      <c r="L583" s="320"/>
      <c r="M583" s="320"/>
      <c r="N583" s="320"/>
      <c r="O583" s="320"/>
      <c r="P583" s="320"/>
      <c r="Q583" s="320"/>
      <c r="R583" s="320"/>
      <c r="S583" s="320"/>
      <c r="T583" s="320"/>
      <c r="U583" s="320"/>
      <c r="V583" s="320"/>
      <c r="W583" s="320"/>
      <c r="X583" s="320"/>
      <c r="Y583" s="320"/>
      <c r="Z583" s="320"/>
    </row>
    <row r="584">
      <c r="A584" s="320"/>
      <c r="B584" s="320"/>
      <c r="C584" s="320"/>
      <c r="D584" s="320"/>
      <c r="E584" s="320"/>
      <c r="F584" s="320"/>
      <c r="G584" s="320"/>
      <c r="H584" s="320"/>
      <c r="I584" s="320"/>
      <c r="J584" s="320"/>
      <c r="K584" s="320"/>
      <c r="L584" s="320"/>
      <c r="M584" s="320"/>
      <c r="N584" s="320"/>
      <c r="O584" s="320"/>
      <c r="P584" s="320"/>
      <c r="Q584" s="320"/>
      <c r="R584" s="320"/>
      <c r="S584" s="320"/>
      <c r="T584" s="320"/>
      <c r="U584" s="320"/>
      <c r="V584" s="320"/>
      <c r="W584" s="320"/>
      <c r="X584" s="320"/>
      <c r="Y584" s="320"/>
      <c r="Z584" s="320"/>
    </row>
    <row r="585">
      <c r="A585" s="320"/>
      <c r="B585" s="320"/>
      <c r="C585" s="320"/>
      <c r="D585" s="320"/>
      <c r="E585" s="320"/>
      <c r="F585" s="320"/>
      <c r="G585" s="320"/>
      <c r="H585" s="320"/>
      <c r="I585" s="320"/>
      <c r="J585" s="320"/>
      <c r="K585" s="320"/>
      <c r="L585" s="320"/>
      <c r="M585" s="320"/>
      <c r="N585" s="320"/>
      <c r="O585" s="320"/>
      <c r="P585" s="320"/>
      <c r="Q585" s="320"/>
      <c r="R585" s="320"/>
      <c r="S585" s="320"/>
      <c r="T585" s="320"/>
      <c r="U585" s="320"/>
      <c r="V585" s="320"/>
      <c r="W585" s="320"/>
      <c r="X585" s="320"/>
      <c r="Y585" s="320"/>
      <c r="Z585" s="320"/>
    </row>
    <row r="586">
      <c r="A586" s="320"/>
      <c r="B586" s="320"/>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320"/>
      <c r="Z586" s="320"/>
    </row>
    <row r="587">
      <c r="A587" s="320"/>
      <c r="B587" s="320"/>
      <c r="C587" s="320"/>
      <c r="D587" s="320"/>
      <c r="E587" s="320"/>
      <c r="F587" s="320"/>
      <c r="G587" s="320"/>
      <c r="H587" s="320"/>
      <c r="I587" s="320"/>
      <c r="J587" s="320"/>
      <c r="K587" s="320"/>
      <c r="L587" s="320"/>
      <c r="M587" s="320"/>
      <c r="N587" s="320"/>
      <c r="O587" s="320"/>
      <c r="P587" s="320"/>
      <c r="Q587" s="320"/>
      <c r="R587" s="320"/>
      <c r="S587" s="320"/>
      <c r="T587" s="320"/>
      <c r="U587" s="320"/>
      <c r="V587" s="320"/>
      <c r="W587" s="320"/>
      <c r="X587" s="320"/>
      <c r="Y587" s="320"/>
      <c r="Z587" s="320"/>
    </row>
    <row r="588">
      <c r="A588" s="320"/>
      <c r="B588" s="320"/>
      <c r="C588" s="320"/>
      <c r="D588" s="320"/>
      <c r="E588" s="320"/>
      <c r="F588" s="320"/>
      <c r="G588" s="320"/>
      <c r="H588" s="320"/>
      <c r="I588" s="320"/>
      <c r="J588" s="320"/>
      <c r="K588" s="320"/>
      <c r="L588" s="320"/>
      <c r="M588" s="320"/>
      <c r="N588" s="320"/>
      <c r="O588" s="320"/>
      <c r="P588" s="320"/>
      <c r="Q588" s="320"/>
      <c r="R588" s="320"/>
      <c r="S588" s="320"/>
      <c r="T588" s="320"/>
      <c r="U588" s="320"/>
      <c r="V588" s="320"/>
      <c r="W588" s="320"/>
      <c r="X588" s="320"/>
      <c r="Y588" s="320"/>
      <c r="Z588" s="320"/>
    </row>
    <row r="589">
      <c r="A589" s="320"/>
      <c r="B589" s="320"/>
      <c r="C589" s="320"/>
      <c r="D589" s="320"/>
      <c r="E589" s="320"/>
      <c r="F589" s="320"/>
      <c r="G589" s="320"/>
      <c r="H589" s="320"/>
      <c r="I589" s="320"/>
      <c r="J589" s="320"/>
      <c r="K589" s="320"/>
      <c r="L589" s="320"/>
      <c r="M589" s="320"/>
      <c r="N589" s="320"/>
      <c r="O589" s="320"/>
      <c r="P589" s="320"/>
      <c r="Q589" s="320"/>
      <c r="R589" s="320"/>
      <c r="S589" s="320"/>
      <c r="T589" s="320"/>
      <c r="U589" s="320"/>
      <c r="V589" s="320"/>
      <c r="W589" s="320"/>
      <c r="X589" s="320"/>
      <c r="Y589" s="320"/>
      <c r="Z589" s="320"/>
    </row>
    <row r="590">
      <c r="A590" s="320"/>
      <c r="B590" s="320"/>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320"/>
      <c r="Z590" s="320"/>
    </row>
    <row r="591">
      <c r="A591" s="320"/>
      <c r="B591" s="320"/>
      <c r="C591" s="320"/>
      <c r="D591" s="320"/>
      <c r="E591" s="320"/>
      <c r="F591" s="320"/>
      <c r="G591" s="320"/>
      <c r="H591" s="320"/>
      <c r="I591" s="320"/>
      <c r="J591" s="320"/>
      <c r="K591" s="320"/>
      <c r="L591" s="320"/>
      <c r="M591" s="320"/>
      <c r="N591" s="320"/>
      <c r="O591" s="320"/>
      <c r="P591" s="320"/>
      <c r="Q591" s="320"/>
      <c r="R591" s="320"/>
      <c r="S591" s="320"/>
      <c r="T591" s="320"/>
      <c r="U591" s="320"/>
      <c r="V591" s="320"/>
      <c r="W591" s="320"/>
      <c r="X591" s="320"/>
      <c r="Y591" s="320"/>
      <c r="Z591" s="320"/>
    </row>
    <row r="592">
      <c r="A592" s="320"/>
      <c r="B592" s="320"/>
      <c r="C592" s="320"/>
      <c r="D592" s="320"/>
      <c r="E592" s="320"/>
      <c r="F592" s="320"/>
      <c r="G592" s="320"/>
      <c r="H592" s="320"/>
      <c r="I592" s="320"/>
      <c r="J592" s="320"/>
      <c r="K592" s="320"/>
      <c r="L592" s="320"/>
      <c r="M592" s="320"/>
      <c r="N592" s="320"/>
      <c r="O592" s="320"/>
      <c r="P592" s="320"/>
      <c r="Q592" s="320"/>
      <c r="R592" s="320"/>
      <c r="S592" s="320"/>
      <c r="T592" s="320"/>
      <c r="U592" s="320"/>
      <c r="V592" s="320"/>
      <c r="W592" s="320"/>
      <c r="X592" s="320"/>
      <c r="Y592" s="320"/>
      <c r="Z592" s="320"/>
    </row>
    <row r="593">
      <c r="A593" s="320"/>
      <c r="B593" s="320"/>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320"/>
      <c r="Z593" s="320"/>
    </row>
    <row r="594">
      <c r="A594" s="320"/>
      <c r="B594" s="320"/>
      <c r="C594" s="320"/>
      <c r="D594" s="320"/>
      <c r="E594" s="320"/>
      <c r="F594" s="320"/>
      <c r="G594" s="320"/>
      <c r="H594" s="320"/>
      <c r="I594" s="320"/>
      <c r="J594" s="320"/>
      <c r="K594" s="320"/>
      <c r="L594" s="320"/>
      <c r="M594" s="320"/>
      <c r="N594" s="320"/>
      <c r="O594" s="320"/>
      <c r="P594" s="320"/>
      <c r="Q594" s="320"/>
      <c r="R594" s="320"/>
      <c r="S594" s="320"/>
      <c r="T594" s="320"/>
      <c r="U594" s="320"/>
      <c r="V594" s="320"/>
      <c r="W594" s="320"/>
      <c r="X594" s="320"/>
      <c r="Y594" s="320"/>
      <c r="Z594" s="320"/>
    </row>
    <row r="595">
      <c r="A595" s="320"/>
      <c r="B595" s="320"/>
      <c r="C595" s="320"/>
      <c r="D595" s="320"/>
      <c r="E595" s="320"/>
      <c r="F595" s="320"/>
      <c r="G595" s="320"/>
      <c r="H595" s="320"/>
      <c r="I595" s="320"/>
      <c r="J595" s="320"/>
      <c r="K595" s="320"/>
      <c r="L595" s="320"/>
      <c r="M595" s="320"/>
      <c r="N595" s="320"/>
      <c r="O595" s="320"/>
      <c r="P595" s="320"/>
      <c r="Q595" s="320"/>
      <c r="R595" s="320"/>
      <c r="S595" s="320"/>
      <c r="T595" s="320"/>
      <c r="U595" s="320"/>
      <c r="V595" s="320"/>
      <c r="W595" s="320"/>
      <c r="X595" s="320"/>
      <c r="Y595" s="320"/>
      <c r="Z595" s="320"/>
    </row>
    <row r="596">
      <c r="A596" s="320"/>
      <c r="B596" s="320"/>
      <c r="C596" s="320"/>
      <c r="D596" s="320"/>
      <c r="E596" s="320"/>
      <c r="F596" s="320"/>
      <c r="G596" s="320"/>
      <c r="H596" s="320"/>
      <c r="I596" s="320"/>
      <c r="J596" s="320"/>
      <c r="K596" s="320"/>
      <c r="L596" s="320"/>
      <c r="M596" s="320"/>
      <c r="N596" s="320"/>
      <c r="O596" s="320"/>
      <c r="P596" s="320"/>
      <c r="Q596" s="320"/>
      <c r="R596" s="320"/>
      <c r="S596" s="320"/>
      <c r="T596" s="320"/>
      <c r="U596" s="320"/>
      <c r="V596" s="320"/>
      <c r="W596" s="320"/>
      <c r="X596" s="320"/>
      <c r="Y596" s="320"/>
      <c r="Z596" s="320"/>
    </row>
    <row r="597">
      <c r="A597" s="320"/>
      <c r="B597" s="320"/>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320"/>
      <c r="Z597" s="320"/>
    </row>
    <row r="598">
      <c r="A598" s="320"/>
      <c r="B598" s="320"/>
      <c r="C598" s="320"/>
      <c r="D598" s="320"/>
      <c r="E598" s="320"/>
      <c r="F598" s="320"/>
      <c r="G598" s="320"/>
      <c r="H598" s="320"/>
      <c r="I598" s="320"/>
      <c r="J598" s="320"/>
      <c r="K598" s="320"/>
      <c r="L598" s="320"/>
      <c r="M598" s="320"/>
      <c r="N598" s="320"/>
      <c r="O598" s="320"/>
      <c r="P598" s="320"/>
      <c r="Q598" s="320"/>
      <c r="R598" s="320"/>
      <c r="S598" s="320"/>
      <c r="T598" s="320"/>
      <c r="U598" s="320"/>
      <c r="V598" s="320"/>
      <c r="W598" s="320"/>
      <c r="X598" s="320"/>
      <c r="Y598" s="320"/>
      <c r="Z598" s="320"/>
    </row>
    <row r="599">
      <c r="A599" s="320"/>
      <c r="B599" s="320"/>
      <c r="C599" s="320"/>
      <c r="D599" s="320"/>
      <c r="E599" s="320"/>
      <c r="F599" s="320"/>
      <c r="G599" s="320"/>
      <c r="H599" s="320"/>
      <c r="I599" s="320"/>
      <c r="J599" s="320"/>
      <c r="K599" s="320"/>
      <c r="L599" s="320"/>
      <c r="M599" s="320"/>
      <c r="N599" s="320"/>
      <c r="O599" s="320"/>
      <c r="P599" s="320"/>
      <c r="Q599" s="320"/>
      <c r="R599" s="320"/>
      <c r="S599" s="320"/>
      <c r="T599" s="320"/>
      <c r="U599" s="320"/>
      <c r="V599" s="320"/>
      <c r="W599" s="320"/>
      <c r="X599" s="320"/>
      <c r="Y599" s="320"/>
      <c r="Z599" s="320"/>
    </row>
    <row r="600">
      <c r="A600" s="320"/>
      <c r="B600" s="320"/>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320"/>
      <c r="Z600" s="320"/>
    </row>
    <row r="601">
      <c r="A601" s="320"/>
      <c r="B601" s="320"/>
      <c r="C601" s="320"/>
      <c r="D601" s="320"/>
      <c r="E601" s="320"/>
      <c r="F601" s="320"/>
      <c r="G601" s="320"/>
      <c r="H601" s="320"/>
      <c r="I601" s="320"/>
      <c r="J601" s="320"/>
      <c r="K601" s="320"/>
      <c r="L601" s="320"/>
      <c r="M601" s="320"/>
      <c r="N601" s="320"/>
      <c r="O601" s="320"/>
      <c r="P601" s="320"/>
      <c r="Q601" s="320"/>
      <c r="R601" s="320"/>
      <c r="S601" s="320"/>
      <c r="T601" s="320"/>
      <c r="U601" s="320"/>
      <c r="V601" s="320"/>
      <c r="W601" s="320"/>
      <c r="X601" s="320"/>
      <c r="Y601" s="320"/>
      <c r="Z601" s="320"/>
    </row>
    <row r="602">
      <c r="A602" s="320"/>
      <c r="B602" s="320"/>
      <c r="C602" s="320"/>
      <c r="D602" s="320"/>
      <c r="E602" s="320"/>
      <c r="F602" s="320"/>
      <c r="G602" s="320"/>
      <c r="H602" s="320"/>
      <c r="I602" s="320"/>
      <c r="J602" s="320"/>
      <c r="K602" s="320"/>
      <c r="L602" s="320"/>
      <c r="M602" s="320"/>
      <c r="N602" s="320"/>
      <c r="O602" s="320"/>
      <c r="P602" s="320"/>
      <c r="Q602" s="320"/>
      <c r="R602" s="320"/>
      <c r="S602" s="320"/>
      <c r="T602" s="320"/>
      <c r="U602" s="320"/>
      <c r="V602" s="320"/>
      <c r="W602" s="320"/>
      <c r="X602" s="320"/>
      <c r="Y602" s="320"/>
      <c r="Z602" s="320"/>
    </row>
    <row r="603">
      <c r="A603" s="320"/>
      <c r="B603" s="320"/>
      <c r="C603" s="320"/>
      <c r="D603" s="320"/>
      <c r="E603" s="320"/>
      <c r="F603" s="320"/>
      <c r="G603" s="320"/>
      <c r="H603" s="320"/>
      <c r="I603" s="320"/>
      <c r="J603" s="320"/>
      <c r="K603" s="320"/>
      <c r="L603" s="320"/>
      <c r="M603" s="320"/>
      <c r="N603" s="320"/>
      <c r="O603" s="320"/>
      <c r="P603" s="320"/>
      <c r="Q603" s="320"/>
      <c r="R603" s="320"/>
      <c r="S603" s="320"/>
      <c r="T603" s="320"/>
      <c r="U603" s="320"/>
      <c r="V603" s="320"/>
      <c r="W603" s="320"/>
      <c r="X603" s="320"/>
      <c r="Y603" s="320"/>
      <c r="Z603" s="320"/>
    </row>
    <row r="604">
      <c r="A604" s="320"/>
      <c r="B604" s="320"/>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320"/>
      <c r="Z604" s="320"/>
    </row>
    <row r="605">
      <c r="A605" s="320"/>
      <c r="B605" s="320"/>
      <c r="C605" s="320"/>
      <c r="D605" s="320"/>
      <c r="E605" s="320"/>
      <c r="F605" s="320"/>
      <c r="G605" s="320"/>
      <c r="H605" s="320"/>
      <c r="I605" s="320"/>
      <c r="J605" s="320"/>
      <c r="K605" s="320"/>
      <c r="L605" s="320"/>
      <c r="M605" s="320"/>
      <c r="N605" s="320"/>
      <c r="O605" s="320"/>
      <c r="P605" s="320"/>
      <c r="Q605" s="320"/>
      <c r="R605" s="320"/>
      <c r="S605" s="320"/>
      <c r="T605" s="320"/>
      <c r="U605" s="320"/>
      <c r="V605" s="320"/>
      <c r="W605" s="320"/>
      <c r="X605" s="320"/>
      <c r="Y605" s="320"/>
      <c r="Z605" s="320"/>
    </row>
    <row r="606">
      <c r="A606" s="320"/>
      <c r="B606" s="320"/>
      <c r="C606" s="320"/>
      <c r="D606" s="320"/>
      <c r="E606" s="320"/>
      <c r="F606" s="320"/>
      <c r="G606" s="320"/>
      <c r="H606" s="320"/>
      <c r="I606" s="320"/>
      <c r="J606" s="320"/>
      <c r="K606" s="320"/>
      <c r="L606" s="320"/>
      <c r="M606" s="320"/>
      <c r="N606" s="320"/>
      <c r="O606" s="320"/>
      <c r="P606" s="320"/>
      <c r="Q606" s="320"/>
      <c r="R606" s="320"/>
      <c r="S606" s="320"/>
      <c r="T606" s="320"/>
      <c r="U606" s="320"/>
      <c r="V606" s="320"/>
      <c r="W606" s="320"/>
      <c r="X606" s="320"/>
      <c r="Y606" s="320"/>
      <c r="Z606" s="320"/>
    </row>
    <row r="607">
      <c r="A607" s="320"/>
      <c r="B607" s="320"/>
      <c r="C607" s="320"/>
      <c r="D607" s="320"/>
      <c r="E607" s="320"/>
      <c r="F607" s="320"/>
      <c r="G607" s="320"/>
      <c r="H607" s="320"/>
      <c r="I607" s="320"/>
      <c r="J607" s="320"/>
      <c r="K607" s="320"/>
      <c r="L607" s="320"/>
      <c r="M607" s="320"/>
      <c r="N607" s="320"/>
      <c r="O607" s="320"/>
      <c r="P607" s="320"/>
      <c r="Q607" s="320"/>
      <c r="R607" s="320"/>
      <c r="S607" s="320"/>
      <c r="T607" s="320"/>
      <c r="U607" s="320"/>
      <c r="V607" s="320"/>
      <c r="W607" s="320"/>
      <c r="X607" s="320"/>
      <c r="Y607" s="320"/>
      <c r="Z607" s="320"/>
    </row>
    <row r="608">
      <c r="A608" s="320"/>
      <c r="B608" s="320"/>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320"/>
      <c r="Z608" s="320"/>
    </row>
    <row r="609">
      <c r="A609" s="320"/>
      <c r="B609" s="320"/>
      <c r="C609" s="320"/>
      <c r="D609" s="320"/>
      <c r="E609" s="320"/>
      <c r="F609" s="320"/>
      <c r="G609" s="320"/>
      <c r="H609" s="320"/>
      <c r="I609" s="320"/>
      <c r="J609" s="320"/>
      <c r="K609" s="320"/>
      <c r="L609" s="320"/>
      <c r="M609" s="320"/>
      <c r="N609" s="320"/>
      <c r="O609" s="320"/>
      <c r="P609" s="320"/>
      <c r="Q609" s="320"/>
      <c r="R609" s="320"/>
      <c r="S609" s="320"/>
      <c r="T609" s="320"/>
      <c r="U609" s="320"/>
      <c r="V609" s="320"/>
      <c r="W609" s="320"/>
      <c r="X609" s="320"/>
      <c r="Y609" s="320"/>
      <c r="Z609" s="320"/>
    </row>
    <row r="610">
      <c r="A610" s="320"/>
      <c r="B610" s="320"/>
      <c r="C610" s="320"/>
      <c r="D610" s="320"/>
      <c r="E610" s="320"/>
      <c r="F610" s="320"/>
      <c r="G610" s="320"/>
      <c r="H610" s="320"/>
      <c r="I610" s="320"/>
      <c r="J610" s="320"/>
      <c r="K610" s="320"/>
      <c r="L610" s="320"/>
      <c r="M610" s="320"/>
      <c r="N610" s="320"/>
      <c r="O610" s="320"/>
      <c r="P610" s="320"/>
      <c r="Q610" s="320"/>
      <c r="R610" s="320"/>
      <c r="S610" s="320"/>
      <c r="T610" s="320"/>
      <c r="U610" s="320"/>
      <c r="V610" s="320"/>
      <c r="W610" s="320"/>
      <c r="X610" s="320"/>
      <c r="Y610" s="320"/>
      <c r="Z610" s="320"/>
    </row>
    <row r="611">
      <c r="A611" s="320"/>
      <c r="B611" s="320"/>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320"/>
      <c r="Z611" s="320"/>
    </row>
    <row r="612">
      <c r="A612" s="320"/>
      <c r="B612" s="320"/>
      <c r="C612" s="320"/>
      <c r="D612" s="320"/>
      <c r="E612" s="320"/>
      <c r="F612" s="320"/>
      <c r="G612" s="320"/>
      <c r="H612" s="320"/>
      <c r="I612" s="320"/>
      <c r="J612" s="320"/>
      <c r="K612" s="320"/>
      <c r="L612" s="320"/>
      <c r="M612" s="320"/>
      <c r="N612" s="320"/>
      <c r="O612" s="320"/>
      <c r="P612" s="320"/>
      <c r="Q612" s="320"/>
      <c r="R612" s="320"/>
      <c r="S612" s="320"/>
      <c r="T612" s="320"/>
      <c r="U612" s="320"/>
      <c r="V612" s="320"/>
      <c r="W612" s="320"/>
      <c r="X612" s="320"/>
      <c r="Y612" s="320"/>
      <c r="Z612" s="320"/>
    </row>
    <row r="613">
      <c r="A613" s="320"/>
      <c r="B613" s="320"/>
      <c r="C613" s="320"/>
      <c r="D613" s="320"/>
      <c r="E613" s="320"/>
      <c r="F613" s="320"/>
      <c r="G613" s="320"/>
      <c r="H613" s="320"/>
      <c r="I613" s="320"/>
      <c r="J613" s="320"/>
      <c r="K613" s="320"/>
      <c r="L613" s="320"/>
      <c r="M613" s="320"/>
      <c r="N613" s="320"/>
      <c r="O613" s="320"/>
      <c r="P613" s="320"/>
      <c r="Q613" s="320"/>
      <c r="R613" s="320"/>
      <c r="S613" s="320"/>
      <c r="T613" s="320"/>
      <c r="U613" s="320"/>
      <c r="V613" s="320"/>
      <c r="W613" s="320"/>
      <c r="X613" s="320"/>
      <c r="Y613" s="320"/>
      <c r="Z613" s="320"/>
    </row>
    <row r="614">
      <c r="A614" s="320"/>
      <c r="B614" s="320"/>
      <c r="C614" s="320"/>
      <c r="D614" s="320"/>
      <c r="E614" s="320"/>
      <c r="F614" s="320"/>
      <c r="G614" s="320"/>
      <c r="H614" s="320"/>
      <c r="I614" s="320"/>
      <c r="J614" s="320"/>
      <c r="K614" s="320"/>
      <c r="L614" s="320"/>
      <c r="M614" s="320"/>
      <c r="N614" s="320"/>
      <c r="O614" s="320"/>
      <c r="P614" s="320"/>
      <c r="Q614" s="320"/>
      <c r="R614" s="320"/>
      <c r="S614" s="320"/>
      <c r="T614" s="320"/>
      <c r="U614" s="320"/>
      <c r="V614" s="320"/>
      <c r="W614" s="320"/>
      <c r="X614" s="320"/>
      <c r="Y614" s="320"/>
      <c r="Z614" s="320"/>
    </row>
    <row r="615">
      <c r="A615" s="320"/>
      <c r="B615" s="320"/>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320"/>
      <c r="Z615" s="320"/>
    </row>
    <row r="616">
      <c r="A616" s="320"/>
      <c r="B616" s="320"/>
      <c r="C616" s="320"/>
      <c r="D616" s="320"/>
      <c r="E616" s="320"/>
      <c r="F616" s="320"/>
      <c r="G616" s="320"/>
      <c r="H616" s="320"/>
      <c r="I616" s="320"/>
      <c r="J616" s="320"/>
      <c r="K616" s="320"/>
      <c r="L616" s="320"/>
      <c r="M616" s="320"/>
      <c r="N616" s="320"/>
      <c r="O616" s="320"/>
      <c r="P616" s="320"/>
      <c r="Q616" s="320"/>
      <c r="R616" s="320"/>
      <c r="S616" s="320"/>
      <c r="T616" s="320"/>
      <c r="U616" s="320"/>
      <c r="V616" s="320"/>
      <c r="W616" s="320"/>
      <c r="X616" s="320"/>
      <c r="Y616" s="320"/>
      <c r="Z616" s="320"/>
    </row>
    <row r="617">
      <c r="A617" s="320"/>
      <c r="B617" s="320"/>
      <c r="C617" s="320"/>
      <c r="D617" s="320"/>
      <c r="E617" s="320"/>
      <c r="F617" s="320"/>
      <c r="G617" s="320"/>
      <c r="H617" s="320"/>
      <c r="I617" s="320"/>
      <c r="J617" s="320"/>
      <c r="K617" s="320"/>
      <c r="L617" s="320"/>
      <c r="M617" s="320"/>
      <c r="N617" s="320"/>
      <c r="O617" s="320"/>
      <c r="P617" s="320"/>
      <c r="Q617" s="320"/>
      <c r="R617" s="320"/>
      <c r="S617" s="320"/>
      <c r="T617" s="320"/>
      <c r="U617" s="320"/>
      <c r="V617" s="320"/>
      <c r="W617" s="320"/>
      <c r="X617" s="320"/>
      <c r="Y617" s="320"/>
      <c r="Z617" s="320"/>
    </row>
    <row r="618">
      <c r="A618" s="320"/>
      <c r="B618" s="320"/>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320"/>
      <c r="Z618" s="320"/>
    </row>
    <row r="619">
      <c r="A619" s="320"/>
      <c r="B619" s="320"/>
      <c r="C619" s="320"/>
      <c r="D619" s="320"/>
      <c r="E619" s="320"/>
      <c r="F619" s="320"/>
      <c r="G619" s="320"/>
      <c r="H619" s="320"/>
      <c r="I619" s="320"/>
      <c r="J619" s="320"/>
      <c r="K619" s="320"/>
      <c r="L619" s="320"/>
      <c r="M619" s="320"/>
      <c r="N619" s="320"/>
      <c r="O619" s="320"/>
      <c r="P619" s="320"/>
      <c r="Q619" s="320"/>
      <c r="R619" s="320"/>
      <c r="S619" s="320"/>
      <c r="T619" s="320"/>
      <c r="U619" s="320"/>
      <c r="V619" s="320"/>
      <c r="W619" s="320"/>
      <c r="X619" s="320"/>
      <c r="Y619" s="320"/>
      <c r="Z619" s="320"/>
    </row>
    <row r="620">
      <c r="A620" s="320"/>
      <c r="B620" s="320"/>
      <c r="C620" s="320"/>
      <c r="D620" s="320"/>
      <c r="E620" s="320"/>
      <c r="F620" s="320"/>
      <c r="G620" s="320"/>
      <c r="H620" s="320"/>
      <c r="I620" s="320"/>
      <c r="J620" s="320"/>
      <c r="K620" s="320"/>
      <c r="L620" s="320"/>
      <c r="M620" s="320"/>
      <c r="N620" s="320"/>
      <c r="O620" s="320"/>
      <c r="P620" s="320"/>
      <c r="Q620" s="320"/>
      <c r="R620" s="320"/>
      <c r="S620" s="320"/>
      <c r="T620" s="320"/>
      <c r="U620" s="320"/>
      <c r="V620" s="320"/>
      <c r="W620" s="320"/>
      <c r="X620" s="320"/>
      <c r="Y620" s="320"/>
      <c r="Z620" s="320"/>
    </row>
    <row r="621">
      <c r="A621" s="320"/>
      <c r="B621" s="320"/>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320"/>
      <c r="Z621" s="320"/>
    </row>
    <row r="622">
      <c r="A622" s="320"/>
      <c r="B622" s="320"/>
      <c r="C622" s="320"/>
      <c r="D622" s="320"/>
      <c r="E622" s="320"/>
      <c r="F622" s="320"/>
      <c r="G622" s="320"/>
      <c r="H622" s="320"/>
      <c r="I622" s="320"/>
      <c r="J622" s="320"/>
      <c r="K622" s="320"/>
      <c r="L622" s="320"/>
      <c r="M622" s="320"/>
      <c r="N622" s="320"/>
      <c r="O622" s="320"/>
      <c r="P622" s="320"/>
      <c r="Q622" s="320"/>
      <c r="R622" s="320"/>
      <c r="S622" s="320"/>
      <c r="T622" s="320"/>
      <c r="U622" s="320"/>
      <c r="V622" s="320"/>
      <c r="W622" s="320"/>
      <c r="X622" s="320"/>
      <c r="Y622" s="320"/>
      <c r="Z622" s="320"/>
    </row>
    <row r="623">
      <c r="A623" s="320"/>
      <c r="B623" s="320"/>
      <c r="C623" s="320"/>
      <c r="D623" s="320"/>
      <c r="E623" s="320"/>
      <c r="F623" s="320"/>
      <c r="G623" s="320"/>
      <c r="H623" s="320"/>
      <c r="I623" s="320"/>
      <c r="J623" s="320"/>
      <c r="K623" s="320"/>
      <c r="L623" s="320"/>
      <c r="M623" s="320"/>
      <c r="N623" s="320"/>
      <c r="O623" s="320"/>
      <c r="P623" s="320"/>
      <c r="Q623" s="320"/>
      <c r="R623" s="320"/>
      <c r="S623" s="320"/>
      <c r="T623" s="320"/>
      <c r="U623" s="320"/>
      <c r="V623" s="320"/>
      <c r="W623" s="320"/>
      <c r="X623" s="320"/>
      <c r="Y623" s="320"/>
      <c r="Z623" s="320"/>
    </row>
    <row r="624">
      <c r="A624" s="320"/>
      <c r="B624" s="320"/>
      <c r="C624" s="320"/>
      <c r="D624" s="320"/>
      <c r="E624" s="320"/>
      <c r="F624" s="320"/>
      <c r="G624" s="320"/>
      <c r="H624" s="320"/>
      <c r="I624" s="320"/>
      <c r="J624" s="320"/>
      <c r="K624" s="320"/>
      <c r="L624" s="320"/>
      <c r="M624" s="320"/>
      <c r="N624" s="320"/>
      <c r="O624" s="320"/>
      <c r="P624" s="320"/>
      <c r="Q624" s="320"/>
      <c r="R624" s="320"/>
      <c r="S624" s="320"/>
      <c r="T624" s="320"/>
      <c r="U624" s="320"/>
      <c r="V624" s="320"/>
      <c r="W624" s="320"/>
      <c r="X624" s="320"/>
      <c r="Y624" s="320"/>
      <c r="Z624" s="320"/>
    </row>
    <row r="625">
      <c r="A625" s="320"/>
      <c r="B625" s="320"/>
      <c r="C625" s="320"/>
      <c r="D625" s="320"/>
      <c r="E625" s="320"/>
      <c r="F625" s="320"/>
      <c r="G625" s="320"/>
      <c r="H625" s="320"/>
      <c r="I625" s="320"/>
      <c r="J625" s="320"/>
      <c r="K625" s="320"/>
      <c r="L625" s="320"/>
      <c r="M625" s="320"/>
      <c r="N625" s="320"/>
      <c r="O625" s="320"/>
      <c r="P625" s="320"/>
      <c r="Q625" s="320"/>
      <c r="R625" s="320"/>
      <c r="S625" s="320"/>
      <c r="T625" s="320"/>
      <c r="U625" s="320"/>
      <c r="V625" s="320"/>
      <c r="W625" s="320"/>
      <c r="X625" s="320"/>
      <c r="Y625" s="320"/>
      <c r="Z625" s="320"/>
    </row>
    <row r="626">
      <c r="A626" s="320"/>
      <c r="B626" s="320"/>
      <c r="C626" s="320"/>
      <c r="D626" s="320"/>
      <c r="E626" s="320"/>
      <c r="F626" s="320"/>
      <c r="G626" s="320"/>
      <c r="H626" s="320"/>
      <c r="I626" s="320"/>
      <c r="J626" s="320"/>
      <c r="K626" s="320"/>
      <c r="L626" s="320"/>
      <c r="M626" s="320"/>
      <c r="N626" s="320"/>
      <c r="O626" s="320"/>
      <c r="P626" s="320"/>
      <c r="Q626" s="320"/>
      <c r="R626" s="320"/>
      <c r="S626" s="320"/>
      <c r="T626" s="320"/>
      <c r="U626" s="320"/>
      <c r="V626" s="320"/>
      <c r="W626" s="320"/>
      <c r="X626" s="320"/>
      <c r="Y626" s="320"/>
      <c r="Z626" s="320"/>
    </row>
    <row r="627">
      <c r="A627" s="320"/>
      <c r="B627" s="320"/>
      <c r="C627" s="320"/>
      <c r="D627" s="320"/>
      <c r="E627" s="320"/>
      <c r="F627" s="320"/>
      <c r="G627" s="320"/>
      <c r="H627" s="320"/>
      <c r="I627" s="320"/>
      <c r="J627" s="320"/>
      <c r="K627" s="320"/>
      <c r="L627" s="320"/>
      <c r="M627" s="320"/>
      <c r="N627" s="320"/>
      <c r="O627" s="320"/>
      <c r="P627" s="320"/>
      <c r="Q627" s="320"/>
      <c r="R627" s="320"/>
      <c r="S627" s="320"/>
      <c r="T627" s="320"/>
      <c r="U627" s="320"/>
      <c r="V627" s="320"/>
      <c r="W627" s="320"/>
      <c r="X627" s="320"/>
      <c r="Y627" s="320"/>
      <c r="Z627" s="320"/>
    </row>
    <row r="628">
      <c r="A628" s="320"/>
      <c r="B628" s="320"/>
      <c r="C628" s="320"/>
      <c r="D628" s="320"/>
      <c r="E628" s="320"/>
      <c r="F628" s="320"/>
      <c r="G628" s="320"/>
      <c r="H628" s="320"/>
      <c r="I628" s="320"/>
      <c r="J628" s="320"/>
      <c r="K628" s="320"/>
      <c r="L628" s="320"/>
      <c r="M628" s="320"/>
      <c r="N628" s="320"/>
      <c r="O628" s="320"/>
      <c r="P628" s="320"/>
      <c r="Q628" s="320"/>
      <c r="R628" s="320"/>
      <c r="S628" s="320"/>
      <c r="T628" s="320"/>
      <c r="U628" s="320"/>
      <c r="V628" s="320"/>
      <c r="W628" s="320"/>
      <c r="X628" s="320"/>
      <c r="Y628" s="320"/>
      <c r="Z628" s="320"/>
    </row>
    <row r="629">
      <c r="A629" s="320"/>
      <c r="B629" s="320"/>
      <c r="C629" s="320"/>
      <c r="D629" s="320"/>
      <c r="E629" s="320"/>
      <c r="F629" s="320"/>
      <c r="G629" s="320"/>
      <c r="H629" s="320"/>
      <c r="I629" s="320"/>
      <c r="J629" s="320"/>
      <c r="K629" s="320"/>
      <c r="L629" s="320"/>
      <c r="M629" s="320"/>
      <c r="N629" s="320"/>
      <c r="O629" s="320"/>
      <c r="P629" s="320"/>
      <c r="Q629" s="320"/>
      <c r="R629" s="320"/>
      <c r="S629" s="320"/>
      <c r="T629" s="320"/>
      <c r="U629" s="320"/>
      <c r="V629" s="320"/>
      <c r="W629" s="320"/>
      <c r="X629" s="320"/>
      <c r="Y629" s="320"/>
      <c r="Z629" s="320"/>
    </row>
    <row r="630">
      <c r="A630" s="320"/>
      <c r="B630" s="320"/>
      <c r="C630" s="320"/>
      <c r="D630" s="320"/>
      <c r="E630" s="320"/>
      <c r="F630" s="320"/>
      <c r="G630" s="320"/>
      <c r="H630" s="320"/>
      <c r="I630" s="320"/>
      <c r="J630" s="320"/>
      <c r="K630" s="320"/>
      <c r="L630" s="320"/>
      <c r="M630" s="320"/>
      <c r="N630" s="320"/>
      <c r="O630" s="320"/>
      <c r="P630" s="320"/>
      <c r="Q630" s="320"/>
      <c r="R630" s="320"/>
      <c r="S630" s="320"/>
      <c r="T630" s="320"/>
      <c r="U630" s="320"/>
      <c r="V630" s="320"/>
      <c r="W630" s="320"/>
      <c r="X630" s="320"/>
      <c r="Y630" s="320"/>
      <c r="Z630" s="320"/>
    </row>
    <row r="631">
      <c r="A631" s="320"/>
      <c r="B631" s="320"/>
      <c r="C631" s="320"/>
      <c r="D631" s="320"/>
      <c r="E631" s="320"/>
      <c r="F631" s="320"/>
      <c r="G631" s="320"/>
      <c r="H631" s="320"/>
      <c r="I631" s="320"/>
      <c r="J631" s="320"/>
      <c r="K631" s="320"/>
      <c r="L631" s="320"/>
      <c r="M631" s="320"/>
      <c r="N631" s="320"/>
      <c r="O631" s="320"/>
      <c r="P631" s="320"/>
      <c r="Q631" s="320"/>
      <c r="R631" s="320"/>
      <c r="S631" s="320"/>
      <c r="T631" s="320"/>
      <c r="U631" s="320"/>
      <c r="V631" s="320"/>
      <c r="W631" s="320"/>
      <c r="X631" s="320"/>
      <c r="Y631" s="320"/>
      <c r="Z631" s="320"/>
    </row>
    <row r="632">
      <c r="A632" s="320"/>
      <c r="B632" s="320"/>
      <c r="C632" s="320"/>
      <c r="D632" s="320"/>
      <c r="E632" s="320"/>
      <c r="F632" s="320"/>
      <c r="G632" s="320"/>
      <c r="H632" s="320"/>
      <c r="I632" s="320"/>
      <c r="J632" s="320"/>
      <c r="K632" s="320"/>
      <c r="L632" s="320"/>
      <c r="M632" s="320"/>
      <c r="N632" s="320"/>
      <c r="O632" s="320"/>
      <c r="P632" s="320"/>
      <c r="Q632" s="320"/>
      <c r="R632" s="320"/>
      <c r="S632" s="320"/>
      <c r="T632" s="320"/>
      <c r="U632" s="320"/>
      <c r="V632" s="320"/>
      <c r="W632" s="320"/>
      <c r="X632" s="320"/>
      <c r="Y632" s="320"/>
      <c r="Z632" s="320"/>
    </row>
    <row r="633">
      <c r="A633" s="320"/>
      <c r="B633" s="320"/>
      <c r="C633" s="320"/>
      <c r="D633" s="320"/>
      <c r="E633" s="320"/>
      <c r="F633" s="320"/>
      <c r="G633" s="320"/>
      <c r="H633" s="320"/>
      <c r="I633" s="320"/>
      <c r="J633" s="320"/>
      <c r="K633" s="320"/>
      <c r="L633" s="320"/>
      <c r="M633" s="320"/>
      <c r="N633" s="320"/>
      <c r="O633" s="320"/>
      <c r="P633" s="320"/>
      <c r="Q633" s="320"/>
      <c r="R633" s="320"/>
      <c r="S633" s="320"/>
      <c r="T633" s="320"/>
      <c r="U633" s="320"/>
      <c r="V633" s="320"/>
      <c r="W633" s="320"/>
      <c r="X633" s="320"/>
      <c r="Y633" s="320"/>
      <c r="Z633" s="320"/>
    </row>
    <row r="634">
      <c r="A634" s="320"/>
      <c r="B634" s="320"/>
      <c r="C634" s="320"/>
      <c r="D634" s="320"/>
      <c r="E634" s="320"/>
      <c r="F634" s="320"/>
      <c r="G634" s="320"/>
      <c r="H634" s="320"/>
      <c r="I634" s="320"/>
      <c r="J634" s="320"/>
      <c r="K634" s="320"/>
      <c r="L634" s="320"/>
      <c r="M634" s="320"/>
      <c r="N634" s="320"/>
      <c r="O634" s="320"/>
      <c r="P634" s="320"/>
      <c r="Q634" s="320"/>
      <c r="R634" s="320"/>
      <c r="S634" s="320"/>
      <c r="T634" s="320"/>
      <c r="U634" s="320"/>
      <c r="V634" s="320"/>
      <c r="W634" s="320"/>
      <c r="X634" s="320"/>
      <c r="Y634" s="320"/>
      <c r="Z634" s="320"/>
    </row>
    <row r="635">
      <c r="A635" s="320"/>
      <c r="B635" s="320"/>
      <c r="C635" s="320"/>
      <c r="D635" s="320"/>
      <c r="E635" s="320"/>
      <c r="F635" s="320"/>
      <c r="G635" s="320"/>
      <c r="H635" s="320"/>
      <c r="I635" s="320"/>
      <c r="J635" s="320"/>
      <c r="K635" s="320"/>
      <c r="L635" s="320"/>
      <c r="M635" s="320"/>
      <c r="N635" s="320"/>
      <c r="O635" s="320"/>
      <c r="P635" s="320"/>
      <c r="Q635" s="320"/>
      <c r="R635" s="320"/>
      <c r="S635" s="320"/>
      <c r="T635" s="320"/>
      <c r="U635" s="320"/>
      <c r="V635" s="320"/>
      <c r="W635" s="320"/>
      <c r="X635" s="320"/>
      <c r="Y635" s="320"/>
      <c r="Z635" s="320"/>
    </row>
    <row r="636">
      <c r="A636" s="320"/>
      <c r="B636" s="320"/>
      <c r="C636" s="320"/>
      <c r="D636" s="320"/>
      <c r="E636" s="320"/>
      <c r="F636" s="320"/>
      <c r="G636" s="320"/>
      <c r="H636" s="320"/>
      <c r="I636" s="320"/>
      <c r="J636" s="320"/>
      <c r="K636" s="320"/>
      <c r="L636" s="320"/>
      <c r="M636" s="320"/>
      <c r="N636" s="320"/>
      <c r="O636" s="320"/>
      <c r="P636" s="320"/>
      <c r="Q636" s="320"/>
      <c r="R636" s="320"/>
      <c r="S636" s="320"/>
      <c r="T636" s="320"/>
      <c r="U636" s="320"/>
      <c r="V636" s="320"/>
      <c r="W636" s="320"/>
      <c r="X636" s="320"/>
      <c r="Y636" s="320"/>
      <c r="Z636" s="320"/>
    </row>
    <row r="637">
      <c r="A637" s="320"/>
      <c r="B637" s="320"/>
      <c r="C637" s="320"/>
      <c r="D637" s="320"/>
      <c r="E637" s="320"/>
      <c r="F637" s="320"/>
      <c r="G637" s="320"/>
      <c r="H637" s="320"/>
      <c r="I637" s="320"/>
      <c r="J637" s="320"/>
      <c r="K637" s="320"/>
      <c r="L637" s="320"/>
      <c r="M637" s="320"/>
      <c r="N637" s="320"/>
      <c r="O637" s="320"/>
      <c r="P637" s="320"/>
      <c r="Q637" s="320"/>
      <c r="R637" s="320"/>
      <c r="S637" s="320"/>
      <c r="T637" s="320"/>
      <c r="U637" s="320"/>
      <c r="V637" s="320"/>
      <c r="W637" s="320"/>
      <c r="X637" s="320"/>
      <c r="Y637" s="320"/>
      <c r="Z637" s="320"/>
    </row>
    <row r="638">
      <c r="A638" s="320"/>
      <c r="B638" s="320"/>
      <c r="C638" s="320"/>
      <c r="D638" s="320"/>
      <c r="E638" s="320"/>
      <c r="F638" s="320"/>
      <c r="G638" s="320"/>
      <c r="H638" s="320"/>
      <c r="I638" s="320"/>
      <c r="J638" s="320"/>
      <c r="K638" s="320"/>
      <c r="L638" s="320"/>
      <c r="M638" s="320"/>
      <c r="N638" s="320"/>
      <c r="O638" s="320"/>
      <c r="P638" s="320"/>
      <c r="Q638" s="320"/>
      <c r="R638" s="320"/>
      <c r="S638" s="320"/>
      <c r="T638" s="320"/>
      <c r="U638" s="320"/>
      <c r="V638" s="320"/>
      <c r="W638" s="320"/>
      <c r="X638" s="320"/>
      <c r="Y638" s="320"/>
      <c r="Z638" s="320"/>
    </row>
    <row r="639">
      <c r="A639" s="320"/>
      <c r="B639" s="320"/>
      <c r="C639" s="320"/>
      <c r="D639" s="320"/>
      <c r="E639" s="320"/>
      <c r="F639" s="320"/>
      <c r="G639" s="320"/>
      <c r="H639" s="320"/>
      <c r="I639" s="320"/>
      <c r="J639" s="320"/>
      <c r="K639" s="320"/>
      <c r="L639" s="320"/>
      <c r="M639" s="320"/>
      <c r="N639" s="320"/>
      <c r="O639" s="320"/>
      <c r="P639" s="320"/>
      <c r="Q639" s="320"/>
      <c r="R639" s="320"/>
      <c r="S639" s="320"/>
      <c r="T639" s="320"/>
      <c r="U639" s="320"/>
      <c r="V639" s="320"/>
      <c r="W639" s="320"/>
      <c r="X639" s="320"/>
      <c r="Y639" s="320"/>
      <c r="Z639" s="320"/>
    </row>
    <row r="640">
      <c r="A640" s="320"/>
      <c r="B640" s="320"/>
      <c r="C640" s="320"/>
      <c r="D640" s="320"/>
      <c r="E640" s="320"/>
      <c r="F640" s="320"/>
      <c r="G640" s="320"/>
      <c r="H640" s="320"/>
      <c r="I640" s="320"/>
      <c r="J640" s="320"/>
      <c r="K640" s="320"/>
      <c r="L640" s="320"/>
      <c r="M640" s="320"/>
      <c r="N640" s="320"/>
      <c r="O640" s="320"/>
      <c r="P640" s="320"/>
      <c r="Q640" s="320"/>
      <c r="R640" s="320"/>
      <c r="S640" s="320"/>
      <c r="T640" s="320"/>
      <c r="U640" s="320"/>
      <c r="V640" s="320"/>
      <c r="W640" s="320"/>
      <c r="X640" s="320"/>
      <c r="Y640" s="320"/>
      <c r="Z640" s="320"/>
    </row>
    <row r="641">
      <c r="A641" s="320"/>
      <c r="B641" s="320"/>
      <c r="C641" s="320"/>
      <c r="D641" s="320"/>
      <c r="E641" s="320"/>
      <c r="F641" s="320"/>
      <c r="G641" s="320"/>
      <c r="H641" s="320"/>
      <c r="I641" s="320"/>
      <c r="J641" s="320"/>
      <c r="K641" s="320"/>
      <c r="L641" s="320"/>
      <c r="M641" s="320"/>
      <c r="N641" s="320"/>
      <c r="O641" s="320"/>
      <c r="P641" s="320"/>
      <c r="Q641" s="320"/>
      <c r="R641" s="320"/>
      <c r="S641" s="320"/>
      <c r="T641" s="320"/>
      <c r="U641" s="320"/>
      <c r="V641" s="320"/>
      <c r="W641" s="320"/>
      <c r="X641" s="320"/>
      <c r="Y641" s="320"/>
      <c r="Z641" s="320"/>
    </row>
    <row r="642">
      <c r="A642" s="320"/>
      <c r="B642" s="320"/>
      <c r="C642" s="320"/>
      <c r="D642" s="320"/>
      <c r="E642" s="320"/>
      <c r="F642" s="320"/>
      <c r="G642" s="320"/>
      <c r="H642" s="320"/>
      <c r="I642" s="320"/>
      <c r="J642" s="320"/>
      <c r="K642" s="320"/>
      <c r="L642" s="320"/>
      <c r="M642" s="320"/>
      <c r="N642" s="320"/>
      <c r="O642" s="320"/>
      <c r="P642" s="320"/>
      <c r="Q642" s="320"/>
      <c r="R642" s="320"/>
      <c r="S642" s="320"/>
      <c r="T642" s="320"/>
      <c r="U642" s="320"/>
      <c r="V642" s="320"/>
      <c r="W642" s="320"/>
      <c r="X642" s="320"/>
      <c r="Y642" s="320"/>
      <c r="Z642" s="320"/>
    </row>
    <row r="643">
      <c r="A643" s="320"/>
      <c r="B643" s="320"/>
      <c r="C643" s="320"/>
      <c r="D643" s="320"/>
      <c r="E643" s="320"/>
      <c r="F643" s="320"/>
      <c r="G643" s="320"/>
      <c r="H643" s="320"/>
      <c r="I643" s="320"/>
      <c r="J643" s="320"/>
      <c r="K643" s="320"/>
      <c r="L643" s="320"/>
      <c r="M643" s="320"/>
      <c r="N643" s="320"/>
      <c r="O643" s="320"/>
      <c r="P643" s="320"/>
      <c r="Q643" s="320"/>
      <c r="R643" s="320"/>
      <c r="S643" s="320"/>
      <c r="T643" s="320"/>
      <c r="U643" s="320"/>
      <c r="V643" s="320"/>
      <c r="W643" s="320"/>
      <c r="X643" s="320"/>
      <c r="Y643" s="320"/>
      <c r="Z643" s="320"/>
    </row>
    <row r="644">
      <c r="A644" s="320"/>
      <c r="B644" s="320"/>
      <c r="C644" s="320"/>
      <c r="D644" s="320"/>
      <c r="E644" s="320"/>
      <c r="F644" s="320"/>
      <c r="G644" s="320"/>
      <c r="H644" s="320"/>
      <c r="I644" s="320"/>
      <c r="J644" s="320"/>
      <c r="K644" s="320"/>
      <c r="L644" s="320"/>
      <c r="M644" s="320"/>
      <c r="N644" s="320"/>
      <c r="O644" s="320"/>
      <c r="P644" s="320"/>
      <c r="Q644" s="320"/>
      <c r="R644" s="320"/>
      <c r="S644" s="320"/>
      <c r="T644" s="320"/>
      <c r="U644" s="320"/>
      <c r="V644" s="320"/>
      <c r="W644" s="320"/>
      <c r="X644" s="320"/>
      <c r="Y644" s="320"/>
      <c r="Z644" s="320"/>
    </row>
    <row r="645">
      <c r="A645" s="320"/>
      <c r="B645" s="320"/>
      <c r="C645" s="320"/>
      <c r="D645" s="320"/>
      <c r="E645" s="320"/>
      <c r="F645" s="320"/>
      <c r="G645" s="320"/>
      <c r="H645" s="320"/>
      <c r="I645" s="320"/>
      <c r="J645" s="320"/>
      <c r="K645" s="320"/>
      <c r="L645" s="320"/>
      <c r="M645" s="320"/>
      <c r="N645" s="320"/>
      <c r="O645" s="320"/>
      <c r="P645" s="320"/>
      <c r="Q645" s="320"/>
      <c r="R645" s="320"/>
      <c r="S645" s="320"/>
      <c r="T645" s="320"/>
      <c r="U645" s="320"/>
      <c r="V645" s="320"/>
      <c r="W645" s="320"/>
      <c r="X645" s="320"/>
      <c r="Y645" s="320"/>
      <c r="Z645" s="320"/>
    </row>
    <row r="646">
      <c r="A646" s="320"/>
      <c r="B646" s="320"/>
      <c r="C646" s="320"/>
      <c r="D646" s="320"/>
      <c r="E646" s="320"/>
      <c r="F646" s="320"/>
      <c r="G646" s="320"/>
      <c r="H646" s="320"/>
      <c r="I646" s="320"/>
      <c r="J646" s="320"/>
      <c r="K646" s="320"/>
      <c r="L646" s="320"/>
      <c r="M646" s="320"/>
      <c r="N646" s="320"/>
      <c r="O646" s="320"/>
      <c r="P646" s="320"/>
      <c r="Q646" s="320"/>
      <c r="R646" s="320"/>
      <c r="S646" s="320"/>
      <c r="T646" s="320"/>
      <c r="U646" s="320"/>
      <c r="V646" s="320"/>
      <c r="W646" s="320"/>
      <c r="X646" s="320"/>
      <c r="Y646" s="320"/>
      <c r="Z646" s="320"/>
    </row>
    <row r="647">
      <c r="A647" s="320"/>
      <c r="B647" s="320"/>
      <c r="C647" s="320"/>
      <c r="D647" s="320"/>
      <c r="E647" s="320"/>
      <c r="F647" s="320"/>
      <c r="G647" s="320"/>
      <c r="H647" s="320"/>
      <c r="I647" s="320"/>
      <c r="J647" s="320"/>
      <c r="K647" s="320"/>
      <c r="L647" s="320"/>
      <c r="M647" s="320"/>
      <c r="N647" s="320"/>
      <c r="O647" s="320"/>
      <c r="P647" s="320"/>
      <c r="Q647" s="320"/>
      <c r="R647" s="320"/>
      <c r="S647" s="320"/>
      <c r="T647" s="320"/>
      <c r="U647" s="320"/>
      <c r="V647" s="320"/>
      <c r="W647" s="320"/>
      <c r="X647" s="320"/>
      <c r="Y647" s="320"/>
      <c r="Z647" s="320"/>
    </row>
    <row r="648">
      <c r="A648" s="320"/>
      <c r="B648" s="320"/>
      <c r="C648" s="320"/>
      <c r="D648" s="320"/>
      <c r="E648" s="320"/>
      <c r="F648" s="320"/>
      <c r="G648" s="320"/>
      <c r="H648" s="320"/>
      <c r="I648" s="320"/>
      <c r="J648" s="320"/>
      <c r="K648" s="320"/>
      <c r="L648" s="320"/>
      <c r="M648" s="320"/>
      <c r="N648" s="320"/>
      <c r="O648" s="320"/>
      <c r="P648" s="320"/>
      <c r="Q648" s="320"/>
      <c r="R648" s="320"/>
      <c r="S648" s="320"/>
      <c r="T648" s="320"/>
      <c r="U648" s="320"/>
      <c r="V648" s="320"/>
      <c r="W648" s="320"/>
      <c r="X648" s="320"/>
      <c r="Y648" s="320"/>
      <c r="Z648" s="320"/>
    </row>
    <row r="649">
      <c r="A649" s="320"/>
      <c r="B649" s="320"/>
      <c r="C649" s="320"/>
      <c r="D649" s="320"/>
      <c r="E649" s="320"/>
      <c r="F649" s="320"/>
      <c r="G649" s="320"/>
      <c r="H649" s="320"/>
      <c r="I649" s="320"/>
      <c r="J649" s="320"/>
      <c r="K649" s="320"/>
      <c r="L649" s="320"/>
      <c r="M649" s="320"/>
      <c r="N649" s="320"/>
      <c r="O649" s="320"/>
      <c r="P649" s="320"/>
      <c r="Q649" s="320"/>
      <c r="R649" s="320"/>
      <c r="S649" s="320"/>
      <c r="T649" s="320"/>
      <c r="U649" s="320"/>
      <c r="V649" s="320"/>
      <c r="W649" s="320"/>
      <c r="X649" s="320"/>
      <c r="Y649" s="320"/>
      <c r="Z649" s="320"/>
    </row>
    <row r="650">
      <c r="A650" s="320"/>
      <c r="B650" s="320"/>
      <c r="C650" s="320"/>
      <c r="D650" s="320"/>
      <c r="E650" s="320"/>
      <c r="F650" s="320"/>
      <c r="G650" s="320"/>
      <c r="H650" s="320"/>
      <c r="I650" s="320"/>
      <c r="J650" s="320"/>
      <c r="K650" s="320"/>
      <c r="L650" s="320"/>
      <c r="M650" s="320"/>
      <c r="N650" s="320"/>
      <c r="O650" s="320"/>
      <c r="P650" s="320"/>
      <c r="Q650" s="320"/>
      <c r="R650" s="320"/>
      <c r="S650" s="320"/>
      <c r="T650" s="320"/>
      <c r="U650" s="320"/>
      <c r="V650" s="320"/>
      <c r="W650" s="320"/>
      <c r="X650" s="320"/>
      <c r="Y650" s="320"/>
      <c r="Z650" s="320"/>
    </row>
    <row r="651">
      <c r="A651" s="320"/>
      <c r="B651" s="320"/>
      <c r="C651" s="320"/>
      <c r="D651" s="320"/>
      <c r="E651" s="320"/>
      <c r="F651" s="320"/>
      <c r="G651" s="320"/>
      <c r="H651" s="320"/>
      <c r="I651" s="320"/>
      <c r="J651" s="320"/>
      <c r="K651" s="320"/>
      <c r="L651" s="320"/>
      <c r="M651" s="320"/>
      <c r="N651" s="320"/>
      <c r="O651" s="320"/>
      <c r="P651" s="320"/>
      <c r="Q651" s="320"/>
      <c r="R651" s="320"/>
      <c r="S651" s="320"/>
      <c r="T651" s="320"/>
      <c r="U651" s="320"/>
      <c r="V651" s="320"/>
      <c r="W651" s="320"/>
      <c r="X651" s="320"/>
      <c r="Y651" s="320"/>
      <c r="Z651" s="320"/>
    </row>
    <row r="652">
      <c r="A652" s="320"/>
      <c r="B652" s="320"/>
      <c r="C652" s="320"/>
      <c r="D652" s="320"/>
      <c r="E652" s="320"/>
      <c r="F652" s="320"/>
      <c r="G652" s="320"/>
      <c r="H652" s="320"/>
      <c r="I652" s="320"/>
      <c r="J652" s="320"/>
      <c r="K652" s="320"/>
      <c r="L652" s="320"/>
      <c r="M652" s="320"/>
      <c r="N652" s="320"/>
      <c r="O652" s="320"/>
      <c r="P652" s="320"/>
      <c r="Q652" s="320"/>
      <c r="R652" s="320"/>
      <c r="S652" s="320"/>
      <c r="T652" s="320"/>
      <c r="U652" s="320"/>
      <c r="V652" s="320"/>
      <c r="W652" s="320"/>
      <c r="X652" s="320"/>
      <c r="Y652" s="320"/>
      <c r="Z652" s="320"/>
    </row>
    <row r="653">
      <c r="A653" s="320"/>
      <c r="B653" s="320"/>
      <c r="C653" s="320"/>
      <c r="D653" s="320"/>
      <c r="E653" s="320"/>
      <c r="F653" s="320"/>
      <c r="G653" s="320"/>
      <c r="H653" s="320"/>
      <c r="I653" s="320"/>
      <c r="J653" s="320"/>
      <c r="K653" s="320"/>
      <c r="L653" s="320"/>
      <c r="M653" s="320"/>
      <c r="N653" s="320"/>
      <c r="O653" s="320"/>
      <c r="P653" s="320"/>
      <c r="Q653" s="320"/>
      <c r="R653" s="320"/>
      <c r="S653" s="320"/>
      <c r="T653" s="320"/>
      <c r="U653" s="320"/>
      <c r="V653" s="320"/>
      <c r="W653" s="320"/>
      <c r="X653" s="320"/>
      <c r="Y653" s="320"/>
      <c r="Z653" s="320"/>
    </row>
    <row r="654">
      <c r="A654" s="320"/>
      <c r="B654" s="320"/>
      <c r="C654" s="320"/>
      <c r="D654" s="320"/>
      <c r="E654" s="320"/>
      <c r="F654" s="320"/>
      <c r="G654" s="320"/>
      <c r="H654" s="320"/>
      <c r="I654" s="320"/>
      <c r="J654" s="320"/>
      <c r="K654" s="320"/>
      <c r="L654" s="320"/>
      <c r="M654" s="320"/>
      <c r="N654" s="320"/>
      <c r="O654" s="320"/>
      <c r="P654" s="320"/>
      <c r="Q654" s="320"/>
      <c r="R654" s="320"/>
      <c r="S654" s="320"/>
      <c r="T654" s="320"/>
      <c r="U654" s="320"/>
      <c r="V654" s="320"/>
      <c r="W654" s="320"/>
      <c r="X654" s="320"/>
      <c r="Y654" s="320"/>
      <c r="Z654" s="320"/>
    </row>
    <row r="655">
      <c r="A655" s="320"/>
      <c r="B655" s="320"/>
      <c r="C655" s="320"/>
      <c r="D655" s="320"/>
      <c r="E655" s="320"/>
      <c r="F655" s="320"/>
      <c r="G655" s="320"/>
      <c r="H655" s="320"/>
      <c r="I655" s="320"/>
      <c r="J655" s="320"/>
      <c r="K655" s="320"/>
      <c r="L655" s="320"/>
      <c r="M655" s="320"/>
      <c r="N655" s="320"/>
      <c r="O655" s="320"/>
      <c r="P655" s="320"/>
      <c r="Q655" s="320"/>
      <c r="R655" s="320"/>
      <c r="S655" s="320"/>
      <c r="T655" s="320"/>
      <c r="U655" s="320"/>
      <c r="V655" s="320"/>
      <c r="W655" s="320"/>
      <c r="X655" s="320"/>
      <c r="Y655" s="320"/>
      <c r="Z655" s="320"/>
    </row>
    <row r="656">
      <c r="A656" s="320"/>
      <c r="B656" s="320"/>
      <c r="C656" s="320"/>
      <c r="D656" s="320"/>
      <c r="E656" s="320"/>
      <c r="F656" s="320"/>
      <c r="G656" s="320"/>
      <c r="H656" s="320"/>
      <c r="I656" s="320"/>
      <c r="J656" s="320"/>
      <c r="K656" s="320"/>
      <c r="L656" s="320"/>
      <c r="M656" s="320"/>
      <c r="N656" s="320"/>
      <c r="O656" s="320"/>
      <c r="P656" s="320"/>
      <c r="Q656" s="320"/>
      <c r="R656" s="320"/>
      <c r="S656" s="320"/>
      <c r="T656" s="320"/>
      <c r="U656" s="320"/>
      <c r="V656" s="320"/>
      <c r="W656" s="320"/>
      <c r="X656" s="320"/>
      <c r="Y656" s="320"/>
      <c r="Z656" s="320"/>
    </row>
    <row r="657">
      <c r="A657" s="320"/>
      <c r="B657" s="320"/>
      <c r="C657" s="320"/>
      <c r="D657" s="320"/>
      <c r="E657" s="320"/>
      <c r="F657" s="320"/>
      <c r="G657" s="320"/>
      <c r="H657" s="320"/>
      <c r="I657" s="320"/>
      <c r="J657" s="320"/>
      <c r="K657" s="320"/>
      <c r="L657" s="320"/>
      <c r="M657" s="320"/>
      <c r="N657" s="320"/>
      <c r="O657" s="320"/>
      <c r="P657" s="320"/>
      <c r="Q657" s="320"/>
      <c r="R657" s="320"/>
      <c r="S657" s="320"/>
      <c r="T657" s="320"/>
      <c r="U657" s="320"/>
      <c r="V657" s="320"/>
      <c r="W657" s="320"/>
      <c r="X657" s="320"/>
      <c r="Y657" s="320"/>
      <c r="Z657" s="320"/>
    </row>
    <row r="658">
      <c r="A658" s="320"/>
      <c r="B658" s="320"/>
      <c r="C658" s="320"/>
      <c r="D658" s="320"/>
      <c r="E658" s="320"/>
      <c r="F658" s="320"/>
      <c r="G658" s="320"/>
      <c r="H658" s="320"/>
      <c r="I658" s="320"/>
      <c r="J658" s="320"/>
      <c r="K658" s="320"/>
      <c r="L658" s="320"/>
      <c r="M658" s="320"/>
      <c r="N658" s="320"/>
      <c r="O658" s="320"/>
      <c r="P658" s="320"/>
      <c r="Q658" s="320"/>
      <c r="R658" s="320"/>
      <c r="S658" s="320"/>
      <c r="T658" s="320"/>
      <c r="U658" s="320"/>
      <c r="V658" s="320"/>
      <c r="W658" s="320"/>
      <c r="X658" s="320"/>
      <c r="Y658" s="320"/>
      <c r="Z658" s="320"/>
    </row>
    <row r="659">
      <c r="A659" s="320"/>
      <c r="B659" s="320"/>
      <c r="C659" s="320"/>
      <c r="D659" s="320"/>
      <c r="E659" s="320"/>
      <c r="F659" s="320"/>
      <c r="G659" s="320"/>
      <c r="H659" s="320"/>
      <c r="I659" s="320"/>
      <c r="J659" s="320"/>
      <c r="K659" s="320"/>
      <c r="L659" s="320"/>
      <c r="M659" s="320"/>
      <c r="N659" s="320"/>
      <c r="O659" s="320"/>
      <c r="P659" s="320"/>
      <c r="Q659" s="320"/>
      <c r="R659" s="320"/>
      <c r="S659" s="320"/>
      <c r="T659" s="320"/>
      <c r="U659" s="320"/>
      <c r="V659" s="320"/>
      <c r="W659" s="320"/>
      <c r="X659" s="320"/>
      <c r="Y659" s="320"/>
      <c r="Z659" s="320"/>
    </row>
    <row r="660">
      <c r="A660" s="320"/>
      <c r="B660" s="320"/>
      <c r="C660" s="320"/>
      <c r="D660" s="320"/>
      <c r="E660" s="320"/>
      <c r="F660" s="320"/>
      <c r="G660" s="320"/>
      <c r="H660" s="320"/>
      <c r="I660" s="320"/>
      <c r="J660" s="320"/>
      <c r="K660" s="320"/>
      <c r="L660" s="320"/>
      <c r="M660" s="320"/>
      <c r="N660" s="320"/>
      <c r="O660" s="320"/>
      <c r="P660" s="320"/>
      <c r="Q660" s="320"/>
      <c r="R660" s="320"/>
      <c r="S660" s="320"/>
      <c r="T660" s="320"/>
      <c r="U660" s="320"/>
      <c r="V660" s="320"/>
      <c r="W660" s="320"/>
      <c r="X660" s="320"/>
      <c r="Y660" s="320"/>
      <c r="Z660" s="320"/>
    </row>
    <row r="661">
      <c r="A661" s="320"/>
      <c r="B661" s="320"/>
      <c r="C661" s="320"/>
      <c r="D661" s="320"/>
      <c r="E661" s="320"/>
      <c r="F661" s="320"/>
      <c r="G661" s="320"/>
      <c r="H661" s="320"/>
      <c r="I661" s="320"/>
      <c r="J661" s="320"/>
      <c r="K661" s="320"/>
      <c r="L661" s="320"/>
      <c r="M661" s="320"/>
      <c r="N661" s="320"/>
      <c r="O661" s="320"/>
      <c r="P661" s="320"/>
      <c r="Q661" s="320"/>
      <c r="R661" s="320"/>
      <c r="S661" s="320"/>
      <c r="T661" s="320"/>
      <c r="U661" s="320"/>
      <c r="V661" s="320"/>
      <c r="W661" s="320"/>
      <c r="X661" s="320"/>
      <c r="Y661" s="320"/>
      <c r="Z661" s="320"/>
    </row>
    <row r="662">
      <c r="A662" s="320"/>
      <c r="B662" s="320"/>
      <c r="C662" s="320"/>
      <c r="D662" s="320"/>
      <c r="E662" s="320"/>
      <c r="F662" s="320"/>
      <c r="G662" s="320"/>
      <c r="H662" s="320"/>
      <c r="I662" s="320"/>
      <c r="J662" s="320"/>
      <c r="K662" s="320"/>
      <c r="L662" s="320"/>
      <c r="M662" s="320"/>
      <c r="N662" s="320"/>
      <c r="O662" s="320"/>
      <c r="P662" s="320"/>
      <c r="Q662" s="320"/>
      <c r="R662" s="320"/>
      <c r="S662" s="320"/>
      <c r="T662" s="320"/>
      <c r="U662" s="320"/>
      <c r="V662" s="320"/>
      <c r="W662" s="320"/>
      <c r="X662" s="320"/>
      <c r="Y662" s="320"/>
      <c r="Z662" s="320"/>
    </row>
    <row r="663">
      <c r="A663" s="320"/>
      <c r="B663" s="320"/>
      <c r="C663" s="320"/>
      <c r="D663" s="320"/>
      <c r="E663" s="320"/>
      <c r="F663" s="320"/>
      <c r="G663" s="320"/>
      <c r="H663" s="320"/>
      <c r="I663" s="320"/>
      <c r="J663" s="320"/>
      <c r="K663" s="320"/>
      <c r="L663" s="320"/>
      <c r="M663" s="320"/>
      <c r="N663" s="320"/>
      <c r="O663" s="320"/>
      <c r="P663" s="320"/>
      <c r="Q663" s="320"/>
      <c r="R663" s="320"/>
      <c r="S663" s="320"/>
      <c r="T663" s="320"/>
      <c r="U663" s="320"/>
      <c r="V663" s="320"/>
      <c r="W663" s="320"/>
      <c r="X663" s="320"/>
      <c r="Y663" s="320"/>
      <c r="Z663" s="320"/>
    </row>
    <row r="664">
      <c r="A664" s="320"/>
      <c r="B664" s="320"/>
      <c r="C664" s="320"/>
      <c r="D664" s="320"/>
      <c r="E664" s="320"/>
      <c r="F664" s="320"/>
      <c r="G664" s="320"/>
      <c r="H664" s="320"/>
      <c r="I664" s="320"/>
      <c r="J664" s="320"/>
      <c r="K664" s="320"/>
      <c r="L664" s="320"/>
      <c r="M664" s="320"/>
      <c r="N664" s="320"/>
      <c r="O664" s="320"/>
      <c r="P664" s="320"/>
      <c r="Q664" s="320"/>
      <c r="R664" s="320"/>
      <c r="S664" s="320"/>
      <c r="T664" s="320"/>
      <c r="U664" s="320"/>
      <c r="V664" s="320"/>
      <c r="W664" s="320"/>
      <c r="X664" s="320"/>
      <c r="Y664" s="320"/>
      <c r="Z664" s="320"/>
    </row>
    <row r="665">
      <c r="A665" s="320"/>
      <c r="B665" s="320"/>
      <c r="C665" s="320"/>
      <c r="D665" s="320"/>
      <c r="E665" s="320"/>
      <c r="F665" s="320"/>
      <c r="G665" s="320"/>
      <c r="H665" s="320"/>
      <c r="I665" s="320"/>
      <c r="J665" s="320"/>
      <c r="K665" s="320"/>
      <c r="L665" s="320"/>
      <c r="M665" s="320"/>
      <c r="N665" s="320"/>
      <c r="O665" s="320"/>
      <c r="P665" s="320"/>
      <c r="Q665" s="320"/>
      <c r="R665" s="320"/>
      <c r="S665" s="320"/>
      <c r="T665" s="320"/>
      <c r="U665" s="320"/>
      <c r="V665" s="320"/>
      <c r="W665" s="320"/>
      <c r="X665" s="320"/>
      <c r="Y665" s="320"/>
      <c r="Z665" s="320"/>
    </row>
    <row r="666">
      <c r="A666" s="320"/>
      <c r="B666" s="320"/>
      <c r="C666" s="320"/>
      <c r="D666" s="320"/>
      <c r="E666" s="320"/>
      <c r="F666" s="320"/>
      <c r="G666" s="320"/>
      <c r="H666" s="320"/>
      <c r="I666" s="320"/>
      <c r="J666" s="320"/>
      <c r="K666" s="320"/>
      <c r="L666" s="320"/>
      <c r="M666" s="320"/>
      <c r="N666" s="320"/>
      <c r="O666" s="320"/>
      <c r="P666" s="320"/>
      <c r="Q666" s="320"/>
      <c r="R666" s="320"/>
      <c r="S666" s="320"/>
      <c r="T666" s="320"/>
      <c r="U666" s="320"/>
      <c r="V666" s="320"/>
      <c r="W666" s="320"/>
      <c r="X666" s="320"/>
      <c r="Y666" s="320"/>
      <c r="Z666" s="320"/>
    </row>
    <row r="667">
      <c r="A667" s="320"/>
      <c r="B667" s="320"/>
      <c r="C667" s="320"/>
      <c r="D667" s="320"/>
      <c r="E667" s="320"/>
      <c r="F667" s="320"/>
      <c r="G667" s="320"/>
      <c r="H667" s="320"/>
      <c r="I667" s="320"/>
      <c r="J667" s="320"/>
      <c r="K667" s="320"/>
      <c r="L667" s="320"/>
      <c r="M667" s="320"/>
      <c r="N667" s="320"/>
      <c r="O667" s="320"/>
      <c r="P667" s="320"/>
      <c r="Q667" s="320"/>
      <c r="R667" s="320"/>
      <c r="S667" s="320"/>
      <c r="T667" s="320"/>
      <c r="U667" s="320"/>
      <c r="V667" s="320"/>
      <c r="W667" s="320"/>
      <c r="X667" s="320"/>
      <c r="Y667" s="320"/>
      <c r="Z667" s="320"/>
    </row>
    <row r="668">
      <c r="A668" s="320"/>
      <c r="B668" s="320"/>
      <c r="C668" s="320"/>
      <c r="D668" s="320"/>
      <c r="E668" s="320"/>
      <c r="F668" s="320"/>
      <c r="G668" s="320"/>
      <c r="H668" s="320"/>
      <c r="I668" s="320"/>
      <c r="J668" s="320"/>
      <c r="K668" s="320"/>
      <c r="L668" s="320"/>
      <c r="M668" s="320"/>
      <c r="N668" s="320"/>
      <c r="O668" s="320"/>
      <c r="P668" s="320"/>
      <c r="Q668" s="320"/>
      <c r="R668" s="320"/>
      <c r="S668" s="320"/>
      <c r="T668" s="320"/>
      <c r="U668" s="320"/>
      <c r="V668" s="320"/>
      <c r="W668" s="320"/>
      <c r="X668" s="320"/>
      <c r="Y668" s="320"/>
      <c r="Z668" s="320"/>
    </row>
    <row r="669">
      <c r="A669" s="320"/>
      <c r="B669" s="320"/>
      <c r="C669" s="320"/>
      <c r="D669" s="320"/>
      <c r="E669" s="320"/>
      <c r="F669" s="320"/>
      <c r="G669" s="320"/>
      <c r="H669" s="320"/>
      <c r="I669" s="320"/>
      <c r="J669" s="320"/>
      <c r="K669" s="320"/>
      <c r="L669" s="320"/>
      <c r="M669" s="320"/>
      <c r="N669" s="320"/>
      <c r="O669" s="320"/>
      <c r="P669" s="320"/>
      <c r="Q669" s="320"/>
      <c r="R669" s="320"/>
      <c r="S669" s="320"/>
      <c r="T669" s="320"/>
      <c r="U669" s="320"/>
      <c r="V669" s="320"/>
      <c r="W669" s="320"/>
      <c r="X669" s="320"/>
      <c r="Y669" s="320"/>
      <c r="Z669" s="320"/>
    </row>
    <row r="670">
      <c r="A670" s="320"/>
      <c r="B670" s="320"/>
      <c r="C670" s="320"/>
      <c r="D670" s="320"/>
      <c r="E670" s="320"/>
      <c r="F670" s="320"/>
      <c r="G670" s="320"/>
      <c r="H670" s="320"/>
      <c r="I670" s="320"/>
      <c r="J670" s="320"/>
      <c r="K670" s="320"/>
      <c r="L670" s="320"/>
      <c r="M670" s="320"/>
      <c r="N670" s="320"/>
      <c r="O670" s="320"/>
      <c r="P670" s="320"/>
      <c r="Q670" s="320"/>
      <c r="R670" s="320"/>
      <c r="S670" s="320"/>
      <c r="T670" s="320"/>
      <c r="U670" s="320"/>
      <c r="V670" s="320"/>
      <c r="W670" s="320"/>
      <c r="X670" s="320"/>
      <c r="Y670" s="320"/>
      <c r="Z670" s="320"/>
    </row>
    <row r="671">
      <c r="A671" s="320"/>
      <c r="B671" s="320"/>
      <c r="C671" s="320"/>
      <c r="D671" s="320"/>
      <c r="E671" s="320"/>
      <c r="F671" s="320"/>
      <c r="G671" s="320"/>
      <c r="H671" s="320"/>
      <c r="I671" s="320"/>
      <c r="J671" s="320"/>
      <c r="K671" s="320"/>
      <c r="L671" s="320"/>
      <c r="M671" s="320"/>
      <c r="N671" s="320"/>
      <c r="O671" s="320"/>
      <c r="P671" s="320"/>
      <c r="Q671" s="320"/>
      <c r="R671" s="320"/>
      <c r="S671" s="320"/>
      <c r="T671" s="320"/>
      <c r="U671" s="320"/>
      <c r="V671" s="320"/>
      <c r="W671" s="320"/>
      <c r="X671" s="320"/>
      <c r="Y671" s="320"/>
      <c r="Z671" s="320"/>
    </row>
    <row r="672">
      <c r="A672" s="320"/>
      <c r="B672" s="320"/>
      <c r="C672" s="320"/>
      <c r="D672" s="320"/>
      <c r="E672" s="320"/>
      <c r="F672" s="320"/>
      <c r="G672" s="320"/>
      <c r="H672" s="320"/>
      <c r="I672" s="320"/>
      <c r="J672" s="320"/>
      <c r="K672" s="320"/>
      <c r="L672" s="320"/>
      <c r="M672" s="320"/>
      <c r="N672" s="320"/>
      <c r="O672" s="320"/>
      <c r="P672" s="320"/>
      <c r="Q672" s="320"/>
      <c r="R672" s="320"/>
      <c r="S672" s="320"/>
      <c r="T672" s="320"/>
      <c r="U672" s="320"/>
      <c r="V672" s="320"/>
      <c r="W672" s="320"/>
      <c r="X672" s="320"/>
      <c r="Y672" s="320"/>
      <c r="Z672" s="320"/>
    </row>
    <row r="673">
      <c r="A673" s="320"/>
      <c r="B673" s="320"/>
      <c r="C673" s="320"/>
      <c r="D673" s="320"/>
      <c r="E673" s="320"/>
      <c r="F673" s="320"/>
      <c r="G673" s="320"/>
      <c r="H673" s="320"/>
      <c r="I673" s="320"/>
      <c r="J673" s="320"/>
      <c r="K673" s="320"/>
      <c r="L673" s="320"/>
      <c r="M673" s="320"/>
      <c r="N673" s="320"/>
      <c r="O673" s="320"/>
      <c r="P673" s="320"/>
      <c r="Q673" s="320"/>
      <c r="R673" s="320"/>
      <c r="S673" s="320"/>
      <c r="T673" s="320"/>
      <c r="U673" s="320"/>
      <c r="V673" s="320"/>
      <c r="W673" s="320"/>
      <c r="X673" s="320"/>
      <c r="Y673" s="320"/>
      <c r="Z673" s="320"/>
    </row>
    <row r="674">
      <c r="A674" s="320"/>
      <c r="B674" s="320"/>
      <c r="C674" s="320"/>
      <c r="D674" s="320"/>
      <c r="E674" s="320"/>
      <c r="F674" s="320"/>
      <c r="G674" s="320"/>
      <c r="H674" s="320"/>
      <c r="I674" s="320"/>
      <c r="J674" s="320"/>
      <c r="K674" s="320"/>
      <c r="L674" s="320"/>
      <c r="M674" s="320"/>
      <c r="N674" s="320"/>
      <c r="O674" s="320"/>
      <c r="P674" s="320"/>
      <c r="Q674" s="320"/>
      <c r="R674" s="320"/>
      <c r="S674" s="320"/>
      <c r="T674" s="320"/>
      <c r="U674" s="320"/>
      <c r="V674" s="320"/>
      <c r="W674" s="320"/>
      <c r="X674" s="320"/>
      <c r="Y674" s="320"/>
      <c r="Z674" s="320"/>
    </row>
    <row r="675">
      <c r="A675" s="320"/>
      <c r="B675" s="320"/>
      <c r="C675" s="320"/>
      <c r="D675" s="320"/>
      <c r="E675" s="320"/>
      <c r="F675" s="320"/>
      <c r="G675" s="320"/>
      <c r="H675" s="320"/>
      <c r="I675" s="320"/>
      <c r="J675" s="320"/>
      <c r="K675" s="320"/>
      <c r="L675" s="320"/>
      <c r="M675" s="320"/>
      <c r="N675" s="320"/>
      <c r="O675" s="320"/>
      <c r="P675" s="320"/>
      <c r="Q675" s="320"/>
      <c r="R675" s="320"/>
      <c r="S675" s="320"/>
      <c r="T675" s="320"/>
      <c r="U675" s="320"/>
      <c r="V675" s="320"/>
      <c r="W675" s="320"/>
      <c r="X675" s="320"/>
      <c r="Y675" s="320"/>
      <c r="Z675" s="320"/>
    </row>
    <row r="676">
      <c r="A676" s="320"/>
      <c r="B676" s="320"/>
      <c r="C676" s="320"/>
      <c r="D676" s="320"/>
      <c r="E676" s="320"/>
      <c r="F676" s="320"/>
      <c r="G676" s="320"/>
      <c r="H676" s="320"/>
      <c r="I676" s="320"/>
      <c r="J676" s="320"/>
      <c r="K676" s="320"/>
      <c r="L676" s="320"/>
      <c r="M676" s="320"/>
      <c r="N676" s="320"/>
      <c r="O676" s="320"/>
      <c r="P676" s="320"/>
      <c r="Q676" s="320"/>
      <c r="R676" s="320"/>
      <c r="S676" s="320"/>
      <c r="T676" s="320"/>
      <c r="U676" s="320"/>
      <c r="V676" s="320"/>
      <c r="W676" s="320"/>
      <c r="X676" s="320"/>
      <c r="Y676" s="320"/>
      <c r="Z676" s="320"/>
    </row>
    <row r="677">
      <c r="A677" s="320"/>
      <c r="B677" s="320"/>
      <c r="C677" s="320"/>
      <c r="D677" s="320"/>
      <c r="E677" s="320"/>
      <c r="F677" s="320"/>
      <c r="G677" s="320"/>
      <c r="H677" s="320"/>
      <c r="I677" s="320"/>
      <c r="J677" s="320"/>
      <c r="K677" s="320"/>
      <c r="L677" s="320"/>
      <c r="M677" s="320"/>
      <c r="N677" s="320"/>
      <c r="O677" s="320"/>
      <c r="P677" s="320"/>
      <c r="Q677" s="320"/>
      <c r="R677" s="320"/>
      <c r="S677" s="320"/>
      <c r="T677" s="320"/>
      <c r="U677" s="320"/>
      <c r="V677" s="320"/>
      <c r="W677" s="320"/>
      <c r="X677" s="320"/>
      <c r="Y677" s="320"/>
      <c r="Z677" s="320"/>
    </row>
    <row r="678">
      <c r="A678" s="320"/>
      <c r="B678" s="320"/>
      <c r="C678" s="320"/>
      <c r="D678" s="320"/>
      <c r="E678" s="320"/>
      <c r="F678" s="320"/>
      <c r="G678" s="320"/>
      <c r="H678" s="320"/>
      <c r="I678" s="320"/>
      <c r="J678" s="320"/>
      <c r="K678" s="320"/>
      <c r="L678" s="320"/>
      <c r="M678" s="320"/>
      <c r="N678" s="320"/>
      <c r="O678" s="320"/>
      <c r="P678" s="320"/>
      <c r="Q678" s="320"/>
      <c r="R678" s="320"/>
      <c r="S678" s="320"/>
      <c r="T678" s="320"/>
      <c r="U678" s="320"/>
      <c r="V678" s="320"/>
      <c r="W678" s="320"/>
      <c r="X678" s="320"/>
      <c r="Y678" s="320"/>
      <c r="Z678" s="320"/>
    </row>
    <row r="679">
      <c r="A679" s="320"/>
      <c r="B679" s="320"/>
      <c r="C679" s="320"/>
      <c r="D679" s="320"/>
      <c r="E679" s="320"/>
      <c r="F679" s="320"/>
      <c r="G679" s="320"/>
      <c r="H679" s="320"/>
      <c r="I679" s="320"/>
      <c r="J679" s="320"/>
      <c r="K679" s="320"/>
      <c r="L679" s="320"/>
      <c r="M679" s="320"/>
      <c r="N679" s="320"/>
      <c r="O679" s="320"/>
      <c r="P679" s="320"/>
      <c r="Q679" s="320"/>
      <c r="R679" s="320"/>
      <c r="S679" s="320"/>
      <c r="T679" s="320"/>
      <c r="U679" s="320"/>
      <c r="V679" s="320"/>
      <c r="W679" s="320"/>
      <c r="X679" s="320"/>
      <c r="Y679" s="320"/>
      <c r="Z679" s="320"/>
    </row>
    <row r="680">
      <c r="A680" s="320"/>
      <c r="B680" s="320"/>
      <c r="C680" s="320"/>
      <c r="D680" s="320"/>
      <c r="E680" s="320"/>
      <c r="F680" s="320"/>
      <c r="G680" s="320"/>
      <c r="H680" s="320"/>
      <c r="I680" s="320"/>
      <c r="J680" s="320"/>
      <c r="K680" s="320"/>
      <c r="L680" s="320"/>
      <c r="M680" s="320"/>
      <c r="N680" s="320"/>
      <c r="O680" s="320"/>
      <c r="P680" s="320"/>
      <c r="Q680" s="320"/>
      <c r="R680" s="320"/>
      <c r="S680" s="320"/>
      <c r="T680" s="320"/>
      <c r="U680" s="320"/>
      <c r="V680" s="320"/>
      <c r="W680" s="320"/>
      <c r="X680" s="320"/>
      <c r="Y680" s="320"/>
      <c r="Z680" s="320"/>
    </row>
    <row r="681">
      <c r="A681" s="320"/>
      <c r="B681" s="320"/>
      <c r="C681" s="320"/>
      <c r="D681" s="320"/>
      <c r="E681" s="320"/>
      <c r="F681" s="320"/>
      <c r="G681" s="320"/>
      <c r="H681" s="320"/>
      <c r="I681" s="320"/>
      <c r="J681" s="320"/>
      <c r="K681" s="320"/>
      <c r="L681" s="320"/>
      <c r="M681" s="320"/>
      <c r="N681" s="320"/>
      <c r="O681" s="320"/>
      <c r="P681" s="320"/>
      <c r="Q681" s="320"/>
      <c r="R681" s="320"/>
      <c r="S681" s="320"/>
      <c r="T681" s="320"/>
      <c r="U681" s="320"/>
      <c r="V681" s="320"/>
      <c r="W681" s="320"/>
      <c r="X681" s="320"/>
      <c r="Y681" s="320"/>
      <c r="Z681" s="320"/>
    </row>
    <row r="682">
      <c r="A682" s="320"/>
      <c r="B682" s="320"/>
      <c r="C682" s="320"/>
      <c r="D682" s="320"/>
      <c r="E682" s="320"/>
      <c r="F682" s="320"/>
      <c r="G682" s="320"/>
      <c r="H682" s="320"/>
      <c r="I682" s="320"/>
      <c r="J682" s="320"/>
      <c r="K682" s="320"/>
      <c r="L682" s="320"/>
      <c r="M682" s="320"/>
      <c r="N682" s="320"/>
      <c r="O682" s="320"/>
      <c r="P682" s="320"/>
      <c r="Q682" s="320"/>
      <c r="R682" s="320"/>
      <c r="S682" s="320"/>
      <c r="T682" s="320"/>
      <c r="U682" s="320"/>
      <c r="V682" s="320"/>
      <c r="W682" s="320"/>
      <c r="X682" s="320"/>
      <c r="Y682" s="320"/>
      <c r="Z682" s="320"/>
    </row>
    <row r="683">
      <c r="A683" s="320"/>
      <c r="B683" s="320"/>
      <c r="C683" s="320"/>
      <c r="D683" s="320"/>
      <c r="E683" s="320"/>
      <c r="F683" s="320"/>
      <c r="G683" s="320"/>
      <c r="H683" s="320"/>
      <c r="I683" s="320"/>
      <c r="J683" s="320"/>
      <c r="K683" s="320"/>
      <c r="L683" s="320"/>
      <c r="M683" s="320"/>
      <c r="N683" s="320"/>
      <c r="O683" s="320"/>
      <c r="P683" s="320"/>
      <c r="Q683" s="320"/>
      <c r="R683" s="320"/>
      <c r="S683" s="320"/>
      <c r="T683" s="320"/>
      <c r="U683" s="320"/>
      <c r="V683" s="320"/>
      <c r="W683" s="320"/>
      <c r="X683" s="320"/>
      <c r="Y683" s="320"/>
      <c r="Z683" s="320"/>
    </row>
    <row r="684">
      <c r="A684" s="320"/>
      <c r="B684" s="320"/>
      <c r="C684" s="320"/>
      <c r="D684" s="320"/>
      <c r="E684" s="320"/>
      <c r="F684" s="320"/>
      <c r="G684" s="320"/>
      <c r="H684" s="320"/>
      <c r="I684" s="320"/>
      <c r="J684" s="320"/>
      <c r="K684" s="320"/>
      <c r="L684" s="320"/>
      <c r="M684" s="320"/>
      <c r="N684" s="320"/>
      <c r="O684" s="320"/>
      <c r="P684" s="320"/>
      <c r="Q684" s="320"/>
      <c r="R684" s="320"/>
      <c r="S684" s="320"/>
      <c r="T684" s="320"/>
      <c r="U684" s="320"/>
      <c r="V684" s="320"/>
      <c r="W684" s="320"/>
      <c r="X684" s="320"/>
      <c r="Y684" s="320"/>
      <c r="Z684" s="320"/>
    </row>
    <row r="685">
      <c r="A685" s="320"/>
      <c r="B685" s="320"/>
      <c r="C685" s="320"/>
      <c r="D685" s="320"/>
      <c r="E685" s="320"/>
      <c r="F685" s="320"/>
      <c r="G685" s="320"/>
      <c r="H685" s="320"/>
      <c r="I685" s="320"/>
      <c r="J685" s="320"/>
      <c r="K685" s="320"/>
      <c r="L685" s="320"/>
      <c r="M685" s="320"/>
      <c r="N685" s="320"/>
      <c r="O685" s="320"/>
      <c r="P685" s="320"/>
      <c r="Q685" s="320"/>
      <c r="R685" s="320"/>
      <c r="S685" s="320"/>
      <c r="T685" s="320"/>
      <c r="U685" s="320"/>
      <c r="V685" s="320"/>
      <c r="W685" s="320"/>
      <c r="X685" s="320"/>
      <c r="Y685" s="320"/>
      <c r="Z685" s="320"/>
    </row>
    <row r="686">
      <c r="A686" s="320"/>
      <c r="B686" s="320"/>
      <c r="C686" s="320"/>
      <c r="D686" s="320"/>
      <c r="E686" s="320"/>
      <c r="F686" s="320"/>
      <c r="G686" s="320"/>
      <c r="H686" s="320"/>
      <c r="I686" s="320"/>
      <c r="J686" s="320"/>
      <c r="K686" s="320"/>
      <c r="L686" s="320"/>
      <c r="M686" s="320"/>
      <c r="N686" s="320"/>
      <c r="O686" s="320"/>
      <c r="P686" s="320"/>
      <c r="Q686" s="320"/>
      <c r="R686" s="320"/>
      <c r="S686" s="320"/>
      <c r="T686" s="320"/>
      <c r="U686" s="320"/>
      <c r="V686" s="320"/>
      <c r="W686" s="320"/>
      <c r="X686" s="320"/>
      <c r="Y686" s="320"/>
      <c r="Z686" s="320"/>
    </row>
    <row r="687">
      <c r="A687" s="320"/>
      <c r="B687" s="320"/>
      <c r="C687" s="320"/>
      <c r="D687" s="320"/>
      <c r="E687" s="320"/>
      <c r="F687" s="320"/>
      <c r="G687" s="320"/>
      <c r="H687" s="320"/>
      <c r="I687" s="320"/>
      <c r="J687" s="320"/>
      <c r="K687" s="320"/>
      <c r="L687" s="320"/>
      <c r="M687" s="320"/>
      <c r="N687" s="320"/>
      <c r="O687" s="320"/>
      <c r="P687" s="320"/>
      <c r="Q687" s="320"/>
      <c r="R687" s="320"/>
      <c r="S687" s="320"/>
      <c r="T687" s="320"/>
      <c r="U687" s="320"/>
      <c r="V687" s="320"/>
      <c r="W687" s="320"/>
      <c r="X687" s="320"/>
      <c r="Y687" s="320"/>
      <c r="Z687" s="320"/>
    </row>
    <row r="688">
      <c r="A688" s="320"/>
      <c r="B688" s="320"/>
      <c r="C688" s="320"/>
      <c r="D688" s="320"/>
      <c r="E688" s="320"/>
      <c r="F688" s="320"/>
      <c r="G688" s="320"/>
      <c r="H688" s="320"/>
      <c r="I688" s="320"/>
      <c r="J688" s="320"/>
      <c r="K688" s="320"/>
      <c r="L688" s="320"/>
      <c r="M688" s="320"/>
      <c r="N688" s="320"/>
      <c r="O688" s="320"/>
      <c r="P688" s="320"/>
      <c r="Q688" s="320"/>
      <c r="R688" s="320"/>
      <c r="S688" s="320"/>
      <c r="T688" s="320"/>
      <c r="U688" s="320"/>
      <c r="V688" s="320"/>
      <c r="W688" s="320"/>
      <c r="X688" s="320"/>
      <c r="Y688" s="320"/>
      <c r="Z688" s="320"/>
    </row>
    <row r="689">
      <c r="A689" s="320"/>
      <c r="B689" s="320"/>
      <c r="C689" s="320"/>
      <c r="D689" s="320"/>
      <c r="E689" s="320"/>
      <c r="F689" s="320"/>
      <c r="G689" s="320"/>
      <c r="H689" s="320"/>
      <c r="I689" s="320"/>
      <c r="J689" s="320"/>
      <c r="K689" s="320"/>
      <c r="L689" s="320"/>
      <c r="M689" s="320"/>
      <c r="N689" s="320"/>
      <c r="O689" s="320"/>
      <c r="P689" s="320"/>
      <c r="Q689" s="320"/>
      <c r="R689" s="320"/>
      <c r="S689" s="320"/>
      <c r="T689" s="320"/>
      <c r="U689" s="320"/>
      <c r="V689" s="320"/>
      <c r="W689" s="320"/>
      <c r="X689" s="320"/>
      <c r="Y689" s="320"/>
      <c r="Z689" s="320"/>
    </row>
    <row r="690">
      <c r="A690" s="320"/>
      <c r="B690" s="320"/>
      <c r="C690" s="320"/>
      <c r="D690" s="320"/>
      <c r="E690" s="320"/>
      <c r="F690" s="320"/>
      <c r="G690" s="320"/>
      <c r="H690" s="320"/>
      <c r="I690" s="320"/>
      <c r="J690" s="320"/>
      <c r="K690" s="320"/>
      <c r="L690" s="320"/>
      <c r="M690" s="320"/>
      <c r="N690" s="320"/>
      <c r="O690" s="320"/>
      <c r="P690" s="320"/>
      <c r="Q690" s="320"/>
      <c r="R690" s="320"/>
      <c r="S690" s="320"/>
      <c r="T690" s="320"/>
      <c r="U690" s="320"/>
      <c r="V690" s="320"/>
      <c r="W690" s="320"/>
      <c r="X690" s="320"/>
      <c r="Y690" s="320"/>
      <c r="Z690" s="320"/>
    </row>
    <row r="691">
      <c r="A691" s="320"/>
      <c r="B691" s="320"/>
      <c r="C691" s="320"/>
      <c r="D691" s="320"/>
      <c r="E691" s="320"/>
      <c r="F691" s="320"/>
      <c r="G691" s="320"/>
      <c r="H691" s="320"/>
      <c r="I691" s="320"/>
      <c r="J691" s="320"/>
      <c r="K691" s="320"/>
      <c r="L691" s="320"/>
      <c r="M691" s="320"/>
      <c r="N691" s="320"/>
      <c r="O691" s="320"/>
      <c r="P691" s="320"/>
      <c r="Q691" s="320"/>
      <c r="R691" s="320"/>
      <c r="S691" s="320"/>
      <c r="T691" s="320"/>
      <c r="U691" s="320"/>
      <c r="V691" s="320"/>
      <c r="W691" s="320"/>
      <c r="X691" s="320"/>
      <c r="Y691" s="320"/>
      <c r="Z691" s="320"/>
    </row>
    <row r="692">
      <c r="A692" s="320"/>
      <c r="B692" s="320"/>
      <c r="C692" s="320"/>
      <c r="D692" s="320"/>
      <c r="E692" s="320"/>
      <c r="F692" s="320"/>
      <c r="G692" s="320"/>
      <c r="H692" s="320"/>
      <c r="I692" s="320"/>
      <c r="J692" s="320"/>
      <c r="K692" s="320"/>
      <c r="L692" s="320"/>
      <c r="M692" s="320"/>
      <c r="N692" s="320"/>
      <c r="O692" s="320"/>
      <c r="P692" s="320"/>
      <c r="Q692" s="320"/>
      <c r="R692" s="320"/>
      <c r="S692" s="320"/>
      <c r="T692" s="320"/>
      <c r="U692" s="320"/>
      <c r="V692" s="320"/>
      <c r="W692" s="320"/>
      <c r="X692" s="320"/>
      <c r="Y692" s="320"/>
      <c r="Z692" s="320"/>
    </row>
    <row r="693">
      <c r="A693" s="320"/>
      <c r="B693" s="320"/>
      <c r="C693" s="320"/>
      <c r="D693" s="320"/>
      <c r="E693" s="320"/>
      <c r="F693" s="320"/>
      <c r="G693" s="320"/>
      <c r="H693" s="320"/>
      <c r="I693" s="320"/>
      <c r="J693" s="320"/>
      <c r="K693" s="320"/>
      <c r="L693" s="320"/>
      <c r="M693" s="320"/>
      <c r="N693" s="320"/>
      <c r="O693" s="320"/>
      <c r="P693" s="320"/>
      <c r="Q693" s="320"/>
      <c r="R693" s="320"/>
      <c r="S693" s="320"/>
      <c r="T693" s="320"/>
      <c r="U693" s="320"/>
      <c r="V693" s="320"/>
      <c r="W693" s="320"/>
      <c r="X693" s="320"/>
      <c r="Y693" s="320"/>
      <c r="Z693" s="320"/>
    </row>
    <row r="694">
      <c r="A694" s="320"/>
      <c r="B694" s="320"/>
      <c r="C694" s="320"/>
      <c r="D694" s="320"/>
      <c r="E694" s="320"/>
      <c r="F694" s="320"/>
      <c r="G694" s="320"/>
      <c r="H694" s="320"/>
      <c r="I694" s="320"/>
      <c r="J694" s="320"/>
      <c r="K694" s="320"/>
      <c r="L694" s="320"/>
      <c r="M694" s="320"/>
      <c r="N694" s="320"/>
      <c r="O694" s="320"/>
      <c r="P694" s="320"/>
      <c r="Q694" s="320"/>
      <c r="R694" s="320"/>
      <c r="S694" s="320"/>
      <c r="T694" s="320"/>
      <c r="U694" s="320"/>
      <c r="V694" s="320"/>
      <c r="W694" s="320"/>
      <c r="X694" s="320"/>
      <c r="Y694" s="320"/>
      <c r="Z694" s="320"/>
    </row>
    <row r="695">
      <c r="A695" s="320"/>
      <c r="B695" s="320"/>
      <c r="C695" s="320"/>
      <c r="D695" s="320"/>
      <c r="E695" s="320"/>
      <c r="F695" s="320"/>
      <c r="G695" s="320"/>
      <c r="H695" s="320"/>
      <c r="I695" s="320"/>
      <c r="J695" s="320"/>
      <c r="K695" s="320"/>
      <c r="L695" s="320"/>
      <c r="M695" s="320"/>
      <c r="N695" s="320"/>
      <c r="O695" s="320"/>
      <c r="P695" s="320"/>
      <c r="Q695" s="320"/>
      <c r="R695" s="320"/>
      <c r="S695" s="320"/>
      <c r="T695" s="320"/>
      <c r="U695" s="320"/>
      <c r="V695" s="320"/>
      <c r="W695" s="320"/>
      <c r="X695" s="320"/>
      <c r="Y695" s="320"/>
      <c r="Z695" s="320"/>
    </row>
    <row r="696">
      <c r="A696" s="320"/>
      <c r="B696" s="320"/>
      <c r="C696" s="320"/>
      <c r="D696" s="320"/>
      <c r="E696" s="320"/>
      <c r="F696" s="320"/>
      <c r="G696" s="320"/>
      <c r="H696" s="320"/>
      <c r="I696" s="320"/>
      <c r="J696" s="320"/>
      <c r="K696" s="320"/>
      <c r="L696" s="320"/>
      <c r="M696" s="320"/>
      <c r="N696" s="320"/>
      <c r="O696" s="320"/>
      <c r="P696" s="320"/>
      <c r="Q696" s="320"/>
      <c r="R696" s="320"/>
      <c r="S696" s="320"/>
      <c r="T696" s="320"/>
      <c r="U696" s="320"/>
      <c r="V696" s="320"/>
      <c r="W696" s="320"/>
      <c r="X696" s="320"/>
      <c r="Y696" s="320"/>
      <c r="Z696" s="320"/>
    </row>
    <row r="697">
      <c r="A697" s="320"/>
      <c r="B697" s="320"/>
      <c r="C697" s="320"/>
      <c r="D697" s="320"/>
      <c r="E697" s="320"/>
      <c r="F697" s="320"/>
      <c r="G697" s="320"/>
      <c r="H697" s="320"/>
      <c r="I697" s="320"/>
      <c r="J697" s="320"/>
      <c r="K697" s="320"/>
      <c r="L697" s="320"/>
      <c r="M697" s="320"/>
      <c r="N697" s="320"/>
      <c r="O697" s="320"/>
      <c r="P697" s="320"/>
      <c r="Q697" s="320"/>
      <c r="R697" s="320"/>
      <c r="S697" s="320"/>
      <c r="T697" s="320"/>
      <c r="U697" s="320"/>
      <c r="V697" s="320"/>
      <c r="W697" s="320"/>
      <c r="X697" s="320"/>
      <c r="Y697" s="320"/>
      <c r="Z697" s="320"/>
    </row>
    <row r="698">
      <c r="A698" s="320"/>
      <c r="B698" s="320"/>
      <c r="C698" s="320"/>
      <c r="D698" s="320"/>
      <c r="E698" s="320"/>
      <c r="F698" s="320"/>
      <c r="G698" s="320"/>
      <c r="H698" s="320"/>
      <c r="I698" s="320"/>
      <c r="J698" s="320"/>
      <c r="K698" s="320"/>
      <c r="L698" s="320"/>
      <c r="M698" s="320"/>
      <c r="N698" s="320"/>
      <c r="O698" s="320"/>
      <c r="P698" s="320"/>
      <c r="Q698" s="320"/>
      <c r="R698" s="320"/>
      <c r="S698" s="320"/>
      <c r="T698" s="320"/>
      <c r="U698" s="320"/>
      <c r="V698" s="320"/>
      <c r="W698" s="320"/>
      <c r="X698" s="320"/>
      <c r="Y698" s="320"/>
      <c r="Z698" s="320"/>
    </row>
    <row r="699">
      <c r="A699" s="320"/>
      <c r="B699" s="320"/>
      <c r="C699" s="320"/>
      <c r="D699" s="320"/>
      <c r="E699" s="320"/>
      <c r="F699" s="320"/>
      <c r="G699" s="320"/>
      <c r="H699" s="320"/>
      <c r="I699" s="320"/>
      <c r="J699" s="320"/>
      <c r="K699" s="320"/>
      <c r="L699" s="320"/>
      <c r="M699" s="320"/>
      <c r="N699" s="320"/>
      <c r="O699" s="320"/>
      <c r="P699" s="320"/>
      <c r="Q699" s="320"/>
      <c r="R699" s="320"/>
      <c r="S699" s="320"/>
      <c r="T699" s="320"/>
      <c r="U699" s="320"/>
      <c r="V699" s="320"/>
      <c r="W699" s="320"/>
      <c r="X699" s="320"/>
      <c r="Y699" s="320"/>
      <c r="Z699" s="320"/>
    </row>
    <row r="700">
      <c r="A700" s="320"/>
      <c r="B700" s="320"/>
      <c r="C700" s="320"/>
      <c r="D700" s="320"/>
      <c r="E700" s="320"/>
      <c r="F700" s="320"/>
      <c r="G700" s="320"/>
      <c r="H700" s="320"/>
      <c r="I700" s="320"/>
      <c r="J700" s="320"/>
      <c r="K700" s="320"/>
      <c r="L700" s="320"/>
      <c r="M700" s="320"/>
      <c r="N700" s="320"/>
      <c r="O700" s="320"/>
      <c r="P700" s="320"/>
      <c r="Q700" s="320"/>
      <c r="R700" s="320"/>
      <c r="S700" s="320"/>
      <c r="T700" s="320"/>
      <c r="U700" s="320"/>
      <c r="V700" s="320"/>
      <c r="W700" s="320"/>
      <c r="X700" s="320"/>
      <c r="Y700" s="320"/>
      <c r="Z700" s="320"/>
    </row>
    <row r="701">
      <c r="A701" s="320"/>
      <c r="B701" s="320"/>
      <c r="C701" s="320"/>
      <c r="D701" s="320"/>
      <c r="E701" s="320"/>
      <c r="F701" s="320"/>
      <c r="G701" s="320"/>
      <c r="H701" s="320"/>
      <c r="I701" s="320"/>
      <c r="J701" s="320"/>
      <c r="K701" s="320"/>
      <c r="L701" s="320"/>
      <c r="M701" s="320"/>
      <c r="N701" s="320"/>
      <c r="O701" s="320"/>
      <c r="P701" s="320"/>
      <c r="Q701" s="320"/>
      <c r="R701" s="320"/>
      <c r="S701" s="320"/>
      <c r="T701" s="320"/>
      <c r="U701" s="320"/>
      <c r="V701" s="320"/>
      <c r="W701" s="320"/>
      <c r="X701" s="320"/>
      <c r="Y701" s="320"/>
      <c r="Z701" s="320"/>
    </row>
    <row r="702">
      <c r="A702" s="320"/>
      <c r="B702" s="320"/>
      <c r="C702" s="320"/>
      <c r="D702" s="320"/>
      <c r="E702" s="320"/>
      <c r="F702" s="320"/>
      <c r="G702" s="320"/>
      <c r="H702" s="320"/>
      <c r="I702" s="320"/>
      <c r="J702" s="320"/>
      <c r="K702" s="320"/>
      <c r="L702" s="320"/>
      <c r="M702" s="320"/>
      <c r="N702" s="320"/>
      <c r="O702" s="320"/>
      <c r="P702" s="320"/>
      <c r="Q702" s="320"/>
      <c r="R702" s="320"/>
      <c r="S702" s="320"/>
      <c r="T702" s="320"/>
      <c r="U702" s="320"/>
      <c r="V702" s="320"/>
      <c r="W702" s="320"/>
      <c r="X702" s="320"/>
      <c r="Y702" s="320"/>
      <c r="Z702" s="320"/>
    </row>
    <row r="703">
      <c r="A703" s="320"/>
      <c r="B703" s="320"/>
      <c r="C703" s="320"/>
      <c r="D703" s="320"/>
      <c r="E703" s="320"/>
      <c r="F703" s="320"/>
      <c r="G703" s="320"/>
      <c r="H703" s="320"/>
      <c r="I703" s="320"/>
      <c r="J703" s="320"/>
      <c r="K703" s="320"/>
      <c r="L703" s="320"/>
      <c r="M703" s="320"/>
      <c r="N703" s="320"/>
      <c r="O703" s="320"/>
      <c r="P703" s="320"/>
      <c r="Q703" s="320"/>
      <c r="R703" s="320"/>
      <c r="S703" s="320"/>
      <c r="T703" s="320"/>
      <c r="U703" s="320"/>
      <c r="V703" s="320"/>
      <c r="W703" s="320"/>
      <c r="X703" s="320"/>
      <c r="Y703" s="320"/>
      <c r="Z703" s="320"/>
    </row>
    <row r="704">
      <c r="A704" s="320"/>
      <c r="B704" s="320"/>
      <c r="C704" s="320"/>
      <c r="D704" s="320"/>
      <c r="E704" s="320"/>
      <c r="F704" s="320"/>
      <c r="G704" s="320"/>
      <c r="H704" s="320"/>
      <c r="I704" s="320"/>
      <c r="J704" s="320"/>
      <c r="K704" s="320"/>
      <c r="L704" s="320"/>
      <c r="M704" s="320"/>
      <c r="N704" s="320"/>
      <c r="O704" s="320"/>
      <c r="P704" s="320"/>
      <c r="Q704" s="320"/>
      <c r="R704" s="320"/>
      <c r="S704" s="320"/>
      <c r="T704" s="320"/>
      <c r="U704" s="320"/>
      <c r="V704" s="320"/>
      <c r="W704" s="320"/>
      <c r="X704" s="320"/>
      <c r="Y704" s="320"/>
      <c r="Z704" s="320"/>
    </row>
    <row r="705">
      <c r="A705" s="320"/>
      <c r="B705" s="320"/>
      <c r="C705" s="320"/>
      <c r="D705" s="320"/>
      <c r="E705" s="320"/>
      <c r="F705" s="320"/>
      <c r="G705" s="320"/>
      <c r="H705" s="320"/>
      <c r="I705" s="320"/>
      <c r="J705" s="320"/>
      <c r="K705" s="320"/>
      <c r="L705" s="320"/>
      <c r="M705" s="320"/>
      <c r="N705" s="320"/>
      <c r="O705" s="320"/>
      <c r="P705" s="320"/>
      <c r="Q705" s="320"/>
      <c r="R705" s="320"/>
      <c r="S705" s="320"/>
      <c r="T705" s="320"/>
      <c r="U705" s="320"/>
      <c r="V705" s="320"/>
      <c r="W705" s="320"/>
      <c r="X705" s="320"/>
      <c r="Y705" s="320"/>
      <c r="Z705" s="320"/>
    </row>
    <row r="706">
      <c r="A706" s="320"/>
      <c r="B706" s="320"/>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c r="Y706" s="320"/>
      <c r="Z706" s="320"/>
    </row>
    <row r="707">
      <c r="A707" s="320"/>
      <c r="B707" s="320"/>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c r="Y707" s="320"/>
      <c r="Z707" s="320"/>
    </row>
    <row r="708">
      <c r="A708" s="320"/>
      <c r="B708" s="320"/>
      <c r="C708" s="320"/>
      <c r="D708" s="320"/>
      <c r="E708" s="320"/>
      <c r="F708" s="320"/>
      <c r="G708" s="320"/>
      <c r="H708" s="320"/>
      <c r="I708" s="320"/>
      <c r="J708" s="320"/>
      <c r="K708" s="320"/>
      <c r="L708" s="320"/>
      <c r="M708" s="320"/>
      <c r="N708" s="320"/>
      <c r="O708" s="320"/>
      <c r="P708" s="320"/>
      <c r="Q708" s="320"/>
      <c r="R708" s="320"/>
      <c r="S708" s="320"/>
      <c r="T708" s="320"/>
      <c r="U708" s="320"/>
      <c r="V708" s="320"/>
      <c r="W708" s="320"/>
      <c r="X708" s="320"/>
      <c r="Y708" s="320"/>
      <c r="Z708" s="320"/>
    </row>
    <row r="709">
      <c r="A709" s="320"/>
      <c r="B709" s="320"/>
      <c r="C709" s="320"/>
      <c r="D709" s="320"/>
      <c r="E709" s="320"/>
      <c r="F709" s="320"/>
      <c r="G709" s="320"/>
      <c r="H709" s="320"/>
      <c r="I709" s="320"/>
      <c r="J709" s="320"/>
      <c r="K709" s="320"/>
      <c r="L709" s="320"/>
      <c r="M709" s="320"/>
      <c r="N709" s="320"/>
      <c r="O709" s="320"/>
      <c r="P709" s="320"/>
      <c r="Q709" s="320"/>
      <c r="R709" s="320"/>
      <c r="S709" s="320"/>
      <c r="T709" s="320"/>
      <c r="U709" s="320"/>
      <c r="V709" s="320"/>
      <c r="W709" s="320"/>
      <c r="X709" s="320"/>
      <c r="Y709" s="320"/>
      <c r="Z709" s="320"/>
    </row>
    <row r="710">
      <c r="A710" s="320"/>
      <c r="B710" s="320"/>
      <c r="C710" s="320"/>
      <c r="D710" s="320"/>
      <c r="E710" s="320"/>
      <c r="F710" s="320"/>
      <c r="G710" s="320"/>
      <c r="H710" s="320"/>
      <c r="I710" s="320"/>
      <c r="J710" s="320"/>
      <c r="K710" s="320"/>
      <c r="L710" s="320"/>
      <c r="M710" s="320"/>
      <c r="N710" s="320"/>
      <c r="O710" s="320"/>
      <c r="P710" s="320"/>
      <c r="Q710" s="320"/>
      <c r="R710" s="320"/>
      <c r="S710" s="320"/>
      <c r="T710" s="320"/>
      <c r="U710" s="320"/>
      <c r="V710" s="320"/>
      <c r="W710" s="320"/>
      <c r="X710" s="320"/>
      <c r="Y710" s="320"/>
      <c r="Z710" s="320"/>
    </row>
    <row r="711">
      <c r="A711" s="320"/>
      <c r="B711" s="320"/>
      <c r="C711" s="320"/>
      <c r="D711" s="320"/>
      <c r="E711" s="320"/>
      <c r="F711" s="320"/>
      <c r="G711" s="320"/>
      <c r="H711" s="320"/>
      <c r="I711" s="320"/>
      <c r="J711" s="320"/>
      <c r="K711" s="320"/>
      <c r="L711" s="320"/>
      <c r="M711" s="320"/>
      <c r="N711" s="320"/>
      <c r="O711" s="320"/>
      <c r="P711" s="320"/>
      <c r="Q711" s="320"/>
      <c r="R711" s="320"/>
      <c r="S711" s="320"/>
      <c r="T711" s="320"/>
      <c r="U711" s="320"/>
      <c r="V711" s="320"/>
      <c r="W711" s="320"/>
      <c r="X711" s="320"/>
      <c r="Y711" s="320"/>
      <c r="Z711" s="320"/>
    </row>
    <row r="712">
      <c r="A712" s="320"/>
      <c r="B712" s="320"/>
      <c r="C712" s="320"/>
      <c r="D712" s="320"/>
      <c r="E712" s="320"/>
      <c r="F712" s="320"/>
      <c r="G712" s="320"/>
      <c r="H712" s="320"/>
      <c r="I712" s="320"/>
      <c r="J712" s="320"/>
      <c r="K712" s="320"/>
      <c r="L712" s="320"/>
      <c r="M712" s="320"/>
      <c r="N712" s="320"/>
      <c r="O712" s="320"/>
      <c r="P712" s="320"/>
      <c r="Q712" s="320"/>
      <c r="R712" s="320"/>
      <c r="S712" s="320"/>
      <c r="T712" s="320"/>
      <c r="U712" s="320"/>
      <c r="V712" s="320"/>
      <c r="W712" s="320"/>
      <c r="X712" s="320"/>
      <c r="Y712" s="320"/>
      <c r="Z712" s="320"/>
    </row>
    <row r="713">
      <c r="A713" s="320"/>
      <c r="B713" s="320"/>
      <c r="C713" s="320"/>
      <c r="D713" s="320"/>
      <c r="E713" s="320"/>
      <c r="F713" s="320"/>
      <c r="G713" s="320"/>
      <c r="H713" s="320"/>
      <c r="I713" s="320"/>
      <c r="J713" s="320"/>
      <c r="K713" s="320"/>
      <c r="L713" s="320"/>
      <c r="M713" s="320"/>
      <c r="N713" s="320"/>
      <c r="O713" s="320"/>
      <c r="P713" s="320"/>
      <c r="Q713" s="320"/>
      <c r="R713" s="320"/>
      <c r="S713" s="320"/>
      <c r="T713" s="320"/>
      <c r="U713" s="320"/>
      <c r="V713" s="320"/>
      <c r="W713" s="320"/>
      <c r="X713" s="320"/>
      <c r="Y713" s="320"/>
      <c r="Z713" s="320"/>
    </row>
    <row r="714">
      <c r="A714" s="320"/>
      <c r="B714" s="320"/>
      <c r="C714" s="320"/>
      <c r="D714" s="320"/>
      <c r="E714" s="320"/>
      <c r="F714" s="320"/>
      <c r="G714" s="320"/>
      <c r="H714" s="320"/>
      <c r="I714" s="320"/>
      <c r="J714" s="320"/>
      <c r="K714" s="320"/>
      <c r="L714" s="320"/>
      <c r="M714" s="320"/>
      <c r="N714" s="320"/>
      <c r="O714" s="320"/>
      <c r="P714" s="320"/>
      <c r="Q714" s="320"/>
      <c r="R714" s="320"/>
      <c r="S714" s="320"/>
      <c r="T714" s="320"/>
      <c r="U714" s="320"/>
      <c r="V714" s="320"/>
      <c r="W714" s="320"/>
      <c r="X714" s="320"/>
      <c r="Y714" s="320"/>
      <c r="Z714" s="320"/>
    </row>
    <row r="715">
      <c r="A715" s="320"/>
      <c r="B715" s="320"/>
      <c r="C715" s="320"/>
      <c r="D715" s="320"/>
      <c r="E715" s="320"/>
      <c r="F715" s="320"/>
      <c r="G715" s="320"/>
      <c r="H715" s="320"/>
      <c r="I715" s="320"/>
      <c r="J715" s="320"/>
      <c r="K715" s="320"/>
      <c r="L715" s="320"/>
      <c r="M715" s="320"/>
      <c r="N715" s="320"/>
      <c r="O715" s="320"/>
      <c r="P715" s="320"/>
      <c r="Q715" s="320"/>
      <c r="R715" s="320"/>
      <c r="S715" s="320"/>
      <c r="T715" s="320"/>
      <c r="U715" s="320"/>
      <c r="V715" s="320"/>
      <c r="W715" s="320"/>
      <c r="X715" s="320"/>
      <c r="Y715" s="320"/>
      <c r="Z715" s="320"/>
    </row>
    <row r="716">
      <c r="A716" s="320"/>
      <c r="B716" s="320"/>
      <c r="C716" s="320"/>
      <c r="D716" s="320"/>
      <c r="E716" s="320"/>
      <c r="F716" s="320"/>
      <c r="G716" s="320"/>
      <c r="H716" s="320"/>
      <c r="I716" s="320"/>
      <c r="J716" s="320"/>
      <c r="K716" s="320"/>
      <c r="L716" s="320"/>
      <c r="M716" s="320"/>
      <c r="N716" s="320"/>
      <c r="O716" s="320"/>
      <c r="P716" s="320"/>
      <c r="Q716" s="320"/>
      <c r="R716" s="320"/>
      <c r="S716" s="320"/>
      <c r="T716" s="320"/>
      <c r="U716" s="320"/>
      <c r="V716" s="320"/>
      <c r="W716" s="320"/>
      <c r="X716" s="320"/>
      <c r="Y716" s="320"/>
      <c r="Z716" s="320"/>
    </row>
    <row r="717">
      <c r="A717" s="320"/>
      <c r="B717" s="320"/>
      <c r="C717" s="320"/>
      <c r="D717" s="320"/>
      <c r="E717" s="320"/>
      <c r="F717" s="320"/>
      <c r="G717" s="320"/>
      <c r="H717" s="320"/>
      <c r="I717" s="320"/>
      <c r="J717" s="320"/>
      <c r="K717" s="320"/>
      <c r="L717" s="320"/>
      <c r="M717" s="320"/>
      <c r="N717" s="320"/>
      <c r="O717" s="320"/>
      <c r="P717" s="320"/>
      <c r="Q717" s="320"/>
      <c r="R717" s="320"/>
      <c r="S717" s="320"/>
      <c r="T717" s="320"/>
      <c r="U717" s="320"/>
      <c r="V717" s="320"/>
      <c r="W717" s="320"/>
      <c r="X717" s="320"/>
      <c r="Y717" s="320"/>
      <c r="Z717" s="320"/>
    </row>
    <row r="718">
      <c r="A718" s="320"/>
      <c r="B718" s="320"/>
      <c r="C718" s="320"/>
      <c r="D718" s="320"/>
      <c r="E718" s="320"/>
      <c r="F718" s="320"/>
      <c r="G718" s="320"/>
      <c r="H718" s="320"/>
      <c r="I718" s="320"/>
      <c r="J718" s="320"/>
      <c r="K718" s="320"/>
      <c r="L718" s="320"/>
      <c r="M718" s="320"/>
      <c r="N718" s="320"/>
      <c r="O718" s="320"/>
      <c r="P718" s="320"/>
      <c r="Q718" s="320"/>
      <c r="R718" s="320"/>
      <c r="S718" s="320"/>
      <c r="T718" s="320"/>
      <c r="U718" s="320"/>
      <c r="V718" s="320"/>
      <c r="W718" s="320"/>
      <c r="X718" s="320"/>
      <c r="Y718" s="320"/>
      <c r="Z718" s="320"/>
    </row>
    <row r="719">
      <c r="A719" s="320"/>
      <c r="B719" s="320"/>
      <c r="C719" s="320"/>
      <c r="D719" s="320"/>
      <c r="E719" s="320"/>
      <c r="F719" s="320"/>
      <c r="G719" s="320"/>
      <c r="H719" s="320"/>
      <c r="I719" s="320"/>
      <c r="J719" s="320"/>
      <c r="K719" s="320"/>
      <c r="L719" s="320"/>
      <c r="M719" s="320"/>
      <c r="N719" s="320"/>
      <c r="O719" s="320"/>
      <c r="P719" s="320"/>
      <c r="Q719" s="320"/>
      <c r="R719" s="320"/>
      <c r="S719" s="320"/>
      <c r="T719" s="320"/>
      <c r="U719" s="320"/>
      <c r="V719" s="320"/>
      <c r="W719" s="320"/>
      <c r="X719" s="320"/>
      <c r="Y719" s="320"/>
      <c r="Z719" s="320"/>
    </row>
    <row r="720">
      <c r="A720" s="320"/>
      <c r="B720" s="320"/>
      <c r="C720" s="320"/>
      <c r="D720" s="320"/>
      <c r="E720" s="320"/>
      <c r="F720" s="320"/>
      <c r="G720" s="320"/>
      <c r="H720" s="320"/>
      <c r="I720" s="320"/>
      <c r="J720" s="320"/>
      <c r="K720" s="320"/>
      <c r="L720" s="320"/>
      <c r="M720" s="320"/>
      <c r="N720" s="320"/>
      <c r="O720" s="320"/>
      <c r="P720" s="320"/>
      <c r="Q720" s="320"/>
      <c r="R720" s="320"/>
      <c r="S720" s="320"/>
      <c r="T720" s="320"/>
      <c r="U720" s="320"/>
      <c r="V720" s="320"/>
      <c r="W720" s="320"/>
      <c r="X720" s="320"/>
      <c r="Y720" s="320"/>
      <c r="Z720" s="320"/>
    </row>
    <row r="721">
      <c r="A721" s="320"/>
      <c r="B721" s="320"/>
      <c r="C721" s="320"/>
      <c r="D721" s="320"/>
      <c r="E721" s="320"/>
      <c r="F721" s="320"/>
      <c r="G721" s="320"/>
      <c r="H721" s="320"/>
      <c r="I721" s="320"/>
      <c r="J721" s="320"/>
      <c r="K721" s="320"/>
      <c r="L721" s="320"/>
      <c r="M721" s="320"/>
      <c r="N721" s="320"/>
      <c r="O721" s="320"/>
      <c r="P721" s="320"/>
      <c r="Q721" s="320"/>
      <c r="R721" s="320"/>
      <c r="S721" s="320"/>
      <c r="T721" s="320"/>
      <c r="U721" s="320"/>
      <c r="V721" s="320"/>
      <c r="W721" s="320"/>
      <c r="X721" s="320"/>
      <c r="Y721" s="320"/>
      <c r="Z721" s="320"/>
    </row>
    <row r="722">
      <c r="A722" s="320"/>
      <c r="B722" s="320"/>
      <c r="C722" s="320"/>
      <c r="D722" s="320"/>
      <c r="E722" s="320"/>
      <c r="F722" s="320"/>
      <c r="G722" s="320"/>
      <c r="H722" s="320"/>
      <c r="I722" s="320"/>
      <c r="J722" s="320"/>
      <c r="K722" s="320"/>
      <c r="L722" s="320"/>
      <c r="M722" s="320"/>
      <c r="N722" s="320"/>
      <c r="O722" s="320"/>
      <c r="P722" s="320"/>
      <c r="Q722" s="320"/>
      <c r="R722" s="320"/>
      <c r="S722" s="320"/>
      <c r="T722" s="320"/>
      <c r="U722" s="320"/>
      <c r="V722" s="320"/>
      <c r="W722" s="320"/>
      <c r="X722" s="320"/>
      <c r="Y722" s="320"/>
      <c r="Z722" s="320"/>
    </row>
    <row r="723">
      <c r="A723" s="320"/>
      <c r="B723" s="320"/>
      <c r="C723" s="320"/>
      <c r="D723" s="320"/>
      <c r="E723" s="320"/>
      <c r="F723" s="320"/>
      <c r="G723" s="320"/>
      <c r="H723" s="320"/>
      <c r="I723" s="320"/>
      <c r="J723" s="320"/>
      <c r="K723" s="320"/>
      <c r="L723" s="320"/>
      <c r="M723" s="320"/>
      <c r="N723" s="320"/>
      <c r="O723" s="320"/>
      <c r="P723" s="320"/>
      <c r="Q723" s="320"/>
      <c r="R723" s="320"/>
      <c r="S723" s="320"/>
      <c r="T723" s="320"/>
      <c r="U723" s="320"/>
      <c r="V723" s="320"/>
      <c r="W723" s="320"/>
      <c r="X723" s="320"/>
      <c r="Y723" s="320"/>
      <c r="Z723" s="320"/>
    </row>
    <row r="724">
      <c r="A724" s="320"/>
      <c r="B724" s="320"/>
      <c r="C724" s="320"/>
      <c r="D724" s="320"/>
      <c r="E724" s="320"/>
      <c r="F724" s="320"/>
      <c r="G724" s="320"/>
      <c r="H724" s="320"/>
      <c r="I724" s="320"/>
      <c r="J724" s="320"/>
      <c r="K724" s="320"/>
      <c r="L724" s="320"/>
      <c r="M724" s="320"/>
      <c r="N724" s="320"/>
      <c r="O724" s="320"/>
      <c r="P724" s="320"/>
      <c r="Q724" s="320"/>
      <c r="R724" s="320"/>
      <c r="S724" s="320"/>
      <c r="T724" s="320"/>
      <c r="U724" s="320"/>
      <c r="V724" s="320"/>
      <c r="W724" s="320"/>
      <c r="X724" s="320"/>
      <c r="Y724" s="320"/>
      <c r="Z724" s="320"/>
    </row>
    <row r="725">
      <c r="A725" s="320"/>
      <c r="B725" s="320"/>
      <c r="C725" s="320"/>
      <c r="D725" s="320"/>
      <c r="E725" s="320"/>
      <c r="F725" s="320"/>
      <c r="G725" s="320"/>
      <c r="H725" s="320"/>
      <c r="I725" s="320"/>
      <c r="J725" s="320"/>
      <c r="K725" s="320"/>
      <c r="L725" s="320"/>
      <c r="M725" s="320"/>
      <c r="N725" s="320"/>
      <c r="O725" s="320"/>
      <c r="P725" s="320"/>
      <c r="Q725" s="320"/>
      <c r="R725" s="320"/>
      <c r="S725" s="320"/>
      <c r="T725" s="320"/>
      <c r="U725" s="320"/>
      <c r="V725" s="320"/>
      <c r="W725" s="320"/>
      <c r="X725" s="320"/>
      <c r="Y725" s="320"/>
      <c r="Z725" s="320"/>
    </row>
    <row r="726">
      <c r="A726" s="320"/>
      <c r="B726" s="320"/>
      <c r="C726" s="320"/>
      <c r="D726" s="320"/>
      <c r="E726" s="320"/>
      <c r="F726" s="320"/>
      <c r="G726" s="320"/>
      <c r="H726" s="320"/>
      <c r="I726" s="320"/>
      <c r="J726" s="320"/>
      <c r="K726" s="320"/>
      <c r="L726" s="320"/>
      <c r="M726" s="320"/>
      <c r="N726" s="320"/>
      <c r="O726" s="320"/>
      <c r="P726" s="320"/>
      <c r="Q726" s="320"/>
      <c r="R726" s="320"/>
      <c r="S726" s="320"/>
      <c r="T726" s="320"/>
      <c r="U726" s="320"/>
      <c r="V726" s="320"/>
      <c r="W726" s="320"/>
      <c r="X726" s="320"/>
      <c r="Y726" s="320"/>
      <c r="Z726" s="320"/>
    </row>
    <row r="727">
      <c r="A727" s="320"/>
      <c r="B727" s="320"/>
      <c r="C727" s="320"/>
      <c r="D727" s="320"/>
      <c r="E727" s="320"/>
      <c r="F727" s="320"/>
      <c r="G727" s="320"/>
      <c r="H727" s="320"/>
      <c r="I727" s="320"/>
      <c r="J727" s="320"/>
      <c r="K727" s="320"/>
      <c r="L727" s="320"/>
      <c r="M727" s="320"/>
      <c r="N727" s="320"/>
      <c r="O727" s="320"/>
      <c r="P727" s="320"/>
      <c r="Q727" s="320"/>
      <c r="R727" s="320"/>
      <c r="S727" s="320"/>
      <c r="T727" s="320"/>
      <c r="U727" s="320"/>
      <c r="V727" s="320"/>
      <c r="W727" s="320"/>
      <c r="X727" s="320"/>
      <c r="Y727" s="320"/>
      <c r="Z727" s="320"/>
    </row>
    <row r="728">
      <c r="A728" s="320"/>
      <c r="B728" s="320"/>
      <c r="C728" s="320"/>
      <c r="D728" s="320"/>
      <c r="E728" s="320"/>
      <c r="F728" s="320"/>
      <c r="G728" s="320"/>
      <c r="H728" s="320"/>
      <c r="I728" s="320"/>
      <c r="J728" s="320"/>
      <c r="K728" s="320"/>
      <c r="L728" s="320"/>
      <c r="M728" s="320"/>
      <c r="N728" s="320"/>
      <c r="O728" s="320"/>
      <c r="P728" s="320"/>
      <c r="Q728" s="320"/>
      <c r="R728" s="320"/>
      <c r="S728" s="320"/>
      <c r="T728" s="320"/>
      <c r="U728" s="320"/>
      <c r="V728" s="320"/>
      <c r="W728" s="320"/>
      <c r="X728" s="320"/>
      <c r="Y728" s="320"/>
      <c r="Z728" s="320"/>
    </row>
    <row r="729">
      <c r="A729" s="320"/>
      <c r="B729" s="320"/>
      <c r="C729" s="320"/>
      <c r="D729" s="320"/>
      <c r="E729" s="320"/>
      <c r="F729" s="320"/>
      <c r="G729" s="320"/>
      <c r="H729" s="320"/>
      <c r="I729" s="320"/>
      <c r="J729" s="320"/>
      <c r="K729" s="320"/>
      <c r="L729" s="320"/>
      <c r="M729" s="320"/>
      <c r="N729" s="320"/>
      <c r="O729" s="320"/>
      <c r="P729" s="320"/>
      <c r="Q729" s="320"/>
      <c r="R729" s="320"/>
      <c r="S729" s="320"/>
      <c r="T729" s="320"/>
      <c r="U729" s="320"/>
      <c r="V729" s="320"/>
      <c r="W729" s="320"/>
      <c r="X729" s="320"/>
      <c r="Y729" s="320"/>
      <c r="Z729" s="320"/>
    </row>
    <row r="730">
      <c r="A730" s="320"/>
      <c r="B730" s="320"/>
      <c r="C730" s="320"/>
      <c r="D730" s="320"/>
      <c r="E730" s="320"/>
      <c r="F730" s="320"/>
      <c r="G730" s="320"/>
      <c r="H730" s="320"/>
      <c r="I730" s="320"/>
      <c r="J730" s="320"/>
      <c r="K730" s="320"/>
      <c r="L730" s="320"/>
      <c r="M730" s="320"/>
      <c r="N730" s="320"/>
      <c r="O730" s="320"/>
      <c r="P730" s="320"/>
      <c r="Q730" s="320"/>
      <c r="R730" s="320"/>
      <c r="S730" s="320"/>
      <c r="T730" s="320"/>
      <c r="U730" s="320"/>
      <c r="V730" s="320"/>
      <c r="W730" s="320"/>
      <c r="X730" s="320"/>
      <c r="Y730" s="320"/>
      <c r="Z730" s="320"/>
    </row>
    <row r="731">
      <c r="A731" s="320"/>
      <c r="B731" s="320"/>
      <c r="C731" s="320"/>
      <c r="D731" s="320"/>
      <c r="E731" s="320"/>
      <c r="F731" s="320"/>
      <c r="G731" s="320"/>
      <c r="H731" s="320"/>
      <c r="I731" s="320"/>
      <c r="J731" s="320"/>
      <c r="K731" s="320"/>
      <c r="L731" s="320"/>
      <c r="M731" s="320"/>
      <c r="N731" s="320"/>
      <c r="O731" s="320"/>
      <c r="P731" s="320"/>
      <c r="Q731" s="320"/>
      <c r="R731" s="320"/>
      <c r="S731" s="320"/>
      <c r="T731" s="320"/>
      <c r="U731" s="320"/>
      <c r="V731" s="320"/>
      <c r="W731" s="320"/>
      <c r="X731" s="320"/>
      <c r="Y731" s="320"/>
      <c r="Z731" s="320"/>
    </row>
    <row r="732">
      <c r="A732" s="320"/>
      <c r="B732" s="320"/>
      <c r="C732" s="320"/>
      <c r="D732" s="320"/>
      <c r="E732" s="320"/>
      <c r="F732" s="320"/>
      <c r="G732" s="320"/>
      <c r="H732" s="320"/>
      <c r="I732" s="320"/>
      <c r="J732" s="320"/>
      <c r="K732" s="320"/>
      <c r="L732" s="320"/>
      <c r="M732" s="320"/>
      <c r="N732" s="320"/>
      <c r="O732" s="320"/>
      <c r="P732" s="320"/>
      <c r="Q732" s="320"/>
      <c r="R732" s="320"/>
      <c r="S732" s="320"/>
      <c r="T732" s="320"/>
      <c r="U732" s="320"/>
      <c r="V732" s="320"/>
      <c r="W732" s="320"/>
      <c r="X732" s="320"/>
      <c r="Y732" s="320"/>
      <c r="Z732" s="320"/>
    </row>
    <row r="733">
      <c r="A733" s="320"/>
      <c r="B733" s="320"/>
      <c r="C733" s="320"/>
      <c r="D733" s="320"/>
      <c r="E733" s="320"/>
      <c r="F733" s="320"/>
      <c r="G733" s="320"/>
      <c r="H733" s="320"/>
      <c r="I733" s="320"/>
      <c r="J733" s="320"/>
      <c r="K733" s="320"/>
      <c r="L733" s="320"/>
      <c r="M733" s="320"/>
      <c r="N733" s="320"/>
      <c r="O733" s="320"/>
      <c r="P733" s="320"/>
      <c r="Q733" s="320"/>
      <c r="R733" s="320"/>
      <c r="S733" s="320"/>
      <c r="T733" s="320"/>
      <c r="U733" s="320"/>
      <c r="V733" s="320"/>
      <c r="W733" s="320"/>
      <c r="X733" s="320"/>
      <c r="Y733" s="320"/>
      <c r="Z733" s="320"/>
    </row>
    <row r="734">
      <c r="A734" s="320"/>
      <c r="B734" s="320"/>
      <c r="C734" s="320"/>
      <c r="D734" s="320"/>
      <c r="E734" s="320"/>
      <c r="F734" s="320"/>
      <c r="G734" s="320"/>
      <c r="H734" s="320"/>
      <c r="I734" s="320"/>
      <c r="J734" s="320"/>
      <c r="K734" s="320"/>
      <c r="L734" s="320"/>
      <c r="M734" s="320"/>
      <c r="N734" s="320"/>
      <c r="O734" s="320"/>
      <c r="P734" s="320"/>
      <c r="Q734" s="320"/>
      <c r="R734" s="320"/>
      <c r="S734" s="320"/>
      <c r="T734" s="320"/>
      <c r="U734" s="320"/>
      <c r="V734" s="320"/>
      <c r="W734" s="320"/>
      <c r="X734" s="320"/>
      <c r="Y734" s="320"/>
      <c r="Z734" s="320"/>
    </row>
    <row r="735">
      <c r="A735" s="320"/>
      <c r="B735" s="320"/>
      <c r="C735" s="320"/>
      <c r="D735" s="320"/>
      <c r="E735" s="320"/>
      <c r="F735" s="320"/>
      <c r="G735" s="320"/>
      <c r="H735" s="320"/>
      <c r="I735" s="320"/>
      <c r="J735" s="320"/>
      <c r="K735" s="320"/>
      <c r="L735" s="320"/>
      <c r="M735" s="320"/>
      <c r="N735" s="320"/>
      <c r="O735" s="320"/>
      <c r="P735" s="320"/>
      <c r="Q735" s="320"/>
      <c r="R735" s="320"/>
      <c r="S735" s="320"/>
      <c r="T735" s="320"/>
      <c r="U735" s="320"/>
      <c r="V735" s="320"/>
      <c r="W735" s="320"/>
      <c r="X735" s="320"/>
      <c r="Y735" s="320"/>
      <c r="Z735" s="320"/>
    </row>
    <row r="736">
      <c r="A736" s="320"/>
      <c r="B736" s="320"/>
      <c r="C736" s="320"/>
      <c r="D736" s="320"/>
      <c r="E736" s="320"/>
      <c r="F736" s="320"/>
      <c r="G736" s="320"/>
      <c r="H736" s="320"/>
      <c r="I736" s="320"/>
      <c r="J736" s="320"/>
      <c r="K736" s="320"/>
      <c r="L736" s="320"/>
      <c r="M736" s="320"/>
      <c r="N736" s="320"/>
      <c r="O736" s="320"/>
      <c r="P736" s="320"/>
      <c r="Q736" s="320"/>
      <c r="R736" s="320"/>
      <c r="S736" s="320"/>
      <c r="T736" s="320"/>
      <c r="U736" s="320"/>
      <c r="V736" s="320"/>
      <c r="W736" s="320"/>
      <c r="X736" s="320"/>
      <c r="Y736" s="320"/>
      <c r="Z736" s="320"/>
    </row>
    <row r="737">
      <c r="A737" s="320"/>
      <c r="B737" s="320"/>
      <c r="C737" s="320"/>
      <c r="D737" s="320"/>
      <c r="E737" s="320"/>
      <c r="F737" s="320"/>
      <c r="G737" s="320"/>
      <c r="H737" s="320"/>
      <c r="I737" s="320"/>
      <c r="J737" s="320"/>
      <c r="K737" s="320"/>
      <c r="L737" s="320"/>
      <c r="M737" s="320"/>
      <c r="N737" s="320"/>
      <c r="O737" s="320"/>
      <c r="P737" s="320"/>
      <c r="Q737" s="320"/>
      <c r="R737" s="320"/>
      <c r="S737" s="320"/>
      <c r="T737" s="320"/>
      <c r="U737" s="320"/>
      <c r="V737" s="320"/>
      <c r="W737" s="320"/>
      <c r="X737" s="320"/>
      <c r="Y737" s="320"/>
      <c r="Z737" s="320"/>
    </row>
    <row r="738">
      <c r="A738" s="320"/>
      <c r="B738" s="320"/>
      <c r="C738" s="320"/>
      <c r="D738" s="320"/>
      <c r="E738" s="320"/>
      <c r="F738" s="320"/>
      <c r="G738" s="320"/>
      <c r="H738" s="320"/>
      <c r="I738" s="320"/>
      <c r="J738" s="320"/>
      <c r="K738" s="320"/>
      <c r="L738" s="320"/>
      <c r="M738" s="320"/>
      <c r="N738" s="320"/>
      <c r="O738" s="320"/>
      <c r="P738" s="320"/>
      <c r="Q738" s="320"/>
      <c r="R738" s="320"/>
      <c r="S738" s="320"/>
      <c r="T738" s="320"/>
      <c r="U738" s="320"/>
      <c r="V738" s="320"/>
      <c r="W738" s="320"/>
      <c r="X738" s="320"/>
      <c r="Y738" s="320"/>
      <c r="Z738" s="320"/>
    </row>
    <row r="739">
      <c r="A739" s="320"/>
      <c r="B739" s="320"/>
      <c r="C739" s="320"/>
      <c r="D739" s="320"/>
      <c r="E739" s="320"/>
      <c r="F739" s="320"/>
      <c r="G739" s="320"/>
      <c r="H739" s="320"/>
      <c r="I739" s="320"/>
      <c r="J739" s="320"/>
      <c r="K739" s="320"/>
      <c r="L739" s="320"/>
      <c r="M739" s="320"/>
      <c r="N739" s="320"/>
      <c r="O739" s="320"/>
      <c r="P739" s="320"/>
      <c r="Q739" s="320"/>
      <c r="R739" s="320"/>
      <c r="S739" s="320"/>
      <c r="T739" s="320"/>
      <c r="U739" s="320"/>
      <c r="V739" s="320"/>
      <c r="W739" s="320"/>
      <c r="X739" s="320"/>
      <c r="Y739" s="320"/>
      <c r="Z739" s="320"/>
    </row>
    <row r="740">
      <c r="A740" s="320"/>
      <c r="B740" s="320"/>
      <c r="C740" s="320"/>
      <c r="D740" s="320"/>
      <c r="E740" s="320"/>
      <c r="F740" s="320"/>
      <c r="G740" s="320"/>
      <c r="H740" s="320"/>
      <c r="I740" s="320"/>
      <c r="J740" s="320"/>
      <c r="K740" s="320"/>
      <c r="L740" s="320"/>
      <c r="M740" s="320"/>
      <c r="N740" s="320"/>
      <c r="O740" s="320"/>
      <c r="P740" s="320"/>
      <c r="Q740" s="320"/>
      <c r="R740" s="320"/>
      <c r="S740" s="320"/>
      <c r="T740" s="320"/>
      <c r="U740" s="320"/>
      <c r="V740" s="320"/>
      <c r="W740" s="320"/>
      <c r="X740" s="320"/>
      <c r="Y740" s="320"/>
      <c r="Z740" s="320"/>
    </row>
    <row r="741">
      <c r="A741" s="320"/>
      <c r="B741" s="320"/>
      <c r="C741" s="320"/>
      <c r="D741" s="320"/>
      <c r="E741" s="320"/>
      <c r="F741" s="320"/>
      <c r="G741" s="320"/>
      <c r="H741" s="320"/>
      <c r="I741" s="320"/>
      <c r="J741" s="320"/>
      <c r="K741" s="320"/>
      <c r="L741" s="320"/>
      <c r="M741" s="320"/>
      <c r="N741" s="320"/>
      <c r="O741" s="320"/>
      <c r="P741" s="320"/>
      <c r="Q741" s="320"/>
      <c r="R741" s="320"/>
      <c r="S741" s="320"/>
      <c r="T741" s="320"/>
      <c r="U741" s="320"/>
      <c r="V741" s="320"/>
      <c r="W741" s="320"/>
      <c r="X741" s="320"/>
      <c r="Y741" s="320"/>
      <c r="Z741" s="320"/>
    </row>
    <row r="742">
      <c r="A742" s="320"/>
      <c r="B742" s="320"/>
      <c r="C742" s="320"/>
      <c r="D742" s="320"/>
      <c r="E742" s="320"/>
      <c r="F742" s="320"/>
      <c r="G742" s="320"/>
      <c r="H742" s="320"/>
      <c r="I742" s="320"/>
      <c r="J742" s="320"/>
      <c r="K742" s="320"/>
      <c r="L742" s="320"/>
      <c r="M742" s="320"/>
      <c r="N742" s="320"/>
      <c r="O742" s="320"/>
      <c r="P742" s="320"/>
      <c r="Q742" s="320"/>
      <c r="R742" s="320"/>
      <c r="S742" s="320"/>
      <c r="T742" s="320"/>
      <c r="U742" s="320"/>
      <c r="V742" s="320"/>
      <c r="W742" s="320"/>
      <c r="X742" s="320"/>
      <c r="Y742" s="320"/>
      <c r="Z742" s="320"/>
    </row>
    <row r="743">
      <c r="A743" s="320"/>
      <c r="B743" s="320"/>
      <c r="C743" s="320"/>
      <c r="D743" s="320"/>
      <c r="E743" s="320"/>
      <c r="F743" s="320"/>
      <c r="G743" s="320"/>
      <c r="H743" s="320"/>
      <c r="I743" s="320"/>
      <c r="J743" s="320"/>
      <c r="K743" s="320"/>
      <c r="L743" s="320"/>
      <c r="M743" s="320"/>
      <c r="N743" s="320"/>
      <c r="O743" s="320"/>
      <c r="P743" s="320"/>
      <c r="Q743" s="320"/>
      <c r="R743" s="320"/>
      <c r="S743" s="320"/>
      <c r="T743" s="320"/>
      <c r="U743" s="320"/>
      <c r="V743" s="320"/>
      <c r="W743" s="320"/>
      <c r="X743" s="320"/>
      <c r="Y743" s="320"/>
      <c r="Z743" s="320"/>
    </row>
    <row r="744">
      <c r="A744" s="320"/>
      <c r="B744" s="320"/>
      <c r="C744" s="320"/>
      <c r="D744" s="320"/>
      <c r="E744" s="320"/>
      <c r="F744" s="320"/>
      <c r="G744" s="320"/>
      <c r="H744" s="320"/>
      <c r="I744" s="320"/>
      <c r="J744" s="320"/>
      <c r="K744" s="320"/>
      <c r="L744" s="320"/>
      <c r="M744" s="320"/>
      <c r="N744" s="320"/>
      <c r="O744" s="320"/>
      <c r="P744" s="320"/>
      <c r="Q744" s="320"/>
      <c r="R744" s="320"/>
      <c r="S744" s="320"/>
      <c r="T744" s="320"/>
      <c r="U744" s="320"/>
      <c r="V744" s="320"/>
      <c r="W744" s="320"/>
      <c r="X744" s="320"/>
      <c r="Y744" s="320"/>
      <c r="Z744" s="320"/>
    </row>
    <row r="745">
      <c r="A745" s="320"/>
      <c r="B745" s="320"/>
      <c r="C745" s="320"/>
      <c r="D745" s="320"/>
      <c r="E745" s="320"/>
      <c r="F745" s="320"/>
      <c r="G745" s="320"/>
      <c r="H745" s="320"/>
      <c r="I745" s="320"/>
      <c r="J745" s="320"/>
      <c r="K745" s="320"/>
      <c r="L745" s="320"/>
      <c r="M745" s="320"/>
      <c r="N745" s="320"/>
      <c r="O745" s="320"/>
      <c r="P745" s="320"/>
      <c r="Q745" s="320"/>
      <c r="R745" s="320"/>
      <c r="S745" s="320"/>
      <c r="T745" s="320"/>
      <c r="U745" s="320"/>
      <c r="V745" s="320"/>
      <c r="W745" s="320"/>
      <c r="X745" s="320"/>
      <c r="Y745" s="320"/>
      <c r="Z745" s="320"/>
    </row>
    <row r="746">
      <c r="A746" s="320"/>
      <c r="B746" s="320"/>
      <c r="C746" s="320"/>
      <c r="D746" s="320"/>
      <c r="E746" s="320"/>
      <c r="F746" s="320"/>
      <c r="G746" s="320"/>
      <c r="H746" s="320"/>
      <c r="I746" s="320"/>
      <c r="J746" s="320"/>
      <c r="K746" s="320"/>
      <c r="L746" s="320"/>
      <c r="M746" s="320"/>
      <c r="N746" s="320"/>
      <c r="O746" s="320"/>
      <c r="P746" s="320"/>
      <c r="Q746" s="320"/>
      <c r="R746" s="320"/>
      <c r="S746" s="320"/>
      <c r="T746" s="320"/>
      <c r="U746" s="320"/>
      <c r="V746" s="320"/>
      <c r="W746" s="320"/>
      <c r="X746" s="320"/>
      <c r="Y746" s="320"/>
      <c r="Z746" s="320"/>
    </row>
    <row r="747">
      <c r="A747" s="320"/>
      <c r="B747" s="320"/>
      <c r="C747" s="320"/>
      <c r="D747" s="320"/>
      <c r="E747" s="320"/>
      <c r="F747" s="320"/>
      <c r="G747" s="320"/>
      <c r="H747" s="320"/>
      <c r="I747" s="320"/>
      <c r="J747" s="320"/>
      <c r="K747" s="320"/>
      <c r="L747" s="320"/>
      <c r="M747" s="320"/>
      <c r="N747" s="320"/>
      <c r="O747" s="320"/>
      <c r="P747" s="320"/>
      <c r="Q747" s="320"/>
      <c r="R747" s="320"/>
      <c r="S747" s="320"/>
      <c r="T747" s="320"/>
      <c r="U747" s="320"/>
      <c r="V747" s="320"/>
      <c r="W747" s="320"/>
      <c r="X747" s="320"/>
      <c r="Y747" s="320"/>
      <c r="Z747" s="320"/>
    </row>
    <row r="748">
      <c r="A748" s="320"/>
      <c r="B748" s="320"/>
      <c r="C748" s="320"/>
      <c r="D748" s="320"/>
      <c r="E748" s="320"/>
      <c r="F748" s="320"/>
      <c r="G748" s="320"/>
      <c r="H748" s="320"/>
      <c r="I748" s="320"/>
      <c r="J748" s="320"/>
      <c r="K748" s="320"/>
      <c r="L748" s="320"/>
      <c r="M748" s="320"/>
      <c r="N748" s="320"/>
      <c r="O748" s="320"/>
      <c r="P748" s="320"/>
      <c r="Q748" s="320"/>
      <c r="R748" s="320"/>
      <c r="S748" s="320"/>
      <c r="T748" s="320"/>
      <c r="U748" s="320"/>
      <c r="V748" s="320"/>
      <c r="W748" s="320"/>
      <c r="X748" s="320"/>
      <c r="Y748" s="320"/>
      <c r="Z748" s="320"/>
    </row>
    <row r="749">
      <c r="A749" s="320"/>
      <c r="B749" s="320"/>
      <c r="C749" s="320"/>
      <c r="D749" s="320"/>
      <c r="E749" s="320"/>
      <c r="F749" s="320"/>
      <c r="G749" s="320"/>
      <c r="H749" s="320"/>
      <c r="I749" s="320"/>
      <c r="J749" s="320"/>
      <c r="K749" s="320"/>
      <c r="L749" s="320"/>
      <c r="M749" s="320"/>
      <c r="N749" s="320"/>
      <c r="O749" s="320"/>
      <c r="P749" s="320"/>
      <c r="Q749" s="320"/>
      <c r="R749" s="320"/>
      <c r="S749" s="320"/>
      <c r="T749" s="320"/>
      <c r="U749" s="320"/>
      <c r="V749" s="320"/>
      <c r="W749" s="320"/>
      <c r="X749" s="320"/>
      <c r="Y749" s="320"/>
      <c r="Z749" s="320"/>
    </row>
    <row r="750">
      <c r="A750" s="320"/>
      <c r="B750" s="320"/>
      <c r="C750" s="320"/>
      <c r="D750" s="320"/>
      <c r="E750" s="320"/>
      <c r="F750" s="320"/>
      <c r="G750" s="320"/>
      <c r="H750" s="320"/>
      <c r="I750" s="320"/>
      <c r="J750" s="320"/>
      <c r="K750" s="320"/>
      <c r="L750" s="320"/>
      <c r="M750" s="320"/>
      <c r="N750" s="320"/>
      <c r="O750" s="320"/>
      <c r="P750" s="320"/>
      <c r="Q750" s="320"/>
      <c r="R750" s="320"/>
      <c r="S750" s="320"/>
      <c r="T750" s="320"/>
      <c r="U750" s="320"/>
      <c r="V750" s="320"/>
      <c r="W750" s="320"/>
      <c r="X750" s="320"/>
      <c r="Y750" s="320"/>
      <c r="Z750" s="320"/>
    </row>
    <row r="751">
      <c r="A751" s="320"/>
      <c r="B751" s="320"/>
      <c r="C751" s="320"/>
      <c r="D751" s="320"/>
      <c r="E751" s="320"/>
      <c r="F751" s="320"/>
      <c r="G751" s="320"/>
      <c r="H751" s="320"/>
      <c r="I751" s="320"/>
      <c r="J751" s="320"/>
      <c r="K751" s="320"/>
      <c r="L751" s="320"/>
      <c r="M751" s="320"/>
      <c r="N751" s="320"/>
      <c r="O751" s="320"/>
      <c r="P751" s="320"/>
      <c r="Q751" s="320"/>
      <c r="R751" s="320"/>
      <c r="S751" s="320"/>
      <c r="T751" s="320"/>
      <c r="U751" s="320"/>
      <c r="V751" s="320"/>
      <c r="W751" s="320"/>
      <c r="X751" s="320"/>
      <c r="Y751" s="320"/>
      <c r="Z751" s="320"/>
    </row>
    <row r="752">
      <c r="A752" s="320"/>
      <c r="B752" s="320"/>
      <c r="C752" s="320"/>
      <c r="D752" s="320"/>
      <c r="E752" s="320"/>
      <c r="F752" s="320"/>
      <c r="G752" s="320"/>
      <c r="H752" s="320"/>
      <c r="I752" s="320"/>
      <c r="J752" s="320"/>
      <c r="K752" s="320"/>
      <c r="L752" s="320"/>
      <c r="M752" s="320"/>
      <c r="N752" s="320"/>
      <c r="O752" s="320"/>
      <c r="P752" s="320"/>
      <c r="Q752" s="320"/>
      <c r="R752" s="320"/>
      <c r="S752" s="320"/>
      <c r="T752" s="320"/>
      <c r="U752" s="320"/>
      <c r="V752" s="320"/>
      <c r="W752" s="320"/>
      <c r="X752" s="320"/>
      <c r="Y752" s="320"/>
      <c r="Z752" s="320"/>
    </row>
    <row r="753">
      <c r="A753" s="320"/>
      <c r="B753" s="320"/>
      <c r="C753" s="320"/>
      <c r="D753" s="320"/>
      <c r="E753" s="320"/>
      <c r="F753" s="320"/>
      <c r="G753" s="320"/>
      <c r="H753" s="320"/>
      <c r="I753" s="320"/>
      <c r="J753" s="320"/>
      <c r="K753" s="320"/>
      <c r="L753" s="320"/>
      <c r="M753" s="320"/>
      <c r="N753" s="320"/>
      <c r="O753" s="320"/>
      <c r="P753" s="320"/>
      <c r="Q753" s="320"/>
      <c r="R753" s="320"/>
      <c r="S753" s="320"/>
      <c r="T753" s="320"/>
      <c r="U753" s="320"/>
      <c r="V753" s="320"/>
      <c r="W753" s="320"/>
      <c r="X753" s="320"/>
      <c r="Y753" s="320"/>
      <c r="Z753" s="320"/>
    </row>
    <row r="754">
      <c r="A754" s="320"/>
      <c r="B754" s="320"/>
      <c r="C754" s="320"/>
      <c r="D754" s="320"/>
      <c r="E754" s="320"/>
      <c r="F754" s="320"/>
      <c r="G754" s="320"/>
      <c r="H754" s="320"/>
      <c r="I754" s="320"/>
      <c r="J754" s="320"/>
      <c r="K754" s="320"/>
      <c r="L754" s="320"/>
      <c r="M754" s="320"/>
      <c r="N754" s="320"/>
      <c r="O754" s="320"/>
      <c r="P754" s="320"/>
      <c r="Q754" s="320"/>
      <c r="R754" s="320"/>
      <c r="S754" s="320"/>
      <c r="T754" s="320"/>
      <c r="U754" s="320"/>
      <c r="V754" s="320"/>
      <c r="W754" s="320"/>
      <c r="X754" s="320"/>
      <c r="Y754" s="320"/>
      <c r="Z754" s="320"/>
    </row>
    <row r="755">
      <c r="A755" s="320"/>
      <c r="B755" s="320"/>
      <c r="C755" s="320"/>
      <c r="D755" s="320"/>
      <c r="E755" s="320"/>
      <c r="F755" s="320"/>
      <c r="G755" s="320"/>
      <c r="H755" s="320"/>
      <c r="I755" s="320"/>
      <c r="J755" s="320"/>
      <c r="K755" s="320"/>
      <c r="L755" s="320"/>
      <c r="M755" s="320"/>
      <c r="N755" s="320"/>
      <c r="O755" s="320"/>
      <c r="P755" s="320"/>
      <c r="Q755" s="320"/>
      <c r="R755" s="320"/>
      <c r="S755" s="320"/>
      <c r="T755" s="320"/>
      <c r="U755" s="320"/>
      <c r="V755" s="320"/>
      <c r="W755" s="320"/>
      <c r="X755" s="320"/>
      <c r="Y755" s="320"/>
      <c r="Z755" s="320"/>
    </row>
    <row r="756">
      <c r="A756" s="320"/>
      <c r="B756" s="320"/>
      <c r="C756" s="320"/>
      <c r="D756" s="320"/>
      <c r="E756" s="320"/>
      <c r="F756" s="320"/>
      <c r="G756" s="320"/>
      <c r="H756" s="320"/>
      <c r="I756" s="320"/>
      <c r="J756" s="320"/>
      <c r="K756" s="320"/>
      <c r="L756" s="320"/>
      <c r="M756" s="320"/>
      <c r="N756" s="320"/>
      <c r="O756" s="320"/>
      <c r="P756" s="320"/>
      <c r="Q756" s="320"/>
      <c r="R756" s="320"/>
      <c r="S756" s="320"/>
      <c r="T756" s="320"/>
      <c r="U756" s="320"/>
      <c r="V756" s="320"/>
      <c r="W756" s="320"/>
      <c r="X756" s="320"/>
      <c r="Y756" s="320"/>
      <c r="Z756" s="320"/>
    </row>
    <row r="757">
      <c r="A757" s="320"/>
      <c r="B757" s="320"/>
      <c r="C757" s="320"/>
      <c r="D757" s="320"/>
      <c r="E757" s="320"/>
      <c r="F757" s="320"/>
      <c r="G757" s="320"/>
      <c r="H757" s="320"/>
      <c r="I757" s="320"/>
      <c r="J757" s="320"/>
      <c r="K757" s="320"/>
      <c r="L757" s="320"/>
      <c r="M757" s="320"/>
      <c r="N757" s="320"/>
      <c r="O757" s="320"/>
      <c r="P757" s="320"/>
      <c r="Q757" s="320"/>
      <c r="R757" s="320"/>
      <c r="S757" s="320"/>
      <c r="T757" s="320"/>
      <c r="U757" s="320"/>
      <c r="V757" s="320"/>
      <c r="W757" s="320"/>
      <c r="X757" s="320"/>
      <c r="Y757" s="320"/>
      <c r="Z757" s="320"/>
    </row>
    <row r="758">
      <c r="A758" s="320"/>
      <c r="B758" s="320"/>
      <c r="C758" s="320"/>
      <c r="D758" s="320"/>
      <c r="E758" s="320"/>
      <c r="F758" s="320"/>
      <c r="G758" s="320"/>
      <c r="H758" s="320"/>
      <c r="I758" s="320"/>
      <c r="J758" s="320"/>
      <c r="K758" s="320"/>
      <c r="L758" s="320"/>
      <c r="M758" s="320"/>
      <c r="N758" s="320"/>
      <c r="O758" s="320"/>
      <c r="P758" s="320"/>
      <c r="Q758" s="320"/>
      <c r="R758" s="320"/>
      <c r="S758" s="320"/>
      <c r="T758" s="320"/>
      <c r="U758" s="320"/>
      <c r="V758" s="320"/>
      <c r="W758" s="320"/>
      <c r="X758" s="320"/>
      <c r="Y758" s="320"/>
      <c r="Z758" s="320"/>
    </row>
    <row r="759">
      <c r="A759" s="320"/>
      <c r="B759" s="320"/>
      <c r="C759" s="320"/>
      <c r="D759" s="320"/>
      <c r="E759" s="320"/>
      <c r="F759" s="320"/>
      <c r="G759" s="320"/>
      <c r="H759" s="320"/>
      <c r="I759" s="320"/>
      <c r="J759" s="320"/>
      <c r="K759" s="320"/>
      <c r="L759" s="320"/>
      <c r="M759" s="320"/>
      <c r="N759" s="320"/>
      <c r="O759" s="320"/>
      <c r="P759" s="320"/>
      <c r="Q759" s="320"/>
      <c r="R759" s="320"/>
      <c r="S759" s="320"/>
      <c r="T759" s="320"/>
      <c r="U759" s="320"/>
      <c r="V759" s="320"/>
      <c r="W759" s="320"/>
      <c r="X759" s="320"/>
      <c r="Y759" s="320"/>
      <c r="Z759" s="320"/>
    </row>
    <row r="760">
      <c r="A760" s="320"/>
      <c r="B760" s="320"/>
      <c r="C760" s="320"/>
      <c r="D760" s="320"/>
      <c r="E760" s="320"/>
      <c r="F760" s="320"/>
      <c r="G760" s="320"/>
      <c r="H760" s="320"/>
      <c r="I760" s="320"/>
      <c r="J760" s="320"/>
      <c r="K760" s="320"/>
      <c r="L760" s="320"/>
      <c r="M760" s="320"/>
      <c r="N760" s="320"/>
      <c r="O760" s="320"/>
      <c r="P760" s="320"/>
      <c r="Q760" s="320"/>
      <c r="R760" s="320"/>
      <c r="S760" s="320"/>
      <c r="T760" s="320"/>
      <c r="U760" s="320"/>
      <c r="V760" s="320"/>
      <c r="W760" s="320"/>
      <c r="X760" s="320"/>
      <c r="Y760" s="320"/>
      <c r="Z760" s="320"/>
    </row>
    <row r="761">
      <c r="A761" s="320"/>
      <c r="B761" s="320"/>
      <c r="C761" s="320"/>
      <c r="D761" s="320"/>
      <c r="E761" s="320"/>
      <c r="F761" s="320"/>
      <c r="G761" s="320"/>
      <c r="H761" s="320"/>
      <c r="I761" s="320"/>
      <c r="J761" s="320"/>
      <c r="K761" s="320"/>
      <c r="L761" s="320"/>
      <c r="M761" s="320"/>
      <c r="N761" s="320"/>
      <c r="O761" s="320"/>
      <c r="P761" s="320"/>
      <c r="Q761" s="320"/>
      <c r="R761" s="320"/>
      <c r="S761" s="320"/>
      <c r="T761" s="320"/>
      <c r="U761" s="320"/>
      <c r="V761" s="320"/>
      <c r="W761" s="320"/>
      <c r="X761" s="320"/>
      <c r="Y761" s="320"/>
      <c r="Z761" s="320"/>
    </row>
    <row r="762">
      <c r="A762" s="320"/>
      <c r="B762" s="320"/>
      <c r="C762" s="320"/>
      <c r="D762" s="320"/>
      <c r="E762" s="320"/>
      <c r="F762" s="320"/>
      <c r="G762" s="320"/>
      <c r="H762" s="320"/>
      <c r="I762" s="320"/>
      <c r="J762" s="320"/>
      <c r="K762" s="320"/>
      <c r="L762" s="320"/>
      <c r="M762" s="320"/>
      <c r="N762" s="320"/>
      <c r="O762" s="320"/>
      <c r="P762" s="320"/>
      <c r="Q762" s="320"/>
      <c r="R762" s="320"/>
      <c r="S762" s="320"/>
      <c r="T762" s="320"/>
      <c r="U762" s="320"/>
      <c r="V762" s="320"/>
      <c r="W762" s="320"/>
      <c r="X762" s="320"/>
      <c r="Y762" s="320"/>
      <c r="Z762" s="320"/>
    </row>
    <row r="763">
      <c r="A763" s="320"/>
      <c r="B763" s="320"/>
      <c r="C763" s="320"/>
      <c r="D763" s="320"/>
      <c r="E763" s="320"/>
      <c r="F763" s="320"/>
      <c r="G763" s="320"/>
      <c r="H763" s="320"/>
      <c r="I763" s="320"/>
      <c r="J763" s="320"/>
      <c r="K763" s="320"/>
      <c r="L763" s="320"/>
      <c r="M763" s="320"/>
      <c r="N763" s="320"/>
      <c r="O763" s="320"/>
      <c r="P763" s="320"/>
      <c r="Q763" s="320"/>
      <c r="R763" s="320"/>
      <c r="S763" s="320"/>
      <c r="T763" s="320"/>
      <c r="U763" s="320"/>
      <c r="V763" s="320"/>
      <c r="W763" s="320"/>
      <c r="X763" s="320"/>
      <c r="Y763" s="320"/>
      <c r="Z763" s="320"/>
    </row>
    <row r="764">
      <c r="A764" s="320"/>
      <c r="B764" s="320"/>
      <c r="C764" s="320"/>
      <c r="D764" s="320"/>
      <c r="E764" s="320"/>
      <c r="F764" s="320"/>
      <c r="G764" s="320"/>
      <c r="H764" s="320"/>
      <c r="I764" s="320"/>
      <c r="J764" s="320"/>
      <c r="K764" s="320"/>
      <c r="L764" s="320"/>
      <c r="M764" s="320"/>
      <c r="N764" s="320"/>
      <c r="O764" s="320"/>
      <c r="P764" s="320"/>
      <c r="Q764" s="320"/>
      <c r="R764" s="320"/>
      <c r="S764" s="320"/>
      <c r="T764" s="320"/>
      <c r="U764" s="320"/>
      <c r="V764" s="320"/>
      <c r="W764" s="320"/>
      <c r="X764" s="320"/>
      <c r="Y764" s="320"/>
      <c r="Z764" s="320"/>
    </row>
    <row r="765">
      <c r="A765" s="320"/>
      <c r="B765" s="320"/>
      <c r="C765" s="320"/>
      <c r="D765" s="320"/>
      <c r="E765" s="320"/>
      <c r="F765" s="320"/>
      <c r="G765" s="320"/>
      <c r="H765" s="320"/>
      <c r="I765" s="320"/>
      <c r="J765" s="320"/>
      <c r="K765" s="320"/>
      <c r="L765" s="320"/>
      <c r="M765" s="320"/>
      <c r="N765" s="320"/>
      <c r="O765" s="320"/>
      <c r="P765" s="320"/>
      <c r="Q765" s="320"/>
      <c r="R765" s="320"/>
      <c r="S765" s="320"/>
      <c r="T765" s="320"/>
      <c r="U765" s="320"/>
      <c r="V765" s="320"/>
      <c r="W765" s="320"/>
      <c r="X765" s="320"/>
      <c r="Y765" s="320"/>
      <c r="Z765" s="320"/>
    </row>
    <row r="766">
      <c r="A766" s="320"/>
      <c r="B766" s="320"/>
      <c r="C766" s="320"/>
      <c r="D766" s="320"/>
      <c r="E766" s="320"/>
      <c r="F766" s="320"/>
      <c r="G766" s="320"/>
      <c r="H766" s="320"/>
      <c r="I766" s="320"/>
      <c r="J766" s="320"/>
      <c r="K766" s="320"/>
      <c r="L766" s="320"/>
      <c r="M766" s="320"/>
      <c r="N766" s="320"/>
      <c r="O766" s="320"/>
      <c r="P766" s="320"/>
      <c r="Q766" s="320"/>
      <c r="R766" s="320"/>
      <c r="S766" s="320"/>
      <c r="T766" s="320"/>
      <c r="U766" s="320"/>
      <c r="V766" s="320"/>
      <c r="W766" s="320"/>
      <c r="X766" s="320"/>
      <c r="Y766" s="320"/>
      <c r="Z766" s="320"/>
    </row>
    <row r="767">
      <c r="A767" s="320"/>
      <c r="B767" s="320"/>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row>
    <row r="768">
      <c r="A768" s="320"/>
      <c r="B768" s="320"/>
      <c r="C768" s="320"/>
      <c r="D768" s="320"/>
      <c r="E768" s="320"/>
      <c r="F768" s="320"/>
      <c r="G768" s="320"/>
      <c r="H768" s="320"/>
      <c r="I768" s="320"/>
      <c r="J768" s="320"/>
      <c r="K768" s="320"/>
      <c r="L768" s="320"/>
      <c r="M768" s="320"/>
      <c r="N768" s="320"/>
      <c r="O768" s="320"/>
      <c r="P768" s="320"/>
      <c r="Q768" s="320"/>
      <c r="R768" s="320"/>
      <c r="S768" s="320"/>
      <c r="T768" s="320"/>
      <c r="U768" s="320"/>
      <c r="V768" s="320"/>
      <c r="W768" s="320"/>
      <c r="X768" s="320"/>
      <c r="Y768" s="320"/>
      <c r="Z768" s="320"/>
    </row>
    <row r="769">
      <c r="A769" s="320"/>
      <c r="B769" s="320"/>
      <c r="C769" s="320"/>
      <c r="D769" s="320"/>
      <c r="E769" s="320"/>
      <c r="F769" s="320"/>
      <c r="G769" s="320"/>
      <c r="H769" s="320"/>
      <c r="I769" s="320"/>
      <c r="J769" s="320"/>
      <c r="K769" s="320"/>
      <c r="L769" s="320"/>
      <c r="M769" s="320"/>
      <c r="N769" s="320"/>
      <c r="O769" s="320"/>
      <c r="P769" s="320"/>
      <c r="Q769" s="320"/>
      <c r="R769" s="320"/>
      <c r="S769" s="320"/>
      <c r="T769" s="320"/>
      <c r="U769" s="320"/>
      <c r="V769" s="320"/>
      <c r="W769" s="320"/>
      <c r="X769" s="320"/>
      <c r="Y769" s="320"/>
      <c r="Z769" s="320"/>
    </row>
    <row r="770">
      <c r="A770" s="320"/>
      <c r="B770" s="320"/>
      <c r="C770" s="320"/>
      <c r="D770" s="320"/>
      <c r="E770" s="320"/>
      <c r="F770" s="320"/>
      <c r="G770" s="320"/>
      <c r="H770" s="320"/>
      <c r="I770" s="320"/>
      <c r="J770" s="320"/>
      <c r="K770" s="320"/>
      <c r="L770" s="320"/>
      <c r="M770" s="320"/>
      <c r="N770" s="320"/>
      <c r="O770" s="320"/>
      <c r="P770" s="320"/>
      <c r="Q770" s="320"/>
      <c r="R770" s="320"/>
      <c r="S770" s="320"/>
      <c r="T770" s="320"/>
      <c r="U770" s="320"/>
      <c r="V770" s="320"/>
      <c r="W770" s="320"/>
      <c r="X770" s="320"/>
      <c r="Y770" s="320"/>
      <c r="Z770" s="320"/>
    </row>
    <row r="771">
      <c r="A771" s="320"/>
      <c r="B771" s="320"/>
      <c r="C771" s="320"/>
      <c r="D771" s="320"/>
      <c r="E771" s="320"/>
      <c r="F771" s="320"/>
      <c r="G771" s="320"/>
      <c r="H771" s="320"/>
      <c r="I771" s="320"/>
      <c r="J771" s="320"/>
      <c r="K771" s="320"/>
      <c r="L771" s="320"/>
      <c r="M771" s="320"/>
      <c r="N771" s="320"/>
      <c r="O771" s="320"/>
      <c r="P771" s="320"/>
      <c r="Q771" s="320"/>
      <c r="R771" s="320"/>
      <c r="S771" s="320"/>
      <c r="T771" s="320"/>
      <c r="U771" s="320"/>
      <c r="V771" s="320"/>
      <c r="W771" s="320"/>
      <c r="X771" s="320"/>
      <c r="Y771" s="320"/>
      <c r="Z771" s="320"/>
    </row>
    <row r="772">
      <c r="A772" s="320"/>
      <c r="B772" s="320"/>
      <c r="C772" s="320"/>
      <c r="D772" s="320"/>
      <c r="E772" s="320"/>
      <c r="F772" s="320"/>
      <c r="G772" s="320"/>
      <c r="H772" s="320"/>
      <c r="I772" s="320"/>
      <c r="J772" s="320"/>
      <c r="K772" s="320"/>
      <c r="L772" s="320"/>
      <c r="M772" s="320"/>
      <c r="N772" s="320"/>
      <c r="O772" s="320"/>
      <c r="P772" s="320"/>
      <c r="Q772" s="320"/>
      <c r="R772" s="320"/>
      <c r="S772" s="320"/>
      <c r="T772" s="320"/>
      <c r="U772" s="320"/>
      <c r="V772" s="320"/>
      <c r="W772" s="320"/>
      <c r="X772" s="320"/>
      <c r="Y772" s="320"/>
      <c r="Z772" s="320"/>
    </row>
    <row r="773">
      <c r="A773" s="320"/>
      <c r="B773" s="320"/>
      <c r="C773" s="320"/>
      <c r="D773" s="320"/>
      <c r="E773" s="320"/>
      <c r="F773" s="320"/>
      <c r="G773" s="320"/>
      <c r="H773" s="320"/>
      <c r="I773" s="320"/>
      <c r="J773" s="320"/>
      <c r="K773" s="320"/>
      <c r="L773" s="320"/>
      <c r="M773" s="320"/>
      <c r="N773" s="320"/>
      <c r="O773" s="320"/>
      <c r="P773" s="320"/>
      <c r="Q773" s="320"/>
      <c r="R773" s="320"/>
      <c r="S773" s="320"/>
      <c r="T773" s="320"/>
      <c r="U773" s="320"/>
      <c r="V773" s="320"/>
      <c r="W773" s="320"/>
      <c r="X773" s="320"/>
      <c r="Y773" s="320"/>
      <c r="Z773" s="320"/>
    </row>
    <row r="774">
      <c r="A774" s="320"/>
      <c r="B774" s="320"/>
      <c r="C774" s="320"/>
      <c r="D774" s="320"/>
      <c r="E774" s="320"/>
      <c r="F774" s="320"/>
      <c r="G774" s="320"/>
      <c r="H774" s="320"/>
      <c r="I774" s="320"/>
      <c r="J774" s="320"/>
      <c r="K774" s="320"/>
      <c r="L774" s="320"/>
      <c r="M774" s="320"/>
      <c r="N774" s="320"/>
      <c r="O774" s="320"/>
      <c r="P774" s="320"/>
      <c r="Q774" s="320"/>
      <c r="R774" s="320"/>
      <c r="S774" s="320"/>
      <c r="T774" s="320"/>
      <c r="U774" s="320"/>
      <c r="V774" s="320"/>
      <c r="W774" s="320"/>
      <c r="X774" s="320"/>
      <c r="Y774" s="320"/>
      <c r="Z774" s="320"/>
    </row>
    <row r="775">
      <c r="A775" s="320"/>
      <c r="B775" s="320"/>
      <c r="C775" s="320"/>
      <c r="D775" s="320"/>
      <c r="E775" s="320"/>
      <c r="F775" s="320"/>
      <c r="G775" s="320"/>
      <c r="H775" s="320"/>
      <c r="I775" s="320"/>
      <c r="J775" s="320"/>
      <c r="K775" s="320"/>
      <c r="L775" s="320"/>
      <c r="M775" s="320"/>
      <c r="N775" s="320"/>
      <c r="O775" s="320"/>
      <c r="P775" s="320"/>
      <c r="Q775" s="320"/>
      <c r="R775" s="320"/>
      <c r="S775" s="320"/>
      <c r="T775" s="320"/>
      <c r="U775" s="320"/>
      <c r="V775" s="320"/>
      <c r="W775" s="320"/>
      <c r="X775" s="320"/>
      <c r="Y775" s="320"/>
      <c r="Z775" s="320"/>
    </row>
    <row r="776">
      <c r="A776" s="320"/>
      <c r="B776" s="320"/>
      <c r="C776" s="320"/>
      <c r="D776" s="320"/>
      <c r="E776" s="320"/>
      <c r="F776" s="320"/>
      <c r="G776" s="320"/>
      <c r="H776" s="320"/>
      <c r="I776" s="320"/>
      <c r="J776" s="320"/>
      <c r="K776" s="320"/>
      <c r="L776" s="320"/>
      <c r="M776" s="320"/>
      <c r="N776" s="320"/>
      <c r="O776" s="320"/>
      <c r="P776" s="320"/>
      <c r="Q776" s="320"/>
      <c r="R776" s="320"/>
      <c r="S776" s="320"/>
      <c r="T776" s="320"/>
      <c r="U776" s="320"/>
      <c r="V776" s="320"/>
      <c r="W776" s="320"/>
      <c r="X776" s="320"/>
      <c r="Y776" s="320"/>
      <c r="Z776" s="320"/>
    </row>
    <row r="777">
      <c r="A777" s="320"/>
      <c r="B777" s="320"/>
      <c r="C777" s="320"/>
      <c r="D777" s="320"/>
      <c r="E777" s="320"/>
      <c r="F777" s="320"/>
      <c r="G777" s="320"/>
      <c r="H777" s="320"/>
      <c r="I777" s="320"/>
      <c r="J777" s="320"/>
      <c r="K777" s="320"/>
      <c r="L777" s="320"/>
      <c r="M777" s="320"/>
      <c r="N777" s="320"/>
      <c r="O777" s="320"/>
      <c r="P777" s="320"/>
      <c r="Q777" s="320"/>
      <c r="R777" s="320"/>
      <c r="S777" s="320"/>
      <c r="T777" s="320"/>
      <c r="U777" s="320"/>
      <c r="V777" s="320"/>
      <c r="W777" s="320"/>
      <c r="X777" s="320"/>
      <c r="Y777" s="320"/>
      <c r="Z777" s="320"/>
    </row>
    <row r="778">
      <c r="A778" s="320"/>
      <c r="B778" s="320"/>
      <c r="C778" s="320"/>
      <c r="D778" s="320"/>
      <c r="E778" s="320"/>
      <c r="F778" s="320"/>
      <c r="G778" s="320"/>
      <c r="H778" s="320"/>
      <c r="I778" s="320"/>
      <c r="J778" s="320"/>
      <c r="K778" s="320"/>
      <c r="L778" s="320"/>
      <c r="M778" s="320"/>
      <c r="N778" s="320"/>
      <c r="O778" s="320"/>
      <c r="P778" s="320"/>
      <c r="Q778" s="320"/>
      <c r="R778" s="320"/>
      <c r="S778" s="320"/>
      <c r="T778" s="320"/>
      <c r="U778" s="320"/>
      <c r="V778" s="320"/>
      <c r="W778" s="320"/>
      <c r="X778" s="320"/>
      <c r="Y778" s="320"/>
      <c r="Z778" s="320"/>
    </row>
    <row r="779">
      <c r="A779" s="320"/>
      <c r="B779" s="320"/>
      <c r="C779" s="320"/>
      <c r="D779" s="320"/>
      <c r="E779" s="320"/>
      <c r="F779" s="320"/>
      <c r="G779" s="320"/>
      <c r="H779" s="320"/>
      <c r="I779" s="320"/>
      <c r="J779" s="320"/>
      <c r="K779" s="320"/>
      <c r="L779" s="320"/>
      <c r="M779" s="320"/>
      <c r="N779" s="320"/>
      <c r="O779" s="320"/>
      <c r="P779" s="320"/>
      <c r="Q779" s="320"/>
      <c r="R779" s="320"/>
      <c r="S779" s="320"/>
      <c r="T779" s="320"/>
      <c r="U779" s="320"/>
      <c r="V779" s="320"/>
      <c r="W779" s="320"/>
      <c r="X779" s="320"/>
      <c r="Y779" s="320"/>
      <c r="Z779" s="320"/>
    </row>
    <row r="780">
      <c r="A780" s="320"/>
      <c r="B780" s="320"/>
      <c r="C780" s="320"/>
      <c r="D780" s="320"/>
      <c r="E780" s="320"/>
      <c r="F780" s="320"/>
      <c r="G780" s="320"/>
      <c r="H780" s="320"/>
      <c r="I780" s="320"/>
      <c r="J780" s="320"/>
      <c r="K780" s="320"/>
      <c r="L780" s="320"/>
      <c r="M780" s="320"/>
      <c r="N780" s="320"/>
      <c r="O780" s="320"/>
      <c r="P780" s="320"/>
      <c r="Q780" s="320"/>
      <c r="R780" s="320"/>
      <c r="S780" s="320"/>
      <c r="T780" s="320"/>
      <c r="U780" s="320"/>
      <c r="V780" s="320"/>
      <c r="W780" s="320"/>
      <c r="X780" s="320"/>
      <c r="Y780" s="320"/>
      <c r="Z780" s="320"/>
    </row>
    <row r="781">
      <c r="A781" s="320"/>
      <c r="B781" s="320"/>
      <c r="C781" s="320"/>
      <c r="D781" s="320"/>
      <c r="E781" s="320"/>
      <c r="F781" s="320"/>
      <c r="G781" s="320"/>
      <c r="H781" s="320"/>
      <c r="I781" s="320"/>
      <c r="J781" s="320"/>
      <c r="K781" s="320"/>
      <c r="L781" s="320"/>
      <c r="M781" s="320"/>
      <c r="N781" s="320"/>
      <c r="O781" s="320"/>
      <c r="P781" s="320"/>
      <c r="Q781" s="320"/>
      <c r="R781" s="320"/>
      <c r="S781" s="320"/>
      <c r="T781" s="320"/>
      <c r="U781" s="320"/>
      <c r="V781" s="320"/>
      <c r="W781" s="320"/>
      <c r="X781" s="320"/>
      <c r="Y781" s="320"/>
      <c r="Z781" s="320"/>
    </row>
    <row r="782">
      <c r="A782" s="320"/>
      <c r="B782" s="320"/>
      <c r="C782" s="320"/>
      <c r="D782" s="320"/>
      <c r="E782" s="320"/>
      <c r="F782" s="320"/>
      <c r="G782" s="320"/>
      <c r="H782" s="320"/>
      <c r="I782" s="320"/>
      <c r="J782" s="320"/>
      <c r="K782" s="320"/>
      <c r="L782" s="320"/>
      <c r="M782" s="320"/>
      <c r="N782" s="320"/>
      <c r="O782" s="320"/>
      <c r="P782" s="320"/>
      <c r="Q782" s="320"/>
      <c r="R782" s="320"/>
      <c r="S782" s="320"/>
      <c r="T782" s="320"/>
      <c r="U782" s="320"/>
      <c r="V782" s="320"/>
      <c r="W782" s="320"/>
      <c r="X782" s="320"/>
      <c r="Y782" s="320"/>
      <c r="Z782" s="320"/>
    </row>
    <row r="783">
      <c r="A783" s="320"/>
      <c r="B783" s="320"/>
      <c r="C783" s="320"/>
      <c r="D783" s="320"/>
      <c r="E783" s="320"/>
      <c r="F783" s="320"/>
      <c r="G783" s="320"/>
      <c r="H783" s="320"/>
      <c r="I783" s="320"/>
      <c r="J783" s="320"/>
      <c r="K783" s="320"/>
      <c r="L783" s="320"/>
      <c r="M783" s="320"/>
      <c r="N783" s="320"/>
      <c r="O783" s="320"/>
      <c r="P783" s="320"/>
      <c r="Q783" s="320"/>
      <c r="R783" s="320"/>
      <c r="S783" s="320"/>
      <c r="T783" s="320"/>
      <c r="U783" s="320"/>
      <c r="V783" s="320"/>
      <c r="W783" s="320"/>
      <c r="X783" s="320"/>
      <c r="Y783" s="320"/>
      <c r="Z783" s="320"/>
    </row>
    <row r="784">
      <c r="A784" s="320"/>
      <c r="B784" s="320"/>
      <c r="C784" s="320"/>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row>
    <row r="785">
      <c r="A785" s="320"/>
      <c r="B785" s="320"/>
      <c r="C785" s="320"/>
      <c r="D785" s="320"/>
      <c r="E785" s="320"/>
      <c r="F785" s="320"/>
      <c r="G785" s="320"/>
      <c r="H785" s="320"/>
      <c r="I785" s="320"/>
      <c r="J785" s="320"/>
      <c r="K785" s="320"/>
      <c r="L785" s="320"/>
      <c r="M785" s="320"/>
      <c r="N785" s="320"/>
      <c r="O785" s="320"/>
      <c r="P785" s="320"/>
      <c r="Q785" s="320"/>
      <c r="R785" s="320"/>
      <c r="S785" s="320"/>
      <c r="T785" s="320"/>
      <c r="U785" s="320"/>
      <c r="V785" s="320"/>
      <c r="W785" s="320"/>
      <c r="X785" s="320"/>
      <c r="Y785" s="320"/>
      <c r="Z785" s="320"/>
    </row>
    <row r="786">
      <c r="A786" s="320"/>
      <c r="B786" s="320"/>
      <c r="C786" s="320"/>
      <c r="D786" s="320"/>
      <c r="E786" s="320"/>
      <c r="F786" s="320"/>
      <c r="G786" s="320"/>
      <c r="H786" s="320"/>
      <c r="I786" s="320"/>
      <c r="J786" s="320"/>
      <c r="K786" s="320"/>
      <c r="L786" s="320"/>
      <c r="M786" s="320"/>
      <c r="N786" s="320"/>
      <c r="O786" s="320"/>
      <c r="P786" s="320"/>
      <c r="Q786" s="320"/>
      <c r="R786" s="320"/>
      <c r="S786" s="320"/>
      <c r="T786" s="320"/>
      <c r="U786" s="320"/>
      <c r="V786" s="320"/>
      <c r="W786" s="320"/>
      <c r="X786" s="320"/>
      <c r="Y786" s="320"/>
      <c r="Z786" s="320"/>
    </row>
    <row r="787">
      <c r="A787" s="320"/>
      <c r="B787" s="320"/>
      <c r="C787" s="320"/>
      <c r="D787" s="320"/>
      <c r="E787" s="320"/>
      <c r="F787" s="320"/>
      <c r="G787" s="320"/>
      <c r="H787" s="320"/>
      <c r="I787" s="320"/>
      <c r="J787" s="320"/>
      <c r="K787" s="320"/>
      <c r="L787" s="320"/>
      <c r="M787" s="320"/>
      <c r="N787" s="320"/>
      <c r="O787" s="320"/>
      <c r="P787" s="320"/>
      <c r="Q787" s="320"/>
      <c r="R787" s="320"/>
      <c r="S787" s="320"/>
      <c r="T787" s="320"/>
      <c r="U787" s="320"/>
      <c r="V787" s="320"/>
      <c r="W787" s="320"/>
      <c r="X787" s="320"/>
      <c r="Y787" s="320"/>
      <c r="Z787" s="320"/>
    </row>
    <row r="788">
      <c r="A788" s="320"/>
      <c r="B788" s="320"/>
      <c r="C788" s="320"/>
      <c r="D788" s="320"/>
      <c r="E788" s="320"/>
      <c r="F788" s="320"/>
      <c r="G788" s="320"/>
      <c r="H788" s="320"/>
      <c r="I788" s="320"/>
      <c r="J788" s="320"/>
      <c r="K788" s="320"/>
      <c r="L788" s="320"/>
      <c r="M788" s="320"/>
      <c r="N788" s="320"/>
      <c r="O788" s="320"/>
      <c r="P788" s="320"/>
      <c r="Q788" s="320"/>
      <c r="R788" s="320"/>
      <c r="S788" s="320"/>
      <c r="T788" s="320"/>
      <c r="U788" s="320"/>
      <c r="V788" s="320"/>
      <c r="W788" s="320"/>
      <c r="X788" s="320"/>
      <c r="Y788" s="320"/>
      <c r="Z788" s="320"/>
    </row>
    <row r="789">
      <c r="A789" s="320"/>
      <c r="B789" s="320"/>
      <c r="C789" s="320"/>
      <c r="D789" s="320"/>
      <c r="E789" s="320"/>
      <c r="F789" s="320"/>
      <c r="G789" s="320"/>
      <c r="H789" s="320"/>
      <c r="I789" s="320"/>
      <c r="J789" s="320"/>
      <c r="K789" s="320"/>
      <c r="L789" s="320"/>
      <c r="M789" s="320"/>
      <c r="N789" s="320"/>
      <c r="O789" s="320"/>
      <c r="P789" s="320"/>
      <c r="Q789" s="320"/>
      <c r="R789" s="320"/>
      <c r="S789" s="320"/>
      <c r="T789" s="320"/>
      <c r="U789" s="320"/>
      <c r="V789" s="320"/>
      <c r="W789" s="320"/>
      <c r="X789" s="320"/>
      <c r="Y789" s="320"/>
      <c r="Z789" s="320"/>
    </row>
    <row r="790">
      <c r="A790" s="320"/>
      <c r="B790" s="320"/>
      <c r="C790" s="320"/>
      <c r="D790" s="320"/>
      <c r="E790" s="320"/>
      <c r="F790" s="320"/>
      <c r="G790" s="320"/>
      <c r="H790" s="320"/>
      <c r="I790" s="320"/>
      <c r="J790" s="320"/>
      <c r="K790" s="320"/>
      <c r="L790" s="320"/>
      <c r="M790" s="320"/>
      <c r="N790" s="320"/>
      <c r="O790" s="320"/>
      <c r="P790" s="320"/>
      <c r="Q790" s="320"/>
      <c r="R790" s="320"/>
      <c r="S790" s="320"/>
      <c r="T790" s="320"/>
      <c r="U790" s="320"/>
      <c r="V790" s="320"/>
      <c r="W790" s="320"/>
      <c r="X790" s="320"/>
      <c r="Y790" s="320"/>
      <c r="Z790" s="320"/>
    </row>
    <row r="791">
      <c r="A791" s="320"/>
      <c r="B791" s="320"/>
      <c r="C791" s="320"/>
      <c r="D791" s="320"/>
      <c r="E791" s="320"/>
      <c r="F791" s="320"/>
      <c r="G791" s="320"/>
      <c r="H791" s="320"/>
      <c r="I791" s="320"/>
      <c r="J791" s="320"/>
      <c r="K791" s="320"/>
      <c r="L791" s="320"/>
      <c r="M791" s="320"/>
      <c r="N791" s="320"/>
      <c r="O791" s="320"/>
      <c r="P791" s="320"/>
      <c r="Q791" s="320"/>
      <c r="R791" s="320"/>
      <c r="S791" s="320"/>
      <c r="T791" s="320"/>
      <c r="U791" s="320"/>
      <c r="V791" s="320"/>
      <c r="W791" s="320"/>
      <c r="X791" s="320"/>
      <c r="Y791" s="320"/>
      <c r="Z791" s="320"/>
    </row>
    <row r="792">
      <c r="A792" s="320"/>
      <c r="B792" s="320"/>
      <c r="C792" s="320"/>
      <c r="D792" s="320"/>
      <c r="E792" s="320"/>
      <c r="F792" s="320"/>
      <c r="G792" s="320"/>
      <c r="H792" s="320"/>
      <c r="I792" s="320"/>
      <c r="J792" s="320"/>
      <c r="K792" s="320"/>
      <c r="L792" s="320"/>
      <c r="M792" s="320"/>
      <c r="N792" s="320"/>
      <c r="O792" s="320"/>
      <c r="P792" s="320"/>
      <c r="Q792" s="320"/>
      <c r="R792" s="320"/>
      <c r="S792" s="320"/>
      <c r="T792" s="320"/>
      <c r="U792" s="320"/>
      <c r="V792" s="320"/>
      <c r="W792" s="320"/>
      <c r="X792" s="320"/>
      <c r="Y792" s="320"/>
      <c r="Z792" s="320"/>
    </row>
    <row r="793">
      <c r="A793" s="320"/>
      <c r="B793" s="320"/>
      <c r="C793" s="320"/>
      <c r="D793" s="320"/>
      <c r="E793" s="320"/>
      <c r="F793" s="320"/>
      <c r="G793" s="320"/>
      <c r="H793" s="320"/>
      <c r="I793" s="320"/>
      <c r="J793" s="320"/>
      <c r="K793" s="320"/>
      <c r="L793" s="320"/>
      <c r="M793" s="320"/>
      <c r="N793" s="320"/>
      <c r="O793" s="320"/>
      <c r="P793" s="320"/>
      <c r="Q793" s="320"/>
      <c r="R793" s="320"/>
      <c r="S793" s="320"/>
      <c r="T793" s="320"/>
      <c r="U793" s="320"/>
      <c r="V793" s="320"/>
      <c r="W793" s="320"/>
      <c r="X793" s="320"/>
      <c r="Y793" s="320"/>
      <c r="Z793" s="320"/>
    </row>
    <row r="794">
      <c r="A794" s="320"/>
      <c r="B794" s="320"/>
      <c r="C794" s="320"/>
      <c r="D794" s="320"/>
      <c r="E794" s="320"/>
      <c r="F794" s="320"/>
      <c r="G794" s="320"/>
      <c r="H794" s="320"/>
      <c r="I794" s="320"/>
      <c r="J794" s="320"/>
      <c r="K794" s="320"/>
      <c r="L794" s="320"/>
      <c r="M794" s="320"/>
      <c r="N794" s="320"/>
      <c r="O794" s="320"/>
      <c r="P794" s="320"/>
      <c r="Q794" s="320"/>
      <c r="R794" s="320"/>
      <c r="S794" s="320"/>
      <c r="T794" s="320"/>
      <c r="U794" s="320"/>
      <c r="V794" s="320"/>
      <c r="W794" s="320"/>
      <c r="X794" s="320"/>
      <c r="Y794" s="320"/>
      <c r="Z794" s="320"/>
    </row>
    <row r="795">
      <c r="A795" s="320"/>
      <c r="B795" s="320"/>
      <c r="C795" s="320"/>
      <c r="D795" s="320"/>
      <c r="E795" s="320"/>
      <c r="F795" s="320"/>
      <c r="G795" s="320"/>
      <c r="H795" s="320"/>
      <c r="I795" s="320"/>
      <c r="J795" s="320"/>
      <c r="K795" s="320"/>
      <c r="L795" s="320"/>
      <c r="M795" s="320"/>
      <c r="N795" s="320"/>
      <c r="O795" s="320"/>
      <c r="P795" s="320"/>
      <c r="Q795" s="320"/>
      <c r="R795" s="320"/>
      <c r="S795" s="320"/>
      <c r="T795" s="320"/>
      <c r="U795" s="320"/>
      <c r="V795" s="320"/>
      <c r="W795" s="320"/>
      <c r="X795" s="320"/>
      <c r="Y795" s="320"/>
      <c r="Z795" s="320"/>
    </row>
    <row r="796">
      <c r="A796" s="320"/>
      <c r="B796" s="320"/>
      <c r="C796" s="320"/>
      <c r="D796" s="320"/>
      <c r="E796" s="320"/>
      <c r="F796" s="320"/>
      <c r="G796" s="320"/>
      <c r="H796" s="320"/>
      <c r="I796" s="320"/>
      <c r="J796" s="320"/>
      <c r="K796" s="320"/>
      <c r="L796" s="320"/>
      <c r="M796" s="320"/>
      <c r="N796" s="320"/>
      <c r="O796" s="320"/>
      <c r="P796" s="320"/>
      <c r="Q796" s="320"/>
      <c r="R796" s="320"/>
      <c r="S796" s="320"/>
      <c r="T796" s="320"/>
      <c r="U796" s="320"/>
      <c r="V796" s="320"/>
      <c r="W796" s="320"/>
      <c r="X796" s="320"/>
      <c r="Y796" s="320"/>
      <c r="Z796" s="320"/>
    </row>
    <row r="797">
      <c r="A797" s="320"/>
      <c r="B797" s="320"/>
      <c r="C797" s="320"/>
      <c r="D797" s="320"/>
      <c r="E797" s="320"/>
      <c r="F797" s="320"/>
      <c r="G797" s="320"/>
      <c r="H797" s="320"/>
      <c r="I797" s="320"/>
      <c r="J797" s="320"/>
      <c r="K797" s="320"/>
      <c r="L797" s="320"/>
      <c r="M797" s="320"/>
      <c r="N797" s="320"/>
      <c r="O797" s="320"/>
      <c r="P797" s="320"/>
      <c r="Q797" s="320"/>
      <c r="R797" s="320"/>
      <c r="S797" s="320"/>
      <c r="T797" s="320"/>
      <c r="U797" s="320"/>
      <c r="V797" s="320"/>
      <c r="W797" s="320"/>
      <c r="X797" s="320"/>
      <c r="Y797" s="320"/>
      <c r="Z797" s="320"/>
    </row>
    <row r="798">
      <c r="A798" s="320"/>
      <c r="B798" s="320"/>
      <c r="C798" s="320"/>
      <c r="D798" s="320"/>
      <c r="E798" s="320"/>
      <c r="F798" s="320"/>
      <c r="G798" s="320"/>
      <c r="H798" s="320"/>
      <c r="I798" s="320"/>
      <c r="J798" s="320"/>
      <c r="K798" s="320"/>
      <c r="L798" s="320"/>
      <c r="M798" s="320"/>
      <c r="N798" s="320"/>
      <c r="O798" s="320"/>
      <c r="P798" s="320"/>
      <c r="Q798" s="320"/>
      <c r="R798" s="320"/>
      <c r="S798" s="320"/>
      <c r="T798" s="320"/>
      <c r="U798" s="320"/>
      <c r="V798" s="320"/>
      <c r="W798" s="320"/>
      <c r="X798" s="320"/>
      <c r="Y798" s="320"/>
      <c r="Z798" s="320"/>
    </row>
    <row r="799">
      <c r="A799" s="320"/>
      <c r="B799" s="320"/>
      <c r="C799" s="320"/>
      <c r="D799" s="320"/>
      <c r="E799" s="320"/>
      <c r="F799" s="320"/>
      <c r="G799" s="320"/>
      <c r="H799" s="320"/>
      <c r="I799" s="320"/>
      <c r="J799" s="320"/>
      <c r="K799" s="320"/>
      <c r="L799" s="320"/>
      <c r="M799" s="320"/>
      <c r="N799" s="320"/>
      <c r="O799" s="320"/>
      <c r="P799" s="320"/>
      <c r="Q799" s="320"/>
      <c r="R799" s="320"/>
      <c r="S799" s="320"/>
      <c r="T799" s="320"/>
      <c r="U799" s="320"/>
      <c r="V799" s="320"/>
      <c r="W799" s="320"/>
      <c r="X799" s="320"/>
      <c r="Y799" s="320"/>
      <c r="Z799" s="320"/>
    </row>
    <row r="800">
      <c r="A800" s="320"/>
      <c r="B800" s="320"/>
      <c r="C800" s="320"/>
      <c r="D800" s="320"/>
      <c r="E800" s="320"/>
      <c r="F800" s="320"/>
      <c r="G800" s="320"/>
      <c r="H800" s="320"/>
      <c r="I800" s="320"/>
      <c r="J800" s="320"/>
      <c r="K800" s="320"/>
      <c r="L800" s="320"/>
      <c r="M800" s="320"/>
      <c r="N800" s="320"/>
      <c r="O800" s="320"/>
      <c r="P800" s="320"/>
      <c r="Q800" s="320"/>
      <c r="R800" s="320"/>
      <c r="S800" s="320"/>
      <c r="T800" s="320"/>
      <c r="U800" s="320"/>
      <c r="V800" s="320"/>
      <c r="W800" s="320"/>
      <c r="X800" s="320"/>
      <c r="Y800" s="320"/>
      <c r="Z800" s="320"/>
    </row>
    <row r="801">
      <c r="A801" s="320"/>
      <c r="B801" s="320"/>
      <c r="C801" s="320"/>
      <c r="D801" s="320"/>
      <c r="E801" s="320"/>
      <c r="F801" s="320"/>
      <c r="G801" s="320"/>
      <c r="H801" s="320"/>
      <c r="I801" s="320"/>
      <c r="J801" s="320"/>
      <c r="K801" s="320"/>
      <c r="L801" s="320"/>
      <c r="M801" s="320"/>
      <c r="N801" s="320"/>
      <c r="O801" s="320"/>
      <c r="P801" s="320"/>
      <c r="Q801" s="320"/>
      <c r="R801" s="320"/>
      <c r="S801" s="320"/>
      <c r="T801" s="320"/>
      <c r="U801" s="320"/>
      <c r="V801" s="320"/>
      <c r="W801" s="320"/>
      <c r="X801" s="320"/>
      <c r="Y801" s="320"/>
      <c r="Z801" s="320"/>
    </row>
    <row r="802">
      <c r="A802" s="320"/>
      <c r="B802" s="320"/>
      <c r="C802" s="320"/>
      <c r="D802" s="320"/>
      <c r="E802" s="320"/>
      <c r="F802" s="320"/>
      <c r="G802" s="320"/>
      <c r="H802" s="320"/>
      <c r="I802" s="320"/>
      <c r="J802" s="320"/>
      <c r="K802" s="320"/>
      <c r="L802" s="320"/>
      <c r="M802" s="320"/>
      <c r="N802" s="320"/>
      <c r="O802" s="320"/>
      <c r="P802" s="320"/>
      <c r="Q802" s="320"/>
      <c r="R802" s="320"/>
      <c r="S802" s="320"/>
      <c r="T802" s="320"/>
      <c r="U802" s="320"/>
      <c r="V802" s="320"/>
      <c r="W802" s="320"/>
      <c r="X802" s="320"/>
      <c r="Y802" s="320"/>
      <c r="Z802" s="320"/>
    </row>
    <row r="803">
      <c r="A803" s="320"/>
      <c r="B803" s="320"/>
      <c r="C803" s="320"/>
      <c r="D803" s="320"/>
      <c r="E803" s="320"/>
      <c r="F803" s="320"/>
      <c r="G803" s="320"/>
      <c r="H803" s="320"/>
      <c r="I803" s="320"/>
      <c r="J803" s="320"/>
      <c r="K803" s="320"/>
      <c r="L803" s="320"/>
      <c r="M803" s="320"/>
      <c r="N803" s="320"/>
      <c r="O803" s="320"/>
      <c r="P803" s="320"/>
      <c r="Q803" s="320"/>
      <c r="R803" s="320"/>
      <c r="S803" s="320"/>
      <c r="T803" s="320"/>
      <c r="U803" s="320"/>
      <c r="V803" s="320"/>
      <c r="W803" s="320"/>
      <c r="X803" s="320"/>
      <c r="Y803" s="320"/>
      <c r="Z803" s="320"/>
    </row>
    <row r="804">
      <c r="A804" s="320"/>
      <c r="B804" s="320"/>
      <c r="C804" s="320"/>
      <c r="D804" s="320"/>
      <c r="E804" s="320"/>
      <c r="F804" s="320"/>
      <c r="G804" s="320"/>
      <c r="H804" s="320"/>
      <c r="I804" s="320"/>
      <c r="J804" s="320"/>
      <c r="K804" s="320"/>
      <c r="L804" s="320"/>
      <c r="M804" s="320"/>
      <c r="N804" s="320"/>
      <c r="O804" s="320"/>
      <c r="P804" s="320"/>
      <c r="Q804" s="320"/>
      <c r="R804" s="320"/>
      <c r="S804" s="320"/>
      <c r="T804" s="320"/>
      <c r="U804" s="320"/>
      <c r="V804" s="320"/>
      <c r="W804" s="320"/>
      <c r="X804" s="320"/>
      <c r="Y804" s="320"/>
      <c r="Z804" s="320"/>
    </row>
    <row r="805">
      <c r="A805" s="320"/>
      <c r="B805" s="320"/>
      <c r="C805" s="320"/>
      <c r="D805" s="320"/>
      <c r="E805" s="320"/>
      <c r="F805" s="320"/>
      <c r="G805" s="320"/>
      <c r="H805" s="320"/>
      <c r="I805" s="320"/>
      <c r="J805" s="320"/>
      <c r="K805" s="320"/>
      <c r="L805" s="320"/>
      <c r="M805" s="320"/>
      <c r="N805" s="320"/>
      <c r="O805" s="320"/>
      <c r="P805" s="320"/>
      <c r="Q805" s="320"/>
      <c r="R805" s="320"/>
      <c r="S805" s="320"/>
      <c r="T805" s="320"/>
      <c r="U805" s="320"/>
      <c r="V805" s="320"/>
      <c r="W805" s="320"/>
      <c r="X805" s="320"/>
      <c r="Y805" s="320"/>
      <c r="Z805" s="320"/>
    </row>
    <row r="806">
      <c r="A806" s="320"/>
      <c r="B806" s="320"/>
      <c r="C806" s="320"/>
      <c r="D806" s="320"/>
      <c r="E806" s="320"/>
      <c r="F806" s="320"/>
      <c r="G806" s="320"/>
      <c r="H806" s="320"/>
      <c r="I806" s="320"/>
      <c r="J806" s="320"/>
      <c r="K806" s="320"/>
      <c r="L806" s="320"/>
      <c r="M806" s="320"/>
      <c r="N806" s="320"/>
      <c r="O806" s="320"/>
      <c r="P806" s="320"/>
      <c r="Q806" s="320"/>
      <c r="R806" s="320"/>
      <c r="S806" s="320"/>
      <c r="T806" s="320"/>
      <c r="U806" s="320"/>
      <c r="V806" s="320"/>
      <c r="W806" s="320"/>
      <c r="X806" s="320"/>
      <c r="Y806" s="320"/>
      <c r="Z806" s="320"/>
    </row>
    <row r="807">
      <c r="A807" s="320"/>
      <c r="B807" s="320"/>
      <c r="C807" s="320"/>
      <c r="D807" s="320"/>
      <c r="E807" s="320"/>
      <c r="F807" s="320"/>
      <c r="G807" s="320"/>
      <c r="H807" s="320"/>
      <c r="I807" s="320"/>
      <c r="J807" s="320"/>
      <c r="K807" s="320"/>
      <c r="L807" s="320"/>
      <c r="M807" s="320"/>
      <c r="N807" s="320"/>
      <c r="O807" s="320"/>
      <c r="P807" s="320"/>
      <c r="Q807" s="320"/>
      <c r="R807" s="320"/>
      <c r="S807" s="320"/>
      <c r="T807" s="320"/>
      <c r="U807" s="320"/>
      <c r="V807" s="320"/>
      <c r="W807" s="320"/>
      <c r="X807" s="320"/>
      <c r="Y807" s="320"/>
      <c r="Z807" s="320"/>
    </row>
    <row r="808">
      <c r="A808" s="320"/>
      <c r="B808" s="320"/>
      <c r="C808" s="320"/>
      <c r="D808" s="320"/>
      <c r="E808" s="320"/>
      <c r="F808" s="320"/>
      <c r="G808" s="320"/>
      <c r="H808" s="320"/>
      <c r="I808" s="320"/>
      <c r="J808" s="320"/>
      <c r="K808" s="320"/>
      <c r="L808" s="320"/>
      <c r="M808" s="320"/>
      <c r="N808" s="320"/>
      <c r="O808" s="320"/>
      <c r="P808" s="320"/>
      <c r="Q808" s="320"/>
      <c r="R808" s="320"/>
      <c r="S808" s="320"/>
      <c r="T808" s="320"/>
      <c r="U808" s="320"/>
      <c r="V808" s="320"/>
      <c r="W808" s="320"/>
      <c r="X808" s="320"/>
      <c r="Y808" s="320"/>
      <c r="Z808" s="320"/>
    </row>
    <row r="809">
      <c r="A809" s="320"/>
      <c r="B809" s="320"/>
      <c r="C809" s="320"/>
      <c r="D809" s="320"/>
      <c r="E809" s="320"/>
      <c r="F809" s="320"/>
      <c r="G809" s="320"/>
      <c r="H809" s="320"/>
      <c r="I809" s="320"/>
      <c r="J809" s="320"/>
      <c r="K809" s="320"/>
      <c r="L809" s="320"/>
      <c r="M809" s="320"/>
      <c r="N809" s="320"/>
      <c r="O809" s="320"/>
      <c r="P809" s="320"/>
      <c r="Q809" s="320"/>
      <c r="R809" s="320"/>
      <c r="S809" s="320"/>
      <c r="T809" s="320"/>
      <c r="U809" s="320"/>
      <c r="V809" s="320"/>
      <c r="W809" s="320"/>
      <c r="X809" s="320"/>
      <c r="Y809" s="320"/>
      <c r="Z809" s="320"/>
    </row>
    <row r="810">
      <c r="A810" s="320"/>
      <c r="B810" s="320"/>
      <c r="C810" s="320"/>
      <c r="D810" s="320"/>
      <c r="E810" s="320"/>
      <c r="F810" s="320"/>
      <c r="G810" s="320"/>
      <c r="H810" s="320"/>
      <c r="I810" s="320"/>
      <c r="J810" s="320"/>
      <c r="K810" s="320"/>
      <c r="L810" s="320"/>
      <c r="M810" s="320"/>
      <c r="N810" s="320"/>
      <c r="O810" s="320"/>
      <c r="P810" s="320"/>
      <c r="Q810" s="320"/>
      <c r="R810" s="320"/>
      <c r="S810" s="320"/>
      <c r="T810" s="320"/>
      <c r="U810" s="320"/>
      <c r="V810" s="320"/>
      <c r="W810" s="320"/>
      <c r="X810" s="320"/>
      <c r="Y810" s="320"/>
      <c r="Z810" s="320"/>
    </row>
    <row r="811">
      <c r="A811" s="320"/>
      <c r="B811" s="320"/>
      <c r="C811" s="320"/>
      <c r="D811" s="320"/>
      <c r="E811" s="320"/>
      <c r="F811" s="320"/>
      <c r="G811" s="320"/>
      <c r="H811" s="320"/>
      <c r="I811" s="320"/>
      <c r="J811" s="320"/>
      <c r="K811" s="320"/>
      <c r="L811" s="320"/>
      <c r="M811" s="320"/>
      <c r="N811" s="320"/>
      <c r="O811" s="320"/>
      <c r="P811" s="320"/>
      <c r="Q811" s="320"/>
      <c r="R811" s="320"/>
      <c r="S811" s="320"/>
      <c r="T811" s="320"/>
      <c r="U811" s="320"/>
      <c r="V811" s="320"/>
      <c r="W811" s="320"/>
      <c r="X811" s="320"/>
      <c r="Y811" s="320"/>
      <c r="Z811" s="320"/>
    </row>
    <row r="812">
      <c r="A812" s="320"/>
      <c r="B812" s="320"/>
      <c r="C812" s="320"/>
      <c r="D812" s="320"/>
      <c r="E812" s="320"/>
      <c r="F812" s="320"/>
      <c r="G812" s="320"/>
      <c r="H812" s="320"/>
      <c r="I812" s="320"/>
      <c r="J812" s="320"/>
      <c r="K812" s="320"/>
      <c r="L812" s="320"/>
      <c r="M812" s="320"/>
      <c r="N812" s="320"/>
      <c r="O812" s="320"/>
      <c r="P812" s="320"/>
      <c r="Q812" s="320"/>
      <c r="R812" s="320"/>
      <c r="S812" s="320"/>
      <c r="T812" s="320"/>
      <c r="U812" s="320"/>
      <c r="V812" s="320"/>
      <c r="W812" s="320"/>
      <c r="X812" s="320"/>
      <c r="Y812" s="320"/>
      <c r="Z812" s="320"/>
    </row>
    <row r="813">
      <c r="A813" s="320"/>
      <c r="B813" s="320"/>
      <c r="C813" s="320"/>
      <c r="D813" s="320"/>
      <c r="E813" s="320"/>
      <c r="F813" s="320"/>
      <c r="G813" s="320"/>
      <c r="H813" s="320"/>
      <c r="I813" s="320"/>
      <c r="J813" s="320"/>
      <c r="K813" s="320"/>
      <c r="L813" s="320"/>
      <c r="M813" s="320"/>
      <c r="N813" s="320"/>
      <c r="O813" s="320"/>
      <c r="P813" s="320"/>
      <c r="Q813" s="320"/>
      <c r="R813" s="320"/>
      <c r="S813" s="320"/>
      <c r="T813" s="320"/>
      <c r="U813" s="320"/>
      <c r="V813" s="320"/>
      <c r="W813" s="320"/>
      <c r="X813" s="320"/>
      <c r="Y813" s="320"/>
      <c r="Z813" s="320"/>
    </row>
    <row r="814">
      <c r="A814" s="320"/>
      <c r="B814" s="320"/>
      <c r="C814" s="320"/>
      <c r="D814" s="320"/>
      <c r="E814" s="320"/>
      <c r="F814" s="320"/>
      <c r="G814" s="320"/>
      <c r="H814" s="320"/>
      <c r="I814" s="320"/>
      <c r="J814" s="320"/>
      <c r="K814" s="320"/>
      <c r="L814" s="320"/>
      <c r="M814" s="320"/>
      <c r="N814" s="320"/>
      <c r="O814" s="320"/>
      <c r="P814" s="320"/>
      <c r="Q814" s="320"/>
      <c r="R814" s="320"/>
      <c r="S814" s="320"/>
      <c r="T814" s="320"/>
      <c r="U814" s="320"/>
      <c r="V814" s="320"/>
      <c r="W814" s="320"/>
      <c r="X814" s="320"/>
      <c r="Y814" s="320"/>
      <c r="Z814" s="320"/>
    </row>
    <row r="815">
      <c r="A815" s="320"/>
      <c r="B815" s="320"/>
      <c r="C815" s="320"/>
      <c r="D815" s="320"/>
      <c r="E815" s="320"/>
      <c r="F815" s="320"/>
      <c r="G815" s="320"/>
      <c r="H815" s="320"/>
      <c r="I815" s="320"/>
      <c r="J815" s="320"/>
      <c r="K815" s="320"/>
      <c r="L815" s="320"/>
      <c r="M815" s="320"/>
      <c r="N815" s="320"/>
      <c r="O815" s="320"/>
      <c r="P815" s="320"/>
      <c r="Q815" s="320"/>
      <c r="R815" s="320"/>
      <c r="S815" s="320"/>
      <c r="T815" s="320"/>
      <c r="U815" s="320"/>
      <c r="V815" s="320"/>
      <c r="W815" s="320"/>
      <c r="X815" s="320"/>
      <c r="Y815" s="320"/>
      <c r="Z815" s="320"/>
    </row>
    <row r="816">
      <c r="A816" s="320"/>
      <c r="B816" s="320"/>
      <c r="C816" s="320"/>
      <c r="D816" s="320"/>
      <c r="E816" s="320"/>
      <c r="F816" s="320"/>
      <c r="G816" s="320"/>
      <c r="H816" s="320"/>
      <c r="I816" s="320"/>
      <c r="J816" s="320"/>
      <c r="K816" s="320"/>
      <c r="L816" s="320"/>
      <c r="M816" s="320"/>
      <c r="N816" s="320"/>
      <c r="O816" s="320"/>
      <c r="P816" s="320"/>
      <c r="Q816" s="320"/>
      <c r="R816" s="320"/>
      <c r="S816" s="320"/>
      <c r="T816" s="320"/>
      <c r="U816" s="320"/>
      <c r="V816" s="320"/>
      <c r="W816" s="320"/>
      <c r="X816" s="320"/>
      <c r="Y816" s="320"/>
      <c r="Z816" s="320"/>
    </row>
    <row r="817">
      <c r="A817" s="320"/>
      <c r="B817" s="320"/>
      <c r="C817" s="320"/>
      <c r="D817" s="320"/>
      <c r="E817" s="320"/>
      <c r="F817" s="320"/>
      <c r="G817" s="320"/>
      <c r="H817" s="320"/>
      <c r="I817" s="320"/>
      <c r="J817" s="320"/>
      <c r="K817" s="320"/>
      <c r="L817" s="320"/>
      <c r="M817" s="320"/>
      <c r="N817" s="320"/>
      <c r="O817" s="320"/>
      <c r="P817" s="320"/>
      <c r="Q817" s="320"/>
      <c r="R817" s="320"/>
      <c r="S817" s="320"/>
      <c r="T817" s="320"/>
      <c r="U817" s="320"/>
      <c r="V817" s="320"/>
      <c r="W817" s="320"/>
      <c r="X817" s="320"/>
      <c r="Y817" s="320"/>
      <c r="Z817" s="320"/>
    </row>
    <row r="818">
      <c r="A818" s="320"/>
      <c r="B818" s="320"/>
      <c r="C818" s="320"/>
      <c r="D818" s="320"/>
      <c r="E818" s="320"/>
      <c r="F818" s="320"/>
      <c r="G818" s="320"/>
      <c r="H818" s="320"/>
      <c r="I818" s="320"/>
      <c r="J818" s="320"/>
      <c r="K818" s="320"/>
      <c r="L818" s="320"/>
      <c r="M818" s="320"/>
      <c r="N818" s="320"/>
      <c r="O818" s="320"/>
      <c r="P818" s="320"/>
      <c r="Q818" s="320"/>
      <c r="R818" s="320"/>
      <c r="S818" s="320"/>
      <c r="T818" s="320"/>
      <c r="U818" s="320"/>
      <c r="V818" s="320"/>
      <c r="W818" s="320"/>
      <c r="X818" s="320"/>
      <c r="Y818" s="320"/>
      <c r="Z818" s="320"/>
    </row>
    <row r="819">
      <c r="A819" s="320"/>
      <c r="B819" s="320"/>
      <c r="C819" s="320"/>
      <c r="D819" s="320"/>
      <c r="E819" s="320"/>
      <c r="F819" s="320"/>
      <c r="G819" s="320"/>
      <c r="H819" s="320"/>
      <c r="I819" s="320"/>
      <c r="J819" s="320"/>
      <c r="K819" s="320"/>
      <c r="L819" s="320"/>
      <c r="M819" s="320"/>
      <c r="N819" s="320"/>
      <c r="O819" s="320"/>
      <c r="P819" s="320"/>
      <c r="Q819" s="320"/>
      <c r="R819" s="320"/>
      <c r="S819" s="320"/>
      <c r="T819" s="320"/>
      <c r="U819" s="320"/>
      <c r="V819" s="320"/>
      <c r="W819" s="320"/>
      <c r="X819" s="320"/>
      <c r="Y819" s="320"/>
      <c r="Z819" s="320"/>
    </row>
    <row r="820">
      <c r="A820" s="320"/>
      <c r="B820" s="320"/>
      <c r="C820" s="320"/>
      <c r="D820" s="320"/>
      <c r="E820" s="320"/>
      <c r="F820" s="320"/>
      <c r="G820" s="320"/>
      <c r="H820" s="320"/>
      <c r="I820" s="320"/>
      <c r="J820" s="320"/>
      <c r="K820" s="320"/>
      <c r="L820" s="320"/>
      <c r="M820" s="320"/>
      <c r="N820" s="320"/>
      <c r="O820" s="320"/>
      <c r="P820" s="320"/>
      <c r="Q820" s="320"/>
      <c r="R820" s="320"/>
      <c r="S820" s="320"/>
      <c r="T820" s="320"/>
      <c r="U820" s="320"/>
      <c r="V820" s="320"/>
      <c r="W820" s="320"/>
      <c r="X820" s="320"/>
      <c r="Y820" s="320"/>
      <c r="Z820" s="320"/>
    </row>
    <row r="821">
      <c r="A821" s="320"/>
      <c r="B821" s="320"/>
      <c r="C821" s="320"/>
      <c r="D821" s="320"/>
      <c r="E821" s="320"/>
      <c r="F821" s="320"/>
      <c r="G821" s="320"/>
      <c r="H821" s="320"/>
      <c r="I821" s="320"/>
      <c r="J821" s="320"/>
      <c r="K821" s="320"/>
      <c r="L821" s="320"/>
      <c r="M821" s="320"/>
      <c r="N821" s="320"/>
      <c r="O821" s="320"/>
      <c r="P821" s="320"/>
      <c r="Q821" s="320"/>
      <c r="R821" s="320"/>
      <c r="S821" s="320"/>
      <c r="T821" s="320"/>
      <c r="U821" s="320"/>
      <c r="V821" s="320"/>
      <c r="W821" s="320"/>
      <c r="X821" s="320"/>
      <c r="Y821" s="320"/>
      <c r="Z821" s="320"/>
    </row>
    <row r="822">
      <c r="A822" s="320"/>
      <c r="B822" s="320"/>
      <c r="C822" s="320"/>
      <c r="D822" s="320"/>
      <c r="E822" s="320"/>
      <c r="F822" s="320"/>
      <c r="G822" s="320"/>
      <c r="H822" s="320"/>
      <c r="I822" s="320"/>
      <c r="J822" s="320"/>
      <c r="K822" s="320"/>
      <c r="L822" s="320"/>
      <c r="M822" s="320"/>
      <c r="N822" s="320"/>
      <c r="O822" s="320"/>
      <c r="P822" s="320"/>
      <c r="Q822" s="320"/>
      <c r="R822" s="320"/>
      <c r="S822" s="320"/>
      <c r="T822" s="320"/>
      <c r="U822" s="320"/>
      <c r="V822" s="320"/>
      <c r="W822" s="320"/>
      <c r="X822" s="320"/>
      <c r="Y822" s="320"/>
      <c r="Z822" s="320"/>
    </row>
    <row r="823">
      <c r="A823" s="320"/>
      <c r="B823" s="320"/>
      <c r="C823" s="320"/>
      <c r="D823" s="320"/>
      <c r="E823" s="320"/>
      <c r="F823" s="320"/>
      <c r="G823" s="320"/>
      <c r="H823" s="320"/>
      <c r="I823" s="320"/>
      <c r="J823" s="320"/>
      <c r="K823" s="320"/>
      <c r="L823" s="320"/>
      <c r="M823" s="320"/>
      <c r="N823" s="320"/>
      <c r="O823" s="320"/>
      <c r="P823" s="320"/>
      <c r="Q823" s="320"/>
      <c r="R823" s="320"/>
      <c r="S823" s="320"/>
      <c r="T823" s="320"/>
      <c r="U823" s="320"/>
      <c r="V823" s="320"/>
      <c r="W823" s="320"/>
      <c r="X823" s="320"/>
      <c r="Y823" s="320"/>
      <c r="Z823" s="320"/>
    </row>
    <row r="824">
      <c r="A824" s="320"/>
      <c r="B824" s="320"/>
      <c r="C824" s="320"/>
      <c r="D824" s="320"/>
      <c r="E824" s="320"/>
      <c r="F824" s="320"/>
      <c r="G824" s="320"/>
      <c r="H824" s="320"/>
      <c r="I824" s="320"/>
      <c r="J824" s="320"/>
      <c r="K824" s="320"/>
      <c r="L824" s="320"/>
      <c r="M824" s="320"/>
      <c r="N824" s="320"/>
      <c r="O824" s="320"/>
      <c r="P824" s="320"/>
      <c r="Q824" s="320"/>
      <c r="R824" s="320"/>
      <c r="S824" s="320"/>
      <c r="T824" s="320"/>
      <c r="U824" s="320"/>
      <c r="V824" s="320"/>
      <c r="W824" s="320"/>
      <c r="X824" s="320"/>
      <c r="Y824" s="320"/>
      <c r="Z824" s="320"/>
    </row>
    <row r="825">
      <c r="A825" s="320"/>
      <c r="B825" s="320"/>
      <c r="C825" s="320"/>
      <c r="D825" s="320"/>
      <c r="E825" s="320"/>
      <c r="F825" s="320"/>
      <c r="G825" s="320"/>
      <c r="H825" s="320"/>
      <c r="I825" s="320"/>
      <c r="J825" s="320"/>
      <c r="K825" s="320"/>
      <c r="L825" s="320"/>
      <c r="M825" s="320"/>
      <c r="N825" s="320"/>
      <c r="O825" s="320"/>
      <c r="P825" s="320"/>
      <c r="Q825" s="320"/>
      <c r="R825" s="320"/>
      <c r="S825" s="320"/>
      <c r="T825" s="320"/>
      <c r="U825" s="320"/>
      <c r="V825" s="320"/>
      <c r="W825" s="320"/>
      <c r="X825" s="320"/>
      <c r="Y825" s="320"/>
      <c r="Z825" s="320"/>
    </row>
    <row r="826">
      <c r="A826" s="320"/>
      <c r="B826" s="320"/>
      <c r="C826" s="320"/>
      <c r="D826" s="320"/>
      <c r="E826" s="320"/>
      <c r="F826" s="320"/>
      <c r="G826" s="320"/>
      <c r="H826" s="320"/>
      <c r="I826" s="320"/>
      <c r="J826" s="320"/>
      <c r="K826" s="320"/>
      <c r="L826" s="320"/>
      <c r="M826" s="320"/>
      <c r="N826" s="320"/>
      <c r="O826" s="320"/>
      <c r="P826" s="320"/>
      <c r="Q826" s="320"/>
      <c r="R826" s="320"/>
      <c r="S826" s="320"/>
      <c r="T826" s="320"/>
      <c r="U826" s="320"/>
      <c r="V826" s="320"/>
      <c r="W826" s="320"/>
      <c r="X826" s="320"/>
      <c r="Y826" s="320"/>
      <c r="Z826" s="320"/>
    </row>
    <row r="827">
      <c r="A827" s="320"/>
      <c r="B827" s="320"/>
      <c r="C827" s="320"/>
      <c r="D827" s="320"/>
      <c r="E827" s="320"/>
      <c r="F827" s="320"/>
      <c r="G827" s="320"/>
      <c r="H827" s="320"/>
      <c r="I827" s="320"/>
      <c r="J827" s="320"/>
      <c r="K827" s="320"/>
      <c r="L827" s="320"/>
      <c r="M827" s="320"/>
      <c r="N827" s="320"/>
      <c r="O827" s="320"/>
      <c r="P827" s="320"/>
      <c r="Q827" s="320"/>
      <c r="R827" s="320"/>
      <c r="S827" s="320"/>
      <c r="T827" s="320"/>
      <c r="U827" s="320"/>
      <c r="V827" s="320"/>
      <c r="W827" s="320"/>
      <c r="X827" s="320"/>
      <c r="Y827" s="320"/>
      <c r="Z827" s="320"/>
    </row>
    <row r="828">
      <c r="A828" s="320"/>
      <c r="B828" s="320"/>
      <c r="C828" s="320"/>
      <c r="D828" s="320"/>
      <c r="E828" s="320"/>
      <c r="F828" s="320"/>
      <c r="G828" s="320"/>
      <c r="H828" s="320"/>
      <c r="I828" s="320"/>
      <c r="J828" s="320"/>
      <c r="K828" s="320"/>
      <c r="L828" s="320"/>
      <c r="M828" s="320"/>
      <c r="N828" s="320"/>
      <c r="O828" s="320"/>
      <c r="P828" s="320"/>
      <c r="Q828" s="320"/>
      <c r="R828" s="320"/>
      <c r="S828" s="320"/>
      <c r="T828" s="320"/>
      <c r="U828" s="320"/>
      <c r="V828" s="320"/>
      <c r="W828" s="320"/>
      <c r="X828" s="320"/>
      <c r="Y828" s="320"/>
      <c r="Z828" s="320"/>
    </row>
    <row r="829">
      <c r="A829" s="320"/>
      <c r="B829" s="320"/>
      <c r="C829" s="320"/>
      <c r="D829" s="320"/>
      <c r="E829" s="320"/>
      <c r="F829" s="320"/>
      <c r="G829" s="320"/>
      <c r="H829" s="320"/>
      <c r="I829" s="320"/>
      <c r="J829" s="320"/>
      <c r="K829" s="320"/>
      <c r="L829" s="320"/>
      <c r="M829" s="320"/>
      <c r="N829" s="320"/>
      <c r="O829" s="320"/>
      <c r="P829" s="320"/>
      <c r="Q829" s="320"/>
      <c r="R829" s="320"/>
      <c r="S829" s="320"/>
      <c r="T829" s="320"/>
      <c r="U829" s="320"/>
      <c r="V829" s="320"/>
      <c r="W829" s="320"/>
      <c r="X829" s="320"/>
      <c r="Y829" s="320"/>
      <c r="Z829" s="320"/>
    </row>
    <row r="830">
      <c r="A830" s="320"/>
      <c r="B830" s="320"/>
      <c r="C830" s="320"/>
      <c r="D830" s="320"/>
      <c r="E830" s="320"/>
      <c r="F830" s="320"/>
      <c r="G830" s="320"/>
      <c r="H830" s="320"/>
      <c r="I830" s="320"/>
      <c r="J830" s="320"/>
      <c r="K830" s="320"/>
      <c r="L830" s="320"/>
      <c r="M830" s="320"/>
      <c r="N830" s="320"/>
      <c r="O830" s="320"/>
      <c r="P830" s="320"/>
      <c r="Q830" s="320"/>
      <c r="R830" s="320"/>
      <c r="S830" s="320"/>
      <c r="T830" s="320"/>
      <c r="U830" s="320"/>
      <c r="V830" s="320"/>
      <c r="W830" s="320"/>
      <c r="X830" s="320"/>
      <c r="Y830" s="320"/>
      <c r="Z830" s="320"/>
    </row>
    <row r="831">
      <c r="A831" s="320"/>
      <c r="B831" s="320"/>
      <c r="C831" s="320"/>
      <c r="D831" s="320"/>
      <c r="E831" s="320"/>
      <c r="F831" s="320"/>
      <c r="G831" s="320"/>
      <c r="H831" s="320"/>
      <c r="I831" s="320"/>
      <c r="J831" s="320"/>
      <c r="K831" s="320"/>
      <c r="L831" s="320"/>
      <c r="M831" s="320"/>
      <c r="N831" s="320"/>
      <c r="O831" s="320"/>
      <c r="P831" s="320"/>
      <c r="Q831" s="320"/>
      <c r="R831" s="320"/>
      <c r="S831" s="320"/>
      <c r="T831" s="320"/>
      <c r="U831" s="320"/>
      <c r="V831" s="320"/>
      <c r="W831" s="320"/>
      <c r="X831" s="320"/>
      <c r="Y831" s="320"/>
      <c r="Z831" s="320"/>
    </row>
    <row r="832">
      <c r="A832" s="320"/>
      <c r="B832" s="320"/>
      <c r="C832" s="320"/>
      <c r="D832" s="320"/>
      <c r="E832" s="320"/>
      <c r="F832" s="320"/>
      <c r="G832" s="320"/>
      <c r="H832" s="320"/>
      <c r="I832" s="320"/>
      <c r="J832" s="320"/>
      <c r="K832" s="320"/>
      <c r="L832" s="320"/>
      <c r="M832" s="320"/>
      <c r="N832" s="320"/>
      <c r="O832" s="320"/>
      <c r="P832" s="320"/>
      <c r="Q832" s="320"/>
      <c r="R832" s="320"/>
      <c r="S832" s="320"/>
      <c r="T832" s="320"/>
      <c r="U832" s="320"/>
      <c r="V832" s="320"/>
      <c r="W832" s="320"/>
      <c r="X832" s="320"/>
      <c r="Y832" s="320"/>
      <c r="Z832" s="320"/>
    </row>
    <row r="833">
      <c r="A833" s="320"/>
      <c r="B833" s="320"/>
      <c r="C833" s="320"/>
      <c r="D833" s="320"/>
      <c r="E833" s="320"/>
      <c r="F833" s="320"/>
      <c r="G833" s="320"/>
      <c r="H833" s="320"/>
      <c r="I833" s="320"/>
      <c r="J833" s="320"/>
      <c r="K833" s="320"/>
      <c r="L833" s="320"/>
      <c r="M833" s="320"/>
      <c r="N833" s="320"/>
      <c r="O833" s="320"/>
      <c r="P833" s="320"/>
      <c r="Q833" s="320"/>
      <c r="R833" s="320"/>
      <c r="S833" s="320"/>
      <c r="T833" s="320"/>
      <c r="U833" s="320"/>
      <c r="V833" s="320"/>
      <c r="W833" s="320"/>
      <c r="X833" s="320"/>
      <c r="Y833" s="320"/>
      <c r="Z833" s="320"/>
    </row>
    <row r="834">
      <c r="A834" s="320"/>
      <c r="B834" s="320"/>
      <c r="C834" s="320"/>
      <c r="D834" s="320"/>
      <c r="E834" s="320"/>
      <c r="F834" s="320"/>
      <c r="G834" s="320"/>
      <c r="H834" s="320"/>
      <c r="I834" s="320"/>
      <c r="J834" s="320"/>
      <c r="K834" s="320"/>
      <c r="L834" s="320"/>
      <c r="M834" s="320"/>
      <c r="N834" s="320"/>
      <c r="O834" s="320"/>
      <c r="P834" s="320"/>
      <c r="Q834" s="320"/>
      <c r="R834" s="320"/>
      <c r="S834" s="320"/>
      <c r="T834" s="320"/>
      <c r="U834" s="320"/>
      <c r="V834" s="320"/>
      <c r="W834" s="320"/>
      <c r="X834" s="320"/>
      <c r="Y834" s="320"/>
      <c r="Z834" s="320"/>
    </row>
    <row r="835">
      <c r="A835" s="320"/>
      <c r="B835" s="320"/>
      <c r="C835" s="320"/>
      <c r="D835" s="320"/>
      <c r="E835" s="320"/>
      <c r="F835" s="320"/>
      <c r="G835" s="320"/>
      <c r="H835" s="320"/>
      <c r="I835" s="320"/>
      <c r="J835" s="320"/>
      <c r="K835" s="320"/>
      <c r="L835" s="320"/>
      <c r="M835" s="320"/>
      <c r="N835" s="320"/>
      <c r="O835" s="320"/>
      <c r="P835" s="320"/>
      <c r="Q835" s="320"/>
      <c r="R835" s="320"/>
      <c r="S835" s="320"/>
      <c r="T835" s="320"/>
      <c r="U835" s="320"/>
      <c r="V835" s="320"/>
      <c r="W835" s="320"/>
      <c r="X835" s="320"/>
      <c r="Y835" s="320"/>
      <c r="Z835" s="320"/>
    </row>
    <row r="836">
      <c r="A836" s="320"/>
      <c r="B836" s="320"/>
      <c r="C836" s="320"/>
      <c r="D836" s="320"/>
      <c r="E836" s="320"/>
      <c r="F836" s="320"/>
      <c r="G836" s="320"/>
      <c r="H836" s="320"/>
      <c r="I836" s="320"/>
      <c r="J836" s="320"/>
      <c r="K836" s="320"/>
      <c r="L836" s="320"/>
      <c r="M836" s="320"/>
      <c r="N836" s="320"/>
      <c r="O836" s="320"/>
      <c r="P836" s="320"/>
      <c r="Q836" s="320"/>
      <c r="R836" s="320"/>
      <c r="S836" s="320"/>
      <c r="T836" s="320"/>
      <c r="U836" s="320"/>
      <c r="V836" s="320"/>
      <c r="W836" s="320"/>
      <c r="X836" s="320"/>
      <c r="Y836" s="320"/>
      <c r="Z836" s="320"/>
    </row>
    <row r="837">
      <c r="A837" s="320"/>
      <c r="B837" s="320"/>
      <c r="C837" s="320"/>
      <c r="D837" s="320"/>
      <c r="E837" s="320"/>
      <c r="F837" s="320"/>
      <c r="G837" s="320"/>
      <c r="H837" s="320"/>
      <c r="I837" s="320"/>
      <c r="J837" s="320"/>
      <c r="K837" s="320"/>
      <c r="L837" s="320"/>
      <c r="M837" s="320"/>
      <c r="N837" s="320"/>
      <c r="O837" s="320"/>
      <c r="P837" s="320"/>
      <c r="Q837" s="320"/>
      <c r="R837" s="320"/>
      <c r="S837" s="320"/>
      <c r="T837" s="320"/>
      <c r="U837" s="320"/>
      <c r="V837" s="320"/>
      <c r="W837" s="320"/>
      <c r="X837" s="320"/>
      <c r="Y837" s="320"/>
      <c r="Z837" s="320"/>
    </row>
    <row r="838">
      <c r="A838" s="320"/>
      <c r="B838" s="320"/>
      <c r="C838" s="320"/>
      <c r="D838" s="320"/>
      <c r="E838" s="320"/>
      <c r="F838" s="320"/>
      <c r="G838" s="320"/>
      <c r="H838" s="320"/>
      <c r="I838" s="320"/>
      <c r="J838" s="320"/>
      <c r="K838" s="320"/>
      <c r="L838" s="320"/>
      <c r="M838" s="320"/>
      <c r="N838" s="320"/>
      <c r="O838" s="320"/>
      <c r="P838" s="320"/>
      <c r="Q838" s="320"/>
      <c r="R838" s="320"/>
      <c r="S838" s="320"/>
      <c r="T838" s="320"/>
      <c r="U838" s="320"/>
      <c r="V838" s="320"/>
      <c r="W838" s="320"/>
      <c r="X838" s="320"/>
      <c r="Y838" s="320"/>
      <c r="Z838" s="320"/>
    </row>
    <row r="839">
      <c r="A839" s="320"/>
      <c r="B839" s="320"/>
      <c r="C839" s="320"/>
      <c r="D839" s="320"/>
      <c r="E839" s="320"/>
      <c r="F839" s="320"/>
      <c r="G839" s="320"/>
      <c r="H839" s="320"/>
      <c r="I839" s="320"/>
      <c r="J839" s="320"/>
      <c r="K839" s="320"/>
      <c r="L839" s="320"/>
      <c r="M839" s="320"/>
      <c r="N839" s="320"/>
      <c r="O839" s="320"/>
      <c r="P839" s="320"/>
      <c r="Q839" s="320"/>
      <c r="R839" s="320"/>
      <c r="S839" s="320"/>
      <c r="T839" s="320"/>
      <c r="U839" s="320"/>
      <c r="V839" s="320"/>
      <c r="W839" s="320"/>
      <c r="X839" s="320"/>
      <c r="Y839" s="320"/>
      <c r="Z839" s="320"/>
    </row>
    <row r="840">
      <c r="A840" s="320"/>
      <c r="B840" s="320"/>
      <c r="C840" s="320"/>
      <c r="D840" s="320"/>
      <c r="E840" s="320"/>
      <c r="F840" s="320"/>
      <c r="G840" s="320"/>
      <c r="H840" s="320"/>
      <c r="I840" s="320"/>
      <c r="J840" s="320"/>
      <c r="K840" s="320"/>
      <c r="L840" s="320"/>
      <c r="M840" s="320"/>
      <c r="N840" s="320"/>
      <c r="O840" s="320"/>
      <c r="P840" s="320"/>
      <c r="Q840" s="320"/>
      <c r="R840" s="320"/>
      <c r="S840" s="320"/>
      <c r="T840" s="320"/>
      <c r="U840" s="320"/>
      <c r="V840" s="320"/>
      <c r="W840" s="320"/>
      <c r="X840" s="320"/>
      <c r="Y840" s="320"/>
      <c r="Z840" s="320"/>
    </row>
    <row r="841">
      <c r="A841" s="320"/>
      <c r="B841" s="320"/>
      <c r="C841" s="320"/>
      <c r="D841" s="320"/>
      <c r="E841" s="320"/>
      <c r="F841" s="320"/>
      <c r="G841" s="320"/>
      <c r="H841" s="320"/>
      <c r="I841" s="320"/>
      <c r="J841" s="320"/>
      <c r="K841" s="320"/>
      <c r="L841" s="320"/>
      <c r="M841" s="320"/>
      <c r="N841" s="320"/>
      <c r="O841" s="320"/>
      <c r="P841" s="320"/>
      <c r="Q841" s="320"/>
      <c r="R841" s="320"/>
      <c r="S841" s="320"/>
      <c r="T841" s="320"/>
      <c r="U841" s="320"/>
      <c r="V841" s="320"/>
      <c r="W841" s="320"/>
      <c r="X841" s="320"/>
      <c r="Y841" s="320"/>
      <c r="Z841" s="320"/>
    </row>
    <row r="842">
      <c r="A842" s="320"/>
      <c r="B842" s="320"/>
      <c r="C842" s="320"/>
      <c r="D842" s="320"/>
      <c r="E842" s="320"/>
      <c r="F842" s="320"/>
      <c r="G842" s="320"/>
      <c r="H842" s="320"/>
      <c r="I842" s="320"/>
      <c r="J842" s="320"/>
      <c r="K842" s="320"/>
      <c r="L842" s="320"/>
      <c r="M842" s="320"/>
      <c r="N842" s="320"/>
      <c r="O842" s="320"/>
      <c r="P842" s="320"/>
      <c r="Q842" s="320"/>
      <c r="R842" s="320"/>
      <c r="S842" s="320"/>
      <c r="T842" s="320"/>
      <c r="U842" s="320"/>
      <c r="V842" s="320"/>
      <c r="W842" s="320"/>
      <c r="X842" s="320"/>
      <c r="Y842" s="320"/>
      <c r="Z842" s="320"/>
    </row>
    <row r="843">
      <c r="A843" s="320"/>
      <c r="B843" s="320"/>
      <c r="C843" s="320"/>
      <c r="D843" s="320"/>
      <c r="E843" s="320"/>
      <c r="F843" s="320"/>
      <c r="G843" s="320"/>
      <c r="H843" s="320"/>
      <c r="I843" s="320"/>
      <c r="J843" s="320"/>
      <c r="K843" s="320"/>
      <c r="L843" s="320"/>
      <c r="M843" s="320"/>
      <c r="N843" s="320"/>
      <c r="O843" s="320"/>
      <c r="P843" s="320"/>
      <c r="Q843" s="320"/>
      <c r="R843" s="320"/>
      <c r="S843" s="320"/>
      <c r="T843" s="320"/>
      <c r="U843" s="320"/>
      <c r="V843" s="320"/>
      <c r="W843" s="320"/>
      <c r="X843" s="320"/>
      <c r="Y843" s="320"/>
      <c r="Z843" s="320"/>
    </row>
    <row r="844">
      <c r="A844" s="320"/>
      <c r="B844" s="320"/>
      <c r="C844" s="320"/>
      <c r="D844" s="320"/>
      <c r="E844" s="320"/>
      <c r="F844" s="320"/>
      <c r="G844" s="320"/>
      <c r="H844" s="320"/>
      <c r="I844" s="320"/>
      <c r="J844" s="320"/>
      <c r="K844" s="320"/>
      <c r="L844" s="320"/>
      <c r="M844" s="320"/>
      <c r="N844" s="320"/>
      <c r="O844" s="320"/>
      <c r="P844" s="320"/>
      <c r="Q844" s="320"/>
      <c r="R844" s="320"/>
      <c r="S844" s="320"/>
      <c r="T844" s="320"/>
      <c r="U844" s="320"/>
      <c r="V844" s="320"/>
      <c r="W844" s="320"/>
      <c r="X844" s="320"/>
      <c r="Y844" s="320"/>
      <c r="Z844" s="320"/>
    </row>
    <row r="845">
      <c r="A845" s="320"/>
      <c r="B845" s="320"/>
      <c r="C845" s="320"/>
      <c r="D845" s="320"/>
      <c r="E845" s="320"/>
      <c r="F845" s="320"/>
      <c r="G845" s="320"/>
      <c r="H845" s="320"/>
      <c r="I845" s="320"/>
      <c r="J845" s="320"/>
      <c r="K845" s="320"/>
      <c r="L845" s="320"/>
      <c r="M845" s="320"/>
      <c r="N845" s="320"/>
      <c r="O845" s="320"/>
      <c r="P845" s="320"/>
      <c r="Q845" s="320"/>
      <c r="R845" s="320"/>
      <c r="S845" s="320"/>
      <c r="T845" s="320"/>
      <c r="U845" s="320"/>
      <c r="V845" s="320"/>
      <c r="W845" s="320"/>
      <c r="X845" s="320"/>
      <c r="Y845" s="320"/>
      <c r="Z845" s="320"/>
    </row>
    <row r="846">
      <c r="A846" s="320"/>
      <c r="B846" s="320"/>
      <c r="C846" s="320"/>
      <c r="D846" s="320"/>
      <c r="E846" s="320"/>
      <c r="F846" s="320"/>
      <c r="G846" s="320"/>
      <c r="H846" s="320"/>
      <c r="I846" s="320"/>
      <c r="J846" s="320"/>
      <c r="K846" s="320"/>
      <c r="L846" s="320"/>
      <c r="M846" s="320"/>
      <c r="N846" s="320"/>
      <c r="O846" s="320"/>
      <c r="P846" s="320"/>
      <c r="Q846" s="320"/>
      <c r="R846" s="320"/>
      <c r="S846" s="320"/>
      <c r="T846" s="320"/>
      <c r="U846" s="320"/>
      <c r="V846" s="320"/>
      <c r="W846" s="320"/>
      <c r="X846" s="320"/>
      <c r="Y846" s="320"/>
      <c r="Z846" s="320"/>
    </row>
    <row r="847">
      <c r="A847" s="320"/>
      <c r="B847" s="320"/>
      <c r="C847" s="320"/>
      <c r="D847" s="320"/>
      <c r="E847" s="320"/>
      <c r="F847" s="320"/>
      <c r="G847" s="320"/>
      <c r="H847" s="320"/>
      <c r="I847" s="320"/>
      <c r="J847" s="320"/>
      <c r="K847" s="320"/>
      <c r="L847" s="320"/>
      <c r="M847" s="320"/>
      <c r="N847" s="320"/>
      <c r="O847" s="320"/>
      <c r="P847" s="320"/>
      <c r="Q847" s="320"/>
      <c r="R847" s="320"/>
      <c r="S847" s="320"/>
      <c r="T847" s="320"/>
      <c r="U847" s="320"/>
      <c r="V847" s="320"/>
      <c r="W847" s="320"/>
      <c r="X847" s="320"/>
      <c r="Y847" s="320"/>
      <c r="Z847" s="320"/>
    </row>
    <row r="848">
      <c r="A848" s="320"/>
      <c r="B848" s="320"/>
      <c r="C848" s="320"/>
      <c r="D848" s="320"/>
      <c r="E848" s="320"/>
      <c r="F848" s="320"/>
      <c r="G848" s="320"/>
      <c r="H848" s="320"/>
      <c r="I848" s="320"/>
      <c r="J848" s="320"/>
      <c r="K848" s="320"/>
      <c r="L848" s="320"/>
      <c r="M848" s="320"/>
      <c r="N848" s="320"/>
      <c r="O848" s="320"/>
      <c r="P848" s="320"/>
      <c r="Q848" s="320"/>
      <c r="R848" s="320"/>
      <c r="S848" s="320"/>
      <c r="T848" s="320"/>
      <c r="U848" s="320"/>
      <c r="V848" s="320"/>
      <c r="W848" s="320"/>
      <c r="X848" s="320"/>
      <c r="Y848" s="320"/>
      <c r="Z848" s="320"/>
    </row>
    <row r="849">
      <c r="A849" s="320"/>
      <c r="B849" s="320"/>
      <c r="C849" s="320"/>
      <c r="D849" s="320"/>
      <c r="E849" s="320"/>
      <c r="F849" s="320"/>
      <c r="G849" s="320"/>
      <c r="H849" s="320"/>
      <c r="I849" s="320"/>
      <c r="J849" s="320"/>
      <c r="K849" s="320"/>
      <c r="L849" s="320"/>
      <c r="M849" s="320"/>
      <c r="N849" s="320"/>
      <c r="O849" s="320"/>
      <c r="P849" s="320"/>
      <c r="Q849" s="320"/>
      <c r="R849" s="320"/>
      <c r="S849" s="320"/>
      <c r="T849" s="320"/>
      <c r="U849" s="320"/>
      <c r="V849" s="320"/>
      <c r="W849" s="320"/>
      <c r="X849" s="320"/>
      <c r="Y849" s="320"/>
      <c r="Z849" s="320"/>
    </row>
    <row r="850">
      <c r="A850" s="320"/>
      <c r="B850" s="320"/>
      <c r="C850" s="320"/>
      <c r="D850" s="320"/>
      <c r="E850" s="320"/>
      <c r="F850" s="320"/>
      <c r="G850" s="320"/>
      <c r="H850" s="320"/>
      <c r="I850" s="320"/>
      <c r="J850" s="320"/>
      <c r="K850" s="320"/>
      <c r="L850" s="320"/>
      <c r="M850" s="320"/>
      <c r="N850" s="320"/>
      <c r="O850" s="320"/>
      <c r="P850" s="320"/>
      <c r="Q850" s="320"/>
      <c r="R850" s="320"/>
      <c r="S850" s="320"/>
      <c r="T850" s="320"/>
      <c r="U850" s="320"/>
      <c r="V850" s="320"/>
      <c r="W850" s="320"/>
      <c r="X850" s="320"/>
      <c r="Y850" s="320"/>
      <c r="Z850" s="320"/>
    </row>
    <row r="851">
      <c r="A851" s="320"/>
      <c r="B851" s="320"/>
      <c r="C851" s="320"/>
      <c r="D851" s="320"/>
      <c r="E851" s="320"/>
      <c r="F851" s="320"/>
      <c r="G851" s="320"/>
      <c r="H851" s="320"/>
      <c r="I851" s="320"/>
      <c r="J851" s="320"/>
      <c r="K851" s="320"/>
      <c r="L851" s="320"/>
      <c r="M851" s="320"/>
      <c r="N851" s="320"/>
      <c r="O851" s="320"/>
      <c r="P851" s="320"/>
      <c r="Q851" s="320"/>
      <c r="R851" s="320"/>
      <c r="S851" s="320"/>
      <c r="T851" s="320"/>
      <c r="U851" s="320"/>
      <c r="V851" s="320"/>
      <c r="W851" s="320"/>
      <c r="X851" s="320"/>
      <c r="Y851" s="320"/>
      <c r="Z851" s="320"/>
    </row>
    <row r="852">
      <c r="A852" s="320"/>
      <c r="B852" s="320"/>
      <c r="C852" s="320"/>
      <c r="D852" s="320"/>
      <c r="E852" s="320"/>
      <c r="F852" s="320"/>
      <c r="G852" s="320"/>
      <c r="H852" s="320"/>
      <c r="I852" s="320"/>
      <c r="J852" s="320"/>
      <c r="K852" s="320"/>
      <c r="L852" s="320"/>
      <c r="M852" s="320"/>
      <c r="N852" s="320"/>
      <c r="O852" s="320"/>
      <c r="P852" s="320"/>
      <c r="Q852" s="320"/>
      <c r="R852" s="320"/>
      <c r="S852" s="320"/>
      <c r="T852" s="320"/>
      <c r="U852" s="320"/>
      <c r="V852" s="320"/>
      <c r="W852" s="320"/>
      <c r="X852" s="320"/>
      <c r="Y852" s="320"/>
      <c r="Z852" s="320"/>
    </row>
    <row r="853">
      <c r="A853" s="320"/>
      <c r="B853" s="320"/>
      <c r="C853" s="320"/>
      <c r="D853" s="320"/>
      <c r="E853" s="320"/>
      <c r="F853" s="320"/>
      <c r="G853" s="320"/>
      <c r="H853" s="320"/>
      <c r="I853" s="320"/>
      <c r="J853" s="320"/>
      <c r="K853" s="320"/>
      <c r="L853" s="320"/>
      <c r="M853" s="320"/>
      <c r="N853" s="320"/>
      <c r="O853" s="320"/>
      <c r="P853" s="320"/>
      <c r="Q853" s="320"/>
      <c r="R853" s="320"/>
      <c r="S853" s="320"/>
      <c r="T853" s="320"/>
      <c r="U853" s="320"/>
      <c r="V853" s="320"/>
      <c r="W853" s="320"/>
      <c r="X853" s="320"/>
      <c r="Y853" s="320"/>
      <c r="Z853" s="320"/>
    </row>
    <row r="854">
      <c r="A854" s="320"/>
      <c r="B854" s="320"/>
      <c r="C854" s="320"/>
      <c r="D854" s="320"/>
      <c r="E854" s="320"/>
      <c r="F854" s="320"/>
      <c r="G854" s="320"/>
      <c r="H854" s="320"/>
      <c r="I854" s="320"/>
      <c r="J854" s="320"/>
      <c r="K854" s="320"/>
      <c r="L854" s="320"/>
      <c r="M854" s="320"/>
      <c r="N854" s="320"/>
      <c r="O854" s="320"/>
      <c r="P854" s="320"/>
      <c r="Q854" s="320"/>
      <c r="R854" s="320"/>
      <c r="S854" s="320"/>
      <c r="T854" s="320"/>
      <c r="U854" s="320"/>
      <c r="V854" s="320"/>
      <c r="W854" s="320"/>
      <c r="X854" s="320"/>
      <c r="Y854" s="320"/>
      <c r="Z854" s="320"/>
    </row>
    <row r="855">
      <c r="A855" s="320"/>
      <c r="B855" s="320"/>
      <c r="C855" s="320"/>
      <c r="D855" s="320"/>
      <c r="E855" s="320"/>
      <c r="F855" s="320"/>
      <c r="G855" s="320"/>
      <c r="H855" s="320"/>
      <c r="I855" s="320"/>
      <c r="J855" s="320"/>
      <c r="K855" s="320"/>
      <c r="L855" s="320"/>
      <c r="M855" s="320"/>
      <c r="N855" s="320"/>
      <c r="O855" s="320"/>
      <c r="P855" s="320"/>
      <c r="Q855" s="320"/>
      <c r="R855" s="320"/>
      <c r="S855" s="320"/>
      <c r="T855" s="320"/>
      <c r="U855" s="320"/>
      <c r="V855" s="320"/>
      <c r="W855" s="320"/>
      <c r="X855" s="320"/>
      <c r="Y855" s="320"/>
      <c r="Z855" s="320"/>
    </row>
    <row r="856">
      <c r="A856" s="320"/>
      <c r="B856" s="320"/>
      <c r="C856" s="320"/>
      <c r="D856" s="320"/>
      <c r="E856" s="320"/>
      <c r="F856" s="320"/>
      <c r="G856" s="320"/>
      <c r="H856" s="320"/>
      <c r="I856" s="320"/>
      <c r="J856" s="320"/>
      <c r="K856" s="320"/>
      <c r="L856" s="320"/>
      <c r="M856" s="320"/>
      <c r="N856" s="320"/>
      <c r="O856" s="320"/>
      <c r="P856" s="320"/>
      <c r="Q856" s="320"/>
      <c r="R856" s="320"/>
      <c r="S856" s="320"/>
      <c r="T856" s="320"/>
      <c r="U856" s="320"/>
      <c r="V856" s="320"/>
      <c r="W856" s="320"/>
      <c r="X856" s="320"/>
      <c r="Y856" s="320"/>
      <c r="Z856" s="320"/>
    </row>
    <row r="857">
      <c r="A857" s="320"/>
      <c r="B857" s="320"/>
      <c r="C857" s="320"/>
      <c r="D857" s="320"/>
      <c r="E857" s="320"/>
      <c r="F857" s="320"/>
      <c r="G857" s="320"/>
      <c r="H857" s="320"/>
      <c r="I857" s="320"/>
      <c r="J857" s="320"/>
      <c r="K857" s="320"/>
      <c r="L857" s="320"/>
      <c r="M857" s="320"/>
      <c r="N857" s="320"/>
      <c r="O857" s="320"/>
      <c r="P857" s="320"/>
      <c r="Q857" s="320"/>
      <c r="R857" s="320"/>
      <c r="S857" s="320"/>
      <c r="T857" s="320"/>
      <c r="U857" s="320"/>
      <c r="V857" s="320"/>
      <c r="W857" s="320"/>
      <c r="X857" s="320"/>
      <c r="Y857" s="320"/>
      <c r="Z857" s="320"/>
    </row>
    <row r="858">
      <c r="A858" s="320"/>
      <c r="B858" s="320"/>
      <c r="C858" s="320"/>
      <c r="D858" s="320"/>
      <c r="E858" s="320"/>
      <c r="F858" s="320"/>
      <c r="G858" s="320"/>
      <c r="H858" s="320"/>
      <c r="I858" s="320"/>
      <c r="J858" s="320"/>
      <c r="K858" s="320"/>
      <c r="L858" s="320"/>
      <c r="M858" s="320"/>
      <c r="N858" s="320"/>
      <c r="O858" s="320"/>
      <c r="P858" s="320"/>
      <c r="Q858" s="320"/>
      <c r="R858" s="320"/>
      <c r="S858" s="320"/>
      <c r="T858" s="320"/>
      <c r="U858" s="320"/>
      <c r="V858" s="320"/>
      <c r="W858" s="320"/>
      <c r="X858" s="320"/>
      <c r="Y858" s="320"/>
      <c r="Z858" s="320"/>
    </row>
    <row r="859">
      <c r="A859" s="320"/>
      <c r="B859" s="320"/>
      <c r="C859" s="320"/>
      <c r="D859" s="320"/>
      <c r="E859" s="320"/>
      <c r="F859" s="320"/>
      <c r="G859" s="320"/>
      <c r="H859" s="320"/>
      <c r="I859" s="320"/>
      <c r="J859" s="320"/>
      <c r="K859" s="320"/>
      <c r="L859" s="320"/>
      <c r="M859" s="320"/>
      <c r="N859" s="320"/>
      <c r="O859" s="320"/>
      <c r="P859" s="320"/>
      <c r="Q859" s="320"/>
      <c r="R859" s="320"/>
      <c r="S859" s="320"/>
      <c r="T859" s="320"/>
      <c r="U859" s="320"/>
      <c r="V859" s="320"/>
      <c r="W859" s="320"/>
      <c r="X859" s="320"/>
      <c r="Y859" s="320"/>
      <c r="Z859" s="320"/>
    </row>
    <row r="860">
      <c r="A860" s="320"/>
      <c r="B860" s="320"/>
      <c r="C860" s="320"/>
      <c r="D860" s="320"/>
      <c r="E860" s="320"/>
      <c r="F860" s="320"/>
      <c r="G860" s="320"/>
      <c r="H860" s="320"/>
      <c r="I860" s="320"/>
      <c r="J860" s="320"/>
      <c r="K860" s="320"/>
      <c r="L860" s="320"/>
      <c r="M860" s="320"/>
      <c r="N860" s="320"/>
      <c r="O860" s="320"/>
      <c r="P860" s="320"/>
      <c r="Q860" s="320"/>
      <c r="R860" s="320"/>
      <c r="S860" s="320"/>
      <c r="T860" s="320"/>
      <c r="U860" s="320"/>
      <c r="V860" s="320"/>
      <c r="W860" s="320"/>
      <c r="X860" s="320"/>
      <c r="Y860" s="320"/>
      <c r="Z860" s="320"/>
    </row>
    <row r="861">
      <c r="A861" s="320"/>
      <c r="B861" s="320"/>
      <c r="C861" s="320"/>
      <c r="D861" s="320"/>
      <c r="E861" s="320"/>
      <c r="F861" s="320"/>
      <c r="G861" s="320"/>
      <c r="H861" s="320"/>
      <c r="I861" s="320"/>
      <c r="J861" s="320"/>
      <c r="K861" s="320"/>
      <c r="L861" s="320"/>
      <c r="M861" s="320"/>
      <c r="N861" s="320"/>
      <c r="O861" s="320"/>
      <c r="P861" s="320"/>
      <c r="Q861" s="320"/>
      <c r="R861" s="320"/>
      <c r="S861" s="320"/>
      <c r="T861" s="320"/>
      <c r="U861" s="320"/>
      <c r="V861" s="320"/>
      <c r="W861" s="320"/>
      <c r="X861" s="320"/>
      <c r="Y861" s="320"/>
      <c r="Z861" s="320"/>
    </row>
    <row r="862">
      <c r="A862" s="320"/>
      <c r="B862" s="320"/>
      <c r="C862" s="320"/>
      <c r="D862" s="320"/>
      <c r="E862" s="320"/>
      <c r="F862" s="320"/>
      <c r="G862" s="320"/>
      <c r="H862" s="320"/>
      <c r="I862" s="320"/>
      <c r="J862" s="320"/>
      <c r="K862" s="320"/>
      <c r="L862" s="320"/>
      <c r="M862" s="320"/>
      <c r="N862" s="320"/>
      <c r="O862" s="320"/>
      <c r="P862" s="320"/>
      <c r="Q862" s="320"/>
      <c r="R862" s="320"/>
      <c r="S862" s="320"/>
      <c r="T862" s="320"/>
      <c r="U862" s="320"/>
      <c r="V862" s="320"/>
      <c r="W862" s="320"/>
      <c r="X862" s="320"/>
      <c r="Y862" s="320"/>
      <c r="Z862" s="320"/>
    </row>
    <row r="863">
      <c r="A863" s="320"/>
      <c r="B863" s="320"/>
      <c r="C863" s="320"/>
      <c r="D863" s="320"/>
      <c r="E863" s="320"/>
      <c r="F863" s="320"/>
      <c r="G863" s="320"/>
      <c r="H863" s="320"/>
      <c r="I863" s="320"/>
      <c r="J863" s="320"/>
      <c r="K863" s="320"/>
      <c r="L863" s="320"/>
      <c r="M863" s="320"/>
      <c r="N863" s="320"/>
      <c r="O863" s="320"/>
      <c r="P863" s="320"/>
      <c r="Q863" s="320"/>
      <c r="R863" s="320"/>
      <c r="S863" s="320"/>
      <c r="T863" s="320"/>
      <c r="U863" s="320"/>
      <c r="V863" s="320"/>
      <c r="W863" s="320"/>
      <c r="X863" s="320"/>
      <c r="Y863" s="320"/>
      <c r="Z863" s="320"/>
    </row>
    <row r="864">
      <c r="A864" s="320"/>
      <c r="B864" s="320"/>
      <c r="C864" s="320"/>
      <c r="D864" s="320"/>
      <c r="E864" s="320"/>
      <c r="F864" s="320"/>
      <c r="G864" s="320"/>
      <c r="H864" s="320"/>
      <c r="I864" s="320"/>
      <c r="J864" s="320"/>
      <c r="K864" s="320"/>
      <c r="L864" s="320"/>
      <c r="M864" s="320"/>
      <c r="N864" s="320"/>
      <c r="O864" s="320"/>
      <c r="P864" s="320"/>
      <c r="Q864" s="320"/>
      <c r="R864" s="320"/>
      <c r="S864" s="320"/>
      <c r="T864" s="320"/>
      <c r="U864" s="320"/>
      <c r="V864" s="320"/>
      <c r="W864" s="320"/>
      <c r="X864" s="320"/>
      <c r="Y864" s="320"/>
      <c r="Z864" s="320"/>
    </row>
    <row r="865">
      <c r="A865" s="320"/>
      <c r="B865" s="320"/>
      <c r="C865" s="320"/>
      <c r="D865" s="320"/>
      <c r="E865" s="320"/>
      <c r="F865" s="320"/>
      <c r="G865" s="320"/>
      <c r="H865" s="320"/>
      <c r="I865" s="320"/>
      <c r="J865" s="320"/>
      <c r="K865" s="320"/>
      <c r="L865" s="320"/>
      <c r="M865" s="320"/>
      <c r="N865" s="320"/>
      <c r="O865" s="320"/>
      <c r="P865" s="320"/>
      <c r="Q865" s="320"/>
      <c r="R865" s="320"/>
      <c r="S865" s="320"/>
      <c r="T865" s="320"/>
      <c r="U865" s="320"/>
      <c r="V865" s="320"/>
      <c r="W865" s="320"/>
      <c r="X865" s="320"/>
      <c r="Y865" s="320"/>
      <c r="Z865" s="320"/>
    </row>
    <row r="866">
      <c r="A866" s="320"/>
      <c r="B866" s="320"/>
      <c r="C866" s="320"/>
      <c r="D866" s="320"/>
      <c r="E866" s="320"/>
      <c r="F866" s="320"/>
      <c r="G866" s="320"/>
      <c r="H866" s="320"/>
      <c r="I866" s="320"/>
      <c r="J866" s="320"/>
      <c r="K866" s="320"/>
      <c r="L866" s="320"/>
      <c r="M866" s="320"/>
      <c r="N866" s="320"/>
      <c r="O866" s="320"/>
      <c r="P866" s="320"/>
      <c r="Q866" s="320"/>
      <c r="R866" s="320"/>
      <c r="S866" s="320"/>
      <c r="T866" s="320"/>
      <c r="U866" s="320"/>
      <c r="V866" s="320"/>
      <c r="W866" s="320"/>
      <c r="X866" s="320"/>
      <c r="Y866" s="320"/>
      <c r="Z866" s="320"/>
    </row>
    <row r="867">
      <c r="A867" s="320"/>
      <c r="B867" s="320"/>
      <c r="C867" s="320"/>
      <c r="D867" s="320"/>
      <c r="E867" s="320"/>
      <c r="F867" s="320"/>
      <c r="G867" s="320"/>
      <c r="H867" s="320"/>
      <c r="I867" s="320"/>
      <c r="J867" s="320"/>
      <c r="K867" s="320"/>
      <c r="L867" s="320"/>
      <c r="M867" s="320"/>
      <c r="N867" s="320"/>
      <c r="O867" s="320"/>
      <c r="P867" s="320"/>
      <c r="Q867" s="320"/>
      <c r="R867" s="320"/>
      <c r="S867" s="320"/>
      <c r="T867" s="320"/>
      <c r="U867" s="320"/>
      <c r="V867" s="320"/>
      <c r="W867" s="320"/>
      <c r="X867" s="320"/>
      <c r="Y867" s="320"/>
      <c r="Z867" s="320"/>
    </row>
    <row r="868">
      <c r="A868" s="320"/>
      <c r="B868" s="320"/>
      <c r="C868" s="320"/>
      <c r="D868" s="320"/>
      <c r="E868" s="320"/>
      <c r="F868" s="320"/>
      <c r="G868" s="320"/>
      <c r="H868" s="320"/>
      <c r="I868" s="320"/>
      <c r="J868" s="320"/>
      <c r="K868" s="320"/>
      <c r="L868" s="320"/>
      <c r="M868" s="320"/>
      <c r="N868" s="320"/>
      <c r="O868" s="320"/>
      <c r="P868" s="320"/>
      <c r="Q868" s="320"/>
      <c r="R868" s="320"/>
      <c r="S868" s="320"/>
      <c r="T868" s="320"/>
      <c r="U868" s="320"/>
      <c r="V868" s="320"/>
      <c r="W868" s="320"/>
      <c r="X868" s="320"/>
      <c r="Y868" s="320"/>
      <c r="Z868" s="320"/>
    </row>
    <row r="869">
      <c r="A869" s="320"/>
      <c r="B869" s="320"/>
      <c r="C869" s="320"/>
      <c r="D869" s="320"/>
      <c r="E869" s="320"/>
      <c r="F869" s="320"/>
      <c r="G869" s="320"/>
      <c r="H869" s="320"/>
      <c r="I869" s="320"/>
      <c r="J869" s="320"/>
      <c r="K869" s="320"/>
      <c r="L869" s="320"/>
      <c r="M869" s="320"/>
      <c r="N869" s="320"/>
      <c r="O869" s="320"/>
      <c r="P869" s="320"/>
      <c r="Q869" s="320"/>
      <c r="R869" s="320"/>
      <c r="S869" s="320"/>
      <c r="T869" s="320"/>
      <c r="U869" s="320"/>
      <c r="V869" s="320"/>
      <c r="W869" s="320"/>
      <c r="X869" s="320"/>
      <c r="Y869" s="320"/>
      <c r="Z869" s="320"/>
    </row>
    <row r="870">
      <c r="A870" s="320"/>
      <c r="B870" s="320"/>
      <c r="C870" s="320"/>
      <c r="D870" s="320"/>
      <c r="E870" s="320"/>
      <c r="F870" s="320"/>
      <c r="G870" s="320"/>
      <c r="H870" s="320"/>
      <c r="I870" s="320"/>
      <c r="J870" s="320"/>
      <c r="K870" s="320"/>
      <c r="L870" s="320"/>
      <c r="M870" s="320"/>
      <c r="N870" s="320"/>
      <c r="O870" s="320"/>
      <c r="P870" s="320"/>
      <c r="Q870" s="320"/>
      <c r="R870" s="320"/>
      <c r="S870" s="320"/>
      <c r="T870" s="320"/>
      <c r="U870" s="320"/>
      <c r="V870" s="320"/>
      <c r="W870" s="320"/>
      <c r="X870" s="320"/>
      <c r="Y870" s="320"/>
      <c r="Z870" s="320"/>
    </row>
    <row r="871">
      <c r="A871" s="320"/>
      <c r="B871" s="320"/>
      <c r="C871" s="320"/>
      <c r="D871" s="320"/>
      <c r="E871" s="320"/>
      <c r="F871" s="320"/>
      <c r="G871" s="320"/>
      <c r="H871" s="320"/>
      <c r="I871" s="320"/>
      <c r="J871" s="320"/>
      <c r="K871" s="320"/>
      <c r="L871" s="320"/>
      <c r="M871" s="320"/>
      <c r="N871" s="320"/>
      <c r="O871" s="320"/>
      <c r="P871" s="320"/>
      <c r="Q871" s="320"/>
      <c r="R871" s="320"/>
      <c r="S871" s="320"/>
      <c r="T871" s="320"/>
      <c r="U871" s="320"/>
      <c r="V871" s="320"/>
      <c r="W871" s="320"/>
      <c r="X871" s="320"/>
      <c r="Y871" s="320"/>
      <c r="Z871" s="320"/>
    </row>
    <row r="872">
      <c r="A872" s="320"/>
      <c r="B872" s="320"/>
      <c r="C872" s="320"/>
      <c r="D872" s="320"/>
      <c r="E872" s="320"/>
      <c r="F872" s="320"/>
      <c r="G872" s="320"/>
      <c r="H872" s="320"/>
      <c r="I872" s="320"/>
      <c r="J872" s="320"/>
      <c r="K872" s="320"/>
      <c r="L872" s="320"/>
      <c r="M872" s="320"/>
      <c r="N872" s="320"/>
      <c r="O872" s="320"/>
      <c r="P872" s="320"/>
      <c r="Q872" s="320"/>
      <c r="R872" s="320"/>
      <c r="S872" s="320"/>
      <c r="T872" s="320"/>
      <c r="U872" s="320"/>
      <c r="V872" s="320"/>
      <c r="W872" s="320"/>
      <c r="X872" s="320"/>
      <c r="Y872" s="320"/>
      <c r="Z872" s="320"/>
    </row>
    <row r="873">
      <c r="A873" s="320"/>
      <c r="B873" s="320"/>
      <c r="C873" s="320"/>
      <c r="D873" s="320"/>
      <c r="E873" s="320"/>
      <c r="F873" s="320"/>
      <c r="G873" s="320"/>
      <c r="H873" s="320"/>
      <c r="I873" s="320"/>
      <c r="J873" s="320"/>
      <c r="K873" s="320"/>
      <c r="L873" s="320"/>
      <c r="M873" s="320"/>
      <c r="N873" s="320"/>
      <c r="O873" s="320"/>
      <c r="P873" s="320"/>
      <c r="Q873" s="320"/>
      <c r="R873" s="320"/>
      <c r="S873" s="320"/>
      <c r="T873" s="320"/>
      <c r="U873" s="320"/>
      <c r="V873" s="320"/>
      <c r="W873" s="320"/>
      <c r="X873" s="320"/>
      <c r="Y873" s="320"/>
      <c r="Z873" s="320"/>
    </row>
    <row r="874">
      <c r="A874" s="320"/>
      <c r="B874" s="320"/>
      <c r="C874" s="320"/>
      <c r="D874" s="320"/>
      <c r="E874" s="320"/>
      <c r="F874" s="320"/>
      <c r="G874" s="320"/>
      <c r="H874" s="320"/>
      <c r="I874" s="320"/>
      <c r="J874" s="320"/>
      <c r="K874" s="320"/>
      <c r="L874" s="320"/>
      <c r="M874" s="320"/>
      <c r="N874" s="320"/>
      <c r="O874" s="320"/>
      <c r="P874" s="320"/>
      <c r="Q874" s="320"/>
      <c r="R874" s="320"/>
      <c r="S874" s="320"/>
      <c r="T874" s="320"/>
      <c r="U874" s="320"/>
      <c r="V874" s="320"/>
      <c r="W874" s="320"/>
      <c r="X874" s="320"/>
      <c r="Y874" s="320"/>
      <c r="Z874" s="320"/>
    </row>
    <row r="875">
      <c r="A875" s="320"/>
      <c r="B875" s="320"/>
      <c r="C875" s="320"/>
      <c r="D875" s="320"/>
      <c r="E875" s="320"/>
      <c r="F875" s="320"/>
      <c r="G875" s="320"/>
      <c r="H875" s="320"/>
      <c r="I875" s="320"/>
      <c r="J875" s="320"/>
      <c r="K875" s="320"/>
      <c r="L875" s="320"/>
      <c r="M875" s="320"/>
      <c r="N875" s="320"/>
      <c r="O875" s="320"/>
      <c r="P875" s="320"/>
      <c r="Q875" s="320"/>
      <c r="R875" s="320"/>
      <c r="S875" s="320"/>
      <c r="T875" s="320"/>
      <c r="U875" s="320"/>
      <c r="V875" s="320"/>
      <c r="W875" s="320"/>
      <c r="X875" s="320"/>
      <c r="Y875" s="320"/>
      <c r="Z875" s="320"/>
    </row>
    <row r="876">
      <c r="A876" s="320"/>
      <c r="B876" s="320"/>
      <c r="C876" s="320"/>
      <c r="D876" s="320"/>
      <c r="E876" s="320"/>
      <c r="F876" s="320"/>
      <c r="G876" s="320"/>
      <c r="H876" s="320"/>
      <c r="I876" s="320"/>
      <c r="J876" s="320"/>
      <c r="K876" s="320"/>
      <c r="L876" s="320"/>
      <c r="M876" s="320"/>
      <c r="N876" s="320"/>
      <c r="O876" s="320"/>
      <c r="P876" s="320"/>
      <c r="Q876" s="320"/>
      <c r="R876" s="320"/>
      <c r="S876" s="320"/>
      <c r="T876" s="320"/>
      <c r="U876" s="320"/>
      <c r="V876" s="320"/>
      <c r="W876" s="320"/>
      <c r="X876" s="320"/>
      <c r="Y876" s="320"/>
      <c r="Z876" s="320"/>
    </row>
    <row r="877">
      <c r="A877" s="320"/>
      <c r="B877" s="320"/>
      <c r="C877" s="320"/>
      <c r="D877" s="320"/>
      <c r="E877" s="320"/>
      <c r="F877" s="320"/>
      <c r="G877" s="320"/>
      <c r="H877" s="320"/>
      <c r="I877" s="320"/>
      <c r="J877" s="320"/>
      <c r="K877" s="320"/>
      <c r="L877" s="320"/>
      <c r="M877" s="320"/>
      <c r="N877" s="320"/>
      <c r="O877" s="320"/>
      <c r="P877" s="320"/>
      <c r="Q877" s="320"/>
      <c r="R877" s="320"/>
      <c r="S877" s="320"/>
      <c r="T877" s="320"/>
      <c r="U877" s="320"/>
      <c r="V877" s="320"/>
      <c r="W877" s="320"/>
      <c r="X877" s="320"/>
      <c r="Y877" s="320"/>
      <c r="Z877" s="320"/>
    </row>
    <row r="878">
      <c r="A878" s="320"/>
      <c r="B878" s="320"/>
      <c r="C878" s="320"/>
      <c r="D878" s="320"/>
      <c r="E878" s="320"/>
      <c r="F878" s="320"/>
      <c r="G878" s="320"/>
      <c r="H878" s="320"/>
      <c r="I878" s="320"/>
      <c r="J878" s="320"/>
      <c r="K878" s="320"/>
      <c r="L878" s="320"/>
      <c r="M878" s="320"/>
      <c r="N878" s="320"/>
      <c r="O878" s="320"/>
      <c r="P878" s="320"/>
      <c r="Q878" s="320"/>
      <c r="R878" s="320"/>
      <c r="S878" s="320"/>
      <c r="T878" s="320"/>
      <c r="U878" s="320"/>
      <c r="V878" s="320"/>
      <c r="W878" s="320"/>
      <c r="X878" s="320"/>
      <c r="Y878" s="320"/>
      <c r="Z878" s="320"/>
    </row>
    <row r="879">
      <c r="A879" s="320"/>
      <c r="B879" s="320"/>
      <c r="C879" s="320"/>
      <c r="D879" s="320"/>
      <c r="E879" s="320"/>
      <c r="F879" s="320"/>
      <c r="G879" s="320"/>
      <c r="H879" s="320"/>
      <c r="I879" s="320"/>
      <c r="J879" s="320"/>
      <c r="K879" s="320"/>
      <c r="L879" s="320"/>
      <c r="M879" s="320"/>
      <c r="N879" s="320"/>
      <c r="O879" s="320"/>
      <c r="P879" s="320"/>
      <c r="Q879" s="320"/>
      <c r="R879" s="320"/>
      <c r="S879" s="320"/>
      <c r="T879" s="320"/>
      <c r="U879" s="320"/>
      <c r="V879" s="320"/>
      <c r="W879" s="320"/>
      <c r="X879" s="320"/>
      <c r="Y879" s="320"/>
      <c r="Z879" s="320"/>
    </row>
    <row r="880">
      <c r="A880" s="320"/>
      <c r="B880" s="320"/>
      <c r="C880" s="320"/>
      <c r="D880" s="320"/>
      <c r="E880" s="320"/>
      <c r="F880" s="320"/>
      <c r="G880" s="320"/>
      <c r="H880" s="320"/>
      <c r="I880" s="320"/>
      <c r="J880" s="320"/>
      <c r="K880" s="320"/>
      <c r="L880" s="320"/>
      <c r="M880" s="320"/>
      <c r="N880" s="320"/>
      <c r="O880" s="320"/>
      <c r="P880" s="320"/>
      <c r="Q880" s="320"/>
      <c r="R880" s="320"/>
      <c r="S880" s="320"/>
      <c r="T880" s="320"/>
      <c r="U880" s="320"/>
      <c r="V880" s="320"/>
      <c r="W880" s="320"/>
      <c r="X880" s="320"/>
      <c r="Y880" s="320"/>
      <c r="Z880" s="320"/>
    </row>
    <row r="881">
      <c r="A881" s="320"/>
      <c r="B881" s="320"/>
      <c r="C881" s="320"/>
      <c r="D881" s="320"/>
      <c r="E881" s="320"/>
      <c r="F881" s="320"/>
      <c r="G881" s="320"/>
      <c r="H881" s="320"/>
      <c r="I881" s="320"/>
      <c r="J881" s="320"/>
      <c r="K881" s="320"/>
      <c r="L881" s="320"/>
      <c r="M881" s="320"/>
      <c r="N881" s="320"/>
      <c r="O881" s="320"/>
      <c r="P881" s="320"/>
      <c r="Q881" s="320"/>
      <c r="R881" s="320"/>
      <c r="S881" s="320"/>
      <c r="T881" s="320"/>
      <c r="U881" s="320"/>
      <c r="V881" s="320"/>
      <c r="W881" s="320"/>
      <c r="X881" s="320"/>
      <c r="Y881" s="320"/>
      <c r="Z881" s="320"/>
    </row>
    <row r="882">
      <c r="A882" s="320"/>
      <c r="B882" s="320"/>
      <c r="C882" s="320"/>
      <c r="D882" s="320"/>
      <c r="E882" s="320"/>
      <c r="F882" s="320"/>
      <c r="G882" s="320"/>
      <c r="H882" s="320"/>
      <c r="I882" s="320"/>
      <c r="J882" s="320"/>
      <c r="K882" s="320"/>
      <c r="L882" s="320"/>
      <c r="M882" s="320"/>
      <c r="N882" s="320"/>
      <c r="O882" s="320"/>
      <c r="P882" s="320"/>
      <c r="Q882" s="320"/>
      <c r="R882" s="320"/>
      <c r="S882" s="320"/>
      <c r="T882" s="320"/>
      <c r="U882" s="320"/>
      <c r="V882" s="320"/>
      <c r="W882" s="320"/>
      <c r="X882" s="320"/>
      <c r="Y882" s="320"/>
      <c r="Z882" s="320"/>
    </row>
    <row r="883">
      <c r="A883" s="320"/>
      <c r="B883" s="320"/>
      <c r="C883" s="320"/>
      <c r="D883" s="320"/>
      <c r="E883" s="320"/>
      <c r="F883" s="320"/>
      <c r="G883" s="320"/>
      <c r="H883" s="320"/>
      <c r="I883" s="320"/>
      <c r="J883" s="320"/>
      <c r="K883" s="320"/>
      <c r="L883" s="320"/>
      <c r="M883" s="320"/>
      <c r="N883" s="320"/>
      <c r="O883" s="320"/>
      <c r="P883" s="320"/>
      <c r="Q883" s="320"/>
      <c r="R883" s="320"/>
      <c r="S883" s="320"/>
      <c r="T883" s="320"/>
      <c r="U883" s="320"/>
      <c r="V883" s="320"/>
      <c r="W883" s="320"/>
      <c r="X883" s="320"/>
      <c r="Y883" s="320"/>
      <c r="Z883" s="320"/>
    </row>
    <row r="884">
      <c r="A884" s="320"/>
      <c r="B884" s="320"/>
      <c r="C884" s="320"/>
      <c r="D884" s="320"/>
      <c r="E884" s="320"/>
      <c r="F884" s="320"/>
      <c r="G884" s="320"/>
      <c r="H884" s="320"/>
      <c r="I884" s="320"/>
      <c r="J884" s="320"/>
      <c r="K884" s="320"/>
      <c r="L884" s="320"/>
      <c r="M884" s="320"/>
      <c r="N884" s="320"/>
      <c r="O884" s="320"/>
      <c r="P884" s="320"/>
      <c r="Q884" s="320"/>
      <c r="R884" s="320"/>
      <c r="S884" s="320"/>
      <c r="T884" s="320"/>
      <c r="U884" s="320"/>
      <c r="V884" s="320"/>
      <c r="W884" s="320"/>
      <c r="X884" s="320"/>
      <c r="Y884" s="320"/>
      <c r="Z884" s="320"/>
    </row>
    <row r="885">
      <c r="A885" s="320"/>
      <c r="B885" s="320"/>
      <c r="C885" s="320"/>
      <c r="D885" s="320"/>
      <c r="E885" s="320"/>
      <c r="F885" s="320"/>
      <c r="G885" s="320"/>
      <c r="H885" s="320"/>
      <c r="I885" s="320"/>
      <c r="J885" s="320"/>
      <c r="K885" s="320"/>
      <c r="L885" s="320"/>
      <c r="M885" s="320"/>
      <c r="N885" s="320"/>
      <c r="O885" s="320"/>
      <c r="P885" s="320"/>
      <c r="Q885" s="320"/>
      <c r="R885" s="320"/>
      <c r="S885" s="320"/>
      <c r="T885" s="320"/>
      <c r="U885" s="320"/>
      <c r="V885" s="320"/>
      <c r="W885" s="320"/>
      <c r="X885" s="320"/>
      <c r="Y885" s="320"/>
      <c r="Z885" s="320"/>
    </row>
    <row r="886">
      <c r="A886" s="320"/>
      <c r="B886" s="320"/>
      <c r="C886" s="320"/>
      <c r="D886" s="320"/>
      <c r="E886" s="320"/>
      <c r="F886" s="320"/>
      <c r="G886" s="320"/>
      <c r="H886" s="320"/>
      <c r="I886" s="320"/>
      <c r="J886" s="320"/>
      <c r="K886" s="320"/>
      <c r="L886" s="320"/>
      <c r="M886" s="320"/>
      <c r="N886" s="320"/>
      <c r="O886" s="320"/>
      <c r="P886" s="320"/>
      <c r="Q886" s="320"/>
      <c r="R886" s="320"/>
      <c r="S886" s="320"/>
      <c r="T886" s="320"/>
      <c r="U886" s="320"/>
      <c r="V886" s="320"/>
      <c r="W886" s="320"/>
      <c r="X886" s="320"/>
      <c r="Y886" s="320"/>
      <c r="Z886" s="320"/>
    </row>
    <row r="887">
      <c r="A887" s="320"/>
      <c r="B887" s="320"/>
      <c r="C887" s="320"/>
      <c r="D887" s="320"/>
      <c r="E887" s="320"/>
      <c r="F887" s="320"/>
      <c r="G887" s="320"/>
      <c r="H887" s="320"/>
      <c r="I887" s="320"/>
      <c r="J887" s="320"/>
      <c r="K887" s="320"/>
      <c r="L887" s="320"/>
      <c r="M887" s="320"/>
      <c r="N887" s="320"/>
      <c r="O887" s="320"/>
      <c r="P887" s="320"/>
      <c r="Q887" s="320"/>
      <c r="R887" s="320"/>
      <c r="S887" s="320"/>
      <c r="T887" s="320"/>
      <c r="U887" s="320"/>
      <c r="V887" s="320"/>
      <c r="W887" s="320"/>
      <c r="X887" s="320"/>
      <c r="Y887" s="320"/>
      <c r="Z887" s="320"/>
    </row>
    <row r="888">
      <c r="A888" s="320"/>
      <c r="B888" s="320"/>
      <c r="C888" s="320"/>
      <c r="D888" s="320"/>
      <c r="E888" s="320"/>
      <c r="F888" s="320"/>
      <c r="G888" s="320"/>
      <c r="H888" s="320"/>
      <c r="I888" s="320"/>
      <c r="J888" s="320"/>
      <c r="K888" s="320"/>
      <c r="L888" s="320"/>
      <c r="M888" s="320"/>
      <c r="N888" s="320"/>
      <c r="O888" s="320"/>
      <c r="P888" s="320"/>
      <c r="Q888" s="320"/>
      <c r="R888" s="320"/>
      <c r="S888" s="320"/>
      <c r="T888" s="320"/>
      <c r="U888" s="320"/>
      <c r="V888" s="320"/>
      <c r="W888" s="320"/>
      <c r="X888" s="320"/>
      <c r="Y888" s="320"/>
      <c r="Z888" s="320"/>
    </row>
    <row r="889">
      <c r="A889" s="320"/>
      <c r="B889" s="320"/>
      <c r="C889" s="320"/>
      <c r="D889" s="320"/>
      <c r="E889" s="320"/>
      <c r="F889" s="320"/>
      <c r="G889" s="320"/>
      <c r="H889" s="320"/>
      <c r="I889" s="320"/>
      <c r="J889" s="320"/>
      <c r="K889" s="320"/>
      <c r="L889" s="320"/>
      <c r="M889" s="320"/>
      <c r="N889" s="320"/>
      <c r="O889" s="320"/>
      <c r="P889" s="320"/>
      <c r="Q889" s="320"/>
      <c r="R889" s="320"/>
      <c r="S889" s="320"/>
      <c r="T889" s="320"/>
      <c r="U889" s="320"/>
      <c r="V889" s="320"/>
      <c r="W889" s="320"/>
      <c r="X889" s="320"/>
      <c r="Y889" s="320"/>
      <c r="Z889" s="320"/>
    </row>
    <row r="890">
      <c r="A890" s="320"/>
      <c r="B890" s="320"/>
      <c r="C890" s="320"/>
      <c r="D890" s="320"/>
      <c r="E890" s="320"/>
      <c r="F890" s="320"/>
      <c r="G890" s="320"/>
      <c r="H890" s="320"/>
      <c r="I890" s="320"/>
      <c r="J890" s="320"/>
      <c r="K890" s="320"/>
      <c r="L890" s="320"/>
      <c r="M890" s="320"/>
      <c r="N890" s="320"/>
      <c r="O890" s="320"/>
      <c r="P890" s="320"/>
      <c r="Q890" s="320"/>
      <c r="R890" s="320"/>
      <c r="S890" s="320"/>
      <c r="T890" s="320"/>
      <c r="U890" s="320"/>
      <c r="V890" s="320"/>
      <c r="W890" s="320"/>
      <c r="X890" s="320"/>
      <c r="Y890" s="320"/>
      <c r="Z890" s="320"/>
    </row>
    <row r="891">
      <c r="A891" s="320"/>
      <c r="B891" s="320"/>
      <c r="C891" s="320"/>
      <c r="D891" s="320"/>
      <c r="E891" s="320"/>
      <c r="F891" s="320"/>
      <c r="G891" s="320"/>
      <c r="H891" s="320"/>
      <c r="I891" s="320"/>
      <c r="J891" s="320"/>
      <c r="K891" s="320"/>
      <c r="L891" s="320"/>
      <c r="M891" s="320"/>
      <c r="N891" s="320"/>
      <c r="O891" s="320"/>
      <c r="P891" s="320"/>
      <c r="Q891" s="320"/>
      <c r="R891" s="320"/>
      <c r="S891" s="320"/>
      <c r="T891" s="320"/>
      <c r="U891" s="320"/>
      <c r="V891" s="320"/>
      <c r="W891" s="320"/>
      <c r="X891" s="320"/>
      <c r="Y891" s="320"/>
      <c r="Z891" s="320"/>
    </row>
    <row r="892">
      <c r="A892" s="320"/>
      <c r="B892" s="320"/>
      <c r="C892" s="320"/>
      <c r="D892" s="320"/>
      <c r="E892" s="320"/>
      <c r="F892" s="320"/>
      <c r="G892" s="320"/>
      <c r="H892" s="320"/>
      <c r="I892" s="320"/>
      <c r="J892" s="320"/>
      <c r="K892" s="320"/>
      <c r="L892" s="320"/>
      <c r="M892" s="320"/>
      <c r="N892" s="320"/>
      <c r="O892" s="320"/>
      <c r="P892" s="320"/>
      <c r="Q892" s="320"/>
      <c r="R892" s="320"/>
      <c r="S892" s="320"/>
      <c r="T892" s="320"/>
      <c r="U892" s="320"/>
      <c r="V892" s="320"/>
      <c r="W892" s="320"/>
      <c r="X892" s="320"/>
      <c r="Y892" s="320"/>
      <c r="Z892" s="320"/>
    </row>
    <row r="893">
      <c r="A893" s="320"/>
      <c r="B893" s="320"/>
      <c r="C893" s="320"/>
      <c r="D893" s="320"/>
      <c r="E893" s="320"/>
      <c r="F893" s="320"/>
      <c r="G893" s="320"/>
      <c r="H893" s="320"/>
      <c r="I893" s="320"/>
      <c r="J893" s="320"/>
      <c r="K893" s="320"/>
      <c r="L893" s="320"/>
      <c r="M893" s="320"/>
      <c r="N893" s="320"/>
      <c r="O893" s="320"/>
      <c r="P893" s="320"/>
      <c r="Q893" s="320"/>
      <c r="R893" s="320"/>
      <c r="S893" s="320"/>
      <c r="T893" s="320"/>
      <c r="U893" s="320"/>
      <c r="V893" s="320"/>
      <c r="W893" s="320"/>
      <c r="X893" s="320"/>
      <c r="Y893" s="320"/>
      <c r="Z893" s="320"/>
    </row>
    <row r="894">
      <c r="A894" s="320"/>
      <c r="B894" s="320"/>
      <c r="C894" s="320"/>
      <c r="D894" s="320"/>
      <c r="E894" s="320"/>
      <c r="F894" s="320"/>
      <c r="G894" s="320"/>
      <c r="H894" s="320"/>
      <c r="I894" s="320"/>
      <c r="J894" s="320"/>
      <c r="K894" s="320"/>
      <c r="L894" s="320"/>
      <c r="M894" s="320"/>
      <c r="N894" s="320"/>
      <c r="O894" s="320"/>
      <c r="P894" s="320"/>
      <c r="Q894" s="320"/>
      <c r="R894" s="320"/>
      <c r="S894" s="320"/>
      <c r="T894" s="320"/>
      <c r="U894" s="320"/>
      <c r="V894" s="320"/>
      <c r="W894" s="320"/>
      <c r="X894" s="320"/>
      <c r="Y894" s="320"/>
      <c r="Z894" s="320"/>
    </row>
    <row r="895">
      <c r="A895" s="320"/>
      <c r="B895" s="320"/>
      <c r="C895" s="320"/>
      <c r="D895" s="320"/>
      <c r="E895" s="320"/>
      <c r="F895" s="320"/>
      <c r="G895" s="320"/>
      <c r="H895" s="320"/>
      <c r="I895" s="320"/>
      <c r="J895" s="320"/>
      <c r="K895" s="320"/>
      <c r="L895" s="320"/>
      <c r="M895" s="320"/>
      <c r="N895" s="320"/>
      <c r="O895" s="320"/>
      <c r="P895" s="320"/>
      <c r="Q895" s="320"/>
      <c r="R895" s="320"/>
      <c r="S895" s="320"/>
      <c r="T895" s="320"/>
      <c r="U895" s="320"/>
      <c r="V895" s="320"/>
      <c r="W895" s="320"/>
      <c r="X895" s="320"/>
      <c r="Y895" s="320"/>
      <c r="Z895" s="320"/>
    </row>
    <row r="896">
      <c r="A896" s="320"/>
      <c r="B896" s="320"/>
      <c r="C896" s="320"/>
      <c r="D896" s="320"/>
      <c r="E896" s="320"/>
      <c r="F896" s="320"/>
      <c r="G896" s="320"/>
      <c r="H896" s="320"/>
      <c r="I896" s="320"/>
      <c r="J896" s="320"/>
      <c r="K896" s="320"/>
      <c r="L896" s="320"/>
      <c r="M896" s="320"/>
      <c r="N896" s="320"/>
      <c r="O896" s="320"/>
      <c r="P896" s="320"/>
      <c r="Q896" s="320"/>
      <c r="R896" s="320"/>
      <c r="S896" s="320"/>
      <c r="T896" s="320"/>
      <c r="U896" s="320"/>
      <c r="V896" s="320"/>
      <c r="W896" s="320"/>
      <c r="X896" s="320"/>
      <c r="Y896" s="320"/>
      <c r="Z896" s="320"/>
    </row>
    <row r="897">
      <c r="A897" s="320"/>
      <c r="B897" s="320"/>
      <c r="C897" s="320"/>
      <c r="D897" s="320"/>
      <c r="E897" s="320"/>
      <c r="F897" s="320"/>
      <c r="G897" s="320"/>
      <c r="H897" s="320"/>
      <c r="I897" s="320"/>
      <c r="J897" s="320"/>
      <c r="K897" s="320"/>
      <c r="L897" s="320"/>
      <c r="M897" s="320"/>
      <c r="N897" s="320"/>
      <c r="O897" s="320"/>
      <c r="P897" s="320"/>
      <c r="Q897" s="320"/>
      <c r="R897" s="320"/>
      <c r="S897" s="320"/>
      <c r="T897" s="320"/>
      <c r="U897" s="320"/>
      <c r="V897" s="320"/>
      <c r="W897" s="320"/>
      <c r="X897" s="320"/>
      <c r="Y897" s="320"/>
      <c r="Z897" s="320"/>
    </row>
    <row r="898">
      <c r="A898" s="320"/>
      <c r="B898" s="320"/>
      <c r="C898" s="320"/>
      <c r="D898" s="320"/>
      <c r="E898" s="320"/>
      <c r="F898" s="320"/>
      <c r="G898" s="320"/>
      <c r="H898" s="320"/>
      <c r="I898" s="320"/>
      <c r="J898" s="320"/>
      <c r="K898" s="320"/>
      <c r="L898" s="320"/>
      <c r="M898" s="320"/>
      <c r="N898" s="320"/>
      <c r="O898" s="320"/>
      <c r="P898" s="320"/>
      <c r="Q898" s="320"/>
      <c r="R898" s="320"/>
      <c r="S898" s="320"/>
      <c r="T898" s="320"/>
      <c r="U898" s="320"/>
      <c r="V898" s="320"/>
      <c r="W898" s="320"/>
      <c r="X898" s="320"/>
      <c r="Y898" s="320"/>
      <c r="Z898" s="320"/>
    </row>
    <row r="899">
      <c r="A899" s="320"/>
      <c r="B899" s="320"/>
      <c r="C899" s="320"/>
      <c r="D899" s="320"/>
      <c r="E899" s="320"/>
      <c r="F899" s="320"/>
      <c r="G899" s="320"/>
      <c r="H899" s="320"/>
      <c r="I899" s="320"/>
      <c r="J899" s="320"/>
      <c r="K899" s="320"/>
      <c r="L899" s="320"/>
      <c r="M899" s="320"/>
      <c r="N899" s="320"/>
      <c r="O899" s="320"/>
      <c r="P899" s="320"/>
      <c r="Q899" s="320"/>
      <c r="R899" s="320"/>
      <c r="S899" s="320"/>
      <c r="T899" s="320"/>
      <c r="U899" s="320"/>
      <c r="V899" s="320"/>
      <c r="W899" s="320"/>
      <c r="X899" s="320"/>
      <c r="Y899" s="320"/>
      <c r="Z899" s="320"/>
    </row>
    <row r="900">
      <c r="A900" s="320"/>
      <c r="B900" s="320"/>
      <c r="C900" s="320"/>
      <c r="D900" s="320"/>
      <c r="E900" s="320"/>
      <c r="F900" s="320"/>
      <c r="G900" s="320"/>
      <c r="H900" s="320"/>
      <c r="I900" s="320"/>
      <c r="J900" s="320"/>
      <c r="K900" s="320"/>
      <c r="L900" s="320"/>
      <c r="M900" s="320"/>
      <c r="N900" s="320"/>
      <c r="O900" s="320"/>
      <c r="P900" s="320"/>
      <c r="Q900" s="320"/>
      <c r="R900" s="320"/>
      <c r="S900" s="320"/>
      <c r="T900" s="320"/>
      <c r="U900" s="320"/>
      <c r="V900" s="320"/>
      <c r="W900" s="320"/>
      <c r="X900" s="320"/>
      <c r="Y900" s="320"/>
      <c r="Z900" s="320"/>
    </row>
    <row r="901">
      <c r="A901" s="320"/>
      <c r="B901" s="320"/>
      <c r="C901" s="320"/>
      <c r="D901" s="320"/>
      <c r="E901" s="320"/>
      <c r="F901" s="320"/>
      <c r="G901" s="320"/>
      <c r="H901" s="320"/>
      <c r="I901" s="320"/>
      <c r="J901" s="320"/>
      <c r="K901" s="320"/>
      <c r="L901" s="320"/>
      <c r="M901" s="320"/>
      <c r="N901" s="320"/>
      <c r="O901" s="320"/>
      <c r="P901" s="320"/>
      <c r="Q901" s="320"/>
      <c r="R901" s="320"/>
      <c r="S901" s="320"/>
      <c r="T901" s="320"/>
      <c r="U901" s="320"/>
      <c r="V901" s="320"/>
      <c r="W901" s="320"/>
      <c r="X901" s="320"/>
      <c r="Y901" s="320"/>
      <c r="Z901" s="320"/>
    </row>
    <row r="902">
      <c r="A902" s="320"/>
      <c r="B902" s="320"/>
      <c r="C902" s="320"/>
      <c r="D902" s="320"/>
      <c r="E902" s="320"/>
      <c r="F902" s="320"/>
      <c r="G902" s="320"/>
      <c r="H902" s="320"/>
      <c r="I902" s="320"/>
      <c r="J902" s="320"/>
      <c r="K902" s="320"/>
      <c r="L902" s="320"/>
      <c r="M902" s="320"/>
      <c r="N902" s="320"/>
      <c r="O902" s="320"/>
      <c r="P902" s="320"/>
      <c r="Q902" s="320"/>
      <c r="R902" s="320"/>
      <c r="S902" s="320"/>
      <c r="T902" s="320"/>
      <c r="U902" s="320"/>
      <c r="V902" s="320"/>
      <c r="W902" s="320"/>
      <c r="X902" s="320"/>
      <c r="Y902" s="320"/>
      <c r="Z902" s="320"/>
    </row>
    <row r="903">
      <c r="A903" s="320"/>
      <c r="B903" s="320"/>
      <c r="C903" s="320"/>
      <c r="D903" s="320"/>
      <c r="E903" s="320"/>
      <c r="F903" s="320"/>
      <c r="G903" s="320"/>
      <c r="H903" s="320"/>
      <c r="I903" s="320"/>
      <c r="J903" s="320"/>
      <c r="K903" s="320"/>
      <c r="L903" s="320"/>
      <c r="M903" s="320"/>
      <c r="N903" s="320"/>
      <c r="O903" s="320"/>
      <c r="P903" s="320"/>
      <c r="Q903" s="320"/>
      <c r="R903" s="320"/>
      <c r="S903" s="320"/>
      <c r="T903" s="320"/>
      <c r="U903" s="320"/>
      <c r="V903" s="320"/>
      <c r="W903" s="320"/>
      <c r="X903" s="320"/>
      <c r="Y903" s="320"/>
      <c r="Z903" s="320"/>
    </row>
    <row r="904">
      <c r="A904" s="320"/>
      <c r="B904" s="320"/>
      <c r="C904" s="320"/>
      <c r="D904" s="320"/>
      <c r="E904" s="320"/>
      <c r="F904" s="320"/>
      <c r="G904" s="320"/>
      <c r="H904" s="320"/>
      <c r="I904" s="320"/>
      <c r="J904" s="320"/>
      <c r="K904" s="320"/>
      <c r="L904" s="320"/>
      <c r="M904" s="320"/>
      <c r="N904" s="320"/>
      <c r="O904" s="320"/>
      <c r="P904" s="320"/>
      <c r="Q904" s="320"/>
      <c r="R904" s="320"/>
      <c r="S904" s="320"/>
      <c r="T904" s="320"/>
      <c r="U904" s="320"/>
      <c r="V904" s="320"/>
      <c r="W904" s="320"/>
      <c r="X904" s="320"/>
      <c r="Y904" s="320"/>
      <c r="Z904" s="320"/>
    </row>
    <row r="905">
      <c r="A905" s="320"/>
      <c r="B905" s="320"/>
      <c r="C905" s="320"/>
      <c r="D905" s="320"/>
      <c r="E905" s="320"/>
      <c r="F905" s="320"/>
      <c r="G905" s="320"/>
      <c r="H905" s="320"/>
      <c r="I905" s="320"/>
      <c r="J905" s="320"/>
      <c r="K905" s="320"/>
      <c r="L905" s="320"/>
      <c r="M905" s="320"/>
      <c r="N905" s="320"/>
      <c r="O905" s="320"/>
      <c r="P905" s="320"/>
      <c r="Q905" s="320"/>
      <c r="R905" s="320"/>
      <c r="S905" s="320"/>
      <c r="T905" s="320"/>
      <c r="U905" s="320"/>
      <c r="V905" s="320"/>
      <c r="W905" s="320"/>
      <c r="X905" s="320"/>
      <c r="Y905" s="320"/>
      <c r="Z905" s="320"/>
    </row>
    <row r="906">
      <c r="A906" s="320"/>
      <c r="B906" s="320"/>
      <c r="C906" s="320"/>
      <c r="D906" s="320"/>
      <c r="E906" s="320"/>
      <c r="F906" s="320"/>
      <c r="G906" s="320"/>
      <c r="H906" s="320"/>
      <c r="I906" s="320"/>
      <c r="J906" s="320"/>
      <c r="K906" s="320"/>
      <c r="L906" s="320"/>
      <c r="M906" s="320"/>
      <c r="N906" s="320"/>
      <c r="O906" s="320"/>
      <c r="P906" s="320"/>
      <c r="Q906" s="320"/>
      <c r="R906" s="320"/>
      <c r="S906" s="320"/>
      <c r="T906" s="320"/>
      <c r="U906" s="320"/>
      <c r="V906" s="320"/>
      <c r="W906" s="320"/>
      <c r="X906" s="320"/>
      <c r="Y906" s="320"/>
      <c r="Z906" s="320"/>
    </row>
    <row r="907">
      <c r="A907" s="320"/>
      <c r="B907" s="320"/>
      <c r="C907" s="320"/>
      <c r="D907" s="320"/>
      <c r="E907" s="320"/>
      <c r="F907" s="320"/>
      <c r="G907" s="320"/>
      <c r="H907" s="320"/>
      <c r="I907" s="320"/>
      <c r="J907" s="320"/>
      <c r="K907" s="320"/>
      <c r="L907" s="320"/>
      <c r="M907" s="320"/>
      <c r="N907" s="320"/>
      <c r="O907" s="320"/>
      <c r="P907" s="320"/>
      <c r="Q907" s="320"/>
      <c r="R907" s="320"/>
      <c r="S907" s="320"/>
      <c r="T907" s="320"/>
      <c r="U907" s="320"/>
      <c r="V907" s="320"/>
      <c r="W907" s="320"/>
      <c r="X907" s="320"/>
      <c r="Y907" s="320"/>
      <c r="Z907" s="320"/>
    </row>
    <row r="908">
      <c r="A908" s="320"/>
      <c r="B908" s="320"/>
      <c r="C908" s="320"/>
      <c r="D908" s="320"/>
      <c r="E908" s="320"/>
      <c r="F908" s="320"/>
      <c r="G908" s="320"/>
      <c r="H908" s="320"/>
      <c r="I908" s="320"/>
      <c r="J908" s="320"/>
      <c r="K908" s="320"/>
      <c r="L908" s="320"/>
      <c r="M908" s="320"/>
      <c r="N908" s="320"/>
      <c r="O908" s="320"/>
      <c r="P908" s="320"/>
      <c r="Q908" s="320"/>
      <c r="R908" s="320"/>
      <c r="S908" s="320"/>
      <c r="T908" s="320"/>
      <c r="U908" s="320"/>
      <c r="V908" s="320"/>
      <c r="W908" s="320"/>
      <c r="X908" s="320"/>
      <c r="Y908" s="320"/>
      <c r="Z908" s="320"/>
    </row>
    <row r="909">
      <c r="A909" s="320"/>
      <c r="B909" s="320"/>
      <c r="C909" s="320"/>
      <c r="D909" s="320"/>
      <c r="E909" s="320"/>
      <c r="F909" s="320"/>
      <c r="G909" s="320"/>
      <c r="H909" s="320"/>
      <c r="I909" s="320"/>
      <c r="J909" s="320"/>
      <c r="K909" s="320"/>
      <c r="L909" s="320"/>
      <c r="M909" s="320"/>
      <c r="N909" s="320"/>
      <c r="O909" s="320"/>
      <c r="P909" s="320"/>
      <c r="Q909" s="320"/>
      <c r="R909" s="320"/>
      <c r="S909" s="320"/>
      <c r="T909" s="320"/>
      <c r="U909" s="320"/>
      <c r="V909" s="320"/>
      <c r="W909" s="320"/>
      <c r="X909" s="320"/>
      <c r="Y909" s="320"/>
      <c r="Z909" s="320"/>
    </row>
    <row r="910">
      <c r="A910" s="320"/>
      <c r="B910" s="320"/>
      <c r="C910" s="320"/>
      <c r="D910" s="320"/>
      <c r="E910" s="320"/>
      <c r="F910" s="320"/>
      <c r="G910" s="320"/>
      <c r="H910" s="320"/>
      <c r="I910" s="320"/>
      <c r="J910" s="320"/>
      <c r="K910" s="320"/>
      <c r="L910" s="320"/>
      <c r="M910" s="320"/>
      <c r="N910" s="320"/>
      <c r="O910" s="320"/>
      <c r="P910" s="320"/>
      <c r="Q910" s="320"/>
      <c r="R910" s="320"/>
      <c r="S910" s="320"/>
      <c r="T910" s="320"/>
      <c r="U910" s="320"/>
      <c r="V910" s="320"/>
      <c r="W910" s="320"/>
      <c r="X910" s="320"/>
      <c r="Y910" s="320"/>
      <c r="Z910" s="320"/>
    </row>
    <row r="911">
      <c r="A911" s="320"/>
      <c r="B911" s="320"/>
      <c r="C911" s="320"/>
      <c r="D911" s="320"/>
      <c r="E911" s="320"/>
      <c r="F911" s="320"/>
      <c r="G911" s="320"/>
      <c r="H911" s="320"/>
      <c r="I911" s="320"/>
      <c r="J911" s="320"/>
      <c r="K911" s="320"/>
      <c r="L911" s="320"/>
      <c r="M911" s="320"/>
      <c r="N911" s="320"/>
      <c r="O911" s="320"/>
      <c r="P911" s="320"/>
      <c r="Q911" s="320"/>
      <c r="R911" s="320"/>
      <c r="S911" s="320"/>
      <c r="T911" s="320"/>
      <c r="U911" s="320"/>
      <c r="V911" s="320"/>
      <c r="W911" s="320"/>
      <c r="X911" s="320"/>
      <c r="Y911" s="320"/>
      <c r="Z911" s="320"/>
    </row>
    <row r="912">
      <c r="A912" s="320"/>
      <c r="B912" s="320"/>
      <c r="C912" s="320"/>
      <c r="D912" s="320"/>
      <c r="E912" s="320"/>
      <c r="F912" s="320"/>
      <c r="G912" s="320"/>
      <c r="H912" s="320"/>
      <c r="I912" s="320"/>
      <c r="J912" s="320"/>
      <c r="K912" s="320"/>
      <c r="L912" s="320"/>
      <c r="M912" s="320"/>
      <c r="N912" s="320"/>
      <c r="O912" s="320"/>
      <c r="P912" s="320"/>
      <c r="Q912" s="320"/>
      <c r="R912" s="320"/>
      <c r="S912" s="320"/>
      <c r="T912" s="320"/>
      <c r="U912" s="320"/>
      <c r="V912" s="320"/>
      <c r="W912" s="320"/>
      <c r="X912" s="320"/>
      <c r="Y912" s="320"/>
      <c r="Z912" s="320"/>
    </row>
    <row r="913">
      <c r="A913" s="320"/>
      <c r="B913" s="320"/>
      <c r="C913" s="320"/>
      <c r="D913" s="320"/>
      <c r="E913" s="320"/>
      <c r="F913" s="320"/>
      <c r="G913" s="320"/>
      <c r="H913" s="320"/>
      <c r="I913" s="320"/>
      <c r="J913" s="320"/>
      <c r="K913" s="320"/>
      <c r="L913" s="320"/>
      <c r="M913" s="320"/>
      <c r="N913" s="320"/>
      <c r="O913" s="320"/>
      <c r="P913" s="320"/>
      <c r="Q913" s="320"/>
      <c r="R913" s="320"/>
      <c r="S913" s="320"/>
      <c r="T913" s="320"/>
      <c r="U913" s="320"/>
      <c r="V913" s="320"/>
      <c r="W913" s="320"/>
      <c r="X913" s="320"/>
      <c r="Y913" s="320"/>
      <c r="Z913" s="320"/>
    </row>
    <row r="914">
      <c r="A914" s="320"/>
      <c r="B914" s="320"/>
      <c r="C914" s="320"/>
      <c r="D914" s="320"/>
      <c r="E914" s="320"/>
      <c r="F914" s="320"/>
      <c r="G914" s="320"/>
      <c r="H914" s="320"/>
      <c r="I914" s="320"/>
      <c r="J914" s="320"/>
      <c r="K914" s="320"/>
      <c r="L914" s="320"/>
      <c r="M914" s="320"/>
      <c r="N914" s="320"/>
      <c r="O914" s="320"/>
      <c r="P914" s="320"/>
      <c r="Q914" s="320"/>
      <c r="R914" s="320"/>
      <c r="S914" s="320"/>
      <c r="T914" s="320"/>
      <c r="U914" s="320"/>
      <c r="V914" s="320"/>
      <c r="W914" s="320"/>
      <c r="X914" s="320"/>
      <c r="Y914" s="320"/>
      <c r="Z914" s="320"/>
    </row>
    <row r="915">
      <c r="A915" s="320"/>
      <c r="B915" s="320"/>
      <c r="C915" s="320"/>
      <c r="D915" s="320"/>
      <c r="E915" s="320"/>
      <c r="F915" s="320"/>
      <c r="G915" s="320"/>
      <c r="H915" s="320"/>
      <c r="I915" s="320"/>
      <c r="J915" s="320"/>
      <c r="K915" s="320"/>
      <c r="L915" s="320"/>
      <c r="M915" s="320"/>
      <c r="N915" s="320"/>
      <c r="O915" s="320"/>
      <c r="P915" s="320"/>
      <c r="Q915" s="320"/>
      <c r="R915" s="320"/>
      <c r="S915" s="320"/>
      <c r="T915" s="320"/>
      <c r="U915" s="320"/>
      <c r="V915" s="320"/>
      <c r="W915" s="320"/>
      <c r="X915" s="320"/>
      <c r="Y915" s="320"/>
      <c r="Z915" s="320"/>
    </row>
    <row r="916">
      <c r="A916" s="320"/>
      <c r="B916" s="320"/>
      <c r="C916" s="320"/>
      <c r="D916" s="320"/>
      <c r="E916" s="320"/>
      <c r="F916" s="320"/>
      <c r="G916" s="320"/>
      <c r="H916" s="320"/>
      <c r="I916" s="320"/>
      <c r="J916" s="320"/>
      <c r="K916" s="320"/>
      <c r="L916" s="320"/>
      <c r="M916" s="320"/>
      <c r="N916" s="320"/>
      <c r="O916" s="320"/>
      <c r="P916" s="320"/>
      <c r="Q916" s="320"/>
      <c r="R916" s="320"/>
      <c r="S916" s="320"/>
      <c r="T916" s="320"/>
      <c r="U916" s="320"/>
      <c r="V916" s="320"/>
      <c r="W916" s="320"/>
      <c r="X916" s="320"/>
      <c r="Y916" s="320"/>
      <c r="Z916" s="320"/>
    </row>
    <row r="917">
      <c r="A917" s="320"/>
      <c r="B917" s="320"/>
      <c r="C917" s="320"/>
      <c r="D917" s="320"/>
      <c r="E917" s="320"/>
      <c r="F917" s="320"/>
      <c r="G917" s="320"/>
      <c r="H917" s="320"/>
      <c r="I917" s="320"/>
      <c r="J917" s="320"/>
      <c r="K917" s="320"/>
      <c r="L917" s="320"/>
      <c r="M917" s="320"/>
      <c r="N917" s="320"/>
      <c r="O917" s="320"/>
      <c r="P917" s="320"/>
      <c r="Q917" s="320"/>
      <c r="R917" s="320"/>
      <c r="S917" s="320"/>
      <c r="T917" s="320"/>
      <c r="U917" s="320"/>
      <c r="V917" s="320"/>
      <c r="W917" s="320"/>
      <c r="X917" s="320"/>
      <c r="Y917" s="320"/>
      <c r="Z917" s="320"/>
    </row>
    <row r="918">
      <c r="A918" s="320"/>
      <c r="B918" s="320"/>
      <c r="C918" s="320"/>
      <c r="D918" s="320"/>
      <c r="E918" s="320"/>
      <c r="F918" s="320"/>
      <c r="G918" s="320"/>
      <c r="H918" s="320"/>
      <c r="I918" s="320"/>
      <c r="J918" s="320"/>
      <c r="K918" s="320"/>
      <c r="L918" s="320"/>
      <c r="M918" s="320"/>
      <c r="N918" s="320"/>
      <c r="O918" s="320"/>
      <c r="P918" s="320"/>
      <c r="Q918" s="320"/>
      <c r="R918" s="320"/>
      <c r="S918" s="320"/>
      <c r="T918" s="320"/>
      <c r="U918" s="320"/>
      <c r="V918" s="320"/>
      <c r="W918" s="320"/>
      <c r="X918" s="320"/>
      <c r="Y918" s="320"/>
      <c r="Z918" s="320"/>
    </row>
    <row r="919">
      <c r="A919" s="320"/>
      <c r="B919" s="320"/>
      <c r="C919" s="320"/>
      <c r="D919" s="320"/>
      <c r="E919" s="320"/>
      <c r="F919" s="320"/>
      <c r="G919" s="320"/>
      <c r="H919" s="320"/>
      <c r="I919" s="320"/>
      <c r="J919" s="320"/>
      <c r="K919" s="320"/>
      <c r="L919" s="320"/>
      <c r="M919" s="320"/>
      <c r="N919" s="320"/>
      <c r="O919" s="320"/>
      <c r="P919" s="320"/>
      <c r="Q919" s="320"/>
      <c r="R919" s="320"/>
      <c r="S919" s="320"/>
      <c r="T919" s="320"/>
      <c r="U919" s="320"/>
      <c r="V919" s="320"/>
      <c r="W919" s="320"/>
      <c r="X919" s="320"/>
      <c r="Y919" s="320"/>
      <c r="Z919" s="320"/>
    </row>
    <row r="920">
      <c r="A920" s="320"/>
      <c r="B920" s="320"/>
      <c r="C920" s="320"/>
      <c r="D920" s="320"/>
      <c r="E920" s="320"/>
      <c r="F920" s="320"/>
      <c r="G920" s="320"/>
      <c r="H920" s="320"/>
      <c r="I920" s="320"/>
      <c r="J920" s="320"/>
      <c r="K920" s="320"/>
      <c r="L920" s="320"/>
      <c r="M920" s="320"/>
      <c r="N920" s="320"/>
      <c r="O920" s="320"/>
      <c r="P920" s="320"/>
      <c r="Q920" s="320"/>
      <c r="R920" s="320"/>
      <c r="S920" s="320"/>
      <c r="T920" s="320"/>
      <c r="U920" s="320"/>
      <c r="V920" s="320"/>
      <c r="W920" s="320"/>
      <c r="X920" s="320"/>
      <c r="Y920" s="320"/>
      <c r="Z920" s="320"/>
    </row>
    <row r="921">
      <c r="A921" s="320"/>
      <c r="B921" s="320"/>
      <c r="C921" s="320"/>
      <c r="D921" s="320"/>
      <c r="E921" s="320"/>
      <c r="F921" s="320"/>
      <c r="G921" s="320"/>
      <c r="H921" s="320"/>
      <c r="I921" s="320"/>
      <c r="J921" s="320"/>
      <c r="K921" s="320"/>
      <c r="L921" s="320"/>
      <c r="M921" s="320"/>
      <c r="N921" s="320"/>
      <c r="O921" s="320"/>
      <c r="P921" s="320"/>
      <c r="Q921" s="320"/>
      <c r="R921" s="320"/>
      <c r="S921" s="320"/>
      <c r="T921" s="320"/>
      <c r="U921" s="320"/>
      <c r="V921" s="320"/>
      <c r="W921" s="320"/>
      <c r="X921" s="320"/>
      <c r="Y921" s="320"/>
      <c r="Z921" s="320"/>
    </row>
    <row r="922">
      <c r="A922" s="320"/>
      <c r="B922" s="320"/>
      <c r="C922" s="320"/>
      <c r="D922" s="320"/>
      <c r="E922" s="320"/>
      <c r="F922" s="320"/>
      <c r="G922" s="320"/>
      <c r="H922" s="320"/>
      <c r="I922" s="320"/>
      <c r="J922" s="320"/>
      <c r="K922" s="320"/>
      <c r="L922" s="320"/>
      <c r="M922" s="320"/>
      <c r="N922" s="320"/>
      <c r="O922" s="320"/>
      <c r="P922" s="320"/>
      <c r="Q922" s="320"/>
      <c r="R922" s="320"/>
      <c r="S922" s="320"/>
      <c r="T922" s="320"/>
      <c r="U922" s="320"/>
      <c r="V922" s="320"/>
      <c r="W922" s="320"/>
      <c r="X922" s="320"/>
      <c r="Y922" s="320"/>
      <c r="Z922" s="320"/>
    </row>
    <row r="923">
      <c r="A923" s="320"/>
      <c r="B923" s="320"/>
      <c r="C923" s="320"/>
      <c r="D923" s="320"/>
      <c r="E923" s="320"/>
      <c r="F923" s="320"/>
      <c r="G923" s="320"/>
      <c r="H923" s="320"/>
      <c r="I923" s="320"/>
      <c r="J923" s="320"/>
      <c r="K923" s="320"/>
      <c r="L923" s="320"/>
      <c r="M923" s="320"/>
      <c r="N923" s="320"/>
      <c r="O923" s="320"/>
      <c r="P923" s="320"/>
      <c r="Q923" s="320"/>
      <c r="R923" s="320"/>
      <c r="S923" s="320"/>
      <c r="T923" s="320"/>
      <c r="U923" s="320"/>
      <c r="V923" s="320"/>
      <c r="W923" s="320"/>
      <c r="X923" s="320"/>
      <c r="Y923" s="320"/>
      <c r="Z923" s="320"/>
    </row>
    <row r="924">
      <c r="A924" s="320"/>
      <c r="B924" s="320"/>
      <c r="C924" s="320"/>
      <c r="D924" s="320"/>
      <c r="E924" s="320"/>
      <c r="F924" s="320"/>
      <c r="G924" s="320"/>
      <c r="H924" s="320"/>
      <c r="I924" s="320"/>
      <c r="J924" s="320"/>
      <c r="K924" s="320"/>
      <c r="L924" s="320"/>
      <c r="M924" s="320"/>
      <c r="N924" s="320"/>
      <c r="O924" s="320"/>
      <c r="P924" s="320"/>
      <c r="Q924" s="320"/>
      <c r="R924" s="320"/>
      <c r="S924" s="320"/>
      <c r="T924" s="320"/>
      <c r="U924" s="320"/>
      <c r="V924" s="320"/>
      <c r="W924" s="320"/>
      <c r="X924" s="320"/>
      <c r="Y924" s="320"/>
      <c r="Z924" s="320"/>
    </row>
    <row r="925">
      <c r="A925" s="320"/>
      <c r="B925" s="320"/>
      <c r="C925" s="320"/>
      <c r="D925" s="320"/>
      <c r="E925" s="320"/>
      <c r="F925" s="320"/>
      <c r="G925" s="320"/>
      <c r="H925" s="320"/>
      <c r="I925" s="320"/>
      <c r="J925" s="320"/>
      <c r="K925" s="320"/>
      <c r="L925" s="320"/>
      <c r="M925" s="320"/>
      <c r="N925" s="320"/>
      <c r="O925" s="320"/>
      <c r="P925" s="320"/>
      <c r="Q925" s="320"/>
      <c r="R925" s="320"/>
      <c r="S925" s="320"/>
      <c r="T925" s="320"/>
      <c r="U925" s="320"/>
      <c r="V925" s="320"/>
      <c r="W925" s="320"/>
      <c r="X925" s="320"/>
      <c r="Y925" s="320"/>
      <c r="Z925" s="320"/>
    </row>
    <row r="926">
      <c r="A926" s="320"/>
      <c r="B926" s="320"/>
      <c r="C926" s="320"/>
      <c r="D926" s="320"/>
      <c r="E926" s="320"/>
      <c r="F926" s="320"/>
      <c r="G926" s="320"/>
      <c r="H926" s="320"/>
      <c r="I926" s="320"/>
      <c r="J926" s="320"/>
      <c r="K926" s="320"/>
      <c r="L926" s="320"/>
      <c r="M926" s="320"/>
      <c r="N926" s="320"/>
      <c r="O926" s="320"/>
      <c r="P926" s="320"/>
      <c r="Q926" s="320"/>
      <c r="R926" s="320"/>
      <c r="S926" s="320"/>
      <c r="T926" s="320"/>
      <c r="U926" s="320"/>
      <c r="V926" s="320"/>
      <c r="W926" s="320"/>
      <c r="X926" s="320"/>
      <c r="Y926" s="320"/>
      <c r="Z926" s="320"/>
    </row>
    <row r="927">
      <c r="A927" s="320"/>
      <c r="B927" s="320"/>
      <c r="C927" s="320"/>
      <c r="D927" s="320"/>
      <c r="E927" s="320"/>
      <c r="F927" s="320"/>
      <c r="G927" s="320"/>
      <c r="H927" s="320"/>
      <c r="I927" s="320"/>
      <c r="J927" s="320"/>
      <c r="K927" s="320"/>
      <c r="L927" s="320"/>
      <c r="M927" s="320"/>
      <c r="N927" s="320"/>
      <c r="O927" s="320"/>
      <c r="P927" s="320"/>
      <c r="Q927" s="320"/>
      <c r="R927" s="320"/>
      <c r="S927" s="320"/>
      <c r="T927" s="320"/>
      <c r="U927" s="320"/>
      <c r="V927" s="320"/>
      <c r="W927" s="320"/>
      <c r="X927" s="320"/>
      <c r="Y927" s="320"/>
      <c r="Z927" s="320"/>
    </row>
    <row r="928">
      <c r="A928" s="320"/>
      <c r="B928" s="320"/>
      <c r="C928" s="320"/>
      <c r="D928" s="320"/>
      <c r="E928" s="320"/>
      <c r="F928" s="320"/>
      <c r="G928" s="320"/>
      <c r="H928" s="320"/>
      <c r="I928" s="320"/>
      <c r="J928" s="320"/>
      <c r="K928" s="320"/>
      <c r="L928" s="320"/>
      <c r="M928" s="320"/>
      <c r="N928" s="320"/>
      <c r="O928" s="320"/>
      <c r="P928" s="320"/>
      <c r="Q928" s="320"/>
      <c r="R928" s="320"/>
      <c r="S928" s="320"/>
      <c r="T928" s="320"/>
      <c r="U928" s="320"/>
      <c r="V928" s="320"/>
      <c r="W928" s="320"/>
      <c r="X928" s="320"/>
      <c r="Y928" s="320"/>
      <c r="Z928" s="320"/>
    </row>
    <row r="929">
      <c r="A929" s="320"/>
      <c r="B929" s="320"/>
      <c r="C929" s="320"/>
      <c r="D929" s="320"/>
      <c r="E929" s="320"/>
      <c r="F929" s="320"/>
      <c r="G929" s="320"/>
      <c r="H929" s="320"/>
      <c r="I929" s="320"/>
      <c r="J929" s="320"/>
      <c r="K929" s="320"/>
      <c r="L929" s="320"/>
      <c r="M929" s="320"/>
      <c r="N929" s="320"/>
      <c r="O929" s="320"/>
      <c r="P929" s="320"/>
      <c r="Q929" s="320"/>
      <c r="R929" s="320"/>
      <c r="S929" s="320"/>
      <c r="T929" s="320"/>
      <c r="U929" s="320"/>
      <c r="V929" s="320"/>
      <c r="W929" s="320"/>
      <c r="X929" s="320"/>
      <c r="Y929" s="320"/>
      <c r="Z929" s="320"/>
    </row>
    <row r="930">
      <c r="A930" s="320"/>
      <c r="B930" s="320"/>
      <c r="C930" s="320"/>
      <c r="D930" s="320"/>
      <c r="E930" s="320"/>
      <c r="F930" s="320"/>
      <c r="G930" s="320"/>
      <c r="H930" s="320"/>
      <c r="I930" s="320"/>
      <c r="J930" s="320"/>
      <c r="K930" s="320"/>
      <c r="L930" s="320"/>
      <c r="M930" s="320"/>
      <c r="N930" s="320"/>
      <c r="O930" s="320"/>
      <c r="P930" s="320"/>
      <c r="Q930" s="320"/>
      <c r="R930" s="320"/>
      <c r="S930" s="320"/>
      <c r="T930" s="320"/>
      <c r="U930" s="320"/>
      <c r="V930" s="320"/>
      <c r="W930" s="320"/>
      <c r="X930" s="320"/>
      <c r="Y930" s="320"/>
      <c r="Z930" s="320"/>
    </row>
    <row r="931">
      <c r="A931" s="320"/>
      <c r="B931" s="320"/>
      <c r="C931" s="320"/>
      <c r="D931" s="320"/>
      <c r="E931" s="320"/>
      <c r="F931" s="320"/>
      <c r="G931" s="320"/>
      <c r="H931" s="320"/>
      <c r="I931" s="320"/>
      <c r="J931" s="320"/>
      <c r="K931" s="320"/>
      <c r="L931" s="320"/>
      <c r="M931" s="320"/>
      <c r="N931" s="320"/>
      <c r="O931" s="320"/>
      <c r="P931" s="320"/>
      <c r="Q931" s="320"/>
      <c r="R931" s="320"/>
      <c r="S931" s="320"/>
      <c r="T931" s="320"/>
      <c r="U931" s="320"/>
      <c r="V931" s="320"/>
      <c r="W931" s="320"/>
      <c r="X931" s="320"/>
      <c r="Y931" s="320"/>
      <c r="Z931" s="320"/>
    </row>
    <row r="932">
      <c r="A932" s="320"/>
      <c r="B932" s="320"/>
      <c r="C932" s="320"/>
      <c r="D932" s="320"/>
      <c r="E932" s="320"/>
      <c r="F932" s="320"/>
      <c r="G932" s="320"/>
      <c r="H932" s="320"/>
      <c r="I932" s="320"/>
      <c r="J932" s="320"/>
      <c r="K932" s="320"/>
      <c r="L932" s="320"/>
      <c r="M932" s="320"/>
      <c r="N932" s="320"/>
      <c r="O932" s="320"/>
      <c r="P932" s="320"/>
      <c r="Q932" s="320"/>
      <c r="R932" s="320"/>
      <c r="S932" s="320"/>
      <c r="T932" s="320"/>
      <c r="U932" s="320"/>
      <c r="V932" s="320"/>
      <c r="W932" s="320"/>
      <c r="X932" s="320"/>
      <c r="Y932" s="320"/>
      <c r="Z932" s="320"/>
    </row>
    <row r="933">
      <c r="A933" s="320"/>
      <c r="B933" s="320"/>
      <c r="C933" s="320"/>
      <c r="D933" s="320"/>
      <c r="E933" s="320"/>
      <c r="F933" s="320"/>
      <c r="G933" s="320"/>
      <c r="H933" s="320"/>
      <c r="I933" s="320"/>
      <c r="J933" s="320"/>
      <c r="K933" s="320"/>
      <c r="L933" s="320"/>
      <c r="M933" s="320"/>
      <c r="N933" s="320"/>
      <c r="O933" s="320"/>
      <c r="P933" s="320"/>
      <c r="Q933" s="320"/>
      <c r="R933" s="320"/>
      <c r="S933" s="320"/>
      <c r="T933" s="320"/>
      <c r="U933" s="320"/>
      <c r="V933" s="320"/>
      <c r="W933" s="320"/>
      <c r="X933" s="320"/>
      <c r="Y933" s="320"/>
      <c r="Z933" s="320"/>
    </row>
    <row r="934">
      <c r="A934" s="320"/>
      <c r="B934" s="320"/>
      <c r="C934" s="320"/>
      <c r="D934" s="320"/>
      <c r="E934" s="320"/>
      <c r="F934" s="320"/>
      <c r="G934" s="320"/>
      <c r="H934" s="320"/>
      <c r="I934" s="320"/>
      <c r="J934" s="320"/>
      <c r="K934" s="320"/>
      <c r="L934" s="320"/>
      <c r="M934" s="320"/>
      <c r="N934" s="320"/>
      <c r="O934" s="320"/>
      <c r="P934" s="320"/>
      <c r="Q934" s="320"/>
      <c r="R934" s="320"/>
      <c r="S934" s="320"/>
      <c r="T934" s="320"/>
      <c r="U934" s="320"/>
      <c r="V934" s="320"/>
      <c r="W934" s="320"/>
      <c r="X934" s="320"/>
      <c r="Y934" s="320"/>
      <c r="Z934" s="320"/>
    </row>
    <row r="935">
      <c r="A935" s="320"/>
      <c r="B935" s="320"/>
      <c r="C935" s="320"/>
      <c r="D935" s="320"/>
      <c r="E935" s="320"/>
      <c r="F935" s="320"/>
      <c r="G935" s="320"/>
      <c r="H935" s="320"/>
      <c r="I935" s="320"/>
      <c r="J935" s="320"/>
      <c r="K935" s="320"/>
      <c r="L935" s="320"/>
      <c r="M935" s="320"/>
      <c r="N935" s="320"/>
      <c r="O935" s="320"/>
      <c r="P935" s="320"/>
      <c r="Q935" s="320"/>
      <c r="R935" s="320"/>
      <c r="S935" s="320"/>
      <c r="T935" s="320"/>
      <c r="U935" s="320"/>
      <c r="V935" s="320"/>
      <c r="W935" s="320"/>
      <c r="X935" s="320"/>
      <c r="Y935" s="320"/>
      <c r="Z935" s="320"/>
    </row>
    <row r="936">
      <c r="A936" s="320"/>
      <c r="B936" s="320"/>
      <c r="C936" s="320"/>
      <c r="D936" s="320"/>
      <c r="E936" s="320"/>
      <c r="F936" s="320"/>
      <c r="G936" s="320"/>
      <c r="H936" s="320"/>
      <c r="I936" s="320"/>
      <c r="J936" s="320"/>
      <c r="K936" s="320"/>
      <c r="L936" s="320"/>
      <c r="M936" s="320"/>
      <c r="N936" s="320"/>
      <c r="O936" s="320"/>
      <c r="P936" s="320"/>
      <c r="Q936" s="320"/>
      <c r="R936" s="320"/>
      <c r="S936" s="320"/>
      <c r="T936" s="320"/>
      <c r="U936" s="320"/>
      <c r="V936" s="320"/>
      <c r="W936" s="320"/>
      <c r="X936" s="320"/>
      <c r="Y936" s="320"/>
      <c r="Z936" s="320"/>
    </row>
    <row r="937">
      <c r="A937" s="320"/>
      <c r="B937" s="320"/>
      <c r="C937" s="320"/>
      <c r="D937" s="320"/>
      <c r="E937" s="320"/>
      <c r="F937" s="320"/>
      <c r="G937" s="320"/>
      <c r="H937" s="320"/>
      <c r="I937" s="320"/>
      <c r="J937" s="320"/>
      <c r="K937" s="320"/>
      <c r="L937" s="320"/>
      <c r="M937" s="320"/>
      <c r="N937" s="320"/>
      <c r="O937" s="320"/>
      <c r="P937" s="320"/>
      <c r="Q937" s="320"/>
      <c r="R937" s="320"/>
      <c r="S937" s="320"/>
      <c r="T937" s="320"/>
      <c r="U937" s="320"/>
      <c r="V937" s="320"/>
      <c r="W937" s="320"/>
      <c r="X937" s="320"/>
      <c r="Y937" s="320"/>
      <c r="Z937" s="320"/>
    </row>
    <row r="938">
      <c r="A938" s="320"/>
      <c r="B938" s="320"/>
      <c r="C938" s="320"/>
      <c r="D938" s="320"/>
      <c r="E938" s="320"/>
      <c r="F938" s="320"/>
      <c r="G938" s="320"/>
      <c r="H938" s="320"/>
      <c r="I938" s="320"/>
      <c r="J938" s="320"/>
      <c r="K938" s="320"/>
      <c r="L938" s="320"/>
      <c r="M938" s="320"/>
      <c r="N938" s="320"/>
      <c r="O938" s="320"/>
      <c r="P938" s="320"/>
      <c r="Q938" s="320"/>
      <c r="R938" s="320"/>
      <c r="S938" s="320"/>
      <c r="T938" s="320"/>
      <c r="U938" s="320"/>
      <c r="V938" s="320"/>
      <c r="W938" s="320"/>
      <c r="X938" s="320"/>
      <c r="Y938" s="320"/>
      <c r="Z938" s="320"/>
    </row>
    <row r="939">
      <c r="A939" s="320"/>
      <c r="B939" s="320"/>
      <c r="C939" s="320"/>
      <c r="D939" s="320"/>
      <c r="E939" s="320"/>
      <c r="F939" s="320"/>
      <c r="G939" s="320"/>
      <c r="H939" s="320"/>
      <c r="I939" s="320"/>
      <c r="J939" s="320"/>
      <c r="K939" s="320"/>
      <c r="L939" s="320"/>
      <c r="M939" s="320"/>
      <c r="N939" s="320"/>
      <c r="O939" s="320"/>
      <c r="P939" s="320"/>
      <c r="Q939" s="320"/>
      <c r="R939" s="320"/>
      <c r="S939" s="320"/>
      <c r="T939" s="320"/>
      <c r="U939" s="320"/>
      <c r="V939" s="320"/>
      <c r="W939" s="320"/>
      <c r="X939" s="320"/>
      <c r="Y939" s="320"/>
      <c r="Z939" s="320"/>
    </row>
    <row r="940">
      <c r="A940" s="320"/>
      <c r="B940" s="320"/>
      <c r="C940" s="320"/>
      <c r="D940" s="320"/>
      <c r="E940" s="320"/>
      <c r="F940" s="320"/>
      <c r="G940" s="320"/>
      <c r="H940" s="320"/>
      <c r="I940" s="320"/>
      <c r="J940" s="320"/>
      <c r="K940" s="320"/>
      <c r="L940" s="320"/>
      <c r="M940" s="320"/>
      <c r="N940" s="320"/>
      <c r="O940" s="320"/>
      <c r="P940" s="320"/>
      <c r="Q940" s="320"/>
      <c r="R940" s="320"/>
      <c r="S940" s="320"/>
      <c r="T940" s="320"/>
      <c r="U940" s="320"/>
      <c r="V940" s="320"/>
      <c r="W940" s="320"/>
      <c r="X940" s="320"/>
      <c r="Y940" s="320"/>
      <c r="Z940" s="320"/>
    </row>
    <row r="941">
      <c r="A941" s="320"/>
      <c r="B941" s="320"/>
      <c r="C941" s="320"/>
      <c r="D941" s="320"/>
      <c r="E941" s="320"/>
      <c r="F941" s="320"/>
      <c r="G941" s="320"/>
      <c r="H941" s="320"/>
      <c r="I941" s="320"/>
      <c r="J941" s="320"/>
      <c r="K941" s="320"/>
      <c r="L941" s="320"/>
      <c r="M941" s="320"/>
      <c r="N941" s="320"/>
      <c r="O941" s="320"/>
      <c r="P941" s="320"/>
      <c r="Q941" s="320"/>
      <c r="R941" s="320"/>
      <c r="S941" s="320"/>
      <c r="T941" s="320"/>
      <c r="U941" s="320"/>
      <c r="V941" s="320"/>
      <c r="W941" s="320"/>
      <c r="X941" s="320"/>
      <c r="Y941" s="320"/>
      <c r="Z941" s="320"/>
    </row>
    <row r="942">
      <c r="A942" s="320"/>
      <c r="B942" s="320"/>
      <c r="C942" s="320"/>
      <c r="D942" s="320"/>
      <c r="E942" s="320"/>
      <c r="F942" s="320"/>
      <c r="G942" s="320"/>
      <c r="H942" s="320"/>
      <c r="I942" s="320"/>
      <c r="J942" s="320"/>
      <c r="K942" s="320"/>
      <c r="L942" s="320"/>
      <c r="M942" s="320"/>
      <c r="N942" s="320"/>
      <c r="O942" s="320"/>
      <c r="P942" s="320"/>
      <c r="Q942" s="320"/>
      <c r="R942" s="320"/>
      <c r="S942" s="320"/>
      <c r="T942" s="320"/>
      <c r="U942" s="320"/>
      <c r="V942" s="320"/>
      <c r="W942" s="320"/>
      <c r="X942" s="320"/>
      <c r="Y942" s="320"/>
      <c r="Z942" s="320"/>
    </row>
    <row r="943">
      <c r="A943" s="320"/>
      <c r="B943" s="320"/>
      <c r="C943" s="320"/>
      <c r="D943" s="320"/>
      <c r="E943" s="320"/>
      <c r="F943" s="320"/>
      <c r="G943" s="320"/>
      <c r="H943" s="320"/>
      <c r="I943" s="320"/>
      <c r="J943" s="320"/>
      <c r="K943" s="320"/>
      <c r="L943" s="320"/>
      <c r="M943" s="320"/>
      <c r="N943" s="320"/>
      <c r="O943" s="320"/>
      <c r="P943" s="320"/>
      <c r="Q943" s="320"/>
      <c r="R943" s="320"/>
      <c r="S943" s="320"/>
      <c r="T943" s="320"/>
      <c r="U943" s="320"/>
      <c r="V943" s="320"/>
      <c r="W943" s="320"/>
      <c r="X943" s="320"/>
      <c r="Y943" s="320"/>
      <c r="Z943" s="320"/>
    </row>
    <row r="944">
      <c r="A944" s="320"/>
      <c r="B944" s="320"/>
      <c r="C944" s="320"/>
      <c r="D944" s="320"/>
      <c r="E944" s="320"/>
      <c r="F944" s="320"/>
      <c r="G944" s="320"/>
      <c r="H944" s="320"/>
      <c r="I944" s="320"/>
      <c r="J944" s="320"/>
      <c r="K944" s="320"/>
      <c r="L944" s="320"/>
      <c r="M944" s="320"/>
      <c r="N944" s="320"/>
      <c r="O944" s="320"/>
      <c r="P944" s="320"/>
      <c r="Q944" s="320"/>
      <c r="R944" s="320"/>
      <c r="S944" s="320"/>
      <c r="T944" s="320"/>
      <c r="U944" s="320"/>
      <c r="V944" s="320"/>
      <c r="W944" s="320"/>
      <c r="X944" s="320"/>
      <c r="Y944" s="320"/>
      <c r="Z944" s="320"/>
    </row>
    <row r="945">
      <c r="A945" s="320"/>
      <c r="B945" s="320"/>
      <c r="C945" s="320"/>
      <c r="D945" s="320"/>
      <c r="E945" s="320"/>
      <c r="F945" s="320"/>
      <c r="G945" s="320"/>
      <c r="H945" s="320"/>
      <c r="I945" s="320"/>
      <c r="J945" s="320"/>
      <c r="K945" s="320"/>
      <c r="L945" s="320"/>
      <c r="M945" s="320"/>
      <c r="N945" s="320"/>
      <c r="O945" s="320"/>
      <c r="P945" s="320"/>
      <c r="Q945" s="320"/>
      <c r="R945" s="320"/>
      <c r="S945" s="320"/>
      <c r="T945" s="320"/>
      <c r="U945" s="320"/>
      <c r="V945" s="320"/>
      <c r="W945" s="320"/>
      <c r="X945" s="320"/>
      <c r="Y945" s="320"/>
      <c r="Z945" s="320"/>
    </row>
    <row r="946">
      <c r="A946" s="320"/>
      <c r="B946" s="320"/>
      <c r="C946" s="320"/>
      <c r="D946" s="320"/>
      <c r="E946" s="320"/>
      <c r="F946" s="320"/>
      <c r="G946" s="320"/>
      <c r="H946" s="320"/>
      <c r="I946" s="320"/>
      <c r="J946" s="320"/>
      <c r="K946" s="320"/>
      <c r="L946" s="320"/>
      <c r="M946" s="320"/>
      <c r="N946" s="320"/>
      <c r="O946" s="320"/>
      <c r="P946" s="320"/>
      <c r="Q946" s="320"/>
      <c r="R946" s="320"/>
      <c r="S946" s="320"/>
      <c r="T946" s="320"/>
      <c r="U946" s="320"/>
      <c r="V946" s="320"/>
      <c r="W946" s="320"/>
      <c r="X946" s="320"/>
      <c r="Y946" s="320"/>
      <c r="Z946" s="320"/>
    </row>
    <row r="947">
      <c r="A947" s="320"/>
      <c r="B947" s="320"/>
      <c r="C947" s="320"/>
      <c r="D947" s="320"/>
      <c r="E947" s="320"/>
      <c r="F947" s="320"/>
      <c r="G947" s="320"/>
      <c r="H947" s="320"/>
      <c r="I947" s="320"/>
      <c r="J947" s="320"/>
      <c r="K947" s="320"/>
      <c r="L947" s="320"/>
      <c r="M947" s="320"/>
      <c r="N947" s="320"/>
      <c r="O947" s="320"/>
      <c r="P947" s="320"/>
      <c r="Q947" s="320"/>
      <c r="R947" s="320"/>
      <c r="S947" s="320"/>
      <c r="T947" s="320"/>
      <c r="U947" s="320"/>
      <c r="V947" s="320"/>
      <c r="W947" s="320"/>
      <c r="X947" s="320"/>
      <c r="Y947" s="320"/>
      <c r="Z947" s="320"/>
    </row>
    <row r="948">
      <c r="A948" s="320"/>
      <c r="B948" s="320"/>
      <c r="C948" s="320"/>
      <c r="D948" s="320"/>
      <c r="E948" s="320"/>
      <c r="F948" s="320"/>
      <c r="G948" s="320"/>
      <c r="H948" s="320"/>
      <c r="I948" s="320"/>
      <c r="J948" s="320"/>
      <c r="K948" s="320"/>
      <c r="L948" s="320"/>
      <c r="M948" s="320"/>
      <c r="N948" s="320"/>
      <c r="O948" s="320"/>
      <c r="P948" s="320"/>
      <c r="Q948" s="320"/>
      <c r="R948" s="320"/>
      <c r="S948" s="320"/>
      <c r="T948" s="320"/>
      <c r="U948" s="320"/>
      <c r="V948" s="320"/>
      <c r="W948" s="320"/>
      <c r="X948" s="320"/>
      <c r="Y948" s="320"/>
      <c r="Z948" s="320"/>
    </row>
    <row r="949">
      <c r="A949" s="320"/>
      <c r="B949" s="320"/>
      <c r="C949" s="320"/>
      <c r="D949" s="320"/>
      <c r="E949" s="320"/>
      <c r="F949" s="320"/>
      <c r="G949" s="320"/>
      <c r="H949" s="320"/>
      <c r="I949" s="320"/>
      <c r="J949" s="320"/>
      <c r="K949" s="320"/>
      <c r="L949" s="320"/>
      <c r="M949" s="320"/>
      <c r="N949" s="320"/>
      <c r="O949" s="320"/>
      <c r="P949" s="320"/>
      <c r="Q949" s="320"/>
      <c r="R949" s="320"/>
      <c r="S949" s="320"/>
      <c r="T949" s="320"/>
      <c r="U949" s="320"/>
      <c r="V949" s="320"/>
      <c r="W949" s="320"/>
      <c r="X949" s="320"/>
      <c r="Y949" s="320"/>
      <c r="Z949" s="320"/>
    </row>
    <row r="950">
      <c r="A950" s="320"/>
      <c r="B950" s="320"/>
      <c r="C950" s="320"/>
      <c r="D950" s="320"/>
      <c r="E950" s="320"/>
      <c r="F950" s="320"/>
      <c r="G950" s="320"/>
      <c r="H950" s="320"/>
      <c r="I950" s="320"/>
      <c r="J950" s="320"/>
      <c r="K950" s="320"/>
      <c r="L950" s="320"/>
      <c r="M950" s="320"/>
      <c r="N950" s="320"/>
      <c r="O950" s="320"/>
      <c r="P950" s="320"/>
      <c r="Q950" s="320"/>
      <c r="R950" s="320"/>
      <c r="S950" s="320"/>
      <c r="T950" s="320"/>
      <c r="U950" s="320"/>
      <c r="V950" s="320"/>
      <c r="W950" s="320"/>
      <c r="X950" s="320"/>
      <c r="Y950" s="320"/>
      <c r="Z950" s="320"/>
    </row>
    <row r="951">
      <c r="A951" s="320"/>
      <c r="B951" s="320"/>
      <c r="C951" s="320"/>
      <c r="D951" s="320"/>
      <c r="E951" s="320"/>
      <c r="F951" s="320"/>
      <c r="G951" s="320"/>
      <c r="H951" s="320"/>
      <c r="I951" s="320"/>
      <c r="J951" s="320"/>
      <c r="K951" s="320"/>
      <c r="L951" s="320"/>
      <c r="M951" s="320"/>
      <c r="N951" s="320"/>
      <c r="O951" s="320"/>
      <c r="P951" s="320"/>
      <c r="Q951" s="320"/>
      <c r="R951" s="320"/>
      <c r="S951" s="320"/>
      <c r="T951" s="320"/>
      <c r="U951" s="320"/>
      <c r="V951" s="320"/>
      <c r="W951" s="320"/>
      <c r="X951" s="320"/>
      <c r="Y951" s="320"/>
      <c r="Z951" s="320"/>
    </row>
    <row r="952">
      <c r="A952" s="320"/>
      <c r="B952" s="320"/>
      <c r="C952" s="320"/>
      <c r="D952" s="320"/>
      <c r="E952" s="320"/>
      <c r="F952" s="320"/>
      <c r="G952" s="320"/>
      <c r="H952" s="320"/>
      <c r="I952" s="320"/>
      <c r="J952" s="320"/>
      <c r="K952" s="320"/>
      <c r="L952" s="320"/>
      <c r="M952" s="320"/>
      <c r="N952" s="320"/>
      <c r="O952" s="320"/>
      <c r="P952" s="320"/>
      <c r="Q952" s="320"/>
      <c r="R952" s="320"/>
      <c r="S952" s="320"/>
      <c r="T952" s="320"/>
      <c r="U952" s="320"/>
      <c r="V952" s="320"/>
      <c r="W952" s="320"/>
      <c r="X952" s="320"/>
      <c r="Y952" s="320"/>
      <c r="Z952" s="320"/>
    </row>
    <row r="953">
      <c r="A953" s="320"/>
      <c r="B953" s="320"/>
      <c r="C953" s="320"/>
      <c r="D953" s="320"/>
      <c r="E953" s="320"/>
      <c r="F953" s="320"/>
      <c r="G953" s="320"/>
      <c r="H953" s="320"/>
      <c r="I953" s="320"/>
      <c r="J953" s="320"/>
      <c r="K953" s="320"/>
      <c r="L953" s="320"/>
      <c r="M953" s="320"/>
      <c r="N953" s="320"/>
      <c r="O953" s="320"/>
      <c r="P953" s="320"/>
      <c r="Q953" s="320"/>
      <c r="R953" s="320"/>
      <c r="S953" s="320"/>
      <c r="T953" s="320"/>
      <c r="U953" s="320"/>
      <c r="V953" s="320"/>
      <c r="W953" s="320"/>
      <c r="X953" s="320"/>
      <c r="Y953" s="320"/>
      <c r="Z953" s="320"/>
    </row>
    <row r="954">
      <c r="A954" s="320"/>
      <c r="B954" s="320"/>
      <c r="C954" s="320"/>
      <c r="D954" s="320"/>
      <c r="E954" s="320"/>
      <c r="F954" s="320"/>
      <c r="G954" s="320"/>
      <c r="H954" s="320"/>
      <c r="I954" s="320"/>
      <c r="J954" s="320"/>
      <c r="K954" s="320"/>
      <c r="L954" s="320"/>
      <c r="M954" s="320"/>
      <c r="N954" s="320"/>
      <c r="O954" s="320"/>
      <c r="P954" s="320"/>
      <c r="Q954" s="320"/>
      <c r="R954" s="320"/>
      <c r="S954" s="320"/>
      <c r="T954" s="320"/>
      <c r="U954" s="320"/>
      <c r="V954" s="320"/>
      <c r="W954" s="320"/>
      <c r="X954" s="320"/>
      <c r="Y954" s="320"/>
      <c r="Z954" s="320"/>
    </row>
    <row r="955">
      <c r="A955" s="320"/>
      <c r="B955" s="320"/>
      <c r="C955" s="320"/>
      <c r="D955" s="320"/>
      <c r="E955" s="320"/>
      <c r="F955" s="320"/>
      <c r="G955" s="320"/>
      <c r="H955" s="320"/>
      <c r="I955" s="320"/>
      <c r="J955" s="320"/>
      <c r="K955" s="320"/>
      <c r="L955" s="320"/>
      <c r="M955" s="320"/>
      <c r="N955" s="320"/>
      <c r="O955" s="320"/>
      <c r="P955" s="320"/>
      <c r="Q955" s="320"/>
      <c r="R955" s="320"/>
      <c r="S955" s="320"/>
      <c r="T955" s="320"/>
      <c r="U955" s="320"/>
      <c r="V955" s="320"/>
      <c r="W955" s="320"/>
      <c r="X955" s="320"/>
      <c r="Y955" s="320"/>
      <c r="Z955" s="320"/>
    </row>
    <row r="956">
      <c r="A956" s="320"/>
      <c r="B956" s="320"/>
      <c r="C956" s="320"/>
      <c r="D956" s="320"/>
      <c r="E956" s="320"/>
      <c r="F956" s="320"/>
      <c r="G956" s="320"/>
      <c r="H956" s="320"/>
      <c r="I956" s="320"/>
      <c r="J956" s="320"/>
      <c r="K956" s="320"/>
      <c r="L956" s="320"/>
      <c r="M956" s="320"/>
      <c r="N956" s="320"/>
      <c r="O956" s="320"/>
      <c r="P956" s="320"/>
      <c r="Q956" s="320"/>
      <c r="R956" s="320"/>
      <c r="S956" s="320"/>
      <c r="T956" s="320"/>
      <c r="U956" s="320"/>
      <c r="V956" s="320"/>
      <c r="W956" s="320"/>
      <c r="X956" s="320"/>
      <c r="Y956" s="320"/>
      <c r="Z956" s="320"/>
    </row>
    <row r="957">
      <c r="A957" s="320"/>
      <c r="B957" s="320"/>
      <c r="C957" s="320"/>
      <c r="D957" s="320"/>
      <c r="E957" s="320"/>
      <c r="F957" s="320"/>
      <c r="G957" s="320"/>
      <c r="H957" s="320"/>
      <c r="I957" s="320"/>
      <c r="J957" s="320"/>
      <c r="K957" s="320"/>
      <c r="L957" s="320"/>
      <c r="M957" s="320"/>
      <c r="N957" s="320"/>
      <c r="O957" s="320"/>
      <c r="P957" s="320"/>
      <c r="Q957" s="320"/>
      <c r="R957" s="320"/>
      <c r="S957" s="320"/>
      <c r="T957" s="320"/>
      <c r="U957" s="320"/>
      <c r="V957" s="320"/>
      <c r="W957" s="320"/>
      <c r="X957" s="320"/>
      <c r="Y957" s="320"/>
      <c r="Z957" s="320"/>
    </row>
    <row r="958">
      <c r="A958" s="320"/>
      <c r="B958" s="320"/>
      <c r="C958" s="320"/>
      <c r="D958" s="320"/>
      <c r="E958" s="320"/>
      <c r="F958" s="320"/>
      <c r="G958" s="320"/>
      <c r="H958" s="320"/>
      <c r="I958" s="320"/>
      <c r="J958" s="320"/>
      <c r="K958" s="320"/>
      <c r="L958" s="320"/>
      <c r="M958" s="320"/>
      <c r="N958" s="320"/>
      <c r="O958" s="320"/>
      <c r="P958" s="320"/>
      <c r="Q958" s="320"/>
      <c r="R958" s="320"/>
      <c r="S958" s="320"/>
      <c r="T958" s="320"/>
      <c r="U958" s="320"/>
      <c r="V958" s="320"/>
      <c r="W958" s="320"/>
      <c r="X958" s="320"/>
      <c r="Y958" s="320"/>
      <c r="Z958" s="320"/>
    </row>
    <row r="959">
      <c r="A959" s="320"/>
      <c r="B959" s="320"/>
      <c r="C959" s="320"/>
      <c r="D959" s="320"/>
      <c r="E959" s="320"/>
      <c r="F959" s="320"/>
      <c r="G959" s="320"/>
      <c r="H959" s="320"/>
      <c r="I959" s="320"/>
      <c r="J959" s="320"/>
      <c r="K959" s="320"/>
      <c r="L959" s="320"/>
      <c r="M959" s="320"/>
      <c r="N959" s="320"/>
      <c r="O959" s="320"/>
      <c r="P959" s="320"/>
      <c r="Q959" s="320"/>
      <c r="R959" s="320"/>
      <c r="S959" s="320"/>
      <c r="T959" s="320"/>
      <c r="U959" s="320"/>
      <c r="V959" s="320"/>
      <c r="W959" s="320"/>
      <c r="X959" s="320"/>
      <c r="Y959" s="320"/>
      <c r="Z959" s="320"/>
    </row>
    <row r="960">
      <c r="A960" s="320"/>
      <c r="B960" s="320"/>
      <c r="C960" s="320"/>
      <c r="D960" s="320"/>
      <c r="E960" s="320"/>
      <c r="F960" s="320"/>
      <c r="G960" s="320"/>
      <c r="H960" s="320"/>
      <c r="I960" s="320"/>
      <c r="J960" s="320"/>
      <c r="K960" s="320"/>
      <c r="L960" s="320"/>
      <c r="M960" s="320"/>
      <c r="N960" s="320"/>
      <c r="O960" s="320"/>
      <c r="P960" s="320"/>
      <c r="Q960" s="320"/>
      <c r="R960" s="320"/>
      <c r="S960" s="320"/>
      <c r="T960" s="320"/>
      <c r="U960" s="320"/>
      <c r="V960" s="320"/>
      <c r="W960" s="320"/>
      <c r="X960" s="320"/>
      <c r="Y960" s="320"/>
      <c r="Z960" s="320"/>
    </row>
    <row r="961">
      <c r="A961" s="320"/>
      <c r="B961" s="320"/>
      <c r="C961" s="320"/>
      <c r="D961" s="320"/>
      <c r="E961" s="320"/>
      <c r="F961" s="320"/>
      <c r="G961" s="320"/>
      <c r="H961" s="320"/>
      <c r="I961" s="320"/>
      <c r="J961" s="320"/>
      <c r="K961" s="320"/>
      <c r="L961" s="320"/>
      <c r="M961" s="320"/>
      <c r="N961" s="320"/>
      <c r="O961" s="320"/>
      <c r="P961" s="320"/>
      <c r="Q961" s="320"/>
      <c r="R961" s="320"/>
      <c r="S961" s="320"/>
      <c r="T961" s="320"/>
      <c r="U961" s="320"/>
      <c r="V961" s="320"/>
      <c r="W961" s="320"/>
      <c r="X961" s="320"/>
      <c r="Y961" s="320"/>
      <c r="Z961" s="320"/>
    </row>
    <row r="962">
      <c r="A962" s="320"/>
      <c r="B962" s="320"/>
      <c r="C962" s="320"/>
      <c r="D962" s="320"/>
      <c r="E962" s="320"/>
      <c r="F962" s="320"/>
      <c r="G962" s="320"/>
      <c r="H962" s="320"/>
      <c r="I962" s="320"/>
      <c r="J962" s="320"/>
      <c r="K962" s="320"/>
      <c r="L962" s="320"/>
      <c r="M962" s="320"/>
      <c r="N962" s="320"/>
      <c r="O962" s="320"/>
      <c r="P962" s="320"/>
      <c r="Q962" s="320"/>
      <c r="R962" s="320"/>
      <c r="S962" s="320"/>
      <c r="T962" s="320"/>
      <c r="U962" s="320"/>
      <c r="V962" s="320"/>
      <c r="W962" s="320"/>
      <c r="X962" s="320"/>
      <c r="Y962" s="320"/>
      <c r="Z962" s="320"/>
    </row>
    <row r="963">
      <c r="A963" s="320"/>
      <c r="B963" s="320"/>
      <c r="C963" s="320"/>
      <c r="D963" s="320"/>
      <c r="E963" s="320"/>
      <c r="F963" s="320"/>
      <c r="G963" s="320"/>
      <c r="H963" s="320"/>
      <c r="I963" s="320"/>
      <c r="J963" s="320"/>
      <c r="K963" s="320"/>
      <c r="L963" s="320"/>
      <c r="M963" s="320"/>
      <c r="N963" s="320"/>
      <c r="O963" s="320"/>
      <c r="P963" s="320"/>
      <c r="Q963" s="320"/>
      <c r="R963" s="320"/>
      <c r="S963" s="320"/>
      <c r="T963" s="320"/>
      <c r="U963" s="320"/>
      <c r="V963" s="320"/>
      <c r="W963" s="320"/>
      <c r="X963" s="320"/>
      <c r="Y963" s="320"/>
      <c r="Z963" s="320"/>
    </row>
    <row r="964">
      <c r="A964" s="320"/>
      <c r="B964" s="320"/>
      <c r="C964" s="320"/>
      <c r="D964" s="320"/>
      <c r="E964" s="320"/>
      <c r="F964" s="320"/>
      <c r="G964" s="320"/>
      <c r="H964" s="320"/>
      <c r="I964" s="320"/>
      <c r="J964" s="320"/>
      <c r="K964" s="320"/>
      <c r="L964" s="320"/>
      <c r="M964" s="320"/>
      <c r="N964" s="320"/>
      <c r="O964" s="320"/>
      <c r="P964" s="320"/>
      <c r="Q964" s="320"/>
      <c r="R964" s="320"/>
      <c r="S964" s="320"/>
      <c r="T964" s="320"/>
      <c r="U964" s="320"/>
      <c r="V964" s="320"/>
      <c r="W964" s="320"/>
      <c r="X964" s="320"/>
      <c r="Y964" s="320"/>
      <c r="Z964" s="320"/>
    </row>
    <row r="965">
      <c r="A965" s="320"/>
      <c r="B965" s="320"/>
      <c r="C965" s="320"/>
      <c r="D965" s="320"/>
      <c r="E965" s="320"/>
      <c r="F965" s="320"/>
      <c r="G965" s="320"/>
      <c r="H965" s="320"/>
      <c r="I965" s="320"/>
      <c r="J965" s="320"/>
      <c r="K965" s="320"/>
      <c r="L965" s="320"/>
      <c r="M965" s="320"/>
      <c r="N965" s="320"/>
      <c r="O965" s="320"/>
      <c r="P965" s="320"/>
      <c r="Q965" s="320"/>
      <c r="R965" s="320"/>
      <c r="S965" s="320"/>
      <c r="T965" s="320"/>
      <c r="U965" s="320"/>
      <c r="V965" s="320"/>
      <c r="W965" s="320"/>
      <c r="X965" s="320"/>
      <c r="Y965" s="320"/>
      <c r="Z965" s="320"/>
    </row>
    <row r="966">
      <c r="A966" s="320"/>
      <c r="B966" s="320"/>
      <c r="C966" s="320"/>
      <c r="D966" s="320"/>
      <c r="E966" s="320"/>
      <c r="F966" s="320"/>
      <c r="G966" s="320"/>
      <c r="H966" s="320"/>
      <c r="I966" s="320"/>
      <c r="J966" s="320"/>
      <c r="K966" s="320"/>
      <c r="L966" s="320"/>
      <c r="M966" s="320"/>
      <c r="N966" s="320"/>
      <c r="O966" s="320"/>
      <c r="P966" s="320"/>
      <c r="Q966" s="320"/>
      <c r="R966" s="320"/>
      <c r="S966" s="320"/>
      <c r="T966" s="320"/>
      <c r="U966" s="320"/>
      <c r="V966" s="320"/>
      <c r="W966" s="320"/>
      <c r="X966" s="320"/>
      <c r="Y966" s="320"/>
      <c r="Z966" s="320"/>
    </row>
    <row r="967">
      <c r="A967" s="320"/>
      <c r="B967" s="320"/>
      <c r="C967" s="320"/>
      <c r="D967" s="320"/>
      <c r="E967" s="320"/>
      <c r="F967" s="320"/>
      <c r="G967" s="320"/>
      <c r="H967" s="320"/>
      <c r="I967" s="320"/>
      <c r="J967" s="320"/>
      <c r="K967" s="320"/>
      <c r="L967" s="320"/>
      <c r="M967" s="320"/>
      <c r="N967" s="320"/>
      <c r="O967" s="320"/>
      <c r="P967" s="320"/>
      <c r="Q967" s="320"/>
      <c r="R967" s="320"/>
      <c r="S967" s="320"/>
      <c r="T967" s="320"/>
      <c r="U967" s="320"/>
      <c r="V967" s="320"/>
      <c r="W967" s="320"/>
      <c r="X967" s="320"/>
      <c r="Y967" s="320"/>
      <c r="Z967" s="320"/>
    </row>
    <row r="968">
      <c r="A968" s="320"/>
      <c r="B968" s="320"/>
      <c r="C968" s="320"/>
      <c r="D968" s="320"/>
      <c r="E968" s="320"/>
      <c r="F968" s="320"/>
      <c r="G968" s="320"/>
      <c r="H968" s="320"/>
      <c r="I968" s="320"/>
      <c r="J968" s="320"/>
      <c r="K968" s="320"/>
      <c r="L968" s="320"/>
      <c r="M968" s="320"/>
      <c r="N968" s="320"/>
      <c r="O968" s="320"/>
      <c r="P968" s="320"/>
      <c r="Q968" s="320"/>
      <c r="R968" s="320"/>
      <c r="S968" s="320"/>
      <c r="T968" s="320"/>
      <c r="U968" s="320"/>
      <c r="V968" s="320"/>
      <c r="W968" s="320"/>
      <c r="X968" s="320"/>
      <c r="Y968" s="320"/>
      <c r="Z968" s="320"/>
    </row>
    <row r="969">
      <c r="A969" s="320"/>
      <c r="B969" s="320"/>
      <c r="C969" s="320"/>
      <c r="D969" s="320"/>
      <c r="E969" s="320"/>
      <c r="F969" s="320"/>
      <c r="G969" s="320"/>
      <c r="H969" s="320"/>
      <c r="I969" s="320"/>
      <c r="J969" s="320"/>
      <c r="K969" s="320"/>
      <c r="L969" s="320"/>
      <c r="M969" s="320"/>
      <c r="N969" s="320"/>
      <c r="O969" s="320"/>
      <c r="P969" s="320"/>
      <c r="Q969" s="320"/>
      <c r="R969" s="320"/>
      <c r="S969" s="320"/>
      <c r="T969" s="320"/>
      <c r="U969" s="320"/>
      <c r="V969" s="320"/>
      <c r="W969" s="320"/>
      <c r="X969" s="320"/>
      <c r="Y969" s="320"/>
      <c r="Z969" s="320"/>
    </row>
    <row r="970">
      <c r="A970" s="320"/>
      <c r="B970" s="320"/>
      <c r="C970" s="320"/>
      <c r="D970" s="320"/>
      <c r="E970" s="320"/>
      <c r="F970" s="320"/>
      <c r="G970" s="320"/>
      <c r="H970" s="320"/>
      <c r="I970" s="320"/>
      <c r="J970" s="320"/>
      <c r="K970" s="320"/>
      <c r="L970" s="320"/>
      <c r="M970" s="320"/>
      <c r="N970" s="320"/>
      <c r="O970" s="320"/>
      <c r="P970" s="320"/>
      <c r="Q970" s="320"/>
      <c r="R970" s="320"/>
      <c r="S970" s="320"/>
      <c r="T970" s="320"/>
      <c r="U970" s="320"/>
      <c r="V970" s="320"/>
      <c r="W970" s="320"/>
      <c r="X970" s="320"/>
      <c r="Y970" s="320"/>
      <c r="Z970" s="320"/>
    </row>
    <row r="971">
      <c r="A971" s="320"/>
      <c r="B971" s="320"/>
      <c r="C971" s="320"/>
      <c r="D971" s="320"/>
      <c r="E971" s="320"/>
      <c r="F971" s="320"/>
      <c r="G971" s="320"/>
      <c r="H971" s="320"/>
      <c r="I971" s="320"/>
      <c r="J971" s="320"/>
      <c r="K971" s="320"/>
      <c r="L971" s="320"/>
      <c r="M971" s="320"/>
      <c r="N971" s="320"/>
      <c r="O971" s="320"/>
      <c r="P971" s="320"/>
      <c r="Q971" s="320"/>
      <c r="R971" s="320"/>
      <c r="S971" s="320"/>
      <c r="T971" s="320"/>
      <c r="U971" s="320"/>
      <c r="V971" s="320"/>
      <c r="W971" s="320"/>
      <c r="X971" s="320"/>
      <c r="Y971" s="320"/>
      <c r="Z971" s="320"/>
    </row>
    <row r="972">
      <c r="A972" s="320"/>
      <c r="B972" s="320"/>
      <c r="C972" s="320"/>
      <c r="D972" s="320"/>
      <c r="E972" s="320"/>
      <c r="F972" s="320"/>
      <c r="G972" s="320"/>
      <c r="H972" s="320"/>
      <c r="I972" s="320"/>
      <c r="J972" s="320"/>
      <c r="K972" s="320"/>
      <c r="L972" s="320"/>
      <c r="M972" s="320"/>
      <c r="N972" s="320"/>
      <c r="O972" s="320"/>
      <c r="P972" s="320"/>
      <c r="Q972" s="320"/>
      <c r="R972" s="320"/>
      <c r="S972" s="320"/>
      <c r="T972" s="320"/>
      <c r="U972" s="320"/>
      <c r="V972" s="320"/>
      <c r="W972" s="320"/>
      <c r="X972" s="320"/>
      <c r="Y972" s="320"/>
      <c r="Z972" s="320"/>
    </row>
    <row r="973">
      <c r="A973" s="320"/>
      <c r="B973" s="320"/>
      <c r="C973" s="320"/>
      <c r="D973" s="320"/>
      <c r="E973" s="320"/>
      <c r="F973" s="320"/>
      <c r="G973" s="320"/>
      <c r="H973" s="320"/>
      <c r="I973" s="320"/>
      <c r="J973" s="320"/>
      <c r="K973" s="320"/>
      <c r="L973" s="320"/>
      <c r="M973" s="320"/>
      <c r="N973" s="320"/>
      <c r="O973" s="320"/>
      <c r="P973" s="320"/>
      <c r="Q973" s="320"/>
      <c r="R973" s="320"/>
      <c r="S973" s="320"/>
      <c r="T973" s="320"/>
      <c r="U973" s="320"/>
      <c r="V973" s="320"/>
      <c r="W973" s="320"/>
      <c r="X973" s="320"/>
      <c r="Y973" s="320"/>
      <c r="Z973" s="320"/>
    </row>
    <row r="974">
      <c r="A974" s="320"/>
      <c r="B974" s="320"/>
      <c r="C974" s="320"/>
      <c r="D974" s="320"/>
      <c r="E974" s="320"/>
      <c r="F974" s="320"/>
      <c r="G974" s="320"/>
      <c r="H974" s="320"/>
      <c r="I974" s="320"/>
      <c r="J974" s="320"/>
      <c r="K974" s="320"/>
      <c r="L974" s="320"/>
      <c r="M974" s="320"/>
      <c r="N974" s="320"/>
      <c r="O974" s="320"/>
      <c r="P974" s="320"/>
      <c r="Q974" s="320"/>
      <c r="R974" s="320"/>
      <c r="S974" s="320"/>
      <c r="T974" s="320"/>
      <c r="U974" s="320"/>
      <c r="V974" s="320"/>
      <c r="W974" s="320"/>
      <c r="X974" s="320"/>
      <c r="Y974" s="320"/>
      <c r="Z974" s="320"/>
    </row>
    <row r="975">
      <c r="A975" s="320"/>
      <c r="B975" s="320"/>
      <c r="C975" s="320"/>
      <c r="D975" s="320"/>
      <c r="E975" s="320"/>
      <c r="F975" s="320"/>
      <c r="G975" s="320"/>
      <c r="H975" s="320"/>
      <c r="I975" s="320"/>
      <c r="J975" s="320"/>
      <c r="K975" s="320"/>
      <c r="L975" s="320"/>
      <c r="M975" s="320"/>
      <c r="N975" s="320"/>
      <c r="O975" s="320"/>
      <c r="P975" s="320"/>
      <c r="Q975" s="320"/>
      <c r="R975" s="320"/>
      <c r="S975" s="320"/>
      <c r="T975" s="320"/>
      <c r="U975" s="320"/>
      <c r="V975" s="320"/>
      <c r="W975" s="320"/>
      <c r="X975" s="320"/>
      <c r="Y975" s="320"/>
      <c r="Z975" s="320"/>
    </row>
    <row r="976">
      <c r="A976" s="320"/>
      <c r="B976" s="320"/>
      <c r="C976" s="320"/>
      <c r="D976" s="320"/>
      <c r="E976" s="320"/>
      <c r="F976" s="320"/>
      <c r="G976" s="320"/>
      <c r="H976" s="320"/>
      <c r="I976" s="320"/>
      <c r="J976" s="320"/>
      <c r="K976" s="320"/>
      <c r="L976" s="320"/>
      <c r="M976" s="320"/>
      <c r="N976" s="320"/>
      <c r="O976" s="320"/>
      <c r="P976" s="320"/>
      <c r="Q976" s="320"/>
      <c r="R976" s="320"/>
      <c r="S976" s="320"/>
      <c r="T976" s="320"/>
      <c r="U976" s="320"/>
      <c r="V976" s="320"/>
      <c r="W976" s="320"/>
      <c r="X976" s="320"/>
      <c r="Y976" s="320"/>
      <c r="Z976" s="320"/>
    </row>
    <row r="977">
      <c r="A977" s="320"/>
      <c r="B977" s="320"/>
      <c r="C977" s="320"/>
      <c r="D977" s="320"/>
      <c r="E977" s="320"/>
      <c r="F977" s="320"/>
      <c r="G977" s="320"/>
      <c r="H977" s="320"/>
      <c r="I977" s="320"/>
      <c r="J977" s="320"/>
      <c r="K977" s="320"/>
      <c r="L977" s="320"/>
      <c r="M977" s="320"/>
      <c r="N977" s="320"/>
      <c r="O977" s="320"/>
      <c r="P977" s="320"/>
      <c r="Q977" s="320"/>
      <c r="R977" s="320"/>
      <c r="S977" s="320"/>
      <c r="T977" s="320"/>
      <c r="U977" s="320"/>
      <c r="V977" s="320"/>
      <c r="W977" s="320"/>
      <c r="X977" s="320"/>
      <c r="Y977" s="320"/>
      <c r="Z977" s="320"/>
    </row>
    <row r="978">
      <c r="A978" s="320"/>
      <c r="B978" s="320"/>
      <c r="C978" s="320"/>
      <c r="D978" s="320"/>
      <c r="E978" s="320"/>
      <c r="F978" s="320"/>
      <c r="G978" s="320"/>
      <c r="H978" s="320"/>
      <c r="I978" s="320"/>
      <c r="J978" s="320"/>
      <c r="K978" s="320"/>
      <c r="L978" s="320"/>
      <c r="M978" s="320"/>
      <c r="N978" s="320"/>
      <c r="O978" s="320"/>
      <c r="P978" s="320"/>
      <c r="Q978" s="320"/>
      <c r="R978" s="320"/>
      <c r="S978" s="320"/>
      <c r="T978" s="320"/>
      <c r="U978" s="320"/>
      <c r="V978" s="320"/>
      <c r="W978" s="320"/>
      <c r="X978" s="320"/>
      <c r="Y978" s="320"/>
      <c r="Z978" s="320"/>
    </row>
    <row r="979">
      <c r="A979" s="320"/>
      <c r="B979" s="320"/>
      <c r="C979" s="320"/>
      <c r="D979" s="320"/>
      <c r="E979" s="320"/>
      <c r="F979" s="320"/>
      <c r="G979" s="320"/>
      <c r="H979" s="320"/>
      <c r="I979" s="320"/>
      <c r="J979" s="320"/>
      <c r="K979" s="320"/>
      <c r="L979" s="320"/>
      <c r="M979" s="320"/>
      <c r="N979" s="320"/>
      <c r="O979" s="320"/>
      <c r="P979" s="320"/>
      <c r="Q979" s="320"/>
      <c r="R979" s="320"/>
      <c r="S979" s="320"/>
      <c r="T979" s="320"/>
      <c r="U979" s="320"/>
      <c r="V979" s="320"/>
      <c r="W979" s="320"/>
      <c r="X979" s="320"/>
      <c r="Y979" s="320"/>
      <c r="Z979" s="320"/>
    </row>
    <row r="980">
      <c r="A980" s="320"/>
      <c r="B980" s="320"/>
      <c r="C980" s="320"/>
      <c r="D980" s="320"/>
      <c r="E980" s="320"/>
      <c r="F980" s="320"/>
      <c r="G980" s="320"/>
      <c r="H980" s="320"/>
      <c r="I980" s="320"/>
      <c r="J980" s="320"/>
      <c r="K980" s="320"/>
      <c r="L980" s="320"/>
      <c r="M980" s="320"/>
      <c r="N980" s="320"/>
      <c r="O980" s="320"/>
      <c r="P980" s="320"/>
      <c r="Q980" s="320"/>
      <c r="R980" s="320"/>
      <c r="S980" s="320"/>
      <c r="T980" s="320"/>
      <c r="U980" s="320"/>
      <c r="V980" s="320"/>
      <c r="W980" s="320"/>
      <c r="X980" s="320"/>
      <c r="Y980" s="320"/>
      <c r="Z980" s="320"/>
    </row>
    <row r="981">
      <c r="A981" s="320"/>
      <c r="B981" s="320"/>
      <c r="C981" s="320"/>
      <c r="D981" s="320"/>
      <c r="E981" s="320"/>
      <c r="F981" s="320"/>
      <c r="G981" s="320"/>
      <c r="H981" s="320"/>
      <c r="I981" s="320"/>
      <c r="J981" s="320"/>
      <c r="K981" s="320"/>
      <c r="L981" s="320"/>
      <c r="M981" s="320"/>
      <c r="N981" s="320"/>
      <c r="O981" s="320"/>
      <c r="P981" s="320"/>
      <c r="Q981" s="320"/>
      <c r="R981" s="320"/>
      <c r="S981" s="320"/>
      <c r="T981" s="320"/>
      <c r="U981" s="320"/>
      <c r="V981" s="320"/>
      <c r="W981" s="320"/>
      <c r="X981" s="320"/>
      <c r="Y981" s="320"/>
      <c r="Z981" s="320"/>
    </row>
    <row r="982">
      <c r="A982" s="320"/>
      <c r="B982" s="320"/>
      <c r="C982" s="320"/>
      <c r="D982" s="320"/>
      <c r="E982" s="320"/>
      <c r="F982" s="320"/>
      <c r="G982" s="320"/>
      <c r="H982" s="320"/>
      <c r="I982" s="320"/>
      <c r="J982" s="320"/>
      <c r="K982" s="320"/>
      <c r="L982" s="320"/>
      <c r="M982" s="320"/>
      <c r="N982" s="320"/>
      <c r="O982" s="320"/>
      <c r="P982" s="320"/>
      <c r="Q982" s="320"/>
      <c r="R982" s="320"/>
      <c r="S982" s="320"/>
      <c r="T982" s="320"/>
      <c r="U982" s="320"/>
      <c r="V982" s="320"/>
      <c r="W982" s="320"/>
      <c r="X982" s="320"/>
      <c r="Y982" s="320"/>
      <c r="Z982" s="320"/>
    </row>
    <row r="983">
      <c r="A983" s="320"/>
      <c r="B983" s="320"/>
      <c r="C983" s="320"/>
      <c r="D983" s="320"/>
      <c r="E983" s="320"/>
      <c r="F983" s="320"/>
      <c r="G983" s="320"/>
      <c r="H983" s="320"/>
      <c r="I983" s="320"/>
      <c r="J983" s="320"/>
      <c r="K983" s="320"/>
      <c r="L983" s="320"/>
      <c r="M983" s="320"/>
      <c r="N983" s="320"/>
      <c r="O983" s="320"/>
      <c r="P983" s="320"/>
      <c r="Q983" s="320"/>
      <c r="R983" s="320"/>
      <c r="S983" s="320"/>
      <c r="T983" s="320"/>
      <c r="U983" s="320"/>
      <c r="V983" s="320"/>
      <c r="W983" s="320"/>
      <c r="X983" s="320"/>
      <c r="Y983" s="320"/>
      <c r="Z983" s="320"/>
    </row>
    <row r="984">
      <c r="A984" s="320"/>
      <c r="B984" s="320"/>
      <c r="C984" s="320"/>
      <c r="D984" s="320"/>
      <c r="E984" s="320"/>
      <c r="F984" s="320"/>
      <c r="G984" s="320"/>
      <c r="H984" s="320"/>
      <c r="I984" s="320"/>
      <c r="J984" s="320"/>
      <c r="K984" s="320"/>
      <c r="L984" s="320"/>
      <c r="M984" s="320"/>
      <c r="N984" s="320"/>
      <c r="O984" s="320"/>
      <c r="P984" s="320"/>
      <c r="Q984" s="320"/>
      <c r="R984" s="320"/>
      <c r="S984" s="320"/>
      <c r="T984" s="320"/>
      <c r="U984" s="320"/>
      <c r="V984" s="320"/>
      <c r="W984" s="320"/>
      <c r="X984" s="320"/>
      <c r="Y984" s="320"/>
      <c r="Z984" s="320"/>
    </row>
    <row r="985">
      <c r="A985" s="320"/>
      <c r="B985" s="320"/>
      <c r="C985" s="320"/>
      <c r="D985" s="320"/>
      <c r="E985" s="320"/>
      <c r="F985" s="320"/>
      <c r="G985" s="320"/>
      <c r="H985" s="320"/>
      <c r="I985" s="320"/>
      <c r="J985" s="320"/>
      <c r="K985" s="320"/>
      <c r="L985" s="320"/>
      <c r="M985" s="320"/>
      <c r="N985" s="320"/>
      <c r="O985" s="320"/>
      <c r="P985" s="320"/>
      <c r="Q985" s="320"/>
      <c r="R985" s="320"/>
      <c r="S985" s="320"/>
      <c r="T985" s="320"/>
      <c r="U985" s="320"/>
      <c r="V985" s="320"/>
      <c r="W985" s="320"/>
      <c r="X985" s="320"/>
      <c r="Y985" s="320"/>
      <c r="Z985" s="320"/>
    </row>
    <row r="986">
      <c r="A986" s="320"/>
      <c r="B986" s="320"/>
      <c r="C986" s="320"/>
      <c r="D986" s="320"/>
      <c r="E986" s="320"/>
      <c r="F986" s="320"/>
      <c r="G986" s="320"/>
      <c r="H986" s="320"/>
      <c r="I986" s="320"/>
      <c r="J986" s="320"/>
      <c r="K986" s="320"/>
      <c r="L986" s="320"/>
      <c r="M986" s="320"/>
      <c r="N986" s="320"/>
      <c r="O986" s="320"/>
      <c r="P986" s="320"/>
      <c r="Q986" s="320"/>
      <c r="R986" s="320"/>
      <c r="S986" s="320"/>
      <c r="T986" s="320"/>
      <c r="U986" s="320"/>
      <c r="V986" s="320"/>
      <c r="W986" s="320"/>
      <c r="X986" s="320"/>
      <c r="Y986" s="320"/>
      <c r="Z986" s="320"/>
    </row>
    <row r="987">
      <c r="A987" s="320"/>
      <c r="B987" s="320"/>
      <c r="C987" s="320"/>
      <c r="D987" s="320"/>
      <c r="E987" s="320"/>
      <c r="F987" s="320"/>
      <c r="G987" s="320"/>
      <c r="H987" s="320"/>
      <c r="I987" s="320"/>
      <c r="J987" s="320"/>
      <c r="K987" s="320"/>
      <c r="L987" s="320"/>
      <c r="M987" s="320"/>
      <c r="N987" s="320"/>
      <c r="O987" s="320"/>
      <c r="P987" s="320"/>
      <c r="Q987" s="320"/>
      <c r="R987" s="320"/>
      <c r="S987" s="320"/>
      <c r="T987" s="320"/>
      <c r="U987" s="320"/>
      <c r="V987" s="320"/>
      <c r="W987" s="320"/>
      <c r="X987" s="320"/>
      <c r="Y987" s="320"/>
      <c r="Z987" s="320"/>
    </row>
    <row r="988">
      <c r="A988" s="320"/>
      <c r="B988" s="320"/>
      <c r="C988" s="320"/>
      <c r="D988" s="320"/>
      <c r="E988" s="320"/>
      <c r="F988" s="320"/>
      <c r="G988" s="320"/>
      <c r="H988" s="320"/>
      <c r="I988" s="320"/>
      <c r="J988" s="320"/>
      <c r="K988" s="320"/>
      <c r="L988" s="320"/>
      <c r="M988" s="320"/>
      <c r="N988" s="320"/>
      <c r="O988" s="320"/>
      <c r="P988" s="320"/>
      <c r="Q988" s="320"/>
      <c r="R988" s="320"/>
      <c r="S988" s="320"/>
      <c r="T988" s="320"/>
      <c r="U988" s="320"/>
      <c r="V988" s="320"/>
      <c r="W988" s="320"/>
      <c r="X988" s="320"/>
      <c r="Y988" s="320"/>
      <c r="Z988" s="320"/>
    </row>
    <row r="989">
      <c r="A989" s="320"/>
      <c r="B989" s="320"/>
      <c r="C989" s="320"/>
      <c r="D989" s="320"/>
      <c r="E989" s="320"/>
      <c r="F989" s="320"/>
      <c r="G989" s="320"/>
      <c r="H989" s="320"/>
      <c r="I989" s="320"/>
      <c r="J989" s="320"/>
      <c r="K989" s="320"/>
      <c r="L989" s="320"/>
      <c r="M989" s="320"/>
      <c r="N989" s="320"/>
      <c r="O989" s="320"/>
      <c r="P989" s="320"/>
      <c r="Q989" s="320"/>
      <c r="R989" s="320"/>
      <c r="S989" s="320"/>
      <c r="T989" s="320"/>
      <c r="U989" s="320"/>
      <c r="V989" s="320"/>
      <c r="W989" s="320"/>
      <c r="X989" s="320"/>
      <c r="Y989" s="320"/>
      <c r="Z989" s="320"/>
    </row>
    <row r="990">
      <c r="A990" s="320"/>
      <c r="B990" s="320"/>
      <c r="C990" s="320"/>
      <c r="D990" s="320"/>
      <c r="E990" s="320"/>
      <c r="F990" s="320"/>
      <c r="G990" s="320"/>
      <c r="H990" s="320"/>
      <c r="I990" s="320"/>
      <c r="J990" s="320"/>
      <c r="K990" s="320"/>
      <c r="L990" s="320"/>
      <c r="M990" s="320"/>
      <c r="N990" s="320"/>
      <c r="O990" s="320"/>
      <c r="P990" s="320"/>
      <c r="Q990" s="320"/>
      <c r="R990" s="320"/>
      <c r="S990" s="320"/>
      <c r="T990" s="320"/>
      <c r="U990" s="320"/>
      <c r="V990" s="320"/>
      <c r="W990" s="320"/>
      <c r="X990" s="320"/>
      <c r="Y990" s="320"/>
      <c r="Z990" s="320"/>
    </row>
    <row r="991">
      <c r="A991" s="320"/>
      <c r="B991" s="320"/>
      <c r="C991" s="320"/>
      <c r="D991" s="320"/>
      <c r="E991" s="320"/>
      <c r="F991" s="320"/>
      <c r="G991" s="320"/>
      <c r="H991" s="320"/>
      <c r="I991" s="320"/>
      <c r="J991" s="320"/>
      <c r="K991" s="320"/>
      <c r="L991" s="320"/>
      <c r="M991" s="320"/>
      <c r="N991" s="320"/>
      <c r="O991" s="320"/>
      <c r="P991" s="320"/>
      <c r="Q991" s="320"/>
      <c r="R991" s="320"/>
      <c r="S991" s="320"/>
      <c r="T991" s="320"/>
      <c r="U991" s="320"/>
      <c r="V991" s="320"/>
      <c r="W991" s="320"/>
      <c r="X991" s="320"/>
      <c r="Y991" s="320"/>
      <c r="Z991" s="320"/>
    </row>
    <row r="992">
      <c r="A992" s="320"/>
      <c r="B992" s="320"/>
      <c r="C992" s="320"/>
      <c r="D992" s="320"/>
      <c r="E992" s="320"/>
      <c r="F992" s="320"/>
      <c r="G992" s="320"/>
      <c r="H992" s="320"/>
      <c r="I992" s="320"/>
      <c r="J992" s="320"/>
      <c r="K992" s="320"/>
      <c r="L992" s="320"/>
      <c r="M992" s="320"/>
      <c r="N992" s="320"/>
      <c r="O992" s="320"/>
      <c r="P992" s="320"/>
      <c r="Q992" s="320"/>
      <c r="R992" s="320"/>
      <c r="S992" s="320"/>
      <c r="T992" s="320"/>
      <c r="U992" s="320"/>
      <c r="V992" s="320"/>
      <c r="W992" s="320"/>
      <c r="X992" s="320"/>
      <c r="Y992" s="320"/>
      <c r="Z992" s="320"/>
    </row>
    <row r="993">
      <c r="A993" s="320"/>
      <c r="B993" s="320"/>
      <c r="C993" s="320"/>
      <c r="D993" s="320"/>
      <c r="E993" s="320"/>
      <c r="F993" s="320"/>
      <c r="G993" s="320"/>
      <c r="H993" s="320"/>
      <c r="I993" s="320"/>
      <c r="J993" s="320"/>
      <c r="K993" s="320"/>
      <c r="L993" s="320"/>
      <c r="M993" s="320"/>
      <c r="N993" s="320"/>
      <c r="O993" s="320"/>
      <c r="P993" s="320"/>
      <c r="Q993" s="320"/>
      <c r="R993" s="320"/>
      <c r="S993" s="320"/>
      <c r="T993" s="320"/>
      <c r="U993" s="320"/>
      <c r="V993" s="320"/>
      <c r="W993" s="320"/>
      <c r="X993" s="320"/>
      <c r="Y993" s="320"/>
      <c r="Z993" s="320"/>
    </row>
    <row r="994">
      <c r="A994" s="320"/>
      <c r="B994" s="320"/>
      <c r="C994" s="320"/>
      <c r="D994" s="320"/>
      <c r="E994" s="320"/>
      <c r="F994" s="320"/>
      <c r="G994" s="320"/>
      <c r="H994" s="320"/>
      <c r="I994" s="320"/>
      <c r="J994" s="320"/>
      <c r="K994" s="320"/>
      <c r="L994" s="320"/>
      <c r="M994" s="320"/>
      <c r="N994" s="320"/>
      <c r="O994" s="320"/>
      <c r="P994" s="320"/>
      <c r="Q994" s="320"/>
      <c r="R994" s="320"/>
      <c r="S994" s="320"/>
      <c r="T994" s="320"/>
      <c r="U994" s="320"/>
      <c r="V994" s="320"/>
      <c r="W994" s="320"/>
      <c r="X994" s="320"/>
      <c r="Y994" s="320"/>
      <c r="Z994" s="320"/>
    </row>
    <row r="995">
      <c r="A995" s="320"/>
      <c r="B995" s="320"/>
      <c r="C995" s="320"/>
      <c r="D995" s="320"/>
      <c r="E995" s="320"/>
      <c r="F995" s="320"/>
      <c r="G995" s="320"/>
      <c r="H995" s="320"/>
      <c r="I995" s="320"/>
      <c r="J995" s="320"/>
      <c r="K995" s="320"/>
      <c r="L995" s="320"/>
      <c r="M995" s="320"/>
      <c r="N995" s="320"/>
      <c r="O995" s="320"/>
      <c r="P995" s="320"/>
      <c r="Q995" s="320"/>
      <c r="R995" s="320"/>
      <c r="S995" s="320"/>
      <c r="T995" s="320"/>
      <c r="U995" s="320"/>
      <c r="V995" s="320"/>
      <c r="W995" s="320"/>
      <c r="X995" s="320"/>
      <c r="Y995" s="320"/>
      <c r="Z995" s="320"/>
    </row>
    <row r="996">
      <c r="A996" s="320"/>
      <c r="B996" s="320"/>
      <c r="C996" s="320"/>
      <c r="D996" s="320"/>
      <c r="E996" s="320"/>
      <c r="F996" s="320"/>
      <c r="G996" s="320"/>
      <c r="H996" s="320"/>
      <c r="I996" s="320"/>
      <c r="J996" s="320"/>
      <c r="K996" s="320"/>
      <c r="L996" s="320"/>
      <c r="M996" s="320"/>
      <c r="N996" s="320"/>
      <c r="O996" s="320"/>
      <c r="P996" s="320"/>
      <c r="Q996" s="320"/>
      <c r="R996" s="320"/>
      <c r="S996" s="320"/>
      <c r="T996" s="320"/>
      <c r="U996" s="320"/>
      <c r="V996" s="320"/>
      <c r="W996" s="320"/>
      <c r="X996" s="320"/>
      <c r="Y996" s="320"/>
      <c r="Z996" s="320"/>
    </row>
    <row r="997">
      <c r="A997" s="320"/>
      <c r="B997" s="320"/>
      <c r="C997" s="320"/>
      <c r="D997" s="320"/>
      <c r="E997" s="320"/>
      <c r="F997" s="320"/>
      <c r="G997" s="320"/>
      <c r="H997" s="320"/>
      <c r="I997" s="320"/>
      <c r="J997" s="320"/>
      <c r="K997" s="320"/>
      <c r="L997" s="320"/>
      <c r="M997" s="320"/>
      <c r="N997" s="320"/>
      <c r="O997" s="320"/>
      <c r="P997" s="320"/>
      <c r="Q997" s="320"/>
      <c r="R997" s="320"/>
      <c r="S997" s="320"/>
      <c r="T997" s="320"/>
      <c r="U997" s="320"/>
      <c r="V997" s="320"/>
      <c r="W997" s="320"/>
      <c r="X997" s="320"/>
      <c r="Y997" s="320"/>
      <c r="Z997" s="320"/>
    </row>
    <row r="998">
      <c r="A998" s="320"/>
      <c r="B998" s="320"/>
      <c r="C998" s="320"/>
      <c r="D998" s="320"/>
      <c r="E998" s="320"/>
      <c r="F998" s="320"/>
      <c r="G998" s="320"/>
      <c r="H998" s="320"/>
      <c r="I998" s="320"/>
      <c r="J998" s="320"/>
      <c r="K998" s="320"/>
      <c r="L998" s="320"/>
      <c r="M998" s="320"/>
      <c r="N998" s="320"/>
      <c r="O998" s="320"/>
      <c r="P998" s="320"/>
      <c r="Q998" s="320"/>
      <c r="R998" s="320"/>
      <c r="S998" s="320"/>
      <c r="T998" s="320"/>
      <c r="U998" s="320"/>
      <c r="V998" s="320"/>
      <c r="W998" s="320"/>
      <c r="X998" s="320"/>
      <c r="Y998" s="320"/>
      <c r="Z998" s="320"/>
    </row>
    <row r="999">
      <c r="A999" s="320"/>
      <c r="B999" s="320"/>
      <c r="C999" s="320"/>
      <c r="D999" s="320"/>
      <c r="E999" s="320"/>
      <c r="F999" s="320"/>
      <c r="G999" s="320"/>
      <c r="H999" s="320"/>
      <c r="I999" s="320"/>
      <c r="J999" s="320"/>
      <c r="K999" s="320"/>
      <c r="L999" s="320"/>
      <c r="M999" s="320"/>
      <c r="N999" s="320"/>
      <c r="O999" s="320"/>
      <c r="P999" s="320"/>
      <c r="Q999" s="320"/>
      <c r="R999" s="320"/>
      <c r="S999" s="320"/>
      <c r="T999" s="320"/>
      <c r="U999" s="320"/>
      <c r="V999" s="320"/>
      <c r="W999" s="320"/>
      <c r="X999" s="320"/>
      <c r="Y999" s="320"/>
      <c r="Z999" s="320"/>
    </row>
    <row r="1000">
      <c r="A1000" s="320"/>
      <c r="B1000" s="320"/>
      <c r="C1000" s="320"/>
      <c r="D1000" s="320"/>
      <c r="E1000" s="320"/>
      <c r="F1000" s="320"/>
      <c r="G1000" s="320"/>
      <c r="H1000" s="320"/>
      <c r="I1000" s="320"/>
      <c r="J1000" s="320"/>
      <c r="K1000" s="320"/>
      <c r="L1000" s="320"/>
      <c r="M1000" s="320"/>
      <c r="N1000" s="320"/>
      <c r="O1000" s="320"/>
      <c r="P1000" s="320"/>
      <c r="Q1000" s="320"/>
      <c r="R1000" s="320"/>
      <c r="S1000" s="320"/>
      <c r="T1000" s="320"/>
      <c r="U1000" s="320"/>
      <c r="V1000" s="320"/>
      <c r="W1000" s="320"/>
      <c r="X1000" s="320"/>
      <c r="Y1000" s="320"/>
      <c r="Z1000" s="320"/>
    </row>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1" width="26.25"/>
    <col customWidth="1" min="22" max="26" width="7.63"/>
  </cols>
  <sheetData>
    <row r="1" ht="39.75" customHeight="1">
      <c r="A1" s="274" t="s">
        <v>10057</v>
      </c>
      <c r="B1" s="274" t="s">
        <v>10058</v>
      </c>
      <c r="C1" s="274" t="s">
        <v>9782</v>
      </c>
      <c r="D1" s="274" t="s">
        <v>0</v>
      </c>
      <c r="E1" s="274" t="s">
        <v>1074</v>
      </c>
      <c r="F1" s="274" t="s">
        <v>1075</v>
      </c>
      <c r="G1" s="274" t="s">
        <v>1076</v>
      </c>
      <c r="H1" s="274" t="s">
        <v>1077</v>
      </c>
      <c r="I1" s="274" t="s">
        <v>1078</v>
      </c>
      <c r="J1" s="274" t="s">
        <v>10059</v>
      </c>
      <c r="K1" s="274" t="s">
        <v>10060</v>
      </c>
      <c r="L1" s="274" t="s">
        <v>13</v>
      </c>
      <c r="M1" s="274" t="s">
        <v>10061</v>
      </c>
      <c r="N1" s="274" t="s">
        <v>1135</v>
      </c>
      <c r="O1" s="274" t="s">
        <v>1085</v>
      </c>
      <c r="P1" s="274" t="s">
        <v>1086</v>
      </c>
      <c r="Q1" s="274" t="s">
        <v>1087</v>
      </c>
      <c r="R1" s="274" t="s">
        <v>10062</v>
      </c>
      <c r="S1" s="274" t="s">
        <v>10063</v>
      </c>
      <c r="T1" s="274" t="s">
        <v>10064</v>
      </c>
      <c r="U1" s="274" t="s">
        <v>9788</v>
      </c>
      <c r="V1" s="320"/>
      <c r="W1" s="320"/>
      <c r="X1" s="320"/>
      <c r="Y1" s="320"/>
      <c r="Z1" s="320"/>
    </row>
    <row r="2" ht="120.0" customHeight="1">
      <c r="A2" s="322" t="s">
        <v>10065</v>
      </c>
      <c r="B2" s="322" t="s">
        <v>10066</v>
      </c>
      <c r="C2" s="321" t="s">
        <v>10067</v>
      </c>
      <c r="D2" s="321" t="s">
        <v>10068</v>
      </c>
      <c r="E2" s="322" t="s">
        <v>10069</v>
      </c>
      <c r="F2" s="321" t="s">
        <v>10070</v>
      </c>
      <c r="G2" s="321" t="s">
        <v>10071</v>
      </c>
      <c r="H2" s="322" t="s">
        <v>10072</v>
      </c>
      <c r="I2" s="321" t="s">
        <v>10073</v>
      </c>
      <c r="J2" s="322" t="s">
        <v>10074</v>
      </c>
      <c r="K2" s="322" t="s">
        <v>10075</v>
      </c>
      <c r="L2" s="321" t="s">
        <v>10076</v>
      </c>
      <c r="M2" s="321" t="s">
        <v>10077</v>
      </c>
      <c r="N2" s="322" t="s">
        <v>10078</v>
      </c>
      <c r="O2" s="321" t="s">
        <v>9802</v>
      </c>
      <c r="P2" s="321" t="s">
        <v>10079</v>
      </c>
      <c r="Q2" s="322" t="s">
        <v>10080</v>
      </c>
      <c r="R2" s="321" t="s">
        <v>10081</v>
      </c>
      <c r="S2" s="322" t="s">
        <v>10082</v>
      </c>
      <c r="T2" s="322" t="s">
        <v>10083</v>
      </c>
      <c r="U2" s="321" t="s">
        <v>9808</v>
      </c>
      <c r="V2" s="320"/>
      <c r="W2" s="320"/>
      <c r="X2" s="320"/>
      <c r="Y2" s="320"/>
      <c r="Z2" s="320"/>
    </row>
    <row r="3">
      <c r="A3" s="320"/>
      <c r="B3" s="320"/>
      <c r="C3" s="320"/>
      <c r="D3" s="320"/>
      <c r="E3" s="320"/>
      <c r="F3" s="320"/>
      <c r="G3" s="320"/>
      <c r="H3" s="320"/>
      <c r="I3" s="320"/>
      <c r="J3" s="320"/>
      <c r="K3" s="320"/>
      <c r="L3" s="320"/>
      <c r="M3" s="320"/>
      <c r="N3" s="320"/>
      <c r="O3" s="320"/>
      <c r="P3" s="320"/>
      <c r="Q3" s="320"/>
      <c r="R3" s="320"/>
      <c r="S3" s="320"/>
      <c r="T3" s="320"/>
      <c r="U3" s="320"/>
      <c r="V3" s="320"/>
      <c r="W3" s="320"/>
      <c r="X3" s="320"/>
      <c r="Y3" s="320"/>
      <c r="Z3" s="320"/>
    </row>
    <row r="4">
      <c r="A4" s="320"/>
      <c r="B4" s="320"/>
      <c r="C4" s="320"/>
      <c r="D4" s="320"/>
      <c r="E4" s="320"/>
      <c r="F4" s="320"/>
      <c r="G4" s="320"/>
      <c r="H4" s="320"/>
      <c r="I4" s="320"/>
      <c r="J4" s="320"/>
      <c r="K4" s="320"/>
      <c r="L4" s="320"/>
      <c r="M4" s="320"/>
      <c r="N4" s="320"/>
      <c r="O4" s="320"/>
      <c r="P4" s="320"/>
      <c r="Q4" s="320"/>
      <c r="R4" s="320"/>
      <c r="S4" s="320"/>
      <c r="T4" s="320"/>
      <c r="U4" s="320"/>
      <c r="V4" s="320"/>
      <c r="W4" s="320"/>
      <c r="X4" s="320"/>
      <c r="Y4" s="320"/>
      <c r="Z4" s="320"/>
    </row>
    <row r="5">
      <c r="A5" s="320"/>
      <c r="B5" s="320"/>
      <c r="C5" s="320"/>
      <c r="D5" s="320"/>
      <c r="E5" s="320"/>
      <c r="F5" s="320"/>
      <c r="G5" s="320"/>
      <c r="H5" s="320"/>
      <c r="I5" s="320"/>
      <c r="J5" s="320"/>
      <c r="K5" s="320"/>
      <c r="L5" s="320"/>
      <c r="M5" s="320"/>
      <c r="N5" s="320"/>
      <c r="O5" s="320"/>
      <c r="P5" s="320"/>
      <c r="Q5" s="320"/>
      <c r="R5" s="320"/>
      <c r="S5" s="320"/>
      <c r="T5" s="320"/>
      <c r="U5" s="320"/>
      <c r="V5" s="320"/>
      <c r="W5" s="320"/>
      <c r="X5" s="320"/>
      <c r="Y5" s="320"/>
      <c r="Z5" s="320"/>
    </row>
    <row r="6">
      <c r="A6" s="320"/>
      <c r="B6" s="320"/>
      <c r="C6" s="320"/>
      <c r="D6" s="320"/>
      <c r="E6" s="320"/>
      <c r="F6" s="320"/>
      <c r="G6" s="320"/>
      <c r="H6" s="320"/>
      <c r="I6" s="320"/>
      <c r="J6" s="320"/>
      <c r="K6" s="320"/>
      <c r="L6" s="320"/>
      <c r="M6" s="320"/>
      <c r="N6" s="320"/>
      <c r="O6" s="320"/>
      <c r="P6" s="320"/>
      <c r="Q6" s="320"/>
      <c r="R6" s="320"/>
      <c r="S6" s="320"/>
      <c r="T6" s="320"/>
      <c r="U6" s="320"/>
      <c r="V6" s="320"/>
      <c r="W6" s="320"/>
      <c r="X6" s="320"/>
      <c r="Y6" s="320"/>
      <c r="Z6" s="320"/>
    </row>
    <row r="7">
      <c r="A7" s="320"/>
      <c r="B7" s="320"/>
      <c r="C7" s="320"/>
      <c r="D7" s="320"/>
      <c r="E7" s="320"/>
      <c r="F7" s="320"/>
      <c r="G7" s="320"/>
      <c r="H7" s="320"/>
      <c r="I7" s="320"/>
      <c r="J7" s="320"/>
      <c r="K7" s="320"/>
      <c r="L7" s="320"/>
      <c r="M7" s="320"/>
      <c r="N7" s="320"/>
      <c r="O7" s="320"/>
      <c r="P7" s="320"/>
      <c r="Q7" s="320"/>
      <c r="R7" s="320"/>
      <c r="S7" s="320"/>
      <c r="T7" s="320"/>
      <c r="U7" s="320"/>
      <c r="V7" s="320"/>
      <c r="W7" s="320"/>
      <c r="X7" s="320"/>
      <c r="Y7" s="320"/>
      <c r="Z7" s="320"/>
    </row>
    <row r="8">
      <c r="A8" s="320"/>
      <c r="B8" s="320"/>
      <c r="C8" s="320"/>
      <c r="D8" s="320"/>
      <c r="E8" s="320"/>
      <c r="F8" s="320"/>
      <c r="G8" s="320"/>
      <c r="H8" s="320"/>
      <c r="I8" s="320"/>
      <c r="J8" s="320"/>
      <c r="K8" s="320"/>
      <c r="L8" s="320"/>
      <c r="M8" s="320"/>
      <c r="N8" s="320"/>
      <c r="O8" s="320"/>
      <c r="P8" s="320"/>
      <c r="Q8" s="320"/>
      <c r="R8" s="320"/>
      <c r="S8" s="320"/>
      <c r="T8" s="320"/>
      <c r="U8" s="320"/>
      <c r="V8" s="320"/>
      <c r="W8" s="320"/>
      <c r="X8" s="320"/>
      <c r="Y8" s="320"/>
      <c r="Z8" s="320"/>
    </row>
    <row r="9">
      <c r="A9" s="320"/>
      <c r="B9" s="320"/>
      <c r="C9" s="320"/>
      <c r="D9" s="320"/>
      <c r="E9" s="320"/>
      <c r="F9" s="320"/>
      <c r="G9" s="320"/>
      <c r="H9" s="320"/>
      <c r="I9" s="320"/>
      <c r="J9" s="320"/>
      <c r="K9" s="320"/>
      <c r="L9" s="320"/>
      <c r="M9" s="320"/>
      <c r="N9" s="320"/>
      <c r="O9" s="320"/>
      <c r="P9" s="320"/>
      <c r="Q9" s="320"/>
      <c r="R9" s="320"/>
      <c r="S9" s="320"/>
      <c r="T9" s="320"/>
      <c r="U9" s="320"/>
      <c r="V9" s="320"/>
      <c r="W9" s="320"/>
      <c r="X9" s="320"/>
      <c r="Y9" s="320"/>
      <c r="Z9" s="320"/>
    </row>
    <row r="10">
      <c r="A10" s="320"/>
      <c r="B10" s="320"/>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row>
    <row r="11">
      <c r="A11" s="320"/>
      <c r="B11" s="320"/>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0"/>
    </row>
    <row r="12">
      <c r="A12" s="320"/>
      <c r="B12" s="320"/>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row>
    <row r="13">
      <c r="A13" s="320"/>
      <c r="B13" s="320"/>
      <c r="C13" s="320"/>
      <c r="D13" s="320"/>
      <c r="E13" s="320"/>
      <c r="F13" s="320"/>
      <c r="G13" s="320"/>
      <c r="H13" s="320"/>
      <c r="I13" s="320"/>
      <c r="J13" s="320"/>
      <c r="K13" s="320"/>
      <c r="L13" s="320"/>
      <c r="M13" s="320"/>
      <c r="N13" s="320"/>
      <c r="O13" s="320"/>
      <c r="P13" s="320"/>
      <c r="Q13" s="320"/>
      <c r="R13" s="320"/>
      <c r="S13" s="320"/>
      <c r="T13" s="320"/>
      <c r="U13" s="320"/>
      <c r="V13" s="320"/>
      <c r="W13" s="320"/>
      <c r="X13" s="320"/>
      <c r="Y13" s="320"/>
      <c r="Z13" s="320"/>
    </row>
    <row r="14">
      <c r="A14" s="320"/>
      <c r="B14" s="320"/>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row>
    <row r="15">
      <c r="A15" s="320"/>
      <c r="B15" s="320"/>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row>
    <row r="16">
      <c r="A16" s="320"/>
      <c r="B16" s="320"/>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row>
    <row r="17">
      <c r="A17" s="320"/>
      <c r="B17" s="320"/>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row>
    <row r="18">
      <c r="A18" s="320"/>
      <c r="B18" s="320"/>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row>
    <row r="19">
      <c r="A19" s="320"/>
      <c r="B19" s="320"/>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row>
    <row r="20">
      <c r="A20" s="320"/>
      <c r="B20" s="320"/>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row>
    <row r="21">
      <c r="A21" s="320"/>
      <c r="B21" s="320"/>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row>
    <row r="22">
      <c r="A22" s="320"/>
      <c r="B22" s="320"/>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row>
    <row r="23">
      <c r="A23" s="320"/>
      <c r="B23" s="320"/>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row>
    <row r="24">
      <c r="A24" s="320"/>
      <c r="B24" s="320"/>
      <c r="C24" s="320"/>
      <c r="D24" s="320"/>
      <c r="E24" s="320"/>
      <c r="F24" s="320"/>
      <c r="G24" s="320"/>
      <c r="H24" s="320"/>
      <c r="I24" s="320"/>
      <c r="J24" s="320"/>
      <c r="K24" s="320"/>
      <c r="L24" s="320"/>
      <c r="M24" s="320"/>
      <c r="N24" s="320"/>
      <c r="O24" s="320"/>
      <c r="P24" s="320"/>
      <c r="Q24" s="320"/>
      <c r="R24" s="320"/>
      <c r="S24" s="320"/>
      <c r="T24" s="320"/>
      <c r="U24" s="320"/>
      <c r="V24" s="320"/>
      <c r="W24" s="320"/>
      <c r="X24" s="320"/>
      <c r="Y24" s="320"/>
      <c r="Z24" s="320"/>
    </row>
    <row r="25">
      <c r="A25" s="320"/>
      <c r="B25" s="320"/>
      <c r="C25" s="320"/>
      <c r="D25" s="320"/>
      <c r="E25" s="320"/>
      <c r="F25" s="320"/>
      <c r="G25" s="320"/>
      <c r="H25" s="320"/>
      <c r="I25" s="320"/>
      <c r="J25" s="320"/>
      <c r="K25" s="320"/>
      <c r="L25" s="320"/>
      <c r="M25" s="320"/>
      <c r="N25" s="320"/>
      <c r="O25" s="320"/>
      <c r="P25" s="320"/>
      <c r="Q25" s="320"/>
      <c r="R25" s="320"/>
      <c r="S25" s="320"/>
      <c r="T25" s="320"/>
      <c r="U25" s="320"/>
      <c r="V25" s="320"/>
      <c r="W25" s="320"/>
      <c r="X25" s="320"/>
      <c r="Y25" s="320"/>
      <c r="Z25" s="320"/>
    </row>
    <row r="26">
      <c r="A26" s="320"/>
      <c r="B26" s="320"/>
      <c r="C26" s="320"/>
      <c r="D26" s="320"/>
      <c r="E26" s="320"/>
      <c r="F26" s="320"/>
      <c r="G26" s="320"/>
      <c r="H26" s="320"/>
      <c r="I26" s="320"/>
      <c r="J26" s="320"/>
      <c r="K26" s="320"/>
      <c r="L26" s="320"/>
      <c r="M26" s="320"/>
      <c r="N26" s="320"/>
      <c r="O26" s="320"/>
      <c r="P26" s="320"/>
      <c r="Q26" s="320"/>
      <c r="R26" s="320"/>
      <c r="S26" s="320"/>
      <c r="T26" s="320"/>
      <c r="U26" s="320"/>
      <c r="V26" s="320"/>
      <c r="W26" s="320"/>
      <c r="X26" s="320"/>
      <c r="Y26" s="320"/>
      <c r="Z26" s="320"/>
    </row>
    <row r="27">
      <c r="A27" s="320"/>
      <c r="B27" s="320"/>
      <c r="C27" s="320"/>
      <c r="D27" s="320"/>
      <c r="E27" s="320"/>
      <c r="F27" s="320"/>
      <c r="G27" s="320"/>
      <c r="H27" s="320"/>
      <c r="I27" s="320"/>
      <c r="J27" s="320"/>
      <c r="K27" s="320"/>
      <c r="L27" s="320"/>
      <c r="M27" s="320"/>
      <c r="N27" s="320"/>
      <c r="O27" s="320"/>
      <c r="P27" s="320"/>
      <c r="Q27" s="320"/>
      <c r="R27" s="320"/>
      <c r="S27" s="320"/>
      <c r="T27" s="320"/>
      <c r="U27" s="320"/>
      <c r="V27" s="320"/>
      <c r="W27" s="320"/>
      <c r="X27" s="320"/>
      <c r="Y27" s="320"/>
      <c r="Z27" s="320"/>
    </row>
    <row r="28">
      <c r="A28" s="320"/>
      <c r="B28" s="320"/>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row>
    <row r="29">
      <c r="A29" s="320"/>
      <c r="B29" s="320"/>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row>
    <row r="30">
      <c r="A30" s="320"/>
      <c r="B30" s="320"/>
      <c r="C30" s="320"/>
      <c r="D30" s="320"/>
      <c r="E30" s="320"/>
      <c r="F30" s="320"/>
      <c r="G30" s="320"/>
      <c r="H30" s="320"/>
      <c r="I30" s="320"/>
      <c r="J30" s="320"/>
      <c r="K30" s="320"/>
      <c r="L30" s="320"/>
      <c r="M30" s="320"/>
      <c r="N30" s="320"/>
      <c r="O30" s="320"/>
      <c r="P30" s="320"/>
      <c r="Q30" s="320"/>
      <c r="R30" s="320"/>
      <c r="S30" s="320"/>
      <c r="T30" s="320"/>
      <c r="U30" s="320"/>
      <c r="V30" s="320"/>
      <c r="W30" s="320"/>
      <c r="X30" s="320"/>
      <c r="Y30" s="320"/>
      <c r="Z30" s="320"/>
    </row>
    <row r="31">
      <c r="A31" s="320"/>
      <c r="B31" s="320"/>
      <c r="C31" s="320"/>
      <c r="D31" s="320"/>
      <c r="E31" s="320"/>
      <c r="F31" s="320"/>
      <c r="G31" s="320"/>
      <c r="H31" s="320"/>
      <c r="I31" s="320"/>
      <c r="J31" s="320"/>
      <c r="K31" s="320"/>
      <c r="L31" s="320"/>
      <c r="M31" s="320"/>
      <c r="N31" s="320"/>
      <c r="O31" s="320"/>
      <c r="P31" s="320"/>
      <c r="Q31" s="320"/>
      <c r="R31" s="320"/>
      <c r="S31" s="320"/>
      <c r="T31" s="320"/>
      <c r="U31" s="320"/>
      <c r="V31" s="320"/>
      <c r="W31" s="320"/>
      <c r="X31" s="320"/>
      <c r="Y31" s="320"/>
      <c r="Z31" s="320"/>
    </row>
    <row r="32">
      <c r="A32" s="320"/>
      <c r="B32" s="320"/>
      <c r="C32" s="320"/>
      <c r="D32" s="320"/>
      <c r="E32" s="320"/>
      <c r="F32" s="320"/>
      <c r="G32" s="320"/>
      <c r="H32" s="320"/>
      <c r="I32" s="320"/>
      <c r="J32" s="320"/>
      <c r="K32" s="320"/>
      <c r="L32" s="320"/>
      <c r="M32" s="320"/>
      <c r="N32" s="320"/>
      <c r="O32" s="320"/>
      <c r="P32" s="320"/>
      <c r="Q32" s="320"/>
      <c r="R32" s="320"/>
      <c r="S32" s="320"/>
      <c r="T32" s="320"/>
      <c r="U32" s="320"/>
      <c r="V32" s="320"/>
      <c r="W32" s="320"/>
      <c r="X32" s="320"/>
      <c r="Y32" s="320"/>
      <c r="Z32" s="320"/>
    </row>
    <row r="33">
      <c r="A33" s="320"/>
      <c r="B33" s="320"/>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Z33" s="320"/>
    </row>
    <row r="34">
      <c r="A34" s="320"/>
      <c r="B34" s="320"/>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row>
    <row r="35">
      <c r="A35" s="320"/>
      <c r="B35" s="320"/>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row>
    <row r="36">
      <c r="A36" s="320"/>
      <c r="B36" s="320"/>
      <c r="C36" s="320"/>
      <c r="D36" s="320"/>
      <c r="E36" s="320"/>
      <c r="F36" s="320"/>
      <c r="G36" s="320"/>
      <c r="H36" s="320"/>
      <c r="I36" s="320"/>
      <c r="J36" s="320"/>
      <c r="K36" s="320"/>
      <c r="L36" s="320"/>
      <c r="M36" s="320"/>
      <c r="N36" s="320"/>
      <c r="O36" s="320"/>
      <c r="P36" s="320"/>
      <c r="Q36" s="320"/>
      <c r="R36" s="320"/>
      <c r="S36" s="320"/>
      <c r="T36" s="320"/>
      <c r="U36" s="320"/>
      <c r="V36" s="320"/>
      <c r="W36" s="320"/>
      <c r="X36" s="320"/>
      <c r="Y36" s="320"/>
      <c r="Z36" s="320"/>
    </row>
    <row r="37">
      <c r="A37" s="320"/>
      <c r="B37" s="320"/>
      <c r="C37" s="320"/>
      <c r="D37" s="320"/>
      <c r="E37" s="320"/>
      <c r="F37" s="320"/>
      <c r="G37" s="320"/>
      <c r="H37" s="320"/>
      <c r="I37" s="320"/>
      <c r="J37" s="320"/>
      <c r="K37" s="320"/>
      <c r="L37" s="320"/>
      <c r="M37" s="320"/>
      <c r="N37" s="320"/>
      <c r="O37" s="320"/>
      <c r="P37" s="320"/>
      <c r="Q37" s="320"/>
      <c r="R37" s="320"/>
      <c r="S37" s="320"/>
      <c r="T37" s="320"/>
      <c r="U37" s="320"/>
      <c r="V37" s="320"/>
      <c r="W37" s="320"/>
      <c r="X37" s="320"/>
      <c r="Y37" s="320"/>
      <c r="Z37" s="320"/>
    </row>
    <row r="38">
      <c r="A38" s="320"/>
      <c r="B38" s="320"/>
      <c r="C38" s="320"/>
      <c r="D38" s="320"/>
      <c r="E38" s="320"/>
      <c r="F38" s="320"/>
      <c r="G38" s="320"/>
      <c r="H38" s="320"/>
      <c r="I38" s="320"/>
      <c r="J38" s="320"/>
      <c r="K38" s="320"/>
      <c r="L38" s="320"/>
      <c r="M38" s="320"/>
      <c r="N38" s="320"/>
      <c r="O38" s="320"/>
      <c r="P38" s="320"/>
      <c r="Q38" s="320"/>
      <c r="R38" s="320"/>
      <c r="S38" s="320"/>
      <c r="T38" s="320"/>
      <c r="U38" s="320"/>
      <c r="V38" s="320"/>
      <c r="W38" s="320"/>
      <c r="X38" s="320"/>
      <c r="Y38" s="320"/>
      <c r="Z38" s="320"/>
    </row>
    <row r="39">
      <c r="A39" s="320"/>
      <c r="B39" s="320"/>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row>
    <row r="40">
      <c r="A40" s="320"/>
      <c r="B40" s="320"/>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row>
    <row r="41">
      <c r="A41" s="320"/>
      <c r="B41" s="320"/>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row>
    <row r="42">
      <c r="A42" s="320"/>
      <c r="B42" s="320"/>
      <c r="C42" s="320"/>
      <c r="D42" s="320"/>
      <c r="E42" s="320"/>
      <c r="F42" s="320"/>
      <c r="G42" s="320"/>
      <c r="H42" s="320"/>
      <c r="I42" s="320"/>
      <c r="J42" s="320"/>
      <c r="K42" s="320"/>
      <c r="L42" s="320"/>
      <c r="M42" s="320"/>
      <c r="N42" s="320"/>
      <c r="O42" s="320"/>
      <c r="P42" s="320"/>
      <c r="Q42" s="320"/>
      <c r="R42" s="320"/>
      <c r="S42" s="320"/>
      <c r="T42" s="320"/>
      <c r="U42" s="320"/>
      <c r="V42" s="320"/>
      <c r="W42" s="320"/>
      <c r="X42" s="320"/>
      <c r="Y42" s="320"/>
      <c r="Z42" s="320"/>
    </row>
    <row r="43">
      <c r="A43" s="320"/>
      <c r="B43" s="320"/>
      <c r="C43" s="320"/>
      <c r="D43" s="320"/>
      <c r="E43" s="320"/>
      <c r="F43" s="320"/>
      <c r="G43" s="320"/>
      <c r="H43" s="320"/>
      <c r="I43" s="320"/>
      <c r="J43" s="320"/>
      <c r="K43" s="320"/>
      <c r="L43" s="320"/>
      <c r="M43" s="320"/>
      <c r="N43" s="320"/>
      <c r="O43" s="320"/>
      <c r="P43" s="320"/>
      <c r="Q43" s="320"/>
      <c r="R43" s="320"/>
      <c r="S43" s="320"/>
      <c r="T43" s="320"/>
      <c r="U43" s="320"/>
      <c r="V43" s="320"/>
      <c r="W43" s="320"/>
      <c r="X43" s="320"/>
      <c r="Y43" s="320"/>
      <c r="Z43" s="320"/>
    </row>
    <row r="44">
      <c r="A44" s="320"/>
      <c r="B44" s="320"/>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row>
    <row r="45">
      <c r="A45" s="320"/>
      <c r="B45" s="320"/>
      <c r="C45" s="320"/>
      <c r="D45" s="320"/>
      <c r="E45" s="320"/>
      <c r="F45" s="320"/>
      <c r="G45" s="320"/>
      <c r="H45" s="320"/>
      <c r="I45" s="320"/>
      <c r="J45" s="320"/>
      <c r="K45" s="320"/>
      <c r="L45" s="320"/>
      <c r="M45" s="320"/>
      <c r="N45" s="320"/>
      <c r="O45" s="320"/>
      <c r="P45" s="320"/>
      <c r="Q45" s="320"/>
      <c r="R45" s="320"/>
      <c r="S45" s="320"/>
      <c r="T45" s="320"/>
      <c r="U45" s="320"/>
      <c r="V45" s="320"/>
      <c r="W45" s="320"/>
      <c r="X45" s="320"/>
      <c r="Y45" s="320"/>
      <c r="Z45" s="320"/>
    </row>
    <row r="46">
      <c r="A46" s="320"/>
      <c r="B46" s="320"/>
      <c r="C46" s="320"/>
      <c r="D46" s="320"/>
      <c r="E46" s="320"/>
      <c r="F46" s="320"/>
      <c r="G46" s="320"/>
      <c r="H46" s="320"/>
      <c r="I46" s="320"/>
      <c r="J46" s="320"/>
      <c r="K46" s="320"/>
      <c r="L46" s="320"/>
      <c r="M46" s="320"/>
      <c r="N46" s="320"/>
      <c r="O46" s="320"/>
      <c r="P46" s="320"/>
      <c r="Q46" s="320"/>
      <c r="R46" s="320"/>
      <c r="S46" s="320"/>
      <c r="T46" s="320"/>
      <c r="U46" s="320"/>
      <c r="V46" s="320"/>
      <c r="W46" s="320"/>
      <c r="X46" s="320"/>
      <c r="Y46" s="320"/>
      <c r="Z46" s="320"/>
    </row>
    <row r="47">
      <c r="A47" s="320"/>
      <c r="B47" s="320"/>
      <c r="C47" s="320"/>
      <c r="D47" s="320"/>
      <c r="E47" s="320"/>
      <c r="F47" s="320"/>
      <c r="G47" s="320"/>
      <c r="H47" s="320"/>
      <c r="I47" s="320"/>
      <c r="J47" s="320"/>
      <c r="K47" s="320"/>
      <c r="L47" s="320"/>
      <c r="M47" s="320"/>
      <c r="N47" s="320"/>
      <c r="O47" s="320"/>
      <c r="P47" s="320"/>
      <c r="Q47" s="320"/>
      <c r="R47" s="320"/>
      <c r="S47" s="320"/>
      <c r="T47" s="320"/>
      <c r="U47" s="320"/>
      <c r="V47" s="320"/>
      <c r="W47" s="320"/>
      <c r="X47" s="320"/>
      <c r="Y47" s="320"/>
      <c r="Z47" s="320"/>
    </row>
    <row r="48">
      <c r="A48" s="320"/>
      <c r="B48" s="320"/>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row>
    <row r="49">
      <c r="A49" s="320"/>
      <c r="B49" s="320"/>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row>
    <row r="50">
      <c r="A50" s="320"/>
      <c r="B50" s="320"/>
      <c r="C50" s="320"/>
      <c r="D50" s="320"/>
      <c r="E50" s="320"/>
      <c r="F50" s="320"/>
      <c r="G50" s="320"/>
      <c r="H50" s="320"/>
      <c r="I50" s="320"/>
      <c r="J50" s="320"/>
      <c r="K50" s="320"/>
      <c r="L50" s="320"/>
      <c r="M50" s="320"/>
      <c r="N50" s="320"/>
      <c r="O50" s="320"/>
      <c r="P50" s="320"/>
      <c r="Q50" s="320"/>
      <c r="R50" s="320"/>
      <c r="S50" s="320"/>
      <c r="T50" s="320"/>
      <c r="U50" s="320"/>
      <c r="V50" s="320"/>
      <c r="W50" s="320"/>
      <c r="X50" s="320"/>
      <c r="Y50" s="320"/>
      <c r="Z50" s="320"/>
    </row>
    <row r="51">
      <c r="A51" s="320"/>
      <c r="B51" s="320"/>
      <c r="C51" s="320"/>
      <c r="D51" s="320"/>
      <c r="E51" s="320"/>
      <c r="F51" s="320"/>
      <c r="G51" s="320"/>
      <c r="H51" s="320"/>
      <c r="I51" s="320"/>
      <c r="J51" s="320"/>
      <c r="K51" s="320"/>
      <c r="L51" s="320"/>
      <c r="M51" s="320"/>
      <c r="N51" s="320"/>
      <c r="O51" s="320"/>
      <c r="P51" s="320"/>
      <c r="Q51" s="320"/>
      <c r="R51" s="320"/>
      <c r="S51" s="320"/>
      <c r="T51" s="320"/>
      <c r="U51" s="320"/>
      <c r="V51" s="320"/>
      <c r="W51" s="320"/>
      <c r="X51" s="320"/>
      <c r="Y51" s="320"/>
      <c r="Z51" s="320"/>
    </row>
    <row r="52">
      <c r="A52" s="320"/>
      <c r="B52" s="320"/>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row>
    <row r="53">
      <c r="A53" s="320"/>
      <c r="B53" s="320"/>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row>
    <row r="54">
      <c r="A54" s="320"/>
      <c r="B54" s="320"/>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row>
    <row r="55">
      <c r="A55" s="320"/>
      <c r="B55" s="320"/>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row>
    <row r="56">
      <c r="A56" s="320"/>
      <c r="B56" s="320"/>
      <c r="C56" s="320"/>
      <c r="D56" s="320"/>
      <c r="E56" s="320"/>
      <c r="F56" s="320"/>
      <c r="G56" s="320"/>
      <c r="H56" s="320"/>
      <c r="I56" s="320"/>
      <c r="J56" s="320"/>
      <c r="K56" s="320"/>
      <c r="L56" s="320"/>
      <c r="M56" s="320"/>
      <c r="N56" s="320"/>
      <c r="O56" s="320"/>
      <c r="P56" s="320"/>
      <c r="Q56" s="320"/>
      <c r="R56" s="320"/>
      <c r="S56" s="320"/>
      <c r="T56" s="320"/>
      <c r="U56" s="320"/>
      <c r="V56" s="320"/>
      <c r="W56" s="320"/>
      <c r="X56" s="320"/>
      <c r="Y56" s="320"/>
      <c r="Z56" s="320"/>
    </row>
    <row r="57">
      <c r="A57" s="320"/>
      <c r="B57" s="320"/>
      <c r="C57" s="320"/>
      <c r="D57" s="320"/>
      <c r="E57" s="320"/>
      <c r="F57" s="320"/>
      <c r="G57" s="320"/>
      <c r="H57" s="320"/>
      <c r="I57" s="320"/>
      <c r="J57" s="320"/>
      <c r="K57" s="320"/>
      <c r="L57" s="320"/>
      <c r="M57" s="320"/>
      <c r="N57" s="320"/>
      <c r="O57" s="320"/>
      <c r="P57" s="320"/>
      <c r="Q57" s="320"/>
      <c r="R57" s="320"/>
      <c r="S57" s="320"/>
      <c r="T57" s="320"/>
      <c r="U57" s="320"/>
      <c r="V57" s="320"/>
      <c r="W57" s="320"/>
      <c r="X57" s="320"/>
      <c r="Y57" s="320"/>
      <c r="Z57" s="320"/>
    </row>
    <row r="58">
      <c r="A58" s="320"/>
      <c r="B58" s="320"/>
      <c r="C58" s="320"/>
      <c r="D58" s="320"/>
      <c r="E58" s="320"/>
      <c r="F58" s="320"/>
      <c r="G58" s="320"/>
      <c r="H58" s="320"/>
      <c r="I58" s="320"/>
      <c r="J58" s="320"/>
      <c r="K58" s="320"/>
      <c r="L58" s="320"/>
      <c r="M58" s="320"/>
      <c r="N58" s="320"/>
      <c r="O58" s="320"/>
      <c r="P58" s="320"/>
      <c r="Q58" s="320"/>
      <c r="R58" s="320"/>
      <c r="S58" s="320"/>
      <c r="T58" s="320"/>
      <c r="U58" s="320"/>
      <c r="V58" s="320"/>
      <c r="W58" s="320"/>
      <c r="X58" s="320"/>
      <c r="Y58" s="320"/>
      <c r="Z58" s="320"/>
    </row>
    <row r="59">
      <c r="A59" s="320"/>
      <c r="B59" s="320"/>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row>
    <row r="60">
      <c r="A60" s="320"/>
      <c r="B60" s="320"/>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row>
    <row r="61">
      <c r="A61" s="320"/>
      <c r="B61" s="320"/>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row>
    <row r="62">
      <c r="A62" s="320"/>
      <c r="B62" s="320"/>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row>
    <row r="63">
      <c r="A63" s="320"/>
      <c r="B63" s="320"/>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row>
    <row r="64">
      <c r="A64" s="320"/>
      <c r="B64" s="320"/>
      <c r="C64" s="320"/>
      <c r="D64" s="320"/>
      <c r="E64" s="320"/>
      <c r="F64" s="320"/>
      <c r="G64" s="320"/>
      <c r="H64" s="320"/>
      <c r="I64" s="320"/>
      <c r="J64" s="320"/>
      <c r="K64" s="320"/>
      <c r="L64" s="320"/>
      <c r="M64" s="320"/>
      <c r="N64" s="320"/>
      <c r="O64" s="320"/>
      <c r="P64" s="320"/>
      <c r="Q64" s="320"/>
      <c r="R64" s="320"/>
      <c r="S64" s="320"/>
      <c r="T64" s="320"/>
      <c r="U64" s="320"/>
      <c r="V64" s="320"/>
      <c r="W64" s="320"/>
      <c r="X64" s="320"/>
      <c r="Y64" s="320"/>
      <c r="Z64" s="320"/>
    </row>
    <row r="65">
      <c r="A65" s="320"/>
      <c r="B65" s="320"/>
      <c r="C65" s="320"/>
      <c r="D65" s="320"/>
      <c r="E65" s="320"/>
      <c r="F65" s="320"/>
      <c r="G65" s="320"/>
      <c r="H65" s="320"/>
      <c r="I65" s="320"/>
      <c r="J65" s="320"/>
      <c r="K65" s="320"/>
      <c r="L65" s="320"/>
      <c r="M65" s="320"/>
      <c r="N65" s="320"/>
      <c r="O65" s="320"/>
      <c r="P65" s="320"/>
      <c r="Q65" s="320"/>
      <c r="R65" s="320"/>
      <c r="S65" s="320"/>
      <c r="T65" s="320"/>
      <c r="U65" s="320"/>
      <c r="V65" s="320"/>
      <c r="W65" s="320"/>
      <c r="X65" s="320"/>
      <c r="Y65" s="320"/>
      <c r="Z65" s="320"/>
    </row>
    <row r="66">
      <c r="A66" s="320"/>
      <c r="B66" s="320"/>
      <c r="C66" s="320"/>
      <c r="D66" s="320"/>
      <c r="E66" s="320"/>
      <c r="F66" s="320"/>
      <c r="G66" s="320"/>
      <c r="H66" s="320"/>
      <c r="I66" s="320"/>
      <c r="J66" s="320"/>
      <c r="K66" s="320"/>
      <c r="L66" s="320"/>
      <c r="M66" s="320"/>
      <c r="N66" s="320"/>
      <c r="O66" s="320"/>
      <c r="P66" s="320"/>
      <c r="Q66" s="320"/>
      <c r="R66" s="320"/>
      <c r="S66" s="320"/>
      <c r="T66" s="320"/>
      <c r="U66" s="320"/>
      <c r="V66" s="320"/>
      <c r="W66" s="320"/>
      <c r="X66" s="320"/>
      <c r="Y66" s="320"/>
      <c r="Z66" s="320"/>
    </row>
    <row r="67">
      <c r="A67" s="320"/>
      <c r="B67" s="320"/>
      <c r="C67" s="320"/>
      <c r="D67" s="320"/>
      <c r="E67" s="320"/>
      <c r="F67" s="320"/>
      <c r="G67" s="320"/>
      <c r="H67" s="320"/>
      <c r="I67" s="320"/>
      <c r="J67" s="320"/>
      <c r="K67" s="320"/>
      <c r="L67" s="320"/>
      <c r="M67" s="320"/>
      <c r="N67" s="320"/>
      <c r="O67" s="320"/>
      <c r="P67" s="320"/>
      <c r="Q67" s="320"/>
      <c r="R67" s="320"/>
      <c r="S67" s="320"/>
      <c r="T67" s="320"/>
      <c r="U67" s="320"/>
      <c r="V67" s="320"/>
      <c r="W67" s="320"/>
      <c r="X67" s="320"/>
      <c r="Y67" s="320"/>
      <c r="Z67" s="320"/>
    </row>
    <row r="68">
      <c r="A68" s="320"/>
      <c r="B68" s="320"/>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row>
    <row r="69">
      <c r="A69" s="320"/>
      <c r="B69" s="320"/>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row>
    <row r="70">
      <c r="A70" s="320"/>
      <c r="B70" s="320"/>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row>
    <row r="71">
      <c r="A71" s="320"/>
      <c r="B71" s="320"/>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row>
    <row r="72">
      <c r="A72" s="320"/>
      <c r="B72" s="320"/>
      <c r="C72" s="320"/>
      <c r="D72" s="320"/>
      <c r="E72" s="320"/>
      <c r="F72" s="320"/>
      <c r="G72" s="320"/>
      <c r="H72" s="320"/>
      <c r="I72" s="320"/>
      <c r="J72" s="320"/>
      <c r="K72" s="320"/>
      <c r="L72" s="320"/>
      <c r="M72" s="320"/>
      <c r="N72" s="320"/>
      <c r="O72" s="320"/>
      <c r="P72" s="320"/>
      <c r="Q72" s="320"/>
      <c r="R72" s="320"/>
      <c r="S72" s="320"/>
      <c r="T72" s="320"/>
      <c r="U72" s="320"/>
      <c r="V72" s="320"/>
      <c r="W72" s="320"/>
      <c r="X72" s="320"/>
      <c r="Y72" s="320"/>
      <c r="Z72" s="320"/>
    </row>
    <row r="73">
      <c r="A73" s="320"/>
      <c r="B73" s="320"/>
      <c r="C73" s="320"/>
      <c r="D73" s="320"/>
      <c r="E73" s="320"/>
      <c r="F73" s="320"/>
      <c r="G73" s="320"/>
      <c r="H73" s="320"/>
      <c r="I73" s="320"/>
      <c r="J73" s="320"/>
      <c r="K73" s="320"/>
      <c r="L73" s="320"/>
      <c r="M73" s="320"/>
      <c r="N73" s="320"/>
      <c r="O73" s="320"/>
      <c r="P73" s="320"/>
      <c r="Q73" s="320"/>
      <c r="R73" s="320"/>
      <c r="S73" s="320"/>
      <c r="T73" s="320"/>
      <c r="U73" s="320"/>
      <c r="V73" s="320"/>
      <c r="W73" s="320"/>
      <c r="X73" s="320"/>
      <c r="Y73" s="320"/>
      <c r="Z73" s="320"/>
    </row>
    <row r="74">
      <c r="A74" s="320"/>
      <c r="B74" s="320"/>
      <c r="C74" s="320"/>
      <c r="D74" s="320"/>
      <c r="E74" s="320"/>
      <c r="F74" s="320"/>
      <c r="G74" s="320"/>
      <c r="H74" s="320"/>
      <c r="I74" s="320"/>
      <c r="J74" s="320"/>
      <c r="K74" s="320"/>
      <c r="L74" s="320"/>
      <c r="M74" s="320"/>
      <c r="N74" s="320"/>
      <c r="O74" s="320"/>
      <c r="P74" s="320"/>
      <c r="Q74" s="320"/>
      <c r="R74" s="320"/>
      <c r="S74" s="320"/>
      <c r="T74" s="320"/>
      <c r="U74" s="320"/>
      <c r="V74" s="320"/>
      <c r="W74" s="320"/>
      <c r="X74" s="320"/>
      <c r="Y74" s="320"/>
      <c r="Z74" s="320"/>
    </row>
    <row r="75">
      <c r="A75" s="320"/>
      <c r="B75" s="320"/>
      <c r="C75" s="320"/>
      <c r="D75" s="320"/>
      <c r="E75" s="320"/>
      <c r="F75" s="320"/>
      <c r="G75" s="320"/>
      <c r="H75" s="320"/>
      <c r="I75" s="320"/>
      <c r="J75" s="320"/>
      <c r="K75" s="320"/>
      <c r="L75" s="320"/>
      <c r="M75" s="320"/>
      <c r="N75" s="320"/>
      <c r="O75" s="320"/>
      <c r="P75" s="320"/>
      <c r="Q75" s="320"/>
      <c r="R75" s="320"/>
      <c r="S75" s="320"/>
      <c r="T75" s="320"/>
      <c r="U75" s="320"/>
      <c r="V75" s="320"/>
      <c r="W75" s="320"/>
      <c r="X75" s="320"/>
      <c r="Y75" s="320"/>
      <c r="Z75" s="320"/>
    </row>
    <row r="76">
      <c r="A76" s="320"/>
      <c r="B76" s="320"/>
      <c r="C76" s="320"/>
      <c r="D76" s="320"/>
      <c r="E76" s="320"/>
      <c r="F76" s="320"/>
      <c r="G76" s="320"/>
      <c r="H76" s="320"/>
      <c r="I76" s="320"/>
      <c r="J76" s="320"/>
      <c r="K76" s="320"/>
      <c r="L76" s="320"/>
      <c r="M76" s="320"/>
      <c r="N76" s="320"/>
      <c r="O76" s="320"/>
      <c r="P76" s="320"/>
      <c r="Q76" s="320"/>
      <c r="R76" s="320"/>
      <c r="S76" s="320"/>
      <c r="T76" s="320"/>
      <c r="U76" s="320"/>
      <c r="V76" s="320"/>
      <c r="W76" s="320"/>
      <c r="X76" s="320"/>
      <c r="Y76" s="320"/>
      <c r="Z76" s="320"/>
    </row>
    <row r="77">
      <c r="A77" s="320"/>
      <c r="B77" s="320"/>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row>
    <row r="78">
      <c r="A78" s="320"/>
      <c r="B78" s="320"/>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row>
    <row r="79">
      <c r="A79" s="320"/>
      <c r="B79" s="320"/>
      <c r="C79" s="320"/>
      <c r="D79" s="320"/>
      <c r="E79" s="320"/>
      <c r="F79" s="320"/>
      <c r="G79" s="320"/>
      <c r="H79" s="320"/>
      <c r="I79" s="320"/>
      <c r="J79" s="320"/>
      <c r="K79" s="320"/>
      <c r="L79" s="320"/>
      <c r="M79" s="320"/>
      <c r="N79" s="320"/>
      <c r="O79" s="320"/>
      <c r="P79" s="320"/>
      <c r="Q79" s="320"/>
      <c r="R79" s="320"/>
      <c r="S79" s="320"/>
      <c r="T79" s="320"/>
      <c r="U79" s="320"/>
      <c r="V79" s="320"/>
      <c r="W79" s="320"/>
      <c r="X79" s="320"/>
      <c r="Y79" s="320"/>
      <c r="Z79" s="320"/>
    </row>
    <row r="80">
      <c r="A80" s="320"/>
      <c r="B80" s="320"/>
      <c r="C80" s="320"/>
      <c r="D80" s="320"/>
      <c r="E80" s="320"/>
      <c r="F80" s="320"/>
      <c r="G80" s="320"/>
      <c r="H80" s="320"/>
      <c r="I80" s="320"/>
      <c r="J80" s="320"/>
      <c r="K80" s="320"/>
      <c r="L80" s="320"/>
      <c r="M80" s="320"/>
      <c r="N80" s="320"/>
      <c r="O80" s="320"/>
      <c r="P80" s="320"/>
      <c r="Q80" s="320"/>
      <c r="R80" s="320"/>
      <c r="S80" s="320"/>
      <c r="T80" s="320"/>
      <c r="U80" s="320"/>
      <c r="V80" s="320"/>
      <c r="W80" s="320"/>
      <c r="X80" s="320"/>
      <c r="Y80" s="320"/>
      <c r="Z80" s="320"/>
    </row>
    <row r="81">
      <c r="A81" s="320"/>
      <c r="B81" s="320"/>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row>
    <row r="82">
      <c r="A82" s="320"/>
      <c r="B82" s="320"/>
      <c r="C82" s="320"/>
      <c r="D82" s="320"/>
      <c r="E82" s="320"/>
      <c r="F82" s="320"/>
      <c r="G82" s="320"/>
      <c r="H82" s="320"/>
      <c r="I82" s="320"/>
      <c r="J82" s="320"/>
      <c r="K82" s="320"/>
      <c r="L82" s="320"/>
      <c r="M82" s="320"/>
      <c r="N82" s="320"/>
      <c r="O82" s="320"/>
      <c r="P82" s="320"/>
      <c r="Q82" s="320"/>
      <c r="R82" s="320"/>
      <c r="S82" s="320"/>
      <c r="T82" s="320"/>
      <c r="U82" s="320"/>
      <c r="V82" s="320"/>
      <c r="W82" s="320"/>
      <c r="X82" s="320"/>
      <c r="Y82" s="320"/>
      <c r="Z82" s="320"/>
    </row>
    <row r="83">
      <c r="A83" s="320"/>
      <c r="B83" s="320"/>
      <c r="C83" s="320"/>
      <c r="D83" s="320"/>
      <c r="E83" s="320"/>
      <c r="F83" s="320"/>
      <c r="G83" s="320"/>
      <c r="H83" s="320"/>
      <c r="I83" s="320"/>
      <c r="J83" s="320"/>
      <c r="K83" s="320"/>
      <c r="L83" s="320"/>
      <c r="M83" s="320"/>
      <c r="N83" s="320"/>
      <c r="O83" s="320"/>
      <c r="P83" s="320"/>
      <c r="Q83" s="320"/>
      <c r="R83" s="320"/>
      <c r="S83" s="320"/>
      <c r="T83" s="320"/>
      <c r="U83" s="320"/>
      <c r="V83" s="320"/>
      <c r="W83" s="320"/>
      <c r="X83" s="320"/>
      <c r="Y83" s="320"/>
      <c r="Z83" s="320"/>
    </row>
    <row r="84">
      <c r="A84" s="320"/>
      <c r="B84" s="320"/>
      <c r="C84" s="320"/>
      <c r="D84" s="320"/>
      <c r="E84" s="320"/>
      <c r="F84" s="320"/>
      <c r="G84" s="320"/>
      <c r="H84" s="320"/>
      <c r="I84" s="320"/>
      <c r="J84" s="320"/>
      <c r="K84" s="320"/>
      <c r="L84" s="320"/>
      <c r="M84" s="320"/>
      <c r="N84" s="320"/>
      <c r="O84" s="320"/>
      <c r="P84" s="320"/>
      <c r="Q84" s="320"/>
      <c r="R84" s="320"/>
      <c r="S84" s="320"/>
      <c r="T84" s="320"/>
      <c r="U84" s="320"/>
      <c r="V84" s="320"/>
      <c r="W84" s="320"/>
      <c r="X84" s="320"/>
      <c r="Y84" s="320"/>
      <c r="Z84" s="320"/>
    </row>
    <row r="85">
      <c r="A85" s="320"/>
      <c r="B85" s="320"/>
      <c r="C85" s="320"/>
      <c r="D85" s="320"/>
      <c r="E85" s="320"/>
      <c r="F85" s="320"/>
      <c r="G85" s="320"/>
      <c r="H85" s="320"/>
      <c r="I85" s="320"/>
      <c r="J85" s="320"/>
      <c r="K85" s="320"/>
      <c r="L85" s="320"/>
      <c r="M85" s="320"/>
      <c r="N85" s="320"/>
      <c r="O85" s="320"/>
      <c r="P85" s="320"/>
      <c r="Q85" s="320"/>
      <c r="R85" s="320"/>
      <c r="S85" s="320"/>
      <c r="T85" s="320"/>
      <c r="U85" s="320"/>
      <c r="V85" s="320"/>
      <c r="W85" s="320"/>
      <c r="X85" s="320"/>
      <c r="Y85" s="320"/>
      <c r="Z85" s="320"/>
    </row>
    <row r="86">
      <c r="A86" s="320"/>
      <c r="B86" s="320"/>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row>
    <row r="87">
      <c r="A87" s="320"/>
      <c r="B87" s="320"/>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row>
    <row r="88">
      <c r="A88" s="320"/>
      <c r="B88" s="320"/>
      <c r="C88" s="320"/>
      <c r="D88" s="320"/>
      <c r="E88" s="320"/>
      <c r="F88" s="320"/>
      <c r="G88" s="320"/>
      <c r="H88" s="320"/>
      <c r="I88" s="320"/>
      <c r="J88" s="320"/>
      <c r="K88" s="320"/>
      <c r="L88" s="320"/>
      <c r="M88" s="320"/>
      <c r="N88" s="320"/>
      <c r="O88" s="320"/>
      <c r="P88" s="320"/>
      <c r="Q88" s="320"/>
      <c r="R88" s="320"/>
      <c r="S88" s="320"/>
      <c r="T88" s="320"/>
      <c r="U88" s="320"/>
      <c r="V88" s="320"/>
      <c r="W88" s="320"/>
      <c r="X88" s="320"/>
      <c r="Y88" s="320"/>
      <c r="Z88" s="320"/>
    </row>
    <row r="89">
      <c r="A89" s="320"/>
      <c r="B89" s="320"/>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row>
    <row r="90">
      <c r="A90" s="320"/>
      <c r="B90" s="320"/>
      <c r="C90" s="320"/>
      <c r="D90" s="320"/>
      <c r="E90" s="320"/>
      <c r="F90" s="320"/>
      <c r="G90" s="320"/>
      <c r="H90" s="320"/>
      <c r="I90" s="320"/>
      <c r="J90" s="320"/>
      <c r="K90" s="320"/>
      <c r="L90" s="320"/>
      <c r="M90" s="320"/>
      <c r="N90" s="320"/>
      <c r="O90" s="320"/>
      <c r="P90" s="320"/>
      <c r="Q90" s="320"/>
      <c r="R90" s="320"/>
      <c r="S90" s="320"/>
      <c r="T90" s="320"/>
      <c r="U90" s="320"/>
      <c r="V90" s="320"/>
      <c r="W90" s="320"/>
      <c r="X90" s="320"/>
      <c r="Y90" s="320"/>
      <c r="Z90" s="320"/>
    </row>
    <row r="91">
      <c r="A91" s="320"/>
      <c r="B91" s="320"/>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row>
    <row r="92">
      <c r="A92" s="320"/>
      <c r="B92" s="320"/>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row>
    <row r="93">
      <c r="A93" s="320"/>
      <c r="B93" s="320"/>
      <c r="C93" s="320"/>
      <c r="D93" s="320"/>
      <c r="E93" s="320"/>
      <c r="F93" s="320"/>
      <c r="G93" s="320"/>
      <c r="H93" s="320"/>
      <c r="I93" s="320"/>
      <c r="J93" s="320"/>
      <c r="K93" s="320"/>
      <c r="L93" s="320"/>
      <c r="M93" s="320"/>
      <c r="N93" s="320"/>
      <c r="O93" s="320"/>
      <c r="P93" s="320"/>
      <c r="Q93" s="320"/>
      <c r="R93" s="320"/>
      <c r="S93" s="320"/>
      <c r="T93" s="320"/>
      <c r="U93" s="320"/>
      <c r="V93" s="320"/>
      <c r="W93" s="320"/>
      <c r="X93" s="320"/>
      <c r="Y93" s="320"/>
      <c r="Z93" s="320"/>
    </row>
    <row r="94">
      <c r="A94" s="320"/>
      <c r="B94" s="320"/>
      <c r="C94" s="320"/>
      <c r="D94" s="320"/>
      <c r="E94" s="320"/>
      <c r="F94" s="320"/>
      <c r="G94" s="320"/>
      <c r="H94" s="320"/>
      <c r="I94" s="320"/>
      <c r="J94" s="320"/>
      <c r="K94" s="320"/>
      <c r="L94" s="320"/>
      <c r="M94" s="320"/>
      <c r="N94" s="320"/>
      <c r="O94" s="320"/>
      <c r="P94" s="320"/>
      <c r="Q94" s="320"/>
      <c r="R94" s="320"/>
      <c r="S94" s="320"/>
      <c r="T94" s="320"/>
      <c r="U94" s="320"/>
      <c r="V94" s="320"/>
      <c r="W94" s="320"/>
      <c r="X94" s="320"/>
      <c r="Y94" s="320"/>
      <c r="Z94" s="320"/>
    </row>
    <row r="95">
      <c r="A95" s="320"/>
      <c r="B95" s="320"/>
      <c r="C95" s="320"/>
      <c r="D95" s="320"/>
      <c r="E95" s="320"/>
      <c r="F95" s="320"/>
      <c r="G95" s="320"/>
      <c r="H95" s="320"/>
      <c r="I95" s="320"/>
      <c r="J95" s="320"/>
      <c r="K95" s="320"/>
      <c r="L95" s="320"/>
      <c r="M95" s="320"/>
      <c r="N95" s="320"/>
      <c r="O95" s="320"/>
      <c r="P95" s="320"/>
      <c r="Q95" s="320"/>
      <c r="R95" s="320"/>
      <c r="S95" s="320"/>
      <c r="T95" s="320"/>
      <c r="U95" s="320"/>
      <c r="V95" s="320"/>
      <c r="W95" s="320"/>
      <c r="X95" s="320"/>
      <c r="Y95" s="320"/>
      <c r="Z95" s="320"/>
    </row>
    <row r="96">
      <c r="A96" s="320"/>
      <c r="B96" s="320"/>
      <c r="C96" s="320"/>
      <c r="D96" s="320"/>
      <c r="E96" s="320"/>
      <c r="F96" s="320"/>
      <c r="G96" s="320"/>
      <c r="H96" s="320"/>
      <c r="I96" s="320"/>
      <c r="J96" s="320"/>
      <c r="K96" s="320"/>
      <c r="L96" s="320"/>
      <c r="M96" s="320"/>
      <c r="N96" s="320"/>
      <c r="O96" s="320"/>
      <c r="P96" s="320"/>
      <c r="Q96" s="320"/>
      <c r="R96" s="320"/>
      <c r="S96" s="320"/>
      <c r="T96" s="320"/>
      <c r="U96" s="320"/>
      <c r="V96" s="320"/>
      <c r="W96" s="320"/>
      <c r="X96" s="320"/>
      <c r="Y96" s="320"/>
      <c r="Z96" s="320"/>
    </row>
    <row r="97">
      <c r="A97" s="320"/>
      <c r="B97" s="320"/>
      <c r="C97" s="320"/>
      <c r="D97" s="320"/>
      <c r="E97" s="320"/>
      <c r="F97" s="320"/>
      <c r="G97" s="320"/>
      <c r="H97" s="320"/>
      <c r="I97" s="320"/>
      <c r="J97" s="320"/>
      <c r="K97" s="320"/>
      <c r="L97" s="320"/>
      <c r="M97" s="320"/>
      <c r="N97" s="320"/>
      <c r="O97" s="320"/>
      <c r="P97" s="320"/>
      <c r="Q97" s="320"/>
      <c r="R97" s="320"/>
      <c r="S97" s="320"/>
      <c r="T97" s="320"/>
      <c r="U97" s="320"/>
      <c r="V97" s="320"/>
      <c r="W97" s="320"/>
      <c r="X97" s="320"/>
      <c r="Y97" s="320"/>
      <c r="Z97" s="320"/>
    </row>
    <row r="98">
      <c r="A98" s="320"/>
      <c r="B98" s="320"/>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row>
    <row r="99">
      <c r="A99" s="320"/>
      <c r="B99" s="320"/>
      <c r="C99" s="320"/>
      <c r="D99" s="320"/>
      <c r="E99" s="320"/>
      <c r="F99" s="320"/>
      <c r="G99" s="320"/>
      <c r="H99" s="320"/>
      <c r="I99" s="320"/>
      <c r="J99" s="320"/>
      <c r="K99" s="320"/>
      <c r="L99" s="320"/>
      <c r="M99" s="320"/>
      <c r="N99" s="320"/>
      <c r="O99" s="320"/>
      <c r="P99" s="320"/>
      <c r="Q99" s="320"/>
      <c r="R99" s="320"/>
      <c r="S99" s="320"/>
      <c r="T99" s="320"/>
      <c r="U99" s="320"/>
      <c r="V99" s="320"/>
      <c r="W99" s="320"/>
      <c r="X99" s="320"/>
      <c r="Y99" s="320"/>
      <c r="Z99" s="320"/>
    </row>
    <row r="100">
      <c r="A100" s="320"/>
      <c r="B100" s="320"/>
      <c r="C100" s="320"/>
      <c r="D100" s="320"/>
      <c r="E100" s="320"/>
      <c r="F100" s="320"/>
      <c r="G100" s="320"/>
      <c r="H100" s="320"/>
      <c r="I100" s="320"/>
      <c r="J100" s="320"/>
      <c r="K100" s="320"/>
      <c r="L100" s="320"/>
      <c r="M100" s="320"/>
      <c r="N100" s="320"/>
      <c r="O100" s="320"/>
      <c r="P100" s="320"/>
      <c r="Q100" s="320"/>
      <c r="R100" s="320"/>
      <c r="S100" s="320"/>
      <c r="T100" s="320"/>
      <c r="U100" s="320"/>
      <c r="V100" s="320"/>
      <c r="W100" s="320"/>
      <c r="X100" s="320"/>
      <c r="Y100" s="320"/>
      <c r="Z100" s="320"/>
    </row>
    <row r="101">
      <c r="A101" s="320"/>
      <c r="B101" s="320"/>
      <c r="C101" s="320"/>
      <c r="D101" s="320"/>
      <c r="E101" s="320"/>
      <c r="F101" s="320"/>
      <c r="G101" s="320"/>
      <c r="H101" s="320"/>
      <c r="I101" s="320"/>
      <c r="J101" s="320"/>
      <c r="K101" s="320"/>
      <c r="L101" s="320"/>
      <c r="M101" s="320"/>
      <c r="N101" s="320"/>
      <c r="O101" s="320"/>
      <c r="P101" s="320"/>
      <c r="Q101" s="320"/>
      <c r="R101" s="320"/>
      <c r="S101" s="320"/>
      <c r="T101" s="320"/>
      <c r="U101" s="320"/>
      <c r="V101" s="320"/>
      <c r="W101" s="320"/>
      <c r="X101" s="320"/>
      <c r="Y101" s="320"/>
      <c r="Z101" s="320"/>
    </row>
    <row r="102">
      <c r="A102" s="320"/>
      <c r="B102" s="320"/>
      <c r="C102" s="320"/>
      <c r="D102" s="320"/>
      <c r="E102" s="320"/>
      <c r="F102" s="320"/>
      <c r="G102" s="320"/>
      <c r="H102" s="320"/>
      <c r="I102" s="320"/>
      <c r="J102" s="320"/>
      <c r="K102" s="320"/>
      <c r="L102" s="320"/>
      <c r="M102" s="320"/>
      <c r="N102" s="320"/>
      <c r="O102" s="320"/>
      <c r="P102" s="320"/>
      <c r="Q102" s="320"/>
      <c r="R102" s="320"/>
      <c r="S102" s="320"/>
      <c r="T102" s="320"/>
      <c r="U102" s="320"/>
      <c r="V102" s="320"/>
      <c r="W102" s="320"/>
      <c r="X102" s="320"/>
      <c r="Y102" s="320"/>
      <c r="Z102" s="320"/>
    </row>
    <row r="103">
      <c r="A103" s="320"/>
      <c r="B103" s="320"/>
      <c r="C103" s="320"/>
      <c r="D103" s="320"/>
      <c r="E103" s="320"/>
      <c r="F103" s="320"/>
      <c r="G103" s="320"/>
      <c r="H103" s="320"/>
      <c r="I103" s="320"/>
      <c r="J103" s="320"/>
      <c r="K103" s="320"/>
      <c r="L103" s="320"/>
      <c r="M103" s="320"/>
      <c r="N103" s="320"/>
      <c r="O103" s="320"/>
      <c r="P103" s="320"/>
      <c r="Q103" s="320"/>
      <c r="R103" s="320"/>
      <c r="S103" s="320"/>
      <c r="T103" s="320"/>
      <c r="U103" s="320"/>
      <c r="V103" s="320"/>
      <c r="W103" s="320"/>
      <c r="X103" s="320"/>
      <c r="Y103" s="320"/>
      <c r="Z103" s="320"/>
    </row>
    <row r="104">
      <c r="A104" s="320"/>
      <c r="B104" s="320"/>
      <c r="C104" s="320"/>
      <c r="D104" s="320"/>
      <c r="E104" s="320"/>
      <c r="F104" s="320"/>
      <c r="G104" s="320"/>
      <c r="H104" s="320"/>
      <c r="I104" s="320"/>
      <c r="J104" s="320"/>
      <c r="K104" s="320"/>
      <c r="L104" s="320"/>
      <c r="M104" s="320"/>
      <c r="N104" s="320"/>
      <c r="O104" s="320"/>
      <c r="P104" s="320"/>
      <c r="Q104" s="320"/>
      <c r="R104" s="320"/>
      <c r="S104" s="320"/>
      <c r="T104" s="320"/>
      <c r="U104" s="320"/>
      <c r="V104" s="320"/>
      <c r="W104" s="320"/>
      <c r="X104" s="320"/>
      <c r="Y104" s="320"/>
      <c r="Z104" s="320"/>
    </row>
    <row r="105">
      <c r="A105" s="320"/>
      <c r="B105" s="320"/>
      <c r="C105" s="320"/>
      <c r="D105" s="320"/>
      <c r="E105" s="320"/>
      <c r="F105" s="320"/>
      <c r="G105" s="320"/>
      <c r="H105" s="320"/>
      <c r="I105" s="320"/>
      <c r="J105" s="320"/>
      <c r="K105" s="320"/>
      <c r="L105" s="320"/>
      <c r="M105" s="320"/>
      <c r="N105" s="320"/>
      <c r="O105" s="320"/>
      <c r="P105" s="320"/>
      <c r="Q105" s="320"/>
      <c r="R105" s="320"/>
      <c r="S105" s="320"/>
      <c r="T105" s="320"/>
      <c r="U105" s="320"/>
      <c r="V105" s="320"/>
      <c r="W105" s="320"/>
      <c r="X105" s="320"/>
      <c r="Y105" s="320"/>
      <c r="Z105" s="320"/>
    </row>
    <row r="106">
      <c r="A106" s="320"/>
      <c r="B106" s="320"/>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c r="Z106" s="320"/>
    </row>
    <row r="107">
      <c r="A107" s="320"/>
      <c r="B107" s="320"/>
      <c r="C107" s="320"/>
      <c r="D107" s="320"/>
      <c r="E107" s="320"/>
      <c r="F107" s="320"/>
      <c r="G107" s="320"/>
      <c r="H107" s="320"/>
      <c r="I107" s="320"/>
      <c r="J107" s="320"/>
      <c r="K107" s="320"/>
      <c r="L107" s="320"/>
      <c r="M107" s="320"/>
      <c r="N107" s="320"/>
      <c r="O107" s="320"/>
      <c r="P107" s="320"/>
      <c r="Q107" s="320"/>
      <c r="R107" s="320"/>
      <c r="S107" s="320"/>
      <c r="T107" s="320"/>
      <c r="U107" s="320"/>
      <c r="V107" s="320"/>
      <c r="W107" s="320"/>
      <c r="X107" s="320"/>
      <c r="Y107" s="320"/>
      <c r="Z107" s="320"/>
    </row>
    <row r="108">
      <c r="A108" s="320"/>
      <c r="B108" s="320"/>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c r="Z108" s="320"/>
    </row>
    <row r="109">
      <c r="A109" s="320"/>
      <c r="B109" s="320"/>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row>
    <row r="110">
      <c r="A110" s="320"/>
      <c r="B110" s="320"/>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row>
    <row r="111">
      <c r="A111" s="320"/>
      <c r="B111" s="320"/>
      <c r="C111" s="320"/>
      <c r="D111" s="320"/>
      <c r="E111" s="320"/>
      <c r="F111" s="320"/>
      <c r="G111" s="320"/>
      <c r="H111" s="320"/>
      <c r="I111" s="320"/>
      <c r="J111" s="320"/>
      <c r="K111" s="320"/>
      <c r="L111" s="320"/>
      <c r="M111" s="320"/>
      <c r="N111" s="320"/>
      <c r="O111" s="320"/>
      <c r="P111" s="320"/>
      <c r="Q111" s="320"/>
      <c r="R111" s="320"/>
      <c r="S111" s="320"/>
      <c r="T111" s="320"/>
      <c r="U111" s="320"/>
      <c r="V111" s="320"/>
      <c r="W111" s="320"/>
      <c r="X111" s="320"/>
      <c r="Y111" s="320"/>
      <c r="Z111" s="320"/>
    </row>
    <row r="112">
      <c r="A112" s="320"/>
      <c r="B112" s="320"/>
      <c r="C112" s="320"/>
      <c r="D112" s="320"/>
      <c r="E112" s="320"/>
      <c r="F112" s="320"/>
      <c r="G112" s="320"/>
      <c r="H112" s="320"/>
      <c r="I112" s="320"/>
      <c r="J112" s="320"/>
      <c r="K112" s="320"/>
      <c r="L112" s="320"/>
      <c r="M112" s="320"/>
      <c r="N112" s="320"/>
      <c r="O112" s="320"/>
      <c r="P112" s="320"/>
      <c r="Q112" s="320"/>
      <c r="R112" s="320"/>
      <c r="S112" s="320"/>
      <c r="T112" s="320"/>
      <c r="U112" s="320"/>
      <c r="V112" s="320"/>
      <c r="W112" s="320"/>
      <c r="X112" s="320"/>
      <c r="Y112" s="320"/>
      <c r="Z112" s="320"/>
    </row>
    <row r="113">
      <c r="A113" s="320"/>
      <c r="B113" s="320"/>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row>
    <row r="114">
      <c r="A114" s="320"/>
      <c r="B114" s="320"/>
      <c r="C114" s="320"/>
      <c r="D114" s="320"/>
      <c r="E114" s="320"/>
      <c r="F114" s="320"/>
      <c r="G114" s="320"/>
      <c r="H114" s="320"/>
      <c r="I114" s="320"/>
      <c r="J114" s="320"/>
      <c r="K114" s="320"/>
      <c r="L114" s="320"/>
      <c r="M114" s="320"/>
      <c r="N114" s="320"/>
      <c r="O114" s="320"/>
      <c r="P114" s="320"/>
      <c r="Q114" s="320"/>
      <c r="R114" s="320"/>
      <c r="S114" s="320"/>
      <c r="T114" s="320"/>
      <c r="U114" s="320"/>
      <c r="V114" s="320"/>
      <c r="W114" s="320"/>
      <c r="X114" s="320"/>
      <c r="Y114" s="320"/>
      <c r="Z114" s="320"/>
    </row>
    <row r="115">
      <c r="A115" s="320"/>
      <c r="B115" s="320"/>
      <c r="C115" s="320"/>
      <c r="D115" s="320"/>
      <c r="E115" s="320"/>
      <c r="F115" s="320"/>
      <c r="G115" s="320"/>
      <c r="H115" s="320"/>
      <c r="I115" s="320"/>
      <c r="J115" s="320"/>
      <c r="K115" s="320"/>
      <c r="L115" s="320"/>
      <c r="M115" s="320"/>
      <c r="N115" s="320"/>
      <c r="O115" s="320"/>
      <c r="P115" s="320"/>
      <c r="Q115" s="320"/>
      <c r="R115" s="320"/>
      <c r="S115" s="320"/>
      <c r="T115" s="320"/>
      <c r="U115" s="320"/>
      <c r="V115" s="320"/>
      <c r="W115" s="320"/>
      <c r="X115" s="320"/>
      <c r="Y115" s="320"/>
      <c r="Z115" s="320"/>
    </row>
    <row r="116">
      <c r="A116" s="320"/>
      <c r="B116" s="320"/>
      <c r="C116" s="320"/>
      <c r="D116" s="320"/>
      <c r="E116" s="320"/>
      <c r="F116" s="320"/>
      <c r="G116" s="320"/>
      <c r="H116" s="320"/>
      <c r="I116" s="320"/>
      <c r="J116" s="320"/>
      <c r="K116" s="320"/>
      <c r="L116" s="320"/>
      <c r="M116" s="320"/>
      <c r="N116" s="320"/>
      <c r="O116" s="320"/>
      <c r="P116" s="320"/>
      <c r="Q116" s="320"/>
      <c r="R116" s="320"/>
      <c r="S116" s="320"/>
      <c r="T116" s="320"/>
      <c r="U116" s="320"/>
      <c r="V116" s="320"/>
      <c r="W116" s="320"/>
      <c r="X116" s="320"/>
      <c r="Y116" s="320"/>
      <c r="Z116" s="320"/>
    </row>
    <row r="117">
      <c r="A117" s="320"/>
      <c r="B117" s="320"/>
      <c r="C117" s="320"/>
      <c r="D117" s="320"/>
      <c r="E117" s="320"/>
      <c r="F117" s="320"/>
      <c r="G117" s="320"/>
      <c r="H117" s="320"/>
      <c r="I117" s="320"/>
      <c r="J117" s="320"/>
      <c r="K117" s="320"/>
      <c r="L117" s="320"/>
      <c r="M117" s="320"/>
      <c r="N117" s="320"/>
      <c r="O117" s="320"/>
      <c r="P117" s="320"/>
      <c r="Q117" s="320"/>
      <c r="R117" s="320"/>
      <c r="S117" s="320"/>
      <c r="T117" s="320"/>
      <c r="U117" s="320"/>
      <c r="V117" s="320"/>
      <c r="W117" s="320"/>
      <c r="X117" s="320"/>
      <c r="Y117" s="320"/>
      <c r="Z117" s="320"/>
    </row>
    <row r="118">
      <c r="A118" s="320"/>
      <c r="B118" s="320"/>
      <c r="C118" s="320"/>
      <c r="D118" s="320"/>
      <c r="E118" s="320"/>
      <c r="F118" s="320"/>
      <c r="G118" s="320"/>
      <c r="H118" s="320"/>
      <c r="I118" s="320"/>
      <c r="J118" s="320"/>
      <c r="K118" s="320"/>
      <c r="L118" s="320"/>
      <c r="M118" s="320"/>
      <c r="N118" s="320"/>
      <c r="O118" s="320"/>
      <c r="P118" s="320"/>
      <c r="Q118" s="320"/>
      <c r="R118" s="320"/>
      <c r="S118" s="320"/>
      <c r="T118" s="320"/>
      <c r="U118" s="320"/>
      <c r="V118" s="320"/>
      <c r="W118" s="320"/>
      <c r="X118" s="320"/>
      <c r="Y118" s="320"/>
      <c r="Z118" s="320"/>
    </row>
    <row r="119">
      <c r="A119" s="320"/>
      <c r="B119" s="320"/>
      <c r="C119" s="320"/>
      <c r="D119" s="320"/>
      <c r="E119" s="320"/>
      <c r="F119" s="320"/>
      <c r="G119" s="320"/>
      <c r="H119" s="320"/>
      <c r="I119" s="320"/>
      <c r="J119" s="320"/>
      <c r="K119" s="320"/>
      <c r="L119" s="320"/>
      <c r="M119" s="320"/>
      <c r="N119" s="320"/>
      <c r="O119" s="320"/>
      <c r="P119" s="320"/>
      <c r="Q119" s="320"/>
      <c r="R119" s="320"/>
      <c r="S119" s="320"/>
      <c r="T119" s="320"/>
      <c r="U119" s="320"/>
      <c r="V119" s="320"/>
      <c r="W119" s="320"/>
      <c r="X119" s="320"/>
      <c r="Y119" s="320"/>
      <c r="Z119" s="320"/>
    </row>
    <row r="120">
      <c r="A120" s="320"/>
      <c r="B120" s="320"/>
      <c r="C120" s="320"/>
      <c r="D120" s="320"/>
      <c r="E120" s="320"/>
      <c r="F120" s="320"/>
      <c r="G120" s="320"/>
      <c r="H120" s="320"/>
      <c r="I120" s="320"/>
      <c r="J120" s="320"/>
      <c r="K120" s="320"/>
      <c r="L120" s="320"/>
      <c r="M120" s="320"/>
      <c r="N120" s="320"/>
      <c r="O120" s="320"/>
      <c r="P120" s="320"/>
      <c r="Q120" s="320"/>
      <c r="R120" s="320"/>
      <c r="S120" s="320"/>
      <c r="T120" s="320"/>
      <c r="U120" s="320"/>
      <c r="V120" s="320"/>
      <c r="W120" s="320"/>
      <c r="X120" s="320"/>
      <c r="Y120" s="320"/>
      <c r="Z120" s="320"/>
    </row>
    <row r="121">
      <c r="A121" s="320"/>
      <c r="B121" s="320"/>
      <c r="C121" s="320"/>
      <c r="D121" s="320"/>
      <c r="E121" s="320"/>
      <c r="F121" s="320"/>
      <c r="G121" s="320"/>
      <c r="H121" s="320"/>
      <c r="I121" s="320"/>
      <c r="J121" s="320"/>
      <c r="K121" s="320"/>
      <c r="L121" s="320"/>
      <c r="M121" s="320"/>
      <c r="N121" s="320"/>
      <c r="O121" s="320"/>
      <c r="P121" s="320"/>
      <c r="Q121" s="320"/>
      <c r="R121" s="320"/>
      <c r="S121" s="320"/>
      <c r="T121" s="320"/>
      <c r="U121" s="320"/>
      <c r="V121" s="320"/>
      <c r="W121" s="320"/>
      <c r="X121" s="320"/>
      <c r="Y121" s="320"/>
      <c r="Z121" s="320"/>
    </row>
    <row r="122">
      <c r="A122" s="320"/>
      <c r="B122" s="320"/>
      <c r="C122" s="320"/>
      <c r="D122" s="320"/>
      <c r="E122" s="320"/>
      <c r="F122" s="320"/>
      <c r="G122" s="320"/>
      <c r="H122" s="320"/>
      <c r="I122" s="320"/>
      <c r="J122" s="320"/>
      <c r="K122" s="320"/>
      <c r="L122" s="320"/>
      <c r="M122" s="320"/>
      <c r="N122" s="320"/>
      <c r="O122" s="320"/>
      <c r="P122" s="320"/>
      <c r="Q122" s="320"/>
      <c r="R122" s="320"/>
      <c r="S122" s="320"/>
      <c r="T122" s="320"/>
      <c r="U122" s="320"/>
      <c r="V122" s="320"/>
      <c r="W122" s="320"/>
      <c r="X122" s="320"/>
      <c r="Y122" s="320"/>
      <c r="Z122" s="320"/>
    </row>
    <row r="123">
      <c r="A123" s="320"/>
      <c r="B123" s="320"/>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row>
    <row r="124">
      <c r="A124" s="320"/>
      <c r="B124" s="320"/>
      <c r="C124" s="320"/>
      <c r="D124" s="320"/>
      <c r="E124" s="320"/>
      <c r="F124" s="320"/>
      <c r="G124" s="320"/>
      <c r="H124" s="320"/>
      <c r="I124" s="320"/>
      <c r="J124" s="320"/>
      <c r="K124" s="320"/>
      <c r="L124" s="320"/>
      <c r="M124" s="320"/>
      <c r="N124" s="320"/>
      <c r="O124" s="320"/>
      <c r="P124" s="320"/>
      <c r="Q124" s="320"/>
      <c r="R124" s="320"/>
      <c r="S124" s="320"/>
      <c r="T124" s="320"/>
      <c r="U124" s="320"/>
      <c r="V124" s="320"/>
      <c r="W124" s="320"/>
      <c r="X124" s="320"/>
      <c r="Y124" s="320"/>
      <c r="Z124" s="320"/>
    </row>
    <row r="125">
      <c r="A125" s="320"/>
      <c r="B125" s="320"/>
      <c r="C125" s="320"/>
      <c r="D125" s="320"/>
      <c r="E125" s="320"/>
      <c r="F125" s="320"/>
      <c r="G125" s="320"/>
      <c r="H125" s="320"/>
      <c r="I125" s="320"/>
      <c r="J125" s="320"/>
      <c r="K125" s="320"/>
      <c r="L125" s="320"/>
      <c r="M125" s="320"/>
      <c r="N125" s="320"/>
      <c r="O125" s="320"/>
      <c r="P125" s="320"/>
      <c r="Q125" s="320"/>
      <c r="R125" s="320"/>
      <c r="S125" s="320"/>
      <c r="T125" s="320"/>
      <c r="U125" s="320"/>
      <c r="V125" s="320"/>
      <c r="W125" s="320"/>
      <c r="X125" s="320"/>
      <c r="Y125" s="320"/>
      <c r="Z125" s="320"/>
    </row>
    <row r="126">
      <c r="A126" s="320"/>
      <c r="B126" s="320"/>
      <c r="C126" s="320"/>
      <c r="D126" s="320"/>
      <c r="E126" s="320"/>
      <c r="F126" s="320"/>
      <c r="G126" s="320"/>
      <c r="H126" s="320"/>
      <c r="I126" s="320"/>
      <c r="J126" s="320"/>
      <c r="K126" s="320"/>
      <c r="L126" s="320"/>
      <c r="M126" s="320"/>
      <c r="N126" s="320"/>
      <c r="O126" s="320"/>
      <c r="P126" s="320"/>
      <c r="Q126" s="320"/>
      <c r="R126" s="320"/>
      <c r="S126" s="320"/>
      <c r="T126" s="320"/>
      <c r="U126" s="320"/>
      <c r="V126" s="320"/>
      <c r="W126" s="320"/>
      <c r="X126" s="320"/>
      <c r="Y126" s="320"/>
      <c r="Z126" s="320"/>
    </row>
    <row r="127">
      <c r="A127" s="320"/>
      <c r="B127" s="320"/>
      <c r="C127" s="320"/>
      <c r="D127" s="320"/>
      <c r="E127" s="320"/>
      <c r="F127" s="320"/>
      <c r="G127" s="320"/>
      <c r="H127" s="320"/>
      <c r="I127" s="320"/>
      <c r="J127" s="320"/>
      <c r="K127" s="320"/>
      <c r="L127" s="320"/>
      <c r="M127" s="320"/>
      <c r="N127" s="320"/>
      <c r="O127" s="320"/>
      <c r="P127" s="320"/>
      <c r="Q127" s="320"/>
      <c r="R127" s="320"/>
      <c r="S127" s="320"/>
      <c r="T127" s="320"/>
      <c r="U127" s="320"/>
      <c r="V127" s="320"/>
      <c r="W127" s="320"/>
      <c r="X127" s="320"/>
      <c r="Y127" s="320"/>
      <c r="Z127" s="320"/>
    </row>
    <row r="128">
      <c r="A128" s="320"/>
      <c r="B128" s="320"/>
      <c r="C128" s="320"/>
      <c r="D128" s="320"/>
      <c r="E128" s="320"/>
      <c r="F128" s="320"/>
      <c r="G128" s="320"/>
      <c r="H128" s="320"/>
      <c r="I128" s="320"/>
      <c r="J128" s="320"/>
      <c r="K128" s="320"/>
      <c r="L128" s="320"/>
      <c r="M128" s="320"/>
      <c r="N128" s="320"/>
      <c r="O128" s="320"/>
      <c r="P128" s="320"/>
      <c r="Q128" s="320"/>
      <c r="R128" s="320"/>
      <c r="S128" s="320"/>
      <c r="T128" s="320"/>
      <c r="U128" s="320"/>
      <c r="V128" s="320"/>
      <c r="W128" s="320"/>
      <c r="X128" s="320"/>
      <c r="Y128" s="320"/>
      <c r="Z128" s="320"/>
    </row>
    <row r="129">
      <c r="A129" s="320"/>
      <c r="B129" s="320"/>
      <c r="C129" s="320"/>
      <c r="D129" s="320"/>
      <c r="E129" s="320"/>
      <c r="F129" s="320"/>
      <c r="G129" s="320"/>
      <c r="H129" s="320"/>
      <c r="I129" s="320"/>
      <c r="J129" s="320"/>
      <c r="K129" s="320"/>
      <c r="L129" s="320"/>
      <c r="M129" s="320"/>
      <c r="N129" s="320"/>
      <c r="O129" s="320"/>
      <c r="P129" s="320"/>
      <c r="Q129" s="320"/>
      <c r="R129" s="320"/>
      <c r="S129" s="320"/>
      <c r="T129" s="320"/>
      <c r="U129" s="320"/>
      <c r="V129" s="320"/>
      <c r="W129" s="320"/>
      <c r="X129" s="320"/>
      <c r="Y129" s="320"/>
      <c r="Z129" s="320"/>
    </row>
    <row r="130">
      <c r="A130" s="320"/>
      <c r="B130" s="320"/>
      <c r="C130" s="320"/>
      <c r="D130" s="320"/>
      <c r="E130" s="320"/>
      <c r="F130" s="320"/>
      <c r="G130" s="320"/>
      <c r="H130" s="320"/>
      <c r="I130" s="320"/>
      <c r="J130" s="320"/>
      <c r="K130" s="320"/>
      <c r="L130" s="320"/>
      <c r="M130" s="320"/>
      <c r="N130" s="320"/>
      <c r="O130" s="320"/>
      <c r="P130" s="320"/>
      <c r="Q130" s="320"/>
      <c r="R130" s="320"/>
      <c r="S130" s="320"/>
      <c r="T130" s="320"/>
      <c r="U130" s="320"/>
      <c r="V130" s="320"/>
      <c r="W130" s="320"/>
      <c r="X130" s="320"/>
      <c r="Y130" s="320"/>
      <c r="Z130" s="320"/>
    </row>
    <row r="131">
      <c r="A131" s="320"/>
      <c r="B131" s="320"/>
      <c r="C131" s="320"/>
      <c r="D131" s="320"/>
      <c r="E131" s="320"/>
      <c r="F131" s="320"/>
      <c r="G131" s="320"/>
      <c r="H131" s="320"/>
      <c r="I131" s="320"/>
      <c r="J131" s="320"/>
      <c r="K131" s="320"/>
      <c r="L131" s="320"/>
      <c r="M131" s="320"/>
      <c r="N131" s="320"/>
      <c r="O131" s="320"/>
      <c r="P131" s="320"/>
      <c r="Q131" s="320"/>
      <c r="R131" s="320"/>
      <c r="S131" s="320"/>
      <c r="T131" s="320"/>
      <c r="U131" s="320"/>
      <c r="V131" s="320"/>
      <c r="W131" s="320"/>
      <c r="X131" s="320"/>
      <c r="Y131" s="320"/>
      <c r="Z131" s="320"/>
    </row>
    <row r="132">
      <c r="A132" s="320"/>
      <c r="B132" s="320"/>
      <c r="C132" s="320"/>
      <c r="D132" s="320"/>
      <c r="E132" s="320"/>
      <c r="F132" s="320"/>
      <c r="G132" s="320"/>
      <c r="H132" s="320"/>
      <c r="I132" s="320"/>
      <c r="J132" s="320"/>
      <c r="K132" s="320"/>
      <c r="L132" s="320"/>
      <c r="M132" s="320"/>
      <c r="N132" s="320"/>
      <c r="O132" s="320"/>
      <c r="P132" s="320"/>
      <c r="Q132" s="320"/>
      <c r="R132" s="320"/>
      <c r="S132" s="320"/>
      <c r="T132" s="320"/>
      <c r="U132" s="320"/>
      <c r="V132" s="320"/>
      <c r="W132" s="320"/>
      <c r="X132" s="320"/>
      <c r="Y132" s="320"/>
      <c r="Z132" s="320"/>
    </row>
    <row r="133">
      <c r="A133" s="320"/>
      <c r="B133" s="320"/>
      <c r="C133" s="320"/>
      <c r="D133" s="320"/>
      <c r="E133" s="320"/>
      <c r="F133" s="320"/>
      <c r="G133" s="320"/>
      <c r="H133" s="320"/>
      <c r="I133" s="320"/>
      <c r="J133" s="320"/>
      <c r="K133" s="320"/>
      <c r="L133" s="320"/>
      <c r="M133" s="320"/>
      <c r="N133" s="320"/>
      <c r="O133" s="320"/>
      <c r="P133" s="320"/>
      <c r="Q133" s="320"/>
      <c r="R133" s="320"/>
      <c r="S133" s="320"/>
      <c r="T133" s="320"/>
      <c r="U133" s="320"/>
      <c r="V133" s="320"/>
      <c r="W133" s="320"/>
      <c r="X133" s="320"/>
      <c r="Y133" s="320"/>
      <c r="Z133" s="320"/>
    </row>
    <row r="134">
      <c r="A134" s="320"/>
      <c r="B134" s="320"/>
      <c r="C134" s="320"/>
      <c r="D134" s="320"/>
      <c r="E134" s="320"/>
      <c r="F134" s="320"/>
      <c r="G134" s="320"/>
      <c r="H134" s="320"/>
      <c r="I134" s="320"/>
      <c r="J134" s="320"/>
      <c r="K134" s="320"/>
      <c r="L134" s="320"/>
      <c r="M134" s="320"/>
      <c r="N134" s="320"/>
      <c r="O134" s="320"/>
      <c r="P134" s="320"/>
      <c r="Q134" s="320"/>
      <c r="R134" s="320"/>
      <c r="S134" s="320"/>
      <c r="T134" s="320"/>
      <c r="U134" s="320"/>
      <c r="V134" s="320"/>
      <c r="W134" s="320"/>
      <c r="X134" s="320"/>
      <c r="Y134" s="320"/>
      <c r="Z134" s="320"/>
    </row>
    <row r="135">
      <c r="A135" s="320"/>
      <c r="B135" s="320"/>
      <c r="C135" s="320"/>
      <c r="D135" s="320"/>
      <c r="E135" s="320"/>
      <c r="F135" s="320"/>
      <c r="G135" s="320"/>
      <c r="H135" s="320"/>
      <c r="I135" s="320"/>
      <c r="J135" s="320"/>
      <c r="K135" s="320"/>
      <c r="L135" s="320"/>
      <c r="M135" s="320"/>
      <c r="N135" s="320"/>
      <c r="O135" s="320"/>
      <c r="P135" s="320"/>
      <c r="Q135" s="320"/>
      <c r="R135" s="320"/>
      <c r="S135" s="320"/>
      <c r="T135" s="320"/>
      <c r="U135" s="320"/>
      <c r="V135" s="320"/>
      <c r="W135" s="320"/>
      <c r="X135" s="320"/>
      <c r="Y135" s="320"/>
      <c r="Z135" s="320"/>
    </row>
    <row r="136">
      <c r="A136" s="320"/>
      <c r="B136" s="320"/>
      <c r="C136" s="320"/>
      <c r="D136" s="320"/>
      <c r="E136" s="320"/>
      <c r="F136" s="320"/>
      <c r="G136" s="320"/>
      <c r="H136" s="320"/>
      <c r="I136" s="320"/>
      <c r="J136" s="320"/>
      <c r="K136" s="320"/>
      <c r="L136" s="320"/>
      <c r="M136" s="320"/>
      <c r="N136" s="320"/>
      <c r="O136" s="320"/>
      <c r="P136" s="320"/>
      <c r="Q136" s="320"/>
      <c r="R136" s="320"/>
      <c r="S136" s="320"/>
      <c r="T136" s="320"/>
      <c r="U136" s="320"/>
      <c r="V136" s="320"/>
      <c r="W136" s="320"/>
      <c r="X136" s="320"/>
      <c r="Y136" s="320"/>
      <c r="Z136" s="320"/>
    </row>
    <row r="137">
      <c r="A137" s="320"/>
      <c r="B137" s="320"/>
      <c r="C137" s="320"/>
      <c r="D137" s="320"/>
      <c r="E137" s="320"/>
      <c r="F137" s="320"/>
      <c r="G137" s="320"/>
      <c r="H137" s="320"/>
      <c r="I137" s="320"/>
      <c r="J137" s="320"/>
      <c r="K137" s="320"/>
      <c r="L137" s="320"/>
      <c r="M137" s="320"/>
      <c r="N137" s="320"/>
      <c r="O137" s="320"/>
      <c r="P137" s="320"/>
      <c r="Q137" s="320"/>
      <c r="R137" s="320"/>
      <c r="S137" s="320"/>
      <c r="T137" s="320"/>
      <c r="U137" s="320"/>
      <c r="V137" s="320"/>
      <c r="W137" s="320"/>
      <c r="X137" s="320"/>
      <c r="Y137" s="320"/>
      <c r="Z137" s="320"/>
    </row>
    <row r="138">
      <c r="A138" s="320"/>
      <c r="B138" s="320"/>
      <c r="C138" s="320"/>
      <c r="D138" s="320"/>
      <c r="E138" s="320"/>
      <c r="F138" s="320"/>
      <c r="G138" s="320"/>
      <c r="H138" s="320"/>
      <c r="I138" s="320"/>
      <c r="J138" s="320"/>
      <c r="K138" s="320"/>
      <c r="L138" s="320"/>
      <c r="M138" s="320"/>
      <c r="N138" s="320"/>
      <c r="O138" s="320"/>
      <c r="P138" s="320"/>
      <c r="Q138" s="320"/>
      <c r="R138" s="320"/>
      <c r="S138" s="320"/>
      <c r="T138" s="320"/>
      <c r="U138" s="320"/>
      <c r="V138" s="320"/>
      <c r="W138" s="320"/>
      <c r="X138" s="320"/>
      <c r="Y138" s="320"/>
      <c r="Z138" s="320"/>
    </row>
    <row r="139">
      <c r="A139" s="320"/>
      <c r="B139" s="320"/>
      <c r="C139" s="320"/>
      <c r="D139" s="320"/>
      <c r="E139" s="320"/>
      <c r="F139" s="320"/>
      <c r="G139" s="320"/>
      <c r="H139" s="320"/>
      <c r="I139" s="320"/>
      <c r="J139" s="320"/>
      <c r="K139" s="320"/>
      <c r="L139" s="320"/>
      <c r="M139" s="320"/>
      <c r="N139" s="320"/>
      <c r="O139" s="320"/>
      <c r="P139" s="320"/>
      <c r="Q139" s="320"/>
      <c r="R139" s="320"/>
      <c r="S139" s="320"/>
      <c r="T139" s="320"/>
      <c r="U139" s="320"/>
      <c r="V139" s="320"/>
      <c r="W139" s="320"/>
      <c r="X139" s="320"/>
      <c r="Y139" s="320"/>
      <c r="Z139" s="320"/>
    </row>
    <row r="140">
      <c r="A140" s="320"/>
      <c r="B140" s="320"/>
      <c r="C140" s="320"/>
      <c r="D140" s="320"/>
      <c r="E140" s="320"/>
      <c r="F140" s="320"/>
      <c r="G140" s="320"/>
      <c r="H140" s="320"/>
      <c r="I140" s="320"/>
      <c r="J140" s="320"/>
      <c r="K140" s="320"/>
      <c r="L140" s="320"/>
      <c r="M140" s="320"/>
      <c r="N140" s="320"/>
      <c r="O140" s="320"/>
      <c r="P140" s="320"/>
      <c r="Q140" s="320"/>
      <c r="R140" s="320"/>
      <c r="S140" s="320"/>
      <c r="T140" s="320"/>
      <c r="U140" s="320"/>
      <c r="V140" s="320"/>
      <c r="W140" s="320"/>
      <c r="X140" s="320"/>
      <c r="Y140" s="320"/>
      <c r="Z140" s="320"/>
    </row>
    <row r="141">
      <c r="A141" s="320"/>
      <c r="B141" s="320"/>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320"/>
      <c r="Z141" s="320"/>
    </row>
    <row r="142">
      <c r="A142" s="320"/>
      <c r="B142" s="320"/>
      <c r="C142" s="320"/>
      <c r="D142" s="320"/>
      <c r="E142" s="320"/>
      <c r="F142" s="320"/>
      <c r="G142" s="320"/>
      <c r="H142" s="320"/>
      <c r="I142" s="320"/>
      <c r="J142" s="320"/>
      <c r="K142" s="320"/>
      <c r="L142" s="320"/>
      <c r="M142" s="320"/>
      <c r="N142" s="320"/>
      <c r="O142" s="320"/>
      <c r="P142" s="320"/>
      <c r="Q142" s="320"/>
      <c r="R142" s="320"/>
      <c r="S142" s="320"/>
      <c r="T142" s="320"/>
      <c r="U142" s="320"/>
      <c r="V142" s="320"/>
      <c r="W142" s="320"/>
      <c r="X142" s="320"/>
      <c r="Y142" s="320"/>
      <c r="Z142" s="320"/>
    </row>
    <row r="143">
      <c r="A143" s="320"/>
      <c r="B143" s="320"/>
      <c r="C143" s="320"/>
      <c r="D143" s="320"/>
      <c r="E143" s="320"/>
      <c r="F143" s="320"/>
      <c r="G143" s="320"/>
      <c r="H143" s="320"/>
      <c r="I143" s="320"/>
      <c r="J143" s="320"/>
      <c r="K143" s="320"/>
      <c r="L143" s="320"/>
      <c r="M143" s="320"/>
      <c r="N143" s="320"/>
      <c r="O143" s="320"/>
      <c r="P143" s="320"/>
      <c r="Q143" s="320"/>
      <c r="R143" s="320"/>
      <c r="S143" s="320"/>
      <c r="T143" s="320"/>
      <c r="U143" s="320"/>
      <c r="V143" s="320"/>
      <c r="W143" s="320"/>
      <c r="X143" s="320"/>
      <c r="Y143" s="320"/>
      <c r="Z143" s="320"/>
    </row>
    <row r="144">
      <c r="A144" s="320"/>
      <c r="B144" s="320"/>
      <c r="C144" s="320"/>
      <c r="D144" s="320"/>
      <c r="E144" s="320"/>
      <c r="F144" s="320"/>
      <c r="G144" s="320"/>
      <c r="H144" s="320"/>
      <c r="I144" s="320"/>
      <c r="J144" s="320"/>
      <c r="K144" s="320"/>
      <c r="L144" s="320"/>
      <c r="M144" s="320"/>
      <c r="N144" s="320"/>
      <c r="O144" s="320"/>
      <c r="P144" s="320"/>
      <c r="Q144" s="320"/>
      <c r="R144" s="320"/>
      <c r="S144" s="320"/>
      <c r="T144" s="320"/>
      <c r="U144" s="320"/>
      <c r="V144" s="320"/>
      <c r="W144" s="320"/>
      <c r="X144" s="320"/>
      <c r="Y144" s="320"/>
      <c r="Z144" s="320"/>
    </row>
    <row r="145">
      <c r="A145" s="320"/>
      <c r="B145" s="320"/>
      <c r="C145" s="320"/>
      <c r="D145" s="320"/>
      <c r="E145" s="320"/>
      <c r="F145" s="320"/>
      <c r="G145" s="320"/>
      <c r="H145" s="320"/>
      <c r="I145" s="320"/>
      <c r="J145" s="320"/>
      <c r="K145" s="320"/>
      <c r="L145" s="320"/>
      <c r="M145" s="320"/>
      <c r="N145" s="320"/>
      <c r="O145" s="320"/>
      <c r="P145" s="320"/>
      <c r="Q145" s="320"/>
      <c r="R145" s="320"/>
      <c r="S145" s="320"/>
      <c r="T145" s="320"/>
      <c r="U145" s="320"/>
      <c r="V145" s="320"/>
      <c r="W145" s="320"/>
      <c r="X145" s="320"/>
      <c r="Y145" s="320"/>
      <c r="Z145" s="320"/>
    </row>
    <row r="146">
      <c r="A146" s="320"/>
      <c r="B146" s="320"/>
      <c r="C146" s="320"/>
      <c r="D146" s="320"/>
      <c r="E146" s="320"/>
      <c r="F146" s="320"/>
      <c r="G146" s="320"/>
      <c r="H146" s="320"/>
      <c r="I146" s="320"/>
      <c r="J146" s="320"/>
      <c r="K146" s="320"/>
      <c r="L146" s="320"/>
      <c r="M146" s="320"/>
      <c r="N146" s="320"/>
      <c r="O146" s="320"/>
      <c r="P146" s="320"/>
      <c r="Q146" s="320"/>
      <c r="R146" s="320"/>
      <c r="S146" s="320"/>
      <c r="T146" s="320"/>
      <c r="U146" s="320"/>
      <c r="V146" s="320"/>
      <c r="W146" s="320"/>
      <c r="X146" s="320"/>
      <c r="Y146" s="320"/>
      <c r="Z146" s="320"/>
    </row>
    <row r="147">
      <c r="A147" s="320"/>
      <c r="B147" s="320"/>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row>
    <row r="148">
      <c r="A148" s="320"/>
      <c r="B148" s="320"/>
      <c r="C148" s="320"/>
      <c r="D148" s="320"/>
      <c r="E148" s="320"/>
      <c r="F148" s="320"/>
      <c r="G148" s="320"/>
      <c r="H148" s="320"/>
      <c r="I148" s="320"/>
      <c r="J148" s="320"/>
      <c r="K148" s="320"/>
      <c r="L148" s="320"/>
      <c r="M148" s="320"/>
      <c r="N148" s="320"/>
      <c r="O148" s="320"/>
      <c r="P148" s="320"/>
      <c r="Q148" s="320"/>
      <c r="R148" s="320"/>
      <c r="S148" s="320"/>
      <c r="T148" s="320"/>
      <c r="U148" s="320"/>
      <c r="V148" s="320"/>
      <c r="W148" s="320"/>
      <c r="X148" s="320"/>
      <c r="Y148" s="320"/>
      <c r="Z148" s="320"/>
    </row>
    <row r="149">
      <c r="A149" s="320"/>
      <c r="B149" s="320"/>
      <c r="C149" s="320"/>
      <c r="D149" s="320"/>
      <c r="E149" s="320"/>
      <c r="F149" s="320"/>
      <c r="G149" s="320"/>
      <c r="H149" s="320"/>
      <c r="I149" s="320"/>
      <c r="J149" s="320"/>
      <c r="K149" s="320"/>
      <c r="L149" s="320"/>
      <c r="M149" s="320"/>
      <c r="N149" s="320"/>
      <c r="O149" s="320"/>
      <c r="P149" s="320"/>
      <c r="Q149" s="320"/>
      <c r="R149" s="320"/>
      <c r="S149" s="320"/>
      <c r="T149" s="320"/>
      <c r="U149" s="320"/>
      <c r="V149" s="320"/>
      <c r="W149" s="320"/>
      <c r="X149" s="320"/>
      <c r="Y149" s="320"/>
      <c r="Z149" s="320"/>
    </row>
    <row r="150">
      <c r="A150" s="320"/>
      <c r="B150" s="320"/>
      <c r="C150" s="320"/>
      <c r="D150" s="320"/>
      <c r="E150" s="320"/>
      <c r="F150" s="320"/>
      <c r="G150" s="320"/>
      <c r="H150" s="320"/>
      <c r="I150" s="320"/>
      <c r="J150" s="320"/>
      <c r="K150" s="320"/>
      <c r="L150" s="320"/>
      <c r="M150" s="320"/>
      <c r="N150" s="320"/>
      <c r="O150" s="320"/>
      <c r="P150" s="320"/>
      <c r="Q150" s="320"/>
      <c r="R150" s="320"/>
      <c r="S150" s="320"/>
      <c r="T150" s="320"/>
      <c r="U150" s="320"/>
      <c r="V150" s="320"/>
      <c r="W150" s="320"/>
      <c r="X150" s="320"/>
      <c r="Y150" s="320"/>
      <c r="Z150" s="320"/>
    </row>
    <row r="151">
      <c r="A151" s="320"/>
      <c r="B151" s="320"/>
      <c r="C151" s="320"/>
      <c r="D151" s="320"/>
      <c r="E151" s="320"/>
      <c r="F151" s="320"/>
      <c r="G151" s="320"/>
      <c r="H151" s="320"/>
      <c r="I151" s="320"/>
      <c r="J151" s="320"/>
      <c r="K151" s="320"/>
      <c r="L151" s="320"/>
      <c r="M151" s="320"/>
      <c r="N151" s="320"/>
      <c r="O151" s="320"/>
      <c r="P151" s="320"/>
      <c r="Q151" s="320"/>
      <c r="R151" s="320"/>
      <c r="S151" s="320"/>
      <c r="T151" s="320"/>
      <c r="U151" s="320"/>
      <c r="V151" s="320"/>
      <c r="W151" s="320"/>
      <c r="X151" s="320"/>
      <c r="Y151" s="320"/>
      <c r="Z151" s="320"/>
    </row>
    <row r="152">
      <c r="A152" s="320"/>
      <c r="B152" s="320"/>
      <c r="C152" s="320"/>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320"/>
      <c r="Z152" s="320"/>
    </row>
    <row r="153">
      <c r="A153" s="320"/>
      <c r="B153" s="320"/>
      <c r="C153" s="320"/>
      <c r="D153" s="320"/>
      <c r="E153" s="320"/>
      <c r="F153" s="320"/>
      <c r="G153" s="320"/>
      <c r="H153" s="320"/>
      <c r="I153" s="320"/>
      <c r="J153" s="320"/>
      <c r="K153" s="320"/>
      <c r="L153" s="320"/>
      <c r="M153" s="320"/>
      <c r="N153" s="320"/>
      <c r="O153" s="320"/>
      <c r="P153" s="320"/>
      <c r="Q153" s="320"/>
      <c r="R153" s="320"/>
      <c r="S153" s="320"/>
      <c r="T153" s="320"/>
      <c r="U153" s="320"/>
      <c r="V153" s="320"/>
      <c r="W153" s="320"/>
      <c r="X153" s="320"/>
      <c r="Y153" s="320"/>
      <c r="Z153" s="320"/>
    </row>
    <row r="154">
      <c r="A154" s="320"/>
      <c r="B154" s="320"/>
      <c r="C154" s="320"/>
      <c r="D154" s="320"/>
      <c r="E154" s="320"/>
      <c r="F154" s="320"/>
      <c r="G154" s="320"/>
      <c r="H154" s="320"/>
      <c r="I154" s="320"/>
      <c r="J154" s="320"/>
      <c r="K154" s="320"/>
      <c r="L154" s="320"/>
      <c r="M154" s="320"/>
      <c r="N154" s="320"/>
      <c r="O154" s="320"/>
      <c r="P154" s="320"/>
      <c r="Q154" s="320"/>
      <c r="R154" s="320"/>
      <c r="S154" s="320"/>
      <c r="T154" s="320"/>
      <c r="U154" s="320"/>
      <c r="V154" s="320"/>
      <c r="W154" s="320"/>
      <c r="X154" s="320"/>
      <c r="Y154" s="320"/>
      <c r="Z154" s="320"/>
    </row>
    <row r="155">
      <c r="A155" s="320"/>
      <c r="B155" s="320"/>
      <c r="C155" s="320"/>
      <c r="D155" s="320"/>
      <c r="E155" s="320"/>
      <c r="F155" s="320"/>
      <c r="G155" s="320"/>
      <c r="H155" s="320"/>
      <c r="I155" s="320"/>
      <c r="J155" s="320"/>
      <c r="K155" s="320"/>
      <c r="L155" s="320"/>
      <c r="M155" s="320"/>
      <c r="N155" s="320"/>
      <c r="O155" s="320"/>
      <c r="P155" s="320"/>
      <c r="Q155" s="320"/>
      <c r="R155" s="320"/>
      <c r="S155" s="320"/>
      <c r="T155" s="320"/>
      <c r="U155" s="320"/>
      <c r="V155" s="320"/>
      <c r="W155" s="320"/>
      <c r="X155" s="320"/>
      <c r="Y155" s="320"/>
      <c r="Z155" s="320"/>
    </row>
    <row r="156">
      <c r="A156" s="320"/>
      <c r="B156" s="320"/>
      <c r="C156" s="320"/>
      <c r="D156" s="320"/>
      <c r="E156" s="320"/>
      <c r="F156" s="320"/>
      <c r="G156" s="320"/>
      <c r="H156" s="320"/>
      <c r="I156" s="320"/>
      <c r="J156" s="320"/>
      <c r="K156" s="320"/>
      <c r="L156" s="320"/>
      <c r="M156" s="320"/>
      <c r="N156" s="320"/>
      <c r="O156" s="320"/>
      <c r="P156" s="320"/>
      <c r="Q156" s="320"/>
      <c r="R156" s="320"/>
      <c r="S156" s="320"/>
      <c r="T156" s="320"/>
      <c r="U156" s="320"/>
      <c r="V156" s="320"/>
      <c r="W156" s="320"/>
      <c r="X156" s="320"/>
      <c r="Y156" s="320"/>
      <c r="Z156" s="320"/>
    </row>
    <row r="157">
      <c r="A157" s="320"/>
      <c r="B157" s="320"/>
      <c r="C157" s="320"/>
      <c r="D157" s="320"/>
      <c r="E157" s="320"/>
      <c r="F157" s="320"/>
      <c r="G157" s="320"/>
      <c r="H157" s="320"/>
      <c r="I157" s="320"/>
      <c r="J157" s="320"/>
      <c r="K157" s="320"/>
      <c r="L157" s="320"/>
      <c r="M157" s="320"/>
      <c r="N157" s="320"/>
      <c r="O157" s="320"/>
      <c r="P157" s="320"/>
      <c r="Q157" s="320"/>
      <c r="R157" s="320"/>
      <c r="S157" s="320"/>
      <c r="T157" s="320"/>
      <c r="U157" s="320"/>
      <c r="V157" s="320"/>
      <c r="W157" s="320"/>
      <c r="X157" s="320"/>
      <c r="Y157" s="320"/>
      <c r="Z157" s="320"/>
    </row>
    <row r="158">
      <c r="A158" s="320"/>
      <c r="B158" s="320"/>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320"/>
      <c r="Z158" s="320"/>
    </row>
    <row r="159">
      <c r="A159" s="320"/>
      <c r="B159" s="320"/>
      <c r="C159" s="320"/>
      <c r="D159" s="320"/>
      <c r="E159" s="320"/>
      <c r="F159" s="320"/>
      <c r="G159" s="320"/>
      <c r="H159" s="320"/>
      <c r="I159" s="320"/>
      <c r="J159" s="320"/>
      <c r="K159" s="320"/>
      <c r="L159" s="320"/>
      <c r="M159" s="320"/>
      <c r="N159" s="320"/>
      <c r="O159" s="320"/>
      <c r="P159" s="320"/>
      <c r="Q159" s="320"/>
      <c r="R159" s="320"/>
      <c r="S159" s="320"/>
      <c r="T159" s="320"/>
      <c r="U159" s="320"/>
      <c r="V159" s="320"/>
      <c r="W159" s="320"/>
      <c r="X159" s="320"/>
      <c r="Y159" s="320"/>
      <c r="Z159" s="320"/>
    </row>
    <row r="160">
      <c r="A160" s="320"/>
      <c r="B160" s="320"/>
      <c r="C160" s="320"/>
      <c r="D160" s="320"/>
      <c r="E160" s="320"/>
      <c r="F160" s="320"/>
      <c r="G160" s="320"/>
      <c r="H160" s="320"/>
      <c r="I160" s="320"/>
      <c r="J160" s="320"/>
      <c r="K160" s="320"/>
      <c r="L160" s="320"/>
      <c r="M160" s="320"/>
      <c r="N160" s="320"/>
      <c r="O160" s="320"/>
      <c r="P160" s="320"/>
      <c r="Q160" s="320"/>
      <c r="R160" s="320"/>
      <c r="S160" s="320"/>
      <c r="T160" s="320"/>
      <c r="U160" s="320"/>
      <c r="V160" s="320"/>
      <c r="W160" s="320"/>
      <c r="X160" s="320"/>
      <c r="Y160" s="320"/>
      <c r="Z160" s="320"/>
    </row>
    <row r="161">
      <c r="A161" s="320"/>
      <c r="B161" s="320"/>
      <c r="C161" s="320"/>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320"/>
      <c r="Z161" s="320"/>
    </row>
    <row r="162">
      <c r="A162" s="320"/>
      <c r="B162" s="320"/>
      <c r="C162" s="320"/>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320"/>
      <c r="Z162" s="320"/>
    </row>
    <row r="163">
      <c r="A163" s="320"/>
      <c r="B163" s="320"/>
      <c r="C163" s="320"/>
      <c r="D163" s="320"/>
      <c r="E163" s="320"/>
      <c r="F163" s="320"/>
      <c r="G163" s="320"/>
      <c r="H163" s="320"/>
      <c r="I163" s="320"/>
      <c r="J163" s="320"/>
      <c r="K163" s="320"/>
      <c r="L163" s="320"/>
      <c r="M163" s="320"/>
      <c r="N163" s="320"/>
      <c r="O163" s="320"/>
      <c r="P163" s="320"/>
      <c r="Q163" s="320"/>
      <c r="R163" s="320"/>
      <c r="S163" s="320"/>
      <c r="T163" s="320"/>
      <c r="U163" s="320"/>
      <c r="V163" s="320"/>
      <c r="W163" s="320"/>
      <c r="X163" s="320"/>
      <c r="Y163" s="320"/>
      <c r="Z163" s="320"/>
    </row>
    <row r="164">
      <c r="A164" s="320"/>
      <c r="B164" s="320"/>
      <c r="C164" s="320"/>
      <c r="D164" s="320"/>
      <c r="E164" s="320"/>
      <c r="F164" s="320"/>
      <c r="G164" s="320"/>
      <c r="H164" s="320"/>
      <c r="I164" s="320"/>
      <c r="J164" s="320"/>
      <c r="K164" s="320"/>
      <c r="L164" s="320"/>
      <c r="M164" s="320"/>
      <c r="N164" s="320"/>
      <c r="O164" s="320"/>
      <c r="P164" s="320"/>
      <c r="Q164" s="320"/>
      <c r="R164" s="320"/>
      <c r="S164" s="320"/>
      <c r="T164" s="320"/>
      <c r="U164" s="320"/>
      <c r="V164" s="320"/>
      <c r="W164" s="320"/>
      <c r="X164" s="320"/>
      <c r="Y164" s="320"/>
      <c r="Z164" s="320"/>
    </row>
    <row r="165">
      <c r="A165" s="320"/>
      <c r="B165" s="320"/>
      <c r="C165" s="320"/>
      <c r="D165" s="320"/>
      <c r="E165" s="320"/>
      <c r="F165" s="320"/>
      <c r="G165" s="320"/>
      <c r="H165" s="320"/>
      <c r="I165" s="320"/>
      <c r="J165" s="320"/>
      <c r="K165" s="320"/>
      <c r="L165" s="320"/>
      <c r="M165" s="320"/>
      <c r="N165" s="320"/>
      <c r="O165" s="320"/>
      <c r="P165" s="320"/>
      <c r="Q165" s="320"/>
      <c r="R165" s="320"/>
      <c r="S165" s="320"/>
      <c r="T165" s="320"/>
      <c r="U165" s="320"/>
      <c r="V165" s="320"/>
      <c r="W165" s="320"/>
      <c r="X165" s="320"/>
      <c r="Y165" s="320"/>
      <c r="Z165" s="320"/>
    </row>
    <row r="166">
      <c r="A166" s="320"/>
      <c r="B166" s="320"/>
      <c r="C166" s="320"/>
      <c r="D166" s="320"/>
      <c r="E166" s="320"/>
      <c r="F166" s="320"/>
      <c r="G166" s="320"/>
      <c r="H166" s="320"/>
      <c r="I166" s="320"/>
      <c r="J166" s="320"/>
      <c r="K166" s="320"/>
      <c r="L166" s="320"/>
      <c r="M166" s="320"/>
      <c r="N166" s="320"/>
      <c r="O166" s="320"/>
      <c r="P166" s="320"/>
      <c r="Q166" s="320"/>
      <c r="R166" s="320"/>
      <c r="S166" s="320"/>
      <c r="T166" s="320"/>
      <c r="U166" s="320"/>
      <c r="V166" s="320"/>
      <c r="W166" s="320"/>
      <c r="X166" s="320"/>
      <c r="Y166" s="320"/>
      <c r="Z166" s="320"/>
    </row>
    <row r="167">
      <c r="A167" s="320"/>
      <c r="B167" s="320"/>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320"/>
      <c r="Z167" s="320"/>
    </row>
    <row r="168">
      <c r="A168" s="320"/>
      <c r="B168" s="320"/>
      <c r="C168" s="320"/>
      <c r="D168" s="320"/>
      <c r="E168" s="320"/>
      <c r="F168" s="320"/>
      <c r="G168" s="320"/>
      <c r="H168" s="320"/>
      <c r="I168" s="320"/>
      <c r="J168" s="320"/>
      <c r="K168" s="320"/>
      <c r="L168" s="320"/>
      <c r="M168" s="320"/>
      <c r="N168" s="320"/>
      <c r="O168" s="320"/>
      <c r="P168" s="320"/>
      <c r="Q168" s="320"/>
      <c r="R168" s="320"/>
      <c r="S168" s="320"/>
      <c r="T168" s="320"/>
      <c r="U168" s="320"/>
      <c r="V168" s="320"/>
      <c r="W168" s="320"/>
      <c r="X168" s="320"/>
      <c r="Y168" s="320"/>
      <c r="Z168" s="320"/>
    </row>
    <row r="169">
      <c r="A169" s="320"/>
      <c r="B169" s="320"/>
      <c r="C169" s="320"/>
      <c r="D169" s="320"/>
      <c r="E169" s="320"/>
      <c r="F169" s="320"/>
      <c r="G169" s="320"/>
      <c r="H169" s="320"/>
      <c r="I169" s="320"/>
      <c r="J169" s="320"/>
      <c r="K169" s="320"/>
      <c r="L169" s="320"/>
      <c r="M169" s="320"/>
      <c r="N169" s="320"/>
      <c r="O169" s="320"/>
      <c r="P169" s="320"/>
      <c r="Q169" s="320"/>
      <c r="R169" s="320"/>
      <c r="S169" s="320"/>
      <c r="T169" s="320"/>
      <c r="U169" s="320"/>
      <c r="V169" s="320"/>
      <c r="W169" s="320"/>
      <c r="X169" s="320"/>
      <c r="Y169" s="320"/>
      <c r="Z169" s="320"/>
    </row>
    <row r="170">
      <c r="A170" s="320"/>
      <c r="B170" s="320"/>
      <c r="C170" s="320"/>
      <c r="D170" s="320"/>
      <c r="E170" s="320"/>
      <c r="F170" s="320"/>
      <c r="G170" s="320"/>
      <c r="H170" s="320"/>
      <c r="I170" s="320"/>
      <c r="J170" s="320"/>
      <c r="K170" s="320"/>
      <c r="L170" s="320"/>
      <c r="M170" s="320"/>
      <c r="N170" s="320"/>
      <c r="O170" s="320"/>
      <c r="P170" s="320"/>
      <c r="Q170" s="320"/>
      <c r="R170" s="320"/>
      <c r="S170" s="320"/>
      <c r="T170" s="320"/>
      <c r="U170" s="320"/>
      <c r="V170" s="320"/>
      <c r="W170" s="320"/>
      <c r="X170" s="320"/>
      <c r="Y170" s="320"/>
      <c r="Z170" s="320"/>
    </row>
    <row r="171">
      <c r="A171" s="320"/>
      <c r="B171" s="320"/>
      <c r="C171" s="320"/>
      <c r="D171" s="320"/>
      <c r="E171" s="320"/>
      <c r="F171" s="320"/>
      <c r="G171" s="320"/>
      <c r="H171" s="320"/>
      <c r="I171" s="320"/>
      <c r="J171" s="320"/>
      <c r="K171" s="320"/>
      <c r="L171" s="320"/>
      <c r="M171" s="320"/>
      <c r="N171" s="320"/>
      <c r="O171" s="320"/>
      <c r="P171" s="320"/>
      <c r="Q171" s="320"/>
      <c r="R171" s="320"/>
      <c r="S171" s="320"/>
      <c r="T171" s="320"/>
      <c r="U171" s="320"/>
      <c r="V171" s="320"/>
      <c r="W171" s="320"/>
      <c r="X171" s="320"/>
      <c r="Y171" s="320"/>
      <c r="Z171" s="320"/>
    </row>
    <row r="172">
      <c r="A172" s="320"/>
      <c r="B172" s="320"/>
      <c r="C172" s="320"/>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320"/>
      <c r="Z172" s="320"/>
    </row>
    <row r="173">
      <c r="A173" s="320"/>
      <c r="B173" s="320"/>
      <c r="C173" s="320"/>
      <c r="D173" s="320"/>
      <c r="E173" s="320"/>
      <c r="F173" s="320"/>
      <c r="G173" s="320"/>
      <c r="H173" s="320"/>
      <c r="I173" s="320"/>
      <c r="J173" s="320"/>
      <c r="K173" s="320"/>
      <c r="L173" s="320"/>
      <c r="M173" s="320"/>
      <c r="N173" s="320"/>
      <c r="O173" s="320"/>
      <c r="P173" s="320"/>
      <c r="Q173" s="320"/>
      <c r="R173" s="320"/>
      <c r="S173" s="320"/>
      <c r="T173" s="320"/>
      <c r="U173" s="320"/>
      <c r="V173" s="320"/>
      <c r="W173" s="320"/>
      <c r="X173" s="320"/>
      <c r="Y173" s="320"/>
      <c r="Z173" s="320"/>
    </row>
    <row r="174">
      <c r="A174" s="320"/>
      <c r="B174" s="320"/>
      <c r="C174" s="320"/>
      <c r="D174" s="320"/>
      <c r="E174" s="320"/>
      <c r="F174" s="320"/>
      <c r="G174" s="320"/>
      <c r="H174" s="320"/>
      <c r="I174" s="320"/>
      <c r="J174" s="320"/>
      <c r="K174" s="320"/>
      <c r="L174" s="320"/>
      <c r="M174" s="320"/>
      <c r="N174" s="320"/>
      <c r="O174" s="320"/>
      <c r="P174" s="320"/>
      <c r="Q174" s="320"/>
      <c r="R174" s="320"/>
      <c r="S174" s="320"/>
      <c r="T174" s="320"/>
      <c r="U174" s="320"/>
      <c r="V174" s="320"/>
      <c r="W174" s="320"/>
      <c r="X174" s="320"/>
      <c r="Y174" s="320"/>
      <c r="Z174" s="320"/>
    </row>
    <row r="175">
      <c r="A175" s="320"/>
      <c r="B175" s="320"/>
      <c r="C175" s="320"/>
      <c r="D175" s="320"/>
      <c r="E175" s="320"/>
      <c r="F175" s="320"/>
      <c r="G175" s="320"/>
      <c r="H175" s="320"/>
      <c r="I175" s="320"/>
      <c r="J175" s="320"/>
      <c r="K175" s="320"/>
      <c r="L175" s="320"/>
      <c r="M175" s="320"/>
      <c r="N175" s="320"/>
      <c r="O175" s="320"/>
      <c r="P175" s="320"/>
      <c r="Q175" s="320"/>
      <c r="R175" s="320"/>
      <c r="S175" s="320"/>
      <c r="T175" s="320"/>
      <c r="U175" s="320"/>
      <c r="V175" s="320"/>
      <c r="W175" s="320"/>
      <c r="X175" s="320"/>
      <c r="Y175" s="320"/>
      <c r="Z175" s="320"/>
    </row>
    <row r="176">
      <c r="A176" s="320"/>
      <c r="B176" s="320"/>
      <c r="C176" s="320"/>
      <c r="D176" s="320"/>
      <c r="E176" s="320"/>
      <c r="F176" s="320"/>
      <c r="G176" s="320"/>
      <c r="H176" s="320"/>
      <c r="I176" s="320"/>
      <c r="J176" s="320"/>
      <c r="K176" s="320"/>
      <c r="L176" s="320"/>
      <c r="M176" s="320"/>
      <c r="N176" s="320"/>
      <c r="O176" s="320"/>
      <c r="P176" s="320"/>
      <c r="Q176" s="320"/>
      <c r="R176" s="320"/>
      <c r="S176" s="320"/>
      <c r="T176" s="320"/>
      <c r="U176" s="320"/>
      <c r="V176" s="320"/>
      <c r="W176" s="320"/>
      <c r="X176" s="320"/>
      <c r="Y176" s="320"/>
      <c r="Z176" s="320"/>
    </row>
    <row r="177">
      <c r="A177" s="320"/>
      <c r="B177" s="320"/>
      <c r="C177" s="320"/>
      <c r="D177" s="320"/>
      <c r="E177" s="320"/>
      <c r="F177" s="320"/>
      <c r="G177" s="320"/>
      <c r="H177" s="320"/>
      <c r="I177" s="320"/>
      <c r="J177" s="320"/>
      <c r="K177" s="320"/>
      <c r="L177" s="320"/>
      <c r="M177" s="320"/>
      <c r="N177" s="320"/>
      <c r="O177" s="320"/>
      <c r="P177" s="320"/>
      <c r="Q177" s="320"/>
      <c r="R177" s="320"/>
      <c r="S177" s="320"/>
      <c r="T177" s="320"/>
      <c r="U177" s="320"/>
      <c r="V177" s="320"/>
      <c r="W177" s="320"/>
      <c r="X177" s="320"/>
      <c r="Y177" s="320"/>
      <c r="Z177" s="320"/>
    </row>
    <row r="178">
      <c r="A178" s="320"/>
      <c r="B178" s="320"/>
      <c r="C178" s="320"/>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row>
    <row r="179">
      <c r="A179" s="320"/>
      <c r="B179" s="320"/>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row>
    <row r="180">
      <c r="A180" s="320"/>
      <c r="B180" s="320"/>
      <c r="C180" s="320"/>
      <c r="D180" s="320"/>
      <c r="E180" s="320"/>
      <c r="F180" s="320"/>
      <c r="G180" s="320"/>
      <c r="H180" s="320"/>
      <c r="I180" s="320"/>
      <c r="J180" s="320"/>
      <c r="K180" s="320"/>
      <c r="L180" s="320"/>
      <c r="M180" s="320"/>
      <c r="N180" s="320"/>
      <c r="O180" s="320"/>
      <c r="P180" s="320"/>
      <c r="Q180" s="320"/>
      <c r="R180" s="320"/>
      <c r="S180" s="320"/>
      <c r="T180" s="320"/>
      <c r="U180" s="320"/>
      <c r="V180" s="320"/>
      <c r="W180" s="320"/>
      <c r="X180" s="320"/>
      <c r="Y180" s="320"/>
      <c r="Z180" s="320"/>
    </row>
    <row r="181">
      <c r="A181" s="320"/>
      <c r="B181" s="320"/>
      <c r="C181" s="320"/>
      <c r="D181" s="320"/>
      <c r="E181" s="320"/>
      <c r="F181" s="320"/>
      <c r="G181" s="320"/>
      <c r="H181" s="320"/>
      <c r="I181" s="320"/>
      <c r="J181" s="320"/>
      <c r="K181" s="320"/>
      <c r="L181" s="320"/>
      <c r="M181" s="320"/>
      <c r="N181" s="320"/>
      <c r="O181" s="320"/>
      <c r="P181" s="320"/>
      <c r="Q181" s="320"/>
      <c r="R181" s="320"/>
      <c r="S181" s="320"/>
      <c r="T181" s="320"/>
      <c r="U181" s="320"/>
      <c r="V181" s="320"/>
      <c r="W181" s="320"/>
      <c r="X181" s="320"/>
      <c r="Y181" s="320"/>
      <c r="Z181" s="320"/>
    </row>
    <row r="182">
      <c r="A182" s="320"/>
      <c r="B182" s="320"/>
      <c r="C182" s="320"/>
      <c r="D182" s="320"/>
      <c r="E182" s="320"/>
      <c r="F182" s="320"/>
      <c r="G182" s="320"/>
      <c r="H182" s="320"/>
      <c r="I182" s="320"/>
      <c r="J182" s="320"/>
      <c r="K182" s="320"/>
      <c r="L182" s="320"/>
      <c r="M182" s="320"/>
      <c r="N182" s="320"/>
      <c r="O182" s="320"/>
      <c r="P182" s="320"/>
      <c r="Q182" s="320"/>
      <c r="R182" s="320"/>
      <c r="S182" s="320"/>
      <c r="T182" s="320"/>
      <c r="U182" s="320"/>
      <c r="V182" s="320"/>
      <c r="W182" s="320"/>
      <c r="X182" s="320"/>
      <c r="Y182" s="320"/>
      <c r="Z182" s="320"/>
    </row>
    <row r="183">
      <c r="A183" s="320"/>
      <c r="B183" s="320"/>
      <c r="C183" s="320"/>
      <c r="D183" s="320"/>
      <c r="E183" s="320"/>
      <c r="F183" s="320"/>
      <c r="G183" s="320"/>
      <c r="H183" s="320"/>
      <c r="I183" s="320"/>
      <c r="J183" s="320"/>
      <c r="K183" s="320"/>
      <c r="L183" s="320"/>
      <c r="M183" s="320"/>
      <c r="N183" s="320"/>
      <c r="O183" s="320"/>
      <c r="P183" s="320"/>
      <c r="Q183" s="320"/>
      <c r="R183" s="320"/>
      <c r="S183" s="320"/>
      <c r="T183" s="320"/>
      <c r="U183" s="320"/>
      <c r="V183" s="320"/>
      <c r="W183" s="320"/>
      <c r="X183" s="320"/>
      <c r="Y183" s="320"/>
      <c r="Z183" s="320"/>
    </row>
    <row r="184">
      <c r="A184" s="320"/>
      <c r="B184" s="320"/>
      <c r="C184" s="320"/>
      <c r="D184" s="320"/>
      <c r="E184" s="320"/>
      <c r="F184" s="320"/>
      <c r="G184" s="320"/>
      <c r="H184" s="320"/>
      <c r="I184" s="320"/>
      <c r="J184" s="320"/>
      <c r="K184" s="320"/>
      <c r="L184" s="320"/>
      <c r="M184" s="320"/>
      <c r="N184" s="320"/>
      <c r="O184" s="320"/>
      <c r="P184" s="320"/>
      <c r="Q184" s="320"/>
      <c r="R184" s="320"/>
      <c r="S184" s="320"/>
      <c r="T184" s="320"/>
      <c r="U184" s="320"/>
      <c r="V184" s="320"/>
      <c r="W184" s="320"/>
      <c r="X184" s="320"/>
      <c r="Y184" s="320"/>
      <c r="Z184" s="320"/>
    </row>
    <row r="185">
      <c r="A185" s="320"/>
      <c r="B185" s="320"/>
      <c r="C185" s="320"/>
      <c r="D185" s="320"/>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row>
    <row r="186">
      <c r="A186" s="320"/>
      <c r="B186" s="320"/>
      <c r="C186" s="320"/>
      <c r="D186" s="320"/>
      <c r="E186" s="320"/>
      <c r="F186" s="320"/>
      <c r="G186" s="320"/>
      <c r="H186" s="320"/>
      <c r="I186" s="320"/>
      <c r="J186" s="320"/>
      <c r="K186" s="320"/>
      <c r="L186" s="320"/>
      <c r="M186" s="320"/>
      <c r="N186" s="320"/>
      <c r="O186" s="320"/>
      <c r="P186" s="320"/>
      <c r="Q186" s="320"/>
      <c r="R186" s="320"/>
      <c r="S186" s="320"/>
      <c r="T186" s="320"/>
      <c r="U186" s="320"/>
      <c r="V186" s="320"/>
      <c r="W186" s="320"/>
      <c r="X186" s="320"/>
      <c r="Y186" s="320"/>
      <c r="Z186" s="320"/>
    </row>
    <row r="187">
      <c r="A187" s="320"/>
      <c r="B187" s="320"/>
      <c r="C187" s="320"/>
      <c r="D187" s="320"/>
      <c r="E187" s="320"/>
      <c r="F187" s="320"/>
      <c r="G187" s="320"/>
      <c r="H187" s="320"/>
      <c r="I187" s="320"/>
      <c r="J187" s="320"/>
      <c r="K187" s="320"/>
      <c r="L187" s="320"/>
      <c r="M187" s="320"/>
      <c r="N187" s="320"/>
      <c r="O187" s="320"/>
      <c r="P187" s="320"/>
      <c r="Q187" s="320"/>
      <c r="R187" s="320"/>
      <c r="S187" s="320"/>
      <c r="T187" s="320"/>
      <c r="U187" s="320"/>
      <c r="V187" s="320"/>
      <c r="W187" s="320"/>
      <c r="X187" s="320"/>
      <c r="Y187" s="320"/>
      <c r="Z187" s="320"/>
    </row>
    <row r="188">
      <c r="A188" s="320"/>
      <c r="B188" s="320"/>
      <c r="C188" s="320"/>
      <c r="D188" s="320"/>
      <c r="E188" s="320"/>
      <c r="F188" s="320"/>
      <c r="G188" s="320"/>
      <c r="H188" s="320"/>
      <c r="I188" s="320"/>
      <c r="J188" s="320"/>
      <c r="K188" s="320"/>
      <c r="L188" s="320"/>
      <c r="M188" s="320"/>
      <c r="N188" s="320"/>
      <c r="O188" s="320"/>
      <c r="P188" s="320"/>
      <c r="Q188" s="320"/>
      <c r="R188" s="320"/>
      <c r="S188" s="320"/>
      <c r="T188" s="320"/>
      <c r="U188" s="320"/>
      <c r="V188" s="320"/>
      <c r="W188" s="320"/>
      <c r="X188" s="320"/>
      <c r="Y188" s="320"/>
      <c r="Z188" s="320"/>
    </row>
    <row r="189">
      <c r="A189" s="320"/>
      <c r="B189" s="320"/>
      <c r="C189" s="320"/>
      <c r="D189" s="320"/>
      <c r="E189" s="320"/>
      <c r="F189" s="320"/>
      <c r="G189" s="320"/>
      <c r="H189" s="320"/>
      <c r="I189" s="320"/>
      <c r="J189" s="320"/>
      <c r="K189" s="320"/>
      <c r="L189" s="320"/>
      <c r="M189" s="320"/>
      <c r="N189" s="320"/>
      <c r="O189" s="320"/>
      <c r="P189" s="320"/>
      <c r="Q189" s="320"/>
      <c r="R189" s="320"/>
      <c r="S189" s="320"/>
      <c r="T189" s="320"/>
      <c r="U189" s="320"/>
      <c r="V189" s="320"/>
      <c r="W189" s="320"/>
      <c r="X189" s="320"/>
      <c r="Y189" s="320"/>
      <c r="Z189" s="320"/>
    </row>
    <row r="190">
      <c r="A190" s="320"/>
      <c r="B190" s="320"/>
      <c r="C190" s="320"/>
      <c r="D190" s="320"/>
      <c r="E190" s="320"/>
      <c r="F190" s="320"/>
      <c r="G190" s="320"/>
      <c r="H190" s="320"/>
      <c r="I190" s="320"/>
      <c r="J190" s="320"/>
      <c r="K190" s="320"/>
      <c r="L190" s="320"/>
      <c r="M190" s="320"/>
      <c r="N190" s="320"/>
      <c r="O190" s="320"/>
      <c r="P190" s="320"/>
      <c r="Q190" s="320"/>
      <c r="R190" s="320"/>
      <c r="S190" s="320"/>
      <c r="T190" s="320"/>
      <c r="U190" s="320"/>
      <c r="V190" s="320"/>
      <c r="W190" s="320"/>
      <c r="X190" s="320"/>
      <c r="Y190" s="320"/>
      <c r="Z190" s="320"/>
    </row>
    <row r="191">
      <c r="A191" s="320"/>
      <c r="B191" s="320"/>
      <c r="C191" s="320"/>
      <c r="D191" s="320"/>
      <c r="E191" s="320"/>
      <c r="F191" s="320"/>
      <c r="G191" s="320"/>
      <c r="H191" s="320"/>
      <c r="I191" s="320"/>
      <c r="J191" s="320"/>
      <c r="K191" s="320"/>
      <c r="L191" s="320"/>
      <c r="M191" s="320"/>
      <c r="N191" s="320"/>
      <c r="O191" s="320"/>
      <c r="P191" s="320"/>
      <c r="Q191" s="320"/>
      <c r="R191" s="320"/>
      <c r="S191" s="320"/>
      <c r="T191" s="320"/>
      <c r="U191" s="320"/>
      <c r="V191" s="320"/>
      <c r="W191" s="320"/>
      <c r="X191" s="320"/>
      <c r="Y191" s="320"/>
      <c r="Z191" s="320"/>
    </row>
    <row r="192">
      <c r="A192" s="320"/>
      <c r="B192" s="320"/>
      <c r="C192" s="320"/>
      <c r="D192" s="320"/>
      <c r="E192" s="320"/>
      <c r="F192" s="320"/>
      <c r="G192" s="320"/>
      <c r="H192" s="320"/>
      <c r="I192" s="320"/>
      <c r="J192" s="320"/>
      <c r="K192" s="320"/>
      <c r="L192" s="320"/>
      <c r="M192" s="320"/>
      <c r="N192" s="320"/>
      <c r="O192" s="320"/>
      <c r="P192" s="320"/>
      <c r="Q192" s="320"/>
      <c r="R192" s="320"/>
      <c r="S192" s="320"/>
      <c r="T192" s="320"/>
      <c r="U192" s="320"/>
      <c r="V192" s="320"/>
      <c r="W192" s="320"/>
      <c r="X192" s="320"/>
      <c r="Y192" s="320"/>
      <c r="Z192" s="320"/>
    </row>
    <row r="193">
      <c r="A193" s="320"/>
      <c r="B193" s="320"/>
      <c r="C193" s="320"/>
      <c r="D193" s="320"/>
      <c r="E193" s="320"/>
      <c r="F193" s="320"/>
      <c r="G193" s="320"/>
      <c r="H193" s="320"/>
      <c r="I193" s="320"/>
      <c r="J193" s="320"/>
      <c r="K193" s="320"/>
      <c r="L193" s="320"/>
      <c r="M193" s="320"/>
      <c r="N193" s="320"/>
      <c r="O193" s="320"/>
      <c r="P193" s="320"/>
      <c r="Q193" s="320"/>
      <c r="R193" s="320"/>
      <c r="S193" s="320"/>
      <c r="T193" s="320"/>
      <c r="U193" s="320"/>
      <c r="V193" s="320"/>
      <c r="W193" s="320"/>
      <c r="X193" s="320"/>
      <c r="Y193" s="320"/>
      <c r="Z193" s="320"/>
    </row>
    <row r="194">
      <c r="A194" s="320"/>
      <c r="B194" s="320"/>
      <c r="C194" s="320"/>
      <c r="D194" s="320"/>
      <c r="E194" s="320"/>
      <c r="F194" s="320"/>
      <c r="G194" s="320"/>
      <c r="H194" s="320"/>
      <c r="I194" s="320"/>
      <c r="J194" s="320"/>
      <c r="K194" s="320"/>
      <c r="L194" s="320"/>
      <c r="M194" s="320"/>
      <c r="N194" s="320"/>
      <c r="O194" s="320"/>
      <c r="P194" s="320"/>
      <c r="Q194" s="320"/>
      <c r="R194" s="320"/>
      <c r="S194" s="320"/>
      <c r="T194" s="320"/>
      <c r="U194" s="320"/>
      <c r="V194" s="320"/>
      <c r="W194" s="320"/>
      <c r="X194" s="320"/>
      <c r="Y194" s="320"/>
      <c r="Z194" s="320"/>
    </row>
    <row r="195">
      <c r="A195" s="320"/>
      <c r="B195" s="320"/>
      <c r="C195" s="320"/>
      <c r="D195" s="320"/>
      <c r="E195" s="320"/>
      <c r="F195" s="320"/>
      <c r="G195" s="320"/>
      <c r="H195" s="320"/>
      <c r="I195" s="320"/>
      <c r="J195" s="320"/>
      <c r="K195" s="320"/>
      <c r="L195" s="320"/>
      <c r="M195" s="320"/>
      <c r="N195" s="320"/>
      <c r="O195" s="320"/>
      <c r="P195" s="320"/>
      <c r="Q195" s="320"/>
      <c r="R195" s="320"/>
      <c r="S195" s="320"/>
      <c r="T195" s="320"/>
      <c r="U195" s="320"/>
      <c r="V195" s="320"/>
      <c r="W195" s="320"/>
      <c r="X195" s="320"/>
      <c r="Y195" s="320"/>
      <c r="Z195" s="320"/>
    </row>
    <row r="196">
      <c r="A196" s="320"/>
      <c r="B196" s="320"/>
      <c r="C196" s="320"/>
      <c r="D196" s="320"/>
      <c r="E196" s="320"/>
      <c r="F196" s="320"/>
      <c r="G196" s="320"/>
      <c r="H196" s="320"/>
      <c r="I196" s="320"/>
      <c r="J196" s="320"/>
      <c r="K196" s="320"/>
      <c r="L196" s="320"/>
      <c r="M196" s="320"/>
      <c r="N196" s="320"/>
      <c r="O196" s="320"/>
      <c r="P196" s="320"/>
      <c r="Q196" s="320"/>
      <c r="R196" s="320"/>
      <c r="S196" s="320"/>
      <c r="T196" s="320"/>
      <c r="U196" s="320"/>
      <c r="V196" s="320"/>
      <c r="W196" s="320"/>
      <c r="X196" s="320"/>
      <c r="Y196" s="320"/>
      <c r="Z196" s="320"/>
    </row>
    <row r="197">
      <c r="A197" s="320"/>
      <c r="B197" s="320"/>
      <c r="C197" s="320"/>
      <c r="D197" s="320"/>
      <c r="E197" s="320"/>
      <c r="F197" s="320"/>
      <c r="G197" s="320"/>
      <c r="H197" s="320"/>
      <c r="I197" s="320"/>
      <c r="J197" s="320"/>
      <c r="K197" s="320"/>
      <c r="L197" s="320"/>
      <c r="M197" s="320"/>
      <c r="N197" s="320"/>
      <c r="O197" s="320"/>
      <c r="P197" s="320"/>
      <c r="Q197" s="320"/>
      <c r="R197" s="320"/>
      <c r="S197" s="320"/>
      <c r="T197" s="320"/>
      <c r="U197" s="320"/>
      <c r="V197" s="320"/>
      <c r="W197" s="320"/>
      <c r="X197" s="320"/>
      <c r="Y197" s="320"/>
      <c r="Z197" s="320"/>
    </row>
    <row r="198">
      <c r="A198" s="320"/>
      <c r="B198" s="320"/>
      <c r="C198" s="320"/>
      <c r="D198" s="320"/>
      <c r="E198" s="320"/>
      <c r="F198" s="320"/>
      <c r="G198" s="320"/>
      <c r="H198" s="320"/>
      <c r="I198" s="320"/>
      <c r="J198" s="320"/>
      <c r="K198" s="320"/>
      <c r="L198" s="320"/>
      <c r="M198" s="320"/>
      <c r="N198" s="320"/>
      <c r="O198" s="320"/>
      <c r="P198" s="320"/>
      <c r="Q198" s="320"/>
      <c r="R198" s="320"/>
      <c r="S198" s="320"/>
      <c r="T198" s="320"/>
      <c r="U198" s="320"/>
      <c r="V198" s="320"/>
      <c r="W198" s="320"/>
      <c r="X198" s="320"/>
      <c r="Y198" s="320"/>
      <c r="Z198" s="320"/>
    </row>
    <row r="199">
      <c r="A199" s="320"/>
      <c r="B199" s="320"/>
      <c r="C199" s="320"/>
      <c r="D199" s="320"/>
      <c r="E199" s="320"/>
      <c r="F199" s="320"/>
      <c r="G199" s="320"/>
      <c r="H199" s="320"/>
      <c r="I199" s="320"/>
      <c r="J199" s="320"/>
      <c r="K199" s="320"/>
      <c r="L199" s="320"/>
      <c r="M199" s="320"/>
      <c r="N199" s="320"/>
      <c r="O199" s="320"/>
      <c r="P199" s="320"/>
      <c r="Q199" s="320"/>
      <c r="R199" s="320"/>
      <c r="S199" s="320"/>
      <c r="T199" s="320"/>
      <c r="U199" s="320"/>
      <c r="V199" s="320"/>
      <c r="W199" s="320"/>
      <c r="X199" s="320"/>
      <c r="Y199" s="320"/>
      <c r="Z199" s="320"/>
    </row>
    <row r="200">
      <c r="A200" s="320"/>
      <c r="B200" s="320"/>
      <c r="C200" s="320"/>
      <c r="D200" s="320"/>
      <c r="E200" s="320"/>
      <c r="F200" s="320"/>
      <c r="G200" s="320"/>
      <c r="H200" s="320"/>
      <c r="I200" s="320"/>
      <c r="J200" s="320"/>
      <c r="K200" s="320"/>
      <c r="L200" s="320"/>
      <c r="M200" s="320"/>
      <c r="N200" s="320"/>
      <c r="O200" s="320"/>
      <c r="P200" s="320"/>
      <c r="Q200" s="320"/>
      <c r="R200" s="320"/>
      <c r="S200" s="320"/>
      <c r="T200" s="320"/>
      <c r="U200" s="320"/>
      <c r="V200" s="320"/>
      <c r="W200" s="320"/>
      <c r="X200" s="320"/>
      <c r="Y200" s="320"/>
      <c r="Z200" s="320"/>
    </row>
    <row r="201">
      <c r="A201" s="320"/>
      <c r="B201" s="320"/>
      <c r="C201" s="320"/>
      <c r="D201" s="320"/>
      <c r="E201" s="320"/>
      <c r="F201" s="320"/>
      <c r="G201" s="320"/>
      <c r="H201" s="320"/>
      <c r="I201" s="320"/>
      <c r="J201" s="320"/>
      <c r="K201" s="320"/>
      <c r="L201" s="320"/>
      <c r="M201" s="320"/>
      <c r="N201" s="320"/>
      <c r="O201" s="320"/>
      <c r="P201" s="320"/>
      <c r="Q201" s="320"/>
      <c r="R201" s="320"/>
      <c r="S201" s="320"/>
      <c r="T201" s="320"/>
      <c r="U201" s="320"/>
      <c r="V201" s="320"/>
      <c r="W201" s="320"/>
      <c r="X201" s="320"/>
      <c r="Y201" s="320"/>
      <c r="Z201" s="320"/>
    </row>
    <row r="202">
      <c r="A202" s="320"/>
      <c r="B202" s="320"/>
      <c r="C202" s="320"/>
      <c r="D202" s="320"/>
      <c r="E202" s="320"/>
      <c r="F202" s="320"/>
      <c r="G202" s="320"/>
      <c r="H202" s="320"/>
      <c r="I202" s="320"/>
      <c r="J202" s="320"/>
      <c r="K202" s="320"/>
      <c r="L202" s="320"/>
      <c r="M202" s="320"/>
      <c r="N202" s="320"/>
      <c r="O202" s="320"/>
      <c r="P202" s="320"/>
      <c r="Q202" s="320"/>
      <c r="R202" s="320"/>
      <c r="S202" s="320"/>
      <c r="T202" s="320"/>
      <c r="U202" s="320"/>
      <c r="V202" s="320"/>
      <c r="W202" s="320"/>
      <c r="X202" s="320"/>
      <c r="Y202" s="320"/>
      <c r="Z202" s="320"/>
    </row>
    <row r="203">
      <c r="A203" s="320"/>
      <c r="B203" s="320"/>
      <c r="C203" s="320"/>
      <c r="D203" s="320"/>
      <c r="E203" s="320"/>
      <c r="F203" s="320"/>
      <c r="G203" s="320"/>
      <c r="H203" s="320"/>
      <c r="I203" s="320"/>
      <c r="J203" s="320"/>
      <c r="K203" s="320"/>
      <c r="L203" s="320"/>
      <c r="M203" s="320"/>
      <c r="N203" s="320"/>
      <c r="O203" s="320"/>
      <c r="P203" s="320"/>
      <c r="Q203" s="320"/>
      <c r="R203" s="320"/>
      <c r="S203" s="320"/>
      <c r="T203" s="320"/>
      <c r="U203" s="320"/>
      <c r="V203" s="320"/>
      <c r="W203" s="320"/>
      <c r="X203" s="320"/>
      <c r="Y203" s="320"/>
      <c r="Z203" s="320"/>
    </row>
    <row r="204">
      <c r="A204" s="320"/>
      <c r="B204" s="320"/>
      <c r="C204" s="320"/>
      <c r="D204" s="320"/>
      <c r="E204" s="320"/>
      <c r="F204" s="320"/>
      <c r="G204" s="320"/>
      <c r="H204" s="320"/>
      <c r="I204" s="320"/>
      <c r="J204" s="320"/>
      <c r="K204" s="320"/>
      <c r="L204" s="320"/>
      <c r="M204" s="320"/>
      <c r="N204" s="320"/>
      <c r="O204" s="320"/>
      <c r="P204" s="320"/>
      <c r="Q204" s="320"/>
      <c r="R204" s="320"/>
      <c r="S204" s="320"/>
      <c r="T204" s="320"/>
      <c r="U204" s="320"/>
      <c r="V204" s="320"/>
      <c r="W204" s="320"/>
      <c r="X204" s="320"/>
      <c r="Y204" s="320"/>
      <c r="Z204" s="320"/>
    </row>
    <row r="205">
      <c r="A205" s="320"/>
      <c r="B205" s="320"/>
      <c r="C205" s="320"/>
      <c r="D205" s="320"/>
      <c r="E205" s="320"/>
      <c r="F205" s="320"/>
      <c r="G205" s="320"/>
      <c r="H205" s="320"/>
      <c r="I205" s="320"/>
      <c r="J205" s="320"/>
      <c r="K205" s="320"/>
      <c r="L205" s="320"/>
      <c r="M205" s="320"/>
      <c r="N205" s="320"/>
      <c r="O205" s="320"/>
      <c r="P205" s="320"/>
      <c r="Q205" s="320"/>
      <c r="R205" s="320"/>
      <c r="S205" s="320"/>
      <c r="T205" s="320"/>
      <c r="U205" s="320"/>
      <c r="V205" s="320"/>
      <c r="W205" s="320"/>
      <c r="X205" s="320"/>
      <c r="Y205" s="320"/>
      <c r="Z205" s="320"/>
    </row>
    <row r="206">
      <c r="A206" s="320"/>
      <c r="B206" s="320"/>
      <c r="C206" s="320"/>
      <c r="D206" s="320"/>
      <c r="E206" s="320"/>
      <c r="F206" s="320"/>
      <c r="G206" s="320"/>
      <c r="H206" s="320"/>
      <c r="I206" s="320"/>
      <c r="J206" s="320"/>
      <c r="K206" s="320"/>
      <c r="L206" s="320"/>
      <c r="M206" s="320"/>
      <c r="N206" s="320"/>
      <c r="O206" s="320"/>
      <c r="P206" s="320"/>
      <c r="Q206" s="320"/>
      <c r="R206" s="320"/>
      <c r="S206" s="320"/>
      <c r="T206" s="320"/>
      <c r="U206" s="320"/>
      <c r="V206" s="320"/>
      <c r="W206" s="320"/>
      <c r="X206" s="320"/>
      <c r="Y206" s="320"/>
      <c r="Z206" s="320"/>
    </row>
    <row r="207">
      <c r="A207" s="320"/>
      <c r="B207" s="320"/>
      <c r="C207" s="320"/>
      <c r="D207" s="320"/>
      <c r="E207" s="320"/>
      <c r="F207" s="320"/>
      <c r="G207" s="320"/>
      <c r="H207" s="320"/>
      <c r="I207" s="320"/>
      <c r="J207" s="320"/>
      <c r="K207" s="320"/>
      <c r="L207" s="320"/>
      <c r="M207" s="320"/>
      <c r="N207" s="320"/>
      <c r="O207" s="320"/>
      <c r="P207" s="320"/>
      <c r="Q207" s="320"/>
      <c r="R207" s="320"/>
      <c r="S207" s="320"/>
      <c r="T207" s="320"/>
      <c r="U207" s="320"/>
      <c r="V207" s="320"/>
      <c r="W207" s="320"/>
      <c r="X207" s="320"/>
      <c r="Y207" s="320"/>
      <c r="Z207" s="320"/>
    </row>
    <row r="208">
      <c r="A208" s="320"/>
      <c r="B208" s="320"/>
      <c r="C208" s="320"/>
      <c r="D208" s="320"/>
      <c r="E208" s="320"/>
      <c r="F208" s="320"/>
      <c r="G208" s="320"/>
      <c r="H208" s="320"/>
      <c r="I208" s="320"/>
      <c r="J208" s="320"/>
      <c r="K208" s="320"/>
      <c r="L208" s="320"/>
      <c r="M208" s="320"/>
      <c r="N208" s="320"/>
      <c r="O208" s="320"/>
      <c r="P208" s="320"/>
      <c r="Q208" s="320"/>
      <c r="R208" s="320"/>
      <c r="S208" s="320"/>
      <c r="T208" s="320"/>
      <c r="U208" s="320"/>
      <c r="V208" s="320"/>
      <c r="W208" s="320"/>
      <c r="X208" s="320"/>
      <c r="Y208" s="320"/>
      <c r="Z208" s="320"/>
    </row>
    <row r="209">
      <c r="A209" s="320"/>
      <c r="B209" s="320"/>
      <c r="C209" s="320"/>
      <c r="D209" s="320"/>
      <c r="E209" s="320"/>
      <c r="F209" s="320"/>
      <c r="G209" s="320"/>
      <c r="H209" s="320"/>
      <c r="I209" s="320"/>
      <c r="J209" s="320"/>
      <c r="K209" s="320"/>
      <c r="L209" s="320"/>
      <c r="M209" s="320"/>
      <c r="N209" s="320"/>
      <c r="O209" s="320"/>
      <c r="P209" s="320"/>
      <c r="Q209" s="320"/>
      <c r="R209" s="320"/>
      <c r="S209" s="320"/>
      <c r="T209" s="320"/>
      <c r="U209" s="320"/>
      <c r="V209" s="320"/>
      <c r="W209" s="320"/>
      <c r="X209" s="320"/>
      <c r="Y209" s="320"/>
      <c r="Z209" s="320"/>
    </row>
    <row r="210">
      <c r="A210" s="320"/>
      <c r="B210" s="320"/>
      <c r="C210" s="320"/>
      <c r="D210" s="320"/>
      <c r="E210" s="320"/>
      <c r="F210" s="320"/>
      <c r="G210" s="320"/>
      <c r="H210" s="320"/>
      <c r="I210" s="320"/>
      <c r="J210" s="320"/>
      <c r="K210" s="320"/>
      <c r="L210" s="320"/>
      <c r="M210" s="320"/>
      <c r="N210" s="320"/>
      <c r="O210" s="320"/>
      <c r="P210" s="320"/>
      <c r="Q210" s="320"/>
      <c r="R210" s="320"/>
      <c r="S210" s="320"/>
      <c r="T210" s="320"/>
      <c r="U210" s="320"/>
      <c r="V210" s="320"/>
      <c r="W210" s="320"/>
      <c r="X210" s="320"/>
      <c r="Y210" s="320"/>
      <c r="Z210" s="320"/>
    </row>
    <row r="211">
      <c r="A211" s="320"/>
      <c r="B211" s="320"/>
      <c r="C211" s="320"/>
      <c r="D211" s="320"/>
      <c r="E211" s="320"/>
      <c r="F211" s="320"/>
      <c r="G211" s="320"/>
      <c r="H211" s="320"/>
      <c r="I211" s="320"/>
      <c r="J211" s="320"/>
      <c r="K211" s="320"/>
      <c r="L211" s="320"/>
      <c r="M211" s="320"/>
      <c r="N211" s="320"/>
      <c r="O211" s="320"/>
      <c r="P211" s="320"/>
      <c r="Q211" s="320"/>
      <c r="R211" s="320"/>
      <c r="S211" s="320"/>
      <c r="T211" s="320"/>
      <c r="U211" s="320"/>
      <c r="V211" s="320"/>
      <c r="W211" s="320"/>
      <c r="X211" s="320"/>
      <c r="Y211" s="320"/>
      <c r="Z211" s="320"/>
    </row>
    <row r="212">
      <c r="A212" s="320"/>
      <c r="B212" s="320"/>
      <c r="C212" s="320"/>
      <c r="D212" s="320"/>
      <c r="E212" s="320"/>
      <c r="F212" s="320"/>
      <c r="G212" s="320"/>
      <c r="H212" s="320"/>
      <c r="I212" s="320"/>
      <c r="J212" s="320"/>
      <c r="K212" s="320"/>
      <c r="L212" s="320"/>
      <c r="M212" s="320"/>
      <c r="N212" s="320"/>
      <c r="O212" s="320"/>
      <c r="P212" s="320"/>
      <c r="Q212" s="320"/>
      <c r="R212" s="320"/>
      <c r="S212" s="320"/>
      <c r="T212" s="320"/>
      <c r="U212" s="320"/>
      <c r="V212" s="320"/>
      <c r="W212" s="320"/>
      <c r="X212" s="320"/>
      <c r="Y212" s="320"/>
      <c r="Z212" s="320"/>
    </row>
    <row r="213">
      <c r="A213" s="320"/>
      <c r="B213" s="320"/>
      <c r="C213" s="320"/>
      <c r="D213" s="320"/>
      <c r="E213" s="320"/>
      <c r="F213" s="320"/>
      <c r="G213" s="320"/>
      <c r="H213" s="320"/>
      <c r="I213" s="320"/>
      <c r="J213" s="320"/>
      <c r="K213" s="320"/>
      <c r="L213" s="320"/>
      <c r="M213" s="320"/>
      <c r="N213" s="320"/>
      <c r="O213" s="320"/>
      <c r="P213" s="320"/>
      <c r="Q213" s="320"/>
      <c r="R213" s="320"/>
      <c r="S213" s="320"/>
      <c r="T213" s="320"/>
      <c r="U213" s="320"/>
      <c r="V213" s="320"/>
      <c r="W213" s="320"/>
      <c r="X213" s="320"/>
      <c r="Y213" s="320"/>
      <c r="Z213" s="320"/>
    </row>
    <row r="214">
      <c r="A214" s="320"/>
      <c r="B214" s="320"/>
      <c r="C214" s="320"/>
      <c r="D214" s="320"/>
      <c r="E214" s="320"/>
      <c r="F214" s="320"/>
      <c r="G214" s="320"/>
      <c r="H214" s="320"/>
      <c r="I214" s="320"/>
      <c r="J214" s="320"/>
      <c r="K214" s="320"/>
      <c r="L214" s="320"/>
      <c r="M214" s="320"/>
      <c r="N214" s="320"/>
      <c r="O214" s="320"/>
      <c r="P214" s="320"/>
      <c r="Q214" s="320"/>
      <c r="R214" s="320"/>
      <c r="S214" s="320"/>
      <c r="T214" s="320"/>
      <c r="U214" s="320"/>
      <c r="V214" s="320"/>
      <c r="W214" s="320"/>
      <c r="X214" s="320"/>
      <c r="Y214" s="320"/>
      <c r="Z214" s="320"/>
    </row>
    <row r="215">
      <c r="A215" s="320"/>
      <c r="B215" s="320"/>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row>
    <row r="216">
      <c r="A216" s="320"/>
      <c r="B216" s="320"/>
      <c r="C216" s="320"/>
      <c r="D216" s="320"/>
      <c r="E216" s="320"/>
      <c r="F216" s="320"/>
      <c r="G216" s="320"/>
      <c r="H216" s="320"/>
      <c r="I216" s="320"/>
      <c r="J216" s="320"/>
      <c r="K216" s="320"/>
      <c r="L216" s="320"/>
      <c r="M216" s="320"/>
      <c r="N216" s="320"/>
      <c r="O216" s="320"/>
      <c r="P216" s="320"/>
      <c r="Q216" s="320"/>
      <c r="R216" s="320"/>
      <c r="S216" s="320"/>
      <c r="T216" s="320"/>
      <c r="U216" s="320"/>
      <c r="V216" s="320"/>
      <c r="W216" s="320"/>
      <c r="X216" s="320"/>
      <c r="Y216" s="320"/>
      <c r="Z216" s="320"/>
    </row>
    <row r="217">
      <c r="A217" s="320"/>
      <c r="B217" s="320"/>
      <c r="C217" s="320"/>
      <c r="D217" s="320"/>
      <c r="E217" s="320"/>
      <c r="F217" s="320"/>
      <c r="G217" s="320"/>
      <c r="H217" s="320"/>
      <c r="I217" s="320"/>
      <c r="J217" s="320"/>
      <c r="K217" s="320"/>
      <c r="L217" s="320"/>
      <c r="M217" s="320"/>
      <c r="N217" s="320"/>
      <c r="O217" s="320"/>
      <c r="P217" s="320"/>
      <c r="Q217" s="320"/>
      <c r="R217" s="320"/>
      <c r="S217" s="320"/>
      <c r="T217" s="320"/>
      <c r="U217" s="320"/>
      <c r="V217" s="320"/>
      <c r="W217" s="320"/>
      <c r="X217" s="320"/>
      <c r="Y217" s="320"/>
      <c r="Z217" s="320"/>
    </row>
    <row r="218">
      <c r="A218" s="320"/>
      <c r="B218" s="320"/>
      <c r="C218" s="320"/>
      <c r="D218" s="320"/>
      <c r="E218" s="320"/>
      <c r="F218" s="320"/>
      <c r="G218" s="320"/>
      <c r="H218" s="320"/>
      <c r="I218" s="320"/>
      <c r="J218" s="320"/>
      <c r="K218" s="320"/>
      <c r="L218" s="320"/>
      <c r="M218" s="320"/>
      <c r="N218" s="320"/>
      <c r="O218" s="320"/>
      <c r="P218" s="320"/>
      <c r="Q218" s="320"/>
      <c r="R218" s="320"/>
      <c r="S218" s="320"/>
      <c r="T218" s="320"/>
      <c r="U218" s="320"/>
      <c r="V218" s="320"/>
      <c r="W218" s="320"/>
      <c r="X218" s="320"/>
      <c r="Y218" s="320"/>
      <c r="Z218" s="320"/>
    </row>
    <row r="219">
      <c r="A219" s="320"/>
      <c r="B219" s="320"/>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row>
    <row r="220">
      <c r="A220" s="320"/>
      <c r="B220" s="320"/>
      <c r="C220" s="320"/>
      <c r="D220" s="320"/>
      <c r="E220" s="320"/>
      <c r="F220" s="320"/>
      <c r="G220" s="320"/>
      <c r="H220" s="320"/>
      <c r="I220" s="320"/>
      <c r="J220" s="320"/>
      <c r="K220" s="320"/>
      <c r="L220" s="320"/>
      <c r="M220" s="320"/>
      <c r="N220" s="320"/>
      <c r="O220" s="320"/>
      <c r="P220" s="320"/>
      <c r="Q220" s="320"/>
      <c r="R220" s="320"/>
      <c r="S220" s="320"/>
      <c r="T220" s="320"/>
      <c r="U220" s="320"/>
      <c r="V220" s="320"/>
      <c r="W220" s="320"/>
      <c r="X220" s="320"/>
      <c r="Y220" s="320"/>
      <c r="Z220" s="320"/>
    </row>
    <row r="221">
      <c r="A221" s="320"/>
      <c r="B221" s="320"/>
      <c r="C221" s="320"/>
      <c r="D221" s="320"/>
      <c r="E221" s="320"/>
      <c r="F221" s="320"/>
      <c r="G221" s="320"/>
      <c r="H221" s="320"/>
      <c r="I221" s="320"/>
      <c r="J221" s="320"/>
      <c r="K221" s="320"/>
      <c r="L221" s="320"/>
      <c r="M221" s="320"/>
      <c r="N221" s="320"/>
      <c r="O221" s="320"/>
      <c r="P221" s="320"/>
      <c r="Q221" s="320"/>
      <c r="R221" s="320"/>
      <c r="S221" s="320"/>
      <c r="T221" s="320"/>
      <c r="U221" s="320"/>
      <c r="V221" s="320"/>
      <c r="W221" s="320"/>
      <c r="X221" s="320"/>
      <c r="Y221" s="320"/>
      <c r="Z221" s="320"/>
    </row>
    <row r="222">
      <c r="A222" s="320"/>
      <c r="B222" s="320"/>
      <c r="C222" s="320"/>
      <c r="D222" s="320"/>
      <c r="E222" s="320"/>
      <c r="F222" s="320"/>
      <c r="G222" s="320"/>
      <c r="H222" s="320"/>
      <c r="I222" s="320"/>
      <c r="J222" s="320"/>
      <c r="K222" s="320"/>
      <c r="L222" s="320"/>
      <c r="M222" s="320"/>
      <c r="N222" s="320"/>
      <c r="O222" s="320"/>
      <c r="P222" s="320"/>
      <c r="Q222" s="320"/>
      <c r="R222" s="320"/>
      <c r="S222" s="320"/>
      <c r="T222" s="320"/>
      <c r="U222" s="320"/>
      <c r="V222" s="320"/>
      <c r="W222" s="320"/>
      <c r="X222" s="320"/>
      <c r="Y222" s="320"/>
      <c r="Z222" s="320"/>
    </row>
    <row r="223">
      <c r="A223" s="320"/>
      <c r="B223" s="320"/>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row>
    <row r="224">
      <c r="A224" s="320"/>
      <c r="B224" s="320"/>
      <c r="C224" s="320"/>
      <c r="D224" s="320"/>
      <c r="E224" s="320"/>
      <c r="F224" s="320"/>
      <c r="G224" s="320"/>
      <c r="H224" s="320"/>
      <c r="I224" s="320"/>
      <c r="J224" s="320"/>
      <c r="K224" s="320"/>
      <c r="L224" s="320"/>
      <c r="M224" s="320"/>
      <c r="N224" s="320"/>
      <c r="O224" s="320"/>
      <c r="P224" s="320"/>
      <c r="Q224" s="320"/>
      <c r="R224" s="320"/>
      <c r="S224" s="320"/>
      <c r="T224" s="320"/>
      <c r="U224" s="320"/>
      <c r="V224" s="320"/>
      <c r="W224" s="320"/>
      <c r="X224" s="320"/>
      <c r="Y224" s="320"/>
      <c r="Z224" s="320"/>
    </row>
    <row r="225">
      <c r="A225" s="320"/>
      <c r="B225" s="320"/>
      <c r="C225" s="320"/>
      <c r="D225" s="320"/>
      <c r="E225" s="320"/>
      <c r="F225" s="320"/>
      <c r="G225" s="320"/>
      <c r="H225" s="320"/>
      <c r="I225" s="320"/>
      <c r="J225" s="320"/>
      <c r="K225" s="320"/>
      <c r="L225" s="320"/>
      <c r="M225" s="320"/>
      <c r="N225" s="320"/>
      <c r="O225" s="320"/>
      <c r="P225" s="320"/>
      <c r="Q225" s="320"/>
      <c r="R225" s="320"/>
      <c r="S225" s="320"/>
      <c r="T225" s="320"/>
      <c r="U225" s="320"/>
      <c r="V225" s="320"/>
      <c r="W225" s="320"/>
      <c r="X225" s="320"/>
      <c r="Y225" s="320"/>
      <c r="Z225" s="320"/>
    </row>
    <row r="226">
      <c r="A226" s="320"/>
      <c r="B226" s="320"/>
      <c r="C226" s="320"/>
      <c r="D226" s="320"/>
      <c r="E226" s="320"/>
      <c r="F226" s="320"/>
      <c r="G226" s="320"/>
      <c r="H226" s="320"/>
      <c r="I226" s="320"/>
      <c r="J226" s="320"/>
      <c r="K226" s="320"/>
      <c r="L226" s="320"/>
      <c r="M226" s="320"/>
      <c r="N226" s="320"/>
      <c r="O226" s="320"/>
      <c r="P226" s="320"/>
      <c r="Q226" s="320"/>
      <c r="R226" s="320"/>
      <c r="S226" s="320"/>
      <c r="T226" s="320"/>
      <c r="U226" s="320"/>
      <c r="V226" s="320"/>
      <c r="W226" s="320"/>
      <c r="X226" s="320"/>
      <c r="Y226" s="320"/>
      <c r="Z226" s="320"/>
    </row>
    <row r="227">
      <c r="A227" s="320"/>
      <c r="B227" s="320"/>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row>
    <row r="228">
      <c r="A228" s="320"/>
      <c r="B228" s="320"/>
      <c r="C228" s="320"/>
      <c r="D228" s="320"/>
      <c r="E228" s="320"/>
      <c r="F228" s="320"/>
      <c r="G228" s="320"/>
      <c r="H228" s="320"/>
      <c r="I228" s="320"/>
      <c r="J228" s="320"/>
      <c r="K228" s="320"/>
      <c r="L228" s="320"/>
      <c r="M228" s="320"/>
      <c r="N228" s="320"/>
      <c r="O228" s="320"/>
      <c r="P228" s="320"/>
      <c r="Q228" s="320"/>
      <c r="R228" s="320"/>
      <c r="S228" s="320"/>
      <c r="T228" s="320"/>
      <c r="U228" s="320"/>
      <c r="V228" s="320"/>
      <c r="W228" s="320"/>
      <c r="X228" s="320"/>
      <c r="Y228" s="320"/>
      <c r="Z228" s="320"/>
    </row>
    <row r="229">
      <c r="A229" s="320"/>
      <c r="B229" s="320"/>
      <c r="C229" s="320"/>
      <c r="D229" s="320"/>
      <c r="E229" s="320"/>
      <c r="F229" s="320"/>
      <c r="G229" s="320"/>
      <c r="H229" s="320"/>
      <c r="I229" s="320"/>
      <c r="J229" s="320"/>
      <c r="K229" s="320"/>
      <c r="L229" s="320"/>
      <c r="M229" s="320"/>
      <c r="N229" s="320"/>
      <c r="O229" s="320"/>
      <c r="P229" s="320"/>
      <c r="Q229" s="320"/>
      <c r="R229" s="320"/>
      <c r="S229" s="320"/>
      <c r="T229" s="320"/>
      <c r="U229" s="320"/>
      <c r="V229" s="320"/>
      <c r="W229" s="320"/>
      <c r="X229" s="320"/>
      <c r="Y229" s="320"/>
      <c r="Z229" s="320"/>
    </row>
    <row r="230">
      <c r="A230" s="320"/>
      <c r="B230" s="320"/>
      <c r="C230" s="320"/>
      <c r="D230" s="320"/>
      <c r="E230" s="320"/>
      <c r="F230" s="320"/>
      <c r="G230" s="320"/>
      <c r="H230" s="320"/>
      <c r="I230" s="320"/>
      <c r="J230" s="320"/>
      <c r="K230" s="320"/>
      <c r="L230" s="320"/>
      <c r="M230" s="320"/>
      <c r="N230" s="320"/>
      <c r="O230" s="320"/>
      <c r="P230" s="320"/>
      <c r="Q230" s="320"/>
      <c r="R230" s="320"/>
      <c r="S230" s="320"/>
      <c r="T230" s="320"/>
      <c r="U230" s="320"/>
      <c r="V230" s="320"/>
      <c r="W230" s="320"/>
      <c r="X230" s="320"/>
      <c r="Y230" s="320"/>
      <c r="Z230" s="320"/>
    </row>
    <row r="231">
      <c r="A231" s="320"/>
      <c r="B231" s="320"/>
      <c r="C231" s="320"/>
      <c r="D231" s="320"/>
      <c r="E231" s="320"/>
      <c r="F231" s="320"/>
      <c r="G231" s="320"/>
      <c r="H231" s="320"/>
      <c r="I231" s="320"/>
      <c r="J231" s="320"/>
      <c r="K231" s="320"/>
      <c r="L231" s="320"/>
      <c r="M231" s="320"/>
      <c r="N231" s="320"/>
      <c r="O231" s="320"/>
      <c r="P231" s="320"/>
      <c r="Q231" s="320"/>
      <c r="R231" s="320"/>
      <c r="S231" s="320"/>
      <c r="T231" s="320"/>
      <c r="U231" s="320"/>
      <c r="V231" s="320"/>
      <c r="W231" s="320"/>
      <c r="X231" s="320"/>
      <c r="Y231" s="320"/>
      <c r="Z231" s="320"/>
    </row>
    <row r="232">
      <c r="A232" s="320"/>
      <c r="B232" s="320"/>
      <c r="C232" s="320"/>
      <c r="D232" s="320"/>
      <c r="E232" s="320"/>
      <c r="F232" s="320"/>
      <c r="G232" s="320"/>
      <c r="H232" s="320"/>
      <c r="I232" s="320"/>
      <c r="J232" s="320"/>
      <c r="K232" s="320"/>
      <c r="L232" s="320"/>
      <c r="M232" s="320"/>
      <c r="N232" s="320"/>
      <c r="O232" s="320"/>
      <c r="P232" s="320"/>
      <c r="Q232" s="320"/>
      <c r="R232" s="320"/>
      <c r="S232" s="320"/>
      <c r="T232" s="320"/>
      <c r="U232" s="320"/>
      <c r="V232" s="320"/>
      <c r="W232" s="320"/>
      <c r="X232" s="320"/>
      <c r="Y232" s="320"/>
      <c r="Z232" s="320"/>
    </row>
    <row r="233">
      <c r="A233" s="320"/>
      <c r="B233" s="320"/>
      <c r="C233" s="320"/>
      <c r="D233" s="320"/>
      <c r="E233" s="320"/>
      <c r="F233" s="320"/>
      <c r="G233" s="320"/>
      <c r="H233" s="320"/>
      <c r="I233" s="320"/>
      <c r="J233" s="320"/>
      <c r="K233" s="320"/>
      <c r="L233" s="320"/>
      <c r="M233" s="320"/>
      <c r="N233" s="320"/>
      <c r="O233" s="320"/>
      <c r="P233" s="320"/>
      <c r="Q233" s="320"/>
      <c r="R233" s="320"/>
      <c r="S233" s="320"/>
      <c r="T233" s="320"/>
      <c r="U233" s="320"/>
      <c r="V233" s="320"/>
      <c r="W233" s="320"/>
      <c r="X233" s="320"/>
      <c r="Y233" s="320"/>
      <c r="Z233" s="320"/>
    </row>
    <row r="234">
      <c r="A234" s="320"/>
      <c r="B234" s="320"/>
      <c r="C234" s="320"/>
      <c r="D234" s="320"/>
      <c r="E234" s="320"/>
      <c r="F234" s="320"/>
      <c r="G234" s="320"/>
      <c r="H234" s="320"/>
      <c r="I234" s="320"/>
      <c r="J234" s="320"/>
      <c r="K234" s="320"/>
      <c r="L234" s="320"/>
      <c r="M234" s="320"/>
      <c r="N234" s="320"/>
      <c r="O234" s="320"/>
      <c r="P234" s="320"/>
      <c r="Q234" s="320"/>
      <c r="R234" s="320"/>
      <c r="S234" s="320"/>
      <c r="T234" s="320"/>
      <c r="U234" s="320"/>
      <c r="V234" s="320"/>
      <c r="W234" s="320"/>
      <c r="X234" s="320"/>
      <c r="Y234" s="320"/>
      <c r="Z234" s="320"/>
    </row>
    <row r="235">
      <c r="A235" s="320"/>
      <c r="B235" s="320"/>
      <c r="C235" s="320"/>
      <c r="D235" s="320"/>
      <c r="E235" s="320"/>
      <c r="F235" s="320"/>
      <c r="G235" s="320"/>
      <c r="H235" s="320"/>
      <c r="I235" s="320"/>
      <c r="J235" s="320"/>
      <c r="K235" s="320"/>
      <c r="L235" s="320"/>
      <c r="M235" s="320"/>
      <c r="N235" s="320"/>
      <c r="O235" s="320"/>
      <c r="P235" s="320"/>
      <c r="Q235" s="320"/>
      <c r="R235" s="320"/>
      <c r="S235" s="320"/>
      <c r="T235" s="320"/>
      <c r="U235" s="320"/>
      <c r="V235" s="320"/>
      <c r="W235" s="320"/>
      <c r="X235" s="320"/>
      <c r="Y235" s="320"/>
      <c r="Z235" s="320"/>
    </row>
    <row r="236">
      <c r="A236" s="320"/>
      <c r="B236" s="320"/>
      <c r="C236" s="320"/>
      <c r="D236" s="320"/>
      <c r="E236" s="320"/>
      <c r="F236" s="320"/>
      <c r="G236" s="320"/>
      <c r="H236" s="320"/>
      <c r="I236" s="320"/>
      <c r="J236" s="320"/>
      <c r="K236" s="320"/>
      <c r="L236" s="320"/>
      <c r="M236" s="320"/>
      <c r="N236" s="320"/>
      <c r="O236" s="320"/>
      <c r="P236" s="320"/>
      <c r="Q236" s="320"/>
      <c r="R236" s="320"/>
      <c r="S236" s="320"/>
      <c r="T236" s="320"/>
      <c r="U236" s="320"/>
      <c r="V236" s="320"/>
      <c r="W236" s="320"/>
      <c r="X236" s="320"/>
      <c r="Y236" s="320"/>
      <c r="Z236" s="320"/>
    </row>
    <row r="237">
      <c r="A237" s="320"/>
      <c r="B237" s="320"/>
      <c r="C237" s="320"/>
      <c r="D237" s="320"/>
      <c r="E237" s="320"/>
      <c r="F237" s="320"/>
      <c r="G237" s="320"/>
      <c r="H237" s="320"/>
      <c r="I237" s="320"/>
      <c r="J237" s="320"/>
      <c r="K237" s="320"/>
      <c r="L237" s="320"/>
      <c r="M237" s="320"/>
      <c r="N237" s="320"/>
      <c r="O237" s="320"/>
      <c r="P237" s="320"/>
      <c r="Q237" s="320"/>
      <c r="R237" s="320"/>
      <c r="S237" s="320"/>
      <c r="T237" s="320"/>
      <c r="U237" s="320"/>
      <c r="V237" s="320"/>
      <c r="W237" s="320"/>
      <c r="X237" s="320"/>
      <c r="Y237" s="320"/>
      <c r="Z237" s="320"/>
    </row>
    <row r="238">
      <c r="A238" s="320"/>
      <c r="B238" s="320"/>
      <c r="C238" s="320"/>
      <c r="D238" s="320"/>
      <c r="E238" s="320"/>
      <c r="F238" s="320"/>
      <c r="G238" s="320"/>
      <c r="H238" s="320"/>
      <c r="I238" s="320"/>
      <c r="J238" s="320"/>
      <c r="K238" s="320"/>
      <c r="L238" s="320"/>
      <c r="M238" s="320"/>
      <c r="N238" s="320"/>
      <c r="O238" s="320"/>
      <c r="P238" s="320"/>
      <c r="Q238" s="320"/>
      <c r="R238" s="320"/>
      <c r="S238" s="320"/>
      <c r="T238" s="320"/>
      <c r="U238" s="320"/>
      <c r="V238" s="320"/>
      <c r="W238" s="320"/>
      <c r="X238" s="320"/>
      <c r="Y238" s="320"/>
      <c r="Z238" s="320"/>
    </row>
    <row r="239">
      <c r="A239" s="320"/>
      <c r="B239" s="320"/>
      <c r="C239" s="320"/>
      <c r="D239" s="320"/>
      <c r="E239" s="320"/>
      <c r="F239" s="320"/>
      <c r="G239" s="320"/>
      <c r="H239" s="320"/>
      <c r="I239" s="320"/>
      <c r="J239" s="320"/>
      <c r="K239" s="320"/>
      <c r="L239" s="320"/>
      <c r="M239" s="320"/>
      <c r="N239" s="320"/>
      <c r="O239" s="320"/>
      <c r="P239" s="320"/>
      <c r="Q239" s="320"/>
      <c r="R239" s="320"/>
      <c r="S239" s="320"/>
      <c r="T239" s="320"/>
      <c r="U239" s="320"/>
      <c r="V239" s="320"/>
      <c r="W239" s="320"/>
      <c r="X239" s="320"/>
      <c r="Y239" s="320"/>
      <c r="Z239" s="320"/>
    </row>
    <row r="240">
      <c r="A240" s="320"/>
      <c r="B240" s="320"/>
      <c r="C240" s="320"/>
      <c r="D240" s="320"/>
      <c r="E240" s="320"/>
      <c r="F240" s="320"/>
      <c r="G240" s="320"/>
      <c r="H240" s="320"/>
      <c r="I240" s="320"/>
      <c r="J240" s="320"/>
      <c r="K240" s="320"/>
      <c r="L240" s="320"/>
      <c r="M240" s="320"/>
      <c r="N240" s="320"/>
      <c r="O240" s="320"/>
      <c r="P240" s="320"/>
      <c r="Q240" s="320"/>
      <c r="R240" s="320"/>
      <c r="S240" s="320"/>
      <c r="T240" s="320"/>
      <c r="U240" s="320"/>
      <c r="V240" s="320"/>
      <c r="W240" s="320"/>
      <c r="X240" s="320"/>
      <c r="Y240" s="320"/>
      <c r="Z240" s="320"/>
    </row>
    <row r="241">
      <c r="A241" s="320"/>
      <c r="B241" s="320"/>
      <c r="C241" s="320"/>
      <c r="D241" s="320"/>
      <c r="E241" s="320"/>
      <c r="F241" s="320"/>
      <c r="G241" s="320"/>
      <c r="H241" s="320"/>
      <c r="I241" s="320"/>
      <c r="J241" s="320"/>
      <c r="K241" s="320"/>
      <c r="L241" s="320"/>
      <c r="M241" s="320"/>
      <c r="N241" s="320"/>
      <c r="O241" s="320"/>
      <c r="P241" s="320"/>
      <c r="Q241" s="320"/>
      <c r="R241" s="320"/>
      <c r="S241" s="320"/>
      <c r="T241" s="320"/>
      <c r="U241" s="320"/>
      <c r="V241" s="320"/>
      <c r="W241" s="320"/>
      <c r="X241" s="320"/>
      <c r="Y241" s="320"/>
      <c r="Z241" s="320"/>
    </row>
    <row r="242">
      <c r="A242" s="320"/>
      <c r="B242" s="320"/>
      <c r="C242" s="320"/>
      <c r="D242" s="320"/>
      <c r="E242" s="320"/>
      <c r="F242" s="320"/>
      <c r="G242" s="320"/>
      <c r="H242" s="320"/>
      <c r="I242" s="320"/>
      <c r="J242" s="320"/>
      <c r="K242" s="320"/>
      <c r="L242" s="320"/>
      <c r="M242" s="320"/>
      <c r="N242" s="320"/>
      <c r="O242" s="320"/>
      <c r="P242" s="320"/>
      <c r="Q242" s="320"/>
      <c r="R242" s="320"/>
      <c r="S242" s="320"/>
      <c r="T242" s="320"/>
      <c r="U242" s="320"/>
      <c r="V242" s="320"/>
      <c r="W242" s="320"/>
      <c r="X242" s="320"/>
      <c r="Y242" s="320"/>
      <c r="Z242" s="320"/>
    </row>
    <row r="243">
      <c r="A243" s="320"/>
      <c r="B243" s="320"/>
      <c r="C243" s="320"/>
      <c r="D243" s="320"/>
      <c r="E243" s="320"/>
      <c r="F243" s="320"/>
      <c r="G243" s="320"/>
      <c r="H243" s="320"/>
      <c r="I243" s="320"/>
      <c r="J243" s="320"/>
      <c r="K243" s="320"/>
      <c r="L243" s="320"/>
      <c r="M243" s="320"/>
      <c r="N243" s="320"/>
      <c r="O243" s="320"/>
      <c r="P243" s="320"/>
      <c r="Q243" s="320"/>
      <c r="R243" s="320"/>
      <c r="S243" s="320"/>
      <c r="T243" s="320"/>
      <c r="U243" s="320"/>
      <c r="V243" s="320"/>
      <c r="W243" s="320"/>
      <c r="X243" s="320"/>
      <c r="Y243" s="320"/>
      <c r="Z243" s="320"/>
    </row>
    <row r="244">
      <c r="A244" s="320"/>
      <c r="B244" s="320"/>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row>
    <row r="245">
      <c r="A245" s="320"/>
      <c r="B245" s="320"/>
      <c r="C245" s="320"/>
      <c r="D245" s="320"/>
      <c r="E245" s="320"/>
      <c r="F245" s="320"/>
      <c r="G245" s="320"/>
      <c r="H245" s="320"/>
      <c r="I245" s="320"/>
      <c r="J245" s="320"/>
      <c r="K245" s="320"/>
      <c r="L245" s="320"/>
      <c r="M245" s="320"/>
      <c r="N245" s="320"/>
      <c r="O245" s="320"/>
      <c r="P245" s="320"/>
      <c r="Q245" s="320"/>
      <c r="R245" s="320"/>
      <c r="S245" s="320"/>
      <c r="T245" s="320"/>
      <c r="U245" s="320"/>
      <c r="V245" s="320"/>
      <c r="W245" s="320"/>
      <c r="X245" s="320"/>
      <c r="Y245" s="320"/>
      <c r="Z245" s="320"/>
    </row>
    <row r="246">
      <c r="A246" s="320"/>
      <c r="B246" s="320"/>
      <c r="C246" s="320"/>
      <c r="D246" s="320"/>
      <c r="E246" s="320"/>
      <c r="F246" s="320"/>
      <c r="G246" s="320"/>
      <c r="H246" s="320"/>
      <c r="I246" s="320"/>
      <c r="J246" s="320"/>
      <c r="K246" s="320"/>
      <c r="L246" s="320"/>
      <c r="M246" s="320"/>
      <c r="N246" s="320"/>
      <c r="O246" s="320"/>
      <c r="P246" s="320"/>
      <c r="Q246" s="320"/>
      <c r="R246" s="320"/>
      <c r="S246" s="320"/>
      <c r="T246" s="320"/>
      <c r="U246" s="320"/>
      <c r="V246" s="320"/>
      <c r="W246" s="320"/>
      <c r="X246" s="320"/>
      <c r="Y246" s="320"/>
      <c r="Z246" s="320"/>
    </row>
    <row r="247">
      <c r="A247" s="320"/>
      <c r="B247" s="320"/>
      <c r="C247" s="320"/>
      <c r="D247" s="320"/>
      <c r="E247" s="320"/>
      <c r="F247" s="320"/>
      <c r="G247" s="320"/>
      <c r="H247" s="320"/>
      <c r="I247" s="320"/>
      <c r="J247" s="320"/>
      <c r="K247" s="320"/>
      <c r="L247" s="320"/>
      <c r="M247" s="320"/>
      <c r="N247" s="320"/>
      <c r="O247" s="320"/>
      <c r="P247" s="320"/>
      <c r="Q247" s="320"/>
      <c r="R247" s="320"/>
      <c r="S247" s="320"/>
      <c r="T247" s="320"/>
      <c r="U247" s="320"/>
      <c r="V247" s="320"/>
      <c r="W247" s="320"/>
      <c r="X247" s="320"/>
      <c r="Y247" s="320"/>
      <c r="Z247" s="320"/>
    </row>
    <row r="248">
      <c r="A248" s="320"/>
      <c r="B248" s="320"/>
      <c r="C248" s="320"/>
      <c r="D248" s="320"/>
      <c r="E248" s="320"/>
      <c r="F248" s="320"/>
      <c r="G248" s="320"/>
      <c r="H248" s="320"/>
      <c r="I248" s="320"/>
      <c r="J248" s="320"/>
      <c r="K248" s="320"/>
      <c r="L248" s="320"/>
      <c r="M248" s="320"/>
      <c r="N248" s="320"/>
      <c r="O248" s="320"/>
      <c r="P248" s="320"/>
      <c r="Q248" s="320"/>
      <c r="R248" s="320"/>
      <c r="S248" s="320"/>
      <c r="T248" s="320"/>
      <c r="U248" s="320"/>
      <c r="V248" s="320"/>
      <c r="W248" s="320"/>
      <c r="X248" s="320"/>
      <c r="Y248" s="320"/>
      <c r="Z248" s="320"/>
    </row>
    <row r="249">
      <c r="A249" s="320"/>
      <c r="B249" s="320"/>
      <c r="C249" s="320"/>
      <c r="D249" s="320"/>
      <c r="E249" s="320"/>
      <c r="F249" s="320"/>
      <c r="G249" s="320"/>
      <c r="H249" s="320"/>
      <c r="I249" s="320"/>
      <c r="J249" s="320"/>
      <c r="K249" s="320"/>
      <c r="L249" s="320"/>
      <c r="M249" s="320"/>
      <c r="N249" s="320"/>
      <c r="O249" s="320"/>
      <c r="P249" s="320"/>
      <c r="Q249" s="320"/>
      <c r="R249" s="320"/>
      <c r="S249" s="320"/>
      <c r="T249" s="320"/>
      <c r="U249" s="320"/>
      <c r="V249" s="320"/>
      <c r="W249" s="320"/>
      <c r="X249" s="320"/>
      <c r="Y249" s="320"/>
      <c r="Z249" s="320"/>
    </row>
    <row r="250">
      <c r="A250" s="320"/>
      <c r="B250" s="320"/>
      <c r="C250" s="320"/>
      <c r="D250" s="320"/>
      <c r="E250" s="320"/>
      <c r="F250" s="320"/>
      <c r="G250" s="320"/>
      <c r="H250" s="320"/>
      <c r="I250" s="320"/>
      <c r="J250" s="320"/>
      <c r="K250" s="320"/>
      <c r="L250" s="320"/>
      <c r="M250" s="320"/>
      <c r="N250" s="320"/>
      <c r="O250" s="320"/>
      <c r="P250" s="320"/>
      <c r="Q250" s="320"/>
      <c r="R250" s="320"/>
      <c r="S250" s="320"/>
      <c r="T250" s="320"/>
      <c r="U250" s="320"/>
      <c r="V250" s="320"/>
      <c r="W250" s="320"/>
      <c r="X250" s="320"/>
      <c r="Y250" s="320"/>
      <c r="Z250" s="320"/>
    </row>
    <row r="251">
      <c r="A251" s="320"/>
      <c r="B251" s="320"/>
      <c r="C251" s="320"/>
      <c r="D251" s="320"/>
      <c r="E251" s="320"/>
      <c r="F251" s="320"/>
      <c r="G251" s="320"/>
      <c r="H251" s="320"/>
      <c r="I251" s="320"/>
      <c r="J251" s="320"/>
      <c r="K251" s="320"/>
      <c r="L251" s="320"/>
      <c r="M251" s="320"/>
      <c r="N251" s="320"/>
      <c r="O251" s="320"/>
      <c r="P251" s="320"/>
      <c r="Q251" s="320"/>
      <c r="R251" s="320"/>
      <c r="S251" s="320"/>
      <c r="T251" s="320"/>
      <c r="U251" s="320"/>
      <c r="V251" s="320"/>
      <c r="W251" s="320"/>
      <c r="X251" s="320"/>
      <c r="Y251" s="320"/>
      <c r="Z251" s="320"/>
    </row>
    <row r="252">
      <c r="A252" s="320"/>
      <c r="B252" s="320"/>
      <c r="C252" s="320"/>
      <c r="D252" s="320"/>
      <c r="E252" s="320"/>
      <c r="F252" s="320"/>
      <c r="G252" s="320"/>
      <c r="H252" s="320"/>
      <c r="I252" s="320"/>
      <c r="J252" s="320"/>
      <c r="K252" s="320"/>
      <c r="L252" s="320"/>
      <c r="M252" s="320"/>
      <c r="N252" s="320"/>
      <c r="O252" s="320"/>
      <c r="P252" s="320"/>
      <c r="Q252" s="320"/>
      <c r="R252" s="320"/>
      <c r="S252" s="320"/>
      <c r="T252" s="320"/>
      <c r="U252" s="320"/>
      <c r="V252" s="320"/>
      <c r="W252" s="320"/>
      <c r="X252" s="320"/>
      <c r="Y252" s="320"/>
      <c r="Z252" s="320"/>
    </row>
    <row r="253">
      <c r="A253" s="320"/>
      <c r="B253" s="320"/>
      <c r="C253" s="320"/>
      <c r="D253" s="320"/>
      <c r="E253" s="320"/>
      <c r="F253" s="320"/>
      <c r="G253" s="320"/>
      <c r="H253" s="320"/>
      <c r="I253" s="320"/>
      <c r="J253" s="320"/>
      <c r="K253" s="320"/>
      <c r="L253" s="320"/>
      <c r="M253" s="320"/>
      <c r="N253" s="320"/>
      <c r="O253" s="320"/>
      <c r="P253" s="320"/>
      <c r="Q253" s="320"/>
      <c r="R253" s="320"/>
      <c r="S253" s="320"/>
      <c r="T253" s="320"/>
      <c r="U253" s="320"/>
      <c r="V253" s="320"/>
      <c r="W253" s="320"/>
      <c r="X253" s="320"/>
      <c r="Y253" s="320"/>
      <c r="Z253" s="320"/>
    </row>
    <row r="254">
      <c r="A254" s="320"/>
      <c r="B254" s="320"/>
      <c r="C254" s="320"/>
      <c r="D254" s="320"/>
      <c r="E254" s="320"/>
      <c r="F254" s="320"/>
      <c r="G254" s="320"/>
      <c r="H254" s="320"/>
      <c r="I254" s="320"/>
      <c r="J254" s="320"/>
      <c r="K254" s="320"/>
      <c r="L254" s="320"/>
      <c r="M254" s="320"/>
      <c r="N254" s="320"/>
      <c r="O254" s="320"/>
      <c r="P254" s="320"/>
      <c r="Q254" s="320"/>
      <c r="R254" s="320"/>
      <c r="S254" s="320"/>
      <c r="T254" s="320"/>
      <c r="U254" s="320"/>
      <c r="V254" s="320"/>
      <c r="W254" s="320"/>
      <c r="X254" s="320"/>
      <c r="Y254" s="320"/>
      <c r="Z254" s="320"/>
    </row>
    <row r="255">
      <c r="A255" s="320"/>
      <c r="B255" s="320"/>
      <c r="C255" s="320"/>
      <c r="D255" s="320"/>
      <c r="E255" s="320"/>
      <c r="F255" s="320"/>
      <c r="G255" s="320"/>
      <c r="H255" s="320"/>
      <c r="I255" s="320"/>
      <c r="J255" s="320"/>
      <c r="K255" s="320"/>
      <c r="L255" s="320"/>
      <c r="M255" s="320"/>
      <c r="N255" s="320"/>
      <c r="O255" s="320"/>
      <c r="P255" s="320"/>
      <c r="Q255" s="320"/>
      <c r="R255" s="320"/>
      <c r="S255" s="320"/>
      <c r="T255" s="320"/>
      <c r="U255" s="320"/>
      <c r="V255" s="320"/>
      <c r="W255" s="320"/>
      <c r="X255" s="320"/>
      <c r="Y255" s="320"/>
      <c r="Z255" s="320"/>
    </row>
    <row r="256">
      <c r="A256" s="320"/>
      <c r="B256" s="320"/>
      <c r="C256" s="320"/>
      <c r="D256" s="320"/>
      <c r="E256" s="320"/>
      <c r="F256" s="320"/>
      <c r="G256" s="320"/>
      <c r="H256" s="320"/>
      <c r="I256" s="320"/>
      <c r="J256" s="320"/>
      <c r="K256" s="320"/>
      <c r="L256" s="320"/>
      <c r="M256" s="320"/>
      <c r="N256" s="320"/>
      <c r="O256" s="320"/>
      <c r="P256" s="320"/>
      <c r="Q256" s="320"/>
      <c r="R256" s="320"/>
      <c r="S256" s="320"/>
      <c r="T256" s="320"/>
      <c r="U256" s="320"/>
      <c r="V256" s="320"/>
      <c r="W256" s="320"/>
      <c r="X256" s="320"/>
      <c r="Y256" s="320"/>
      <c r="Z256" s="320"/>
    </row>
    <row r="257">
      <c r="A257" s="320"/>
      <c r="B257" s="320"/>
      <c r="C257" s="320"/>
      <c r="D257" s="320"/>
      <c r="E257" s="320"/>
      <c r="F257" s="320"/>
      <c r="G257" s="320"/>
      <c r="H257" s="320"/>
      <c r="I257" s="320"/>
      <c r="J257" s="320"/>
      <c r="K257" s="320"/>
      <c r="L257" s="320"/>
      <c r="M257" s="320"/>
      <c r="N257" s="320"/>
      <c r="O257" s="320"/>
      <c r="P257" s="320"/>
      <c r="Q257" s="320"/>
      <c r="R257" s="320"/>
      <c r="S257" s="320"/>
      <c r="T257" s="320"/>
      <c r="U257" s="320"/>
      <c r="V257" s="320"/>
      <c r="W257" s="320"/>
      <c r="X257" s="320"/>
      <c r="Y257" s="320"/>
      <c r="Z257" s="320"/>
    </row>
    <row r="258">
      <c r="A258" s="320"/>
      <c r="B258" s="320"/>
      <c r="C258" s="320"/>
      <c r="D258" s="320"/>
      <c r="E258" s="320"/>
      <c r="F258" s="320"/>
      <c r="G258" s="320"/>
      <c r="H258" s="320"/>
      <c r="I258" s="320"/>
      <c r="J258" s="320"/>
      <c r="K258" s="320"/>
      <c r="L258" s="320"/>
      <c r="M258" s="320"/>
      <c r="N258" s="320"/>
      <c r="O258" s="320"/>
      <c r="P258" s="320"/>
      <c r="Q258" s="320"/>
      <c r="R258" s="320"/>
      <c r="S258" s="320"/>
      <c r="T258" s="320"/>
      <c r="U258" s="320"/>
      <c r="V258" s="320"/>
      <c r="W258" s="320"/>
      <c r="X258" s="320"/>
      <c r="Y258" s="320"/>
      <c r="Z258" s="320"/>
    </row>
    <row r="259">
      <c r="A259" s="320"/>
      <c r="B259" s="320"/>
      <c r="C259" s="320"/>
      <c r="D259" s="320"/>
      <c r="E259" s="320"/>
      <c r="F259" s="320"/>
      <c r="G259" s="320"/>
      <c r="H259" s="320"/>
      <c r="I259" s="320"/>
      <c r="J259" s="320"/>
      <c r="K259" s="320"/>
      <c r="L259" s="320"/>
      <c r="M259" s="320"/>
      <c r="N259" s="320"/>
      <c r="O259" s="320"/>
      <c r="P259" s="320"/>
      <c r="Q259" s="320"/>
      <c r="R259" s="320"/>
      <c r="S259" s="320"/>
      <c r="T259" s="320"/>
      <c r="U259" s="320"/>
      <c r="V259" s="320"/>
      <c r="W259" s="320"/>
      <c r="X259" s="320"/>
      <c r="Y259" s="320"/>
      <c r="Z259" s="320"/>
    </row>
    <row r="260">
      <c r="A260" s="320"/>
      <c r="B260" s="320"/>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row>
    <row r="261">
      <c r="A261" s="320"/>
      <c r="B261" s="320"/>
      <c r="C261" s="320"/>
      <c r="D261" s="320"/>
      <c r="E261" s="320"/>
      <c r="F261" s="320"/>
      <c r="G261" s="320"/>
      <c r="H261" s="320"/>
      <c r="I261" s="320"/>
      <c r="J261" s="320"/>
      <c r="K261" s="320"/>
      <c r="L261" s="320"/>
      <c r="M261" s="320"/>
      <c r="N261" s="320"/>
      <c r="O261" s="320"/>
      <c r="P261" s="320"/>
      <c r="Q261" s="320"/>
      <c r="R261" s="320"/>
      <c r="S261" s="320"/>
      <c r="T261" s="320"/>
      <c r="U261" s="320"/>
      <c r="V261" s="320"/>
      <c r="W261" s="320"/>
      <c r="X261" s="320"/>
      <c r="Y261" s="320"/>
      <c r="Z261" s="320"/>
    </row>
    <row r="262">
      <c r="A262" s="320"/>
      <c r="B262" s="320"/>
      <c r="C262" s="320"/>
      <c r="D262" s="320"/>
      <c r="E262" s="320"/>
      <c r="F262" s="320"/>
      <c r="G262" s="320"/>
      <c r="H262" s="320"/>
      <c r="I262" s="320"/>
      <c r="J262" s="320"/>
      <c r="K262" s="320"/>
      <c r="L262" s="320"/>
      <c r="M262" s="320"/>
      <c r="N262" s="320"/>
      <c r="O262" s="320"/>
      <c r="P262" s="320"/>
      <c r="Q262" s="320"/>
      <c r="R262" s="320"/>
      <c r="S262" s="320"/>
      <c r="T262" s="320"/>
      <c r="U262" s="320"/>
      <c r="V262" s="320"/>
      <c r="W262" s="320"/>
      <c r="X262" s="320"/>
      <c r="Y262" s="320"/>
      <c r="Z262" s="320"/>
    </row>
    <row r="263">
      <c r="A263" s="320"/>
      <c r="B263" s="320"/>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c r="Z263" s="320"/>
    </row>
    <row r="264">
      <c r="A264" s="320"/>
      <c r="B264" s="320"/>
      <c r="C264" s="320"/>
      <c r="D264" s="320"/>
      <c r="E264" s="320"/>
      <c r="F264" s="320"/>
      <c r="G264" s="320"/>
      <c r="H264" s="320"/>
      <c r="I264" s="320"/>
      <c r="J264" s="320"/>
      <c r="K264" s="320"/>
      <c r="L264" s="320"/>
      <c r="M264" s="320"/>
      <c r="N264" s="320"/>
      <c r="O264" s="320"/>
      <c r="P264" s="320"/>
      <c r="Q264" s="320"/>
      <c r="R264" s="320"/>
      <c r="S264" s="320"/>
      <c r="T264" s="320"/>
      <c r="U264" s="320"/>
      <c r="V264" s="320"/>
      <c r="W264" s="320"/>
      <c r="X264" s="320"/>
      <c r="Y264" s="320"/>
      <c r="Z264" s="320"/>
    </row>
    <row r="265">
      <c r="A265" s="320"/>
      <c r="B265" s="320"/>
      <c r="C265" s="320"/>
      <c r="D265" s="320"/>
      <c r="E265" s="320"/>
      <c r="F265" s="320"/>
      <c r="G265" s="320"/>
      <c r="H265" s="320"/>
      <c r="I265" s="320"/>
      <c r="J265" s="320"/>
      <c r="K265" s="320"/>
      <c r="L265" s="320"/>
      <c r="M265" s="320"/>
      <c r="N265" s="320"/>
      <c r="O265" s="320"/>
      <c r="P265" s="320"/>
      <c r="Q265" s="320"/>
      <c r="R265" s="320"/>
      <c r="S265" s="320"/>
      <c r="T265" s="320"/>
      <c r="U265" s="320"/>
      <c r="V265" s="320"/>
      <c r="W265" s="320"/>
      <c r="X265" s="320"/>
      <c r="Y265" s="320"/>
      <c r="Z265" s="320"/>
    </row>
    <row r="266">
      <c r="A266" s="320"/>
      <c r="B266" s="320"/>
      <c r="C266" s="320"/>
      <c r="D266" s="320"/>
      <c r="E266" s="320"/>
      <c r="F266" s="320"/>
      <c r="G266" s="320"/>
      <c r="H266" s="320"/>
      <c r="I266" s="320"/>
      <c r="J266" s="320"/>
      <c r="K266" s="320"/>
      <c r="L266" s="320"/>
      <c r="M266" s="320"/>
      <c r="N266" s="320"/>
      <c r="O266" s="320"/>
      <c r="P266" s="320"/>
      <c r="Q266" s="320"/>
      <c r="R266" s="320"/>
      <c r="S266" s="320"/>
      <c r="T266" s="320"/>
      <c r="U266" s="320"/>
      <c r="V266" s="320"/>
      <c r="W266" s="320"/>
      <c r="X266" s="320"/>
      <c r="Y266" s="320"/>
      <c r="Z266" s="320"/>
    </row>
    <row r="267">
      <c r="A267" s="320"/>
      <c r="B267" s="320"/>
      <c r="C267" s="320"/>
      <c r="D267" s="320"/>
      <c r="E267" s="320"/>
      <c r="F267" s="320"/>
      <c r="G267" s="320"/>
      <c r="H267" s="320"/>
      <c r="I267" s="320"/>
      <c r="J267" s="320"/>
      <c r="K267" s="320"/>
      <c r="L267" s="320"/>
      <c r="M267" s="320"/>
      <c r="N267" s="320"/>
      <c r="O267" s="320"/>
      <c r="P267" s="320"/>
      <c r="Q267" s="320"/>
      <c r="R267" s="320"/>
      <c r="S267" s="320"/>
      <c r="T267" s="320"/>
      <c r="U267" s="320"/>
      <c r="V267" s="320"/>
      <c r="W267" s="320"/>
      <c r="X267" s="320"/>
      <c r="Y267" s="320"/>
      <c r="Z267" s="320"/>
    </row>
    <row r="268">
      <c r="A268" s="320"/>
      <c r="B268" s="320"/>
      <c r="C268" s="320"/>
      <c r="D268" s="320"/>
      <c r="E268" s="320"/>
      <c r="F268" s="320"/>
      <c r="G268" s="320"/>
      <c r="H268" s="320"/>
      <c r="I268" s="320"/>
      <c r="J268" s="320"/>
      <c r="K268" s="320"/>
      <c r="L268" s="320"/>
      <c r="M268" s="320"/>
      <c r="N268" s="320"/>
      <c r="O268" s="320"/>
      <c r="P268" s="320"/>
      <c r="Q268" s="320"/>
      <c r="R268" s="320"/>
      <c r="S268" s="320"/>
      <c r="T268" s="320"/>
      <c r="U268" s="320"/>
      <c r="V268" s="320"/>
      <c r="W268" s="320"/>
      <c r="X268" s="320"/>
      <c r="Y268" s="320"/>
      <c r="Z268" s="320"/>
    </row>
    <row r="269">
      <c r="A269" s="320"/>
      <c r="B269" s="320"/>
      <c r="C269" s="320"/>
      <c r="D269" s="320"/>
      <c r="E269" s="320"/>
      <c r="F269" s="320"/>
      <c r="G269" s="320"/>
      <c r="H269" s="320"/>
      <c r="I269" s="320"/>
      <c r="J269" s="320"/>
      <c r="K269" s="320"/>
      <c r="L269" s="320"/>
      <c r="M269" s="320"/>
      <c r="N269" s="320"/>
      <c r="O269" s="320"/>
      <c r="P269" s="320"/>
      <c r="Q269" s="320"/>
      <c r="R269" s="320"/>
      <c r="S269" s="320"/>
      <c r="T269" s="320"/>
      <c r="U269" s="320"/>
      <c r="V269" s="320"/>
      <c r="W269" s="320"/>
      <c r="X269" s="320"/>
      <c r="Y269" s="320"/>
      <c r="Z269" s="320"/>
    </row>
    <row r="270">
      <c r="A270" s="320"/>
      <c r="B270" s="320"/>
      <c r="C270" s="320"/>
      <c r="D270" s="320"/>
      <c r="E270" s="320"/>
      <c r="F270" s="320"/>
      <c r="G270" s="320"/>
      <c r="H270" s="320"/>
      <c r="I270" s="320"/>
      <c r="J270" s="320"/>
      <c r="K270" s="320"/>
      <c r="L270" s="320"/>
      <c r="M270" s="320"/>
      <c r="N270" s="320"/>
      <c r="O270" s="320"/>
      <c r="P270" s="320"/>
      <c r="Q270" s="320"/>
      <c r="R270" s="320"/>
      <c r="S270" s="320"/>
      <c r="T270" s="320"/>
      <c r="U270" s="320"/>
      <c r="V270" s="320"/>
      <c r="W270" s="320"/>
      <c r="X270" s="320"/>
      <c r="Y270" s="320"/>
      <c r="Z270" s="320"/>
    </row>
    <row r="271">
      <c r="A271" s="320"/>
      <c r="B271" s="320"/>
      <c r="C271" s="320"/>
      <c r="D271" s="320"/>
      <c r="E271" s="320"/>
      <c r="F271" s="320"/>
      <c r="G271" s="320"/>
      <c r="H271" s="320"/>
      <c r="I271" s="320"/>
      <c r="J271" s="320"/>
      <c r="K271" s="320"/>
      <c r="L271" s="320"/>
      <c r="M271" s="320"/>
      <c r="N271" s="320"/>
      <c r="O271" s="320"/>
      <c r="P271" s="320"/>
      <c r="Q271" s="320"/>
      <c r="R271" s="320"/>
      <c r="S271" s="320"/>
      <c r="T271" s="320"/>
      <c r="U271" s="320"/>
      <c r="V271" s="320"/>
      <c r="W271" s="320"/>
      <c r="X271" s="320"/>
      <c r="Y271" s="320"/>
      <c r="Z271" s="320"/>
    </row>
    <row r="272">
      <c r="A272" s="320"/>
      <c r="B272" s="320"/>
      <c r="C272" s="320"/>
      <c r="D272" s="320"/>
      <c r="E272" s="320"/>
      <c r="F272" s="320"/>
      <c r="G272" s="320"/>
      <c r="H272" s="320"/>
      <c r="I272" s="320"/>
      <c r="J272" s="320"/>
      <c r="K272" s="320"/>
      <c r="L272" s="320"/>
      <c r="M272" s="320"/>
      <c r="N272" s="320"/>
      <c r="O272" s="320"/>
      <c r="P272" s="320"/>
      <c r="Q272" s="320"/>
      <c r="R272" s="320"/>
      <c r="S272" s="320"/>
      <c r="T272" s="320"/>
      <c r="U272" s="320"/>
      <c r="V272" s="320"/>
      <c r="W272" s="320"/>
      <c r="X272" s="320"/>
      <c r="Y272" s="320"/>
      <c r="Z272" s="320"/>
    </row>
    <row r="273">
      <c r="A273" s="320"/>
      <c r="B273" s="320"/>
      <c r="C273" s="320"/>
      <c r="D273" s="320"/>
      <c r="E273" s="320"/>
      <c r="F273" s="320"/>
      <c r="G273" s="320"/>
      <c r="H273" s="320"/>
      <c r="I273" s="320"/>
      <c r="J273" s="320"/>
      <c r="K273" s="320"/>
      <c r="L273" s="320"/>
      <c r="M273" s="320"/>
      <c r="N273" s="320"/>
      <c r="O273" s="320"/>
      <c r="P273" s="320"/>
      <c r="Q273" s="320"/>
      <c r="R273" s="320"/>
      <c r="S273" s="320"/>
      <c r="T273" s="320"/>
      <c r="U273" s="320"/>
      <c r="V273" s="320"/>
      <c r="W273" s="320"/>
      <c r="X273" s="320"/>
      <c r="Y273" s="320"/>
      <c r="Z273" s="320"/>
    </row>
    <row r="274">
      <c r="A274" s="320"/>
      <c r="B274" s="320"/>
      <c r="C274" s="320"/>
      <c r="D274" s="320"/>
      <c r="E274" s="320"/>
      <c r="F274" s="320"/>
      <c r="G274" s="320"/>
      <c r="H274" s="320"/>
      <c r="I274" s="320"/>
      <c r="J274" s="320"/>
      <c r="K274" s="320"/>
      <c r="L274" s="320"/>
      <c r="M274" s="320"/>
      <c r="N274" s="320"/>
      <c r="O274" s="320"/>
      <c r="P274" s="320"/>
      <c r="Q274" s="320"/>
      <c r="R274" s="320"/>
      <c r="S274" s="320"/>
      <c r="T274" s="320"/>
      <c r="U274" s="320"/>
      <c r="V274" s="320"/>
      <c r="W274" s="320"/>
      <c r="X274" s="320"/>
      <c r="Y274" s="320"/>
      <c r="Z274" s="320"/>
    </row>
    <row r="275">
      <c r="A275" s="320"/>
      <c r="B275" s="320"/>
      <c r="C275" s="320"/>
      <c r="D275" s="320"/>
      <c r="E275" s="320"/>
      <c r="F275" s="320"/>
      <c r="G275" s="320"/>
      <c r="H275" s="320"/>
      <c r="I275" s="320"/>
      <c r="J275" s="320"/>
      <c r="K275" s="320"/>
      <c r="L275" s="320"/>
      <c r="M275" s="320"/>
      <c r="N275" s="320"/>
      <c r="O275" s="320"/>
      <c r="P275" s="320"/>
      <c r="Q275" s="320"/>
      <c r="R275" s="320"/>
      <c r="S275" s="320"/>
      <c r="T275" s="320"/>
      <c r="U275" s="320"/>
      <c r="V275" s="320"/>
      <c r="W275" s="320"/>
      <c r="X275" s="320"/>
      <c r="Y275" s="320"/>
      <c r="Z275" s="320"/>
    </row>
    <row r="276">
      <c r="A276" s="320"/>
      <c r="B276" s="320"/>
      <c r="C276" s="320"/>
      <c r="D276" s="320"/>
      <c r="E276" s="320"/>
      <c r="F276" s="320"/>
      <c r="G276" s="320"/>
      <c r="H276" s="320"/>
      <c r="I276" s="320"/>
      <c r="J276" s="320"/>
      <c r="K276" s="320"/>
      <c r="L276" s="320"/>
      <c r="M276" s="320"/>
      <c r="N276" s="320"/>
      <c r="O276" s="320"/>
      <c r="P276" s="320"/>
      <c r="Q276" s="320"/>
      <c r="R276" s="320"/>
      <c r="S276" s="320"/>
      <c r="T276" s="320"/>
      <c r="U276" s="320"/>
      <c r="V276" s="320"/>
      <c r="W276" s="320"/>
      <c r="X276" s="320"/>
      <c r="Y276" s="320"/>
      <c r="Z276" s="320"/>
    </row>
    <row r="277">
      <c r="A277" s="320"/>
      <c r="B277" s="320"/>
      <c r="C277" s="320"/>
      <c r="D277" s="320"/>
      <c r="E277" s="320"/>
      <c r="F277" s="320"/>
      <c r="G277" s="320"/>
      <c r="H277" s="320"/>
      <c r="I277" s="320"/>
      <c r="J277" s="320"/>
      <c r="K277" s="320"/>
      <c r="L277" s="320"/>
      <c r="M277" s="320"/>
      <c r="N277" s="320"/>
      <c r="O277" s="320"/>
      <c r="P277" s="320"/>
      <c r="Q277" s="320"/>
      <c r="R277" s="320"/>
      <c r="S277" s="320"/>
      <c r="T277" s="320"/>
      <c r="U277" s="320"/>
      <c r="V277" s="320"/>
      <c r="W277" s="320"/>
      <c r="X277" s="320"/>
      <c r="Y277" s="320"/>
      <c r="Z277" s="320"/>
    </row>
    <row r="278">
      <c r="A278" s="320"/>
      <c r="B278" s="320"/>
      <c r="C278" s="320"/>
      <c r="D278" s="320"/>
      <c r="E278" s="320"/>
      <c r="F278" s="320"/>
      <c r="G278" s="320"/>
      <c r="H278" s="320"/>
      <c r="I278" s="320"/>
      <c r="J278" s="320"/>
      <c r="K278" s="320"/>
      <c r="L278" s="320"/>
      <c r="M278" s="320"/>
      <c r="N278" s="320"/>
      <c r="O278" s="320"/>
      <c r="P278" s="320"/>
      <c r="Q278" s="320"/>
      <c r="R278" s="320"/>
      <c r="S278" s="320"/>
      <c r="T278" s="320"/>
      <c r="U278" s="320"/>
      <c r="V278" s="320"/>
      <c r="W278" s="320"/>
      <c r="X278" s="320"/>
      <c r="Y278" s="320"/>
      <c r="Z278" s="320"/>
    </row>
    <row r="279">
      <c r="A279" s="320"/>
      <c r="B279" s="320"/>
      <c r="C279" s="320"/>
      <c r="D279" s="320"/>
      <c r="E279" s="320"/>
      <c r="F279" s="320"/>
      <c r="G279" s="320"/>
      <c r="H279" s="320"/>
      <c r="I279" s="320"/>
      <c r="J279" s="320"/>
      <c r="K279" s="320"/>
      <c r="L279" s="320"/>
      <c r="M279" s="320"/>
      <c r="N279" s="320"/>
      <c r="O279" s="320"/>
      <c r="P279" s="320"/>
      <c r="Q279" s="320"/>
      <c r="R279" s="320"/>
      <c r="S279" s="320"/>
      <c r="T279" s="320"/>
      <c r="U279" s="320"/>
      <c r="V279" s="320"/>
      <c r="W279" s="320"/>
      <c r="X279" s="320"/>
      <c r="Y279" s="320"/>
      <c r="Z279" s="320"/>
    </row>
    <row r="280">
      <c r="A280" s="320"/>
      <c r="B280" s="320"/>
      <c r="C280" s="320"/>
      <c r="D280" s="320"/>
      <c r="E280" s="320"/>
      <c r="F280" s="320"/>
      <c r="G280" s="320"/>
      <c r="H280" s="320"/>
      <c r="I280" s="320"/>
      <c r="J280" s="320"/>
      <c r="K280" s="320"/>
      <c r="L280" s="320"/>
      <c r="M280" s="320"/>
      <c r="N280" s="320"/>
      <c r="O280" s="320"/>
      <c r="P280" s="320"/>
      <c r="Q280" s="320"/>
      <c r="R280" s="320"/>
      <c r="S280" s="320"/>
      <c r="T280" s="320"/>
      <c r="U280" s="320"/>
      <c r="V280" s="320"/>
      <c r="W280" s="320"/>
      <c r="X280" s="320"/>
      <c r="Y280" s="320"/>
      <c r="Z280" s="320"/>
    </row>
    <row r="281">
      <c r="A281" s="320"/>
      <c r="B281" s="320"/>
      <c r="C281" s="320"/>
      <c r="D281" s="320"/>
      <c r="E281" s="320"/>
      <c r="F281" s="320"/>
      <c r="G281" s="320"/>
      <c r="H281" s="320"/>
      <c r="I281" s="320"/>
      <c r="J281" s="320"/>
      <c r="K281" s="320"/>
      <c r="L281" s="320"/>
      <c r="M281" s="320"/>
      <c r="N281" s="320"/>
      <c r="O281" s="320"/>
      <c r="P281" s="320"/>
      <c r="Q281" s="320"/>
      <c r="R281" s="320"/>
      <c r="S281" s="320"/>
      <c r="T281" s="320"/>
      <c r="U281" s="320"/>
      <c r="V281" s="320"/>
      <c r="W281" s="320"/>
      <c r="X281" s="320"/>
      <c r="Y281" s="320"/>
      <c r="Z281" s="320"/>
    </row>
    <row r="282">
      <c r="A282" s="320"/>
      <c r="B282" s="320"/>
      <c r="C282" s="320"/>
      <c r="D282" s="320"/>
      <c r="E282" s="320"/>
      <c r="F282" s="320"/>
      <c r="G282" s="320"/>
      <c r="H282" s="320"/>
      <c r="I282" s="320"/>
      <c r="J282" s="320"/>
      <c r="K282" s="320"/>
      <c r="L282" s="320"/>
      <c r="M282" s="320"/>
      <c r="N282" s="320"/>
      <c r="O282" s="320"/>
      <c r="P282" s="320"/>
      <c r="Q282" s="320"/>
      <c r="R282" s="320"/>
      <c r="S282" s="320"/>
      <c r="T282" s="320"/>
      <c r="U282" s="320"/>
      <c r="V282" s="320"/>
      <c r="W282" s="320"/>
      <c r="X282" s="320"/>
      <c r="Y282" s="320"/>
      <c r="Z282" s="320"/>
    </row>
    <row r="283">
      <c r="A283" s="320"/>
      <c r="B283" s="320"/>
      <c r="C283" s="320"/>
      <c r="D283" s="320"/>
      <c r="E283" s="320"/>
      <c r="F283" s="320"/>
      <c r="G283" s="320"/>
      <c r="H283" s="320"/>
      <c r="I283" s="320"/>
      <c r="J283" s="320"/>
      <c r="K283" s="320"/>
      <c r="L283" s="320"/>
      <c r="M283" s="320"/>
      <c r="N283" s="320"/>
      <c r="O283" s="320"/>
      <c r="P283" s="320"/>
      <c r="Q283" s="320"/>
      <c r="R283" s="320"/>
      <c r="S283" s="320"/>
      <c r="T283" s="320"/>
      <c r="U283" s="320"/>
      <c r="V283" s="320"/>
      <c r="W283" s="320"/>
      <c r="X283" s="320"/>
      <c r="Y283" s="320"/>
      <c r="Z283" s="320"/>
    </row>
    <row r="284">
      <c r="A284" s="320"/>
      <c r="B284" s="320"/>
      <c r="C284" s="320"/>
      <c r="D284" s="320"/>
      <c r="E284" s="320"/>
      <c r="F284" s="320"/>
      <c r="G284" s="320"/>
      <c r="H284" s="320"/>
      <c r="I284" s="320"/>
      <c r="J284" s="320"/>
      <c r="K284" s="320"/>
      <c r="L284" s="320"/>
      <c r="M284" s="320"/>
      <c r="N284" s="320"/>
      <c r="O284" s="320"/>
      <c r="P284" s="320"/>
      <c r="Q284" s="320"/>
      <c r="R284" s="320"/>
      <c r="S284" s="320"/>
      <c r="T284" s="320"/>
      <c r="U284" s="320"/>
      <c r="V284" s="320"/>
      <c r="W284" s="320"/>
      <c r="X284" s="320"/>
      <c r="Y284" s="320"/>
      <c r="Z284" s="320"/>
    </row>
    <row r="285">
      <c r="A285" s="320"/>
      <c r="B285" s="320"/>
      <c r="C285" s="320"/>
      <c r="D285" s="320"/>
      <c r="E285" s="320"/>
      <c r="F285" s="320"/>
      <c r="G285" s="320"/>
      <c r="H285" s="320"/>
      <c r="I285" s="320"/>
      <c r="J285" s="320"/>
      <c r="K285" s="320"/>
      <c r="L285" s="320"/>
      <c r="M285" s="320"/>
      <c r="N285" s="320"/>
      <c r="O285" s="320"/>
      <c r="P285" s="320"/>
      <c r="Q285" s="320"/>
      <c r="R285" s="320"/>
      <c r="S285" s="320"/>
      <c r="T285" s="320"/>
      <c r="U285" s="320"/>
      <c r="V285" s="320"/>
      <c r="W285" s="320"/>
      <c r="X285" s="320"/>
      <c r="Y285" s="320"/>
      <c r="Z285" s="320"/>
    </row>
    <row r="286">
      <c r="A286" s="320"/>
      <c r="B286" s="320"/>
      <c r="C286" s="320"/>
      <c r="D286" s="320"/>
      <c r="E286" s="320"/>
      <c r="F286" s="320"/>
      <c r="G286" s="320"/>
      <c r="H286" s="320"/>
      <c r="I286" s="320"/>
      <c r="J286" s="320"/>
      <c r="K286" s="320"/>
      <c r="L286" s="320"/>
      <c r="M286" s="320"/>
      <c r="N286" s="320"/>
      <c r="O286" s="320"/>
      <c r="P286" s="320"/>
      <c r="Q286" s="320"/>
      <c r="R286" s="320"/>
      <c r="S286" s="320"/>
      <c r="T286" s="320"/>
      <c r="U286" s="320"/>
      <c r="V286" s="320"/>
      <c r="W286" s="320"/>
      <c r="X286" s="320"/>
      <c r="Y286" s="320"/>
      <c r="Z286" s="320"/>
    </row>
    <row r="287">
      <c r="A287" s="320"/>
      <c r="B287" s="320"/>
      <c r="C287" s="320"/>
      <c r="D287" s="320"/>
      <c r="E287" s="320"/>
      <c r="F287" s="320"/>
      <c r="G287" s="320"/>
      <c r="H287" s="320"/>
      <c r="I287" s="320"/>
      <c r="J287" s="320"/>
      <c r="K287" s="320"/>
      <c r="L287" s="320"/>
      <c r="M287" s="320"/>
      <c r="N287" s="320"/>
      <c r="O287" s="320"/>
      <c r="P287" s="320"/>
      <c r="Q287" s="320"/>
      <c r="R287" s="320"/>
      <c r="S287" s="320"/>
      <c r="T287" s="320"/>
      <c r="U287" s="320"/>
      <c r="V287" s="320"/>
      <c r="W287" s="320"/>
      <c r="X287" s="320"/>
      <c r="Y287" s="320"/>
      <c r="Z287" s="320"/>
    </row>
    <row r="288">
      <c r="A288" s="320"/>
      <c r="B288" s="320"/>
      <c r="C288" s="320"/>
      <c r="D288" s="320"/>
      <c r="E288" s="320"/>
      <c r="F288" s="320"/>
      <c r="G288" s="320"/>
      <c r="H288" s="320"/>
      <c r="I288" s="320"/>
      <c r="J288" s="320"/>
      <c r="K288" s="320"/>
      <c r="L288" s="320"/>
      <c r="M288" s="320"/>
      <c r="N288" s="320"/>
      <c r="O288" s="320"/>
      <c r="P288" s="320"/>
      <c r="Q288" s="320"/>
      <c r="R288" s="320"/>
      <c r="S288" s="320"/>
      <c r="T288" s="320"/>
      <c r="U288" s="320"/>
      <c r="V288" s="320"/>
      <c r="W288" s="320"/>
      <c r="X288" s="320"/>
      <c r="Y288" s="320"/>
      <c r="Z288" s="320"/>
    </row>
    <row r="289">
      <c r="A289" s="320"/>
      <c r="B289" s="320"/>
      <c r="C289" s="320"/>
      <c r="D289" s="320"/>
      <c r="E289" s="320"/>
      <c r="F289" s="320"/>
      <c r="G289" s="320"/>
      <c r="H289" s="320"/>
      <c r="I289" s="320"/>
      <c r="J289" s="320"/>
      <c r="K289" s="320"/>
      <c r="L289" s="320"/>
      <c r="M289" s="320"/>
      <c r="N289" s="320"/>
      <c r="O289" s="320"/>
      <c r="P289" s="320"/>
      <c r="Q289" s="320"/>
      <c r="R289" s="320"/>
      <c r="S289" s="320"/>
      <c r="T289" s="320"/>
      <c r="U289" s="320"/>
      <c r="V289" s="320"/>
      <c r="W289" s="320"/>
      <c r="X289" s="320"/>
      <c r="Y289" s="320"/>
      <c r="Z289" s="320"/>
    </row>
    <row r="290">
      <c r="A290" s="320"/>
      <c r="B290" s="320"/>
      <c r="C290" s="320"/>
      <c r="D290" s="320"/>
      <c r="E290" s="320"/>
      <c r="F290" s="320"/>
      <c r="G290" s="320"/>
      <c r="H290" s="320"/>
      <c r="I290" s="320"/>
      <c r="J290" s="320"/>
      <c r="K290" s="320"/>
      <c r="L290" s="320"/>
      <c r="M290" s="320"/>
      <c r="N290" s="320"/>
      <c r="O290" s="320"/>
      <c r="P290" s="320"/>
      <c r="Q290" s="320"/>
      <c r="R290" s="320"/>
      <c r="S290" s="320"/>
      <c r="T290" s="320"/>
      <c r="U290" s="320"/>
      <c r="V290" s="320"/>
      <c r="W290" s="320"/>
      <c r="X290" s="320"/>
      <c r="Y290" s="320"/>
      <c r="Z290" s="320"/>
    </row>
    <row r="291">
      <c r="A291" s="320"/>
      <c r="B291" s="320"/>
      <c r="C291" s="320"/>
      <c r="D291" s="320"/>
      <c r="E291" s="320"/>
      <c r="F291" s="320"/>
      <c r="G291" s="320"/>
      <c r="H291" s="320"/>
      <c r="I291" s="320"/>
      <c r="J291" s="320"/>
      <c r="K291" s="320"/>
      <c r="L291" s="320"/>
      <c r="M291" s="320"/>
      <c r="N291" s="320"/>
      <c r="O291" s="320"/>
      <c r="P291" s="320"/>
      <c r="Q291" s="320"/>
      <c r="R291" s="320"/>
      <c r="S291" s="320"/>
      <c r="T291" s="320"/>
      <c r="U291" s="320"/>
      <c r="V291" s="320"/>
      <c r="W291" s="320"/>
      <c r="X291" s="320"/>
      <c r="Y291" s="320"/>
      <c r="Z291" s="320"/>
    </row>
    <row r="292">
      <c r="A292" s="320"/>
      <c r="B292" s="320"/>
      <c r="C292" s="320"/>
      <c r="D292" s="320"/>
      <c r="E292" s="320"/>
      <c r="F292" s="320"/>
      <c r="G292" s="320"/>
      <c r="H292" s="320"/>
      <c r="I292" s="320"/>
      <c r="J292" s="320"/>
      <c r="K292" s="320"/>
      <c r="L292" s="320"/>
      <c r="M292" s="320"/>
      <c r="N292" s="320"/>
      <c r="O292" s="320"/>
      <c r="P292" s="320"/>
      <c r="Q292" s="320"/>
      <c r="R292" s="320"/>
      <c r="S292" s="320"/>
      <c r="T292" s="320"/>
      <c r="U292" s="320"/>
      <c r="V292" s="320"/>
      <c r="W292" s="320"/>
      <c r="X292" s="320"/>
      <c r="Y292" s="320"/>
      <c r="Z292" s="320"/>
    </row>
    <row r="293">
      <c r="A293" s="320"/>
      <c r="B293" s="320"/>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row>
    <row r="294">
      <c r="A294" s="320"/>
      <c r="B294" s="320"/>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row>
    <row r="295">
      <c r="A295" s="320"/>
      <c r="B295" s="320"/>
      <c r="C295" s="320"/>
      <c r="D295" s="320"/>
      <c r="E295" s="320"/>
      <c r="F295" s="320"/>
      <c r="G295" s="320"/>
      <c r="H295" s="320"/>
      <c r="I295" s="320"/>
      <c r="J295" s="320"/>
      <c r="K295" s="320"/>
      <c r="L295" s="320"/>
      <c r="M295" s="320"/>
      <c r="N295" s="320"/>
      <c r="O295" s="320"/>
      <c r="P295" s="320"/>
      <c r="Q295" s="320"/>
      <c r="R295" s="320"/>
      <c r="S295" s="320"/>
      <c r="T295" s="320"/>
      <c r="U295" s="320"/>
      <c r="V295" s="320"/>
      <c r="W295" s="320"/>
      <c r="X295" s="320"/>
      <c r="Y295" s="320"/>
      <c r="Z295" s="320"/>
    </row>
    <row r="296">
      <c r="A296" s="320"/>
      <c r="B296" s="320"/>
      <c r="C296" s="320"/>
      <c r="D296" s="320"/>
      <c r="E296" s="320"/>
      <c r="F296" s="320"/>
      <c r="G296" s="320"/>
      <c r="H296" s="320"/>
      <c r="I296" s="320"/>
      <c r="J296" s="320"/>
      <c r="K296" s="320"/>
      <c r="L296" s="320"/>
      <c r="M296" s="320"/>
      <c r="N296" s="320"/>
      <c r="O296" s="320"/>
      <c r="P296" s="320"/>
      <c r="Q296" s="320"/>
      <c r="R296" s="320"/>
      <c r="S296" s="320"/>
      <c r="T296" s="320"/>
      <c r="U296" s="320"/>
      <c r="V296" s="320"/>
      <c r="W296" s="320"/>
      <c r="X296" s="320"/>
      <c r="Y296" s="320"/>
      <c r="Z296" s="320"/>
    </row>
    <row r="297">
      <c r="A297" s="320"/>
      <c r="B297" s="320"/>
      <c r="C297" s="320"/>
      <c r="D297" s="320"/>
      <c r="E297" s="320"/>
      <c r="F297" s="320"/>
      <c r="G297" s="320"/>
      <c r="H297" s="320"/>
      <c r="I297" s="320"/>
      <c r="J297" s="320"/>
      <c r="K297" s="320"/>
      <c r="L297" s="320"/>
      <c r="M297" s="320"/>
      <c r="N297" s="320"/>
      <c r="O297" s="320"/>
      <c r="P297" s="320"/>
      <c r="Q297" s="320"/>
      <c r="R297" s="320"/>
      <c r="S297" s="320"/>
      <c r="T297" s="320"/>
      <c r="U297" s="320"/>
      <c r="V297" s="320"/>
      <c r="W297" s="320"/>
      <c r="X297" s="320"/>
      <c r="Y297" s="320"/>
      <c r="Z297" s="320"/>
    </row>
    <row r="298">
      <c r="A298" s="320"/>
      <c r="B298" s="320"/>
      <c r="C298" s="320"/>
      <c r="D298" s="320"/>
      <c r="E298" s="320"/>
      <c r="F298" s="320"/>
      <c r="G298" s="320"/>
      <c r="H298" s="320"/>
      <c r="I298" s="320"/>
      <c r="J298" s="320"/>
      <c r="K298" s="320"/>
      <c r="L298" s="320"/>
      <c r="M298" s="320"/>
      <c r="N298" s="320"/>
      <c r="O298" s="320"/>
      <c r="P298" s="320"/>
      <c r="Q298" s="320"/>
      <c r="R298" s="320"/>
      <c r="S298" s="320"/>
      <c r="T298" s="320"/>
      <c r="U298" s="320"/>
      <c r="V298" s="320"/>
      <c r="W298" s="320"/>
      <c r="X298" s="320"/>
      <c r="Y298" s="320"/>
      <c r="Z298" s="320"/>
    </row>
    <row r="299">
      <c r="A299" s="320"/>
      <c r="B299" s="320"/>
      <c r="C299" s="320"/>
      <c r="D299" s="320"/>
      <c r="E299" s="320"/>
      <c r="F299" s="320"/>
      <c r="G299" s="320"/>
      <c r="H299" s="320"/>
      <c r="I299" s="320"/>
      <c r="J299" s="320"/>
      <c r="K299" s="320"/>
      <c r="L299" s="320"/>
      <c r="M299" s="320"/>
      <c r="N299" s="320"/>
      <c r="O299" s="320"/>
      <c r="P299" s="320"/>
      <c r="Q299" s="320"/>
      <c r="R299" s="320"/>
      <c r="S299" s="320"/>
      <c r="T299" s="320"/>
      <c r="U299" s="320"/>
      <c r="V299" s="320"/>
      <c r="W299" s="320"/>
      <c r="X299" s="320"/>
      <c r="Y299" s="320"/>
      <c r="Z299" s="320"/>
    </row>
    <row r="300">
      <c r="A300" s="320"/>
      <c r="B300" s="320"/>
      <c r="C300" s="320"/>
      <c r="D300" s="320"/>
      <c r="E300" s="320"/>
      <c r="F300" s="320"/>
      <c r="G300" s="320"/>
      <c r="H300" s="320"/>
      <c r="I300" s="320"/>
      <c r="J300" s="320"/>
      <c r="K300" s="320"/>
      <c r="L300" s="320"/>
      <c r="M300" s="320"/>
      <c r="N300" s="320"/>
      <c r="O300" s="320"/>
      <c r="P300" s="320"/>
      <c r="Q300" s="320"/>
      <c r="R300" s="320"/>
      <c r="S300" s="320"/>
      <c r="T300" s="320"/>
      <c r="U300" s="320"/>
      <c r="V300" s="320"/>
      <c r="W300" s="320"/>
      <c r="X300" s="320"/>
      <c r="Y300" s="320"/>
      <c r="Z300" s="320"/>
    </row>
    <row r="301">
      <c r="A301" s="320"/>
      <c r="B301" s="320"/>
      <c r="C301" s="320"/>
      <c r="D301" s="320"/>
      <c r="E301" s="320"/>
      <c r="F301" s="320"/>
      <c r="G301" s="320"/>
      <c r="H301" s="320"/>
      <c r="I301" s="320"/>
      <c r="J301" s="320"/>
      <c r="K301" s="320"/>
      <c r="L301" s="320"/>
      <c r="M301" s="320"/>
      <c r="N301" s="320"/>
      <c r="O301" s="320"/>
      <c r="P301" s="320"/>
      <c r="Q301" s="320"/>
      <c r="R301" s="320"/>
      <c r="S301" s="320"/>
      <c r="T301" s="320"/>
      <c r="U301" s="320"/>
      <c r="V301" s="320"/>
      <c r="W301" s="320"/>
      <c r="X301" s="320"/>
      <c r="Y301" s="320"/>
      <c r="Z301" s="320"/>
    </row>
    <row r="302">
      <c r="A302" s="320"/>
      <c r="B302" s="320"/>
      <c r="C302" s="320"/>
      <c r="D302" s="320"/>
      <c r="E302" s="320"/>
      <c r="F302" s="320"/>
      <c r="G302" s="320"/>
      <c r="H302" s="320"/>
      <c r="I302" s="320"/>
      <c r="J302" s="320"/>
      <c r="K302" s="320"/>
      <c r="L302" s="320"/>
      <c r="M302" s="320"/>
      <c r="N302" s="320"/>
      <c r="O302" s="320"/>
      <c r="P302" s="320"/>
      <c r="Q302" s="320"/>
      <c r="R302" s="320"/>
      <c r="S302" s="320"/>
      <c r="T302" s="320"/>
      <c r="U302" s="320"/>
      <c r="V302" s="320"/>
      <c r="W302" s="320"/>
      <c r="X302" s="320"/>
      <c r="Y302" s="320"/>
      <c r="Z302" s="320"/>
    </row>
    <row r="303">
      <c r="A303" s="320"/>
      <c r="B303" s="320"/>
      <c r="C303" s="320"/>
      <c r="D303" s="320"/>
      <c r="E303" s="320"/>
      <c r="F303" s="320"/>
      <c r="G303" s="320"/>
      <c r="H303" s="320"/>
      <c r="I303" s="320"/>
      <c r="J303" s="320"/>
      <c r="K303" s="320"/>
      <c r="L303" s="320"/>
      <c r="M303" s="320"/>
      <c r="N303" s="320"/>
      <c r="O303" s="320"/>
      <c r="P303" s="320"/>
      <c r="Q303" s="320"/>
      <c r="R303" s="320"/>
      <c r="S303" s="320"/>
      <c r="T303" s="320"/>
      <c r="U303" s="320"/>
      <c r="V303" s="320"/>
      <c r="W303" s="320"/>
      <c r="X303" s="320"/>
      <c r="Y303" s="320"/>
      <c r="Z303" s="320"/>
    </row>
    <row r="304">
      <c r="A304" s="320"/>
      <c r="B304" s="320"/>
      <c r="C304" s="320"/>
      <c r="D304" s="320"/>
      <c r="E304" s="320"/>
      <c r="F304" s="320"/>
      <c r="G304" s="320"/>
      <c r="H304" s="320"/>
      <c r="I304" s="320"/>
      <c r="J304" s="320"/>
      <c r="K304" s="320"/>
      <c r="L304" s="320"/>
      <c r="M304" s="320"/>
      <c r="N304" s="320"/>
      <c r="O304" s="320"/>
      <c r="P304" s="320"/>
      <c r="Q304" s="320"/>
      <c r="R304" s="320"/>
      <c r="S304" s="320"/>
      <c r="T304" s="320"/>
      <c r="U304" s="320"/>
      <c r="V304" s="320"/>
      <c r="W304" s="320"/>
      <c r="X304" s="320"/>
      <c r="Y304" s="320"/>
      <c r="Z304" s="320"/>
    </row>
    <row r="305">
      <c r="A305" s="320"/>
      <c r="B305" s="320"/>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row>
    <row r="306">
      <c r="A306" s="320"/>
      <c r="B306" s="320"/>
      <c r="C306" s="320"/>
      <c r="D306" s="320"/>
      <c r="E306" s="320"/>
      <c r="F306" s="320"/>
      <c r="G306" s="320"/>
      <c r="H306" s="320"/>
      <c r="I306" s="320"/>
      <c r="J306" s="320"/>
      <c r="K306" s="320"/>
      <c r="L306" s="320"/>
      <c r="M306" s="320"/>
      <c r="N306" s="320"/>
      <c r="O306" s="320"/>
      <c r="P306" s="320"/>
      <c r="Q306" s="320"/>
      <c r="R306" s="320"/>
      <c r="S306" s="320"/>
      <c r="T306" s="320"/>
      <c r="U306" s="320"/>
      <c r="V306" s="320"/>
      <c r="W306" s="320"/>
      <c r="X306" s="320"/>
      <c r="Y306" s="320"/>
      <c r="Z306" s="320"/>
    </row>
    <row r="307">
      <c r="A307" s="320"/>
      <c r="B307" s="320"/>
      <c r="C307" s="320"/>
      <c r="D307" s="320"/>
      <c r="E307" s="320"/>
      <c r="F307" s="320"/>
      <c r="G307" s="320"/>
      <c r="H307" s="320"/>
      <c r="I307" s="320"/>
      <c r="J307" s="320"/>
      <c r="K307" s="320"/>
      <c r="L307" s="320"/>
      <c r="M307" s="320"/>
      <c r="N307" s="320"/>
      <c r="O307" s="320"/>
      <c r="P307" s="320"/>
      <c r="Q307" s="320"/>
      <c r="R307" s="320"/>
      <c r="S307" s="320"/>
      <c r="T307" s="320"/>
      <c r="U307" s="320"/>
      <c r="V307" s="320"/>
      <c r="W307" s="320"/>
      <c r="X307" s="320"/>
      <c r="Y307" s="320"/>
      <c r="Z307" s="320"/>
    </row>
    <row r="308">
      <c r="A308" s="320"/>
      <c r="B308" s="320"/>
      <c r="C308" s="320"/>
      <c r="D308" s="320"/>
      <c r="E308" s="320"/>
      <c r="F308" s="320"/>
      <c r="G308" s="320"/>
      <c r="H308" s="320"/>
      <c r="I308" s="320"/>
      <c r="J308" s="320"/>
      <c r="K308" s="320"/>
      <c r="L308" s="320"/>
      <c r="M308" s="320"/>
      <c r="N308" s="320"/>
      <c r="O308" s="320"/>
      <c r="P308" s="320"/>
      <c r="Q308" s="320"/>
      <c r="R308" s="320"/>
      <c r="S308" s="320"/>
      <c r="T308" s="320"/>
      <c r="U308" s="320"/>
      <c r="V308" s="320"/>
      <c r="W308" s="320"/>
      <c r="X308" s="320"/>
      <c r="Y308" s="320"/>
      <c r="Z308" s="320"/>
    </row>
    <row r="309">
      <c r="A309" s="320"/>
      <c r="B309" s="320"/>
      <c r="C309" s="320"/>
      <c r="D309" s="320"/>
      <c r="E309" s="320"/>
      <c r="F309" s="320"/>
      <c r="G309" s="320"/>
      <c r="H309" s="320"/>
      <c r="I309" s="320"/>
      <c r="J309" s="320"/>
      <c r="K309" s="320"/>
      <c r="L309" s="320"/>
      <c r="M309" s="320"/>
      <c r="N309" s="320"/>
      <c r="O309" s="320"/>
      <c r="P309" s="320"/>
      <c r="Q309" s="320"/>
      <c r="R309" s="320"/>
      <c r="S309" s="320"/>
      <c r="T309" s="320"/>
      <c r="U309" s="320"/>
      <c r="V309" s="320"/>
      <c r="W309" s="320"/>
      <c r="X309" s="320"/>
      <c r="Y309" s="320"/>
      <c r="Z309" s="320"/>
    </row>
    <row r="310">
      <c r="A310" s="320"/>
      <c r="B310" s="320"/>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c r="Z310" s="320"/>
    </row>
    <row r="311">
      <c r="A311" s="320"/>
      <c r="B311" s="320"/>
      <c r="C311" s="320"/>
      <c r="D311" s="320"/>
      <c r="E311" s="320"/>
      <c r="F311" s="320"/>
      <c r="G311" s="320"/>
      <c r="H311" s="320"/>
      <c r="I311" s="320"/>
      <c r="J311" s="320"/>
      <c r="K311" s="320"/>
      <c r="L311" s="320"/>
      <c r="M311" s="320"/>
      <c r="N311" s="320"/>
      <c r="O311" s="320"/>
      <c r="P311" s="320"/>
      <c r="Q311" s="320"/>
      <c r="R311" s="320"/>
      <c r="S311" s="320"/>
      <c r="T311" s="320"/>
      <c r="U311" s="320"/>
      <c r="V311" s="320"/>
      <c r="W311" s="320"/>
      <c r="X311" s="320"/>
      <c r="Y311" s="320"/>
      <c r="Z311" s="320"/>
    </row>
    <row r="312">
      <c r="A312" s="320"/>
      <c r="B312" s="320"/>
      <c r="C312" s="320"/>
      <c r="D312" s="320"/>
      <c r="E312" s="320"/>
      <c r="F312" s="320"/>
      <c r="G312" s="320"/>
      <c r="H312" s="320"/>
      <c r="I312" s="320"/>
      <c r="J312" s="320"/>
      <c r="K312" s="320"/>
      <c r="L312" s="320"/>
      <c r="M312" s="320"/>
      <c r="N312" s="320"/>
      <c r="O312" s="320"/>
      <c r="P312" s="320"/>
      <c r="Q312" s="320"/>
      <c r="R312" s="320"/>
      <c r="S312" s="320"/>
      <c r="T312" s="320"/>
      <c r="U312" s="320"/>
      <c r="V312" s="320"/>
      <c r="W312" s="320"/>
      <c r="X312" s="320"/>
      <c r="Y312" s="320"/>
      <c r="Z312" s="320"/>
    </row>
    <row r="313">
      <c r="A313" s="320"/>
      <c r="B313" s="320"/>
      <c r="C313" s="320"/>
      <c r="D313" s="320"/>
      <c r="E313" s="320"/>
      <c r="F313" s="320"/>
      <c r="G313" s="320"/>
      <c r="H313" s="320"/>
      <c r="I313" s="320"/>
      <c r="J313" s="320"/>
      <c r="K313" s="320"/>
      <c r="L313" s="320"/>
      <c r="M313" s="320"/>
      <c r="N313" s="320"/>
      <c r="O313" s="320"/>
      <c r="P313" s="320"/>
      <c r="Q313" s="320"/>
      <c r="R313" s="320"/>
      <c r="S313" s="320"/>
      <c r="T313" s="320"/>
      <c r="U313" s="320"/>
      <c r="V313" s="320"/>
      <c r="W313" s="320"/>
      <c r="X313" s="320"/>
      <c r="Y313" s="320"/>
      <c r="Z313" s="320"/>
    </row>
    <row r="314">
      <c r="A314" s="320"/>
      <c r="B314" s="320"/>
      <c r="C314" s="320"/>
      <c r="D314" s="320"/>
      <c r="E314" s="320"/>
      <c r="F314" s="320"/>
      <c r="G314" s="320"/>
      <c r="H314" s="320"/>
      <c r="I314" s="320"/>
      <c r="J314" s="320"/>
      <c r="K314" s="320"/>
      <c r="L314" s="320"/>
      <c r="M314" s="320"/>
      <c r="N314" s="320"/>
      <c r="O314" s="320"/>
      <c r="P314" s="320"/>
      <c r="Q314" s="320"/>
      <c r="R314" s="320"/>
      <c r="S314" s="320"/>
      <c r="T314" s="320"/>
      <c r="U314" s="320"/>
      <c r="V314" s="320"/>
      <c r="W314" s="320"/>
      <c r="X314" s="320"/>
      <c r="Y314" s="320"/>
      <c r="Z314" s="320"/>
    </row>
    <row r="315">
      <c r="A315" s="320"/>
      <c r="B315" s="320"/>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c r="Z315" s="320"/>
    </row>
    <row r="316">
      <c r="A316" s="320"/>
      <c r="B316" s="320"/>
      <c r="C316" s="320"/>
      <c r="D316" s="320"/>
      <c r="E316" s="320"/>
      <c r="F316" s="320"/>
      <c r="G316" s="320"/>
      <c r="H316" s="320"/>
      <c r="I316" s="320"/>
      <c r="J316" s="320"/>
      <c r="K316" s="320"/>
      <c r="L316" s="320"/>
      <c r="M316" s="320"/>
      <c r="N316" s="320"/>
      <c r="O316" s="320"/>
      <c r="P316" s="320"/>
      <c r="Q316" s="320"/>
      <c r="R316" s="320"/>
      <c r="S316" s="320"/>
      <c r="T316" s="320"/>
      <c r="U316" s="320"/>
      <c r="V316" s="320"/>
      <c r="W316" s="320"/>
      <c r="X316" s="320"/>
      <c r="Y316" s="320"/>
      <c r="Z316" s="320"/>
    </row>
    <row r="317">
      <c r="A317" s="320"/>
      <c r="B317" s="320"/>
      <c r="C317" s="320"/>
      <c r="D317" s="320"/>
      <c r="E317" s="320"/>
      <c r="F317" s="320"/>
      <c r="G317" s="320"/>
      <c r="H317" s="320"/>
      <c r="I317" s="320"/>
      <c r="J317" s="320"/>
      <c r="K317" s="320"/>
      <c r="L317" s="320"/>
      <c r="M317" s="320"/>
      <c r="N317" s="320"/>
      <c r="O317" s="320"/>
      <c r="P317" s="320"/>
      <c r="Q317" s="320"/>
      <c r="R317" s="320"/>
      <c r="S317" s="320"/>
      <c r="T317" s="320"/>
      <c r="U317" s="320"/>
      <c r="V317" s="320"/>
      <c r="W317" s="320"/>
      <c r="X317" s="320"/>
      <c r="Y317" s="320"/>
      <c r="Z317" s="320"/>
    </row>
    <row r="318">
      <c r="A318" s="320"/>
      <c r="B318" s="320"/>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row>
    <row r="319">
      <c r="A319" s="320"/>
      <c r="B319" s="320"/>
      <c r="C319" s="320"/>
      <c r="D319" s="320"/>
      <c r="E319" s="320"/>
      <c r="F319" s="320"/>
      <c r="G319" s="320"/>
      <c r="H319" s="320"/>
      <c r="I319" s="320"/>
      <c r="J319" s="320"/>
      <c r="K319" s="320"/>
      <c r="L319" s="320"/>
      <c r="M319" s="320"/>
      <c r="N319" s="320"/>
      <c r="O319" s="320"/>
      <c r="P319" s="320"/>
      <c r="Q319" s="320"/>
      <c r="R319" s="320"/>
      <c r="S319" s="320"/>
      <c r="T319" s="320"/>
      <c r="U319" s="320"/>
      <c r="V319" s="320"/>
      <c r="W319" s="320"/>
      <c r="X319" s="320"/>
      <c r="Y319" s="320"/>
      <c r="Z319" s="320"/>
    </row>
    <row r="320">
      <c r="A320" s="320"/>
      <c r="B320" s="320"/>
      <c r="C320" s="320"/>
      <c r="D320" s="320"/>
      <c r="E320" s="320"/>
      <c r="F320" s="320"/>
      <c r="G320" s="320"/>
      <c r="H320" s="320"/>
      <c r="I320" s="320"/>
      <c r="J320" s="320"/>
      <c r="K320" s="320"/>
      <c r="L320" s="320"/>
      <c r="M320" s="320"/>
      <c r="N320" s="320"/>
      <c r="O320" s="320"/>
      <c r="P320" s="320"/>
      <c r="Q320" s="320"/>
      <c r="R320" s="320"/>
      <c r="S320" s="320"/>
      <c r="T320" s="320"/>
      <c r="U320" s="320"/>
      <c r="V320" s="320"/>
      <c r="W320" s="320"/>
      <c r="X320" s="320"/>
      <c r="Y320" s="320"/>
      <c r="Z320" s="320"/>
    </row>
    <row r="321">
      <c r="A321" s="320"/>
      <c r="B321" s="320"/>
      <c r="C321" s="320"/>
      <c r="D321" s="320"/>
      <c r="E321" s="320"/>
      <c r="F321" s="320"/>
      <c r="G321" s="320"/>
      <c r="H321" s="320"/>
      <c r="I321" s="320"/>
      <c r="J321" s="320"/>
      <c r="K321" s="320"/>
      <c r="L321" s="320"/>
      <c r="M321" s="320"/>
      <c r="N321" s="320"/>
      <c r="O321" s="320"/>
      <c r="P321" s="320"/>
      <c r="Q321" s="320"/>
      <c r="R321" s="320"/>
      <c r="S321" s="320"/>
      <c r="T321" s="320"/>
      <c r="U321" s="320"/>
      <c r="V321" s="320"/>
      <c r="W321" s="320"/>
      <c r="X321" s="320"/>
      <c r="Y321" s="320"/>
      <c r="Z321" s="320"/>
    </row>
    <row r="322">
      <c r="A322" s="320"/>
      <c r="B322" s="320"/>
      <c r="C322" s="320"/>
      <c r="D322" s="320"/>
      <c r="E322" s="320"/>
      <c r="F322" s="320"/>
      <c r="G322" s="320"/>
      <c r="H322" s="320"/>
      <c r="I322" s="320"/>
      <c r="J322" s="320"/>
      <c r="K322" s="320"/>
      <c r="L322" s="320"/>
      <c r="M322" s="320"/>
      <c r="N322" s="320"/>
      <c r="O322" s="320"/>
      <c r="P322" s="320"/>
      <c r="Q322" s="320"/>
      <c r="R322" s="320"/>
      <c r="S322" s="320"/>
      <c r="T322" s="320"/>
      <c r="U322" s="320"/>
      <c r="V322" s="320"/>
      <c r="W322" s="320"/>
      <c r="X322" s="320"/>
      <c r="Y322" s="320"/>
      <c r="Z322" s="320"/>
    </row>
    <row r="323">
      <c r="A323" s="320"/>
      <c r="B323" s="320"/>
      <c r="C323" s="320"/>
      <c r="D323" s="320"/>
      <c r="E323" s="320"/>
      <c r="F323" s="320"/>
      <c r="G323" s="320"/>
      <c r="H323" s="320"/>
      <c r="I323" s="320"/>
      <c r="J323" s="320"/>
      <c r="K323" s="320"/>
      <c r="L323" s="320"/>
      <c r="M323" s="320"/>
      <c r="N323" s="320"/>
      <c r="O323" s="320"/>
      <c r="P323" s="320"/>
      <c r="Q323" s="320"/>
      <c r="R323" s="320"/>
      <c r="S323" s="320"/>
      <c r="T323" s="320"/>
      <c r="U323" s="320"/>
      <c r="V323" s="320"/>
      <c r="W323" s="320"/>
      <c r="X323" s="320"/>
      <c r="Y323" s="320"/>
      <c r="Z323" s="320"/>
    </row>
    <row r="324">
      <c r="A324" s="320"/>
      <c r="B324" s="320"/>
      <c r="C324" s="320"/>
      <c r="D324" s="320"/>
      <c r="E324" s="320"/>
      <c r="F324" s="320"/>
      <c r="G324" s="320"/>
      <c r="H324" s="320"/>
      <c r="I324" s="320"/>
      <c r="J324" s="320"/>
      <c r="K324" s="320"/>
      <c r="L324" s="320"/>
      <c r="M324" s="320"/>
      <c r="N324" s="320"/>
      <c r="O324" s="320"/>
      <c r="P324" s="320"/>
      <c r="Q324" s="320"/>
      <c r="R324" s="320"/>
      <c r="S324" s="320"/>
      <c r="T324" s="320"/>
      <c r="U324" s="320"/>
      <c r="V324" s="320"/>
      <c r="W324" s="320"/>
      <c r="X324" s="320"/>
      <c r="Y324" s="320"/>
      <c r="Z324" s="320"/>
    </row>
    <row r="325">
      <c r="A325" s="320"/>
      <c r="B325" s="320"/>
      <c r="C325" s="320"/>
      <c r="D325" s="320"/>
      <c r="E325" s="320"/>
      <c r="F325" s="320"/>
      <c r="G325" s="320"/>
      <c r="H325" s="320"/>
      <c r="I325" s="320"/>
      <c r="J325" s="320"/>
      <c r="K325" s="320"/>
      <c r="L325" s="320"/>
      <c r="M325" s="320"/>
      <c r="N325" s="320"/>
      <c r="O325" s="320"/>
      <c r="P325" s="320"/>
      <c r="Q325" s="320"/>
      <c r="R325" s="320"/>
      <c r="S325" s="320"/>
      <c r="T325" s="320"/>
      <c r="U325" s="320"/>
      <c r="V325" s="320"/>
      <c r="W325" s="320"/>
      <c r="X325" s="320"/>
      <c r="Y325" s="320"/>
      <c r="Z325" s="320"/>
    </row>
    <row r="326">
      <c r="A326" s="320"/>
      <c r="B326" s="320"/>
      <c r="C326" s="320"/>
      <c r="D326" s="320"/>
      <c r="E326" s="320"/>
      <c r="F326" s="320"/>
      <c r="G326" s="320"/>
      <c r="H326" s="320"/>
      <c r="I326" s="320"/>
      <c r="J326" s="320"/>
      <c r="K326" s="320"/>
      <c r="L326" s="320"/>
      <c r="M326" s="320"/>
      <c r="N326" s="320"/>
      <c r="O326" s="320"/>
      <c r="P326" s="320"/>
      <c r="Q326" s="320"/>
      <c r="R326" s="320"/>
      <c r="S326" s="320"/>
      <c r="T326" s="320"/>
      <c r="U326" s="320"/>
      <c r="V326" s="320"/>
      <c r="W326" s="320"/>
      <c r="X326" s="320"/>
      <c r="Y326" s="320"/>
      <c r="Z326" s="320"/>
    </row>
    <row r="327">
      <c r="A327" s="320"/>
      <c r="B327" s="320"/>
      <c r="C327" s="320"/>
      <c r="D327" s="320"/>
      <c r="E327" s="320"/>
      <c r="F327" s="320"/>
      <c r="G327" s="320"/>
      <c r="H327" s="320"/>
      <c r="I327" s="320"/>
      <c r="J327" s="320"/>
      <c r="K327" s="320"/>
      <c r="L327" s="320"/>
      <c r="M327" s="320"/>
      <c r="N327" s="320"/>
      <c r="O327" s="320"/>
      <c r="P327" s="320"/>
      <c r="Q327" s="320"/>
      <c r="R327" s="320"/>
      <c r="S327" s="320"/>
      <c r="T327" s="320"/>
      <c r="U327" s="320"/>
      <c r="V327" s="320"/>
      <c r="W327" s="320"/>
      <c r="X327" s="320"/>
      <c r="Y327" s="320"/>
      <c r="Z327" s="320"/>
    </row>
    <row r="328">
      <c r="A328" s="320"/>
      <c r="B328" s="320"/>
      <c r="C328" s="320"/>
      <c r="D328" s="320"/>
      <c r="E328" s="320"/>
      <c r="F328" s="320"/>
      <c r="G328" s="320"/>
      <c r="H328" s="320"/>
      <c r="I328" s="320"/>
      <c r="J328" s="320"/>
      <c r="K328" s="320"/>
      <c r="L328" s="320"/>
      <c r="M328" s="320"/>
      <c r="N328" s="320"/>
      <c r="O328" s="320"/>
      <c r="P328" s="320"/>
      <c r="Q328" s="320"/>
      <c r="R328" s="320"/>
      <c r="S328" s="320"/>
      <c r="T328" s="320"/>
      <c r="U328" s="320"/>
      <c r="V328" s="320"/>
      <c r="W328" s="320"/>
      <c r="X328" s="320"/>
      <c r="Y328" s="320"/>
      <c r="Z328" s="320"/>
    </row>
    <row r="329">
      <c r="A329" s="320"/>
      <c r="B329" s="320"/>
      <c r="C329" s="320"/>
      <c r="D329" s="320"/>
      <c r="E329" s="320"/>
      <c r="F329" s="320"/>
      <c r="G329" s="320"/>
      <c r="H329" s="320"/>
      <c r="I329" s="320"/>
      <c r="J329" s="320"/>
      <c r="K329" s="320"/>
      <c r="L329" s="320"/>
      <c r="M329" s="320"/>
      <c r="N329" s="320"/>
      <c r="O329" s="320"/>
      <c r="P329" s="320"/>
      <c r="Q329" s="320"/>
      <c r="R329" s="320"/>
      <c r="S329" s="320"/>
      <c r="T329" s="320"/>
      <c r="U329" s="320"/>
      <c r="V329" s="320"/>
      <c r="W329" s="320"/>
      <c r="X329" s="320"/>
      <c r="Y329" s="320"/>
      <c r="Z329" s="320"/>
    </row>
    <row r="330">
      <c r="A330" s="320"/>
      <c r="B330" s="320"/>
      <c r="C330" s="320"/>
      <c r="D330" s="320"/>
      <c r="E330" s="320"/>
      <c r="F330" s="320"/>
      <c r="G330" s="320"/>
      <c r="H330" s="320"/>
      <c r="I330" s="320"/>
      <c r="J330" s="320"/>
      <c r="K330" s="320"/>
      <c r="L330" s="320"/>
      <c r="M330" s="320"/>
      <c r="N330" s="320"/>
      <c r="O330" s="320"/>
      <c r="P330" s="320"/>
      <c r="Q330" s="320"/>
      <c r="R330" s="320"/>
      <c r="S330" s="320"/>
      <c r="T330" s="320"/>
      <c r="U330" s="320"/>
      <c r="V330" s="320"/>
      <c r="W330" s="320"/>
      <c r="X330" s="320"/>
      <c r="Y330" s="320"/>
      <c r="Z330" s="320"/>
    </row>
    <row r="331">
      <c r="A331" s="320"/>
      <c r="B331" s="320"/>
      <c r="C331" s="320"/>
      <c r="D331" s="320"/>
      <c r="E331" s="320"/>
      <c r="F331" s="320"/>
      <c r="G331" s="320"/>
      <c r="H331" s="320"/>
      <c r="I331" s="320"/>
      <c r="J331" s="320"/>
      <c r="K331" s="320"/>
      <c r="L331" s="320"/>
      <c r="M331" s="320"/>
      <c r="N331" s="320"/>
      <c r="O331" s="320"/>
      <c r="P331" s="320"/>
      <c r="Q331" s="320"/>
      <c r="R331" s="320"/>
      <c r="S331" s="320"/>
      <c r="T331" s="320"/>
      <c r="U331" s="320"/>
      <c r="V331" s="320"/>
      <c r="W331" s="320"/>
      <c r="X331" s="320"/>
      <c r="Y331" s="320"/>
      <c r="Z331" s="320"/>
    </row>
    <row r="332">
      <c r="A332" s="320"/>
      <c r="B332" s="320"/>
      <c r="C332" s="320"/>
      <c r="D332" s="320"/>
      <c r="E332" s="320"/>
      <c r="F332" s="320"/>
      <c r="G332" s="320"/>
      <c r="H332" s="320"/>
      <c r="I332" s="320"/>
      <c r="J332" s="320"/>
      <c r="K332" s="320"/>
      <c r="L332" s="320"/>
      <c r="M332" s="320"/>
      <c r="N332" s="320"/>
      <c r="O332" s="320"/>
      <c r="P332" s="320"/>
      <c r="Q332" s="320"/>
      <c r="R332" s="320"/>
      <c r="S332" s="320"/>
      <c r="T332" s="320"/>
      <c r="U332" s="320"/>
      <c r="V332" s="320"/>
      <c r="W332" s="320"/>
      <c r="X332" s="320"/>
      <c r="Y332" s="320"/>
      <c r="Z332" s="320"/>
    </row>
    <row r="333">
      <c r="A333" s="320"/>
      <c r="B333" s="320"/>
      <c r="C333" s="320"/>
      <c r="D333" s="320"/>
      <c r="E333" s="320"/>
      <c r="F333" s="320"/>
      <c r="G333" s="320"/>
      <c r="H333" s="320"/>
      <c r="I333" s="320"/>
      <c r="J333" s="320"/>
      <c r="K333" s="320"/>
      <c r="L333" s="320"/>
      <c r="M333" s="320"/>
      <c r="N333" s="320"/>
      <c r="O333" s="320"/>
      <c r="P333" s="320"/>
      <c r="Q333" s="320"/>
      <c r="R333" s="320"/>
      <c r="S333" s="320"/>
      <c r="T333" s="320"/>
      <c r="U333" s="320"/>
      <c r="V333" s="320"/>
      <c r="W333" s="320"/>
      <c r="X333" s="320"/>
      <c r="Y333" s="320"/>
      <c r="Z333" s="320"/>
    </row>
    <row r="334">
      <c r="A334" s="320"/>
      <c r="B334" s="320"/>
      <c r="C334" s="320"/>
      <c r="D334" s="320"/>
      <c r="E334" s="320"/>
      <c r="F334" s="320"/>
      <c r="G334" s="320"/>
      <c r="H334" s="320"/>
      <c r="I334" s="320"/>
      <c r="J334" s="320"/>
      <c r="K334" s="320"/>
      <c r="L334" s="320"/>
      <c r="M334" s="320"/>
      <c r="N334" s="320"/>
      <c r="O334" s="320"/>
      <c r="P334" s="320"/>
      <c r="Q334" s="320"/>
      <c r="R334" s="320"/>
      <c r="S334" s="320"/>
      <c r="T334" s="320"/>
      <c r="U334" s="320"/>
      <c r="V334" s="320"/>
      <c r="W334" s="320"/>
      <c r="X334" s="320"/>
      <c r="Y334" s="320"/>
      <c r="Z334" s="320"/>
    </row>
    <row r="335">
      <c r="A335" s="320"/>
      <c r="B335" s="320"/>
      <c r="C335" s="320"/>
      <c r="D335" s="320"/>
      <c r="E335" s="320"/>
      <c r="F335" s="320"/>
      <c r="G335" s="320"/>
      <c r="H335" s="320"/>
      <c r="I335" s="320"/>
      <c r="J335" s="320"/>
      <c r="K335" s="320"/>
      <c r="L335" s="320"/>
      <c r="M335" s="320"/>
      <c r="N335" s="320"/>
      <c r="O335" s="320"/>
      <c r="P335" s="320"/>
      <c r="Q335" s="320"/>
      <c r="R335" s="320"/>
      <c r="S335" s="320"/>
      <c r="T335" s="320"/>
      <c r="U335" s="320"/>
      <c r="V335" s="320"/>
      <c r="W335" s="320"/>
      <c r="X335" s="320"/>
      <c r="Y335" s="320"/>
      <c r="Z335" s="320"/>
    </row>
    <row r="336">
      <c r="A336" s="320"/>
      <c r="B336" s="320"/>
      <c r="C336" s="320"/>
      <c r="D336" s="320"/>
      <c r="E336" s="320"/>
      <c r="F336" s="320"/>
      <c r="G336" s="320"/>
      <c r="H336" s="320"/>
      <c r="I336" s="320"/>
      <c r="J336" s="320"/>
      <c r="K336" s="320"/>
      <c r="L336" s="320"/>
      <c r="M336" s="320"/>
      <c r="N336" s="320"/>
      <c r="O336" s="320"/>
      <c r="P336" s="320"/>
      <c r="Q336" s="320"/>
      <c r="R336" s="320"/>
      <c r="S336" s="320"/>
      <c r="T336" s="320"/>
      <c r="U336" s="320"/>
      <c r="V336" s="320"/>
      <c r="W336" s="320"/>
      <c r="X336" s="320"/>
      <c r="Y336" s="320"/>
      <c r="Z336" s="320"/>
    </row>
    <row r="337">
      <c r="A337" s="320"/>
      <c r="B337" s="320"/>
      <c r="C337" s="320"/>
      <c r="D337" s="320"/>
      <c r="E337" s="320"/>
      <c r="F337" s="320"/>
      <c r="G337" s="320"/>
      <c r="H337" s="320"/>
      <c r="I337" s="320"/>
      <c r="J337" s="320"/>
      <c r="K337" s="320"/>
      <c r="L337" s="320"/>
      <c r="M337" s="320"/>
      <c r="N337" s="320"/>
      <c r="O337" s="320"/>
      <c r="P337" s="320"/>
      <c r="Q337" s="320"/>
      <c r="R337" s="320"/>
      <c r="S337" s="320"/>
      <c r="T337" s="320"/>
      <c r="U337" s="320"/>
      <c r="V337" s="320"/>
      <c r="W337" s="320"/>
      <c r="X337" s="320"/>
      <c r="Y337" s="320"/>
      <c r="Z337" s="320"/>
    </row>
    <row r="338">
      <c r="A338" s="320"/>
      <c r="B338" s="320"/>
      <c r="C338" s="320"/>
      <c r="D338" s="320"/>
      <c r="E338" s="320"/>
      <c r="F338" s="320"/>
      <c r="G338" s="320"/>
      <c r="H338" s="320"/>
      <c r="I338" s="320"/>
      <c r="J338" s="320"/>
      <c r="K338" s="320"/>
      <c r="L338" s="320"/>
      <c r="M338" s="320"/>
      <c r="N338" s="320"/>
      <c r="O338" s="320"/>
      <c r="P338" s="320"/>
      <c r="Q338" s="320"/>
      <c r="R338" s="320"/>
      <c r="S338" s="320"/>
      <c r="T338" s="320"/>
      <c r="U338" s="320"/>
      <c r="V338" s="320"/>
      <c r="W338" s="320"/>
      <c r="X338" s="320"/>
      <c r="Y338" s="320"/>
      <c r="Z338" s="320"/>
    </row>
    <row r="339">
      <c r="A339" s="320"/>
      <c r="B339" s="320"/>
      <c r="C339" s="320"/>
      <c r="D339" s="320"/>
      <c r="E339" s="320"/>
      <c r="F339" s="320"/>
      <c r="G339" s="320"/>
      <c r="H339" s="320"/>
      <c r="I339" s="320"/>
      <c r="J339" s="320"/>
      <c r="K339" s="320"/>
      <c r="L339" s="320"/>
      <c r="M339" s="320"/>
      <c r="N339" s="320"/>
      <c r="O339" s="320"/>
      <c r="P339" s="320"/>
      <c r="Q339" s="320"/>
      <c r="R339" s="320"/>
      <c r="S339" s="320"/>
      <c r="T339" s="320"/>
      <c r="U339" s="320"/>
      <c r="V339" s="320"/>
      <c r="W339" s="320"/>
      <c r="X339" s="320"/>
      <c r="Y339" s="320"/>
      <c r="Z339" s="320"/>
    </row>
    <row r="340">
      <c r="A340" s="320"/>
      <c r="B340" s="320"/>
      <c r="C340" s="320"/>
      <c r="D340" s="320"/>
      <c r="E340" s="320"/>
      <c r="F340" s="320"/>
      <c r="G340" s="320"/>
      <c r="H340" s="320"/>
      <c r="I340" s="320"/>
      <c r="J340" s="320"/>
      <c r="K340" s="320"/>
      <c r="L340" s="320"/>
      <c r="M340" s="320"/>
      <c r="N340" s="320"/>
      <c r="O340" s="320"/>
      <c r="P340" s="320"/>
      <c r="Q340" s="320"/>
      <c r="R340" s="320"/>
      <c r="S340" s="320"/>
      <c r="T340" s="320"/>
      <c r="U340" s="320"/>
      <c r="V340" s="320"/>
      <c r="W340" s="320"/>
      <c r="X340" s="320"/>
      <c r="Y340" s="320"/>
      <c r="Z340" s="320"/>
    </row>
    <row r="341">
      <c r="A341" s="320"/>
      <c r="B341" s="320"/>
      <c r="C341" s="320"/>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row>
    <row r="342">
      <c r="A342" s="320"/>
      <c r="B342" s="320"/>
      <c r="C342" s="320"/>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row>
    <row r="343">
      <c r="A343" s="320"/>
      <c r="B343" s="320"/>
      <c r="C343" s="320"/>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row>
    <row r="344">
      <c r="A344" s="320"/>
      <c r="B344" s="320"/>
      <c r="C344" s="320"/>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row>
    <row r="345">
      <c r="A345" s="320"/>
      <c r="B345" s="320"/>
      <c r="C345" s="320"/>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row>
    <row r="346">
      <c r="A346" s="320"/>
      <c r="B346" s="320"/>
      <c r="C346" s="320"/>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row>
    <row r="347">
      <c r="A347" s="320"/>
      <c r="B347" s="320"/>
      <c r="C347" s="320"/>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row>
    <row r="348">
      <c r="A348" s="320"/>
      <c r="B348" s="320"/>
      <c r="C348" s="320"/>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row>
    <row r="349">
      <c r="A349" s="320"/>
      <c r="B349" s="320"/>
      <c r="C349" s="320"/>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row>
    <row r="350">
      <c r="A350" s="320"/>
      <c r="B350" s="320"/>
      <c r="C350" s="320"/>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row>
    <row r="351">
      <c r="A351" s="320"/>
      <c r="B351" s="320"/>
      <c r="C351" s="320"/>
      <c r="D351" s="320"/>
      <c r="E351" s="320"/>
      <c r="F351" s="320"/>
      <c r="G351" s="320"/>
      <c r="H351" s="320"/>
      <c r="I351" s="320"/>
      <c r="J351" s="320"/>
      <c r="K351" s="320"/>
      <c r="L351" s="320"/>
      <c r="M351" s="320"/>
      <c r="N351" s="320"/>
      <c r="O351" s="320"/>
      <c r="P351" s="320"/>
      <c r="Q351" s="320"/>
      <c r="R351" s="320"/>
      <c r="S351" s="320"/>
      <c r="T351" s="320"/>
      <c r="U351" s="320"/>
      <c r="V351" s="320"/>
      <c r="W351" s="320"/>
      <c r="X351" s="320"/>
      <c r="Y351" s="320"/>
      <c r="Z351" s="320"/>
    </row>
    <row r="352">
      <c r="A352" s="320"/>
      <c r="B352" s="320"/>
      <c r="C352" s="320"/>
      <c r="D352" s="320"/>
      <c r="E352" s="320"/>
      <c r="F352" s="320"/>
      <c r="G352" s="320"/>
      <c r="H352" s="320"/>
      <c r="I352" s="320"/>
      <c r="J352" s="320"/>
      <c r="K352" s="320"/>
      <c r="L352" s="320"/>
      <c r="M352" s="320"/>
      <c r="N352" s="320"/>
      <c r="O352" s="320"/>
      <c r="P352" s="320"/>
      <c r="Q352" s="320"/>
      <c r="R352" s="320"/>
      <c r="S352" s="320"/>
      <c r="T352" s="320"/>
      <c r="U352" s="320"/>
      <c r="V352" s="320"/>
      <c r="W352" s="320"/>
      <c r="X352" s="320"/>
      <c r="Y352" s="320"/>
      <c r="Z352" s="320"/>
    </row>
    <row r="353">
      <c r="A353" s="320"/>
      <c r="B353" s="320"/>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row>
    <row r="354">
      <c r="A354" s="320"/>
      <c r="B354" s="320"/>
      <c r="C354" s="320"/>
      <c r="D354" s="320"/>
      <c r="E354" s="320"/>
      <c r="F354" s="320"/>
      <c r="G354" s="320"/>
      <c r="H354" s="320"/>
      <c r="I354" s="320"/>
      <c r="J354" s="320"/>
      <c r="K354" s="320"/>
      <c r="L354" s="320"/>
      <c r="M354" s="320"/>
      <c r="N354" s="320"/>
      <c r="O354" s="320"/>
      <c r="P354" s="320"/>
      <c r="Q354" s="320"/>
      <c r="R354" s="320"/>
      <c r="S354" s="320"/>
      <c r="T354" s="320"/>
      <c r="U354" s="320"/>
      <c r="V354" s="320"/>
      <c r="W354" s="320"/>
      <c r="X354" s="320"/>
      <c r="Y354" s="320"/>
      <c r="Z354" s="320"/>
    </row>
    <row r="355">
      <c r="A355" s="320"/>
      <c r="B355" s="320"/>
      <c r="C355" s="320"/>
      <c r="D355" s="320"/>
      <c r="E355" s="320"/>
      <c r="F355" s="320"/>
      <c r="G355" s="320"/>
      <c r="H355" s="320"/>
      <c r="I355" s="320"/>
      <c r="J355" s="320"/>
      <c r="K355" s="320"/>
      <c r="L355" s="320"/>
      <c r="M355" s="320"/>
      <c r="N355" s="320"/>
      <c r="O355" s="320"/>
      <c r="P355" s="320"/>
      <c r="Q355" s="320"/>
      <c r="R355" s="320"/>
      <c r="S355" s="320"/>
      <c r="T355" s="320"/>
      <c r="U355" s="320"/>
      <c r="V355" s="320"/>
      <c r="W355" s="320"/>
      <c r="X355" s="320"/>
      <c r="Y355" s="320"/>
      <c r="Z355" s="320"/>
    </row>
    <row r="356">
      <c r="A356" s="320"/>
      <c r="B356" s="320"/>
      <c r="C356" s="320"/>
      <c r="D356" s="320"/>
      <c r="E356" s="320"/>
      <c r="F356" s="320"/>
      <c r="G356" s="320"/>
      <c r="H356" s="320"/>
      <c r="I356" s="320"/>
      <c r="J356" s="320"/>
      <c r="K356" s="320"/>
      <c r="L356" s="320"/>
      <c r="M356" s="320"/>
      <c r="N356" s="320"/>
      <c r="O356" s="320"/>
      <c r="P356" s="320"/>
      <c r="Q356" s="320"/>
      <c r="R356" s="320"/>
      <c r="S356" s="320"/>
      <c r="T356" s="320"/>
      <c r="U356" s="320"/>
      <c r="V356" s="320"/>
      <c r="W356" s="320"/>
      <c r="X356" s="320"/>
      <c r="Y356" s="320"/>
      <c r="Z356" s="320"/>
    </row>
    <row r="357">
      <c r="A357" s="320"/>
      <c r="B357" s="320"/>
      <c r="C357" s="320"/>
      <c r="D357" s="320"/>
      <c r="E357" s="320"/>
      <c r="F357" s="320"/>
      <c r="G357" s="320"/>
      <c r="H357" s="320"/>
      <c r="I357" s="320"/>
      <c r="J357" s="320"/>
      <c r="K357" s="320"/>
      <c r="L357" s="320"/>
      <c r="M357" s="320"/>
      <c r="N357" s="320"/>
      <c r="O357" s="320"/>
      <c r="P357" s="320"/>
      <c r="Q357" s="320"/>
      <c r="R357" s="320"/>
      <c r="S357" s="320"/>
      <c r="T357" s="320"/>
      <c r="U357" s="320"/>
      <c r="V357" s="320"/>
      <c r="W357" s="320"/>
      <c r="X357" s="320"/>
      <c r="Y357" s="320"/>
      <c r="Z357" s="320"/>
    </row>
    <row r="358">
      <c r="A358" s="320"/>
      <c r="B358" s="320"/>
      <c r="C358" s="320"/>
      <c r="D358" s="320"/>
      <c r="E358" s="320"/>
      <c r="F358" s="320"/>
      <c r="G358" s="320"/>
      <c r="H358" s="320"/>
      <c r="I358" s="320"/>
      <c r="J358" s="320"/>
      <c r="K358" s="320"/>
      <c r="L358" s="320"/>
      <c r="M358" s="320"/>
      <c r="N358" s="320"/>
      <c r="O358" s="320"/>
      <c r="P358" s="320"/>
      <c r="Q358" s="320"/>
      <c r="R358" s="320"/>
      <c r="S358" s="320"/>
      <c r="T358" s="320"/>
      <c r="U358" s="320"/>
      <c r="V358" s="320"/>
      <c r="W358" s="320"/>
      <c r="X358" s="320"/>
      <c r="Y358" s="320"/>
      <c r="Z358" s="320"/>
    </row>
    <row r="359">
      <c r="A359" s="320"/>
      <c r="B359" s="320"/>
      <c r="C359" s="320"/>
      <c r="D359" s="320"/>
      <c r="E359" s="320"/>
      <c r="F359" s="320"/>
      <c r="G359" s="320"/>
      <c r="H359" s="320"/>
      <c r="I359" s="320"/>
      <c r="J359" s="320"/>
      <c r="K359" s="320"/>
      <c r="L359" s="320"/>
      <c r="M359" s="320"/>
      <c r="N359" s="320"/>
      <c r="O359" s="320"/>
      <c r="P359" s="320"/>
      <c r="Q359" s="320"/>
      <c r="R359" s="320"/>
      <c r="S359" s="320"/>
      <c r="T359" s="320"/>
      <c r="U359" s="320"/>
      <c r="V359" s="320"/>
      <c r="W359" s="320"/>
      <c r="X359" s="320"/>
      <c r="Y359" s="320"/>
      <c r="Z359" s="320"/>
    </row>
    <row r="360">
      <c r="A360" s="320"/>
      <c r="B360" s="320"/>
      <c r="C360" s="320"/>
      <c r="D360" s="320"/>
      <c r="E360" s="320"/>
      <c r="F360" s="320"/>
      <c r="G360" s="320"/>
      <c r="H360" s="320"/>
      <c r="I360" s="320"/>
      <c r="J360" s="320"/>
      <c r="K360" s="320"/>
      <c r="L360" s="320"/>
      <c r="M360" s="320"/>
      <c r="N360" s="320"/>
      <c r="O360" s="320"/>
      <c r="P360" s="320"/>
      <c r="Q360" s="320"/>
      <c r="R360" s="320"/>
      <c r="S360" s="320"/>
      <c r="T360" s="320"/>
      <c r="U360" s="320"/>
      <c r="V360" s="320"/>
      <c r="W360" s="320"/>
      <c r="X360" s="320"/>
      <c r="Y360" s="320"/>
      <c r="Z360" s="320"/>
    </row>
    <row r="361">
      <c r="A361" s="320"/>
      <c r="B361" s="320"/>
      <c r="C361" s="320"/>
      <c r="D361" s="320"/>
      <c r="E361" s="320"/>
      <c r="F361" s="320"/>
      <c r="G361" s="320"/>
      <c r="H361" s="320"/>
      <c r="I361" s="320"/>
      <c r="J361" s="320"/>
      <c r="K361" s="320"/>
      <c r="L361" s="320"/>
      <c r="M361" s="320"/>
      <c r="N361" s="320"/>
      <c r="O361" s="320"/>
      <c r="P361" s="320"/>
      <c r="Q361" s="320"/>
      <c r="R361" s="320"/>
      <c r="S361" s="320"/>
      <c r="T361" s="320"/>
      <c r="U361" s="320"/>
      <c r="V361" s="320"/>
      <c r="W361" s="320"/>
      <c r="X361" s="320"/>
      <c r="Y361" s="320"/>
      <c r="Z361" s="320"/>
    </row>
    <row r="362">
      <c r="A362" s="320"/>
      <c r="B362" s="320"/>
      <c r="C362" s="320"/>
      <c r="D362" s="320"/>
      <c r="E362" s="320"/>
      <c r="F362" s="320"/>
      <c r="G362" s="320"/>
      <c r="H362" s="320"/>
      <c r="I362" s="320"/>
      <c r="J362" s="320"/>
      <c r="K362" s="320"/>
      <c r="L362" s="320"/>
      <c r="M362" s="320"/>
      <c r="N362" s="320"/>
      <c r="O362" s="320"/>
      <c r="P362" s="320"/>
      <c r="Q362" s="320"/>
      <c r="R362" s="320"/>
      <c r="S362" s="320"/>
      <c r="T362" s="320"/>
      <c r="U362" s="320"/>
      <c r="V362" s="320"/>
      <c r="W362" s="320"/>
      <c r="X362" s="320"/>
      <c r="Y362" s="320"/>
      <c r="Z362" s="320"/>
    </row>
    <row r="363">
      <c r="A363" s="320"/>
      <c r="B363" s="320"/>
      <c r="C363" s="320"/>
      <c r="D363" s="320"/>
      <c r="E363" s="320"/>
      <c r="F363" s="320"/>
      <c r="G363" s="320"/>
      <c r="H363" s="320"/>
      <c r="I363" s="320"/>
      <c r="J363" s="320"/>
      <c r="K363" s="320"/>
      <c r="L363" s="320"/>
      <c r="M363" s="320"/>
      <c r="N363" s="320"/>
      <c r="O363" s="320"/>
      <c r="P363" s="320"/>
      <c r="Q363" s="320"/>
      <c r="R363" s="320"/>
      <c r="S363" s="320"/>
      <c r="T363" s="320"/>
      <c r="U363" s="320"/>
      <c r="V363" s="320"/>
      <c r="W363" s="320"/>
      <c r="X363" s="320"/>
      <c r="Y363" s="320"/>
      <c r="Z363" s="320"/>
    </row>
    <row r="364">
      <c r="A364" s="320"/>
      <c r="B364" s="320"/>
      <c r="C364" s="320"/>
      <c r="D364" s="320"/>
      <c r="E364" s="320"/>
      <c r="F364" s="320"/>
      <c r="G364" s="320"/>
      <c r="H364" s="320"/>
      <c r="I364" s="320"/>
      <c r="J364" s="320"/>
      <c r="K364" s="320"/>
      <c r="L364" s="320"/>
      <c r="M364" s="320"/>
      <c r="N364" s="320"/>
      <c r="O364" s="320"/>
      <c r="P364" s="320"/>
      <c r="Q364" s="320"/>
      <c r="R364" s="320"/>
      <c r="S364" s="320"/>
      <c r="T364" s="320"/>
      <c r="U364" s="320"/>
      <c r="V364" s="320"/>
      <c r="W364" s="320"/>
      <c r="X364" s="320"/>
      <c r="Y364" s="320"/>
      <c r="Z364" s="320"/>
    </row>
    <row r="365">
      <c r="A365" s="320"/>
      <c r="B365" s="320"/>
      <c r="C365" s="320"/>
      <c r="D365" s="320"/>
      <c r="E365" s="320"/>
      <c r="F365" s="320"/>
      <c r="G365" s="320"/>
      <c r="H365" s="320"/>
      <c r="I365" s="320"/>
      <c r="J365" s="320"/>
      <c r="K365" s="320"/>
      <c r="L365" s="320"/>
      <c r="M365" s="320"/>
      <c r="N365" s="320"/>
      <c r="O365" s="320"/>
      <c r="P365" s="320"/>
      <c r="Q365" s="320"/>
      <c r="R365" s="320"/>
      <c r="S365" s="320"/>
      <c r="T365" s="320"/>
      <c r="U365" s="320"/>
      <c r="V365" s="320"/>
      <c r="W365" s="320"/>
      <c r="X365" s="320"/>
      <c r="Y365" s="320"/>
      <c r="Z365" s="320"/>
    </row>
    <row r="366">
      <c r="A366" s="320"/>
      <c r="B366" s="320"/>
      <c r="C366" s="320"/>
      <c r="D366" s="320"/>
      <c r="E366" s="320"/>
      <c r="F366" s="320"/>
      <c r="G366" s="320"/>
      <c r="H366" s="320"/>
      <c r="I366" s="320"/>
      <c r="J366" s="320"/>
      <c r="K366" s="320"/>
      <c r="L366" s="320"/>
      <c r="M366" s="320"/>
      <c r="N366" s="320"/>
      <c r="O366" s="320"/>
      <c r="P366" s="320"/>
      <c r="Q366" s="320"/>
      <c r="R366" s="320"/>
      <c r="S366" s="320"/>
      <c r="T366" s="320"/>
      <c r="U366" s="320"/>
      <c r="V366" s="320"/>
      <c r="W366" s="320"/>
      <c r="X366" s="320"/>
      <c r="Y366" s="320"/>
      <c r="Z366" s="320"/>
    </row>
    <row r="367">
      <c r="A367" s="320"/>
      <c r="B367" s="320"/>
      <c r="C367" s="320"/>
      <c r="D367" s="320"/>
      <c r="E367" s="320"/>
      <c r="F367" s="320"/>
      <c r="G367" s="320"/>
      <c r="H367" s="320"/>
      <c r="I367" s="320"/>
      <c r="J367" s="320"/>
      <c r="K367" s="320"/>
      <c r="L367" s="320"/>
      <c r="M367" s="320"/>
      <c r="N367" s="320"/>
      <c r="O367" s="320"/>
      <c r="P367" s="320"/>
      <c r="Q367" s="320"/>
      <c r="R367" s="320"/>
      <c r="S367" s="320"/>
      <c r="T367" s="320"/>
      <c r="U367" s="320"/>
      <c r="V367" s="320"/>
      <c r="W367" s="320"/>
      <c r="X367" s="320"/>
      <c r="Y367" s="320"/>
      <c r="Z367" s="320"/>
    </row>
    <row r="368">
      <c r="A368" s="320"/>
      <c r="B368" s="320"/>
      <c r="C368" s="320"/>
      <c r="D368" s="320"/>
      <c r="E368" s="320"/>
      <c r="F368" s="320"/>
      <c r="G368" s="320"/>
      <c r="H368" s="320"/>
      <c r="I368" s="320"/>
      <c r="J368" s="320"/>
      <c r="K368" s="320"/>
      <c r="L368" s="320"/>
      <c r="M368" s="320"/>
      <c r="N368" s="320"/>
      <c r="O368" s="320"/>
      <c r="P368" s="320"/>
      <c r="Q368" s="320"/>
      <c r="R368" s="320"/>
      <c r="S368" s="320"/>
      <c r="T368" s="320"/>
      <c r="U368" s="320"/>
      <c r="V368" s="320"/>
      <c r="W368" s="320"/>
      <c r="X368" s="320"/>
      <c r="Y368" s="320"/>
      <c r="Z368" s="320"/>
    </row>
    <row r="369">
      <c r="A369" s="320"/>
      <c r="B369" s="320"/>
      <c r="C369" s="320"/>
      <c r="D369" s="320"/>
      <c r="E369" s="320"/>
      <c r="F369" s="320"/>
      <c r="G369" s="320"/>
      <c r="H369" s="320"/>
      <c r="I369" s="320"/>
      <c r="J369" s="320"/>
      <c r="K369" s="320"/>
      <c r="L369" s="320"/>
      <c r="M369" s="320"/>
      <c r="N369" s="320"/>
      <c r="O369" s="320"/>
      <c r="P369" s="320"/>
      <c r="Q369" s="320"/>
      <c r="R369" s="320"/>
      <c r="S369" s="320"/>
      <c r="T369" s="320"/>
      <c r="U369" s="320"/>
      <c r="V369" s="320"/>
      <c r="W369" s="320"/>
      <c r="X369" s="320"/>
      <c r="Y369" s="320"/>
      <c r="Z369" s="320"/>
    </row>
    <row r="370">
      <c r="A370" s="320"/>
      <c r="B370" s="320"/>
      <c r="C370" s="320"/>
      <c r="D370" s="320"/>
      <c r="E370" s="320"/>
      <c r="F370" s="320"/>
      <c r="G370" s="320"/>
      <c r="H370" s="320"/>
      <c r="I370" s="320"/>
      <c r="J370" s="320"/>
      <c r="K370" s="320"/>
      <c r="L370" s="320"/>
      <c r="M370" s="320"/>
      <c r="N370" s="320"/>
      <c r="O370" s="320"/>
      <c r="P370" s="320"/>
      <c r="Q370" s="320"/>
      <c r="R370" s="320"/>
      <c r="S370" s="320"/>
      <c r="T370" s="320"/>
      <c r="U370" s="320"/>
      <c r="V370" s="320"/>
      <c r="W370" s="320"/>
      <c r="X370" s="320"/>
      <c r="Y370" s="320"/>
      <c r="Z370" s="320"/>
    </row>
    <row r="371">
      <c r="A371" s="320"/>
      <c r="B371" s="320"/>
      <c r="C371" s="320"/>
      <c r="D371" s="320"/>
      <c r="E371" s="320"/>
      <c r="F371" s="320"/>
      <c r="G371" s="320"/>
      <c r="H371" s="320"/>
      <c r="I371" s="320"/>
      <c r="J371" s="320"/>
      <c r="K371" s="320"/>
      <c r="L371" s="320"/>
      <c r="M371" s="320"/>
      <c r="N371" s="320"/>
      <c r="O371" s="320"/>
      <c r="P371" s="320"/>
      <c r="Q371" s="320"/>
      <c r="R371" s="320"/>
      <c r="S371" s="320"/>
      <c r="T371" s="320"/>
      <c r="U371" s="320"/>
      <c r="V371" s="320"/>
      <c r="W371" s="320"/>
      <c r="X371" s="320"/>
      <c r="Y371" s="320"/>
      <c r="Z371" s="320"/>
    </row>
    <row r="372">
      <c r="A372" s="320"/>
      <c r="B372" s="320"/>
      <c r="C372" s="320"/>
      <c r="D372" s="320"/>
      <c r="E372" s="320"/>
      <c r="F372" s="320"/>
      <c r="G372" s="320"/>
      <c r="H372" s="320"/>
      <c r="I372" s="320"/>
      <c r="J372" s="320"/>
      <c r="K372" s="320"/>
      <c r="L372" s="320"/>
      <c r="M372" s="320"/>
      <c r="N372" s="320"/>
      <c r="O372" s="320"/>
      <c r="P372" s="320"/>
      <c r="Q372" s="320"/>
      <c r="R372" s="320"/>
      <c r="S372" s="320"/>
      <c r="T372" s="320"/>
      <c r="U372" s="320"/>
      <c r="V372" s="320"/>
      <c r="W372" s="320"/>
      <c r="X372" s="320"/>
      <c r="Y372" s="320"/>
      <c r="Z372" s="320"/>
    </row>
    <row r="373">
      <c r="A373" s="320"/>
      <c r="B373" s="320"/>
      <c r="C373" s="320"/>
      <c r="D373" s="320"/>
      <c r="E373" s="320"/>
      <c r="F373" s="320"/>
      <c r="G373" s="320"/>
      <c r="H373" s="320"/>
      <c r="I373" s="320"/>
      <c r="J373" s="320"/>
      <c r="K373" s="320"/>
      <c r="L373" s="320"/>
      <c r="M373" s="320"/>
      <c r="N373" s="320"/>
      <c r="O373" s="320"/>
      <c r="P373" s="320"/>
      <c r="Q373" s="320"/>
      <c r="R373" s="320"/>
      <c r="S373" s="320"/>
      <c r="T373" s="320"/>
      <c r="U373" s="320"/>
      <c r="V373" s="320"/>
      <c r="W373" s="320"/>
      <c r="X373" s="320"/>
      <c r="Y373" s="320"/>
      <c r="Z373" s="320"/>
    </row>
    <row r="374">
      <c r="A374" s="320"/>
      <c r="B374" s="320"/>
      <c r="C374" s="320"/>
      <c r="D374" s="320"/>
      <c r="E374" s="320"/>
      <c r="F374" s="320"/>
      <c r="G374" s="320"/>
      <c r="H374" s="320"/>
      <c r="I374" s="320"/>
      <c r="J374" s="320"/>
      <c r="K374" s="320"/>
      <c r="L374" s="320"/>
      <c r="M374" s="320"/>
      <c r="N374" s="320"/>
      <c r="O374" s="320"/>
      <c r="P374" s="320"/>
      <c r="Q374" s="320"/>
      <c r="R374" s="320"/>
      <c r="S374" s="320"/>
      <c r="T374" s="320"/>
      <c r="U374" s="320"/>
      <c r="V374" s="320"/>
      <c r="W374" s="320"/>
      <c r="X374" s="320"/>
      <c r="Y374" s="320"/>
      <c r="Z374" s="320"/>
    </row>
    <row r="375">
      <c r="A375" s="320"/>
      <c r="B375" s="320"/>
      <c r="C375" s="320"/>
      <c r="D375" s="320"/>
      <c r="E375" s="320"/>
      <c r="F375" s="320"/>
      <c r="G375" s="320"/>
      <c r="H375" s="320"/>
      <c r="I375" s="320"/>
      <c r="J375" s="320"/>
      <c r="K375" s="320"/>
      <c r="L375" s="320"/>
      <c r="M375" s="320"/>
      <c r="N375" s="320"/>
      <c r="O375" s="320"/>
      <c r="P375" s="320"/>
      <c r="Q375" s="320"/>
      <c r="R375" s="320"/>
      <c r="S375" s="320"/>
      <c r="T375" s="320"/>
      <c r="U375" s="320"/>
      <c r="V375" s="320"/>
      <c r="W375" s="320"/>
      <c r="X375" s="320"/>
      <c r="Y375" s="320"/>
      <c r="Z375" s="320"/>
    </row>
    <row r="376">
      <c r="A376" s="320"/>
      <c r="B376" s="320"/>
      <c r="C376" s="320"/>
      <c r="D376" s="320"/>
      <c r="E376" s="320"/>
      <c r="F376" s="320"/>
      <c r="G376" s="320"/>
      <c r="H376" s="320"/>
      <c r="I376" s="320"/>
      <c r="J376" s="320"/>
      <c r="K376" s="320"/>
      <c r="L376" s="320"/>
      <c r="M376" s="320"/>
      <c r="N376" s="320"/>
      <c r="O376" s="320"/>
      <c r="P376" s="320"/>
      <c r="Q376" s="320"/>
      <c r="R376" s="320"/>
      <c r="S376" s="320"/>
      <c r="T376" s="320"/>
      <c r="U376" s="320"/>
      <c r="V376" s="320"/>
      <c r="W376" s="320"/>
      <c r="X376" s="320"/>
      <c r="Y376" s="320"/>
      <c r="Z376" s="320"/>
    </row>
    <row r="377">
      <c r="A377" s="320"/>
      <c r="B377" s="320"/>
      <c r="C377" s="320"/>
      <c r="D377" s="320"/>
      <c r="E377" s="320"/>
      <c r="F377" s="320"/>
      <c r="G377" s="320"/>
      <c r="H377" s="320"/>
      <c r="I377" s="320"/>
      <c r="J377" s="320"/>
      <c r="K377" s="320"/>
      <c r="L377" s="320"/>
      <c r="M377" s="320"/>
      <c r="N377" s="320"/>
      <c r="O377" s="320"/>
      <c r="P377" s="320"/>
      <c r="Q377" s="320"/>
      <c r="R377" s="320"/>
      <c r="S377" s="320"/>
      <c r="T377" s="320"/>
      <c r="U377" s="320"/>
      <c r="V377" s="320"/>
      <c r="W377" s="320"/>
      <c r="X377" s="320"/>
      <c r="Y377" s="320"/>
      <c r="Z377" s="320"/>
    </row>
    <row r="378">
      <c r="A378" s="320"/>
      <c r="B378" s="320"/>
      <c r="C378" s="320"/>
      <c r="D378" s="320"/>
      <c r="E378" s="320"/>
      <c r="F378" s="320"/>
      <c r="G378" s="320"/>
      <c r="H378" s="320"/>
      <c r="I378" s="320"/>
      <c r="J378" s="320"/>
      <c r="K378" s="320"/>
      <c r="L378" s="320"/>
      <c r="M378" s="320"/>
      <c r="N378" s="320"/>
      <c r="O378" s="320"/>
      <c r="P378" s="320"/>
      <c r="Q378" s="320"/>
      <c r="R378" s="320"/>
      <c r="S378" s="320"/>
      <c r="T378" s="320"/>
      <c r="U378" s="320"/>
      <c r="V378" s="320"/>
      <c r="W378" s="320"/>
      <c r="X378" s="320"/>
      <c r="Y378" s="320"/>
      <c r="Z378" s="320"/>
    </row>
    <row r="379">
      <c r="A379" s="320"/>
      <c r="B379" s="320"/>
      <c r="C379" s="320"/>
      <c r="D379" s="320"/>
      <c r="E379" s="320"/>
      <c r="F379" s="320"/>
      <c r="G379" s="320"/>
      <c r="H379" s="320"/>
      <c r="I379" s="320"/>
      <c r="J379" s="320"/>
      <c r="K379" s="320"/>
      <c r="L379" s="320"/>
      <c r="M379" s="320"/>
      <c r="N379" s="320"/>
      <c r="O379" s="320"/>
      <c r="P379" s="320"/>
      <c r="Q379" s="320"/>
      <c r="R379" s="320"/>
      <c r="S379" s="320"/>
      <c r="T379" s="320"/>
      <c r="U379" s="320"/>
      <c r="V379" s="320"/>
      <c r="W379" s="320"/>
      <c r="X379" s="320"/>
      <c r="Y379" s="320"/>
      <c r="Z379" s="320"/>
    </row>
    <row r="380">
      <c r="A380" s="320"/>
      <c r="B380" s="320"/>
      <c r="C380" s="320"/>
      <c r="D380" s="320"/>
      <c r="E380" s="320"/>
      <c r="F380" s="320"/>
      <c r="G380" s="320"/>
      <c r="H380" s="320"/>
      <c r="I380" s="320"/>
      <c r="J380" s="320"/>
      <c r="K380" s="320"/>
      <c r="L380" s="320"/>
      <c r="M380" s="320"/>
      <c r="N380" s="320"/>
      <c r="O380" s="320"/>
      <c r="P380" s="320"/>
      <c r="Q380" s="320"/>
      <c r="R380" s="320"/>
      <c r="S380" s="320"/>
      <c r="T380" s="320"/>
      <c r="U380" s="320"/>
      <c r="V380" s="320"/>
      <c r="W380" s="320"/>
      <c r="X380" s="320"/>
      <c r="Y380" s="320"/>
      <c r="Z380" s="320"/>
    </row>
    <row r="381">
      <c r="A381" s="320"/>
      <c r="B381" s="320"/>
      <c r="C381" s="320"/>
      <c r="D381" s="320"/>
      <c r="E381" s="320"/>
      <c r="F381" s="320"/>
      <c r="G381" s="320"/>
      <c r="H381" s="320"/>
      <c r="I381" s="320"/>
      <c r="J381" s="320"/>
      <c r="K381" s="320"/>
      <c r="L381" s="320"/>
      <c r="M381" s="320"/>
      <c r="N381" s="320"/>
      <c r="O381" s="320"/>
      <c r="P381" s="320"/>
      <c r="Q381" s="320"/>
      <c r="R381" s="320"/>
      <c r="S381" s="320"/>
      <c r="T381" s="320"/>
      <c r="U381" s="320"/>
      <c r="V381" s="320"/>
      <c r="W381" s="320"/>
      <c r="X381" s="320"/>
      <c r="Y381" s="320"/>
      <c r="Z381" s="320"/>
    </row>
    <row r="382">
      <c r="A382" s="320"/>
      <c r="B382" s="320"/>
      <c r="C382" s="320"/>
      <c r="D382" s="320"/>
      <c r="E382" s="320"/>
      <c r="F382" s="320"/>
      <c r="G382" s="320"/>
      <c r="H382" s="320"/>
      <c r="I382" s="320"/>
      <c r="J382" s="320"/>
      <c r="K382" s="320"/>
      <c r="L382" s="320"/>
      <c r="M382" s="320"/>
      <c r="N382" s="320"/>
      <c r="O382" s="320"/>
      <c r="P382" s="320"/>
      <c r="Q382" s="320"/>
      <c r="R382" s="320"/>
      <c r="S382" s="320"/>
      <c r="T382" s="320"/>
      <c r="U382" s="320"/>
      <c r="V382" s="320"/>
      <c r="W382" s="320"/>
      <c r="X382" s="320"/>
      <c r="Y382" s="320"/>
      <c r="Z382" s="320"/>
    </row>
    <row r="383">
      <c r="A383" s="320"/>
      <c r="B383" s="320"/>
      <c r="C383" s="320"/>
      <c r="D383" s="320"/>
      <c r="E383" s="320"/>
      <c r="F383" s="320"/>
      <c r="G383" s="320"/>
      <c r="H383" s="320"/>
      <c r="I383" s="320"/>
      <c r="J383" s="320"/>
      <c r="K383" s="320"/>
      <c r="L383" s="320"/>
      <c r="M383" s="320"/>
      <c r="N383" s="320"/>
      <c r="O383" s="320"/>
      <c r="P383" s="320"/>
      <c r="Q383" s="320"/>
      <c r="R383" s="320"/>
      <c r="S383" s="320"/>
      <c r="T383" s="320"/>
      <c r="U383" s="320"/>
      <c r="V383" s="320"/>
      <c r="W383" s="320"/>
      <c r="X383" s="320"/>
      <c r="Y383" s="320"/>
      <c r="Z383" s="320"/>
    </row>
    <row r="384">
      <c r="A384" s="320"/>
      <c r="B384" s="320"/>
      <c r="C384" s="320"/>
      <c r="D384" s="320"/>
      <c r="E384" s="320"/>
      <c r="F384" s="320"/>
      <c r="G384" s="320"/>
      <c r="H384" s="320"/>
      <c r="I384" s="320"/>
      <c r="J384" s="320"/>
      <c r="K384" s="320"/>
      <c r="L384" s="320"/>
      <c r="M384" s="320"/>
      <c r="N384" s="320"/>
      <c r="O384" s="320"/>
      <c r="P384" s="320"/>
      <c r="Q384" s="320"/>
      <c r="R384" s="320"/>
      <c r="S384" s="320"/>
      <c r="T384" s="320"/>
      <c r="U384" s="320"/>
      <c r="V384" s="320"/>
      <c r="W384" s="320"/>
      <c r="X384" s="320"/>
      <c r="Y384" s="320"/>
      <c r="Z384" s="320"/>
    </row>
    <row r="385">
      <c r="A385" s="320"/>
      <c r="B385" s="320"/>
      <c r="C385" s="320"/>
      <c r="D385" s="320"/>
      <c r="E385" s="320"/>
      <c r="F385" s="320"/>
      <c r="G385" s="320"/>
      <c r="H385" s="320"/>
      <c r="I385" s="320"/>
      <c r="J385" s="320"/>
      <c r="K385" s="320"/>
      <c r="L385" s="320"/>
      <c r="M385" s="320"/>
      <c r="N385" s="320"/>
      <c r="O385" s="320"/>
      <c r="P385" s="320"/>
      <c r="Q385" s="320"/>
      <c r="R385" s="320"/>
      <c r="S385" s="320"/>
      <c r="T385" s="320"/>
      <c r="U385" s="320"/>
      <c r="V385" s="320"/>
      <c r="W385" s="320"/>
      <c r="X385" s="320"/>
      <c r="Y385" s="320"/>
      <c r="Z385" s="320"/>
    </row>
    <row r="386">
      <c r="A386" s="320"/>
      <c r="B386" s="320"/>
      <c r="C386" s="320"/>
      <c r="D386" s="320"/>
      <c r="E386" s="320"/>
      <c r="F386" s="320"/>
      <c r="G386" s="320"/>
      <c r="H386" s="320"/>
      <c r="I386" s="320"/>
      <c r="J386" s="320"/>
      <c r="K386" s="320"/>
      <c r="L386" s="320"/>
      <c r="M386" s="320"/>
      <c r="N386" s="320"/>
      <c r="O386" s="320"/>
      <c r="P386" s="320"/>
      <c r="Q386" s="320"/>
      <c r="R386" s="320"/>
      <c r="S386" s="320"/>
      <c r="T386" s="320"/>
      <c r="U386" s="320"/>
      <c r="V386" s="320"/>
      <c r="W386" s="320"/>
      <c r="X386" s="320"/>
      <c r="Y386" s="320"/>
      <c r="Z386" s="320"/>
    </row>
    <row r="387">
      <c r="A387" s="320"/>
      <c r="B387" s="320"/>
      <c r="C387" s="320"/>
      <c r="D387" s="320"/>
      <c r="E387" s="320"/>
      <c r="F387" s="320"/>
      <c r="G387" s="320"/>
      <c r="H387" s="320"/>
      <c r="I387" s="320"/>
      <c r="J387" s="320"/>
      <c r="K387" s="320"/>
      <c r="L387" s="320"/>
      <c r="M387" s="320"/>
      <c r="N387" s="320"/>
      <c r="O387" s="320"/>
      <c r="P387" s="320"/>
      <c r="Q387" s="320"/>
      <c r="R387" s="320"/>
      <c r="S387" s="320"/>
      <c r="T387" s="320"/>
      <c r="U387" s="320"/>
      <c r="V387" s="320"/>
      <c r="W387" s="320"/>
      <c r="X387" s="320"/>
      <c r="Y387" s="320"/>
      <c r="Z387" s="320"/>
    </row>
    <row r="388">
      <c r="A388" s="320"/>
      <c r="B388" s="320"/>
      <c r="C388" s="320"/>
      <c r="D388" s="320"/>
      <c r="E388" s="320"/>
      <c r="F388" s="320"/>
      <c r="G388" s="320"/>
      <c r="H388" s="320"/>
      <c r="I388" s="320"/>
      <c r="J388" s="320"/>
      <c r="K388" s="320"/>
      <c r="L388" s="320"/>
      <c r="M388" s="320"/>
      <c r="N388" s="320"/>
      <c r="O388" s="320"/>
      <c r="P388" s="320"/>
      <c r="Q388" s="320"/>
      <c r="R388" s="320"/>
      <c r="S388" s="320"/>
      <c r="T388" s="320"/>
      <c r="U388" s="320"/>
      <c r="V388" s="320"/>
      <c r="W388" s="320"/>
      <c r="X388" s="320"/>
      <c r="Y388" s="320"/>
      <c r="Z388" s="320"/>
    </row>
    <row r="389">
      <c r="A389" s="320"/>
      <c r="B389" s="320"/>
      <c r="C389" s="320"/>
      <c r="D389" s="320"/>
      <c r="E389" s="320"/>
      <c r="F389" s="320"/>
      <c r="G389" s="320"/>
      <c r="H389" s="320"/>
      <c r="I389" s="320"/>
      <c r="J389" s="320"/>
      <c r="K389" s="320"/>
      <c r="L389" s="320"/>
      <c r="M389" s="320"/>
      <c r="N389" s="320"/>
      <c r="O389" s="320"/>
      <c r="P389" s="320"/>
      <c r="Q389" s="320"/>
      <c r="R389" s="320"/>
      <c r="S389" s="320"/>
      <c r="T389" s="320"/>
      <c r="U389" s="320"/>
      <c r="V389" s="320"/>
      <c r="W389" s="320"/>
      <c r="X389" s="320"/>
      <c r="Y389" s="320"/>
      <c r="Z389" s="320"/>
    </row>
    <row r="390">
      <c r="A390" s="320"/>
      <c r="B390" s="320"/>
      <c r="C390" s="320"/>
      <c r="D390" s="320"/>
      <c r="E390" s="320"/>
      <c r="F390" s="320"/>
      <c r="G390" s="320"/>
      <c r="H390" s="320"/>
      <c r="I390" s="320"/>
      <c r="J390" s="320"/>
      <c r="K390" s="320"/>
      <c r="L390" s="320"/>
      <c r="M390" s="320"/>
      <c r="N390" s="320"/>
      <c r="O390" s="320"/>
      <c r="P390" s="320"/>
      <c r="Q390" s="320"/>
      <c r="R390" s="320"/>
      <c r="S390" s="320"/>
      <c r="T390" s="320"/>
      <c r="U390" s="320"/>
      <c r="V390" s="320"/>
      <c r="W390" s="320"/>
      <c r="X390" s="320"/>
      <c r="Y390" s="320"/>
      <c r="Z390" s="320"/>
    </row>
    <row r="391">
      <c r="A391" s="320"/>
      <c r="B391" s="320"/>
      <c r="C391" s="320"/>
      <c r="D391" s="320"/>
      <c r="E391" s="320"/>
      <c r="F391" s="320"/>
      <c r="G391" s="320"/>
      <c r="H391" s="320"/>
      <c r="I391" s="320"/>
      <c r="J391" s="320"/>
      <c r="K391" s="320"/>
      <c r="L391" s="320"/>
      <c r="M391" s="320"/>
      <c r="N391" s="320"/>
      <c r="O391" s="320"/>
      <c r="P391" s="320"/>
      <c r="Q391" s="320"/>
      <c r="R391" s="320"/>
      <c r="S391" s="320"/>
      <c r="T391" s="320"/>
      <c r="U391" s="320"/>
      <c r="V391" s="320"/>
      <c r="W391" s="320"/>
      <c r="X391" s="320"/>
      <c r="Y391" s="320"/>
      <c r="Z391" s="320"/>
    </row>
    <row r="392">
      <c r="A392" s="320"/>
      <c r="B392" s="320"/>
      <c r="C392" s="320"/>
      <c r="D392" s="320"/>
      <c r="E392" s="320"/>
      <c r="F392" s="320"/>
      <c r="G392" s="320"/>
      <c r="H392" s="320"/>
      <c r="I392" s="320"/>
      <c r="J392" s="320"/>
      <c r="K392" s="320"/>
      <c r="L392" s="320"/>
      <c r="M392" s="320"/>
      <c r="N392" s="320"/>
      <c r="O392" s="320"/>
      <c r="P392" s="320"/>
      <c r="Q392" s="320"/>
      <c r="R392" s="320"/>
      <c r="S392" s="320"/>
      <c r="T392" s="320"/>
      <c r="U392" s="320"/>
      <c r="V392" s="320"/>
      <c r="W392" s="320"/>
      <c r="X392" s="320"/>
      <c r="Y392" s="320"/>
      <c r="Z392" s="320"/>
    </row>
    <row r="393">
      <c r="A393" s="320"/>
      <c r="B393" s="320"/>
      <c r="C393" s="320"/>
      <c r="D393" s="320"/>
      <c r="E393" s="320"/>
      <c r="F393" s="320"/>
      <c r="G393" s="320"/>
      <c r="H393" s="320"/>
      <c r="I393" s="320"/>
      <c r="J393" s="320"/>
      <c r="K393" s="320"/>
      <c r="L393" s="320"/>
      <c r="M393" s="320"/>
      <c r="N393" s="320"/>
      <c r="O393" s="320"/>
      <c r="P393" s="320"/>
      <c r="Q393" s="320"/>
      <c r="R393" s="320"/>
      <c r="S393" s="320"/>
      <c r="T393" s="320"/>
      <c r="U393" s="320"/>
      <c r="V393" s="320"/>
      <c r="W393" s="320"/>
      <c r="X393" s="320"/>
      <c r="Y393" s="320"/>
      <c r="Z393" s="320"/>
    </row>
    <row r="394">
      <c r="A394" s="320"/>
      <c r="B394" s="320"/>
      <c r="C394" s="320"/>
      <c r="D394" s="320"/>
      <c r="E394" s="320"/>
      <c r="F394" s="320"/>
      <c r="G394" s="320"/>
      <c r="H394" s="320"/>
      <c r="I394" s="320"/>
      <c r="J394" s="320"/>
      <c r="K394" s="320"/>
      <c r="L394" s="320"/>
      <c r="M394" s="320"/>
      <c r="N394" s="320"/>
      <c r="O394" s="320"/>
      <c r="P394" s="320"/>
      <c r="Q394" s="320"/>
      <c r="R394" s="320"/>
      <c r="S394" s="320"/>
      <c r="T394" s="320"/>
      <c r="U394" s="320"/>
      <c r="V394" s="320"/>
      <c r="W394" s="320"/>
      <c r="X394" s="320"/>
      <c r="Y394" s="320"/>
      <c r="Z394" s="320"/>
    </row>
    <row r="395">
      <c r="A395" s="320"/>
      <c r="B395" s="320"/>
      <c r="C395" s="320"/>
      <c r="D395" s="320"/>
      <c r="E395" s="320"/>
      <c r="F395" s="320"/>
      <c r="G395" s="320"/>
      <c r="H395" s="320"/>
      <c r="I395" s="320"/>
      <c r="J395" s="320"/>
      <c r="K395" s="320"/>
      <c r="L395" s="320"/>
      <c r="M395" s="320"/>
      <c r="N395" s="320"/>
      <c r="O395" s="320"/>
      <c r="P395" s="320"/>
      <c r="Q395" s="320"/>
      <c r="R395" s="320"/>
      <c r="S395" s="320"/>
      <c r="T395" s="320"/>
      <c r="U395" s="320"/>
      <c r="V395" s="320"/>
      <c r="W395" s="320"/>
      <c r="X395" s="320"/>
      <c r="Y395" s="320"/>
      <c r="Z395" s="320"/>
    </row>
    <row r="396">
      <c r="A396" s="320"/>
      <c r="B396" s="320"/>
      <c r="C396" s="320"/>
      <c r="D396" s="320"/>
      <c r="E396" s="320"/>
      <c r="F396" s="320"/>
      <c r="G396" s="320"/>
      <c r="H396" s="320"/>
      <c r="I396" s="320"/>
      <c r="J396" s="320"/>
      <c r="K396" s="320"/>
      <c r="L396" s="320"/>
      <c r="M396" s="320"/>
      <c r="N396" s="320"/>
      <c r="O396" s="320"/>
      <c r="P396" s="320"/>
      <c r="Q396" s="320"/>
      <c r="R396" s="320"/>
      <c r="S396" s="320"/>
      <c r="T396" s="320"/>
      <c r="U396" s="320"/>
      <c r="V396" s="320"/>
      <c r="W396" s="320"/>
      <c r="X396" s="320"/>
      <c r="Y396" s="320"/>
      <c r="Z396" s="320"/>
    </row>
    <row r="397">
      <c r="A397" s="320"/>
      <c r="B397" s="320"/>
      <c r="C397" s="320"/>
      <c r="D397" s="320"/>
      <c r="E397" s="320"/>
      <c r="F397" s="320"/>
      <c r="G397" s="320"/>
      <c r="H397" s="320"/>
      <c r="I397" s="320"/>
      <c r="J397" s="320"/>
      <c r="K397" s="320"/>
      <c r="L397" s="320"/>
      <c r="M397" s="320"/>
      <c r="N397" s="320"/>
      <c r="O397" s="320"/>
      <c r="P397" s="320"/>
      <c r="Q397" s="320"/>
      <c r="R397" s="320"/>
      <c r="S397" s="320"/>
      <c r="T397" s="320"/>
      <c r="U397" s="320"/>
      <c r="V397" s="320"/>
      <c r="W397" s="320"/>
      <c r="X397" s="320"/>
      <c r="Y397" s="320"/>
      <c r="Z397" s="320"/>
    </row>
    <row r="398">
      <c r="A398" s="320"/>
      <c r="B398" s="320"/>
      <c r="C398" s="320"/>
      <c r="D398" s="320"/>
      <c r="E398" s="320"/>
      <c r="F398" s="320"/>
      <c r="G398" s="320"/>
      <c r="H398" s="320"/>
      <c r="I398" s="320"/>
      <c r="J398" s="320"/>
      <c r="K398" s="320"/>
      <c r="L398" s="320"/>
      <c r="M398" s="320"/>
      <c r="N398" s="320"/>
      <c r="O398" s="320"/>
      <c r="P398" s="320"/>
      <c r="Q398" s="320"/>
      <c r="R398" s="320"/>
      <c r="S398" s="320"/>
      <c r="T398" s="320"/>
      <c r="U398" s="320"/>
      <c r="V398" s="320"/>
      <c r="W398" s="320"/>
      <c r="X398" s="320"/>
      <c r="Y398" s="320"/>
      <c r="Z398" s="320"/>
    </row>
    <row r="399">
      <c r="A399" s="320"/>
      <c r="B399" s="320"/>
      <c r="C399" s="320"/>
      <c r="D399" s="320"/>
      <c r="E399" s="320"/>
      <c r="F399" s="320"/>
      <c r="G399" s="320"/>
      <c r="H399" s="320"/>
      <c r="I399" s="320"/>
      <c r="J399" s="320"/>
      <c r="K399" s="320"/>
      <c r="L399" s="320"/>
      <c r="M399" s="320"/>
      <c r="N399" s="320"/>
      <c r="O399" s="320"/>
      <c r="P399" s="320"/>
      <c r="Q399" s="320"/>
      <c r="R399" s="320"/>
      <c r="S399" s="320"/>
      <c r="T399" s="320"/>
      <c r="U399" s="320"/>
      <c r="V399" s="320"/>
      <c r="W399" s="320"/>
      <c r="X399" s="320"/>
      <c r="Y399" s="320"/>
      <c r="Z399" s="320"/>
    </row>
    <row r="400">
      <c r="A400" s="320"/>
      <c r="B400" s="320"/>
      <c r="C400" s="320"/>
      <c r="D400" s="320"/>
      <c r="E400" s="320"/>
      <c r="F400" s="320"/>
      <c r="G400" s="320"/>
      <c r="H400" s="320"/>
      <c r="I400" s="320"/>
      <c r="J400" s="320"/>
      <c r="K400" s="320"/>
      <c r="L400" s="320"/>
      <c r="M400" s="320"/>
      <c r="N400" s="320"/>
      <c r="O400" s="320"/>
      <c r="P400" s="320"/>
      <c r="Q400" s="320"/>
      <c r="R400" s="320"/>
      <c r="S400" s="320"/>
      <c r="T400" s="320"/>
      <c r="U400" s="320"/>
      <c r="V400" s="320"/>
      <c r="W400" s="320"/>
      <c r="X400" s="320"/>
      <c r="Y400" s="320"/>
      <c r="Z400" s="320"/>
    </row>
    <row r="401">
      <c r="A401" s="320"/>
      <c r="B401" s="320"/>
      <c r="C401" s="320"/>
      <c r="D401" s="320"/>
      <c r="E401" s="320"/>
      <c r="F401" s="320"/>
      <c r="G401" s="320"/>
      <c r="H401" s="320"/>
      <c r="I401" s="320"/>
      <c r="J401" s="320"/>
      <c r="K401" s="320"/>
      <c r="L401" s="320"/>
      <c r="M401" s="320"/>
      <c r="N401" s="320"/>
      <c r="O401" s="320"/>
      <c r="P401" s="320"/>
      <c r="Q401" s="320"/>
      <c r="R401" s="320"/>
      <c r="S401" s="320"/>
      <c r="T401" s="320"/>
      <c r="U401" s="320"/>
      <c r="V401" s="320"/>
      <c r="W401" s="320"/>
      <c r="X401" s="320"/>
      <c r="Y401" s="320"/>
      <c r="Z401" s="320"/>
    </row>
    <row r="402">
      <c r="A402" s="320"/>
      <c r="B402" s="320"/>
      <c r="C402" s="320"/>
      <c r="D402" s="320"/>
      <c r="E402" s="320"/>
      <c r="F402" s="320"/>
      <c r="G402" s="320"/>
      <c r="H402" s="320"/>
      <c r="I402" s="320"/>
      <c r="J402" s="320"/>
      <c r="K402" s="320"/>
      <c r="L402" s="320"/>
      <c r="M402" s="320"/>
      <c r="N402" s="320"/>
      <c r="O402" s="320"/>
      <c r="P402" s="320"/>
      <c r="Q402" s="320"/>
      <c r="R402" s="320"/>
      <c r="S402" s="320"/>
      <c r="T402" s="320"/>
      <c r="U402" s="320"/>
      <c r="V402" s="320"/>
      <c r="W402" s="320"/>
      <c r="X402" s="320"/>
      <c r="Y402" s="320"/>
      <c r="Z402" s="320"/>
    </row>
    <row r="403">
      <c r="A403" s="320"/>
      <c r="B403" s="320"/>
      <c r="C403" s="320"/>
      <c r="D403" s="320"/>
      <c r="E403" s="320"/>
      <c r="F403" s="320"/>
      <c r="G403" s="320"/>
      <c r="H403" s="320"/>
      <c r="I403" s="320"/>
      <c r="J403" s="320"/>
      <c r="K403" s="320"/>
      <c r="L403" s="320"/>
      <c r="M403" s="320"/>
      <c r="N403" s="320"/>
      <c r="O403" s="320"/>
      <c r="P403" s="320"/>
      <c r="Q403" s="320"/>
      <c r="R403" s="320"/>
      <c r="S403" s="320"/>
      <c r="T403" s="320"/>
      <c r="U403" s="320"/>
      <c r="V403" s="320"/>
      <c r="W403" s="320"/>
      <c r="X403" s="320"/>
      <c r="Y403" s="320"/>
      <c r="Z403" s="320"/>
    </row>
    <row r="404">
      <c r="A404" s="320"/>
      <c r="B404" s="320"/>
      <c r="C404" s="320"/>
      <c r="D404" s="320"/>
      <c r="E404" s="320"/>
      <c r="F404" s="320"/>
      <c r="G404" s="320"/>
      <c r="H404" s="320"/>
      <c r="I404" s="320"/>
      <c r="J404" s="320"/>
      <c r="K404" s="320"/>
      <c r="L404" s="320"/>
      <c r="M404" s="320"/>
      <c r="N404" s="320"/>
      <c r="O404" s="320"/>
      <c r="P404" s="320"/>
      <c r="Q404" s="320"/>
      <c r="R404" s="320"/>
      <c r="S404" s="320"/>
      <c r="T404" s="320"/>
      <c r="U404" s="320"/>
      <c r="V404" s="320"/>
      <c r="W404" s="320"/>
      <c r="X404" s="320"/>
      <c r="Y404" s="320"/>
      <c r="Z404" s="320"/>
    </row>
    <row r="405">
      <c r="A405" s="320"/>
      <c r="B405" s="320"/>
      <c r="C405" s="320"/>
      <c r="D405" s="320"/>
      <c r="E405" s="320"/>
      <c r="F405" s="320"/>
      <c r="G405" s="320"/>
      <c r="H405" s="320"/>
      <c r="I405" s="320"/>
      <c r="J405" s="320"/>
      <c r="K405" s="320"/>
      <c r="L405" s="320"/>
      <c r="M405" s="320"/>
      <c r="N405" s="320"/>
      <c r="O405" s="320"/>
      <c r="P405" s="320"/>
      <c r="Q405" s="320"/>
      <c r="R405" s="320"/>
      <c r="S405" s="320"/>
      <c r="T405" s="320"/>
      <c r="U405" s="320"/>
      <c r="V405" s="320"/>
      <c r="W405" s="320"/>
      <c r="X405" s="320"/>
      <c r="Y405" s="320"/>
      <c r="Z405" s="320"/>
    </row>
    <row r="406">
      <c r="A406" s="320"/>
      <c r="B406" s="320"/>
      <c r="C406" s="320"/>
      <c r="D406" s="320"/>
      <c r="E406" s="320"/>
      <c r="F406" s="320"/>
      <c r="G406" s="320"/>
      <c r="H406" s="320"/>
      <c r="I406" s="320"/>
      <c r="J406" s="320"/>
      <c r="K406" s="320"/>
      <c r="L406" s="320"/>
      <c r="M406" s="320"/>
      <c r="N406" s="320"/>
      <c r="O406" s="320"/>
      <c r="P406" s="320"/>
      <c r="Q406" s="320"/>
      <c r="R406" s="320"/>
      <c r="S406" s="320"/>
      <c r="T406" s="320"/>
      <c r="U406" s="320"/>
      <c r="V406" s="320"/>
      <c r="W406" s="320"/>
      <c r="X406" s="320"/>
      <c r="Y406" s="320"/>
      <c r="Z406" s="320"/>
    </row>
    <row r="407">
      <c r="A407" s="320"/>
      <c r="B407" s="320"/>
      <c r="C407" s="320"/>
      <c r="D407" s="320"/>
      <c r="E407" s="320"/>
      <c r="F407" s="320"/>
      <c r="G407" s="320"/>
      <c r="H407" s="320"/>
      <c r="I407" s="320"/>
      <c r="J407" s="320"/>
      <c r="K407" s="320"/>
      <c r="L407" s="320"/>
      <c r="M407" s="320"/>
      <c r="N407" s="320"/>
      <c r="O407" s="320"/>
      <c r="P407" s="320"/>
      <c r="Q407" s="320"/>
      <c r="R407" s="320"/>
      <c r="S407" s="320"/>
      <c r="T407" s="320"/>
      <c r="U407" s="320"/>
      <c r="V407" s="320"/>
      <c r="W407" s="320"/>
      <c r="X407" s="320"/>
      <c r="Y407" s="320"/>
      <c r="Z407" s="320"/>
    </row>
    <row r="408">
      <c r="A408" s="320"/>
      <c r="B408" s="320"/>
      <c r="C408" s="320"/>
      <c r="D408" s="320"/>
      <c r="E408" s="320"/>
      <c r="F408" s="320"/>
      <c r="G408" s="320"/>
      <c r="H408" s="320"/>
      <c r="I408" s="320"/>
      <c r="J408" s="320"/>
      <c r="K408" s="320"/>
      <c r="L408" s="320"/>
      <c r="M408" s="320"/>
      <c r="N408" s="320"/>
      <c r="O408" s="320"/>
      <c r="P408" s="320"/>
      <c r="Q408" s="320"/>
      <c r="R408" s="320"/>
      <c r="S408" s="320"/>
      <c r="T408" s="320"/>
      <c r="U408" s="320"/>
      <c r="V408" s="320"/>
      <c r="W408" s="320"/>
      <c r="X408" s="320"/>
      <c r="Y408" s="320"/>
      <c r="Z408" s="320"/>
    </row>
    <row r="409">
      <c r="A409" s="320"/>
      <c r="B409" s="320"/>
      <c r="C409" s="320"/>
      <c r="D409" s="320"/>
      <c r="E409" s="320"/>
      <c r="F409" s="320"/>
      <c r="G409" s="320"/>
      <c r="H409" s="320"/>
      <c r="I409" s="320"/>
      <c r="J409" s="320"/>
      <c r="K409" s="320"/>
      <c r="L409" s="320"/>
      <c r="M409" s="320"/>
      <c r="N409" s="320"/>
      <c r="O409" s="320"/>
      <c r="P409" s="320"/>
      <c r="Q409" s="320"/>
      <c r="R409" s="320"/>
      <c r="S409" s="320"/>
      <c r="T409" s="320"/>
      <c r="U409" s="320"/>
      <c r="V409" s="320"/>
      <c r="W409" s="320"/>
      <c r="X409" s="320"/>
      <c r="Y409" s="320"/>
      <c r="Z409" s="320"/>
    </row>
    <row r="410">
      <c r="A410" s="320"/>
      <c r="B410" s="320"/>
      <c r="C410" s="320"/>
      <c r="D410" s="320"/>
      <c r="E410" s="320"/>
      <c r="F410" s="320"/>
      <c r="G410" s="320"/>
      <c r="H410" s="320"/>
      <c r="I410" s="320"/>
      <c r="J410" s="320"/>
      <c r="K410" s="320"/>
      <c r="L410" s="320"/>
      <c r="M410" s="320"/>
      <c r="N410" s="320"/>
      <c r="O410" s="320"/>
      <c r="P410" s="320"/>
      <c r="Q410" s="320"/>
      <c r="R410" s="320"/>
      <c r="S410" s="320"/>
      <c r="T410" s="320"/>
      <c r="U410" s="320"/>
      <c r="V410" s="320"/>
      <c r="W410" s="320"/>
      <c r="X410" s="320"/>
      <c r="Y410" s="320"/>
      <c r="Z410" s="320"/>
    </row>
    <row r="411">
      <c r="A411" s="320"/>
      <c r="B411" s="320"/>
      <c r="C411" s="320"/>
      <c r="D411" s="320"/>
      <c r="E411" s="320"/>
      <c r="F411" s="320"/>
      <c r="G411" s="320"/>
      <c r="H411" s="320"/>
      <c r="I411" s="320"/>
      <c r="J411" s="320"/>
      <c r="K411" s="320"/>
      <c r="L411" s="320"/>
      <c r="M411" s="320"/>
      <c r="N411" s="320"/>
      <c r="O411" s="320"/>
      <c r="P411" s="320"/>
      <c r="Q411" s="320"/>
      <c r="R411" s="320"/>
      <c r="S411" s="320"/>
      <c r="T411" s="320"/>
      <c r="U411" s="320"/>
      <c r="V411" s="320"/>
      <c r="W411" s="320"/>
      <c r="X411" s="320"/>
      <c r="Y411" s="320"/>
      <c r="Z411" s="320"/>
    </row>
    <row r="412">
      <c r="A412" s="320"/>
      <c r="B412" s="320"/>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row>
    <row r="413">
      <c r="A413" s="320"/>
      <c r="B413" s="320"/>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row>
    <row r="414">
      <c r="A414" s="320"/>
      <c r="B414" s="320"/>
      <c r="C414" s="320"/>
      <c r="D414" s="320"/>
      <c r="E414" s="320"/>
      <c r="F414" s="320"/>
      <c r="G414" s="320"/>
      <c r="H414" s="320"/>
      <c r="I414" s="320"/>
      <c r="J414" s="320"/>
      <c r="K414" s="320"/>
      <c r="L414" s="320"/>
      <c r="M414" s="320"/>
      <c r="N414" s="320"/>
      <c r="O414" s="320"/>
      <c r="P414" s="320"/>
      <c r="Q414" s="320"/>
      <c r="R414" s="320"/>
      <c r="S414" s="320"/>
      <c r="T414" s="320"/>
      <c r="U414" s="320"/>
      <c r="V414" s="320"/>
      <c r="W414" s="320"/>
      <c r="X414" s="320"/>
      <c r="Y414" s="320"/>
      <c r="Z414" s="320"/>
    </row>
    <row r="415">
      <c r="A415" s="320"/>
      <c r="B415" s="320"/>
      <c r="C415" s="320"/>
      <c r="D415" s="320"/>
      <c r="E415" s="320"/>
      <c r="F415" s="320"/>
      <c r="G415" s="320"/>
      <c r="H415" s="320"/>
      <c r="I415" s="320"/>
      <c r="J415" s="320"/>
      <c r="K415" s="320"/>
      <c r="L415" s="320"/>
      <c r="M415" s="320"/>
      <c r="N415" s="320"/>
      <c r="O415" s="320"/>
      <c r="P415" s="320"/>
      <c r="Q415" s="320"/>
      <c r="R415" s="320"/>
      <c r="S415" s="320"/>
      <c r="T415" s="320"/>
      <c r="U415" s="320"/>
      <c r="V415" s="320"/>
      <c r="W415" s="320"/>
      <c r="X415" s="320"/>
      <c r="Y415" s="320"/>
      <c r="Z415" s="320"/>
    </row>
    <row r="416">
      <c r="A416" s="320"/>
      <c r="B416" s="320"/>
      <c r="C416" s="320"/>
      <c r="D416" s="320"/>
      <c r="E416" s="320"/>
      <c r="F416" s="320"/>
      <c r="G416" s="320"/>
      <c r="H416" s="320"/>
      <c r="I416" s="320"/>
      <c r="J416" s="320"/>
      <c r="K416" s="320"/>
      <c r="L416" s="320"/>
      <c r="M416" s="320"/>
      <c r="N416" s="320"/>
      <c r="O416" s="320"/>
      <c r="P416" s="320"/>
      <c r="Q416" s="320"/>
      <c r="R416" s="320"/>
      <c r="S416" s="320"/>
      <c r="T416" s="320"/>
      <c r="U416" s="320"/>
      <c r="V416" s="320"/>
      <c r="W416" s="320"/>
      <c r="X416" s="320"/>
      <c r="Y416" s="320"/>
      <c r="Z416" s="320"/>
    </row>
    <row r="417">
      <c r="A417" s="320"/>
      <c r="B417" s="320"/>
      <c r="C417" s="320"/>
      <c r="D417" s="320"/>
      <c r="E417" s="320"/>
      <c r="F417" s="320"/>
      <c r="G417" s="320"/>
      <c r="H417" s="320"/>
      <c r="I417" s="320"/>
      <c r="J417" s="320"/>
      <c r="K417" s="320"/>
      <c r="L417" s="320"/>
      <c r="M417" s="320"/>
      <c r="N417" s="320"/>
      <c r="O417" s="320"/>
      <c r="P417" s="320"/>
      <c r="Q417" s="320"/>
      <c r="R417" s="320"/>
      <c r="S417" s="320"/>
      <c r="T417" s="320"/>
      <c r="U417" s="320"/>
      <c r="V417" s="320"/>
      <c r="W417" s="320"/>
      <c r="X417" s="320"/>
      <c r="Y417" s="320"/>
      <c r="Z417" s="320"/>
    </row>
    <row r="418">
      <c r="A418" s="320"/>
      <c r="B418" s="320"/>
      <c r="C418" s="320"/>
      <c r="D418" s="320"/>
      <c r="E418" s="320"/>
      <c r="F418" s="320"/>
      <c r="G418" s="320"/>
      <c r="H418" s="320"/>
      <c r="I418" s="320"/>
      <c r="J418" s="320"/>
      <c r="K418" s="320"/>
      <c r="L418" s="320"/>
      <c r="M418" s="320"/>
      <c r="N418" s="320"/>
      <c r="O418" s="320"/>
      <c r="P418" s="320"/>
      <c r="Q418" s="320"/>
      <c r="R418" s="320"/>
      <c r="S418" s="320"/>
      <c r="T418" s="320"/>
      <c r="U418" s="320"/>
      <c r="V418" s="320"/>
      <c r="W418" s="320"/>
      <c r="X418" s="320"/>
      <c r="Y418" s="320"/>
      <c r="Z418" s="320"/>
    </row>
    <row r="419">
      <c r="A419" s="320"/>
      <c r="B419" s="320"/>
      <c r="C419" s="320"/>
      <c r="D419" s="320"/>
      <c r="E419" s="320"/>
      <c r="F419" s="320"/>
      <c r="G419" s="320"/>
      <c r="H419" s="320"/>
      <c r="I419" s="320"/>
      <c r="J419" s="320"/>
      <c r="K419" s="320"/>
      <c r="L419" s="320"/>
      <c r="M419" s="320"/>
      <c r="N419" s="320"/>
      <c r="O419" s="320"/>
      <c r="P419" s="320"/>
      <c r="Q419" s="320"/>
      <c r="R419" s="320"/>
      <c r="S419" s="320"/>
      <c r="T419" s="320"/>
      <c r="U419" s="320"/>
      <c r="V419" s="320"/>
      <c r="W419" s="320"/>
      <c r="X419" s="320"/>
      <c r="Y419" s="320"/>
      <c r="Z419" s="320"/>
    </row>
    <row r="420">
      <c r="A420" s="320"/>
      <c r="B420" s="320"/>
      <c r="C420" s="320"/>
      <c r="D420" s="320"/>
      <c r="E420" s="320"/>
      <c r="F420" s="320"/>
      <c r="G420" s="320"/>
      <c r="H420" s="320"/>
      <c r="I420" s="320"/>
      <c r="J420" s="320"/>
      <c r="K420" s="320"/>
      <c r="L420" s="320"/>
      <c r="M420" s="320"/>
      <c r="N420" s="320"/>
      <c r="O420" s="320"/>
      <c r="P420" s="320"/>
      <c r="Q420" s="320"/>
      <c r="R420" s="320"/>
      <c r="S420" s="320"/>
      <c r="T420" s="320"/>
      <c r="U420" s="320"/>
      <c r="V420" s="320"/>
      <c r="W420" s="320"/>
      <c r="X420" s="320"/>
      <c r="Y420" s="320"/>
      <c r="Z420" s="320"/>
    </row>
    <row r="421">
      <c r="A421" s="320"/>
      <c r="B421" s="320"/>
      <c r="C421" s="320"/>
      <c r="D421" s="320"/>
      <c r="E421" s="320"/>
      <c r="F421" s="320"/>
      <c r="G421" s="320"/>
      <c r="H421" s="320"/>
      <c r="I421" s="320"/>
      <c r="J421" s="320"/>
      <c r="K421" s="320"/>
      <c r="L421" s="320"/>
      <c r="M421" s="320"/>
      <c r="N421" s="320"/>
      <c r="O421" s="320"/>
      <c r="P421" s="320"/>
      <c r="Q421" s="320"/>
      <c r="R421" s="320"/>
      <c r="S421" s="320"/>
      <c r="T421" s="320"/>
      <c r="U421" s="320"/>
      <c r="V421" s="320"/>
      <c r="W421" s="320"/>
      <c r="X421" s="320"/>
      <c r="Y421" s="320"/>
      <c r="Z421" s="320"/>
    </row>
    <row r="422">
      <c r="A422" s="320"/>
      <c r="B422" s="320"/>
      <c r="C422" s="320"/>
      <c r="D422" s="320"/>
      <c r="E422" s="320"/>
      <c r="F422" s="320"/>
      <c r="G422" s="320"/>
      <c r="H422" s="320"/>
      <c r="I422" s="320"/>
      <c r="J422" s="320"/>
      <c r="K422" s="320"/>
      <c r="L422" s="320"/>
      <c r="M422" s="320"/>
      <c r="N422" s="320"/>
      <c r="O422" s="320"/>
      <c r="P422" s="320"/>
      <c r="Q422" s="320"/>
      <c r="R422" s="320"/>
      <c r="S422" s="320"/>
      <c r="T422" s="320"/>
      <c r="U422" s="320"/>
      <c r="V422" s="320"/>
      <c r="W422" s="320"/>
      <c r="X422" s="320"/>
      <c r="Y422" s="320"/>
      <c r="Z422" s="320"/>
    </row>
    <row r="423">
      <c r="A423" s="320"/>
      <c r="B423" s="320"/>
      <c r="C423" s="320"/>
      <c r="D423" s="320"/>
      <c r="E423" s="320"/>
      <c r="F423" s="320"/>
      <c r="G423" s="320"/>
      <c r="H423" s="320"/>
      <c r="I423" s="320"/>
      <c r="J423" s="320"/>
      <c r="K423" s="320"/>
      <c r="L423" s="320"/>
      <c r="M423" s="320"/>
      <c r="N423" s="320"/>
      <c r="O423" s="320"/>
      <c r="P423" s="320"/>
      <c r="Q423" s="320"/>
      <c r="R423" s="320"/>
      <c r="S423" s="320"/>
      <c r="T423" s="320"/>
      <c r="U423" s="320"/>
      <c r="V423" s="320"/>
      <c r="W423" s="320"/>
      <c r="X423" s="320"/>
      <c r="Y423" s="320"/>
      <c r="Z423" s="320"/>
    </row>
    <row r="424">
      <c r="A424" s="320"/>
      <c r="B424" s="320"/>
      <c r="C424" s="320"/>
      <c r="D424" s="320"/>
      <c r="E424" s="320"/>
      <c r="F424" s="320"/>
      <c r="G424" s="320"/>
      <c r="H424" s="320"/>
      <c r="I424" s="320"/>
      <c r="J424" s="320"/>
      <c r="K424" s="320"/>
      <c r="L424" s="320"/>
      <c r="M424" s="320"/>
      <c r="N424" s="320"/>
      <c r="O424" s="320"/>
      <c r="P424" s="320"/>
      <c r="Q424" s="320"/>
      <c r="R424" s="320"/>
      <c r="S424" s="320"/>
      <c r="T424" s="320"/>
      <c r="U424" s="320"/>
      <c r="V424" s="320"/>
      <c r="W424" s="320"/>
      <c r="X424" s="320"/>
      <c r="Y424" s="320"/>
      <c r="Z424" s="320"/>
    </row>
    <row r="425">
      <c r="A425" s="320"/>
      <c r="B425" s="320"/>
      <c r="C425" s="320"/>
      <c r="D425" s="320"/>
      <c r="E425" s="320"/>
      <c r="F425" s="320"/>
      <c r="G425" s="320"/>
      <c r="H425" s="320"/>
      <c r="I425" s="320"/>
      <c r="J425" s="320"/>
      <c r="K425" s="320"/>
      <c r="L425" s="320"/>
      <c r="M425" s="320"/>
      <c r="N425" s="320"/>
      <c r="O425" s="320"/>
      <c r="P425" s="320"/>
      <c r="Q425" s="320"/>
      <c r="R425" s="320"/>
      <c r="S425" s="320"/>
      <c r="T425" s="320"/>
      <c r="U425" s="320"/>
      <c r="V425" s="320"/>
      <c r="W425" s="320"/>
      <c r="X425" s="320"/>
      <c r="Y425" s="320"/>
      <c r="Z425" s="320"/>
    </row>
    <row r="426">
      <c r="A426" s="320"/>
      <c r="B426" s="320"/>
      <c r="C426" s="320"/>
      <c r="D426" s="320"/>
      <c r="E426" s="320"/>
      <c r="F426" s="320"/>
      <c r="G426" s="320"/>
      <c r="H426" s="320"/>
      <c r="I426" s="320"/>
      <c r="J426" s="320"/>
      <c r="K426" s="320"/>
      <c r="L426" s="320"/>
      <c r="M426" s="320"/>
      <c r="N426" s="320"/>
      <c r="O426" s="320"/>
      <c r="P426" s="320"/>
      <c r="Q426" s="320"/>
      <c r="R426" s="320"/>
      <c r="S426" s="320"/>
      <c r="T426" s="320"/>
      <c r="U426" s="320"/>
      <c r="V426" s="320"/>
      <c r="W426" s="320"/>
      <c r="X426" s="320"/>
      <c r="Y426" s="320"/>
      <c r="Z426" s="320"/>
    </row>
    <row r="427">
      <c r="A427" s="320"/>
      <c r="B427" s="320"/>
      <c r="C427" s="320"/>
      <c r="D427" s="320"/>
      <c r="E427" s="320"/>
      <c r="F427" s="320"/>
      <c r="G427" s="320"/>
      <c r="H427" s="320"/>
      <c r="I427" s="320"/>
      <c r="J427" s="320"/>
      <c r="K427" s="320"/>
      <c r="L427" s="320"/>
      <c r="M427" s="320"/>
      <c r="N427" s="320"/>
      <c r="O427" s="320"/>
      <c r="P427" s="320"/>
      <c r="Q427" s="320"/>
      <c r="R427" s="320"/>
      <c r="S427" s="320"/>
      <c r="T427" s="320"/>
      <c r="U427" s="320"/>
      <c r="V427" s="320"/>
      <c r="W427" s="320"/>
      <c r="X427" s="320"/>
      <c r="Y427" s="320"/>
      <c r="Z427" s="320"/>
    </row>
    <row r="428">
      <c r="A428" s="320"/>
      <c r="B428" s="320"/>
      <c r="C428" s="320"/>
      <c r="D428" s="320"/>
      <c r="E428" s="320"/>
      <c r="F428" s="320"/>
      <c r="G428" s="320"/>
      <c r="H428" s="320"/>
      <c r="I428" s="320"/>
      <c r="J428" s="320"/>
      <c r="K428" s="320"/>
      <c r="L428" s="320"/>
      <c r="M428" s="320"/>
      <c r="N428" s="320"/>
      <c r="O428" s="320"/>
      <c r="P428" s="320"/>
      <c r="Q428" s="320"/>
      <c r="R428" s="320"/>
      <c r="S428" s="320"/>
      <c r="T428" s="320"/>
      <c r="U428" s="320"/>
      <c r="V428" s="320"/>
      <c r="W428" s="320"/>
      <c r="X428" s="320"/>
      <c r="Y428" s="320"/>
      <c r="Z428" s="320"/>
    </row>
    <row r="429">
      <c r="A429" s="320"/>
      <c r="B429" s="320"/>
      <c r="C429" s="320"/>
      <c r="D429" s="320"/>
      <c r="E429" s="320"/>
      <c r="F429" s="320"/>
      <c r="G429" s="320"/>
      <c r="H429" s="320"/>
      <c r="I429" s="320"/>
      <c r="J429" s="320"/>
      <c r="K429" s="320"/>
      <c r="L429" s="320"/>
      <c r="M429" s="320"/>
      <c r="N429" s="320"/>
      <c r="O429" s="320"/>
      <c r="P429" s="320"/>
      <c r="Q429" s="320"/>
      <c r="R429" s="320"/>
      <c r="S429" s="320"/>
      <c r="T429" s="320"/>
      <c r="U429" s="320"/>
      <c r="V429" s="320"/>
      <c r="W429" s="320"/>
      <c r="X429" s="320"/>
      <c r="Y429" s="320"/>
      <c r="Z429" s="320"/>
    </row>
    <row r="430">
      <c r="A430" s="320"/>
      <c r="B430" s="320"/>
      <c r="C430" s="320"/>
      <c r="D430" s="320"/>
      <c r="E430" s="320"/>
      <c r="F430" s="320"/>
      <c r="G430" s="320"/>
      <c r="H430" s="320"/>
      <c r="I430" s="320"/>
      <c r="J430" s="320"/>
      <c r="K430" s="320"/>
      <c r="L430" s="320"/>
      <c r="M430" s="320"/>
      <c r="N430" s="320"/>
      <c r="O430" s="320"/>
      <c r="P430" s="320"/>
      <c r="Q430" s="320"/>
      <c r="R430" s="320"/>
      <c r="S430" s="320"/>
      <c r="T430" s="320"/>
      <c r="U430" s="320"/>
      <c r="V430" s="320"/>
      <c r="W430" s="320"/>
      <c r="X430" s="320"/>
      <c r="Y430" s="320"/>
      <c r="Z430" s="320"/>
    </row>
    <row r="431">
      <c r="A431" s="320"/>
      <c r="B431" s="320"/>
      <c r="C431" s="320"/>
      <c r="D431" s="320"/>
      <c r="E431" s="320"/>
      <c r="F431" s="320"/>
      <c r="G431" s="320"/>
      <c r="H431" s="320"/>
      <c r="I431" s="320"/>
      <c r="J431" s="320"/>
      <c r="K431" s="320"/>
      <c r="L431" s="320"/>
      <c r="M431" s="320"/>
      <c r="N431" s="320"/>
      <c r="O431" s="320"/>
      <c r="P431" s="320"/>
      <c r="Q431" s="320"/>
      <c r="R431" s="320"/>
      <c r="S431" s="320"/>
      <c r="T431" s="320"/>
      <c r="U431" s="320"/>
      <c r="V431" s="320"/>
      <c r="W431" s="320"/>
      <c r="X431" s="320"/>
      <c r="Y431" s="320"/>
      <c r="Z431" s="320"/>
    </row>
    <row r="432">
      <c r="A432" s="320"/>
      <c r="B432" s="320"/>
      <c r="C432" s="320"/>
      <c r="D432" s="320"/>
      <c r="E432" s="320"/>
      <c r="F432" s="320"/>
      <c r="G432" s="320"/>
      <c r="H432" s="320"/>
      <c r="I432" s="320"/>
      <c r="J432" s="320"/>
      <c r="K432" s="320"/>
      <c r="L432" s="320"/>
      <c r="M432" s="320"/>
      <c r="N432" s="320"/>
      <c r="O432" s="320"/>
      <c r="P432" s="320"/>
      <c r="Q432" s="320"/>
      <c r="R432" s="320"/>
      <c r="S432" s="320"/>
      <c r="T432" s="320"/>
      <c r="U432" s="320"/>
      <c r="V432" s="320"/>
      <c r="W432" s="320"/>
      <c r="X432" s="320"/>
      <c r="Y432" s="320"/>
      <c r="Z432" s="320"/>
    </row>
    <row r="433">
      <c r="A433" s="320"/>
      <c r="B433" s="320"/>
      <c r="C433" s="320"/>
      <c r="D433" s="320"/>
      <c r="E433" s="320"/>
      <c r="F433" s="320"/>
      <c r="G433" s="320"/>
      <c r="H433" s="320"/>
      <c r="I433" s="320"/>
      <c r="J433" s="320"/>
      <c r="K433" s="320"/>
      <c r="L433" s="320"/>
      <c r="M433" s="320"/>
      <c r="N433" s="320"/>
      <c r="O433" s="320"/>
      <c r="P433" s="320"/>
      <c r="Q433" s="320"/>
      <c r="R433" s="320"/>
      <c r="S433" s="320"/>
      <c r="T433" s="320"/>
      <c r="U433" s="320"/>
      <c r="V433" s="320"/>
      <c r="W433" s="320"/>
      <c r="X433" s="320"/>
      <c r="Y433" s="320"/>
      <c r="Z433" s="320"/>
    </row>
    <row r="434">
      <c r="A434" s="320"/>
      <c r="B434" s="320"/>
      <c r="C434" s="320"/>
      <c r="D434" s="320"/>
      <c r="E434" s="320"/>
      <c r="F434" s="320"/>
      <c r="G434" s="320"/>
      <c r="H434" s="320"/>
      <c r="I434" s="320"/>
      <c r="J434" s="320"/>
      <c r="K434" s="320"/>
      <c r="L434" s="320"/>
      <c r="M434" s="320"/>
      <c r="N434" s="320"/>
      <c r="O434" s="320"/>
      <c r="P434" s="320"/>
      <c r="Q434" s="320"/>
      <c r="R434" s="320"/>
      <c r="S434" s="320"/>
      <c r="T434" s="320"/>
      <c r="U434" s="320"/>
      <c r="V434" s="320"/>
      <c r="W434" s="320"/>
      <c r="X434" s="320"/>
      <c r="Y434" s="320"/>
      <c r="Z434" s="320"/>
    </row>
    <row r="435">
      <c r="A435" s="320"/>
      <c r="B435" s="320"/>
      <c r="C435" s="320"/>
      <c r="D435" s="320"/>
      <c r="E435" s="320"/>
      <c r="F435" s="320"/>
      <c r="G435" s="320"/>
      <c r="H435" s="320"/>
      <c r="I435" s="320"/>
      <c r="J435" s="320"/>
      <c r="K435" s="320"/>
      <c r="L435" s="320"/>
      <c r="M435" s="320"/>
      <c r="N435" s="320"/>
      <c r="O435" s="320"/>
      <c r="P435" s="320"/>
      <c r="Q435" s="320"/>
      <c r="R435" s="320"/>
      <c r="S435" s="320"/>
      <c r="T435" s="320"/>
      <c r="U435" s="320"/>
      <c r="V435" s="320"/>
      <c r="W435" s="320"/>
      <c r="X435" s="320"/>
      <c r="Y435" s="320"/>
      <c r="Z435" s="320"/>
    </row>
    <row r="436">
      <c r="A436" s="320"/>
      <c r="B436" s="320"/>
      <c r="C436" s="320"/>
      <c r="D436" s="320"/>
      <c r="E436" s="320"/>
      <c r="F436" s="320"/>
      <c r="G436" s="320"/>
      <c r="H436" s="320"/>
      <c r="I436" s="320"/>
      <c r="J436" s="320"/>
      <c r="K436" s="320"/>
      <c r="L436" s="320"/>
      <c r="M436" s="320"/>
      <c r="N436" s="320"/>
      <c r="O436" s="320"/>
      <c r="P436" s="320"/>
      <c r="Q436" s="320"/>
      <c r="R436" s="320"/>
      <c r="S436" s="320"/>
      <c r="T436" s="320"/>
      <c r="U436" s="320"/>
      <c r="V436" s="320"/>
      <c r="W436" s="320"/>
      <c r="X436" s="320"/>
      <c r="Y436" s="320"/>
      <c r="Z436" s="320"/>
    </row>
    <row r="437">
      <c r="A437" s="320"/>
      <c r="B437" s="320"/>
      <c r="C437" s="320"/>
      <c r="D437" s="320"/>
      <c r="E437" s="320"/>
      <c r="F437" s="320"/>
      <c r="G437" s="320"/>
      <c r="H437" s="320"/>
      <c r="I437" s="320"/>
      <c r="J437" s="320"/>
      <c r="K437" s="320"/>
      <c r="L437" s="320"/>
      <c r="M437" s="320"/>
      <c r="N437" s="320"/>
      <c r="O437" s="320"/>
      <c r="P437" s="320"/>
      <c r="Q437" s="320"/>
      <c r="R437" s="320"/>
      <c r="S437" s="320"/>
      <c r="T437" s="320"/>
      <c r="U437" s="320"/>
      <c r="V437" s="320"/>
      <c r="W437" s="320"/>
      <c r="X437" s="320"/>
      <c r="Y437" s="320"/>
      <c r="Z437" s="320"/>
    </row>
    <row r="438">
      <c r="A438" s="320"/>
      <c r="B438" s="320"/>
      <c r="C438" s="320"/>
      <c r="D438" s="320"/>
      <c r="E438" s="320"/>
      <c r="F438" s="320"/>
      <c r="G438" s="320"/>
      <c r="H438" s="320"/>
      <c r="I438" s="320"/>
      <c r="J438" s="320"/>
      <c r="K438" s="320"/>
      <c r="L438" s="320"/>
      <c r="M438" s="320"/>
      <c r="N438" s="320"/>
      <c r="O438" s="320"/>
      <c r="P438" s="320"/>
      <c r="Q438" s="320"/>
      <c r="R438" s="320"/>
      <c r="S438" s="320"/>
      <c r="T438" s="320"/>
      <c r="U438" s="320"/>
      <c r="V438" s="320"/>
      <c r="W438" s="320"/>
      <c r="X438" s="320"/>
      <c r="Y438" s="320"/>
      <c r="Z438" s="320"/>
    </row>
    <row r="439">
      <c r="A439" s="320"/>
      <c r="B439" s="320"/>
      <c r="C439" s="320"/>
      <c r="D439" s="320"/>
      <c r="E439" s="320"/>
      <c r="F439" s="320"/>
      <c r="G439" s="320"/>
      <c r="H439" s="320"/>
      <c r="I439" s="320"/>
      <c r="J439" s="320"/>
      <c r="K439" s="320"/>
      <c r="L439" s="320"/>
      <c r="M439" s="320"/>
      <c r="N439" s="320"/>
      <c r="O439" s="320"/>
      <c r="P439" s="320"/>
      <c r="Q439" s="320"/>
      <c r="R439" s="320"/>
      <c r="S439" s="320"/>
      <c r="T439" s="320"/>
      <c r="U439" s="320"/>
      <c r="V439" s="320"/>
      <c r="W439" s="320"/>
      <c r="X439" s="320"/>
      <c r="Y439" s="320"/>
      <c r="Z439" s="320"/>
    </row>
    <row r="440">
      <c r="A440" s="320"/>
      <c r="B440" s="320"/>
      <c r="C440" s="320"/>
      <c r="D440" s="320"/>
      <c r="E440" s="320"/>
      <c r="F440" s="320"/>
      <c r="G440" s="320"/>
      <c r="H440" s="320"/>
      <c r="I440" s="320"/>
      <c r="J440" s="320"/>
      <c r="K440" s="320"/>
      <c r="L440" s="320"/>
      <c r="M440" s="320"/>
      <c r="N440" s="320"/>
      <c r="O440" s="320"/>
      <c r="P440" s="320"/>
      <c r="Q440" s="320"/>
      <c r="R440" s="320"/>
      <c r="S440" s="320"/>
      <c r="T440" s="320"/>
      <c r="U440" s="320"/>
      <c r="V440" s="320"/>
      <c r="W440" s="320"/>
      <c r="X440" s="320"/>
      <c r="Y440" s="320"/>
      <c r="Z440" s="320"/>
    </row>
    <row r="441">
      <c r="A441" s="320"/>
      <c r="B441" s="320"/>
      <c r="C441" s="320"/>
      <c r="D441" s="320"/>
      <c r="E441" s="320"/>
      <c r="F441" s="320"/>
      <c r="G441" s="320"/>
      <c r="H441" s="320"/>
      <c r="I441" s="320"/>
      <c r="J441" s="320"/>
      <c r="K441" s="320"/>
      <c r="L441" s="320"/>
      <c r="M441" s="320"/>
      <c r="N441" s="320"/>
      <c r="O441" s="320"/>
      <c r="P441" s="320"/>
      <c r="Q441" s="320"/>
      <c r="R441" s="320"/>
      <c r="S441" s="320"/>
      <c r="T441" s="320"/>
      <c r="U441" s="320"/>
      <c r="V441" s="320"/>
      <c r="W441" s="320"/>
      <c r="X441" s="320"/>
      <c r="Y441" s="320"/>
      <c r="Z441" s="320"/>
    </row>
    <row r="442">
      <c r="A442" s="320"/>
      <c r="B442" s="320"/>
      <c r="C442" s="320"/>
      <c r="D442" s="320"/>
      <c r="E442" s="320"/>
      <c r="F442" s="320"/>
      <c r="G442" s="320"/>
      <c r="H442" s="320"/>
      <c r="I442" s="320"/>
      <c r="J442" s="320"/>
      <c r="K442" s="320"/>
      <c r="L442" s="320"/>
      <c r="M442" s="320"/>
      <c r="N442" s="320"/>
      <c r="O442" s="320"/>
      <c r="P442" s="320"/>
      <c r="Q442" s="320"/>
      <c r="R442" s="320"/>
      <c r="S442" s="320"/>
      <c r="T442" s="320"/>
      <c r="U442" s="320"/>
      <c r="V442" s="320"/>
      <c r="W442" s="320"/>
      <c r="X442" s="320"/>
      <c r="Y442" s="320"/>
      <c r="Z442" s="320"/>
    </row>
    <row r="443">
      <c r="A443" s="320"/>
      <c r="B443" s="320"/>
      <c r="C443" s="320"/>
      <c r="D443" s="320"/>
      <c r="E443" s="320"/>
      <c r="F443" s="320"/>
      <c r="G443" s="320"/>
      <c r="H443" s="320"/>
      <c r="I443" s="320"/>
      <c r="J443" s="320"/>
      <c r="K443" s="320"/>
      <c r="L443" s="320"/>
      <c r="M443" s="320"/>
      <c r="N443" s="320"/>
      <c r="O443" s="320"/>
      <c r="P443" s="320"/>
      <c r="Q443" s="320"/>
      <c r="R443" s="320"/>
      <c r="S443" s="320"/>
      <c r="T443" s="320"/>
      <c r="U443" s="320"/>
      <c r="V443" s="320"/>
      <c r="W443" s="320"/>
      <c r="X443" s="320"/>
      <c r="Y443" s="320"/>
      <c r="Z443" s="320"/>
    </row>
    <row r="444">
      <c r="A444" s="320"/>
      <c r="B444" s="320"/>
      <c r="C444" s="320"/>
      <c r="D444" s="320"/>
      <c r="E444" s="320"/>
      <c r="F444" s="320"/>
      <c r="G444" s="320"/>
      <c r="H444" s="320"/>
      <c r="I444" s="320"/>
      <c r="J444" s="320"/>
      <c r="K444" s="320"/>
      <c r="L444" s="320"/>
      <c r="M444" s="320"/>
      <c r="N444" s="320"/>
      <c r="O444" s="320"/>
      <c r="P444" s="320"/>
      <c r="Q444" s="320"/>
      <c r="R444" s="320"/>
      <c r="S444" s="320"/>
      <c r="T444" s="320"/>
      <c r="U444" s="320"/>
      <c r="V444" s="320"/>
      <c r="W444" s="320"/>
      <c r="X444" s="320"/>
      <c r="Y444" s="320"/>
      <c r="Z444" s="320"/>
    </row>
    <row r="445">
      <c r="A445" s="320"/>
      <c r="B445" s="320"/>
      <c r="C445" s="320"/>
      <c r="D445" s="320"/>
      <c r="E445" s="320"/>
      <c r="F445" s="320"/>
      <c r="G445" s="320"/>
      <c r="H445" s="320"/>
      <c r="I445" s="320"/>
      <c r="J445" s="320"/>
      <c r="K445" s="320"/>
      <c r="L445" s="320"/>
      <c r="M445" s="320"/>
      <c r="N445" s="320"/>
      <c r="O445" s="320"/>
      <c r="P445" s="320"/>
      <c r="Q445" s="320"/>
      <c r="R445" s="320"/>
      <c r="S445" s="320"/>
      <c r="T445" s="320"/>
      <c r="U445" s="320"/>
      <c r="V445" s="320"/>
      <c r="W445" s="320"/>
      <c r="X445" s="320"/>
      <c r="Y445" s="320"/>
      <c r="Z445" s="320"/>
    </row>
    <row r="446">
      <c r="A446" s="320"/>
      <c r="B446" s="320"/>
      <c r="C446" s="320"/>
      <c r="D446" s="320"/>
      <c r="E446" s="320"/>
      <c r="F446" s="320"/>
      <c r="G446" s="320"/>
      <c r="H446" s="320"/>
      <c r="I446" s="320"/>
      <c r="J446" s="320"/>
      <c r="K446" s="320"/>
      <c r="L446" s="320"/>
      <c r="M446" s="320"/>
      <c r="N446" s="320"/>
      <c r="O446" s="320"/>
      <c r="P446" s="320"/>
      <c r="Q446" s="320"/>
      <c r="R446" s="320"/>
      <c r="S446" s="320"/>
      <c r="T446" s="320"/>
      <c r="U446" s="320"/>
      <c r="V446" s="320"/>
      <c r="W446" s="320"/>
      <c r="X446" s="320"/>
      <c r="Y446" s="320"/>
      <c r="Z446" s="320"/>
    </row>
    <row r="447">
      <c r="A447" s="320"/>
      <c r="B447" s="320"/>
      <c r="C447" s="320"/>
      <c r="D447" s="320"/>
      <c r="E447" s="320"/>
      <c r="F447" s="320"/>
      <c r="G447" s="320"/>
      <c r="H447" s="320"/>
      <c r="I447" s="320"/>
      <c r="J447" s="320"/>
      <c r="K447" s="320"/>
      <c r="L447" s="320"/>
      <c r="M447" s="320"/>
      <c r="N447" s="320"/>
      <c r="O447" s="320"/>
      <c r="P447" s="320"/>
      <c r="Q447" s="320"/>
      <c r="R447" s="320"/>
      <c r="S447" s="320"/>
      <c r="T447" s="320"/>
      <c r="U447" s="320"/>
      <c r="V447" s="320"/>
      <c r="W447" s="320"/>
      <c r="X447" s="320"/>
      <c r="Y447" s="320"/>
      <c r="Z447" s="320"/>
    </row>
    <row r="448">
      <c r="A448" s="320"/>
      <c r="B448" s="320"/>
      <c r="C448" s="320"/>
      <c r="D448" s="320"/>
      <c r="E448" s="320"/>
      <c r="F448" s="320"/>
      <c r="G448" s="320"/>
      <c r="H448" s="320"/>
      <c r="I448" s="320"/>
      <c r="J448" s="320"/>
      <c r="K448" s="320"/>
      <c r="L448" s="320"/>
      <c r="M448" s="320"/>
      <c r="N448" s="320"/>
      <c r="O448" s="320"/>
      <c r="P448" s="320"/>
      <c r="Q448" s="320"/>
      <c r="R448" s="320"/>
      <c r="S448" s="320"/>
      <c r="T448" s="320"/>
      <c r="U448" s="320"/>
      <c r="V448" s="320"/>
      <c r="W448" s="320"/>
      <c r="X448" s="320"/>
      <c r="Y448" s="320"/>
      <c r="Z448" s="320"/>
    </row>
    <row r="449">
      <c r="A449" s="320"/>
      <c r="B449" s="320"/>
      <c r="C449" s="320"/>
      <c r="D449" s="320"/>
      <c r="E449" s="320"/>
      <c r="F449" s="320"/>
      <c r="G449" s="320"/>
      <c r="H449" s="320"/>
      <c r="I449" s="320"/>
      <c r="J449" s="320"/>
      <c r="K449" s="320"/>
      <c r="L449" s="320"/>
      <c r="M449" s="320"/>
      <c r="N449" s="320"/>
      <c r="O449" s="320"/>
      <c r="P449" s="320"/>
      <c r="Q449" s="320"/>
      <c r="R449" s="320"/>
      <c r="S449" s="320"/>
      <c r="T449" s="320"/>
      <c r="U449" s="320"/>
      <c r="V449" s="320"/>
      <c r="W449" s="320"/>
      <c r="X449" s="320"/>
      <c r="Y449" s="320"/>
      <c r="Z449" s="320"/>
    </row>
    <row r="450">
      <c r="A450" s="320"/>
      <c r="B450" s="320"/>
      <c r="C450" s="320"/>
      <c r="D450" s="320"/>
      <c r="E450" s="320"/>
      <c r="F450" s="320"/>
      <c r="G450" s="320"/>
      <c r="H450" s="320"/>
      <c r="I450" s="320"/>
      <c r="J450" s="320"/>
      <c r="K450" s="320"/>
      <c r="L450" s="320"/>
      <c r="M450" s="320"/>
      <c r="N450" s="320"/>
      <c r="O450" s="320"/>
      <c r="P450" s="320"/>
      <c r="Q450" s="320"/>
      <c r="R450" s="320"/>
      <c r="S450" s="320"/>
      <c r="T450" s="320"/>
      <c r="U450" s="320"/>
      <c r="V450" s="320"/>
      <c r="W450" s="320"/>
      <c r="X450" s="320"/>
      <c r="Y450" s="320"/>
      <c r="Z450" s="320"/>
    </row>
    <row r="451">
      <c r="A451" s="320"/>
      <c r="B451" s="320"/>
      <c r="C451" s="320"/>
      <c r="D451" s="320"/>
      <c r="E451" s="320"/>
      <c r="F451" s="320"/>
      <c r="G451" s="320"/>
      <c r="H451" s="320"/>
      <c r="I451" s="320"/>
      <c r="J451" s="320"/>
      <c r="K451" s="320"/>
      <c r="L451" s="320"/>
      <c r="M451" s="320"/>
      <c r="N451" s="320"/>
      <c r="O451" s="320"/>
      <c r="P451" s="320"/>
      <c r="Q451" s="320"/>
      <c r="R451" s="320"/>
      <c r="S451" s="320"/>
      <c r="T451" s="320"/>
      <c r="U451" s="320"/>
      <c r="V451" s="320"/>
      <c r="W451" s="320"/>
      <c r="X451" s="320"/>
      <c r="Y451" s="320"/>
      <c r="Z451" s="320"/>
    </row>
    <row r="452">
      <c r="A452" s="320"/>
      <c r="B452" s="320"/>
      <c r="C452" s="320"/>
      <c r="D452" s="320"/>
      <c r="E452" s="320"/>
      <c r="F452" s="320"/>
      <c r="G452" s="320"/>
      <c r="H452" s="320"/>
      <c r="I452" s="320"/>
      <c r="J452" s="320"/>
      <c r="K452" s="320"/>
      <c r="L452" s="320"/>
      <c r="M452" s="320"/>
      <c r="N452" s="320"/>
      <c r="O452" s="320"/>
      <c r="P452" s="320"/>
      <c r="Q452" s="320"/>
      <c r="R452" s="320"/>
      <c r="S452" s="320"/>
      <c r="T452" s="320"/>
      <c r="U452" s="320"/>
      <c r="V452" s="320"/>
      <c r="W452" s="320"/>
      <c r="X452" s="320"/>
      <c r="Y452" s="320"/>
      <c r="Z452" s="320"/>
    </row>
    <row r="453">
      <c r="A453" s="320"/>
      <c r="B453" s="320"/>
      <c r="C453" s="320"/>
      <c r="D453" s="320"/>
      <c r="E453" s="320"/>
      <c r="F453" s="320"/>
      <c r="G453" s="320"/>
      <c r="H453" s="320"/>
      <c r="I453" s="320"/>
      <c r="J453" s="320"/>
      <c r="K453" s="320"/>
      <c r="L453" s="320"/>
      <c r="M453" s="320"/>
      <c r="N453" s="320"/>
      <c r="O453" s="320"/>
      <c r="P453" s="320"/>
      <c r="Q453" s="320"/>
      <c r="R453" s="320"/>
      <c r="S453" s="320"/>
      <c r="T453" s="320"/>
      <c r="U453" s="320"/>
      <c r="V453" s="320"/>
      <c r="W453" s="320"/>
      <c r="X453" s="320"/>
      <c r="Y453" s="320"/>
      <c r="Z453" s="320"/>
    </row>
    <row r="454">
      <c r="A454" s="320"/>
      <c r="B454" s="320"/>
      <c r="C454" s="320"/>
      <c r="D454" s="320"/>
      <c r="E454" s="320"/>
      <c r="F454" s="320"/>
      <c r="G454" s="320"/>
      <c r="H454" s="320"/>
      <c r="I454" s="320"/>
      <c r="J454" s="320"/>
      <c r="K454" s="320"/>
      <c r="L454" s="320"/>
      <c r="M454" s="320"/>
      <c r="N454" s="320"/>
      <c r="O454" s="320"/>
      <c r="P454" s="320"/>
      <c r="Q454" s="320"/>
      <c r="R454" s="320"/>
      <c r="S454" s="320"/>
      <c r="T454" s="320"/>
      <c r="U454" s="320"/>
      <c r="V454" s="320"/>
      <c r="W454" s="320"/>
      <c r="X454" s="320"/>
      <c r="Y454" s="320"/>
      <c r="Z454" s="320"/>
    </row>
    <row r="455">
      <c r="A455" s="320"/>
      <c r="B455" s="320"/>
      <c r="C455" s="320"/>
      <c r="D455" s="320"/>
      <c r="E455" s="320"/>
      <c r="F455" s="320"/>
      <c r="G455" s="320"/>
      <c r="H455" s="320"/>
      <c r="I455" s="320"/>
      <c r="J455" s="320"/>
      <c r="K455" s="320"/>
      <c r="L455" s="320"/>
      <c r="M455" s="320"/>
      <c r="N455" s="320"/>
      <c r="O455" s="320"/>
      <c r="P455" s="320"/>
      <c r="Q455" s="320"/>
      <c r="R455" s="320"/>
      <c r="S455" s="320"/>
      <c r="T455" s="320"/>
      <c r="U455" s="320"/>
      <c r="V455" s="320"/>
      <c r="W455" s="320"/>
      <c r="X455" s="320"/>
      <c r="Y455" s="320"/>
      <c r="Z455" s="320"/>
    </row>
    <row r="456">
      <c r="A456" s="320"/>
      <c r="B456" s="320"/>
      <c r="C456" s="320"/>
      <c r="D456" s="320"/>
      <c r="E456" s="320"/>
      <c r="F456" s="320"/>
      <c r="G456" s="320"/>
      <c r="H456" s="320"/>
      <c r="I456" s="320"/>
      <c r="J456" s="320"/>
      <c r="K456" s="320"/>
      <c r="L456" s="320"/>
      <c r="M456" s="320"/>
      <c r="N456" s="320"/>
      <c r="O456" s="320"/>
      <c r="P456" s="320"/>
      <c r="Q456" s="320"/>
      <c r="R456" s="320"/>
      <c r="S456" s="320"/>
      <c r="T456" s="320"/>
      <c r="U456" s="320"/>
      <c r="V456" s="320"/>
      <c r="W456" s="320"/>
      <c r="X456" s="320"/>
      <c r="Y456" s="320"/>
      <c r="Z456" s="320"/>
    </row>
    <row r="457">
      <c r="A457" s="320"/>
      <c r="B457" s="320"/>
      <c r="C457" s="320"/>
      <c r="D457" s="320"/>
      <c r="E457" s="320"/>
      <c r="F457" s="320"/>
      <c r="G457" s="320"/>
      <c r="H457" s="320"/>
      <c r="I457" s="320"/>
      <c r="J457" s="320"/>
      <c r="K457" s="320"/>
      <c r="L457" s="320"/>
      <c r="M457" s="320"/>
      <c r="N457" s="320"/>
      <c r="O457" s="320"/>
      <c r="P457" s="320"/>
      <c r="Q457" s="320"/>
      <c r="R457" s="320"/>
      <c r="S457" s="320"/>
      <c r="T457" s="320"/>
      <c r="U457" s="320"/>
      <c r="V457" s="320"/>
      <c r="W457" s="320"/>
      <c r="X457" s="320"/>
      <c r="Y457" s="320"/>
      <c r="Z457" s="320"/>
    </row>
    <row r="458">
      <c r="A458" s="320"/>
      <c r="B458" s="320"/>
      <c r="C458" s="320"/>
      <c r="D458" s="320"/>
      <c r="E458" s="320"/>
      <c r="F458" s="320"/>
      <c r="G458" s="320"/>
      <c r="H458" s="320"/>
      <c r="I458" s="320"/>
      <c r="J458" s="320"/>
      <c r="K458" s="320"/>
      <c r="L458" s="320"/>
      <c r="M458" s="320"/>
      <c r="N458" s="320"/>
      <c r="O458" s="320"/>
      <c r="P458" s="320"/>
      <c r="Q458" s="320"/>
      <c r="R458" s="320"/>
      <c r="S458" s="320"/>
      <c r="T458" s="320"/>
      <c r="U458" s="320"/>
      <c r="V458" s="320"/>
      <c r="W458" s="320"/>
      <c r="X458" s="320"/>
      <c r="Y458" s="320"/>
      <c r="Z458" s="320"/>
    </row>
    <row r="459">
      <c r="A459" s="320"/>
      <c r="B459" s="320"/>
      <c r="C459" s="320"/>
      <c r="D459" s="320"/>
      <c r="E459" s="320"/>
      <c r="F459" s="320"/>
      <c r="G459" s="320"/>
      <c r="H459" s="320"/>
      <c r="I459" s="320"/>
      <c r="J459" s="320"/>
      <c r="K459" s="320"/>
      <c r="L459" s="320"/>
      <c r="M459" s="320"/>
      <c r="N459" s="320"/>
      <c r="O459" s="320"/>
      <c r="P459" s="320"/>
      <c r="Q459" s="320"/>
      <c r="R459" s="320"/>
      <c r="S459" s="320"/>
      <c r="T459" s="320"/>
      <c r="U459" s="320"/>
      <c r="V459" s="320"/>
      <c r="W459" s="320"/>
      <c r="X459" s="320"/>
      <c r="Y459" s="320"/>
      <c r="Z459" s="320"/>
    </row>
    <row r="460">
      <c r="A460" s="320"/>
      <c r="B460" s="320"/>
      <c r="C460" s="320"/>
      <c r="D460" s="320"/>
      <c r="E460" s="320"/>
      <c r="F460" s="320"/>
      <c r="G460" s="320"/>
      <c r="H460" s="320"/>
      <c r="I460" s="320"/>
      <c r="J460" s="320"/>
      <c r="K460" s="320"/>
      <c r="L460" s="320"/>
      <c r="M460" s="320"/>
      <c r="N460" s="320"/>
      <c r="O460" s="320"/>
      <c r="P460" s="320"/>
      <c r="Q460" s="320"/>
      <c r="R460" s="320"/>
      <c r="S460" s="320"/>
      <c r="T460" s="320"/>
      <c r="U460" s="320"/>
      <c r="V460" s="320"/>
      <c r="W460" s="320"/>
      <c r="X460" s="320"/>
      <c r="Y460" s="320"/>
      <c r="Z460" s="320"/>
    </row>
    <row r="461">
      <c r="A461" s="320"/>
      <c r="B461" s="320"/>
      <c r="C461" s="320"/>
      <c r="D461" s="320"/>
      <c r="E461" s="320"/>
      <c r="F461" s="320"/>
      <c r="G461" s="320"/>
      <c r="H461" s="320"/>
      <c r="I461" s="320"/>
      <c r="J461" s="320"/>
      <c r="K461" s="320"/>
      <c r="L461" s="320"/>
      <c r="M461" s="320"/>
      <c r="N461" s="320"/>
      <c r="O461" s="320"/>
      <c r="P461" s="320"/>
      <c r="Q461" s="320"/>
      <c r="R461" s="320"/>
      <c r="S461" s="320"/>
      <c r="T461" s="320"/>
      <c r="U461" s="320"/>
      <c r="V461" s="320"/>
      <c r="W461" s="320"/>
      <c r="X461" s="320"/>
      <c r="Y461" s="320"/>
      <c r="Z461" s="320"/>
    </row>
    <row r="462">
      <c r="A462" s="320"/>
      <c r="B462" s="320"/>
      <c r="C462" s="320"/>
      <c r="D462" s="320"/>
      <c r="E462" s="320"/>
      <c r="F462" s="320"/>
      <c r="G462" s="320"/>
      <c r="H462" s="320"/>
      <c r="I462" s="320"/>
      <c r="J462" s="320"/>
      <c r="K462" s="320"/>
      <c r="L462" s="320"/>
      <c r="M462" s="320"/>
      <c r="N462" s="320"/>
      <c r="O462" s="320"/>
      <c r="P462" s="320"/>
      <c r="Q462" s="320"/>
      <c r="R462" s="320"/>
      <c r="S462" s="320"/>
      <c r="T462" s="320"/>
      <c r="U462" s="320"/>
      <c r="V462" s="320"/>
      <c r="W462" s="320"/>
      <c r="X462" s="320"/>
      <c r="Y462" s="320"/>
      <c r="Z462" s="320"/>
    </row>
    <row r="463">
      <c r="A463" s="320"/>
      <c r="B463" s="320"/>
      <c r="C463" s="320"/>
      <c r="D463" s="320"/>
      <c r="E463" s="320"/>
      <c r="F463" s="320"/>
      <c r="G463" s="320"/>
      <c r="H463" s="320"/>
      <c r="I463" s="320"/>
      <c r="J463" s="320"/>
      <c r="K463" s="320"/>
      <c r="L463" s="320"/>
      <c r="M463" s="320"/>
      <c r="N463" s="320"/>
      <c r="O463" s="320"/>
      <c r="P463" s="320"/>
      <c r="Q463" s="320"/>
      <c r="R463" s="320"/>
      <c r="S463" s="320"/>
      <c r="T463" s="320"/>
      <c r="U463" s="320"/>
      <c r="V463" s="320"/>
      <c r="W463" s="320"/>
      <c r="X463" s="320"/>
      <c r="Y463" s="320"/>
      <c r="Z463" s="320"/>
    </row>
    <row r="464">
      <c r="A464" s="320"/>
      <c r="B464" s="320"/>
      <c r="C464" s="320"/>
      <c r="D464" s="320"/>
      <c r="E464" s="320"/>
      <c r="F464" s="320"/>
      <c r="G464" s="320"/>
      <c r="H464" s="320"/>
      <c r="I464" s="320"/>
      <c r="J464" s="320"/>
      <c r="K464" s="320"/>
      <c r="L464" s="320"/>
      <c r="M464" s="320"/>
      <c r="N464" s="320"/>
      <c r="O464" s="320"/>
      <c r="P464" s="320"/>
      <c r="Q464" s="320"/>
      <c r="R464" s="320"/>
      <c r="S464" s="320"/>
      <c r="T464" s="320"/>
      <c r="U464" s="320"/>
      <c r="V464" s="320"/>
      <c r="W464" s="320"/>
      <c r="X464" s="320"/>
      <c r="Y464" s="320"/>
      <c r="Z464" s="320"/>
    </row>
    <row r="465">
      <c r="A465" s="320"/>
      <c r="B465" s="320"/>
      <c r="C465" s="320"/>
      <c r="D465" s="320"/>
      <c r="E465" s="320"/>
      <c r="F465" s="320"/>
      <c r="G465" s="320"/>
      <c r="H465" s="320"/>
      <c r="I465" s="320"/>
      <c r="J465" s="320"/>
      <c r="K465" s="320"/>
      <c r="L465" s="320"/>
      <c r="M465" s="320"/>
      <c r="N465" s="320"/>
      <c r="O465" s="320"/>
      <c r="P465" s="320"/>
      <c r="Q465" s="320"/>
      <c r="R465" s="320"/>
      <c r="S465" s="320"/>
      <c r="T465" s="320"/>
      <c r="U465" s="320"/>
      <c r="V465" s="320"/>
      <c r="W465" s="320"/>
      <c r="X465" s="320"/>
      <c r="Y465" s="320"/>
      <c r="Z465" s="320"/>
    </row>
    <row r="466">
      <c r="A466" s="320"/>
      <c r="B466" s="320"/>
      <c r="C466" s="320"/>
      <c r="D466" s="320"/>
      <c r="E466" s="320"/>
      <c r="F466" s="320"/>
      <c r="G466" s="320"/>
      <c r="H466" s="320"/>
      <c r="I466" s="320"/>
      <c r="J466" s="320"/>
      <c r="K466" s="320"/>
      <c r="L466" s="320"/>
      <c r="M466" s="320"/>
      <c r="N466" s="320"/>
      <c r="O466" s="320"/>
      <c r="P466" s="320"/>
      <c r="Q466" s="320"/>
      <c r="R466" s="320"/>
      <c r="S466" s="320"/>
      <c r="T466" s="320"/>
      <c r="U466" s="320"/>
      <c r="V466" s="320"/>
      <c r="W466" s="320"/>
      <c r="X466" s="320"/>
      <c r="Y466" s="320"/>
      <c r="Z466" s="320"/>
    </row>
    <row r="467">
      <c r="A467" s="320"/>
      <c r="B467" s="320"/>
      <c r="C467" s="320"/>
      <c r="D467" s="320"/>
      <c r="E467" s="320"/>
      <c r="F467" s="320"/>
      <c r="G467" s="320"/>
      <c r="H467" s="320"/>
      <c r="I467" s="320"/>
      <c r="J467" s="320"/>
      <c r="K467" s="320"/>
      <c r="L467" s="320"/>
      <c r="M467" s="320"/>
      <c r="N467" s="320"/>
      <c r="O467" s="320"/>
      <c r="P467" s="320"/>
      <c r="Q467" s="320"/>
      <c r="R467" s="320"/>
      <c r="S467" s="320"/>
      <c r="T467" s="320"/>
      <c r="U467" s="320"/>
      <c r="V467" s="320"/>
      <c r="W467" s="320"/>
      <c r="X467" s="320"/>
      <c r="Y467" s="320"/>
      <c r="Z467" s="320"/>
    </row>
    <row r="468">
      <c r="A468" s="320"/>
      <c r="B468" s="320"/>
      <c r="C468" s="320"/>
      <c r="D468" s="320"/>
      <c r="E468" s="320"/>
      <c r="F468" s="320"/>
      <c r="G468" s="320"/>
      <c r="H468" s="320"/>
      <c r="I468" s="320"/>
      <c r="J468" s="320"/>
      <c r="K468" s="320"/>
      <c r="L468" s="320"/>
      <c r="M468" s="320"/>
      <c r="N468" s="320"/>
      <c r="O468" s="320"/>
      <c r="P468" s="320"/>
      <c r="Q468" s="320"/>
      <c r="R468" s="320"/>
      <c r="S468" s="320"/>
      <c r="T468" s="320"/>
      <c r="U468" s="320"/>
      <c r="V468" s="320"/>
      <c r="W468" s="320"/>
      <c r="X468" s="320"/>
      <c r="Y468" s="320"/>
      <c r="Z468" s="320"/>
    </row>
    <row r="469">
      <c r="A469" s="320"/>
      <c r="B469" s="320"/>
      <c r="C469" s="320"/>
      <c r="D469" s="320"/>
      <c r="E469" s="320"/>
      <c r="F469" s="320"/>
      <c r="G469" s="320"/>
      <c r="H469" s="320"/>
      <c r="I469" s="320"/>
      <c r="J469" s="320"/>
      <c r="K469" s="320"/>
      <c r="L469" s="320"/>
      <c r="M469" s="320"/>
      <c r="N469" s="320"/>
      <c r="O469" s="320"/>
      <c r="P469" s="320"/>
      <c r="Q469" s="320"/>
      <c r="R469" s="320"/>
      <c r="S469" s="320"/>
      <c r="T469" s="320"/>
      <c r="U469" s="320"/>
      <c r="V469" s="320"/>
      <c r="W469" s="320"/>
      <c r="X469" s="320"/>
      <c r="Y469" s="320"/>
      <c r="Z469" s="320"/>
    </row>
    <row r="470">
      <c r="A470" s="320"/>
      <c r="B470" s="320"/>
      <c r="C470" s="320"/>
      <c r="D470" s="320"/>
      <c r="E470" s="320"/>
      <c r="F470" s="320"/>
      <c r="G470" s="320"/>
      <c r="H470" s="320"/>
      <c r="I470" s="320"/>
      <c r="J470" s="320"/>
      <c r="K470" s="320"/>
      <c r="L470" s="320"/>
      <c r="M470" s="320"/>
      <c r="N470" s="320"/>
      <c r="O470" s="320"/>
      <c r="P470" s="320"/>
      <c r="Q470" s="320"/>
      <c r="R470" s="320"/>
      <c r="S470" s="320"/>
      <c r="T470" s="320"/>
      <c r="U470" s="320"/>
      <c r="V470" s="320"/>
      <c r="W470" s="320"/>
      <c r="X470" s="320"/>
      <c r="Y470" s="320"/>
      <c r="Z470" s="320"/>
    </row>
    <row r="471">
      <c r="A471" s="320"/>
      <c r="B471" s="320"/>
      <c r="C471" s="320"/>
      <c r="D471" s="320"/>
      <c r="E471" s="320"/>
      <c r="F471" s="320"/>
      <c r="G471" s="320"/>
      <c r="H471" s="320"/>
      <c r="I471" s="320"/>
      <c r="J471" s="320"/>
      <c r="K471" s="320"/>
      <c r="L471" s="320"/>
      <c r="M471" s="320"/>
      <c r="N471" s="320"/>
      <c r="O471" s="320"/>
      <c r="P471" s="320"/>
      <c r="Q471" s="320"/>
      <c r="R471" s="320"/>
      <c r="S471" s="320"/>
      <c r="T471" s="320"/>
      <c r="U471" s="320"/>
      <c r="V471" s="320"/>
      <c r="W471" s="320"/>
      <c r="X471" s="320"/>
      <c r="Y471" s="320"/>
      <c r="Z471" s="320"/>
    </row>
    <row r="472">
      <c r="A472" s="320"/>
      <c r="B472" s="320"/>
      <c r="C472" s="320"/>
      <c r="D472" s="320"/>
      <c r="E472" s="320"/>
      <c r="F472" s="320"/>
      <c r="G472" s="320"/>
      <c r="H472" s="320"/>
      <c r="I472" s="320"/>
      <c r="J472" s="320"/>
      <c r="K472" s="320"/>
      <c r="L472" s="320"/>
      <c r="M472" s="320"/>
      <c r="N472" s="320"/>
      <c r="O472" s="320"/>
      <c r="P472" s="320"/>
      <c r="Q472" s="320"/>
      <c r="R472" s="320"/>
      <c r="S472" s="320"/>
      <c r="T472" s="320"/>
      <c r="U472" s="320"/>
      <c r="V472" s="320"/>
      <c r="W472" s="320"/>
      <c r="X472" s="320"/>
      <c r="Y472" s="320"/>
      <c r="Z472" s="320"/>
    </row>
    <row r="473">
      <c r="A473" s="320"/>
      <c r="B473" s="320"/>
      <c r="C473" s="320"/>
      <c r="D473" s="320"/>
      <c r="E473" s="320"/>
      <c r="F473" s="320"/>
      <c r="G473" s="320"/>
      <c r="H473" s="320"/>
      <c r="I473" s="320"/>
      <c r="J473" s="320"/>
      <c r="K473" s="320"/>
      <c r="L473" s="320"/>
      <c r="M473" s="320"/>
      <c r="N473" s="320"/>
      <c r="O473" s="320"/>
      <c r="P473" s="320"/>
      <c r="Q473" s="320"/>
      <c r="R473" s="320"/>
      <c r="S473" s="320"/>
      <c r="T473" s="320"/>
      <c r="U473" s="320"/>
      <c r="V473" s="320"/>
      <c r="W473" s="320"/>
      <c r="X473" s="320"/>
      <c r="Y473" s="320"/>
      <c r="Z473" s="320"/>
    </row>
    <row r="474">
      <c r="A474" s="320"/>
      <c r="B474" s="320"/>
      <c r="C474" s="320"/>
      <c r="D474" s="320"/>
      <c r="E474" s="320"/>
      <c r="F474" s="320"/>
      <c r="G474" s="320"/>
      <c r="H474" s="320"/>
      <c r="I474" s="320"/>
      <c r="J474" s="320"/>
      <c r="K474" s="320"/>
      <c r="L474" s="320"/>
      <c r="M474" s="320"/>
      <c r="N474" s="320"/>
      <c r="O474" s="320"/>
      <c r="P474" s="320"/>
      <c r="Q474" s="320"/>
      <c r="R474" s="320"/>
      <c r="S474" s="320"/>
      <c r="T474" s="320"/>
      <c r="U474" s="320"/>
      <c r="V474" s="320"/>
      <c r="W474" s="320"/>
      <c r="X474" s="320"/>
      <c r="Y474" s="320"/>
      <c r="Z474" s="320"/>
    </row>
    <row r="475">
      <c r="A475" s="320"/>
      <c r="B475" s="320"/>
      <c r="C475" s="320"/>
      <c r="D475" s="320"/>
      <c r="E475" s="320"/>
      <c r="F475" s="320"/>
      <c r="G475" s="320"/>
      <c r="H475" s="320"/>
      <c r="I475" s="320"/>
      <c r="J475" s="320"/>
      <c r="K475" s="320"/>
      <c r="L475" s="320"/>
      <c r="M475" s="320"/>
      <c r="N475" s="320"/>
      <c r="O475" s="320"/>
      <c r="P475" s="320"/>
      <c r="Q475" s="320"/>
      <c r="R475" s="320"/>
      <c r="S475" s="320"/>
      <c r="T475" s="320"/>
      <c r="U475" s="320"/>
      <c r="V475" s="320"/>
      <c r="W475" s="320"/>
      <c r="X475" s="320"/>
      <c r="Y475" s="320"/>
      <c r="Z475" s="320"/>
    </row>
    <row r="476">
      <c r="A476" s="320"/>
      <c r="B476" s="320"/>
      <c r="C476" s="320"/>
      <c r="D476" s="320"/>
      <c r="E476" s="320"/>
      <c r="F476" s="320"/>
      <c r="G476" s="320"/>
      <c r="H476" s="320"/>
      <c r="I476" s="320"/>
      <c r="J476" s="320"/>
      <c r="K476" s="320"/>
      <c r="L476" s="320"/>
      <c r="M476" s="320"/>
      <c r="N476" s="320"/>
      <c r="O476" s="320"/>
      <c r="P476" s="320"/>
      <c r="Q476" s="320"/>
      <c r="R476" s="320"/>
      <c r="S476" s="320"/>
      <c r="T476" s="320"/>
      <c r="U476" s="320"/>
      <c r="V476" s="320"/>
      <c r="W476" s="320"/>
      <c r="X476" s="320"/>
      <c r="Y476" s="320"/>
      <c r="Z476" s="320"/>
    </row>
    <row r="477">
      <c r="A477" s="320"/>
      <c r="B477" s="320"/>
      <c r="C477" s="320"/>
      <c r="D477" s="320"/>
      <c r="E477" s="320"/>
      <c r="F477" s="320"/>
      <c r="G477" s="320"/>
      <c r="H477" s="320"/>
      <c r="I477" s="320"/>
      <c r="J477" s="320"/>
      <c r="K477" s="320"/>
      <c r="L477" s="320"/>
      <c r="M477" s="320"/>
      <c r="N477" s="320"/>
      <c r="O477" s="320"/>
      <c r="P477" s="320"/>
      <c r="Q477" s="320"/>
      <c r="R477" s="320"/>
      <c r="S477" s="320"/>
      <c r="T477" s="320"/>
      <c r="U477" s="320"/>
      <c r="V477" s="320"/>
      <c r="W477" s="320"/>
      <c r="X477" s="320"/>
      <c r="Y477" s="320"/>
      <c r="Z477" s="320"/>
    </row>
    <row r="478">
      <c r="A478" s="320"/>
      <c r="B478" s="320"/>
      <c r="C478" s="320"/>
      <c r="D478" s="320"/>
      <c r="E478" s="320"/>
      <c r="F478" s="320"/>
      <c r="G478" s="320"/>
      <c r="H478" s="320"/>
      <c r="I478" s="320"/>
      <c r="J478" s="320"/>
      <c r="K478" s="320"/>
      <c r="L478" s="320"/>
      <c r="M478" s="320"/>
      <c r="N478" s="320"/>
      <c r="O478" s="320"/>
      <c r="P478" s="320"/>
      <c r="Q478" s="320"/>
      <c r="R478" s="320"/>
      <c r="S478" s="320"/>
      <c r="T478" s="320"/>
      <c r="U478" s="320"/>
      <c r="V478" s="320"/>
      <c r="W478" s="320"/>
      <c r="X478" s="320"/>
      <c r="Y478" s="320"/>
      <c r="Z478" s="320"/>
    </row>
    <row r="479">
      <c r="A479" s="320"/>
      <c r="B479" s="320"/>
      <c r="C479" s="320"/>
      <c r="D479" s="320"/>
      <c r="E479" s="320"/>
      <c r="F479" s="320"/>
      <c r="G479" s="320"/>
      <c r="H479" s="320"/>
      <c r="I479" s="320"/>
      <c r="J479" s="320"/>
      <c r="K479" s="320"/>
      <c r="L479" s="320"/>
      <c r="M479" s="320"/>
      <c r="N479" s="320"/>
      <c r="O479" s="320"/>
      <c r="P479" s="320"/>
      <c r="Q479" s="320"/>
      <c r="R479" s="320"/>
      <c r="S479" s="320"/>
      <c r="T479" s="320"/>
      <c r="U479" s="320"/>
      <c r="V479" s="320"/>
      <c r="W479" s="320"/>
      <c r="X479" s="320"/>
      <c r="Y479" s="320"/>
      <c r="Z479" s="320"/>
    </row>
    <row r="480">
      <c r="A480" s="320"/>
      <c r="B480" s="320"/>
      <c r="C480" s="320"/>
      <c r="D480" s="320"/>
      <c r="E480" s="320"/>
      <c r="F480" s="320"/>
      <c r="G480" s="320"/>
      <c r="H480" s="320"/>
      <c r="I480" s="320"/>
      <c r="J480" s="320"/>
      <c r="K480" s="320"/>
      <c r="L480" s="320"/>
      <c r="M480" s="320"/>
      <c r="N480" s="320"/>
      <c r="O480" s="320"/>
      <c r="P480" s="320"/>
      <c r="Q480" s="320"/>
      <c r="R480" s="320"/>
      <c r="S480" s="320"/>
      <c r="T480" s="320"/>
      <c r="U480" s="320"/>
      <c r="V480" s="320"/>
      <c r="W480" s="320"/>
      <c r="X480" s="320"/>
      <c r="Y480" s="320"/>
      <c r="Z480" s="320"/>
    </row>
    <row r="481">
      <c r="A481" s="320"/>
      <c r="B481" s="320"/>
      <c r="C481" s="320"/>
      <c r="D481" s="320"/>
      <c r="E481" s="320"/>
      <c r="F481" s="320"/>
      <c r="G481" s="320"/>
      <c r="H481" s="320"/>
      <c r="I481" s="320"/>
      <c r="J481" s="320"/>
      <c r="K481" s="320"/>
      <c r="L481" s="320"/>
      <c r="M481" s="320"/>
      <c r="N481" s="320"/>
      <c r="O481" s="320"/>
      <c r="P481" s="320"/>
      <c r="Q481" s="320"/>
      <c r="R481" s="320"/>
      <c r="S481" s="320"/>
      <c r="T481" s="320"/>
      <c r="U481" s="320"/>
      <c r="V481" s="320"/>
      <c r="W481" s="320"/>
      <c r="X481" s="320"/>
      <c r="Y481" s="320"/>
      <c r="Z481" s="320"/>
    </row>
    <row r="482">
      <c r="A482" s="320"/>
      <c r="B482" s="320"/>
      <c r="C482" s="320"/>
      <c r="D482" s="320"/>
      <c r="E482" s="320"/>
      <c r="F482" s="320"/>
      <c r="G482" s="320"/>
      <c r="H482" s="320"/>
      <c r="I482" s="320"/>
      <c r="J482" s="320"/>
      <c r="K482" s="320"/>
      <c r="L482" s="320"/>
      <c r="M482" s="320"/>
      <c r="N482" s="320"/>
      <c r="O482" s="320"/>
      <c r="P482" s="320"/>
      <c r="Q482" s="320"/>
      <c r="R482" s="320"/>
      <c r="S482" s="320"/>
      <c r="T482" s="320"/>
      <c r="U482" s="320"/>
      <c r="V482" s="320"/>
      <c r="W482" s="320"/>
      <c r="X482" s="320"/>
      <c r="Y482" s="320"/>
      <c r="Z482" s="320"/>
    </row>
    <row r="483">
      <c r="A483" s="320"/>
      <c r="B483" s="320"/>
      <c r="C483" s="320"/>
      <c r="D483" s="320"/>
      <c r="E483" s="320"/>
      <c r="F483" s="320"/>
      <c r="G483" s="320"/>
      <c r="H483" s="320"/>
      <c r="I483" s="320"/>
      <c r="J483" s="320"/>
      <c r="K483" s="320"/>
      <c r="L483" s="320"/>
      <c r="M483" s="320"/>
      <c r="N483" s="320"/>
      <c r="O483" s="320"/>
      <c r="P483" s="320"/>
      <c r="Q483" s="320"/>
      <c r="R483" s="320"/>
      <c r="S483" s="320"/>
      <c r="T483" s="320"/>
      <c r="U483" s="320"/>
      <c r="V483" s="320"/>
      <c r="W483" s="320"/>
      <c r="X483" s="320"/>
      <c r="Y483" s="320"/>
      <c r="Z483" s="320"/>
    </row>
    <row r="484">
      <c r="A484" s="320"/>
      <c r="B484" s="320"/>
      <c r="C484" s="320"/>
      <c r="D484" s="320"/>
      <c r="E484" s="320"/>
      <c r="F484" s="320"/>
      <c r="G484" s="320"/>
      <c r="H484" s="320"/>
      <c r="I484" s="320"/>
      <c r="J484" s="320"/>
      <c r="K484" s="320"/>
      <c r="L484" s="320"/>
      <c r="M484" s="320"/>
      <c r="N484" s="320"/>
      <c r="O484" s="320"/>
      <c r="P484" s="320"/>
      <c r="Q484" s="320"/>
      <c r="R484" s="320"/>
      <c r="S484" s="320"/>
      <c r="T484" s="320"/>
      <c r="U484" s="320"/>
      <c r="V484" s="320"/>
      <c r="W484" s="320"/>
      <c r="X484" s="320"/>
      <c r="Y484" s="320"/>
      <c r="Z484" s="320"/>
    </row>
    <row r="485">
      <c r="A485" s="320"/>
      <c r="B485" s="320"/>
      <c r="C485" s="320"/>
      <c r="D485" s="320"/>
      <c r="E485" s="320"/>
      <c r="F485" s="320"/>
      <c r="G485" s="320"/>
      <c r="H485" s="320"/>
      <c r="I485" s="320"/>
      <c r="J485" s="320"/>
      <c r="K485" s="320"/>
      <c r="L485" s="320"/>
      <c r="M485" s="320"/>
      <c r="N485" s="320"/>
      <c r="O485" s="320"/>
      <c r="P485" s="320"/>
      <c r="Q485" s="320"/>
      <c r="R485" s="320"/>
      <c r="S485" s="320"/>
      <c r="T485" s="320"/>
      <c r="U485" s="320"/>
      <c r="V485" s="320"/>
      <c r="W485" s="320"/>
      <c r="X485" s="320"/>
      <c r="Y485" s="320"/>
      <c r="Z485" s="320"/>
    </row>
    <row r="486">
      <c r="A486" s="320"/>
      <c r="B486" s="320"/>
      <c r="C486" s="320"/>
      <c r="D486" s="320"/>
      <c r="E486" s="320"/>
      <c r="F486" s="320"/>
      <c r="G486" s="320"/>
      <c r="H486" s="320"/>
      <c r="I486" s="320"/>
      <c r="J486" s="320"/>
      <c r="K486" s="320"/>
      <c r="L486" s="320"/>
      <c r="M486" s="320"/>
      <c r="N486" s="320"/>
      <c r="O486" s="320"/>
      <c r="P486" s="320"/>
      <c r="Q486" s="320"/>
      <c r="R486" s="320"/>
      <c r="S486" s="320"/>
      <c r="T486" s="320"/>
      <c r="U486" s="320"/>
      <c r="V486" s="320"/>
      <c r="W486" s="320"/>
      <c r="X486" s="320"/>
      <c r="Y486" s="320"/>
      <c r="Z486" s="320"/>
    </row>
    <row r="487">
      <c r="A487" s="320"/>
      <c r="B487" s="320"/>
      <c r="C487" s="320"/>
      <c r="D487" s="320"/>
      <c r="E487" s="320"/>
      <c r="F487" s="320"/>
      <c r="G487" s="320"/>
      <c r="H487" s="320"/>
      <c r="I487" s="320"/>
      <c r="J487" s="320"/>
      <c r="K487" s="320"/>
      <c r="L487" s="320"/>
      <c r="M487" s="320"/>
      <c r="N487" s="320"/>
      <c r="O487" s="320"/>
      <c r="P487" s="320"/>
      <c r="Q487" s="320"/>
      <c r="R487" s="320"/>
      <c r="S487" s="320"/>
      <c r="T487" s="320"/>
      <c r="U487" s="320"/>
      <c r="V487" s="320"/>
      <c r="W487" s="320"/>
      <c r="X487" s="320"/>
      <c r="Y487" s="320"/>
      <c r="Z487" s="320"/>
    </row>
    <row r="488">
      <c r="A488" s="320"/>
      <c r="B488" s="320"/>
      <c r="C488" s="320"/>
      <c r="D488" s="320"/>
      <c r="E488" s="320"/>
      <c r="F488" s="320"/>
      <c r="G488" s="320"/>
      <c r="H488" s="320"/>
      <c r="I488" s="320"/>
      <c r="J488" s="320"/>
      <c r="K488" s="320"/>
      <c r="L488" s="320"/>
      <c r="M488" s="320"/>
      <c r="N488" s="320"/>
      <c r="O488" s="320"/>
      <c r="P488" s="320"/>
      <c r="Q488" s="320"/>
      <c r="R488" s="320"/>
      <c r="S488" s="320"/>
      <c r="T488" s="320"/>
      <c r="U488" s="320"/>
      <c r="V488" s="320"/>
      <c r="W488" s="320"/>
      <c r="X488" s="320"/>
      <c r="Y488" s="320"/>
      <c r="Z488" s="320"/>
    </row>
    <row r="489">
      <c r="A489" s="320"/>
      <c r="B489" s="320"/>
      <c r="C489" s="320"/>
      <c r="D489" s="320"/>
      <c r="E489" s="320"/>
      <c r="F489" s="320"/>
      <c r="G489" s="320"/>
      <c r="H489" s="320"/>
      <c r="I489" s="320"/>
      <c r="J489" s="320"/>
      <c r="K489" s="320"/>
      <c r="L489" s="320"/>
      <c r="M489" s="320"/>
      <c r="N489" s="320"/>
      <c r="O489" s="320"/>
      <c r="P489" s="320"/>
      <c r="Q489" s="320"/>
      <c r="R489" s="320"/>
      <c r="S489" s="320"/>
      <c r="T489" s="320"/>
      <c r="U489" s="320"/>
      <c r="V489" s="320"/>
      <c r="W489" s="320"/>
      <c r="X489" s="320"/>
      <c r="Y489" s="320"/>
      <c r="Z489" s="320"/>
    </row>
    <row r="490">
      <c r="A490" s="320"/>
      <c r="B490" s="320"/>
      <c r="C490" s="320"/>
      <c r="D490" s="320"/>
      <c r="E490" s="320"/>
      <c r="F490" s="320"/>
      <c r="G490" s="320"/>
      <c r="H490" s="320"/>
      <c r="I490" s="320"/>
      <c r="J490" s="320"/>
      <c r="K490" s="320"/>
      <c r="L490" s="320"/>
      <c r="M490" s="320"/>
      <c r="N490" s="320"/>
      <c r="O490" s="320"/>
      <c r="P490" s="320"/>
      <c r="Q490" s="320"/>
      <c r="R490" s="320"/>
      <c r="S490" s="320"/>
      <c r="T490" s="320"/>
      <c r="U490" s="320"/>
      <c r="V490" s="320"/>
      <c r="W490" s="320"/>
      <c r="X490" s="320"/>
      <c r="Y490" s="320"/>
      <c r="Z490" s="320"/>
    </row>
    <row r="491">
      <c r="A491" s="320"/>
      <c r="B491" s="320"/>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row>
    <row r="492">
      <c r="A492" s="320"/>
      <c r="B492" s="320"/>
      <c r="C492" s="320"/>
      <c r="D492" s="320"/>
      <c r="E492" s="320"/>
      <c r="F492" s="320"/>
      <c r="G492" s="320"/>
      <c r="H492" s="320"/>
      <c r="I492" s="320"/>
      <c r="J492" s="320"/>
      <c r="K492" s="320"/>
      <c r="L492" s="320"/>
      <c r="M492" s="320"/>
      <c r="N492" s="320"/>
      <c r="O492" s="320"/>
      <c r="P492" s="320"/>
      <c r="Q492" s="320"/>
      <c r="R492" s="320"/>
      <c r="S492" s="320"/>
      <c r="T492" s="320"/>
      <c r="U492" s="320"/>
      <c r="V492" s="320"/>
      <c r="W492" s="320"/>
      <c r="X492" s="320"/>
      <c r="Y492" s="320"/>
      <c r="Z492" s="320"/>
    </row>
    <row r="493">
      <c r="A493" s="320"/>
      <c r="B493" s="320"/>
      <c r="C493" s="320"/>
      <c r="D493" s="320"/>
      <c r="E493" s="320"/>
      <c r="F493" s="320"/>
      <c r="G493" s="320"/>
      <c r="H493" s="320"/>
      <c r="I493" s="320"/>
      <c r="J493" s="320"/>
      <c r="K493" s="320"/>
      <c r="L493" s="320"/>
      <c r="M493" s="320"/>
      <c r="N493" s="320"/>
      <c r="O493" s="320"/>
      <c r="P493" s="320"/>
      <c r="Q493" s="320"/>
      <c r="R493" s="320"/>
      <c r="S493" s="320"/>
      <c r="T493" s="320"/>
      <c r="U493" s="320"/>
      <c r="V493" s="320"/>
      <c r="W493" s="320"/>
      <c r="X493" s="320"/>
      <c r="Y493" s="320"/>
      <c r="Z493" s="320"/>
    </row>
    <row r="494">
      <c r="A494" s="320"/>
      <c r="B494" s="320"/>
      <c r="C494" s="320"/>
      <c r="D494" s="320"/>
      <c r="E494" s="320"/>
      <c r="F494" s="320"/>
      <c r="G494" s="320"/>
      <c r="H494" s="320"/>
      <c r="I494" s="320"/>
      <c r="J494" s="320"/>
      <c r="K494" s="320"/>
      <c r="L494" s="320"/>
      <c r="M494" s="320"/>
      <c r="N494" s="320"/>
      <c r="O494" s="320"/>
      <c r="P494" s="320"/>
      <c r="Q494" s="320"/>
      <c r="R494" s="320"/>
      <c r="S494" s="320"/>
      <c r="T494" s="320"/>
      <c r="U494" s="320"/>
      <c r="V494" s="320"/>
      <c r="W494" s="320"/>
      <c r="X494" s="320"/>
      <c r="Y494" s="320"/>
      <c r="Z494" s="320"/>
    </row>
    <row r="495">
      <c r="A495" s="320"/>
      <c r="B495" s="320"/>
      <c r="C495" s="320"/>
      <c r="D495" s="320"/>
      <c r="E495" s="320"/>
      <c r="F495" s="320"/>
      <c r="G495" s="320"/>
      <c r="H495" s="320"/>
      <c r="I495" s="320"/>
      <c r="J495" s="320"/>
      <c r="K495" s="320"/>
      <c r="L495" s="320"/>
      <c r="M495" s="320"/>
      <c r="N495" s="320"/>
      <c r="O495" s="320"/>
      <c r="P495" s="320"/>
      <c r="Q495" s="320"/>
      <c r="R495" s="320"/>
      <c r="S495" s="320"/>
      <c r="T495" s="320"/>
      <c r="U495" s="320"/>
      <c r="V495" s="320"/>
      <c r="W495" s="320"/>
      <c r="X495" s="320"/>
      <c r="Y495" s="320"/>
      <c r="Z495" s="320"/>
    </row>
    <row r="496">
      <c r="A496" s="320"/>
      <c r="B496" s="320"/>
      <c r="C496" s="320"/>
      <c r="D496" s="320"/>
      <c r="E496" s="320"/>
      <c r="F496" s="320"/>
      <c r="G496" s="320"/>
      <c r="H496" s="320"/>
      <c r="I496" s="320"/>
      <c r="J496" s="320"/>
      <c r="K496" s="320"/>
      <c r="L496" s="320"/>
      <c r="M496" s="320"/>
      <c r="N496" s="320"/>
      <c r="O496" s="320"/>
      <c r="P496" s="320"/>
      <c r="Q496" s="320"/>
      <c r="R496" s="320"/>
      <c r="S496" s="320"/>
      <c r="T496" s="320"/>
      <c r="U496" s="320"/>
      <c r="V496" s="320"/>
      <c r="W496" s="320"/>
      <c r="X496" s="320"/>
      <c r="Y496" s="320"/>
      <c r="Z496" s="320"/>
    </row>
    <row r="497">
      <c r="A497" s="320"/>
      <c r="B497" s="320"/>
      <c r="C497" s="320"/>
      <c r="D497" s="320"/>
      <c r="E497" s="320"/>
      <c r="F497" s="320"/>
      <c r="G497" s="320"/>
      <c r="H497" s="320"/>
      <c r="I497" s="320"/>
      <c r="J497" s="320"/>
      <c r="K497" s="320"/>
      <c r="L497" s="320"/>
      <c r="M497" s="320"/>
      <c r="N497" s="320"/>
      <c r="O497" s="320"/>
      <c r="P497" s="320"/>
      <c r="Q497" s="320"/>
      <c r="R497" s="320"/>
      <c r="S497" s="320"/>
      <c r="T497" s="320"/>
      <c r="U497" s="320"/>
      <c r="V497" s="320"/>
      <c r="W497" s="320"/>
      <c r="X497" s="320"/>
      <c r="Y497" s="320"/>
      <c r="Z497" s="320"/>
    </row>
    <row r="498">
      <c r="A498" s="320"/>
      <c r="B498" s="320"/>
      <c r="C498" s="320"/>
      <c r="D498" s="320"/>
      <c r="E498" s="320"/>
      <c r="F498" s="320"/>
      <c r="G498" s="320"/>
      <c r="H498" s="320"/>
      <c r="I498" s="320"/>
      <c r="J498" s="320"/>
      <c r="K498" s="320"/>
      <c r="L498" s="320"/>
      <c r="M498" s="320"/>
      <c r="N498" s="320"/>
      <c r="O498" s="320"/>
      <c r="P498" s="320"/>
      <c r="Q498" s="320"/>
      <c r="R498" s="320"/>
      <c r="S498" s="320"/>
      <c r="T498" s="320"/>
      <c r="U498" s="320"/>
      <c r="V498" s="320"/>
      <c r="W498" s="320"/>
      <c r="X498" s="320"/>
      <c r="Y498" s="320"/>
      <c r="Z498" s="320"/>
    </row>
    <row r="499">
      <c r="A499" s="320"/>
      <c r="B499" s="320"/>
      <c r="C499" s="320"/>
      <c r="D499" s="320"/>
      <c r="E499" s="320"/>
      <c r="F499" s="320"/>
      <c r="G499" s="320"/>
      <c r="H499" s="320"/>
      <c r="I499" s="320"/>
      <c r="J499" s="320"/>
      <c r="K499" s="320"/>
      <c r="L499" s="320"/>
      <c r="M499" s="320"/>
      <c r="N499" s="320"/>
      <c r="O499" s="320"/>
      <c r="P499" s="320"/>
      <c r="Q499" s="320"/>
      <c r="R499" s="320"/>
      <c r="S499" s="320"/>
      <c r="T499" s="320"/>
      <c r="U499" s="320"/>
      <c r="V499" s="320"/>
      <c r="W499" s="320"/>
      <c r="X499" s="320"/>
      <c r="Y499" s="320"/>
      <c r="Z499" s="320"/>
    </row>
    <row r="500">
      <c r="A500" s="320"/>
      <c r="B500" s="320"/>
      <c r="C500" s="320"/>
      <c r="D500" s="320"/>
      <c r="E500" s="320"/>
      <c r="F500" s="320"/>
      <c r="G500" s="320"/>
      <c r="H500" s="320"/>
      <c r="I500" s="320"/>
      <c r="J500" s="320"/>
      <c r="K500" s="320"/>
      <c r="L500" s="320"/>
      <c r="M500" s="320"/>
      <c r="N500" s="320"/>
      <c r="O500" s="320"/>
      <c r="P500" s="320"/>
      <c r="Q500" s="320"/>
      <c r="R500" s="320"/>
      <c r="S500" s="320"/>
      <c r="T500" s="320"/>
      <c r="U500" s="320"/>
      <c r="V500" s="320"/>
      <c r="W500" s="320"/>
      <c r="X500" s="320"/>
      <c r="Y500" s="320"/>
      <c r="Z500" s="320"/>
    </row>
    <row r="501">
      <c r="A501" s="320"/>
      <c r="B501" s="320"/>
      <c r="C501" s="320"/>
      <c r="D501" s="320"/>
      <c r="E501" s="320"/>
      <c r="F501" s="320"/>
      <c r="G501" s="320"/>
      <c r="H501" s="320"/>
      <c r="I501" s="320"/>
      <c r="J501" s="320"/>
      <c r="K501" s="320"/>
      <c r="L501" s="320"/>
      <c r="M501" s="320"/>
      <c r="N501" s="320"/>
      <c r="O501" s="320"/>
      <c r="P501" s="320"/>
      <c r="Q501" s="320"/>
      <c r="R501" s="320"/>
      <c r="S501" s="320"/>
      <c r="T501" s="320"/>
      <c r="U501" s="320"/>
      <c r="V501" s="320"/>
      <c r="W501" s="320"/>
      <c r="X501" s="320"/>
      <c r="Y501" s="320"/>
      <c r="Z501" s="320"/>
    </row>
    <row r="502">
      <c r="A502" s="320"/>
      <c r="B502" s="320"/>
      <c r="C502" s="320"/>
      <c r="D502" s="320"/>
      <c r="E502" s="320"/>
      <c r="F502" s="320"/>
      <c r="G502" s="320"/>
      <c r="H502" s="320"/>
      <c r="I502" s="320"/>
      <c r="J502" s="320"/>
      <c r="K502" s="320"/>
      <c r="L502" s="320"/>
      <c r="M502" s="320"/>
      <c r="N502" s="320"/>
      <c r="O502" s="320"/>
      <c r="P502" s="320"/>
      <c r="Q502" s="320"/>
      <c r="R502" s="320"/>
      <c r="S502" s="320"/>
      <c r="T502" s="320"/>
      <c r="U502" s="320"/>
      <c r="V502" s="320"/>
      <c r="W502" s="320"/>
      <c r="X502" s="320"/>
      <c r="Y502" s="320"/>
      <c r="Z502" s="320"/>
    </row>
    <row r="503">
      <c r="A503" s="320"/>
      <c r="B503" s="320"/>
      <c r="C503" s="320"/>
      <c r="D503" s="320"/>
      <c r="E503" s="320"/>
      <c r="F503" s="320"/>
      <c r="G503" s="320"/>
      <c r="H503" s="320"/>
      <c r="I503" s="320"/>
      <c r="J503" s="320"/>
      <c r="K503" s="320"/>
      <c r="L503" s="320"/>
      <c r="M503" s="320"/>
      <c r="N503" s="320"/>
      <c r="O503" s="320"/>
      <c r="P503" s="320"/>
      <c r="Q503" s="320"/>
      <c r="R503" s="320"/>
      <c r="S503" s="320"/>
      <c r="T503" s="320"/>
      <c r="U503" s="320"/>
      <c r="V503" s="320"/>
      <c r="W503" s="320"/>
      <c r="X503" s="320"/>
      <c r="Y503" s="320"/>
      <c r="Z503" s="320"/>
    </row>
    <row r="504">
      <c r="A504" s="320"/>
      <c r="B504" s="320"/>
      <c r="C504" s="320"/>
      <c r="D504" s="320"/>
      <c r="E504" s="320"/>
      <c r="F504" s="320"/>
      <c r="G504" s="320"/>
      <c r="H504" s="320"/>
      <c r="I504" s="320"/>
      <c r="J504" s="320"/>
      <c r="K504" s="320"/>
      <c r="L504" s="320"/>
      <c r="M504" s="320"/>
      <c r="N504" s="320"/>
      <c r="O504" s="320"/>
      <c r="P504" s="320"/>
      <c r="Q504" s="320"/>
      <c r="R504" s="320"/>
      <c r="S504" s="320"/>
      <c r="T504" s="320"/>
      <c r="U504" s="320"/>
      <c r="V504" s="320"/>
      <c r="W504" s="320"/>
      <c r="X504" s="320"/>
      <c r="Y504" s="320"/>
      <c r="Z504" s="320"/>
    </row>
    <row r="505">
      <c r="A505" s="320"/>
      <c r="B505" s="320"/>
      <c r="C505" s="320"/>
      <c r="D505" s="320"/>
      <c r="E505" s="320"/>
      <c r="F505" s="320"/>
      <c r="G505" s="320"/>
      <c r="H505" s="320"/>
      <c r="I505" s="320"/>
      <c r="J505" s="320"/>
      <c r="K505" s="320"/>
      <c r="L505" s="320"/>
      <c r="M505" s="320"/>
      <c r="N505" s="320"/>
      <c r="O505" s="320"/>
      <c r="P505" s="320"/>
      <c r="Q505" s="320"/>
      <c r="R505" s="320"/>
      <c r="S505" s="320"/>
      <c r="T505" s="320"/>
      <c r="U505" s="320"/>
      <c r="V505" s="320"/>
      <c r="W505" s="320"/>
      <c r="X505" s="320"/>
      <c r="Y505" s="320"/>
      <c r="Z505" s="320"/>
    </row>
    <row r="506">
      <c r="A506" s="320"/>
      <c r="B506" s="320"/>
      <c r="C506" s="320"/>
      <c r="D506" s="320"/>
      <c r="E506" s="320"/>
      <c r="F506" s="320"/>
      <c r="G506" s="320"/>
      <c r="H506" s="320"/>
      <c r="I506" s="320"/>
      <c r="J506" s="320"/>
      <c r="K506" s="320"/>
      <c r="L506" s="320"/>
      <c r="M506" s="320"/>
      <c r="N506" s="320"/>
      <c r="O506" s="320"/>
      <c r="P506" s="320"/>
      <c r="Q506" s="320"/>
      <c r="R506" s="320"/>
      <c r="S506" s="320"/>
      <c r="T506" s="320"/>
      <c r="U506" s="320"/>
      <c r="V506" s="320"/>
      <c r="W506" s="320"/>
      <c r="X506" s="320"/>
      <c r="Y506" s="320"/>
      <c r="Z506" s="320"/>
    </row>
    <row r="507">
      <c r="A507" s="320"/>
      <c r="B507" s="320"/>
      <c r="C507" s="320"/>
      <c r="D507" s="320"/>
      <c r="E507" s="320"/>
      <c r="F507" s="320"/>
      <c r="G507" s="320"/>
      <c r="H507" s="320"/>
      <c r="I507" s="320"/>
      <c r="J507" s="320"/>
      <c r="K507" s="320"/>
      <c r="L507" s="320"/>
      <c r="M507" s="320"/>
      <c r="N507" s="320"/>
      <c r="O507" s="320"/>
      <c r="P507" s="320"/>
      <c r="Q507" s="320"/>
      <c r="R507" s="320"/>
      <c r="S507" s="320"/>
      <c r="T507" s="320"/>
      <c r="U507" s="320"/>
      <c r="V507" s="320"/>
      <c r="W507" s="320"/>
      <c r="X507" s="320"/>
      <c r="Y507" s="320"/>
      <c r="Z507" s="320"/>
    </row>
    <row r="508">
      <c r="A508" s="320"/>
      <c r="B508" s="320"/>
      <c r="C508" s="320"/>
      <c r="D508" s="320"/>
      <c r="E508" s="320"/>
      <c r="F508" s="320"/>
      <c r="G508" s="320"/>
      <c r="H508" s="320"/>
      <c r="I508" s="320"/>
      <c r="J508" s="320"/>
      <c r="K508" s="320"/>
      <c r="L508" s="320"/>
      <c r="M508" s="320"/>
      <c r="N508" s="320"/>
      <c r="O508" s="320"/>
      <c r="P508" s="320"/>
      <c r="Q508" s="320"/>
      <c r="R508" s="320"/>
      <c r="S508" s="320"/>
      <c r="T508" s="320"/>
      <c r="U508" s="320"/>
      <c r="V508" s="320"/>
      <c r="W508" s="320"/>
      <c r="X508" s="320"/>
      <c r="Y508" s="320"/>
      <c r="Z508" s="320"/>
    </row>
    <row r="509">
      <c r="A509" s="320"/>
      <c r="B509" s="320"/>
      <c r="C509" s="320"/>
      <c r="D509" s="320"/>
      <c r="E509" s="320"/>
      <c r="F509" s="320"/>
      <c r="G509" s="320"/>
      <c r="H509" s="320"/>
      <c r="I509" s="320"/>
      <c r="J509" s="320"/>
      <c r="K509" s="320"/>
      <c r="L509" s="320"/>
      <c r="M509" s="320"/>
      <c r="N509" s="320"/>
      <c r="O509" s="320"/>
      <c r="P509" s="320"/>
      <c r="Q509" s="320"/>
      <c r="R509" s="320"/>
      <c r="S509" s="320"/>
      <c r="T509" s="320"/>
      <c r="U509" s="320"/>
      <c r="V509" s="320"/>
      <c r="W509" s="320"/>
      <c r="X509" s="320"/>
      <c r="Y509" s="320"/>
      <c r="Z509" s="320"/>
    </row>
    <row r="510">
      <c r="A510" s="320"/>
      <c r="B510" s="320"/>
      <c r="C510" s="320"/>
      <c r="D510" s="320"/>
      <c r="E510" s="320"/>
      <c r="F510" s="320"/>
      <c r="G510" s="320"/>
      <c r="H510" s="320"/>
      <c r="I510" s="320"/>
      <c r="J510" s="320"/>
      <c r="K510" s="320"/>
      <c r="L510" s="320"/>
      <c r="M510" s="320"/>
      <c r="N510" s="320"/>
      <c r="O510" s="320"/>
      <c r="P510" s="320"/>
      <c r="Q510" s="320"/>
      <c r="R510" s="320"/>
      <c r="S510" s="320"/>
      <c r="T510" s="320"/>
      <c r="U510" s="320"/>
      <c r="V510" s="320"/>
      <c r="W510" s="320"/>
      <c r="X510" s="320"/>
      <c r="Y510" s="320"/>
      <c r="Z510" s="320"/>
    </row>
    <row r="511">
      <c r="A511" s="320"/>
      <c r="B511" s="320"/>
      <c r="C511" s="320"/>
      <c r="D511" s="320"/>
      <c r="E511" s="320"/>
      <c r="F511" s="320"/>
      <c r="G511" s="320"/>
      <c r="H511" s="320"/>
      <c r="I511" s="320"/>
      <c r="J511" s="320"/>
      <c r="K511" s="320"/>
      <c r="L511" s="320"/>
      <c r="M511" s="320"/>
      <c r="N511" s="320"/>
      <c r="O511" s="320"/>
      <c r="P511" s="320"/>
      <c r="Q511" s="320"/>
      <c r="R511" s="320"/>
      <c r="S511" s="320"/>
      <c r="T511" s="320"/>
      <c r="U511" s="320"/>
      <c r="V511" s="320"/>
      <c r="W511" s="320"/>
      <c r="X511" s="320"/>
      <c r="Y511" s="320"/>
      <c r="Z511" s="320"/>
    </row>
    <row r="512">
      <c r="A512" s="320"/>
      <c r="B512" s="320"/>
      <c r="C512" s="320"/>
      <c r="D512" s="320"/>
      <c r="E512" s="320"/>
      <c r="F512" s="320"/>
      <c r="G512" s="320"/>
      <c r="H512" s="320"/>
      <c r="I512" s="320"/>
      <c r="J512" s="320"/>
      <c r="K512" s="320"/>
      <c r="L512" s="320"/>
      <c r="M512" s="320"/>
      <c r="N512" s="320"/>
      <c r="O512" s="320"/>
      <c r="P512" s="320"/>
      <c r="Q512" s="320"/>
      <c r="R512" s="320"/>
      <c r="S512" s="320"/>
      <c r="T512" s="320"/>
      <c r="U512" s="320"/>
      <c r="V512" s="320"/>
      <c r="W512" s="320"/>
      <c r="X512" s="320"/>
      <c r="Y512" s="320"/>
      <c r="Z512" s="320"/>
    </row>
    <row r="513">
      <c r="A513" s="320"/>
      <c r="B513" s="320"/>
      <c r="C513" s="320"/>
      <c r="D513" s="320"/>
      <c r="E513" s="320"/>
      <c r="F513" s="320"/>
      <c r="G513" s="320"/>
      <c r="H513" s="320"/>
      <c r="I513" s="320"/>
      <c r="J513" s="320"/>
      <c r="K513" s="320"/>
      <c r="L513" s="320"/>
      <c r="M513" s="320"/>
      <c r="N513" s="320"/>
      <c r="O513" s="320"/>
      <c r="P513" s="320"/>
      <c r="Q513" s="320"/>
      <c r="R513" s="320"/>
      <c r="S513" s="320"/>
      <c r="T513" s="320"/>
      <c r="U513" s="320"/>
      <c r="V513" s="320"/>
      <c r="W513" s="320"/>
      <c r="X513" s="320"/>
      <c r="Y513" s="320"/>
      <c r="Z513" s="320"/>
    </row>
    <row r="514">
      <c r="A514" s="320"/>
      <c r="B514" s="320"/>
      <c r="C514" s="320"/>
      <c r="D514" s="320"/>
      <c r="E514" s="320"/>
      <c r="F514" s="320"/>
      <c r="G514" s="320"/>
      <c r="H514" s="320"/>
      <c r="I514" s="320"/>
      <c r="J514" s="320"/>
      <c r="K514" s="320"/>
      <c r="L514" s="320"/>
      <c r="M514" s="320"/>
      <c r="N514" s="320"/>
      <c r="O514" s="320"/>
      <c r="P514" s="320"/>
      <c r="Q514" s="320"/>
      <c r="R514" s="320"/>
      <c r="S514" s="320"/>
      <c r="T514" s="320"/>
      <c r="U514" s="320"/>
      <c r="V514" s="320"/>
      <c r="W514" s="320"/>
      <c r="X514" s="320"/>
      <c r="Y514" s="320"/>
      <c r="Z514" s="320"/>
    </row>
    <row r="515">
      <c r="A515" s="320"/>
      <c r="B515" s="320"/>
      <c r="C515" s="320"/>
      <c r="D515" s="320"/>
      <c r="E515" s="320"/>
      <c r="F515" s="320"/>
      <c r="G515" s="320"/>
      <c r="H515" s="320"/>
      <c r="I515" s="320"/>
      <c r="J515" s="320"/>
      <c r="K515" s="320"/>
      <c r="L515" s="320"/>
      <c r="M515" s="320"/>
      <c r="N515" s="320"/>
      <c r="O515" s="320"/>
      <c r="P515" s="320"/>
      <c r="Q515" s="320"/>
      <c r="R515" s="320"/>
      <c r="S515" s="320"/>
      <c r="T515" s="320"/>
      <c r="U515" s="320"/>
      <c r="V515" s="320"/>
      <c r="W515" s="320"/>
      <c r="X515" s="320"/>
      <c r="Y515" s="320"/>
      <c r="Z515" s="320"/>
    </row>
    <row r="516">
      <c r="A516" s="320"/>
      <c r="B516" s="320"/>
      <c r="C516" s="320"/>
      <c r="D516" s="320"/>
      <c r="E516" s="320"/>
      <c r="F516" s="320"/>
      <c r="G516" s="320"/>
      <c r="H516" s="320"/>
      <c r="I516" s="320"/>
      <c r="J516" s="320"/>
      <c r="K516" s="320"/>
      <c r="L516" s="320"/>
      <c r="M516" s="320"/>
      <c r="N516" s="320"/>
      <c r="O516" s="320"/>
      <c r="P516" s="320"/>
      <c r="Q516" s="320"/>
      <c r="R516" s="320"/>
      <c r="S516" s="320"/>
      <c r="T516" s="320"/>
      <c r="U516" s="320"/>
      <c r="V516" s="320"/>
      <c r="W516" s="320"/>
      <c r="X516" s="320"/>
      <c r="Y516" s="320"/>
      <c r="Z516" s="320"/>
    </row>
    <row r="517">
      <c r="A517" s="320"/>
      <c r="B517" s="320"/>
      <c r="C517" s="320"/>
      <c r="D517" s="320"/>
      <c r="E517" s="320"/>
      <c r="F517" s="320"/>
      <c r="G517" s="320"/>
      <c r="H517" s="320"/>
      <c r="I517" s="320"/>
      <c r="J517" s="320"/>
      <c r="K517" s="320"/>
      <c r="L517" s="320"/>
      <c r="M517" s="320"/>
      <c r="N517" s="320"/>
      <c r="O517" s="320"/>
      <c r="P517" s="320"/>
      <c r="Q517" s="320"/>
      <c r="R517" s="320"/>
      <c r="S517" s="320"/>
      <c r="T517" s="320"/>
      <c r="U517" s="320"/>
      <c r="V517" s="320"/>
      <c r="W517" s="320"/>
      <c r="X517" s="320"/>
      <c r="Y517" s="320"/>
      <c r="Z517" s="320"/>
    </row>
    <row r="518">
      <c r="A518" s="320"/>
      <c r="B518" s="320"/>
      <c r="C518" s="320"/>
      <c r="D518" s="320"/>
      <c r="E518" s="320"/>
      <c r="F518" s="320"/>
      <c r="G518" s="320"/>
      <c r="H518" s="320"/>
      <c r="I518" s="320"/>
      <c r="J518" s="320"/>
      <c r="K518" s="320"/>
      <c r="L518" s="320"/>
      <c r="M518" s="320"/>
      <c r="N518" s="320"/>
      <c r="O518" s="320"/>
      <c r="P518" s="320"/>
      <c r="Q518" s="320"/>
      <c r="R518" s="320"/>
      <c r="S518" s="320"/>
      <c r="T518" s="320"/>
      <c r="U518" s="320"/>
      <c r="V518" s="320"/>
      <c r="W518" s="320"/>
      <c r="X518" s="320"/>
      <c r="Y518" s="320"/>
      <c r="Z518" s="320"/>
    </row>
    <row r="519">
      <c r="A519" s="320"/>
      <c r="B519" s="320"/>
      <c r="C519" s="320"/>
      <c r="D519" s="320"/>
      <c r="E519" s="320"/>
      <c r="F519" s="320"/>
      <c r="G519" s="320"/>
      <c r="H519" s="320"/>
      <c r="I519" s="320"/>
      <c r="J519" s="320"/>
      <c r="K519" s="320"/>
      <c r="L519" s="320"/>
      <c r="M519" s="320"/>
      <c r="N519" s="320"/>
      <c r="O519" s="320"/>
      <c r="P519" s="320"/>
      <c r="Q519" s="320"/>
      <c r="R519" s="320"/>
      <c r="S519" s="320"/>
      <c r="T519" s="320"/>
      <c r="U519" s="320"/>
      <c r="V519" s="320"/>
      <c r="W519" s="320"/>
      <c r="X519" s="320"/>
      <c r="Y519" s="320"/>
      <c r="Z519" s="320"/>
    </row>
    <row r="520">
      <c r="A520" s="320"/>
      <c r="B520" s="320"/>
      <c r="C520" s="320"/>
      <c r="D520" s="320"/>
      <c r="E520" s="320"/>
      <c r="F520" s="320"/>
      <c r="G520" s="320"/>
      <c r="H520" s="320"/>
      <c r="I520" s="320"/>
      <c r="J520" s="320"/>
      <c r="K520" s="320"/>
      <c r="L520" s="320"/>
      <c r="M520" s="320"/>
      <c r="N520" s="320"/>
      <c r="O520" s="320"/>
      <c r="P520" s="320"/>
      <c r="Q520" s="320"/>
      <c r="R520" s="320"/>
      <c r="S520" s="320"/>
      <c r="T520" s="320"/>
      <c r="U520" s="320"/>
      <c r="V520" s="320"/>
      <c r="W520" s="320"/>
      <c r="X520" s="320"/>
      <c r="Y520" s="320"/>
      <c r="Z520" s="320"/>
    </row>
    <row r="521">
      <c r="A521" s="320"/>
      <c r="B521" s="320"/>
      <c r="C521" s="320"/>
      <c r="D521" s="320"/>
      <c r="E521" s="320"/>
      <c r="F521" s="320"/>
      <c r="G521" s="320"/>
      <c r="H521" s="320"/>
      <c r="I521" s="320"/>
      <c r="J521" s="320"/>
      <c r="K521" s="320"/>
      <c r="L521" s="320"/>
      <c r="M521" s="320"/>
      <c r="N521" s="320"/>
      <c r="O521" s="320"/>
      <c r="P521" s="320"/>
      <c r="Q521" s="320"/>
      <c r="R521" s="320"/>
      <c r="S521" s="320"/>
      <c r="T521" s="320"/>
      <c r="U521" s="320"/>
      <c r="V521" s="320"/>
      <c r="W521" s="320"/>
      <c r="X521" s="320"/>
      <c r="Y521" s="320"/>
      <c r="Z521" s="320"/>
    </row>
    <row r="522">
      <c r="A522" s="320"/>
      <c r="B522" s="320"/>
      <c r="C522" s="320"/>
      <c r="D522" s="320"/>
      <c r="E522" s="320"/>
      <c r="F522" s="320"/>
      <c r="G522" s="320"/>
      <c r="H522" s="320"/>
      <c r="I522" s="320"/>
      <c r="J522" s="320"/>
      <c r="K522" s="320"/>
      <c r="L522" s="320"/>
      <c r="M522" s="320"/>
      <c r="N522" s="320"/>
      <c r="O522" s="320"/>
      <c r="P522" s="320"/>
      <c r="Q522" s="320"/>
      <c r="R522" s="320"/>
      <c r="S522" s="320"/>
      <c r="T522" s="320"/>
      <c r="U522" s="320"/>
      <c r="V522" s="320"/>
      <c r="W522" s="320"/>
      <c r="X522" s="320"/>
      <c r="Y522" s="320"/>
      <c r="Z522" s="320"/>
    </row>
    <row r="523">
      <c r="A523" s="320"/>
      <c r="B523" s="320"/>
      <c r="C523" s="320"/>
      <c r="D523" s="320"/>
      <c r="E523" s="320"/>
      <c r="F523" s="320"/>
      <c r="G523" s="320"/>
      <c r="H523" s="320"/>
      <c r="I523" s="320"/>
      <c r="J523" s="320"/>
      <c r="K523" s="320"/>
      <c r="L523" s="320"/>
      <c r="M523" s="320"/>
      <c r="N523" s="320"/>
      <c r="O523" s="320"/>
      <c r="P523" s="320"/>
      <c r="Q523" s="320"/>
      <c r="R523" s="320"/>
      <c r="S523" s="320"/>
      <c r="T523" s="320"/>
      <c r="U523" s="320"/>
      <c r="V523" s="320"/>
      <c r="W523" s="320"/>
      <c r="X523" s="320"/>
      <c r="Y523" s="320"/>
      <c r="Z523" s="320"/>
    </row>
    <row r="524">
      <c r="A524" s="320"/>
      <c r="B524" s="320"/>
      <c r="C524" s="320"/>
      <c r="D524" s="320"/>
      <c r="E524" s="320"/>
      <c r="F524" s="320"/>
      <c r="G524" s="320"/>
      <c r="H524" s="320"/>
      <c r="I524" s="320"/>
      <c r="J524" s="320"/>
      <c r="K524" s="320"/>
      <c r="L524" s="320"/>
      <c r="M524" s="320"/>
      <c r="N524" s="320"/>
      <c r="O524" s="320"/>
      <c r="P524" s="320"/>
      <c r="Q524" s="320"/>
      <c r="R524" s="320"/>
      <c r="S524" s="320"/>
      <c r="T524" s="320"/>
      <c r="U524" s="320"/>
      <c r="V524" s="320"/>
      <c r="W524" s="320"/>
      <c r="X524" s="320"/>
      <c r="Y524" s="320"/>
      <c r="Z524" s="320"/>
    </row>
    <row r="525">
      <c r="A525" s="320"/>
      <c r="B525" s="320"/>
      <c r="C525" s="320"/>
      <c r="D525" s="320"/>
      <c r="E525" s="320"/>
      <c r="F525" s="320"/>
      <c r="G525" s="320"/>
      <c r="H525" s="320"/>
      <c r="I525" s="320"/>
      <c r="J525" s="320"/>
      <c r="K525" s="320"/>
      <c r="L525" s="320"/>
      <c r="M525" s="320"/>
      <c r="N525" s="320"/>
      <c r="O525" s="320"/>
      <c r="P525" s="320"/>
      <c r="Q525" s="320"/>
      <c r="R525" s="320"/>
      <c r="S525" s="320"/>
      <c r="T525" s="320"/>
      <c r="U525" s="320"/>
      <c r="V525" s="320"/>
      <c r="W525" s="320"/>
      <c r="X525" s="320"/>
      <c r="Y525" s="320"/>
      <c r="Z525" s="320"/>
    </row>
    <row r="526">
      <c r="A526" s="320"/>
      <c r="B526" s="320"/>
      <c r="C526" s="320"/>
      <c r="D526" s="320"/>
      <c r="E526" s="320"/>
      <c r="F526" s="320"/>
      <c r="G526" s="320"/>
      <c r="H526" s="320"/>
      <c r="I526" s="320"/>
      <c r="J526" s="320"/>
      <c r="K526" s="320"/>
      <c r="L526" s="320"/>
      <c r="M526" s="320"/>
      <c r="N526" s="320"/>
      <c r="O526" s="320"/>
      <c r="P526" s="320"/>
      <c r="Q526" s="320"/>
      <c r="R526" s="320"/>
      <c r="S526" s="320"/>
      <c r="T526" s="320"/>
      <c r="U526" s="320"/>
      <c r="V526" s="320"/>
      <c r="W526" s="320"/>
      <c r="X526" s="320"/>
      <c r="Y526" s="320"/>
      <c r="Z526" s="320"/>
    </row>
    <row r="527">
      <c r="A527" s="320"/>
      <c r="B527" s="320"/>
      <c r="C527" s="320"/>
      <c r="D527" s="320"/>
      <c r="E527" s="320"/>
      <c r="F527" s="320"/>
      <c r="G527" s="320"/>
      <c r="H527" s="320"/>
      <c r="I527" s="320"/>
      <c r="J527" s="320"/>
      <c r="K527" s="320"/>
      <c r="L527" s="320"/>
      <c r="M527" s="320"/>
      <c r="N527" s="320"/>
      <c r="O527" s="320"/>
      <c r="P527" s="320"/>
      <c r="Q527" s="320"/>
      <c r="R527" s="320"/>
      <c r="S527" s="320"/>
      <c r="T527" s="320"/>
      <c r="U527" s="320"/>
      <c r="V527" s="320"/>
      <c r="W527" s="320"/>
      <c r="X527" s="320"/>
      <c r="Y527" s="320"/>
      <c r="Z527" s="320"/>
    </row>
    <row r="528">
      <c r="A528" s="320"/>
      <c r="B528" s="320"/>
      <c r="C528" s="320"/>
      <c r="D528" s="320"/>
      <c r="E528" s="320"/>
      <c r="F528" s="320"/>
      <c r="G528" s="320"/>
      <c r="H528" s="320"/>
      <c r="I528" s="320"/>
      <c r="J528" s="320"/>
      <c r="K528" s="320"/>
      <c r="L528" s="320"/>
      <c r="M528" s="320"/>
      <c r="N528" s="320"/>
      <c r="O528" s="320"/>
      <c r="P528" s="320"/>
      <c r="Q528" s="320"/>
      <c r="R528" s="320"/>
      <c r="S528" s="320"/>
      <c r="T528" s="320"/>
      <c r="U528" s="320"/>
      <c r="V528" s="320"/>
      <c r="W528" s="320"/>
      <c r="X528" s="320"/>
      <c r="Y528" s="320"/>
      <c r="Z528" s="320"/>
    </row>
    <row r="529">
      <c r="A529" s="320"/>
      <c r="B529" s="320"/>
      <c r="C529" s="320"/>
      <c r="D529" s="320"/>
      <c r="E529" s="320"/>
      <c r="F529" s="320"/>
      <c r="G529" s="320"/>
      <c r="H529" s="320"/>
      <c r="I529" s="320"/>
      <c r="J529" s="320"/>
      <c r="K529" s="320"/>
      <c r="L529" s="320"/>
      <c r="M529" s="320"/>
      <c r="N529" s="320"/>
      <c r="O529" s="320"/>
      <c r="P529" s="320"/>
      <c r="Q529" s="320"/>
      <c r="R529" s="320"/>
      <c r="S529" s="320"/>
      <c r="T529" s="320"/>
      <c r="U529" s="320"/>
      <c r="V529" s="320"/>
      <c r="W529" s="320"/>
      <c r="X529" s="320"/>
      <c r="Y529" s="320"/>
      <c r="Z529" s="320"/>
    </row>
    <row r="530">
      <c r="A530" s="320"/>
      <c r="B530" s="320"/>
      <c r="C530" s="320"/>
      <c r="D530" s="320"/>
      <c r="E530" s="320"/>
      <c r="F530" s="320"/>
      <c r="G530" s="320"/>
      <c r="H530" s="320"/>
      <c r="I530" s="320"/>
      <c r="J530" s="320"/>
      <c r="K530" s="320"/>
      <c r="L530" s="320"/>
      <c r="M530" s="320"/>
      <c r="N530" s="320"/>
      <c r="O530" s="320"/>
      <c r="P530" s="320"/>
      <c r="Q530" s="320"/>
      <c r="R530" s="320"/>
      <c r="S530" s="320"/>
      <c r="T530" s="320"/>
      <c r="U530" s="320"/>
      <c r="V530" s="320"/>
      <c r="W530" s="320"/>
      <c r="X530" s="320"/>
      <c r="Y530" s="320"/>
      <c r="Z530" s="320"/>
    </row>
    <row r="531">
      <c r="A531" s="320"/>
      <c r="B531" s="320"/>
      <c r="C531" s="320"/>
      <c r="D531" s="320"/>
      <c r="E531" s="320"/>
      <c r="F531" s="320"/>
      <c r="G531" s="320"/>
      <c r="H531" s="320"/>
      <c r="I531" s="320"/>
      <c r="J531" s="320"/>
      <c r="K531" s="320"/>
      <c r="L531" s="320"/>
      <c r="M531" s="320"/>
      <c r="N531" s="320"/>
      <c r="O531" s="320"/>
      <c r="P531" s="320"/>
      <c r="Q531" s="320"/>
      <c r="R531" s="320"/>
      <c r="S531" s="320"/>
      <c r="T531" s="320"/>
      <c r="U531" s="320"/>
      <c r="V531" s="320"/>
      <c r="W531" s="320"/>
      <c r="X531" s="320"/>
      <c r="Y531" s="320"/>
      <c r="Z531" s="320"/>
    </row>
    <row r="532">
      <c r="A532" s="320"/>
      <c r="B532" s="320"/>
      <c r="C532" s="320"/>
      <c r="D532" s="320"/>
      <c r="E532" s="320"/>
      <c r="F532" s="320"/>
      <c r="G532" s="320"/>
      <c r="H532" s="320"/>
      <c r="I532" s="320"/>
      <c r="J532" s="320"/>
      <c r="K532" s="320"/>
      <c r="L532" s="320"/>
      <c r="M532" s="320"/>
      <c r="N532" s="320"/>
      <c r="O532" s="320"/>
      <c r="P532" s="320"/>
      <c r="Q532" s="320"/>
      <c r="R532" s="320"/>
      <c r="S532" s="320"/>
      <c r="T532" s="320"/>
      <c r="U532" s="320"/>
      <c r="V532" s="320"/>
      <c r="W532" s="320"/>
      <c r="X532" s="320"/>
      <c r="Y532" s="320"/>
      <c r="Z532" s="320"/>
    </row>
    <row r="533">
      <c r="A533" s="320"/>
      <c r="B533" s="320"/>
      <c r="C533" s="320"/>
      <c r="D533" s="320"/>
      <c r="E533" s="320"/>
      <c r="F533" s="320"/>
      <c r="G533" s="320"/>
      <c r="H533" s="320"/>
      <c r="I533" s="320"/>
      <c r="J533" s="320"/>
      <c r="K533" s="320"/>
      <c r="L533" s="320"/>
      <c r="M533" s="320"/>
      <c r="N533" s="320"/>
      <c r="O533" s="320"/>
      <c r="P533" s="320"/>
      <c r="Q533" s="320"/>
      <c r="R533" s="320"/>
      <c r="S533" s="320"/>
      <c r="T533" s="320"/>
      <c r="U533" s="320"/>
      <c r="V533" s="320"/>
      <c r="W533" s="320"/>
      <c r="X533" s="320"/>
      <c r="Y533" s="320"/>
      <c r="Z533" s="320"/>
    </row>
    <row r="534">
      <c r="A534" s="320"/>
      <c r="B534" s="320"/>
      <c r="C534" s="320"/>
      <c r="D534" s="320"/>
      <c r="E534" s="320"/>
      <c r="F534" s="320"/>
      <c r="G534" s="320"/>
      <c r="H534" s="320"/>
      <c r="I534" s="320"/>
      <c r="J534" s="320"/>
      <c r="K534" s="320"/>
      <c r="L534" s="320"/>
      <c r="M534" s="320"/>
      <c r="N534" s="320"/>
      <c r="O534" s="320"/>
      <c r="P534" s="320"/>
      <c r="Q534" s="320"/>
      <c r="R534" s="320"/>
      <c r="S534" s="320"/>
      <c r="T534" s="320"/>
      <c r="U534" s="320"/>
      <c r="V534" s="320"/>
      <c r="W534" s="320"/>
      <c r="X534" s="320"/>
      <c r="Y534" s="320"/>
      <c r="Z534" s="320"/>
    </row>
    <row r="535">
      <c r="A535" s="320"/>
      <c r="B535" s="320"/>
      <c r="C535" s="320"/>
      <c r="D535" s="320"/>
      <c r="E535" s="320"/>
      <c r="F535" s="320"/>
      <c r="G535" s="320"/>
      <c r="H535" s="320"/>
      <c r="I535" s="320"/>
      <c r="J535" s="320"/>
      <c r="K535" s="320"/>
      <c r="L535" s="320"/>
      <c r="M535" s="320"/>
      <c r="N535" s="320"/>
      <c r="O535" s="320"/>
      <c r="P535" s="320"/>
      <c r="Q535" s="320"/>
      <c r="R535" s="320"/>
      <c r="S535" s="320"/>
      <c r="T535" s="320"/>
      <c r="U535" s="320"/>
      <c r="V535" s="320"/>
      <c r="W535" s="320"/>
      <c r="X535" s="320"/>
      <c r="Y535" s="320"/>
      <c r="Z535" s="320"/>
    </row>
    <row r="536">
      <c r="A536" s="320"/>
      <c r="B536" s="320"/>
      <c r="C536" s="320"/>
      <c r="D536" s="320"/>
      <c r="E536" s="320"/>
      <c r="F536" s="320"/>
      <c r="G536" s="320"/>
      <c r="H536" s="320"/>
      <c r="I536" s="320"/>
      <c r="J536" s="320"/>
      <c r="K536" s="320"/>
      <c r="L536" s="320"/>
      <c r="M536" s="320"/>
      <c r="N536" s="320"/>
      <c r="O536" s="320"/>
      <c r="P536" s="320"/>
      <c r="Q536" s="320"/>
      <c r="R536" s="320"/>
      <c r="S536" s="320"/>
      <c r="T536" s="320"/>
      <c r="U536" s="320"/>
      <c r="V536" s="320"/>
      <c r="W536" s="320"/>
      <c r="X536" s="320"/>
      <c r="Y536" s="320"/>
      <c r="Z536" s="320"/>
    </row>
    <row r="537">
      <c r="A537" s="320"/>
      <c r="B537" s="320"/>
      <c r="C537" s="320"/>
      <c r="D537" s="320"/>
      <c r="E537" s="320"/>
      <c r="F537" s="320"/>
      <c r="G537" s="320"/>
      <c r="H537" s="320"/>
      <c r="I537" s="320"/>
      <c r="J537" s="320"/>
      <c r="K537" s="320"/>
      <c r="L537" s="320"/>
      <c r="M537" s="320"/>
      <c r="N537" s="320"/>
      <c r="O537" s="320"/>
      <c r="P537" s="320"/>
      <c r="Q537" s="320"/>
      <c r="R537" s="320"/>
      <c r="S537" s="320"/>
      <c r="T537" s="320"/>
      <c r="U537" s="320"/>
      <c r="V537" s="320"/>
      <c r="W537" s="320"/>
      <c r="X537" s="320"/>
      <c r="Y537" s="320"/>
      <c r="Z537" s="320"/>
    </row>
    <row r="538">
      <c r="A538" s="320"/>
      <c r="B538" s="320"/>
      <c r="C538" s="320"/>
      <c r="D538" s="320"/>
      <c r="E538" s="320"/>
      <c r="F538" s="320"/>
      <c r="G538" s="320"/>
      <c r="H538" s="320"/>
      <c r="I538" s="320"/>
      <c r="J538" s="320"/>
      <c r="K538" s="320"/>
      <c r="L538" s="320"/>
      <c r="M538" s="320"/>
      <c r="N538" s="320"/>
      <c r="O538" s="320"/>
      <c r="P538" s="320"/>
      <c r="Q538" s="320"/>
      <c r="R538" s="320"/>
      <c r="S538" s="320"/>
      <c r="T538" s="320"/>
      <c r="U538" s="320"/>
      <c r="V538" s="320"/>
      <c r="W538" s="320"/>
      <c r="X538" s="320"/>
      <c r="Y538" s="320"/>
      <c r="Z538" s="320"/>
    </row>
    <row r="539">
      <c r="A539" s="320"/>
      <c r="B539" s="320"/>
      <c r="C539" s="320"/>
      <c r="D539" s="320"/>
      <c r="E539" s="320"/>
      <c r="F539" s="320"/>
      <c r="G539" s="320"/>
      <c r="H539" s="320"/>
      <c r="I539" s="320"/>
      <c r="J539" s="320"/>
      <c r="K539" s="320"/>
      <c r="L539" s="320"/>
      <c r="M539" s="320"/>
      <c r="N539" s="320"/>
      <c r="O539" s="320"/>
      <c r="P539" s="320"/>
      <c r="Q539" s="320"/>
      <c r="R539" s="320"/>
      <c r="S539" s="320"/>
      <c r="T539" s="320"/>
      <c r="U539" s="320"/>
      <c r="V539" s="320"/>
      <c r="W539" s="320"/>
      <c r="X539" s="320"/>
      <c r="Y539" s="320"/>
      <c r="Z539" s="320"/>
    </row>
    <row r="540">
      <c r="A540" s="320"/>
      <c r="B540" s="320"/>
      <c r="C540" s="320"/>
      <c r="D540" s="320"/>
      <c r="E540" s="320"/>
      <c r="F540" s="320"/>
      <c r="G540" s="320"/>
      <c r="H540" s="320"/>
      <c r="I540" s="320"/>
      <c r="J540" s="320"/>
      <c r="K540" s="320"/>
      <c r="L540" s="320"/>
      <c r="M540" s="320"/>
      <c r="N540" s="320"/>
      <c r="O540" s="320"/>
      <c r="P540" s="320"/>
      <c r="Q540" s="320"/>
      <c r="R540" s="320"/>
      <c r="S540" s="320"/>
      <c r="T540" s="320"/>
      <c r="U540" s="320"/>
      <c r="V540" s="320"/>
      <c r="W540" s="320"/>
      <c r="X540" s="320"/>
      <c r="Y540" s="320"/>
      <c r="Z540" s="320"/>
    </row>
    <row r="541">
      <c r="A541" s="320"/>
      <c r="B541" s="320"/>
      <c r="C541" s="320"/>
      <c r="D541" s="320"/>
      <c r="E541" s="320"/>
      <c r="F541" s="320"/>
      <c r="G541" s="320"/>
      <c r="H541" s="320"/>
      <c r="I541" s="320"/>
      <c r="J541" s="320"/>
      <c r="K541" s="320"/>
      <c r="L541" s="320"/>
      <c r="M541" s="320"/>
      <c r="N541" s="320"/>
      <c r="O541" s="320"/>
      <c r="P541" s="320"/>
      <c r="Q541" s="320"/>
      <c r="R541" s="320"/>
      <c r="S541" s="320"/>
      <c r="T541" s="320"/>
      <c r="U541" s="320"/>
      <c r="V541" s="320"/>
      <c r="W541" s="320"/>
      <c r="X541" s="320"/>
      <c r="Y541" s="320"/>
      <c r="Z541" s="320"/>
    </row>
    <row r="542">
      <c r="A542" s="320"/>
      <c r="B542" s="320"/>
      <c r="C542" s="320"/>
      <c r="D542" s="320"/>
      <c r="E542" s="320"/>
      <c r="F542" s="320"/>
      <c r="G542" s="320"/>
      <c r="H542" s="320"/>
      <c r="I542" s="320"/>
      <c r="J542" s="320"/>
      <c r="K542" s="320"/>
      <c r="L542" s="320"/>
      <c r="M542" s="320"/>
      <c r="N542" s="320"/>
      <c r="O542" s="320"/>
      <c r="P542" s="320"/>
      <c r="Q542" s="320"/>
      <c r="R542" s="320"/>
      <c r="S542" s="320"/>
      <c r="T542" s="320"/>
      <c r="U542" s="320"/>
      <c r="V542" s="320"/>
      <c r="W542" s="320"/>
      <c r="X542" s="320"/>
      <c r="Y542" s="320"/>
      <c r="Z542" s="320"/>
    </row>
    <row r="543">
      <c r="A543" s="320"/>
      <c r="B543" s="320"/>
      <c r="C543" s="320"/>
      <c r="D543" s="320"/>
      <c r="E543" s="320"/>
      <c r="F543" s="320"/>
      <c r="G543" s="320"/>
      <c r="H543" s="320"/>
      <c r="I543" s="320"/>
      <c r="J543" s="320"/>
      <c r="K543" s="320"/>
      <c r="L543" s="320"/>
      <c r="M543" s="320"/>
      <c r="N543" s="320"/>
      <c r="O543" s="320"/>
      <c r="P543" s="320"/>
      <c r="Q543" s="320"/>
      <c r="R543" s="320"/>
      <c r="S543" s="320"/>
      <c r="T543" s="320"/>
      <c r="U543" s="320"/>
      <c r="V543" s="320"/>
      <c r="W543" s="320"/>
      <c r="X543" s="320"/>
      <c r="Y543" s="320"/>
      <c r="Z543" s="320"/>
    </row>
    <row r="544">
      <c r="A544" s="320"/>
      <c r="B544" s="320"/>
      <c r="C544" s="320"/>
      <c r="D544" s="320"/>
      <c r="E544" s="320"/>
      <c r="F544" s="320"/>
      <c r="G544" s="320"/>
      <c r="H544" s="320"/>
      <c r="I544" s="320"/>
      <c r="J544" s="320"/>
      <c r="K544" s="320"/>
      <c r="L544" s="320"/>
      <c r="M544" s="320"/>
      <c r="N544" s="320"/>
      <c r="O544" s="320"/>
      <c r="P544" s="320"/>
      <c r="Q544" s="320"/>
      <c r="R544" s="320"/>
      <c r="S544" s="320"/>
      <c r="T544" s="320"/>
      <c r="U544" s="320"/>
      <c r="V544" s="320"/>
      <c r="W544" s="320"/>
      <c r="X544" s="320"/>
      <c r="Y544" s="320"/>
      <c r="Z544" s="320"/>
    </row>
    <row r="545">
      <c r="A545" s="320"/>
      <c r="B545" s="320"/>
      <c r="C545" s="320"/>
      <c r="D545" s="320"/>
      <c r="E545" s="320"/>
      <c r="F545" s="320"/>
      <c r="G545" s="320"/>
      <c r="H545" s="320"/>
      <c r="I545" s="320"/>
      <c r="J545" s="320"/>
      <c r="K545" s="320"/>
      <c r="L545" s="320"/>
      <c r="M545" s="320"/>
      <c r="N545" s="320"/>
      <c r="O545" s="320"/>
      <c r="P545" s="320"/>
      <c r="Q545" s="320"/>
      <c r="R545" s="320"/>
      <c r="S545" s="320"/>
      <c r="T545" s="320"/>
      <c r="U545" s="320"/>
      <c r="V545" s="320"/>
      <c r="W545" s="320"/>
      <c r="X545" s="320"/>
      <c r="Y545" s="320"/>
      <c r="Z545" s="320"/>
    </row>
    <row r="546">
      <c r="A546" s="320"/>
      <c r="B546" s="320"/>
      <c r="C546" s="320"/>
      <c r="D546" s="320"/>
      <c r="E546" s="320"/>
      <c r="F546" s="320"/>
      <c r="G546" s="320"/>
      <c r="H546" s="320"/>
      <c r="I546" s="320"/>
      <c r="J546" s="320"/>
      <c r="K546" s="320"/>
      <c r="L546" s="320"/>
      <c r="M546" s="320"/>
      <c r="N546" s="320"/>
      <c r="O546" s="320"/>
      <c r="P546" s="320"/>
      <c r="Q546" s="320"/>
      <c r="R546" s="320"/>
      <c r="S546" s="320"/>
      <c r="T546" s="320"/>
      <c r="U546" s="320"/>
      <c r="V546" s="320"/>
      <c r="W546" s="320"/>
      <c r="X546" s="320"/>
      <c r="Y546" s="320"/>
      <c r="Z546" s="320"/>
    </row>
    <row r="547">
      <c r="A547" s="320"/>
      <c r="B547" s="320"/>
      <c r="C547" s="320"/>
      <c r="D547" s="320"/>
      <c r="E547" s="320"/>
      <c r="F547" s="320"/>
      <c r="G547" s="320"/>
      <c r="H547" s="320"/>
      <c r="I547" s="320"/>
      <c r="J547" s="320"/>
      <c r="K547" s="320"/>
      <c r="L547" s="320"/>
      <c r="M547" s="320"/>
      <c r="N547" s="320"/>
      <c r="O547" s="320"/>
      <c r="P547" s="320"/>
      <c r="Q547" s="320"/>
      <c r="R547" s="320"/>
      <c r="S547" s="320"/>
      <c r="T547" s="320"/>
      <c r="U547" s="320"/>
      <c r="V547" s="320"/>
      <c r="W547" s="320"/>
      <c r="X547" s="320"/>
      <c r="Y547" s="320"/>
      <c r="Z547" s="320"/>
    </row>
    <row r="548">
      <c r="A548" s="320"/>
      <c r="B548" s="320"/>
      <c r="C548" s="320"/>
      <c r="D548" s="320"/>
      <c r="E548" s="320"/>
      <c r="F548" s="320"/>
      <c r="G548" s="320"/>
      <c r="H548" s="320"/>
      <c r="I548" s="320"/>
      <c r="J548" s="320"/>
      <c r="K548" s="320"/>
      <c r="L548" s="320"/>
      <c r="M548" s="320"/>
      <c r="N548" s="320"/>
      <c r="O548" s="320"/>
      <c r="P548" s="320"/>
      <c r="Q548" s="320"/>
      <c r="R548" s="320"/>
      <c r="S548" s="320"/>
      <c r="T548" s="320"/>
      <c r="U548" s="320"/>
      <c r="V548" s="320"/>
      <c r="W548" s="320"/>
      <c r="X548" s="320"/>
      <c r="Y548" s="320"/>
      <c r="Z548" s="320"/>
    </row>
    <row r="549">
      <c r="A549" s="320"/>
      <c r="B549" s="320"/>
      <c r="C549" s="320"/>
      <c r="D549" s="320"/>
      <c r="E549" s="320"/>
      <c r="F549" s="320"/>
      <c r="G549" s="320"/>
      <c r="H549" s="320"/>
      <c r="I549" s="320"/>
      <c r="J549" s="320"/>
      <c r="K549" s="320"/>
      <c r="L549" s="320"/>
      <c r="M549" s="320"/>
      <c r="N549" s="320"/>
      <c r="O549" s="320"/>
      <c r="P549" s="320"/>
      <c r="Q549" s="320"/>
      <c r="R549" s="320"/>
      <c r="S549" s="320"/>
      <c r="T549" s="320"/>
      <c r="U549" s="320"/>
      <c r="V549" s="320"/>
      <c r="W549" s="320"/>
      <c r="X549" s="320"/>
      <c r="Y549" s="320"/>
      <c r="Z549" s="320"/>
    </row>
    <row r="550">
      <c r="A550" s="320"/>
      <c r="B550" s="320"/>
      <c r="C550" s="320"/>
      <c r="D550" s="320"/>
      <c r="E550" s="320"/>
      <c r="F550" s="320"/>
      <c r="G550" s="320"/>
      <c r="H550" s="320"/>
      <c r="I550" s="320"/>
      <c r="J550" s="320"/>
      <c r="K550" s="320"/>
      <c r="L550" s="320"/>
      <c r="M550" s="320"/>
      <c r="N550" s="320"/>
      <c r="O550" s="320"/>
      <c r="P550" s="320"/>
      <c r="Q550" s="320"/>
      <c r="R550" s="320"/>
      <c r="S550" s="320"/>
      <c r="T550" s="320"/>
      <c r="U550" s="320"/>
      <c r="V550" s="320"/>
      <c r="W550" s="320"/>
      <c r="X550" s="320"/>
      <c r="Y550" s="320"/>
      <c r="Z550" s="320"/>
    </row>
    <row r="551">
      <c r="A551" s="320"/>
      <c r="B551" s="320"/>
      <c r="C551" s="320"/>
      <c r="D551" s="320"/>
      <c r="E551" s="320"/>
      <c r="F551" s="320"/>
      <c r="G551" s="320"/>
      <c r="H551" s="320"/>
      <c r="I551" s="320"/>
      <c r="J551" s="320"/>
      <c r="K551" s="320"/>
      <c r="L551" s="320"/>
      <c r="M551" s="320"/>
      <c r="N551" s="320"/>
      <c r="O551" s="320"/>
      <c r="P551" s="320"/>
      <c r="Q551" s="320"/>
      <c r="R551" s="320"/>
      <c r="S551" s="320"/>
      <c r="T551" s="320"/>
      <c r="U551" s="320"/>
      <c r="V551" s="320"/>
      <c r="W551" s="320"/>
      <c r="X551" s="320"/>
      <c r="Y551" s="320"/>
      <c r="Z551" s="320"/>
    </row>
    <row r="552">
      <c r="A552" s="320"/>
      <c r="B552" s="320"/>
      <c r="C552" s="320"/>
      <c r="D552" s="320"/>
      <c r="E552" s="320"/>
      <c r="F552" s="320"/>
      <c r="G552" s="320"/>
      <c r="H552" s="320"/>
      <c r="I552" s="320"/>
      <c r="J552" s="320"/>
      <c r="K552" s="320"/>
      <c r="L552" s="320"/>
      <c r="M552" s="320"/>
      <c r="N552" s="320"/>
      <c r="O552" s="320"/>
      <c r="P552" s="320"/>
      <c r="Q552" s="320"/>
      <c r="R552" s="320"/>
      <c r="S552" s="320"/>
      <c r="T552" s="320"/>
      <c r="U552" s="320"/>
      <c r="V552" s="320"/>
      <c r="W552" s="320"/>
      <c r="X552" s="320"/>
      <c r="Y552" s="320"/>
      <c r="Z552" s="320"/>
    </row>
    <row r="553">
      <c r="A553" s="320"/>
      <c r="B553" s="320"/>
      <c r="C553" s="320"/>
      <c r="D553" s="320"/>
      <c r="E553" s="320"/>
      <c r="F553" s="320"/>
      <c r="G553" s="320"/>
      <c r="H553" s="320"/>
      <c r="I553" s="320"/>
      <c r="J553" s="320"/>
      <c r="K553" s="320"/>
      <c r="L553" s="320"/>
      <c r="M553" s="320"/>
      <c r="N553" s="320"/>
      <c r="O553" s="320"/>
      <c r="P553" s="320"/>
      <c r="Q553" s="320"/>
      <c r="R553" s="320"/>
      <c r="S553" s="320"/>
      <c r="T553" s="320"/>
      <c r="U553" s="320"/>
      <c r="V553" s="320"/>
      <c r="W553" s="320"/>
      <c r="X553" s="320"/>
      <c r="Y553" s="320"/>
      <c r="Z553" s="320"/>
    </row>
    <row r="554">
      <c r="A554" s="320"/>
      <c r="B554" s="320"/>
      <c r="C554" s="320"/>
      <c r="D554" s="320"/>
      <c r="E554" s="320"/>
      <c r="F554" s="320"/>
      <c r="G554" s="320"/>
      <c r="H554" s="320"/>
      <c r="I554" s="320"/>
      <c r="J554" s="320"/>
      <c r="K554" s="320"/>
      <c r="L554" s="320"/>
      <c r="M554" s="320"/>
      <c r="N554" s="320"/>
      <c r="O554" s="320"/>
      <c r="P554" s="320"/>
      <c r="Q554" s="320"/>
      <c r="R554" s="320"/>
      <c r="S554" s="320"/>
      <c r="T554" s="320"/>
      <c r="U554" s="320"/>
      <c r="V554" s="320"/>
      <c r="W554" s="320"/>
      <c r="X554" s="320"/>
      <c r="Y554" s="320"/>
      <c r="Z554" s="320"/>
    </row>
    <row r="555">
      <c r="A555" s="320"/>
      <c r="B555" s="320"/>
      <c r="C555" s="320"/>
      <c r="D555" s="320"/>
      <c r="E555" s="320"/>
      <c r="F555" s="320"/>
      <c r="G555" s="320"/>
      <c r="H555" s="320"/>
      <c r="I555" s="320"/>
      <c r="J555" s="320"/>
      <c r="K555" s="320"/>
      <c r="L555" s="320"/>
      <c r="M555" s="320"/>
      <c r="N555" s="320"/>
      <c r="O555" s="320"/>
      <c r="P555" s="320"/>
      <c r="Q555" s="320"/>
      <c r="R555" s="320"/>
      <c r="S555" s="320"/>
      <c r="T555" s="320"/>
      <c r="U555" s="320"/>
      <c r="V555" s="320"/>
      <c r="W555" s="320"/>
      <c r="X555" s="320"/>
      <c r="Y555" s="320"/>
      <c r="Z555" s="320"/>
    </row>
    <row r="556">
      <c r="A556" s="320"/>
      <c r="B556" s="320"/>
      <c r="C556" s="320"/>
      <c r="D556" s="320"/>
      <c r="E556" s="320"/>
      <c r="F556" s="320"/>
      <c r="G556" s="320"/>
      <c r="H556" s="320"/>
      <c r="I556" s="320"/>
      <c r="J556" s="320"/>
      <c r="K556" s="320"/>
      <c r="L556" s="320"/>
      <c r="M556" s="320"/>
      <c r="N556" s="320"/>
      <c r="O556" s="320"/>
      <c r="P556" s="320"/>
      <c r="Q556" s="320"/>
      <c r="R556" s="320"/>
      <c r="S556" s="320"/>
      <c r="T556" s="320"/>
      <c r="U556" s="320"/>
      <c r="V556" s="320"/>
      <c r="W556" s="320"/>
      <c r="X556" s="320"/>
      <c r="Y556" s="320"/>
      <c r="Z556" s="320"/>
    </row>
    <row r="557">
      <c r="A557" s="320"/>
      <c r="B557" s="320"/>
      <c r="C557" s="320"/>
      <c r="D557" s="320"/>
      <c r="E557" s="320"/>
      <c r="F557" s="320"/>
      <c r="G557" s="320"/>
      <c r="H557" s="320"/>
      <c r="I557" s="320"/>
      <c r="J557" s="320"/>
      <c r="K557" s="320"/>
      <c r="L557" s="320"/>
      <c r="M557" s="320"/>
      <c r="N557" s="320"/>
      <c r="O557" s="320"/>
      <c r="P557" s="320"/>
      <c r="Q557" s="320"/>
      <c r="R557" s="320"/>
      <c r="S557" s="320"/>
      <c r="T557" s="320"/>
      <c r="U557" s="320"/>
      <c r="V557" s="320"/>
      <c r="W557" s="320"/>
      <c r="X557" s="320"/>
      <c r="Y557" s="320"/>
      <c r="Z557" s="320"/>
    </row>
    <row r="558">
      <c r="A558" s="320"/>
      <c r="B558" s="320"/>
      <c r="C558" s="320"/>
      <c r="D558" s="320"/>
      <c r="E558" s="320"/>
      <c r="F558" s="320"/>
      <c r="G558" s="320"/>
      <c r="H558" s="320"/>
      <c r="I558" s="320"/>
      <c r="J558" s="320"/>
      <c r="K558" s="320"/>
      <c r="L558" s="320"/>
      <c r="M558" s="320"/>
      <c r="N558" s="320"/>
      <c r="O558" s="320"/>
      <c r="P558" s="320"/>
      <c r="Q558" s="320"/>
      <c r="R558" s="320"/>
      <c r="S558" s="320"/>
      <c r="T558" s="320"/>
      <c r="U558" s="320"/>
      <c r="V558" s="320"/>
      <c r="W558" s="320"/>
      <c r="X558" s="320"/>
      <c r="Y558" s="320"/>
      <c r="Z558" s="320"/>
    </row>
    <row r="559">
      <c r="A559" s="320"/>
      <c r="B559" s="320"/>
      <c r="C559" s="320"/>
      <c r="D559" s="320"/>
      <c r="E559" s="320"/>
      <c r="F559" s="320"/>
      <c r="G559" s="320"/>
      <c r="H559" s="320"/>
      <c r="I559" s="320"/>
      <c r="J559" s="320"/>
      <c r="K559" s="320"/>
      <c r="L559" s="320"/>
      <c r="M559" s="320"/>
      <c r="N559" s="320"/>
      <c r="O559" s="320"/>
      <c r="P559" s="320"/>
      <c r="Q559" s="320"/>
      <c r="R559" s="320"/>
      <c r="S559" s="320"/>
      <c r="T559" s="320"/>
      <c r="U559" s="320"/>
      <c r="V559" s="320"/>
      <c r="W559" s="320"/>
      <c r="X559" s="320"/>
      <c r="Y559" s="320"/>
      <c r="Z559" s="320"/>
    </row>
    <row r="560">
      <c r="A560" s="320"/>
      <c r="B560" s="320"/>
      <c r="C560" s="320"/>
      <c r="D560" s="320"/>
      <c r="E560" s="320"/>
      <c r="F560" s="320"/>
      <c r="G560" s="320"/>
      <c r="H560" s="320"/>
      <c r="I560" s="320"/>
      <c r="J560" s="320"/>
      <c r="K560" s="320"/>
      <c r="L560" s="320"/>
      <c r="M560" s="320"/>
      <c r="N560" s="320"/>
      <c r="O560" s="320"/>
      <c r="P560" s="320"/>
      <c r="Q560" s="320"/>
      <c r="R560" s="320"/>
      <c r="S560" s="320"/>
      <c r="T560" s="320"/>
      <c r="U560" s="320"/>
      <c r="V560" s="320"/>
      <c r="W560" s="320"/>
      <c r="X560" s="320"/>
      <c r="Y560" s="320"/>
      <c r="Z560" s="320"/>
    </row>
    <row r="561">
      <c r="A561" s="320"/>
      <c r="B561" s="320"/>
      <c r="C561" s="320"/>
      <c r="D561" s="320"/>
      <c r="E561" s="320"/>
      <c r="F561" s="320"/>
      <c r="G561" s="320"/>
      <c r="H561" s="320"/>
      <c r="I561" s="320"/>
      <c r="J561" s="320"/>
      <c r="K561" s="320"/>
      <c r="L561" s="320"/>
      <c r="M561" s="320"/>
      <c r="N561" s="320"/>
      <c r="O561" s="320"/>
      <c r="P561" s="320"/>
      <c r="Q561" s="320"/>
      <c r="R561" s="320"/>
      <c r="S561" s="320"/>
      <c r="T561" s="320"/>
      <c r="U561" s="320"/>
      <c r="V561" s="320"/>
      <c r="W561" s="320"/>
      <c r="X561" s="320"/>
      <c r="Y561" s="320"/>
      <c r="Z561" s="320"/>
    </row>
    <row r="562">
      <c r="A562" s="320"/>
      <c r="B562" s="320"/>
      <c r="C562" s="320"/>
      <c r="D562" s="320"/>
      <c r="E562" s="320"/>
      <c r="F562" s="320"/>
      <c r="G562" s="320"/>
      <c r="H562" s="320"/>
      <c r="I562" s="320"/>
      <c r="J562" s="320"/>
      <c r="K562" s="320"/>
      <c r="L562" s="320"/>
      <c r="M562" s="320"/>
      <c r="N562" s="320"/>
      <c r="O562" s="320"/>
      <c r="P562" s="320"/>
      <c r="Q562" s="320"/>
      <c r="R562" s="320"/>
      <c r="S562" s="320"/>
      <c r="T562" s="320"/>
      <c r="U562" s="320"/>
      <c r="V562" s="320"/>
      <c r="W562" s="320"/>
      <c r="X562" s="320"/>
      <c r="Y562" s="320"/>
      <c r="Z562" s="320"/>
    </row>
    <row r="563">
      <c r="A563" s="320"/>
      <c r="B563" s="320"/>
      <c r="C563" s="320"/>
      <c r="D563" s="320"/>
      <c r="E563" s="320"/>
      <c r="F563" s="320"/>
      <c r="G563" s="320"/>
      <c r="H563" s="320"/>
      <c r="I563" s="320"/>
      <c r="J563" s="320"/>
      <c r="K563" s="320"/>
      <c r="L563" s="320"/>
      <c r="M563" s="320"/>
      <c r="N563" s="320"/>
      <c r="O563" s="320"/>
      <c r="P563" s="320"/>
      <c r="Q563" s="320"/>
      <c r="R563" s="320"/>
      <c r="S563" s="320"/>
      <c r="T563" s="320"/>
      <c r="U563" s="320"/>
      <c r="V563" s="320"/>
      <c r="W563" s="320"/>
      <c r="X563" s="320"/>
      <c r="Y563" s="320"/>
      <c r="Z563" s="320"/>
    </row>
    <row r="564">
      <c r="A564" s="320"/>
      <c r="B564" s="320"/>
      <c r="C564" s="320"/>
      <c r="D564" s="320"/>
      <c r="E564" s="320"/>
      <c r="F564" s="320"/>
      <c r="G564" s="320"/>
      <c r="H564" s="320"/>
      <c r="I564" s="320"/>
      <c r="J564" s="320"/>
      <c r="K564" s="320"/>
      <c r="L564" s="320"/>
      <c r="M564" s="320"/>
      <c r="N564" s="320"/>
      <c r="O564" s="320"/>
      <c r="P564" s="320"/>
      <c r="Q564" s="320"/>
      <c r="R564" s="320"/>
      <c r="S564" s="320"/>
      <c r="T564" s="320"/>
      <c r="U564" s="320"/>
      <c r="V564" s="320"/>
      <c r="W564" s="320"/>
      <c r="X564" s="320"/>
      <c r="Y564" s="320"/>
      <c r="Z564" s="320"/>
    </row>
    <row r="565">
      <c r="A565" s="320"/>
      <c r="B565" s="320"/>
      <c r="C565" s="320"/>
      <c r="D565" s="320"/>
      <c r="E565" s="320"/>
      <c r="F565" s="320"/>
      <c r="G565" s="320"/>
      <c r="H565" s="320"/>
      <c r="I565" s="320"/>
      <c r="J565" s="320"/>
      <c r="K565" s="320"/>
      <c r="L565" s="320"/>
      <c r="M565" s="320"/>
      <c r="N565" s="320"/>
      <c r="O565" s="320"/>
      <c r="P565" s="320"/>
      <c r="Q565" s="320"/>
      <c r="R565" s="320"/>
      <c r="S565" s="320"/>
      <c r="T565" s="320"/>
      <c r="U565" s="320"/>
      <c r="V565" s="320"/>
      <c r="W565" s="320"/>
      <c r="X565" s="320"/>
      <c r="Y565" s="320"/>
      <c r="Z565" s="320"/>
    </row>
    <row r="566">
      <c r="A566" s="320"/>
      <c r="B566" s="320"/>
      <c r="C566" s="320"/>
      <c r="D566" s="320"/>
      <c r="E566" s="320"/>
      <c r="F566" s="320"/>
      <c r="G566" s="320"/>
      <c r="H566" s="320"/>
      <c r="I566" s="320"/>
      <c r="J566" s="320"/>
      <c r="K566" s="320"/>
      <c r="L566" s="320"/>
      <c r="M566" s="320"/>
      <c r="N566" s="320"/>
      <c r="O566" s="320"/>
      <c r="P566" s="320"/>
      <c r="Q566" s="320"/>
      <c r="R566" s="320"/>
      <c r="S566" s="320"/>
      <c r="T566" s="320"/>
      <c r="U566" s="320"/>
      <c r="V566" s="320"/>
      <c r="W566" s="320"/>
      <c r="X566" s="320"/>
      <c r="Y566" s="320"/>
      <c r="Z566" s="320"/>
    </row>
    <row r="567">
      <c r="A567" s="320"/>
      <c r="B567" s="320"/>
      <c r="C567" s="320"/>
      <c r="D567" s="320"/>
      <c r="E567" s="320"/>
      <c r="F567" s="320"/>
      <c r="G567" s="320"/>
      <c r="H567" s="320"/>
      <c r="I567" s="320"/>
      <c r="J567" s="320"/>
      <c r="K567" s="320"/>
      <c r="L567" s="320"/>
      <c r="M567" s="320"/>
      <c r="N567" s="320"/>
      <c r="O567" s="320"/>
      <c r="P567" s="320"/>
      <c r="Q567" s="320"/>
      <c r="R567" s="320"/>
      <c r="S567" s="320"/>
      <c r="T567" s="320"/>
      <c r="U567" s="320"/>
      <c r="V567" s="320"/>
      <c r="W567" s="320"/>
      <c r="X567" s="320"/>
      <c r="Y567" s="320"/>
      <c r="Z567" s="320"/>
    </row>
    <row r="568">
      <c r="A568" s="320"/>
      <c r="B568" s="320"/>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320"/>
      <c r="Z568" s="320"/>
    </row>
    <row r="569">
      <c r="A569" s="320"/>
      <c r="B569" s="320"/>
      <c r="C569" s="320"/>
      <c r="D569" s="320"/>
      <c r="E569" s="320"/>
      <c r="F569" s="320"/>
      <c r="G569" s="320"/>
      <c r="H569" s="320"/>
      <c r="I569" s="320"/>
      <c r="J569" s="320"/>
      <c r="K569" s="320"/>
      <c r="L569" s="320"/>
      <c r="M569" s="320"/>
      <c r="N569" s="320"/>
      <c r="O569" s="320"/>
      <c r="P569" s="320"/>
      <c r="Q569" s="320"/>
      <c r="R569" s="320"/>
      <c r="S569" s="320"/>
      <c r="T569" s="320"/>
      <c r="U569" s="320"/>
      <c r="V569" s="320"/>
      <c r="W569" s="320"/>
      <c r="X569" s="320"/>
      <c r="Y569" s="320"/>
      <c r="Z569" s="320"/>
    </row>
    <row r="570">
      <c r="A570" s="320"/>
      <c r="B570" s="320"/>
      <c r="C570" s="320"/>
      <c r="D570" s="320"/>
      <c r="E570" s="320"/>
      <c r="F570" s="320"/>
      <c r="G570" s="320"/>
      <c r="H570" s="320"/>
      <c r="I570" s="320"/>
      <c r="J570" s="320"/>
      <c r="K570" s="320"/>
      <c r="L570" s="320"/>
      <c r="M570" s="320"/>
      <c r="N570" s="320"/>
      <c r="O570" s="320"/>
      <c r="P570" s="320"/>
      <c r="Q570" s="320"/>
      <c r="R570" s="320"/>
      <c r="S570" s="320"/>
      <c r="T570" s="320"/>
      <c r="U570" s="320"/>
      <c r="V570" s="320"/>
      <c r="W570" s="320"/>
      <c r="X570" s="320"/>
      <c r="Y570" s="320"/>
      <c r="Z570" s="320"/>
    </row>
    <row r="571">
      <c r="A571" s="320"/>
      <c r="B571" s="320"/>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320"/>
      <c r="Z571" s="320"/>
    </row>
    <row r="572">
      <c r="A572" s="320"/>
      <c r="B572" s="320"/>
      <c r="C572" s="320"/>
      <c r="D572" s="320"/>
      <c r="E572" s="320"/>
      <c r="F572" s="320"/>
      <c r="G572" s="320"/>
      <c r="H572" s="320"/>
      <c r="I572" s="320"/>
      <c r="J572" s="320"/>
      <c r="K572" s="320"/>
      <c r="L572" s="320"/>
      <c r="M572" s="320"/>
      <c r="N572" s="320"/>
      <c r="O572" s="320"/>
      <c r="P572" s="320"/>
      <c r="Q572" s="320"/>
      <c r="R572" s="320"/>
      <c r="S572" s="320"/>
      <c r="T572" s="320"/>
      <c r="U572" s="320"/>
      <c r="V572" s="320"/>
      <c r="W572" s="320"/>
      <c r="X572" s="320"/>
      <c r="Y572" s="320"/>
      <c r="Z572" s="320"/>
    </row>
    <row r="573">
      <c r="A573" s="320"/>
      <c r="B573" s="320"/>
      <c r="C573" s="320"/>
      <c r="D573" s="320"/>
      <c r="E573" s="320"/>
      <c r="F573" s="320"/>
      <c r="G573" s="320"/>
      <c r="H573" s="320"/>
      <c r="I573" s="320"/>
      <c r="J573" s="320"/>
      <c r="K573" s="320"/>
      <c r="L573" s="320"/>
      <c r="M573" s="320"/>
      <c r="N573" s="320"/>
      <c r="O573" s="320"/>
      <c r="P573" s="320"/>
      <c r="Q573" s="320"/>
      <c r="R573" s="320"/>
      <c r="S573" s="320"/>
      <c r="T573" s="320"/>
      <c r="U573" s="320"/>
      <c r="V573" s="320"/>
      <c r="W573" s="320"/>
      <c r="X573" s="320"/>
      <c r="Y573" s="320"/>
      <c r="Z573" s="320"/>
    </row>
    <row r="574">
      <c r="A574" s="320"/>
      <c r="B574" s="320"/>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320"/>
      <c r="Z574" s="320"/>
    </row>
    <row r="575">
      <c r="A575" s="320"/>
      <c r="B575" s="320"/>
      <c r="C575" s="320"/>
      <c r="D575" s="320"/>
      <c r="E575" s="320"/>
      <c r="F575" s="320"/>
      <c r="G575" s="320"/>
      <c r="H575" s="320"/>
      <c r="I575" s="320"/>
      <c r="J575" s="320"/>
      <c r="K575" s="320"/>
      <c r="L575" s="320"/>
      <c r="M575" s="320"/>
      <c r="N575" s="320"/>
      <c r="O575" s="320"/>
      <c r="P575" s="320"/>
      <c r="Q575" s="320"/>
      <c r="R575" s="320"/>
      <c r="S575" s="320"/>
      <c r="T575" s="320"/>
      <c r="U575" s="320"/>
      <c r="V575" s="320"/>
      <c r="W575" s="320"/>
      <c r="X575" s="320"/>
      <c r="Y575" s="320"/>
      <c r="Z575" s="320"/>
    </row>
    <row r="576">
      <c r="A576" s="320"/>
      <c r="B576" s="320"/>
      <c r="C576" s="320"/>
      <c r="D576" s="320"/>
      <c r="E576" s="320"/>
      <c r="F576" s="320"/>
      <c r="G576" s="320"/>
      <c r="H576" s="320"/>
      <c r="I576" s="320"/>
      <c r="J576" s="320"/>
      <c r="K576" s="320"/>
      <c r="L576" s="320"/>
      <c r="M576" s="320"/>
      <c r="N576" s="320"/>
      <c r="O576" s="320"/>
      <c r="P576" s="320"/>
      <c r="Q576" s="320"/>
      <c r="R576" s="320"/>
      <c r="S576" s="320"/>
      <c r="T576" s="320"/>
      <c r="U576" s="320"/>
      <c r="V576" s="320"/>
      <c r="W576" s="320"/>
      <c r="X576" s="320"/>
      <c r="Y576" s="320"/>
      <c r="Z576" s="320"/>
    </row>
    <row r="577">
      <c r="A577" s="320"/>
      <c r="B577" s="320"/>
      <c r="C577" s="320"/>
      <c r="D577" s="320"/>
      <c r="E577" s="320"/>
      <c r="F577" s="320"/>
      <c r="G577" s="320"/>
      <c r="H577" s="320"/>
      <c r="I577" s="320"/>
      <c r="J577" s="320"/>
      <c r="K577" s="320"/>
      <c r="L577" s="320"/>
      <c r="M577" s="320"/>
      <c r="N577" s="320"/>
      <c r="O577" s="320"/>
      <c r="P577" s="320"/>
      <c r="Q577" s="320"/>
      <c r="R577" s="320"/>
      <c r="S577" s="320"/>
      <c r="T577" s="320"/>
      <c r="U577" s="320"/>
      <c r="V577" s="320"/>
      <c r="W577" s="320"/>
      <c r="X577" s="320"/>
      <c r="Y577" s="320"/>
      <c r="Z577" s="320"/>
    </row>
    <row r="578">
      <c r="A578" s="320"/>
      <c r="B578" s="320"/>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320"/>
      <c r="Z578" s="320"/>
    </row>
    <row r="579">
      <c r="A579" s="320"/>
      <c r="B579" s="320"/>
      <c r="C579" s="320"/>
      <c r="D579" s="320"/>
      <c r="E579" s="320"/>
      <c r="F579" s="320"/>
      <c r="G579" s="320"/>
      <c r="H579" s="320"/>
      <c r="I579" s="320"/>
      <c r="J579" s="320"/>
      <c r="K579" s="320"/>
      <c r="L579" s="320"/>
      <c r="M579" s="320"/>
      <c r="N579" s="320"/>
      <c r="O579" s="320"/>
      <c r="P579" s="320"/>
      <c r="Q579" s="320"/>
      <c r="R579" s="320"/>
      <c r="S579" s="320"/>
      <c r="T579" s="320"/>
      <c r="U579" s="320"/>
      <c r="V579" s="320"/>
      <c r="W579" s="320"/>
      <c r="X579" s="320"/>
      <c r="Y579" s="320"/>
      <c r="Z579" s="320"/>
    </row>
    <row r="580">
      <c r="A580" s="320"/>
      <c r="B580" s="320"/>
      <c r="C580" s="320"/>
      <c r="D580" s="320"/>
      <c r="E580" s="320"/>
      <c r="F580" s="320"/>
      <c r="G580" s="320"/>
      <c r="H580" s="320"/>
      <c r="I580" s="320"/>
      <c r="J580" s="320"/>
      <c r="K580" s="320"/>
      <c r="L580" s="320"/>
      <c r="M580" s="320"/>
      <c r="N580" s="320"/>
      <c r="O580" s="320"/>
      <c r="P580" s="320"/>
      <c r="Q580" s="320"/>
      <c r="R580" s="320"/>
      <c r="S580" s="320"/>
      <c r="T580" s="320"/>
      <c r="U580" s="320"/>
      <c r="V580" s="320"/>
      <c r="W580" s="320"/>
      <c r="X580" s="320"/>
      <c r="Y580" s="320"/>
      <c r="Z580" s="320"/>
    </row>
    <row r="581">
      <c r="A581" s="320"/>
      <c r="B581" s="320"/>
      <c r="C581" s="320"/>
      <c r="D581" s="320"/>
      <c r="E581" s="320"/>
      <c r="F581" s="320"/>
      <c r="G581" s="320"/>
      <c r="H581" s="320"/>
      <c r="I581" s="320"/>
      <c r="J581" s="320"/>
      <c r="K581" s="320"/>
      <c r="L581" s="320"/>
      <c r="M581" s="320"/>
      <c r="N581" s="320"/>
      <c r="O581" s="320"/>
      <c r="P581" s="320"/>
      <c r="Q581" s="320"/>
      <c r="R581" s="320"/>
      <c r="S581" s="320"/>
      <c r="T581" s="320"/>
      <c r="U581" s="320"/>
      <c r="V581" s="320"/>
      <c r="W581" s="320"/>
      <c r="X581" s="320"/>
      <c r="Y581" s="320"/>
      <c r="Z581" s="320"/>
    </row>
    <row r="582">
      <c r="A582" s="320"/>
      <c r="B582" s="320"/>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320"/>
      <c r="Z582" s="320"/>
    </row>
    <row r="583">
      <c r="A583" s="320"/>
      <c r="B583" s="320"/>
      <c r="C583" s="320"/>
      <c r="D583" s="320"/>
      <c r="E583" s="320"/>
      <c r="F583" s="320"/>
      <c r="G583" s="320"/>
      <c r="H583" s="320"/>
      <c r="I583" s="320"/>
      <c r="J583" s="320"/>
      <c r="K583" s="320"/>
      <c r="L583" s="320"/>
      <c r="M583" s="320"/>
      <c r="N583" s="320"/>
      <c r="O583" s="320"/>
      <c r="P583" s="320"/>
      <c r="Q583" s="320"/>
      <c r="R583" s="320"/>
      <c r="S583" s="320"/>
      <c r="T583" s="320"/>
      <c r="U583" s="320"/>
      <c r="V583" s="320"/>
      <c r="W583" s="320"/>
      <c r="X583" s="320"/>
      <c r="Y583" s="320"/>
      <c r="Z583" s="320"/>
    </row>
    <row r="584">
      <c r="A584" s="320"/>
      <c r="B584" s="320"/>
      <c r="C584" s="320"/>
      <c r="D584" s="320"/>
      <c r="E584" s="320"/>
      <c r="F584" s="320"/>
      <c r="G584" s="320"/>
      <c r="H584" s="320"/>
      <c r="I584" s="320"/>
      <c r="J584" s="320"/>
      <c r="K584" s="320"/>
      <c r="L584" s="320"/>
      <c r="M584" s="320"/>
      <c r="N584" s="320"/>
      <c r="O584" s="320"/>
      <c r="P584" s="320"/>
      <c r="Q584" s="320"/>
      <c r="R584" s="320"/>
      <c r="S584" s="320"/>
      <c r="T584" s="320"/>
      <c r="U584" s="320"/>
      <c r="V584" s="320"/>
      <c r="W584" s="320"/>
      <c r="X584" s="320"/>
      <c r="Y584" s="320"/>
      <c r="Z584" s="320"/>
    </row>
    <row r="585">
      <c r="A585" s="320"/>
      <c r="B585" s="320"/>
      <c r="C585" s="320"/>
      <c r="D585" s="320"/>
      <c r="E585" s="320"/>
      <c r="F585" s="320"/>
      <c r="G585" s="320"/>
      <c r="H585" s="320"/>
      <c r="I585" s="320"/>
      <c r="J585" s="320"/>
      <c r="K585" s="320"/>
      <c r="L585" s="320"/>
      <c r="M585" s="320"/>
      <c r="N585" s="320"/>
      <c r="O585" s="320"/>
      <c r="P585" s="320"/>
      <c r="Q585" s="320"/>
      <c r="R585" s="320"/>
      <c r="S585" s="320"/>
      <c r="T585" s="320"/>
      <c r="U585" s="320"/>
      <c r="V585" s="320"/>
      <c r="W585" s="320"/>
      <c r="X585" s="320"/>
      <c r="Y585" s="320"/>
      <c r="Z585" s="320"/>
    </row>
    <row r="586">
      <c r="A586" s="320"/>
      <c r="B586" s="320"/>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320"/>
      <c r="Z586" s="320"/>
    </row>
    <row r="587">
      <c r="A587" s="320"/>
      <c r="B587" s="320"/>
      <c r="C587" s="320"/>
      <c r="D587" s="320"/>
      <c r="E587" s="320"/>
      <c r="F587" s="320"/>
      <c r="G587" s="320"/>
      <c r="H587" s="320"/>
      <c r="I587" s="320"/>
      <c r="J587" s="320"/>
      <c r="K587" s="320"/>
      <c r="L587" s="320"/>
      <c r="M587" s="320"/>
      <c r="N587" s="320"/>
      <c r="O587" s="320"/>
      <c r="P587" s="320"/>
      <c r="Q587" s="320"/>
      <c r="R587" s="320"/>
      <c r="S587" s="320"/>
      <c r="T587" s="320"/>
      <c r="U587" s="320"/>
      <c r="V587" s="320"/>
      <c r="W587" s="320"/>
      <c r="X587" s="320"/>
      <c r="Y587" s="320"/>
      <c r="Z587" s="320"/>
    </row>
    <row r="588">
      <c r="A588" s="320"/>
      <c r="B588" s="320"/>
      <c r="C588" s="320"/>
      <c r="D588" s="320"/>
      <c r="E588" s="320"/>
      <c r="F588" s="320"/>
      <c r="G588" s="320"/>
      <c r="H588" s="320"/>
      <c r="I588" s="320"/>
      <c r="J588" s="320"/>
      <c r="K588" s="320"/>
      <c r="L588" s="320"/>
      <c r="M588" s="320"/>
      <c r="N588" s="320"/>
      <c r="O588" s="320"/>
      <c r="P588" s="320"/>
      <c r="Q588" s="320"/>
      <c r="R588" s="320"/>
      <c r="S588" s="320"/>
      <c r="T588" s="320"/>
      <c r="U588" s="320"/>
      <c r="V588" s="320"/>
      <c r="W588" s="320"/>
      <c r="X588" s="320"/>
      <c r="Y588" s="320"/>
      <c r="Z588" s="320"/>
    </row>
    <row r="589">
      <c r="A589" s="320"/>
      <c r="B589" s="320"/>
      <c r="C589" s="320"/>
      <c r="D589" s="320"/>
      <c r="E589" s="320"/>
      <c r="F589" s="320"/>
      <c r="G589" s="320"/>
      <c r="H589" s="320"/>
      <c r="I589" s="320"/>
      <c r="J589" s="320"/>
      <c r="K589" s="320"/>
      <c r="L589" s="320"/>
      <c r="M589" s="320"/>
      <c r="N589" s="320"/>
      <c r="O589" s="320"/>
      <c r="P589" s="320"/>
      <c r="Q589" s="320"/>
      <c r="R589" s="320"/>
      <c r="S589" s="320"/>
      <c r="T589" s="320"/>
      <c r="U589" s="320"/>
      <c r="V589" s="320"/>
      <c r="W589" s="320"/>
      <c r="X589" s="320"/>
      <c r="Y589" s="320"/>
      <c r="Z589" s="320"/>
    </row>
    <row r="590">
      <c r="A590" s="320"/>
      <c r="B590" s="320"/>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320"/>
      <c r="Z590" s="320"/>
    </row>
    <row r="591">
      <c r="A591" s="320"/>
      <c r="B591" s="320"/>
      <c r="C591" s="320"/>
      <c r="D591" s="320"/>
      <c r="E591" s="320"/>
      <c r="F591" s="320"/>
      <c r="G591" s="320"/>
      <c r="H591" s="320"/>
      <c r="I591" s="320"/>
      <c r="J591" s="320"/>
      <c r="K591" s="320"/>
      <c r="L591" s="320"/>
      <c r="M591" s="320"/>
      <c r="N591" s="320"/>
      <c r="O591" s="320"/>
      <c r="P591" s="320"/>
      <c r="Q591" s="320"/>
      <c r="R591" s="320"/>
      <c r="S591" s="320"/>
      <c r="T591" s="320"/>
      <c r="U591" s="320"/>
      <c r="V591" s="320"/>
      <c r="W591" s="320"/>
      <c r="X591" s="320"/>
      <c r="Y591" s="320"/>
      <c r="Z591" s="320"/>
    </row>
    <row r="592">
      <c r="A592" s="320"/>
      <c r="B592" s="320"/>
      <c r="C592" s="320"/>
      <c r="D592" s="320"/>
      <c r="E592" s="320"/>
      <c r="F592" s="320"/>
      <c r="G592" s="320"/>
      <c r="H592" s="320"/>
      <c r="I592" s="320"/>
      <c r="J592" s="320"/>
      <c r="K592" s="320"/>
      <c r="L592" s="320"/>
      <c r="M592" s="320"/>
      <c r="N592" s="320"/>
      <c r="O592" s="320"/>
      <c r="P592" s="320"/>
      <c r="Q592" s="320"/>
      <c r="R592" s="320"/>
      <c r="S592" s="320"/>
      <c r="T592" s="320"/>
      <c r="U592" s="320"/>
      <c r="V592" s="320"/>
      <c r="W592" s="320"/>
      <c r="X592" s="320"/>
      <c r="Y592" s="320"/>
      <c r="Z592" s="320"/>
    </row>
    <row r="593">
      <c r="A593" s="320"/>
      <c r="B593" s="320"/>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320"/>
      <c r="Z593" s="320"/>
    </row>
    <row r="594">
      <c r="A594" s="320"/>
      <c r="B594" s="320"/>
      <c r="C594" s="320"/>
      <c r="D594" s="320"/>
      <c r="E594" s="320"/>
      <c r="F594" s="320"/>
      <c r="G594" s="320"/>
      <c r="H594" s="320"/>
      <c r="I594" s="320"/>
      <c r="J594" s="320"/>
      <c r="K594" s="320"/>
      <c r="L594" s="320"/>
      <c r="M594" s="320"/>
      <c r="N594" s="320"/>
      <c r="O594" s="320"/>
      <c r="P594" s="320"/>
      <c r="Q594" s="320"/>
      <c r="R594" s="320"/>
      <c r="S594" s="320"/>
      <c r="T594" s="320"/>
      <c r="U594" s="320"/>
      <c r="V594" s="320"/>
      <c r="W594" s="320"/>
      <c r="X594" s="320"/>
      <c r="Y594" s="320"/>
      <c r="Z594" s="320"/>
    </row>
    <row r="595">
      <c r="A595" s="320"/>
      <c r="B595" s="320"/>
      <c r="C595" s="320"/>
      <c r="D595" s="320"/>
      <c r="E595" s="320"/>
      <c r="F595" s="320"/>
      <c r="G595" s="320"/>
      <c r="H595" s="320"/>
      <c r="I595" s="320"/>
      <c r="J595" s="320"/>
      <c r="K595" s="320"/>
      <c r="L595" s="320"/>
      <c r="M595" s="320"/>
      <c r="N595" s="320"/>
      <c r="O595" s="320"/>
      <c r="P595" s="320"/>
      <c r="Q595" s="320"/>
      <c r="R595" s="320"/>
      <c r="S595" s="320"/>
      <c r="T595" s="320"/>
      <c r="U595" s="320"/>
      <c r="V595" s="320"/>
      <c r="W595" s="320"/>
      <c r="X595" s="320"/>
      <c r="Y595" s="320"/>
      <c r="Z595" s="320"/>
    </row>
    <row r="596">
      <c r="A596" s="320"/>
      <c r="B596" s="320"/>
      <c r="C596" s="320"/>
      <c r="D596" s="320"/>
      <c r="E596" s="320"/>
      <c r="F596" s="320"/>
      <c r="G596" s="320"/>
      <c r="H596" s="320"/>
      <c r="I596" s="320"/>
      <c r="J596" s="320"/>
      <c r="K596" s="320"/>
      <c r="L596" s="320"/>
      <c r="M596" s="320"/>
      <c r="N596" s="320"/>
      <c r="O596" s="320"/>
      <c r="P596" s="320"/>
      <c r="Q596" s="320"/>
      <c r="R596" s="320"/>
      <c r="S596" s="320"/>
      <c r="T596" s="320"/>
      <c r="U596" s="320"/>
      <c r="V596" s="320"/>
      <c r="W596" s="320"/>
      <c r="X596" s="320"/>
      <c r="Y596" s="320"/>
      <c r="Z596" s="320"/>
    </row>
    <row r="597">
      <c r="A597" s="320"/>
      <c r="B597" s="320"/>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320"/>
      <c r="Z597" s="320"/>
    </row>
    <row r="598">
      <c r="A598" s="320"/>
      <c r="B598" s="320"/>
      <c r="C598" s="320"/>
      <c r="D598" s="320"/>
      <c r="E598" s="320"/>
      <c r="F598" s="320"/>
      <c r="G598" s="320"/>
      <c r="H598" s="320"/>
      <c r="I598" s="320"/>
      <c r="J598" s="320"/>
      <c r="K598" s="320"/>
      <c r="L598" s="320"/>
      <c r="M598" s="320"/>
      <c r="N598" s="320"/>
      <c r="O598" s="320"/>
      <c r="P598" s="320"/>
      <c r="Q598" s="320"/>
      <c r="R598" s="320"/>
      <c r="S598" s="320"/>
      <c r="T598" s="320"/>
      <c r="U598" s="320"/>
      <c r="V598" s="320"/>
      <c r="W598" s="320"/>
      <c r="X598" s="320"/>
      <c r="Y598" s="320"/>
      <c r="Z598" s="320"/>
    </row>
    <row r="599">
      <c r="A599" s="320"/>
      <c r="B599" s="320"/>
      <c r="C599" s="320"/>
      <c r="D599" s="320"/>
      <c r="E599" s="320"/>
      <c r="F599" s="320"/>
      <c r="G599" s="320"/>
      <c r="H599" s="320"/>
      <c r="I599" s="320"/>
      <c r="J599" s="320"/>
      <c r="K599" s="320"/>
      <c r="L599" s="320"/>
      <c r="M599" s="320"/>
      <c r="N599" s="320"/>
      <c r="O599" s="320"/>
      <c r="P599" s="320"/>
      <c r="Q599" s="320"/>
      <c r="R599" s="320"/>
      <c r="S599" s="320"/>
      <c r="T599" s="320"/>
      <c r="U599" s="320"/>
      <c r="V599" s="320"/>
      <c r="W599" s="320"/>
      <c r="X599" s="320"/>
      <c r="Y599" s="320"/>
      <c r="Z599" s="320"/>
    </row>
    <row r="600">
      <c r="A600" s="320"/>
      <c r="B600" s="320"/>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320"/>
      <c r="Z600" s="320"/>
    </row>
    <row r="601">
      <c r="A601" s="320"/>
      <c r="B601" s="320"/>
      <c r="C601" s="320"/>
      <c r="D601" s="320"/>
      <c r="E601" s="320"/>
      <c r="F601" s="320"/>
      <c r="G601" s="320"/>
      <c r="H601" s="320"/>
      <c r="I601" s="320"/>
      <c r="J601" s="320"/>
      <c r="K601" s="320"/>
      <c r="L601" s="320"/>
      <c r="M601" s="320"/>
      <c r="N601" s="320"/>
      <c r="O601" s="320"/>
      <c r="P601" s="320"/>
      <c r="Q601" s="320"/>
      <c r="R601" s="320"/>
      <c r="S601" s="320"/>
      <c r="T601" s="320"/>
      <c r="U601" s="320"/>
      <c r="V601" s="320"/>
      <c r="W601" s="320"/>
      <c r="X601" s="320"/>
      <c r="Y601" s="320"/>
      <c r="Z601" s="320"/>
    </row>
    <row r="602">
      <c r="A602" s="320"/>
      <c r="B602" s="320"/>
      <c r="C602" s="320"/>
      <c r="D602" s="320"/>
      <c r="E602" s="320"/>
      <c r="F602" s="320"/>
      <c r="G602" s="320"/>
      <c r="H602" s="320"/>
      <c r="I602" s="320"/>
      <c r="J602" s="320"/>
      <c r="K602" s="320"/>
      <c r="L602" s="320"/>
      <c r="M602" s="320"/>
      <c r="N602" s="320"/>
      <c r="O602" s="320"/>
      <c r="P602" s="320"/>
      <c r="Q602" s="320"/>
      <c r="R602" s="320"/>
      <c r="S602" s="320"/>
      <c r="T602" s="320"/>
      <c r="U602" s="320"/>
      <c r="V602" s="320"/>
      <c r="W602" s="320"/>
      <c r="X602" s="320"/>
      <c r="Y602" s="320"/>
      <c r="Z602" s="320"/>
    </row>
    <row r="603">
      <c r="A603" s="320"/>
      <c r="B603" s="320"/>
      <c r="C603" s="320"/>
      <c r="D603" s="320"/>
      <c r="E603" s="320"/>
      <c r="F603" s="320"/>
      <c r="G603" s="320"/>
      <c r="H603" s="320"/>
      <c r="I603" s="320"/>
      <c r="J603" s="320"/>
      <c r="K603" s="320"/>
      <c r="L603" s="320"/>
      <c r="M603" s="320"/>
      <c r="N603" s="320"/>
      <c r="O603" s="320"/>
      <c r="P603" s="320"/>
      <c r="Q603" s="320"/>
      <c r="R603" s="320"/>
      <c r="S603" s="320"/>
      <c r="T603" s="320"/>
      <c r="U603" s="320"/>
      <c r="V603" s="320"/>
      <c r="W603" s="320"/>
      <c r="X603" s="320"/>
      <c r="Y603" s="320"/>
      <c r="Z603" s="320"/>
    </row>
    <row r="604">
      <c r="A604" s="320"/>
      <c r="B604" s="320"/>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320"/>
      <c r="Z604" s="320"/>
    </row>
    <row r="605">
      <c r="A605" s="320"/>
      <c r="B605" s="320"/>
      <c r="C605" s="320"/>
      <c r="D605" s="320"/>
      <c r="E605" s="320"/>
      <c r="F605" s="320"/>
      <c r="G605" s="320"/>
      <c r="H605" s="320"/>
      <c r="I605" s="320"/>
      <c r="J605" s="320"/>
      <c r="K605" s="320"/>
      <c r="L605" s="320"/>
      <c r="M605" s="320"/>
      <c r="N605" s="320"/>
      <c r="O605" s="320"/>
      <c r="P605" s="320"/>
      <c r="Q605" s="320"/>
      <c r="R605" s="320"/>
      <c r="S605" s="320"/>
      <c r="T605" s="320"/>
      <c r="U605" s="320"/>
      <c r="V605" s="320"/>
      <c r="W605" s="320"/>
      <c r="X605" s="320"/>
      <c r="Y605" s="320"/>
      <c r="Z605" s="320"/>
    </row>
    <row r="606">
      <c r="A606" s="320"/>
      <c r="B606" s="320"/>
      <c r="C606" s="320"/>
      <c r="D606" s="320"/>
      <c r="E606" s="320"/>
      <c r="F606" s="320"/>
      <c r="G606" s="320"/>
      <c r="H606" s="320"/>
      <c r="I606" s="320"/>
      <c r="J606" s="320"/>
      <c r="K606" s="320"/>
      <c r="L606" s="320"/>
      <c r="M606" s="320"/>
      <c r="N606" s="320"/>
      <c r="O606" s="320"/>
      <c r="P606" s="320"/>
      <c r="Q606" s="320"/>
      <c r="R606" s="320"/>
      <c r="S606" s="320"/>
      <c r="T606" s="320"/>
      <c r="U606" s="320"/>
      <c r="V606" s="320"/>
      <c r="W606" s="320"/>
      <c r="X606" s="320"/>
      <c r="Y606" s="320"/>
      <c r="Z606" s="320"/>
    </row>
    <row r="607">
      <c r="A607" s="320"/>
      <c r="B607" s="320"/>
      <c r="C607" s="320"/>
      <c r="D607" s="320"/>
      <c r="E607" s="320"/>
      <c r="F607" s="320"/>
      <c r="G607" s="320"/>
      <c r="H607" s="320"/>
      <c r="I607" s="320"/>
      <c r="J607" s="320"/>
      <c r="K607" s="320"/>
      <c r="L607" s="320"/>
      <c r="M607" s="320"/>
      <c r="N607" s="320"/>
      <c r="O607" s="320"/>
      <c r="P607" s="320"/>
      <c r="Q607" s="320"/>
      <c r="R607" s="320"/>
      <c r="S607" s="320"/>
      <c r="T607" s="320"/>
      <c r="U607" s="320"/>
      <c r="V607" s="320"/>
      <c r="W607" s="320"/>
      <c r="X607" s="320"/>
      <c r="Y607" s="320"/>
      <c r="Z607" s="320"/>
    </row>
    <row r="608">
      <c r="A608" s="320"/>
      <c r="B608" s="320"/>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320"/>
      <c r="Z608" s="320"/>
    </row>
    <row r="609">
      <c r="A609" s="320"/>
      <c r="B609" s="320"/>
      <c r="C609" s="320"/>
      <c r="D609" s="320"/>
      <c r="E609" s="320"/>
      <c r="F609" s="320"/>
      <c r="G609" s="320"/>
      <c r="H609" s="320"/>
      <c r="I609" s="320"/>
      <c r="J609" s="320"/>
      <c r="K609" s="320"/>
      <c r="L609" s="320"/>
      <c r="M609" s="320"/>
      <c r="N609" s="320"/>
      <c r="O609" s="320"/>
      <c r="P609" s="320"/>
      <c r="Q609" s="320"/>
      <c r="R609" s="320"/>
      <c r="S609" s="320"/>
      <c r="T609" s="320"/>
      <c r="U609" s="320"/>
      <c r="V609" s="320"/>
      <c r="W609" s="320"/>
      <c r="X609" s="320"/>
      <c r="Y609" s="320"/>
      <c r="Z609" s="320"/>
    </row>
    <row r="610">
      <c r="A610" s="320"/>
      <c r="B610" s="320"/>
      <c r="C610" s="320"/>
      <c r="D610" s="320"/>
      <c r="E610" s="320"/>
      <c r="F610" s="320"/>
      <c r="G610" s="320"/>
      <c r="H610" s="320"/>
      <c r="I610" s="320"/>
      <c r="J610" s="320"/>
      <c r="K610" s="320"/>
      <c r="L610" s="320"/>
      <c r="M610" s="320"/>
      <c r="N610" s="320"/>
      <c r="O610" s="320"/>
      <c r="P610" s="320"/>
      <c r="Q610" s="320"/>
      <c r="R610" s="320"/>
      <c r="S610" s="320"/>
      <c r="T610" s="320"/>
      <c r="U610" s="320"/>
      <c r="V610" s="320"/>
      <c r="W610" s="320"/>
      <c r="X610" s="320"/>
      <c r="Y610" s="320"/>
      <c r="Z610" s="320"/>
    </row>
    <row r="611">
      <c r="A611" s="320"/>
      <c r="B611" s="320"/>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320"/>
      <c r="Z611" s="320"/>
    </row>
    <row r="612">
      <c r="A612" s="320"/>
      <c r="B612" s="320"/>
      <c r="C612" s="320"/>
      <c r="D612" s="320"/>
      <c r="E612" s="320"/>
      <c r="F612" s="320"/>
      <c r="G612" s="320"/>
      <c r="H612" s="320"/>
      <c r="I612" s="320"/>
      <c r="J612" s="320"/>
      <c r="K612" s="320"/>
      <c r="L612" s="320"/>
      <c r="M612" s="320"/>
      <c r="N612" s="320"/>
      <c r="O612" s="320"/>
      <c r="P612" s="320"/>
      <c r="Q612" s="320"/>
      <c r="R612" s="320"/>
      <c r="S612" s="320"/>
      <c r="T612" s="320"/>
      <c r="U612" s="320"/>
      <c r="V612" s="320"/>
      <c r="W612" s="320"/>
      <c r="X612" s="320"/>
      <c r="Y612" s="320"/>
      <c r="Z612" s="320"/>
    </row>
    <row r="613">
      <c r="A613" s="320"/>
      <c r="B613" s="320"/>
      <c r="C613" s="320"/>
      <c r="D613" s="320"/>
      <c r="E613" s="320"/>
      <c r="F613" s="320"/>
      <c r="G613" s="320"/>
      <c r="H613" s="320"/>
      <c r="I613" s="320"/>
      <c r="J613" s="320"/>
      <c r="K613" s="320"/>
      <c r="L613" s="320"/>
      <c r="M613" s="320"/>
      <c r="N613" s="320"/>
      <c r="O613" s="320"/>
      <c r="P613" s="320"/>
      <c r="Q613" s="320"/>
      <c r="R613" s="320"/>
      <c r="S613" s="320"/>
      <c r="T613" s="320"/>
      <c r="U613" s="320"/>
      <c r="V613" s="320"/>
      <c r="W613" s="320"/>
      <c r="X613" s="320"/>
      <c r="Y613" s="320"/>
      <c r="Z613" s="320"/>
    </row>
    <row r="614">
      <c r="A614" s="320"/>
      <c r="B614" s="320"/>
      <c r="C614" s="320"/>
      <c r="D614" s="320"/>
      <c r="E614" s="320"/>
      <c r="F614" s="320"/>
      <c r="G614" s="320"/>
      <c r="H614" s="320"/>
      <c r="I614" s="320"/>
      <c r="J614" s="320"/>
      <c r="K614" s="320"/>
      <c r="L614" s="320"/>
      <c r="M614" s="320"/>
      <c r="N614" s="320"/>
      <c r="O614" s="320"/>
      <c r="P614" s="320"/>
      <c r="Q614" s="320"/>
      <c r="R614" s="320"/>
      <c r="S614" s="320"/>
      <c r="T614" s="320"/>
      <c r="U614" s="320"/>
      <c r="V614" s="320"/>
      <c r="W614" s="320"/>
      <c r="X614" s="320"/>
      <c r="Y614" s="320"/>
      <c r="Z614" s="320"/>
    </row>
    <row r="615">
      <c r="A615" s="320"/>
      <c r="B615" s="320"/>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320"/>
      <c r="Z615" s="320"/>
    </row>
    <row r="616">
      <c r="A616" s="320"/>
      <c r="B616" s="320"/>
      <c r="C616" s="320"/>
      <c r="D616" s="320"/>
      <c r="E616" s="320"/>
      <c r="F616" s="320"/>
      <c r="G616" s="320"/>
      <c r="H616" s="320"/>
      <c r="I616" s="320"/>
      <c r="J616" s="320"/>
      <c r="K616" s="320"/>
      <c r="L616" s="320"/>
      <c r="M616" s="320"/>
      <c r="N616" s="320"/>
      <c r="O616" s="320"/>
      <c r="P616" s="320"/>
      <c r="Q616" s="320"/>
      <c r="R616" s="320"/>
      <c r="S616" s="320"/>
      <c r="T616" s="320"/>
      <c r="U616" s="320"/>
      <c r="V616" s="320"/>
      <c r="W616" s="320"/>
      <c r="X616" s="320"/>
      <c r="Y616" s="320"/>
      <c r="Z616" s="320"/>
    </row>
    <row r="617">
      <c r="A617" s="320"/>
      <c r="B617" s="320"/>
      <c r="C617" s="320"/>
      <c r="D617" s="320"/>
      <c r="E617" s="320"/>
      <c r="F617" s="320"/>
      <c r="G617" s="320"/>
      <c r="H617" s="320"/>
      <c r="I617" s="320"/>
      <c r="J617" s="320"/>
      <c r="K617" s="320"/>
      <c r="L617" s="320"/>
      <c r="M617" s="320"/>
      <c r="N617" s="320"/>
      <c r="O617" s="320"/>
      <c r="P617" s="320"/>
      <c r="Q617" s="320"/>
      <c r="R617" s="320"/>
      <c r="S617" s="320"/>
      <c r="T617" s="320"/>
      <c r="U617" s="320"/>
      <c r="V617" s="320"/>
      <c r="W617" s="320"/>
      <c r="X617" s="320"/>
      <c r="Y617" s="320"/>
      <c r="Z617" s="320"/>
    </row>
    <row r="618">
      <c r="A618" s="320"/>
      <c r="B618" s="320"/>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320"/>
      <c r="Z618" s="320"/>
    </row>
    <row r="619">
      <c r="A619" s="320"/>
      <c r="B619" s="320"/>
      <c r="C619" s="320"/>
      <c r="D619" s="320"/>
      <c r="E619" s="320"/>
      <c r="F619" s="320"/>
      <c r="G619" s="320"/>
      <c r="H619" s="320"/>
      <c r="I619" s="320"/>
      <c r="J619" s="320"/>
      <c r="K619" s="320"/>
      <c r="L619" s="320"/>
      <c r="M619" s="320"/>
      <c r="N619" s="320"/>
      <c r="O619" s="320"/>
      <c r="P619" s="320"/>
      <c r="Q619" s="320"/>
      <c r="R619" s="320"/>
      <c r="S619" s="320"/>
      <c r="T619" s="320"/>
      <c r="U619" s="320"/>
      <c r="V619" s="320"/>
      <c r="W619" s="320"/>
      <c r="X619" s="320"/>
      <c r="Y619" s="320"/>
      <c r="Z619" s="320"/>
    </row>
    <row r="620">
      <c r="A620" s="320"/>
      <c r="B620" s="320"/>
      <c r="C620" s="320"/>
      <c r="D620" s="320"/>
      <c r="E620" s="320"/>
      <c r="F620" s="320"/>
      <c r="G620" s="320"/>
      <c r="H620" s="320"/>
      <c r="I620" s="320"/>
      <c r="J620" s="320"/>
      <c r="K620" s="320"/>
      <c r="L620" s="320"/>
      <c r="M620" s="320"/>
      <c r="N620" s="320"/>
      <c r="O620" s="320"/>
      <c r="P620" s="320"/>
      <c r="Q620" s="320"/>
      <c r="R620" s="320"/>
      <c r="S620" s="320"/>
      <c r="T620" s="320"/>
      <c r="U620" s="320"/>
      <c r="V620" s="320"/>
      <c r="W620" s="320"/>
      <c r="X620" s="320"/>
      <c r="Y620" s="320"/>
      <c r="Z620" s="320"/>
    </row>
    <row r="621">
      <c r="A621" s="320"/>
      <c r="B621" s="320"/>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320"/>
      <c r="Z621" s="320"/>
    </row>
    <row r="622">
      <c r="A622" s="320"/>
      <c r="B622" s="320"/>
      <c r="C622" s="320"/>
      <c r="D622" s="320"/>
      <c r="E622" s="320"/>
      <c r="F622" s="320"/>
      <c r="G622" s="320"/>
      <c r="H622" s="320"/>
      <c r="I622" s="320"/>
      <c r="J622" s="320"/>
      <c r="K622" s="320"/>
      <c r="L622" s="320"/>
      <c r="M622" s="320"/>
      <c r="N622" s="320"/>
      <c r="O622" s="320"/>
      <c r="P622" s="320"/>
      <c r="Q622" s="320"/>
      <c r="R622" s="320"/>
      <c r="S622" s="320"/>
      <c r="T622" s="320"/>
      <c r="U622" s="320"/>
      <c r="V622" s="320"/>
      <c r="W622" s="320"/>
      <c r="X622" s="320"/>
      <c r="Y622" s="320"/>
      <c r="Z622" s="320"/>
    </row>
    <row r="623">
      <c r="A623" s="320"/>
      <c r="B623" s="320"/>
      <c r="C623" s="320"/>
      <c r="D623" s="320"/>
      <c r="E623" s="320"/>
      <c r="F623" s="320"/>
      <c r="G623" s="320"/>
      <c r="H623" s="320"/>
      <c r="I623" s="320"/>
      <c r="J623" s="320"/>
      <c r="K623" s="320"/>
      <c r="L623" s="320"/>
      <c r="M623" s="320"/>
      <c r="N623" s="320"/>
      <c r="O623" s="320"/>
      <c r="P623" s="320"/>
      <c r="Q623" s="320"/>
      <c r="R623" s="320"/>
      <c r="S623" s="320"/>
      <c r="T623" s="320"/>
      <c r="U623" s="320"/>
      <c r="V623" s="320"/>
      <c r="W623" s="320"/>
      <c r="X623" s="320"/>
      <c r="Y623" s="320"/>
      <c r="Z623" s="320"/>
    </row>
    <row r="624">
      <c r="A624" s="320"/>
      <c r="B624" s="320"/>
      <c r="C624" s="320"/>
      <c r="D624" s="320"/>
      <c r="E624" s="320"/>
      <c r="F624" s="320"/>
      <c r="G624" s="320"/>
      <c r="H624" s="320"/>
      <c r="I624" s="320"/>
      <c r="J624" s="320"/>
      <c r="K624" s="320"/>
      <c r="L624" s="320"/>
      <c r="M624" s="320"/>
      <c r="N624" s="320"/>
      <c r="O624" s="320"/>
      <c r="P624" s="320"/>
      <c r="Q624" s="320"/>
      <c r="R624" s="320"/>
      <c r="S624" s="320"/>
      <c r="T624" s="320"/>
      <c r="U624" s="320"/>
      <c r="V624" s="320"/>
      <c r="W624" s="320"/>
      <c r="X624" s="320"/>
      <c r="Y624" s="320"/>
      <c r="Z624" s="320"/>
    </row>
    <row r="625">
      <c r="A625" s="320"/>
      <c r="B625" s="320"/>
      <c r="C625" s="320"/>
      <c r="D625" s="320"/>
      <c r="E625" s="320"/>
      <c r="F625" s="320"/>
      <c r="G625" s="320"/>
      <c r="H625" s="320"/>
      <c r="I625" s="320"/>
      <c r="J625" s="320"/>
      <c r="K625" s="320"/>
      <c r="L625" s="320"/>
      <c r="M625" s="320"/>
      <c r="N625" s="320"/>
      <c r="O625" s="320"/>
      <c r="P625" s="320"/>
      <c r="Q625" s="320"/>
      <c r="R625" s="320"/>
      <c r="S625" s="320"/>
      <c r="T625" s="320"/>
      <c r="U625" s="320"/>
      <c r="V625" s="320"/>
      <c r="W625" s="320"/>
      <c r="X625" s="320"/>
      <c r="Y625" s="320"/>
      <c r="Z625" s="320"/>
    </row>
    <row r="626">
      <c r="A626" s="320"/>
      <c r="B626" s="320"/>
      <c r="C626" s="320"/>
      <c r="D626" s="320"/>
      <c r="E626" s="320"/>
      <c r="F626" s="320"/>
      <c r="G626" s="320"/>
      <c r="H626" s="320"/>
      <c r="I626" s="320"/>
      <c r="J626" s="320"/>
      <c r="K626" s="320"/>
      <c r="L626" s="320"/>
      <c r="M626" s="320"/>
      <c r="N626" s="320"/>
      <c r="O626" s="320"/>
      <c r="P626" s="320"/>
      <c r="Q626" s="320"/>
      <c r="R626" s="320"/>
      <c r="S626" s="320"/>
      <c r="T626" s="320"/>
      <c r="U626" s="320"/>
      <c r="V626" s="320"/>
      <c r="W626" s="320"/>
      <c r="X626" s="320"/>
      <c r="Y626" s="320"/>
      <c r="Z626" s="320"/>
    </row>
    <row r="627">
      <c r="A627" s="320"/>
      <c r="B627" s="320"/>
      <c r="C627" s="320"/>
      <c r="D627" s="320"/>
      <c r="E627" s="320"/>
      <c r="F627" s="320"/>
      <c r="G627" s="320"/>
      <c r="H627" s="320"/>
      <c r="I627" s="320"/>
      <c r="J627" s="320"/>
      <c r="K627" s="320"/>
      <c r="L627" s="320"/>
      <c r="M627" s="320"/>
      <c r="N627" s="320"/>
      <c r="O627" s="320"/>
      <c r="P627" s="320"/>
      <c r="Q627" s="320"/>
      <c r="R627" s="320"/>
      <c r="S627" s="320"/>
      <c r="T627" s="320"/>
      <c r="U627" s="320"/>
      <c r="V627" s="320"/>
      <c r="W627" s="320"/>
      <c r="X627" s="320"/>
      <c r="Y627" s="320"/>
      <c r="Z627" s="320"/>
    </row>
    <row r="628">
      <c r="A628" s="320"/>
      <c r="B628" s="320"/>
      <c r="C628" s="320"/>
      <c r="D628" s="320"/>
      <c r="E628" s="320"/>
      <c r="F628" s="320"/>
      <c r="G628" s="320"/>
      <c r="H628" s="320"/>
      <c r="I628" s="320"/>
      <c r="J628" s="320"/>
      <c r="K628" s="320"/>
      <c r="L628" s="320"/>
      <c r="M628" s="320"/>
      <c r="N628" s="320"/>
      <c r="O628" s="320"/>
      <c r="P628" s="320"/>
      <c r="Q628" s="320"/>
      <c r="R628" s="320"/>
      <c r="S628" s="320"/>
      <c r="T628" s="320"/>
      <c r="U628" s="320"/>
      <c r="V628" s="320"/>
      <c r="W628" s="320"/>
      <c r="X628" s="320"/>
      <c r="Y628" s="320"/>
      <c r="Z628" s="320"/>
    </row>
    <row r="629">
      <c r="A629" s="320"/>
      <c r="B629" s="320"/>
      <c r="C629" s="320"/>
      <c r="D629" s="320"/>
      <c r="E629" s="320"/>
      <c r="F629" s="320"/>
      <c r="G629" s="320"/>
      <c r="H629" s="320"/>
      <c r="I629" s="320"/>
      <c r="J629" s="320"/>
      <c r="K629" s="320"/>
      <c r="L629" s="320"/>
      <c r="M629" s="320"/>
      <c r="N629" s="320"/>
      <c r="O629" s="320"/>
      <c r="P629" s="320"/>
      <c r="Q629" s="320"/>
      <c r="R629" s="320"/>
      <c r="S629" s="320"/>
      <c r="T629" s="320"/>
      <c r="U629" s="320"/>
      <c r="V629" s="320"/>
      <c r="W629" s="320"/>
      <c r="X629" s="320"/>
      <c r="Y629" s="320"/>
      <c r="Z629" s="320"/>
    </row>
    <row r="630">
      <c r="A630" s="320"/>
      <c r="B630" s="320"/>
      <c r="C630" s="320"/>
      <c r="D630" s="320"/>
      <c r="E630" s="320"/>
      <c r="F630" s="320"/>
      <c r="G630" s="320"/>
      <c r="H630" s="320"/>
      <c r="I630" s="320"/>
      <c r="J630" s="320"/>
      <c r="K630" s="320"/>
      <c r="L630" s="320"/>
      <c r="M630" s="320"/>
      <c r="N630" s="320"/>
      <c r="O630" s="320"/>
      <c r="P630" s="320"/>
      <c r="Q630" s="320"/>
      <c r="R630" s="320"/>
      <c r="S630" s="320"/>
      <c r="T630" s="320"/>
      <c r="U630" s="320"/>
      <c r="V630" s="320"/>
      <c r="W630" s="320"/>
      <c r="X630" s="320"/>
      <c r="Y630" s="320"/>
      <c r="Z630" s="320"/>
    </row>
    <row r="631">
      <c r="A631" s="320"/>
      <c r="B631" s="320"/>
      <c r="C631" s="320"/>
      <c r="D631" s="320"/>
      <c r="E631" s="320"/>
      <c r="F631" s="320"/>
      <c r="G631" s="320"/>
      <c r="H631" s="320"/>
      <c r="I631" s="320"/>
      <c r="J631" s="320"/>
      <c r="K631" s="320"/>
      <c r="L631" s="320"/>
      <c r="M631" s="320"/>
      <c r="N631" s="320"/>
      <c r="O631" s="320"/>
      <c r="P631" s="320"/>
      <c r="Q631" s="320"/>
      <c r="R631" s="320"/>
      <c r="S631" s="320"/>
      <c r="T631" s="320"/>
      <c r="U631" s="320"/>
      <c r="V631" s="320"/>
      <c r="W631" s="320"/>
      <c r="X631" s="320"/>
      <c r="Y631" s="320"/>
      <c r="Z631" s="320"/>
    </row>
    <row r="632">
      <c r="A632" s="320"/>
      <c r="B632" s="320"/>
      <c r="C632" s="320"/>
      <c r="D632" s="320"/>
      <c r="E632" s="320"/>
      <c r="F632" s="320"/>
      <c r="G632" s="320"/>
      <c r="H632" s="320"/>
      <c r="I632" s="320"/>
      <c r="J632" s="320"/>
      <c r="K632" s="320"/>
      <c r="L632" s="320"/>
      <c r="M632" s="320"/>
      <c r="N632" s="320"/>
      <c r="O632" s="320"/>
      <c r="P632" s="320"/>
      <c r="Q632" s="320"/>
      <c r="R632" s="320"/>
      <c r="S632" s="320"/>
      <c r="T632" s="320"/>
      <c r="U632" s="320"/>
      <c r="V632" s="320"/>
      <c r="W632" s="320"/>
      <c r="X632" s="320"/>
      <c r="Y632" s="320"/>
      <c r="Z632" s="320"/>
    </row>
    <row r="633">
      <c r="A633" s="320"/>
      <c r="B633" s="320"/>
      <c r="C633" s="320"/>
      <c r="D633" s="320"/>
      <c r="E633" s="320"/>
      <c r="F633" s="320"/>
      <c r="G633" s="320"/>
      <c r="H633" s="320"/>
      <c r="I633" s="320"/>
      <c r="J633" s="320"/>
      <c r="K633" s="320"/>
      <c r="L633" s="320"/>
      <c r="M633" s="320"/>
      <c r="N633" s="320"/>
      <c r="O633" s="320"/>
      <c r="P633" s="320"/>
      <c r="Q633" s="320"/>
      <c r="R633" s="320"/>
      <c r="S633" s="320"/>
      <c r="T633" s="320"/>
      <c r="U633" s="320"/>
      <c r="V633" s="320"/>
      <c r="W633" s="320"/>
      <c r="X633" s="320"/>
      <c r="Y633" s="320"/>
      <c r="Z633" s="320"/>
    </row>
    <row r="634">
      <c r="A634" s="320"/>
      <c r="B634" s="320"/>
      <c r="C634" s="320"/>
      <c r="D634" s="320"/>
      <c r="E634" s="320"/>
      <c r="F634" s="320"/>
      <c r="G634" s="320"/>
      <c r="H634" s="320"/>
      <c r="I634" s="320"/>
      <c r="J634" s="320"/>
      <c r="K634" s="320"/>
      <c r="L634" s="320"/>
      <c r="M634" s="320"/>
      <c r="N634" s="320"/>
      <c r="O634" s="320"/>
      <c r="P634" s="320"/>
      <c r="Q634" s="320"/>
      <c r="R634" s="320"/>
      <c r="S634" s="320"/>
      <c r="T634" s="320"/>
      <c r="U634" s="320"/>
      <c r="V634" s="320"/>
      <c r="W634" s="320"/>
      <c r="X634" s="320"/>
      <c r="Y634" s="320"/>
      <c r="Z634" s="320"/>
    </row>
    <row r="635">
      <c r="A635" s="320"/>
      <c r="B635" s="320"/>
      <c r="C635" s="320"/>
      <c r="D635" s="320"/>
      <c r="E635" s="320"/>
      <c r="F635" s="320"/>
      <c r="G635" s="320"/>
      <c r="H635" s="320"/>
      <c r="I635" s="320"/>
      <c r="J635" s="320"/>
      <c r="K635" s="320"/>
      <c r="L635" s="320"/>
      <c r="M635" s="320"/>
      <c r="N635" s="320"/>
      <c r="O635" s="320"/>
      <c r="P635" s="320"/>
      <c r="Q635" s="320"/>
      <c r="R635" s="320"/>
      <c r="S635" s="320"/>
      <c r="T635" s="320"/>
      <c r="U635" s="320"/>
      <c r="V635" s="320"/>
      <c r="W635" s="320"/>
      <c r="X635" s="320"/>
      <c r="Y635" s="320"/>
      <c r="Z635" s="320"/>
    </row>
    <row r="636">
      <c r="A636" s="320"/>
      <c r="B636" s="320"/>
      <c r="C636" s="320"/>
      <c r="D636" s="320"/>
      <c r="E636" s="320"/>
      <c r="F636" s="320"/>
      <c r="G636" s="320"/>
      <c r="H636" s="320"/>
      <c r="I636" s="320"/>
      <c r="J636" s="320"/>
      <c r="K636" s="320"/>
      <c r="L636" s="320"/>
      <c r="M636" s="320"/>
      <c r="N636" s="320"/>
      <c r="O636" s="320"/>
      <c r="P636" s="320"/>
      <c r="Q636" s="320"/>
      <c r="R636" s="320"/>
      <c r="S636" s="320"/>
      <c r="T636" s="320"/>
      <c r="U636" s="320"/>
      <c r="V636" s="320"/>
      <c r="W636" s="320"/>
      <c r="X636" s="320"/>
      <c r="Y636" s="320"/>
      <c r="Z636" s="320"/>
    </row>
    <row r="637">
      <c r="A637" s="320"/>
      <c r="B637" s="320"/>
      <c r="C637" s="320"/>
      <c r="D637" s="320"/>
      <c r="E637" s="320"/>
      <c r="F637" s="320"/>
      <c r="G637" s="320"/>
      <c r="H637" s="320"/>
      <c r="I637" s="320"/>
      <c r="J637" s="320"/>
      <c r="K637" s="320"/>
      <c r="L637" s="320"/>
      <c r="M637" s="320"/>
      <c r="N637" s="320"/>
      <c r="O637" s="320"/>
      <c r="P637" s="320"/>
      <c r="Q637" s="320"/>
      <c r="R637" s="320"/>
      <c r="S637" s="320"/>
      <c r="T637" s="320"/>
      <c r="U637" s="320"/>
      <c r="V637" s="320"/>
      <c r="W637" s="320"/>
      <c r="X637" s="320"/>
      <c r="Y637" s="320"/>
      <c r="Z637" s="320"/>
    </row>
    <row r="638">
      <c r="A638" s="320"/>
      <c r="B638" s="320"/>
      <c r="C638" s="320"/>
      <c r="D638" s="320"/>
      <c r="E638" s="320"/>
      <c r="F638" s="320"/>
      <c r="G638" s="320"/>
      <c r="H638" s="320"/>
      <c r="I638" s="320"/>
      <c r="J638" s="320"/>
      <c r="K638" s="320"/>
      <c r="L638" s="320"/>
      <c r="M638" s="320"/>
      <c r="N638" s="320"/>
      <c r="O638" s="320"/>
      <c r="P638" s="320"/>
      <c r="Q638" s="320"/>
      <c r="R638" s="320"/>
      <c r="S638" s="320"/>
      <c r="T638" s="320"/>
      <c r="U638" s="320"/>
      <c r="V638" s="320"/>
      <c r="W638" s="320"/>
      <c r="X638" s="320"/>
      <c r="Y638" s="320"/>
      <c r="Z638" s="320"/>
    </row>
    <row r="639">
      <c r="A639" s="320"/>
      <c r="B639" s="320"/>
      <c r="C639" s="320"/>
      <c r="D639" s="320"/>
      <c r="E639" s="320"/>
      <c r="F639" s="320"/>
      <c r="G639" s="320"/>
      <c r="H639" s="320"/>
      <c r="I639" s="320"/>
      <c r="J639" s="320"/>
      <c r="K639" s="320"/>
      <c r="L639" s="320"/>
      <c r="M639" s="320"/>
      <c r="N639" s="320"/>
      <c r="O639" s="320"/>
      <c r="P639" s="320"/>
      <c r="Q639" s="320"/>
      <c r="R639" s="320"/>
      <c r="S639" s="320"/>
      <c r="T639" s="320"/>
      <c r="U639" s="320"/>
      <c r="V639" s="320"/>
      <c r="W639" s="320"/>
      <c r="X639" s="320"/>
      <c r="Y639" s="320"/>
      <c r="Z639" s="320"/>
    </row>
    <row r="640">
      <c r="A640" s="320"/>
      <c r="B640" s="320"/>
      <c r="C640" s="320"/>
      <c r="D640" s="320"/>
      <c r="E640" s="320"/>
      <c r="F640" s="320"/>
      <c r="G640" s="320"/>
      <c r="H640" s="320"/>
      <c r="I640" s="320"/>
      <c r="J640" s="320"/>
      <c r="K640" s="320"/>
      <c r="L640" s="320"/>
      <c r="M640" s="320"/>
      <c r="N640" s="320"/>
      <c r="O640" s="320"/>
      <c r="P640" s="320"/>
      <c r="Q640" s="320"/>
      <c r="R640" s="320"/>
      <c r="S640" s="320"/>
      <c r="T640" s="320"/>
      <c r="U640" s="320"/>
      <c r="V640" s="320"/>
      <c r="W640" s="320"/>
      <c r="X640" s="320"/>
      <c r="Y640" s="320"/>
      <c r="Z640" s="320"/>
    </row>
    <row r="641">
      <c r="A641" s="320"/>
      <c r="B641" s="320"/>
      <c r="C641" s="320"/>
      <c r="D641" s="320"/>
      <c r="E641" s="320"/>
      <c r="F641" s="320"/>
      <c r="G641" s="320"/>
      <c r="H641" s="320"/>
      <c r="I641" s="320"/>
      <c r="J641" s="320"/>
      <c r="K641" s="320"/>
      <c r="L641" s="320"/>
      <c r="M641" s="320"/>
      <c r="N641" s="320"/>
      <c r="O641" s="320"/>
      <c r="P641" s="320"/>
      <c r="Q641" s="320"/>
      <c r="R641" s="320"/>
      <c r="S641" s="320"/>
      <c r="T641" s="320"/>
      <c r="U641" s="320"/>
      <c r="V641" s="320"/>
      <c r="W641" s="320"/>
      <c r="X641" s="320"/>
      <c r="Y641" s="320"/>
      <c r="Z641" s="320"/>
    </row>
    <row r="642">
      <c r="A642" s="320"/>
      <c r="B642" s="320"/>
      <c r="C642" s="320"/>
      <c r="D642" s="320"/>
      <c r="E642" s="320"/>
      <c r="F642" s="320"/>
      <c r="G642" s="320"/>
      <c r="H642" s="320"/>
      <c r="I642" s="320"/>
      <c r="J642" s="320"/>
      <c r="K642" s="320"/>
      <c r="L642" s="320"/>
      <c r="M642" s="320"/>
      <c r="N642" s="320"/>
      <c r="O642" s="320"/>
      <c r="P642" s="320"/>
      <c r="Q642" s="320"/>
      <c r="R642" s="320"/>
      <c r="S642" s="320"/>
      <c r="T642" s="320"/>
      <c r="U642" s="320"/>
      <c r="V642" s="320"/>
      <c r="W642" s="320"/>
      <c r="X642" s="320"/>
      <c r="Y642" s="320"/>
      <c r="Z642" s="320"/>
    </row>
    <row r="643">
      <c r="A643" s="320"/>
      <c r="B643" s="320"/>
      <c r="C643" s="320"/>
      <c r="D643" s="320"/>
      <c r="E643" s="320"/>
      <c r="F643" s="320"/>
      <c r="G643" s="320"/>
      <c r="H643" s="320"/>
      <c r="I643" s="320"/>
      <c r="J643" s="320"/>
      <c r="K643" s="320"/>
      <c r="L643" s="320"/>
      <c r="M643" s="320"/>
      <c r="N643" s="320"/>
      <c r="O643" s="320"/>
      <c r="P643" s="320"/>
      <c r="Q643" s="320"/>
      <c r="R643" s="320"/>
      <c r="S643" s="320"/>
      <c r="T643" s="320"/>
      <c r="U643" s="320"/>
      <c r="V643" s="320"/>
      <c r="W643" s="320"/>
      <c r="X643" s="320"/>
      <c r="Y643" s="320"/>
      <c r="Z643" s="320"/>
    </row>
    <row r="644">
      <c r="A644" s="320"/>
      <c r="B644" s="320"/>
      <c r="C644" s="320"/>
      <c r="D644" s="320"/>
      <c r="E644" s="320"/>
      <c r="F644" s="320"/>
      <c r="G644" s="320"/>
      <c r="H644" s="320"/>
      <c r="I644" s="320"/>
      <c r="J644" s="320"/>
      <c r="K644" s="320"/>
      <c r="L644" s="320"/>
      <c r="M644" s="320"/>
      <c r="N644" s="320"/>
      <c r="O644" s="320"/>
      <c r="P644" s="320"/>
      <c r="Q644" s="320"/>
      <c r="R644" s="320"/>
      <c r="S644" s="320"/>
      <c r="T644" s="320"/>
      <c r="U644" s="320"/>
      <c r="V644" s="320"/>
      <c r="W644" s="320"/>
      <c r="X644" s="320"/>
      <c r="Y644" s="320"/>
      <c r="Z644" s="320"/>
    </row>
    <row r="645">
      <c r="A645" s="320"/>
      <c r="B645" s="320"/>
      <c r="C645" s="320"/>
      <c r="D645" s="320"/>
      <c r="E645" s="320"/>
      <c r="F645" s="320"/>
      <c r="G645" s="320"/>
      <c r="H645" s="320"/>
      <c r="I645" s="320"/>
      <c r="J645" s="320"/>
      <c r="K645" s="320"/>
      <c r="L645" s="320"/>
      <c r="M645" s="320"/>
      <c r="N645" s="320"/>
      <c r="O645" s="320"/>
      <c r="P645" s="320"/>
      <c r="Q645" s="320"/>
      <c r="R645" s="320"/>
      <c r="S645" s="320"/>
      <c r="T645" s="320"/>
      <c r="U645" s="320"/>
      <c r="V645" s="320"/>
      <c r="W645" s="320"/>
      <c r="X645" s="320"/>
      <c r="Y645" s="320"/>
      <c r="Z645" s="320"/>
    </row>
    <row r="646">
      <c r="A646" s="320"/>
      <c r="B646" s="320"/>
      <c r="C646" s="320"/>
      <c r="D646" s="320"/>
      <c r="E646" s="320"/>
      <c r="F646" s="320"/>
      <c r="G646" s="320"/>
      <c r="H646" s="320"/>
      <c r="I646" s="320"/>
      <c r="J646" s="320"/>
      <c r="K646" s="320"/>
      <c r="L646" s="320"/>
      <c r="M646" s="320"/>
      <c r="N646" s="320"/>
      <c r="O646" s="320"/>
      <c r="P646" s="320"/>
      <c r="Q646" s="320"/>
      <c r="R646" s="320"/>
      <c r="S646" s="320"/>
      <c r="T646" s="320"/>
      <c r="U646" s="320"/>
      <c r="V646" s="320"/>
      <c r="W646" s="320"/>
      <c r="X646" s="320"/>
      <c r="Y646" s="320"/>
      <c r="Z646" s="320"/>
    </row>
    <row r="647">
      <c r="A647" s="320"/>
      <c r="B647" s="320"/>
      <c r="C647" s="320"/>
      <c r="D647" s="320"/>
      <c r="E647" s="320"/>
      <c r="F647" s="320"/>
      <c r="G647" s="320"/>
      <c r="H647" s="320"/>
      <c r="I647" s="320"/>
      <c r="J647" s="320"/>
      <c r="K647" s="320"/>
      <c r="L647" s="320"/>
      <c r="M647" s="320"/>
      <c r="N647" s="320"/>
      <c r="O647" s="320"/>
      <c r="P647" s="320"/>
      <c r="Q647" s="320"/>
      <c r="R647" s="320"/>
      <c r="S647" s="320"/>
      <c r="T647" s="320"/>
      <c r="U647" s="320"/>
      <c r="V647" s="320"/>
      <c r="W647" s="320"/>
      <c r="X647" s="320"/>
      <c r="Y647" s="320"/>
      <c r="Z647" s="320"/>
    </row>
    <row r="648">
      <c r="A648" s="320"/>
      <c r="B648" s="320"/>
      <c r="C648" s="320"/>
      <c r="D648" s="320"/>
      <c r="E648" s="320"/>
      <c r="F648" s="320"/>
      <c r="G648" s="320"/>
      <c r="H648" s="320"/>
      <c r="I648" s="320"/>
      <c r="J648" s="320"/>
      <c r="K648" s="320"/>
      <c r="L648" s="320"/>
      <c r="M648" s="320"/>
      <c r="N648" s="320"/>
      <c r="O648" s="320"/>
      <c r="P648" s="320"/>
      <c r="Q648" s="320"/>
      <c r="R648" s="320"/>
      <c r="S648" s="320"/>
      <c r="T648" s="320"/>
      <c r="U648" s="320"/>
      <c r="V648" s="320"/>
      <c r="W648" s="320"/>
      <c r="X648" s="320"/>
      <c r="Y648" s="320"/>
      <c r="Z648" s="320"/>
    </row>
    <row r="649">
      <c r="A649" s="320"/>
      <c r="B649" s="320"/>
      <c r="C649" s="320"/>
      <c r="D649" s="320"/>
      <c r="E649" s="320"/>
      <c r="F649" s="320"/>
      <c r="G649" s="320"/>
      <c r="H649" s="320"/>
      <c r="I649" s="320"/>
      <c r="J649" s="320"/>
      <c r="K649" s="320"/>
      <c r="L649" s="320"/>
      <c r="M649" s="320"/>
      <c r="N649" s="320"/>
      <c r="O649" s="320"/>
      <c r="P649" s="320"/>
      <c r="Q649" s="320"/>
      <c r="R649" s="320"/>
      <c r="S649" s="320"/>
      <c r="T649" s="320"/>
      <c r="U649" s="320"/>
      <c r="V649" s="320"/>
      <c r="W649" s="320"/>
      <c r="X649" s="320"/>
      <c r="Y649" s="320"/>
      <c r="Z649" s="320"/>
    </row>
    <row r="650">
      <c r="A650" s="320"/>
      <c r="B650" s="320"/>
      <c r="C650" s="320"/>
      <c r="D650" s="320"/>
      <c r="E650" s="320"/>
      <c r="F650" s="320"/>
      <c r="G650" s="320"/>
      <c r="H650" s="320"/>
      <c r="I650" s="320"/>
      <c r="J650" s="320"/>
      <c r="K650" s="320"/>
      <c r="L650" s="320"/>
      <c r="M650" s="320"/>
      <c r="N650" s="320"/>
      <c r="O650" s="320"/>
      <c r="P650" s="320"/>
      <c r="Q650" s="320"/>
      <c r="R650" s="320"/>
      <c r="S650" s="320"/>
      <c r="T650" s="320"/>
      <c r="U650" s="320"/>
      <c r="V650" s="320"/>
      <c r="W650" s="320"/>
      <c r="X650" s="320"/>
      <c r="Y650" s="320"/>
      <c r="Z650" s="320"/>
    </row>
    <row r="651">
      <c r="A651" s="320"/>
      <c r="B651" s="320"/>
      <c r="C651" s="320"/>
      <c r="D651" s="320"/>
      <c r="E651" s="320"/>
      <c r="F651" s="320"/>
      <c r="G651" s="320"/>
      <c r="H651" s="320"/>
      <c r="I651" s="320"/>
      <c r="J651" s="320"/>
      <c r="K651" s="320"/>
      <c r="L651" s="320"/>
      <c r="M651" s="320"/>
      <c r="N651" s="320"/>
      <c r="O651" s="320"/>
      <c r="P651" s="320"/>
      <c r="Q651" s="320"/>
      <c r="R651" s="320"/>
      <c r="S651" s="320"/>
      <c r="T651" s="320"/>
      <c r="U651" s="320"/>
      <c r="V651" s="320"/>
      <c r="W651" s="320"/>
      <c r="X651" s="320"/>
      <c r="Y651" s="320"/>
      <c r="Z651" s="320"/>
    </row>
    <row r="652">
      <c r="A652" s="320"/>
      <c r="B652" s="320"/>
      <c r="C652" s="320"/>
      <c r="D652" s="320"/>
      <c r="E652" s="320"/>
      <c r="F652" s="320"/>
      <c r="G652" s="320"/>
      <c r="H652" s="320"/>
      <c r="I652" s="320"/>
      <c r="J652" s="320"/>
      <c r="K652" s="320"/>
      <c r="L652" s="320"/>
      <c r="M652" s="320"/>
      <c r="N652" s="320"/>
      <c r="O652" s="320"/>
      <c r="P652" s="320"/>
      <c r="Q652" s="320"/>
      <c r="R652" s="320"/>
      <c r="S652" s="320"/>
      <c r="T652" s="320"/>
      <c r="U652" s="320"/>
      <c r="V652" s="320"/>
      <c r="W652" s="320"/>
      <c r="X652" s="320"/>
      <c r="Y652" s="320"/>
      <c r="Z652" s="320"/>
    </row>
    <row r="653">
      <c r="A653" s="320"/>
      <c r="B653" s="320"/>
      <c r="C653" s="320"/>
      <c r="D653" s="320"/>
      <c r="E653" s="320"/>
      <c r="F653" s="320"/>
      <c r="G653" s="320"/>
      <c r="H653" s="320"/>
      <c r="I653" s="320"/>
      <c r="J653" s="320"/>
      <c r="K653" s="320"/>
      <c r="L653" s="320"/>
      <c r="M653" s="320"/>
      <c r="N653" s="320"/>
      <c r="O653" s="320"/>
      <c r="P653" s="320"/>
      <c r="Q653" s="320"/>
      <c r="R653" s="320"/>
      <c r="S653" s="320"/>
      <c r="T653" s="320"/>
      <c r="U653" s="320"/>
      <c r="V653" s="320"/>
      <c r="W653" s="320"/>
      <c r="X653" s="320"/>
      <c r="Y653" s="320"/>
      <c r="Z653" s="320"/>
    </row>
    <row r="654">
      <c r="A654" s="320"/>
      <c r="B654" s="320"/>
      <c r="C654" s="320"/>
      <c r="D654" s="320"/>
      <c r="E654" s="320"/>
      <c r="F654" s="320"/>
      <c r="G654" s="320"/>
      <c r="H654" s="320"/>
      <c r="I654" s="320"/>
      <c r="J654" s="320"/>
      <c r="K654" s="320"/>
      <c r="L654" s="320"/>
      <c r="M654" s="320"/>
      <c r="N654" s="320"/>
      <c r="O654" s="320"/>
      <c r="P654" s="320"/>
      <c r="Q654" s="320"/>
      <c r="R654" s="320"/>
      <c r="S654" s="320"/>
      <c r="T654" s="320"/>
      <c r="U654" s="320"/>
      <c r="V654" s="320"/>
      <c r="W654" s="320"/>
      <c r="X654" s="320"/>
      <c r="Y654" s="320"/>
      <c r="Z654" s="320"/>
    </row>
    <row r="655">
      <c r="A655" s="320"/>
      <c r="B655" s="320"/>
      <c r="C655" s="320"/>
      <c r="D655" s="320"/>
      <c r="E655" s="320"/>
      <c r="F655" s="320"/>
      <c r="G655" s="320"/>
      <c r="H655" s="320"/>
      <c r="I655" s="320"/>
      <c r="J655" s="320"/>
      <c r="K655" s="320"/>
      <c r="L655" s="320"/>
      <c r="M655" s="320"/>
      <c r="N655" s="320"/>
      <c r="O655" s="320"/>
      <c r="P655" s="320"/>
      <c r="Q655" s="320"/>
      <c r="R655" s="320"/>
      <c r="S655" s="320"/>
      <c r="T655" s="320"/>
      <c r="U655" s="320"/>
      <c r="V655" s="320"/>
      <c r="W655" s="320"/>
      <c r="X655" s="320"/>
      <c r="Y655" s="320"/>
      <c r="Z655" s="320"/>
    </row>
    <row r="656">
      <c r="A656" s="320"/>
      <c r="B656" s="320"/>
      <c r="C656" s="320"/>
      <c r="D656" s="320"/>
      <c r="E656" s="320"/>
      <c r="F656" s="320"/>
      <c r="G656" s="320"/>
      <c r="H656" s="320"/>
      <c r="I656" s="320"/>
      <c r="J656" s="320"/>
      <c r="K656" s="320"/>
      <c r="L656" s="320"/>
      <c r="M656" s="320"/>
      <c r="N656" s="320"/>
      <c r="O656" s="320"/>
      <c r="P656" s="320"/>
      <c r="Q656" s="320"/>
      <c r="R656" s="320"/>
      <c r="S656" s="320"/>
      <c r="T656" s="320"/>
      <c r="U656" s="320"/>
      <c r="V656" s="320"/>
      <c r="W656" s="320"/>
      <c r="X656" s="320"/>
      <c r="Y656" s="320"/>
      <c r="Z656" s="320"/>
    </row>
    <row r="657">
      <c r="A657" s="320"/>
      <c r="B657" s="320"/>
      <c r="C657" s="320"/>
      <c r="D657" s="320"/>
      <c r="E657" s="320"/>
      <c r="F657" s="320"/>
      <c r="G657" s="320"/>
      <c r="H657" s="320"/>
      <c r="I657" s="320"/>
      <c r="J657" s="320"/>
      <c r="K657" s="320"/>
      <c r="L657" s="320"/>
      <c r="M657" s="320"/>
      <c r="N657" s="320"/>
      <c r="O657" s="320"/>
      <c r="P657" s="320"/>
      <c r="Q657" s="320"/>
      <c r="R657" s="320"/>
      <c r="S657" s="320"/>
      <c r="T657" s="320"/>
      <c r="U657" s="320"/>
      <c r="V657" s="320"/>
      <c r="W657" s="320"/>
      <c r="X657" s="320"/>
      <c r="Y657" s="320"/>
      <c r="Z657" s="320"/>
    </row>
    <row r="658">
      <c r="A658" s="320"/>
      <c r="B658" s="320"/>
      <c r="C658" s="320"/>
      <c r="D658" s="320"/>
      <c r="E658" s="320"/>
      <c r="F658" s="320"/>
      <c r="G658" s="320"/>
      <c r="H658" s="320"/>
      <c r="I658" s="320"/>
      <c r="J658" s="320"/>
      <c r="K658" s="320"/>
      <c r="L658" s="320"/>
      <c r="M658" s="320"/>
      <c r="N658" s="320"/>
      <c r="O658" s="320"/>
      <c r="P658" s="320"/>
      <c r="Q658" s="320"/>
      <c r="R658" s="320"/>
      <c r="S658" s="320"/>
      <c r="T658" s="320"/>
      <c r="U658" s="320"/>
      <c r="V658" s="320"/>
      <c r="W658" s="320"/>
      <c r="X658" s="320"/>
      <c r="Y658" s="320"/>
      <c r="Z658" s="320"/>
    </row>
    <row r="659">
      <c r="A659" s="320"/>
      <c r="B659" s="320"/>
      <c r="C659" s="320"/>
      <c r="D659" s="320"/>
      <c r="E659" s="320"/>
      <c r="F659" s="320"/>
      <c r="G659" s="320"/>
      <c r="H659" s="320"/>
      <c r="I659" s="320"/>
      <c r="J659" s="320"/>
      <c r="K659" s="320"/>
      <c r="L659" s="320"/>
      <c r="M659" s="320"/>
      <c r="N659" s="320"/>
      <c r="O659" s="320"/>
      <c r="P659" s="320"/>
      <c r="Q659" s="320"/>
      <c r="R659" s="320"/>
      <c r="S659" s="320"/>
      <c r="T659" s="320"/>
      <c r="U659" s="320"/>
      <c r="V659" s="320"/>
      <c r="W659" s="320"/>
      <c r="X659" s="320"/>
      <c r="Y659" s="320"/>
      <c r="Z659" s="320"/>
    </row>
    <row r="660">
      <c r="A660" s="320"/>
      <c r="B660" s="320"/>
      <c r="C660" s="320"/>
      <c r="D660" s="320"/>
      <c r="E660" s="320"/>
      <c r="F660" s="320"/>
      <c r="G660" s="320"/>
      <c r="H660" s="320"/>
      <c r="I660" s="320"/>
      <c r="J660" s="320"/>
      <c r="K660" s="320"/>
      <c r="L660" s="320"/>
      <c r="M660" s="320"/>
      <c r="N660" s="320"/>
      <c r="O660" s="320"/>
      <c r="P660" s="320"/>
      <c r="Q660" s="320"/>
      <c r="R660" s="320"/>
      <c r="S660" s="320"/>
      <c r="T660" s="320"/>
      <c r="U660" s="320"/>
      <c r="V660" s="320"/>
      <c r="W660" s="320"/>
      <c r="X660" s="320"/>
      <c r="Y660" s="320"/>
      <c r="Z660" s="320"/>
    </row>
    <row r="661">
      <c r="A661" s="320"/>
      <c r="B661" s="320"/>
      <c r="C661" s="320"/>
      <c r="D661" s="320"/>
      <c r="E661" s="320"/>
      <c r="F661" s="320"/>
      <c r="G661" s="320"/>
      <c r="H661" s="320"/>
      <c r="I661" s="320"/>
      <c r="J661" s="320"/>
      <c r="K661" s="320"/>
      <c r="L661" s="320"/>
      <c r="M661" s="320"/>
      <c r="N661" s="320"/>
      <c r="O661" s="320"/>
      <c r="P661" s="320"/>
      <c r="Q661" s="320"/>
      <c r="R661" s="320"/>
      <c r="S661" s="320"/>
      <c r="T661" s="320"/>
      <c r="U661" s="320"/>
      <c r="V661" s="320"/>
      <c r="W661" s="320"/>
      <c r="X661" s="320"/>
      <c r="Y661" s="320"/>
      <c r="Z661" s="320"/>
    </row>
    <row r="662">
      <c r="A662" s="320"/>
      <c r="B662" s="320"/>
      <c r="C662" s="320"/>
      <c r="D662" s="320"/>
      <c r="E662" s="320"/>
      <c r="F662" s="320"/>
      <c r="G662" s="320"/>
      <c r="H662" s="320"/>
      <c r="I662" s="320"/>
      <c r="J662" s="320"/>
      <c r="K662" s="320"/>
      <c r="L662" s="320"/>
      <c r="M662" s="320"/>
      <c r="N662" s="320"/>
      <c r="O662" s="320"/>
      <c r="P662" s="320"/>
      <c r="Q662" s="320"/>
      <c r="R662" s="320"/>
      <c r="S662" s="320"/>
      <c r="T662" s="320"/>
      <c r="U662" s="320"/>
      <c r="V662" s="320"/>
      <c r="W662" s="320"/>
      <c r="X662" s="320"/>
      <c r="Y662" s="320"/>
      <c r="Z662" s="320"/>
    </row>
    <row r="663">
      <c r="A663" s="320"/>
      <c r="B663" s="320"/>
      <c r="C663" s="320"/>
      <c r="D663" s="320"/>
      <c r="E663" s="320"/>
      <c r="F663" s="320"/>
      <c r="G663" s="320"/>
      <c r="H663" s="320"/>
      <c r="I663" s="320"/>
      <c r="J663" s="320"/>
      <c r="K663" s="320"/>
      <c r="L663" s="320"/>
      <c r="M663" s="320"/>
      <c r="N663" s="320"/>
      <c r="O663" s="320"/>
      <c r="P663" s="320"/>
      <c r="Q663" s="320"/>
      <c r="R663" s="320"/>
      <c r="S663" s="320"/>
      <c r="T663" s="320"/>
      <c r="U663" s="320"/>
      <c r="V663" s="320"/>
      <c r="W663" s="320"/>
      <c r="X663" s="320"/>
      <c r="Y663" s="320"/>
      <c r="Z663" s="320"/>
    </row>
    <row r="664">
      <c r="A664" s="320"/>
      <c r="B664" s="320"/>
      <c r="C664" s="320"/>
      <c r="D664" s="320"/>
      <c r="E664" s="320"/>
      <c r="F664" s="320"/>
      <c r="G664" s="320"/>
      <c r="H664" s="320"/>
      <c r="I664" s="320"/>
      <c r="J664" s="320"/>
      <c r="K664" s="320"/>
      <c r="L664" s="320"/>
      <c r="M664" s="320"/>
      <c r="N664" s="320"/>
      <c r="O664" s="320"/>
      <c r="P664" s="320"/>
      <c r="Q664" s="320"/>
      <c r="R664" s="320"/>
      <c r="S664" s="320"/>
      <c r="T664" s="320"/>
      <c r="U664" s="320"/>
      <c r="V664" s="320"/>
      <c r="W664" s="320"/>
      <c r="X664" s="320"/>
      <c r="Y664" s="320"/>
      <c r="Z664" s="320"/>
    </row>
    <row r="665">
      <c r="A665" s="320"/>
      <c r="B665" s="320"/>
      <c r="C665" s="320"/>
      <c r="D665" s="320"/>
      <c r="E665" s="320"/>
      <c r="F665" s="320"/>
      <c r="G665" s="320"/>
      <c r="H665" s="320"/>
      <c r="I665" s="320"/>
      <c r="J665" s="320"/>
      <c r="K665" s="320"/>
      <c r="L665" s="320"/>
      <c r="M665" s="320"/>
      <c r="N665" s="320"/>
      <c r="O665" s="320"/>
      <c r="P665" s="320"/>
      <c r="Q665" s="320"/>
      <c r="R665" s="320"/>
      <c r="S665" s="320"/>
      <c r="T665" s="320"/>
      <c r="U665" s="320"/>
      <c r="V665" s="320"/>
      <c r="W665" s="320"/>
      <c r="X665" s="320"/>
      <c r="Y665" s="320"/>
      <c r="Z665" s="320"/>
    </row>
    <row r="666">
      <c r="A666" s="320"/>
      <c r="B666" s="320"/>
      <c r="C666" s="320"/>
      <c r="D666" s="320"/>
      <c r="E666" s="320"/>
      <c r="F666" s="320"/>
      <c r="G666" s="320"/>
      <c r="H666" s="320"/>
      <c r="I666" s="320"/>
      <c r="J666" s="320"/>
      <c r="K666" s="320"/>
      <c r="L666" s="320"/>
      <c r="M666" s="320"/>
      <c r="N666" s="320"/>
      <c r="O666" s="320"/>
      <c r="P666" s="320"/>
      <c r="Q666" s="320"/>
      <c r="R666" s="320"/>
      <c r="S666" s="320"/>
      <c r="T666" s="320"/>
      <c r="U666" s="320"/>
      <c r="V666" s="320"/>
      <c r="W666" s="320"/>
      <c r="X666" s="320"/>
      <c r="Y666" s="320"/>
      <c r="Z666" s="320"/>
    </row>
    <row r="667">
      <c r="A667" s="320"/>
      <c r="B667" s="320"/>
      <c r="C667" s="320"/>
      <c r="D667" s="320"/>
      <c r="E667" s="320"/>
      <c r="F667" s="320"/>
      <c r="G667" s="320"/>
      <c r="H667" s="320"/>
      <c r="I667" s="320"/>
      <c r="J667" s="320"/>
      <c r="K667" s="320"/>
      <c r="L667" s="320"/>
      <c r="M667" s="320"/>
      <c r="N667" s="320"/>
      <c r="O667" s="320"/>
      <c r="P667" s="320"/>
      <c r="Q667" s="320"/>
      <c r="R667" s="320"/>
      <c r="S667" s="320"/>
      <c r="T667" s="320"/>
      <c r="U667" s="320"/>
      <c r="V667" s="320"/>
      <c r="W667" s="320"/>
      <c r="X667" s="320"/>
      <c r="Y667" s="320"/>
      <c r="Z667" s="320"/>
    </row>
    <row r="668">
      <c r="A668" s="320"/>
      <c r="B668" s="320"/>
      <c r="C668" s="320"/>
      <c r="D668" s="320"/>
      <c r="E668" s="320"/>
      <c r="F668" s="320"/>
      <c r="G668" s="320"/>
      <c r="H668" s="320"/>
      <c r="I668" s="320"/>
      <c r="J668" s="320"/>
      <c r="K668" s="320"/>
      <c r="L668" s="320"/>
      <c r="M668" s="320"/>
      <c r="N668" s="320"/>
      <c r="O668" s="320"/>
      <c r="P668" s="320"/>
      <c r="Q668" s="320"/>
      <c r="R668" s="320"/>
      <c r="S668" s="320"/>
      <c r="T668" s="320"/>
      <c r="U668" s="320"/>
      <c r="V668" s="320"/>
      <c r="W668" s="320"/>
      <c r="X668" s="320"/>
      <c r="Y668" s="320"/>
      <c r="Z668" s="320"/>
    </row>
    <row r="669">
      <c r="A669" s="320"/>
      <c r="B669" s="320"/>
      <c r="C669" s="320"/>
      <c r="D669" s="320"/>
      <c r="E669" s="320"/>
      <c r="F669" s="320"/>
      <c r="G669" s="320"/>
      <c r="H669" s="320"/>
      <c r="I669" s="320"/>
      <c r="J669" s="320"/>
      <c r="K669" s="320"/>
      <c r="L669" s="320"/>
      <c r="M669" s="320"/>
      <c r="N669" s="320"/>
      <c r="O669" s="320"/>
      <c r="P669" s="320"/>
      <c r="Q669" s="320"/>
      <c r="R669" s="320"/>
      <c r="S669" s="320"/>
      <c r="T669" s="320"/>
      <c r="U669" s="320"/>
      <c r="V669" s="320"/>
      <c r="W669" s="320"/>
      <c r="X669" s="320"/>
      <c r="Y669" s="320"/>
      <c r="Z669" s="320"/>
    </row>
    <row r="670">
      <c r="A670" s="320"/>
      <c r="B670" s="320"/>
      <c r="C670" s="320"/>
      <c r="D670" s="320"/>
      <c r="E670" s="320"/>
      <c r="F670" s="320"/>
      <c r="G670" s="320"/>
      <c r="H670" s="320"/>
      <c r="I670" s="320"/>
      <c r="J670" s="320"/>
      <c r="K670" s="320"/>
      <c r="L670" s="320"/>
      <c r="M670" s="320"/>
      <c r="N670" s="320"/>
      <c r="O670" s="320"/>
      <c r="P670" s="320"/>
      <c r="Q670" s="320"/>
      <c r="R670" s="320"/>
      <c r="S670" s="320"/>
      <c r="T670" s="320"/>
      <c r="U670" s="320"/>
      <c r="V670" s="320"/>
      <c r="W670" s="320"/>
      <c r="X670" s="320"/>
      <c r="Y670" s="320"/>
      <c r="Z670" s="320"/>
    </row>
    <row r="671">
      <c r="A671" s="320"/>
      <c r="B671" s="320"/>
      <c r="C671" s="320"/>
      <c r="D671" s="320"/>
      <c r="E671" s="320"/>
      <c r="F671" s="320"/>
      <c r="G671" s="320"/>
      <c r="H671" s="320"/>
      <c r="I671" s="320"/>
      <c r="J671" s="320"/>
      <c r="K671" s="320"/>
      <c r="L671" s="320"/>
      <c r="M671" s="320"/>
      <c r="N671" s="320"/>
      <c r="O671" s="320"/>
      <c r="P671" s="320"/>
      <c r="Q671" s="320"/>
      <c r="R671" s="320"/>
      <c r="S671" s="320"/>
      <c r="T671" s="320"/>
      <c r="U671" s="320"/>
      <c r="V671" s="320"/>
      <c r="W671" s="320"/>
      <c r="X671" s="320"/>
      <c r="Y671" s="320"/>
      <c r="Z671" s="320"/>
    </row>
    <row r="672">
      <c r="A672" s="320"/>
      <c r="B672" s="320"/>
      <c r="C672" s="320"/>
      <c r="D672" s="320"/>
      <c r="E672" s="320"/>
      <c r="F672" s="320"/>
      <c r="G672" s="320"/>
      <c r="H672" s="320"/>
      <c r="I672" s="320"/>
      <c r="J672" s="320"/>
      <c r="K672" s="320"/>
      <c r="L672" s="320"/>
      <c r="M672" s="320"/>
      <c r="N672" s="320"/>
      <c r="O672" s="320"/>
      <c r="P672" s="320"/>
      <c r="Q672" s="320"/>
      <c r="R672" s="320"/>
      <c r="S672" s="320"/>
      <c r="T672" s="320"/>
      <c r="U672" s="320"/>
      <c r="V672" s="320"/>
      <c r="W672" s="320"/>
      <c r="X672" s="320"/>
      <c r="Y672" s="320"/>
      <c r="Z672" s="320"/>
    </row>
    <row r="673">
      <c r="A673" s="320"/>
      <c r="B673" s="320"/>
      <c r="C673" s="320"/>
      <c r="D673" s="320"/>
      <c r="E673" s="320"/>
      <c r="F673" s="320"/>
      <c r="G673" s="320"/>
      <c r="H673" s="320"/>
      <c r="I673" s="320"/>
      <c r="J673" s="320"/>
      <c r="K673" s="320"/>
      <c r="L673" s="320"/>
      <c r="M673" s="320"/>
      <c r="N673" s="320"/>
      <c r="O673" s="320"/>
      <c r="P673" s="320"/>
      <c r="Q673" s="320"/>
      <c r="R673" s="320"/>
      <c r="S673" s="320"/>
      <c r="T673" s="320"/>
      <c r="U673" s="320"/>
      <c r="V673" s="320"/>
      <c r="W673" s="320"/>
      <c r="X673" s="320"/>
      <c r="Y673" s="320"/>
      <c r="Z673" s="320"/>
    </row>
    <row r="674">
      <c r="A674" s="320"/>
      <c r="B674" s="320"/>
      <c r="C674" s="320"/>
      <c r="D674" s="320"/>
      <c r="E674" s="320"/>
      <c r="F674" s="320"/>
      <c r="G674" s="320"/>
      <c r="H674" s="320"/>
      <c r="I674" s="320"/>
      <c r="J674" s="320"/>
      <c r="K674" s="320"/>
      <c r="L674" s="320"/>
      <c r="M674" s="320"/>
      <c r="N674" s="320"/>
      <c r="O674" s="320"/>
      <c r="P674" s="320"/>
      <c r="Q674" s="320"/>
      <c r="R674" s="320"/>
      <c r="S674" s="320"/>
      <c r="T674" s="320"/>
      <c r="U674" s="320"/>
      <c r="V674" s="320"/>
      <c r="W674" s="320"/>
      <c r="X674" s="320"/>
      <c r="Y674" s="320"/>
      <c r="Z674" s="320"/>
    </row>
    <row r="675">
      <c r="A675" s="320"/>
      <c r="B675" s="320"/>
      <c r="C675" s="320"/>
      <c r="D675" s="320"/>
      <c r="E675" s="320"/>
      <c r="F675" s="320"/>
      <c r="G675" s="320"/>
      <c r="H675" s="320"/>
      <c r="I675" s="320"/>
      <c r="J675" s="320"/>
      <c r="K675" s="320"/>
      <c r="L675" s="320"/>
      <c r="M675" s="320"/>
      <c r="N675" s="320"/>
      <c r="O675" s="320"/>
      <c r="P675" s="320"/>
      <c r="Q675" s="320"/>
      <c r="R675" s="320"/>
      <c r="S675" s="320"/>
      <c r="T675" s="320"/>
      <c r="U675" s="320"/>
      <c r="V675" s="320"/>
      <c r="W675" s="320"/>
      <c r="X675" s="320"/>
      <c r="Y675" s="320"/>
      <c r="Z675" s="320"/>
    </row>
    <row r="676">
      <c r="A676" s="320"/>
      <c r="B676" s="320"/>
      <c r="C676" s="320"/>
      <c r="D676" s="320"/>
      <c r="E676" s="320"/>
      <c r="F676" s="320"/>
      <c r="G676" s="320"/>
      <c r="H676" s="320"/>
      <c r="I676" s="320"/>
      <c r="J676" s="320"/>
      <c r="K676" s="320"/>
      <c r="L676" s="320"/>
      <c r="M676" s="320"/>
      <c r="N676" s="320"/>
      <c r="O676" s="320"/>
      <c r="P676" s="320"/>
      <c r="Q676" s="320"/>
      <c r="R676" s="320"/>
      <c r="S676" s="320"/>
      <c r="T676" s="320"/>
      <c r="U676" s="320"/>
      <c r="V676" s="320"/>
      <c r="W676" s="320"/>
      <c r="X676" s="320"/>
      <c r="Y676" s="320"/>
      <c r="Z676" s="320"/>
    </row>
    <row r="677">
      <c r="A677" s="320"/>
      <c r="B677" s="320"/>
      <c r="C677" s="320"/>
      <c r="D677" s="320"/>
      <c r="E677" s="320"/>
      <c r="F677" s="320"/>
      <c r="G677" s="320"/>
      <c r="H677" s="320"/>
      <c r="I677" s="320"/>
      <c r="J677" s="320"/>
      <c r="K677" s="320"/>
      <c r="L677" s="320"/>
      <c r="M677" s="320"/>
      <c r="N677" s="320"/>
      <c r="O677" s="320"/>
      <c r="P677" s="320"/>
      <c r="Q677" s="320"/>
      <c r="R677" s="320"/>
      <c r="S677" s="320"/>
      <c r="T677" s="320"/>
      <c r="U677" s="320"/>
      <c r="V677" s="320"/>
      <c r="W677" s="320"/>
      <c r="X677" s="320"/>
      <c r="Y677" s="320"/>
      <c r="Z677" s="320"/>
    </row>
    <row r="678">
      <c r="A678" s="320"/>
      <c r="B678" s="320"/>
      <c r="C678" s="320"/>
      <c r="D678" s="320"/>
      <c r="E678" s="320"/>
      <c r="F678" s="320"/>
      <c r="G678" s="320"/>
      <c r="H678" s="320"/>
      <c r="I678" s="320"/>
      <c r="J678" s="320"/>
      <c r="K678" s="320"/>
      <c r="L678" s="320"/>
      <c r="M678" s="320"/>
      <c r="N678" s="320"/>
      <c r="O678" s="320"/>
      <c r="P678" s="320"/>
      <c r="Q678" s="320"/>
      <c r="R678" s="320"/>
      <c r="S678" s="320"/>
      <c r="T678" s="320"/>
      <c r="U678" s="320"/>
      <c r="V678" s="320"/>
      <c r="W678" s="320"/>
      <c r="X678" s="320"/>
      <c r="Y678" s="320"/>
      <c r="Z678" s="320"/>
    </row>
    <row r="679">
      <c r="A679" s="320"/>
      <c r="B679" s="320"/>
      <c r="C679" s="320"/>
      <c r="D679" s="320"/>
      <c r="E679" s="320"/>
      <c r="F679" s="320"/>
      <c r="G679" s="320"/>
      <c r="H679" s="320"/>
      <c r="I679" s="320"/>
      <c r="J679" s="320"/>
      <c r="K679" s="320"/>
      <c r="L679" s="320"/>
      <c r="M679" s="320"/>
      <c r="N679" s="320"/>
      <c r="O679" s="320"/>
      <c r="P679" s="320"/>
      <c r="Q679" s="320"/>
      <c r="R679" s="320"/>
      <c r="S679" s="320"/>
      <c r="T679" s="320"/>
      <c r="U679" s="320"/>
      <c r="V679" s="320"/>
      <c r="W679" s="320"/>
      <c r="X679" s="320"/>
      <c r="Y679" s="320"/>
      <c r="Z679" s="320"/>
    </row>
    <row r="680">
      <c r="A680" s="320"/>
      <c r="B680" s="320"/>
      <c r="C680" s="320"/>
      <c r="D680" s="320"/>
      <c r="E680" s="320"/>
      <c r="F680" s="320"/>
      <c r="G680" s="320"/>
      <c r="H680" s="320"/>
      <c r="I680" s="320"/>
      <c r="J680" s="320"/>
      <c r="K680" s="320"/>
      <c r="L680" s="320"/>
      <c r="M680" s="320"/>
      <c r="N680" s="320"/>
      <c r="O680" s="320"/>
      <c r="P680" s="320"/>
      <c r="Q680" s="320"/>
      <c r="R680" s="320"/>
      <c r="S680" s="320"/>
      <c r="T680" s="320"/>
      <c r="U680" s="320"/>
      <c r="V680" s="320"/>
      <c r="W680" s="320"/>
      <c r="X680" s="320"/>
      <c r="Y680" s="320"/>
      <c r="Z680" s="320"/>
    </row>
    <row r="681">
      <c r="A681" s="320"/>
      <c r="B681" s="320"/>
      <c r="C681" s="320"/>
      <c r="D681" s="320"/>
      <c r="E681" s="320"/>
      <c r="F681" s="320"/>
      <c r="G681" s="320"/>
      <c r="H681" s="320"/>
      <c r="I681" s="320"/>
      <c r="J681" s="320"/>
      <c r="K681" s="320"/>
      <c r="L681" s="320"/>
      <c r="M681" s="320"/>
      <c r="N681" s="320"/>
      <c r="O681" s="320"/>
      <c r="P681" s="320"/>
      <c r="Q681" s="320"/>
      <c r="R681" s="320"/>
      <c r="S681" s="320"/>
      <c r="T681" s="320"/>
      <c r="U681" s="320"/>
      <c r="V681" s="320"/>
      <c r="W681" s="320"/>
      <c r="X681" s="320"/>
      <c r="Y681" s="320"/>
      <c r="Z681" s="320"/>
    </row>
    <row r="682">
      <c r="A682" s="320"/>
      <c r="B682" s="320"/>
      <c r="C682" s="320"/>
      <c r="D682" s="320"/>
      <c r="E682" s="320"/>
      <c r="F682" s="320"/>
      <c r="G682" s="320"/>
      <c r="H682" s="320"/>
      <c r="I682" s="320"/>
      <c r="J682" s="320"/>
      <c r="K682" s="320"/>
      <c r="L682" s="320"/>
      <c r="M682" s="320"/>
      <c r="N682" s="320"/>
      <c r="O682" s="320"/>
      <c r="P682" s="320"/>
      <c r="Q682" s="320"/>
      <c r="R682" s="320"/>
      <c r="S682" s="320"/>
      <c r="T682" s="320"/>
      <c r="U682" s="320"/>
      <c r="V682" s="320"/>
      <c r="W682" s="320"/>
      <c r="X682" s="320"/>
      <c r="Y682" s="320"/>
      <c r="Z682" s="320"/>
    </row>
    <row r="683">
      <c r="A683" s="320"/>
      <c r="B683" s="320"/>
      <c r="C683" s="320"/>
      <c r="D683" s="320"/>
      <c r="E683" s="320"/>
      <c r="F683" s="320"/>
      <c r="G683" s="320"/>
      <c r="H683" s="320"/>
      <c r="I683" s="320"/>
      <c r="J683" s="320"/>
      <c r="K683" s="320"/>
      <c r="L683" s="320"/>
      <c r="M683" s="320"/>
      <c r="N683" s="320"/>
      <c r="O683" s="320"/>
      <c r="P683" s="320"/>
      <c r="Q683" s="320"/>
      <c r="R683" s="320"/>
      <c r="S683" s="320"/>
      <c r="T683" s="320"/>
      <c r="U683" s="320"/>
      <c r="V683" s="320"/>
      <c r="W683" s="320"/>
      <c r="X683" s="320"/>
      <c r="Y683" s="320"/>
      <c r="Z683" s="320"/>
    </row>
    <row r="684">
      <c r="A684" s="320"/>
      <c r="B684" s="320"/>
      <c r="C684" s="320"/>
      <c r="D684" s="320"/>
      <c r="E684" s="320"/>
      <c r="F684" s="320"/>
      <c r="G684" s="320"/>
      <c r="H684" s="320"/>
      <c r="I684" s="320"/>
      <c r="J684" s="320"/>
      <c r="K684" s="320"/>
      <c r="L684" s="320"/>
      <c r="M684" s="320"/>
      <c r="N684" s="320"/>
      <c r="O684" s="320"/>
      <c r="P684" s="320"/>
      <c r="Q684" s="320"/>
      <c r="R684" s="320"/>
      <c r="S684" s="320"/>
      <c r="T684" s="320"/>
      <c r="U684" s="320"/>
      <c r="V684" s="320"/>
      <c r="W684" s="320"/>
      <c r="X684" s="320"/>
      <c r="Y684" s="320"/>
      <c r="Z684" s="320"/>
    </row>
    <row r="685">
      <c r="A685" s="320"/>
      <c r="B685" s="320"/>
      <c r="C685" s="320"/>
      <c r="D685" s="320"/>
      <c r="E685" s="320"/>
      <c r="F685" s="320"/>
      <c r="G685" s="320"/>
      <c r="H685" s="320"/>
      <c r="I685" s="320"/>
      <c r="J685" s="320"/>
      <c r="K685" s="320"/>
      <c r="L685" s="320"/>
      <c r="M685" s="320"/>
      <c r="N685" s="320"/>
      <c r="O685" s="320"/>
      <c r="P685" s="320"/>
      <c r="Q685" s="320"/>
      <c r="R685" s="320"/>
      <c r="S685" s="320"/>
      <c r="T685" s="320"/>
      <c r="U685" s="320"/>
      <c r="V685" s="320"/>
      <c r="W685" s="320"/>
      <c r="X685" s="320"/>
      <c r="Y685" s="320"/>
      <c r="Z685" s="320"/>
    </row>
    <row r="686">
      <c r="A686" s="320"/>
      <c r="B686" s="320"/>
      <c r="C686" s="320"/>
      <c r="D686" s="320"/>
      <c r="E686" s="320"/>
      <c r="F686" s="320"/>
      <c r="G686" s="320"/>
      <c r="H686" s="320"/>
      <c r="I686" s="320"/>
      <c r="J686" s="320"/>
      <c r="K686" s="320"/>
      <c r="L686" s="320"/>
      <c r="M686" s="320"/>
      <c r="N686" s="320"/>
      <c r="O686" s="320"/>
      <c r="P686" s="320"/>
      <c r="Q686" s="320"/>
      <c r="R686" s="320"/>
      <c r="S686" s="320"/>
      <c r="T686" s="320"/>
      <c r="U686" s="320"/>
      <c r="V686" s="320"/>
      <c r="W686" s="320"/>
      <c r="X686" s="320"/>
      <c r="Y686" s="320"/>
      <c r="Z686" s="320"/>
    </row>
    <row r="687">
      <c r="A687" s="320"/>
      <c r="B687" s="320"/>
      <c r="C687" s="320"/>
      <c r="D687" s="320"/>
      <c r="E687" s="320"/>
      <c r="F687" s="320"/>
      <c r="G687" s="320"/>
      <c r="H687" s="320"/>
      <c r="I687" s="320"/>
      <c r="J687" s="320"/>
      <c r="K687" s="320"/>
      <c r="L687" s="320"/>
      <c r="M687" s="320"/>
      <c r="N687" s="320"/>
      <c r="O687" s="320"/>
      <c r="P687" s="320"/>
      <c r="Q687" s="320"/>
      <c r="R687" s="320"/>
      <c r="S687" s="320"/>
      <c r="T687" s="320"/>
      <c r="U687" s="320"/>
      <c r="V687" s="320"/>
      <c r="W687" s="320"/>
      <c r="X687" s="320"/>
      <c r="Y687" s="320"/>
      <c r="Z687" s="320"/>
    </row>
    <row r="688">
      <c r="A688" s="320"/>
      <c r="B688" s="320"/>
      <c r="C688" s="320"/>
      <c r="D688" s="320"/>
      <c r="E688" s="320"/>
      <c r="F688" s="320"/>
      <c r="G688" s="320"/>
      <c r="H688" s="320"/>
      <c r="I688" s="320"/>
      <c r="J688" s="320"/>
      <c r="K688" s="320"/>
      <c r="L688" s="320"/>
      <c r="M688" s="320"/>
      <c r="N688" s="320"/>
      <c r="O688" s="320"/>
      <c r="P688" s="320"/>
      <c r="Q688" s="320"/>
      <c r="R688" s="320"/>
      <c r="S688" s="320"/>
      <c r="T688" s="320"/>
      <c r="U688" s="320"/>
      <c r="V688" s="320"/>
      <c r="W688" s="320"/>
      <c r="X688" s="320"/>
      <c r="Y688" s="320"/>
      <c r="Z688" s="320"/>
    </row>
    <row r="689">
      <c r="A689" s="320"/>
      <c r="B689" s="320"/>
      <c r="C689" s="320"/>
      <c r="D689" s="320"/>
      <c r="E689" s="320"/>
      <c r="F689" s="320"/>
      <c r="G689" s="320"/>
      <c r="H689" s="320"/>
      <c r="I689" s="320"/>
      <c r="J689" s="320"/>
      <c r="K689" s="320"/>
      <c r="L689" s="320"/>
      <c r="M689" s="320"/>
      <c r="N689" s="320"/>
      <c r="O689" s="320"/>
      <c r="P689" s="320"/>
      <c r="Q689" s="320"/>
      <c r="R689" s="320"/>
      <c r="S689" s="320"/>
      <c r="T689" s="320"/>
      <c r="U689" s="320"/>
      <c r="V689" s="320"/>
      <c r="W689" s="320"/>
      <c r="X689" s="320"/>
      <c r="Y689" s="320"/>
      <c r="Z689" s="320"/>
    </row>
    <row r="690">
      <c r="A690" s="320"/>
      <c r="B690" s="320"/>
      <c r="C690" s="320"/>
      <c r="D690" s="320"/>
      <c r="E690" s="320"/>
      <c r="F690" s="320"/>
      <c r="G690" s="320"/>
      <c r="H690" s="320"/>
      <c r="I690" s="320"/>
      <c r="J690" s="320"/>
      <c r="K690" s="320"/>
      <c r="L690" s="320"/>
      <c r="M690" s="320"/>
      <c r="N690" s="320"/>
      <c r="O690" s="320"/>
      <c r="P690" s="320"/>
      <c r="Q690" s="320"/>
      <c r="R690" s="320"/>
      <c r="S690" s="320"/>
      <c r="T690" s="320"/>
      <c r="U690" s="320"/>
      <c r="V690" s="320"/>
      <c r="W690" s="320"/>
      <c r="X690" s="320"/>
      <c r="Y690" s="320"/>
      <c r="Z690" s="320"/>
    </row>
    <row r="691">
      <c r="A691" s="320"/>
      <c r="B691" s="320"/>
      <c r="C691" s="320"/>
      <c r="D691" s="320"/>
      <c r="E691" s="320"/>
      <c r="F691" s="320"/>
      <c r="G691" s="320"/>
      <c r="H691" s="320"/>
      <c r="I691" s="320"/>
      <c r="J691" s="320"/>
      <c r="K691" s="320"/>
      <c r="L691" s="320"/>
      <c r="M691" s="320"/>
      <c r="N691" s="320"/>
      <c r="O691" s="320"/>
      <c r="P691" s="320"/>
      <c r="Q691" s="320"/>
      <c r="R691" s="320"/>
      <c r="S691" s="320"/>
      <c r="T691" s="320"/>
      <c r="U691" s="320"/>
      <c r="V691" s="320"/>
      <c r="W691" s="320"/>
      <c r="X691" s="320"/>
      <c r="Y691" s="320"/>
      <c r="Z691" s="320"/>
    </row>
    <row r="692">
      <c r="A692" s="320"/>
      <c r="B692" s="320"/>
      <c r="C692" s="320"/>
      <c r="D692" s="320"/>
      <c r="E692" s="320"/>
      <c r="F692" s="320"/>
      <c r="G692" s="320"/>
      <c r="H692" s="320"/>
      <c r="I692" s="320"/>
      <c r="J692" s="320"/>
      <c r="K692" s="320"/>
      <c r="L692" s="320"/>
      <c r="M692" s="320"/>
      <c r="N692" s="320"/>
      <c r="O692" s="320"/>
      <c r="P692" s="320"/>
      <c r="Q692" s="320"/>
      <c r="R692" s="320"/>
      <c r="S692" s="320"/>
      <c r="T692" s="320"/>
      <c r="U692" s="320"/>
      <c r="V692" s="320"/>
      <c r="W692" s="320"/>
      <c r="X692" s="320"/>
      <c r="Y692" s="320"/>
      <c r="Z692" s="320"/>
    </row>
    <row r="693">
      <c r="A693" s="320"/>
      <c r="B693" s="320"/>
      <c r="C693" s="320"/>
      <c r="D693" s="320"/>
      <c r="E693" s="320"/>
      <c r="F693" s="320"/>
      <c r="G693" s="320"/>
      <c r="H693" s="320"/>
      <c r="I693" s="320"/>
      <c r="J693" s="320"/>
      <c r="K693" s="320"/>
      <c r="L693" s="320"/>
      <c r="M693" s="320"/>
      <c r="N693" s="320"/>
      <c r="O693" s="320"/>
      <c r="P693" s="320"/>
      <c r="Q693" s="320"/>
      <c r="R693" s="320"/>
      <c r="S693" s="320"/>
      <c r="T693" s="320"/>
      <c r="U693" s="320"/>
      <c r="V693" s="320"/>
      <c r="W693" s="320"/>
      <c r="X693" s="320"/>
      <c r="Y693" s="320"/>
      <c r="Z693" s="320"/>
    </row>
    <row r="694">
      <c r="A694" s="320"/>
      <c r="B694" s="320"/>
      <c r="C694" s="320"/>
      <c r="D694" s="320"/>
      <c r="E694" s="320"/>
      <c r="F694" s="320"/>
      <c r="G694" s="320"/>
      <c r="H694" s="320"/>
      <c r="I694" s="320"/>
      <c r="J694" s="320"/>
      <c r="K694" s="320"/>
      <c r="L694" s="320"/>
      <c r="M694" s="320"/>
      <c r="N694" s="320"/>
      <c r="O694" s="320"/>
      <c r="P694" s="320"/>
      <c r="Q694" s="320"/>
      <c r="R694" s="320"/>
      <c r="S694" s="320"/>
      <c r="T694" s="320"/>
      <c r="U694" s="320"/>
      <c r="V694" s="320"/>
      <c r="W694" s="320"/>
      <c r="X694" s="320"/>
      <c r="Y694" s="320"/>
      <c r="Z694" s="320"/>
    </row>
    <row r="695">
      <c r="A695" s="320"/>
      <c r="B695" s="320"/>
      <c r="C695" s="320"/>
      <c r="D695" s="320"/>
      <c r="E695" s="320"/>
      <c r="F695" s="320"/>
      <c r="G695" s="320"/>
      <c r="H695" s="320"/>
      <c r="I695" s="320"/>
      <c r="J695" s="320"/>
      <c r="K695" s="320"/>
      <c r="L695" s="320"/>
      <c r="M695" s="320"/>
      <c r="N695" s="320"/>
      <c r="O695" s="320"/>
      <c r="P695" s="320"/>
      <c r="Q695" s="320"/>
      <c r="R695" s="320"/>
      <c r="S695" s="320"/>
      <c r="T695" s="320"/>
      <c r="U695" s="320"/>
      <c r="V695" s="320"/>
      <c r="W695" s="320"/>
      <c r="X695" s="320"/>
      <c r="Y695" s="320"/>
      <c r="Z695" s="320"/>
    </row>
    <row r="696">
      <c r="A696" s="320"/>
      <c r="B696" s="320"/>
      <c r="C696" s="320"/>
      <c r="D696" s="320"/>
      <c r="E696" s="320"/>
      <c r="F696" s="320"/>
      <c r="G696" s="320"/>
      <c r="H696" s="320"/>
      <c r="I696" s="320"/>
      <c r="J696" s="320"/>
      <c r="K696" s="320"/>
      <c r="L696" s="320"/>
      <c r="M696" s="320"/>
      <c r="N696" s="320"/>
      <c r="O696" s="320"/>
      <c r="P696" s="320"/>
      <c r="Q696" s="320"/>
      <c r="R696" s="320"/>
      <c r="S696" s="320"/>
      <c r="T696" s="320"/>
      <c r="U696" s="320"/>
      <c r="V696" s="320"/>
      <c r="W696" s="320"/>
      <c r="X696" s="320"/>
      <c r="Y696" s="320"/>
      <c r="Z696" s="320"/>
    </row>
    <row r="697">
      <c r="A697" s="320"/>
      <c r="B697" s="320"/>
      <c r="C697" s="320"/>
      <c r="D697" s="320"/>
      <c r="E697" s="320"/>
      <c r="F697" s="320"/>
      <c r="G697" s="320"/>
      <c r="H697" s="320"/>
      <c r="I697" s="320"/>
      <c r="J697" s="320"/>
      <c r="K697" s="320"/>
      <c r="L697" s="320"/>
      <c r="M697" s="320"/>
      <c r="N697" s="320"/>
      <c r="O697" s="320"/>
      <c r="P697" s="320"/>
      <c r="Q697" s="320"/>
      <c r="R697" s="320"/>
      <c r="S697" s="320"/>
      <c r="T697" s="320"/>
      <c r="U697" s="320"/>
      <c r="V697" s="320"/>
      <c r="W697" s="320"/>
      <c r="X697" s="320"/>
      <c r="Y697" s="320"/>
      <c r="Z697" s="320"/>
    </row>
    <row r="698">
      <c r="A698" s="320"/>
      <c r="B698" s="320"/>
      <c r="C698" s="320"/>
      <c r="D698" s="320"/>
      <c r="E698" s="320"/>
      <c r="F698" s="320"/>
      <c r="G698" s="320"/>
      <c r="H698" s="320"/>
      <c r="I698" s="320"/>
      <c r="J698" s="320"/>
      <c r="K698" s="320"/>
      <c r="L698" s="320"/>
      <c r="M698" s="320"/>
      <c r="N698" s="320"/>
      <c r="O698" s="320"/>
      <c r="P698" s="320"/>
      <c r="Q698" s="320"/>
      <c r="R698" s="320"/>
      <c r="S698" s="320"/>
      <c r="T698" s="320"/>
      <c r="U698" s="320"/>
      <c r="V698" s="320"/>
      <c r="W698" s="320"/>
      <c r="X698" s="320"/>
      <c r="Y698" s="320"/>
      <c r="Z698" s="320"/>
    </row>
    <row r="699">
      <c r="A699" s="320"/>
      <c r="B699" s="320"/>
      <c r="C699" s="320"/>
      <c r="D699" s="320"/>
      <c r="E699" s="320"/>
      <c r="F699" s="320"/>
      <c r="G699" s="320"/>
      <c r="H699" s="320"/>
      <c r="I699" s="320"/>
      <c r="J699" s="320"/>
      <c r="K699" s="320"/>
      <c r="L699" s="320"/>
      <c r="M699" s="320"/>
      <c r="N699" s="320"/>
      <c r="O699" s="320"/>
      <c r="P699" s="320"/>
      <c r="Q699" s="320"/>
      <c r="R699" s="320"/>
      <c r="S699" s="320"/>
      <c r="T699" s="320"/>
      <c r="U699" s="320"/>
      <c r="V699" s="320"/>
      <c r="W699" s="320"/>
      <c r="X699" s="320"/>
      <c r="Y699" s="320"/>
      <c r="Z699" s="320"/>
    </row>
    <row r="700">
      <c r="A700" s="320"/>
      <c r="B700" s="320"/>
      <c r="C700" s="320"/>
      <c r="D700" s="320"/>
      <c r="E700" s="320"/>
      <c r="F700" s="320"/>
      <c r="G700" s="320"/>
      <c r="H700" s="320"/>
      <c r="I700" s="320"/>
      <c r="J700" s="320"/>
      <c r="K700" s="320"/>
      <c r="L700" s="320"/>
      <c r="M700" s="320"/>
      <c r="N700" s="320"/>
      <c r="O700" s="320"/>
      <c r="P700" s="320"/>
      <c r="Q700" s="320"/>
      <c r="R700" s="320"/>
      <c r="S700" s="320"/>
      <c r="T700" s="320"/>
      <c r="U700" s="320"/>
      <c r="V700" s="320"/>
      <c r="W700" s="320"/>
      <c r="X700" s="320"/>
      <c r="Y700" s="320"/>
      <c r="Z700" s="320"/>
    </row>
    <row r="701">
      <c r="A701" s="320"/>
      <c r="B701" s="320"/>
      <c r="C701" s="320"/>
      <c r="D701" s="320"/>
      <c r="E701" s="320"/>
      <c r="F701" s="320"/>
      <c r="G701" s="320"/>
      <c r="H701" s="320"/>
      <c r="I701" s="320"/>
      <c r="J701" s="320"/>
      <c r="K701" s="320"/>
      <c r="L701" s="320"/>
      <c r="M701" s="320"/>
      <c r="N701" s="320"/>
      <c r="O701" s="320"/>
      <c r="P701" s="320"/>
      <c r="Q701" s="320"/>
      <c r="R701" s="320"/>
      <c r="S701" s="320"/>
      <c r="T701" s="320"/>
      <c r="U701" s="320"/>
      <c r="V701" s="320"/>
      <c r="W701" s="320"/>
      <c r="X701" s="320"/>
      <c r="Y701" s="320"/>
      <c r="Z701" s="320"/>
    </row>
    <row r="702">
      <c r="A702" s="320"/>
      <c r="B702" s="320"/>
      <c r="C702" s="320"/>
      <c r="D702" s="320"/>
      <c r="E702" s="320"/>
      <c r="F702" s="320"/>
      <c r="G702" s="320"/>
      <c r="H702" s="320"/>
      <c r="I702" s="320"/>
      <c r="J702" s="320"/>
      <c r="K702" s="320"/>
      <c r="L702" s="320"/>
      <c r="M702" s="320"/>
      <c r="N702" s="320"/>
      <c r="O702" s="320"/>
      <c r="P702" s="320"/>
      <c r="Q702" s="320"/>
      <c r="R702" s="320"/>
      <c r="S702" s="320"/>
      <c r="T702" s="320"/>
      <c r="U702" s="320"/>
      <c r="V702" s="320"/>
      <c r="W702" s="320"/>
      <c r="X702" s="320"/>
      <c r="Y702" s="320"/>
      <c r="Z702" s="320"/>
    </row>
    <row r="703">
      <c r="A703" s="320"/>
      <c r="B703" s="320"/>
      <c r="C703" s="320"/>
      <c r="D703" s="320"/>
      <c r="E703" s="320"/>
      <c r="F703" s="320"/>
      <c r="G703" s="320"/>
      <c r="H703" s="320"/>
      <c r="I703" s="320"/>
      <c r="J703" s="320"/>
      <c r="K703" s="320"/>
      <c r="L703" s="320"/>
      <c r="M703" s="320"/>
      <c r="N703" s="320"/>
      <c r="O703" s="320"/>
      <c r="P703" s="320"/>
      <c r="Q703" s="320"/>
      <c r="R703" s="320"/>
      <c r="S703" s="320"/>
      <c r="T703" s="320"/>
      <c r="U703" s="320"/>
      <c r="V703" s="320"/>
      <c r="W703" s="320"/>
      <c r="X703" s="320"/>
      <c r="Y703" s="320"/>
      <c r="Z703" s="320"/>
    </row>
    <row r="704">
      <c r="A704" s="320"/>
      <c r="B704" s="320"/>
      <c r="C704" s="320"/>
      <c r="D704" s="320"/>
      <c r="E704" s="320"/>
      <c r="F704" s="320"/>
      <c r="G704" s="320"/>
      <c r="H704" s="320"/>
      <c r="I704" s="320"/>
      <c r="J704" s="320"/>
      <c r="K704" s="320"/>
      <c r="L704" s="320"/>
      <c r="M704" s="320"/>
      <c r="N704" s="320"/>
      <c r="O704" s="320"/>
      <c r="P704" s="320"/>
      <c r="Q704" s="320"/>
      <c r="R704" s="320"/>
      <c r="S704" s="320"/>
      <c r="T704" s="320"/>
      <c r="U704" s="320"/>
      <c r="V704" s="320"/>
      <c r="W704" s="320"/>
      <c r="X704" s="320"/>
      <c r="Y704" s="320"/>
      <c r="Z704" s="320"/>
    </row>
    <row r="705">
      <c r="A705" s="320"/>
      <c r="B705" s="320"/>
      <c r="C705" s="320"/>
      <c r="D705" s="320"/>
      <c r="E705" s="320"/>
      <c r="F705" s="320"/>
      <c r="G705" s="320"/>
      <c r="H705" s="320"/>
      <c r="I705" s="320"/>
      <c r="J705" s="320"/>
      <c r="K705" s="320"/>
      <c r="L705" s="320"/>
      <c r="M705" s="320"/>
      <c r="N705" s="320"/>
      <c r="O705" s="320"/>
      <c r="P705" s="320"/>
      <c r="Q705" s="320"/>
      <c r="R705" s="320"/>
      <c r="S705" s="320"/>
      <c r="T705" s="320"/>
      <c r="U705" s="320"/>
      <c r="V705" s="320"/>
      <c r="W705" s="320"/>
      <c r="X705" s="320"/>
      <c r="Y705" s="320"/>
      <c r="Z705" s="320"/>
    </row>
    <row r="706">
      <c r="A706" s="320"/>
      <c r="B706" s="320"/>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c r="Y706" s="320"/>
      <c r="Z706" s="320"/>
    </row>
    <row r="707">
      <c r="A707" s="320"/>
      <c r="B707" s="320"/>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c r="Y707" s="320"/>
      <c r="Z707" s="320"/>
    </row>
    <row r="708">
      <c r="A708" s="320"/>
      <c r="B708" s="320"/>
      <c r="C708" s="320"/>
      <c r="D708" s="320"/>
      <c r="E708" s="320"/>
      <c r="F708" s="320"/>
      <c r="G708" s="320"/>
      <c r="H708" s="320"/>
      <c r="I708" s="320"/>
      <c r="J708" s="320"/>
      <c r="K708" s="320"/>
      <c r="L708" s="320"/>
      <c r="M708" s="320"/>
      <c r="N708" s="320"/>
      <c r="O708" s="320"/>
      <c r="P708" s="320"/>
      <c r="Q708" s="320"/>
      <c r="R708" s="320"/>
      <c r="S708" s="320"/>
      <c r="T708" s="320"/>
      <c r="U708" s="320"/>
      <c r="V708" s="320"/>
      <c r="W708" s="320"/>
      <c r="X708" s="320"/>
      <c r="Y708" s="320"/>
      <c r="Z708" s="320"/>
    </row>
    <row r="709">
      <c r="A709" s="320"/>
      <c r="B709" s="320"/>
      <c r="C709" s="320"/>
      <c r="D709" s="320"/>
      <c r="E709" s="320"/>
      <c r="F709" s="320"/>
      <c r="G709" s="320"/>
      <c r="H709" s="320"/>
      <c r="I709" s="320"/>
      <c r="J709" s="320"/>
      <c r="K709" s="320"/>
      <c r="L709" s="320"/>
      <c r="M709" s="320"/>
      <c r="N709" s="320"/>
      <c r="O709" s="320"/>
      <c r="P709" s="320"/>
      <c r="Q709" s="320"/>
      <c r="R709" s="320"/>
      <c r="S709" s="320"/>
      <c r="T709" s="320"/>
      <c r="U709" s="320"/>
      <c r="V709" s="320"/>
      <c r="W709" s="320"/>
      <c r="X709" s="320"/>
      <c r="Y709" s="320"/>
      <c r="Z709" s="320"/>
    </row>
    <row r="710">
      <c r="A710" s="320"/>
      <c r="B710" s="320"/>
      <c r="C710" s="320"/>
      <c r="D710" s="320"/>
      <c r="E710" s="320"/>
      <c r="F710" s="320"/>
      <c r="G710" s="320"/>
      <c r="H710" s="320"/>
      <c r="I710" s="320"/>
      <c r="J710" s="320"/>
      <c r="K710" s="320"/>
      <c r="L710" s="320"/>
      <c r="M710" s="320"/>
      <c r="N710" s="320"/>
      <c r="O710" s="320"/>
      <c r="P710" s="320"/>
      <c r="Q710" s="320"/>
      <c r="R710" s="320"/>
      <c r="S710" s="320"/>
      <c r="T710" s="320"/>
      <c r="U710" s="320"/>
      <c r="V710" s="320"/>
      <c r="W710" s="320"/>
      <c r="X710" s="320"/>
      <c r="Y710" s="320"/>
      <c r="Z710" s="320"/>
    </row>
    <row r="711">
      <c r="A711" s="320"/>
      <c r="B711" s="320"/>
      <c r="C711" s="320"/>
      <c r="D711" s="320"/>
      <c r="E711" s="320"/>
      <c r="F711" s="320"/>
      <c r="G711" s="320"/>
      <c r="H711" s="320"/>
      <c r="I711" s="320"/>
      <c r="J711" s="320"/>
      <c r="K711" s="320"/>
      <c r="L711" s="320"/>
      <c r="M711" s="320"/>
      <c r="N711" s="320"/>
      <c r="O711" s="320"/>
      <c r="P711" s="320"/>
      <c r="Q711" s="320"/>
      <c r="R711" s="320"/>
      <c r="S711" s="320"/>
      <c r="T711" s="320"/>
      <c r="U711" s="320"/>
      <c r="V711" s="320"/>
      <c r="W711" s="320"/>
      <c r="X711" s="320"/>
      <c r="Y711" s="320"/>
      <c r="Z711" s="320"/>
    </row>
    <row r="712">
      <c r="A712" s="320"/>
      <c r="B712" s="320"/>
      <c r="C712" s="320"/>
      <c r="D712" s="320"/>
      <c r="E712" s="320"/>
      <c r="F712" s="320"/>
      <c r="G712" s="320"/>
      <c r="H712" s="320"/>
      <c r="I712" s="320"/>
      <c r="J712" s="320"/>
      <c r="K712" s="320"/>
      <c r="L712" s="320"/>
      <c r="M712" s="320"/>
      <c r="N712" s="320"/>
      <c r="O712" s="320"/>
      <c r="P712" s="320"/>
      <c r="Q712" s="320"/>
      <c r="R712" s="320"/>
      <c r="S712" s="320"/>
      <c r="T712" s="320"/>
      <c r="U712" s="320"/>
      <c r="V712" s="320"/>
      <c r="W712" s="320"/>
      <c r="X712" s="320"/>
      <c r="Y712" s="320"/>
      <c r="Z712" s="320"/>
    </row>
    <row r="713">
      <c r="A713" s="320"/>
      <c r="B713" s="320"/>
      <c r="C713" s="320"/>
      <c r="D713" s="320"/>
      <c r="E713" s="320"/>
      <c r="F713" s="320"/>
      <c r="G713" s="320"/>
      <c r="H713" s="320"/>
      <c r="I713" s="320"/>
      <c r="J713" s="320"/>
      <c r="K713" s="320"/>
      <c r="L713" s="320"/>
      <c r="M713" s="320"/>
      <c r="N713" s="320"/>
      <c r="O713" s="320"/>
      <c r="P713" s="320"/>
      <c r="Q713" s="320"/>
      <c r="R713" s="320"/>
      <c r="S713" s="320"/>
      <c r="T713" s="320"/>
      <c r="U713" s="320"/>
      <c r="V713" s="320"/>
      <c r="W713" s="320"/>
      <c r="X713" s="320"/>
      <c r="Y713" s="320"/>
      <c r="Z713" s="320"/>
    </row>
    <row r="714">
      <c r="A714" s="320"/>
      <c r="B714" s="320"/>
      <c r="C714" s="320"/>
      <c r="D714" s="320"/>
      <c r="E714" s="320"/>
      <c r="F714" s="320"/>
      <c r="G714" s="320"/>
      <c r="H714" s="320"/>
      <c r="I714" s="320"/>
      <c r="J714" s="320"/>
      <c r="K714" s="320"/>
      <c r="L714" s="320"/>
      <c r="M714" s="320"/>
      <c r="N714" s="320"/>
      <c r="O714" s="320"/>
      <c r="P714" s="320"/>
      <c r="Q714" s="320"/>
      <c r="R714" s="320"/>
      <c r="S714" s="320"/>
      <c r="T714" s="320"/>
      <c r="U714" s="320"/>
      <c r="V714" s="320"/>
      <c r="W714" s="320"/>
      <c r="X714" s="320"/>
      <c r="Y714" s="320"/>
      <c r="Z714" s="320"/>
    </row>
    <row r="715">
      <c r="A715" s="320"/>
      <c r="B715" s="320"/>
      <c r="C715" s="320"/>
      <c r="D715" s="320"/>
      <c r="E715" s="320"/>
      <c r="F715" s="320"/>
      <c r="G715" s="320"/>
      <c r="H715" s="320"/>
      <c r="I715" s="320"/>
      <c r="J715" s="320"/>
      <c r="K715" s="320"/>
      <c r="L715" s="320"/>
      <c r="M715" s="320"/>
      <c r="N715" s="320"/>
      <c r="O715" s="320"/>
      <c r="P715" s="320"/>
      <c r="Q715" s="320"/>
      <c r="R715" s="320"/>
      <c r="S715" s="320"/>
      <c r="T715" s="320"/>
      <c r="U715" s="320"/>
      <c r="V715" s="320"/>
      <c r="W715" s="320"/>
      <c r="X715" s="320"/>
      <c r="Y715" s="320"/>
      <c r="Z715" s="320"/>
    </row>
    <row r="716">
      <c r="A716" s="320"/>
      <c r="B716" s="320"/>
      <c r="C716" s="320"/>
      <c r="D716" s="320"/>
      <c r="E716" s="320"/>
      <c r="F716" s="320"/>
      <c r="G716" s="320"/>
      <c r="H716" s="320"/>
      <c r="I716" s="320"/>
      <c r="J716" s="320"/>
      <c r="K716" s="320"/>
      <c r="L716" s="320"/>
      <c r="M716" s="320"/>
      <c r="N716" s="320"/>
      <c r="O716" s="320"/>
      <c r="P716" s="320"/>
      <c r="Q716" s="320"/>
      <c r="R716" s="320"/>
      <c r="S716" s="320"/>
      <c r="T716" s="320"/>
      <c r="U716" s="320"/>
      <c r="V716" s="320"/>
      <c r="W716" s="320"/>
      <c r="X716" s="320"/>
      <c r="Y716" s="320"/>
      <c r="Z716" s="320"/>
    </row>
    <row r="717">
      <c r="A717" s="320"/>
      <c r="B717" s="320"/>
      <c r="C717" s="320"/>
      <c r="D717" s="320"/>
      <c r="E717" s="320"/>
      <c r="F717" s="320"/>
      <c r="G717" s="320"/>
      <c r="H717" s="320"/>
      <c r="I717" s="320"/>
      <c r="J717" s="320"/>
      <c r="K717" s="320"/>
      <c r="L717" s="320"/>
      <c r="M717" s="320"/>
      <c r="N717" s="320"/>
      <c r="O717" s="320"/>
      <c r="P717" s="320"/>
      <c r="Q717" s="320"/>
      <c r="R717" s="320"/>
      <c r="S717" s="320"/>
      <c r="T717" s="320"/>
      <c r="U717" s="320"/>
      <c r="V717" s="320"/>
      <c r="W717" s="320"/>
      <c r="X717" s="320"/>
      <c r="Y717" s="320"/>
      <c r="Z717" s="320"/>
    </row>
    <row r="718">
      <c r="A718" s="320"/>
      <c r="B718" s="320"/>
      <c r="C718" s="320"/>
      <c r="D718" s="320"/>
      <c r="E718" s="320"/>
      <c r="F718" s="320"/>
      <c r="G718" s="320"/>
      <c r="H718" s="320"/>
      <c r="I718" s="320"/>
      <c r="J718" s="320"/>
      <c r="K718" s="320"/>
      <c r="L718" s="320"/>
      <c r="M718" s="320"/>
      <c r="N718" s="320"/>
      <c r="O718" s="320"/>
      <c r="P718" s="320"/>
      <c r="Q718" s="320"/>
      <c r="R718" s="320"/>
      <c r="S718" s="320"/>
      <c r="T718" s="320"/>
      <c r="U718" s="320"/>
      <c r="V718" s="320"/>
      <c r="W718" s="320"/>
      <c r="X718" s="320"/>
      <c r="Y718" s="320"/>
      <c r="Z718" s="320"/>
    </row>
    <row r="719">
      <c r="A719" s="320"/>
      <c r="B719" s="320"/>
      <c r="C719" s="320"/>
      <c r="D719" s="320"/>
      <c r="E719" s="320"/>
      <c r="F719" s="320"/>
      <c r="G719" s="320"/>
      <c r="H719" s="320"/>
      <c r="I719" s="320"/>
      <c r="J719" s="320"/>
      <c r="K719" s="320"/>
      <c r="L719" s="320"/>
      <c r="M719" s="320"/>
      <c r="N719" s="320"/>
      <c r="O719" s="320"/>
      <c r="P719" s="320"/>
      <c r="Q719" s="320"/>
      <c r="R719" s="320"/>
      <c r="S719" s="320"/>
      <c r="T719" s="320"/>
      <c r="U719" s="320"/>
      <c r="V719" s="320"/>
      <c r="W719" s="320"/>
      <c r="X719" s="320"/>
      <c r="Y719" s="320"/>
      <c r="Z719" s="320"/>
    </row>
    <row r="720">
      <c r="A720" s="320"/>
      <c r="B720" s="320"/>
      <c r="C720" s="320"/>
      <c r="D720" s="320"/>
      <c r="E720" s="320"/>
      <c r="F720" s="320"/>
      <c r="G720" s="320"/>
      <c r="H720" s="320"/>
      <c r="I720" s="320"/>
      <c r="J720" s="320"/>
      <c r="K720" s="320"/>
      <c r="L720" s="320"/>
      <c r="M720" s="320"/>
      <c r="N720" s="320"/>
      <c r="O720" s="320"/>
      <c r="P720" s="320"/>
      <c r="Q720" s="320"/>
      <c r="R720" s="320"/>
      <c r="S720" s="320"/>
      <c r="T720" s="320"/>
      <c r="U720" s="320"/>
      <c r="V720" s="320"/>
      <c r="W720" s="320"/>
      <c r="X720" s="320"/>
      <c r="Y720" s="320"/>
      <c r="Z720" s="320"/>
    </row>
    <row r="721">
      <c r="A721" s="320"/>
      <c r="B721" s="320"/>
      <c r="C721" s="320"/>
      <c r="D721" s="320"/>
      <c r="E721" s="320"/>
      <c r="F721" s="320"/>
      <c r="G721" s="320"/>
      <c r="H721" s="320"/>
      <c r="I721" s="320"/>
      <c r="J721" s="320"/>
      <c r="K721" s="320"/>
      <c r="L721" s="320"/>
      <c r="M721" s="320"/>
      <c r="N721" s="320"/>
      <c r="O721" s="320"/>
      <c r="P721" s="320"/>
      <c r="Q721" s="320"/>
      <c r="R721" s="320"/>
      <c r="S721" s="320"/>
      <c r="T721" s="320"/>
      <c r="U721" s="320"/>
      <c r="V721" s="320"/>
      <c r="W721" s="320"/>
      <c r="X721" s="320"/>
      <c r="Y721" s="320"/>
      <c r="Z721" s="320"/>
    </row>
    <row r="722">
      <c r="A722" s="320"/>
      <c r="B722" s="320"/>
      <c r="C722" s="320"/>
      <c r="D722" s="320"/>
      <c r="E722" s="320"/>
      <c r="F722" s="320"/>
      <c r="G722" s="320"/>
      <c r="H722" s="320"/>
      <c r="I722" s="320"/>
      <c r="J722" s="320"/>
      <c r="K722" s="320"/>
      <c r="L722" s="320"/>
      <c r="M722" s="320"/>
      <c r="N722" s="320"/>
      <c r="O722" s="320"/>
      <c r="P722" s="320"/>
      <c r="Q722" s="320"/>
      <c r="R722" s="320"/>
      <c r="S722" s="320"/>
      <c r="T722" s="320"/>
      <c r="U722" s="320"/>
      <c r="V722" s="320"/>
      <c r="W722" s="320"/>
      <c r="X722" s="320"/>
      <c r="Y722" s="320"/>
      <c r="Z722" s="320"/>
    </row>
    <row r="723">
      <c r="A723" s="320"/>
      <c r="B723" s="320"/>
      <c r="C723" s="320"/>
      <c r="D723" s="320"/>
      <c r="E723" s="320"/>
      <c r="F723" s="320"/>
      <c r="G723" s="320"/>
      <c r="H723" s="320"/>
      <c r="I723" s="320"/>
      <c r="J723" s="320"/>
      <c r="K723" s="320"/>
      <c r="L723" s="320"/>
      <c r="M723" s="320"/>
      <c r="N723" s="320"/>
      <c r="O723" s="320"/>
      <c r="P723" s="320"/>
      <c r="Q723" s="320"/>
      <c r="R723" s="320"/>
      <c r="S723" s="320"/>
      <c r="T723" s="320"/>
      <c r="U723" s="320"/>
      <c r="V723" s="320"/>
      <c r="W723" s="320"/>
      <c r="X723" s="320"/>
      <c r="Y723" s="320"/>
      <c r="Z723" s="320"/>
    </row>
    <row r="724">
      <c r="A724" s="320"/>
      <c r="B724" s="320"/>
      <c r="C724" s="320"/>
      <c r="D724" s="320"/>
      <c r="E724" s="320"/>
      <c r="F724" s="320"/>
      <c r="G724" s="320"/>
      <c r="H724" s="320"/>
      <c r="I724" s="320"/>
      <c r="J724" s="320"/>
      <c r="K724" s="320"/>
      <c r="L724" s="320"/>
      <c r="M724" s="320"/>
      <c r="N724" s="320"/>
      <c r="O724" s="320"/>
      <c r="P724" s="320"/>
      <c r="Q724" s="320"/>
      <c r="R724" s="320"/>
      <c r="S724" s="320"/>
      <c r="T724" s="320"/>
      <c r="U724" s="320"/>
      <c r="V724" s="320"/>
      <c r="W724" s="320"/>
      <c r="X724" s="320"/>
      <c r="Y724" s="320"/>
      <c r="Z724" s="320"/>
    </row>
    <row r="725">
      <c r="A725" s="320"/>
      <c r="B725" s="320"/>
      <c r="C725" s="320"/>
      <c r="D725" s="320"/>
      <c r="E725" s="320"/>
      <c r="F725" s="320"/>
      <c r="G725" s="320"/>
      <c r="H725" s="320"/>
      <c r="I725" s="320"/>
      <c r="J725" s="320"/>
      <c r="K725" s="320"/>
      <c r="L725" s="320"/>
      <c r="M725" s="320"/>
      <c r="N725" s="320"/>
      <c r="O725" s="320"/>
      <c r="P725" s="320"/>
      <c r="Q725" s="320"/>
      <c r="R725" s="320"/>
      <c r="S725" s="320"/>
      <c r="T725" s="320"/>
      <c r="U725" s="320"/>
      <c r="V725" s="320"/>
      <c r="W725" s="320"/>
      <c r="X725" s="320"/>
      <c r="Y725" s="320"/>
      <c r="Z725" s="320"/>
    </row>
    <row r="726">
      <c r="A726" s="320"/>
      <c r="B726" s="320"/>
      <c r="C726" s="320"/>
      <c r="D726" s="320"/>
      <c r="E726" s="320"/>
      <c r="F726" s="320"/>
      <c r="G726" s="320"/>
      <c r="H726" s="320"/>
      <c r="I726" s="320"/>
      <c r="J726" s="320"/>
      <c r="K726" s="320"/>
      <c r="L726" s="320"/>
      <c r="M726" s="320"/>
      <c r="N726" s="320"/>
      <c r="O726" s="320"/>
      <c r="P726" s="320"/>
      <c r="Q726" s="320"/>
      <c r="R726" s="320"/>
      <c r="S726" s="320"/>
      <c r="T726" s="320"/>
      <c r="U726" s="320"/>
      <c r="V726" s="320"/>
      <c r="W726" s="320"/>
      <c r="X726" s="320"/>
      <c r="Y726" s="320"/>
      <c r="Z726" s="320"/>
    </row>
    <row r="727">
      <c r="A727" s="320"/>
      <c r="B727" s="320"/>
      <c r="C727" s="320"/>
      <c r="D727" s="320"/>
      <c r="E727" s="320"/>
      <c r="F727" s="320"/>
      <c r="G727" s="320"/>
      <c r="H727" s="320"/>
      <c r="I727" s="320"/>
      <c r="J727" s="320"/>
      <c r="K727" s="320"/>
      <c r="L727" s="320"/>
      <c r="M727" s="320"/>
      <c r="N727" s="320"/>
      <c r="O727" s="320"/>
      <c r="P727" s="320"/>
      <c r="Q727" s="320"/>
      <c r="R727" s="320"/>
      <c r="S727" s="320"/>
      <c r="T727" s="320"/>
      <c r="U727" s="320"/>
      <c r="V727" s="320"/>
      <c r="W727" s="320"/>
      <c r="X727" s="320"/>
      <c r="Y727" s="320"/>
      <c r="Z727" s="320"/>
    </row>
    <row r="728">
      <c r="A728" s="320"/>
      <c r="B728" s="320"/>
      <c r="C728" s="320"/>
      <c r="D728" s="320"/>
      <c r="E728" s="320"/>
      <c r="F728" s="320"/>
      <c r="G728" s="320"/>
      <c r="H728" s="320"/>
      <c r="I728" s="320"/>
      <c r="J728" s="320"/>
      <c r="K728" s="320"/>
      <c r="L728" s="320"/>
      <c r="M728" s="320"/>
      <c r="N728" s="320"/>
      <c r="O728" s="320"/>
      <c r="P728" s="320"/>
      <c r="Q728" s="320"/>
      <c r="R728" s="320"/>
      <c r="S728" s="320"/>
      <c r="T728" s="320"/>
      <c r="U728" s="320"/>
      <c r="V728" s="320"/>
      <c r="W728" s="320"/>
      <c r="X728" s="320"/>
      <c r="Y728" s="320"/>
      <c r="Z728" s="320"/>
    </row>
    <row r="729">
      <c r="A729" s="320"/>
      <c r="B729" s="320"/>
      <c r="C729" s="320"/>
      <c r="D729" s="320"/>
      <c r="E729" s="320"/>
      <c r="F729" s="320"/>
      <c r="G729" s="320"/>
      <c r="H729" s="320"/>
      <c r="I729" s="320"/>
      <c r="J729" s="320"/>
      <c r="K729" s="320"/>
      <c r="L729" s="320"/>
      <c r="M729" s="320"/>
      <c r="N729" s="320"/>
      <c r="O729" s="320"/>
      <c r="P729" s="320"/>
      <c r="Q729" s="320"/>
      <c r="R729" s="320"/>
      <c r="S729" s="320"/>
      <c r="T729" s="320"/>
      <c r="U729" s="320"/>
      <c r="V729" s="320"/>
      <c r="W729" s="320"/>
      <c r="X729" s="320"/>
      <c r="Y729" s="320"/>
      <c r="Z729" s="320"/>
    </row>
    <row r="730">
      <c r="A730" s="320"/>
      <c r="B730" s="320"/>
      <c r="C730" s="320"/>
      <c r="D730" s="320"/>
      <c r="E730" s="320"/>
      <c r="F730" s="320"/>
      <c r="G730" s="320"/>
      <c r="H730" s="320"/>
      <c r="I730" s="320"/>
      <c r="J730" s="320"/>
      <c r="K730" s="320"/>
      <c r="L730" s="320"/>
      <c r="M730" s="320"/>
      <c r="N730" s="320"/>
      <c r="O730" s="320"/>
      <c r="P730" s="320"/>
      <c r="Q730" s="320"/>
      <c r="R730" s="320"/>
      <c r="S730" s="320"/>
      <c r="T730" s="320"/>
      <c r="U730" s="320"/>
      <c r="V730" s="320"/>
      <c r="W730" s="320"/>
      <c r="X730" s="320"/>
      <c r="Y730" s="320"/>
      <c r="Z730" s="320"/>
    </row>
    <row r="731">
      <c r="A731" s="320"/>
      <c r="B731" s="320"/>
      <c r="C731" s="320"/>
      <c r="D731" s="320"/>
      <c r="E731" s="320"/>
      <c r="F731" s="320"/>
      <c r="G731" s="320"/>
      <c r="H731" s="320"/>
      <c r="I731" s="320"/>
      <c r="J731" s="320"/>
      <c r="K731" s="320"/>
      <c r="L731" s="320"/>
      <c r="M731" s="320"/>
      <c r="N731" s="320"/>
      <c r="O731" s="320"/>
      <c r="P731" s="320"/>
      <c r="Q731" s="320"/>
      <c r="R731" s="320"/>
      <c r="S731" s="320"/>
      <c r="T731" s="320"/>
      <c r="U731" s="320"/>
      <c r="V731" s="320"/>
      <c r="W731" s="320"/>
      <c r="X731" s="320"/>
      <c r="Y731" s="320"/>
      <c r="Z731" s="320"/>
    </row>
    <row r="732">
      <c r="A732" s="320"/>
      <c r="B732" s="320"/>
      <c r="C732" s="320"/>
      <c r="D732" s="320"/>
      <c r="E732" s="320"/>
      <c r="F732" s="320"/>
      <c r="G732" s="320"/>
      <c r="H732" s="320"/>
      <c r="I732" s="320"/>
      <c r="J732" s="320"/>
      <c r="K732" s="320"/>
      <c r="L732" s="320"/>
      <c r="M732" s="320"/>
      <c r="N732" s="320"/>
      <c r="O732" s="320"/>
      <c r="P732" s="320"/>
      <c r="Q732" s="320"/>
      <c r="R732" s="320"/>
      <c r="S732" s="320"/>
      <c r="T732" s="320"/>
      <c r="U732" s="320"/>
      <c r="V732" s="320"/>
      <c r="W732" s="320"/>
      <c r="X732" s="320"/>
      <c r="Y732" s="320"/>
      <c r="Z732" s="320"/>
    </row>
    <row r="733">
      <c r="A733" s="320"/>
      <c r="B733" s="320"/>
      <c r="C733" s="320"/>
      <c r="D733" s="320"/>
      <c r="E733" s="320"/>
      <c r="F733" s="320"/>
      <c r="G733" s="320"/>
      <c r="H733" s="320"/>
      <c r="I733" s="320"/>
      <c r="J733" s="320"/>
      <c r="K733" s="320"/>
      <c r="L733" s="320"/>
      <c r="M733" s="320"/>
      <c r="N733" s="320"/>
      <c r="O733" s="320"/>
      <c r="P733" s="320"/>
      <c r="Q733" s="320"/>
      <c r="R733" s="320"/>
      <c r="S733" s="320"/>
      <c r="T733" s="320"/>
      <c r="U733" s="320"/>
      <c r="V733" s="320"/>
      <c r="W733" s="320"/>
      <c r="X733" s="320"/>
      <c r="Y733" s="320"/>
      <c r="Z733" s="320"/>
    </row>
    <row r="734">
      <c r="A734" s="320"/>
      <c r="B734" s="320"/>
      <c r="C734" s="320"/>
      <c r="D734" s="320"/>
      <c r="E734" s="320"/>
      <c r="F734" s="320"/>
      <c r="G734" s="320"/>
      <c r="H734" s="320"/>
      <c r="I734" s="320"/>
      <c r="J734" s="320"/>
      <c r="K734" s="320"/>
      <c r="L734" s="320"/>
      <c r="M734" s="320"/>
      <c r="N734" s="320"/>
      <c r="O734" s="320"/>
      <c r="P734" s="320"/>
      <c r="Q734" s="320"/>
      <c r="R734" s="320"/>
      <c r="S734" s="320"/>
      <c r="T734" s="320"/>
      <c r="U734" s="320"/>
      <c r="V734" s="320"/>
      <c r="W734" s="320"/>
      <c r="X734" s="320"/>
      <c r="Y734" s="320"/>
      <c r="Z734" s="320"/>
    </row>
    <row r="735">
      <c r="A735" s="320"/>
      <c r="B735" s="320"/>
      <c r="C735" s="320"/>
      <c r="D735" s="320"/>
      <c r="E735" s="320"/>
      <c r="F735" s="320"/>
      <c r="G735" s="320"/>
      <c r="H735" s="320"/>
      <c r="I735" s="320"/>
      <c r="J735" s="320"/>
      <c r="K735" s="320"/>
      <c r="L735" s="320"/>
      <c r="M735" s="320"/>
      <c r="N735" s="320"/>
      <c r="O735" s="320"/>
      <c r="P735" s="320"/>
      <c r="Q735" s="320"/>
      <c r="R735" s="320"/>
      <c r="S735" s="320"/>
      <c r="T735" s="320"/>
      <c r="U735" s="320"/>
      <c r="V735" s="320"/>
      <c r="W735" s="320"/>
      <c r="X735" s="320"/>
      <c r="Y735" s="320"/>
      <c r="Z735" s="320"/>
    </row>
    <row r="736">
      <c r="A736" s="320"/>
      <c r="B736" s="320"/>
      <c r="C736" s="320"/>
      <c r="D736" s="320"/>
      <c r="E736" s="320"/>
      <c r="F736" s="320"/>
      <c r="G736" s="320"/>
      <c r="H736" s="320"/>
      <c r="I736" s="320"/>
      <c r="J736" s="320"/>
      <c r="K736" s="320"/>
      <c r="L736" s="320"/>
      <c r="M736" s="320"/>
      <c r="N736" s="320"/>
      <c r="O736" s="320"/>
      <c r="P736" s="320"/>
      <c r="Q736" s="320"/>
      <c r="R736" s="320"/>
      <c r="S736" s="320"/>
      <c r="T736" s="320"/>
      <c r="U736" s="320"/>
      <c r="V736" s="320"/>
      <c r="W736" s="320"/>
      <c r="X736" s="320"/>
      <c r="Y736" s="320"/>
      <c r="Z736" s="320"/>
    </row>
    <row r="737">
      <c r="A737" s="320"/>
      <c r="B737" s="320"/>
      <c r="C737" s="320"/>
      <c r="D737" s="320"/>
      <c r="E737" s="320"/>
      <c r="F737" s="320"/>
      <c r="G737" s="320"/>
      <c r="H737" s="320"/>
      <c r="I737" s="320"/>
      <c r="J737" s="320"/>
      <c r="K737" s="320"/>
      <c r="L737" s="320"/>
      <c r="M737" s="320"/>
      <c r="N737" s="320"/>
      <c r="O737" s="320"/>
      <c r="P737" s="320"/>
      <c r="Q737" s="320"/>
      <c r="R737" s="320"/>
      <c r="S737" s="320"/>
      <c r="T737" s="320"/>
      <c r="U737" s="320"/>
      <c r="V737" s="320"/>
      <c r="W737" s="320"/>
      <c r="X737" s="320"/>
      <c r="Y737" s="320"/>
      <c r="Z737" s="320"/>
    </row>
    <row r="738">
      <c r="A738" s="320"/>
      <c r="B738" s="320"/>
      <c r="C738" s="320"/>
      <c r="D738" s="320"/>
      <c r="E738" s="320"/>
      <c r="F738" s="320"/>
      <c r="G738" s="320"/>
      <c r="H738" s="320"/>
      <c r="I738" s="320"/>
      <c r="J738" s="320"/>
      <c r="K738" s="320"/>
      <c r="L738" s="320"/>
      <c r="M738" s="320"/>
      <c r="N738" s="320"/>
      <c r="O738" s="320"/>
      <c r="P738" s="320"/>
      <c r="Q738" s="320"/>
      <c r="R738" s="320"/>
      <c r="S738" s="320"/>
      <c r="T738" s="320"/>
      <c r="U738" s="320"/>
      <c r="V738" s="320"/>
      <c r="W738" s="320"/>
      <c r="X738" s="320"/>
      <c r="Y738" s="320"/>
      <c r="Z738" s="320"/>
    </row>
    <row r="739">
      <c r="A739" s="320"/>
      <c r="B739" s="320"/>
      <c r="C739" s="320"/>
      <c r="D739" s="320"/>
      <c r="E739" s="320"/>
      <c r="F739" s="320"/>
      <c r="G739" s="320"/>
      <c r="H739" s="320"/>
      <c r="I739" s="320"/>
      <c r="J739" s="320"/>
      <c r="K739" s="320"/>
      <c r="L739" s="320"/>
      <c r="M739" s="320"/>
      <c r="N739" s="320"/>
      <c r="O739" s="320"/>
      <c r="P739" s="320"/>
      <c r="Q739" s="320"/>
      <c r="R739" s="320"/>
      <c r="S739" s="320"/>
      <c r="T739" s="320"/>
      <c r="U739" s="320"/>
      <c r="V739" s="320"/>
      <c r="W739" s="320"/>
      <c r="X739" s="320"/>
      <c r="Y739" s="320"/>
      <c r="Z739" s="320"/>
    </row>
    <row r="740">
      <c r="A740" s="320"/>
      <c r="B740" s="320"/>
      <c r="C740" s="320"/>
      <c r="D740" s="320"/>
      <c r="E740" s="320"/>
      <c r="F740" s="320"/>
      <c r="G740" s="320"/>
      <c r="H740" s="320"/>
      <c r="I740" s="320"/>
      <c r="J740" s="320"/>
      <c r="K740" s="320"/>
      <c r="L740" s="320"/>
      <c r="M740" s="320"/>
      <c r="N740" s="320"/>
      <c r="O740" s="320"/>
      <c r="P740" s="320"/>
      <c r="Q740" s="320"/>
      <c r="R740" s="320"/>
      <c r="S740" s="320"/>
      <c r="T740" s="320"/>
      <c r="U740" s="320"/>
      <c r="V740" s="320"/>
      <c r="W740" s="320"/>
      <c r="X740" s="320"/>
      <c r="Y740" s="320"/>
      <c r="Z740" s="320"/>
    </row>
    <row r="741">
      <c r="A741" s="320"/>
      <c r="B741" s="320"/>
      <c r="C741" s="320"/>
      <c r="D741" s="320"/>
      <c r="E741" s="320"/>
      <c r="F741" s="320"/>
      <c r="G741" s="320"/>
      <c r="H741" s="320"/>
      <c r="I741" s="320"/>
      <c r="J741" s="320"/>
      <c r="K741" s="320"/>
      <c r="L741" s="320"/>
      <c r="M741" s="320"/>
      <c r="N741" s="320"/>
      <c r="O741" s="320"/>
      <c r="P741" s="320"/>
      <c r="Q741" s="320"/>
      <c r="R741" s="320"/>
      <c r="S741" s="320"/>
      <c r="T741" s="320"/>
      <c r="U741" s="320"/>
      <c r="V741" s="320"/>
      <c r="W741" s="320"/>
      <c r="X741" s="320"/>
      <c r="Y741" s="320"/>
      <c r="Z741" s="320"/>
    </row>
    <row r="742">
      <c r="A742" s="320"/>
      <c r="B742" s="320"/>
      <c r="C742" s="320"/>
      <c r="D742" s="320"/>
      <c r="E742" s="320"/>
      <c r="F742" s="320"/>
      <c r="G742" s="320"/>
      <c r="H742" s="320"/>
      <c r="I742" s="320"/>
      <c r="J742" s="320"/>
      <c r="K742" s="320"/>
      <c r="L742" s="320"/>
      <c r="M742" s="320"/>
      <c r="N742" s="320"/>
      <c r="O742" s="320"/>
      <c r="P742" s="320"/>
      <c r="Q742" s="320"/>
      <c r="R742" s="320"/>
      <c r="S742" s="320"/>
      <c r="T742" s="320"/>
      <c r="U742" s="320"/>
      <c r="V742" s="320"/>
      <c r="W742" s="320"/>
      <c r="X742" s="320"/>
      <c r="Y742" s="320"/>
      <c r="Z742" s="320"/>
    </row>
    <row r="743">
      <c r="A743" s="320"/>
      <c r="B743" s="320"/>
      <c r="C743" s="320"/>
      <c r="D743" s="320"/>
      <c r="E743" s="320"/>
      <c r="F743" s="320"/>
      <c r="G743" s="320"/>
      <c r="H743" s="320"/>
      <c r="I743" s="320"/>
      <c r="J743" s="320"/>
      <c r="K743" s="320"/>
      <c r="L743" s="320"/>
      <c r="M743" s="320"/>
      <c r="N743" s="320"/>
      <c r="O743" s="320"/>
      <c r="P743" s="320"/>
      <c r="Q743" s="320"/>
      <c r="R743" s="320"/>
      <c r="S743" s="320"/>
      <c r="T743" s="320"/>
      <c r="U743" s="320"/>
      <c r="V743" s="320"/>
      <c r="W743" s="320"/>
      <c r="X743" s="320"/>
      <c r="Y743" s="320"/>
      <c r="Z743" s="320"/>
    </row>
    <row r="744">
      <c r="A744" s="320"/>
      <c r="B744" s="320"/>
      <c r="C744" s="320"/>
      <c r="D744" s="320"/>
      <c r="E744" s="320"/>
      <c r="F744" s="320"/>
      <c r="G744" s="320"/>
      <c r="H744" s="320"/>
      <c r="I744" s="320"/>
      <c r="J744" s="320"/>
      <c r="K744" s="320"/>
      <c r="L744" s="320"/>
      <c r="M744" s="320"/>
      <c r="N744" s="320"/>
      <c r="O744" s="320"/>
      <c r="P744" s="320"/>
      <c r="Q744" s="320"/>
      <c r="R744" s="320"/>
      <c r="S744" s="320"/>
      <c r="T744" s="320"/>
      <c r="U744" s="320"/>
      <c r="V744" s="320"/>
      <c r="W744" s="320"/>
      <c r="X744" s="320"/>
      <c r="Y744" s="320"/>
      <c r="Z744" s="320"/>
    </row>
    <row r="745">
      <c r="A745" s="320"/>
      <c r="B745" s="320"/>
      <c r="C745" s="320"/>
      <c r="D745" s="320"/>
      <c r="E745" s="320"/>
      <c r="F745" s="320"/>
      <c r="G745" s="320"/>
      <c r="H745" s="320"/>
      <c r="I745" s="320"/>
      <c r="J745" s="320"/>
      <c r="K745" s="320"/>
      <c r="L745" s="320"/>
      <c r="M745" s="320"/>
      <c r="N745" s="320"/>
      <c r="O745" s="320"/>
      <c r="P745" s="320"/>
      <c r="Q745" s="320"/>
      <c r="R745" s="320"/>
      <c r="S745" s="320"/>
      <c r="T745" s="320"/>
      <c r="U745" s="320"/>
      <c r="V745" s="320"/>
      <c r="W745" s="320"/>
      <c r="X745" s="320"/>
      <c r="Y745" s="320"/>
      <c r="Z745" s="320"/>
    </row>
    <row r="746">
      <c r="A746" s="320"/>
      <c r="B746" s="320"/>
      <c r="C746" s="320"/>
      <c r="D746" s="320"/>
      <c r="E746" s="320"/>
      <c r="F746" s="320"/>
      <c r="G746" s="320"/>
      <c r="H746" s="320"/>
      <c r="I746" s="320"/>
      <c r="J746" s="320"/>
      <c r="K746" s="320"/>
      <c r="L746" s="320"/>
      <c r="M746" s="320"/>
      <c r="N746" s="320"/>
      <c r="O746" s="320"/>
      <c r="P746" s="320"/>
      <c r="Q746" s="320"/>
      <c r="R746" s="320"/>
      <c r="S746" s="320"/>
      <c r="T746" s="320"/>
      <c r="U746" s="320"/>
      <c r="V746" s="320"/>
      <c r="W746" s="320"/>
      <c r="X746" s="320"/>
      <c r="Y746" s="320"/>
      <c r="Z746" s="320"/>
    </row>
    <row r="747">
      <c r="A747" s="320"/>
      <c r="B747" s="320"/>
      <c r="C747" s="320"/>
      <c r="D747" s="320"/>
      <c r="E747" s="320"/>
      <c r="F747" s="320"/>
      <c r="G747" s="320"/>
      <c r="H747" s="320"/>
      <c r="I747" s="320"/>
      <c r="J747" s="320"/>
      <c r="K747" s="320"/>
      <c r="L747" s="320"/>
      <c r="M747" s="320"/>
      <c r="N747" s="320"/>
      <c r="O747" s="320"/>
      <c r="P747" s="320"/>
      <c r="Q747" s="320"/>
      <c r="R747" s="320"/>
      <c r="S747" s="320"/>
      <c r="T747" s="320"/>
      <c r="U747" s="320"/>
      <c r="V747" s="320"/>
      <c r="W747" s="320"/>
      <c r="X747" s="320"/>
      <c r="Y747" s="320"/>
      <c r="Z747" s="320"/>
    </row>
    <row r="748">
      <c r="A748" s="320"/>
      <c r="B748" s="320"/>
      <c r="C748" s="320"/>
      <c r="D748" s="320"/>
      <c r="E748" s="320"/>
      <c r="F748" s="320"/>
      <c r="G748" s="320"/>
      <c r="H748" s="320"/>
      <c r="I748" s="320"/>
      <c r="J748" s="320"/>
      <c r="K748" s="320"/>
      <c r="L748" s="320"/>
      <c r="M748" s="320"/>
      <c r="N748" s="320"/>
      <c r="O748" s="320"/>
      <c r="P748" s="320"/>
      <c r="Q748" s="320"/>
      <c r="R748" s="320"/>
      <c r="S748" s="320"/>
      <c r="T748" s="320"/>
      <c r="U748" s="320"/>
      <c r="V748" s="320"/>
      <c r="W748" s="320"/>
      <c r="X748" s="320"/>
      <c r="Y748" s="320"/>
      <c r="Z748" s="320"/>
    </row>
    <row r="749">
      <c r="A749" s="320"/>
      <c r="B749" s="320"/>
      <c r="C749" s="320"/>
      <c r="D749" s="320"/>
      <c r="E749" s="320"/>
      <c r="F749" s="320"/>
      <c r="G749" s="320"/>
      <c r="H749" s="320"/>
      <c r="I749" s="320"/>
      <c r="J749" s="320"/>
      <c r="K749" s="320"/>
      <c r="L749" s="320"/>
      <c r="M749" s="320"/>
      <c r="N749" s="320"/>
      <c r="O749" s="320"/>
      <c r="P749" s="320"/>
      <c r="Q749" s="320"/>
      <c r="R749" s="320"/>
      <c r="S749" s="320"/>
      <c r="T749" s="320"/>
      <c r="U749" s="320"/>
      <c r="V749" s="320"/>
      <c r="W749" s="320"/>
      <c r="X749" s="320"/>
      <c r="Y749" s="320"/>
      <c r="Z749" s="320"/>
    </row>
    <row r="750">
      <c r="A750" s="320"/>
      <c r="B750" s="320"/>
      <c r="C750" s="320"/>
      <c r="D750" s="320"/>
      <c r="E750" s="320"/>
      <c r="F750" s="320"/>
      <c r="G750" s="320"/>
      <c r="H750" s="320"/>
      <c r="I750" s="320"/>
      <c r="J750" s="320"/>
      <c r="K750" s="320"/>
      <c r="L750" s="320"/>
      <c r="M750" s="320"/>
      <c r="N750" s="320"/>
      <c r="O750" s="320"/>
      <c r="P750" s="320"/>
      <c r="Q750" s="320"/>
      <c r="R750" s="320"/>
      <c r="S750" s="320"/>
      <c r="T750" s="320"/>
      <c r="U750" s="320"/>
      <c r="V750" s="320"/>
      <c r="W750" s="320"/>
      <c r="X750" s="320"/>
      <c r="Y750" s="320"/>
      <c r="Z750" s="320"/>
    </row>
    <row r="751">
      <c r="A751" s="320"/>
      <c r="B751" s="320"/>
      <c r="C751" s="320"/>
      <c r="D751" s="320"/>
      <c r="E751" s="320"/>
      <c r="F751" s="320"/>
      <c r="G751" s="320"/>
      <c r="H751" s="320"/>
      <c r="I751" s="320"/>
      <c r="J751" s="320"/>
      <c r="K751" s="320"/>
      <c r="L751" s="320"/>
      <c r="M751" s="320"/>
      <c r="N751" s="320"/>
      <c r="O751" s="320"/>
      <c r="P751" s="320"/>
      <c r="Q751" s="320"/>
      <c r="R751" s="320"/>
      <c r="S751" s="320"/>
      <c r="T751" s="320"/>
      <c r="U751" s="320"/>
      <c r="V751" s="320"/>
      <c r="W751" s="320"/>
      <c r="X751" s="320"/>
      <c r="Y751" s="320"/>
      <c r="Z751" s="320"/>
    </row>
    <row r="752">
      <c r="A752" s="320"/>
      <c r="B752" s="320"/>
      <c r="C752" s="320"/>
      <c r="D752" s="320"/>
      <c r="E752" s="320"/>
      <c r="F752" s="320"/>
      <c r="G752" s="320"/>
      <c r="H752" s="320"/>
      <c r="I752" s="320"/>
      <c r="J752" s="320"/>
      <c r="K752" s="320"/>
      <c r="L752" s="320"/>
      <c r="M752" s="320"/>
      <c r="N752" s="320"/>
      <c r="O752" s="320"/>
      <c r="P752" s="320"/>
      <c r="Q752" s="320"/>
      <c r="R752" s="320"/>
      <c r="S752" s="320"/>
      <c r="T752" s="320"/>
      <c r="U752" s="320"/>
      <c r="V752" s="320"/>
      <c r="W752" s="320"/>
      <c r="X752" s="320"/>
      <c r="Y752" s="320"/>
      <c r="Z752" s="320"/>
    </row>
    <row r="753">
      <c r="A753" s="320"/>
      <c r="B753" s="320"/>
      <c r="C753" s="320"/>
      <c r="D753" s="320"/>
      <c r="E753" s="320"/>
      <c r="F753" s="320"/>
      <c r="G753" s="320"/>
      <c r="H753" s="320"/>
      <c r="I753" s="320"/>
      <c r="J753" s="320"/>
      <c r="K753" s="320"/>
      <c r="L753" s="320"/>
      <c r="M753" s="320"/>
      <c r="N753" s="320"/>
      <c r="O753" s="320"/>
      <c r="P753" s="320"/>
      <c r="Q753" s="320"/>
      <c r="R753" s="320"/>
      <c r="S753" s="320"/>
      <c r="T753" s="320"/>
      <c r="U753" s="320"/>
      <c r="V753" s="320"/>
      <c r="W753" s="320"/>
      <c r="X753" s="320"/>
      <c r="Y753" s="320"/>
      <c r="Z753" s="320"/>
    </row>
    <row r="754">
      <c r="A754" s="320"/>
      <c r="B754" s="320"/>
      <c r="C754" s="320"/>
      <c r="D754" s="320"/>
      <c r="E754" s="320"/>
      <c r="F754" s="320"/>
      <c r="G754" s="320"/>
      <c r="H754" s="320"/>
      <c r="I754" s="320"/>
      <c r="J754" s="320"/>
      <c r="K754" s="320"/>
      <c r="L754" s="320"/>
      <c r="M754" s="320"/>
      <c r="N754" s="320"/>
      <c r="O754" s="320"/>
      <c r="P754" s="320"/>
      <c r="Q754" s="320"/>
      <c r="R754" s="320"/>
      <c r="S754" s="320"/>
      <c r="T754" s="320"/>
      <c r="U754" s="320"/>
      <c r="V754" s="320"/>
      <c r="W754" s="320"/>
      <c r="X754" s="320"/>
      <c r="Y754" s="320"/>
      <c r="Z754" s="320"/>
    </row>
    <row r="755">
      <c r="A755" s="320"/>
      <c r="B755" s="320"/>
      <c r="C755" s="320"/>
      <c r="D755" s="320"/>
      <c r="E755" s="320"/>
      <c r="F755" s="320"/>
      <c r="G755" s="320"/>
      <c r="H755" s="320"/>
      <c r="I755" s="320"/>
      <c r="J755" s="320"/>
      <c r="K755" s="320"/>
      <c r="L755" s="320"/>
      <c r="M755" s="320"/>
      <c r="N755" s="320"/>
      <c r="O755" s="320"/>
      <c r="P755" s="320"/>
      <c r="Q755" s="320"/>
      <c r="R755" s="320"/>
      <c r="S755" s="320"/>
      <c r="T755" s="320"/>
      <c r="U755" s="320"/>
      <c r="V755" s="320"/>
      <c r="W755" s="320"/>
      <c r="X755" s="320"/>
      <c r="Y755" s="320"/>
      <c r="Z755" s="320"/>
    </row>
    <row r="756">
      <c r="A756" s="320"/>
      <c r="B756" s="320"/>
      <c r="C756" s="320"/>
      <c r="D756" s="320"/>
      <c r="E756" s="320"/>
      <c r="F756" s="320"/>
      <c r="G756" s="320"/>
      <c r="H756" s="320"/>
      <c r="I756" s="320"/>
      <c r="J756" s="320"/>
      <c r="K756" s="320"/>
      <c r="L756" s="320"/>
      <c r="M756" s="320"/>
      <c r="N756" s="320"/>
      <c r="O756" s="320"/>
      <c r="P756" s="320"/>
      <c r="Q756" s="320"/>
      <c r="R756" s="320"/>
      <c r="S756" s="320"/>
      <c r="T756" s="320"/>
      <c r="U756" s="320"/>
      <c r="V756" s="320"/>
      <c r="W756" s="320"/>
      <c r="X756" s="320"/>
      <c r="Y756" s="320"/>
      <c r="Z756" s="320"/>
    </row>
    <row r="757">
      <c r="A757" s="320"/>
      <c r="B757" s="320"/>
      <c r="C757" s="320"/>
      <c r="D757" s="320"/>
      <c r="E757" s="320"/>
      <c r="F757" s="320"/>
      <c r="G757" s="320"/>
      <c r="H757" s="320"/>
      <c r="I757" s="320"/>
      <c r="J757" s="320"/>
      <c r="K757" s="320"/>
      <c r="L757" s="320"/>
      <c r="M757" s="320"/>
      <c r="N757" s="320"/>
      <c r="O757" s="320"/>
      <c r="P757" s="320"/>
      <c r="Q757" s="320"/>
      <c r="R757" s="320"/>
      <c r="S757" s="320"/>
      <c r="T757" s="320"/>
      <c r="U757" s="320"/>
      <c r="V757" s="320"/>
      <c r="W757" s="320"/>
      <c r="X757" s="320"/>
      <c r="Y757" s="320"/>
      <c r="Z757" s="320"/>
    </row>
    <row r="758">
      <c r="A758" s="320"/>
      <c r="B758" s="320"/>
      <c r="C758" s="320"/>
      <c r="D758" s="320"/>
      <c r="E758" s="320"/>
      <c r="F758" s="320"/>
      <c r="G758" s="320"/>
      <c r="H758" s="320"/>
      <c r="I758" s="320"/>
      <c r="J758" s="320"/>
      <c r="K758" s="320"/>
      <c r="L758" s="320"/>
      <c r="M758" s="320"/>
      <c r="N758" s="320"/>
      <c r="O758" s="320"/>
      <c r="P758" s="320"/>
      <c r="Q758" s="320"/>
      <c r="R758" s="320"/>
      <c r="S758" s="320"/>
      <c r="T758" s="320"/>
      <c r="U758" s="320"/>
      <c r="V758" s="320"/>
      <c r="W758" s="320"/>
      <c r="X758" s="320"/>
      <c r="Y758" s="320"/>
      <c r="Z758" s="320"/>
    </row>
    <row r="759">
      <c r="A759" s="320"/>
      <c r="B759" s="320"/>
      <c r="C759" s="320"/>
      <c r="D759" s="320"/>
      <c r="E759" s="320"/>
      <c r="F759" s="320"/>
      <c r="G759" s="320"/>
      <c r="H759" s="320"/>
      <c r="I759" s="320"/>
      <c r="J759" s="320"/>
      <c r="K759" s="320"/>
      <c r="L759" s="320"/>
      <c r="M759" s="320"/>
      <c r="N759" s="320"/>
      <c r="O759" s="320"/>
      <c r="P759" s="320"/>
      <c r="Q759" s="320"/>
      <c r="R759" s="320"/>
      <c r="S759" s="320"/>
      <c r="T759" s="320"/>
      <c r="U759" s="320"/>
      <c r="V759" s="320"/>
      <c r="W759" s="320"/>
      <c r="X759" s="320"/>
      <c r="Y759" s="320"/>
      <c r="Z759" s="320"/>
    </row>
    <row r="760">
      <c r="A760" s="320"/>
      <c r="B760" s="320"/>
      <c r="C760" s="320"/>
      <c r="D760" s="320"/>
      <c r="E760" s="320"/>
      <c r="F760" s="320"/>
      <c r="G760" s="320"/>
      <c r="H760" s="320"/>
      <c r="I760" s="320"/>
      <c r="J760" s="320"/>
      <c r="K760" s="320"/>
      <c r="L760" s="320"/>
      <c r="M760" s="320"/>
      <c r="N760" s="320"/>
      <c r="O760" s="320"/>
      <c r="P760" s="320"/>
      <c r="Q760" s="320"/>
      <c r="R760" s="320"/>
      <c r="S760" s="320"/>
      <c r="T760" s="320"/>
      <c r="U760" s="320"/>
      <c r="V760" s="320"/>
      <c r="W760" s="320"/>
      <c r="X760" s="320"/>
      <c r="Y760" s="320"/>
      <c r="Z760" s="320"/>
    </row>
    <row r="761">
      <c r="A761" s="320"/>
      <c r="B761" s="320"/>
      <c r="C761" s="320"/>
      <c r="D761" s="320"/>
      <c r="E761" s="320"/>
      <c r="F761" s="320"/>
      <c r="G761" s="320"/>
      <c r="H761" s="320"/>
      <c r="I761" s="320"/>
      <c r="J761" s="320"/>
      <c r="K761" s="320"/>
      <c r="L761" s="320"/>
      <c r="M761" s="320"/>
      <c r="N761" s="320"/>
      <c r="O761" s="320"/>
      <c r="P761" s="320"/>
      <c r="Q761" s="320"/>
      <c r="R761" s="320"/>
      <c r="S761" s="320"/>
      <c r="T761" s="320"/>
      <c r="U761" s="320"/>
      <c r="V761" s="320"/>
      <c r="W761" s="320"/>
      <c r="X761" s="320"/>
      <c r="Y761" s="320"/>
      <c r="Z761" s="320"/>
    </row>
    <row r="762">
      <c r="A762" s="320"/>
      <c r="B762" s="320"/>
      <c r="C762" s="320"/>
      <c r="D762" s="320"/>
      <c r="E762" s="320"/>
      <c r="F762" s="320"/>
      <c r="G762" s="320"/>
      <c r="H762" s="320"/>
      <c r="I762" s="320"/>
      <c r="J762" s="320"/>
      <c r="K762" s="320"/>
      <c r="L762" s="320"/>
      <c r="M762" s="320"/>
      <c r="N762" s="320"/>
      <c r="O762" s="320"/>
      <c r="P762" s="320"/>
      <c r="Q762" s="320"/>
      <c r="R762" s="320"/>
      <c r="S762" s="320"/>
      <c r="T762" s="320"/>
      <c r="U762" s="320"/>
      <c r="V762" s="320"/>
      <c r="W762" s="320"/>
      <c r="X762" s="320"/>
      <c r="Y762" s="320"/>
      <c r="Z762" s="320"/>
    </row>
    <row r="763">
      <c r="A763" s="320"/>
      <c r="B763" s="320"/>
      <c r="C763" s="320"/>
      <c r="D763" s="320"/>
      <c r="E763" s="320"/>
      <c r="F763" s="320"/>
      <c r="G763" s="320"/>
      <c r="H763" s="320"/>
      <c r="I763" s="320"/>
      <c r="J763" s="320"/>
      <c r="K763" s="320"/>
      <c r="L763" s="320"/>
      <c r="M763" s="320"/>
      <c r="N763" s="320"/>
      <c r="O763" s="320"/>
      <c r="P763" s="320"/>
      <c r="Q763" s="320"/>
      <c r="R763" s="320"/>
      <c r="S763" s="320"/>
      <c r="T763" s="320"/>
      <c r="U763" s="320"/>
      <c r="V763" s="320"/>
      <c r="W763" s="320"/>
      <c r="X763" s="320"/>
      <c r="Y763" s="320"/>
      <c r="Z763" s="320"/>
    </row>
    <row r="764">
      <c r="A764" s="320"/>
      <c r="B764" s="320"/>
      <c r="C764" s="320"/>
      <c r="D764" s="320"/>
      <c r="E764" s="320"/>
      <c r="F764" s="320"/>
      <c r="G764" s="320"/>
      <c r="H764" s="320"/>
      <c r="I764" s="320"/>
      <c r="J764" s="320"/>
      <c r="K764" s="320"/>
      <c r="L764" s="320"/>
      <c r="M764" s="320"/>
      <c r="N764" s="320"/>
      <c r="O764" s="320"/>
      <c r="P764" s="320"/>
      <c r="Q764" s="320"/>
      <c r="R764" s="320"/>
      <c r="S764" s="320"/>
      <c r="T764" s="320"/>
      <c r="U764" s="320"/>
      <c r="V764" s="320"/>
      <c r="W764" s="320"/>
      <c r="X764" s="320"/>
      <c r="Y764" s="320"/>
      <c r="Z764" s="320"/>
    </row>
    <row r="765">
      <c r="A765" s="320"/>
      <c r="B765" s="320"/>
      <c r="C765" s="320"/>
      <c r="D765" s="320"/>
      <c r="E765" s="320"/>
      <c r="F765" s="320"/>
      <c r="G765" s="320"/>
      <c r="H765" s="320"/>
      <c r="I765" s="320"/>
      <c r="J765" s="320"/>
      <c r="K765" s="320"/>
      <c r="L765" s="320"/>
      <c r="M765" s="320"/>
      <c r="N765" s="320"/>
      <c r="O765" s="320"/>
      <c r="P765" s="320"/>
      <c r="Q765" s="320"/>
      <c r="R765" s="320"/>
      <c r="S765" s="320"/>
      <c r="T765" s="320"/>
      <c r="U765" s="320"/>
      <c r="V765" s="320"/>
      <c r="W765" s="320"/>
      <c r="X765" s="320"/>
      <c r="Y765" s="320"/>
      <c r="Z765" s="320"/>
    </row>
    <row r="766">
      <c r="A766" s="320"/>
      <c r="B766" s="320"/>
      <c r="C766" s="320"/>
      <c r="D766" s="320"/>
      <c r="E766" s="320"/>
      <c r="F766" s="320"/>
      <c r="G766" s="320"/>
      <c r="H766" s="320"/>
      <c r="I766" s="320"/>
      <c r="J766" s="320"/>
      <c r="K766" s="320"/>
      <c r="L766" s="320"/>
      <c r="M766" s="320"/>
      <c r="N766" s="320"/>
      <c r="O766" s="320"/>
      <c r="P766" s="320"/>
      <c r="Q766" s="320"/>
      <c r="R766" s="320"/>
      <c r="S766" s="320"/>
      <c r="T766" s="320"/>
      <c r="U766" s="320"/>
      <c r="V766" s="320"/>
      <c r="W766" s="320"/>
      <c r="X766" s="320"/>
      <c r="Y766" s="320"/>
      <c r="Z766" s="320"/>
    </row>
    <row r="767">
      <c r="A767" s="320"/>
      <c r="B767" s="320"/>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row>
    <row r="768">
      <c r="A768" s="320"/>
      <c r="B768" s="320"/>
      <c r="C768" s="320"/>
      <c r="D768" s="320"/>
      <c r="E768" s="320"/>
      <c r="F768" s="320"/>
      <c r="G768" s="320"/>
      <c r="H768" s="320"/>
      <c r="I768" s="320"/>
      <c r="J768" s="320"/>
      <c r="K768" s="320"/>
      <c r="L768" s="320"/>
      <c r="M768" s="320"/>
      <c r="N768" s="320"/>
      <c r="O768" s="320"/>
      <c r="P768" s="320"/>
      <c r="Q768" s="320"/>
      <c r="R768" s="320"/>
      <c r="S768" s="320"/>
      <c r="T768" s="320"/>
      <c r="U768" s="320"/>
      <c r="V768" s="320"/>
      <c r="W768" s="320"/>
      <c r="X768" s="320"/>
      <c r="Y768" s="320"/>
      <c r="Z768" s="320"/>
    </row>
    <row r="769">
      <c r="A769" s="320"/>
      <c r="B769" s="320"/>
      <c r="C769" s="320"/>
      <c r="D769" s="320"/>
      <c r="E769" s="320"/>
      <c r="F769" s="320"/>
      <c r="G769" s="320"/>
      <c r="H769" s="320"/>
      <c r="I769" s="320"/>
      <c r="J769" s="320"/>
      <c r="K769" s="320"/>
      <c r="L769" s="320"/>
      <c r="M769" s="320"/>
      <c r="N769" s="320"/>
      <c r="O769" s="320"/>
      <c r="P769" s="320"/>
      <c r="Q769" s="320"/>
      <c r="R769" s="320"/>
      <c r="S769" s="320"/>
      <c r="T769" s="320"/>
      <c r="U769" s="320"/>
      <c r="V769" s="320"/>
      <c r="W769" s="320"/>
      <c r="X769" s="320"/>
      <c r="Y769" s="320"/>
      <c r="Z769" s="320"/>
    </row>
    <row r="770">
      <c r="A770" s="320"/>
      <c r="B770" s="320"/>
      <c r="C770" s="320"/>
      <c r="D770" s="320"/>
      <c r="E770" s="320"/>
      <c r="F770" s="320"/>
      <c r="G770" s="320"/>
      <c r="H770" s="320"/>
      <c r="I770" s="320"/>
      <c r="J770" s="320"/>
      <c r="K770" s="320"/>
      <c r="L770" s="320"/>
      <c r="M770" s="320"/>
      <c r="N770" s="320"/>
      <c r="O770" s="320"/>
      <c r="P770" s="320"/>
      <c r="Q770" s="320"/>
      <c r="R770" s="320"/>
      <c r="S770" s="320"/>
      <c r="T770" s="320"/>
      <c r="U770" s="320"/>
      <c r="V770" s="320"/>
      <c r="W770" s="320"/>
      <c r="X770" s="320"/>
      <c r="Y770" s="320"/>
      <c r="Z770" s="320"/>
    </row>
    <row r="771">
      <c r="A771" s="320"/>
      <c r="B771" s="320"/>
      <c r="C771" s="320"/>
      <c r="D771" s="320"/>
      <c r="E771" s="320"/>
      <c r="F771" s="320"/>
      <c r="G771" s="320"/>
      <c r="H771" s="320"/>
      <c r="I771" s="320"/>
      <c r="J771" s="320"/>
      <c r="K771" s="320"/>
      <c r="L771" s="320"/>
      <c r="M771" s="320"/>
      <c r="N771" s="320"/>
      <c r="O771" s="320"/>
      <c r="P771" s="320"/>
      <c r="Q771" s="320"/>
      <c r="R771" s="320"/>
      <c r="S771" s="320"/>
      <c r="T771" s="320"/>
      <c r="U771" s="320"/>
      <c r="V771" s="320"/>
      <c r="W771" s="320"/>
      <c r="X771" s="320"/>
      <c r="Y771" s="320"/>
      <c r="Z771" s="320"/>
    </row>
    <row r="772">
      <c r="A772" s="320"/>
      <c r="B772" s="320"/>
      <c r="C772" s="320"/>
      <c r="D772" s="320"/>
      <c r="E772" s="320"/>
      <c r="F772" s="320"/>
      <c r="G772" s="320"/>
      <c r="H772" s="320"/>
      <c r="I772" s="320"/>
      <c r="J772" s="320"/>
      <c r="K772" s="320"/>
      <c r="L772" s="320"/>
      <c r="M772" s="320"/>
      <c r="N772" s="320"/>
      <c r="O772" s="320"/>
      <c r="P772" s="320"/>
      <c r="Q772" s="320"/>
      <c r="R772" s="320"/>
      <c r="S772" s="320"/>
      <c r="T772" s="320"/>
      <c r="U772" s="320"/>
      <c r="V772" s="320"/>
      <c r="W772" s="320"/>
      <c r="X772" s="320"/>
      <c r="Y772" s="320"/>
      <c r="Z772" s="320"/>
    </row>
    <row r="773">
      <c r="A773" s="320"/>
      <c r="B773" s="320"/>
      <c r="C773" s="320"/>
      <c r="D773" s="320"/>
      <c r="E773" s="320"/>
      <c r="F773" s="320"/>
      <c r="G773" s="320"/>
      <c r="H773" s="320"/>
      <c r="I773" s="320"/>
      <c r="J773" s="320"/>
      <c r="K773" s="320"/>
      <c r="L773" s="320"/>
      <c r="M773" s="320"/>
      <c r="N773" s="320"/>
      <c r="O773" s="320"/>
      <c r="P773" s="320"/>
      <c r="Q773" s="320"/>
      <c r="R773" s="320"/>
      <c r="S773" s="320"/>
      <c r="T773" s="320"/>
      <c r="U773" s="320"/>
      <c r="V773" s="320"/>
      <c r="W773" s="320"/>
      <c r="X773" s="320"/>
      <c r="Y773" s="320"/>
      <c r="Z773" s="320"/>
    </row>
    <row r="774">
      <c r="A774" s="320"/>
      <c r="B774" s="320"/>
      <c r="C774" s="320"/>
      <c r="D774" s="320"/>
      <c r="E774" s="320"/>
      <c r="F774" s="320"/>
      <c r="G774" s="320"/>
      <c r="H774" s="320"/>
      <c r="I774" s="320"/>
      <c r="J774" s="320"/>
      <c r="K774" s="320"/>
      <c r="L774" s="320"/>
      <c r="M774" s="320"/>
      <c r="N774" s="320"/>
      <c r="O774" s="320"/>
      <c r="P774" s="320"/>
      <c r="Q774" s="320"/>
      <c r="R774" s="320"/>
      <c r="S774" s="320"/>
      <c r="T774" s="320"/>
      <c r="U774" s="320"/>
      <c r="V774" s="320"/>
      <c r="W774" s="320"/>
      <c r="X774" s="320"/>
      <c r="Y774" s="320"/>
      <c r="Z774" s="320"/>
    </row>
    <row r="775">
      <c r="A775" s="320"/>
      <c r="B775" s="320"/>
      <c r="C775" s="320"/>
      <c r="D775" s="320"/>
      <c r="E775" s="320"/>
      <c r="F775" s="320"/>
      <c r="G775" s="320"/>
      <c r="H775" s="320"/>
      <c r="I775" s="320"/>
      <c r="J775" s="320"/>
      <c r="K775" s="320"/>
      <c r="L775" s="320"/>
      <c r="M775" s="320"/>
      <c r="N775" s="320"/>
      <c r="O775" s="320"/>
      <c r="P775" s="320"/>
      <c r="Q775" s="320"/>
      <c r="R775" s="320"/>
      <c r="S775" s="320"/>
      <c r="T775" s="320"/>
      <c r="U775" s="320"/>
      <c r="V775" s="320"/>
      <c r="W775" s="320"/>
      <c r="X775" s="320"/>
      <c r="Y775" s="320"/>
      <c r="Z775" s="320"/>
    </row>
    <row r="776">
      <c r="A776" s="320"/>
      <c r="B776" s="320"/>
      <c r="C776" s="320"/>
      <c r="D776" s="320"/>
      <c r="E776" s="320"/>
      <c r="F776" s="320"/>
      <c r="G776" s="320"/>
      <c r="H776" s="320"/>
      <c r="I776" s="320"/>
      <c r="J776" s="320"/>
      <c r="K776" s="320"/>
      <c r="L776" s="320"/>
      <c r="M776" s="320"/>
      <c r="N776" s="320"/>
      <c r="O776" s="320"/>
      <c r="P776" s="320"/>
      <c r="Q776" s="320"/>
      <c r="R776" s="320"/>
      <c r="S776" s="320"/>
      <c r="T776" s="320"/>
      <c r="U776" s="320"/>
      <c r="V776" s="320"/>
      <c r="W776" s="320"/>
      <c r="X776" s="320"/>
      <c r="Y776" s="320"/>
      <c r="Z776" s="320"/>
    </row>
    <row r="777">
      <c r="A777" s="320"/>
      <c r="B777" s="320"/>
      <c r="C777" s="320"/>
      <c r="D777" s="320"/>
      <c r="E777" s="320"/>
      <c r="F777" s="320"/>
      <c r="G777" s="320"/>
      <c r="H777" s="320"/>
      <c r="I777" s="320"/>
      <c r="J777" s="320"/>
      <c r="K777" s="320"/>
      <c r="L777" s="320"/>
      <c r="M777" s="320"/>
      <c r="N777" s="320"/>
      <c r="O777" s="320"/>
      <c r="P777" s="320"/>
      <c r="Q777" s="320"/>
      <c r="R777" s="320"/>
      <c r="S777" s="320"/>
      <c r="T777" s="320"/>
      <c r="U777" s="320"/>
      <c r="V777" s="320"/>
      <c r="W777" s="320"/>
      <c r="X777" s="320"/>
      <c r="Y777" s="320"/>
      <c r="Z777" s="320"/>
    </row>
    <row r="778">
      <c r="A778" s="320"/>
      <c r="B778" s="320"/>
      <c r="C778" s="320"/>
      <c r="D778" s="320"/>
      <c r="E778" s="320"/>
      <c r="F778" s="320"/>
      <c r="G778" s="320"/>
      <c r="H778" s="320"/>
      <c r="I778" s="320"/>
      <c r="J778" s="320"/>
      <c r="K778" s="320"/>
      <c r="L778" s="320"/>
      <c r="M778" s="320"/>
      <c r="N778" s="320"/>
      <c r="O778" s="320"/>
      <c r="P778" s="320"/>
      <c r="Q778" s="320"/>
      <c r="R778" s="320"/>
      <c r="S778" s="320"/>
      <c r="T778" s="320"/>
      <c r="U778" s="320"/>
      <c r="V778" s="320"/>
      <c r="W778" s="320"/>
      <c r="X778" s="320"/>
      <c r="Y778" s="320"/>
      <c r="Z778" s="320"/>
    </row>
    <row r="779">
      <c r="A779" s="320"/>
      <c r="B779" s="320"/>
      <c r="C779" s="320"/>
      <c r="D779" s="320"/>
      <c r="E779" s="320"/>
      <c r="F779" s="320"/>
      <c r="G779" s="320"/>
      <c r="H779" s="320"/>
      <c r="I779" s="320"/>
      <c r="J779" s="320"/>
      <c r="K779" s="320"/>
      <c r="L779" s="320"/>
      <c r="M779" s="320"/>
      <c r="N779" s="320"/>
      <c r="O779" s="320"/>
      <c r="P779" s="320"/>
      <c r="Q779" s="320"/>
      <c r="R779" s="320"/>
      <c r="S779" s="320"/>
      <c r="T779" s="320"/>
      <c r="U779" s="320"/>
      <c r="V779" s="320"/>
      <c r="W779" s="320"/>
      <c r="X779" s="320"/>
      <c r="Y779" s="320"/>
      <c r="Z779" s="320"/>
    </row>
    <row r="780">
      <c r="A780" s="320"/>
      <c r="B780" s="320"/>
      <c r="C780" s="320"/>
      <c r="D780" s="320"/>
      <c r="E780" s="320"/>
      <c r="F780" s="320"/>
      <c r="G780" s="320"/>
      <c r="H780" s="320"/>
      <c r="I780" s="320"/>
      <c r="J780" s="320"/>
      <c r="K780" s="320"/>
      <c r="L780" s="320"/>
      <c r="M780" s="320"/>
      <c r="N780" s="320"/>
      <c r="O780" s="320"/>
      <c r="P780" s="320"/>
      <c r="Q780" s="320"/>
      <c r="R780" s="320"/>
      <c r="S780" s="320"/>
      <c r="T780" s="320"/>
      <c r="U780" s="320"/>
      <c r="V780" s="320"/>
      <c r="W780" s="320"/>
      <c r="X780" s="320"/>
      <c r="Y780" s="320"/>
      <c r="Z780" s="320"/>
    </row>
    <row r="781">
      <c r="A781" s="320"/>
      <c r="B781" s="320"/>
      <c r="C781" s="320"/>
      <c r="D781" s="320"/>
      <c r="E781" s="320"/>
      <c r="F781" s="320"/>
      <c r="G781" s="320"/>
      <c r="H781" s="320"/>
      <c r="I781" s="320"/>
      <c r="J781" s="320"/>
      <c r="K781" s="320"/>
      <c r="L781" s="320"/>
      <c r="M781" s="320"/>
      <c r="N781" s="320"/>
      <c r="O781" s="320"/>
      <c r="P781" s="320"/>
      <c r="Q781" s="320"/>
      <c r="R781" s="320"/>
      <c r="S781" s="320"/>
      <c r="T781" s="320"/>
      <c r="U781" s="320"/>
      <c r="V781" s="320"/>
      <c r="W781" s="320"/>
      <c r="X781" s="320"/>
      <c r="Y781" s="320"/>
      <c r="Z781" s="320"/>
    </row>
    <row r="782">
      <c r="A782" s="320"/>
      <c r="B782" s="320"/>
      <c r="C782" s="320"/>
      <c r="D782" s="320"/>
      <c r="E782" s="320"/>
      <c r="F782" s="320"/>
      <c r="G782" s="320"/>
      <c r="H782" s="320"/>
      <c r="I782" s="320"/>
      <c r="J782" s="320"/>
      <c r="K782" s="320"/>
      <c r="L782" s="320"/>
      <c r="M782" s="320"/>
      <c r="N782" s="320"/>
      <c r="O782" s="320"/>
      <c r="P782" s="320"/>
      <c r="Q782" s="320"/>
      <c r="R782" s="320"/>
      <c r="S782" s="320"/>
      <c r="T782" s="320"/>
      <c r="U782" s="320"/>
      <c r="V782" s="320"/>
      <c r="W782" s="320"/>
      <c r="X782" s="320"/>
      <c r="Y782" s="320"/>
      <c r="Z782" s="320"/>
    </row>
    <row r="783">
      <c r="A783" s="320"/>
      <c r="B783" s="320"/>
      <c r="C783" s="320"/>
      <c r="D783" s="320"/>
      <c r="E783" s="320"/>
      <c r="F783" s="320"/>
      <c r="G783" s="320"/>
      <c r="H783" s="320"/>
      <c r="I783" s="320"/>
      <c r="J783" s="320"/>
      <c r="K783" s="320"/>
      <c r="L783" s="320"/>
      <c r="M783" s="320"/>
      <c r="N783" s="320"/>
      <c r="O783" s="320"/>
      <c r="P783" s="320"/>
      <c r="Q783" s="320"/>
      <c r="R783" s="320"/>
      <c r="S783" s="320"/>
      <c r="T783" s="320"/>
      <c r="U783" s="320"/>
      <c r="V783" s="320"/>
      <c r="W783" s="320"/>
      <c r="X783" s="320"/>
      <c r="Y783" s="320"/>
      <c r="Z783" s="320"/>
    </row>
    <row r="784">
      <c r="A784" s="320"/>
      <c r="B784" s="320"/>
      <c r="C784" s="320"/>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row>
    <row r="785">
      <c r="A785" s="320"/>
      <c r="B785" s="320"/>
      <c r="C785" s="320"/>
      <c r="D785" s="320"/>
      <c r="E785" s="320"/>
      <c r="F785" s="320"/>
      <c r="G785" s="320"/>
      <c r="H785" s="320"/>
      <c r="I785" s="320"/>
      <c r="J785" s="320"/>
      <c r="K785" s="320"/>
      <c r="L785" s="320"/>
      <c r="M785" s="320"/>
      <c r="N785" s="320"/>
      <c r="O785" s="320"/>
      <c r="P785" s="320"/>
      <c r="Q785" s="320"/>
      <c r="R785" s="320"/>
      <c r="S785" s="320"/>
      <c r="T785" s="320"/>
      <c r="U785" s="320"/>
      <c r="V785" s="320"/>
      <c r="W785" s="320"/>
      <c r="X785" s="320"/>
      <c r="Y785" s="320"/>
      <c r="Z785" s="320"/>
    </row>
    <row r="786">
      <c r="A786" s="320"/>
      <c r="B786" s="320"/>
      <c r="C786" s="320"/>
      <c r="D786" s="320"/>
      <c r="E786" s="320"/>
      <c r="F786" s="320"/>
      <c r="G786" s="320"/>
      <c r="H786" s="320"/>
      <c r="I786" s="320"/>
      <c r="J786" s="320"/>
      <c r="K786" s="320"/>
      <c r="L786" s="320"/>
      <c r="M786" s="320"/>
      <c r="N786" s="320"/>
      <c r="O786" s="320"/>
      <c r="P786" s="320"/>
      <c r="Q786" s="320"/>
      <c r="R786" s="320"/>
      <c r="S786" s="320"/>
      <c r="T786" s="320"/>
      <c r="U786" s="320"/>
      <c r="V786" s="320"/>
      <c r="W786" s="320"/>
      <c r="X786" s="320"/>
      <c r="Y786" s="320"/>
      <c r="Z786" s="320"/>
    </row>
    <row r="787">
      <c r="A787" s="320"/>
      <c r="B787" s="320"/>
      <c r="C787" s="320"/>
      <c r="D787" s="320"/>
      <c r="E787" s="320"/>
      <c r="F787" s="320"/>
      <c r="G787" s="320"/>
      <c r="H787" s="320"/>
      <c r="I787" s="320"/>
      <c r="J787" s="320"/>
      <c r="K787" s="320"/>
      <c r="L787" s="320"/>
      <c r="M787" s="320"/>
      <c r="N787" s="320"/>
      <c r="O787" s="320"/>
      <c r="P787" s="320"/>
      <c r="Q787" s="320"/>
      <c r="R787" s="320"/>
      <c r="S787" s="320"/>
      <c r="T787" s="320"/>
      <c r="U787" s="320"/>
      <c r="V787" s="320"/>
      <c r="W787" s="320"/>
      <c r="X787" s="320"/>
      <c r="Y787" s="320"/>
      <c r="Z787" s="320"/>
    </row>
    <row r="788">
      <c r="A788" s="320"/>
      <c r="B788" s="320"/>
      <c r="C788" s="320"/>
      <c r="D788" s="320"/>
      <c r="E788" s="320"/>
      <c r="F788" s="320"/>
      <c r="G788" s="320"/>
      <c r="H788" s="320"/>
      <c r="I788" s="320"/>
      <c r="J788" s="320"/>
      <c r="K788" s="320"/>
      <c r="L788" s="320"/>
      <c r="M788" s="320"/>
      <c r="N788" s="320"/>
      <c r="O788" s="320"/>
      <c r="P788" s="320"/>
      <c r="Q788" s="320"/>
      <c r="R788" s="320"/>
      <c r="S788" s="320"/>
      <c r="T788" s="320"/>
      <c r="U788" s="320"/>
      <c r="V788" s="320"/>
      <c r="W788" s="320"/>
      <c r="X788" s="320"/>
      <c r="Y788" s="320"/>
      <c r="Z788" s="320"/>
    </row>
    <row r="789">
      <c r="A789" s="320"/>
      <c r="B789" s="320"/>
      <c r="C789" s="320"/>
      <c r="D789" s="320"/>
      <c r="E789" s="320"/>
      <c r="F789" s="320"/>
      <c r="G789" s="320"/>
      <c r="H789" s="320"/>
      <c r="I789" s="320"/>
      <c r="J789" s="320"/>
      <c r="K789" s="320"/>
      <c r="L789" s="320"/>
      <c r="M789" s="320"/>
      <c r="N789" s="320"/>
      <c r="O789" s="320"/>
      <c r="P789" s="320"/>
      <c r="Q789" s="320"/>
      <c r="R789" s="320"/>
      <c r="S789" s="320"/>
      <c r="T789" s="320"/>
      <c r="U789" s="320"/>
      <c r="V789" s="320"/>
      <c r="W789" s="320"/>
      <c r="X789" s="320"/>
      <c r="Y789" s="320"/>
      <c r="Z789" s="320"/>
    </row>
    <row r="790">
      <c r="A790" s="320"/>
      <c r="B790" s="320"/>
      <c r="C790" s="320"/>
      <c r="D790" s="320"/>
      <c r="E790" s="320"/>
      <c r="F790" s="320"/>
      <c r="G790" s="320"/>
      <c r="H790" s="320"/>
      <c r="I790" s="320"/>
      <c r="J790" s="320"/>
      <c r="K790" s="320"/>
      <c r="L790" s="320"/>
      <c r="M790" s="320"/>
      <c r="N790" s="320"/>
      <c r="O790" s="320"/>
      <c r="P790" s="320"/>
      <c r="Q790" s="320"/>
      <c r="R790" s="320"/>
      <c r="S790" s="320"/>
      <c r="T790" s="320"/>
      <c r="U790" s="320"/>
      <c r="V790" s="320"/>
      <c r="W790" s="320"/>
      <c r="X790" s="320"/>
      <c r="Y790" s="320"/>
      <c r="Z790" s="320"/>
    </row>
    <row r="791">
      <c r="A791" s="320"/>
      <c r="B791" s="320"/>
      <c r="C791" s="320"/>
      <c r="D791" s="320"/>
      <c r="E791" s="320"/>
      <c r="F791" s="320"/>
      <c r="G791" s="320"/>
      <c r="H791" s="320"/>
      <c r="I791" s="320"/>
      <c r="J791" s="320"/>
      <c r="K791" s="320"/>
      <c r="L791" s="320"/>
      <c r="M791" s="320"/>
      <c r="N791" s="320"/>
      <c r="O791" s="320"/>
      <c r="P791" s="320"/>
      <c r="Q791" s="320"/>
      <c r="R791" s="320"/>
      <c r="S791" s="320"/>
      <c r="T791" s="320"/>
      <c r="U791" s="320"/>
      <c r="V791" s="320"/>
      <c r="W791" s="320"/>
      <c r="X791" s="320"/>
      <c r="Y791" s="320"/>
      <c r="Z791" s="320"/>
    </row>
    <row r="792">
      <c r="A792" s="320"/>
      <c r="B792" s="320"/>
      <c r="C792" s="320"/>
      <c r="D792" s="320"/>
      <c r="E792" s="320"/>
      <c r="F792" s="320"/>
      <c r="G792" s="320"/>
      <c r="H792" s="320"/>
      <c r="I792" s="320"/>
      <c r="J792" s="320"/>
      <c r="K792" s="320"/>
      <c r="L792" s="320"/>
      <c r="M792" s="320"/>
      <c r="N792" s="320"/>
      <c r="O792" s="320"/>
      <c r="P792" s="320"/>
      <c r="Q792" s="320"/>
      <c r="R792" s="320"/>
      <c r="S792" s="320"/>
      <c r="T792" s="320"/>
      <c r="U792" s="320"/>
      <c r="V792" s="320"/>
      <c r="W792" s="320"/>
      <c r="X792" s="320"/>
      <c r="Y792" s="320"/>
      <c r="Z792" s="320"/>
    </row>
    <row r="793">
      <c r="A793" s="320"/>
      <c r="B793" s="320"/>
      <c r="C793" s="320"/>
      <c r="D793" s="320"/>
      <c r="E793" s="320"/>
      <c r="F793" s="320"/>
      <c r="G793" s="320"/>
      <c r="H793" s="320"/>
      <c r="I793" s="320"/>
      <c r="J793" s="320"/>
      <c r="K793" s="320"/>
      <c r="L793" s="320"/>
      <c r="M793" s="320"/>
      <c r="N793" s="320"/>
      <c r="O793" s="320"/>
      <c r="P793" s="320"/>
      <c r="Q793" s="320"/>
      <c r="R793" s="320"/>
      <c r="S793" s="320"/>
      <c r="T793" s="320"/>
      <c r="U793" s="320"/>
      <c r="V793" s="320"/>
      <c r="W793" s="320"/>
      <c r="X793" s="320"/>
      <c r="Y793" s="320"/>
      <c r="Z793" s="320"/>
    </row>
    <row r="794">
      <c r="A794" s="320"/>
      <c r="B794" s="320"/>
      <c r="C794" s="320"/>
      <c r="D794" s="320"/>
      <c r="E794" s="320"/>
      <c r="F794" s="320"/>
      <c r="G794" s="320"/>
      <c r="H794" s="320"/>
      <c r="I794" s="320"/>
      <c r="J794" s="320"/>
      <c r="K794" s="320"/>
      <c r="L794" s="320"/>
      <c r="M794" s="320"/>
      <c r="N794" s="320"/>
      <c r="O794" s="320"/>
      <c r="P794" s="320"/>
      <c r="Q794" s="320"/>
      <c r="R794" s="320"/>
      <c r="S794" s="320"/>
      <c r="T794" s="320"/>
      <c r="U794" s="320"/>
      <c r="V794" s="320"/>
      <c r="W794" s="320"/>
      <c r="X794" s="320"/>
      <c r="Y794" s="320"/>
      <c r="Z794" s="320"/>
    </row>
    <row r="795">
      <c r="A795" s="320"/>
      <c r="B795" s="320"/>
      <c r="C795" s="320"/>
      <c r="D795" s="320"/>
      <c r="E795" s="320"/>
      <c r="F795" s="320"/>
      <c r="G795" s="320"/>
      <c r="H795" s="320"/>
      <c r="I795" s="320"/>
      <c r="J795" s="320"/>
      <c r="K795" s="320"/>
      <c r="L795" s="320"/>
      <c r="M795" s="320"/>
      <c r="N795" s="320"/>
      <c r="O795" s="320"/>
      <c r="P795" s="320"/>
      <c r="Q795" s="320"/>
      <c r="R795" s="320"/>
      <c r="S795" s="320"/>
      <c r="T795" s="320"/>
      <c r="U795" s="320"/>
      <c r="V795" s="320"/>
      <c r="W795" s="320"/>
      <c r="X795" s="320"/>
      <c r="Y795" s="320"/>
      <c r="Z795" s="320"/>
    </row>
    <row r="796">
      <c r="A796" s="320"/>
      <c r="B796" s="320"/>
      <c r="C796" s="320"/>
      <c r="D796" s="320"/>
      <c r="E796" s="320"/>
      <c r="F796" s="320"/>
      <c r="G796" s="320"/>
      <c r="H796" s="320"/>
      <c r="I796" s="320"/>
      <c r="J796" s="320"/>
      <c r="K796" s="320"/>
      <c r="L796" s="320"/>
      <c r="M796" s="320"/>
      <c r="N796" s="320"/>
      <c r="O796" s="320"/>
      <c r="P796" s="320"/>
      <c r="Q796" s="320"/>
      <c r="R796" s="320"/>
      <c r="S796" s="320"/>
      <c r="T796" s="320"/>
      <c r="U796" s="320"/>
      <c r="V796" s="320"/>
      <c r="W796" s="320"/>
      <c r="X796" s="320"/>
      <c r="Y796" s="320"/>
      <c r="Z796" s="320"/>
    </row>
    <row r="797">
      <c r="A797" s="320"/>
      <c r="B797" s="320"/>
      <c r="C797" s="320"/>
      <c r="D797" s="320"/>
      <c r="E797" s="320"/>
      <c r="F797" s="320"/>
      <c r="G797" s="320"/>
      <c r="H797" s="320"/>
      <c r="I797" s="320"/>
      <c r="J797" s="320"/>
      <c r="K797" s="320"/>
      <c r="L797" s="320"/>
      <c r="M797" s="320"/>
      <c r="N797" s="320"/>
      <c r="O797" s="320"/>
      <c r="P797" s="320"/>
      <c r="Q797" s="320"/>
      <c r="R797" s="320"/>
      <c r="S797" s="320"/>
      <c r="T797" s="320"/>
      <c r="U797" s="320"/>
      <c r="V797" s="320"/>
      <c r="W797" s="320"/>
      <c r="X797" s="320"/>
      <c r="Y797" s="320"/>
      <c r="Z797" s="320"/>
    </row>
    <row r="798">
      <c r="A798" s="320"/>
      <c r="B798" s="320"/>
      <c r="C798" s="320"/>
      <c r="D798" s="320"/>
      <c r="E798" s="320"/>
      <c r="F798" s="320"/>
      <c r="G798" s="320"/>
      <c r="H798" s="320"/>
      <c r="I798" s="320"/>
      <c r="J798" s="320"/>
      <c r="K798" s="320"/>
      <c r="L798" s="320"/>
      <c r="M798" s="320"/>
      <c r="N798" s="320"/>
      <c r="O798" s="320"/>
      <c r="P798" s="320"/>
      <c r="Q798" s="320"/>
      <c r="R798" s="320"/>
      <c r="S798" s="320"/>
      <c r="T798" s="320"/>
      <c r="U798" s="320"/>
      <c r="V798" s="320"/>
      <c r="W798" s="320"/>
      <c r="X798" s="320"/>
      <c r="Y798" s="320"/>
      <c r="Z798" s="320"/>
    </row>
    <row r="799">
      <c r="A799" s="320"/>
      <c r="B799" s="320"/>
      <c r="C799" s="320"/>
      <c r="D799" s="320"/>
      <c r="E799" s="320"/>
      <c r="F799" s="320"/>
      <c r="G799" s="320"/>
      <c r="H799" s="320"/>
      <c r="I799" s="320"/>
      <c r="J799" s="320"/>
      <c r="K799" s="320"/>
      <c r="L799" s="320"/>
      <c r="M799" s="320"/>
      <c r="N799" s="320"/>
      <c r="O799" s="320"/>
      <c r="P799" s="320"/>
      <c r="Q799" s="320"/>
      <c r="R799" s="320"/>
      <c r="S799" s="320"/>
      <c r="T799" s="320"/>
      <c r="U799" s="320"/>
      <c r="V799" s="320"/>
      <c r="W799" s="320"/>
      <c r="X799" s="320"/>
      <c r="Y799" s="320"/>
      <c r="Z799" s="320"/>
    </row>
    <row r="800">
      <c r="A800" s="320"/>
      <c r="B800" s="320"/>
      <c r="C800" s="320"/>
      <c r="D800" s="320"/>
      <c r="E800" s="320"/>
      <c r="F800" s="320"/>
      <c r="G800" s="320"/>
      <c r="H800" s="320"/>
      <c r="I800" s="320"/>
      <c r="J800" s="320"/>
      <c r="K800" s="320"/>
      <c r="L800" s="320"/>
      <c r="M800" s="320"/>
      <c r="N800" s="320"/>
      <c r="O800" s="320"/>
      <c r="P800" s="320"/>
      <c r="Q800" s="320"/>
      <c r="R800" s="320"/>
      <c r="S800" s="320"/>
      <c r="T800" s="320"/>
      <c r="U800" s="320"/>
      <c r="V800" s="320"/>
      <c r="W800" s="320"/>
      <c r="X800" s="320"/>
      <c r="Y800" s="320"/>
      <c r="Z800" s="320"/>
    </row>
    <row r="801">
      <c r="A801" s="320"/>
      <c r="B801" s="320"/>
      <c r="C801" s="320"/>
      <c r="D801" s="320"/>
      <c r="E801" s="320"/>
      <c r="F801" s="320"/>
      <c r="G801" s="320"/>
      <c r="H801" s="320"/>
      <c r="I801" s="320"/>
      <c r="J801" s="320"/>
      <c r="K801" s="320"/>
      <c r="L801" s="320"/>
      <c r="M801" s="320"/>
      <c r="N801" s="320"/>
      <c r="O801" s="320"/>
      <c r="P801" s="320"/>
      <c r="Q801" s="320"/>
      <c r="R801" s="320"/>
      <c r="S801" s="320"/>
      <c r="T801" s="320"/>
      <c r="U801" s="320"/>
      <c r="V801" s="320"/>
      <c r="W801" s="320"/>
      <c r="X801" s="320"/>
      <c r="Y801" s="320"/>
      <c r="Z801" s="320"/>
    </row>
    <row r="802">
      <c r="A802" s="320"/>
      <c r="B802" s="320"/>
      <c r="C802" s="320"/>
      <c r="D802" s="320"/>
      <c r="E802" s="320"/>
      <c r="F802" s="320"/>
      <c r="G802" s="320"/>
      <c r="H802" s="320"/>
      <c r="I802" s="320"/>
      <c r="J802" s="320"/>
      <c r="K802" s="320"/>
      <c r="L802" s="320"/>
      <c r="M802" s="320"/>
      <c r="N802" s="320"/>
      <c r="O802" s="320"/>
      <c r="P802" s="320"/>
      <c r="Q802" s="320"/>
      <c r="R802" s="320"/>
      <c r="S802" s="320"/>
      <c r="T802" s="320"/>
      <c r="U802" s="320"/>
      <c r="V802" s="320"/>
      <c r="W802" s="320"/>
      <c r="X802" s="320"/>
      <c r="Y802" s="320"/>
      <c r="Z802" s="320"/>
    </row>
    <row r="803">
      <c r="A803" s="320"/>
      <c r="B803" s="320"/>
      <c r="C803" s="320"/>
      <c r="D803" s="320"/>
      <c r="E803" s="320"/>
      <c r="F803" s="320"/>
      <c r="G803" s="320"/>
      <c r="H803" s="320"/>
      <c r="I803" s="320"/>
      <c r="J803" s="320"/>
      <c r="K803" s="320"/>
      <c r="L803" s="320"/>
      <c r="M803" s="320"/>
      <c r="N803" s="320"/>
      <c r="O803" s="320"/>
      <c r="P803" s="320"/>
      <c r="Q803" s="320"/>
      <c r="R803" s="320"/>
      <c r="S803" s="320"/>
      <c r="T803" s="320"/>
      <c r="U803" s="320"/>
      <c r="V803" s="320"/>
      <c r="W803" s="320"/>
      <c r="X803" s="320"/>
      <c r="Y803" s="320"/>
      <c r="Z803" s="320"/>
    </row>
    <row r="804">
      <c r="A804" s="320"/>
      <c r="B804" s="320"/>
      <c r="C804" s="320"/>
      <c r="D804" s="320"/>
      <c r="E804" s="320"/>
      <c r="F804" s="320"/>
      <c r="G804" s="320"/>
      <c r="H804" s="320"/>
      <c r="I804" s="320"/>
      <c r="J804" s="320"/>
      <c r="K804" s="320"/>
      <c r="L804" s="320"/>
      <c r="M804" s="320"/>
      <c r="N804" s="320"/>
      <c r="O804" s="320"/>
      <c r="P804" s="320"/>
      <c r="Q804" s="320"/>
      <c r="R804" s="320"/>
      <c r="S804" s="320"/>
      <c r="T804" s="320"/>
      <c r="U804" s="320"/>
      <c r="V804" s="320"/>
      <c r="W804" s="320"/>
      <c r="X804" s="320"/>
      <c r="Y804" s="320"/>
      <c r="Z804" s="320"/>
    </row>
    <row r="805">
      <c r="A805" s="320"/>
      <c r="B805" s="320"/>
      <c r="C805" s="320"/>
      <c r="D805" s="320"/>
      <c r="E805" s="320"/>
      <c r="F805" s="320"/>
      <c r="G805" s="320"/>
      <c r="H805" s="320"/>
      <c r="I805" s="320"/>
      <c r="J805" s="320"/>
      <c r="K805" s="320"/>
      <c r="L805" s="320"/>
      <c r="M805" s="320"/>
      <c r="N805" s="320"/>
      <c r="O805" s="320"/>
      <c r="P805" s="320"/>
      <c r="Q805" s="320"/>
      <c r="R805" s="320"/>
      <c r="S805" s="320"/>
      <c r="T805" s="320"/>
      <c r="U805" s="320"/>
      <c r="V805" s="320"/>
      <c r="W805" s="320"/>
      <c r="X805" s="320"/>
      <c r="Y805" s="320"/>
      <c r="Z805" s="320"/>
    </row>
    <row r="806">
      <c r="A806" s="320"/>
      <c r="B806" s="320"/>
      <c r="C806" s="320"/>
      <c r="D806" s="320"/>
      <c r="E806" s="320"/>
      <c r="F806" s="320"/>
      <c r="G806" s="320"/>
      <c r="H806" s="320"/>
      <c r="I806" s="320"/>
      <c r="J806" s="320"/>
      <c r="K806" s="320"/>
      <c r="L806" s="320"/>
      <c r="M806" s="320"/>
      <c r="N806" s="320"/>
      <c r="O806" s="320"/>
      <c r="P806" s="320"/>
      <c r="Q806" s="320"/>
      <c r="R806" s="320"/>
      <c r="S806" s="320"/>
      <c r="T806" s="320"/>
      <c r="U806" s="320"/>
      <c r="V806" s="320"/>
      <c r="W806" s="320"/>
      <c r="X806" s="320"/>
      <c r="Y806" s="320"/>
      <c r="Z806" s="320"/>
    </row>
    <row r="807">
      <c r="A807" s="320"/>
      <c r="B807" s="320"/>
      <c r="C807" s="320"/>
      <c r="D807" s="320"/>
      <c r="E807" s="320"/>
      <c r="F807" s="320"/>
      <c r="G807" s="320"/>
      <c r="H807" s="320"/>
      <c r="I807" s="320"/>
      <c r="J807" s="320"/>
      <c r="K807" s="320"/>
      <c r="L807" s="320"/>
      <c r="M807" s="320"/>
      <c r="N807" s="320"/>
      <c r="O807" s="320"/>
      <c r="P807" s="320"/>
      <c r="Q807" s="320"/>
      <c r="R807" s="320"/>
      <c r="S807" s="320"/>
      <c r="T807" s="320"/>
      <c r="U807" s="320"/>
      <c r="V807" s="320"/>
      <c r="W807" s="320"/>
      <c r="X807" s="320"/>
      <c r="Y807" s="320"/>
      <c r="Z807" s="320"/>
    </row>
    <row r="808">
      <c r="A808" s="320"/>
      <c r="B808" s="320"/>
      <c r="C808" s="320"/>
      <c r="D808" s="320"/>
      <c r="E808" s="320"/>
      <c r="F808" s="320"/>
      <c r="G808" s="320"/>
      <c r="H808" s="320"/>
      <c r="I808" s="320"/>
      <c r="J808" s="320"/>
      <c r="K808" s="320"/>
      <c r="L808" s="320"/>
      <c r="M808" s="320"/>
      <c r="N808" s="320"/>
      <c r="O808" s="320"/>
      <c r="P808" s="320"/>
      <c r="Q808" s="320"/>
      <c r="R808" s="320"/>
      <c r="S808" s="320"/>
      <c r="T808" s="320"/>
      <c r="U808" s="320"/>
      <c r="V808" s="320"/>
      <c r="W808" s="320"/>
      <c r="X808" s="320"/>
      <c r="Y808" s="320"/>
      <c r="Z808" s="320"/>
    </row>
    <row r="809">
      <c r="A809" s="320"/>
      <c r="B809" s="320"/>
      <c r="C809" s="320"/>
      <c r="D809" s="320"/>
      <c r="E809" s="320"/>
      <c r="F809" s="320"/>
      <c r="G809" s="320"/>
      <c r="H809" s="320"/>
      <c r="I809" s="320"/>
      <c r="J809" s="320"/>
      <c r="K809" s="320"/>
      <c r="L809" s="320"/>
      <c r="M809" s="320"/>
      <c r="N809" s="320"/>
      <c r="O809" s="320"/>
      <c r="P809" s="320"/>
      <c r="Q809" s="320"/>
      <c r="R809" s="320"/>
      <c r="S809" s="320"/>
      <c r="T809" s="320"/>
      <c r="U809" s="320"/>
      <c r="V809" s="320"/>
      <c r="W809" s="320"/>
      <c r="X809" s="320"/>
      <c r="Y809" s="320"/>
      <c r="Z809" s="320"/>
    </row>
    <row r="810">
      <c r="A810" s="320"/>
      <c r="B810" s="320"/>
      <c r="C810" s="320"/>
      <c r="D810" s="320"/>
      <c r="E810" s="320"/>
      <c r="F810" s="320"/>
      <c r="G810" s="320"/>
      <c r="H810" s="320"/>
      <c r="I810" s="320"/>
      <c r="J810" s="320"/>
      <c r="K810" s="320"/>
      <c r="L810" s="320"/>
      <c r="M810" s="320"/>
      <c r="N810" s="320"/>
      <c r="O810" s="320"/>
      <c r="P810" s="320"/>
      <c r="Q810" s="320"/>
      <c r="R810" s="320"/>
      <c r="S810" s="320"/>
      <c r="T810" s="320"/>
      <c r="U810" s="320"/>
      <c r="V810" s="320"/>
      <c r="W810" s="320"/>
      <c r="X810" s="320"/>
      <c r="Y810" s="320"/>
      <c r="Z810" s="320"/>
    </row>
    <row r="811">
      <c r="A811" s="320"/>
      <c r="B811" s="320"/>
      <c r="C811" s="320"/>
      <c r="D811" s="320"/>
      <c r="E811" s="320"/>
      <c r="F811" s="320"/>
      <c r="G811" s="320"/>
      <c r="H811" s="320"/>
      <c r="I811" s="320"/>
      <c r="J811" s="320"/>
      <c r="K811" s="320"/>
      <c r="L811" s="320"/>
      <c r="M811" s="320"/>
      <c r="N811" s="320"/>
      <c r="O811" s="320"/>
      <c r="P811" s="320"/>
      <c r="Q811" s="320"/>
      <c r="R811" s="320"/>
      <c r="S811" s="320"/>
      <c r="T811" s="320"/>
      <c r="U811" s="320"/>
      <c r="V811" s="320"/>
      <c r="W811" s="320"/>
      <c r="X811" s="320"/>
      <c r="Y811" s="320"/>
      <c r="Z811" s="320"/>
    </row>
    <row r="812">
      <c r="A812" s="320"/>
      <c r="B812" s="320"/>
      <c r="C812" s="320"/>
      <c r="D812" s="320"/>
      <c r="E812" s="320"/>
      <c r="F812" s="320"/>
      <c r="G812" s="320"/>
      <c r="H812" s="320"/>
      <c r="I812" s="320"/>
      <c r="J812" s="320"/>
      <c r="K812" s="320"/>
      <c r="L812" s="320"/>
      <c r="M812" s="320"/>
      <c r="N812" s="320"/>
      <c r="O812" s="320"/>
      <c r="P812" s="320"/>
      <c r="Q812" s="320"/>
      <c r="R812" s="320"/>
      <c r="S812" s="320"/>
      <c r="T812" s="320"/>
      <c r="U812" s="320"/>
      <c r="V812" s="320"/>
      <c r="W812" s="320"/>
      <c r="X812" s="320"/>
      <c r="Y812" s="320"/>
      <c r="Z812" s="320"/>
    </row>
    <row r="813">
      <c r="A813" s="320"/>
      <c r="B813" s="320"/>
      <c r="C813" s="320"/>
      <c r="D813" s="320"/>
      <c r="E813" s="320"/>
      <c r="F813" s="320"/>
      <c r="G813" s="320"/>
      <c r="H813" s="320"/>
      <c r="I813" s="320"/>
      <c r="J813" s="320"/>
      <c r="K813" s="320"/>
      <c r="L813" s="320"/>
      <c r="M813" s="320"/>
      <c r="N813" s="320"/>
      <c r="O813" s="320"/>
      <c r="P813" s="320"/>
      <c r="Q813" s="320"/>
      <c r="R813" s="320"/>
      <c r="S813" s="320"/>
      <c r="T813" s="320"/>
      <c r="U813" s="320"/>
      <c r="V813" s="320"/>
      <c r="W813" s="320"/>
      <c r="X813" s="320"/>
      <c r="Y813" s="320"/>
      <c r="Z813" s="320"/>
    </row>
    <row r="814">
      <c r="A814" s="320"/>
      <c r="B814" s="320"/>
      <c r="C814" s="320"/>
      <c r="D814" s="320"/>
      <c r="E814" s="320"/>
      <c r="F814" s="320"/>
      <c r="G814" s="320"/>
      <c r="H814" s="320"/>
      <c r="I814" s="320"/>
      <c r="J814" s="320"/>
      <c r="K814" s="320"/>
      <c r="L814" s="320"/>
      <c r="M814" s="320"/>
      <c r="N814" s="320"/>
      <c r="O814" s="320"/>
      <c r="P814" s="320"/>
      <c r="Q814" s="320"/>
      <c r="R814" s="320"/>
      <c r="S814" s="320"/>
      <c r="T814" s="320"/>
      <c r="U814" s="320"/>
      <c r="V814" s="320"/>
      <c r="W814" s="320"/>
      <c r="X814" s="320"/>
      <c r="Y814" s="320"/>
      <c r="Z814" s="320"/>
    </row>
    <row r="815">
      <c r="A815" s="320"/>
      <c r="B815" s="320"/>
      <c r="C815" s="320"/>
      <c r="D815" s="320"/>
      <c r="E815" s="320"/>
      <c r="F815" s="320"/>
      <c r="G815" s="320"/>
      <c r="H815" s="320"/>
      <c r="I815" s="320"/>
      <c r="J815" s="320"/>
      <c r="K815" s="320"/>
      <c r="L815" s="320"/>
      <c r="M815" s="320"/>
      <c r="N815" s="320"/>
      <c r="O815" s="320"/>
      <c r="P815" s="320"/>
      <c r="Q815" s="320"/>
      <c r="R815" s="320"/>
      <c r="S815" s="320"/>
      <c r="T815" s="320"/>
      <c r="U815" s="320"/>
      <c r="V815" s="320"/>
      <c r="W815" s="320"/>
      <c r="X815" s="320"/>
      <c r="Y815" s="320"/>
      <c r="Z815" s="320"/>
    </row>
    <row r="816">
      <c r="A816" s="320"/>
      <c r="B816" s="320"/>
      <c r="C816" s="320"/>
      <c r="D816" s="320"/>
      <c r="E816" s="320"/>
      <c r="F816" s="320"/>
      <c r="G816" s="320"/>
      <c r="H816" s="320"/>
      <c r="I816" s="320"/>
      <c r="J816" s="320"/>
      <c r="K816" s="320"/>
      <c r="L816" s="320"/>
      <c r="M816" s="320"/>
      <c r="N816" s="320"/>
      <c r="O816" s="320"/>
      <c r="P816" s="320"/>
      <c r="Q816" s="320"/>
      <c r="R816" s="320"/>
      <c r="S816" s="320"/>
      <c r="T816" s="320"/>
      <c r="U816" s="320"/>
      <c r="V816" s="320"/>
      <c r="W816" s="320"/>
      <c r="X816" s="320"/>
      <c r="Y816" s="320"/>
      <c r="Z816" s="320"/>
    </row>
    <row r="817">
      <c r="A817" s="320"/>
      <c r="B817" s="320"/>
      <c r="C817" s="320"/>
      <c r="D817" s="320"/>
      <c r="E817" s="320"/>
      <c r="F817" s="320"/>
      <c r="G817" s="320"/>
      <c r="H817" s="320"/>
      <c r="I817" s="320"/>
      <c r="J817" s="320"/>
      <c r="K817" s="320"/>
      <c r="L817" s="320"/>
      <c r="M817" s="320"/>
      <c r="N817" s="320"/>
      <c r="O817" s="320"/>
      <c r="P817" s="320"/>
      <c r="Q817" s="320"/>
      <c r="R817" s="320"/>
      <c r="S817" s="320"/>
      <c r="T817" s="320"/>
      <c r="U817" s="320"/>
      <c r="V817" s="320"/>
      <c r="W817" s="320"/>
      <c r="X817" s="320"/>
      <c r="Y817" s="320"/>
      <c r="Z817" s="320"/>
    </row>
    <row r="818">
      <c r="A818" s="320"/>
      <c r="B818" s="320"/>
      <c r="C818" s="320"/>
      <c r="D818" s="320"/>
      <c r="E818" s="320"/>
      <c r="F818" s="320"/>
      <c r="G818" s="320"/>
      <c r="H818" s="320"/>
      <c r="I818" s="320"/>
      <c r="J818" s="320"/>
      <c r="K818" s="320"/>
      <c r="L818" s="320"/>
      <c r="M818" s="320"/>
      <c r="N818" s="320"/>
      <c r="O818" s="320"/>
      <c r="P818" s="320"/>
      <c r="Q818" s="320"/>
      <c r="R818" s="320"/>
      <c r="S818" s="320"/>
      <c r="T818" s="320"/>
      <c r="U818" s="320"/>
      <c r="V818" s="320"/>
      <c r="W818" s="320"/>
      <c r="X818" s="320"/>
      <c r="Y818" s="320"/>
      <c r="Z818" s="320"/>
    </row>
    <row r="819">
      <c r="A819" s="320"/>
      <c r="B819" s="320"/>
      <c r="C819" s="320"/>
      <c r="D819" s="320"/>
      <c r="E819" s="320"/>
      <c r="F819" s="320"/>
      <c r="G819" s="320"/>
      <c r="H819" s="320"/>
      <c r="I819" s="320"/>
      <c r="J819" s="320"/>
      <c r="K819" s="320"/>
      <c r="L819" s="320"/>
      <c r="M819" s="320"/>
      <c r="N819" s="320"/>
      <c r="O819" s="320"/>
      <c r="P819" s="320"/>
      <c r="Q819" s="320"/>
      <c r="R819" s="320"/>
      <c r="S819" s="320"/>
      <c r="T819" s="320"/>
      <c r="U819" s="320"/>
      <c r="V819" s="320"/>
      <c r="W819" s="320"/>
      <c r="X819" s="320"/>
      <c r="Y819" s="320"/>
      <c r="Z819" s="320"/>
    </row>
    <row r="820">
      <c r="A820" s="320"/>
      <c r="B820" s="320"/>
      <c r="C820" s="320"/>
      <c r="D820" s="320"/>
      <c r="E820" s="320"/>
      <c r="F820" s="320"/>
      <c r="G820" s="320"/>
      <c r="H820" s="320"/>
      <c r="I820" s="320"/>
      <c r="J820" s="320"/>
      <c r="K820" s="320"/>
      <c r="L820" s="320"/>
      <c r="M820" s="320"/>
      <c r="N820" s="320"/>
      <c r="O820" s="320"/>
      <c r="P820" s="320"/>
      <c r="Q820" s="320"/>
      <c r="R820" s="320"/>
      <c r="S820" s="320"/>
      <c r="T820" s="320"/>
      <c r="U820" s="320"/>
      <c r="V820" s="320"/>
      <c r="W820" s="320"/>
      <c r="X820" s="320"/>
      <c r="Y820" s="320"/>
      <c r="Z820" s="320"/>
    </row>
    <row r="821">
      <c r="A821" s="320"/>
      <c r="B821" s="320"/>
      <c r="C821" s="320"/>
      <c r="D821" s="320"/>
      <c r="E821" s="320"/>
      <c r="F821" s="320"/>
      <c r="G821" s="320"/>
      <c r="H821" s="320"/>
      <c r="I821" s="320"/>
      <c r="J821" s="320"/>
      <c r="K821" s="320"/>
      <c r="L821" s="320"/>
      <c r="M821" s="320"/>
      <c r="N821" s="320"/>
      <c r="O821" s="320"/>
      <c r="P821" s="320"/>
      <c r="Q821" s="320"/>
      <c r="R821" s="320"/>
      <c r="S821" s="320"/>
      <c r="T821" s="320"/>
      <c r="U821" s="320"/>
      <c r="V821" s="320"/>
      <c r="W821" s="320"/>
      <c r="X821" s="320"/>
      <c r="Y821" s="320"/>
      <c r="Z821" s="320"/>
    </row>
    <row r="822">
      <c r="A822" s="320"/>
      <c r="B822" s="320"/>
      <c r="C822" s="320"/>
      <c r="D822" s="320"/>
      <c r="E822" s="320"/>
      <c r="F822" s="320"/>
      <c r="G822" s="320"/>
      <c r="H822" s="320"/>
      <c r="I822" s="320"/>
      <c r="J822" s="320"/>
      <c r="K822" s="320"/>
      <c r="L822" s="320"/>
      <c r="M822" s="320"/>
      <c r="N822" s="320"/>
      <c r="O822" s="320"/>
      <c r="P822" s="320"/>
      <c r="Q822" s="320"/>
      <c r="R822" s="320"/>
      <c r="S822" s="320"/>
      <c r="T822" s="320"/>
      <c r="U822" s="320"/>
      <c r="V822" s="320"/>
      <c r="W822" s="320"/>
      <c r="X822" s="320"/>
      <c r="Y822" s="320"/>
      <c r="Z822" s="320"/>
    </row>
    <row r="823">
      <c r="A823" s="320"/>
      <c r="B823" s="320"/>
      <c r="C823" s="320"/>
      <c r="D823" s="320"/>
      <c r="E823" s="320"/>
      <c r="F823" s="320"/>
      <c r="G823" s="320"/>
      <c r="H823" s="320"/>
      <c r="I823" s="320"/>
      <c r="J823" s="320"/>
      <c r="K823" s="320"/>
      <c r="L823" s="320"/>
      <c r="M823" s="320"/>
      <c r="N823" s="320"/>
      <c r="O823" s="320"/>
      <c r="P823" s="320"/>
      <c r="Q823" s="320"/>
      <c r="R823" s="320"/>
      <c r="S823" s="320"/>
      <c r="T823" s="320"/>
      <c r="U823" s="320"/>
      <c r="V823" s="320"/>
      <c r="W823" s="320"/>
      <c r="X823" s="320"/>
      <c r="Y823" s="320"/>
      <c r="Z823" s="320"/>
    </row>
    <row r="824">
      <c r="A824" s="320"/>
      <c r="B824" s="320"/>
      <c r="C824" s="320"/>
      <c r="D824" s="320"/>
      <c r="E824" s="320"/>
      <c r="F824" s="320"/>
      <c r="G824" s="320"/>
      <c r="H824" s="320"/>
      <c r="I824" s="320"/>
      <c r="J824" s="320"/>
      <c r="K824" s="320"/>
      <c r="L824" s="320"/>
      <c r="M824" s="320"/>
      <c r="N824" s="320"/>
      <c r="O824" s="320"/>
      <c r="P824" s="320"/>
      <c r="Q824" s="320"/>
      <c r="R824" s="320"/>
      <c r="S824" s="320"/>
      <c r="T824" s="320"/>
      <c r="U824" s="320"/>
      <c r="V824" s="320"/>
      <c r="W824" s="320"/>
      <c r="X824" s="320"/>
      <c r="Y824" s="320"/>
      <c r="Z824" s="320"/>
    </row>
    <row r="825">
      <c r="A825" s="320"/>
      <c r="B825" s="320"/>
      <c r="C825" s="320"/>
      <c r="D825" s="320"/>
      <c r="E825" s="320"/>
      <c r="F825" s="320"/>
      <c r="G825" s="320"/>
      <c r="H825" s="320"/>
      <c r="I825" s="320"/>
      <c r="J825" s="320"/>
      <c r="K825" s="320"/>
      <c r="L825" s="320"/>
      <c r="M825" s="320"/>
      <c r="N825" s="320"/>
      <c r="O825" s="320"/>
      <c r="P825" s="320"/>
      <c r="Q825" s="320"/>
      <c r="R825" s="320"/>
      <c r="S825" s="320"/>
      <c r="T825" s="320"/>
      <c r="U825" s="320"/>
      <c r="V825" s="320"/>
      <c r="W825" s="320"/>
      <c r="X825" s="320"/>
      <c r="Y825" s="320"/>
      <c r="Z825" s="320"/>
    </row>
    <row r="826">
      <c r="A826" s="320"/>
      <c r="B826" s="320"/>
      <c r="C826" s="320"/>
      <c r="D826" s="320"/>
      <c r="E826" s="320"/>
      <c r="F826" s="320"/>
      <c r="G826" s="320"/>
      <c r="H826" s="320"/>
      <c r="I826" s="320"/>
      <c r="J826" s="320"/>
      <c r="K826" s="320"/>
      <c r="L826" s="320"/>
      <c r="M826" s="320"/>
      <c r="N826" s="320"/>
      <c r="O826" s="320"/>
      <c r="P826" s="320"/>
      <c r="Q826" s="320"/>
      <c r="R826" s="320"/>
      <c r="S826" s="320"/>
      <c r="T826" s="320"/>
      <c r="U826" s="320"/>
      <c r="V826" s="320"/>
      <c r="W826" s="320"/>
      <c r="X826" s="320"/>
      <c r="Y826" s="320"/>
      <c r="Z826" s="320"/>
    </row>
    <row r="827">
      <c r="A827" s="320"/>
      <c r="B827" s="320"/>
      <c r="C827" s="320"/>
      <c r="D827" s="320"/>
      <c r="E827" s="320"/>
      <c r="F827" s="320"/>
      <c r="G827" s="320"/>
      <c r="H827" s="320"/>
      <c r="I827" s="320"/>
      <c r="J827" s="320"/>
      <c r="K827" s="320"/>
      <c r="L827" s="320"/>
      <c r="M827" s="320"/>
      <c r="N827" s="320"/>
      <c r="O827" s="320"/>
      <c r="P827" s="320"/>
      <c r="Q827" s="320"/>
      <c r="R827" s="320"/>
      <c r="S827" s="320"/>
      <c r="T827" s="320"/>
      <c r="U827" s="320"/>
      <c r="V827" s="320"/>
      <c r="W827" s="320"/>
      <c r="X827" s="320"/>
      <c r="Y827" s="320"/>
      <c r="Z827" s="320"/>
    </row>
    <row r="828">
      <c r="A828" s="320"/>
      <c r="B828" s="320"/>
      <c r="C828" s="320"/>
      <c r="D828" s="320"/>
      <c r="E828" s="320"/>
      <c r="F828" s="320"/>
      <c r="G828" s="320"/>
      <c r="H828" s="320"/>
      <c r="I828" s="320"/>
      <c r="J828" s="320"/>
      <c r="K828" s="320"/>
      <c r="L828" s="320"/>
      <c r="M828" s="320"/>
      <c r="N828" s="320"/>
      <c r="O828" s="320"/>
      <c r="P828" s="320"/>
      <c r="Q828" s="320"/>
      <c r="R828" s="320"/>
      <c r="S828" s="320"/>
      <c r="T828" s="320"/>
      <c r="U828" s="320"/>
      <c r="V828" s="320"/>
      <c r="W828" s="320"/>
      <c r="X828" s="320"/>
      <c r="Y828" s="320"/>
      <c r="Z828" s="320"/>
    </row>
    <row r="829">
      <c r="A829" s="320"/>
      <c r="B829" s="320"/>
      <c r="C829" s="320"/>
      <c r="D829" s="320"/>
      <c r="E829" s="320"/>
      <c r="F829" s="320"/>
      <c r="G829" s="320"/>
      <c r="H829" s="320"/>
      <c r="I829" s="320"/>
      <c r="J829" s="320"/>
      <c r="K829" s="320"/>
      <c r="L829" s="320"/>
      <c r="M829" s="320"/>
      <c r="N829" s="320"/>
      <c r="O829" s="320"/>
      <c r="P829" s="320"/>
      <c r="Q829" s="320"/>
      <c r="R829" s="320"/>
      <c r="S829" s="320"/>
      <c r="T829" s="320"/>
      <c r="U829" s="320"/>
      <c r="V829" s="320"/>
      <c r="W829" s="320"/>
      <c r="X829" s="320"/>
      <c r="Y829" s="320"/>
      <c r="Z829" s="320"/>
    </row>
    <row r="830">
      <c r="A830" s="320"/>
      <c r="B830" s="320"/>
      <c r="C830" s="320"/>
      <c r="D830" s="320"/>
      <c r="E830" s="320"/>
      <c r="F830" s="320"/>
      <c r="G830" s="320"/>
      <c r="H830" s="320"/>
      <c r="I830" s="320"/>
      <c r="J830" s="320"/>
      <c r="K830" s="320"/>
      <c r="L830" s="320"/>
      <c r="M830" s="320"/>
      <c r="N830" s="320"/>
      <c r="O830" s="320"/>
      <c r="P830" s="320"/>
      <c r="Q830" s="320"/>
      <c r="R830" s="320"/>
      <c r="S830" s="320"/>
      <c r="T830" s="320"/>
      <c r="U830" s="320"/>
      <c r="V830" s="320"/>
      <c r="W830" s="320"/>
      <c r="X830" s="320"/>
      <c r="Y830" s="320"/>
      <c r="Z830" s="320"/>
    </row>
    <row r="831">
      <c r="A831" s="320"/>
      <c r="B831" s="320"/>
      <c r="C831" s="320"/>
      <c r="D831" s="320"/>
      <c r="E831" s="320"/>
      <c r="F831" s="320"/>
      <c r="G831" s="320"/>
      <c r="H831" s="320"/>
      <c r="I831" s="320"/>
      <c r="J831" s="320"/>
      <c r="K831" s="320"/>
      <c r="L831" s="320"/>
      <c r="M831" s="320"/>
      <c r="N831" s="320"/>
      <c r="O831" s="320"/>
      <c r="P831" s="320"/>
      <c r="Q831" s="320"/>
      <c r="R831" s="320"/>
      <c r="S831" s="320"/>
      <c r="T831" s="320"/>
      <c r="U831" s="320"/>
      <c r="V831" s="320"/>
      <c r="W831" s="320"/>
      <c r="X831" s="320"/>
      <c r="Y831" s="320"/>
      <c r="Z831" s="320"/>
    </row>
    <row r="832">
      <c r="A832" s="320"/>
      <c r="B832" s="320"/>
      <c r="C832" s="320"/>
      <c r="D832" s="320"/>
      <c r="E832" s="320"/>
      <c r="F832" s="320"/>
      <c r="G832" s="320"/>
      <c r="H832" s="320"/>
      <c r="I832" s="320"/>
      <c r="J832" s="320"/>
      <c r="K832" s="320"/>
      <c r="L832" s="320"/>
      <c r="M832" s="320"/>
      <c r="N832" s="320"/>
      <c r="O832" s="320"/>
      <c r="P832" s="320"/>
      <c r="Q832" s="320"/>
      <c r="R832" s="320"/>
      <c r="S832" s="320"/>
      <c r="T832" s="320"/>
      <c r="U832" s="320"/>
      <c r="V832" s="320"/>
      <c r="W832" s="320"/>
      <c r="X832" s="320"/>
      <c r="Y832" s="320"/>
      <c r="Z832" s="320"/>
    </row>
    <row r="833">
      <c r="A833" s="320"/>
      <c r="B833" s="320"/>
      <c r="C833" s="320"/>
      <c r="D833" s="320"/>
      <c r="E833" s="320"/>
      <c r="F833" s="320"/>
      <c r="G833" s="320"/>
      <c r="H833" s="320"/>
      <c r="I833" s="320"/>
      <c r="J833" s="320"/>
      <c r="K833" s="320"/>
      <c r="L833" s="320"/>
      <c r="M833" s="320"/>
      <c r="N833" s="320"/>
      <c r="O833" s="320"/>
      <c r="P833" s="320"/>
      <c r="Q833" s="320"/>
      <c r="R833" s="320"/>
      <c r="S833" s="320"/>
      <c r="T833" s="320"/>
      <c r="U833" s="320"/>
      <c r="V833" s="320"/>
      <c r="W833" s="320"/>
      <c r="X833" s="320"/>
      <c r="Y833" s="320"/>
      <c r="Z833" s="320"/>
    </row>
    <row r="834">
      <c r="A834" s="320"/>
      <c r="B834" s="320"/>
      <c r="C834" s="320"/>
      <c r="D834" s="320"/>
      <c r="E834" s="320"/>
      <c r="F834" s="320"/>
      <c r="G834" s="320"/>
      <c r="H834" s="320"/>
      <c r="I834" s="320"/>
      <c r="J834" s="320"/>
      <c r="K834" s="320"/>
      <c r="L834" s="320"/>
      <c r="M834" s="320"/>
      <c r="N834" s="320"/>
      <c r="O834" s="320"/>
      <c r="P834" s="320"/>
      <c r="Q834" s="320"/>
      <c r="R834" s="320"/>
      <c r="S834" s="320"/>
      <c r="T834" s="320"/>
      <c r="U834" s="320"/>
      <c r="V834" s="320"/>
      <c r="W834" s="320"/>
      <c r="X834" s="320"/>
      <c r="Y834" s="320"/>
      <c r="Z834" s="320"/>
    </row>
    <row r="835">
      <c r="A835" s="320"/>
      <c r="B835" s="320"/>
      <c r="C835" s="320"/>
      <c r="D835" s="320"/>
      <c r="E835" s="320"/>
      <c r="F835" s="320"/>
      <c r="G835" s="320"/>
      <c r="H835" s="320"/>
      <c r="I835" s="320"/>
      <c r="J835" s="320"/>
      <c r="K835" s="320"/>
      <c r="L835" s="320"/>
      <c r="M835" s="320"/>
      <c r="N835" s="320"/>
      <c r="O835" s="320"/>
      <c r="P835" s="320"/>
      <c r="Q835" s="320"/>
      <c r="R835" s="320"/>
      <c r="S835" s="320"/>
      <c r="T835" s="320"/>
      <c r="U835" s="320"/>
      <c r="V835" s="320"/>
      <c r="W835" s="320"/>
      <c r="X835" s="320"/>
      <c r="Y835" s="320"/>
      <c r="Z835" s="320"/>
    </row>
    <row r="836">
      <c r="A836" s="320"/>
      <c r="B836" s="320"/>
      <c r="C836" s="320"/>
      <c r="D836" s="320"/>
      <c r="E836" s="320"/>
      <c r="F836" s="320"/>
      <c r="G836" s="320"/>
      <c r="H836" s="320"/>
      <c r="I836" s="320"/>
      <c r="J836" s="320"/>
      <c r="K836" s="320"/>
      <c r="L836" s="320"/>
      <c r="M836" s="320"/>
      <c r="N836" s="320"/>
      <c r="O836" s="320"/>
      <c r="P836" s="320"/>
      <c r="Q836" s="320"/>
      <c r="R836" s="320"/>
      <c r="S836" s="320"/>
      <c r="T836" s="320"/>
      <c r="U836" s="320"/>
      <c r="V836" s="320"/>
      <c r="W836" s="320"/>
      <c r="X836" s="320"/>
      <c r="Y836" s="320"/>
      <c r="Z836" s="320"/>
    </row>
    <row r="837">
      <c r="A837" s="320"/>
      <c r="B837" s="320"/>
      <c r="C837" s="320"/>
      <c r="D837" s="320"/>
      <c r="E837" s="320"/>
      <c r="F837" s="320"/>
      <c r="G837" s="320"/>
      <c r="H837" s="320"/>
      <c r="I837" s="320"/>
      <c r="J837" s="320"/>
      <c r="K837" s="320"/>
      <c r="L837" s="320"/>
      <c r="M837" s="320"/>
      <c r="N837" s="320"/>
      <c r="O837" s="320"/>
      <c r="P837" s="320"/>
      <c r="Q837" s="320"/>
      <c r="R837" s="320"/>
      <c r="S837" s="320"/>
      <c r="T837" s="320"/>
      <c r="U837" s="320"/>
      <c r="V837" s="320"/>
      <c r="W837" s="320"/>
      <c r="X837" s="320"/>
      <c r="Y837" s="320"/>
      <c r="Z837" s="320"/>
    </row>
    <row r="838">
      <c r="A838" s="320"/>
      <c r="B838" s="320"/>
      <c r="C838" s="320"/>
      <c r="D838" s="320"/>
      <c r="E838" s="320"/>
      <c r="F838" s="320"/>
      <c r="G838" s="320"/>
      <c r="H838" s="320"/>
      <c r="I838" s="320"/>
      <c r="J838" s="320"/>
      <c r="K838" s="320"/>
      <c r="L838" s="320"/>
      <c r="M838" s="320"/>
      <c r="N838" s="320"/>
      <c r="O838" s="320"/>
      <c r="P838" s="320"/>
      <c r="Q838" s="320"/>
      <c r="R838" s="320"/>
      <c r="S838" s="320"/>
      <c r="T838" s="320"/>
      <c r="U838" s="320"/>
      <c r="V838" s="320"/>
      <c r="W838" s="320"/>
      <c r="X838" s="320"/>
      <c r="Y838" s="320"/>
      <c r="Z838" s="320"/>
    </row>
    <row r="839">
      <c r="A839" s="320"/>
      <c r="B839" s="320"/>
      <c r="C839" s="320"/>
      <c r="D839" s="320"/>
      <c r="E839" s="320"/>
      <c r="F839" s="320"/>
      <c r="G839" s="320"/>
      <c r="H839" s="320"/>
      <c r="I839" s="320"/>
      <c r="J839" s="320"/>
      <c r="K839" s="320"/>
      <c r="L839" s="320"/>
      <c r="M839" s="320"/>
      <c r="N839" s="320"/>
      <c r="O839" s="320"/>
      <c r="P839" s="320"/>
      <c r="Q839" s="320"/>
      <c r="R839" s="320"/>
      <c r="S839" s="320"/>
      <c r="T839" s="320"/>
      <c r="U839" s="320"/>
      <c r="V839" s="320"/>
      <c r="W839" s="320"/>
      <c r="X839" s="320"/>
      <c r="Y839" s="320"/>
      <c r="Z839" s="320"/>
    </row>
    <row r="840">
      <c r="A840" s="320"/>
      <c r="B840" s="320"/>
      <c r="C840" s="320"/>
      <c r="D840" s="320"/>
      <c r="E840" s="320"/>
      <c r="F840" s="320"/>
      <c r="G840" s="320"/>
      <c r="H840" s="320"/>
      <c r="I840" s="320"/>
      <c r="J840" s="320"/>
      <c r="K840" s="320"/>
      <c r="L840" s="320"/>
      <c r="M840" s="320"/>
      <c r="N840" s="320"/>
      <c r="O840" s="320"/>
      <c r="P840" s="320"/>
      <c r="Q840" s="320"/>
      <c r="R840" s="320"/>
      <c r="S840" s="320"/>
      <c r="T840" s="320"/>
      <c r="U840" s="320"/>
      <c r="V840" s="320"/>
      <c r="W840" s="320"/>
      <c r="X840" s="320"/>
      <c r="Y840" s="320"/>
      <c r="Z840" s="320"/>
    </row>
    <row r="841">
      <c r="A841" s="320"/>
      <c r="B841" s="320"/>
      <c r="C841" s="320"/>
      <c r="D841" s="320"/>
      <c r="E841" s="320"/>
      <c r="F841" s="320"/>
      <c r="G841" s="320"/>
      <c r="H841" s="320"/>
      <c r="I841" s="320"/>
      <c r="J841" s="320"/>
      <c r="K841" s="320"/>
      <c r="L841" s="320"/>
      <c r="M841" s="320"/>
      <c r="N841" s="320"/>
      <c r="O841" s="320"/>
      <c r="P841" s="320"/>
      <c r="Q841" s="320"/>
      <c r="R841" s="320"/>
      <c r="S841" s="320"/>
      <c r="T841" s="320"/>
      <c r="U841" s="320"/>
      <c r="V841" s="320"/>
      <c r="W841" s="320"/>
      <c r="X841" s="320"/>
      <c r="Y841" s="320"/>
      <c r="Z841" s="320"/>
    </row>
    <row r="842">
      <c r="A842" s="320"/>
      <c r="B842" s="320"/>
      <c r="C842" s="320"/>
      <c r="D842" s="320"/>
      <c r="E842" s="320"/>
      <c r="F842" s="320"/>
      <c r="G842" s="320"/>
      <c r="H842" s="320"/>
      <c r="I842" s="320"/>
      <c r="J842" s="320"/>
      <c r="K842" s="320"/>
      <c r="L842" s="320"/>
      <c r="M842" s="320"/>
      <c r="N842" s="320"/>
      <c r="O842" s="320"/>
      <c r="P842" s="320"/>
      <c r="Q842" s="320"/>
      <c r="R842" s="320"/>
      <c r="S842" s="320"/>
      <c r="T842" s="320"/>
      <c r="U842" s="320"/>
      <c r="V842" s="320"/>
      <c r="W842" s="320"/>
      <c r="X842" s="320"/>
      <c r="Y842" s="320"/>
      <c r="Z842" s="320"/>
    </row>
    <row r="843">
      <c r="A843" s="320"/>
      <c r="B843" s="320"/>
      <c r="C843" s="320"/>
      <c r="D843" s="320"/>
      <c r="E843" s="320"/>
      <c r="F843" s="320"/>
      <c r="G843" s="320"/>
      <c r="H843" s="320"/>
      <c r="I843" s="320"/>
      <c r="J843" s="320"/>
      <c r="K843" s="320"/>
      <c r="L843" s="320"/>
      <c r="M843" s="320"/>
      <c r="N843" s="320"/>
      <c r="O843" s="320"/>
      <c r="P843" s="320"/>
      <c r="Q843" s="320"/>
      <c r="R843" s="320"/>
      <c r="S843" s="320"/>
      <c r="T843" s="320"/>
      <c r="U843" s="320"/>
      <c r="V843" s="320"/>
      <c r="W843" s="320"/>
      <c r="X843" s="320"/>
      <c r="Y843" s="320"/>
      <c r="Z843" s="320"/>
    </row>
    <row r="844">
      <c r="A844" s="320"/>
      <c r="B844" s="320"/>
      <c r="C844" s="320"/>
      <c r="D844" s="320"/>
      <c r="E844" s="320"/>
      <c r="F844" s="320"/>
      <c r="G844" s="320"/>
      <c r="H844" s="320"/>
      <c r="I844" s="320"/>
      <c r="J844" s="320"/>
      <c r="K844" s="320"/>
      <c r="L844" s="320"/>
      <c r="M844" s="320"/>
      <c r="N844" s="320"/>
      <c r="O844" s="320"/>
      <c r="P844" s="320"/>
      <c r="Q844" s="320"/>
      <c r="R844" s="320"/>
      <c r="S844" s="320"/>
      <c r="T844" s="320"/>
      <c r="U844" s="320"/>
      <c r="V844" s="320"/>
      <c r="W844" s="320"/>
      <c r="X844" s="320"/>
      <c r="Y844" s="320"/>
      <c r="Z844" s="320"/>
    </row>
    <row r="845">
      <c r="A845" s="320"/>
      <c r="B845" s="320"/>
      <c r="C845" s="320"/>
      <c r="D845" s="320"/>
      <c r="E845" s="320"/>
      <c r="F845" s="320"/>
      <c r="G845" s="320"/>
      <c r="H845" s="320"/>
      <c r="I845" s="320"/>
      <c r="J845" s="320"/>
      <c r="K845" s="320"/>
      <c r="L845" s="320"/>
      <c r="M845" s="320"/>
      <c r="N845" s="320"/>
      <c r="O845" s="320"/>
      <c r="P845" s="320"/>
      <c r="Q845" s="320"/>
      <c r="R845" s="320"/>
      <c r="S845" s="320"/>
      <c r="T845" s="320"/>
      <c r="U845" s="320"/>
      <c r="V845" s="320"/>
      <c r="W845" s="320"/>
      <c r="X845" s="320"/>
      <c r="Y845" s="320"/>
      <c r="Z845" s="320"/>
    </row>
    <row r="846">
      <c r="A846" s="320"/>
      <c r="B846" s="320"/>
      <c r="C846" s="320"/>
      <c r="D846" s="320"/>
      <c r="E846" s="320"/>
      <c r="F846" s="320"/>
      <c r="G846" s="320"/>
      <c r="H846" s="320"/>
      <c r="I846" s="320"/>
      <c r="J846" s="320"/>
      <c r="K846" s="320"/>
      <c r="L846" s="320"/>
      <c r="M846" s="320"/>
      <c r="N846" s="320"/>
      <c r="O846" s="320"/>
      <c r="P846" s="320"/>
      <c r="Q846" s="320"/>
      <c r="R846" s="320"/>
      <c r="S846" s="320"/>
      <c r="T846" s="320"/>
      <c r="U846" s="320"/>
      <c r="V846" s="320"/>
      <c r="W846" s="320"/>
      <c r="X846" s="320"/>
      <c r="Y846" s="320"/>
      <c r="Z846" s="320"/>
    </row>
    <row r="847">
      <c r="A847" s="320"/>
      <c r="B847" s="320"/>
      <c r="C847" s="320"/>
      <c r="D847" s="320"/>
      <c r="E847" s="320"/>
      <c r="F847" s="320"/>
      <c r="G847" s="320"/>
      <c r="H847" s="320"/>
      <c r="I847" s="320"/>
      <c r="J847" s="320"/>
      <c r="K847" s="320"/>
      <c r="L847" s="320"/>
      <c r="M847" s="320"/>
      <c r="N847" s="320"/>
      <c r="O847" s="320"/>
      <c r="P847" s="320"/>
      <c r="Q847" s="320"/>
      <c r="R847" s="320"/>
      <c r="S847" s="320"/>
      <c r="T847" s="320"/>
      <c r="U847" s="320"/>
      <c r="V847" s="320"/>
      <c r="W847" s="320"/>
      <c r="X847" s="320"/>
      <c r="Y847" s="320"/>
      <c r="Z847" s="320"/>
    </row>
    <row r="848">
      <c r="A848" s="320"/>
      <c r="B848" s="320"/>
      <c r="C848" s="320"/>
      <c r="D848" s="320"/>
      <c r="E848" s="320"/>
      <c r="F848" s="320"/>
      <c r="G848" s="320"/>
      <c r="H848" s="320"/>
      <c r="I848" s="320"/>
      <c r="J848" s="320"/>
      <c r="K848" s="320"/>
      <c r="L848" s="320"/>
      <c r="M848" s="320"/>
      <c r="N848" s="320"/>
      <c r="O848" s="320"/>
      <c r="P848" s="320"/>
      <c r="Q848" s="320"/>
      <c r="R848" s="320"/>
      <c r="S848" s="320"/>
      <c r="T848" s="320"/>
      <c r="U848" s="320"/>
      <c r="V848" s="320"/>
      <c r="W848" s="320"/>
      <c r="X848" s="320"/>
      <c r="Y848" s="320"/>
      <c r="Z848" s="320"/>
    </row>
    <row r="849">
      <c r="A849" s="320"/>
      <c r="B849" s="320"/>
      <c r="C849" s="320"/>
      <c r="D849" s="320"/>
      <c r="E849" s="320"/>
      <c r="F849" s="320"/>
      <c r="G849" s="320"/>
      <c r="H849" s="320"/>
      <c r="I849" s="320"/>
      <c r="J849" s="320"/>
      <c r="K849" s="320"/>
      <c r="L849" s="320"/>
      <c r="M849" s="320"/>
      <c r="N849" s="320"/>
      <c r="O849" s="320"/>
      <c r="P849" s="320"/>
      <c r="Q849" s="320"/>
      <c r="R849" s="320"/>
      <c r="S849" s="320"/>
      <c r="T849" s="320"/>
      <c r="U849" s="320"/>
      <c r="V849" s="320"/>
      <c r="W849" s="320"/>
      <c r="X849" s="320"/>
      <c r="Y849" s="320"/>
      <c r="Z849" s="320"/>
    </row>
    <row r="850">
      <c r="A850" s="320"/>
      <c r="B850" s="320"/>
      <c r="C850" s="320"/>
      <c r="D850" s="320"/>
      <c r="E850" s="320"/>
      <c r="F850" s="320"/>
      <c r="G850" s="320"/>
      <c r="H850" s="320"/>
      <c r="I850" s="320"/>
      <c r="J850" s="320"/>
      <c r="K850" s="320"/>
      <c r="L850" s="320"/>
      <c r="M850" s="320"/>
      <c r="N850" s="320"/>
      <c r="O850" s="320"/>
      <c r="P850" s="320"/>
      <c r="Q850" s="320"/>
      <c r="R850" s="320"/>
      <c r="S850" s="320"/>
      <c r="T850" s="320"/>
      <c r="U850" s="320"/>
      <c r="V850" s="320"/>
      <c r="W850" s="320"/>
      <c r="X850" s="320"/>
      <c r="Y850" s="320"/>
      <c r="Z850" s="320"/>
    </row>
    <row r="851">
      <c r="A851" s="320"/>
      <c r="B851" s="320"/>
      <c r="C851" s="320"/>
      <c r="D851" s="320"/>
      <c r="E851" s="320"/>
      <c r="F851" s="320"/>
      <c r="G851" s="320"/>
      <c r="H851" s="320"/>
      <c r="I851" s="320"/>
      <c r="J851" s="320"/>
      <c r="K851" s="320"/>
      <c r="L851" s="320"/>
      <c r="M851" s="320"/>
      <c r="N851" s="320"/>
      <c r="O851" s="320"/>
      <c r="P851" s="320"/>
      <c r="Q851" s="320"/>
      <c r="R851" s="320"/>
      <c r="S851" s="320"/>
      <c r="T851" s="320"/>
      <c r="U851" s="320"/>
      <c r="V851" s="320"/>
      <c r="W851" s="320"/>
      <c r="X851" s="320"/>
      <c r="Y851" s="320"/>
      <c r="Z851" s="320"/>
    </row>
    <row r="852">
      <c r="A852" s="320"/>
      <c r="B852" s="320"/>
      <c r="C852" s="320"/>
      <c r="D852" s="320"/>
      <c r="E852" s="320"/>
      <c r="F852" s="320"/>
      <c r="G852" s="320"/>
      <c r="H852" s="320"/>
      <c r="I852" s="320"/>
      <c r="J852" s="320"/>
      <c r="K852" s="320"/>
      <c r="L852" s="320"/>
      <c r="M852" s="320"/>
      <c r="N852" s="320"/>
      <c r="O852" s="320"/>
      <c r="P852" s="320"/>
      <c r="Q852" s="320"/>
      <c r="R852" s="320"/>
      <c r="S852" s="320"/>
      <c r="T852" s="320"/>
      <c r="U852" s="320"/>
      <c r="V852" s="320"/>
      <c r="W852" s="320"/>
      <c r="X852" s="320"/>
      <c r="Y852" s="320"/>
      <c r="Z852" s="320"/>
    </row>
    <row r="853">
      <c r="A853" s="320"/>
      <c r="B853" s="320"/>
      <c r="C853" s="320"/>
      <c r="D853" s="320"/>
      <c r="E853" s="320"/>
      <c r="F853" s="320"/>
      <c r="G853" s="320"/>
      <c r="H853" s="320"/>
      <c r="I853" s="320"/>
      <c r="J853" s="320"/>
      <c r="K853" s="320"/>
      <c r="L853" s="320"/>
      <c r="M853" s="320"/>
      <c r="N853" s="320"/>
      <c r="O853" s="320"/>
      <c r="P853" s="320"/>
      <c r="Q853" s="320"/>
      <c r="R853" s="320"/>
      <c r="S853" s="320"/>
      <c r="T853" s="320"/>
      <c r="U853" s="320"/>
      <c r="V853" s="320"/>
      <c r="W853" s="320"/>
      <c r="X853" s="320"/>
      <c r="Y853" s="320"/>
      <c r="Z853" s="320"/>
    </row>
    <row r="854">
      <c r="A854" s="320"/>
      <c r="B854" s="320"/>
      <c r="C854" s="320"/>
      <c r="D854" s="320"/>
      <c r="E854" s="320"/>
      <c r="F854" s="320"/>
      <c r="G854" s="320"/>
      <c r="H854" s="320"/>
      <c r="I854" s="320"/>
      <c r="J854" s="320"/>
      <c r="K854" s="320"/>
      <c r="L854" s="320"/>
      <c r="M854" s="320"/>
      <c r="N854" s="320"/>
      <c r="O854" s="320"/>
      <c r="P854" s="320"/>
      <c r="Q854" s="320"/>
      <c r="R854" s="320"/>
      <c r="S854" s="320"/>
      <c r="T854" s="320"/>
      <c r="U854" s="320"/>
      <c r="V854" s="320"/>
      <c r="W854" s="320"/>
      <c r="X854" s="320"/>
      <c r="Y854" s="320"/>
      <c r="Z854" s="320"/>
    </row>
    <row r="855">
      <c r="A855" s="320"/>
      <c r="B855" s="320"/>
      <c r="C855" s="320"/>
      <c r="D855" s="320"/>
      <c r="E855" s="320"/>
      <c r="F855" s="320"/>
      <c r="G855" s="320"/>
      <c r="H855" s="320"/>
      <c r="I855" s="320"/>
      <c r="J855" s="320"/>
      <c r="K855" s="320"/>
      <c r="L855" s="320"/>
      <c r="M855" s="320"/>
      <c r="N855" s="320"/>
      <c r="O855" s="320"/>
      <c r="P855" s="320"/>
      <c r="Q855" s="320"/>
      <c r="R855" s="320"/>
      <c r="S855" s="320"/>
      <c r="T855" s="320"/>
      <c r="U855" s="320"/>
      <c r="V855" s="320"/>
      <c r="W855" s="320"/>
      <c r="X855" s="320"/>
      <c r="Y855" s="320"/>
      <c r="Z855" s="320"/>
    </row>
    <row r="856">
      <c r="A856" s="320"/>
      <c r="B856" s="320"/>
      <c r="C856" s="320"/>
      <c r="D856" s="320"/>
      <c r="E856" s="320"/>
      <c r="F856" s="320"/>
      <c r="G856" s="320"/>
      <c r="H856" s="320"/>
      <c r="I856" s="320"/>
      <c r="J856" s="320"/>
      <c r="K856" s="320"/>
      <c r="L856" s="320"/>
      <c r="M856" s="320"/>
      <c r="N856" s="320"/>
      <c r="O856" s="320"/>
      <c r="P856" s="320"/>
      <c r="Q856" s="320"/>
      <c r="R856" s="320"/>
      <c r="S856" s="320"/>
      <c r="T856" s="320"/>
      <c r="U856" s="320"/>
      <c r="V856" s="320"/>
      <c r="W856" s="320"/>
      <c r="X856" s="320"/>
      <c r="Y856" s="320"/>
      <c r="Z856" s="320"/>
    </row>
    <row r="857">
      <c r="A857" s="320"/>
      <c r="B857" s="320"/>
      <c r="C857" s="320"/>
      <c r="D857" s="320"/>
      <c r="E857" s="320"/>
      <c r="F857" s="320"/>
      <c r="G857" s="320"/>
      <c r="H857" s="320"/>
      <c r="I857" s="320"/>
      <c r="J857" s="320"/>
      <c r="K857" s="320"/>
      <c r="L857" s="320"/>
      <c r="M857" s="320"/>
      <c r="N857" s="320"/>
      <c r="O857" s="320"/>
      <c r="P857" s="320"/>
      <c r="Q857" s="320"/>
      <c r="R857" s="320"/>
      <c r="S857" s="320"/>
      <c r="T857" s="320"/>
      <c r="U857" s="320"/>
      <c r="V857" s="320"/>
      <c r="W857" s="320"/>
      <c r="X857" s="320"/>
      <c r="Y857" s="320"/>
      <c r="Z857" s="320"/>
    </row>
    <row r="858">
      <c r="A858" s="320"/>
      <c r="B858" s="320"/>
      <c r="C858" s="320"/>
      <c r="D858" s="320"/>
      <c r="E858" s="320"/>
      <c r="F858" s="320"/>
      <c r="G858" s="320"/>
      <c r="H858" s="320"/>
      <c r="I858" s="320"/>
      <c r="J858" s="320"/>
      <c r="K858" s="320"/>
      <c r="L858" s="320"/>
      <c r="M858" s="320"/>
      <c r="N858" s="320"/>
      <c r="O858" s="320"/>
      <c r="P858" s="320"/>
      <c r="Q858" s="320"/>
      <c r="R858" s="320"/>
      <c r="S858" s="320"/>
      <c r="T858" s="320"/>
      <c r="U858" s="320"/>
      <c r="V858" s="320"/>
      <c r="W858" s="320"/>
      <c r="X858" s="320"/>
      <c r="Y858" s="320"/>
      <c r="Z858" s="320"/>
    </row>
    <row r="859">
      <c r="A859" s="320"/>
      <c r="B859" s="320"/>
      <c r="C859" s="320"/>
      <c r="D859" s="320"/>
      <c r="E859" s="320"/>
      <c r="F859" s="320"/>
      <c r="G859" s="320"/>
      <c r="H859" s="320"/>
      <c r="I859" s="320"/>
      <c r="J859" s="320"/>
      <c r="K859" s="320"/>
      <c r="L859" s="320"/>
      <c r="M859" s="320"/>
      <c r="N859" s="320"/>
      <c r="O859" s="320"/>
      <c r="P859" s="320"/>
      <c r="Q859" s="320"/>
      <c r="R859" s="320"/>
      <c r="S859" s="320"/>
      <c r="T859" s="320"/>
      <c r="U859" s="320"/>
      <c r="V859" s="320"/>
      <c r="W859" s="320"/>
      <c r="X859" s="320"/>
      <c r="Y859" s="320"/>
      <c r="Z859" s="320"/>
    </row>
    <row r="860">
      <c r="A860" s="320"/>
      <c r="B860" s="320"/>
      <c r="C860" s="320"/>
      <c r="D860" s="320"/>
      <c r="E860" s="320"/>
      <c r="F860" s="320"/>
      <c r="G860" s="320"/>
      <c r="H860" s="320"/>
      <c r="I860" s="320"/>
      <c r="J860" s="320"/>
      <c r="K860" s="320"/>
      <c r="L860" s="320"/>
      <c r="M860" s="320"/>
      <c r="N860" s="320"/>
      <c r="O860" s="320"/>
      <c r="P860" s="320"/>
      <c r="Q860" s="320"/>
      <c r="R860" s="320"/>
      <c r="S860" s="320"/>
      <c r="T860" s="320"/>
      <c r="U860" s="320"/>
      <c r="V860" s="320"/>
      <c r="W860" s="320"/>
      <c r="X860" s="320"/>
      <c r="Y860" s="320"/>
      <c r="Z860" s="320"/>
    </row>
    <row r="861">
      <c r="A861" s="320"/>
      <c r="B861" s="320"/>
      <c r="C861" s="320"/>
      <c r="D861" s="320"/>
      <c r="E861" s="320"/>
      <c r="F861" s="320"/>
      <c r="G861" s="320"/>
      <c r="H861" s="320"/>
      <c r="I861" s="320"/>
      <c r="J861" s="320"/>
      <c r="K861" s="320"/>
      <c r="L861" s="320"/>
      <c r="M861" s="320"/>
      <c r="N861" s="320"/>
      <c r="O861" s="320"/>
      <c r="P861" s="320"/>
      <c r="Q861" s="320"/>
      <c r="R861" s="320"/>
      <c r="S861" s="320"/>
      <c r="T861" s="320"/>
      <c r="U861" s="320"/>
      <c r="V861" s="320"/>
      <c r="W861" s="320"/>
      <c r="X861" s="320"/>
      <c r="Y861" s="320"/>
      <c r="Z861" s="320"/>
    </row>
    <row r="862">
      <c r="A862" s="320"/>
      <c r="B862" s="320"/>
      <c r="C862" s="320"/>
      <c r="D862" s="320"/>
      <c r="E862" s="320"/>
      <c r="F862" s="320"/>
      <c r="G862" s="320"/>
      <c r="H862" s="320"/>
      <c r="I862" s="320"/>
      <c r="J862" s="320"/>
      <c r="K862" s="320"/>
      <c r="L862" s="320"/>
      <c r="M862" s="320"/>
      <c r="N862" s="320"/>
      <c r="O862" s="320"/>
      <c r="P862" s="320"/>
      <c r="Q862" s="320"/>
      <c r="R862" s="320"/>
      <c r="S862" s="320"/>
      <c r="T862" s="320"/>
      <c r="U862" s="320"/>
      <c r="V862" s="320"/>
      <c r="W862" s="320"/>
      <c r="X862" s="320"/>
      <c r="Y862" s="320"/>
      <c r="Z862" s="320"/>
    </row>
    <row r="863">
      <c r="A863" s="320"/>
      <c r="B863" s="320"/>
      <c r="C863" s="320"/>
      <c r="D863" s="320"/>
      <c r="E863" s="320"/>
      <c r="F863" s="320"/>
      <c r="G863" s="320"/>
      <c r="H863" s="320"/>
      <c r="I863" s="320"/>
      <c r="J863" s="320"/>
      <c r="K863" s="320"/>
      <c r="L863" s="320"/>
      <c r="M863" s="320"/>
      <c r="N863" s="320"/>
      <c r="O863" s="320"/>
      <c r="P863" s="320"/>
      <c r="Q863" s="320"/>
      <c r="R863" s="320"/>
      <c r="S863" s="320"/>
      <c r="T863" s="320"/>
      <c r="U863" s="320"/>
      <c r="V863" s="320"/>
      <c r="W863" s="320"/>
      <c r="X863" s="320"/>
      <c r="Y863" s="320"/>
      <c r="Z863" s="320"/>
    </row>
    <row r="864">
      <c r="A864" s="320"/>
      <c r="B864" s="320"/>
      <c r="C864" s="320"/>
      <c r="D864" s="320"/>
      <c r="E864" s="320"/>
      <c r="F864" s="320"/>
      <c r="G864" s="320"/>
      <c r="H864" s="320"/>
      <c r="I864" s="320"/>
      <c r="J864" s="320"/>
      <c r="K864" s="320"/>
      <c r="L864" s="320"/>
      <c r="M864" s="320"/>
      <c r="N864" s="320"/>
      <c r="O864" s="320"/>
      <c r="P864" s="320"/>
      <c r="Q864" s="320"/>
      <c r="R864" s="320"/>
      <c r="S864" s="320"/>
      <c r="T864" s="320"/>
      <c r="U864" s="320"/>
      <c r="V864" s="320"/>
      <c r="W864" s="320"/>
      <c r="X864" s="320"/>
      <c r="Y864" s="320"/>
      <c r="Z864" s="320"/>
    </row>
    <row r="865">
      <c r="A865" s="320"/>
      <c r="B865" s="320"/>
      <c r="C865" s="320"/>
      <c r="D865" s="320"/>
      <c r="E865" s="320"/>
      <c r="F865" s="320"/>
      <c r="G865" s="320"/>
      <c r="H865" s="320"/>
      <c r="I865" s="320"/>
      <c r="J865" s="320"/>
      <c r="K865" s="320"/>
      <c r="L865" s="320"/>
      <c r="M865" s="320"/>
      <c r="N865" s="320"/>
      <c r="O865" s="320"/>
      <c r="P865" s="320"/>
      <c r="Q865" s="320"/>
      <c r="R865" s="320"/>
      <c r="S865" s="320"/>
      <c r="T865" s="320"/>
      <c r="U865" s="320"/>
      <c r="V865" s="320"/>
      <c r="W865" s="320"/>
      <c r="X865" s="320"/>
      <c r="Y865" s="320"/>
      <c r="Z865" s="320"/>
    </row>
    <row r="866">
      <c r="A866" s="320"/>
      <c r="B866" s="320"/>
      <c r="C866" s="320"/>
      <c r="D866" s="320"/>
      <c r="E866" s="320"/>
      <c r="F866" s="320"/>
      <c r="G866" s="320"/>
      <c r="H866" s="320"/>
      <c r="I866" s="320"/>
      <c r="J866" s="320"/>
      <c r="K866" s="320"/>
      <c r="L866" s="320"/>
      <c r="M866" s="320"/>
      <c r="N866" s="320"/>
      <c r="O866" s="320"/>
      <c r="P866" s="320"/>
      <c r="Q866" s="320"/>
      <c r="R866" s="320"/>
      <c r="S866" s="320"/>
      <c r="T866" s="320"/>
      <c r="U866" s="320"/>
      <c r="V866" s="320"/>
      <c r="W866" s="320"/>
      <c r="X866" s="320"/>
      <c r="Y866" s="320"/>
      <c r="Z866" s="320"/>
    </row>
    <row r="867">
      <c r="A867" s="320"/>
      <c r="B867" s="320"/>
      <c r="C867" s="320"/>
      <c r="D867" s="320"/>
      <c r="E867" s="320"/>
      <c r="F867" s="320"/>
      <c r="G867" s="320"/>
      <c r="H867" s="320"/>
      <c r="I867" s="320"/>
      <c r="J867" s="320"/>
      <c r="K867" s="320"/>
      <c r="L867" s="320"/>
      <c r="M867" s="320"/>
      <c r="N867" s="320"/>
      <c r="O867" s="320"/>
      <c r="P867" s="320"/>
      <c r="Q867" s="320"/>
      <c r="R867" s="320"/>
      <c r="S867" s="320"/>
      <c r="T867" s="320"/>
      <c r="U867" s="320"/>
      <c r="V867" s="320"/>
      <c r="W867" s="320"/>
      <c r="X867" s="320"/>
      <c r="Y867" s="320"/>
      <c r="Z867" s="320"/>
    </row>
    <row r="868">
      <c r="A868" s="320"/>
      <c r="B868" s="320"/>
      <c r="C868" s="320"/>
      <c r="D868" s="320"/>
      <c r="E868" s="320"/>
      <c r="F868" s="320"/>
      <c r="G868" s="320"/>
      <c r="H868" s="320"/>
      <c r="I868" s="320"/>
      <c r="J868" s="320"/>
      <c r="K868" s="320"/>
      <c r="L868" s="320"/>
      <c r="M868" s="320"/>
      <c r="N868" s="320"/>
      <c r="O868" s="320"/>
      <c r="P868" s="320"/>
      <c r="Q868" s="320"/>
      <c r="R868" s="320"/>
      <c r="S868" s="320"/>
      <c r="T868" s="320"/>
      <c r="U868" s="320"/>
      <c r="V868" s="320"/>
      <c r="W868" s="320"/>
      <c r="X868" s="320"/>
      <c r="Y868" s="320"/>
      <c r="Z868" s="320"/>
    </row>
    <row r="869">
      <c r="A869" s="320"/>
      <c r="B869" s="320"/>
      <c r="C869" s="320"/>
      <c r="D869" s="320"/>
      <c r="E869" s="320"/>
      <c r="F869" s="320"/>
      <c r="G869" s="320"/>
      <c r="H869" s="320"/>
      <c r="I869" s="320"/>
      <c r="J869" s="320"/>
      <c r="K869" s="320"/>
      <c r="L869" s="320"/>
      <c r="M869" s="320"/>
      <c r="N869" s="320"/>
      <c r="O869" s="320"/>
      <c r="P869" s="320"/>
      <c r="Q869" s="320"/>
      <c r="R869" s="320"/>
      <c r="S869" s="320"/>
      <c r="T869" s="320"/>
      <c r="U869" s="320"/>
      <c r="V869" s="320"/>
      <c r="W869" s="320"/>
      <c r="X869" s="320"/>
      <c r="Y869" s="320"/>
      <c r="Z869" s="320"/>
    </row>
    <row r="870">
      <c r="A870" s="320"/>
      <c r="B870" s="320"/>
      <c r="C870" s="320"/>
      <c r="D870" s="320"/>
      <c r="E870" s="320"/>
      <c r="F870" s="320"/>
      <c r="G870" s="320"/>
      <c r="H870" s="320"/>
      <c r="I870" s="320"/>
      <c r="J870" s="320"/>
      <c r="K870" s="320"/>
      <c r="L870" s="320"/>
      <c r="M870" s="320"/>
      <c r="N870" s="320"/>
      <c r="O870" s="320"/>
      <c r="P870" s="320"/>
      <c r="Q870" s="320"/>
      <c r="R870" s="320"/>
      <c r="S870" s="320"/>
      <c r="T870" s="320"/>
      <c r="U870" s="320"/>
      <c r="V870" s="320"/>
      <c r="W870" s="320"/>
      <c r="X870" s="320"/>
      <c r="Y870" s="320"/>
      <c r="Z870" s="320"/>
    </row>
    <row r="871">
      <c r="A871" s="320"/>
      <c r="B871" s="320"/>
      <c r="C871" s="320"/>
      <c r="D871" s="320"/>
      <c r="E871" s="320"/>
      <c r="F871" s="320"/>
      <c r="G871" s="320"/>
      <c r="H871" s="320"/>
      <c r="I871" s="320"/>
      <c r="J871" s="320"/>
      <c r="K871" s="320"/>
      <c r="L871" s="320"/>
      <c r="M871" s="320"/>
      <c r="N871" s="320"/>
      <c r="O871" s="320"/>
      <c r="P871" s="320"/>
      <c r="Q871" s="320"/>
      <c r="R871" s="320"/>
      <c r="S871" s="320"/>
      <c r="T871" s="320"/>
      <c r="U871" s="320"/>
      <c r="V871" s="320"/>
      <c r="W871" s="320"/>
      <c r="X871" s="320"/>
      <c r="Y871" s="320"/>
      <c r="Z871" s="320"/>
    </row>
    <row r="872">
      <c r="A872" s="320"/>
      <c r="B872" s="320"/>
      <c r="C872" s="320"/>
      <c r="D872" s="320"/>
      <c r="E872" s="320"/>
      <c r="F872" s="320"/>
      <c r="G872" s="320"/>
      <c r="H872" s="320"/>
      <c r="I872" s="320"/>
      <c r="J872" s="320"/>
      <c r="K872" s="320"/>
      <c r="L872" s="320"/>
      <c r="M872" s="320"/>
      <c r="N872" s="320"/>
      <c r="O872" s="320"/>
      <c r="P872" s="320"/>
      <c r="Q872" s="320"/>
      <c r="R872" s="320"/>
      <c r="S872" s="320"/>
      <c r="T872" s="320"/>
      <c r="U872" s="320"/>
      <c r="V872" s="320"/>
      <c r="W872" s="320"/>
      <c r="X872" s="320"/>
      <c r="Y872" s="320"/>
      <c r="Z872" s="320"/>
    </row>
    <row r="873">
      <c r="A873" s="320"/>
      <c r="B873" s="320"/>
      <c r="C873" s="320"/>
      <c r="D873" s="320"/>
      <c r="E873" s="320"/>
      <c r="F873" s="320"/>
      <c r="G873" s="320"/>
      <c r="H873" s="320"/>
      <c r="I873" s="320"/>
      <c r="J873" s="320"/>
      <c r="K873" s="320"/>
      <c r="L873" s="320"/>
      <c r="M873" s="320"/>
      <c r="N873" s="320"/>
      <c r="O873" s="320"/>
      <c r="P873" s="320"/>
      <c r="Q873" s="320"/>
      <c r="R873" s="320"/>
      <c r="S873" s="320"/>
      <c r="T873" s="320"/>
      <c r="U873" s="320"/>
      <c r="V873" s="320"/>
      <c r="W873" s="320"/>
      <c r="X873" s="320"/>
      <c r="Y873" s="320"/>
      <c r="Z873" s="320"/>
    </row>
    <row r="874">
      <c r="A874" s="320"/>
      <c r="B874" s="320"/>
      <c r="C874" s="320"/>
      <c r="D874" s="320"/>
      <c r="E874" s="320"/>
      <c r="F874" s="320"/>
      <c r="G874" s="320"/>
      <c r="H874" s="320"/>
      <c r="I874" s="320"/>
      <c r="J874" s="320"/>
      <c r="K874" s="320"/>
      <c r="L874" s="320"/>
      <c r="M874" s="320"/>
      <c r="N874" s="320"/>
      <c r="O874" s="320"/>
      <c r="P874" s="320"/>
      <c r="Q874" s="320"/>
      <c r="R874" s="320"/>
      <c r="S874" s="320"/>
      <c r="T874" s="320"/>
      <c r="U874" s="320"/>
      <c r="V874" s="320"/>
      <c r="W874" s="320"/>
      <c r="X874" s="320"/>
      <c r="Y874" s="320"/>
      <c r="Z874" s="320"/>
    </row>
    <row r="875">
      <c r="A875" s="320"/>
      <c r="B875" s="320"/>
      <c r="C875" s="320"/>
      <c r="D875" s="320"/>
      <c r="E875" s="320"/>
      <c r="F875" s="320"/>
      <c r="G875" s="320"/>
      <c r="H875" s="320"/>
      <c r="I875" s="320"/>
      <c r="J875" s="320"/>
      <c r="K875" s="320"/>
      <c r="L875" s="320"/>
      <c r="M875" s="320"/>
      <c r="N875" s="320"/>
      <c r="O875" s="320"/>
      <c r="P875" s="320"/>
      <c r="Q875" s="320"/>
      <c r="R875" s="320"/>
      <c r="S875" s="320"/>
      <c r="T875" s="320"/>
      <c r="U875" s="320"/>
      <c r="V875" s="320"/>
      <c r="W875" s="320"/>
      <c r="X875" s="320"/>
      <c r="Y875" s="320"/>
      <c r="Z875" s="320"/>
    </row>
    <row r="876">
      <c r="A876" s="320"/>
      <c r="B876" s="320"/>
      <c r="C876" s="320"/>
      <c r="D876" s="320"/>
      <c r="E876" s="320"/>
      <c r="F876" s="320"/>
      <c r="G876" s="320"/>
      <c r="H876" s="320"/>
      <c r="I876" s="320"/>
      <c r="J876" s="320"/>
      <c r="K876" s="320"/>
      <c r="L876" s="320"/>
      <c r="M876" s="320"/>
      <c r="N876" s="320"/>
      <c r="O876" s="320"/>
      <c r="P876" s="320"/>
      <c r="Q876" s="320"/>
      <c r="R876" s="320"/>
      <c r="S876" s="320"/>
      <c r="T876" s="320"/>
      <c r="U876" s="320"/>
      <c r="V876" s="320"/>
      <c r="W876" s="320"/>
      <c r="X876" s="320"/>
      <c r="Y876" s="320"/>
      <c r="Z876" s="320"/>
    </row>
    <row r="877">
      <c r="A877" s="320"/>
      <c r="B877" s="320"/>
      <c r="C877" s="320"/>
      <c r="D877" s="320"/>
      <c r="E877" s="320"/>
      <c r="F877" s="320"/>
      <c r="G877" s="320"/>
      <c r="H877" s="320"/>
      <c r="I877" s="320"/>
      <c r="J877" s="320"/>
      <c r="K877" s="320"/>
      <c r="L877" s="320"/>
      <c r="M877" s="320"/>
      <c r="N877" s="320"/>
      <c r="O877" s="320"/>
      <c r="P877" s="320"/>
      <c r="Q877" s="320"/>
      <c r="R877" s="320"/>
      <c r="S877" s="320"/>
      <c r="T877" s="320"/>
      <c r="U877" s="320"/>
      <c r="V877" s="320"/>
      <c r="W877" s="320"/>
      <c r="X877" s="320"/>
      <c r="Y877" s="320"/>
      <c r="Z877" s="320"/>
    </row>
    <row r="878">
      <c r="A878" s="320"/>
      <c r="B878" s="320"/>
      <c r="C878" s="320"/>
      <c r="D878" s="320"/>
      <c r="E878" s="320"/>
      <c r="F878" s="320"/>
      <c r="G878" s="320"/>
      <c r="H878" s="320"/>
      <c r="I878" s="320"/>
      <c r="J878" s="320"/>
      <c r="K878" s="320"/>
      <c r="L878" s="320"/>
      <c r="M878" s="320"/>
      <c r="N878" s="320"/>
      <c r="O878" s="320"/>
      <c r="P878" s="320"/>
      <c r="Q878" s="320"/>
      <c r="R878" s="320"/>
      <c r="S878" s="320"/>
      <c r="T878" s="320"/>
      <c r="U878" s="320"/>
      <c r="V878" s="320"/>
      <c r="W878" s="320"/>
      <c r="X878" s="320"/>
      <c r="Y878" s="320"/>
      <c r="Z878" s="320"/>
    </row>
    <row r="879">
      <c r="A879" s="320"/>
      <c r="B879" s="320"/>
      <c r="C879" s="320"/>
      <c r="D879" s="320"/>
      <c r="E879" s="320"/>
      <c r="F879" s="320"/>
      <c r="G879" s="320"/>
      <c r="H879" s="320"/>
      <c r="I879" s="320"/>
      <c r="J879" s="320"/>
      <c r="K879" s="320"/>
      <c r="L879" s="320"/>
      <c r="M879" s="320"/>
      <c r="N879" s="320"/>
      <c r="O879" s="320"/>
      <c r="P879" s="320"/>
      <c r="Q879" s="320"/>
      <c r="R879" s="320"/>
      <c r="S879" s="320"/>
      <c r="T879" s="320"/>
      <c r="U879" s="320"/>
      <c r="V879" s="320"/>
      <c r="W879" s="320"/>
      <c r="X879" s="320"/>
      <c r="Y879" s="320"/>
      <c r="Z879" s="320"/>
    </row>
    <row r="880">
      <c r="A880" s="320"/>
      <c r="B880" s="320"/>
      <c r="C880" s="320"/>
      <c r="D880" s="320"/>
      <c r="E880" s="320"/>
      <c r="F880" s="320"/>
      <c r="G880" s="320"/>
      <c r="H880" s="320"/>
      <c r="I880" s="320"/>
      <c r="J880" s="320"/>
      <c r="K880" s="320"/>
      <c r="L880" s="320"/>
      <c r="M880" s="320"/>
      <c r="N880" s="320"/>
      <c r="O880" s="320"/>
      <c r="P880" s="320"/>
      <c r="Q880" s="320"/>
      <c r="R880" s="320"/>
      <c r="S880" s="320"/>
      <c r="T880" s="320"/>
      <c r="U880" s="320"/>
      <c r="V880" s="320"/>
      <c r="W880" s="320"/>
      <c r="X880" s="320"/>
      <c r="Y880" s="320"/>
      <c r="Z880" s="320"/>
    </row>
    <row r="881">
      <c r="A881" s="320"/>
      <c r="B881" s="320"/>
      <c r="C881" s="320"/>
      <c r="D881" s="320"/>
      <c r="E881" s="320"/>
      <c r="F881" s="320"/>
      <c r="G881" s="320"/>
      <c r="H881" s="320"/>
      <c r="I881" s="320"/>
      <c r="J881" s="320"/>
      <c r="K881" s="320"/>
      <c r="L881" s="320"/>
      <c r="M881" s="320"/>
      <c r="N881" s="320"/>
      <c r="O881" s="320"/>
      <c r="P881" s="320"/>
      <c r="Q881" s="320"/>
      <c r="R881" s="320"/>
      <c r="S881" s="320"/>
      <c r="T881" s="320"/>
      <c r="U881" s="320"/>
      <c r="V881" s="320"/>
      <c r="W881" s="320"/>
      <c r="X881" s="320"/>
      <c r="Y881" s="320"/>
      <c r="Z881" s="320"/>
    </row>
    <row r="882">
      <c r="A882" s="320"/>
      <c r="B882" s="320"/>
      <c r="C882" s="320"/>
      <c r="D882" s="320"/>
      <c r="E882" s="320"/>
      <c r="F882" s="320"/>
      <c r="G882" s="320"/>
      <c r="H882" s="320"/>
      <c r="I882" s="320"/>
      <c r="J882" s="320"/>
      <c r="K882" s="320"/>
      <c r="L882" s="320"/>
      <c r="M882" s="320"/>
      <c r="N882" s="320"/>
      <c r="O882" s="320"/>
      <c r="P882" s="320"/>
      <c r="Q882" s="320"/>
      <c r="R882" s="320"/>
      <c r="S882" s="320"/>
      <c r="T882" s="320"/>
      <c r="U882" s="320"/>
      <c r="V882" s="320"/>
      <c r="W882" s="320"/>
      <c r="X882" s="320"/>
      <c r="Y882" s="320"/>
      <c r="Z882" s="320"/>
    </row>
    <row r="883">
      <c r="A883" s="320"/>
      <c r="B883" s="320"/>
      <c r="C883" s="320"/>
      <c r="D883" s="320"/>
      <c r="E883" s="320"/>
      <c r="F883" s="320"/>
      <c r="G883" s="320"/>
      <c r="H883" s="320"/>
      <c r="I883" s="320"/>
      <c r="J883" s="320"/>
      <c r="K883" s="320"/>
      <c r="L883" s="320"/>
      <c r="M883" s="320"/>
      <c r="N883" s="320"/>
      <c r="O883" s="320"/>
      <c r="P883" s="320"/>
      <c r="Q883" s="320"/>
      <c r="R883" s="320"/>
      <c r="S883" s="320"/>
      <c r="T883" s="320"/>
      <c r="U883" s="320"/>
      <c r="V883" s="320"/>
      <c r="W883" s="320"/>
      <c r="X883" s="320"/>
      <c r="Y883" s="320"/>
      <c r="Z883" s="320"/>
    </row>
    <row r="884">
      <c r="A884" s="320"/>
      <c r="B884" s="320"/>
      <c r="C884" s="320"/>
      <c r="D884" s="320"/>
      <c r="E884" s="320"/>
      <c r="F884" s="320"/>
      <c r="G884" s="320"/>
      <c r="H884" s="320"/>
      <c r="I884" s="320"/>
      <c r="J884" s="320"/>
      <c r="K884" s="320"/>
      <c r="L884" s="320"/>
      <c r="M884" s="320"/>
      <c r="N884" s="320"/>
      <c r="O884" s="320"/>
      <c r="P884" s="320"/>
      <c r="Q884" s="320"/>
      <c r="R884" s="320"/>
      <c r="S884" s="320"/>
      <c r="T884" s="320"/>
      <c r="U884" s="320"/>
      <c r="V884" s="320"/>
      <c r="W884" s="320"/>
      <c r="X884" s="320"/>
      <c r="Y884" s="320"/>
      <c r="Z884" s="320"/>
    </row>
    <row r="885">
      <c r="A885" s="320"/>
      <c r="B885" s="320"/>
      <c r="C885" s="320"/>
      <c r="D885" s="320"/>
      <c r="E885" s="320"/>
      <c r="F885" s="320"/>
      <c r="G885" s="320"/>
      <c r="H885" s="320"/>
      <c r="I885" s="320"/>
      <c r="J885" s="320"/>
      <c r="K885" s="320"/>
      <c r="L885" s="320"/>
      <c r="M885" s="320"/>
      <c r="N885" s="320"/>
      <c r="O885" s="320"/>
      <c r="P885" s="320"/>
      <c r="Q885" s="320"/>
      <c r="R885" s="320"/>
      <c r="S885" s="320"/>
      <c r="T885" s="320"/>
      <c r="U885" s="320"/>
      <c r="V885" s="320"/>
      <c r="W885" s="320"/>
      <c r="X885" s="320"/>
      <c r="Y885" s="320"/>
      <c r="Z885" s="320"/>
    </row>
    <row r="886">
      <c r="A886" s="320"/>
      <c r="B886" s="320"/>
      <c r="C886" s="320"/>
      <c r="D886" s="320"/>
      <c r="E886" s="320"/>
      <c r="F886" s="320"/>
      <c r="G886" s="320"/>
      <c r="H886" s="320"/>
      <c r="I886" s="320"/>
      <c r="J886" s="320"/>
      <c r="K886" s="320"/>
      <c r="L886" s="320"/>
      <c r="M886" s="320"/>
      <c r="N886" s="320"/>
      <c r="O886" s="320"/>
      <c r="P886" s="320"/>
      <c r="Q886" s="320"/>
      <c r="R886" s="320"/>
      <c r="S886" s="320"/>
      <c r="T886" s="320"/>
      <c r="U886" s="320"/>
      <c r="V886" s="320"/>
      <c r="W886" s="320"/>
      <c r="X886" s="320"/>
      <c r="Y886" s="320"/>
      <c r="Z886" s="320"/>
    </row>
    <row r="887">
      <c r="A887" s="320"/>
      <c r="B887" s="320"/>
      <c r="C887" s="320"/>
      <c r="D887" s="320"/>
      <c r="E887" s="320"/>
      <c r="F887" s="320"/>
      <c r="G887" s="320"/>
      <c r="H887" s="320"/>
      <c r="I887" s="320"/>
      <c r="J887" s="320"/>
      <c r="K887" s="320"/>
      <c r="L887" s="320"/>
      <c r="M887" s="320"/>
      <c r="N887" s="320"/>
      <c r="O887" s="320"/>
      <c r="P887" s="320"/>
      <c r="Q887" s="320"/>
      <c r="R887" s="320"/>
      <c r="S887" s="320"/>
      <c r="T887" s="320"/>
      <c r="U887" s="320"/>
      <c r="V887" s="320"/>
      <c r="W887" s="320"/>
      <c r="X887" s="320"/>
      <c r="Y887" s="320"/>
      <c r="Z887" s="320"/>
    </row>
    <row r="888">
      <c r="A888" s="320"/>
      <c r="B888" s="320"/>
      <c r="C888" s="320"/>
      <c r="D888" s="320"/>
      <c r="E888" s="320"/>
      <c r="F888" s="320"/>
      <c r="G888" s="320"/>
      <c r="H888" s="320"/>
      <c r="I888" s="320"/>
      <c r="J888" s="320"/>
      <c r="K888" s="320"/>
      <c r="L888" s="320"/>
      <c r="M888" s="320"/>
      <c r="N888" s="320"/>
      <c r="O888" s="320"/>
      <c r="P888" s="320"/>
      <c r="Q888" s="320"/>
      <c r="R888" s="320"/>
      <c r="S888" s="320"/>
      <c r="T888" s="320"/>
      <c r="U888" s="320"/>
      <c r="V888" s="320"/>
      <c r="W888" s="320"/>
      <c r="X888" s="320"/>
      <c r="Y888" s="320"/>
      <c r="Z888" s="320"/>
    </row>
    <row r="889">
      <c r="A889" s="320"/>
      <c r="B889" s="320"/>
      <c r="C889" s="320"/>
      <c r="D889" s="320"/>
      <c r="E889" s="320"/>
      <c r="F889" s="320"/>
      <c r="G889" s="320"/>
      <c r="H889" s="320"/>
      <c r="I889" s="320"/>
      <c r="J889" s="320"/>
      <c r="K889" s="320"/>
      <c r="L889" s="320"/>
      <c r="M889" s="320"/>
      <c r="N889" s="320"/>
      <c r="O889" s="320"/>
      <c r="P889" s="320"/>
      <c r="Q889" s="320"/>
      <c r="R889" s="320"/>
      <c r="S889" s="320"/>
      <c r="T889" s="320"/>
      <c r="U889" s="320"/>
      <c r="V889" s="320"/>
      <c r="W889" s="320"/>
      <c r="X889" s="320"/>
      <c r="Y889" s="320"/>
      <c r="Z889" s="320"/>
    </row>
    <row r="890">
      <c r="A890" s="320"/>
      <c r="B890" s="320"/>
      <c r="C890" s="320"/>
      <c r="D890" s="320"/>
      <c r="E890" s="320"/>
      <c r="F890" s="320"/>
      <c r="G890" s="320"/>
      <c r="H890" s="320"/>
      <c r="I890" s="320"/>
      <c r="J890" s="320"/>
      <c r="K890" s="320"/>
      <c r="L890" s="320"/>
      <c r="M890" s="320"/>
      <c r="N890" s="320"/>
      <c r="O890" s="320"/>
      <c r="P890" s="320"/>
      <c r="Q890" s="320"/>
      <c r="R890" s="320"/>
      <c r="S890" s="320"/>
      <c r="T890" s="320"/>
      <c r="U890" s="320"/>
      <c r="V890" s="320"/>
      <c r="W890" s="320"/>
      <c r="X890" s="320"/>
      <c r="Y890" s="320"/>
      <c r="Z890" s="320"/>
    </row>
    <row r="891">
      <c r="A891" s="320"/>
      <c r="B891" s="320"/>
      <c r="C891" s="320"/>
      <c r="D891" s="320"/>
      <c r="E891" s="320"/>
      <c r="F891" s="320"/>
      <c r="G891" s="320"/>
      <c r="H891" s="320"/>
      <c r="I891" s="320"/>
      <c r="J891" s="320"/>
      <c r="K891" s="320"/>
      <c r="L891" s="320"/>
      <c r="M891" s="320"/>
      <c r="N891" s="320"/>
      <c r="O891" s="320"/>
      <c r="P891" s="320"/>
      <c r="Q891" s="320"/>
      <c r="R891" s="320"/>
      <c r="S891" s="320"/>
      <c r="T891" s="320"/>
      <c r="U891" s="320"/>
      <c r="V891" s="320"/>
      <c r="W891" s="320"/>
      <c r="X891" s="320"/>
      <c r="Y891" s="320"/>
      <c r="Z891" s="320"/>
    </row>
    <row r="892">
      <c r="A892" s="320"/>
      <c r="B892" s="320"/>
      <c r="C892" s="320"/>
      <c r="D892" s="320"/>
      <c r="E892" s="320"/>
      <c r="F892" s="320"/>
      <c r="G892" s="320"/>
      <c r="H892" s="320"/>
      <c r="I892" s="320"/>
      <c r="J892" s="320"/>
      <c r="K892" s="320"/>
      <c r="L892" s="320"/>
      <c r="M892" s="320"/>
      <c r="N892" s="320"/>
      <c r="O892" s="320"/>
      <c r="P892" s="320"/>
      <c r="Q892" s="320"/>
      <c r="R892" s="320"/>
      <c r="S892" s="320"/>
      <c r="T892" s="320"/>
      <c r="U892" s="320"/>
      <c r="V892" s="320"/>
      <c r="W892" s="320"/>
      <c r="X892" s="320"/>
      <c r="Y892" s="320"/>
      <c r="Z892" s="320"/>
    </row>
    <row r="893">
      <c r="A893" s="320"/>
      <c r="B893" s="320"/>
      <c r="C893" s="320"/>
      <c r="D893" s="320"/>
      <c r="E893" s="320"/>
      <c r="F893" s="320"/>
      <c r="G893" s="320"/>
      <c r="H893" s="320"/>
      <c r="I893" s="320"/>
      <c r="J893" s="320"/>
      <c r="K893" s="320"/>
      <c r="L893" s="320"/>
      <c r="M893" s="320"/>
      <c r="N893" s="320"/>
      <c r="O893" s="320"/>
      <c r="P893" s="320"/>
      <c r="Q893" s="320"/>
      <c r="R893" s="320"/>
      <c r="S893" s="320"/>
      <c r="T893" s="320"/>
      <c r="U893" s="320"/>
      <c r="V893" s="320"/>
      <c r="W893" s="320"/>
      <c r="X893" s="320"/>
      <c r="Y893" s="320"/>
      <c r="Z893" s="320"/>
    </row>
    <row r="894">
      <c r="A894" s="320"/>
      <c r="B894" s="320"/>
      <c r="C894" s="320"/>
      <c r="D894" s="320"/>
      <c r="E894" s="320"/>
      <c r="F894" s="320"/>
      <c r="G894" s="320"/>
      <c r="H894" s="320"/>
      <c r="I894" s="320"/>
      <c r="J894" s="320"/>
      <c r="K894" s="320"/>
      <c r="L894" s="320"/>
      <c r="M894" s="320"/>
      <c r="N894" s="320"/>
      <c r="O894" s="320"/>
      <c r="P894" s="320"/>
      <c r="Q894" s="320"/>
      <c r="R894" s="320"/>
      <c r="S894" s="320"/>
      <c r="T894" s="320"/>
      <c r="U894" s="320"/>
      <c r="V894" s="320"/>
      <c r="W894" s="320"/>
      <c r="X894" s="320"/>
      <c r="Y894" s="320"/>
      <c r="Z894" s="320"/>
    </row>
    <row r="895">
      <c r="A895" s="320"/>
      <c r="B895" s="320"/>
      <c r="C895" s="320"/>
      <c r="D895" s="320"/>
      <c r="E895" s="320"/>
      <c r="F895" s="320"/>
      <c r="G895" s="320"/>
      <c r="H895" s="320"/>
      <c r="I895" s="320"/>
      <c r="J895" s="320"/>
      <c r="K895" s="320"/>
      <c r="L895" s="320"/>
      <c r="M895" s="320"/>
      <c r="N895" s="320"/>
      <c r="O895" s="320"/>
      <c r="P895" s="320"/>
      <c r="Q895" s="320"/>
      <c r="R895" s="320"/>
      <c r="S895" s="320"/>
      <c r="T895" s="320"/>
      <c r="U895" s="320"/>
      <c r="V895" s="320"/>
      <c r="W895" s="320"/>
      <c r="X895" s="320"/>
      <c r="Y895" s="320"/>
      <c r="Z895" s="320"/>
    </row>
    <row r="896">
      <c r="A896" s="320"/>
      <c r="B896" s="320"/>
      <c r="C896" s="320"/>
      <c r="D896" s="320"/>
      <c r="E896" s="320"/>
      <c r="F896" s="320"/>
      <c r="G896" s="320"/>
      <c r="H896" s="320"/>
      <c r="I896" s="320"/>
      <c r="J896" s="320"/>
      <c r="K896" s="320"/>
      <c r="L896" s="320"/>
      <c r="M896" s="320"/>
      <c r="N896" s="320"/>
      <c r="O896" s="320"/>
      <c r="P896" s="320"/>
      <c r="Q896" s="320"/>
      <c r="R896" s="320"/>
      <c r="S896" s="320"/>
      <c r="T896" s="320"/>
      <c r="U896" s="320"/>
      <c r="V896" s="320"/>
      <c r="W896" s="320"/>
      <c r="X896" s="320"/>
      <c r="Y896" s="320"/>
      <c r="Z896" s="320"/>
    </row>
    <row r="897">
      <c r="A897" s="320"/>
      <c r="B897" s="320"/>
      <c r="C897" s="320"/>
      <c r="D897" s="320"/>
      <c r="E897" s="320"/>
      <c r="F897" s="320"/>
      <c r="G897" s="320"/>
      <c r="H897" s="320"/>
      <c r="I897" s="320"/>
      <c r="J897" s="320"/>
      <c r="K897" s="320"/>
      <c r="L897" s="320"/>
      <c r="M897" s="320"/>
      <c r="N897" s="320"/>
      <c r="O897" s="320"/>
      <c r="P897" s="320"/>
      <c r="Q897" s="320"/>
      <c r="R897" s="320"/>
      <c r="S897" s="320"/>
      <c r="T897" s="320"/>
      <c r="U897" s="320"/>
      <c r="V897" s="320"/>
      <c r="W897" s="320"/>
      <c r="X897" s="320"/>
      <c r="Y897" s="320"/>
      <c r="Z897" s="320"/>
    </row>
    <row r="898">
      <c r="A898" s="320"/>
      <c r="B898" s="320"/>
      <c r="C898" s="320"/>
      <c r="D898" s="320"/>
      <c r="E898" s="320"/>
      <c r="F898" s="320"/>
      <c r="G898" s="320"/>
      <c r="H898" s="320"/>
      <c r="I898" s="320"/>
      <c r="J898" s="320"/>
      <c r="K898" s="320"/>
      <c r="L898" s="320"/>
      <c r="M898" s="320"/>
      <c r="N898" s="320"/>
      <c r="O898" s="320"/>
      <c r="P898" s="320"/>
      <c r="Q898" s="320"/>
      <c r="R898" s="320"/>
      <c r="S898" s="320"/>
      <c r="T898" s="320"/>
      <c r="U898" s="320"/>
      <c r="V898" s="320"/>
      <c r="W898" s="320"/>
      <c r="X898" s="320"/>
      <c r="Y898" s="320"/>
      <c r="Z898" s="320"/>
    </row>
    <row r="899">
      <c r="A899" s="320"/>
      <c r="B899" s="320"/>
      <c r="C899" s="320"/>
      <c r="D899" s="320"/>
      <c r="E899" s="320"/>
      <c r="F899" s="320"/>
      <c r="G899" s="320"/>
      <c r="H899" s="320"/>
      <c r="I899" s="320"/>
      <c r="J899" s="320"/>
      <c r="K899" s="320"/>
      <c r="L899" s="320"/>
      <c r="M899" s="320"/>
      <c r="N899" s="320"/>
      <c r="O899" s="320"/>
      <c r="P899" s="320"/>
      <c r="Q899" s="320"/>
      <c r="R899" s="320"/>
      <c r="S899" s="320"/>
      <c r="T899" s="320"/>
      <c r="U899" s="320"/>
      <c r="V899" s="320"/>
      <c r="W899" s="320"/>
      <c r="X899" s="320"/>
      <c r="Y899" s="320"/>
      <c r="Z899" s="320"/>
    </row>
    <row r="900">
      <c r="A900" s="320"/>
      <c r="B900" s="320"/>
      <c r="C900" s="320"/>
      <c r="D900" s="320"/>
      <c r="E900" s="320"/>
      <c r="F900" s="320"/>
      <c r="G900" s="320"/>
      <c r="H900" s="320"/>
      <c r="I900" s="320"/>
      <c r="J900" s="320"/>
      <c r="K900" s="320"/>
      <c r="L900" s="320"/>
      <c r="M900" s="320"/>
      <c r="N900" s="320"/>
      <c r="O900" s="320"/>
      <c r="P900" s="320"/>
      <c r="Q900" s="320"/>
      <c r="R900" s="320"/>
      <c r="S900" s="320"/>
      <c r="T900" s="320"/>
      <c r="U900" s="320"/>
      <c r="V900" s="320"/>
      <c r="W900" s="320"/>
      <c r="X900" s="320"/>
      <c r="Y900" s="320"/>
      <c r="Z900" s="320"/>
    </row>
    <row r="901">
      <c r="A901" s="320"/>
      <c r="B901" s="320"/>
      <c r="C901" s="320"/>
      <c r="D901" s="320"/>
      <c r="E901" s="320"/>
      <c r="F901" s="320"/>
      <c r="G901" s="320"/>
      <c r="H901" s="320"/>
      <c r="I901" s="320"/>
      <c r="J901" s="320"/>
      <c r="K901" s="320"/>
      <c r="L901" s="320"/>
      <c r="M901" s="320"/>
      <c r="N901" s="320"/>
      <c r="O901" s="320"/>
      <c r="P901" s="320"/>
      <c r="Q901" s="320"/>
      <c r="R901" s="320"/>
      <c r="S901" s="320"/>
      <c r="T901" s="320"/>
      <c r="U901" s="320"/>
      <c r="V901" s="320"/>
      <c r="W901" s="320"/>
      <c r="X901" s="320"/>
      <c r="Y901" s="320"/>
      <c r="Z901" s="320"/>
    </row>
    <row r="902">
      <c r="A902" s="320"/>
      <c r="B902" s="320"/>
      <c r="C902" s="320"/>
      <c r="D902" s="320"/>
      <c r="E902" s="320"/>
      <c r="F902" s="320"/>
      <c r="G902" s="320"/>
      <c r="H902" s="320"/>
      <c r="I902" s="320"/>
      <c r="J902" s="320"/>
      <c r="K902" s="320"/>
      <c r="L902" s="320"/>
      <c r="M902" s="320"/>
      <c r="N902" s="320"/>
      <c r="O902" s="320"/>
      <c r="P902" s="320"/>
      <c r="Q902" s="320"/>
      <c r="R902" s="320"/>
      <c r="S902" s="320"/>
      <c r="T902" s="320"/>
      <c r="U902" s="320"/>
      <c r="V902" s="320"/>
      <c r="W902" s="320"/>
      <c r="X902" s="320"/>
      <c r="Y902" s="320"/>
      <c r="Z902" s="320"/>
    </row>
    <row r="903">
      <c r="A903" s="320"/>
      <c r="B903" s="320"/>
      <c r="C903" s="320"/>
      <c r="D903" s="320"/>
      <c r="E903" s="320"/>
      <c r="F903" s="320"/>
      <c r="G903" s="320"/>
      <c r="H903" s="320"/>
      <c r="I903" s="320"/>
      <c r="J903" s="320"/>
      <c r="K903" s="320"/>
      <c r="L903" s="320"/>
      <c r="M903" s="320"/>
      <c r="N903" s="320"/>
      <c r="O903" s="320"/>
      <c r="P903" s="320"/>
      <c r="Q903" s="320"/>
      <c r="R903" s="320"/>
      <c r="S903" s="320"/>
      <c r="T903" s="320"/>
      <c r="U903" s="320"/>
      <c r="V903" s="320"/>
      <c r="W903" s="320"/>
      <c r="X903" s="320"/>
      <c r="Y903" s="320"/>
      <c r="Z903" s="320"/>
    </row>
    <row r="904">
      <c r="A904" s="320"/>
      <c r="B904" s="320"/>
      <c r="C904" s="320"/>
      <c r="D904" s="320"/>
      <c r="E904" s="320"/>
      <c r="F904" s="320"/>
      <c r="G904" s="320"/>
      <c r="H904" s="320"/>
      <c r="I904" s="320"/>
      <c r="J904" s="320"/>
      <c r="K904" s="320"/>
      <c r="L904" s="320"/>
      <c r="M904" s="320"/>
      <c r="N904" s="320"/>
      <c r="O904" s="320"/>
      <c r="P904" s="320"/>
      <c r="Q904" s="320"/>
      <c r="R904" s="320"/>
      <c r="S904" s="320"/>
      <c r="T904" s="320"/>
      <c r="U904" s="320"/>
      <c r="V904" s="320"/>
      <c r="W904" s="320"/>
      <c r="X904" s="320"/>
      <c r="Y904" s="320"/>
      <c r="Z904" s="320"/>
    </row>
    <row r="905">
      <c r="A905" s="320"/>
      <c r="B905" s="320"/>
      <c r="C905" s="320"/>
      <c r="D905" s="320"/>
      <c r="E905" s="320"/>
      <c r="F905" s="320"/>
      <c r="G905" s="320"/>
      <c r="H905" s="320"/>
      <c r="I905" s="320"/>
      <c r="J905" s="320"/>
      <c r="K905" s="320"/>
      <c r="L905" s="320"/>
      <c r="M905" s="320"/>
      <c r="N905" s="320"/>
      <c r="O905" s="320"/>
      <c r="P905" s="320"/>
      <c r="Q905" s="320"/>
      <c r="R905" s="320"/>
      <c r="S905" s="320"/>
      <c r="T905" s="320"/>
      <c r="U905" s="320"/>
      <c r="V905" s="320"/>
      <c r="W905" s="320"/>
      <c r="X905" s="320"/>
      <c r="Y905" s="320"/>
      <c r="Z905" s="320"/>
    </row>
    <row r="906">
      <c r="A906" s="320"/>
      <c r="B906" s="320"/>
      <c r="C906" s="320"/>
      <c r="D906" s="320"/>
      <c r="E906" s="320"/>
      <c r="F906" s="320"/>
      <c r="G906" s="320"/>
      <c r="H906" s="320"/>
      <c r="I906" s="320"/>
      <c r="J906" s="320"/>
      <c r="K906" s="320"/>
      <c r="L906" s="320"/>
      <c r="M906" s="320"/>
      <c r="N906" s="320"/>
      <c r="O906" s="320"/>
      <c r="P906" s="320"/>
      <c r="Q906" s="320"/>
      <c r="R906" s="320"/>
      <c r="S906" s="320"/>
      <c r="T906" s="320"/>
      <c r="U906" s="320"/>
      <c r="V906" s="320"/>
      <c r="W906" s="320"/>
      <c r="X906" s="320"/>
      <c r="Y906" s="320"/>
      <c r="Z906" s="320"/>
    </row>
    <row r="907">
      <c r="A907" s="320"/>
      <c r="B907" s="320"/>
      <c r="C907" s="320"/>
      <c r="D907" s="320"/>
      <c r="E907" s="320"/>
      <c r="F907" s="320"/>
      <c r="G907" s="320"/>
      <c r="H907" s="320"/>
      <c r="I907" s="320"/>
      <c r="J907" s="320"/>
      <c r="K907" s="320"/>
      <c r="L907" s="320"/>
      <c r="M907" s="320"/>
      <c r="N907" s="320"/>
      <c r="O907" s="320"/>
      <c r="P907" s="320"/>
      <c r="Q907" s="320"/>
      <c r="R907" s="320"/>
      <c r="S907" s="320"/>
      <c r="T907" s="320"/>
      <c r="U907" s="320"/>
      <c r="V907" s="320"/>
      <c r="W907" s="320"/>
      <c r="X907" s="320"/>
      <c r="Y907" s="320"/>
      <c r="Z907" s="320"/>
    </row>
    <row r="908">
      <c r="A908" s="320"/>
      <c r="B908" s="320"/>
      <c r="C908" s="320"/>
      <c r="D908" s="320"/>
      <c r="E908" s="320"/>
      <c r="F908" s="320"/>
      <c r="G908" s="320"/>
      <c r="H908" s="320"/>
      <c r="I908" s="320"/>
      <c r="J908" s="320"/>
      <c r="K908" s="320"/>
      <c r="L908" s="320"/>
      <c r="M908" s="320"/>
      <c r="N908" s="320"/>
      <c r="O908" s="320"/>
      <c r="P908" s="320"/>
      <c r="Q908" s="320"/>
      <c r="R908" s="320"/>
      <c r="S908" s="320"/>
      <c r="T908" s="320"/>
      <c r="U908" s="320"/>
      <c r="V908" s="320"/>
      <c r="W908" s="320"/>
      <c r="X908" s="320"/>
      <c r="Y908" s="320"/>
      <c r="Z908" s="320"/>
    </row>
    <row r="909">
      <c r="A909" s="320"/>
      <c r="B909" s="320"/>
      <c r="C909" s="320"/>
      <c r="D909" s="320"/>
      <c r="E909" s="320"/>
      <c r="F909" s="320"/>
      <c r="G909" s="320"/>
      <c r="H909" s="320"/>
      <c r="I909" s="320"/>
      <c r="J909" s="320"/>
      <c r="K909" s="320"/>
      <c r="L909" s="320"/>
      <c r="M909" s="320"/>
      <c r="N909" s="320"/>
      <c r="O909" s="320"/>
      <c r="P909" s="320"/>
      <c r="Q909" s="320"/>
      <c r="R909" s="320"/>
      <c r="S909" s="320"/>
      <c r="T909" s="320"/>
      <c r="U909" s="320"/>
      <c r="V909" s="320"/>
      <c r="W909" s="320"/>
      <c r="X909" s="320"/>
      <c r="Y909" s="320"/>
      <c r="Z909" s="320"/>
    </row>
    <row r="910">
      <c r="A910" s="320"/>
      <c r="B910" s="320"/>
      <c r="C910" s="320"/>
      <c r="D910" s="320"/>
      <c r="E910" s="320"/>
      <c r="F910" s="320"/>
      <c r="G910" s="320"/>
      <c r="H910" s="320"/>
      <c r="I910" s="320"/>
      <c r="J910" s="320"/>
      <c r="K910" s="320"/>
      <c r="L910" s="320"/>
      <c r="M910" s="320"/>
      <c r="N910" s="320"/>
      <c r="O910" s="320"/>
      <c r="P910" s="320"/>
      <c r="Q910" s="320"/>
      <c r="R910" s="320"/>
      <c r="S910" s="320"/>
      <c r="T910" s="320"/>
      <c r="U910" s="320"/>
      <c r="V910" s="320"/>
      <c r="W910" s="320"/>
      <c r="X910" s="320"/>
      <c r="Y910" s="320"/>
      <c r="Z910" s="320"/>
    </row>
    <row r="911">
      <c r="A911" s="320"/>
      <c r="B911" s="320"/>
      <c r="C911" s="320"/>
      <c r="D911" s="320"/>
      <c r="E911" s="320"/>
      <c r="F911" s="320"/>
      <c r="G911" s="320"/>
      <c r="H911" s="320"/>
      <c r="I911" s="320"/>
      <c r="J911" s="320"/>
      <c r="K911" s="320"/>
      <c r="L911" s="320"/>
      <c r="M911" s="320"/>
      <c r="N911" s="320"/>
      <c r="O911" s="320"/>
      <c r="P911" s="320"/>
      <c r="Q911" s="320"/>
      <c r="R911" s="320"/>
      <c r="S911" s="320"/>
      <c r="T911" s="320"/>
      <c r="U911" s="320"/>
      <c r="V911" s="320"/>
      <c r="W911" s="320"/>
      <c r="X911" s="320"/>
      <c r="Y911" s="320"/>
      <c r="Z911" s="320"/>
    </row>
    <row r="912">
      <c r="A912" s="320"/>
      <c r="B912" s="320"/>
      <c r="C912" s="320"/>
      <c r="D912" s="320"/>
      <c r="E912" s="320"/>
      <c r="F912" s="320"/>
      <c r="G912" s="320"/>
      <c r="H912" s="320"/>
      <c r="I912" s="320"/>
      <c r="J912" s="320"/>
      <c r="K912" s="320"/>
      <c r="L912" s="320"/>
      <c r="M912" s="320"/>
      <c r="N912" s="320"/>
      <c r="O912" s="320"/>
      <c r="P912" s="320"/>
      <c r="Q912" s="320"/>
      <c r="R912" s="320"/>
      <c r="S912" s="320"/>
      <c r="T912" s="320"/>
      <c r="U912" s="320"/>
      <c r="V912" s="320"/>
      <c r="W912" s="320"/>
      <c r="X912" s="320"/>
      <c r="Y912" s="320"/>
      <c r="Z912" s="320"/>
    </row>
    <row r="913">
      <c r="A913" s="320"/>
      <c r="B913" s="320"/>
      <c r="C913" s="320"/>
      <c r="D913" s="320"/>
      <c r="E913" s="320"/>
      <c r="F913" s="320"/>
      <c r="G913" s="320"/>
      <c r="H913" s="320"/>
      <c r="I913" s="320"/>
      <c r="J913" s="320"/>
      <c r="K913" s="320"/>
      <c r="L913" s="320"/>
      <c r="M913" s="320"/>
      <c r="N913" s="320"/>
      <c r="O913" s="320"/>
      <c r="P913" s="320"/>
      <c r="Q913" s="320"/>
      <c r="R913" s="320"/>
      <c r="S913" s="320"/>
      <c r="T913" s="320"/>
      <c r="U913" s="320"/>
      <c r="V913" s="320"/>
      <c r="W913" s="320"/>
      <c r="X913" s="320"/>
      <c r="Y913" s="320"/>
      <c r="Z913" s="320"/>
    </row>
    <row r="914">
      <c r="A914" s="320"/>
      <c r="B914" s="320"/>
      <c r="C914" s="320"/>
      <c r="D914" s="320"/>
      <c r="E914" s="320"/>
      <c r="F914" s="320"/>
      <c r="G914" s="320"/>
      <c r="H914" s="320"/>
      <c r="I914" s="320"/>
      <c r="J914" s="320"/>
      <c r="K914" s="320"/>
      <c r="L914" s="320"/>
      <c r="M914" s="320"/>
      <c r="N914" s="320"/>
      <c r="O914" s="320"/>
      <c r="P914" s="320"/>
      <c r="Q914" s="320"/>
      <c r="R914" s="320"/>
      <c r="S914" s="320"/>
      <c r="T914" s="320"/>
      <c r="U914" s="320"/>
      <c r="V914" s="320"/>
      <c r="W914" s="320"/>
      <c r="X914" s="320"/>
      <c r="Y914" s="320"/>
      <c r="Z914" s="320"/>
    </row>
    <row r="915">
      <c r="A915" s="320"/>
      <c r="B915" s="320"/>
      <c r="C915" s="320"/>
      <c r="D915" s="320"/>
      <c r="E915" s="320"/>
      <c r="F915" s="320"/>
      <c r="G915" s="320"/>
      <c r="H915" s="320"/>
      <c r="I915" s="320"/>
      <c r="J915" s="320"/>
      <c r="K915" s="320"/>
      <c r="L915" s="320"/>
      <c r="M915" s="320"/>
      <c r="N915" s="320"/>
      <c r="O915" s="320"/>
      <c r="P915" s="320"/>
      <c r="Q915" s="320"/>
      <c r="R915" s="320"/>
      <c r="S915" s="320"/>
      <c r="T915" s="320"/>
      <c r="U915" s="320"/>
      <c r="V915" s="320"/>
      <c r="W915" s="320"/>
      <c r="X915" s="320"/>
      <c r="Y915" s="320"/>
      <c r="Z915" s="320"/>
    </row>
    <row r="916">
      <c r="A916" s="320"/>
      <c r="B916" s="320"/>
      <c r="C916" s="320"/>
      <c r="D916" s="320"/>
      <c r="E916" s="320"/>
      <c r="F916" s="320"/>
      <c r="G916" s="320"/>
      <c r="H916" s="320"/>
      <c r="I916" s="320"/>
      <c r="J916" s="320"/>
      <c r="K916" s="320"/>
      <c r="L916" s="320"/>
      <c r="M916" s="320"/>
      <c r="N916" s="320"/>
      <c r="O916" s="320"/>
      <c r="P916" s="320"/>
      <c r="Q916" s="320"/>
      <c r="R916" s="320"/>
      <c r="S916" s="320"/>
      <c r="T916" s="320"/>
      <c r="U916" s="320"/>
      <c r="V916" s="320"/>
      <c r="W916" s="320"/>
      <c r="X916" s="320"/>
      <c r="Y916" s="320"/>
      <c r="Z916" s="320"/>
    </row>
    <row r="917">
      <c r="A917" s="320"/>
      <c r="B917" s="320"/>
      <c r="C917" s="320"/>
      <c r="D917" s="320"/>
      <c r="E917" s="320"/>
      <c r="F917" s="320"/>
      <c r="G917" s="320"/>
      <c r="H917" s="320"/>
      <c r="I917" s="320"/>
      <c r="J917" s="320"/>
      <c r="K917" s="320"/>
      <c r="L917" s="320"/>
      <c r="M917" s="320"/>
      <c r="N917" s="320"/>
      <c r="O917" s="320"/>
      <c r="P917" s="320"/>
      <c r="Q917" s="320"/>
      <c r="R917" s="320"/>
      <c r="S917" s="320"/>
      <c r="T917" s="320"/>
      <c r="U917" s="320"/>
      <c r="V917" s="320"/>
      <c r="W917" s="320"/>
      <c r="X917" s="320"/>
      <c r="Y917" s="320"/>
      <c r="Z917" s="320"/>
    </row>
    <row r="918">
      <c r="A918" s="320"/>
      <c r="B918" s="320"/>
      <c r="C918" s="320"/>
      <c r="D918" s="320"/>
      <c r="E918" s="320"/>
      <c r="F918" s="320"/>
      <c r="G918" s="320"/>
      <c r="H918" s="320"/>
      <c r="I918" s="320"/>
      <c r="J918" s="320"/>
      <c r="K918" s="320"/>
      <c r="L918" s="320"/>
      <c r="M918" s="320"/>
      <c r="N918" s="320"/>
      <c r="O918" s="320"/>
      <c r="P918" s="320"/>
      <c r="Q918" s="320"/>
      <c r="R918" s="320"/>
      <c r="S918" s="320"/>
      <c r="T918" s="320"/>
      <c r="U918" s="320"/>
      <c r="V918" s="320"/>
      <c r="W918" s="320"/>
      <c r="X918" s="320"/>
      <c r="Y918" s="320"/>
      <c r="Z918" s="320"/>
    </row>
    <row r="919">
      <c r="A919" s="320"/>
      <c r="B919" s="320"/>
      <c r="C919" s="320"/>
      <c r="D919" s="320"/>
      <c r="E919" s="320"/>
      <c r="F919" s="320"/>
      <c r="G919" s="320"/>
      <c r="H919" s="320"/>
      <c r="I919" s="320"/>
      <c r="J919" s="320"/>
      <c r="K919" s="320"/>
      <c r="L919" s="320"/>
      <c r="M919" s="320"/>
      <c r="N919" s="320"/>
      <c r="O919" s="320"/>
      <c r="P919" s="320"/>
      <c r="Q919" s="320"/>
      <c r="R919" s="320"/>
      <c r="S919" s="320"/>
      <c r="T919" s="320"/>
      <c r="U919" s="320"/>
      <c r="V919" s="320"/>
      <c r="W919" s="320"/>
      <c r="X919" s="320"/>
      <c r="Y919" s="320"/>
      <c r="Z919" s="320"/>
    </row>
    <row r="920">
      <c r="A920" s="320"/>
      <c r="B920" s="320"/>
      <c r="C920" s="320"/>
      <c r="D920" s="320"/>
      <c r="E920" s="320"/>
      <c r="F920" s="320"/>
      <c r="G920" s="320"/>
      <c r="H920" s="320"/>
      <c r="I920" s="320"/>
      <c r="J920" s="320"/>
      <c r="K920" s="320"/>
      <c r="L920" s="320"/>
      <c r="M920" s="320"/>
      <c r="N920" s="320"/>
      <c r="O920" s="320"/>
      <c r="P920" s="320"/>
      <c r="Q920" s="320"/>
      <c r="R920" s="320"/>
      <c r="S920" s="320"/>
      <c r="T920" s="320"/>
      <c r="U920" s="320"/>
      <c r="V920" s="320"/>
      <c r="W920" s="320"/>
      <c r="X920" s="320"/>
      <c r="Y920" s="320"/>
      <c r="Z920" s="320"/>
    </row>
    <row r="921">
      <c r="A921" s="320"/>
      <c r="B921" s="320"/>
      <c r="C921" s="320"/>
      <c r="D921" s="320"/>
      <c r="E921" s="320"/>
      <c r="F921" s="320"/>
      <c r="G921" s="320"/>
      <c r="H921" s="320"/>
      <c r="I921" s="320"/>
      <c r="J921" s="320"/>
      <c r="K921" s="320"/>
      <c r="L921" s="320"/>
      <c r="M921" s="320"/>
      <c r="N921" s="320"/>
      <c r="O921" s="320"/>
      <c r="P921" s="320"/>
      <c r="Q921" s="320"/>
      <c r="R921" s="320"/>
      <c r="S921" s="320"/>
      <c r="T921" s="320"/>
      <c r="U921" s="320"/>
      <c r="V921" s="320"/>
      <c r="W921" s="320"/>
      <c r="X921" s="320"/>
      <c r="Y921" s="320"/>
      <c r="Z921" s="320"/>
    </row>
    <row r="922">
      <c r="A922" s="320"/>
      <c r="B922" s="320"/>
      <c r="C922" s="320"/>
      <c r="D922" s="320"/>
      <c r="E922" s="320"/>
      <c r="F922" s="320"/>
      <c r="G922" s="320"/>
      <c r="H922" s="320"/>
      <c r="I922" s="320"/>
      <c r="J922" s="320"/>
      <c r="K922" s="320"/>
      <c r="L922" s="320"/>
      <c r="M922" s="320"/>
      <c r="N922" s="320"/>
      <c r="O922" s="320"/>
      <c r="P922" s="320"/>
      <c r="Q922" s="320"/>
      <c r="R922" s="320"/>
      <c r="S922" s="320"/>
      <c r="T922" s="320"/>
      <c r="U922" s="320"/>
      <c r="V922" s="320"/>
      <c r="W922" s="320"/>
      <c r="X922" s="320"/>
      <c r="Y922" s="320"/>
      <c r="Z922" s="320"/>
    </row>
    <row r="923">
      <c r="A923" s="320"/>
      <c r="B923" s="320"/>
      <c r="C923" s="320"/>
      <c r="D923" s="320"/>
      <c r="E923" s="320"/>
      <c r="F923" s="320"/>
      <c r="G923" s="320"/>
      <c r="H923" s="320"/>
      <c r="I923" s="320"/>
      <c r="J923" s="320"/>
      <c r="K923" s="320"/>
      <c r="L923" s="320"/>
      <c r="M923" s="320"/>
      <c r="N923" s="320"/>
      <c r="O923" s="320"/>
      <c r="P923" s="320"/>
      <c r="Q923" s="320"/>
      <c r="R923" s="320"/>
      <c r="S923" s="320"/>
      <c r="T923" s="320"/>
      <c r="U923" s="320"/>
      <c r="V923" s="320"/>
      <c r="W923" s="320"/>
      <c r="X923" s="320"/>
      <c r="Y923" s="320"/>
      <c r="Z923" s="320"/>
    </row>
    <row r="924">
      <c r="A924" s="320"/>
      <c r="B924" s="320"/>
      <c r="C924" s="320"/>
      <c r="D924" s="320"/>
      <c r="E924" s="320"/>
      <c r="F924" s="320"/>
      <c r="G924" s="320"/>
      <c r="H924" s="320"/>
      <c r="I924" s="320"/>
      <c r="J924" s="320"/>
      <c r="K924" s="320"/>
      <c r="L924" s="320"/>
      <c r="M924" s="320"/>
      <c r="N924" s="320"/>
      <c r="O924" s="320"/>
      <c r="P924" s="320"/>
      <c r="Q924" s="320"/>
      <c r="R924" s="320"/>
      <c r="S924" s="320"/>
      <c r="T924" s="320"/>
      <c r="U924" s="320"/>
      <c r="V924" s="320"/>
      <c r="W924" s="320"/>
      <c r="X924" s="320"/>
      <c r="Y924" s="320"/>
      <c r="Z924" s="320"/>
    </row>
    <row r="925">
      <c r="A925" s="320"/>
      <c r="B925" s="320"/>
      <c r="C925" s="320"/>
      <c r="D925" s="320"/>
      <c r="E925" s="320"/>
      <c r="F925" s="320"/>
      <c r="G925" s="320"/>
      <c r="H925" s="320"/>
      <c r="I925" s="320"/>
      <c r="J925" s="320"/>
      <c r="K925" s="320"/>
      <c r="L925" s="320"/>
      <c r="M925" s="320"/>
      <c r="N925" s="320"/>
      <c r="O925" s="320"/>
      <c r="P925" s="320"/>
      <c r="Q925" s="320"/>
      <c r="R925" s="320"/>
      <c r="S925" s="320"/>
      <c r="T925" s="320"/>
      <c r="U925" s="320"/>
      <c r="V925" s="320"/>
      <c r="W925" s="320"/>
      <c r="X925" s="320"/>
      <c r="Y925" s="320"/>
      <c r="Z925" s="320"/>
    </row>
    <row r="926">
      <c r="A926" s="320"/>
      <c r="B926" s="320"/>
      <c r="C926" s="320"/>
      <c r="D926" s="320"/>
      <c r="E926" s="320"/>
      <c r="F926" s="320"/>
      <c r="G926" s="320"/>
      <c r="H926" s="320"/>
      <c r="I926" s="320"/>
      <c r="J926" s="320"/>
      <c r="K926" s="320"/>
      <c r="L926" s="320"/>
      <c r="M926" s="320"/>
      <c r="N926" s="320"/>
      <c r="O926" s="320"/>
      <c r="P926" s="320"/>
      <c r="Q926" s="320"/>
      <c r="R926" s="320"/>
      <c r="S926" s="320"/>
      <c r="T926" s="320"/>
      <c r="U926" s="320"/>
      <c r="V926" s="320"/>
      <c r="W926" s="320"/>
      <c r="X926" s="320"/>
      <c r="Y926" s="320"/>
      <c r="Z926" s="320"/>
    </row>
    <row r="927">
      <c r="A927" s="320"/>
      <c r="B927" s="320"/>
      <c r="C927" s="320"/>
      <c r="D927" s="320"/>
      <c r="E927" s="320"/>
      <c r="F927" s="320"/>
      <c r="G927" s="320"/>
      <c r="H927" s="320"/>
      <c r="I927" s="320"/>
      <c r="J927" s="320"/>
      <c r="K927" s="320"/>
      <c r="L927" s="320"/>
      <c r="M927" s="320"/>
      <c r="N927" s="320"/>
      <c r="O927" s="320"/>
      <c r="P927" s="320"/>
      <c r="Q927" s="320"/>
      <c r="R927" s="320"/>
      <c r="S927" s="320"/>
      <c r="T927" s="320"/>
      <c r="U927" s="320"/>
      <c r="V927" s="320"/>
      <c r="W927" s="320"/>
      <c r="X927" s="320"/>
      <c r="Y927" s="320"/>
      <c r="Z927" s="320"/>
    </row>
    <row r="928">
      <c r="A928" s="320"/>
      <c r="B928" s="320"/>
      <c r="C928" s="320"/>
      <c r="D928" s="320"/>
      <c r="E928" s="320"/>
      <c r="F928" s="320"/>
      <c r="G928" s="320"/>
      <c r="H928" s="320"/>
      <c r="I928" s="320"/>
      <c r="J928" s="320"/>
      <c r="K928" s="320"/>
      <c r="L928" s="320"/>
      <c r="M928" s="320"/>
      <c r="N928" s="320"/>
      <c r="O928" s="320"/>
      <c r="P928" s="320"/>
      <c r="Q928" s="320"/>
      <c r="R928" s="320"/>
      <c r="S928" s="320"/>
      <c r="T928" s="320"/>
      <c r="U928" s="320"/>
      <c r="V928" s="320"/>
      <c r="W928" s="320"/>
      <c r="X928" s="320"/>
      <c r="Y928" s="320"/>
      <c r="Z928" s="320"/>
    </row>
    <row r="929">
      <c r="A929" s="320"/>
      <c r="B929" s="320"/>
      <c r="C929" s="320"/>
      <c r="D929" s="320"/>
      <c r="E929" s="320"/>
      <c r="F929" s="320"/>
      <c r="G929" s="320"/>
      <c r="H929" s="320"/>
      <c r="I929" s="320"/>
      <c r="J929" s="320"/>
      <c r="K929" s="320"/>
      <c r="L929" s="320"/>
      <c r="M929" s="320"/>
      <c r="N929" s="320"/>
      <c r="O929" s="320"/>
      <c r="P929" s="320"/>
      <c r="Q929" s="320"/>
      <c r="R929" s="320"/>
      <c r="S929" s="320"/>
      <c r="T929" s="320"/>
      <c r="U929" s="320"/>
      <c r="V929" s="320"/>
      <c r="W929" s="320"/>
      <c r="X929" s="320"/>
      <c r="Y929" s="320"/>
      <c r="Z929" s="320"/>
    </row>
    <row r="930">
      <c r="A930" s="320"/>
      <c r="B930" s="320"/>
      <c r="C930" s="320"/>
      <c r="D930" s="320"/>
      <c r="E930" s="320"/>
      <c r="F930" s="320"/>
      <c r="G930" s="320"/>
      <c r="H930" s="320"/>
      <c r="I930" s="320"/>
      <c r="J930" s="320"/>
      <c r="K930" s="320"/>
      <c r="L930" s="320"/>
      <c r="M930" s="320"/>
      <c r="N930" s="320"/>
      <c r="O930" s="320"/>
      <c r="P930" s="320"/>
      <c r="Q930" s="320"/>
      <c r="R930" s="320"/>
      <c r="S930" s="320"/>
      <c r="T930" s="320"/>
      <c r="U930" s="320"/>
      <c r="V930" s="320"/>
      <c r="W930" s="320"/>
      <c r="X930" s="320"/>
      <c r="Y930" s="320"/>
      <c r="Z930" s="320"/>
    </row>
    <row r="931">
      <c r="A931" s="320"/>
      <c r="B931" s="320"/>
      <c r="C931" s="320"/>
      <c r="D931" s="320"/>
      <c r="E931" s="320"/>
      <c r="F931" s="320"/>
      <c r="G931" s="320"/>
      <c r="H931" s="320"/>
      <c r="I931" s="320"/>
      <c r="J931" s="320"/>
      <c r="K931" s="320"/>
      <c r="L931" s="320"/>
      <c r="M931" s="320"/>
      <c r="N931" s="320"/>
      <c r="O931" s="320"/>
      <c r="P931" s="320"/>
      <c r="Q931" s="320"/>
      <c r="R931" s="320"/>
      <c r="S931" s="320"/>
      <c r="T931" s="320"/>
      <c r="U931" s="320"/>
      <c r="V931" s="320"/>
      <c r="W931" s="320"/>
      <c r="X931" s="320"/>
      <c r="Y931" s="320"/>
      <c r="Z931" s="320"/>
    </row>
    <row r="932">
      <c r="A932" s="320"/>
      <c r="B932" s="320"/>
      <c r="C932" s="320"/>
      <c r="D932" s="320"/>
      <c r="E932" s="320"/>
      <c r="F932" s="320"/>
      <c r="G932" s="320"/>
      <c r="H932" s="320"/>
      <c r="I932" s="320"/>
      <c r="J932" s="320"/>
      <c r="K932" s="320"/>
      <c r="L932" s="320"/>
      <c r="M932" s="320"/>
      <c r="N932" s="320"/>
      <c r="O932" s="320"/>
      <c r="P932" s="320"/>
      <c r="Q932" s="320"/>
      <c r="R932" s="320"/>
      <c r="S932" s="320"/>
      <c r="T932" s="320"/>
      <c r="U932" s="320"/>
      <c r="V932" s="320"/>
      <c r="W932" s="320"/>
      <c r="X932" s="320"/>
      <c r="Y932" s="320"/>
      <c r="Z932" s="320"/>
    </row>
    <row r="933">
      <c r="A933" s="320"/>
      <c r="B933" s="320"/>
      <c r="C933" s="320"/>
      <c r="D933" s="320"/>
      <c r="E933" s="320"/>
      <c r="F933" s="320"/>
      <c r="G933" s="320"/>
      <c r="H933" s="320"/>
      <c r="I933" s="320"/>
      <c r="J933" s="320"/>
      <c r="K933" s="320"/>
      <c r="L933" s="320"/>
      <c r="M933" s="320"/>
      <c r="N933" s="320"/>
      <c r="O933" s="320"/>
      <c r="P933" s="320"/>
      <c r="Q933" s="320"/>
      <c r="R933" s="320"/>
      <c r="S933" s="320"/>
      <c r="T933" s="320"/>
      <c r="U933" s="320"/>
      <c r="V933" s="320"/>
      <c r="W933" s="320"/>
      <c r="X933" s="320"/>
      <c r="Y933" s="320"/>
      <c r="Z933" s="320"/>
    </row>
    <row r="934">
      <c r="A934" s="320"/>
      <c r="B934" s="320"/>
      <c r="C934" s="320"/>
      <c r="D934" s="320"/>
      <c r="E934" s="320"/>
      <c r="F934" s="320"/>
      <c r="G934" s="320"/>
      <c r="H934" s="320"/>
      <c r="I934" s="320"/>
      <c r="J934" s="320"/>
      <c r="K934" s="320"/>
      <c r="L934" s="320"/>
      <c r="M934" s="320"/>
      <c r="N934" s="320"/>
      <c r="O934" s="320"/>
      <c r="P934" s="320"/>
      <c r="Q934" s="320"/>
      <c r="R934" s="320"/>
      <c r="S934" s="320"/>
      <c r="T934" s="320"/>
      <c r="U934" s="320"/>
      <c r="V934" s="320"/>
      <c r="W934" s="320"/>
      <c r="X934" s="320"/>
      <c r="Y934" s="320"/>
      <c r="Z934" s="320"/>
    </row>
    <row r="935">
      <c r="A935" s="320"/>
      <c r="B935" s="320"/>
      <c r="C935" s="320"/>
      <c r="D935" s="320"/>
      <c r="E935" s="320"/>
      <c r="F935" s="320"/>
      <c r="G935" s="320"/>
      <c r="H935" s="320"/>
      <c r="I935" s="320"/>
      <c r="J935" s="320"/>
      <c r="K935" s="320"/>
      <c r="L935" s="320"/>
      <c r="M935" s="320"/>
      <c r="N935" s="320"/>
      <c r="O935" s="320"/>
      <c r="P935" s="320"/>
      <c r="Q935" s="320"/>
      <c r="R935" s="320"/>
      <c r="S935" s="320"/>
      <c r="T935" s="320"/>
      <c r="U935" s="320"/>
      <c r="V935" s="320"/>
      <c r="W935" s="320"/>
      <c r="X935" s="320"/>
      <c r="Y935" s="320"/>
      <c r="Z935" s="320"/>
    </row>
    <row r="936">
      <c r="A936" s="320"/>
      <c r="B936" s="320"/>
      <c r="C936" s="320"/>
      <c r="D936" s="320"/>
      <c r="E936" s="320"/>
      <c r="F936" s="320"/>
      <c r="G936" s="320"/>
      <c r="H936" s="320"/>
      <c r="I936" s="320"/>
      <c r="J936" s="320"/>
      <c r="K936" s="320"/>
      <c r="L936" s="320"/>
      <c r="M936" s="320"/>
      <c r="N936" s="320"/>
      <c r="O936" s="320"/>
      <c r="P936" s="320"/>
      <c r="Q936" s="320"/>
      <c r="R936" s="320"/>
      <c r="S936" s="320"/>
      <c r="T936" s="320"/>
      <c r="U936" s="320"/>
      <c r="V936" s="320"/>
      <c r="W936" s="320"/>
      <c r="X936" s="320"/>
      <c r="Y936" s="320"/>
      <c r="Z936" s="320"/>
    </row>
    <row r="937">
      <c r="A937" s="320"/>
      <c r="B937" s="320"/>
      <c r="C937" s="320"/>
      <c r="D937" s="320"/>
      <c r="E937" s="320"/>
      <c r="F937" s="320"/>
      <c r="G937" s="320"/>
      <c r="H937" s="320"/>
      <c r="I937" s="320"/>
      <c r="J937" s="320"/>
      <c r="K937" s="320"/>
      <c r="L937" s="320"/>
      <c r="M937" s="320"/>
      <c r="N937" s="320"/>
      <c r="O937" s="320"/>
      <c r="P937" s="320"/>
      <c r="Q937" s="320"/>
      <c r="R937" s="320"/>
      <c r="S937" s="320"/>
      <c r="T937" s="320"/>
      <c r="U937" s="320"/>
      <c r="V937" s="320"/>
      <c r="W937" s="320"/>
      <c r="X937" s="320"/>
      <c r="Y937" s="320"/>
      <c r="Z937" s="320"/>
    </row>
    <row r="938">
      <c r="A938" s="320"/>
      <c r="B938" s="320"/>
      <c r="C938" s="320"/>
      <c r="D938" s="320"/>
      <c r="E938" s="320"/>
      <c r="F938" s="320"/>
      <c r="G938" s="320"/>
      <c r="H938" s="320"/>
      <c r="I938" s="320"/>
      <c r="J938" s="320"/>
      <c r="K938" s="320"/>
      <c r="L938" s="320"/>
      <c r="M938" s="320"/>
      <c r="N938" s="320"/>
      <c r="O938" s="320"/>
      <c r="P938" s="320"/>
      <c r="Q938" s="320"/>
      <c r="R938" s="320"/>
      <c r="S938" s="320"/>
      <c r="T938" s="320"/>
      <c r="U938" s="320"/>
      <c r="V938" s="320"/>
      <c r="W938" s="320"/>
      <c r="X938" s="320"/>
      <c r="Y938" s="320"/>
      <c r="Z938" s="320"/>
    </row>
    <row r="939">
      <c r="A939" s="320"/>
      <c r="B939" s="320"/>
      <c r="C939" s="320"/>
      <c r="D939" s="320"/>
      <c r="E939" s="320"/>
      <c r="F939" s="320"/>
      <c r="G939" s="320"/>
      <c r="H939" s="320"/>
      <c r="I939" s="320"/>
      <c r="J939" s="320"/>
      <c r="K939" s="320"/>
      <c r="L939" s="320"/>
      <c r="M939" s="320"/>
      <c r="N939" s="320"/>
      <c r="O939" s="320"/>
      <c r="P939" s="320"/>
      <c r="Q939" s="320"/>
      <c r="R939" s="320"/>
      <c r="S939" s="320"/>
      <c r="T939" s="320"/>
      <c r="U939" s="320"/>
      <c r="V939" s="320"/>
      <c r="W939" s="320"/>
      <c r="X939" s="320"/>
      <c r="Y939" s="320"/>
      <c r="Z939" s="320"/>
    </row>
    <row r="940">
      <c r="A940" s="320"/>
      <c r="B940" s="320"/>
      <c r="C940" s="320"/>
      <c r="D940" s="320"/>
      <c r="E940" s="320"/>
      <c r="F940" s="320"/>
      <c r="G940" s="320"/>
      <c r="H940" s="320"/>
      <c r="I940" s="320"/>
      <c r="J940" s="320"/>
      <c r="K940" s="320"/>
      <c r="L940" s="320"/>
      <c r="M940" s="320"/>
      <c r="N940" s="320"/>
      <c r="O940" s="320"/>
      <c r="P940" s="320"/>
      <c r="Q940" s="320"/>
      <c r="R940" s="320"/>
      <c r="S940" s="320"/>
      <c r="T940" s="320"/>
      <c r="U940" s="320"/>
      <c r="V940" s="320"/>
      <c r="W940" s="320"/>
      <c r="X940" s="320"/>
      <c r="Y940" s="320"/>
      <c r="Z940" s="320"/>
    </row>
    <row r="941">
      <c r="A941" s="320"/>
      <c r="B941" s="320"/>
      <c r="C941" s="320"/>
      <c r="D941" s="320"/>
      <c r="E941" s="320"/>
      <c r="F941" s="320"/>
      <c r="G941" s="320"/>
      <c r="H941" s="320"/>
      <c r="I941" s="320"/>
      <c r="J941" s="320"/>
      <c r="K941" s="320"/>
      <c r="L941" s="320"/>
      <c r="M941" s="320"/>
      <c r="N941" s="320"/>
      <c r="O941" s="320"/>
      <c r="P941" s="320"/>
      <c r="Q941" s="320"/>
      <c r="R941" s="320"/>
      <c r="S941" s="320"/>
      <c r="T941" s="320"/>
      <c r="U941" s="320"/>
      <c r="V941" s="320"/>
      <c r="W941" s="320"/>
      <c r="X941" s="320"/>
      <c r="Y941" s="320"/>
      <c r="Z941" s="320"/>
    </row>
    <row r="942">
      <c r="A942" s="320"/>
      <c r="B942" s="320"/>
      <c r="C942" s="320"/>
      <c r="D942" s="320"/>
      <c r="E942" s="320"/>
      <c r="F942" s="320"/>
      <c r="G942" s="320"/>
      <c r="H942" s="320"/>
      <c r="I942" s="320"/>
      <c r="J942" s="320"/>
      <c r="K942" s="320"/>
      <c r="L942" s="320"/>
      <c r="M942" s="320"/>
      <c r="N942" s="320"/>
      <c r="O942" s="320"/>
      <c r="P942" s="320"/>
      <c r="Q942" s="320"/>
      <c r="R942" s="320"/>
      <c r="S942" s="320"/>
      <c r="T942" s="320"/>
      <c r="U942" s="320"/>
      <c r="V942" s="320"/>
      <c r="W942" s="320"/>
      <c r="X942" s="320"/>
      <c r="Y942" s="320"/>
      <c r="Z942" s="320"/>
    </row>
    <row r="943">
      <c r="A943" s="320"/>
      <c r="B943" s="320"/>
      <c r="C943" s="320"/>
      <c r="D943" s="320"/>
      <c r="E943" s="320"/>
      <c r="F943" s="320"/>
      <c r="G943" s="320"/>
      <c r="H943" s="320"/>
      <c r="I943" s="320"/>
      <c r="J943" s="320"/>
      <c r="K943" s="320"/>
      <c r="L943" s="320"/>
      <c r="M943" s="320"/>
      <c r="N943" s="320"/>
      <c r="O943" s="320"/>
      <c r="P943" s="320"/>
      <c r="Q943" s="320"/>
      <c r="R943" s="320"/>
      <c r="S943" s="320"/>
      <c r="T943" s="320"/>
      <c r="U943" s="320"/>
      <c r="V943" s="320"/>
      <c r="W943" s="320"/>
      <c r="X943" s="320"/>
      <c r="Y943" s="320"/>
      <c r="Z943" s="320"/>
    </row>
    <row r="944">
      <c r="A944" s="320"/>
      <c r="B944" s="320"/>
      <c r="C944" s="320"/>
      <c r="D944" s="320"/>
      <c r="E944" s="320"/>
      <c r="F944" s="320"/>
      <c r="G944" s="320"/>
      <c r="H944" s="320"/>
      <c r="I944" s="320"/>
      <c r="J944" s="320"/>
      <c r="K944" s="320"/>
      <c r="L944" s="320"/>
      <c r="M944" s="320"/>
      <c r="N944" s="320"/>
      <c r="O944" s="320"/>
      <c r="P944" s="320"/>
      <c r="Q944" s="320"/>
      <c r="R944" s="320"/>
      <c r="S944" s="320"/>
      <c r="T944" s="320"/>
      <c r="U944" s="320"/>
      <c r="V944" s="320"/>
      <c r="W944" s="320"/>
      <c r="X944" s="320"/>
      <c r="Y944" s="320"/>
      <c r="Z944" s="320"/>
    </row>
    <row r="945">
      <c r="A945" s="320"/>
      <c r="B945" s="320"/>
      <c r="C945" s="320"/>
      <c r="D945" s="320"/>
      <c r="E945" s="320"/>
      <c r="F945" s="320"/>
      <c r="G945" s="320"/>
      <c r="H945" s="320"/>
      <c r="I945" s="320"/>
      <c r="J945" s="320"/>
      <c r="K945" s="320"/>
      <c r="L945" s="320"/>
      <c r="M945" s="320"/>
      <c r="N945" s="320"/>
      <c r="O945" s="320"/>
      <c r="P945" s="320"/>
      <c r="Q945" s="320"/>
      <c r="R945" s="320"/>
      <c r="S945" s="320"/>
      <c r="T945" s="320"/>
      <c r="U945" s="320"/>
      <c r="V945" s="320"/>
      <c r="W945" s="320"/>
      <c r="X945" s="320"/>
      <c r="Y945" s="320"/>
      <c r="Z945" s="320"/>
    </row>
    <row r="946">
      <c r="A946" s="320"/>
      <c r="B946" s="320"/>
      <c r="C946" s="320"/>
      <c r="D946" s="320"/>
      <c r="E946" s="320"/>
      <c r="F946" s="320"/>
      <c r="G946" s="320"/>
      <c r="H946" s="320"/>
      <c r="I946" s="320"/>
      <c r="J946" s="320"/>
      <c r="K946" s="320"/>
      <c r="L946" s="320"/>
      <c r="M946" s="320"/>
      <c r="N946" s="320"/>
      <c r="O946" s="320"/>
      <c r="P946" s="320"/>
      <c r="Q946" s="320"/>
      <c r="R946" s="320"/>
      <c r="S946" s="320"/>
      <c r="T946" s="320"/>
      <c r="U946" s="320"/>
      <c r="V946" s="320"/>
      <c r="W946" s="320"/>
      <c r="X946" s="320"/>
      <c r="Y946" s="320"/>
      <c r="Z946" s="320"/>
    </row>
    <row r="947">
      <c r="A947" s="320"/>
      <c r="B947" s="320"/>
      <c r="C947" s="320"/>
      <c r="D947" s="320"/>
      <c r="E947" s="320"/>
      <c r="F947" s="320"/>
      <c r="G947" s="320"/>
      <c r="H947" s="320"/>
      <c r="I947" s="320"/>
      <c r="J947" s="320"/>
      <c r="K947" s="320"/>
      <c r="L947" s="320"/>
      <c r="M947" s="320"/>
      <c r="N947" s="320"/>
      <c r="O947" s="320"/>
      <c r="P947" s="320"/>
      <c r="Q947" s="320"/>
      <c r="R947" s="320"/>
      <c r="S947" s="320"/>
      <c r="T947" s="320"/>
      <c r="U947" s="320"/>
      <c r="V947" s="320"/>
      <c r="W947" s="320"/>
      <c r="X947" s="320"/>
      <c r="Y947" s="320"/>
      <c r="Z947" s="320"/>
    </row>
    <row r="948">
      <c r="A948" s="320"/>
      <c r="B948" s="320"/>
      <c r="C948" s="320"/>
      <c r="D948" s="320"/>
      <c r="E948" s="320"/>
      <c r="F948" s="320"/>
      <c r="G948" s="320"/>
      <c r="H948" s="320"/>
      <c r="I948" s="320"/>
      <c r="J948" s="320"/>
      <c r="K948" s="320"/>
      <c r="L948" s="320"/>
      <c r="M948" s="320"/>
      <c r="N948" s="320"/>
      <c r="O948" s="320"/>
      <c r="P948" s="320"/>
      <c r="Q948" s="320"/>
      <c r="R948" s="320"/>
      <c r="S948" s="320"/>
      <c r="T948" s="320"/>
      <c r="U948" s="320"/>
      <c r="V948" s="320"/>
      <c r="W948" s="320"/>
      <c r="X948" s="320"/>
      <c r="Y948" s="320"/>
      <c r="Z948" s="320"/>
    </row>
    <row r="949">
      <c r="A949" s="320"/>
      <c r="B949" s="320"/>
      <c r="C949" s="320"/>
      <c r="D949" s="320"/>
      <c r="E949" s="320"/>
      <c r="F949" s="320"/>
      <c r="G949" s="320"/>
      <c r="H949" s="320"/>
      <c r="I949" s="320"/>
      <c r="J949" s="320"/>
      <c r="K949" s="320"/>
      <c r="L949" s="320"/>
      <c r="M949" s="320"/>
      <c r="N949" s="320"/>
      <c r="O949" s="320"/>
      <c r="P949" s="320"/>
      <c r="Q949" s="320"/>
      <c r="R949" s="320"/>
      <c r="S949" s="320"/>
      <c r="T949" s="320"/>
      <c r="U949" s="320"/>
      <c r="V949" s="320"/>
      <c r="W949" s="320"/>
      <c r="X949" s="320"/>
      <c r="Y949" s="320"/>
      <c r="Z949" s="320"/>
    </row>
    <row r="950">
      <c r="A950" s="320"/>
      <c r="B950" s="320"/>
      <c r="C950" s="320"/>
      <c r="D950" s="320"/>
      <c r="E950" s="320"/>
      <c r="F950" s="320"/>
      <c r="G950" s="320"/>
      <c r="H950" s="320"/>
      <c r="I950" s="320"/>
      <c r="J950" s="320"/>
      <c r="K950" s="320"/>
      <c r="L950" s="320"/>
      <c r="M950" s="320"/>
      <c r="N950" s="320"/>
      <c r="O950" s="320"/>
      <c r="P950" s="320"/>
      <c r="Q950" s="320"/>
      <c r="R950" s="320"/>
      <c r="S950" s="320"/>
      <c r="T950" s="320"/>
      <c r="U950" s="320"/>
      <c r="V950" s="320"/>
      <c r="W950" s="320"/>
      <c r="X950" s="320"/>
      <c r="Y950" s="320"/>
      <c r="Z950" s="320"/>
    </row>
    <row r="951">
      <c r="A951" s="320"/>
      <c r="B951" s="320"/>
      <c r="C951" s="320"/>
      <c r="D951" s="320"/>
      <c r="E951" s="320"/>
      <c r="F951" s="320"/>
      <c r="G951" s="320"/>
      <c r="H951" s="320"/>
      <c r="I951" s="320"/>
      <c r="J951" s="320"/>
      <c r="K951" s="320"/>
      <c r="L951" s="320"/>
      <c r="M951" s="320"/>
      <c r="N951" s="320"/>
      <c r="O951" s="320"/>
      <c r="P951" s="320"/>
      <c r="Q951" s="320"/>
      <c r="R951" s="320"/>
      <c r="S951" s="320"/>
      <c r="T951" s="320"/>
      <c r="U951" s="320"/>
      <c r="V951" s="320"/>
      <c r="W951" s="320"/>
      <c r="X951" s="320"/>
      <c r="Y951" s="320"/>
      <c r="Z951" s="320"/>
    </row>
    <row r="952">
      <c r="A952" s="320"/>
      <c r="B952" s="320"/>
      <c r="C952" s="320"/>
      <c r="D952" s="320"/>
      <c r="E952" s="320"/>
      <c r="F952" s="320"/>
      <c r="G952" s="320"/>
      <c r="H952" s="320"/>
      <c r="I952" s="320"/>
      <c r="J952" s="320"/>
      <c r="K952" s="320"/>
      <c r="L952" s="320"/>
      <c r="M952" s="320"/>
      <c r="N952" s="320"/>
      <c r="O952" s="320"/>
      <c r="P952" s="320"/>
      <c r="Q952" s="320"/>
      <c r="R952" s="320"/>
      <c r="S952" s="320"/>
      <c r="T952" s="320"/>
      <c r="U952" s="320"/>
      <c r="V952" s="320"/>
      <c r="W952" s="320"/>
      <c r="X952" s="320"/>
      <c r="Y952" s="320"/>
      <c r="Z952" s="320"/>
    </row>
    <row r="953">
      <c r="A953" s="320"/>
      <c r="B953" s="320"/>
      <c r="C953" s="320"/>
      <c r="D953" s="320"/>
      <c r="E953" s="320"/>
      <c r="F953" s="320"/>
      <c r="G953" s="320"/>
      <c r="H953" s="320"/>
      <c r="I953" s="320"/>
      <c r="J953" s="320"/>
      <c r="K953" s="320"/>
      <c r="L953" s="320"/>
      <c r="M953" s="320"/>
      <c r="N953" s="320"/>
      <c r="O953" s="320"/>
      <c r="P953" s="320"/>
      <c r="Q953" s="320"/>
      <c r="R953" s="320"/>
      <c r="S953" s="320"/>
      <c r="T953" s="320"/>
      <c r="U953" s="320"/>
      <c r="V953" s="320"/>
      <c r="W953" s="320"/>
      <c r="X953" s="320"/>
      <c r="Y953" s="320"/>
      <c r="Z953" s="320"/>
    </row>
    <row r="954">
      <c r="A954" s="320"/>
      <c r="B954" s="320"/>
      <c r="C954" s="320"/>
      <c r="D954" s="320"/>
      <c r="E954" s="320"/>
      <c r="F954" s="320"/>
      <c r="G954" s="320"/>
      <c r="H954" s="320"/>
      <c r="I954" s="320"/>
      <c r="J954" s="320"/>
      <c r="K954" s="320"/>
      <c r="L954" s="320"/>
      <c r="M954" s="320"/>
      <c r="N954" s="320"/>
      <c r="O954" s="320"/>
      <c r="P954" s="320"/>
      <c r="Q954" s="320"/>
      <c r="R954" s="320"/>
      <c r="S954" s="320"/>
      <c r="T954" s="320"/>
      <c r="U954" s="320"/>
      <c r="V954" s="320"/>
      <c r="W954" s="320"/>
      <c r="X954" s="320"/>
      <c r="Y954" s="320"/>
      <c r="Z954" s="320"/>
    </row>
    <row r="955">
      <c r="A955" s="320"/>
      <c r="B955" s="320"/>
      <c r="C955" s="320"/>
      <c r="D955" s="320"/>
      <c r="E955" s="320"/>
      <c r="F955" s="320"/>
      <c r="G955" s="320"/>
      <c r="H955" s="320"/>
      <c r="I955" s="320"/>
      <c r="J955" s="320"/>
      <c r="K955" s="320"/>
      <c r="L955" s="320"/>
      <c r="M955" s="320"/>
      <c r="N955" s="320"/>
      <c r="O955" s="320"/>
      <c r="P955" s="320"/>
      <c r="Q955" s="320"/>
      <c r="R955" s="320"/>
      <c r="S955" s="320"/>
      <c r="T955" s="320"/>
      <c r="U955" s="320"/>
      <c r="V955" s="320"/>
      <c r="W955" s="320"/>
      <c r="X955" s="320"/>
      <c r="Y955" s="320"/>
      <c r="Z955" s="320"/>
    </row>
    <row r="956">
      <c r="A956" s="320"/>
      <c r="B956" s="320"/>
      <c r="C956" s="320"/>
      <c r="D956" s="320"/>
      <c r="E956" s="320"/>
      <c r="F956" s="320"/>
      <c r="G956" s="320"/>
      <c r="H956" s="320"/>
      <c r="I956" s="320"/>
      <c r="J956" s="320"/>
      <c r="K956" s="320"/>
      <c r="L956" s="320"/>
      <c r="M956" s="320"/>
      <c r="N956" s="320"/>
      <c r="O956" s="320"/>
      <c r="P956" s="320"/>
      <c r="Q956" s="320"/>
      <c r="R956" s="320"/>
      <c r="S956" s="320"/>
      <c r="T956" s="320"/>
      <c r="U956" s="320"/>
      <c r="V956" s="320"/>
      <c r="W956" s="320"/>
      <c r="X956" s="320"/>
      <c r="Y956" s="320"/>
      <c r="Z956" s="320"/>
    </row>
    <row r="957">
      <c r="A957" s="320"/>
      <c r="B957" s="320"/>
      <c r="C957" s="320"/>
      <c r="D957" s="320"/>
      <c r="E957" s="320"/>
      <c r="F957" s="320"/>
      <c r="G957" s="320"/>
      <c r="H957" s="320"/>
      <c r="I957" s="320"/>
      <c r="J957" s="320"/>
      <c r="K957" s="320"/>
      <c r="L957" s="320"/>
      <c r="M957" s="320"/>
      <c r="N957" s="320"/>
      <c r="O957" s="320"/>
      <c r="P957" s="320"/>
      <c r="Q957" s="320"/>
      <c r="R957" s="320"/>
      <c r="S957" s="320"/>
      <c r="T957" s="320"/>
      <c r="U957" s="320"/>
      <c r="V957" s="320"/>
      <c r="W957" s="320"/>
      <c r="X957" s="320"/>
      <c r="Y957" s="320"/>
      <c r="Z957" s="320"/>
    </row>
    <row r="958">
      <c r="A958" s="320"/>
      <c r="B958" s="320"/>
      <c r="C958" s="320"/>
      <c r="D958" s="320"/>
      <c r="E958" s="320"/>
      <c r="F958" s="320"/>
      <c r="G958" s="320"/>
      <c r="H958" s="320"/>
      <c r="I958" s="320"/>
      <c r="J958" s="320"/>
      <c r="K958" s="320"/>
      <c r="L958" s="320"/>
      <c r="M958" s="320"/>
      <c r="N958" s="320"/>
      <c r="O958" s="320"/>
      <c r="P958" s="320"/>
      <c r="Q958" s="320"/>
      <c r="R958" s="320"/>
      <c r="S958" s="320"/>
      <c r="T958" s="320"/>
      <c r="U958" s="320"/>
      <c r="V958" s="320"/>
      <c r="W958" s="320"/>
      <c r="X958" s="320"/>
      <c r="Y958" s="320"/>
      <c r="Z958" s="320"/>
    </row>
    <row r="959">
      <c r="A959" s="320"/>
      <c r="B959" s="320"/>
      <c r="C959" s="320"/>
      <c r="D959" s="320"/>
      <c r="E959" s="320"/>
      <c r="F959" s="320"/>
      <c r="G959" s="320"/>
      <c r="H959" s="320"/>
      <c r="I959" s="320"/>
      <c r="J959" s="320"/>
      <c r="K959" s="320"/>
      <c r="L959" s="320"/>
      <c r="M959" s="320"/>
      <c r="N959" s="320"/>
      <c r="O959" s="320"/>
      <c r="P959" s="320"/>
      <c r="Q959" s="320"/>
      <c r="R959" s="320"/>
      <c r="S959" s="320"/>
      <c r="T959" s="320"/>
      <c r="U959" s="320"/>
      <c r="V959" s="320"/>
      <c r="W959" s="320"/>
      <c r="X959" s="320"/>
      <c r="Y959" s="320"/>
      <c r="Z959" s="320"/>
    </row>
    <row r="960">
      <c r="A960" s="320"/>
      <c r="B960" s="320"/>
      <c r="C960" s="320"/>
      <c r="D960" s="320"/>
      <c r="E960" s="320"/>
      <c r="F960" s="320"/>
      <c r="G960" s="320"/>
      <c r="H960" s="320"/>
      <c r="I960" s="320"/>
      <c r="J960" s="320"/>
      <c r="K960" s="320"/>
      <c r="L960" s="320"/>
      <c r="M960" s="320"/>
      <c r="N960" s="320"/>
      <c r="O960" s="320"/>
      <c r="P960" s="320"/>
      <c r="Q960" s="320"/>
      <c r="R960" s="320"/>
      <c r="S960" s="320"/>
      <c r="T960" s="320"/>
      <c r="U960" s="320"/>
      <c r="V960" s="320"/>
      <c r="W960" s="320"/>
      <c r="X960" s="320"/>
      <c r="Y960" s="320"/>
      <c r="Z960" s="320"/>
    </row>
    <row r="961">
      <c r="A961" s="320"/>
      <c r="B961" s="320"/>
      <c r="C961" s="320"/>
      <c r="D961" s="320"/>
      <c r="E961" s="320"/>
      <c r="F961" s="320"/>
      <c r="G961" s="320"/>
      <c r="H961" s="320"/>
      <c r="I961" s="320"/>
      <c r="J961" s="320"/>
      <c r="K961" s="320"/>
      <c r="L961" s="320"/>
      <c r="M961" s="320"/>
      <c r="N961" s="320"/>
      <c r="O961" s="320"/>
      <c r="P961" s="320"/>
      <c r="Q961" s="320"/>
      <c r="R961" s="320"/>
      <c r="S961" s="320"/>
      <c r="T961" s="320"/>
      <c r="U961" s="320"/>
      <c r="V961" s="320"/>
      <c r="W961" s="320"/>
      <c r="X961" s="320"/>
      <c r="Y961" s="320"/>
      <c r="Z961" s="320"/>
    </row>
    <row r="962">
      <c r="A962" s="320"/>
      <c r="B962" s="320"/>
      <c r="C962" s="320"/>
      <c r="D962" s="320"/>
      <c r="E962" s="320"/>
      <c r="F962" s="320"/>
      <c r="G962" s="320"/>
      <c r="H962" s="320"/>
      <c r="I962" s="320"/>
      <c r="J962" s="320"/>
      <c r="K962" s="320"/>
      <c r="L962" s="320"/>
      <c r="M962" s="320"/>
      <c r="N962" s="320"/>
      <c r="O962" s="320"/>
      <c r="P962" s="320"/>
      <c r="Q962" s="320"/>
      <c r="R962" s="320"/>
      <c r="S962" s="320"/>
      <c r="T962" s="320"/>
      <c r="U962" s="320"/>
      <c r="V962" s="320"/>
      <c r="W962" s="320"/>
      <c r="X962" s="320"/>
      <c r="Y962" s="320"/>
      <c r="Z962" s="320"/>
    </row>
    <row r="963">
      <c r="A963" s="320"/>
      <c r="B963" s="320"/>
      <c r="C963" s="320"/>
      <c r="D963" s="320"/>
      <c r="E963" s="320"/>
      <c r="F963" s="320"/>
      <c r="G963" s="320"/>
      <c r="H963" s="320"/>
      <c r="I963" s="320"/>
      <c r="J963" s="320"/>
      <c r="K963" s="320"/>
      <c r="L963" s="320"/>
      <c r="M963" s="320"/>
      <c r="N963" s="320"/>
      <c r="O963" s="320"/>
      <c r="P963" s="320"/>
      <c r="Q963" s="320"/>
      <c r="R963" s="320"/>
      <c r="S963" s="320"/>
      <c r="T963" s="320"/>
      <c r="U963" s="320"/>
      <c r="V963" s="320"/>
      <c r="W963" s="320"/>
      <c r="X963" s="320"/>
      <c r="Y963" s="320"/>
      <c r="Z963" s="320"/>
    </row>
    <row r="964">
      <c r="A964" s="320"/>
      <c r="B964" s="320"/>
      <c r="C964" s="320"/>
      <c r="D964" s="320"/>
      <c r="E964" s="320"/>
      <c r="F964" s="320"/>
      <c r="G964" s="320"/>
      <c r="H964" s="320"/>
      <c r="I964" s="320"/>
      <c r="J964" s="320"/>
      <c r="K964" s="320"/>
      <c r="L964" s="320"/>
      <c r="M964" s="320"/>
      <c r="N964" s="320"/>
      <c r="O964" s="320"/>
      <c r="P964" s="320"/>
      <c r="Q964" s="320"/>
      <c r="R964" s="320"/>
      <c r="S964" s="320"/>
      <c r="T964" s="320"/>
      <c r="U964" s="320"/>
      <c r="V964" s="320"/>
      <c r="W964" s="320"/>
      <c r="X964" s="320"/>
      <c r="Y964" s="320"/>
      <c r="Z964" s="320"/>
    </row>
    <row r="965">
      <c r="A965" s="320"/>
      <c r="B965" s="320"/>
      <c r="C965" s="320"/>
      <c r="D965" s="320"/>
      <c r="E965" s="320"/>
      <c r="F965" s="320"/>
      <c r="G965" s="320"/>
      <c r="H965" s="320"/>
      <c r="I965" s="320"/>
      <c r="J965" s="320"/>
      <c r="K965" s="320"/>
      <c r="L965" s="320"/>
      <c r="M965" s="320"/>
      <c r="N965" s="320"/>
      <c r="O965" s="320"/>
      <c r="P965" s="320"/>
      <c r="Q965" s="320"/>
      <c r="R965" s="320"/>
      <c r="S965" s="320"/>
      <c r="T965" s="320"/>
      <c r="U965" s="320"/>
      <c r="V965" s="320"/>
      <c r="W965" s="320"/>
      <c r="X965" s="320"/>
      <c r="Y965" s="320"/>
      <c r="Z965" s="320"/>
    </row>
    <row r="966">
      <c r="A966" s="320"/>
      <c r="B966" s="320"/>
      <c r="C966" s="320"/>
      <c r="D966" s="320"/>
      <c r="E966" s="320"/>
      <c r="F966" s="320"/>
      <c r="G966" s="320"/>
      <c r="H966" s="320"/>
      <c r="I966" s="320"/>
      <c r="J966" s="320"/>
      <c r="K966" s="320"/>
      <c r="L966" s="320"/>
      <c r="M966" s="320"/>
      <c r="N966" s="320"/>
      <c r="O966" s="320"/>
      <c r="P966" s="320"/>
      <c r="Q966" s="320"/>
      <c r="R966" s="320"/>
      <c r="S966" s="320"/>
      <c r="T966" s="320"/>
      <c r="U966" s="320"/>
      <c r="V966" s="320"/>
      <c r="W966" s="320"/>
      <c r="X966" s="320"/>
      <c r="Y966" s="320"/>
      <c r="Z966" s="320"/>
    </row>
    <row r="967">
      <c r="A967" s="320"/>
      <c r="B967" s="320"/>
      <c r="C967" s="320"/>
      <c r="D967" s="320"/>
      <c r="E967" s="320"/>
      <c r="F967" s="320"/>
      <c r="G967" s="320"/>
      <c r="H967" s="320"/>
      <c r="I967" s="320"/>
      <c r="J967" s="320"/>
      <c r="K967" s="320"/>
      <c r="L967" s="320"/>
      <c r="M967" s="320"/>
      <c r="N967" s="320"/>
      <c r="O967" s="320"/>
      <c r="P967" s="320"/>
      <c r="Q967" s="320"/>
      <c r="R967" s="320"/>
      <c r="S967" s="320"/>
      <c r="T967" s="320"/>
      <c r="U967" s="320"/>
      <c r="V967" s="320"/>
      <c r="W967" s="320"/>
      <c r="X967" s="320"/>
      <c r="Y967" s="320"/>
      <c r="Z967" s="320"/>
    </row>
    <row r="968">
      <c r="A968" s="320"/>
      <c r="B968" s="320"/>
      <c r="C968" s="320"/>
      <c r="D968" s="320"/>
      <c r="E968" s="320"/>
      <c r="F968" s="320"/>
      <c r="G968" s="320"/>
      <c r="H968" s="320"/>
      <c r="I968" s="320"/>
      <c r="J968" s="320"/>
      <c r="K968" s="320"/>
      <c r="L968" s="320"/>
      <c r="M968" s="320"/>
      <c r="N968" s="320"/>
      <c r="O968" s="320"/>
      <c r="P968" s="320"/>
      <c r="Q968" s="320"/>
      <c r="R968" s="320"/>
      <c r="S968" s="320"/>
      <c r="T968" s="320"/>
      <c r="U968" s="320"/>
      <c r="V968" s="320"/>
      <c r="W968" s="320"/>
      <c r="X968" s="320"/>
      <c r="Y968" s="320"/>
      <c r="Z968" s="320"/>
    </row>
    <row r="969">
      <c r="A969" s="320"/>
      <c r="B969" s="320"/>
      <c r="C969" s="320"/>
      <c r="D969" s="320"/>
      <c r="E969" s="320"/>
      <c r="F969" s="320"/>
      <c r="G969" s="320"/>
      <c r="H969" s="320"/>
      <c r="I969" s="320"/>
      <c r="J969" s="320"/>
      <c r="K969" s="320"/>
      <c r="L969" s="320"/>
      <c r="M969" s="320"/>
      <c r="N969" s="320"/>
      <c r="O969" s="320"/>
      <c r="P969" s="320"/>
      <c r="Q969" s="320"/>
      <c r="R969" s="320"/>
      <c r="S969" s="320"/>
      <c r="T969" s="320"/>
      <c r="U969" s="320"/>
      <c r="V969" s="320"/>
      <c r="W969" s="320"/>
      <c r="X969" s="320"/>
      <c r="Y969" s="320"/>
      <c r="Z969" s="320"/>
    </row>
    <row r="970">
      <c r="A970" s="320"/>
      <c r="B970" s="320"/>
      <c r="C970" s="320"/>
      <c r="D970" s="320"/>
      <c r="E970" s="320"/>
      <c r="F970" s="320"/>
      <c r="G970" s="320"/>
      <c r="H970" s="320"/>
      <c r="I970" s="320"/>
      <c r="J970" s="320"/>
      <c r="K970" s="320"/>
      <c r="L970" s="320"/>
      <c r="M970" s="320"/>
      <c r="N970" s="320"/>
      <c r="O970" s="320"/>
      <c r="P970" s="320"/>
      <c r="Q970" s="320"/>
      <c r="R970" s="320"/>
      <c r="S970" s="320"/>
      <c r="T970" s="320"/>
      <c r="U970" s="320"/>
      <c r="V970" s="320"/>
      <c r="W970" s="320"/>
      <c r="X970" s="320"/>
      <c r="Y970" s="320"/>
      <c r="Z970" s="320"/>
    </row>
    <row r="971">
      <c r="A971" s="320"/>
      <c r="B971" s="320"/>
      <c r="C971" s="320"/>
      <c r="D971" s="320"/>
      <c r="E971" s="320"/>
      <c r="F971" s="320"/>
      <c r="G971" s="320"/>
      <c r="H971" s="320"/>
      <c r="I971" s="320"/>
      <c r="J971" s="320"/>
      <c r="K971" s="320"/>
      <c r="L971" s="320"/>
      <c r="M971" s="320"/>
      <c r="N971" s="320"/>
      <c r="O971" s="320"/>
      <c r="P971" s="320"/>
      <c r="Q971" s="320"/>
      <c r="R971" s="320"/>
      <c r="S971" s="320"/>
      <c r="T971" s="320"/>
      <c r="U971" s="320"/>
      <c r="V971" s="320"/>
      <c r="W971" s="320"/>
      <c r="X971" s="320"/>
      <c r="Y971" s="320"/>
      <c r="Z971" s="320"/>
    </row>
    <row r="972">
      <c r="A972" s="320"/>
      <c r="B972" s="320"/>
      <c r="C972" s="320"/>
      <c r="D972" s="320"/>
      <c r="E972" s="320"/>
      <c r="F972" s="320"/>
      <c r="G972" s="320"/>
      <c r="H972" s="320"/>
      <c r="I972" s="320"/>
      <c r="J972" s="320"/>
      <c r="K972" s="320"/>
      <c r="L972" s="320"/>
      <c r="M972" s="320"/>
      <c r="N972" s="320"/>
      <c r="O972" s="320"/>
      <c r="P972" s="320"/>
      <c r="Q972" s="320"/>
      <c r="R972" s="320"/>
      <c r="S972" s="320"/>
      <c r="T972" s="320"/>
      <c r="U972" s="320"/>
      <c r="V972" s="320"/>
      <c r="W972" s="320"/>
      <c r="X972" s="320"/>
      <c r="Y972" s="320"/>
      <c r="Z972" s="320"/>
    </row>
    <row r="973">
      <c r="A973" s="320"/>
      <c r="B973" s="320"/>
      <c r="C973" s="320"/>
      <c r="D973" s="320"/>
      <c r="E973" s="320"/>
      <c r="F973" s="320"/>
      <c r="G973" s="320"/>
      <c r="H973" s="320"/>
      <c r="I973" s="320"/>
      <c r="J973" s="320"/>
      <c r="K973" s="320"/>
      <c r="L973" s="320"/>
      <c r="M973" s="320"/>
      <c r="N973" s="320"/>
      <c r="O973" s="320"/>
      <c r="P973" s="320"/>
      <c r="Q973" s="320"/>
      <c r="R973" s="320"/>
      <c r="S973" s="320"/>
      <c r="T973" s="320"/>
      <c r="U973" s="320"/>
      <c r="V973" s="320"/>
      <c r="W973" s="320"/>
      <c r="X973" s="320"/>
      <c r="Y973" s="320"/>
      <c r="Z973" s="320"/>
    </row>
    <row r="974">
      <c r="A974" s="320"/>
      <c r="B974" s="320"/>
      <c r="C974" s="320"/>
      <c r="D974" s="320"/>
      <c r="E974" s="320"/>
      <c r="F974" s="320"/>
      <c r="G974" s="320"/>
      <c r="H974" s="320"/>
      <c r="I974" s="320"/>
      <c r="J974" s="320"/>
      <c r="K974" s="320"/>
      <c r="L974" s="320"/>
      <c r="M974" s="320"/>
      <c r="N974" s="320"/>
      <c r="O974" s="320"/>
      <c r="P974" s="320"/>
      <c r="Q974" s="320"/>
      <c r="R974" s="320"/>
      <c r="S974" s="320"/>
      <c r="T974" s="320"/>
      <c r="U974" s="320"/>
      <c r="V974" s="320"/>
      <c r="W974" s="320"/>
      <c r="X974" s="320"/>
      <c r="Y974" s="320"/>
      <c r="Z974" s="320"/>
    </row>
    <row r="975">
      <c r="A975" s="320"/>
      <c r="B975" s="320"/>
      <c r="C975" s="320"/>
      <c r="D975" s="320"/>
      <c r="E975" s="320"/>
      <c r="F975" s="320"/>
      <c r="G975" s="320"/>
      <c r="H975" s="320"/>
      <c r="I975" s="320"/>
      <c r="J975" s="320"/>
      <c r="K975" s="320"/>
      <c r="L975" s="320"/>
      <c r="M975" s="320"/>
      <c r="N975" s="320"/>
      <c r="O975" s="320"/>
      <c r="P975" s="320"/>
      <c r="Q975" s="320"/>
      <c r="R975" s="320"/>
      <c r="S975" s="320"/>
      <c r="T975" s="320"/>
      <c r="U975" s="320"/>
      <c r="V975" s="320"/>
      <c r="W975" s="320"/>
      <c r="X975" s="320"/>
      <c r="Y975" s="320"/>
      <c r="Z975" s="320"/>
    </row>
    <row r="976">
      <c r="A976" s="320"/>
      <c r="B976" s="320"/>
      <c r="C976" s="320"/>
      <c r="D976" s="320"/>
      <c r="E976" s="320"/>
      <c r="F976" s="320"/>
      <c r="G976" s="320"/>
      <c r="H976" s="320"/>
      <c r="I976" s="320"/>
      <c r="J976" s="320"/>
      <c r="K976" s="320"/>
      <c r="L976" s="320"/>
      <c r="M976" s="320"/>
      <c r="N976" s="320"/>
      <c r="O976" s="320"/>
      <c r="P976" s="320"/>
      <c r="Q976" s="320"/>
      <c r="R976" s="320"/>
      <c r="S976" s="320"/>
      <c r="T976" s="320"/>
      <c r="U976" s="320"/>
      <c r="V976" s="320"/>
      <c r="W976" s="320"/>
      <c r="X976" s="320"/>
      <c r="Y976" s="320"/>
      <c r="Z976" s="320"/>
    </row>
    <row r="977">
      <c r="A977" s="320"/>
      <c r="B977" s="320"/>
      <c r="C977" s="320"/>
      <c r="D977" s="320"/>
      <c r="E977" s="320"/>
      <c r="F977" s="320"/>
      <c r="G977" s="320"/>
      <c r="H977" s="320"/>
      <c r="I977" s="320"/>
      <c r="J977" s="320"/>
      <c r="K977" s="320"/>
      <c r="L977" s="320"/>
      <c r="M977" s="320"/>
      <c r="N977" s="320"/>
      <c r="O977" s="320"/>
      <c r="P977" s="320"/>
      <c r="Q977" s="320"/>
      <c r="R977" s="320"/>
      <c r="S977" s="320"/>
      <c r="T977" s="320"/>
      <c r="U977" s="320"/>
      <c r="V977" s="320"/>
      <c r="W977" s="320"/>
      <c r="X977" s="320"/>
      <c r="Y977" s="320"/>
      <c r="Z977" s="320"/>
    </row>
    <row r="978">
      <c r="A978" s="320"/>
      <c r="B978" s="320"/>
      <c r="C978" s="320"/>
      <c r="D978" s="320"/>
      <c r="E978" s="320"/>
      <c r="F978" s="320"/>
      <c r="G978" s="320"/>
      <c r="H978" s="320"/>
      <c r="I978" s="320"/>
      <c r="J978" s="320"/>
      <c r="K978" s="320"/>
      <c r="L978" s="320"/>
      <c r="M978" s="320"/>
      <c r="N978" s="320"/>
      <c r="O978" s="320"/>
      <c r="P978" s="320"/>
      <c r="Q978" s="320"/>
      <c r="R978" s="320"/>
      <c r="S978" s="320"/>
      <c r="T978" s="320"/>
      <c r="U978" s="320"/>
      <c r="V978" s="320"/>
      <c r="W978" s="320"/>
      <c r="X978" s="320"/>
      <c r="Y978" s="320"/>
      <c r="Z978" s="320"/>
    </row>
    <row r="979">
      <c r="A979" s="320"/>
      <c r="B979" s="320"/>
      <c r="C979" s="320"/>
      <c r="D979" s="320"/>
      <c r="E979" s="320"/>
      <c r="F979" s="320"/>
      <c r="G979" s="320"/>
      <c r="H979" s="320"/>
      <c r="I979" s="320"/>
      <c r="J979" s="320"/>
      <c r="K979" s="320"/>
      <c r="L979" s="320"/>
      <c r="M979" s="320"/>
      <c r="N979" s="320"/>
      <c r="O979" s="320"/>
      <c r="P979" s="320"/>
      <c r="Q979" s="320"/>
      <c r="R979" s="320"/>
      <c r="S979" s="320"/>
      <c r="T979" s="320"/>
      <c r="U979" s="320"/>
      <c r="V979" s="320"/>
      <c r="W979" s="320"/>
      <c r="X979" s="320"/>
      <c r="Y979" s="320"/>
      <c r="Z979" s="320"/>
    </row>
    <row r="980">
      <c r="A980" s="320"/>
      <c r="B980" s="320"/>
      <c r="C980" s="320"/>
      <c r="D980" s="320"/>
      <c r="E980" s="320"/>
      <c r="F980" s="320"/>
      <c r="G980" s="320"/>
      <c r="H980" s="320"/>
      <c r="I980" s="320"/>
      <c r="J980" s="320"/>
      <c r="K980" s="320"/>
      <c r="L980" s="320"/>
      <c r="M980" s="320"/>
      <c r="N980" s="320"/>
      <c r="O980" s="320"/>
      <c r="P980" s="320"/>
      <c r="Q980" s="320"/>
      <c r="R980" s="320"/>
      <c r="S980" s="320"/>
      <c r="T980" s="320"/>
      <c r="U980" s="320"/>
      <c r="V980" s="320"/>
      <c r="W980" s="320"/>
      <c r="X980" s="320"/>
      <c r="Y980" s="320"/>
      <c r="Z980" s="320"/>
    </row>
    <row r="981">
      <c r="A981" s="320"/>
      <c r="B981" s="320"/>
      <c r="C981" s="320"/>
      <c r="D981" s="320"/>
      <c r="E981" s="320"/>
      <c r="F981" s="320"/>
      <c r="G981" s="320"/>
      <c r="H981" s="320"/>
      <c r="I981" s="320"/>
      <c r="J981" s="320"/>
      <c r="K981" s="320"/>
      <c r="L981" s="320"/>
      <c r="M981" s="320"/>
      <c r="N981" s="320"/>
      <c r="O981" s="320"/>
      <c r="P981" s="320"/>
      <c r="Q981" s="320"/>
      <c r="R981" s="320"/>
      <c r="S981" s="320"/>
      <c r="T981" s="320"/>
      <c r="U981" s="320"/>
      <c r="V981" s="320"/>
      <c r="W981" s="320"/>
      <c r="X981" s="320"/>
      <c r="Y981" s="320"/>
      <c r="Z981" s="320"/>
    </row>
    <row r="982">
      <c r="A982" s="320"/>
      <c r="B982" s="320"/>
      <c r="C982" s="320"/>
      <c r="D982" s="320"/>
      <c r="E982" s="320"/>
      <c r="F982" s="320"/>
      <c r="G982" s="320"/>
      <c r="H982" s="320"/>
      <c r="I982" s="320"/>
      <c r="J982" s="320"/>
      <c r="K982" s="320"/>
      <c r="L982" s="320"/>
      <c r="M982" s="320"/>
      <c r="N982" s="320"/>
      <c r="O982" s="320"/>
      <c r="P982" s="320"/>
      <c r="Q982" s="320"/>
      <c r="R982" s="320"/>
      <c r="S982" s="320"/>
      <c r="T982" s="320"/>
      <c r="U982" s="320"/>
      <c r="V982" s="320"/>
      <c r="W982" s="320"/>
      <c r="X982" s="320"/>
      <c r="Y982" s="320"/>
      <c r="Z982" s="320"/>
    </row>
    <row r="983">
      <c r="A983" s="320"/>
      <c r="B983" s="320"/>
      <c r="C983" s="320"/>
      <c r="D983" s="320"/>
      <c r="E983" s="320"/>
      <c r="F983" s="320"/>
      <c r="G983" s="320"/>
      <c r="H983" s="320"/>
      <c r="I983" s="320"/>
      <c r="J983" s="320"/>
      <c r="K983" s="320"/>
      <c r="L983" s="320"/>
      <c r="M983" s="320"/>
      <c r="N983" s="320"/>
      <c r="O983" s="320"/>
      <c r="P983" s="320"/>
      <c r="Q983" s="320"/>
      <c r="R983" s="320"/>
      <c r="S983" s="320"/>
      <c r="T983" s="320"/>
      <c r="U983" s="320"/>
      <c r="V983" s="320"/>
      <c r="W983" s="320"/>
      <c r="X983" s="320"/>
      <c r="Y983" s="320"/>
      <c r="Z983" s="320"/>
    </row>
    <row r="984">
      <c r="A984" s="320"/>
      <c r="B984" s="320"/>
      <c r="C984" s="320"/>
      <c r="D984" s="320"/>
      <c r="E984" s="320"/>
      <c r="F984" s="320"/>
      <c r="G984" s="320"/>
      <c r="H984" s="320"/>
      <c r="I984" s="320"/>
      <c r="J984" s="320"/>
      <c r="K984" s="320"/>
      <c r="L984" s="320"/>
      <c r="M984" s="320"/>
      <c r="N984" s="320"/>
      <c r="O984" s="320"/>
      <c r="P984" s="320"/>
      <c r="Q984" s="320"/>
      <c r="R984" s="320"/>
      <c r="S984" s="320"/>
      <c r="T984" s="320"/>
      <c r="U984" s="320"/>
      <c r="V984" s="320"/>
      <c r="W984" s="320"/>
      <c r="X984" s="320"/>
      <c r="Y984" s="320"/>
      <c r="Z984" s="320"/>
    </row>
    <row r="985">
      <c r="A985" s="320"/>
      <c r="B985" s="320"/>
      <c r="C985" s="320"/>
      <c r="D985" s="320"/>
      <c r="E985" s="320"/>
      <c r="F985" s="320"/>
      <c r="G985" s="320"/>
      <c r="H985" s="320"/>
      <c r="I985" s="320"/>
      <c r="J985" s="320"/>
      <c r="K985" s="320"/>
      <c r="L985" s="320"/>
      <c r="M985" s="320"/>
      <c r="N985" s="320"/>
      <c r="O985" s="320"/>
      <c r="P985" s="320"/>
      <c r="Q985" s="320"/>
      <c r="R985" s="320"/>
      <c r="S985" s="320"/>
      <c r="T985" s="320"/>
      <c r="U985" s="320"/>
      <c r="V985" s="320"/>
      <c r="W985" s="320"/>
      <c r="X985" s="320"/>
      <c r="Y985" s="320"/>
      <c r="Z985" s="320"/>
    </row>
    <row r="986">
      <c r="A986" s="320"/>
      <c r="B986" s="320"/>
      <c r="C986" s="320"/>
      <c r="D986" s="320"/>
      <c r="E986" s="320"/>
      <c r="F986" s="320"/>
      <c r="G986" s="320"/>
      <c r="H986" s="320"/>
      <c r="I986" s="320"/>
      <c r="J986" s="320"/>
      <c r="K986" s="320"/>
      <c r="L986" s="320"/>
      <c r="M986" s="320"/>
      <c r="N986" s="320"/>
      <c r="O986" s="320"/>
      <c r="P986" s="320"/>
      <c r="Q986" s="320"/>
      <c r="R986" s="320"/>
      <c r="S986" s="320"/>
      <c r="T986" s="320"/>
      <c r="U986" s="320"/>
      <c r="V986" s="320"/>
      <c r="W986" s="320"/>
      <c r="X986" s="320"/>
      <c r="Y986" s="320"/>
      <c r="Z986" s="320"/>
    </row>
    <row r="987">
      <c r="A987" s="320"/>
      <c r="B987" s="320"/>
      <c r="C987" s="320"/>
      <c r="D987" s="320"/>
      <c r="E987" s="320"/>
      <c r="F987" s="320"/>
      <c r="G987" s="320"/>
      <c r="H987" s="320"/>
      <c r="I987" s="320"/>
      <c r="J987" s="320"/>
      <c r="K987" s="320"/>
      <c r="L987" s="320"/>
      <c r="M987" s="320"/>
      <c r="N987" s="320"/>
      <c r="O987" s="320"/>
      <c r="P987" s="320"/>
      <c r="Q987" s="320"/>
      <c r="R987" s="320"/>
      <c r="S987" s="320"/>
      <c r="T987" s="320"/>
      <c r="U987" s="320"/>
      <c r="V987" s="320"/>
      <c r="W987" s="320"/>
      <c r="X987" s="320"/>
      <c r="Y987" s="320"/>
      <c r="Z987" s="320"/>
    </row>
    <row r="988">
      <c r="A988" s="320"/>
      <c r="B988" s="320"/>
      <c r="C988" s="320"/>
      <c r="D988" s="320"/>
      <c r="E988" s="320"/>
      <c r="F988" s="320"/>
      <c r="G988" s="320"/>
      <c r="H988" s="320"/>
      <c r="I988" s="320"/>
      <c r="J988" s="320"/>
      <c r="K988" s="320"/>
      <c r="L988" s="320"/>
      <c r="M988" s="320"/>
      <c r="N988" s="320"/>
      <c r="O988" s="320"/>
      <c r="P988" s="320"/>
      <c r="Q988" s="320"/>
      <c r="R988" s="320"/>
      <c r="S988" s="320"/>
      <c r="T988" s="320"/>
      <c r="U988" s="320"/>
      <c r="V988" s="320"/>
      <c r="W988" s="320"/>
      <c r="X988" s="320"/>
      <c r="Y988" s="320"/>
      <c r="Z988" s="320"/>
    </row>
    <row r="989">
      <c r="A989" s="320"/>
      <c r="B989" s="320"/>
      <c r="C989" s="320"/>
      <c r="D989" s="320"/>
      <c r="E989" s="320"/>
      <c r="F989" s="320"/>
      <c r="G989" s="320"/>
      <c r="H989" s="320"/>
      <c r="I989" s="320"/>
      <c r="J989" s="320"/>
      <c r="K989" s="320"/>
      <c r="L989" s="320"/>
      <c r="M989" s="320"/>
      <c r="N989" s="320"/>
      <c r="O989" s="320"/>
      <c r="P989" s="320"/>
      <c r="Q989" s="320"/>
      <c r="R989" s="320"/>
      <c r="S989" s="320"/>
      <c r="T989" s="320"/>
      <c r="U989" s="320"/>
      <c r="V989" s="320"/>
      <c r="W989" s="320"/>
      <c r="X989" s="320"/>
      <c r="Y989" s="320"/>
      <c r="Z989" s="320"/>
    </row>
    <row r="990">
      <c r="A990" s="320"/>
      <c r="B990" s="320"/>
      <c r="C990" s="320"/>
      <c r="D990" s="320"/>
      <c r="E990" s="320"/>
      <c r="F990" s="320"/>
      <c r="G990" s="320"/>
      <c r="H990" s="320"/>
      <c r="I990" s="320"/>
      <c r="J990" s="320"/>
      <c r="K990" s="320"/>
      <c r="L990" s="320"/>
      <c r="M990" s="320"/>
      <c r="N990" s="320"/>
      <c r="O990" s="320"/>
      <c r="P990" s="320"/>
      <c r="Q990" s="320"/>
      <c r="R990" s="320"/>
      <c r="S990" s="320"/>
      <c r="T990" s="320"/>
      <c r="U990" s="320"/>
      <c r="V990" s="320"/>
      <c r="W990" s="320"/>
      <c r="X990" s="320"/>
      <c r="Y990" s="320"/>
      <c r="Z990" s="320"/>
    </row>
    <row r="991">
      <c r="A991" s="320"/>
      <c r="B991" s="320"/>
      <c r="C991" s="320"/>
      <c r="D991" s="320"/>
      <c r="E991" s="320"/>
      <c r="F991" s="320"/>
      <c r="G991" s="320"/>
      <c r="H991" s="320"/>
      <c r="I991" s="320"/>
      <c r="J991" s="320"/>
      <c r="K991" s="320"/>
      <c r="L991" s="320"/>
      <c r="M991" s="320"/>
      <c r="N991" s="320"/>
      <c r="O991" s="320"/>
      <c r="P991" s="320"/>
      <c r="Q991" s="320"/>
      <c r="R991" s="320"/>
      <c r="S991" s="320"/>
      <c r="T991" s="320"/>
      <c r="U991" s="320"/>
      <c r="V991" s="320"/>
      <c r="W991" s="320"/>
      <c r="X991" s="320"/>
      <c r="Y991" s="320"/>
      <c r="Z991" s="320"/>
    </row>
    <row r="992">
      <c r="A992" s="320"/>
      <c r="B992" s="320"/>
      <c r="C992" s="320"/>
      <c r="D992" s="320"/>
      <c r="E992" s="320"/>
      <c r="F992" s="320"/>
      <c r="G992" s="320"/>
      <c r="H992" s="320"/>
      <c r="I992" s="320"/>
      <c r="J992" s="320"/>
      <c r="K992" s="320"/>
      <c r="L992" s="320"/>
      <c r="M992" s="320"/>
      <c r="N992" s="320"/>
      <c r="O992" s="320"/>
      <c r="P992" s="320"/>
      <c r="Q992" s="320"/>
      <c r="R992" s="320"/>
      <c r="S992" s="320"/>
      <c r="T992" s="320"/>
      <c r="U992" s="320"/>
      <c r="V992" s="320"/>
      <c r="W992" s="320"/>
      <c r="X992" s="320"/>
      <c r="Y992" s="320"/>
      <c r="Z992" s="320"/>
    </row>
    <row r="993">
      <c r="A993" s="320"/>
      <c r="B993" s="320"/>
      <c r="C993" s="320"/>
      <c r="D993" s="320"/>
      <c r="E993" s="320"/>
      <c r="F993" s="320"/>
      <c r="G993" s="320"/>
      <c r="H993" s="320"/>
      <c r="I993" s="320"/>
      <c r="J993" s="320"/>
      <c r="K993" s="320"/>
      <c r="L993" s="320"/>
      <c r="M993" s="320"/>
      <c r="N993" s="320"/>
      <c r="O993" s="320"/>
      <c r="P993" s="320"/>
      <c r="Q993" s="320"/>
      <c r="R993" s="320"/>
      <c r="S993" s="320"/>
      <c r="T993" s="320"/>
      <c r="U993" s="320"/>
      <c r="V993" s="320"/>
      <c r="W993" s="320"/>
      <c r="X993" s="320"/>
      <c r="Y993" s="320"/>
      <c r="Z993" s="320"/>
    </row>
    <row r="994">
      <c r="A994" s="320"/>
      <c r="B994" s="320"/>
      <c r="C994" s="320"/>
      <c r="D994" s="320"/>
      <c r="E994" s="320"/>
      <c r="F994" s="320"/>
      <c r="G994" s="320"/>
      <c r="H994" s="320"/>
      <c r="I994" s="320"/>
      <c r="J994" s="320"/>
      <c r="K994" s="320"/>
      <c r="L994" s="320"/>
      <c r="M994" s="320"/>
      <c r="N994" s="320"/>
      <c r="O994" s="320"/>
      <c r="P994" s="320"/>
      <c r="Q994" s="320"/>
      <c r="R994" s="320"/>
      <c r="S994" s="320"/>
      <c r="T994" s="320"/>
      <c r="U994" s="320"/>
      <c r="V994" s="320"/>
      <c r="W994" s="320"/>
      <c r="X994" s="320"/>
      <c r="Y994" s="320"/>
      <c r="Z994" s="320"/>
    </row>
    <row r="995">
      <c r="A995" s="320"/>
      <c r="B995" s="320"/>
      <c r="C995" s="320"/>
      <c r="D995" s="320"/>
      <c r="E995" s="320"/>
      <c r="F995" s="320"/>
      <c r="G995" s="320"/>
      <c r="H995" s="320"/>
      <c r="I995" s="320"/>
      <c r="J995" s="320"/>
      <c r="K995" s="320"/>
      <c r="L995" s="320"/>
      <c r="M995" s="320"/>
      <c r="N995" s="320"/>
      <c r="O995" s="320"/>
      <c r="P995" s="320"/>
      <c r="Q995" s="320"/>
      <c r="R995" s="320"/>
      <c r="S995" s="320"/>
      <c r="T995" s="320"/>
      <c r="U995" s="320"/>
      <c r="V995" s="320"/>
      <c r="W995" s="320"/>
      <c r="X995" s="320"/>
      <c r="Y995" s="320"/>
      <c r="Z995" s="320"/>
    </row>
    <row r="996">
      <c r="A996" s="320"/>
      <c r="B996" s="320"/>
      <c r="C996" s="320"/>
      <c r="D996" s="320"/>
      <c r="E996" s="320"/>
      <c r="F996" s="320"/>
      <c r="G996" s="320"/>
      <c r="H996" s="320"/>
      <c r="I996" s="320"/>
      <c r="J996" s="320"/>
      <c r="K996" s="320"/>
      <c r="L996" s="320"/>
      <c r="M996" s="320"/>
      <c r="N996" s="320"/>
      <c r="O996" s="320"/>
      <c r="P996" s="320"/>
      <c r="Q996" s="320"/>
      <c r="R996" s="320"/>
      <c r="S996" s="320"/>
      <c r="T996" s="320"/>
      <c r="U996" s="320"/>
      <c r="V996" s="320"/>
      <c r="W996" s="320"/>
      <c r="X996" s="320"/>
      <c r="Y996" s="320"/>
      <c r="Z996" s="320"/>
    </row>
    <row r="997">
      <c r="A997" s="320"/>
      <c r="B997" s="320"/>
      <c r="C997" s="320"/>
      <c r="D997" s="320"/>
      <c r="E997" s="320"/>
      <c r="F997" s="320"/>
      <c r="G997" s="320"/>
      <c r="H997" s="320"/>
      <c r="I997" s="320"/>
      <c r="J997" s="320"/>
      <c r="K997" s="320"/>
      <c r="L997" s="320"/>
      <c r="M997" s="320"/>
      <c r="N997" s="320"/>
      <c r="O997" s="320"/>
      <c r="P997" s="320"/>
      <c r="Q997" s="320"/>
      <c r="R997" s="320"/>
      <c r="S997" s="320"/>
      <c r="T997" s="320"/>
      <c r="U997" s="320"/>
      <c r="V997" s="320"/>
      <c r="W997" s="320"/>
      <c r="X997" s="320"/>
      <c r="Y997" s="320"/>
      <c r="Z997" s="320"/>
    </row>
    <row r="998">
      <c r="A998" s="320"/>
      <c r="B998" s="320"/>
      <c r="C998" s="320"/>
      <c r="D998" s="320"/>
      <c r="E998" s="320"/>
      <c r="F998" s="320"/>
      <c r="G998" s="320"/>
      <c r="H998" s="320"/>
      <c r="I998" s="320"/>
      <c r="J998" s="320"/>
      <c r="K998" s="320"/>
      <c r="L998" s="320"/>
      <c r="M998" s="320"/>
      <c r="N998" s="320"/>
      <c r="O998" s="320"/>
      <c r="P998" s="320"/>
      <c r="Q998" s="320"/>
      <c r="R998" s="320"/>
      <c r="S998" s="320"/>
      <c r="T998" s="320"/>
      <c r="U998" s="320"/>
      <c r="V998" s="320"/>
      <c r="W998" s="320"/>
      <c r="X998" s="320"/>
      <c r="Y998" s="320"/>
      <c r="Z998" s="320"/>
    </row>
    <row r="999">
      <c r="A999" s="320"/>
      <c r="B999" s="320"/>
      <c r="C999" s="320"/>
      <c r="D999" s="320"/>
      <c r="E999" s="320"/>
      <c r="F999" s="320"/>
      <c r="G999" s="320"/>
      <c r="H999" s="320"/>
      <c r="I999" s="320"/>
      <c r="J999" s="320"/>
      <c r="K999" s="320"/>
      <c r="L999" s="320"/>
      <c r="M999" s="320"/>
      <c r="N999" s="320"/>
      <c r="O999" s="320"/>
      <c r="P999" s="320"/>
      <c r="Q999" s="320"/>
      <c r="R999" s="320"/>
      <c r="S999" s="320"/>
      <c r="T999" s="320"/>
      <c r="U999" s="320"/>
      <c r="V999" s="320"/>
      <c r="W999" s="320"/>
      <c r="X999" s="320"/>
      <c r="Y999" s="320"/>
      <c r="Z999" s="320"/>
    </row>
    <row r="1000">
      <c r="A1000" s="320"/>
      <c r="B1000" s="320"/>
      <c r="C1000" s="320"/>
      <c r="D1000" s="320"/>
      <c r="E1000" s="320"/>
      <c r="F1000" s="320"/>
      <c r="G1000" s="320"/>
      <c r="H1000" s="320"/>
      <c r="I1000" s="320"/>
      <c r="J1000" s="320"/>
      <c r="K1000" s="320"/>
      <c r="L1000" s="320"/>
      <c r="M1000" s="320"/>
      <c r="N1000" s="320"/>
      <c r="O1000" s="320"/>
      <c r="P1000" s="320"/>
      <c r="Q1000" s="320"/>
      <c r="R1000" s="320"/>
      <c r="S1000" s="320"/>
      <c r="T1000" s="320"/>
      <c r="U1000" s="320"/>
      <c r="V1000" s="320"/>
      <c r="W1000" s="320"/>
      <c r="X1000" s="320"/>
      <c r="Y1000" s="320"/>
      <c r="Z1000" s="320"/>
    </row>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0" width="26.25"/>
    <col customWidth="1" min="21" max="26" width="7.63"/>
  </cols>
  <sheetData>
    <row r="1" ht="39.75" customHeight="1">
      <c r="A1" s="274" t="s">
        <v>10084</v>
      </c>
      <c r="B1" s="323" t="s">
        <v>10058</v>
      </c>
      <c r="C1" s="274" t="s">
        <v>9782</v>
      </c>
      <c r="D1" s="274" t="s">
        <v>0</v>
      </c>
      <c r="E1" s="274" t="s">
        <v>1074</v>
      </c>
      <c r="F1" s="274" t="s">
        <v>1</v>
      </c>
      <c r="G1" s="274" t="s">
        <v>1076</v>
      </c>
      <c r="H1" s="274" t="s">
        <v>8740</v>
      </c>
      <c r="I1" s="274" t="s">
        <v>8741</v>
      </c>
      <c r="J1" s="274" t="s">
        <v>10085</v>
      </c>
      <c r="K1" s="274" t="s">
        <v>1078</v>
      </c>
      <c r="L1" s="274" t="s">
        <v>6</v>
      </c>
      <c r="M1" s="274" t="s">
        <v>10</v>
      </c>
      <c r="N1" s="274" t="s">
        <v>1135</v>
      </c>
      <c r="O1" s="274" t="s">
        <v>1085</v>
      </c>
      <c r="P1" s="274" t="s">
        <v>1086</v>
      </c>
      <c r="Q1" s="274" t="s">
        <v>10086</v>
      </c>
      <c r="R1" s="274" t="s">
        <v>10087</v>
      </c>
      <c r="S1" s="274" t="s">
        <v>9785</v>
      </c>
      <c r="T1" s="274" t="s">
        <v>9788</v>
      </c>
      <c r="U1" s="320"/>
      <c r="V1" s="320"/>
      <c r="W1" s="320"/>
      <c r="X1" s="320"/>
      <c r="Y1" s="320"/>
      <c r="Z1" s="320"/>
    </row>
    <row r="2" ht="120.0" customHeight="1">
      <c r="A2" s="277" t="s">
        <v>10088</v>
      </c>
      <c r="B2" s="276" t="s">
        <v>10089</v>
      </c>
      <c r="C2" s="277" t="s">
        <v>10090</v>
      </c>
      <c r="D2" s="277" t="s">
        <v>10091</v>
      </c>
      <c r="E2" s="277" t="s">
        <v>10092</v>
      </c>
      <c r="F2" s="277" t="s">
        <v>10093</v>
      </c>
      <c r="G2" s="277" t="s">
        <v>10094</v>
      </c>
      <c r="H2" s="277" t="s">
        <v>10095</v>
      </c>
      <c r="I2" s="277" t="s">
        <v>10096</v>
      </c>
      <c r="J2" s="277" t="s">
        <v>10097</v>
      </c>
      <c r="K2" s="277" t="s">
        <v>10098</v>
      </c>
      <c r="L2" s="277" t="s">
        <v>10099</v>
      </c>
      <c r="M2" s="277" t="s">
        <v>10100</v>
      </c>
      <c r="N2" s="277" t="s">
        <v>9801</v>
      </c>
      <c r="O2" s="277" t="s">
        <v>9802</v>
      </c>
      <c r="P2" s="277" t="s">
        <v>10101</v>
      </c>
      <c r="Q2" s="277" t="s">
        <v>10102</v>
      </c>
      <c r="R2" s="277" t="s">
        <v>10103</v>
      </c>
      <c r="S2" s="277" t="s">
        <v>10104</v>
      </c>
      <c r="T2" s="277" t="s">
        <v>9808</v>
      </c>
      <c r="U2" s="324"/>
      <c r="V2" s="324"/>
      <c r="W2" s="324"/>
      <c r="X2" s="324"/>
      <c r="Y2" s="324"/>
      <c r="Z2" s="324"/>
    </row>
    <row r="3">
      <c r="A3" s="324"/>
      <c r="B3" s="324"/>
      <c r="C3" s="324"/>
      <c r="D3" s="324"/>
      <c r="E3" s="324"/>
      <c r="F3" s="324"/>
      <c r="G3" s="324"/>
      <c r="H3" s="324"/>
      <c r="I3" s="324"/>
      <c r="J3" s="324"/>
      <c r="K3" s="324"/>
      <c r="L3" s="324"/>
      <c r="M3" s="324"/>
      <c r="N3" s="324"/>
      <c r="O3" s="324"/>
      <c r="P3" s="324"/>
      <c r="Q3" s="324"/>
      <c r="R3" s="324"/>
      <c r="S3" s="324"/>
      <c r="T3" s="324"/>
      <c r="U3" s="324"/>
      <c r="V3" s="324"/>
      <c r="W3" s="324"/>
      <c r="X3" s="324"/>
      <c r="Y3" s="324"/>
      <c r="Z3" s="324"/>
    </row>
    <row r="4">
      <c r="A4" s="324"/>
      <c r="B4" s="324"/>
      <c r="C4" s="324"/>
      <c r="D4" s="324"/>
      <c r="E4" s="324"/>
      <c r="F4" s="324"/>
      <c r="G4" s="324"/>
      <c r="H4" s="324"/>
      <c r="I4" s="324"/>
      <c r="J4" s="324"/>
      <c r="K4" s="324"/>
      <c r="L4" s="324"/>
      <c r="M4" s="324"/>
      <c r="N4" s="324"/>
      <c r="O4" s="324"/>
      <c r="P4" s="324"/>
      <c r="Q4" s="324"/>
      <c r="R4" s="324"/>
      <c r="S4" s="324"/>
      <c r="T4" s="324"/>
      <c r="U4" s="324"/>
      <c r="V4" s="324"/>
      <c r="W4" s="324"/>
      <c r="X4" s="324"/>
      <c r="Y4" s="324"/>
      <c r="Z4" s="324"/>
    </row>
    <row r="5">
      <c r="A5" s="324"/>
      <c r="B5" s="324"/>
      <c r="C5" s="324"/>
      <c r="D5" s="324"/>
      <c r="E5" s="324"/>
      <c r="F5" s="324"/>
      <c r="G5" s="324"/>
      <c r="H5" s="324"/>
      <c r="I5" s="324"/>
      <c r="J5" s="324"/>
      <c r="K5" s="324"/>
      <c r="L5" s="324"/>
      <c r="M5" s="324"/>
      <c r="N5" s="324"/>
      <c r="O5" s="324"/>
      <c r="P5" s="324"/>
      <c r="Q5" s="324"/>
      <c r="R5" s="324"/>
      <c r="S5" s="324"/>
      <c r="T5" s="324"/>
      <c r="U5" s="324"/>
      <c r="V5" s="324"/>
      <c r="W5" s="324"/>
      <c r="X5" s="324"/>
      <c r="Y5" s="324"/>
      <c r="Z5" s="324"/>
    </row>
    <row r="6">
      <c r="A6" s="324"/>
      <c r="B6" s="324"/>
      <c r="C6" s="324"/>
      <c r="D6" s="324"/>
      <c r="E6" s="324"/>
      <c r="F6" s="324"/>
      <c r="G6" s="324"/>
      <c r="H6" s="324"/>
      <c r="I6" s="324"/>
      <c r="J6" s="324"/>
      <c r="K6" s="324"/>
      <c r="L6" s="324"/>
      <c r="M6" s="324"/>
      <c r="N6" s="324"/>
      <c r="O6" s="324"/>
      <c r="P6" s="324"/>
      <c r="Q6" s="324"/>
      <c r="R6" s="324"/>
      <c r="S6" s="324"/>
      <c r="T6" s="324"/>
      <c r="U6" s="324"/>
      <c r="V6" s="324"/>
      <c r="W6" s="324"/>
      <c r="X6" s="324"/>
      <c r="Y6" s="324"/>
      <c r="Z6" s="324"/>
    </row>
    <row r="7">
      <c r="A7" s="324"/>
      <c r="B7" s="324"/>
      <c r="C7" s="324"/>
      <c r="D7" s="324"/>
      <c r="E7" s="324"/>
      <c r="F7" s="324"/>
      <c r="G7" s="324"/>
      <c r="H7" s="324"/>
      <c r="I7" s="324"/>
      <c r="J7" s="324"/>
      <c r="K7" s="324"/>
      <c r="L7" s="324"/>
      <c r="M7" s="324"/>
      <c r="N7" s="324"/>
      <c r="O7" s="324"/>
      <c r="P7" s="324"/>
      <c r="Q7" s="324"/>
      <c r="R7" s="324"/>
      <c r="S7" s="324"/>
      <c r="T7" s="324"/>
      <c r="U7" s="324"/>
      <c r="V7" s="324"/>
      <c r="W7" s="324"/>
      <c r="X7" s="324"/>
      <c r="Y7" s="324"/>
      <c r="Z7" s="324"/>
    </row>
    <row r="8">
      <c r="A8" s="324"/>
      <c r="B8" s="324"/>
      <c r="C8" s="324"/>
      <c r="D8" s="324"/>
      <c r="E8" s="324"/>
      <c r="F8" s="324"/>
      <c r="G8" s="324"/>
      <c r="H8" s="324"/>
      <c r="I8" s="324"/>
      <c r="J8" s="324"/>
      <c r="K8" s="324"/>
      <c r="L8" s="324"/>
      <c r="M8" s="324"/>
      <c r="N8" s="324"/>
      <c r="O8" s="324"/>
      <c r="P8" s="324"/>
      <c r="Q8" s="324"/>
      <c r="R8" s="324"/>
      <c r="S8" s="324"/>
      <c r="T8" s="324"/>
      <c r="U8" s="324"/>
      <c r="V8" s="324"/>
      <c r="W8" s="324"/>
      <c r="X8" s="324"/>
      <c r="Y8" s="324"/>
      <c r="Z8" s="324"/>
    </row>
    <row r="9">
      <c r="A9" s="324"/>
      <c r="B9" s="324"/>
      <c r="C9" s="324"/>
      <c r="D9" s="324"/>
      <c r="E9" s="324"/>
      <c r="F9" s="324"/>
      <c r="G9" s="324"/>
      <c r="H9" s="324"/>
      <c r="I9" s="324"/>
      <c r="J9" s="324"/>
      <c r="K9" s="324"/>
      <c r="L9" s="324"/>
      <c r="M9" s="324"/>
      <c r="N9" s="324"/>
      <c r="O9" s="324"/>
      <c r="P9" s="324"/>
      <c r="Q9" s="324"/>
      <c r="R9" s="324"/>
      <c r="S9" s="324"/>
      <c r="T9" s="324"/>
      <c r="U9" s="324"/>
      <c r="V9" s="324"/>
      <c r="W9" s="324"/>
      <c r="X9" s="324"/>
      <c r="Y9" s="324"/>
      <c r="Z9" s="324"/>
    </row>
    <row r="10">
      <c r="A10" s="324"/>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row>
    <row r="11">
      <c r="A11" s="324"/>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row>
    <row r="12">
      <c r="A12" s="324"/>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row>
    <row r="13">
      <c r="A13" s="324"/>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row>
    <row r="14">
      <c r="A14" s="324"/>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row>
    <row r="15">
      <c r="A15" s="324"/>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row>
    <row r="16">
      <c r="A16" s="324"/>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row>
    <row r="17">
      <c r="A17" s="324"/>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row>
    <row r="18">
      <c r="A18" s="324"/>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row>
    <row r="19">
      <c r="A19" s="324"/>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row>
    <row r="20">
      <c r="A20" s="324"/>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row>
    <row r="21">
      <c r="A21" s="324"/>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row>
    <row r="22">
      <c r="A22" s="324"/>
      <c r="B22" s="324"/>
      <c r="C22" s="324"/>
      <c r="D22" s="324"/>
      <c r="E22" s="324"/>
      <c r="F22" s="324"/>
      <c r="G22" s="324"/>
      <c r="H22" s="324"/>
      <c r="I22" s="324"/>
      <c r="J22" s="324"/>
      <c r="K22" s="324"/>
      <c r="L22" s="324"/>
      <c r="M22" s="324"/>
      <c r="N22" s="324"/>
      <c r="O22" s="324"/>
      <c r="P22" s="324"/>
      <c r="Q22" s="324"/>
      <c r="R22" s="324"/>
      <c r="S22" s="324"/>
      <c r="T22" s="324"/>
      <c r="U22" s="324"/>
      <c r="V22" s="324"/>
      <c r="W22" s="324"/>
      <c r="X22" s="324"/>
      <c r="Y22" s="324"/>
      <c r="Z22" s="324"/>
    </row>
    <row r="23">
      <c r="A23" s="324"/>
      <c r="B23" s="324"/>
      <c r="C23" s="324"/>
      <c r="D23" s="324"/>
      <c r="E23" s="324"/>
      <c r="F23" s="324"/>
      <c r="G23" s="324"/>
      <c r="H23" s="324"/>
      <c r="I23" s="324"/>
      <c r="J23" s="324"/>
      <c r="K23" s="324"/>
      <c r="L23" s="324"/>
      <c r="M23" s="324"/>
      <c r="N23" s="324"/>
      <c r="O23" s="324"/>
      <c r="P23" s="324"/>
      <c r="Q23" s="324"/>
      <c r="R23" s="324"/>
      <c r="S23" s="324"/>
      <c r="T23" s="324"/>
      <c r="U23" s="324"/>
      <c r="V23" s="324"/>
      <c r="W23" s="324"/>
      <c r="X23" s="324"/>
      <c r="Y23" s="324"/>
      <c r="Z23" s="324"/>
    </row>
    <row r="24">
      <c r="A24" s="324"/>
      <c r="B24" s="324"/>
      <c r="C24" s="324"/>
      <c r="D24" s="324"/>
      <c r="E24" s="324"/>
      <c r="F24" s="324"/>
      <c r="G24" s="324"/>
      <c r="H24" s="324"/>
      <c r="I24" s="324"/>
      <c r="J24" s="324"/>
      <c r="K24" s="324"/>
      <c r="L24" s="324"/>
      <c r="M24" s="324"/>
      <c r="N24" s="324"/>
      <c r="O24" s="324"/>
      <c r="P24" s="324"/>
      <c r="Q24" s="324"/>
      <c r="R24" s="324"/>
      <c r="S24" s="324"/>
      <c r="T24" s="324"/>
      <c r="U24" s="324"/>
      <c r="V24" s="324"/>
      <c r="W24" s="324"/>
      <c r="X24" s="324"/>
      <c r="Y24" s="324"/>
      <c r="Z24" s="324"/>
    </row>
    <row r="25">
      <c r="A25" s="324"/>
      <c r="B25" s="324"/>
      <c r="C25" s="324"/>
      <c r="D25" s="324"/>
      <c r="E25" s="324"/>
      <c r="F25" s="324"/>
      <c r="G25" s="324"/>
      <c r="H25" s="324"/>
      <c r="I25" s="324"/>
      <c r="J25" s="324"/>
      <c r="K25" s="324"/>
      <c r="L25" s="324"/>
      <c r="M25" s="324"/>
      <c r="N25" s="324"/>
      <c r="O25" s="324"/>
      <c r="P25" s="324"/>
      <c r="Q25" s="324"/>
      <c r="R25" s="324"/>
      <c r="S25" s="324"/>
      <c r="T25" s="324"/>
      <c r="U25" s="324"/>
      <c r="V25" s="324"/>
      <c r="W25" s="324"/>
      <c r="X25" s="324"/>
      <c r="Y25" s="324"/>
      <c r="Z25" s="324"/>
    </row>
    <row r="26">
      <c r="A26" s="324"/>
      <c r="B26" s="324"/>
      <c r="C26" s="324"/>
      <c r="D26" s="324"/>
      <c r="E26" s="324"/>
      <c r="F26" s="324"/>
      <c r="G26" s="324"/>
      <c r="H26" s="324"/>
      <c r="I26" s="324"/>
      <c r="J26" s="324"/>
      <c r="K26" s="324"/>
      <c r="L26" s="324"/>
      <c r="M26" s="324"/>
      <c r="N26" s="324"/>
      <c r="O26" s="324"/>
      <c r="P26" s="324"/>
      <c r="Q26" s="324"/>
      <c r="R26" s="324"/>
      <c r="S26" s="324"/>
      <c r="T26" s="324"/>
      <c r="U26" s="324"/>
      <c r="V26" s="324"/>
      <c r="W26" s="324"/>
      <c r="X26" s="324"/>
      <c r="Y26" s="324"/>
      <c r="Z26" s="324"/>
    </row>
    <row r="27">
      <c r="A27" s="324"/>
      <c r="B27" s="324"/>
      <c r="C27" s="324"/>
      <c r="D27" s="324"/>
      <c r="E27" s="324"/>
      <c r="F27" s="324"/>
      <c r="G27" s="324"/>
      <c r="H27" s="324"/>
      <c r="I27" s="324"/>
      <c r="J27" s="324"/>
      <c r="K27" s="324"/>
      <c r="L27" s="324"/>
      <c r="M27" s="324"/>
      <c r="N27" s="324"/>
      <c r="O27" s="324"/>
      <c r="P27" s="324"/>
      <c r="Q27" s="324"/>
      <c r="R27" s="324"/>
      <c r="S27" s="324"/>
      <c r="T27" s="324"/>
      <c r="U27" s="324"/>
      <c r="V27" s="324"/>
      <c r="W27" s="324"/>
      <c r="X27" s="324"/>
      <c r="Y27" s="324"/>
      <c r="Z27" s="324"/>
    </row>
    <row r="28">
      <c r="A28" s="324"/>
      <c r="B28" s="324"/>
      <c r="C28" s="324"/>
      <c r="D28" s="324"/>
      <c r="E28" s="324"/>
      <c r="F28" s="324"/>
      <c r="G28" s="324"/>
      <c r="H28" s="324"/>
      <c r="I28" s="324"/>
      <c r="J28" s="324"/>
      <c r="K28" s="324"/>
      <c r="L28" s="324"/>
      <c r="M28" s="324"/>
      <c r="N28" s="324"/>
      <c r="O28" s="324"/>
      <c r="P28" s="324"/>
      <c r="Q28" s="324"/>
      <c r="R28" s="324"/>
      <c r="S28" s="324"/>
      <c r="T28" s="324"/>
      <c r="U28" s="324"/>
      <c r="V28" s="324"/>
      <c r="W28" s="324"/>
      <c r="X28" s="324"/>
      <c r="Y28" s="324"/>
      <c r="Z28" s="324"/>
    </row>
    <row r="29">
      <c r="A29" s="324"/>
      <c r="B29" s="324"/>
      <c r="C29" s="324"/>
      <c r="D29" s="324"/>
      <c r="E29" s="324"/>
      <c r="F29" s="324"/>
      <c r="G29" s="324"/>
      <c r="H29" s="324"/>
      <c r="I29" s="324"/>
      <c r="J29" s="324"/>
      <c r="K29" s="324"/>
      <c r="L29" s="324"/>
      <c r="M29" s="324"/>
      <c r="N29" s="324"/>
      <c r="O29" s="324"/>
      <c r="P29" s="324"/>
      <c r="Q29" s="324"/>
      <c r="R29" s="324"/>
      <c r="S29" s="324"/>
      <c r="T29" s="324"/>
      <c r="U29" s="324"/>
      <c r="V29" s="324"/>
      <c r="W29" s="324"/>
      <c r="X29" s="324"/>
      <c r="Y29" s="324"/>
      <c r="Z29" s="324"/>
    </row>
    <row r="30">
      <c r="A30" s="324"/>
      <c r="B30" s="324"/>
      <c r="C30" s="324"/>
      <c r="D30" s="324"/>
      <c r="E30" s="324"/>
      <c r="F30" s="324"/>
      <c r="G30" s="324"/>
      <c r="H30" s="324"/>
      <c r="I30" s="324"/>
      <c r="J30" s="324"/>
      <c r="K30" s="324"/>
      <c r="L30" s="324"/>
      <c r="M30" s="324"/>
      <c r="N30" s="324"/>
      <c r="O30" s="324"/>
      <c r="P30" s="324"/>
      <c r="Q30" s="324"/>
      <c r="R30" s="324"/>
      <c r="S30" s="324"/>
      <c r="T30" s="324"/>
      <c r="U30" s="324"/>
      <c r="V30" s="324"/>
      <c r="W30" s="324"/>
      <c r="X30" s="324"/>
      <c r="Y30" s="324"/>
      <c r="Z30" s="324"/>
    </row>
    <row r="31">
      <c r="A31" s="324"/>
      <c r="B31" s="324"/>
      <c r="C31" s="324"/>
      <c r="D31" s="324"/>
      <c r="E31" s="324"/>
      <c r="F31" s="324"/>
      <c r="G31" s="324"/>
      <c r="H31" s="324"/>
      <c r="I31" s="324"/>
      <c r="J31" s="324"/>
      <c r="K31" s="324"/>
      <c r="L31" s="324"/>
      <c r="M31" s="324"/>
      <c r="N31" s="324"/>
      <c r="O31" s="324"/>
      <c r="P31" s="324"/>
      <c r="Q31" s="324"/>
      <c r="R31" s="324"/>
      <c r="S31" s="324"/>
      <c r="T31" s="324"/>
      <c r="U31" s="324"/>
      <c r="V31" s="324"/>
      <c r="W31" s="324"/>
      <c r="X31" s="324"/>
      <c r="Y31" s="324"/>
      <c r="Z31" s="324"/>
    </row>
    <row r="32">
      <c r="A32" s="324"/>
      <c r="B32" s="324"/>
      <c r="C32" s="324"/>
      <c r="D32" s="324"/>
      <c r="E32" s="324"/>
      <c r="F32" s="324"/>
      <c r="G32" s="324"/>
      <c r="H32" s="324"/>
      <c r="I32" s="324"/>
      <c r="J32" s="324"/>
      <c r="K32" s="324"/>
      <c r="L32" s="324"/>
      <c r="M32" s="324"/>
      <c r="N32" s="324"/>
      <c r="O32" s="324"/>
      <c r="P32" s="324"/>
      <c r="Q32" s="324"/>
      <c r="R32" s="324"/>
      <c r="S32" s="324"/>
      <c r="T32" s="324"/>
      <c r="U32" s="324"/>
      <c r="V32" s="324"/>
      <c r="W32" s="324"/>
      <c r="X32" s="324"/>
      <c r="Y32" s="324"/>
      <c r="Z32" s="324"/>
    </row>
    <row r="33">
      <c r="A33" s="324"/>
      <c r="B33" s="324"/>
      <c r="C33" s="324"/>
      <c r="D33" s="324"/>
      <c r="E33" s="324"/>
      <c r="F33" s="324"/>
      <c r="G33" s="324"/>
      <c r="H33" s="324"/>
      <c r="I33" s="324"/>
      <c r="J33" s="324"/>
      <c r="K33" s="324"/>
      <c r="L33" s="324"/>
      <c r="M33" s="324"/>
      <c r="N33" s="324"/>
      <c r="O33" s="324"/>
      <c r="P33" s="324"/>
      <c r="Q33" s="324"/>
      <c r="R33" s="324"/>
      <c r="S33" s="324"/>
      <c r="T33" s="324"/>
      <c r="U33" s="324"/>
      <c r="V33" s="324"/>
      <c r="W33" s="324"/>
      <c r="X33" s="324"/>
      <c r="Y33" s="324"/>
      <c r="Z33" s="324"/>
    </row>
    <row r="34">
      <c r="A34" s="324"/>
      <c r="B34" s="324"/>
      <c r="C34" s="324"/>
      <c r="D34" s="324"/>
      <c r="E34" s="324"/>
      <c r="F34" s="324"/>
      <c r="G34" s="324"/>
      <c r="H34" s="324"/>
      <c r="I34" s="324"/>
      <c r="J34" s="324"/>
      <c r="K34" s="324"/>
      <c r="L34" s="324"/>
      <c r="M34" s="324"/>
      <c r="N34" s="324"/>
      <c r="O34" s="324"/>
      <c r="P34" s="324"/>
      <c r="Q34" s="324"/>
      <c r="R34" s="324"/>
      <c r="S34" s="324"/>
      <c r="T34" s="324"/>
      <c r="U34" s="324"/>
      <c r="V34" s="324"/>
      <c r="W34" s="324"/>
      <c r="X34" s="324"/>
      <c r="Y34" s="324"/>
      <c r="Z34" s="324"/>
    </row>
    <row r="35">
      <c r="A35" s="324"/>
      <c r="B35" s="324"/>
      <c r="C35" s="324"/>
      <c r="D35" s="324"/>
      <c r="E35" s="324"/>
      <c r="F35" s="324"/>
      <c r="G35" s="324"/>
      <c r="H35" s="324"/>
      <c r="I35" s="324"/>
      <c r="J35" s="324"/>
      <c r="K35" s="324"/>
      <c r="L35" s="324"/>
      <c r="M35" s="324"/>
      <c r="N35" s="324"/>
      <c r="O35" s="324"/>
      <c r="P35" s="324"/>
      <c r="Q35" s="324"/>
      <c r="R35" s="324"/>
      <c r="S35" s="324"/>
      <c r="T35" s="324"/>
      <c r="U35" s="324"/>
      <c r="V35" s="324"/>
      <c r="W35" s="324"/>
      <c r="X35" s="324"/>
      <c r="Y35" s="324"/>
      <c r="Z35" s="324"/>
    </row>
    <row r="36">
      <c r="A36" s="324"/>
      <c r="B36" s="324"/>
      <c r="C36" s="324"/>
      <c r="D36" s="324"/>
      <c r="E36" s="324"/>
      <c r="F36" s="324"/>
      <c r="G36" s="324"/>
      <c r="H36" s="324"/>
      <c r="I36" s="324"/>
      <c r="J36" s="324"/>
      <c r="K36" s="324"/>
      <c r="L36" s="324"/>
      <c r="M36" s="324"/>
      <c r="N36" s="324"/>
      <c r="O36" s="324"/>
      <c r="P36" s="324"/>
      <c r="Q36" s="324"/>
      <c r="R36" s="324"/>
      <c r="S36" s="324"/>
      <c r="T36" s="324"/>
      <c r="U36" s="324"/>
      <c r="V36" s="324"/>
      <c r="W36" s="324"/>
      <c r="X36" s="324"/>
      <c r="Y36" s="324"/>
      <c r="Z36" s="324"/>
    </row>
    <row r="37">
      <c r="A37" s="324"/>
      <c r="B37" s="324"/>
      <c r="C37" s="324"/>
      <c r="D37" s="324"/>
      <c r="E37" s="324"/>
      <c r="F37" s="324"/>
      <c r="G37" s="324"/>
      <c r="H37" s="324"/>
      <c r="I37" s="324"/>
      <c r="J37" s="324"/>
      <c r="K37" s="324"/>
      <c r="L37" s="324"/>
      <c r="M37" s="324"/>
      <c r="N37" s="324"/>
      <c r="O37" s="324"/>
      <c r="P37" s="324"/>
      <c r="Q37" s="324"/>
      <c r="R37" s="324"/>
      <c r="S37" s="324"/>
      <c r="T37" s="324"/>
      <c r="U37" s="324"/>
      <c r="V37" s="324"/>
      <c r="W37" s="324"/>
      <c r="X37" s="324"/>
      <c r="Y37" s="324"/>
      <c r="Z37" s="324"/>
    </row>
    <row r="38">
      <c r="A38" s="324"/>
      <c r="B38" s="324"/>
      <c r="C38" s="324"/>
      <c r="D38" s="324"/>
      <c r="E38" s="324"/>
      <c r="F38" s="324"/>
      <c r="G38" s="324"/>
      <c r="H38" s="324"/>
      <c r="I38" s="324"/>
      <c r="J38" s="324"/>
      <c r="K38" s="324"/>
      <c r="L38" s="324"/>
      <c r="M38" s="324"/>
      <c r="N38" s="324"/>
      <c r="O38" s="324"/>
      <c r="P38" s="324"/>
      <c r="Q38" s="324"/>
      <c r="R38" s="324"/>
      <c r="S38" s="324"/>
      <c r="T38" s="324"/>
      <c r="U38" s="324"/>
      <c r="V38" s="324"/>
      <c r="W38" s="324"/>
      <c r="X38" s="324"/>
      <c r="Y38" s="324"/>
      <c r="Z38" s="324"/>
    </row>
    <row r="39">
      <c r="A39" s="324"/>
      <c r="B39" s="324"/>
      <c r="C39" s="324"/>
      <c r="D39" s="324"/>
      <c r="E39" s="324"/>
      <c r="F39" s="324"/>
      <c r="G39" s="324"/>
      <c r="H39" s="324"/>
      <c r="I39" s="324"/>
      <c r="J39" s="324"/>
      <c r="K39" s="324"/>
      <c r="L39" s="324"/>
      <c r="M39" s="324"/>
      <c r="N39" s="324"/>
      <c r="O39" s="324"/>
      <c r="P39" s="324"/>
      <c r="Q39" s="324"/>
      <c r="R39" s="324"/>
      <c r="S39" s="324"/>
      <c r="T39" s="324"/>
      <c r="U39" s="324"/>
      <c r="V39" s="324"/>
      <c r="W39" s="324"/>
      <c r="X39" s="324"/>
      <c r="Y39" s="324"/>
      <c r="Z39" s="324"/>
    </row>
    <row r="40">
      <c r="A40" s="324"/>
      <c r="B40" s="324"/>
      <c r="C40" s="324"/>
      <c r="D40" s="324"/>
      <c r="E40" s="324"/>
      <c r="F40" s="324"/>
      <c r="G40" s="324"/>
      <c r="H40" s="324"/>
      <c r="I40" s="324"/>
      <c r="J40" s="324"/>
      <c r="K40" s="324"/>
      <c r="L40" s="324"/>
      <c r="M40" s="324"/>
      <c r="N40" s="324"/>
      <c r="O40" s="324"/>
      <c r="P40" s="324"/>
      <c r="Q40" s="324"/>
      <c r="R40" s="324"/>
      <c r="S40" s="324"/>
      <c r="T40" s="324"/>
      <c r="U40" s="324"/>
      <c r="V40" s="324"/>
      <c r="W40" s="324"/>
      <c r="X40" s="324"/>
      <c r="Y40" s="324"/>
      <c r="Z40" s="324"/>
    </row>
    <row r="41">
      <c r="A41" s="324"/>
      <c r="B41" s="324"/>
      <c r="C41" s="324"/>
      <c r="D41" s="324"/>
      <c r="E41" s="324"/>
      <c r="F41" s="324"/>
      <c r="G41" s="324"/>
      <c r="H41" s="324"/>
      <c r="I41" s="324"/>
      <c r="J41" s="324"/>
      <c r="K41" s="324"/>
      <c r="L41" s="324"/>
      <c r="M41" s="324"/>
      <c r="N41" s="324"/>
      <c r="O41" s="324"/>
      <c r="P41" s="324"/>
      <c r="Q41" s="324"/>
      <c r="R41" s="324"/>
      <c r="S41" s="324"/>
      <c r="T41" s="324"/>
      <c r="U41" s="324"/>
      <c r="V41" s="324"/>
      <c r="W41" s="324"/>
      <c r="X41" s="324"/>
      <c r="Y41" s="324"/>
      <c r="Z41" s="324"/>
    </row>
    <row r="42">
      <c r="A42" s="324"/>
      <c r="B42" s="324"/>
      <c r="C42" s="324"/>
      <c r="D42" s="324"/>
      <c r="E42" s="324"/>
      <c r="F42" s="324"/>
      <c r="G42" s="324"/>
      <c r="H42" s="324"/>
      <c r="I42" s="324"/>
      <c r="J42" s="324"/>
      <c r="K42" s="324"/>
      <c r="L42" s="324"/>
      <c r="M42" s="324"/>
      <c r="N42" s="324"/>
      <c r="O42" s="324"/>
      <c r="P42" s="324"/>
      <c r="Q42" s="324"/>
      <c r="R42" s="324"/>
      <c r="S42" s="324"/>
      <c r="T42" s="324"/>
      <c r="U42" s="324"/>
      <c r="V42" s="324"/>
      <c r="W42" s="324"/>
      <c r="X42" s="324"/>
      <c r="Y42" s="324"/>
      <c r="Z42" s="324"/>
    </row>
    <row r="43">
      <c r="A43" s="324"/>
      <c r="B43" s="324"/>
      <c r="C43" s="324"/>
      <c r="D43" s="324"/>
      <c r="E43" s="324"/>
      <c r="F43" s="324"/>
      <c r="G43" s="324"/>
      <c r="H43" s="324"/>
      <c r="I43" s="324"/>
      <c r="J43" s="324"/>
      <c r="K43" s="324"/>
      <c r="L43" s="324"/>
      <c r="M43" s="324"/>
      <c r="N43" s="324"/>
      <c r="O43" s="324"/>
      <c r="P43" s="324"/>
      <c r="Q43" s="324"/>
      <c r="R43" s="324"/>
      <c r="S43" s="324"/>
      <c r="T43" s="324"/>
      <c r="U43" s="324"/>
      <c r="V43" s="324"/>
      <c r="W43" s="324"/>
      <c r="X43" s="324"/>
      <c r="Y43" s="324"/>
      <c r="Z43" s="324"/>
    </row>
    <row r="44">
      <c r="A44" s="324"/>
      <c r="B44" s="324"/>
      <c r="C44" s="324"/>
      <c r="D44" s="324"/>
      <c r="E44" s="324"/>
      <c r="F44" s="324"/>
      <c r="G44" s="324"/>
      <c r="H44" s="324"/>
      <c r="I44" s="324"/>
      <c r="J44" s="324"/>
      <c r="K44" s="324"/>
      <c r="L44" s="324"/>
      <c r="M44" s="324"/>
      <c r="N44" s="324"/>
      <c r="O44" s="324"/>
      <c r="P44" s="324"/>
      <c r="Q44" s="324"/>
      <c r="R44" s="324"/>
      <c r="S44" s="324"/>
      <c r="T44" s="324"/>
      <c r="U44" s="324"/>
      <c r="V44" s="324"/>
      <c r="W44" s="324"/>
      <c r="X44" s="324"/>
      <c r="Y44" s="324"/>
      <c r="Z44" s="324"/>
    </row>
    <row r="45">
      <c r="A45" s="324"/>
      <c r="B45" s="324"/>
      <c r="C45" s="324"/>
      <c r="D45" s="324"/>
      <c r="E45" s="324"/>
      <c r="F45" s="324"/>
      <c r="G45" s="324"/>
      <c r="H45" s="324"/>
      <c r="I45" s="324"/>
      <c r="J45" s="324"/>
      <c r="K45" s="324"/>
      <c r="L45" s="324"/>
      <c r="M45" s="324"/>
      <c r="N45" s="324"/>
      <c r="O45" s="324"/>
      <c r="P45" s="324"/>
      <c r="Q45" s="324"/>
      <c r="R45" s="324"/>
      <c r="S45" s="324"/>
      <c r="T45" s="324"/>
      <c r="U45" s="324"/>
      <c r="V45" s="324"/>
      <c r="W45" s="324"/>
      <c r="X45" s="324"/>
      <c r="Y45" s="324"/>
      <c r="Z45" s="324"/>
    </row>
    <row r="46">
      <c r="A46" s="324"/>
      <c r="B46" s="324"/>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row>
    <row r="47">
      <c r="A47" s="324"/>
      <c r="B47" s="324"/>
      <c r="C47" s="324"/>
      <c r="D47" s="324"/>
      <c r="E47" s="324"/>
      <c r="F47" s="324"/>
      <c r="G47" s="324"/>
      <c r="H47" s="324"/>
      <c r="I47" s="324"/>
      <c r="J47" s="324"/>
      <c r="K47" s="324"/>
      <c r="L47" s="324"/>
      <c r="M47" s="324"/>
      <c r="N47" s="324"/>
      <c r="O47" s="324"/>
      <c r="P47" s="324"/>
      <c r="Q47" s="324"/>
      <c r="R47" s="324"/>
      <c r="S47" s="324"/>
      <c r="T47" s="324"/>
      <c r="U47" s="324"/>
      <c r="V47" s="324"/>
      <c r="W47" s="324"/>
      <c r="X47" s="324"/>
      <c r="Y47" s="324"/>
      <c r="Z47" s="324"/>
    </row>
    <row r="48">
      <c r="A48" s="324"/>
      <c r="B48" s="324"/>
      <c r="C48" s="324"/>
      <c r="D48" s="324"/>
      <c r="E48" s="324"/>
      <c r="F48" s="324"/>
      <c r="G48" s="324"/>
      <c r="H48" s="324"/>
      <c r="I48" s="324"/>
      <c r="J48" s="324"/>
      <c r="K48" s="324"/>
      <c r="L48" s="324"/>
      <c r="M48" s="324"/>
      <c r="N48" s="324"/>
      <c r="O48" s="324"/>
      <c r="P48" s="324"/>
      <c r="Q48" s="324"/>
      <c r="R48" s="324"/>
      <c r="S48" s="324"/>
      <c r="T48" s="324"/>
      <c r="U48" s="324"/>
      <c r="V48" s="324"/>
      <c r="W48" s="324"/>
      <c r="X48" s="324"/>
      <c r="Y48" s="324"/>
      <c r="Z48" s="324"/>
    </row>
    <row r="49">
      <c r="A49" s="324"/>
      <c r="B49" s="324"/>
      <c r="C49" s="324"/>
      <c r="D49" s="324"/>
      <c r="E49" s="324"/>
      <c r="F49" s="324"/>
      <c r="G49" s="324"/>
      <c r="H49" s="324"/>
      <c r="I49" s="324"/>
      <c r="J49" s="324"/>
      <c r="K49" s="324"/>
      <c r="L49" s="324"/>
      <c r="M49" s="324"/>
      <c r="N49" s="324"/>
      <c r="O49" s="324"/>
      <c r="P49" s="324"/>
      <c r="Q49" s="324"/>
      <c r="R49" s="324"/>
      <c r="S49" s="324"/>
      <c r="T49" s="324"/>
      <c r="U49" s="324"/>
      <c r="V49" s="324"/>
      <c r="W49" s="324"/>
      <c r="X49" s="324"/>
      <c r="Y49" s="324"/>
      <c r="Z49" s="324"/>
    </row>
    <row r="50">
      <c r="A50" s="324"/>
      <c r="B50" s="324"/>
      <c r="C50" s="324"/>
      <c r="D50" s="324"/>
      <c r="E50" s="324"/>
      <c r="F50" s="324"/>
      <c r="G50" s="324"/>
      <c r="H50" s="324"/>
      <c r="I50" s="324"/>
      <c r="J50" s="324"/>
      <c r="K50" s="324"/>
      <c r="L50" s="324"/>
      <c r="M50" s="324"/>
      <c r="N50" s="324"/>
      <c r="O50" s="324"/>
      <c r="P50" s="324"/>
      <c r="Q50" s="324"/>
      <c r="R50" s="324"/>
      <c r="S50" s="324"/>
      <c r="T50" s="324"/>
      <c r="U50" s="324"/>
      <c r="V50" s="324"/>
      <c r="W50" s="324"/>
      <c r="X50" s="324"/>
      <c r="Y50" s="324"/>
      <c r="Z50" s="324"/>
    </row>
    <row r="51">
      <c r="A51" s="324"/>
      <c r="B51" s="324"/>
      <c r="C51" s="324"/>
      <c r="D51" s="324"/>
      <c r="E51" s="324"/>
      <c r="F51" s="324"/>
      <c r="G51" s="324"/>
      <c r="H51" s="324"/>
      <c r="I51" s="324"/>
      <c r="J51" s="324"/>
      <c r="K51" s="324"/>
      <c r="L51" s="324"/>
      <c r="M51" s="324"/>
      <c r="N51" s="324"/>
      <c r="O51" s="324"/>
      <c r="P51" s="324"/>
      <c r="Q51" s="324"/>
      <c r="R51" s="324"/>
      <c r="S51" s="324"/>
      <c r="T51" s="324"/>
      <c r="U51" s="324"/>
      <c r="V51" s="324"/>
      <c r="W51" s="324"/>
      <c r="X51" s="324"/>
      <c r="Y51" s="324"/>
      <c r="Z51" s="324"/>
    </row>
    <row r="52">
      <c r="A52" s="324"/>
      <c r="B52" s="324"/>
      <c r="C52" s="324"/>
      <c r="D52" s="324"/>
      <c r="E52" s="324"/>
      <c r="F52" s="324"/>
      <c r="G52" s="324"/>
      <c r="H52" s="324"/>
      <c r="I52" s="324"/>
      <c r="J52" s="324"/>
      <c r="K52" s="324"/>
      <c r="L52" s="324"/>
      <c r="M52" s="324"/>
      <c r="N52" s="324"/>
      <c r="O52" s="324"/>
      <c r="P52" s="324"/>
      <c r="Q52" s="324"/>
      <c r="R52" s="324"/>
      <c r="S52" s="324"/>
      <c r="T52" s="324"/>
      <c r="U52" s="324"/>
      <c r="V52" s="324"/>
      <c r="W52" s="324"/>
      <c r="X52" s="324"/>
      <c r="Y52" s="324"/>
      <c r="Z52" s="324"/>
    </row>
    <row r="53">
      <c r="A53" s="324"/>
      <c r="B53" s="324"/>
      <c r="C53" s="324"/>
      <c r="D53" s="324"/>
      <c r="E53" s="324"/>
      <c r="F53" s="324"/>
      <c r="G53" s="324"/>
      <c r="H53" s="324"/>
      <c r="I53" s="324"/>
      <c r="J53" s="324"/>
      <c r="K53" s="324"/>
      <c r="L53" s="324"/>
      <c r="M53" s="324"/>
      <c r="N53" s="324"/>
      <c r="O53" s="324"/>
      <c r="P53" s="324"/>
      <c r="Q53" s="324"/>
      <c r="R53" s="324"/>
      <c r="S53" s="324"/>
      <c r="T53" s="324"/>
      <c r="U53" s="324"/>
      <c r="V53" s="324"/>
      <c r="W53" s="324"/>
      <c r="X53" s="324"/>
      <c r="Y53" s="324"/>
      <c r="Z53" s="324"/>
    </row>
    <row r="54">
      <c r="A54" s="324"/>
      <c r="B54" s="324"/>
      <c r="C54" s="324"/>
      <c r="D54" s="324"/>
      <c r="E54" s="324"/>
      <c r="F54" s="324"/>
      <c r="G54" s="324"/>
      <c r="H54" s="324"/>
      <c r="I54" s="324"/>
      <c r="J54" s="324"/>
      <c r="K54" s="324"/>
      <c r="L54" s="324"/>
      <c r="M54" s="324"/>
      <c r="N54" s="324"/>
      <c r="O54" s="324"/>
      <c r="P54" s="324"/>
      <c r="Q54" s="324"/>
      <c r="R54" s="324"/>
      <c r="S54" s="324"/>
      <c r="T54" s="324"/>
      <c r="U54" s="324"/>
      <c r="V54" s="324"/>
      <c r="W54" s="324"/>
      <c r="X54" s="324"/>
      <c r="Y54" s="324"/>
      <c r="Z54" s="324"/>
    </row>
    <row r="55">
      <c r="A55" s="324"/>
      <c r="B55" s="324"/>
      <c r="C55" s="324"/>
      <c r="D55" s="324"/>
      <c r="E55" s="324"/>
      <c r="F55" s="324"/>
      <c r="G55" s="324"/>
      <c r="H55" s="324"/>
      <c r="I55" s="324"/>
      <c r="J55" s="324"/>
      <c r="K55" s="324"/>
      <c r="L55" s="324"/>
      <c r="M55" s="324"/>
      <c r="N55" s="324"/>
      <c r="O55" s="324"/>
      <c r="P55" s="324"/>
      <c r="Q55" s="324"/>
      <c r="R55" s="324"/>
      <c r="S55" s="324"/>
      <c r="T55" s="324"/>
      <c r="U55" s="324"/>
      <c r="V55" s="324"/>
      <c r="W55" s="324"/>
      <c r="X55" s="324"/>
      <c r="Y55" s="324"/>
      <c r="Z55" s="324"/>
    </row>
    <row r="56">
      <c r="A56" s="324"/>
      <c r="B56" s="32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row>
    <row r="57">
      <c r="A57" s="324"/>
      <c r="B57" s="324"/>
      <c r="C57" s="324"/>
      <c r="D57" s="324"/>
      <c r="E57" s="324"/>
      <c r="F57" s="324"/>
      <c r="G57" s="324"/>
      <c r="H57" s="324"/>
      <c r="I57" s="324"/>
      <c r="J57" s="324"/>
      <c r="K57" s="324"/>
      <c r="L57" s="324"/>
      <c r="M57" s="324"/>
      <c r="N57" s="324"/>
      <c r="O57" s="324"/>
      <c r="P57" s="324"/>
      <c r="Q57" s="324"/>
      <c r="R57" s="324"/>
      <c r="S57" s="324"/>
      <c r="T57" s="324"/>
      <c r="U57" s="324"/>
      <c r="V57" s="324"/>
      <c r="W57" s="324"/>
      <c r="X57" s="324"/>
      <c r="Y57" s="324"/>
      <c r="Z57" s="324"/>
    </row>
    <row r="58">
      <c r="A58" s="324"/>
      <c r="B58" s="324"/>
      <c r="C58" s="324"/>
      <c r="D58" s="324"/>
      <c r="E58" s="324"/>
      <c r="F58" s="324"/>
      <c r="G58" s="324"/>
      <c r="H58" s="324"/>
      <c r="I58" s="324"/>
      <c r="J58" s="324"/>
      <c r="K58" s="324"/>
      <c r="L58" s="324"/>
      <c r="M58" s="324"/>
      <c r="N58" s="324"/>
      <c r="O58" s="324"/>
      <c r="P58" s="324"/>
      <c r="Q58" s="324"/>
      <c r="R58" s="324"/>
      <c r="S58" s="324"/>
      <c r="T58" s="324"/>
      <c r="U58" s="324"/>
      <c r="V58" s="324"/>
      <c r="W58" s="324"/>
      <c r="X58" s="324"/>
      <c r="Y58" s="324"/>
      <c r="Z58" s="324"/>
    </row>
    <row r="59">
      <c r="A59" s="324"/>
      <c r="B59" s="324"/>
      <c r="C59" s="324"/>
      <c r="D59" s="324"/>
      <c r="E59" s="324"/>
      <c r="F59" s="324"/>
      <c r="G59" s="324"/>
      <c r="H59" s="324"/>
      <c r="I59" s="324"/>
      <c r="J59" s="324"/>
      <c r="K59" s="324"/>
      <c r="L59" s="324"/>
      <c r="M59" s="324"/>
      <c r="N59" s="324"/>
      <c r="O59" s="324"/>
      <c r="P59" s="324"/>
      <c r="Q59" s="324"/>
      <c r="R59" s="324"/>
      <c r="S59" s="324"/>
      <c r="T59" s="324"/>
      <c r="U59" s="324"/>
      <c r="V59" s="324"/>
      <c r="W59" s="324"/>
      <c r="X59" s="324"/>
      <c r="Y59" s="324"/>
      <c r="Z59" s="324"/>
    </row>
    <row r="60">
      <c r="A60" s="324"/>
      <c r="B60" s="324"/>
      <c r="C60" s="324"/>
      <c r="D60" s="324"/>
      <c r="E60" s="324"/>
      <c r="F60" s="324"/>
      <c r="G60" s="324"/>
      <c r="H60" s="324"/>
      <c r="I60" s="324"/>
      <c r="J60" s="324"/>
      <c r="K60" s="324"/>
      <c r="L60" s="324"/>
      <c r="M60" s="324"/>
      <c r="N60" s="324"/>
      <c r="O60" s="324"/>
      <c r="P60" s="324"/>
      <c r="Q60" s="324"/>
      <c r="R60" s="324"/>
      <c r="S60" s="324"/>
      <c r="T60" s="324"/>
      <c r="U60" s="324"/>
      <c r="V60" s="324"/>
      <c r="W60" s="324"/>
      <c r="X60" s="324"/>
      <c r="Y60" s="324"/>
      <c r="Z60" s="324"/>
    </row>
    <row r="61">
      <c r="A61" s="324"/>
      <c r="B61" s="324"/>
      <c r="C61" s="324"/>
      <c r="D61" s="324"/>
      <c r="E61" s="324"/>
      <c r="F61" s="324"/>
      <c r="G61" s="324"/>
      <c r="H61" s="324"/>
      <c r="I61" s="324"/>
      <c r="J61" s="324"/>
      <c r="K61" s="324"/>
      <c r="L61" s="324"/>
      <c r="M61" s="324"/>
      <c r="N61" s="324"/>
      <c r="O61" s="324"/>
      <c r="P61" s="324"/>
      <c r="Q61" s="324"/>
      <c r="R61" s="324"/>
      <c r="S61" s="324"/>
      <c r="T61" s="324"/>
      <c r="U61" s="324"/>
      <c r="V61" s="324"/>
      <c r="W61" s="324"/>
      <c r="X61" s="324"/>
      <c r="Y61" s="324"/>
      <c r="Z61" s="324"/>
    </row>
    <row r="62">
      <c r="A62" s="324"/>
      <c r="B62" s="324"/>
      <c r="C62" s="324"/>
      <c r="D62" s="324"/>
      <c r="E62" s="324"/>
      <c r="F62" s="324"/>
      <c r="G62" s="324"/>
      <c r="H62" s="324"/>
      <c r="I62" s="324"/>
      <c r="J62" s="324"/>
      <c r="K62" s="324"/>
      <c r="L62" s="324"/>
      <c r="M62" s="324"/>
      <c r="N62" s="324"/>
      <c r="O62" s="324"/>
      <c r="P62" s="324"/>
      <c r="Q62" s="324"/>
      <c r="R62" s="324"/>
      <c r="S62" s="324"/>
      <c r="T62" s="324"/>
      <c r="U62" s="324"/>
      <c r="V62" s="324"/>
      <c r="W62" s="324"/>
      <c r="X62" s="324"/>
      <c r="Y62" s="324"/>
      <c r="Z62" s="324"/>
    </row>
    <row r="63">
      <c r="A63" s="324"/>
      <c r="B63" s="324"/>
      <c r="C63" s="324"/>
      <c r="D63" s="324"/>
      <c r="E63" s="324"/>
      <c r="F63" s="324"/>
      <c r="G63" s="324"/>
      <c r="H63" s="324"/>
      <c r="I63" s="324"/>
      <c r="J63" s="324"/>
      <c r="K63" s="324"/>
      <c r="L63" s="324"/>
      <c r="M63" s="324"/>
      <c r="N63" s="324"/>
      <c r="O63" s="324"/>
      <c r="P63" s="324"/>
      <c r="Q63" s="324"/>
      <c r="R63" s="324"/>
      <c r="S63" s="324"/>
      <c r="T63" s="324"/>
      <c r="U63" s="324"/>
      <c r="V63" s="324"/>
      <c r="W63" s="324"/>
      <c r="X63" s="324"/>
      <c r="Y63" s="324"/>
      <c r="Z63" s="324"/>
    </row>
    <row r="64">
      <c r="A64" s="324"/>
      <c r="B64" s="324"/>
      <c r="C64" s="324"/>
      <c r="D64" s="324"/>
      <c r="E64" s="324"/>
      <c r="F64" s="324"/>
      <c r="G64" s="324"/>
      <c r="H64" s="324"/>
      <c r="I64" s="324"/>
      <c r="J64" s="324"/>
      <c r="K64" s="324"/>
      <c r="L64" s="324"/>
      <c r="M64" s="324"/>
      <c r="N64" s="324"/>
      <c r="O64" s="324"/>
      <c r="P64" s="324"/>
      <c r="Q64" s="324"/>
      <c r="R64" s="324"/>
      <c r="S64" s="324"/>
      <c r="T64" s="324"/>
      <c r="U64" s="324"/>
      <c r="V64" s="324"/>
      <c r="W64" s="324"/>
      <c r="X64" s="324"/>
      <c r="Y64" s="324"/>
      <c r="Z64" s="324"/>
    </row>
    <row r="65">
      <c r="A65" s="324"/>
      <c r="B65" s="324"/>
      <c r="C65" s="324"/>
      <c r="D65" s="324"/>
      <c r="E65" s="324"/>
      <c r="F65" s="324"/>
      <c r="G65" s="324"/>
      <c r="H65" s="324"/>
      <c r="I65" s="324"/>
      <c r="J65" s="324"/>
      <c r="K65" s="324"/>
      <c r="L65" s="324"/>
      <c r="M65" s="324"/>
      <c r="N65" s="324"/>
      <c r="O65" s="324"/>
      <c r="P65" s="324"/>
      <c r="Q65" s="324"/>
      <c r="R65" s="324"/>
      <c r="S65" s="324"/>
      <c r="T65" s="324"/>
      <c r="U65" s="324"/>
      <c r="V65" s="324"/>
      <c r="W65" s="324"/>
      <c r="X65" s="324"/>
      <c r="Y65" s="324"/>
      <c r="Z65" s="324"/>
    </row>
    <row r="66">
      <c r="A66" s="324"/>
      <c r="B66" s="324"/>
      <c r="C66" s="324"/>
      <c r="D66" s="324"/>
      <c r="E66" s="324"/>
      <c r="F66" s="324"/>
      <c r="G66" s="324"/>
      <c r="H66" s="324"/>
      <c r="I66" s="324"/>
      <c r="J66" s="324"/>
      <c r="K66" s="324"/>
      <c r="L66" s="324"/>
      <c r="M66" s="324"/>
      <c r="N66" s="324"/>
      <c r="O66" s="324"/>
      <c r="P66" s="324"/>
      <c r="Q66" s="324"/>
      <c r="R66" s="324"/>
      <c r="S66" s="324"/>
      <c r="T66" s="324"/>
      <c r="U66" s="324"/>
      <c r="V66" s="324"/>
      <c r="W66" s="324"/>
      <c r="X66" s="324"/>
      <c r="Y66" s="324"/>
      <c r="Z66" s="324"/>
    </row>
    <row r="67">
      <c r="A67" s="324"/>
      <c r="B67" s="324"/>
      <c r="C67" s="324"/>
      <c r="D67" s="324"/>
      <c r="E67" s="324"/>
      <c r="F67" s="324"/>
      <c r="G67" s="324"/>
      <c r="H67" s="324"/>
      <c r="I67" s="324"/>
      <c r="J67" s="324"/>
      <c r="K67" s="324"/>
      <c r="L67" s="324"/>
      <c r="M67" s="324"/>
      <c r="N67" s="324"/>
      <c r="O67" s="324"/>
      <c r="P67" s="324"/>
      <c r="Q67" s="324"/>
      <c r="R67" s="324"/>
      <c r="S67" s="324"/>
      <c r="T67" s="324"/>
      <c r="U67" s="324"/>
      <c r="V67" s="324"/>
      <c r="W67" s="324"/>
      <c r="X67" s="324"/>
      <c r="Y67" s="324"/>
      <c r="Z67" s="324"/>
    </row>
    <row r="68">
      <c r="A68" s="324"/>
      <c r="B68" s="324"/>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row>
    <row r="69">
      <c r="A69" s="324"/>
      <c r="B69" s="324"/>
      <c r="C69" s="324"/>
      <c r="D69" s="324"/>
      <c r="E69" s="324"/>
      <c r="F69" s="324"/>
      <c r="G69" s="324"/>
      <c r="H69" s="324"/>
      <c r="I69" s="324"/>
      <c r="J69" s="324"/>
      <c r="K69" s="324"/>
      <c r="L69" s="324"/>
      <c r="M69" s="324"/>
      <c r="N69" s="324"/>
      <c r="O69" s="324"/>
      <c r="P69" s="324"/>
      <c r="Q69" s="324"/>
      <c r="R69" s="324"/>
      <c r="S69" s="324"/>
      <c r="T69" s="324"/>
      <c r="U69" s="324"/>
      <c r="V69" s="324"/>
      <c r="W69" s="324"/>
      <c r="X69" s="324"/>
      <c r="Y69" s="324"/>
      <c r="Z69" s="324"/>
    </row>
    <row r="70">
      <c r="A70" s="324"/>
      <c r="B70" s="324"/>
      <c r="C70" s="324"/>
      <c r="D70" s="324"/>
      <c r="E70" s="324"/>
      <c r="F70" s="324"/>
      <c r="G70" s="324"/>
      <c r="H70" s="324"/>
      <c r="I70" s="324"/>
      <c r="J70" s="324"/>
      <c r="K70" s="324"/>
      <c r="L70" s="324"/>
      <c r="M70" s="324"/>
      <c r="N70" s="324"/>
      <c r="O70" s="324"/>
      <c r="P70" s="324"/>
      <c r="Q70" s="324"/>
      <c r="R70" s="324"/>
      <c r="S70" s="324"/>
      <c r="T70" s="324"/>
      <c r="U70" s="324"/>
      <c r="V70" s="324"/>
      <c r="W70" s="324"/>
      <c r="X70" s="324"/>
      <c r="Y70" s="324"/>
      <c r="Z70" s="324"/>
    </row>
    <row r="71">
      <c r="A71" s="324"/>
      <c r="B71" s="324"/>
      <c r="C71" s="324"/>
      <c r="D71" s="324"/>
      <c r="E71" s="324"/>
      <c r="F71" s="324"/>
      <c r="G71" s="324"/>
      <c r="H71" s="324"/>
      <c r="I71" s="324"/>
      <c r="J71" s="324"/>
      <c r="K71" s="324"/>
      <c r="L71" s="324"/>
      <c r="M71" s="324"/>
      <c r="N71" s="324"/>
      <c r="O71" s="324"/>
      <c r="P71" s="324"/>
      <c r="Q71" s="324"/>
      <c r="R71" s="324"/>
      <c r="S71" s="324"/>
      <c r="T71" s="324"/>
      <c r="U71" s="324"/>
      <c r="V71" s="324"/>
      <c r="W71" s="324"/>
      <c r="X71" s="324"/>
      <c r="Y71" s="324"/>
      <c r="Z71" s="324"/>
    </row>
    <row r="72">
      <c r="A72" s="324"/>
      <c r="B72" s="324"/>
      <c r="C72" s="324"/>
      <c r="D72" s="324"/>
      <c r="E72" s="324"/>
      <c r="F72" s="324"/>
      <c r="G72" s="324"/>
      <c r="H72" s="324"/>
      <c r="I72" s="324"/>
      <c r="J72" s="324"/>
      <c r="K72" s="324"/>
      <c r="L72" s="324"/>
      <c r="M72" s="324"/>
      <c r="N72" s="324"/>
      <c r="O72" s="324"/>
      <c r="P72" s="324"/>
      <c r="Q72" s="324"/>
      <c r="R72" s="324"/>
      <c r="S72" s="324"/>
      <c r="T72" s="324"/>
      <c r="U72" s="324"/>
      <c r="V72" s="324"/>
      <c r="W72" s="324"/>
      <c r="X72" s="324"/>
      <c r="Y72" s="324"/>
      <c r="Z72" s="324"/>
    </row>
    <row r="73">
      <c r="A73" s="324"/>
      <c r="B73" s="324"/>
      <c r="C73" s="324"/>
      <c r="D73" s="324"/>
      <c r="E73" s="324"/>
      <c r="F73" s="324"/>
      <c r="G73" s="324"/>
      <c r="H73" s="324"/>
      <c r="I73" s="324"/>
      <c r="J73" s="324"/>
      <c r="K73" s="324"/>
      <c r="L73" s="324"/>
      <c r="M73" s="324"/>
      <c r="N73" s="324"/>
      <c r="O73" s="324"/>
      <c r="P73" s="324"/>
      <c r="Q73" s="324"/>
      <c r="R73" s="324"/>
      <c r="S73" s="324"/>
      <c r="T73" s="324"/>
      <c r="U73" s="324"/>
      <c r="V73" s="324"/>
      <c r="W73" s="324"/>
      <c r="X73" s="324"/>
      <c r="Y73" s="324"/>
      <c r="Z73" s="324"/>
    </row>
    <row r="74">
      <c r="A74" s="324"/>
      <c r="B74" s="324"/>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row>
    <row r="75">
      <c r="A75" s="324"/>
      <c r="B75" s="324"/>
      <c r="C75" s="324"/>
      <c r="D75" s="324"/>
      <c r="E75" s="324"/>
      <c r="F75" s="324"/>
      <c r="G75" s="324"/>
      <c r="H75" s="324"/>
      <c r="I75" s="324"/>
      <c r="J75" s="324"/>
      <c r="K75" s="324"/>
      <c r="L75" s="324"/>
      <c r="M75" s="324"/>
      <c r="N75" s="324"/>
      <c r="O75" s="324"/>
      <c r="P75" s="324"/>
      <c r="Q75" s="324"/>
      <c r="R75" s="324"/>
      <c r="S75" s="324"/>
      <c r="T75" s="324"/>
      <c r="U75" s="324"/>
      <c r="V75" s="324"/>
      <c r="W75" s="324"/>
      <c r="X75" s="324"/>
      <c r="Y75" s="324"/>
      <c r="Z75" s="324"/>
    </row>
    <row r="76">
      <c r="A76" s="324"/>
      <c r="B76" s="324"/>
      <c r="C76" s="324"/>
      <c r="D76" s="324"/>
      <c r="E76" s="324"/>
      <c r="F76" s="324"/>
      <c r="G76" s="324"/>
      <c r="H76" s="324"/>
      <c r="I76" s="324"/>
      <c r="J76" s="324"/>
      <c r="K76" s="324"/>
      <c r="L76" s="324"/>
      <c r="M76" s="324"/>
      <c r="N76" s="324"/>
      <c r="O76" s="324"/>
      <c r="P76" s="324"/>
      <c r="Q76" s="324"/>
      <c r="R76" s="324"/>
      <c r="S76" s="324"/>
      <c r="T76" s="324"/>
      <c r="U76" s="324"/>
      <c r="V76" s="324"/>
      <c r="W76" s="324"/>
      <c r="X76" s="324"/>
      <c r="Y76" s="324"/>
      <c r="Z76" s="324"/>
    </row>
    <row r="77">
      <c r="A77" s="324"/>
      <c r="B77" s="324"/>
      <c r="C77" s="324"/>
      <c r="D77" s="324"/>
      <c r="E77" s="324"/>
      <c r="F77" s="324"/>
      <c r="G77" s="324"/>
      <c r="H77" s="324"/>
      <c r="I77" s="324"/>
      <c r="J77" s="324"/>
      <c r="K77" s="324"/>
      <c r="L77" s="324"/>
      <c r="M77" s="324"/>
      <c r="N77" s="324"/>
      <c r="O77" s="324"/>
      <c r="P77" s="324"/>
      <c r="Q77" s="324"/>
      <c r="R77" s="324"/>
      <c r="S77" s="324"/>
      <c r="T77" s="324"/>
      <c r="U77" s="324"/>
      <c r="V77" s="324"/>
      <c r="W77" s="324"/>
      <c r="X77" s="324"/>
      <c r="Y77" s="324"/>
      <c r="Z77" s="324"/>
    </row>
    <row r="78">
      <c r="A78" s="324"/>
      <c r="B78" s="324"/>
      <c r="C78" s="324"/>
      <c r="D78" s="324"/>
      <c r="E78" s="324"/>
      <c r="F78" s="324"/>
      <c r="G78" s="324"/>
      <c r="H78" s="324"/>
      <c r="I78" s="324"/>
      <c r="J78" s="324"/>
      <c r="K78" s="324"/>
      <c r="L78" s="324"/>
      <c r="M78" s="324"/>
      <c r="N78" s="324"/>
      <c r="O78" s="324"/>
      <c r="P78" s="324"/>
      <c r="Q78" s="324"/>
      <c r="R78" s="324"/>
      <c r="S78" s="324"/>
      <c r="T78" s="324"/>
      <c r="U78" s="324"/>
      <c r="V78" s="324"/>
      <c r="W78" s="324"/>
      <c r="X78" s="324"/>
      <c r="Y78" s="324"/>
      <c r="Z78" s="324"/>
    </row>
    <row r="79">
      <c r="A79" s="324"/>
      <c r="B79" s="324"/>
      <c r="C79" s="324"/>
      <c r="D79" s="324"/>
      <c r="E79" s="324"/>
      <c r="F79" s="324"/>
      <c r="G79" s="324"/>
      <c r="H79" s="324"/>
      <c r="I79" s="324"/>
      <c r="J79" s="324"/>
      <c r="K79" s="324"/>
      <c r="L79" s="324"/>
      <c r="M79" s="324"/>
      <c r="N79" s="324"/>
      <c r="O79" s="324"/>
      <c r="P79" s="324"/>
      <c r="Q79" s="324"/>
      <c r="R79" s="324"/>
      <c r="S79" s="324"/>
      <c r="T79" s="324"/>
      <c r="U79" s="324"/>
      <c r="V79" s="324"/>
      <c r="W79" s="324"/>
      <c r="X79" s="324"/>
      <c r="Y79" s="324"/>
      <c r="Z79" s="324"/>
    </row>
    <row r="80">
      <c r="A80" s="324"/>
      <c r="B80" s="324"/>
      <c r="C80" s="324"/>
      <c r="D80" s="324"/>
      <c r="E80" s="324"/>
      <c r="F80" s="324"/>
      <c r="G80" s="324"/>
      <c r="H80" s="324"/>
      <c r="I80" s="324"/>
      <c r="J80" s="324"/>
      <c r="K80" s="324"/>
      <c r="L80" s="324"/>
      <c r="M80" s="324"/>
      <c r="N80" s="324"/>
      <c r="O80" s="324"/>
      <c r="P80" s="324"/>
      <c r="Q80" s="324"/>
      <c r="R80" s="324"/>
      <c r="S80" s="324"/>
      <c r="T80" s="324"/>
      <c r="U80" s="324"/>
      <c r="V80" s="324"/>
      <c r="W80" s="324"/>
      <c r="X80" s="324"/>
      <c r="Y80" s="324"/>
      <c r="Z80" s="324"/>
    </row>
    <row r="81">
      <c r="A81" s="324"/>
      <c r="B81" s="324"/>
      <c r="C81" s="324"/>
      <c r="D81" s="324"/>
      <c r="E81" s="324"/>
      <c r="F81" s="324"/>
      <c r="G81" s="324"/>
      <c r="H81" s="324"/>
      <c r="I81" s="324"/>
      <c r="J81" s="324"/>
      <c r="K81" s="324"/>
      <c r="L81" s="324"/>
      <c r="M81" s="324"/>
      <c r="N81" s="324"/>
      <c r="O81" s="324"/>
      <c r="P81" s="324"/>
      <c r="Q81" s="324"/>
      <c r="R81" s="324"/>
      <c r="S81" s="324"/>
      <c r="T81" s="324"/>
      <c r="U81" s="324"/>
      <c r="V81" s="324"/>
      <c r="W81" s="324"/>
      <c r="X81" s="324"/>
      <c r="Y81" s="324"/>
      <c r="Z81" s="324"/>
    </row>
    <row r="82">
      <c r="A82" s="324"/>
      <c r="B82" s="324"/>
      <c r="C82" s="324"/>
      <c r="D82" s="324"/>
      <c r="E82" s="324"/>
      <c r="F82" s="324"/>
      <c r="G82" s="324"/>
      <c r="H82" s="324"/>
      <c r="I82" s="324"/>
      <c r="J82" s="324"/>
      <c r="K82" s="324"/>
      <c r="L82" s="324"/>
      <c r="M82" s="324"/>
      <c r="N82" s="324"/>
      <c r="O82" s="324"/>
      <c r="P82" s="324"/>
      <c r="Q82" s="324"/>
      <c r="R82" s="324"/>
      <c r="S82" s="324"/>
      <c r="T82" s="324"/>
      <c r="U82" s="324"/>
      <c r="V82" s="324"/>
      <c r="W82" s="324"/>
      <c r="X82" s="324"/>
      <c r="Y82" s="324"/>
      <c r="Z82" s="324"/>
    </row>
    <row r="83">
      <c r="A83" s="324"/>
      <c r="B83" s="324"/>
      <c r="C83" s="324"/>
      <c r="D83" s="324"/>
      <c r="E83" s="324"/>
      <c r="F83" s="324"/>
      <c r="G83" s="324"/>
      <c r="H83" s="324"/>
      <c r="I83" s="324"/>
      <c r="J83" s="324"/>
      <c r="K83" s="324"/>
      <c r="L83" s="324"/>
      <c r="M83" s="324"/>
      <c r="N83" s="324"/>
      <c r="O83" s="324"/>
      <c r="P83" s="324"/>
      <c r="Q83" s="324"/>
      <c r="R83" s="324"/>
      <c r="S83" s="324"/>
      <c r="T83" s="324"/>
      <c r="U83" s="324"/>
      <c r="V83" s="324"/>
      <c r="W83" s="324"/>
      <c r="X83" s="324"/>
      <c r="Y83" s="324"/>
      <c r="Z83" s="324"/>
    </row>
    <row r="84">
      <c r="A84" s="324"/>
      <c r="B84" s="324"/>
      <c r="C84" s="324"/>
      <c r="D84" s="324"/>
      <c r="E84" s="324"/>
      <c r="F84" s="324"/>
      <c r="G84" s="324"/>
      <c r="H84" s="324"/>
      <c r="I84" s="324"/>
      <c r="J84" s="324"/>
      <c r="K84" s="324"/>
      <c r="L84" s="324"/>
      <c r="M84" s="324"/>
      <c r="N84" s="324"/>
      <c r="O84" s="324"/>
      <c r="P84" s="324"/>
      <c r="Q84" s="324"/>
      <c r="R84" s="324"/>
      <c r="S84" s="324"/>
      <c r="T84" s="324"/>
      <c r="U84" s="324"/>
      <c r="V84" s="324"/>
      <c r="W84" s="324"/>
      <c r="X84" s="324"/>
      <c r="Y84" s="324"/>
      <c r="Z84" s="324"/>
    </row>
    <row r="85">
      <c r="A85" s="324"/>
      <c r="B85" s="324"/>
      <c r="C85" s="324"/>
      <c r="D85" s="324"/>
      <c r="E85" s="324"/>
      <c r="F85" s="324"/>
      <c r="G85" s="324"/>
      <c r="H85" s="324"/>
      <c r="I85" s="324"/>
      <c r="J85" s="324"/>
      <c r="K85" s="324"/>
      <c r="L85" s="324"/>
      <c r="M85" s="324"/>
      <c r="N85" s="324"/>
      <c r="O85" s="324"/>
      <c r="P85" s="324"/>
      <c r="Q85" s="324"/>
      <c r="R85" s="324"/>
      <c r="S85" s="324"/>
      <c r="T85" s="324"/>
      <c r="U85" s="324"/>
      <c r="V85" s="324"/>
      <c r="W85" s="324"/>
      <c r="X85" s="324"/>
      <c r="Y85" s="324"/>
      <c r="Z85" s="324"/>
    </row>
    <row r="86">
      <c r="A86" s="324"/>
      <c r="B86" s="324"/>
      <c r="C86" s="324"/>
      <c r="D86" s="324"/>
      <c r="E86" s="324"/>
      <c r="F86" s="324"/>
      <c r="G86" s="324"/>
      <c r="H86" s="324"/>
      <c r="I86" s="324"/>
      <c r="J86" s="324"/>
      <c r="K86" s="324"/>
      <c r="L86" s="324"/>
      <c r="M86" s="324"/>
      <c r="N86" s="324"/>
      <c r="O86" s="324"/>
      <c r="P86" s="324"/>
      <c r="Q86" s="324"/>
      <c r="R86" s="324"/>
      <c r="S86" s="324"/>
      <c r="T86" s="324"/>
      <c r="U86" s="324"/>
      <c r="V86" s="324"/>
      <c r="W86" s="324"/>
      <c r="X86" s="324"/>
      <c r="Y86" s="324"/>
      <c r="Z86" s="324"/>
    </row>
    <row r="87">
      <c r="A87" s="324"/>
      <c r="B87" s="324"/>
      <c r="C87" s="324"/>
      <c r="D87" s="324"/>
      <c r="E87" s="324"/>
      <c r="F87" s="324"/>
      <c r="G87" s="324"/>
      <c r="H87" s="324"/>
      <c r="I87" s="324"/>
      <c r="J87" s="324"/>
      <c r="K87" s="324"/>
      <c r="L87" s="324"/>
      <c r="M87" s="324"/>
      <c r="N87" s="324"/>
      <c r="O87" s="324"/>
      <c r="P87" s="324"/>
      <c r="Q87" s="324"/>
      <c r="R87" s="324"/>
      <c r="S87" s="324"/>
      <c r="T87" s="324"/>
      <c r="U87" s="324"/>
      <c r="V87" s="324"/>
      <c r="W87" s="324"/>
      <c r="X87" s="324"/>
      <c r="Y87" s="324"/>
      <c r="Z87" s="324"/>
    </row>
    <row r="88">
      <c r="A88" s="324"/>
      <c r="B88" s="324"/>
      <c r="C88" s="324"/>
      <c r="D88" s="324"/>
      <c r="E88" s="324"/>
      <c r="F88" s="324"/>
      <c r="G88" s="324"/>
      <c r="H88" s="324"/>
      <c r="I88" s="324"/>
      <c r="J88" s="324"/>
      <c r="K88" s="324"/>
      <c r="L88" s="324"/>
      <c r="M88" s="324"/>
      <c r="N88" s="324"/>
      <c r="O88" s="324"/>
      <c r="P88" s="324"/>
      <c r="Q88" s="324"/>
      <c r="R88" s="324"/>
      <c r="S88" s="324"/>
      <c r="T88" s="324"/>
      <c r="U88" s="324"/>
      <c r="V88" s="324"/>
      <c r="W88" s="324"/>
      <c r="X88" s="324"/>
      <c r="Y88" s="324"/>
      <c r="Z88" s="324"/>
    </row>
    <row r="89">
      <c r="A89" s="324"/>
      <c r="B89" s="324"/>
      <c r="C89" s="324"/>
      <c r="D89" s="324"/>
      <c r="E89" s="324"/>
      <c r="F89" s="324"/>
      <c r="G89" s="324"/>
      <c r="H89" s="324"/>
      <c r="I89" s="324"/>
      <c r="J89" s="324"/>
      <c r="K89" s="324"/>
      <c r="L89" s="324"/>
      <c r="M89" s="324"/>
      <c r="N89" s="324"/>
      <c r="O89" s="324"/>
      <c r="P89" s="324"/>
      <c r="Q89" s="324"/>
      <c r="R89" s="324"/>
      <c r="S89" s="324"/>
      <c r="T89" s="324"/>
      <c r="U89" s="324"/>
      <c r="V89" s="324"/>
      <c r="W89" s="324"/>
      <c r="X89" s="324"/>
      <c r="Y89" s="324"/>
      <c r="Z89" s="324"/>
    </row>
    <row r="90">
      <c r="A90" s="324"/>
      <c r="B90" s="324"/>
      <c r="C90" s="324"/>
      <c r="D90" s="324"/>
      <c r="E90" s="324"/>
      <c r="F90" s="324"/>
      <c r="G90" s="324"/>
      <c r="H90" s="324"/>
      <c r="I90" s="324"/>
      <c r="J90" s="324"/>
      <c r="K90" s="324"/>
      <c r="L90" s="324"/>
      <c r="M90" s="324"/>
      <c r="N90" s="324"/>
      <c r="O90" s="324"/>
      <c r="P90" s="324"/>
      <c r="Q90" s="324"/>
      <c r="R90" s="324"/>
      <c r="S90" s="324"/>
      <c r="T90" s="324"/>
      <c r="U90" s="324"/>
      <c r="V90" s="324"/>
      <c r="W90" s="324"/>
      <c r="X90" s="324"/>
      <c r="Y90" s="324"/>
      <c r="Z90" s="324"/>
    </row>
    <row r="91">
      <c r="A91" s="324"/>
      <c r="B91" s="324"/>
      <c r="C91" s="324"/>
      <c r="D91" s="324"/>
      <c r="E91" s="324"/>
      <c r="F91" s="324"/>
      <c r="G91" s="324"/>
      <c r="H91" s="324"/>
      <c r="I91" s="324"/>
      <c r="J91" s="324"/>
      <c r="K91" s="324"/>
      <c r="L91" s="324"/>
      <c r="M91" s="324"/>
      <c r="N91" s="324"/>
      <c r="O91" s="324"/>
      <c r="P91" s="324"/>
      <c r="Q91" s="324"/>
      <c r="R91" s="324"/>
      <c r="S91" s="324"/>
      <c r="T91" s="324"/>
      <c r="U91" s="324"/>
      <c r="V91" s="324"/>
      <c r="W91" s="324"/>
      <c r="X91" s="324"/>
      <c r="Y91" s="324"/>
      <c r="Z91" s="324"/>
    </row>
    <row r="92">
      <c r="A92" s="324"/>
      <c r="B92" s="324"/>
      <c r="C92" s="324"/>
      <c r="D92" s="324"/>
      <c r="E92" s="324"/>
      <c r="F92" s="324"/>
      <c r="G92" s="324"/>
      <c r="H92" s="324"/>
      <c r="I92" s="324"/>
      <c r="J92" s="324"/>
      <c r="K92" s="324"/>
      <c r="L92" s="324"/>
      <c r="M92" s="324"/>
      <c r="N92" s="324"/>
      <c r="O92" s="324"/>
      <c r="P92" s="324"/>
      <c r="Q92" s="324"/>
      <c r="R92" s="324"/>
      <c r="S92" s="324"/>
      <c r="T92" s="324"/>
      <c r="U92" s="324"/>
      <c r="V92" s="324"/>
      <c r="W92" s="324"/>
      <c r="X92" s="324"/>
      <c r="Y92" s="324"/>
      <c r="Z92" s="324"/>
    </row>
    <row r="93">
      <c r="A93" s="324"/>
      <c r="B93" s="324"/>
      <c r="C93" s="324"/>
      <c r="D93" s="324"/>
      <c r="E93" s="324"/>
      <c r="F93" s="324"/>
      <c r="G93" s="324"/>
      <c r="H93" s="324"/>
      <c r="I93" s="324"/>
      <c r="J93" s="324"/>
      <c r="K93" s="324"/>
      <c r="L93" s="324"/>
      <c r="M93" s="324"/>
      <c r="N93" s="324"/>
      <c r="O93" s="324"/>
      <c r="P93" s="324"/>
      <c r="Q93" s="324"/>
      <c r="R93" s="324"/>
      <c r="S93" s="324"/>
      <c r="T93" s="324"/>
      <c r="U93" s="324"/>
      <c r="V93" s="324"/>
      <c r="W93" s="324"/>
      <c r="X93" s="324"/>
      <c r="Y93" s="324"/>
      <c r="Z93" s="324"/>
    </row>
    <row r="94">
      <c r="A94" s="324"/>
      <c r="B94" s="324"/>
      <c r="C94" s="324"/>
      <c r="D94" s="324"/>
      <c r="E94" s="324"/>
      <c r="F94" s="324"/>
      <c r="G94" s="324"/>
      <c r="H94" s="324"/>
      <c r="I94" s="324"/>
      <c r="J94" s="324"/>
      <c r="K94" s="324"/>
      <c r="L94" s="324"/>
      <c r="M94" s="324"/>
      <c r="N94" s="324"/>
      <c r="O94" s="324"/>
      <c r="P94" s="324"/>
      <c r="Q94" s="324"/>
      <c r="R94" s="324"/>
      <c r="S94" s="324"/>
      <c r="T94" s="324"/>
      <c r="U94" s="324"/>
      <c r="V94" s="324"/>
      <c r="W94" s="324"/>
      <c r="X94" s="324"/>
      <c r="Y94" s="324"/>
      <c r="Z94" s="324"/>
    </row>
    <row r="95">
      <c r="A95" s="324"/>
      <c r="B95" s="324"/>
      <c r="C95" s="324"/>
      <c r="D95" s="324"/>
      <c r="E95" s="324"/>
      <c r="F95" s="324"/>
      <c r="G95" s="324"/>
      <c r="H95" s="324"/>
      <c r="I95" s="324"/>
      <c r="J95" s="324"/>
      <c r="K95" s="324"/>
      <c r="L95" s="324"/>
      <c r="M95" s="324"/>
      <c r="N95" s="324"/>
      <c r="O95" s="324"/>
      <c r="P95" s="324"/>
      <c r="Q95" s="324"/>
      <c r="R95" s="324"/>
      <c r="S95" s="324"/>
      <c r="T95" s="324"/>
      <c r="U95" s="324"/>
      <c r="V95" s="324"/>
      <c r="W95" s="324"/>
      <c r="X95" s="324"/>
      <c r="Y95" s="324"/>
      <c r="Z95" s="324"/>
    </row>
    <row r="96">
      <c r="A96" s="324"/>
      <c r="B96" s="324"/>
      <c r="C96" s="324"/>
      <c r="D96" s="324"/>
      <c r="E96" s="324"/>
      <c r="F96" s="324"/>
      <c r="G96" s="324"/>
      <c r="H96" s="324"/>
      <c r="I96" s="324"/>
      <c r="J96" s="324"/>
      <c r="K96" s="324"/>
      <c r="L96" s="324"/>
      <c r="M96" s="324"/>
      <c r="N96" s="324"/>
      <c r="O96" s="324"/>
      <c r="P96" s="324"/>
      <c r="Q96" s="324"/>
      <c r="R96" s="324"/>
      <c r="S96" s="324"/>
      <c r="T96" s="324"/>
      <c r="U96" s="324"/>
      <c r="V96" s="324"/>
      <c r="W96" s="324"/>
      <c r="X96" s="324"/>
      <c r="Y96" s="324"/>
      <c r="Z96" s="324"/>
    </row>
    <row r="97">
      <c r="A97" s="324"/>
      <c r="B97" s="324"/>
      <c r="C97" s="324"/>
      <c r="D97" s="324"/>
      <c r="E97" s="324"/>
      <c r="F97" s="324"/>
      <c r="G97" s="324"/>
      <c r="H97" s="324"/>
      <c r="I97" s="324"/>
      <c r="J97" s="324"/>
      <c r="K97" s="324"/>
      <c r="L97" s="324"/>
      <c r="M97" s="324"/>
      <c r="N97" s="324"/>
      <c r="O97" s="324"/>
      <c r="P97" s="324"/>
      <c r="Q97" s="324"/>
      <c r="R97" s="324"/>
      <c r="S97" s="324"/>
      <c r="T97" s="324"/>
      <c r="U97" s="324"/>
      <c r="V97" s="324"/>
      <c r="W97" s="324"/>
      <c r="X97" s="324"/>
      <c r="Y97" s="324"/>
      <c r="Z97" s="324"/>
    </row>
    <row r="98">
      <c r="A98" s="324"/>
      <c r="B98" s="324"/>
      <c r="C98" s="324"/>
      <c r="D98" s="324"/>
      <c r="E98" s="324"/>
      <c r="F98" s="324"/>
      <c r="G98" s="324"/>
      <c r="H98" s="324"/>
      <c r="I98" s="324"/>
      <c r="J98" s="324"/>
      <c r="K98" s="324"/>
      <c r="L98" s="324"/>
      <c r="M98" s="324"/>
      <c r="N98" s="324"/>
      <c r="O98" s="324"/>
      <c r="P98" s="324"/>
      <c r="Q98" s="324"/>
      <c r="R98" s="324"/>
      <c r="S98" s="324"/>
      <c r="T98" s="324"/>
      <c r="U98" s="324"/>
      <c r="V98" s="324"/>
      <c r="W98" s="324"/>
      <c r="X98" s="324"/>
      <c r="Y98" s="324"/>
      <c r="Z98" s="324"/>
    </row>
    <row r="99">
      <c r="A99" s="324"/>
      <c r="B99" s="324"/>
      <c r="C99" s="324"/>
      <c r="D99" s="324"/>
      <c r="E99" s="324"/>
      <c r="F99" s="324"/>
      <c r="G99" s="324"/>
      <c r="H99" s="324"/>
      <c r="I99" s="324"/>
      <c r="J99" s="324"/>
      <c r="K99" s="324"/>
      <c r="L99" s="324"/>
      <c r="M99" s="324"/>
      <c r="N99" s="324"/>
      <c r="O99" s="324"/>
      <c r="P99" s="324"/>
      <c r="Q99" s="324"/>
      <c r="R99" s="324"/>
      <c r="S99" s="324"/>
      <c r="T99" s="324"/>
      <c r="U99" s="324"/>
      <c r="V99" s="324"/>
      <c r="W99" s="324"/>
      <c r="X99" s="324"/>
      <c r="Y99" s="324"/>
      <c r="Z99" s="324"/>
    </row>
    <row r="100">
      <c r="A100" s="324"/>
      <c r="B100" s="324"/>
      <c r="C100" s="324"/>
      <c r="D100" s="324"/>
      <c r="E100" s="324"/>
      <c r="F100" s="324"/>
      <c r="G100" s="324"/>
      <c r="H100" s="324"/>
      <c r="I100" s="324"/>
      <c r="J100" s="324"/>
      <c r="K100" s="324"/>
      <c r="L100" s="324"/>
      <c r="M100" s="324"/>
      <c r="N100" s="324"/>
      <c r="O100" s="324"/>
      <c r="P100" s="324"/>
      <c r="Q100" s="324"/>
      <c r="R100" s="324"/>
      <c r="S100" s="324"/>
      <c r="T100" s="324"/>
      <c r="U100" s="324"/>
      <c r="V100" s="324"/>
      <c r="W100" s="324"/>
      <c r="X100" s="324"/>
      <c r="Y100" s="324"/>
      <c r="Z100" s="324"/>
    </row>
    <row r="101">
      <c r="A101" s="324"/>
      <c r="B101" s="324"/>
      <c r="C101" s="324"/>
      <c r="D101" s="324"/>
      <c r="E101" s="324"/>
      <c r="F101" s="324"/>
      <c r="G101" s="324"/>
      <c r="H101" s="324"/>
      <c r="I101" s="324"/>
      <c r="J101" s="324"/>
      <c r="K101" s="324"/>
      <c r="L101" s="324"/>
      <c r="M101" s="324"/>
      <c r="N101" s="324"/>
      <c r="O101" s="324"/>
      <c r="P101" s="324"/>
      <c r="Q101" s="324"/>
      <c r="R101" s="324"/>
      <c r="S101" s="324"/>
      <c r="T101" s="324"/>
      <c r="U101" s="324"/>
      <c r="V101" s="324"/>
      <c r="W101" s="324"/>
      <c r="X101" s="324"/>
      <c r="Y101" s="324"/>
      <c r="Z101" s="324"/>
    </row>
    <row r="102">
      <c r="A102" s="324"/>
      <c r="B102" s="324"/>
      <c r="C102" s="324"/>
      <c r="D102" s="324"/>
      <c r="E102" s="324"/>
      <c r="F102" s="324"/>
      <c r="G102" s="324"/>
      <c r="H102" s="324"/>
      <c r="I102" s="324"/>
      <c r="J102" s="324"/>
      <c r="K102" s="324"/>
      <c r="L102" s="324"/>
      <c r="M102" s="324"/>
      <c r="N102" s="324"/>
      <c r="O102" s="324"/>
      <c r="P102" s="324"/>
      <c r="Q102" s="324"/>
      <c r="R102" s="324"/>
      <c r="S102" s="324"/>
      <c r="T102" s="324"/>
      <c r="U102" s="324"/>
      <c r="V102" s="324"/>
      <c r="W102" s="324"/>
      <c r="X102" s="324"/>
      <c r="Y102" s="324"/>
      <c r="Z102" s="324"/>
    </row>
    <row r="103">
      <c r="A103" s="324"/>
      <c r="B103" s="324"/>
      <c r="C103" s="324"/>
      <c r="D103" s="324"/>
      <c r="E103" s="324"/>
      <c r="F103" s="324"/>
      <c r="G103" s="324"/>
      <c r="H103" s="324"/>
      <c r="I103" s="324"/>
      <c r="J103" s="324"/>
      <c r="K103" s="324"/>
      <c r="L103" s="324"/>
      <c r="M103" s="324"/>
      <c r="N103" s="324"/>
      <c r="O103" s="324"/>
      <c r="P103" s="324"/>
      <c r="Q103" s="324"/>
      <c r="R103" s="324"/>
      <c r="S103" s="324"/>
      <c r="T103" s="324"/>
      <c r="U103" s="324"/>
      <c r="V103" s="324"/>
      <c r="W103" s="324"/>
      <c r="X103" s="324"/>
      <c r="Y103" s="324"/>
      <c r="Z103" s="324"/>
    </row>
    <row r="104">
      <c r="A104" s="324"/>
      <c r="B104" s="324"/>
      <c r="C104" s="324"/>
      <c r="D104" s="324"/>
      <c r="E104" s="324"/>
      <c r="F104" s="324"/>
      <c r="G104" s="324"/>
      <c r="H104" s="324"/>
      <c r="I104" s="324"/>
      <c r="J104" s="324"/>
      <c r="K104" s="324"/>
      <c r="L104" s="324"/>
      <c r="M104" s="324"/>
      <c r="N104" s="324"/>
      <c r="O104" s="324"/>
      <c r="P104" s="324"/>
      <c r="Q104" s="324"/>
      <c r="R104" s="324"/>
      <c r="S104" s="324"/>
      <c r="T104" s="324"/>
      <c r="U104" s="324"/>
      <c r="V104" s="324"/>
      <c r="W104" s="324"/>
      <c r="X104" s="324"/>
      <c r="Y104" s="324"/>
      <c r="Z104" s="324"/>
    </row>
    <row r="105">
      <c r="A105" s="324"/>
      <c r="B105" s="324"/>
      <c r="C105" s="324"/>
      <c r="D105" s="324"/>
      <c r="E105" s="324"/>
      <c r="F105" s="324"/>
      <c r="G105" s="324"/>
      <c r="H105" s="324"/>
      <c r="I105" s="324"/>
      <c r="J105" s="324"/>
      <c r="K105" s="324"/>
      <c r="L105" s="324"/>
      <c r="M105" s="324"/>
      <c r="N105" s="324"/>
      <c r="O105" s="324"/>
      <c r="P105" s="324"/>
      <c r="Q105" s="324"/>
      <c r="R105" s="324"/>
      <c r="S105" s="324"/>
      <c r="T105" s="324"/>
      <c r="U105" s="324"/>
      <c r="V105" s="324"/>
      <c r="W105" s="324"/>
      <c r="X105" s="324"/>
      <c r="Y105" s="324"/>
      <c r="Z105" s="324"/>
    </row>
    <row r="106">
      <c r="A106" s="324"/>
      <c r="B106" s="324"/>
      <c r="C106" s="324"/>
      <c r="D106" s="324"/>
      <c r="E106" s="324"/>
      <c r="F106" s="324"/>
      <c r="G106" s="324"/>
      <c r="H106" s="324"/>
      <c r="I106" s="324"/>
      <c r="J106" s="324"/>
      <c r="K106" s="324"/>
      <c r="L106" s="324"/>
      <c r="M106" s="324"/>
      <c r="N106" s="324"/>
      <c r="O106" s="324"/>
      <c r="P106" s="324"/>
      <c r="Q106" s="324"/>
      <c r="R106" s="324"/>
      <c r="S106" s="324"/>
      <c r="T106" s="324"/>
      <c r="U106" s="324"/>
      <c r="V106" s="324"/>
      <c r="W106" s="324"/>
      <c r="X106" s="324"/>
      <c r="Y106" s="324"/>
      <c r="Z106" s="324"/>
    </row>
    <row r="107">
      <c r="A107" s="324"/>
      <c r="B107" s="324"/>
      <c r="C107" s="324"/>
      <c r="D107" s="324"/>
      <c r="E107" s="324"/>
      <c r="F107" s="324"/>
      <c r="G107" s="324"/>
      <c r="H107" s="324"/>
      <c r="I107" s="324"/>
      <c r="J107" s="324"/>
      <c r="K107" s="324"/>
      <c r="L107" s="324"/>
      <c r="M107" s="324"/>
      <c r="N107" s="324"/>
      <c r="O107" s="324"/>
      <c r="P107" s="324"/>
      <c r="Q107" s="324"/>
      <c r="R107" s="324"/>
      <c r="S107" s="324"/>
      <c r="T107" s="324"/>
      <c r="U107" s="324"/>
      <c r="V107" s="324"/>
      <c r="W107" s="324"/>
      <c r="X107" s="324"/>
      <c r="Y107" s="324"/>
      <c r="Z107" s="324"/>
    </row>
    <row r="108">
      <c r="A108" s="324"/>
      <c r="B108" s="324"/>
      <c r="C108" s="324"/>
      <c r="D108" s="324"/>
      <c r="E108" s="324"/>
      <c r="F108" s="324"/>
      <c r="G108" s="324"/>
      <c r="H108" s="324"/>
      <c r="I108" s="324"/>
      <c r="J108" s="324"/>
      <c r="K108" s="324"/>
      <c r="L108" s="324"/>
      <c r="M108" s="324"/>
      <c r="N108" s="324"/>
      <c r="O108" s="324"/>
      <c r="P108" s="324"/>
      <c r="Q108" s="324"/>
      <c r="R108" s="324"/>
      <c r="S108" s="324"/>
      <c r="T108" s="324"/>
      <c r="U108" s="324"/>
      <c r="V108" s="324"/>
      <c r="W108" s="324"/>
      <c r="X108" s="324"/>
      <c r="Y108" s="324"/>
      <c r="Z108" s="324"/>
    </row>
    <row r="109">
      <c r="A109" s="324"/>
      <c r="B109" s="324"/>
      <c r="C109" s="324"/>
      <c r="D109" s="324"/>
      <c r="E109" s="324"/>
      <c r="F109" s="324"/>
      <c r="G109" s="324"/>
      <c r="H109" s="324"/>
      <c r="I109" s="324"/>
      <c r="J109" s="324"/>
      <c r="K109" s="324"/>
      <c r="L109" s="324"/>
      <c r="M109" s="324"/>
      <c r="N109" s="324"/>
      <c r="O109" s="324"/>
      <c r="P109" s="324"/>
      <c r="Q109" s="324"/>
      <c r="R109" s="324"/>
      <c r="S109" s="324"/>
      <c r="T109" s="324"/>
      <c r="U109" s="324"/>
      <c r="V109" s="324"/>
      <c r="W109" s="324"/>
      <c r="X109" s="324"/>
      <c r="Y109" s="324"/>
      <c r="Z109" s="324"/>
    </row>
    <row r="110">
      <c r="A110" s="324"/>
      <c r="B110" s="324"/>
      <c r="C110" s="324"/>
      <c r="D110" s="324"/>
      <c r="E110" s="324"/>
      <c r="F110" s="324"/>
      <c r="G110" s="324"/>
      <c r="H110" s="324"/>
      <c r="I110" s="324"/>
      <c r="J110" s="324"/>
      <c r="K110" s="324"/>
      <c r="L110" s="324"/>
      <c r="M110" s="324"/>
      <c r="N110" s="324"/>
      <c r="O110" s="324"/>
      <c r="P110" s="324"/>
      <c r="Q110" s="324"/>
      <c r="R110" s="324"/>
      <c r="S110" s="324"/>
      <c r="T110" s="324"/>
      <c r="U110" s="324"/>
      <c r="V110" s="324"/>
      <c r="W110" s="324"/>
      <c r="X110" s="324"/>
      <c r="Y110" s="324"/>
      <c r="Z110" s="324"/>
    </row>
    <row r="111">
      <c r="A111" s="324"/>
      <c r="B111" s="324"/>
      <c r="C111" s="324"/>
      <c r="D111" s="324"/>
      <c r="E111" s="324"/>
      <c r="F111" s="324"/>
      <c r="G111" s="324"/>
      <c r="H111" s="324"/>
      <c r="I111" s="324"/>
      <c r="J111" s="324"/>
      <c r="K111" s="324"/>
      <c r="L111" s="324"/>
      <c r="M111" s="324"/>
      <c r="N111" s="324"/>
      <c r="O111" s="324"/>
      <c r="P111" s="324"/>
      <c r="Q111" s="324"/>
      <c r="R111" s="324"/>
      <c r="S111" s="324"/>
      <c r="T111" s="324"/>
      <c r="U111" s="324"/>
      <c r="V111" s="324"/>
      <c r="W111" s="324"/>
      <c r="X111" s="324"/>
      <c r="Y111" s="324"/>
      <c r="Z111" s="324"/>
    </row>
    <row r="112">
      <c r="A112" s="324"/>
      <c r="B112" s="324"/>
      <c r="C112" s="324"/>
      <c r="D112" s="324"/>
      <c r="E112" s="324"/>
      <c r="F112" s="324"/>
      <c r="G112" s="324"/>
      <c r="H112" s="324"/>
      <c r="I112" s="324"/>
      <c r="J112" s="324"/>
      <c r="K112" s="324"/>
      <c r="L112" s="324"/>
      <c r="M112" s="324"/>
      <c r="N112" s="324"/>
      <c r="O112" s="324"/>
      <c r="P112" s="324"/>
      <c r="Q112" s="324"/>
      <c r="R112" s="324"/>
      <c r="S112" s="324"/>
      <c r="T112" s="324"/>
      <c r="U112" s="324"/>
      <c r="V112" s="324"/>
      <c r="W112" s="324"/>
      <c r="X112" s="324"/>
      <c r="Y112" s="324"/>
      <c r="Z112" s="324"/>
    </row>
    <row r="113">
      <c r="A113" s="324"/>
      <c r="B113" s="324"/>
      <c r="C113" s="324"/>
      <c r="D113" s="324"/>
      <c r="E113" s="324"/>
      <c r="F113" s="324"/>
      <c r="G113" s="324"/>
      <c r="H113" s="324"/>
      <c r="I113" s="324"/>
      <c r="J113" s="324"/>
      <c r="K113" s="324"/>
      <c r="L113" s="324"/>
      <c r="M113" s="324"/>
      <c r="N113" s="324"/>
      <c r="O113" s="324"/>
      <c r="P113" s="324"/>
      <c r="Q113" s="324"/>
      <c r="R113" s="324"/>
      <c r="S113" s="324"/>
      <c r="T113" s="324"/>
      <c r="U113" s="324"/>
      <c r="V113" s="324"/>
      <c r="W113" s="324"/>
      <c r="X113" s="324"/>
      <c r="Y113" s="324"/>
      <c r="Z113" s="324"/>
    </row>
    <row r="114">
      <c r="A114" s="324"/>
      <c r="B114" s="324"/>
      <c r="C114" s="324"/>
      <c r="D114" s="324"/>
      <c r="E114" s="324"/>
      <c r="F114" s="324"/>
      <c r="G114" s="324"/>
      <c r="H114" s="324"/>
      <c r="I114" s="324"/>
      <c r="J114" s="324"/>
      <c r="K114" s="324"/>
      <c r="L114" s="324"/>
      <c r="M114" s="324"/>
      <c r="N114" s="324"/>
      <c r="O114" s="324"/>
      <c r="P114" s="324"/>
      <c r="Q114" s="324"/>
      <c r="R114" s="324"/>
      <c r="S114" s="324"/>
      <c r="T114" s="324"/>
      <c r="U114" s="324"/>
      <c r="V114" s="324"/>
      <c r="W114" s="324"/>
      <c r="X114" s="324"/>
      <c r="Y114" s="324"/>
      <c r="Z114" s="324"/>
    </row>
    <row r="115">
      <c r="A115" s="324"/>
      <c r="B115" s="324"/>
      <c r="C115" s="324"/>
      <c r="D115" s="324"/>
      <c r="E115" s="324"/>
      <c r="F115" s="324"/>
      <c r="G115" s="324"/>
      <c r="H115" s="324"/>
      <c r="I115" s="324"/>
      <c r="J115" s="324"/>
      <c r="K115" s="324"/>
      <c r="L115" s="324"/>
      <c r="M115" s="324"/>
      <c r="N115" s="324"/>
      <c r="O115" s="324"/>
      <c r="P115" s="324"/>
      <c r="Q115" s="324"/>
      <c r="R115" s="324"/>
      <c r="S115" s="324"/>
      <c r="T115" s="324"/>
      <c r="U115" s="324"/>
      <c r="V115" s="324"/>
      <c r="W115" s="324"/>
      <c r="X115" s="324"/>
      <c r="Y115" s="324"/>
      <c r="Z115" s="324"/>
    </row>
    <row r="116">
      <c r="A116" s="324"/>
      <c r="B116" s="324"/>
      <c r="C116" s="324"/>
      <c r="D116" s="324"/>
      <c r="E116" s="324"/>
      <c r="F116" s="324"/>
      <c r="G116" s="324"/>
      <c r="H116" s="324"/>
      <c r="I116" s="324"/>
      <c r="J116" s="324"/>
      <c r="K116" s="324"/>
      <c r="L116" s="324"/>
      <c r="M116" s="324"/>
      <c r="N116" s="324"/>
      <c r="O116" s="324"/>
      <c r="P116" s="324"/>
      <c r="Q116" s="324"/>
      <c r="R116" s="324"/>
      <c r="S116" s="324"/>
      <c r="T116" s="324"/>
      <c r="U116" s="324"/>
      <c r="V116" s="324"/>
      <c r="W116" s="324"/>
      <c r="X116" s="324"/>
      <c r="Y116" s="324"/>
      <c r="Z116" s="324"/>
    </row>
    <row r="117">
      <c r="A117" s="324"/>
      <c r="B117" s="324"/>
      <c r="C117" s="324"/>
      <c r="D117" s="324"/>
      <c r="E117" s="324"/>
      <c r="F117" s="324"/>
      <c r="G117" s="324"/>
      <c r="H117" s="324"/>
      <c r="I117" s="324"/>
      <c r="J117" s="324"/>
      <c r="K117" s="324"/>
      <c r="L117" s="324"/>
      <c r="M117" s="324"/>
      <c r="N117" s="324"/>
      <c r="O117" s="324"/>
      <c r="P117" s="324"/>
      <c r="Q117" s="324"/>
      <c r="R117" s="324"/>
      <c r="S117" s="324"/>
      <c r="T117" s="324"/>
      <c r="U117" s="324"/>
      <c r="V117" s="324"/>
      <c r="W117" s="324"/>
      <c r="X117" s="324"/>
      <c r="Y117" s="324"/>
      <c r="Z117" s="324"/>
    </row>
    <row r="118">
      <c r="A118" s="324"/>
      <c r="B118" s="324"/>
      <c r="C118" s="324"/>
      <c r="D118" s="324"/>
      <c r="E118" s="324"/>
      <c r="F118" s="324"/>
      <c r="G118" s="324"/>
      <c r="H118" s="324"/>
      <c r="I118" s="324"/>
      <c r="J118" s="324"/>
      <c r="K118" s="324"/>
      <c r="L118" s="324"/>
      <c r="M118" s="324"/>
      <c r="N118" s="324"/>
      <c r="O118" s="324"/>
      <c r="P118" s="324"/>
      <c r="Q118" s="324"/>
      <c r="R118" s="324"/>
      <c r="S118" s="324"/>
      <c r="T118" s="324"/>
      <c r="U118" s="324"/>
      <c r="V118" s="324"/>
      <c r="W118" s="324"/>
      <c r="X118" s="324"/>
      <c r="Y118" s="324"/>
      <c r="Z118" s="324"/>
    </row>
    <row r="119">
      <c r="A119" s="324"/>
      <c r="B119" s="324"/>
      <c r="C119" s="324"/>
      <c r="D119" s="324"/>
      <c r="E119" s="324"/>
      <c r="F119" s="324"/>
      <c r="G119" s="324"/>
      <c r="H119" s="324"/>
      <c r="I119" s="324"/>
      <c r="J119" s="324"/>
      <c r="K119" s="324"/>
      <c r="L119" s="324"/>
      <c r="M119" s="324"/>
      <c r="N119" s="324"/>
      <c r="O119" s="324"/>
      <c r="P119" s="324"/>
      <c r="Q119" s="324"/>
      <c r="R119" s="324"/>
      <c r="S119" s="324"/>
      <c r="T119" s="324"/>
      <c r="U119" s="324"/>
      <c r="V119" s="324"/>
      <c r="W119" s="324"/>
      <c r="X119" s="324"/>
      <c r="Y119" s="324"/>
      <c r="Z119" s="324"/>
    </row>
    <row r="120">
      <c r="A120" s="324"/>
      <c r="B120" s="324"/>
      <c r="C120" s="324"/>
      <c r="D120" s="324"/>
      <c r="E120" s="324"/>
      <c r="F120" s="324"/>
      <c r="G120" s="324"/>
      <c r="H120" s="324"/>
      <c r="I120" s="324"/>
      <c r="J120" s="324"/>
      <c r="K120" s="324"/>
      <c r="L120" s="324"/>
      <c r="M120" s="324"/>
      <c r="N120" s="324"/>
      <c r="O120" s="324"/>
      <c r="P120" s="324"/>
      <c r="Q120" s="324"/>
      <c r="R120" s="324"/>
      <c r="S120" s="324"/>
      <c r="T120" s="324"/>
      <c r="U120" s="324"/>
      <c r="V120" s="324"/>
      <c r="W120" s="324"/>
      <c r="X120" s="324"/>
      <c r="Y120" s="324"/>
      <c r="Z120" s="324"/>
    </row>
    <row r="121">
      <c r="A121" s="324"/>
      <c r="B121" s="324"/>
      <c r="C121" s="324"/>
      <c r="D121" s="324"/>
      <c r="E121" s="324"/>
      <c r="F121" s="324"/>
      <c r="G121" s="324"/>
      <c r="H121" s="324"/>
      <c r="I121" s="324"/>
      <c r="J121" s="324"/>
      <c r="K121" s="324"/>
      <c r="L121" s="324"/>
      <c r="M121" s="324"/>
      <c r="N121" s="324"/>
      <c r="O121" s="324"/>
      <c r="P121" s="324"/>
      <c r="Q121" s="324"/>
      <c r="R121" s="324"/>
      <c r="S121" s="324"/>
      <c r="T121" s="324"/>
      <c r="U121" s="324"/>
      <c r="V121" s="324"/>
      <c r="W121" s="324"/>
      <c r="X121" s="324"/>
      <c r="Y121" s="324"/>
      <c r="Z121" s="324"/>
    </row>
    <row r="122">
      <c r="A122" s="324"/>
      <c r="B122" s="324"/>
      <c r="C122" s="324"/>
      <c r="D122" s="324"/>
      <c r="E122" s="324"/>
      <c r="F122" s="324"/>
      <c r="G122" s="324"/>
      <c r="H122" s="324"/>
      <c r="I122" s="324"/>
      <c r="J122" s="324"/>
      <c r="K122" s="324"/>
      <c r="L122" s="324"/>
      <c r="M122" s="324"/>
      <c r="N122" s="324"/>
      <c r="O122" s="324"/>
      <c r="P122" s="324"/>
      <c r="Q122" s="324"/>
      <c r="R122" s="324"/>
      <c r="S122" s="324"/>
      <c r="T122" s="324"/>
      <c r="U122" s="324"/>
      <c r="V122" s="324"/>
      <c r="W122" s="324"/>
      <c r="X122" s="324"/>
      <c r="Y122" s="324"/>
      <c r="Z122" s="324"/>
    </row>
    <row r="123">
      <c r="A123" s="324"/>
      <c r="B123" s="324"/>
      <c r="C123" s="324"/>
      <c r="D123" s="324"/>
      <c r="E123" s="324"/>
      <c r="F123" s="324"/>
      <c r="G123" s="324"/>
      <c r="H123" s="324"/>
      <c r="I123" s="324"/>
      <c r="J123" s="324"/>
      <c r="K123" s="324"/>
      <c r="L123" s="324"/>
      <c r="M123" s="324"/>
      <c r="N123" s="324"/>
      <c r="O123" s="324"/>
      <c r="P123" s="324"/>
      <c r="Q123" s="324"/>
      <c r="R123" s="324"/>
      <c r="S123" s="324"/>
      <c r="T123" s="324"/>
      <c r="U123" s="324"/>
      <c r="V123" s="324"/>
      <c r="W123" s="324"/>
      <c r="X123" s="324"/>
      <c r="Y123" s="324"/>
      <c r="Z123" s="324"/>
    </row>
    <row r="124">
      <c r="A124" s="324"/>
      <c r="B124" s="324"/>
      <c r="C124" s="324"/>
      <c r="D124" s="324"/>
      <c r="E124" s="324"/>
      <c r="F124" s="324"/>
      <c r="G124" s="324"/>
      <c r="H124" s="324"/>
      <c r="I124" s="324"/>
      <c r="J124" s="324"/>
      <c r="K124" s="324"/>
      <c r="L124" s="324"/>
      <c r="M124" s="324"/>
      <c r="N124" s="324"/>
      <c r="O124" s="324"/>
      <c r="P124" s="324"/>
      <c r="Q124" s="324"/>
      <c r="R124" s="324"/>
      <c r="S124" s="324"/>
      <c r="T124" s="324"/>
      <c r="U124" s="324"/>
      <c r="V124" s="324"/>
      <c r="W124" s="324"/>
      <c r="X124" s="324"/>
      <c r="Y124" s="324"/>
      <c r="Z124" s="324"/>
    </row>
    <row r="125">
      <c r="A125" s="324"/>
      <c r="B125" s="324"/>
      <c r="C125" s="324"/>
      <c r="D125" s="324"/>
      <c r="E125" s="324"/>
      <c r="F125" s="324"/>
      <c r="G125" s="324"/>
      <c r="H125" s="324"/>
      <c r="I125" s="324"/>
      <c r="J125" s="324"/>
      <c r="K125" s="324"/>
      <c r="L125" s="324"/>
      <c r="M125" s="324"/>
      <c r="N125" s="324"/>
      <c r="O125" s="324"/>
      <c r="P125" s="324"/>
      <c r="Q125" s="324"/>
      <c r="R125" s="324"/>
      <c r="S125" s="324"/>
      <c r="T125" s="324"/>
      <c r="U125" s="324"/>
      <c r="V125" s="324"/>
      <c r="W125" s="324"/>
      <c r="X125" s="324"/>
      <c r="Y125" s="324"/>
      <c r="Z125" s="324"/>
    </row>
    <row r="126">
      <c r="A126" s="324"/>
      <c r="B126" s="324"/>
      <c r="C126" s="324"/>
      <c r="D126" s="324"/>
      <c r="E126" s="324"/>
      <c r="F126" s="324"/>
      <c r="G126" s="324"/>
      <c r="H126" s="324"/>
      <c r="I126" s="324"/>
      <c r="J126" s="324"/>
      <c r="K126" s="324"/>
      <c r="L126" s="324"/>
      <c r="M126" s="324"/>
      <c r="N126" s="324"/>
      <c r="O126" s="324"/>
      <c r="P126" s="324"/>
      <c r="Q126" s="324"/>
      <c r="R126" s="324"/>
      <c r="S126" s="324"/>
      <c r="T126" s="324"/>
      <c r="U126" s="324"/>
      <c r="V126" s="324"/>
      <c r="W126" s="324"/>
      <c r="X126" s="324"/>
      <c r="Y126" s="324"/>
      <c r="Z126" s="324"/>
    </row>
    <row r="127">
      <c r="A127" s="324"/>
      <c r="B127" s="324"/>
      <c r="C127" s="324"/>
      <c r="D127" s="324"/>
      <c r="E127" s="324"/>
      <c r="F127" s="324"/>
      <c r="G127" s="324"/>
      <c r="H127" s="324"/>
      <c r="I127" s="324"/>
      <c r="J127" s="324"/>
      <c r="K127" s="324"/>
      <c r="L127" s="324"/>
      <c r="M127" s="324"/>
      <c r="N127" s="324"/>
      <c r="O127" s="324"/>
      <c r="P127" s="324"/>
      <c r="Q127" s="324"/>
      <c r="R127" s="324"/>
      <c r="S127" s="324"/>
      <c r="T127" s="324"/>
      <c r="U127" s="324"/>
      <c r="V127" s="324"/>
      <c r="W127" s="324"/>
      <c r="X127" s="324"/>
      <c r="Y127" s="324"/>
      <c r="Z127" s="324"/>
    </row>
    <row r="128">
      <c r="A128" s="324"/>
      <c r="B128" s="324"/>
      <c r="C128" s="324"/>
      <c r="D128" s="324"/>
      <c r="E128" s="324"/>
      <c r="F128" s="324"/>
      <c r="G128" s="324"/>
      <c r="H128" s="324"/>
      <c r="I128" s="324"/>
      <c r="J128" s="324"/>
      <c r="K128" s="324"/>
      <c r="L128" s="324"/>
      <c r="M128" s="324"/>
      <c r="N128" s="324"/>
      <c r="O128" s="324"/>
      <c r="P128" s="324"/>
      <c r="Q128" s="324"/>
      <c r="R128" s="324"/>
      <c r="S128" s="324"/>
      <c r="T128" s="324"/>
      <c r="U128" s="324"/>
      <c r="V128" s="324"/>
      <c r="W128" s="324"/>
      <c r="X128" s="324"/>
      <c r="Y128" s="324"/>
      <c r="Z128" s="324"/>
    </row>
    <row r="129">
      <c r="A129" s="324"/>
      <c r="B129" s="324"/>
      <c r="C129" s="324"/>
      <c r="D129" s="324"/>
      <c r="E129" s="324"/>
      <c r="F129" s="324"/>
      <c r="G129" s="324"/>
      <c r="H129" s="324"/>
      <c r="I129" s="324"/>
      <c r="J129" s="324"/>
      <c r="K129" s="324"/>
      <c r="L129" s="324"/>
      <c r="M129" s="324"/>
      <c r="N129" s="324"/>
      <c r="O129" s="324"/>
      <c r="P129" s="324"/>
      <c r="Q129" s="324"/>
      <c r="R129" s="324"/>
      <c r="S129" s="324"/>
      <c r="T129" s="324"/>
      <c r="U129" s="324"/>
      <c r="V129" s="324"/>
      <c r="W129" s="324"/>
      <c r="X129" s="324"/>
      <c r="Y129" s="324"/>
      <c r="Z129" s="324"/>
    </row>
    <row r="130">
      <c r="A130" s="324"/>
      <c r="B130" s="324"/>
      <c r="C130" s="324"/>
      <c r="D130" s="324"/>
      <c r="E130" s="324"/>
      <c r="F130" s="324"/>
      <c r="G130" s="324"/>
      <c r="H130" s="324"/>
      <c r="I130" s="324"/>
      <c r="J130" s="324"/>
      <c r="K130" s="324"/>
      <c r="L130" s="324"/>
      <c r="M130" s="324"/>
      <c r="N130" s="324"/>
      <c r="O130" s="324"/>
      <c r="P130" s="324"/>
      <c r="Q130" s="324"/>
      <c r="R130" s="324"/>
      <c r="S130" s="324"/>
      <c r="T130" s="324"/>
      <c r="U130" s="324"/>
      <c r="V130" s="324"/>
      <c r="W130" s="324"/>
      <c r="X130" s="324"/>
      <c r="Y130" s="324"/>
      <c r="Z130" s="324"/>
    </row>
    <row r="131">
      <c r="A131" s="324"/>
      <c r="B131" s="324"/>
      <c r="C131" s="324"/>
      <c r="D131" s="324"/>
      <c r="E131" s="324"/>
      <c r="F131" s="324"/>
      <c r="G131" s="324"/>
      <c r="H131" s="324"/>
      <c r="I131" s="324"/>
      <c r="J131" s="324"/>
      <c r="K131" s="324"/>
      <c r="L131" s="324"/>
      <c r="M131" s="324"/>
      <c r="N131" s="324"/>
      <c r="O131" s="324"/>
      <c r="P131" s="324"/>
      <c r="Q131" s="324"/>
      <c r="R131" s="324"/>
      <c r="S131" s="324"/>
      <c r="T131" s="324"/>
      <c r="U131" s="324"/>
      <c r="V131" s="324"/>
      <c r="W131" s="324"/>
      <c r="X131" s="324"/>
      <c r="Y131" s="324"/>
      <c r="Z131" s="324"/>
    </row>
    <row r="132">
      <c r="A132" s="324"/>
      <c r="B132" s="324"/>
      <c r="C132" s="324"/>
      <c r="D132" s="324"/>
      <c r="E132" s="324"/>
      <c r="F132" s="324"/>
      <c r="G132" s="324"/>
      <c r="H132" s="324"/>
      <c r="I132" s="324"/>
      <c r="J132" s="324"/>
      <c r="K132" s="324"/>
      <c r="L132" s="324"/>
      <c r="M132" s="324"/>
      <c r="N132" s="324"/>
      <c r="O132" s="324"/>
      <c r="P132" s="324"/>
      <c r="Q132" s="324"/>
      <c r="R132" s="324"/>
      <c r="S132" s="324"/>
      <c r="T132" s="324"/>
      <c r="U132" s="324"/>
      <c r="V132" s="324"/>
      <c r="W132" s="324"/>
      <c r="X132" s="324"/>
      <c r="Y132" s="324"/>
      <c r="Z132" s="324"/>
    </row>
    <row r="133">
      <c r="A133" s="324"/>
      <c r="B133" s="324"/>
      <c r="C133" s="324"/>
      <c r="D133" s="324"/>
      <c r="E133" s="324"/>
      <c r="F133" s="324"/>
      <c r="G133" s="324"/>
      <c r="H133" s="324"/>
      <c r="I133" s="324"/>
      <c r="J133" s="324"/>
      <c r="K133" s="324"/>
      <c r="L133" s="324"/>
      <c r="M133" s="324"/>
      <c r="N133" s="324"/>
      <c r="O133" s="324"/>
      <c r="P133" s="324"/>
      <c r="Q133" s="324"/>
      <c r="R133" s="324"/>
      <c r="S133" s="324"/>
      <c r="T133" s="324"/>
      <c r="U133" s="324"/>
      <c r="V133" s="324"/>
      <c r="W133" s="324"/>
      <c r="X133" s="324"/>
      <c r="Y133" s="324"/>
      <c r="Z133" s="324"/>
    </row>
    <row r="134">
      <c r="A134" s="324"/>
      <c r="B134" s="324"/>
      <c r="C134" s="324"/>
      <c r="D134" s="324"/>
      <c r="E134" s="324"/>
      <c r="F134" s="324"/>
      <c r="G134" s="324"/>
      <c r="H134" s="324"/>
      <c r="I134" s="324"/>
      <c r="J134" s="324"/>
      <c r="K134" s="324"/>
      <c r="L134" s="324"/>
      <c r="M134" s="324"/>
      <c r="N134" s="324"/>
      <c r="O134" s="324"/>
      <c r="P134" s="324"/>
      <c r="Q134" s="324"/>
      <c r="R134" s="324"/>
      <c r="S134" s="324"/>
      <c r="T134" s="324"/>
      <c r="U134" s="324"/>
      <c r="V134" s="324"/>
      <c r="W134" s="324"/>
      <c r="X134" s="324"/>
      <c r="Y134" s="324"/>
      <c r="Z134" s="324"/>
    </row>
    <row r="135">
      <c r="A135" s="324"/>
      <c r="B135" s="324"/>
      <c r="C135" s="324"/>
      <c r="D135" s="324"/>
      <c r="E135" s="324"/>
      <c r="F135" s="324"/>
      <c r="G135" s="324"/>
      <c r="H135" s="324"/>
      <c r="I135" s="324"/>
      <c r="J135" s="324"/>
      <c r="K135" s="324"/>
      <c r="L135" s="324"/>
      <c r="M135" s="324"/>
      <c r="N135" s="324"/>
      <c r="O135" s="324"/>
      <c r="P135" s="324"/>
      <c r="Q135" s="324"/>
      <c r="R135" s="324"/>
      <c r="S135" s="324"/>
      <c r="T135" s="324"/>
      <c r="U135" s="324"/>
      <c r="V135" s="324"/>
      <c r="W135" s="324"/>
      <c r="X135" s="324"/>
      <c r="Y135" s="324"/>
      <c r="Z135" s="324"/>
    </row>
    <row r="136">
      <c r="A136" s="324"/>
      <c r="B136" s="324"/>
      <c r="C136" s="324"/>
      <c r="D136" s="324"/>
      <c r="E136" s="324"/>
      <c r="F136" s="324"/>
      <c r="G136" s="324"/>
      <c r="H136" s="324"/>
      <c r="I136" s="324"/>
      <c r="J136" s="324"/>
      <c r="K136" s="324"/>
      <c r="L136" s="324"/>
      <c r="M136" s="324"/>
      <c r="N136" s="324"/>
      <c r="O136" s="324"/>
      <c r="P136" s="324"/>
      <c r="Q136" s="324"/>
      <c r="R136" s="324"/>
      <c r="S136" s="324"/>
      <c r="T136" s="324"/>
      <c r="U136" s="324"/>
      <c r="V136" s="324"/>
      <c r="W136" s="324"/>
      <c r="X136" s="324"/>
      <c r="Y136" s="324"/>
      <c r="Z136" s="324"/>
    </row>
    <row r="137">
      <c r="A137" s="324"/>
      <c r="B137" s="324"/>
      <c r="C137" s="324"/>
      <c r="D137" s="324"/>
      <c r="E137" s="324"/>
      <c r="F137" s="324"/>
      <c r="G137" s="324"/>
      <c r="H137" s="324"/>
      <c r="I137" s="324"/>
      <c r="J137" s="324"/>
      <c r="K137" s="324"/>
      <c r="L137" s="324"/>
      <c r="M137" s="324"/>
      <c r="N137" s="324"/>
      <c r="O137" s="324"/>
      <c r="P137" s="324"/>
      <c r="Q137" s="324"/>
      <c r="R137" s="324"/>
      <c r="S137" s="324"/>
      <c r="T137" s="324"/>
      <c r="U137" s="324"/>
      <c r="V137" s="324"/>
      <c r="W137" s="324"/>
      <c r="X137" s="324"/>
      <c r="Y137" s="324"/>
      <c r="Z137" s="324"/>
    </row>
    <row r="138">
      <c r="A138" s="324"/>
      <c r="B138" s="324"/>
      <c r="C138" s="324"/>
      <c r="D138" s="324"/>
      <c r="E138" s="324"/>
      <c r="F138" s="324"/>
      <c r="G138" s="324"/>
      <c r="H138" s="324"/>
      <c r="I138" s="324"/>
      <c r="J138" s="324"/>
      <c r="K138" s="324"/>
      <c r="L138" s="324"/>
      <c r="M138" s="324"/>
      <c r="N138" s="324"/>
      <c r="O138" s="324"/>
      <c r="P138" s="324"/>
      <c r="Q138" s="324"/>
      <c r="R138" s="324"/>
      <c r="S138" s="324"/>
      <c r="T138" s="324"/>
      <c r="U138" s="324"/>
      <c r="V138" s="324"/>
      <c r="W138" s="324"/>
      <c r="X138" s="324"/>
      <c r="Y138" s="324"/>
      <c r="Z138" s="324"/>
    </row>
    <row r="139">
      <c r="A139" s="324"/>
      <c r="B139" s="324"/>
      <c r="C139" s="324"/>
      <c r="D139" s="324"/>
      <c r="E139" s="324"/>
      <c r="F139" s="324"/>
      <c r="G139" s="324"/>
      <c r="H139" s="324"/>
      <c r="I139" s="324"/>
      <c r="J139" s="324"/>
      <c r="K139" s="324"/>
      <c r="L139" s="324"/>
      <c r="M139" s="324"/>
      <c r="N139" s="324"/>
      <c r="O139" s="324"/>
      <c r="P139" s="324"/>
      <c r="Q139" s="324"/>
      <c r="R139" s="324"/>
      <c r="S139" s="324"/>
      <c r="T139" s="324"/>
      <c r="U139" s="324"/>
      <c r="V139" s="324"/>
      <c r="W139" s="324"/>
      <c r="X139" s="324"/>
      <c r="Y139" s="324"/>
      <c r="Z139" s="324"/>
    </row>
    <row r="140">
      <c r="A140" s="324"/>
      <c r="B140" s="324"/>
      <c r="C140" s="324"/>
      <c r="D140" s="324"/>
      <c r="E140" s="324"/>
      <c r="F140" s="324"/>
      <c r="G140" s="324"/>
      <c r="H140" s="324"/>
      <c r="I140" s="324"/>
      <c r="J140" s="324"/>
      <c r="K140" s="324"/>
      <c r="L140" s="324"/>
      <c r="M140" s="324"/>
      <c r="N140" s="324"/>
      <c r="O140" s="324"/>
      <c r="P140" s="324"/>
      <c r="Q140" s="324"/>
      <c r="R140" s="324"/>
      <c r="S140" s="324"/>
      <c r="T140" s="324"/>
      <c r="U140" s="324"/>
      <c r="V140" s="324"/>
      <c r="W140" s="324"/>
      <c r="X140" s="324"/>
      <c r="Y140" s="324"/>
      <c r="Z140" s="324"/>
    </row>
    <row r="141">
      <c r="A141" s="324"/>
      <c r="B141" s="324"/>
      <c r="C141" s="324"/>
      <c r="D141" s="324"/>
      <c r="E141" s="324"/>
      <c r="F141" s="324"/>
      <c r="G141" s="324"/>
      <c r="H141" s="324"/>
      <c r="I141" s="324"/>
      <c r="J141" s="324"/>
      <c r="K141" s="324"/>
      <c r="L141" s="324"/>
      <c r="M141" s="324"/>
      <c r="N141" s="324"/>
      <c r="O141" s="324"/>
      <c r="P141" s="324"/>
      <c r="Q141" s="324"/>
      <c r="R141" s="324"/>
      <c r="S141" s="324"/>
      <c r="T141" s="324"/>
      <c r="U141" s="324"/>
      <c r="V141" s="324"/>
      <c r="W141" s="324"/>
      <c r="X141" s="324"/>
      <c r="Y141" s="324"/>
      <c r="Z141" s="324"/>
    </row>
    <row r="142">
      <c r="A142" s="324"/>
      <c r="B142" s="324"/>
      <c r="C142" s="324"/>
      <c r="D142" s="324"/>
      <c r="E142" s="324"/>
      <c r="F142" s="324"/>
      <c r="G142" s="324"/>
      <c r="H142" s="324"/>
      <c r="I142" s="324"/>
      <c r="J142" s="324"/>
      <c r="K142" s="324"/>
      <c r="L142" s="324"/>
      <c r="M142" s="324"/>
      <c r="N142" s="324"/>
      <c r="O142" s="324"/>
      <c r="P142" s="324"/>
      <c r="Q142" s="324"/>
      <c r="R142" s="324"/>
      <c r="S142" s="324"/>
      <c r="T142" s="324"/>
      <c r="U142" s="324"/>
      <c r="V142" s="324"/>
      <c r="W142" s="324"/>
      <c r="X142" s="324"/>
      <c r="Y142" s="324"/>
      <c r="Z142" s="324"/>
    </row>
    <row r="143">
      <c r="A143" s="324"/>
      <c r="B143" s="324"/>
      <c r="C143" s="324"/>
      <c r="D143" s="324"/>
      <c r="E143" s="324"/>
      <c r="F143" s="324"/>
      <c r="G143" s="324"/>
      <c r="H143" s="324"/>
      <c r="I143" s="324"/>
      <c r="J143" s="324"/>
      <c r="K143" s="324"/>
      <c r="L143" s="324"/>
      <c r="M143" s="324"/>
      <c r="N143" s="324"/>
      <c r="O143" s="324"/>
      <c r="P143" s="324"/>
      <c r="Q143" s="324"/>
      <c r="R143" s="324"/>
      <c r="S143" s="324"/>
      <c r="T143" s="324"/>
      <c r="U143" s="324"/>
      <c r="V143" s="324"/>
      <c r="W143" s="324"/>
      <c r="X143" s="324"/>
      <c r="Y143" s="324"/>
      <c r="Z143" s="324"/>
    </row>
    <row r="144">
      <c r="A144" s="324"/>
      <c r="B144" s="324"/>
      <c r="C144" s="324"/>
      <c r="D144" s="324"/>
      <c r="E144" s="324"/>
      <c r="F144" s="324"/>
      <c r="G144" s="324"/>
      <c r="H144" s="324"/>
      <c r="I144" s="324"/>
      <c r="J144" s="324"/>
      <c r="K144" s="324"/>
      <c r="L144" s="324"/>
      <c r="M144" s="324"/>
      <c r="N144" s="324"/>
      <c r="O144" s="324"/>
      <c r="P144" s="324"/>
      <c r="Q144" s="324"/>
      <c r="R144" s="324"/>
      <c r="S144" s="324"/>
      <c r="T144" s="324"/>
      <c r="U144" s="324"/>
      <c r="V144" s="324"/>
      <c r="W144" s="324"/>
      <c r="X144" s="324"/>
      <c r="Y144" s="324"/>
      <c r="Z144" s="324"/>
    </row>
    <row r="145">
      <c r="A145" s="324"/>
      <c r="B145" s="324"/>
      <c r="C145" s="324"/>
      <c r="D145" s="324"/>
      <c r="E145" s="324"/>
      <c r="F145" s="324"/>
      <c r="G145" s="324"/>
      <c r="H145" s="324"/>
      <c r="I145" s="324"/>
      <c r="J145" s="324"/>
      <c r="K145" s="324"/>
      <c r="L145" s="324"/>
      <c r="M145" s="324"/>
      <c r="N145" s="324"/>
      <c r="O145" s="324"/>
      <c r="P145" s="324"/>
      <c r="Q145" s="324"/>
      <c r="R145" s="324"/>
      <c r="S145" s="324"/>
      <c r="T145" s="324"/>
      <c r="U145" s="324"/>
      <c r="V145" s="324"/>
      <c r="W145" s="324"/>
      <c r="X145" s="324"/>
      <c r="Y145" s="324"/>
      <c r="Z145" s="324"/>
    </row>
    <row r="146">
      <c r="A146" s="324"/>
      <c r="B146" s="324"/>
      <c r="C146" s="324"/>
      <c r="D146" s="324"/>
      <c r="E146" s="324"/>
      <c r="F146" s="324"/>
      <c r="G146" s="324"/>
      <c r="H146" s="324"/>
      <c r="I146" s="324"/>
      <c r="J146" s="324"/>
      <c r="K146" s="324"/>
      <c r="L146" s="324"/>
      <c r="M146" s="324"/>
      <c r="N146" s="324"/>
      <c r="O146" s="324"/>
      <c r="P146" s="324"/>
      <c r="Q146" s="324"/>
      <c r="R146" s="324"/>
      <c r="S146" s="324"/>
      <c r="T146" s="324"/>
      <c r="U146" s="324"/>
      <c r="V146" s="324"/>
      <c r="W146" s="324"/>
      <c r="X146" s="324"/>
      <c r="Y146" s="324"/>
      <c r="Z146" s="324"/>
    </row>
    <row r="147">
      <c r="A147" s="324"/>
      <c r="B147" s="324"/>
      <c r="C147" s="324"/>
      <c r="D147" s="324"/>
      <c r="E147" s="324"/>
      <c r="F147" s="324"/>
      <c r="G147" s="324"/>
      <c r="H147" s="324"/>
      <c r="I147" s="324"/>
      <c r="J147" s="324"/>
      <c r="K147" s="324"/>
      <c r="L147" s="324"/>
      <c r="M147" s="324"/>
      <c r="N147" s="324"/>
      <c r="O147" s="324"/>
      <c r="P147" s="324"/>
      <c r="Q147" s="324"/>
      <c r="R147" s="324"/>
      <c r="S147" s="324"/>
      <c r="T147" s="324"/>
      <c r="U147" s="324"/>
      <c r="V147" s="324"/>
      <c r="W147" s="324"/>
      <c r="X147" s="324"/>
      <c r="Y147" s="324"/>
      <c r="Z147" s="324"/>
    </row>
    <row r="148">
      <c r="A148" s="324"/>
      <c r="B148" s="324"/>
      <c r="C148" s="324"/>
      <c r="D148" s="324"/>
      <c r="E148" s="324"/>
      <c r="F148" s="324"/>
      <c r="G148" s="324"/>
      <c r="H148" s="324"/>
      <c r="I148" s="324"/>
      <c r="J148" s="324"/>
      <c r="K148" s="324"/>
      <c r="L148" s="324"/>
      <c r="M148" s="324"/>
      <c r="N148" s="324"/>
      <c r="O148" s="324"/>
      <c r="P148" s="324"/>
      <c r="Q148" s="324"/>
      <c r="R148" s="324"/>
      <c r="S148" s="324"/>
      <c r="T148" s="324"/>
      <c r="U148" s="324"/>
      <c r="V148" s="324"/>
      <c r="W148" s="324"/>
      <c r="X148" s="324"/>
      <c r="Y148" s="324"/>
      <c r="Z148" s="324"/>
    </row>
    <row r="149">
      <c r="A149" s="324"/>
      <c r="B149" s="324"/>
      <c r="C149" s="324"/>
      <c r="D149" s="324"/>
      <c r="E149" s="324"/>
      <c r="F149" s="324"/>
      <c r="G149" s="324"/>
      <c r="H149" s="324"/>
      <c r="I149" s="324"/>
      <c r="J149" s="324"/>
      <c r="K149" s="324"/>
      <c r="L149" s="324"/>
      <c r="M149" s="324"/>
      <c r="N149" s="324"/>
      <c r="O149" s="324"/>
      <c r="P149" s="324"/>
      <c r="Q149" s="324"/>
      <c r="R149" s="324"/>
      <c r="S149" s="324"/>
      <c r="T149" s="324"/>
      <c r="U149" s="324"/>
      <c r="V149" s="324"/>
      <c r="W149" s="324"/>
      <c r="X149" s="324"/>
      <c r="Y149" s="324"/>
      <c r="Z149" s="324"/>
    </row>
    <row r="150">
      <c r="A150" s="324"/>
      <c r="B150" s="324"/>
      <c r="C150" s="324"/>
      <c r="D150" s="324"/>
      <c r="E150" s="324"/>
      <c r="F150" s="324"/>
      <c r="G150" s="324"/>
      <c r="H150" s="324"/>
      <c r="I150" s="324"/>
      <c r="J150" s="324"/>
      <c r="K150" s="324"/>
      <c r="L150" s="324"/>
      <c r="M150" s="324"/>
      <c r="N150" s="324"/>
      <c r="O150" s="324"/>
      <c r="P150" s="324"/>
      <c r="Q150" s="324"/>
      <c r="R150" s="324"/>
      <c r="S150" s="324"/>
      <c r="T150" s="324"/>
      <c r="U150" s="324"/>
      <c r="V150" s="324"/>
      <c r="W150" s="324"/>
      <c r="X150" s="324"/>
      <c r="Y150" s="324"/>
      <c r="Z150" s="324"/>
    </row>
    <row r="151">
      <c r="A151" s="324"/>
      <c r="B151" s="324"/>
      <c r="C151" s="324"/>
      <c r="D151" s="324"/>
      <c r="E151" s="324"/>
      <c r="F151" s="324"/>
      <c r="G151" s="324"/>
      <c r="H151" s="324"/>
      <c r="I151" s="324"/>
      <c r="J151" s="324"/>
      <c r="K151" s="324"/>
      <c r="L151" s="324"/>
      <c r="M151" s="324"/>
      <c r="N151" s="324"/>
      <c r="O151" s="324"/>
      <c r="P151" s="324"/>
      <c r="Q151" s="324"/>
      <c r="R151" s="324"/>
      <c r="S151" s="324"/>
      <c r="T151" s="324"/>
      <c r="U151" s="324"/>
      <c r="V151" s="324"/>
      <c r="W151" s="324"/>
      <c r="X151" s="324"/>
      <c r="Y151" s="324"/>
      <c r="Z151" s="324"/>
    </row>
    <row r="152">
      <c r="A152" s="324"/>
      <c r="B152" s="324"/>
      <c r="C152" s="324"/>
      <c r="D152" s="324"/>
      <c r="E152" s="324"/>
      <c r="F152" s="324"/>
      <c r="G152" s="324"/>
      <c r="H152" s="324"/>
      <c r="I152" s="324"/>
      <c r="J152" s="324"/>
      <c r="K152" s="324"/>
      <c r="L152" s="324"/>
      <c r="M152" s="324"/>
      <c r="N152" s="324"/>
      <c r="O152" s="324"/>
      <c r="P152" s="324"/>
      <c r="Q152" s="324"/>
      <c r="R152" s="324"/>
      <c r="S152" s="324"/>
      <c r="T152" s="324"/>
      <c r="U152" s="324"/>
      <c r="V152" s="324"/>
      <c r="W152" s="324"/>
      <c r="X152" s="324"/>
      <c r="Y152" s="324"/>
      <c r="Z152" s="324"/>
    </row>
    <row r="153">
      <c r="A153" s="324"/>
      <c r="B153" s="324"/>
      <c r="C153" s="324"/>
      <c r="D153" s="324"/>
      <c r="E153" s="324"/>
      <c r="F153" s="324"/>
      <c r="G153" s="324"/>
      <c r="H153" s="324"/>
      <c r="I153" s="324"/>
      <c r="J153" s="324"/>
      <c r="K153" s="324"/>
      <c r="L153" s="324"/>
      <c r="M153" s="324"/>
      <c r="N153" s="324"/>
      <c r="O153" s="324"/>
      <c r="P153" s="324"/>
      <c r="Q153" s="324"/>
      <c r="R153" s="324"/>
      <c r="S153" s="324"/>
      <c r="T153" s="324"/>
      <c r="U153" s="324"/>
      <c r="V153" s="324"/>
      <c r="W153" s="324"/>
      <c r="X153" s="324"/>
      <c r="Y153" s="324"/>
      <c r="Z153" s="324"/>
    </row>
    <row r="154">
      <c r="A154" s="324"/>
      <c r="B154" s="324"/>
      <c r="C154" s="324"/>
      <c r="D154" s="324"/>
      <c r="E154" s="324"/>
      <c r="F154" s="324"/>
      <c r="G154" s="324"/>
      <c r="H154" s="324"/>
      <c r="I154" s="324"/>
      <c r="J154" s="324"/>
      <c r="K154" s="324"/>
      <c r="L154" s="324"/>
      <c r="M154" s="324"/>
      <c r="N154" s="324"/>
      <c r="O154" s="324"/>
      <c r="P154" s="324"/>
      <c r="Q154" s="324"/>
      <c r="R154" s="324"/>
      <c r="S154" s="324"/>
      <c r="T154" s="324"/>
      <c r="U154" s="324"/>
      <c r="V154" s="324"/>
      <c r="W154" s="324"/>
      <c r="X154" s="324"/>
      <c r="Y154" s="324"/>
      <c r="Z154" s="324"/>
    </row>
    <row r="155">
      <c r="A155" s="324"/>
      <c r="B155" s="324"/>
      <c r="C155" s="324"/>
      <c r="D155" s="324"/>
      <c r="E155" s="324"/>
      <c r="F155" s="324"/>
      <c r="G155" s="324"/>
      <c r="H155" s="324"/>
      <c r="I155" s="324"/>
      <c r="J155" s="324"/>
      <c r="K155" s="324"/>
      <c r="L155" s="324"/>
      <c r="M155" s="324"/>
      <c r="N155" s="324"/>
      <c r="O155" s="324"/>
      <c r="P155" s="324"/>
      <c r="Q155" s="324"/>
      <c r="R155" s="324"/>
      <c r="S155" s="324"/>
      <c r="T155" s="324"/>
      <c r="U155" s="324"/>
      <c r="V155" s="324"/>
      <c r="W155" s="324"/>
      <c r="X155" s="324"/>
      <c r="Y155" s="324"/>
      <c r="Z155" s="324"/>
    </row>
    <row r="156">
      <c r="A156" s="324"/>
      <c r="B156" s="324"/>
      <c r="C156" s="324"/>
      <c r="D156" s="324"/>
      <c r="E156" s="324"/>
      <c r="F156" s="324"/>
      <c r="G156" s="324"/>
      <c r="H156" s="324"/>
      <c r="I156" s="324"/>
      <c r="J156" s="324"/>
      <c r="K156" s="324"/>
      <c r="L156" s="324"/>
      <c r="M156" s="324"/>
      <c r="N156" s="324"/>
      <c r="O156" s="324"/>
      <c r="P156" s="324"/>
      <c r="Q156" s="324"/>
      <c r="R156" s="324"/>
      <c r="S156" s="324"/>
      <c r="T156" s="324"/>
      <c r="U156" s="324"/>
      <c r="V156" s="324"/>
      <c r="W156" s="324"/>
      <c r="X156" s="324"/>
      <c r="Y156" s="324"/>
      <c r="Z156" s="324"/>
    </row>
    <row r="157">
      <c r="A157" s="324"/>
      <c r="B157" s="324"/>
      <c r="C157" s="324"/>
      <c r="D157" s="324"/>
      <c r="E157" s="324"/>
      <c r="F157" s="324"/>
      <c r="G157" s="324"/>
      <c r="H157" s="324"/>
      <c r="I157" s="324"/>
      <c r="J157" s="324"/>
      <c r="K157" s="324"/>
      <c r="L157" s="324"/>
      <c r="M157" s="324"/>
      <c r="N157" s="324"/>
      <c r="O157" s="324"/>
      <c r="P157" s="324"/>
      <c r="Q157" s="324"/>
      <c r="R157" s="324"/>
      <c r="S157" s="324"/>
      <c r="T157" s="324"/>
      <c r="U157" s="324"/>
      <c r="V157" s="324"/>
      <c r="W157" s="324"/>
      <c r="X157" s="324"/>
      <c r="Y157" s="324"/>
      <c r="Z157" s="324"/>
    </row>
    <row r="158">
      <c r="A158" s="324"/>
      <c r="B158" s="324"/>
      <c r="C158" s="324"/>
      <c r="D158" s="324"/>
      <c r="E158" s="324"/>
      <c r="F158" s="324"/>
      <c r="G158" s="324"/>
      <c r="H158" s="324"/>
      <c r="I158" s="324"/>
      <c r="J158" s="324"/>
      <c r="K158" s="324"/>
      <c r="L158" s="324"/>
      <c r="M158" s="324"/>
      <c r="N158" s="324"/>
      <c r="O158" s="324"/>
      <c r="P158" s="324"/>
      <c r="Q158" s="324"/>
      <c r="R158" s="324"/>
      <c r="S158" s="324"/>
      <c r="T158" s="324"/>
      <c r="U158" s="324"/>
      <c r="V158" s="324"/>
      <c r="W158" s="324"/>
      <c r="X158" s="324"/>
      <c r="Y158" s="324"/>
      <c r="Z158" s="324"/>
    </row>
    <row r="159">
      <c r="A159" s="324"/>
      <c r="B159" s="324"/>
      <c r="C159" s="324"/>
      <c r="D159" s="324"/>
      <c r="E159" s="324"/>
      <c r="F159" s="324"/>
      <c r="G159" s="324"/>
      <c r="H159" s="324"/>
      <c r="I159" s="324"/>
      <c r="J159" s="324"/>
      <c r="K159" s="324"/>
      <c r="L159" s="324"/>
      <c r="M159" s="324"/>
      <c r="N159" s="324"/>
      <c r="O159" s="324"/>
      <c r="P159" s="324"/>
      <c r="Q159" s="324"/>
      <c r="R159" s="324"/>
      <c r="S159" s="324"/>
      <c r="T159" s="324"/>
      <c r="U159" s="324"/>
      <c r="V159" s="324"/>
      <c r="W159" s="324"/>
      <c r="X159" s="324"/>
      <c r="Y159" s="324"/>
      <c r="Z159" s="324"/>
    </row>
    <row r="160">
      <c r="A160" s="324"/>
      <c r="B160" s="324"/>
      <c r="C160" s="324"/>
      <c r="D160" s="324"/>
      <c r="E160" s="324"/>
      <c r="F160" s="324"/>
      <c r="G160" s="324"/>
      <c r="H160" s="324"/>
      <c r="I160" s="324"/>
      <c r="J160" s="324"/>
      <c r="K160" s="324"/>
      <c r="L160" s="324"/>
      <c r="M160" s="324"/>
      <c r="N160" s="324"/>
      <c r="O160" s="324"/>
      <c r="P160" s="324"/>
      <c r="Q160" s="324"/>
      <c r="R160" s="324"/>
      <c r="S160" s="324"/>
      <c r="T160" s="324"/>
      <c r="U160" s="324"/>
      <c r="V160" s="324"/>
      <c r="W160" s="324"/>
      <c r="X160" s="324"/>
      <c r="Y160" s="324"/>
      <c r="Z160" s="324"/>
    </row>
    <row r="161">
      <c r="A161" s="324"/>
      <c r="B161" s="324"/>
      <c r="C161" s="324"/>
      <c r="D161" s="324"/>
      <c r="E161" s="324"/>
      <c r="F161" s="324"/>
      <c r="G161" s="324"/>
      <c r="H161" s="324"/>
      <c r="I161" s="324"/>
      <c r="J161" s="324"/>
      <c r="K161" s="324"/>
      <c r="L161" s="324"/>
      <c r="M161" s="324"/>
      <c r="N161" s="324"/>
      <c r="O161" s="324"/>
      <c r="P161" s="324"/>
      <c r="Q161" s="324"/>
      <c r="R161" s="324"/>
      <c r="S161" s="324"/>
      <c r="T161" s="324"/>
      <c r="U161" s="324"/>
      <c r="V161" s="324"/>
      <c r="W161" s="324"/>
      <c r="X161" s="324"/>
      <c r="Y161" s="324"/>
      <c r="Z161" s="324"/>
    </row>
    <row r="162">
      <c r="A162" s="324"/>
      <c r="B162" s="324"/>
      <c r="C162" s="324"/>
      <c r="D162" s="324"/>
      <c r="E162" s="324"/>
      <c r="F162" s="324"/>
      <c r="G162" s="324"/>
      <c r="H162" s="324"/>
      <c r="I162" s="324"/>
      <c r="J162" s="324"/>
      <c r="K162" s="324"/>
      <c r="L162" s="324"/>
      <c r="M162" s="324"/>
      <c r="N162" s="324"/>
      <c r="O162" s="324"/>
      <c r="P162" s="324"/>
      <c r="Q162" s="324"/>
      <c r="R162" s="324"/>
      <c r="S162" s="324"/>
      <c r="T162" s="324"/>
      <c r="U162" s="324"/>
      <c r="V162" s="324"/>
      <c r="W162" s="324"/>
      <c r="X162" s="324"/>
      <c r="Y162" s="324"/>
      <c r="Z162" s="324"/>
    </row>
    <row r="163">
      <c r="A163" s="324"/>
      <c r="B163" s="324"/>
      <c r="C163" s="324"/>
      <c r="D163" s="324"/>
      <c r="E163" s="324"/>
      <c r="F163" s="324"/>
      <c r="G163" s="324"/>
      <c r="H163" s="324"/>
      <c r="I163" s="324"/>
      <c r="J163" s="324"/>
      <c r="K163" s="324"/>
      <c r="L163" s="324"/>
      <c r="M163" s="324"/>
      <c r="N163" s="324"/>
      <c r="O163" s="324"/>
      <c r="P163" s="324"/>
      <c r="Q163" s="324"/>
      <c r="R163" s="324"/>
      <c r="S163" s="324"/>
      <c r="T163" s="324"/>
      <c r="U163" s="324"/>
      <c r="V163" s="324"/>
      <c r="W163" s="324"/>
      <c r="X163" s="324"/>
      <c r="Y163" s="324"/>
      <c r="Z163" s="324"/>
    </row>
    <row r="164">
      <c r="A164" s="324"/>
      <c r="B164" s="324"/>
      <c r="C164" s="324"/>
      <c r="D164" s="324"/>
      <c r="E164" s="324"/>
      <c r="F164" s="324"/>
      <c r="G164" s="324"/>
      <c r="H164" s="324"/>
      <c r="I164" s="324"/>
      <c r="J164" s="324"/>
      <c r="K164" s="324"/>
      <c r="L164" s="324"/>
      <c r="M164" s="324"/>
      <c r="N164" s="324"/>
      <c r="O164" s="324"/>
      <c r="P164" s="324"/>
      <c r="Q164" s="324"/>
      <c r="R164" s="324"/>
      <c r="S164" s="324"/>
      <c r="T164" s="324"/>
      <c r="U164" s="324"/>
      <c r="V164" s="324"/>
      <c r="W164" s="324"/>
      <c r="X164" s="324"/>
      <c r="Y164" s="324"/>
      <c r="Z164" s="324"/>
    </row>
    <row r="165">
      <c r="A165" s="324"/>
      <c r="B165" s="324"/>
      <c r="C165" s="324"/>
      <c r="D165" s="324"/>
      <c r="E165" s="324"/>
      <c r="F165" s="324"/>
      <c r="G165" s="324"/>
      <c r="H165" s="324"/>
      <c r="I165" s="324"/>
      <c r="J165" s="324"/>
      <c r="K165" s="324"/>
      <c r="L165" s="324"/>
      <c r="M165" s="324"/>
      <c r="N165" s="324"/>
      <c r="O165" s="324"/>
      <c r="P165" s="324"/>
      <c r="Q165" s="324"/>
      <c r="R165" s="324"/>
      <c r="S165" s="324"/>
      <c r="T165" s="324"/>
      <c r="U165" s="324"/>
      <c r="V165" s="324"/>
      <c r="W165" s="324"/>
      <c r="X165" s="324"/>
      <c r="Y165" s="324"/>
      <c r="Z165" s="324"/>
    </row>
    <row r="166">
      <c r="A166" s="324"/>
      <c r="B166" s="324"/>
      <c r="C166" s="324"/>
      <c r="D166" s="324"/>
      <c r="E166" s="324"/>
      <c r="F166" s="324"/>
      <c r="G166" s="324"/>
      <c r="H166" s="324"/>
      <c r="I166" s="324"/>
      <c r="J166" s="324"/>
      <c r="K166" s="324"/>
      <c r="L166" s="324"/>
      <c r="M166" s="324"/>
      <c r="N166" s="324"/>
      <c r="O166" s="324"/>
      <c r="P166" s="324"/>
      <c r="Q166" s="324"/>
      <c r="R166" s="324"/>
      <c r="S166" s="324"/>
      <c r="T166" s="324"/>
      <c r="U166" s="324"/>
      <c r="V166" s="324"/>
      <c r="W166" s="324"/>
      <c r="X166" s="324"/>
      <c r="Y166" s="324"/>
      <c r="Z166" s="324"/>
    </row>
    <row r="167">
      <c r="A167" s="324"/>
      <c r="B167" s="324"/>
      <c r="C167" s="324"/>
      <c r="D167" s="324"/>
      <c r="E167" s="324"/>
      <c r="F167" s="324"/>
      <c r="G167" s="324"/>
      <c r="H167" s="324"/>
      <c r="I167" s="324"/>
      <c r="J167" s="324"/>
      <c r="K167" s="324"/>
      <c r="L167" s="324"/>
      <c r="M167" s="324"/>
      <c r="N167" s="324"/>
      <c r="O167" s="324"/>
      <c r="P167" s="324"/>
      <c r="Q167" s="324"/>
      <c r="R167" s="324"/>
      <c r="S167" s="324"/>
      <c r="T167" s="324"/>
      <c r="U167" s="324"/>
      <c r="V167" s="324"/>
      <c r="W167" s="324"/>
      <c r="X167" s="324"/>
      <c r="Y167" s="324"/>
      <c r="Z167" s="324"/>
    </row>
    <row r="168">
      <c r="A168" s="324"/>
      <c r="B168" s="324"/>
      <c r="C168" s="324"/>
      <c r="D168" s="324"/>
      <c r="E168" s="324"/>
      <c r="F168" s="324"/>
      <c r="G168" s="324"/>
      <c r="H168" s="324"/>
      <c r="I168" s="324"/>
      <c r="J168" s="324"/>
      <c r="K168" s="324"/>
      <c r="L168" s="324"/>
      <c r="M168" s="324"/>
      <c r="N168" s="324"/>
      <c r="O168" s="324"/>
      <c r="P168" s="324"/>
      <c r="Q168" s="324"/>
      <c r="R168" s="324"/>
      <c r="S168" s="324"/>
      <c r="T168" s="324"/>
      <c r="U168" s="324"/>
      <c r="V168" s="324"/>
      <c r="W168" s="324"/>
      <c r="X168" s="324"/>
      <c r="Y168" s="324"/>
      <c r="Z168" s="324"/>
    </row>
    <row r="169">
      <c r="A169" s="324"/>
      <c r="B169" s="324"/>
      <c r="C169" s="324"/>
      <c r="D169" s="324"/>
      <c r="E169" s="324"/>
      <c r="F169" s="324"/>
      <c r="G169" s="324"/>
      <c r="H169" s="324"/>
      <c r="I169" s="324"/>
      <c r="J169" s="324"/>
      <c r="K169" s="324"/>
      <c r="L169" s="324"/>
      <c r="M169" s="324"/>
      <c r="N169" s="324"/>
      <c r="O169" s="324"/>
      <c r="P169" s="324"/>
      <c r="Q169" s="324"/>
      <c r="R169" s="324"/>
      <c r="S169" s="324"/>
      <c r="T169" s="324"/>
      <c r="U169" s="324"/>
      <c r="V169" s="324"/>
      <c r="W169" s="324"/>
      <c r="X169" s="324"/>
      <c r="Y169" s="324"/>
      <c r="Z169" s="324"/>
    </row>
    <row r="170">
      <c r="A170" s="324"/>
      <c r="B170" s="324"/>
      <c r="C170" s="324"/>
      <c r="D170" s="324"/>
      <c r="E170" s="324"/>
      <c r="F170" s="324"/>
      <c r="G170" s="324"/>
      <c r="H170" s="324"/>
      <c r="I170" s="324"/>
      <c r="J170" s="324"/>
      <c r="K170" s="324"/>
      <c r="L170" s="324"/>
      <c r="M170" s="324"/>
      <c r="N170" s="324"/>
      <c r="O170" s="324"/>
      <c r="P170" s="324"/>
      <c r="Q170" s="324"/>
      <c r="R170" s="324"/>
      <c r="S170" s="324"/>
      <c r="T170" s="324"/>
      <c r="U170" s="324"/>
      <c r="V170" s="324"/>
      <c r="W170" s="324"/>
      <c r="X170" s="324"/>
      <c r="Y170" s="324"/>
      <c r="Z170" s="324"/>
    </row>
    <row r="171">
      <c r="A171" s="324"/>
      <c r="B171" s="324"/>
      <c r="C171" s="324"/>
      <c r="D171" s="324"/>
      <c r="E171" s="324"/>
      <c r="F171" s="324"/>
      <c r="G171" s="324"/>
      <c r="H171" s="324"/>
      <c r="I171" s="324"/>
      <c r="J171" s="324"/>
      <c r="K171" s="324"/>
      <c r="L171" s="324"/>
      <c r="M171" s="324"/>
      <c r="N171" s="324"/>
      <c r="O171" s="324"/>
      <c r="P171" s="324"/>
      <c r="Q171" s="324"/>
      <c r="R171" s="324"/>
      <c r="S171" s="324"/>
      <c r="T171" s="324"/>
      <c r="U171" s="324"/>
      <c r="V171" s="324"/>
      <c r="W171" s="324"/>
      <c r="X171" s="324"/>
      <c r="Y171" s="324"/>
      <c r="Z171" s="324"/>
    </row>
    <row r="172">
      <c r="A172" s="324"/>
      <c r="B172" s="324"/>
      <c r="C172" s="324"/>
      <c r="D172" s="324"/>
      <c r="E172" s="324"/>
      <c r="F172" s="324"/>
      <c r="G172" s="324"/>
      <c r="H172" s="324"/>
      <c r="I172" s="324"/>
      <c r="J172" s="324"/>
      <c r="K172" s="324"/>
      <c r="L172" s="324"/>
      <c r="M172" s="324"/>
      <c r="N172" s="324"/>
      <c r="O172" s="324"/>
      <c r="P172" s="324"/>
      <c r="Q172" s="324"/>
      <c r="R172" s="324"/>
      <c r="S172" s="324"/>
      <c r="T172" s="324"/>
      <c r="U172" s="324"/>
      <c r="V172" s="324"/>
      <c r="W172" s="324"/>
      <c r="X172" s="324"/>
      <c r="Y172" s="324"/>
      <c r="Z172" s="324"/>
    </row>
    <row r="173">
      <c r="A173" s="324"/>
      <c r="B173" s="324"/>
      <c r="C173" s="324"/>
      <c r="D173" s="324"/>
      <c r="E173" s="324"/>
      <c r="F173" s="324"/>
      <c r="G173" s="324"/>
      <c r="H173" s="324"/>
      <c r="I173" s="324"/>
      <c r="J173" s="324"/>
      <c r="K173" s="324"/>
      <c r="L173" s="324"/>
      <c r="M173" s="324"/>
      <c r="N173" s="324"/>
      <c r="O173" s="324"/>
      <c r="P173" s="324"/>
      <c r="Q173" s="324"/>
      <c r="R173" s="324"/>
      <c r="S173" s="324"/>
      <c r="T173" s="324"/>
      <c r="U173" s="324"/>
      <c r="V173" s="324"/>
      <c r="W173" s="324"/>
      <c r="X173" s="324"/>
      <c r="Y173" s="324"/>
      <c r="Z173" s="324"/>
    </row>
    <row r="174">
      <c r="A174" s="324"/>
      <c r="B174" s="324"/>
      <c r="C174" s="324"/>
      <c r="D174" s="324"/>
      <c r="E174" s="324"/>
      <c r="F174" s="324"/>
      <c r="G174" s="324"/>
      <c r="H174" s="324"/>
      <c r="I174" s="324"/>
      <c r="J174" s="324"/>
      <c r="K174" s="324"/>
      <c r="L174" s="324"/>
      <c r="M174" s="324"/>
      <c r="N174" s="324"/>
      <c r="O174" s="324"/>
      <c r="P174" s="324"/>
      <c r="Q174" s="324"/>
      <c r="R174" s="324"/>
      <c r="S174" s="324"/>
      <c r="T174" s="324"/>
      <c r="U174" s="324"/>
      <c r="V174" s="324"/>
      <c r="W174" s="324"/>
      <c r="X174" s="324"/>
      <c r="Y174" s="324"/>
      <c r="Z174" s="324"/>
    </row>
    <row r="175">
      <c r="A175" s="324"/>
      <c r="B175" s="324"/>
      <c r="C175" s="324"/>
      <c r="D175" s="324"/>
      <c r="E175" s="324"/>
      <c r="F175" s="324"/>
      <c r="G175" s="324"/>
      <c r="H175" s="324"/>
      <c r="I175" s="324"/>
      <c r="J175" s="324"/>
      <c r="K175" s="324"/>
      <c r="L175" s="324"/>
      <c r="M175" s="324"/>
      <c r="N175" s="324"/>
      <c r="O175" s="324"/>
      <c r="P175" s="324"/>
      <c r="Q175" s="324"/>
      <c r="R175" s="324"/>
      <c r="S175" s="324"/>
      <c r="T175" s="324"/>
      <c r="U175" s="324"/>
      <c r="V175" s="324"/>
      <c r="W175" s="324"/>
      <c r="X175" s="324"/>
      <c r="Y175" s="324"/>
      <c r="Z175" s="324"/>
    </row>
    <row r="176">
      <c r="A176" s="324"/>
      <c r="B176" s="324"/>
      <c r="C176" s="324"/>
      <c r="D176" s="324"/>
      <c r="E176" s="324"/>
      <c r="F176" s="324"/>
      <c r="G176" s="324"/>
      <c r="H176" s="324"/>
      <c r="I176" s="324"/>
      <c r="J176" s="324"/>
      <c r="K176" s="324"/>
      <c r="L176" s="324"/>
      <c r="M176" s="324"/>
      <c r="N176" s="324"/>
      <c r="O176" s="324"/>
      <c r="P176" s="324"/>
      <c r="Q176" s="324"/>
      <c r="R176" s="324"/>
      <c r="S176" s="324"/>
      <c r="T176" s="324"/>
      <c r="U176" s="324"/>
      <c r="V176" s="324"/>
      <c r="W176" s="324"/>
      <c r="X176" s="324"/>
      <c r="Y176" s="324"/>
      <c r="Z176" s="324"/>
    </row>
    <row r="177">
      <c r="A177" s="324"/>
      <c r="B177" s="324"/>
      <c r="C177" s="324"/>
      <c r="D177" s="324"/>
      <c r="E177" s="324"/>
      <c r="F177" s="324"/>
      <c r="G177" s="324"/>
      <c r="H177" s="324"/>
      <c r="I177" s="324"/>
      <c r="J177" s="324"/>
      <c r="K177" s="324"/>
      <c r="L177" s="324"/>
      <c r="M177" s="324"/>
      <c r="N177" s="324"/>
      <c r="O177" s="324"/>
      <c r="P177" s="324"/>
      <c r="Q177" s="324"/>
      <c r="R177" s="324"/>
      <c r="S177" s="324"/>
      <c r="T177" s="324"/>
      <c r="U177" s="324"/>
      <c r="V177" s="324"/>
      <c r="W177" s="324"/>
      <c r="X177" s="324"/>
      <c r="Y177" s="324"/>
      <c r="Z177" s="324"/>
    </row>
    <row r="178">
      <c r="A178" s="324"/>
      <c r="B178" s="324"/>
      <c r="C178" s="324"/>
      <c r="D178" s="324"/>
      <c r="E178" s="324"/>
      <c r="F178" s="324"/>
      <c r="G178" s="324"/>
      <c r="H178" s="324"/>
      <c r="I178" s="324"/>
      <c r="J178" s="324"/>
      <c r="K178" s="324"/>
      <c r="L178" s="324"/>
      <c r="M178" s="324"/>
      <c r="N178" s="324"/>
      <c r="O178" s="324"/>
      <c r="P178" s="324"/>
      <c r="Q178" s="324"/>
      <c r="R178" s="324"/>
      <c r="S178" s="324"/>
      <c r="T178" s="324"/>
      <c r="U178" s="324"/>
      <c r="V178" s="324"/>
      <c r="W178" s="324"/>
      <c r="X178" s="324"/>
      <c r="Y178" s="324"/>
      <c r="Z178" s="324"/>
    </row>
    <row r="179">
      <c r="A179" s="324"/>
      <c r="B179" s="324"/>
      <c r="C179" s="324"/>
      <c r="D179" s="324"/>
      <c r="E179" s="324"/>
      <c r="F179" s="324"/>
      <c r="G179" s="324"/>
      <c r="H179" s="324"/>
      <c r="I179" s="324"/>
      <c r="J179" s="324"/>
      <c r="K179" s="324"/>
      <c r="L179" s="324"/>
      <c r="M179" s="324"/>
      <c r="N179" s="324"/>
      <c r="O179" s="324"/>
      <c r="P179" s="324"/>
      <c r="Q179" s="324"/>
      <c r="R179" s="324"/>
      <c r="S179" s="324"/>
      <c r="T179" s="324"/>
      <c r="U179" s="324"/>
      <c r="V179" s="324"/>
      <c r="W179" s="324"/>
      <c r="X179" s="324"/>
      <c r="Y179" s="324"/>
      <c r="Z179" s="324"/>
    </row>
    <row r="180">
      <c r="A180" s="324"/>
      <c r="B180" s="324"/>
      <c r="C180" s="324"/>
      <c r="D180" s="324"/>
      <c r="E180" s="324"/>
      <c r="F180" s="324"/>
      <c r="G180" s="324"/>
      <c r="H180" s="324"/>
      <c r="I180" s="324"/>
      <c r="J180" s="324"/>
      <c r="K180" s="324"/>
      <c r="L180" s="324"/>
      <c r="M180" s="324"/>
      <c r="N180" s="324"/>
      <c r="O180" s="324"/>
      <c r="P180" s="324"/>
      <c r="Q180" s="324"/>
      <c r="R180" s="324"/>
      <c r="S180" s="324"/>
      <c r="T180" s="324"/>
      <c r="U180" s="324"/>
      <c r="V180" s="324"/>
      <c r="W180" s="324"/>
      <c r="X180" s="324"/>
      <c r="Y180" s="324"/>
      <c r="Z180" s="324"/>
    </row>
    <row r="181">
      <c r="A181" s="324"/>
      <c r="B181" s="324"/>
      <c r="C181" s="324"/>
      <c r="D181" s="324"/>
      <c r="E181" s="324"/>
      <c r="F181" s="324"/>
      <c r="G181" s="324"/>
      <c r="H181" s="324"/>
      <c r="I181" s="324"/>
      <c r="J181" s="324"/>
      <c r="K181" s="324"/>
      <c r="L181" s="324"/>
      <c r="M181" s="324"/>
      <c r="N181" s="324"/>
      <c r="O181" s="324"/>
      <c r="P181" s="324"/>
      <c r="Q181" s="324"/>
      <c r="R181" s="324"/>
      <c r="S181" s="324"/>
      <c r="T181" s="324"/>
      <c r="U181" s="324"/>
      <c r="V181" s="324"/>
      <c r="W181" s="324"/>
      <c r="X181" s="324"/>
      <c r="Y181" s="324"/>
      <c r="Z181" s="324"/>
    </row>
    <row r="182">
      <c r="A182" s="324"/>
      <c r="B182" s="324"/>
      <c r="C182" s="324"/>
      <c r="D182" s="324"/>
      <c r="E182" s="324"/>
      <c r="F182" s="324"/>
      <c r="G182" s="324"/>
      <c r="H182" s="324"/>
      <c r="I182" s="324"/>
      <c r="J182" s="324"/>
      <c r="K182" s="324"/>
      <c r="L182" s="324"/>
      <c r="M182" s="324"/>
      <c r="N182" s="324"/>
      <c r="O182" s="324"/>
      <c r="P182" s="324"/>
      <c r="Q182" s="324"/>
      <c r="R182" s="324"/>
      <c r="S182" s="324"/>
      <c r="T182" s="324"/>
      <c r="U182" s="324"/>
      <c r="V182" s="324"/>
      <c r="W182" s="324"/>
      <c r="X182" s="324"/>
      <c r="Y182" s="324"/>
      <c r="Z182" s="324"/>
    </row>
    <row r="183">
      <c r="A183" s="324"/>
      <c r="B183" s="324"/>
      <c r="C183" s="324"/>
      <c r="D183" s="324"/>
      <c r="E183" s="324"/>
      <c r="F183" s="324"/>
      <c r="G183" s="324"/>
      <c r="H183" s="324"/>
      <c r="I183" s="324"/>
      <c r="J183" s="324"/>
      <c r="K183" s="324"/>
      <c r="L183" s="324"/>
      <c r="M183" s="324"/>
      <c r="N183" s="324"/>
      <c r="O183" s="324"/>
      <c r="P183" s="324"/>
      <c r="Q183" s="324"/>
      <c r="R183" s="324"/>
      <c r="S183" s="324"/>
      <c r="T183" s="324"/>
      <c r="U183" s="324"/>
      <c r="V183" s="324"/>
      <c r="W183" s="324"/>
      <c r="X183" s="324"/>
      <c r="Y183" s="324"/>
      <c r="Z183" s="324"/>
    </row>
    <row r="184">
      <c r="A184" s="324"/>
      <c r="B184" s="324"/>
      <c r="C184" s="324"/>
      <c r="D184" s="324"/>
      <c r="E184" s="324"/>
      <c r="F184" s="324"/>
      <c r="G184" s="324"/>
      <c r="H184" s="324"/>
      <c r="I184" s="324"/>
      <c r="J184" s="324"/>
      <c r="K184" s="324"/>
      <c r="L184" s="324"/>
      <c r="M184" s="324"/>
      <c r="N184" s="324"/>
      <c r="O184" s="324"/>
      <c r="P184" s="324"/>
      <c r="Q184" s="324"/>
      <c r="R184" s="324"/>
      <c r="S184" s="324"/>
      <c r="T184" s="324"/>
      <c r="U184" s="324"/>
      <c r="V184" s="324"/>
      <c r="W184" s="324"/>
      <c r="X184" s="324"/>
      <c r="Y184" s="324"/>
      <c r="Z184" s="324"/>
    </row>
    <row r="185">
      <c r="A185" s="324"/>
      <c r="B185" s="324"/>
      <c r="C185" s="324"/>
      <c r="D185" s="324"/>
      <c r="E185" s="324"/>
      <c r="F185" s="324"/>
      <c r="G185" s="324"/>
      <c r="H185" s="324"/>
      <c r="I185" s="324"/>
      <c r="J185" s="324"/>
      <c r="K185" s="324"/>
      <c r="L185" s="324"/>
      <c r="M185" s="324"/>
      <c r="N185" s="324"/>
      <c r="O185" s="324"/>
      <c r="P185" s="324"/>
      <c r="Q185" s="324"/>
      <c r="R185" s="324"/>
      <c r="S185" s="324"/>
      <c r="T185" s="324"/>
      <c r="U185" s="324"/>
      <c r="V185" s="324"/>
      <c r="W185" s="324"/>
      <c r="X185" s="324"/>
      <c r="Y185" s="324"/>
      <c r="Z185" s="324"/>
    </row>
    <row r="186">
      <c r="A186" s="324"/>
      <c r="B186" s="324"/>
      <c r="C186" s="324"/>
      <c r="D186" s="324"/>
      <c r="E186" s="324"/>
      <c r="F186" s="324"/>
      <c r="G186" s="324"/>
      <c r="H186" s="324"/>
      <c r="I186" s="324"/>
      <c r="J186" s="324"/>
      <c r="K186" s="324"/>
      <c r="L186" s="324"/>
      <c r="M186" s="324"/>
      <c r="N186" s="324"/>
      <c r="O186" s="324"/>
      <c r="P186" s="324"/>
      <c r="Q186" s="324"/>
      <c r="R186" s="324"/>
      <c r="S186" s="324"/>
      <c r="T186" s="324"/>
      <c r="U186" s="324"/>
      <c r="V186" s="324"/>
      <c r="W186" s="324"/>
      <c r="X186" s="324"/>
      <c r="Y186" s="324"/>
      <c r="Z186" s="324"/>
    </row>
    <row r="187">
      <c r="A187" s="324"/>
      <c r="B187" s="324"/>
      <c r="C187" s="324"/>
      <c r="D187" s="324"/>
      <c r="E187" s="324"/>
      <c r="F187" s="324"/>
      <c r="G187" s="324"/>
      <c r="H187" s="324"/>
      <c r="I187" s="324"/>
      <c r="J187" s="324"/>
      <c r="K187" s="324"/>
      <c r="L187" s="324"/>
      <c r="M187" s="324"/>
      <c r="N187" s="324"/>
      <c r="O187" s="324"/>
      <c r="P187" s="324"/>
      <c r="Q187" s="324"/>
      <c r="R187" s="324"/>
      <c r="S187" s="324"/>
      <c r="T187" s="324"/>
      <c r="U187" s="324"/>
      <c r="V187" s="324"/>
      <c r="W187" s="324"/>
      <c r="X187" s="324"/>
      <c r="Y187" s="324"/>
      <c r="Z187" s="324"/>
    </row>
    <row r="188">
      <c r="A188" s="324"/>
      <c r="B188" s="324"/>
      <c r="C188" s="324"/>
      <c r="D188" s="324"/>
      <c r="E188" s="324"/>
      <c r="F188" s="324"/>
      <c r="G188" s="324"/>
      <c r="H188" s="324"/>
      <c r="I188" s="324"/>
      <c r="J188" s="324"/>
      <c r="K188" s="324"/>
      <c r="L188" s="324"/>
      <c r="M188" s="324"/>
      <c r="N188" s="324"/>
      <c r="O188" s="324"/>
      <c r="P188" s="324"/>
      <c r="Q188" s="324"/>
      <c r="R188" s="324"/>
      <c r="S188" s="324"/>
      <c r="T188" s="324"/>
      <c r="U188" s="324"/>
      <c r="V188" s="324"/>
      <c r="W188" s="324"/>
      <c r="X188" s="324"/>
      <c r="Y188" s="324"/>
      <c r="Z188" s="324"/>
    </row>
    <row r="189">
      <c r="A189" s="324"/>
      <c r="B189" s="324"/>
      <c r="C189" s="324"/>
      <c r="D189" s="324"/>
      <c r="E189" s="324"/>
      <c r="F189" s="324"/>
      <c r="G189" s="324"/>
      <c r="H189" s="324"/>
      <c r="I189" s="324"/>
      <c r="J189" s="324"/>
      <c r="K189" s="324"/>
      <c r="L189" s="324"/>
      <c r="M189" s="324"/>
      <c r="N189" s="324"/>
      <c r="O189" s="324"/>
      <c r="P189" s="324"/>
      <c r="Q189" s="324"/>
      <c r="R189" s="324"/>
      <c r="S189" s="324"/>
      <c r="T189" s="324"/>
      <c r="U189" s="324"/>
      <c r="V189" s="324"/>
      <c r="W189" s="324"/>
      <c r="X189" s="324"/>
      <c r="Y189" s="324"/>
      <c r="Z189" s="324"/>
    </row>
    <row r="190">
      <c r="A190" s="324"/>
      <c r="B190" s="324"/>
      <c r="C190" s="324"/>
      <c r="D190" s="324"/>
      <c r="E190" s="324"/>
      <c r="F190" s="324"/>
      <c r="G190" s="324"/>
      <c r="H190" s="324"/>
      <c r="I190" s="324"/>
      <c r="J190" s="324"/>
      <c r="K190" s="324"/>
      <c r="L190" s="324"/>
      <c r="M190" s="324"/>
      <c r="N190" s="324"/>
      <c r="O190" s="324"/>
      <c r="P190" s="324"/>
      <c r="Q190" s="324"/>
      <c r="R190" s="324"/>
      <c r="S190" s="324"/>
      <c r="T190" s="324"/>
      <c r="U190" s="324"/>
      <c r="V190" s="324"/>
      <c r="W190" s="324"/>
      <c r="X190" s="324"/>
      <c r="Y190" s="324"/>
      <c r="Z190" s="324"/>
    </row>
    <row r="191">
      <c r="A191" s="324"/>
      <c r="B191" s="324"/>
      <c r="C191" s="324"/>
      <c r="D191" s="324"/>
      <c r="E191" s="324"/>
      <c r="F191" s="324"/>
      <c r="G191" s="324"/>
      <c r="H191" s="324"/>
      <c r="I191" s="324"/>
      <c r="J191" s="324"/>
      <c r="K191" s="324"/>
      <c r="L191" s="324"/>
      <c r="M191" s="324"/>
      <c r="N191" s="324"/>
      <c r="O191" s="324"/>
      <c r="P191" s="324"/>
      <c r="Q191" s="324"/>
      <c r="R191" s="324"/>
      <c r="S191" s="324"/>
      <c r="T191" s="324"/>
      <c r="U191" s="324"/>
      <c r="V191" s="324"/>
      <c r="W191" s="324"/>
      <c r="X191" s="324"/>
      <c r="Y191" s="324"/>
      <c r="Z191" s="324"/>
    </row>
    <row r="192">
      <c r="A192" s="324"/>
      <c r="B192" s="324"/>
      <c r="C192" s="324"/>
      <c r="D192" s="324"/>
      <c r="E192" s="324"/>
      <c r="F192" s="324"/>
      <c r="G192" s="324"/>
      <c r="H192" s="324"/>
      <c r="I192" s="324"/>
      <c r="J192" s="324"/>
      <c r="K192" s="324"/>
      <c r="L192" s="324"/>
      <c r="M192" s="324"/>
      <c r="N192" s="324"/>
      <c r="O192" s="324"/>
      <c r="P192" s="324"/>
      <c r="Q192" s="324"/>
      <c r="R192" s="324"/>
      <c r="S192" s="324"/>
      <c r="T192" s="324"/>
      <c r="U192" s="324"/>
      <c r="V192" s="324"/>
      <c r="W192" s="324"/>
      <c r="X192" s="324"/>
      <c r="Y192" s="324"/>
      <c r="Z192" s="324"/>
    </row>
    <row r="193">
      <c r="A193" s="324"/>
      <c r="B193" s="324"/>
      <c r="C193" s="324"/>
      <c r="D193" s="324"/>
      <c r="E193" s="324"/>
      <c r="F193" s="324"/>
      <c r="G193" s="324"/>
      <c r="H193" s="324"/>
      <c r="I193" s="324"/>
      <c r="J193" s="324"/>
      <c r="K193" s="324"/>
      <c r="L193" s="324"/>
      <c r="M193" s="324"/>
      <c r="N193" s="324"/>
      <c r="O193" s="324"/>
      <c r="P193" s="324"/>
      <c r="Q193" s="324"/>
      <c r="R193" s="324"/>
      <c r="S193" s="324"/>
      <c r="T193" s="324"/>
      <c r="U193" s="324"/>
      <c r="V193" s="324"/>
      <c r="W193" s="324"/>
      <c r="X193" s="324"/>
      <c r="Y193" s="324"/>
      <c r="Z193" s="324"/>
    </row>
    <row r="194">
      <c r="A194" s="324"/>
      <c r="B194" s="324"/>
      <c r="C194" s="324"/>
      <c r="D194" s="324"/>
      <c r="E194" s="324"/>
      <c r="F194" s="324"/>
      <c r="G194" s="324"/>
      <c r="H194" s="324"/>
      <c r="I194" s="324"/>
      <c r="J194" s="324"/>
      <c r="K194" s="324"/>
      <c r="L194" s="324"/>
      <c r="M194" s="324"/>
      <c r="N194" s="324"/>
      <c r="O194" s="324"/>
      <c r="P194" s="324"/>
      <c r="Q194" s="324"/>
      <c r="R194" s="324"/>
      <c r="S194" s="324"/>
      <c r="T194" s="324"/>
      <c r="U194" s="324"/>
      <c r="V194" s="324"/>
      <c r="W194" s="324"/>
      <c r="X194" s="324"/>
      <c r="Y194" s="324"/>
      <c r="Z194" s="324"/>
    </row>
    <row r="195">
      <c r="A195" s="324"/>
      <c r="B195" s="324"/>
      <c r="C195" s="324"/>
      <c r="D195" s="324"/>
      <c r="E195" s="324"/>
      <c r="F195" s="324"/>
      <c r="G195" s="324"/>
      <c r="H195" s="324"/>
      <c r="I195" s="324"/>
      <c r="J195" s="324"/>
      <c r="K195" s="324"/>
      <c r="L195" s="324"/>
      <c r="M195" s="324"/>
      <c r="N195" s="324"/>
      <c r="O195" s="324"/>
      <c r="P195" s="324"/>
      <c r="Q195" s="324"/>
      <c r="R195" s="324"/>
      <c r="S195" s="324"/>
      <c r="T195" s="324"/>
      <c r="U195" s="324"/>
      <c r="V195" s="324"/>
      <c r="W195" s="324"/>
      <c r="X195" s="324"/>
      <c r="Y195" s="324"/>
      <c r="Z195" s="324"/>
    </row>
    <row r="196">
      <c r="A196" s="324"/>
      <c r="B196" s="324"/>
      <c r="C196" s="324"/>
      <c r="D196" s="324"/>
      <c r="E196" s="324"/>
      <c r="F196" s="324"/>
      <c r="G196" s="324"/>
      <c r="H196" s="324"/>
      <c r="I196" s="324"/>
      <c r="J196" s="324"/>
      <c r="K196" s="324"/>
      <c r="L196" s="324"/>
      <c r="M196" s="324"/>
      <c r="N196" s="324"/>
      <c r="O196" s="324"/>
      <c r="P196" s="324"/>
      <c r="Q196" s="324"/>
      <c r="R196" s="324"/>
      <c r="S196" s="324"/>
      <c r="T196" s="324"/>
      <c r="U196" s="324"/>
      <c r="V196" s="324"/>
      <c r="W196" s="324"/>
      <c r="X196" s="324"/>
      <c r="Y196" s="324"/>
      <c r="Z196" s="324"/>
    </row>
    <row r="197">
      <c r="A197" s="324"/>
      <c r="B197" s="324"/>
      <c r="C197" s="324"/>
      <c r="D197" s="324"/>
      <c r="E197" s="324"/>
      <c r="F197" s="324"/>
      <c r="G197" s="324"/>
      <c r="H197" s="324"/>
      <c r="I197" s="324"/>
      <c r="J197" s="324"/>
      <c r="K197" s="324"/>
      <c r="L197" s="324"/>
      <c r="M197" s="324"/>
      <c r="N197" s="324"/>
      <c r="O197" s="324"/>
      <c r="P197" s="324"/>
      <c r="Q197" s="324"/>
      <c r="R197" s="324"/>
      <c r="S197" s="324"/>
      <c r="T197" s="324"/>
      <c r="U197" s="324"/>
      <c r="V197" s="324"/>
      <c r="W197" s="324"/>
      <c r="X197" s="324"/>
      <c r="Y197" s="324"/>
      <c r="Z197" s="324"/>
    </row>
    <row r="198">
      <c r="A198" s="324"/>
      <c r="B198" s="324"/>
      <c r="C198" s="324"/>
      <c r="D198" s="324"/>
      <c r="E198" s="324"/>
      <c r="F198" s="324"/>
      <c r="G198" s="324"/>
      <c r="H198" s="324"/>
      <c r="I198" s="324"/>
      <c r="J198" s="324"/>
      <c r="K198" s="324"/>
      <c r="L198" s="324"/>
      <c r="M198" s="324"/>
      <c r="N198" s="324"/>
      <c r="O198" s="324"/>
      <c r="P198" s="324"/>
      <c r="Q198" s="324"/>
      <c r="R198" s="324"/>
      <c r="S198" s="324"/>
      <c r="T198" s="324"/>
      <c r="U198" s="324"/>
      <c r="V198" s="324"/>
      <c r="W198" s="324"/>
      <c r="X198" s="324"/>
      <c r="Y198" s="324"/>
      <c r="Z198" s="324"/>
    </row>
    <row r="199">
      <c r="A199" s="324"/>
      <c r="B199" s="324"/>
      <c r="C199" s="324"/>
      <c r="D199" s="324"/>
      <c r="E199" s="324"/>
      <c r="F199" s="324"/>
      <c r="G199" s="324"/>
      <c r="H199" s="324"/>
      <c r="I199" s="324"/>
      <c r="J199" s="324"/>
      <c r="K199" s="324"/>
      <c r="L199" s="324"/>
      <c r="M199" s="324"/>
      <c r="N199" s="324"/>
      <c r="O199" s="324"/>
      <c r="P199" s="324"/>
      <c r="Q199" s="324"/>
      <c r="R199" s="324"/>
      <c r="S199" s="324"/>
      <c r="T199" s="324"/>
      <c r="U199" s="324"/>
      <c r="V199" s="324"/>
      <c r="W199" s="324"/>
      <c r="X199" s="324"/>
      <c r="Y199" s="324"/>
      <c r="Z199" s="324"/>
    </row>
    <row r="200">
      <c r="A200" s="324"/>
      <c r="B200" s="324"/>
      <c r="C200" s="324"/>
      <c r="D200" s="324"/>
      <c r="E200" s="324"/>
      <c r="F200" s="324"/>
      <c r="G200" s="324"/>
      <c r="H200" s="324"/>
      <c r="I200" s="324"/>
      <c r="J200" s="324"/>
      <c r="K200" s="324"/>
      <c r="L200" s="324"/>
      <c r="M200" s="324"/>
      <c r="N200" s="324"/>
      <c r="O200" s="324"/>
      <c r="P200" s="324"/>
      <c r="Q200" s="324"/>
      <c r="R200" s="324"/>
      <c r="S200" s="324"/>
      <c r="T200" s="324"/>
      <c r="U200" s="324"/>
      <c r="V200" s="324"/>
      <c r="W200" s="324"/>
      <c r="X200" s="324"/>
      <c r="Y200" s="324"/>
      <c r="Z200" s="324"/>
    </row>
    <row r="201">
      <c r="A201" s="324"/>
      <c r="B201" s="324"/>
      <c r="C201" s="324"/>
      <c r="D201" s="324"/>
      <c r="E201" s="324"/>
      <c r="F201" s="324"/>
      <c r="G201" s="324"/>
      <c r="H201" s="324"/>
      <c r="I201" s="324"/>
      <c r="J201" s="324"/>
      <c r="K201" s="324"/>
      <c r="L201" s="324"/>
      <c r="M201" s="324"/>
      <c r="N201" s="324"/>
      <c r="O201" s="324"/>
      <c r="P201" s="324"/>
      <c r="Q201" s="324"/>
      <c r="R201" s="324"/>
      <c r="S201" s="324"/>
      <c r="T201" s="324"/>
      <c r="U201" s="324"/>
      <c r="V201" s="324"/>
      <c r="W201" s="324"/>
      <c r="X201" s="324"/>
      <c r="Y201" s="324"/>
      <c r="Z201" s="324"/>
    </row>
    <row r="202">
      <c r="A202" s="324"/>
      <c r="B202" s="324"/>
      <c r="C202" s="324"/>
      <c r="D202" s="324"/>
      <c r="E202" s="324"/>
      <c r="F202" s="324"/>
      <c r="G202" s="324"/>
      <c r="H202" s="324"/>
      <c r="I202" s="324"/>
      <c r="J202" s="324"/>
      <c r="K202" s="324"/>
      <c r="L202" s="324"/>
      <c r="M202" s="324"/>
      <c r="N202" s="324"/>
      <c r="O202" s="324"/>
      <c r="P202" s="324"/>
      <c r="Q202" s="324"/>
      <c r="R202" s="324"/>
      <c r="S202" s="324"/>
      <c r="T202" s="324"/>
      <c r="U202" s="324"/>
      <c r="V202" s="324"/>
      <c r="W202" s="324"/>
      <c r="X202" s="324"/>
      <c r="Y202" s="324"/>
      <c r="Z202" s="324"/>
    </row>
    <row r="203">
      <c r="A203" s="324"/>
      <c r="B203" s="324"/>
      <c r="C203" s="324"/>
      <c r="D203" s="324"/>
      <c r="E203" s="324"/>
      <c r="F203" s="324"/>
      <c r="G203" s="324"/>
      <c r="H203" s="324"/>
      <c r="I203" s="324"/>
      <c r="J203" s="324"/>
      <c r="K203" s="324"/>
      <c r="L203" s="324"/>
      <c r="M203" s="324"/>
      <c r="N203" s="324"/>
      <c r="O203" s="324"/>
      <c r="P203" s="324"/>
      <c r="Q203" s="324"/>
      <c r="R203" s="324"/>
      <c r="S203" s="324"/>
      <c r="T203" s="324"/>
      <c r="U203" s="324"/>
      <c r="V203" s="324"/>
      <c r="W203" s="324"/>
      <c r="X203" s="324"/>
      <c r="Y203" s="324"/>
      <c r="Z203" s="324"/>
    </row>
    <row r="204">
      <c r="A204" s="324"/>
      <c r="B204" s="324"/>
      <c r="C204" s="324"/>
      <c r="D204" s="324"/>
      <c r="E204" s="324"/>
      <c r="F204" s="324"/>
      <c r="G204" s="324"/>
      <c r="H204" s="324"/>
      <c r="I204" s="324"/>
      <c r="J204" s="324"/>
      <c r="K204" s="324"/>
      <c r="L204" s="324"/>
      <c r="M204" s="324"/>
      <c r="N204" s="324"/>
      <c r="O204" s="324"/>
      <c r="P204" s="324"/>
      <c r="Q204" s="324"/>
      <c r="R204" s="324"/>
      <c r="S204" s="324"/>
      <c r="T204" s="324"/>
      <c r="U204" s="324"/>
      <c r="V204" s="324"/>
      <c r="W204" s="324"/>
      <c r="X204" s="324"/>
      <c r="Y204" s="324"/>
      <c r="Z204" s="324"/>
    </row>
    <row r="205">
      <c r="A205" s="324"/>
      <c r="B205" s="324"/>
      <c r="C205" s="324"/>
      <c r="D205" s="324"/>
      <c r="E205" s="324"/>
      <c r="F205" s="324"/>
      <c r="G205" s="324"/>
      <c r="H205" s="324"/>
      <c r="I205" s="324"/>
      <c r="J205" s="324"/>
      <c r="K205" s="324"/>
      <c r="L205" s="324"/>
      <c r="M205" s="324"/>
      <c r="N205" s="324"/>
      <c r="O205" s="324"/>
      <c r="P205" s="324"/>
      <c r="Q205" s="324"/>
      <c r="R205" s="324"/>
      <c r="S205" s="324"/>
      <c r="T205" s="324"/>
      <c r="U205" s="324"/>
      <c r="V205" s="324"/>
      <c r="W205" s="324"/>
      <c r="X205" s="324"/>
      <c r="Y205" s="324"/>
      <c r="Z205" s="324"/>
    </row>
    <row r="206">
      <c r="A206" s="324"/>
      <c r="B206" s="324"/>
      <c r="C206" s="324"/>
      <c r="D206" s="324"/>
      <c r="E206" s="324"/>
      <c r="F206" s="324"/>
      <c r="G206" s="324"/>
      <c r="H206" s="324"/>
      <c r="I206" s="324"/>
      <c r="J206" s="324"/>
      <c r="K206" s="324"/>
      <c r="L206" s="324"/>
      <c r="M206" s="324"/>
      <c r="N206" s="324"/>
      <c r="O206" s="324"/>
      <c r="P206" s="324"/>
      <c r="Q206" s="324"/>
      <c r="R206" s="324"/>
      <c r="S206" s="324"/>
      <c r="T206" s="324"/>
      <c r="U206" s="324"/>
      <c r="V206" s="324"/>
      <c r="W206" s="324"/>
      <c r="X206" s="324"/>
      <c r="Y206" s="324"/>
      <c r="Z206" s="324"/>
    </row>
    <row r="207">
      <c r="A207" s="324"/>
      <c r="B207" s="324"/>
      <c r="C207" s="324"/>
      <c r="D207" s="324"/>
      <c r="E207" s="324"/>
      <c r="F207" s="324"/>
      <c r="G207" s="324"/>
      <c r="H207" s="324"/>
      <c r="I207" s="324"/>
      <c r="J207" s="324"/>
      <c r="K207" s="324"/>
      <c r="L207" s="324"/>
      <c r="M207" s="324"/>
      <c r="N207" s="324"/>
      <c r="O207" s="324"/>
      <c r="P207" s="324"/>
      <c r="Q207" s="324"/>
      <c r="R207" s="324"/>
      <c r="S207" s="324"/>
      <c r="T207" s="324"/>
      <c r="U207" s="324"/>
      <c r="V207" s="324"/>
      <c r="W207" s="324"/>
      <c r="X207" s="324"/>
      <c r="Y207" s="324"/>
      <c r="Z207" s="324"/>
    </row>
    <row r="208">
      <c r="A208" s="324"/>
      <c r="B208" s="324"/>
      <c r="C208" s="324"/>
      <c r="D208" s="324"/>
      <c r="E208" s="324"/>
      <c r="F208" s="324"/>
      <c r="G208" s="324"/>
      <c r="H208" s="324"/>
      <c r="I208" s="324"/>
      <c r="J208" s="324"/>
      <c r="K208" s="324"/>
      <c r="L208" s="324"/>
      <c r="M208" s="324"/>
      <c r="N208" s="324"/>
      <c r="O208" s="324"/>
      <c r="P208" s="324"/>
      <c r="Q208" s="324"/>
      <c r="R208" s="324"/>
      <c r="S208" s="324"/>
      <c r="T208" s="324"/>
      <c r="U208" s="324"/>
      <c r="V208" s="324"/>
      <c r="W208" s="324"/>
      <c r="X208" s="324"/>
      <c r="Y208" s="324"/>
      <c r="Z208" s="324"/>
    </row>
    <row r="209">
      <c r="A209" s="324"/>
      <c r="B209" s="324"/>
      <c r="C209" s="324"/>
      <c r="D209" s="324"/>
      <c r="E209" s="324"/>
      <c r="F209" s="324"/>
      <c r="G209" s="324"/>
      <c r="H209" s="324"/>
      <c r="I209" s="324"/>
      <c r="J209" s="324"/>
      <c r="K209" s="324"/>
      <c r="L209" s="324"/>
      <c r="M209" s="324"/>
      <c r="N209" s="324"/>
      <c r="O209" s="324"/>
      <c r="P209" s="324"/>
      <c r="Q209" s="324"/>
      <c r="R209" s="324"/>
      <c r="S209" s="324"/>
      <c r="T209" s="324"/>
      <c r="U209" s="324"/>
      <c r="V209" s="324"/>
      <c r="W209" s="324"/>
      <c r="X209" s="324"/>
      <c r="Y209" s="324"/>
      <c r="Z209" s="324"/>
    </row>
    <row r="210">
      <c r="A210" s="324"/>
      <c r="B210" s="324"/>
      <c r="C210" s="324"/>
      <c r="D210" s="324"/>
      <c r="E210" s="324"/>
      <c r="F210" s="324"/>
      <c r="G210" s="324"/>
      <c r="H210" s="324"/>
      <c r="I210" s="324"/>
      <c r="J210" s="324"/>
      <c r="K210" s="324"/>
      <c r="L210" s="324"/>
      <c r="M210" s="324"/>
      <c r="N210" s="324"/>
      <c r="O210" s="324"/>
      <c r="P210" s="324"/>
      <c r="Q210" s="324"/>
      <c r="R210" s="324"/>
      <c r="S210" s="324"/>
      <c r="T210" s="324"/>
      <c r="U210" s="324"/>
      <c r="V210" s="324"/>
      <c r="W210" s="324"/>
      <c r="X210" s="324"/>
      <c r="Y210" s="324"/>
      <c r="Z210" s="324"/>
    </row>
    <row r="211">
      <c r="A211" s="324"/>
      <c r="B211" s="324"/>
      <c r="C211" s="324"/>
      <c r="D211" s="324"/>
      <c r="E211" s="324"/>
      <c r="F211" s="324"/>
      <c r="G211" s="324"/>
      <c r="H211" s="324"/>
      <c r="I211" s="324"/>
      <c r="J211" s="324"/>
      <c r="K211" s="324"/>
      <c r="L211" s="324"/>
      <c r="M211" s="324"/>
      <c r="N211" s="324"/>
      <c r="O211" s="324"/>
      <c r="P211" s="324"/>
      <c r="Q211" s="324"/>
      <c r="R211" s="324"/>
      <c r="S211" s="324"/>
      <c r="T211" s="324"/>
      <c r="U211" s="324"/>
      <c r="V211" s="324"/>
      <c r="W211" s="324"/>
      <c r="X211" s="324"/>
      <c r="Y211" s="324"/>
      <c r="Z211" s="324"/>
    </row>
    <row r="212">
      <c r="A212" s="324"/>
      <c r="B212" s="324"/>
      <c r="C212" s="324"/>
      <c r="D212" s="324"/>
      <c r="E212" s="324"/>
      <c r="F212" s="324"/>
      <c r="G212" s="324"/>
      <c r="H212" s="324"/>
      <c r="I212" s="324"/>
      <c r="J212" s="324"/>
      <c r="K212" s="324"/>
      <c r="L212" s="324"/>
      <c r="M212" s="324"/>
      <c r="N212" s="324"/>
      <c r="O212" s="324"/>
      <c r="P212" s="324"/>
      <c r="Q212" s="324"/>
      <c r="R212" s="324"/>
      <c r="S212" s="324"/>
      <c r="T212" s="324"/>
      <c r="U212" s="324"/>
      <c r="V212" s="324"/>
      <c r="W212" s="324"/>
      <c r="X212" s="324"/>
      <c r="Y212" s="324"/>
      <c r="Z212" s="324"/>
    </row>
    <row r="213">
      <c r="A213" s="324"/>
      <c r="B213" s="324"/>
      <c r="C213" s="324"/>
      <c r="D213" s="324"/>
      <c r="E213" s="324"/>
      <c r="F213" s="324"/>
      <c r="G213" s="324"/>
      <c r="H213" s="324"/>
      <c r="I213" s="324"/>
      <c r="J213" s="324"/>
      <c r="K213" s="324"/>
      <c r="L213" s="324"/>
      <c r="M213" s="324"/>
      <c r="N213" s="324"/>
      <c r="O213" s="324"/>
      <c r="P213" s="324"/>
      <c r="Q213" s="324"/>
      <c r="R213" s="324"/>
      <c r="S213" s="324"/>
      <c r="T213" s="324"/>
      <c r="U213" s="324"/>
      <c r="V213" s="324"/>
      <c r="W213" s="324"/>
      <c r="X213" s="324"/>
      <c r="Y213" s="324"/>
      <c r="Z213" s="324"/>
    </row>
    <row r="214">
      <c r="A214" s="324"/>
      <c r="B214" s="324"/>
      <c r="C214" s="324"/>
      <c r="D214" s="324"/>
      <c r="E214" s="324"/>
      <c r="F214" s="324"/>
      <c r="G214" s="324"/>
      <c r="H214" s="324"/>
      <c r="I214" s="324"/>
      <c r="J214" s="324"/>
      <c r="K214" s="324"/>
      <c r="L214" s="324"/>
      <c r="M214" s="324"/>
      <c r="N214" s="324"/>
      <c r="O214" s="324"/>
      <c r="P214" s="324"/>
      <c r="Q214" s="324"/>
      <c r="R214" s="324"/>
      <c r="S214" s="324"/>
      <c r="T214" s="324"/>
      <c r="U214" s="324"/>
      <c r="V214" s="324"/>
      <c r="W214" s="324"/>
      <c r="X214" s="324"/>
      <c r="Y214" s="324"/>
      <c r="Z214" s="324"/>
    </row>
    <row r="215">
      <c r="A215" s="324"/>
      <c r="B215" s="324"/>
      <c r="C215" s="324"/>
      <c r="D215" s="324"/>
      <c r="E215" s="324"/>
      <c r="F215" s="324"/>
      <c r="G215" s="324"/>
      <c r="H215" s="324"/>
      <c r="I215" s="324"/>
      <c r="J215" s="324"/>
      <c r="K215" s="324"/>
      <c r="L215" s="324"/>
      <c r="M215" s="324"/>
      <c r="N215" s="324"/>
      <c r="O215" s="324"/>
      <c r="P215" s="324"/>
      <c r="Q215" s="324"/>
      <c r="R215" s="324"/>
      <c r="S215" s="324"/>
      <c r="T215" s="324"/>
      <c r="U215" s="324"/>
      <c r="V215" s="324"/>
      <c r="W215" s="324"/>
      <c r="X215" s="324"/>
      <c r="Y215" s="324"/>
      <c r="Z215" s="324"/>
    </row>
    <row r="216">
      <c r="A216" s="324"/>
      <c r="B216" s="324"/>
      <c r="C216" s="324"/>
      <c r="D216" s="324"/>
      <c r="E216" s="324"/>
      <c r="F216" s="324"/>
      <c r="G216" s="324"/>
      <c r="H216" s="324"/>
      <c r="I216" s="324"/>
      <c r="J216" s="324"/>
      <c r="K216" s="324"/>
      <c r="L216" s="324"/>
      <c r="M216" s="324"/>
      <c r="N216" s="324"/>
      <c r="O216" s="324"/>
      <c r="P216" s="324"/>
      <c r="Q216" s="324"/>
      <c r="R216" s="324"/>
      <c r="S216" s="324"/>
      <c r="T216" s="324"/>
      <c r="U216" s="324"/>
      <c r="V216" s="324"/>
      <c r="W216" s="324"/>
      <c r="X216" s="324"/>
      <c r="Y216" s="324"/>
      <c r="Z216" s="324"/>
    </row>
    <row r="217">
      <c r="A217" s="324"/>
      <c r="B217" s="324"/>
      <c r="C217" s="324"/>
      <c r="D217" s="324"/>
      <c r="E217" s="324"/>
      <c r="F217" s="324"/>
      <c r="G217" s="324"/>
      <c r="H217" s="324"/>
      <c r="I217" s="324"/>
      <c r="J217" s="324"/>
      <c r="K217" s="324"/>
      <c r="L217" s="324"/>
      <c r="M217" s="324"/>
      <c r="N217" s="324"/>
      <c r="O217" s="324"/>
      <c r="P217" s="324"/>
      <c r="Q217" s="324"/>
      <c r="R217" s="324"/>
      <c r="S217" s="324"/>
      <c r="T217" s="324"/>
      <c r="U217" s="324"/>
      <c r="V217" s="324"/>
      <c r="W217" s="324"/>
      <c r="X217" s="324"/>
      <c r="Y217" s="324"/>
      <c r="Z217" s="324"/>
    </row>
    <row r="218">
      <c r="A218" s="324"/>
      <c r="B218" s="324"/>
      <c r="C218" s="324"/>
      <c r="D218" s="324"/>
      <c r="E218" s="324"/>
      <c r="F218" s="324"/>
      <c r="G218" s="324"/>
      <c r="H218" s="324"/>
      <c r="I218" s="324"/>
      <c r="J218" s="324"/>
      <c r="K218" s="324"/>
      <c r="L218" s="324"/>
      <c r="M218" s="324"/>
      <c r="N218" s="324"/>
      <c r="O218" s="324"/>
      <c r="P218" s="324"/>
      <c r="Q218" s="324"/>
      <c r="R218" s="324"/>
      <c r="S218" s="324"/>
      <c r="T218" s="324"/>
      <c r="U218" s="324"/>
      <c r="V218" s="324"/>
      <c r="W218" s="324"/>
      <c r="X218" s="324"/>
      <c r="Y218" s="324"/>
      <c r="Z218" s="324"/>
    </row>
    <row r="219">
      <c r="A219" s="324"/>
      <c r="B219" s="324"/>
      <c r="C219" s="324"/>
      <c r="D219" s="324"/>
      <c r="E219" s="324"/>
      <c r="F219" s="324"/>
      <c r="G219" s="324"/>
      <c r="H219" s="324"/>
      <c r="I219" s="324"/>
      <c r="J219" s="324"/>
      <c r="K219" s="324"/>
      <c r="L219" s="324"/>
      <c r="M219" s="324"/>
      <c r="N219" s="324"/>
      <c r="O219" s="324"/>
      <c r="P219" s="324"/>
      <c r="Q219" s="324"/>
      <c r="R219" s="324"/>
      <c r="S219" s="324"/>
      <c r="T219" s="324"/>
      <c r="U219" s="324"/>
      <c r="V219" s="324"/>
      <c r="W219" s="324"/>
      <c r="X219" s="324"/>
      <c r="Y219" s="324"/>
      <c r="Z219" s="324"/>
    </row>
    <row r="220">
      <c r="A220" s="324"/>
      <c r="B220" s="324"/>
      <c r="C220" s="324"/>
      <c r="D220" s="324"/>
      <c r="E220" s="324"/>
      <c r="F220" s="324"/>
      <c r="G220" s="324"/>
      <c r="H220" s="324"/>
      <c r="I220" s="324"/>
      <c r="J220" s="324"/>
      <c r="K220" s="324"/>
      <c r="L220" s="324"/>
      <c r="M220" s="324"/>
      <c r="N220" s="324"/>
      <c r="O220" s="324"/>
      <c r="P220" s="324"/>
      <c r="Q220" s="324"/>
      <c r="R220" s="324"/>
      <c r="S220" s="324"/>
      <c r="T220" s="324"/>
      <c r="U220" s="324"/>
      <c r="V220" s="324"/>
      <c r="W220" s="324"/>
      <c r="X220" s="324"/>
      <c r="Y220" s="324"/>
      <c r="Z220" s="324"/>
    </row>
    <row r="221">
      <c r="A221" s="324"/>
      <c r="B221" s="324"/>
      <c r="C221" s="324"/>
      <c r="D221" s="324"/>
      <c r="E221" s="324"/>
      <c r="F221" s="324"/>
      <c r="G221" s="324"/>
      <c r="H221" s="324"/>
      <c r="I221" s="324"/>
      <c r="J221" s="324"/>
      <c r="K221" s="324"/>
      <c r="L221" s="324"/>
      <c r="M221" s="324"/>
      <c r="N221" s="324"/>
      <c r="O221" s="324"/>
      <c r="P221" s="324"/>
      <c r="Q221" s="324"/>
      <c r="R221" s="324"/>
      <c r="S221" s="324"/>
      <c r="T221" s="324"/>
      <c r="U221" s="324"/>
      <c r="V221" s="324"/>
      <c r="W221" s="324"/>
      <c r="X221" s="324"/>
      <c r="Y221" s="324"/>
      <c r="Z221" s="324"/>
    </row>
    <row r="222">
      <c r="A222" s="324"/>
      <c r="B222" s="324"/>
      <c r="C222" s="324"/>
      <c r="D222" s="324"/>
      <c r="E222" s="324"/>
      <c r="F222" s="324"/>
      <c r="G222" s="324"/>
      <c r="H222" s="324"/>
      <c r="I222" s="324"/>
      <c r="J222" s="324"/>
      <c r="K222" s="324"/>
      <c r="L222" s="324"/>
      <c r="M222" s="324"/>
      <c r="N222" s="324"/>
      <c r="O222" s="324"/>
      <c r="P222" s="324"/>
      <c r="Q222" s="324"/>
      <c r="R222" s="324"/>
      <c r="S222" s="324"/>
      <c r="T222" s="324"/>
      <c r="U222" s="324"/>
      <c r="V222" s="324"/>
      <c r="W222" s="324"/>
      <c r="X222" s="324"/>
      <c r="Y222" s="324"/>
      <c r="Z222" s="324"/>
    </row>
    <row r="223">
      <c r="A223" s="324"/>
      <c r="B223" s="324"/>
      <c r="C223" s="324"/>
      <c r="D223" s="324"/>
      <c r="E223" s="324"/>
      <c r="F223" s="324"/>
      <c r="G223" s="324"/>
      <c r="H223" s="324"/>
      <c r="I223" s="324"/>
      <c r="J223" s="324"/>
      <c r="K223" s="324"/>
      <c r="L223" s="324"/>
      <c r="M223" s="324"/>
      <c r="N223" s="324"/>
      <c r="O223" s="324"/>
      <c r="P223" s="324"/>
      <c r="Q223" s="324"/>
      <c r="R223" s="324"/>
      <c r="S223" s="324"/>
      <c r="T223" s="324"/>
      <c r="U223" s="324"/>
      <c r="V223" s="324"/>
      <c r="W223" s="324"/>
      <c r="X223" s="324"/>
      <c r="Y223" s="324"/>
      <c r="Z223" s="324"/>
    </row>
    <row r="224">
      <c r="A224" s="324"/>
      <c r="B224" s="324"/>
      <c r="C224" s="324"/>
      <c r="D224" s="324"/>
      <c r="E224" s="324"/>
      <c r="F224" s="324"/>
      <c r="G224" s="324"/>
      <c r="H224" s="324"/>
      <c r="I224" s="324"/>
      <c r="J224" s="324"/>
      <c r="K224" s="324"/>
      <c r="L224" s="324"/>
      <c r="M224" s="324"/>
      <c r="N224" s="324"/>
      <c r="O224" s="324"/>
      <c r="P224" s="324"/>
      <c r="Q224" s="324"/>
      <c r="R224" s="324"/>
      <c r="S224" s="324"/>
      <c r="T224" s="324"/>
      <c r="U224" s="324"/>
      <c r="V224" s="324"/>
      <c r="W224" s="324"/>
      <c r="X224" s="324"/>
      <c r="Y224" s="324"/>
      <c r="Z224" s="324"/>
    </row>
    <row r="225">
      <c r="A225" s="324"/>
      <c r="B225" s="324"/>
      <c r="C225" s="324"/>
      <c r="D225" s="324"/>
      <c r="E225" s="324"/>
      <c r="F225" s="324"/>
      <c r="G225" s="324"/>
      <c r="H225" s="324"/>
      <c r="I225" s="324"/>
      <c r="J225" s="324"/>
      <c r="K225" s="324"/>
      <c r="L225" s="324"/>
      <c r="M225" s="324"/>
      <c r="N225" s="324"/>
      <c r="O225" s="324"/>
      <c r="P225" s="324"/>
      <c r="Q225" s="324"/>
      <c r="R225" s="324"/>
      <c r="S225" s="324"/>
      <c r="T225" s="324"/>
      <c r="U225" s="324"/>
      <c r="V225" s="324"/>
      <c r="W225" s="324"/>
      <c r="X225" s="324"/>
      <c r="Y225" s="324"/>
      <c r="Z225" s="324"/>
    </row>
    <row r="226">
      <c r="A226" s="324"/>
      <c r="B226" s="324"/>
      <c r="C226" s="324"/>
      <c r="D226" s="324"/>
      <c r="E226" s="324"/>
      <c r="F226" s="324"/>
      <c r="G226" s="324"/>
      <c r="H226" s="324"/>
      <c r="I226" s="324"/>
      <c r="J226" s="324"/>
      <c r="K226" s="324"/>
      <c r="L226" s="324"/>
      <c r="M226" s="324"/>
      <c r="N226" s="324"/>
      <c r="O226" s="324"/>
      <c r="P226" s="324"/>
      <c r="Q226" s="324"/>
      <c r="R226" s="324"/>
      <c r="S226" s="324"/>
      <c r="T226" s="324"/>
      <c r="U226" s="324"/>
      <c r="V226" s="324"/>
      <c r="W226" s="324"/>
      <c r="X226" s="324"/>
      <c r="Y226" s="324"/>
      <c r="Z226" s="324"/>
    </row>
    <row r="227">
      <c r="A227" s="324"/>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c r="X227" s="324"/>
      <c r="Y227" s="324"/>
      <c r="Z227" s="324"/>
    </row>
    <row r="228">
      <c r="A228" s="324"/>
      <c r="B228" s="324"/>
      <c r="C228" s="324"/>
      <c r="D228" s="324"/>
      <c r="E228" s="324"/>
      <c r="F228" s="324"/>
      <c r="G228" s="324"/>
      <c r="H228" s="324"/>
      <c r="I228" s="324"/>
      <c r="J228" s="324"/>
      <c r="K228" s="324"/>
      <c r="L228" s="324"/>
      <c r="M228" s="324"/>
      <c r="N228" s="324"/>
      <c r="O228" s="324"/>
      <c r="P228" s="324"/>
      <c r="Q228" s="324"/>
      <c r="R228" s="324"/>
      <c r="S228" s="324"/>
      <c r="T228" s="324"/>
      <c r="U228" s="324"/>
      <c r="V228" s="324"/>
      <c r="W228" s="324"/>
      <c r="X228" s="324"/>
      <c r="Y228" s="324"/>
      <c r="Z228" s="324"/>
    </row>
    <row r="229">
      <c r="A229" s="324"/>
      <c r="B229" s="324"/>
      <c r="C229" s="324"/>
      <c r="D229" s="324"/>
      <c r="E229" s="324"/>
      <c r="F229" s="324"/>
      <c r="G229" s="324"/>
      <c r="H229" s="324"/>
      <c r="I229" s="324"/>
      <c r="J229" s="324"/>
      <c r="K229" s="324"/>
      <c r="L229" s="324"/>
      <c r="M229" s="324"/>
      <c r="N229" s="324"/>
      <c r="O229" s="324"/>
      <c r="P229" s="324"/>
      <c r="Q229" s="324"/>
      <c r="R229" s="324"/>
      <c r="S229" s="324"/>
      <c r="T229" s="324"/>
      <c r="U229" s="324"/>
      <c r="V229" s="324"/>
      <c r="W229" s="324"/>
      <c r="X229" s="324"/>
      <c r="Y229" s="324"/>
      <c r="Z229" s="324"/>
    </row>
    <row r="230">
      <c r="A230" s="324"/>
      <c r="B230" s="324"/>
      <c r="C230" s="324"/>
      <c r="D230" s="324"/>
      <c r="E230" s="324"/>
      <c r="F230" s="324"/>
      <c r="G230" s="324"/>
      <c r="H230" s="324"/>
      <c r="I230" s="324"/>
      <c r="J230" s="324"/>
      <c r="K230" s="324"/>
      <c r="L230" s="324"/>
      <c r="M230" s="324"/>
      <c r="N230" s="324"/>
      <c r="O230" s="324"/>
      <c r="P230" s="324"/>
      <c r="Q230" s="324"/>
      <c r="R230" s="324"/>
      <c r="S230" s="324"/>
      <c r="T230" s="324"/>
      <c r="U230" s="324"/>
      <c r="V230" s="324"/>
      <c r="W230" s="324"/>
      <c r="X230" s="324"/>
      <c r="Y230" s="324"/>
      <c r="Z230" s="324"/>
    </row>
    <row r="231">
      <c r="A231" s="324"/>
      <c r="B231" s="324"/>
      <c r="C231" s="324"/>
      <c r="D231" s="324"/>
      <c r="E231" s="324"/>
      <c r="F231" s="324"/>
      <c r="G231" s="324"/>
      <c r="H231" s="324"/>
      <c r="I231" s="324"/>
      <c r="J231" s="324"/>
      <c r="K231" s="324"/>
      <c r="L231" s="324"/>
      <c r="M231" s="324"/>
      <c r="N231" s="324"/>
      <c r="O231" s="324"/>
      <c r="P231" s="324"/>
      <c r="Q231" s="324"/>
      <c r="R231" s="324"/>
      <c r="S231" s="324"/>
      <c r="T231" s="324"/>
      <c r="U231" s="324"/>
      <c r="V231" s="324"/>
      <c r="W231" s="324"/>
      <c r="X231" s="324"/>
      <c r="Y231" s="324"/>
      <c r="Z231" s="324"/>
    </row>
    <row r="232">
      <c r="A232" s="324"/>
      <c r="B232" s="324"/>
      <c r="C232" s="324"/>
      <c r="D232" s="324"/>
      <c r="E232" s="324"/>
      <c r="F232" s="324"/>
      <c r="G232" s="324"/>
      <c r="H232" s="324"/>
      <c r="I232" s="324"/>
      <c r="J232" s="324"/>
      <c r="K232" s="324"/>
      <c r="L232" s="324"/>
      <c r="M232" s="324"/>
      <c r="N232" s="324"/>
      <c r="O232" s="324"/>
      <c r="P232" s="324"/>
      <c r="Q232" s="324"/>
      <c r="R232" s="324"/>
      <c r="S232" s="324"/>
      <c r="T232" s="324"/>
      <c r="U232" s="324"/>
      <c r="V232" s="324"/>
      <c r="W232" s="324"/>
      <c r="X232" s="324"/>
      <c r="Y232" s="324"/>
      <c r="Z232" s="324"/>
    </row>
    <row r="233">
      <c r="A233" s="324"/>
      <c r="B233" s="324"/>
      <c r="C233" s="324"/>
      <c r="D233" s="324"/>
      <c r="E233" s="324"/>
      <c r="F233" s="324"/>
      <c r="G233" s="324"/>
      <c r="H233" s="324"/>
      <c r="I233" s="324"/>
      <c r="J233" s="324"/>
      <c r="K233" s="324"/>
      <c r="L233" s="324"/>
      <c r="M233" s="324"/>
      <c r="N233" s="324"/>
      <c r="O233" s="324"/>
      <c r="P233" s="324"/>
      <c r="Q233" s="324"/>
      <c r="R233" s="324"/>
      <c r="S233" s="324"/>
      <c r="T233" s="324"/>
      <c r="U233" s="324"/>
      <c r="V233" s="324"/>
      <c r="W233" s="324"/>
      <c r="X233" s="324"/>
      <c r="Y233" s="324"/>
      <c r="Z233" s="324"/>
    </row>
    <row r="234">
      <c r="A234" s="324"/>
      <c r="B234" s="324"/>
      <c r="C234" s="324"/>
      <c r="D234" s="324"/>
      <c r="E234" s="324"/>
      <c r="F234" s="324"/>
      <c r="G234" s="324"/>
      <c r="H234" s="324"/>
      <c r="I234" s="324"/>
      <c r="J234" s="324"/>
      <c r="K234" s="324"/>
      <c r="L234" s="324"/>
      <c r="M234" s="324"/>
      <c r="N234" s="324"/>
      <c r="O234" s="324"/>
      <c r="P234" s="324"/>
      <c r="Q234" s="324"/>
      <c r="R234" s="324"/>
      <c r="S234" s="324"/>
      <c r="T234" s="324"/>
      <c r="U234" s="324"/>
      <c r="V234" s="324"/>
      <c r="W234" s="324"/>
      <c r="X234" s="324"/>
      <c r="Y234" s="324"/>
      <c r="Z234" s="324"/>
    </row>
    <row r="235">
      <c r="A235" s="324"/>
      <c r="B235" s="324"/>
      <c r="C235" s="324"/>
      <c r="D235" s="324"/>
      <c r="E235" s="324"/>
      <c r="F235" s="324"/>
      <c r="G235" s="324"/>
      <c r="H235" s="324"/>
      <c r="I235" s="324"/>
      <c r="J235" s="324"/>
      <c r="K235" s="324"/>
      <c r="L235" s="324"/>
      <c r="M235" s="324"/>
      <c r="N235" s="324"/>
      <c r="O235" s="324"/>
      <c r="P235" s="324"/>
      <c r="Q235" s="324"/>
      <c r="R235" s="324"/>
      <c r="S235" s="324"/>
      <c r="T235" s="324"/>
      <c r="U235" s="324"/>
      <c r="V235" s="324"/>
      <c r="W235" s="324"/>
      <c r="X235" s="324"/>
      <c r="Y235" s="324"/>
      <c r="Z235" s="324"/>
    </row>
    <row r="236">
      <c r="A236" s="324"/>
      <c r="B236" s="324"/>
      <c r="C236" s="324"/>
      <c r="D236" s="324"/>
      <c r="E236" s="324"/>
      <c r="F236" s="324"/>
      <c r="G236" s="324"/>
      <c r="H236" s="324"/>
      <c r="I236" s="324"/>
      <c r="J236" s="324"/>
      <c r="K236" s="324"/>
      <c r="L236" s="324"/>
      <c r="M236" s="324"/>
      <c r="N236" s="324"/>
      <c r="O236" s="324"/>
      <c r="P236" s="324"/>
      <c r="Q236" s="324"/>
      <c r="R236" s="324"/>
      <c r="S236" s="324"/>
      <c r="T236" s="324"/>
      <c r="U236" s="324"/>
      <c r="V236" s="324"/>
      <c r="W236" s="324"/>
      <c r="X236" s="324"/>
      <c r="Y236" s="324"/>
      <c r="Z236" s="324"/>
    </row>
    <row r="237">
      <c r="A237" s="324"/>
      <c r="B237" s="324"/>
      <c r="C237" s="324"/>
      <c r="D237" s="324"/>
      <c r="E237" s="324"/>
      <c r="F237" s="324"/>
      <c r="G237" s="324"/>
      <c r="H237" s="324"/>
      <c r="I237" s="324"/>
      <c r="J237" s="324"/>
      <c r="K237" s="324"/>
      <c r="L237" s="324"/>
      <c r="M237" s="324"/>
      <c r="N237" s="324"/>
      <c r="O237" s="324"/>
      <c r="P237" s="324"/>
      <c r="Q237" s="324"/>
      <c r="R237" s="324"/>
      <c r="S237" s="324"/>
      <c r="T237" s="324"/>
      <c r="U237" s="324"/>
      <c r="V237" s="324"/>
      <c r="W237" s="324"/>
      <c r="X237" s="324"/>
      <c r="Y237" s="324"/>
      <c r="Z237" s="324"/>
    </row>
    <row r="238">
      <c r="A238" s="324"/>
      <c r="B238" s="324"/>
      <c r="C238" s="324"/>
      <c r="D238" s="324"/>
      <c r="E238" s="324"/>
      <c r="F238" s="324"/>
      <c r="G238" s="324"/>
      <c r="H238" s="324"/>
      <c r="I238" s="324"/>
      <c r="J238" s="324"/>
      <c r="K238" s="324"/>
      <c r="L238" s="324"/>
      <c r="M238" s="324"/>
      <c r="N238" s="324"/>
      <c r="O238" s="324"/>
      <c r="P238" s="324"/>
      <c r="Q238" s="324"/>
      <c r="R238" s="324"/>
      <c r="S238" s="324"/>
      <c r="T238" s="324"/>
      <c r="U238" s="324"/>
      <c r="V238" s="324"/>
      <c r="W238" s="324"/>
      <c r="X238" s="324"/>
      <c r="Y238" s="324"/>
      <c r="Z238" s="324"/>
    </row>
    <row r="239">
      <c r="A239" s="324"/>
      <c r="B239" s="324"/>
      <c r="C239" s="324"/>
      <c r="D239" s="324"/>
      <c r="E239" s="324"/>
      <c r="F239" s="324"/>
      <c r="G239" s="324"/>
      <c r="H239" s="324"/>
      <c r="I239" s="324"/>
      <c r="J239" s="324"/>
      <c r="K239" s="324"/>
      <c r="L239" s="324"/>
      <c r="M239" s="324"/>
      <c r="N239" s="324"/>
      <c r="O239" s="324"/>
      <c r="P239" s="324"/>
      <c r="Q239" s="324"/>
      <c r="R239" s="324"/>
      <c r="S239" s="324"/>
      <c r="T239" s="324"/>
      <c r="U239" s="324"/>
      <c r="V239" s="324"/>
      <c r="W239" s="324"/>
      <c r="X239" s="324"/>
      <c r="Y239" s="324"/>
      <c r="Z239" s="324"/>
    </row>
    <row r="240">
      <c r="A240" s="324"/>
      <c r="B240" s="324"/>
      <c r="C240" s="324"/>
      <c r="D240" s="324"/>
      <c r="E240" s="324"/>
      <c r="F240" s="324"/>
      <c r="G240" s="324"/>
      <c r="H240" s="324"/>
      <c r="I240" s="324"/>
      <c r="J240" s="324"/>
      <c r="K240" s="324"/>
      <c r="L240" s="324"/>
      <c r="M240" s="324"/>
      <c r="N240" s="324"/>
      <c r="O240" s="324"/>
      <c r="P240" s="324"/>
      <c r="Q240" s="324"/>
      <c r="R240" s="324"/>
      <c r="S240" s="324"/>
      <c r="T240" s="324"/>
      <c r="U240" s="324"/>
      <c r="V240" s="324"/>
      <c r="W240" s="324"/>
      <c r="X240" s="324"/>
      <c r="Y240" s="324"/>
      <c r="Z240" s="324"/>
    </row>
    <row r="241">
      <c r="A241" s="324"/>
      <c r="B241" s="324"/>
      <c r="C241" s="324"/>
      <c r="D241" s="324"/>
      <c r="E241" s="324"/>
      <c r="F241" s="324"/>
      <c r="G241" s="324"/>
      <c r="H241" s="324"/>
      <c r="I241" s="324"/>
      <c r="J241" s="324"/>
      <c r="K241" s="324"/>
      <c r="L241" s="324"/>
      <c r="M241" s="324"/>
      <c r="N241" s="324"/>
      <c r="O241" s="324"/>
      <c r="P241" s="324"/>
      <c r="Q241" s="324"/>
      <c r="R241" s="324"/>
      <c r="S241" s="324"/>
      <c r="T241" s="324"/>
      <c r="U241" s="324"/>
      <c r="V241" s="324"/>
      <c r="W241" s="324"/>
      <c r="X241" s="324"/>
      <c r="Y241" s="324"/>
      <c r="Z241" s="324"/>
    </row>
    <row r="242">
      <c r="A242" s="324"/>
      <c r="B242" s="324"/>
      <c r="C242" s="324"/>
      <c r="D242" s="324"/>
      <c r="E242" s="324"/>
      <c r="F242" s="324"/>
      <c r="G242" s="324"/>
      <c r="H242" s="324"/>
      <c r="I242" s="324"/>
      <c r="J242" s="324"/>
      <c r="K242" s="324"/>
      <c r="L242" s="324"/>
      <c r="M242" s="324"/>
      <c r="N242" s="324"/>
      <c r="O242" s="324"/>
      <c r="P242" s="324"/>
      <c r="Q242" s="324"/>
      <c r="R242" s="324"/>
      <c r="S242" s="324"/>
      <c r="T242" s="324"/>
      <c r="U242" s="324"/>
      <c r="V242" s="324"/>
      <c r="W242" s="324"/>
      <c r="X242" s="324"/>
      <c r="Y242" s="324"/>
      <c r="Z242" s="324"/>
    </row>
    <row r="243">
      <c r="A243" s="324"/>
      <c r="B243" s="324"/>
      <c r="C243" s="324"/>
      <c r="D243" s="324"/>
      <c r="E243" s="324"/>
      <c r="F243" s="324"/>
      <c r="G243" s="324"/>
      <c r="H243" s="324"/>
      <c r="I243" s="324"/>
      <c r="J243" s="324"/>
      <c r="K243" s="324"/>
      <c r="L243" s="324"/>
      <c r="M243" s="324"/>
      <c r="N243" s="324"/>
      <c r="O243" s="324"/>
      <c r="P243" s="324"/>
      <c r="Q243" s="324"/>
      <c r="R243" s="324"/>
      <c r="S243" s="324"/>
      <c r="T243" s="324"/>
      <c r="U243" s="324"/>
      <c r="V243" s="324"/>
      <c r="W243" s="324"/>
      <c r="X243" s="324"/>
      <c r="Y243" s="324"/>
      <c r="Z243" s="324"/>
    </row>
    <row r="244">
      <c r="A244" s="324"/>
      <c r="B244" s="324"/>
      <c r="C244" s="324"/>
      <c r="D244" s="324"/>
      <c r="E244" s="324"/>
      <c r="F244" s="324"/>
      <c r="G244" s="324"/>
      <c r="H244" s="324"/>
      <c r="I244" s="324"/>
      <c r="J244" s="324"/>
      <c r="K244" s="324"/>
      <c r="L244" s="324"/>
      <c r="M244" s="324"/>
      <c r="N244" s="324"/>
      <c r="O244" s="324"/>
      <c r="P244" s="324"/>
      <c r="Q244" s="324"/>
      <c r="R244" s="324"/>
      <c r="S244" s="324"/>
      <c r="T244" s="324"/>
      <c r="U244" s="324"/>
      <c r="V244" s="324"/>
      <c r="W244" s="324"/>
      <c r="X244" s="324"/>
      <c r="Y244" s="324"/>
      <c r="Z244" s="324"/>
    </row>
    <row r="245">
      <c r="A245" s="324"/>
      <c r="B245" s="324"/>
      <c r="C245" s="324"/>
      <c r="D245" s="324"/>
      <c r="E245" s="324"/>
      <c r="F245" s="324"/>
      <c r="G245" s="324"/>
      <c r="H245" s="324"/>
      <c r="I245" s="324"/>
      <c r="J245" s="324"/>
      <c r="K245" s="324"/>
      <c r="L245" s="324"/>
      <c r="M245" s="324"/>
      <c r="N245" s="324"/>
      <c r="O245" s="324"/>
      <c r="P245" s="324"/>
      <c r="Q245" s="324"/>
      <c r="R245" s="324"/>
      <c r="S245" s="324"/>
      <c r="T245" s="324"/>
      <c r="U245" s="324"/>
      <c r="V245" s="324"/>
      <c r="W245" s="324"/>
      <c r="X245" s="324"/>
      <c r="Y245" s="324"/>
      <c r="Z245" s="324"/>
    </row>
    <row r="246">
      <c r="A246" s="324"/>
      <c r="B246" s="324"/>
      <c r="C246" s="324"/>
      <c r="D246" s="324"/>
      <c r="E246" s="324"/>
      <c r="F246" s="324"/>
      <c r="G246" s="324"/>
      <c r="H246" s="324"/>
      <c r="I246" s="324"/>
      <c r="J246" s="324"/>
      <c r="K246" s="324"/>
      <c r="L246" s="324"/>
      <c r="M246" s="324"/>
      <c r="N246" s="324"/>
      <c r="O246" s="324"/>
      <c r="P246" s="324"/>
      <c r="Q246" s="324"/>
      <c r="R246" s="324"/>
      <c r="S246" s="324"/>
      <c r="T246" s="324"/>
      <c r="U246" s="324"/>
      <c r="V246" s="324"/>
      <c r="W246" s="324"/>
      <c r="X246" s="324"/>
      <c r="Y246" s="324"/>
      <c r="Z246" s="324"/>
    </row>
    <row r="247">
      <c r="A247" s="324"/>
      <c r="B247" s="324"/>
      <c r="C247" s="324"/>
      <c r="D247" s="324"/>
      <c r="E247" s="324"/>
      <c r="F247" s="324"/>
      <c r="G247" s="324"/>
      <c r="H247" s="324"/>
      <c r="I247" s="324"/>
      <c r="J247" s="324"/>
      <c r="K247" s="324"/>
      <c r="L247" s="324"/>
      <c r="M247" s="324"/>
      <c r="N247" s="324"/>
      <c r="O247" s="324"/>
      <c r="P247" s="324"/>
      <c r="Q247" s="324"/>
      <c r="R247" s="324"/>
      <c r="S247" s="324"/>
      <c r="T247" s="324"/>
      <c r="U247" s="324"/>
      <c r="V247" s="324"/>
      <c r="W247" s="324"/>
      <c r="X247" s="324"/>
      <c r="Y247" s="324"/>
      <c r="Z247" s="324"/>
    </row>
    <row r="248">
      <c r="A248" s="324"/>
      <c r="B248" s="324"/>
      <c r="C248" s="324"/>
      <c r="D248" s="324"/>
      <c r="E248" s="324"/>
      <c r="F248" s="324"/>
      <c r="G248" s="324"/>
      <c r="H248" s="324"/>
      <c r="I248" s="324"/>
      <c r="J248" s="324"/>
      <c r="K248" s="324"/>
      <c r="L248" s="324"/>
      <c r="M248" s="324"/>
      <c r="N248" s="324"/>
      <c r="O248" s="324"/>
      <c r="P248" s="324"/>
      <c r="Q248" s="324"/>
      <c r="R248" s="324"/>
      <c r="S248" s="324"/>
      <c r="T248" s="324"/>
      <c r="U248" s="324"/>
      <c r="V248" s="324"/>
      <c r="W248" s="324"/>
      <c r="X248" s="324"/>
      <c r="Y248" s="324"/>
      <c r="Z248" s="324"/>
    </row>
    <row r="249">
      <c r="A249" s="324"/>
      <c r="B249" s="324"/>
      <c r="C249" s="324"/>
      <c r="D249" s="324"/>
      <c r="E249" s="324"/>
      <c r="F249" s="324"/>
      <c r="G249" s="324"/>
      <c r="H249" s="324"/>
      <c r="I249" s="324"/>
      <c r="J249" s="324"/>
      <c r="K249" s="324"/>
      <c r="L249" s="324"/>
      <c r="M249" s="324"/>
      <c r="N249" s="324"/>
      <c r="O249" s="324"/>
      <c r="P249" s="324"/>
      <c r="Q249" s="324"/>
      <c r="R249" s="324"/>
      <c r="S249" s="324"/>
      <c r="T249" s="324"/>
      <c r="U249" s="324"/>
      <c r="V249" s="324"/>
      <c r="W249" s="324"/>
      <c r="X249" s="324"/>
      <c r="Y249" s="324"/>
      <c r="Z249" s="324"/>
    </row>
    <row r="250">
      <c r="A250" s="324"/>
      <c r="B250" s="324"/>
      <c r="C250" s="324"/>
      <c r="D250" s="324"/>
      <c r="E250" s="324"/>
      <c r="F250" s="324"/>
      <c r="G250" s="324"/>
      <c r="H250" s="324"/>
      <c r="I250" s="324"/>
      <c r="J250" s="324"/>
      <c r="K250" s="324"/>
      <c r="L250" s="324"/>
      <c r="M250" s="324"/>
      <c r="N250" s="324"/>
      <c r="O250" s="324"/>
      <c r="P250" s="324"/>
      <c r="Q250" s="324"/>
      <c r="R250" s="324"/>
      <c r="S250" s="324"/>
      <c r="T250" s="324"/>
      <c r="U250" s="324"/>
      <c r="V250" s="324"/>
      <c r="W250" s="324"/>
      <c r="X250" s="324"/>
      <c r="Y250" s="324"/>
      <c r="Z250" s="324"/>
    </row>
    <row r="251">
      <c r="A251" s="324"/>
      <c r="B251" s="324"/>
      <c r="C251" s="324"/>
      <c r="D251" s="324"/>
      <c r="E251" s="324"/>
      <c r="F251" s="324"/>
      <c r="G251" s="324"/>
      <c r="H251" s="324"/>
      <c r="I251" s="324"/>
      <c r="J251" s="324"/>
      <c r="K251" s="324"/>
      <c r="L251" s="324"/>
      <c r="M251" s="324"/>
      <c r="N251" s="324"/>
      <c r="O251" s="324"/>
      <c r="P251" s="324"/>
      <c r="Q251" s="324"/>
      <c r="R251" s="324"/>
      <c r="S251" s="324"/>
      <c r="T251" s="324"/>
      <c r="U251" s="324"/>
      <c r="V251" s="324"/>
      <c r="W251" s="324"/>
      <c r="X251" s="324"/>
      <c r="Y251" s="324"/>
      <c r="Z251" s="324"/>
    </row>
    <row r="252">
      <c r="A252" s="324"/>
      <c r="B252" s="324"/>
      <c r="C252" s="324"/>
      <c r="D252" s="324"/>
      <c r="E252" s="324"/>
      <c r="F252" s="324"/>
      <c r="G252" s="324"/>
      <c r="H252" s="324"/>
      <c r="I252" s="324"/>
      <c r="J252" s="324"/>
      <c r="K252" s="324"/>
      <c r="L252" s="324"/>
      <c r="M252" s="324"/>
      <c r="N252" s="324"/>
      <c r="O252" s="324"/>
      <c r="P252" s="324"/>
      <c r="Q252" s="324"/>
      <c r="R252" s="324"/>
      <c r="S252" s="324"/>
      <c r="T252" s="324"/>
      <c r="U252" s="324"/>
      <c r="V252" s="324"/>
      <c r="W252" s="324"/>
      <c r="X252" s="324"/>
      <c r="Y252" s="324"/>
      <c r="Z252" s="324"/>
    </row>
    <row r="253">
      <c r="A253" s="324"/>
      <c r="B253" s="324"/>
      <c r="C253" s="324"/>
      <c r="D253" s="324"/>
      <c r="E253" s="324"/>
      <c r="F253" s="324"/>
      <c r="G253" s="324"/>
      <c r="H253" s="324"/>
      <c r="I253" s="324"/>
      <c r="J253" s="324"/>
      <c r="K253" s="324"/>
      <c r="L253" s="324"/>
      <c r="M253" s="324"/>
      <c r="N253" s="324"/>
      <c r="O253" s="324"/>
      <c r="P253" s="324"/>
      <c r="Q253" s="324"/>
      <c r="R253" s="324"/>
      <c r="S253" s="324"/>
      <c r="T253" s="324"/>
      <c r="U253" s="324"/>
      <c r="V253" s="324"/>
      <c r="W253" s="324"/>
      <c r="X253" s="324"/>
      <c r="Y253" s="324"/>
      <c r="Z253" s="324"/>
    </row>
    <row r="254">
      <c r="A254" s="324"/>
      <c r="B254" s="324"/>
      <c r="C254" s="324"/>
      <c r="D254" s="324"/>
      <c r="E254" s="324"/>
      <c r="F254" s="324"/>
      <c r="G254" s="324"/>
      <c r="H254" s="324"/>
      <c r="I254" s="324"/>
      <c r="J254" s="324"/>
      <c r="K254" s="324"/>
      <c r="L254" s="324"/>
      <c r="M254" s="324"/>
      <c r="N254" s="324"/>
      <c r="O254" s="324"/>
      <c r="P254" s="324"/>
      <c r="Q254" s="324"/>
      <c r="R254" s="324"/>
      <c r="S254" s="324"/>
      <c r="T254" s="324"/>
      <c r="U254" s="324"/>
      <c r="V254" s="324"/>
      <c r="W254" s="324"/>
      <c r="X254" s="324"/>
      <c r="Y254" s="324"/>
      <c r="Z254" s="324"/>
    </row>
    <row r="255">
      <c r="A255" s="324"/>
      <c r="B255" s="324"/>
      <c r="C255" s="324"/>
      <c r="D255" s="324"/>
      <c r="E255" s="324"/>
      <c r="F255" s="324"/>
      <c r="G255" s="324"/>
      <c r="H255" s="324"/>
      <c r="I255" s="324"/>
      <c r="J255" s="324"/>
      <c r="K255" s="324"/>
      <c r="L255" s="324"/>
      <c r="M255" s="324"/>
      <c r="N255" s="324"/>
      <c r="O255" s="324"/>
      <c r="P255" s="324"/>
      <c r="Q255" s="324"/>
      <c r="R255" s="324"/>
      <c r="S255" s="324"/>
      <c r="T255" s="324"/>
      <c r="U255" s="324"/>
      <c r="V255" s="324"/>
      <c r="W255" s="324"/>
      <c r="X255" s="324"/>
      <c r="Y255" s="324"/>
      <c r="Z255" s="324"/>
    </row>
    <row r="256">
      <c r="A256" s="324"/>
      <c r="B256" s="324"/>
      <c r="C256" s="324"/>
      <c r="D256" s="324"/>
      <c r="E256" s="324"/>
      <c r="F256" s="324"/>
      <c r="G256" s="324"/>
      <c r="H256" s="324"/>
      <c r="I256" s="324"/>
      <c r="J256" s="324"/>
      <c r="K256" s="324"/>
      <c r="L256" s="324"/>
      <c r="M256" s="324"/>
      <c r="N256" s="324"/>
      <c r="O256" s="324"/>
      <c r="P256" s="324"/>
      <c r="Q256" s="324"/>
      <c r="R256" s="324"/>
      <c r="S256" s="324"/>
      <c r="T256" s="324"/>
      <c r="U256" s="324"/>
      <c r="V256" s="324"/>
      <c r="W256" s="324"/>
      <c r="X256" s="324"/>
      <c r="Y256" s="324"/>
      <c r="Z256" s="324"/>
    </row>
    <row r="257">
      <c r="A257" s="324"/>
      <c r="B257" s="324"/>
      <c r="C257" s="324"/>
      <c r="D257" s="324"/>
      <c r="E257" s="324"/>
      <c r="F257" s="324"/>
      <c r="G257" s="324"/>
      <c r="H257" s="324"/>
      <c r="I257" s="324"/>
      <c r="J257" s="324"/>
      <c r="K257" s="324"/>
      <c r="L257" s="324"/>
      <c r="M257" s="324"/>
      <c r="N257" s="324"/>
      <c r="O257" s="324"/>
      <c r="P257" s="324"/>
      <c r="Q257" s="324"/>
      <c r="R257" s="324"/>
      <c r="S257" s="324"/>
      <c r="T257" s="324"/>
      <c r="U257" s="324"/>
      <c r="V257" s="324"/>
      <c r="W257" s="324"/>
      <c r="X257" s="324"/>
      <c r="Y257" s="324"/>
      <c r="Z257" s="324"/>
    </row>
    <row r="258">
      <c r="A258" s="324"/>
      <c r="B258" s="324"/>
      <c r="C258" s="324"/>
      <c r="D258" s="324"/>
      <c r="E258" s="324"/>
      <c r="F258" s="324"/>
      <c r="G258" s="324"/>
      <c r="H258" s="324"/>
      <c r="I258" s="324"/>
      <c r="J258" s="324"/>
      <c r="K258" s="324"/>
      <c r="L258" s="324"/>
      <c r="M258" s="324"/>
      <c r="N258" s="324"/>
      <c r="O258" s="324"/>
      <c r="P258" s="324"/>
      <c r="Q258" s="324"/>
      <c r="R258" s="324"/>
      <c r="S258" s="324"/>
      <c r="T258" s="324"/>
      <c r="U258" s="324"/>
      <c r="V258" s="324"/>
      <c r="W258" s="324"/>
      <c r="X258" s="324"/>
      <c r="Y258" s="324"/>
      <c r="Z258" s="324"/>
    </row>
    <row r="259">
      <c r="A259" s="324"/>
      <c r="B259" s="324"/>
      <c r="C259" s="324"/>
      <c r="D259" s="324"/>
      <c r="E259" s="324"/>
      <c r="F259" s="324"/>
      <c r="G259" s="324"/>
      <c r="H259" s="324"/>
      <c r="I259" s="324"/>
      <c r="J259" s="324"/>
      <c r="K259" s="324"/>
      <c r="L259" s="324"/>
      <c r="M259" s="324"/>
      <c r="N259" s="324"/>
      <c r="O259" s="324"/>
      <c r="P259" s="324"/>
      <c r="Q259" s="324"/>
      <c r="R259" s="324"/>
      <c r="S259" s="324"/>
      <c r="T259" s="324"/>
      <c r="U259" s="324"/>
      <c r="V259" s="324"/>
      <c r="W259" s="324"/>
      <c r="X259" s="324"/>
      <c r="Y259" s="324"/>
      <c r="Z259" s="324"/>
    </row>
    <row r="260">
      <c r="A260" s="324"/>
      <c r="B260" s="324"/>
      <c r="C260" s="324"/>
      <c r="D260" s="324"/>
      <c r="E260" s="324"/>
      <c r="F260" s="324"/>
      <c r="G260" s="324"/>
      <c r="H260" s="324"/>
      <c r="I260" s="324"/>
      <c r="J260" s="324"/>
      <c r="K260" s="324"/>
      <c r="L260" s="324"/>
      <c r="M260" s="324"/>
      <c r="N260" s="324"/>
      <c r="O260" s="324"/>
      <c r="P260" s="324"/>
      <c r="Q260" s="324"/>
      <c r="R260" s="324"/>
      <c r="S260" s="324"/>
      <c r="T260" s="324"/>
      <c r="U260" s="324"/>
      <c r="V260" s="324"/>
      <c r="W260" s="324"/>
      <c r="X260" s="324"/>
      <c r="Y260" s="324"/>
      <c r="Z260" s="324"/>
    </row>
    <row r="261">
      <c r="A261" s="324"/>
      <c r="B261" s="324"/>
      <c r="C261" s="324"/>
      <c r="D261" s="324"/>
      <c r="E261" s="324"/>
      <c r="F261" s="324"/>
      <c r="G261" s="324"/>
      <c r="H261" s="324"/>
      <c r="I261" s="324"/>
      <c r="J261" s="324"/>
      <c r="K261" s="324"/>
      <c r="L261" s="324"/>
      <c r="M261" s="324"/>
      <c r="N261" s="324"/>
      <c r="O261" s="324"/>
      <c r="P261" s="324"/>
      <c r="Q261" s="324"/>
      <c r="R261" s="324"/>
      <c r="S261" s="324"/>
      <c r="T261" s="324"/>
      <c r="U261" s="324"/>
      <c r="V261" s="324"/>
      <c r="W261" s="324"/>
      <c r="X261" s="324"/>
      <c r="Y261" s="324"/>
      <c r="Z261" s="324"/>
    </row>
    <row r="262">
      <c r="A262" s="324"/>
      <c r="B262" s="324"/>
      <c r="C262" s="324"/>
      <c r="D262" s="324"/>
      <c r="E262" s="324"/>
      <c r="F262" s="324"/>
      <c r="G262" s="324"/>
      <c r="H262" s="324"/>
      <c r="I262" s="324"/>
      <c r="J262" s="324"/>
      <c r="K262" s="324"/>
      <c r="L262" s="324"/>
      <c r="M262" s="324"/>
      <c r="N262" s="324"/>
      <c r="O262" s="324"/>
      <c r="P262" s="324"/>
      <c r="Q262" s="324"/>
      <c r="R262" s="324"/>
      <c r="S262" s="324"/>
      <c r="T262" s="324"/>
      <c r="U262" s="324"/>
      <c r="V262" s="324"/>
      <c r="W262" s="324"/>
      <c r="X262" s="324"/>
      <c r="Y262" s="324"/>
      <c r="Z262" s="324"/>
    </row>
    <row r="263">
      <c r="A263" s="324"/>
      <c r="B263" s="324"/>
      <c r="C263" s="324"/>
      <c r="D263" s="324"/>
      <c r="E263" s="324"/>
      <c r="F263" s="324"/>
      <c r="G263" s="324"/>
      <c r="H263" s="324"/>
      <c r="I263" s="324"/>
      <c r="J263" s="324"/>
      <c r="K263" s="324"/>
      <c r="L263" s="324"/>
      <c r="M263" s="324"/>
      <c r="N263" s="324"/>
      <c r="O263" s="324"/>
      <c r="P263" s="324"/>
      <c r="Q263" s="324"/>
      <c r="R263" s="324"/>
      <c r="S263" s="324"/>
      <c r="T263" s="324"/>
      <c r="U263" s="324"/>
      <c r="V263" s="324"/>
      <c r="W263" s="324"/>
      <c r="X263" s="324"/>
      <c r="Y263" s="324"/>
      <c r="Z263" s="324"/>
    </row>
    <row r="264">
      <c r="A264" s="324"/>
      <c r="B264" s="324"/>
      <c r="C264" s="324"/>
      <c r="D264" s="324"/>
      <c r="E264" s="324"/>
      <c r="F264" s="324"/>
      <c r="G264" s="324"/>
      <c r="H264" s="324"/>
      <c r="I264" s="324"/>
      <c r="J264" s="324"/>
      <c r="K264" s="324"/>
      <c r="L264" s="324"/>
      <c r="M264" s="324"/>
      <c r="N264" s="324"/>
      <c r="O264" s="324"/>
      <c r="P264" s="324"/>
      <c r="Q264" s="324"/>
      <c r="R264" s="324"/>
      <c r="S264" s="324"/>
      <c r="T264" s="324"/>
      <c r="U264" s="324"/>
      <c r="V264" s="324"/>
      <c r="W264" s="324"/>
      <c r="X264" s="324"/>
      <c r="Y264" s="324"/>
      <c r="Z264" s="324"/>
    </row>
    <row r="265">
      <c r="A265" s="324"/>
      <c r="B265" s="324"/>
      <c r="C265" s="324"/>
      <c r="D265" s="324"/>
      <c r="E265" s="324"/>
      <c r="F265" s="324"/>
      <c r="G265" s="324"/>
      <c r="H265" s="324"/>
      <c r="I265" s="324"/>
      <c r="J265" s="324"/>
      <c r="K265" s="324"/>
      <c r="L265" s="324"/>
      <c r="M265" s="324"/>
      <c r="N265" s="324"/>
      <c r="O265" s="324"/>
      <c r="P265" s="324"/>
      <c r="Q265" s="324"/>
      <c r="R265" s="324"/>
      <c r="S265" s="324"/>
      <c r="T265" s="324"/>
      <c r="U265" s="324"/>
      <c r="V265" s="324"/>
      <c r="W265" s="324"/>
      <c r="X265" s="324"/>
      <c r="Y265" s="324"/>
      <c r="Z265" s="324"/>
    </row>
    <row r="266">
      <c r="A266" s="324"/>
      <c r="B266" s="324"/>
      <c r="C266" s="324"/>
      <c r="D266" s="324"/>
      <c r="E266" s="324"/>
      <c r="F266" s="324"/>
      <c r="G266" s="324"/>
      <c r="H266" s="324"/>
      <c r="I266" s="324"/>
      <c r="J266" s="324"/>
      <c r="K266" s="324"/>
      <c r="L266" s="324"/>
      <c r="M266" s="324"/>
      <c r="N266" s="324"/>
      <c r="O266" s="324"/>
      <c r="P266" s="324"/>
      <c r="Q266" s="324"/>
      <c r="R266" s="324"/>
      <c r="S266" s="324"/>
      <c r="T266" s="324"/>
      <c r="U266" s="324"/>
      <c r="V266" s="324"/>
      <c r="W266" s="324"/>
      <c r="X266" s="324"/>
      <c r="Y266" s="324"/>
      <c r="Z266" s="324"/>
    </row>
    <row r="267">
      <c r="A267" s="324"/>
      <c r="B267" s="324"/>
      <c r="C267" s="324"/>
      <c r="D267" s="324"/>
      <c r="E267" s="324"/>
      <c r="F267" s="324"/>
      <c r="G267" s="324"/>
      <c r="H267" s="324"/>
      <c r="I267" s="324"/>
      <c r="J267" s="324"/>
      <c r="K267" s="324"/>
      <c r="L267" s="324"/>
      <c r="M267" s="324"/>
      <c r="N267" s="324"/>
      <c r="O267" s="324"/>
      <c r="P267" s="324"/>
      <c r="Q267" s="324"/>
      <c r="R267" s="324"/>
      <c r="S267" s="324"/>
      <c r="T267" s="324"/>
      <c r="U267" s="324"/>
      <c r="V267" s="324"/>
      <c r="W267" s="324"/>
      <c r="X267" s="324"/>
      <c r="Y267" s="324"/>
      <c r="Z267" s="324"/>
    </row>
    <row r="268">
      <c r="A268" s="324"/>
      <c r="B268" s="324"/>
      <c r="C268" s="324"/>
      <c r="D268" s="324"/>
      <c r="E268" s="324"/>
      <c r="F268" s="324"/>
      <c r="G268" s="324"/>
      <c r="H268" s="324"/>
      <c r="I268" s="324"/>
      <c r="J268" s="324"/>
      <c r="K268" s="324"/>
      <c r="L268" s="324"/>
      <c r="M268" s="324"/>
      <c r="N268" s="324"/>
      <c r="O268" s="324"/>
      <c r="P268" s="324"/>
      <c r="Q268" s="324"/>
      <c r="R268" s="324"/>
      <c r="S268" s="324"/>
      <c r="T268" s="324"/>
      <c r="U268" s="324"/>
      <c r="V268" s="324"/>
      <c r="W268" s="324"/>
      <c r="X268" s="324"/>
      <c r="Y268" s="324"/>
      <c r="Z268" s="324"/>
    </row>
    <row r="269">
      <c r="A269" s="324"/>
      <c r="B269" s="324"/>
      <c r="C269" s="324"/>
      <c r="D269" s="324"/>
      <c r="E269" s="324"/>
      <c r="F269" s="324"/>
      <c r="G269" s="324"/>
      <c r="H269" s="324"/>
      <c r="I269" s="324"/>
      <c r="J269" s="324"/>
      <c r="K269" s="324"/>
      <c r="L269" s="324"/>
      <c r="M269" s="324"/>
      <c r="N269" s="324"/>
      <c r="O269" s="324"/>
      <c r="P269" s="324"/>
      <c r="Q269" s="324"/>
      <c r="R269" s="324"/>
      <c r="S269" s="324"/>
      <c r="T269" s="324"/>
      <c r="U269" s="324"/>
      <c r="V269" s="324"/>
      <c r="W269" s="324"/>
      <c r="X269" s="324"/>
      <c r="Y269" s="324"/>
      <c r="Z269" s="324"/>
    </row>
    <row r="270">
      <c r="A270" s="324"/>
      <c r="B270" s="324"/>
      <c r="C270" s="324"/>
      <c r="D270" s="324"/>
      <c r="E270" s="324"/>
      <c r="F270" s="324"/>
      <c r="G270" s="324"/>
      <c r="H270" s="324"/>
      <c r="I270" s="324"/>
      <c r="J270" s="324"/>
      <c r="K270" s="324"/>
      <c r="L270" s="324"/>
      <c r="M270" s="324"/>
      <c r="N270" s="324"/>
      <c r="O270" s="324"/>
      <c r="P270" s="324"/>
      <c r="Q270" s="324"/>
      <c r="R270" s="324"/>
      <c r="S270" s="324"/>
      <c r="T270" s="324"/>
      <c r="U270" s="324"/>
      <c r="V270" s="324"/>
      <c r="W270" s="324"/>
      <c r="X270" s="324"/>
      <c r="Y270" s="324"/>
      <c r="Z270" s="324"/>
    </row>
    <row r="271">
      <c r="A271" s="324"/>
      <c r="B271" s="324"/>
      <c r="C271" s="324"/>
      <c r="D271" s="324"/>
      <c r="E271" s="324"/>
      <c r="F271" s="324"/>
      <c r="G271" s="324"/>
      <c r="H271" s="324"/>
      <c r="I271" s="324"/>
      <c r="J271" s="324"/>
      <c r="K271" s="324"/>
      <c r="L271" s="324"/>
      <c r="M271" s="324"/>
      <c r="N271" s="324"/>
      <c r="O271" s="324"/>
      <c r="P271" s="324"/>
      <c r="Q271" s="324"/>
      <c r="R271" s="324"/>
      <c r="S271" s="324"/>
      <c r="T271" s="324"/>
      <c r="U271" s="324"/>
      <c r="V271" s="324"/>
      <c r="W271" s="324"/>
      <c r="X271" s="324"/>
      <c r="Y271" s="324"/>
      <c r="Z271" s="324"/>
    </row>
    <row r="272">
      <c r="A272" s="324"/>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c r="X272" s="324"/>
      <c r="Y272" s="324"/>
      <c r="Z272" s="324"/>
    </row>
    <row r="273">
      <c r="A273" s="324"/>
      <c r="B273" s="324"/>
      <c r="C273" s="324"/>
      <c r="D273" s="324"/>
      <c r="E273" s="324"/>
      <c r="F273" s="324"/>
      <c r="G273" s="324"/>
      <c r="H273" s="324"/>
      <c r="I273" s="324"/>
      <c r="J273" s="324"/>
      <c r="K273" s="324"/>
      <c r="L273" s="324"/>
      <c r="M273" s="324"/>
      <c r="N273" s="324"/>
      <c r="O273" s="324"/>
      <c r="P273" s="324"/>
      <c r="Q273" s="324"/>
      <c r="R273" s="324"/>
      <c r="S273" s="324"/>
      <c r="T273" s="324"/>
      <c r="U273" s="324"/>
      <c r="V273" s="324"/>
      <c r="W273" s="324"/>
      <c r="X273" s="324"/>
      <c r="Y273" s="324"/>
      <c r="Z273" s="324"/>
    </row>
    <row r="274">
      <c r="A274" s="324"/>
      <c r="B274" s="324"/>
      <c r="C274" s="324"/>
      <c r="D274" s="324"/>
      <c r="E274" s="324"/>
      <c r="F274" s="324"/>
      <c r="G274" s="324"/>
      <c r="H274" s="324"/>
      <c r="I274" s="324"/>
      <c r="J274" s="324"/>
      <c r="K274" s="324"/>
      <c r="L274" s="324"/>
      <c r="M274" s="324"/>
      <c r="N274" s="324"/>
      <c r="O274" s="324"/>
      <c r="P274" s="324"/>
      <c r="Q274" s="324"/>
      <c r="R274" s="324"/>
      <c r="S274" s="324"/>
      <c r="T274" s="324"/>
      <c r="U274" s="324"/>
      <c r="V274" s="324"/>
      <c r="W274" s="324"/>
      <c r="X274" s="324"/>
      <c r="Y274" s="324"/>
      <c r="Z274" s="324"/>
    </row>
    <row r="275">
      <c r="A275" s="324"/>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c r="X275" s="324"/>
      <c r="Y275" s="324"/>
      <c r="Z275" s="324"/>
    </row>
    <row r="276">
      <c r="A276" s="324"/>
      <c r="B276" s="324"/>
      <c r="C276" s="324"/>
      <c r="D276" s="324"/>
      <c r="E276" s="324"/>
      <c r="F276" s="324"/>
      <c r="G276" s="324"/>
      <c r="H276" s="324"/>
      <c r="I276" s="324"/>
      <c r="J276" s="324"/>
      <c r="K276" s="324"/>
      <c r="L276" s="324"/>
      <c r="M276" s="324"/>
      <c r="N276" s="324"/>
      <c r="O276" s="324"/>
      <c r="P276" s="324"/>
      <c r="Q276" s="324"/>
      <c r="R276" s="324"/>
      <c r="S276" s="324"/>
      <c r="T276" s="324"/>
      <c r="U276" s="324"/>
      <c r="V276" s="324"/>
      <c r="W276" s="324"/>
      <c r="X276" s="324"/>
      <c r="Y276" s="324"/>
      <c r="Z276" s="324"/>
    </row>
    <row r="277">
      <c r="A277" s="324"/>
      <c r="B277" s="324"/>
      <c r="C277" s="324"/>
      <c r="D277" s="324"/>
      <c r="E277" s="324"/>
      <c r="F277" s="324"/>
      <c r="G277" s="324"/>
      <c r="H277" s="324"/>
      <c r="I277" s="324"/>
      <c r="J277" s="324"/>
      <c r="K277" s="324"/>
      <c r="L277" s="324"/>
      <c r="M277" s="324"/>
      <c r="N277" s="324"/>
      <c r="O277" s="324"/>
      <c r="P277" s="324"/>
      <c r="Q277" s="324"/>
      <c r="R277" s="324"/>
      <c r="S277" s="324"/>
      <c r="T277" s="324"/>
      <c r="U277" s="324"/>
      <c r="V277" s="324"/>
      <c r="W277" s="324"/>
      <c r="X277" s="324"/>
      <c r="Y277" s="324"/>
      <c r="Z277" s="324"/>
    </row>
    <row r="278">
      <c r="A278" s="324"/>
      <c r="B278" s="324"/>
      <c r="C278" s="324"/>
      <c r="D278" s="324"/>
      <c r="E278" s="324"/>
      <c r="F278" s="324"/>
      <c r="G278" s="324"/>
      <c r="H278" s="324"/>
      <c r="I278" s="324"/>
      <c r="J278" s="324"/>
      <c r="K278" s="324"/>
      <c r="L278" s="324"/>
      <c r="M278" s="324"/>
      <c r="N278" s="324"/>
      <c r="O278" s="324"/>
      <c r="P278" s="324"/>
      <c r="Q278" s="324"/>
      <c r="R278" s="324"/>
      <c r="S278" s="324"/>
      <c r="T278" s="324"/>
      <c r="U278" s="324"/>
      <c r="V278" s="324"/>
      <c r="W278" s="324"/>
      <c r="X278" s="324"/>
      <c r="Y278" s="324"/>
      <c r="Z278" s="324"/>
    </row>
    <row r="279">
      <c r="A279" s="324"/>
      <c r="B279" s="324"/>
      <c r="C279" s="324"/>
      <c r="D279" s="324"/>
      <c r="E279" s="324"/>
      <c r="F279" s="324"/>
      <c r="G279" s="324"/>
      <c r="H279" s="324"/>
      <c r="I279" s="324"/>
      <c r="J279" s="324"/>
      <c r="K279" s="324"/>
      <c r="L279" s="324"/>
      <c r="M279" s="324"/>
      <c r="N279" s="324"/>
      <c r="O279" s="324"/>
      <c r="P279" s="324"/>
      <c r="Q279" s="324"/>
      <c r="R279" s="324"/>
      <c r="S279" s="324"/>
      <c r="T279" s="324"/>
      <c r="U279" s="324"/>
      <c r="V279" s="324"/>
      <c r="W279" s="324"/>
      <c r="X279" s="324"/>
      <c r="Y279" s="324"/>
      <c r="Z279" s="324"/>
    </row>
    <row r="280">
      <c r="A280" s="324"/>
      <c r="B280" s="324"/>
      <c r="C280" s="324"/>
      <c r="D280" s="324"/>
      <c r="E280" s="324"/>
      <c r="F280" s="324"/>
      <c r="G280" s="324"/>
      <c r="H280" s="324"/>
      <c r="I280" s="324"/>
      <c r="J280" s="324"/>
      <c r="K280" s="324"/>
      <c r="L280" s="324"/>
      <c r="M280" s="324"/>
      <c r="N280" s="324"/>
      <c r="O280" s="324"/>
      <c r="P280" s="324"/>
      <c r="Q280" s="324"/>
      <c r="R280" s="324"/>
      <c r="S280" s="324"/>
      <c r="T280" s="324"/>
      <c r="U280" s="324"/>
      <c r="V280" s="324"/>
      <c r="W280" s="324"/>
      <c r="X280" s="324"/>
      <c r="Y280" s="324"/>
      <c r="Z280" s="324"/>
    </row>
    <row r="281">
      <c r="A281" s="324"/>
      <c r="B281" s="324"/>
      <c r="C281" s="324"/>
      <c r="D281" s="324"/>
      <c r="E281" s="324"/>
      <c r="F281" s="324"/>
      <c r="G281" s="324"/>
      <c r="H281" s="324"/>
      <c r="I281" s="324"/>
      <c r="J281" s="324"/>
      <c r="K281" s="324"/>
      <c r="L281" s="324"/>
      <c r="M281" s="324"/>
      <c r="N281" s="324"/>
      <c r="O281" s="324"/>
      <c r="P281" s="324"/>
      <c r="Q281" s="324"/>
      <c r="R281" s="324"/>
      <c r="S281" s="324"/>
      <c r="T281" s="324"/>
      <c r="U281" s="324"/>
      <c r="V281" s="324"/>
      <c r="W281" s="324"/>
      <c r="X281" s="324"/>
      <c r="Y281" s="324"/>
      <c r="Z281" s="324"/>
    </row>
    <row r="282">
      <c r="A282" s="324"/>
      <c r="B282" s="324"/>
      <c r="C282" s="324"/>
      <c r="D282" s="324"/>
      <c r="E282" s="324"/>
      <c r="F282" s="324"/>
      <c r="G282" s="324"/>
      <c r="H282" s="324"/>
      <c r="I282" s="324"/>
      <c r="J282" s="324"/>
      <c r="K282" s="324"/>
      <c r="L282" s="324"/>
      <c r="M282" s="324"/>
      <c r="N282" s="324"/>
      <c r="O282" s="324"/>
      <c r="P282" s="324"/>
      <c r="Q282" s="324"/>
      <c r="R282" s="324"/>
      <c r="S282" s="324"/>
      <c r="T282" s="324"/>
      <c r="U282" s="324"/>
      <c r="V282" s="324"/>
      <c r="W282" s="324"/>
      <c r="X282" s="324"/>
      <c r="Y282" s="324"/>
      <c r="Z282" s="324"/>
    </row>
    <row r="283">
      <c r="A283" s="324"/>
      <c r="B283" s="324"/>
      <c r="C283" s="324"/>
      <c r="D283" s="324"/>
      <c r="E283" s="324"/>
      <c r="F283" s="324"/>
      <c r="G283" s="324"/>
      <c r="H283" s="324"/>
      <c r="I283" s="324"/>
      <c r="J283" s="324"/>
      <c r="K283" s="324"/>
      <c r="L283" s="324"/>
      <c r="M283" s="324"/>
      <c r="N283" s="324"/>
      <c r="O283" s="324"/>
      <c r="P283" s="324"/>
      <c r="Q283" s="324"/>
      <c r="R283" s="324"/>
      <c r="S283" s="324"/>
      <c r="T283" s="324"/>
      <c r="U283" s="324"/>
      <c r="V283" s="324"/>
      <c r="W283" s="324"/>
      <c r="X283" s="324"/>
      <c r="Y283" s="324"/>
      <c r="Z283" s="324"/>
    </row>
    <row r="284">
      <c r="A284" s="324"/>
      <c r="B284" s="324"/>
      <c r="C284" s="324"/>
      <c r="D284" s="324"/>
      <c r="E284" s="324"/>
      <c r="F284" s="324"/>
      <c r="G284" s="324"/>
      <c r="H284" s="324"/>
      <c r="I284" s="324"/>
      <c r="J284" s="324"/>
      <c r="K284" s="324"/>
      <c r="L284" s="324"/>
      <c r="M284" s="324"/>
      <c r="N284" s="324"/>
      <c r="O284" s="324"/>
      <c r="P284" s="324"/>
      <c r="Q284" s="324"/>
      <c r="R284" s="324"/>
      <c r="S284" s="324"/>
      <c r="T284" s="324"/>
      <c r="U284" s="324"/>
      <c r="V284" s="324"/>
      <c r="W284" s="324"/>
      <c r="X284" s="324"/>
      <c r="Y284" s="324"/>
      <c r="Z284" s="324"/>
    </row>
    <row r="285">
      <c r="A285" s="324"/>
      <c r="B285" s="324"/>
      <c r="C285" s="324"/>
      <c r="D285" s="324"/>
      <c r="E285" s="324"/>
      <c r="F285" s="324"/>
      <c r="G285" s="324"/>
      <c r="H285" s="324"/>
      <c r="I285" s="324"/>
      <c r="J285" s="324"/>
      <c r="K285" s="324"/>
      <c r="L285" s="324"/>
      <c r="M285" s="324"/>
      <c r="N285" s="324"/>
      <c r="O285" s="324"/>
      <c r="P285" s="324"/>
      <c r="Q285" s="324"/>
      <c r="R285" s="324"/>
      <c r="S285" s="324"/>
      <c r="T285" s="324"/>
      <c r="U285" s="324"/>
      <c r="V285" s="324"/>
      <c r="W285" s="324"/>
      <c r="X285" s="324"/>
      <c r="Y285" s="324"/>
      <c r="Z285" s="324"/>
    </row>
    <row r="286">
      <c r="A286" s="324"/>
      <c r="B286" s="324"/>
      <c r="C286" s="324"/>
      <c r="D286" s="324"/>
      <c r="E286" s="324"/>
      <c r="F286" s="324"/>
      <c r="G286" s="324"/>
      <c r="H286" s="324"/>
      <c r="I286" s="324"/>
      <c r="J286" s="324"/>
      <c r="K286" s="324"/>
      <c r="L286" s="324"/>
      <c r="M286" s="324"/>
      <c r="N286" s="324"/>
      <c r="O286" s="324"/>
      <c r="P286" s="324"/>
      <c r="Q286" s="324"/>
      <c r="R286" s="324"/>
      <c r="S286" s="324"/>
      <c r="T286" s="324"/>
      <c r="U286" s="324"/>
      <c r="V286" s="324"/>
      <c r="W286" s="324"/>
      <c r="X286" s="324"/>
      <c r="Y286" s="324"/>
      <c r="Z286" s="324"/>
    </row>
    <row r="287">
      <c r="A287" s="324"/>
      <c r="B287" s="324"/>
      <c r="C287" s="324"/>
      <c r="D287" s="324"/>
      <c r="E287" s="324"/>
      <c r="F287" s="324"/>
      <c r="G287" s="324"/>
      <c r="H287" s="324"/>
      <c r="I287" s="324"/>
      <c r="J287" s="324"/>
      <c r="K287" s="324"/>
      <c r="L287" s="324"/>
      <c r="M287" s="324"/>
      <c r="N287" s="324"/>
      <c r="O287" s="324"/>
      <c r="P287" s="324"/>
      <c r="Q287" s="324"/>
      <c r="R287" s="324"/>
      <c r="S287" s="324"/>
      <c r="T287" s="324"/>
      <c r="U287" s="324"/>
      <c r="V287" s="324"/>
      <c r="W287" s="324"/>
      <c r="X287" s="324"/>
      <c r="Y287" s="324"/>
      <c r="Z287" s="324"/>
    </row>
    <row r="288">
      <c r="A288" s="324"/>
      <c r="B288" s="324"/>
      <c r="C288" s="324"/>
      <c r="D288" s="324"/>
      <c r="E288" s="324"/>
      <c r="F288" s="324"/>
      <c r="G288" s="324"/>
      <c r="H288" s="324"/>
      <c r="I288" s="324"/>
      <c r="J288" s="324"/>
      <c r="K288" s="324"/>
      <c r="L288" s="324"/>
      <c r="M288" s="324"/>
      <c r="N288" s="324"/>
      <c r="O288" s="324"/>
      <c r="P288" s="324"/>
      <c r="Q288" s="324"/>
      <c r="R288" s="324"/>
      <c r="S288" s="324"/>
      <c r="T288" s="324"/>
      <c r="U288" s="324"/>
      <c r="V288" s="324"/>
      <c r="W288" s="324"/>
      <c r="X288" s="324"/>
      <c r="Y288" s="324"/>
      <c r="Z288" s="324"/>
    </row>
    <row r="289">
      <c r="A289" s="324"/>
      <c r="B289" s="324"/>
      <c r="C289" s="324"/>
      <c r="D289" s="324"/>
      <c r="E289" s="324"/>
      <c r="F289" s="324"/>
      <c r="G289" s="324"/>
      <c r="H289" s="324"/>
      <c r="I289" s="324"/>
      <c r="J289" s="324"/>
      <c r="K289" s="324"/>
      <c r="L289" s="324"/>
      <c r="M289" s="324"/>
      <c r="N289" s="324"/>
      <c r="O289" s="324"/>
      <c r="P289" s="324"/>
      <c r="Q289" s="324"/>
      <c r="R289" s="324"/>
      <c r="S289" s="324"/>
      <c r="T289" s="324"/>
      <c r="U289" s="324"/>
      <c r="V289" s="324"/>
      <c r="W289" s="324"/>
      <c r="X289" s="324"/>
      <c r="Y289" s="324"/>
      <c r="Z289" s="324"/>
    </row>
    <row r="290">
      <c r="A290" s="324"/>
      <c r="B290" s="324"/>
      <c r="C290" s="324"/>
      <c r="D290" s="324"/>
      <c r="E290" s="324"/>
      <c r="F290" s="324"/>
      <c r="G290" s="324"/>
      <c r="H290" s="324"/>
      <c r="I290" s="324"/>
      <c r="J290" s="324"/>
      <c r="K290" s="324"/>
      <c r="L290" s="324"/>
      <c r="M290" s="324"/>
      <c r="N290" s="324"/>
      <c r="O290" s="324"/>
      <c r="P290" s="324"/>
      <c r="Q290" s="324"/>
      <c r="R290" s="324"/>
      <c r="S290" s="324"/>
      <c r="T290" s="324"/>
      <c r="U290" s="324"/>
      <c r="V290" s="324"/>
      <c r="W290" s="324"/>
      <c r="X290" s="324"/>
      <c r="Y290" s="324"/>
      <c r="Z290" s="324"/>
    </row>
    <row r="291">
      <c r="A291" s="324"/>
      <c r="B291" s="324"/>
      <c r="C291" s="324"/>
      <c r="D291" s="324"/>
      <c r="E291" s="324"/>
      <c r="F291" s="324"/>
      <c r="G291" s="324"/>
      <c r="H291" s="324"/>
      <c r="I291" s="324"/>
      <c r="J291" s="324"/>
      <c r="K291" s="324"/>
      <c r="L291" s="324"/>
      <c r="M291" s="324"/>
      <c r="N291" s="324"/>
      <c r="O291" s="324"/>
      <c r="P291" s="324"/>
      <c r="Q291" s="324"/>
      <c r="R291" s="324"/>
      <c r="S291" s="324"/>
      <c r="T291" s="324"/>
      <c r="U291" s="324"/>
      <c r="V291" s="324"/>
      <c r="W291" s="324"/>
      <c r="X291" s="324"/>
      <c r="Y291" s="324"/>
      <c r="Z291" s="324"/>
    </row>
    <row r="292">
      <c r="A292" s="324"/>
      <c r="B292" s="324"/>
      <c r="C292" s="324"/>
      <c r="D292" s="324"/>
      <c r="E292" s="324"/>
      <c r="F292" s="324"/>
      <c r="G292" s="324"/>
      <c r="H292" s="324"/>
      <c r="I292" s="324"/>
      <c r="J292" s="324"/>
      <c r="K292" s="324"/>
      <c r="L292" s="324"/>
      <c r="M292" s="324"/>
      <c r="N292" s="324"/>
      <c r="O292" s="324"/>
      <c r="P292" s="324"/>
      <c r="Q292" s="324"/>
      <c r="R292" s="324"/>
      <c r="S292" s="324"/>
      <c r="T292" s="324"/>
      <c r="U292" s="324"/>
      <c r="V292" s="324"/>
      <c r="W292" s="324"/>
      <c r="X292" s="324"/>
      <c r="Y292" s="324"/>
      <c r="Z292" s="324"/>
    </row>
    <row r="293">
      <c r="A293" s="324"/>
      <c r="B293" s="324"/>
      <c r="C293" s="324"/>
      <c r="D293" s="324"/>
      <c r="E293" s="324"/>
      <c r="F293" s="324"/>
      <c r="G293" s="324"/>
      <c r="H293" s="324"/>
      <c r="I293" s="324"/>
      <c r="J293" s="324"/>
      <c r="K293" s="324"/>
      <c r="L293" s="324"/>
      <c r="M293" s="324"/>
      <c r="N293" s="324"/>
      <c r="O293" s="324"/>
      <c r="P293" s="324"/>
      <c r="Q293" s="324"/>
      <c r="R293" s="324"/>
      <c r="S293" s="324"/>
      <c r="T293" s="324"/>
      <c r="U293" s="324"/>
      <c r="V293" s="324"/>
      <c r="W293" s="324"/>
      <c r="X293" s="324"/>
      <c r="Y293" s="324"/>
      <c r="Z293" s="324"/>
    </row>
    <row r="294">
      <c r="A294" s="324"/>
      <c r="B294" s="324"/>
      <c r="C294" s="324"/>
      <c r="D294" s="324"/>
      <c r="E294" s="324"/>
      <c r="F294" s="324"/>
      <c r="G294" s="324"/>
      <c r="H294" s="324"/>
      <c r="I294" s="324"/>
      <c r="J294" s="324"/>
      <c r="K294" s="324"/>
      <c r="L294" s="324"/>
      <c r="M294" s="324"/>
      <c r="N294" s="324"/>
      <c r="O294" s="324"/>
      <c r="P294" s="324"/>
      <c r="Q294" s="324"/>
      <c r="R294" s="324"/>
      <c r="S294" s="324"/>
      <c r="T294" s="324"/>
      <c r="U294" s="324"/>
      <c r="V294" s="324"/>
      <c r="W294" s="324"/>
      <c r="X294" s="324"/>
      <c r="Y294" s="324"/>
      <c r="Z294" s="324"/>
    </row>
    <row r="295">
      <c r="A295" s="324"/>
      <c r="B295" s="324"/>
      <c r="C295" s="324"/>
      <c r="D295" s="324"/>
      <c r="E295" s="324"/>
      <c r="F295" s="324"/>
      <c r="G295" s="324"/>
      <c r="H295" s="324"/>
      <c r="I295" s="324"/>
      <c r="J295" s="324"/>
      <c r="K295" s="324"/>
      <c r="L295" s="324"/>
      <c r="M295" s="324"/>
      <c r="N295" s="324"/>
      <c r="O295" s="324"/>
      <c r="P295" s="324"/>
      <c r="Q295" s="324"/>
      <c r="R295" s="324"/>
      <c r="S295" s="324"/>
      <c r="T295" s="324"/>
      <c r="U295" s="324"/>
      <c r="V295" s="324"/>
      <c r="W295" s="324"/>
      <c r="X295" s="324"/>
      <c r="Y295" s="324"/>
      <c r="Z295" s="324"/>
    </row>
    <row r="296">
      <c r="A296" s="324"/>
      <c r="B296" s="324"/>
      <c r="C296" s="324"/>
      <c r="D296" s="324"/>
      <c r="E296" s="324"/>
      <c r="F296" s="324"/>
      <c r="G296" s="324"/>
      <c r="H296" s="324"/>
      <c r="I296" s="324"/>
      <c r="J296" s="324"/>
      <c r="K296" s="324"/>
      <c r="L296" s="324"/>
      <c r="M296" s="324"/>
      <c r="N296" s="324"/>
      <c r="O296" s="324"/>
      <c r="P296" s="324"/>
      <c r="Q296" s="324"/>
      <c r="R296" s="324"/>
      <c r="S296" s="324"/>
      <c r="T296" s="324"/>
      <c r="U296" s="324"/>
      <c r="V296" s="324"/>
      <c r="W296" s="324"/>
      <c r="X296" s="324"/>
      <c r="Y296" s="324"/>
      <c r="Z296" s="324"/>
    </row>
    <row r="297">
      <c r="A297" s="324"/>
      <c r="B297" s="324"/>
      <c r="C297" s="324"/>
      <c r="D297" s="324"/>
      <c r="E297" s="324"/>
      <c r="F297" s="324"/>
      <c r="G297" s="324"/>
      <c r="H297" s="324"/>
      <c r="I297" s="324"/>
      <c r="J297" s="324"/>
      <c r="K297" s="324"/>
      <c r="L297" s="324"/>
      <c r="M297" s="324"/>
      <c r="N297" s="324"/>
      <c r="O297" s="324"/>
      <c r="P297" s="324"/>
      <c r="Q297" s="324"/>
      <c r="R297" s="324"/>
      <c r="S297" s="324"/>
      <c r="T297" s="324"/>
      <c r="U297" s="324"/>
      <c r="V297" s="324"/>
      <c r="W297" s="324"/>
      <c r="X297" s="324"/>
      <c r="Y297" s="324"/>
      <c r="Z297" s="324"/>
    </row>
    <row r="298">
      <c r="A298" s="324"/>
      <c r="B298" s="324"/>
      <c r="C298" s="324"/>
      <c r="D298" s="324"/>
      <c r="E298" s="324"/>
      <c r="F298" s="324"/>
      <c r="G298" s="324"/>
      <c r="H298" s="324"/>
      <c r="I298" s="324"/>
      <c r="J298" s="324"/>
      <c r="K298" s="324"/>
      <c r="L298" s="324"/>
      <c r="M298" s="324"/>
      <c r="N298" s="324"/>
      <c r="O298" s="324"/>
      <c r="P298" s="324"/>
      <c r="Q298" s="324"/>
      <c r="R298" s="324"/>
      <c r="S298" s="324"/>
      <c r="T298" s="324"/>
      <c r="U298" s="324"/>
      <c r="V298" s="324"/>
      <c r="W298" s="324"/>
      <c r="X298" s="324"/>
      <c r="Y298" s="324"/>
      <c r="Z298" s="324"/>
    </row>
    <row r="299">
      <c r="A299" s="324"/>
      <c r="B299" s="324"/>
      <c r="C299" s="324"/>
      <c r="D299" s="324"/>
      <c r="E299" s="324"/>
      <c r="F299" s="324"/>
      <c r="G299" s="324"/>
      <c r="H299" s="324"/>
      <c r="I299" s="324"/>
      <c r="J299" s="324"/>
      <c r="K299" s="324"/>
      <c r="L299" s="324"/>
      <c r="M299" s="324"/>
      <c r="N299" s="324"/>
      <c r="O299" s="324"/>
      <c r="P299" s="324"/>
      <c r="Q299" s="324"/>
      <c r="R299" s="324"/>
      <c r="S299" s="324"/>
      <c r="T299" s="324"/>
      <c r="U299" s="324"/>
      <c r="V299" s="324"/>
      <c r="W299" s="324"/>
      <c r="X299" s="324"/>
      <c r="Y299" s="324"/>
      <c r="Z299" s="324"/>
    </row>
    <row r="300">
      <c r="A300" s="324"/>
      <c r="B300" s="324"/>
      <c r="C300" s="324"/>
      <c r="D300" s="324"/>
      <c r="E300" s="324"/>
      <c r="F300" s="324"/>
      <c r="G300" s="324"/>
      <c r="H300" s="324"/>
      <c r="I300" s="324"/>
      <c r="J300" s="324"/>
      <c r="K300" s="324"/>
      <c r="L300" s="324"/>
      <c r="M300" s="324"/>
      <c r="N300" s="324"/>
      <c r="O300" s="324"/>
      <c r="P300" s="324"/>
      <c r="Q300" s="324"/>
      <c r="R300" s="324"/>
      <c r="S300" s="324"/>
      <c r="T300" s="324"/>
      <c r="U300" s="324"/>
      <c r="V300" s="324"/>
      <c r="W300" s="324"/>
      <c r="X300" s="324"/>
      <c r="Y300" s="324"/>
      <c r="Z300" s="324"/>
    </row>
    <row r="301">
      <c r="A301" s="324"/>
      <c r="B301" s="324"/>
      <c r="C301" s="324"/>
      <c r="D301" s="324"/>
      <c r="E301" s="324"/>
      <c r="F301" s="324"/>
      <c r="G301" s="324"/>
      <c r="H301" s="324"/>
      <c r="I301" s="324"/>
      <c r="J301" s="324"/>
      <c r="K301" s="324"/>
      <c r="L301" s="324"/>
      <c r="M301" s="324"/>
      <c r="N301" s="324"/>
      <c r="O301" s="324"/>
      <c r="P301" s="324"/>
      <c r="Q301" s="324"/>
      <c r="R301" s="324"/>
      <c r="S301" s="324"/>
      <c r="T301" s="324"/>
      <c r="U301" s="324"/>
      <c r="V301" s="324"/>
      <c r="W301" s="324"/>
      <c r="X301" s="324"/>
      <c r="Y301" s="324"/>
      <c r="Z301" s="324"/>
    </row>
    <row r="302">
      <c r="A302" s="324"/>
      <c r="B302" s="324"/>
      <c r="C302" s="324"/>
      <c r="D302" s="324"/>
      <c r="E302" s="324"/>
      <c r="F302" s="324"/>
      <c r="G302" s="324"/>
      <c r="H302" s="324"/>
      <c r="I302" s="324"/>
      <c r="J302" s="324"/>
      <c r="K302" s="324"/>
      <c r="L302" s="324"/>
      <c r="M302" s="324"/>
      <c r="N302" s="324"/>
      <c r="O302" s="324"/>
      <c r="P302" s="324"/>
      <c r="Q302" s="324"/>
      <c r="R302" s="324"/>
      <c r="S302" s="324"/>
      <c r="T302" s="324"/>
      <c r="U302" s="324"/>
      <c r="V302" s="324"/>
      <c r="W302" s="324"/>
      <c r="X302" s="324"/>
      <c r="Y302" s="324"/>
      <c r="Z302" s="324"/>
    </row>
    <row r="303">
      <c r="A303" s="324"/>
      <c r="B303" s="324"/>
      <c r="C303" s="324"/>
      <c r="D303" s="324"/>
      <c r="E303" s="324"/>
      <c r="F303" s="324"/>
      <c r="G303" s="324"/>
      <c r="H303" s="324"/>
      <c r="I303" s="324"/>
      <c r="J303" s="324"/>
      <c r="K303" s="324"/>
      <c r="L303" s="324"/>
      <c r="M303" s="324"/>
      <c r="N303" s="324"/>
      <c r="O303" s="324"/>
      <c r="P303" s="324"/>
      <c r="Q303" s="324"/>
      <c r="R303" s="324"/>
      <c r="S303" s="324"/>
      <c r="T303" s="324"/>
      <c r="U303" s="324"/>
      <c r="V303" s="324"/>
      <c r="W303" s="324"/>
      <c r="X303" s="324"/>
      <c r="Y303" s="324"/>
      <c r="Z303" s="324"/>
    </row>
    <row r="304">
      <c r="A304" s="324"/>
      <c r="B304" s="324"/>
      <c r="C304" s="324"/>
      <c r="D304" s="324"/>
      <c r="E304" s="324"/>
      <c r="F304" s="324"/>
      <c r="G304" s="324"/>
      <c r="H304" s="324"/>
      <c r="I304" s="324"/>
      <c r="J304" s="324"/>
      <c r="K304" s="324"/>
      <c r="L304" s="324"/>
      <c r="M304" s="324"/>
      <c r="N304" s="324"/>
      <c r="O304" s="324"/>
      <c r="P304" s="324"/>
      <c r="Q304" s="324"/>
      <c r="R304" s="324"/>
      <c r="S304" s="324"/>
      <c r="T304" s="324"/>
      <c r="U304" s="324"/>
      <c r="V304" s="324"/>
      <c r="W304" s="324"/>
      <c r="X304" s="324"/>
      <c r="Y304" s="324"/>
      <c r="Z304" s="324"/>
    </row>
    <row r="305">
      <c r="A305" s="324"/>
      <c r="B305" s="324"/>
      <c r="C305" s="324"/>
      <c r="D305" s="324"/>
      <c r="E305" s="324"/>
      <c r="F305" s="324"/>
      <c r="G305" s="324"/>
      <c r="H305" s="324"/>
      <c r="I305" s="324"/>
      <c r="J305" s="324"/>
      <c r="K305" s="324"/>
      <c r="L305" s="324"/>
      <c r="M305" s="324"/>
      <c r="N305" s="324"/>
      <c r="O305" s="324"/>
      <c r="P305" s="324"/>
      <c r="Q305" s="324"/>
      <c r="R305" s="324"/>
      <c r="S305" s="324"/>
      <c r="T305" s="324"/>
      <c r="U305" s="324"/>
      <c r="V305" s="324"/>
      <c r="W305" s="324"/>
      <c r="X305" s="324"/>
      <c r="Y305" s="324"/>
      <c r="Z305" s="324"/>
    </row>
    <row r="306">
      <c r="A306" s="324"/>
      <c r="B306" s="324"/>
      <c r="C306" s="324"/>
      <c r="D306" s="324"/>
      <c r="E306" s="324"/>
      <c r="F306" s="324"/>
      <c r="G306" s="324"/>
      <c r="H306" s="324"/>
      <c r="I306" s="324"/>
      <c r="J306" s="324"/>
      <c r="K306" s="324"/>
      <c r="L306" s="324"/>
      <c r="M306" s="324"/>
      <c r="N306" s="324"/>
      <c r="O306" s="324"/>
      <c r="P306" s="324"/>
      <c r="Q306" s="324"/>
      <c r="R306" s="324"/>
      <c r="S306" s="324"/>
      <c r="T306" s="324"/>
      <c r="U306" s="324"/>
      <c r="V306" s="324"/>
      <c r="W306" s="324"/>
      <c r="X306" s="324"/>
      <c r="Y306" s="324"/>
      <c r="Z306" s="324"/>
    </row>
    <row r="307">
      <c r="A307" s="324"/>
      <c r="B307" s="324"/>
      <c r="C307" s="324"/>
      <c r="D307" s="324"/>
      <c r="E307" s="324"/>
      <c r="F307" s="324"/>
      <c r="G307" s="324"/>
      <c r="H307" s="324"/>
      <c r="I307" s="324"/>
      <c r="J307" s="324"/>
      <c r="K307" s="324"/>
      <c r="L307" s="324"/>
      <c r="M307" s="324"/>
      <c r="N307" s="324"/>
      <c r="O307" s="324"/>
      <c r="P307" s="324"/>
      <c r="Q307" s="324"/>
      <c r="R307" s="324"/>
      <c r="S307" s="324"/>
      <c r="T307" s="324"/>
      <c r="U307" s="324"/>
      <c r="V307" s="324"/>
      <c r="W307" s="324"/>
      <c r="X307" s="324"/>
      <c r="Y307" s="324"/>
      <c r="Z307" s="324"/>
    </row>
    <row r="308">
      <c r="A308" s="324"/>
      <c r="B308" s="324"/>
      <c r="C308" s="324"/>
      <c r="D308" s="324"/>
      <c r="E308" s="324"/>
      <c r="F308" s="324"/>
      <c r="G308" s="324"/>
      <c r="H308" s="324"/>
      <c r="I308" s="324"/>
      <c r="J308" s="324"/>
      <c r="K308" s="324"/>
      <c r="L308" s="324"/>
      <c r="M308" s="324"/>
      <c r="N308" s="324"/>
      <c r="O308" s="324"/>
      <c r="P308" s="324"/>
      <c r="Q308" s="324"/>
      <c r="R308" s="324"/>
      <c r="S308" s="324"/>
      <c r="T308" s="324"/>
      <c r="U308" s="324"/>
      <c r="V308" s="324"/>
      <c r="W308" s="324"/>
      <c r="X308" s="324"/>
      <c r="Y308" s="324"/>
      <c r="Z308" s="324"/>
    </row>
    <row r="309">
      <c r="A309" s="324"/>
      <c r="B309" s="324"/>
      <c r="C309" s="324"/>
      <c r="D309" s="324"/>
      <c r="E309" s="324"/>
      <c r="F309" s="324"/>
      <c r="G309" s="324"/>
      <c r="H309" s="324"/>
      <c r="I309" s="324"/>
      <c r="J309" s="324"/>
      <c r="K309" s="324"/>
      <c r="L309" s="324"/>
      <c r="M309" s="324"/>
      <c r="N309" s="324"/>
      <c r="O309" s="324"/>
      <c r="P309" s="324"/>
      <c r="Q309" s="324"/>
      <c r="R309" s="324"/>
      <c r="S309" s="324"/>
      <c r="T309" s="324"/>
      <c r="U309" s="324"/>
      <c r="V309" s="324"/>
      <c r="W309" s="324"/>
      <c r="X309" s="324"/>
      <c r="Y309" s="324"/>
      <c r="Z309" s="324"/>
    </row>
    <row r="310">
      <c r="A310" s="324"/>
      <c r="B310" s="324"/>
      <c r="C310" s="324"/>
      <c r="D310" s="324"/>
      <c r="E310" s="324"/>
      <c r="F310" s="324"/>
      <c r="G310" s="324"/>
      <c r="H310" s="324"/>
      <c r="I310" s="324"/>
      <c r="J310" s="324"/>
      <c r="K310" s="324"/>
      <c r="L310" s="324"/>
      <c r="M310" s="324"/>
      <c r="N310" s="324"/>
      <c r="O310" s="324"/>
      <c r="P310" s="324"/>
      <c r="Q310" s="324"/>
      <c r="R310" s="324"/>
      <c r="S310" s="324"/>
      <c r="T310" s="324"/>
      <c r="U310" s="324"/>
      <c r="V310" s="324"/>
      <c r="W310" s="324"/>
      <c r="X310" s="324"/>
      <c r="Y310" s="324"/>
      <c r="Z310" s="324"/>
    </row>
    <row r="311">
      <c r="A311" s="324"/>
      <c r="B311" s="324"/>
      <c r="C311" s="324"/>
      <c r="D311" s="324"/>
      <c r="E311" s="324"/>
      <c r="F311" s="324"/>
      <c r="G311" s="324"/>
      <c r="H311" s="324"/>
      <c r="I311" s="324"/>
      <c r="J311" s="324"/>
      <c r="K311" s="324"/>
      <c r="L311" s="324"/>
      <c r="M311" s="324"/>
      <c r="N311" s="324"/>
      <c r="O311" s="324"/>
      <c r="P311" s="324"/>
      <c r="Q311" s="324"/>
      <c r="R311" s="324"/>
      <c r="S311" s="324"/>
      <c r="T311" s="324"/>
      <c r="U311" s="324"/>
      <c r="V311" s="324"/>
      <c r="W311" s="324"/>
      <c r="X311" s="324"/>
      <c r="Y311" s="324"/>
      <c r="Z311" s="324"/>
    </row>
    <row r="312">
      <c r="A312" s="324"/>
      <c r="B312" s="324"/>
      <c r="C312" s="324"/>
      <c r="D312" s="324"/>
      <c r="E312" s="324"/>
      <c r="F312" s="324"/>
      <c r="G312" s="324"/>
      <c r="H312" s="324"/>
      <c r="I312" s="324"/>
      <c r="J312" s="324"/>
      <c r="K312" s="324"/>
      <c r="L312" s="324"/>
      <c r="M312" s="324"/>
      <c r="N312" s="324"/>
      <c r="O312" s="324"/>
      <c r="P312" s="324"/>
      <c r="Q312" s="324"/>
      <c r="R312" s="324"/>
      <c r="S312" s="324"/>
      <c r="T312" s="324"/>
      <c r="U312" s="324"/>
      <c r="V312" s="324"/>
      <c r="W312" s="324"/>
      <c r="X312" s="324"/>
      <c r="Y312" s="324"/>
      <c r="Z312" s="324"/>
    </row>
    <row r="313">
      <c r="A313" s="324"/>
      <c r="B313" s="324"/>
      <c r="C313" s="324"/>
      <c r="D313" s="324"/>
      <c r="E313" s="324"/>
      <c r="F313" s="324"/>
      <c r="G313" s="324"/>
      <c r="H313" s="324"/>
      <c r="I313" s="324"/>
      <c r="J313" s="324"/>
      <c r="K313" s="324"/>
      <c r="L313" s="324"/>
      <c r="M313" s="324"/>
      <c r="N313" s="324"/>
      <c r="O313" s="324"/>
      <c r="P313" s="324"/>
      <c r="Q313" s="324"/>
      <c r="R313" s="324"/>
      <c r="S313" s="324"/>
      <c r="T313" s="324"/>
      <c r="U313" s="324"/>
      <c r="V313" s="324"/>
      <c r="W313" s="324"/>
      <c r="X313" s="324"/>
      <c r="Y313" s="324"/>
      <c r="Z313" s="324"/>
    </row>
    <row r="314">
      <c r="A314" s="324"/>
      <c r="B314" s="324"/>
      <c r="C314" s="324"/>
      <c r="D314" s="324"/>
      <c r="E314" s="324"/>
      <c r="F314" s="324"/>
      <c r="G314" s="324"/>
      <c r="H314" s="324"/>
      <c r="I314" s="324"/>
      <c r="J314" s="324"/>
      <c r="K314" s="324"/>
      <c r="L314" s="324"/>
      <c r="M314" s="324"/>
      <c r="N314" s="324"/>
      <c r="O314" s="324"/>
      <c r="P314" s="324"/>
      <c r="Q314" s="324"/>
      <c r="R314" s="324"/>
      <c r="S314" s="324"/>
      <c r="T314" s="324"/>
      <c r="U314" s="324"/>
      <c r="V314" s="324"/>
      <c r="W314" s="324"/>
      <c r="X314" s="324"/>
      <c r="Y314" s="324"/>
      <c r="Z314" s="324"/>
    </row>
    <row r="315">
      <c r="A315" s="324"/>
      <c r="B315" s="324"/>
      <c r="C315" s="324"/>
      <c r="D315" s="324"/>
      <c r="E315" s="324"/>
      <c r="F315" s="324"/>
      <c r="G315" s="324"/>
      <c r="H315" s="324"/>
      <c r="I315" s="324"/>
      <c r="J315" s="324"/>
      <c r="K315" s="324"/>
      <c r="L315" s="324"/>
      <c r="M315" s="324"/>
      <c r="N315" s="324"/>
      <c r="O315" s="324"/>
      <c r="P315" s="324"/>
      <c r="Q315" s="324"/>
      <c r="R315" s="324"/>
      <c r="S315" s="324"/>
      <c r="T315" s="324"/>
      <c r="U315" s="324"/>
      <c r="V315" s="324"/>
      <c r="W315" s="324"/>
      <c r="X315" s="324"/>
      <c r="Y315" s="324"/>
      <c r="Z315" s="324"/>
    </row>
    <row r="316">
      <c r="A316" s="324"/>
      <c r="B316" s="324"/>
      <c r="C316" s="324"/>
      <c r="D316" s="324"/>
      <c r="E316" s="324"/>
      <c r="F316" s="324"/>
      <c r="G316" s="324"/>
      <c r="H316" s="324"/>
      <c r="I316" s="324"/>
      <c r="J316" s="324"/>
      <c r="K316" s="324"/>
      <c r="L316" s="324"/>
      <c r="M316" s="324"/>
      <c r="N316" s="324"/>
      <c r="O316" s="324"/>
      <c r="P316" s="324"/>
      <c r="Q316" s="324"/>
      <c r="R316" s="324"/>
      <c r="S316" s="324"/>
      <c r="T316" s="324"/>
      <c r="U316" s="324"/>
      <c r="V316" s="324"/>
      <c r="W316" s="324"/>
      <c r="X316" s="324"/>
      <c r="Y316" s="324"/>
      <c r="Z316" s="324"/>
    </row>
    <row r="317">
      <c r="A317" s="324"/>
      <c r="B317" s="324"/>
      <c r="C317" s="324"/>
      <c r="D317" s="324"/>
      <c r="E317" s="324"/>
      <c r="F317" s="324"/>
      <c r="G317" s="324"/>
      <c r="H317" s="324"/>
      <c r="I317" s="324"/>
      <c r="J317" s="324"/>
      <c r="K317" s="324"/>
      <c r="L317" s="324"/>
      <c r="M317" s="324"/>
      <c r="N317" s="324"/>
      <c r="O317" s="324"/>
      <c r="P317" s="324"/>
      <c r="Q317" s="324"/>
      <c r="R317" s="324"/>
      <c r="S317" s="324"/>
      <c r="T317" s="324"/>
      <c r="U317" s="324"/>
      <c r="V317" s="324"/>
      <c r="W317" s="324"/>
      <c r="X317" s="324"/>
      <c r="Y317" s="324"/>
      <c r="Z317" s="324"/>
    </row>
    <row r="318">
      <c r="A318" s="324"/>
      <c r="B318" s="324"/>
      <c r="C318" s="324"/>
      <c r="D318" s="324"/>
      <c r="E318" s="324"/>
      <c r="F318" s="324"/>
      <c r="G318" s="324"/>
      <c r="H318" s="324"/>
      <c r="I318" s="324"/>
      <c r="J318" s="324"/>
      <c r="K318" s="324"/>
      <c r="L318" s="324"/>
      <c r="M318" s="324"/>
      <c r="N318" s="324"/>
      <c r="O318" s="324"/>
      <c r="P318" s="324"/>
      <c r="Q318" s="324"/>
      <c r="R318" s="324"/>
      <c r="S318" s="324"/>
      <c r="T318" s="324"/>
      <c r="U318" s="324"/>
      <c r="V318" s="324"/>
      <c r="W318" s="324"/>
      <c r="X318" s="324"/>
      <c r="Y318" s="324"/>
      <c r="Z318" s="324"/>
    </row>
    <row r="319">
      <c r="A319" s="324"/>
      <c r="B319" s="324"/>
      <c r="C319" s="324"/>
      <c r="D319" s="324"/>
      <c r="E319" s="324"/>
      <c r="F319" s="324"/>
      <c r="G319" s="324"/>
      <c r="H319" s="324"/>
      <c r="I319" s="324"/>
      <c r="J319" s="324"/>
      <c r="K319" s="324"/>
      <c r="L319" s="324"/>
      <c r="M319" s="324"/>
      <c r="N319" s="324"/>
      <c r="O319" s="324"/>
      <c r="P319" s="324"/>
      <c r="Q319" s="324"/>
      <c r="R319" s="324"/>
      <c r="S319" s="324"/>
      <c r="T319" s="324"/>
      <c r="U319" s="324"/>
      <c r="V319" s="324"/>
      <c r="W319" s="324"/>
      <c r="X319" s="324"/>
      <c r="Y319" s="324"/>
      <c r="Z319" s="324"/>
    </row>
    <row r="320">
      <c r="A320" s="324"/>
      <c r="B320" s="324"/>
      <c r="C320" s="324"/>
      <c r="D320" s="324"/>
      <c r="E320" s="324"/>
      <c r="F320" s="324"/>
      <c r="G320" s="324"/>
      <c r="H320" s="324"/>
      <c r="I320" s="324"/>
      <c r="J320" s="324"/>
      <c r="K320" s="324"/>
      <c r="L320" s="324"/>
      <c r="M320" s="324"/>
      <c r="N320" s="324"/>
      <c r="O320" s="324"/>
      <c r="P320" s="324"/>
      <c r="Q320" s="324"/>
      <c r="R320" s="324"/>
      <c r="S320" s="324"/>
      <c r="T320" s="324"/>
      <c r="U320" s="324"/>
      <c r="V320" s="324"/>
      <c r="W320" s="324"/>
      <c r="X320" s="324"/>
      <c r="Y320" s="324"/>
      <c r="Z320" s="324"/>
    </row>
    <row r="321">
      <c r="A321" s="324"/>
      <c r="B321" s="324"/>
      <c r="C321" s="324"/>
      <c r="D321" s="324"/>
      <c r="E321" s="324"/>
      <c r="F321" s="324"/>
      <c r="G321" s="324"/>
      <c r="H321" s="324"/>
      <c r="I321" s="324"/>
      <c r="J321" s="324"/>
      <c r="K321" s="324"/>
      <c r="L321" s="324"/>
      <c r="M321" s="324"/>
      <c r="N321" s="324"/>
      <c r="O321" s="324"/>
      <c r="P321" s="324"/>
      <c r="Q321" s="324"/>
      <c r="R321" s="324"/>
      <c r="S321" s="324"/>
      <c r="T321" s="324"/>
      <c r="U321" s="324"/>
      <c r="V321" s="324"/>
      <c r="W321" s="324"/>
      <c r="X321" s="324"/>
      <c r="Y321" s="324"/>
      <c r="Z321" s="324"/>
    </row>
    <row r="322">
      <c r="A322" s="324"/>
      <c r="B322" s="324"/>
      <c r="C322" s="324"/>
      <c r="D322" s="324"/>
      <c r="E322" s="324"/>
      <c r="F322" s="324"/>
      <c r="G322" s="324"/>
      <c r="H322" s="324"/>
      <c r="I322" s="324"/>
      <c r="J322" s="324"/>
      <c r="K322" s="324"/>
      <c r="L322" s="324"/>
      <c r="M322" s="324"/>
      <c r="N322" s="324"/>
      <c r="O322" s="324"/>
      <c r="P322" s="324"/>
      <c r="Q322" s="324"/>
      <c r="R322" s="324"/>
      <c r="S322" s="324"/>
      <c r="T322" s="324"/>
      <c r="U322" s="324"/>
      <c r="V322" s="324"/>
      <c r="W322" s="324"/>
      <c r="X322" s="324"/>
      <c r="Y322" s="324"/>
      <c r="Z322" s="324"/>
    </row>
    <row r="323">
      <c r="A323" s="324"/>
      <c r="B323" s="324"/>
      <c r="C323" s="324"/>
      <c r="D323" s="324"/>
      <c r="E323" s="324"/>
      <c r="F323" s="324"/>
      <c r="G323" s="324"/>
      <c r="H323" s="324"/>
      <c r="I323" s="324"/>
      <c r="J323" s="324"/>
      <c r="K323" s="324"/>
      <c r="L323" s="324"/>
      <c r="M323" s="324"/>
      <c r="N323" s="324"/>
      <c r="O323" s="324"/>
      <c r="P323" s="324"/>
      <c r="Q323" s="324"/>
      <c r="R323" s="324"/>
      <c r="S323" s="324"/>
      <c r="T323" s="324"/>
      <c r="U323" s="324"/>
      <c r="V323" s="324"/>
      <c r="W323" s="324"/>
      <c r="X323" s="324"/>
      <c r="Y323" s="324"/>
      <c r="Z323" s="324"/>
    </row>
    <row r="324">
      <c r="A324" s="324"/>
      <c r="B324" s="324"/>
      <c r="C324" s="324"/>
      <c r="D324" s="324"/>
      <c r="E324" s="324"/>
      <c r="F324" s="324"/>
      <c r="G324" s="324"/>
      <c r="H324" s="324"/>
      <c r="I324" s="324"/>
      <c r="J324" s="324"/>
      <c r="K324" s="324"/>
      <c r="L324" s="324"/>
      <c r="M324" s="324"/>
      <c r="N324" s="324"/>
      <c r="O324" s="324"/>
      <c r="P324" s="324"/>
      <c r="Q324" s="324"/>
      <c r="R324" s="324"/>
      <c r="S324" s="324"/>
      <c r="T324" s="324"/>
      <c r="U324" s="324"/>
      <c r="V324" s="324"/>
      <c r="W324" s="324"/>
      <c r="X324" s="324"/>
      <c r="Y324" s="324"/>
      <c r="Z324" s="324"/>
    </row>
    <row r="325">
      <c r="A325" s="324"/>
      <c r="B325" s="324"/>
      <c r="C325" s="324"/>
      <c r="D325" s="324"/>
      <c r="E325" s="324"/>
      <c r="F325" s="324"/>
      <c r="G325" s="324"/>
      <c r="H325" s="324"/>
      <c r="I325" s="324"/>
      <c r="J325" s="324"/>
      <c r="K325" s="324"/>
      <c r="L325" s="324"/>
      <c r="M325" s="324"/>
      <c r="N325" s="324"/>
      <c r="O325" s="324"/>
      <c r="P325" s="324"/>
      <c r="Q325" s="324"/>
      <c r="R325" s="324"/>
      <c r="S325" s="324"/>
      <c r="T325" s="324"/>
      <c r="U325" s="324"/>
      <c r="V325" s="324"/>
      <c r="W325" s="324"/>
      <c r="X325" s="324"/>
      <c r="Y325" s="324"/>
      <c r="Z325" s="324"/>
    </row>
    <row r="326">
      <c r="A326" s="324"/>
      <c r="B326" s="324"/>
      <c r="C326" s="324"/>
      <c r="D326" s="324"/>
      <c r="E326" s="324"/>
      <c r="F326" s="324"/>
      <c r="G326" s="324"/>
      <c r="H326" s="324"/>
      <c r="I326" s="324"/>
      <c r="J326" s="324"/>
      <c r="K326" s="324"/>
      <c r="L326" s="324"/>
      <c r="M326" s="324"/>
      <c r="N326" s="324"/>
      <c r="O326" s="324"/>
      <c r="P326" s="324"/>
      <c r="Q326" s="324"/>
      <c r="R326" s="324"/>
      <c r="S326" s="324"/>
      <c r="T326" s="324"/>
      <c r="U326" s="324"/>
      <c r="V326" s="324"/>
      <c r="W326" s="324"/>
      <c r="X326" s="324"/>
      <c r="Y326" s="324"/>
      <c r="Z326" s="324"/>
    </row>
    <row r="327">
      <c r="A327" s="324"/>
      <c r="B327" s="324"/>
      <c r="C327" s="324"/>
      <c r="D327" s="324"/>
      <c r="E327" s="324"/>
      <c r="F327" s="324"/>
      <c r="G327" s="324"/>
      <c r="H327" s="324"/>
      <c r="I327" s="324"/>
      <c r="J327" s="324"/>
      <c r="K327" s="324"/>
      <c r="L327" s="324"/>
      <c r="M327" s="324"/>
      <c r="N327" s="324"/>
      <c r="O327" s="324"/>
      <c r="P327" s="324"/>
      <c r="Q327" s="324"/>
      <c r="R327" s="324"/>
      <c r="S327" s="324"/>
      <c r="T327" s="324"/>
      <c r="U327" s="324"/>
      <c r="V327" s="324"/>
      <c r="W327" s="324"/>
      <c r="X327" s="324"/>
      <c r="Y327" s="324"/>
      <c r="Z327" s="324"/>
    </row>
    <row r="328">
      <c r="A328" s="324"/>
      <c r="B328" s="324"/>
      <c r="C328" s="324"/>
      <c r="D328" s="324"/>
      <c r="E328" s="324"/>
      <c r="F328" s="324"/>
      <c r="G328" s="324"/>
      <c r="H328" s="324"/>
      <c r="I328" s="324"/>
      <c r="J328" s="324"/>
      <c r="K328" s="324"/>
      <c r="L328" s="324"/>
      <c r="M328" s="324"/>
      <c r="N328" s="324"/>
      <c r="O328" s="324"/>
      <c r="P328" s="324"/>
      <c r="Q328" s="324"/>
      <c r="R328" s="324"/>
      <c r="S328" s="324"/>
      <c r="T328" s="324"/>
      <c r="U328" s="324"/>
      <c r="V328" s="324"/>
      <c r="W328" s="324"/>
      <c r="X328" s="324"/>
      <c r="Y328" s="324"/>
      <c r="Z328" s="324"/>
    </row>
    <row r="329">
      <c r="A329" s="324"/>
      <c r="B329" s="324"/>
      <c r="C329" s="324"/>
      <c r="D329" s="324"/>
      <c r="E329" s="324"/>
      <c r="F329" s="324"/>
      <c r="G329" s="324"/>
      <c r="H329" s="324"/>
      <c r="I329" s="324"/>
      <c r="J329" s="324"/>
      <c r="K329" s="324"/>
      <c r="L329" s="324"/>
      <c r="M329" s="324"/>
      <c r="N329" s="324"/>
      <c r="O329" s="324"/>
      <c r="P329" s="324"/>
      <c r="Q329" s="324"/>
      <c r="R329" s="324"/>
      <c r="S329" s="324"/>
      <c r="T329" s="324"/>
      <c r="U329" s="324"/>
      <c r="V329" s="324"/>
      <c r="W329" s="324"/>
      <c r="X329" s="324"/>
      <c r="Y329" s="324"/>
      <c r="Z329" s="324"/>
    </row>
    <row r="330">
      <c r="A330" s="324"/>
      <c r="B330" s="324"/>
      <c r="C330" s="324"/>
      <c r="D330" s="324"/>
      <c r="E330" s="324"/>
      <c r="F330" s="324"/>
      <c r="G330" s="324"/>
      <c r="H330" s="324"/>
      <c r="I330" s="324"/>
      <c r="J330" s="324"/>
      <c r="K330" s="324"/>
      <c r="L330" s="324"/>
      <c r="M330" s="324"/>
      <c r="N330" s="324"/>
      <c r="O330" s="324"/>
      <c r="P330" s="324"/>
      <c r="Q330" s="324"/>
      <c r="R330" s="324"/>
      <c r="S330" s="324"/>
      <c r="T330" s="324"/>
      <c r="U330" s="324"/>
      <c r="V330" s="324"/>
      <c r="W330" s="324"/>
      <c r="X330" s="324"/>
      <c r="Y330" s="324"/>
      <c r="Z330" s="324"/>
    </row>
    <row r="331">
      <c r="A331" s="324"/>
      <c r="B331" s="324"/>
      <c r="C331" s="324"/>
      <c r="D331" s="324"/>
      <c r="E331" s="324"/>
      <c r="F331" s="324"/>
      <c r="G331" s="324"/>
      <c r="H331" s="324"/>
      <c r="I331" s="324"/>
      <c r="J331" s="324"/>
      <c r="K331" s="324"/>
      <c r="L331" s="324"/>
      <c r="M331" s="324"/>
      <c r="N331" s="324"/>
      <c r="O331" s="324"/>
      <c r="P331" s="324"/>
      <c r="Q331" s="324"/>
      <c r="R331" s="324"/>
      <c r="S331" s="324"/>
      <c r="T331" s="324"/>
      <c r="U331" s="324"/>
      <c r="V331" s="324"/>
      <c r="W331" s="324"/>
      <c r="X331" s="324"/>
      <c r="Y331" s="324"/>
      <c r="Z331" s="324"/>
    </row>
    <row r="332">
      <c r="A332" s="324"/>
      <c r="B332" s="324"/>
      <c r="C332" s="324"/>
      <c r="D332" s="324"/>
      <c r="E332" s="324"/>
      <c r="F332" s="324"/>
      <c r="G332" s="324"/>
      <c r="H332" s="324"/>
      <c r="I332" s="324"/>
      <c r="J332" s="324"/>
      <c r="K332" s="324"/>
      <c r="L332" s="324"/>
      <c r="M332" s="324"/>
      <c r="N332" s="324"/>
      <c r="O332" s="324"/>
      <c r="P332" s="324"/>
      <c r="Q332" s="324"/>
      <c r="R332" s="324"/>
      <c r="S332" s="324"/>
      <c r="T332" s="324"/>
      <c r="U332" s="324"/>
      <c r="V332" s="324"/>
      <c r="W332" s="324"/>
      <c r="X332" s="324"/>
      <c r="Y332" s="324"/>
      <c r="Z332" s="324"/>
    </row>
    <row r="333">
      <c r="A333" s="324"/>
      <c r="B333" s="324"/>
      <c r="C333" s="324"/>
      <c r="D333" s="324"/>
      <c r="E333" s="324"/>
      <c r="F333" s="324"/>
      <c r="G333" s="324"/>
      <c r="H333" s="324"/>
      <c r="I333" s="324"/>
      <c r="J333" s="324"/>
      <c r="K333" s="324"/>
      <c r="L333" s="324"/>
      <c r="M333" s="324"/>
      <c r="N333" s="324"/>
      <c r="O333" s="324"/>
      <c r="P333" s="324"/>
      <c r="Q333" s="324"/>
      <c r="R333" s="324"/>
      <c r="S333" s="324"/>
      <c r="T333" s="324"/>
      <c r="U333" s="324"/>
      <c r="V333" s="324"/>
      <c r="W333" s="324"/>
      <c r="X333" s="324"/>
      <c r="Y333" s="324"/>
      <c r="Z333" s="324"/>
    </row>
    <row r="334">
      <c r="A334" s="324"/>
      <c r="B334" s="324"/>
      <c r="C334" s="324"/>
      <c r="D334" s="324"/>
      <c r="E334" s="324"/>
      <c r="F334" s="324"/>
      <c r="G334" s="324"/>
      <c r="H334" s="324"/>
      <c r="I334" s="324"/>
      <c r="J334" s="324"/>
      <c r="K334" s="324"/>
      <c r="L334" s="324"/>
      <c r="M334" s="324"/>
      <c r="N334" s="324"/>
      <c r="O334" s="324"/>
      <c r="P334" s="324"/>
      <c r="Q334" s="324"/>
      <c r="R334" s="324"/>
      <c r="S334" s="324"/>
      <c r="T334" s="324"/>
      <c r="U334" s="324"/>
      <c r="V334" s="324"/>
      <c r="W334" s="324"/>
      <c r="X334" s="324"/>
      <c r="Y334" s="324"/>
      <c r="Z334" s="324"/>
    </row>
    <row r="335">
      <c r="A335" s="324"/>
      <c r="B335" s="324"/>
      <c r="C335" s="324"/>
      <c r="D335" s="324"/>
      <c r="E335" s="324"/>
      <c r="F335" s="324"/>
      <c r="G335" s="324"/>
      <c r="H335" s="324"/>
      <c r="I335" s="324"/>
      <c r="J335" s="324"/>
      <c r="K335" s="324"/>
      <c r="L335" s="324"/>
      <c r="M335" s="324"/>
      <c r="N335" s="324"/>
      <c r="O335" s="324"/>
      <c r="P335" s="324"/>
      <c r="Q335" s="324"/>
      <c r="R335" s="324"/>
      <c r="S335" s="324"/>
      <c r="T335" s="324"/>
      <c r="U335" s="324"/>
      <c r="V335" s="324"/>
      <c r="W335" s="324"/>
      <c r="X335" s="324"/>
      <c r="Y335" s="324"/>
      <c r="Z335" s="324"/>
    </row>
    <row r="336">
      <c r="A336" s="324"/>
      <c r="B336" s="324"/>
      <c r="C336" s="324"/>
      <c r="D336" s="324"/>
      <c r="E336" s="324"/>
      <c r="F336" s="324"/>
      <c r="G336" s="324"/>
      <c r="H336" s="324"/>
      <c r="I336" s="324"/>
      <c r="J336" s="324"/>
      <c r="K336" s="324"/>
      <c r="L336" s="324"/>
      <c r="M336" s="324"/>
      <c r="N336" s="324"/>
      <c r="O336" s="324"/>
      <c r="P336" s="324"/>
      <c r="Q336" s="324"/>
      <c r="R336" s="324"/>
      <c r="S336" s="324"/>
      <c r="T336" s="324"/>
      <c r="U336" s="324"/>
      <c r="V336" s="324"/>
      <c r="W336" s="324"/>
      <c r="X336" s="324"/>
      <c r="Y336" s="324"/>
      <c r="Z336" s="324"/>
    </row>
    <row r="337">
      <c r="A337" s="324"/>
      <c r="B337" s="324"/>
      <c r="C337" s="324"/>
      <c r="D337" s="324"/>
      <c r="E337" s="324"/>
      <c r="F337" s="324"/>
      <c r="G337" s="324"/>
      <c r="H337" s="324"/>
      <c r="I337" s="324"/>
      <c r="J337" s="324"/>
      <c r="K337" s="324"/>
      <c r="L337" s="324"/>
      <c r="M337" s="324"/>
      <c r="N337" s="324"/>
      <c r="O337" s="324"/>
      <c r="P337" s="324"/>
      <c r="Q337" s="324"/>
      <c r="R337" s="324"/>
      <c r="S337" s="324"/>
      <c r="T337" s="324"/>
      <c r="U337" s="324"/>
      <c r="V337" s="324"/>
      <c r="W337" s="324"/>
      <c r="X337" s="324"/>
      <c r="Y337" s="324"/>
      <c r="Z337" s="324"/>
    </row>
    <row r="338">
      <c r="A338" s="324"/>
      <c r="B338" s="324"/>
      <c r="C338" s="324"/>
      <c r="D338" s="324"/>
      <c r="E338" s="324"/>
      <c r="F338" s="324"/>
      <c r="G338" s="324"/>
      <c r="H338" s="324"/>
      <c r="I338" s="324"/>
      <c r="J338" s="324"/>
      <c r="K338" s="324"/>
      <c r="L338" s="324"/>
      <c r="M338" s="324"/>
      <c r="N338" s="324"/>
      <c r="O338" s="324"/>
      <c r="P338" s="324"/>
      <c r="Q338" s="324"/>
      <c r="R338" s="324"/>
      <c r="S338" s="324"/>
      <c r="T338" s="324"/>
      <c r="U338" s="324"/>
      <c r="V338" s="324"/>
      <c r="W338" s="324"/>
      <c r="X338" s="324"/>
      <c r="Y338" s="324"/>
      <c r="Z338" s="324"/>
    </row>
    <row r="339">
      <c r="A339" s="324"/>
      <c r="B339" s="324"/>
      <c r="C339" s="324"/>
      <c r="D339" s="324"/>
      <c r="E339" s="324"/>
      <c r="F339" s="324"/>
      <c r="G339" s="324"/>
      <c r="H339" s="324"/>
      <c r="I339" s="324"/>
      <c r="J339" s="324"/>
      <c r="K339" s="324"/>
      <c r="L339" s="324"/>
      <c r="M339" s="324"/>
      <c r="N339" s="324"/>
      <c r="O339" s="324"/>
      <c r="P339" s="324"/>
      <c r="Q339" s="324"/>
      <c r="R339" s="324"/>
      <c r="S339" s="324"/>
      <c r="T339" s="324"/>
      <c r="U339" s="324"/>
      <c r="V339" s="324"/>
      <c r="W339" s="324"/>
      <c r="X339" s="324"/>
      <c r="Y339" s="324"/>
      <c r="Z339" s="324"/>
    </row>
    <row r="340">
      <c r="A340" s="324"/>
      <c r="B340" s="324"/>
      <c r="C340" s="324"/>
      <c r="D340" s="324"/>
      <c r="E340" s="324"/>
      <c r="F340" s="324"/>
      <c r="G340" s="324"/>
      <c r="H340" s="324"/>
      <c r="I340" s="324"/>
      <c r="J340" s="324"/>
      <c r="K340" s="324"/>
      <c r="L340" s="324"/>
      <c r="M340" s="324"/>
      <c r="N340" s="324"/>
      <c r="O340" s="324"/>
      <c r="P340" s="324"/>
      <c r="Q340" s="324"/>
      <c r="R340" s="324"/>
      <c r="S340" s="324"/>
      <c r="T340" s="324"/>
      <c r="U340" s="324"/>
      <c r="V340" s="324"/>
      <c r="W340" s="324"/>
      <c r="X340" s="324"/>
      <c r="Y340" s="324"/>
      <c r="Z340" s="324"/>
    </row>
    <row r="341">
      <c r="A341" s="324"/>
      <c r="B341" s="324"/>
      <c r="C341" s="324"/>
      <c r="D341" s="324"/>
      <c r="E341" s="324"/>
      <c r="F341" s="324"/>
      <c r="G341" s="324"/>
      <c r="H341" s="324"/>
      <c r="I341" s="324"/>
      <c r="J341" s="324"/>
      <c r="K341" s="324"/>
      <c r="L341" s="324"/>
      <c r="M341" s="324"/>
      <c r="N341" s="324"/>
      <c r="O341" s="324"/>
      <c r="P341" s="324"/>
      <c r="Q341" s="324"/>
      <c r="R341" s="324"/>
      <c r="S341" s="324"/>
      <c r="T341" s="324"/>
      <c r="U341" s="324"/>
      <c r="V341" s="324"/>
      <c r="W341" s="324"/>
      <c r="X341" s="324"/>
      <c r="Y341" s="324"/>
      <c r="Z341" s="324"/>
    </row>
    <row r="342">
      <c r="A342" s="324"/>
      <c r="B342" s="324"/>
      <c r="C342" s="324"/>
      <c r="D342" s="324"/>
      <c r="E342" s="324"/>
      <c r="F342" s="324"/>
      <c r="G342" s="324"/>
      <c r="H342" s="324"/>
      <c r="I342" s="324"/>
      <c r="J342" s="324"/>
      <c r="K342" s="324"/>
      <c r="L342" s="324"/>
      <c r="M342" s="324"/>
      <c r="N342" s="324"/>
      <c r="O342" s="324"/>
      <c r="P342" s="324"/>
      <c r="Q342" s="324"/>
      <c r="R342" s="324"/>
      <c r="S342" s="324"/>
      <c r="T342" s="324"/>
      <c r="U342" s="324"/>
      <c r="V342" s="324"/>
      <c r="W342" s="324"/>
      <c r="X342" s="324"/>
      <c r="Y342" s="324"/>
      <c r="Z342" s="324"/>
    </row>
    <row r="343">
      <c r="A343" s="324"/>
      <c r="B343" s="324"/>
      <c r="C343" s="324"/>
      <c r="D343" s="324"/>
      <c r="E343" s="324"/>
      <c r="F343" s="324"/>
      <c r="G343" s="324"/>
      <c r="H343" s="324"/>
      <c r="I343" s="324"/>
      <c r="J343" s="324"/>
      <c r="K343" s="324"/>
      <c r="L343" s="324"/>
      <c r="M343" s="324"/>
      <c r="N343" s="324"/>
      <c r="O343" s="324"/>
      <c r="P343" s="324"/>
      <c r="Q343" s="324"/>
      <c r="R343" s="324"/>
      <c r="S343" s="324"/>
      <c r="T343" s="324"/>
      <c r="U343" s="324"/>
      <c r="V343" s="324"/>
      <c r="W343" s="324"/>
      <c r="X343" s="324"/>
      <c r="Y343" s="324"/>
      <c r="Z343" s="324"/>
    </row>
    <row r="344">
      <c r="A344" s="324"/>
      <c r="B344" s="324"/>
      <c r="C344" s="324"/>
      <c r="D344" s="324"/>
      <c r="E344" s="324"/>
      <c r="F344" s="324"/>
      <c r="G344" s="324"/>
      <c r="H344" s="324"/>
      <c r="I344" s="324"/>
      <c r="J344" s="324"/>
      <c r="K344" s="324"/>
      <c r="L344" s="324"/>
      <c r="M344" s="324"/>
      <c r="N344" s="324"/>
      <c r="O344" s="324"/>
      <c r="P344" s="324"/>
      <c r="Q344" s="324"/>
      <c r="R344" s="324"/>
      <c r="S344" s="324"/>
      <c r="T344" s="324"/>
      <c r="U344" s="324"/>
      <c r="V344" s="324"/>
      <c r="W344" s="324"/>
      <c r="X344" s="324"/>
      <c r="Y344" s="324"/>
      <c r="Z344" s="324"/>
    </row>
    <row r="345">
      <c r="A345" s="324"/>
      <c r="B345" s="324"/>
      <c r="C345" s="324"/>
      <c r="D345" s="324"/>
      <c r="E345" s="324"/>
      <c r="F345" s="324"/>
      <c r="G345" s="324"/>
      <c r="H345" s="324"/>
      <c r="I345" s="324"/>
      <c r="J345" s="324"/>
      <c r="K345" s="324"/>
      <c r="L345" s="324"/>
      <c r="M345" s="324"/>
      <c r="N345" s="324"/>
      <c r="O345" s="324"/>
      <c r="P345" s="324"/>
      <c r="Q345" s="324"/>
      <c r="R345" s="324"/>
      <c r="S345" s="324"/>
      <c r="T345" s="324"/>
      <c r="U345" s="324"/>
      <c r="V345" s="324"/>
      <c r="W345" s="324"/>
      <c r="X345" s="324"/>
      <c r="Y345" s="324"/>
      <c r="Z345" s="324"/>
    </row>
    <row r="346">
      <c r="A346" s="324"/>
      <c r="B346" s="324"/>
      <c r="C346" s="324"/>
      <c r="D346" s="324"/>
      <c r="E346" s="324"/>
      <c r="F346" s="324"/>
      <c r="G346" s="324"/>
      <c r="H346" s="324"/>
      <c r="I346" s="324"/>
      <c r="J346" s="324"/>
      <c r="K346" s="324"/>
      <c r="L346" s="324"/>
      <c r="M346" s="324"/>
      <c r="N346" s="324"/>
      <c r="O346" s="324"/>
      <c r="P346" s="324"/>
      <c r="Q346" s="324"/>
      <c r="R346" s="324"/>
      <c r="S346" s="324"/>
      <c r="T346" s="324"/>
      <c r="U346" s="324"/>
      <c r="V346" s="324"/>
      <c r="W346" s="324"/>
      <c r="X346" s="324"/>
      <c r="Y346" s="324"/>
      <c r="Z346" s="324"/>
    </row>
    <row r="347">
      <c r="A347" s="324"/>
      <c r="B347" s="324"/>
      <c r="C347" s="324"/>
      <c r="D347" s="324"/>
      <c r="E347" s="324"/>
      <c r="F347" s="324"/>
      <c r="G347" s="324"/>
      <c r="H347" s="324"/>
      <c r="I347" s="324"/>
      <c r="J347" s="324"/>
      <c r="K347" s="324"/>
      <c r="L347" s="324"/>
      <c r="M347" s="324"/>
      <c r="N347" s="324"/>
      <c r="O347" s="324"/>
      <c r="P347" s="324"/>
      <c r="Q347" s="324"/>
      <c r="R347" s="324"/>
      <c r="S347" s="324"/>
      <c r="T347" s="324"/>
      <c r="U347" s="324"/>
      <c r="V347" s="324"/>
      <c r="W347" s="324"/>
      <c r="X347" s="324"/>
      <c r="Y347" s="324"/>
      <c r="Z347" s="324"/>
    </row>
    <row r="348">
      <c r="A348" s="324"/>
      <c r="B348" s="324"/>
      <c r="C348" s="324"/>
      <c r="D348" s="324"/>
      <c r="E348" s="324"/>
      <c r="F348" s="324"/>
      <c r="G348" s="324"/>
      <c r="H348" s="324"/>
      <c r="I348" s="324"/>
      <c r="J348" s="324"/>
      <c r="K348" s="324"/>
      <c r="L348" s="324"/>
      <c r="M348" s="324"/>
      <c r="N348" s="324"/>
      <c r="O348" s="324"/>
      <c r="P348" s="324"/>
      <c r="Q348" s="324"/>
      <c r="R348" s="324"/>
      <c r="S348" s="324"/>
      <c r="T348" s="324"/>
      <c r="U348" s="324"/>
      <c r="V348" s="324"/>
      <c r="W348" s="324"/>
      <c r="X348" s="324"/>
      <c r="Y348" s="324"/>
      <c r="Z348" s="324"/>
    </row>
    <row r="349">
      <c r="A349" s="324"/>
      <c r="B349" s="324"/>
      <c r="C349" s="324"/>
      <c r="D349" s="324"/>
      <c r="E349" s="324"/>
      <c r="F349" s="324"/>
      <c r="G349" s="324"/>
      <c r="H349" s="324"/>
      <c r="I349" s="324"/>
      <c r="J349" s="324"/>
      <c r="K349" s="324"/>
      <c r="L349" s="324"/>
      <c r="M349" s="324"/>
      <c r="N349" s="324"/>
      <c r="O349" s="324"/>
      <c r="P349" s="324"/>
      <c r="Q349" s="324"/>
      <c r="R349" s="324"/>
      <c r="S349" s="324"/>
      <c r="T349" s="324"/>
      <c r="U349" s="324"/>
      <c r="V349" s="324"/>
      <c r="W349" s="324"/>
      <c r="X349" s="324"/>
      <c r="Y349" s="324"/>
      <c r="Z349" s="324"/>
    </row>
    <row r="350">
      <c r="A350" s="324"/>
      <c r="B350" s="324"/>
      <c r="C350" s="324"/>
      <c r="D350" s="324"/>
      <c r="E350" s="324"/>
      <c r="F350" s="324"/>
      <c r="G350" s="324"/>
      <c r="H350" s="324"/>
      <c r="I350" s="324"/>
      <c r="J350" s="324"/>
      <c r="K350" s="324"/>
      <c r="L350" s="324"/>
      <c r="M350" s="324"/>
      <c r="N350" s="324"/>
      <c r="O350" s="324"/>
      <c r="P350" s="324"/>
      <c r="Q350" s="324"/>
      <c r="R350" s="324"/>
      <c r="S350" s="324"/>
      <c r="T350" s="324"/>
      <c r="U350" s="324"/>
      <c r="V350" s="324"/>
      <c r="W350" s="324"/>
      <c r="X350" s="324"/>
      <c r="Y350" s="324"/>
      <c r="Z350" s="324"/>
    </row>
    <row r="351">
      <c r="A351" s="324"/>
      <c r="B351" s="324"/>
      <c r="C351" s="324"/>
      <c r="D351" s="324"/>
      <c r="E351" s="324"/>
      <c r="F351" s="324"/>
      <c r="G351" s="324"/>
      <c r="H351" s="324"/>
      <c r="I351" s="324"/>
      <c r="J351" s="324"/>
      <c r="K351" s="324"/>
      <c r="L351" s="324"/>
      <c r="M351" s="324"/>
      <c r="N351" s="324"/>
      <c r="O351" s="324"/>
      <c r="P351" s="324"/>
      <c r="Q351" s="324"/>
      <c r="R351" s="324"/>
      <c r="S351" s="324"/>
      <c r="T351" s="324"/>
      <c r="U351" s="324"/>
      <c r="V351" s="324"/>
      <c r="W351" s="324"/>
      <c r="X351" s="324"/>
      <c r="Y351" s="324"/>
      <c r="Z351" s="324"/>
    </row>
    <row r="352">
      <c r="A352" s="324"/>
      <c r="B352" s="324"/>
      <c r="C352" s="324"/>
      <c r="D352" s="324"/>
      <c r="E352" s="324"/>
      <c r="F352" s="324"/>
      <c r="G352" s="324"/>
      <c r="H352" s="324"/>
      <c r="I352" s="324"/>
      <c r="J352" s="324"/>
      <c r="K352" s="324"/>
      <c r="L352" s="324"/>
      <c r="M352" s="324"/>
      <c r="N352" s="324"/>
      <c r="O352" s="324"/>
      <c r="P352" s="324"/>
      <c r="Q352" s="324"/>
      <c r="R352" s="324"/>
      <c r="S352" s="324"/>
      <c r="T352" s="324"/>
      <c r="U352" s="324"/>
      <c r="V352" s="324"/>
      <c r="W352" s="324"/>
      <c r="X352" s="324"/>
      <c r="Y352" s="324"/>
      <c r="Z352" s="324"/>
    </row>
    <row r="353">
      <c r="A353" s="324"/>
      <c r="B353" s="324"/>
      <c r="C353" s="324"/>
      <c r="D353" s="324"/>
      <c r="E353" s="324"/>
      <c r="F353" s="324"/>
      <c r="G353" s="324"/>
      <c r="H353" s="324"/>
      <c r="I353" s="324"/>
      <c r="J353" s="324"/>
      <c r="K353" s="324"/>
      <c r="L353" s="324"/>
      <c r="M353" s="324"/>
      <c r="N353" s="324"/>
      <c r="O353" s="324"/>
      <c r="P353" s="324"/>
      <c r="Q353" s="324"/>
      <c r="R353" s="324"/>
      <c r="S353" s="324"/>
      <c r="T353" s="324"/>
      <c r="U353" s="324"/>
      <c r="V353" s="324"/>
      <c r="W353" s="324"/>
      <c r="X353" s="324"/>
      <c r="Y353" s="324"/>
      <c r="Z353" s="324"/>
    </row>
    <row r="354">
      <c r="A354" s="324"/>
      <c r="B354" s="324"/>
      <c r="C354" s="324"/>
      <c r="D354" s="324"/>
      <c r="E354" s="324"/>
      <c r="F354" s="324"/>
      <c r="G354" s="324"/>
      <c r="H354" s="324"/>
      <c r="I354" s="324"/>
      <c r="J354" s="324"/>
      <c r="K354" s="324"/>
      <c r="L354" s="324"/>
      <c r="M354" s="324"/>
      <c r="N354" s="324"/>
      <c r="O354" s="324"/>
      <c r="P354" s="324"/>
      <c r="Q354" s="324"/>
      <c r="R354" s="324"/>
      <c r="S354" s="324"/>
      <c r="T354" s="324"/>
      <c r="U354" s="324"/>
      <c r="V354" s="324"/>
      <c r="W354" s="324"/>
      <c r="X354" s="324"/>
      <c r="Y354" s="324"/>
      <c r="Z354" s="324"/>
    </row>
    <row r="355">
      <c r="A355" s="324"/>
      <c r="B355" s="324"/>
      <c r="C355" s="324"/>
      <c r="D355" s="324"/>
      <c r="E355" s="324"/>
      <c r="F355" s="324"/>
      <c r="G355" s="324"/>
      <c r="H355" s="324"/>
      <c r="I355" s="324"/>
      <c r="J355" s="324"/>
      <c r="K355" s="324"/>
      <c r="L355" s="324"/>
      <c r="M355" s="324"/>
      <c r="N355" s="324"/>
      <c r="O355" s="324"/>
      <c r="P355" s="324"/>
      <c r="Q355" s="324"/>
      <c r="R355" s="324"/>
      <c r="S355" s="324"/>
      <c r="T355" s="324"/>
      <c r="U355" s="324"/>
      <c r="V355" s="324"/>
      <c r="W355" s="324"/>
      <c r="X355" s="324"/>
      <c r="Y355" s="324"/>
      <c r="Z355" s="324"/>
    </row>
    <row r="356">
      <c r="A356" s="324"/>
      <c r="B356" s="324"/>
      <c r="C356" s="324"/>
      <c r="D356" s="324"/>
      <c r="E356" s="324"/>
      <c r="F356" s="324"/>
      <c r="G356" s="324"/>
      <c r="H356" s="324"/>
      <c r="I356" s="324"/>
      <c r="J356" s="324"/>
      <c r="K356" s="324"/>
      <c r="L356" s="324"/>
      <c r="M356" s="324"/>
      <c r="N356" s="324"/>
      <c r="O356" s="324"/>
      <c r="P356" s="324"/>
      <c r="Q356" s="324"/>
      <c r="R356" s="324"/>
      <c r="S356" s="324"/>
      <c r="T356" s="324"/>
      <c r="U356" s="324"/>
      <c r="V356" s="324"/>
      <c r="W356" s="324"/>
      <c r="X356" s="324"/>
      <c r="Y356" s="324"/>
      <c r="Z356" s="324"/>
    </row>
    <row r="357">
      <c r="A357" s="324"/>
      <c r="B357" s="324"/>
      <c r="C357" s="324"/>
      <c r="D357" s="324"/>
      <c r="E357" s="324"/>
      <c r="F357" s="324"/>
      <c r="G357" s="324"/>
      <c r="H357" s="324"/>
      <c r="I357" s="324"/>
      <c r="J357" s="324"/>
      <c r="K357" s="324"/>
      <c r="L357" s="324"/>
      <c r="M357" s="324"/>
      <c r="N357" s="324"/>
      <c r="O357" s="324"/>
      <c r="P357" s="324"/>
      <c r="Q357" s="324"/>
      <c r="R357" s="324"/>
      <c r="S357" s="324"/>
      <c r="T357" s="324"/>
      <c r="U357" s="324"/>
      <c r="V357" s="324"/>
      <c r="W357" s="324"/>
      <c r="X357" s="324"/>
      <c r="Y357" s="324"/>
      <c r="Z357" s="324"/>
    </row>
    <row r="358">
      <c r="A358" s="324"/>
      <c r="B358" s="324"/>
      <c r="C358" s="324"/>
      <c r="D358" s="324"/>
      <c r="E358" s="324"/>
      <c r="F358" s="324"/>
      <c r="G358" s="324"/>
      <c r="H358" s="324"/>
      <c r="I358" s="324"/>
      <c r="J358" s="324"/>
      <c r="K358" s="324"/>
      <c r="L358" s="324"/>
      <c r="M358" s="324"/>
      <c r="N358" s="324"/>
      <c r="O358" s="324"/>
      <c r="P358" s="324"/>
      <c r="Q358" s="324"/>
      <c r="R358" s="324"/>
      <c r="S358" s="324"/>
      <c r="T358" s="324"/>
      <c r="U358" s="324"/>
      <c r="V358" s="324"/>
      <c r="W358" s="324"/>
      <c r="X358" s="324"/>
      <c r="Y358" s="324"/>
      <c r="Z358" s="324"/>
    </row>
    <row r="359">
      <c r="A359" s="324"/>
      <c r="B359" s="324"/>
      <c r="C359" s="324"/>
      <c r="D359" s="324"/>
      <c r="E359" s="324"/>
      <c r="F359" s="324"/>
      <c r="G359" s="324"/>
      <c r="H359" s="324"/>
      <c r="I359" s="324"/>
      <c r="J359" s="324"/>
      <c r="K359" s="324"/>
      <c r="L359" s="324"/>
      <c r="M359" s="324"/>
      <c r="N359" s="324"/>
      <c r="O359" s="324"/>
      <c r="P359" s="324"/>
      <c r="Q359" s="324"/>
      <c r="R359" s="324"/>
      <c r="S359" s="324"/>
      <c r="T359" s="324"/>
      <c r="U359" s="324"/>
      <c r="V359" s="324"/>
      <c r="W359" s="324"/>
      <c r="X359" s="324"/>
      <c r="Y359" s="324"/>
      <c r="Z359" s="324"/>
    </row>
    <row r="360">
      <c r="A360" s="324"/>
      <c r="B360" s="324"/>
      <c r="C360" s="324"/>
      <c r="D360" s="324"/>
      <c r="E360" s="324"/>
      <c r="F360" s="324"/>
      <c r="G360" s="324"/>
      <c r="H360" s="324"/>
      <c r="I360" s="324"/>
      <c r="J360" s="324"/>
      <c r="K360" s="324"/>
      <c r="L360" s="324"/>
      <c r="M360" s="324"/>
      <c r="N360" s="324"/>
      <c r="O360" s="324"/>
      <c r="P360" s="324"/>
      <c r="Q360" s="324"/>
      <c r="R360" s="324"/>
      <c r="S360" s="324"/>
      <c r="T360" s="324"/>
      <c r="U360" s="324"/>
      <c r="V360" s="324"/>
      <c r="W360" s="324"/>
      <c r="X360" s="324"/>
      <c r="Y360" s="324"/>
      <c r="Z360" s="324"/>
    </row>
    <row r="361">
      <c r="A361" s="324"/>
      <c r="B361" s="324"/>
      <c r="C361" s="324"/>
      <c r="D361" s="324"/>
      <c r="E361" s="324"/>
      <c r="F361" s="324"/>
      <c r="G361" s="324"/>
      <c r="H361" s="324"/>
      <c r="I361" s="324"/>
      <c r="J361" s="324"/>
      <c r="K361" s="324"/>
      <c r="L361" s="324"/>
      <c r="M361" s="324"/>
      <c r="N361" s="324"/>
      <c r="O361" s="324"/>
      <c r="P361" s="324"/>
      <c r="Q361" s="324"/>
      <c r="R361" s="324"/>
      <c r="S361" s="324"/>
      <c r="T361" s="324"/>
      <c r="U361" s="324"/>
      <c r="V361" s="324"/>
      <c r="W361" s="324"/>
      <c r="X361" s="324"/>
      <c r="Y361" s="324"/>
      <c r="Z361" s="324"/>
    </row>
    <row r="362">
      <c r="A362" s="324"/>
      <c r="B362" s="324"/>
      <c r="C362" s="324"/>
      <c r="D362" s="324"/>
      <c r="E362" s="324"/>
      <c r="F362" s="324"/>
      <c r="G362" s="324"/>
      <c r="H362" s="324"/>
      <c r="I362" s="324"/>
      <c r="J362" s="324"/>
      <c r="K362" s="324"/>
      <c r="L362" s="324"/>
      <c r="M362" s="324"/>
      <c r="N362" s="324"/>
      <c r="O362" s="324"/>
      <c r="P362" s="324"/>
      <c r="Q362" s="324"/>
      <c r="R362" s="324"/>
      <c r="S362" s="324"/>
      <c r="T362" s="324"/>
      <c r="U362" s="324"/>
      <c r="V362" s="324"/>
      <c r="W362" s="324"/>
      <c r="X362" s="324"/>
      <c r="Y362" s="324"/>
      <c r="Z362" s="324"/>
    </row>
    <row r="363">
      <c r="A363" s="324"/>
      <c r="B363" s="324"/>
      <c r="C363" s="324"/>
      <c r="D363" s="324"/>
      <c r="E363" s="324"/>
      <c r="F363" s="324"/>
      <c r="G363" s="324"/>
      <c r="H363" s="324"/>
      <c r="I363" s="324"/>
      <c r="J363" s="324"/>
      <c r="K363" s="324"/>
      <c r="L363" s="324"/>
      <c r="M363" s="324"/>
      <c r="N363" s="324"/>
      <c r="O363" s="324"/>
      <c r="P363" s="324"/>
      <c r="Q363" s="324"/>
      <c r="R363" s="324"/>
      <c r="S363" s="324"/>
      <c r="T363" s="324"/>
      <c r="U363" s="324"/>
      <c r="V363" s="324"/>
      <c r="W363" s="324"/>
      <c r="X363" s="324"/>
      <c r="Y363" s="324"/>
      <c r="Z363" s="324"/>
    </row>
    <row r="364">
      <c r="A364" s="324"/>
      <c r="B364" s="324"/>
      <c r="C364" s="324"/>
      <c r="D364" s="324"/>
      <c r="E364" s="324"/>
      <c r="F364" s="324"/>
      <c r="G364" s="324"/>
      <c r="H364" s="324"/>
      <c r="I364" s="324"/>
      <c r="J364" s="324"/>
      <c r="K364" s="324"/>
      <c r="L364" s="324"/>
      <c r="M364" s="324"/>
      <c r="N364" s="324"/>
      <c r="O364" s="324"/>
      <c r="P364" s="324"/>
      <c r="Q364" s="324"/>
      <c r="R364" s="324"/>
      <c r="S364" s="324"/>
      <c r="T364" s="324"/>
      <c r="U364" s="324"/>
      <c r="V364" s="324"/>
      <c r="W364" s="324"/>
      <c r="X364" s="324"/>
      <c r="Y364" s="324"/>
      <c r="Z364" s="324"/>
    </row>
    <row r="365">
      <c r="A365" s="324"/>
      <c r="B365" s="324"/>
      <c r="C365" s="324"/>
      <c r="D365" s="324"/>
      <c r="E365" s="324"/>
      <c r="F365" s="324"/>
      <c r="G365" s="324"/>
      <c r="H365" s="324"/>
      <c r="I365" s="324"/>
      <c r="J365" s="324"/>
      <c r="K365" s="324"/>
      <c r="L365" s="324"/>
      <c r="M365" s="324"/>
      <c r="N365" s="324"/>
      <c r="O365" s="324"/>
      <c r="P365" s="324"/>
      <c r="Q365" s="324"/>
      <c r="R365" s="324"/>
      <c r="S365" s="324"/>
      <c r="T365" s="324"/>
      <c r="U365" s="324"/>
      <c r="V365" s="324"/>
      <c r="W365" s="324"/>
      <c r="X365" s="324"/>
      <c r="Y365" s="324"/>
      <c r="Z365" s="324"/>
    </row>
    <row r="366">
      <c r="A366" s="324"/>
      <c r="B366" s="324"/>
      <c r="C366" s="324"/>
      <c r="D366" s="324"/>
      <c r="E366" s="324"/>
      <c r="F366" s="324"/>
      <c r="G366" s="324"/>
      <c r="H366" s="324"/>
      <c r="I366" s="324"/>
      <c r="J366" s="324"/>
      <c r="K366" s="324"/>
      <c r="L366" s="324"/>
      <c r="M366" s="324"/>
      <c r="N366" s="324"/>
      <c r="O366" s="324"/>
      <c r="P366" s="324"/>
      <c r="Q366" s="324"/>
      <c r="R366" s="324"/>
      <c r="S366" s="324"/>
      <c r="T366" s="324"/>
      <c r="U366" s="324"/>
      <c r="V366" s="324"/>
      <c r="W366" s="324"/>
      <c r="X366" s="324"/>
      <c r="Y366" s="324"/>
      <c r="Z366" s="324"/>
    </row>
    <row r="367">
      <c r="A367" s="324"/>
      <c r="B367" s="324"/>
      <c r="C367" s="324"/>
      <c r="D367" s="324"/>
      <c r="E367" s="324"/>
      <c r="F367" s="324"/>
      <c r="G367" s="324"/>
      <c r="H367" s="324"/>
      <c r="I367" s="324"/>
      <c r="J367" s="324"/>
      <c r="K367" s="324"/>
      <c r="L367" s="324"/>
      <c r="M367" s="324"/>
      <c r="N367" s="324"/>
      <c r="O367" s="324"/>
      <c r="P367" s="324"/>
      <c r="Q367" s="324"/>
      <c r="R367" s="324"/>
      <c r="S367" s="324"/>
      <c r="T367" s="324"/>
      <c r="U367" s="324"/>
      <c r="V367" s="324"/>
      <c r="W367" s="324"/>
      <c r="X367" s="324"/>
      <c r="Y367" s="324"/>
      <c r="Z367" s="324"/>
    </row>
    <row r="368">
      <c r="A368" s="324"/>
      <c r="B368" s="324"/>
      <c r="C368" s="324"/>
      <c r="D368" s="324"/>
      <c r="E368" s="324"/>
      <c r="F368" s="324"/>
      <c r="G368" s="324"/>
      <c r="H368" s="324"/>
      <c r="I368" s="324"/>
      <c r="J368" s="324"/>
      <c r="K368" s="324"/>
      <c r="L368" s="324"/>
      <c r="M368" s="324"/>
      <c r="N368" s="324"/>
      <c r="O368" s="324"/>
      <c r="P368" s="324"/>
      <c r="Q368" s="324"/>
      <c r="R368" s="324"/>
      <c r="S368" s="324"/>
      <c r="T368" s="324"/>
      <c r="U368" s="324"/>
      <c r="V368" s="324"/>
      <c r="W368" s="324"/>
      <c r="X368" s="324"/>
      <c r="Y368" s="324"/>
      <c r="Z368" s="324"/>
    </row>
    <row r="369">
      <c r="A369" s="324"/>
      <c r="B369" s="324"/>
      <c r="C369" s="324"/>
      <c r="D369" s="324"/>
      <c r="E369" s="324"/>
      <c r="F369" s="324"/>
      <c r="G369" s="324"/>
      <c r="H369" s="324"/>
      <c r="I369" s="324"/>
      <c r="J369" s="324"/>
      <c r="K369" s="324"/>
      <c r="L369" s="324"/>
      <c r="M369" s="324"/>
      <c r="N369" s="324"/>
      <c r="O369" s="324"/>
      <c r="P369" s="324"/>
      <c r="Q369" s="324"/>
      <c r="R369" s="324"/>
      <c r="S369" s="324"/>
      <c r="T369" s="324"/>
      <c r="U369" s="324"/>
      <c r="V369" s="324"/>
      <c r="W369" s="324"/>
      <c r="X369" s="324"/>
      <c r="Y369" s="324"/>
      <c r="Z369" s="324"/>
    </row>
    <row r="370">
      <c r="A370" s="324"/>
      <c r="B370" s="324"/>
      <c r="C370" s="324"/>
      <c r="D370" s="324"/>
      <c r="E370" s="324"/>
      <c r="F370" s="324"/>
      <c r="G370" s="324"/>
      <c r="H370" s="324"/>
      <c r="I370" s="324"/>
      <c r="J370" s="324"/>
      <c r="K370" s="324"/>
      <c r="L370" s="324"/>
      <c r="M370" s="324"/>
      <c r="N370" s="324"/>
      <c r="O370" s="324"/>
      <c r="P370" s="324"/>
      <c r="Q370" s="324"/>
      <c r="R370" s="324"/>
      <c r="S370" s="324"/>
      <c r="T370" s="324"/>
      <c r="U370" s="324"/>
      <c r="V370" s="324"/>
      <c r="W370" s="324"/>
      <c r="X370" s="324"/>
      <c r="Y370" s="324"/>
      <c r="Z370" s="324"/>
    </row>
    <row r="371">
      <c r="A371" s="324"/>
      <c r="B371" s="324"/>
      <c r="C371" s="324"/>
      <c r="D371" s="324"/>
      <c r="E371" s="324"/>
      <c r="F371" s="324"/>
      <c r="G371" s="324"/>
      <c r="H371" s="324"/>
      <c r="I371" s="324"/>
      <c r="J371" s="324"/>
      <c r="K371" s="324"/>
      <c r="L371" s="324"/>
      <c r="M371" s="324"/>
      <c r="N371" s="324"/>
      <c r="O371" s="324"/>
      <c r="P371" s="324"/>
      <c r="Q371" s="324"/>
      <c r="R371" s="324"/>
      <c r="S371" s="324"/>
      <c r="T371" s="324"/>
      <c r="U371" s="324"/>
      <c r="V371" s="324"/>
      <c r="W371" s="324"/>
      <c r="X371" s="324"/>
      <c r="Y371" s="324"/>
      <c r="Z371" s="324"/>
    </row>
    <row r="372">
      <c r="A372" s="324"/>
      <c r="B372" s="324"/>
      <c r="C372" s="324"/>
      <c r="D372" s="324"/>
      <c r="E372" s="324"/>
      <c r="F372" s="324"/>
      <c r="G372" s="324"/>
      <c r="H372" s="324"/>
      <c r="I372" s="324"/>
      <c r="J372" s="324"/>
      <c r="K372" s="324"/>
      <c r="L372" s="324"/>
      <c r="M372" s="324"/>
      <c r="N372" s="324"/>
      <c r="O372" s="324"/>
      <c r="P372" s="324"/>
      <c r="Q372" s="324"/>
      <c r="R372" s="324"/>
      <c r="S372" s="324"/>
      <c r="T372" s="324"/>
      <c r="U372" s="324"/>
      <c r="V372" s="324"/>
      <c r="W372" s="324"/>
      <c r="X372" s="324"/>
      <c r="Y372" s="324"/>
      <c r="Z372" s="324"/>
    </row>
    <row r="373">
      <c r="A373" s="324"/>
      <c r="B373" s="324"/>
      <c r="C373" s="324"/>
      <c r="D373" s="324"/>
      <c r="E373" s="324"/>
      <c r="F373" s="324"/>
      <c r="G373" s="324"/>
      <c r="H373" s="324"/>
      <c r="I373" s="324"/>
      <c r="J373" s="324"/>
      <c r="K373" s="324"/>
      <c r="L373" s="324"/>
      <c r="M373" s="324"/>
      <c r="N373" s="324"/>
      <c r="O373" s="324"/>
      <c r="P373" s="324"/>
      <c r="Q373" s="324"/>
      <c r="R373" s="324"/>
      <c r="S373" s="324"/>
      <c r="T373" s="324"/>
      <c r="U373" s="324"/>
      <c r="V373" s="324"/>
      <c r="W373" s="324"/>
      <c r="X373" s="324"/>
      <c r="Y373" s="324"/>
      <c r="Z373" s="324"/>
    </row>
    <row r="374">
      <c r="A374" s="324"/>
      <c r="B374" s="324"/>
      <c r="C374" s="324"/>
      <c r="D374" s="324"/>
      <c r="E374" s="324"/>
      <c r="F374" s="324"/>
      <c r="G374" s="324"/>
      <c r="H374" s="324"/>
      <c r="I374" s="324"/>
      <c r="J374" s="324"/>
      <c r="K374" s="324"/>
      <c r="L374" s="324"/>
      <c r="M374" s="324"/>
      <c r="N374" s="324"/>
      <c r="O374" s="324"/>
      <c r="P374" s="324"/>
      <c r="Q374" s="324"/>
      <c r="R374" s="324"/>
      <c r="S374" s="324"/>
      <c r="T374" s="324"/>
      <c r="U374" s="324"/>
      <c r="V374" s="324"/>
      <c r="W374" s="324"/>
      <c r="X374" s="324"/>
      <c r="Y374" s="324"/>
      <c r="Z374" s="324"/>
    </row>
    <row r="375">
      <c r="A375" s="324"/>
      <c r="B375" s="324"/>
      <c r="C375" s="324"/>
      <c r="D375" s="324"/>
      <c r="E375" s="324"/>
      <c r="F375" s="324"/>
      <c r="G375" s="324"/>
      <c r="H375" s="324"/>
      <c r="I375" s="324"/>
      <c r="J375" s="324"/>
      <c r="K375" s="324"/>
      <c r="L375" s="324"/>
      <c r="M375" s="324"/>
      <c r="N375" s="324"/>
      <c r="O375" s="324"/>
      <c r="P375" s="324"/>
      <c r="Q375" s="324"/>
      <c r="R375" s="324"/>
      <c r="S375" s="324"/>
      <c r="T375" s="324"/>
      <c r="U375" s="324"/>
      <c r="V375" s="324"/>
      <c r="W375" s="324"/>
      <c r="X375" s="324"/>
      <c r="Y375" s="324"/>
      <c r="Z375" s="324"/>
    </row>
    <row r="376">
      <c r="A376" s="324"/>
      <c r="B376" s="324"/>
      <c r="C376" s="324"/>
      <c r="D376" s="324"/>
      <c r="E376" s="324"/>
      <c r="F376" s="324"/>
      <c r="G376" s="324"/>
      <c r="H376" s="324"/>
      <c r="I376" s="324"/>
      <c r="J376" s="324"/>
      <c r="K376" s="324"/>
      <c r="L376" s="324"/>
      <c r="M376" s="324"/>
      <c r="N376" s="324"/>
      <c r="O376" s="324"/>
      <c r="P376" s="324"/>
      <c r="Q376" s="324"/>
      <c r="R376" s="324"/>
      <c r="S376" s="324"/>
      <c r="T376" s="324"/>
      <c r="U376" s="324"/>
      <c r="V376" s="324"/>
      <c r="W376" s="324"/>
      <c r="X376" s="324"/>
      <c r="Y376" s="324"/>
      <c r="Z376" s="324"/>
    </row>
    <row r="377">
      <c r="A377" s="324"/>
      <c r="B377" s="324"/>
      <c r="C377" s="324"/>
      <c r="D377" s="324"/>
      <c r="E377" s="324"/>
      <c r="F377" s="324"/>
      <c r="G377" s="324"/>
      <c r="H377" s="324"/>
      <c r="I377" s="324"/>
      <c r="J377" s="324"/>
      <c r="K377" s="324"/>
      <c r="L377" s="324"/>
      <c r="M377" s="324"/>
      <c r="N377" s="324"/>
      <c r="O377" s="324"/>
      <c r="P377" s="324"/>
      <c r="Q377" s="324"/>
      <c r="R377" s="324"/>
      <c r="S377" s="324"/>
      <c r="T377" s="324"/>
      <c r="U377" s="324"/>
      <c r="V377" s="324"/>
      <c r="W377" s="324"/>
      <c r="X377" s="324"/>
      <c r="Y377" s="324"/>
      <c r="Z377" s="324"/>
    </row>
    <row r="378">
      <c r="A378" s="324"/>
      <c r="B378" s="324"/>
      <c r="C378" s="324"/>
      <c r="D378" s="324"/>
      <c r="E378" s="324"/>
      <c r="F378" s="324"/>
      <c r="G378" s="324"/>
      <c r="H378" s="324"/>
      <c r="I378" s="324"/>
      <c r="J378" s="324"/>
      <c r="K378" s="324"/>
      <c r="L378" s="324"/>
      <c r="M378" s="324"/>
      <c r="N378" s="324"/>
      <c r="O378" s="324"/>
      <c r="P378" s="324"/>
      <c r="Q378" s="324"/>
      <c r="R378" s="324"/>
      <c r="S378" s="324"/>
      <c r="T378" s="324"/>
      <c r="U378" s="324"/>
      <c r="V378" s="324"/>
      <c r="W378" s="324"/>
      <c r="X378" s="324"/>
      <c r="Y378" s="324"/>
      <c r="Z378" s="324"/>
    </row>
    <row r="379">
      <c r="A379" s="324"/>
      <c r="B379" s="324"/>
      <c r="C379" s="324"/>
      <c r="D379" s="324"/>
      <c r="E379" s="324"/>
      <c r="F379" s="324"/>
      <c r="G379" s="324"/>
      <c r="H379" s="324"/>
      <c r="I379" s="324"/>
      <c r="J379" s="324"/>
      <c r="K379" s="324"/>
      <c r="L379" s="324"/>
      <c r="M379" s="324"/>
      <c r="N379" s="324"/>
      <c r="O379" s="324"/>
      <c r="P379" s="324"/>
      <c r="Q379" s="324"/>
      <c r="R379" s="324"/>
      <c r="S379" s="324"/>
      <c r="T379" s="324"/>
      <c r="U379" s="324"/>
      <c r="V379" s="324"/>
      <c r="W379" s="324"/>
      <c r="X379" s="324"/>
      <c r="Y379" s="324"/>
      <c r="Z379" s="324"/>
    </row>
    <row r="380">
      <c r="A380" s="324"/>
      <c r="B380" s="324"/>
      <c r="C380" s="324"/>
      <c r="D380" s="324"/>
      <c r="E380" s="324"/>
      <c r="F380" s="324"/>
      <c r="G380" s="324"/>
      <c r="H380" s="324"/>
      <c r="I380" s="324"/>
      <c r="J380" s="324"/>
      <c r="K380" s="324"/>
      <c r="L380" s="324"/>
      <c r="M380" s="324"/>
      <c r="N380" s="324"/>
      <c r="O380" s="324"/>
      <c r="P380" s="324"/>
      <c r="Q380" s="324"/>
      <c r="R380" s="324"/>
      <c r="S380" s="324"/>
      <c r="T380" s="324"/>
      <c r="U380" s="324"/>
      <c r="V380" s="324"/>
      <c r="W380" s="324"/>
      <c r="X380" s="324"/>
      <c r="Y380" s="324"/>
      <c r="Z380" s="324"/>
    </row>
    <row r="381">
      <c r="A381" s="324"/>
      <c r="B381" s="324"/>
      <c r="C381" s="324"/>
      <c r="D381" s="324"/>
      <c r="E381" s="324"/>
      <c r="F381" s="324"/>
      <c r="G381" s="324"/>
      <c r="H381" s="324"/>
      <c r="I381" s="324"/>
      <c r="J381" s="324"/>
      <c r="K381" s="324"/>
      <c r="L381" s="324"/>
      <c r="M381" s="324"/>
      <c r="N381" s="324"/>
      <c r="O381" s="324"/>
      <c r="P381" s="324"/>
      <c r="Q381" s="324"/>
      <c r="R381" s="324"/>
      <c r="S381" s="324"/>
      <c r="T381" s="324"/>
      <c r="U381" s="324"/>
      <c r="V381" s="324"/>
      <c r="W381" s="324"/>
      <c r="X381" s="324"/>
      <c r="Y381" s="324"/>
      <c r="Z381" s="324"/>
    </row>
    <row r="382">
      <c r="A382" s="324"/>
      <c r="B382" s="324"/>
      <c r="C382" s="324"/>
      <c r="D382" s="324"/>
      <c r="E382" s="324"/>
      <c r="F382" s="324"/>
      <c r="G382" s="324"/>
      <c r="H382" s="324"/>
      <c r="I382" s="324"/>
      <c r="J382" s="324"/>
      <c r="K382" s="324"/>
      <c r="L382" s="324"/>
      <c r="M382" s="324"/>
      <c r="N382" s="324"/>
      <c r="O382" s="324"/>
      <c r="P382" s="324"/>
      <c r="Q382" s="324"/>
      <c r="R382" s="324"/>
      <c r="S382" s="324"/>
      <c r="T382" s="324"/>
      <c r="U382" s="324"/>
      <c r="V382" s="324"/>
      <c r="W382" s="324"/>
      <c r="X382" s="324"/>
      <c r="Y382" s="324"/>
      <c r="Z382" s="324"/>
    </row>
    <row r="383">
      <c r="A383" s="324"/>
      <c r="B383" s="324"/>
      <c r="C383" s="324"/>
      <c r="D383" s="324"/>
      <c r="E383" s="324"/>
      <c r="F383" s="324"/>
      <c r="G383" s="324"/>
      <c r="H383" s="324"/>
      <c r="I383" s="324"/>
      <c r="J383" s="324"/>
      <c r="K383" s="324"/>
      <c r="L383" s="324"/>
      <c r="M383" s="324"/>
      <c r="N383" s="324"/>
      <c r="O383" s="324"/>
      <c r="P383" s="324"/>
      <c r="Q383" s="324"/>
      <c r="R383" s="324"/>
      <c r="S383" s="324"/>
      <c r="T383" s="324"/>
      <c r="U383" s="324"/>
      <c r="V383" s="324"/>
      <c r="W383" s="324"/>
      <c r="X383" s="324"/>
      <c r="Y383" s="324"/>
      <c r="Z383" s="324"/>
    </row>
    <row r="384">
      <c r="A384" s="324"/>
      <c r="B384" s="324"/>
      <c r="C384" s="324"/>
      <c r="D384" s="324"/>
      <c r="E384" s="324"/>
      <c r="F384" s="324"/>
      <c r="G384" s="324"/>
      <c r="H384" s="324"/>
      <c r="I384" s="324"/>
      <c r="J384" s="324"/>
      <c r="K384" s="324"/>
      <c r="L384" s="324"/>
      <c r="M384" s="324"/>
      <c r="N384" s="324"/>
      <c r="O384" s="324"/>
      <c r="P384" s="324"/>
      <c r="Q384" s="324"/>
      <c r="R384" s="324"/>
      <c r="S384" s="324"/>
      <c r="T384" s="324"/>
      <c r="U384" s="324"/>
      <c r="V384" s="324"/>
      <c r="W384" s="324"/>
      <c r="X384" s="324"/>
      <c r="Y384" s="324"/>
      <c r="Z384" s="324"/>
    </row>
    <row r="385">
      <c r="A385" s="324"/>
      <c r="B385" s="324"/>
      <c r="C385" s="324"/>
      <c r="D385" s="324"/>
      <c r="E385" s="324"/>
      <c r="F385" s="324"/>
      <c r="G385" s="324"/>
      <c r="H385" s="324"/>
      <c r="I385" s="324"/>
      <c r="J385" s="324"/>
      <c r="K385" s="324"/>
      <c r="L385" s="324"/>
      <c r="M385" s="324"/>
      <c r="N385" s="324"/>
      <c r="O385" s="324"/>
      <c r="P385" s="324"/>
      <c r="Q385" s="324"/>
      <c r="R385" s="324"/>
      <c r="S385" s="324"/>
      <c r="T385" s="324"/>
      <c r="U385" s="324"/>
      <c r="V385" s="324"/>
      <c r="W385" s="324"/>
      <c r="X385" s="324"/>
      <c r="Y385" s="324"/>
      <c r="Z385" s="324"/>
    </row>
    <row r="386">
      <c r="A386" s="324"/>
      <c r="B386" s="324"/>
      <c r="C386" s="324"/>
      <c r="D386" s="324"/>
      <c r="E386" s="324"/>
      <c r="F386" s="324"/>
      <c r="G386" s="324"/>
      <c r="H386" s="324"/>
      <c r="I386" s="324"/>
      <c r="J386" s="324"/>
      <c r="K386" s="324"/>
      <c r="L386" s="324"/>
      <c r="M386" s="324"/>
      <c r="N386" s="324"/>
      <c r="O386" s="324"/>
      <c r="P386" s="324"/>
      <c r="Q386" s="324"/>
      <c r="R386" s="324"/>
      <c r="S386" s="324"/>
      <c r="T386" s="324"/>
      <c r="U386" s="324"/>
      <c r="V386" s="324"/>
      <c r="W386" s="324"/>
      <c r="X386" s="324"/>
      <c r="Y386" s="324"/>
      <c r="Z386" s="324"/>
    </row>
    <row r="387">
      <c r="A387" s="324"/>
      <c r="B387" s="324"/>
      <c r="C387" s="324"/>
      <c r="D387" s="324"/>
      <c r="E387" s="324"/>
      <c r="F387" s="324"/>
      <c r="G387" s="324"/>
      <c r="H387" s="324"/>
      <c r="I387" s="324"/>
      <c r="J387" s="324"/>
      <c r="K387" s="324"/>
      <c r="L387" s="324"/>
      <c r="M387" s="324"/>
      <c r="N387" s="324"/>
      <c r="O387" s="324"/>
      <c r="P387" s="324"/>
      <c r="Q387" s="324"/>
      <c r="R387" s="324"/>
      <c r="S387" s="324"/>
      <c r="T387" s="324"/>
      <c r="U387" s="324"/>
      <c r="V387" s="324"/>
      <c r="W387" s="324"/>
      <c r="X387" s="324"/>
      <c r="Y387" s="324"/>
      <c r="Z387" s="324"/>
    </row>
    <row r="388">
      <c r="A388" s="324"/>
      <c r="B388" s="324"/>
      <c r="C388" s="324"/>
      <c r="D388" s="324"/>
      <c r="E388" s="324"/>
      <c r="F388" s="324"/>
      <c r="G388" s="324"/>
      <c r="H388" s="324"/>
      <c r="I388" s="324"/>
      <c r="J388" s="324"/>
      <c r="K388" s="324"/>
      <c r="L388" s="324"/>
      <c r="M388" s="324"/>
      <c r="N388" s="324"/>
      <c r="O388" s="324"/>
      <c r="P388" s="324"/>
      <c r="Q388" s="324"/>
      <c r="R388" s="324"/>
      <c r="S388" s="324"/>
      <c r="T388" s="324"/>
      <c r="U388" s="324"/>
      <c r="V388" s="324"/>
      <c r="W388" s="324"/>
      <c r="X388" s="324"/>
      <c r="Y388" s="324"/>
      <c r="Z388" s="324"/>
    </row>
    <row r="389">
      <c r="A389" s="324"/>
      <c r="B389" s="324"/>
      <c r="C389" s="324"/>
      <c r="D389" s="324"/>
      <c r="E389" s="324"/>
      <c r="F389" s="324"/>
      <c r="G389" s="324"/>
      <c r="H389" s="324"/>
      <c r="I389" s="324"/>
      <c r="J389" s="324"/>
      <c r="K389" s="324"/>
      <c r="L389" s="324"/>
      <c r="M389" s="324"/>
      <c r="N389" s="324"/>
      <c r="O389" s="324"/>
      <c r="P389" s="324"/>
      <c r="Q389" s="324"/>
      <c r="R389" s="324"/>
      <c r="S389" s="324"/>
      <c r="T389" s="324"/>
      <c r="U389" s="324"/>
      <c r="V389" s="324"/>
      <c r="W389" s="324"/>
      <c r="X389" s="324"/>
      <c r="Y389" s="324"/>
      <c r="Z389" s="324"/>
    </row>
    <row r="390">
      <c r="A390" s="324"/>
      <c r="B390" s="324"/>
      <c r="C390" s="324"/>
      <c r="D390" s="324"/>
      <c r="E390" s="324"/>
      <c r="F390" s="324"/>
      <c r="G390" s="324"/>
      <c r="H390" s="324"/>
      <c r="I390" s="324"/>
      <c r="J390" s="324"/>
      <c r="K390" s="324"/>
      <c r="L390" s="324"/>
      <c r="M390" s="324"/>
      <c r="N390" s="324"/>
      <c r="O390" s="324"/>
      <c r="P390" s="324"/>
      <c r="Q390" s="324"/>
      <c r="R390" s="324"/>
      <c r="S390" s="324"/>
      <c r="T390" s="324"/>
      <c r="U390" s="324"/>
      <c r="V390" s="324"/>
      <c r="W390" s="324"/>
      <c r="X390" s="324"/>
      <c r="Y390" s="324"/>
      <c r="Z390" s="324"/>
    </row>
    <row r="391">
      <c r="A391" s="324"/>
      <c r="B391" s="324"/>
      <c r="C391" s="324"/>
      <c r="D391" s="324"/>
      <c r="E391" s="324"/>
      <c r="F391" s="324"/>
      <c r="G391" s="324"/>
      <c r="H391" s="324"/>
      <c r="I391" s="324"/>
      <c r="J391" s="324"/>
      <c r="K391" s="324"/>
      <c r="L391" s="324"/>
      <c r="M391" s="324"/>
      <c r="N391" s="324"/>
      <c r="O391" s="324"/>
      <c r="P391" s="324"/>
      <c r="Q391" s="324"/>
      <c r="R391" s="324"/>
      <c r="S391" s="324"/>
      <c r="T391" s="324"/>
      <c r="U391" s="324"/>
      <c r="V391" s="324"/>
      <c r="W391" s="324"/>
      <c r="X391" s="324"/>
      <c r="Y391" s="324"/>
      <c r="Z391" s="324"/>
    </row>
    <row r="392">
      <c r="A392" s="324"/>
      <c r="B392" s="324"/>
      <c r="C392" s="324"/>
      <c r="D392" s="324"/>
      <c r="E392" s="324"/>
      <c r="F392" s="324"/>
      <c r="G392" s="324"/>
      <c r="H392" s="324"/>
      <c r="I392" s="324"/>
      <c r="J392" s="324"/>
      <c r="K392" s="324"/>
      <c r="L392" s="324"/>
      <c r="M392" s="324"/>
      <c r="N392" s="324"/>
      <c r="O392" s="324"/>
      <c r="P392" s="324"/>
      <c r="Q392" s="324"/>
      <c r="R392" s="324"/>
      <c r="S392" s="324"/>
      <c r="T392" s="324"/>
      <c r="U392" s="324"/>
      <c r="V392" s="324"/>
      <c r="W392" s="324"/>
      <c r="X392" s="324"/>
      <c r="Y392" s="324"/>
      <c r="Z392" s="324"/>
    </row>
    <row r="393">
      <c r="A393" s="324"/>
      <c r="B393" s="324"/>
      <c r="C393" s="324"/>
      <c r="D393" s="324"/>
      <c r="E393" s="324"/>
      <c r="F393" s="324"/>
      <c r="G393" s="324"/>
      <c r="H393" s="324"/>
      <c r="I393" s="324"/>
      <c r="J393" s="324"/>
      <c r="K393" s="324"/>
      <c r="L393" s="324"/>
      <c r="M393" s="324"/>
      <c r="N393" s="324"/>
      <c r="O393" s="324"/>
      <c r="P393" s="324"/>
      <c r="Q393" s="324"/>
      <c r="R393" s="324"/>
      <c r="S393" s="324"/>
      <c r="T393" s="324"/>
      <c r="U393" s="324"/>
      <c r="V393" s="324"/>
      <c r="W393" s="324"/>
      <c r="X393" s="324"/>
      <c r="Y393" s="324"/>
      <c r="Z393" s="324"/>
    </row>
    <row r="394">
      <c r="A394" s="324"/>
      <c r="B394" s="324"/>
      <c r="C394" s="324"/>
      <c r="D394" s="324"/>
      <c r="E394" s="324"/>
      <c r="F394" s="324"/>
      <c r="G394" s="324"/>
      <c r="H394" s="324"/>
      <c r="I394" s="324"/>
      <c r="J394" s="324"/>
      <c r="K394" s="324"/>
      <c r="L394" s="324"/>
      <c r="M394" s="324"/>
      <c r="N394" s="324"/>
      <c r="O394" s="324"/>
      <c r="P394" s="324"/>
      <c r="Q394" s="324"/>
      <c r="R394" s="324"/>
      <c r="S394" s="324"/>
      <c r="T394" s="324"/>
      <c r="U394" s="324"/>
      <c r="V394" s="324"/>
      <c r="W394" s="324"/>
      <c r="X394" s="324"/>
      <c r="Y394" s="324"/>
      <c r="Z394" s="324"/>
    </row>
    <row r="395">
      <c r="A395" s="324"/>
      <c r="B395" s="324"/>
      <c r="C395" s="324"/>
      <c r="D395" s="324"/>
      <c r="E395" s="324"/>
      <c r="F395" s="324"/>
      <c r="G395" s="324"/>
      <c r="H395" s="324"/>
      <c r="I395" s="324"/>
      <c r="J395" s="324"/>
      <c r="K395" s="324"/>
      <c r="L395" s="324"/>
      <c r="M395" s="324"/>
      <c r="N395" s="324"/>
      <c r="O395" s="324"/>
      <c r="P395" s="324"/>
      <c r="Q395" s="324"/>
      <c r="R395" s="324"/>
      <c r="S395" s="324"/>
      <c r="T395" s="324"/>
      <c r="U395" s="324"/>
      <c r="V395" s="324"/>
      <c r="W395" s="324"/>
      <c r="X395" s="324"/>
      <c r="Y395" s="324"/>
      <c r="Z395" s="324"/>
    </row>
    <row r="396">
      <c r="A396" s="324"/>
      <c r="B396" s="324"/>
      <c r="C396" s="324"/>
      <c r="D396" s="324"/>
      <c r="E396" s="324"/>
      <c r="F396" s="324"/>
      <c r="G396" s="324"/>
      <c r="H396" s="324"/>
      <c r="I396" s="324"/>
      <c r="J396" s="324"/>
      <c r="K396" s="324"/>
      <c r="L396" s="324"/>
      <c r="M396" s="324"/>
      <c r="N396" s="324"/>
      <c r="O396" s="324"/>
      <c r="P396" s="324"/>
      <c r="Q396" s="324"/>
      <c r="R396" s="324"/>
      <c r="S396" s="324"/>
      <c r="T396" s="324"/>
      <c r="U396" s="324"/>
      <c r="V396" s="324"/>
      <c r="W396" s="324"/>
      <c r="X396" s="324"/>
      <c r="Y396" s="324"/>
      <c r="Z396" s="324"/>
    </row>
    <row r="397">
      <c r="A397" s="324"/>
      <c r="B397" s="324"/>
      <c r="C397" s="324"/>
      <c r="D397" s="324"/>
      <c r="E397" s="324"/>
      <c r="F397" s="324"/>
      <c r="G397" s="324"/>
      <c r="H397" s="324"/>
      <c r="I397" s="324"/>
      <c r="J397" s="324"/>
      <c r="K397" s="324"/>
      <c r="L397" s="324"/>
      <c r="M397" s="324"/>
      <c r="N397" s="324"/>
      <c r="O397" s="324"/>
      <c r="P397" s="324"/>
      <c r="Q397" s="324"/>
      <c r="R397" s="324"/>
      <c r="S397" s="324"/>
      <c r="T397" s="324"/>
      <c r="U397" s="324"/>
      <c r="V397" s="324"/>
      <c r="W397" s="324"/>
      <c r="X397" s="324"/>
      <c r="Y397" s="324"/>
      <c r="Z397" s="324"/>
    </row>
    <row r="398">
      <c r="A398" s="324"/>
      <c r="B398" s="324"/>
      <c r="C398" s="324"/>
      <c r="D398" s="324"/>
      <c r="E398" s="324"/>
      <c r="F398" s="324"/>
      <c r="G398" s="324"/>
      <c r="H398" s="324"/>
      <c r="I398" s="324"/>
      <c r="J398" s="324"/>
      <c r="K398" s="324"/>
      <c r="L398" s="324"/>
      <c r="M398" s="324"/>
      <c r="N398" s="324"/>
      <c r="O398" s="324"/>
      <c r="P398" s="324"/>
      <c r="Q398" s="324"/>
      <c r="R398" s="324"/>
      <c r="S398" s="324"/>
      <c r="T398" s="324"/>
      <c r="U398" s="324"/>
      <c r="V398" s="324"/>
      <c r="W398" s="324"/>
      <c r="X398" s="324"/>
      <c r="Y398" s="324"/>
      <c r="Z398" s="324"/>
    </row>
    <row r="399">
      <c r="A399" s="324"/>
      <c r="B399" s="324"/>
      <c r="C399" s="324"/>
      <c r="D399" s="324"/>
      <c r="E399" s="324"/>
      <c r="F399" s="324"/>
      <c r="G399" s="324"/>
      <c r="H399" s="324"/>
      <c r="I399" s="324"/>
      <c r="J399" s="324"/>
      <c r="K399" s="324"/>
      <c r="L399" s="324"/>
      <c r="M399" s="324"/>
      <c r="N399" s="324"/>
      <c r="O399" s="324"/>
      <c r="P399" s="324"/>
      <c r="Q399" s="324"/>
      <c r="R399" s="324"/>
      <c r="S399" s="324"/>
      <c r="T399" s="324"/>
      <c r="U399" s="324"/>
      <c r="V399" s="324"/>
      <c r="W399" s="324"/>
      <c r="X399" s="324"/>
      <c r="Y399" s="324"/>
      <c r="Z399" s="324"/>
    </row>
    <row r="400">
      <c r="A400" s="324"/>
      <c r="B400" s="324"/>
      <c r="C400" s="324"/>
      <c r="D400" s="324"/>
      <c r="E400" s="324"/>
      <c r="F400" s="324"/>
      <c r="G400" s="324"/>
      <c r="H400" s="324"/>
      <c r="I400" s="324"/>
      <c r="J400" s="324"/>
      <c r="K400" s="324"/>
      <c r="L400" s="324"/>
      <c r="M400" s="324"/>
      <c r="N400" s="324"/>
      <c r="O400" s="324"/>
      <c r="P400" s="324"/>
      <c r="Q400" s="324"/>
      <c r="R400" s="324"/>
      <c r="S400" s="324"/>
      <c r="T400" s="324"/>
      <c r="U400" s="324"/>
      <c r="V400" s="324"/>
      <c r="W400" s="324"/>
      <c r="X400" s="324"/>
      <c r="Y400" s="324"/>
      <c r="Z400" s="324"/>
    </row>
    <row r="401">
      <c r="A401" s="324"/>
      <c r="B401" s="324"/>
      <c r="C401" s="324"/>
      <c r="D401" s="324"/>
      <c r="E401" s="324"/>
      <c r="F401" s="324"/>
      <c r="G401" s="324"/>
      <c r="H401" s="324"/>
      <c r="I401" s="324"/>
      <c r="J401" s="324"/>
      <c r="K401" s="324"/>
      <c r="L401" s="324"/>
      <c r="M401" s="324"/>
      <c r="N401" s="324"/>
      <c r="O401" s="324"/>
      <c r="P401" s="324"/>
      <c r="Q401" s="324"/>
      <c r="R401" s="324"/>
      <c r="S401" s="324"/>
      <c r="T401" s="324"/>
      <c r="U401" s="324"/>
      <c r="V401" s="324"/>
      <c r="W401" s="324"/>
      <c r="X401" s="324"/>
      <c r="Y401" s="324"/>
      <c r="Z401" s="324"/>
    </row>
    <row r="402">
      <c r="A402" s="324"/>
      <c r="B402" s="324"/>
      <c r="C402" s="324"/>
      <c r="D402" s="324"/>
      <c r="E402" s="324"/>
      <c r="F402" s="324"/>
      <c r="G402" s="324"/>
      <c r="H402" s="324"/>
      <c r="I402" s="324"/>
      <c r="J402" s="324"/>
      <c r="K402" s="324"/>
      <c r="L402" s="324"/>
      <c r="M402" s="324"/>
      <c r="N402" s="324"/>
      <c r="O402" s="324"/>
      <c r="P402" s="324"/>
      <c r="Q402" s="324"/>
      <c r="R402" s="324"/>
      <c r="S402" s="324"/>
      <c r="T402" s="324"/>
      <c r="U402" s="324"/>
      <c r="V402" s="324"/>
      <c r="W402" s="324"/>
      <c r="X402" s="324"/>
      <c r="Y402" s="324"/>
      <c r="Z402" s="324"/>
    </row>
    <row r="403">
      <c r="A403" s="324"/>
      <c r="B403" s="324"/>
      <c r="C403" s="324"/>
      <c r="D403" s="324"/>
      <c r="E403" s="324"/>
      <c r="F403" s="324"/>
      <c r="G403" s="324"/>
      <c r="H403" s="324"/>
      <c r="I403" s="324"/>
      <c r="J403" s="324"/>
      <c r="K403" s="324"/>
      <c r="L403" s="324"/>
      <c r="M403" s="324"/>
      <c r="N403" s="324"/>
      <c r="O403" s="324"/>
      <c r="P403" s="324"/>
      <c r="Q403" s="324"/>
      <c r="R403" s="324"/>
      <c r="S403" s="324"/>
      <c r="T403" s="324"/>
      <c r="U403" s="324"/>
      <c r="V403" s="324"/>
      <c r="W403" s="324"/>
      <c r="X403" s="324"/>
      <c r="Y403" s="324"/>
      <c r="Z403" s="324"/>
    </row>
    <row r="404">
      <c r="A404" s="324"/>
      <c r="B404" s="324"/>
      <c r="C404" s="324"/>
      <c r="D404" s="324"/>
      <c r="E404" s="324"/>
      <c r="F404" s="324"/>
      <c r="G404" s="324"/>
      <c r="H404" s="324"/>
      <c r="I404" s="324"/>
      <c r="J404" s="324"/>
      <c r="K404" s="324"/>
      <c r="L404" s="324"/>
      <c r="M404" s="324"/>
      <c r="N404" s="324"/>
      <c r="O404" s="324"/>
      <c r="P404" s="324"/>
      <c r="Q404" s="324"/>
      <c r="R404" s="324"/>
      <c r="S404" s="324"/>
      <c r="T404" s="324"/>
      <c r="U404" s="324"/>
      <c r="V404" s="324"/>
      <c r="W404" s="324"/>
      <c r="X404" s="324"/>
      <c r="Y404" s="324"/>
      <c r="Z404" s="324"/>
    </row>
    <row r="405">
      <c r="A405" s="324"/>
      <c r="B405" s="324"/>
      <c r="C405" s="324"/>
      <c r="D405" s="324"/>
      <c r="E405" s="324"/>
      <c r="F405" s="324"/>
      <c r="G405" s="324"/>
      <c r="H405" s="324"/>
      <c r="I405" s="324"/>
      <c r="J405" s="324"/>
      <c r="K405" s="324"/>
      <c r="L405" s="324"/>
      <c r="M405" s="324"/>
      <c r="N405" s="324"/>
      <c r="O405" s="324"/>
      <c r="P405" s="324"/>
      <c r="Q405" s="324"/>
      <c r="R405" s="324"/>
      <c r="S405" s="324"/>
      <c r="T405" s="324"/>
      <c r="U405" s="324"/>
      <c r="V405" s="324"/>
      <c r="W405" s="324"/>
      <c r="X405" s="324"/>
      <c r="Y405" s="324"/>
      <c r="Z405" s="324"/>
    </row>
    <row r="406">
      <c r="A406" s="324"/>
      <c r="B406" s="324"/>
      <c r="C406" s="324"/>
      <c r="D406" s="324"/>
      <c r="E406" s="324"/>
      <c r="F406" s="324"/>
      <c r="G406" s="324"/>
      <c r="H406" s="324"/>
      <c r="I406" s="324"/>
      <c r="J406" s="324"/>
      <c r="K406" s="324"/>
      <c r="L406" s="324"/>
      <c r="M406" s="324"/>
      <c r="N406" s="324"/>
      <c r="O406" s="324"/>
      <c r="P406" s="324"/>
      <c r="Q406" s="324"/>
      <c r="R406" s="324"/>
      <c r="S406" s="324"/>
      <c r="T406" s="324"/>
      <c r="U406" s="324"/>
      <c r="V406" s="324"/>
      <c r="W406" s="324"/>
      <c r="X406" s="324"/>
      <c r="Y406" s="324"/>
      <c r="Z406" s="324"/>
    </row>
    <row r="407">
      <c r="A407" s="324"/>
      <c r="B407" s="324"/>
      <c r="C407" s="324"/>
      <c r="D407" s="324"/>
      <c r="E407" s="324"/>
      <c r="F407" s="324"/>
      <c r="G407" s="324"/>
      <c r="H407" s="324"/>
      <c r="I407" s="324"/>
      <c r="J407" s="324"/>
      <c r="K407" s="324"/>
      <c r="L407" s="324"/>
      <c r="M407" s="324"/>
      <c r="N407" s="324"/>
      <c r="O407" s="324"/>
      <c r="P407" s="324"/>
      <c r="Q407" s="324"/>
      <c r="R407" s="324"/>
      <c r="S407" s="324"/>
      <c r="T407" s="324"/>
      <c r="U407" s="324"/>
      <c r="V407" s="324"/>
      <c r="W407" s="324"/>
      <c r="X407" s="324"/>
      <c r="Y407" s="324"/>
      <c r="Z407" s="324"/>
    </row>
    <row r="408">
      <c r="A408" s="324"/>
      <c r="B408" s="324"/>
      <c r="C408" s="324"/>
      <c r="D408" s="324"/>
      <c r="E408" s="324"/>
      <c r="F408" s="324"/>
      <c r="G408" s="324"/>
      <c r="H408" s="324"/>
      <c r="I408" s="324"/>
      <c r="J408" s="324"/>
      <c r="K408" s="324"/>
      <c r="L408" s="324"/>
      <c r="M408" s="324"/>
      <c r="N408" s="324"/>
      <c r="O408" s="324"/>
      <c r="P408" s="324"/>
      <c r="Q408" s="324"/>
      <c r="R408" s="324"/>
      <c r="S408" s="324"/>
      <c r="T408" s="324"/>
      <c r="U408" s="324"/>
      <c r="V408" s="324"/>
      <c r="W408" s="324"/>
      <c r="X408" s="324"/>
      <c r="Y408" s="324"/>
      <c r="Z408" s="324"/>
    </row>
    <row r="409">
      <c r="A409" s="324"/>
      <c r="B409" s="324"/>
      <c r="C409" s="324"/>
      <c r="D409" s="324"/>
      <c r="E409" s="324"/>
      <c r="F409" s="324"/>
      <c r="G409" s="324"/>
      <c r="H409" s="324"/>
      <c r="I409" s="324"/>
      <c r="J409" s="324"/>
      <c r="K409" s="324"/>
      <c r="L409" s="324"/>
      <c r="M409" s="324"/>
      <c r="N409" s="324"/>
      <c r="O409" s="324"/>
      <c r="P409" s="324"/>
      <c r="Q409" s="324"/>
      <c r="R409" s="324"/>
      <c r="S409" s="324"/>
      <c r="T409" s="324"/>
      <c r="U409" s="324"/>
      <c r="V409" s="324"/>
      <c r="W409" s="324"/>
      <c r="X409" s="324"/>
      <c r="Y409" s="324"/>
      <c r="Z409" s="324"/>
    </row>
    <row r="410">
      <c r="A410" s="324"/>
      <c r="B410" s="324"/>
      <c r="C410" s="324"/>
      <c r="D410" s="324"/>
      <c r="E410" s="324"/>
      <c r="F410" s="324"/>
      <c r="G410" s="324"/>
      <c r="H410" s="324"/>
      <c r="I410" s="324"/>
      <c r="J410" s="324"/>
      <c r="K410" s="324"/>
      <c r="L410" s="324"/>
      <c r="M410" s="324"/>
      <c r="N410" s="324"/>
      <c r="O410" s="324"/>
      <c r="P410" s="324"/>
      <c r="Q410" s="324"/>
      <c r="R410" s="324"/>
      <c r="S410" s="324"/>
      <c r="T410" s="324"/>
      <c r="U410" s="324"/>
      <c r="V410" s="324"/>
      <c r="W410" s="324"/>
      <c r="X410" s="324"/>
      <c r="Y410" s="324"/>
      <c r="Z410" s="324"/>
    </row>
    <row r="411">
      <c r="A411" s="324"/>
      <c r="B411" s="324"/>
      <c r="C411" s="324"/>
      <c r="D411" s="324"/>
      <c r="E411" s="324"/>
      <c r="F411" s="324"/>
      <c r="G411" s="324"/>
      <c r="H411" s="324"/>
      <c r="I411" s="324"/>
      <c r="J411" s="324"/>
      <c r="K411" s="324"/>
      <c r="L411" s="324"/>
      <c r="M411" s="324"/>
      <c r="N411" s="324"/>
      <c r="O411" s="324"/>
      <c r="P411" s="324"/>
      <c r="Q411" s="324"/>
      <c r="R411" s="324"/>
      <c r="S411" s="324"/>
      <c r="T411" s="324"/>
      <c r="U411" s="324"/>
      <c r="V411" s="324"/>
      <c r="W411" s="324"/>
      <c r="X411" s="324"/>
      <c r="Y411" s="324"/>
      <c r="Z411" s="324"/>
    </row>
    <row r="412">
      <c r="A412" s="324"/>
      <c r="B412" s="324"/>
      <c r="C412" s="324"/>
      <c r="D412" s="324"/>
      <c r="E412" s="324"/>
      <c r="F412" s="324"/>
      <c r="G412" s="324"/>
      <c r="H412" s="324"/>
      <c r="I412" s="324"/>
      <c r="J412" s="324"/>
      <c r="K412" s="324"/>
      <c r="L412" s="324"/>
      <c r="M412" s="324"/>
      <c r="N412" s="324"/>
      <c r="O412" s="324"/>
      <c r="P412" s="324"/>
      <c r="Q412" s="324"/>
      <c r="R412" s="324"/>
      <c r="S412" s="324"/>
      <c r="T412" s="324"/>
      <c r="U412" s="324"/>
      <c r="V412" s="324"/>
      <c r="W412" s="324"/>
      <c r="X412" s="324"/>
      <c r="Y412" s="324"/>
      <c r="Z412" s="324"/>
    </row>
    <row r="413">
      <c r="A413" s="324"/>
      <c r="B413" s="324"/>
      <c r="C413" s="324"/>
      <c r="D413" s="324"/>
      <c r="E413" s="324"/>
      <c r="F413" s="324"/>
      <c r="G413" s="324"/>
      <c r="H413" s="324"/>
      <c r="I413" s="324"/>
      <c r="J413" s="324"/>
      <c r="K413" s="324"/>
      <c r="L413" s="324"/>
      <c r="M413" s="324"/>
      <c r="N413" s="324"/>
      <c r="O413" s="324"/>
      <c r="P413" s="324"/>
      <c r="Q413" s="324"/>
      <c r="R413" s="324"/>
      <c r="S413" s="324"/>
      <c r="T413" s="324"/>
      <c r="U413" s="324"/>
      <c r="V413" s="324"/>
      <c r="W413" s="324"/>
      <c r="X413" s="324"/>
      <c r="Y413" s="324"/>
      <c r="Z413" s="324"/>
    </row>
    <row r="414">
      <c r="A414" s="324"/>
      <c r="B414" s="324"/>
      <c r="C414" s="324"/>
      <c r="D414" s="324"/>
      <c r="E414" s="324"/>
      <c r="F414" s="324"/>
      <c r="G414" s="324"/>
      <c r="H414" s="324"/>
      <c r="I414" s="324"/>
      <c r="J414" s="324"/>
      <c r="K414" s="324"/>
      <c r="L414" s="324"/>
      <c r="M414" s="324"/>
      <c r="N414" s="324"/>
      <c r="O414" s="324"/>
      <c r="P414" s="324"/>
      <c r="Q414" s="324"/>
      <c r="R414" s="324"/>
      <c r="S414" s="324"/>
      <c r="T414" s="324"/>
      <c r="U414" s="324"/>
      <c r="V414" s="324"/>
      <c r="W414" s="324"/>
      <c r="X414" s="324"/>
      <c r="Y414" s="324"/>
      <c r="Z414" s="324"/>
    </row>
    <row r="415">
      <c r="A415" s="324"/>
      <c r="B415" s="324"/>
      <c r="C415" s="324"/>
      <c r="D415" s="324"/>
      <c r="E415" s="324"/>
      <c r="F415" s="324"/>
      <c r="G415" s="324"/>
      <c r="H415" s="324"/>
      <c r="I415" s="324"/>
      <c r="J415" s="324"/>
      <c r="K415" s="324"/>
      <c r="L415" s="324"/>
      <c r="M415" s="324"/>
      <c r="N415" s="324"/>
      <c r="O415" s="324"/>
      <c r="P415" s="324"/>
      <c r="Q415" s="324"/>
      <c r="R415" s="324"/>
      <c r="S415" s="324"/>
      <c r="T415" s="324"/>
      <c r="U415" s="324"/>
      <c r="V415" s="324"/>
      <c r="W415" s="324"/>
      <c r="X415" s="324"/>
      <c r="Y415" s="324"/>
      <c r="Z415" s="324"/>
    </row>
    <row r="416">
      <c r="A416" s="324"/>
      <c r="B416" s="324"/>
      <c r="C416" s="324"/>
      <c r="D416" s="324"/>
      <c r="E416" s="324"/>
      <c r="F416" s="324"/>
      <c r="G416" s="324"/>
      <c r="H416" s="324"/>
      <c r="I416" s="324"/>
      <c r="J416" s="324"/>
      <c r="K416" s="324"/>
      <c r="L416" s="324"/>
      <c r="M416" s="324"/>
      <c r="N416" s="324"/>
      <c r="O416" s="324"/>
      <c r="P416" s="324"/>
      <c r="Q416" s="324"/>
      <c r="R416" s="324"/>
      <c r="S416" s="324"/>
      <c r="T416" s="324"/>
      <c r="U416" s="324"/>
      <c r="V416" s="324"/>
      <c r="W416" s="324"/>
      <c r="X416" s="324"/>
      <c r="Y416" s="324"/>
      <c r="Z416" s="324"/>
    </row>
    <row r="417">
      <c r="A417" s="324"/>
      <c r="B417" s="324"/>
      <c r="C417" s="324"/>
      <c r="D417" s="324"/>
      <c r="E417" s="324"/>
      <c r="F417" s="324"/>
      <c r="G417" s="324"/>
      <c r="H417" s="324"/>
      <c r="I417" s="324"/>
      <c r="J417" s="324"/>
      <c r="K417" s="324"/>
      <c r="L417" s="324"/>
      <c r="M417" s="324"/>
      <c r="N417" s="324"/>
      <c r="O417" s="324"/>
      <c r="P417" s="324"/>
      <c r="Q417" s="324"/>
      <c r="R417" s="324"/>
      <c r="S417" s="324"/>
      <c r="T417" s="324"/>
      <c r="U417" s="324"/>
      <c r="V417" s="324"/>
      <c r="W417" s="324"/>
      <c r="X417" s="324"/>
      <c r="Y417" s="324"/>
      <c r="Z417" s="324"/>
    </row>
    <row r="418">
      <c r="A418" s="324"/>
      <c r="B418" s="324"/>
      <c r="C418" s="324"/>
      <c r="D418" s="324"/>
      <c r="E418" s="324"/>
      <c r="F418" s="324"/>
      <c r="G418" s="324"/>
      <c r="H418" s="324"/>
      <c r="I418" s="324"/>
      <c r="J418" s="324"/>
      <c r="K418" s="324"/>
      <c r="L418" s="324"/>
      <c r="M418" s="324"/>
      <c r="N418" s="324"/>
      <c r="O418" s="324"/>
      <c r="P418" s="324"/>
      <c r="Q418" s="324"/>
      <c r="R418" s="324"/>
      <c r="S418" s="324"/>
      <c r="T418" s="324"/>
      <c r="U418" s="324"/>
      <c r="V418" s="324"/>
      <c r="W418" s="324"/>
      <c r="X418" s="324"/>
      <c r="Y418" s="324"/>
      <c r="Z418" s="324"/>
    </row>
    <row r="419">
      <c r="A419" s="324"/>
      <c r="B419" s="324"/>
      <c r="C419" s="324"/>
      <c r="D419" s="324"/>
      <c r="E419" s="324"/>
      <c r="F419" s="324"/>
      <c r="G419" s="324"/>
      <c r="H419" s="324"/>
      <c r="I419" s="324"/>
      <c r="J419" s="324"/>
      <c r="K419" s="324"/>
      <c r="L419" s="324"/>
      <c r="M419" s="324"/>
      <c r="N419" s="324"/>
      <c r="O419" s="324"/>
      <c r="P419" s="324"/>
      <c r="Q419" s="324"/>
      <c r="R419" s="324"/>
      <c r="S419" s="324"/>
      <c r="T419" s="324"/>
      <c r="U419" s="324"/>
      <c r="V419" s="324"/>
      <c r="W419" s="324"/>
      <c r="X419" s="324"/>
      <c r="Y419" s="324"/>
      <c r="Z419" s="324"/>
    </row>
    <row r="420">
      <c r="A420" s="324"/>
      <c r="B420" s="324"/>
      <c r="C420" s="324"/>
      <c r="D420" s="324"/>
      <c r="E420" s="324"/>
      <c r="F420" s="324"/>
      <c r="G420" s="324"/>
      <c r="H420" s="324"/>
      <c r="I420" s="324"/>
      <c r="J420" s="324"/>
      <c r="K420" s="324"/>
      <c r="L420" s="324"/>
      <c r="M420" s="324"/>
      <c r="N420" s="324"/>
      <c r="O420" s="324"/>
      <c r="P420" s="324"/>
      <c r="Q420" s="324"/>
      <c r="R420" s="324"/>
      <c r="S420" s="324"/>
      <c r="T420" s="324"/>
      <c r="U420" s="324"/>
      <c r="V420" s="324"/>
      <c r="W420" s="324"/>
      <c r="X420" s="324"/>
      <c r="Y420" s="324"/>
      <c r="Z420" s="324"/>
    </row>
    <row r="421">
      <c r="A421" s="324"/>
      <c r="B421" s="324"/>
      <c r="C421" s="324"/>
      <c r="D421" s="324"/>
      <c r="E421" s="324"/>
      <c r="F421" s="324"/>
      <c r="G421" s="324"/>
      <c r="H421" s="324"/>
      <c r="I421" s="324"/>
      <c r="J421" s="324"/>
      <c r="K421" s="324"/>
      <c r="L421" s="324"/>
      <c r="M421" s="324"/>
      <c r="N421" s="324"/>
      <c r="O421" s="324"/>
      <c r="P421" s="324"/>
      <c r="Q421" s="324"/>
      <c r="R421" s="324"/>
      <c r="S421" s="324"/>
      <c r="T421" s="324"/>
      <c r="U421" s="324"/>
      <c r="V421" s="324"/>
      <c r="W421" s="324"/>
      <c r="X421" s="324"/>
      <c r="Y421" s="324"/>
      <c r="Z421" s="324"/>
    </row>
    <row r="422">
      <c r="A422" s="324"/>
      <c r="B422" s="324"/>
      <c r="C422" s="324"/>
      <c r="D422" s="324"/>
      <c r="E422" s="324"/>
      <c r="F422" s="324"/>
      <c r="G422" s="324"/>
      <c r="H422" s="324"/>
      <c r="I422" s="324"/>
      <c r="J422" s="324"/>
      <c r="K422" s="324"/>
      <c r="L422" s="324"/>
      <c r="M422" s="324"/>
      <c r="N422" s="324"/>
      <c r="O422" s="324"/>
      <c r="P422" s="324"/>
      <c r="Q422" s="324"/>
      <c r="R422" s="324"/>
      <c r="S422" s="324"/>
      <c r="T422" s="324"/>
      <c r="U422" s="324"/>
      <c r="V422" s="324"/>
      <c r="W422" s="324"/>
      <c r="X422" s="324"/>
      <c r="Y422" s="324"/>
      <c r="Z422" s="324"/>
    </row>
    <row r="423">
      <c r="A423" s="324"/>
      <c r="B423" s="324"/>
      <c r="C423" s="324"/>
      <c r="D423" s="324"/>
      <c r="E423" s="324"/>
      <c r="F423" s="324"/>
      <c r="G423" s="324"/>
      <c r="H423" s="324"/>
      <c r="I423" s="324"/>
      <c r="J423" s="324"/>
      <c r="K423" s="324"/>
      <c r="L423" s="324"/>
      <c r="M423" s="324"/>
      <c r="N423" s="324"/>
      <c r="O423" s="324"/>
      <c r="P423" s="324"/>
      <c r="Q423" s="324"/>
      <c r="R423" s="324"/>
      <c r="S423" s="324"/>
      <c r="T423" s="324"/>
      <c r="U423" s="324"/>
      <c r="V423" s="324"/>
      <c r="W423" s="324"/>
      <c r="X423" s="324"/>
      <c r="Y423" s="324"/>
      <c r="Z423" s="324"/>
    </row>
    <row r="424">
      <c r="A424" s="324"/>
      <c r="B424" s="324"/>
      <c r="C424" s="324"/>
      <c r="D424" s="324"/>
      <c r="E424" s="324"/>
      <c r="F424" s="324"/>
      <c r="G424" s="324"/>
      <c r="H424" s="324"/>
      <c r="I424" s="324"/>
      <c r="J424" s="324"/>
      <c r="K424" s="324"/>
      <c r="L424" s="324"/>
      <c r="M424" s="324"/>
      <c r="N424" s="324"/>
      <c r="O424" s="324"/>
      <c r="P424" s="324"/>
      <c r="Q424" s="324"/>
      <c r="R424" s="324"/>
      <c r="S424" s="324"/>
      <c r="T424" s="324"/>
      <c r="U424" s="324"/>
      <c r="V424" s="324"/>
      <c r="W424" s="324"/>
      <c r="X424" s="324"/>
      <c r="Y424" s="324"/>
      <c r="Z424" s="324"/>
    </row>
    <row r="425">
      <c r="A425" s="324"/>
      <c r="B425" s="324"/>
      <c r="C425" s="324"/>
      <c r="D425" s="324"/>
      <c r="E425" s="324"/>
      <c r="F425" s="324"/>
      <c r="G425" s="324"/>
      <c r="H425" s="324"/>
      <c r="I425" s="324"/>
      <c r="J425" s="324"/>
      <c r="K425" s="324"/>
      <c r="L425" s="324"/>
      <c r="M425" s="324"/>
      <c r="N425" s="324"/>
      <c r="O425" s="324"/>
      <c r="P425" s="324"/>
      <c r="Q425" s="324"/>
      <c r="R425" s="324"/>
      <c r="S425" s="324"/>
      <c r="T425" s="324"/>
      <c r="U425" s="324"/>
      <c r="V425" s="324"/>
      <c r="W425" s="324"/>
      <c r="X425" s="324"/>
      <c r="Y425" s="324"/>
      <c r="Z425" s="324"/>
    </row>
    <row r="426">
      <c r="A426" s="324"/>
      <c r="B426" s="324"/>
      <c r="C426" s="324"/>
      <c r="D426" s="324"/>
      <c r="E426" s="324"/>
      <c r="F426" s="324"/>
      <c r="G426" s="324"/>
      <c r="H426" s="324"/>
      <c r="I426" s="324"/>
      <c r="J426" s="324"/>
      <c r="K426" s="324"/>
      <c r="L426" s="324"/>
      <c r="M426" s="324"/>
      <c r="N426" s="324"/>
      <c r="O426" s="324"/>
      <c r="P426" s="324"/>
      <c r="Q426" s="324"/>
      <c r="R426" s="324"/>
      <c r="S426" s="324"/>
      <c r="T426" s="324"/>
      <c r="U426" s="324"/>
      <c r="V426" s="324"/>
      <c r="W426" s="324"/>
      <c r="X426" s="324"/>
      <c r="Y426" s="324"/>
      <c r="Z426" s="324"/>
    </row>
    <row r="427">
      <c r="A427" s="324"/>
      <c r="B427" s="324"/>
      <c r="C427" s="324"/>
      <c r="D427" s="324"/>
      <c r="E427" s="324"/>
      <c r="F427" s="324"/>
      <c r="G427" s="324"/>
      <c r="H427" s="324"/>
      <c r="I427" s="324"/>
      <c r="J427" s="324"/>
      <c r="K427" s="324"/>
      <c r="L427" s="324"/>
      <c r="M427" s="324"/>
      <c r="N427" s="324"/>
      <c r="O427" s="324"/>
      <c r="P427" s="324"/>
      <c r="Q427" s="324"/>
      <c r="R427" s="324"/>
      <c r="S427" s="324"/>
      <c r="T427" s="324"/>
      <c r="U427" s="324"/>
      <c r="V427" s="324"/>
      <c r="W427" s="324"/>
      <c r="X427" s="324"/>
      <c r="Y427" s="324"/>
      <c r="Z427" s="324"/>
    </row>
    <row r="428">
      <c r="A428" s="324"/>
      <c r="B428" s="324"/>
      <c r="C428" s="324"/>
      <c r="D428" s="324"/>
      <c r="E428" s="324"/>
      <c r="F428" s="324"/>
      <c r="G428" s="324"/>
      <c r="H428" s="324"/>
      <c r="I428" s="324"/>
      <c r="J428" s="324"/>
      <c r="K428" s="324"/>
      <c r="L428" s="324"/>
      <c r="M428" s="324"/>
      <c r="N428" s="324"/>
      <c r="O428" s="324"/>
      <c r="P428" s="324"/>
      <c r="Q428" s="324"/>
      <c r="R428" s="324"/>
      <c r="S428" s="324"/>
      <c r="T428" s="324"/>
      <c r="U428" s="324"/>
      <c r="V428" s="324"/>
      <c r="W428" s="324"/>
      <c r="X428" s="324"/>
      <c r="Y428" s="324"/>
      <c r="Z428" s="324"/>
    </row>
    <row r="429">
      <c r="A429" s="324"/>
      <c r="B429" s="324"/>
      <c r="C429" s="324"/>
      <c r="D429" s="324"/>
      <c r="E429" s="324"/>
      <c r="F429" s="324"/>
      <c r="G429" s="324"/>
      <c r="H429" s="324"/>
      <c r="I429" s="324"/>
      <c r="J429" s="324"/>
      <c r="K429" s="324"/>
      <c r="L429" s="324"/>
      <c r="M429" s="324"/>
      <c r="N429" s="324"/>
      <c r="O429" s="324"/>
      <c r="P429" s="324"/>
      <c r="Q429" s="324"/>
      <c r="R429" s="324"/>
      <c r="S429" s="324"/>
      <c r="T429" s="324"/>
      <c r="U429" s="324"/>
      <c r="V429" s="324"/>
      <c r="W429" s="324"/>
      <c r="X429" s="324"/>
      <c r="Y429" s="324"/>
      <c r="Z429" s="324"/>
    </row>
    <row r="430">
      <c r="A430" s="324"/>
      <c r="B430" s="324"/>
      <c r="C430" s="324"/>
      <c r="D430" s="324"/>
      <c r="E430" s="324"/>
      <c r="F430" s="324"/>
      <c r="G430" s="324"/>
      <c r="H430" s="324"/>
      <c r="I430" s="324"/>
      <c r="J430" s="324"/>
      <c r="K430" s="324"/>
      <c r="L430" s="324"/>
      <c r="M430" s="324"/>
      <c r="N430" s="324"/>
      <c r="O430" s="324"/>
      <c r="P430" s="324"/>
      <c r="Q430" s="324"/>
      <c r="R430" s="324"/>
      <c r="S430" s="324"/>
      <c r="T430" s="324"/>
      <c r="U430" s="324"/>
      <c r="V430" s="324"/>
      <c r="W430" s="324"/>
      <c r="X430" s="324"/>
      <c r="Y430" s="324"/>
      <c r="Z430" s="324"/>
    </row>
    <row r="431">
      <c r="A431" s="324"/>
      <c r="B431" s="324"/>
      <c r="C431" s="324"/>
      <c r="D431" s="324"/>
      <c r="E431" s="324"/>
      <c r="F431" s="324"/>
      <c r="G431" s="324"/>
      <c r="H431" s="324"/>
      <c r="I431" s="324"/>
      <c r="J431" s="324"/>
      <c r="K431" s="324"/>
      <c r="L431" s="324"/>
      <c r="M431" s="324"/>
      <c r="N431" s="324"/>
      <c r="O431" s="324"/>
      <c r="P431" s="324"/>
      <c r="Q431" s="324"/>
      <c r="R431" s="324"/>
      <c r="S431" s="324"/>
      <c r="T431" s="324"/>
      <c r="U431" s="324"/>
      <c r="V431" s="324"/>
      <c r="W431" s="324"/>
      <c r="X431" s="324"/>
      <c r="Y431" s="324"/>
      <c r="Z431" s="324"/>
    </row>
    <row r="432">
      <c r="A432" s="324"/>
      <c r="B432" s="324"/>
      <c r="C432" s="324"/>
      <c r="D432" s="324"/>
      <c r="E432" s="324"/>
      <c r="F432" s="324"/>
      <c r="G432" s="324"/>
      <c r="H432" s="324"/>
      <c r="I432" s="324"/>
      <c r="J432" s="324"/>
      <c r="K432" s="324"/>
      <c r="L432" s="324"/>
      <c r="M432" s="324"/>
      <c r="N432" s="324"/>
      <c r="O432" s="324"/>
      <c r="P432" s="324"/>
      <c r="Q432" s="324"/>
      <c r="R432" s="324"/>
      <c r="S432" s="324"/>
      <c r="T432" s="324"/>
      <c r="U432" s="324"/>
      <c r="V432" s="324"/>
      <c r="W432" s="324"/>
      <c r="X432" s="324"/>
      <c r="Y432" s="324"/>
      <c r="Z432" s="324"/>
    </row>
    <row r="433">
      <c r="A433" s="324"/>
      <c r="B433" s="324"/>
      <c r="C433" s="324"/>
      <c r="D433" s="324"/>
      <c r="E433" s="324"/>
      <c r="F433" s="324"/>
      <c r="G433" s="324"/>
      <c r="H433" s="324"/>
      <c r="I433" s="324"/>
      <c r="J433" s="324"/>
      <c r="K433" s="324"/>
      <c r="L433" s="324"/>
      <c r="M433" s="324"/>
      <c r="N433" s="324"/>
      <c r="O433" s="324"/>
      <c r="P433" s="324"/>
      <c r="Q433" s="324"/>
      <c r="R433" s="324"/>
      <c r="S433" s="324"/>
      <c r="T433" s="324"/>
      <c r="U433" s="324"/>
      <c r="V433" s="324"/>
      <c r="W433" s="324"/>
      <c r="X433" s="324"/>
      <c r="Y433" s="324"/>
      <c r="Z433" s="324"/>
    </row>
    <row r="434">
      <c r="A434" s="324"/>
      <c r="B434" s="324"/>
      <c r="C434" s="324"/>
      <c r="D434" s="324"/>
      <c r="E434" s="324"/>
      <c r="F434" s="324"/>
      <c r="G434" s="324"/>
      <c r="H434" s="324"/>
      <c r="I434" s="324"/>
      <c r="J434" s="324"/>
      <c r="K434" s="324"/>
      <c r="L434" s="324"/>
      <c r="M434" s="324"/>
      <c r="N434" s="324"/>
      <c r="O434" s="324"/>
      <c r="P434" s="324"/>
      <c r="Q434" s="324"/>
      <c r="R434" s="324"/>
      <c r="S434" s="324"/>
      <c r="T434" s="324"/>
      <c r="U434" s="324"/>
      <c r="V434" s="324"/>
      <c r="W434" s="324"/>
      <c r="X434" s="324"/>
      <c r="Y434" s="324"/>
      <c r="Z434" s="324"/>
    </row>
    <row r="435">
      <c r="A435" s="324"/>
      <c r="B435" s="324"/>
      <c r="C435" s="324"/>
      <c r="D435" s="324"/>
      <c r="E435" s="324"/>
      <c r="F435" s="324"/>
      <c r="G435" s="324"/>
      <c r="H435" s="324"/>
      <c r="I435" s="324"/>
      <c r="J435" s="324"/>
      <c r="K435" s="324"/>
      <c r="L435" s="324"/>
      <c r="M435" s="324"/>
      <c r="N435" s="324"/>
      <c r="O435" s="324"/>
      <c r="P435" s="324"/>
      <c r="Q435" s="324"/>
      <c r="R435" s="324"/>
      <c r="S435" s="324"/>
      <c r="T435" s="324"/>
      <c r="U435" s="324"/>
      <c r="V435" s="324"/>
      <c r="W435" s="324"/>
      <c r="X435" s="324"/>
      <c r="Y435" s="324"/>
      <c r="Z435" s="324"/>
    </row>
    <row r="436">
      <c r="A436" s="324"/>
      <c r="B436" s="324"/>
      <c r="C436" s="324"/>
      <c r="D436" s="324"/>
      <c r="E436" s="324"/>
      <c r="F436" s="324"/>
      <c r="G436" s="324"/>
      <c r="H436" s="324"/>
      <c r="I436" s="324"/>
      <c r="J436" s="324"/>
      <c r="K436" s="324"/>
      <c r="L436" s="324"/>
      <c r="M436" s="324"/>
      <c r="N436" s="324"/>
      <c r="O436" s="324"/>
      <c r="P436" s="324"/>
      <c r="Q436" s="324"/>
      <c r="R436" s="324"/>
      <c r="S436" s="324"/>
      <c r="T436" s="324"/>
      <c r="U436" s="324"/>
      <c r="V436" s="324"/>
      <c r="W436" s="324"/>
      <c r="X436" s="324"/>
      <c r="Y436" s="324"/>
      <c r="Z436" s="324"/>
    </row>
    <row r="437">
      <c r="A437" s="324"/>
      <c r="B437" s="324"/>
      <c r="C437" s="324"/>
      <c r="D437" s="324"/>
      <c r="E437" s="324"/>
      <c r="F437" s="324"/>
      <c r="G437" s="324"/>
      <c r="H437" s="324"/>
      <c r="I437" s="324"/>
      <c r="J437" s="324"/>
      <c r="K437" s="324"/>
      <c r="L437" s="324"/>
      <c r="M437" s="324"/>
      <c r="N437" s="324"/>
      <c r="O437" s="324"/>
      <c r="P437" s="324"/>
      <c r="Q437" s="324"/>
      <c r="R437" s="324"/>
      <c r="S437" s="324"/>
      <c r="T437" s="324"/>
      <c r="U437" s="324"/>
      <c r="V437" s="324"/>
      <c r="W437" s="324"/>
      <c r="X437" s="324"/>
      <c r="Y437" s="324"/>
      <c r="Z437" s="324"/>
    </row>
    <row r="438">
      <c r="A438" s="324"/>
      <c r="B438" s="324"/>
      <c r="C438" s="324"/>
      <c r="D438" s="324"/>
      <c r="E438" s="324"/>
      <c r="F438" s="324"/>
      <c r="G438" s="324"/>
      <c r="H438" s="324"/>
      <c r="I438" s="324"/>
      <c r="J438" s="324"/>
      <c r="K438" s="324"/>
      <c r="L438" s="324"/>
      <c r="M438" s="324"/>
      <c r="N438" s="324"/>
      <c r="O438" s="324"/>
      <c r="P438" s="324"/>
      <c r="Q438" s="324"/>
      <c r="R438" s="324"/>
      <c r="S438" s="324"/>
      <c r="T438" s="324"/>
      <c r="U438" s="324"/>
      <c r="V438" s="324"/>
      <c r="W438" s="324"/>
      <c r="X438" s="324"/>
      <c r="Y438" s="324"/>
      <c r="Z438" s="324"/>
    </row>
    <row r="439">
      <c r="A439" s="324"/>
      <c r="B439" s="324"/>
      <c r="C439" s="324"/>
      <c r="D439" s="324"/>
      <c r="E439" s="324"/>
      <c r="F439" s="324"/>
      <c r="G439" s="324"/>
      <c r="H439" s="324"/>
      <c r="I439" s="324"/>
      <c r="J439" s="324"/>
      <c r="K439" s="324"/>
      <c r="L439" s="324"/>
      <c r="M439" s="324"/>
      <c r="N439" s="324"/>
      <c r="O439" s="324"/>
      <c r="P439" s="324"/>
      <c r="Q439" s="324"/>
      <c r="R439" s="324"/>
      <c r="S439" s="324"/>
      <c r="T439" s="324"/>
      <c r="U439" s="324"/>
      <c r="V439" s="324"/>
      <c r="W439" s="324"/>
      <c r="X439" s="324"/>
      <c r="Y439" s="324"/>
      <c r="Z439" s="324"/>
    </row>
    <row r="440">
      <c r="A440" s="324"/>
      <c r="B440" s="324"/>
      <c r="C440" s="324"/>
      <c r="D440" s="324"/>
      <c r="E440" s="324"/>
      <c r="F440" s="324"/>
      <c r="G440" s="324"/>
      <c r="H440" s="324"/>
      <c r="I440" s="324"/>
      <c r="J440" s="324"/>
      <c r="K440" s="324"/>
      <c r="L440" s="324"/>
      <c r="M440" s="324"/>
      <c r="N440" s="324"/>
      <c r="O440" s="324"/>
      <c r="P440" s="324"/>
      <c r="Q440" s="324"/>
      <c r="R440" s="324"/>
      <c r="S440" s="324"/>
      <c r="T440" s="324"/>
      <c r="U440" s="324"/>
      <c r="V440" s="324"/>
      <c r="W440" s="324"/>
      <c r="X440" s="324"/>
      <c r="Y440" s="324"/>
      <c r="Z440" s="324"/>
    </row>
    <row r="441">
      <c r="A441" s="324"/>
      <c r="B441" s="324"/>
      <c r="C441" s="324"/>
      <c r="D441" s="324"/>
      <c r="E441" s="324"/>
      <c r="F441" s="324"/>
      <c r="G441" s="324"/>
      <c r="H441" s="324"/>
      <c r="I441" s="324"/>
      <c r="J441" s="324"/>
      <c r="K441" s="324"/>
      <c r="L441" s="324"/>
      <c r="M441" s="324"/>
      <c r="N441" s="324"/>
      <c r="O441" s="324"/>
      <c r="P441" s="324"/>
      <c r="Q441" s="324"/>
      <c r="R441" s="324"/>
      <c r="S441" s="324"/>
      <c r="T441" s="324"/>
      <c r="U441" s="324"/>
      <c r="V441" s="324"/>
      <c r="W441" s="324"/>
      <c r="X441" s="324"/>
      <c r="Y441" s="324"/>
      <c r="Z441" s="324"/>
    </row>
    <row r="442">
      <c r="A442" s="324"/>
      <c r="B442" s="324"/>
      <c r="C442" s="324"/>
      <c r="D442" s="324"/>
      <c r="E442" s="324"/>
      <c r="F442" s="324"/>
      <c r="G442" s="324"/>
      <c r="H442" s="324"/>
      <c r="I442" s="324"/>
      <c r="J442" s="324"/>
      <c r="K442" s="324"/>
      <c r="L442" s="324"/>
      <c r="M442" s="324"/>
      <c r="N442" s="324"/>
      <c r="O442" s="324"/>
      <c r="P442" s="324"/>
      <c r="Q442" s="324"/>
      <c r="R442" s="324"/>
      <c r="S442" s="324"/>
      <c r="T442" s="324"/>
      <c r="U442" s="324"/>
      <c r="V442" s="324"/>
      <c r="W442" s="324"/>
      <c r="X442" s="324"/>
      <c r="Y442" s="324"/>
      <c r="Z442" s="324"/>
    </row>
    <row r="443">
      <c r="A443" s="324"/>
      <c r="B443" s="324"/>
      <c r="C443" s="324"/>
      <c r="D443" s="324"/>
      <c r="E443" s="324"/>
      <c r="F443" s="324"/>
      <c r="G443" s="324"/>
      <c r="H443" s="324"/>
      <c r="I443" s="324"/>
      <c r="J443" s="324"/>
      <c r="K443" s="324"/>
      <c r="L443" s="324"/>
      <c r="M443" s="324"/>
      <c r="N443" s="324"/>
      <c r="O443" s="324"/>
      <c r="P443" s="324"/>
      <c r="Q443" s="324"/>
      <c r="R443" s="324"/>
      <c r="S443" s="324"/>
      <c r="T443" s="324"/>
      <c r="U443" s="324"/>
      <c r="V443" s="324"/>
      <c r="W443" s="324"/>
      <c r="X443" s="324"/>
      <c r="Y443" s="324"/>
      <c r="Z443" s="324"/>
    </row>
    <row r="444">
      <c r="A444" s="324"/>
      <c r="B444" s="324"/>
      <c r="C444" s="324"/>
      <c r="D444" s="324"/>
      <c r="E444" s="324"/>
      <c r="F444" s="324"/>
      <c r="G444" s="324"/>
      <c r="H444" s="324"/>
      <c r="I444" s="324"/>
      <c r="J444" s="324"/>
      <c r="K444" s="324"/>
      <c r="L444" s="324"/>
      <c r="M444" s="324"/>
      <c r="N444" s="324"/>
      <c r="O444" s="324"/>
      <c r="P444" s="324"/>
      <c r="Q444" s="324"/>
      <c r="R444" s="324"/>
      <c r="S444" s="324"/>
      <c r="T444" s="324"/>
      <c r="U444" s="324"/>
      <c r="V444" s="324"/>
      <c r="W444" s="324"/>
      <c r="X444" s="324"/>
      <c r="Y444" s="324"/>
      <c r="Z444" s="324"/>
    </row>
    <row r="445">
      <c r="A445" s="324"/>
      <c r="B445" s="324"/>
      <c r="C445" s="324"/>
      <c r="D445" s="324"/>
      <c r="E445" s="324"/>
      <c r="F445" s="324"/>
      <c r="G445" s="324"/>
      <c r="H445" s="324"/>
      <c r="I445" s="324"/>
      <c r="J445" s="324"/>
      <c r="K445" s="324"/>
      <c r="L445" s="324"/>
      <c r="M445" s="324"/>
      <c r="N445" s="324"/>
      <c r="O445" s="324"/>
      <c r="P445" s="324"/>
      <c r="Q445" s="324"/>
      <c r="R445" s="324"/>
      <c r="S445" s="324"/>
      <c r="T445" s="324"/>
      <c r="U445" s="324"/>
      <c r="V445" s="324"/>
      <c r="W445" s="324"/>
      <c r="X445" s="324"/>
      <c r="Y445" s="324"/>
      <c r="Z445" s="324"/>
    </row>
    <row r="446">
      <c r="A446" s="324"/>
      <c r="B446" s="324"/>
      <c r="C446" s="324"/>
      <c r="D446" s="324"/>
      <c r="E446" s="324"/>
      <c r="F446" s="324"/>
      <c r="G446" s="324"/>
      <c r="H446" s="324"/>
      <c r="I446" s="324"/>
      <c r="J446" s="324"/>
      <c r="K446" s="324"/>
      <c r="L446" s="324"/>
      <c r="M446" s="324"/>
      <c r="N446" s="324"/>
      <c r="O446" s="324"/>
      <c r="P446" s="324"/>
      <c r="Q446" s="324"/>
      <c r="R446" s="324"/>
      <c r="S446" s="324"/>
      <c r="T446" s="324"/>
      <c r="U446" s="324"/>
      <c r="V446" s="324"/>
      <c r="W446" s="324"/>
      <c r="X446" s="324"/>
      <c r="Y446" s="324"/>
      <c r="Z446" s="324"/>
    </row>
    <row r="447">
      <c r="A447" s="324"/>
      <c r="B447" s="324"/>
      <c r="C447" s="324"/>
      <c r="D447" s="324"/>
      <c r="E447" s="324"/>
      <c r="F447" s="324"/>
      <c r="G447" s="324"/>
      <c r="H447" s="324"/>
      <c r="I447" s="324"/>
      <c r="J447" s="324"/>
      <c r="K447" s="324"/>
      <c r="L447" s="324"/>
      <c r="M447" s="324"/>
      <c r="N447" s="324"/>
      <c r="O447" s="324"/>
      <c r="P447" s="324"/>
      <c r="Q447" s="324"/>
      <c r="R447" s="324"/>
      <c r="S447" s="324"/>
      <c r="T447" s="324"/>
      <c r="U447" s="324"/>
      <c r="V447" s="324"/>
      <c r="W447" s="324"/>
      <c r="X447" s="324"/>
      <c r="Y447" s="324"/>
      <c r="Z447" s="324"/>
    </row>
    <row r="448">
      <c r="A448" s="324"/>
      <c r="B448" s="324"/>
      <c r="C448" s="324"/>
      <c r="D448" s="324"/>
      <c r="E448" s="324"/>
      <c r="F448" s="324"/>
      <c r="G448" s="324"/>
      <c r="H448" s="324"/>
      <c r="I448" s="324"/>
      <c r="J448" s="324"/>
      <c r="K448" s="324"/>
      <c r="L448" s="324"/>
      <c r="M448" s="324"/>
      <c r="N448" s="324"/>
      <c r="O448" s="324"/>
      <c r="P448" s="324"/>
      <c r="Q448" s="324"/>
      <c r="R448" s="324"/>
      <c r="S448" s="324"/>
      <c r="T448" s="324"/>
      <c r="U448" s="324"/>
      <c r="V448" s="324"/>
      <c r="W448" s="324"/>
      <c r="X448" s="324"/>
      <c r="Y448" s="324"/>
      <c r="Z448" s="324"/>
    </row>
    <row r="449">
      <c r="A449" s="324"/>
      <c r="B449" s="324"/>
      <c r="C449" s="324"/>
      <c r="D449" s="324"/>
      <c r="E449" s="324"/>
      <c r="F449" s="324"/>
      <c r="G449" s="324"/>
      <c r="H449" s="324"/>
      <c r="I449" s="324"/>
      <c r="J449" s="324"/>
      <c r="K449" s="324"/>
      <c r="L449" s="324"/>
      <c r="M449" s="324"/>
      <c r="N449" s="324"/>
      <c r="O449" s="324"/>
      <c r="P449" s="324"/>
      <c r="Q449" s="324"/>
      <c r="R449" s="324"/>
      <c r="S449" s="324"/>
      <c r="T449" s="324"/>
      <c r="U449" s="324"/>
      <c r="V449" s="324"/>
      <c r="W449" s="324"/>
      <c r="X449" s="324"/>
      <c r="Y449" s="324"/>
      <c r="Z449" s="324"/>
    </row>
    <row r="450">
      <c r="A450" s="324"/>
      <c r="B450" s="324"/>
      <c r="C450" s="324"/>
      <c r="D450" s="324"/>
      <c r="E450" s="324"/>
      <c r="F450" s="324"/>
      <c r="G450" s="324"/>
      <c r="H450" s="324"/>
      <c r="I450" s="324"/>
      <c r="J450" s="324"/>
      <c r="K450" s="324"/>
      <c r="L450" s="324"/>
      <c r="M450" s="324"/>
      <c r="N450" s="324"/>
      <c r="O450" s="324"/>
      <c r="P450" s="324"/>
      <c r="Q450" s="324"/>
      <c r="R450" s="324"/>
      <c r="S450" s="324"/>
      <c r="T450" s="324"/>
      <c r="U450" s="324"/>
      <c r="V450" s="324"/>
      <c r="W450" s="324"/>
      <c r="X450" s="324"/>
      <c r="Y450" s="324"/>
      <c r="Z450" s="324"/>
    </row>
    <row r="451">
      <c r="A451" s="324"/>
      <c r="B451" s="324"/>
      <c r="C451" s="324"/>
      <c r="D451" s="324"/>
      <c r="E451" s="324"/>
      <c r="F451" s="324"/>
      <c r="G451" s="324"/>
      <c r="H451" s="324"/>
      <c r="I451" s="324"/>
      <c r="J451" s="324"/>
      <c r="K451" s="324"/>
      <c r="L451" s="324"/>
      <c r="M451" s="324"/>
      <c r="N451" s="324"/>
      <c r="O451" s="324"/>
      <c r="P451" s="324"/>
      <c r="Q451" s="324"/>
      <c r="R451" s="324"/>
      <c r="S451" s="324"/>
      <c r="T451" s="324"/>
      <c r="U451" s="324"/>
      <c r="V451" s="324"/>
      <c r="W451" s="324"/>
      <c r="X451" s="324"/>
      <c r="Y451" s="324"/>
      <c r="Z451" s="324"/>
    </row>
    <row r="452">
      <c r="A452" s="324"/>
      <c r="B452" s="324"/>
      <c r="C452" s="324"/>
      <c r="D452" s="324"/>
      <c r="E452" s="324"/>
      <c r="F452" s="324"/>
      <c r="G452" s="324"/>
      <c r="H452" s="324"/>
      <c r="I452" s="324"/>
      <c r="J452" s="324"/>
      <c r="K452" s="324"/>
      <c r="L452" s="324"/>
      <c r="M452" s="324"/>
      <c r="N452" s="324"/>
      <c r="O452" s="324"/>
      <c r="P452" s="324"/>
      <c r="Q452" s="324"/>
      <c r="R452" s="324"/>
      <c r="S452" s="324"/>
      <c r="T452" s="324"/>
      <c r="U452" s="324"/>
      <c r="V452" s="324"/>
      <c r="W452" s="324"/>
      <c r="X452" s="324"/>
      <c r="Y452" s="324"/>
      <c r="Z452" s="324"/>
    </row>
    <row r="453">
      <c r="A453" s="324"/>
      <c r="B453" s="324"/>
      <c r="C453" s="324"/>
      <c r="D453" s="324"/>
      <c r="E453" s="324"/>
      <c r="F453" s="324"/>
      <c r="G453" s="324"/>
      <c r="H453" s="324"/>
      <c r="I453" s="324"/>
      <c r="J453" s="324"/>
      <c r="K453" s="324"/>
      <c r="L453" s="324"/>
      <c r="M453" s="324"/>
      <c r="N453" s="324"/>
      <c r="O453" s="324"/>
      <c r="P453" s="324"/>
      <c r="Q453" s="324"/>
      <c r="R453" s="324"/>
      <c r="S453" s="324"/>
      <c r="T453" s="324"/>
      <c r="U453" s="324"/>
      <c r="V453" s="324"/>
      <c r="W453" s="324"/>
      <c r="X453" s="324"/>
      <c r="Y453" s="324"/>
      <c r="Z453" s="324"/>
    </row>
    <row r="454">
      <c r="A454" s="324"/>
      <c r="B454" s="324"/>
      <c r="C454" s="324"/>
      <c r="D454" s="324"/>
      <c r="E454" s="324"/>
      <c r="F454" s="324"/>
      <c r="G454" s="324"/>
      <c r="H454" s="324"/>
      <c r="I454" s="324"/>
      <c r="J454" s="324"/>
      <c r="K454" s="324"/>
      <c r="L454" s="324"/>
      <c r="M454" s="324"/>
      <c r="N454" s="324"/>
      <c r="O454" s="324"/>
      <c r="P454" s="324"/>
      <c r="Q454" s="324"/>
      <c r="R454" s="324"/>
      <c r="S454" s="324"/>
      <c r="T454" s="324"/>
      <c r="U454" s="324"/>
      <c r="V454" s="324"/>
      <c r="W454" s="324"/>
      <c r="X454" s="324"/>
      <c r="Y454" s="324"/>
      <c r="Z454" s="324"/>
    </row>
    <row r="455">
      <c r="A455" s="324"/>
      <c r="B455" s="324"/>
      <c r="C455" s="324"/>
      <c r="D455" s="324"/>
      <c r="E455" s="324"/>
      <c r="F455" s="324"/>
      <c r="G455" s="324"/>
      <c r="H455" s="324"/>
      <c r="I455" s="324"/>
      <c r="J455" s="324"/>
      <c r="K455" s="324"/>
      <c r="L455" s="324"/>
      <c r="M455" s="324"/>
      <c r="N455" s="324"/>
      <c r="O455" s="324"/>
      <c r="P455" s="324"/>
      <c r="Q455" s="324"/>
      <c r="R455" s="324"/>
      <c r="S455" s="324"/>
      <c r="T455" s="324"/>
      <c r="U455" s="324"/>
      <c r="V455" s="324"/>
      <c r="W455" s="324"/>
      <c r="X455" s="324"/>
      <c r="Y455" s="324"/>
      <c r="Z455" s="324"/>
    </row>
    <row r="456">
      <c r="A456" s="324"/>
      <c r="B456" s="324"/>
      <c r="C456" s="324"/>
      <c r="D456" s="324"/>
      <c r="E456" s="324"/>
      <c r="F456" s="324"/>
      <c r="G456" s="324"/>
      <c r="H456" s="324"/>
      <c r="I456" s="324"/>
      <c r="J456" s="324"/>
      <c r="K456" s="324"/>
      <c r="L456" s="324"/>
      <c r="M456" s="324"/>
      <c r="N456" s="324"/>
      <c r="O456" s="324"/>
      <c r="P456" s="324"/>
      <c r="Q456" s="324"/>
      <c r="R456" s="324"/>
      <c r="S456" s="324"/>
      <c r="T456" s="324"/>
      <c r="U456" s="324"/>
      <c r="V456" s="324"/>
      <c r="W456" s="324"/>
      <c r="X456" s="324"/>
      <c r="Y456" s="324"/>
      <c r="Z456" s="324"/>
    </row>
    <row r="457">
      <c r="A457" s="324"/>
      <c r="B457" s="324"/>
      <c r="C457" s="324"/>
      <c r="D457" s="324"/>
      <c r="E457" s="324"/>
      <c r="F457" s="324"/>
      <c r="G457" s="324"/>
      <c r="H457" s="324"/>
      <c r="I457" s="324"/>
      <c r="J457" s="324"/>
      <c r="K457" s="324"/>
      <c r="L457" s="324"/>
      <c r="M457" s="324"/>
      <c r="N457" s="324"/>
      <c r="O457" s="324"/>
      <c r="P457" s="324"/>
      <c r="Q457" s="324"/>
      <c r="R457" s="324"/>
      <c r="S457" s="324"/>
      <c r="T457" s="324"/>
      <c r="U457" s="324"/>
      <c r="V457" s="324"/>
      <c r="W457" s="324"/>
      <c r="X457" s="324"/>
      <c r="Y457" s="324"/>
      <c r="Z457" s="324"/>
    </row>
    <row r="458">
      <c r="A458" s="324"/>
      <c r="B458" s="324"/>
      <c r="C458" s="324"/>
      <c r="D458" s="324"/>
      <c r="E458" s="324"/>
      <c r="F458" s="324"/>
      <c r="G458" s="324"/>
      <c r="H458" s="324"/>
      <c r="I458" s="324"/>
      <c r="J458" s="324"/>
      <c r="K458" s="324"/>
      <c r="L458" s="324"/>
      <c r="M458" s="324"/>
      <c r="N458" s="324"/>
      <c r="O458" s="324"/>
      <c r="P458" s="324"/>
      <c r="Q458" s="324"/>
      <c r="R458" s="324"/>
      <c r="S458" s="324"/>
      <c r="T458" s="324"/>
      <c r="U458" s="324"/>
      <c r="V458" s="324"/>
      <c r="W458" s="324"/>
      <c r="X458" s="324"/>
      <c r="Y458" s="324"/>
      <c r="Z458" s="324"/>
    </row>
    <row r="459">
      <c r="A459" s="324"/>
      <c r="B459" s="324"/>
      <c r="C459" s="324"/>
      <c r="D459" s="324"/>
      <c r="E459" s="324"/>
      <c r="F459" s="324"/>
      <c r="G459" s="324"/>
      <c r="H459" s="324"/>
      <c r="I459" s="324"/>
      <c r="J459" s="324"/>
      <c r="K459" s="324"/>
      <c r="L459" s="324"/>
      <c r="M459" s="324"/>
      <c r="N459" s="324"/>
      <c r="O459" s="324"/>
      <c r="P459" s="324"/>
      <c r="Q459" s="324"/>
      <c r="R459" s="324"/>
      <c r="S459" s="324"/>
      <c r="T459" s="324"/>
      <c r="U459" s="324"/>
      <c r="V459" s="324"/>
      <c r="W459" s="324"/>
      <c r="X459" s="324"/>
      <c r="Y459" s="324"/>
      <c r="Z459" s="324"/>
    </row>
    <row r="460">
      <c r="A460" s="324"/>
      <c r="B460" s="324"/>
      <c r="C460" s="324"/>
      <c r="D460" s="324"/>
      <c r="E460" s="324"/>
      <c r="F460" s="324"/>
      <c r="G460" s="324"/>
      <c r="H460" s="324"/>
      <c r="I460" s="324"/>
      <c r="J460" s="324"/>
      <c r="K460" s="324"/>
      <c r="L460" s="324"/>
      <c r="M460" s="324"/>
      <c r="N460" s="324"/>
      <c r="O460" s="324"/>
      <c r="P460" s="324"/>
      <c r="Q460" s="324"/>
      <c r="R460" s="324"/>
      <c r="S460" s="324"/>
      <c r="T460" s="324"/>
      <c r="U460" s="324"/>
      <c r="V460" s="324"/>
      <c r="W460" s="324"/>
      <c r="X460" s="324"/>
      <c r="Y460" s="324"/>
      <c r="Z460" s="324"/>
    </row>
    <row r="461">
      <c r="A461" s="324"/>
      <c r="B461" s="324"/>
      <c r="C461" s="324"/>
      <c r="D461" s="324"/>
      <c r="E461" s="324"/>
      <c r="F461" s="324"/>
      <c r="G461" s="324"/>
      <c r="H461" s="324"/>
      <c r="I461" s="324"/>
      <c r="J461" s="324"/>
      <c r="K461" s="324"/>
      <c r="L461" s="324"/>
      <c r="M461" s="324"/>
      <c r="N461" s="324"/>
      <c r="O461" s="324"/>
      <c r="P461" s="324"/>
      <c r="Q461" s="324"/>
      <c r="R461" s="324"/>
      <c r="S461" s="324"/>
      <c r="T461" s="324"/>
      <c r="U461" s="324"/>
      <c r="V461" s="324"/>
      <c r="W461" s="324"/>
      <c r="X461" s="324"/>
      <c r="Y461" s="324"/>
      <c r="Z461" s="324"/>
    </row>
    <row r="462">
      <c r="A462" s="324"/>
      <c r="B462" s="324"/>
      <c r="C462" s="324"/>
      <c r="D462" s="324"/>
      <c r="E462" s="324"/>
      <c r="F462" s="324"/>
      <c r="G462" s="324"/>
      <c r="H462" s="324"/>
      <c r="I462" s="324"/>
      <c r="J462" s="324"/>
      <c r="K462" s="324"/>
      <c r="L462" s="324"/>
      <c r="M462" s="324"/>
      <c r="N462" s="324"/>
      <c r="O462" s="324"/>
      <c r="P462" s="324"/>
      <c r="Q462" s="324"/>
      <c r="R462" s="324"/>
      <c r="S462" s="324"/>
      <c r="T462" s="324"/>
      <c r="U462" s="324"/>
      <c r="V462" s="324"/>
      <c r="W462" s="324"/>
      <c r="X462" s="324"/>
      <c r="Y462" s="324"/>
      <c r="Z462" s="324"/>
    </row>
    <row r="463">
      <c r="A463" s="324"/>
      <c r="B463" s="324"/>
      <c r="C463" s="324"/>
      <c r="D463" s="324"/>
      <c r="E463" s="324"/>
      <c r="F463" s="324"/>
      <c r="G463" s="324"/>
      <c r="H463" s="324"/>
      <c r="I463" s="324"/>
      <c r="J463" s="324"/>
      <c r="K463" s="324"/>
      <c r="L463" s="324"/>
      <c r="M463" s="324"/>
      <c r="N463" s="324"/>
      <c r="O463" s="324"/>
      <c r="P463" s="324"/>
      <c r="Q463" s="324"/>
      <c r="R463" s="324"/>
      <c r="S463" s="324"/>
      <c r="T463" s="324"/>
      <c r="U463" s="324"/>
      <c r="V463" s="324"/>
      <c r="W463" s="324"/>
      <c r="X463" s="324"/>
      <c r="Y463" s="324"/>
      <c r="Z463" s="324"/>
    </row>
    <row r="464">
      <c r="A464" s="324"/>
      <c r="B464" s="324"/>
      <c r="C464" s="324"/>
      <c r="D464" s="324"/>
      <c r="E464" s="324"/>
      <c r="F464" s="324"/>
      <c r="G464" s="324"/>
      <c r="H464" s="324"/>
      <c r="I464" s="324"/>
      <c r="J464" s="324"/>
      <c r="K464" s="324"/>
      <c r="L464" s="324"/>
      <c r="M464" s="324"/>
      <c r="N464" s="324"/>
      <c r="O464" s="324"/>
      <c r="P464" s="324"/>
      <c r="Q464" s="324"/>
      <c r="R464" s="324"/>
      <c r="S464" s="324"/>
      <c r="T464" s="324"/>
      <c r="U464" s="324"/>
      <c r="V464" s="324"/>
      <c r="W464" s="324"/>
      <c r="X464" s="324"/>
      <c r="Y464" s="324"/>
      <c r="Z464" s="324"/>
    </row>
    <row r="465">
      <c r="A465" s="324"/>
      <c r="B465" s="324"/>
      <c r="C465" s="324"/>
      <c r="D465" s="324"/>
      <c r="E465" s="324"/>
      <c r="F465" s="324"/>
      <c r="G465" s="324"/>
      <c r="H465" s="324"/>
      <c r="I465" s="324"/>
      <c r="J465" s="324"/>
      <c r="K465" s="324"/>
      <c r="L465" s="324"/>
      <c r="M465" s="324"/>
      <c r="N465" s="324"/>
      <c r="O465" s="324"/>
      <c r="P465" s="324"/>
      <c r="Q465" s="324"/>
      <c r="R465" s="324"/>
      <c r="S465" s="324"/>
      <c r="T465" s="324"/>
      <c r="U465" s="324"/>
      <c r="V465" s="324"/>
      <c r="W465" s="324"/>
      <c r="X465" s="324"/>
      <c r="Y465" s="324"/>
      <c r="Z465" s="324"/>
    </row>
    <row r="466">
      <c r="A466" s="324"/>
      <c r="B466" s="324"/>
      <c r="C466" s="324"/>
      <c r="D466" s="324"/>
      <c r="E466" s="324"/>
      <c r="F466" s="324"/>
      <c r="G466" s="324"/>
      <c r="H466" s="324"/>
      <c r="I466" s="324"/>
      <c r="J466" s="324"/>
      <c r="K466" s="324"/>
      <c r="L466" s="324"/>
      <c r="M466" s="324"/>
      <c r="N466" s="324"/>
      <c r="O466" s="324"/>
      <c r="P466" s="324"/>
      <c r="Q466" s="324"/>
      <c r="R466" s="324"/>
      <c r="S466" s="324"/>
      <c r="T466" s="324"/>
      <c r="U466" s="324"/>
      <c r="V466" s="324"/>
      <c r="W466" s="324"/>
      <c r="X466" s="324"/>
      <c r="Y466" s="324"/>
      <c r="Z466" s="324"/>
    </row>
    <row r="467">
      <c r="A467" s="324"/>
      <c r="B467" s="324"/>
      <c r="C467" s="324"/>
      <c r="D467" s="324"/>
      <c r="E467" s="324"/>
      <c r="F467" s="324"/>
      <c r="G467" s="324"/>
      <c r="H467" s="324"/>
      <c r="I467" s="324"/>
      <c r="J467" s="324"/>
      <c r="K467" s="324"/>
      <c r="L467" s="324"/>
      <c r="M467" s="324"/>
      <c r="N467" s="324"/>
      <c r="O467" s="324"/>
      <c r="P467" s="324"/>
      <c r="Q467" s="324"/>
      <c r="R467" s="324"/>
      <c r="S467" s="324"/>
      <c r="T467" s="324"/>
      <c r="U467" s="324"/>
      <c r="V467" s="324"/>
      <c r="W467" s="324"/>
      <c r="X467" s="324"/>
      <c r="Y467" s="324"/>
      <c r="Z467" s="324"/>
    </row>
    <row r="468">
      <c r="A468" s="324"/>
      <c r="B468" s="324"/>
      <c r="C468" s="324"/>
      <c r="D468" s="324"/>
      <c r="E468" s="324"/>
      <c r="F468" s="324"/>
      <c r="G468" s="324"/>
      <c r="H468" s="324"/>
      <c r="I468" s="324"/>
      <c r="J468" s="324"/>
      <c r="K468" s="324"/>
      <c r="L468" s="324"/>
      <c r="M468" s="324"/>
      <c r="N468" s="324"/>
      <c r="O468" s="324"/>
      <c r="P468" s="324"/>
      <c r="Q468" s="324"/>
      <c r="R468" s="324"/>
      <c r="S468" s="324"/>
      <c r="T468" s="324"/>
      <c r="U468" s="324"/>
      <c r="V468" s="324"/>
      <c r="W468" s="324"/>
      <c r="X468" s="324"/>
      <c r="Y468" s="324"/>
      <c r="Z468" s="324"/>
    </row>
    <row r="469">
      <c r="A469" s="324"/>
      <c r="B469" s="324"/>
      <c r="C469" s="324"/>
      <c r="D469" s="324"/>
      <c r="E469" s="324"/>
      <c r="F469" s="324"/>
      <c r="G469" s="324"/>
      <c r="H469" s="324"/>
      <c r="I469" s="324"/>
      <c r="J469" s="324"/>
      <c r="K469" s="324"/>
      <c r="L469" s="324"/>
      <c r="M469" s="324"/>
      <c r="N469" s="324"/>
      <c r="O469" s="324"/>
      <c r="P469" s="324"/>
      <c r="Q469" s="324"/>
      <c r="R469" s="324"/>
      <c r="S469" s="324"/>
      <c r="T469" s="324"/>
      <c r="U469" s="324"/>
      <c r="V469" s="324"/>
      <c r="W469" s="324"/>
      <c r="X469" s="324"/>
      <c r="Y469" s="324"/>
      <c r="Z469" s="324"/>
    </row>
    <row r="470">
      <c r="A470" s="324"/>
      <c r="B470" s="324"/>
      <c r="C470" s="324"/>
      <c r="D470" s="324"/>
      <c r="E470" s="324"/>
      <c r="F470" s="324"/>
      <c r="G470" s="324"/>
      <c r="H470" s="324"/>
      <c r="I470" s="324"/>
      <c r="J470" s="324"/>
      <c r="K470" s="324"/>
      <c r="L470" s="324"/>
      <c r="M470" s="324"/>
      <c r="N470" s="324"/>
      <c r="O470" s="324"/>
      <c r="P470" s="324"/>
      <c r="Q470" s="324"/>
      <c r="R470" s="324"/>
      <c r="S470" s="324"/>
      <c r="T470" s="324"/>
      <c r="U470" s="324"/>
      <c r="V470" s="324"/>
      <c r="W470" s="324"/>
      <c r="X470" s="324"/>
      <c r="Y470" s="324"/>
      <c r="Z470" s="324"/>
    </row>
    <row r="471">
      <c r="A471" s="324"/>
      <c r="B471" s="324"/>
      <c r="C471" s="324"/>
      <c r="D471" s="324"/>
      <c r="E471" s="324"/>
      <c r="F471" s="324"/>
      <c r="G471" s="324"/>
      <c r="H471" s="324"/>
      <c r="I471" s="324"/>
      <c r="J471" s="324"/>
      <c r="K471" s="324"/>
      <c r="L471" s="324"/>
      <c r="M471" s="324"/>
      <c r="N471" s="324"/>
      <c r="O471" s="324"/>
      <c r="P471" s="324"/>
      <c r="Q471" s="324"/>
      <c r="R471" s="324"/>
      <c r="S471" s="324"/>
      <c r="T471" s="324"/>
      <c r="U471" s="324"/>
      <c r="V471" s="324"/>
      <c r="W471" s="324"/>
      <c r="X471" s="324"/>
      <c r="Y471" s="324"/>
      <c r="Z471" s="324"/>
    </row>
    <row r="472">
      <c r="A472" s="324"/>
      <c r="B472" s="324"/>
      <c r="C472" s="324"/>
      <c r="D472" s="324"/>
      <c r="E472" s="324"/>
      <c r="F472" s="324"/>
      <c r="G472" s="324"/>
      <c r="H472" s="324"/>
      <c r="I472" s="324"/>
      <c r="J472" s="324"/>
      <c r="K472" s="324"/>
      <c r="L472" s="324"/>
      <c r="M472" s="324"/>
      <c r="N472" s="324"/>
      <c r="O472" s="324"/>
      <c r="P472" s="324"/>
      <c r="Q472" s="324"/>
      <c r="R472" s="324"/>
      <c r="S472" s="324"/>
      <c r="T472" s="324"/>
      <c r="U472" s="324"/>
      <c r="V472" s="324"/>
      <c r="W472" s="324"/>
      <c r="X472" s="324"/>
      <c r="Y472" s="324"/>
      <c r="Z472" s="324"/>
    </row>
    <row r="473">
      <c r="A473" s="324"/>
      <c r="B473" s="324"/>
      <c r="C473" s="324"/>
      <c r="D473" s="324"/>
      <c r="E473" s="324"/>
      <c r="F473" s="324"/>
      <c r="G473" s="324"/>
      <c r="H473" s="324"/>
      <c r="I473" s="324"/>
      <c r="J473" s="324"/>
      <c r="K473" s="324"/>
      <c r="L473" s="324"/>
      <c r="M473" s="324"/>
      <c r="N473" s="324"/>
      <c r="O473" s="324"/>
      <c r="P473" s="324"/>
      <c r="Q473" s="324"/>
      <c r="R473" s="324"/>
      <c r="S473" s="324"/>
      <c r="T473" s="324"/>
      <c r="U473" s="324"/>
      <c r="V473" s="324"/>
      <c r="W473" s="324"/>
      <c r="X473" s="324"/>
      <c r="Y473" s="324"/>
      <c r="Z473" s="324"/>
    </row>
    <row r="474">
      <c r="A474" s="324"/>
      <c r="B474" s="324"/>
      <c r="C474" s="324"/>
      <c r="D474" s="324"/>
      <c r="E474" s="324"/>
      <c r="F474" s="324"/>
      <c r="G474" s="324"/>
      <c r="H474" s="324"/>
      <c r="I474" s="324"/>
      <c r="J474" s="324"/>
      <c r="K474" s="324"/>
      <c r="L474" s="324"/>
      <c r="M474" s="324"/>
      <c r="N474" s="324"/>
      <c r="O474" s="324"/>
      <c r="P474" s="324"/>
      <c r="Q474" s="324"/>
      <c r="R474" s="324"/>
      <c r="S474" s="324"/>
      <c r="T474" s="324"/>
      <c r="U474" s="324"/>
      <c r="V474" s="324"/>
      <c r="W474" s="324"/>
      <c r="X474" s="324"/>
      <c r="Y474" s="324"/>
      <c r="Z474" s="324"/>
    </row>
    <row r="475">
      <c r="A475" s="324"/>
      <c r="B475" s="324"/>
      <c r="C475" s="324"/>
      <c r="D475" s="324"/>
      <c r="E475" s="324"/>
      <c r="F475" s="324"/>
      <c r="G475" s="324"/>
      <c r="H475" s="324"/>
      <c r="I475" s="324"/>
      <c r="J475" s="324"/>
      <c r="K475" s="324"/>
      <c r="L475" s="324"/>
      <c r="M475" s="324"/>
      <c r="N475" s="324"/>
      <c r="O475" s="324"/>
      <c r="P475" s="324"/>
      <c r="Q475" s="324"/>
      <c r="R475" s="324"/>
      <c r="S475" s="324"/>
      <c r="T475" s="324"/>
      <c r="U475" s="324"/>
      <c r="V475" s="324"/>
      <c r="W475" s="324"/>
      <c r="X475" s="324"/>
      <c r="Y475" s="324"/>
      <c r="Z475" s="324"/>
    </row>
    <row r="476">
      <c r="A476" s="324"/>
      <c r="B476" s="324"/>
      <c r="C476" s="324"/>
      <c r="D476" s="324"/>
      <c r="E476" s="324"/>
      <c r="F476" s="324"/>
      <c r="G476" s="324"/>
      <c r="H476" s="324"/>
      <c r="I476" s="324"/>
      <c r="J476" s="324"/>
      <c r="K476" s="324"/>
      <c r="L476" s="324"/>
      <c r="M476" s="324"/>
      <c r="N476" s="324"/>
      <c r="O476" s="324"/>
      <c r="P476" s="324"/>
      <c r="Q476" s="324"/>
      <c r="R476" s="324"/>
      <c r="S476" s="324"/>
      <c r="T476" s="324"/>
      <c r="U476" s="324"/>
      <c r="V476" s="324"/>
      <c r="W476" s="324"/>
      <c r="X476" s="324"/>
      <c r="Y476" s="324"/>
      <c r="Z476" s="324"/>
    </row>
    <row r="477">
      <c r="A477" s="324"/>
      <c r="B477" s="324"/>
      <c r="C477" s="324"/>
      <c r="D477" s="324"/>
      <c r="E477" s="324"/>
      <c r="F477" s="324"/>
      <c r="G477" s="324"/>
      <c r="H477" s="324"/>
      <c r="I477" s="324"/>
      <c r="J477" s="324"/>
      <c r="K477" s="324"/>
      <c r="L477" s="324"/>
      <c r="M477" s="324"/>
      <c r="N477" s="324"/>
      <c r="O477" s="324"/>
      <c r="P477" s="324"/>
      <c r="Q477" s="324"/>
      <c r="R477" s="324"/>
      <c r="S477" s="324"/>
      <c r="T477" s="324"/>
      <c r="U477" s="324"/>
      <c r="V477" s="324"/>
      <c r="W477" s="324"/>
      <c r="X477" s="324"/>
      <c r="Y477" s="324"/>
      <c r="Z477" s="324"/>
    </row>
    <row r="478">
      <c r="A478" s="324"/>
      <c r="B478" s="324"/>
      <c r="C478" s="324"/>
      <c r="D478" s="324"/>
      <c r="E478" s="324"/>
      <c r="F478" s="324"/>
      <c r="G478" s="324"/>
      <c r="H478" s="324"/>
      <c r="I478" s="324"/>
      <c r="J478" s="324"/>
      <c r="K478" s="324"/>
      <c r="L478" s="324"/>
      <c r="M478" s="324"/>
      <c r="N478" s="324"/>
      <c r="O478" s="324"/>
      <c r="P478" s="324"/>
      <c r="Q478" s="324"/>
      <c r="R478" s="324"/>
      <c r="S478" s="324"/>
      <c r="T478" s="324"/>
      <c r="U478" s="324"/>
      <c r="V478" s="324"/>
      <c r="W478" s="324"/>
      <c r="X478" s="324"/>
      <c r="Y478" s="324"/>
      <c r="Z478" s="324"/>
    </row>
    <row r="479">
      <c r="A479" s="324"/>
      <c r="B479" s="324"/>
      <c r="C479" s="324"/>
      <c r="D479" s="324"/>
      <c r="E479" s="324"/>
      <c r="F479" s="324"/>
      <c r="G479" s="324"/>
      <c r="H479" s="324"/>
      <c r="I479" s="324"/>
      <c r="J479" s="324"/>
      <c r="K479" s="324"/>
      <c r="L479" s="324"/>
      <c r="M479" s="324"/>
      <c r="N479" s="324"/>
      <c r="O479" s="324"/>
      <c r="P479" s="324"/>
      <c r="Q479" s="324"/>
      <c r="R479" s="324"/>
      <c r="S479" s="324"/>
      <c r="T479" s="324"/>
      <c r="U479" s="324"/>
      <c r="V479" s="324"/>
      <c r="W479" s="324"/>
      <c r="X479" s="324"/>
      <c r="Y479" s="324"/>
      <c r="Z479" s="324"/>
    </row>
    <row r="480">
      <c r="A480" s="324"/>
      <c r="B480" s="324"/>
      <c r="C480" s="324"/>
      <c r="D480" s="324"/>
      <c r="E480" s="324"/>
      <c r="F480" s="324"/>
      <c r="G480" s="324"/>
      <c r="H480" s="324"/>
      <c r="I480" s="324"/>
      <c r="J480" s="324"/>
      <c r="K480" s="324"/>
      <c r="L480" s="324"/>
      <c r="M480" s="324"/>
      <c r="N480" s="324"/>
      <c r="O480" s="324"/>
      <c r="P480" s="324"/>
      <c r="Q480" s="324"/>
      <c r="R480" s="324"/>
      <c r="S480" s="324"/>
      <c r="T480" s="324"/>
      <c r="U480" s="324"/>
      <c r="V480" s="324"/>
      <c r="W480" s="324"/>
      <c r="X480" s="324"/>
      <c r="Y480" s="324"/>
      <c r="Z480" s="324"/>
    </row>
    <row r="481">
      <c r="A481" s="324"/>
      <c r="B481" s="324"/>
      <c r="C481" s="324"/>
      <c r="D481" s="324"/>
      <c r="E481" s="324"/>
      <c r="F481" s="324"/>
      <c r="G481" s="324"/>
      <c r="H481" s="324"/>
      <c r="I481" s="324"/>
      <c r="J481" s="324"/>
      <c r="K481" s="324"/>
      <c r="L481" s="324"/>
      <c r="M481" s="324"/>
      <c r="N481" s="324"/>
      <c r="O481" s="324"/>
      <c r="P481" s="324"/>
      <c r="Q481" s="324"/>
      <c r="R481" s="324"/>
      <c r="S481" s="324"/>
      <c r="T481" s="324"/>
      <c r="U481" s="324"/>
      <c r="V481" s="324"/>
      <c r="W481" s="324"/>
      <c r="X481" s="324"/>
      <c r="Y481" s="324"/>
      <c r="Z481" s="324"/>
    </row>
    <row r="482">
      <c r="A482" s="324"/>
      <c r="B482" s="324"/>
      <c r="C482" s="324"/>
      <c r="D482" s="324"/>
      <c r="E482" s="324"/>
      <c r="F482" s="324"/>
      <c r="G482" s="324"/>
      <c r="H482" s="324"/>
      <c r="I482" s="324"/>
      <c r="J482" s="324"/>
      <c r="K482" s="324"/>
      <c r="L482" s="324"/>
      <c r="M482" s="324"/>
      <c r="N482" s="324"/>
      <c r="O482" s="324"/>
      <c r="P482" s="324"/>
      <c r="Q482" s="324"/>
      <c r="R482" s="324"/>
      <c r="S482" s="324"/>
      <c r="T482" s="324"/>
      <c r="U482" s="324"/>
      <c r="V482" s="324"/>
      <c r="W482" s="324"/>
      <c r="X482" s="324"/>
      <c r="Y482" s="324"/>
      <c r="Z482" s="324"/>
    </row>
    <row r="483">
      <c r="A483" s="324"/>
      <c r="B483" s="324"/>
      <c r="C483" s="324"/>
      <c r="D483" s="324"/>
      <c r="E483" s="324"/>
      <c r="F483" s="324"/>
      <c r="G483" s="324"/>
      <c r="H483" s="324"/>
      <c r="I483" s="324"/>
      <c r="J483" s="324"/>
      <c r="K483" s="324"/>
      <c r="L483" s="324"/>
      <c r="M483" s="324"/>
      <c r="N483" s="324"/>
      <c r="O483" s="324"/>
      <c r="P483" s="324"/>
      <c r="Q483" s="324"/>
      <c r="R483" s="324"/>
      <c r="S483" s="324"/>
      <c r="T483" s="324"/>
      <c r="U483" s="324"/>
      <c r="V483" s="324"/>
      <c r="W483" s="324"/>
      <c r="X483" s="324"/>
      <c r="Y483" s="324"/>
      <c r="Z483" s="324"/>
    </row>
    <row r="484">
      <c r="A484" s="324"/>
      <c r="B484" s="324"/>
      <c r="C484" s="324"/>
      <c r="D484" s="324"/>
      <c r="E484" s="324"/>
      <c r="F484" s="324"/>
      <c r="G484" s="324"/>
      <c r="H484" s="324"/>
      <c r="I484" s="324"/>
      <c r="J484" s="324"/>
      <c r="K484" s="324"/>
      <c r="L484" s="324"/>
      <c r="M484" s="324"/>
      <c r="N484" s="324"/>
      <c r="O484" s="324"/>
      <c r="P484" s="324"/>
      <c r="Q484" s="324"/>
      <c r="R484" s="324"/>
      <c r="S484" s="324"/>
      <c r="T484" s="324"/>
      <c r="U484" s="324"/>
      <c r="V484" s="324"/>
      <c r="W484" s="324"/>
      <c r="X484" s="324"/>
      <c r="Y484" s="324"/>
      <c r="Z484" s="324"/>
    </row>
    <row r="485">
      <c r="A485" s="324"/>
      <c r="B485" s="324"/>
      <c r="C485" s="324"/>
      <c r="D485" s="324"/>
      <c r="E485" s="324"/>
      <c r="F485" s="324"/>
      <c r="G485" s="324"/>
      <c r="H485" s="324"/>
      <c r="I485" s="324"/>
      <c r="J485" s="324"/>
      <c r="K485" s="324"/>
      <c r="L485" s="324"/>
      <c r="M485" s="324"/>
      <c r="N485" s="324"/>
      <c r="O485" s="324"/>
      <c r="P485" s="324"/>
      <c r="Q485" s="324"/>
      <c r="R485" s="324"/>
      <c r="S485" s="324"/>
      <c r="T485" s="324"/>
      <c r="U485" s="324"/>
      <c r="V485" s="324"/>
      <c r="W485" s="324"/>
      <c r="X485" s="324"/>
      <c r="Y485" s="324"/>
      <c r="Z485" s="324"/>
    </row>
    <row r="486">
      <c r="A486" s="324"/>
      <c r="B486" s="324"/>
      <c r="C486" s="324"/>
      <c r="D486" s="324"/>
      <c r="E486" s="324"/>
      <c r="F486" s="324"/>
      <c r="G486" s="324"/>
      <c r="H486" s="324"/>
      <c r="I486" s="324"/>
      <c r="J486" s="324"/>
      <c r="K486" s="324"/>
      <c r="L486" s="324"/>
      <c r="M486" s="324"/>
      <c r="N486" s="324"/>
      <c r="O486" s="324"/>
      <c r="P486" s="324"/>
      <c r="Q486" s="324"/>
      <c r="R486" s="324"/>
      <c r="S486" s="324"/>
      <c r="T486" s="324"/>
      <c r="U486" s="324"/>
      <c r="V486" s="324"/>
      <c r="W486" s="324"/>
      <c r="X486" s="324"/>
      <c r="Y486" s="324"/>
      <c r="Z486" s="324"/>
    </row>
    <row r="487">
      <c r="A487" s="324"/>
      <c r="B487" s="324"/>
      <c r="C487" s="324"/>
      <c r="D487" s="324"/>
      <c r="E487" s="324"/>
      <c r="F487" s="324"/>
      <c r="G487" s="324"/>
      <c r="H487" s="324"/>
      <c r="I487" s="324"/>
      <c r="J487" s="324"/>
      <c r="K487" s="324"/>
      <c r="L487" s="324"/>
      <c r="M487" s="324"/>
      <c r="N487" s="324"/>
      <c r="O487" s="324"/>
      <c r="P487" s="324"/>
      <c r="Q487" s="324"/>
      <c r="R487" s="324"/>
      <c r="S487" s="324"/>
      <c r="T487" s="324"/>
      <c r="U487" s="324"/>
      <c r="V487" s="324"/>
      <c r="W487" s="324"/>
      <c r="X487" s="324"/>
      <c r="Y487" s="324"/>
      <c r="Z487" s="324"/>
    </row>
    <row r="488">
      <c r="A488" s="324"/>
      <c r="B488" s="324"/>
      <c r="C488" s="324"/>
      <c r="D488" s="324"/>
      <c r="E488" s="324"/>
      <c r="F488" s="324"/>
      <c r="G488" s="324"/>
      <c r="H488" s="324"/>
      <c r="I488" s="324"/>
      <c r="J488" s="324"/>
      <c r="K488" s="324"/>
      <c r="L488" s="324"/>
      <c r="M488" s="324"/>
      <c r="N488" s="324"/>
      <c r="O488" s="324"/>
      <c r="P488" s="324"/>
      <c r="Q488" s="324"/>
      <c r="R488" s="324"/>
      <c r="S488" s="324"/>
      <c r="T488" s="324"/>
      <c r="U488" s="324"/>
      <c r="V488" s="324"/>
      <c r="W488" s="324"/>
      <c r="X488" s="324"/>
      <c r="Y488" s="324"/>
      <c r="Z488" s="324"/>
    </row>
    <row r="489">
      <c r="A489" s="324"/>
      <c r="B489" s="324"/>
      <c r="C489" s="324"/>
      <c r="D489" s="324"/>
      <c r="E489" s="324"/>
      <c r="F489" s="324"/>
      <c r="G489" s="324"/>
      <c r="H489" s="324"/>
      <c r="I489" s="324"/>
      <c r="J489" s="324"/>
      <c r="K489" s="324"/>
      <c r="L489" s="324"/>
      <c r="M489" s="324"/>
      <c r="N489" s="324"/>
      <c r="O489" s="324"/>
      <c r="P489" s="324"/>
      <c r="Q489" s="324"/>
      <c r="R489" s="324"/>
      <c r="S489" s="324"/>
      <c r="T489" s="324"/>
      <c r="U489" s="324"/>
      <c r="V489" s="324"/>
      <c r="W489" s="324"/>
      <c r="X489" s="324"/>
      <c r="Y489" s="324"/>
      <c r="Z489" s="324"/>
    </row>
    <row r="490">
      <c r="A490" s="324"/>
      <c r="B490" s="324"/>
      <c r="C490" s="324"/>
      <c r="D490" s="324"/>
      <c r="E490" s="324"/>
      <c r="F490" s="324"/>
      <c r="G490" s="324"/>
      <c r="H490" s="324"/>
      <c r="I490" s="324"/>
      <c r="J490" s="324"/>
      <c r="K490" s="324"/>
      <c r="L490" s="324"/>
      <c r="M490" s="324"/>
      <c r="N490" s="324"/>
      <c r="O490" s="324"/>
      <c r="P490" s="324"/>
      <c r="Q490" s="324"/>
      <c r="R490" s="324"/>
      <c r="S490" s="324"/>
      <c r="T490" s="324"/>
      <c r="U490" s="324"/>
      <c r="V490" s="324"/>
      <c r="W490" s="324"/>
      <c r="X490" s="324"/>
      <c r="Y490" s="324"/>
      <c r="Z490" s="324"/>
    </row>
    <row r="491">
      <c r="A491" s="324"/>
      <c r="B491" s="324"/>
      <c r="C491" s="324"/>
      <c r="D491" s="324"/>
      <c r="E491" s="324"/>
      <c r="F491" s="324"/>
      <c r="G491" s="324"/>
      <c r="H491" s="324"/>
      <c r="I491" s="324"/>
      <c r="J491" s="324"/>
      <c r="K491" s="324"/>
      <c r="L491" s="324"/>
      <c r="M491" s="324"/>
      <c r="N491" s="324"/>
      <c r="O491" s="324"/>
      <c r="P491" s="324"/>
      <c r="Q491" s="324"/>
      <c r="R491" s="324"/>
      <c r="S491" s="324"/>
      <c r="T491" s="324"/>
      <c r="U491" s="324"/>
      <c r="V491" s="324"/>
      <c r="W491" s="324"/>
      <c r="X491" s="324"/>
      <c r="Y491" s="324"/>
      <c r="Z491" s="324"/>
    </row>
    <row r="492">
      <c r="A492" s="324"/>
      <c r="B492" s="324"/>
      <c r="C492" s="324"/>
      <c r="D492" s="324"/>
      <c r="E492" s="324"/>
      <c r="F492" s="324"/>
      <c r="G492" s="324"/>
      <c r="H492" s="324"/>
      <c r="I492" s="324"/>
      <c r="J492" s="324"/>
      <c r="K492" s="324"/>
      <c r="L492" s="324"/>
      <c r="M492" s="324"/>
      <c r="N492" s="324"/>
      <c r="O492" s="324"/>
      <c r="P492" s="324"/>
      <c r="Q492" s="324"/>
      <c r="R492" s="324"/>
      <c r="S492" s="324"/>
      <c r="T492" s="324"/>
      <c r="U492" s="324"/>
      <c r="V492" s="324"/>
      <c r="W492" s="324"/>
      <c r="X492" s="324"/>
      <c r="Y492" s="324"/>
      <c r="Z492" s="324"/>
    </row>
    <row r="493">
      <c r="A493" s="324"/>
      <c r="B493" s="324"/>
      <c r="C493" s="324"/>
      <c r="D493" s="324"/>
      <c r="E493" s="324"/>
      <c r="F493" s="324"/>
      <c r="G493" s="324"/>
      <c r="H493" s="324"/>
      <c r="I493" s="324"/>
      <c r="J493" s="324"/>
      <c r="K493" s="324"/>
      <c r="L493" s="324"/>
      <c r="M493" s="324"/>
      <c r="N493" s="324"/>
      <c r="O493" s="324"/>
      <c r="P493" s="324"/>
      <c r="Q493" s="324"/>
      <c r="R493" s="324"/>
      <c r="S493" s="324"/>
      <c r="T493" s="324"/>
      <c r="U493" s="324"/>
      <c r="V493" s="324"/>
      <c r="W493" s="324"/>
      <c r="X493" s="324"/>
      <c r="Y493" s="324"/>
      <c r="Z493" s="324"/>
    </row>
    <row r="494">
      <c r="A494" s="324"/>
      <c r="B494" s="324"/>
      <c r="C494" s="324"/>
      <c r="D494" s="324"/>
      <c r="E494" s="324"/>
      <c r="F494" s="324"/>
      <c r="G494" s="324"/>
      <c r="H494" s="324"/>
      <c r="I494" s="324"/>
      <c r="J494" s="324"/>
      <c r="K494" s="324"/>
      <c r="L494" s="324"/>
      <c r="M494" s="324"/>
      <c r="N494" s="324"/>
      <c r="O494" s="324"/>
      <c r="P494" s="324"/>
      <c r="Q494" s="324"/>
      <c r="R494" s="324"/>
      <c r="S494" s="324"/>
      <c r="T494" s="324"/>
      <c r="U494" s="324"/>
      <c r="V494" s="324"/>
      <c r="W494" s="324"/>
      <c r="X494" s="324"/>
      <c r="Y494" s="324"/>
      <c r="Z494" s="324"/>
    </row>
    <row r="495">
      <c r="A495" s="324"/>
      <c r="B495" s="324"/>
      <c r="C495" s="324"/>
      <c r="D495" s="324"/>
      <c r="E495" s="324"/>
      <c r="F495" s="324"/>
      <c r="G495" s="324"/>
      <c r="H495" s="324"/>
      <c r="I495" s="324"/>
      <c r="J495" s="324"/>
      <c r="K495" s="324"/>
      <c r="L495" s="324"/>
      <c r="M495" s="324"/>
      <c r="N495" s="324"/>
      <c r="O495" s="324"/>
      <c r="P495" s="324"/>
      <c r="Q495" s="324"/>
      <c r="R495" s="324"/>
      <c r="S495" s="324"/>
      <c r="T495" s="324"/>
      <c r="U495" s="324"/>
      <c r="V495" s="324"/>
      <c r="W495" s="324"/>
      <c r="X495" s="324"/>
      <c r="Y495" s="324"/>
      <c r="Z495" s="324"/>
    </row>
    <row r="496">
      <c r="A496" s="324"/>
      <c r="B496" s="324"/>
      <c r="C496" s="324"/>
      <c r="D496" s="324"/>
      <c r="E496" s="324"/>
      <c r="F496" s="324"/>
      <c r="G496" s="324"/>
      <c r="H496" s="324"/>
      <c r="I496" s="324"/>
      <c r="J496" s="324"/>
      <c r="K496" s="324"/>
      <c r="L496" s="324"/>
      <c r="M496" s="324"/>
      <c r="N496" s="324"/>
      <c r="O496" s="324"/>
      <c r="P496" s="324"/>
      <c r="Q496" s="324"/>
      <c r="R496" s="324"/>
      <c r="S496" s="324"/>
      <c r="T496" s="324"/>
      <c r="U496" s="324"/>
      <c r="V496" s="324"/>
      <c r="W496" s="324"/>
      <c r="X496" s="324"/>
      <c r="Y496" s="324"/>
      <c r="Z496" s="324"/>
    </row>
    <row r="497">
      <c r="A497" s="324"/>
      <c r="B497" s="324"/>
      <c r="C497" s="324"/>
      <c r="D497" s="324"/>
      <c r="E497" s="324"/>
      <c r="F497" s="324"/>
      <c r="G497" s="324"/>
      <c r="H497" s="324"/>
      <c r="I497" s="324"/>
      <c r="J497" s="324"/>
      <c r="K497" s="324"/>
      <c r="L497" s="324"/>
      <c r="M497" s="324"/>
      <c r="N497" s="324"/>
      <c r="O497" s="324"/>
      <c r="P497" s="324"/>
      <c r="Q497" s="324"/>
      <c r="R497" s="324"/>
      <c r="S497" s="324"/>
      <c r="T497" s="324"/>
      <c r="U497" s="324"/>
      <c r="V497" s="324"/>
      <c r="W497" s="324"/>
      <c r="X497" s="324"/>
      <c r="Y497" s="324"/>
      <c r="Z497" s="324"/>
    </row>
    <row r="498">
      <c r="A498" s="324"/>
      <c r="B498" s="324"/>
      <c r="C498" s="324"/>
      <c r="D498" s="324"/>
      <c r="E498" s="324"/>
      <c r="F498" s="324"/>
      <c r="G498" s="324"/>
      <c r="H498" s="324"/>
      <c r="I498" s="324"/>
      <c r="J498" s="324"/>
      <c r="K498" s="324"/>
      <c r="L498" s="324"/>
      <c r="M498" s="324"/>
      <c r="N498" s="324"/>
      <c r="O498" s="324"/>
      <c r="P498" s="324"/>
      <c r="Q498" s="324"/>
      <c r="R498" s="324"/>
      <c r="S498" s="324"/>
      <c r="T498" s="324"/>
      <c r="U498" s="324"/>
      <c r="V498" s="324"/>
      <c r="W498" s="324"/>
      <c r="X498" s="324"/>
      <c r="Y498" s="324"/>
      <c r="Z498" s="324"/>
    </row>
    <row r="499">
      <c r="A499" s="324"/>
      <c r="B499" s="324"/>
      <c r="C499" s="324"/>
      <c r="D499" s="324"/>
      <c r="E499" s="324"/>
      <c r="F499" s="324"/>
      <c r="G499" s="324"/>
      <c r="H499" s="324"/>
      <c r="I499" s="324"/>
      <c r="J499" s="324"/>
      <c r="K499" s="324"/>
      <c r="L499" s="324"/>
      <c r="M499" s="324"/>
      <c r="N499" s="324"/>
      <c r="O499" s="324"/>
      <c r="P499" s="324"/>
      <c r="Q499" s="324"/>
      <c r="R499" s="324"/>
      <c r="S499" s="324"/>
      <c r="T499" s="324"/>
      <c r="U499" s="324"/>
      <c r="V499" s="324"/>
      <c r="W499" s="324"/>
      <c r="X499" s="324"/>
      <c r="Y499" s="324"/>
      <c r="Z499" s="324"/>
    </row>
    <row r="500">
      <c r="A500" s="324"/>
      <c r="B500" s="324"/>
      <c r="C500" s="324"/>
      <c r="D500" s="324"/>
      <c r="E500" s="324"/>
      <c r="F500" s="324"/>
      <c r="G500" s="324"/>
      <c r="H500" s="324"/>
      <c r="I500" s="324"/>
      <c r="J500" s="324"/>
      <c r="K500" s="324"/>
      <c r="L500" s="324"/>
      <c r="M500" s="324"/>
      <c r="N500" s="324"/>
      <c r="O500" s="324"/>
      <c r="P500" s="324"/>
      <c r="Q500" s="324"/>
      <c r="R500" s="324"/>
      <c r="S500" s="324"/>
      <c r="T500" s="324"/>
      <c r="U500" s="324"/>
      <c r="V500" s="324"/>
      <c r="W500" s="324"/>
      <c r="X500" s="324"/>
      <c r="Y500" s="324"/>
      <c r="Z500" s="324"/>
    </row>
    <row r="501">
      <c r="A501" s="324"/>
      <c r="B501" s="324"/>
      <c r="C501" s="324"/>
      <c r="D501" s="324"/>
      <c r="E501" s="324"/>
      <c r="F501" s="324"/>
      <c r="G501" s="324"/>
      <c r="H501" s="324"/>
      <c r="I501" s="324"/>
      <c r="J501" s="324"/>
      <c r="K501" s="324"/>
      <c r="L501" s="324"/>
      <c r="M501" s="324"/>
      <c r="N501" s="324"/>
      <c r="O501" s="324"/>
      <c r="P501" s="324"/>
      <c r="Q501" s="324"/>
      <c r="R501" s="324"/>
      <c r="S501" s="324"/>
      <c r="T501" s="324"/>
      <c r="U501" s="324"/>
      <c r="V501" s="324"/>
      <c r="W501" s="324"/>
      <c r="X501" s="324"/>
      <c r="Y501" s="324"/>
      <c r="Z501" s="324"/>
    </row>
    <row r="502">
      <c r="A502" s="324"/>
      <c r="B502" s="324"/>
      <c r="C502" s="324"/>
      <c r="D502" s="324"/>
      <c r="E502" s="324"/>
      <c r="F502" s="324"/>
      <c r="G502" s="324"/>
      <c r="H502" s="324"/>
      <c r="I502" s="324"/>
      <c r="J502" s="324"/>
      <c r="K502" s="324"/>
      <c r="L502" s="324"/>
      <c r="M502" s="324"/>
      <c r="N502" s="324"/>
      <c r="O502" s="324"/>
      <c r="P502" s="324"/>
      <c r="Q502" s="324"/>
      <c r="R502" s="324"/>
      <c r="S502" s="324"/>
      <c r="T502" s="324"/>
      <c r="U502" s="324"/>
      <c r="V502" s="324"/>
      <c r="W502" s="324"/>
      <c r="X502" s="324"/>
      <c r="Y502" s="324"/>
      <c r="Z502" s="324"/>
    </row>
    <row r="503">
      <c r="A503" s="324"/>
      <c r="B503" s="324"/>
      <c r="C503" s="324"/>
      <c r="D503" s="324"/>
      <c r="E503" s="324"/>
      <c r="F503" s="324"/>
      <c r="G503" s="324"/>
      <c r="H503" s="324"/>
      <c r="I503" s="324"/>
      <c r="J503" s="324"/>
      <c r="K503" s="324"/>
      <c r="L503" s="324"/>
      <c r="M503" s="324"/>
      <c r="N503" s="324"/>
      <c r="O503" s="324"/>
      <c r="P503" s="324"/>
      <c r="Q503" s="324"/>
      <c r="R503" s="324"/>
      <c r="S503" s="324"/>
      <c r="T503" s="324"/>
      <c r="U503" s="324"/>
      <c r="V503" s="324"/>
      <c r="W503" s="324"/>
      <c r="X503" s="324"/>
      <c r="Y503" s="324"/>
      <c r="Z503" s="324"/>
    </row>
    <row r="504">
      <c r="A504" s="324"/>
      <c r="B504" s="324"/>
      <c r="C504" s="324"/>
      <c r="D504" s="324"/>
      <c r="E504" s="324"/>
      <c r="F504" s="324"/>
      <c r="G504" s="324"/>
      <c r="H504" s="324"/>
      <c r="I504" s="324"/>
      <c r="J504" s="324"/>
      <c r="K504" s="324"/>
      <c r="L504" s="324"/>
      <c r="M504" s="324"/>
      <c r="N504" s="324"/>
      <c r="O504" s="324"/>
      <c r="P504" s="324"/>
      <c r="Q504" s="324"/>
      <c r="R504" s="324"/>
      <c r="S504" s="324"/>
      <c r="T504" s="324"/>
      <c r="U504" s="324"/>
      <c r="V504" s="324"/>
      <c r="W504" s="324"/>
      <c r="X504" s="324"/>
      <c r="Y504" s="324"/>
      <c r="Z504" s="324"/>
    </row>
    <row r="505">
      <c r="A505" s="324"/>
      <c r="B505" s="324"/>
      <c r="C505" s="324"/>
      <c r="D505" s="324"/>
      <c r="E505" s="324"/>
      <c r="F505" s="324"/>
      <c r="G505" s="324"/>
      <c r="H505" s="324"/>
      <c r="I505" s="324"/>
      <c r="J505" s="324"/>
      <c r="K505" s="324"/>
      <c r="L505" s="324"/>
      <c r="M505" s="324"/>
      <c r="N505" s="324"/>
      <c r="O505" s="324"/>
      <c r="P505" s="324"/>
      <c r="Q505" s="324"/>
      <c r="R505" s="324"/>
      <c r="S505" s="324"/>
      <c r="T505" s="324"/>
      <c r="U505" s="324"/>
      <c r="V505" s="324"/>
      <c r="W505" s="324"/>
      <c r="X505" s="324"/>
      <c r="Y505" s="324"/>
      <c r="Z505" s="324"/>
    </row>
    <row r="506">
      <c r="A506" s="324"/>
      <c r="B506" s="324"/>
      <c r="C506" s="324"/>
      <c r="D506" s="324"/>
      <c r="E506" s="324"/>
      <c r="F506" s="324"/>
      <c r="G506" s="324"/>
      <c r="H506" s="324"/>
      <c r="I506" s="324"/>
      <c r="J506" s="324"/>
      <c r="K506" s="324"/>
      <c r="L506" s="324"/>
      <c r="M506" s="324"/>
      <c r="N506" s="324"/>
      <c r="O506" s="324"/>
      <c r="P506" s="324"/>
      <c r="Q506" s="324"/>
      <c r="R506" s="324"/>
      <c r="S506" s="324"/>
      <c r="T506" s="324"/>
      <c r="U506" s="324"/>
      <c r="V506" s="324"/>
      <c r="W506" s="324"/>
      <c r="X506" s="324"/>
      <c r="Y506" s="324"/>
      <c r="Z506" s="324"/>
    </row>
    <row r="507">
      <c r="A507" s="324"/>
      <c r="B507" s="324"/>
      <c r="C507" s="324"/>
      <c r="D507" s="324"/>
      <c r="E507" s="324"/>
      <c r="F507" s="324"/>
      <c r="G507" s="324"/>
      <c r="H507" s="324"/>
      <c r="I507" s="324"/>
      <c r="J507" s="324"/>
      <c r="K507" s="324"/>
      <c r="L507" s="324"/>
      <c r="M507" s="324"/>
      <c r="N507" s="324"/>
      <c r="O507" s="324"/>
      <c r="P507" s="324"/>
      <c r="Q507" s="324"/>
      <c r="R507" s="324"/>
      <c r="S507" s="324"/>
      <c r="T507" s="324"/>
      <c r="U507" s="324"/>
      <c r="V507" s="324"/>
      <c r="W507" s="324"/>
      <c r="X507" s="324"/>
      <c r="Y507" s="324"/>
      <c r="Z507" s="324"/>
    </row>
    <row r="508">
      <c r="A508" s="324"/>
      <c r="B508" s="324"/>
      <c r="C508" s="324"/>
      <c r="D508" s="324"/>
      <c r="E508" s="324"/>
      <c r="F508" s="324"/>
      <c r="G508" s="324"/>
      <c r="H508" s="324"/>
      <c r="I508" s="324"/>
      <c r="J508" s="324"/>
      <c r="K508" s="324"/>
      <c r="L508" s="324"/>
      <c r="M508" s="324"/>
      <c r="N508" s="324"/>
      <c r="O508" s="324"/>
      <c r="P508" s="324"/>
      <c r="Q508" s="324"/>
      <c r="R508" s="324"/>
      <c r="S508" s="324"/>
      <c r="T508" s="324"/>
      <c r="U508" s="324"/>
      <c r="V508" s="324"/>
      <c r="W508" s="324"/>
      <c r="X508" s="324"/>
      <c r="Y508" s="324"/>
      <c r="Z508" s="324"/>
    </row>
    <row r="509">
      <c r="A509" s="324"/>
      <c r="B509" s="324"/>
      <c r="C509" s="324"/>
      <c r="D509" s="324"/>
      <c r="E509" s="324"/>
      <c r="F509" s="324"/>
      <c r="G509" s="324"/>
      <c r="H509" s="324"/>
      <c r="I509" s="324"/>
      <c r="J509" s="324"/>
      <c r="K509" s="324"/>
      <c r="L509" s="324"/>
      <c r="M509" s="324"/>
      <c r="N509" s="324"/>
      <c r="O509" s="324"/>
      <c r="P509" s="324"/>
      <c r="Q509" s="324"/>
      <c r="R509" s="324"/>
      <c r="S509" s="324"/>
      <c r="T509" s="324"/>
      <c r="U509" s="324"/>
      <c r="V509" s="324"/>
      <c r="W509" s="324"/>
      <c r="X509" s="324"/>
      <c r="Y509" s="324"/>
      <c r="Z509" s="324"/>
    </row>
    <row r="510">
      <c r="A510" s="324"/>
      <c r="B510" s="324"/>
      <c r="C510" s="324"/>
      <c r="D510" s="324"/>
      <c r="E510" s="324"/>
      <c r="F510" s="324"/>
      <c r="G510" s="324"/>
      <c r="H510" s="324"/>
      <c r="I510" s="324"/>
      <c r="J510" s="324"/>
      <c r="K510" s="324"/>
      <c r="L510" s="324"/>
      <c r="M510" s="324"/>
      <c r="N510" s="324"/>
      <c r="O510" s="324"/>
      <c r="P510" s="324"/>
      <c r="Q510" s="324"/>
      <c r="R510" s="324"/>
      <c r="S510" s="324"/>
      <c r="T510" s="324"/>
      <c r="U510" s="324"/>
      <c r="V510" s="324"/>
      <c r="W510" s="324"/>
      <c r="X510" s="324"/>
      <c r="Y510" s="324"/>
      <c r="Z510" s="324"/>
    </row>
    <row r="511">
      <c r="A511" s="324"/>
      <c r="B511" s="324"/>
      <c r="C511" s="324"/>
      <c r="D511" s="324"/>
      <c r="E511" s="324"/>
      <c r="F511" s="324"/>
      <c r="G511" s="324"/>
      <c r="H511" s="324"/>
      <c r="I511" s="324"/>
      <c r="J511" s="324"/>
      <c r="K511" s="324"/>
      <c r="L511" s="324"/>
      <c r="M511" s="324"/>
      <c r="N511" s="324"/>
      <c r="O511" s="324"/>
      <c r="P511" s="324"/>
      <c r="Q511" s="324"/>
      <c r="R511" s="324"/>
      <c r="S511" s="324"/>
      <c r="T511" s="324"/>
      <c r="U511" s="324"/>
      <c r="V511" s="324"/>
      <c r="W511" s="324"/>
      <c r="X511" s="324"/>
      <c r="Y511" s="324"/>
      <c r="Z511" s="324"/>
    </row>
    <row r="512">
      <c r="A512" s="324"/>
      <c r="B512" s="324"/>
      <c r="C512" s="324"/>
      <c r="D512" s="324"/>
      <c r="E512" s="324"/>
      <c r="F512" s="324"/>
      <c r="G512" s="324"/>
      <c r="H512" s="324"/>
      <c r="I512" s="324"/>
      <c r="J512" s="324"/>
      <c r="K512" s="324"/>
      <c r="L512" s="324"/>
      <c r="M512" s="324"/>
      <c r="N512" s="324"/>
      <c r="O512" s="324"/>
      <c r="P512" s="324"/>
      <c r="Q512" s="324"/>
      <c r="R512" s="324"/>
      <c r="S512" s="324"/>
      <c r="T512" s="324"/>
      <c r="U512" s="324"/>
      <c r="V512" s="324"/>
      <c r="W512" s="324"/>
      <c r="X512" s="324"/>
      <c r="Y512" s="324"/>
      <c r="Z512" s="324"/>
    </row>
    <row r="513">
      <c r="A513" s="324"/>
      <c r="B513" s="324"/>
      <c r="C513" s="324"/>
      <c r="D513" s="324"/>
      <c r="E513" s="324"/>
      <c r="F513" s="324"/>
      <c r="G513" s="324"/>
      <c r="H513" s="324"/>
      <c r="I513" s="324"/>
      <c r="J513" s="324"/>
      <c r="K513" s="324"/>
      <c r="L513" s="324"/>
      <c r="M513" s="324"/>
      <c r="N513" s="324"/>
      <c r="O513" s="324"/>
      <c r="P513" s="324"/>
      <c r="Q513" s="324"/>
      <c r="R513" s="324"/>
      <c r="S513" s="324"/>
      <c r="T513" s="324"/>
      <c r="U513" s="324"/>
      <c r="V513" s="324"/>
      <c r="W513" s="324"/>
      <c r="X513" s="324"/>
      <c r="Y513" s="324"/>
      <c r="Z513" s="324"/>
    </row>
    <row r="514">
      <c r="A514" s="324"/>
      <c r="B514" s="324"/>
      <c r="C514" s="324"/>
      <c r="D514" s="324"/>
      <c r="E514" s="324"/>
      <c r="F514" s="324"/>
      <c r="G514" s="324"/>
      <c r="H514" s="324"/>
      <c r="I514" s="324"/>
      <c r="J514" s="324"/>
      <c r="K514" s="324"/>
      <c r="L514" s="324"/>
      <c r="M514" s="324"/>
      <c r="N514" s="324"/>
      <c r="O514" s="324"/>
      <c r="P514" s="324"/>
      <c r="Q514" s="324"/>
      <c r="R514" s="324"/>
      <c r="S514" s="324"/>
      <c r="T514" s="324"/>
      <c r="U514" s="324"/>
      <c r="V514" s="324"/>
      <c r="W514" s="324"/>
      <c r="X514" s="324"/>
      <c r="Y514" s="324"/>
      <c r="Z514" s="324"/>
    </row>
    <row r="515">
      <c r="A515" s="324"/>
      <c r="B515" s="324"/>
      <c r="C515" s="324"/>
      <c r="D515" s="324"/>
      <c r="E515" s="324"/>
      <c r="F515" s="324"/>
      <c r="G515" s="324"/>
      <c r="H515" s="324"/>
      <c r="I515" s="324"/>
      <c r="J515" s="324"/>
      <c r="K515" s="324"/>
      <c r="L515" s="324"/>
      <c r="M515" s="324"/>
      <c r="N515" s="324"/>
      <c r="O515" s="324"/>
      <c r="P515" s="324"/>
      <c r="Q515" s="324"/>
      <c r="R515" s="324"/>
      <c r="S515" s="324"/>
      <c r="T515" s="324"/>
      <c r="U515" s="324"/>
      <c r="V515" s="324"/>
      <c r="W515" s="324"/>
      <c r="X515" s="324"/>
      <c r="Y515" s="324"/>
      <c r="Z515" s="324"/>
    </row>
    <row r="516">
      <c r="A516" s="324"/>
      <c r="B516" s="324"/>
      <c r="C516" s="324"/>
      <c r="D516" s="324"/>
      <c r="E516" s="324"/>
      <c r="F516" s="324"/>
      <c r="G516" s="324"/>
      <c r="H516" s="324"/>
      <c r="I516" s="324"/>
      <c r="J516" s="324"/>
      <c r="K516" s="324"/>
      <c r="L516" s="324"/>
      <c r="M516" s="324"/>
      <c r="N516" s="324"/>
      <c r="O516" s="324"/>
      <c r="P516" s="324"/>
      <c r="Q516" s="324"/>
      <c r="R516" s="324"/>
      <c r="S516" s="324"/>
      <c r="T516" s="324"/>
      <c r="U516" s="324"/>
      <c r="V516" s="324"/>
      <c r="W516" s="324"/>
      <c r="X516" s="324"/>
      <c r="Y516" s="324"/>
      <c r="Z516" s="324"/>
    </row>
    <row r="517">
      <c r="A517" s="324"/>
      <c r="B517" s="324"/>
      <c r="C517" s="324"/>
      <c r="D517" s="324"/>
      <c r="E517" s="324"/>
      <c r="F517" s="324"/>
      <c r="G517" s="324"/>
      <c r="H517" s="324"/>
      <c r="I517" s="324"/>
      <c r="J517" s="324"/>
      <c r="K517" s="324"/>
      <c r="L517" s="324"/>
      <c r="M517" s="324"/>
      <c r="N517" s="324"/>
      <c r="O517" s="324"/>
      <c r="P517" s="324"/>
      <c r="Q517" s="324"/>
      <c r="R517" s="324"/>
      <c r="S517" s="324"/>
      <c r="T517" s="324"/>
      <c r="U517" s="324"/>
      <c r="V517" s="324"/>
      <c r="W517" s="324"/>
      <c r="X517" s="324"/>
      <c r="Y517" s="324"/>
      <c r="Z517" s="324"/>
    </row>
    <row r="518">
      <c r="A518" s="324"/>
      <c r="B518" s="324"/>
      <c r="C518" s="324"/>
      <c r="D518" s="324"/>
      <c r="E518" s="324"/>
      <c r="F518" s="324"/>
      <c r="G518" s="324"/>
      <c r="H518" s="324"/>
      <c r="I518" s="324"/>
      <c r="J518" s="324"/>
      <c r="K518" s="324"/>
      <c r="L518" s="324"/>
      <c r="M518" s="324"/>
      <c r="N518" s="324"/>
      <c r="O518" s="324"/>
      <c r="P518" s="324"/>
      <c r="Q518" s="324"/>
      <c r="R518" s="324"/>
      <c r="S518" s="324"/>
      <c r="T518" s="324"/>
      <c r="U518" s="324"/>
      <c r="V518" s="324"/>
      <c r="W518" s="324"/>
      <c r="X518" s="324"/>
      <c r="Y518" s="324"/>
      <c r="Z518" s="324"/>
    </row>
    <row r="519">
      <c r="A519" s="324"/>
      <c r="B519" s="324"/>
      <c r="C519" s="324"/>
      <c r="D519" s="324"/>
      <c r="E519" s="324"/>
      <c r="F519" s="324"/>
      <c r="G519" s="324"/>
      <c r="H519" s="324"/>
      <c r="I519" s="324"/>
      <c r="J519" s="324"/>
      <c r="K519" s="324"/>
      <c r="L519" s="324"/>
      <c r="M519" s="324"/>
      <c r="N519" s="324"/>
      <c r="O519" s="324"/>
      <c r="P519" s="324"/>
      <c r="Q519" s="324"/>
      <c r="R519" s="324"/>
      <c r="S519" s="324"/>
      <c r="T519" s="324"/>
      <c r="U519" s="324"/>
      <c r="V519" s="324"/>
      <c r="W519" s="324"/>
      <c r="X519" s="324"/>
      <c r="Y519" s="324"/>
      <c r="Z519" s="324"/>
    </row>
    <row r="520">
      <c r="A520" s="324"/>
      <c r="B520" s="324"/>
      <c r="C520" s="324"/>
      <c r="D520" s="324"/>
      <c r="E520" s="324"/>
      <c r="F520" s="324"/>
      <c r="G520" s="324"/>
      <c r="H520" s="324"/>
      <c r="I520" s="324"/>
      <c r="J520" s="324"/>
      <c r="K520" s="324"/>
      <c r="L520" s="324"/>
      <c r="M520" s="324"/>
      <c r="N520" s="324"/>
      <c r="O520" s="324"/>
      <c r="P520" s="324"/>
      <c r="Q520" s="324"/>
      <c r="R520" s="324"/>
      <c r="S520" s="324"/>
      <c r="T520" s="324"/>
      <c r="U520" s="324"/>
      <c r="V520" s="324"/>
      <c r="W520" s="324"/>
      <c r="X520" s="324"/>
      <c r="Y520" s="324"/>
      <c r="Z520" s="324"/>
    </row>
    <row r="521">
      <c r="A521" s="324"/>
      <c r="B521" s="324"/>
      <c r="C521" s="324"/>
      <c r="D521" s="324"/>
      <c r="E521" s="324"/>
      <c r="F521" s="324"/>
      <c r="G521" s="324"/>
      <c r="H521" s="324"/>
      <c r="I521" s="324"/>
      <c r="J521" s="324"/>
      <c r="K521" s="324"/>
      <c r="L521" s="324"/>
      <c r="M521" s="324"/>
      <c r="N521" s="324"/>
      <c r="O521" s="324"/>
      <c r="P521" s="324"/>
      <c r="Q521" s="324"/>
      <c r="R521" s="324"/>
      <c r="S521" s="324"/>
      <c r="T521" s="324"/>
      <c r="U521" s="324"/>
      <c r="V521" s="324"/>
      <c r="W521" s="324"/>
      <c r="X521" s="324"/>
      <c r="Y521" s="324"/>
      <c r="Z521" s="324"/>
    </row>
    <row r="522">
      <c r="A522" s="324"/>
      <c r="B522" s="324"/>
      <c r="C522" s="324"/>
      <c r="D522" s="324"/>
      <c r="E522" s="324"/>
      <c r="F522" s="324"/>
      <c r="G522" s="324"/>
      <c r="H522" s="324"/>
      <c r="I522" s="324"/>
      <c r="J522" s="324"/>
      <c r="K522" s="324"/>
      <c r="L522" s="324"/>
      <c r="M522" s="324"/>
      <c r="N522" s="324"/>
      <c r="O522" s="324"/>
      <c r="P522" s="324"/>
      <c r="Q522" s="324"/>
      <c r="R522" s="324"/>
      <c r="S522" s="324"/>
      <c r="T522" s="324"/>
      <c r="U522" s="324"/>
      <c r="V522" s="324"/>
      <c r="W522" s="324"/>
      <c r="X522" s="324"/>
      <c r="Y522" s="324"/>
      <c r="Z522" s="324"/>
    </row>
    <row r="523">
      <c r="A523" s="324"/>
      <c r="B523" s="324"/>
      <c r="C523" s="324"/>
      <c r="D523" s="324"/>
      <c r="E523" s="324"/>
      <c r="F523" s="324"/>
      <c r="G523" s="324"/>
      <c r="H523" s="324"/>
      <c r="I523" s="324"/>
      <c r="J523" s="324"/>
      <c r="K523" s="324"/>
      <c r="L523" s="324"/>
      <c r="M523" s="324"/>
      <c r="N523" s="324"/>
      <c r="O523" s="324"/>
      <c r="P523" s="324"/>
      <c r="Q523" s="324"/>
      <c r="R523" s="324"/>
      <c r="S523" s="324"/>
      <c r="T523" s="324"/>
      <c r="U523" s="324"/>
      <c r="V523" s="324"/>
      <c r="W523" s="324"/>
      <c r="X523" s="324"/>
      <c r="Y523" s="324"/>
      <c r="Z523" s="324"/>
    </row>
    <row r="524">
      <c r="A524" s="324"/>
      <c r="B524" s="324"/>
      <c r="C524" s="324"/>
      <c r="D524" s="324"/>
      <c r="E524" s="324"/>
      <c r="F524" s="324"/>
      <c r="G524" s="324"/>
      <c r="H524" s="324"/>
      <c r="I524" s="324"/>
      <c r="J524" s="324"/>
      <c r="K524" s="324"/>
      <c r="L524" s="324"/>
      <c r="M524" s="324"/>
      <c r="N524" s="324"/>
      <c r="O524" s="324"/>
      <c r="P524" s="324"/>
      <c r="Q524" s="324"/>
      <c r="R524" s="324"/>
      <c r="S524" s="324"/>
      <c r="T524" s="324"/>
      <c r="U524" s="324"/>
      <c r="V524" s="324"/>
      <c r="W524" s="324"/>
      <c r="X524" s="324"/>
      <c r="Y524" s="324"/>
      <c r="Z524" s="324"/>
    </row>
    <row r="525">
      <c r="A525" s="324"/>
      <c r="B525" s="324"/>
      <c r="C525" s="324"/>
      <c r="D525" s="324"/>
      <c r="E525" s="324"/>
      <c r="F525" s="324"/>
      <c r="G525" s="324"/>
      <c r="H525" s="324"/>
      <c r="I525" s="324"/>
      <c r="J525" s="324"/>
      <c r="K525" s="324"/>
      <c r="L525" s="324"/>
      <c r="M525" s="324"/>
      <c r="N525" s="324"/>
      <c r="O525" s="324"/>
      <c r="P525" s="324"/>
      <c r="Q525" s="324"/>
      <c r="R525" s="324"/>
      <c r="S525" s="324"/>
      <c r="T525" s="324"/>
      <c r="U525" s="324"/>
      <c r="V525" s="324"/>
      <c r="W525" s="324"/>
      <c r="X525" s="324"/>
      <c r="Y525" s="324"/>
      <c r="Z525" s="324"/>
    </row>
    <row r="526">
      <c r="A526" s="324"/>
      <c r="B526" s="324"/>
      <c r="C526" s="324"/>
      <c r="D526" s="324"/>
      <c r="E526" s="324"/>
      <c r="F526" s="324"/>
      <c r="G526" s="324"/>
      <c r="H526" s="324"/>
      <c r="I526" s="324"/>
      <c r="J526" s="324"/>
      <c r="K526" s="324"/>
      <c r="L526" s="324"/>
      <c r="M526" s="324"/>
      <c r="N526" s="324"/>
      <c r="O526" s="324"/>
      <c r="P526" s="324"/>
      <c r="Q526" s="324"/>
      <c r="R526" s="324"/>
      <c r="S526" s="324"/>
      <c r="T526" s="324"/>
      <c r="U526" s="324"/>
      <c r="V526" s="324"/>
      <c r="W526" s="324"/>
      <c r="X526" s="324"/>
      <c r="Y526" s="324"/>
      <c r="Z526" s="324"/>
    </row>
    <row r="527">
      <c r="A527" s="324"/>
      <c r="B527" s="324"/>
      <c r="C527" s="324"/>
      <c r="D527" s="324"/>
      <c r="E527" s="324"/>
      <c r="F527" s="324"/>
      <c r="G527" s="324"/>
      <c r="H527" s="324"/>
      <c r="I527" s="324"/>
      <c r="J527" s="324"/>
      <c r="K527" s="324"/>
      <c r="L527" s="324"/>
      <c r="M527" s="324"/>
      <c r="N527" s="324"/>
      <c r="O527" s="324"/>
      <c r="P527" s="324"/>
      <c r="Q527" s="324"/>
      <c r="R527" s="324"/>
      <c r="S527" s="324"/>
      <c r="T527" s="324"/>
      <c r="U527" s="324"/>
      <c r="V527" s="324"/>
      <c r="W527" s="324"/>
      <c r="X527" s="324"/>
      <c r="Y527" s="324"/>
      <c r="Z527" s="324"/>
    </row>
    <row r="528">
      <c r="A528" s="324"/>
      <c r="B528" s="324"/>
      <c r="C528" s="324"/>
      <c r="D528" s="324"/>
      <c r="E528" s="324"/>
      <c r="F528" s="324"/>
      <c r="G528" s="324"/>
      <c r="H528" s="324"/>
      <c r="I528" s="324"/>
      <c r="J528" s="324"/>
      <c r="K528" s="324"/>
      <c r="L528" s="324"/>
      <c r="M528" s="324"/>
      <c r="N528" s="324"/>
      <c r="O528" s="324"/>
      <c r="P528" s="324"/>
      <c r="Q528" s="324"/>
      <c r="R528" s="324"/>
      <c r="S528" s="324"/>
      <c r="T528" s="324"/>
      <c r="U528" s="324"/>
      <c r="V528" s="324"/>
      <c r="W528" s="324"/>
      <c r="X528" s="324"/>
      <c r="Y528" s="324"/>
      <c r="Z528" s="324"/>
    </row>
    <row r="529">
      <c r="A529" s="324"/>
      <c r="B529" s="324"/>
      <c r="C529" s="324"/>
      <c r="D529" s="324"/>
      <c r="E529" s="324"/>
      <c r="F529" s="324"/>
      <c r="G529" s="324"/>
      <c r="H529" s="324"/>
      <c r="I529" s="324"/>
      <c r="J529" s="324"/>
      <c r="K529" s="324"/>
      <c r="L529" s="324"/>
      <c r="M529" s="324"/>
      <c r="N529" s="324"/>
      <c r="O529" s="324"/>
      <c r="P529" s="324"/>
      <c r="Q529" s="324"/>
      <c r="R529" s="324"/>
      <c r="S529" s="324"/>
      <c r="T529" s="324"/>
      <c r="U529" s="324"/>
      <c r="V529" s="324"/>
      <c r="W529" s="324"/>
      <c r="X529" s="324"/>
      <c r="Y529" s="324"/>
      <c r="Z529" s="324"/>
    </row>
    <row r="530">
      <c r="A530" s="324"/>
      <c r="B530" s="324"/>
      <c r="C530" s="324"/>
      <c r="D530" s="324"/>
      <c r="E530" s="324"/>
      <c r="F530" s="324"/>
      <c r="G530" s="324"/>
      <c r="H530" s="324"/>
      <c r="I530" s="324"/>
      <c r="J530" s="324"/>
      <c r="K530" s="324"/>
      <c r="L530" s="324"/>
      <c r="M530" s="324"/>
      <c r="N530" s="324"/>
      <c r="O530" s="324"/>
      <c r="P530" s="324"/>
      <c r="Q530" s="324"/>
      <c r="R530" s="324"/>
      <c r="S530" s="324"/>
      <c r="T530" s="324"/>
      <c r="U530" s="324"/>
      <c r="V530" s="324"/>
      <c r="W530" s="324"/>
      <c r="X530" s="324"/>
      <c r="Y530" s="324"/>
      <c r="Z530" s="324"/>
    </row>
    <row r="531">
      <c r="A531" s="324"/>
      <c r="B531" s="324"/>
      <c r="C531" s="324"/>
      <c r="D531" s="324"/>
      <c r="E531" s="324"/>
      <c r="F531" s="324"/>
      <c r="G531" s="324"/>
      <c r="H531" s="324"/>
      <c r="I531" s="324"/>
      <c r="J531" s="324"/>
      <c r="K531" s="324"/>
      <c r="L531" s="324"/>
      <c r="M531" s="324"/>
      <c r="N531" s="324"/>
      <c r="O531" s="324"/>
      <c r="P531" s="324"/>
      <c r="Q531" s="324"/>
      <c r="R531" s="324"/>
      <c r="S531" s="324"/>
      <c r="T531" s="324"/>
      <c r="U531" s="324"/>
      <c r="V531" s="324"/>
      <c r="W531" s="324"/>
      <c r="X531" s="324"/>
      <c r="Y531" s="324"/>
      <c r="Z531" s="324"/>
    </row>
    <row r="532">
      <c r="A532" s="324"/>
      <c r="B532" s="324"/>
      <c r="C532" s="324"/>
      <c r="D532" s="324"/>
      <c r="E532" s="324"/>
      <c r="F532" s="324"/>
      <c r="G532" s="324"/>
      <c r="H532" s="324"/>
      <c r="I532" s="324"/>
      <c r="J532" s="324"/>
      <c r="K532" s="324"/>
      <c r="L532" s="324"/>
      <c r="M532" s="324"/>
      <c r="N532" s="324"/>
      <c r="O532" s="324"/>
      <c r="P532" s="324"/>
      <c r="Q532" s="324"/>
      <c r="R532" s="324"/>
      <c r="S532" s="324"/>
      <c r="T532" s="324"/>
      <c r="U532" s="324"/>
      <c r="V532" s="324"/>
      <c r="W532" s="324"/>
      <c r="X532" s="324"/>
      <c r="Y532" s="324"/>
      <c r="Z532" s="324"/>
    </row>
    <row r="533">
      <c r="A533" s="324"/>
      <c r="B533" s="324"/>
      <c r="C533" s="324"/>
      <c r="D533" s="324"/>
      <c r="E533" s="324"/>
      <c r="F533" s="324"/>
      <c r="G533" s="324"/>
      <c r="H533" s="324"/>
      <c r="I533" s="324"/>
      <c r="J533" s="324"/>
      <c r="K533" s="324"/>
      <c r="L533" s="324"/>
      <c r="M533" s="324"/>
      <c r="N533" s="324"/>
      <c r="O533" s="324"/>
      <c r="P533" s="324"/>
      <c r="Q533" s="324"/>
      <c r="R533" s="324"/>
      <c r="S533" s="324"/>
      <c r="T533" s="324"/>
      <c r="U533" s="324"/>
      <c r="V533" s="324"/>
      <c r="W533" s="324"/>
      <c r="X533" s="324"/>
      <c r="Y533" s="324"/>
      <c r="Z533" s="324"/>
    </row>
    <row r="534">
      <c r="A534" s="324"/>
      <c r="B534" s="324"/>
      <c r="C534" s="324"/>
      <c r="D534" s="324"/>
      <c r="E534" s="324"/>
      <c r="F534" s="324"/>
      <c r="G534" s="324"/>
      <c r="H534" s="324"/>
      <c r="I534" s="324"/>
      <c r="J534" s="324"/>
      <c r="K534" s="324"/>
      <c r="L534" s="324"/>
      <c r="M534" s="324"/>
      <c r="N534" s="324"/>
      <c r="O534" s="324"/>
      <c r="P534" s="324"/>
      <c r="Q534" s="324"/>
      <c r="R534" s="324"/>
      <c r="S534" s="324"/>
      <c r="T534" s="324"/>
      <c r="U534" s="324"/>
      <c r="V534" s="324"/>
      <c r="W534" s="324"/>
      <c r="X534" s="324"/>
      <c r="Y534" s="324"/>
      <c r="Z534" s="324"/>
    </row>
    <row r="535">
      <c r="A535" s="324"/>
      <c r="B535" s="324"/>
      <c r="C535" s="324"/>
      <c r="D535" s="324"/>
      <c r="E535" s="324"/>
      <c r="F535" s="324"/>
      <c r="G535" s="324"/>
      <c r="H535" s="324"/>
      <c r="I535" s="324"/>
      <c r="J535" s="324"/>
      <c r="K535" s="324"/>
      <c r="L535" s="324"/>
      <c r="M535" s="324"/>
      <c r="N535" s="324"/>
      <c r="O535" s="324"/>
      <c r="P535" s="324"/>
      <c r="Q535" s="324"/>
      <c r="R535" s="324"/>
      <c r="S535" s="324"/>
      <c r="T535" s="324"/>
      <c r="U535" s="324"/>
      <c r="V535" s="324"/>
      <c r="W535" s="324"/>
      <c r="X535" s="324"/>
      <c r="Y535" s="324"/>
      <c r="Z535" s="324"/>
    </row>
    <row r="536">
      <c r="A536" s="324"/>
      <c r="B536" s="324"/>
      <c r="C536" s="324"/>
      <c r="D536" s="324"/>
      <c r="E536" s="324"/>
      <c r="F536" s="324"/>
      <c r="G536" s="324"/>
      <c r="H536" s="324"/>
      <c r="I536" s="324"/>
      <c r="J536" s="324"/>
      <c r="K536" s="324"/>
      <c r="L536" s="324"/>
      <c r="M536" s="324"/>
      <c r="N536" s="324"/>
      <c r="O536" s="324"/>
      <c r="P536" s="324"/>
      <c r="Q536" s="324"/>
      <c r="R536" s="324"/>
      <c r="S536" s="324"/>
      <c r="T536" s="324"/>
      <c r="U536" s="324"/>
      <c r="V536" s="324"/>
      <c r="W536" s="324"/>
      <c r="X536" s="324"/>
      <c r="Y536" s="324"/>
      <c r="Z536" s="324"/>
    </row>
    <row r="537">
      <c r="A537" s="324"/>
      <c r="B537" s="324"/>
      <c r="C537" s="324"/>
      <c r="D537" s="324"/>
      <c r="E537" s="324"/>
      <c r="F537" s="324"/>
      <c r="G537" s="324"/>
      <c r="H537" s="324"/>
      <c r="I537" s="324"/>
      <c r="J537" s="324"/>
      <c r="K537" s="324"/>
      <c r="L537" s="324"/>
      <c r="M537" s="324"/>
      <c r="N537" s="324"/>
      <c r="O537" s="324"/>
      <c r="P537" s="324"/>
      <c r="Q537" s="324"/>
      <c r="R537" s="324"/>
      <c r="S537" s="324"/>
      <c r="T537" s="324"/>
      <c r="U537" s="324"/>
      <c r="V537" s="324"/>
      <c r="W537" s="324"/>
      <c r="X537" s="324"/>
      <c r="Y537" s="324"/>
      <c r="Z537" s="324"/>
    </row>
    <row r="538">
      <c r="A538" s="324"/>
      <c r="B538" s="324"/>
      <c r="C538" s="324"/>
      <c r="D538" s="324"/>
      <c r="E538" s="324"/>
      <c r="F538" s="324"/>
      <c r="G538" s="324"/>
      <c r="H538" s="324"/>
      <c r="I538" s="324"/>
      <c r="J538" s="324"/>
      <c r="K538" s="324"/>
      <c r="L538" s="324"/>
      <c r="M538" s="324"/>
      <c r="N538" s="324"/>
      <c r="O538" s="324"/>
      <c r="P538" s="324"/>
      <c r="Q538" s="324"/>
      <c r="R538" s="324"/>
      <c r="S538" s="324"/>
      <c r="T538" s="324"/>
      <c r="U538" s="324"/>
      <c r="V538" s="324"/>
      <c r="W538" s="324"/>
      <c r="X538" s="324"/>
      <c r="Y538" s="324"/>
      <c r="Z538" s="324"/>
    </row>
    <row r="539">
      <c r="A539" s="324"/>
      <c r="B539" s="324"/>
      <c r="C539" s="324"/>
      <c r="D539" s="324"/>
      <c r="E539" s="324"/>
      <c r="F539" s="324"/>
      <c r="G539" s="324"/>
      <c r="H539" s="324"/>
      <c r="I539" s="324"/>
      <c r="J539" s="324"/>
      <c r="K539" s="324"/>
      <c r="L539" s="324"/>
      <c r="M539" s="324"/>
      <c r="N539" s="324"/>
      <c r="O539" s="324"/>
      <c r="P539" s="324"/>
      <c r="Q539" s="324"/>
      <c r="R539" s="324"/>
      <c r="S539" s="324"/>
      <c r="T539" s="324"/>
      <c r="U539" s="324"/>
      <c r="V539" s="324"/>
      <c r="W539" s="324"/>
      <c r="X539" s="324"/>
      <c r="Y539" s="324"/>
      <c r="Z539" s="324"/>
    </row>
    <row r="540">
      <c r="A540" s="324"/>
      <c r="B540" s="324"/>
      <c r="C540" s="324"/>
      <c r="D540" s="324"/>
      <c r="E540" s="324"/>
      <c r="F540" s="324"/>
      <c r="G540" s="324"/>
      <c r="H540" s="324"/>
      <c r="I540" s="324"/>
      <c r="J540" s="324"/>
      <c r="K540" s="324"/>
      <c r="L540" s="324"/>
      <c r="M540" s="324"/>
      <c r="N540" s="324"/>
      <c r="O540" s="324"/>
      <c r="P540" s="324"/>
      <c r="Q540" s="324"/>
      <c r="R540" s="324"/>
      <c r="S540" s="324"/>
      <c r="T540" s="324"/>
      <c r="U540" s="324"/>
      <c r="V540" s="324"/>
      <c r="W540" s="324"/>
      <c r="X540" s="324"/>
      <c r="Y540" s="324"/>
      <c r="Z540" s="324"/>
    </row>
    <row r="541">
      <c r="A541" s="324"/>
      <c r="B541" s="324"/>
      <c r="C541" s="324"/>
      <c r="D541" s="324"/>
      <c r="E541" s="324"/>
      <c r="F541" s="324"/>
      <c r="G541" s="324"/>
      <c r="H541" s="324"/>
      <c r="I541" s="324"/>
      <c r="J541" s="324"/>
      <c r="K541" s="324"/>
      <c r="L541" s="324"/>
      <c r="M541" s="324"/>
      <c r="N541" s="324"/>
      <c r="O541" s="324"/>
      <c r="P541" s="324"/>
      <c r="Q541" s="324"/>
      <c r="R541" s="324"/>
      <c r="S541" s="324"/>
      <c r="T541" s="324"/>
      <c r="U541" s="324"/>
      <c r="V541" s="324"/>
      <c r="W541" s="324"/>
      <c r="X541" s="324"/>
      <c r="Y541" s="324"/>
      <c r="Z541" s="324"/>
    </row>
    <row r="542">
      <c r="A542" s="324"/>
      <c r="B542" s="324"/>
      <c r="C542" s="324"/>
      <c r="D542" s="324"/>
      <c r="E542" s="324"/>
      <c r="F542" s="324"/>
      <c r="G542" s="324"/>
      <c r="H542" s="324"/>
      <c r="I542" s="324"/>
      <c r="J542" s="324"/>
      <c r="K542" s="324"/>
      <c r="L542" s="324"/>
      <c r="M542" s="324"/>
      <c r="N542" s="324"/>
      <c r="O542" s="324"/>
      <c r="P542" s="324"/>
      <c r="Q542" s="324"/>
      <c r="R542" s="324"/>
      <c r="S542" s="324"/>
      <c r="T542" s="324"/>
      <c r="U542" s="324"/>
      <c r="V542" s="324"/>
      <c r="W542" s="324"/>
      <c r="X542" s="324"/>
      <c r="Y542" s="324"/>
      <c r="Z542" s="324"/>
    </row>
    <row r="543">
      <c r="A543" s="324"/>
      <c r="B543" s="324"/>
      <c r="C543" s="324"/>
      <c r="D543" s="324"/>
      <c r="E543" s="324"/>
      <c r="F543" s="324"/>
      <c r="G543" s="324"/>
      <c r="H543" s="324"/>
      <c r="I543" s="324"/>
      <c r="J543" s="324"/>
      <c r="K543" s="324"/>
      <c r="L543" s="324"/>
      <c r="M543" s="324"/>
      <c r="N543" s="324"/>
      <c r="O543" s="324"/>
      <c r="P543" s="324"/>
      <c r="Q543" s="324"/>
      <c r="R543" s="324"/>
      <c r="S543" s="324"/>
      <c r="T543" s="324"/>
      <c r="U543" s="324"/>
      <c r="V543" s="324"/>
      <c r="W543" s="324"/>
      <c r="X543" s="324"/>
      <c r="Y543" s="324"/>
      <c r="Z543" s="324"/>
    </row>
    <row r="544">
      <c r="A544" s="324"/>
      <c r="B544" s="324"/>
      <c r="C544" s="324"/>
      <c r="D544" s="324"/>
      <c r="E544" s="324"/>
      <c r="F544" s="324"/>
      <c r="G544" s="324"/>
      <c r="H544" s="324"/>
      <c r="I544" s="324"/>
      <c r="J544" s="324"/>
      <c r="K544" s="324"/>
      <c r="L544" s="324"/>
      <c r="M544" s="324"/>
      <c r="N544" s="324"/>
      <c r="O544" s="324"/>
      <c r="P544" s="324"/>
      <c r="Q544" s="324"/>
      <c r="R544" s="324"/>
      <c r="S544" s="324"/>
      <c r="T544" s="324"/>
      <c r="U544" s="324"/>
      <c r="V544" s="324"/>
      <c r="W544" s="324"/>
      <c r="X544" s="324"/>
      <c r="Y544" s="324"/>
      <c r="Z544" s="324"/>
    </row>
    <row r="545">
      <c r="A545" s="324"/>
      <c r="B545" s="324"/>
      <c r="C545" s="324"/>
      <c r="D545" s="324"/>
      <c r="E545" s="324"/>
      <c r="F545" s="324"/>
      <c r="G545" s="324"/>
      <c r="H545" s="324"/>
      <c r="I545" s="324"/>
      <c r="J545" s="324"/>
      <c r="K545" s="324"/>
      <c r="L545" s="324"/>
      <c r="M545" s="324"/>
      <c r="N545" s="324"/>
      <c r="O545" s="324"/>
      <c r="P545" s="324"/>
      <c r="Q545" s="324"/>
      <c r="R545" s="324"/>
      <c r="S545" s="324"/>
      <c r="T545" s="324"/>
      <c r="U545" s="324"/>
      <c r="V545" s="324"/>
      <c r="W545" s="324"/>
      <c r="X545" s="324"/>
      <c r="Y545" s="324"/>
      <c r="Z545" s="324"/>
    </row>
    <row r="546">
      <c r="A546" s="324"/>
      <c r="B546" s="324"/>
      <c r="C546" s="324"/>
      <c r="D546" s="324"/>
      <c r="E546" s="324"/>
      <c r="F546" s="324"/>
      <c r="G546" s="324"/>
      <c r="H546" s="324"/>
      <c r="I546" s="324"/>
      <c r="J546" s="324"/>
      <c r="K546" s="324"/>
      <c r="L546" s="324"/>
      <c r="M546" s="324"/>
      <c r="N546" s="324"/>
      <c r="O546" s="324"/>
      <c r="P546" s="324"/>
      <c r="Q546" s="324"/>
      <c r="R546" s="324"/>
      <c r="S546" s="324"/>
      <c r="T546" s="324"/>
      <c r="U546" s="324"/>
      <c r="V546" s="324"/>
      <c r="W546" s="324"/>
      <c r="X546" s="324"/>
      <c r="Y546" s="324"/>
      <c r="Z546" s="324"/>
    </row>
    <row r="547">
      <c r="A547" s="324"/>
      <c r="B547" s="324"/>
      <c r="C547" s="324"/>
      <c r="D547" s="324"/>
      <c r="E547" s="324"/>
      <c r="F547" s="324"/>
      <c r="G547" s="324"/>
      <c r="H547" s="324"/>
      <c r="I547" s="324"/>
      <c r="J547" s="324"/>
      <c r="K547" s="324"/>
      <c r="L547" s="324"/>
      <c r="M547" s="324"/>
      <c r="N547" s="324"/>
      <c r="O547" s="324"/>
      <c r="P547" s="324"/>
      <c r="Q547" s="324"/>
      <c r="R547" s="324"/>
      <c r="S547" s="324"/>
      <c r="T547" s="324"/>
      <c r="U547" s="324"/>
      <c r="V547" s="324"/>
      <c r="W547" s="324"/>
      <c r="X547" s="324"/>
      <c r="Y547" s="324"/>
      <c r="Z547" s="324"/>
    </row>
    <row r="548">
      <c r="A548" s="324"/>
      <c r="B548" s="324"/>
      <c r="C548" s="324"/>
      <c r="D548" s="324"/>
      <c r="E548" s="324"/>
      <c r="F548" s="324"/>
      <c r="G548" s="324"/>
      <c r="H548" s="324"/>
      <c r="I548" s="324"/>
      <c r="J548" s="324"/>
      <c r="K548" s="324"/>
      <c r="L548" s="324"/>
      <c r="M548" s="324"/>
      <c r="N548" s="324"/>
      <c r="O548" s="324"/>
      <c r="P548" s="324"/>
      <c r="Q548" s="324"/>
      <c r="R548" s="324"/>
      <c r="S548" s="324"/>
      <c r="T548" s="324"/>
      <c r="U548" s="324"/>
      <c r="V548" s="324"/>
      <c r="W548" s="324"/>
      <c r="X548" s="324"/>
      <c r="Y548" s="324"/>
      <c r="Z548" s="324"/>
    </row>
    <row r="549">
      <c r="A549" s="324"/>
      <c r="B549" s="324"/>
      <c r="C549" s="324"/>
      <c r="D549" s="324"/>
      <c r="E549" s="324"/>
      <c r="F549" s="324"/>
      <c r="G549" s="324"/>
      <c r="H549" s="324"/>
      <c r="I549" s="324"/>
      <c r="J549" s="324"/>
      <c r="K549" s="324"/>
      <c r="L549" s="324"/>
      <c r="M549" s="324"/>
      <c r="N549" s="324"/>
      <c r="O549" s="324"/>
      <c r="P549" s="324"/>
      <c r="Q549" s="324"/>
      <c r="R549" s="324"/>
      <c r="S549" s="324"/>
      <c r="T549" s="324"/>
      <c r="U549" s="324"/>
      <c r="V549" s="324"/>
      <c r="W549" s="324"/>
      <c r="X549" s="324"/>
      <c r="Y549" s="324"/>
      <c r="Z549" s="324"/>
    </row>
    <row r="550">
      <c r="A550" s="324"/>
      <c r="B550" s="324"/>
      <c r="C550" s="324"/>
      <c r="D550" s="324"/>
      <c r="E550" s="324"/>
      <c r="F550" s="324"/>
      <c r="G550" s="324"/>
      <c r="H550" s="324"/>
      <c r="I550" s="324"/>
      <c r="J550" s="324"/>
      <c r="K550" s="324"/>
      <c r="L550" s="324"/>
      <c r="M550" s="324"/>
      <c r="N550" s="324"/>
      <c r="O550" s="324"/>
      <c r="P550" s="324"/>
      <c r="Q550" s="324"/>
      <c r="R550" s="324"/>
      <c r="S550" s="324"/>
      <c r="T550" s="324"/>
      <c r="U550" s="324"/>
      <c r="V550" s="324"/>
      <c r="W550" s="324"/>
      <c r="X550" s="324"/>
      <c r="Y550" s="324"/>
      <c r="Z550" s="324"/>
    </row>
    <row r="551">
      <c r="A551" s="324"/>
      <c r="B551" s="324"/>
      <c r="C551" s="324"/>
      <c r="D551" s="324"/>
      <c r="E551" s="324"/>
      <c r="F551" s="324"/>
      <c r="G551" s="324"/>
      <c r="H551" s="324"/>
      <c r="I551" s="324"/>
      <c r="J551" s="324"/>
      <c r="K551" s="324"/>
      <c r="L551" s="324"/>
      <c r="M551" s="324"/>
      <c r="N551" s="324"/>
      <c r="O551" s="324"/>
      <c r="P551" s="324"/>
      <c r="Q551" s="324"/>
      <c r="R551" s="324"/>
      <c r="S551" s="324"/>
      <c r="T551" s="324"/>
      <c r="U551" s="324"/>
      <c r="V551" s="324"/>
      <c r="W551" s="324"/>
      <c r="X551" s="324"/>
      <c r="Y551" s="324"/>
      <c r="Z551" s="324"/>
    </row>
    <row r="552">
      <c r="A552" s="324"/>
      <c r="B552" s="324"/>
      <c r="C552" s="324"/>
      <c r="D552" s="324"/>
      <c r="E552" s="324"/>
      <c r="F552" s="324"/>
      <c r="G552" s="324"/>
      <c r="H552" s="324"/>
      <c r="I552" s="324"/>
      <c r="J552" s="324"/>
      <c r="K552" s="324"/>
      <c r="L552" s="324"/>
      <c r="M552" s="324"/>
      <c r="N552" s="324"/>
      <c r="O552" s="324"/>
      <c r="P552" s="324"/>
      <c r="Q552" s="324"/>
      <c r="R552" s="324"/>
      <c r="S552" s="324"/>
      <c r="T552" s="324"/>
      <c r="U552" s="324"/>
      <c r="V552" s="324"/>
      <c r="W552" s="324"/>
      <c r="X552" s="324"/>
      <c r="Y552" s="324"/>
      <c r="Z552" s="324"/>
    </row>
    <row r="553">
      <c r="A553" s="324"/>
      <c r="B553" s="324"/>
      <c r="C553" s="324"/>
      <c r="D553" s="324"/>
      <c r="E553" s="324"/>
      <c r="F553" s="324"/>
      <c r="G553" s="324"/>
      <c r="H553" s="324"/>
      <c r="I553" s="324"/>
      <c r="J553" s="324"/>
      <c r="K553" s="324"/>
      <c r="L553" s="324"/>
      <c r="M553" s="324"/>
      <c r="N553" s="324"/>
      <c r="O553" s="324"/>
      <c r="P553" s="324"/>
      <c r="Q553" s="324"/>
      <c r="R553" s="324"/>
      <c r="S553" s="324"/>
      <c r="T553" s="324"/>
      <c r="U553" s="324"/>
      <c r="V553" s="324"/>
      <c r="W553" s="324"/>
      <c r="X553" s="324"/>
      <c r="Y553" s="324"/>
      <c r="Z553" s="324"/>
    </row>
    <row r="554">
      <c r="A554" s="324"/>
      <c r="B554" s="324"/>
      <c r="C554" s="324"/>
      <c r="D554" s="324"/>
      <c r="E554" s="324"/>
      <c r="F554" s="324"/>
      <c r="G554" s="324"/>
      <c r="H554" s="324"/>
      <c r="I554" s="324"/>
      <c r="J554" s="324"/>
      <c r="K554" s="324"/>
      <c r="L554" s="324"/>
      <c r="M554" s="324"/>
      <c r="N554" s="324"/>
      <c r="O554" s="324"/>
      <c r="P554" s="324"/>
      <c r="Q554" s="324"/>
      <c r="R554" s="324"/>
      <c r="S554" s="324"/>
      <c r="T554" s="324"/>
      <c r="U554" s="324"/>
      <c r="V554" s="324"/>
      <c r="W554" s="324"/>
      <c r="X554" s="324"/>
      <c r="Y554" s="324"/>
      <c r="Z554" s="324"/>
    </row>
    <row r="555">
      <c r="A555" s="324"/>
      <c r="B555" s="324"/>
      <c r="C555" s="324"/>
      <c r="D555" s="324"/>
      <c r="E555" s="324"/>
      <c r="F555" s="324"/>
      <c r="G555" s="324"/>
      <c r="H555" s="324"/>
      <c r="I555" s="324"/>
      <c r="J555" s="324"/>
      <c r="K555" s="324"/>
      <c r="L555" s="324"/>
      <c r="M555" s="324"/>
      <c r="N555" s="324"/>
      <c r="O555" s="324"/>
      <c r="P555" s="324"/>
      <c r="Q555" s="324"/>
      <c r="R555" s="324"/>
      <c r="S555" s="324"/>
      <c r="T555" s="324"/>
      <c r="U555" s="324"/>
      <c r="V555" s="324"/>
      <c r="W555" s="324"/>
      <c r="X555" s="324"/>
      <c r="Y555" s="324"/>
      <c r="Z555" s="324"/>
    </row>
    <row r="556">
      <c r="A556" s="324"/>
      <c r="B556" s="324"/>
      <c r="C556" s="324"/>
      <c r="D556" s="324"/>
      <c r="E556" s="324"/>
      <c r="F556" s="324"/>
      <c r="G556" s="324"/>
      <c r="H556" s="324"/>
      <c r="I556" s="324"/>
      <c r="J556" s="324"/>
      <c r="K556" s="324"/>
      <c r="L556" s="324"/>
      <c r="M556" s="324"/>
      <c r="N556" s="324"/>
      <c r="O556" s="324"/>
      <c r="P556" s="324"/>
      <c r="Q556" s="324"/>
      <c r="R556" s="324"/>
      <c r="S556" s="324"/>
      <c r="T556" s="324"/>
      <c r="U556" s="324"/>
      <c r="V556" s="324"/>
      <c r="W556" s="324"/>
      <c r="X556" s="324"/>
      <c r="Y556" s="324"/>
      <c r="Z556" s="324"/>
    </row>
    <row r="557">
      <c r="A557" s="324"/>
      <c r="B557" s="324"/>
      <c r="C557" s="324"/>
      <c r="D557" s="324"/>
      <c r="E557" s="324"/>
      <c r="F557" s="324"/>
      <c r="G557" s="324"/>
      <c r="H557" s="324"/>
      <c r="I557" s="324"/>
      <c r="J557" s="324"/>
      <c r="K557" s="324"/>
      <c r="L557" s="324"/>
      <c r="M557" s="324"/>
      <c r="N557" s="324"/>
      <c r="O557" s="324"/>
      <c r="P557" s="324"/>
      <c r="Q557" s="324"/>
      <c r="R557" s="324"/>
      <c r="S557" s="324"/>
      <c r="T557" s="324"/>
      <c r="U557" s="324"/>
      <c r="V557" s="324"/>
      <c r="W557" s="324"/>
      <c r="X557" s="324"/>
      <c r="Y557" s="324"/>
      <c r="Z557" s="324"/>
    </row>
    <row r="558">
      <c r="A558" s="324"/>
      <c r="B558" s="324"/>
      <c r="C558" s="324"/>
      <c r="D558" s="324"/>
      <c r="E558" s="324"/>
      <c r="F558" s="324"/>
      <c r="G558" s="324"/>
      <c r="H558" s="324"/>
      <c r="I558" s="324"/>
      <c r="J558" s="324"/>
      <c r="K558" s="324"/>
      <c r="L558" s="324"/>
      <c r="M558" s="324"/>
      <c r="N558" s="324"/>
      <c r="O558" s="324"/>
      <c r="P558" s="324"/>
      <c r="Q558" s="324"/>
      <c r="R558" s="324"/>
      <c r="S558" s="324"/>
      <c r="T558" s="324"/>
      <c r="U558" s="324"/>
      <c r="V558" s="324"/>
      <c r="W558" s="324"/>
      <c r="X558" s="324"/>
      <c r="Y558" s="324"/>
      <c r="Z558" s="324"/>
    </row>
    <row r="559">
      <c r="A559" s="324"/>
      <c r="B559" s="324"/>
      <c r="C559" s="324"/>
      <c r="D559" s="324"/>
      <c r="E559" s="324"/>
      <c r="F559" s="324"/>
      <c r="G559" s="324"/>
      <c r="H559" s="324"/>
      <c r="I559" s="324"/>
      <c r="J559" s="324"/>
      <c r="K559" s="324"/>
      <c r="L559" s="324"/>
      <c r="M559" s="324"/>
      <c r="N559" s="324"/>
      <c r="O559" s="324"/>
      <c r="P559" s="324"/>
      <c r="Q559" s="324"/>
      <c r="R559" s="324"/>
      <c r="S559" s="324"/>
      <c r="T559" s="324"/>
      <c r="U559" s="324"/>
      <c r="V559" s="324"/>
      <c r="W559" s="324"/>
      <c r="X559" s="324"/>
      <c r="Y559" s="324"/>
      <c r="Z559" s="324"/>
    </row>
    <row r="560">
      <c r="A560" s="324"/>
      <c r="B560" s="324"/>
      <c r="C560" s="324"/>
      <c r="D560" s="324"/>
      <c r="E560" s="324"/>
      <c r="F560" s="324"/>
      <c r="G560" s="324"/>
      <c r="H560" s="324"/>
      <c r="I560" s="324"/>
      <c r="J560" s="324"/>
      <c r="K560" s="324"/>
      <c r="L560" s="324"/>
      <c r="M560" s="324"/>
      <c r="N560" s="324"/>
      <c r="O560" s="324"/>
      <c r="P560" s="324"/>
      <c r="Q560" s="324"/>
      <c r="R560" s="324"/>
      <c r="S560" s="324"/>
      <c r="T560" s="324"/>
      <c r="U560" s="324"/>
      <c r="V560" s="324"/>
      <c r="W560" s="324"/>
      <c r="X560" s="324"/>
      <c r="Y560" s="324"/>
      <c r="Z560" s="324"/>
    </row>
    <row r="561">
      <c r="A561" s="324"/>
      <c r="B561" s="324"/>
      <c r="C561" s="324"/>
      <c r="D561" s="324"/>
      <c r="E561" s="324"/>
      <c r="F561" s="324"/>
      <c r="G561" s="324"/>
      <c r="H561" s="324"/>
      <c r="I561" s="324"/>
      <c r="J561" s="324"/>
      <c r="K561" s="324"/>
      <c r="L561" s="324"/>
      <c r="M561" s="324"/>
      <c r="N561" s="324"/>
      <c r="O561" s="324"/>
      <c r="P561" s="324"/>
      <c r="Q561" s="324"/>
      <c r="R561" s="324"/>
      <c r="S561" s="324"/>
      <c r="T561" s="324"/>
      <c r="U561" s="324"/>
      <c r="V561" s="324"/>
      <c r="W561" s="324"/>
      <c r="X561" s="324"/>
      <c r="Y561" s="324"/>
      <c r="Z561" s="324"/>
    </row>
    <row r="562">
      <c r="A562" s="324"/>
      <c r="B562" s="324"/>
      <c r="C562" s="324"/>
      <c r="D562" s="324"/>
      <c r="E562" s="324"/>
      <c r="F562" s="324"/>
      <c r="G562" s="324"/>
      <c r="H562" s="324"/>
      <c r="I562" s="324"/>
      <c r="J562" s="324"/>
      <c r="K562" s="324"/>
      <c r="L562" s="324"/>
      <c r="M562" s="324"/>
      <c r="N562" s="324"/>
      <c r="O562" s="324"/>
      <c r="P562" s="324"/>
      <c r="Q562" s="324"/>
      <c r="R562" s="324"/>
      <c r="S562" s="324"/>
      <c r="T562" s="324"/>
      <c r="U562" s="324"/>
      <c r="V562" s="324"/>
      <c r="W562" s="324"/>
      <c r="X562" s="324"/>
      <c r="Y562" s="324"/>
      <c r="Z562" s="324"/>
    </row>
    <row r="563">
      <c r="A563" s="324"/>
      <c r="B563" s="324"/>
      <c r="C563" s="324"/>
      <c r="D563" s="324"/>
      <c r="E563" s="324"/>
      <c r="F563" s="324"/>
      <c r="G563" s="324"/>
      <c r="H563" s="324"/>
      <c r="I563" s="324"/>
      <c r="J563" s="324"/>
      <c r="K563" s="324"/>
      <c r="L563" s="324"/>
      <c r="M563" s="324"/>
      <c r="N563" s="324"/>
      <c r="O563" s="324"/>
      <c r="P563" s="324"/>
      <c r="Q563" s="324"/>
      <c r="R563" s="324"/>
      <c r="S563" s="324"/>
      <c r="T563" s="324"/>
      <c r="U563" s="324"/>
      <c r="V563" s="324"/>
      <c r="W563" s="324"/>
      <c r="X563" s="324"/>
      <c r="Y563" s="324"/>
      <c r="Z563" s="324"/>
    </row>
    <row r="564">
      <c r="A564" s="324"/>
      <c r="B564" s="324"/>
      <c r="C564" s="324"/>
      <c r="D564" s="324"/>
      <c r="E564" s="324"/>
      <c r="F564" s="324"/>
      <c r="G564" s="324"/>
      <c r="H564" s="324"/>
      <c r="I564" s="324"/>
      <c r="J564" s="324"/>
      <c r="K564" s="324"/>
      <c r="L564" s="324"/>
      <c r="M564" s="324"/>
      <c r="N564" s="324"/>
      <c r="O564" s="324"/>
      <c r="P564" s="324"/>
      <c r="Q564" s="324"/>
      <c r="R564" s="324"/>
      <c r="S564" s="324"/>
      <c r="T564" s="324"/>
      <c r="U564" s="324"/>
      <c r="V564" s="324"/>
      <c r="W564" s="324"/>
      <c r="X564" s="324"/>
      <c r="Y564" s="324"/>
      <c r="Z564" s="324"/>
    </row>
    <row r="565">
      <c r="A565" s="324"/>
      <c r="B565" s="324"/>
      <c r="C565" s="324"/>
      <c r="D565" s="324"/>
      <c r="E565" s="324"/>
      <c r="F565" s="324"/>
      <c r="G565" s="324"/>
      <c r="H565" s="324"/>
      <c r="I565" s="324"/>
      <c r="J565" s="324"/>
      <c r="K565" s="324"/>
      <c r="L565" s="324"/>
      <c r="M565" s="324"/>
      <c r="N565" s="324"/>
      <c r="O565" s="324"/>
      <c r="P565" s="324"/>
      <c r="Q565" s="324"/>
      <c r="R565" s="324"/>
      <c r="S565" s="324"/>
      <c r="T565" s="324"/>
      <c r="U565" s="324"/>
      <c r="V565" s="324"/>
      <c r="W565" s="324"/>
      <c r="X565" s="324"/>
      <c r="Y565" s="324"/>
      <c r="Z565" s="324"/>
    </row>
    <row r="566">
      <c r="A566" s="324"/>
      <c r="B566" s="324"/>
      <c r="C566" s="324"/>
      <c r="D566" s="324"/>
      <c r="E566" s="324"/>
      <c r="F566" s="324"/>
      <c r="G566" s="324"/>
      <c r="H566" s="324"/>
      <c r="I566" s="324"/>
      <c r="J566" s="324"/>
      <c r="K566" s="324"/>
      <c r="L566" s="324"/>
      <c r="M566" s="324"/>
      <c r="N566" s="324"/>
      <c r="O566" s="324"/>
      <c r="P566" s="324"/>
      <c r="Q566" s="324"/>
      <c r="R566" s="324"/>
      <c r="S566" s="324"/>
      <c r="T566" s="324"/>
      <c r="U566" s="324"/>
      <c r="V566" s="324"/>
      <c r="W566" s="324"/>
      <c r="X566" s="324"/>
      <c r="Y566" s="324"/>
      <c r="Z566" s="324"/>
    </row>
    <row r="567">
      <c r="A567" s="324"/>
      <c r="B567" s="324"/>
      <c r="C567" s="324"/>
      <c r="D567" s="324"/>
      <c r="E567" s="324"/>
      <c r="F567" s="324"/>
      <c r="G567" s="324"/>
      <c r="H567" s="324"/>
      <c r="I567" s="324"/>
      <c r="J567" s="324"/>
      <c r="K567" s="324"/>
      <c r="L567" s="324"/>
      <c r="M567" s="324"/>
      <c r="N567" s="324"/>
      <c r="O567" s="324"/>
      <c r="P567" s="324"/>
      <c r="Q567" s="324"/>
      <c r="R567" s="324"/>
      <c r="S567" s="324"/>
      <c r="T567" s="324"/>
      <c r="U567" s="324"/>
      <c r="V567" s="324"/>
      <c r="W567" s="324"/>
      <c r="X567" s="324"/>
      <c r="Y567" s="324"/>
      <c r="Z567" s="324"/>
    </row>
    <row r="568">
      <c r="A568" s="324"/>
      <c r="B568" s="324"/>
      <c r="C568" s="324"/>
      <c r="D568" s="324"/>
      <c r="E568" s="324"/>
      <c r="F568" s="324"/>
      <c r="G568" s="324"/>
      <c r="H568" s="324"/>
      <c r="I568" s="324"/>
      <c r="J568" s="324"/>
      <c r="K568" s="324"/>
      <c r="L568" s="324"/>
      <c r="M568" s="324"/>
      <c r="N568" s="324"/>
      <c r="O568" s="324"/>
      <c r="P568" s="324"/>
      <c r="Q568" s="324"/>
      <c r="R568" s="324"/>
      <c r="S568" s="324"/>
      <c r="T568" s="324"/>
      <c r="U568" s="324"/>
      <c r="V568" s="324"/>
      <c r="W568" s="324"/>
      <c r="X568" s="324"/>
      <c r="Y568" s="324"/>
      <c r="Z568" s="324"/>
    </row>
    <row r="569">
      <c r="A569" s="324"/>
      <c r="B569" s="324"/>
      <c r="C569" s="324"/>
      <c r="D569" s="324"/>
      <c r="E569" s="324"/>
      <c r="F569" s="324"/>
      <c r="G569" s="324"/>
      <c r="H569" s="324"/>
      <c r="I569" s="324"/>
      <c r="J569" s="324"/>
      <c r="K569" s="324"/>
      <c r="L569" s="324"/>
      <c r="M569" s="324"/>
      <c r="N569" s="324"/>
      <c r="O569" s="324"/>
      <c r="P569" s="324"/>
      <c r="Q569" s="324"/>
      <c r="R569" s="324"/>
      <c r="S569" s="324"/>
      <c r="T569" s="324"/>
      <c r="U569" s="324"/>
      <c r="V569" s="324"/>
      <c r="W569" s="324"/>
      <c r="X569" s="324"/>
      <c r="Y569" s="324"/>
      <c r="Z569" s="324"/>
    </row>
    <row r="570">
      <c r="A570" s="324"/>
      <c r="B570" s="324"/>
      <c r="C570" s="324"/>
      <c r="D570" s="324"/>
      <c r="E570" s="324"/>
      <c r="F570" s="324"/>
      <c r="G570" s="324"/>
      <c r="H570" s="324"/>
      <c r="I570" s="324"/>
      <c r="J570" s="324"/>
      <c r="K570" s="324"/>
      <c r="L570" s="324"/>
      <c r="M570" s="324"/>
      <c r="N570" s="324"/>
      <c r="O570" s="324"/>
      <c r="P570" s="324"/>
      <c r="Q570" s="324"/>
      <c r="R570" s="324"/>
      <c r="S570" s="324"/>
      <c r="T570" s="324"/>
      <c r="U570" s="324"/>
      <c r="V570" s="324"/>
      <c r="W570" s="324"/>
      <c r="X570" s="324"/>
      <c r="Y570" s="324"/>
      <c r="Z570" s="324"/>
    </row>
    <row r="571">
      <c r="A571" s="324"/>
      <c r="B571" s="324"/>
      <c r="C571" s="324"/>
      <c r="D571" s="324"/>
      <c r="E571" s="324"/>
      <c r="F571" s="324"/>
      <c r="G571" s="324"/>
      <c r="H571" s="324"/>
      <c r="I571" s="324"/>
      <c r="J571" s="324"/>
      <c r="K571" s="324"/>
      <c r="L571" s="324"/>
      <c r="M571" s="324"/>
      <c r="N571" s="324"/>
      <c r="O571" s="324"/>
      <c r="P571" s="324"/>
      <c r="Q571" s="324"/>
      <c r="R571" s="324"/>
      <c r="S571" s="324"/>
      <c r="T571" s="324"/>
      <c r="U571" s="324"/>
      <c r="V571" s="324"/>
      <c r="W571" s="324"/>
      <c r="X571" s="324"/>
      <c r="Y571" s="324"/>
      <c r="Z571" s="324"/>
    </row>
    <row r="572">
      <c r="A572" s="324"/>
      <c r="B572" s="324"/>
      <c r="C572" s="324"/>
      <c r="D572" s="324"/>
      <c r="E572" s="324"/>
      <c r="F572" s="324"/>
      <c r="G572" s="324"/>
      <c r="H572" s="324"/>
      <c r="I572" s="324"/>
      <c r="J572" s="324"/>
      <c r="K572" s="324"/>
      <c r="L572" s="324"/>
      <c r="M572" s="324"/>
      <c r="N572" s="324"/>
      <c r="O572" s="324"/>
      <c r="P572" s="324"/>
      <c r="Q572" s="324"/>
      <c r="R572" s="324"/>
      <c r="S572" s="324"/>
      <c r="T572" s="324"/>
      <c r="U572" s="324"/>
      <c r="V572" s="324"/>
      <c r="W572" s="324"/>
      <c r="X572" s="324"/>
      <c r="Y572" s="324"/>
      <c r="Z572" s="324"/>
    </row>
    <row r="573">
      <c r="A573" s="324"/>
      <c r="B573" s="324"/>
      <c r="C573" s="324"/>
      <c r="D573" s="324"/>
      <c r="E573" s="324"/>
      <c r="F573" s="324"/>
      <c r="G573" s="324"/>
      <c r="H573" s="324"/>
      <c r="I573" s="324"/>
      <c r="J573" s="324"/>
      <c r="K573" s="324"/>
      <c r="L573" s="324"/>
      <c r="M573" s="324"/>
      <c r="N573" s="324"/>
      <c r="O573" s="324"/>
      <c r="P573" s="324"/>
      <c r="Q573" s="324"/>
      <c r="R573" s="324"/>
      <c r="S573" s="324"/>
      <c r="T573" s="324"/>
      <c r="U573" s="324"/>
      <c r="V573" s="324"/>
      <c r="W573" s="324"/>
      <c r="X573" s="324"/>
      <c r="Y573" s="324"/>
      <c r="Z573" s="324"/>
    </row>
    <row r="574">
      <c r="A574" s="324"/>
      <c r="B574" s="324"/>
      <c r="C574" s="324"/>
      <c r="D574" s="324"/>
      <c r="E574" s="324"/>
      <c r="F574" s="324"/>
      <c r="G574" s="324"/>
      <c r="H574" s="324"/>
      <c r="I574" s="324"/>
      <c r="J574" s="324"/>
      <c r="K574" s="324"/>
      <c r="L574" s="324"/>
      <c r="M574" s="324"/>
      <c r="N574" s="324"/>
      <c r="O574" s="324"/>
      <c r="P574" s="324"/>
      <c r="Q574" s="324"/>
      <c r="R574" s="324"/>
      <c r="S574" s="324"/>
      <c r="T574" s="324"/>
      <c r="U574" s="324"/>
      <c r="V574" s="324"/>
      <c r="W574" s="324"/>
      <c r="X574" s="324"/>
      <c r="Y574" s="324"/>
      <c r="Z574" s="324"/>
    </row>
    <row r="575">
      <c r="A575" s="324"/>
      <c r="B575" s="324"/>
      <c r="C575" s="324"/>
      <c r="D575" s="324"/>
      <c r="E575" s="324"/>
      <c r="F575" s="324"/>
      <c r="G575" s="324"/>
      <c r="H575" s="324"/>
      <c r="I575" s="324"/>
      <c r="J575" s="324"/>
      <c r="K575" s="324"/>
      <c r="L575" s="324"/>
      <c r="M575" s="324"/>
      <c r="N575" s="324"/>
      <c r="O575" s="324"/>
      <c r="P575" s="324"/>
      <c r="Q575" s="324"/>
      <c r="R575" s="324"/>
      <c r="S575" s="324"/>
      <c r="T575" s="324"/>
      <c r="U575" s="324"/>
      <c r="V575" s="324"/>
      <c r="W575" s="324"/>
      <c r="X575" s="324"/>
      <c r="Y575" s="324"/>
      <c r="Z575" s="324"/>
    </row>
    <row r="576">
      <c r="A576" s="324"/>
      <c r="B576" s="324"/>
      <c r="C576" s="324"/>
      <c r="D576" s="324"/>
      <c r="E576" s="324"/>
      <c r="F576" s="324"/>
      <c r="G576" s="324"/>
      <c r="H576" s="324"/>
      <c r="I576" s="324"/>
      <c r="J576" s="324"/>
      <c r="K576" s="324"/>
      <c r="L576" s="324"/>
      <c r="M576" s="324"/>
      <c r="N576" s="324"/>
      <c r="O576" s="324"/>
      <c r="P576" s="324"/>
      <c r="Q576" s="324"/>
      <c r="R576" s="324"/>
      <c r="S576" s="324"/>
      <c r="T576" s="324"/>
      <c r="U576" s="324"/>
      <c r="V576" s="324"/>
      <c r="W576" s="324"/>
      <c r="X576" s="324"/>
      <c r="Y576" s="324"/>
      <c r="Z576" s="324"/>
    </row>
    <row r="577">
      <c r="A577" s="324"/>
      <c r="B577" s="324"/>
      <c r="C577" s="324"/>
      <c r="D577" s="324"/>
      <c r="E577" s="324"/>
      <c r="F577" s="324"/>
      <c r="G577" s="324"/>
      <c r="H577" s="324"/>
      <c r="I577" s="324"/>
      <c r="J577" s="324"/>
      <c r="K577" s="324"/>
      <c r="L577" s="324"/>
      <c r="M577" s="324"/>
      <c r="N577" s="324"/>
      <c r="O577" s="324"/>
      <c r="P577" s="324"/>
      <c r="Q577" s="324"/>
      <c r="R577" s="324"/>
      <c r="S577" s="324"/>
      <c r="T577" s="324"/>
      <c r="U577" s="324"/>
      <c r="V577" s="324"/>
      <c r="W577" s="324"/>
      <c r="X577" s="324"/>
      <c r="Y577" s="324"/>
      <c r="Z577" s="324"/>
    </row>
    <row r="578">
      <c r="A578" s="324"/>
      <c r="B578" s="324"/>
      <c r="C578" s="324"/>
      <c r="D578" s="324"/>
      <c r="E578" s="324"/>
      <c r="F578" s="324"/>
      <c r="G578" s="324"/>
      <c r="H578" s="324"/>
      <c r="I578" s="324"/>
      <c r="J578" s="324"/>
      <c r="K578" s="324"/>
      <c r="L578" s="324"/>
      <c r="M578" s="324"/>
      <c r="N578" s="324"/>
      <c r="O578" s="324"/>
      <c r="P578" s="324"/>
      <c r="Q578" s="324"/>
      <c r="R578" s="324"/>
      <c r="S578" s="324"/>
      <c r="T578" s="324"/>
      <c r="U578" s="324"/>
      <c r="V578" s="324"/>
      <c r="W578" s="324"/>
      <c r="X578" s="324"/>
      <c r="Y578" s="324"/>
      <c r="Z578" s="324"/>
    </row>
    <row r="579">
      <c r="A579" s="324"/>
      <c r="B579" s="324"/>
      <c r="C579" s="324"/>
      <c r="D579" s="324"/>
      <c r="E579" s="324"/>
      <c r="F579" s="324"/>
      <c r="G579" s="324"/>
      <c r="H579" s="324"/>
      <c r="I579" s="324"/>
      <c r="J579" s="324"/>
      <c r="K579" s="324"/>
      <c r="L579" s="324"/>
      <c r="M579" s="324"/>
      <c r="N579" s="324"/>
      <c r="O579" s="324"/>
      <c r="P579" s="324"/>
      <c r="Q579" s="324"/>
      <c r="R579" s="324"/>
      <c r="S579" s="324"/>
      <c r="T579" s="324"/>
      <c r="U579" s="324"/>
      <c r="V579" s="324"/>
      <c r="W579" s="324"/>
      <c r="X579" s="324"/>
      <c r="Y579" s="324"/>
      <c r="Z579" s="324"/>
    </row>
    <row r="580">
      <c r="A580" s="324"/>
      <c r="B580" s="324"/>
      <c r="C580" s="324"/>
      <c r="D580" s="324"/>
      <c r="E580" s="324"/>
      <c r="F580" s="324"/>
      <c r="G580" s="324"/>
      <c r="H580" s="324"/>
      <c r="I580" s="324"/>
      <c r="J580" s="324"/>
      <c r="K580" s="324"/>
      <c r="L580" s="324"/>
      <c r="M580" s="324"/>
      <c r="N580" s="324"/>
      <c r="O580" s="324"/>
      <c r="P580" s="324"/>
      <c r="Q580" s="324"/>
      <c r="R580" s="324"/>
      <c r="S580" s="324"/>
      <c r="T580" s="324"/>
      <c r="U580" s="324"/>
      <c r="V580" s="324"/>
      <c r="W580" s="324"/>
      <c r="X580" s="324"/>
      <c r="Y580" s="324"/>
      <c r="Z580" s="324"/>
    </row>
    <row r="581">
      <c r="A581" s="324"/>
      <c r="B581" s="324"/>
      <c r="C581" s="324"/>
      <c r="D581" s="324"/>
      <c r="E581" s="324"/>
      <c r="F581" s="324"/>
      <c r="G581" s="324"/>
      <c r="H581" s="324"/>
      <c r="I581" s="324"/>
      <c r="J581" s="324"/>
      <c r="K581" s="324"/>
      <c r="L581" s="324"/>
      <c r="M581" s="324"/>
      <c r="N581" s="324"/>
      <c r="O581" s="324"/>
      <c r="P581" s="324"/>
      <c r="Q581" s="324"/>
      <c r="R581" s="324"/>
      <c r="S581" s="324"/>
      <c r="T581" s="324"/>
      <c r="U581" s="324"/>
      <c r="V581" s="324"/>
      <c r="W581" s="324"/>
      <c r="X581" s="324"/>
      <c r="Y581" s="324"/>
      <c r="Z581" s="324"/>
    </row>
    <row r="582">
      <c r="A582" s="324"/>
      <c r="B582" s="324"/>
      <c r="C582" s="324"/>
      <c r="D582" s="324"/>
      <c r="E582" s="324"/>
      <c r="F582" s="324"/>
      <c r="G582" s="324"/>
      <c r="H582" s="324"/>
      <c r="I582" s="324"/>
      <c r="J582" s="324"/>
      <c r="K582" s="324"/>
      <c r="L582" s="324"/>
      <c r="M582" s="324"/>
      <c r="N582" s="324"/>
      <c r="O582" s="324"/>
      <c r="P582" s="324"/>
      <c r="Q582" s="324"/>
      <c r="R582" s="324"/>
      <c r="S582" s="324"/>
      <c r="T582" s="324"/>
      <c r="U582" s="324"/>
      <c r="V582" s="324"/>
      <c r="W582" s="324"/>
      <c r="X582" s="324"/>
      <c r="Y582" s="324"/>
      <c r="Z582" s="324"/>
    </row>
    <row r="583">
      <c r="A583" s="324"/>
      <c r="B583" s="324"/>
      <c r="C583" s="324"/>
      <c r="D583" s="324"/>
      <c r="E583" s="324"/>
      <c r="F583" s="324"/>
      <c r="G583" s="324"/>
      <c r="H583" s="324"/>
      <c r="I583" s="324"/>
      <c r="J583" s="324"/>
      <c r="K583" s="324"/>
      <c r="L583" s="324"/>
      <c r="M583" s="324"/>
      <c r="N583" s="324"/>
      <c r="O583" s="324"/>
      <c r="P583" s="324"/>
      <c r="Q583" s="324"/>
      <c r="R583" s="324"/>
      <c r="S583" s="324"/>
      <c r="T583" s="324"/>
      <c r="U583" s="324"/>
      <c r="V583" s="324"/>
      <c r="W583" s="324"/>
      <c r="X583" s="324"/>
      <c r="Y583" s="324"/>
      <c r="Z583" s="324"/>
    </row>
    <row r="584">
      <c r="A584" s="324"/>
      <c r="B584" s="324"/>
      <c r="C584" s="324"/>
      <c r="D584" s="324"/>
      <c r="E584" s="324"/>
      <c r="F584" s="324"/>
      <c r="G584" s="324"/>
      <c r="H584" s="324"/>
      <c r="I584" s="324"/>
      <c r="J584" s="324"/>
      <c r="K584" s="324"/>
      <c r="L584" s="324"/>
      <c r="M584" s="324"/>
      <c r="N584" s="324"/>
      <c r="O584" s="324"/>
      <c r="P584" s="324"/>
      <c r="Q584" s="324"/>
      <c r="R584" s="324"/>
      <c r="S584" s="324"/>
      <c r="T584" s="324"/>
      <c r="U584" s="324"/>
      <c r="V584" s="324"/>
      <c r="W584" s="324"/>
      <c r="X584" s="324"/>
      <c r="Y584" s="324"/>
      <c r="Z584" s="324"/>
    </row>
    <row r="585">
      <c r="A585" s="324"/>
      <c r="B585" s="324"/>
      <c r="C585" s="324"/>
      <c r="D585" s="324"/>
      <c r="E585" s="324"/>
      <c r="F585" s="324"/>
      <c r="G585" s="324"/>
      <c r="H585" s="324"/>
      <c r="I585" s="324"/>
      <c r="J585" s="324"/>
      <c r="K585" s="324"/>
      <c r="L585" s="324"/>
      <c r="M585" s="324"/>
      <c r="N585" s="324"/>
      <c r="O585" s="324"/>
      <c r="P585" s="324"/>
      <c r="Q585" s="324"/>
      <c r="R585" s="324"/>
      <c r="S585" s="324"/>
      <c r="T585" s="324"/>
      <c r="U585" s="324"/>
      <c r="V585" s="324"/>
      <c r="W585" s="324"/>
      <c r="X585" s="324"/>
      <c r="Y585" s="324"/>
      <c r="Z585" s="324"/>
    </row>
    <row r="586">
      <c r="A586" s="324"/>
      <c r="B586" s="324"/>
      <c r="C586" s="324"/>
      <c r="D586" s="324"/>
      <c r="E586" s="324"/>
      <c r="F586" s="324"/>
      <c r="G586" s="324"/>
      <c r="H586" s="324"/>
      <c r="I586" s="324"/>
      <c r="J586" s="324"/>
      <c r="K586" s="324"/>
      <c r="L586" s="324"/>
      <c r="M586" s="324"/>
      <c r="N586" s="324"/>
      <c r="O586" s="324"/>
      <c r="P586" s="324"/>
      <c r="Q586" s="324"/>
      <c r="R586" s="324"/>
      <c r="S586" s="324"/>
      <c r="T586" s="324"/>
      <c r="U586" s="324"/>
      <c r="V586" s="324"/>
      <c r="W586" s="324"/>
      <c r="X586" s="324"/>
      <c r="Y586" s="324"/>
      <c r="Z586" s="324"/>
    </row>
    <row r="587">
      <c r="A587" s="324"/>
      <c r="B587" s="324"/>
      <c r="C587" s="324"/>
      <c r="D587" s="324"/>
      <c r="E587" s="324"/>
      <c r="F587" s="324"/>
      <c r="G587" s="324"/>
      <c r="H587" s="324"/>
      <c r="I587" s="324"/>
      <c r="J587" s="324"/>
      <c r="K587" s="324"/>
      <c r="L587" s="324"/>
      <c r="M587" s="324"/>
      <c r="N587" s="324"/>
      <c r="O587" s="324"/>
      <c r="P587" s="324"/>
      <c r="Q587" s="324"/>
      <c r="R587" s="324"/>
      <c r="S587" s="324"/>
      <c r="T587" s="324"/>
      <c r="U587" s="324"/>
      <c r="V587" s="324"/>
      <c r="W587" s="324"/>
      <c r="X587" s="324"/>
      <c r="Y587" s="324"/>
      <c r="Z587" s="324"/>
    </row>
    <row r="588">
      <c r="A588" s="324"/>
      <c r="B588" s="324"/>
      <c r="C588" s="324"/>
      <c r="D588" s="324"/>
      <c r="E588" s="324"/>
      <c r="F588" s="324"/>
      <c r="G588" s="324"/>
      <c r="H588" s="324"/>
      <c r="I588" s="324"/>
      <c r="J588" s="324"/>
      <c r="K588" s="324"/>
      <c r="L588" s="324"/>
      <c r="M588" s="324"/>
      <c r="N588" s="324"/>
      <c r="O588" s="324"/>
      <c r="P588" s="324"/>
      <c r="Q588" s="324"/>
      <c r="R588" s="324"/>
      <c r="S588" s="324"/>
      <c r="T588" s="324"/>
      <c r="U588" s="324"/>
      <c r="V588" s="324"/>
      <c r="W588" s="324"/>
      <c r="X588" s="324"/>
      <c r="Y588" s="324"/>
      <c r="Z588" s="324"/>
    </row>
    <row r="589">
      <c r="A589" s="324"/>
      <c r="B589" s="324"/>
      <c r="C589" s="324"/>
      <c r="D589" s="324"/>
      <c r="E589" s="324"/>
      <c r="F589" s="324"/>
      <c r="G589" s="324"/>
      <c r="H589" s="324"/>
      <c r="I589" s="324"/>
      <c r="J589" s="324"/>
      <c r="K589" s="324"/>
      <c r="L589" s="324"/>
      <c r="M589" s="324"/>
      <c r="N589" s="324"/>
      <c r="O589" s="324"/>
      <c r="P589" s="324"/>
      <c r="Q589" s="324"/>
      <c r="R589" s="324"/>
      <c r="S589" s="324"/>
      <c r="T589" s="324"/>
      <c r="U589" s="324"/>
      <c r="V589" s="324"/>
      <c r="W589" s="324"/>
      <c r="X589" s="324"/>
      <c r="Y589" s="324"/>
      <c r="Z589" s="324"/>
    </row>
    <row r="590">
      <c r="A590" s="324"/>
      <c r="B590" s="324"/>
      <c r="C590" s="324"/>
      <c r="D590" s="324"/>
      <c r="E590" s="324"/>
      <c r="F590" s="324"/>
      <c r="G590" s="324"/>
      <c r="H590" s="324"/>
      <c r="I590" s="324"/>
      <c r="J590" s="324"/>
      <c r="K590" s="324"/>
      <c r="L590" s="324"/>
      <c r="M590" s="324"/>
      <c r="N590" s="324"/>
      <c r="O590" s="324"/>
      <c r="P590" s="324"/>
      <c r="Q590" s="324"/>
      <c r="R590" s="324"/>
      <c r="S590" s="324"/>
      <c r="T590" s="324"/>
      <c r="U590" s="324"/>
      <c r="V590" s="324"/>
      <c r="W590" s="324"/>
      <c r="X590" s="324"/>
      <c r="Y590" s="324"/>
      <c r="Z590" s="324"/>
    </row>
    <row r="591">
      <c r="A591" s="324"/>
      <c r="B591" s="324"/>
      <c r="C591" s="324"/>
      <c r="D591" s="324"/>
      <c r="E591" s="324"/>
      <c r="F591" s="324"/>
      <c r="G591" s="324"/>
      <c r="H591" s="324"/>
      <c r="I591" s="324"/>
      <c r="J591" s="324"/>
      <c r="K591" s="324"/>
      <c r="L591" s="324"/>
      <c r="M591" s="324"/>
      <c r="N591" s="324"/>
      <c r="O591" s="324"/>
      <c r="P591" s="324"/>
      <c r="Q591" s="324"/>
      <c r="R591" s="324"/>
      <c r="S591" s="324"/>
      <c r="T591" s="324"/>
      <c r="U591" s="324"/>
      <c r="V591" s="324"/>
      <c r="W591" s="324"/>
      <c r="X591" s="324"/>
      <c r="Y591" s="324"/>
      <c r="Z591" s="324"/>
    </row>
    <row r="592">
      <c r="A592" s="324"/>
      <c r="B592" s="324"/>
      <c r="C592" s="324"/>
      <c r="D592" s="324"/>
      <c r="E592" s="324"/>
      <c r="F592" s="324"/>
      <c r="G592" s="324"/>
      <c r="H592" s="324"/>
      <c r="I592" s="324"/>
      <c r="J592" s="324"/>
      <c r="K592" s="324"/>
      <c r="L592" s="324"/>
      <c r="M592" s="324"/>
      <c r="N592" s="324"/>
      <c r="O592" s="324"/>
      <c r="P592" s="324"/>
      <c r="Q592" s="324"/>
      <c r="R592" s="324"/>
      <c r="S592" s="324"/>
      <c r="T592" s="324"/>
      <c r="U592" s="324"/>
      <c r="V592" s="324"/>
      <c r="W592" s="324"/>
      <c r="X592" s="324"/>
      <c r="Y592" s="324"/>
      <c r="Z592" s="324"/>
    </row>
    <row r="593">
      <c r="A593" s="324"/>
      <c r="B593" s="324"/>
      <c r="C593" s="324"/>
      <c r="D593" s="324"/>
      <c r="E593" s="324"/>
      <c r="F593" s="324"/>
      <c r="G593" s="324"/>
      <c r="H593" s="324"/>
      <c r="I593" s="324"/>
      <c r="J593" s="324"/>
      <c r="K593" s="324"/>
      <c r="L593" s="324"/>
      <c r="M593" s="324"/>
      <c r="N593" s="324"/>
      <c r="O593" s="324"/>
      <c r="P593" s="324"/>
      <c r="Q593" s="324"/>
      <c r="R593" s="324"/>
      <c r="S593" s="324"/>
      <c r="T593" s="324"/>
      <c r="U593" s="324"/>
      <c r="V593" s="324"/>
      <c r="W593" s="324"/>
      <c r="X593" s="324"/>
      <c r="Y593" s="324"/>
      <c r="Z593" s="324"/>
    </row>
    <row r="594">
      <c r="A594" s="324"/>
      <c r="B594" s="324"/>
      <c r="C594" s="324"/>
      <c r="D594" s="324"/>
      <c r="E594" s="324"/>
      <c r="F594" s="324"/>
      <c r="G594" s="324"/>
      <c r="H594" s="324"/>
      <c r="I594" s="324"/>
      <c r="J594" s="324"/>
      <c r="K594" s="324"/>
      <c r="L594" s="324"/>
      <c r="M594" s="324"/>
      <c r="N594" s="324"/>
      <c r="O594" s="324"/>
      <c r="P594" s="324"/>
      <c r="Q594" s="324"/>
      <c r="R594" s="324"/>
      <c r="S594" s="324"/>
      <c r="T594" s="324"/>
      <c r="U594" s="324"/>
      <c r="V594" s="324"/>
      <c r="W594" s="324"/>
      <c r="X594" s="324"/>
      <c r="Y594" s="324"/>
      <c r="Z594" s="324"/>
    </row>
    <row r="595">
      <c r="A595" s="324"/>
      <c r="B595" s="324"/>
      <c r="C595" s="324"/>
      <c r="D595" s="324"/>
      <c r="E595" s="324"/>
      <c r="F595" s="324"/>
      <c r="G595" s="324"/>
      <c r="H595" s="324"/>
      <c r="I595" s="324"/>
      <c r="J595" s="324"/>
      <c r="K595" s="324"/>
      <c r="L595" s="324"/>
      <c r="M595" s="324"/>
      <c r="N595" s="324"/>
      <c r="O595" s="324"/>
      <c r="P595" s="324"/>
      <c r="Q595" s="324"/>
      <c r="R595" s="324"/>
      <c r="S595" s="324"/>
      <c r="T595" s="324"/>
      <c r="U595" s="324"/>
      <c r="V595" s="324"/>
      <c r="W595" s="324"/>
      <c r="X595" s="324"/>
      <c r="Y595" s="324"/>
      <c r="Z595" s="324"/>
    </row>
    <row r="596">
      <c r="A596" s="324"/>
      <c r="B596" s="324"/>
      <c r="C596" s="324"/>
      <c r="D596" s="324"/>
      <c r="E596" s="324"/>
      <c r="F596" s="324"/>
      <c r="G596" s="324"/>
      <c r="H596" s="324"/>
      <c r="I596" s="324"/>
      <c r="J596" s="324"/>
      <c r="K596" s="324"/>
      <c r="L596" s="324"/>
      <c r="M596" s="324"/>
      <c r="N596" s="324"/>
      <c r="O596" s="324"/>
      <c r="P596" s="324"/>
      <c r="Q596" s="324"/>
      <c r="R596" s="324"/>
      <c r="S596" s="324"/>
      <c r="T596" s="324"/>
      <c r="U596" s="324"/>
      <c r="V596" s="324"/>
      <c r="W596" s="324"/>
      <c r="X596" s="324"/>
      <c r="Y596" s="324"/>
      <c r="Z596" s="324"/>
    </row>
    <row r="597">
      <c r="A597" s="324"/>
      <c r="B597" s="324"/>
      <c r="C597" s="324"/>
      <c r="D597" s="324"/>
      <c r="E597" s="324"/>
      <c r="F597" s="324"/>
      <c r="G597" s="324"/>
      <c r="H597" s="324"/>
      <c r="I597" s="324"/>
      <c r="J597" s="324"/>
      <c r="K597" s="324"/>
      <c r="L597" s="324"/>
      <c r="M597" s="324"/>
      <c r="N597" s="324"/>
      <c r="O597" s="324"/>
      <c r="P597" s="324"/>
      <c r="Q597" s="324"/>
      <c r="R597" s="324"/>
      <c r="S597" s="324"/>
      <c r="T597" s="324"/>
      <c r="U597" s="324"/>
      <c r="V597" s="324"/>
      <c r="W597" s="324"/>
      <c r="X597" s="324"/>
      <c r="Y597" s="324"/>
      <c r="Z597" s="324"/>
    </row>
    <row r="598">
      <c r="A598" s="324"/>
      <c r="B598" s="324"/>
      <c r="C598" s="324"/>
      <c r="D598" s="324"/>
      <c r="E598" s="324"/>
      <c r="F598" s="324"/>
      <c r="G598" s="324"/>
      <c r="H598" s="324"/>
      <c r="I598" s="324"/>
      <c r="J598" s="324"/>
      <c r="K598" s="324"/>
      <c r="L598" s="324"/>
      <c r="M598" s="324"/>
      <c r="N598" s="324"/>
      <c r="O598" s="324"/>
      <c r="P598" s="324"/>
      <c r="Q598" s="324"/>
      <c r="R598" s="324"/>
      <c r="S598" s="324"/>
      <c r="T598" s="324"/>
      <c r="U598" s="324"/>
      <c r="V598" s="324"/>
      <c r="W598" s="324"/>
      <c r="X598" s="324"/>
      <c r="Y598" s="324"/>
      <c r="Z598" s="324"/>
    </row>
    <row r="599">
      <c r="A599" s="324"/>
      <c r="B599" s="324"/>
      <c r="C599" s="324"/>
      <c r="D599" s="324"/>
      <c r="E599" s="324"/>
      <c r="F599" s="324"/>
      <c r="G599" s="324"/>
      <c r="H599" s="324"/>
      <c r="I599" s="324"/>
      <c r="J599" s="324"/>
      <c r="K599" s="324"/>
      <c r="L599" s="324"/>
      <c r="M599" s="324"/>
      <c r="N599" s="324"/>
      <c r="O599" s="324"/>
      <c r="P599" s="324"/>
      <c r="Q599" s="324"/>
      <c r="R599" s="324"/>
      <c r="S599" s="324"/>
      <c r="T599" s="324"/>
      <c r="U599" s="324"/>
      <c r="V599" s="324"/>
      <c r="W599" s="324"/>
      <c r="X599" s="324"/>
      <c r="Y599" s="324"/>
      <c r="Z599" s="324"/>
    </row>
    <row r="600">
      <c r="A600" s="324"/>
      <c r="B600" s="324"/>
      <c r="C600" s="324"/>
      <c r="D600" s="324"/>
      <c r="E600" s="324"/>
      <c r="F600" s="324"/>
      <c r="G600" s="324"/>
      <c r="H600" s="324"/>
      <c r="I600" s="324"/>
      <c r="J600" s="324"/>
      <c r="K600" s="324"/>
      <c r="L600" s="324"/>
      <c r="M600" s="324"/>
      <c r="N600" s="324"/>
      <c r="O600" s="324"/>
      <c r="P600" s="324"/>
      <c r="Q600" s="324"/>
      <c r="R600" s="324"/>
      <c r="S600" s="324"/>
      <c r="T600" s="324"/>
      <c r="U600" s="324"/>
      <c r="V600" s="324"/>
      <c r="W600" s="324"/>
      <c r="X600" s="324"/>
      <c r="Y600" s="324"/>
      <c r="Z600" s="324"/>
    </row>
    <row r="601">
      <c r="A601" s="324"/>
      <c r="B601" s="324"/>
      <c r="C601" s="324"/>
      <c r="D601" s="324"/>
      <c r="E601" s="324"/>
      <c r="F601" s="324"/>
      <c r="G601" s="324"/>
      <c r="H601" s="324"/>
      <c r="I601" s="324"/>
      <c r="J601" s="324"/>
      <c r="K601" s="324"/>
      <c r="L601" s="324"/>
      <c r="M601" s="324"/>
      <c r="N601" s="324"/>
      <c r="O601" s="324"/>
      <c r="P601" s="324"/>
      <c r="Q601" s="324"/>
      <c r="R601" s="324"/>
      <c r="S601" s="324"/>
      <c r="T601" s="324"/>
      <c r="U601" s="324"/>
      <c r="V601" s="324"/>
      <c r="W601" s="324"/>
      <c r="X601" s="324"/>
      <c r="Y601" s="324"/>
      <c r="Z601" s="324"/>
    </row>
    <row r="602">
      <c r="A602" s="324"/>
      <c r="B602" s="324"/>
      <c r="C602" s="324"/>
      <c r="D602" s="324"/>
      <c r="E602" s="324"/>
      <c r="F602" s="324"/>
      <c r="G602" s="324"/>
      <c r="H602" s="324"/>
      <c r="I602" s="324"/>
      <c r="J602" s="324"/>
      <c r="K602" s="324"/>
      <c r="L602" s="324"/>
      <c r="M602" s="324"/>
      <c r="N602" s="324"/>
      <c r="O602" s="324"/>
      <c r="P602" s="324"/>
      <c r="Q602" s="324"/>
      <c r="R602" s="324"/>
      <c r="S602" s="324"/>
      <c r="T602" s="324"/>
      <c r="U602" s="324"/>
      <c r="V602" s="324"/>
      <c r="W602" s="324"/>
      <c r="X602" s="324"/>
      <c r="Y602" s="324"/>
      <c r="Z602" s="324"/>
    </row>
    <row r="603">
      <c r="A603" s="324"/>
      <c r="B603" s="324"/>
      <c r="C603" s="324"/>
      <c r="D603" s="324"/>
      <c r="E603" s="324"/>
      <c r="F603" s="324"/>
      <c r="G603" s="324"/>
      <c r="H603" s="324"/>
      <c r="I603" s="324"/>
      <c r="J603" s="324"/>
      <c r="K603" s="324"/>
      <c r="L603" s="324"/>
      <c r="M603" s="324"/>
      <c r="N603" s="324"/>
      <c r="O603" s="324"/>
      <c r="P603" s="324"/>
      <c r="Q603" s="324"/>
      <c r="R603" s="324"/>
      <c r="S603" s="324"/>
      <c r="T603" s="324"/>
      <c r="U603" s="324"/>
      <c r="V603" s="324"/>
      <c r="W603" s="324"/>
      <c r="X603" s="324"/>
      <c r="Y603" s="324"/>
      <c r="Z603" s="324"/>
    </row>
    <row r="604">
      <c r="A604" s="324"/>
      <c r="B604" s="324"/>
      <c r="C604" s="324"/>
      <c r="D604" s="324"/>
      <c r="E604" s="324"/>
      <c r="F604" s="324"/>
      <c r="G604" s="324"/>
      <c r="H604" s="324"/>
      <c r="I604" s="324"/>
      <c r="J604" s="324"/>
      <c r="K604" s="324"/>
      <c r="L604" s="324"/>
      <c r="M604" s="324"/>
      <c r="N604" s="324"/>
      <c r="O604" s="324"/>
      <c r="P604" s="324"/>
      <c r="Q604" s="324"/>
      <c r="R604" s="324"/>
      <c r="S604" s="324"/>
      <c r="T604" s="324"/>
      <c r="U604" s="324"/>
      <c r="V604" s="324"/>
      <c r="W604" s="324"/>
      <c r="X604" s="324"/>
      <c r="Y604" s="324"/>
      <c r="Z604" s="324"/>
    </row>
    <row r="605">
      <c r="A605" s="324"/>
      <c r="B605" s="324"/>
      <c r="C605" s="324"/>
      <c r="D605" s="324"/>
      <c r="E605" s="324"/>
      <c r="F605" s="324"/>
      <c r="G605" s="324"/>
      <c r="H605" s="324"/>
      <c r="I605" s="324"/>
      <c r="J605" s="324"/>
      <c r="K605" s="324"/>
      <c r="L605" s="324"/>
      <c r="M605" s="324"/>
      <c r="N605" s="324"/>
      <c r="O605" s="324"/>
      <c r="P605" s="324"/>
      <c r="Q605" s="324"/>
      <c r="R605" s="324"/>
      <c r="S605" s="324"/>
      <c r="T605" s="324"/>
      <c r="U605" s="324"/>
      <c r="V605" s="324"/>
      <c r="W605" s="324"/>
      <c r="X605" s="324"/>
      <c r="Y605" s="324"/>
      <c r="Z605" s="324"/>
    </row>
    <row r="606">
      <c r="A606" s="324"/>
      <c r="B606" s="324"/>
      <c r="C606" s="324"/>
      <c r="D606" s="324"/>
      <c r="E606" s="324"/>
      <c r="F606" s="324"/>
      <c r="G606" s="324"/>
      <c r="H606" s="324"/>
      <c r="I606" s="324"/>
      <c r="J606" s="324"/>
      <c r="K606" s="324"/>
      <c r="L606" s="324"/>
      <c r="M606" s="324"/>
      <c r="N606" s="324"/>
      <c r="O606" s="324"/>
      <c r="P606" s="324"/>
      <c r="Q606" s="324"/>
      <c r="R606" s="324"/>
      <c r="S606" s="324"/>
      <c r="T606" s="324"/>
      <c r="U606" s="324"/>
      <c r="V606" s="324"/>
      <c r="W606" s="324"/>
      <c r="X606" s="324"/>
      <c r="Y606" s="324"/>
      <c r="Z606" s="324"/>
    </row>
    <row r="607">
      <c r="A607" s="324"/>
      <c r="B607" s="324"/>
      <c r="C607" s="324"/>
      <c r="D607" s="324"/>
      <c r="E607" s="324"/>
      <c r="F607" s="324"/>
      <c r="G607" s="324"/>
      <c r="H607" s="324"/>
      <c r="I607" s="324"/>
      <c r="J607" s="324"/>
      <c r="K607" s="324"/>
      <c r="L607" s="324"/>
      <c r="M607" s="324"/>
      <c r="N607" s="324"/>
      <c r="O607" s="324"/>
      <c r="P607" s="324"/>
      <c r="Q607" s="324"/>
      <c r="R607" s="324"/>
      <c r="S607" s="324"/>
      <c r="T607" s="324"/>
      <c r="U607" s="324"/>
      <c r="V607" s="324"/>
      <c r="W607" s="324"/>
      <c r="X607" s="324"/>
      <c r="Y607" s="324"/>
      <c r="Z607" s="324"/>
    </row>
    <row r="608">
      <c r="A608" s="324"/>
      <c r="B608" s="324"/>
      <c r="C608" s="324"/>
      <c r="D608" s="324"/>
      <c r="E608" s="324"/>
      <c r="F608" s="324"/>
      <c r="G608" s="324"/>
      <c r="H608" s="324"/>
      <c r="I608" s="324"/>
      <c r="J608" s="324"/>
      <c r="K608" s="324"/>
      <c r="L608" s="324"/>
      <c r="M608" s="324"/>
      <c r="N608" s="324"/>
      <c r="O608" s="324"/>
      <c r="P608" s="324"/>
      <c r="Q608" s="324"/>
      <c r="R608" s="324"/>
      <c r="S608" s="324"/>
      <c r="T608" s="324"/>
      <c r="U608" s="324"/>
      <c r="V608" s="324"/>
      <c r="W608" s="324"/>
      <c r="X608" s="324"/>
      <c r="Y608" s="324"/>
      <c r="Z608" s="324"/>
    </row>
    <row r="609">
      <c r="A609" s="324"/>
      <c r="B609" s="324"/>
      <c r="C609" s="324"/>
      <c r="D609" s="324"/>
      <c r="E609" s="324"/>
      <c r="F609" s="324"/>
      <c r="G609" s="324"/>
      <c r="H609" s="324"/>
      <c r="I609" s="324"/>
      <c r="J609" s="324"/>
      <c r="K609" s="324"/>
      <c r="L609" s="324"/>
      <c r="M609" s="324"/>
      <c r="N609" s="324"/>
      <c r="O609" s="324"/>
      <c r="P609" s="324"/>
      <c r="Q609" s="324"/>
      <c r="R609" s="324"/>
      <c r="S609" s="324"/>
      <c r="T609" s="324"/>
      <c r="U609" s="324"/>
      <c r="V609" s="324"/>
      <c r="W609" s="324"/>
      <c r="X609" s="324"/>
      <c r="Y609" s="324"/>
      <c r="Z609" s="324"/>
    </row>
    <row r="610">
      <c r="A610" s="324"/>
      <c r="B610" s="324"/>
      <c r="C610" s="324"/>
      <c r="D610" s="324"/>
      <c r="E610" s="324"/>
      <c r="F610" s="324"/>
      <c r="G610" s="324"/>
      <c r="H610" s="324"/>
      <c r="I610" s="324"/>
      <c r="J610" s="324"/>
      <c r="K610" s="324"/>
      <c r="L610" s="324"/>
      <c r="M610" s="324"/>
      <c r="N610" s="324"/>
      <c r="O610" s="324"/>
      <c r="P610" s="324"/>
      <c r="Q610" s="324"/>
      <c r="R610" s="324"/>
      <c r="S610" s="324"/>
      <c r="T610" s="324"/>
      <c r="U610" s="324"/>
      <c r="V610" s="324"/>
      <c r="W610" s="324"/>
      <c r="X610" s="324"/>
      <c r="Y610" s="324"/>
      <c r="Z610" s="324"/>
    </row>
    <row r="611">
      <c r="A611" s="324"/>
      <c r="B611" s="324"/>
      <c r="C611" s="324"/>
      <c r="D611" s="324"/>
      <c r="E611" s="324"/>
      <c r="F611" s="324"/>
      <c r="G611" s="324"/>
      <c r="H611" s="324"/>
      <c r="I611" s="324"/>
      <c r="J611" s="324"/>
      <c r="K611" s="324"/>
      <c r="L611" s="324"/>
      <c r="M611" s="324"/>
      <c r="N611" s="324"/>
      <c r="O611" s="324"/>
      <c r="P611" s="324"/>
      <c r="Q611" s="324"/>
      <c r="R611" s="324"/>
      <c r="S611" s="324"/>
      <c r="T611" s="324"/>
      <c r="U611" s="324"/>
      <c r="V611" s="324"/>
      <c r="W611" s="324"/>
      <c r="X611" s="324"/>
      <c r="Y611" s="324"/>
      <c r="Z611" s="324"/>
    </row>
    <row r="612">
      <c r="A612" s="324"/>
      <c r="B612" s="324"/>
      <c r="C612" s="324"/>
      <c r="D612" s="324"/>
      <c r="E612" s="324"/>
      <c r="F612" s="324"/>
      <c r="G612" s="324"/>
      <c r="H612" s="324"/>
      <c r="I612" s="324"/>
      <c r="J612" s="324"/>
      <c r="K612" s="324"/>
      <c r="L612" s="324"/>
      <c r="M612" s="324"/>
      <c r="N612" s="324"/>
      <c r="O612" s="324"/>
      <c r="P612" s="324"/>
      <c r="Q612" s="324"/>
      <c r="R612" s="324"/>
      <c r="S612" s="324"/>
      <c r="T612" s="324"/>
      <c r="U612" s="324"/>
      <c r="V612" s="324"/>
      <c r="W612" s="324"/>
      <c r="X612" s="324"/>
      <c r="Y612" s="324"/>
      <c r="Z612" s="324"/>
    </row>
    <row r="613">
      <c r="A613" s="324"/>
      <c r="B613" s="324"/>
      <c r="C613" s="324"/>
      <c r="D613" s="324"/>
      <c r="E613" s="324"/>
      <c r="F613" s="324"/>
      <c r="G613" s="324"/>
      <c r="H613" s="324"/>
      <c r="I613" s="324"/>
      <c r="J613" s="324"/>
      <c r="K613" s="324"/>
      <c r="L613" s="324"/>
      <c r="M613" s="324"/>
      <c r="N613" s="324"/>
      <c r="O613" s="324"/>
      <c r="P613" s="324"/>
      <c r="Q613" s="324"/>
      <c r="R613" s="324"/>
      <c r="S613" s="324"/>
      <c r="T613" s="324"/>
      <c r="U613" s="324"/>
      <c r="V613" s="324"/>
      <c r="W613" s="324"/>
      <c r="X613" s="324"/>
      <c r="Y613" s="324"/>
      <c r="Z613" s="324"/>
    </row>
    <row r="614">
      <c r="A614" s="324"/>
      <c r="B614" s="324"/>
      <c r="C614" s="324"/>
      <c r="D614" s="324"/>
      <c r="E614" s="324"/>
      <c r="F614" s="324"/>
      <c r="G614" s="324"/>
      <c r="H614" s="324"/>
      <c r="I614" s="324"/>
      <c r="J614" s="324"/>
      <c r="K614" s="324"/>
      <c r="L614" s="324"/>
      <c r="M614" s="324"/>
      <c r="N614" s="324"/>
      <c r="O614" s="324"/>
      <c r="P614" s="324"/>
      <c r="Q614" s="324"/>
      <c r="R614" s="324"/>
      <c r="S614" s="324"/>
      <c r="T614" s="324"/>
      <c r="U614" s="324"/>
      <c r="V614" s="324"/>
      <c r="W614" s="324"/>
      <c r="X614" s="324"/>
      <c r="Y614" s="324"/>
      <c r="Z614" s="324"/>
    </row>
    <row r="615">
      <c r="A615" s="324"/>
      <c r="B615" s="324"/>
      <c r="C615" s="324"/>
      <c r="D615" s="324"/>
      <c r="E615" s="324"/>
      <c r="F615" s="324"/>
      <c r="G615" s="324"/>
      <c r="H615" s="324"/>
      <c r="I615" s="324"/>
      <c r="J615" s="324"/>
      <c r="K615" s="324"/>
      <c r="L615" s="324"/>
      <c r="M615" s="324"/>
      <c r="N615" s="324"/>
      <c r="O615" s="324"/>
      <c r="P615" s="324"/>
      <c r="Q615" s="324"/>
      <c r="R615" s="324"/>
      <c r="S615" s="324"/>
      <c r="T615" s="324"/>
      <c r="U615" s="324"/>
      <c r="V615" s="324"/>
      <c r="W615" s="324"/>
      <c r="X615" s="324"/>
      <c r="Y615" s="324"/>
      <c r="Z615" s="324"/>
    </row>
    <row r="616">
      <c r="A616" s="324"/>
      <c r="B616" s="324"/>
      <c r="C616" s="324"/>
      <c r="D616" s="324"/>
      <c r="E616" s="324"/>
      <c r="F616" s="324"/>
      <c r="G616" s="324"/>
      <c r="H616" s="324"/>
      <c r="I616" s="324"/>
      <c r="J616" s="324"/>
      <c r="K616" s="324"/>
      <c r="L616" s="324"/>
      <c r="M616" s="324"/>
      <c r="N616" s="324"/>
      <c r="O616" s="324"/>
      <c r="P616" s="324"/>
      <c r="Q616" s="324"/>
      <c r="R616" s="324"/>
      <c r="S616" s="324"/>
      <c r="T616" s="324"/>
      <c r="U616" s="324"/>
      <c r="V616" s="324"/>
      <c r="W616" s="324"/>
      <c r="X616" s="324"/>
      <c r="Y616" s="324"/>
      <c r="Z616" s="324"/>
    </row>
    <row r="617">
      <c r="A617" s="324"/>
      <c r="B617" s="324"/>
      <c r="C617" s="324"/>
      <c r="D617" s="324"/>
      <c r="E617" s="324"/>
      <c r="F617" s="324"/>
      <c r="G617" s="324"/>
      <c r="H617" s="324"/>
      <c r="I617" s="324"/>
      <c r="J617" s="324"/>
      <c r="K617" s="324"/>
      <c r="L617" s="324"/>
      <c r="M617" s="324"/>
      <c r="N617" s="324"/>
      <c r="O617" s="324"/>
      <c r="P617" s="324"/>
      <c r="Q617" s="324"/>
      <c r="R617" s="324"/>
      <c r="S617" s="324"/>
      <c r="T617" s="324"/>
      <c r="U617" s="324"/>
      <c r="V617" s="324"/>
      <c r="W617" s="324"/>
      <c r="X617" s="324"/>
      <c r="Y617" s="324"/>
      <c r="Z617" s="324"/>
    </row>
    <row r="618">
      <c r="A618" s="324"/>
      <c r="B618" s="324"/>
      <c r="C618" s="324"/>
      <c r="D618" s="324"/>
      <c r="E618" s="324"/>
      <c r="F618" s="324"/>
      <c r="G618" s="324"/>
      <c r="H618" s="324"/>
      <c r="I618" s="324"/>
      <c r="J618" s="324"/>
      <c r="K618" s="324"/>
      <c r="L618" s="324"/>
      <c r="M618" s="324"/>
      <c r="N618" s="324"/>
      <c r="O618" s="324"/>
      <c r="P618" s="324"/>
      <c r="Q618" s="324"/>
      <c r="R618" s="324"/>
      <c r="S618" s="324"/>
      <c r="T618" s="324"/>
      <c r="U618" s="324"/>
      <c r="V618" s="324"/>
      <c r="W618" s="324"/>
      <c r="X618" s="324"/>
      <c r="Y618" s="324"/>
      <c r="Z618" s="324"/>
    </row>
    <row r="619">
      <c r="A619" s="324"/>
      <c r="B619" s="324"/>
      <c r="C619" s="324"/>
      <c r="D619" s="324"/>
      <c r="E619" s="324"/>
      <c r="F619" s="324"/>
      <c r="G619" s="324"/>
      <c r="H619" s="324"/>
      <c r="I619" s="324"/>
      <c r="J619" s="324"/>
      <c r="K619" s="324"/>
      <c r="L619" s="324"/>
      <c r="M619" s="324"/>
      <c r="N619" s="324"/>
      <c r="O619" s="324"/>
      <c r="P619" s="324"/>
      <c r="Q619" s="324"/>
      <c r="R619" s="324"/>
      <c r="S619" s="324"/>
      <c r="T619" s="324"/>
      <c r="U619" s="324"/>
      <c r="V619" s="324"/>
      <c r="W619" s="324"/>
      <c r="X619" s="324"/>
      <c r="Y619" s="324"/>
      <c r="Z619" s="324"/>
    </row>
    <row r="620">
      <c r="A620" s="324"/>
      <c r="B620" s="324"/>
      <c r="C620" s="324"/>
      <c r="D620" s="324"/>
      <c r="E620" s="324"/>
      <c r="F620" s="324"/>
      <c r="G620" s="324"/>
      <c r="H620" s="324"/>
      <c r="I620" s="324"/>
      <c r="J620" s="324"/>
      <c r="K620" s="324"/>
      <c r="L620" s="324"/>
      <c r="M620" s="324"/>
      <c r="N620" s="324"/>
      <c r="O620" s="324"/>
      <c r="P620" s="324"/>
      <c r="Q620" s="324"/>
      <c r="R620" s="324"/>
      <c r="S620" s="324"/>
      <c r="T620" s="324"/>
      <c r="U620" s="324"/>
      <c r="V620" s="324"/>
      <c r="W620" s="324"/>
      <c r="X620" s="324"/>
      <c r="Y620" s="324"/>
      <c r="Z620" s="324"/>
    </row>
    <row r="621">
      <c r="A621" s="324"/>
      <c r="B621" s="324"/>
      <c r="C621" s="324"/>
      <c r="D621" s="324"/>
      <c r="E621" s="324"/>
      <c r="F621" s="324"/>
      <c r="G621" s="324"/>
      <c r="H621" s="324"/>
      <c r="I621" s="324"/>
      <c r="J621" s="324"/>
      <c r="K621" s="324"/>
      <c r="L621" s="324"/>
      <c r="M621" s="324"/>
      <c r="N621" s="324"/>
      <c r="O621" s="324"/>
      <c r="P621" s="324"/>
      <c r="Q621" s="324"/>
      <c r="R621" s="324"/>
      <c r="S621" s="324"/>
      <c r="T621" s="324"/>
      <c r="U621" s="324"/>
      <c r="V621" s="324"/>
      <c r="W621" s="324"/>
      <c r="X621" s="324"/>
      <c r="Y621" s="324"/>
      <c r="Z621" s="324"/>
    </row>
    <row r="622">
      <c r="A622" s="324"/>
      <c r="B622" s="324"/>
      <c r="C622" s="324"/>
      <c r="D622" s="324"/>
      <c r="E622" s="324"/>
      <c r="F622" s="324"/>
      <c r="G622" s="324"/>
      <c r="H622" s="324"/>
      <c r="I622" s="324"/>
      <c r="J622" s="324"/>
      <c r="K622" s="324"/>
      <c r="L622" s="324"/>
      <c r="M622" s="324"/>
      <c r="N622" s="324"/>
      <c r="O622" s="324"/>
      <c r="P622" s="324"/>
      <c r="Q622" s="324"/>
      <c r="R622" s="324"/>
      <c r="S622" s="324"/>
      <c r="T622" s="324"/>
      <c r="U622" s="324"/>
      <c r="V622" s="324"/>
      <c r="W622" s="324"/>
      <c r="X622" s="324"/>
      <c r="Y622" s="324"/>
      <c r="Z622" s="324"/>
    </row>
    <row r="623">
      <c r="A623" s="324"/>
      <c r="B623" s="324"/>
      <c r="C623" s="324"/>
      <c r="D623" s="324"/>
      <c r="E623" s="324"/>
      <c r="F623" s="324"/>
      <c r="G623" s="324"/>
      <c r="H623" s="324"/>
      <c r="I623" s="324"/>
      <c r="J623" s="324"/>
      <c r="K623" s="324"/>
      <c r="L623" s="324"/>
      <c r="M623" s="324"/>
      <c r="N623" s="324"/>
      <c r="O623" s="324"/>
      <c r="P623" s="324"/>
      <c r="Q623" s="324"/>
      <c r="R623" s="324"/>
      <c r="S623" s="324"/>
      <c r="T623" s="324"/>
      <c r="U623" s="324"/>
      <c r="V623" s="324"/>
      <c r="W623" s="324"/>
      <c r="X623" s="324"/>
      <c r="Y623" s="324"/>
      <c r="Z623" s="324"/>
    </row>
    <row r="624">
      <c r="A624" s="324"/>
      <c r="B624" s="324"/>
      <c r="C624" s="324"/>
      <c r="D624" s="324"/>
      <c r="E624" s="324"/>
      <c r="F624" s="324"/>
      <c r="G624" s="324"/>
      <c r="H624" s="324"/>
      <c r="I624" s="324"/>
      <c r="J624" s="324"/>
      <c r="K624" s="324"/>
      <c r="L624" s="324"/>
      <c r="M624" s="324"/>
      <c r="N624" s="324"/>
      <c r="O624" s="324"/>
      <c r="P624" s="324"/>
      <c r="Q624" s="324"/>
      <c r="R624" s="324"/>
      <c r="S624" s="324"/>
      <c r="T624" s="324"/>
      <c r="U624" s="324"/>
      <c r="V624" s="324"/>
      <c r="W624" s="324"/>
      <c r="X624" s="324"/>
      <c r="Y624" s="324"/>
      <c r="Z624" s="324"/>
    </row>
    <row r="625">
      <c r="A625" s="324"/>
      <c r="B625" s="324"/>
      <c r="C625" s="324"/>
      <c r="D625" s="324"/>
      <c r="E625" s="324"/>
      <c r="F625" s="324"/>
      <c r="G625" s="324"/>
      <c r="H625" s="324"/>
      <c r="I625" s="324"/>
      <c r="J625" s="324"/>
      <c r="K625" s="324"/>
      <c r="L625" s="324"/>
      <c r="M625" s="324"/>
      <c r="N625" s="324"/>
      <c r="O625" s="324"/>
      <c r="P625" s="324"/>
      <c r="Q625" s="324"/>
      <c r="R625" s="324"/>
      <c r="S625" s="324"/>
      <c r="T625" s="324"/>
      <c r="U625" s="324"/>
      <c r="V625" s="324"/>
      <c r="W625" s="324"/>
      <c r="X625" s="324"/>
      <c r="Y625" s="324"/>
      <c r="Z625" s="324"/>
    </row>
    <row r="626">
      <c r="A626" s="324"/>
      <c r="B626" s="324"/>
      <c r="C626" s="324"/>
      <c r="D626" s="324"/>
      <c r="E626" s="324"/>
      <c r="F626" s="324"/>
      <c r="G626" s="324"/>
      <c r="H626" s="324"/>
      <c r="I626" s="324"/>
      <c r="J626" s="324"/>
      <c r="K626" s="324"/>
      <c r="L626" s="324"/>
      <c r="M626" s="324"/>
      <c r="N626" s="324"/>
      <c r="O626" s="324"/>
      <c r="P626" s="324"/>
      <c r="Q626" s="324"/>
      <c r="R626" s="324"/>
      <c r="S626" s="324"/>
      <c r="T626" s="324"/>
      <c r="U626" s="324"/>
      <c r="V626" s="324"/>
      <c r="W626" s="324"/>
      <c r="X626" s="324"/>
      <c r="Y626" s="324"/>
      <c r="Z626" s="324"/>
    </row>
    <row r="627">
      <c r="A627" s="324"/>
      <c r="B627" s="324"/>
      <c r="C627" s="324"/>
      <c r="D627" s="324"/>
      <c r="E627" s="324"/>
      <c r="F627" s="324"/>
      <c r="G627" s="324"/>
      <c r="H627" s="324"/>
      <c r="I627" s="324"/>
      <c r="J627" s="324"/>
      <c r="K627" s="324"/>
      <c r="L627" s="324"/>
      <c r="M627" s="324"/>
      <c r="N627" s="324"/>
      <c r="O627" s="324"/>
      <c r="P627" s="324"/>
      <c r="Q627" s="324"/>
      <c r="R627" s="324"/>
      <c r="S627" s="324"/>
      <c r="T627" s="324"/>
      <c r="U627" s="324"/>
      <c r="V627" s="324"/>
      <c r="W627" s="324"/>
      <c r="X627" s="324"/>
      <c r="Y627" s="324"/>
      <c r="Z627" s="324"/>
    </row>
    <row r="628">
      <c r="A628" s="324"/>
      <c r="B628" s="324"/>
      <c r="C628" s="324"/>
      <c r="D628" s="324"/>
      <c r="E628" s="324"/>
      <c r="F628" s="324"/>
      <c r="G628" s="324"/>
      <c r="H628" s="324"/>
      <c r="I628" s="324"/>
      <c r="J628" s="324"/>
      <c r="K628" s="324"/>
      <c r="L628" s="324"/>
      <c r="M628" s="324"/>
      <c r="N628" s="324"/>
      <c r="O628" s="324"/>
      <c r="P628" s="324"/>
      <c r="Q628" s="324"/>
      <c r="R628" s="324"/>
      <c r="S628" s="324"/>
      <c r="T628" s="324"/>
      <c r="U628" s="324"/>
      <c r="V628" s="324"/>
      <c r="W628" s="324"/>
      <c r="X628" s="324"/>
      <c r="Y628" s="324"/>
      <c r="Z628" s="324"/>
    </row>
    <row r="629">
      <c r="A629" s="324"/>
      <c r="B629" s="324"/>
      <c r="C629" s="324"/>
      <c r="D629" s="324"/>
      <c r="E629" s="324"/>
      <c r="F629" s="324"/>
      <c r="G629" s="324"/>
      <c r="H629" s="324"/>
      <c r="I629" s="324"/>
      <c r="J629" s="324"/>
      <c r="K629" s="324"/>
      <c r="L629" s="324"/>
      <c r="M629" s="324"/>
      <c r="N629" s="324"/>
      <c r="O629" s="324"/>
      <c r="P629" s="324"/>
      <c r="Q629" s="324"/>
      <c r="R629" s="324"/>
      <c r="S629" s="324"/>
      <c r="T629" s="324"/>
      <c r="U629" s="324"/>
      <c r="V629" s="324"/>
      <c r="W629" s="324"/>
      <c r="X629" s="324"/>
      <c r="Y629" s="324"/>
      <c r="Z629" s="324"/>
    </row>
    <row r="630">
      <c r="A630" s="324"/>
      <c r="B630" s="324"/>
      <c r="C630" s="324"/>
      <c r="D630" s="324"/>
      <c r="E630" s="324"/>
      <c r="F630" s="324"/>
      <c r="G630" s="324"/>
      <c r="H630" s="324"/>
      <c r="I630" s="324"/>
      <c r="J630" s="324"/>
      <c r="K630" s="324"/>
      <c r="L630" s="324"/>
      <c r="M630" s="324"/>
      <c r="N630" s="324"/>
      <c r="O630" s="324"/>
      <c r="P630" s="324"/>
      <c r="Q630" s="324"/>
      <c r="R630" s="324"/>
      <c r="S630" s="324"/>
      <c r="T630" s="324"/>
      <c r="U630" s="324"/>
      <c r="V630" s="324"/>
      <c r="W630" s="324"/>
      <c r="X630" s="324"/>
      <c r="Y630" s="324"/>
      <c r="Z630" s="324"/>
    </row>
    <row r="631">
      <c r="A631" s="324"/>
      <c r="B631" s="324"/>
      <c r="C631" s="324"/>
      <c r="D631" s="324"/>
      <c r="E631" s="324"/>
      <c r="F631" s="324"/>
      <c r="G631" s="324"/>
      <c r="H631" s="324"/>
      <c r="I631" s="324"/>
      <c r="J631" s="324"/>
      <c r="K631" s="324"/>
      <c r="L631" s="324"/>
      <c r="M631" s="324"/>
      <c r="N631" s="324"/>
      <c r="O631" s="324"/>
      <c r="P631" s="324"/>
      <c r="Q631" s="324"/>
      <c r="R631" s="324"/>
      <c r="S631" s="324"/>
      <c r="T631" s="324"/>
      <c r="U631" s="324"/>
      <c r="V631" s="324"/>
      <c r="W631" s="324"/>
      <c r="X631" s="324"/>
      <c r="Y631" s="324"/>
      <c r="Z631" s="324"/>
    </row>
    <row r="632">
      <c r="A632" s="324"/>
      <c r="B632" s="324"/>
      <c r="C632" s="324"/>
      <c r="D632" s="324"/>
      <c r="E632" s="324"/>
      <c r="F632" s="324"/>
      <c r="G632" s="324"/>
      <c r="H632" s="324"/>
      <c r="I632" s="324"/>
      <c r="J632" s="324"/>
      <c r="K632" s="324"/>
      <c r="L632" s="324"/>
      <c r="M632" s="324"/>
      <c r="N632" s="324"/>
      <c r="O632" s="324"/>
      <c r="P632" s="324"/>
      <c r="Q632" s="324"/>
      <c r="R632" s="324"/>
      <c r="S632" s="324"/>
      <c r="T632" s="324"/>
      <c r="U632" s="324"/>
      <c r="V632" s="324"/>
      <c r="W632" s="324"/>
      <c r="X632" s="324"/>
      <c r="Y632" s="324"/>
      <c r="Z632" s="324"/>
    </row>
    <row r="633">
      <c r="A633" s="324"/>
      <c r="B633" s="324"/>
      <c r="C633" s="324"/>
      <c r="D633" s="324"/>
      <c r="E633" s="324"/>
      <c r="F633" s="324"/>
      <c r="G633" s="324"/>
      <c r="H633" s="324"/>
      <c r="I633" s="324"/>
      <c r="J633" s="324"/>
      <c r="K633" s="324"/>
      <c r="L633" s="324"/>
      <c r="M633" s="324"/>
      <c r="N633" s="324"/>
      <c r="O633" s="324"/>
      <c r="P633" s="324"/>
      <c r="Q633" s="324"/>
      <c r="R633" s="324"/>
      <c r="S633" s="324"/>
      <c r="T633" s="324"/>
      <c r="U633" s="324"/>
      <c r="V633" s="324"/>
      <c r="W633" s="324"/>
      <c r="X633" s="324"/>
      <c r="Y633" s="324"/>
      <c r="Z633" s="324"/>
    </row>
    <row r="634">
      <c r="A634" s="324"/>
      <c r="B634" s="324"/>
      <c r="C634" s="324"/>
      <c r="D634" s="324"/>
      <c r="E634" s="324"/>
      <c r="F634" s="324"/>
      <c r="G634" s="324"/>
      <c r="H634" s="324"/>
      <c r="I634" s="324"/>
      <c r="J634" s="324"/>
      <c r="K634" s="324"/>
      <c r="L634" s="324"/>
      <c r="M634" s="324"/>
      <c r="N634" s="324"/>
      <c r="O634" s="324"/>
      <c r="P634" s="324"/>
      <c r="Q634" s="324"/>
      <c r="R634" s="324"/>
      <c r="S634" s="324"/>
      <c r="T634" s="324"/>
      <c r="U634" s="324"/>
      <c r="V634" s="324"/>
      <c r="W634" s="324"/>
      <c r="X634" s="324"/>
      <c r="Y634" s="324"/>
      <c r="Z634" s="324"/>
    </row>
    <row r="635">
      <c r="A635" s="324"/>
      <c r="B635" s="324"/>
      <c r="C635" s="324"/>
      <c r="D635" s="324"/>
      <c r="E635" s="324"/>
      <c r="F635" s="324"/>
      <c r="G635" s="324"/>
      <c r="H635" s="324"/>
      <c r="I635" s="324"/>
      <c r="J635" s="324"/>
      <c r="K635" s="324"/>
      <c r="L635" s="324"/>
      <c r="M635" s="324"/>
      <c r="N635" s="324"/>
      <c r="O635" s="324"/>
      <c r="P635" s="324"/>
      <c r="Q635" s="324"/>
      <c r="R635" s="324"/>
      <c r="S635" s="324"/>
      <c r="T635" s="324"/>
      <c r="U635" s="324"/>
      <c r="V635" s="324"/>
      <c r="W635" s="324"/>
      <c r="X635" s="324"/>
      <c r="Y635" s="324"/>
      <c r="Z635" s="324"/>
    </row>
    <row r="636">
      <c r="A636" s="324"/>
      <c r="B636" s="324"/>
      <c r="C636" s="324"/>
      <c r="D636" s="324"/>
      <c r="E636" s="324"/>
      <c r="F636" s="324"/>
      <c r="G636" s="324"/>
      <c r="H636" s="324"/>
      <c r="I636" s="324"/>
      <c r="J636" s="324"/>
      <c r="K636" s="324"/>
      <c r="L636" s="324"/>
      <c r="M636" s="324"/>
      <c r="N636" s="324"/>
      <c r="O636" s="324"/>
      <c r="P636" s="324"/>
      <c r="Q636" s="324"/>
      <c r="R636" s="324"/>
      <c r="S636" s="324"/>
      <c r="T636" s="324"/>
      <c r="U636" s="324"/>
      <c r="V636" s="324"/>
      <c r="W636" s="324"/>
      <c r="X636" s="324"/>
      <c r="Y636" s="324"/>
      <c r="Z636" s="324"/>
    </row>
    <row r="637">
      <c r="A637" s="324"/>
      <c r="B637" s="324"/>
      <c r="C637" s="324"/>
      <c r="D637" s="324"/>
      <c r="E637" s="324"/>
      <c r="F637" s="324"/>
      <c r="G637" s="324"/>
      <c r="H637" s="324"/>
      <c r="I637" s="324"/>
      <c r="J637" s="324"/>
      <c r="K637" s="324"/>
      <c r="L637" s="324"/>
      <c r="M637" s="324"/>
      <c r="N637" s="324"/>
      <c r="O637" s="324"/>
      <c r="P637" s="324"/>
      <c r="Q637" s="324"/>
      <c r="R637" s="324"/>
      <c r="S637" s="324"/>
      <c r="T637" s="324"/>
      <c r="U637" s="324"/>
      <c r="V637" s="324"/>
      <c r="W637" s="324"/>
      <c r="X637" s="324"/>
      <c r="Y637" s="324"/>
      <c r="Z637" s="324"/>
    </row>
    <row r="638">
      <c r="A638" s="324"/>
      <c r="B638" s="324"/>
      <c r="C638" s="324"/>
      <c r="D638" s="324"/>
      <c r="E638" s="324"/>
      <c r="F638" s="324"/>
      <c r="G638" s="324"/>
      <c r="H638" s="324"/>
      <c r="I638" s="324"/>
      <c r="J638" s="324"/>
      <c r="K638" s="324"/>
      <c r="L638" s="324"/>
      <c r="M638" s="324"/>
      <c r="N638" s="324"/>
      <c r="O638" s="324"/>
      <c r="P638" s="324"/>
      <c r="Q638" s="324"/>
      <c r="R638" s="324"/>
      <c r="S638" s="324"/>
      <c r="T638" s="324"/>
      <c r="U638" s="324"/>
      <c r="V638" s="324"/>
      <c r="W638" s="324"/>
      <c r="X638" s="324"/>
      <c r="Y638" s="324"/>
      <c r="Z638" s="324"/>
    </row>
    <row r="639">
      <c r="A639" s="324"/>
      <c r="B639" s="324"/>
      <c r="C639" s="324"/>
      <c r="D639" s="324"/>
      <c r="E639" s="324"/>
      <c r="F639" s="324"/>
      <c r="G639" s="324"/>
      <c r="H639" s="324"/>
      <c r="I639" s="324"/>
      <c r="J639" s="324"/>
      <c r="K639" s="324"/>
      <c r="L639" s="324"/>
      <c r="M639" s="324"/>
      <c r="N639" s="324"/>
      <c r="O639" s="324"/>
      <c r="P639" s="324"/>
      <c r="Q639" s="324"/>
      <c r="R639" s="324"/>
      <c r="S639" s="324"/>
      <c r="T639" s="324"/>
      <c r="U639" s="324"/>
      <c r="V639" s="324"/>
      <c r="W639" s="324"/>
      <c r="X639" s="324"/>
      <c r="Y639" s="324"/>
      <c r="Z639" s="324"/>
    </row>
    <row r="640">
      <c r="A640" s="324"/>
      <c r="B640" s="324"/>
      <c r="C640" s="324"/>
      <c r="D640" s="324"/>
      <c r="E640" s="324"/>
      <c r="F640" s="324"/>
      <c r="G640" s="324"/>
      <c r="H640" s="324"/>
      <c r="I640" s="324"/>
      <c r="J640" s="324"/>
      <c r="K640" s="324"/>
      <c r="L640" s="324"/>
      <c r="M640" s="324"/>
      <c r="N640" s="324"/>
      <c r="O640" s="324"/>
      <c r="P640" s="324"/>
      <c r="Q640" s="324"/>
      <c r="R640" s="324"/>
      <c r="S640" s="324"/>
      <c r="T640" s="324"/>
      <c r="U640" s="324"/>
      <c r="V640" s="324"/>
      <c r="W640" s="324"/>
      <c r="X640" s="324"/>
      <c r="Y640" s="324"/>
      <c r="Z640" s="324"/>
    </row>
    <row r="641">
      <c r="A641" s="324"/>
      <c r="B641" s="324"/>
      <c r="C641" s="324"/>
      <c r="D641" s="324"/>
      <c r="E641" s="324"/>
      <c r="F641" s="324"/>
      <c r="G641" s="324"/>
      <c r="H641" s="324"/>
      <c r="I641" s="324"/>
      <c r="J641" s="324"/>
      <c r="K641" s="324"/>
      <c r="L641" s="324"/>
      <c r="M641" s="324"/>
      <c r="N641" s="324"/>
      <c r="O641" s="324"/>
      <c r="P641" s="324"/>
      <c r="Q641" s="324"/>
      <c r="R641" s="324"/>
      <c r="S641" s="324"/>
      <c r="T641" s="324"/>
      <c r="U641" s="324"/>
      <c r="V641" s="324"/>
      <c r="W641" s="324"/>
      <c r="X641" s="324"/>
      <c r="Y641" s="324"/>
      <c r="Z641" s="324"/>
    </row>
    <row r="642">
      <c r="A642" s="324"/>
      <c r="B642" s="324"/>
      <c r="C642" s="324"/>
      <c r="D642" s="324"/>
      <c r="E642" s="324"/>
      <c r="F642" s="324"/>
      <c r="G642" s="324"/>
      <c r="H642" s="324"/>
      <c r="I642" s="324"/>
      <c r="J642" s="324"/>
      <c r="K642" s="324"/>
      <c r="L642" s="324"/>
      <c r="M642" s="324"/>
      <c r="N642" s="324"/>
      <c r="O642" s="324"/>
      <c r="P642" s="324"/>
      <c r="Q642" s="324"/>
      <c r="R642" s="324"/>
      <c r="S642" s="324"/>
      <c r="T642" s="324"/>
      <c r="U642" s="324"/>
      <c r="V642" s="324"/>
      <c r="W642" s="324"/>
      <c r="X642" s="324"/>
      <c r="Y642" s="324"/>
      <c r="Z642" s="324"/>
    </row>
    <row r="643">
      <c r="A643" s="324"/>
      <c r="B643" s="324"/>
      <c r="C643" s="324"/>
      <c r="D643" s="324"/>
      <c r="E643" s="324"/>
      <c r="F643" s="324"/>
      <c r="G643" s="324"/>
      <c r="H643" s="324"/>
      <c r="I643" s="324"/>
      <c r="J643" s="324"/>
      <c r="K643" s="324"/>
      <c r="L643" s="324"/>
      <c r="M643" s="324"/>
      <c r="N643" s="324"/>
      <c r="O643" s="324"/>
      <c r="P643" s="324"/>
      <c r="Q643" s="324"/>
      <c r="R643" s="324"/>
      <c r="S643" s="324"/>
      <c r="T643" s="324"/>
      <c r="U643" s="324"/>
      <c r="V643" s="324"/>
      <c r="W643" s="324"/>
      <c r="X643" s="324"/>
      <c r="Y643" s="324"/>
      <c r="Z643" s="324"/>
    </row>
    <row r="644">
      <c r="A644" s="324"/>
      <c r="B644" s="324"/>
      <c r="C644" s="324"/>
      <c r="D644" s="324"/>
      <c r="E644" s="324"/>
      <c r="F644" s="324"/>
      <c r="G644" s="324"/>
      <c r="H644" s="324"/>
      <c r="I644" s="324"/>
      <c r="J644" s="324"/>
      <c r="K644" s="324"/>
      <c r="L644" s="324"/>
      <c r="M644" s="324"/>
      <c r="N644" s="324"/>
      <c r="O644" s="324"/>
      <c r="P644" s="324"/>
      <c r="Q644" s="324"/>
      <c r="R644" s="324"/>
      <c r="S644" s="324"/>
      <c r="T644" s="324"/>
      <c r="U644" s="324"/>
      <c r="V644" s="324"/>
      <c r="W644" s="324"/>
      <c r="X644" s="324"/>
      <c r="Y644" s="324"/>
      <c r="Z644" s="324"/>
    </row>
    <row r="645">
      <c r="A645" s="324"/>
      <c r="B645" s="324"/>
      <c r="C645" s="324"/>
      <c r="D645" s="324"/>
      <c r="E645" s="324"/>
      <c r="F645" s="324"/>
      <c r="G645" s="324"/>
      <c r="H645" s="324"/>
      <c r="I645" s="324"/>
      <c r="J645" s="324"/>
      <c r="K645" s="324"/>
      <c r="L645" s="324"/>
      <c r="M645" s="324"/>
      <c r="N645" s="324"/>
      <c r="O645" s="324"/>
      <c r="P645" s="324"/>
      <c r="Q645" s="324"/>
      <c r="R645" s="324"/>
      <c r="S645" s="324"/>
      <c r="T645" s="324"/>
      <c r="U645" s="324"/>
      <c r="V645" s="324"/>
      <c r="W645" s="324"/>
      <c r="X645" s="324"/>
      <c r="Y645" s="324"/>
      <c r="Z645" s="324"/>
    </row>
    <row r="646">
      <c r="A646" s="324"/>
      <c r="B646" s="324"/>
      <c r="C646" s="324"/>
      <c r="D646" s="324"/>
      <c r="E646" s="324"/>
      <c r="F646" s="324"/>
      <c r="G646" s="324"/>
      <c r="H646" s="324"/>
      <c r="I646" s="324"/>
      <c r="J646" s="324"/>
      <c r="K646" s="324"/>
      <c r="L646" s="324"/>
      <c r="M646" s="324"/>
      <c r="N646" s="324"/>
      <c r="O646" s="324"/>
      <c r="P646" s="324"/>
      <c r="Q646" s="324"/>
      <c r="R646" s="324"/>
      <c r="S646" s="324"/>
      <c r="T646" s="324"/>
      <c r="U646" s="324"/>
      <c r="V646" s="324"/>
      <c r="W646" s="324"/>
      <c r="X646" s="324"/>
      <c r="Y646" s="324"/>
      <c r="Z646" s="324"/>
    </row>
    <row r="647">
      <c r="A647" s="324"/>
      <c r="B647" s="324"/>
      <c r="C647" s="324"/>
      <c r="D647" s="324"/>
      <c r="E647" s="324"/>
      <c r="F647" s="324"/>
      <c r="G647" s="324"/>
      <c r="H647" s="324"/>
      <c r="I647" s="324"/>
      <c r="J647" s="324"/>
      <c r="K647" s="324"/>
      <c r="L647" s="324"/>
      <c r="M647" s="324"/>
      <c r="N647" s="324"/>
      <c r="O647" s="324"/>
      <c r="P647" s="324"/>
      <c r="Q647" s="324"/>
      <c r="R647" s="324"/>
      <c r="S647" s="324"/>
      <c r="T647" s="324"/>
      <c r="U647" s="324"/>
      <c r="V647" s="324"/>
      <c r="W647" s="324"/>
      <c r="X647" s="324"/>
      <c r="Y647" s="324"/>
      <c r="Z647" s="324"/>
    </row>
    <row r="648">
      <c r="A648" s="324"/>
      <c r="B648" s="324"/>
      <c r="C648" s="324"/>
      <c r="D648" s="324"/>
      <c r="E648" s="324"/>
      <c r="F648" s="324"/>
      <c r="G648" s="324"/>
      <c r="H648" s="324"/>
      <c r="I648" s="324"/>
      <c r="J648" s="324"/>
      <c r="K648" s="324"/>
      <c r="L648" s="324"/>
      <c r="M648" s="324"/>
      <c r="N648" s="324"/>
      <c r="O648" s="324"/>
      <c r="P648" s="324"/>
      <c r="Q648" s="324"/>
      <c r="R648" s="324"/>
      <c r="S648" s="324"/>
      <c r="T648" s="324"/>
      <c r="U648" s="324"/>
      <c r="V648" s="324"/>
      <c r="W648" s="324"/>
      <c r="X648" s="324"/>
      <c r="Y648" s="324"/>
      <c r="Z648" s="324"/>
    </row>
    <row r="649">
      <c r="A649" s="324"/>
      <c r="B649" s="324"/>
      <c r="C649" s="324"/>
      <c r="D649" s="324"/>
      <c r="E649" s="324"/>
      <c r="F649" s="324"/>
      <c r="G649" s="324"/>
      <c r="H649" s="324"/>
      <c r="I649" s="324"/>
      <c r="J649" s="324"/>
      <c r="K649" s="324"/>
      <c r="L649" s="324"/>
      <c r="M649" s="324"/>
      <c r="N649" s="324"/>
      <c r="O649" s="324"/>
      <c r="P649" s="324"/>
      <c r="Q649" s="324"/>
      <c r="R649" s="324"/>
      <c r="S649" s="324"/>
      <c r="T649" s="324"/>
      <c r="U649" s="324"/>
      <c r="V649" s="324"/>
      <c r="W649" s="324"/>
      <c r="X649" s="324"/>
      <c r="Y649" s="324"/>
      <c r="Z649" s="324"/>
    </row>
    <row r="650">
      <c r="A650" s="324"/>
      <c r="B650" s="324"/>
      <c r="C650" s="324"/>
      <c r="D650" s="324"/>
      <c r="E650" s="324"/>
      <c r="F650" s="324"/>
      <c r="G650" s="324"/>
      <c r="H650" s="324"/>
      <c r="I650" s="324"/>
      <c r="J650" s="324"/>
      <c r="K650" s="324"/>
      <c r="L650" s="324"/>
      <c r="M650" s="324"/>
      <c r="N650" s="324"/>
      <c r="O650" s="324"/>
      <c r="P650" s="324"/>
      <c r="Q650" s="324"/>
      <c r="R650" s="324"/>
      <c r="S650" s="324"/>
      <c r="T650" s="324"/>
      <c r="U650" s="324"/>
      <c r="V650" s="324"/>
      <c r="W650" s="324"/>
      <c r="X650" s="324"/>
      <c r="Y650" s="324"/>
      <c r="Z650" s="324"/>
    </row>
    <row r="651">
      <c r="A651" s="324"/>
      <c r="B651" s="324"/>
      <c r="C651" s="324"/>
      <c r="D651" s="324"/>
      <c r="E651" s="324"/>
      <c r="F651" s="324"/>
      <c r="G651" s="324"/>
      <c r="H651" s="324"/>
      <c r="I651" s="324"/>
      <c r="J651" s="324"/>
      <c r="K651" s="324"/>
      <c r="L651" s="324"/>
      <c r="M651" s="324"/>
      <c r="N651" s="324"/>
      <c r="O651" s="324"/>
      <c r="P651" s="324"/>
      <c r="Q651" s="324"/>
      <c r="R651" s="324"/>
      <c r="S651" s="324"/>
      <c r="T651" s="324"/>
      <c r="U651" s="324"/>
      <c r="V651" s="324"/>
      <c r="W651" s="324"/>
      <c r="X651" s="324"/>
      <c r="Y651" s="324"/>
      <c r="Z651" s="324"/>
    </row>
    <row r="652">
      <c r="A652" s="324"/>
      <c r="B652" s="324"/>
      <c r="C652" s="324"/>
      <c r="D652" s="324"/>
      <c r="E652" s="324"/>
      <c r="F652" s="324"/>
      <c r="G652" s="324"/>
      <c r="H652" s="324"/>
      <c r="I652" s="324"/>
      <c r="J652" s="324"/>
      <c r="K652" s="324"/>
      <c r="L652" s="324"/>
      <c r="M652" s="324"/>
      <c r="N652" s="324"/>
      <c r="O652" s="324"/>
      <c r="P652" s="324"/>
      <c r="Q652" s="324"/>
      <c r="R652" s="324"/>
      <c r="S652" s="324"/>
      <c r="T652" s="324"/>
      <c r="U652" s="324"/>
      <c r="V652" s="324"/>
      <c r="W652" s="324"/>
      <c r="X652" s="324"/>
      <c r="Y652" s="324"/>
      <c r="Z652" s="324"/>
    </row>
    <row r="653">
      <c r="A653" s="324"/>
      <c r="B653" s="324"/>
      <c r="C653" s="324"/>
      <c r="D653" s="324"/>
      <c r="E653" s="324"/>
      <c r="F653" s="324"/>
      <c r="G653" s="324"/>
      <c r="H653" s="324"/>
      <c r="I653" s="324"/>
      <c r="J653" s="324"/>
      <c r="K653" s="324"/>
      <c r="L653" s="324"/>
      <c r="M653" s="324"/>
      <c r="N653" s="324"/>
      <c r="O653" s="324"/>
      <c r="P653" s="324"/>
      <c r="Q653" s="324"/>
      <c r="R653" s="324"/>
      <c r="S653" s="324"/>
      <c r="T653" s="324"/>
      <c r="U653" s="324"/>
      <c r="V653" s="324"/>
      <c r="W653" s="324"/>
      <c r="X653" s="324"/>
      <c r="Y653" s="324"/>
      <c r="Z653" s="324"/>
    </row>
    <row r="654">
      <c r="A654" s="324"/>
      <c r="B654" s="324"/>
      <c r="C654" s="324"/>
      <c r="D654" s="324"/>
      <c r="E654" s="324"/>
      <c r="F654" s="324"/>
      <c r="G654" s="324"/>
      <c r="H654" s="324"/>
      <c r="I654" s="324"/>
      <c r="J654" s="324"/>
      <c r="K654" s="324"/>
      <c r="L654" s="324"/>
      <c r="M654" s="324"/>
      <c r="N654" s="324"/>
      <c r="O654" s="324"/>
      <c r="P654" s="324"/>
      <c r="Q654" s="324"/>
      <c r="R654" s="324"/>
      <c r="S654" s="324"/>
      <c r="T654" s="324"/>
      <c r="U654" s="324"/>
      <c r="V654" s="324"/>
      <c r="W654" s="324"/>
      <c r="X654" s="324"/>
      <c r="Y654" s="324"/>
      <c r="Z654" s="324"/>
    </row>
    <row r="655">
      <c r="A655" s="324"/>
      <c r="B655" s="324"/>
      <c r="C655" s="324"/>
      <c r="D655" s="324"/>
      <c r="E655" s="324"/>
      <c r="F655" s="324"/>
      <c r="G655" s="324"/>
      <c r="H655" s="324"/>
      <c r="I655" s="324"/>
      <c r="J655" s="324"/>
      <c r="K655" s="324"/>
      <c r="L655" s="324"/>
      <c r="M655" s="324"/>
      <c r="N655" s="324"/>
      <c r="O655" s="324"/>
      <c r="P655" s="324"/>
      <c r="Q655" s="324"/>
      <c r="R655" s="324"/>
      <c r="S655" s="324"/>
      <c r="T655" s="324"/>
      <c r="U655" s="324"/>
      <c r="V655" s="324"/>
      <c r="W655" s="324"/>
      <c r="X655" s="324"/>
      <c r="Y655" s="324"/>
      <c r="Z655" s="324"/>
    </row>
    <row r="656">
      <c r="A656" s="324"/>
      <c r="B656" s="324"/>
      <c r="C656" s="324"/>
      <c r="D656" s="324"/>
      <c r="E656" s="324"/>
      <c r="F656" s="324"/>
      <c r="G656" s="324"/>
      <c r="H656" s="324"/>
      <c r="I656" s="324"/>
      <c r="J656" s="324"/>
      <c r="K656" s="324"/>
      <c r="L656" s="324"/>
      <c r="M656" s="324"/>
      <c r="N656" s="324"/>
      <c r="O656" s="324"/>
      <c r="P656" s="324"/>
      <c r="Q656" s="324"/>
      <c r="R656" s="324"/>
      <c r="S656" s="324"/>
      <c r="T656" s="324"/>
      <c r="U656" s="324"/>
      <c r="V656" s="324"/>
      <c r="W656" s="324"/>
      <c r="X656" s="324"/>
      <c r="Y656" s="324"/>
      <c r="Z656" s="324"/>
    </row>
    <row r="657">
      <c r="A657" s="324"/>
      <c r="B657" s="324"/>
      <c r="C657" s="324"/>
      <c r="D657" s="324"/>
      <c r="E657" s="324"/>
      <c r="F657" s="324"/>
      <c r="G657" s="324"/>
      <c r="H657" s="324"/>
      <c r="I657" s="324"/>
      <c r="J657" s="324"/>
      <c r="K657" s="324"/>
      <c r="L657" s="324"/>
      <c r="M657" s="324"/>
      <c r="N657" s="324"/>
      <c r="O657" s="324"/>
      <c r="P657" s="324"/>
      <c r="Q657" s="324"/>
      <c r="R657" s="324"/>
      <c r="S657" s="324"/>
      <c r="T657" s="324"/>
      <c r="U657" s="324"/>
      <c r="V657" s="324"/>
      <c r="W657" s="324"/>
      <c r="X657" s="324"/>
      <c r="Y657" s="324"/>
      <c r="Z657" s="324"/>
    </row>
    <row r="658">
      <c r="A658" s="324"/>
      <c r="B658" s="324"/>
      <c r="C658" s="324"/>
      <c r="D658" s="324"/>
      <c r="E658" s="324"/>
      <c r="F658" s="324"/>
      <c r="G658" s="324"/>
      <c r="H658" s="324"/>
      <c r="I658" s="324"/>
      <c r="J658" s="324"/>
      <c r="K658" s="324"/>
      <c r="L658" s="324"/>
      <c r="M658" s="324"/>
      <c r="N658" s="324"/>
      <c r="O658" s="324"/>
      <c r="P658" s="324"/>
      <c r="Q658" s="324"/>
      <c r="R658" s="324"/>
      <c r="S658" s="324"/>
      <c r="T658" s="324"/>
      <c r="U658" s="324"/>
      <c r="V658" s="324"/>
      <c r="W658" s="324"/>
      <c r="X658" s="324"/>
      <c r="Y658" s="324"/>
      <c r="Z658" s="324"/>
    </row>
    <row r="659">
      <c r="A659" s="324"/>
      <c r="B659" s="324"/>
      <c r="C659" s="324"/>
      <c r="D659" s="324"/>
      <c r="E659" s="324"/>
      <c r="F659" s="324"/>
      <c r="G659" s="324"/>
      <c r="H659" s="324"/>
      <c r="I659" s="324"/>
      <c r="J659" s="324"/>
      <c r="K659" s="324"/>
      <c r="L659" s="324"/>
      <c r="M659" s="324"/>
      <c r="N659" s="324"/>
      <c r="O659" s="324"/>
      <c r="P659" s="324"/>
      <c r="Q659" s="324"/>
      <c r="R659" s="324"/>
      <c r="S659" s="324"/>
      <c r="T659" s="324"/>
      <c r="U659" s="324"/>
      <c r="V659" s="324"/>
      <c r="W659" s="324"/>
      <c r="X659" s="324"/>
      <c r="Y659" s="324"/>
      <c r="Z659" s="324"/>
    </row>
    <row r="660">
      <c r="A660" s="324"/>
      <c r="B660" s="324"/>
      <c r="C660" s="324"/>
      <c r="D660" s="324"/>
      <c r="E660" s="324"/>
      <c r="F660" s="324"/>
      <c r="G660" s="324"/>
      <c r="H660" s="324"/>
      <c r="I660" s="324"/>
      <c r="J660" s="324"/>
      <c r="K660" s="324"/>
      <c r="L660" s="324"/>
      <c r="M660" s="324"/>
      <c r="N660" s="324"/>
      <c r="O660" s="324"/>
      <c r="P660" s="324"/>
      <c r="Q660" s="324"/>
      <c r="R660" s="324"/>
      <c r="S660" s="324"/>
      <c r="T660" s="324"/>
      <c r="U660" s="324"/>
      <c r="V660" s="324"/>
      <c r="W660" s="324"/>
      <c r="X660" s="324"/>
      <c r="Y660" s="324"/>
      <c r="Z660" s="324"/>
    </row>
    <row r="661">
      <c r="A661" s="324"/>
      <c r="B661" s="324"/>
      <c r="C661" s="324"/>
      <c r="D661" s="324"/>
      <c r="E661" s="324"/>
      <c r="F661" s="324"/>
      <c r="G661" s="324"/>
      <c r="H661" s="324"/>
      <c r="I661" s="324"/>
      <c r="J661" s="324"/>
      <c r="K661" s="324"/>
      <c r="L661" s="324"/>
      <c r="M661" s="324"/>
      <c r="N661" s="324"/>
      <c r="O661" s="324"/>
      <c r="P661" s="324"/>
      <c r="Q661" s="324"/>
      <c r="R661" s="324"/>
      <c r="S661" s="324"/>
      <c r="T661" s="324"/>
      <c r="U661" s="324"/>
      <c r="V661" s="324"/>
      <c r="W661" s="324"/>
      <c r="X661" s="324"/>
      <c r="Y661" s="324"/>
      <c r="Z661" s="324"/>
    </row>
    <row r="662">
      <c r="A662" s="324"/>
      <c r="B662" s="324"/>
      <c r="C662" s="324"/>
      <c r="D662" s="324"/>
      <c r="E662" s="324"/>
      <c r="F662" s="324"/>
      <c r="G662" s="324"/>
      <c r="H662" s="324"/>
      <c r="I662" s="324"/>
      <c r="J662" s="324"/>
      <c r="K662" s="324"/>
      <c r="L662" s="324"/>
      <c r="M662" s="324"/>
      <c r="N662" s="324"/>
      <c r="O662" s="324"/>
      <c r="P662" s="324"/>
      <c r="Q662" s="324"/>
      <c r="R662" s="324"/>
      <c r="S662" s="324"/>
      <c r="T662" s="324"/>
      <c r="U662" s="324"/>
      <c r="V662" s="324"/>
      <c r="W662" s="324"/>
      <c r="X662" s="324"/>
      <c r="Y662" s="324"/>
      <c r="Z662" s="324"/>
    </row>
    <row r="663">
      <c r="A663" s="324"/>
      <c r="B663" s="324"/>
      <c r="C663" s="324"/>
      <c r="D663" s="324"/>
      <c r="E663" s="324"/>
      <c r="F663" s="324"/>
      <c r="G663" s="324"/>
      <c r="H663" s="324"/>
      <c r="I663" s="324"/>
      <c r="J663" s="324"/>
      <c r="K663" s="324"/>
      <c r="L663" s="324"/>
      <c r="M663" s="324"/>
      <c r="N663" s="324"/>
      <c r="O663" s="324"/>
      <c r="P663" s="324"/>
      <c r="Q663" s="324"/>
      <c r="R663" s="324"/>
      <c r="S663" s="324"/>
      <c r="T663" s="324"/>
      <c r="U663" s="324"/>
      <c r="V663" s="324"/>
      <c r="W663" s="324"/>
      <c r="X663" s="324"/>
      <c r="Y663" s="324"/>
      <c r="Z663" s="324"/>
    </row>
    <row r="664">
      <c r="A664" s="324"/>
      <c r="B664" s="324"/>
      <c r="C664" s="324"/>
      <c r="D664" s="324"/>
      <c r="E664" s="324"/>
      <c r="F664" s="324"/>
      <c r="G664" s="324"/>
      <c r="H664" s="324"/>
      <c r="I664" s="324"/>
      <c r="J664" s="324"/>
      <c r="K664" s="324"/>
      <c r="L664" s="324"/>
      <c r="M664" s="324"/>
      <c r="N664" s="324"/>
      <c r="O664" s="324"/>
      <c r="P664" s="324"/>
      <c r="Q664" s="324"/>
      <c r="R664" s="324"/>
      <c r="S664" s="324"/>
      <c r="T664" s="324"/>
      <c r="U664" s="324"/>
      <c r="V664" s="324"/>
      <c r="W664" s="324"/>
      <c r="X664" s="324"/>
      <c r="Y664" s="324"/>
      <c r="Z664" s="324"/>
    </row>
    <row r="665">
      <c r="A665" s="324"/>
      <c r="B665" s="324"/>
      <c r="C665" s="324"/>
      <c r="D665" s="324"/>
      <c r="E665" s="324"/>
      <c r="F665" s="324"/>
      <c r="G665" s="324"/>
      <c r="H665" s="324"/>
      <c r="I665" s="324"/>
      <c r="J665" s="324"/>
      <c r="K665" s="324"/>
      <c r="L665" s="324"/>
      <c r="M665" s="324"/>
      <c r="N665" s="324"/>
      <c r="O665" s="324"/>
      <c r="P665" s="324"/>
      <c r="Q665" s="324"/>
      <c r="R665" s="324"/>
      <c r="S665" s="324"/>
      <c r="T665" s="324"/>
      <c r="U665" s="324"/>
      <c r="V665" s="324"/>
      <c r="W665" s="324"/>
      <c r="X665" s="324"/>
      <c r="Y665" s="324"/>
      <c r="Z665" s="324"/>
    </row>
    <row r="666">
      <c r="A666" s="324"/>
      <c r="B666" s="324"/>
      <c r="C666" s="324"/>
      <c r="D666" s="324"/>
      <c r="E666" s="324"/>
      <c r="F666" s="324"/>
      <c r="G666" s="324"/>
      <c r="H666" s="324"/>
      <c r="I666" s="324"/>
      <c r="J666" s="324"/>
      <c r="K666" s="324"/>
      <c r="L666" s="324"/>
      <c r="M666" s="324"/>
      <c r="N666" s="324"/>
      <c r="O666" s="324"/>
      <c r="P666" s="324"/>
      <c r="Q666" s="324"/>
      <c r="R666" s="324"/>
      <c r="S666" s="324"/>
      <c r="T666" s="324"/>
      <c r="U666" s="324"/>
      <c r="V666" s="324"/>
      <c r="W666" s="324"/>
      <c r="X666" s="324"/>
      <c r="Y666" s="324"/>
      <c r="Z666" s="324"/>
    </row>
    <row r="667">
      <c r="A667" s="324"/>
      <c r="B667" s="324"/>
      <c r="C667" s="324"/>
      <c r="D667" s="324"/>
      <c r="E667" s="324"/>
      <c r="F667" s="324"/>
      <c r="G667" s="324"/>
      <c r="H667" s="324"/>
      <c r="I667" s="324"/>
      <c r="J667" s="324"/>
      <c r="K667" s="324"/>
      <c r="L667" s="324"/>
      <c r="M667" s="324"/>
      <c r="N667" s="324"/>
      <c r="O667" s="324"/>
      <c r="P667" s="324"/>
      <c r="Q667" s="324"/>
      <c r="R667" s="324"/>
      <c r="S667" s="324"/>
      <c r="T667" s="324"/>
      <c r="U667" s="324"/>
      <c r="V667" s="324"/>
      <c r="W667" s="324"/>
      <c r="X667" s="324"/>
      <c r="Y667" s="324"/>
      <c r="Z667" s="324"/>
    </row>
    <row r="668">
      <c r="A668" s="324"/>
      <c r="B668" s="324"/>
      <c r="C668" s="324"/>
      <c r="D668" s="324"/>
      <c r="E668" s="324"/>
      <c r="F668" s="324"/>
      <c r="G668" s="324"/>
      <c r="H668" s="324"/>
      <c r="I668" s="324"/>
      <c r="J668" s="324"/>
      <c r="K668" s="324"/>
      <c r="L668" s="324"/>
      <c r="M668" s="324"/>
      <c r="N668" s="324"/>
      <c r="O668" s="324"/>
      <c r="P668" s="324"/>
      <c r="Q668" s="324"/>
      <c r="R668" s="324"/>
      <c r="S668" s="324"/>
      <c r="T668" s="324"/>
      <c r="U668" s="324"/>
      <c r="V668" s="324"/>
      <c r="W668" s="324"/>
      <c r="X668" s="324"/>
      <c r="Y668" s="324"/>
      <c r="Z668" s="324"/>
    </row>
    <row r="669">
      <c r="A669" s="324"/>
      <c r="B669" s="324"/>
      <c r="C669" s="324"/>
      <c r="D669" s="324"/>
      <c r="E669" s="324"/>
      <c r="F669" s="324"/>
      <c r="G669" s="324"/>
      <c r="H669" s="324"/>
      <c r="I669" s="324"/>
      <c r="J669" s="324"/>
      <c r="K669" s="324"/>
      <c r="L669" s="324"/>
      <c r="M669" s="324"/>
      <c r="N669" s="324"/>
      <c r="O669" s="324"/>
      <c r="P669" s="324"/>
      <c r="Q669" s="324"/>
      <c r="R669" s="324"/>
      <c r="S669" s="324"/>
      <c r="T669" s="324"/>
      <c r="U669" s="324"/>
      <c r="V669" s="324"/>
      <c r="W669" s="324"/>
      <c r="X669" s="324"/>
      <c r="Y669" s="324"/>
      <c r="Z669" s="324"/>
    </row>
    <row r="670">
      <c r="A670" s="324"/>
      <c r="B670" s="324"/>
      <c r="C670" s="324"/>
      <c r="D670" s="324"/>
      <c r="E670" s="324"/>
      <c r="F670" s="324"/>
      <c r="G670" s="324"/>
      <c r="H670" s="324"/>
      <c r="I670" s="324"/>
      <c r="J670" s="324"/>
      <c r="K670" s="324"/>
      <c r="L670" s="324"/>
      <c r="M670" s="324"/>
      <c r="N670" s="324"/>
      <c r="O670" s="324"/>
      <c r="P670" s="324"/>
      <c r="Q670" s="324"/>
      <c r="R670" s="324"/>
      <c r="S670" s="324"/>
      <c r="T670" s="324"/>
      <c r="U670" s="324"/>
      <c r="V670" s="324"/>
      <c r="W670" s="324"/>
      <c r="X670" s="324"/>
      <c r="Y670" s="324"/>
      <c r="Z670" s="324"/>
    </row>
    <row r="671">
      <c r="A671" s="324"/>
      <c r="B671" s="324"/>
      <c r="C671" s="324"/>
      <c r="D671" s="324"/>
      <c r="E671" s="324"/>
      <c r="F671" s="324"/>
      <c r="G671" s="324"/>
      <c r="H671" s="324"/>
      <c r="I671" s="324"/>
      <c r="J671" s="324"/>
      <c r="K671" s="324"/>
      <c r="L671" s="324"/>
      <c r="M671" s="324"/>
      <c r="N671" s="324"/>
      <c r="O671" s="324"/>
      <c r="P671" s="324"/>
      <c r="Q671" s="324"/>
      <c r="R671" s="324"/>
      <c r="S671" s="324"/>
      <c r="T671" s="324"/>
      <c r="U671" s="324"/>
      <c r="V671" s="324"/>
      <c r="W671" s="324"/>
      <c r="X671" s="324"/>
      <c r="Y671" s="324"/>
      <c r="Z671" s="324"/>
    </row>
    <row r="672">
      <c r="A672" s="324"/>
      <c r="B672" s="324"/>
      <c r="C672" s="324"/>
      <c r="D672" s="324"/>
      <c r="E672" s="324"/>
      <c r="F672" s="324"/>
      <c r="G672" s="324"/>
      <c r="H672" s="324"/>
      <c r="I672" s="324"/>
      <c r="J672" s="324"/>
      <c r="K672" s="324"/>
      <c r="L672" s="324"/>
      <c r="M672" s="324"/>
      <c r="N672" s="324"/>
      <c r="O672" s="324"/>
      <c r="P672" s="324"/>
      <c r="Q672" s="324"/>
      <c r="R672" s="324"/>
      <c r="S672" s="324"/>
      <c r="T672" s="324"/>
      <c r="U672" s="324"/>
      <c r="V672" s="324"/>
      <c r="W672" s="324"/>
      <c r="X672" s="324"/>
      <c r="Y672" s="324"/>
      <c r="Z672" s="324"/>
    </row>
    <row r="673">
      <c r="A673" s="324"/>
      <c r="B673" s="324"/>
      <c r="C673" s="324"/>
      <c r="D673" s="324"/>
      <c r="E673" s="324"/>
      <c r="F673" s="324"/>
      <c r="G673" s="324"/>
      <c r="H673" s="324"/>
      <c r="I673" s="324"/>
      <c r="J673" s="324"/>
      <c r="K673" s="324"/>
      <c r="L673" s="324"/>
      <c r="M673" s="324"/>
      <c r="N673" s="324"/>
      <c r="O673" s="324"/>
      <c r="P673" s="324"/>
      <c r="Q673" s="324"/>
      <c r="R673" s="324"/>
      <c r="S673" s="324"/>
      <c r="T673" s="324"/>
      <c r="U673" s="324"/>
      <c r="V673" s="324"/>
      <c r="W673" s="324"/>
      <c r="X673" s="324"/>
      <c r="Y673" s="324"/>
      <c r="Z673" s="324"/>
    </row>
    <row r="674">
      <c r="A674" s="324"/>
      <c r="B674" s="324"/>
      <c r="C674" s="324"/>
      <c r="D674" s="324"/>
      <c r="E674" s="324"/>
      <c r="F674" s="324"/>
      <c r="G674" s="324"/>
      <c r="H674" s="324"/>
      <c r="I674" s="324"/>
      <c r="J674" s="324"/>
      <c r="K674" s="324"/>
      <c r="L674" s="324"/>
      <c r="M674" s="324"/>
      <c r="N674" s="324"/>
      <c r="O674" s="324"/>
      <c r="P674" s="324"/>
      <c r="Q674" s="324"/>
      <c r="R674" s="324"/>
      <c r="S674" s="324"/>
      <c r="T674" s="324"/>
      <c r="U674" s="324"/>
      <c r="V674" s="324"/>
      <c r="W674" s="324"/>
      <c r="X674" s="324"/>
      <c r="Y674" s="324"/>
      <c r="Z674" s="324"/>
    </row>
    <row r="675">
      <c r="A675" s="324"/>
      <c r="B675" s="324"/>
      <c r="C675" s="324"/>
      <c r="D675" s="324"/>
      <c r="E675" s="324"/>
      <c r="F675" s="324"/>
      <c r="G675" s="324"/>
      <c r="H675" s="324"/>
      <c r="I675" s="324"/>
      <c r="J675" s="324"/>
      <c r="K675" s="324"/>
      <c r="L675" s="324"/>
      <c r="M675" s="324"/>
      <c r="N675" s="324"/>
      <c r="O675" s="324"/>
      <c r="P675" s="324"/>
      <c r="Q675" s="324"/>
      <c r="R675" s="324"/>
      <c r="S675" s="324"/>
      <c r="T675" s="324"/>
      <c r="U675" s="324"/>
      <c r="V675" s="324"/>
      <c r="W675" s="324"/>
      <c r="X675" s="324"/>
      <c r="Y675" s="324"/>
      <c r="Z675" s="324"/>
    </row>
    <row r="676">
      <c r="A676" s="324"/>
      <c r="B676" s="324"/>
      <c r="C676" s="324"/>
      <c r="D676" s="324"/>
      <c r="E676" s="324"/>
      <c r="F676" s="324"/>
      <c r="G676" s="324"/>
      <c r="H676" s="324"/>
      <c r="I676" s="324"/>
      <c r="J676" s="324"/>
      <c r="K676" s="324"/>
      <c r="L676" s="324"/>
      <c r="M676" s="324"/>
      <c r="N676" s="324"/>
      <c r="O676" s="324"/>
      <c r="P676" s="324"/>
      <c r="Q676" s="324"/>
      <c r="R676" s="324"/>
      <c r="S676" s="324"/>
      <c r="T676" s="324"/>
      <c r="U676" s="324"/>
      <c r="V676" s="324"/>
      <c r="W676" s="324"/>
      <c r="X676" s="324"/>
      <c r="Y676" s="324"/>
      <c r="Z676" s="324"/>
    </row>
    <row r="677">
      <c r="A677" s="324"/>
      <c r="B677" s="324"/>
      <c r="C677" s="324"/>
      <c r="D677" s="324"/>
      <c r="E677" s="324"/>
      <c r="F677" s="324"/>
      <c r="G677" s="324"/>
      <c r="H677" s="324"/>
      <c r="I677" s="324"/>
      <c r="J677" s="324"/>
      <c r="K677" s="324"/>
      <c r="L677" s="324"/>
      <c r="M677" s="324"/>
      <c r="N677" s="324"/>
      <c r="O677" s="324"/>
      <c r="P677" s="324"/>
      <c r="Q677" s="324"/>
      <c r="R677" s="324"/>
      <c r="S677" s="324"/>
      <c r="T677" s="324"/>
      <c r="U677" s="324"/>
      <c r="V677" s="324"/>
      <c r="W677" s="324"/>
      <c r="X677" s="324"/>
      <c r="Y677" s="324"/>
      <c r="Z677" s="324"/>
    </row>
    <row r="678">
      <c r="A678" s="324"/>
      <c r="B678" s="324"/>
      <c r="C678" s="324"/>
      <c r="D678" s="324"/>
      <c r="E678" s="324"/>
      <c r="F678" s="324"/>
      <c r="G678" s="324"/>
      <c r="H678" s="324"/>
      <c r="I678" s="324"/>
      <c r="J678" s="324"/>
      <c r="K678" s="324"/>
      <c r="L678" s="324"/>
      <c r="M678" s="324"/>
      <c r="N678" s="324"/>
      <c r="O678" s="324"/>
      <c r="P678" s="324"/>
      <c r="Q678" s="324"/>
      <c r="R678" s="324"/>
      <c r="S678" s="324"/>
      <c r="T678" s="324"/>
      <c r="U678" s="324"/>
      <c r="V678" s="324"/>
      <c r="W678" s="324"/>
      <c r="X678" s="324"/>
      <c r="Y678" s="324"/>
      <c r="Z678" s="324"/>
    </row>
    <row r="679">
      <c r="A679" s="324"/>
      <c r="B679" s="324"/>
      <c r="C679" s="324"/>
      <c r="D679" s="324"/>
      <c r="E679" s="324"/>
      <c r="F679" s="324"/>
      <c r="G679" s="324"/>
      <c r="H679" s="324"/>
      <c r="I679" s="324"/>
      <c r="J679" s="324"/>
      <c r="K679" s="324"/>
      <c r="L679" s="324"/>
      <c r="M679" s="324"/>
      <c r="N679" s="324"/>
      <c r="O679" s="324"/>
      <c r="P679" s="324"/>
      <c r="Q679" s="324"/>
      <c r="R679" s="324"/>
      <c r="S679" s="324"/>
      <c r="T679" s="324"/>
      <c r="U679" s="324"/>
      <c r="V679" s="324"/>
      <c r="W679" s="324"/>
      <c r="X679" s="324"/>
      <c r="Y679" s="324"/>
      <c r="Z679" s="324"/>
    </row>
    <row r="680">
      <c r="A680" s="324"/>
      <c r="B680" s="324"/>
      <c r="C680" s="324"/>
      <c r="D680" s="324"/>
      <c r="E680" s="324"/>
      <c r="F680" s="324"/>
      <c r="G680" s="324"/>
      <c r="H680" s="324"/>
      <c r="I680" s="324"/>
      <c r="J680" s="324"/>
      <c r="K680" s="324"/>
      <c r="L680" s="324"/>
      <c r="M680" s="324"/>
      <c r="N680" s="324"/>
      <c r="O680" s="324"/>
      <c r="P680" s="324"/>
      <c r="Q680" s="324"/>
      <c r="R680" s="324"/>
      <c r="S680" s="324"/>
      <c r="T680" s="324"/>
      <c r="U680" s="324"/>
      <c r="V680" s="324"/>
      <c r="W680" s="324"/>
      <c r="X680" s="324"/>
      <c r="Y680" s="324"/>
      <c r="Z680" s="324"/>
    </row>
    <row r="681">
      <c r="A681" s="324"/>
      <c r="B681" s="324"/>
      <c r="C681" s="324"/>
      <c r="D681" s="324"/>
      <c r="E681" s="324"/>
      <c r="F681" s="324"/>
      <c r="G681" s="324"/>
      <c r="H681" s="324"/>
      <c r="I681" s="324"/>
      <c r="J681" s="324"/>
      <c r="K681" s="324"/>
      <c r="L681" s="324"/>
      <c r="M681" s="324"/>
      <c r="N681" s="324"/>
      <c r="O681" s="324"/>
      <c r="P681" s="324"/>
      <c r="Q681" s="324"/>
      <c r="R681" s="324"/>
      <c r="S681" s="324"/>
      <c r="T681" s="324"/>
      <c r="U681" s="324"/>
      <c r="V681" s="324"/>
      <c r="W681" s="324"/>
      <c r="X681" s="324"/>
      <c r="Y681" s="324"/>
      <c r="Z681" s="324"/>
    </row>
    <row r="682">
      <c r="A682" s="324"/>
      <c r="B682" s="324"/>
      <c r="C682" s="324"/>
      <c r="D682" s="324"/>
      <c r="E682" s="324"/>
      <c r="F682" s="324"/>
      <c r="G682" s="324"/>
      <c r="H682" s="324"/>
      <c r="I682" s="324"/>
      <c r="J682" s="324"/>
      <c r="K682" s="324"/>
      <c r="L682" s="324"/>
      <c r="M682" s="324"/>
      <c r="N682" s="324"/>
      <c r="O682" s="324"/>
      <c r="P682" s="324"/>
      <c r="Q682" s="324"/>
      <c r="R682" s="324"/>
      <c r="S682" s="324"/>
      <c r="T682" s="324"/>
      <c r="U682" s="324"/>
      <c r="V682" s="324"/>
      <c r="W682" s="324"/>
      <c r="X682" s="324"/>
      <c r="Y682" s="324"/>
      <c r="Z682" s="324"/>
    </row>
    <row r="683">
      <c r="A683" s="324"/>
      <c r="B683" s="324"/>
      <c r="C683" s="324"/>
      <c r="D683" s="324"/>
      <c r="E683" s="324"/>
      <c r="F683" s="324"/>
      <c r="G683" s="324"/>
      <c r="H683" s="324"/>
      <c r="I683" s="324"/>
      <c r="J683" s="324"/>
      <c r="K683" s="324"/>
      <c r="L683" s="324"/>
      <c r="M683" s="324"/>
      <c r="N683" s="324"/>
      <c r="O683" s="324"/>
      <c r="P683" s="324"/>
      <c r="Q683" s="324"/>
      <c r="R683" s="324"/>
      <c r="S683" s="324"/>
      <c r="T683" s="324"/>
      <c r="U683" s="324"/>
      <c r="V683" s="324"/>
      <c r="W683" s="324"/>
      <c r="X683" s="324"/>
      <c r="Y683" s="324"/>
      <c r="Z683" s="324"/>
    </row>
    <row r="684">
      <c r="A684" s="324"/>
      <c r="B684" s="324"/>
      <c r="C684" s="324"/>
      <c r="D684" s="324"/>
      <c r="E684" s="324"/>
      <c r="F684" s="324"/>
      <c r="G684" s="324"/>
      <c r="H684" s="324"/>
      <c r="I684" s="324"/>
      <c r="J684" s="324"/>
      <c r="K684" s="324"/>
      <c r="L684" s="324"/>
      <c r="M684" s="324"/>
      <c r="N684" s="324"/>
      <c r="O684" s="324"/>
      <c r="P684" s="324"/>
      <c r="Q684" s="324"/>
      <c r="R684" s="324"/>
      <c r="S684" s="324"/>
      <c r="T684" s="324"/>
      <c r="U684" s="324"/>
      <c r="V684" s="324"/>
      <c r="W684" s="324"/>
      <c r="X684" s="324"/>
      <c r="Y684" s="324"/>
      <c r="Z684" s="324"/>
    </row>
    <row r="685">
      <c r="A685" s="324"/>
      <c r="B685" s="324"/>
      <c r="C685" s="324"/>
      <c r="D685" s="324"/>
      <c r="E685" s="324"/>
      <c r="F685" s="324"/>
      <c r="G685" s="324"/>
      <c r="H685" s="324"/>
      <c r="I685" s="324"/>
      <c r="J685" s="324"/>
      <c r="K685" s="324"/>
      <c r="L685" s="324"/>
      <c r="M685" s="324"/>
      <c r="N685" s="324"/>
      <c r="O685" s="324"/>
      <c r="P685" s="324"/>
      <c r="Q685" s="324"/>
      <c r="R685" s="324"/>
      <c r="S685" s="324"/>
      <c r="T685" s="324"/>
      <c r="U685" s="324"/>
      <c r="V685" s="324"/>
      <c r="W685" s="324"/>
      <c r="X685" s="324"/>
      <c r="Y685" s="324"/>
      <c r="Z685" s="324"/>
    </row>
    <row r="686">
      <c r="A686" s="324"/>
      <c r="B686" s="324"/>
      <c r="C686" s="324"/>
      <c r="D686" s="324"/>
      <c r="E686" s="324"/>
      <c r="F686" s="324"/>
      <c r="G686" s="324"/>
      <c r="H686" s="324"/>
      <c r="I686" s="324"/>
      <c r="J686" s="324"/>
      <c r="K686" s="324"/>
      <c r="L686" s="324"/>
      <c r="M686" s="324"/>
      <c r="N686" s="324"/>
      <c r="O686" s="324"/>
      <c r="P686" s="324"/>
      <c r="Q686" s="324"/>
      <c r="R686" s="324"/>
      <c r="S686" s="324"/>
      <c r="T686" s="324"/>
      <c r="U686" s="324"/>
      <c r="V686" s="324"/>
      <c r="W686" s="324"/>
      <c r="X686" s="324"/>
      <c r="Y686" s="324"/>
      <c r="Z686" s="324"/>
    </row>
    <row r="687">
      <c r="A687" s="324"/>
      <c r="B687" s="324"/>
      <c r="C687" s="324"/>
      <c r="D687" s="324"/>
      <c r="E687" s="324"/>
      <c r="F687" s="324"/>
      <c r="G687" s="324"/>
      <c r="H687" s="324"/>
      <c r="I687" s="324"/>
      <c r="J687" s="324"/>
      <c r="K687" s="324"/>
      <c r="L687" s="324"/>
      <c r="M687" s="324"/>
      <c r="N687" s="324"/>
      <c r="O687" s="324"/>
      <c r="P687" s="324"/>
      <c r="Q687" s="324"/>
      <c r="R687" s="324"/>
      <c r="S687" s="324"/>
      <c r="T687" s="324"/>
      <c r="U687" s="324"/>
      <c r="V687" s="324"/>
      <c r="W687" s="324"/>
      <c r="X687" s="324"/>
      <c r="Y687" s="324"/>
      <c r="Z687" s="324"/>
    </row>
    <row r="688">
      <c r="A688" s="324"/>
      <c r="B688" s="324"/>
      <c r="C688" s="324"/>
      <c r="D688" s="324"/>
      <c r="E688" s="324"/>
      <c r="F688" s="324"/>
      <c r="G688" s="324"/>
      <c r="H688" s="324"/>
      <c r="I688" s="324"/>
      <c r="J688" s="324"/>
      <c r="K688" s="324"/>
      <c r="L688" s="324"/>
      <c r="M688" s="324"/>
      <c r="N688" s="324"/>
      <c r="O688" s="324"/>
      <c r="P688" s="324"/>
      <c r="Q688" s="324"/>
      <c r="R688" s="324"/>
      <c r="S688" s="324"/>
      <c r="T688" s="324"/>
      <c r="U688" s="324"/>
      <c r="V688" s="324"/>
      <c r="W688" s="324"/>
      <c r="X688" s="324"/>
      <c r="Y688" s="324"/>
      <c r="Z688" s="324"/>
    </row>
    <row r="689">
      <c r="A689" s="324"/>
      <c r="B689" s="324"/>
      <c r="C689" s="324"/>
      <c r="D689" s="324"/>
      <c r="E689" s="324"/>
      <c r="F689" s="324"/>
      <c r="G689" s="324"/>
      <c r="H689" s="324"/>
      <c r="I689" s="324"/>
      <c r="J689" s="324"/>
      <c r="K689" s="324"/>
      <c r="L689" s="324"/>
      <c r="M689" s="324"/>
      <c r="N689" s="324"/>
      <c r="O689" s="324"/>
      <c r="P689" s="324"/>
      <c r="Q689" s="324"/>
      <c r="R689" s="324"/>
      <c r="S689" s="324"/>
      <c r="T689" s="324"/>
      <c r="U689" s="324"/>
      <c r="V689" s="324"/>
      <c r="W689" s="324"/>
      <c r="X689" s="324"/>
      <c r="Y689" s="324"/>
      <c r="Z689" s="324"/>
    </row>
    <row r="690">
      <c r="A690" s="324"/>
      <c r="B690" s="324"/>
      <c r="C690" s="324"/>
      <c r="D690" s="324"/>
      <c r="E690" s="324"/>
      <c r="F690" s="324"/>
      <c r="G690" s="324"/>
      <c r="H690" s="324"/>
      <c r="I690" s="324"/>
      <c r="J690" s="324"/>
      <c r="K690" s="324"/>
      <c r="L690" s="324"/>
      <c r="M690" s="324"/>
      <c r="N690" s="324"/>
      <c r="O690" s="324"/>
      <c r="P690" s="324"/>
      <c r="Q690" s="324"/>
      <c r="R690" s="324"/>
      <c r="S690" s="324"/>
      <c r="T690" s="324"/>
      <c r="U690" s="324"/>
      <c r="V690" s="324"/>
      <c r="W690" s="324"/>
      <c r="X690" s="324"/>
      <c r="Y690" s="324"/>
      <c r="Z690" s="324"/>
    </row>
    <row r="691">
      <c r="A691" s="324"/>
      <c r="B691" s="324"/>
      <c r="C691" s="324"/>
      <c r="D691" s="324"/>
      <c r="E691" s="324"/>
      <c r="F691" s="324"/>
      <c r="G691" s="324"/>
      <c r="H691" s="324"/>
      <c r="I691" s="324"/>
      <c r="J691" s="324"/>
      <c r="K691" s="324"/>
      <c r="L691" s="324"/>
      <c r="M691" s="324"/>
      <c r="N691" s="324"/>
      <c r="O691" s="324"/>
      <c r="P691" s="324"/>
      <c r="Q691" s="324"/>
      <c r="R691" s="324"/>
      <c r="S691" s="324"/>
      <c r="T691" s="324"/>
      <c r="U691" s="324"/>
      <c r="V691" s="324"/>
      <c r="W691" s="324"/>
      <c r="X691" s="324"/>
      <c r="Y691" s="324"/>
      <c r="Z691" s="324"/>
    </row>
    <row r="692">
      <c r="A692" s="324"/>
      <c r="B692" s="324"/>
      <c r="C692" s="324"/>
      <c r="D692" s="324"/>
      <c r="E692" s="324"/>
      <c r="F692" s="324"/>
      <c r="G692" s="324"/>
      <c r="H692" s="324"/>
      <c r="I692" s="324"/>
      <c r="J692" s="324"/>
      <c r="K692" s="324"/>
      <c r="L692" s="324"/>
      <c r="M692" s="324"/>
      <c r="N692" s="324"/>
      <c r="O692" s="324"/>
      <c r="P692" s="324"/>
      <c r="Q692" s="324"/>
      <c r="R692" s="324"/>
      <c r="S692" s="324"/>
      <c r="T692" s="324"/>
      <c r="U692" s="324"/>
      <c r="V692" s="324"/>
      <c r="W692" s="324"/>
      <c r="X692" s="324"/>
      <c r="Y692" s="324"/>
      <c r="Z692" s="324"/>
    </row>
    <row r="693">
      <c r="A693" s="324"/>
      <c r="B693" s="324"/>
      <c r="C693" s="324"/>
      <c r="D693" s="324"/>
      <c r="E693" s="324"/>
      <c r="F693" s="324"/>
      <c r="G693" s="324"/>
      <c r="H693" s="324"/>
      <c r="I693" s="324"/>
      <c r="J693" s="324"/>
      <c r="K693" s="324"/>
      <c r="L693" s="324"/>
      <c r="M693" s="324"/>
      <c r="N693" s="324"/>
      <c r="O693" s="324"/>
      <c r="P693" s="324"/>
      <c r="Q693" s="324"/>
      <c r="R693" s="324"/>
      <c r="S693" s="324"/>
      <c r="T693" s="324"/>
      <c r="U693" s="324"/>
      <c r="V693" s="324"/>
      <c r="W693" s="324"/>
      <c r="X693" s="324"/>
      <c r="Y693" s="324"/>
      <c r="Z693" s="324"/>
    </row>
    <row r="694">
      <c r="A694" s="324"/>
      <c r="B694" s="324"/>
      <c r="C694" s="324"/>
      <c r="D694" s="324"/>
      <c r="E694" s="324"/>
      <c r="F694" s="324"/>
      <c r="G694" s="324"/>
      <c r="H694" s="324"/>
      <c r="I694" s="324"/>
      <c r="J694" s="324"/>
      <c r="K694" s="324"/>
      <c r="L694" s="324"/>
      <c r="M694" s="324"/>
      <c r="N694" s="324"/>
      <c r="O694" s="324"/>
      <c r="P694" s="324"/>
      <c r="Q694" s="324"/>
      <c r="R694" s="324"/>
      <c r="S694" s="324"/>
      <c r="T694" s="324"/>
      <c r="U694" s="324"/>
      <c r="V694" s="324"/>
      <c r="W694" s="324"/>
      <c r="X694" s="324"/>
      <c r="Y694" s="324"/>
      <c r="Z694" s="324"/>
    </row>
    <row r="695">
      <c r="A695" s="324"/>
      <c r="B695" s="324"/>
      <c r="C695" s="324"/>
      <c r="D695" s="324"/>
      <c r="E695" s="324"/>
      <c r="F695" s="324"/>
      <c r="G695" s="324"/>
      <c r="H695" s="324"/>
      <c r="I695" s="324"/>
      <c r="J695" s="324"/>
      <c r="K695" s="324"/>
      <c r="L695" s="324"/>
      <c r="M695" s="324"/>
      <c r="N695" s="324"/>
      <c r="O695" s="324"/>
      <c r="P695" s="324"/>
      <c r="Q695" s="324"/>
      <c r="R695" s="324"/>
      <c r="S695" s="324"/>
      <c r="T695" s="324"/>
      <c r="U695" s="324"/>
      <c r="V695" s="324"/>
      <c r="W695" s="324"/>
      <c r="X695" s="324"/>
      <c r="Y695" s="324"/>
      <c r="Z695" s="324"/>
    </row>
    <row r="696">
      <c r="A696" s="324"/>
      <c r="B696" s="324"/>
      <c r="C696" s="324"/>
      <c r="D696" s="324"/>
      <c r="E696" s="324"/>
      <c r="F696" s="324"/>
      <c r="G696" s="324"/>
      <c r="H696" s="324"/>
      <c r="I696" s="324"/>
      <c r="J696" s="324"/>
      <c r="K696" s="324"/>
      <c r="L696" s="324"/>
      <c r="M696" s="324"/>
      <c r="N696" s="324"/>
      <c r="O696" s="324"/>
      <c r="P696" s="324"/>
      <c r="Q696" s="324"/>
      <c r="R696" s="324"/>
      <c r="S696" s="324"/>
      <c r="T696" s="324"/>
      <c r="U696" s="324"/>
      <c r="V696" s="324"/>
      <c r="W696" s="324"/>
      <c r="X696" s="324"/>
      <c r="Y696" s="324"/>
      <c r="Z696" s="324"/>
    </row>
    <row r="697">
      <c r="A697" s="324"/>
      <c r="B697" s="324"/>
      <c r="C697" s="324"/>
      <c r="D697" s="324"/>
      <c r="E697" s="324"/>
      <c r="F697" s="324"/>
      <c r="G697" s="324"/>
      <c r="H697" s="324"/>
      <c r="I697" s="324"/>
      <c r="J697" s="324"/>
      <c r="K697" s="324"/>
      <c r="L697" s="324"/>
      <c r="M697" s="324"/>
      <c r="N697" s="324"/>
      <c r="O697" s="324"/>
      <c r="P697" s="324"/>
      <c r="Q697" s="324"/>
      <c r="R697" s="324"/>
      <c r="S697" s="324"/>
      <c r="T697" s="324"/>
      <c r="U697" s="324"/>
      <c r="V697" s="324"/>
      <c r="W697" s="324"/>
      <c r="X697" s="324"/>
      <c r="Y697" s="324"/>
      <c r="Z697" s="324"/>
    </row>
    <row r="698">
      <c r="A698" s="324"/>
      <c r="B698" s="324"/>
      <c r="C698" s="324"/>
      <c r="D698" s="324"/>
      <c r="E698" s="324"/>
      <c r="F698" s="324"/>
      <c r="G698" s="324"/>
      <c r="H698" s="324"/>
      <c r="I698" s="324"/>
      <c r="J698" s="324"/>
      <c r="K698" s="324"/>
      <c r="L698" s="324"/>
      <c r="M698" s="324"/>
      <c r="N698" s="324"/>
      <c r="O698" s="324"/>
      <c r="P698" s="324"/>
      <c r="Q698" s="324"/>
      <c r="R698" s="324"/>
      <c r="S698" s="324"/>
      <c r="T698" s="324"/>
      <c r="U698" s="324"/>
      <c r="V698" s="324"/>
      <c r="W698" s="324"/>
      <c r="X698" s="324"/>
      <c r="Y698" s="324"/>
      <c r="Z698" s="324"/>
    </row>
    <row r="699">
      <c r="A699" s="324"/>
      <c r="B699" s="324"/>
      <c r="C699" s="324"/>
      <c r="D699" s="324"/>
      <c r="E699" s="324"/>
      <c r="F699" s="324"/>
      <c r="G699" s="324"/>
      <c r="H699" s="324"/>
      <c r="I699" s="324"/>
      <c r="J699" s="324"/>
      <c r="K699" s="324"/>
      <c r="L699" s="324"/>
      <c r="M699" s="324"/>
      <c r="N699" s="324"/>
      <c r="O699" s="324"/>
      <c r="P699" s="324"/>
      <c r="Q699" s="324"/>
      <c r="R699" s="324"/>
      <c r="S699" s="324"/>
      <c r="T699" s="324"/>
      <c r="U699" s="324"/>
      <c r="V699" s="324"/>
      <c r="W699" s="324"/>
      <c r="X699" s="324"/>
      <c r="Y699" s="324"/>
      <c r="Z699" s="324"/>
    </row>
    <row r="700">
      <c r="A700" s="324"/>
      <c r="B700" s="324"/>
      <c r="C700" s="324"/>
      <c r="D700" s="324"/>
      <c r="E700" s="324"/>
      <c r="F700" s="324"/>
      <c r="G700" s="324"/>
      <c r="H700" s="324"/>
      <c r="I700" s="324"/>
      <c r="J700" s="324"/>
      <c r="K700" s="324"/>
      <c r="L700" s="324"/>
      <c r="M700" s="324"/>
      <c r="N700" s="324"/>
      <c r="O700" s="324"/>
      <c r="P700" s="324"/>
      <c r="Q700" s="324"/>
      <c r="R700" s="324"/>
      <c r="S700" s="324"/>
      <c r="T700" s="324"/>
      <c r="U700" s="324"/>
      <c r="V700" s="324"/>
      <c r="W700" s="324"/>
      <c r="X700" s="324"/>
      <c r="Y700" s="324"/>
      <c r="Z700" s="324"/>
    </row>
    <row r="701">
      <c r="A701" s="324"/>
      <c r="B701" s="324"/>
      <c r="C701" s="324"/>
      <c r="D701" s="324"/>
      <c r="E701" s="324"/>
      <c r="F701" s="324"/>
      <c r="G701" s="324"/>
      <c r="H701" s="324"/>
      <c r="I701" s="324"/>
      <c r="J701" s="324"/>
      <c r="K701" s="324"/>
      <c r="L701" s="324"/>
      <c r="M701" s="324"/>
      <c r="N701" s="324"/>
      <c r="O701" s="324"/>
      <c r="P701" s="324"/>
      <c r="Q701" s="324"/>
      <c r="R701" s="324"/>
      <c r="S701" s="324"/>
      <c r="T701" s="324"/>
      <c r="U701" s="324"/>
      <c r="V701" s="324"/>
      <c r="W701" s="324"/>
      <c r="X701" s="324"/>
      <c r="Y701" s="324"/>
      <c r="Z701" s="324"/>
    </row>
    <row r="702">
      <c r="A702" s="324"/>
      <c r="B702" s="324"/>
      <c r="C702" s="324"/>
      <c r="D702" s="324"/>
      <c r="E702" s="324"/>
      <c r="F702" s="324"/>
      <c r="G702" s="324"/>
      <c r="H702" s="324"/>
      <c r="I702" s="324"/>
      <c r="J702" s="324"/>
      <c r="K702" s="324"/>
      <c r="L702" s="324"/>
      <c r="M702" s="324"/>
      <c r="N702" s="324"/>
      <c r="O702" s="324"/>
      <c r="P702" s="324"/>
      <c r="Q702" s="324"/>
      <c r="R702" s="324"/>
      <c r="S702" s="324"/>
      <c r="T702" s="324"/>
      <c r="U702" s="324"/>
      <c r="V702" s="324"/>
      <c r="W702" s="324"/>
      <c r="X702" s="324"/>
      <c r="Y702" s="324"/>
      <c r="Z702" s="324"/>
    </row>
    <row r="703">
      <c r="A703" s="324"/>
      <c r="B703" s="324"/>
      <c r="C703" s="324"/>
      <c r="D703" s="324"/>
      <c r="E703" s="324"/>
      <c r="F703" s="324"/>
      <c r="G703" s="324"/>
      <c r="H703" s="324"/>
      <c r="I703" s="324"/>
      <c r="J703" s="324"/>
      <c r="K703" s="324"/>
      <c r="L703" s="324"/>
      <c r="M703" s="324"/>
      <c r="N703" s="324"/>
      <c r="O703" s="324"/>
      <c r="P703" s="324"/>
      <c r="Q703" s="324"/>
      <c r="R703" s="324"/>
      <c r="S703" s="324"/>
      <c r="T703" s="324"/>
      <c r="U703" s="324"/>
      <c r="V703" s="324"/>
      <c r="W703" s="324"/>
      <c r="X703" s="324"/>
      <c r="Y703" s="324"/>
      <c r="Z703" s="324"/>
    </row>
    <row r="704">
      <c r="A704" s="324"/>
      <c r="B704" s="324"/>
      <c r="C704" s="324"/>
      <c r="D704" s="324"/>
      <c r="E704" s="324"/>
      <c r="F704" s="324"/>
      <c r="G704" s="324"/>
      <c r="H704" s="324"/>
      <c r="I704" s="324"/>
      <c r="J704" s="324"/>
      <c r="K704" s="324"/>
      <c r="L704" s="324"/>
      <c r="M704" s="324"/>
      <c r="N704" s="324"/>
      <c r="O704" s="324"/>
      <c r="P704" s="324"/>
      <c r="Q704" s="324"/>
      <c r="R704" s="324"/>
      <c r="S704" s="324"/>
      <c r="T704" s="324"/>
      <c r="U704" s="324"/>
      <c r="V704" s="324"/>
      <c r="W704" s="324"/>
      <c r="X704" s="324"/>
      <c r="Y704" s="324"/>
      <c r="Z704" s="324"/>
    </row>
    <row r="705">
      <c r="A705" s="324"/>
      <c r="B705" s="324"/>
      <c r="C705" s="324"/>
      <c r="D705" s="324"/>
      <c r="E705" s="324"/>
      <c r="F705" s="324"/>
      <c r="G705" s="324"/>
      <c r="H705" s="324"/>
      <c r="I705" s="324"/>
      <c r="J705" s="324"/>
      <c r="K705" s="324"/>
      <c r="L705" s="324"/>
      <c r="M705" s="324"/>
      <c r="N705" s="324"/>
      <c r="O705" s="324"/>
      <c r="P705" s="324"/>
      <c r="Q705" s="324"/>
      <c r="R705" s="324"/>
      <c r="S705" s="324"/>
      <c r="T705" s="324"/>
      <c r="U705" s="324"/>
      <c r="V705" s="324"/>
      <c r="W705" s="324"/>
      <c r="X705" s="324"/>
      <c r="Y705" s="324"/>
      <c r="Z705" s="324"/>
    </row>
    <row r="706">
      <c r="A706" s="324"/>
      <c r="B706" s="324"/>
      <c r="C706" s="324"/>
      <c r="D706" s="324"/>
      <c r="E706" s="324"/>
      <c r="F706" s="324"/>
      <c r="G706" s="324"/>
      <c r="H706" s="324"/>
      <c r="I706" s="324"/>
      <c r="J706" s="324"/>
      <c r="K706" s="324"/>
      <c r="L706" s="324"/>
      <c r="M706" s="324"/>
      <c r="N706" s="324"/>
      <c r="O706" s="324"/>
      <c r="P706" s="324"/>
      <c r="Q706" s="324"/>
      <c r="R706" s="324"/>
      <c r="S706" s="324"/>
      <c r="T706" s="324"/>
      <c r="U706" s="324"/>
      <c r="V706" s="324"/>
      <c r="W706" s="324"/>
      <c r="X706" s="324"/>
      <c r="Y706" s="324"/>
      <c r="Z706" s="324"/>
    </row>
    <row r="707">
      <c r="A707" s="324"/>
      <c r="B707" s="324"/>
      <c r="C707" s="324"/>
      <c r="D707" s="324"/>
      <c r="E707" s="324"/>
      <c r="F707" s="324"/>
      <c r="G707" s="324"/>
      <c r="H707" s="324"/>
      <c r="I707" s="324"/>
      <c r="J707" s="324"/>
      <c r="K707" s="324"/>
      <c r="L707" s="324"/>
      <c r="M707" s="324"/>
      <c r="N707" s="324"/>
      <c r="O707" s="324"/>
      <c r="P707" s="324"/>
      <c r="Q707" s="324"/>
      <c r="R707" s="324"/>
      <c r="S707" s="324"/>
      <c r="T707" s="324"/>
      <c r="U707" s="324"/>
      <c r="V707" s="324"/>
      <c r="W707" s="324"/>
      <c r="X707" s="324"/>
      <c r="Y707" s="324"/>
      <c r="Z707" s="324"/>
    </row>
    <row r="708">
      <c r="A708" s="324"/>
      <c r="B708" s="324"/>
      <c r="C708" s="324"/>
      <c r="D708" s="324"/>
      <c r="E708" s="324"/>
      <c r="F708" s="324"/>
      <c r="G708" s="324"/>
      <c r="H708" s="324"/>
      <c r="I708" s="324"/>
      <c r="J708" s="324"/>
      <c r="K708" s="324"/>
      <c r="L708" s="324"/>
      <c r="M708" s="324"/>
      <c r="N708" s="324"/>
      <c r="O708" s="324"/>
      <c r="P708" s="324"/>
      <c r="Q708" s="324"/>
      <c r="R708" s="324"/>
      <c r="S708" s="324"/>
      <c r="T708" s="324"/>
      <c r="U708" s="324"/>
      <c r="V708" s="324"/>
      <c r="W708" s="324"/>
      <c r="X708" s="324"/>
      <c r="Y708" s="324"/>
      <c r="Z708" s="324"/>
    </row>
    <row r="709">
      <c r="A709" s="324"/>
      <c r="B709" s="324"/>
      <c r="C709" s="324"/>
      <c r="D709" s="324"/>
      <c r="E709" s="324"/>
      <c r="F709" s="324"/>
      <c r="G709" s="324"/>
      <c r="H709" s="324"/>
      <c r="I709" s="324"/>
      <c r="J709" s="324"/>
      <c r="K709" s="324"/>
      <c r="L709" s="324"/>
      <c r="M709" s="324"/>
      <c r="N709" s="324"/>
      <c r="O709" s="324"/>
      <c r="P709" s="324"/>
      <c r="Q709" s="324"/>
      <c r="R709" s="324"/>
      <c r="S709" s="324"/>
      <c r="T709" s="324"/>
      <c r="U709" s="324"/>
      <c r="V709" s="324"/>
      <c r="W709" s="324"/>
      <c r="X709" s="324"/>
      <c r="Y709" s="324"/>
      <c r="Z709" s="324"/>
    </row>
    <row r="710">
      <c r="A710" s="324"/>
      <c r="B710" s="324"/>
      <c r="C710" s="324"/>
      <c r="D710" s="324"/>
      <c r="E710" s="324"/>
      <c r="F710" s="324"/>
      <c r="G710" s="324"/>
      <c r="H710" s="324"/>
      <c r="I710" s="324"/>
      <c r="J710" s="324"/>
      <c r="K710" s="324"/>
      <c r="L710" s="324"/>
      <c r="M710" s="324"/>
      <c r="N710" s="324"/>
      <c r="O710" s="324"/>
      <c r="P710" s="324"/>
      <c r="Q710" s="324"/>
      <c r="R710" s="324"/>
      <c r="S710" s="324"/>
      <c r="T710" s="324"/>
      <c r="U710" s="324"/>
      <c r="V710" s="324"/>
      <c r="W710" s="324"/>
      <c r="X710" s="324"/>
      <c r="Y710" s="324"/>
      <c r="Z710" s="324"/>
    </row>
    <row r="711">
      <c r="A711" s="324"/>
      <c r="B711" s="324"/>
      <c r="C711" s="324"/>
      <c r="D711" s="324"/>
      <c r="E711" s="324"/>
      <c r="F711" s="324"/>
      <c r="G711" s="324"/>
      <c r="H711" s="324"/>
      <c r="I711" s="324"/>
      <c r="J711" s="324"/>
      <c r="K711" s="324"/>
      <c r="L711" s="324"/>
      <c r="M711" s="324"/>
      <c r="N711" s="324"/>
      <c r="O711" s="324"/>
      <c r="P711" s="324"/>
      <c r="Q711" s="324"/>
      <c r="R711" s="324"/>
      <c r="S711" s="324"/>
      <c r="T711" s="324"/>
      <c r="U711" s="324"/>
      <c r="V711" s="324"/>
      <c r="W711" s="324"/>
      <c r="X711" s="324"/>
      <c r="Y711" s="324"/>
      <c r="Z711" s="324"/>
    </row>
    <row r="712">
      <c r="A712" s="324"/>
      <c r="B712" s="324"/>
      <c r="C712" s="324"/>
      <c r="D712" s="324"/>
      <c r="E712" s="324"/>
      <c r="F712" s="324"/>
      <c r="G712" s="324"/>
      <c r="H712" s="324"/>
      <c r="I712" s="324"/>
      <c r="J712" s="324"/>
      <c r="K712" s="324"/>
      <c r="L712" s="324"/>
      <c r="M712" s="324"/>
      <c r="N712" s="324"/>
      <c r="O712" s="324"/>
      <c r="P712" s="324"/>
      <c r="Q712" s="324"/>
      <c r="R712" s="324"/>
      <c r="S712" s="324"/>
      <c r="T712" s="324"/>
      <c r="U712" s="324"/>
      <c r="V712" s="324"/>
      <c r="W712" s="324"/>
      <c r="X712" s="324"/>
      <c r="Y712" s="324"/>
      <c r="Z712" s="324"/>
    </row>
    <row r="713">
      <c r="A713" s="324"/>
      <c r="B713" s="324"/>
      <c r="C713" s="324"/>
      <c r="D713" s="324"/>
      <c r="E713" s="324"/>
      <c r="F713" s="324"/>
      <c r="G713" s="324"/>
      <c r="H713" s="324"/>
      <c r="I713" s="324"/>
      <c r="J713" s="324"/>
      <c r="K713" s="324"/>
      <c r="L713" s="324"/>
      <c r="M713" s="324"/>
      <c r="N713" s="324"/>
      <c r="O713" s="324"/>
      <c r="P713" s="324"/>
      <c r="Q713" s="324"/>
      <c r="R713" s="324"/>
      <c r="S713" s="324"/>
      <c r="T713" s="324"/>
      <c r="U713" s="324"/>
      <c r="V713" s="324"/>
      <c r="W713" s="324"/>
      <c r="X713" s="324"/>
      <c r="Y713" s="324"/>
      <c r="Z713" s="324"/>
    </row>
    <row r="714">
      <c r="A714" s="324"/>
      <c r="B714" s="324"/>
      <c r="C714" s="324"/>
      <c r="D714" s="324"/>
      <c r="E714" s="324"/>
      <c r="F714" s="324"/>
      <c r="G714" s="324"/>
      <c r="H714" s="324"/>
      <c r="I714" s="324"/>
      <c r="J714" s="324"/>
      <c r="K714" s="324"/>
      <c r="L714" s="324"/>
      <c r="M714" s="324"/>
      <c r="N714" s="324"/>
      <c r="O714" s="324"/>
      <c r="P714" s="324"/>
      <c r="Q714" s="324"/>
      <c r="R714" s="324"/>
      <c r="S714" s="324"/>
      <c r="T714" s="324"/>
      <c r="U714" s="324"/>
      <c r="V714" s="324"/>
      <c r="W714" s="324"/>
      <c r="X714" s="324"/>
      <c r="Y714" s="324"/>
      <c r="Z714" s="324"/>
    </row>
    <row r="715">
      <c r="A715" s="324"/>
      <c r="B715" s="324"/>
      <c r="C715" s="324"/>
      <c r="D715" s="324"/>
      <c r="E715" s="324"/>
      <c r="F715" s="324"/>
      <c r="G715" s="324"/>
      <c r="H715" s="324"/>
      <c r="I715" s="324"/>
      <c r="J715" s="324"/>
      <c r="K715" s="324"/>
      <c r="L715" s="324"/>
      <c r="M715" s="324"/>
      <c r="N715" s="324"/>
      <c r="O715" s="324"/>
      <c r="P715" s="324"/>
      <c r="Q715" s="324"/>
      <c r="R715" s="324"/>
      <c r="S715" s="324"/>
      <c r="T715" s="324"/>
      <c r="U715" s="324"/>
      <c r="V715" s="324"/>
      <c r="W715" s="324"/>
      <c r="X715" s="324"/>
      <c r="Y715" s="324"/>
      <c r="Z715" s="324"/>
    </row>
    <row r="716">
      <c r="A716" s="324"/>
      <c r="B716" s="324"/>
      <c r="C716" s="324"/>
      <c r="D716" s="324"/>
      <c r="E716" s="324"/>
      <c r="F716" s="324"/>
      <c r="G716" s="324"/>
      <c r="H716" s="324"/>
      <c r="I716" s="324"/>
      <c r="J716" s="324"/>
      <c r="K716" s="324"/>
      <c r="L716" s="324"/>
      <c r="M716" s="324"/>
      <c r="N716" s="324"/>
      <c r="O716" s="324"/>
      <c r="P716" s="324"/>
      <c r="Q716" s="324"/>
      <c r="R716" s="324"/>
      <c r="S716" s="324"/>
      <c r="T716" s="324"/>
      <c r="U716" s="324"/>
      <c r="V716" s="324"/>
      <c r="W716" s="324"/>
      <c r="X716" s="324"/>
      <c r="Y716" s="324"/>
      <c r="Z716" s="324"/>
    </row>
    <row r="717">
      <c r="A717" s="324"/>
      <c r="B717" s="324"/>
      <c r="C717" s="324"/>
      <c r="D717" s="324"/>
      <c r="E717" s="324"/>
      <c r="F717" s="324"/>
      <c r="G717" s="324"/>
      <c r="H717" s="324"/>
      <c r="I717" s="324"/>
      <c r="J717" s="324"/>
      <c r="K717" s="324"/>
      <c r="L717" s="324"/>
      <c r="M717" s="324"/>
      <c r="N717" s="324"/>
      <c r="O717" s="324"/>
      <c r="P717" s="324"/>
      <c r="Q717" s="324"/>
      <c r="R717" s="324"/>
      <c r="S717" s="324"/>
      <c r="T717" s="324"/>
      <c r="U717" s="324"/>
      <c r="V717" s="324"/>
      <c r="W717" s="324"/>
      <c r="X717" s="324"/>
      <c r="Y717" s="324"/>
      <c r="Z717" s="324"/>
    </row>
    <row r="718">
      <c r="A718" s="324"/>
      <c r="B718" s="324"/>
      <c r="C718" s="324"/>
      <c r="D718" s="324"/>
      <c r="E718" s="324"/>
      <c r="F718" s="324"/>
      <c r="G718" s="324"/>
      <c r="H718" s="324"/>
      <c r="I718" s="324"/>
      <c r="J718" s="324"/>
      <c r="K718" s="324"/>
      <c r="L718" s="324"/>
      <c r="M718" s="324"/>
      <c r="N718" s="324"/>
      <c r="O718" s="324"/>
      <c r="P718" s="324"/>
      <c r="Q718" s="324"/>
      <c r="R718" s="324"/>
      <c r="S718" s="324"/>
      <c r="T718" s="324"/>
      <c r="U718" s="324"/>
      <c r="V718" s="324"/>
      <c r="W718" s="324"/>
      <c r="X718" s="324"/>
      <c r="Y718" s="324"/>
      <c r="Z718" s="324"/>
    </row>
    <row r="719">
      <c r="A719" s="324"/>
      <c r="B719" s="324"/>
      <c r="C719" s="324"/>
      <c r="D719" s="324"/>
      <c r="E719" s="324"/>
      <c r="F719" s="324"/>
      <c r="G719" s="324"/>
      <c r="H719" s="324"/>
      <c r="I719" s="324"/>
      <c r="J719" s="324"/>
      <c r="K719" s="324"/>
      <c r="L719" s="324"/>
      <c r="M719" s="324"/>
      <c r="N719" s="324"/>
      <c r="O719" s="324"/>
      <c r="P719" s="324"/>
      <c r="Q719" s="324"/>
      <c r="R719" s="324"/>
      <c r="S719" s="324"/>
      <c r="T719" s="324"/>
      <c r="U719" s="324"/>
      <c r="V719" s="324"/>
      <c r="W719" s="324"/>
      <c r="X719" s="324"/>
      <c r="Y719" s="324"/>
      <c r="Z719" s="324"/>
    </row>
    <row r="720">
      <c r="A720" s="324"/>
      <c r="B720" s="324"/>
      <c r="C720" s="324"/>
      <c r="D720" s="324"/>
      <c r="E720" s="324"/>
      <c r="F720" s="324"/>
      <c r="G720" s="324"/>
      <c r="H720" s="324"/>
      <c r="I720" s="324"/>
      <c r="J720" s="324"/>
      <c r="K720" s="324"/>
      <c r="L720" s="324"/>
      <c r="M720" s="324"/>
      <c r="N720" s="324"/>
      <c r="O720" s="324"/>
      <c r="P720" s="324"/>
      <c r="Q720" s="324"/>
      <c r="R720" s="324"/>
      <c r="S720" s="324"/>
      <c r="T720" s="324"/>
      <c r="U720" s="324"/>
      <c r="V720" s="324"/>
      <c r="W720" s="324"/>
      <c r="X720" s="324"/>
      <c r="Y720" s="324"/>
      <c r="Z720" s="324"/>
    </row>
    <row r="721">
      <c r="A721" s="324"/>
      <c r="B721" s="324"/>
      <c r="C721" s="324"/>
      <c r="D721" s="324"/>
      <c r="E721" s="324"/>
      <c r="F721" s="324"/>
      <c r="G721" s="324"/>
      <c r="H721" s="324"/>
      <c r="I721" s="324"/>
      <c r="J721" s="324"/>
      <c r="K721" s="324"/>
      <c r="L721" s="324"/>
      <c r="M721" s="324"/>
      <c r="N721" s="324"/>
      <c r="O721" s="324"/>
      <c r="P721" s="324"/>
      <c r="Q721" s="324"/>
      <c r="R721" s="324"/>
      <c r="S721" s="324"/>
      <c r="T721" s="324"/>
      <c r="U721" s="324"/>
      <c r="V721" s="324"/>
      <c r="W721" s="324"/>
      <c r="X721" s="324"/>
      <c r="Y721" s="324"/>
      <c r="Z721" s="324"/>
    </row>
    <row r="722">
      <c r="A722" s="324"/>
      <c r="B722" s="324"/>
      <c r="C722" s="324"/>
      <c r="D722" s="324"/>
      <c r="E722" s="324"/>
      <c r="F722" s="324"/>
      <c r="G722" s="324"/>
      <c r="H722" s="324"/>
      <c r="I722" s="324"/>
      <c r="J722" s="324"/>
      <c r="K722" s="324"/>
      <c r="L722" s="324"/>
      <c r="M722" s="324"/>
      <c r="N722" s="324"/>
      <c r="O722" s="324"/>
      <c r="P722" s="324"/>
      <c r="Q722" s="324"/>
      <c r="R722" s="324"/>
      <c r="S722" s="324"/>
      <c r="T722" s="324"/>
      <c r="U722" s="324"/>
      <c r="V722" s="324"/>
      <c r="W722" s="324"/>
      <c r="X722" s="324"/>
      <c r="Y722" s="324"/>
      <c r="Z722" s="324"/>
    </row>
    <row r="723">
      <c r="A723" s="324"/>
      <c r="B723" s="324"/>
      <c r="C723" s="324"/>
      <c r="D723" s="324"/>
      <c r="E723" s="324"/>
      <c r="F723" s="324"/>
      <c r="G723" s="324"/>
      <c r="H723" s="324"/>
      <c r="I723" s="324"/>
      <c r="J723" s="324"/>
      <c r="K723" s="324"/>
      <c r="L723" s="324"/>
      <c r="M723" s="324"/>
      <c r="N723" s="324"/>
      <c r="O723" s="324"/>
      <c r="P723" s="324"/>
      <c r="Q723" s="324"/>
      <c r="R723" s="324"/>
      <c r="S723" s="324"/>
      <c r="T723" s="324"/>
      <c r="U723" s="324"/>
      <c r="V723" s="324"/>
      <c r="W723" s="324"/>
      <c r="X723" s="324"/>
      <c r="Y723" s="324"/>
      <c r="Z723" s="324"/>
    </row>
    <row r="724">
      <c r="A724" s="324"/>
      <c r="B724" s="324"/>
      <c r="C724" s="324"/>
      <c r="D724" s="324"/>
      <c r="E724" s="324"/>
      <c r="F724" s="324"/>
      <c r="G724" s="324"/>
      <c r="H724" s="324"/>
      <c r="I724" s="324"/>
      <c r="J724" s="324"/>
      <c r="K724" s="324"/>
      <c r="L724" s="324"/>
      <c r="M724" s="324"/>
      <c r="N724" s="324"/>
      <c r="O724" s="324"/>
      <c r="P724" s="324"/>
      <c r="Q724" s="324"/>
      <c r="R724" s="324"/>
      <c r="S724" s="324"/>
      <c r="T724" s="324"/>
      <c r="U724" s="324"/>
      <c r="V724" s="324"/>
      <c r="W724" s="324"/>
      <c r="X724" s="324"/>
      <c r="Y724" s="324"/>
      <c r="Z724" s="324"/>
    </row>
    <row r="725">
      <c r="A725" s="324"/>
      <c r="B725" s="324"/>
      <c r="C725" s="324"/>
      <c r="D725" s="324"/>
      <c r="E725" s="324"/>
      <c r="F725" s="324"/>
      <c r="G725" s="324"/>
      <c r="H725" s="324"/>
      <c r="I725" s="324"/>
      <c r="J725" s="324"/>
      <c r="K725" s="324"/>
      <c r="L725" s="324"/>
      <c r="M725" s="324"/>
      <c r="N725" s="324"/>
      <c r="O725" s="324"/>
      <c r="P725" s="324"/>
      <c r="Q725" s="324"/>
      <c r="R725" s="324"/>
      <c r="S725" s="324"/>
      <c r="T725" s="324"/>
      <c r="U725" s="324"/>
      <c r="V725" s="324"/>
      <c r="W725" s="324"/>
      <c r="X725" s="324"/>
      <c r="Y725" s="324"/>
      <c r="Z725" s="324"/>
    </row>
    <row r="726">
      <c r="A726" s="324"/>
      <c r="B726" s="324"/>
      <c r="C726" s="324"/>
      <c r="D726" s="324"/>
      <c r="E726" s="324"/>
      <c r="F726" s="324"/>
      <c r="G726" s="324"/>
      <c r="H726" s="324"/>
      <c r="I726" s="324"/>
      <c r="J726" s="324"/>
      <c r="K726" s="324"/>
      <c r="L726" s="324"/>
      <c r="M726" s="324"/>
      <c r="N726" s="324"/>
      <c r="O726" s="324"/>
      <c r="P726" s="324"/>
      <c r="Q726" s="324"/>
      <c r="R726" s="324"/>
      <c r="S726" s="324"/>
      <c r="T726" s="324"/>
      <c r="U726" s="324"/>
      <c r="V726" s="324"/>
      <c r="W726" s="324"/>
      <c r="X726" s="324"/>
      <c r="Y726" s="324"/>
      <c r="Z726" s="324"/>
    </row>
    <row r="727">
      <c r="A727" s="324"/>
      <c r="B727" s="324"/>
      <c r="C727" s="324"/>
      <c r="D727" s="324"/>
      <c r="E727" s="324"/>
      <c r="F727" s="324"/>
      <c r="G727" s="324"/>
      <c r="H727" s="324"/>
      <c r="I727" s="324"/>
      <c r="J727" s="324"/>
      <c r="K727" s="324"/>
      <c r="L727" s="324"/>
      <c r="M727" s="324"/>
      <c r="N727" s="324"/>
      <c r="O727" s="324"/>
      <c r="P727" s="324"/>
      <c r="Q727" s="324"/>
      <c r="R727" s="324"/>
      <c r="S727" s="324"/>
      <c r="T727" s="324"/>
      <c r="U727" s="324"/>
      <c r="V727" s="324"/>
      <c r="W727" s="324"/>
      <c r="X727" s="324"/>
      <c r="Y727" s="324"/>
      <c r="Z727" s="324"/>
    </row>
    <row r="728">
      <c r="A728" s="324"/>
      <c r="B728" s="324"/>
      <c r="C728" s="324"/>
      <c r="D728" s="324"/>
      <c r="E728" s="324"/>
      <c r="F728" s="324"/>
      <c r="G728" s="324"/>
      <c r="H728" s="324"/>
      <c r="I728" s="324"/>
      <c r="J728" s="324"/>
      <c r="K728" s="324"/>
      <c r="L728" s="324"/>
      <c r="M728" s="324"/>
      <c r="N728" s="324"/>
      <c r="O728" s="324"/>
      <c r="P728" s="324"/>
      <c r="Q728" s="324"/>
      <c r="R728" s="324"/>
      <c r="S728" s="324"/>
      <c r="T728" s="324"/>
      <c r="U728" s="324"/>
      <c r="V728" s="324"/>
      <c r="W728" s="324"/>
      <c r="X728" s="324"/>
      <c r="Y728" s="324"/>
      <c r="Z728" s="324"/>
    </row>
    <row r="729">
      <c r="A729" s="324"/>
      <c r="B729" s="324"/>
      <c r="C729" s="324"/>
      <c r="D729" s="324"/>
      <c r="E729" s="324"/>
      <c r="F729" s="324"/>
      <c r="G729" s="324"/>
      <c r="H729" s="324"/>
      <c r="I729" s="324"/>
      <c r="J729" s="324"/>
      <c r="K729" s="324"/>
      <c r="L729" s="324"/>
      <c r="M729" s="324"/>
      <c r="N729" s="324"/>
      <c r="O729" s="324"/>
      <c r="P729" s="324"/>
      <c r="Q729" s="324"/>
      <c r="R729" s="324"/>
      <c r="S729" s="324"/>
      <c r="T729" s="324"/>
      <c r="U729" s="324"/>
      <c r="V729" s="324"/>
      <c r="W729" s="324"/>
      <c r="X729" s="324"/>
      <c r="Y729" s="324"/>
      <c r="Z729" s="324"/>
    </row>
    <row r="730">
      <c r="A730" s="324"/>
      <c r="B730" s="324"/>
      <c r="C730" s="324"/>
      <c r="D730" s="324"/>
      <c r="E730" s="324"/>
      <c r="F730" s="324"/>
      <c r="G730" s="324"/>
      <c r="H730" s="324"/>
      <c r="I730" s="324"/>
      <c r="J730" s="324"/>
      <c r="K730" s="324"/>
      <c r="L730" s="324"/>
      <c r="M730" s="324"/>
      <c r="N730" s="324"/>
      <c r="O730" s="324"/>
      <c r="P730" s="324"/>
      <c r="Q730" s="324"/>
      <c r="R730" s="324"/>
      <c r="S730" s="324"/>
      <c r="T730" s="324"/>
      <c r="U730" s="324"/>
      <c r="V730" s="324"/>
      <c r="W730" s="324"/>
      <c r="X730" s="324"/>
      <c r="Y730" s="324"/>
      <c r="Z730" s="324"/>
    </row>
    <row r="731">
      <c r="A731" s="324"/>
      <c r="B731" s="324"/>
      <c r="C731" s="324"/>
      <c r="D731" s="324"/>
      <c r="E731" s="324"/>
      <c r="F731" s="324"/>
      <c r="G731" s="324"/>
      <c r="H731" s="324"/>
      <c r="I731" s="324"/>
      <c r="J731" s="324"/>
      <c r="K731" s="324"/>
      <c r="L731" s="324"/>
      <c r="M731" s="324"/>
      <c r="N731" s="324"/>
      <c r="O731" s="324"/>
      <c r="P731" s="324"/>
      <c r="Q731" s="324"/>
      <c r="R731" s="324"/>
      <c r="S731" s="324"/>
      <c r="T731" s="324"/>
      <c r="U731" s="324"/>
      <c r="V731" s="324"/>
      <c r="W731" s="324"/>
      <c r="X731" s="324"/>
      <c r="Y731" s="324"/>
      <c r="Z731" s="324"/>
    </row>
    <row r="732">
      <c r="A732" s="324"/>
      <c r="B732" s="324"/>
      <c r="C732" s="324"/>
      <c r="D732" s="324"/>
      <c r="E732" s="324"/>
      <c r="F732" s="324"/>
      <c r="G732" s="324"/>
      <c r="H732" s="324"/>
      <c r="I732" s="324"/>
      <c r="J732" s="324"/>
      <c r="K732" s="324"/>
      <c r="L732" s="324"/>
      <c r="M732" s="324"/>
      <c r="N732" s="324"/>
      <c r="O732" s="324"/>
      <c r="P732" s="324"/>
      <c r="Q732" s="324"/>
      <c r="R732" s="324"/>
      <c r="S732" s="324"/>
      <c r="T732" s="324"/>
      <c r="U732" s="324"/>
      <c r="V732" s="324"/>
      <c r="W732" s="324"/>
      <c r="X732" s="324"/>
      <c r="Y732" s="324"/>
      <c r="Z732" s="324"/>
    </row>
    <row r="733">
      <c r="A733" s="324"/>
      <c r="B733" s="324"/>
      <c r="C733" s="324"/>
      <c r="D733" s="324"/>
      <c r="E733" s="324"/>
      <c r="F733" s="324"/>
      <c r="G733" s="324"/>
      <c r="H733" s="324"/>
      <c r="I733" s="324"/>
      <c r="J733" s="324"/>
      <c r="K733" s="324"/>
      <c r="L733" s="324"/>
      <c r="M733" s="324"/>
      <c r="N733" s="324"/>
      <c r="O733" s="324"/>
      <c r="P733" s="324"/>
      <c r="Q733" s="324"/>
      <c r="R733" s="324"/>
      <c r="S733" s="324"/>
      <c r="T733" s="324"/>
      <c r="U733" s="324"/>
      <c r="V733" s="324"/>
      <c r="W733" s="324"/>
      <c r="X733" s="324"/>
      <c r="Y733" s="324"/>
      <c r="Z733" s="324"/>
    </row>
    <row r="734">
      <c r="A734" s="324"/>
      <c r="B734" s="324"/>
      <c r="C734" s="324"/>
      <c r="D734" s="324"/>
      <c r="E734" s="324"/>
      <c r="F734" s="324"/>
      <c r="G734" s="324"/>
      <c r="H734" s="324"/>
      <c r="I734" s="324"/>
      <c r="J734" s="324"/>
      <c r="K734" s="324"/>
      <c r="L734" s="324"/>
      <c r="M734" s="324"/>
      <c r="N734" s="324"/>
      <c r="O734" s="324"/>
      <c r="P734" s="324"/>
      <c r="Q734" s="324"/>
      <c r="R734" s="324"/>
      <c r="S734" s="324"/>
      <c r="T734" s="324"/>
      <c r="U734" s="324"/>
      <c r="V734" s="324"/>
      <c r="W734" s="324"/>
      <c r="X734" s="324"/>
      <c r="Y734" s="324"/>
      <c r="Z734" s="324"/>
    </row>
    <row r="735">
      <c r="A735" s="324"/>
      <c r="B735" s="324"/>
      <c r="C735" s="324"/>
      <c r="D735" s="324"/>
      <c r="E735" s="324"/>
      <c r="F735" s="324"/>
      <c r="G735" s="324"/>
      <c r="H735" s="324"/>
      <c r="I735" s="324"/>
      <c r="J735" s="324"/>
      <c r="K735" s="324"/>
      <c r="L735" s="324"/>
      <c r="M735" s="324"/>
      <c r="N735" s="324"/>
      <c r="O735" s="324"/>
      <c r="P735" s="324"/>
      <c r="Q735" s="324"/>
      <c r="R735" s="324"/>
      <c r="S735" s="324"/>
      <c r="T735" s="324"/>
      <c r="U735" s="324"/>
      <c r="V735" s="324"/>
      <c r="W735" s="324"/>
      <c r="X735" s="324"/>
      <c r="Y735" s="324"/>
      <c r="Z735" s="324"/>
    </row>
    <row r="736">
      <c r="A736" s="324"/>
      <c r="B736" s="324"/>
      <c r="C736" s="324"/>
      <c r="D736" s="324"/>
      <c r="E736" s="324"/>
      <c r="F736" s="324"/>
      <c r="G736" s="324"/>
      <c r="H736" s="324"/>
      <c r="I736" s="324"/>
      <c r="J736" s="324"/>
      <c r="K736" s="324"/>
      <c r="L736" s="324"/>
      <c r="M736" s="324"/>
      <c r="N736" s="324"/>
      <c r="O736" s="324"/>
      <c r="P736" s="324"/>
      <c r="Q736" s="324"/>
      <c r="R736" s="324"/>
      <c r="S736" s="324"/>
      <c r="T736" s="324"/>
      <c r="U736" s="324"/>
      <c r="V736" s="324"/>
      <c r="W736" s="324"/>
      <c r="X736" s="324"/>
      <c r="Y736" s="324"/>
      <c r="Z736" s="324"/>
    </row>
    <row r="737">
      <c r="A737" s="324"/>
      <c r="B737" s="324"/>
      <c r="C737" s="324"/>
      <c r="D737" s="324"/>
      <c r="E737" s="324"/>
      <c r="F737" s="324"/>
      <c r="G737" s="324"/>
      <c r="H737" s="324"/>
      <c r="I737" s="324"/>
      <c r="J737" s="324"/>
      <c r="K737" s="324"/>
      <c r="L737" s="324"/>
      <c r="M737" s="324"/>
      <c r="N737" s="324"/>
      <c r="O737" s="324"/>
      <c r="P737" s="324"/>
      <c r="Q737" s="324"/>
      <c r="R737" s="324"/>
      <c r="S737" s="324"/>
      <c r="T737" s="324"/>
      <c r="U737" s="324"/>
      <c r="V737" s="324"/>
      <c r="W737" s="324"/>
      <c r="X737" s="324"/>
      <c r="Y737" s="324"/>
      <c r="Z737" s="324"/>
    </row>
    <row r="738">
      <c r="A738" s="324"/>
      <c r="B738" s="324"/>
      <c r="C738" s="324"/>
      <c r="D738" s="324"/>
      <c r="E738" s="324"/>
      <c r="F738" s="324"/>
      <c r="G738" s="324"/>
      <c r="H738" s="324"/>
      <c r="I738" s="324"/>
      <c r="J738" s="324"/>
      <c r="K738" s="324"/>
      <c r="L738" s="324"/>
      <c r="M738" s="324"/>
      <c r="N738" s="324"/>
      <c r="O738" s="324"/>
      <c r="P738" s="324"/>
      <c r="Q738" s="324"/>
      <c r="R738" s="324"/>
      <c r="S738" s="324"/>
      <c r="T738" s="324"/>
      <c r="U738" s="324"/>
      <c r="V738" s="324"/>
      <c r="W738" s="324"/>
      <c r="X738" s="324"/>
      <c r="Y738" s="324"/>
      <c r="Z738" s="324"/>
    </row>
    <row r="739">
      <c r="A739" s="324"/>
      <c r="B739" s="324"/>
      <c r="C739" s="324"/>
      <c r="D739" s="324"/>
      <c r="E739" s="324"/>
      <c r="F739" s="324"/>
      <c r="G739" s="324"/>
      <c r="H739" s="324"/>
      <c r="I739" s="324"/>
      <c r="J739" s="324"/>
      <c r="K739" s="324"/>
      <c r="L739" s="324"/>
      <c r="M739" s="324"/>
      <c r="N739" s="324"/>
      <c r="O739" s="324"/>
      <c r="P739" s="324"/>
      <c r="Q739" s="324"/>
      <c r="R739" s="324"/>
      <c r="S739" s="324"/>
      <c r="T739" s="324"/>
      <c r="U739" s="324"/>
      <c r="V739" s="324"/>
      <c r="W739" s="324"/>
      <c r="X739" s="324"/>
      <c r="Y739" s="324"/>
      <c r="Z739" s="324"/>
    </row>
    <row r="740">
      <c r="A740" s="324"/>
      <c r="B740" s="324"/>
      <c r="C740" s="324"/>
      <c r="D740" s="324"/>
      <c r="E740" s="324"/>
      <c r="F740" s="324"/>
      <c r="G740" s="324"/>
      <c r="H740" s="324"/>
      <c r="I740" s="324"/>
      <c r="J740" s="324"/>
      <c r="K740" s="324"/>
      <c r="L740" s="324"/>
      <c r="M740" s="324"/>
      <c r="N740" s="324"/>
      <c r="O740" s="324"/>
      <c r="P740" s="324"/>
      <c r="Q740" s="324"/>
      <c r="R740" s="324"/>
      <c r="S740" s="324"/>
      <c r="T740" s="324"/>
      <c r="U740" s="324"/>
      <c r="V740" s="324"/>
      <c r="W740" s="324"/>
      <c r="X740" s="324"/>
      <c r="Y740" s="324"/>
      <c r="Z740" s="324"/>
    </row>
    <row r="741">
      <c r="A741" s="324"/>
      <c r="B741" s="324"/>
      <c r="C741" s="324"/>
      <c r="D741" s="324"/>
      <c r="E741" s="324"/>
      <c r="F741" s="324"/>
      <c r="G741" s="324"/>
      <c r="H741" s="324"/>
      <c r="I741" s="324"/>
      <c r="J741" s="324"/>
      <c r="K741" s="324"/>
      <c r="L741" s="324"/>
      <c r="M741" s="324"/>
      <c r="N741" s="324"/>
      <c r="O741" s="324"/>
      <c r="P741" s="324"/>
      <c r="Q741" s="324"/>
      <c r="R741" s="324"/>
      <c r="S741" s="324"/>
      <c r="T741" s="324"/>
      <c r="U741" s="324"/>
      <c r="V741" s="324"/>
      <c r="W741" s="324"/>
      <c r="X741" s="324"/>
      <c r="Y741" s="324"/>
      <c r="Z741" s="324"/>
    </row>
    <row r="742">
      <c r="A742" s="324"/>
      <c r="B742" s="324"/>
      <c r="C742" s="324"/>
      <c r="D742" s="324"/>
      <c r="E742" s="324"/>
      <c r="F742" s="324"/>
      <c r="G742" s="324"/>
      <c r="H742" s="324"/>
      <c r="I742" s="324"/>
      <c r="J742" s="324"/>
      <c r="K742" s="324"/>
      <c r="L742" s="324"/>
      <c r="M742" s="324"/>
      <c r="N742" s="324"/>
      <c r="O742" s="324"/>
      <c r="P742" s="324"/>
      <c r="Q742" s="324"/>
      <c r="R742" s="324"/>
      <c r="S742" s="324"/>
      <c r="T742" s="324"/>
      <c r="U742" s="324"/>
      <c r="V742" s="324"/>
      <c r="W742" s="324"/>
      <c r="X742" s="324"/>
      <c r="Y742" s="324"/>
      <c r="Z742" s="324"/>
    </row>
    <row r="743">
      <c r="A743" s="324"/>
      <c r="B743" s="324"/>
      <c r="C743" s="324"/>
      <c r="D743" s="324"/>
      <c r="E743" s="324"/>
      <c r="F743" s="324"/>
      <c r="G743" s="324"/>
      <c r="H743" s="324"/>
      <c r="I743" s="324"/>
      <c r="J743" s="324"/>
      <c r="K743" s="324"/>
      <c r="L743" s="324"/>
      <c r="M743" s="324"/>
      <c r="N743" s="324"/>
      <c r="O743" s="324"/>
      <c r="P743" s="324"/>
      <c r="Q743" s="324"/>
      <c r="R743" s="324"/>
      <c r="S743" s="324"/>
      <c r="T743" s="324"/>
      <c r="U743" s="324"/>
      <c r="V743" s="324"/>
      <c r="W743" s="324"/>
      <c r="X743" s="324"/>
      <c r="Y743" s="324"/>
      <c r="Z743" s="324"/>
    </row>
    <row r="744">
      <c r="A744" s="324"/>
      <c r="B744" s="324"/>
      <c r="C744" s="324"/>
      <c r="D744" s="324"/>
      <c r="E744" s="324"/>
      <c r="F744" s="324"/>
      <c r="G744" s="324"/>
      <c r="H744" s="324"/>
      <c r="I744" s="324"/>
      <c r="J744" s="324"/>
      <c r="K744" s="324"/>
      <c r="L744" s="324"/>
      <c r="M744" s="324"/>
      <c r="N744" s="324"/>
      <c r="O744" s="324"/>
      <c r="P744" s="324"/>
      <c r="Q744" s="324"/>
      <c r="R744" s="324"/>
      <c r="S744" s="324"/>
      <c r="T744" s="324"/>
      <c r="U744" s="324"/>
      <c r="V744" s="324"/>
      <c r="W744" s="324"/>
      <c r="X744" s="324"/>
      <c r="Y744" s="324"/>
      <c r="Z744" s="324"/>
    </row>
    <row r="745">
      <c r="A745" s="324"/>
      <c r="B745" s="324"/>
      <c r="C745" s="324"/>
      <c r="D745" s="324"/>
      <c r="E745" s="324"/>
      <c r="F745" s="324"/>
      <c r="G745" s="324"/>
      <c r="H745" s="324"/>
      <c r="I745" s="324"/>
      <c r="J745" s="324"/>
      <c r="K745" s="324"/>
      <c r="L745" s="324"/>
      <c r="M745" s="324"/>
      <c r="N745" s="324"/>
      <c r="O745" s="324"/>
      <c r="P745" s="324"/>
      <c r="Q745" s="324"/>
      <c r="R745" s="324"/>
      <c r="S745" s="324"/>
      <c r="T745" s="324"/>
      <c r="U745" s="324"/>
      <c r="V745" s="324"/>
      <c r="W745" s="324"/>
      <c r="X745" s="324"/>
      <c r="Y745" s="324"/>
      <c r="Z745" s="324"/>
    </row>
    <row r="746">
      <c r="A746" s="324"/>
      <c r="B746" s="324"/>
      <c r="C746" s="324"/>
      <c r="D746" s="324"/>
      <c r="E746" s="324"/>
      <c r="F746" s="324"/>
      <c r="G746" s="324"/>
      <c r="H746" s="324"/>
      <c r="I746" s="324"/>
      <c r="J746" s="324"/>
      <c r="K746" s="324"/>
      <c r="L746" s="324"/>
      <c r="M746" s="324"/>
      <c r="N746" s="324"/>
      <c r="O746" s="324"/>
      <c r="P746" s="324"/>
      <c r="Q746" s="324"/>
      <c r="R746" s="324"/>
      <c r="S746" s="324"/>
      <c r="T746" s="324"/>
      <c r="U746" s="324"/>
      <c r="V746" s="324"/>
      <c r="W746" s="324"/>
      <c r="X746" s="324"/>
      <c r="Y746" s="324"/>
      <c r="Z746" s="324"/>
    </row>
    <row r="747">
      <c r="A747" s="324"/>
      <c r="B747" s="324"/>
      <c r="C747" s="324"/>
      <c r="D747" s="324"/>
      <c r="E747" s="324"/>
      <c r="F747" s="324"/>
      <c r="G747" s="324"/>
      <c r="H747" s="324"/>
      <c r="I747" s="324"/>
      <c r="J747" s="324"/>
      <c r="K747" s="324"/>
      <c r="L747" s="324"/>
      <c r="M747" s="324"/>
      <c r="N747" s="324"/>
      <c r="O747" s="324"/>
      <c r="P747" s="324"/>
      <c r="Q747" s="324"/>
      <c r="R747" s="324"/>
      <c r="S747" s="324"/>
      <c r="T747" s="324"/>
      <c r="U747" s="324"/>
      <c r="V747" s="324"/>
      <c r="W747" s="324"/>
      <c r="X747" s="324"/>
      <c r="Y747" s="324"/>
      <c r="Z747" s="324"/>
    </row>
    <row r="748">
      <c r="A748" s="324"/>
      <c r="B748" s="324"/>
      <c r="C748" s="324"/>
      <c r="D748" s="324"/>
      <c r="E748" s="324"/>
      <c r="F748" s="324"/>
      <c r="G748" s="324"/>
      <c r="H748" s="324"/>
      <c r="I748" s="324"/>
      <c r="J748" s="324"/>
      <c r="K748" s="324"/>
      <c r="L748" s="324"/>
      <c r="M748" s="324"/>
      <c r="N748" s="324"/>
      <c r="O748" s="324"/>
      <c r="P748" s="324"/>
      <c r="Q748" s="324"/>
      <c r="R748" s="324"/>
      <c r="S748" s="324"/>
      <c r="T748" s="324"/>
      <c r="U748" s="324"/>
      <c r="V748" s="324"/>
      <c r="W748" s="324"/>
      <c r="X748" s="324"/>
      <c r="Y748" s="324"/>
      <c r="Z748" s="324"/>
    </row>
    <row r="749">
      <c r="A749" s="324"/>
      <c r="B749" s="324"/>
      <c r="C749" s="324"/>
      <c r="D749" s="324"/>
      <c r="E749" s="324"/>
      <c r="F749" s="324"/>
      <c r="G749" s="324"/>
      <c r="H749" s="324"/>
      <c r="I749" s="324"/>
      <c r="J749" s="324"/>
      <c r="K749" s="324"/>
      <c r="L749" s="324"/>
      <c r="M749" s="324"/>
      <c r="N749" s="324"/>
      <c r="O749" s="324"/>
      <c r="P749" s="324"/>
      <c r="Q749" s="324"/>
      <c r="R749" s="324"/>
      <c r="S749" s="324"/>
      <c r="T749" s="324"/>
      <c r="U749" s="324"/>
      <c r="V749" s="324"/>
      <c r="W749" s="324"/>
      <c r="X749" s="324"/>
      <c r="Y749" s="324"/>
      <c r="Z749" s="324"/>
    </row>
    <row r="750">
      <c r="A750" s="324"/>
      <c r="B750" s="324"/>
      <c r="C750" s="324"/>
      <c r="D750" s="324"/>
      <c r="E750" s="324"/>
      <c r="F750" s="324"/>
      <c r="G750" s="324"/>
      <c r="H750" s="324"/>
      <c r="I750" s="324"/>
      <c r="J750" s="324"/>
      <c r="K750" s="324"/>
      <c r="L750" s="324"/>
      <c r="M750" s="324"/>
      <c r="N750" s="324"/>
      <c r="O750" s="324"/>
      <c r="P750" s="324"/>
      <c r="Q750" s="324"/>
      <c r="R750" s="324"/>
      <c r="S750" s="324"/>
      <c r="T750" s="324"/>
      <c r="U750" s="324"/>
      <c r="V750" s="324"/>
      <c r="W750" s="324"/>
      <c r="X750" s="324"/>
      <c r="Y750" s="324"/>
      <c r="Z750" s="324"/>
    </row>
    <row r="751">
      <c r="A751" s="324"/>
      <c r="B751" s="324"/>
      <c r="C751" s="324"/>
      <c r="D751" s="324"/>
      <c r="E751" s="324"/>
      <c r="F751" s="324"/>
      <c r="G751" s="324"/>
      <c r="H751" s="324"/>
      <c r="I751" s="324"/>
      <c r="J751" s="324"/>
      <c r="K751" s="324"/>
      <c r="L751" s="324"/>
      <c r="M751" s="324"/>
      <c r="N751" s="324"/>
      <c r="O751" s="324"/>
      <c r="P751" s="324"/>
      <c r="Q751" s="324"/>
      <c r="R751" s="324"/>
      <c r="S751" s="324"/>
      <c r="T751" s="324"/>
      <c r="U751" s="324"/>
      <c r="V751" s="324"/>
      <c r="W751" s="324"/>
      <c r="X751" s="324"/>
      <c r="Y751" s="324"/>
      <c r="Z751" s="324"/>
    </row>
    <row r="752">
      <c r="A752" s="324"/>
      <c r="B752" s="324"/>
      <c r="C752" s="324"/>
      <c r="D752" s="324"/>
      <c r="E752" s="324"/>
      <c r="F752" s="324"/>
      <c r="G752" s="324"/>
      <c r="H752" s="324"/>
      <c r="I752" s="324"/>
      <c r="J752" s="324"/>
      <c r="K752" s="324"/>
      <c r="L752" s="324"/>
      <c r="M752" s="324"/>
      <c r="N752" s="324"/>
      <c r="O752" s="324"/>
      <c r="P752" s="324"/>
      <c r="Q752" s="324"/>
      <c r="R752" s="324"/>
      <c r="S752" s="324"/>
      <c r="T752" s="324"/>
      <c r="U752" s="324"/>
      <c r="V752" s="324"/>
      <c r="W752" s="324"/>
      <c r="X752" s="324"/>
      <c r="Y752" s="324"/>
      <c r="Z752" s="324"/>
    </row>
    <row r="753">
      <c r="A753" s="324"/>
      <c r="B753" s="324"/>
      <c r="C753" s="324"/>
      <c r="D753" s="324"/>
      <c r="E753" s="324"/>
      <c r="F753" s="324"/>
      <c r="G753" s="324"/>
      <c r="H753" s="324"/>
      <c r="I753" s="324"/>
      <c r="J753" s="324"/>
      <c r="K753" s="324"/>
      <c r="L753" s="324"/>
      <c r="M753" s="324"/>
      <c r="N753" s="324"/>
      <c r="O753" s="324"/>
      <c r="P753" s="324"/>
      <c r="Q753" s="324"/>
      <c r="R753" s="324"/>
      <c r="S753" s="324"/>
      <c r="T753" s="324"/>
      <c r="U753" s="324"/>
      <c r="V753" s="324"/>
      <c r="W753" s="324"/>
      <c r="X753" s="324"/>
      <c r="Y753" s="324"/>
      <c r="Z753" s="324"/>
    </row>
    <row r="754">
      <c r="A754" s="324"/>
      <c r="B754" s="324"/>
      <c r="C754" s="324"/>
      <c r="D754" s="324"/>
      <c r="E754" s="324"/>
      <c r="F754" s="324"/>
      <c r="G754" s="324"/>
      <c r="H754" s="324"/>
      <c r="I754" s="324"/>
      <c r="J754" s="324"/>
      <c r="K754" s="324"/>
      <c r="L754" s="324"/>
      <c r="M754" s="324"/>
      <c r="N754" s="324"/>
      <c r="O754" s="324"/>
      <c r="P754" s="324"/>
      <c r="Q754" s="324"/>
      <c r="R754" s="324"/>
      <c r="S754" s="324"/>
      <c r="T754" s="324"/>
      <c r="U754" s="324"/>
      <c r="V754" s="324"/>
      <c r="W754" s="324"/>
      <c r="X754" s="324"/>
      <c r="Y754" s="324"/>
      <c r="Z754" s="324"/>
    </row>
    <row r="755">
      <c r="A755" s="324"/>
      <c r="B755" s="324"/>
      <c r="C755" s="324"/>
      <c r="D755" s="324"/>
      <c r="E755" s="324"/>
      <c r="F755" s="324"/>
      <c r="G755" s="324"/>
      <c r="H755" s="324"/>
      <c r="I755" s="324"/>
      <c r="J755" s="324"/>
      <c r="K755" s="324"/>
      <c r="L755" s="324"/>
      <c r="M755" s="324"/>
      <c r="N755" s="324"/>
      <c r="O755" s="324"/>
      <c r="P755" s="324"/>
      <c r="Q755" s="324"/>
      <c r="R755" s="324"/>
      <c r="S755" s="324"/>
      <c r="T755" s="324"/>
      <c r="U755" s="324"/>
      <c r="V755" s="324"/>
      <c r="W755" s="324"/>
      <c r="X755" s="324"/>
      <c r="Y755" s="324"/>
      <c r="Z755" s="324"/>
    </row>
    <row r="756">
      <c r="A756" s="324"/>
      <c r="B756" s="324"/>
      <c r="C756" s="324"/>
      <c r="D756" s="324"/>
      <c r="E756" s="324"/>
      <c r="F756" s="324"/>
      <c r="G756" s="324"/>
      <c r="H756" s="324"/>
      <c r="I756" s="324"/>
      <c r="J756" s="324"/>
      <c r="K756" s="324"/>
      <c r="L756" s="324"/>
      <c r="M756" s="324"/>
      <c r="N756" s="324"/>
      <c r="O756" s="324"/>
      <c r="P756" s="324"/>
      <c r="Q756" s="324"/>
      <c r="R756" s="324"/>
      <c r="S756" s="324"/>
      <c r="T756" s="324"/>
      <c r="U756" s="324"/>
      <c r="V756" s="324"/>
      <c r="W756" s="324"/>
      <c r="X756" s="324"/>
      <c r="Y756" s="324"/>
      <c r="Z756" s="324"/>
    </row>
    <row r="757">
      <c r="A757" s="324"/>
      <c r="B757" s="324"/>
      <c r="C757" s="324"/>
      <c r="D757" s="324"/>
      <c r="E757" s="324"/>
      <c r="F757" s="324"/>
      <c r="G757" s="324"/>
      <c r="H757" s="324"/>
      <c r="I757" s="324"/>
      <c r="J757" s="324"/>
      <c r="K757" s="324"/>
      <c r="L757" s="324"/>
      <c r="M757" s="324"/>
      <c r="N757" s="324"/>
      <c r="O757" s="324"/>
      <c r="P757" s="324"/>
      <c r="Q757" s="324"/>
      <c r="R757" s="324"/>
      <c r="S757" s="324"/>
      <c r="T757" s="324"/>
      <c r="U757" s="324"/>
      <c r="V757" s="324"/>
      <c r="W757" s="324"/>
      <c r="X757" s="324"/>
      <c r="Y757" s="324"/>
      <c r="Z757" s="324"/>
    </row>
    <row r="758">
      <c r="A758" s="324"/>
      <c r="B758" s="324"/>
      <c r="C758" s="324"/>
      <c r="D758" s="324"/>
      <c r="E758" s="324"/>
      <c r="F758" s="324"/>
      <c r="G758" s="324"/>
      <c r="H758" s="324"/>
      <c r="I758" s="324"/>
      <c r="J758" s="324"/>
      <c r="K758" s="324"/>
      <c r="L758" s="324"/>
      <c r="M758" s="324"/>
      <c r="N758" s="324"/>
      <c r="O758" s="324"/>
      <c r="P758" s="324"/>
      <c r="Q758" s="324"/>
      <c r="R758" s="324"/>
      <c r="S758" s="324"/>
      <c r="T758" s="324"/>
      <c r="U758" s="324"/>
      <c r="V758" s="324"/>
      <c r="W758" s="324"/>
      <c r="X758" s="324"/>
      <c r="Y758" s="324"/>
      <c r="Z758" s="324"/>
    </row>
    <row r="759">
      <c r="A759" s="324"/>
      <c r="B759" s="324"/>
      <c r="C759" s="324"/>
      <c r="D759" s="324"/>
      <c r="E759" s="324"/>
      <c r="F759" s="324"/>
      <c r="G759" s="324"/>
      <c r="H759" s="324"/>
      <c r="I759" s="324"/>
      <c r="J759" s="324"/>
      <c r="K759" s="324"/>
      <c r="L759" s="324"/>
      <c r="M759" s="324"/>
      <c r="N759" s="324"/>
      <c r="O759" s="324"/>
      <c r="P759" s="324"/>
      <c r="Q759" s="324"/>
      <c r="R759" s="324"/>
      <c r="S759" s="324"/>
      <c r="T759" s="324"/>
      <c r="U759" s="324"/>
      <c r="V759" s="324"/>
      <c r="W759" s="324"/>
      <c r="X759" s="324"/>
      <c r="Y759" s="324"/>
      <c r="Z759" s="324"/>
    </row>
    <row r="760">
      <c r="A760" s="324"/>
      <c r="B760" s="324"/>
      <c r="C760" s="324"/>
      <c r="D760" s="324"/>
      <c r="E760" s="324"/>
      <c r="F760" s="324"/>
      <c r="G760" s="324"/>
      <c r="H760" s="324"/>
      <c r="I760" s="324"/>
      <c r="J760" s="324"/>
      <c r="K760" s="324"/>
      <c r="L760" s="324"/>
      <c r="M760" s="324"/>
      <c r="N760" s="324"/>
      <c r="O760" s="324"/>
      <c r="P760" s="324"/>
      <c r="Q760" s="324"/>
      <c r="R760" s="324"/>
      <c r="S760" s="324"/>
      <c r="T760" s="324"/>
      <c r="U760" s="324"/>
      <c r="V760" s="324"/>
      <c r="W760" s="324"/>
      <c r="X760" s="324"/>
      <c r="Y760" s="324"/>
      <c r="Z760" s="324"/>
    </row>
    <row r="761">
      <c r="A761" s="324"/>
      <c r="B761" s="324"/>
      <c r="C761" s="324"/>
      <c r="D761" s="324"/>
      <c r="E761" s="324"/>
      <c r="F761" s="324"/>
      <c r="G761" s="324"/>
      <c r="H761" s="324"/>
      <c r="I761" s="324"/>
      <c r="J761" s="324"/>
      <c r="K761" s="324"/>
      <c r="L761" s="324"/>
      <c r="M761" s="324"/>
      <c r="N761" s="324"/>
      <c r="O761" s="324"/>
      <c r="P761" s="324"/>
      <c r="Q761" s="324"/>
      <c r="R761" s="324"/>
      <c r="S761" s="324"/>
      <c r="T761" s="324"/>
      <c r="U761" s="324"/>
      <c r="V761" s="324"/>
      <c r="W761" s="324"/>
      <c r="X761" s="324"/>
      <c r="Y761" s="324"/>
      <c r="Z761" s="324"/>
    </row>
    <row r="762">
      <c r="A762" s="324"/>
      <c r="B762" s="324"/>
      <c r="C762" s="324"/>
      <c r="D762" s="324"/>
      <c r="E762" s="324"/>
      <c r="F762" s="324"/>
      <c r="G762" s="324"/>
      <c r="H762" s="324"/>
      <c r="I762" s="324"/>
      <c r="J762" s="324"/>
      <c r="K762" s="324"/>
      <c r="L762" s="324"/>
      <c r="M762" s="324"/>
      <c r="N762" s="324"/>
      <c r="O762" s="324"/>
      <c r="P762" s="324"/>
      <c r="Q762" s="324"/>
      <c r="R762" s="324"/>
      <c r="S762" s="324"/>
      <c r="T762" s="324"/>
      <c r="U762" s="324"/>
      <c r="V762" s="324"/>
      <c r="W762" s="324"/>
      <c r="X762" s="324"/>
      <c r="Y762" s="324"/>
      <c r="Z762" s="324"/>
    </row>
    <row r="763">
      <c r="A763" s="324"/>
      <c r="B763" s="324"/>
      <c r="C763" s="324"/>
      <c r="D763" s="324"/>
      <c r="E763" s="324"/>
      <c r="F763" s="324"/>
      <c r="G763" s="324"/>
      <c r="H763" s="324"/>
      <c r="I763" s="324"/>
      <c r="J763" s="324"/>
      <c r="K763" s="324"/>
      <c r="L763" s="324"/>
      <c r="M763" s="324"/>
      <c r="N763" s="324"/>
      <c r="O763" s="324"/>
      <c r="P763" s="324"/>
      <c r="Q763" s="324"/>
      <c r="R763" s="324"/>
      <c r="S763" s="324"/>
      <c r="T763" s="324"/>
      <c r="U763" s="324"/>
      <c r="V763" s="324"/>
      <c r="W763" s="324"/>
      <c r="X763" s="324"/>
      <c r="Y763" s="324"/>
      <c r="Z763" s="324"/>
    </row>
    <row r="764">
      <c r="A764" s="324"/>
      <c r="B764" s="324"/>
      <c r="C764" s="324"/>
      <c r="D764" s="324"/>
      <c r="E764" s="324"/>
      <c r="F764" s="324"/>
      <c r="G764" s="324"/>
      <c r="H764" s="324"/>
      <c r="I764" s="324"/>
      <c r="J764" s="324"/>
      <c r="K764" s="324"/>
      <c r="L764" s="324"/>
      <c r="M764" s="324"/>
      <c r="N764" s="324"/>
      <c r="O764" s="324"/>
      <c r="P764" s="324"/>
      <c r="Q764" s="324"/>
      <c r="R764" s="324"/>
      <c r="S764" s="324"/>
      <c r="T764" s="324"/>
      <c r="U764" s="324"/>
      <c r="V764" s="324"/>
      <c r="W764" s="324"/>
      <c r="X764" s="324"/>
      <c r="Y764" s="324"/>
      <c r="Z764" s="324"/>
    </row>
    <row r="765">
      <c r="A765" s="324"/>
      <c r="B765" s="324"/>
      <c r="C765" s="324"/>
      <c r="D765" s="324"/>
      <c r="E765" s="324"/>
      <c r="F765" s="324"/>
      <c r="G765" s="324"/>
      <c r="H765" s="324"/>
      <c r="I765" s="324"/>
      <c r="J765" s="324"/>
      <c r="K765" s="324"/>
      <c r="L765" s="324"/>
      <c r="M765" s="324"/>
      <c r="N765" s="324"/>
      <c r="O765" s="324"/>
      <c r="P765" s="324"/>
      <c r="Q765" s="324"/>
      <c r="R765" s="324"/>
      <c r="S765" s="324"/>
      <c r="T765" s="324"/>
      <c r="U765" s="324"/>
      <c r="V765" s="324"/>
      <c r="W765" s="324"/>
      <c r="X765" s="324"/>
      <c r="Y765" s="324"/>
      <c r="Z765" s="324"/>
    </row>
    <row r="766">
      <c r="A766" s="324"/>
      <c r="B766" s="324"/>
      <c r="C766" s="324"/>
      <c r="D766" s="324"/>
      <c r="E766" s="324"/>
      <c r="F766" s="324"/>
      <c r="G766" s="324"/>
      <c r="H766" s="324"/>
      <c r="I766" s="324"/>
      <c r="J766" s="324"/>
      <c r="K766" s="324"/>
      <c r="L766" s="324"/>
      <c r="M766" s="324"/>
      <c r="N766" s="324"/>
      <c r="O766" s="324"/>
      <c r="P766" s="324"/>
      <c r="Q766" s="324"/>
      <c r="R766" s="324"/>
      <c r="S766" s="324"/>
      <c r="T766" s="324"/>
      <c r="U766" s="324"/>
      <c r="V766" s="324"/>
      <c r="W766" s="324"/>
      <c r="X766" s="324"/>
      <c r="Y766" s="324"/>
      <c r="Z766" s="324"/>
    </row>
    <row r="767">
      <c r="A767" s="324"/>
      <c r="B767" s="324"/>
      <c r="C767" s="324"/>
      <c r="D767" s="324"/>
      <c r="E767" s="324"/>
      <c r="F767" s="324"/>
      <c r="G767" s="324"/>
      <c r="H767" s="324"/>
      <c r="I767" s="324"/>
      <c r="J767" s="324"/>
      <c r="K767" s="324"/>
      <c r="L767" s="324"/>
      <c r="M767" s="324"/>
      <c r="N767" s="324"/>
      <c r="O767" s="324"/>
      <c r="P767" s="324"/>
      <c r="Q767" s="324"/>
      <c r="R767" s="324"/>
      <c r="S767" s="324"/>
      <c r="T767" s="324"/>
      <c r="U767" s="324"/>
      <c r="V767" s="324"/>
      <c r="W767" s="324"/>
      <c r="X767" s="324"/>
      <c r="Y767" s="324"/>
      <c r="Z767" s="324"/>
    </row>
    <row r="768">
      <c r="A768" s="324"/>
      <c r="B768" s="324"/>
      <c r="C768" s="324"/>
      <c r="D768" s="324"/>
      <c r="E768" s="324"/>
      <c r="F768" s="324"/>
      <c r="G768" s="324"/>
      <c r="H768" s="324"/>
      <c r="I768" s="324"/>
      <c r="J768" s="324"/>
      <c r="K768" s="324"/>
      <c r="L768" s="324"/>
      <c r="M768" s="324"/>
      <c r="N768" s="324"/>
      <c r="O768" s="324"/>
      <c r="P768" s="324"/>
      <c r="Q768" s="324"/>
      <c r="R768" s="324"/>
      <c r="S768" s="324"/>
      <c r="T768" s="324"/>
      <c r="U768" s="324"/>
      <c r="V768" s="324"/>
      <c r="W768" s="324"/>
      <c r="X768" s="324"/>
      <c r="Y768" s="324"/>
      <c r="Z768" s="324"/>
    </row>
    <row r="769">
      <c r="A769" s="324"/>
      <c r="B769" s="324"/>
      <c r="C769" s="324"/>
      <c r="D769" s="324"/>
      <c r="E769" s="324"/>
      <c r="F769" s="324"/>
      <c r="G769" s="324"/>
      <c r="H769" s="324"/>
      <c r="I769" s="324"/>
      <c r="J769" s="324"/>
      <c r="K769" s="324"/>
      <c r="L769" s="324"/>
      <c r="M769" s="324"/>
      <c r="N769" s="324"/>
      <c r="O769" s="324"/>
      <c r="P769" s="324"/>
      <c r="Q769" s="324"/>
      <c r="R769" s="324"/>
      <c r="S769" s="324"/>
      <c r="T769" s="324"/>
      <c r="U769" s="324"/>
      <c r="V769" s="324"/>
      <c r="W769" s="324"/>
      <c r="X769" s="324"/>
      <c r="Y769" s="324"/>
      <c r="Z769" s="324"/>
    </row>
    <row r="770">
      <c r="A770" s="324"/>
      <c r="B770" s="324"/>
      <c r="C770" s="324"/>
      <c r="D770" s="324"/>
      <c r="E770" s="324"/>
      <c r="F770" s="324"/>
      <c r="G770" s="324"/>
      <c r="H770" s="324"/>
      <c r="I770" s="324"/>
      <c r="J770" s="324"/>
      <c r="K770" s="324"/>
      <c r="L770" s="324"/>
      <c r="M770" s="324"/>
      <c r="N770" s="324"/>
      <c r="O770" s="324"/>
      <c r="P770" s="324"/>
      <c r="Q770" s="324"/>
      <c r="R770" s="324"/>
      <c r="S770" s="324"/>
      <c r="T770" s="324"/>
      <c r="U770" s="324"/>
      <c r="V770" s="324"/>
      <c r="W770" s="324"/>
      <c r="X770" s="324"/>
      <c r="Y770" s="324"/>
      <c r="Z770" s="324"/>
    </row>
    <row r="771">
      <c r="A771" s="324"/>
      <c r="B771" s="324"/>
      <c r="C771" s="324"/>
      <c r="D771" s="324"/>
      <c r="E771" s="324"/>
      <c r="F771" s="324"/>
      <c r="G771" s="324"/>
      <c r="H771" s="324"/>
      <c r="I771" s="324"/>
      <c r="J771" s="324"/>
      <c r="K771" s="324"/>
      <c r="L771" s="324"/>
      <c r="M771" s="324"/>
      <c r="N771" s="324"/>
      <c r="O771" s="324"/>
      <c r="P771" s="324"/>
      <c r="Q771" s="324"/>
      <c r="R771" s="324"/>
      <c r="S771" s="324"/>
      <c r="T771" s="324"/>
      <c r="U771" s="324"/>
      <c r="V771" s="324"/>
      <c r="W771" s="324"/>
      <c r="X771" s="324"/>
      <c r="Y771" s="324"/>
      <c r="Z771" s="324"/>
    </row>
    <row r="772">
      <c r="A772" s="324"/>
      <c r="B772" s="324"/>
      <c r="C772" s="324"/>
      <c r="D772" s="324"/>
      <c r="E772" s="324"/>
      <c r="F772" s="324"/>
      <c r="G772" s="324"/>
      <c r="H772" s="324"/>
      <c r="I772" s="324"/>
      <c r="J772" s="324"/>
      <c r="K772" s="324"/>
      <c r="L772" s="324"/>
      <c r="M772" s="324"/>
      <c r="N772" s="324"/>
      <c r="O772" s="324"/>
      <c r="P772" s="324"/>
      <c r="Q772" s="324"/>
      <c r="R772" s="324"/>
      <c r="S772" s="324"/>
      <c r="T772" s="324"/>
      <c r="U772" s="324"/>
      <c r="V772" s="324"/>
      <c r="W772" s="324"/>
      <c r="X772" s="324"/>
      <c r="Y772" s="324"/>
      <c r="Z772" s="324"/>
    </row>
    <row r="773">
      <c r="A773" s="324"/>
      <c r="B773" s="324"/>
      <c r="C773" s="324"/>
      <c r="D773" s="324"/>
      <c r="E773" s="324"/>
      <c r="F773" s="324"/>
      <c r="G773" s="324"/>
      <c r="H773" s="324"/>
      <c r="I773" s="324"/>
      <c r="J773" s="324"/>
      <c r="K773" s="324"/>
      <c r="L773" s="324"/>
      <c r="M773" s="324"/>
      <c r="N773" s="324"/>
      <c r="O773" s="324"/>
      <c r="P773" s="324"/>
      <c r="Q773" s="324"/>
      <c r="R773" s="324"/>
      <c r="S773" s="324"/>
      <c r="T773" s="324"/>
      <c r="U773" s="324"/>
      <c r="V773" s="324"/>
      <c r="W773" s="324"/>
      <c r="X773" s="324"/>
      <c r="Y773" s="324"/>
      <c r="Z773" s="324"/>
    </row>
    <row r="774">
      <c r="A774" s="324"/>
      <c r="B774" s="324"/>
      <c r="C774" s="324"/>
      <c r="D774" s="324"/>
      <c r="E774" s="324"/>
      <c r="F774" s="324"/>
      <c r="G774" s="324"/>
      <c r="H774" s="324"/>
      <c r="I774" s="324"/>
      <c r="J774" s="324"/>
      <c r="K774" s="324"/>
      <c r="L774" s="324"/>
      <c r="M774" s="324"/>
      <c r="N774" s="324"/>
      <c r="O774" s="324"/>
      <c r="P774" s="324"/>
      <c r="Q774" s="324"/>
      <c r="R774" s="324"/>
      <c r="S774" s="324"/>
      <c r="T774" s="324"/>
      <c r="U774" s="324"/>
      <c r="V774" s="324"/>
      <c r="W774" s="324"/>
      <c r="X774" s="324"/>
      <c r="Y774" s="324"/>
      <c r="Z774" s="324"/>
    </row>
    <row r="775">
      <c r="A775" s="324"/>
      <c r="B775" s="324"/>
      <c r="C775" s="324"/>
      <c r="D775" s="324"/>
      <c r="E775" s="324"/>
      <c r="F775" s="324"/>
      <c r="G775" s="324"/>
      <c r="H775" s="324"/>
      <c r="I775" s="324"/>
      <c r="J775" s="324"/>
      <c r="K775" s="324"/>
      <c r="L775" s="324"/>
      <c r="M775" s="324"/>
      <c r="N775" s="324"/>
      <c r="O775" s="324"/>
      <c r="P775" s="324"/>
      <c r="Q775" s="324"/>
      <c r="R775" s="324"/>
      <c r="S775" s="324"/>
      <c r="T775" s="324"/>
      <c r="U775" s="324"/>
      <c r="V775" s="324"/>
      <c r="W775" s="324"/>
      <c r="X775" s="324"/>
      <c r="Y775" s="324"/>
      <c r="Z775" s="324"/>
    </row>
    <row r="776">
      <c r="A776" s="324"/>
      <c r="B776" s="324"/>
      <c r="C776" s="324"/>
      <c r="D776" s="324"/>
      <c r="E776" s="324"/>
      <c r="F776" s="324"/>
      <c r="G776" s="324"/>
      <c r="H776" s="324"/>
      <c r="I776" s="324"/>
      <c r="J776" s="324"/>
      <c r="K776" s="324"/>
      <c r="L776" s="324"/>
      <c r="M776" s="324"/>
      <c r="N776" s="324"/>
      <c r="O776" s="324"/>
      <c r="P776" s="324"/>
      <c r="Q776" s="324"/>
      <c r="R776" s="324"/>
      <c r="S776" s="324"/>
      <c r="T776" s="324"/>
      <c r="U776" s="324"/>
      <c r="V776" s="324"/>
      <c r="W776" s="324"/>
      <c r="X776" s="324"/>
      <c r="Y776" s="324"/>
      <c r="Z776" s="324"/>
    </row>
    <row r="777">
      <c r="A777" s="324"/>
      <c r="B777" s="324"/>
      <c r="C777" s="324"/>
      <c r="D777" s="324"/>
      <c r="E777" s="324"/>
      <c r="F777" s="324"/>
      <c r="G777" s="324"/>
      <c r="H777" s="324"/>
      <c r="I777" s="324"/>
      <c r="J777" s="324"/>
      <c r="K777" s="324"/>
      <c r="L777" s="324"/>
      <c r="M777" s="324"/>
      <c r="N777" s="324"/>
      <c r="O777" s="324"/>
      <c r="P777" s="324"/>
      <c r="Q777" s="324"/>
      <c r="R777" s="324"/>
      <c r="S777" s="324"/>
      <c r="T777" s="324"/>
      <c r="U777" s="324"/>
      <c r="V777" s="324"/>
      <c r="W777" s="324"/>
      <c r="X777" s="324"/>
      <c r="Y777" s="324"/>
      <c r="Z777" s="324"/>
    </row>
    <row r="778">
      <c r="A778" s="324"/>
      <c r="B778" s="324"/>
      <c r="C778" s="324"/>
      <c r="D778" s="324"/>
      <c r="E778" s="324"/>
      <c r="F778" s="324"/>
      <c r="G778" s="324"/>
      <c r="H778" s="324"/>
      <c r="I778" s="324"/>
      <c r="J778" s="324"/>
      <c r="K778" s="324"/>
      <c r="L778" s="324"/>
      <c r="M778" s="324"/>
      <c r="N778" s="324"/>
      <c r="O778" s="324"/>
      <c r="P778" s="324"/>
      <c r="Q778" s="324"/>
      <c r="R778" s="324"/>
      <c r="S778" s="324"/>
      <c r="T778" s="324"/>
      <c r="U778" s="324"/>
      <c r="V778" s="324"/>
      <c r="W778" s="324"/>
      <c r="X778" s="324"/>
      <c r="Y778" s="324"/>
      <c r="Z778" s="324"/>
    </row>
    <row r="779">
      <c r="A779" s="324"/>
      <c r="B779" s="324"/>
      <c r="C779" s="324"/>
      <c r="D779" s="324"/>
      <c r="E779" s="324"/>
      <c r="F779" s="324"/>
      <c r="G779" s="324"/>
      <c r="H779" s="324"/>
      <c r="I779" s="324"/>
      <c r="J779" s="324"/>
      <c r="K779" s="324"/>
      <c r="L779" s="324"/>
      <c r="M779" s="324"/>
      <c r="N779" s="324"/>
      <c r="O779" s="324"/>
      <c r="P779" s="324"/>
      <c r="Q779" s="324"/>
      <c r="R779" s="324"/>
      <c r="S779" s="324"/>
      <c r="T779" s="324"/>
      <c r="U779" s="324"/>
      <c r="V779" s="324"/>
      <c r="W779" s="324"/>
      <c r="X779" s="324"/>
      <c r="Y779" s="324"/>
      <c r="Z779" s="324"/>
    </row>
    <row r="780">
      <c r="A780" s="324"/>
      <c r="B780" s="324"/>
      <c r="C780" s="324"/>
      <c r="D780" s="324"/>
      <c r="E780" s="324"/>
      <c r="F780" s="324"/>
      <c r="G780" s="324"/>
      <c r="H780" s="324"/>
      <c r="I780" s="324"/>
      <c r="J780" s="324"/>
      <c r="K780" s="324"/>
      <c r="L780" s="324"/>
      <c r="M780" s="324"/>
      <c r="N780" s="324"/>
      <c r="O780" s="324"/>
      <c r="P780" s="324"/>
      <c r="Q780" s="324"/>
      <c r="R780" s="324"/>
      <c r="S780" s="324"/>
      <c r="T780" s="324"/>
      <c r="U780" s="324"/>
      <c r="V780" s="324"/>
      <c r="W780" s="324"/>
      <c r="X780" s="324"/>
      <c r="Y780" s="324"/>
      <c r="Z780" s="324"/>
    </row>
    <row r="781">
      <c r="A781" s="324"/>
      <c r="B781" s="324"/>
      <c r="C781" s="324"/>
      <c r="D781" s="324"/>
      <c r="E781" s="324"/>
      <c r="F781" s="324"/>
      <c r="G781" s="324"/>
      <c r="H781" s="324"/>
      <c r="I781" s="324"/>
      <c r="J781" s="324"/>
      <c r="K781" s="324"/>
      <c r="L781" s="324"/>
      <c r="M781" s="324"/>
      <c r="N781" s="324"/>
      <c r="O781" s="324"/>
      <c r="P781" s="324"/>
      <c r="Q781" s="324"/>
      <c r="R781" s="324"/>
      <c r="S781" s="324"/>
      <c r="T781" s="324"/>
      <c r="U781" s="324"/>
      <c r="V781" s="324"/>
      <c r="W781" s="324"/>
      <c r="X781" s="324"/>
      <c r="Y781" s="324"/>
      <c r="Z781" s="324"/>
    </row>
    <row r="782">
      <c r="A782" s="324"/>
      <c r="B782" s="324"/>
      <c r="C782" s="324"/>
      <c r="D782" s="324"/>
      <c r="E782" s="324"/>
      <c r="F782" s="324"/>
      <c r="G782" s="324"/>
      <c r="H782" s="324"/>
      <c r="I782" s="324"/>
      <c r="J782" s="324"/>
      <c r="K782" s="324"/>
      <c r="L782" s="324"/>
      <c r="M782" s="324"/>
      <c r="N782" s="324"/>
      <c r="O782" s="324"/>
      <c r="P782" s="324"/>
      <c r="Q782" s="324"/>
      <c r="R782" s="324"/>
      <c r="S782" s="324"/>
      <c r="T782" s="324"/>
      <c r="U782" s="324"/>
      <c r="V782" s="324"/>
      <c r="W782" s="324"/>
      <c r="X782" s="324"/>
      <c r="Y782" s="324"/>
      <c r="Z782" s="324"/>
    </row>
    <row r="783">
      <c r="A783" s="324"/>
      <c r="B783" s="324"/>
      <c r="C783" s="324"/>
      <c r="D783" s="324"/>
      <c r="E783" s="324"/>
      <c r="F783" s="324"/>
      <c r="G783" s="324"/>
      <c r="H783" s="324"/>
      <c r="I783" s="324"/>
      <c r="J783" s="324"/>
      <c r="K783" s="324"/>
      <c r="L783" s="324"/>
      <c r="M783" s="324"/>
      <c r="N783" s="324"/>
      <c r="O783" s="324"/>
      <c r="P783" s="324"/>
      <c r="Q783" s="324"/>
      <c r="R783" s="324"/>
      <c r="S783" s="324"/>
      <c r="T783" s="324"/>
      <c r="U783" s="324"/>
      <c r="V783" s="324"/>
      <c r="W783" s="324"/>
      <c r="X783" s="324"/>
      <c r="Y783" s="324"/>
      <c r="Z783" s="324"/>
    </row>
    <row r="784">
      <c r="A784" s="324"/>
      <c r="B784" s="324"/>
      <c r="C784" s="324"/>
      <c r="D784" s="324"/>
      <c r="E784" s="324"/>
      <c r="F784" s="324"/>
      <c r="G784" s="324"/>
      <c r="H784" s="324"/>
      <c r="I784" s="324"/>
      <c r="J784" s="324"/>
      <c r="K784" s="324"/>
      <c r="L784" s="324"/>
      <c r="M784" s="324"/>
      <c r="N784" s="324"/>
      <c r="O784" s="324"/>
      <c r="P784" s="324"/>
      <c r="Q784" s="324"/>
      <c r="R784" s="324"/>
      <c r="S784" s="324"/>
      <c r="T784" s="324"/>
      <c r="U784" s="324"/>
      <c r="V784" s="324"/>
      <c r="W784" s="324"/>
      <c r="X784" s="324"/>
      <c r="Y784" s="324"/>
      <c r="Z784" s="324"/>
    </row>
    <row r="785">
      <c r="A785" s="324"/>
      <c r="B785" s="324"/>
      <c r="C785" s="324"/>
      <c r="D785" s="324"/>
      <c r="E785" s="324"/>
      <c r="F785" s="324"/>
      <c r="G785" s="324"/>
      <c r="H785" s="324"/>
      <c r="I785" s="324"/>
      <c r="J785" s="324"/>
      <c r="K785" s="324"/>
      <c r="L785" s="324"/>
      <c r="M785" s="324"/>
      <c r="N785" s="324"/>
      <c r="O785" s="324"/>
      <c r="P785" s="324"/>
      <c r="Q785" s="324"/>
      <c r="R785" s="324"/>
      <c r="S785" s="324"/>
      <c r="T785" s="324"/>
      <c r="U785" s="324"/>
      <c r="V785" s="324"/>
      <c r="W785" s="324"/>
      <c r="X785" s="324"/>
      <c r="Y785" s="324"/>
      <c r="Z785" s="324"/>
    </row>
    <row r="786">
      <c r="A786" s="324"/>
      <c r="B786" s="324"/>
      <c r="C786" s="324"/>
      <c r="D786" s="324"/>
      <c r="E786" s="324"/>
      <c r="F786" s="324"/>
      <c r="G786" s="324"/>
      <c r="H786" s="324"/>
      <c r="I786" s="324"/>
      <c r="J786" s="324"/>
      <c r="K786" s="324"/>
      <c r="L786" s="324"/>
      <c r="M786" s="324"/>
      <c r="N786" s="324"/>
      <c r="O786" s="324"/>
      <c r="P786" s="324"/>
      <c r="Q786" s="324"/>
      <c r="R786" s="324"/>
      <c r="S786" s="324"/>
      <c r="T786" s="324"/>
      <c r="U786" s="324"/>
      <c r="V786" s="324"/>
      <c r="W786" s="324"/>
      <c r="X786" s="324"/>
      <c r="Y786" s="324"/>
      <c r="Z786" s="324"/>
    </row>
    <row r="787">
      <c r="A787" s="324"/>
      <c r="B787" s="324"/>
      <c r="C787" s="324"/>
      <c r="D787" s="324"/>
      <c r="E787" s="324"/>
      <c r="F787" s="324"/>
      <c r="G787" s="324"/>
      <c r="H787" s="324"/>
      <c r="I787" s="324"/>
      <c r="J787" s="324"/>
      <c r="K787" s="324"/>
      <c r="L787" s="324"/>
      <c r="M787" s="324"/>
      <c r="N787" s="324"/>
      <c r="O787" s="324"/>
      <c r="P787" s="324"/>
      <c r="Q787" s="324"/>
      <c r="R787" s="324"/>
      <c r="S787" s="324"/>
      <c r="T787" s="324"/>
      <c r="U787" s="324"/>
      <c r="V787" s="324"/>
      <c r="W787" s="324"/>
      <c r="X787" s="324"/>
      <c r="Y787" s="324"/>
      <c r="Z787" s="324"/>
    </row>
    <row r="788">
      <c r="A788" s="324"/>
      <c r="B788" s="324"/>
      <c r="C788" s="324"/>
      <c r="D788" s="324"/>
      <c r="E788" s="324"/>
      <c r="F788" s="324"/>
      <c r="G788" s="324"/>
      <c r="H788" s="324"/>
      <c r="I788" s="324"/>
      <c r="J788" s="324"/>
      <c r="K788" s="324"/>
      <c r="L788" s="324"/>
      <c r="M788" s="324"/>
      <c r="N788" s="324"/>
      <c r="O788" s="324"/>
      <c r="P788" s="324"/>
      <c r="Q788" s="324"/>
      <c r="R788" s="324"/>
      <c r="S788" s="324"/>
      <c r="T788" s="324"/>
      <c r="U788" s="324"/>
      <c r="V788" s="324"/>
      <c r="W788" s="324"/>
      <c r="X788" s="324"/>
      <c r="Y788" s="324"/>
      <c r="Z788" s="324"/>
    </row>
    <row r="789">
      <c r="A789" s="324"/>
      <c r="B789" s="324"/>
      <c r="C789" s="324"/>
      <c r="D789" s="324"/>
      <c r="E789" s="324"/>
      <c r="F789" s="324"/>
      <c r="G789" s="324"/>
      <c r="H789" s="324"/>
      <c r="I789" s="324"/>
      <c r="J789" s="324"/>
      <c r="K789" s="324"/>
      <c r="L789" s="324"/>
      <c r="M789" s="324"/>
      <c r="N789" s="324"/>
      <c r="O789" s="324"/>
      <c r="P789" s="324"/>
      <c r="Q789" s="324"/>
      <c r="R789" s="324"/>
      <c r="S789" s="324"/>
      <c r="T789" s="324"/>
      <c r="U789" s="324"/>
      <c r="V789" s="324"/>
      <c r="W789" s="324"/>
      <c r="X789" s="324"/>
      <c r="Y789" s="324"/>
      <c r="Z789" s="324"/>
    </row>
    <row r="790">
      <c r="A790" s="324"/>
      <c r="B790" s="324"/>
      <c r="C790" s="324"/>
      <c r="D790" s="324"/>
      <c r="E790" s="324"/>
      <c r="F790" s="324"/>
      <c r="G790" s="324"/>
      <c r="H790" s="324"/>
      <c r="I790" s="324"/>
      <c r="J790" s="324"/>
      <c r="K790" s="324"/>
      <c r="L790" s="324"/>
      <c r="M790" s="324"/>
      <c r="N790" s="324"/>
      <c r="O790" s="324"/>
      <c r="P790" s="324"/>
      <c r="Q790" s="324"/>
      <c r="R790" s="324"/>
      <c r="S790" s="324"/>
      <c r="T790" s="324"/>
      <c r="U790" s="324"/>
      <c r="V790" s="324"/>
      <c r="W790" s="324"/>
      <c r="X790" s="324"/>
      <c r="Y790" s="324"/>
      <c r="Z790" s="324"/>
    </row>
    <row r="791">
      <c r="A791" s="324"/>
      <c r="B791" s="324"/>
      <c r="C791" s="324"/>
      <c r="D791" s="324"/>
      <c r="E791" s="324"/>
      <c r="F791" s="324"/>
      <c r="G791" s="324"/>
      <c r="H791" s="324"/>
      <c r="I791" s="324"/>
      <c r="J791" s="324"/>
      <c r="K791" s="324"/>
      <c r="L791" s="324"/>
      <c r="M791" s="324"/>
      <c r="N791" s="324"/>
      <c r="O791" s="324"/>
      <c r="P791" s="324"/>
      <c r="Q791" s="324"/>
      <c r="R791" s="324"/>
      <c r="S791" s="324"/>
      <c r="T791" s="324"/>
      <c r="U791" s="324"/>
      <c r="V791" s="324"/>
      <c r="W791" s="324"/>
      <c r="X791" s="324"/>
      <c r="Y791" s="324"/>
      <c r="Z791" s="324"/>
    </row>
    <row r="792">
      <c r="A792" s="324"/>
      <c r="B792" s="324"/>
      <c r="C792" s="324"/>
      <c r="D792" s="324"/>
      <c r="E792" s="324"/>
      <c r="F792" s="324"/>
      <c r="G792" s="324"/>
      <c r="H792" s="324"/>
      <c r="I792" s="324"/>
      <c r="J792" s="324"/>
      <c r="K792" s="324"/>
      <c r="L792" s="324"/>
      <c r="M792" s="324"/>
      <c r="N792" s="324"/>
      <c r="O792" s="324"/>
      <c r="P792" s="324"/>
      <c r="Q792" s="324"/>
      <c r="R792" s="324"/>
      <c r="S792" s="324"/>
      <c r="T792" s="324"/>
      <c r="U792" s="324"/>
      <c r="V792" s="324"/>
      <c r="W792" s="324"/>
      <c r="X792" s="324"/>
      <c r="Y792" s="324"/>
      <c r="Z792" s="324"/>
    </row>
    <row r="793">
      <c r="A793" s="324"/>
      <c r="B793" s="324"/>
      <c r="C793" s="324"/>
      <c r="D793" s="324"/>
      <c r="E793" s="324"/>
      <c r="F793" s="324"/>
      <c r="G793" s="324"/>
      <c r="H793" s="324"/>
      <c r="I793" s="324"/>
      <c r="J793" s="324"/>
      <c r="K793" s="324"/>
      <c r="L793" s="324"/>
      <c r="M793" s="324"/>
      <c r="N793" s="324"/>
      <c r="O793" s="324"/>
      <c r="P793" s="324"/>
      <c r="Q793" s="324"/>
      <c r="R793" s="324"/>
      <c r="S793" s="324"/>
      <c r="T793" s="324"/>
      <c r="U793" s="324"/>
      <c r="V793" s="324"/>
      <c r="W793" s="324"/>
      <c r="X793" s="324"/>
      <c r="Y793" s="324"/>
      <c r="Z793" s="324"/>
    </row>
    <row r="794">
      <c r="A794" s="324"/>
      <c r="B794" s="324"/>
      <c r="C794" s="324"/>
      <c r="D794" s="324"/>
      <c r="E794" s="324"/>
      <c r="F794" s="324"/>
      <c r="G794" s="324"/>
      <c r="H794" s="324"/>
      <c r="I794" s="324"/>
      <c r="J794" s="324"/>
      <c r="K794" s="324"/>
      <c r="L794" s="324"/>
      <c r="M794" s="324"/>
      <c r="N794" s="324"/>
      <c r="O794" s="324"/>
      <c r="P794" s="324"/>
      <c r="Q794" s="324"/>
      <c r="R794" s="324"/>
      <c r="S794" s="324"/>
      <c r="T794" s="324"/>
      <c r="U794" s="324"/>
      <c r="V794" s="324"/>
      <c r="W794" s="324"/>
      <c r="X794" s="324"/>
      <c r="Y794" s="324"/>
      <c r="Z794" s="324"/>
    </row>
    <row r="795">
      <c r="A795" s="324"/>
      <c r="B795" s="324"/>
      <c r="C795" s="324"/>
      <c r="D795" s="324"/>
      <c r="E795" s="324"/>
      <c r="F795" s="324"/>
      <c r="G795" s="324"/>
      <c r="H795" s="324"/>
      <c r="I795" s="324"/>
      <c r="J795" s="324"/>
      <c r="K795" s="324"/>
      <c r="L795" s="324"/>
      <c r="M795" s="324"/>
      <c r="N795" s="324"/>
      <c r="O795" s="324"/>
      <c r="P795" s="324"/>
      <c r="Q795" s="324"/>
      <c r="R795" s="324"/>
      <c r="S795" s="324"/>
      <c r="T795" s="324"/>
      <c r="U795" s="324"/>
      <c r="V795" s="324"/>
      <c r="W795" s="324"/>
      <c r="X795" s="324"/>
      <c r="Y795" s="324"/>
      <c r="Z795" s="324"/>
    </row>
    <row r="796">
      <c r="A796" s="324"/>
      <c r="B796" s="324"/>
      <c r="C796" s="324"/>
      <c r="D796" s="324"/>
      <c r="E796" s="324"/>
      <c r="F796" s="324"/>
      <c r="G796" s="324"/>
      <c r="H796" s="324"/>
      <c r="I796" s="324"/>
      <c r="J796" s="324"/>
      <c r="K796" s="324"/>
      <c r="L796" s="324"/>
      <c r="M796" s="324"/>
      <c r="N796" s="324"/>
      <c r="O796" s="324"/>
      <c r="P796" s="324"/>
      <c r="Q796" s="324"/>
      <c r="R796" s="324"/>
      <c r="S796" s="324"/>
      <c r="T796" s="324"/>
      <c r="U796" s="324"/>
      <c r="V796" s="324"/>
      <c r="W796" s="324"/>
      <c r="X796" s="324"/>
      <c r="Y796" s="324"/>
      <c r="Z796" s="324"/>
    </row>
    <row r="797">
      <c r="A797" s="324"/>
      <c r="B797" s="324"/>
      <c r="C797" s="324"/>
      <c r="D797" s="324"/>
      <c r="E797" s="324"/>
      <c r="F797" s="324"/>
      <c r="G797" s="324"/>
      <c r="H797" s="324"/>
      <c r="I797" s="324"/>
      <c r="J797" s="324"/>
      <c r="K797" s="324"/>
      <c r="L797" s="324"/>
      <c r="M797" s="324"/>
      <c r="N797" s="324"/>
      <c r="O797" s="324"/>
      <c r="P797" s="324"/>
      <c r="Q797" s="324"/>
      <c r="R797" s="324"/>
      <c r="S797" s="324"/>
      <c r="T797" s="324"/>
      <c r="U797" s="324"/>
      <c r="V797" s="324"/>
      <c r="W797" s="324"/>
      <c r="X797" s="324"/>
      <c r="Y797" s="324"/>
      <c r="Z797" s="324"/>
    </row>
    <row r="798">
      <c r="A798" s="324"/>
      <c r="B798" s="324"/>
      <c r="C798" s="324"/>
      <c r="D798" s="324"/>
      <c r="E798" s="324"/>
      <c r="F798" s="324"/>
      <c r="G798" s="324"/>
      <c r="H798" s="324"/>
      <c r="I798" s="324"/>
      <c r="J798" s="324"/>
      <c r="K798" s="324"/>
      <c r="L798" s="324"/>
      <c r="M798" s="324"/>
      <c r="N798" s="324"/>
      <c r="O798" s="324"/>
      <c r="P798" s="324"/>
      <c r="Q798" s="324"/>
      <c r="R798" s="324"/>
      <c r="S798" s="324"/>
      <c r="T798" s="324"/>
      <c r="U798" s="324"/>
      <c r="V798" s="324"/>
      <c r="W798" s="324"/>
      <c r="X798" s="324"/>
      <c r="Y798" s="324"/>
      <c r="Z798" s="324"/>
    </row>
    <row r="799">
      <c r="A799" s="324"/>
      <c r="B799" s="324"/>
      <c r="C799" s="324"/>
      <c r="D799" s="324"/>
      <c r="E799" s="324"/>
      <c r="F799" s="324"/>
      <c r="G799" s="324"/>
      <c r="H799" s="324"/>
      <c r="I799" s="324"/>
      <c r="J799" s="324"/>
      <c r="K799" s="324"/>
      <c r="L799" s="324"/>
      <c r="M799" s="324"/>
      <c r="N799" s="324"/>
      <c r="O799" s="324"/>
      <c r="P799" s="324"/>
      <c r="Q799" s="324"/>
      <c r="R799" s="324"/>
      <c r="S799" s="324"/>
      <c r="T799" s="324"/>
      <c r="U799" s="324"/>
      <c r="V799" s="324"/>
      <c r="W799" s="324"/>
      <c r="X799" s="324"/>
      <c r="Y799" s="324"/>
      <c r="Z799" s="324"/>
    </row>
    <row r="800">
      <c r="A800" s="324"/>
      <c r="B800" s="324"/>
      <c r="C800" s="324"/>
      <c r="D800" s="324"/>
      <c r="E800" s="324"/>
      <c r="F800" s="324"/>
      <c r="G800" s="324"/>
      <c r="H800" s="324"/>
      <c r="I800" s="324"/>
      <c r="J800" s="324"/>
      <c r="K800" s="324"/>
      <c r="L800" s="324"/>
      <c r="M800" s="324"/>
      <c r="N800" s="324"/>
      <c r="O800" s="324"/>
      <c r="P800" s="324"/>
      <c r="Q800" s="324"/>
      <c r="R800" s="324"/>
      <c r="S800" s="324"/>
      <c r="T800" s="324"/>
      <c r="U800" s="324"/>
      <c r="V800" s="324"/>
      <c r="W800" s="324"/>
      <c r="X800" s="324"/>
      <c r="Y800" s="324"/>
      <c r="Z800" s="324"/>
    </row>
    <row r="801">
      <c r="A801" s="324"/>
      <c r="B801" s="324"/>
      <c r="C801" s="324"/>
      <c r="D801" s="324"/>
      <c r="E801" s="324"/>
      <c r="F801" s="324"/>
      <c r="G801" s="324"/>
      <c r="H801" s="324"/>
      <c r="I801" s="324"/>
      <c r="J801" s="324"/>
      <c r="K801" s="324"/>
      <c r="L801" s="324"/>
      <c r="M801" s="324"/>
      <c r="N801" s="324"/>
      <c r="O801" s="324"/>
      <c r="P801" s="324"/>
      <c r="Q801" s="324"/>
      <c r="R801" s="324"/>
      <c r="S801" s="324"/>
      <c r="T801" s="324"/>
      <c r="U801" s="324"/>
      <c r="V801" s="324"/>
      <c r="W801" s="324"/>
      <c r="X801" s="324"/>
      <c r="Y801" s="324"/>
      <c r="Z801" s="324"/>
    </row>
    <row r="802">
      <c r="A802" s="324"/>
      <c r="B802" s="324"/>
      <c r="C802" s="324"/>
      <c r="D802" s="324"/>
      <c r="E802" s="324"/>
      <c r="F802" s="324"/>
      <c r="G802" s="324"/>
      <c r="H802" s="324"/>
      <c r="I802" s="324"/>
      <c r="J802" s="324"/>
      <c r="K802" s="324"/>
      <c r="L802" s="324"/>
      <c r="M802" s="324"/>
      <c r="N802" s="324"/>
      <c r="O802" s="324"/>
      <c r="P802" s="324"/>
      <c r="Q802" s="324"/>
      <c r="R802" s="324"/>
      <c r="S802" s="324"/>
      <c r="T802" s="324"/>
      <c r="U802" s="324"/>
      <c r="V802" s="324"/>
      <c r="W802" s="324"/>
      <c r="X802" s="324"/>
      <c r="Y802" s="324"/>
      <c r="Z802" s="324"/>
    </row>
    <row r="803">
      <c r="A803" s="324"/>
      <c r="B803" s="324"/>
      <c r="C803" s="324"/>
      <c r="D803" s="324"/>
      <c r="E803" s="324"/>
      <c r="F803" s="324"/>
      <c r="G803" s="324"/>
      <c r="H803" s="324"/>
      <c r="I803" s="324"/>
      <c r="J803" s="324"/>
      <c r="K803" s="324"/>
      <c r="L803" s="324"/>
      <c r="M803" s="324"/>
      <c r="N803" s="324"/>
      <c r="O803" s="324"/>
      <c r="P803" s="324"/>
      <c r="Q803" s="324"/>
      <c r="R803" s="324"/>
      <c r="S803" s="324"/>
      <c r="T803" s="324"/>
      <c r="U803" s="324"/>
      <c r="V803" s="324"/>
      <c r="W803" s="324"/>
      <c r="X803" s="324"/>
      <c r="Y803" s="324"/>
      <c r="Z803" s="324"/>
    </row>
    <row r="804">
      <c r="A804" s="324"/>
      <c r="B804" s="324"/>
      <c r="C804" s="324"/>
      <c r="D804" s="324"/>
      <c r="E804" s="324"/>
      <c r="F804" s="324"/>
      <c r="G804" s="324"/>
      <c r="H804" s="324"/>
      <c r="I804" s="324"/>
      <c r="J804" s="324"/>
      <c r="K804" s="324"/>
      <c r="L804" s="324"/>
      <c r="M804" s="324"/>
      <c r="N804" s="324"/>
      <c r="O804" s="324"/>
      <c r="P804" s="324"/>
      <c r="Q804" s="324"/>
      <c r="R804" s="324"/>
      <c r="S804" s="324"/>
      <c r="T804" s="324"/>
      <c r="U804" s="324"/>
      <c r="V804" s="324"/>
      <c r="W804" s="324"/>
      <c r="X804" s="324"/>
      <c r="Y804" s="324"/>
      <c r="Z804" s="324"/>
    </row>
    <row r="805">
      <c r="A805" s="324"/>
      <c r="B805" s="324"/>
      <c r="C805" s="324"/>
      <c r="D805" s="324"/>
      <c r="E805" s="324"/>
      <c r="F805" s="324"/>
      <c r="G805" s="324"/>
      <c r="H805" s="324"/>
      <c r="I805" s="324"/>
      <c r="J805" s="324"/>
      <c r="K805" s="324"/>
      <c r="L805" s="324"/>
      <c r="M805" s="324"/>
      <c r="N805" s="324"/>
      <c r="O805" s="324"/>
      <c r="P805" s="324"/>
      <c r="Q805" s="324"/>
      <c r="R805" s="324"/>
      <c r="S805" s="324"/>
      <c r="T805" s="324"/>
      <c r="U805" s="324"/>
      <c r="V805" s="324"/>
      <c r="W805" s="324"/>
      <c r="X805" s="324"/>
      <c r="Y805" s="324"/>
      <c r="Z805" s="324"/>
    </row>
    <row r="806">
      <c r="A806" s="324"/>
      <c r="B806" s="324"/>
      <c r="C806" s="324"/>
      <c r="D806" s="324"/>
      <c r="E806" s="324"/>
      <c r="F806" s="324"/>
      <c r="G806" s="324"/>
      <c r="H806" s="324"/>
      <c r="I806" s="324"/>
      <c r="J806" s="324"/>
      <c r="K806" s="324"/>
      <c r="L806" s="324"/>
      <c r="M806" s="324"/>
      <c r="N806" s="324"/>
      <c r="O806" s="324"/>
      <c r="P806" s="324"/>
      <c r="Q806" s="324"/>
      <c r="R806" s="324"/>
      <c r="S806" s="324"/>
      <c r="T806" s="324"/>
      <c r="U806" s="324"/>
      <c r="V806" s="324"/>
      <c r="W806" s="324"/>
      <c r="X806" s="324"/>
      <c r="Y806" s="324"/>
      <c r="Z806" s="324"/>
    </row>
    <row r="807">
      <c r="A807" s="324"/>
      <c r="B807" s="324"/>
      <c r="C807" s="324"/>
      <c r="D807" s="324"/>
      <c r="E807" s="324"/>
      <c r="F807" s="324"/>
      <c r="G807" s="324"/>
      <c r="H807" s="324"/>
      <c r="I807" s="324"/>
      <c r="J807" s="324"/>
      <c r="K807" s="324"/>
      <c r="L807" s="324"/>
      <c r="M807" s="324"/>
      <c r="N807" s="324"/>
      <c r="O807" s="324"/>
      <c r="P807" s="324"/>
      <c r="Q807" s="324"/>
      <c r="R807" s="324"/>
      <c r="S807" s="324"/>
      <c r="T807" s="324"/>
      <c r="U807" s="324"/>
      <c r="V807" s="324"/>
      <c r="W807" s="324"/>
      <c r="X807" s="324"/>
      <c r="Y807" s="324"/>
      <c r="Z807" s="324"/>
    </row>
    <row r="808">
      <c r="A808" s="324"/>
      <c r="B808" s="324"/>
      <c r="C808" s="324"/>
      <c r="D808" s="324"/>
      <c r="E808" s="324"/>
      <c r="F808" s="324"/>
      <c r="G808" s="324"/>
      <c r="H808" s="324"/>
      <c r="I808" s="324"/>
      <c r="J808" s="324"/>
      <c r="K808" s="324"/>
      <c r="L808" s="324"/>
      <c r="M808" s="324"/>
      <c r="N808" s="324"/>
      <c r="O808" s="324"/>
      <c r="P808" s="324"/>
      <c r="Q808" s="324"/>
      <c r="R808" s="324"/>
      <c r="S808" s="324"/>
      <c r="T808" s="324"/>
      <c r="U808" s="324"/>
      <c r="V808" s="324"/>
      <c r="W808" s="324"/>
      <c r="X808" s="324"/>
      <c r="Y808" s="324"/>
      <c r="Z808" s="324"/>
    </row>
    <row r="809">
      <c r="A809" s="324"/>
      <c r="B809" s="324"/>
      <c r="C809" s="324"/>
      <c r="D809" s="324"/>
      <c r="E809" s="324"/>
      <c r="F809" s="324"/>
      <c r="G809" s="324"/>
      <c r="H809" s="324"/>
      <c r="I809" s="324"/>
      <c r="J809" s="324"/>
      <c r="K809" s="324"/>
      <c r="L809" s="324"/>
      <c r="M809" s="324"/>
      <c r="N809" s="324"/>
      <c r="O809" s="324"/>
      <c r="P809" s="324"/>
      <c r="Q809" s="324"/>
      <c r="R809" s="324"/>
      <c r="S809" s="324"/>
      <c r="T809" s="324"/>
      <c r="U809" s="324"/>
      <c r="V809" s="324"/>
      <c r="W809" s="324"/>
      <c r="X809" s="324"/>
      <c r="Y809" s="324"/>
      <c r="Z809" s="324"/>
    </row>
    <row r="810">
      <c r="A810" s="324"/>
      <c r="B810" s="324"/>
      <c r="C810" s="324"/>
      <c r="D810" s="324"/>
      <c r="E810" s="324"/>
      <c r="F810" s="324"/>
      <c r="G810" s="324"/>
      <c r="H810" s="324"/>
      <c r="I810" s="324"/>
      <c r="J810" s="324"/>
      <c r="K810" s="324"/>
      <c r="L810" s="324"/>
      <c r="M810" s="324"/>
      <c r="N810" s="324"/>
      <c r="O810" s="324"/>
      <c r="P810" s="324"/>
      <c r="Q810" s="324"/>
      <c r="R810" s="324"/>
      <c r="S810" s="324"/>
      <c r="T810" s="324"/>
      <c r="U810" s="324"/>
      <c r="V810" s="324"/>
      <c r="W810" s="324"/>
      <c r="X810" s="324"/>
      <c r="Y810" s="324"/>
      <c r="Z810" s="324"/>
    </row>
    <row r="811">
      <c r="A811" s="324"/>
      <c r="B811" s="324"/>
      <c r="C811" s="324"/>
      <c r="D811" s="324"/>
      <c r="E811" s="324"/>
      <c r="F811" s="324"/>
      <c r="G811" s="324"/>
      <c r="H811" s="324"/>
      <c r="I811" s="324"/>
      <c r="J811" s="324"/>
      <c r="K811" s="324"/>
      <c r="L811" s="324"/>
      <c r="M811" s="324"/>
      <c r="N811" s="324"/>
      <c r="O811" s="324"/>
      <c r="P811" s="324"/>
      <c r="Q811" s="324"/>
      <c r="R811" s="324"/>
      <c r="S811" s="324"/>
      <c r="T811" s="324"/>
      <c r="U811" s="324"/>
      <c r="V811" s="324"/>
      <c r="W811" s="324"/>
      <c r="X811" s="324"/>
      <c r="Y811" s="324"/>
      <c r="Z811" s="324"/>
    </row>
    <row r="812">
      <c r="A812" s="324"/>
      <c r="B812" s="324"/>
      <c r="C812" s="324"/>
      <c r="D812" s="324"/>
      <c r="E812" s="324"/>
      <c r="F812" s="324"/>
      <c r="G812" s="324"/>
      <c r="H812" s="324"/>
      <c r="I812" s="324"/>
      <c r="J812" s="324"/>
      <c r="K812" s="324"/>
      <c r="L812" s="324"/>
      <c r="M812" s="324"/>
      <c r="N812" s="324"/>
      <c r="O812" s="324"/>
      <c r="P812" s="324"/>
      <c r="Q812" s="324"/>
      <c r="R812" s="324"/>
      <c r="S812" s="324"/>
      <c r="T812" s="324"/>
      <c r="U812" s="324"/>
      <c r="V812" s="324"/>
      <c r="W812" s="324"/>
      <c r="X812" s="324"/>
      <c r="Y812" s="324"/>
      <c r="Z812" s="324"/>
    </row>
    <row r="813">
      <c r="A813" s="324"/>
      <c r="B813" s="324"/>
      <c r="C813" s="324"/>
      <c r="D813" s="324"/>
      <c r="E813" s="324"/>
      <c r="F813" s="324"/>
      <c r="G813" s="324"/>
      <c r="H813" s="324"/>
      <c r="I813" s="324"/>
      <c r="J813" s="324"/>
      <c r="K813" s="324"/>
      <c r="L813" s="324"/>
      <c r="M813" s="324"/>
      <c r="N813" s="324"/>
      <c r="O813" s="324"/>
      <c r="P813" s="324"/>
      <c r="Q813" s="324"/>
      <c r="R813" s="324"/>
      <c r="S813" s="324"/>
      <c r="T813" s="324"/>
      <c r="U813" s="324"/>
      <c r="V813" s="324"/>
      <c r="W813" s="324"/>
      <c r="X813" s="324"/>
      <c r="Y813" s="324"/>
      <c r="Z813" s="324"/>
    </row>
    <row r="814">
      <c r="A814" s="324"/>
      <c r="B814" s="324"/>
      <c r="C814" s="324"/>
      <c r="D814" s="324"/>
      <c r="E814" s="324"/>
      <c r="F814" s="324"/>
      <c r="G814" s="324"/>
      <c r="H814" s="324"/>
      <c r="I814" s="324"/>
      <c r="J814" s="324"/>
      <c r="K814" s="324"/>
      <c r="L814" s="324"/>
      <c r="M814" s="324"/>
      <c r="N814" s="324"/>
      <c r="O814" s="324"/>
      <c r="P814" s="324"/>
      <c r="Q814" s="324"/>
      <c r="R814" s="324"/>
      <c r="S814" s="324"/>
      <c r="T814" s="324"/>
      <c r="U814" s="324"/>
      <c r="V814" s="324"/>
      <c r="W814" s="324"/>
      <c r="X814" s="324"/>
      <c r="Y814" s="324"/>
      <c r="Z814" s="324"/>
    </row>
    <row r="815">
      <c r="A815" s="324"/>
      <c r="B815" s="324"/>
      <c r="C815" s="324"/>
      <c r="D815" s="324"/>
      <c r="E815" s="324"/>
      <c r="F815" s="324"/>
      <c r="G815" s="324"/>
      <c r="H815" s="324"/>
      <c r="I815" s="324"/>
      <c r="J815" s="324"/>
      <c r="K815" s="324"/>
      <c r="L815" s="324"/>
      <c r="M815" s="324"/>
      <c r="N815" s="324"/>
      <c r="O815" s="324"/>
      <c r="P815" s="324"/>
      <c r="Q815" s="324"/>
      <c r="R815" s="324"/>
      <c r="S815" s="324"/>
      <c r="T815" s="324"/>
      <c r="U815" s="324"/>
      <c r="V815" s="324"/>
      <c r="W815" s="324"/>
      <c r="X815" s="324"/>
      <c r="Y815" s="324"/>
      <c r="Z815" s="324"/>
    </row>
    <row r="816">
      <c r="A816" s="324"/>
      <c r="B816" s="324"/>
      <c r="C816" s="324"/>
      <c r="D816" s="324"/>
      <c r="E816" s="324"/>
      <c r="F816" s="324"/>
      <c r="G816" s="324"/>
      <c r="H816" s="324"/>
      <c r="I816" s="324"/>
      <c r="J816" s="324"/>
      <c r="K816" s="324"/>
      <c r="L816" s="324"/>
      <c r="M816" s="324"/>
      <c r="N816" s="324"/>
      <c r="O816" s="324"/>
      <c r="P816" s="324"/>
      <c r="Q816" s="324"/>
      <c r="R816" s="324"/>
      <c r="S816" s="324"/>
      <c r="T816" s="324"/>
      <c r="U816" s="324"/>
      <c r="V816" s="324"/>
      <c r="W816" s="324"/>
      <c r="X816" s="324"/>
      <c r="Y816" s="324"/>
      <c r="Z816" s="324"/>
    </row>
    <row r="817">
      <c r="A817" s="324"/>
      <c r="B817" s="324"/>
      <c r="C817" s="324"/>
      <c r="D817" s="324"/>
      <c r="E817" s="324"/>
      <c r="F817" s="324"/>
      <c r="G817" s="324"/>
      <c r="H817" s="324"/>
      <c r="I817" s="324"/>
      <c r="J817" s="324"/>
      <c r="K817" s="324"/>
      <c r="L817" s="324"/>
      <c r="M817" s="324"/>
      <c r="N817" s="324"/>
      <c r="O817" s="324"/>
      <c r="P817" s="324"/>
      <c r="Q817" s="324"/>
      <c r="R817" s="324"/>
      <c r="S817" s="324"/>
      <c r="T817" s="324"/>
      <c r="U817" s="324"/>
      <c r="V817" s="324"/>
      <c r="W817" s="324"/>
      <c r="X817" s="324"/>
      <c r="Y817" s="324"/>
      <c r="Z817" s="324"/>
    </row>
    <row r="818">
      <c r="A818" s="324"/>
      <c r="B818" s="324"/>
      <c r="C818" s="324"/>
      <c r="D818" s="324"/>
      <c r="E818" s="324"/>
      <c r="F818" s="324"/>
      <c r="G818" s="324"/>
      <c r="H818" s="324"/>
      <c r="I818" s="324"/>
      <c r="J818" s="324"/>
      <c r="K818" s="324"/>
      <c r="L818" s="324"/>
      <c r="M818" s="324"/>
      <c r="N818" s="324"/>
      <c r="O818" s="324"/>
      <c r="P818" s="324"/>
      <c r="Q818" s="324"/>
      <c r="R818" s="324"/>
      <c r="S818" s="324"/>
      <c r="T818" s="324"/>
      <c r="U818" s="324"/>
      <c r="V818" s="324"/>
      <c r="W818" s="324"/>
      <c r="X818" s="324"/>
      <c r="Y818" s="324"/>
      <c r="Z818" s="324"/>
    </row>
    <row r="819">
      <c r="A819" s="324"/>
      <c r="B819" s="324"/>
      <c r="C819" s="324"/>
      <c r="D819" s="324"/>
      <c r="E819" s="324"/>
      <c r="F819" s="324"/>
      <c r="G819" s="324"/>
      <c r="H819" s="324"/>
      <c r="I819" s="324"/>
      <c r="J819" s="324"/>
      <c r="K819" s="324"/>
      <c r="L819" s="324"/>
      <c r="M819" s="324"/>
      <c r="N819" s="324"/>
      <c r="O819" s="324"/>
      <c r="P819" s="324"/>
      <c r="Q819" s="324"/>
      <c r="R819" s="324"/>
      <c r="S819" s="324"/>
      <c r="T819" s="324"/>
      <c r="U819" s="324"/>
      <c r="V819" s="324"/>
      <c r="W819" s="324"/>
      <c r="X819" s="324"/>
      <c r="Y819" s="324"/>
      <c r="Z819" s="324"/>
    </row>
    <row r="820">
      <c r="A820" s="324"/>
      <c r="B820" s="324"/>
      <c r="C820" s="324"/>
      <c r="D820" s="324"/>
      <c r="E820" s="324"/>
      <c r="F820" s="324"/>
      <c r="G820" s="324"/>
      <c r="H820" s="324"/>
      <c r="I820" s="324"/>
      <c r="J820" s="324"/>
      <c r="K820" s="324"/>
      <c r="L820" s="324"/>
      <c r="M820" s="324"/>
      <c r="N820" s="324"/>
      <c r="O820" s="324"/>
      <c r="P820" s="324"/>
      <c r="Q820" s="324"/>
      <c r="R820" s="324"/>
      <c r="S820" s="324"/>
      <c r="T820" s="324"/>
      <c r="U820" s="324"/>
      <c r="V820" s="324"/>
      <c r="W820" s="324"/>
      <c r="X820" s="324"/>
      <c r="Y820" s="324"/>
      <c r="Z820" s="324"/>
    </row>
    <row r="821">
      <c r="A821" s="324"/>
      <c r="B821" s="324"/>
      <c r="C821" s="324"/>
      <c r="D821" s="324"/>
      <c r="E821" s="324"/>
      <c r="F821" s="324"/>
      <c r="G821" s="324"/>
      <c r="H821" s="324"/>
      <c r="I821" s="324"/>
      <c r="J821" s="324"/>
      <c r="K821" s="324"/>
      <c r="L821" s="324"/>
      <c r="M821" s="324"/>
      <c r="N821" s="324"/>
      <c r="O821" s="324"/>
      <c r="P821" s="324"/>
      <c r="Q821" s="324"/>
      <c r="R821" s="324"/>
      <c r="S821" s="324"/>
      <c r="T821" s="324"/>
      <c r="U821" s="324"/>
      <c r="V821" s="324"/>
      <c r="W821" s="324"/>
      <c r="X821" s="324"/>
      <c r="Y821" s="324"/>
      <c r="Z821" s="324"/>
    </row>
    <row r="822">
      <c r="A822" s="324"/>
      <c r="B822" s="324"/>
      <c r="C822" s="324"/>
      <c r="D822" s="324"/>
      <c r="E822" s="324"/>
      <c r="F822" s="324"/>
      <c r="G822" s="324"/>
      <c r="H822" s="324"/>
      <c r="I822" s="324"/>
      <c r="J822" s="324"/>
      <c r="K822" s="324"/>
      <c r="L822" s="324"/>
      <c r="M822" s="324"/>
      <c r="N822" s="324"/>
      <c r="O822" s="324"/>
      <c r="P822" s="324"/>
      <c r="Q822" s="324"/>
      <c r="R822" s="324"/>
      <c r="S822" s="324"/>
      <c r="T822" s="324"/>
      <c r="U822" s="324"/>
      <c r="V822" s="324"/>
      <c r="W822" s="324"/>
      <c r="X822" s="324"/>
      <c r="Y822" s="324"/>
      <c r="Z822" s="324"/>
    </row>
    <row r="823">
      <c r="A823" s="324"/>
      <c r="B823" s="324"/>
      <c r="C823" s="324"/>
      <c r="D823" s="324"/>
      <c r="E823" s="324"/>
      <c r="F823" s="324"/>
      <c r="G823" s="324"/>
      <c r="H823" s="324"/>
      <c r="I823" s="324"/>
      <c r="J823" s="324"/>
      <c r="K823" s="324"/>
      <c r="L823" s="324"/>
      <c r="M823" s="324"/>
      <c r="N823" s="324"/>
      <c r="O823" s="324"/>
      <c r="P823" s="324"/>
      <c r="Q823" s="324"/>
      <c r="R823" s="324"/>
      <c r="S823" s="324"/>
      <c r="T823" s="324"/>
      <c r="U823" s="324"/>
      <c r="V823" s="324"/>
      <c r="W823" s="324"/>
      <c r="X823" s="324"/>
      <c r="Y823" s="324"/>
      <c r="Z823" s="324"/>
    </row>
    <row r="824">
      <c r="A824" s="324"/>
      <c r="B824" s="324"/>
      <c r="C824" s="324"/>
      <c r="D824" s="324"/>
      <c r="E824" s="324"/>
      <c r="F824" s="324"/>
      <c r="G824" s="324"/>
      <c r="H824" s="324"/>
      <c r="I824" s="324"/>
      <c r="J824" s="324"/>
      <c r="K824" s="324"/>
      <c r="L824" s="324"/>
      <c r="M824" s="324"/>
      <c r="N824" s="324"/>
      <c r="O824" s="324"/>
      <c r="P824" s="324"/>
      <c r="Q824" s="324"/>
      <c r="R824" s="324"/>
      <c r="S824" s="324"/>
      <c r="T824" s="324"/>
      <c r="U824" s="324"/>
      <c r="V824" s="324"/>
      <c r="W824" s="324"/>
      <c r="X824" s="324"/>
      <c r="Y824" s="324"/>
      <c r="Z824" s="324"/>
    </row>
    <row r="825">
      <c r="A825" s="324"/>
      <c r="B825" s="324"/>
      <c r="C825" s="324"/>
      <c r="D825" s="324"/>
      <c r="E825" s="324"/>
      <c r="F825" s="324"/>
      <c r="G825" s="324"/>
      <c r="H825" s="324"/>
      <c r="I825" s="324"/>
      <c r="J825" s="324"/>
      <c r="K825" s="324"/>
      <c r="L825" s="324"/>
      <c r="M825" s="324"/>
      <c r="N825" s="324"/>
      <c r="O825" s="324"/>
      <c r="P825" s="324"/>
      <c r="Q825" s="324"/>
      <c r="R825" s="324"/>
      <c r="S825" s="324"/>
      <c r="T825" s="324"/>
      <c r="U825" s="324"/>
      <c r="V825" s="324"/>
      <c r="W825" s="324"/>
      <c r="X825" s="324"/>
      <c r="Y825" s="324"/>
      <c r="Z825" s="324"/>
    </row>
    <row r="826">
      <c r="A826" s="324"/>
      <c r="B826" s="324"/>
      <c r="C826" s="324"/>
      <c r="D826" s="324"/>
      <c r="E826" s="324"/>
      <c r="F826" s="324"/>
      <c r="G826" s="324"/>
      <c r="H826" s="324"/>
      <c r="I826" s="324"/>
      <c r="J826" s="324"/>
      <c r="K826" s="324"/>
      <c r="L826" s="324"/>
      <c r="M826" s="324"/>
      <c r="N826" s="324"/>
      <c r="O826" s="324"/>
      <c r="P826" s="324"/>
      <c r="Q826" s="324"/>
      <c r="R826" s="324"/>
      <c r="S826" s="324"/>
      <c r="T826" s="324"/>
      <c r="U826" s="324"/>
      <c r="V826" s="324"/>
      <c r="W826" s="324"/>
      <c r="X826" s="324"/>
      <c r="Y826" s="324"/>
      <c r="Z826" s="324"/>
    </row>
    <row r="827">
      <c r="A827" s="324"/>
      <c r="B827" s="324"/>
      <c r="C827" s="324"/>
      <c r="D827" s="324"/>
      <c r="E827" s="324"/>
      <c r="F827" s="324"/>
      <c r="G827" s="324"/>
      <c r="H827" s="324"/>
      <c r="I827" s="324"/>
      <c r="J827" s="324"/>
      <c r="K827" s="324"/>
      <c r="L827" s="324"/>
      <c r="M827" s="324"/>
      <c r="N827" s="324"/>
      <c r="O827" s="324"/>
      <c r="P827" s="324"/>
      <c r="Q827" s="324"/>
      <c r="R827" s="324"/>
      <c r="S827" s="324"/>
      <c r="T827" s="324"/>
      <c r="U827" s="324"/>
      <c r="V827" s="324"/>
      <c r="W827" s="324"/>
      <c r="X827" s="324"/>
      <c r="Y827" s="324"/>
      <c r="Z827" s="324"/>
    </row>
    <row r="828">
      <c r="A828" s="324"/>
      <c r="B828" s="324"/>
      <c r="C828" s="324"/>
      <c r="D828" s="324"/>
      <c r="E828" s="324"/>
      <c r="F828" s="324"/>
      <c r="G828" s="324"/>
      <c r="H828" s="324"/>
      <c r="I828" s="324"/>
      <c r="J828" s="324"/>
      <c r="K828" s="324"/>
      <c r="L828" s="324"/>
      <c r="M828" s="324"/>
      <c r="N828" s="324"/>
      <c r="O828" s="324"/>
      <c r="P828" s="324"/>
      <c r="Q828" s="324"/>
      <c r="R828" s="324"/>
      <c r="S828" s="324"/>
      <c r="T828" s="324"/>
      <c r="U828" s="324"/>
      <c r="V828" s="324"/>
      <c r="W828" s="324"/>
      <c r="X828" s="324"/>
      <c r="Y828" s="324"/>
      <c r="Z828" s="324"/>
    </row>
    <row r="829">
      <c r="A829" s="324"/>
      <c r="B829" s="324"/>
      <c r="C829" s="324"/>
      <c r="D829" s="324"/>
      <c r="E829" s="324"/>
      <c r="F829" s="324"/>
      <c r="G829" s="324"/>
      <c r="H829" s="324"/>
      <c r="I829" s="324"/>
      <c r="J829" s="324"/>
      <c r="K829" s="324"/>
      <c r="L829" s="324"/>
      <c r="M829" s="324"/>
      <c r="N829" s="324"/>
      <c r="O829" s="324"/>
      <c r="P829" s="324"/>
      <c r="Q829" s="324"/>
      <c r="R829" s="324"/>
      <c r="S829" s="324"/>
      <c r="T829" s="324"/>
      <c r="U829" s="324"/>
      <c r="V829" s="324"/>
      <c r="W829" s="324"/>
      <c r="X829" s="324"/>
      <c r="Y829" s="324"/>
      <c r="Z829" s="324"/>
    </row>
    <row r="830">
      <c r="A830" s="324"/>
      <c r="B830" s="324"/>
      <c r="C830" s="324"/>
      <c r="D830" s="324"/>
      <c r="E830" s="324"/>
      <c r="F830" s="324"/>
      <c r="G830" s="324"/>
      <c r="H830" s="324"/>
      <c r="I830" s="324"/>
      <c r="J830" s="324"/>
      <c r="K830" s="324"/>
      <c r="L830" s="324"/>
      <c r="M830" s="324"/>
      <c r="N830" s="324"/>
      <c r="O830" s="324"/>
      <c r="P830" s="324"/>
      <c r="Q830" s="324"/>
      <c r="R830" s="324"/>
      <c r="S830" s="324"/>
      <c r="T830" s="324"/>
      <c r="U830" s="324"/>
      <c r="V830" s="324"/>
      <c r="W830" s="324"/>
      <c r="X830" s="324"/>
      <c r="Y830" s="324"/>
      <c r="Z830" s="324"/>
    </row>
    <row r="831">
      <c r="A831" s="324"/>
      <c r="B831" s="324"/>
      <c r="C831" s="324"/>
      <c r="D831" s="324"/>
      <c r="E831" s="324"/>
      <c r="F831" s="324"/>
      <c r="G831" s="324"/>
      <c r="H831" s="324"/>
      <c r="I831" s="324"/>
      <c r="J831" s="324"/>
      <c r="K831" s="324"/>
      <c r="L831" s="324"/>
      <c r="M831" s="324"/>
      <c r="N831" s="324"/>
      <c r="O831" s="324"/>
      <c r="P831" s="324"/>
      <c r="Q831" s="324"/>
      <c r="R831" s="324"/>
      <c r="S831" s="324"/>
      <c r="T831" s="324"/>
      <c r="U831" s="324"/>
      <c r="V831" s="324"/>
      <c r="W831" s="324"/>
      <c r="X831" s="324"/>
      <c r="Y831" s="324"/>
      <c r="Z831" s="324"/>
    </row>
    <row r="832">
      <c r="A832" s="324"/>
      <c r="B832" s="324"/>
      <c r="C832" s="324"/>
      <c r="D832" s="324"/>
      <c r="E832" s="324"/>
      <c r="F832" s="324"/>
      <c r="G832" s="324"/>
      <c r="H832" s="324"/>
      <c r="I832" s="324"/>
      <c r="J832" s="324"/>
      <c r="K832" s="324"/>
      <c r="L832" s="324"/>
      <c r="M832" s="324"/>
      <c r="N832" s="324"/>
      <c r="O832" s="324"/>
      <c r="P832" s="324"/>
      <c r="Q832" s="324"/>
      <c r="R832" s="324"/>
      <c r="S832" s="324"/>
      <c r="T832" s="324"/>
      <c r="U832" s="324"/>
      <c r="V832" s="324"/>
      <c r="W832" s="324"/>
      <c r="X832" s="324"/>
      <c r="Y832" s="324"/>
      <c r="Z832" s="324"/>
    </row>
    <row r="833">
      <c r="A833" s="324"/>
      <c r="B833" s="324"/>
      <c r="C833" s="324"/>
      <c r="D833" s="324"/>
      <c r="E833" s="324"/>
      <c r="F833" s="324"/>
      <c r="G833" s="324"/>
      <c r="H833" s="324"/>
      <c r="I833" s="324"/>
      <c r="J833" s="324"/>
      <c r="K833" s="324"/>
      <c r="L833" s="324"/>
      <c r="M833" s="324"/>
      <c r="N833" s="324"/>
      <c r="O833" s="324"/>
      <c r="P833" s="324"/>
      <c r="Q833" s="324"/>
      <c r="R833" s="324"/>
      <c r="S833" s="324"/>
      <c r="T833" s="324"/>
      <c r="U833" s="324"/>
      <c r="V833" s="324"/>
      <c r="W833" s="324"/>
      <c r="X833" s="324"/>
      <c r="Y833" s="324"/>
      <c r="Z833" s="324"/>
    </row>
    <row r="834">
      <c r="A834" s="324"/>
      <c r="B834" s="324"/>
      <c r="C834" s="324"/>
      <c r="D834" s="324"/>
      <c r="E834" s="324"/>
      <c r="F834" s="324"/>
      <c r="G834" s="324"/>
      <c r="H834" s="324"/>
      <c r="I834" s="324"/>
      <c r="J834" s="324"/>
      <c r="K834" s="324"/>
      <c r="L834" s="324"/>
      <c r="M834" s="324"/>
      <c r="N834" s="324"/>
      <c r="O834" s="324"/>
      <c r="P834" s="324"/>
      <c r="Q834" s="324"/>
      <c r="R834" s="324"/>
      <c r="S834" s="324"/>
      <c r="T834" s="324"/>
      <c r="U834" s="324"/>
      <c r="V834" s="324"/>
      <c r="W834" s="324"/>
      <c r="X834" s="324"/>
      <c r="Y834" s="324"/>
      <c r="Z834" s="324"/>
    </row>
    <row r="835">
      <c r="A835" s="324"/>
      <c r="B835" s="324"/>
      <c r="C835" s="324"/>
      <c r="D835" s="324"/>
      <c r="E835" s="324"/>
      <c r="F835" s="324"/>
      <c r="G835" s="324"/>
      <c r="H835" s="324"/>
      <c r="I835" s="324"/>
      <c r="J835" s="324"/>
      <c r="K835" s="324"/>
      <c r="L835" s="324"/>
      <c r="M835" s="324"/>
      <c r="N835" s="324"/>
      <c r="O835" s="324"/>
      <c r="P835" s="324"/>
      <c r="Q835" s="324"/>
      <c r="R835" s="324"/>
      <c r="S835" s="324"/>
      <c r="T835" s="324"/>
      <c r="U835" s="324"/>
      <c r="V835" s="324"/>
      <c r="W835" s="324"/>
      <c r="X835" s="324"/>
      <c r="Y835" s="324"/>
      <c r="Z835" s="324"/>
    </row>
    <row r="836">
      <c r="A836" s="324"/>
      <c r="B836" s="324"/>
      <c r="C836" s="324"/>
      <c r="D836" s="324"/>
      <c r="E836" s="324"/>
      <c r="F836" s="324"/>
      <c r="G836" s="324"/>
      <c r="H836" s="324"/>
      <c r="I836" s="324"/>
      <c r="J836" s="324"/>
      <c r="K836" s="324"/>
      <c r="L836" s="324"/>
      <c r="M836" s="324"/>
      <c r="N836" s="324"/>
      <c r="O836" s="324"/>
      <c r="P836" s="324"/>
      <c r="Q836" s="324"/>
      <c r="R836" s="324"/>
      <c r="S836" s="324"/>
      <c r="T836" s="324"/>
      <c r="U836" s="324"/>
      <c r="V836" s="324"/>
      <c r="W836" s="324"/>
      <c r="X836" s="324"/>
      <c r="Y836" s="324"/>
      <c r="Z836" s="324"/>
    </row>
    <row r="837">
      <c r="A837" s="324"/>
      <c r="B837" s="324"/>
      <c r="C837" s="324"/>
      <c r="D837" s="324"/>
      <c r="E837" s="324"/>
      <c r="F837" s="324"/>
      <c r="G837" s="324"/>
      <c r="H837" s="324"/>
      <c r="I837" s="324"/>
      <c r="J837" s="324"/>
      <c r="K837" s="324"/>
      <c r="L837" s="324"/>
      <c r="M837" s="324"/>
      <c r="N837" s="324"/>
      <c r="O837" s="324"/>
      <c r="P837" s="324"/>
      <c r="Q837" s="324"/>
      <c r="R837" s="324"/>
      <c r="S837" s="324"/>
      <c r="T837" s="324"/>
      <c r="U837" s="324"/>
      <c r="V837" s="324"/>
      <c r="W837" s="324"/>
      <c r="X837" s="324"/>
      <c r="Y837" s="324"/>
      <c r="Z837" s="324"/>
    </row>
    <row r="838">
      <c r="A838" s="324"/>
      <c r="B838" s="324"/>
      <c r="C838" s="324"/>
      <c r="D838" s="324"/>
      <c r="E838" s="324"/>
      <c r="F838" s="324"/>
      <c r="G838" s="324"/>
      <c r="H838" s="324"/>
      <c r="I838" s="324"/>
      <c r="J838" s="324"/>
      <c r="K838" s="324"/>
      <c r="L838" s="324"/>
      <c r="M838" s="324"/>
      <c r="N838" s="324"/>
      <c r="O838" s="324"/>
      <c r="P838" s="324"/>
      <c r="Q838" s="324"/>
      <c r="R838" s="324"/>
      <c r="S838" s="324"/>
      <c r="T838" s="324"/>
      <c r="U838" s="324"/>
      <c r="V838" s="324"/>
      <c r="W838" s="324"/>
      <c r="X838" s="324"/>
      <c r="Y838" s="324"/>
      <c r="Z838" s="324"/>
    </row>
    <row r="839">
      <c r="A839" s="324"/>
      <c r="B839" s="324"/>
      <c r="C839" s="324"/>
      <c r="D839" s="324"/>
      <c r="E839" s="324"/>
      <c r="F839" s="324"/>
      <c r="G839" s="324"/>
      <c r="H839" s="324"/>
      <c r="I839" s="324"/>
      <c r="J839" s="324"/>
      <c r="K839" s="324"/>
      <c r="L839" s="324"/>
      <c r="M839" s="324"/>
      <c r="N839" s="324"/>
      <c r="O839" s="324"/>
      <c r="P839" s="324"/>
      <c r="Q839" s="324"/>
      <c r="R839" s="324"/>
      <c r="S839" s="324"/>
      <c r="T839" s="324"/>
      <c r="U839" s="324"/>
      <c r="V839" s="324"/>
      <c r="W839" s="324"/>
      <c r="X839" s="324"/>
      <c r="Y839" s="324"/>
      <c r="Z839" s="324"/>
    </row>
    <row r="840">
      <c r="A840" s="324"/>
      <c r="B840" s="324"/>
      <c r="C840" s="324"/>
      <c r="D840" s="324"/>
      <c r="E840" s="324"/>
      <c r="F840" s="324"/>
      <c r="G840" s="324"/>
      <c r="H840" s="324"/>
      <c r="I840" s="324"/>
      <c r="J840" s="324"/>
      <c r="K840" s="324"/>
      <c r="L840" s="324"/>
      <c r="M840" s="324"/>
      <c r="N840" s="324"/>
      <c r="O840" s="324"/>
      <c r="P840" s="324"/>
      <c r="Q840" s="324"/>
      <c r="R840" s="324"/>
      <c r="S840" s="324"/>
      <c r="T840" s="324"/>
      <c r="U840" s="324"/>
      <c r="V840" s="324"/>
      <c r="W840" s="324"/>
      <c r="X840" s="324"/>
      <c r="Y840" s="324"/>
      <c r="Z840" s="324"/>
    </row>
    <row r="841">
      <c r="A841" s="324"/>
      <c r="B841" s="324"/>
      <c r="C841" s="324"/>
      <c r="D841" s="324"/>
      <c r="E841" s="324"/>
      <c r="F841" s="324"/>
      <c r="G841" s="324"/>
      <c r="H841" s="324"/>
      <c r="I841" s="324"/>
      <c r="J841" s="324"/>
      <c r="K841" s="324"/>
      <c r="L841" s="324"/>
      <c r="M841" s="324"/>
      <c r="N841" s="324"/>
      <c r="O841" s="324"/>
      <c r="P841" s="324"/>
      <c r="Q841" s="324"/>
      <c r="R841" s="324"/>
      <c r="S841" s="324"/>
      <c r="T841" s="324"/>
      <c r="U841" s="324"/>
      <c r="V841" s="324"/>
      <c r="W841" s="324"/>
      <c r="X841" s="324"/>
      <c r="Y841" s="324"/>
      <c r="Z841" s="324"/>
    </row>
    <row r="842">
      <c r="A842" s="324"/>
      <c r="B842" s="324"/>
      <c r="C842" s="324"/>
      <c r="D842" s="324"/>
      <c r="E842" s="324"/>
      <c r="F842" s="324"/>
      <c r="G842" s="324"/>
      <c r="H842" s="324"/>
      <c r="I842" s="324"/>
      <c r="J842" s="324"/>
      <c r="K842" s="324"/>
      <c r="L842" s="324"/>
      <c r="M842" s="324"/>
      <c r="N842" s="324"/>
      <c r="O842" s="324"/>
      <c r="P842" s="324"/>
      <c r="Q842" s="324"/>
      <c r="R842" s="324"/>
      <c r="S842" s="324"/>
      <c r="T842" s="324"/>
      <c r="U842" s="324"/>
      <c r="V842" s="324"/>
      <c r="W842" s="324"/>
      <c r="X842" s="324"/>
      <c r="Y842" s="324"/>
      <c r="Z842" s="324"/>
    </row>
    <row r="843">
      <c r="A843" s="324"/>
      <c r="B843" s="324"/>
      <c r="C843" s="324"/>
      <c r="D843" s="324"/>
      <c r="E843" s="324"/>
      <c r="F843" s="324"/>
      <c r="G843" s="324"/>
      <c r="H843" s="324"/>
      <c r="I843" s="324"/>
      <c r="J843" s="324"/>
      <c r="K843" s="324"/>
      <c r="L843" s="324"/>
      <c r="M843" s="324"/>
      <c r="N843" s="324"/>
      <c r="O843" s="324"/>
      <c r="P843" s="324"/>
      <c r="Q843" s="324"/>
      <c r="R843" s="324"/>
      <c r="S843" s="324"/>
      <c r="T843" s="324"/>
      <c r="U843" s="324"/>
      <c r="V843" s="324"/>
      <c r="W843" s="324"/>
      <c r="X843" s="324"/>
      <c r="Y843" s="324"/>
      <c r="Z843" s="324"/>
    </row>
    <row r="844">
      <c r="A844" s="324"/>
      <c r="B844" s="324"/>
      <c r="C844" s="324"/>
      <c r="D844" s="324"/>
      <c r="E844" s="324"/>
      <c r="F844" s="324"/>
      <c r="G844" s="324"/>
      <c r="H844" s="324"/>
      <c r="I844" s="324"/>
      <c r="J844" s="324"/>
      <c r="K844" s="324"/>
      <c r="L844" s="324"/>
      <c r="M844" s="324"/>
      <c r="N844" s="324"/>
      <c r="O844" s="324"/>
      <c r="P844" s="324"/>
      <c r="Q844" s="324"/>
      <c r="R844" s="324"/>
      <c r="S844" s="324"/>
      <c r="T844" s="324"/>
      <c r="U844" s="324"/>
      <c r="V844" s="324"/>
      <c r="W844" s="324"/>
      <c r="X844" s="324"/>
      <c r="Y844" s="324"/>
      <c r="Z844" s="324"/>
    </row>
    <row r="845">
      <c r="A845" s="324"/>
      <c r="B845" s="324"/>
      <c r="C845" s="324"/>
      <c r="D845" s="324"/>
      <c r="E845" s="324"/>
      <c r="F845" s="324"/>
      <c r="G845" s="324"/>
      <c r="H845" s="324"/>
      <c r="I845" s="324"/>
      <c r="J845" s="324"/>
      <c r="K845" s="324"/>
      <c r="L845" s="324"/>
      <c r="M845" s="324"/>
      <c r="N845" s="324"/>
      <c r="O845" s="324"/>
      <c r="P845" s="324"/>
      <c r="Q845" s="324"/>
      <c r="R845" s="324"/>
      <c r="S845" s="324"/>
      <c r="T845" s="324"/>
      <c r="U845" s="324"/>
      <c r="V845" s="324"/>
      <c r="W845" s="324"/>
      <c r="X845" s="324"/>
      <c r="Y845" s="324"/>
      <c r="Z845" s="324"/>
    </row>
    <row r="846">
      <c r="A846" s="324"/>
      <c r="B846" s="324"/>
      <c r="C846" s="324"/>
      <c r="D846" s="324"/>
      <c r="E846" s="324"/>
      <c r="F846" s="324"/>
      <c r="G846" s="324"/>
      <c r="H846" s="324"/>
      <c r="I846" s="324"/>
      <c r="J846" s="324"/>
      <c r="K846" s="324"/>
      <c r="L846" s="324"/>
      <c r="M846" s="324"/>
      <c r="N846" s="324"/>
      <c r="O846" s="324"/>
      <c r="P846" s="324"/>
      <c r="Q846" s="324"/>
      <c r="R846" s="324"/>
      <c r="S846" s="324"/>
      <c r="T846" s="324"/>
      <c r="U846" s="324"/>
      <c r="V846" s="324"/>
      <c r="W846" s="324"/>
      <c r="X846" s="324"/>
      <c r="Y846" s="324"/>
      <c r="Z846" s="324"/>
    </row>
    <row r="847">
      <c r="A847" s="324"/>
      <c r="B847" s="324"/>
      <c r="C847" s="324"/>
      <c r="D847" s="324"/>
      <c r="E847" s="324"/>
      <c r="F847" s="324"/>
      <c r="G847" s="324"/>
      <c r="H847" s="324"/>
      <c r="I847" s="324"/>
      <c r="J847" s="324"/>
      <c r="K847" s="324"/>
      <c r="L847" s="324"/>
      <c r="M847" s="324"/>
      <c r="N847" s="324"/>
      <c r="O847" s="324"/>
      <c r="P847" s="324"/>
      <c r="Q847" s="324"/>
      <c r="R847" s="324"/>
      <c r="S847" s="324"/>
      <c r="T847" s="324"/>
      <c r="U847" s="324"/>
      <c r="V847" s="324"/>
      <c r="W847" s="324"/>
      <c r="X847" s="324"/>
      <c r="Y847" s="324"/>
      <c r="Z847" s="324"/>
    </row>
    <row r="848">
      <c r="A848" s="324"/>
      <c r="B848" s="324"/>
      <c r="C848" s="324"/>
      <c r="D848" s="324"/>
      <c r="E848" s="324"/>
      <c r="F848" s="324"/>
      <c r="G848" s="324"/>
      <c r="H848" s="324"/>
      <c r="I848" s="324"/>
      <c r="J848" s="324"/>
      <c r="K848" s="324"/>
      <c r="L848" s="324"/>
      <c r="M848" s="324"/>
      <c r="N848" s="324"/>
      <c r="O848" s="324"/>
      <c r="P848" s="324"/>
      <c r="Q848" s="324"/>
      <c r="R848" s="324"/>
      <c r="S848" s="324"/>
      <c r="T848" s="324"/>
      <c r="U848" s="324"/>
      <c r="V848" s="324"/>
      <c r="W848" s="324"/>
      <c r="X848" s="324"/>
      <c r="Y848" s="324"/>
      <c r="Z848" s="324"/>
    </row>
    <row r="849">
      <c r="A849" s="324"/>
      <c r="B849" s="324"/>
      <c r="C849" s="324"/>
      <c r="D849" s="324"/>
      <c r="E849" s="324"/>
      <c r="F849" s="324"/>
      <c r="G849" s="324"/>
      <c r="H849" s="324"/>
      <c r="I849" s="324"/>
      <c r="J849" s="324"/>
      <c r="K849" s="324"/>
      <c r="L849" s="324"/>
      <c r="M849" s="324"/>
      <c r="N849" s="324"/>
      <c r="O849" s="324"/>
      <c r="P849" s="324"/>
      <c r="Q849" s="324"/>
      <c r="R849" s="324"/>
      <c r="S849" s="324"/>
      <c r="T849" s="324"/>
      <c r="U849" s="324"/>
      <c r="V849" s="324"/>
      <c r="W849" s="324"/>
      <c r="X849" s="324"/>
      <c r="Y849" s="324"/>
      <c r="Z849" s="324"/>
    </row>
    <row r="850">
      <c r="A850" s="324"/>
      <c r="B850" s="324"/>
      <c r="C850" s="324"/>
      <c r="D850" s="324"/>
      <c r="E850" s="324"/>
      <c r="F850" s="324"/>
      <c r="G850" s="324"/>
      <c r="H850" s="324"/>
      <c r="I850" s="324"/>
      <c r="J850" s="324"/>
      <c r="K850" s="324"/>
      <c r="L850" s="324"/>
      <c r="M850" s="324"/>
      <c r="N850" s="324"/>
      <c r="O850" s="324"/>
      <c r="P850" s="324"/>
      <c r="Q850" s="324"/>
      <c r="R850" s="324"/>
      <c r="S850" s="324"/>
      <c r="T850" s="324"/>
      <c r="U850" s="324"/>
      <c r="V850" s="324"/>
      <c r="W850" s="324"/>
      <c r="X850" s="324"/>
      <c r="Y850" s="324"/>
      <c r="Z850" s="324"/>
    </row>
    <row r="851">
      <c r="A851" s="324"/>
      <c r="B851" s="324"/>
      <c r="C851" s="324"/>
      <c r="D851" s="324"/>
      <c r="E851" s="324"/>
      <c r="F851" s="324"/>
      <c r="G851" s="324"/>
      <c r="H851" s="324"/>
      <c r="I851" s="324"/>
      <c r="J851" s="324"/>
      <c r="K851" s="324"/>
      <c r="L851" s="324"/>
      <c r="M851" s="324"/>
      <c r="N851" s="324"/>
      <c r="O851" s="324"/>
      <c r="P851" s="324"/>
      <c r="Q851" s="324"/>
      <c r="R851" s="324"/>
      <c r="S851" s="324"/>
      <c r="T851" s="324"/>
      <c r="U851" s="324"/>
      <c r="V851" s="324"/>
      <c r="W851" s="324"/>
      <c r="X851" s="324"/>
      <c r="Y851" s="324"/>
      <c r="Z851" s="324"/>
    </row>
    <row r="852">
      <c r="A852" s="324"/>
      <c r="B852" s="324"/>
      <c r="C852" s="324"/>
      <c r="D852" s="324"/>
      <c r="E852" s="324"/>
      <c r="F852" s="324"/>
      <c r="G852" s="324"/>
      <c r="H852" s="324"/>
      <c r="I852" s="324"/>
      <c r="J852" s="324"/>
      <c r="K852" s="324"/>
      <c r="L852" s="324"/>
      <c r="M852" s="324"/>
      <c r="N852" s="324"/>
      <c r="O852" s="324"/>
      <c r="P852" s="324"/>
      <c r="Q852" s="324"/>
      <c r="R852" s="324"/>
      <c r="S852" s="324"/>
      <c r="T852" s="324"/>
      <c r="U852" s="324"/>
      <c r="V852" s="324"/>
      <c r="W852" s="324"/>
      <c r="X852" s="324"/>
      <c r="Y852" s="324"/>
      <c r="Z852" s="324"/>
    </row>
    <row r="853">
      <c r="A853" s="324"/>
      <c r="B853" s="324"/>
      <c r="C853" s="324"/>
      <c r="D853" s="324"/>
      <c r="E853" s="324"/>
      <c r="F853" s="324"/>
      <c r="G853" s="324"/>
      <c r="H853" s="324"/>
      <c r="I853" s="324"/>
      <c r="J853" s="324"/>
      <c r="K853" s="324"/>
      <c r="L853" s="324"/>
      <c r="M853" s="324"/>
      <c r="N853" s="324"/>
      <c r="O853" s="324"/>
      <c r="P853" s="324"/>
      <c r="Q853" s="324"/>
      <c r="R853" s="324"/>
      <c r="S853" s="324"/>
      <c r="T853" s="324"/>
      <c r="U853" s="324"/>
      <c r="V853" s="324"/>
      <c r="W853" s="324"/>
      <c r="X853" s="324"/>
      <c r="Y853" s="324"/>
      <c r="Z853" s="324"/>
    </row>
    <row r="854">
      <c r="A854" s="324"/>
      <c r="B854" s="324"/>
      <c r="C854" s="324"/>
      <c r="D854" s="324"/>
      <c r="E854" s="324"/>
      <c r="F854" s="324"/>
      <c r="G854" s="324"/>
      <c r="H854" s="324"/>
      <c r="I854" s="324"/>
      <c r="J854" s="324"/>
      <c r="K854" s="324"/>
      <c r="L854" s="324"/>
      <c r="M854" s="324"/>
      <c r="N854" s="324"/>
      <c r="O854" s="324"/>
      <c r="P854" s="324"/>
      <c r="Q854" s="324"/>
      <c r="R854" s="324"/>
      <c r="S854" s="324"/>
      <c r="T854" s="324"/>
      <c r="U854" s="324"/>
      <c r="V854" s="324"/>
      <c r="W854" s="324"/>
      <c r="X854" s="324"/>
      <c r="Y854" s="324"/>
      <c r="Z854" s="324"/>
    </row>
    <row r="855">
      <c r="A855" s="324"/>
      <c r="B855" s="324"/>
      <c r="C855" s="324"/>
      <c r="D855" s="324"/>
      <c r="E855" s="324"/>
      <c r="F855" s="324"/>
      <c r="G855" s="324"/>
      <c r="H855" s="324"/>
      <c r="I855" s="324"/>
      <c r="J855" s="324"/>
      <c r="K855" s="324"/>
      <c r="L855" s="324"/>
      <c r="M855" s="324"/>
      <c r="N855" s="324"/>
      <c r="O855" s="324"/>
      <c r="P855" s="324"/>
      <c r="Q855" s="324"/>
      <c r="R855" s="324"/>
      <c r="S855" s="324"/>
      <c r="T855" s="324"/>
      <c r="U855" s="324"/>
      <c r="V855" s="324"/>
      <c r="W855" s="324"/>
      <c r="X855" s="324"/>
      <c r="Y855" s="324"/>
      <c r="Z855" s="324"/>
    </row>
    <row r="856">
      <c r="A856" s="324"/>
      <c r="B856" s="324"/>
      <c r="C856" s="324"/>
      <c r="D856" s="324"/>
      <c r="E856" s="324"/>
      <c r="F856" s="324"/>
      <c r="G856" s="324"/>
      <c r="H856" s="324"/>
      <c r="I856" s="324"/>
      <c r="J856" s="324"/>
      <c r="K856" s="324"/>
      <c r="L856" s="324"/>
      <c r="M856" s="324"/>
      <c r="N856" s="324"/>
      <c r="O856" s="324"/>
      <c r="P856" s="324"/>
      <c r="Q856" s="324"/>
      <c r="R856" s="324"/>
      <c r="S856" s="324"/>
      <c r="T856" s="324"/>
      <c r="U856" s="324"/>
      <c r="V856" s="324"/>
      <c r="W856" s="324"/>
      <c r="X856" s="324"/>
      <c r="Y856" s="324"/>
      <c r="Z856" s="324"/>
    </row>
    <row r="857">
      <c r="A857" s="324"/>
      <c r="B857" s="324"/>
      <c r="C857" s="324"/>
      <c r="D857" s="324"/>
      <c r="E857" s="324"/>
      <c r="F857" s="324"/>
      <c r="G857" s="324"/>
      <c r="H857" s="324"/>
      <c r="I857" s="324"/>
      <c r="J857" s="324"/>
      <c r="K857" s="324"/>
      <c r="L857" s="324"/>
      <c r="M857" s="324"/>
      <c r="N857" s="324"/>
      <c r="O857" s="324"/>
      <c r="P857" s="324"/>
      <c r="Q857" s="324"/>
      <c r="R857" s="324"/>
      <c r="S857" s="324"/>
      <c r="T857" s="324"/>
      <c r="U857" s="324"/>
      <c r="V857" s="324"/>
      <c r="W857" s="324"/>
      <c r="X857" s="324"/>
      <c r="Y857" s="324"/>
      <c r="Z857" s="324"/>
    </row>
    <row r="858">
      <c r="A858" s="324"/>
      <c r="B858" s="324"/>
      <c r="C858" s="324"/>
      <c r="D858" s="324"/>
      <c r="E858" s="324"/>
      <c r="F858" s="324"/>
      <c r="G858" s="324"/>
      <c r="H858" s="324"/>
      <c r="I858" s="324"/>
      <c r="J858" s="324"/>
      <c r="K858" s="324"/>
      <c r="L858" s="324"/>
      <c r="M858" s="324"/>
      <c r="N858" s="324"/>
      <c r="O858" s="324"/>
      <c r="P858" s="324"/>
      <c r="Q858" s="324"/>
      <c r="R858" s="324"/>
      <c r="S858" s="324"/>
      <c r="T858" s="324"/>
      <c r="U858" s="324"/>
      <c r="V858" s="324"/>
      <c r="W858" s="324"/>
      <c r="X858" s="324"/>
      <c r="Y858" s="324"/>
      <c r="Z858" s="324"/>
    </row>
    <row r="859">
      <c r="A859" s="324"/>
      <c r="B859" s="324"/>
      <c r="C859" s="324"/>
      <c r="D859" s="324"/>
      <c r="E859" s="324"/>
      <c r="F859" s="324"/>
      <c r="G859" s="324"/>
      <c r="H859" s="324"/>
      <c r="I859" s="324"/>
      <c r="J859" s="324"/>
      <c r="K859" s="324"/>
      <c r="L859" s="324"/>
      <c r="M859" s="324"/>
      <c r="N859" s="324"/>
      <c r="O859" s="324"/>
      <c r="P859" s="324"/>
      <c r="Q859" s="324"/>
      <c r="R859" s="324"/>
      <c r="S859" s="324"/>
      <c r="T859" s="324"/>
      <c r="U859" s="324"/>
      <c r="V859" s="324"/>
      <c r="W859" s="324"/>
      <c r="X859" s="324"/>
      <c r="Y859" s="324"/>
      <c r="Z859" s="324"/>
    </row>
    <row r="860">
      <c r="A860" s="324"/>
      <c r="B860" s="324"/>
      <c r="C860" s="324"/>
      <c r="D860" s="324"/>
      <c r="E860" s="324"/>
      <c r="F860" s="324"/>
      <c r="G860" s="324"/>
      <c r="H860" s="324"/>
      <c r="I860" s="324"/>
      <c r="J860" s="324"/>
      <c r="K860" s="324"/>
      <c r="L860" s="324"/>
      <c r="M860" s="324"/>
      <c r="N860" s="324"/>
      <c r="O860" s="324"/>
      <c r="P860" s="324"/>
      <c r="Q860" s="324"/>
      <c r="R860" s="324"/>
      <c r="S860" s="324"/>
      <c r="T860" s="324"/>
      <c r="U860" s="324"/>
      <c r="V860" s="324"/>
      <c r="W860" s="324"/>
      <c r="X860" s="324"/>
      <c r="Y860" s="324"/>
      <c r="Z860" s="324"/>
    </row>
    <row r="861">
      <c r="A861" s="324"/>
      <c r="B861" s="324"/>
      <c r="C861" s="324"/>
      <c r="D861" s="324"/>
      <c r="E861" s="324"/>
      <c r="F861" s="324"/>
      <c r="G861" s="324"/>
      <c r="H861" s="324"/>
      <c r="I861" s="324"/>
      <c r="J861" s="324"/>
      <c r="K861" s="324"/>
      <c r="L861" s="324"/>
      <c r="M861" s="324"/>
      <c r="N861" s="324"/>
      <c r="O861" s="324"/>
      <c r="P861" s="324"/>
      <c r="Q861" s="324"/>
      <c r="R861" s="324"/>
      <c r="S861" s="324"/>
      <c r="T861" s="324"/>
      <c r="U861" s="324"/>
      <c r="V861" s="324"/>
      <c r="W861" s="324"/>
      <c r="X861" s="324"/>
      <c r="Y861" s="324"/>
      <c r="Z861" s="324"/>
    </row>
    <row r="862">
      <c r="A862" s="324"/>
      <c r="B862" s="324"/>
      <c r="C862" s="324"/>
      <c r="D862" s="324"/>
      <c r="E862" s="324"/>
      <c r="F862" s="324"/>
      <c r="G862" s="324"/>
      <c r="H862" s="324"/>
      <c r="I862" s="324"/>
      <c r="J862" s="324"/>
      <c r="K862" s="324"/>
      <c r="L862" s="324"/>
      <c r="M862" s="324"/>
      <c r="N862" s="324"/>
      <c r="O862" s="324"/>
      <c r="P862" s="324"/>
      <c r="Q862" s="324"/>
      <c r="R862" s="324"/>
      <c r="S862" s="324"/>
      <c r="T862" s="324"/>
      <c r="U862" s="324"/>
      <c r="V862" s="324"/>
      <c r="W862" s="324"/>
      <c r="X862" s="324"/>
      <c r="Y862" s="324"/>
      <c r="Z862" s="324"/>
    </row>
    <row r="863">
      <c r="A863" s="324"/>
      <c r="B863" s="324"/>
      <c r="C863" s="324"/>
      <c r="D863" s="324"/>
      <c r="E863" s="324"/>
      <c r="F863" s="324"/>
      <c r="G863" s="324"/>
      <c r="H863" s="324"/>
      <c r="I863" s="324"/>
      <c r="J863" s="324"/>
      <c r="K863" s="324"/>
      <c r="L863" s="324"/>
      <c r="M863" s="324"/>
      <c r="N863" s="324"/>
      <c r="O863" s="324"/>
      <c r="P863" s="324"/>
      <c r="Q863" s="324"/>
      <c r="R863" s="324"/>
      <c r="S863" s="324"/>
      <c r="T863" s="324"/>
      <c r="U863" s="324"/>
      <c r="V863" s="324"/>
      <c r="W863" s="324"/>
      <c r="X863" s="324"/>
      <c r="Y863" s="324"/>
      <c r="Z863" s="324"/>
    </row>
    <row r="864">
      <c r="A864" s="324"/>
      <c r="B864" s="324"/>
      <c r="C864" s="324"/>
      <c r="D864" s="324"/>
      <c r="E864" s="324"/>
      <c r="F864" s="324"/>
      <c r="G864" s="324"/>
      <c r="H864" s="324"/>
      <c r="I864" s="324"/>
      <c r="J864" s="324"/>
      <c r="K864" s="324"/>
      <c r="L864" s="324"/>
      <c r="M864" s="324"/>
      <c r="N864" s="324"/>
      <c r="O864" s="324"/>
      <c r="P864" s="324"/>
      <c r="Q864" s="324"/>
      <c r="R864" s="324"/>
      <c r="S864" s="324"/>
      <c r="T864" s="324"/>
      <c r="U864" s="324"/>
      <c r="V864" s="324"/>
      <c r="W864" s="324"/>
      <c r="X864" s="324"/>
      <c r="Y864" s="324"/>
      <c r="Z864" s="324"/>
    </row>
    <row r="865">
      <c r="A865" s="324"/>
      <c r="B865" s="324"/>
      <c r="C865" s="324"/>
      <c r="D865" s="324"/>
      <c r="E865" s="324"/>
      <c r="F865" s="324"/>
      <c r="G865" s="324"/>
      <c r="H865" s="324"/>
      <c r="I865" s="324"/>
      <c r="J865" s="324"/>
      <c r="K865" s="324"/>
      <c r="L865" s="324"/>
      <c r="M865" s="324"/>
      <c r="N865" s="324"/>
      <c r="O865" s="324"/>
      <c r="P865" s="324"/>
      <c r="Q865" s="324"/>
      <c r="R865" s="324"/>
      <c r="S865" s="324"/>
      <c r="T865" s="324"/>
      <c r="U865" s="324"/>
      <c r="V865" s="324"/>
      <c r="W865" s="324"/>
      <c r="X865" s="324"/>
      <c r="Y865" s="324"/>
      <c r="Z865" s="324"/>
    </row>
    <row r="866">
      <c r="A866" s="324"/>
      <c r="B866" s="324"/>
      <c r="C866" s="324"/>
      <c r="D866" s="324"/>
      <c r="E866" s="324"/>
      <c r="F866" s="324"/>
      <c r="G866" s="324"/>
      <c r="H866" s="324"/>
      <c r="I866" s="324"/>
      <c r="J866" s="324"/>
      <c r="K866" s="324"/>
      <c r="L866" s="324"/>
      <c r="M866" s="324"/>
      <c r="N866" s="324"/>
      <c r="O866" s="324"/>
      <c r="P866" s="324"/>
      <c r="Q866" s="324"/>
      <c r="R866" s="324"/>
      <c r="S866" s="324"/>
      <c r="T866" s="324"/>
      <c r="U866" s="324"/>
      <c r="V866" s="324"/>
      <c r="W866" s="324"/>
      <c r="X866" s="324"/>
      <c r="Y866" s="324"/>
      <c r="Z866" s="324"/>
    </row>
    <row r="867">
      <c r="A867" s="324"/>
      <c r="B867" s="324"/>
      <c r="C867" s="324"/>
      <c r="D867" s="324"/>
      <c r="E867" s="324"/>
      <c r="F867" s="324"/>
      <c r="G867" s="324"/>
      <c r="H867" s="324"/>
      <c r="I867" s="324"/>
      <c r="J867" s="324"/>
      <c r="K867" s="324"/>
      <c r="L867" s="324"/>
      <c r="M867" s="324"/>
      <c r="N867" s="324"/>
      <c r="O867" s="324"/>
      <c r="P867" s="324"/>
      <c r="Q867" s="324"/>
      <c r="R867" s="324"/>
      <c r="S867" s="324"/>
      <c r="T867" s="324"/>
      <c r="U867" s="324"/>
      <c r="V867" s="324"/>
      <c r="W867" s="324"/>
      <c r="X867" s="324"/>
      <c r="Y867" s="324"/>
      <c r="Z867" s="324"/>
    </row>
    <row r="868">
      <c r="A868" s="324"/>
      <c r="B868" s="324"/>
      <c r="C868" s="324"/>
      <c r="D868" s="324"/>
      <c r="E868" s="324"/>
      <c r="F868" s="324"/>
      <c r="G868" s="324"/>
      <c r="H868" s="324"/>
      <c r="I868" s="324"/>
      <c r="J868" s="324"/>
      <c r="K868" s="324"/>
      <c r="L868" s="324"/>
      <c r="M868" s="324"/>
      <c r="N868" s="324"/>
      <c r="O868" s="324"/>
      <c r="P868" s="324"/>
      <c r="Q868" s="324"/>
      <c r="R868" s="324"/>
      <c r="S868" s="324"/>
      <c r="T868" s="324"/>
      <c r="U868" s="324"/>
      <c r="V868" s="324"/>
      <c r="W868" s="324"/>
      <c r="X868" s="324"/>
      <c r="Y868" s="324"/>
      <c r="Z868" s="324"/>
    </row>
    <row r="869">
      <c r="A869" s="324"/>
      <c r="B869" s="324"/>
      <c r="C869" s="324"/>
      <c r="D869" s="324"/>
      <c r="E869" s="324"/>
      <c r="F869" s="324"/>
      <c r="G869" s="324"/>
      <c r="H869" s="324"/>
      <c r="I869" s="324"/>
      <c r="J869" s="324"/>
      <c r="K869" s="324"/>
      <c r="L869" s="324"/>
      <c r="M869" s="324"/>
      <c r="N869" s="324"/>
      <c r="O869" s="324"/>
      <c r="P869" s="324"/>
      <c r="Q869" s="324"/>
      <c r="R869" s="324"/>
      <c r="S869" s="324"/>
      <c r="T869" s="324"/>
      <c r="U869" s="324"/>
      <c r="V869" s="324"/>
      <c r="W869" s="324"/>
      <c r="X869" s="324"/>
      <c r="Y869" s="324"/>
      <c r="Z869" s="324"/>
    </row>
    <row r="870">
      <c r="A870" s="324"/>
      <c r="B870" s="324"/>
      <c r="C870" s="324"/>
      <c r="D870" s="324"/>
      <c r="E870" s="324"/>
      <c r="F870" s="324"/>
      <c r="G870" s="324"/>
      <c r="H870" s="324"/>
      <c r="I870" s="324"/>
      <c r="J870" s="324"/>
      <c r="K870" s="324"/>
      <c r="L870" s="324"/>
      <c r="M870" s="324"/>
      <c r="N870" s="324"/>
      <c r="O870" s="324"/>
      <c r="P870" s="324"/>
      <c r="Q870" s="324"/>
      <c r="R870" s="324"/>
      <c r="S870" s="324"/>
      <c r="T870" s="324"/>
      <c r="U870" s="324"/>
      <c r="V870" s="324"/>
      <c r="W870" s="324"/>
      <c r="X870" s="324"/>
      <c r="Y870" s="324"/>
      <c r="Z870" s="324"/>
    </row>
    <row r="871">
      <c r="A871" s="324"/>
      <c r="B871" s="324"/>
      <c r="C871" s="324"/>
      <c r="D871" s="324"/>
      <c r="E871" s="324"/>
      <c r="F871" s="324"/>
      <c r="G871" s="324"/>
      <c r="H871" s="324"/>
      <c r="I871" s="324"/>
      <c r="J871" s="324"/>
      <c r="K871" s="324"/>
      <c r="L871" s="324"/>
      <c r="M871" s="324"/>
      <c r="N871" s="324"/>
      <c r="O871" s="324"/>
      <c r="P871" s="324"/>
      <c r="Q871" s="324"/>
      <c r="R871" s="324"/>
      <c r="S871" s="324"/>
      <c r="T871" s="324"/>
      <c r="U871" s="324"/>
      <c r="V871" s="324"/>
      <c r="W871" s="324"/>
      <c r="X871" s="324"/>
      <c r="Y871" s="324"/>
      <c r="Z871" s="324"/>
    </row>
    <row r="872">
      <c r="A872" s="324"/>
      <c r="B872" s="324"/>
      <c r="C872" s="324"/>
      <c r="D872" s="324"/>
      <c r="E872" s="324"/>
      <c r="F872" s="324"/>
      <c r="G872" s="324"/>
      <c r="H872" s="324"/>
      <c r="I872" s="324"/>
      <c r="J872" s="324"/>
      <c r="K872" s="324"/>
      <c r="L872" s="324"/>
      <c r="M872" s="324"/>
      <c r="N872" s="324"/>
      <c r="O872" s="324"/>
      <c r="P872" s="324"/>
      <c r="Q872" s="324"/>
      <c r="R872" s="324"/>
      <c r="S872" s="324"/>
      <c r="T872" s="324"/>
      <c r="U872" s="324"/>
      <c r="V872" s="324"/>
      <c r="W872" s="324"/>
      <c r="X872" s="324"/>
      <c r="Y872" s="324"/>
      <c r="Z872" s="324"/>
    </row>
    <row r="873">
      <c r="A873" s="324"/>
      <c r="B873" s="324"/>
      <c r="C873" s="324"/>
      <c r="D873" s="324"/>
      <c r="E873" s="324"/>
      <c r="F873" s="324"/>
      <c r="G873" s="324"/>
      <c r="H873" s="324"/>
      <c r="I873" s="324"/>
      <c r="J873" s="324"/>
      <c r="K873" s="324"/>
      <c r="L873" s="324"/>
      <c r="M873" s="324"/>
      <c r="N873" s="324"/>
      <c r="O873" s="324"/>
      <c r="P873" s="324"/>
      <c r="Q873" s="324"/>
      <c r="R873" s="324"/>
      <c r="S873" s="324"/>
      <c r="T873" s="324"/>
      <c r="U873" s="324"/>
      <c r="V873" s="324"/>
      <c r="W873" s="324"/>
      <c r="X873" s="324"/>
      <c r="Y873" s="324"/>
      <c r="Z873" s="324"/>
    </row>
    <row r="874">
      <c r="A874" s="324"/>
      <c r="B874" s="324"/>
      <c r="C874" s="324"/>
      <c r="D874" s="324"/>
      <c r="E874" s="324"/>
      <c r="F874" s="324"/>
      <c r="G874" s="324"/>
      <c r="H874" s="324"/>
      <c r="I874" s="324"/>
      <c r="J874" s="324"/>
      <c r="K874" s="324"/>
      <c r="L874" s="324"/>
      <c r="M874" s="324"/>
      <c r="N874" s="324"/>
      <c r="O874" s="324"/>
      <c r="P874" s="324"/>
      <c r="Q874" s="324"/>
      <c r="R874" s="324"/>
      <c r="S874" s="324"/>
      <c r="T874" s="324"/>
      <c r="U874" s="324"/>
      <c r="V874" s="324"/>
      <c r="W874" s="324"/>
      <c r="X874" s="324"/>
      <c r="Y874" s="324"/>
      <c r="Z874" s="324"/>
    </row>
    <row r="875">
      <c r="A875" s="324"/>
      <c r="B875" s="324"/>
      <c r="C875" s="324"/>
      <c r="D875" s="324"/>
      <c r="E875" s="324"/>
      <c r="F875" s="324"/>
      <c r="G875" s="324"/>
      <c r="H875" s="324"/>
      <c r="I875" s="324"/>
      <c r="J875" s="324"/>
      <c r="K875" s="324"/>
      <c r="L875" s="324"/>
      <c r="M875" s="324"/>
      <c r="N875" s="324"/>
      <c r="O875" s="324"/>
      <c r="P875" s="324"/>
      <c r="Q875" s="324"/>
      <c r="R875" s="324"/>
      <c r="S875" s="324"/>
      <c r="T875" s="324"/>
      <c r="U875" s="324"/>
      <c r="V875" s="324"/>
      <c r="W875" s="324"/>
      <c r="X875" s="324"/>
      <c r="Y875" s="324"/>
      <c r="Z875" s="324"/>
    </row>
    <row r="876">
      <c r="A876" s="324"/>
      <c r="B876" s="324"/>
      <c r="C876" s="324"/>
      <c r="D876" s="324"/>
      <c r="E876" s="324"/>
      <c r="F876" s="324"/>
      <c r="G876" s="324"/>
      <c r="H876" s="324"/>
      <c r="I876" s="324"/>
      <c r="J876" s="324"/>
      <c r="K876" s="324"/>
      <c r="L876" s="324"/>
      <c r="M876" s="324"/>
      <c r="N876" s="324"/>
      <c r="O876" s="324"/>
      <c r="P876" s="324"/>
      <c r="Q876" s="324"/>
      <c r="R876" s="324"/>
      <c r="S876" s="324"/>
      <c r="T876" s="324"/>
      <c r="U876" s="324"/>
      <c r="V876" s="324"/>
      <c r="W876" s="324"/>
      <c r="X876" s="324"/>
      <c r="Y876" s="324"/>
      <c r="Z876" s="324"/>
    </row>
    <row r="877">
      <c r="A877" s="324"/>
      <c r="B877" s="324"/>
      <c r="C877" s="324"/>
      <c r="D877" s="324"/>
      <c r="E877" s="324"/>
      <c r="F877" s="324"/>
      <c r="G877" s="324"/>
      <c r="H877" s="324"/>
      <c r="I877" s="324"/>
      <c r="J877" s="324"/>
      <c r="K877" s="324"/>
      <c r="L877" s="324"/>
      <c r="M877" s="324"/>
      <c r="N877" s="324"/>
      <c r="O877" s="324"/>
      <c r="P877" s="324"/>
      <c r="Q877" s="324"/>
      <c r="R877" s="324"/>
      <c r="S877" s="324"/>
      <c r="T877" s="324"/>
      <c r="U877" s="324"/>
      <c r="V877" s="324"/>
      <c r="W877" s="324"/>
      <c r="X877" s="324"/>
      <c r="Y877" s="324"/>
      <c r="Z877" s="324"/>
    </row>
    <row r="878">
      <c r="A878" s="324"/>
      <c r="B878" s="324"/>
      <c r="C878" s="324"/>
      <c r="D878" s="324"/>
      <c r="E878" s="324"/>
      <c r="F878" s="324"/>
      <c r="G878" s="324"/>
      <c r="H878" s="324"/>
      <c r="I878" s="324"/>
      <c r="J878" s="324"/>
      <c r="K878" s="324"/>
      <c r="L878" s="324"/>
      <c r="M878" s="324"/>
      <c r="N878" s="324"/>
      <c r="O878" s="324"/>
      <c r="P878" s="324"/>
      <c r="Q878" s="324"/>
      <c r="R878" s="324"/>
      <c r="S878" s="324"/>
      <c r="T878" s="324"/>
      <c r="U878" s="324"/>
      <c r="V878" s="324"/>
      <c r="W878" s="324"/>
      <c r="X878" s="324"/>
      <c r="Y878" s="324"/>
      <c r="Z878" s="324"/>
    </row>
    <row r="879">
      <c r="A879" s="324"/>
      <c r="B879" s="324"/>
      <c r="C879" s="324"/>
      <c r="D879" s="324"/>
      <c r="E879" s="324"/>
      <c r="F879" s="324"/>
      <c r="G879" s="324"/>
      <c r="H879" s="324"/>
      <c r="I879" s="324"/>
      <c r="J879" s="324"/>
      <c r="K879" s="324"/>
      <c r="L879" s="324"/>
      <c r="M879" s="324"/>
      <c r="N879" s="324"/>
      <c r="O879" s="324"/>
      <c r="P879" s="324"/>
      <c r="Q879" s="324"/>
      <c r="R879" s="324"/>
      <c r="S879" s="324"/>
      <c r="T879" s="324"/>
      <c r="U879" s="324"/>
      <c r="V879" s="324"/>
      <c r="W879" s="324"/>
      <c r="X879" s="324"/>
      <c r="Y879" s="324"/>
      <c r="Z879" s="324"/>
    </row>
    <row r="880">
      <c r="A880" s="324"/>
      <c r="B880" s="324"/>
      <c r="C880" s="324"/>
      <c r="D880" s="324"/>
      <c r="E880" s="324"/>
      <c r="F880" s="324"/>
      <c r="G880" s="324"/>
      <c r="H880" s="324"/>
      <c r="I880" s="324"/>
      <c r="J880" s="324"/>
      <c r="K880" s="324"/>
      <c r="L880" s="324"/>
      <c r="M880" s="324"/>
      <c r="N880" s="324"/>
      <c r="O880" s="324"/>
      <c r="P880" s="324"/>
      <c r="Q880" s="324"/>
      <c r="R880" s="324"/>
      <c r="S880" s="324"/>
      <c r="T880" s="324"/>
      <c r="U880" s="324"/>
      <c r="V880" s="324"/>
      <c r="W880" s="324"/>
      <c r="X880" s="324"/>
      <c r="Y880" s="324"/>
      <c r="Z880" s="324"/>
    </row>
    <row r="881">
      <c r="A881" s="324"/>
      <c r="B881" s="324"/>
      <c r="C881" s="324"/>
      <c r="D881" s="324"/>
      <c r="E881" s="324"/>
      <c r="F881" s="324"/>
      <c r="G881" s="324"/>
      <c r="H881" s="324"/>
      <c r="I881" s="324"/>
      <c r="J881" s="324"/>
      <c r="K881" s="324"/>
      <c r="L881" s="324"/>
      <c r="M881" s="324"/>
      <c r="N881" s="324"/>
      <c r="O881" s="324"/>
      <c r="P881" s="324"/>
      <c r="Q881" s="324"/>
      <c r="R881" s="324"/>
      <c r="S881" s="324"/>
      <c r="T881" s="324"/>
      <c r="U881" s="324"/>
      <c r="V881" s="324"/>
      <c r="W881" s="324"/>
      <c r="X881" s="324"/>
      <c r="Y881" s="324"/>
      <c r="Z881" s="324"/>
    </row>
    <row r="882">
      <c r="A882" s="324"/>
      <c r="B882" s="324"/>
      <c r="C882" s="324"/>
      <c r="D882" s="324"/>
      <c r="E882" s="324"/>
      <c r="F882" s="324"/>
      <c r="G882" s="324"/>
      <c r="H882" s="324"/>
      <c r="I882" s="324"/>
      <c r="J882" s="324"/>
      <c r="K882" s="324"/>
      <c r="L882" s="324"/>
      <c r="M882" s="324"/>
      <c r="N882" s="324"/>
      <c r="O882" s="324"/>
      <c r="P882" s="324"/>
      <c r="Q882" s="324"/>
      <c r="R882" s="324"/>
      <c r="S882" s="324"/>
      <c r="T882" s="324"/>
      <c r="U882" s="324"/>
      <c r="V882" s="324"/>
      <c r="W882" s="324"/>
      <c r="X882" s="324"/>
      <c r="Y882" s="324"/>
      <c r="Z882" s="324"/>
    </row>
    <row r="883">
      <c r="A883" s="324"/>
      <c r="B883" s="324"/>
      <c r="C883" s="324"/>
      <c r="D883" s="324"/>
      <c r="E883" s="324"/>
      <c r="F883" s="324"/>
      <c r="G883" s="324"/>
      <c r="H883" s="324"/>
      <c r="I883" s="324"/>
      <c r="J883" s="324"/>
      <c r="K883" s="324"/>
      <c r="L883" s="324"/>
      <c r="M883" s="324"/>
      <c r="N883" s="324"/>
      <c r="O883" s="324"/>
      <c r="P883" s="324"/>
      <c r="Q883" s="324"/>
      <c r="R883" s="324"/>
      <c r="S883" s="324"/>
      <c r="T883" s="324"/>
      <c r="U883" s="324"/>
      <c r="V883" s="324"/>
      <c r="W883" s="324"/>
      <c r="X883" s="324"/>
      <c r="Y883" s="324"/>
      <c r="Z883" s="324"/>
    </row>
    <row r="884">
      <c r="A884" s="324"/>
      <c r="B884" s="324"/>
      <c r="C884" s="324"/>
      <c r="D884" s="324"/>
      <c r="E884" s="324"/>
      <c r="F884" s="324"/>
      <c r="G884" s="324"/>
      <c r="H884" s="324"/>
      <c r="I884" s="324"/>
      <c r="J884" s="324"/>
      <c r="K884" s="324"/>
      <c r="L884" s="324"/>
      <c r="M884" s="324"/>
      <c r="N884" s="324"/>
      <c r="O884" s="324"/>
      <c r="P884" s="324"/>
      <c r="Q884" s="324"/>
      <c r="R884" s="324"/>
      <c r="S884" s="324"/>
      <c r="T884" s="324"/>
      <c r="U884" s="324"/>
      <c r="V884" s="324"/>
      <c r="W884" s="324"/>
      <c r="X884" s="324"/>
      <c r="Y884" s="324"/>
      <c r="Z884" s="324"/>
    </row>
    <row r="885">
      <c r="A885" s="324"/>
      <c r="B885" s="324"/>
      <c r="C885" s="324"/>
      <c r="D885" s="324"/>
      <c r="E885" s="324"/>
      <c r="F885" s="324"/>
      <c r="G885" s="324"/>
      <c r="H885" s="324"/>
      <c r="I885" s="324"/>
      <c r="J885" s="324"/>
      <c r="K885" s="324"/>
      <c r="L885" s="324"/>
      <c r="M885" s="324"/>
      <c r="N885" s="324"/>
      <c r="O885" s="324"/>
      <c r="P885" s="324"/>
      <c r="Q885" s="324"/>
      <c r="R885" s="324"/>
      <c r="S885" s="324"/>
      <c r="T885" s="324"/>
      <c r="U885" s="324"/>
      <c r="V885" s="324"/>
      <c r="W885" s="324"/>
      <c r="X885" s="324"/>
      <c r="Y885" s="324"/>
      <c r="Z885" s="324"/>
    </row>
    <row r="886">
      <c r="A886" s="324"/>
      <c r="B886" s="324"/>
      <c r="C886" s="324"/>
      <c r="D886" s="324"/>
      <c r="E886" s="324"/>
      <c r="F886" s="324"/>
      <c r="G886" s="324"/>
      <c r="H886" s="324"/>
      <c r="I886" s="324"/>
      <c r="J886" s="324"/>
      <c r="K886" s="324"/>
      <c r="L886" s="324"/>
      <c r="M886" s="324"/>
      <c r="N886" s="324"/>
      <c r="O886" s="324"/>
      <c r="P886" s="324"/>
      <c r="Q886" s="324"/>
      <c r="R886" s="324"/>
      <c r="S886" s="324"/>
      <c r="T886" s="324"/>
      <c r="U886" s="324"/>
      <c r="V886" s="324"/>
      <c r="W886" s="324"/>
      <c r="X886" s="324"/>
      <c r="Y886" s="324"/>
      <c r="Z886" s="324"/>
    </row>
    <row r="887">
      <c r="A887" s="324"/>
      <c r="B887" s="324"/>
      <c r="C887" s="324"/>
      <c r="D887" s="324"/>
      <c r="E887" s="324"/>
      <c r="F887" s="324"/>
      <c r="G887" s="324"/>
      <c r="H887" s="324"/>
      <c r="I887" s="324"/>
      <c r="J887" s="324"/>
      <c r="K887" s="324"/>
      <c r="L887" s="324"/>
      <c r="M887" s="324"/>
      <c r="N887" s="324"/>
      <c r="O887" s="324"/>
      <c r="P887" s="324"/>
      <c r="Q887" s="324"/>
      <c r="R887" s="324"/>
      <c r="S887" s="324"/>
      <c r="T887" s="324"/>
      <c r="U887" s="324"/>
      <c r="V887" s="324"/>
      <c r="W887" s="324"/>
      <c r="X887" s="324"/>
      <c r="Y887" s="324"/>
      <c r="Z887" s="324"/>
    </row>
    <row r="888">
      <c r="A888" s="324"/>
      <c r="B888" s="324"/>
      <c r="C888" s="324"/>
      <c r="D888" s="324"/>
      <c r="E888" s="324"/>
      <c r="F888" s="324"/>
      <c r="G888" s="324"/>
      <c r="H888" s="324"/>
      <c r="I888" s="324"/>
      <c r="J888" s="324"/>
      <c r="K888" s="324"/>
      <c r="L888" s="324"/>
      <c r="M888" s="324"/>
      <c r="N888" s="324"/>
      <c r="O888" s="324"/>
      <c r="P888" s="324"/>
      <c r="Q888" s="324"/>
      <c r="R888" s="324"/>
      <c r="S888" s="324"/>
      <c r="T888" s="324"/>
      <c r="U888" s="324"/>
      <c r="V888" s="324"/>
      <c r="W888" s="324"/>
      <c r="X888" s="324"/>
      <c r="Y888" s="324"/>
      <c r="Z888" s="324"/>
    </row>
    <row r="889">
      <c r="A889" s="324"/>
      <c r="B889" s="324"/>
      <c r="C889" s="324"/>
      <c r="D889" s="324"/>
      <c r="E889" s="324"/>
      <c r="F889" s="324"/>
      <c r="G889" s="324"/>
      <c r="H889" s="324"/>
      <c r="I889" s="324"/>
      <c r="J889" s="324"/>
      <c r="K889" s="324"/>
      <c r="L889" s="324"/>
      <c r="M889" s="324"/>
      <c r="N889" s="324"/>
      <c r="O889" s="324"/>
      <c r="P889" s="324"/>
      <c r="Q889" s="324"/>
      <c r="R889" s="324"/>
      <c r="S889" s="324"/>
      <c r="T889" s="324"/>
      <c r="U889" s="324"/>
      <c r="V889" s="324"/>
      <c r="W889" s="324"/>
      <c r="X889" s="324"/>
      <c r="Y889" s="324"/>
      <c r="Z889" s="324"/>
    </row>
    <row r="890">
      <c r="A890" s="324"/>
      <c r="B890" s="324"/>
      <c r="C890" s="324"/>
      <c r="D890" s="324"/>
      <c r="E890" s="324"/>
      <c r="F890" s="324"/>
      <c r="G890" s="324"/>
      <c r="H890" s="324"/>
      <c r="I890" s="324"/>
      <c r="J890" s="324"/>
      <c r="K890" s="324"/>
      <c r="L890" s="324"/>
      <c r="M890" s="324"/>
      <c r="N890" s="324"/>
      <c r="O890" s="324"/>
      <c r="P890" s="324"/>
      <c r="Q890" s="324"/>
      <c r="R890" s="324"/>
      <c r="S890" s="324"/>
      <c r="T890" s="324"/>
      <c r="U890" s="324"/>
      <c r="V890" s="324"/>
      <c r="W890" s="324"/>
      <c r="X890" s="324"/>
      <c r="Y890" s="324"/>
      <c r="Z890" s="324"/>
    </row>
    <row r="891">
      <c r="A891" s="324"/>
      <c r="B891" s="324"/>
      <c r="C891" s="324"/>
      <c r="D891" s="324"/>
      <c r="E891" s="324"/>
      <c r="F891" s="324"/>
      <c r="G891" s="324"/>
      <c r="H891" s="324"/>
      <c r="I891" s="324"/>
      <c r="J891" s="324"/>
      <c r="K891" s="324"/>
      <c r="L891" s="324"/>
      <c r="M891" s="324"/>
      <c r="N891" s="324"/>
      <c r="O891" s="324"/>
      <c r="P891" s="324"/>
      <c r="Q891" s="324"/>
      <c r="R891" s="324"/>
      <c r="S891" s="324"/>
      <c r="T891" s="324"/>
      <c r="U891" s="324"/>
      <c r="V891" s="324"/>
      <c r="W891" s="324"/>
      <c r="X891" s="324"/>
      <c r="Y891" s="324"/>
      <c r="Z891" s="324"/>
    </row>
    <row r="892">
      <c r="A892" s="324"/>
      <c r="B892" s="324"/>
      <c r="C892" s="324"/>
      <c r="D892" s="324"/>
      <c r="E892" s="324"/>
      <c r="F892" s="324"/>
      <c r="G892" s="324"/>
      <c r="H892" s="324"/>
      <c r="I892" s="324"/>
      <c r="J892" s="324"/>
      <c r="K892" s="324"/>
      <c r="L892" s="324"/>
      <c r="M892" s="324"/>
      <c r="N892" s="324"/>
      <c r="O892" s="324"/>
      <c r="P892" s="324"/>
      <c r="Q892" s="324"/>
      <c r="R892" s="324"/>
      <c r="S892" s="324"/>
      <c r="T892" s="324"/>
      <c r="U892" s="324"/>
      <c r="V892" s="324"/>
      <c r="W892" s="324"/>
      <c r="X892" s="324"/>
      <c r="Y892" s="324"/>
      <c r="Z892" s="324"/>
    </row>
    <row r="893">
      <c r="A893" s="324"/>
      <c r="B893" s="324"/>
      <c r="C893" s="324"/>
      <c r="D893" s="324"/>
      <c r="E893" s="324"/>
      <c r="F893" s="324"/>
      <c r="G893" s="324"/>
      <c r="H893" s="324"/>
      <c r="I893" s="324"/>
      <c r="J893" s="324"/>
      <c r="K893" s="324"/>
      <c r="L893" s="324"/>
      <c r="M893" s="324"/>
      <c r="N893" s="324"/>
      <c r="O893" s="324"/>
      <c r="P893" s="324"/>
      <c r="Q893" s="324"/>
      <c r="R893" s="324"/>
      <c r="S893" s="324"/>
      <c r="T893" s="324"/>
      <c r="U893" s="324"/>
      <c r="V893" s="324"/>
      <c r="W893" s="324"/>
      <c r="X893" s="324"/>
      <c r="Y893" s="324"/>
      <c r="Z893" s="324"/>
    </row>
    <row r="894">
      <c r="A894" s="324"/>
      <c r="B894" s="324"/>
      <c r="C894" s="324"/>
      <c r="D894" s="324"/>
      <c r="E894" s="324"/>
      <c r="F894" s="324"/>
      <c r="G894" s="324"/>
      <c r="H894" s="324"/>
      <c r="I894" s="324"/>
      <c r="J894" s="324"/>
      <c r="K894" s="324"/>
      <c r="L894" s="324"/>
      <c r="M894" s="324"/>
      <c r="N894" s="324"/>
      <c r="O894" s="324"/>
      <c r="P894" s="324"/>
      <c r="Q894" s="324"/>
      <c r="R894" s="324"/>
      <c r="S894" s="324"/>
      <c r="T894" s="324"/>
      <c r="U894" s="324"/>
      <c r="V894" s="324"/>
      <c r="W894" s="324"/>
      <c r="X894" s="324"/>
      <c r="Y894" s="324"/>
      <c r="Z894" s="324"/>
    </row>
    <row r="895">
      <c r="A895" s="324"/>
      <c r="B895" s="324"/>
      <c r="C895" s="324"/>
      <c r="D895" s="324"/>
      <c r="E895" s="324"/>
      <c r="F895" s="324"/>
      <c r="G895" s="324"/>
      <c r="H895" s="324"/>
      <c r="I895" s="324"/>
      <c r="J895" s="324"/>
      <c r="K895" s="324"/>
      <c r="L895" s="324"/>
      <c r="M895" s="324"/>
      <c r="N895" s="324"/>
      <c r="O895" s="324"/>
      <c r="P895" s="324"/>
      <c r="Q895" s="324"/>
      <c r="R895" s="324"/>
      <c r="S895" s="324"/>
      <c r="T895" s="324"/>
      <c r="U895" s="324"/>
      <c r="V895" s="324"/>
      <c r="W895" s="324"/>
      <c r="X895" s="324"/>
      <c r="Y895" s="324"/>
      <c r="Z895" s="324"/>
    </row>
    <row r="896">
      <c r="A896" s="324"/>
      <c r="B896" s="324"/>
      <c r="C896" s="324"/>
      <c r="D896" s="324"/>
      <c r="E896" s="324"/>
      <c r="F896" s="324"/>
      <c r="G896" s="324"/>
      <c r="H896" s="324"/>
      <c r="I896" s="324"/>
      <c r="J896" s="324"/>
      <c r="K896" s="324"/>
      <c r="L896" s="324"/>
      <c r="M896" s="324"/>
      <c r="N896" s="324"/>
      <c r="O896" s="324"/>
      <c r="P896" s="324"/>
      <c r="Q896" s="324"/>
      <c r="R896" s="324"/>
      <c r="S896" s="324"/>
      <c r="T896" s="324"/>
      <c r="U896" s="324"/>
      <c r="V896" s="324"/>
      <c r="W896" s="324"/>
      <c r="X896" s="324"/>
      <c r="Y896" s="324"/>
      <c r="Z896" s="324"/>
    </row>
    <row r="897">
      <c r="A897" s="324"/>
      <c r="B897" s="324"/>
      <c r="C897" s="324"/>
      <c r="D897" s="324"/>
      <c r="E897" s="324"/>
      <c r="F897" s="324"/>
      <c r="G897" s="324"/>
      <c r="H897" s="324"/>
      <c r="I897" s="324"/>
      <c r="J897" s="324"/>
      <c r="K897" s="324"/>
      <c r="L897" s="324"/>
      <c r="M897" s="324"/>
      <c r="N897" s="324"/>
      <c r="O897" s="324"/>
      <c r="P897" s="324"/>
      <c r="Q897" s="324"/>
      <c r="R897" s="324"/>
      <c r="S897" s="324"/>
      <c r="T897" s="324"/>
      <c r="U897" s="324"/>
      <c r="V897" s="324"/>
      <c r="W897" s="324"/>
      <c r="X897" s="324"/>
      <c r="Y897" s="324"/>
      <c r="Z897" s="324"/>
    </row>
    <row r="898">
      <c r="A898" s="324"/>
      <c r="B898" s="324"/>
      <c r="C898" s="324"/>
      <c r="D898" s="324"/>
      <c r="E898" s="324"/>
      <c r="F898" s="324"/>
      <c r="G898" s="324"/>
      <c r="H898" s="324"/>
      <c r="I898" s="324"/>
      <c r="J898" s="324"/>
      <c r="K898" s="324"/>
      <c r="L898" s="324"/>
      <c r="M898" s="324"/>
      <c r="N898" s="324"/>
      <c r="O898" s="324"/>
      <c r="P898" s="324"/>
      <c r="Q898" s="324"/>
      <c r="R898" s="324"/>
      <c r="S898" s="324"/>
      <c r="T898" s="324"/>
      <c r="U898" s="324"/>
      <c r="V898" s="324"/>
      <c r="W898" s="324"/>
      <c r="X898" s="324"/>
      <c r="Y898" s="324"/>
      <c r="Z898" s="324"/>
    </row>
    <row r="899">
      <c r="A899" s="324"/>
      <c r="B899" s="324"/>
      <c r="C899" s="324"/>
      <c r="D899" s="324"/>
      <c r="E899" s="324"/>
      <c r="F899" s="324"/>
      <c r="G899" s="324"/>
      <c r="H899" s="324"/>
      <c r="I899" s="324"/>
      <c r="J899" s="324"/>
      <c r="K899" s="324"/>
      <c r="L899" s="324"/>
      <c r="M899" s="324"/>
      <c r="N899" s="324"/>
      <c r="O899" s="324"/>
      <c r="P899" s="324"/>
      <c r="Q899" s="324"/>
      <c r="R899" s="324"/>
      <c r="S899" s="324"/>
      <c r="T899" s="324"/>
      <c r="U899" s="324"/>
      <c r="V899" s="324"/>
      <c r="W899" s="324"/>
      <c r="X899" s="324"/>
      <c r="Y899" s="324"/>
      <c r="Z899" s="324"/>
    </row>
    <row r="900">
      <c r="A900" s="324"/>
      <c r="B900" s="324"/>
      <c r="C900" s="324"/>
      <c r="D900" s="324"/>
      <c r="E900" s="324"/>
      <c r="F900" s="324"/>
      <c r="G900" s="324"/>
      <c r="H900" s="324"/>
      <c r="I900" s="324"/>
      <c r="J900" s="324"/>
      <c r="K900" s="324"/>
      <c r="L900" s="324"/>
      <c r="M900" s="324"/>
      <c r="N900" s="324"/>
      <c r="O900" s="324"/>
      <c r="P900" s="324"/>
      <c r="Q900" s="324"/>
      <c r="R900" s="324"/>
      <c r="S900" s="324"/>
      <c r="T900" s="324"/>
      <c r="U900" s="324"/>
      <c r="V900" s="324"/>
      <c r="W900" s="324"/>
      <c r="X900" s="324"/>
      <c r="Y900" s="324"/>
      <c r="Z900" s="324"/>
    </row>
    <row r="901">
      <c r="A901" s="324"/>
      <c r="B901" s="324"/>
      <c r="C901" s="324"/>
      <c r="D901" s="324"/>
      <c r="E901" s="324"/>
      <c r="F901" s="324"/>
      <c r="G901" s="324"/>
      <c r="H901" s="324"/>
      <c r="I901" s="324"/>
      <c r="J901" s="324"/>
      <c r="K901" s="324"/>
      <c r="L901" s="324"/>
      <c r="M901" s="324"/>
      <c r="N901" s="324"/>
      <c r="O901" s="324"/>
      <c r="P901" s="324"/>
      <c r="Q901" s="324"/>
      <c r="R901" s="324"/>
      <c r="S901" s="324"/>
      <c r="T901" s="324"/>
      <c r="U901" s="324"/>
      <c r="V901" s="324"/>
      <c r="W901" s="324"/>
      <c r="X901" s="324"/>
      <c r="Y901" s="324"/>
      <c r="Z901" s="324"/>
    </row>
    <row r="902">
      <c r="A902" s="324"/>
      <c r="B902" s="324"/>
      <c r="C902" s="324"/>
      <c r="D902" s="324"/>
      <c r="E902" s="324"/>
      <c r="F902" s="324"/>
      <c r="G902" s="324"/>
      <c r="H902" s="324"/>
      <c r="I902" s="324"/>
      <c r="J902" s="324"/>
      <c r="K902" s="324"/>
      <c r="L902" s="324"/>
      <c r="M902" s="324"/>
      <c r="N902" s="324"/>
      <c r="O902" s="324"/>
      <c r="P902" s="324"/>
      <c r="Q902" s="324"/>
      <c r="R902" s="324"/>
      <c r="S902" s="324"/>
      <c r="T902" s="324"/>
      <c r="U902" s="324"/>
      <c r="V902" s="324"/>
      <c r="W902" s="324"/>
      <c r="X902" s="324"/>
      <c r="Y902" s="324"/>
      <c r="Z902" s="324"/>
    </row>
    <row r="903">
      <c r="A903" s="324"/>
      <c r="B903" s="324"/>
      <c r="C903" s="324"/>
      <c r="D903" s="324"/>
      <c r="E903" s="324"/>
      <c r="F903" s="324"/>
      <c r="G903" s="324"/>
      <c r="H903" s="324"/>
      <c r="I903" s="324"/>
      <c r="J903" s="324"/>
      <c r="K903" s="324"/>
      <c r="L903" s="324"/>
      <c r="M903" s="324"/>
      <c r="N903" s="324"/>
      <c r="O903" s="324"/>
      <c r="P903" s="324"/>
      <c r="Q903" s="324"/>
      <c r="R903" s="324"/>
      <c r="S903" s="324"/>
      <c r="T903" s="324"/>
      <c r="U903" s="324"/>
      <c r="V903" s="324"/>
      <c r="W903" s="324"/>
      <c r="X903" s="324"/>
      <c r="Y903" s="324"/>
      <c r="Z903" s="324"/>
    </row>
    <row r="904">
      <c r="A904" s="324"/>
      <c r="B904" s="324"/>
      <c r="C904" s="324"/>
      <c r="D904" s="324"/>
      <c r="E904" s="324"/>
      <c r="F904" s="324"/>
      <c r="G904" s="324"/>
      <c r="H904" s="324"/>
      <c r="I904" s="324"/>
      <c r="J904" s="324"/>
      <c r="K904" s="324"/>
      <c r="L904" s="324"/>
      <c r="M904" s="324"/>
      <c r="N904" s="324"/>
      <c r="O904" s="324"/>
      <c r="P904" s="324"/>
      <c r="Q904" s="324"/>
      <c r="R904" s="324"/>
      <c r="S904" s="324"/>
      <c r="T904" s="324"/>
      <c r="U904" s="324"/>
      <c r="V904" s="324"/>
      <c r="W904" s="324"/>
      <c r="X904" s="324"/>
      <c r="Y904" s="324"/>
      <c r="Z904" s="324"/>
    </row>
    <row r="905">
      <c r="A905" s="324"/>
      <c r="B905" s="324"/>
      <c r="C905" s="324"/>
      <c r="D905" s="324"/>
      <c r="E905" s="324"/>
      <c r="F905" s="324"/>
      <c r="G905" s="324"/>
      <c r="H905" s="324"/>
      <c r="I905" s="324"/>
      <c r="J905" s="324"/>
      <c r="K905" s="324"/>
      <c r="L905" s="324"/>
      <c r="M905" s="324"/>
      <c r="N905" s="324"/>
      <c r="O905" s="324"/>
      <c r="P905" s="324"/>
      <c r="Q905" s="324"/>
      <c r="R905" s="324"/>
      <c r="S905" s="324"/>
      <c r="T905" s="324"/>
      <c r="U905" s="324"/>
      <c r="V905" s="324"/>
      <c r="W905" s="324"/>
      <c r="X905" s="324"/>
      <c r="Y905" s="324"/>
      <c r="Z905" s="324"/>
    </row>
    <row r="906">
      <c r="A906" s="324"/>
      <c r="B906" s="324"/>
      <c r="C906" s="324"/>
      <c r="D906" s="324"/>
      <c r="E906" s="324"/>
      <c r="F906" s="324"/>
      <c r="G906" s="324"/>
      <c r="H906" s="324"/>
      <c r="I906" s="324"/>
      <c r="J906" s="324"/>
      <c r="K906" s="324"/>
      <c r="L906" s="324"/>
      <c r="M906" s="324"/>
      <c r="N906" s="324"/>
      <c r="O906" s="324"/>
      <c r="P906" s="324"/>
      <c r="Q906" s="324"/>
      <c r="R906" s="324"/>
      <c r="S906" s="324"/>
      <c r="T906" s="324"/>
      <c r="U906" s="324"/>
      <c r="V906" s="324"/>
      <c r="W906" s="324"/>
      <c r="X906" s="324"/>
      <c r="Y906" s="324"/>
      <c r="Z906" s="324"/>
    </row>
    <row r="907">
      <c r="A907" s="324"/>
      <c r="B907" s="324"/>
      <c r="C907" s="324"/>
      <c r="D907" s="324"/>
      <c r="E907" s="324"/>
      <c r="F907" s="324"/>
      <c r="G907" s="324"/>
      <c r="H907" s="324"/>
      <c r="I907" s="324"/>
      <c r="J907" s="324"/>
      <c r="K907" s="324"/>
      <c r="L907" s="324"/>
      <c r="M907" s="324"/>
      <c r="N907" s="324"/>
      <c r="O907" s="324"/>
      <c r="P907" s="324"/>
      <c r="Q907" s="324"/>
      <c r="R907" s="324"/>
      <c r="S907" s="324"/>
      <c r="T907" s="324"/>
      <c r="U907" s="324"/>
      <c r="V907" s="324"/>
      <c r="W907" s="324"/>
      <c r="X907" s="324"/>
      <c r="Y907" s="324"/>
      <c r="Z907" s="324"/>
    </row>
    <row r="908">
      <c r="A908" s="324"/>
      <c r="B908" s="324"/>
      <c r="C908" s="324"/>
      <c r="D908" s="324"/>
      <c r="E908" s="324"/>
      <c r="F908" s="324"/>
      <c r="G908" s="324"/>
      <c r="H908" s="324"/>
      <c r="I908" s="324"/>
      <c r="J908" s="324"/>
      <c r="K908" s="324"/>
      <c r="L908" s="324"/>
      <c r="M908" s="324"/>
      <c r="N908" s="324"/>
      <c r="O908" s="324"/>
      <c r="P908" s="324"/>
      <c r="Q908" s="324"/>
      <c r="R908" s="324"/>
      <c r="S908" s="324"/>
      <c r="T908" s="324"/>
      <c r="U908" s="324"/>
      <c r="V908" s="324"/>
      <c r="W908" s="324"/>
      <c r="X908" s="324"/>
      <c r="Y908" s="324"/>
      <c r="Z908" s="324"/>
    </row>
    <row r="909">
      <c r="A909" s="324"/>
      <c r="B909" s="324"/>
      <c r="C909" s="324"/>
      <c r="D909" s="324"/>
      <c r="E909" s="324"/>
      <c r="F909" s="324"/>
      <c r="G909" s="324"/>
      <c r="H909" s="324"/>
      <c r="I909" s="324"/>
      <c r="J909" s="324"/>
      <c r="K909" s="324"/>
      <c r="L909" s="324"/>
      <c r="M909" s="324"/>
      <c r="N909" s="324"/>
      <c r="O909" s="324"/>
      <c r="P909" s="324"/>
      <c r="Q909" s="324"/>
      <c r="R909" s="324"/>
      <c r="S909" s="324"/>
      <c r="T909" s="324"/>
      <c r="U909" s="324"/>
      <c r="V909" s="324"/>
      <c r="W909" s="324"/>
      <c r="X909" s="324"/>
      <c r="Y909" s="324"/>
      <c r="Z909" s="324"/>
    </row>
    <row r="910">
      <c r="A910" s="324"/>
      <c r="B910" s="324"/>
      <c r="C910" s="324"/>
      <c r="D910" s="324"/>
      <c r="E910" s="324"/>
      <c r="F910" s="324"/>
      <c r="G910" s="324"/>
      <c r="H910" s="324"/>
      <c r="I910" s="324"/>
      <c r="J910" s="324"/>
      <c r="K910" s="324"/>
      <c r="L910" s="324"/>
      <c r="M910" s="324"/>
      <c r="N910" s="324"/>
      <c r="O910" s="324"/>
      <c r="P910" s="324"/>
      <c r="Q910" s="324"/>
      <c r="R910" s="324"/>
      <c r="S910" s="324"/>
      <c r="T910" s="324"/>
      <c r="U910" s="324"/>
      <c r="V910" s="324"/>
      <c r="W910" s="324"/>
      <c r="X910" s="324"/>
      <c r="Y910" s="324"/>
      <c r="Z910" s="324"/>
    </row>
    <row r="911">
      <c r="A911" s="324"/>
      <c r="B911" s="324"/>
      <c r="C911" s="324"/>
      <c r="D911" s="324"/>
      <c r="E911" s="324"/>
      <c r="F911" s="324"/>
      <c r="G911" s="324"/>
      <c r="H911" s="324"/>
      <c r="I911" s="324"/>
      <c r="J911" s="324"/>
      <c r="K911" s="324"/>
      <c r="L911" s="324"/>
      <c r="M911" s="324"/>
      <c r="N911" s="324"/>
      <c r="O911" s="324"/>
      <c r="P911" s="324"/>
      <c r="Q911" s="324"/>
      <c r="R911" s="324"/>
      <c r="S911" s="324"/>
      <c r="T911" s="324"/>
      <c r="U911" s="324"/>
      <c r="V911" s="324"/>
      <c r="W911" s="324"/>
      <c r="X911" s="324"/>
      <c r="Y911" s="324"/>
      <c r="Z911" s="324"/>
    </row>
    <row r="912">
      <c r="A912" s="324"/>
      <c r="B912" s="324"/>
      <c r="C912" s="324"/>
      <c r="D912" s="324"/>
      <c r="E912" s="324"/>
      <c r="F912" s="324"/>
      <c r="G912" s="324"/>
      <c r="H912" s="324"/>
      <c r="I912" s="324"/>
      <c r="J912" s="324"/>
      <c r="K912" s="324"/>
      <c r="L912" s="324"/>
      <c r="M912" s="324"/>
      <c r="N912" s="324"/>
      <c r="O912" s="324"/>
      <c r="P912" s="324"/>
      <c r="Q912" s="324"/>
      <c r="R912" s="324"/>
      <c r="S912" s="324"/>
      <c r="T912" s="324"/>
      <c r="U912" s="324"/>
      <c r="V912" s="324"/>
      <c r="W912" s="324"/>
      <c r="X912" s="324"/>
      <c r="Y912" s="324"/>
      <c r="Z912" s="324"/>
    </row>
    <row r="913">
      <c r="A913" s="324"/>
      <c r="B913" s="324"/>
      <c r="C913" s="324"/>
      <c r="D913" s="324"/>
      <c r="E913" s="324"/>
      <c r="F913" s="324"/>
      <c r="G913" s="324"/>
      <c r="H913" s="324"/>
      <c r="I913" s="324"/>
      <c r="J913" s="324"/>
      <c r="K913" s="324"/>
      <c r="L913" s="324"/>
      <c r="M913" s="324"/>
      <c r="N913" s="324"/>
      <c r="O913" s="324"/>
      <c r="P913" s="324"/>
      <c r="Q913" s="324"/>
      <c r="R913" s="324"/>
      <c r="S913" s="324"/>
      <c r="T913" s="324"/>
      <c r="U913" s="324"/>
      <c r="V913" s="324"/>
      <c r="W913" s="324"/>
      <c r="X913" s="324"/>
      <c r="Y913" s="324"/>
      <c r="Z913" s="324"/>
    </row>
    <row r="914">
      <c r="A914" s="324"/>
      <c r="B914" s="324"/>
      <c r="C914" s="324"/>
      <c r="D914" s="324"/>
      <c r="E914" s="324"/>
      <c r="F914" s="324"/>
      <c r="G914" s="324"/>
      <c r="H914" s="324"/>
      <c r="I914" s="324"/>
      <c r="J914" s="324"/>
      <c r="K914" s="324"/>
      <c r="L914" s="324"/>
      <c r="M914" s="324"/>
      <c r="N914" s="324"/>
      <c r="O914" s="324"/>
      <c r="P914" s="324"/>
      <c r="Q914" s="324"/>
      <c r="R914" s="324"/>
      <c r="S914" s="324"/>
      <c r="T914" s="324"/>
      <c r="U914" s="324"/>
      <c r="V914" s="324"/>
      <c r="W914" s="324"/>
      <c r="X914" s="324"/>
      <c r="Y914" s="324"/>
      <c r="Z914" s="324"/>
    </row>
    <row r="915">
      <c r="A915" s="324"/>
      <c r="B915" s="324"/>
      <c r="C915" s="324"/>
      <c r="D915" s="324"/>
      <c r="E915" s="324"/>
      <c r="F915" s="324"/>
      <c r="G915" s="324"/>
      <c r="H915" s="324"/>
      <c r="I915" s="324"/>
      <c r="J915" s="324"/>
      <c r="K915" s="324"/>
      <c r="L915" s="324"/>
      <c r="M915" s="324"/>
      <c r="N915" s="324"/>
      <c r="O915" s="324"/>
      <c r="P915" s="324"/>
      <c r="Q915" s="324"/>
      <c r="R915" s="324"/>
      <c r="S915" s="324"/>
      <c r="T915" s="324"/>
      <c r="U915" s="324"/>
      <c r="V915" s="324"/>
      <c r="W915" s="324"/>
      <c r="X915" s="324"/>
      <c r="Y915" s="324"/>
      <c r="Z915" s="324"/>
    </row>
    <row r="916">
      <c r="A916" s="324"/>
      <c r="B916" s="324"/>
      <c r="C916" s="324"/>
      <c r="D916" s="324"/>
      <c r="E916" s="324"/>
      <c r="F916" s="324"/>
      <c r="G916" s="324"/>
      <c r="H916" s="324"/>
      <c r="I916" s="324"/>
      <c r="J916" s="324"/>
      <c r="K916" s="324"/>
      <c r="L916" s="324"/>
      <c r="M916" s="324"/>
      <c r="N916" s="324"/>
      <c r="O916" s="324"/>
      <c r="P916" s="324"/>
      <c r="Q916" s="324"/>
      <c r="R916" s="324"/>
      <c r="S916" s="324"/>
      <c r="T916" s="324"/>
      <c r="U916" s="324"/>
      <c r="V916" s="324"/>
      <c r="W916" s="324"/>
      <c r="X916" s="324"/>
      <c r="Y916" s="324"/>
      <c r="Z916" s="324"/>
    </row>
    <row r="917">
      <c r="A917" s="324"/>
      <c r="B917" s="324"/>
      <c r="C917" s="324"/>
      <c r="D917" s="324"/>
      <c r="E917" s="324"/>
      <c r="F917" s="324"/>
      <c r="G917" s="324"/>
      <c r="H917" s="324"/>
      <c r="I917" s="324"/>
      <c r="J917" s="324"/>
      <c r="K917" s="324"/>
      <c r="L917" s="324"/>
      <c r="M917" s="324"/>
      <c r="N917" s="324"/>
      <c r="O917" s="324"/>
      <c r="P917" s="324"/>
      <c r="Q917" s="324"/>
      <c r="R917" s="324"/>
      <c r="S917" s="324"/>
      <c r="T917" s="324"/>
      <c r="U917" s="324"/>
      <c r="V917" s="324"/>
      <c r="W917" s="324"/>
      <c r="X917" s="324"/>
      <c r="Y917" s="324"/>
      <c r="Z917" s="324"/>
    </row>
    <row r="918">
      <c r="A918" s="324"/>
      <c r="B918" s="324"/>
      <c r="C918" s="324"/>
      <c r="D918" s="324"/>
      <c r="E918" s="324"/>
      <c r="F918" s="324"/>
      <c r="G918" s="324"/>
      <c r="H918" s="324"/>
      <c r="I918" s="324"/>
      <c r="J918" s="324"/>
      <c r="K918" s="324"/>
      <c r="L918" s="324"/>
      <c r="M918" s="324"/>
      <c r="N918" s="324"/>
      <c r="O918" s="324"/>
      <c r="P918" s="324"/>
      <c r="Q918" s="324"/>
      <c r="R918" s="324"/>
      <c r="S918" s="324"/>
      <c r="T918" s="324"/>
      <c r="U918" s="324"/>
      <c r="V918" s="324"/>
      <c r="W918" s="324"/>
      <c r="X918" s="324"/>
      <c r="Y918" s="324"/>
      <c r="Z918" s="324"/>
    </row>
    <row r="919">
      <c r="A919" s="324"/>
      <c r="B919" s="324"/>
      <c r="C919" s="324"/>
      <c r="D919" s="324"/>
      <c r="E919" s="324"/>
      <c r="F919" s="324"/>
      <c r="G919" s="324"/>
      <c r="H919" s="324"/>
      <c r="I919" s="324"/>
      <c r="J919" s="324"/>
      <c r="K919" s="324"/>
      <c r="L919" s="324"/>
      <c r="M919" s="324"/>
      <c r="N919" s="324"/>
      <c r="O919" s="324"/>
      <c r="P919" s="324"/>
      <c r="Q919" s="324"/>
      <c r="R919" s="324"/>
      <c r="S919" s="324"/>
      <c r="T919" s="324"/>
      <c r="U919" s="324"/>
      <c r="V919" s="324"/>
      <c r="W919" s="324"/>
      <c r="X919" s="324"/>
      <c r="Y919" s="324"/>
      <c r="Z919" s="324"/>
    </row>
    <row r="920">
      <c r="A920" s="324"/>
      <c r="B920" s="324"/>
      <c r="C920" s="324"/>
      <c r="D920" s="324"/>
      <c r="E920" s="324"/>
      <c r="F920" s="324"/>
      <c r="G920" s="324"/>
      <c r="H920" s="324"/>
      <c r="I920" s="324"/>
      <c r="J920" s="324"/>
      <c r="K920" s="324"/>
      <c r="L920" s="324"/>
      <c r="M920" s="324"/>
      <c r="N920" s="324"/>
      <c r="O920" s="324"/>
      <c r="P920" s="324"/>
      <c r="Q920" s="324"/>
      <c r="R920" s="324"/>
      <c r="S920" s="324"/>
      <c r="T920" s="324"/>
      <c r="U920" s="324"/>
      <c r="V920" s="324"/>
      <c r="W920" s="324"/>
      <c r="X920" s="324"/>
      <c r="Y920" s="324"/>
      <c r="Z920" s="324"/>
    </row>
    <row r="921">
      <c r="A921" s="324"/>
      <c r="B921" s="324"/>
      <c r="C921" s="324"/>
      <c r="D921" s="324"/>
      <c r="E921" s="324"/>
      <c r="F921" s="324"/>
      <c r="G921" s="324"/>
      <c r="H921" s="324"/>
      <c r="I921" s="324"/>
      <c r="J921" s="324"/>
      <c r="K921" s="324"/>
      <c r="L921" s="324"/>
      <c r="M921" s="324"/>
      <c r="N921" s="324"/>
      <c r="O921" s="324"/>
      <c r="P921" s="324"/>
      <c r="Q921" s="324"/>
      <c r="R921" s="324"/>
      <c r="S921" s="324"/>
      <c r="T921" s="324"/>
      <c r="U921" s="324"/>
      <c r="V921" s="324"/>
      <c r="W921" s="324"/>
      <c r="X921" s="324"/>
      <c r="Y921" s="324"/>
      <c r="Z921" s="324"/>
    </row>
    <row r="922">
      <c r="A922" s="324"/>
      <c r="B922" s="324"/>
      <c r="C922" s="324"/>
      <c r="D922" s="324"/>
      <c r="E922" s="324"/>
      <c r="F922" s="324"/>
      <c r="G922" s="324"/>
      <c r="H922" s="324"/>
      <c r="I922" s="324"/>
      <c r="J922" s="324"/>
      <c r="K922" s="324"/>
      <c r="L922" s="324"/>
      <c r="M922" s="324"/>
      <c r="N922" s="324"/>
      <c r="O922" s="324"/>
      <c r="P922" s="324"/>
      <c r="Q922" s="324"/>
      <c r="R922" s="324"/>
      <c r="S922" s="324"/>
      <c r="T922" s="324"/>
      <c r="U922" s="324"/>
      <c r="V922" s="324"/>
      <c r="W922" s="324"/>
      <c r="X922" s="324"/>
      <c r="Y922" s="324"/>
      <c r="Z922" s="324"/>
    </row>
    <row r="923">
      <c r="A923" s="324"/>
      <c r="B923" s="324"/>
      <c r="C923" s="324"/>
      <c r="D923" s="324"/>
      <c r="E923" s="324"/>
      <c r="F923" s="324"/>
      <c r="G923" s="324"/>
      <c r="H923" s="324"/>
      <c r="I923" s="324"/>
      <c r="J923" s="324"/>
      <c r="K923" s="324"/>
      <c r="L923" s="324"/>
      <c r="M923" s="324"/>
      <c r="N923" s="324"/>
      <c r="O923" s="324"/>
      <c r="P923" s="324"/>
      <c r="Q923" s="324"/>
      <c r="R923" s="324"/>
      <c r="S923" s="324"/>
      <c r="T923" s="324"/>
      <c r="U923" s="324"/>
      <c r="V923" s="324"/>
      <c r="W923" s="324"/>
      <c r="X923" s="324"/>
      <c r="Y923" s="324"/>
      <c r="Z923" s="324"/>
    </row>
    <row r="924">
      <c r="A924" s="324"/>
      <c r="B924" s="324"/>
      <c r="C924" s="324"/>
      <c r="D924" s="324"/>
      <c r="E924" s="324"/>
      <c r="F924" s="324"/>
      <c r="G924" s="324"/>
      <c r="H924" s="324"/>
      <c r="I924" s="324"/>
      <c r="J924" s="324"/>
      <c r="K924" s="324"/>
      <c r="L924" s="324"/>
      <c r="M924" s="324"/>
      <c r="N924" s="324"/>
      <c r="O924" s="324"/>
      <c r="P924" s="324"/>
      <c r="Q924" s="324"/>
      <c r="R924" s="324"/>
      <c r="S924" s="324"/>
      <c r="T924" s="324"/>
      <c r="U924" s="324"/>
      <c r="V924" s="324"/>
      <c r="W924" s="324"/>
      <c r="X924" s="324"/>
      <c r="Y924" s="324"/>
      <c r="Z924" s="324"/>
    </row>
    <row r="925">
      <c r="A925" s="324"/>
      <c r="B925" s="324"/>
      <c r="C925" s="324"/>
      <c r="D925" s="324"/>
      <c r="E925" s="324"/>
      <c r="F925" s="324"/>
      <c r="G925" s="324"/>
      <c r="H925" s="324"/>
      <c r="I925" s="324"/>
      <c r="J925" s="324"/>
      <c r="K925" s="324"/>
      <c r="L925" s="324"/>
      <c r="M925" s="324"/>
      <c r="N925" s="324"/>
      <c r="O925" s="324"/>
      <c r="P925" s="324"/>
      <c r="Q925" s="324"/>
      <c r="R925" s="324"/>
      <c r="S925" s="324"/>
      <c r="T925" s="324"/>
      <c r="U925" s="324"/>
      <c r="V925" s="324"/>
      <c r="W925" s="324"/>
      <c r="X925" s="324"/>
      <c r="Y925" s="324"/>
      <c r="Z925" s="324"/>
    </row>
    <row r="926">
      <c r="A926" s="324"/>
      <c r="B926" s="324"/>
      <c r="C926" s="324"/>
      <c r="D926" s="324"/>
      <c r="E926" s="324"/>
      <c r="F926" s="324"/>
      <c r="G926" s="324"/>
      <c r="H926" s="324"/>
      <c r="I926" s="324"/>
      <c r="J926" s="324"/>
      <c r="K926" s="324"/>
      <c r="L926" s="324"/>
      <c r="M926" s="324"/>
      <c r="N926" s="324"/>
      <c r="O926" s="324"/>
      <c r="P926" s="324"/>
      <c r="Q926" s="324"/>
      <c r="R926" s="324"/>
      <c r="S926" s="324"/>
      <c r="T926" s="324"/>
      <c r="U926" s="324"/>
      <c r="V926" s="324"/>
      <c r="W926" s="324"/>
      <c r="X926" s="324"/>
      <c r="Y926" s="324"/>
      <c r="Z926" s="324"/>
    </row>
    <row r="927">
      <c r="A927" s="324"/>
      <c r="B927" s="324"/>
      <c r="C927" s="324"/>
      <c r="D927" s="324"/>
      <c r="E927" s="324"/>
      <c r="F927" s="324"/>
      <c r="G927" s="324"/>
      <c r="H927" s="324"/>
      <c r="I927" s="324"/>
      <c r="J927" s="324"/>
      <c r="K927" s="324"/>
      <c r="L927" s="324"/>
      <c r="M927" s="324"/>
      <c r="N927" s="324"/>
      <c r="O927" s="324"/>
      <c r="P927" s="324"/>
      <c r="Q927" s="324"/>
      <c r="R927" s="324"/>
      <c r="S927" s="324"/>
      <c r="T927" s="324"/>
      <c r="U927" s="324"/>
      <c r="V927" s="324"/>
      <c r="W927" s="324"/>
      <c r="X927" s="324"/>
      <c r="Y927" s="324"/>
      <c r="Z927" s="324"/>
    </row>
    <row r="928">
      <c r="A928" s="324"/>
      <c r="B928" s="324"/>
      <c r="C928" s="324"/>
      <c r="D928" s="324"/>
      <c r="E928" s="324"/>
      <c r="F928" s="324"/>
      <c r="G928" s="324"/>
      <c r="H928" s="324"/>
      <c r="I928" s="324"/>
      <c r="J928" s="324"/>
      <c r="K928" s="324"/>
      <c r="L928" s="324"/>
      <c r="M928" s="324"/>
      <c r="N928" s="324"/>
      <c r="O928" s="324"/>
      <c r="P928" s="324"/>
      <c r="Q928" s="324"/>
      <c r="R928" s="324"/>
      <c r="S928" s="324"/>
      <c r="T928" s="324"/>
      <c r="U928" s="324"/>
      <c r="V928" s="324"/>
      <c r="W928" s="324"/>
      <c r="X928" s="324"/>
      <c r="Y928" s="324"/>
      <c r="Z928" s="324"/>
    </row>
    <row r="929">
      <c r="A929" s="324"/>
      <c r="B929" s="324"/>
      <c r="C929" s="324"/>
      <c r="D929" s="324"/>
      <c r="E929" s="324"/>
      <c r="F929" s="324"/>
      <c r="G929" s="324"/>
      <c r="H929" s="324"/>
      <c r="I929" s="324"/>
      <c r="J929" s="324"/>
      <c r="K929" s="324"/>
      <c r="L929" s="324"/>
      <c r="M929" s="324"/>
      <c r="N929" s="324"/>
      <c r="O929" s="324"/>
      <c r="P929" s="324"/>
      <c r="Q929" s="324"/>
      <c r="R929" s="324"/>
      <c r="S929" s="324"/>
      <c r="T929" s="324"/>
      <c r="U929" s="324"/>
      <c r="V929" s="324"/>
      <c r="W929" s="324"/>
      <c r="X929" s="324"/>
      <c r="Y929" s="324"/>
      <c r="Z929" s="324"/>
    </row>
    <row r="930">
      <c r="A930" s="324"/>
      <c r="B930" s="324"/>
      <c r="C930" s="324"/>
      <c r="D930" s="324"/>
      <c r="E930" s="324"/>
      <c r="F930" s="324"/>
      <c r="G930" s="324"/>
      <c r="H930" s="324"/>
      <c r="I930" s="324"/>
      <c r="J930" s="324"/>
      <c r="K930" s="324"/>
      <c r="L930" s="324"/>
      <c r="M930" s="324"/>
      <c r="N930" s="324"/>
      <c r="O930" s="324"/>
      <c r="P930" s="324"/>
      <c r="Q930" s="324"/>
      <c r="R930" s="324"/>
      <c r="S930" s="324"/>
      <c r="T930" s="324"/>
      <c r="U930" s="324"/>
      <c r="V930" s="324"/>
      <c r="W930" s="324"/>
      <c r="X930" s="324"/>
      <c r="Y930" s="324"/>
      <c r="Z930" s="324"/>
    </row>
    <row r="931">
      <c r="A931" s="324"/>
      <c r="B931" s="324"/>
      <c r="C931" s="324"/>
      <c r="D931" s="324"/>
      <c r="E931" s="324"/>
      <c r="F931" s="324"/>
      <c r="G931" s="324"/>
      <c r="H931" s="324"/>
      <c r="I931" s="324"/>
      <c r="J931" s="324"/>
      <c r="K931" s="324"/>
      <c r="L931" s="324"/>
      <c r="M931" s="324"/>
      <c r="N931" s="324"/>
      <c r="O931" s="324"/>
      <c r="P931" s="324"/>
      <c r="Q931" s="324"/>
      <c r="R931" s="324"/>
      <c r="S931" s="324"/>
      <c r="T931" s="324"/>
      <c r="U931" s="324"/>
      <c r="V931" s="324"/>
      <c r="W931" s="324"/>
      <c r="X931" s="324"/>
      <c r="Y931" s="324"/>
      <c r="Z931" s="324"/>
    </row>
    <row r="932">
      <c r="A932" s="324"/>
      <c r="B932" s="324"/>
      <c r="C932" s="324"/>
      <c r="D932" s="324"/>
      <c r="E932" s="324"/>
      <c r="F932" s="324"/>
      <c r="G932" s="324"/>
      <c r="H932" s="324"/>
      <c r="I932" s="324"/>
      <c r="J932" s="324"/>
      <c r="K932" s="324"/>
      <c r="L932" s="324"/>
      <c r="M932" s="324"/>
      <c r="N932" s="324"/>
      <c r="O932" s="324"/>
      <c r="P932" s="324"/>
      <c r="Q932" s="324"/>
      <c r="R932" s="324"/>
      <c r="S932" s="324"/>
      <c r="T932" s="324"/>
      <c r="U932" s="324"/>
      <c r="V932" s="324"/>
      <c r="W932" s="324"/>
      <c r="X932" s="324"/>
      <c r="Y932" s="324"/>
      <c r="Z932" s="324"/>
    </row>
    <row r="933">
      <c r="A933" s="324"/>
      <c r="B933" s="324"/>
      <c r="C933" s="324"/>
      <c r="D933" s="324"/>
      <c r="E933" s="324"/>
      <c r="F933" s="324"/>
      <c r="G933" s="324"/>
      <c r="H933" s="324"/>
      <c r="I933" s="324"/>
      <c r="J933" s="324"/>
      <c r="K933" s="324"/>
      <c r="L933" s="324"/>
      <c r="M933" s="324"/>
      <c r="N933" s="324"/>
      <c r="O933" s="324"/>
      <c r="P933" s="324"/>
      <c r="Q933" s="324"/>
      <c r="R933" s="324"/>
      <c r="S933" s="324"/>
      <c r="T933" s="324"/>
      <c r="U933" s="324"/>
      <c r="V933" s="324"/>
      <c r="W933" s="324"/>
      <c r="X933" s="324"/>
      <c r="Y933" s="324"/>
      <c r="Z933" s="324"/>
    </row>
    <row r="934">
      <c r="A934" s="324"/>
      <c r="B934" s="324"/>
      <c r="C934" s="324"/>
      <c r="D934" s="324"/>
      <c r="E934" s="324"/>
      <c r="F934" s="324"/>
      <c r="G934" s="324"/>
      <c r="H934" s="324"/>
      <c r="I934" s="324"/>
      <c r="J934" s="324"/>
      <c r="K934" s="324"/>
      <c r="L934" s="324"/>
      <c r="M934" s="324"/>
      <c r="N934" s="324"/>
      <c r="O934" s="324"/>
      <c r="P934" s="324"/>
      <c r="Q934" s="324"/>
      <c r="R934" s="324"/>
      <c r="S934" s="324"/>
      <c r="T934" s="324"/>
      <c r="U934" s="324"/>
      <c r="V934" s="324"/>
      <c r="W934" s="324"/>
      <c r="X934" s="324"/>
      <c r="Y934" s="324"/>
      <c r="Z934" s="324"/>
    </row>
    <row r="935">
      <c r="A935" s="324"/>
      <c r="B935" s="324"/>
      <c r="C935" s="324"/>
      <c r="D935" s="324"/>
      <c r="E935" s="324"/>
      <c r="F935" s="324"/>
      <c r="G935" s="324"/>
      <c r="H935" s="324"/>
      <c r="I935" s="324"/>
      <c r="J935" s="324"/>
      <c r="K935" s="324"/>
      <c r="L935" s="324"/>
      <c r="M935" s="324"/>
      <c r="N935" s="324"/>
      <c r="O935" s="324"/>
      <c r="P935" s="324"/>
      <c r="Q935" s="324"/>
      <c r="R935" s="324"/>
      <c r="S935" s="324"/>
      <c r="T935" s="324"/>
      <c r="U935" s="324"/>
      <c r="V935" s="324"/>
      <c r="W935" s="324"/>
      <c r="X935" s="324"/>
      <c r="Y935" s="324"/>
      <c r="Z935" s="324"/>
    </row>
    <row r="936">
      <c r="A936" s="324"/>
      <c r="B936" s="324"/>
      <c r="C936" s="324"/>
      <c r="D936" s="324"/>
      <c r="E936" s="324"/>
      <c r="F936" s="324"/>
      <c r="G936" s="324"/>
      <c r="H936" s="324"/>
      <c r="I936" s="324"/>
      <c r="J936" s="324"/>
      <c r="K936" s="324"/>
      <c r="L936" s="324"/>
      <c r="M936" s="324"/>
      <c r="N936" s="324"/>
      <c r="O936" s="324"/>
      <c r="P936" s="324"/>
      <c r="Q936" s="324"/>
      <c r="R936" s="324"/>
      <c r="S936" s="324"/>
      <c r="T936" s="324"/>
      <c r="U936" s="324"/>
      <c r="V936" s="324"/>
      <c r="W936" s="324"/>
      <c r="X936" s="324"/>
      <c r="Y936" s="324"/>
      <c r="Z936" s="324"/>
    </row>
    <row r="937">
      <c r="A937" s="324"/>
      <c r="B937" s="324"/>
      <c r="C937" s="324"/>
      <c r="D937" s="324"/>
      <c r="E937" s="324"/>
      <c r="F937" s="324"/>
      <c r="G937" s="324"/>
      <c r="H937" s="324"/>
      <c r="I937" s="324"/>
      <c r="J937" s="324"/>
      <c r="K937" s="324"/>
      <c r="L937" s="324"/>
      <c r="M937" s="324"/>
      <c r="N937" s="324"/>
      <c r="O937" s="324"/>
      <c r="P937" s="324"/>
      <c r="Q937" s="324"/>
      <c r="R937" s="324"/>
      <c r="S937" s="324"/>
      <c r="T937" s="324"/>
      <c r="U937" s="324"/>
      <c r="V937" s="324"/>
      <c r="W937" s="324"/>
      <c r="X937" s="324"/>
      <c r="Y937" s="324"/>
      <c r="Z937" s="324"/>
    </row>
    <row r="938">
      <c r="A938" s="324"/>
      <c r="B938" s="324"/>
      <c r="C938" s="324"/>
      <c r="D938" s="324"/>
      <c r="E938" s="324"/>
      <c r="F938" s="324"/>
      <c r="G938" s="324"/>
      <c r="H938" s="324"/>
      <c r="I938" s="324"/>
      <c r="J938" s="324"/>
      <c r="K938" s="324"/>
      <c r="L938" s="324"/>
      <c r="M938" s="324"/>
      <c r="N938" s="324"/>
      <c r="O938" s="324"/>
      <c r="P938" s="324"/>
      <c r="Q938" s="324"/>
      <c r="R938" s="324"/>
      <c r="S938" s="324"/>
      <c r="T938" s="324"/>
      <c r="U938" s="324"/>
      <c r="V938" s="324"/>
      <c r="W938" s="324"/>
      <c r="X938" s="324"/>
      <c r="Y938" s="324"/>
      <c r="Z938" s="324"/>
    </row>
    <row r="939">
      <c r="A939" s="324"/>
      <c r="B939" s="324"/>
      <c r="C939" s="324"/>
      <c r="D939" s="324"/>
      <c r="E939" s="324"/>
      <c r="F939" s="324"/>
      <c r="G939" s="324"/>
      <c r="H939" s="324"/>
      <c r="I939" s="324"/>
      <c r="J939" s="324"/>
      <c r="K939" s="324"/>
      <c r="L939" s="324"/>
      <c r="M939" s="324"/>
      <c r="N939" s="324"/>
      <c r="O939" s="324"/>
      <c r="P939" s="324"/>
      <c r="Q939" s="324"/>
      <c r="R939" s="324"/>
      <c r="S939" s="324"/>
      <c r="T939" s="324"/>
      <c r="U939" s="324"/>
      <c r="V939" s="324"/>
      <c r="W939" s="324"/>
      <c r="X939" s="324"/>
      <c r="Y939" s="324"/>
      <c r="Z939" s="324"/>
    </row>
    <row r="940">
      <c r="A940" s="324"/>
      <c r="B940" s="324"/>
      <c r="C940" s="324"/>
      <c r="D940" s="324"/>
      <c r="E940" s="324"/>
      <c r="F940" s="324"/>
      <c r="G940" s="324"/>
      <c r="H940" s="324"/>
      <c r="I940" s="324"/>
      <c r="J940" s="324"/>
      <c r="K940" s="324"/>
      <c r="L940" s="324"/>
      <c r="M940" s="324"/>
      <c r="N940" s="324"/>
      <c r="O940" s="324"/>
      <c r="P940" s="324"/>
      <c r="Q940" s="324"/>
      <c r="R940" s="324"/>
      <c r="S940" s="324"/>
      <c r="T940" s="324"/>
      <c r="U940" s="324"/>
      <c r="V940" s="324"/>
      <c r="W940" s="324"/>
      <c r="X940" s="324"/>
      <c r="Y940" s="324"/>
      <c r="Z940" s="324"/>
    </row>
    <row r="941">
      <c r="A941" s="324"/>
      <c r="B941" s="324"/>
      <c r="C941" s="324"/>
      <c r="D941" s="324"/>
      <c r="E941" s="324"/>
      <c r="F941" s="324"/>
      <c r="G941" s="324"/>
      <c r="H941" s="324"/>
      <c r="I941" s="324"/>
      <c r="J941" s="324"/>
      <c r="K941" s="324"/>
      <c r="L941" s="324"/>
      <c r="M941" s="324"/>
      <c r="N941" s="324"/>
      <c r="O941" s="324"/>
      <c r="P941" s="324"/>
      <c r="Q941" s="324"/>
      <c r="R941" s="324"/>
      <c r="S941" s="324"/>
      <c r="T941" s="324"/>
      <c r="U941" s="324"/>
      <c r="V941" s="324"/>
      <c r="W941" s="324"/>
      <c r="X941" s="324"/>
      <c r="Y941" s="324"/>
      <c r="Z941" s="324"/>
    </row>
    <row r="942">
      <c r="A942" s="324"/>
      <c r="B942" s="324"/>
      <c r="C942" s="324"/>
      <c r="D942" s="324"/>
      <c r="E942" s="324"/>
      <c r="F942" s="324"/>
      <c r="G942" s="324"/>
      <c r="H942" s="324"/>
      <c r="I942" s="324"/>
      <c r="J942" s="324"/>
      <c r="K942" s="324"/>
      <c r="L942" s="324"/>
      <c r="M942" s="324"/>
      <c r="N942" s="324"/>
      <c r="O942" s="324"/>
      <c r="P942" s="324"/>
      <c r="Q942" s="324"/>
      <c r="R942" s="324"/>
      <c r="S942" s="324"/>
      <c r="T942" s="324"/>
      <c r="U942" s="324"/>
      <c r="V942" s="324"/>
      <c r="W942" s="324"/>
      <c r="X942" s="324"/>
      <c r="Y942" s="324"/>
      <c r="Z942" s="324"/>
    </row>
    <row r="943">
      <c r="A943" s="324"/>
      <c r="B943" s="324"/>
      <c r="C943" s="324"/>
      <c r="D943" s="324"/>
      <c r="E943" s="324"/>
      <c r="F943" s="324"/>
      <c r="G943" s="324"/>
      <c r="H943" s="324"/>
      <c r="I943" s="324"/>
      <c r="J943" s="324"/>
      <c r="K943" s="324"/>
      <c r="L943" s="324"/>
      <c r="M943" s="324"/>
      <c r="N943" s="324"/>
      <c r="O943" s="324"/>
      <c r="P943" s="324"/>
      <c r="Q943" s="324"/>
      <c r="R943" s="324"/>
      <c r="S943" s="324"/>
      <c r="T943" s="324"/>
      <c r="U943" s="324"/>
      <c r="V943" s="324"/>
      <c r="W943" s="324"/>
      <c r="X943" s="324"/>
      <c r="Y943" s="324"/>
      <c r="Z943" s="324"/>
    </row>
    <row r="944">
      <c r="A944" s="324"/>
      <c r="B944" s="324"/>
      <c r="C944" s="324"/>
      <c r="D944" s="324"/>
      <c r="E944" s="324"/>
      <c r="F944" s="324"/>
      <c r="G944" s="324"/>
      <c r="H944" s="324"/>
      <c r="I944" s="324"/>
      <c r="J944" s="324"/>
      <c r="K944" s="324"/>
      <c r="L944" s="324"/>
      <c r="M944" s="324"/>
      <c r="N944" s="324"/>
      <c r="O944" s="324"/>
      <c r="P944" s="324"/>
      <c r="Q944" s="324"/>
      <c r="R944" s="324"/>
      <c r="S944" s="324"/>
      <c r="T944" s="324"/>
      <c r="U944" s="324"/>
      <c r="V944" s="324"/>
      <c r="W944" s="324"/>
      <c r="X944" s="324"/>
      <c r="Y944" s="324"/>
      <c r="Z944" s="324"/>
    </row>
    <row r="945">
      <c r="A945" s="324"/>
      <c r="B945" s="324"/>
      <c r="C945" s="324"/>
      <c r="D945" s="324"/>
      <c r="E945" s="324"/>
      <c r="F945" s="324"/>
      <c r="G945" s="324"/>
      <c r="H945" s="324"/>
      <c r="I945" s="324"/>
      <c r="J945" s="324"/>
      <c r="K945" s="324"/>
      <c r="L945" s="324"/>
      <c r="M945" s="324"/>
      <c r="N945" s="324"/>
      <c r="O945" s="324"/>
      <c r="P945" s="324"/>
      <c r="Q945" s="324"/>
      <c r="R945" s="324"/>
      <c r="S945" s="324"/>
      <c r="T945" s="324"/>
      <c r="U945" s="324"/>
      <c r="V945" s="324"/>
      <c r="W945" s="324"/>
      <c r="X945" s="324"/>
      <c r="Y945" s="324"/>
      <c r="Z945" s="324"/>
    </row>
    <row r="946">
      <c r="A946" s="324"/>
      <c r="B946" s="324"/>
      <c r="C946" s="324"/>
      <c r="D946" s="324"/>
      <c r="E946" s="324"/>
      <c r="F946" s="324"/>
      <c r="G946" s="324"/>
      <c r="H946" s="324"/>
      <c r="I946" s="324"/>
      <c r="J946" s="324"/>
      <c r="K946" s="324"/>
      <c r="L946" s="324"/>
      <c r="M946" s="324"/>
      <c r="N946" s="324"/>
      <c r="O946" s="324"/>
      <c r="P946" s="324"/>
      <c r="Q946" s="324"/>
      <c r="R946" s="324"/>
      <c r="S946" s="324"/>
      <c r="T946" s="324"/>
      <c r="U946" s="324"/>
      <c r="V946" s="324"/>
      <c r="W946" s="324"/>
      <c r="X946" s="324"/>
      <c r="Y946" s="324"/>
      <c r="Z946" s="324"/>
    </row>
    <row r="947">
      <c r="A947" s="324"/>
      <c r="B947" s="324"/>
      <c r="C947" s="324"/>
      <c r="D947" s="324"/>
      <c r="E947" s="324"/>
      <c r="F947" s="324"/>
      <c r="G947" s="324"/>
      <c r="H947" s="324"/>
      <c r="I947" s="324"/>
      <c r="J947" s="324"/>
      <c r="K947" s="324"/>
      <c r="L947" s="324"/>
      <c r="M947" s="324"/>
      <c r="N947" s="324"/>
      <c r="O947" s="324"/>
      <c r="P947" s="324"/>
      <c r="Q947" s="324"/>
      <c r="R947" s="324"/>
      <c r="S947" s="324"/>
      <c r="T947" s="324"/>
      <c r="U947" s="324"/>
      <c r="V947" s="324"/>
      <c r="W947" s="324"/>
      <c r="X947" s="324"/>
      <c r="Y947" s="324"/>
      <c r="Z947" s="324"/>
    </row>
    <row r="948">
      <c r="A948" s="324"/>
      <c r="B948" s="324"/>
      <c r="C948" s="324"/>
      <c r="D948" s="324"/>
      <c r="E948" s="324"/>
      <c r="F948" s="324"/>
      <c r="G948" s="324"/>
      <c r="H948" s="324"/>
      <c r="I948" s="324"/>
      <c r="J948" s="324"/>
      <c r="K948" s="324"/>
      <c r="L948" s="324"/>
      <c r="M948" s="324"/>
      <c r="N948" s="324"/>
      <c r="O948" s="324"/>
      <c r="P948" s="324"/>
      <c r="Q948" s="324"/>
      <c r="R948" s="324"/>
      <c r="S948" s="324"/>
      <c r="T948" s="324"/>
      <c r="U948" s="324"/>
      <c r="V948" s="324"/>
      <c r="W948" s="324"/>
      <c r="X948" s="324"/>
      <c r="Y948" s="324"/>
      <c r="Z948" s="324"/>
    </row>
    <row r="949">
      <c r="A949" s="324"/>
      <c r="B949" s="324"/>
      <c r="C949" s="324"/>
      <c r="D949" s="324"/>
      <c r="E949" s="324"/>
      <c r="F949" s="324"/>
      <c r="G949" s="324"/>
      <c r="H949" s="324"/>
      <c r="I949" s="324"/>
      <c r="J949" s="324"/>
      <c r="K949" s="324"/>
      <c r="L949" s="324"/>
      <c r="M949" s="324"/>
      <c r="N949" s="324"/>
      <c r="O949" s="324"/>
      <c r="P949" s="324"/>
      <c r="Q949" s="324"/>
      <c r="R949" s="324"/>
      <c r="S949" s="324"/>
      <c r="T949" s="324"/>
      <c r="U949" s="324"/>
      <c r="V949" s="324"/>
      <c r="W949" s="324"/>
      <c r="X949" s="324"/>
      <c r="Y949" s="324"/>
      <c r="Z949" s="324"/>
    </row>
    <row r="950">
      <c r="A950" s="324"/>
      <c r="B950" s="324"/>
      <c r="C950" s="324"/>
      <c r="D950" s="324"/>
      <c r="E950" s="324"/>
      <c r="F950" s="324"/>
      <c r="G950" s="324"/>
      <c r="H950" s="324"/>
      <c r="I950" s="324"/>
      <c r="J950" s="324"/>
      <c r="K950" s="324"/>
      <c r="L950" s="324"/>
      <c r="M950" s="324"/>
      <c r="N950" s="324"/>
      <c r="O950" s="324"/>
      <c r="P950" s="324"/>
      <c r="Q950" s="324"/>
      <c r="R950" s="324"/>
      <c r="S950" s="324"/>
      <c r="T950" s="324"/>
      <c r="U950" s="324"/>
      <c r="V950" s="324"/>
      <c r="W950" s="324"/>
      <c r="X950" s="324"/>
      <c r="Y950" s="324"/>
      <c r="Z950" s="324"/>
    </row>
    <row r="951">
      <c r="A951" s="324"/>
      <c r="B951" s="324"/>
      <c r="C951" s="324"/>
      <c r="D951" s="324"/>
      <c r="E951" s="324"/>
      <c r="F951" s="324"/>
      <c r="G951" s="324"/>
      <c r="H951" s="324"/>
      <c r="I951" s="324"/>
      <c r="J951" s="324"/>
      <c r="K951" s="324"/>
      <c r="L951" s="324"/>
      <c r="M951" s="324"/>
      <c r="N951" s="324"/>
      <c r="O951" s="324"/>
      <c r="P951" s="324"/>
      <c r="Q951" s="324"/>
      <c r="R951" s="324"/>
      <c r="S951" s="324"/>
      <c r="T951" s="324"/>
      <c r="U951" s="324"/>
      <c r="V951" s="324"/>
      <c r="W951" s="324"/>
      <c r="X951" s="324"/>
      <c r="Y951" s="324"/>
      <c r="Z951" s="324"/>
    </row>
    <row r="952">
      <c r="A952" s="324"/>
      <c r="B952" s="324"/>
      <c r="C952" s="324"/>
      <c r="D952" s="324"/>
      <c r="E952" s="324"/>
      <c r="F952" s="324"/>
      <c r="G952" s="324"/>
      <c r="H952" s="324"/>
      <c r="I952" s="324"/>
      <c r="J952" s="324"/>
      <c r="K952" s="324"/>
      <c r="L952" s="324"/>
      <c r="M952" s="324"/>
      <c r="N952" s="324"/>
      <c r="O952" s="324"/>
      <c r="P952" s="324"/>
      <c r="Q952" s="324"/>
      <c r="R952" s="324"/>
      <c r="S952" s="324"/>
      <c r="T952" s="324"/>
      <c r="U952" s="324"/>
      <c r="V952" s="324"/>
      <c r="W952" s="324"/>
      <c r="X952" s="324"/>
      <c r="Y952" s="324"/>
      <c r="Z952" s="324"/>
    </row>
    <row r="953">
      <c r="A953" s="324"/>
      <c r="B953" s="324"/>
      <c r="C953" s="324"/>
      <c r="D953" s="324"/>
      <c r="E953" s="324"/>
      <c r="F953" s="324"/>
      <c r="G953" s="324"/>
      <c r="H953" s="324"/>
      <c r="I953" s="324"/>
      <c r="J953" s="324"/>
      <c r="K953" s="324"/>
      <c r="L953" s="324"/>
      <c r="M953" s="324"/>
      <c r="N953" s="324"/>
      <c r="O953" s="324"/>
      <c r="P953" s="324"/>
      <c r="Q953" s="324"/>
      <c r="R953" s="324"/>
      <c r="S953" s="324"/>
      <c r="T953" s="324"/>
      <c r="U953" s="324"/>
      <c r="V953" s="324"/>
      <c r="W953" s="324"/>
      <c r="X953" s="324"/>
      <c r="Y953" s="324"/>
      <c r="Z953" s="324"/>
    </row>
    <row r="954">
      <c r="A954" s="324"/>
      <c r="B954" s="324"/>
      <c r="C954" s="324"/>
      <c r="D954" s="324"/>
      <c r="E954" s="324"/>
      <c r="F954" s="324"/>
      <c r="G954" s="324"/>
      <c r="H954" s="324"/>
      <c r="I954" s="324"/>
      <c r="J954" s="324"/>
      <c r="K954" s="324"/>
      <c r="L954" s="324"/>
      <c r="M954" s="324"/>
      <c r="N954" s="324"/>
      <c r="O954" s="324"/>
      <c r="P954" s="324"/>
      <c r="Q954" s="324"/>
      <c r="R954" s="324"/>
      <c r="S954" s="324"/>
      <c r="T954" s="324"/>
      <c r="U954" s="324"/>
      <c r="V954" s="324"/>
      <c r="W954" s="324"/>
      <c r="X954" s="324"/>
      <c r="Y954" s="324"/>
      <c r="Z954" s="324"/>
    </row>
    <row r="955">
      <c r="A955" s="324"/>
      <c r="B955" s="324"/>
      <c r="C955" s="324"/>
      <c r="D955" s="324"/>
      <c r="E955" s="324"/>
      <c r="F955" s="324"/>
      <c r="G955" s="324"/>
      <c r="H955" s="324"/>
      <c r="I955" s="324"/>
      <c r="J955" s="324"/>
      <c r="K955" s="324"/>
      <c r="L955" s="324"/>
      <c r="M955" s="324"/>
      <c r="N955" s="324"/>
      <c r="O955" s="324"/>
      <c r="P955" s="324"/>
      <c r="Q955" s="324"/>
      <c r="R955" s="324"/>
      <c r="S955" s="324"/>
      <c r="T955" s="324"/>
      <c r="U955" s="324"/>
      <c r="V955" s="324"/>
      <c r="W955" s="324"/>
      <c r="X955" s="324"/>
      <c r="Y955" s="324"/>
      <c r="Z955" s="324"/>
    </row>
    <row r="956">
      <c r="A956" s="324"/>
      <c r="B956" s="324"/>
      <c r="C956" s="324"/>
      <c r="D956" s="324"/>
      <c r="E956" s="324"/>
      <c r="F956" s="324"/>
      <c r="G956" s="324"/>
      <c r="H956" s="324"/>
      <c r="I956" s="324"/>
      <c r="J956" s="324"/>
      <c r="K956" s="324"/>
      <c r="L956" s="324"/>
      <c r="M956" s="324"/>
      <c r="N956" s="324"/>
      <c r="O956" s="324"/>
      <c r="P956" s="324"/>
      <c r="Q956" s="324"/>
      <c r="R956" s="324"/>
      <c r="S956" s="324"/>
      <c r="T956" s="324"/>
      <c r="U956" s="324"/>
      <c r="V956" s="324"/>
      <c r="W956" s="324"/>
      <c r="X956" s="324"/>
      <c r="Y956" s="324"/>
      <c r="Z956" s="324"/>
    </row>
    <row r="957">
      <c r="A957" s="324"/>
      <c r="B957" s="324"/>
      <c r="C957" s="324"/>
      <c r="D957" s="324"/>
      <c r="E957" s="324"/>
      <c r="F957" s="324"/>
      <c r="G957" s="324"/>
      <c r="H957" s="324"/>
      <c r="I957" s="324"/>
      <c r="J957" s="324"/>
      <c r="K957" s="324"/>
      <c r="L957" s="324"/>
      <c r="M957" s="324"/>
      <c r="N957" s="324"/>
      <c r="O957" s="324"/>
      <c r="P957" s="324"/>
      <c r="Q957" s="324"/>
      <c r="R957" s="324"/>
      <c r="S957" s="324"/>
      <c r="T957" s="324"/>
      <c r="U957" s="324"/>
      <c r="V957" s="324"/>
      <c r="W957" s="324"/>
      <c r="X957" s="324"/>
      <c r="Y957" s="324"/>
      <c r="Z957" s="324"/>
    </row>
    <row r="958">
      <c r="A958" s="324"/>
      <c r="B958" s="324"/>
      <c r="C958" s="324"/>
      <c r="D958" s="324"/>
      <c r="E958" s="324"/>
      <c r="F958" s="324"/>
      <c r="G958" s="324"/>
      <c r="H958" s="324"/>
      <c r="I958" s="324"/>
      <c r="J958" s="324"/>
      <c r="K958" s="324"/>
      <c r="L958" s="324"/>
      <c r="M958" s="324"/>
      <c r="N958" s="324"/>
      <c r="O958" s="324"/>
      <c r="P958" s="324"/>
      <c r="Q958" s="324"/>
      <c r="R958" s="324"/>
      <c r="S958" s="324"/>
      <c r="T958" s="324"/>
      <c r="U958" s="324"/>
      <c r="V958" s="324"/>
      <c r="W958" s="324"/>
      <c r="X958" s="324"/>
      <c r="Y958" s="324"/>
      <c r="Z958" s="324"/>
    </row>
    <row r="959">
      <c r="A959" s="324"/>
      <c r="B959" s="324"/>
      <c r="C959" s="324"/>
      <c r="D959" s="324"/>
      <c r="E959" s="324"/>
      <c r="F959" s="324"/>
      <c r="G959" s="324"/>
      <c r="H959" s="324"/>
      <c r="I959" s="324"/>
      <c r="J959" s="324"/>
      <c r="K959" s="324"/>
      <c r="L959" s="324"/>
      <c r="M959" s="324"/>
      <c r="N959" s="324"/>
      <c r="O959" s="324"/>
      <c r="P959" s="324"/>
      <c r="Q959" s="324"/>
      <c r="R959" s="324"/>
      <c r="S959" s="324"/>
      <c r="T959" s="324"/>
      <c r="U959" s="324"/>
      <c r="V959" s="324"/>
      <c r="W959" s="324"/>
      <c r="X959" s="324"/>
      <c r="Y959" s="324"/>
      <c r="Z959" s="324"/>
    </row>
    <row r="960">
      <c r="A960" s="324"/>
      <c r="B960" s="324"/>
      <c r="C960" s="324"/>
      <c r="D960" s="324"/>
      <c r="E960" s="324"/>
      <c r="F960" s="324"/>
      <c r="G960" s="324"/>
      <c r="H960" s="324"/>
      <c r="I960" s="324"/>
      <c r="J960" s="324"/>
      <c r="K960" s="324"/>
      <c r="L960" s="324"/>
      <c r="M960" s="324"/>
      <c r="N960" s="324"/>
      <c r="O960" s="324"/>
      <c r="P960" s="324"/>
      <c r="Q960" s="324"/>
      <c r="R960" s="324"/>
      <c r="S960" s="324"/>
      <c r="T960" s="324"/>
      <c r="U960" s="324"/>
      <c r="V960" s="324"/>
      <c r="W960" s="324"/>
      <c r="X960" s="324"/>
      <c r="Y960" s="324"/>
      <c r="Z960" s="324"/>
    </row>
    <row r="961">
      <c r="A961" s="324"/>
      <c r="B961" s="324"/>
      <c r="C961" s="324"/>
      <c r="D961" s="324"/>
      <c r="E961" s="324"/>
      <c r="F961" s="324"/>
      <c r="G961" s="324"/>
      <c r="H961" s="324"/>
      <c r="I961" s="324"/>
      <c r="J961" s="324"/>
      <c r="K961" s="324"/>
      <c r="L961" s="324"/>
      <c r="M961" s="324"/>
      <c r="N961" s="324"/>
      <c r="O961" s="324"/>
      <c r="P961" s="324"/>
      <c r="Q961" s="324"/>
      <c r="R961" s="324"/>
      <c r="S961" s="324"/>
      <c r="T961" s="324"/>
      <c r="U961" s="324"/>
      <c r="V961" s="324"/>
      <c r="W961" s="324"/>
      <c r="X961" s="324"/>
      <c r="Y961" s="324"/>
      <c r="Z961" s="324"/>
    </row>
    <row r="962">
      <c r="A962" s="324"/>
      <c r="B962" s="324"/>
      <c r="C962" s="324"/>
      <c r="D962" s="324"/>
      <c r="E962" s="324"/>
      <c r="F962" s="324"/>
      <c r="G962" s="324"/>
      <c r="H962" s="324"/>
      <c r="I962" s="324"/>
      <c r="J962" s="324"/>
      <c r="K962" s="324"/>
      <c r="L962" s="324"/>
      <c r="M962" s="324"/>
      <c r="N962" s="324"/>
      <c r="O962" s="324"/>
      <c r="P962" s="324"/>
      <c r="Q962" s="324"/>
      <c r="R962" s="324"/>
      <c r="S962" s="324"/>
      <c r="T962" s="324"/>
      <c r="U962" s="324"/>
      <c r="V962" s="324"/>
      <c r="W962" s="324"/>
      <c r="X962" s="324"/>
      <c r="Y962" s="324"/>
      <c r="Z962" s="324"/>
    </row>
    <row r="963">
      <c r="A963" s="324"/>
      <c r="B963" s="324"/>
      <c r="C963" s="324"/>
      <c r="D963" s="324"/>
      <c r="E963" s="324"/>
      <c r="F963" s="324"/>
      <c r="G963" s="324"/>
      <c r="H963" s="324"/>
      <c r="I963" s="324"/>
      <c r="J963" s="324"/>
      <c r="K963" s="324"/>
      <c r="L963" s="324"/>
      <c r="M963" s="324"/>
      <c r="N963" s="324"/>
      <c r="O963" s="324"/>
      <c r="P963" s="324"/>
      <c r="Q963" s="324"/>
      <c r="R963" s="324"/>
      <c r="S963" s="324"/>
      <c r="T963" s="324"/>
      <c r="U963" s="324"/>
      <c r="V963" s="324"/>
      <c r="W963" s="324"/>
      <c r="X963" s="324"/>
      <c r="Y963" s="324"/>
      <c r="Z963" s="324"/>
    </row>
    <row r="964">
      <c r="A964" s="324"/>
      <c r="B964" s="324"/>
      <c r="C964" s="324"/>
      <c r="D964" s="324"/>
      <c r="E964" s="324"/>
      <c r="F964" s="324"/>
      <c r="G964" s="324"/>
      <c r="H964" s="324"/>
      <c r="I964" s="324"/>
      <c r="J964" s="324"/>
      <c r="K964" s="324"/>
      <c r="L964" s="324"/>
      <c r="M964" s="324"/>
      <c r="N964" s="324"/>
      <c r="O964" s="324"/>
      <c r="P964" s="324"/>
      <c r="Q964" s="324"/>
      <c r="R964" s="324"/>
      <c r="S964" s="324"/>
      <c r="T964" s="324"/>
      <c r="U964" s="324"/>
      <c r="V964" s="324"/>
      <c r="W964" s="324"/>
      <c r="X964" s="324"/>
      <c r="Y964" s="324"/>
      <c r="Z964" s="324"/>
    </row>
    <row r="965">
      <c r="A965" s="324"/>
      <c r="B965" s="324"/>
      <c r="C965" s="324"/>
      <c r="D965" s="324"/>
      <c r="E965" s="324"/>
      <c r="F965" s="324"/>
      <c r="G965" s="324"/>
      <c r="H965" s="324"/>
      <c r="I965" s="324"/>
      <c r="J965" s="324"/>
      <c r="K965" s="324"/>
      <c r="L965" s="324"/>
      <c r="M965" s="324"/>
      <c r="N965" s="324"/>
      <c r="O965" s="324"/>
      <c r="P965" s="324"/>
      <c r="Q965" s="324"/>
      <c r="R965" s="324"/>
      <c r="S965" s="324"/>
      <c r="T965" s="324"/>
      <c r="U965" s="324"/>
      <c r="V965" s="324"/>
      <c r="W965" s="324"/>
      <c r="X965" s="324"/>
      <c r="Y965" s="324"/>
      <c r="Z965" s="324"/>
    </row>
    <row r="966">
      <c r="A966" s="324"/>
      <c r="B966" s="324"/>
      <c r="C966" s="324"/>
      <c r="D966" s="324"/>
      <c r="E966" s="324"/>
      <c r="F966" s="324"/>
      <c r="G966" s="324"/>
      <c r="H966" s="324"/>
      <c r="I966" s="324"/>
      <c r="J966" s="324"/>
      <c r="K966" s="324"/>
      <c r="L966" s="324"/>
      <c r="M966" s="324"/>
      <c r="N966" s="324"/>
      <c r="O966" s="324"/>
      <c r="P966" s="324"/>
      <c r="Q966" s="324"/>
      <c r="R966" s="324"/>
      <c r="S966" s="324"/>
      <c r="T966" s="324"/>
      <c r="U966" s="324"/>
      <c r="V966" s="324"/>
      <c r="W966" s="324"/>
      <c r="X966" s="324"/>
      <c r="Y966" s="324"/>
      <c r="Z966" s="324"/>
    </row>
    <row r="967">
      <c r="A967" s="324"/>
      <c r="B967" s="324"/>
      <c r="C967" s="324"/>
      <c r="D967" s="324"/>
      <c r="E967" s="324"/>
      <c r="F967" s="324"/>
      <c r="G967" s="324"/>
      <c r="H967" s="324"/>
      <c r="I967" s="324"/>
      <c r="J967" s="324"/>
      <c r="K967" s="324"/>
      <c r="L967" s="324"/>
      <c r="M967" s="324"/>
      <c r="N967" s="324"/>
      <c r="O967" s="324"/>
      <c r="P967" s="324"/>
      <c r="Q967" s="324"/>
      <c r="R967" s="324"/>
      <c r="S967" s="324"/>
      <c r="T967" s="324"/>
      <c r="U967" s="324"/>
      <c r="V967" s="324"/>
      <c r="W967" s="324"/>
      <c r="X967" s="324"/>
      <c r="Y967" s="324"/>
      <c r="Z967" s="324"/>
    </row>
    <row r="968">
      <c r="A968" s="324"/>
      <c r="B968" s="324"/>
      <c r="C968" s="324"/>
      <c r="D968" s="324"/>
      <c r="E968" s="324"/>
      <c r="F968" s="324"/>
      <c r="G968" s="324"/>
      <c r="H968" s="324"/>
      <c r="I968" s="324"/>
      <c r="J968" s="324"/>
      <c r="K968" s="324"/>
      <c r="L968" s="324"/>
      <c r="M968" s="324"/>
      <c r="N968" s="324"/>
      <c r="O968" s="324"/>
      <c r="P968" s="324"/>
      <c r="Q968" s="324"/>
      <c r="R968" s="324"/>
      <c r="S968" s="324"/>
      <c r="T968" s="324"/>
      <c r="U968" s="324"/>
      <c r="V968" s="324"/>
      <c r="W968" s="324"/>
      <c r="X968" s="324"/>
      <c r="Y968" s="324"/>
      <c r="Z968" s="324"/>
    </row>
    <row r="969">
      <c r="A969" s="324"/>
      <c r="B969" s="324"/>
      <c r="C969" s="324"/>
      <c r="D969" s="324"/>
      <c r="E969" s="324"/>
      <c r="F969" s="324"/>
      <c r="G969" s="324"/>
      <c r="H969" s="324"/>
      <c r="I969" s="324"/>
      <c r="J969" s="324"/>
      <c r="K969" s="324"/>
      <c r="L969" s="324"/>
      <c r="M969" s="324"/>
      <c r="N969" s="324"/>
      <c r="O969" s="324"/>
      <c r="P969" s="324"/>
      <c r="Q969" s="324"/>
      <c r="R969" s="324"/>
      <c r="S969" s="324"/>
      <c r="T969" s="324"/>
      <c r="U969" s="324"/>
      <c r="V969" s="324"/>
      <c r="W969" s="324"/>
      <c r="X969" s="324"/>
      <c r="Y969" s="324"/>
      <c r="Z969" s="324"/>
    </row>
    <row r="970">
      <c r="A970" s="324"/>
      <c r="B970" s="324"/>
      <c r="C970" s="324"/>
      <c r="D970" s="324"/>
      <c r="E970" s="324"/>
      <c r="F970" s="324"/>
      <c r="G970" s="324"/>
      <c r="H970" s="324"/>
      <c r="I970" s="324"/>
      <c r="J970" s="324"/>
      <c r="K970" s="324"/>
      <c r="L970" s="324"/>
      <c r="M970" s="324"/>
      <c r="N970" s="324"/>
      <c r="O970" s="324"/>
      <c r="P970" s="324"/>
      <c r="Q970" s="324"/>
      <c r="R970" s="324"/>
      <c r="S970" s="324"/>
      <c r="T970" s="324"/>
      <c r="U970" s="324"/>
      <c r="V970" s="324"/>
      <c r="W970" s="324"/>
      <c r="X970" s="324"/>
      <c r="Y970" s="324"/>
      <c r="Z970" s="324"/>
    </row>
    <row r="971">
      <c r="A971" s="324"/>
      <c r="B971" s="324"/>
      <c r="C971" s="324"/>
      <c r="D971" s="324"/>
      <c r="E971" s="324"/>
      <c r="F971" s="324"/>
      <c r="G971" s="324"/>
      <c r="H971" s="324"/>
      <c r="I971" s="324"/>
      <c r="J971" s="324"/>
      <c r="K971" s="324"/>
      <c r="L971" s="324"/>
      <c r="M971" s="324"/>
      <c r="N971" s="324"/>
      <c r="O971" s="324"/>
      <c r="P971" s="324"/>
      <c r="Q971" s="324"/>
      <c r="R971" s="324"/>
      <c r="S971" s="324"/>
      <c r="T971" s="324"/>
      <c r="U971" s="324"/>
      <c r="V971" s="324"/>
      <c r="W971" s="324"/>
      <c r="X971" s="324"/>
      <c r="Y971" s="324"/>
      <c r="Z971" s="324"/>
    </row>
    <row r="972">
      <c r="A972" s="324"/>
      <c r="B972" s="324"/>
      <c r="C972" s="324"/>
      <c r="D972" s="324"/>
      <c r="E972" s="324"/>
      <c r="F972" s="324"/>
      <c r="G972" s="324"/>
      <c r="H972" s="324"/>
      <c r="I972" s="324"/>
      <c r="J972" s="324"/>
      <c r="K972" s="324"/>
      <c r="L972" s="324"/>
      <c r="M972" s="324"/>
      <c r="N972" s="324"/>
      <c r="O972" s="324"/>
      <c r="P972" s="324"/>
      <c r="Q972" s="324"/>
      <c r="R972" s="324"/>
      <c r="S972" s="324"/>
      <c r="T972" s="324"/>
      <c r="U972" s="324"/>
      <c r="V972" s="324"/>
      <c r="W972" s="324"/>
      <c r="X972" s="324"/>
      <c r="Y972" s="324"/>
      <c r="Z972" s="324"/>
    </row>
    <row r="973">
      <c r="A973" s="324"/>
      <c r="B973" s="324"/>
      <c r="C973" s="324"/>
      <c r="D973" s="324"/>
      <c r="E973" s="324"/>
      <c r="F973" s="324"/>
      <c r="G973" s="324"/>
      <c r="H973" s="324"/>
      <c r="I973" s="324"/>
      <c r="J973" s="324"/>
      <c r="K973" s="324"/>
      <c r="L973" s="324"/>
      <c r="M973" s="324"/>
      <c r="N973" s="324"/>
      <c r="O973" s="324"/>
      <c r="P973" s="324"/>
      <c r="Q973" s="324"/>
      <c r="R973" s="324"/>
      <c r="S973" s="324"/>
      <c r="T973" s="324"/>
      <c r="U973" s="324"/>
      <c r="V973" s="324"/>
      <c r="W973" s="324"/>
      <c r="X973" s="324"/>
      <c r="Y973" s="324"/>
      <c r="Z973" s="324"/>
    </row>
    <row r="974">
      <c r="A974" s="324"/>
      <c r="B974" s="324"/>
      <c r="C974" s="324"/>
      <c r="D974" s="324"/>
      <c r="E974" s="324"/>
      <c r="F974" s="324"/>
      <c r="G974" s="324"/>
      <c r="H974" s="324"/>
      <c r="I974" s="324"/>
      <c r="J974" s="324"/>
      <c r="K974" s="324"/>
      <c r="L974" s="324"/>
      <c r="M974" s="324"/>
      <c r="N974" s="324"/>
      <c r="O974" s="324"/>
      <c r="P974" s="324"/>
      <c r="Q974" s="324"/>
      <c r="R974" s="324"/>
      <c r="S974" s="324"/>
      <c r="T974" s="324"/>
      <c r="U974" s="324"/>
      <c r="V974" s="324"/>
      <c r="W974" s="324"/>
      <c r="X974" s="324"/>
      <c r="Y974" s="324"/>
      <c r="Z974" s="324"/>
    </row>
    <row r="975">
      <c r="A975" s="324"/>
      <c r="B975" s="324"/>
      <c r="C975" s="324"/>
      <c r="D975" s="324"/>
      <c r="E975" s="324"/>
      <c r="F975" s="324"/>
      <c r="G975" s="324"/>
      <c r="H975" s="324"/>
      <c r="I975" s="324"/>
      <c r="J975" s="324"/>
      <c r="K975" s="324"/>
      <c r="L975" s="324"/>
      <c r="M975" s="324"/>
      <c r="N975" s="324"/>
      <c r="O975" s="324"/>
      <c r="P975" s="324"/>
      <c r="Q975" s="324"/>
      <c r="R975" s="324"/>
      <c r="S975" s="324"/>
      <c r="T975" s="324"/>
      <c r="U975" s="324"/>
      <c r="V975" s="324"/>
      <c r="W975" s="324"/>
      <c r="X975" s="324"/>
      <c r="Y975" s="324"/>
      <c r="Z975" s="324"/>
    </row>
    <row r="976">
      <c r="A976" s="324"/>
      <c r="B976" s="324"/>
      <c r="C976" s="324"/>
      <c r="D976" s="324"/>
      <c r="E976" s="324"/>
      <c r="F976" s="324"/>
      <c r="G976" s="324"/>
      <c r="H976" s="324"/>
      <c r="I976" s="324"/>
      <c r="J976" s="324"/>
      <c r="K976" s="324"/>
      <c r="L976" s="324"/>
      <c r="M976" s="324"/>
      <c r="N976" s="324"/>
      <c r="O976" s="324"/>
      <c r="P976" s="324"/>
      <c r="Q976" s="324"/>
      <c r="R976" s="324"/>
      <c r="S976" s="324"/>
      <c r="T976" s="324"/>
      <c r="U976" s="324"/>
      <c r="V976" s="324"/>
      <c r="W976" s="324"/>
      <c r="X976" s="324"/>
      <c r="Y976" s="324"/>
      <c r="Z976" s="324"/>
    </row>
    <row r="977">
      <c r="A977" s="324"/>
      <c r="B977" s="324"/>
      <c r="C977" s="324"/>
      <c r="D977" s="324"/>
      <c r="E977" s="324"/>
      <c r="F977" s="324"/>
      <c r="G977" s="324"/>
      <c r="H977" s="324"/>
      <c r="I977" s="324"/>
      <c r="J977" s="324"/>
      <c r="K977" s="324"/>
      <c r="L977" s="324"/>
      <c r="M977" s="324"/>
      <c r="N977" s="324"/>
      <c r="O977" s="324"/>
      <c r="P977" s="324"/>
      <c r="Q977" s="324"/>
      <c r="R977" s="324"/>
      <c r="S977" s="324"/>
      <c r="T977" s="324"/>
      <c r="U977" s="324"/>
      <c r="V977" s="324"/>
      <c r="W977" s="324"/>
      <c r="X977" s="324"/>
      <c r="Y977" s="324"/>
      <c r="Z977" s="324"/>
    </row>
    <row r="978">
      <c r="A978" s="324"/>
      <c r="B978" s="324"/>
      <c r="C978" s="324"/>
      <c r="D978" s="324"/>
      <c r="E978" s="324"/>
      <c r="F978" s="324"/>
      <c r="G978" s="324"/>
      <c r="H978" s="324"/>
      <c r="I978" s="324"/>
      <c r="J978" s="324"/>
      <c r="K978" s="324"/>
      <c r="L978" s="324"/>
      <c r="M978" s="324"/>
      <c r="N978" s="324"/>
      <c r="O978" s="324"/>
      <c r="P978" s="324"/>
      <c r="Q978" s="324"/>
      <c r="R978" s="324"/>
      <c r="S978" s="324"/>
      <c r="T978" s="324"/>
      <c r="U978" s="324"/>
      <c r="V978" s="324"/>
      <c r="W978" s="324"/>
      <c r="X978" s="324"/>
      <c r="Y978" s="324"/>
      <c r="Z978" s="324"/>
    </row>
    <row r="979">
      <c r="A979" s="324"/>
      <c r="B979" s="324"/>
      <c r="C979" s="324"/>
      <c r="D979" s="324"/>
      <c r="E979" s="324"/>
      <c r="F979" s="324"/>
      <c r="G979" s="324"/>
      <c r="H979" s="324"/>
      <c r="I979" s="324"/>
      <c r="J979" s="324"/>
      <c r="K979" s="324"/>
      <c r="L979" s="324"/>
      <c r="M979" s="324"/>
      <c r="N979" s="324"/>
      <c r="O979" s="324"/>
      <c r="P979" s="324"/>
      <c r="Q979" s="324"/>
      <c r="R979" s="324"/>
      <c r="S979" s="324"/>
      <c r="T979" s="324"/>
      <c r="U979" s="324"/>
      <c r="V979" s="324"/>
      <c r="W979" s="324"/>
      <c r="X979" s="324"/>
      <c r="Y979" s="324"/>
      <c r="Z979" s="324"/>
    </row>
    <row r="980">
      <c r="A980" s="324"/>
      <c r="B980" s="324"/>
      <c r="C980" s="324"/>
      <c r="D980" s="324"/>
      <c r="E980" s="324"/>
      <c r="F980" s="324"/>
      <c r="G980" s="324"/>
      <c r="H980" s="324"/>
      <c r="I980" s="324"/>
      <c r="J980" s="324"/>
      <c r="K980" s="324"/>
      <c r="L980" s="324"/>
      <c r="M980" s="324"/>
      <c r="N980" s="324"/>
      <c r="O980" s="324"/>
      <c r="P980" s="324"/>
      <c r="Q980" s="324"/>
      <c r="R980" s="324"/>
      <c r="S980" s="324"/>
      <c r="T980" s="324"/>
      <c r="U980" s="324"/>
      <c r="V980" s="324"/>
      <c r="W980" s="324"/>
      <c r="X980" s="324"/>
      <c r="Y980" s="324"/>
      <c r="Z980" s="324"/>
    </row>
    <row r="981">
      <c r="A981" s="324"/>
      <c r="B981" s="324"/>
      <c r="C981" s="324"/>
      <c r="D981" s="324"/>
      <c r="E981" s="324"/>
      <c r="F981" s="324"/>
      <c r="G981" s="324"/>
      <c r="H981" s="324"/>
      <c r="I981" s="324"/>
      <c r="J981" s="324"/>
      <c r="K981" s="324"/>
      <c r="L981" s="324"/>
      <c r="M981" s="324"/>
      <c r="N981" s="324"/>
      <c r="O981" s="324"/>
      <c r="P981" s="324"/>
      <c r="Q981" s="324"/>
      <c r="R981" s="324"/>
      <c r="S981" s="324"/>
      <c r="T981" s="324"/>
      <c r="U981" s="324"/>
      <c r="V981" s="324"/>
      <c r="W981" s="324"/>
      <c r="X981" s="324"/>
      <c r="Y981" s="324"/>
      <c r="Z981" s="324"/>
    </row>
    <row r="982">
      <c r="A982" s="324"/>
      <c r="B982" s="324"/>
      <c r="C982" s="324"/>
      <c r="D982" s="324"/>
      <c r="E982" s="324"/>
      <c r="F982" s="324"/>
      <c r="G982" s="324"/>
      <c r="H982" s="324"/>
      <c r="I982" s="324"/>
      <c r="J982" s="324"/>
      <c r="K982" s="324"/>
      <c r="L982" s="324"/>
      <c r="M982" s="324"/>
      <c r="N982" s="324"/>
      <c r="O982" s="324"/>
      <c r="P982" s="324"/>
      <c r="Q982" s="324"/>
      <c r="R982" s="324"/>
      <c r="S982" s="324"/>
      <c r="T982" s="324"/>
      <c r="U982" s="324"/>
      <c r="V982" s="324"/>
      <c r="W982" s="324"/>
      <c r="X982" s="324"/>
      <c r="Y982" s="324"/>
      <c r="Z982" s="324"/>
    </row>
    <row r="983">
      <c r="A983" s="324"/>
      <c r="B983" s="324"/>
      <c r="C983" s="324"/>
      <c r="D983" s="324"/>
      <c r="E983" s="324"/>
      <c r="F983" s="324"/>
      <c r="G983" s="324"/>
      <c r="H983" s="324"/>
      <c r="I983" s="324"/>
      <c r="J983" s="324"/>
      <c r="K983" s="324"/>
      <c r="L983" s="324"/>
      <c r="M983" s="324"/>
      <c r="N983" s="324"/>
      <c r="O983" s="324"/>
      <c r="P983" s="324"/>
      <c r="Q983" s="324"/>
      <c r="R983" s="324"/>
      <c r="S983" s="324"/>
      <c r="T983" s="324"/>
      <c r="U983" s="324"/>
      <c r="V983" s="324"/>
      <c r="W983" s="324"/>
      <c r="X983" s="324"/>
      <c r="Y983" s="324"/>
      <c r="Z983" s="324"/>
    </row>
    <row r="984">
      <c r="A984" s="324"/>
      <c r="B984" s="324"/>
      <c r="C984" s="324"/>
      <c r="D984" s="324"/>
      <c r="E984" s="324"/>
      <c r="F984" s="324"/>
      <c r="G984" s="324"/>
      <c r="H984" s="324"/>
      <c r="I984" s="324"/>
      <c r="J984" s="324"/>
      <c r="K984" s="324"/>
      <c r="L984" s="324"/>
      <c r="M984" s="324"/>
      <c r="N984" s="324"/>
      <c r="O984" s="324"/>
      <c r="P984" s="324"/>
      <c r="Q984" s="324"/>
      <c r="R984" s="324"/>
      <c r="S984" s="324"/>
      <c r="T984" s="324"/>
      <c r="U984" s="324"/>
      <c r="V984" s="324"/>
      <c r="W984" s="324"/>
      <c r="X984" s="324"/>
      <c r="Y984" s="324"/>
      <c r="Z984" s="324"/>
    </row>
    <row r="985">
      <c r="A985" s="324"/>
      <c r="B985" s="324"/>
      <c r="C985" s="324"/>
      <c r="D985" s="324"/>
      <c r="E985" s="324"/>
      <c r="F985" s="324"/>
      <c r="G985" s="324"/>
      <c r="H985" s="324"/>
      <c r="I985" s="324"/>
      <c r="J985" s="324"/>
      <c r="K985" s="324"/>
      <c r="L985" s="324"/>
      <c r="M985" s="324"/>
      <c r="N985" s="324"/>
      <c r="O985" s="324"/>
      <c r="P985" s="324"/>
      <c r="Q985" s="324"/>
      <c r="R985" s="324"/>
      <c r="S985" s="324"/>
      <c r="T985" s="324"/>
      <c r="U985" s="324"/>
      <c r="V985" s="324"/>
      <c r="W985" s="324"/>
      <c r="X985" s="324"/>
      <c r="Y985" s="324"/>
      <c r="Z985" s="324"/>
    </row>
    <row r="986">
      <c r="A986" s="324"/>
      <c r="B986" s="324"/>
      <c r="C986" s="324"/>
      <c r="D986" s="324"/>
      <c r="E986" s="324"/>
      <c r="F986" s="324"/>
      <c r="G986" s="324"/>
      <c r="H986" s="324"/>
      <c r="I986" s="324"/>
      <c r="J986" s="324"/>
      <c r="K986" s="324"/>
      <c r="L986" s="324"/>
      <c r="M986" s="324"/>
      <c r="N986" s="324"/>
      <c r="O986" s="324"/>
      <c r="P986" s="324"/>
      <c r="Q986" s="324"/>
      <c r="R986" s="324"/>
      <c r="S986" s="324"/>
      <c r="T986" s="324"/>
      <c r="U986" s="324"/>
      <c r="V986" s="324"/>
      <c r="W986" s="324"/>
      <c r="X986" s="324"/>
      <c r="Y986" s="324"/>
      <c r="Z986" s="324"/>
    </row>
    <row r="987">
      <c r="A987" s="324"/>
      <c r="B987" s="324"/>
      <c r="C987" s="324"/>
      <c r="D987" s="324"/>
      <c r="E987" s="324"/>
      <c r="F987" s="324"/>
      <c r="G987" s="324"/>
      <c r="H987" s="324"/>
      <c r="I987" s="324"/>
      <c r="J987" s="324"/>
      <c r="K987" s="324"/>
      <c r="L987" s="324"/>
      <c r="M987" s="324"/>
      <c r="N987" s="324"/>
      <c r="O987" s="324"/>
      <c r="P987" s="324"/>
      <c r="Q987" s="324"/>
      <c r="R987" s="324"/>
      <c r="S987" s="324"/>
      <c r="T987" s="324"/>
      <c r="U987" s="324"/>
      <c r="V987" s="324"/>
      <c r="W987" s="324"/>
      <c r="X987" s="324"/>
      <c r="Y987" s="324"/>
      <c r="Z987" s="324"/>
    </row>
    <row r="988">
      <c r="A988" s="324"/>
      <c r="B988" s="324"/>
      <c r="C988" s="324"/>
      <c r="D988" s="324"/>
      <c r="E988" s="324"/>
      <c r="F988" s="324"/>
      <c r="G988" s="324"/>
      <c r="H988" s="324"/>
      <c r="I988" s="324"/>
      <c r="J988" s="324"/>
      <c r="K988" s="324"/>
      <c r="L988" s="324"/>
      <c r="M988" s="324"/>
      <c r="N988" s="324"/>
      <c r="O988" s="324"/>
      <c r="P988" s="324"/>
      <c r="Q988" s="324"/>
      <c r="R988" s="324"/>
      <c r="S988" s="324"/>
      <c r="T988" s="324"/>
      <c r="U988" s="324"/>
      <c r="V988" s="324"/>
      <c r="W988" s="324"/>
      <c r="X988" s="324"/>
      <c r="Y988" s="324"/>
      <c r="Z988" s="324"/>
    </row>
    <row r="989">
      <c r="A989" s="324"/>
      <c r="B989" s="324"/>
      <c r="C989" s="324"/>
      <c r="D989" s="324"/>
      <c r="E989" s="324"/>
      <c r="F989" s="324"/>
      <c r="G989" s="324"/>
      <c r="H989" s="324"/>
      <c r="I989" s="324"/>
      <c r="J989" s="324"/>
      <c r="K989" s="324"/>
      <c r="L989" s="324"/>
      <c r="M989" s="324"/>
      <c r="N989" s="324"/>
      <c r="O989" s="324"/>
      <c r="P989" s="324"/>
      <c r="Q989" s="324"/>
      <c r="R989" s="324"/>
      <c r="S989" s="324"/>
      <c r="T989" s="324"/>
      <c r="U989" s="324"/>
      <c r="V989" s="324"/>
      <c r="W989" s="324"/>
      <c r="X989" s="324"/>
      <c r="Y989" s="324"/>
      <c r="Z989" s="324"/>
    </row>
    <row r="990">
      <c r="A990" s="324"/>
      <c r="B990" s="324"/>
      <c r="C990" s="324"/>
      <c r="D990" s="324"/>
      <c r="E990" s="324"/>
      <c r="F990" s="324"/>
      <c r="G990" s="324"/>
      <c r="H990" s="324"/>
      <c r="I990" s="324"/>
      <c r="J990" s="324"/>
      <c r="K990" s="324"/>
      <c r="L990" s="324"/>
      <c r="M990" s="324"/>
      <c r="N990" s="324"/>
      <c r="O990" s="324"/>
      <c r="P990" s="324"/>
      <c r="Q990" s="324"/>
      <c r="R990" s="324"/>
      <c r="S990" s="324"/>
      <c r="T990" s="324"/>
      <c r="U990" s="324"/>
      <c r="V990" s="324"/>
      <c r="W990" s="324"/>
      <c r="X990" s="324"/>
      <c r="Y990" s="324"/>
      <c r="Z990" s="324"/>
    </row>
    <row r="991">
      <c r="A991" s="324"/>
      <c r="B991" s="324"/>
      <c r="C991" s="324"/>
      <c r="D991" s="324"/>
      <c r="E991" s="324"/>
      <c r="F991" s="324"/>
      <c r="G991" s="324"/>
      <c r="H991" s="324"/>
      <c r="I991" s="324"/>
      <c r="J991" s="324"/>
      <c r="K991" s="324"/>
      <c r="L991" s="324"/>
      <c r="M991" s="324"/>
      <c r="N991" s="324"/>
      <c r="O991" s="324"/>
      <c r="P991" s="324"/>
      <c r="Q991" s="324"/>
      <c r="R991" s="324"/>
      <c r="S991" s="324"/>
      <c r="T991" s="324"/>
      <c r="U991" s="324"/>
      <c r="V991" s="324"/>
      <c r="W991" s="324"/>
      <c r="X991" s="324"/>
      <c r="Y991" s="324"/>
      <c r="Z991" s="324"/>
    </row>
    <row r="992">
      <c r="A992" s="324"/>
      <c r="B992" s="324"/>
      <c r="C992" s="324"/>
      <c r="D992" s="324"/>
      <c r="E992" s="324"/>
      <c r="F992" s="324"/>
      <c r="G992" s="324"/>
      <c r="H992" s="324"/>
      <c r="I992" s="324"/>
      <c r="J992" s="324"/>
      <c r="K992" s="324"/>
      <c r="L992" s="324"/>
      <c r="M992" s="324"/>
      <c r="N992" s="324"/>
      <c r="O992" s="324"/>
      <c r="P992" s="324"/>
      <c r="Q992" s="324"/>
      <c r="R992" s="324"/>
      <c r="S992" s="324"/>
      <c r="T992" s="324"/>
      <c r="U992" s="324"/>
      <c r="V992" s="324"/>
      <c r="W992" s="324"/>
      <c r="X992" s="324"/>
      <c r="Y992" s="324"/>
      <c r="Z992" s="324"/>
    </row>
    <row r="993">
      <c r="A993" s="324"/>
      <c r="B993" s="324"/>
      <c r="C993" s="324"/>
      <c r="D993" s="324"/>
      <c r="E993" s="324"/>
      <c r="F993" s="324"/>
      <c r="G993" s="324"/>
      <c r="H993" s="324"/>
      <c r="I993" s="324"/>
      <c r="J993" s="324"/>
      <c r="K993" s="324"/>
      <c r="L993" s="324"/>
      <c r="M993" s="324"/>
      <c r="N993" s="324"/>
      <c r="O993" s="324"/>
      <c r="P993" s="324"/>
      <c r="Q993" s="324"/>
      <c r="R993" s="324"/>
      <c r="S993" s="324"/>
      <c r="T993" s="324"/>
      <c r="U993" s="324"/>
      <c r="V993" s="324"/>
      <c r="W993" s="324"/>
      <c r="X993" s="324"/>
      <c r="Y993" s="324"/>
      <c r="Z993" s="324"/>
    </row>
    <row r="994">
      <c r="A994" s="324"/>
      <c r="B994" s="324"/>
      <c r="C994" s="324"/>
      <c r="D994" s="324"/>
      <c r="E994" s="324"/>
      <c r="F994" s="324"/>
      <c r="G994" s="324"/>
      <c r="H994" s="324"/>
      <c r="I994" s="324"/>
      <c r="J994" s="324"/>
      <c r="K994" s="324"/>
      <c r="L994" s="324"/>
      <c r="M994" s="324"/>
      <c r="N994" s="324"/>
      <c r="O994" s="324"/>
      <c r="P994" s="324"/>
      <c r="Q994" s="324"/>
      <c r="R994" s="324"/>
      <c r="S994" s="324"/>
      <c r="T994" s="324"/>
      <c r="U994" s="324"/>
      <c r="V994" s="324"/>
      <c r="W994" s="324"/>
      <c r="X994" s="324"/>
      <c r="Y994" s="324"/>
      <c r="Z994" s="324"/>
    </row>
    <row r="995">
      <c r="A995" s="324"/>
      <c r="B995" s="324"/>
      <c r="C995" s="324"/>
      <c r="D995" s="324"/>
      <c r="E995" s="324"/>
      <c r="F995" s="324"/>
      <c r="G995" s="324"/>
      <c r="H995" s="324"/>
      <c r="I995" s="324"/>
      <c r="J995" s="324"/>
      <c r="K995" s="324"/>
      <c r="L995" s="324"/>
      <c r="M995" s="324"/>
      <c r="N995" s="324"/>
      <c r="O995" s="324"/>
      <c r="P995" s="324"/>
      <c r="Q995" s="324"/>
      <c r="R995" s="324"/>
      <c r="S995" s="324"/>
      <c r="T995" s="324"/>
      <c r="U995" s="324"/>
      <c r="V995" s="324"/>
      <c r="W995" s="324"/>
      <c r="X995" s="324"/>
      <c r="Y995" s="324"/>
      <c r="Z995" s="324"/>
    </row>
    <row r="996">
      <c r="A996" s="324"/>
      <c r="B996" s="324"/>
      <c r="C996" s="324"/>
      <c r="D996" s="324"/>
      <c r="E996" s="324"/>
      <c r="F996" s="324"/>
      <c r="G996" s="324"/>
      <c r="H996" s="324"/>
      <c r="I996" s="324"/>
      <c r="J996" s="324"/>
      <c r="K996" s="324"/>
      <c r="L996" s="324"/>
      <c r="M996" s="324"/>
      <c r="N996" s="324"/>
      <c r="O996" s="324"/>
      <c r="P996" s="324"/>
      <c r="Q996" s="324"/>
      <c r="R996" s="324"/>
      <c r="S996" s="324"/>
      <c r="T996" s="324"/>
      <c r="U996" s="324"/>
      <c r="V996" s="324"/>
      <c r="W996" s="324"/>
      <c r="X996" s="324"/>
      <c r="Y996" s="324"/>
      <c r="Z996" s="324"/>
    </row>
    <row r="997">
      <c r="A997" s="324"/>
      <c r="B997" s="324"/>
      <c r="C997" s="324"/>
      <c r="D997" s="324"/>
      <c r="E997" s="324"/>
      <c r="F997" s="324"/>
      <c r="G997" s="324"/>
      <c r="H997" s="324"/>
      <c r="I997" s="324"/>
      <c r="J997" s="324"/>
      <c r="K997" s="324"/>
      <c r="L997" s="324"/>
      <c r="M997" s="324"/>
      <c r="N997" s="324"/>
      <c r="O997" s="324"/>
      <c r="P997" s="324"/>
      <c r="Q997" s="324"/>
      <c r="R997" s="324"/>
      <c r="S997" s="324"/>
      <c r="T997" s="324"/>
      <c r="U997" s="324"/>
      <c r="V997" s="324"/>
      <c r="W997" s="324"/>
      <c r="X997" s="324"/>
      <c r="Y997" s="324"/>
      <c r="Z997" s="324"/>
    </row>
    <row r="998">
      <c r="A998" s="324"/>
      <c r="B998" s="324"/>
      <c r="C998" s="324"/>
      <c r="D998" s="324"/>
      <c r="E998" s="324"/>
      <c r="F998" s="324"/>
      <c r="G998" s="324"/>
      <c r="H998" s="324"/>
      <c r="I998" s="324"/>
      <c r="J998" s="324"/>
      <c r="K998" s="324"/>
      <c r="L998" s="324"/>
      <c r="M998" s="324"/>
      <c r="N998" s="324"/>
      <c r="O998" s="324"/>
      <c r="P998" s="324"/>
      <c r="Q998" s="324"/>
      <c r="R998" s="324"/>
      <c r="S998" s="324"/>
      <c r="T998" s="324"/>
      <c r="U998" s="324"/>
      <c r="V998" s="324"/>
      <c r="W998" s="324"/>
      <c r="X998" s="324"/>
      <c r="Y998" s="324"/>
      <c r="Z998" s="324"/>
    </row>
    <row r="999">
      <c r="A999" s="324"/>
      <c r="B999" s="324"/>
      <c r="C999" s="324"/>
      <c r="D999" s="324"/>
      <c r="E999" s="324"/>
      <c r="F999" s="324"/>
      <c r="G999" s="324"/>
      <c r="H999" s="324"/>
      <c r="I999" s="324"/>
      <c r="J999" s="324"/>
      <c r="K999" s="324"/>
      <c r="L999" s="324"/>
      <c r="M999" s="324"/>
      <c r="N999" s="324"/>
      <c r="O999" s="324"/>
      <c r="P999" s="324"/>
      <c r="Q999" s="324"/>
      <c r="R999" s="324"/>
      <c r="S999" s="324"/>
      <c r="T999" s="324"/>
      <c r="U999" s="324"/>
      <c r="V999" s="324"/>
      <c r="W999" s="324"/>
      <c r="X999" s="324"/>
      <c r="Y999" s="324"/>
      <c r="Z999" s="324"/>
    </row>
    <row r="1000">
      <c r="A1000" s="324"/>
      <c r="B1000" s="324"/>
      <c r="C1000" s="324"/>
      <c r="D1000" s="324"/>
      <c r="E1000" s="324"/>
      <c r="F1000" s="324"/>
      <c r="G1000" s="324"/>
      <c r="H1000" s="324"/>
      <c r="I1000" s="324"/>
      <c r="J1000" s="324"/>
      <c r="K1000" s="324"/>
      <c r="L1000" s="324"/>
      <c r="M1000" s="324"/>
      <c r="N1000" s="324"/>
      <c r="O1000" s="324"/>
      <c r="P1000" s="324"/>
      <c r="Q1000" s="324"/>
      <c r="R1000" s="324"/>
      <c r="S1000" s="324"/>
      <c r="T1000" s="324"/>
      <c r="U1000" s="324"/>
      <c r="V1000" s="324"/>
      <c r="W1000" s="324"/>
      <c r="X1000" s="324"/>
      <c r="Y1000" s="324"/>
      <c r="Z1000" s="324"/>
    </row>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63"/>
    <col customWidth="1" min="2" max="4" width="13.13"/>
    <col customWidth="1" min="5" max="5" width="17.5"/>
    <col customWidth="1" min="6" max="6" width="35.0"/>
    <col customWidth="1" min="7" max="7" width="8.75"/>
    <col customWidth="1" min="8" max="8" width="28.63"/>
    <col customWidth="1" min="9" max="9" width="25.63"/>
    <col customWidth="1" min="10" max="26" width="7.63"/>
  </cols>
  <sheetData>
    <row r="1">
      <c r="A1" s="325" t="s">
        <v>10105</v>
      </c>
      <c r="B1" s="326"/>
      <c r="C1" s="327"/>
    </row>
    <row r="2">
      <c r="A2" s="328" t="s">
        <v>10106</v>
      </c>
      <c r="B2" s="329" t="s">
        <v>10107</v>
      </c>
      <c r="C2" s="330" t="s">
        <v>10108</v>
      </c>
      <c r="D2" s="328" t="s">
        <v>10109</v>
      </c>
      <c r="E2" s="328" t="s">
        <v>10110</v>
      </c>
      <c r="F2" s="328" t="s">
        <v>1035</v>
      </c>
      <c r="G2" s="328" t="s">
        <v>8585</v>
      </c>
      <c r="H2" s="28" t="s">
        <v>14</v>
      </c>
    </row>
    <row r="3">
      <c r="A3" s="331" t="s">
        <v>10111</v>
      </c>
      <c r="B3" s="326">
        <f>SUMIF(Sales!B3:B10000,"&lt;&gt;",Sales!F3:F10000)</f>
        <v>1717</v>
      </c>
      <c r="C3" s="327"/>
      <c r="E3" s="28" t="s">
        <v>10112</v>
      </c>
      <c r="F3" s="331" t="s">
        <v>10113</v>
      </c>
      <c r="G3" s="331" t="s">
        <v>10114</v>
      </c>
      <c r="H3" s="21" t="s">
        <v>22</v>
      </c>
    </row>
    <row r="4">
      <c r="A4" s="331" t="s">
        <v>10115</v>
      </c>
      <c r="B4" s="326">
        <f>SUMPRODUCT(('Plant Inventory'!J3:J682="Sold")*('Plant Inventory'!D3:D682))</f>
        <v>651.23</v>
      </c>
      <c r="C4" s="327"/>
      <c r="E4" s="28" t="s">
        <v>10112</v>
      </c>
      <c r="F4" s="331" t="s">
        <v>10116</v>
      </c>
      <c r="G4" s="331" t="s">
        <v>10117</v>
      </c>
      <c r="H4" s="21" t="s">
        <v>22</v>
      </c>
    </row>
    <row r="5">
      <c r="A5" s="331" t="s">
        <v>10118</v>
      </c>
      <c r="B5" s="326">
        <f>SUMPRODUCT((Sales!B3:B10000&lt;&gt;"")*ISNUMBER(MATCH(Sales!B3:B10000,'Product Inventory'!B3:B997,0))*Sales!J3:J10000)</f>
        <v>123.06</v>
      </c>
      <c r="C5" s="327"/>
      <c r="E5" s="28" t="s">
        <v>10112</v>
      </c>
      <c r="F5" s="331" t="s">
        <v>10119</v>
      </c>
      <c r="G5" s="331" t="s">
        <v>10120</v>
      </c>
      <c r="H5" s="21" t="s">
        <v>22</v>
      </c>
    </row>
    <row r="6">
      <c r="A6" s="331" t="s">
        <v>10121</v>
      </c>
      <c r="B6" s="326">
        <f>B4+B5</f>
        <v>774.29</v>
      </c>
      <c r="C6" s="327"/>
      <c r="E6" s="28" t="s">
        <v>10112</v>
      </c>
      <c r="F6" s="331" t="s">
        <v>10122</v>
      </c>
      <c r="G6" s="331" t="s">
        <v>10123</v>
      </c>
      <c r="H6" s="21" t="s">
        <v>22</v>
      </c>
    </row>
    <row r="7">
      <c r="A7" s="331" t="s">
        <v>10124</v>
      </c>
      <c r="B7" s="326">
        <f>B3-B6</f>
        <v>942.71</v>
      </c>
      <c r="C7" s="327"/>
      <c r="E7" s="28" t="s">
        <v>10112</v>
      </c>
      <c r="F7" s="331" t="s">
        <v>10125</v>
      </c>
      <c r="G7" s="331" t="s">
        <v>10126</v>
      </c>
      <c r="H7" s="21" t="s">
        <v>22</v>
      </c>
    </row>
    <row r="8">
      <c r="A8" s="331" t="s">
        <v>10127</v>
      </c>
      <c r="B8" s="326"/>
      <c r="C8" s="327">
        <f>IFERROR(B7/B3,"")</f>
        <v>0.5490448457</v>
      </c>
      <c r="E8" s="28" t="s">
        <v>10112</v>
      </c>
      <c r="F8" s="331" t="s">
        <v>10128</v>
      </c>
      <c r="G8" s="331" t="s">
        <v>10129</v>
      </c>
      <c r="H8" s="21" t="s">
        <v>22</v>
      </c>
    </row>
    <row r="9">
      <c r="A9" s="331" t="s">
        <v>10130</v>
      </c>
      <c r="B9" s="326">
        <f>SUMIF('Overhead Expenses'!D3:D4997,"&lt;&gt;",'Overhead Expenses'!K3:K4997)</f>
        <v>7744.63</v>
      </c>
      <c r="C9" s="327"/>
      <c r="E9" s="28" t="s">
        <v>10112</v>
      </c>
      <c r="F9" s="331" t="s">
        <v>10131</v>
      </c>
      <c r="G9" s="331" t="s">
        <v>10132</v>
      </c>
      <c r="H9" s="21" t="s">
        <v>22</v>
      </c>
    </row>
    <row r="10">
      <c r="A10" s="331" t="s">
        <v>10133</v>
      </c>
      <c r="B10" s="326">
        <f>B7-B9</f>
        <v>-6801.92</v>
      </c>
      <c r="C10" s="327"/>
      <c r="E10" s="28" t="s">
        <v>10112</v>
      </c>
      <c r="F10" s="331" t="s">
        <v>10134</v>
      </c>
      <c r="G10" s="331" t="s">
        <v>10135</v>
      </c>
      <c r="H10" s="21" t="s">
        <v>22</v>
      </c>
    </row>
    <row r="11">
      <c r="A11" s="331" t="s">
        <v>10136</v>
      </c>
      <c r="B11" s="326"/>
      <c r="C11" s="327">
        <f>IFERROR(B10/B3,"")</f>
        <v>-3.961514269</v>
      </c>
      <c r="E11" s="28" t="s">
        <v>10112</v>
      </c>
      <c r="F11" s="331" t="s">
        <v>10137</v>
      </c>
      <c r="G11" s="331" t="s">
        <v>10138</v>
      </c>
      <c r="H11" s="21" t="s">
        <v>22</v>
      </c>
    </row>
    <row r="12">
      <c r="A12" s="331" t="s">
        <v>10139</v>
      </c>
      <c r="B12" s="326"/>
      <c r="C12" s="327"/>
      <c r="D12" s="331">
        <f>COUNTA(Sales!B3:B10000)</f>
        <v>169</v>
      </c>
      <c r="E12" s="331" t="s">
        <v>10140</v>
      </c>
      <c r="F12" s="331" t="s">
        <v>10141</v>
      </c>
      <c r="G12" s="331" t="s">
        <v>10142</v>
      </c>
      <c r="H12" s="21" t="s">
        <v>22</v>
      </c>
    </row>
    <row r="13">
      <c r="A13" s="331" t="s">
        <v>10143</v>
      </c>
      <c r="B13" s="326">
        <f>IFERROR(B3/D12,"")</f>
        <v>10.15976331</v>
      </c>
      <c r="C13" s="327"/>
      <c r="E13" s="331" t="s">
        <v>10140</v>
      </c>
      <c r="F13" s="331" t="s">
        <v>10144</v>
      </c>
      <c r="G13" s="331" t="s">
        <v>10145</v>
      </c>
      <c r="H13" s="21" t="s">
        <v>22</v>
      </c>
    </row>
    <row r="14">
      <c r="A14" s="331" t="s">
        <v>10146</v>
      </c>
      <c r="B14" s="326">
        <f>IFERROR(B10/D12,"")</f>
        <v>-40.24804734</v>
      </c>
      <c r="C14" s="327"/>
      <c r="E14" s="331" t="s">
        <v>10140</v>
      </c>
      <c r="F14" s="331" t="s">
        <v>10147</v>
      </c>
      <c r="G14" s="331" t="s">
        <v>10148</v>
      </c>
      <c r="H14" s="21" t="s">
        <v>22</v>
      </c>
    </row>
    <row r="15">
      <c r="A15" s="331" t="s">
        <v>10149</v>
      </c>
      <c r="B15" s="326">
        <f>SUMIF(Sales!I3:I10000,"Palm Street",Sales!F3:F10000)</f>
        <v>501</v>
      </c>
      <c r="C15" s="327"/>
      <c r="E15" s="331" t="s">
        <v>10140</v>
      </c>
      <c r="F15" s="331" t="s">
        <v>10150</v>
      </c>
      <c r="G15" s="331" t="s">
        <v>10151</v>
      </c>
      <c r="H15" s="21" t="s">
        <v>22</v>
      </c>
    </row>
    <row r="16">
      <c r="A16" s="331" t="s">
        <v>10152</v>
      </c>
      <c r="B16" s="326">
        <f>SUMIF(Sales!I3:I10000,"In Person",Sales!F3:F10000)</f>
        <v>331</v>
      </c>
      <c r="C16" s="327"/>
      <c r="E16" s="331" t="s">
        <v>10140</v>
      </c>
      <c r="F16" s="331" t="s">
        <v>10150</v>
      </c>
      <c r="G16" s="331" t="s">
        <v>10153</v>
      </c>
      <c r="H16" s="21" t="s">
        <v>22</v>
      </c>
    </row>
    <row r="17">
      <c r="A17" s="331" t="s">
        <v>10154</v>
      </c>
      <c r="B17" s="326">
        <f>SUMIF(Sales!I3:I10000,"Facebook Marketplace",Sales!F3:F10000)</f>
        <v>388</v>
      </c>
      <c r="C17" s="327"/>
      <c r="E17" s="331" t="s">
        <v>10140</v>
      </c>
      <c r="F17" s="331" t="s">
        <v>10150</v>
      </c>
      <c r="G17" s="331" t="s">
        <v>10155</v>
      </c>
      <c r="H17" s="21" t="s">
        <v>22</v>
      </c>
    </row>
    <row r="18">
      <c r="A18" s="331" t="s">
        <v>10156</v>
      </c>
      <c r="B18" s="326">
        <f>SUMIF(Sales!I3:I10000,"Flea Market",Sales!F3:F10000)</f>
        <v>95</v>
      </c>
      <c r="C18" s="327"/>
      <c r="E18" s="331" t="s">
        <v>10140</v>
      </c>
      <c r="F18" s="331" t="s">
        <v>10150</v>
      </c>
      <c r="G18" s="331" t="s">
        <v>10157</v>
      </c>
      <c r="H18" s="21" t="s">
        <v>22</v>
      </c>
    </row>
    <row r="19">
      <c r="A19" s="331" t="s">
        <v>10158</v>
      </c>
      <c r="B19" s="326">
        <f>SUMIF(Sales!I3:I10000,"Square Online",Sales!F3:F10000)</f>
        <v>125</v>
      </c>
      <c r="C19" s="327"/>
      <c r="E19" s="331" t="s">
        <v>10140</v>
      </c>
      <c r="F19" s="331" t="s">
        <v>10150</v>
      </c>
      <c r="G19" s="331" t="s">
        <v>10159</v>
      </c>
      <c r="H19" s="21" t="s">
        <v>22</v>
      </c>
    </row>
    <row r="20">
      <c r="A20" s="331" t="s">
        <v>10160</v>
      </c>
      <c r="B20" s="326">
        <f>SUMIF(Sales!I3:I10000,"Merlin Outdoor Market",Sales!F3:F10000)</f>
        <v>170</v>
      </c>
      <c r="C20" s="327"/>
      <c r="E20" s="331" t="s">
        <v>10140</v>
      </c>
      <c r="F20" s="331" t="s">
        <v>10150</v>
      </c>
      <c r="G20" s="331" t="s">
        <v>10161</v>
      </c>
      <c r="H20" s="21" t="s">
        <v>22</v>
      </c>
    </row>
    <row r="21">
      <c r="A21" s="331" t="s">
        <v>10162</v>
      </c>
      <c r="B21" s="326">
        <f>SUMIF(Sales!I3:I10000,"Facebook",Sales!F3:F10000)</f>
        <v>107</v>
      </c>
      <c r="C21" s="327"/>
      <c r="E21" s="331" t="s">
        <v>10140</v>
      </c>
      <c r="F21" s="331" t="s">
        <v>10150</v>
      </c>
      <c r="G21" s="331" t="s">
        <v>10163</v>
      </c>
      <c r="H21" s="21" t="s">
        <v>22</v>
      </c>
    </row>
    <row r="22">
      <c r="A22" s="331" t="s">
        <v>10164</v>
      </c>
      <c r="B22" s="326">
        <f>SUMIFS(Sales!F3:F10000,Sales!A3:A10000,"&gt;="&amp;DATE(2025,8,1),Sales!A3:A10000,"&lt;"&amp;DATE(2025,9,1))</f>
        <v>170</v>
      </c>
      <c r="C22" s="327"/>
      <c r="E22" s="331" t="s">
        <v>10165</v>
      </c>
      <c r="G22" s="331" t="s">
        <v>10166</v>
      </c>
      <c r="H22" s="21" t="s">
        <v>22</v>
      </c>
    </row>
    <row r="23">
      <c r="A23" s="331" t="s">
        <v>10167</v>
      </c>
      <c r="B23" s="326">
        <f>SUMIFS(Sales!K3:K10000,Sales!A3:A10000,"&gt;="&amp;DATE(2025,8,1),Sales!A3:A10000,"&lt;"&amp;DATE(2025,9,1))</f>
        <v>103.12</v>
      </c>
      <c r="C23" s="327"/>
      <c r="E23" s="331" t="s">
        <v>10165</v>
      </c>
      <c r="G23" s="331" t="s">
        <v>10168</v>
      </c>
      <c r="H23" s="21" t="s">
        <v>22</v>
      </c>
    </row>
    <row r="24">
      <c r="A24" s="331" t="s">
        <v>10169</v>
      </c>
      <c r="B24" s="326">
        <f>SUMIFS(Sales!F3:F10000,Sales!A3:A10000,"&gt;="&amp;DATE(2025,9,1),Sales!A3:A10000,"&lt;"&amp;DATE(2025,10,1))</f>
        <v>195</v>
      </c>
      <c r="C24" s="327"/>
      <c r="E24" s="331" t="s">
        <v>10165</v>
      </c>
      <c r="G24" s="331" t="s">
        <v>10170</v>
      </c>
      <c r="H24" s="21" t="s">
        <v>22</v>
      </c>
    </row>
    <row r="25">
      <c r="A25" s="331" t="s">
        <v>10171</v>
      </c>
      <c r="B25" s="326">
        <f>SUMIFS(Sales!K3:K10000,Sales!A3:A10000,"&gt;="&amp;DATE(2025,9,1),Sales!A3:A10000,"&lt;"&amp;DATE(2025,10,1))</f>
        <v>106.05</v>
      </c>
      <c r="C25" s="327"/>
      <c r="E25" s="331" t="s">
        <v>10165</v>
      </c>
      <c r="G25" s="331" t="s">
        <v>10172</v>
      </c>
      <c r="H25" s="21" t="s">
        <v>22</v>
      </c>
    </row>
    <row r="26">
      <c r="A26" s="331" t="s">
        <v>10173</v>
      </c>
      <c r="B26" s="326">
        <f>SUMIFS(Sales!F3:F10000,Sales!A3:A10000,"&gt;="&amp;DATE(2025,10,1),Sales!A3:A10000,"&lt;"&amp;DATE(2025,11,1))</f>
        <v>438</v>
      </c>
      <c r="C26" s="327"/>
      <c r="E26" s="331" t="s">
        <v>10165</v>
      </c>
      <c r="G26" s="331" t="s">
        <v>10174</v>
      </c>
      <c r="H26" s="21" t="s">
        <v>22</v>
      </c>
    </row>
    <row r="27">
      <c r="A27" s="331" t="s">
        <v>10175</v>
      </c>
      <c r="B27" s="326">
        <f>SUMIFS(Sales!K3:K10000,Sales!A3:A10000,"&gt;="&amp;DATE(2025,10,1),Sales!A3:A10000,"&lt;"&amp;DATE(2025,11,1))</f>
        <v>19.26</v>
      </c>
      <c r="C27" s="327"/>
      <c r="E27" s="331" t="s">
        <v>10165</v>
      </c>
      <c r="G27" s="331" t="s">
        <v>10176</v>
      </c>
      <c r="H27" s="21" t="s">
        <v>22</v>
      </c>
    </row>
    <row r="28">
      <c r="A28" s="331" t="s">
        <v>10177</v>
      </c>
      <c r="B28" s="326">
        <f>SUMIFS(Sales!F3:F10000,Sales!A3:A10000,"&gt;="&amp;DATE(2025,11,1),Sales!A3:A10000,"&lt;"&amp;DATE(2025,12,1))</f>
        <v>219</v>
      </c>
      <c r="C28" s="327"/>
      <c r="E28" s="331" t="s">
        <v>10165</v>
      </c>
      <c r="G28" s="331" t="s">
        <v>10178</v>
      </c>
      <c r="H28" s="21" t="s">
        <v>22</v>
      </c>
    </row>
    <row r="29">
      <c r="A29" s="331" t="s">
        <v>10179</v>
      </c>
      <c r="B29" s="326">
        <f>SUMIFS(Sales!K3:K10000,Sales!A3:A10000,"&gt;="&amp;DATE(2025,11,1),Sales!A3:A10000,"&lt;"&amp;DATE(2025,12,1))</f>
        <v>86.29</v>
      </c>
      <c r="C29" s="327"/>
      <c r="E29" s="331" t="s">
        <v>10165</v>
      </c>
      <c r="G29" s="331" t="s">
        <v>10180</v>
      </c>
      <c r="H29" s="21" t="s">
        <v>22</v>
      </c>
    </row>
    <row r="30">
      <c r="A30" s="331" t="s">
        <v>10181</v>
      </c>
      <c r="B30" s="326">
        <f>SUMIFS(Sales!F3:F10000,Sales!A3:A10000,"&gt;="&amp;DATE(2025,12,1),Sales!A3:A10000,"&lt;"&amp;DATE(2026,1,1))</f>
        <v>306</v>
      </c>
      <c r="C30" s="327"/>
      <c r="E30" s="331" t="s">
        <v>10165</v>
      </c>
      <c r="G30" s="331" t="s">
        <v>10182</v>
      </c>
      <c r="H30" s="21" t="s">
        <v>22</v>
      </c>
    </row>
    <row r="31">
      <c r="A31" s="331" t="s">
        <v>10183</v>
      </c>
      <c r="B31" s="326">
        <f>SUMIFS(Sales!K3:K10000,Sales!A3:A10000,"&gt;="&amp;DATE(2025,12,1),Sales!A3:A10000,"&lt;"&amp;DATE(2026,1,1))</f>
        <v>182.21</v>
      </c>
      <c r="C31" s="327"/>
      <c r="E31" s="331" t="s">
        <v>10165</v>
      </c>
      <c r="G31" s="331" t="s">
        <v>10184</v>
      </c>
      <c r="H31" s="21" t="s">
        <v>22</v>
      </c>
    </row>
    <row r="32">
      <c r="A32" s="331" t="s">
        <v>10185</v>
      </c>
      <c r="B32" s="326">
        <f>SUMIFS(Sales!F3:F10000,Sales!A3:A10000,"&gt;="&amp;DATE(2026,1,1),Sales!A3:A10000,"&lt;"&amp;DATE(2026,2,1))</f>
        <v>0</v>
      </c>
      <c r="C32" s="327"/>
      <c r="E32" s="331" t="s">
        <v>10165</v>
      </c>
      <c r="G32" s="331" t="s">
        <v>10186</v>
      </c>
      <c r="H32" s="21" t="s">
        <v>22</v>
      </c>
    </row>
    <row r="33">
      <c r="A33" s="331" t="s">
        <v>10187</v>
      </c>
      <c r="B33" s="326">
        <f>SUMIFS(Sales!K3:K10000,Sales!A3:A10000,"&gt;="&amp;DATE(2026,1,1),Sales!A3:A10000,"&lt;"&amp;DATE(2026,2,1))</f>
        <v>0</v>
      </c>
      <c r="C33" s="327"/>
      <c r="E33" s="331" t="s">
        <v>10165</v>
      </c>
      <c r="G33" s="331" t="s">
        <v>10188</v>
      </c>
      <c r="H33" s="21" t="s">
        <v>22</v>
      </c>
    </row>
    <row r="34">
      <c r="A34" s="331" t="s">
        <v>10189</v>
      </c>
      <c r="B34" s="326">
        <f>SUMIFS(Sales!F3:F10000,Sales!A3:A10000,"&gt;="&amp;DATE(2026,2,1),Sales!A3:A10000,"&lt;"&amp;DATE(2026,3,1))</f>
        <v>0</v>
      </c>
      <c r="C34" s="327"/>
      <c r="E34" s="331" t="s">
        <v>10165</v>
      </c>
      <c r="G34" s="331" t="s">
        <v>10190</v>
      </c>
      <c r="H34" s="21" t="s">
        <v>22</v>
      </c>
    </row>
    <row r="35">
      <c r="A35" s="331" t="s">
        <v>10191</v>
      </c>
      <c r="B35" s="326">
        <f>SUMIFS(Sales!K3:K10000,Sales!A3:A10000,"&gt;="&amp;DATE(2026,2,1),Sales!A3:A10000,"&lt;"&amp;DATE(2026,3,1))</f>
        <v>0</v>
      </c>
      <c r="C35" s="327"/>
      <c r="E35" s="331" t="s">
        <v>10165</v>
      </c>
      <c r="G35" s="331" t="s">
        <v>10192</v>
      </c>
      <c r="H35" s="21" t="s">
        <v>22</v>
      </c>
    </row>
    <row r="36">
      <c r="A36" s="331" t="s">
        <v>10193</v>
      </c>
      <c r="B36" s="326">
        <f>SUMIFS(Sales!F3:F10000,Sales!A3:A10000,"&gt;="&amp;DATE(2026,3,1),Sales!A3:A10000,"&lt;"&amp;DATE(2026,4,1))</f>
        <v>148</v>
      </c>
      <c r="C36" s="327"/>
      <c r="E36" s="331" t="s">
        <v>10165</v>
      </c>
      <c r="G36" s="331" t="s">
        <v>10194</v>
      </c>
      <c r="H36" s="21" t="s">
        <v>22</v>
      </c>
    </row>
    <row r="37">
      <c r="A37" s="331" t="s">
        <v>10195</v>
      </c>
      <c r="B37" s="326">
        <f>SUMIFS(Sales!K3:K10000,Sales!A3:A10000,"&gt;="&amp;DATE(2026,3,1),Sales!A3:A10000,"&lt;"&amp;DATE(2026,4,1))</f>
        <v>64.48</v>
      </c>
      <c r="C37" s="327"/>
      <c r="E37" s="331" t="s">
        <v>10165</v>
      </c>
      <c r="G37" s="331" t="s">
        <v>10196</v>
      </c>
      <c r="H37" s="21" t="s">
        <v>22</v>
      </c>
    </row>
    <row r="38">
      <c r="A38" s="331" t="s">
        <v>10197</v>
      </c>
      <c r="B38" s="326">
        <f>SUMIFS(Sales!F3:F10000,Sales!A3:A10000,"&gt;="&amp;DATE(2026,4,1),Sales!A3:A10000,"&lt;"&amp;DATE(2026,5,1))</f>
        <v>160</v>
      </c>
      <c r="C38" s="327"/>
      <c r="E38" s="331" t="s">
        <v>10165</v>
      </c>
      <c r="G38" s="331" t="s">
        <v>10198</v>
      </c>
      <c r="H38" s="21" t="s">
        <v>22</v>
      </c>
    </row>
    <row r="39">
      <c r="A39" s="331" t="s">
        <v>10199</v>
      </c>
      <c r="B39" s="326">
        <f>SUMIFS(Sales!K3:K10000,Sales!A3:A10000,"&gt;="&amp;DATE(2026,4,1),Sales!A3:A10000,"&lt;"&amp;DATE(2026,5,1))</f>
        <v>79.06</v>
      </c>
      <c r="C39" s="327"/>
      <c r="E39" s="331" t="s">
        <v>10165</v>
      </c>
      <c r="G39" s="331" t="s">
        <v>10200</v>
      </c>
      <c r="H39" s="21" t="s">
        <v>22</v>
      </c>
    </row>
    <row r="40">
      <c r="A40" s="331" t="s">
        <v>10201</v>
      </c>
      <c r="B40" s="326">
        <f>SUMIFS(Sales!F3:F10000,Sales!A3:A10000,"&gt;="&amp;DATE(2026,5,1),Sales!A3:A10000,"&lt;"&amp;DATE(2026,6,1))</f>
        <v>81</v>
      </c>
      <c r="C40" s="327"/>
      <c r="E40" s="331" t="s">
        <v>10165</v>
      </c>
      <c r="G40" s="331" t="s">
        <v>10202</v>
      </c>
      <c r="H40" s="21" t="s">
        <v>22</v>
      </c>
    </row>
    <row r="41">
      <c r="A41" s="331" t="s">
        <v>10203</v>
      </c>
      <c r="B41" s="326">
        <f>SUMIFS(Sales!K3:K10000,Sales!A3:A10000,"&gt;="&amp;DATE(2026,5,1),Sales!A3:A10000,"&lt;"&amp;DATE(2026,6,1))</f>
        <v>40.3</v>
      </c>
      <c r="C41" s="327"/>
      <c r="E41" s="331" t="s">
        <v>10165</v>
      </c>
      <c r="G41" s="331" t="s">
        <v>10204</v>
      </c>
      <c r="H41" s="21" t="s">
        <v>22</v>
      </c>
    </row>
    <row r="42">
      <c r="A42" s="331" t="s">
        <v>10205</v>
      </c>
      <c r="B42" s="326">
        <f>SUMIFS(Sales!F3:F10000,Sales!A3:A10000,"&gt;="&amp;DATE(2026,6,1),Sales!A3:A10000,"&lt;"&amp;DATE(2026,7,1))</f>
        <v>0</v>
      </c>
      <c r="C42" s="327"/>
      <c r="E42" s="331" t="s">
        <v>10165</v>
      </c>
      <c r="G42" s="331" t="s">
        <v>10206</v>
      </c>
      <c r="H42" s="21" t="s">
        <v>22</v>
      </c>
    </row>
    <row r="43">
      <c r="A43" s="331" t="s">
        <v>10207</v>
      </c>
      <c r="B43" s="326">
        <f>SUMIFS(Sales!K3:K10000,Sales!A3:A10000,"&gt;="&amp;DATE(2026,6,1),Sales!A3:A10000,"&lt;"&amp;DATE(2026,7,1))</f>
        <v>0</v>
      </c>
      <c r="C43" s="327"/>
      <c r="E43" s="331" t="s">
        <v>10165</v>
      </c>
      <c r="G43" s="331" t="s">
        <v>10208</v>
      </c>
      <c r="H43" s="21" t="s">
        <v>22</v>
      </c>
    </row>
    <row r="44">
      <c r="A44" s="331" t="s">
        <v>10209</v>
      </c>
      <c r="B44" s="326">
        <f>SUMIFS(Sales!F3:F10000,Sales!A3:A10000,"&gt;="&amp;DATE(2026,7,1),Sales!A3:A10000,"&lt;"&amp;DATE(2026,8,1))</f>
        <v>0</v>
      </c>
      <c r="C44" s="327"/>
      <c r="E44" s="331" t="s">
        <v>10165</v>
      </c>
      <c r="G44" s="331" t="s">
        <v>10210</v>
      </c>
      <c r="H44" s="21" t="s">
        <v>22</v>
      </c>
    </row>
    <row r="45">
      <c r="A45" s="331" t="s">
        <v>10211</v>
      </c>
      <c r="B45" s="326">
        <f>SUMIFS(Sales!K3:K10000,Sales!A3:A10000,"&gt;="&amp;DATE(2026,7,1),Sales!A3:A10000,"&lt;"&amp;DATE(2026,8,1))</f>
        <v>0</v>
      </c>
      <c r="C45" s="327"/>
      <c r="E45" s="331" t="s">
        <v>10165</v>
      </c>
      <c r="G45" s="331" t="s">
        <v>10212</v>
      </c>
      <c r="H45" s="21" t="s">
        <v>22</v>
      </c>
    </row>
    <row r="46">
      <c r="A46" s="331" t="s">
        <v>10213</v>
      </c>
      <c r="B46" s="326">
        <f>SUMIFS(Sales!F3:F10000,Sales!A3:A10000,"&gt;="&amp;DATE(2026,8,1),Sales!A3:A10000,"&lt;"&amp;DATE(2026,9,1))</f>
        <v>0</v>
      </c>
      <c r="C46" s="327"/>
      <c r="E46" s="331" t="s">
        <v>10165</v>
      </c>
      <c r="G46" s="331" t="s">
        <v>10214</v>
      </c>
      <c r="H46" s="21" t="s">
        <v>22</v>
      </c>
    </row>
    <row r="47">
      <c r="A47" s="331" t="s">
        <v>10215</v>
      </c>
      <c r="B47" s="326">
        <f>SUMIFS(Sales!K3:K10000,Sales!A3:A10000,"&gt;="&amp;DATE(2026,8,1),Sales!A3:A10000,"&lt;"&amp;DATE(2026,9,1))</f>
        <v>0</v>
      </c>
      <c r="C47" s="327"/>
      <c r="E47" s="331" t="s">
        <v>10165</v>
      </c>
      <c r="G47" s="331" t="s">
        <v>10216</v>
      </c>
      <c r="H47" s="21" t="s">
        <v>22</v>
      </c>
    </row>
    <row r="48">
      <c r="A48" s="331" t="s">
        <v>10217</v>
      </c>
      <c r="B48" s="326">
        <f>SUMIFS(Sales!F3:F10000,Sales!A3:A10000,"&gt;="&amp;DATE(2026,9,1),Sales!A3:A10000,"&lt;"&amp;DATE(2026,10,1))</f>
        <v>0</v>
      </c>
      <c r="C48" s="327"/>
      <c r="E48" s="331" t="s">
        <v>10165</v>
      </c>
      <c r="G48" s="331" t="s">
        <v>10218</v>
      </c>
      <c r="H48" s="21" t="s">
        <v>22</v>
      </c>
    </row>
    <row r="49">
      <c r="A49" s="331" t="s">
        <v>10219</v>
      </c>
      <c r="B49" s="326">
        <f>SUMIFS(Sales!K3:K10000,Sales!A3:A10000,"&gt;="&amp;DATE(2026,9,1),Sales!A3:A10000,"&lt;"&amp;DATE(2026,10,1))</f>
        <v>0</v>
      </c>
      <c r="C49" s="327"/>
      <c r="E49" s="331" t="s">
        <v>10165</v>
      </c>
      <c r="G49" s="331" t="s">
        <v>10220</v>
      </c>
      <c r="H49" s="21" t="s">
        <v>22</v>
      </c>
    </row>
    <row r="50">
      <c r="A50" s="331" t="s">
        <v>10221</v>
      </c>
      <c r="B50" s="326">
        <f>SUMIFS(Sales!F3:F10000,Sales!A3:A10000,"&gt;="&amp;DATE(2026,10,1),Sales!A3:A10000,"&lt;"&amp;DATE(2026,11,1))</f>
        <v>0</v>
      </c>
      <c r="C50" s="327"/>
      <c r="E50" s="331" t="s">
        <v>10165</v>
      </c>
      <c r="G50" s="331" t="s">
        <v>10222</v>
      </c>
      <c r="H50" s="21" t="s">
        <v>22</v>
      </c>
    </row>
    <row r="51">
      <c r="A51" s="331" t="s">
        <v>10223</v>
      </c>
      <c r="B51" s="326">
        <f>SUMIFS(Sales!K3:K10000,Sales!A3:A10000,"&gt;="&amp;DATE(2026,10,1),Sales!A3:A10000,"&lt;"&amp;DATE(2026,11,1))</f>
        <v>0</v>
      </c>
      <c r="C51" s="327"/>
      <c r="E51" s="331" t="s">
        <v>10165</v>
      </c>
      <c r="G51" s="331" t="s">
        <v>10224</v>
      </c>
      <c r="H51" s="21" t="s">
        <v>22</v>
      </c>
    </row>
    <row r="52">
      <c r="A52" s="331" t="s">
        <v>10225</v>
      </c>
      <c r="B52" s="326">
        <f>SUMIFS(Sales!F3:F10000,Sales!A3:A10000,"&gt;="&amp;DATE(2026,11,1),Sales!A3:A10000,"&lt;"&amp;DATE(2026,12,1))</f>
        <v>0</v>
      </c>
      <c r="C52" s="327"/>
      <c r="E52" s="331" t="s">
        <v>10165</v>
      </c>
      <c r="G52" s="331" t="s">
        <v>10226</v>
      </c>
      <c r="H52" s="21" t="s">
        <v>22</v>
      </c>
    </row>
    <row r="53">
      <c r="A53" s="331" t="s">
        <v>10227</v>
      </c>
      <c r="B53" s="326">
        <f>SUMIFS(Sales!K3:K10000,Sales!A3:A10000,"&gt;="&amp;DATE(2026,11,1),Sales!A3:A10000,"&lt;"&amp;DATE(2026,12,1))</f>
        <v>0</v>
      </c>
      <c r="C53" s="327"/>
      <c r="E53" s="331" t="s">
        <v>10165</v>
      </c>
      <c r="G53" s="331" t="s">
        <v>10228</v>
      </c>
      <c r="H53" s="21" t="s">
        <v>22</v>
      </c>
    </row>
    <row r="54">
      <c r="A54" s="331" t="s">
        <v>10229</v>
      </c>
      <c r="B54" s="326">
        <f>SUMIFS(Sales!F3:F10000,Sales!A3:A10000,"&gt;="&amp;DATE(2026,12,1),Sales!A3:A10000,"&lt;"&amp;DATE(2027,1,1))</f>
        <v>0</v>
      </c>
      <c r="C54" s="327"/>
      <c r="E54" s="331" t="s">
        <v>10165</v>
      </c>
      <c r="G54" s="331" t="s">
        <v>10230</v>
      </c>
      <c r="H54" s="21" t="s">
        <v>22</v>
      </c>
    </row>
    <row r="55">
      <c r="A55" s="331" t="s">
        <v>10231</v>
      </c>
      <c r="B55" s="326">
        <f>SUMIFS(Sales!K3:K10000,Sales!A3:A10000,"&gt;="&amp;DATE(2026,12,1),Sales!A3:A10000,"&lt;"&amp;DATE(2027,1,1))</f>
        <v>0</v>
      </c>
      <c r="C55" s="327"/>
      <c r="E55" s="331" t="s">
        <v>10165</v>
      </c>
      <c r="G55" s="331" t="s">
        <v>10232</v>
      </c>
      <c r="H55" s="21" t="s">
        <v>22</v>
      </c>
    </row>
    <row r="56">
      <c r="A56" s="331" t="s">
        <v>10233</v>
      </c>
      <c r="B56" s="326">
        <f>SUMIF('Overhead Expenses'!D3:D4997,"Bags &amp; Packaging",'Overhead Expenses'!K3:K4997)</f>
        <v>52.98</v>
      </c>
      <c r="C56" s="327"/>
      <c r="E56" s="331" t="s">
        <v>10234</v>
      </c>
      <c r="G56" s="331" t="s">
        <v>10235</v>
      </c>
      <c r="H56" s="21" t="s">
        <v>22</v>
      </c>
    </row>
    <row r="57">
      <c r="B57" s="326"/>
      <c r="C57" s="327"/>
      <c r="H57" s="21" t="s">
        <v>22</v>
      </c>
    </row>
    <row r="58">
      <c r="A58" s="28" t="s">
        <v>6062</v>
      </c>
      <c r="B58" s="326">
        <f>SUMIF('Overhead Expenses'!D3:D4997,"Cleaning &amp; Sanitation",'Overhead Expenses'!K3:K4997)</f>
        <v>254.81</v>
      </c>
      <c r="C58" s="327"/>
      <c r="E58" s="331" t="s">
        <v>10234</v>
      </c>
      <c r="G58" s="331" t="s">
        <v>10236</v>
      </c>
      <c r="H58" s="21" t="s">
        <v>22</v>
      </c>
    </row>
    <row r="59">
      <c r="A59" s="28" t="s">
        <v>5989</v>
      </c>
      <c r="B59" s="326">
        <f>SUMIF('Overhead Expenses'!D3:D4997,"Climate &amp; Environment",'Overhead Expenses'!K3:K4997)</f>
        <v>133.32</v>
      </c>
      <c r="C59" s="327"/>
      <c r="E59" s="331" t="s">
        <v>10234</v>
      </c>
      <c r="G59" s="331" t="s">
        <v>10237</v>
      </c>
      <c r="H59" s="21" t="s">
        <v>22</v>
      </c>
    </row>
    <row r="60">
      <c r="A60" s="28" t="s">
        <v>6069</v>
      </c>
      <c r="B60" s="326">
        <f>SUMIF('Overhead Expenses'!D3:D4997,"Inbound Shipping",'Overhead Expenses'!K3:K4997)</f>
        <v>464.33</v>
      </c>
      <c r="C60" s="327"/>
      <c r="E60" s="331" t="s">
        <v>10234</v>
      </c>
      <c r="G60" s="331" t="s">
        <v>10238</v>
      </c>
      <c r="H60" s="21" t="s">
        <v>22</v>
      </c>
    </row>
    <row r="61">
      <c r="A61" s="28" t="s">
        <v>6003</v>
      </c>
      <c r="B61" s="326">
        <f>SUMIF('Overhead Expenses'!D3:D4997,"Labels &amp; Stickers",'Overhead Expenses'!K3:K4997)</f>
        <v>332.55</v>
      </c>
      <c r="C61" s="327"/>
      <c r="E61" s="331" t="s">
        <v>10234</v>
      </c>
      <c r="G61" s="331" t="s">
        <v>10239</v>
      </c>
      <c r="H61" s="21" t="s">
        <v>22</v>
      </c>
    </row>
    <row r="62">
      <c r="A62" s="28" t="s">
        <v>6092</v>
      </c>
      <c r="B62" s="326">
        <f>SUMIF('Overhead Expenses'!D3:D4997,"Labor",'Overhead Expenses'!K3:K4997)</f>
        <v>660.3</v>
      </c>
      <c r="C62" s="327"/>
      <c r="E62" s="331" t="s">
        <v>10234</v>
      </c>
      <c r="G62" s="331" t="s">
        <v>10240</v>
      </c>
      <c r="H62" s="21" t="s">
        <v>22</v>
      </c>
    </row>
    <row r="63">
      <c r="A63" s="28" t="s">
        <v>1103</v>
      </c>
      <c r="B63" s="326">
        <f>SUMIF('Overhead Expenses'!D3:D4997,"Licenses &amp; Fees",'Overhead Expenses'!K3:K4997)</f>
        <v>269</v>
      </c>
      <c r="C63" s="327"/>
      <c r="E63" s="331" t="s">
        <v>10234</v>
      </c>
      <c r="G63" s="331" t="s">
        <v>10241</v>
      </c>
      <c r="H63" s="21" t="s">
        <v>22</v>
      </c>
    </row>
    <row r="64">
      <c r="A64" s="28" t="s">
        <v>6032</v>
      </c>
      <c r="B64" s="326">
        <f>SUMIF('Overhead Expenses'!D3:D4997,"Lighting",'Overhead Expenses'!K3:K4997)</f>
        <v>117.37</v>
      </c>
      <c r="C64" s="327"/>
      <c r="E64" s="331" t="s">
        <v>10234</v>
      </c>
      <c r="G64" s="331" t="s">
        <v>10242</v>
      </c>
      <c r="H64" s="21" t="s">
        <v>22</v>
      </c>
    </row>
    <row r="65">
      <c r="A65" s="28" t="s">
        <v>6130</v>
      </c>
      <c r="B65" s="326">
        <f>SUMIF('Overhead Expenses'!D3:D4997,"Market Fees &amp; Supplies",'Overhead Expenses'!K3:K4997)</f>
        <v>420.9</v>
      </c>
      <c r="C65" s="327"/>
      <c r="E65" s="331" t="s">
        <v>10234</v>
      </c>
      <c r="G65" s="331" t="s">
        <v>10243</v>
      </c>
      <c r="H65" s="21" t="s">
        <v>22</v>
      </c>
    </row>
    <row r="66">
      <c r="A66" s="28" t="s">
        <v>6247</v>
      </c>
      <c r="B66" s="326">
        <f>SUMIF('Overhead Expenses'!D3:D4997,"Office &amp; Admin Supplies",'Overhead Expenses'!K3:K4997)</f>
        <v>1114.23</v>
      </c>
      <c r="C66" s="327"/>
      <c r="E66" s="331" t="s">
        <v>10234</v>
      </c>
      <c r="G66" s="331" t="s">
        <v>10244</v>
      </c>
      <c r="H66" s="21" t="s">
        <v>22</v>
      </c>
    </row>
    <row r="67">
      <c r="A67" s="28" t="s">
        <v>6336</v>
      </c>
      <c r="B67" s="326">
        <f>SUMIF('Overhead Expenses'!D3:D4997,"Outbound Shipping",'Overhead Expenses'!K3:K4997)</f>
        <v>-88.05</v>
      </c>
      <c r="C67" s="327"/>
      <c r="E67" s="331" t="s">
        <v>10234</v>
      </c>
      <c r="G67" s="331" t="s">
        <v>10245</v>
      </c>
      <c r="H67" s="21" t="s">
        <v>22</v>
      </c>
    </row>
    <row r="68">
      <c r="A68" s="28" t="s">
        <v>6224</v>
      </c>
      <c r="B68" s="326">
        <f>SUMIF('Overhead Expenses'!D3:D4997,"Packing &amp; Shipping",'Overhead Expenses'!K3:K4997)</f>
        <v>271.07</v>
      </c>
      <c r="C68" s="327"/>
      <c r="E68" s="331" t="s">
        <v>10234</v>
      </c>
      <c r="G68" s="331" t="s">
        <v>10246</v>
      </c>
      <c r="H68" s="21" t="s">
        <v>22</v>
      </c>
    </row>
    <row r="69">
      <c r="A69" s="28" t="s">
        <v>6260</v>
      </c>
      <c r="B69" s="326">
        <f>SUMIF('Overhead Expenses'!D3:D4997,"Plant Tags &amp; Labels",'Overhead Expenses'!K3:K4997)</f>
        <v>36.37</v>
      </c>
      <c r="C69" s="327"/>
      <c r="E69" s="331" t="s">
        <v>10234</v>
      </c>
      <c r="G69" s="331" t="s">
        <v>10247</v>
      </c>
      <c r="H69" s="21" t="s">
        <v>22</v>
      </c>
    </row>
    <row r="70">
      <c r="A70" s="28" t="s">
        <v>5997</v>
      </c>
      <c r="B70" s="326">
        <f>SUMIF('Overhead Expenses'!D3:D4997,"Propagation Supplies",'Overhead Expenses'!K3:K4997)</f>
        <v>37.32</v>
      </c>
      <c r="C70" s="327"/>
      <c r="E70" s="331" t="s">
        <v>10234</v>
      </c>
      <c r="G70" s="331" t="s">
        <v>10248</v>
      </c>
      <c r="H70" s="21" t="s">
        <v>22</v>
      </c>
    </row>
    <row r="71">
      <c r="A71" s="28" t="s">
        <v>6387</v>
      </c>
      <c r="B71" s="326">
        <f>SUMIF('Overhead Expenses'!D3:D4997,"Repairs &amp; Maintenance",'Overhead Expenses'!K3:K4997)</f>
        <v>264.46</v>
      </c>
      <c r="C71" s="327"/>
      <c r="E71" s="331" t="s">
        <v>10234</v>
      </c>
      <c r="G71" s="331" t="s">
        <v>10249</v>
      </c>
      <c r="H71" s="21" t="s">
        <v>22</v>
      </c>
    </row>
    <row r="72">
      <c r="A72" s="28" t="s">
        <v>6315</v>
      </c>
      <c r="B72" s="326">
        <f>SUMIF('Overhead Expenses'!D3:D4997,"Security",'Overhead Expenses'!K3:K4997)</f>
        <v>28.29</v>
      </c>
      <c r="C72" s="327"/>
      <c r="E72" s="331" t="s">
        <v>10234</v>
      </c>
      <c r="G72" s="331" t="s">
        <v>10250</v>
      </c>
      <c r="H72" s="21" t="s">
        <v>22</v>
      </c>
    </row>
    <row r="73">
      <c r="A73" s="28" t="s">
        <v>6497</v>
      </c>
      <c r="B73" s="326">
        <f>SUMIF('Overhead Expenses'!D3:D4997,"Selling Fee",'Overhead Expenses'!K3:K4997)</f>
        <v>11.21</v>
      </c>
      <c r="C73" s="327"/>
      <c r="E73" s="331" t="s">
        <v>10234</v>
      </c>
      <c r="G73" s="331" t="s">
        <v>10251</v>
      </c>
      <c r="H73" s="21" t="s">
        <v>22</v>
      </c>
    </row>
    <row r="74">
      <c r="A74" s="28" t="s">
        <v>6464</v>
      </c>
      <c r="B74" s="326">
        <f>SUMIF('Overhead Expenses'!D3:D4997,"Shade &amp; Protection",'Overhead Expenses'!K3:K4997)</f>
        <v>64.94</v>
      </c>
      <c r="C74" s="327"/>
      <c r="E74" s="331" t="s">
        <v>10234</v>
      </c>
      <c r="G74" s="331" t="s">
        <v>10252</v>
      </c>
      <c r="H74" s="21" t="s">
        <v>22</v>
      </c>
    </row>
    <row r="75">
      <c r="A75" s="28" t="s">
        <v>5985</v>
      </c>
      <c r="B75" s="326">
        <f>SUMIF('Overhead Expenses'!D3:D4997,"Shelving/Fixtures",'Overhead Expenses'!K3:K4997)</f>
        <v>361.12</v>
      </c>
      <c r="C75" s="327"/>
      <c r="E75" s="331" t="s">
        <v>10234</v>
      </c>
      <c r="G75" s="331" t="s">
        <v>10253</v>
      </c>
      <c r="H75" s="21" t="s">
        <v>22</v>
      </c>
    </row>
    <row r="76">
      <c r="A76" s="28" t="s">
        <v>6482</v>
      </c>
      <c r="B76" s="326">
        <f>SUMIF('Overhead Expenses'!D3:D4997,"Shipping Boxes",'Overhead Expenses'!K3:K4997)</f>
        <v>36.7</v>
      </c>
      <c r="C76" s="327"/>
      <c r="E76" s="331" t="s">
        <v>10234</v>
      </c>
      <c r="G76" s="331" t="s">
        <v>10254</v>
      </c>
      <c r="H76" s="21" t="s">
        <v>22</v>
      </c>
    </row>
    <row r="77">
      <c r="A77" s="28" t="s">
        <v>6325</v>
      </c>
      <c r="B77" s="326">
        <f>SUMIF('Overhead Expenses'!D3:D4997,"Sign",'Overhead Expenses'!K3:K4997)</f>
        <v>10.19</v>
      </c>
      <c r="C77" s="327"/>
      <c r="E77" s="331" t="s">
        <v>10234</v>
      </c>
      <c r="G77" s="331" t="s">
        <v>10255</v>
      </c>
      <c r="H77" s="21" t="s">
        <v>22</v>
      </c>
    </row>
    <row r="78">
      <c r="A78" s="28" t="s">
        <v>5993</v>
      </c>
      <c r="B78" s="326">
        <f>SUMIF('Overhead Expenses'!D3:D4997,"Soil &amp; Amendments",'Overhead Expenses'!K3:K4997)</f>
        <v>773.53</v>
      </c>
      <c r="C78" s="327"/>
      <c r="E78" s="331" t="s">
        <v>10234</v>
      </c>
      <c r="G78" s="331" t="s">
        <v>10256</v>
      </c>
      <c r="H78" s="21" t="s">
        <v>22</v>
      </c>
    </row>
    <row r="79">
      <c r="A79" s="28" t="s">
        <v>6150</v>
      </c>
      <c r="B79" s="326">
        <f>SUMIF('Overhead Expenses'!D3:D4997,"Stationery &amp; Print",'Overhead Expenses'!K3:K4997)</f>
        <v>132.43</v>
      </c>
      <c r="C79" s="327"/>
      <c r="E79" s="331" t="s">
        <v>10234</v>
      </c>
      <c r="G79" s="331" t="s">
        <v>10257</v>
      </c>
      <c r="H79" s="21" t="s">
        <v>22</v>
      </c>
    </row>
    <row r="80">
      <c r="A80" s="28" t="s">
        <v>6137</v>
      </c>
      <c r="B80" s="326">
        <f>SUMIF('Overhead Expenses'!D3:D4997,"Table Covers &amp; Displays",'Overhead Expenses'!K3:K4997)</f>
        <v>92.79</v>
      </c>
      <c r="C80" s="327"/>
      <c r="E80" s="331" t="s">
        <v>10234</v>
      </c>
      <c r="G80" s="331" t="s">
        <v>10258</v>
      </c>
      <c r="H80" s="21" t="s">
        <v>22</v>
      </c>
    </row>
    <row r="81">
      <c r="A81" s="28" t="s">
        <v>6147</v>
      </c>
      <c r="B81" s="326">
        <f>SUMIF('Overhead Expenses'!D3:D4997,"Tables &amp; Furniture",'Overhead Expenses'!K3:K4997)</f>
        <v>188.29</v>
      </c>
      <c r="C81" s="327"/>
      <c r="E81" s="331" t="s">
        <v>10234</v>
      </c>
      <c r="G81" s="331" t="s">
        <v>10259</v>
      </c>
      <c r="H81" s="21" t="s">
        <v>22</v>
      </c>
    </row>
    <row r="82">
      <c r="A82" s="28" t="s">
        <v>6502</v>
      </c>
      <c r="B82" s="326">
        <f>SUMIF('Overhead Expenses'!D3:D4997,"Tax",'Overhead Expenses'!K3:K4997)</f>
        <v>6.6</v>
      </c>
      <c r="C82" s="327"/>
      <c r="E82" s="331" t="s">
        <v>10234</v>
      </c>
      <c r="G82" s="331" t="s">
        <v>10260</v>
      </c>
      <c r="H82" s="21" t="s">
        <v>22</v>
      </c>
    </row>
    <row r="83">
      <c r="A83" s="28" t="s">
        <v>5981</v>
      </c>
      <c r="B83" s="326">
        <f>SUMIF('Overhead Expenses'!D3:D4997,"Tools &amp; Supplies",'Overhead Expenses'!K3:K4997)</f>
        <v>513.13</v>
      </c>
      <c r="C83" s="327"/>
      <c r="E83" s="331" t="s">
        <v>10234</v>
      </c>
      <c r="G83" s="331" t="s">
        <v>10261</v>
      </c>
      <c r="H83" s="21" t="s">
        <v>22</v>
      </c>
    </row>
    <row r="84">
      <c r="A84" s="28" t="s">
        <v>6021</v>
      </c>
      <c r="B84" s="326">
        <f>SUMIF('Overhead Expenses'!D3:D4997,"Treatments &amp; Fertilizers",'Overhead Expenses'!K3:K4997)</f>
        <v>485.2</v>
      </c>
      <c r="C84" s="327"/>
      <c r="E84" s="331" t="s">
        <v>10234</v>
      </c>
      <c r="G84" s="331" t="s">
        <v>10262</v>
      </c>
      <c r="H84" s="21" t="s">
        <v>22</v>
      </c>
    </row>
    <row r="85">
      <c r="A85" s="28" t="s">
        <v>6300</v>
      </c>
      <c r="B85" s="326">
        <f>SUMIF('Overhead Expenses'!D3:D4997,"Uniforms &amp; Workwear",'Overhead Expenses'!K3:K4997)</f>
        <v>5.04</v>
      </c>
      <c r="C85" s="327"/>
      <c r="E85" s="331" t="s">
        <v>10234</v>
      </c>
      <c r="G85" s="331" t="s">
        <v>10263</v>
      </c>
      <c r="H85" s="21" t="s">
        <v>22</v>
      </c>
    </row>
    <row r="86">
      <c r="A86" s="331" t="s">
        <v>10264</v>
      </c>
      <c r="B86" s="326"/>
      <c r="C86" s="327"/>
      <c r="D86" s="331">
        <f>COUNTIF('Plant Inventory'!J3:J682,"Available")</f>
        <v>5</v>
      </c>
      <c r="E86" s="331" t="s">
        <v>10265</v>
      </c>
      <c r="F86" s="331" t="s">
        <v>10266</v>
      </c>
      <c r="G86" s="331" t="s">
        <v>10267</v>
      </c>
      <c r="H86" s="21" t="s">
        <v>22</v>
      </c>
    </row>
    <row r="87">
      <c r="A87" s="331" t="s">
        <v>10268</v>
      </c>
      <c r="B87" s="326"/>
      <c r="C87" s="327"/>
      <c r="D87" s="331">
        <f>COUNTIF('Plant Inventory'!J3:J682,"Sold")</f>
        <v>102</v>
      </c>
      <c r="E87" s="331" t="s">
        <v>10265</v>
      </c>
      <c r="F87" s="331" t="s">
        <v>10269</v>
      </c>
      <c r="G87" s="331" t="s">
        <v>10270</v>
      </c>
      <c r="H87" s="21" t="s">
        <v>22</v>
      </c>
    </row>
    <row r="88">
      <c r="A88" s="331" t="s">
        <v>10271</v>
      </c>
      <c r="B88" s="326"/>
      <c r="C88" s="327"/>
      <c r="D88" s="331">
        <f>COUNTIF('Plant Inventory'!J3:J682,"Dead")</f>
        <v>45</v>
      </c>
      <c r="E88" s="331" t="s">
        <v>10265</v>
      </c>
      <c r="F88" s="331" t="s">
        <v>10272</v>
      </c>
      <c r="G88" s="331" t="s">
        <v>10273</v>
      </c>
      <c r="H88" s="21" t="s">
        <v>22</v>
      </c>
    </row>
    <row r="89">
      <c r="A89" s="331" t="s">
        <v>10274</v>
      </c>
      <c r="B89" s="326"/>
      <c r="C89" s="327"/>
      <c r="D89" s="331">
        <f>COUNTIF('Plant Inventory'!J3:J682,"Damaged")</f>
        <v>0</v>
      </c>
      <c r="E89" s="331" t="s">
        <v>10265</v>
      </c>
      <c r="F89" s="331" t="s">
        <v>10275</v>
      </c>
      <c r="G89" s="331" t="s">
        <v>10276</v>
      </c>
      <c r="H89" s="21" t="s">
        <v>22</v>
      </c>
    </row>
    <row r="90">
      <c r="A90" s="331" t="s">
        <v>10277</v>
      </c>
      <c r="B90" s="326"/>
      <c r="C90" s="327"/>
      <c r="D90" s="331">
        <f>COUNTIF('Plant Inventory'!J3:J682,"Giveaway")</f>
        <v>25</v>
      </c>
      <c r="E90" s="331" t="s">
        <v>10265</v>
      </c>
      <c r="F90" s="331" t="s">
        <v>10278</v>
      </c>
      <c r="G90" s="331" t="s">
        <v>10279</v>
      </c>
      <c r="H90" s="21" t="s">
        <v>22</v>
      </c>
    </row>
    <row r="91">
      <c r="A91" s="331" t="s">
        <v>10280</v>
      </c>
      <c r="B91" s="326">
        <f>SUMIF('Plant Inventory'!J3:J682,"Available",'Plant Inventory'!D3:D682)</f>
        <v>49.65</v>
      </c>
      <c r="C91" s="327"/>
      <c r="E91" s="331" t="s">
        <v>10265</v>
      </c>
      <c r="F91" s="331" t="s">
        <v>10281</v>
      </c>
      <c r="G91" s="331" t="s">
        <v>10282</v>
      </c>
      <c r="H91" s="21" t="s">
        <v>22</v>
      </c>
    </row>
    <row r="92">
      <c r="A92" s="331" t="s">
        <v>10283</v>
      </c>
      <c r="B92" s="326">
        <f>SUMIF('Plant Inventory'!J3:J682,"Available",'Plant Inventory'!E3:E682)</f>
        <v>17</v>
      </c>
      <c r="C92" s="327"/>
      <c r="E92" s="331" t="s">
        <v>10265</v>
      </c>
      <c r="F92" s="331" t="s">
        <v>10284</v>
      </c>
      <c r="G92" s="331" t="s">
        <v>10285</v>
      </c>
      <c r="H92" s="21" t="s">
        <v>22</v>
      </c>
    </row>
    <row r="93">
      <c r="A93" s="331" t="s">
        <v>10286</v>
      </c>
      <c r="B93" s="326">
        <f>SUMIF('Plant Inventory'!J3:J682,"Dead",'Plant Inventory'!D3:D682)</f>
        <v>331.99</v>
      </c>
      <c r="C93" s="327"/>
      <c r="E93" s="331" t="s">
        <v>10265</v>
      </c>
      <c r="F93" s="331" t="s">
        <v>10287</v>
      </c>
      <c r="G93" s="331" t="s">
        <v>10288</v>
      </c>
      <c r="H93" s="21" t="s">
        <v>22</v>
      </c>
    </row>
    <row r="94">
      <c r="A94" s="331" t="s">
        <v>10289</v>
      </c>
      <c r="B94" s="326">
        <f>SUMIF('Plant Inventory'!J3:J682,"Damaged",'Plant Inventory'!D3:D682)</f>
        <v>0</v>
      </c>
      <c r="C94" s="327"/>
      <c r="E94" s="331" t="s">
        <v>10265</v>
      </c>
      <c r="F94" s="331" t="s">
        <v>10290</v>
      </c>
      <c r="G94" s="331" t="s">
        <v>10291</v>
      </c>
      <c r="H94" s="21" t="s">
        <v>22</v>
      </c>
    </row>
    <row r="95">
      <c r="A95" s="331" t="s">
        <v>10292</v>
      </c>
      <c r="B95" s="326">
        <f>SUMIF('Plant Inventory'!J3:J682,"Giveaway",'Plant Inventory'!D3:D682)</f>
        <v>91.17</v>
      </c>
      <c r="C95" s="327"/>
      <c r="E95" s="331" t="s">
        <v>10265</v>
      </c>
      <c r="F95" s="331" t="s">
        <v>10293</v>
      </c>
      <c r="G95" s="331" t="s">
        <v>10294</v>
      </c>
      <c r="H95" s="21" t="s">
        <v>22</v>
      </c>
    </row>
    <row r="96">
      <c r="A96" s="331" t="s">
        <v>10295</v>
      </c>
      <c r="B96" s="326">
        <f>B93+B94+B95</f>
        <v>423.16</v>
      </c>
      <c r="C96" s="327"/>
      <c r="E96" s="331" t="s">
        <v>10265</v>
      </c>
      <c r="F96" s="331" t="s">
        <v>10296</v>
      </c>
      <c r="G96" s="331" t="s">
        <v>10297</v>
      </c>
      <c r="H96" s="21" t="s">
        <v>22</v>
      </c>
    </row>
    <row r="97">
      <c r="A97" s="331" t="s">
        <v>10298</v>
      </c>
      <c r="B97" s="326"/>
      <c r="C97" s="327"/>
      <c r="D97" s="331">
        <f>SUMPRODUCT((ISNUMBER(SEARCH("-PH-",'Plant Inventory'!B3:B684)))*('Plant Inventory'!J3:J684="Available")*('Plant Inventory'!Q3:Q684=H97)*IFERROR(1/COUNTIFS('Plant Inventory'!B3:B684,'Plant Inventory'!B3:B684,'Plant Inventory'!J3:J684,"Available",'Plant Inventory'!Q3:Q684,H97),0))</f>
        <v>2</v>
      </c>
      <c r="E97" s="331" t="s">
        <v>10265</v>
      </c>
      <c r="F97" s="331" t="s">
        <v>10299</v>
      </c>
      <c r="G97" s="331" t="s">
        <v>10300</v>
      </c>
      <c r="H97" s="21" t="s">
        <v>22</v>
      </c>
    </row>
    <row r="98">
      <c r="A98" s="331" t="s">
        <v>10301</v>
      </c>
      <c r="B98" s="326"/>
      <c r="C98" s="327"/>
      <c r="D98" s="331">
        <f>SUMPRODUCT((ISNUMBER(SEARCH("-HO-",'Plant Inventory'!B3:B684)))*('Plant Inventory'!J3:J684="Available")*('Plant Inventory'!Q3:Q684=H98)*IFERROR(1/COUNTIFS('Plant Inventory'!B3:B684,'Plant Inventory'!B3:B684,'Plant Inventory'!J3:J684,"Available",'Plant Inventory'!Q3:Q684,H98),0))</f>
        <v>1</v>
      </c>
      <c r="E98" s="331" t="s">
        <v>10265</v>
      </c>
      <c r="F98" s="331" t="s">
        <v>10299</v>
      </c>
      <c r="G98" s="331" t="s">
        <v>10302</v>
      </c>
      <c r="H98" s="21" t="s">
        <v>22</v>
      </c>
    </row>
    <row r="99">
      <c r="A99" s="331" t="s">
        <v>10303</v>
      </c>
      <c r="B99" s="326"/>
      <c r="C99" s="327"/>
      <c r="D99" s="331">
        <f>SUMPRODUCT((ISNUMBER(SEARCH("-AL-",'Plant Inventory'!B3:B684)))*('Plant Inventory'!J3:J684="Available")*('Plant Inventory'!Q3:Q684=H99)*IFERROR(1/COUNTIFS('Plant Inventory'!B3:B684,'Plant Inventory'!B3:B684,'Plant Inventory'!J3:J684,"Available",'Plant Inventory'!Q3:Q684,H99),0))</f>
        <v>0</v>
      </c>
      <c r="E99" s="331" t="s">
        <v>10265</v>
      </c>
      <c r="F99" s="331" t="s">
        <v>10299</v>
      </c>
      <c r="G99" s="331" t="s">
        <v>10304</v>
      </c>
      <c r="H99" s="21" t="s">
        <v>22</v>
      </c>
    </row>
    <row r="100">
      <c r="B100" s="326"/>
      <c r="C100" s="327"/>
      <c r="H100" s="21" t="s">
        <v>22</v>
      </c>
    </row>
    <row r="101">
      <c r="A101" s="331" t="s">
        <v>10305</v>
      </c>
      <c r="B101" s="326"/>
      <c r="C101" s="327"/>
      <c r="D101" s="331">
        <f>SUMPRODUCT((ISNUMBER(SEARCH("SYN",'Plant Inventory'!B3:B684)))*('Plant Inventory'!J3:J684="Available")*('Plant Inventory'!Q3:Q684=H101)*IFERROR(1/COUNTIFS('Plant Inventory'!B3:B684,'Plant Inventory'!B3:B684,'Plant Inventory'!J3:J684,"Available",'Plant Inventory'!Q3:Q684,H101),0))</f>
        <v>0</v>
      </c>
      <c r="E101" s="331" t="s">
        <v>10265</v>
      </c>
      <c r="F101" s="331" t="s">
        <v>10299</v>
      </c>
      <c r="G101" s="331" t="s">
        <v>10306</v>
      </c>
      <c r="H101" s="21" t="s">
        <v>22</v>
      </c>
    </row>
    <row r="102">
      <c r="A102" s="331" t="s">
        <v>10307</v>
      </c>
      <c r="B102" s="326"/>
      <c r="C102" s="327"/>
      <c r="D102" s="331">
        <f>COUNTA('Product Inventory'!B3:B997)</f>
        <v>133</v>
      </c>
      <c r="E102" s="331" t="s">
        <v>10308</v>
      </c>
      <c r="F102" s="331" t="s">
        <v>10309</v>
      </c>
      <c r="G102" s="331" t="s">
        <v>10310</v>
      </c>
      <c r="H102" s="21" t="s">
        <v>22</v>
      </c>
    </row>
    <row r="103">
      <c r="A103" s="331" t="s">
        <v>10311</v>
      </c>
      <c r="B103" s="326"/>
      <c r="C103" s="327"/>
      <c r="D103" s="331">
        <f>SUMIF('Product Inventory'!K3:K997,"Available",'Product Inventory'!J3:J997)</f>
        <v>1535.27</v>
      </c>
      <c r="E103" s="331" t="s">
        <v>10308</v>
      </c>
      <c r="F103" s="331" t="s">
        <v>10312</v>
      </c>
      <c r="G103" s="331" t="s">
        <v>10313</v>
      </c>
      <c r="H103" s="21" t="s">
        <v>22</v>
      </c>
    </row>
    <row r="104">
      <c r="A104" s="331" t="s">
        <v>10314</v>
      </c>
      <c r="B104" s="326"/>
      <c r="C104" s="327"/>
      <c r="D104" s="331">
        <f>SUM('Product Inventory'!H3:H997)</f>
        <v>27</v>
      </c>
      <c r="E104" s="331" t="s">
        <v>10308</v>
      </c>
      <c r="F104" s="331" t="s">
        <v>10315</v>
      </c>
      <c r="G104" s="331" t="s">
        <v>10316</v>
      </c>
      <c r="H104" s="21" t="s">
        <v>22</v>
      </c>
    </row>
    <row r="105">
      <c r="A105" s="331" t="s">
        <v>10317</v>
      </c>
      <c r="B105" s="326"/>
      <c r="C105" s="327"/>
      <c r="D105" s="331">
        <f>SUM('Product Inventory'!I3:I997)</f>
        <v>567.34</v>
      </c>
      <c r="E105" s="331" t="s">
        <v>10308</v>
      </c>
      <c r="F105" s="331" t="s">
        <v>10318</v>
      </c>
      <c r="G105" s="331" t="s">
        <v>10319</v>
      </c>
      <c r="H105" s="21" t="s">
        <v>22</v>
      </c>
    </row>
    <row r="106">
      <c r="A106" s="331" t="s">
        <v>10320</v>
      </c>
      <c r="B106" s="326">
        <f>SUMPRODUCT('Product Inventory'!D3:D997*'Product Inventory'!G3:G997)</f>
        <v>2879.629</v>
      </c>
      <c r="C106" s="327"/>
      <c r="E106" s="331" t="s">
        <v>10308</v>
      </c>
      <c r="F106" s="331" t="s">
        <v>10321</v>
      </c>
      <c r="G106" s="331" t="s">
        <v>10322</v>
      </c>
      <c r="H106" s="21" t="s">
        <v>22</v>
      </c>
    </row>
    <row r="107">
      <c r="A107" s="331" t="s">
        <v>10323</v>
      </c>
      <c r="B107" s="326">
        <f>SUMPRODUCT('Product Inventory'!D3:D997*'Product Inventory'!J3:J997)</f>
        <v>1787.5268</v>
      </c>
      <c r="C107" s="327"/>
      <c r="E107" s="331" t="s">
        <v>10308</v>
      </c>
      <c r="F107" s="331" t="s">
        <v>10324</v>
      </c>
      <c r="G107" s="331" t="s">
        <v>10325</v>
      </c>
      <c r="H107" s="21" t="s">
        <v>22</v>
      </c>
    </row>
    <row r="108">
      <c r="A108" s="331" t="s">
        <v>10326</v>
      </c>
      <c r="B108" s="326">
        <f>SUMPRODUCT('Product Inventory'!E3:E997*'Product Inventory'!J3:J997)</f>
        <v>3771.36</v>
      </c>
      <c r="C108" s="327"/>
      <c r="E108" s="331" t="s">
        <v>10308</v>
      </c>
      <c r="F108" s="331" t="s">
        <v>10327</v>
      </c>
      <c r="G108" s="331" t="s">
        <v>10328</v>
      </c>
      <c r="H108" s="21" t="s">
        <v>22</v>
      </c>
    </row>
    <row r="109">
      <c r="A109" s="331" t="s">
        <v>10329</v>
      </c>
      <c r="B109" s="326"/>
      <c r="C109" s="327"/>
      <c r="D109" s="331">
        <f>COUNTIF('Product Inventory'!K3:K997,"Out of Stock")</f>
        <v>12</v>
      </c>
      <c r="E109" s="331" t="s">
        <v>10308</v>
      </c>
      <c r="F109" s="331" t="s">
        <v>10330</v>
      </c>
      <c r="G109" s="331" t="s">
        <v>10331</v>
      </c>
      <c r="H109" s="21" t="s">
        <v>22</v>
      </c>
    </row>
    <row r="110">
      <c r="A110" s="331" t="s">
        <v>10332</v>
      </c>
      <c r="B110" s="326">
        <f>B3</f>
        <v>1717</v>
      </c>
      <c r="C110" s="327"/>
      <c r="E110" s="331" t="s">
        <v>6502</v>
      </c>
      <c r="F110" s="331" t="s">
        <v>10333</v>
      </c>
      <c r="G110" s="331" t="s">
        <v>10334</v>
      </c>
      <c r="H110" s="21" t="s">
        <v>22</v>
      </c>
    </row>
    <row r="111">
      <c r="A111" s="331" t="s">
        <v>10335</v>
      </c>
      <c r="B111" s="326">
        <f>B6</f>
        <v>774.29</v>
      </c>
      <c r="C111" s="327"/>
      <c r="E111" s="331" t="s">
        <v>6502</v>
      </c>
      <c r="F111" s="331" t="s">
        <v>10336</v>
      </c>
      <c r="G111" s="331" t="s">
        <v>10337</v>
      </c>
      <c r="H111" s="21" t="s">
        <v>22</v>
      </c>
    </row>
    <row r="112">
      <c r="A112" s="331" t="s">
        <v>10338</v>
      </c>
      <c r="B112" s="326">
        <f>B9</f>
        <v>7744.63</v>
      </c>
      <c r="C112" s="327"/>
      <c r="E112" s="331" t="s">
        <v>6502</v>
      </c>
      <c r="F112" s="331" t="s">
        <v>10339</v>
      </c>
      <c r="G112" s="331" t="s">
        <v>10340</v>
      </c>
      <c r="H112" s="21" t="s">
        <v>22</v>
      </c>
    </row>
    <row r="113">
      <c r="A113" s="331" t="s">
        <v>10341</v>
      </c>
      <c r="B113" s="326">
        <f>B111+B112</f>
        <v>8518.92</v>
      </c>
      <c r="C113" s="327"/>
      <c r="E113" s="331" t="s">
        <v>6502</v>
      </c>
      <c r="F113" s="331" t="s">
        <v>10342</v>
      </c>
      <c r="G113" s="331" t="s">
        <v>10343</v>
      </c>
      <c r="H113" s="21" t="s">
        <v>22</v>
      </c>
    </row>
    <row r="114">
      <c r="A114" s="331" t="s">
        <v>10344</v>
      </c>
      <c r="B114" s="326">
        <f>B110-B113</f>
        <v>-6801.92</v>
      </c>
      <c r="C114" s="327"/>
      <c r="E114" s="331" t="s">
        <v>6502</v>
      </c>
      <c r="F114" s="331" t="s">
        <v>10345</v>
      </c>
      <c r="G114" s="331" t="s">
        <v>10346</v>
      </c>
      <c r="H114" s="21" t="s">
        <v>22</v>
      </c>
    </row>
    <row r="115">
      <c r="A115" s="331" t="s">
        <v>10347</v>
      </c>
      <c r="B115" s="326">
        <f>B91</f>
        <v>49.65</v>
      </c>
      <c r="C115" s="327"/>
      <c r="E115" s="331" t="s">
        <v>6502</v>
      </c>
      <c r="F115" s="331" t="s">
        <v>10348</v>
      </c>
      <c r="G115" s="331" t="s">
        <v>10349</v>
      </c>
      <c r="H115" s="21" t="s">
        <v>22</v>
      </c>
    </row>
    <row r="116">
      <c r="A116" s="331" t="s">
        <v>10350</v>
      </c>
      <c r="B116" s="326">
        <f>B107</f>
        <v>1787.5268</v>
      </c>
      <c r="C116" s="327"/>
      <c r="E116" s="331" t="s">
        <v>6502</v>
      </c>
      <c r="F116" s="331" t="s">
        <v>10348</v>
      </c>
      <c r="G116" s="331" t="s">
        <v>10351</v>
      </c>
      <c r="H116" s="21" t="s">
        <v>22</v>
      </c>
    </row>
    <row r="117">
      <c r="A117" s="331" t="s">
        <v>10352</v>
      </c>
      <c r="B117" s="326">
        <f>B96</f>
        <v>423.16</v>
      </c>
      <c r="C117" s="327"/>
      <c r="E117" s="331" t="s">
        <v>6502</v>
      </c>
      <c r="F117" s="331" t="s">
        <v>10353</v>
      </c>
      <c r="G117" s="331" t="s">
        <v>10354</v>
      </c>
      <c r="H117" s="21" t="s">
        <v>22</v>
      </c>
    </row>
    <row r="118">
      <c r="B118" s="326"/>
      <c r="C118" s="327"/>
      <c r="H118" s="21"/>
    </row>
    <row r="119">
      <c r="B119" s="326"/>
      <c r="C119" s="327"/>
      <c r="H119" s="21"/>
    </row>
    <row r="120">
      <c r="B120" s="326"/>
      <c r="C120" s="327"/>
      <c r="H120" s="21"/>
    </row>
    <row r="121">
      <c r="A121" s="325" t="s">
        <v>10105</v>
      </c>
      <c r="B121" s="326"/>
      <c r="C121" s="327"/>
    </row>
    <row r="122">
      <c r="A122" s="328" t="s">
        <v>10106</v>
      </c>
      <c r="B122" s="329" t="s">
        <v>10107</v>
      </c>
      <c r="C122" s="330" t="s">
        <v>10108</v>
      </c>
      <c r="D122" s="328" t="s">
        <v>10109</v>
      </c>
      <c r="E122" s="328" t="s">
        <v>10110</v>
      </c>
      <c r="F122" s="328" t="s">
        <v>1035</v>
      </c>
      <c r="G122" s="328" t="s">
        <v>8585</v>
      </c>
      <c r="H122" s="28" t="s">
        <v>14</v>
      </c>
    </row>
    <row r="123">
      <c r="A123" s="331" t="s">
        <v>10111</v>
      </c>
      <c r="B123" s="326">
        <f>SUMIF(Sales!B123:B10120,"&lt;&gt;",Sales!F123:F10120)</f>
        <v>792</v>
      </c>
      <c r="C123" s="327"/>
      <c r="E123" s="28" t="s">
        <v>10112</v>
      </c>
      <c r="F123" s="331" t="s">
        <v>10113</v>
      </c>
      <c r="G123" s="331" t="s">
        <v>10114</v>
      </c>
      <c r="H123" s="21" t="s">
        <v>10355</v>
      </c>
    </row>
    <row r="124">
      <c r="A124" s="331" t="s">
        <v>10115</v>
      </c>
      <c r="B124" s="326">
        <f>SUMPRODUCT(('Plant Inventory'!J9:J792="Sold")*('Plant Inventory'!D9:D792))</f>
        <v>674.16</v>
      </c>
      <c r="C124" s="327"/>
      <c r="E124" s="28" t="s">
        <v>10112</v>
      </c>
      <c r="F124" s="331" t="s">
        <v>10116</v>
      </c>
      <c r="G124" s="331" t="s">
        <v>10117</v>
      </c>
      <c r="H124" s="21" t="s">
        <v>10355</v>
      </c>
    </row>
    <row r="125">
      <c r="A125" s="331" t="s">
        <v>10118</v>
      </c>
      <c r="B125" s="326">
        <f>SUMPRODUCT((Sales!B123:B10120&lt;&gt;"")*ISNUMBER(MATCH(Sales!B123:B10120,'Product Inventory'!B120:B1117,0))*Sales!J123:J10120)</f>
        <v>0</v>
      </c>
      <c r="C125" s="327"/>
      <c r="E125" s="28" t="s">
        <v>10112</v>
      </c>
      <c r="F125" s="331" t="s">
        <v>10119</v>
      </c>
      <c r="G125" s="331" t="s">
        <v>10120</v>
      </c>
      <c r="H125" s="21" t="s">
        <v>10355</v>
      </c>
    </row>
    <row r="126">
      <c r="A126" s="331" t="s">
        <v>10121</v>
      </c>
      <c r="B126" s="326">
        <f>B124+B125</f>
        <v>674.16</v>
      </c>
      <c r="C126" s="327"/>
      <c r="E126" s="28" t="s">
        <v>10112</v>
      </c>
      <c r="F126" s="331" t="s">
        <v>10122</v>
      </c>
      <c r="G126" s="331" t="s">
        <v>10123</v>
      </c>
      <c r="H126" s="21" t="s">
        <v>10355</v>
      </c>
    </row>
    <row r="127">
      <c r="A127" s="331" t="s">
        <v>10124</v>
      </c>
      <c r="B127" s="326">
        <f>B123-B126</f>
        <v>117.84</v>
      </c>
      <c r="C127" s="327"/>
      <c r="E127" s="28" t="s">
        <v>10112</v>
      </c>
      <c r="F127" s="331" t="s">
        <v>10125</v>
      </c>
      <c r="G127" s="331" t="s">
        <v>10126</v>
      </c>
      <c r="H127" s="21" t="s">
        <v>10355</v>
      </c>
    </row>
    <row r="128">
      <c r="A128" s="331" t="s">
        <v>10127</v>
      </c>
      <c r="B128" s="326"/>
      <c r="C128" s="327">
        <f>IFERROR(B127/B123,"")</f>
        <v>0.1487878788</v>
      </c>
      <c r="E128" s="28" t="s">
        <v>10112</v>
      </c>
      <c r="F128" s="331" t="s">
        <v>10128</v>
      </c>
      <c r="G128" s="331" t="s">
        <v>10129</v>
      </c>
      <c r="H128" s="21" t="s">
        <v>10355</v>
      </c>
    </row>
    <row r="129">
      <c r="A129" s="331" t="s">
        <v>10130</v>
      </c>
      <c r="B129" s="326">
        <f>SUMIF('Overhead Expenses'!D123:D5117,"&lt;&gt;",'Overhead Expenses'!K123:K5117)</f>
        <v>4500.86</v>
      </c>
      <c r="C129" s="327"/>
      <c r="E129" s="28" t="s">
        <v>10112</v>
      </c>
      <c r="F129" s="331" t="s">
        <v>10131</v>
      </c>
      <c r="G129" s="331" t="s">
        <v>10132</v>
      </c>
      <c r="H129" s="21" t="s">
        <v>10355</v>
      </c>
    </row>
    <row r="130">
      <c r="A130" s="331" t="s">
        <v>10133</v>
      </c>
      <c r="B130" s="326">
        <f>B127-B129</f>
        <v>-4383.02</v>
      </c>
      <c r="C130" s="327"/>
      <c r="E130" s="28" t="s">
        <v>10112</v>
      </c>
      <c r="F130" s="331" t="s">
        <v>10134</v>
      </c>
      <c r="G130" s="331" t="s">
        <v>10135</v>
      </c>
      <c r="H130" s="21" t="s">
        <v>10355</v>
      </c>
    </row>
    <row r="131">
      <c r="A131" s="331" t="s">
        <v>10136</v>
      </c>
      <c r="B131" s="326"/>
      <c r="C131" s="327">
        <f>IFERROR(B130/B123,"")</f>
        <v>-5.534116162</v>
      </c>
      <c r="E131" s="28" t="s">
        <v>10112</v>
      </c>
      <c r="F131" s="331" t="s">
        <v>10137</v>
      </c>
      <c r="G131" s="331" t="s">
        <v>10138</v>
      </c>
      <c r="H131" s="21" t="s">
        <v>10355</v>
      </c>
    </row>
    <row r="132">
      <c r="A132" s="331" t="s">
        <v>10139</v>
      </c>
      <c r="B132" s="326"/>
      <c r="C132" s="327"/>
      <c r="D132" s="331">
        <f>COUNTA(Sales!B123:B10120)</f>
        <v>54</v>
      </c>
      <c r="E132" s="331" t="s">
        <v>10140</v>
      </c>
      <c r="F132" s="331" t="s">
        <v>10141</v>
      </c>
      <c r="G132" s="331" t="s">
        <v>10142</v>
      </c>
      <c r="H132" s="21" t="s">
        <v>10355</v>
      </c>
    </row>
    <row r="133">
      <c r="A133" s="331" t="s">
        <v>10143</v>
      </c>
      <c r="B133" s="326">
        <f>IFERROR(B123/D132,"")</f>
        <v>14.66666667</v>
      </c>
      <c r="C133" s="327"/>
      <c r="E133" s="331" t="s">
        <v>10140</v>
      </c>
      <c r="F133" s="331" t="s">
        <v>10144</v>
      </c>
      <c r="G133" s="331" t="s">
        <v>10145</v>
      </c>
      <c r="H133" s="21" t="s">
        <v>10355</v>
      </c>
    </row>
    <row r="134">
      <c r="A134" s="331" t="s">
        <v>10146</v>
      </c>
      <c r="B134" s="326">
        <f>IFERROR(B130/D132,"")</f>
        <v>-81.16703704</v>
      </c>
      <c r="C134" s="327"/>
      <c r="E134" s="331" t="s">
        <v>10140</v>
      </c>
      <c r="F134" s="331" t="s">
        <v>10147</v>
      </c>
      <c r="G134" s="331" t="s">
        <v>10148</v>
      </c>
      <c r="H134" s="21" t="s">
        <v>10355</v>
      </c>
    </row>
    <row r="135">
      <c r="A135" s="331" t="s">
        <v>10149</v>
      </c>
      <c r="B135" s="326">
        <f>SUMIF(Sales!I123:I10120,"Palm Street",Sales!F123:F10120)</f>
        <v>116</v>
      </c>
      <c r="C135" s="327"/>
      <c r="E135" s="331" t="s">
        <v>10140</v>
      </c>
      <c r="F135" s="331" t="s">
        <v>10150</v>
      </c>
      <c r="G135" s="331" t="s">
        <v>10151</v>
      </c>
      <c r="H135" s="21" t="s">
        <v>10355</v>
      </c>
    </row>
    <row r="136">
      <c r="A136" s="331" t="s">
        <v>10152</v>
      </c>
      <c r="B136" s="326">
        <f>SUMIF(Sales!I123:I10120,"In Person",Sales!F123:F10120)</f>
        <v>171</v>
      </c>
      <c r="C136" s="327"/>
      <c r="E136" s="331" t="s">
        <v>10140</v>
      </c>
      <c r="F136" s="331" t="s">
        <v>10150</v>
      </c>
      <c r="G136" s="331" t="s">
        <v>10153</v>
      </c>
      <c r="H136" s="21" t="s">
        <v>10355</v>
      </c>
    </row>
    <row r="137">
      <c r="A137" s="331" t="s">
        <v>10154</v>
      </c>
      <c r="B137" s="326">
        <f>SUMIF(Sales!I123:I10120,"Facebook Marketplace",Sales!F123:F10120)</f>
        <v>363</v>
      </c>
      <c r="C137" s="327"/>
      <c r="E137" s="331" t="s">
        <v>10140</v>
      </c>
      <c r="F137" s="331" t="s">
        <v>10150</v>
      </c>
      <c r="G137" s="331" t="s">
        <v>10155</v>
      </c>
      <c r="H137" s="21" t="s">
        <v>10355</v>
      </c>
    </row>
    <row r="138">
      <c r="A138" s="331" t="s">
        <v>10156</v>
      </c>
      <c r="B138" s="326">
        <f>SUMIF(Sales!I123:I10120,"Flea Market",Sales!F123:F10120)</f>
        <v>0</v>
      </c>
      <c r="C138" s="327"/>
      <c r="E138" s="331" t="s">
        <v>10140</v>
      </c>
      <c r="F138" s="331" t="s">
        <v>10150</v>
      </c>
      <c r="G138" s="331" t="s">
        <v>10157</v>
      </c>
      <c r="H138" s="21" t="s">
        <v>10355</v>
      </c>
    </row>
    <row r="139">
      <c r="A139" s="331" t="s">
        <v>10158</v>
      </c>
      <c r="B139" s="326">
        <f>SUMIF(Sales!I123:I10120,"Square Online",Sales!F123:F10120)</f>
        <v>35</v>
      </c>
      <c r="C139" s="327"/>
      <c r="E139" s="331" t="s">
        <v>10140</v>
      </c>
      <c r="F139" s="331" t="s">
        <v>10150</v>
      </c>
      <c r="G139" s="331" t="s">
        <v>10159</v>
      </c>
      <c r="H139" s="21" t="s">
        <v>10355</v>
      </c>
    </row>
    <row r="140">
      <c r="A140" s="331" t="s">
        <v>10160</v>
      </c>
      <c r="B140" s="326">
        <f>SUMIF(Sales!I123:I10120,"Merlin Outdoor Market",Sales!F123:F10120)</f>
        <v>0</v>
      </c>
      <c r="C140" s="327"/>
      <c r="E140" s="331" t="s">
        <v>10140</v>
      </c>
      <c r="F140" s="331" t="s">
        <v>10150</v>
      </c>
      <c r="G140" s="331" t="s">
        <v>10161</v>
      </c>
      <c r="H140" s="21" t="s">
        <v>10355</v>
      </c>
    </row>
    <row r="141">
      <c r="A141" s="331" t="s">
        <v>10162</v>
      </c>
      <c r="B141" s="326">
        <f>SUMIF(Sales!I123:I10120,"Facebook",Sales!F123:F10120)</f>
        <v>107</v>
      </c>
      <c r="C141" s="327"/>
      <c r="E141" s="331" t="s">
        <v>10140</v>
      </c>
      <c r="F141" s="331" t="s">
        <v>10150</v>
      </c>
      <c r="G141" s="331" t="s">
        <v>10163</v>
      </c>
      <c r="H141" s="21" t="s">
        <v>10355</v>
      </c>
    </row>
    <row r="142">
      <c r="A142" s="331" t="s">
        <v>10164</v>
      </c>
      <c r="B142" s="326">
        <f>SUMIFS(Sales!F123:F10120,Sales!A123:A10120,"&gt;="&amp;DATE(2025,8,1),Sales!A123:A10120,"&lt;"&amp;DATE(2025,9,1))</f>
        <v>0</v>
      </c>
      <c r="C142" s="327"/>
      <c r="E142" s="331" t="s">
        <v>10165</v>
      </c>
      <c r="G142" s="331" t="s">
        <v>10166</v>
      </c>
      <c r="H142" s="21" t="s">
        <v>10355</v>
      </c>
    </row>
    <row r="143">
      <c r="A143" s="331" t="s">
        <v>10167</v>
      </c>
      <c r="B143" s="326">
        <f>SUMIFS(Sales!K123:K10120,Sales!A123:A10120,"&gt;="&amp;DATE(2025,8,1),Sales!A123:A10120,"&lt;"&amp;DATE(2025,9,1))</f>
        <v>0</v>
      </c>
      <c r="C143" s="327"/>
      <c r="E143" s="331" t="s">
        <v>10165</v>
      </c>
      <c r="G143" s="331" t="s">
        <v>10168</v>
      </c>
      <c r="H143" s="21" t="s">
        <v>10355</v>
      </c>
    </row>
    <row r="144">
      <c r="A144" s="331" t="s">
        <v>10169</v>
      </c>
      <c r="B144" s="326">
        <f>SUMIFS(Sales!F123:F10120,Sales!A123:A10120,"&gt;="&amp;DATE(2025,9,1),Sales!A123:A10120,"&lt;"&amp;DATE(2025,10,1))</f>
        <v>45</v>
      </c>
      <c r="C144" s="327"/>
      <c r="E144" s="331" t="s">
        <v>10165</v>
      </c>
      <c r="G144" s="331" t="s">
        <v>10170</v>
      </c>
      <c r="H144" s="21" t="s">
        <v>10355</v>
      </c>
    </row>
    <row r="145">
      <c r="A145" s="331" t="s">
        <v>10171</v>
      </c>
      <c r="B145" s="326">
        <f>SUMIFS(Sales!K123:K10120,Sales!A123:A10120,"&gt;="&amp;DATE(2025,9,1),Sales!A123:A10120,"&lt;"&amp;DATE(2025,10,1))</f>
        <v>25.3</v>
      </c>
      <c r="C145" s="327"/>
      <c r="E145" s="331" t="s">
        <v>10165</v>
      </c>
      <c r="G145" s="331" t="s">
        <v>10172</v>
      </c>
      <c r="H145" s="21" t="s">
        <v>10355</v>
      </c>
    </row>
    <row r="146">
      <c r="A146" s="331" t="s">
        <v>10173</v>
      </c>
      <c r="B146" s="326">
        <f>SUMIFS(Sales!F123:F10120,Sales!A123:A10120,"&gt;="&amp;DATE(2025,10,1),Sales!A123:A10120,"&lt;"&amp;DATE(2025,11,1))</f>
        <v>6</v>
      </c>
      <c r="C146" s="327"/>
      <c r="E146" s="331" t="s">
        <v>10165</v>
      </c>
      <c r="G146" s="331" t="s">
        <v>10174</v>
      </c>
      <c r="H146" s="21" t="s">
        <v>10355</v>
      </c>
    </row>
    <row r="147">
      <c r="A147" s="331" t="s">
        <v>10175</v>
      </c>
      <c r="B147" s="326">
        <f>SUMIFS(Sales!K123:K10120,Sales!A123:A10120,"&gt;="&amp;DATE(2025,10,1),Sales!A123:A10120,"&lt;"&amp;DATE(2025,11,1))</f>
        <v>0.34</v>
      </c>
      <c r="C147" s="327"/>
      <c r="E147" s="331" t="s">
        <v>10165</v>
      </c>
      <c r="G147" s="331" t="s">
        <v>10176</v>
      </c>
      <c r="H147" s="21" t="s">
        <v>10355</v>
      </c>
    </row>
    <row r="148">
      <c r="A148" s="331" t="s">
        <v>10177</v>
      </c>
      <c r="B148" s="326">
        <f>SUMIFS(Sales!F123:F10120,Sales!A123:A10120,"&gt;="&amp;DATE(2025,11,1),Sales!A123:A10120,"&lt;"&amp;DATE(2025,12,1))</f>
        <v>46</v>
      </c>
      <c r="C148" s="327"/>
      <c r="E148" s="331" t="s">
        <v>10165</v>
      </c>
      <c r="G148" s="331" t="s">
        <v>10178</v>
      </c>
      <c r="H148" s="21" t="s">
        <v>10355</v>
      </c>
    </row>
    <row r="149">
      <c r="A149" s="331" t="s">
        <v>10179</v>
      </c>
      <c r="B149" s="326">
        <f>SUMIFS(Sales!K123:K10120,Sales!A123:A10120,"&gt;="&amp;DATE(2025,11,1),Sales!A123:A10120,"&lt;"&amp;DATE(2025,12,1))</f>
        <v>15.66</v>
      </c>
      <c r="C149" s="327"/>
      <c r="E149" s="331" t="s">
        <v>10165</v>
      </c>
      <c r="G149" s="331" t="s">
        <v>10180</v>
      </c>
      <c r="H149" s="21" t="s">
        <v>10355</v>
      </c>
    </row>
    <row r="150">
      <c r="A150" s="331" t="s">
        <v>10181</v>
      </c>
      <c r="B150" s="326">
        <f>SUMIFS(Sales!F123:F10120,Sales!A123:A10120,"&gt;="&amp;DATE(2025,12,1),Sales!A123:A10120,"&lt;"&amp;DATE(2026,1,1))</f>
        <v>306</v>
      </c>
      <c r="C150" s="327"/>
      <c r="E150" s="331" t="s">
        <v>10165</v>
      </c>
      <c r="G150" s="331" t="s">
        <v>10182</v>
      </c>
      <c r="H150" s="21" t="s">
        <v>10355</v>
      </c>
    </row>
    <row r="151">
      <c r="A151" s="331" t="s">
        <v>10183</v>
      </c>
      <c r="B151" s="326">
        <f>SUMIFS(Sales!K123:K10120,Sales!A123:A10120,"&gt;="&amp;DATE(2025,12,1),Sales!A123:A10120,"&lt;"&amp;DATE(2026,1,1))</f>
        <v>182.21</v>
      </c>
      <c r="C151" s="327"/>
      <c r="E151" s="331" t="s">
        <v>10165</v>
      </c>
      <c r="G151" s="331" t="s">
        <v>10184</v>
      </c>
      <c r="H151" s="21" t="s">
        <v>10355</v>
      </c>
    </row>
    <row r="152">
      <c r="A152" s="331" t="s">
        <v>10185</v>
      </c>
      <c r="B152" s="326">
        <f>SUMIFS(Sales!F123:F10120,Sales!A123:A10120,"&gt;="&amp;DATE(2026,1,1),Sales!A123:A10120,"&lt;"&amp;DATE(2026,2,1))</f>
        <v>0</v>
      </c>
      <c r="C152" s="327"/>
      <c r="E152" s="331" t="s">
        <v>10165</v>
      </c>
      <c r="G152" s="331" t="s">
        <v>10186</v>
      </c>
      <c r="H152" s="21" t="s">
        <v>10355</v>
      </c>
    </row>
    <row r="153">
      <c r="A153" s="331" t="s">
        <v>10187</v>
      </c>
      <c r="B153" s="326">
        <f>SUMIFS(Sales!K123:K10120,Sales!A123:A10120,"&gt;="&amp;DATE(2026,1,1),Sales!A123:A10120,"&lt;"&amp;DATE(2026,2,1))</f>
        <v>0</v>
      </c>
      <c r="C153" s="327"/>
      <c r="E153" s="331" t="s">
        <v>10165</v>
      </c>
      <c r="G153" s="331" t="s">
        <v>10188</v>
      </c>
      <c r="H153" s="21" t="s">
        <v>10355</v>
      </c>
    </row>
    <row r="154">
      <c r="A154" s="331" t="s">
        <v>10189</v>
      </c>
      <c r="B154" s="326">
        <f>SUMIFS(Sales!F123:F10120,Sales!A123:A10120,"&gt;="&amp;DATE(2026,2,1),Sales!A123:A10120,"&lt;"&amp;DATE(2026,3,1))</f>
        <v>0</v>
      </c>
      <c r="C154" s="327"/>
      <c r="E154" s="331" t="s">
        <v>10165</v>
      </c>
      <c r="G154" s="331" t="s">
        <v>10190</v>
      </c>
      <c r="H154" s="21" t="s">
        <v>10355</v>
      </c>
    </row>
    <row r="155">
      <c r="A155" s="331" t="s">
        <v>10191</v>
      </c>
      <c r="B155" s="326">
        <f>SUMIFS(Sales!K123:K10120,Sales!A123:A10120,"&gt;="&amp;DATE(2026,2,1),Sales!A123:A10120,"&lt;"&amp;DATE(2026,3,1))</f>
        <v>0</v>
      </c>
      <c r="C155" s="327"/>
      <c r="E155" s="331" t="s">
        <v>10165</v>
      </c>
      <c r="G155" s="331" t="s">
        <v>10192</v>
      </c>
      <c r="H155" s="21" t="s">
        <v>10355</v>
      </c>
    </row>
    <row r="156">
      <c r="A156" s="331" t="s">
        <v>10193</v>
      </c>
      <c r="B156" s="326">
        <f>SUMIFS(Sales!F123:F10120,Sales!A123:A10120,"&gt;="&amp;DATE(2026,3,1),Sales!A123:A10120,"&lt;"&amp;DATE(2026,4,1))</f>
        <v>148</v>
      </c>
      <c r="C156" s="327"/>
      <c r="E156" s="331" t="s">
        <v>10165</v>
      </c>
      <c r="G156" s="331" t="s">
        <v>10194</v>
      </c>
      <c r="H156" s="21" t="s">
        <v>10355</v>
      </c>
    </row>
    <row r="157">
      <c r="A157" s="331" t="s">
        <v>10195</v>
      </c>
      <c r="B157" s="326">
        <f>SUMIFS(Sales!K123:K10120,Sales!A123:A10120,"&gt;="&amp;DATE(2026,3,1),Sales!A123:A10120,"&lt;"&amp;DATE(2026,4,1))</f>
        <v>64.48</v>
      </c>
      <c r="C157" s="327"/>
      <c r="E157" s="331" t="s">
        <v>10165</v>
      </c>
      <c r="G157" s="331" t="s">
        <v>10196</v>
      </c>
      <c r="H157" s="21" t="s">
        <v>10355</v>
      </c>
    </row>
    <row r="158">
      <c r="A158" s="331" t="s">
        <v>10197</v>
      </c>
      <c r="B158" s="326">
        <f>SUMIFS(Sales!F123:F10120,Sales!A123:A10120,"&gt;="&amp;DATE(2026,4,1),Sales!A123:A10120,"&lt;"&amp;DATE(2026,5,1))</f>
        <v>160</v>
      </c>
      <c r="C158" s="327"/>
      <c r="E158" s="331" t="s">
        <v>10165</v>
      </c>
      <c r="G158" s="331" t="s">
        <v>10198</v>
      </c>
      <c r="H158" s="21" t="s">
        <v>10355</v>
      </c>
    </row>
    <row r="159">
      <c r="A159" s="331" t="s">
        <v>10199</v>
      </c>
      <c r="B159" s="326">
        <f>SUMIFS(Sales!K123:K10120,Sales!A123:A10120,"&gt;="&amp;DATE(2026,4,1),Sales!A123:A10120,"&lt;"&amp;DATE(2026,5,1))</f>
        <v>79.06</v>
      </c>
      <c r="C159" s="327"/>
      <c r="E159" s="331" t="s">
        <v>10165</v>
      </c>
      <c r="G159" s="331" t="s">
        <v>10200</v>
      </c>
      <c r="H159" s="21" t="s">
        <v>10355</v>
      </c>
    </row>
    <row r="160">
      <c r="A160" s="331" t="s">
        <v>10201</v>
      </c>
      <c r="B160" s="326">
        <f>SUMIFS(Sales!F123:F10120,Sales!A123:A10120,"&gt;="&amp;DATE(2026,5,1),Sales!A123:A10120,"&lt;"&amp;DATE(2026,6,1))</f>
        <v>81</v>
      </c>
      <c r="C160" s="327"/>
      <c r="E160" s="331" t="s">
        <v>10165</v>
      </c>
      <c r="G160" s="331" t="s">
        <v>10202</v>
      </c>
      <c r="H160" s="21" t="s">
        <v>10355</v>
      </c>
    </row>
    <row r="161">
      <c r="A161" s="331" t="s">
        <v>10203</v>
      </c>
      <c r="B161" s="326">
        <f>SUMIFS(Sales!K123:K10120,Sales!A123:A10120,"&gt;="&amp;DATE(2026,5,1),Sales!A123:A10120,"&lt;"&amp;DATE(2026,6,1))</f>
        <v>40.3</v>
      </c>
      <c r="C161" s="327"/>
      <c r="E161" s="331" t="s">
        <v>10165</v>
      </c>
      <c r="G161" s="331" t="s">
        <v>10204</v>
      </c>
      <c r="H161" s="21" t="s">
        <v>10355</v>
      </c>
    </row>
    <row r="162">
      <c r="A162" s="331" t="s">
        <v>10205</v>
      </c>
      <c r="B162" s="326">
        <f>SUMIFS(Sales!F123:F10120,Sales!A123:A10120,"&gt;="&amp;DATE(2026,6,1),Sales!A123:A10120,"&lt;"&amp;DATE(2026,7,1))</f>
        <v>0</v>
      </c>
      <c r="C162" s="327"/>
      <c r="E162" s="331" t="s">
        <v>10165</v>
      </c>
      <c r="G162" s="331" t="s">
        <v>10206</v>
      </c>
      <c r="H162" s="21" t="s">
        <v>10355</v>
      </c>
    </row>
    <row r="163">
      <c r="A163" s="331" t="s">
        <v>10207</v>
      </c>
      <c r="B163" s="326">
        <f>SUMIFS(Sales!K123:K10120,Sales!A123:A10120,"&gt;="&amp;DATE(2026,6,1),Sales!A123:A10120,"&lt;"&amp;DATE(2026,7,1))</f>
        <v>0</v>
      </c>
      <c r="C163" s="327"/>
      <c r="E163" s="331" t="s">
        <v>10165</v>
      </c>
      <c r="G163" s="331" t="s">
        <v>10208</v>
      </c>
      <c r="H163" s="21" t="s">
        <v>10355</v>
      </c>
    </row>
    <row r="164">
      <c r="A164" s="331" t="s">
        <v>10209</v>
      </c>
      <c r="B164" s="326">
        <f>SUMIFS(Sales!F123:F10120,Sales!A123:A10120,"&gt;="&amp;DATE(2026,7,1),Sales!A123:A10120,"&lt;"&amp;DATE(2026,8,1))</f>
        <v>0</v>
      </c>
      <c r="C164" s="327"/>
      <c r="E164" s="331" t="s">
        <v>10165</v>
      </c>
      <c r="G164" s="331" t="s">
        <v>10210</v>
      </c>
      <c r="H164" s="21" t="s">
        <v>10355</v>
      </c>
    </row>
    <row r="165">
      <c r="A165" s="331" t="s">
        <v>10211</v>
      </c>
      <c r="B165" s="326">
        <f>SUMIFS(Sales!K123:K10120,Sales!A123:A10120,"&gt;="&amp;DATE(2026,7,1),Sales!A123:A10120,"&lt;"&amp;DATE(2026,8,1))</f>
        <v>0</v>
      </c>
      <c r="C165" s="327"/>
      <c r="E165" s="331" t="s">
        <v>10165</v>
      </c>
      <c r="G165" s="331" t="s">
        <v>10212</v>
      </c>
      <c r="H165" s="21" t="s">
        <v>10355</v>
      </c>
    </row>
    <row r="166">
      <c r="A166" s="331" t="s">
        <v>10213</v>
      </c>
      <c r="B166" s="326">
        <f>SUMIFS(Sales!F123:F10120,Sales!A123:A10120,"&gt;="&amp;DATE(2026,8,1),Sales!A123:A10120,"&lt;"&amp;DATE(2026,9,1))</f>
        <v>0</v>
      </c>
      <c r="C166" s="327"/>
      <c r="E166" s="331" t="s">
        <v>10165</v>
      </c>
      <c r="G166" s="331" t="s">
        <v>10214</v>
      </c>
      <c r="H166" s="21" t="s">
        <v>10355</v>
      </c>
    </row>
    <row r="167">
      <c r="A167" s="331" t="s">
        <v>10215</v>
      </c>
      <c r="B167" s="326">
        <f>SUMIFS(Sales!K123:K10120,Sales!A123:A10120,"&gt;="&amp;DATE(2026,8,1),Sales!A123:A10120,"&lt;"&amp;DATE(2026,9,1))</f>
        <v>0</v>
      </c>
      <c r="C167" s="327"/>
      <c r="E167" s="331" t="s">
        <v>10165</v>
      </c>
      <c r="G167" s="331" t="s">
        <v>10216</v>
      </c>
      <c r="H167" s="21" t="s">
        <v>10355</v>
      </c>
    </row>
    <row r="168">
      <c r="A168" s="331" t="s">
        <v>10217</v>
      </c>
      <c r="B168" s="326">
        <f>SUMIFS(Sales!F123:F10120,Sales!A123:A10120,"&gt;="&amp;DATE(2026,9,1),Sales!A123:A10120,"&lt;"&amp;DATE(2026,10,1))</f>
        <v>0</v>
      </c>
      <c r="C168" s="327"/>
      <c r="E168" s="331" t="s">
        <v>10165</v>
      </c>
      <c r="G168" s="331" t="s">
        <v>10218</v>
      </c>
      <c r="H168" s="21" t="s">
        <v>10355</v>
      </c>
    </row>
    <row r="169">
      <c r="A169" s="331" t="s">
        <v>10219</v>
      </c>
      <c r="B169" s="326">
        <f>SUMIFS(Sales!K123:K10120,Sales!A123:A10120,"&gt;="&amp;DATE(2026,9,1),Sales!A123:A10120,"&lt;"&amp;DATE(2026,10,1))</f>
        <v>0</v>
      </c>
      <c r="C169" s="327"/>
      <c r="E169" s="331" t="s">
        <v>10165</v>
      </c>
      <c r="G169" s="331" t="s">
        <v>10220</v>
      </c>
      <c r="H169" s="21" t="s">
        <v>10355</v>
      </c>
    </row>
    <row r="170">
      <c r="A170" s="331" t="s">
        <v>10221</v>
      </c>
      <c r="B170" s="326">
        <f>SUMIFS(Sales!F123:F10120,Sales!A123:A10120,"&gt;="&amp;DATE(2026,10,1),Sales!A123:A10120,"&lt;"&amp;DATE(2026,11,1))</f>
        <v>0</v>
      </c>
      <c r="C170" s="327"/>
      <c r="E170" s="331" t="s">
        <v>10165</v>
      </c>
      <c r="G170" s="331" t="s">
        <v>10222</v>
      </c>
      <c r="H170" s="21" t="s">
        <v>10355</v>
      </c>
    </row>
    <row r="171">
      <c r="A171" s="331" t="s">
        <v>10223</v>
      </c>
      <c r="B171" s="326">
        <f>SUMIFS(Sales!K123:K10120,Sales!A123:A10120,"&gt;="&amp;DATE(2026,10,1),Sales!A123:A10120,"&lt;"&amp;DATE(2026,11,1))</f>
        <v>0</v>
      </c>
      <c r="C171" s="327"/>
      <c r="E171" s="331" t="s">
        <v>10165</v>
      </c>
      <c r="G171" s="331" t="s">
        <v>10224</v>
      </c>
      <c r="H171" s="21" t="s">
        <v>10355</v>
      </c>
    </row>
    <row r="172">
      <c r="A172" s="331" t="s">
        <v>10225</v>
      </c>
      <c r="B172" s="326">
        <f>SUMIFS(Sales!F123:F10120,Sales!A123:A10120,"&gt;="&amp;DATE(2026,11,1),Sales!A123:A10120,"&lt;"&amp;DATE(2026,12,1))</f>
        <v>0</v>
      </c>
      <c r="C172" s="327"/>
      <c r="E172" s="331" t="s">
        <v>10165</v>
      </c>
      <c r="G172" s="331" t="s">
        <v>10226</v>
      </c>
      <c r="H172" s="21" t="s">
        <v>10355</v>
      </c>
    </row>
    <row r="173">
      <c r="A173" s="331" t="s">
        <v>10227</v>
      </c>
      <c r="B173" s="326">
        <f>SUMIFS(Sales!K123:K10120,Sales!A123:A10120,"&gt;="&amp;DATE(2026,11,1),Sales!A123:A10120,"&lt;"&amp;DATE(2026,12,1))</f>
        <v>0</v>
      </c>
      <c r="C173" s="327"/>
      <c r="E173" s="331" t="s">
        <v>10165</v>
      </c>
      <c r="G173" s="331" t="s">
        <v>10228</v>
      </c>
      <c r="H173" s="21" t="s">
        <v>10355</v>
      </c>
    </row>
    <row r="174">
      <c r="A174" s="331" t="s">
        <v>10229</v>
      </c>
      <c r="B174" s="326">
        <f>SUMIFS(Sales!F123:F10120,Sales!A123:A10120,"&gt;="&amp;DATE(2026,12,1),Sales!A123:A10120,"&lt;"&amp;DATE(2027,1,1))</f>
        <v>0</v>
      </c>
      <c r="C174" s="327"/>
      <c r="E174" s="331" t="s">
        <v>10165</v>
      </c>
      <c r="G174" s="331" t="s">
        <v>10230</v>
      </c>
      <c r="H174" s="21" t="s">
        <v>10355</v>
      </c>
    </row>
    <row r="175">
      <c r="A175" s="331" t="s">
        <v>10231</v>
      </c>
      <c r="B175" s="326">
        <f>SUMIFS(Sales!K123:K10120,Sales!A123:A10120,"&gt;="&amp;DATE(2026,12,1),Sales!A123:A10120,"&lt;"&amp;DATE(2027,1,1))</f>
        <v>0</v>
      </c>
      <c r="C175" s="327"/>
      <c r="E175" s="331" t="s">
        <v>10165</v>
      </c>
      <c r="G175" s="331" t="s">
        <v>10232</v>
      </c>
      <c r="H175" s="21" t="s">
        <v>10355</v>
      </c>
    </row>
    <row r="176">
      <c r="A176" s="331" t="s">
        <v>10233</v>
      </c>
      <c r="B176" s="326">
        <f>SUMIF('Overhead Expenses'!D123:D5117,"Bags &amp; Packaging",'Overhead Expenses'!K123:K5117)</f>
        <v>0</v>
      </c>
      <c r="C176" s="327"/>
      <c r="E176" s="331" t="s">
        <v>10234</v>
      </c>
      <c r="G176" s="331" t="s">
        <v>10235</v>
      </c>
      <c r="H176" s="21" t="s">
        <v>10355</v>
      </c>
    </row>
    <row r="177">
      <c r="B177" s="326"/>
      <c r="C177" s="327"/>
      <c r="H177" s="21" t="s">
        <v>10355</v>
      </c>
    </row>
    <row r="178">
      <c r="A178" s="28" t="s">
        <v>6062</v>
      </c>
      <c r="B178" s="326">
        <f>SUMIF('Overhead Expenses'!D123:D5117,"Cleaning &amp; Sanitation",'Overhead Expenses'!K123:K5117)</f>
        <v>179.54</v>
      </c>
      <c r="C178" s="327"/>
      <c r="E178" s="331" t="s">
        <v>10234</v>
      </c>
      <c r="G178" s="331" t="s">
        <v>10236</v>
      </c>
      <c r="H178" s="21" t="s">
        <v>10355</v>
      </c>
    </row>
    <row r="179">
      <c r="A179" s="28" t="s">
        <v>5989</v>
      </c>
      <c r="B179" s="326">
        <f>SUMIF('Overhead Expenses'!D123:D5117,"Climate &amp; Environment",'Overhead Expenses'!K123:K5117)</f>
        <v>0</v>
      </c>
      <c r="C179" s="327"/>
      <c r="E179" s="331" t="s">
        <v>10234</v>
      </c>
      <c r="G179" s="331" t="s">
        <v>10237</v>
      </c>
      <c r="H179" s="21" t="s">
        <v>10355</v>
      </c>
    </row>
    <row r="180">
      <c r="A180" s="28" t="s">
        <v>6069</v>
      </c>
      <c r="B180" s="326">
        <f>SUMIF('Overhead Expenses'!D123:D5117,"Inbound Shipping",'Overhead Expenses'!K123:K5117)</f>
        <v>218.87</v>
      </c>
      <c r="C180" s="327"/>
      <c r="E180" s="331" t="s">
        <v>10234</v>
      </c>
      <c r="G180" s="331" t="s">
        <v>10238</v>
      </c>
      <c r="H180" s="21" t="s">
        <v>10355</v>
      </c>
    </row>
    <row r="181">
      <c r="A181" s="28" t="s">
        <v>6003</v>
      </c>
      <c r="B181" s="326">
        <f>SUMIF('Overhead Expenses'!D123:D5117,"Labels &amp; Stickers",'Overhead Expenses'!K123:K5117)</f>
        <v>226.24</v>
      </c>
      <c r="C181" s="327"/>
      <c r="E181" s="331" t="s">
        <v>10234</v>
      </c>
      <c r="G181" s="331" t="s">
        <v>10239</v>
      </c>
      <c r="H181" s="21" t="s">
        <v>10355</v>
      </c>
    </row>
    <row r="182">
      <c r="A182" s="28" t="s">
        <v>6092</v>
      </c>
      <c r="B182" s="326">
        <f>SUMIF('Overhead Expenses'!D123:D5117,"Labor",'Overhead Expenses'!K123:K5117)</f>
        <v>60</v>
      </c>
      <c r="C182" s="327"/>
      <c r="E182" s="331" t="s">
        <v>10234</v>
      </c>
      <c r="G182" s="331" t="s">
        <v>10240</v>
      </c>
      <c r="H182" s="21" t="s">
        <v>10355</v>
      </c>
    </row>
    <row r="183">
      <c r="A183" s="28" t="s">
        <v>1103</v>
      </c>
      <c r="B183" s="326">
        <f>SUMIF('Overhead Expenses'!D123:D5117,"Licenses &amp; Fees",'Overhead Expenses'!K123:K5117)</f>
        <v>269</v>
      </c>
      <c r="C183" s="327"/>
      <c r="E183" s="331" t="s">
        <v>10234</v>
      </c>
      <c r="G183" s="331" t="s">
        <v>10241</v>
      </c>
      <c r="H183" s="21" t="s">
        <v>10355</v>
      </c>
    </row>
    <row r="184">
      <c r="A184" s="28" t="s">
        <v>6032</v>
      </c>
      <c r="B184" s="326">
        <f>SUMIF('Overhead Expenses'!D123:D5117,"Lighting",'Overhead Expenses'!K123:K5117)</f>
        <v>0</v>
      </c>
      <c r="C184" s="327"/>
      <c r="E184" s="331" t="s">
        <v>10234</v>
      </c>
      <c r="G184" s="331" t="s">
        <v>10242</v>
      </c>
      <c r="H184" s="21" t="s">
        <v>10355</v>
      </c>
    </row>
    <row r="185">
      <c r="A185" s="28" t="s">
        <v>6130</v>
      </c>
      <c r="B185" s="326">
        <f>SUMIF('Overhead Expenses'!D123:D5117,"Market Fees &amp; Supplies",'Overhead Expenses'!K123:K5117)</f>
        <v>260</v>
      </c>
      <c r="C185" s="327"/>
      <c r="E185" s="331" t="s">
        <v>10234</v>
      </c>
      <c r="G185" s="331" t="s">
        <v>10243</v>
      </c>
      <c r="H185" s="21" t="s">
        <v>10355</v>
      </c>
    </row>
    <row r="186">
      <c r="A186" s="28" t="s">
        <v>6247</v>
      </c>
      <c r="B186" s="326">
        <f>SUMIF('Overhead Expenses'!D123:D5117,"Office &amp; Admin Supplies",'Overhead Expenses'!K123:K5117)</f>
        <v>1088.12</v>
      </c>
      <c r="C186" s="327"/>
      <c r="E186" s="331" t="s">
        <v>10234</v>
      </c>
      <c r="G186" s="331" t="s">
        <v>10244</v>
      </c>
      <c r="H186" s="21" t="s">
        <v>10355</v>
      </c>
    </row>
    <row r="187">
      <c r="A187" s="28" t="s">
        <v>6336</v>
      </c>
      <c r="B187" s="326">
        <f>SUMIF('Overhead Expenses'!D123:D5117,"Outbound Shipping",'Overhead Expenses'!K123:K5117)</f>
        <v>-88.05</v>
      </c>
      <c r="C187" s="327"/>
      <c r="E187" s="331" t="s">
        <v>10234</v>
      </c>
      <c r="G187" s="331" t="s">
        <v>10245</v>
      </c>
      <c r="H187" s="21" t="s">
        <v>10355</v>
      </c>
    </row>
    <row r="188">
      <c r="A188" s="28" t="s">
        <v>6224</v>
      </c>
      <c r="B188" s="326">
        <f>SUMIF('Overhead Expenses'!D123:D5117,"Packing &amp; Shipping",'Overhead Expenses'!K123:K5117)</f>
        <v>157.51</v>
      </c>
      <c r="C188" s="327"/>
      <c r="E188" s="331" t="s">
        <v>10234</v>
      </c>
      <c r="G188" s="331" t="s">
        <v>10246</v>
      </c>
      <c r="H188" s="21" t="s">
        <v>10355</v>
      </c>
    </row>
    <row r="189">
      <c r="A189" s="28" t="s">
        <v>6260</v>
      </c>
      <c r="B189" s="326">
        <f>SUMIF('Overhead Expenses'!D123:D5117,"Plant Tags &amp; Labels",'Overhead Expenses'!K123:K5117)</f>
        <v>0</v>
      </c>
      <c r="C189" s="327"/>
      <c r="E189" s="331" t="s">
        <v>10234</v>
      </c>
      <c r="G189" s="331" t="s">
        <v>10247</v>
      </c>
      <c r="H189" s="21" t="s">
        <v>10355</v>
      </c>
    </row>
    <row r="190">
      <c r="A190" s="28" t="s">
        <v>5997</v>
      </c>
      <c r="B190" s="326">
        <f>SUMIF('Overhead Expenses'!D123:D5117,"Propagation Supplies",'Overhead Expenses'!K123:K5117)</f>
        <v>0</v>
      </c>
      <c r="C190" s="327"/>
      <c r="E190" s="331" t="s">
        <v>10234</v>
      </c>
      <c r="G190" s="331" t="s">
        <v>10248</v>
      </c>
      <c r="H190" s="21" t="s">
        <v>10355</v>
      </c>
    </row>
    <row r="191">
      <c r="A191" s="28" t="s">
        <v>6387</v>
      </c>
      <c r="B191" s="326">
        <f>SUMIF('Overhead Expenses'!D123:D5117,"Repairs &amp; Maintenance",'Overhead Expenses'!K123:K5117)</f>
        <v>264.46</v>
      </c>
      <c r="C191" s="327"/>
      <c r="E191" s="331" t="s">
        <v>10234</v>
      </c>
      <c r="G191" s="331" t="s">
        <v>10249</v>
      </c>
      <c r="H191" s="21" t="s">
        <v>10355</v>
      </c>
    </row>
    <row r="192">
      <c r="A192" s="28" t="s">
        <v>6315</v>
      </c>
      <c r="B192" s="326">
        <f>SUMIF('Overhead Expenses'!D123:D5117,"Security",'Overhead Expenses'!K123:K5117)</f>
        <v>28.29</v>
      </c>
      <c r="C192" s="327"/>
      <c r="E192" s="331" t="s">
        <v>10234</v>
      </c>
      <c r="G192" s="331" t="s">
        <v>10250</v>
      </c>
      <c r="H192" s="21" t="s">
        <v>10355</v>
      </c>
    </row>
    <row r="193">
      <c r="A193" s="28" t="s">
        <v>6497</v>
      </c>
      <c r="B193" s="326">
        <f>SUMIF('Overhead Expenses'!D123:D5117,"Selling Fee",'Overhead Expenses'!K123:K5117)</f>
        <v>11.21</v>
      </c>
      <c r="C193" s="327"/>
      <c r="E193" s="331" t="s">
        <v>10234</v>
      </c>
      <c r="G193" s="331" t="s">
        <v>10251</v>
      </c>
      <c r="H193" s="21" t="s">
        <v>10355</v>
      </c>
    </row>
    <row r="194">
      <c r="A194" s="28" t="s">
        <v>6464</v>
      </c>
      <c r="B194" s="326">
        <f>SUMIF('Overhead Expenses'!D123:D5117,"Shade &amp; Protection",'Overhead Expenses'!K123:K5117)</f>
        <v>64.94</v>
      </c>
      <c r="C194" s="327"/>
      <c r="E194" s="331" t="s">
        <v>10234</v>
      </c>
      <c r="G194" s="331" t="s">
        <v>10252</v>
      </c>
      <c r="H194" s="21" t="s">
        <v>10355</v>
      </c>
    </row>
    <row r="195">
      <c r="A195" s="28" t="s">
        <v>5985</v>
      </c>
      <c r="B195" s="326">
        <f>SUMIF('Overhead Expenses'!D123:D5117,"Shelving/Fixtures",'Overhead Expenses'!K123:K5117)</f>
        <v>14.98</v>
      </c>
      <c r="C195" s="327"/>
      <c r="E195" s="331" t="s">
        <v>10234</v>
      </c>
      <c r="G195" s="331" t="s">
        <v>10253</v>
      </c>
      <c r="H195" s="21" t="s">
        <v>10355</v>
      </c>
    </row>
    <row r="196">
      <c r="A196" s="28" t="s">
        <v>6482</v>
      </c>
      <c r="B196" s="326">
        <f>SUMIF('Overhead Expenses'!D123:D5117,"Shipping Boxes",'Overhead Expenses'!K123:K5117)</f>
        <v>36.7</v>
      </c>
      <c r="C196" s="327"/>
      <c r="E196" s="331" t="s">
        <v>10234</v>
      </c>
      <c r="G196" s="331" t="s">
        <v>10254</v>
      </c>
      <c r="H196" s="21" t="s">
        <v>10355</v>
      </c>
    </row>
    <row r="197">
      <c r="A197" s="28" t="s">
        <v>6325</v>
      </c>
      <c r="B197" s="326">
        <f>SUMIF('Overhead Expenses'!D123:D5117,"Sign",'Overhead Expenses'!K123:K5117)</f>
        <v>10.19</v>
      </c>
      <c r="C197" s="327"/>
      <c r="E197" s="331" t="s">
        <v>10234</v>
      </c>
      <c r="G197" s="331" t="s">
        <v>10255</v>
      </c>
      <c r="H197" s="21" t="s">
        <v>10355</v>
      </c>
    </row>
    <row r="198">
      <c r="A198" s="28" t="s">
        <v>5993</v>
      </c>
      <c r="B198" s="326">
        <f>SUMIF('Overhead Expenses'!D123:D5117,"Soil &amp; Amendments",'Overhead Expenses'!K123:K5117)</f>
        <v>399.37</v>
      </c>
      <c r="C198" s="327"/>
      <c r="E198" s="331" t="s">
        <v>10234</v>
      </c>
      <c r="G198" s="331" t="s">
        <v>10256</v>
      </c>
      <c r="H198" s="21" t="s">
        <v>10355</v>
      </c>
    </row>
    <row r="199">
      <c r="A199" s="28" t="s">
        <v>6150</v>
      </c>
      <c r="B199" s="326">
        <f>SUMIF('Overhead Expenses'!D123:D5117,"Stationery &amp; Print",'Overhead Expenses'!K123:K5117)</f>
        <v>111.55</v>
      </c>
      <c r="C199" s="327"/>
      <c r="E199" s="331" t="s">
        <v>10234</v>
      </c>
      <c r="G199" s="331" t="s">
        <v>10257</v>
      </c>
      <c r="H199" s="21" t="s">
        <v>10355</v>
      </c>
    </row>
    <row r="200">
      <c r="A200" s="28" t="s">
        <v>6137</v>
      </c>
      <c r="B200" s="326">
        <f>SUMIF('Overhead Expenses'!D123:D5117,"Table Covers &amp; Displays",'Overhead Expenses'!K123:K5117)</f>
        <v>0</v>
      </c>
      <c r="C200" s="327"/>
      <c r="E200" s="331" t="s">
        <v>10234</v>
      </c>
      <c r="G200" s="331" t="s">
        <v>10258</v>
      </c>
      <c r="H200" s="21" t="s">
        <v>10355</v>
      </c>
    </row>
    <row r="201">
      <c r="A201" s="28" t="s">
        <v>6147</v>
      </c>
      <c r="B201" s="326">
        <f>SUMIF('Overhead Expenses'!D123:D5117,"Tables &amp; Furniture",'Overhead Expenses'!K123:K5117)</f>
        <v>103.78</v>
      </c>
      <c r="C201" s="327"/>
      <c r="E201" s="331" t="s">
        <v>10234</v>
      </c>
      <c r="G201" s="331" t="s">
        <v>10259</v>
      </c>
      <c r="H201" s="21" t="s">
        <v>10355</v>
      </c>
    </row>
    <row r="202">
      <c r="A202" s="28" t="s">
        <v>6502</v>
      </c>
      <c r="B202" s="326">
        <f>SUMIF('Overhead Expenses'!D123:D5117,"Tax",'Overhead Expenses'!K123:K5117)</f>
        <v>6.6</v>
      </c>
      <c r="C202" s="327"/>
      <c r="E202" s="331" t="s">
        <v>10234</v>
      </c>
      <c r="G202" s="331" t="s">
        <v>10260</v>
      </c>
      <c r="H202" s="21" t="s">
        <v>10355</v>
      </c>
    </row>
    <row r="203">
      <c r="A203" s="28" t="s">
        <v>5981</v>
      </c>
      <c r="B203" s="326">
        <f>SUMIF('Overhead Expenses'!D123:D5117,"Tools &amp; Supplies",'Overhead Expenses'!K123:K5117)</f>
        <v>174.84</v>
      </c>
      <c r="C203" s="327"/>
      <c r="E203" s="331" t="s">
        <v>10234</v>
      </c>
      <c r="G203" s="331" t="s">
        <v>10261</v>
      </c>
      <c r="H203" s="21" t="s">
        <v>10355</v>
      </c>
    </row>
    <row r="204">
      <c r="A204" s="28" t="s">
        <v>6021</v>
      </c>
      <c r="B204" s="326">
        <f>SUMIF('Overhead Expenses'!D123:D5117,"Treatments &amp; Fertilizers",'Overhead Expenses'!K123:K5117)</f>
        <v>220.4</v>
      </c>
      <c r="C204" s="327"/>
      <c r="E204" s="331" t="s">
        <v>10234</v>
      </c>
      <c r="G204" s="331" t="s">
        <v>10262</v>
      </c>
      <c r="H204" s="21" t="s">
        <v>10355</v>
      </c>
    </row>
    <row r="205">
      <c r="A205" s="28" t="s">
        <v>6300</v>
      </c>
      <c r="B205" s="326">
        <f>SUMIF('Overhead Expenses'!D123:D5117,"Uniforms &amp; Workwear",'Overhead Expenses'!K123:K5117)</f>
        <v>0</v>
      </c>
      <c r="C205" s="327"/>
      <c r="E205" s="331" t="s">
        <v>10234</v>
      </c>
      <c r="G205" s="331" t="s">
        <v>10263</v>
      </c>
      <c r="H205" s="21" t="s">
        <v>10355</v>
      </c>
    </row>
    <row r="206">
      <c r="A206" s="331" t="s">
        <v>10264</v>
      </c>
      <c r="B206" s="326"/>
      <c r="C206" s="327"/>
      <c r="D206" s="331">
        <f>COUNTIF('Plant Inventory'!J9:J792,"Available")</f>
        <v>5</v>
      </c>
      <c r="E206" s="331" t="s">
        <v>10265</v>
      </c>
      <c r="F206" s="331" t="s">
        <v>10266</v>
      </c>
      <c r="G206" s="331" t="s">
        <v>10267</v>
      </c>
      <c r="H206" s="21" t="s">
        <v>10355</v>
      </c>
    </row>
    <row r="207">
      <c r="A207" s="331" t="s">
        <v>10268</v>
      </c>
      <c r="B207" s="326"/>
      <c r="C207" s="327"/>
      <c r="D207" s="331">
        <f>COUNTIF('Plant Inventory'!J9:J792,"Sold")</f>
        <v>107</v>
      </c>
      <c r="E207" s="331" t="s">
        <v>10265</v>
      </c>
      <c r="F207" s="331" t="s">
        <v>10269</v>
      </c>
      <c r="G207" s="331" t="s">
        <v>10270</v>
      </c>
      <c r="H207" s="21" t="s">
        <v>10355</v>
      </c>
    </row>
    <row r="208">
      <c r="A208" s="331" t="s">
        <v>10271</v>
      </c>
      <c r="B208" s="326"/>
      <c r="C208" s="327"/>
      <c r="D208" s="331">
        <f>COUNTIF('Plant Inventory'!J9:J792,"Dead")</f>
        <v>45</v>
      </c>
      <c r="E208" s="331" t="s">
        <v>10265</v>
      </c>
      <c r="F208" s="331" t="s">
        <v>10272</v>
      </c>
      <c r="G208" s="331" t="s">
        <v>10273</v>
      </c>
      <c r="H208" s="21" t="s">
        <v>10355</v>
      </c>
    </row>
    <row r="209">
      <c r="A209" s="331" t="s">
        <v>10274</v>
      </c>
      <c r="B209" s="326"/>
      <c r="C209" s="327"/>
      <c r="D209" s="331">
        <f>COUNTIF('Plant Inventory'!J9:J792,"Damaged")</f>
        <v>0</v>
      </c>
      <c r="E209" s="331" t="s">
        <v>10265</v>
      </c>
      <c r="F209" s="331" t="s">
        <v>10275</v>
      </c>
      <c r="G209" s="331" t="s">
        <v>10276</v>
      </c>
      <c r="H209" s="21" t="s">
        <v>10355</v>
      </c>
    </row>
    <row r="210">
      <c r="A210" s="331" t="s">
        <v>10277</v>
      </c>
      <c r="B210" s="326"/>
      <c r="C210" s="327"/>
      <c r="D210" s="331">
        <f>COUNTIF('Plant Inventory'!J9:J792,"Giveaway")</f>
        <v>25</v>
      </c>
      <c r="E210" s="331" t="s">
        <v>10265</v>
      </c>
      <c r="F210" s="331" t="s">
        <v>10278</v>
      </c>
      <c r="G210" s="331" t="s">
        <v>10279</v>
      </c>
      <c r="H210" s="21" t="s">
        <v>10355</v>
      </c>
    </row>
    <row r="211">
      <c r="A211" s="331" t="s">
        <v>10280</v>
      </c>
      <c r="B211" s="326">
        <f>SUMIF('Plant Inventory'!J9:J792,"Available",'Plant Inventory'!D9:D792)</f>
        <v>49.65</v>
      </c>
      <c r="C211" s="327"/>
      <c r="E211" s="331" t="s">
        <v>10265</v>
      </c>
      <c r="F211" s="331" t="s">
        <v>10281</v>
      </c>
      <c r="G211" s="331" t="s">
        <v>10282</v>
      </c>
      <c r="H211" s="21" t="s">
        <v>10355</v>
      </c>
    </row>
    <row r="212">
      <c r="A212" s="331" t="s">
        <v>10283</v>
      </c>
      <c r="B212" s="326">
        <f>SUMIF('Plant Inventory'!J9:J792,"Available",'Plant Inventory'!E9:E792)</f>
        <v>17</v>
      </c>
      <c r="C212" s="327"/>
      <c r="E212" s="331" t="s">
        <v>10265</v>
      </c>
      <c r="F212" s="331" t="s">
        <v>10284</v>
      </c>
      <c r="G212" s="331" t="s">
        <v>10285</v>
      </c>
      <c r="H212" s="21" t="s">
        <v>10355</v>
      </c>
    </row>
    <row r="213">
      <c r="A213" s="331" t="s">
        <v>10286</v>
      </c>
      <c r="B213" s="326">
        <f>SUMIF('Plant Inventory'!J9:J792,"Dead",'Plant Inventory'!D9:D792)</f>
        <v>331.99</v>
      </c>
      <c r="C213" s="327"/>
      <c r="E213" s="331" t="s">
        <v>10265</v>
      </c>
      <c r="F213" s="331" t="s">
        <v>10287</v>
      </c>
      <c r="G213" s="331" t="s">
        <v>10288</v>
      </c>
      <c r="H213" s="21" t="s">
        <v>10355</v>
      </c>
    </row>
    <row r="214">
      <c r="A214" s="331" t="s">
        <v>10289</v>
      </c>
      <c r="B214" s="326">
        <f>SUMIF('Plant Inventory'!J9:J792,"Damaged",'Plant Inventory'!D9:D792)</f>
        <v>0</v>
      </c>
      <c r="C214" s="327"/>
      <c r="E214" s="331" t="s">
        <v>10265</v>
      </c>
      <c r="F214" s="331" t="s">
        <v>10290</v>
      </c>
      <c r="G214" s="331" t="s">
        <v>10291</v>
      </c>
      <c r="H214" s="21" t="s">
        <v>10355</v>
      </c>
    </row>
    <row r="215">
      <c r="A215" s="331" t="s">
        <v>10292</v>
      </c>
      <c r="B215" s="326">
        <f>SUMIF('Plant Inventory'!J9:J792,"Giveaway",'Plant Inventory'!D9:D792)</f>
        <v>91.17</v>
      </c>
      <c r="C215" s="327"/>
      <c r="E215" s="331" t="s">
        <v>10265</v>
      </c>
      <c r="F215" s="331" t="s">
        <v>10293</v>
      </c>
      <c r="G215" s="331" t="s">
        <v>10294</v>
      </c>
      <c r="H215" s="21" t="s">
        <v>10355</v>
      </c>
    </row>
    <row r="216">
      <c r="A216" s="331" t="s">
        <v>10295</v>
      </c>
      <c r="B216" s="326">
        <f>B213+B214+B215</f>
        <v>423.16</v>
      </c>
      <c r="C216" s="327"/>
      <c r="E216" s="331" t="s">
        <v>10265</v>
      </c>
      <c r="F216" s="331" t="s">
        <v>10296</v>
      </c>
      <c r="G216" s="331" t="s">
        <v>10297</v>
      </c>
      <c r="H216" s="21" t="s">
        <v>10355</v>
      </c>
    </row>
    <row r="217">
      <c r="A217" s="331" t="s">
        <v>10298</v>
      </c>
      <c r="B217" s="326"/>
      <c r="C217" s="327"/>
      <c r="D217" s="331">
        <f>SUMPRODUCT((ISNUMBER(SEARCH("-PH-",'Plant Inventory'!B9:B794)))*('Plant Inventory'!J9:J794="Available")*('Plant Inventory'!Q9:Q794=H217)*IFERROR(1/COUNTIFS('Plant Inventory'!B9:B794,'Plant Inventory'!B9:B794,'Plant Inventory'!J9:J794,"Available",'Plant Inventory'!Q9:Q794,H217),0))</f>
        <v>0</v>
      </c>
      <c r="E217" s="331" t="s">
        <v>10265</v>
      </c>
      <c r="F217" s="331" t="s">
        <v>10299</v>
      </c>
      <c r="G217" s="331" t="s">
        <v>10300</v>
      </c>
      <c r="H217" s="21" t="s">
        <v>10355</v>
      </c>
    </row>
    <row r="218">
      <c r="A218" s="331" t="s">
        <v>10301</v>
      </c>
      <c r="B218" s="326"/>
      <c r="C218" s="327"/>
      <c r="D218" s="331">
        <f>SUMPRODUCT((ISNUMBER(SEARCH("-HO-",'Plant Inventory'!B9:B794)))*('Plant Inventory'!J9:J794="Available")*('Plant Inventory'!Q9:Q794=H218)*IFERROR(1/COUNTIFS('Plant Inventory'!B9:B794,'Plant Inventory'!B9:B794,'Plant Inventory'!J9:J794,"Available",'Plant Inventory'!Q9:Q794,H218),0))</f>
        <v>0</v>
      </c>
      <c r="E218" s="331" t="s">
        <v>10265</v>
      </c>
      <c r="F218" s="331" t="s">
        <v>10299</v>
      </c>
      <c r="G218" s="331" t="s">
        <v>10302</v>
      </c>
      <c r="H218" s="21" t="s">
        <v>10355</v>
      </c>
    </row>
    <row r="219">
      <c r="A219" s="331" t="s">
        <v>10303</v>
      </c>
      <c r="B219" s="326"/>
      <c r="C219" s="327"/>
      <c r="D219" s="331">
        <f>SUMPRODUCT((ISNUMBER(SEARCH("-AL-",'Plant Inventory'!B9:B794)))*('Plant Inventory'!J9:J794="Available")*('Plant Inventory'!Q9:Q794=H219)*IFERROR(1/COUNTIFS('Plant Inventory'!B9:B794,'Plant Inventory'!B9:B794,'Plant Inventory'!J9:J794,"Available",'Plant Inventory'!Q9:Q794,H219),0))</f>
        <v>0</v>
      </c>
      <c r="E219" s="331" t="s">
        <v>10265</v>
      </c>
      <c r="F219" s="331" t="s">
        <v>10299</v>
      </c>
      <c r="G219" s="331" t="s">
        <v>10304</v>
      </c>
      <c r="H219" s="21" t="s">
        <v>10355</v>
      </c>
    </row>
    <row r="220">
      <c r="B220" s="326"/>
      <c r="C220" s="327"/>
      <c r="H220" s="21" t="s">
        <v>10355</v>
      </c>
    </row>
    <row r="221">
      <c r="A221" s="331" t="s">
        <v>10305</v>
      </c>
      <c r="B221" s="326"/>
      <c r="C221" s="327"/>
      <c r="D221" s="331">
        <f>SUMPRODUCT((ISNUMBER(SEARCH("SYN",'Plant Inventory'!B9:B794)))*('Plant Inventory'!J9:J794="Available")*('Plant Inventory'!Q9:Q794=H221)*IFERROR(1/COUNTIFS('Plant Inventory'!B9:B794,'Plant Inventory'!B9:B794,'Plant Inventory'!J9:J794,"Available",'Plant Inventory'!Q9:Q794,H221),0))</f>
        <v>0</v>
      </c>
      <c r="E221" s="331" t="s">
        <v>10265</v>
      </c>
      <c r="F221" s="331" t="s">
        <v>10299</v>
      </c>
      <c r="G221" s="331" t="s">
        <v>10306</v>
      </c>
      <c r="H221" s="21" t="s">
        <v>10355</v>
      </c>
    </row>
    <row r="222">
      <c r="A222" s="331" t="s">
        <v>10307</v>
      </c>
      <c r="B222" s="326"/>
      <c r="C222" s="327"/>
      <c r="D222" s="331">
        <f>COUNTA('Product Inventory'!B120:B1117)</f>
        <v>16</v>
      </c>
      <c r="E222" s="331" t="s">
        <v>10308</v>
      </c>
      <c r="F222" s="331" t="s">
        <v>10309</v>
      </c>
      <c r="G222" s="331" t="s">
        <v>10310</v>
      </c>
      <c r="H222" s="21" t="s">
        <v>10355</v>
      </c>
    </row>
    <row r="223">
      <c r="A223" s="331" t="s">
        <v>10311</v>
      </c>
      <c r="B223" s="326"/>
      <c r="C223" s="327"/>
      <c r="D223" s="331">
        <f>SUMIF('Product Inventory'!K120:K1117,"Available",'Product Inventory'!J120:J1117)</f>
        <v>210.11</v>
      </c>
      <c r="E223" s="331" t="s">
        <v>10308</v>
      </c>
      <c r="F223" s="331" t="s">
        <v>10312</v>
      </c>
      <c r="G223" s="331" t="s">
        <v>10313</v>
      </c>
      <c r="H223" s="21" t="s">
        <v>10355</v>
      </c>
    </row>
    <row r="224">
      <c r="A224" s="331" t="s">
        <v>10314</v>
      </c>
      <c r="B224" s="326"/>
      <c r="C224" s="327"/>
      <c r="D224" s="331">
        <f>SUM('Product Inventory'!H120:H1117)</f>
        <v>0</v>
      </c>
      <c r="E224" s="331" t="s">
        <v>10308</v>
      </c>
      <c r="F224" s="331" t="s">
        <v>10315</v>
      </c>
      <c r="G224" s="331" t="s">
        <v>10316</v>
      </c>
      <c r="H224" s="21" t="s">
        <v>10355</v>
      </c>
    </row>
    <row r="225">
      <c r="A225" s="331" t="s">
        <v>10317</v>
      </c>
      <c r="B225" s="326"/>
      <c r="C225" s="327"/>
      <c r="D225" s="331">
        <f>SUM('Product Inventory'!I120:I1117)</f>
        <v>133</v>
      </c>
      <c r="E225" s="331" t="s">
        <v>10308</v>
      </c>
      <c r="F225" s="331" t="s">
        <v>10318</v>
      </c>
      <c r="G225" s="331" t="s">
        <v>10319</v>
      </c>
      <c r="H225" s="21" t="s">
        <v>10355</v>
      </c>
    </row>
    <row r="226">
      <c r="A226" s="331" t="s">
        <v>10320</v>
      </c>
      <c r="B226" s="326">
        <f>SUMPRODUCT('Product Inventory'!D120:D1117*'Product Inventory'!G120:G1117)</f>
        <v>301.024</v>
      </c>
      <c r="C226" s="327"/>
      <c r="E226" s="331" t="s">
        <v>10308</v>
      </c>
      <c r="F226" s="331" t="s">
        <v>10321</v>
      </c>
      <c r="G226" s="331" t="s">
        <v>10322</v>
      </c>
      <c r="H226" s="21" t="s">
        <v>10355</v>
      </c>
    </row>
    <row r="227">
      <c r="A227" s="331" t="s">
        <v>10323</v>
      </c>
      <c r="B227" s="326">
        <f>SUMPRODUCT('Product Inventory'!D120:D1117*'Product Inventory'!J120:J1117)</f>
        <v>240.4146</v>
      </c>
      <c r="C227" s="327"/>
      <c r="E227" s="331" t="s">
        <v>10308</v>
      </c>
      <c r="F227" s="331" t="s">
        <v>10324</v>
      </c>
      <c r="G227" s="331" t="s">
        <v>10325</v>
      </c>
      <c r="H227" s="21" t="s">
        <v>10355</v>
      </c>
    </row>
    <row r="228">
      <c r="A228" s="331" t="s">
        <v>10326</v>
      </c>
      <c r="B228" s="326">
        <f>SUMPRODUCT('Product Inventory'!E120:E1117*'Product Inventory'!J120:J1117)</f>
        <v>1606.96</v>
      </c>
      <c r="C228" s="327"/>
      <c r="E228" s="331" t="s">
        <v>10308</v>
      </c>
      <c r="F228" s="331" t="s">
        <v>10327</v>
      </c>
      <c r="G228" s="331" t="s">
        <v>10328</v>
      </c>
      <c r="H228" s="21" t="s">
        <v>10355</v>
      </c>
    </row>
    <row r="229">
      <c r="A229" s="331" t="s">
        <v>10329</v>
      </c>
      <c r="B229" s="326"/>
      <c r="C229" s="327"/>
      <c r="D229" s="331">
        <f>COUNTIF('Product Inventory'!K120:K1117,"Out of Stock")</f>
        <v>0</v>
      </c>
      <c r="E229" s="331" t="s">
        <v>10308</v>
      </c>
      <c r="F229" s="331" t="s">
        <v>10330</v>
      </c>
      <c r="G229" s="331" t="s">
        <v>10331</v>
      </c>
      <c r="H229" s="21" t="s">
        <v>10355</v>
      </c>
    </row>
    <row r="230">
      <c r="A230" s="331" t="s">
        <v>10332</v>
      </c>
      <c r="B230" s="326">
        <f>B123</f>
        <v>792</v>
      </c>
      <c r="C230" s="327"/>
      <c r="E230" s="331" t="s">
        <v>6502</v>
      </c>
      <c r="F230" s="331" t="s">
        <v>10333</v>
      </c>
      <c r="G230" s="331" t="s">
        <v>10334</v>
      </c>
      <c r="H230" s="21" t="s">
        <v>10355</v>
      </c>
    </row>
    <row r="231">
      <c r="A231" s="331" t="s">
        <v>10335</v>
      </c>
      <c r="B231" s="326">
        <f>B126</f>
        <v>674.16</v>
      </c>
      <c r="C231" s="327"/>
      <c r="E231" s="331" t="s">
        <v>6502</v>
      </c>
      <c r="F231" s="331" t="s">
        <v>10336</v>
      </c>
      <c r="G231" s="331" t="s">
        <v>10337</v>
      </c>
      <c r="H231" s="21" t="s">
        <v>10355</v>
      </c>
    </row>
    <row r="232">
      <c r="A232" s="331" t="s">
        <v>10338</v>
      </c>
      <c r="B232" s="326">
        <f>B129</f>
        <v>4500.86</v>
      </c>
      <c r="C232" s="327"/>
      <c r="E232" s="331" t="s">
        <v>6502</v>
      </c>
      <c r="F232" s="331" t="s">
        <v>10339</v>
      </c>
      <c r="G232" s="331" t="s">
        <v>10340</v>
      </c>
      <c r="H232" s="21" t="s">
        <v>10355</v>
      </c>
    </row>
    <row r="233">
      <c r="A233" s="331" t="s">
        <v>10341</v>
      </c>
      <c r="B233" s="326">
        <f>B231+B232</f>
        <v>5175.02</v>
      </c>
      <c r="C233" s="327"/>
      <c r="E233" s="331" t="s">
        <v>6502</v>
      </c>
      <c r="F233" s="331" t="s">
        <v>10342</v>
      </c>
      <c r="G233" s="331" t="s">
        <v>10343</v>
      </c>
      <c r="H233" s="21" t="s">
        <v>10355</v>
      </c>
    </row>
    <row r="234">
      <c r="A234" s="331" t="s">
        <v>10344</v>
      </c>
      <c r="B234" s="326">
        <f>B230-B233</f>
        <v>-4383.02</v>
      </c>
      <c r="C234" s="327"/>
      <c r="E234" s="331" t="s">
        <v>6502</v>
      </c>
      <c r="F234" s="331" t="s">
        <v>10345</v>
      </c>
      <c r="G234" s="331" t="s">
        <v>10346</v>
      </c>
      <c r="H234" s="21" t="s">
        <v>10355</v>
      </c>
    </row>
    <row r="235">
      <c r="A235" s="331" t="s">
        <v>10347</v>
      </c>
      <c r="B235" s="326">
        <f>B211</f>
        <v>49.65</v>
      </c>
      <c r="C235" s="327"/>
      <c r="E235" s="331" t="s">
        <v>6502</v>
      </c>
      <c r="F235" s="331" t="s">
        <v>10348</v>
      </c>
      <c r="G235" s="331" t="s">
        <v>10349</v>
      </c>
      <c r="H235" s="21" t="s">
        <v>10355</v>
      </c>
    </row>
    <row r="236">
      <c r="A236" s="331" t="s">
        <v>10350</v>
      </c>
      <c r="B236" s="326">
        <f>B227</f>
        <v>240.4146</v>
      </c>
      <c r="C236" s="327"/>
      <c r="E236" s="331" t="s">
        <v>6502</v>
      </c>
      <c r="F236" s="331" t="s">
        <v>10348</v>
      </c>
      <c r="G236" s="331" t="s">
        <v>10351</v>
      </c>
      <c r="H236" s="21" t="s">
        <v>10355</v>
      </c>
    </row>
    <row r="237">
      <c r="A237" s="331" t="s">
        <v>10352</v>
      </c>
      <c r="B237" s="326">
        <f>B216</f>
        <v>423.16</v>
      </c>
      <c r="C237" s="327"/>
      <c r="E237" s="331" t="s">
        <v>6502</v>
      </c>
      <c r="F237" s="331" t="s">
        <v>10353</v>
      </c>
      <c r="G237" s="331" t="s">
        <v>10354</v>
      </c>
      <c r="H237" s="21" t="s">
        <v>10355</v>
      </c>
    </row>
    <row r="238">
      <c r="B238" s="326"/>
      <c r="C238" s="327"/>
      <c r="H238" s="21"/>
    </row>
    <row r="239">
      <c r="B239" s="326"/>
      <c r="C239" s="327"/>
      <c r="H239" s="21"/>
    </row>
    <row r="240">
      <c r="B240" s="326"/>
      <c r="C240" s="327"/>
      <c r="H240" s="21"/>
    </row>
    <row r="241">
      <c r="B241" s="326"/>
      <c r="C241" s="327"/>
      <c r="H241" s="21"/>
    </row>
    <row r="242">
      <c r="A242" s="325" t="s">
        <v>10105</v>
      </c>
      <c r="B242" s="326"/>
      <c r="C242" s="327"/>
    </row>
    <row r="243">
      <c r="A243" s="328" t="s">
        <v>10106</v>
      </c>
      <c r="B243" s="329" t="s">
        <v>10107</v>
      </c>
      <c r="C243" s="330" t="s">
        <v>10108</v>
      </c>
      <c r="D243" s="328" t="s">
        <v>10109</v>
      </c>
      <c r="E243" s="328" t="s">
        <v>10110</v>
      </c>
      <c r="F243" s="328" t="s">
        <v>1035</v>
      </c>
      <c r="G243" s="328" t="s">
        <v>8585</v>
      </c>
      <c r="H243" s="28" t="s">
        <v>14</v>
      </c>
    </row>
    <row r="244">
      <c r="A244" s="331" t="s">
        <v>10111</v>
      </c>
      <c r="B244" s="326">
        <f>SUMIF(Sales!B244:B10241,"&lt;&gt;",Sales!F244:F10241)</f>
        <v>0</v>
      </c>
      <c r="C244" s="327"/>
      <c r="E244" s="28" t="s">
        <v>10112</v>
      </c>
      <c r="F244" s="331" t="s">
        <v>10113</v>
      </c>
      <c r="G244" s="331" t="s">
        <v>10114</v>
      </c>
      <c r="H244" s="21" t="s">
        <v>1093</v>
      </c>
    </row>
    <row r="245">
      <c r="A245" s="331" t="s">
        <v>10115</v>
      </c>
      <c r="B245" s="326">
        <f>SUMPRODUCT(('Plant Inventory'!J9:J906="Sold")*('Plant Inventory'!D9:D906))</f>
        <v>706.8</v>
      </c>
      <c r="C245" s="327"/>
      <c r="E245" s="28" t="s">
        <v>10112</v>
      </c>
      <c r="F245" s="331" t="s">
        <v>10116</v>
      </c>
      <c r="G245" s="331" t="s">
        <v>10117</v>
      </c>
      <c r="H245" s="21" t="s">
        <v>1093</v>
      </c>
    </row>
    <row r="246">
      <c r="A246" s="331" t="s">
        <v>10118</v>
      </c>
      <c r="B246" s="326">
        <f>SUMPRODUCT((Sales!B244:B10241&lt;&gt;"")*ISNUMBER(MATCH(Sales!B244:B10241,'Product Inventory'!B241:B1238,0))*Sales!J244:J10241)</f>
        <v>0</v>
      </c>
      <c r="C246" s="327"/>
      <c r="E246" s="28" t="s">
        <v>10112</v>
      </c>
      <c r="F246" s="331" t="s">
        <v>10119</v>
      </c>
      <c r="G246" s="331" t="s">
        <v>10120</v>
      </c>
      <c r="H246" s="21" t="s">
        <v>1093</v>
      </c>
    </row>
    <row r="247">
      <c r="A247" s="331" t="s">
        <v>10121</v>
      </c>
      <c r="B247" s="326">
        <f>B245+B246</f>
        <v>706.8</v>
      </c>
      <c r="C247" s="327"/>
      <c r="E247" s="28" t="s">
        <v>10112</v>
      </c>
      <c r="F247" s="331" t="s">
        <v>10122</v>
      </c>
      <c r="G247" s="331" t="s">
        <v>10123</v>
      </c>
      <c r="H247" s="21" t="s">
        <v>1093</v>
      </c>
    </row>
    <row r="248">
      <c r="A248" s="331" t="s">
        <v>10124</v>
      </c>
      <c r="B248" s="326">
        <f>B244-B247</f>
        <v>-706.8</v>
      </c>
      <c r="C248" s="327"/>
      <c r="E248" s="28" t="s">
        <v>10112</v>
      </c>
      <c r="F248" s="331" t="s">
        <v>10125</v>
      </c>
      <c r="G248" s="331" t="s">
        <v>10126</v>
      </c>
      <c r="H248" s="21" t="s">
        <v>1093</v>
      </c>
    </row>
    <row r="249">
      <c r="A249" s="331" t="s">
        <v>10127</v>
      </c>
      <c r="B249" s="326"/>
      <c r="C249" s="327" t="str">
        <f>IFERROR(B248/B244,"")</f>
        <v/>
      </c>
      <c r="E249" s="28" t="s">
        <v>10112</v>
      </c>
      <c r="F249" s="331" t="s">
        <v>10128</v>
      </c>
      <c r="G249" s="331" t="s">
        <v>10129</v>
      </c>
      <c r="H249" s="21" t="s">
        <v>1093</v>
      </c>
    </row>
    <row r="250">
      <c r="A250" s="331" t="s">
        <v>10130</v>
      </c>
      <c r="B250" s="326">
        <f>SUMIF('Overhead Expenses'!D243:D5238,"&lt;&gt;",'Overhead Expenses'!K243:K5238)</f>
        <v>637.65</v>
      </c>
      <c r="C250" s="327"/>
      <c r="E250" s="28" t="s">
        <v>10112</v>
      </c>
      <c r="F250" s="331" t="s">
        <v>10131</v>
      </c>
      <c r="G250" s="331" t="s">
        <v>10132</v>
      </c>
      <c r="H250" s="21" t="s">
        <v>1093</v>
      </c>
    </row>
    <row r="251">
      <c r="A251" s="331" t="s">
        <v>10133</v>
      </c>
      <c r="B251" s="326">
        <f>B248-B250</f>
        <v>-1344.45</v>
      </c>
      <c r="C251" s="327"/>
      <c r="E251" s="28" t="s">
        <v>10112</v>
      </c>
      <c r="F251" s="331" t="s">
        <v>10134</v>
      </c>
      <c r="G251" s="331" t="s">
        <v>10135</v>
      </c>
      <c r="H251" s="21" t="s">
        <v>1093</v>
      </c>
    </row>
    <row r="252">
      <c r="A252" s="331" t="s">
        <v>10136</v>
      </c>
      <c r="B252" s="326"/>
      <c r="C252" s="327" t="str">
        <f>IFERROR(B251/B244,"")</f>
        <v/>
      </c>
      <c r="E252" s="28" t="s">
        <v>10112</v>
      </c>
      <c r="F252" s="331" t="s">
        <v>10137</v>
      </c>
      <c r="G252" s="331" t="s">
        <v>10138</v>
      </c>
      <c r="H252" s="21" t="s">
        <v>1093</v>
      </c>
    </row>
    <row r="253">
      <c r="A253" s="331" t="s">
        <v>10139</v>
      </c>
      <c r="B253" s="326"/>
      <c r="C253" s="327"/>
      <c r="D253" s="331">
        <f>COUNTA(Sales!B244:B10241)</f>
        <v>0</v>
      </c>
      <c r="E253" s="331" t="s">
        <v>10140</v>
      </c>
      <c r="F253" s="331" t="s">
        <v>10141</v>
      </c>
      <c r="G253" s="331" t="s">
        <v>10142</v>
      </c>
      <c r="H253" s="21" t="s">
        <v>1093</v>
      </c>
    </row>
    <row r="254">
      <c r="A254" s="331" t="s">
        <v>10143</v>
      </c>
      <c r="B254" s="326" t="str">
        <f>IFERROR(B244/D253,"")</f>
        <v/>
      </c>
      <c r="C254" s="327"/>
      <c r="E254" s="331" t="s">
        <v>10140</v>
      </c>
      <c r="F254" s="331" t="s">
        <v>10144</v>
      </c>
      <c r="G254" s="331" t="s">
        <v>10145</v>
      </c>
      <c r="H254" s="21" t="s">
        <v>1093</v>
      </c>
    </row>
    <row r="255">
      <c r="A255" s="331" t="s">
        <v>10146</v>
      </c>
      <c r="B255" s="326" t="str">
        <f>IFERROR(B251/D253,"")</f>
        <v/>
      </c>
      <c r="C255" s="327"/>
      <c r="E255" s="331" t="s">
        <v>10140</v>
      </c>
      <c r="F255" s="331" t="s">
        <v>10147</v>
      </c>
      <c r="G255" s="331" t="s">
        <v>10148</v>
      </c>
      <c r="H255" s="21" t="s">
        <v>1093</v>
      </c>
    </row>
    <row r="256">
      <c r="A256" s="331" t="s">
        <v>10149</v>
      </c>
      <c r="B256" s="326">
        <f>SUMIF(Sales!I244:I10241,"Palm Street",Sales!F244:F10241)</f>
        <v>0</v>
      </c>
      <c r="C256" s="327"/>
      <c r="E256" s="331" t="s">
        <v>10140</v>
      </c>
      <c r="F256" s="331" t="s">
        <v>10150</v>
      </c>
      <c r="G256" s="331" t="s">
        <v>10151</v>
      </c>
      <c r="H256" s="21" t="s">
        <v>1093</v>
      </c>
    </row>
    <row r="257">
      <c r="A257" s="331" t="s">
        <v>10152</v>
      </c>
      <c r="B257" s="326">
        <f>SUMIF(Sales!I244:I10241,"In Person",Sales!F244:F10241)</f>
        <v>0</v>
      </c>
      <c r="C257" s="327"/>
      <c r="E257" s="331" t="s">
        <v>10140</v>
      </c>
      <c r="F257" s="331" t="s">
        <v>10150</v>
      </c>
      <c r="G257" s="331" t="s">
        <v>10153</v>
      </c>
      <c r="H257" s="21" t="s">
        <v>1093</v>
      </c>
    </row>
    <row r="258">
      <c r="A258" s="331" t="s">
        <v>10154</v>
      </c>
      <c r="B258" s="326">
        <f>SUMIF(Sales!I244:I10241,"Facebook Marketplace",Sales!F244:F10241)</f>
        <v>0</v>
      </c>
      <c r="C258" s="327"/>
      <c r="E258" s="331" t="s">
        <v>10140</v>
      </c>
      <c r="F258" s="331" t="s">
        <v>10150</v>
      </c>
      <c r="G258" s="331" t="s">
        <v>10155</v>
      </c>
      <c r="H258" s="21" t="s">
        <v>1093</v>
      </c>
    </row>
    <row r="259">
      <c r="A259" s="331" t="s">
        <v>10156</v>
      </c>
      <c r="B259" s="326">
        <f>SUMIF(Sales!I244:I10241,"Flea Market",Sales!F244:F10241)</f>
        <v>0</v>
      </c>
      <c r="C259" s="327"/>
      <c r="E259" s="331" t="s">
        <v>10140</v>
      </c>
      <c r="F259" s="331" t="s">
        <v>10150</v>
      </c>
      <c r="G259" s="331" t="s">
        <v>10157</v>
      </c>
      <c r="H259" s="21" t="s">
        <v>1093</v>
      </c>
    </row>
    <row r="260">
      <c r="A260" s="331" t="s">
        <v>10158</v>
      </c>
      <c r="B260" s="326">
        <f>SUMIF(Sales!I244:I10241,"Square Online",Sales!F244:F10241)</f>
        <v>0</v>
      </c>
      <c r="C260" s="327"/>
      <c r="E260" s="331" t="s">
        <v>10140</v>
      </c>
      <c r="F260" s="331" t="s">
        <v>10150</v>
      </c>
      <c r="G260" s="331" t="s">
        <v>10159</v>
      </c>
      <c r="H260" s="21" t="s">
        <v>1093</v>
      </c>
    </row>
    <row r="261">
      <c r="A261" s="331" t="s">
        <v>10160</v>
      </c>
      <c r="B261" s="326">
        <f>SUMIF(Sales!I244:I10241,"Merlin Outdoor Market",Sales!F244:F10241)</f>
        <v>0</v>
      </c>
      <c r="C261" s="327"/>
      <c r="E261" s="331" t="s">
        <v>10140</v>
      </c>
      <c r="F261" s="331" t="s">
        <v>10150</v>
      </c>
      <c r="G261" s="331" t="s">
        <v>10161</v>
      </c>
      <c r="H261" s="21" t="s">
        <v>1093</v>
      </c>
    </row>
    <row r="262">
      <c r="A262" s="331" t="s">
        <v>10162</v>
      </c>
      <c r="B262" s="326">
        <f>SUMIF(Sales!I244:I10241,"Facebook",Sales!F244:F10241)</f>
        <v>0</v>
      </c>
      <c r="C262" s="327"/>
      <c r="E262" s="331" t="s">
        <v>10140</v>
      </c>
      <c r="F262" s="331" t="s">
        <v>10150</v>
      </c>
      <c r="G262" s="331" t="s">
        <v>10163</v>
      </c>
      <c r="H262" s="21" t="s">
        <v>1093</v>
      </c>
    </row>
    <row r="263">
      <c r="A263" s="331" t="s">
        <v>10164</v>
      </c>
      <c r="B263" s="326">
        <f>SUMIFS(Sales!F244:F10241,Sales!A244:A10241,"&gt;="&amp;DATE(2025,8,1),Sales!A244:A10241,"&lt;"&amp;DATE(2025,9,1))</f>
        <v>0</v>
      </c>
      <c r="C263" s="327"/>
      <c r="E263" s="331" t="s">
        <v>10165</v>
      </c>
      <c r="G263" s="331" t="s">
        <v>10166</v>
      </c>
      <c r="H263" s="21" t="s">
        <v>1093</v>
      </c>
    </row>
    <row r="264">
      <c r="A264" s="331" t="s">
        <v>10167</v>
      </c>
      <c r="B264" s="326">
        <f>SUMIFS(Sales!K244:K10241,Sales!A244:A10241,"&gt;="&amp;DATE(2025,8,1),Sales!A244:A10241,"&lt;"&amp;DATE(2025,9,1))</f>
        <v>0</v>
      </c>
      <c r="C264" s="327"/>
      <c r="E264" s="331" t="s">
        <v>10165</v>
      </c>
      <c r="G264" s="331" t="s">
        <v>10168</v>
      </c>
      <c r="H264" s="21" t="s">
        <v>1093</v>
      </c>
    </row>
    <row r="265">
      <c r="A265" s="331" t="s">
        <v>10169</v>
      </c>
      <c r="B265" s="326">
        <f>SUMIFS(Sales!F244:F10241,Sales!A244:A10241,"&gt;="&amp;DATE(2025,9,1),Sales!A244:A10241,"&lt;"&amp;DATE(2025,10,1))</f>
        <v>0</v>
      </c>
      <c r="C265" s="327"/>
      <c r="E265" s="331" t="s">
        <v>10165</v>
      </c>
      <c r="G265" s="331" t="s">
        <v>10170</v>
      </c>
      <c r="H265" s="21" t="s">
        <v>1093</v>
      </c>
    </row>
    <row r="266">
      <c r="A266" s="331" t="s">
        <v>10171</v>
      </c>
      <c r="B266" s="326">
        <f>SUMIFS(Sales!K244:K10241,Sales!A244:A10241,"&gt;="&amp;DATE(2025,9,1),Sales!A244:A10241,"&lt;"&amp;DATE(2025,10,1))</f>
        <v>0</v>
      </c>
      <c r="C266" s="327"/>
      <c r="E266" s="331" t="s">
        <v>10165</v>
      </c>
      <c r="G266" s="331" t="s">
        <v>10172</v>
      </c>
      <c r="H266" s="21" t="s">
        <v>1093</v>
      </c>
    </row>
    <row r="267">
      <c r="A267" s="331" t="s">
        <v>10173</v>
      </c>
      <c r="B267" s="326">
        <f>SUMIFS(Sales!F244:F10241,Sales!A244:A10241,"&gt;="&amp;DATE(2025,10,1),Sales!A244:A10241,"&lt;"&amp;DATE(2025,11,1))</f>
        <v>0</v>
      </c>
      <c r="C267" s="327"/>
      <c r="E267" s="331" t="s">
        <v>10165</v>
      </c>
      <c r="G267" s="331" t="s">
        <v>10174</v>
      </c>
      <c r="H267" s="21" t="s">
        <v>1093</v>
      </c>
    </row>
    <row r="268">
      <c r="A268" s="331" t="s">
        <v>10175</v>
      </c>
      <c r="B268" s="326">
        <f>SUMIFS(Sales!K244:K10241,Sales!A244:A10241,"&gt;="&amp;DATE(2025,10,1),Sales!A244:A10241,"&lt;"&amp;DATE(2025,11,1))</f>
        <v>0</v>
      </c>
      <c r="C268" s="327"/>
      <c r="E268" s="331" t="s">
        <v>10165</v>
      </c>
      <c r="G268" s="331" t="s">
        <v>10176</v>
      </c>
      <c r="H268" s="21" t="s">
        <v>1093</v>
      </c>
    </row>
    <row r="269">
      <c r="A269" s="331" t="s">
        <v>10177</v>
      </c>
      <c r="B269" s="326">
        <f>SUMIFS(Sales!F244:F10241,Sales!A244:A10241,"&gt;="&amp;DATE(2025,11,1),Sales!A244:A10241,"&lt;"&amp;DATE(2025,12,1))</f>
        <v>0</v>
      </c>
      <c r="C269" s="327"/>
      <c r="E269" s="331" t="s">
        <v>10165</v>
      </c>
      <c r="G269" s="331" t="s">
        <v>10178</v>
      </c>
      <c r="H269" s="21" t="s">
        <v>1093</v>
      </c>
    </row>
    <row r="270">
      <c r="A270" s="331" t="s">
        <v>10179</v>
      </c>
      <c r="B270" s="326">
        <f>SUMIFS(Sales!K244:K10241,Sales!A244:A10241,"&gt;="&amp;DATE(2025,11,1),Sales!A244:A10241,"&lt;"&amp;DATE(2025,12,1))</f>
        <v>0</v>
      </c>
      <c r="C270" s="327"/>
      <c r="E270" s="331" t="s">
        <v>10165</v>
      </c>
      <c r="G270" s="331" t="s">
        <v>10180</v>
      </c>
      <c r="H270" s="21" t="s">
        <v>1093</v>
      </c>
    </row>
    <row r="271">
      <c r="A271" s="331" t="s">
        <v>10181</v>
      </c>
      <c r="B271" s="326">
        <f>SUMIFS(Sales!F244:F10241,Sales!A244:A10241,"&gt;="&amp;DATE(2025,12,1),Sales!A244:A10241,"&lt;"&amp;DATE(2026,1,1))</f>
        <v>0</v>
      </c>
      <c r="C271" s="327"/>
      <c r="E271" s="331" t="s">
        <v>10165</v>
      </c>
      <c r="G271" s="331" t="s">
        <v>10182</v>
      </c>
      <c r="H271" s="21" t="s">
        <v>1093</v>
      </c>
    </row>
    <row r="272">
      <c r="A272" s="331" t="s">
        <v>10183</v>
      </c>
      <c r="B272" s="326">
        <f>SUMIFS(Sales!K244:K10241,Sales!A244:A10241,"&gt;="&amp;DATE(2025,12,1),Sales!A244:A10241,"&lt;"&amp;DATE(2026,1,1))</f>
        <v>0</v>
      </c>
      <c r="C272" s="327"/>
      <c r="E272" s="331" t="s">
        <v>10165</v>
      </c>
      <c r="G272" s="331" t="s">
        <v>10184</v>
      </c>
      <c r="H272" s="21" t="s">
        <v>1093</v>
      </c>
    </row>
    <row r="273">
      <c r="A273" s="331" t="s">
        <v>10185</v>
      </c>
      <c r="B273" s="326">
        <f>SUMIFS(Sales!F244:F10241,Sales!A244:A10241,"&gt;="&amp;DATE(2026,1,1),Sales!A244:A10241,"&lt;"&amp;DATE(2026,2,1))</f>
        <v>0</v>
      </c>
      <c r="C273" s="327"/>
      <c r="E273" s="331" t="s">
        <v>10165</v>
      </c>
      <c r="G273" s="331" t="s">
        <v>10186</v>
      </c>
      <c r="H273" s="21" t="s">
        <v>1093</v>
      </c>
    </row>
    <row r="274">
      <c r="A274" s="331" t="s">
        <v>10187</v>
      </c>
      <c r="B274" s="326">
        <f>SUMIFS(Sales!K244:K10241,Sales!A244:A10241,"&gt;="&amp;DATE(2026,1,1),Sales!A244:A10241,"&lt;"&amp;DATE(2026,2,1))</f>
        <v>0</v>
      </c>
      <c r="C274" s="327"/>
      <c r="E274" s="331" t="s">
        <v>10165</v>
      </c>
      <c r="G274" s="331" t="s">
        <v>10188</v>
      </c>
      <c r="H274" s="21" t="s">
        <v>1093</v>
      </c>
    </row>
    <row r="275">
      <c r="A275" s="331" t="s">
        <v>10189</v>
      </c>
      <c r="B275" s="326">
        <f>SUMIFS(Sales!F244:F10241,Sales!A244:A10241,"&gt;="&amp;DATE(2026,2,1),Sales!A244:A10241,"&lt;"&amp;DATE(2026,3,1))</f>
        <v>0</v>
      </c>
      <c r="C275" s="327"/>
      <c r="E275" s="331" t="s">
        <v>10165</v>
      </c>
      <c r="G275" s="331" t="s">
        <v>10190</v>
      </c>
      <c r="H275" s="21" t="s">
        <v>1093</v>
      </c>
    </row>
    <row r="276">
      <c r="A276" s="331" t="s">
        <v>10191</v>
      </c>
      <c r="B276" s="326">
        <f>SUMIFS(Sales!K244:K10241,Sales!A244:A10241,"&gt;="&amp;DATE(2026,2,1),Sales!A244:A10241,"&lt;"&amp;DATE(2026,3,1))</f>
        <v>0</v>
      </c>
      <c r="C276" s="327"/>
      <c r="E276" s="331" t="s">
        <v>10165</v>
      </c>
      <c r="G276" s="331" t="s">
        <v>10192</v>
      </c>
      <c r="H276" s="21" t="s">
        <v>1093</v>
      </c>
    </row>
    <row r="277">
      <c r="A277" s="331" t="s">
        <v>10193</v>
      </c>
      <c r="B277" s="326">
        <f>SUMIFS(Sales!F244:F10241,Sales!A244:A10241,"&gt;="&amp;DATE(2026,3,1),Sales!A244:A10241,"&lt;"&amp;DATE(2026,4,1))</f>
        <v>0</v>
      </c>
      <c r="C277" s="327"/>
      <c r="E277" s="331" t="s">
        <v>10165</v>
      </c>
      <c r="G277" s="331" t="s">
        <v>10194</v>
      </c>
      <c r="H277" s="21" t="s">
        <v>1093</v>
      </c>
    </row>
    <row r="278">
      <c r="A278" s="331" t="s">
        <v>10195</v>
      </c>
      <c r="B278" s="326">
        <f>SUMIFS(Sales!K244:K10241,Sales!A244:A10241,"&gt;="&amp;DATE(2026,3,1),Sales!A244:A10241,"&lt;"&amp;DATE(2026,4,1))</f>
        <v>0</v>
      </c>
      <c r="C278" s="327"/>
      <c r="E278" s="331" t="s">
        <v>10165</v>
      </c>
      <c r="G278" s="331" t="s">
        <v>10196</v>
      </c>
      <c r="H278" s="21" t="s">
        <v>1093</v>
      </c>
    </row>
    <row r="279">
      <c r="A279" s="331" t="s">
        <v>10197</v>
      </c>
      <c r="B279" s="326">
        <f>SUMIFS(Sales!F244:F10241,Sales!A244:A10241,"&gt;="&amp;DATE(2026,4,1),Sales!A244:A10241,"&lt;"&amp;DATE(2026,5,1))</f>
        <v>0</v>
      </c>
      <c r="C279" s="327"/>
      <c r="E279" s="331" t="s">
        <v>10165</v>
      </c>
      <c r="G279" s="331" t="s">
        <v>10198</v>
      </c>
      <c r="H279" s="21" t="s">
        <v>1093</v>
      </c>
    </row>
    <row r="280">
      <c r="A280" s="331" t="s">
        <v>10199</v>
      </c>
      <c r="B280" s="326">
        <f>SUMIFS(Sales!K244:K10241,Sales!A244:A10241,"&gt;="&amp;DATE(2026,4,1),Sales!A244:A10241,"&lt;"&amp;DATE(2026,5,1))</f>
        <v>0</v>
      </c>
      <c r="C280" s="327"/>
      <c r="E280" s="331" t="s">
        <v>10165</v>
      </c>
      <c r="G280" s="331" t="s">
        <v>10200</v>
      </c>
      <c r="H280" s="21" t="s">
        <v>1093</v>
      </c>
    </row>
    <row r="281">
      <c r="A281" s="331" t="s">
        <v>10201</v>
      </c>
      <c r="B281" s="326">
        <f>SUMIFS(Sales!F244:F10241,Sales!A244:A10241,"&gt;="&amp;DATE(2026,5,1),Sales!A244:A10241,"&lt;"&amp;DATE(2026,6,1))</f>
        <v>0</v>
      </c>
      <c r="C281" s="327"/>
      <c r="E281" s="331" t="s">
        <v>10165</v>
      </c>
      <c r="G281" s="331" t="s">
        <v>10202</v>
      </c>
      <c r="H281" s="21" t="s">
        <v>1093</v>
      </c>
    </row>
    <row r="282">
      <c r="A282" s="331" t="s">
        <v>10203</v>
      </c>
      <c r="B282" s="326">
        <f>SUMIFS(Sales!K244:K10241,Sales!A244:A10241,"&gt;="&amp;DATE(2026,5,1),Sales!A244:A10241,"&lt;"&amp;DATE(2026,6,1))</f>
        <v>0</v>
      </c>
      <c r="C282" s="327"/>
      <c r="E282" s="331" t="s">
        <v>10165</v>
      </c>
      <c r="G282" s="331" t="s">
        <v>10204</v>
      </c>
      <c r="H282" s="21" t="s">
        <v>1093</v>
      </c>
    </row>
    <row r="283">
      <c r="A283" s="331" t="s">
        <v>10205</v>
      </c>
      <c r="B283" s="326">
        <f>SUMIFS(Sales!F244:F10241,Sales!A244:A10241,"&gt;="&amp;DATE(2026,6,1),Sales!A244:A10241,"&lt;"&amp;DATE(2026,7,1))</f>
        <v>0</v>
      </c>
      <c r="C283" s="327"/>
      <c r="E283" s="331" t="s">
        <v>10165</v>
      </c>
      <c r="G283" s="331" t="s">
        <v>10206</v>
      </c>
      <c r="H283" s="21" t="s">
        <v>1093</v>
      </c>
    </row>
    <row r="284">
      <c r="A284" s="331" t="s">
        <v>10207</v>
      </c>
      <c r="B284" s="326">
        <f>SUMIFS(Sales!K244:K10241,Sales!A244:A10241,"&gt;="&amp;DATE(2026,6,1),Sales!A244:A10241,"&lt;"&amp;DATE(2026,7,1))</f>
        <v>0</v>
      </c>
      <c r="C284" s="327"/>
      <c r="E284" s="331" t="s">
        <v>10165</v>
      </c>
      <c r="G284" s="331" t="s">
        <v>10208</v>
      </c>
      <c r="H284" s="21" t="s">
        <v>1093</v>
      </c>
    </row>
    <row r="285">
      <c r="A285" s="331" t="s">
        <v>10209</v>
      </c>
      <c r="B285" s="326">
        <f>SUMIFS(Sales!F244:F10241,Sales!A244:A10241,"&gt;="&amp;DATE(2026,7,1),Sales!A244:A10241,"&lt;"&amp;DATE(2026,8,1))</f>
        <v>0</v>
      </c>
      <c r="C285" s="327"/>
      <c r="E285" s="331" t="s">
        <v>10165</v>
      </c>
      <c r="G285" s="331" t="s">
        <v>10210</v>
      </c>
      <c r="H285" s="21" t="s">
        <v>1093</v>
      </c>
    </row>
    <row r="286">
      <c r="A286" s="331" t="s">
        <v>10211</v>
      </c>
      <c r="B286" s="326">
        <f>SUMIFS(Sales!K244:K10241,Sales!A244:A10241,"&gt;="&amp;DATE(2026,7,1),Sales!A244:A10241,"&lt;"&amp;DATE(2026,8,1))</f>
        <v>0</v>
      </c>
      <c r="C286" s="327"/>
      <c r="E286" s="331" t="s">
        <v>10165</v>
      </c>
      <c r="G286" s="331" t="s">
        <v>10212</v>
      </c>
      <c r="H286" s="21" t="s">
        <v>1093</v>
      </c>
    </row>
    <row r="287">
      <c r="A287" s="331" t="s">
        <v>10213</v>
      </c>
      <c r="B287" s="326">
        <f>SUMIFS(Sales!F244:F10241,Sales!A244:A10241,"&gt;="&amp;DATE(2026,8,1),Sales!A244:A10241,"&lt;"&amp;DATE(2026,9,1))</f>
        <v>0</v>
      </c>
      <c r="C287" s="327"/>
      <c r="E287" s="331" t="s">
        <v>10165</v>
      </c>
      <c r="G287" s="331" t="s">
        <v>10214</v>
      </c>
      <c r="H287" s="21" t="s">
        <v>1093</v>
      </c>
    </row>
    <row r="288">
      <c r="A288" s="331" t="s">
        <v>10215</v>
      </c>
      <c r="B288" s="326">
        <f>SUMIFS(Sales!K244:K10241,Sales!A244:A10241,"&gt;="&amp;DATE(2026,8,1),Sales!A244:A10241,"&lt;"&amp;DATE(2026,9,1))</f>
        <v>0</v>
      </c>
      <c r="C288" s="327"/>
      <c r="E288" s="331" t="s">
        <v>10165</v>
      </c>
      <c r="G288" s="331" t="s">
        <v>10216</v>
      </c>
      <c r="H288" s="21" t="s">
        <v>1093</v>
      </c>
    </row>
    <row r="289">
      <c r="A289" s="331" t="s">
        <v>10217</v>
      </c>
      <c r="B289" s="326">
        <f>SUMIFS(Sales!F244:F10241,Sales!A244:A10241,"&gt;="&amp;DATE(2026,9,1),Sales!A244:A10241,"&lt;"&amp;DATE(2026,10,1))</f>
        <v>0</v>
      </c>
      <c r="C289" s="327"/>
      <c r="E289" s="331" t="s">
        <v>10165</v>
      </c>
      <c r="G289" s="331" t="s">
        <v>10218</v>
      </c>
      <c r="H289" s="21" t="s">
        <v>1093</v>
      </c>
    </row>
    <row r="290">
      <c r="A290" s="331" t="s">
        <v>10219</v>
      </c>
      <c r="B290" s="326">
        <f>SUMIFS(Sales!K244:K10241,Sales!A244:A10241,"&gt;="&amp;DATE(2026,9,1),Sales!A244:A10241,"&lt;"&amp;DATE(2026,10,1))</f>
        <v>0</v>
      </c>
      <c r="C290" s="327"/>
      <c r="E290" s="331" t="s">
        <v>10165</v>
      </c>
      <c r="G290" s="331" t="s">
        <v>10220</v>
      </c>
      <c r="H290" s="21" t="s">
        <v>1093</v>
      </c>
    </row>
    <row r="291">
      <c r="A291" s="331" t="s">
        <v>10221</v>
      </c>
      <c r="B291" s="326">
        <f>SUMIFS(Sales!F244:F10241,Sales!A244:A10241,"&gt;="&amp;DATE(2026,10,1),Sales!A244:A10241,"&lt;"&amp;DATE(2026,11,1))</f>
        <v>0</v>
      </c>
      <c r="C291" s="327"/>
      <c r="E291" s="331" t="s">
        <v>10165</v>
      </c>
      <c r="G291" s="331" t="s">
        <v>10222</v>
      </c>
      <c r="H291" s="21" t="s">
        <v>1093</v>
      </c>
    </row>
    <row r="292">
      <c r="A292" s="331" t="s">
        <v>10223</v>
      </c>
      <c r="B292" s="326">
        <f>SUMIFS(Sales!K244:K10241,Sales!A244:A10241,"&gt;="&amp;DATE(2026,10,1),Sales!A244:A10241,"&lt;"&amp;DATE(2026,11,1))</f>
        <v>0</v>
      </c>
      <c r="C292" s="327"/>
      <c r="E292" s="331" t="s">
        <v>10165</v>
      </c>
      <c r="G292" s="331" t="s">
        <v>10224</v>
      </c>
      <c r="H292" s="21" t="s">
        <v>1093</v>
      </c>
    </row>
    <row r="293">
      <c r="A293" s="331" t="s">
        <v>10225</v>
      </c>
      <c r="B293" s="326">
        <f>SUMIFS(Sales!F244:F10241,Sales!A244:A10241,"&gt;="&amp;DATE(2026,11,1),Sales!A244:A10241,"&lt;"&amp;DATE(2026,12,1))</f>
        <v>0</v>
      </c>
      <c r="C293" s="327"/>
      <c r="E293" s="331" t="s">
        <v>10165</v>
      </c>
      <c r="G293" s="331" t="s">
        <v>10226</v>
      </c>
      <c r="H293" s="21" t="s">
        <v>1093</v>
      </c>
    </row>
    <row r="294">
      <c r="A294" s="331" t="s">
        <v>10227</v>
      </c>
      <c r="B294" s="326">
        <f>SUMIFS(Sales!K244:K10241,Sales!A244:A10241,"&gt;="&amp;DATE(2026,11,1),Sales!A244:A10241,"&lt;"&amp;DATE(2026,12,1))</f>
        <v>0</v>
      </c>
      <c r="C294" s="327"/>
      <c r="E294" s="331" t="s">
        <v>10165</v>
      </c>
      <c r="G294" s="331" t="s">
        <v>10228</v>
      </c>
      <c r="H294" s="21" t="s">
        <v>1093</v>
      </c>
    </row>
    <row r="295">
      <c r="A295" s="331" t="s">
        <v>10229</v>
      </c>
      <c r="B295" s="326">
        <f>SUMIFS(Sales!F244:F10241,Sales!A244:A10241,"&gt;="&amp;DATE(2026,12,1),Sales!A244:A10241,"&lt;"&amp;DATE(2027,1,1))</f>
        <v>0</v>
      </c>
      <c r="C295" s="327"/>
      <c r="E295" s="331" t="s">
        <v>10165</v>
      </c>
      <c r="G295" s="331" t="s">
        <v>10230</v>
      </c>
      <c r="H295" s="21" t="s">
        <v>1093</v>
      </c>
    </row>
    <row r="296">
      <c r="A296" s="331" t="s">
        <v>10231</v>
      </c>
      <c r="B296" s="326">
        <f>SUMIFS(Sales!K244:K10241,Sales!A244:A10241,"&gt;="&amp;DATE(2026,12,1),Sales!A244:A10241,"&lt;"&amp;DATE(2027,1,1))</f>
        <v>0</v>
      </c>
      <c r="C296" s="327"/>
      <c r="E296" s="331" t="s">
        <v>10165</v>
      </c>
      <c r="G296" s="331" t="s">
        <v>10232</v>
      </c>
      <c r="H296" s="21" t="s">
        <v>1093</v>
      </c>
    </row>
    <row r="297">
      <c r="A297" s="331" t="s">
        <v>10233</v>
      </c>
      <c r="B297" s="326">
        <f>SUMIF('Overhead Expenses'!D243:D5238,"Bags &amp; Packaging",'Overhead Expenses'!K243:K5238)</f>
        <v>0</v>
      </c>
      <c r="C297" s="327"/>
      <c r="E297" s="331" t="s">
        <v>10234</v>
      </c>
      <c r="G297" s="331" t="s">
        <v>10235</v>
      </c>
      <c r="H297" s="21" t="s">
        <v>1093</v>
      </c>
    </row>
    <row r="298">
      <c r="B298" s="326"/>
      <c r="C298" s="327"/>
      <c r="H298" s="21" t="s">
        <v>1093</v>
      </c>
    </row>
    <row r="299">
      <c r="A299" s="28" t="s">
        <v>6062</v>
      </c>
      <c r="B299" s="326">
        <f>SUMIF('Overhead Expenses'!D243:D5238,"Cleaning &amp; Sanitation",'Overhead Expenses'!K243:K5238)</f>
        <v>0</v>
      </c>
      <c r="C299" s="327"/>
      <c r="E299" s="331" t="s">
        <v>10234</v>
      </c>
      <c r="G299" s="331" t="s">
        <v>10236</v>
      </c>
      <c r="H299" s="21" t="s">
        <v>1093</v>
      </c>
    </row>
    <row r="300">
      <c r="A300" s="28" t="s">
        <v>5989</v>
      </c>
      <c r="B300" s="326">
        <f>SUMIF('Overhead Expenses'!D243:D5238,"Climate &amp; Environment",'Overhead Expenses'!K243:K5238)</f>
        <v>0</v>
      </c>
      <c r="C300" s="327"/>
      <c r="E300" s="331" t="s">
        <v>10234</v>
      </c>
      <c r="G300" s="331" t="s">
        <v>10237</v>
      </c>
      <c r="H300" s="21" t="s">
        <v>1093</v>
      </c>
    </row>
    <row r="301">
      <c r="A301" s="28" t="s">
        <v>6069</v>
      </c>
      <c r="B301" s="326">
        <f>SUMIF('Overhead Expenses'!D243:D5238,"Inbound Shipping",'Overhead Expenses'!K243:K5238)</f>
        <v>0</v>
      </c>
      <c r="C301" s="327"/>
      <c r="E301" s="331" t="s">
        <v>10234</v>
      </c>
      <c r="G301" s="331" t="s">
        <v>10238</v>
      </c>
      <c r="H301" s="21" t="s">
        <v>1093</v>
      </c>
    </row>
    <row r="302">
      <c r="A302" s="28" t="s">
        <v>6003</v>
      </c>
      <c r="B302" s="326">
        <f>SUMIF('Overhead Expenses'!D243:D5238,"Labels &amp; Stickers",'Overhead Expenses'!K243:K5238)</f>
        <v>12.79</v>
      </c>
      <c r="C302" s="327"/>
      <c r="E302" s="331" t="s">
        <v>10234</v>
      </c>
      <c r="G302" s="331" t="s">
        <v>10239</v>
      </c>
      <c r="H302" s="21" t="s">
        <v>1093</v>
      </c>
    </row>
    <row r="303">
      <c r="A303" s="28" t="s">
        <v>6092</v>
      </c>
      <c r="B303" s="326">
        <f>SUMIF('Overhead Expenses'!D243:D5238,"Labor",'Overhead Expenses'!K243:K5238)</f>
        <v>0</v>
      </c>
      <c r="C303" s="327"/>
      <c r="E303" s="331" t="s">
        <v>10234</v>
      </c>
      <c r="G303" s="331" t="s">
        <v>10240</v>
      </c>
      <c r="H303" s="21" t="s">
        <v>1093</v>
      </c>
    </row>
    <row r="304">
      <c r="A304" s="28" t="s">
        <v>1103</v>
      </c>
      <c r="B304" s="326">
        <f>SUMIF('Overhead Expenses'!D243:D5238,"Licenses &amp; Fees",'Overhead Expenses'!K243:K5238)</f>
        <v>0</v>
      </c>
      <c r="C304" s="327"/>
      <c r="E304" s="331" t="s">
        <v>10234</v>
      </c>
      <c r="G304" s="331" t="s">
        <v>10241</v>
      </c>
      <c r="H304" s="21" t="s">
        <v>1093</v>
      </c>
    </row>
    <row r="305">
      <c r="A305" s="28" t="s">
        <v>6032</v>
      </c>
      <c r="B305" s="326">
        <f>SUMIF('Overhead Expenses'!D243:D5238,"Lighting",'Overhead Expenses'!K243:K5238)</f>
        <v>0</v>
      </c>
      <c r="C305" s="327"/>
      <c r="E305" s="331" t="s">
        <v>10234</v>
      </c>
      <c r="G305" s="331" t="s">
        <v>10242</v>
      </c>
      <c r="H305" s="21" t="s">
        <v>1093</v>
      </c>
    </row>
    <row r="306">
      <c r="A306" s="28" t="s">
        <v>6130</v>
      </c>
      <c r="B306" s="326">
        <f>SUMIF('Overhead Expenses'!D243:D5238,"Market Fees &amp; Supplies",'Overhead Expenses'!K243:K5238)</f>
        <v>0</v>
      </c>
      <c r="C306" s="327"/>
      <c r="E306" s="331" t="s">
        <v>10234</v>
      </c>
      <c r="G306" s="331" t="s">
        <v>10243</v>
      </c>
      <c r="H306" s="21" t="s">
        <v>1093</v>
      </c>
    </row>
    <row r="307">
      <c r="A307" s="28" t="s">
        <v>6247</v>
      </c>
      <c r="B307" s="326">
        <f>SUMIF('Overhead Expenses'!D243:D5238,"Office &amp; Admin Supplies",'Overhead Expenses'!K243:K5238)</f>
        <v>0</v>
      </c>
      <c r="C307" s="327"/>
      <c r="E307" s="331" t="s">
        <v>10234</v>
      </c>
      <c r="G307" s="331" t="s">
        <v>10244</v>
      </c>
      <c r="H307" s="21" t="s">
        <v>1093</v>
      </c>
    </row>
    <row r="308">
      <c r="A308" s="28" t="s">
        <v>6336</v>
      </c>
      <c r="B308" s="326">
        <f>SUMIF('Overhead Expenses'!D243:D5238,"Outbound Shipping",'Overhead Expenses'!K243:K5238)</f>
        <v>14.89</v>
      </c>
      <c r="C308" s="327"/>
      <c r="E308" s="331" t="s">
        <v>10234</v>
      </c>
      <c r="G308" s="331" t="s">
        <v>10245</v>
      </c>
      <c r="H308" s="21" t="s">
        <v>1093</v>
      </c>
    </row>
    <row r="309">
      <c r="A309" s="28" t="s">
        <v>6224</v>
      </c>
      <c r="B309" s="326">
        <f>SUMIF('Overhead Expenses'!D243:D5238,"Packing &amp; Shipping",'Overhead Expenses'!K243:K5238)</f>
        <v>0</v>
      </c>
      <c r="C309" s="327"/>
      <c r="E309" s="331" t="s">
        <v>10234</v>
      </c>
      <c r="G309" s="331" t="s">
        <v>10246</v>
      </c>
      <c r="H309" s="21" t="s">
        <v>1093</v>
      </c>
    </row>
    <row r="310">
      <c r="A310" s="28" t="s">
        <v>6260</v>
      </c>
      <c r="B310" s="326">
        <f>SUMIF('Overhead Expenses'!D243:D5238,"Plant Tags &amp; Labels",'Overhead Expenses'!K243:K5238)</f>
        <v>0</v>
      </c>
      <c r="C310" s="327"/>
      <c r="E310" s="331" t="s">
        <v>10234</v>
      </c>
      <c r="G310" s="331" t="s">
        <v>10247</v>
      </c>
      <c r="H310" s="21" t="s">
        <v>1093</v>
      </c>
    </row>
    <row r="311">
      <c r="A311" s="28" t="s">
        <v>5997</v>
      </c>
      <c r="B311" s="326">
        <f>SUMIF('Overhead Expenses'!D243:D5238,"Propagation Supplies",'Overhead Expenses'!K243:K5238)</f>
        <v>0</v>
      </c>
      <c r="C311" s="327"/>
      <c r="E311" s="331" t="s">
        <v>10234</v>
      </c>
      <c r="G311" s="331" t="s">
        <v>10248</v>
      </c>
      <c r="H311" s="21" t="s">
        <v>1093</v>
      </c>
    </row>
    <row r="312">
      <c r="A312" s="28" t="s">
        <v>6387</v>
      </c>
      <c r="B312" s="326">
        <f>SUMIF('Overhead Expenses'!D243:D5238,"Repairs &amp; Maintenance",'Overhead Expenses'!K243:K5238)</f>
        <v>0</v>
      </c>
      <c r="C312" s="327"/>
      <c r="E312" s="331" t="s">
        <v>10234</v>
      </c>
      <c r="G312" s="331" t="s">
        <v>10249</v>
      </c>
      <c r="H312" s="21" t="s">
        <v>1093</v>
      </c>
    </row>
    <row r="313">
      <c r="A313" s="28" t="s">
        <v>6315</v>
      </c>
      <c r="B313" s="326">
        <f>SUMIF('Overhead Expenses'!D243:D5238,"Security",'Overhead Expenses'!K243:K5238)</f>
        <v>0</v>
      </c>
      <c r="C313" s="327"/>
      <c r="E313" s="331" t="s">
        <v>10234</v>
      </c>
      <c r="G313" s="331" t="s">
        <v>10250</v>
      </c>
      <c r="H313" s="21" t="s">
        <v>1093</v>
      </c>
    </row>
    <row r="314">
      <c r="A314" s="28" t="s">
        <v>6497</v>
      </c>
      <c r="B314" s="326">
        <f>SUMIF('Overhead Expenses'!D243:D5238,"Selling Fee",'Overhead Expenses'!K243:K5238)</f>
        <v>0</v>
      </c>
      <c r="C314" s="327"/>
      <c r="E314" s="331" t="s">
        <v>10234</v>
      </c>
      <c r="G314" s="331" t="s">
        <v>10251</v>
      </c>
      <c r="H314" s="21" t="s">
        <v>1093</v>
      </c>
    </row>
    <row r="315">
      <c r="A315" s="28" t="s">
        <v>6464</v>
      </c>
      <c r="B315" s="326">
        <f>SUMIF('Overhead Expenses'!D243:D5238,"Shade &amp; Protection",'Overhead Expenses'!K243:K5238)</f>
        <v>0</v>
      </c>
      <c r="C315" s="327"/>
      <c r="E315" s="331" t="s">
        <v>10234</v>
      </c>
      <c r="G315" s="331" t="s">
        <v>10252</v>
      </c>
      <c r="H315" s="21" t="s">
        <v>1093</v>
      </c>
    </row>
    <row r="316">
      <c r="A316" s="28" t="s">
        <v>5985</v>
      </c>
      <c r="B316" s="326">
        <f>SUMIF('Overhead Expenses'!D243:D5238,"Shelving/Fixtures",'Overhead Expenses'!K243:K5238)</f>
        <v>0</v>
      </c>
      <c r="C316" s="327"/>
      <c r="E316" s="331" t="s">
        <v>10234</v>
      </c>
      <c r="G316" s="331" t="s">
        <v>10253</v>
      </c>
      <c r="H316" s="21" t="s">
        <v>1093</v>
      </c>
    </row>
    <row r="317">
      <c r="A317" s="28" t="s">
        <v>6482</v>
      </c>
      <c r="B317" s="326">
        <f>SUMIF('Overhead Expenses'!D243:D5238,"Shipping Boxes",'Overhead Expenses'!K243:K5238)</f>
        <v>0</v>
      </c>
      <c r="C317" s="327"/>
      <c r="E317" s="331" t="s">
        <v>10234</v>
      </c>
      <c r="G317" s="331" t="s">
        <v>10254</v>
      </c>
      <c r="H317" s="21" t="s">
        <v>1093</v>
      </c>
    </row>
    <row r="318">
      <c r="A318" s="28" t="s">
        <v>6325</v>
      </c>
      <c r="B318" s="326">
        <f>SUMIF('Overhead Expenses'!D243:D5238,"Sign",'Overhead Expenses'!K243:K5238)</f>
        <v>0</v>
      </c>
      <c r="C318" s="327"/>
      <c r="E318" s="331" t="s">
        <v>10234</v>
      </c>
      <c r="G318" s="331" t="s">
        <v>10255</v>
      </c>
      <c r="H318" s="21" t="s">
        <v>1093</v>
      </c>
    </row>
    <row r="319">
      <c r="A319" s="28" t="s">
        <v>5993</v>
      </c>
      <c r="B319" s="326">
        <f>SUMIF('Overhead Expenses'!D243:D5238,"Soil &amp; Amendments",'Overhead Expenses'!K243:K5238)</f>
        <v>197.03</v>
      </c>
      <c r="C319" s="327"/>
      <c r="E319" s="331" t="s">
        <v>10234</v>
      </c>
      <c r="G319" s="331" t="s">
        <v>10256</v>
      </c>
      <c r="H319" s="21" t="s">
        <v>1093</v>
      </c>
    </row>
    <row r="320">
      <c r="A320" s="28" t="s">
        <v>6150</v>
      </c>
      <c r="B320" s="326">
        <f>SUMIF('Overhead Expenses'!D243:D5238,"Stationery &amp; Print",'Overhead Expenses'!K243:K5238)</f>
        <v>0</v>
      </c>
      <c r="C320" s="327"/>
      <c r="E320" s="331" t="s">
        <v>10234</v>
      </c>
      <c r="G320" s="331" t="s">
        <v>10257</v>
      </c>
      <c r="H320" s="21" t="s">
        <v>1093</v>
      </c>
    </row>
    <row r="321">
      <c r="A321" s="28" t="s">
        <v>6137</v>
      </c>
      <c r="B321" s="326">
        <f>SUMIF('Overhead Expenses'!D243:D5238,"Table Covers &amp; Displays",'Overhead Expenses'!K243:K5238)</f>
        <v>0</v>
      </c>
      <c r="C321" s="327"/>
      <c r="E321" s="331" t="s">
        <v>10234</v>
      </c>
      <c r="G321" s="331" t="s">
        <v>10258</v>
      </c>
      <c r="H321" s="21" t="s">
        <v>1093</v>
      </c>
    </row>
    <row r="322">
      <c r="A322" s="28" t="s">
        <v>6147</v>
      </c>
      <c r="B322" s="326">
        <f>SUMIF('Overhead Expenses'!D243:D5238,"Tables &amp; Furniture",'Overhead Expenses'!K243:K5238)</f>
        <v>0</v>
      </c>
      <c r="C322" s="327"/>
      <c r="E322" s="331" t="s">
        <v>10234</v>
      </c>
      <c r="G322" s="331" t="s">
        <v>10259</v>
      </c>
      <c r="H322" s="21" t="s">
        <v>1093</v>
      </c>
    </row>
    <row r="323">
      <c r="A323" s="28" t="s">
        <v>6502</v>
      </c>
      <c r="B323" s="326">
        <f>SUMIF('Overhead Expenses'!D243:D5238,"Tax",'Overhead Expenses'!K243:K5238)</f>
        <v>0</v>
      </c>
      <c r="C323" s="327"/>
      <c r="E323" s="331" t="s">
        <v>10234</v>
      </c>
      <c r="G323" s="331" t="s">
        <v>10260</v>
      </c>
      <c r="H323" s="21" t="s">
        <v>1093</v>
      </c>
    </row>
    <row r="324">
      <c r="A324" s="28" t="s">
        <v>5981</v>
      </c>
      <c r="B324" s="326">
        <f>SUMIF('Overhead Expenses'!D243:D5238,"Tools &amp; Supplies",'Overhead Expenses'!K243:K5238)</f>
        <v>38.12</v>
      </c>
      <c r="C324" s="327"/>
      <c r="E324" s="331" t="s">
        <v>10234</v>
      </c>
      <c r="G324" s="331" t="s">
        <v>10261</v>
      </c>
      <c r="H324" s="21" t="s">
        <v>1093</v>
      </c>
    </row>
    <row r="325">
      <c r="A325" s="28" t="s">
        <v>6021</v>
      </c>
      <c r="B325" s="326">
        <f>SUMIF('Overhead Expenses'!D243:D5238,"Treatments &amp; Fertilizers",'Overhead Expenses'!K243:K5238)</f>
        <v>0</v>
      </c>
      <c r="C325" s="327"/>
      <c r="E325" s="331" t="s">
        <v>10234</v>
      </c>
      <c r="G325" s="331" t="s">
        <v>10262</v>
      </c>
      <c r="H325" s="21" t="s">
        <v>1093</v>
      </c>
    </row>
    <row r="326">
      <c r="A326" s="28" t="s">
        <v>6300</v>
      </c>
      <c r="B326" s="326">
        <f>SUMIF('Overhead Expenses'!D243:D5238,"Uniforms &amp; Workwear",'Overhead Expenses'!K243:K5238)</f>
        <v>0</v>
      </c>
      <c r="C326" s="327"/>
      <c r="E326" s="331" t="s">
        <v>10234</v>
      </c>
      <c r="G326" s="331" t="s">
        <v>10263</v>
      </c>
      <c r="H326" s="21" t="s">
        <v>1093</v>
      </c>
    </row>
    <row r="327">
      <c r="A327" s="331" t="s">
        <v>10264</v>
      </c>
      <c r="B327" s="326"/>
      <c r="C327" s="327"/>
      <c r="D327" s="331">
        <f>COUNTIF('Plant Inventory'!J9:J906,"Available")</f>
        <v>6</v>
      </c>
      <c r="E327" s="331" t="s">
        <v>10265</v>
      </c>
      <c r="F327" s="331" t="s">
        <v>10266</v>
      </c>
      <c r="G327" s="331" t="s">
        <v>10267</v>
      </c>
      <c r="H327" s="21" t="s">
        <v>1093</v>
      </c>
    </row>
    <row r="328">
      <c r="A328" s="331" t="s">
        <v>10268</v>
      </c>
      <c r="B328" s="326"/>
      <c r="C328" s="327"/>
      <c r="D328" s="331">
        <f>COUNTIF('Plant Inventory'!J9:J906,"Sold")</f>
        <v>114</v>
      </c>
      <c r="E328" s="331" t="s">
        <v>10265</v>
      </c>
      <c r="F328" s="331" t="s">
        <v>10269</v>
      </c>
      <c r="G328" s="331" t="s">
        <v>10270</v>
      </c>
      <c r="H328" s="21" t="s">
        <v>1093</v>
      </c>
    </row>
    <row r="329">
      <c r="A329" s="331" t="s">
        <v>10271</v>
      </c>
      <c r="B329" s="326"/>
      <c r="C329" s="327"/>
      <c r="D329" s="331">
        <f>COUNTIF('Plant Inventory'!J9:J906,"Dead")</f>
        <v>45</v>
      </c>
      <c r="E329" s="331" t="s">
        <v>10265</v>
      </c>
      <c r="F329" s="331" t="s">
        <v>10272</v>
      </c>
      <c r="G329" s="331" t="s">
        <v>10273</v>
      </c>
      <c r="H329" s="21" t="s">
        <v>1093</v>
      </c>
    </row>
    <row r="330">
      <c r="A330" s="331" t="s">
        <v>10274</v>
      </c>
      <c r="B330" s="326"/>
      <c r="C330" s="327"/>
      <c r="D330" s="331">
        <f>COUNTIF('Plant Inventory'!J9:J906,"Damaged")</f>
        <v>0</v>
      </c>
      <c r="E330" s="331" t="s">
        <v>10265</v>
      </c>
      <c r="F330" s="331" t="s">
        <v>10275</v>
      </c>
      <c r="G330" s="331" t="s">
        <v>10276</v>
      </c>
      <c r="H330" s="21" t="s">
        <v>1093</v>
      </c>
    </row>
    <row r="331">
      <c r="A331" s="331" t="s">
        <v>10277</v>
      </c>
      <c r="B331" s="326"/>
      <c r="C331" s="327"/>
      <c r="D331" s="331">
        <f>COUNTIF('Plant Inventory'!J9:J906,"Giveaway")</f>
        <v>26</v>
      </c>
      <c r="E331" s="331" t="s">
        <v>10265</v>
      </c>
      <c r="F331" s="331" t="s">
        <v>10278</v>
      </c>
      <c r="G331" s="331" t="s">
        <v>10279</v>
      </c>
      <c r="H331" s="21" t="s">
        <v>1093</v>
      </c>
    </row>
    <row r="332">
      <c r="A332" s="331" t="s">
        <v>10280</v>
      </c>
      <c r="B332" s="326">
        <f>SUMIF('Plant Inventory'!J9:J906,"Available",'Plant Inventory'!D9:D906)</f>
        <v>52.95</v>
      </c>
      <c r="C332" s="327"/>
      <c r="E332" s="331" t="s">
        <v>10265</v>
      </c>
      <c r="F332" s="331" t="s">
        <v>10281</v>
      </c>
      <c r="G332" s="331" t="s">
        <v>10282</v>
      </c>
      <c r="H332" s="21" t="s">
        <v>1093</v>
      </c>
    </row>
    <row r="333">
      <c r="A333" s="331" t="s">
        <v>10283</v>
      </c>
      <c r="B333" s="326">
        <f>SUMIF('Plant Inventory'!J9:J906,"Available",'Plant Inventory'!E9:E906)</f>
        <v>17</v>
      </c>
      <c r="C333" s="327"/>
      <c r="E333" s="331" t="s">
        <v>10265</v>
      </c>
      <c r="F333" s="331" t="s">
        <v>10284</v>
      </c>
      <c r="G333" s="331" t="s">
        <v>10285</v>
      </c>
      <c r="H333" s="21" t="s">
        <v>1093</v>
      </c>
    </row>
    <row r="334">
      <c r="A334" s="331" t="s">
        <v>10286</v>
      </c>
      <c r="B334" s="326">
        <f>SUMIF('Plant Inventory'!J9:J906,"Dead",'Plant Inventory'!D9:D906)</f>
        <v>331.99</v>
      </c>
      <c r="C334" s="327"/>
      <c r="E334" s="331" t="s">
        <v>10265</v>
      </c>
      <c r="F334" s="331" t="s">
        <v>10287</v>
      </c>
      <c r="G334" s="331" t="s">
        <v>10288</v>
      </c>
      <c r="H334" s="21" t="s">
        <v>1093</v>
      </c>
    </row>
    <row r="335">
      <c r="A335" s="331" t="s">
        <v>10289</v>
      </c>
      <c r="B335" s="326">
        <f>SUMIF('Plant Inventory'!J9:J906,"Damaged",'Plant Inventory'!D9:D906)</f>
        <v>0</v>
      </c>
      <c r="C335" s="327"/>
      <c r="E335" s="331" t="s">
        <v>10265</v>
      </c>
      <c r="F335" s="331" t="s">
        <v>10290</v>
      </c>
      <c r="G335" s="331" t="s">
        <v>10291</v>
      </c>
      <c r="H335" s="21" t="s">
        <v>1093</v>
      </c>
    </row>
    <row r="336">
      <c r="A336" s="331" t="s">
        <v>10292</v>
      </c>
      <c r="B336" s="326">
        <f>SUMIF('Plant Inventory'!J9:J906,"Giveaway",'Plant Inventory'!D9:D906)</f>
        <v>96.16</v>
      </c>
      <c r="C336" s="327"/>
      <c r="E336" s="331" t="s">
        <v>10265</v>
      </c>
      <c r="F336" s="331" t="s">
        <v>10293</v>
      </c>
      <c r="G336" s="331" t="s">
        <v>10294</v>
      </c>
      <c r="H336" s="21" t="s">
        <v>1093</v>
      </c>
    </row>
    <row r="337">
      <c r="A337" s="331" t="s">
        <v>10295</v>
      </c>
      <c r="B337" s="326">
        <f>B334+B335+B336</f>
        <v>428.15</v>
      </c>
      <c r="C337" s="327"/>
      <c r="E337" s="331" t="s">
        <v>10265</v>
      </c>
      <c r="F337" s="331" t="s">
        <v>10296</v>
      </c>
      <c r="G337" s="331" t="s">
        <v>10297</v>
      </c>
      <c r="H337" s="21" t="s">
        <v>1093</v>
      </c>
    </row>
    <row r="338">
      <c r="A338" s="331" t="s">
        <v>10298</v>
      </c>
      <c r="B338" s="326"/>
      <c r="C338" s="327"/>
      <c r="D338" s="331">
        <f>SUMPRODUCT((ISNUMBER(SEARCH("-PH-",'Plant Inventory'!B9:B908)))*('Plant Inventory'!J9:J908="Available")*('Plant Inventory'!Q9:Q908=H338)*IFERROR(1/COUNTIFS('Plant Inventory'!B9:B908,'Plant Inventory'!B9:B908,'Plant Inventory'!J9:J908,"Available",'Plant Inventory'!Q9:Q908,H338),0))</f>
        <v>0</v>
      </c>
      <c r="E338" s="331" t="s">
        <v>10265</v>
      </c>
      <c r="F338" s="331" t="s">
        <v>10299</v>
      </c>
      <c r="G338" s="331" t="s">
        <v>10300</v>
      </c>
      <c r="H338" s="21" t="s">
        <v>1093</v>
      </c>
    </row>
    <row r="339">
      <c r="A339" s="331" t="s">
        <v>10301</v>
      </c>
      <c r="B339" s="326"/>
      <c r="C339" s="327"/>
      <c r="D339" s="331">
        <f>SUMPRODUCT((ISNUMBER(SEARCH("-HO-",'Plant Inventory'!B9:B908)))*('Plant Inventory'!J9:J908="Available")*('Plant Inventory'!Q9:Q908=H339)*IFERROR(1/COUNTIFS('Plant Inventory'!B9:B908,'Plant Inventory'!B9:B908,'Plant Inventory'!J9:J908,"Available",'Plant Inventory'!Q9:Q908,H339),0))</f>
        <v>0</v>
      </c>
      <c r="E339" s="331" t="s">
        <v>10265</v>
      </c>
      <c r="F339" s="331" t="s">
        <v>10299</v>
      </c>
      <c r="G339" s="331" t="s">
        <v>10302</v>
      </c>
      <c r="H339" s="21" t="s">
        <v>1093</v>
      </c>
    </row>
    <row r="340">
      <c r="A340" s="331" t="s">
        <v>10303</v>
      </c>
      <c r="B340" s="326"/>
      <c r="C340" s="327"/>
      <c r="D340" s="331">
        <f>SUMPRODUCT((ISNUMBER(SEARCH("-AL-",'Plant Inventory'!B9:B908)))*('Plant Inventory'!J9:J908="Available")*('Plant Inventory'!Q9:Q908=H340)*IFERROR(1/COUNTIFS('Plant Inventory'!B9:B908,'Plant Inventory'!B9:B908,'Plant Inventory'!J9:J908,"Available",'Plant Inventory'!Q9:Q908,H340),0))</f>
        <v>0</v>
      </c>
      <c r="E340" s="331" t="s">
        <v>10265</v>
      </c>
      <c r="F340" s="331" t="s">
        <v>10299</v>
      </c>
      <c r="G340" s="331" t="s">
        <v>10304</v>
      </c>
      <c r="H340" s="21" t="s">
        <v>1093</v>
      </c>
    </row>
    <row r="341">
      <c r="B341" s="326"/>
      <c r="C341" s="327"/>
      <c r="H341" s="21" t="s">
        <v>1093</v>
      </c>
    </row>
    <row r="342">
      <c r="A342" s="331" t="s">
        <v>10305</v>
      </c>
      <c r="B342" s="326"/>
      <c r="C342" s="327"/>
      <c r="D342" s="331">
        <f>SUMPRODUCT((ISNUMBER(SEARCH("SYN",'Plant Inventory'!B9:B908)))*('Plant Inventory'!J9:J908="Available")*('Plant Inventory'!Q9:Q908=H342)*IFERROR(1/COUNTIFS('Plant Inventory'!B9:B908,'Plant Inventory'!B9:B908,'Plant Inventory'!J9:J908,"Available",'Plant Inventory'!Q9:Q908,H342),0))</f>
        <v>0</v>
      </c>
      <c r="E342" s="331" t="s">
        <v>10265</v>
      </c>
      <c r="F342" s="331" t="s">
        <v>10299</v>
      </c>
      <c r="G342" s="331" t="s">
        <v>10306</v>
      </c>
      <c r="H342" s="21" t="s">
        <v>1093</v>
      </c>
    </row>
    <row r="343">
      <c r="A343" s="331" t="s">
        <v>10307</v>
      </c>
      <c r="B343" s="326"/>
      <c r="C343" s="327"/>
      <c r="D343" s="331">
        <f>COUNTA('Product Inventory'!B241:B1238)</f>
        <v>0</v>
      </c>
      <c r="E343" s="331" t="s">
        <v>10308</v>
      </c>
      <c r="F343" s="331" t="s">
        <v>10309</v>
      </c>
      <c r="G343" s="331" t="s">
        <v>10310</v>
      </c>
      <c r="H343" s="21" t="s">
        <v>1093</v>
      </c>
    </row>
    <row r="344">
      <c r="A344" s="331" t="s">
        <v>10311</v>
      </c>
      <c r="B344" s="326"/>
      <c r="C344" s="327"/>
      <c r="D344" s="331">
        <f>SUMIF('Product Inventory'!K241:K1238,"Available",'Product Inventory'!J241:J1238)</f>
        <v>0</v>
      </c>
      <c r="E344" s="331" t="s">
        <v>10308</v>
      </c>
      <c r="F344" s="331" t="s">
        <v>10312</v>
      </c>
      <c r="G344" s="331" t="s">
        <v>10313</v>
      </c>
      <c r="H344" s="21" t="s">
        <v>1093</v>
      </c>
    </row>
    <row r="345">
      <c r="A345" s="331" t="s">
        <v>10314</v>
      </c>
      <c r="B345" s="326"/>
      <c r="C345" s="327"/>
      <c r="D345" s="331">
        <f>SUM('Product Inventory'!H241:H1238)</f>
        <v>0</v>
      </c>
      <c r="E345" s="331" t="s">
        <v>10308</v>
      </c>
      <c r="F345" s="331" t="s">
        <v>10315</v>
      </c>
      <c r="G345" s="331" t="s">
        <v>10316</v>
      </c>
      <c r="H345" s="21" t="s">
        <v>1093</v>
      </c>
    </row>
    <row r="346">
      <c r="A346" s="331" t="s">
        <v>10317</v>
      </c>
      <c r="B346" s="326"/>
      <c r="C346" s="327"/>
      <c r="D346" s="331">
        <f>SUM('Product Inventory'!I241:I1238)</f>
        <v>0</v>
      </c>
      <c r="E346" s="331" t="s">
        <v>10308</v>
      </c>
      <c r="F346" s="331" t="s">
        <v>10318</v>
      </c>
      <c r="G346" s="331" t="s">
        <v>10319</v>
      </c>
      <c r="H346" s="21" t="s">
        <v>1093</v>
      </c>
    </row>
    <row r="347">
      <c r="A347" s="331" t="s">
        <v>10320</v>
      </c>
      <c r="B347" s="326">
        <f>SUMPRODUCT('Product Inventory'!D241:D1238*'Product Inventory'!G241:G1238)</f>
        <v>0</v>
      </c>
      <c r="C347" s="327"/>
      <c r="E347" s="331" t="s">
        <v>10308</v>
      </c>
      <c r="F347" s="331" t="s">
        <v>10321</v>
      </c>
      <c r="G347" s="331" t="s">
        <v>10322</v>
      </c>
      <c r="H347" s="21" t="s">
        <v>1093</v>
      </c>
    </row>
    <row r="348">
      <c r="A348" s="331" t="s">
        <v>10323</v>
      </c>
      <c r="B348" s="326">
        <f>SUMPRODUCT('Product Inventory'!D241:D1238*'Product Inventory'!J241:J1238)</f>
        <v>0</v>
      </c>
      <c r="C348" s="327"/>
      <c r="E348" s="331" t="s">
        <v>10308</v>
      </c>
      <c r="F348" s="331" t="s">
        <v>10324</v>
      </c>
      <c r="G348" s="331" t="s">
        <v>10325</v>
      </c>
      <c r="H348" s="21" t="s">
        <v>1093</v>
      </c>
    </row>
    <row r="349">
      <c r="A349" s="331" t="s">
        <v>10326</v>
      </c>
      <c r="B349" s="326">
        <f>SUMPRODUCT('Product Inventory'!E241:E1238*'Product Inventory'!J241:J1238)</f>
        <v>0</v>
      </c>
      <c r="C349" s="327"/>
      <c r="E349" s="331" t="s">
        <v>10308</v>
      </c>
      <c r="F349" s="331" t="s">
        <v>10327</v>
      </c>
      <c r="G349" s="331" t="s">
        <v>10328</v>
      </c>
      <c r="H349" s="21" t="s">
        <v>1093</v>
      </c>
    </row>
    <row r="350">
      <c r="A350" s="331" t="s">
        <v>10329</v>
      </c>
      <c r="B350" s="326"/>
      <c r="C350" s="327"/>
      <c r="D350" s="331">
        <f>COUNTIF('Product Inventory'!K241:K1238,"Out of Stock")</f>
        <v>0</v>
      </c>
      <c r="E350" s="331" t="s">
        <v>10308</v>
      </c>
      <c r="F350" s="331" t="s">
        <v>10330</v>
      </c>
      <c r="G350" s="331" t="s">
        <v>10331</v>
      </c>
      <c r="H350" s="21" t="s">
        <v>1093</v>
      </c>
    </row>
    <row r="351">
      <c r="A351" s="331" t="s">
        <v>10332</v>
      </c>
      <c r="B351" s="326">
        <f>B244</f>
        <v>0</v>
      </c>
      <c r="C351" s="327"/>
      <c r="E351" s="331" t="s">
        <v>6502</v>
      </c>
      <c r="F351" s="331" t="s">
        <v>10333</v>
      </c>
      <c r="G351" s="331" t="s">
        <v>10334</v>
      </c>
      <c r="H351" s="21" t="s">
        <v>1093</v>
      </c>
    </row>
    <row r="352">
      <c r="A352" s="331" t="s">
        <v>10335</v>
      </c>
      <c r="B352" s="326">
        <f>B247</f>
        <v>706.8</v>
      </c>
      <c r="C352" s="327"/>
      <c r="E352" s="331" t="s">
        <v>6502</v>
      </c>
      <c r="F352" s="331" t="s">
        <v>10336</v>
      </c>
      <c r="G352" s="331" t="s">
        <v>10337</v>
      </c>
      <c r="H352" s="21" t="s">
        <v>1093</v>
      </c>
    </row>
    <row r="353">
      <c r="A353" s="331" t="s">
        <v>10338</v>
      </c>
      <c r="B353" s="326">
        <f>B250</f>
        <v>637.65</v>
      </c>
      <c r="C353" s="327"/>
      <c r="E353" s="331" t="s">
        <v>6502</v>
      </c>
      <c r="F353" s="331" t="s">
        <v>10339</v>
      </c>
      <c r="G353" s="331" t="s">
        <v>10340</v>
      </c>
      <c r="H353" s="21" t="s">
        <v>1093</v>
      </c>
    </row>
    <row r="354">
      <c r="A354" s="331" t="s">
        <v>10341</v>
      </c>
      <c r="B354" s="326">
        <f>B352+B353</f>
        <v>1344.45</v>
      </c>
      <c r="C354" s="327"/>
      <c r="E354" s="331" t="s">
        <v>6502</v>
      </c>
      <c r="F354" s="331" t="s">
        <v>10342</v>
      </c>
      <c r="G354" s="331" t="s">
        <v>10343</v>
      </c>
      <c r="H354" s="21" t="s">
        <v>1093</v>
      </c>
    </row>
    <row r="355">
      <c r="A355" s="331" t="s">
        <v>10344</v>
      </c>
      <c r="B355" s="326">
        <f>B351-B354</f>
        <v>-1344.45</v>
      </c>
      <c r="C355" s="327"/>
      <c r="E355" s="331" t="s">
        <v>6502</v>
      </c>
      <c r="F355" s="331" t="s">
        <v>10345</v>
      </c>
      <c r="G355" s="331" t="s">
        <v>10346</v>
      </c>
      <c r="H355" s="21" t="s">
        <v>1093</v>
      </c>
    </row>
    <row r="356">
      <c r="A356" s="331" t="s">
        <v>10347</v>
      </c>
      <c r="B356" s="326">
        <f>B332</f>
        <v>52.95</v>
      </c>
      <c r="C356" s="327"/>
      <c r="E356" s="331" t="s">
        <v>6502</v>
      </c>
      <c r="F356" s="331" t="s">
        <v>10348</v>
      </c>
      <c r="G356" s="331" t="s">
        <v>10349</v>
      </c>
      <c r="H356" s="21" t="s">
        <v>1093</v>
      </c>
    </row>
    <row r="357">
      <c r="A357" s="331" t="s">
        <v>10350</v>
      </c>
      <c r="B357" s="326">
        <f>B348</f>
        <v>0</v>
      </c>
      <c r="C357" s="327"/>
      <c r="E357" s="331" t="s">
        <v>6502</v>
      </c>
      <c r="F357" s="331" t="s">
        <v>10348</v>
      </c>
      <c r="G357" s="331" t="s">
        <v>10351</v>
      </c>
      <c r="H357" s="21" t="s">
        <v>1093</v>
      </c>
    </row>
    <row r="358">
      <c r="A358" s="331" t="s">
        <v>10352</v>
      </c>
      <c r="B358" s="326">
        <f>B337</f>
        <v>428.15</v>
      </c>
      <c r="C358" s="327"/>
      <c r="E358" s="331" t="s">
        <v>6502</v>
      </c>
      <c r="F358" s="331" t="s">
        <v>10353</v>
      </c>
      <c r="G358" s="331" t="s">
        <v>10354</v>
      </c>
      <c r="H358" s="21" t="s">
        <v>1093</v>
      </c>
    </row>
    <row r="359">
      <c r="B359" s="326"/>
      <c r="C359" s="327"/>
      <c r="H359" s="21"/>
    </row>
    <row r="360">
      <c r="B360" s="326"/>
      <c r="C360" s="327"/>
      <c r="H360" s="21"/>
    </row>
    <row r="361">
      <c r="B361" s="326"/>
      <c r="C361" s="327"/>
      <c r="H361" s="21"/>
    </row>
    <row r="362">
      <c r="B362" s="326"/>
      <c r="C362" s="327"/>
      <c r="H362" s="21"/>
    </row>
    <row r="363">
      <c r="A363" s="325" t="s">
        <v>10105</v>
      </c>
      <c r="B363" s="326"/>
      <c r="C363" s="327"/>
    </row>
    <row r="364">
      <c r="A364" s="328" t="s">
        <v>10106</v>
      </c>
      <c r="B364" s="329" t="s">
        <v>10107</v>
      </c>
      <c r="C364" s="330" t="s">
        <v>10108</v>
      </c>
      <c r="D364" s="328" t="s">
        <v>10109</v>
      </c>
      <c r="E364" s="328" t="s">
        <v>10110</v>
      </c>
      <c r="F364" s="328" t="s">
        <v>1035</v>
      </c>
      <c r="G364" s="328" t="s">
        <v>8585</v>
      </c>
      <c r="H364" s="28" t="s">
        <v>14</v>
      </c>
    </row>
    <row r="365">
      <c r="A365" s="331" t="s">
        <v>10111</v>
      </c>
      <c r="B365" s="326">
        <f>SUMIF(Sales!B365:B10362,"&lt;&gt;",Sales!F365:F10362)</f>
        <v>0</v>
      </c>
      <c r="C365" s="327"/>
      <c r="E365" s="28" t="s">
        <v>10112</v>
      </c>
      <c r="F365" s="331" t="s">
        <v>10113</v>
      </c>
      <c r="G365" s="331" t="s">
        <v>10114</v>
      </c>
      <c r="H365" s="21" t="s">
        <v>10356</v>
      </c>
    </row>
    <row r="366">
      <c r="A366" s="331" t="s">
        <v>10115</v>
      </c>
      <c r="B366" s="326">
        <f>SUMPRODUCT(('Plant Inventory'!J9:J1027="Sold")*('Plant Inventory'!D9:D1027))</f>
        <v>706.8</v>
      </c>
      <c r="C366" s="327"/>
      <c r="E366" s="28" t="s">
        <v>10112</v>
      </c>
      <c r="F366" s="331" t="s">
        <v>10116</v>
      </c>
      <c r="G366" s="331" t="s">
        <v>10117</v>
      </c>
      <c r="H366" s="21" t="s">
        <v>10356</v>
      </c>
    </row>
    <row r="367">
      <c r="A367" s="331" t="s">
        <v>10118</v>
      </c>
      <c r="B367" s="326">
        <f>SUMPRODUCT((Sales!B365:B10362&lt;&gt;"")*ISNUMBER(MATCH(Sales!B365:B10362,'Product Inventory'!B362:B1359,0))*Sales!J365:J10362)</f>
        <v>0</v>
      </c>
      <c r="C367" s="327"/>
      <c r="E367" s="28" t="s">
        <v>10112</v>
      </c>
      <c r="F367" s="331" t="s">
        <v>10119</v>
      </c>
      <c r="G367" s="331" t="s">
        <v>10120</v>
      </c>
      <c r="H367" s="21" t="s">
        <v>10356</v>
      </c>
    </row>
    <row r="368">
      <c r="A368" s="331" t="s">
        <v>10121</v>
      </c>
      <c r="B368" s="326">
        <f>B366+B367</f>
        <v>706.8</v>
      </c>
      <c r="C368" s="327"/>
      <c r="E368" s="28" t="s">
        <v>10112</v>
      </c>
      <c r="F368" s="331" t="s">
        <v>10122</v>
      </c>
      <c r="G368" s="331" t="s">
        <v>10123</v>
      </c>
      <c r="H368" s="21" t="s">
        <v>10356</v>
      </c>
    </row>
    <row r="369">
      <c r="A369" s="331" t="s">
        <v>10124</v>
      </c>
      <c r="B369" s="326">
        <f>B365-B368</f>
        <v>-706.8</v>
      </c>
      <c r="C369" s="327"/>
      <c r="E369" s="28" t="s">
        <v>10112</v>
      </c>
      <c r="F369" s="331" t="s">
        <v>10125</v>
      </c>
      <c r="G369" s="331" t="s">
        <v>10126</v>
      </c>
      <c r="H369" s="21" t="s">
        <v>10356</v>
      </c>
    </row>
    <row r="370">
      <c r="A370" s="331" t="s">
        <v>10127</v>
      </c>
      <c r="B370" s="326"/>
      <c r="C370" s="327" t="str">
        <f>IFERROR(B369/B365,"")</f>
        <v/>
      </c>
      <c r="E370" s="28" t="s">
        <v>10112</v>
      </c>
      <c r="F370" s="331" t="s">
        <v>10128</v>
      </c>
      <c r="G370" s="331" t="s">
        <v>10129</v>
      </c>
      <c r="H370" s="21" t="s">
        <v>10356</v>
      </c>
    </row>
    <row r="371">
      <c r="A371" s="331" t="s">
        <v>10130</v>
      </c>
      <c r="B371" s="326">
        <f>SUMIF('Overhead Expenses'!D362:D5359,"&lt;&gt;",'Overhead Expenses'!K362:K5359)</f>
        <v>0</v>
      </c>
      <c r="C371" s="327"/>
      <c r="E371" s="28" t="s">
        <v>10112</v>
      </c>
      <c r="F371" s="331" t="s">
        <v>10131</v>
      </c>
      <c r="G371" s="331" t="s">
        <v>10132</v>
      </c>
      <c r="H371" s="21" t="s">
        <v>10356</v>
      </c>
    </row>
    <row r="372">
      <c r="A372" s="331" t="s">
        <v>10133</v>
      </c>
      <c r="B372" s="326">
        <f>B369-B371</f>
        <v>-706.8</v>
      </c>
      <c r="C372" s="327"/>
      <c r="E372" s="28" t="s">
        <v>10112</v>
      </c>
      <c r="F372" s="331" t="s">
        <v>10134</v>
      </c>
      <c r="G372" s="331" t="s">
        <v>10135</v>
      </c>
      <c r="H372" s="21" t="s">
        <v>10356</v>
      </c>
    </row>
    <row r="373">
      <c r="A373" s="331" t="s">
        <v>10136</v>
      </c>
      <c r="B373" s="326"/>
      <c r="C373" s="327" t="str">
        <f>IFERROR(B372/B365,"")</f>
        <v/>
      </c>
      <c r="E373" s="28" t="s">
        <v>10112</v>
      </c>
      <c r="F373" s="331" t="s">
        <v>10137</v>
      </c>
      <c r="G373" s="331" t="s">
        <v>10138</v>
      </c>
      <c r="H373" s="21" t="s">
        <v>10356</v>
      </c>
    </row>
    <row r="374">
      <c r="A374" s="331" t="s">
        <v>10139</v>
      </c>
      <c r="B374" s="326"/>
      <c r="C374" s="327"/>
      <c r="D374" s="331">
        <f>COUNTA(Sales!B365:B10362)</f>
        <v>0</v>
      </c>
      <c r="E374" s="331" t="s">
        <v>10140</v>
      </c>
      <c r="F374" s="331" t="s">
        <v>10141</v>
      </c>
      <c r="G374" s="331" t="s">
        <v>10142</v>
      </c>
      <c r="H374" s="21" t="s">
        <v>10356</v>
      </c>
    </row>
    <row r="375">
      <c r="A375" s="331" t="s">
        <v>10143</v>
      </c>
      <c r="B375" s="326" t="str">
        <f>IFERROR(B365/D374,"")</f>
        <v/>
      </c>
      <c r="C375" s="327"/>
      <c r="E375" s="331" t="s">
        <v>10140</v>
      </c>
      <c r="F375" s="331" t="s">
        <v>10144</v>
      </c>
      <c r="G375" s="331" t="s">
        <v>10145</v>
      </c>
      <c r="H375" s="21" t="s">
        <v>10356</v>
      </c>
    </row>
    <row r="376">
      <c r="A376" s="331" t="s">
        <v>10146</v>
      </c>
      <c r="B376" s="326" t="str">
        <f>IFERROR(B372/D374,"")</f>
        <v/>
      </c>
      <c r="C376" s="327"/>
      <c r="E376" s="331" t="s">
        <v>10140</v>
      </c>
      <c r="F376" s="331" t="s">
        <v>10147</v>
      </c>
      <c r="G376" s="331" t="s">
        <v>10148</v>
      </c>
      <c r="H376" s="21" t="s">
        <v>10356</v>
      </c>
    </row>
    <row r="377">
      <c r="A377" s="331" t="s">
        <v>10149</v>
      </c>
      <c r="B377" s="326">
        <f>SUMIF(Sales!I365:I10362,"Palm Street",Sales!F365:F10362)</f>
        <v>0</v>
      </c>
      <c r="C377" s="327"/>
      <c r="E377" s="331" t="s">
        <v>10140</v>
      </c>
      <c r="F377" s="331" t="s">
        <v>10150</v>
      </c>
      <c r="G377" s="331" t="s">
        <v>10151</v>
      </c>
      <c r="H377" s="21" t="s">
        <v>10356</v>
      </c>
    </row>
    <row r="378">
      <c r="A378" s="331" t="s">
        <v>10152</v>
      </c>
      <c r="B378" s="326">
        <f>SUMIF(Sales!I365:I10362,"In Person",Sales!F365:F10362)</f>
        <v>0</v>
      </c>
      <c r="C378" s="327"/>
      <c r="E378" s="331" t="s">
        <v>10140</v>
      </c>
      <c r="F378" s="331" t="s">
        <v>10150</v>
      </c>
      <c r="G378" s="331" t="s">
        <v>10153</v>
      </c>
      <c r="H378" s="21" t="s">
        <v>10356</v>
      </c>
    </row>
    <row r="379">
      <c r="A379" s="331" t="s">
        <v>10154</v>
      </c>
      <c r="B379" s="326">
        <f>SUMIF(Sales!I365:I10362,"Facebook Marketplace",Sales!F365:F10362)</f>
        <v>0</v>
      </c>
      <c r="C379" s="327"/>
      <c r="E379" s="331" t="s">
        <v>10140</v>
      </c>
      <c r="F379" s="331" t="s">
        <v>10150</v>
      </c>
      <c r="G379" s="331" t="s">
        <v>10155</v>
      </c>
      <c r="H379" s="21" t="s">
        <v>10356</v>
      </c>
    </row>
    <row r="380">
      <c r="A380" s="331" t="s">
        <v>10156</v>
      </c>
      <c r="B380" s="326">
        <f>SUMIF(Sales!I365:I10362,"Flea Market",Sales!F365:F10362)</f>
        <v>0</v>
      </c>
      <c r="C380" s="327"/>
      <c r="E380" s="331" t="s">
        <v>10140</v>
      </c>
      <c r="F380" s="331" t="s">
        <v>10150</v>
      </c>
      <c r="G380" s="331" t="s">
        <v>10157</v>
      </c>
      <c r="H380" s="21" t="s">
        <v>10356</v>
      </c>
    </row>
    <row r="381">
      <c r="A381" s="331" t="s">
        <v>10158</v>
      </c>
      <c r="B381" s="326">
        <f>SUMIF(Sales!I365:I10362,"Square Online",Sales!F365:F10362)</f>
        <v>0</v>
      </c>
      <c r="C381" s="327"/>
      <c r="E381" s="331" t="s">
        <v>10140</v>
      </c>
      <c r="F381" s="331" t="s">
        <v>10150</v>
      </c>
      <c r="G381" s="331" t="s">
        <v>10159</v>
      </c>
      <c r="H381" s="21" t="s">
        <v>10356</v>
      </c>
    </row>
    <row r="382">
      <c r="A382" s="331" t="s">
        <v>10160</v>
      </c>
      <c r="B382" s="326">
        <f>SUMIF(Sales!I365:I10362,"Merlin Outdoor Market",Sales!F365:F10362)</f>
        <v>0</v>
      </c>
      <c r="C382" s="327"/>
      <c r="E382" s="331" t="s">
        <v>10140</v>
      </c>
      <c r="F382" s="331" t="s">
        <v>10150</v>
      </c>
      <c r="G382" s="331" t="s">
        <v>10161</v>
      </c>
      <c r="H382" s="21" t="s">
        <v>10356</v>
      </c>
    </row>
    <row r="383">
      <c r="A383" s="331" t="s">
        <v>10162</v>
      </c>
      <c r="B383" s="326">
        <f>SUMIF(Sales!I365:I10362,"Facebook",Sales!F365:F10362)</f>
        <v>0</v>
      </c>
      <c r="C383" s="327"/>
      <c r="E383" s="331" t="s">
        <v>10140</v>
      </c>
      <c r="F383" s="331" t="s">
        <v>10150</v>
      </c>
      <c r="G383" s="331" t="s">
        <v>10163</v>
      </c>
      <c r="H383" s="21" t="s">
        <v>10356</v>
      </c>
    </row>
    <row r="384">
      <c r="A384" s="331" t="s">
        <v>10164</v>
      </c>
      <c r="B384" s="326">
        <f>SUMIFS(Sales!F365:F10362,Sales!A365:A10362,"&gt;="&amp;DATE(2025,8,1),Sales!A365:A10362,"&lt;"&amp;DATE(2025,9,1))</f>
        <v>0</v>
      </c>
      <c r="C384" s="327"/>
      <c r="E384" s="331" t="s">
        <v>10165</v>
      </c>
      <c r="G384" s="331" t="s">
        <v>10166</v>
      </c>
      <c r="H384" s="21" t="s">
        <v>10356</v>
      </c>
    </row>
    <row r="385">
      <c r="A385" s="331" t="s">
        <v>10167</v>
      </c>
      <c r="B385" s="326">
        <f>SUMIFS(Sales!K365:K10362,Sales!A365:A10362,"&gt;="&amp;DATE(2025,8,1),Sales!A365:A10362,"&lt;"&amp;DATE(2025,9,1))</f>
        <v>0</v>
      </c>
      <c r="C385" s="327"/>
      <c r="E385" s="331" t="s">
        <v>10165</v>
      </c>
      <c r="G385" s="331" t="s">
        <v>10168</v>
      </c>
      <c r="H385" s="21" t="s">
        <v>10356</v>
      </c>
    </row>
    <row r="386">
      <c r="A386" s="331" t="s">
        <v>10169</v>
      </c>
      <c r="B386" s="326">
        <f>SUMIFS(Sales!F365:F10362,Sales!A365:A10362,"&gt;="&amp;DATE(2025,9,1),Sales!A365:A10362,"&lt;"&amp;DATE(2025,10,1))</f>
        <v>0</v>
      </c>
      <c r="C386" s="327"/>
      <c r="E386" s="331" t="s">
        <v>10165</v>
      </c>
      <c r="G386" s="331" t="s">
        <v>10170</v>
      </c>
      <c r="H386" s="21" t="s">
        <v>10356</v>
      </c>
    </row>
    <row r="387">
      <c r="A387" s="331" t="s">
        <v>10171</v>
      </c>
      <c r="B387" s="326">
        <f>SUMIFS(Sales!K365:K10362,Sales!A365:A10362,"&gt;="&amp;DATE(2025,9,1),Sales!A365:A10362,"&lt;"&amp;DATE(2025,10,1))</f>
        <v>0</v>
      </c>
      <c r="C387" s="327"/>
      <c r="E387" s="331" t="s">
        <v>10165</v>
      </c>
      <c r="G387" s="331" t="s">
        <v>10172</v>
      </c>
      <c r="H387" s="21" t="s">
        <v>10356</v>
      </c>
    </row>
    <row r="388">
      <c r="A388" s="331" t="s">
        <v>10173</v>
      </c>
      <c r="B388" s="326">
        <f>SUMIFS(Sales!F365:F10362,Sales!A365:A10362,"&gt;="&amp;DATE(2025,10,1),Sales!A365:A10362,"&lt;"&amp;DATE(2025,11,1))</f>
        <v>0</v>
      </c>
      <c r="C388" s="327"/>
      <c r="E388" s="331" t="s">
        <v>10165</v>
      </c>
      <c r="G388" s="331" t="s">
        <v>10174</v>
      </c>
      <c r="H388" s="21" t="s">
        <v>10356</v>
      </c>
    </row>
    <row r="389">
      <c r="A389" s="331" t="s">
        <v>10175</v>
      </c>
      <c r="B389" s="326">
        <f>SUMIFS(Sales!K365:K10362,Sales!A365:A10362,"&gt;="&amp;DATE(2025,10,1),Sales!A365:A10362,"&lt;"&amp;DATE(2025,11,1))</f>
        <v>0</v>
      </c>
      <c r="C389" s="327"/>
      <c r="E389" s="331" t="s">
        <v>10165</v>
      </c>
      <c r="G389" s="331" t="s">
        <v>10176</v>
      </c>
      <c r="H389" s="21" t="s">
        <v>10356</v>
      </c>
    </row>
    <row r="390">
      <c r="A390" s="331" t="s">
        <v>10177</v>
      </c>
      <c r="B390" s="326">
        <f>SUMIFS(Sales!F365:F10362,Sales!A365:A10362,"&gt;="&amp;DATE(2025,11,1),Sales!A365:A10362,"&lt;"&amp;DATE(2025,12,1))</f>
        <v>0</v>
      </c>
      <c r="C390" s="327"/>
      <c r="E390" s="331" t="s">
        <v>10165</v>
      </c>
      <c r="G390" s="331" t="s">
        <v>10178</v>
      </c>
      <c r="H390" s="21" t="s">
        <v>10356</v>
      </c>
    </row>
    <row r="391">
      <c r="A391" s="331" t="s">
        <v>10179</v>
      </c>
      <c r="B391" s="326">
        <f>SUMIFS(Sales!K365:K10362,Sales!A365:A10362,"&gt;="&amp;DATE(2025,11,1),Sales!A365:A10362,"&lt;"&amp;DATE(2025,12,1))</f>
        <v>0</v>
      </c>
      <c r="C391" s="327"/>
      <c r="E391" s="331" t="s">
        <v>10165</v>
      </c>
      <c r="G391" s="331" t="s">
        <v>10180</v>
      </c>
      <c r="H391" s="21" t="s">
        <v>10356</v>
      </c>
    </row>
    <row r="392">
      <c r="A392" s="331" t="s">
        <v>10181</v>
      </c>
      <c r="B392" s="326">
        <f>SUMIFS(Sales!F365:F10362,Sales!A365:A10362,"&gt;="&amp;DATE(2025,12,1),Sales!A365:A10362,"&lt;"&amp;DATE(2026,1,1))</f>
        <v>0</v>
      </c>
      <c r="C392" s="327"/>
      <c r="E392" s="331" t="s">
        <v>10165</v>
      </c>
      <c r="G392" s="331" t="s">
        <v>10182</v>
      </c>
      <c r="H392" s="21" t="s">
        <v>10356</v>
      </c>
    </row>
    <row r="393">
      <c r="A393" s="331" t="s">
        <v>10183</v>
      </c>
      <c r="B393" s="326">
        <f>SUMIFS(Sales!K365:K10362,Sales!A365:A10362,"&gt;="&amp;DATE(2025,12,1),Sales!A365:A10362,"&lt;"&amp;DATE(2026,1,1))</f>
        <v>0</v>
      </c>
      <c r="C393" s="327"/>
      <c r="E393" s="331" t="s">
        <v>10165</v>
      </c>
      <c r="G393" s="331" t="s">
        <v>10184</v>
      </c>
      <c r="H393" s="21" t="s">
        <v>10356</v>
      </c>
    </row>
    <row r="394">
      <c r="A394" s="331" t="s">
        <v>10185</v>
      </c>
      <c r="B394" s="326">
        <f>SUMIFS(Sales!F365:F10362,Sales!A365:A10362,"&gt;="&amp;DATE(2026,1,1),Sales!A365:A10362,"&lt;"&amp;DATE(2026,2,1))</f>
        <v>0</v>
      </c>
      <c r="C394" s="327"/>
      <c r="E394" s="331" t="s">
        <v>10165</v>
      </c>
      <c r="G394" s="331" t="s">
        <v>10186</v>
      </c>
      <c r="H394" s="21" t="s">
        <v>10356</v>
      </c>
    </row>
    <row r="395">
      <c r="A395" s="331" t="s">
        <v>10187</v>
      </c>
      <c r="B395" s="326">
        <f>SUMIFS(Sales!K365:K10362,Sales!A365:A10362,"&gt;="&amp;DATE(2026,1,1),Sales!A365:A10362,"&lt;"&amp;DATE(2026,2,1))</f>
        <v>0</v>
      </c>
      <c r="C395" s="327"/>
      <c r="E395" s="331" t="s">
        <v>10165</v>
      </c>
      <c r="G395" s="331" t="s">
        <v>10188</v>
      </c>
      <c r="H395" s="21" t="s">
        <v>10356</v>
      </c>
    </row>
    <row r="396">
      <c r="A396" s="331" t="s">
        <v>10189</v>
      </c>
      <c r="B396" s="326">
        <f>SUMIFS(Sales!F365:F10362,Sales!A365:A10362,"&gt;="&amp;DATE(2026,2,1),Sales!A365:A10362,"&lt;"&amp;DATE(2026,3,1))</f>
        <v>0</v>
      </c>
      <c r="C396" s="327"/>
      <c r="E396" s="331" t="s">
        <v>10165</v>
      </c>
      <c r="G396" s="331" t="s">
        <v>10190</v>
      </c>
      <c r="H396" s="21" t="s">
        <v>10356</v>
      </c>
    </row>
    <row r="397">
      <c r="A397" s="331" t="s">
        <v>10191</v>
      </c>
      <c r="B397" s="326">
        <f>SUMIFS(Sales!K365:K10362,Sales!A365:A10362,"&gt;="&amp;DATE(2026,2,1),Sales!A365:A10362,"&lt;"&amp;DATE(2026,3,1))</f>
        <v>0</v>
      </c>
      <c r="C397" s="327"/>
      <c r="E397" s="331" t="s">
        <v>10165</v>
      </c>
      <c r="G397" s="331" t="s">
        <v>10192</v>
      </c>
      <c r="H397" s="21" t="s">
        <v>10356</v>
      </c>
    </row>
    <row r="398">
      <c r="A398" s="331" t="s">
        <v>10193</v>
      </c>
      <c r="B398" s="326">
        <f>SUMIFS(Sales!F365:F10362,Sales!A365:A10362,"&gt;="&amp;DATE(2026,3,1),Sales!A365:A10362,"&lt;"&amp;DATE(2026,4,1))</f>
        <v>0</v>
      </c>
      <c r="C398" s="327"/>
      <c r="E398" s="331" t="s">
        <v>10165</v>
      </c>
      <c r="G398" s="331" t="s">
        <v>10194</v>
      </c>
      <c r="H398" s="21" t="s">
        <v>10356</v>
      </c>
    </row>
    <row r="399">
      <c r="A399" s="331" t="s">
        <v>10195</v>
      </c>
      <c r="B399" s="326">
        <f>SUMIFS(Sales!K365:K10362,Sales!A365:A10362,"&gt;="&amp;DATE(2026,3,1),Sales!A365:A10362,"&lt;"&amp;DATE(2026,4,1))</f>
        <v>0</v>
      </c>
      <c r="C399" s="327"/>
      <c r="E399" s="331" t="s">
        <v>10165</v>
      </c>
      <c r="G399" s="331" t="s">
        <v>10196</v>
      </c>
      <c r="H399" s="21" t="s">
        <v>10356</v>
      </c>
    </row>
    <row r="400">
      <c r="A400" s="331" t="s">
        <v>10197</v>
      </c>
      <c r="B400" s="326">
        <f>SUMIFS(Sales!F365:F10362,Sales!A365:A10362,"&gt;="&amp;DATE(2026,4,1),Sales!A365:A10362,"&lt;"&amp;DATE(2026,5,1))</f>
        <v>0</v>
      </c>
      <c r="C400" s="327"/>
      <c r="E400" s="331" t="s">
        <v>10165</v>
      </c>
      <c r="G400" s="331" t="s">
        <v>10198</v>
      </c>
      <c r="H400" s="21" t="s">
        <v>10356</v>
      </c>
    </row>
    <row r="401">
      <c r="A401" s="331" t="s">
        <v>10199</v>
      </c>
      <c r="B401" s="326">
        <f>SUMIFS(Sales!K365:K10362,Sales!A365:A10362,"&gt;="&amp;DATE(2026,4,1),Sales!A365:A10362,"&lt;"&amp;DATE(2026,5,1))</f>
        <v>0</v>
      </c>
      <c r="C401" s="327"/>
      <c r="E401" s="331" t="s">
        <v>10165</v>
      </c>
      <c r="G401" s="331" t="s">
        <v>10200</v>
      </c>
      <c r="H401" s="21" t="s">
        <v>10356</v>
      </c>
    </row>
    <row r="402">
      <c r="A402" s="331" t="s">
        <v>10201</v>
      </c>
      <c r="B402" s="326">
        <f>SUMIFS(Sales!F365:F10362,Sales!A365:A10362,"&gt;="&amp;DATE(2026,5,1),Sales!A365:A10362,"&lt;"&amp;DATE(2026,6,1))</f>
        <v>0</v>
      </c>
      <c r="C402" s="327"/>
      <c r="E402" s="331" t="s">
        <v>10165</v>
      </c>
      <c r="G402" s="331" t="s">
        <v>10202</v>
      </c>
      <c r="H402" s="21" t="s">
        <v>10356</v>
      </c>
    </row>
    <row r="403">
      <c r="A403" s="331" t="s">
        <v>10203</v>
      </c>
      <c r="B403" s="326">
        <f>SUMIFS(Sales!K365:K10362,Sales!A365:A10362,"&gt;="&amp;DATE(2026,5,1),Sales!A365:A10362,"&lt;"&amp;DATE(2026,6,1))</f>
        <v>0</v>
      </c>
      <c r="C403" s="327"/>
      <c r="E403" s="331" t="s">
        <v>10165</v>
      </c>
      <c r="G403" s="331" t="s">
        <v>10204</v>
      </c>
      <c r="H403" s="21" t="s">
        <v>10356</v>
      </c>
    </row>
    <row r="404">
      <c r="A404" s="331" t="s">
        <v>10205</v>
      </c>
      <c r="B404" s="326">
        <f>SUMIFS(Sales!F365:F10362,Sales!A365:A10362,"&gt;="&amp;DATE(2026,6,1),Sales!A365:A10362,"&lt;"&amp;DATE(2026,7,1))</f>
        <v>0</v>
      </c>
      <c r="C404" s="327"/>
      <c r="E404" s="331" t="s">
        <v>10165</v>
      </c>
      <c r="G404" s="331" t="s">
        <v>10206</v>
      </c>
      <c r="H404" s="21" t="s">
        <v>10356</v>
      </c>
    </row>
    <row r="405">
      <c r="A405" s="331" t="s">
        <v>10207</v>
      </c>
      <c r="B405" s="326">
        <f>SUMIFS(Sales!K365:K10362,Sales!A365:A10362,"&gt;="&amp;DATE(2026,6,1),Sales!A365:A10362,"&lt;"&amp;DATE(2026,7,1))</f>
        <v>0</v>
      </c>
      <c r="C405" s="327"/>
      <c r="E405" s="331" t="s">
        <v>10165</v>
      </c>
      <c r="G405" s="331" t="s">
        <v>10208</v>
      </c>
      <c r="H405" s="21" t="s">
        <v>10356</v>
      </c>
    </row>
    <row r="406">
      <c r="A406" s="331" t="s">
        <v>10209</v>
      </c>
      <c r="B406" s="326">
        <f>SUMIFS(Sales!F365:F10362,Sales!A365:A10362,"&gt;="&amp;DATE(2026,7,1),Sales!A365:A10362,"&lt;"&amp;DATE(2026,8,1))</f>
        <v>0</v>
      </c>
      <c r="C406" s="327"/>
      <c r="E406" s="331" t="s">
        <v>10165</v>
      </c>
      <c r="G406" s="331" t="s">
        <v>10210</v>
      </c>
      <c r="H406" s="21" t="s">
        <v>10356</v>
      </c>
    </row>
    <row r="407">
      <c r="A407" s="331" t="s">
        <v>10211</v>
      </c>
      <c r="B407" s="326">
        <f>SUMIFS(Sales!K365:K10362,Sales!A365:A10362,"&gt;="&amp;DATE(2026,7,1),Sales!A365:A10362,"&lt;"&amp;DATE(2026,8,1))</f>
        <v>0</v>
      </c>
      <c r="C407" s="327"/>
      <c r="E407" s="331" t="s">
        <v>10165</v>
      </c>
      <c r="G407" s="331" t="s">
        <v>10212</v>
      </c>
      <c r="H407" s="21" t="s">
        <v>10356</v>
      </c>
    </row>
    <row r="408">
      <c r="A408" s="331" t="s">
        <v>10213</v>
      </c>
      <c r="B408" s="326">
        <f>SUMIFS(Sales!F365:F10362,Sales!A365:A10362,"&gt;="&amp;DATE(2026,8,1),Sales!A365:A10362,"&lt;"&amp;DATE(2026,9,1))</f>
        <v>0</v>
      </c>
      <c r="C408" s="327"/>
      <c r="E408" s="331" t="s">
        <v>10165</v>
      </c>
      <c r="G408" s="331" t="s">
        <v>10214</v>
      </c>
      <c r="H408" s="21" t="s">
        <v>10356</v>
      </c>
    </row>
    <row r="409">
      <c r="A409" s="331" t="s">
        <v>10215</v>
      </c>
      <c r="B409" s="326">
        <f>SUMIFS(Sales!K365:K10362,Sales!A365:A10362,"&gt;="&amp;DATE(2026,8,1),Sales!A365:A10362,"&lt;"&amp;DATE(2026,9,1))</f>
        <v>0</v>
      </c>
      <c r="C409" s="327"/>
      <c r="E409" s="331" t="s">
        <v>10165</v>
      </c>
      <c r="G409" s="331" t="s">
        <v>10216</v>
      </c>
      <c r="H409" s="21" t="s">
        <v>10356</v>
      </c>
    </row>
    <row r="410">
      <c r="A410" s="331" t="s">
        <v>10217</v>
      </c>
      <c r="B410" s="326">
        <f>SUMIFS(Sales!F365:F10362,Sales!A365:A10362,"&gt;="&amp;DATE(2026,9,1),Sales!A365:A10362,"&lt;"&amp;DATE(2026,10,1))</f>
        <v>0</v>
      </c>
      <c r="C410" s="327"/>
      <c r="E410" s="331" t="s">
        <v>10165</v>
      </c>
      <c r="G410" s="331" t="s">
        <v>10218</v>
      </c>
      <c r="H410" s="21" t="s">
        <v>10356</v>
      </c>
    </row>
    <row r="411">
      <c r="A411" s="331" t="s">
        <v>10219</v>
      </c>
      <c r="B411" s="326">
        <f>SUMIFS(Sales!K365:K10362,Sales!A365:A10362,"&gt;="&amp;DATE(2026,9,1),Sales!A365:A10362,"&lt;"&amp;DATE(2026,10,1))</f>
        <v>0</v>
      </c>
      <c r="C411" s="327"/>
      <c r="E411" s="331" t="s">
        <v>10165</v>
      </c>
      <c r="G411" s="331" t="s">
        <v>10220</v>
      </c>
      <c r="H411" s="21" t="s">
        <v>10356</v>
      </c>
    </row>
    <row r="412">
      <c r="A412" s="331" t="s">
        <v>10221</v>
      </c>
      <c r="B412" s="326">
        <f>SUMIFS(Sales!F365:F10362,Sales!A365:A10362,"&gt;="&amp;DATE(2026,10,1),Sales!A365:A10362,"&lt;"&amp;DATE(2026,11,1))</f>
        <v>0</v>
      </c>
      <c r="C412" s="327"/>
      <c r="E412" s="331" t="s">
        <v>10165</v>
      </c>
      <c r="G412" s="331" t="s">
        <v>10222</v>
      </c>
      <c r="H412" s="21" t="s">
        <v>10356</v>
      </c>
    </row>
    <row r="413">
      <c r="A413" s="331" t="s">
        <v>10223</v>
      </c>
      <c r="B413" s="326">
        <f>SUMIFS(Sales!K365:K10362,Sales!A365:A10362,"&gt;="&amp;DATE(2026,10,1),Sales!A365:A10362,"&lt;"&amp;DATE(2026,11,1))</f>
        <v>0</v>
      </c>
      <c r="C413" s="327"/>
      <c r="E413" s="331" t="s">
        <v>10165</v>
      </c>
      <c r="G413" s="331" t="s">
        <v>10224</v>
      </c>
      <c r="H413" s="21" t="s">
        <v>10356</v>
      </c>
    </row>
    <row r="414">
      <c r="A414" s="331" t="s">
        <v>10225</v>
      </c>
      <c r="B414" s="326">
        <f>SUMIFS(Sales!F365:F10362,Sales!A365:A10362,"&gt;="&amp;DATE(2026,11,1),Sales!A365:A10362,"&lt;"&amp;DATE(2026,12,1))</f>
        <v>0</v>
      </c>
      <c r="C414" s="327"/>
      <c r="E414" s="331" t="s">
        <v>10165</v>
      </c>
      <c r="G414" s="331" t="s">
        <v>10226</v>
      </c>
      <c r="H414" s="21" t="s">
        <v>10356</v>
      </c>
    </row>
    <row r="415">
      <c r="A415" s="331" t="s">
        <v>10227</v>
      </c>
      <c r="B415" s="326">
        <f>SUMIFS(Sales!K365:K10362,Sales!A365:A10362,"&gt;="&amp;DATE(2026,11,1),Sales!A365:A10362,"&lt;"&amp;DATE(2026,12,1))</f>
        <v>0</v>
      </c>
      <c r="C415" s="327"/>
      <c r="E415" s="331" t="s">
        <v>10165</v>
      </c>
      <c r="G415" s="331" t="s">
        <v>10228</v>
      </c>
      <c r="H415" s="21" t="s">
        <v>10356</v>
      </c>
    </row>
    <row r="416">
      <c r="A416" s="331" t="s">
        <v>10229</v>
      </c>
      <c r="B416" s="326">
        <f>SUMIFS(Sales!F365:F10362,Sales!A365:A10362,"&gt;="&amp;DATE(2026,12,1),Sales!A365:A10362,"&lt;"&amp;DATE(2027,1,1))</f>
        <v>0</v>
      </c>
      <c r="C416" s="327"/>
      <c r="E416" s="331" t="s">
        <v>10165</v>
      </c>
      <c r="G416" s="331" t="s">
        <v>10230</v>
      </c>
      <c r="H416" s="21" t="s">
        <v>10356</v>
      </c>
    </row>
    <row r="417">
      <c r="A417" s="331" t="s">
        <v>10231</v>
      </c>
      <c r="B417" s="326">
        <f>SUMIFS(Sales!K365:K10362,Sales!A365:A10362,"&gt;="&amp;DATE(2026,12,1),Sales!A365:A10362,"&lt;"&amp;DATE(2027,1,1))</f>
        <v>0</v>
      </c>
      <c r="C417" s="327"/>
      <c r="E417" s="331" t="s">
        <v>10165</v>
      </c>
      <c r="G417" s="331" t="s">
        <v>10232</v>
      </c>
      <c r="H417" s="21" t="s">
        <v>10356</v>
      </c>
    </row>
    <row r="418">
      <c r="A418" s="331" t="s">
        <v>10233</v>
      </c>
      <c r="B418" s="326">
        <f>SUMIF('Overhead Expenses'!D362:D5359,"Bags &amp; Packaging",'Overhead Expenses'!K362:K5359)</f>
        <v>0</v>
      </c>
      <c r="C418" s="327"/>
      <c r="E418" s="331" t="s">
        <v>10234</v>
      </c>
      <c r="G418" s="331" t="s">
        <v>10235</v>
      </c>
      <c r="H418" s="21" t="s">
        <v>10356</v>
      </c>
    </row>
    <row r="419">
      <c r="B419" s="326"/>
      <c r="C419" s="327"/>
      <c r="H419" s="21" t="s">
        <v>10356</v>
      </c>
    </row>
    <row r="420">
      <c r="A420" s="28" t="s">
        <v>6062</v>
      </c>
      <c r="B420" s="326">
        <f>SUMIF('Overhead Expenses'!D362:D5359,"Cleaning &amp; Sanitation",'Overhead Expenses'!K362:K5359)</f>
        <v>0</v>
      </c>
      <c r="C420" s="327"/>
      <c r="E420" s="331" t="s">
        <v>10234</v>
      </c>
      <c r="G420" s="331" t="s">
        <v>10236</v>
      </c>
      <c r="H420" s="21" t="s">
        <v>10356</v>
      </c>
    </row>
    <row r="421">
      <c r="A421" s="28" t="s">
        <v>5989</v>
      </c>
      <c r="B421" s="326">
        <f>SUMIF('Overhead Expenses'!D362:D5359,"Climate &amp; Environment",'Overhead Expenses'!K362:K5359)</f>
        <v>0</v>
      </c>
      <c r="C421" s="327"/>
      <c r="E421" s="331" t="s">
        <v>10234</v>
      </c>
      <c r="G421" s="331" t="s">
        <v>10237</v>
      </c>
      <c r="H421" s="21" t="s">
        <v>10356</v>
      </c>
    </row>
    <row r="422">
      <c r="A422" s="28" t="s">
        <v>6069</v>
      </c>
      <c r="B422" s="326">
        <f>SUMIF('Overhead Expenses'!D362:D5359,"Inbound Shipping",'Overhead Expenses'!K362:K5359)</f>
        <v>0</v>
      </c>
      <c r="C422" s="327"/>
      <c r="E422" s="331" t="s">
        <v>10234</v>
      </c>
      <c r="G422" s="331" t="s">
        <v>10238</v>
      </c>
      <c r="H422" s="21" t="s">
        <v>10356</v>
      </c>
    </row>
    <row r="423">
      <c r="A423" s="28" t="s">
        <v>6003</v>
      </c>
      <c r="B423" s="326">
        <f>SUMIF('Overhead Expenses'!D362:D5359,"Labels &amp; Stickers",'Overhead Expenses'!K362:K5359)</f>
        <v>0</v>
      </c>
      <c r="C423" s="327"/>
      <c r="E423" s="331" t="s">
        <v>10234</v>
      </c>
      <c r="G423" s="331" t="s">
        <v>10239</v>
      </c>
      <c r="H423" s="21" t="s">
        <v>10356</v>
      </c>
    </row>
    <row r="424">
      <c r="A424" s="28" t="s">
        <v>6092</v>
      </c>
      <c r="B424" s="326">
        <f>SUMIF('Overhead Expenses'!D362:D5359,"Labor",'Overhead Expenses'!K362:K5359)</f>
        <v>0</v>
      </c>
      <c r="C424" s="327"/>
      <c r="E424" s="331" t="s">
        <v>10234</v>
      </c>
      <c r="G424" s="331" t="s">
        <v>10240</v>
      </c>
      <c r="H424" s="21" t="s">
        <v>10356</v>
      </c>
    </row>
    <row r="425">
      <c r="A425" s="28" t="s">
        <v>1103</v>
      </c>
      <c r="B425" s="326">
        <f>SUMIF('Overhead Expenses'!D362:D5359,"Licenses &amp; Fees",'Overhead Expenses'!K362:K5359)</f>
        <v>0</v>
      </c>
      <c r="C425" s="327"/>
      <c r="E425" s="331" t="s">
        <v>10234</v>
      </c>
      <c r="G425" s="331" t="s">
        <v>10241</v>
      </c>
      <c r="H425" s="21" t="s">
        <v>10356</v>
      </c>
    </row>
    <row r="426">
      <c r="A426" s="28" t="s">
        <v>6032</v>
      </c>
      <c r="B426" s="326">
        <f>SUMIF('Overhead Expenses'!D362:D5359,"Lighting",'Overhead Expenses'!K362:K5359)</f>
        <v>0</v>
      </c>
      <c r="C426" s="327"/>
      <c r="E426" s="331" t="s">
        <v>10234</v>
      </c>
      <c r="G426" s="331" t="s">
        <v>10242</v>
      </c>
      <c r="H426" s="21" t="s">
        <v>10356</v>
      </c>
    </row>
    <row r="427">
      <c r="A427" s="28" t="s">
        <v>6130</v>
      </c>
      <c r="B427" s="326">
        <f>SUMIF('Overhead Expenses'!D362:D5359,"Market Fees &amp; Supplies",'Overhead Expenses'!K362:K5359)</f>
        <v>0</v>
      </c>
      <c r="C427" s="327"/>
      <c r="E427" s="331" t="s">
        <v>10234</v>
      </c>
      <c r="G427" s="331" t="s">
        <v>10243</v>
      </c>
      <c r="H427" s="21" t="s">
        <v>10356</v>
      </c>
    </row>
    <row r="428">
      <c r="A428" s="28" t="s">
        <v>6247</v>
      </c>
      <c r="B428" s="326">
        <f>SUMIF('Overhead Expenses'!D362:D5359,"Office &amp; Admin Supplies",'Overhead Expenses'!K362:K5359)</f>
        <v>0</v>
      </c>
      <c r="C428" s="327"/>
      <c r="E428" s="331" t="s">
        <v>10234</v>
      </c>
      <c r="G428" s="331" t="s">
        <v>10244</v>
      </c>
      <c r="H428" s="21" t="s">
        <v>10356</v>
      </c>
    </row>
    <row r="429">
      <c r="A429" s="28" t="s">
        <v>6336</v>
      </c>
      <c r="B429" s="326">
        <f>SUMIF('Overhead Expenses'!D362:D5359,"Outbound Shipping",'Overhead Expenses'!K362:K5359)</f>
        <v>0</v>
      </c>
      <c r="C429" s="327"/>
      <c r="E429" s="331" t="s">
        <v>10234</v>
      </c>
      <c r="G429" s="331" t="s">
        <v>10245</v>
      </c>
      <c r="H429" s="21" t="s">
        <v>10356</v>
      </c>
    </row>
    <row r="430">
      <c r="A430" s="28" t="s">
        <v>6224</v>
      </c>
      <c r="B430" s="326">
        <f>SUMIF('Overhead Expenses'!D362:D5359,"Packing &amp; Shipping",'Overhead Expenses'!K362:K5359)</f>
        <v>0</v>
      </c>
      <c r="C430" s="327"/>
      <c r="E430" s="331" t="s">
        <v>10234</v>
      </c>
      <c r="G430" s="331" t="s">
        <v>10246</v>
      </c>
      <c r="H430" s="21" t="s">
        <v>10356</v>
      </c>
    </row>
    <row r="431">
      <c r="A431" s="28" t="s">
        <v>6260</v>
      </c>
      <c r="B431" s="326">
        <f>SUMIF('Overhead Expenses'!D362:D5359,"Plant Tags &amp; Labels",'Overhead Expenses'!K362:K5359)</f>
        <v>0</v>
      </c>
      <c r="C431" s="327"/>
      <c r="E431" s="331" t="s">
        <v>10234</v>
      </c>
      <c r="G431" s="331" t="s">
        <v>10247</v>
      </c>
      <c r="H431" s="21" t="s">
        <v>10356</v>
      </c>
    </row>
    <row r="432">
      <c r="A432" s="28" t="s">
        <v>5997</v>
      </c>
      <c r="B432" s="326">
        <f>SUMIF('Overhead Expenses'!D362:D5359,"Propagation Supplies",'Overhead Expenses'!K362:K5359)</f>
        <v>0</v>
      </c>
      <c r="C432" s="327"/>
      <c r="E432" s="331" t="s">
        <v>10234</v>
      </c>
      <c r="G432" s="331" t="s">
        <v>10248</v>
      </c>
      <c r="H432" s="21" t="s">
        <v>10356</v>
      </c>
    </row>
    <row r="433">
      <c r="A433" s="28" t="s">
        <v>6387</v>
      </c>
      <c r="B433" s="326">
        <f>SUMIF('Overhead Expenses'!D362:D5359,"Repairs &amp; Maintenance",'Overhead Expenses'!K362:K5359)</f>
        <v>0</v>
      </c>
      <c r="C433" s="327"/>
      <c r="E433" s="331" t="s">
        <v>10234</v>
      </c>
      <c r="G433" s="331" t="s">
        <v>10249</v>
      </c>
      <c r="H433" s="21" t="s">
        <v>10356</v>
      </c>
    </row>
    <row r="434">
      <c r="A434" s="28" t="s">
        <v>6315</v>
      </c>
      <c r="B434" s="326">
        <f>SUMIF('Overhead Expenses'!D362:D5359,"Security",'Overhead Expenses'!K362:K5359)</f>
        <v>0</v>
      </c>
      <c r="C434" s="327"/>
      <c r="E434" s="331" t="s">
        <v>10234</v>
      </c>
      <c r="G434" s="331" t="s">
        <v>10250</v>
      </c>
      <c r="H434" s="21" t="s">
        <v>10356</v>
      </c>
    </row>
    <row r="435">
      <c r="A435" s="28" t="s">
        <v>6497</v>
      </c>
      <c r="B435" s="326">
        <f>SUMIF('Overhead Expenses'!D362:D5359,"Selling Fee",'Overhead Expenses'!K362:K5359)</f>
        <v>0</v>
      </c>
      <c r="C435" s="327"/>
      <c r="E435" s="331" t="s">
        <v>10234</v>
      </c>
      <c r="G435" s="331" t="s">
        <v>10251</v>
      </c>
      <c r="H435" s="21" t="s">
        <v>10356</v>
      </c>
    </row>
    <row r="436">
      <c r="A436" s="28" t="s">
        <v>6464</v>
      </c>
      <c r="B436" s="326">
        <f>SUMIF('Overhead Expenses'!D362:D5359,"Shade &amp; Protection",'Overhead Expenses'!K362:K5359)</f>
        <v>0</v>
      </c>
      <c r="C436" s="327"/>
      <c r="E436" s="331" t="s">
        <v>10234</v>
      </c>
      <c r="G436" s="331" t="s">
        <v>10252</v>
      </c>
      <c r="H436" s="21" t="s">
        <v>10356</v>
      </c>
    </row>
    <row r="437">
      <c r="A437" s="28" t="s">
        <v>5985</v>
      </c>
      <c r="B437" s="326">
        <f>SUMIF('Overhead Expenses'!D362:D5359,"Shelving/Fixtures",'Overhead Expenses'!K362:K5359)</f>
        <v>0</v>
      </c>
      <c r="C437" s="327"/>
      <c r="E437" s="331" t="s">
        <v>10234</v>
      </c>
      <c r="G437" s="331" t="s">
        <v>10253</v>
      </c>
      <c r="H437" s="21" t="s">
        <v>10356</v>
      </c>
    </row>
    <row r="438">
      <c r="A438" s="28" t="s">
        <v>6482</v>
      </c>
      <c r="B438" s="326">
        <f>SUMIF('Overhead Expenses'!D362:D5359,"Shipping Boxes",'Overhead Expenses'!K362:K5359)</f>
        <v>0</v>
      </c>
      <c r="C438" s="327"/>
      <c r="E438" s="331" t="s">
        <v>10234</v>
      </c>
      <c r="G438" s="331" t="s">
        <v>10254</v>
      </c>
      <c r="H438" s="21" t="s">
        <v>10356</v>
      </c>
    </row>
    <row r="439">
      <c r="A439" s="28" t="s">
        <v>6325</v>
      </c>
      <c r="B439" s="326">
        <f>SUMIF('Overhead Expenses'!D362:D5359,"Sign",'Overhead Expenses'!K362:K5359)</f>
        <v>0</v>
      </c>
      <c r="C439" s="327"/>
      <c r="E439" s="331" t="s">
        <v>10234</v>
      </c>
      <c r="G439" s="331" t="s">
        <v>10255</v>
      </c>
      <c r="H439" s="21" t="s">
        <v>10356</v>
      </c>
    </row>
    <row r="440">
      <c r="A440" s="28" t="s">
        <v>5993</v>
      </c>
      <c r="B440" s="326">
        <f>SUMIF('Overhead Expenses'!D362:D5359,"Soil &amp; Amendments",'Overhead Expenses'!K362:K5359)</f>
        <v>0</v>
      </c>
      <c r="C440" s="327"/>
      <c r="E440" s="331" t="s">
        <v>10234</v>
      </c>
      <c r="G440" s="331" t="s">
        <v>10256</v>
      </c>
      <c r="H440" s="21" t="s">
        <v>10356</v>
      </c>
    </row>
    <row r="441">
      <c r="A441" s="28" t="s">
        <v>6150</v>
      </c>
      <c r="B441" s="326">
        <f>SUMIF('Overhead Expenses'!D362:D5359,"Stationery &amp; Print",'Overhead Expenses'!K362:K5359)</f>
        <v>0</v>
      </c>
      <c r="C441" s="327"/>
      <c r="E441" s="331" t="s">
        <v>10234</v>
      </c>
      <c r="G441" s="331" t="s">
        <v>10257</v>
      </c>
      <c r="H441" s="21" t="s">
        <v>10356</v>
      </c>
    </row>
    <row r="442">
      <c r="A442" s="28" t="s">
        <v>6137</v>
      </c>
      <c r="B442" s="326">
        <f>SUMIF('Overhead Expenses'!D362:D5359,"Table Covers &amp; Displays",'Overhead Expenses'!K362:K5359)</f>
        <v>0</v>
      </c>
      <c r="C442" s="327"/>
      <c r="E442" s="331" t="s">
        <v>10234</v>
      </c>
      <c r="G442" s="331" t="s">
        <v>10258</v>
      </c>
      <c r="H442" s="21" t="s">
        <v>10356</v>
      </c>
    </row>
    <row r="443">
      <c r="A443" s="28" t="s">
        <v>6147</v>
      </c>
      <c r="B443" s="326">
        <f>SUMIF('Overhead Expenses'!D362:D5359,"Tables &amp; Furniture",'Overhead Expenses'!K362:K5359)</f>
        <v>0</v>
      </c>
      <c r="C443" s="327"/>
      <c r="E443" s="331" t="s">
        <v>10234</v>
      </c>
      <c r="G443" s="331" t="s">
        <v>10259</v>
      </c>
      <c r="H443" s="21" t="s">
        <v>10356</v>
      </c>
    </row>
    <row r="444">
      <c r="A444" s="28" t="s">
        <v>6502</v>
      </c>
      <c r="B444" s="326">
        <f>SUMIF('Overhead Expenses'!D362:D5359,"Tax",'Overhead Expenses'!K362:K5359)</f>
        <v>0</v>
      </c>
      <c r="C444" s="327"/>
      <c r="E444" s="331" t="s">
        <v>10234</v>
      </c>
      <c r="G444" s="331" t="s">
        <v>10260</v>
      </c>
      <c r="H444" s="21" t="s">
        <v>10356</v>
      </c>
    </row>
    <row r="445">
      <c r="A445" s="28" t="s">
        <v>5981</v>
      </c>
      <c r="B445" s="326">
        <f>SUMIF('Overhead Expenses'!D362:D5359,"Tools &amp; Supplies",'Overhead Expenses'!K362:K5359)</f>
        <v>0</v>
      </c>
      <c r="C445" s="327"/>
      <c r="E445" s="331" t="s">
        <v>10234</v>
      </c>
      <c r="G445" s="331" t="s">
        <v>10261</v>
      </c>
      <c r="H445" s="21" t="s">
        <v>10356</v>
      </c>
    </row>
    <row r="446">
      <c r="A446" s="28" t="s">
        <v>6021</v>
      </c>
      <c r="B446" s="326">
        <f>SUMIF('Overhead Expenses'!D362:D5359,"Treatments &amp; Fertilizers",'Overhead Expenses'!K362:K5359)</f>
        <v>0</v>
      </c>
      <c r="C446" s="327"/>
      <c r="E446" s="331" t="s">
        <v>10234</v>
      </c>
      <c r="G446" s="331" t="s">
        <v>10262</v>
      </c>
      <c r="H446" s="21" t="s">
        <v>10356</v>
      </c>
    </row>
    <row r="447">
      <c r="A447" s="28" t="s">
        <v>6300</v>
      </c>
      <c r="B447" s="326">
        <f>SUMIF('Overhead Expenses'!D362:D5359,"Uniforms &amp; Workwear",'Overhead Expenses'!K362:K5359)</f>
        <v>0</v>
      </c>
      <c r="C447" s="327"/>
      <c r="E447" s="331" t="s">
        <v>10234</v>
      </c>
      <c r="G447" s="331" t="s">
        <v>10263</v>
      </c>
      <c r="H447" s="21" t="s">
        <v>10356</v>
      </c>
    </row>
    <row r="448">
      <c r="A448" s="331" t="s">
        <v>10264</v>
      </c>
      <c r="B448" s="326"/>
      <c r="C448" s="327"/>
      <c r="D448" s="331">
        <f>COUNTIF('Plant Inventory'!J9:J1027,"Available")</f>
        <v>6</v>
      </c>
      <c r="E448" s="331" t="s">
        <v>10265</v>
      </c>
      <c r="F448" s="331" t="s">
        <v>10266</v>
      </c>
      <c r="G448" s="331" t="s">
        <v>10267</v>
      </c>
      <c r="H448" s="21" t="s">
        <v>10356</v>
      </c>
    </row>
    <row r="449">
      <c r="A449" s="331" t="s">
        <v>10268</v>
      </c>
      <c r="B449" s="326"/>
      <c r="C449" s="327"/>
      <c r="D449" s="331">
        <f>COUNTIF('Plant Inventory'!J9:J1027,"Sold")</f>
        <v>114</v>
      </c>
      <c r="E449" s="331" t="s">
        <v>10265</v>
      </c>
      <c r="F449" s="331" t="s">
        <v>10269</v>
      </c>
      <c r="G449" s="331" t="s">
        <v>10270</v>
      </c>
      <c r="H449" s="21" t="s">
        <v>10356</v>
      </c>
    </row>
    <row r="450">
      <c r="A450" s="331" t="s">
        <v>10271</v>
      </c>
      <c r="B450" s="326"/>
      <c r="C450" s="327"/>
      <c r="D450" s="331">
        <f>COUNTIF('Plant Inventory'!J9:J1027,"Dead")</f>
        <v>45</v>
      </c>
      <c r="E450" s="331" t="s">
        <v>10265</v>
      </c>
      <c r="F450" s="331" t="s">
        <v>10272</v>
      </c>
      <c r="G450" s="331" t="s">
        <v>10273</v>
      </c>
      <c r="H450" s="21" t="s">
        <v>10356</v>
      </c>
    </row>
    <row r="451">
      <c r="A451" s="331" t="s">
        <v>10274</v>
      </c>
      <c r="B451" s="326"/>
      <c r="C451" s="327"/>
      <c r="D451" s="331">
        <f>COUNTIF('Plant Inventory'!J9:J1027,"Damaged")</f>
        <v>0</v>
      </c>
      <c r="E451" s="331" t="s">
        <v>10265</v>
      </c>
      <c r="F451" s="331" t="s">
        <v>10275</v>
      </c>
      <c r="G451" s="331" t="s">
        <v>10276</v>
      </c>
      <c r="H451" s="21" t="s">
        <v>10356</v>
      </c>
    </row>
    <row r="452">
      <c r="A452" s="331" t="s">
        <v>10277</v>
      </c>
      <c r="B452" s="326"/>
      <c r="C452" s="327"/>
      <c r="D452" s="331">
        <f>COUNTIF('Plant Inventory'!J9:J1027,"Giveaway")</f>
        <v>26</v>
      </c>
      <c r="E452" s="331" t="s">
        <v>10265</v>
      </c>
      <c r="F452" s="331" t="s">
        <v>10278</v>
      </c>
      <c r="G452" s="331" t="s">
        <v>10279</v>
      </c>
      <c r="H452" s="21" t="s">
        <v>10356</v>
      </c>
    </row>
    <row r="453">
      <c r="A453" s="331" t="s">
        <v>10280</v>
      </c>
      <c r="B453" s="326">
        <f>SUMIF('Plant Inventory'!J9:J1027,"Available",'Plant Inventory'!D9:D1027)</f>
        <v>52.95</v>
      </c>
      <c r="C453" s="327"/>
      <c r="E453" s="331" t="s">
        <v>10265</v>
      </c>
      <c r="F453" s="331" t="s">
        <v>10281</v>
      </c>
      <c r="G453" s="331" t="s">
        <v>10282</v>
      </c>
      <c r="H453" s="21" t="s">
        <v>10356</v>
      </c>
    </row>
    <row r="454">
      <c r="A454" s="331" t="s">
        <v>10283</v>
      </c>
      <c r="B454" s="326">
        <f>SUMIF('Plant Inventory'!J9:J1027,"Available",'Plant Inventory'!E9:E1027)</f>
        <v>17</v>
      </c>
      <c r="C454" s="327"/>
      <c r="E454" s="331" t="s">
        <v>10265</v>
      </c>
      <c r="F454" s="331" t="s">
        <v>10284</v>
      </c>
      <c r="G454" s="331" t="s">
        <v>10285</v>
      </c>
      <c r="H454" s="21" t="s">
        <v>10356</v>
      </c>
    </row>
    <row r="455">
      <c r="A455" s="331" t="s">
        <v>10286</v>
      </c>
      <c r="B455" s="326">
        <f>SUMIF('Plant Inventory'!J9:J1027,"Dead",'Plant Inventory'!D9:D1027)</f>
        <v>331.99</v>
      </c>
      <c r="C455" s="327"/>
      <c r="E455" s="331" t="s">
        <v>10265</v>
      </c>
      <c r="F455" s="331" t="s">
        <v>10287</v>
      </c>
      <c r="G455" s="331" t="s">
        <v>10288</v>
      </c>
      <c r="H455" s="21" t="s">
        <v>10356</v>
      </c>
    </row>
    <row r="456">
      <c r="A456" s="331" t="s">
        <v>10289</v>
      </c>
      <c r="B456" s="326">
        <f>SUMIF('Plant Inventory'!J9:J1027,"Damaged",'Plant Inventory'!D9:D1027)</f>
        <v>0</v>
      </c>
      <c r="C456" s="327"/>
      <c r="E456" s="331" t="s">
        <v>10265</v>
      </c>
      <c r="F456" s="331" t="s">
        <v>10290</v>
      </c>
      <c r="G456" s="331" t="s">
        <v>10291</v>
      </c>
      <c r="H456" s="21" t="s">
        <v>10356</v>
      </c>
    </row>
    <row r="457">
      <c r="A457" s="331" t="s">
        <v>10292</v>
      </c>
      <c r="B457" s="326">
        <f>SUMIF('Plant Inventory'!J9:J1027,"Giveaway",'Plant Inventory'!D9:D1027)</f>
        <v>96.16</v>
      </c>
      <c r="C457" s="327"/>
      <c r="E457" s="331" t="s">
        <v>10265</v>
      </c>
      <c r="F457" s="331" t="s">
        <v>10293</v>
      </c>
      <c r="G457" s="331" t="s">
        <v>10294</v>
      </c>
      <c r="H457" s="21" t="s">
        <v>10356</v>
      </c>
    </row>
    <row r="458">
      <c r="A458" s="331" t="s">
        <v>10295</v>
      </c>
      <c r="B458" s="326">
        <f>B455+B456+B457</f>
        <v>428.15</v>
      </c>
      <c r="C458" s="327"/>
      <c r="E458" s="331" t="s">
        <v>10265</v>
      </c>
      <c r="F458" s="331" t="s">
        <v>10296</v>
      </c>
      <c r="G458" s="331" t="s">
        <v>10297</v>
      </c>
      <c r="H458" s="21" t="s">
        <v>10356</v>
      </c>
    </row>
    <row r="459">
      <c r="A459" s="331" t="s">
        <v>10298</v>
      </c>
      <c r="B459" s="326"/>
      <c r="C459" s="327"/>
      <c r="D459" s="331">
        <f>SUMPRODUCT((ISNUMBER(SEARCH("-PH-",'Plant Inventory'!B9:B1029)))*('Plant Inventory'!J9:J1029="Available")*('Plant Inventory'!Q9:Q1029=H459)*IFERROR(1/COUNTIFS('Plant Inventory'!B9:B1029,'Plant Inventory'!B9:B1029,'Plant Inventory'!J9:J1029,"Available",'Plant Inventory'!Q9:Q1029,H459),0))</f>
        <v>0</v>
      </c>
      <c r="E459" s="331" t="s">
        <v>10265</v>
      </c>
      <c r="F459" s="331" t="s">
        <v>10299</v>
      </c>
      <c r="G459" s="331" t="s">
        <v>10300</v>
      </c>
      <c r="H459" s="21" t="s">
        <v>10356</v>
      </c>
    </row>
    <row r="460">
      <c r="A460" s="331" t="s">
        <v>10301</v>
      </c>
      <c r="B460" s="326"/>
      <c r="C460" s="327"/>
      <c r="D460" s="331">
        <f>SUMPRODUCT((ISNUMBER(SEARCH("-HO-",'Plant Inventory'!B9:B1029)))*('Plant Inventory'!J9:J1029="Available")*('Plant Inventory'!Q9:Q1029=H460)*IFERROR(1/COUNTIFS('Plant Inventory'!B9:B1029,'Plant Inventory'!B9:B1029,'Plant Inventory'!J9:J1029,"Available",'Plant Inventory'!Q9:Q1029,H460),0))</f>
        <v>0</v>
      </c>
      <c r="E460" s="331" t="s">
        <v>10265</v>
      </c>
      <c r="F460" s="331" t="s">
        <v>10299</v>
      </c>
      <c r="G460" s="331" t="s">
        <v>10302</v>
      </c>
      <c r="H460" s="21" t="s">
        <v>10356</v>
      </c>
    </row>
    <row r="461">
      <c r="A461" s="331" t="s">
        <v>10303</v>
      </c>
      <c r="B461" s="326"/>
      <c r="C461" s="327"/>
      <c r="D461" s="331">
        <f>SUMPRODUCT((ISNUMBER(SEARCH("-AL-",'Plant Inventory'!B9:B1029)))*('Plant Inventory'!J9:J1029="Available")*('Plant Inventory'!Q9:Q1029=H461)*IFERROR(1/COUNTIFS('Plant Inventory'!B9:B1029,'Plant Inventory'!B9:B1029,'Plant Inventory'!J9:J1029,"Available",'Plant Inventory'!Q9:Q1029,H461),0))</f>
        <v>0</v>
      </c>
      <c r="E461" s="331" t="s">
        <v>10265</v>
      </c>
      <c r="F461" s="331" t="s">
        <v>10299</v>
      </c>
      <c r="G461" s="331" t="s">
        <v>10304</v>
      </c>
      <c r="H461" s="21" t="s">
        <v>10356</v>
      </c>
    </row>
    <row r="462">
      <c r="B462" s="326"/>
      <c r="C462" s="327"/>
      <c r="H462" s="21" t="s">
        <v>10356</v>
      </c>
    </row>
    <row r="463">
      <c r="A463" s="331" t="s">
        <v>10305</v>
      </c>
      <c r="B463" s="326"/>
      <c r="C463" s="327"/>
      <c r="D463" s="331">
        <f>SUMPRODUCT((ISNUMBER(SEARCH("SYN",'Plant Inventory'!B9:B1029)))*('Plant Inventory'!J9:J1029="Available")*('Plant Inventory'!Q9:Q1029=H463)*IFERROR(1/COUNTIFS('Plant Inventory'!B9:B1029,'Plant Inventory'!B9:B1029,'Plant Inventory'!J9:J1029,"Available",'Plant Inventory'!Q9:Q1029,H463),0))</f>
        <v>0</v>
      </c>
      <c r="E463" s="331" t="s">
        <v>10265</v>
      </c>
      <c r="F463" s="331" t="s">
        <v>10299</v>
      </c>
      <c r="G463" s="331" t="s">
        <v>10306</v>
      </c>
      <c r="H463" s="21" t="s">
        <v>10356</v>
      </c>
    </row>
    <row r="464">
      <c r="A464" s="331" t="s">
        <v>10307</v>
      </c>
      <c r="B464" s="326"/>
      <c r="C464" s="327"/>
      <c r="D464" s="331">
        <f>COUNTA('Product Inventory'!B362:B1359)</f>
        <v>0</v>
      </c>
      <c r="E464" s="331" t="s">
        <v>10308</v>
      </c>
      <c r="F464" s="331" t="s">
        <v>10309</v>
      </c>
      <c r="G464" s="331" t="s">
        <v>10310</v>
      </c>
      <c r="H464" s="21" t="s">
        <v>10356</v>
      </c>
    </row>
    <row r="465">
      <c r="A465" s="331" t="s">
        <v>10311</v>
      </c>
      <c r="B465" s="326"/>
      <c r="C465" s="327"/>
      <c r="D465" s="331">
        <f>SUMIF('Product Inventory'!K362:K1359,"Available",'Product Inventory'!J362:J1359)</f>
        <v>0</v>
      </c>
      <c r="E465" s="331" t="s">
        <v>10308</v>
      </c>
      <c r="F465" s="331" t="s">
        <v>10312</v>
      </c>
      <c r="G465" s="331" t="s">
        <v>10313</v>
      </c>
      <c r="H465" s="21" t="s">
        <v>10356</v>
      </c>
    </row>
    <row r="466">
      <c r="A466" s="331" t="s">
        <v>10314</v>
      </c>
      <c r="B466" s="326"/>
      <c r="C466" s="327"/>
      <c r="D466" s="331">
        <f>SUM('Product Inventory'!H362:H1359)</f>
        <v>0</v>
      </c>
      <c r="E466" s="331" t="s">
        <v>10308</v>
      </c>
      <c r="F466" s="331" t="s">
        <v>10315</v>
      </c>
      <c r="G466" s="331" t="s">
        <v>10316</v>
      </c>
      <c r="H466" s="21" t="s">
        <v>10356</v>
      </c>
    </row>
    <row r="467">
      <c r="A467" s="331" t="s">
        <v>10317</v>
      </c>
      <c r="B467" s="326"/>
      <c r="C467" s="327"/>
      <c r="D467" s="331">
        <f>SUM('Product Inventory'!I362:I1359)</f>
        <v>0</v>
      </c>
      <c r="E467" s="331" t="s">
        <v>10308</v>
      </c>
      <c r="F467" s="331" t="s">
        <v>10318</v>
      </c>
      <c r="G467" s="331" t="s">
        <v>10319</v>
      </c>
      <c r="H467" s="21" t="s">
        <v>10356</v>
      </c>
    </row>
    <row r="468">
      <c r="A468" s="331" t="s">
        <v>10320</v>
      </c>
      <c r="B468" s="326">
        <f>SUMPRODUCT('Product Inventory'!D362:D1359*'Product Inventory'!G362:G1359)</f>
        <v>0</v>
      </c>
      <c r="C468" s="327"/>
      <c r="E468" s="331" t="s">
        <v>10308</v>
      </c>
      <c r="F468" s="331" t="s">
        <v>10321</v>
      </c>
      <c r="G468" s="331" t="s">
        <v>10322</v>
      </c>
      <c r="H468" s="21" t="s">
        <v>10356</v>
      </c>
    </row>
    <row r="469">
      <c r="A469" s="331" t="s">
        <v>10323</v>
      </c>
      <c r="B469" s="326">
        <f>SUMPRODUCT('Product Inventory'!D362:D1359*'Product Inventory'!J362:J1359)</f>
        <v>0</v>
      </c>
      <c r="C469" s="327"/>
      <c r="E469" s="331" t="s">
        <v>10308</v>
      </c>
      <c r="F469" s="331" t="s">
        <v>10324</v>
      </c>
      <c r="G469" s="331" t="s">
        <v>10325</v>
      </c>
      <c r="H469" s="21" t="s">
        <v>10356</v>
      </c>
    </row>
    <row r="470">
      <c r="A470" s="331" t="s">
        <v>10326</v>
      </c>
      <c r="B470" s="326">
        <f>SUMPRODUCT('Product Inventory'!E362:E1359*'Product Inventory'!J362:J1359)</f>
        <v>0</v>
      </c>
      <c r="C470" s="327"/>
      <c r="E470" s="331" t="s">
        <v>10308</v>
      </c>
      <c r="F470" s="331" t="s">
        <v>10327</v>
      </c>
      <c r="G470" s="331" t="s">
        <v>10328</v>
      </c>
      <c r="H470" s="21" t="s">
        <v>10356</v>
      </c>
    </row>
    <row r="471">
      <c r="A471" s="331" t="s">
        <v>10329</v>
      </c>
      <c r="B471" s="326"/>
      <c r="C471" s="327"/>
      <c r="D471" s="331">
        <f>COUNTIF('Product Inventory'!K362:K1359,"Out of Stock")</f>
        <v>0</v>
      </c>
      <c r="E471" s="331" t="s">
        <v>10308</v>
      </c>
      <c r="F471" s="331" t="s">
        <v>10330</v>
      </c>
      <c r="G471" s="331" t="s">
        <v>10331</v>
      </c>
      <c r="H471" s="21" t="s">
        <v>10356</v>
      </c>
    </row>
    <row r="472">
      <c r="A472" s="331" t="s">
        <v>10332</v>
      </c>
      <c r="B472" s="326">
        <f>B365</f>
        <v>0</v>
      </c>
      <c r="C472" s="327"/>
      <c r="E472" s="331" t="s">
        <v>6502</v>
      </c>
      <c r="F472" s="331" t="s">
        <v>10333</v>
      </c>
      <c r="G472" s="331" t="s">
        <v>10334</v>
      </c>
      <c r="H472" s="21" t="s">
        <v>10356</v>
      </c>
    </row>
    <row r="473">
      <c r="A473" s="331" t="s">
        <v>10335</v>
      </c>
      <c r="B473" s="326">
        <f>B368</f>
        <v>706.8</v>
      </c>
      <c r="C473" s="327"/>
      <c r="E473" s="331" t="s">
        <v>6502</v>
      </c>
      <c r="F473" s="331" t="s">
        <v>10336</v>
      </c>
      <c r="G473" s="331" t="s">
        <v>10337</v>
      </c>
      <c r="H473" s="21" t="s">
        <v>10356</v>
      </c>
    </row>
    <row r="474">
      <c r="A474" s="331" t="s">
        <v>10338</v>
      </c>
      <c r="B474" s="326">
        <f>B371</f>
        <v>0</v>
      </c>
      <c r="C474" s="327"/>
      <c r="E474" s="331" t="s">
        <v>6502</v>
      </c>
      <c r="F474" s="331" t="s">
        <v>10339</v>
      </c>
      <c r="G474" s="331" t="s">
        <v>10340</v>
      </c>
      <c r="H474" s="21" t="s">
        <v>10356</v>
      </c>
    </row>
    <row r="475">
      <c r="A475" s="331" t="s">
        <v>10341</v>
      </c>
      <c r="B475" s="326">
        <f>B473+B474</f>
        <v>706.8</v>
      </c>
      <c r="C475" s="327"/>
      <c r="E475" s="331" t="s">
        <v>6502</v>
      </c>
      <c r="F475" s="331" t="s">
        <v>10342</v>
      </c>
      <c r="G475" s="331" t="s">
        <v>10343</v>
      </c>
      <c r="H475" s="21" t="s">
        <v>10356</v>
      </c>
    </row>
    <row r="476">
      <c r="A476" s="331" t="s">
        <v>10344</v>
      </c>
      <c r="B476" s="326">
        <f>B472-B475</f>
        <v>-706.8</v>
      </c>
      <c r="C476" s="327"/>
      <c r="E476" s="331" t="s">
        <v>6502</v>
      </c>
      <c r="F476" s="331" t="s">
        <v>10345</v>
      </c>
      <c r="G476" s="331" t="s">
        <v>10346</v>
      </c>
      <c r="H476" s="21" t="s">
        <v>10356</v>
      </c>
    </row>
    <row r="477">
      <c r="A477" s="331" t="s">
        <v>10347</v>
      </c>
      <c r="B477" s="326">
        <f>B453</f>
        <v>52.95</v>
      </c>
      <c r="C477" s="327"/>
      <c r="E477" s="331" t="s">
        <v>6502</v>
      </c>
      <c r="F477" s="331" t="s">
        <v>10348</v>
      </c>
      <c r="G477" s="331" t="s">
        <v>10349</v>
      </c>
      <c r="H477" s="21" t="s">
        <v>10356</v>
      </c>
    </row>
    <row r="478">
      <c r="A478" s="331" t="s">
        <v>10350</v>
      </c>
      <c r="B478" s="326">
        <f>B469</f>
        <v>0</v>
      </c>
      <c r="C478" s="327"/>
      <c r="E478" s="331" t="s">
        <v>6502</v>
      </c>
      <c r="F478" s="331" t="s">
        <v>10348</v>
      </c>
      <c r="G478" s="331" t="s">
        <v>10351</v>
      </c>
      <c r="H478" s="21" t="s">
        <v>10356</v>
      </c>
    </row>
    <row r="479">
      <c r="A479" s="331" t="s">
        <v>10352</v>
      </c>
      <c r="B479" s="326">
        <f>B458</f>
        <v>428.15</v>
      </c>
      <c r="C479" s="327"/>
      <c r="E479" s="331" t="s">
        <v>6502</v>
      </c>
      <c r="F479" s="331" t="s">
        <v>10353</v>
      </c>
      <c r="G479" s="331" t="s">
        <v>10354</v>
      </c>
      <c r="H479" s="21" t="s">
        <v>10356</v>
      </c>
    </row>
    <row r="480">
      <c r="B480" s="326"/>
      <c r="C480" s="327"/>
      <c r="H480" s="21"/>
    </row>
    <row r="481">
      <c r="B481" s="326"/>
      <c r="C481" s="327"/>
      <c r="H481" s="21"/>
    </row>
    <row r="482">
      <c r="B482" s="326"/>
      <c r="C482" s="327"/>
      <c r="H482" s="21"/>
    </row>
    <row r="483">
      <c r="A483" s="325" t="s">
        <v>10105</v>
      </c>
      <c r="B483" s="326"/>
      <c r="C483" s="327"/>
    </row>
    <row r="484">
      <c r="A484" s="328" t="s">
        <v>10106</v>
      </c>
      <c r="B484" s="329" t="s">
        <v>10107</v>
      </c>
      <c r="C484" s="330" t="s">
        <v>10108</v>
      </c>
      <c r="D484" s="328" t="s">
        <v>10109</v>
      </c>
      <c r="E484" s="328" t="s">
        <v>10110</v>
      </c>
      <c r="F484" s="328" t="s">
        <v>1035</v>
      </c>
      <c r="G484" s="328" t="s">
        <v>8585</v>
      </c>
      <c r="H484" s="28" t="s">
        <v>14</v>
      </c>
    </row>
    <row r="485">
      <c r="A485" s="331" t="s">
        <v>10111</v>
      </c>
      <c r="B485" s="326">
        <f>SUMIF(Sales!B485:B10482,"&lt;&gt;",Sales!F485:F10482)</f>
        <v>0</v>
      </c>
      <c r="C485" s="327"/>
      <c r="E485" s="28" t="s">
        <v>10112</v>
      </c>
      <c r="F485" s="331" t="s">
        <v>10113</v>
      </c>
      <c r="G485" s="331" t="s">
        <v>10114</v>
      </c>
      <c r="H485" s="21" t="s">
        <v>10357</v>
      </c>
    </row>
    <row r="486">
      <c r="A486" s="331" t="s">
        <v>10115</v>
      </c>
      <c r="B486" s="326">
        <f>SUMPRODUCT(('Plant Inventory'!J11:J1147="Sold")*('Plant Inventory'!D11:D1147))</f>
        <v>706.8</v>
      </c>
      <c r="C486" s="327"/>
      <c r="E486" s="28" t="s">
        <v>10112</v>
      </c>
      <c r="F486" s="331" t="s">
        <v>10116</v>
      </c>
      <c r="G486" s="331" t="s">
        <v>10117</v>
      </c>
      <c r="H486" s="21"/>
    </row>
    <row r="487">
      <c r="A487" s="331" t="s">
        <v>10118</v>
      </c>
      <c r="B487" s="326">
        <f>SUMPRODUCT((Sales!B485:B10482&lt;&gt;"")*ISNUMBER(MATCH(Sales!B485:B10482,'Product Inventory'!B482:B1479,0))*Sales!J485:J10482)</f>
        <v>0</v>
      </c>
      <c r="C487" s="327"/>
      <c r="E487" s="28" t="s">
        <v>10112</v>
      </c>
      <c r="F487" s="331" t="s">
        <v>10119</v>
      </c>
      <c r="G487" s="331" t="s">
        <v>10120</v>
      </c>
      <c r="H487" s="21"/>
    </row>
    <row r="488">
      <c r="A488" s="331" t="s">
        <v>10121</v>
      </c>
      <c r="B488" s="326">
        <f>B486+B487</f>
        <v>706.8</v>
      </c>
      <c r="C488" s="327"/>
      <c r="E488" s="28" t="s">
        <v>10112</v>
      </c>
      <c r="F488" s="331" t="s">
        <v>10122</v>
      </c>
      <c r="G488" s="331" t="s">
        <v>10123</v>
      </c>
      <c r="H488" s="21"/>
    </row>
    <row r="489">
      <c r="A489" s="331" t="s">
        <v>10124</v>
      </c>
      <c r="B489" s="326">
        <f>B485-B488</f>
        <v>-706.8</v>
      </c>
      <c r="C489" s="327"/>
      <c r="E489" s="28" t="s">
        <v>10112</v>
      </c>
      <c r="F489" s="331" t="s">
        <v>10125</v>
      </c>
      <c r="G489" s="331" t="s">
        <v>10126</v>
      </c>
      <c r="H489" s="21"/>
    </row>
    <row r="490">
      <c r="A490" s="331" t="s">
        <v>10127</v>
      </c>
      <c r="B490" s="326"/>
      <c r="C490" s="327" t="str">
        <f>IFERROR(B489/B485,"")</f>
        <v/>
      </c>
      <c r="E490" s="28" t="s">
        <v>10112</v>
      </c>
      <c r="F490" s="331" t="s">
        <v>10128</v>
      </c>
      <c r="G490" s="331" t="s">
        <v>10129</v>
      </c>
      <c r="H490" s="21"/>
    </row>
    <row r="491">
      <c r="A491" s="331" t="s">
        <v>10130</v>
      </c>
      <c r="B491" s="326">
        <f>SUMIF('Overhead Expenses'!D482:D5479,"&lt;&gt;",'Overhead Expenses'!K482:K5479)</f>
        <v>0</v>
      </c>
      <c r="C491" s="327"/>
      <c r="E491" s="28" t="s">
        <v>10112</v>
      </c>
      <c r="F491" s="331" t="s">
        <v>10131</v>
      </c>
      <c r="G491" s="331" t="s">
        <v>10132</v>
      </c>
      <c r="H491" s="21"/>
    </row>
    <row r="492">
      <c r="A492" s="331" t="s">
        <v>10133</v>
      </c>
      <c r="B492" s="326">
        <f>B489-B491</f>
        <v>-706.8</v>
      </c>
      <c r="C492" s="327"/>
      <c r="E492" s="28" t="s">
        <v>10112</v>
      </c>
      <c r="F492" s="331" t="s">
        <v>10134</v>
      </c>
      <c r="G492" s="331" t="s">
        <v>10135</v>
      </c>
      <c r="H492" s="21"/>
    </row>
    <row r="493">
      <c r="A493" s="331" t="s">
        <v>10136</v>
      </c>
      <c r="B493" s="326"/>
      <c r="C493" s="327" t="str">
        <f>IFERROR(B492/B485,"")</f>
        <v/>
      </c>
      <c r="E493" s="28" t="s">
        <v>10112</v>
      </c>
      <c r="F493" s="331" t="s">
        <v>10137</v>
      </c>
      <c r="G493" s="331" t="s">
        <v>10138</v>
      </c>
      <c r="H493" s="21"/>
    </row>
    <row r="494">
      <c r="A494" s="331" t="s">
        <v>10139</v>
      </c>
      <c r="B494" s="326"/>
      <c r="C494" s="327"/>
      <c r="D494" s="331">
        <f>COUNTA(Sales!B485:B10482)</f>
        <v>0</v>
      </c>
      <c r="E494" s="331" t="s">
        <v>10140</v>
      </c>
      <c r="F494" s="331" t="s">
        <v>10141</v>
      </c>
      <c r="G494" s="331" t="s">
        <v>10142</v>
      </c>
      <c r="H494" s="21"/>
    </row>
    <row r="495">
      <c r="A495" s="331" t="s">
        <v>10143</v>
      </c>
      <c r="B495" s="326" t="str">
        <f>IFERROR(B485/D494,"")</f>
        <v/>
      </c>
      <c r="C495" s="327"/>
      <c r="E495" s="331" t="s">
        <v>10140</v>
      </c>
      <c r="F495" s="331" t="s">
        <v>10144</v>
      </c>
      <c r="G495" s="331" t="s">
        <v>10145</v>
      </c>
      <c r="H495" s="21"/>
    </row>
    <row r="496">
      <c r="A496" s="331" t="s">
        <v>10146</v>
      </c>
      <c r="B496" s="326" t="str">
        <f>IFERROR(B492/D494,"")</f>
        <v/>
      </c>
      <c r="C496" s="327"/>
      <c r="E496" s="331" t="s">
        <v>10140</v>
      </c>
      <c r="F496" s="331" t="s">
        <v>10147</v>
      </c>
      <c r="G496" s="331" t="s">
        <v>10148</v>
      </c>
      <c r="H496" s="21"/>
    </row>
    <row r="497">
      <c r="A497" s="331" t="s">
        <v>10149</v>
      </c>
      <c r="B497" s="326">
        <f>SUMIF(Sales!I485:I10482,"Palm Street",Sales!F485:F10482)</f>
        <v>0</v>
      </c>
      <c r="C497" s="327"/>
      <c r="E497" s="331" t="s">
        <v>10140</v>
      </c>
      <c r="F497" s="331" t="s">
        <v>10150</v>
      </c>
      <c r="G497" s="331" t="s">
        <v>10151</v>
      </c>
      <c r="H497" s="21"/>
    </row>
    <row r="498">
      <c r="A498" s="331" t="s">
        <v>10152</v>
      </c>
      <c r="B498" s="326">
        <f>SUMIF(Sales!I485:I10482,"In Person",Sales!F485:F10482)</f>
        <v>0</v>
      </c>
      <c r="C498" s="327"/>
      <c r="E498" s="331" t="s">
        <v>10140</v>
      </c>
      <c r="F498" s="331" t="s">
        <v>10150</v>
      </c>
      <c r="G498" s="331" t="s">
        <v>10153</v>
      </c>
      <c r="H498" s="21"/>
    </row>
    <row r="499">
      <c r="A499" s="331" t="s">
        <v>10154</v>
      </c>
      <c r="B499" s="326">
        <f>SUMIF(Sales!I485:I10482,"Facebook Marketplace",Sales!F485:F10482)</f>
        <v>0</v>
      </c>
      <c r="C499" s="327"/>
      <c r="E499" s="331" t="s">
        <v>10140</v>
      </c>
      <c r="F499" s="331" t="s">
        <v>10150</v>
      </c>
      <c r="G499" s="331" t="s">
        <v>10155</v>
      </c>
      <c r="H499" s="21"/>
    </row>
    <row r="500">
      <c r="A500" s="331" t="s">
        <v>10156</v>
      </c>
      <c r="B500" s="326">
        <f>SUMIF(Sales!I485:I10482,"Flea Market",Sales!F485:F10482)</f>
        <v>0</v>
      </c>
      <c r="C500" s="327"/>
      <c r="E500" s="331" t="s">
        <v>10140</v>
      </c>
      <c r="F500" s="331" t="s">
        <v>10150</v>
      </c>
      <c r="G500" s="331" t="s">
        <v>10157</v>
      </c>
      <c r="H500" s="21"/>
    </row>
    <row r="501">
      <c r="A501" s="331" t="s">
        <v>10158</v>
      </c>
      <c r="B501" s="326">
        <f>SUMIF(Sales!I485:I10482,"Square Online",Sales!F485:F10482)</f>
        <v>0</v>
      </c>
      <c r="C501" s="327"/>
      <c r="E501" s="331" t="s">
        <v>10140</v>
      </c>
      <c r="F501" s="331" t="s">
        <v>10150</v>
      </c>
      <c r="G501" s="331" t="s">
        <v>10159</v>
      </c>
      <c r="H501" s="21"/>
    </row>
    <row r="502">
      <c r="A502" s="331" t="s">
        <v>10160</v>
      </c>
      <c r="B502" s="326">
        <f>SUMIF(Sales!I485:I10482,"Merlin Outdoor Market",Sales!F485:F10482)</f>
        <v>0</v>
      </c>
      <c r="C502" s="327"/>
      <c r="E502" s="331" t="s">
        <v>10140</v>
      </c>
      <c r="F502" s="331" t="s">
        <v>10150</v>
      </c>
      <c r="G502" s="331" t="s">
        <v>10161</v>
      </c>
      <c r="H502" s="21"/>
    </row>
    <row r="503">
      <c r="A503" s="331" t="s">
        <v>10162</v>
      </c>
      <c r="B503" s="326">
        <f>SUMIF(Sales!I485:I10482,"Facebook",Sales!F485:F10482)</f>
        <v>0</v>
      </c>
      <c r="C503" s="327"/>
      <c r="E503" s="331" t="s">
        <v>10140</v>
      </c>
      <c r="F503" s="331" t="s">
        <v>10150</v>
      </c>
      <c r="G503" s="331" t="s">
        <v>10163</v>
      </c>
      <c r="H503" s="21"/>
    </row>
    <row r="504">
      <c r="A504" s="331" t="s">
        <v>10164</v>
      </c>
      <c r="B504" s="326">
        <f>SUMIFS(Sales!F485:F10482,Sales!A485:A10482,"&gt;="&amp;DATE(2025,8,1),Sales!A485:A10482,"&lt;"&amp;DATE(2025,9,1))</f>
        <v>0</v>
      </c>
      <c r="C504" s="327"/>
      <c r="E504" s="331" t="s">
        <v>10165</v>
      </c>
      <c r="G504" s="331" t="s">
        <v>10166</v>
      </c>
      <c r="H504" s="21"/>
    </row>
    <row r="505">
      <c r="A505" s="331" t="s">
        <v>10167</v>
      </c>
      <c r="B505" s="326">
        <f>SUMIFS(Sales!K485:K10482,Sales!A485:A10482,"&gt;="&amp;DATE(2025,8,1),Sales!A485:A10482,"&lt;"&amp;DATE(2025,9,1))</f>
        <v>0</v>
      </c>
      <c r="C505" s="327"/>
      <c r="E505" s="331" t="s">
        <v>10165</v>
      </c>
      <c r="G505" s="331" t="s">
        <v>10168</v>
      </c>
      <c r="H505" s="21"/>
    </row>
    <row r="506">
      <c r="A506" s="331" t="s">
        <v>10169</v>
      </c>
      <c r="B506" s="326">
        <f>SUMIFS(Sales!F485:F10482,Sales!A485:A10482,"&gt;="&amp;DATE(2025,9,1),Sales!A485:A10482,"&lt;"&amp;DATE(2025,10,1))</f>
        <v>0</v>
      </c>
      <c r="C506" s="327"/>
      <c r="E506" s="331" t="s">
        <v>10165</v>
      </c>
      <c r="G506" s="331" t="s">
        <v>10170</v>
      </c>
      <c r="H506" s="21"/>
    </row>
    <row r="507">
      <c r="A507" s="331" t="s">
        <v>10171</v>
      </c>
      <c r="B507" s="326">
        <f>SUMIFS(Sales!K485:K10482,Sales!A485:A10482,"&gt;="&amp;DATE(2025,9,1),Sales!A485:A10482,"&lt;"&amp;DATE(2025,10,1))</f>
        <v>0</v>
      </c>
      <c r="C507" s="327"/>
      <c r="E507" s="331" t="s">
        <v>10165</v>
      </c>
      <c r="G507" s="331" t="s">
        <v>10172</v>
      </c>
      <c r="H507" s="21"/>
    </row>
    <row r="508">
      <c r="A508" s="331" t="s">
        <v>10173</v>
      </c>
      <c r="B508" s="326">
        <f>SUMIFS(Sales!F485:F10482,Sales!A485:A10482,"&gt;="&amp;DATE(2025,10,1),Sales!A485:A10482,"&lt;"&amp;DATE(2025,11,1))</f>
        <v>0</v>
      </c>
      <c r="C508" s="327"/>
      <c r="E508" s="331" t="s">
        <v>10165</v>
      </c>
      <c r="G508" s="331" t="s">
        <v>10174</v>
      </c>
      <c r="H508" s="21"/>
    </row>
    <row r="509">
      <c r="A509" s="331" t="s">
        <v>10175</v>
      </c>
      <c r="B509" s="326">
        <f>SUMIFS(Sales!K485:K10482,Sales!A485:A10482,"&gt;="&amp;DATE(2025,10,1),Sales!A485:A10482,"&lt;"&amp;DATE(2025,11,1))</f>
        <v>0</v>
      </c>
      <c r="C509" s="327"/>
      <c r="E509" s="331" t="s">
        <v>10165</v>
      </c>
      <c r="G509" s="331" t="s">
        <v>10176</v>
      </c>
      <c r="H509" s="21"/>
    </row>
    <row r="510">
      <c r="A510" s="331" t="s">
        <v>10177</v>
      </c>
      <c r="B510" s="326">
        <f>SUMIFS(Sales!F485:F10482,Sales!A485:A10482,"&gt;="&amp;DATE(2025,11,1),Sales!A485:A10482,"&lt;"&amp;DATE(2025,12,1))</f>
        <v>0</v>
      </c>
      <c r="C510" s="327"/>
      <c r="E510" s="331" t="s">
        <v>10165</v>
      </c>
      <c r="G510" s="331" t="s">
        <v>10178</v>
      </c>
      <c r="H510" s="21"/>
    </row>
    <row r="511">
      <c r="A511" s="331" t="s">
        <v>10179</v>
      </c>
      <c r="B511" s="326">
        <f>SUMIFS(Sales!K485:K10482,Sales!A485:A10482,"&gt;="&amp;DATE(2025,11,1),Sales!A485:A10482,"&lt;"&amp;DATE(2025,12,1))</f>
        <v>0</v>
      </c>
      <c r="C511" s="327"/>
      <c r="E511" s="331" t="s">
        <v>10165</v>
      </c>
      <c r="G511" s="331" t="s">
        <v>10180</v>
      </c>
      <c r="H511" s="21"/>
    </row>
    <row r="512">
      <c r="A512" s="331" t="s">
        <v>10181</v>
      </c>
      <c r="B512" s="326">
        <f>SUMIFS(Sales!F485:F10482,Sales!A485:A10482,"&gt;="&amp;DATE(2025,12,1),Sales!A485:A10482,"&lt;"&amp;DATE(2026,1,1))</f>
        <v>0</v>
      </c>
      <c r="C512" s="327"/>
      <c r="E512" s="331" t="s">
        <v>10165</v>
      </c>
      <c r="G512" s="331" t="s">
        <v>10182</v>
      </c>
      <c r="H512" s="21"/>
    </row>
    <row r="513">
      <c r="A513" s="331" t="s">
        <v>10183</v>
      </c>
      <c r="B513" s="326">
        <f>SUMIFS(Sales!K485:K10482,Sales!A485:A10482,"&gt;="&amp;DATE(2025,12,1),Sales!A485:A10482,"&lt;"&amp;DATE(2026,1,1))</f>
        <v>0</v>
      </c>
      <c r="C513" s="327"/>
      <c r="E513" s="331" t="s">
        <v>10165</v>
      </c>
      <c r="G513" s="331" t="s">
        <v>10184</v>
      </c>
      <c r="H513" s="21"/>
    </row>
    <row r="514">
      <c r="A514" s="331" t="s">
        <v>10185</v>
      </c>
      <c r="B514" s="326">
        <f>SUMIFS(Sales!F485:F10482,Sales!A485:A10482,"&gt;="&amp;DATE(2026,1,1),Sales!A485:A10482,"&lt;"&amp;DATE(2026,2,1))</f>
        <v>0</v>
      </c>
      <c r="C514" s="327"/>
      <c r="E514" s="331" t="s">
        <v>10165</v>
      </c>
      <c r="G514" s="331" t="s">
        <v>10186</v>
      </c>
      <c r="H514" s="21"/>
    </row>
    <row r="515">
      <c r="A515" s="331" t="s">
        <v>10187</v>
      </c>
      <c r="B515" s="326">
        <f>SUMIFS(Sales!K485:K10482,Sales!A485:A10482,"&gt;="&amp;DATE(2026,1,1),Sales!A485:A10482,"&lt;"&amp;DATE(2026,2,1))</f>
        <v>0</v>
      </c>
      <c r="C515" s="327"/>
      <c r="E515" s="331" t="s">
        <v>10165</v>
      </c>
      <c r="G515" s="331" t="s">
        <v>10188</v>
      </c>
      <c r="H515" s="21"/>
    </row>
    <row r="516">
      <c r="A516" s="331" t="s">
        <v>10189</v>
      </c>
      <c r="B516" s="326">
        <f>SUMIFS(Sales!F485:F10482,Sales!A485:A10482,"&gt;="&amp;DATE(2026,2,1),Sales!A485:A10482,"&lt;"&amp;DATE(2026,3,1))</f>
        <v>0</v>
      </c>
      <c r="C516" s="327"/>
      <c r="E516" s="331" t="s">
        <v>10165</v>
      </c>
      <c r="G516" s="331" t="s">
        <v>10190</v>
      </c>
      <c r="H516" s="21"/>
    </row>
    <row r="517">
      <c r="A517" s="331" t="s">
        <v>10191</v>
      </c>
      <c r="B517" s="326">
        <f>SUMIFS(Sales!K485:K10482,Sales!A485:A10482,"&gt;="&amp;DATE(2026,2,1),Sales!A485:A10482,"&lt;"&amp;DATE(2026,3,1))</f>
        <v>0</v>
      </c>
      <c r="C517" s="327"/>
      <c r="E517" s="331" t="s">
        <v>10165</v>
      </c>
      <c r="G517" s="331" t="s">
        <v>10192</v>
      </c>
      <c r="H517" s="21"/>
    </row>
    <row r="518">
      <c r="A518" s="331" t="s">
        <v>10193</v>
      </c>
      <c r="B518" s="326">
        <f>SUMIFS(Sales!F485:F10482,Sales!A485:A10482,"&gt;="&amp;DATE(2026,3,1),Sales!A485:A10482,"&lt;"&amp;DATE(2026,4,1))</f>
        <v>0</v>
      </c>
      <c r="C518" s="327"/>
      <c r="E518" s="331" t="s">
        <v>10165</v>
      </c>
      <c r="G518" s="331" t="s">
        <v>10194</v>
      </c>
      <c r="H518" s="21"/>
    </row>
    <row r="519">
      <c r="A519" s="331" t="s">
        <v>10195</v>
      </c>
      <c r="B519" s="326">
        <f>SUMIFS(Sales!K485:K10482,Sales!A485:A10482,"&gt;="&amp;DATE(2026,3,1),Sales!A485:A10482,"&lt;"&amp;DATE(2026,4,1))</f>
        <v>0</v>
      </c>
      <c r="C519" s="327"/>
      <c r="E519" s="331" t="s">
        <v>10165</v>
      </c>
      <c r="G519" s="331" t="s">
        <v>10196</v>
      </c>
      <c r="H519" s="21"/>
    </row>
    <row r="520">
      <c r="A520" s="331" t="s">
        <v>10197</v>
      </c>
      <c r="B520" s="326">
        <f>SUMIFS(Sales!F485:F10482,Sales!A485:A10482,"&gt;="&amp;DATE(2026,4,1),Sales!A485:A10482,"&lt;"&amp;DATE(2026,5,1))</f>
        <v>0</v>
      </c>
      <c r="C520" s="327"/>
      <c r="E520" s="331" t="s">
        <v>10165</v>
      </c>
      <c r="G520" s="331" t="s">
        <v>10198</v>
      </c>
      <c r="H520" s="21"/>
    </row>
    <row r="521">
      <c r="A521" s="331" t="s">
        <v>10199</v>
      </c>
      <c r="B521" s="326">
        <f>SUMIFS(Sales!K485:K10482,Sales!A485:A10482,"&gt;="&amp;DATE(2026,4,1),Sales!A485:A10482,"&lt;"&amp;DATE(2026,5,1))</f>
        <v>0</v>
      </c>
      <c r="C521" s="327"/>
      <c r="E521" s="331" t="s">
        <v>10165</v>
      </c>
      <c r="G521" s="331" t="s">
        <v>10200</v>
      </c>
      <c r="H521" s="21"/>
    </row>
    <row r="522">
      <c r="A522" s="331" t="s">
        <v>10201</v>
      </c>
      <c r="B522" s="326">
        <f>SUMIFS(Sales!F485:F10482,Sales!A485:A10482,"&gt;="&amp;DATE(2026,5,1),Sales!A485:A10482,"&lt;"&amp;DATE(2026,6,1))</f>
        <v>0</v>
      </c>
      <c r="C522" s="327"/>
      <c r="E522" s="331" t="s">
        <v>10165</v>
      </c>
      <c r="G522" s="331" t="s">
        <v>10202</v>
      </c>
      <c r="H522" s="21"/>
    </row>
    <row r="523">
      <c r="A523" s="331" t="s">
        <v>10203</v>
      </c>
      <c r="B523" s="326">
        <f>SUMIFS(Sales!K485:K10482,Sales!A485:A10482,"&gt;="&amp;DATE(2026,5,1),Sales!A485:A10482,"&lt;"&amp;DATE(2026,6,1))</f>
        <v>0</v>
      </c>
      <c r="C523" s="327"/>
      <c r="E523" s="331" t="s">
        <v>10165</v>
      </c>
      <c r="G523" s="331" t="s">
        <v>10204</v>
      </c>
      <c r="H523" s="21"/>
    </row>
    <row r="524">
      <c r="A524" s="331" t="s">
        <v>10205</v>
      </c>
      <c r="B524" s="326">
        <f>SUMIFS(Sales!F485:F10482,Sales!A485:A10482,"&gt;="&amp;DATE(2026,6,1),Sales!A485:A10482,"&lt;"&amp;DATE(2026,7,1))</f>
        <v>0</v>
      </c>
      <c r="C524" s="327"/>
      <c r="E524" s="331" t="s">
        <v>10165</v>
      </c>
      <c r="G524" s="331" t="s">
        <v>10206</v>
      </c>
      <c r="H524" s="21"/>
    </row>
    <row r="525">
      <c r="A525" s="331" t="s">
        <v>10207</v>
      </c>
      <c r="B525" s="326">
        <f>SUMIFS(Sales!K485:K10482,Sales!A485:A10482,"&gt;="&amp;DATE(2026,6,1),Sales!A485:A10482,"&lt;"&amp;DATE(2026,7,1))</f>
        <v>0</v>
      </c>
      <c r="C525" s="327"/>
      <c r="E525" s="331" t="s">
        <v>10165</v>
      </c>
      <c r="G525" s="331" t="s">
        <v>10208</v>
      </c>
      <c r="H525" s="21"/>
    </row>
    <row r="526">
      <c r="A526" s="331" t="s">
        <v>10209</v>
      </c>
      <c r="B526" s="326">
        <f>SUMIFS(Sales!F485:F10482,Sales!A485:A10482,"&gt;="&amp;DATE(2026,7,1),Sales!A485:A10482,"&lt;"&amp;DATE(2026,8,1))</f>
        <v>0</v>
      </c>
      <c r="C526" s="327"/>
      <c r="E526" s="331" t="s">
        <v>10165</v>
      </c>
      <c r="G526" s="331" t="s">
        <v>10210</v>
      </c>
      <c r="H526" s="21"/>
    </row>
    <row r="527">
      <c r="A527" s="331" t="s">
        <v>10211</v>
      </c>
      <c r="B527" s="326">
        <f>SUMIFS(Sales!K485:K10482,Sales!A485:A10482,"&gt;="&amp;DATE(2026,7,1),Sales!A485:A10482,"&lt;"&amp;DATE(2026,8,1))</f>
        <v>0</v>
      </c>
      <c r="C527" s="327"/>
      <c r="E527" s="331" t="s">
        <v>10165</v>
      </c>
      <c r="G527" s="331" t="s">
        <v>10212</v>
      </c>
      <c r="H527" s="21"/>
    </row>
    <row r="528">
      <c r="A528" s="331" t="s">
        <v>10213</v>
      </c>
      <c r="B528" s="326">
        <f>SUMIFS(Sales!F485:F10482,Sales!A485:A10482,"&gt;="&amp;DATE(2026,8,1),Sales!A485:A10482,"&lt;"&amp;DATE(2026,9,1))</f>
        <v>0</v>
      </c>
      <c r="C528" s="327"/>
      <c r="E528" s="331" t="s">
        <v>10165</v>
      </c>
      <c r="G528" s="331" t="s">
        <v>10214</v>
      </c>
      <c r="H528" s="21"/>
    </row>
    <row r="529">
      <c r="A529" s="331" t="s">
        <v>10215</v>
      </c>
      <c r="B529" s="326">
        <f>SUMIFS(Sales!K485:K10482,Sales!A485:A10482,"&gt;="&amp;DATE(2026,8,1),Sales!A485:A10482,"&lt;"&amp;DATE(2026,9,1))</f>
        <v>0</v>
      </c>
      <c r="C529" s="327"/>
      <c r="E529" s="331" t="s">
        <v>10165</v>
      </c>
      <c r="G529" s="331" t="s">
        <v>10216</v>
      </c>
      <c r="H529" s="21"/>
    </row>
    <row r="530">
      <c r="A530" s="331" t="s">
        <v>10217</v>
      </c>
      <c r="B530" s="326">
        <f>SUMIFS(Sales!F485:F10482,Sales!A485:A10482,"&gt;="&amp;DATE(2026,9,1),Sales!A485:A10482,"&lt;"&amp;DATE(2026,10,1))</f>
        <v>0</v>
      </c>
      <c r="C530" s="327"/>
      <c r="E530" s="331" t="s">
        <v>10165</v>
      </c>
      <c r="G530" s="331" t="s">
        <v>10218</v>
      </c>
      <c r="H530" s="21"/>
    </row>
    <row r="531">
      <c r="A531" s="331" t="s">
        <v>10219</v>
      </c>
      <c r="B531" s="326">
        <f>SUMIFS(Sales!K485:K10482,Sales!A485:A10482,"&gt;="&amp;DATE(2026,9,1),Sales!A485:A10482,"&lt;"&amp;DATE(2026,10,1))</f>
        <v>0</v>
      </c>
      <c r="C531" s="327"/>
      <c r="E531" s="331" t="s">
        <v>10165</v>
      </c>
      <c r="G531" s="331" t="s">
        <v>10220</v>
      </c>
      <c r="H531" s="21"/>
    </row>
    <row r="532">
      <c r="A532" s="331" t="s">
        <v>10221</v>
      </c>
      <c r="B532" s="326">
        <f>SUMIFS(Sales!F485:F10482,Sales!A485:A10482,"&gt;="&amp;DATE(2026,10,1),Sales!A485:A10482,"&lt;"&amp;DATE(2026,11,1))</f>
        <v>0</v>
      </c>
      <c r="C532" s="327"/>
      <c r="E532" s="331" t="s">
        <v>10165</v>
      </c>
      <c r="G532" s="331" t="s">
        <v>10222</v>
      </c>
      <c r="H532" s="21"/>
    </row>
    <row r="533">
      <c r="A533" s="331" t="s">
        <v>10223</v>
      </c>
      <c r="B533" s="326">
        <f>SUMIFS(Sales!K485:K10482,Sales!A485:A10482,"&gt;="&amp;DATE(2026,10,1),Sales!A485:A10482,"&lt;"&amp;DATE(2026,11,1))</f>
        <v>0</v>
      </c>
      <c r="C533" s="327"/>
      <c r="E533" s="331" t="s">
        <v>10165</v>
      </c>
      <c r="G533" s="331" t="s">
        <v>10224</v>
      </c>
      <c r="H533" s="21"/>
    </row>
    <row r="534">
      <c r="A534" s="331" t="s">
        <v>10225</v>
      </c>
      <c r="B534" s="326">
        <f>SUMIFS(Sales!F485:F10482,Sales!A485:A10482,"&gt;="&amp;DATE(2026,11,1),Sales!A485:A10482,"&lt;"&amp;DATE(2026,12,1))</f>
        <v>0</v>
      </c>
      <c r="C534" s="327"/>
      <c r="E534" s="331" t="s">
        <v>10165</v>
      </c>
      <c r="G534" s="331" t="s">
        <v>10226</v>
      </c>
      <c r="H534" s="21"/>
    </row>
    <row r="535">
      <c r="A535" s="331" t="s">
        <v>10227</v>
      </c>
      <c r="B535" s="326">
        <f>SUMIFS(Sales!K485:K10482,Sales!A485:A10482,"&gt;="&amp;DATE(2026,11,1),Sales!A485:A10482,"&lt;"&amp;DATE(2026,12,1))</f>
        <v>0</v>
      </c>
      <c r="C535" s="327"/>
      <c r="E535" s="331" t="s">
        <v>10165</v>
      </c>
      <c r="G535" s="331" t="s">
        <v>10228</v>
      </c>
      <c r="H535" s="21"/>
    </row>
    <row r="536">
      <c r="A536" s="331" t="s">
        <v>10229</v>
      </c>
      <c r="B536" s="326">
        <f>SUMIFS(Sales!F485:F10482,Sales!A485:A10482,"&gt;="&amp;DATE(2026,12,1),Sales!A485:A10482,"&lt;"&amp;DATE(2027,1,1))</f>
        <v>0</v>
      </c>
      <c r="C536" s="327"/>
      <c r="E536" s="331" t="s">
        <v>10165</v>
      </c>
      <c r="G536" s="331" t="s">
        <v>10230</v>
      </c>
      <c r="H536" s="21"/>
    </row>
    <row r="537">
      <c r="A537" s="331" t="s">
        <v>10231</v>
      </c>
      <c r="B537" s="326">
        <f>SUMIFS(Sales!K485:K10482,Sales!A485:A10482,"&gt;="&amp;DATE(2026,12,1),Sales!A485:A10482,"&lt;"&amp;DATE(2027,1,1))</f>
        <v>0</v>
      </c>
      <c r="C537" s="327"/>
      <c r="E537" s="331" t="s">
        <v>10165</v>
      </c>
      <c r="G537" s="331" t="s">
        <v>10232</v>
      </c>
      <c r="H537" s="21"/>
    </row>
    <row r="538">
      <c r="A538" s="331" t="s">
        <v>10233</v>
      </c>
      <c r="B538" s="326">
        <f>SUMIF('Overhead Expenses'!D482:D5479,"Bags &amp; Packaging",'Overhead Expenses'!K482:K5479)</f>
        <v>0</v>
      </c>
      <c r="C538" s="327"/>
      <c r="E538" s="331" t="s">
        <v>10234</v>
      </c>
      <c r="G538" s="331" t="s">
        <v>10235</v>
      </c>
      <c r="H538" s="21"/>
    </row>
    <row r="539">
      <c r="B539" s="326"/>
      <c r="C539" s="327"/>
      <c r="H539" s="21"/>
    </row>
    <row r="540">
      <c r="A540" s="28" t="s">
        <v>6062</v>
      </c>
      <c r="B540" s="326">
        <f>SUMIF('Overhead Expenses'!D482:D5479,"Cleaning &amp; Sanitation",'Overhead Expenses'!K482:K5479)</f>
        <v>0</v>
      </c>
      <c r="C540" s="327"/>
      <c r="E540" s="331" t="s">
        <v>10234</v>
      </c>
      <c r="G540" s="331" t="s">
        <v>10236</v>
      </c>
      <c r="H540" s="21"/>
    </row>
    <row r="541">
      <c r="A541" s="28" t="s">
        <v>5989</v>
      </c>
      <c r="B541" s="326">
        <f>SUMIF('Overhead Expenses'!D482:D5479,"Climate &amp; Environment",'Overhead Expenses'!K482:K5479)</f>
        <v>0</v>
      </c>
      <c r="C541" s="327"/>
      <c r="E541" s="331" t="s">
        <v>10234</v>
      </c>
      <c r="G541" s="331" t="s">
        <v>10237</v>
      </c>
      <c r="H541" s="21"/>
    </row>
    <row r="542">
      <c r="A542" s="28" t="s">
        <v>6069</v>
      </c>
      <c r="B542" s="326">
        <f>SUMIF('Overhead Expenses'!D482:D5479,"Inbound Shipping",'Overhead Expenses'!K482:K5479)</f>
        <v>0</v>
      </c>
      <c r="C542" s="327"/>
      <c r="E542" s="331" t="s">
        <v>10234</v>
      </c>
      <c r="G542" s="331" t="s">
        <v>10238</v>
      </c>
      <c r="H542" s="21"/>
    </row>
    <row r="543">
      <c r="A543" s="28" t="s">
        <v>6003</v>
      </c>
      <c r="B543" s="326">
        <f>SUMIF('Overhead Expenses'!D482:D5479,"Labels &amp; Stickers",'Overhead Expenses'!K482:K5479)</f>
        <v>0</v>
      </c>
      <c r="C543" s="327"/>
      <c r="E543" s="331" t="s">
        <v>10234</v>
      </c>
      <c r="G543" s="331" t="s">
        <v>10239</v>
      </c>
      <c r="H543" s="21"/>
    </row>
    <row r="544">
      <c r="A544" s="28" t="s">
        <v>6092</v>
      </c>
      <c r="B544" s="326">
        <f>SUMIF('Overhead Expenses'!D482:D5479,"Labor",'Overhead Expenses'!K482:K5479)</f>
        <v>0</v>
      </c>
      <c r="C544" s="327"/>
      <c r="E544" s="331" t="s">
        <v>10234</v>
      </c>
      <c r="G544" s="331" t="s">
        <v>10240</v>
      </c>
      <c r="H544" s="21"/>
    </row>
    <row r="545">
      <c r="A545" s="28" t="s">
        <v>1103</v>
      </c>
      <c r="B545" s="326">
        <f>SUMIF('Overhead Expenses'!D482:D5479,"Licenses &amp; Fees",'Overhead Expenses'!K482:K5479)</f>
        <v>0</v>
      </c>
      <c r="C545" s="327"/>
      <c r="E545" s="331" t="s">
        <v>10234</v>
      </c>
      <c r="G545" s="331" t="s">
        <v>10241</v>
      </c>
      <c r="H545" s="21"/>
    </row>
    <row r="546">
      <c r="A546" s="28" t="s">
        <v>6032</v>
      </c>
      <c r="B546" s="326">
        <f>SUMIF('Overhead Expenses'!D482:D5479,"Lighting",'Overhead Expenses'!K482:K5479)</f>
        <v>0</v>
      </c>
      <c r="C546" s="327"/>
      <c r="E546" s="331" t="s">
        <v>10234</v>
      </c>
      <c r="G546" s="331" t="s">
        <v>10242</v>
      </c>
      <c r="H546" s="21"/>
    </row>
    <row r="547">
      <c r="A547" s="28" t="s">
        <v>6130</v>
      </c>
      <c r="B547" s="326">
        <f>SUMIF('Overhead Expenses'!D482:D5479,"Market Fees &amp; Supplies",'Overhead Expenses'!K482:K5479)</f>
        <v>0</v>
      </c>
      <c r="C547" s="327"/>
      <c r="E547" s="331" t="s">
        <v>10234</v>
      </c>
      <c r="G547" s="331" t="s">
        <v>10243</v>
      </c>
      <c r="H547" s="21"/>
    </row>
    <row r="548">
      <c r="A548" s="28" t="s">
        <v>6247</v>
      </c>
      <c r="B548" s="326">
        <f>SUMIF('Overhead Expenses'!D482:D5479,"Office &amp; Admin Supplies",'Overhead Expenses'!K482:K5479)</f>
        <v>0</v>
      </c>
      <c r="C548" s="327"/>
      <c r="E548" s="331" t="s">
        <v>10234</v>
      </c>
      <c r="G548" s="331" t="s">
        <v>10244</v>
      </c>
      <c r="H548" s="21"/>
    </row>
    <row r="549">
      <c r="A549" s="28" t="s">
        <v>6336</v>
      </c>
      <c r="B549" s="326">
        <f>SUMIF('Overhead Expenses'!D482:D5479,"Outbound Shipping",'Overhead Expenses'!K482:K5479)</f>
        <v>0</v>
      </c>
      <c r="C549" s="327"/>
      <c r="E549" s="331" t="s">
        <v>10234</v>
      </c>
      <c r="G549" s="331" t="s">
        <v>10245</v>
      </c>
      <c r="H549" s="21"/>
    </row>
    <row r="550">
      <c r="A550" s="28" t="s">
        <v>6224</v>
      </c>
      <c r="B550" s="326">
        <f>SUMIF('Overhead Expenses'!D482:D5479,"Packing &amp; Shipping",'Overhead Expenses'!K482:K5479)</f>
        <v>0</v>
      </c>
      <c r="C550" s="327"/>
      <c r="E550" s="331" t="s">
        <v>10234</v>
      </c>
      <c r="G550" s="331" t="s">
        <v>10246</v>
      </c>
      <c r="H550" s="21"/>
    </row>
    <row r="551">
      <c r="A551" s="28" t="s">
        <v>6260</v>
      </c>
      <c r="B551" s="326">
        <f>SUMIF('Overhead Expenses'!D482:D5479,"Plant Tags &amp; Labels",'Overhead Expenses'!K482:K5479)</f>
        <v>0</v>
      </c>
      <c r="C551" s="327"/>
      <c r="E551" s="331" t="s">
        <v>10234</v>
      </c>
      <c r="G551" s="331" t="s">
        <v>10247</v>
      </c>
      <c r="H551" s="21"/>
    </row>
    <row r="552">
      <c r="A552" s="28" t="s">
        <v>5997</v>
      </c>
      <c r="B552" s="326">
        <f>SUMIF('Overhead Expenses'!D482:D5479,"Propagation Supplies",'Overhead Expenses'!K482:K5479)</f>
        <v>0</v>
      </c>
      <c r="C552" s="327"/>
      <c r="E552" s="331" t="s">
        <v>10234</v>
      </c>
      <c r="G552" s="331" t="s">
        <v>10248</v>
      </c>
      <c r="H552" s="21"/>
    </row>
    <row r="553">
      <c r="A553" s="28" t="s">
        <v>6387</v>
      </c>
      <c r="B553" s="326">
        <f>SUMIF('Overhead Expenses'!D482:D5479,"Repairs &amp; Maintenance",'Overhead Expenses'!K482:K5479)</f>
        <v>0</v>
      </c>
      <c r="C553" s="327"/>
      <c r="E553" s="331" t="s">
        <v>10234</v>
      </c>
      <c r="G553" s="331" t="s">
        <v>10249</v>
      </c>
      <c r="H553" s="21"/>
    </row>
    <row r="554">
      <c r="A554" s="28" t="s">
        <v>6315</v>
      </c>
      <c r="B554" s="326">
        <f>SUMIF('Overhead Expenses'!D482:D5479,"Security",'Overhead Expenses'!K482:K5479)</f>
        <v>0</v>
      </c>
      <c r="C554" s="327"/>
      <c r="E554" s="331" t="s">
        <v>10234</v>
      </c>
      <c r="G554" s="331" t="s">
        <v>10250</v>
      </c>
      <c r="H554" s="21"/>
    </row>
    <row r="555">
      <c r="A555" s="28" t="s">
        <v>6497</v>
      </c>
      <c r="B555" s="326">
        <f>SUMIF('Overhead Expenses'!D482:D5479,"Selling Fee",'Overhead Expenses'!K482:K5479)</f>
        <v>0</v>
      </c>
      <c r="C555" s="327"/>
      <c r="E555" s="331" t="s">
        <v>10234</v>
      </c>
      <c r="G555" s="331" t="s">
        <v>10251</v>
      </c>
      <c r="H555" s="21"/>
    </row>
    <row r="556">
      <c r="A556" s="28" t="s">
        <v>6464</v>
      </c>
      <c r="B556" s="326">
        <f>SUMIF('Overhead Expenses'!D482:D5479,"Shade &amp; Protection",'Overhead Expenses'!K482:K5479)</f>
        <v>0</v>
      </c>
      <c r="C556" s="327"/>
      <c r="E556" s="331" t="s">
        <v>10234</v>
      </c>
      <c r="G556" s="331" t="s">
        <v>10252</v>
      </c>
      <c r="H556" s="21"/>
    </row>
    <row r="557">
      <c r="A557" s="28" t="s">
        <v>5985</v>
      </c>
      <c r="B557" s="326">
        <f>SUMIF('Overhead Expenses'!D482:D5479,"Shelving/Fixtures",'Overhead Expenses'!K482:K5479)</f>
        <v>0</v>
      </c>
      <c r="C557" s="327"/>
      <c r="E557" s="331" t="s">
        <v>10234</v>
      </c>
      <c r="G557" s="331" t="s">
        <v>10253</v>
      </c>
      <c r="H557" s="21"/>
    </row>
    <row r="558">
      <c r="A558" s="28" t="s">
        <v>6482</v>
      </c>
      <c r="B558" s="326">
        <f>SUMIF('Overhead Expenses'!D482:D5479,"Shipping Boxes",'Overhead Expenses'!K482:K5479)</f>
        <v>0</v>
      </c>
      <c r="C558" s="327"/>
      <c r="E558" s="331" t="s">
        <v>10234</v>
      </c>
      <c r="G558" s="331" t="s">
        <v>10254</v>
      </c>
      <c r="H558" s="21"/>
    </row>
    <row r="559">
      <c r="A559" s="28" t="s">
        <v>6325</v>
      </c>
      <c r="B559" s="326">
        <f>SUMIF('Overhead Expenses'!D482:D5479,"Sign",'Overhead Expenses'!K482:K5479)</f>
        <v>0</v>
      </c>
      <c r="C559" s="327"/>
      <c r="E559" s="331" t="s">
        <v>10234</v>
      </c>
      <c r="G559" s="331" t="s">
        <v>10255</v>
      </c>
      <c r="H559" s="21"/>
    </row>
    <row r="560">
      <c r="A560" s="28" t="s">
        <v>5993</v>
      </c>
      <c r="B560" s="326">
        <f>SUMIF('Overhead Expenses'!D482:D5479,"Soil &amp; Amendments",'Overhead Expenses'!K482:K5479)</f>
        <v>0</v>
      </c>
      <c r="C560" s="327"/>
      <c r="E560" s="331" t="s">
        <v>10234</v>
      </c>
      <c r="G560" s="331" t="s">
        <v>10256</v>
      </c>
      <c r="H560" s="21"/>
    </row>
    <row r="561">
      <c r="A561" s="28" t="s">
        <v>6150</v>
      </c>
      <c r="B561" s="326">
        <f>SUMIF('Overhead Expenses'!D482:D5479,"Stationery &amp; Print",'Overhead Expenses'!K482:K5479)</f>
        <v>0</v>
      </c>
      <c r="C561" s="327"/>
      <c r="E561" s="331" t="s">
        <v>10234</v>
      </c>
      <c r="G561" s="331" t="s">
        <v>10257</v>
      </c>
      <c r="H561" s="21"/>
    </row>
    <row r="562">
      <c r="A562" s="28" t="s">
        <v>6137</v>
      </c>
      <c r="B562" s="326">
        <f>SUMIF('Overhead Expenses'!D482:D5479,"Table Covers &amp; Displays",'Overhead Expenses'!K482:K5479)</f>
        <v>0</v>
      </c>
      <c r="C562" s="327"/>
      <c r="E562" s="331" t="s">
        <v>10234</v>
      </c>
      <c r="G562" s="331" t="s">
        <v>10258</v>
      </c>
      <c r="H562" s="21"/>
    </row>
    <row r="563">
      <c r="A563" s="28" t="s">
        <v>6147</v>
      </c>
      <c r="B563" s="326">
        <f>SUMIF('Overhead Expenses'!D482:D5479,"Tables &amp; Furniture",'Overhead Expenses'!K482:K5479)</f>
        <v>0</v>
      </c>
      <c r="C563" s="327"/>
      <c r="E563" s="331" t="s">
        <v>10234</v>
      </c>
      <c r="G563" s="331" t="s">
        <v>10259</v>
      </c>
      <c r="H563" s="21"/>
    </row>
    <row r="564">
      <c r="A564" s="28" t="s">
        <v>6502</v>
      </c>
      <c r="B564" s="326">
        <f>SUMIF('Overhead Expenses'!D482:D5479,"Tax",'Overhead Expenses'!K482:K5479)</f>
        <v>0</v>
      </c>
      <c r="C564" s="327"/>
      <c r="E564" s="331" t="s">
        <v>10234</v>
      </c>
      <c r="G564" s="331" t="s">
        <v>10260</v>
      </c>
      <c r="H564" s="21"/>
    </row>
    <row r="565">
      <c r="A565" s="28" t="s">
        <v>5981</v>
      </c>
      <c r="B565" s="326">
        <f>SUMIF('Overhead Expenses'!D482:D5479,"Tools &amp; Supplies",'Overhead Expenses'!K482:K5479)</f>
        <v>0</v>
      </c>
      <c r="C565" s="327"/>
      <c r="E565" s="331" t="s">
        <v>10234</v>
      </c>
      <c r="G565" s="331" t="s">
        <v>10261</v>
      </c>
      <c r="H565" s="21"/>
    </row>
    <row r="566">
      <c r="A566" s="28" t="s">
        <v>6021</v>
      </c>
      <c r="B566" s="326">
        <f>SUMIF('Overhead Expenses'!D482:D5479,"Treatments &amp; Fertilizers",'Overhead Expenses'!K482:K5479)</f>
        <v>0</v>
      </c>
      <c r="C566" s="327"/>
      <c r="E566" s="331" t="s">
        <v>10234</v>
      </c>
      <c r="G566" s="331" t="s">
        <v>10262</v>
      </c>
      <c r="H566" s="21"/>
    </row>
    <row r="567">
      <c r="A567" s="28" t="s">
        <v>6300</v>
      </c>
      <c r="B567" s="326">
        <f>SUMIF('Overhead Expenses'!D482:D5479,"Uniforms &amp; Workwear",'Overhead Expenses'!K482:K5479)</f>
        <v>0</v>
      </c>
      <c r="C567" s="327"/>
      <c r="E567" s="331" t="s">
        <v>10234</v>
      </c>
      <c r="G567" s="331" t="s">
        <v>10263</v>
      </c>
      <c r="H567" s="21"/>
    </row>
    <row r="568">
      <c r="A568" s="331" t="s">
        <v>10264</v>
      </c>
      <c r="B568" s="326"/>
      <c r="C568" s="327"/>
      <c r="D568" s="331">
        <f>COUNTIF('Plant Inventory'!J11:J1147,"Available")</f>
        <v>6</v>
      </c>
      <c r="E568" s="331" t="s">
        <v>10265</v>
      </c>
      <c r="F568" s="331" t="s">
        <v>10266</v>
      </c>
      <c r="G568" s="331" t="s">
        <v>10267</v>
      </c>
      <c r="H568" s="21"/>
    </row>
    <row r="569">
      <c r="A569" s="331" t="s">
        <v>10268</v>
      </c>
      <c r="B569" s="326"/>
      <c r="C569" s="327"/>
      <c r="D569" s="331">
        <f>COUNTIF('Plant Inventory'!J11:J1147,"Sold")</f>
        <v>114</v>
      </c>
      <c r="E569" s="331" t="s">
        <v>10265</v>
      </c>
      <c r="F569" s="331" t="s">
        <v>10269</v>
      </c>
      <c r="G569" s="331" t="s">
        <v>10270</v>
      </c>
      <c r="H569" s="21"/>
    </row>
    <row r="570">
      <c r="A570" s="331" t="s">
        <v>10271</v>
      </c>
      <c r="B570" s="326"/>
      <c r="C570" s="327"/>
      <c r="D570" s="331">
        <f>COUNTIF('Plant Inventory'!J11:J1147,"Dead")</f>
        <v>45</v>
      </c>
      <c r="E570" s="331" t="s">
        <v>10265</v>
      </c>
      <c r="F570" s="331" t="s">
        <v>10272</v>
      </c>
      <c r="G570" s="331" t="s">
        <v>10273</v>
      </c>
      <c r="H570" s="21"/>
    </row>
    <row r="571">
      <c r="A571" s="331" t="s">
        <v>10274</v>
      </c>
      <c r="B571" s="326"/>
      <c r="C571" s="327"/>
      <c r="D571" s="331">
        <f>COUNTIF('Plant Inventory'!J11:J1147,"Damaged")</f>
        <v>0</v>
      </c>
      <c r="E571" s="331" t="s">
        <v>10265</v>
      </c>
      <c r="F571" s="331" t="s">
        <v>10275</v>
      </c>
      <c r="G571" s="331" t="s">
        <v>10276</v>
      </c>
      <c r="H571" s="21"/>
    </row>
    <row r="572">
      <c r="A572" s="331" t="s">
        <v>10277</v>
      </c>
      <c r="B572" s="326"/>
      <c r="C572" s="327"/>
      <c r="D572" s="331">
        <f>COUNTIF('Plant Inventory'!J11:J1147,"Giveaway")</f>
        <v>26</v>
      </c>
      <c r="E572" s="331" t="s">
        <v>10265</v>
      </c>
      <c r="F572" s="331" t="s">
        <v>10278</v>
      </c>
      <c r="G572" s="331" t="s">
        <v>10279</v>
      </c>
      <c r="H572" s="21"/>
    </row>
    <row r="573">
      <c r="A573" s="331" t="s">
        <v>10280</v>
      </c>
      <c r="B573" s="326">
        <f>SUMIF('Plant Inventory'!J11:J1147,"Available",'Plant Inventory'!D11:D1147)</f>
        <v>52.95</v>
      </c>
      <c r="C573" s="327"/>
      <c r="E573" s="331" t="s">
        <v>10265</v>
      </c>
      <c r="F573" s="331" t="s">
        <v>10281</v>
      </c>
      <c r="G573" s="331" t="s">
        <v>10282</v>
      </c>
      <c r="H573" s="21"/>
    </row>
    <row r="574">
      <c r="A574" s="331" t="s">
        <v>10283</v>
      </c>
      <c r="B574" s="326">
        <f>SUMIF('Plant Inventory'!J11:J1147,"Available",'Plant Inventory'!E11:E1147)</f>
        <v>17</v>
      </c>
      <c r="C574" s="327"/>
      <c r="E574" s="331" t="s">
        <v>10265</v>
      </c>
      <c r="F574" s="331" t="s">
        <v>10284</v>
      </c>
      <c r="G574" s="331" t="s">
        <v>10285</v>
      </c>
      <c r="H574" s="21"/>
    </row>
    <row r="575">
      <c r="A575" s="331" t="s">
        <v>10286</v>
      </c>
      <c r="B575" s="326">
        <f>SUMIF('Plant Inventory'!J11:J1147,"Dead",'Plant Inventory'!D11:D1147)</f>
        <v>331.99</v>
      </c>
      <c r="C575" s="327"/>
      <c r="E575" s="331" t="s">
        <v>10265</v>
      </c>
      <c r="F575" s="331" t="s">
        <v>10287</v>
      </c>
      <c r="G575" s="331" t="s">
        <v>10288</v>
      </c>
      <c r="H575" s="21"/>
    </row>
    <row r="576">
      <c r="A576" s="331" t="s">
        <v>10289</v>
      </c>
      <c r="B576" s="326">
        <f>SUMIF('Plant Inventory'!J11:J1147,"Damaged",'Plant Inventory'!D11:D1147)</f>
        <v>0</v>
      </c>
      <c r="C576" s="327"/>
      <c r="E576" s="331" t="s">
        <v>10265</v>
      </c>
      <c r="F576" s="331" t="s">
        <v>10290</v>
      </c>
      <c r="G576" s="331" t="s">
        <v>10291</v>
      </c>
      <c r="H576" s="21"/>
    </row>
    <row r="577">
      <c r="A577" s="331" t="s">
        <v>10292</v>
      </c>
      <c r="B577" s="326">
        <f>SUMIF('Plant Inventory'!J11:J1147,"Giveaway",'Plant Inventory'!D11:D1147)</f>
        <v>96.16</v>
      </c>
      <c r="C577" s="327"/>
      <c r="E577" s="331" t="s">
        <v>10265</v>
      </c>
      <c r="F577" s="331" t="s">
        <v>10293</v>
      </c>
      <c r="G577" s="331" t="s">
        <v>10294</v>
      </c>
      <c r="H577" s="21"/>
    </row>
    <row r="578">
      <c r="A578" s="331" t="s">
        <v>10295</v>
      </c>
      <c r="B578" s="326">
        <f>B575+B576+B577</f>
        <v>428.15</v>
      </c>
      <c r="C578" s="327"/>
      <c r="E578" s="331" t="s">
        <v>10265</v>
      </c>
      <c r="F578" s="331" t="s">
        <v>10296</v>
      </c>
      <c r="G578" s="331" t="s">
        <v>10297</v>
      </c>
      <c r="H578" s="21"/>
    </row>
    <row r="579">
      <c r="A579" s="331" t="s">
        <v>10298</v>
      </c>
      <c r="B579" s="326"/>
      <c r="C579" s="327"/>
      <c r="D579" s="331">
        <f>SUMPRODUCT((ISNUMBER(SEARCH("-PH-",'Plant Inventory'!B11:B1149)))*('Plant Inventory'!J11:J1149="Available")*('Plant Inventory'!Q11:Q1149=H579)*IFERROR(1/COUNTIFS('Plant Inventory'!B11:B1149,'Plant Inventory'!B11:B1149,'Plant Inventory'!J11:J1149,"Available",'Plant Inventory'!Q11:Q1149,H579),0))</f>
        <v>0</v>
      </c>
      <c r="E579" s="331" t="s">
        <v>10265</v>
      </c>
      <c r="F579" s="331" t="s">
        <v>10299</v>
      </c>
      <c r="G579" s="331" t="s">
        <v>10300</v>
      </c>
      <c r="H579" s="21"/>
    </row>
    <row r="580">
      <c r="A580" s="331" t="s">
        <v>10301</v>
      </c>
      <c r="B580" s="326"/>
      <c r="C580" s="327"/>
      <c r="D580" s="331">
        <f>SUMPRODUCT((ISNUMBER(SEARCH("-HO-",'Plant Inventory'!B11:B1149)))*('Plant Inventory'!J11:J1149="Available")*('Plant Inventory'!Q11:Q1149=H580)*IFERROR(1/COUNTIFS('Plant Inventory'!B11:B1149,'Plant Inventory'!B11:B1149,'Plant Inventory'!J11:J1149,"Available",'Plant Inventory'!Q11:Q1149,H580),0))</f>
        <v>0</v>
      </c>
      <c r="E580" s="331" t="s">
        <v>10265</v>
      </c>
      <c r="F580" s="331" t="s">
        <v>10299</v>
      </c>
      <c r="G580" s="331" t="s">
        <v>10302</v>
      </c>
      <c r="H580" s="21"/>
    </row>
    <row r="581">
      <c r="A581" s="331" t="s">
        <v>10303</v>
      </c>
      <c r="B581" s="326"/>
      <c r="C581" s="327"/>
      <c r="D581" s="331">
        <f>SUMPRODUCT((ISNUMBER(SEARCH("-AL-",'Plant Inventory'!B11:B1149)))*('Plant Inventory'!J11:J1149="Available")*('Plant Inventory'!Q11:Q1149=H581)*IFERROR(1/COUNTIFS('Plant Inventory'!B11:B1149,'Plant Inventory'!B11:B1149,'Plant Inventory'!J11:J1149,"Available",'Plant Inventory'!Q11:Q1149,H581),0))</f>
        <v>0</v>
      </c>
      <c r="E581" s="331" t="s">
        <v>10265</v>
      </c>
      <c r="F581" s="331" t="s">
        <v>10299</v>
      </c>
      <c r="G581" s="331" t="s">
        <v>10304</v>
      </c>
      <c r="H581" s="21"/>
    </row>
    <row r="582">
      <c r="B582" s="326"/>
      <c r="C582" s="327"/>
      <c r="H582" s="21"/>
    </row>
    <row r="583">
      <c r="A583" s="331" t="s">
        <v>10305</v>
      </c>
      <c r="B583" s="326"/>
      <c r="C583" s="327"/>
      <c r="D583" s="331">
        <f>SUMPRODUCT((ISNUMBER(SEARCH("SYN",'Plant Inventory'!B11:B1149)))*('Plant Inventory'!J11:J1149="Available")*('Plant Inventory'!Q11:Q1149=H583)*IFERROR(1/COUNTIFS('Plant Inventory'!B11:B1149,'Plant Inventory'!B11:B1149,'Plant Inventory'!J11:J1149,"Available",'Plant Inventory'!Q11:Q1149,H583),0))</f>
        <v>0</v>
      </c>
      <c r="E583" s="331" t="s">
        <v>10265</v>
      </c>
      <c r="F583" s="331" t="s">
        <v>10299</v>
      </c>
      <c r="G583" s="331" t="s">
        <v>10306</v>
      </c>
      <c r="H583" s="21"/>
    </row>
    <row r="584">
      <c r="A584" s="331" t="s">
        <v>10307</v>
      </c>
      <c r="B584" s="326"/>
      <c r="C584" s="327"/>
      <c r="D584" s="331">
        <f>COUNTA('Product Inventory'!B482:B1479)</f>
        <v>0</v>
      </c>
      <c r="E584" s="331" t="s">
        <v>10308</v>
      </c>
      <c r="F584" s="331" t="s">
        <v>10309</v>
      </c>
      <c r="G584" s="331" t="s">
        <v>10310</v>
      </c>
      <c r="H584" s="21"/>
    </row>
    <row r="585">
      <c r="A585" s="331" t="s">
        <v>10311</v>
      </c>
      <c r="B585" s="326"/>
      <c r="C585" s="327"/>
      <c r="D585" s="331">
        <f>SUMIF('Product Inventory'!K482:K1479,"Available",'Product Inventory'!J482:J1479)</f>
        <v>0</v>
      </c>
      <c r="E585" s="331" t="s">
        <v>10308</v>
      </c>
      <c r="F585" s="331" t="s">
        <v>10312</v>
      </c>
      <c r="G585" s="331" t="s">
        <v>10313</v>
      </c>
      <c r="H585" s="21"/>
    </row>
    <row r="586">
      <c r="A586" s="331" t="s">
        <v>10314</v>
      </c>
      <c r="B586" s="326"/>
      <c r="C586" s="327"/>
      <c r="D586" s="331">
        <f>SUM('Product Inventory'!H482:H1479)</f>
        <v>0</v>
      </c>
      <c r="E586" s="331" t="s">
        <v>10308</v>
      </c>
      <c r="F586" s="331" t="s">
        <v>10315</v>
      </c>
      <c r="G586" s="331" t="s">
        <v>10316</v>
      </c>
      <c r="H586" s="21"/>
    </row>
    <row r="587">
      <c r="A587" s="331" t="s">
        <v>10317</v>
      </c>
      <c r="B587" s="326"/>
      <c r="C587" s="327"/>
      <c r="D587" s="331">
        <f>SUM('Product Inventory'!I482:I1479)</f>
        <v>0</v>
      </c>
      <c r="E587" s="331" t="s">
        <v>10308</v>
      </c>
      <c r="F587" s="331" t="s">
        <v>10318</v>
      </c>
      <c r="G587" s="331" t="s">
        <v>10319</v>
      </c>
      <c r="H587" s="21"/>
    </row>
    <row r="588">
      <c r="A588" s="331" t="s">
        <v>10320</v>
      </c>
      <c r="B588" s="326">
        <f>SUMPRODUCT('Product Inventory'!D482:D1479*'Product Inventory'!G482:G1479)</f>
        <v>0</v>
      </c>
      <c r="C588" s="327"/>
      <c r="E588" s="331" t="s">
        <v>10308</v>
      </c>
      <c r="F588" s="331" t="s">
        <v>10321</v>
      </c>
      <c r="G588" s="331" t="s">
        <v>10322</v>
      </c>
      <c r="H588" s="21"/>
    </row>
    <row r="589">
      <c r="A589" s="331" t="s">
        <v>10323</v>
      </c>
      <c r="B589" s="326">
        <f>SUMPRODUCT('Product Inventory'!D482:D1479*'Product Inventory'!J482:J1479)</f>
        <v>0</v>
      </c>
      <c r="C589" s="327"/>
      <c r="E589" s="331" t="s">
        <v>10308</v>
      </c>
      <c r="F589" s="331" t="s">
        <v>10324</v>
      </c>
      <c r="G589" s="331" t="s">
        <v>10325</v>
      </c>
      <c r="H589" s="21"/>
    </row>
    <row r="590">
      <c r="A590" s="331" t="s">
        <v>10326</v>
      </c>
      <c r="B590" s="326">
        <f>SUMPRODUCT('Product Inventory'!E482:E1479*'Product Inventory'!J482:J1479)</f>
        <v>0</v>
      </c>
      <c r="C590" s="327"/>
      <c r="E590" s="331" t="s">
        <v>10308</v>
      </c>
      <c r="F590" s="331" t="s">
        <v>10327</v>
      </c>
      <c r="G590" s="331" t="s">
        <v>10328</v>
      </c>
      <c r="H590" s="21"/>
    </row>
    <row r="591">
      <c r="A591" s="331" t="s">
        <v>10329</v>
      </c>
      <c r="B591" s="326"/>
      <c r="C591" s="327"/>
      <c r="D591" s="331">
        <f>COUNTIF('Product Inventory'!K482:K1479,"Out of Stock")</f>
        <v>0</v>
      </c>
      <c r="E591" s="331" t="s">
        <v>10308</v>
      </c>
      <c r="F591" s="331" t="s">
        <v>10330</v>
      </c>
      <c r="G591" s="331" t="s">
        <v>10331</v>
      </c>
      <c r="H591" s="21"/>
    </row>
    <row r="592">
      <c r="A592" s="331" t="s">
        <v>10332</v>
      </c>
      <c r="B592" s="326">
        <f>B485</f>
        <v>0</v>
      </c>
      <c r="C592" s="327"/>
      <c r="E592" s="331" t="s">
        <v>6502</v>
      </c>
      <c r="F592" s="331" t="s">
        <v>10333</v>
      </c>
      <c r="G592" s="331" t="s">
        <v>10334</v>
      </c>
      <c r="H592" s="21"/>
    </row>
    <row r="593">
      <c r="A593" s="331" t="s">
        <v>10335</v>
      </c>
      <c r="B593" s="326">
        <f>B488</f>
        <v>706.8</v>
      </c>
      <c r="C593" s="327"/>
      <c r="E593" s="331" t="s">
        <v>6502</v>
      </c>
      <c r="F593" s="331" t="s">
        <v>10336</v>
      </c>
      <c r="G593" s="331" t="s">
        <v>10337</v>
      </c>
      <c r="H593" s="21"/>
    </row>
    <row r="594">
      <c r="A594" s="331" t="s">
        <v>10338</v>
      </c>
      <c r="B594" s="326">
        <f>B491</f>
        <v>0</v>
      </c>
      <c r="C594" s="327"/>
      <c r="E594" s="331" t="s">
        <v>6502</v>
      </c>
      <c r="F594" s="331" t="s">
        <v>10339</v>
      </c>
      <c r="G594" s="331" t="s">
        <v>10340</v>
      </c>
      <c r="H594" s="21"/>
    </row>
    <row r="595">
      <c r="A595" s="331" t="s">
        <v>10341</v>
      </c>
      <c r="B595" s="326">
        <f>B593+B594</f>
        <v>706.8</v>
      </c>
      <c r="C595" s="327"/>
      <c r="E595" s="331" t="s">
        <v>6502</v>
      </c>
      <c r="F595" s="331" t="s">
        <v>10342</v>
      </c>
      <c r="G595" s="331" t="s">
        <v>10343</v>
      </c>
      <c r="H595" s="21"/>
    </row>
    <row r="596">
      <c r="A596" s="331" t="s">
        <v>10344</v>
      </c>
      <c r="B596" s="326">
        <f>B592-B595</f>
        <v>-706.8</v>
      </c>
      <c r="C596" s="327"/>
      <c r="E596" s="331" t="s">
        <v>6502</v>
      </c>
      <c r="F596" s="331" t="s">
        <v>10345</v>
      </c>
      <c r="G596" s="331" t="s">
        <v>10346</v>
      </c>
      <c r="H596" s="21"/>
    </row>
    <row r="597">
      <c r="A597" s="331" t="s">
        <v>10347</v>
      </c>
      <c r="B597" s="326">
        <f>B573</f>
        <v>52.95</v>
      </c>
      <c r="C597" s="327"/>
      <c r="E597" s="331" t="s">
        <v>6502</v>
      </c>
      <c r="F597" s="331" t="s">
        <v>10348</v>
      </c>
      <c r="G597" s="331" t="s">
        <v>10349</v>
      </c>
      <c r="H597" s="21"/>
    </row>
    <row r="598">
      <c r="A598" s="331" t="s">
        <v>10350</v>
      </c>
      <c r="B598" s="326">
        <f>B589</f>
        <v>0</v>
      </c>
      <c r="C598" s="327"/>
      <c r="E598" s="331" t="s">
        <v>6502</v>
      </c>
      <c r="F598" s="331" t="s">
        <v>10348</v>
      </c>
      <c r="G598" s="331" t="s">
        <v>10351</v>
      </c>
      <c r="H598" s="21"/>
    </row>
    <row r="599">
      <c r="A599" s="331" t="s">
        <v>10352</v>
      </c>
      <c r="B599" s="326">
        <f>B578</f>
        <v>428.15</v>
      </c>
      <c r="C599" s="327"/>
      <c r="E599" s="331" t="s">
        <v>6502</v>
      </c>
      <c r="F599" s="331" t="s">
        <v>10353</v>
      </c>
      <c r="G599" s="331" t="s">
        <v>10354</v>
      </c>
      <c r="H599" s="21"/>
    </row>
    <row r="600">
      <c r="B600" s="326"/>
      <c r="C600" s="327"/>
    </row>
    <row r="601">
      <c r="B601" s="326"/>
      <c r="C601" s="327"/>
    </row>
    <row r="602">
      <c r="B602" s="326"/>
      <c r="C602" s="327"/>
    </row>
    <row r="603">
      <c r="A603" s="325" t="s">
        <v>10105</v>
      </c>
      <c r="B603" s="326"/>
      <c r="C603" s="327"/>
    </row>
    <row r="604">
      <c r="A604" s="328" t="s">
        <v>10106</v>
      </c>
      <c r="B604" s="329" t="s">
        <v>10107</v>
      </c>
      <c r="C604" s="330" t="s">
        <v>10108</v>
      </c>
      <c r="D604" s="328" t="s">
        <v>10109</v>
      </c>
      <c r="E604" s="328" t="s">
        <v>10110</v>
      </c>
      <c r="F604" s="328" t="s">
        <v>1035</v>
      </c>
      <c r="G604" s="328" t="s">
        <v>8585</v>
      </c>
      <c r="H604" s="28" t="s">
        <v>14</v>
      </c>
    </row>
    <row r="605">
      <c r="A605" s="331" t="s">
        <v>10111</v>
      </c>
      <c r="B605" s="326">
        <f>SUMIF(Sales!B605:B10602,"&lt;&gt;",Sales!F605:F10602)</f>
        <v>0</v>
      </c>
      <c r="C605" s="327"/>
      <c r="E605" s="28" t="s">
        <v>10112</v>
      </c>
      <c r="F605" s="331" t="s">
        <v>10113</v>
      </c>
      <c r="G605" s="331" t="s">
        <v>10114</v>
      </c>
      <c r="H605" s="21"/>
    </row>
    <row r="606">
      <c r="A606" s="331" t="s">
        <v>10115</v>
      </c>
      <c r="B606" s="326">
        <f>SUMPRODUCT(('Plant Inventory'!J21:J1267="Sold")*('Plant Inventory'!D21:D1267))</f>
        <v>706.8</v>
      </c>
      <c r="C606" s="327"/>
      <c r="E606" s="28" t="s">
        <v>10112</v>
      </c>
      <c r="F606" s="331" t="s">
        <v>10116</v>
      </c>
      <c r="G606" s="331" t="s">
        <v>10117</v>
      </c>
      <c r="H606" s="21"/>
    </row>
    <row r="607">
      <c r="A607" s="331" t="s">
        <v>10118</v>
      </c>
      <c r="B607" s="326">
        <f>SUMPRODUCT((Sales!B605:B10602&lt;&gt;"")*ISNUMBER(MATCH(Sales!B605:B10602,'Product Inventory'!B602:B1599,0))*Sales!J605:J10602)</f>
        <v>0</v>
      </c>
      <c r="C607" s="327"/>
      <c r="E607" s="28" t="s">
        <v>10112</v>
      </c>
      <c r="F607" s="331" t="s">
        <v>10119</v>
      </c>
      <c r="G607" s="331" t="s">
        <v>10120</v>
      </c>
      <c r="H607" s="21"/>
    </row>
    <row r="608">
      <c r="A608" s="331" t="s">
        <v>10121</v>
      </c>
      <c r="B608" s="326">
        <f>B606+B607</f>
        <v>706.8</v>
      </c>
      <c r="C608" s="327"/>
      <c r="E608" s="28" t="s">
        <v>10112</v>
      </c>
      <c r="F608" s="331" t="s">
        <v>10122</v>
      </c>
      <c r="G608" s="331" t="s">
        <v>10123</v>
      </c>
      <c r="H608" s="21"/>
    </row>
    <row r="609">
      <c r="A609" s="331" t="s">
        <v>10124</v>
      </c>
      <c r="B609" s="326">
        <f>B605-B608</f>
        <v>-706.8</v>
      </c>
      <c r="C609" s="327"/>
      <c r="E609" s="28" t="s">
        <v>10112</v>
      </c>
      <c r="F609" s="331" t="s">
        <v>10125</v>
      </c>
      <c r="G609" s="331" t="s">
        <v>10126</v>
      </c>
      <c r="H609" s="21"/>
    </row>
    <row r="610">
      <c r="A610" s="331" t="s">
        <v>10127</v>
      </c>
      <c r="B610" s="326"/>
      <c r="C610" s="327" t="str">
        <f>IFERROR(B609/B605,"")</f>
        <v/>
      </c>
      <c r="E610" s="28" t="s">
        <v>10112</v>
      </c>
      <c r="F610" s="331" t="s">
        <v>10128</v>
      </c>
      <c r="G610" s="331" t="s">
        <v>10129</v>
      </c>
      <c r="H610" s="21"/>
    </row>
    <row r="611">
      <c r="A611" s="331" t="s">
        <v>10130</v>
      </c>
      <c r="B611" s="326">
        <f>SUMIF('Overhead Expenses'!D602:D5599,"&lt;&gt;",'Overhead Expenses'!K602:K5599)</f>
        <v>0</v>
      </c>
      <c r="C611" s="327"/>
      <c r="E611" s="28" t="s">
        <v>10112</v>
      </c>
      <c r="F611" s="331" t="s">
        <v>10131</v>
      </c>
      <c r="G611" s="331" t="s">
        <v>10132</v>
      </c>
      <c r="H611" s="21"/>
    </row>
    <row r="612">
      <c r="A612" s="331" t="s">
        <v>10133</v>
      </c>
      <c r="B612" s="326">
        <f>B609-B611</f>
        <v>-706.8</v>
      </c>
      <c r="C612" s="327"/>
      <c r="E612" s="28" t="s">
        <v>10112</v>
      </c>
      <c r="F612" s="331" t="s">
        <v>10134</v>
      </c>
      <c r="G612" s="331" t="s">
        <v>10135</v>
      </c>
      <c r="H612" s="21"/>
    </row>
    <row r="613">
      <c r="A613" s="331" t="s">
        <v>10136</v>
      </c>
      <c r="B613" s="326"/>
      <c r="C613" s="327" t="str">
        <f>IFERROR(B612/B605,"")</f>
        <v/>
      </c>
      <c r="E613" s="28" t="s">
        <v>10112</v>
      </c>
      <c r="F613" s="331" t="s">
        <v>10137</v>
      </c>
      <c r="G613" s="331" t="s">
        <v>10138</v>
      </c>
      <c r="H613" s="21"/>
    </row>
    <row r="614">
      <c r="A614" s="331" t="s">
        <v>10139</v>
      </c>
      <c r="B614" s="326"/>
      <c r="C614" s="327"/>
      <c r="D614" s="331">
        <f>COUNTA(Sales!B605:B10602)</f>
        <v>0</v>
      </c>
      <c r="E614" s="331" t="s">
        <v>10140</v>
      </c>
      <c r="F614" s="331" t="s">
        <v>10141</v>
      </c>
      <c r="G614" s="331" t="s">
        <v>10142</v>
      </c>
      <c r="H614" s="21"/>
    </row>
    <row r="615">
      <c r="A615" s="331" t="s">
        <v>10143</v>
      </c>
      <c r="B615" s="326" t="str">
        <f>IFERROR(B605/D614,"")</f>
        <v/>
      </c>
      <c r="C615" s="327"/>
      <c r="E615" s="331" t="s">
        <v>10140</v>
      </c>
      <c r="F615" s="331" t="s">
        <v>10144</v>
      </c>
      <c r="G615" s="331" t="s">
        <v>10145</v>
      </c>
      <c r="H615" s="21"/>
    </row>
    <row r="616">
      <c r="A616" s="331" t="s">
        <v>10146</v>
      </c>
      <c r="B616" s="326" t="str">
        <f>IFERROR(B612/D614,"")</f>
        <v/>
      </c>
      <c r="C616" s="327"/>
      <c r="E616" s="331" t="s">
        <v>10140</v>
      </c>
      <c r="F616" s="331" t="s">
        <v>10147</v>
      </c>
      <c r="G616" s="331" t="s">
        <v>10148</v>
      </c>
      <c r="H616" s="21"/>
    </row>
    <row r="617">
      <c r="A617" s="331" t="s">
        <v>10149</v>
      </c>
      <c r="B617" s="326">
        <f>SUMIF(Sales!I605:I10602,"Palm Street",Sales!F605:F10602)</f>
        <v>0</v>
      </c>
      <c r="C617" s="327"/>
      <c r="E617" s="331" t="s">
        <v>10140</v>
      </c>
      <c r="F617" s="331" t="s">
        <v>10150</v>
      </c>
      <c r="G617" s="331" t="s">
        <v>10151</v>
      </c>
      <c r="H617" s="21"/>
    </row>
    <row r="618">
      <c r="A618" s="331" t="s">
        <v>10152</v>
      </c>
      <c r="B618" s="326">
        <f>SUMIF(Sales!I605:I10602,"In Person",Sales!F605:F10602)</f>
        <v>0</v>
      </c>
      <c r="C618" s="327"/>
      <c r="E618" s="331" t="s">
        <v>10140</v>
      </c>
      <c r="F618" s="331" t="s">
        <v>10150</v>
      </c>
      <c r="G618" s="331" t="s">
        <v>10153</v>
      </c>
      <c r="H618" s="21"/>
    </row>
    <row r="619">
      <c r="A619" s="331" t="s">
        <v>10154</v>
      </c>
      <c r="B619" s="326">
        <f>SUMIF(Sales!I605:I10602,"Facebook Marketplace",Sales!F605:F10602)</f>
        <v>0</v>
      </c>
      <c r="C619" s="327"/>
      <c r="E619" s="331" t="s">
        <v>10140</v>
      </c>
      <c r="F619" s="331" t="s">
        <v>10150</v>
      </c>
      <c r="G619" s="331" t="s">
        <v>10155</v>
      </c>
      <c r="H619" s="21"/>
    </row>
    <row r="620">
      <c r="A620" s="331" t="s">
        <v>10156</v>
      </c>
      <c r="B620" s="326">
        <f>SUMIF(Sales!I605:I10602,"Flea Market",Sales!F605:F10602)</f>
        <v>0</v>
      </c>
      <c r="C620" s="327"/>
      <c r="E620" s="331" t="s">
        <v>10140</v>
      </c>
      <c r="F620" s="331" t="s">
        <v>10150</v>
      </c>
      <c r="G620" s="331" t="s">
        <v>10157</v>
      </c>
      <c r="H620" s="21"/>
    </row>
    <row r="621">
      <c r="A621" s="331" t="s">
        <v>10158</v>
      </c>
      <c r="B621" s="326">
        <f>SUMIF(Sales!I605:I10602,"Square Online",Sales!F605:F10602)</f>
        <v>0</v>
      </c>
      <c r="C621" s="327"/>
      <c r="E621" s="331" t="s">
        <v>10140</v>
      </c>
      <c r="F621" s="331" t="s">
        <v>10150</v>
      </c>
      <c r="G621" s="331" t="s">
        <v>10159</v>
      </c>
      <c r="H621" s="21"/>
    </row>
    <row r="622">
      <c r="A622" s="331" t="s">
        <v>10160</v>
      </c>
      <c r="B622" s="326">
        <f>SUMIF(Sales!I605:I10602,"Merlin Outdoor Market",Sales!F605:F10602)</f>
        <v>0</v>
      </c>
      <c r="C622" s="327"/>
      <c r="E622" s="331" t="s">
        <v>10140</v>
      </c>
      <c r="F622" s="331" t="s">
        <v>10150</v>
      </c>
      <c r="G622" s="331" t="s">
        <v>10161</v>
      </c>
      <c r="H622" s="21"/>
    </row>
    <row r="623">
      <c r="A623" s="331" t="s">
        <v>10162</v>
      </c>
      <c r="B623" s="326">
        <f>SUMIF(Sales!I605:I10602,"Facebook",Sales!F605:F10602)</f>
        <v>0</v>
      </c>
      <c r="C623" s="327"/>
      <c r="E623" s="331" t="s">
        <v>10140</v>
      </c>
      <c r="F623" s="331" t="s">
        <v>10150</v>
      </c>
      <c r="G623" s="331" t="s">
        <v>10163</v>
      </c>
      <c r="H623" s="21"/>
    </row>
    <row r="624">
      <c r="A624" s="331" t="s">
        <v>10164</v>
      </c>
      <c r="B624" s="326">
        <f>SUMIFS(Sales!F605:F10602,Sales!A605:A10602,"&gt;="&amp;DATE(2025,8,1),Sales!A605:A10602,"&lt;"&amp;DATE(2025,9,1))</f>
        <v>0</v>
      </c>
      <c r="C624" s="327"/>
      <c r="E624" s="331" t="s">
        <v>10165</v>
      </c>
      <c r="G624" s="331" t="s">
        <v>10166</v>
      </c>
      <c r="H624" s="21"/>
    </row>
    <row r="625">
      <c r="A625" s="331" t="s">
        <v>10167</v>
      </c>
      <c r="B625" s="326">
        <f>SUMIFS(Sales!K605:K10602,Sales!A605:A10602,"&gt;="&amp;DATE(2025,8,1),Sales!A605:A10602,"&lt;"&amp;DATE(2025,9,1))</f>
        <v>0</v>
      </c>
      <c r="C625" s="327"/>
      <c r="E625" s="331" t="s">
        <v>10165</v>
      </c>
      <c r="G625" s="331" t="s">
        <v>10168</v>
      </c>
      <c r="H625" s="21"/>
    </row>
    <row r="626">
      <c r="A626" s="331" t="s">
        <v>10169</v>
      </c>
      <c r="B626" s="326">
        <f>SUMIFS(Sales!F605:F10602,Sales!A605:A10602,"&gt;="&amp;DATE(2025,9,1),Sales!A605:A10602,"&lt;"&amp;DATE(2025,10,1))</f>
        <v>0</v>
      </c>
      <c r="C626" s="327"/>
      <c r="E626" s="331" t="s">
        <v>10165</v>
      </c>
      <c r="G626" s="331" t="s">
        <v>10170</v>
      </c>
      <c r="H626" s="21"/>
    </row>
    <row r="627">
      <c r="A627" s="331" t="s">
        <v>10171</v>
      </c>
      <c r="B627" s="326">
        <f>SUMIFS(Sales!K605:K10602,Sales!A605:A10602,"&gt;="&amp;DATE(2025,9,1),Sales!A605:A10602,"&lt;"&amp;DATE(2025,10,1))</f>
        <v>0</v>
      </c>
      <c r="C627" s="327"/>
      <c r="E627" s="331" t="s">
        <v>10165</v>
      </c>
      <c r="G627" s="331" t="s">
        <v>10172</v>
      </c>
      <c r="H627" s="21"/>
    </row>
    <row r="628">
      <c r="A628" s="331" t="s">
        <v>10173</v>
      </c>
      <c r="B628" s="326">
        <f>SUMIFS(Sales!F605:F10602,Sales!A605:A10602,"&gt;="&amp;DATE(2025,10,1),Sales!A605:A10602,"&lt;"&amp;DATE(2025,11,1))</f>
        <v>0</v>
      </c>
      <c r="C628" s="327"/>
      <c r="E628" s="331" t="s">
        <v>10165</v>
      </c>
      <c r="G628" s="331" t="s">
        <v>10174</v>
      </c>
      <c r="H628" s="21"/>
    </row>
    <row r="629">
      <c r="A629" s="331" t="s">
        <v>10175</v>
      </c>
      <c r="B629" s="326">
        <f>SUMIFS(Sales!K605:K10602,Sales!A605:A10602,"&gt;="&amp;DATE(2025,10,1),Sales!A605:A10602,"&lt;"&amp;DATE(2025,11,1))</f>
        <v>0</v>
      </c>
      <c r="C629" s="327"/>
      <c r="E629" s="331" t="s">
        <v>10165</v>
      </c>
      <c r="G629" s="331" t="s">
        <v>10176</v>
      </c>
      <c r="H629" s="21"/>
    </row>
    <row r="630">
      <c r="A630" s="331" t="s">
        <v>10177</v>
      </c>
      <c r="B630" s="326">
        <f>SUMIFS(Sales!F605:F10602,Sales!A605:A10602,"&gt;="&amp;DATE(2025,11,1),Sales!A605:A10602,"&lt;"&amp;DATE(2025,12,1))</f>
        <v>0</v>
      </c>
      <c r="C630" s="327"/>
      <c r="E630" s="331" t="s">
        <v>10165</v>
      </c>
      <c r="G630" s="331" t="s">
        <v>10178</v>
      </c>
      <c r="H630" s="21"/>
    </row>
    <row r="631">
      <c r="A631" s="331" t="s">
        <v>10179</v>
      </c>
      <c r="B631" s="326">
        <f>SUMIFS(Sales!K605:K10602,Sales!A605:A10602,"&gt;="&amp;DATE(2025,11,1),Sales!A605:A10602,"&lt;"&amp;DATE(2025,12,1))</f>
        <v>0</v>
      </c>
      <c r="C631" s="327"/>
      <c r="E631" s="331" t="s">
        <v>10165</v>
      </c>
      <c r="G631" s="331" t="s">
        <v>10180</v>
      </c>
      <c r="H631" s="21"/>
    </row>
    <row r="632">
      <c r="A632" s="331" t="s">
        <v>10181</v>
      </c>
      <c r="B632" s="326">
        <f>SUMIFS(Sales!F605:F10602,Sales!A605:A10602,"&gt;="&amp;DATE(2025,12,1),Sales!A605:A10602,"&lt;"&amp;DATE(2026,1,1))</f>
        <v>0</v>
      </c>
      <c r="C632" s="327"/>
      <c r="E632" s="331" t="s">
        <v>10165</v>
      </c>
      <c r="G632" s="331" t="s">
        <v>10182</v>
      </c>
      <c r="H632" s="21"/>
    </row>
    <row r="633">
      <c r="A633" s="331" t="s">
        <v>10183</v>
      </c>
      <c r="B633" s="326">
        <f>SUMIFS(Sales!K605:K10602,Sales!A605:A10602,"&gt;="&amp;DATE(2025,12,1),Sales!A605:A10602,"&lt;"&amp;DATE(2026,1,1))</f>
        <v>0</v>
      </c>
      <c r="C633" s="327"/>
      <c r="E633" s="331" t="s">
        <v>10165</v>
      </c>
      <c r="G633" s="331" t="s">
        <v>10184</v>
      </c>
      <c r="H633" s="21"/>
    </row>
    <row r="634">
      <c r="A634" s="331" t="s">
        <v>10185</v>
      </c>
      <c r="B634" s="326">
        <f>SUMIFS(Sales!F605:F10602,Sales!A605:A10602,"&gt;="&amp;DATE(2026,1,1),Sales!A605:A10602,"&lt;"&amp;DATE(2026,2,1))</f>
        <v>0</v>
      </c>
      <c r="C634" s="327"/>
      <c r="E634" s="331" t="s">
        <v>10165</v>
      </c>
      <c r="G634" s="331" t="s">
        <v>10186</v>
      </c>
      <c r="H634" s="21"/>
    </row>
    <row r="635">
      <c r="A635" s="331" t="s">
        <v>10187</v>
      </c>
      <c r="B635" s="326">
        <f>SUMIFS(Sales!K605:K10602,Sales!A605:A10602,"&gt;="&amp;DATE(2026,1,1),Sales!A605:A10602,"&lt;"&amp;DATE(2026,2,1))</f>
        <v>0</v>
      </c>
      <c r="C635" s="327"/>
      <c r="E635" s="331" t="s">
        <v>10165</v>
      </c>
      <c r="G635" s="331" t="s">
        <v>10188</v>
      </c>
      <c r="H635" s="21"/>
    </row>
    <row r="636">
      <c r="A636" s="331" t="s">
        <v>10189</v>
      </c>
      <c r="B636" s="326">
        <f>SUMIFS(Sales!F605:F10602,Sales!A605:A10602,"&gt;="&amp;DATE(2026,2,1),Sales!A605:A10602,"&lt;"&amp;DATE(2026,3,1))</f>
        <v>0</v>
      </c>
      <c r="C636" s="327"/>
      <c r="E636" s="331" t="s">
        <v>10165</v>
      </c>
      <c r="G636" s="331" t="s">
        <v>10190</v>
      </c>
      <c r="H636" s="21"/>
    </row>
    <row r="637">
      <c r="A637" s="331" t="s">
        <v>10191</v>
      </c>
      <c r="B637" s="326">
        <f>SUMIFS(Sales!K605:K10602,Sales!A605:A10602,"&gt;="&amp;DATE(2026,2,1),Sales!A605:A10602,"&lt;"&amp;DATE(2026,3,1))</f>
        <v>0</v>
      </c>
      <c r="C637" s="327"/>
      <c r="E637" s="331" t="s">
        <v>10165</v>
      </c>
      <c r="G637" s="331" t="s">
        <v>10192</v>
      </c>
      <c r="H637" s="21"/>
    </row>
    <row r="638">
      <c r="A638" s="331" t="s">
        <v>10193</v>
      </c>
      <c r="B638" s="326">
        <f>SUMIFS(Sales!F605:F10602,Sales!A605:A10602,"&gt;="&amp;DATE(2026,3,1),Sales!A605:A10602,"&lt;"&amp;DATE(2026,4,1))</f>
        <v>0</v>
      </c>
      <c r="C638" s="327"/>
      <c r="E638" s="331" t="s">
        <v>10165</v>
      </c>
      <c r="G638" s="331" t="s">
        <v>10194</v>
      </c>
      <c r="H638" s="21"/>
    </row>
    <row r="639">
      <c r="A639" s="331" t="s">
        <v>10195</v>
      </c>
      <c r="B639" s="326">
        <f>SUMIFS(Sales!K605:K10602,Sales!A605:A10602,"&gt;="&amp;DATE(2026,3,1),Sales!A605:A10602,"&lt;"&amp;DATE(2026,4,1))</f>
        <v>0</v>
      </c>
      <c r="C639" s="327"/>
      <c r="E639" s="331" t="s">
        <v>10165</v>
      </c>
      <c r="G639" s="331" t="s">
        <v>10196</v>
      </c>
      <c r="H639" s="21"/>
    </row>
    <row r="640">
      <c r="A640" s="331" t="s">
        <v>10197</v>
      </c>
      <c r="B640" s="326">
        <f>SUMIFS(Sales!F605:F10602,Sales!A605:A10602,"&gt;="&amp;DATE(2026,4,1),Sales!A605:A10602,"&lt;"&amp;DATE(2026,5,1))</f>
        <v>0</v>
      </c>
      <c r="C640" s="327"/>
      <c r="E640" s="331" t="s">
        <v>10165</v>
      </c>
      <c r="G640" s="331" t="s">
        <v>10198</v>
      </c>
      <c r="H640" s="21"/>
    </row>
    <row r="641">
      <c r="A641" s="331" t="s">
        <v>10199</v>
      </c>
      <c r="B641" s="326">
        <f>SUMIFS(Sales!K605:K10602,Sales!A605:A10602,"&gt;="&amp;DATE(2026,4,1),Sales!A605:A10602,"&lt;"&amp;DATE(2026,5,1))</f>
        <v>0</v>
      </c>
      <c r="C641" s="327"/>
      <c r="E641" s="331" t="s">
        <v>10165</v>
      </c>
      <c r="G641" s="331" t="s">
        <v>10200</v>
      </c>
      <c r="H641" s="21"/>
    </row>
    <row r="642">
      <c r="A642" s="331" t="s">
        <v>10201</v>
      </c>
      <c r="B642" s="326">
        <f>SUMIFS(Sales!F605:F10602,Sales!A605:A10602,"&gt;="&amp;DATE(2026,5,1),Sales!A605:A10602,"&lt;"&amp;DATE(2026,6,1))</f>
        <v>0</v>
      </c>
      <c r="C642" s="327"/>
      <c r="E642" s="331" t="s">
        <v>10165</v>
      </c>
      <c r="G642" s="331" t="s">
        <v>10202</v>
      </c>
      <c r="H642" s="21"/>
    </row>
    <row r="643">
      <c r="A643" s="331" t="s">
        <v>10203</v>
      </c>
      <c r="B643" s="326">
        <f>SUMIFS(Sales!K605:K10602,Sales!A605:A10602,"&gt;="&amp;DATE(2026,5,1),Sales!A605:A10602,"&lt;"&amp;DATE(2026,6,1))</f>
        <v>0</v>
      </c>
      <c r="C643" s="327"/>
      <c r="E643" s="331" t="s">
        <v>10165</v>
      </c>
      <c r="G643" s="331" t="s">
        <v>10204</v>
      </c>
      <c r="H643" s="21"/>
    </row>
    <row r="644">
      <c r="A644" s="331" t="s">
        <v>10205</v>
      </c>
      <c r="B644" s="326">
        <f>SUMIFS(Sales!F605:F10602,Sales!A605:A10602,"&gt;="&amp;DATE(2026,6,1),Sales!A605:A10602,"&lt;"&amp;DATE(2026,7,1))</f>
        <v>0</v>
      </c>
      <c r="C644" s="327"/>
      <c r="E644" s="331" t="s">
        <v>10165</v>
      </c>
      <c r="G644" s="331" t="s">
        <v>10206</v>
      </c>
      <c r="H644" s="21"/>
    </row>
    <row r="645">
      <c r="A645" s="331" t="s">
        <v>10207</v>
      </c>
      <c r="B645" s="326">
        <f>SUMIFS(Sales!K605:K10602,Sales!A605:A10602,"&gt;="&amp;DATE(2026,6,1),Sales!A605:A10602,"&lt;"&amp;DATE(2026,7,1))</f>
        <v>0</v>
      </c>
      <c r="C645" s="327"/>
      <c r="E645" s="331" t="s">
        <v>10165</v>
      </c>
      <c r="G645" s="331" t="s">
        <v>10208</v>
      </c>
      <c r="H645" s="21"/>
    </row>
    <row r="646">
      <c r="A646" s="331" t="s">
        <v>10209</v>
      </c>
      <c r="B646" s="326">
        <f>SUMIFS(Sales!F605:F10602,Sales!A605:A10602,"&gt;="&amp;DATE(2026,7,1),Sales!A605:A10602,"&lt;"&amp;DATE(2026,8,1))</f>
        <v>0</v>
      </c>
      <c r="C646" s="327"/>
      <c r="E646" s="331" t="s">
        <v>10165</v>
      </c>
      <c r="G646" s="331" t="s">
        <v>10210</v>
      </c>
      <c r="H646" s="21"/>
    </row>
    <row r="647">
      <c r="A647" s="331" t="s">
        <v>10211</v>
      </c>
      <c r="B647" s="326">
        <f>SUMIFS(Sales!K605:K10602,Sales!A605:A10602,"&gt;="&amp;DATE(2026,7,1),Sales!A605:A10602,"&lt;"&amp;DATE(2026,8,1))</f>
        <v>0</v>
      </c>
      <c r="C647" s="327"/>
      <c r="E647" s="331" t="s">
        <v>10165</v>
      </c>
      <c r="G647" s="331" t="s">
        <v>10212</v>
      </c>
      <c r="H647" s="21"/>
    </row>
    <row r="648">
      <c r="A648" s="331" t="s">
        <v>10213</v>
      </c>
      <c r="B648" s="326">
        <f>SUMIFS(Sales!F605:F10602,Sales!A605:A10602,"&gt;="&amp;DATE(2026,8,1),Sales!A605:A10602,"&lt;"&amp;DATE(2026,9,1))</f>
        <v>0</v>
      </c>
      <c r="C648" s="327"/>
      <c r="E648" s="331" t="s">
        <v>10165</v>
      </c>
      <c r="G648" s="331" t="s">
        <v>10214</v>
      </c>
      <c r="H648" s="21"/>
    </row>
    <row r="649">
      <c r="A649" s="331" t="s">
        <v>10215</v>
      </c>
      <c r="B649" s="326">
        <f>SUMIFS(Sales!K605:K10602,Sales!A605:A10602,"&gt;="&amp;DATE(2026,8,1),Sales!A605:A10602,"&lt;"&amp;DATE(2026,9,1))</f>
        <v>0</v>
      </c>
      <c r="C649" s="327"/>
      <c r="E649" s="331" t="s">
        <v>10165</v>
      </c>
      <c r="G649" s="331" t="s">
        <v>10216</v>
      </c>
      <c r="H649" s="21"/>
    </row>
    <row r="650">
      <c r="A650" s="331" t="s">
        <v>10217</v>
      </c>
      <c r="B650" s="326">
        <f>SUMIFS(Sales!F605:F10602,Sales!A605:A10602,"&gt;="&amp;DATE(2026,9,1),Sales!A605:A10602,"&lt;"&amp;DATE(2026,10,1))</f>
        <v>0</v>
      </c>
      <c r="C650" s="327"/>
      <c r="E650" s="331" t="s">
        <v>10165</v>
      </c>
      <c r="G650" s="331" t="s">
        <v>10218</v>
      </c>
      <c r="H650" s="21"/>
    </row>
    <row r="651">
      <c r="A651" s="331" t="s">
        <v>10219</v>
      </c>
      <c r="B651" s="326">
        <f>SUMIFS(Sales!K605:K10602,Sales!A605:A10602,"&gt;="&amp;DATE(2026,9,1),Sales!A605:A10602,"&lt;"&amp;DATE(2026,10,1))</f>
        <v>0</v>
      </c>
      <c r="C651" s="327"/>
      <c r="E651" s="331" t="s">
        <v>10165</v>
      </c>
      <c r="G651" s="331" t="s">
        <v>10220</v>
      </c>
      <c r="H651" s="21"/>
    </row>
    <row r="652">
      <c r="A652" s="331" t="s">
        <v>10221</v>
      </c>
      <c r="B652" s="326">
        <f>SUMIFS(Sales!F605:F10602,Sales!A605:A10602,"&gt;="&amp;DATE(2026,10,1),Sales!A605:A10602,"&lt;"&amp;DATE(2026,11,1))</f>
        <v>0</v>
      </c>
      <c r="C652" s="327"/>
      <c r="E652" s="331" t="s">
        <v>10165</v>
      </c>
      <c r="G652" s="331" t="s">
        <v>10222</v>
      </c>
      <c r="H652" s="21"/>
    </row>
    <row r="653">
      <c r="A653" s="331" t="s">
        <v>10223</v>
      </c>
      <c r="B653" s="326">
        <f>SUMIFS(Sales!K605:K10602,Sales!A605:A10602,"&gt;="&amp;DATE(2026,10,1),Sales!A605:A10602,"&lt;"&amp;DATE(2026,11,1))</f>
        <v>0</v>
      </c>
      <c r="C653" s="327"/>
      <c r="E653" s="331" t="s">
        <v>10165</v>
      </c>
      <c r="G653" s="331" t="s">
        <v>10224</v>
      </c>
      <c r="H653" s="21"/>
    </row>
    <row r="654">
      <c r="A654" s="331" t="s">
        <v>10225</v>
      </c>
      <c r="B654" s="326">
        <f>SUMIFS(Sales!F605:F10602,Sales!A605:A10602,"&gt;="&amp;DATE(2026,11,1),Sales!A605:A10602,"&lt;"&amp;DATE(2026,12,1))</f>
        <v>0</v>
      </c>
      <c r="C654" s="327"/>
      <c r="E654" s="331" t="s">
        <v>10165</v>
      </c>
      <c r="G654" s="331" t="s">
        <v>10226</v>
      </c>
      <c r="H654" s="21"/>
    </row>
    <row r="655">
      <c r="A655" s="331" t="s">
        <v>10227</v>
      </c>
      <c r="B655" s="326">
        <f>SUMIFS(Sales!K605:K10602,Sales!A605:A10602,"&gt;="&amp;DATE(2026,11,1),Sales!A605:A10602,"&lt;"&amp;DATE(2026,12,1))</f>
        <v>0</v>
      </c>
      <c r="C655" s="327"/>
      <c r="E655" s="331" t="s">
        <v>10165</v>
      </c>
      <c r="G655" s="331" t="s">
        <v>10228</v>
      </c>
      <c r="H655" s="21"/>
    </row>
    <row r="656">
      <c r="A656" s="331" t="s">
        <v>10229</v>
      </c>
      <c r="B656" s="326">
        <f>SUMIFS(Sales!F605:F10602,Sales!A605:A10602,"&gt;="&amp;DATE(2026,12,1),Sales!A605:A10602,"&lt;"&amp;DATE(2027,1,1))</f>
        <v>0</v>
      </c>
      <c r="C656" s="327"/>
      <c r="E656" s="331" t="s">
        <v>10165</v>
      </c>
      <c r="G656" s="331" t="s">
        <v>10230</v>
      </c>
      <c r="H656" s="21"/>
    </row>
    <row r="657">
      <c r="A657" s="331" t="s">
        <v>10231</v>
      </c>
      <c r="B657" s="326">
        <f>SUMIFS(Sales!K605:K10602,Sales!A605:A10602,"&gt;="&amp;DATE(2026,12,1),Sales!A605:A10602,"&lt;"&amp;DATE(2027,1,1))</f>
        <v>0</v>
      </c>
      <c r="C657" s="327"/>
      <c r="E657" s="331" t="s">
        <v>10165</v>
      </c>
      <c r="G657" s="331" t="s">
        <v>10232</v>
      </c>
      <c r="H657" s="21"/>
    </row>
    <row r="658">
      <c r="A658" s="331" t="s">
        <v>10233</v>
      </c>
      <c r="B658" s="326">
        <f>SUMIF('Overhead Expenses'!D602:D5599,"Bags &amp; Packaging",'Overhead Expenses'!K602:K5599)</f>
        <v>0</v>
      </c>
      <c r="C658" s="327"/>
      <c r="E658" s="331" t="s">
        <v>10234</v>
      </c>
      <c r="G658" s="331" t="s">
        <v>10235</v>
      </c>
      <c r="H658" s="21"/>
    </row>
    <row r="659">
      <c r="B659" s="326"/>
      <c r="C659" s="327"/>
      <c r="H659" s="21"/>
    </row>
    <row r="660">
      <c r="A660" s="28" t="s">
        <v>6062</v>
      </c>
      <c r="B660" s="326">
        <f>SUMIF('Overhead Expenses'!D602:D5599,"Cleaning &amp; Sanitation",'Overhead Expenses'!K602:K5599)</f>
        <v>0</v>
      </c>
      <c r="C660" s="327"/>
      <c r="E660" s="331" t="s">
        <v>10234</v>
      </c>
      <c r="G660" s="331" t="s">
        <v>10236</v>
      </c>
      <c r="H660" s="21"/>
    </row>
    <row r="661">
      <c r="A661" s="28" t="s">
        <v>5989</v>
      </c>
      <c r="B661" s="326">
        <f>SUMIF('Overhead Expenses'!D602:D5599,"Climate &amp; Environment",'Overhead Expenses'!K602:K5599)</f>
        <v>0</v>
      </c>
      <c r="C661" s="327"/>
      <c r="E661" s="331" t="s">
        <v>10234</v>
      </c>
      <c r="G661" s="331" t="s">
        <v>10237</v>
      </c>
      <c r="H661" s="21"/>
    </row>
    <row r="662">
      <c r="A662" s="28" t="s">
        <v>6069</v>
      </c>
      <c r="B662" s="326">
        <f>SUMIF('Overhead Expenses'!D602:D5599,"Inbound Shipping",'Overhead Expenses'!K602:K5599)</f>
        <v>0</v>
      </c>
      <c r="C662" s="327"/>
      <c r="E662" s="331" t="s">
        <v>10234</v>
      </c>
      <c r="G662" s="331" t="s">
        <v>10238</v>
      </c>
      <c r="H662" s="21"/>
    </row>
    <row r="663">
      <c r="A663" s="28" t="s">
        <v>6003</v>
      </c>
      <c r="B663" s="326">
        <f>SUMIF('Overhead Expenses'!D602:D5599,"Labels &amp; Stickers",'Overhead Expenses'!K602:K5599)</f>
        <v>0</v>
      </c>
      <c r="C663" s="327"/>
      <c r="E663" s="331" t="s">
        <v>10234</v>
      </c>
      <c r="G663" s="331" t="s">
        <v>10239</v>
      </c>
      <c r="H663" s="21"/>
    </row>
    <row r="664">
      <c r="A664" s="28" t="s">
        <v>6092</v>
      </c>
      <c r="B664" s="326">
        <f>SUMIF('Overhead Expenses'!D602:D5599,"Labor",'Overhead Expenses'!K602:K5599)</f>
        <v>0</v>
      </c>
      <c r="C664" s="327"/>
      <c r="E664" s="331" t="s">
        <v>10234</v>
      </c>
      <c r="G664" s="331" t="s">
        <v>10240</v>
      </c>
      <c r="H664" s="21"/>
    </row>
    <row r="665">
      <c r="A665" s="28" t="s">
        <v>1103</v>
      </c>
      <c r="B665" s="326">
        <f>SUMIF('Overhead Expenses'!D602:D5599,"Licenses &amp; Fees",'Overhead Expenses'!K602:K5599)</f>
        <v>0</v>
      </c>
      <c r="C665" s="327"/>
      <c r="E665" s="331" t="s">
        <v>10234</v>
      </c>
      <c r="G665" s="331" t="s">
        <v>10241</v>
      </c>
      <c r="H665" s="21"/>
    </row>
    <row r="666">
      <c r="A666" s="28" t="s">
        <v>6032</v>
      </c>
      <c r="B666" s="326">
        <f>SUMIF('Overhead Expenses'!D602:D5599,"Lighting",'Overhead Expenses'!K602:K5599)</f>
        <v>0</v>
      </c>
      <c r="C666" s="327"/>
      <c r="E666" s="331" t="s">
        <v>10234</v>
      </c>
      <c r="G666" s="331" t="s">
        <v>10242</v>
      </c>
      <c r="H666" s="21"/>
    </row>
    <row r="667">
      <c r="A667" s="28" t="s">
        <v>6130</v>
      </c>
      <c r="B667" s="326">
        <f>SUMIF('Overhead Expenses'!D602:D5599,"Market Fees &amp; Supplies",'Overhead Expenses'!K602:K5599)</f>
        <v>0</v>
      </c>
      <c r="C667" s="327"/>
      <c r="E667" s="331" t="s">
        <v>10234</v>
      </c>
      <c r="G667" s="331" t="s">
        <v>10243</v>
      </c>
      <c r="H667" s="21"/>
    </row>
    <row r="668">
      <c r="A668" s="28" t="s">
        <v>6247</v>
      </c>
      <c r="B668" s="326">
        <f>SUMIF('Overhead Expenses'!D602:D5599,"Office &amp; Admin Supplies",'Overhead Expenses'!K602:K5599)</f>
        <v>0</v>
      </c>
      <c r="C668" s="327"/>
      <c r="E668" s="331" t="s">
        <v>10234</v>
      </c>
      <c r="G668" s="331" t="s">
        <v>10244</v>
      </c>
      <c r="H668" s="21"/>
    </row>
    <row r="669">
      <c r="A669" s="28" t="s">
        <v>6336</v>
      </c>
      <c r="B669" s="326">
        <f>SUMIF('Overhead Expenses'!D602:D5599,"Outbound Shipping",'Overhead Expenses'!K602:K5599)</f>
        <v>0</v>
      </c>
      <c r="C669" s="327"/>
      <c r="E669" s="331" t="s">
        <v>10234</v>
      </c>
      <c r="G669" s="331" t="s">
        <v>10245</v>
      </c>
      <c r="H669" s="21"/>
    </row>
    <row r="670">
      <c r="A670" s="28" t="s">
        <v>6224</v>
      </c>
      <c r="B670" s="326">
        <f>SUMIF('Overhead Expenses'!D602:D5599,"Packing &amp; Shipping",'Overhead Expenses'!K602:K5599)</f>
        <v>0</v>
      </c>
      <c r="C670" s="327"/>
      <c r="E670" s="331" t="s">
        <v>10234</v>
      </c>
      <c r="G670" s="331" t="s">
        <v>10246</v>
      </c>
      <c r="H670" s="21"/>
    </row>
    <row r="671">
      <c r="A671" s="28" t="s">
        <v>6260</v>
      </c>
      <c r="B671" s="326">
        <f>SUMIF('Overhead Expenses'!D602:D5599,"Plant Tags &amp; Labels",'Overhead Expenses'!K602:K5599)</f>
        <v>0</v>
      </c>
      <c r="C671" s="327"/>
      <c r="E671" s="331" t="s">
        <v>10234</v>
      </c>
      <c r="G671" s="331" t="s">
        <v>10247</v>
      </c>
      <c r="H671" s="21"/>
    </row>
    <row r="672">
      <c r="A672" s="28" t="s">
        <v>5997</v>
      </c>
      <c r="B672" s="326">
        <f>SUMIF('Overhead Expenses'!D602:D5599,"Propagation Supplies",'Overhead Expenses'!K602:K5599)</f>
        <v>0</v>
      </c>
      <c r="C672" s="327"/>
      <c r="E672" s="331" t="s">
        <v>10234</v>
      </c>
      <c r="G672" s="331" t="s">
        <v>10248</v>
      </c>
      <c r="H672" s="21"/>
    </row>
    <row r="673">
      <c r="A673" s="28" t="s">
        <v>6387</v>
      </c>
      <c r="B673" s="326">
        <f>SUMIF('Overhead Expenses'!D602:D5599,"Repairs &amp; Maintenance",'Overhead Expenses'!K602:K5599)</f>
        <v>0</v>
      </c>
      <c r="C673" s="327"/>
      <c r="E673" s="331" t="s">
        <v>10234</v>
      </c>
      <c r="G673" s="331" t="s">
        <v>10249</v>
      </c>
      <c r="H673" s="21"/>
    </row>
    <row r="674">
      <c r="A674" s="28" t="s">
        <v>6315</v>
      </c>
      <c r="B674" s="326">
        <f>SUMIF('Overhead Expenses'!D602:D5599,"Security",'Overhead Expenses'!K602:K5599)</f>
        <v>0</v>
      </c>
      <c r="C674" s="327"/>
      <c r="E674" s="331" t="s">
        <v>10234</v>
      </c>
      <c r="G674" s="331" t="s">
        <v>10250</v>
      </c>
      <c r="H674" s="21"/>
    </row>
    <row r="675">
      <c r="A675" s="28" t="s">
        <v>6497</v>
      </c>
      <c r="B675" s="326">
        <f>SUMIF('Overhead Expenses'!D602:D5599,"Selling Fee",'Overhead Expenses'!K602:K5599)</f>
        <v>0</v>
      </c>
      <c r="C675" s="327"/>
      <c r="E675" s="331" t="s">
        <v>10234</v>
      </c>
      <c r="G675" s="331" t="s">
        <v>10251</v>
      </c>
      <c r="H675" s="21"/>
    </row>
    <row r="676">
      <c r="A676" s="28" t="s">
        <v>6464</v>
      </c>
      <c r="B676" s="326">
        <f>SUMIF('Overhead Expenses'!D602:D5599,"Shade &amp; Protection",'Overhead Expenses'!K602:K5599)</f>
        <v>0</v>
      </c>
      <c r="C676" s="327"/>
      <c r="E676" s="331" t="s">
        <v>10234</v>
      </c>
      <c r="G676" s="331" t="s">
        <v>10252</v>
      </c>
      <c r="H676" s="21"/>
    </row>
    <row r="677">
      <c r="A677" s="28" t="s">
        <v>5985</v>
      </c>
      <c r="B677" s="326">
        <f>SUMIF('Overhead Expenses'!D602:D5599,"Shelving/Fixtures",'Overhead Expenses'!K602:K5599)</f>
        <v>0</v>
      </c>
      <c r="C677" s="327"/>
      <c r="E677" s="331" t="s">
        <v>10234</v>
      </c>
      <c r="G677" s="331" t="s">
        <v>10253</v>
      </c>
      <c r="H677" s="21"/>
    </row>
    <row r="678">
      <c r="A678" s="28" t="s">
        <v>6482</v>
      </c>
      <c r="B678" s="326">
        <f>SUMIF('Overhead Expenses'!D602:D5599,"Shipping Boxes",'Overhead Expenses'!K602:K5599)</f>
        <v>0</v>
      </c>
      <c r="C678" s="327"/>
      <c r="E678" s="331" t="s">
        <v>10234</v>
      </c>
      <c r="G678" s="331" t="s">
        <v>10254</v>
      </c>
      <c r="H678" s="21"/>
    </row>
    <row r="679">
      <c r="A679" s="28" t="s">
        <v>6325</v>
      </c>
      <c r="B679" s="326">
        <f>SUMIF('Overhead Expenses'!D602:D5599,"Sign",'Overhead Expenses'!K602:K5599)</f>
        <v>0</v>
      </c>
      <c r="C679" s="327"/>
      <c r="E679" s="331" t="s">
        <v>10234</v>
      </c>
      <c r="G679" s="331" t="s">
        <v>10255</v>
      </c>
      <c r="H679" s="21"/>
    </row>
    <row r="680">
      <c r="A680" s="28" t="s">
        <v>5993</v>
      </c>
      <c r="B680" s="326">
        <f>SUMIF('Overhead Expenses'!D602:D5599,"Soil &amp; Amendments",'Overhead Expenses'!K602:K5599)</f>
        <v>0</v>
      </c>
      <c r="C680" s="327"/>
      <c r="E680" s="331" t="s">
        <v>10234</v>
      </c>
      <c r="G680" s="331" t="s">
        <v>10256</v>
      </c>
      <c r="H680" s="21"/>
    </row>
    <row r="681">
      <c r="A681" s="28" t="s">
        <v>6150</v>
      </c>
      <c r="B681" s="326">
        <f>SUMIF('Overhead Expenses'!D602:D5599,"Stationery &amp; Print",'Overhead Expenses'!K602:K5599)</f>
        <v>0</v>
      </c>
      <c r="C681" s="327"/>
      <c r="E681" s="331" t="s">
        <v>10234</v>
      </c>
      <c r="G681" s="331" t="s">
        <v>10257</v>
      </c>
      <c r="H681" s="21"/>
    </row>
    <row r="682">
      <c r="A682" s="28" t="s">
        <v>6137</v>
      </c>
      <c r="B682" s="326">
        <f>SUMIF('Overhead Expenses'!D602:D5599,"Table Covers &amp; Displays",'Overhead Expenses'!K602:K5599)</f>
        <v>0</v>
      </c>
      <c r="C682" s="327"/>
      <c r="E682" s="331" t="s">
        <v>10234</v>
      </c>
      <c r="G682" s="331" t="s">
        <v>10258</v>
      </c>
      <c r="H682" s="21"/>
    </row>
    <row r="683">
      <c r="A683" s="28" t="s">
        <v>6147</v>
      </c>
      <c r="B683" s="326">
        <f>SUMIF('Overhead Expenses'!D602:D5599,"Tables &amp; Furniture",'Overhead Expenses'!K602:K5599)</f>
        <v>0</v>
      </c>
      <c r="C683" s="327"/>
      <c r="E683" s="331" t="s">
        <v>10234</v>
      </c>
      <c r="G683" s="331" t="s">
        <v>10259</v>
      </c>
      <c r="H683" s="21"/>
    </row>
    <row r="684">
      <c r="A684" s="28" t="s">
        <v>6502</v>
      </c>
      <c r="B684" s="326">
        <f>SUMIF('Overhead Expenses'!D602:D5599,"Tax",'Overhead Expenses'!K602:K5599)</f>
        <v>0</v>
      </c>
      <c r="C684" s="327"/>
      <c r="E684" s="331" t="s">
        <v>10234</v>
      </c>
      <c r="G684" s="331" t="s">
        <v>10260</v>
      </c>
      <c r="H684" s="21"/>
    </row>
    <row r="685">
      <c r="A685" s="28" t="s">
        <v>5981</v>
      </c>
      <c r="B685" s="326">
        <f>SUMIF('Overhead Expenses'!D602:D5599,"Tools &amp; Supplies",'Overhead Expenses'!K602:K5599)</f>
        <v>0</v>
      </c>
      <c r="C685" s="327"/>
      <c r="E685" s="331" t="s">
        <v>10234</v>
      </c>
      <c r="G685" s="331" t="s">
        <v>10261</v>
      </c>
      <c r="H685" s="21"/>
    </row>
    <row r="686">
      <c r="A686" s="28" t="s">
        <v>6021</v>
      </c>
      <c r="B686" s="326">
        <f>SUMIF('Overhead Expenses'!D602:D5599,"Treatments &amp; Fertilizers",'Overhead Expenses'!K602:K5599)</f>
        <v>0</v>
      </c>
      <c r="C686" s="327"/>
      <c r="E686" s="331" t="s">
        <v>10234</v>
      </c>
      <c r="G686" s="331" t="s">
        <v>10262</v>
      </c>
      <c r="H686" s="21"/>
    </row>
    <row r="687">
      <c r="A687" s="28" t="s">
        <v>6300</v>
      </c>
      <c r="B687" s="326">
        <f>SUMIF('Overhead Expenses'!D602:D5599,"Uniforms &amp; Workwear",'Overhead Expenses'!K602:K5599)</f>
        <v>0</v>
      </c>
      <c r="C687" s="327"/>
      <c r="E687" s="331" t="s">
        <v>10234</v>
      </c>
      <c r="G687" s="331" t="s">
        <v>10263</v>
      </c>
      <c r="H687" s="21"/>
    </row>
    <row r="688">
      <c r="A688" s="331" t="s">
        <v>10264</v>
      </c>
      <c r="B688" s="326"/>
      <c r="C688" s="327"/>
      <c r="D688" s="331">
        <f>COUNTIF('Plant Inventory'!J21:J1267,"Available")</f>
        <v>6</v>
      </c>
      <c r="E688" s="331" t="s">
        <v>10265</v>
      </c>
      <c r="F688" s="331" t="s">
        <v>10266</v>
      </c>
      <c r="G688" s="331" t="s">
        <v>10267</v>
      </c>
      <c r="H688" s="21"/>
    </row>
    <row r="689">
      <c r="A689" s="331" t="s">
        <v>10268</v>
      </c>
      <c r="B689" s="326"/>
      <c r="C689" s="327"/>
      <c r="D689" s="331">
        <f>COUNTIF('Plant Inventory'!J21:J1267,"Sold")</f>
        <v>114</v>
      </c>
      <c r="E689" s="331" t="s">
        <v>10265</v>
      </c>
      <c r="F689" s="331" t="s">
        <v>10269</v>
      </c>
      <c r="G689" s="331" t="s">
        <v>10270</v>
      </c>
      <c r="H689" s="21"/>
    </row>
    <row r="690">
      <c r="A690" s="331" t="s">
        <v>10271</v>
      </c>
      <c r="B690" s="326"/>
      <c r="C690" s="327"/>
      <c r="D690" s="331">
        <f>COUNTIF('Plant Inventory'!J21:J1267,"Dead")</f>
        <v>45</v>
      </c>
      <c r="E690" s="331" t="s">
        <v>10265</v>
      </c>
      <c r="F690" s="331" t="s">
        <v>10272</v>
      </c>
      <c r="G690" s="331" t="s">
        <v>10273</v>
      </c>
      <c r="H690" s="21"/>
    </row>
    <row r="691">
      <c r="A691" s="331" t="s">
        <v>10274</v>
      </c>
      <c r="B691" s="326"/>
      <c r="C691" s="327"/>
      <c r="D691" s="331">
        <f>COUNTIF('Plant Inventory'!J21:J1267,"Damaged")</f>
        <v>0</v>
      </c>
      <c r="E691" s="331" t="s">
        <v>10265</v>
      </c>
      <c r="F691" s="331" t="s">
        <v>10275</v>
      </c>
      <c r="G691" s="331" t="s">
        <v>10276</v>
      </c>
      <c r="H691" s="21"/>
    </row>
    <row r="692">
      <c r="A692" s="331" t="s">
        <v>10277</v>
      </c>
      <c r="B692" s="326"/>
      <c r="C692" s="327"/>
      <c r="D692" s="331">
        <f>COUNTIF('Plant Inventory'!J21:J1267,"Giveaway")</f>
        <v>26</v>
      </c>
      <c r="E692" s="331" t="s">
        <v>10265</v>
      </c>
      <c r="F692" s="331" t="s">
        <v>10278</v>
      </c>
      <c r="G692" s="331" t="s">
        <v>10279</v>
      </c>
      <c r="H692" s="21"/>
    </row>
    <row r="693">
      <c r="A693" s="331" t="s">
        <v>10280</v>
      </c>
      <c r="B693" s="326">
        <f>SUMIF('Plant Inventory'!J21:J1267,"Available",'Plant Inventory'!D21:D1267)</f>
        <v>52.95</v>
      </c>
      <c r="C693" s="327"/>
      <c r="E693" s="331" t="s">
        <v>10265</v>
      </c>
      <c r="F693" s="331" t="s">
        <v>10281</v>
      </c>
      <c r="G693" s="331" t="s">
        <v>10282</v>
      </c>
      <c r="H693" s="21"/>
    </row>
    <row r="694">
      <c r="A694" s="331" t="s">
        <v>10283</v>
      </c>
      <c r="B694" s="326">
        <f>SUMIF('Plant Inventory'!J21:J1267,"Available",'Plant Inventory'!E21:E1267)</f>
        <v>17</v>
      </c>
      <c r="C694" s="327"/>
      <c r="E694" s="331" t="s">
        <v>10265</v>
      </c>
      <c r="F694" s="331" t="s">
        <v>10284</v>
      </c>
      <c r="G694" s="331" t="s">
        <v>10285</v>
      </c>
      <c r="H694" s="21"/>
    </row>
    <row r="695">
      <c r="A695" s="331" t="s">
        <v>10286</v>
      </c>
      <c r="B695" s="326">
        <f>SUMIF('Plant Inventory'!J21:J1267,"Dead",'Plant Inventory'!D21:D1267)</f>
        <v>331.99</v>
      </c>
      <c r="C695" s="327"/>
      <c r="E695" s="331" t="s">
        <v>10265</v>
      </c>
      <c r="F695" s="331" t="s">
        <v>10287</v>
      </c>
      <c r="G695" s="331" t="s">
        <v>10288</v>
      </c>
      <c r="H695" s="21"/>
    </row>
    <row r="696">
      <c r="A696" s="331" t="s">
        <v>10289</v>
      </c>
      <c r="B696" s="326">
        <f>SUMIF('Plant Inventory'!J21:J1267,"Damaged",'Plant Inventory'!D21:D1267)</f>
        <v>0</v>
      </c>
      <c r="C696" s="327"/>
      <c r="E696" s="331" t="s">
        <v>10265</v>
      </c>
      <c r="F696" s="331" t="s">
        <v>10290</v>
      </c>
      <c r="G696" s="331" t="s">
        <v>10291</v>
      </c>
      <c r="H696" s="21"/>
    </row>
    <row r="697">
      <c r="A697" s="331" t="s">
        <v>10292</v>
      </c>
      <c r="B697" s="326">
        <f>SUMIF('Plant Inventory'!J21:J1267,"Giveaway",'Plant Inventory'!D21:D1267)</f>
        <v>96.16</v>
      </c>
      <c r="C697" s="327"/>
      <c r="E697" s="331" t="s">
        <v>10265</v>
      </c>
      <c r="F697" s="331" t="s">
        <v>10293</v>
      </c>
      <c r="G697" s="331" t="s">
        <v>10294</v>
      </c>
      <c r="H697" s="21"/>
    </row>
    <row r="698">
      <c r="A698" s="331" t="s">
        <v>10295</v>
      </c>
      <c r="B698" s="326">
        <f>B695+B696+B697</f>
        <v>428.15</v>
      </c>
      <c r="C698" s="327"/>
      <c r="E698" s="331" t="s">
        <v>10265</v>
      </c>
      <c r="F698" s="331" t="s">
        <v>10296</v>
      </c>
      <c r="G698" s="331" t="s">
        <v>10297</v>
      </c>
      <c r="H698" s="21"/>
    </row>
    <row r="699">
      <c r="A699" s="331" t="s">
        <v>10298</v>
      </c>
      <c r="B699" s="326"/>
      <c r="C699" s="327"/>
      <c r="D699" s="331">
        <f>SUMPRODUCT((ISNUMBER(SEARCH("-PH-",'Plant Inventory'!B21:B1269)))*('Plant Inventory'!J21:J1269="Available")*('Plant Inventory'!Q21:Q1269=H699)*IFERROR(1/COUNTIFS('Plant Inventory'!B21:B1269,'Plant Inventory'!B21:B1269,'Plant Inventory'!J21:J1269,"Available",'Plant Inventory'!Q21:Q1269,H699),0))</f>
        <v>0</v>
      </c>
      <c r="E699" s="331" t="s">
        <v>10265</v>
      </c>
      <c r="F699" s="331" t="s">
        <v>10299</v>
      </c>
      <c r="G699" s="331" t="s">
        <v>10300</v>
      </c>
      <c r="H699" s="21"/>
    </row>
    <row r="700">
      <c r="A700" s="331" t="s">
        <v>10301</v>
      </c>
      <c r="B700" s="326"/>
      <c r="C700" s="327"/>
      <c r="D700" s="331">
        <f>SUMPRODUCT((ISNUMBER(SEARCH("-HO-",'Plant Inventory'!B21:B1269)))*('Plant Inventory'!J21:J1269="Available")*('Plant Inventory'!Q21:Q1269=H700)*IFERROR(1/COUNTIFS('Plant Inventory'!B21:B1269,'Plant Inventory'!B21:B1269,'Plant Inventory'!J21:J1269,"Available",'Plant Inventory'!Q21:Q1269,H700),0))</f>
        <v>0</v>
      </c>
      <c r="E700" s="331" t="s">
        <v>10265</v>
      </c>
      <c r="F700" s="331" t="s">
        <v>10299</v>
      </c>
      <c r="G700" s="331" t="s">
        <v>10302</v>
      </c>
      <c r="H700" s="21"/>
    </row>
    <row r="701">
      <c r="A701" s="331" t="s">
        <v>10303</v>
      </c>
      <c r="B701" s="326"/>
      <c r="C701" s="327"/>
      <c r="D701" s="331">
        <f>SUMPRODUCT((ISNUMBER(SEARCH("-AL-",'Plant Inventory'!B21:B1269)))*('Plant Inventory'!J21:J1269="Available")*('Plant Inventory'!Q21:Q1269=H701)*IFERROR(1/COUNTIFS('Plant Inventory'!B21:B1269,'Plant Inventory'!B21:B1269,'Plant Inventory'!J21:J1269,"Available",'Plant Inventory'!Q21:Q1269,H701),0))</f>
        <v>0</v>
      </c>
      <c r="E701" s="331" t="s">
        <v>10265</v>
      </c>
      <c r="F701" s="331" t="s">
        <v>10299</v>
      </c>
      <c r="G701" s="331" t="s">
        <v>10304</v>
      </c>
      <c r="H701" s="21"/>
    </row>
    <row r="702">
      <c r="B702" s="326"/>
      <c r="C702" s="327"/>
      <c r="H702" s="21"/>
    </row>
    <row r="703">
      <c r="A703" s="331" t="s">
        <v>10305</v>
      </c>
      <c r="B703" s="326"/>
      <c r="C703" s="327"/>
      <c r="D703" s="331">
        <f>SUMPRODUCT((ISNUMBER(SEARCH("SYN",'Plant Inventory'!B21:B1269)))*('Plant Inventory'!J21:J1269="Available")*('Plant Inventory'!Q21:Q1269=H703)*IFERROR(1/COUNTIFS('Plant Inventory'!B21:B1269,'Plant Inventory'!B21:B1269,'Plant Inventory'!J21:J1269,"Available",'Plant Inventory'!Q21:Q1269,H703),0))</f>
        <v>0</v>
      </c>
      <c r="E703" s="331" t="s">
        <v>10265</v>
      </c>
      <c r="F703" s="331" t="s">
        <v>10299</v>
      </c>
      <c r="G703" s="331" t="s">
        <v>10306</v>
      </c>
      <c r="H703" s="21"/>
    </row>
    <row r="704">
      <c r="A704" s="331" t="s">
        <v>10307</v>
      </c>
      <c r="B704" s="326"/>
      <c r="C704" s="327"/>
      <c r="D704" s="331">
        <f>COUNTA('Product Inventory'!B602:B1599)</f>
        <v>0</v>
      </c>
      <c r="E704" s="331" t="s">
        <v>10308</v>
      </c>
      <c r="F704" s="331" t="s">
        <v>10309</v>
      </c>
      <c r="G704" s="331" t="s">
        <v>10310</v>
      </c>
      <c r="H704" s="21"/>
    </row>
    <row r="705">
      <c r="A705" s="331" t="s">
        <v>10311</v>
      </c>
      <c r="B705" s="326"/>
      <c r="C705" s="327"/>
      <c r="D705" s="331">
        <f>SUMIF('Product Inventory'!K602:K1599,"Available",'Product Inventory'!J602:J1599)</f>
        <v>0</v>
      </c>
      <c r="E705" s="331" t="s">
        <v>10308</v>
      </c>
      <c r="F705" s="331" t="s">
        <v>10312</v>
      </c>
      <c r="G705" s="331" t="s">
        <v>10313</v>
      </c>
      <c r="H705" s="21"/>
    </row>
    <row r="706">
      <c r="A706" s="331" t="s">
        <v>10314</v>
      </c>
      <c r="B706" s="326"/>
      <c r="C706" s="327"/>
      <c r="D706" s="331">
        <f>SUM('Product Inventory'!H602:H1599)</f>
        <v>0</v>
      </c>
      <c r="E706" s="331" t="s">
        <v>10308</v>
      </c>
      <c r="F706" s="331" t="s">
        <v>10315</v>
      </c>
      <c r="G706" s="331" t="s">
        <v>10316</v>
      </c>
      <c r="H706" s="21"/>
    </row>
    <row r="707">
      <c r="A707" s="331" t="s">
        <v>10317</v>
      </c>
      <c r="B707" s="326"/>
      <c r="C707" s="327"/>
      <c r="D707" s="331">
        <f>SUM('Product Inventory'!I602:I1599)</f>
        <v>0</v>
      </c>
      <c r="E707" s="331" t="s">
        <v>10308</v>
      </c>
      <c r="F707" s="331" t="s">
        <v>10318</v>
      </c>
      <c r="G707" s="331" t="s">
        <v>10319</v>
      </c>
      <c r="H707" s="21"/>
    </row>
    <row r="708">
      <c r="A708" s="331" t="s">
        <v>10320</v>
      </c>
      <c r="B708" s="326">
        <f>SUMPRODUCT('Product Inventory'!D602:D1599*'Product Inventory'!G602:G1599)</f>
        <v>0</v>
      </c>
      <c r="C708" s="327"/>
      <c r="E708" s="331" t="s">
        <v>10308</v>
      </c>
      <c r="F708" s="331" t="s">
        <v>10321</v>
      </c>
      <c r="G708" s="331" t="s">
        <v>10322</v>
      </c>
      <c r="H708" s="21"/>
    </row>
    <row r="709">
      <c r="A709" s="331" t="s">
        <v>10323</v>
      </c>
      <c r="B709" s="326">
        <f>SUMPRODUCT('Product Inventory'!D602:D1599*'Product Inventory'!J602:J1599)</f>
        <v>0</v>
      </c>
      <c r="C709" s="327"/>
      <c r="E709" s="331" t="s">
        <v>10308</v>
      </c>
      <c r="F709" s="331" t="s">
        <v>10324</v>
      </c>
      <c r="G709" s="331" t="s">
        <v>10325</v>
      </c>
      <c r="H709" s="21"/>
    </row>
    <row r="710">
      <c r="A710" s="331" t="s">
        <v>10326</v>
      </c>
      <c r="B710" s="326">
        <f>SUMPRODUCT('Product Inventory'!E602:E1599*'Product Inventory'!J602:J1599)</f>
        <v>0</v>
      </c>
      <c r="C710" s="327"/>
      <c r="E710" s="331" t="s">
        <v>10308</v>
      </c>
      <c r="F710" s="331" t="s">
        <v>10327</v>
      </c>
      <c r="G710" s="331" t="s">
        <v>10328</v>
      </c>
      <c r="H710" s="21"/>
    </row>
    <row r="711">
      <c r="A711" s="331" t="s">
        <v>10329</v>
      </c>
      <c r="B711" s="326"/>
      <c r="C711" s="327"/>
      <c r="D711" s="331">
        <f>COUNTIF('Product Inventory'!K602:K1599,"Out of Stock")</f>
        <v>0</v>
      </c>
      <c r="E711" s="331" t="s">
        <v>10308</v>
      </c>
      <c r="F711" s="331" t="s">
        <v>10330</v>
      </c>
      <c r="G711" s="331" t="s">
        <v>10331</v>
      </c>
      <c r="H711" s="21"/>
    </row>
    <row r="712">
      <c r="A712" s="331" t="s">
        <v>10332</v>
      </c>
      <c r="B712" s="326">
        <f>B605</f>
        <v>0</v>
      </c>
      <c r="C712" s="327"/>
      <c r="E712" s="331" t="s">
        <v>6502</v>
      </c>
      <c r="F712" s="331" t="s">
        <v>10333</v>
      </c>
      <c r="G712" s="331" t="s">
        <v>10334</v>
      </c>
      <c r="H712" s="21"/>
    </row>
    <row r="713">
      <c r="A713" s="331" t="s">
        <v>10335</v>
      </c>
      <c r="B713" s="326">
        <f>B608</f>
        <v>706.8</v>
      </c>
      <c r="C713" s="327"/>
      <c r="E713" s="331" t="s">
        <v>6502</v>
      </c>
      <c r="F713" s="331" t="s">
        <v>10336</v>
      </c>
      <c r="G713" s="331" t="s">
        <v>10337</v>
      </c>
      <c r="H713" s="21"/>
    </row>
    <row r="714">
      <c r="A714" s="331" t="s">
        <v>10338</v>
      </c>
      <c r="B714" s="326">
        <f>B611</f>
        <v>0</v>
      </c>
      <c r="C714" s="327"/>
      <c r="E714" s="331" t="s">
        <v>6502</v>
      </c>
      <c r="F714" s="331" t="s">
        <v>10339</v>
      </c>
      <c r="G714" s="331" t="s">
        <v>10340</v>
      </c>
      <c r="H714" s="21"/>
    </row>
    <row r="715">
      <c r="A715" s="331" t="s">
        <v>10341</v>
      </c>
      <c r="B715" s="326">
        <f>B713+B714</f>
        <v>706.8</v>
      </c>
      <c r="C715" s="327"/>
      <c r="E715" s="331" t="s">
        <v>6502</v>
      </c>
      <c r="F715" s="331" t="s">
        <v>10342</v>
      </c>
      <c r="G715" s="331" t="s">
        <v>10343</v>
      </c>
      <c r="H715" s="21"/>
    </row>
    <row r="716">
      <c r="A716" s="331" t="s">
        <v>10344</v>
      </c>
      <c r="B716" s="326">
        <f>B712-B715</f>
        <v>-706.8</v>
      </c>
      <c r="C716" s="327"/>
      <c r="E716" s="331" t="s">
        <v>6502</v>
      </c>
      <c r="F716" s="331" t="s">
        <v>10345</v>
      </c>
      <c r="G716" s="331" t="s">
        <v>10346</v>
      </c>
      <c r="H716" s="21"/>
    </row>
    <row r="717">
      <c r="A717" s="331" t="s">
        <v>10347</v>
      </c>
      <c r="B717" s="326">
        <f>B693</f>
        <v>52.95</v>
      </c>
      <c r="C717" s="327"/>
      <c r="E717" s="331" t="s">
        <v>6502</v>
      </c>
      <c r="F717" s="331" t="s">
        <v>10348</v>
      </c>
      <c r="G717" s="331" t="s">
        <v>10349</v>
      </c>
      <c r="H717" s="21"/>
    </row>
    <row r="718">
      <c r="A718" s="331" t="s">
        <v>10350</v>
      </c>
      <c r="B718" s="326">
        <f>B709</f>
        <v>0</v>
      </c>
      <c r="C718" s="327"/>
      <c r="E718" s="331" t="s">
        <v>6502</v>
      </c>
      <c r="F718" s="331" t="s">
        <v>10348</v>
      </c>
      <c r="G718" s="331" t="s">
        <v>10351</v>
      </c>
      <c r="H718" s="21"/>
    </row>
    <row r="719">
      <c r="A719" s="331" t="s">
        <v>10352</v>
      </c>
      <c r="B719" s="326">
        <f>B698</f>
        <v>428.15</v>
      </c>
      <c r="C719" s="327"/>
      <c r="E719" s="331" t="s">
        <v>6502</v>
      </c>
      <c r="F719" s="331" t="s">
        <v>10353</v>
      </c>
      <c r="G719" s="331" t="s">
        <v>10354</v>
      </c>
      <c r="H719" s="21"/>
    </row>
    <row r="720">
      <c r="B720" s="326"/>
      <c r="C720" s="327"/>
    </row>
    <row r="721">
      <c r="B721" s="326"/>
      <c r="C721" s="327"/>
    </row>
    <row r="722">
      <c r="B722" s="326"/>
      <c r="C722" s="327"/>
    </row>
    <row r="723">
      <c r="B723" s="326"/>
      <c r="C723" s="327"/>
    </row>
    <row r="724">
      <c r="B724" s="326"/>
      <c r="C724" s="327"/>
    </row>
    <row r="725">
      <c r="B725" s="326"/>
      <c r="C725" s="327"/>
    </row>
    <row r="726">
      <c r="B726" s="326"/>
      <c r="C726" s="327"/>
    </row>
    <row r="727">
      <c r="B727" s="326"/>
      <c r="C727" s="327"/>
    </row>
    <row r="728">
      <c r="B728" s="326"/>
      <c r="C728" s="327"/>
    </row>
    <row r="729">
      <c r="B729" s="326"/>
      <c r="C729" s="327"/>
    </row>
    <row r="730">
      <c r="B730" s="326"/>
      <c r="C730" s="327"/>
    </row>
    <row r="731">
      <c r="B731" s="326"/>
      <c r="C731" s="327"/>
    </row>
    <row r="732">
      <c r="B732" s="326"/>
      <c r="C732" s="327"/>
    </row>
    <row r="733">
      <c r="B733" s="326"/>
      <c r="C733" s="327"/>
    </row>
    <row r="734">
      <c r="B734" s="326"/>
      <c r="C734" s="327"/>
    </row>
    <row r="735">
      <c r="B735" s="326"/>
      <c r="C735" s="327"/>
    </row>
    <row r="736">
      <c r="B736" s="326"/>
      <c r="C736" s="327"/>
    </row>
    <row r="737">
      <c r="B737" s="326"/>
      <c r="C737" s="327"/>
    </row>
    <row r="738">
      <c r="B738" s="326"/>
      <c r="C738" s="327"/>
    </row>
    <row r="739">
      <c r="B739" s="326"/>
      <c r="C739" s="327"/>
    </row>
    <row r="740">
      <c r="B740" s="326"/>
      <c r="C740" s="327"/>
    </row>
    <row r="741">
      <c r="B741" s="326"/>
      <c r="C741" s="327"/>
    </row>
    <row r="742">
      <c r="B742" s="326"/>
      <c r="C742" s="327"/>
    </row>
    <row r="743">
      <c r="B743" s="326"/>
      <c r="C743" s="327"/>
    </row>
    <row r="744">
      <c r="B744" s="326"/>
      <c r="C744" s="327"/>
    </row>
    <row r="745">
      <c r="B745" s="326"/>
      <c r="C745" s="327"/>
    </row>
    <row r="746">
      <c r="B746" s="326"/>
      <c r="C746" s="327"/>
    </row>
    <row r="747">
      <c r="B747" s="326"/>
      <c r="C747" s="327"/>
    </row>
    <row r="748">
      <c r="B748" s="326"/>
      <c r="C748" s="327"/>
    </row>
    <row r="749">
      <c r="B749" s="326"/>
      <c r="C749" s="327"/>
    </row>
    <row r="750">
      <c r="B750" s="326"/>
      <c r="C750" s="327"/>
    </row>
    <row r="751">
      <c r="B751" s="326"/>
      <c r="C751" s="327"/>
    </row>
    <row r="752">
      <c r="B752" s="326"/>
      <c r="C752" s="327"/>
    </row>
    <row r="753">
      <c r="B753" s="326"/>
      <c r="C753" s="327"/>
    </row>
    <row r="754">
      <c r="B754" s="326"/>
      <c r="C754" s="327"/>
    </row>
    <row r="755">
      <c r="B755" s="326"/>
      <c r="C755" s="327"/>
    </row>
    <row r="756">
      <c r="B756" s="326"/>
      <c r="C756" s="327"/>
    </row>
    <row r="757">
      <c r="B757" s="326"/>
      <c r="C757" s="327"/>
    </row>
    <row r="758">
      <c r="B758" s="326"/>
      <c r="C758" s="327"/>
    </row>
    <row r="759">
      <c r="B759" s="326"/>
      <c r="C759" s="327"/>
    </row>
    <row r="760">
      <c r="B760" s="326"/>
      <c r="C760" s="327"/>
    </row>
    <row r="761">
      <c r="B761" s="326"/>
      <c r="C761" s="327"/>
    </row>
    <row r="762">
      <c r="B762" s="326"/>
      <c r="C762" s="327"/>
    </row>
    <row r="763">
      <c r="B763" s="326"/>
      <c r="C763" s="327"/>
    </row>
    <row r="764">
      <c r="B764" s="326"/>
      <c r="C764" s="327"/>
    </row>
    <row r="765">
      <c r="B765" s="326"/>
      <c r="C765" s="327"/>
    </row>
    <row r="766">
      <c r="B766" s="326"/>
      <c r="C766" s="327"/>
    </row>
    <row r="767">
      <c r="B767" s="326"/>
      <c r="C767" s="327"/>
    </row>
    <row r="768">
      <c r="B768" s="326"/>
      <c r="C768" s="327"/>
    </row>
    <row r="769">
      <c r="B769" s="326"/>
      <c r="C769" s="327"/>
    </row>
    <row r="770">
      <c r="B770" s="326"/>
      <c r="C770" s="327"/>
    </row>
    <row r="771">
      <c r="B771" s="326"/>
      <c r="C771" s="327"/>
    </row>
    <row r="772">
      <c r="B772" s="326"/>
      <c r="C772" s="327"/>
    </row>
    <row r="773">
      <c r="B773" s="326"/>
      <c r="C773" s="327"/>
    </row>
    <row r="774">
      <c r="B774" s="326"/>
      <c r="C774" s="327"/>
    </row>
    <row r="775">
      <c r="B775" s="326"/>
      <c r="C775" s="327"/>
    </row>
    <row r="776">
      <c r="B776" s="326"/>
      <c r="C776" s="327"/>
    </row>
    <row r="777">
      <c r="B777" s="326"/>
      <c r="C777" s="327"/>
    </row>
    <row r="778">
      <c r="B778" s="326"/>
      <c r="C778" s="327"/>
    </row>
    <row r="779">
      <c r="B779" s="326"/>
      <c r="C779" s="327"/>
    </row>
    <row r="780">
      <c r="B780" s="326"/>
      <c r="C780" s="327"/>
    </row>
    <row r="781">
      <c r="B781" s="326"/>
      <c r="C781" s="327"/>
    </row>
    <row r="782">
      <c r="B782" s="326"/>
      <c r="C782" s="327"/>
    </row>
    <row r="783">
      <c r="B783" s="326"/>
      <c r="C783" s="327"/>
    </row>
    <row r="784">
      <c r="B784" s="326"/>
      <c r="C784" s="327"/>
    </row>
    <row r="785">
      <c r="B785" s="326"/>
      <c r="C785" s="327"/>
    </row>
    <row r="786">
      <c r="B786" s="326"/>
      <c r="C786" s="327"/>
    </row>
    <row r="787">
      <c r="B787" s="326"/>
      <c r="C787" s="327"/>
    </row>
    <row r="788">
      <c r="B788" s="326"/>
      <c r="C788" s="327"/>
    </row>
    <row r="789">
      <c r="B789" s="326"/>
      <c r="C789" s="327"/>
    </row>
    <row r="790">
      <c r="B790" s="326"/>
      <c r="C790" s="327"/>
    </row>
    <row r="791">
      <c r="B791" s="326"/>
      <c r="C791" s="327"/>
    </row>
    <row r="792">
      <c r="B792" s="326"/>
      <c r="C792" s="327"/>
    </row>
    <row r="793">
      <c r="B793" s="326"/>
      <c r="C793" s="327"/>
    </row>
    <row r="794">
      <c r="B794" s="326"/>
      <c r="C794" s="327"/>
    </row>
    <row r="795">
      <c r="B795" s="326"/>
      <c r="C795" s="327"/>
    </row>
    <row r="796">
      <c r="B796" s="326"/>
      <c r="C796" s="327"/>
    </row>
    <row r="797">
      <c r="B797" s="326"/>
      <c r="C797" s="327"/>
    </row>
    <row r="798">
      <c r="B798" s="326"/>
      <c r="C798" s="327"/>
    </row>
    <row r="799">
      <c r="B799" s="326"/>
      <c r="C799" s="327"/>
    </row>
    <row r="800">
      <c r="B800" s="326"/>
      <c r="C800" s="327"/>
    </row>
    <row r="801">
      <c r="B801" s="326"/>
      <c r="C801" s="327"/>
    </row>
    <row r="802">
      <c r="B802" s="326"/>
      <c r="C802" s="327"/>
    </row>
    <row r="803">
      <c r="B803" s="326"/>
      <c r="C803" s="327"/>
    </row>
    <row r="804">
      <c r="B804" s="326"/>
      <c r="C804" s="327"/>
    </row>
    <row r="805">
      <c r="B805" s="326"/>
      <c r="C805" s="327"/>
    </row>
    <row r="806">
      <c r="B806" s="326"/>
      <c r="C806" s="327"/>
    </row>
    <row r="807">
      <c r="B807" s="326"/>
      <c r="C807" s="327"/>
    </row>
    <row r="808">
      <c r="B808" s="326"/>
      <c r="C808" s="327"/>
    </row>
    <row r="809">
      <c r="B809" s="326"/>
      <c r="C809" s="327"/>
    </row>
    <row r="810">
      <c r="B810" s="326"/>
      <c r="C810" s="327"/>
    </row>
    <row r="811">
      <c r="B811" s="326"/>
      <c r="C811" s="327"/>
    </row>
    <row r="812">
      <c r="B812" s="326"/>
      <c r="C812" s="327"/>
    </row>
    <row r="813">
      <c r="B813" s="326"/>
      <c r="C813" s="327"/>
    </row>
    <row r="814">
      <c r="B814" s="326"/>
      <c r="C814" s="327"/>
    </row>
    <row r="815">
      <c r="B815" s="326"/>
      <c r="C815" s="327"/>
    </row>
    <row r="816">
      <c r="B816" s="326"/>
      <c r="C816" s="327"/>
    </row>
    <row r="817">
      <c r="B817" s="326"/>
      <c r="C817" s="327"/>
    </row>
    <row r="818">
      <c r="B818" s="326"/>
      <c r="C818" s="327"/>
    </row>
    <row r="819">
      <c r="B819" s="326"/>
      <c r="C819" s="327"/>
    </row>
    <row r="820">
      <c r="B820" s="326"/>
      <c r="C820" s="327"/>
    </row>
    <row r="821">
      <c r="B821" s="326"/>
      <c r="C821" s="327"/>
    </row>
    <row r="822">
      <c r="B822" s="326"/>
      <c r="C822" s="327"/>
    </row>
    <row r="823">
      <c r="B823" s="326"/>
      <c r="C823" s="327"/>
    </row>
    <row r="824">
      <c r="B824" s="326"/>
      <c r="C824" s="327"/>
    </row>
    <row r="825">
      <c r="B825" s="326"/>
      <c r="C825" s="327"/>
    </row>
    <row r="826">
      <c r="B826" s="326"/>
      <c r="C826" s="327"/>
    </row>
    <row r="827">
      <c r="B827" s="326"/>
      <c r="C827" s="327"/>
    </row>
    <row r="828">
      <c r="B828" s="326"/>
      <c r="C828" s="327"/>
    </row>
    <row r="829">
      <c r="B829" s="326"/>
      <c r="C829" s="327"/>
    </row>
    <row r="830">
      <c r="B830" s="326"/>
      <c r="C830" s="327"/>
    </row>
    <row r="831">
      <c r="B831" s="326"/>
      <c r="C831" s="327"/>
    </row>
    <row r="832">
      <c r="B832" s="326"/>
      <c r="C832" s="327"/>
    </row>
    <row r="833">
      <c r="B833" s="326"/>
      <c r="C833" s="327"/>
    </row>
    <row r="834">
      <c r="B834" s="326"/>
      <c r="C834" s="327"/>
    </row>
    <row r="835">
      <c r="B835" s="326"/>
      <c r="C835" s="327"/>
    </row>
    <row r="836">
      <c r="B836" s="326"/>
      <c r="C836" s="327"/>
    </row>
    <row r="837">
      <c r="B837" s="326"/>
      <c r="C837" s="327"/>
    </row>
    <row r="838">
      <c r="B838" s="326"/>
      <c r="C838" s="327"/>
    </row>
    <row r="839">
      <c r="B839" s="326"/>
      <c r="C839" s="327"/>
    </row>
    <row r="840">
      <c r="B840" s="326"/>
      <c r="C840" s="327"/>
    </row>
    <row r="841">
      <c r="B841" s="326"/>
      <c r="C841" s="327"/>
    </row>
    <row r="842">
      <c r="B842" s="326"/>
      <c r="C842" s="327"/>
    </row>
    <row r="843">
      <c r="B843" s="326"/>
      <c r="C843" s="327"/>
    </row>
    <row r="844">
      <c r="B844" s="326"/>
      <c r="C844" s="327"/>
    </row>
    <row r="845">
      <c r="B845" s="326"/>
      <c r="C845" s="327"/>
    </row>
    <row r="846">
      <c r="B846" s="326"/>
      <c r="C846" s="327"/>
    </row>
    <row r="847">
      <c r="B847" s="326"/>
      <c r="C847" s="327"/>
    </row>
    <row r="848">
      <c r="B848" s="326"/>
      <c r="C848" s="327"/>
    </row>
    <row r="849">
      <c r="B849" s="326"/>
      <c r="C849" s="327"/>
    </row>
    <row r="850">
      <c r="B850" s="326"/>
      <c r="C850" s="327"/>
    </row>
    <row r="851">
      <c r="B851" s="326"/>
      <c r="C851" s="327"/>
    </row>
    <row r="852">
      <c r="B852" s="326"/>
      <c r="C852" s="327"/>
    </row>
    <row r="853">
      <c r="B853" s="326"/>
      <c r="C853" s="327"/>
    </row>
    <row r="854">
      <c r="B854" s="326"/>
      <c r="C854" s="327"/>
    </row>
    <row r="855">
      <c r="B855" s="326"/>
      <c r="C855" s="327"/>
    </row>
    <row r="856">
      <c r="B856" s="326"/>
      <c r="C856" s="327"/>
    </row>
    <row r="857">
      <c r="B857" s="326"/>
      <c r="C857" s="327"/>
    </row>
    <row r="858">
      <c r="B858" s="326"/>
      <c r="C858" s="327"/>
    </row>
    <row r="859">
      <c r="B859" s="326"/>
      <c r="C859" s="327"/>
    </row>
    <row r="860">
      <c r="B860" s="326"/>
      <c r="C860" s="327"/>
    </row>
    <row r="861">
      <c r="B861" s="326"/>
      <c r="C861" s="327"/>
    </row>
    <row r="862">
      <c r="B862" s="326"/>
      <c r="C862" s="327"/>
    </row>
    <row r="863">
      <c r="B863" s="326"/>
      <c r="C863" s="327"/>
    </row>
    <row r="864">
      <c r="B864" s="326"/>
      <c r="C864" s="327"/>
    </row>
    <row r="865">
      <c r="B865" s="326"/>
      <c r="C865" s="327"/>
    </row>
    <row r="866">
      <c r="B866" s="326"/>
      <c r="C866" s="327"/>
    </row>
    <row r="867">
      <c r="B867" s="326"/>
      <c r="C867" s="327"/>
    </row>
    <row r="868">
      <c r="B868" s="326"/>
      <c r="C868" s="327"/>
    </row>
    <row r="869">
      <c r="B869" s="326"/>
      <c r="C869" s="327"/>
    </row>
    <row r="870">
      <c r="B870" s="326"/>
      <c r="C870" s="327"/>
    </row>
    <row r="871">
      <c r="B871" s="326"/>
      <c r="C871" s="327"/>
    </row>
    <row r="872">
      <c r="B872" s="326"/>
      <c r="C872" s="327"/>
    </row>
    <row r="873">
      <c r="B873" s="326"/>
      <c r="C873" s="327"/>
    </row>
    <row r="874">
      <c r="B874" s="326"/>
      <c r="C874" s="327"/>
    </row>
    <row r="875">
      <c r="B875" s="326"/>
      <c r="C875" s="327"/>
    </row>
    <row r="876">
      <c r="B876" s="326"/>
      <c r="C876" s="327"/>
    </row>
    <row r="877">
      <c r="B877" s="326"/>
      <c r="C877" s="327"/>
    </row>
    <row r="878">
      <c r="B878" s="326"/>
      <c r="C878" s="327"/>
    </row>
    <row r="879">
      <c r="B879" s="326"/>
      <c r="C879" s="327"/>
    </row>
    <row r="880">
      <c r="B880" s="326"/>
      <c r="C880" s="327"/>
    </row>
    <row r="881">
      <c r="B881" s="326"/>
      <c r="C881" s="327"/>
    </row>
    <row r="882">
      <c r="B882" s="326"/>
      <c r="C882" s="327"/>
    </row>
    <row r="883">
      <c r="B883" s="326"/>
      <c r="C883" s="327"/>
    </row>
    <row r="884">
      <c r="B884" s="326"/>
      <c r="C884" s="327"/>
    </row>
    <row r="885">
      <c r="B885" s="326"/>
      <c r="C885" s="327"/>
    </row>
    <row r="886">
      <c r="B886" s="326"/>
      <c r="C886" s="327"/>
    </row>
    <row r="887">
      <c r="B887" s="326"/>
      <c r="C887" s="327"/>
    </row>
    <row r="888">
      <c r="B888" s="326"/>
      <c r="C888" s="327"/>
    </row>
    <row r="889">
      <c r="B889" s="326"/>
      <c r="C889" s="327"/>
    </row>
    <row r="890">
      <c r="B890" s="326"/>
      <c r="C890" s="327"/>
    </row>
    <row r="891">
      <c r="B891" s="326"/>
      <c r="C891" s="327"/>
    </row>
    <row r="892">
      <c r="B892" s="326"/>
      <c r="C892" s="327"/>
    </row>
    <row r="893">
      <c r="B893" s="326"/>
      <c r="C893" s="327"/>
    </row>
    <row r="894">
      <c r="B894" s="326"/>
      <c r="C894" s="327"/>
    </row>
    <row r="895">
      <c r="B895" s="326"/>
      <c r="C895" s="327"/>
    </row>
    <row r="896">
      <c r="B896" s="326"/>
      <c r="C896" s="327"/>
    </row>
    <row r="897">
      <c r="B897" s="326"/>
      <c r="C897" s="327"/>
    </row>
    <row r="898">
      <c r="B898" s="326"/>
      <c r="C898" s="327"/>
    </row>
    <row r="899">
      <c r="B899" s="326"/>
      <c r="C899" s="327"/>
    </row>
    <row r="900">
      <c r="B900" s="326"/>
      <c r="C900" s="327"/>
    </row>
    <row r="901">
      <c r="B901" s="326"/>
      <c r="C901" s="327"/>
    </row>
    <row r="902">
      <c r="B902" s="326"/>
      <c r="C902" s="327"/>
    </row>
    <row r="903">
      <c r="B903" s="326"/>
      <c r="C903" s="327"/>
    </row>
    <row r="904">
      <c r="B904" s="326"/>
      <c r="C904" s="327"/>
    </row>
    <row r="905">
      <c r="B905" s="326"/>
      <c r="C905" s="327"/>
    </row>
    <row r="906">
      <c r="B906" s="326"/>
      <c r="C906" s="327"/>
    </row>
    <row r="907">
      <c r="B907" s="326"/>
      <c r="C907" s="327"/>
    </row>
    <row r="908">
      <c r="B908" s="326"/>
      <c r="C908" s="327"/>
    </row>
    <row r="909">
      <c r="B909" s="326"/>
      <c r="C909" s="327"/>
    </row>
    <row r="910">
      <c r="B910" s="326"/>
      <c r="C910" s="327"/>
    </row>
    <row r="911">
      <c r="B911" s="326"/>
      <c r="C911" s="327"/>
    </row>
    <row r="912">
      <c r="B912" s="326"/>
      <c r="C912" s="327"/>
    </row>
    <row r="913">
      <c r="B913" s="326"/>
      <c r="C913" s="327"/>
    </row>
    <row r="914">
      <c r="B914" s="326"/>
      <c r="C914" s="327"/>
    </row>
    <row r="915">
      <c r="B915" s="326"/>
      <c r="C915" s="327"/>
    </row>
    <row r="916">
      <c r="B916" s="326"/>
      <c r="C916" s="327"/>
    </row>
    <row r="917">
      <c r="B917" s="326"/>
      <c r="C917" s="327"/>
    </row>
    <row r="918">
      <c r="B918" s="326"/>
      <c r="C918" s="327"/>
    </row>
    <row r="919">
      <c r="B919" s="326"/>
      <c r="C919" s="327"/>
    </row>
    <row r="920">
      <c r="B920" s="326"/>
      <c r="C920" s="327"/>
    </row>
    <row r="921">
      <c r="B921" s="326"/>
      <c r="C921" s="327"/>
    </row>
    <row r="922">
      <c r="B922" s="326"/>
      <c r="C922" s="327"/>
    </row>
    <row r="923">
      <c r="B923" s="326"/>
      <c r="C923" s="327"/>
    </row>
    <row r="924">
      <c r="B924" s="326"/>
      <c r="C924" s="327"/>
    </row>
    <row r="925">
      <c r="B925" s="326"/>
      <c r="C925" s="327"/>
    </row>
    <row r="926">
      <c r="B926" s="326"/>
      <c r="C926" s="327"/>
    </row>
    <row r="927">
      <c r="B927" s="326"/>
      <c r="C927" s="327"/>
    </row>
    <row r="928">
      <c r="B928" s="326"/>
      <c r="C928" s="327"/>
    </row>
    <row r="929">
      <c r="B929" s="326"/>
      <c r="C929" s="327"/>
    </row>
    <row r="930">
      <c r="B930" s="326"/>
      <c r="C930" s="327"/>
    </row>
    <row r="931">
      <c r="B931" s="326"/>
      <c r="C931" s="327"/>
    </row>
    <row r="932">
      <c r="B932" s="326"/>
      <c r="C932" s="327"/>
    </row>
    <row r="933">
      <c r="B933" s="326"/>
      <c r="C933" s="327"/>
    </row>
    <row r="934">
      <c r="B934" s="326"/>
      <c r="C934" s="327"/>
    </row>
    <row r="935">
      <c r="B935" s="326"/>
      <c r="C935" s="327"/>
    </row>
    <row r="936">
      <c r="B936" s="326"/>
      <c r="C936" s="327"/>
    </row>
    <row r="937">
      <c r="B937" s="326"/>
      <c r="C937" s="327"/>
    </row>
    <row r="938">
      <c r="B938" s="326"/>
      <c r="C938" s="327"/>
    </row>
    <row r="939">
      <c r="B939" s="326"/>
      <c r="C939" s="327"/>
    </row>
    <row r="940">
      <c r="B940" s="326"/>
      <c r="C940" s="327"/>
    </row>
    <row r="941">
      <c r="B941" s="326"/>
      <c r="C941" s="327"/>
    </row>
    <row r="942">
      <c r="B942" s="326"/>
      <c r="C942" s="327"/>
    </row>
    <row r="943">
      <c r="B943" s="326"/>
      <c r="C943" s="327"/>
    </row>
    <row r="944">
      <c r="B944" s="326"/>
      <c r="C944" s="327"/>
    </row>
    <row r="945">
      <c r="B945" s="326"/>
      <c r="C945" s="327"/>
    </row>
    <row r="946">
      <c r="B946" s="326"/>
      <c r="C946" s="327"/>
    </row>
    <row r="947">
      <c r="B947" s="326"/>
      <c r="C947" s="327"/>
    </row>
    <row r="948">
      <c r="B948" s="326"/>
      <c r="C948" s="327"/>
    </row>
    <row r="949">
      <c r="B949" s="326"/>
      <c r="C949" s="327"/>
    </row>
    <row r="950">
      <c r="B950" s="326"/>
      <c r="C950" s="327"/>
    </row>
    <row r="951">
      <c r="B951" s="326"/>
      <c r="C951" s="327"/>
    </row>
    <row r="952">
      <c r="B952" s="326"/>
      <c r="C952" s="327"/>
    </row>
    <row r="953">
      <c r="B953" s="326"/>
      <c r="C953" s="327"/>
    </row>
    <row r="954">
      <c r="B954" s="326"/>
      <c r="C954" s="327"/>
    </row>
    <row r="955">
      <c r="B955" s="326"/>
      <c r="C955" s="327"/>
    </row>
    <row r="956">
      <c r="B956" s="326"/>
      <c r="C956" s="327"/>
    </row>
    <row r="957">
      <c r="B957" s="326"/>
      <c r="C957" s="327"/>
    </row>
    <row r="958">
      <c r="B958" s="326"/>
      <c r="C958" s="327"/>
    </row>
    <row r="959">
      <c r="B959" s="326"/>
      <c r="C959" s="327"/>
    </row>
    <row r="960">
      <c r="B960" s="326"/>
      <c r="C960" s="327"/>
    </row>
    <row r="961">
      <c r="B961" s="326"/>
      <c r="C961" s="327"/>
    </row>
    <row r="962">
      <c r="B962" s="326"/>
      <c r="C962" s="327"/>
    </row>
    <row r="963">
      <c r="B963" s="326"/>
      <c r="C963" s="327"/>
    </row>
    <row r="964">
      <c r="B964" s="326"/>
      <c r="C964" s="327"/>
    </row>
    <row r="965">
      <c r="B965" s="326"/>
      <c r="C965" s="327"/>
    </row>
    <row r="966">
      <c r="B966" s="326"/>
      <c r="C966" s="327"/>
    </row>
    <row r="967">
      <c r="B967" s="326"/>
      <c r="C967" s="327"/>
    </row>
    <row r="968">
      <c r="B968" s="326"/>
      <c r="C968" s="327"/>
    </row>
    <row r="969">
      <c r="B969" s="326"/>
      <c r="C969" s="327"/>
    </row>
    <row r="970">
      <c r="B970" s="326"/>
      <c r="C970" s="327"/>
    </row>
    <row r="971">
      <c r="B971" s="326"/>
      <c r="C971" s="327"/>
    </row>
    <row r="972">
      <c r="B972" s="326"/>
      <c r="C972" s="327"/>
    </row>
    <row r="973">
      <c r="B973" s="326"/>
      <c r="C973" s="327"/>
    </row>
    <row r="974">
      <c r="B974" s="326"/>
      <c r="C974" s="327"/>
    </row>
    <row r="975">
      <c r="B975" s="326"/>
      <c r="C975" s="327"/>
    </row>
    <row r="976">
      <c r="B976" s="326"/>
      <c r="C976" s="327"/>
    </row>
    <row r="977">
      <c r="B977" s="326"/>
      <c r="C977" s="327"/>
    </row>
    <row r="978">
      <c r="B978" s="326"/>
      <c r="C978" s="327"/>
    </row>
    <row r="979">
      <c r="B979" s="326"/>
      <c r="C979" s="327"/>
    </row>
    <row r="980">
      <c r="B980" s="326"/>
      <c r="C980" s="327"/>
    </row>
    <row r="981">
      <c r="B981" s="326"/>
      <c r="C981" s="327"/>
    </row>
    <row r="982">
      <c r="B982" s="326"/>
      <c r="C982" s="327"/>
    </row>
    <row r="983">
      <c r="B983" s="326"/>
      <c r="C983" s="327"/>
    </row>
    <row r="984">
      <c r="B984" s="326"/>
      <c r="C984" s="327"/>
    </row>
    <row r="985">
      <c r="B985" s="326"/>
      <c r="C985" s="327"/>
    </row>
    <row r="986">
      <c r="B986" s="326"/>
      <c r="C986" s="327"/>
    </row>
    <row r="987">
      <c r="B987" s="326"/>
      <c r="C987" s="327"/>
    </row>
    <row r="988">
      <c r="B988" s="326"/>
      <c r="C988" s="327"/>
    </row>
    <row r="989">
      <c r="B989" s="326"/>
      <c r="C989" s="327"/>
    </row>
    <row r="990">
      <c r="B990" s="326"/>
      <c r="C990" s="327"/>
    </row>
    <row r="991">
      <c r="B991" s="326"/>
      <c r="C991" s="327"/>
    </row>
    <row r="992">
      <c r="B992" s="326"/>
      <c r="C992" s="327"/>
    </row>
    <row r="993">
      <c r="B993" s="326"/>
      <c r="C993" s="327"/>
    </row>
    <row r="994">
      <c r="B994" s="326"/>
      <c r="C994" s="327"/>
    </row>
    <row r="995">
      <c r="B995" s="326"/>
      <c r="C995" s="327"/>
    </row>
    <row r="996">
      <c r="B996" s="326"/>
      <c r="C996" s="327"/>
    </row>
    <row r="997">
      <c r="B997" s="326"/>
      <c r="C997" s="327"/>
    </row>
    <row r="998">
      <c r="B998" s="326"/>
      <c r="C998" s="327"/>
    </row>
    <row r="999">
      <c r="B999" s="326"/>
      <c r="C999" s="327"/>
    </row>
    <row r="1000">
      <c r="B1000" s="326"/>
      <c r="C1000" s="327"/>
    </row>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63"/>
    <col customWidth="1" min="2" max="2" width="15.75"/>
    <col customWidth="1" min="3" max="4" width="13.13"/>
    <col customWidth="1" min="5" max="5" width="17.5"/>
    <col customWidth="1" min="6" max="6" width="35.0"/>
    <col customWidth="1" min="7" max="7" width="13.13"/>
    <col customWidth="1" min="8" max="8" width="30.63"/>
  </cols>
  <sheetData>
    <row r="3">
      <c r="A3" s="332" t="s">
        <v>10106</v>
      </c>
      <c r="B3" s="332" t="s">
        <v>10107</v>
      </c>
      <c r="C3" s="332" t="s">
        <v>10108</v>
      </c>
      <c r="D3" s="332" t="s">
        <v>10109</v>
      </c>
      <c r="E3" s="332" t="s">
        <v>10110</v>
      </c>
      <c r="F3" s="332" t="s">
        <v>1035</v>
      </c>
      <c r="G3" s="332" t="s">
        <v>8585</v>
      </c>
      <c r="H3" s="332" t="s">
        <v>14</v>
      </c>
    </row>
    <row r="4">
      <c r="A4" s="333" t="s">
        <v>10111</v>
      </c>
      <c r="B4" s="333">
        <f>SUMPRODUCT((Sales!P3:P10000=H4)*(Sales!B3:B10000&lt;&gt;"")*Sales!F3:F10000)</f>
        <v>1717</v>
      </c>
      <c r="E4" s="333" t="s">
        <v>10112</v>
      </c>
      <c r="F4" s="333" t="s">
        <v>10113</v>
      </c>
      <c r="G4" s="333" t="s">
        <v>10358</v>
      </c>
      <c r="H4" s="333" t="s">
        <v>22</v>
      </c>
    </row>
    <row r="5">
      <c r="A5" s="333" t="s">
        <v>10115</v>
      </c>
      <c r="B5" s="333">
        <f>SUMPRODUCT(('Plant Inventory'!Q3:Q684=H5)*('Plant Inventory'!J3:J684="Sold")*'Plant Inventory'!D3:D684)</f>
        <v>651.23</v>
      </c>
      <c r="E5" s="333" t="s">
        <v>10112</v>
      </c>
      <c r="F5" s="333" t="s">
        <v>10116</v>
      </c>
      <c r="G5" s="333" t="s">
        <v>10359</v>
      </c>
      <c r="H5" s="333" t="s">
        <v>22</v>
      </c>
    </row>
    <row r="6">
      <c r="A6" s="333" t="s">
        <v>10118</v>
      </c>
      <c r="B6" s="333">
        <f>SUMPRODUCT((Sales!P3:P10000=H6)*(Sales!B3:B10000&lt;&gt;"")*ISNUMBER(MATCH(Sales!B3:B10000,'Product Inventory'!B3:B997,0))*Sales!J3:J10000)</f>
        <v>123.06</v>
      </c>
      <c r="E6" s="333" t="s">
        <v>10112</v>
      </c>
      <c r="F6" s="333" t="s">
        <v>10119</v>
      </c>
      <c r="G6" s="333" t="s">
        <v>10360</v>
      </c>
      <c r="H6" s="333" t="s">
        <v>22</v>
      </c>
    </row>
    <row r="7">
      <c r="A7" s="333" t="s">
        <v>10121</v>
      </c>
      <c r="B7" s="333">
        <f>B5+B6</f>
        <v>774.29</v>
      </c>
      <c r="E7" s="333" t="s">
        <v>10112</v>
      </c>
      <c r="F7" s="333" t="s">
        <v>10122</v>
      </c>
      <c r="G7" s="333" t="s">
        <v>10361</v>
      </c>
      <c r="H7" s="333" t="s">
        <v>22</v>
      </c>
    </row>
    <row r="8">
      <c r="A8" s="333" t="s">
        <v>10124</v>
      </c>
      <c r="B8" s="333">
        <f>B4-B7</f>
        <v>942.71</v>
      </c>
      <c r="E8" s="333" t="s">
        <v>10112</v>
      </c>
      <c r="F8" s="333" t="s">
        <v>10125</v>
      </c>
      <c r="G8" s="333" t="s">
        <v>10362</v>
      </c>
      <c r="H8" s="333" t="s">
        <v>22</v>
      </c>
    </row>
    <row r="9">
      <c r="A9" s="333" t="s">
        <v>10127</v>
      </c>
      <c r="C9" s="333">
        <f>IFERROR(B8/B4,"")</f>
        <v>0.5490448457</v>
      </c>
      <c r="E9" s="333" t="s">
        <v>10112</v>
      </c>
      <c r="F9" s="333" t="s">
        <v>10128</v>
      </c>
      <c r="G9" s="333" t="s">
        <v>10363</v>
      </c>
      <c r="H9" s="333" t="s">
        <v>22</v>
      </c>
    </row>
    <row r="10">
      <c r="A10" s="333" t="s">
        <v>10130</v>
      </c>
      <c r="B10" s="333">
        <f>SUMPRODUCT(('Overhead Expenses'!Q3:Q4997=H10)*('Overhead Expenses'!D3:D4997&lt;&gt;"")*'Overhead Expenses'!K3:K4997)</f>
        <v>7744.63</v>
      </c>
      <c r="E10" s="333" t="s">
        <v>10112</v>
      </c>
      <c r="F10" s="333" t="s">
        <v>10131</v>
      </c>
      <c r="G10" s="333" t="s">
        <v>10364</v>
      </c>
      <c r="H10" s="333" t="s">
        <v>22</v>
      </c>
    </row>
    <row r="11">
      <c r="A11" s="333" t="s">
        <v>10133</v>
      </c>
      <c r="B11" s="333">
        <f>B8-B10</f>
        <v>-6801.92</v>
      </c>
      <c r="E11" s="333" t="s">
        <v>10112</v>
      </c>
      <c r="F11" s="333" t="s">
        <v>10134</v>
      </c>
      <c r="G11" s="333" t="s">
        <v>10365</v>
      </c>
      <c r="H11" s="333" t="s">
        <v>22</v>
      </c>
    </row>
    <row r="12">
      <c r="A12" s="333" t="s">
        <v>10136</v>
      </c>
      <c r="C12" s="333">
        <f>IFERROR(B11/B4,"")</f>
        <v>-3.961514269</v>
      </c>
      <c r="E12" s="333" t="s">
        <v>10112</v>
      </c>
      <c r="F12" s="333" t="s">
        <v>10137</v>
      </c>
      <c r="G12" s="333" t="s">
        <v>10366</v>
      </c>
      <c r="H12" s="333" t="s">
        <v>22</v>
      </c>
    </row>
    <row r="13">
      <c r="A13" s="333" t="s">
        <v>10139</v>
      </c>
      <c r="D13" s="333">
        <f>COUNTIF(Sales!P3:P10000,H13)</f>
        <v>174</v>
      </c>
      <c r="E13" s="333" t="s">
        <v>10140</v>
      </c>
      <c r="F13" s="333" t="s">
        <v>10141</v>
      </c>
      <c r="G13" s="333" t="s">
        <v>10367</v>
      </c>
      <c r="H13" s="333" t="s">
        <v>22</v>
      </c>
    </row>
    <row r="14">
      <c r="A14" s="333" t="s">
        <v>10143</v>
      </c>
      <c r="B14" s="333">
        <f>IFERROR(B4/D13,"")</f>
        <v>9.867816092</v>
      </c>
      <c r="E14" s="333" t="s">
        <v>10140</v>
      </c>
      <c r="F14" s="333" t="s">
        <v>10144</v>
      </c>
      <c r="G14" s="333" t="s">
        <v>10368</v>
      </c>
      <c r="H14" s="333" t="s">
        <v>22</v>
      </c>
    </row>
    <row r="15">
      <c r="A15" s="333" t="s">
        <v>10146</v>
      </c>
      <c r="B15" s="333">
        <f>IFERROR(B11/D13,"")</f>
        <v>-39.09149425</v>
      </c>
      <c r="E15" s="333" t="s">
        <v>10140</v>
      </c>
      <c r="F15" s="333" t="s">
        <v>10147</v>
      </c>
      <c r="G15" s="333" t="s">
        <v>10369</v>
      </c>
      <c r="H15" s="333" t="s">
        <v>22</v>
      </c>
    </row>
    <row r="16">
      <c r="A16" s="333" t="s">
        <v>10149</v>
      </c>
      <c r="B16" s="333">
        <f>SUMPRODUCT((Sales!P3:P10000=H16)*(Sales!I3:I10000="Palm Street")*Sales!F3:F10000)</f>
        <v>501</v>
      </c>
      <c r="E16" s="333" t="s">
        <v>10140</v>
      </c>
      <c r="F16" s="333" t="s">
        <v>10150</v>
      </c>
      <c r="G16" s="333" t="s">
        <v>10370</v>
      </c>
      <c r="H16" s="333" t="s">
        <v>22</v>
      </c>
    </row>
    <row r="17">
      <c r="A17" s="333" t="s">
        <v>10152</v>
      </c>
      <c r="B17" s="333">
        <f>SUMPRODUCT((Sales!P3:P10000=H17)*(Sales!I3:I10000="In Person")*Sales!F3:F10000)</f>
        <v>331</v>
      </c>
      <c r="E17" s="333" t="s">
        <v>10140</v>
      </c>
      <c r="F17" s="333" t="s">
        <v>10150</v>
      </c>
      <c r="G17" s="333" t="s">
        <v>10371</v>
      </c>
      <c r="H17" s="333" t="s">
        <v>22</v>
      </c>
    </row>
    <row r="18">
      <c r="A18" s="333" t="s">
        <v>10154</v>
      </c>
      <c r="B18" s="333">
        <f>SUMPRODUCT((Sales!P3:P10000=H18)*(Sales!I3:I10000="Facebook Marketplace")*Sales!F3:F10000)</f>
        <v>388</v>
      </c>
      <c r="E18" s="333" t="s">
        <v>10140</v>
      </c>
      <c r="F18" s="333" t="s">
        <v>10150</v>
      </c>
      <c r="G18" s="333" t="s">
        <v>10372</v>
      </c>
      <c r="H18" s="333" t="s">
        <v>22</v>
      </c>
    </row>
    <row r="19">
      <c r="A19" s="333" t="s">
        <v>10156</v>
      </c>
      <c r="B19" s="333">
        <f>SUMPRODUCT((Sales!P3:P10000=H19)*(Sales!I3:I10000="Flea Market")*Sales!F3:F10000)</f>
        <v>95</v>
      </c>
      <c r="E19" s="333" t="s">
        <v>10140</v>
      </c>
      <c r="F19" s="333" t="s">
        <v>10150</v>
      </c>
      <c r="G19" s="333" t="s">
        <v>10373</v>
      </c>
      <c r="H19" s="333" t="s">
        <v>22</v>
      </c>
    </row>
    <row r="20">
      <c r="A20" s="333" t="s">
        <v>10158</v>
      </c>
      <c r="B20" s="333">
        <f>SUMPRODUCT((Sales!P3:P10000=H20)*(Sales!I3:I10000="Square Online")*Sales!F3:F10000)</f>
        <v>125</v>
      </c>
      <c r="E20" s="333" t="s">
        <v>10140</v>
      </c>
      <c r="F20" s="333" t="s">
        <v>10150</v>
      </c>
      <c r="G20" s="333" t="s">
        <v>10374</v>
      </c>
      <c r="H20" s="333" t="s">
        <v>22</v>
      </c>
    </row>
    <row r="21" ht="15.75" customHeight="1">
      <c r="A21" s="333" t="s">
        <v>10160</v>
      </c>
      <c r="B21" s="333">
        <f>SUMPRODUCT((Sales!P3:P10000=H21)*(Sales!I3:I10000="Merlin Outdoor Market")*Sales!F3:F10000)</f>
        <v>170</v>
      </c>
      <c r="E21" s="333" t="s">
        <v>10140</v>
      </c>
      <c r="F21" s="333" t="s">
        <v>10150</v>
      </c>
      <c r="G21" s="333" t="s">
        <v>10375</v>
      </c>
      <c r="H21" s="333" t="s">
        <v>22</v>
      </c>
    </row>
    <row r="22" ht="15.75" customHeight="1">
      <c r="A22" s="333" t="s">
        <v>10162</v>
      </c>
      <c r="B22" s="333">
        <f>SUMPRODUCT((Sales!P3:P10000=H22)*(Sales!I3:I10000="Facebook")*Sales!F3:F10000)</f>
        <v>107</v>
      </c>
      <c r="E22" s="333" t="s">
        <v>10140</v>
      </c>
      <c r="F22" s="333" t="s">
        <v>10150</v>
      </c>
      <c r="G22" s="333" t="s">
        <v>10376</v>
      </c>
      <c r="H22" s="333" t="s">
        <v>22</v>
      </c>
    </row>
    <row r="23" ht="15.75" customHeight="1">
      <c r="A23" s="333" t="s">
        <v>10164</v>
      </c>
      <c r="B23" s="333">
        <f>SUMPRODUCT((Sales!P3:P10000=H23)*(Sales!A3:A10000&gt;=DATE(2025,8,1))*(Sales!A3:A10000&lt;DATE(2025,9,1))*Sales!F3:F10000)</f>
        <v>170</v>
      </c>
      <c r="E23" s="333" t="s">
        <v>10165</v>
      </c>
      <c r="G23" s="333" t="s">
        <v>10377</v>
      </c>
      <c r="H23" s="333" t="s">
        <v>22</v>
      </c>
    </row>
    <row r="24" ht="15.75" customHeight="1">
      <c r="A24" s="333" t="s">
        <v>10167</v>
      </c>
      <c r="B24" s="333">
        <f>SUMPRODUCT((Sales!P3:P10000=H24)*(Sales!A3:A10000&gt;=DATE(2025,8,1))*(Sales!A3:A10000&lt;DATE(2025,9,1))*Sales!K3:K10000)</f>
        <v>103.12</v>
      </c>
      <c r="E24" s="333" t="s">
        <v>10165</v>
      </c>
      <c r="G24" s="333" t="s">
        <v>10378</v>
      </c>
      <c r="H24" s="333" t="s">
        <v>22</v>
      </c>
    </row>
    <row r="25" ht="15.75" customHeight="1">
      <c r="A25" s="333" t="s">
        <v>10169</v>
      </c>
      <c r="B25" s="333">
        <f>SUMPRODUCT((Sales!P3:P10000=H25)*(Sales!A3:A10000&gt;=DATE(2025,9,1))*(Sales!A3:A10000&lt;DATE(2025,10,1))*Sales!F3:F10000)</f>
        <v>195</v>
      </c>
      <c r="E25" s="333" t="s">
        <v>10165</v>
      </c>
      <c r="G25" s="333" t="s">
        <v>10379</v>
      </c>
      <c r="H25" s="333" t="s">
        <v>22</v>
      </c>
    </row>
    <row r="26" ht="15.75" customHeight="1">
      <c r="A26" s="333" t="s">
        <v>10171</v>
      </c>
      <c r="B26" s="333">
        <f>SUMPRODUCT((Sales!P3:P10000=H26)*(Sales!A3:A10000&gt;=DATE(2025,9,1))*(Sales!A3:A10000&lt;DATE(2025,10,1))*Sales!K3:K10000)</f>
        <v>106.05</v>
      </c>
      <c r="E26" s="333" t="s">
        <v>10165</v>
      </c>
      <c r="G26" s="333" t="s">
        <v>10380</v>
      </c>
      <c r="H26" s="333" t="s">
        <v>22</v>
      </c>
    </row>
    <row r="27" ht="15.75" customHeight="1">
      <c r="A27" s="333" t="s">
        <v>10173</v>
      </c>
      <c r="B27" s="333">
        <f>SUMPRODUCT((Sales!P3:P10000=H27)*(Sales!A3:A10000&gt;=DATE(2025,10,1))*(Sales!A3:A10000&lt;DATE(2025,11,1))*Sales!F3:F10000)</f>
        <v>438</v>
      </c>
      <c r="E27" s="333" t="s">
        <v>10165</v>
      </c>
      <c r="G27" s="333" t="s">
        <v>10381</v>
      </c>
      <c r="H27" s="333" t="s">
        <v>22</v>
      </c>
    </row>
    <row r="28" ht="15.75" customHeight="1">
      <c r="A28" s="333" t="s">
        <v>10175</v>
      </c>
      <c r="B28" s="333">
        <f>SUMPRODUCT((Sales!P3:P10000=H28)*(Sales!A3:A10000&gt;=DATE(2025,10,1))*(Sales!A3:A10000&lt;DATE(2025,11,1))*Sales!K3:K10000)</f>
        <v>19.26</v>
      </c>
      <c r="E28" s="333" t="s">
        <v>10165</v>
      </c>
      <c r="G28" s="333" t="s">
        <v>10382</v>
      </c>
      <c r="H28" s="333" t="s">
        <v>22</v>
      </c>
    </row>
    <row r="29" ht="15.75" customHeight="1">
      <c r="A29" s="333" t="s">
        <v>10177</v>
      </c>
      <c r="B29" s="333">
        <f>SUMPRODUCT((Sales!P3:P10000=H29)*(Sales!A3:A10000&gt;=DATE(2025,11,1))*(Sales!A3:A10000&lt;DATE(2025,12,1))*Sales!F3:F10000)</f>
        <v>219</v>
      </c>
      <c r="E29" s="333" t="s">
        <v>10165</v>
      </c>
      <c r="G29" s="333" t="s">
        <v>10383</v>
      </c>
      <c r="H29" s="333" t="s">
        <v>22</v>
      </c>
    </row>
    <row r="30" ht="15.75" customHeight="1">
      <c r="A30" s="333" t="s">
        <v>10179</v>
      </c>
      <c r="B30" s="333">
        <f>SUMPRODUCT((Sales!P3:P10000=H30)*(Sales!A3:A10000&gt;=DATE(2025,11,1))*(Sales!A3:A10000&lt;DATE(2025,12,1))*Sales!K3:K10000)</f>
        <v>86.29</v>
      </c>
      <c r="E30" s="333" t="s">
        <v>10165</v>
      </c>
      <c r="G30" s="333" t="s">
        <v>10384</v>
      </c>
      <c r="H30" s="333" t="s">
        <v>22</v>
      </c>
    </row>
    <row r="31" ht="15.75" customHeight="1">
      <c r="A31" s="333" t="s">
        <v>10181</v>
      </c>
      <c r="B31" s="333">
        <f>SUMPRODUCT((Sales!P3:P10000=H31)*(Sales!A3:A10000&gt;=DATE(2025,12,1))*(Sales!A3:A10000&lt;DATE(2026,1,1))*Sales!F3:F10000)</f>
        <v>306</v>
      </c>
      <c r="E31" s="333" t="s">
        <v>10165</v>
      </c>
      <c r="G31" s="333" t="s">
        <v>10385</v>
      </c>
      <c r="H31" s="333" t="s">
        <v>22</v>
      </c>
    </row>
    <row r="32" ht="15.75" customHeight="1">
      <c r="A32" s="333" t="s">
        <v>10183</v>
      </c>
      <c r="B32" s="333">
        <f>SUMPRODUCT((Sales!P3:P10000=H32)*(Sales!A3:A10000&gt;=DATE(2025,12,1))*(Sales!A3:A10000&lt;DATE(2026,1,1))*Sales!K3:K10000)</f>
        <v>182.21</v>
      </c>
      <c r="E32" s="333" t="s">
        <v>10165</v>
      </c>
      <c r="G32" s="333" t="s">
        <v>10386</v>
      </c>
      <c r="H32" s="333" t="s">
        <v>22</v>
      </c>
    </row>
    <row r="33" ht="15.75" customHeight="1">
      <c r="A33" s="333" t="s">
        <v>10185</v>
      </c>
      <c r="B33" s="333">
        <f>SUMPRODUCT((Sales!P3:P10000=H33)*(Sales!A3:A10000&gt;=DATE(2026,1,1))*(Sales!A3:A10000&lt;DATE(2026,2,1))*Sales!F3:F10000)</f>
        <v>0</v>
      </c>
      <c r="E33" s="333" t="s">
        <v>10165</v>
      </c>
      <c r="G33" s="333" t="s">
        <v>10387</v>
      </c>
      <c r="H33" s="333" t="s">
        <v>22</v>
      </c>
    </row>
    <row r="34" ht="15.75" customHeight="1">
      <c r="A34" s="333" t="s">
        <v>10187</v>
      </c>
      <c r="B34" s="333">
        <f>SUMPRODUCT((Sales!P3:P10000=H34)*(Sales!A3:A10000&gt;=DATE(2026,1,1))*(Sales!A3:A10000&lt;DATE(2026,2,1))*Sales!K3:K10000)</f>
        <v>0</v>
      </c>
      <c r="E34" s="333" t="s">
        <v>10165</v>
      </c>
      <c r="G34" s="333" t="s">
        <v>10388</v>
      </c>
      <c r="H34" s="333" t="s">
        <v>22</v>
      </c>
    </row>
    <row r="35" ht="15.75" customHeight="1">
      <c r="A35" s="333" t="s">
        <v>10189</v>
      </c>
      <c r="B35" s="333">
        <f>SUMPRODUCT((Sales!P3:P10000=H35)*(Sales!A3:A10000&gt;=DATE(2026,2,1))*(Sales!A3:A10000&lt;DATE(2026,3,1))*Sales!F3:F10000)</f>
        <v>0</v>
      </c>
      <c r="E35" s="333" t="s">
        <v>10165</v>
      </c>
      <c r="G35" s="333" t="s">
        <v>10389</v>
      </c>
      <c r="H35" s="333" t="s">
        <v>22</v>
      </c>
    </row>
    <row r="36" ht="15.75" customHeight="1">
      <c r="A36" s="333" t="s">
        <v>10191</v>
      </c>
      <c r="B36" s="333">
        <f>SUMPRODUCT((Sales!P3:P10000=H36)*(Sales!A3:A10000&gt;=DATE(2026,2,1))*(Sales!A3:A10000&lt;DATE(2026,3,1))*Sales!K3:K10000)</f>
        <v>0</v>
      </c>
      <c r="E36" s="333" t="s">
        <v>10165</v>
      </c>
      <c r="G36" s="333" t="s">
        <v>10390</v>
      </c>
      <c r="H36" s="333" t="s">
        <v>22</v>
      </c>
    </row>
    <row r="37" ht="15.75" customHeight="1">
      <c r="A37" s="333" t="s">
        <v>10193</v>
      </c>
      <c r="B37" s="333">
        <f>SUMPRODUCT((Sales!P3:P10000=H37)*(Sales!A3:A10000&gt;=DATE(2026,3,1))*(Sales!A3:A10000&lt;DATE(2026,4,1))*Sales!F3:F10000)</f>
        <v>148</v>
      </c>
      <c r="E37" s="333" t="s">
        <v>10165</v>
      </c>
      <c r="G37" s="333" t="s">
        <v>10391</v>
      </c>
      <c r="H37" s="333" t="s">
        <v>22</v>
      </c>
    </row>
    <row r="38" ht="15.75" customHeight="1">
      <c r="A38" s="333" t="s">
        <v>10195</v>
      </c>
      <c r="B38" s="333">
        <f>SUMPRODUCT((Sales!P3:P10000=H38)*(Sales!A3:A10000&gt;=DATE(2026,3,1))*(Sales!A3:A10000&lt;DATE(2026,4,1))*Sales!K3:K10000)</f>
        <v>64.48</v>
      </c>
      <c r="E38" s="333" t="s">
        <v>10165</v>
      </c>
      <c r="G38" s="333" t="s">
        <v>10392</v>
      </c>
      <c r="H38" s="333" t="s">
        <v>22</v>
      </c>
    </row>
    <row r="39" ht="15.75" customHeight="1">
      <c r="A39" s="333" t="s">
        <v>10197</v>
      </c>
      <c r="B39" s="333">
        <f>SUMPRODUCT((Sales!P3:P10000=H39)*(Sales!A3:A10000&gt;=DATE(2026,4,1))*(Sales!A3:A10000&lt;DATE(2026,5,1))*Sales!F3:F10000)</f>
        <v>160</v>
      </c>
      <c r="E39" s="333" t="s">
        <v>10165</v>
      </c>
      <c r="G39" s="333" t="s">
        <v>10393</v>
      </c>
      <c r="H39" s="333" t="s">
        <v>22</v>
      </c>
    </row>
    <row r="40" ht="15.75" customHeight="1">
      <c r="A40" s="333" t="s">
        <v>10199</v>
      </c>
      <c r="B40" s="333">
        <f>SUMPRODUCT((Sales!P3:P10000=H40)*(Sales!A3:A10000&gt;=DATE(2026,4,1))*(Sales!A3:A10000&lt;DATE(2026,5,1))*Sales!K3:K10000)</f>
        <v>79.06</v>
      </c>
      <c r="E40" s="333" t="s">
        <v>10165</v>
      </c>
      <c r="G40" s="333" t="s">
        <v>10394</v>
      </c>
      <c r="H40" s="333" t="s">
        <v>22</v>
      </c>
    </row>
    <row r="41" ht="15.75" customHeight="1">
      <c r="A41" s="333" t="s">
        <v>10201</v>
      </c>
      <c r="B41" s="333">
        <f>SUMPRODUCT((Sales!P3:P10000=H41)*(Sales!A3:A10000&gt;=DATE(2026,5,1))*(Sales!A3:A10000&lt;DATE(2026,6,1))*Sales!F3:F10000)</f>
        <v>81</v>
      </c>
      <c r="E41" s="333" t="s">
        <v>10165</v>
      </c>
      <c r="G41" s="333" t="s">
        <v>10395</v>
      </c>
      <c r="H41" s="333" t="s">
        <v>22</v>
      </c>
    </row>
    <row r="42" ht="15.75" customHeight="1">
      <c r="A42" s="333" t="s">
        <v>10203</v>
      </c>
      <c r="B42" s="333">
        <f>SUMPRODUCT((Sales!P3:P10000=H42)*(Sales!A3:A10000&gt;=DATE(2026,5,1))*(Sales!A3:A10000&lt;DATE(2026,6,1))*Sales!K3:K10000)</f>
        <v>40.3</v>
      </c>
      <c r="E42" s="333" t="s">
        <v>10165</v>
      </c>
      <c r="G42" s="333" t="s">
        <v>10396</v>
      </c>
      <c r="H42" s="333" t="s">
        <v>22</v>
      </c>
    </row>
    <row r="43" ht="15.75" customHeight="1">
      <c r="A43" s="333" t="s">
        <v>10205</v>
      </c>
      <c r="B43" s="333">
        <f>SUMPRODUCT((Sales!P3:P10000=H43)*(Sales!A3:A10000&gt;=DATE(2026,6,1))*(Sales!A3:A10000&lt;DATE(2026,7,1))*Sales!F3:F10000)</f>
        <v>0</v>
      </c>
      <c r="E43" s="333" t="s">
        <v>10165</v>
      </c>
      <c r="G43" s="333" t="s">
        <v>10397</v>
      </c>
      <c r="H43" s="333" t="s">
        <v>22</v>
      </c>
    </row>
    <row r="44" ht="15.75" customHeight="1">
      <c r="A44" s="333" t="s">
        <v>10207</v>
      </c>
      <c r="B44" s="333">
        <f>SUMPRODUCT((Sales!P3:P10000=H44)*(Sales!A3:A10000&gt;=DATE(2026,6,1))*(Sales!A3:A10000&lt;DATE(2026,7,1))*Sales!K3:K10000)</f>
        <v>0</v>
      </c>
      <c r="E44" s="333" t="s">
        <v>10165</v>
      </c>
      <c r="G44" s="333" t="s">
        <v>10398</v>
      </c>
      <c r="H44" s="333" t="s">
        <v>22</v>
      </c>
    </row>
    <row r="45" ht="15.75" customHeight="1">
      <c r="A45" s="333" t="s">
        <v>10209</v>
      </c>
      <c r="B45" s="333">
        <f>SUMPRODUCT((Sales!P3:P10000=H45)*(Sales!A3:A10000&gt;=DATE(2026,7,1))*(Sales!A3:A10000&lt;DATE(2026,8,1))*Sales!F3:F10000)</f>
        <v>0</v>
      </c>
      <c r="E45" s="333" t="s">
        <v>10165</v>
      </c>
      <c r="G45" s="333" t="s">
        <v>10399</v>
      </c>
      <c r="H45" s="333" t="s">
        <v>22</v>
      </c>
    </row>
    <row r="46" ht="15.75" customHeight="1">
      <c r="A46" s="333" t="s">
        <v>10211</v>
      </c>
      <c r="B46" s="333">
        <f>SUMPRODUCT((Sales!P3:P10000=H46)*(Sales!A3:A10000&gt;=DATE(2026,7,1))*(Sales!A3:A10000&lt;DATE(2026,8,1))*Sales!K3:K10000)</f>
        <v>0</v>
      </c>
      <c r="E46" s="333" t="s">
        <v>10165</v>
      </c>
      <c r="G46" s="333" t="s">
        <v>10400</v>
      </c>
      <c r="H46" s="333" t="s">
        <v>22</v>
      </c>
    </row>
    <row r="47" ht="15.75" customHeight="1">
      <c r="A47" s="333" t="s">
        <v>10213</v>
      </c>
      <c r="B47" s="333">
        <f>SUMPRODUCT((Sales!P3:P10000=H47)*(Sales!A3:A10000&gt;=DATE(2026,8,1))*(Sales!A3:A10000&lt;DATE(2026,9,1))*Sales!F3:F10000)</f>
        <v>0</v>
      </c>
      <c r="E47" s="333" t="s">
        <v>10165</v>
      </c>
      <c r="G47" s="333" t="s">
        <v>10401</v>
      </c>
      <c r="H47" s="333" t="s">
        <v>22</v>
      </c>
    </row>
    <row r="48" ht="15.75" customHeight="1">
      <c r="A48" s="333" t="s">
        <v>10215</v>
      </c>
      <c r="B48" s="333">
        <f>SUMPRODUCT((Sales!P3:P10000=H48)*(Sales!A3:A10000&gt;=DATE(2026,8,1))*(Sales!A3:A10000&lt;DATE(2026,9,1))*Sales!K3:K10000)</f>
        <v>0</v>
      </c>
      <c r="E48" s="333" t="s">
        <v>10165</v>
      </c>
      <c r="G48" s="333" t="s">
        <v>10402</v>
      </c>
      <c r="H48" s="333" t="s">
        <v>22</v>
      </c>
    </row>
    <row r="49" ht="15.75" customHeight="1">
      <c r="A49" s="333" t="s">
        <v>10217</v>
      </c>
      <c r="B49" s="333">
        <f>SUMPRODUCT((Sales!P3:P10000=H49)*(Sales!A3:A10000&gt;=DATE(2026,9,1))*(Sales!A3:A10000&lt;DATE(2026,10,1))*Sales!F3:F10000)</f>
        <v>0</v>
      </c>
      <c r="E49" s="333" t="s">
        <v>10165</v>
      </c>
      <c r="G49" s="333" t="s">
        <v>10403</v>
      </c>
      <c r="H49" s="333" t="s">
        <v>22</v>
      </c>
    </row>
    <row r="50" ht="15.75" customHeight="1">
      <c r="A50" s="333" t="s">
        <v>10219</v>
      </c>
      <c r="B50" s="333">
        <f>SUMPRODUCT((Sales!P3:P10000=H50)*(Sales!A3:A10000&gt;=DATE(2026,9,1))*(Sales!A3:A10000&lt;DATE(2026,10,1))*Sales!K3:K10000)</f>
        <v>0</v>
      </c>
      <c r="E50" s="333" t="s">
        <v>10165</v>
      </c>
      <c r="G50" s="333" t="s">
        <v>10404</v>
      </c>
      <c r="H50" s="333" t="s">
        <v>22</v>
      </c>
    </row>
    <row r="51" ht="15.75" customHeight="1">
      <c r="A51" s="333" t="s">
        <v>10221</v>
      </c>
      <c r="B51" s="333">
        <f>SUMPRODUCT((Sales!P3:P10000=H51)*(Sales!A3:A10000&gt;=DATE(2026,10,1))*(Sales!A3:A10000&lt;DATE(2026,11,1))*Sales!F3:F10000)</f>
        <v>0</v>
      </c>
      <c r="E51" s="333" t="s">
        <v>10165</v>
      </c>
      <c r="G51" s="333" t="s">
        <v>10405</v>
      </c>
      <c r="H51" s="333" t="s">
        <v>22</v>
      </c>
    </row>
    <row r="52" ht="15.75" customHeight="1">
      <c r="A52" s="333" t="s">
        <v>10223</v>
      </c>
      <c r="B52" s="333">
        <f>SUMPRODUCT((Sales!P3:P10000=H52)*(Sales!A3:A10000&gt;=DATE(2026,10,1))*(Sales!A3:A10000&lt;DATE(2026,11,1))*Sales!K3:K10000)</f>
        <v>0</v>
      </c>
      <c r="E52" s="333" t="s">
        <v>10165</v>
      </c>
      <c r="G52" s="333" t="s">
        <v>10406</v>
      </c>
      <c r="H52" s="333" t="s">
        <v>22</v>
      </c>
    </row>
    <row r="53" ht="15.75" customHeight="1">
      <c r="A53" s="333" t="s">
        <v>10225</v>
      </c>
      <c r="B53" s="333">
        <f>SUMPRODUCT((Sales!P3:P10000=H53)*(Sales!A3:A10000&gt;=DATE(2026,11,1))*(Sales!A3:A10000&lt;DATE(2026,12,1))*Sales!F3:F10000)</f>
        <v>0</v>
      </c>
      <c r="E53" s="333" t="s">
        <v>10165</v>
      </c>
      <c r="G53" s="333" t="s">
        <v>10407</v>
      </c>
      <c r="H53" s="333" t="s">
        <v>22</v>
      </c>
    </row>
    <row r="54" ht="15.75" customHeight="1">
      <c r="A54" s="333" t="s">
        <v>10227</v>
      </c>
      <c r="B54" s="333">
        <f>SUMPRODUCT((Sales!P3:P10000=H54)*(Sales!A3:A10000&gt;=DATE(2026,11,1))*(Sales!A3:A10000&lt;DATE(2026,12,1))*Sales!K3:K10000)</f>
        <v>0</v>
      </c>
      <c r="E54" s="333" t="s">
        <v>10165</v>
      </c>
      <c r="G54" s="333" t="s">
        <v>10408</v>
      </c>
      <c r="H54" s="333" t="s">
        <v>22</v>
      </c>
    </row>
    <row r="55" ht="15.75" customHeight="1">
      <c r="A55" s="333" t="s">
        <v>10229</v>
      </c>
      <c r="B55" s="333">
        <f>SUMPRODUCT((Sales!P3:P10000=H55)*(Sales!A3:A10000&gt;=DATE(2026,12,1))*(Sales!A3:A10000&lt;DATE(2027,1,1))*Sales!F3:F10000)</f>
        <v>0</v>
      </c>
      <c r="E55" s="333" t="s">
        <v>10165</v>
      </c>
      <c r="G55" s="333" t="s">
        <v>10409</v>
      </c>
      <c r="H55" s="333" t="s">
        <v>22</v>
      </c>
    </row>
    <row r="56" ht="15.75" customHeight="1">
      <c r="A56" s="333" t="s">
        <v>10231</v>
      </c>
      <c r="B56" s="333">
        <f>SUMPRODUCT((Sales!P3:P10000=H56)*(Sales!A3:A10000&gt;=DATE(2026,12,1))*(Sales!A3:A10000&lt;DATE(2027,1,1))*Sales!K3:K10000)</f>
        <v>0</v>
      </c>
      <c r="E56" s="333" t="s">
        <v>10165</v>
      </c>
      <c r="G56" s="333" t="s">
        <v>10410</v>
      </c>
      <c r="H56" s="333" t="s">
        <v>22</v>
      </c>
    </row>
    <row r="57" ht="15.75" customHeight="1">
      <c r="A57" s="333" t="s">
        <v>6203</v>
      </c>
      <c r="B57" s="333">
        <f>SUMPRODUCT(('Overhead Expenses'!Q3:Q4997=H57)*('Overhead Expenses'!D3:D4997="Bags &amp; Packaging")*'Overhead Expenses'!K3:K4997)</f>
        <v>52.98</v>
      </c>
      <c r="E57" s="333" t="s">
        <v>10234</v>
      </c>
      <c r="G57" s="333" t="s">
        <v>10411</v>
      </c>
      <c r="H57" s="333" t="s">
        <v>22</v>
      </c>
    </row>
    <row r="58" ht="15.75" customHeight="1">
      <c r="A58" s="333" t="s">
        <v>6506</v>
      </c>
      <c r="B58" s="333">
        <f>SUMPRODUCT(('Overhead Expenses'!Q3:Q4997=H58)*('Overhead Expenses'!D3:D4997="Base Selling Fee")*'Overhead Expenses'!K3:K4997)</f>
        <v>0</v>
      </c>
      <c r="E58" s="333" t="s">
        <v>10234</v>
      </c>
      <c r="G58" s="333" t="s">
        <v>10412</v>
      </c>
      <c r="H58" s="333" t="s">
        <v>22</v>
      </c>
    </row>
    <row r="59" ht="15.75" customHeight="1">
      <c r="A59" s="333" t="s">
        <v>6062</v>
      </c>
      <c r="B59" s="333">
        <f>SUMPRODUCT(('Overhead Expenses'!Q3:Q4997=H59)*('Overhead Expenses'!D3:D4997="Cleaning &amp; Sanitation")*'Overhead Expenses'!K3:K4997)</f>
        <v>254.81</v>
      </c>
      <c r="E59" s="333" t="s">
        <v>10234</v>
      </c>
      <c r="G59" s="333" t="s">
        <v>10413</v>
      </c>
      <c r="H59" s="333" t="s">
        <v>22</v>
      </c>
    </row>
    <row r="60" ht="15.75" customHeight="1">
      <c r="A60" s="333" t="s">
        <v>5989</v>
      </c>
      <c r="B60" s="333">
        <f>SUMPRODUCT(('Overhead Expenses'!Q3:Q4997=H60)*('Overhead Expenses'!D3:D4997="Climate &amp; Environment")*'Overhead Expenses'!K3:K4997)</f>
        <v>133.32</v>
      </c>
      <c r="E60" s="333" t="s">
        <v>10234</v>
      </c>
      <c r="G60" s="333" t="s">
        <v>10414</v>
      </c>
      <c r="H60" s="333" t="s">
        <v>22</v>
      </c>
    </row>
    <row r="61" ht="15.75" customHeight="1">
      <c r="A61" s="333" t="s">
        <v>6069</v>
      </c>
      <c r="B61" s="333">
        <f>SUMPRODUCT(('Overhead Expenses'!Q3:Q4997=H61)*('Overhead Expenses'!D3:D4997="Inbound Shipping")*'Overhead Expenses'!K3:K4997)</f>
        <v>464.33</v>
      </c>
      <c r="E61" s="333" t="s">
        <v>10234</v>
      </c>
      <c r="G61" s="333" t="s">
        <v>10415</v>
      </c>
      <c r="H61" s="333" t="s">
        <v>22</v>
      </c>
    </row>
    <row r="62" ht="15.75" customHeight="1">
      <c r="A62" s="333" t="s">
        <v>6003</v>
      </c>
      <c r="B62" s="333">
        <f>SUMPRODUCT(('Overhead Expenses'!Q3:Q4997=H62)*('Overhead Expenses'!D3:D4997="Labels &amp; Stickers")*'Overhead Expenses'!K3:K4997)</f>
        <v>332.55</v>
      </c>
      <c r="E62" s="333" t="s">
        <v>10234</v>
      </c>
      <c r="G62" s="333" t="s">
        <v>10416</v>
      </c>
      <c r="H62" s="333" t="s">
        <v>22</v>
      </c>
    </row>
    <row r="63" ht="15.75" customHeight="1">
      <c r="A63" s="333" t="s">
        <v>6092</v>
      </c>
      <c r="B63" s="333">
        <f>SUMPRODUCT(('Overhead Expenses'!Q3:Q4997=H63)*('Overhead Expenses'!D3:D4997="Labor")*'Overhead Expenses'!K3:K4997)</f>
        <v>660.3</v>
      </c>
      <c r="E63" s="333" t="s">
        <v>10234</v>
      </c>
      <c r="G63" s="333" t="s">
        <v>10417</v>
      </c>
      <c r="H63" s="333" t="s">
        <v>22</v>
      </c>
    </row>
    <row r="64" ht="15.75" customHeight="1">
      <c r="A64" s="333" t="s">
        <v>1103</v>
      </c>
      <c r="B64" s="333">
        <f>SUMPRODUCT(('Overhead Expenses'!Q3:Q4997=H64)*('Overhead Expenses'!D3:D4997="Licenses &amp; Fees")*'Overhead Expenses'!K3:K4997)</f>
        <v>269</v>
      </c>
      <c r="E64" s="333" t="s">
        <v>10234</v>
      </c>
      <c r="G64" s="333" t="s">
        <v>10418</v>
      </c>
      <c r="H64" s="333" t="s">
        <v>22</v>
      </c>
    </row>
    <row r="65" ht="15.75" customHeight="1">
      <c r="A65" s="333" t="s">
        <v>6032</v>
      </c>
      <c r="B65" s="333">
        <f>SUMPRODUCT(('Overhead Expenses'!Q3:Q4997=H65)*('Overhead Expenses'!D3:D4997="Lighting")*'Overhead Expenses'!K3:K4997)</f>
        <v>117.37</v>
      </c>
      <c r="E65" s="333" t="s">
        <v>10234</v>
      </c>
      <c r="G65" s="333" t="s">
        <v>10419</v>
      </c>
      <c r="H65" s="333" t="s">
        <v>22</v>
      </c>
    </row>
    <row r="66" ht="15.75" customHeight="1">
      <c r="A66" s="333" t="s">
        <v>6130</v>
      </c>
      <c r="B66" s="333">
        <f>SUMPRODUCT(('Overhead Expenses'!Q3:Q4997=H66)*('Overhead Expenses'!D3:D4997="Market Fees &amp; Supplies")*'Overhead Expenses'!K3:K4997)</f>
        <v>420.9</v>
      </c>
      <c r="E66" s="333" t="s">
        <v>10234</v>
      </c>
      <c r="G66" s="333" t="s">
        <v>10420</v>
      </c>
      <c r="H66" s="333" t="s">
        <v>22</v>
      </c>
    </row>
    <row r="67" ht="15.75" customHeight="1">
      <c r="A67" s="333" t="s">
        <v>6247</v>
      </c>
      <c r="B67" s="333">
        <f>SUMPRODUCT(('Overhead Expenses'!Q3:Q4997=H67)*('Overhead Expenses'!D3:D4997="Office &amp; Admin Supplies")*'Overhead Expenses'!K3:K4997)</f>
        <v>1114.23</v>
      </c>
      <c r="E67" s="333" t="s">
        <v>10234</v>
      </c>
      <c r="G67" s="333" t="s">
        <v>10421</v>
      </c>
      <c r="H67" s="333" t="s">
        <v>22</v>
      </c>
    </row>
    <row r="68" ht="15.75" customHeight="1">
      <c r="A68" s="333" t="s">
        <v>6336</v>
      </c>
      <c r="B68" s="333">
        <f>SUMPRODUCT(('Overhead Expenses'!Q3:Q4997=H68)*('Overhead Expenses'!D3:D4997="Outbound Shipping")*'Overhead Expenses'!K3:K4997)</f>
        <v>-88.05</v>
      </c>
      <c r="E68" s="333" t="s">
        <v>10234</v>
      </c>
      <c r="G68" s="333" t="s">
        <v>10422</v>
      </c>
      <c r="H68" s="333" t="s">
        <v>22</v>
      </c>
    </row>
    <row r="69" ht="15.75" customHeight="1">
      <c r="A69" s="333" t="s">
        <v>6224</v>
      </c>
      <c r="B69" s="333">
        <f>SUMPRODUCT(('Overhead Expenses'!Q3:Q4997=H69)*('Overhead Expenses'!D3:D4997="Packing &amp; Shipping")*'Overhead Expenses'!K3:K4997)</f>
        <v>271.07</v>
      </c>
      <c r="E69" s="333" t="s">
        <v>10234</v>
      </c>
      <c r="G69" s="333" t="s">
        <v>10423</v>
      </c>
      <c r="H69" s="333" t="s">
        <v>22</v>
      </c>
    </row>
    <row r="70" ht="15.75" customHeight="1">
      <c r="A70" s="333" t="s">
        <v>6260</v>
      </c>
      <c r="B70" s="333">
        <f>SUMPRODUCT(('Overhead Expenses'!Q3:Q4997=H70)*('Overhead Expenses'!D3:D4997="Plant Tags &amp; Labels")*'Overhead Expenses'!K3:K4997)</f>
        <v>36.37</v>
      </c>
      <c r="E70" s="333" t="s">
        <v>10234</v>
      </c>
      <c r="G70" s="333" t="s">
        <v>10424</v>
      </c>
      <c r="H70" s="333" t="s">
        <v>22</v>
      </c>
    </row>
    <row r="71" ht="15.75" customHeight="1">
      <c r="A71" s="333" t="s">
        <v>5997</v>
      </c>
      <c r="B71" s="333">
        <f>SUMPRODUCT(('Overhead Expenses'!Q3:Q4997=H71)*('Overhead Expenses'!D3:D4997="Propagation Supplies")*'Overhead Expenses'!K3:K4997)</f>
        <v>37.32</v>
      </c>
      <c r="E71" s="333" t="s">
        <v>10234</v>
      </c>
      <c r="G71" s="333" t="s">
        <v>10425</v>
      </c>
      <c r="H71" s="333" t="s">
        <v>22</v>
      </c>
    </row>
    <row r="72" ht="15.75" customHeight="1">
      <c r="A72" s="333" t="s">
        <v>6387</v>
      </c>
      <c r="B72" s="333">
        <f>SUMPRODUCT(('Overhead Expenses'!Q3:Q4997=H72)*('Overhead Expenses'!D3:D4997="Repairs &amp; Maintenance")*'Overhead Expenses'!K3:K4997)</f>
        <v>264.46</v>
      </c>
      <c r="E72" s="333" t="s">
        <v>10234</v>
      </c>
      <c r="G72" s="333" t="s">
        <v>10426</v>
      </c>
      <c r="H72" s="333" t="s">
        <v>22</v>
      </c>
    </row>
    <row r="73" ht="15.75" customHeight="1">
      <c r="A73" s="333" t="s">
        <v>6315</v>
      </c>
      <c r="B73" s="333">
        <f>SUMPRODUCT(('Overhead Expenses'!Q3:Q4997=H73)*('Overhead Expenses'!D3:D4997="Security")*'Overhead Expenses'!K3:K4997)</f>
        <v>28.29</v>
      </c>
      <c r="E73" s="333" t="s">
        <v>10234</v>
      </c>
      <c r="G73" s="333" t="s">
        <v>10427</v>
      </c>
      <c r="H73" s="333" t="s">
        <v>22</v>
      </c>
    </row>
    <row r="74" ht="15.75" customHeight="1">
      <c r="A74" s="333" t="s">
        <v>6497</v>
      </c>
      <c r="B74" s="333">
        <f>SUMPRODUCT(('Overhead Expenses'!Q3:Q4997=H74)*('Overhead Expenses'!D3:D4997="Selling Fee")*'Overhead Expenses'!K3:K4997)</f>
        <v>11.21</v>
      </c>
      <c r="E74" s="333" t="s">
        <v>10234</v>
      </c>
      <c r="G74" s="333" t="s">
        <v>10428</v>
      </c>
      <c r="H74" s="333" t="s">
        <v>22</v>
      </c>
    </row>
    <row r="75" ht="15.75" customHeight="1">
      <c r="A75" s="333" t="s">
        <v>6464</v>
      </c>
      <c r="B75" s="333">
        <f>SUMPRODUCT(('Overhead Expenses'!Q3:Q4997=H75)*('Overhead Expenses'!D3:D4997="Shade &amp; Protection")*'Overhead Expenses'!K3:K4997)</f>
        <v>64.94</v>
      </c>
      <c r="E75" s="333" t="s">
        <v>10234</v>
      </c>
      <c r="G75" s="333" t="s">
        <v>10429</v>
      </c>
      <c r="H75" s="333" t="s">
        <v>22</v>
      </c>
    </row>
    <row r="76" ht="15.75" customHeight="1">
      <c r="A76" s="333" t="s">
        <v>5985</v>
      </c>
      <c r="B76" s="333">
        <f>SUMPRODUCT(('Overhead Expenses'!Q3:Q4997=H76)*('Overhead Expenses'!D3:D4997="Shelving/Fixtures")*'Overhead Expenses'!K3:K4997)</f>
        <v>361.12</v>
      </c>
      <c r="E76" s="333" t="s">
        <v>10234</v>
      </c>
      <c r="G76" s="333" t="s">
        <v>10430</v>
      </c>
      <c r="H76" s="333" t="s">
        <v>22</v>
      </c>
    </row>
    <row r="77" ht="15.75" customHeight="1">
      <c r="A77" s="333" t="s">
        <v>6482</v>
      </c>
      <c r="B77" s="333">
        <f>SUMPRODUCT(('Overhead Expenses'!Q3:Q4997=H77)*('Overhead Expenses'!D3:D4997="Shipping Boxes")*'Overhead Expenses'!K3:K4997)</f>
        <v>36.7</v>
      </c>
      <c r="E77" s="333" t="s">
        <v>10234</v>
      </c>
      <c r="G77" s="333" t="s">
        <v>10431</v>
      </c>
      <c r="H77" s="333" t="s">
        <v>22</v>
      </c>
    </row>
    <row r="78" ht="15.75" customHeight="1">
      <c r="A78" s="333" t="s">
        <v>6325</v>
      </c>
      <c r="B78" s="333">
        <f>SUMPRODUCT(('Overhead Expenses'!Q3:Q4997=H78)*('Overhead Expenses'!D3:D4997="Sign")*'Overhead Expenses'!K3:K4997)</f>
        <v>10.19</v>
      </c>
      <c r="E78" s="333" t="s">
        <v>10234</v>
      </c>
      <c r="G78" s="333" t="s">
        <v>10432</v>
      </c>
      <c r="H78" s="333" t="s">
        <v>22</v>
      </c>
    </row>
    <row r="79" ht="15.75" customHeight="1">
      <c r="A79" s="333" t="s">
        <v>5993</v>
      </c>
      <c r="B79" s="333">
        <f>SUMPRODUCT(('Overhead Expenses'!Q3:Q4997=H79)*('Overhead Expenses'!D3:D4997="Soil &amp; Amendments")*'Overhead Expenses'!K3:K4997)</f>
        <v>773.53</v>
      </c>
      <c r="E79" s="333" t="s">
        <v>10234</v>
      </c>
      <c r="G79" s="333" t="s">
        <v>10433</v>
      </c>
      <c r="H79" s="333" t="s">
        <v>22</v>
      </c>
    </row>
    <row r="80" ht="15.75" customHeight="1">
      <c r="A80" s="333" t="s">
        <v>6150</v>
      </c>
      <c r="B80" s="333">
        <f>SUMPRODUCT(('Overhead Expenses'!Q3:Q4997=H80)*('Overhead Expenses'!D3:D4997="Stationery &amp; Print")*'Overhead Expenses'!K3:K4997)</f>
        <v>132.43</v>
      </c>
      <c r="E80" s="333" t="s">
        <v>10234</v>
      </c>
      <c r="G80" s="333" t="s">
        <v>10434</v>
      </c>
      <c r="H80" s="333" t="s">
        <v>22</v>
      </c>
    </row>
    <row r="81" ht="15.75" customHeight="1">
      <c r="A81" s="333" t="s">
        <v>6137</v>
      </c>
      <c r="B81" s="333">
        <f>SUMPRODUCT(('Overhead Expenses'!Q3:Q4997=H81)*('Overhead Expenses'!D3:D4997="Table Covers &amp; Displays")*'Overhead Expenses'!K3:K4997)</f>
        <v>92.79</v>
      </c>
      <c r="E81" s="333" t="s">
        <v>10234</v>
      </c>
      <c r="G81" s="333" t="s">
        <v>10435</v>
      </c>
      <c r="H81" s="333" t="s">
        <v>22</v>
      </c>
    </row>
    <row r="82" ht="15.75" customHeight="1">
      <c r="A82" s="333" t="s">
        <v>6147</v>
      </c>
      <c r="B82" s="333">
        <f>SUMPRODUCT(('Overhead Expenses'!Q3:Q4997=H82)*('Overhead Expenses'!D3:D4997="Tables &amp; Furniture")*'Overhead Expenses'!K3:K4997)</f>
        <v>188.29</v>
      </c>
      <c r="E82" s="333" t="s">
        <v>10234</v>
      </c>
      <c r="G82" s="333" t="s">
        <v>10436</v>
      </c>
      <c r="H82" s="333" t="s">
        <v>22</v>
      </c>
    </row>
    <row r="83" ht="15.75" customHeight="1">
      <c r="A83" s="333" t="s">
        <v>6502</v>
      </c>
      <c r="B83" s="333">
        <f>SUMPRODUCT(('Overhead Expenses'!Q3:Q4997=H83)*('Overhead Expenses'!D3:D4997="Tax")*'Overhead Expenses'!K3:K4997)</f>
        <v>6.6</v>
      </c>
      <c r="E83" s="333" t="s">
        <v>10234</v>
      </c>
      <c r="G83" s="333" t="s">
        <v>10437</v>
      </c>
      <c r="H83" s="333" t="s">
        <v>22</v>
      </c>
    </row>
    <row r="84" ht="15.75" customHeight="1">
      <c r="A84" s="333" t="s">
        <v>5981</v>
      </c>
      <c r="B84" s="333">
        <f>SUMPRODUCT(('Overhead Expenses'!Q3:Q4997=H84)*('Overhead Expenses'!D3:D4997="Tools &amp; Supplies")*'Overhead Expenses'!K3:K4997)</f>
        <v>513.13</v>
      </c>
      <c r="E84" s="333" t="s">
        <v>10234</v>
      </c>
      <c r="G84" s="333" t="s">
        <v>10438</v>
      </c>
      <c r="H84" s="333" t="s">
        <v>22</v>
      </c>
    </row>
    <row r="85" ht="15.75" customHeight="1">
      <c r="A85" s="333" t="s">
        <v>6021</v>
      </c>
      <c r="B85" s="333">
        <f>SUMPRODUCT(('Overhead Expenses'!Q3:Q4997=H85)*('Overhead Expenses'!D3:D4997="Treatments &amp; Fertilizers")*'Overhead Expenses'!K3:K4997)</f>
        <v>485.2</v>
      </c>
      <c r="E85" s="333" t="s">
        <v>10234</v>
      </c>
      <c r="G85" s="333" t="s">
        <v>10439</v>
      </c>
      <c r="H85" s="333" t="s">
        <v>22</v>
      </c>
    </row>
    <row r="86" ht="15.75" customHeight="1">
      <c r="A86" s="333" t="s">
        <v>6300</v>
      </c>
      <c r="B86" s="333">
        <f>SUMPRODUCT(('Overhead Expenses'!Q3:Q4997=H86)*('Overhead Expenses'!D3:D4997="Uniforms &amp; Workwear")*'Overhead Expenses'!K3:K4997)</f>
        <v>5.04</v>
      </c>
      <c r="E86" s="333" t="s">
        <v>10234</v>
      </c>
      <c r="G86" s="333" t="s">
        <v>10440</v>
      </c>
      <c r="H86" s="333" t="s">
        <v>22</v>
      </c>
    </row>
    <row r="87" ht="15.75" customHeight="1">
      <c r="A87" s="333" t="s">
        <v>10264</v>
      </c>
      <c r="D87" s="333">
        <f>SUMPRODUCT(('Plant Inventory'!Q3:Q684=H87)*('Plant Inventory'!J3:J684="For Sale")*'Plant Inventory'!P3:P684)</f>
        <v>76</v>
      </c>
      <c r="E87" s="333" t="s">
        <v>10265</v>
      </c>
      <c r="F87" s="333" t="s">
        <v>10441</v>
      </c>
      <c r="G87" s="333" t="s">
        <v>10442</v>
      </c>
      <c r="H87" s="333" t="s">
        <v>22</v>
      </c>
    </row>
    <row r="88" ht="15.75" customHeight="1">
      <c r="A88" s="333" t="s">
        <v>10268</v>
      </c>
      <c r="D88" s="333">
        <f>SUMPRODUCT(('Plant Inventory'!Q3:Q684=H88)*'Plant Inventory'!N3:N684)</f>
        <v>103</v>
      </c>
      <c r="E88" s="333" t="s">
        <v>10265</v>
      </c>
      <c r="F88" s="333" t="s">
        <v>10443</v>
      </c>
      <c r="G88" s="333" t="s">
        <v>10444</v>
      </c>
      <c r="H88" s="333" t="s">
        <v>22</v>
      </c>
    </row>
    <row r="89" ht="15.75" customHeight="1">
      <c r="A89" s="333" t="s">
        <v>10271</v>
      </c>
      <c r="D89" s="333">
        <f>SUMPRODUCT(('Plant Inventory'!Q3:Q684=H89)*('Plant Inventory'!J3:J684="Dead")*'Plant Inventory'!O3:O684)</f>
        <v>45</v>
      </c>
      <c r="E89" s="333" t="s">
        <v>10265</v>
      </c>
      <c r="F89" s="333" t="s">
        <v>10445</v>
      </c>
      <c r="G89" s="333" t="s">
        <v>10446</v>
      </c>
      <c r="H89" s="333" t="s">
        <v>22</v>
      </c>
    </row>
    <row r="90" ht="15.75" customHeight="1">
      <c r="A90" s="333" t="s">
        <v>10274</v>
      </c>
      <c r="D90" s="333">
        <f>SUMPRODUCT(('Plant Inventory'!Q3:Q684=H90)*('Plant Inventory'!J3:J684="Damaged")*'Plant Inventory'!P3:P684)</f>
        <v>0</v>
      </c>
      <c r="E90" s="333" t="s">
        <v>10265</v>
      </c>
      <c r="F90" s="333" t="s">
        <v>10447</v>
      </c>
      <c r="G90" s="333" t="s">
        <v>10448</v>
      </c>
      <c r="H90" s="333" t="s">
        <v>22</v>
      </c>
    </row>
    <row r="91" ht="15.75" customHeight="1">
      <c r="A91" s="333" t="s">
        <v>10277</v>
      </c>
      <c r="D91" s="333">
        <f>SUMPRODUCT(('Plant Inventory'!Q3:Q684=H91)*('Plant Inventory'!J3:J684="Giveaway")*'Plant Inventory'!O3:O684)</f>
        <v>25</v>
      </c>
      <c r="E91" s="333" t="s">
        <v>10265</v>
      </c>
      <c r="F91" s="333" t="s">
        <v>10449</v>
      </c>
      <c r="G91" s="333" t="s">
        <v>10450</v>
      </c>
      <c r="H91" s="333" t="s">
        <v>22</v>
      </c>
    </row>
    <row r="92" ht="15.75" customHeight="1">
      <c r="A92" s="333" t="s">
        <v>10451</v>
      </c>
      <c r="D92" s="333">
        <f>SUMPRODUCT(('Plant Inventory'!Q3:Q684=H92)*('Plant Inventory'!J3:J684="Donation")*'Plant Inventory'!O3:O684)</f>
        <v>2</v>
      </c>
      <c r="E92" s="333" t="s">
        <v>10265</v>
      </c>
      <c r="F92" s="333" t="s">
        <v>10452</v>
      </c>
      <c r="G92" s="333" t="s">
        <v>10453</v>
      </c>
      <c r="H92" s="333" t="s">
        <v>22</v>
      </c>
    </row>
    <row r="93" ht="15.75" customHeight="1">
      <c r="A93" s="333" t="s">
        <v>10280</v>
      </c>
      <c r="B93" s="333">
        <f>SUMPRODUCT(('Plant Inventory'!Q3:Q684=H93)*('Plant Inventory'!J3:J684="Available")*'Plant Inventory'!D3:D684)</f>
        <v>49.65</v>
      </c>
      <c r="E93" s="333" t="s">
        <v>10265</v>
      </c>
      <c r="F93" s="333" t="s">
        <v>10454</v>
      </c>
      <c r="G93" s="333" t="s">
        <v>10455</v>
      </c>
      <c r="H93" s="333" t="s">
        <v>22</v>
      </c>
    </row>
    <row r="94" ht="15.75" customHeight="1">
      <c r="A94" s="333" t="s">
        <v>10283</v>
      </c>
      <c r="B94" s="333">
        <f>SUMPRODUCT(('Plant Inventory'!Q3:Q684=H94)*('Plant Inventory'!J3:J684="Available")*'Plant Inventory'!E3:E684)</f>
        <v>17</v>
      </c>
      <c r="E94" s="333" t="s">
        <v>10265</v>
      </c>
      <c r="F94" s="333" t="s">
        <v>10284</v>
      </c>
      <c r="G94" s="333" t="s">
        <v>10456</v>
      </c>
      <c r="H94" s="333" t="s">
        <v>22</v>
      </c>
    </row>
    <row r="95" ht="15.75" customHeight="1">
      <c r="A95" s="333" t="s">
        <v>10286</v>
      </c>
      <c r="B95" s="333">
        <f>SUMPRODUCT(('Plant Inventory'!Q3:Q684=H95)*('Plant Inventory'!J3:J684="Dead")*'Plant Inventory'!D3:D684*'Plant Inventory'!O3:O684)</f>
        <v>331.99</v>
      </c>
      <c r="E95" s="333" t="s">
        <v>10265</v>
      </c>
      <c r="F95" s="333" t="s">
        <v>10457</v>
      </c>
      <c r="G95" s="333" t="s">
        <v>10458</v>
      </c>
      <c r="H95" s="333" t="s">
        <v>22</v>
      </c>
    </row>
    <row r="96" ht="15.75" customHeight="1">
      <c r="A96" s="333" t="s">
        <v>10289</v>
      </c>
      <c r="B96" s="333">
        <f>SUMPRODUCT(('Plant Inventory'!Q3:Q684=H96)*('Plant Inventory'!J3:J684="Damaged")*'Plant Inventory'!D3:D684*'Plant Inventory'!P3:P684)</f>
        <v>0</v>
      </c>
      <c r="E96" s="333" t="s">
        <v>10265</v>
      </c>
      <c r="F96" s="333" t="s">
        <v>10459</v>
      </c>
      <c r="G96" s="333" t="s">
        <v>10460</v>
      </c>
      <c r="H96" s="333" t="s">
        <v>22</v>
      </c>
    </row>
    <row r="97" ht="15.75" customHeight="1">
      <c r="A97" s="333" t="s">
        <v>10292</v>
      </c>
      <c r="B97" s="333">
        <f>SUMPRODUCT(('Plant Inventory'!Q3:Q684=H97)*('Plant Inventory'!J3:J684="Giveaway")*'Plant Inventory'!D3:D684*'Plant Inventory'!O3:O684)</f>
        <v>91.17</v>
      </c>
      <c r="E97" s="333" t="s">
        <v>10265</v>
      </c>
      <c r="F97" s="333" t="s">
        <v>10461</v>
      </c>
      <c r="G97" s="333" t="s">
        <v>10462</v>
      </c>
      <c r="H97" s="333" t="s">
        <v>22</v>
      </c>
    </row>
    <row r="98" ht="15.75" customHeight="1">
      <c r="A98" s="333" t="s">
        <v>10463</v>
      </c>
      <c r="B98" s="333">
        <f>SUMPRODUCT(('Plant Inventory'!Q3:Q684=H98)*('Plant Inventory'!J3:J684="Donation")*'Plant Inventory'!D3:D684*'Plant Inventory'!O3:O684)</f>
        <v>20.8</v>
      </c>
      <c r="E98" s="333" t="s">
        <v>10265</v>
      </c>
      <c r="F98" s="333" t="s">
        <v>10464</v>
      </c>
      <c r="G98" s="333" t="s">
        <v>10465</v>
      </c>
      <c r="H98" s="333" t="s">
        <v>22</v>
      </c>
    </row>
    <row r="99" ht="15.75" customHeight="1">
      <c r="A99" s="333" t="s">
        <v>10295</v>
      </c>
      <c r="B99" s="333">
        <f>B95+B96+B97+B98</f>
        <v>443.96</v>
      </c>
      <c r="E99" s="333" t="s">
        <v>10265</v>
      </c>
      <c r="F99" s="333" t="s">
        <v>10466</v>
      </c>
      <c r="G99" s="333" t="s">
        <v>10467</v>
      </c>
      <c r="H99" s="333" t="s">
        <v>22</v>
      </c>
    </row>
    <row r="100" ht="15.75" customHeight="1">
      <c r="A100" s="333" t="s">
        <v>10298</v>
      </c>
      <c r="D100" s="333">
        <f>SUMPRODUCT((ISNUMBER(SEARCH("-PH-",'Plant Inventory'!B3:B684)))*('Plant Inventory'!J3:J684="For Sale")*('Plant Inventory'!Q3:Q684=H100)*'Plant Inventory'!P3:P684)</f>
        <v>35</v>
      </c>
      <c r="E100" s="333" t="s">
        <v>10265</v>
      </c>
      <c r="F100" s="333" t="s">
        <v>10468</v>
      </c>
      <c r="G100" s="333" t="s">
        <v>10469</v>
      </c>
      <c r="H100" s="333" t="s">
        <v>22</v>
      </c>
    </row>
    <row r="101" ht="15.75" customHeight="1">
      <c r="A101" s="333" t="s">
        <v>10301</v>
      </c>
      <c r="D101" s="333">
        <f>SUMPRODUCT((ISNUMBER(SEARCH("-HO-",'Plant Inventory'!B3:B684)))*('Plant Inventory'!J3:J684="For Sale")*('Plant Inventory'!Q3:Q684=H101)*'Plant Inventory'!P3:P684)</f>
        <v>7</v>
      </c>
      <c r="E101" s="333" t="s">
        <v>10265</v>
      </c>
      <c r="F101" s="333" t="s">
        <v>10468</v>
      </c>
      <c r="G101" s="333" t="s">
        <v>10470</v>
      </c>
      <c r="H101" s="333" t="s">
        <v>22</v>
      </c>
    </row>
    <row r="102" ht="15.75" customHeight="1">
      <c r="A102" s="333" t="s">
        <v>10303</v>
      </c>
      <c r="D102" s="333">
        <f>SUMPRODUCT((ISNUMBER(SEARCH("-AL-",'Plant Inventory'!B3:B684)))*('Plant Inventory'!J3:J684="For Sale")*('Plant Inventory'!Q3:Q684=H102)*'Plant Inventory'!P3:P684)</f>
        <v>4</v>
      </c>
      <c r="E102" s="333" t="s">
        <v>10265</v>
      </c>
      <c r="F102" s="333" t="s">
        <v>10468</v>
      </c>
      <c r="G102" s="333" t="s">
        <v>10471</v>
      </c>
      <c r="H102" s="333" t="s">
        <v>22</v>
      </c>
    </row>
    <row r="103" ht="15.75" customHeight="1">
      <c r="A103" s="333" t="s">
        <v>10305</v>
      </c>
      <c r="D103" s="333">
        <f>SUMPRODUCT((ISNUMBER(SEARCH("-SYN-",'Plant Inventory'!B3:B684)))*('Plant Inventory'!J3:J684="For Sale")*('Plant Inventory'!Q3:Q684=H103)*'Plant Inventory'!P3:P684)</f>
        <v>7</v>
      </c>
      <c r="E103" s="333" t="s">
        <v>10265</v>
      </c>
      <c r="F103" s="333" t="s">
        <v>10468</v>
      </c>
      <c r="G103" s="333" t="s">
        <v>10472</v>
      </c>
      <c r="H103" s="333" t="s">
        <v>22</v>
      </c>
    </row>
    <row r="104" ht="15.75" customHeight="1">
      <c r="A104" s="333" t="s">
        <v>10307</v>
      </c>
      <c r="D104" s="333">
        <f>COUNTIF('Product Inventory'!N3:N997,H104)</f>
        <v>120</v>
      </c>
      <c r="E104" s="333" t="s">
        <v>10308</v>
      </c>
      <c r="F104" s="333" t="s">
        <v>10309</v>
      </c>
      <c r="G104" s="333" t="s">
        <v>10473</v>
      </c>
      <c r="H104" s="333" t="s">
        <v>22</v>
      </c>
    </row>
    <row r="105" ht="15.75" customHeight="1">
      <c r="A105" s="333" t="s">
        <v>10311</v>
      </c>
      <c r="D105" s="333">
        <f>SUMPRODUCT(('Product Inventory'!N3:N997=H105)*('Product Inventory'!K3:K997="Available")*'Product Inventory'!J3:J997)</f>
        <v>1528.46</v>
      </c>
      <c r="E105" s="333" t="s">
        <v>10308</v>
      </c>
      <c r="F105" s="333" t="s">
        <v>10474</v>
      </c>
      <c r="G105" s="333" t="s">
        <v>10475</v>
      </c>
      <c r="H105" s="333" t="s">
        <v>22</v>
      </c>
    </row>
    <row r="106" ht="15.75" customHeight="1">
      <c r="A106" s="333" t="s">
        <v>10314</v>
      </c>
      <c r="D106" s="333">
        <f>SUMPRODUCT(('Product Inventory'!N3:N997=H106)*'Product Inventory'!H3:H997)</f>
        <v>27</v>
      </c>
      <c r="E106" s="333" t="s">
        <v>10308</v>
      </c>
      <c r="F106" s="333" t="s">
        <v>10443</v>
      </c>
      <c r="G106" s="333" t="s">
        <v>10476</v>
      </c>
      <c r="H106" s="333" t="s">
        <v>22</v>
      </c>
    </row>
    <row r="107" ht="15.75" customHeight="1">
      <c r="A107" s="333" t="s">
        <v>10317</v>
      </c>
      <c r="D107" s="333">
        <f>SUMPRODUCT(('Product Inventory'!N3:N997=H107)*'Product Inventory'!I3:I997)</f>
        <v>556.15</v>
      </c>
      <c r="E107" s="333" t="s">
        <v>10308</v>
      </c>
      <c r="F107" s="333" t="s">
        <v>10477</v>
      </c>
      <c r="G107" s="333" t="s">
        <v>10478</v>
      </c>
      <c r="H107" s="333" t="s">
        <v>22</v>
      </c>
    </row>
    <row r="108" ht="15.75" customHeight="1">
      <c r="A108" s="333" t="s">
        <v>10320</v>
      </c>
      <c r="B108" s="333">
        <f>SUMPRODUCT(('Product Inventory'!N3:N997=H108)*'Product Inventory'!D3:D997*'Product Inventory'!G3:G997)</f>
        <v>2845.429</v>
      </c>
      <c r="E108" s="333" t="s">
        <v>10308</v>
      </c>
      <c r="F108" s="333" t="s">
        <v>10321</v>
      </c>
      <c r="G108" s="333" t="s">
        <v>10479</v>
      </c>
      <c r="H108" s="333" t="s">
        <v>22</v>
      </c>
    </row>
    <row r="109" ht="15.75" customHeight="1">
      <c r="A109" s="333" t="s">
        <v>10323</v>
      </c>
      <c r="B109" s="333">
        <f>SUMPRODUCT(('Product Inventory'!N3:N997=H109)*'Product Inventory'!D3:D997*'Product Inventory'!J3:J997)</f>
        <v>1774.5878</v>
      </c>
      <c r="E109" s="333" t="s">
        <v>10308</v>
      </c>
      <c r="F109" s="333" t="s">
        <v>10324</v>
      </c>
      <c r="G109" s="333" t="s">
        <v>10480</v>
      </c>
      <c r="H109" s="333" t="s">
        <v>22</v>
      </c>
    </row>
    <row r="110" ht="15.75" customHeight="1">
      <c r="A110" s="333" t="s">
        <v>10326</v>
      </c>
      <c r="B110" s="333">
        <f>SUMPRODUCT(('Product Inventory'!N3:N997=H110)*'Product Inventory'!E3:E997*'Product Inventory'!J3:J997)</f>
        <v>3621.54</v>
      </c>
      <c r="E110" s="333" t="s">
        <v>10308</v>
      </c>
      <c r="F110" s="333" t="s">
        <v>10327</v>
      </c>
      <c r="G110" s="333" t="s">
        <v>10481</v>
      </c>
      <c r="H110" s="333" t="s">
        <v>22</v>
      </c>
    </row>
    <row r="111" ht="15.75" customHeight="1">
      <c r="A111" s="333" t="s">
        <v>10329</v>
      </c>
      <c r="D111" s="333">
        <f>COUNTIFS('Product Inventory'!K3:K997,"Out of Stock",'Product Inventory'!N3:N997,H111)</f>
        <v>12</v>
      </c>
      <c r="E111" s="333" t="s">
        <v>10308</v>
      </c>
      <c r="F111" s="333" t="s">
        <v>10330</v>
      </c>
      <c r="G111" s="333" t="s">
        <v>10482</v>
      </c>
      <c r="H111" s="333" t="s">
        <v>22</v>
      </c>
    </row>
    <row r="112" ht="15.75" customHeight="1">
      <c r="A112" s="333" t="s">
        <v>10332</v>
      </c>
      <c r="B112" s="333">
        <f>B4</f>
        <v>1717</v>
      </c>
      <c r="E112" s="333" t="s">
        <v>6502</v>
      </c>
      <c r="F112" s="333" t="s">
        <v>10333</v>
      </c>
      <c r="G112" s="333" t="s">
        <v>10483</v>
      </c>
      <c r="H112" s="333" t="s">
        <v>22</v>
      </c>
    </row>
    <row r="113" ht="15.75" customHeight="1">
      <c r="A113" s="333" t="s">
        <v>10335</v>
      </c>
      <c r="B113" s="333">
        <f>B7</f>
        <v>774.29</v>
      </c>
      <c r="E113" s="333" t="s">
        <v>6502</v>
      </c>
      <c r="F113" s="333" t="s">
        <v>10336</v>
      </c>
      <c r="G113" s="333" t="s">
        <v>10484</v>
      </c>
      <c r="H113" s="333" t="s">
        <v>22</v>
      </c>
    </row>
    <row r="114" ht="15.75" customHeight="1">
      <c r="A114" s="333" t="s">
        <v>10338</v>
      </c>
      <c r="B114" s="333">
        <f>B10</f>
        <v>7744.63</v>
      </c>
      <c r="E114" s="333" t="s">
        <v>6502</v>
      </c>
      <c r="F114" s="333" t="s">
        <v>10339</v>
      </c>
      <c r="G114" s="333" t="s">
        <v>10485</v>
      </c>
      <c r="H114" s="333" t="s">
        <v>22</v>
      </c>
    </row>
    <row r="115" ht="15.75" customHeight="1">
      <c r="A115" s="333" t="s">
        <v>10341</v>
      </c>
      <c r="B115" s="333">
        <f>B113+B114</f>
        <v>8518.92</v>
      </c>
      <c r="E115" s="333" t="s">
        <v>6502</v>
      </c>
      <c r="F115" s="333" t="s">
        <v>10342</v>
      </c>
      <c r="G115" s="333" t="s">
        <v>10486</v>
      </c>
      <c r="H115" s="333" t="s">
        <v>22</v>
      </c>
    </row>
    <row r="116" ht="15.75" customHeight="1">
      <c r="A116" s="333" t="s">
        <v>10344</v>
      </c>
      <c r="B116" s="333">
        <f>B112-B115</f>
        <v>-6801.92</v>
      </c>
      <c r="E116" s="333" t="s">
        <v>6502</v>
      </c>
      <c r="F116" s="333" t="s">
        <v>10345</v>
      </c>
      <c r="G116" s="333" t="s">
        <v>10487</v>
      </c>
      <c r="H116" s="333" t="s">
        <v>22</v>
      </c>
    </row>
    <row r="117" ht="15.75" customHeight="1">
      <c r="A117" s="333" t="s">
        <v>10347</v>
      </c>
      <c r="B117" s="333">
        <f>B93</f>
        <v>49.65</v>
      </c>
      <c r="E117" s="333" t="s">
        <v>6502</v>
      </c>
      <c r="F117" s="333" t="s">
        <v>10348</v>
      </c>
      <c r="G117" s="333" t="s">
        <v>10488</v>
      </c>
      <c r="H117" s="333" t="s">
        <v>22</v>
      </c>
    </row>
    <row r="118" ht="15.75" customHeight="1">
      <c r="A118" s="333" t="s">
        <v>10350</v>
      </c>
      <c r="B118" s="333">
        <f>B109</f>
        <v>1774.5878</v>
      </c>
      <c r="E118" s="333" t="s">
        <v>6502</v>
      </c>
      <c r="F118" s="333" t="s">
        <v>10348</v>
      </c>
      <c r="G118" s="333" t="s">
        <v>10489</v>
      </c>
      <c r="H118" s="333" t="s">
        <v>22</v>
      </c>
    </row>
    <row r="119" ht="15.75" customHeight="1">
      <c r="A119" s="333" t="s">
        <v>10352</v>
      </c>
      <c r="B119" s="333">
        <f>B99</f>
        <v>443.96</v>
      </c>
      <c r="E119" s="333" t="s">
        <v>6502</v>
      </c>
      <c r="F119" s="333" t="s">
        <v>10490</v>
      </c>
      <c r="G119" s="333" t="s">
        <v>10491</v>
      </c>
      <c r="H119" s="333" t="s">
        <v>22</v>
      </c>
    </row>
    <row r="120" ht="15.75" customHeight="1"/>
    <row r="121" ht="15.75" customHeight="1">
      <c r="A121" s="332"/>
      <c r="B121" s="332"/>
      <c r="C121" s="332"/>
      <c r="D121" s="332"/>
      <c r="E121" s="332"/>
      <c r="F121" s="332"/>
      <c r="G121" s="332"/>
      <c r="H121" s="332"/>
    </row>
    <row r="122" ht="15.75" customHeight="1">
      <c r="A122" s="333"/>
      <c r="B122" s="333"/>
      <c r="E122" s="333"/>
      <c r="F122" s="333"/>
      <c r="G122" s="333"/>
      <c r="H122" s="333"/>
    </row>
    <row r="123" ht="15.75" customHeight="1">
      <c r="A123" s="333"/>
      <c r="B123" s="333"/>
      <c r="E123" s="333"/>
      <c r="F123" s="333"/>
      <c r="G123" s="333"/>
      <c r="H123" s="333"/>
    </row>
    <row r="124" ht="15.75" customHeight="1">
      <c r="A124" s="333"/>
      <c r="B124" s="333"/>
      <c r="E124" s="333"/>
      <c r="F124" s="333"/>
      <c r="G124" s="333"/>
      <c r="H124" s="333"/>
    </row>
    <row r="125" ht="15.75" customHeight="1">
      <c r="A125" s="333"/>
      <c r="B125" s="333"/>
      <c r="E125" s="333"/>
      <c r="F125" s="333"/>
      <c r="G125" s="333"/>
      <c r="H125" s="333"/>
    </row>
    <row r="126" ht="15.75" customHeight="1">
      <c r="A126" s="333"/>
      <c r="B126" s="333"/>
      <c r="E126" s="333"/>
      <c r="F126" s="333"/>
      <c r="G126" s="333"/>
      <c r="H126" s="333"/>
    </row>
    <row r="127" ht="15.75" customHeight="1">
      <c r="A127" s="333"/>
      <c r="C127" s="333"/>
      <c r="E127" s="333"/>
      <c r="F127" s="333"/>
      <c r="G127" s="333"/>
      <c r="H127" s="333"/>
    </row>
    <row r="128" ht="15.75" customHeight="1">
      <c r="A128" s="333"/>
      <c r="B128" s="333"/>
      <c r="E128" s="333"/>
      <c r="F128" s="333"/>
      <c r="G128" s="333"/>
      <c r="H128" s="333"/>
    </row>
    <row r="129" ht="15.75" customHeight="1">
      <c r="A129" s="333"/>
      <c r="B129" s="333"/>
      <c r="E129" s="333"/>
      <c r="F129" s="333"/>
      <c r="G129" s="333"/>
      <c r="H129" s="333"/>
    </row>
    <row r="130" ht="15.75" customHeight="1">
      <c r="A130" s="333"/>
      <c r="C130" s="333"/>
      <c r="E130" s="333"/>
      <c r="F130" s="333"/>
      <c r="G130" s="333"/>
      <c r="H130" s="333"/>
    </row>
    <row r="131" ht="15.75" customHeight="1">
      <c r="A131" s="333"/>
      <c r="D131" s="333"/>
      <c r="E131" s="333"/>
      <c r="F131" s="333"/>
      <c r="G131" s="333"/>
      <c r="H131" s="333"/>
    </row>
    <row r="132" ht="15.75" customHeight="1">
      <c r="A132" s="333"/>
      <c r="B132" s="333"/>
      <c r="E132" s="333"/>
      <c r="F132" s="333"/>
      <c r="G132" s="333"/>
      <c r="H132" s="333"/>
    </row>
    <row r="133" ht="15.75" customHeight="1">
      <c r="A133" s="333"/>
      <c r="B133" s="333"/>
      <c r="E133" s="333"/>
      <c r="F133" s="333"/>
      <c r="G133" s="333"/>
      <c r="H133" s="333"/>
    </row>
    <row r="134" ht="15.75" customHeight="1">
      <c r="A134" s="333"/>
      <c r="B134" s="333"/>
      <c r="E134" s="333"/>
      <c r="F134" s="333"/>
      <c r="G134" s="333"/>
      <c r="H134" s="333"/>
    </row>
    <row r="135" ht="15.75" customHeight="1">
      <c r="A135" s="333"/>
      <c r="B135" s="333"/>
      <c r="E135" s="333"/>
      <c r="F135" s="333"/>
      <c r="G135" s="333"/>
      <c r="H135" s="333"/>
    </row>
    <row r="136" ht="15.75" customHeight="1">
      <c r="A136" s="333"/>
      <c r="B136" s="333"/>
      <c r="E136" s="333"/>
      <c r="F136" s="333"/>
      <c r="G136" s="333"/>
      <c r="H136" s="333"/>
    </row>
    <row r="137" ht="15.75" customHeight="1">
      <c r="A137" s="333"/>
      <c r="B137" s="333"/>
      <c r="E137" s="333"/>
      <c r="F137" s="333"/>
      <c r="G137" s="333"/>
      <c r="H137" s="333"/>
    </row>
    <row r="138" ht="15.75" customHeight="1">
      <c r="A138" s="333"/>
      <c r="B138" s="333"/>
      <c r="E138" s="333"/>
      <c r="F138" s="333"/>
      <c r="G138" s="333"/>
      <c r="H138" s="333"/>
    </row>
    <row r="139" ht="15.75" customHeight="1">
      <c r="A139" s="333"/>
      <c r="B139" s="333"/>
      <c r="E139" s="333"/>
      <c r="F139" s="333"/>
      <c r="G139" s="333"/>
      <c r="H139" s="333"/>
    </row>
    <row r="140" ht="15.75" customHeight="1">
      <c r="A140" s="333"/>
      <c r="B140" s="333"/>
      <c r="E140" s="333"/>
      <c r="F140" s="333"/>
      <c r="G140" s="333"/>
      <c r="H140" s="333"/>
    </row>
    <row r="141" ht="15.75" customHeight="1">
      <c r="A141" s="333"/>
      <c r="B141" s="333"/>
      <c r="E141" s="333"/>
      <c r="G141" s="333"/>
      <c r="H141" s="333"/>
    </row>
    <row r="142" ht="15.75" customHeight="1">
      <c r="A142" s="333"/>
      <c r="B142" s="333"/>
      <c r="E142" s="333"/>
      <c r="G142" s="333"/>
      <c r="H142" s="333"/>
    </row>
    <row r="143" ht="15.75" customHeight="1">
      <c r="A143" s="333"/>
      <c r="B143" s="333"/>
      <c r="E143" s="333"/>
      <c r="G143" s="333"/>
      <c r="H143" s="333"/>
    </row>
    <row r="144" ht="15.75" customHeight="1">
      <c r="A144" s="333"/>
      <c r="B144" s="333"/>
      <c r="E144" s="333"/>
      <c r="G144" s="333"/>
      <c r="H144" s="333"/>
    </row>
    <row r="145" ht="15.75" customHeight="1">
      <c r="A145" s="333"/>
      <c r="B145" s="333"/>
      <c r="E145" s="333"/>
      <c r="G145" s="333"/>
      <c r="H145" s="333"/>
    </row>
    <row r="146" ht="15.75" customHeight="1">
      <c r="A146" s="333"/>
      <c r="B146" s="333"/>
      <c r="E146" s="333"/>
      <c r="G146" s="333"/>
      <c r="H146" s="333"/>
    </row>
    <row r="147" ht="15.75" customHeight="1">
      <c r="A147" s="333"/>
      <c r="B147" s="333"/>
      <c r="E147" s="333"/>
      <c r="G147" s="333"/>
      <c r="H147" s="333"/>
    </row>
    <row r="148" ht="15.75" customHeight="1">
      <c r="A148" s="333"/>
      <c r="B148" s="333"/>
      <c r="E148" s="333"/>
      <c r="G148" s="333"/>
      <c r="H148" s="333"/>
    </row>
    <row r="149" ht="15.75" customHeight="1">
      <c r="A149" s="333"/>
      <c r="B149" s="333"/>
      <c r="E149" s="333"/>
      <c r="G149" s="333"/>
      <c r="H149" s="333"/>
    </row>
    <row r="150" ht="15.75" customHeight="1">
      <c r="A150" s="333"/>
      <c r="B150" s="333"/>
      <c r="E150" s="333"/>
      <c r="G150" s="333"/>
      <c r="H150" s="333"/>
    </row>
    <row r="151" ht="15.75" customHeight="1">
      <c r="A151" s="333"/>
      <c r="B151" s="333"/>
      <c r="E151" s="333"/>
      <c r="G151" s="333"/>
      <c r="H151" s="333"/>
    </row>
    <row r="152" ht="15.75" customHeight="1">
      <c r="A152" s="333"/>
      <c r="B152" s="333"/>
      <c r="E152" s="333"/>
      <c r="G152" s="333"/>
      <c r="H152" s="333"/>
    </row>
    <row r="153" ht="15.75" customHeight="1">
      <c r="A153" s="333"/>
      <c r="B153" s="333"/>
      <c r="E153" s="333"/>
      <c r="G153" s="333"/>
      <c r="H153" s="333"/>
    </row>
    <row r="154" ht="15.75" customHeight="1">
      <c r="A154" s="333"/>
      <c r="B154" s="333"/>
      <c r="E154" s="333"/>
      <c r="G154" s="333"/>
      <c r="H154" s="333"/>
    </row>
    <row r="155" ht="15.75" customHeight="1">
      <c r="A155" s="333"/>
      <c r="B155" s="333"/>
      <c r="E155" s="333"/>
      <c r="G155" s="333"/>
      <c r="H155" s="333"/>
    </row>
    <row r="156" ht="15.75" customHeight="1">
      <c r="A156" s="333"/>
      <c r="B156" s="333"/>
      <c r="E156" s="333"/>
      <c r="G156" s="333"/>
      <c r="H156" s="333"/>
    </row>
    <row r="157" ht="15.75" customHeight="1">
      <c r="A157" s="333"/>
      <c r="B157" s="333"/>
      <c r="E157" s="333"/>
      <c r="G157" s="333"/>
      <c r="H157" s="333"/>
    </row>
    <row r="158" ht="15.75" customHeight="1">
      <c r="A158" s="333"/>
      <c r="B158" s="333"/>
      <c r="E158" s="333"/>
      <c r="G158" s="333"/>
      <c r="H158" s="333"/>
    </row>
    <row r="159" ht="15.75" customHeight="1">
      <c r="A159" s="333"/>
      <c r="B159" s="333"/>
      <c r="E159" s="333"/>
      <c r="G159" s="333"/>
      <c r="H159" s="333"/>
    </row>
    <row r="160" ht="15.75" customHeight="1">
      <c r="A160" s="333"/>
      <c r="B160" s="333"/>
      <c r="E160" s="333"/>
      <c r="G160" s="333"/>
      <c r="H160" s="333"/>
    </row>
    <row r="161" ht="15.75" customHeight="1">
      <c r="A161" s="333"/>
      <c r="B161" s="333"/>
      <c r="E161" s="333"/>
      <c r="G161" s="333"/>
      <c r="H161" s="333"/>
    </row>
    <row r="162" ht="15.75" customHeight="1">
      <c r="A162" s="333"/>
      <c r="B162" s="333"/>
      <c r="E162" s="333"/>
      <c r="G162" s="333"/>
      <c r="H162" s="333"/>
    </row>
    <row r="163" ht="15.75" customHeight="1">
      <c r="A163" s="333"/>
      <c r="B163" s="333"/>
      <c r="E163" s="333"/>
      <c r="G163" s="333"/>
      <c r="H163" s="333"/>
    </row>
    <row r="164" ht="15.75" customHeight="1">
      <c r="A164" s="333"/>
      <c r="B164" s="333"/>
      <c r="E164" s="333"/>
      <c r="G164" s="333"/>
      <c r="H164" s="333"/>
    </row>
    <row r="165" ht="15.75" customHeight="1">
      <c r="A165" s="333"/>
      <c r="B165" s="333"/>
      <c r="E165" s="333"/>
      <c r="G165" s="333"/>
      <c r="H165" s="333"/>
    </row>
    <row r="166" ht="15.75" customHeight="1">
      <c r="A166" s="333"/>
      <c r="B166" s="333"/>
      <c r="E166" s="333"/>
      <c r="G166" s="333"/>
      <c r="H166" s="333"/>
    </row>
    <row r="167" ht="15.75" customHeight="1">
      <c r="A167" s="333"/>
      <c r="B167" s="333"/>
      <c r="E167" s="333"/>
      <c r="G167" s="333"/>
      <c r="H167" s="333"/>
    </row>
    <row r="168" ht="15.75" customHeight="1">
      <c r="A168" s="333"/>
      <c r="B168" s="333"/>
      <c r="E168" s="333"/>
      <c r="G168" s="333"/>
      <c r="H168" s="333"/>
    </row>
    <row r="169" ht="15.75" customHeight="1">
      <c r="A169" s="333"/>
      <c r="B169" s="333"/>
      <c r="E169" s="333"/>
      <c r="G169" s="333"/>
      <c r="H169" s="333"/>
    </row>
    <row r="170" ht="15.75" customHeight="1">
      <c r="A170" s="333"/>
      <c r="B170" s="333"/>
      <c r="E170" s="333"/>
      <c r="G170" s="333"/>
      <c r="H170" s="333"/>
    </row>
    <row r="171" ht="15.75" customHeight="1">
      <c r="A171" s="333"/>
      <c r="B171" s="333"/>
      <c r="E171" s="333"/>
      <c r="G171" s="333"/>
      <c r="H171" s="333"/>
    </row>
    <row r="172" ht="15.75" customHeight="1">
      <c r="A172" s="333"/>
      <c r="B172" s="333"/>
      <c r="E172" s="333"/>
      <c r="G172" s="333"/>
      <c r="H172" s="333"/>
    </row>
    <row r="173" ht="15.75" customHeight="1">
      <c r="A173" s="333"/>
      <c r="B173" s="333"/>
      <c r="E173" s="333"/>
      <c r="G173" s="333"/>
      <c r="H173" s="333"/>
    </row>
    <row r="174" ht="15.75" customHeight="1">
      <c r="A174" s="333"/>
      <c r="B174" s="333"/>
      <c r="E174" s="333"/>
      <c r="G174" s="333"/>
      <c r="H174" s="333"/>
    </row>
    <row r="175" ht="15.75" customHeight="1">
      <c r="A175" s="333"/>
      <c r="B175" s="333"/>
      <c r="E175" s="333"/>
      <c r="G175" s="333"/>
      <c r="H175" s="333"/>
    </row>
    <row r="176" ht="15.75" customHeight="1">
      <c r="A176" s="333"/>
      <c r="B176" s="333"/>
      <c r="E176" s="333"/>
      <c r="G176" s="333"/>
      <c r="H176" s="333"/>
    </row>
    <row r="177" ht="15.75" customHeight="1">
      <c r="A177" s="333"/>
      <c r="B177" s="333"/>
      <c r="E177" s="333"/>
      <c r="G177" s="333"/>
      <c r="H177" s="333"/>
    </row>
    <row r="178" ht="15.75" customHeight="1">
      <c r="A178" s="333"/>
      <c r="B178" s="333"/>
      <c r="E178" s="333"/>
      <c r="G178" s="333"/>
      <c r="H178" s="333"/>
    </row>
    <row r="179" ht="15.75" customHeight="1">
      <c r="A179" s="333"/>
      <c r="B179" s="333"/>
      <c r="E179" s="333"/>
      <c r="G179" s="333"/>
      <c r="H179" s="333"/>
    </row>
    <row r="180" ht="15.75" customHeight="1">
      <c r="A180" s="333"/>
      <c r="B180" s="333"/>
      <c r="E180" s="333"/>
      <c r="G180" s="333"/>
      <c r="H180" s="333"/>
    </row>
    <row r="181" ht="15.75" customHeight="1">
      <c r="A181" s="333"/>
      <c r="B181" s="333"/>
      <c r="E181" s="333"/>
      <c r="G181" s="333"/>
      <c r="H181" s="333"/>
    </row>
    <row r="182" ht="15.75" customHeight="1">
      <c r="A182" s="333"/>
      <c r="B182" s="333"/>
      <c r="E182" s="333"/>
      <c r="G182" s="333"/>
      <c r="H182" s="333"/>
    </row>
    <row r="183" ht="15.75" customHeight="1">
      <c r="A183" s="333"/>
      <c r="B183" s="333"/>
      <c r="E183" s="333"/>
      <c r="G183" s="333"/>
      <c r="H183" s="333"/>
    </row>
    <row r="184" ht="15.75" customHeight="1">
      <c r="A184" s="333"/>
      <c r="B184" s="333"/>
      <c r="E184" s="333"/>
      <c r="G184" s="333"/>
      <c r="H184" s="333"/>
    </row>
    <row r="185" ht="15.75" customHeight="1">
      <c r="A185" s="333"/>
      <c r="B185" s="333"/>
      <c r="E185" s="333"/>
      <c r="G185" s="333"/>
      <c r="H185" s="333"/>
    </row>
    <row r="186" ht="15.75" customHeight="1">
      <c r="A186" s="333"/>
      <c r="B186" s="333"/>
      <c r="E186" s="333"/>
      <c r="G186" s="333"/>
      <c r="H186" s="333"/>
    </row>
    <row r="187" ht="15.75" customHeight="1">
      <c r="A187" s="333"/>
      <c r="B187" s="333"/>
      <c r="E187" s="333"/>
      <c r="G187" s="333"/>
      <c r="H187" s="333"/>
    </row>
    <row r="188" ht="15.75" customHeight="1">
      <c r="A188" s="333"/>
      <c r="B188" s="333"/>
      <c r="E188" s="333"/>
      <c r="G188" s="333"/>
      <c r="H188" s="333"/>
    </row>
    <row r="189" ht="15.75" customHeight="1">
      <c r="A189" s="333"/>
      <c r="B189" s="333"/>
      <c r="E189" s="333"/>
      <c r="G189" s="333"/>
      <c r="H189" s="333"/>
    </row>
    <row r="190" ht="15.75" customHeight="1">
      <c r="A190" s="333"/>
      <c r="B190" s="333"/>
      <c r="E190" s="333"/>
      <c r="G190" s="333"/>
      <c r="H190" s="333"/>
    </row>
    <row r="191" ht="15.75" customHeight="1">
      <c r="A191" s="333"/>
      <c r="B191" s="333"/>
      <c r="E191" s="333"/>
      <c r="G191" s="333"/>
      <c r="H191" s="333"/>
    </row>
    <row r="192" ht="15.75" customHeight="1">
      <c r="A192" s="333"/>
      <c r="B192" s="333"/>
      <c r="E192" s="333"/>
      <c r="G192" s="333"/>
      <c r="H192" s="333"/>
    </row>
    <row r="193" ht="15.75" customHeight="1">
      <c r="A193" s="333"/>
      <c r="B193" s="333"/>
      <c r="E193" s="333"/>
      <c r="G193" s="333"/>
      <c r="H193" s="333"/>
    </row>
    <row r="194" ht="15.75" customHeight="1">
      <c r="A194" s="333"/>
      <c r="B194" s="333"/>
      <c r="E194" s="333"/>
      <c r="G194" s="333"/>
      <c r="H194" s="333"/>
    </row>
    <row r="195" ht="15.75" customHeight="1">
      <c r="A195" s="333"/>
      <c r="B195" s="333"/>
      <c r="E195" s="333"/>
      <c r="G195" s="333"/>
      <c r="H195" s="333"/>
    </row>
    <row r="196" ht="15.75" customHeight="1">
      <c r="A196" s="333"/>
      <c r="B196" s="333"/>
      <c r="E196" s="333"/>
      <c r="G196" s="333"/>
      <c r="H196" s="333"/>
    </row>
    <row r="197" ht="15.75" customHeight="1">
      <c r="A197" s="333"/>
      <c r="B197" s="333"/>
      <c r="E197" s="333"/>
      <c r="G197" s="333"/>
      <c r="H197" s="333"/>
    </row>
    <row r="198" ht="15.75" customHeight="1">
      <c r="A198" s="333"/>
      <c r="B198" s="333"/>
      <c r="E198" s="333"/>
      <c r="G198" s="333"/>
      <c r="H198" s="333"/>
    </row>
    <row r="199" ht="15.75" customHeight="1">
      <c r="A199" s="333"/>
      <c r="B199" s="333"/>
      <c r="E199" s="333"/>
      <c r="G199" s="333"/>
      <c r="H199" s="333"/>
    </row>
    <row r="200" ht="15.75" customHeight="1">
      <c r="A200" s="333"/>
      <c r="B200" s="333"/>
      <c r="E200" s="333"/>
      <c r="G200" s="333"/>
      <c r="H200" s="333"/>
    </row>
    <row r="201" ht="15.75" customHeight="1">
      <c r="A201" s="333"/>
      <c r="B201" s="333"/>
      <c r="E201" s="333"/>
      <c r="G201" s="333"/>
      <c r="H201" s="333"/>
    </row>
    <row r="202" ht="15.75" customHeight="1">
      <c r="A202" s="333"/>
      <c r="B202" s="333"/>
      <c r="E202" s="333"/>
      <c r="G202" s="333"/>
      <c r="H202" s="333"/>
    </row>
    <row r="203" ht="15.75" customHeight="1">
      <c r="A203" s="333"/>
      <c r="B203" s="333"/>
      <c r="E203" s="333"/>
      <c r="G203" s="333"/>
      <c r="H203" s="333"/>
    </row>
    <row r="204" ht="15.75" customHeight="1">
      <c r="A204" s="333"/>
      <c r="B204" s="333"/>
      <c r="E204" s="333"/>
      <c r="G204" s="333"/>
      <c r="H204" s="333"/>
    </row>
    <row r="205" ht="15.75" customHeight="1">
      <c r="A205" s="333"/>
      <c r="D205" s="333"/>
      <c r="E205" s="333"/>
      <c r="F205" s="333"/>
      <c r="G205" s="333"/>
      <c r="H205" s="333"/>
    </row>
    <row r="206" ht="15.75" customHeight="1">
      <c r="A206" s="333"/>
      <c r="D206" s="333"/>
      <c r="E206" s="333"/>
      <c r="F206" s="333"/>
      <c r="G206" s="333"/>
      <c r="H206" s="333"/>
    </row>
    <row r="207" ht="15.75" customHeight="1">
      <c r="A207" s="333"/>
      <c r="D207" s="333"/>
      <c r="E207" s="333"/>
      <c r="F207" s="333"/>
      <c r="G207" s="333"/>
      <c r="H207" s="333"/>
    </row>
    <row r="208" ht="15.75" customHeight="1">
      <c r="A208" s="333"/>
      <c r="D208" s="333"/>
      <c r="E208" s="333"/>
      <c r="F208" s="333"/>
      <c r="G208" s="333"/>
      <c r="H208" s="333"/>
    </row>
    <row r="209" ht="15.75" customHeight="1">
      <c r="A209" s="333"/>
      <c r="D209" s="333"/>
      <c r="E209" s="333"/>
      <c r="F209" s="333"/>
      <c r="G209" s="333"/>
      <c r="H209" s="333"/>
    </row>
    <row r="210" ht="15.75" customHeight="1">
      <c r="A210" s="333"/>
      <c r="D210" s="333"/>
      <c r="E210" s="333"/>
      <c r="F210" s="333"/>
      <c r="G210" s="333"/>
      <c r="H210" s="333"/>
    </row>
    <row r="211" ht="15.75" customHeight="1">
      <c r="A211" s="333"/>
      <c r="B211" s="333"/>
      <c r="E211" s="333"/>
      <c r="F211" s="333"/>
      <c r="G211" s="333"/>
      <c r="H211" s="333"/>
    </row>
    <row r="212" ht="15.75" customHeight="1">
      <c r="A212" s="333"/>
      <c r="B212" s="333"/>
      <c r="E212" s="333"/>
      <c r="F212" s="333"/>
      <c r="G212" s="333"/>
      <c r="H212" s="333"/>
    </row>
    <row r="213" ht="15.75" customHeight="1">
      <c r="A213" s="333"/>
      <c r="B213" s="333"/>
      <c r="E213" s="333"/>
      <c r="F213" s="333"/>
      <c r="G213" s="333"/>
      <c r="H213" s="333"/>
    </row>
    <row r="214" ht="15.75" customHeight="1">
      <c r="A214" s="333"/>
      <c r="B214" s="333"/>
      <c r="E214" s="333"/>
      <c r="F214" s="333"/>
      <c r="G214" s="333"/>
      <c r="H214" s="333"/>
    </row>
    <row r="215" ht="15.75" customHeight="1">
      <c r="A215" s="333"/>
      <c r="B215" s="333"/>
      <c r="E215" s="333"/>
      <c r="F215" s="333"/>
      <c r="G215" s="333"/>
      <c r="H215" s="333"/>
    </row>
    <row r="216" ht="15.75" customHeight="1">
      <c r="A216" s="333"/>
      <c r="B216" s="333"/>
      <c r="E216" s="333"/>
      <c r="F216" s="333"/>
      <c r="G216" s="333"/>
      <c r="H216" s="333"/>
    </row>
    <row r="217" ht="15.75" customHeight="1">
      <c r="A217" s="333"/>
      <c r="B217" s="333"/>
      <c r="E217" s="333"/>
      <c r="F217" s="333"/>
      <c r="G217" s="333"/>
      <c r="H217" s="333"/>
    </row>
    <row r="218" ht="15.75" customHeight="1">
      <c r="A218" s="333"/>
      <c r="D218" s="333"/>
      <c r="E218" s="333"/>
      <c r="F218" s="333"/>
      <c r="G218" s="333"/>
      <c r="H218" s="333"/>
    </row>
    <row r="219" ht="15.75" customHeight="1">
      <c r="A219" s="333"/>
      <c r="D219" s="333"/>
      <c r="E219" s="333"/>
      <c r="F219" s="333"/>
      <c r="G219" s="333"/>
      <c r="H219" s="333"/>
    </row>
    <row r="220" ht="15.75" customHeight="1">
      <c r="A220" s="333"/>
      <c r="D220" s="333"/>
      <c r="E220" s="333"/>
      <c r="F220" s="333"/>
      <c r="G220" s="333"/>
      <c r="H220" s="333"/>
    </row>
    <row r="221" ht="15.75" customHeight="1">
      <c r="A221" s="333"/>
      <c r="D221" s="333"/>
      <c r="E221" s="333"/>
      <c r="F221" s="333"/>
      <c r="G221" s="333"/>
      <c r="H221" s="333"/>
    </row>
    <row r="222" ht="15.75" customHeight="1">
      <c r="A222" s="333"/>
      <c r="D222" s="333"/>
      <c r="E222" s="333"/>
      <c r="F222" s="333"/>
      <c r="G222" s="333"/>
      <c r="H222" s="333"/>
    </row>
    <row r="223" ht="15.75" customHeight="1">
      <c r="A223" s="333"/>
      <c r="D223" s="333"/>
      <c r="E223" s="333"/>
      <c r="F223" s="333"/>
      <c r="G223" s="333"/>
      <c r="H223" s="333"/>
    </row>
    <row r="224" ht="15.75" customHeight="1">
      <c r="A224" s="333"/>
      <c r="D224" s="333"/>
      <c r="E224" s="333"/>
      <c r="F224" s="333"/>
      <c r="G224" s="333"/>
      <c r="H224" s="333"/>
    </row>
    <row r="225" ht="15.75" customHeight="1">
      <c r="A225" s="333"/>
      <c r="D225" s="333"/>
      <c r="E225" s="333"/>
      <c r="F225" s="333"/>
      <c r="G225" s="333"/>
      <c r="H225" s="333"/>
    </row>
    <row r="226" ht="15.75" customHeight="1">
      <c r="A226" s="333"/>
      <c r="B226" s="333"/>
      <c r="E226" s="333"/>
      <c r="F226" s="333"/>
      <c r="G226" s="333"/>
      <c r="H226" s="333"/>
    </row>
    <row r="227" ht="15.75" customHeight="1">
      <c r="A227" s="333"/>
      <c r="B227" s="333"/>
      <c r="E227" s="333"/>
      <c r="F227" s="333"/>
      <c r="G227" s="333"/>
      <c r="H227" s="333"/>
    </row>
    <row r="228" ht="15.75" customHeight="1">
      <c r="A228" s="333"/>
      <c r="B228" s="333"/>
      <c r="E228" s="333"/>
      <c r="F228" s="333"/>
      <c r="G228" s="333"/>
      <c r="H228" s="333"/>
    </row>
    <row r="229" ht="15.75" customHeight="1">
      <c r="A229" s="333"/>
      <c r="D229" s="333"/>
      <c r="E229" s="333"/>
      <c r="F229" s="333"/>
      <c r="G229" s="333"/>
      <c r="H229" s="333"/>
    </row>
    <row r="230" ht="15.75" customHeight="1">
      <c r="A230" s="333"/>
      <c r="B230" s="333"/>
      <c r="E230" s="333"/>
      <c r="F230" s="333"/>
      <c r="G230" s="333"/>
      <c r="H230" s="333"/>
    </row>
    <row r="231" ht="15.75" customHeight="1">
      <c r="A231" s="333"/>
      <c r="B231" s="333"/>
      <c r="E231" s="333"/>
      <c r="F231" s="333"/>
      <c r="G231" s="333"/>
      <c r="H231" s="333"/>
    </row>
    <row r="232" ht="15.75" customHeight="1">
      <c r="A232" s="333"/>
      <c r="B232" s="333"/>
      <c r="E232" s="333"/>
      <c r="F232" s="333"/>
      <c r="G232" s="333"/>
      <c r="H232" s="333"/>
    </row>
    <row r="233" ht="15.75" customHeight="1">
      <c r="A233" s="333"/>
      <c r="B233" s="333"/>
      <c r="E233" s="333"/>
      <c r="F233" s="333"/>
      <c r="G233" s="333"/>
      <c r="H233" s="333"/>
    </row>
    <row r="234" ht="15.75" customHeight="1">
      <c r="A234" s="333"/>
      <c r="B234" s="333"/>
      <c r="E234" s="333"/>
      <c r="F234" s="333"/>
      <c r="G234" s="333"/>
      <c r="H234" s="333"/>
    </row>
    <row r="235" ht="15.75" customHeight="1">
      <c r="A235" s="333"/>
      <c r="B235" s="333"/>
      <c r="E235" s="333"/>
      <c r="F235" s="333"/>
      <c r="G235" s="333"/>
      <c r="H235" s="333"/>
    </row>
    <row r="236" ht="15.75" customHeight="1">
      <c r="A236" s="333"/>
      <c r="B236" s="333"/>
      <c r="E236" s="333"/>
      <c r="F236" s="333"/>
      <c r="G236" s="333"/>
      <c r="H236" s="333"/>
    </row>
    <row r="237" ht="15.75" customHeight="1">
      <c r="A237" s="333"/>
      <c r="B237" s="333"/>
      <c r="E237" s="333"/>
      <c r="F237" s="333"/>
      <c r="G237" s="333"/>
      <c r="H237" s="333"/>
    </row>
    <row r="238" ht="15.75" customHeight="1"/>
    <row r="239" ht="15.75" customHeight="1">
      <c r="A239" s="332"/>
      <c r="B239" s="332"/>
      <c r="C239" s="332"/>
      <c r="D239" s="332"/>
      <c r="E239" s="332"/>
      <c r="F239" s="332"/>
      <c r="G239" s="332"/>
      <c r="H239" s="332"/>
    </row>
    <row r="240" ht="15.75" customHeight="1">
      <c r="A240" s="333"/>
      <c r="B240" s="333"/>
      <c r="E240" s="333"/>
      <c r="F240" s="333"/>
      <c r="G240" s="333"/>
      <c r="H240" s="333"/>
    </row>
    <row r="241" ht="15.75" customHeight="1">
      <c r="A241" s="333"/>
      <c r="B241" s="333"/>
      <c r="E241" s="333"/>
      <c r="F241" s="333"/>
      <c r="G241" s="333"/>
      <c r="H241" s="333"/>
    </row>
    <row r="242" ht="15.75" customHeight="1">
      <c r="A242" s="333"/>
      <c r="B242" s="333"/>
      <c r="E242" s="333"/>
      <c r="F242" s="333"/>
      <c r="G242" s="333"/>
      <c r="H242" s="333"/>
    </row>
    <row r="243" ht="15.75" customHeight="1">
      <c r="A243" s="333"/>
      <c r="B243" s="333"/>
      <c r="E243" s="333"/>
      <c r="F243" s="333"/>
      <c r="G243" s="333"/>
      <c r="H243" s="333"/>
    </row>
    <row r="244" ht="15.75" customHeight="1">
      <c r="A244" s="333"/>
      <c r="B244" s="333"/>
      <c r="E244" s="333"/>
      <c r="F244" s="333"/>
      <c r="G244" s="333"/>
      <c r="H244" s="333"/>
    </row>
    <row r="245" ht="15.75" customHeight="1">
      <c r="A245" s="333"/>
      <c r="C245" s="333"/>
      <c r="E245" s="333"/>
      <c r="F245" s="333"/>
      <c r="G245" s="333"/>
      <c r="H245" s="333"/>
    </row>
    <row r="246" ht="15.75" customHeight="1">
      <c r="A246" s="333"/>
      <c r="B246" s="333"/>
      <c r="E246" s="333"/>
      <c r="F246" s="333"/>
      <c r="G246" s="333"/>
      <c r="H246" s="333"/>
    </row>
    <row r="247" ht="15.75" customHeight="1">
      <c r="A247" s="333"/>
      <c r="B247" s="333"/>
      <c r="E247" s="333"/>
      <c r="F247" s="333"/>
      <c r="G247" s="333"/>
      <c r="H247" s="333"/>
    </row>
    <row r="248" ht="15.75" customHeight="1">
      <c r="A248" s="333"/>
      <c r="C248" s="333"/>
      <c r="E248" s="333"/>
      <c r="F248" s="333"/>
      <c r="G248" s="333"/>
      <c r="H248" s="333"/>
    </row>
    <row r="249" ht="15.75" customHeight="1">
      <c r="A249" s="333"/>
      <c r="D249" s="333"/>
      <c r="E249" s="333"/>
      <c r="F249" s="333"/>
      <c r="G249" s="333"/>
      <c r="H249" s="333"/>
    </row>
    <row r="250" ht="15.75" customHeight="1">
      <c r="A250" s="333"/>
      <c r="B250" s="333"/>
      <c r="E250" s="333"/>
      <c r="F250" s="333"/>
      <c r="G250" s="333"/>
      <c r="H250" s="333"/>
    </row>
    <row r="251" ht="15.75" customHeight="1">
      <c r="A251" s="333"/>
      <c r="B251" s="333"/>
      <c r="E251" s="333"/>
      <c r="F251" s="333"/>
      <c r="G251" s="333"/>
      <c r="H251" s="333"/>
    </row>
    <row r="252" ht="15.75" customHeight="1">
      <c r="A252" s="333"/>
      <c r="B252" s="333"/>
      <c r="E252" s="333"/>
      <c r="F252" s="333"/>
      <c r="G252" s="333"/>
      <c r="H252" s="333"/>
    </row>
    <row r="253" ht="15.75" customHeight="1">
      <c r="A253" s="333"/>
      <c r="B253" s="333"/>
      <c r="E253" s="333"/>
      <c r="F253" s="333"/>
      <c r="G253" s="333"/>
      <c r="H253" s="333"/>
    </row>
    <row r="254" ht="15.75" customHeight="1">
      <c r="A254" s="333"/>
      <c r="B254" s="333"/>
      <c r="E254" s="333"/>
      <c r="F254" s="333"/>
      <c r="G254" s="333"/>
      <c r="H254" s="333"/>
    </row>
    <row r="255" ht="15.75" customHeight="1">
      <c r="A255" s="333"/>
      <c r="B255" s="333"/>
      <c r="E255" s="333"/>
      <c r="F255" s="333"/>
      <c r="G255" s="333"/>
      <c r="H255" s="333"/>
    </row>
    <row r="256" ht="15.75" customHeight="1">
      <c r="A256" s="333"/>
      <c r="B256" s="333"/>
      <c r="E256" s="333"/>
      <c r="F256" s="333"/>
      <c r="G256" s="333"/>
      <c r="H256" s="333"/>
    </row>
    <row r="257" ht="15.75" customHeight="1">
      <c r="A257" s="333"/>
      <c r="B257" s="333"/>
      <c r="E257" s="333"/>
      <c r="F257" s="333"/>
      <c r="G257" s="333"/>
      <c r="H257" s="333"/>
    </row>
    <row r="258" ht="15.75" customHeight="1">
      <c r="A258" s="333"/>
      <c r="B258" s="333"/>
      <c r="E258" s="333"/>
      <c r="F258" s="333"/>
      <c r="G258" s="333"/>
      <c r="H258" s="333"/>
    </row>
    <row r="259" ht="15.75" customHeight="1">
      <c r="A259" s="333"/>
      <c r="B259" s="333"/>
      <c r="E259" s="333"/>
      <c r="G259" s="333"/>
      <c r="H259" s="333"/>
    </row>
    <row r="260" ht="15.75" customHeight="1">
      <c r="A260" s="333"/>
      <c r="B260" s="333"/>
      <c r="E260" s="333"/>
      <c r="G260" s="333"/>
      <c r="H260" s="333"/>
    </row>
    <row r="261" ht="15.75" customHeight="1">
      <c r="A261" s="333"/>
      <c r="B261" s="333"/>
      <c r="E261" s="333"/>
      <c r="G261" s="333"/>
      <c r="H261" s="333"/>
    </row>
    <row r="262" ht="15.75" customHeight="1">
      <c r="A262" s="333"/>
      <c r="B262" s="333"/>
      <c r="E262" s="333"/>
      <c r="G262" s="333"/>
      <c r="H262" s="333"/>
    </row>
    <row r="263" ht="15.75" customHeight="1">
      <c r="A263" s="333"/>
      <c r="B263" s="333"/>
      <c r="E263" s="333"/>
      <c r="G263" s="333"/>
      <c r="H263" s="333"/>
    </row>
    <row r="264" ht="15.75" customHeight="1">
      <c r="A264" s="333"/>
      <c r="B264" s="333"/>
      <c r="E264" s="333"/>
      <c r="G264" s="333"/>
      <c r="H264" s="333"/>
    </row>
    <row r="265" ht="15.75" customHeight="1">
      <c r="A265" s="333"/>
      <c r="B265" s="333"/>
      <c r="E265" s="333"/>
      <c r="G265" s="333"/>
      <c r="H265" s="333"/>
    </row>
    <row r="266" ht="15.75" customHeight="1">
      <c r="A266" s="333"/>
      <c r="B266" s="333"/>
      <c r="E266" s="333"/>
      <c r="G266" s="333"/>
      <c r="H266" s="333"/>
    </row>
    <row r="267" ht="15.75" customHeight="1">
      <c r="A267" s="333"/>
      <c r="B267" s="333"/>
      <c r="E267" s="333"/>
      <c r="G267" s="333"/>
      <c r="H267" s="333"/>
    </row>
    <row r="268" ht="15.75" customHeight="1">
      <c r="A268" s="333"/>
      <c r="B268" s="333"/>
      <c r="E268" s="333"/>
      <c r="G268" s="333"/>
      <c r="H268" s="333"/>
    </row>
    <row r="269" ht="15.75" customHeight="1">
      <c r="A269" s="333"/>
      <c r="B269" s="333"/>
      <c r="E269" s="333"/>
      <c r="G269" s="333"/>
      <c r="H269" s="333"/>
    </row>
    <row r="270" ht="15.75" customHeight="1">
      <c r="A270" s="333"/>
      <c r="B270" s="333"/>
      <c r="E270" s="333"/>
      <c r="G270" s="333"/>
      <c r="H270" s="333"/>
    </row>
    <row r="271" ht="15.75" customHeight="1">
      <c r="A271" s="333"/>
      <c r="B271" s="333"/>
      <c r="E271" s="333"/>
      <c r="G271" s="333"/>
      <c r="H271" s="333"/>
    </row>
    <row r="272" ht="15.75" customHeight="1">
      <c r="A272" s="333"/>
      <c r="B272" s="333"/>
      <c r="E272" s="333"/>
      <c r="G272" s="333"/>
      <c r="H272" s="333"/>
    </row>
    <row r="273" ht="15.75" customHeight="1">
      <c r="A273" s="333"/>
      <c r="B273" s="333"/>
      <c r="E273" s="333"/>
      <c r="G273" s="333"/>
      <c r="H273" s="333"/>
    </row>
    <row r="274" ht="15.75" customHeight="1">
      <c r="A274" s="333"/>
      <c r="B274" s="333"/>
      <c r="E274" s="333"/>
      <c r="G274" s="333"/>
      <c r="H274" s="333"/>
    </row>
    <row r="275" ht="15.75" customHeight="1">
      <c r="A275" s="333"/>
      <c r="B275" s="333"/>
      <c r="E275" s="333"/>
      <c r="G275" s="333"/>
      <c r="H275" s="333"/>
    </row>
    <row r="276" ht="15.75" customHeight="1">
      <c r="A276" s="333"/>
      <c r="B276" s="333"/>
      <c r="E276" s="333"/>
      <c r="G276" s="333"/>
      <c r="H276" s="333"/>
    </row>
    <row r="277" ht="15.75" customHeight="1">
      <c r="A277" s="333"/>
      <c r="B277" s="333"/>
      <c r="E277" s="333"/>
      <c r="G277" s="333"/>
      <c r="H277" s="333"/>
    </row>
    <row r="278" ht="15.75" customHeight="1">
      <c r="A278" s="333"/>
      <c r="B278" s="333"/>
      <c r="E278" s="333"/>
      <c r="G278" s="333"/>
      <c r="H278" s="333"/>
    </row>
    <row r="279" ht="15.75" customHeight="1">
      <c r="A279" s="333"/>
      <c r="B279" s="333"/>
      <c r="E279" s="333"/>
      <c r="G279" s="333"/>
      <c r="H279" s="333"/>
    </row>
    <row r="280" ht="15.75" customHeight="1">
      <c r="A280" s="333"/>
      <c r="B280" s="333"/>
      <c r="E280" s="333"/>
      <c r="G280" s="333"/>
      <c r="H280" s="333"/>
    </row>
    <row r="281" ht="15.75" customHeight="1">
      <c r="A281" s="333"/>
      <c r="B281" s="333"/>
      <c r="E281" s="333"/>
      <c r="G281" s="333"/>
      <c r="H281" s="333"/>
    </row>
    <row r="282" ht="15.75" customHeight="1">
      <c r="A282" s="333"/>
      <c r="B282" s="333"/>
      <c r="E282" s="333"/>
      <c r="G282" s="333"/>
      <c r="H282" s="333"/>
    </row>
    <row r="283" ht="15.75" customHeight="1">
      <c r="A283" s="333"/>
      <c r="B283" s="333"/>
      <c r="E283" s="333"/>
      <c r="G283" s="333"/>
      <c r="H283" s="333"/>
    </row>
    <row r="284" ht="15.75" customHeight="1">
      <c r="A284" s="333"/>
      <c r="B284" s="333"/>
      <c r="E284" s="333"/>
      <c r="G284" s="333"/>
      <c r="H284" s="333"/>
    </row>
    <row r="285" ht="15.75" customHeight="1">
      <c r="A285" s="333"/>
      <c r="B285" s="333"/>
      <c r="E285" s="333"/>
      <c r="G285" s="333"/>
      <c r="H285" s="333"/>
    </row>
    <row r="286" ht="15.75" customHeight="1">
      <c r="A286" s="333"/>
      <c r="B286" s="333"/>
      <c r="E286" s="333"/>
      <c r="G286" s="333"/>
      <c r="H286" s="333"/>
    </row>
    <row r="287" ht="15.75" customHeight="1">
      <c r="A287" s="333"/>
      <c r="B287" s="333"/>
      <c r="E287" s="333"/>
      <c r="G287" s="333"/>
      <c r="H287" s="333"/>
    </row>
    <row r="288" ht="15.75" customHeight="1">
      <c r="A288" s="333"/>
      <c r="B288" s="333"/>
      <c r="E288" s="333"/>
      <c r="G288" s="333"/>
      <c r="H288" s="333"/>
    </row>
    <row r="289" ht="15.75" customHeight="1">
      <c r="A289" s="333"/>
      <c r="B289" s="333"/>
      <c r="E289" s="333"/>
      <c r="G289" s="333"/>
      <c r="H289" s="333"/>
    </row>
    <row r="290" ht="15.75" customHeight="1">
      <c r="A290" s="333"/>
      <c r="B290" s="333"/>
      <c r="E290" s="333"/>
      <c r="G290" s="333"/>
      <c r="H290" s="333"/>
    </row>
    <row r="291" ht="15.75" customHeight="1">
      <c r="A291" s="333"/>
      <c r="B291" s="333"/>
      <c r="E291" s="333"/>
      <c r="G291" s="333"/>
      <c r="H291" s="333"/>
    </row>
    <row r="292" ht="15.75" customHeight="1">
      <c r="A292" s="333"/>
      <c r="B292" s="333"/>
      <c r="E292" s="333"/>
      <c r="G292" s="333"/>
      <c r="H292" s="333"/>
    </row>
    <row r="293" ht="15.75" customHeight="1">
      <c r="A293" s="333"/>
      <c r="B293" s="333"/>
      <c r="E293" s="333"/>
      <c r="G293" s="333"/>
      <c r="H293" s="333"/>
    </row>
    <row r="294" ht="15.75" customHeight="1">
      <c r="A294" s="333"/>
      <c r="B294" s="333"/>
      <c r="E294" s="333"/>
      <c r="G294" s="333"/>
      <c r="H294" s="333"/>
    </row>
    <row r="295" ht="15.75" customHeight="1">
      <c r="A295" s="333"/>
      <c r="B295" s="333"/>
      <c r="E295" s="333"/>
      <c r="G295" s="333"/>
      <c r="H295" s="333"/>
    </row>
    <row r="296" ht="15.75" customHeight="1">
      <c r="A296" s="333"/>
      <c r="B296" s="333"/>
      <c r="E296" s="333"/>
      <c r="G296" s="333"/>
      <c r="H296" s="333"/>
    </row>
    <row r="297" ht="15.75" customHeight="1">
      <c r="A297" s="333"/>
      <c r="B297" s="333"/>
      <c r="E297" s="333"/>
      <c r="G297" s="333"/>
      <c r="H297" s="333"/>
    </row>
    <row r="298" ht="15.75" customHeight="1">
      <c r="A298" s="333"/>
      <c r="B298" s="333"/>
      <c r="E298" s="333"/>
      <c r="G298" s="333"/>
      <c r="H298" s="333"/>
    </row>
    <row r="299" ht="15.75" customHeight="1">
      <c r="A299" s="333"/>
      <c r="B299" s="333"/>
      <c r="E299" s="333"/>
      <c r="G299" s="333"/>
      <c r="H299" s="333"/>
    </row>
    <row r="300" ht="15.75" customHeight="1">
      <c r="A300" s="333"/>
      <c r="B300" s="333"/>
      <c r="E300" s="333"/>
      <c r="G300" s="333"/>
      <c r="H300" s="333"/>
    </row>
    <row r="301" ht="15.75" customHeight="1">
      <c r="A301" s="333"/>
      <c r="B301" s="333"/>
      <c r="E301" s="333"/>
      <c r="G301" s="333"/>
      <c r="H301" s="333"/>
    </row>
    <row r="302" ht="15.75" customHeight="1">
      <c r="A302" s="333"/>
      <c r="B302" s="333"/>
      <c r="E302" s="333"/>
      <c r="G302" s="333"/>
      <c r="H302" s="333"/>
    </row>
    <row r="303" ht="15.75" customHeight="1">
      <c r="A303" s="333"/>
      <c r="B303" s="333"/>
      <c r="E303" s="333"/>
      <c r="G303" s="333"/>
      <c r="H303" s="333"/>
    </row>
    <row r="304" ht="15.75" customHeight="1">
      <c r="A304" s="333"/>
      <c r="B304" s="333"/>
      <c r="E304" s="333"/>
      <c r="G304" s="333"/>
      <c r="H304" s="333"/>
    </row>
    <row r="305" ht="15.75" customHeight="1">
      <c r="A305" s="333"/>
      <c r="B305" s="333"/>
      <c r="E305" s="333"/>
      <c r="G305" s="333"/>
      <c r="H305" s="333"/>
    </row>
    <row r="306" ht="15.75" customHeight="1">
      <c r="A306" s="333"/>
      <c r="B306" s="333"/>
      <c r="E306" s="333"/>
      <c r="G306" s="333"/>
      <c r="H306" s="333"/>
    </row>
    <row r="307" ht="15.75" customHeight="1">
      <c r="A307" s="333"/>
      <c r="B307" s="333"/>
      <c r="E307" s="333"/>
      <c r="G307" s="333"/>
      <c r="H307" s="333"/>
    </row>
    <row r="308" ht="15.75" customHeight="1">
      <c r="A308" s="333"/>
      <c r="B308" s="333"/>
      <c r="E308" s="333"/>
      <c r="G308" s="333"/>
      <c r="H308" s="333"/>
    </row>
    <row r="309" ht="15.75" customHeight="1">
      <c r="A309" s="333"/>
      <c r="B309" s="333"/>
      <c r="E309" s="333"/>
      <c r="G309" s="333"/>
      <c r="H309" s="333"/>
    </row>
    <row r="310" ht="15.75" customHeight="1">
      <c r="A310" s="333"/>
      <c r="B310" s="333"/>
      <c r="E310" s="333"/>
      <c r="G310" s="333"/>
      <c r="H310" s="333"/>
    </row>
    <row r="311" ht="15.75" customHeight="1">
      <c r="A311" s="333"/>
      <c r="B311" s="333"/>
      <c r="E311" s="333"/>
      <c r="G311" s="333"/>
      <c r="H311" s="333"/>
    </row>
    <row r="312" ht="15.75" customHeight="1">
      <c r="A312" s="333"/>
      <c r="B312" s="333"/>
      <c r="E312" s="333"/>
      <c r="G312" s="333"/>
      <c r="H312" s="333"/>
    </row>
    <row r="313" ht="15.75" customHeight="1">
      <c r="A313" s="333"/>
      <c r="B313" s="333"/>
      <c r="E313" s="333"/>
      <c r="G313" s="333"/>
      <c r="H313" s="333"/>
    </row>
    <row r="314" ht="15.75" customHeight="1">
      <c r="A314" s="333"/>
      <c r="B314" s="333"/>
      <c r="E314" s="333"/>
      <c r="G314" s="333"/>
      <c r="H314" s="333"/>
    </row>
    <row r="315" ht="15.75" customHeight="1">
      <c r="A315" s="333"/>
      <c r="B315" s="333"/>
      <c r="E315" s="333"/>
      <c r="G315" s="333"/>
      <c r="H315" s="333"/>
    </row>
    <row r="316" ht="15.75" customHeight="1">
      <c r="A316" s="333"/>
      <c r="B316" s="333"/>
      <c r="E316" s="333"/>
      <c r="G316" s="333"/>
      <c r="H316" s="333"/>
    </row>
    <row r="317" ht="15.75" customHeight="1">
      <c r="A317" s="333"/>
      <c r="B317" s="333"/>
      <c r="E317" s="333"/>
      <c r="G317" s="333"/>
      <c r="H317" s="333"/>
    </row>
    <row r="318" ht="15.75" customHeight="1">
      <c r="A318" s="333"/>
      <c r="B318" s="333"/>
      <c r="E318" s="333"/>
      <c r="G318" s="333"/>
      <c r="H318" s="333"/>
    </row>
    <row r="319" ht="15.75" customHeight="1">
      <c r="A319" s="333"/>
      <c r="B319" s="333"/>
      <c r="E319" s="333"/>
      <c r="G319" s="333"/>
      <c r="H319" s="333"/>
    </row>
    <row r="320" ht="15.75" customHeight="1">
      <c r="A320" s="333"/>
      <c r="B320" s="333"/>
      <c r="E320" s="333"/>
      <c r="G320" s="333"/>
      <c r="H320" s="333"/>
    </row>
    <row r="321" ht="15.75" customHeight="1">
      <c r="A321" s="333"/>
      <c r="B321" s="333"/>
      <c r="E321" s="333"/>
      <c r="G321" s="333"/>
      <c r="H321" s="333"/>
    </row>
    <row r="322" ht="15.75" customHeight="1">
      <c r="A322" s="333"/>
      <c r="B322" s="333"/>
      <c r="E322" s="333"/>
      <c r="G322" s="333"/>
      <c r="H322" s="333"/>
    </row>
    <row r="323" ht="15.75" customHeight="1">
      <c r="A323" s="333"/>
      <c r="D323" s="333"/>
      <c r="E323" s="333"/>
      <c r="F323" s="333"/>
      <c r="G323" s="333"/>
      <c r="H323" s="333"/>
    </row>
    <row r="324" ht="15.75" customHeight="1">
      <c r="A324" s="333"/>
      <c r="D324" s="333"/>
      <c r="E324" s="333"/>
      <c r="F324" s="333"/>
      <c r="G324" s="333"/>
      <c r="H324" s="333"/>
    </row>
    <row r="325" ht="15.75" customHeight="1">
      <c r="A325" s="333"/>
      <c r="D325" s="333"/>
      <c r="E325" s="333"/>
      <c r="F325" s="333"/>
      <c r="G325" s="333"/>
      <c r="H325" s="333"/>
    </row>
    <row r="326" ht="15.75" customHeight="1">
      <c r="A326" s="333"/>
      <c r="D326" s="333"/>
      <c r="E326" s="333"/>
      <c r="F326" s="333"/>
      <c r="G326" s="333"/>
      <c r="H326" s="333"/>
    </row>
    <row r="327" ht="15.75" customHeight="1">
      <c r="A327" s="333"/>
      <c r="D327" s="333"/>
      <c r="E327" s="333"/>
      <c r="F327" s="333"/>
      <c r="G327" s="333"/>
      <c r="H327" s="333"/>
    </row>
    <row r="328" ht="15.75" customHeight="1">
      <c r="A328" s="333"/>
      <c r="D328" s="333"/>
      <c r="E328" s="333"/>
      <c r="F328" s="333"/>
      <c r="G328" s="333"/>
      <c r="H328" s="333"/>
    </row>
    <row r="329" ht="15.75" customHeight="1">
      <c r="A329" s="333"/>
      <c r="B329" s="333"/>
      <c r="E329" s="333"/>
      <c r="F329" s="333"/>
      <c r="G329" s="333"/>
      <c r="H329" s="333"/>
    </row>
    <row r="330" ht="15.75" customHeight="1">
      <c r="A330" s="333"/>
      <c r="B330" s="333"/>
      <c r="E330" s="333"/>
      <c r="F330" s="333"/>
      <c r="G330" s="333"/>
      <c r="H330" s="333"/>
    </row>
    <row r="331" ht="15.75" customHeight="1">
      <c r="A331" s="333"/>
      <c r="B331" s="333"/>
      <c r="E331" s="333"/>
      <c r="F331" s="333"/>
      <c r="G331" s="333"/>
      <c r="H331" s="333"/>
    </row>
    <row r="332" ht="15.75" customHeight="1">
      <c r="A332" s="333"/>
      <c r="B332" s="333"/>
      <c r="E332" s="333"/>
      <c r="F332" s="333"/>
      <c r="G332" s="333"/>
      <c r="H332" s="333"/>
    </row>
    <row r="333" ht="15.75" customHeight="1">
      <c r="A333" s="333"/>
      <c r="B333" s="333"/>
      <c r="E333" s="333"/>
      <c r="F333" s="333"/>
      <c r="G333" s="333"/>
      <c r="H333" s="333"/>
    </row>
    <row r="334" ht="15.75" customHeight="1">
      <c r="A334" s="333"/>
      <c r="B334" s="333"/>
      <c r="E334" s="333"/>
      <c r="F334" s="333"/>
      <c r="G334" s="333"/>
      <c r="H334" s="333"/>
    </row>
    <row r="335" ht="15.75" customHeight="1">
      <c r="A335" s="333"/>
      <c r="B335" s="333"/>
      <c r="E335" s="333"/>
      <c r="F335" s="333"/>
      <c r="G335" s="333"/>
      <c r="H335" s="333"/>
    </row>
    <row r="336" ht="15.75" customHeight="1">
      <c r="A336" s="333"/>
      <c r="D336" s="333"/>
      <c r="E336" s="333"/>
      <c r="F336" s="333"/>
      <c r="G336" s="333"/>
      <c r="H336" s="333"/>
    </row>
    <row r="337" ht="15.75" customHeight="1">
      <c r="A337" s="333"/>
      <c r="D337" s="333"/>
      <c r="E337" s="333"/>
      <c r="F337" s="333"/>
      <c r="G337" s="333"/>
      <c r="H337" s="333"/>
    </row>
    <row r="338" ht="15.75" customHeight="1">
      <c r="A338" s="333"/>
      <c r="D338" s="333"/>
      <c r="E338" s="333"/>
      <c r="F338" s="333"/>
      <c r="G338" s="333"/>
      <c r="H338" s="333"/>
    </row>
    <row r="339" ht="15.75" customHeight="1">
      <c r="A339" s="333"/>
      <c r="D339" s="333"/>
      <c r="E339" s="333"/>
      <c r="F339" s="333"/>
      <c r="G339" s="333"/>
      <c r="H339" s="333"/>
    </row>
    <row r="340" ht="15.75" customHeight="1">
      <c r="A340" s="333"/>
      <c r="D340" s="333"/>
      <c r="E340" s="333"/>
      <c r="F340" s="333"/>
      <c r="G340" s="333"/>
      <c r="H340" s="333"/>
    </row>
    <row r="341" ht="15.75" customHeight="1">
      <c r="A341" s="333"/>
      <c r="D341" s="333"/>
      <c r="E341" s="333"/>
      <c r="F341" s="333"/>
      <c r="G341" s="333"/>
      <c r="H341" s="333"/>
    </row>
    <row r="342" ht="15.75" customHeight="1">
      <c r="A342" s="333"/>
      <c r="D342" s="333"/>
      <c r="E342" s="333"/>
      <c r="F342" s="333"/>
      <c r="G342" s="333"/>
      <c r="H342" s="333"/>
    </row>
    <row r="343" ht="15.75" customHeight="1">
      <c r="A343" s="333"/>
      <c r="D343" s="333"/>
      <c r="E343" s="333"/>
      <c r="F343" s="333"/>
      <c r="G343" s="333"/>
      <c r="H343" s="333"/>
    </row>
    <row r="344" ht="15.75" customHeight="1">
      <c r="A344" s="333"/>
      <c r="B344" s="333"/>
      <c r="E344" s="333"/>
      <c r="F344" s="333"/>
      <c r="G344" s="333"/>
      <c r="H344" s="333"/>
    </row>
    <row r="345" ht="15.75" customHeight="1">
      <c r="A345" s="333"/>
      <c r="B345" s="333"/>
      <c r="E345" s="333"/>
      <c r="F345" s="333"/>
      <c r="G345" s="333"/>
      <c r="H345" s="333"/>
    </row>
    <row r="346" ht="15.75" customHeight="1">
      <c r="A346" s="333"/>
      <c r="B346" s="333"/>
      <c r="E346" s="333"/>
      <c r="F346" s="333"/>
      <c r="G346" s="333"/>
      <c r="H346" s="333"/>
    </row>
    <row r="347" ht="15.75" customHeight="1">
      <c r="A347" s="333"/>
      <c r="D347" s="333"/>
      <c r="E347" s="333"/>
      <c r="F347" s="333"/>
      <c r="G347" s="333"/>
      <c r="H347" s="333"/>
    </row>
    <row r="348" ht="15.75" customHeight="1">
      <c r="A348" s="333"/>
      <c r="B348" s="333"/>
      <c r="E348" s="333"/>
      <c r="F348" s="333"/>
      <c r="G348" s="333"/>
      <c r="H348" s="333"/>
    </row>
    <row r="349" ht="15.75" customHeight="1">
      <c r="A349" s="333"/>
      <c r="B349" s="333"/>
      <c r="E349" s="333"/>
      <c r="F349" s="333"/>
      <c r="G349" s="333"/>
      <c r="H349" s="333"/>
    </row>
    <row r="350" ht="15.75" customHeight="1">
      <c r="A350" s="333"/>
      <c r="B350" s="333"/>
      <c r="E350" s="333"/>
      <c r="F350" s="333"/>
      <c r="G350" s="333"/>
      <c r="H350" s="333"/>
    </row>
    <row r="351" ht="15.75" customHeight="1">
      <c r="A351" s="333"/>
      <c r="B351" s="333"/>
      <c r="E351" s="333"/>
      <c r="F351" s="333"/>
      <c r="G351" s="333"/>
      <c r="H351" s="333"/>
    </row>
    <row r="352" ht="15.75" customHeight="1">
      <c r="A352" s="333"/>
      <c r="B352" s="333"/>
      <c r="E352" s="333"/>
      <c r="F352" s="333"/>
      <c r="G352" s="333"/>
      <c r="H352" s="333"/>
    </row>
    <row r="353" ht="15.75" customHeight="1">
      <c r="A353" s="333"/>
      <c r="B353" s="333"/>
      <c r="E353" s="333"/>
      <c r="F353" s="333"/>
      <c r="G353" s="333"/>
      <c r="H353" s="333"/>
    </row>
    <row r="354" ht="15.75" customHeight="1">
      <c r="A354" s="333"/>
      <c r="B354" s="333"/>
      <c r="E354" s="333"/>
      <c r="F354" s="333"/>
      <c r="G354" s="333"/>
      <c r="H354" s="333"/>
    </row>
    <row r="355" ht="15.75" customHeight="1">
      <c r="A355" s="333"/>
      <c r="B355" s="333"/>
      <c r="E355" s="333"/>
      <c r="F355" s="333"/>
      <c r="G355" s="333"/>
      <c r="H355" s="333"/>
    </row>
    <row r="356" ht="15.75" customHeight="1"/>
    <row r="357" ht="15.75" customHeight="1">
      <c r="A357" s="332"/>
      <c r="B357" s="332"/>
      <c r="C357" s="332"/>
      <c r="D357" s="332"/>
      <c r="E357" s="332"/>
      <c r="F357" s="332"/>
      <c r="G357" s="332"/>
      <c r="H357" s="332"/>
    </row>
    <row r="358" ht="15.75" customHeight="1">
      <c r="A358" s="333"/>
      <c r="B358" s="333"/>
      <c r="E358" s="333"/>
      <c r="F358" s="333"/>
      <c r="G358" s="333"/>
      <c r="H358" s="333"/>
    </row>
    <row r="359" ht="15.75" customHeight="1">
      <c r="A359" s="333"/>
      <c r="B359" s="333"/>
      <c r="E359" s="333"/>
      <c r="F359" s="333"/>
      <c r="G359" s="333"/>
      <c r="H359" s="333"/>
    </row>
    <row r="360" ht="15.75" customHeight="1">
      <c r="A360" s="333"/>
      <c r="B360" s="333"/>
      <c r="E360" s="333"/>
      <c r="F360" s="333"/>
      <c r="G360" s="333"/>
      <c r="H360" s="333"/>
    </row>
    <row r="361" ht="15.75" customHeight="1">
      <c r="A361" s="333"/>
      <c r="B361" s="333"/>
      <c r="E361" s="333"/>
      <c r="F361" s="333"/>
      <c r="G361" s="333"/>
      <c r="H361" s="333"/>
    </row>
    <row r="362" ht="15.75" customHeight="1">
      <c r="A362" s="333"/>
      <c r="B362" s="333"/>
      <c r="E362" s="333"/>
      <c r="F362" s="333"/>
      <c r="G362" s="333"/>
      <c r="H362" s="333"/>
    </row>
    <row r="363" ht="15.75" customHeight="1">
      <c r="A363" s="333"/>
      <c r="C363" s="333"/>
      <c r="E363" s="333"/>
      <c r="F363" s="333"/>
      <c r="G363" s="333"/>
      <c r="H363" s="333"/>
    </row>
    <row r="364" ht="15.75" customHeight="1">
      <c r="A364" s="333"/>
      <c r="B364" s="333"/>
      <c r="E364" s="333"/>
      <c r="F364" s="333"/>
      <c r="G364" s="333"/>
      <c r="H364" s="333"/>
    </row>
    <row r="365" ht="15.75" customHeight="1">
      <c r="A365" s="333"/>
      <c r="B365" s="333"/>
      <c r="E365" s="333"/>
      <c r="F365" s="333"/>
      <c r="G365" s="333"/>
      <c r="H365" s="333"/>
    </row>
    <row r="366" ht="15.75" customHeight="1">
      <c r="A366" s="333"/>
      <c r="C366" s="333"/>
      <c r="E366" s="333"/>
      <c r="F366" s="333"/>
      <c r="G366" s="333"/>
      <c r="H366" s="333"/>
    </row>
    <row r="367" ht="15.75" customHeight="1">
      <c r="A367" s="333"/>
      <c r="D367" s="333"/>
      <c r="E367" s="333"/>
      <c r="F367" s="333"/>
      <c r="G367" s="333"/>
      <c r="H367" s="333"/>
    </row>
    <row r="368" ht="15.75" customHeight="1">
      <c r="A368" s="333"/>
      <c r="B368" s="333"/>
      <c r="E368" s="333"/>
      <c r="F368" s="333"/>
      <c r="G368" s="333"/>
      <c r="H368" s="333"/>
    </row>
    <row r="369" ht="15.75" customHeight="1">
      <c r="A369" s="333"/>
      <c r="B369" s="333"/>
      <c r="E369" s="333"/>
      <c r="F369" s="333"/>
      <c r="G369" s="333"/>
      <c r="H369" s="333"/>
    </row>
    <row r="370" ht="15.75" customHeight="1">
      <c r="A370" s="333"/>
      <c r="B370" s="333"/>
      <c r="E370" s="333"/>
      <c r="F370" s="333"/>
      <c r="G370" s="333"/>
      <c r="H370" s="333"/>
    </row>
    <row r="371" ht="15.75" customHeight="1">
      <c r="A371" s="333"/>
      <c r="B371" s="333"/>
      <c r="E371" s="333"/>
      <c r="F371" s="333"/>
      <c r="G371" s="333"/>
      <c r="H371" s="333"/>
    </row>
    <row r="372" ht="15.75" customHeight="1">
      <c r="A372" s="333"/>
      <c r="B372" s="333"/>
      <c r="E372" s="333"/>
      <c r="F372" s="333"/>
      <c r="G372" s="333"/>
      <c r="H372" s="333"/>
    </row>
    <row r="373" ht="15.75" customHeight="1">
      <c r="A373" s="333"/>
      <c r="B373" s="333"/>
      <c r="E373" s="333"/>
      <c r="F373" s="333"/>
      <c r="G373" s="333"/>
      <c r="H373" s="333"/>
    </row>
    <row r="374" ht="15.75" customHeight="1">
      <c r="A374" s="333"/>
      <c r="B374" s="333"/>
      <c r="E374" s="333"/>
      <c r="F374" s="333"/>
      <c r="G374" s="333"/>
      <c r="H374" s="333"/>
    </row>
    <row r="375" ht="15.75" customHeight="1">
      <c r="A375" s="333"/>
      <c r="B375" s="333"/>
      <c r="E375" s="333"/>
      <c r="F375" s="333"/>
      <c r="G375" s="333"/>
      <c r="H375" s="333"/>
    </row>
    <row r="376" ht="15.75" customHeight="1">
      <c r="A376" s="333"/>
      <c r="B376" s="333"/>
      <c r="E376" s="333"/>
      <c r="F376" s="333"/>
      <c r="G376" s="333"/>
      <c r="H376" s="333"/>
    </row>
    <row r="377" ht="15.75" customHeight="1">
      <c r="A377" s="333"/>
      <c r="B377" s="333"/>
      <c r="E377" s="333"/>
      <c r="G377" s="333"/>
      <c r="H377" s="333"/>
    </row>
    <row r="378" ht="15.75" customHeight="1">
      <c r="A378" s="333"/>
      <c r="B378" s="333"/>
      <c r="E378" s="333"/>
      <c r="G378" s="333"/>
      <c r="H378" s="333"/>
    </row>
    <row r="379" ht="15.75" customHeight="1">
      <c r="A379" s="333"/>
      <c r="B379" s="333"/>
      <c r="E379" s="333"/>
      <c r="G379" s="333"/>
      <c r="H379" s="333"/>
    </row>
    <row r="380" ht="15.75" customHeight="1">
      <c r="A380" s="333"/>
      <c r="B380" s="333"/>
      <c r="E380" s="333"/>
      <c r="G380" s="333"/>
      <c r="H380" s="333"/>
    </row>
    <row r="381" ht="15.75" customHeight="1">
      <c r="A381" s="333"/>
      <c r="B381" s="333"/>
      <c r="E381" s="333"/>
      <c r="G381" s="333"/>
      <c r="H381" s="333"/>
    </row>
    <row r="382" ht="15.75" customHeight="1">
      <c r="A382" s="333"/>
      <c r="B382" s="333"/>
      <c r="E382" s="333"/>
      <c r="G382" s="333"/>
      <c r="H382" s="333"/>
    </row>
    <row r="383" ht="15.75" customHeight="1">
      <c r="A383" s="333"/>
      <c r="B383" s="333"/>
      <c r="E383" s="333"/>
      <c r="G383" s="333"/>
      <c r="H383" s="333"/>
    </row>
    <row r="384" ht="15.75" customHeight="1">
      <c r="A384" s="333"/>
      <c r="B384" s="333"/>
      <c r="E384" s="333"/>
      <c r="G384" s="333"/>
      <c r="H384" s="333"/>
    </row>
    <row r="385" ht="15.75" customHeight="1">
      <c r="A385" s="333"/>
      <c r="B385" s="333"/>
      <c r="E385" s="333"/>
      <c r="G385" s="333"/>
      <c r="H385" s="333"/>
    </row>
    <row r="386" ht="15.75" customHeight="1">
      <c r="A386" s="333"/>
      <c r="B386" s="333"/>
      <c r="E386" s="333"/>
      <c r="G386" s="333"/>
      <c r="H386" s="333"/>
    </row>
    <row r="387" ht="15.75" customHeight="1">
      <c r="A387" s="333"/>
      <c r="B387" s="333"/>
      <c r="E387" s="333"/>
      <c r="G387" s="333"/>
      <c r="H387" s="333"/>
    </row>
    <row r="388" ht="15.75" customHeight="1">
      <c r="A388" s="333"/>
      <c r="B388" s="333"/>
      <c r="E388" s="333"/>
      <c r="G388" s="333"/>
      <c r="H388" s="333"/>
    </row>
    <row r="389" ht="15.75" customHeight="1">
      <c r="A389" s="333"/>
      <c r="B389" s="333"/>
      <c r="E389" s="333"/>
      <c r="G389" s="333"/>
      <c r="H389" s="333"/>
    </row>
    <row r="390" ht="15.75" customHeight="1">
      <c r="A390" s="333"/>
      <c r="B390" s="333"/>
      <c r="E390" s="333"/>
      <c r="G390" s="333"/>
      <c r="H390" s="333"/>
    </row>
    <row r="391" ht="15.75" customHeight="1">
      <c r="A391" s="333"/>
      <c r="B391" s="333"/>
      <c r="E391" s="333"/>
      <c r="G391" s="333"/>
      <c r="H391" s="333"/>
    </row>
    <row r="392" ht="15.75" customHeight="1">
      <c r="A392" s="333"/>
      <c r="B392" s="333"/>
      <c r="E392" s="333"/>
      <c r="G392" s="333"/>
      <c r="H392" s="333"/>
    </row>
    <row r="393" ht="15.75" customHeight="1">
      <c r="A393" s="333"/>
      <c r="B393" s="333"/>
      <c r="E393" s="333"/>
      <c r="G393" s="333"/>
      <c r="H393" s="333"/>
    </row>
    <row r="394" ht="15.75" customHeight="1">
      <c r="A394" s="333"/>
      <c r="B394" s="333"/>
      <c r="E394" s="333"/>
      <c r="G394" s="333"/>
      <c r="H394" s="333"/>
    </row>
    <row r="395" ht="15.75" customHeight="1">
      <c r="A395" s="333"/>
      <c r="B395" s="333"/>
      <c r="E395" s="333"/>
      <c r="G395" s="333"/>
      <c r="H395" s="333"/>
    </row>
    <row r="396" ht="15.75" customHeight="1">
      <c r="A396" s="333"/>
      <c r="B396" s="333"/>
      <c r="E396" s="333"/>
      <c r="G396" s="333"/>
      <c r="H396" s="333"/>
    </row>
    <row r="397" ht="15.75" customHeight="1">
      <c r="A397" s="333"/>
      <c r="B397" s="333"/>
      <c r="E397" s="333"/>
      <c r="G397" s="333"/>
      <c r="H397" s="333"/>
    </row>
    <row r="398" ht="15.75" customHeight="1">
      <c r="A398" s="333"/>
      <c r="B398" s="333"/>
      <c r="E398" s="333"/>
      <c r="G398" s="333"/>
      <c r="H398" s="333"/>
    </row>
    <row r="399" ht="15.75" customHeight="1">
      <c r="A399" s="333"/>
      <c r="B399" s="333"/>
      <c r="E399" s="333"/>
      <c r="G399" s="333"/>
      <c r="H399" s="333"/>
    </row>
    <row r="400" ht="15.75" customHeight="1">
      <c r="A400" s="333"/>
      <c r="B400" s="333"/>
      <c r="E400" s="333"/>
      <c r="G400" s="333"/>
      <c r="H400" s="333"/>
    </row>
    <row r="401" ht="15.75" customHeight="1">
      <c r="A401" s="333"/>
      <c r="B401" s="333"/>
      <c r="E401" s="333"/>
      <c r="G401" s="333"/>
      <c r="H401" s="333"/>
    </row>
    <row r="402" ht="15.75" customHeight="1">
      <c r="A402" s="333"/>
      <c r="B402" s="333"/>
      <c r="E402" s="333"/>
      <c r="G402" s="333"/>
      <c r="H402" s="333"/>
    </row>
    <row r="403" ht="15.75" customHeight="1">
      <c r="A403" s="333"/>
      <c r="B403" s="333"/>
      <c r="E403" s="333"/>
      <c r="G403" s="333"/>
      <c r="H403" s="333"/>
    </row>
    <row r="404" ht="15.75" customHeight="1">
      <c r="A404" s="333"/>
      <c r="B404" s="333"/>
      <c r="E404" s="333"/>
      <c r="G404" s="333"/>
      <c r="H404" s="333"/>
    </row>
    <row r="405" ht="15.75" customHeight="1">
      <c r="A405" s="333"/>
      <c r="B405" s="333"/>
      <c r="E405" s="333"/>
      <c r="G405" s="333"/>
      <c r="H405" s="333"/>
    </row>
    <row r="406" ht="15.75" customHeight="1">
      <c r="A406" s="333"/>
      <c r="B406" s="333"/>
      <c r="E406" s="333"/>
      <c r="G406" s="333"/>
      <c r="H406" s="333"/>
    </row>
    <row r="407" ht="15.75" customHeight="1">
      <c r="A407" s="333"/>
      <c r="B407" s="333"/>
      <c r="E407" s="333"/>
      <c r="G407" s="333"/>
      <c r="H407" s="333"/>
    </row>
    <row r="408" ht="15.75" customHeight="1">
      <c r="A408" s="333"/>
      <c r="B408" s="333"/>
      <c r="E408" s="333"/>
      <c r="G408" s="333"/>
      <c r="H408" s="333"/>
    </row>
    <row r="409" ht="15.75" customHeight="1">
      <c r="A409" s="333"/>
      <c r="B409" s="333"/>
      <c r="E409" s="333"/>
      <c r="G409" s="333"/>
      <c r="H409" s="333"/>
    </row>
    <row r="410" ht="15.75" customHeight="1">
      <c r="A410" s="333"/>
      <c r="B410" s="333"/>
      <c r="E410" s="333"/>
      <c r="G410" s="333"/>
      <c r="H410" s="333"/>
    </row>
    <row r="411" ht="15.75" customHeight="1">
      <c r="A411" s="333"/>
      <c r="B411" s="333"/>
      <c r="E411" s="333"/>
      <c r="G411" s="333"/>
      <c r="H411" s="333"/>
    </row>
    <row r="412" ht="15.75" customHeight="1">
      <c r="A412" s="333"/>
      <c r="B412" s="333"/>
      <c r="E412" s="333"/>
      <c r="G412" s="333"/>
      <c r="H412" s="333"/>
    </row>
    <row r="413" ht="15.75" customHeight="1">
      <c r="A413" s="333"/>
      <c r="B413" s="333"/>
      <c r="E413" s="333"/>
      <c r="G413" s="333"/>
      <c r="H413" s="333"/>
    </row>
    <row r="414" ht="15.75" customHeight="1">
      <c r="A414" s="333"/>
      <c r="B414" s="333"/>
      <c r="E414" s="333"/>
      <c r="G414" s="333"/>
      <c r="H414" s="333"/>
    </row>
    <row r="415" ht="15.75" customHeight="1">
      <c r="A415" s="333"/>
      <c r="B415" s="333"/>
      <c r="E415" s="333"/>
      <c r="G415" s="333"/>
      <c r="H415" s="333"/>
    </row>
    <row r="416" ht="15.75" customHeight="1">
      <c r="A416" s="333"/>
      <c r="B416" s="333"/>
      <c r="E416" s="333"/>
      <c r="G416" s="333"/>
      <c r="H416" s="333"/>
    </row>
    <row r="417" ht="15.75" customHeight="1">
      <c r="A417" s="333"/>
      <c r="B417" s="333"/>
      <c r="E417" s="333"/>
      <c r="G417" s="333"/>
      <c r="H417" s="333"/>
    </row>
    <row r="418" ht="15.75" customHeight="1">
      <c r="A418" s="333"/>
      <c r="B418" s="333"/>
      <c r="E418" s="333"/>
      <c r="G418" s="333"/>
      <c r="H418" s="333"/>
    </row>
    <row r="419" ht="15.75" customHeight="1">
      <c r="A419" s="333"/>
      <c r="B419" s="333"/>
      <c r="E419" s="333"/>
      <c r="G419" s="333"/>
      <c r="H419" s="333"/>
    </row>
    <row r="420" ht="15.75" customHeight="1">
      <c r="A420" s="333"/>
      <c r="B420" s="333"/>
      <c r="E420" s="333"/>
      <c r="G420" s="333"/>
      <c r="H420" s="333"/>
    </row>
    <row r="421" ht="15.75" customHeight="1">
      <c r="A421" s="333"/>
      <c r="B421" s="333"/>
      <c r="E421" s="333"/>
      <c r="G421" s="333"/>
      <c r="H421" s="333"/>
    </row>
    <row r="422" ht="15.75" customHeight="1">
      <c r="A422" s="333"/>
      <c r="B422" s="333"/>
      <c r="E422" s="333"/>
      <c r="G422" s="333"/>
      <c r="H422" s="333"/>
    </row>
    <row r="423" ht="15.75" customHeight="1">
      <c r="A423" s="333"/>
      <c r="B423" s="333"/>
      <c r="E423" s="333"/>
      <c r="G423" s="333"/>
      <c r="H423" s="333"/>
    </row>
    <row r="424" ht="15.75" customHeight="1">
      <c r="A424" s="333"/>
      <c r="B424" s="333"/>
      <c r="E424" s="333"/>
      <c r="G424" s="333"/>
      <c r="H424" s="333"/>
    </row>
    <row r="425" ht="15.75" customHeight="1">
      <c r="A425" s="333"/>
      <c r="B425" s="333"/>
      <c r="E425" s="333"/>
      <c r="G425" s="333"/>
      <c r="H425" s="333"/>
    </row>
    <row r="426" ht="15.75" customHeight="1">
      <c r="A426" s="333"/>
      <c r="B426" s="333"/>
      <c r="E426" s="333"/>
      <c r="G426" s="333"/>
      <c r="H426" s="333"/>
    </row>
    <row r="427" ht="15.75" customHeight="1">
      <c r="A427" s="333"/>
      <c r="B427" s="333"/>
      <c r="E427" s="333"/>
      <c r="G427" s="333"/>
      <c r="H427" s="333"/>
    </row>
    <row r="428" ht="15.75" customHeight="1">
      <c r="A428" s="333"/>
      <c r="B428" s="333"/>
      <c r="E428" s="333"/>
      <c r="G428" s="333"/>
      <c r="H428" s="333"/>
    </row>
    <row r="429" ht="15.75" customHeight="1">
      <c r="A429" s="333"/>
      <c r="B429" s="333"/>
      <c r="E429" s="333"/>
      <c r="G429" s="333"/>
      <c r="H429" s="333"/>
    </row>
    <row r="430" ht="15.75" customHeight="1">
      <c r="A430" s="333"/>
      <c r="B430" s="333"/>
      <c r="E430" s="333"/>
      <c r="G430" s="333"/>
      <c r="H430" s="333"/>
    </row>
    <row r="431" ht="15.75" customHeight="1">
      <c r="A431" s="333"/>
      <c r="B431" s="333"/>
      <c r="E431" s="333"/>
      <c r="G431" s="333"/>
      <c r="H431" s="333"/>
    </row>
    <row r="432" ht="15.75" customHeight="1">
      <c r="A432" s="333"/>
      <c r="B432" s="333"/>
      <c r="E432" s="333"/>
      <c r="G432" s="333"/>
      <c r="H432" s="333"/>
    </row>
    <row r="433" ht="15.75" customHeight="1">
      <c r="A433" s="333"/>
      <c r="B433" s="333"/>
      <c r="E433" s="333"/>
      <c r="G433" s="333"/>
      <c r="H433" s="333"/>
    </row>
    <row r="434" ht="15.75" customHeight="1">
      <c r="A434" s="333"/>
      <c r="B434" s="333"/>
      <c r="E434" s="333"/>
      <c r="G434" s="333"/>
      <c r="H434" s="333"/>
    </row>
    <row r="435" ht="15.75" customHeight="1">
      <c r="A435" s="333"/>
      <c r="B435" s="333"/>
      <c r="E435" s="333"/>
      <c r="G435" s="333"/>
      <c r="H435" s="333"/>
    </row>
    <row r="436" ht="15.75" customHeight="1">
      <c r="A436" s="333"/>
      <c r="B436" s="333"/>
      <c r="E436" s="333"/>
      <c r="G436" s="333"/>
      <c r="H436" s="333"/>
    </row>
    <row r="437" ht="15.75" customHeight="1">
      <c r="A437" s="333"/>
      <c r="B437" s="333"/>
      <c r="E437" s="333"/>
      <c r="G437" s="333"/>
      <c r="H437" s="333"/>
    </row>
    <row r="438" ht="15.75" customHeight="1">
      <c r="A438" s="333"/>
      <c r="B438" s="333"/>
      <c r="E438" s="333"/>
      <c r="G438" s="333"/>
      <c r="H438" s="333"/>
    </row>
    <row r="439" ht="15.75" customHeight="1">
      <c r="A439" s="333"/>
      <c r="B439" s="333"/>
      <c r="E439" s="333"/>
      <c r="G439" s="333"/>
      <c r="H439" s="333"/>
    </row>
    <row r="440" ht="15.75" customHeight="1">
      <c r="A440" s="333"/>
      <c r="B440" s="333"/>
      <c r="E440" s="333"/>
      <c r="G440" s="333"/>
      <c r="H440" s="333"/>
    </row>
    <row r="441" ht="15.75" customHeight="1">
      <c r="A441" s="333"/>
      <c r="D441" s="333"/>
      <c r="E441" s="333"/>
      <c r="F441" s="333"/>
      <c r="G441" s="333"/>
      <c r="H441" s="333"/>
    </row>
    <row r="442" ht="15.75" customHeight="1">
      <c r="A442" s="333"/>
      <c r="D442" s="333"/>
      <c r="E442" s="333"/>
      <c r="F442" s="333"/>
      <c r="G442" s="333"/>
      <c r="H442" s="333"/>
    </row>
    <row r="443" ht="15.75" customHeight="1">
      <c r="A443" s="333"/>
      <c r="D443" s="333"/>
      <c r="E443" s="333"/>
      <c r="F443" s="333"/>
      <c r="G443" s="333"/>
      <c r="H443" s="333"/>
    </row>
    <row r="444" ht="15.75" customHeight="1">
      <c r="A444" s="333"/>
      <c r="D444" s="333"/>
      <c r="E444" s="333"/>
      <c r="F444" s="333"/>
      <c r="G444" s="333"/>
      <c r="H444" s="333"/>
    </row>
    <row r="445" ht="15.75" customHeight="1">
      <c r="A445" s="333"/>
      <c r="D445" s="333"/>
      <c r="E445" s="333"/>
      <c r="F445" s="333"/>
      <c r="G445" s="333"/>
      <c r="H445" s="333"/>
    </row>
    <row r="446" ht="15.75" customHeight="1">
      <c r="A446" s="333"/>
      <c r="D446" s="333"/>
      <c r="E446" s="333"/>
      <c r="F446" s="333"/>
      <c r="G446" s="333"/>
      <c r="H446" s="333"/>
    </row>
    <row r="447" ht="15.75" customHeight="1">
      <c r="A447" s="333"/>
      <c r="B447" s="333"/>
      <c r="E447" s="333"/>
      <c r="F447" s="333"/>
      <c r="G447" s="333"/>
      <c r="H447" s="333"/>
    </row>
    <row r="448" ht="15.75" customHeight="1">
      <c r="A448" s="333"/>
      <c r="B448" s="333"/>
      <c r="E448" s="333"/>
      <c r="F448" s="333"/>
      <c r="G448" s="333"/>
      <c r="H448" s="333"/>
    </row>
    <row r="449" ht="15.75" customHeight="1">
      <c r="A449" s="333"/>
      <c r="B449" s="333"/>
      <c r="E449" s="333"/>
      <c r="F449" s="333"/>
      <c r="G449" s="333"/>
      <c r="H449" s="333"/>
    </row>
    <row r="450" ht="15.75" customHeight="1">
      <c r="A450" s="333"/>
      <c r="B450" s="333"/>
      <c r="E450" s="333"/>
      <c r="F450" s="333"/>
      <c r="G450" s="333"/>
      <c r="H450" s="333"/>
    </row>
    <row r="451" ht="15.75" customHeight="1">
      <c r="A451" s="333"/>
      <c r="B451" s="333"/>
      <c r="E451" s="333"/>
      <c r="F451" s="333"/>
      <c r="G451" s="333"/>
      <c r="H451" s="333"/>
    </row>
    <row r="452" ht="15.75" customHeight="1">
      <c r="A452" s="333"/>
      <c r="B452" s="333"/>
      <c r="E452" s="333"/>
      <c r="F452" s="333"/>
      <c r="G452" s="333"/>
      <c r="H452" s="333"/>
    </row>
    <row r="453" ht="15.75" customHeight="1">
      <c r="A453" s="333"/>
      <c r="B453" s="333"/>
      <c r="E453" s="333"/>
      <c r="F453" s="333"/>
      <c r="G453" s="333"/>
      <c r="H453" s="333"/>
    </row>
    <row r="454" ht="15.75" customHeight="1">
      <c r="A454" s="333"/>
      <c r="D454" s="333"/>
      <c r="E454" s="333"/>
      <c r="F454" s="333"/>
      <c r="G454" s="333"/>
      <c r="H454" s="333"/>
    </row>
    <row r="455" ht="15.75" customHeight="1">
      <c r="A455" s="333"/>
      <c r="D455" s="333"/>
      <c r="E455" s="333"/>
      <c r="F455" s="333"/>
      <c r="G455" s="333"/>
      <c r="H455" s="333"/>
    </row>
    <row r="456" ht="15.75" customHeight="1">
      <c r="A456" s="333"/>
      <c r="D456" s="333"/>
      <c r="E456" s="333"/>
      <c r="F456" s="333"/>
      <c r="G456" s="333"/>
      <c r="H456" s="333"/>
    </row>
    <row r="457" ht="15.75" customHeight="1">
      <c r="A457" s="333"/>
      <c r="D457" s="333"/>
      <c r="E457" s="333"/>
      <c r="F457" s="333"/>
      <c r="G457" s="333"/>
      <c r="H457" s="333"/>
    </row>
    <row r="458" ht="15.75" customHeight="1">
      <c r="A458" s="333"/>
      <c r="D458" s="333"/>
      <c r="E458" s="333"/>
      <c r="F458" s="333"/>
      <c r="G458" s="333"/>
      <c r="H458" s="333"/>
    </row>
    <row r="459" ht="15.75" customHeight="1">
      <c r="A459" s="333"/>
      <c r="D459" s="333"/>
      <c r="E459" s="333"/>
      <c r="F459" s="333"/>
      <c r="G459" s="333"/>
      <c r="H459" s="333"/>
    </row>
    <row r="460" ht="15.75" customHeight="1">
      <c r="A460" s="333"/>
      <c r="D460" s="333"/>
      <c r="E460" s="333"/>
      <c r="F460" s="333"/>
      <c r="G460" s="333"/>
      <c r="H460" s="333"/>
    </row>
    <row r="461" ht="15.75" customHeight="1">
      <c r="A461" s="333"/>
      <c r="D461" s="333"/>
      <c r="E461" s="333"/>
      <c r="F461" s="333"/>
      <c r="G461" s="333"/>
      <c r="H461" s="333"/>
    </row>
    <row r="462" ht="15.75" customHeight="1">
      <c r="A462" s="333"/>
      <c r="B462" s="333"/>
      <c r="E462" s="333"/>
      <c r="F462" s="333"/>
      <c r="G462" s="333"/>
      <c r="H462" s="333"/>
    </row>
    <row r="463" ht="15.75" customHeight="1">
      <c r="A463" s="333"/>
      <c r="B463" s="333"/>
      <c r="E463" s="333"/>
      <c r="F463" s="333"/>
      <c r="G463" s="333"/>
      <c r="H463" s="333"/>
    </row>
    <row r="464" ht="15.75" customHeight="1">
      <c r="A464" s="333"/>
      <c r="B464" s="333"/>
      <c r="E464" s="333"/>
      <c r="F464" s="333"/>
      <c r="G464" s="333"/>
      <c r="H464" s="333"/>
    </row>
    <row r="465" ht="15.75" customHeight="1">
      <c r="A465" s="333"/>
      <c r="D465" s="333"/>
      <c r="E465" s="333"/>
      <c r="F465" s="333"/>
      <c r="G465" s="333"/>
      <c r="H465" s="333"/>
    </row>
    <row r="466" ht="15.75" customHeight="1">
      <c r="A466" s="333"/>
      <c r="B466" s="333"/>
      <c r="E466" s="333"/>
      <c r="F466" s="333"/>
      <c r="G466" s="333"/>
      <c r="H466" s="333"/>
    </row>
    <row r="467" ht="15.75" customHeight="1">
      <c r="A467" s="333"/>
      <c r="B467" s="333"/>
      <c r="E467" s="333"/>
      <c r="F467" s="333"/>
      <c r="G467" s="333"/>
      <c r="H467" s="333"/>
    </row>
    <row r="468" ht="15.75" customHeight="1">
      <c r="A468" s="333"/>
      <c r="B468" s="333"/>
      <c r="E468" s="333"/>
      <c r="F468" s="333"/>
      <c r="G468" s="333"/>
      <c r="H468" s="333"/>
    </row>
    <row r="469" ht="15.75" customHeight="1">
      <c r="A469" s="333"/>
      <c r="B469" s="333"/>
      <c r="E469" s="333"/>
      <c r="F469" s="333"/>
      <c r="G469" s="333"/>
      <c r="H469" s="333"/>
    </row>
    <row r="470" ht="15.75" customHeight="1">
      <c r="A470" s="333"/>
      <c r="B470" s="333"/>
      <c r="E470" s="333"/>
      <c r="F470" s="333"/>
      <c r="G470" s="333"/>
      <c r="H470" s="333"/>
    </row>
    <row r="471" ht="15.75" customHeight="1">
      <c r="A471" s="333"/>
      <c r="B471" s="333"/>
      <c r="E471" s="333"/>
      <c r="F471" s="333"/>
      <c r="G471" s="333"/>
      <c r="H471" s="333"/>
    </row>
    <row r="472" ht="15.75" customHeight="1">
      <c r="A472" s="333"/>
      <c r="B472" s="333"/>
      <c r="E472" s="333"/>
      <c r="F472" s="333"/>
      <c r="G472" s="333"/>
      <c r="H472" s="333"/>
    </row>
    <row r="473" ht="15.75" customHeight="1">
      <c r="A473" s="333"/>
      <c r="B473" s="333"/>
      <c r="E473" s="333"/>
      <c r="F473" s="333"/>
      <c r="G473" s="333"/>
      <c r="H473" s="333"/>
    </row>
    <row r="474" ht="15.75" customHeight="1"/>
    <row r="475" ht="15.75" customHeight="1">
      <c r="A475" s="332"/>
      <c r="B475" s="332"/>
      <c r="C475" s="332"/>
      <c r="D475" s="332"/>
      <c r="E475" s="332"/>
      <c r="F475" s="332"/>
      <c r="G475" s="332"/>
      <c r="H475" s="332"/>
    </row>
    <row r="476" ht="15.75" customHeight="1">
      <c r="A476" s="333"/>
      <c r="B476" s="333"/>
      <c r="E476" s="333"/>
      <c r="F476" s="333"/>
      <c r="G476" s="333"/>
    </row>
    <row r="477" ht="15.75" customHeight="1">
      <c r="A477" s="333"/>
      <c r="B477" s="333"/>
      <c r="E477" s="333"/>
      <c r="F477" s="333"/>
      <c r="G477" s="333"/>
    </row>
    <row r="478" ht="15.75" customHeight="1">
      <c r="A478" s="333"/>
      <c r="B478" s="333"/>
      <c r="E478" s="333"/>
      <c r="F478" s="333"/>
      <c r="G478" s="333"/>
    </row>
    <row r="479" ht="15.75" customHeight="1">
      <c r="A479" s="333"/>
      <c r="B479" s="333"/>
      <c r="E479" s="333"/>
      <c r="F479" s="333"/>
      <c r="G479" s="333"/>
    </row>
    <row r="480" ht="15.75" customHeight="1">
      <c r="A480" s="333"/>
      <c r="B480" s="333"/>
      <c r="E480" s="333"/>
      <c r="F480" s="333"/>
      <c r="G480" s="333"/>
    </row>
    <row r="481" ht="15.75" customHeight="1">
      <c r="A481" s="333"/>
      <c r="C481" s="333"/>
      <c r="E481" s="333"/>
      <c r="F481" s="333"/>
      <c r="G481" s="333"/>
    </row>
    <row r="482" ht="15.75" customHeight="1">
      <c r="A482" s="333"/>
      <c r="B482" s="333"/>
      <c r="E482" s="333"/>
      <c r="F482" s="333"/>
      <c r="G482" s="333"/>
    </row>
    <row r="483" ht="15.75" customHeight="1">
      <c r="A483" s="333"/>
      <c r="B483" s="333"/>
      <c r="E483" s="333"/>
      <c r="F483" s="333"/>
      <c r="G483" s="333"/>
    </row>
    <row r="484" ht="15.75" customHeight="1">
      <c r="A484" s="333"/>
      <c r="C484" s="333"/>
      <c r="E484" s="333"/>
      <c r="F484" s="333"/>
      <c r="G484" s="333"/>
    </row>
    <row r="485" ht="15.75" customHeight="1">
      <c r="A485" s="333"/>
      <c r="D485" s="333"/>
      <c r="E485" s="333"/>
      <c r="F485" s="333"/>
      <c r="G485" s="333"/>
    </row>
    <row r="486" ht="15.75" customHeight="1">
      <c r="A486" s="333"/>
      <c r="B486" s="333"/>
      <c r="E486" s="333"/>
      <c r="F486" s="333"/>
      <c r="G486" s="333"/>
    </row>
    <row r="487" ht="15.75" customHeight="1">
      <c r="A487" s="333"/>
      <c r="B487" s="333"/>
      <c r="E487" s="333"/>
      <c r="F487" s="333"/>
      <c r="G487" s="333"/>
    </row>
    <row r="488" ht="15.75" customHeight="1">
      <c r="A488" s="333"/>
      <c r="B488" s="333"/>
      <c r="E488" s="333"/>
      <c r="F488" s="333"/>
      <c r="G488" s="333"/>
    </row>
    <row r="489" ht="15.75" customHeight="1">
      <c r="A489" s="333"/>
      <c r="B489" s="333"/>
      <c r="E489" s="333"/>
      <c r="F489" s="333"/>
      <c r="G489" s="333"/>
    </row>
    <row r="490" ht="15.75" customHeight="1">
      <c r="A490" s="333"/>
      <c r="B490" s="333"/>
      <c r="E490" s="333"/>
      <c r="F490" s="333"/>
      <c r="G490" s="333"/>
    </row>
    <row r="491" ht="15.75" customHeight="1">
      <c r="A491" s="333"/>
      <c r="B491" s="333"/>
      <c r="E491" s="333"/>
      <c r="F491" s="333"/>
      <c r="G491" s="333"/>
    </row>
    <row r="492" ht="15.75" customHeight="1">
      <c r="A492" s="333"/>
      <c r="B492" s="333"/>
      <c r="E492" s="333"/>
      <c r="F492" s="333"/>
      <c r="G492" s="333"/>
    </row>
    <row r="493" ht="15.75" customHeight="1">
      <c r="A493" s="333"/>
      <c r="B493" s="333"/>
      <c r="E493" s="333"/>
      <c r="F493" s="333"/>
      <c r="G493" s="333"/>
    </row>
    <row r="494" ht="15.75" customHeight="1">
      <c r="A494" s="333"/>
      <c r="B494" s="333"/>
      <c r="E494" s="333"/>
      <c r="F494" s="333"/>
      <c r="G494" s="333"/>
    </row>
    <row r="495" ht="15.75" customHeight="1">
      <c r="A495" s="333"/>
      <c r="B495" s="333"/>
      <c r="E495" s="333"/>
      <c r="G495" s="333"/>
    </row>
    <row r="496" ht="15.75" customHeight="1">
      <c r="A496" s="333"/>
      <c r="B496" s="333"/>
      <c r="E496" s="333"/>
      <c r="G496" s="333"/>
    </row>
    <row r="497" ht="15.75" customHeight="1">
      <c r="A497" s="333"/>
      <c r="B497" s="333"/>
      <c r="E497" s="333"/>
      <c r="G497" s="333"/>
    </row>
    <row r="498" ht="15.75" customHeight="1">
      <c r="A498" s="333"/>
      <c r="B498" s="333"/>
      <c r="E498" s="333"/>
      <c r="G498" s="333"/>
    </row>
    <row r="499" ht="15.75" customHeight="1">
      <c r="A499" s="333"/>
      <c r="B499" s="333"/>
      <c r="E499" s="333"/>
      <c r="G499" s="333"/>
    </row>
    <row r="500" ht="15.75" customHeight="1">
      <c r="A500" s="333"/>
      <c r="B500" s="333"/>
      <c r="E500" s="333"/>
      <c r="G500" s="333"/>
    </row>
    <row r="501" ht="15.75" customHeight="1">
      <c r="A501" s="333"/>
      <c r="B501" s="333"/>
      <c r="E501" s="333"/>
      <c r="G501" s="333"/>
    </row>
    <row r="502" ht="15.75" customHeight="1">
      <c r="A502" s="333"/>
      <c r="B502" s="333"/>
      <c r="E502" s="333"/>
      <c r="G502" s="333"/>
    </row>
    <row r="503" ht="15.75" customHeight="1">
      <c r="A503" s="333"/>
      <c r="B503" s="333"/>
      <c r="E503" s="333"/>
      <c r="G503" s="333"/>
    </row>
    <row r="504" ht="15.75" customHeight="1">
      <c r="A504" s="333"/>
      <c r="B504" s="333"/>
      <c r="E504" s="333"/>
      <c r="G504" s="333"/>
    </row>
    <row r="505" ht="15.75" customHeight="1">
      <c r="A505" s="333"/>
      <c r="B505" s="333"/>
      <c r="E505" s="333"/>
      <c r="G505" s="333"/>
    </row>
    <row r="506" ht="15.75" customHeight="1">
      <c r="A506" s="333"/>
      <c r="B506" s="333"/>
      <c r="E506" s="333"/>
      <c r="G506" s="333"/>
    </row>
    <row r="507" ht="15.75" customHeight="1">
      <c r="A507" s="333"/>
      <c r="B507" s="333"/>
      <c r="E507" s="333"/>
      <c r="G507" s="333"/>
    </row>
    <row r="508" ht="15.75" customHeight="1">
      <c r="A508" s="333"/>
      <c r="B508" s="333"/>
      <c r="E508" s="333"/>
      <c r="G508" s="333"/>
    </row>
    <row r="509" ht="15.75" customHeight="1">
      <c r="A509" s="333"/>
      <c r="B509" s="333"/>
      <c r="E509" s="333"/>
      <c r="G509" s="333"/>
    </row>
    <row r="510" ht="15.75" customHeight="1">
      <c r="A510" s="333"/>
      <c r="B510" s="333"/>
      <c r="E510" s="333"/>
      <c r="G510" s="333"/>
    </row>
    <row r="511" ht="15.75" customHeight="1">
      <c r="A511" s="333"/>
      <c r="B511" s="333"/>
      <c r="E511" s="333"/>
      <c r="G511" s="333"/>
    </row>
    <row r="512" ht="15.75" customHeight="1">
      <c r="A512" s="333"/>
      <c r="B512" s="333"/>
      <c r="E512" s="333"/>
      <c r="G512" s="333"/>
    </row>
    <row r="513" ht="15.75" customHeight="1">
      <c r="A513" s="333"/>
      <c r="B513" s="333"/>
      <c r="E513" s="333"/>
      <c r="G513" s="333"/>
    </row>
    <row r="514" ht="15.75" customHeight="1">
      <c r="A514" s="333"/>
      <c r="B514" s="333"/>
      <c r="E514" s="333"/>
      <c r="G514" s="333"/>
    </row>
    <row r="515" ht="15.75" customHeight="1">
      <c r="A515" s="333"/>
      <c r="B515" s="333"/>
      <c r="E515" s="333"/>
      <c r="G515" s="333"/>
    </row>
    <row r="516" ht="15.75" customHeight="1">
      <c r="A516" s="333"/>
      <c r="B516" s="333"/>
      <c r="E516" s="333"/>
      <c r="G516" s="333"/>
    </row>
    <row r="517" ht="15.75" customHeight="1">
      <c r="A517" s="333"/>
      <c r="B517" s="333"/>
      <c r="E517" s="333"/>
      <c r="G517" s="333"/>
    </row>
    <row r="518" ht="15.75" customHeight="1">
      <c r="A518" s="333"/>
      <c r="B518" s="333"/>
      <c r="E518" s="333"/>
      <c r="G518" s="333"/>
    </row>
    <row r="519" ht="15.75" customHeight="1">
      <c r="A519" s="333"/>
      <c r="B519" s="333"/>
      <c r="E519" s="333"/>
      <c r="G519" s="333"/>
    </row>
    <row r="520" ht="15.75" customHeight="1">
      <c r="A520" s="333"/>
      <c r="B520" s="333"/>
      <c r="E520" s="333"/>
      <c r="G520" s="333"/>
    </row>
    <row r="521" ht="15.75" customHeight="1">
      <c r="A521" s="333"/>
      <c r="B521" s="333"/>
      <c r="E521" s="333"/>
      <c r="G521" s="333"/>
    </row>
    <row r="522" ht="15.75" customHeight="1">
      <c r="A522" s="333"/>
      <c r="B522" s="333"/>
      <c r="E522" s="333"/>
      <c r="G522" s="333"/>
    </row>
    <row r="523" ht="15.75" customHeight="1">
      <c r="A523" s="333"/>
      <c r="B523" s="333"/>
      <c r="E523" s="333"/>
      <c r="G523" s="333"/>
    </row>
    <row r="524" ht="15.75" customHeight="1">
      <c r="A524" s="333"/>
      <c r="B524" s="333"/>
      <c r="E524" s="333"/>
      <c r="G524" s="333"/>
    </row>
    <row r="525" ht="15.75" customHeight="1">
      <c r="A525" s="333"/>
      <c r="B525" s="333"/>
      <c r="E525" s="333"/>
      <c r="G525" s="333"/>
    </row>
    <row r="526" ht="15.75" customHeight="1">
      <c r="A526" s="333"/>
      <c r="B526" s="333"/>
      <c r="E526" s="333"/>
      <c r="G526" s="333"/>
    </row>
    <row r="527" ht="15.75" customHeight="1">
      <c r="A527" s="333"/>
      <c r="B527" s="333"/>
      <c r="E527" s="333"/>
      <c r="G527" s="333"/>
    </row>
    <row r="528" ht="15.75" customHeight="1">
      <c r="A528" s="333"/>
      <c r="B528" s="333"/>
      <c r="E528" s="333"/>
      <c r="G528" s="333"/>
    </row>
    <row r="529" ht="15.75" customHeight="1">
      <c r="A529" s="333"/>
      <c r="B529" s="333"/>
      <c r="E529" s="333"/>
      <c r="G529" s="333"/>
    </row>
    <row r="530" ht="15.75" customHeight="1">
      <c r="A530" s="333"/>
      <c r="B530" s="333"/>
      <c r="E530" s="333"/>
      <c r="G530" s="333"/>
    </row>
    <row r="531" ht="15.75" customHeight="1">
      <c r="A531" s="333"/>
      <c r="B531" s="333"/>
      <c r="E531" s="333"/>
      <c r="G531" s="333"/>
    </row>
    <row r="532" ht="15.75" customHeight="1">
      <c r="A532" s="333"/>
      <c r="B532" s="333"/>
      <c r="E532" s="333"/>
      <c r="G532" s="333"/>
    </row>
    <row r="533" ht="15.75" customHeight="1">
      <c r="A533" s="333"/>
      <c r="B533" s="333"/>
      <c r="E533" s="333"/>
      <c r="G533" s="333"/>
    </row>
    <row r="534" ht="15.75" customHeight="1">
      <c r="A534" s="333"/>
      <c r="B534" s="333"/>
      <c r="E534" s="333"/>
      <c r="G534" s="333"/>
    </row>
    <row r="535" ht="15.75" customHeight="1">
      <c r="A535" s="333"/>
      <c r="B535" s="333"/>
      <c r="E535" s="333"/>
      <c r="G535" s="333"/>
    </row>
    <row r="536" ht="15.75" customHeight="1">
      <c r="A536" s="333"/>
      <c r="B536" s="333"/>
      <c r="E536" s="333"/>
      <c r="G536" s="333"/>
    </row>
    <row r="537" ht="15.75" customHeight="1">
      <c r="A537" s="333"/>
      <c r="B537" s="333"/>
      <c r="E537" s="333"/>
      <c r="G537" s="333"/>
    </row>
    <row r="538" ht="15.75" customHeight="1">
      <c r="A538" s="333"/>
      <c r="B538" s="333"/>
      <c r="E538" s="333"/>
      <c r="G538" s="333"/>
    </row>
    <row r="539" ht="15.75" customHeight="1">
      <c r="A539" s="333"/>
      <c r="B539" s="333"/>
      <c r="E539" s="333"/>
      <c r="G539" s="333"/>
    </row>
    <row r="540" ht="15.75" customHeight="1">
      <c r="A540" s="333"/>
      <c r="B540" s="333"/>
      <c r="E540" s="333"/>
      <c r="G540" s="333"/>
    </row>
    <row r="541" ht="15.75" customHeight="1">
      <c r="A541" s="333"/>
      <c r="B541" s="333"/>
      <c r="E541" s="333"/>
      <c r="G541" s="333"/>
    </row>
    <row r="542" ht="15.75" customHeight="1">
      <c r="A542" s="333"/>
      <c r="B542" s="333"/>
      <c r="E542" s="333"/>
      <c r="G542" s="333"/>
    </row>
    <row r="543" ht="15.75" customHeight="1">
      <c r="A543" s="333"/>
      <c r="B543" s="333"/>
      <c r="E543" s="333"/>
      <c r="G543" s="333"/>
    </row>
    <row r="544" ht="15.75" customHeight="1">
      <c r="A544" s="333"/>
      <c r="B544" s="333"/>
      <c r="E544" s="333"/>
      <c r="G544" s="333"/>
    </row>
    <row r="545" ht="15.75" customHeight="1">
      <c r="A545" s="333"/>
      <c r="B545" s="333"/>
      <c r="E545" s="333"/>
      <c r="G545" s="333"/>
    </row>
    <row r="546" ht="15.75" customHeight="1">
      <c r="A546" s="333"/>
      <c r="B546" s="333"/>
      <c r="E546" s="333"/>
      <c r="G546" s="333"/>
    </row>
    <row r="547" ht="15.75" customHeight="1">
      <c r="A547" s="333"/>
      <c r="B547" s="333"/>
      <c r="E547" s="333"/>
      <c r="G547" s="333"/>
    </row>
    <row r="548" ht="15.75" customHeight="1">
      <c r="A548" s="333"/>
      <c r="B548" s="333"/>
      <c r="E548" s="333"/>
      <c r="G548" s="333"/>
    </row>
    <row r="549" ht="15.75" customHeight="1">
      <c r="A549" s="333"/>
      <c r="B549" s="333"/>
      <c r="E549" s="333"/>
      <c r="G549" s="333"/>
    </row>
    <row r="550" ht="15.75" customHeight="1">
      <c r="A550" s="333"/>
      <c r="B550" s="333"/>
      <c r="E550" s="333"/>
      <c r="G550" s="333"/>
    </row>
    <row r="551" ht="15.75" customHeight="1">
      <c r="A551" s="333"/>
      <c r="B551" s="333"/>
      <c r="E551" s="333"/>
      <c r="G551" s="333"/>
    </row>
    <row r="552" ht="15.75" customHeight="1">
      <c r="A552" s="333"/>
      <c r="B552" s="333"/>
      <c r="E552" s="333"/>
      <c r="G552" s="333"/>
    </row>
    <row r="553" ht="15.75" customHeight="1">
      <c r="A553" s="333"/>
      <c r="B553" s="333"/>
      <c r="E553" s="333"/>
      <c r="G553" s="333"/>
    </row>
    <row r="554" ht="15.75" customHeight="1">
      <c r="A554" s="333"/>
      <c r="B554" s="333"/>
      <c r="E554" s="333"/>
      <c r="G554" s="333"/>
    </row>
    <row r="555" ht="15.75" customHeight="1">
      <c r="A555" s="333"/>
      <c r="B555" s="333"/>
      <c r="E555" s="333"/>
      <c r="G555" s="333"/>
    </row>
    <row r="556" ht="15.75" customHeight="1">
      <c r="A556" s="333"/>
      <c r="B556" s="333"/>
      <c r="E556" s="333"/>
      <c r="G556" s="333"/>
    </row>
    <row r="557" ht="15.75" customHeight="1">
      <c r="A557" s="333"/>
      <c r="B557" s="333"/>
      <c r="E557" s="333"/>
      <c r="G557" s="333"/>
    </row>
    <row r="558" ht="15.75" customHeight="1">
      <c r="A558" s="333"/>
      <c r="B558" s="333"/>
      <c r="E558" s="333"/>
      <c r="G558" s="333"/>
    </row>
    <row r="559" ht="15.75" customHeight="1">
      <c r="A559" s="333"/>
      <c r="D559" s="333"/>
      <c r="E559" s="333"/>
      <c r="F559" s="333"/>
      <c r="G559" s="333"/>
    </row>
    <row r="560" ht="15.75" customHeight="1">
      <c r="A560" s="333"/>
      <c r="D560" s="333"/>
      <c r="E560" s="333"/>
      <c r="F560" s="333"/>
      <c r="G560" s="333"/>
    </row>
    <row r="561" ht="15.75" customHeight="1">
      <c r="A561" s="333"/>
      <c r="D561" s="333"/>
      <c r="E561" s="333"/>
      <c r="F561" s="333"/>
      <c r="G561" s="333"/>
    </row>
    <row r="562" ht="15.75" customHeight="1">
      <c r="A562" s="333"/>
      <c r="D562" s="333"/>
      <c r="E562" s="333"/>
      <c r="F562" s="333"/>
      <c r="G562" s="333"/>
    </row>
    <row r="563" ht="15.75" customHeight="1">
      <c r="A563" s="333"/>
      <c r="D563" s="333"/>
      <c r="E563" s="333"/>
      <c r="F563" s="333"/>
      <c r="G563" s="333"/>
    </row>
    <row r="564" ht="15.75" customHeight="1">
      <c r="A564" s="333"/>
      <c r="D564" s="333"/>
      <c r="E564" s="333"/>
      <c r="F564" s="333"/>
      <c r="G564" s="333"/>
    </row>
    <row r="565" ht="15.75" customHeight="1">
      <c r="A565" s="333"/>
      <c r="B565" s="333"/>
      <c r="E565" s="333"/>
      <c r="F565" s="333"/>
      <c r="G565" s="333"/>
    </row>
    <row r="566" ht="15.75" customHeight="1">
      <c r="A566" s="333"/>
      <c r="B566" s="333"/>
      <c r="E566" s="333"/>
      <c r="F566" s="333"/>
      <c r="G566" s="333"/>
    </row>
    <row r="567" ht="15.75" customHeight="1">
      <c r="A567" s="333"/>
      <c r="B567" s="333"/>
      <c r="E567" s="333"/>
      <c r="F567" s="333"/>
      <c r="G567" s="333"/>
    </row>
    <row r="568" ht="15.75" customHeight="1">
      <c r="A568" s="333"/>
      <c r="B568" s="333"/>
      <c r="E568" s="333"/>
      <c r="F568" s="333"/>
      <c r="G568" s="333"/>
    </row>
    <row r="569" ht="15.75" customHeight="1">
      <c r="A569" s="333"/>
      <c r="B569" s="333"/>
      <c r="E569" s="333"/>
      <c r="F569" s="333"/>
      <c r="G569" s="333"/>
    </row>
    <row r="570" ht="15.75" customHeight="1">
      <c r="A570" s="333"/>
      <c r="B570" s="333"/>
      <c r="E570" s="333"/>
      <c r="F570" s="333"/>
      <c r="G570" s="333"/>
    </row>
    <row r="571" ht="15.75" customHeight="1">
      <c r="A571" s="333"/>
      <c r="B571" s="333"/>
      <c r="E571" s="333"/>
      <c r="F571" s="333"/>
      <c r="G571" s="333"/>
    </row>
    <row r="572" ht="15.75" customHeight="1">
      <c r="A572" s="333"/>
      <c r="D572" s="333"/>
      <c r="E572" s="333"/>
      <c r="F572" s="333"/>
      <c r="G572" s="333"/>
    </row>
    <row r="573" ht="15.75" customHeight="1">
      <c r="A573" s="333"/>
      <c r="D573" s="333"/>
      <c r="E573" s="333"/>
      <c r="F573" s="333"/>
      <c r="G573" s="333"/>
    </row>
    <row r="574" ht="15.75" customHeight="1">
      <c r="A574" s="333"/>
      <c r="D574" s="333"/>
      <c r="E574" s="333"/>
      <c r="F574" s="333"/>
      <c r="G574" s="333"/>
    </row>
    <row r="575" ht="15.75" customHeight="1">
      <c r="A575" s="333"/>
      <c r="D575" s="333"/>
      <c r="E575" s="333"/>
      <c r="F575" s="333"/>
      <c r="G575" s="333"/>
    </row>
    <row r="576" ht="15.75" customHeight="1">
      <c r="A576" s="333"/>
      <c r="D576" s="333"/>
      <c r="E576" s="333"/>
      <c r="F576" s="333"/>
      <c r="G576" s="333"/>
    </row>
    <row r="577" ht="15.75" customHeight="1">
      <c r="A577" s="333"/>
      <c r="D577" s="333"/>
      <c r="E577" s="333"/>
      <c r="F577" s="333"/>
      <c r="G577" s="333"/>
    </row>
    <row r="578" ht="15.75" customHeight="1">
      <c r="A578" s="333"/>
      <c r="D578" s="333"/>
      <c r="E578" s="333"/>
      <c r="F578" s="333"/>
      <c r="G578" s="333"/>
    </row>
    <row r="579" ht="15.75" customHeight="1">
      <c r="A579" s="333"/>
      <c r="D579" s="333"/>
      <c r="E579" s="333"/>
      <c r="F579" s="333"/>
      <c r="G579" s="333"/>
    </row>
    <row r="580" ht="15.75" customHeight="1">
      <c r="A580" s="333"/>
      <c r="B580" s="333"/>
      <c r="E580" s="333"/>
      <c r="F580" s="333"/>
      <c r="G580" s="333"/>
    </row>
    <row r="581" ht="15.75" customHeight="1">
      <c r="A581" s="333"/>
      <c r="B581" s="333"/>
      <c r="E581" s="333"/>
      <c r="F581" s="333"/>
      <c r="G581" s="333"/>
    </row>
    <row r="582" ht="15.75" customHeight="1">
      <c r="A582" s="333"/>
      <c r="B582" s="333"/>
      <c r="E582" s="333"/>
      <c r="F582" s="333"/>
      <c r="G582" s="333"/>
    </row>
    <row r="583" ht="15.75" customHeight="1">
      <c r="A583" s="333"/>
      <c r="D583" s="333"/>
      <c r="E583" s="333"/>
      <c r="F583" s="333"/>
      <c r="G583" s="333"/>
    </row>
    <row r="584" ht="15.75" customHeight="1">
      <c r="A584" s="333"/>
      <c r="B584" s="333"/>
      <c r="E584" s="333"/>
      <c r="F584" s="333"/>
      <c r="G584" s="333"/>
    </row>
    <row r="585" ht="15.75" customHeight="1">
      <c r="A585" s="333"/>
      <c r="B585" s="333"/>
      <c r="E585" s="333"/>
      <c r="F585" s="333"/>
      <c r="G585" s="333"/>
    </row>
    <row r="586" ht="15.75" customHeight="1">
      <c r="A586" s="333"/>
      <c r="B586" s="333"/>
      <c r="E586" s="333"/>
      <c r="F586" s="333"/>
      <c r="G586" s="333"/>
    </row>
    <row r="587" ht="15.75" customHeight="1">
      <c r="A587" s="333"/>
      <c r="B587" s="333"/>
      <c r="E587" s="333"/>
      <c r="F587" s="333"/>
      <c r="G587" s="333"/>
    </row>
    <row r="588" ht="15.75" customHeight="1">
      <c r="A588" s="333"/>
      <c r="B588" s="333"/>
      <c r="E588" s="333"/>
      <c r="F588" s="333"/>
      <c r="G588" s="333"/>
    </row>
    <row r="589" ht="15.75" customHeight="1">
      <c r="A589" s="333"/>
      <c r="B589" s="333"/>
      <c r="E589" s="333"/>
      <c r="F589" s="333"/>
      <c r="G589" s="333"/>
    </row>
    <row r="590" ht="15.75" customHeight="1">
      <c r="A590" s="333"/>
      <c r="B590" s="333"/>
      <c r="E590" s="333"/>
      <c r="F590" s="333"/>
      <c r="G590" s="333"/>
    </row>
    <row r="591" ht="15.75" customHeight="1">
      <c r="A591" s="333"/>
      <c r="B591" s="333"/>
      <c r="E591" s="333"/>
      <c r="F591" s="333"/>
      <c r="G591" s="333"/>
    </row>
    <row r="592" ht="15.75" customHeight="1"/>
    <row r="593" ht="15.75" customHeight="1">
      <c r="A593" s="332"/>
      <c r="B593" s="332"/>
      <c r="C593" s="332"/>
      <c r="D593" s="332"/>
      <c r="E593" s="332"/>
      <c r="F593" s="332"/>
      <c r="G593" s="332"/>
      <c r="H593" s="332"/>
    </row>
    <row r="594" ht="15.75" customHeight="1">
      <c r="A594" s="333"/>
      <c r="B594" s="333"/>
      <c r="E594" s="333"/>
      <c r="F594" s="333"/>
      <c r="G594" s="333"/>
    </row>
    <row r="595" ht="15.75" customHeight="1">
      <c r="A595" s="333"/>
      <c r="B595" s="333"/>
      <c r="E595" s="333"/>
      <c r="F595" s="333"/>
      <c r="G595" s="333"/>
    </row>
    <row r="596" ht="15.75" customHeight="1">
      <c r="A596" s="333"/>
      <c r="B596" s="333"/>
      <c r="E596" s="333"/>
      <c r="F596" s="333"/>
      <c r="G596" s="333"/>
    </row>
    <row r="597" ht="15.75" customHeight="1">
      <c r="A597" s="333"/>
      <c r="B597" s="333"/>
      <c r="E597" s="333"/>
      <c r="F597" s="333"/>
      <c r="G597" s="333"/>
    </row>
    <row r="598" ht="15.75" customHeight="1">
      <c r="A598" s="333"/>
      <c r="B598" s="333"/>
      <c r="E598" s="333"/>
      <c r="F598" s="333"/>
      <c r="G598" s="333"/>
    </row>
    <row r="599" ht="15.75" customHeight="1">
      <c r="A599" s="333"/>
      <c r="C599" s="333"/>
      <c r="E599" s="333"/>
      <c r="F599" s="333"/>
      <c r="G599" s="333"/>
    </row>
    <row r="600" ht="15.75" customHeight="1">
      <c r="A600" s="333"/>
      <c r="B600" s="333"/>
      <c r="E600" s="333"/>
      <c r="F600" s="333"/>
      <c r="G600" s="333"/>
    </row>
    <row r="601" ht="15.75" customHeight="1">
      <c r="A601" s="333"/>
      <c r="B601" s="333"/>
      <c r="E601" s="333"/>
      <c r="F601" s="333"/>
      <c r="G601" s="333"/>
    </row>
    <row r="602" ht="15.75" customHeight="1">
      <c r="A602" s="333"/>
      <c r="C602" s="333"/>
      <c r="E602" s="333"/>
      <c r="F602" s="333"/>
      <c r="G602" s="333"/>
    </row>
    <row r="603" ht="15.75" customHeight="1">
      <c r="A603" s="333"/>
      <c r="D603" s="333"/>
      <c r="E603" s="333"/>
      <c r="F603" s="333"/>
      <c r="G603" s="333"/>
    </row>
    <row r="604" ht="15.75" customHeight="1">
      <c r="A604" s="333"/>
      <c r="B604" s="333"/>
      <c r="E604" s="333"/>
      <c r="F604" s="333"/>
      <c r="G604" s="333"/>
    </row>
    <row r="605" ht="15.75" customHeight="1">
      <c r="A605" s="333"/>
      <c r="B605" s="333"/>
      <c r="E605" s="333"/>
      <c r="F605" s="333"/>
      <c r="G605" s="333"/>
    </row>
    <row r="606" ht="15.75" customHeight="1">
      <c r="A606" s="333"/>
      <c r="B606" s="333"/>
      <c r="E606" s="333"/>
      <c r="F606" s="333"/>
      <c r="G606" s="333"/>
    </row>
    <row r="607" ht="15.75" customHeight="1">
      <c r="A607" s="333"/>
      <c r="B607" s="333"/>
      <c r="E607" s="333"/>
      <c r="F607" s="333"/>
      <c r="G607" s="333"/>
    </row>
    <row r="608" ht="15.75" customHeight="1">
      <c r="A608" s="333"/>
      <c r="B608" s="333"/>
      <c r="E608" s="333"/>
      <c r="F608" s="333"/>
      <c r="G608" s="333"/>
    </row>
    <row r="609" ht="15.75" customHeight="1">
      <c r="A609" s="333"/>
      <c r="B609" s="333"/>
      <c r="E609" s="333"/>
      <c r="F609" s="333"/>
      <c r="G609" s="333"/>
    </row>
    <row r="610" ht="15.75" customHeight="1">
      <c r="A610" s="333"/>
      <c r="B610" s="333"/>
      <c r="E610" s="333"/>
      <c r="F610" s="333"/>
      <c r="G610" s="333"/>
    </row>
    <row r="611" ht="15.75" customHeight="1">
      <c r="A611" s="333"/>
      <c r="B611" s="333"/>
      <c r="E611" s="333"/>
      <c r="F611" s="333"/>
      <c r="G611" s="333"/>
    </row>
    <row r="612" ht="15.75" customHeight="1">
      <c r="A612" s="333"/>
      <c r="B612" s="333"/>
      <c r="E612" s="333"/>
      <c r="F612" s="333"/>
      <c r="G612" s="333"/>
    </row>
    <row r="613" ht="15.75" customHeight="1">
      <c r="A613" s="333"/>
      <c r="B613" s="333"/>
      <c r="E613" s="333"/>
      <c r="G613" s="333"/>
    </row>
    <row r="614" ht="15.75" customHeight="1">
      <c r="A614" s="333"/>
      <c r="B614" s="333"/>
      <c r="E614" s="333"/>
      <c r="G614" s="333"/>
    </row>
    <row r="615" ht="15.75" customHeight="1">
      <c r="A615" s="333"/>
      <c r="B615" s="333"/>
      <c r="E615" s="333"/>
      <c r="G615" s="333"/>
    </row>
    <row r="616" ht="15.75" customHeight="1">
      <c r="A616" s="333"/>
      <c r="B616" s="333"/>
      <c r="E616" s="333"/>
      <c r="G616" s="333"/>
    </row>
    <row r="617" ht="15.75" customHeight="1">
      <c r="A617" s="333"/>
      <c r="B617" s="333"/>
      <c r="E617" s="333"/>
      <c r="G617" s="333"/>
    </row>
    <row r="618" ht="15.75" customHeight="1">
      <c r="A618" s="333"/>
      <c r="B618" s="333"/>
      <c r="E618" s="333"/>
      <c r="G618" s="333"/>
    </row>
    <row r="619" ht="15.75" customHeight="1">
      <c r="A619" s="333"/>
      <c r="B619" s="333"/>
      <c r="E619" s="333"/>
      <c r="G619" s="333"/>
    </row>
    <row r="620" ht="15.75" customHeight="1">
      <c r="A620" s="333"/>
      <c r="B620" s="333"/>
      <c r="E620" s="333"/>
      <c r="G620" s="333"/>
    </row>
    <row r="621" ht="15.75" customHeight="1">
      <c r="A621" s="333"/>
      <c r="B621" s="333"/>
      <c r="E621" s="333"/>
      <c r="G621" s="333"/>
    </row>
    <row r="622" ht="15.75" customHeight="1">
      <c r="A622" s="333"/>
      <c r="B622" s="333"/>
      <c r="E622" s="333"/>
      <c r="G622" s="333"/>
    </row>
    <row r="623" ht="15.75" customHeight="1">
      <c r="A623" s="333"/>
      <c r="B623" s="333"/>
      <c r="E623" s="333"/>
      <c r="G623" s="333"/>
    </row>
    <row r="624" ht="15.75" customHeight="1">
      <c r="A624" s="333"/>
      <c r="B624" s="333"/>
      <c r="E624" s="333"/>
      <c r="G624" s="333"/>
    </row>
    <row r="625" ht="15.75" customHeight="1">
      <c r="A625" s="333"/>
      <c r="B625" s="333"/>
      <c r="E625" s="333"/>
      <c r="G625" s="333"/>
    </row>
    <row r="626" ht="15.75" customHeight="1">
      <c r="A626" s="333"/>
      <c r="B626" s="333"/>
      <c r="E626" s="333"/>
      <c r="G626" s="333"/>
    </row>
    <row r="627" ht="15.75" customHeight="1">
      <c r="A627" s="333"/>
      <c r="B627" s="333"/>
      <c r="E627" s="333"/>
      <c r="G627" s="333"/>
    </row>
    <row r="628" ht="15.75" customHeight="1">
      <c r="A628" s="333"/>
      <c r="B628" s="333"/>
      <c r="E628" s="333"/>
      <c r="G628" s="333"/>
    </row>
    <row r="629" ht="15.75" customHeight="1">
      <c r="A629" s="333"/>
      <c r="B629" s="333"/>
      <c r="E629" s="333"/>
      <c r="G629" s="333"/>
    </row>
    <row r="630" ht="15.75" customHeight="1">
      <c r="A630" s="333"/>
      <c r="B630" s="333"/>
      <c r="E630" s="333"/>
      <c r="G630" s="333"/>
    </row>
    <row r="631" ht="15.75" customHeight="1">
      <c r="A631" s="333"/>
      <c r="B631" s="333"/>
      <c r="E631" s="333"/>
      <c r="G631" s="333"/>
    </row>
    <row r="632" ht="15.75" customHeight="1">
      <c r="A632" s="333"/>
      <c r="B632" s="333"/>
      <c r="E632" s="333"/>
      <c r="G632" s="333"/>
    </row>
    <row r="633" ht="15.75" customHeight="1">
      <c r="A633" s="333"/>
      <c r="B633" s="333"/>
      <c r="E633" s="333"/>
      <c r="G633" s="333"/>
    </row>
    <row r="634" ht="15.75" customHeight="1">
      <c r="A634" s="333"/>
      <c r="B634" s="333"/>
      <c r="E634" s="333"/>
      <c r="G634" s="333"/>
    </row>
    <row r="635" ht="15.75" customHeight="1">
      <c r="A635" s="333"/>
      <c r="B635" s="333"/>
      <c r="E635" s="333"/>
      <c r="G635" s="333"/>
    </row>
    <row r="636" ht="15.75" customHeight="1">
      <c r="A636" s="333"/>
      <c r="B636" s="333"/>
      <c r="E636" s="333"/>
      <c r="G636" s="333"/>
    </row>
    <row r="637" ht="15.75" customHeight="1">
      <c r="A637" s="333"/>
      <c r="B637" s="333"/>
      <c r="E637" s="333"/>
      <c r="G637" s="333"/>
    </row>
    <row r="638" ht="15.75" customHeight="1">
      <c r="A638" s="333"/>
      <c r="B638" s="333"/>
      <c r="E638" s="333"/>
      <c r="G638" s="333"/>
    </row>
    <row r="639" ht="15.75" customHeight="1">
      <c r="A639" s="333"/>
      <c r="B639" s="333"/>
      <c r="E639" s="333"/>
      <c r="G639" s="333"/>
    </row>
    <row r="640" ht="15.75" customHeight="1">
      <c r="A640" s="333"/>
      <c r="B640" s="333"/>
      <c r="E640" s="333"/>
      <c r="G640" s="333"/>
    </row>
    <row r="641" ht="15.75" customHeight="1">
      <c r="A641" s="333"/>
      <c r="B641" s="333"/>
      <c r="E641" s="333"/>
      <c r="G641" s="333"/>
    </row>
    <row r="642" ht="15.75" customHeight="1">
      <c r="A642" s="333"/>
      <c r="B642" s="333"/>
      <c r="E642" s="333"/>
      <c r="G642" s="333"/>
    </row>
    <row r="643" ht="15.75" customHeight="1">
      <c r="A643" s="333"/>
      <c r="B643" s="333"/>
      <c r="E643" s="333"/>
      <c r="G643" s="333"/>
    </row>
    <row r="644" ht="15.75" customHeight="1">
      <c r="A644" s="333"/>
      <c r="B644" s="333"/>
      <c r="E644" s="333"/>
      <c r="G644" s="333"/>
    </row>
    <row r="645" ht="15.75" customHeight="1">
      <c r="A645" s="333"/>
      <c r="B645" s="333"/>
      <c r="E645" s="333"/>
      <c r="G645" s="333"/>
    </row>
    <row r="646" ht="15.75" customHeight="1">
      <c r="A646" s="333"/>
      <c r="B646" s="333"/>
      <c r="E646" s="333"/>
      <c r="G646" s="333"/>
    </row>
    <row r="647" ht="15.75" customHeight="1">
      <c r="A647" s="333"/>
      <c r="B647" s="333"/>
      <c r="E647" s="333"/>
      <c r="G647" s="333"/>
    </row>
    <row r="648" ht="15.75" customHeight="1">
      <c r="A648" s="333"/>
      <c r="B648" s="333"/>
      <c r="E648" s="333"/>
      <c r="G648" s="333"/>
    </row>
    <row r="649" ht="15.75" customHeight="1">
      <c r="A649" s="333"/>
      <c r="B649" s="333"/>
      <c r="E649" s="333"/>
      <c r="G649" s="333"/>
    </row>
    <row r="650" ht="15.75" customHeight="1">
      <c r="A650" s="333"/>
      <c r="B650" s="333"/>
      <c r="E650" s="333"/>
      <c r="G650" s="333"/>
    </row>
    <row r="651" ht="15.75" customHeight="1">
      <c r="A651" s="333"/>
      <c r="B651" s="333"/>
      <c r="E651" s="333"/>
      <c r="G651" s="333"/>
    </row>
    <row r="652" ht="15.75" customHeight="1">
      <c r="A652" s="333"/>
      <c r="B652" s="333"/>
      <c r="E652" s="333"/>
      <c r="G652" s="333"/>
    </row>
    <row r="653" ht="15.75" customHeight="1">
      <c r="A653" s="333"/>
      <c r="B653" s="333"/>
      <c r="E653" s="333"/>
      <c r="G653" s="333"/>
    </row>
    <row r="654" ht="15.75" customHeight="1">
      <c r="A654" s="333"/>
      <c r="B654" s="333"/>
      <c r="E654" s="333"/>
      <c r="G654" s="333"/>
    </row>
    <row r="655" ht="15.75" customHeight="1">
      <c r="A655" s="333"/>
      <c r="B655" s="333"/>
      <c r="E655" s="333"/>
      <c r="G655" s="333"/>
    </row>
    <row r="656" ht="15.75" customHeight="1">
      <c r="A656" s="333"/>
      <c r="B656" s="333"/>
      <c r="E656" s="333"/>
      <c r="G656" s="333"/>
    </row>
    <row r="657" ht="15.75" customHeight="1">
      <c r="A657" s="333"/>
      <c r="B657" s="333"/>
      <c r="E657" s="333"/>
      <c r="G657" s="333"/>
    </row>
    <row r="658" ht="15.75" customHeight="1">
      <c r="A658" s="333"/>
      <c r="B658" s="333"/>
      <c r="E658" s="333"/>
      <c r="G658" s="333"/>
    </row>
    <row r="659" ht="15.75" customHeight="1">
      <c r="A659" s="333"/>
      <c r="B659" s="333"/>
      <c r="E659" s="333"/>
      <c r="G659" s="333"/>
    </row>
    <row r="660" ht="15.75" customHeight="1">
      <c r="A660" s="333"/>
      <c r="B660" s="333"/>
      <c r="E660" s="333"/>
      <c r="G660" s="333"/>
    </row>
    <row r="661" ht="15.75" customHeight="1">
      <c r="A661" s="333"/>
      <c r="B661" s="333"/>
      <c r="E661" s="333"/>
      <c r="G661" s="333"/>
    </row>
    <row r="662" ht="15.75" customHeight="1">
      <c r="A662" s="333"/>
      <c r="B662" s="333"/>
      <c r="E662" s="333"/>
      <c r="G662" s="333"/>
    </row>
    <row r="663" ht="15.75" customHeight="1">
      <c r="A663" s="333"/>
      <c r="B663" s="333"/>
      <c r="E663" s="333"/>
      <c r="G663" s="333"/>
    </row>
    <row r="664" ht="15.75" customHeight="1">
      <c r="A664" s="333"/>
      <c r="B664" s="333"/>
      <c r="E664" s="333"/>
      <c r="G664" s="333"/>
    </row>
    <row r="665" ht="15.75" customHeight="1">
      <c r="A665" s="333"/>
      <c r="B665" s="333"/>
      <c r="E665" s="333"/>
      <c r="G665" s="333"/>
    </row>
    <row r="666" ht="15.75" customHeight="1">
      <c r="A666" s="333"/>
      <c r="B666" s="333"/>
      <c r="E666" s="333"/>
      <c r="G666" s="333"/>
    </row>
    <row r="667" ht="15.75" customHeight="1">
      <c r="A667" s="333"/>
      <c r="B667" s="333"/>
      <c r="E667" s="333"/>
      <c r="G667" s="333"/>
    </row>
    <row r="668" ht="15.75" customHeight="1">
      <c r="A668" s="333"/>
      <c r="B668" s="333"/>
      <c r="E668" s="333"/>
      <c r="G668" s="333"/>
    </row>
    <row r="669" ht="15.75" customHeight="1">
      <c r="A669" s="333"/>
      <c r="B669" s="333"/>
      <c r="E669" s="333"/>
      <c r="G669" s="333"/>
    </row>
    <row r="670" ht="15.75" customHeight="1">
      <c r="A670" s="333"/>
      <c r="B670" s="333"/>
      <c r="E670" s="333"/>
      <c r="G670" s="333"/>
    </row>
    <row r="671" ht="15.75" customHeight="1">
      <c r="A671" s="333"/>
      <c r="B671" s="333"/>
      <c r="E671" s="333"/>
      <c r="G671" s="333"/>
    </row>
    <row r="672" ht="15.75" customHeight="1">
      <c r="A672" s="333"/>
      <c r="B672" s="333"/>
      <c r="E672" s="333"/>
      <c r="G672" s="333"/>
    </row>
    <row r="673" ht="15.75" customHeight="1">
      <c r="A673" s="333"/>
      <c r="B673" s="333"/>
      <c r="E673" s="333"/>
      <c r="G673" s="333"/>
    </row>
    <row r="674" ht="15.75" customHeight="1">
      <c r="A674" s="333"/>
      <c r="B674" s="333"/>
      <c r="E674" s="333"/>
      <c r="G674" s="333"/>
    </row>
    <row r="675" ht="15.75" customHeight="1">
      <c r="A675" s="333"/>
      <c r="B675" s="333"/>
      <c r="E675" s="333"/>
      <c r="G675" s="333"/>
    </row>
    <row r="676" ht="15.75" customHeight="1">
      <c r="A676" s="333"/>
      <c r="B676" s="333"/>
      <c r="E676" s="333"/>
      <c r="G676" s="333"/>
    </row>
    <row r="677" ht="15.75" customHeight="1">
      <c r="A677" s="333"/>
      <c r="D677" s="333"/>
      <c r="E677" s="333"/>
      <c r="F677" s="333"/>
      <c r="G677" s="333"/>
    </row>
    <row r="678" ht="15.75" customHeight="1">
      <c r="A678" s="333"/>
      <c r="D678" s="333"/>
      <c r="E678" s="333"/>
      <c r="F678" s="333"/>
      <c r="G678" s="333"/>
    </row>
    <row r="679" ht="15.75" customHeight="1">
      <c r="A679" s="333"/>
      <c r="D679" s="333"/>
      <c r="E679" s="333"/>
      <c r="F679" s="333"/>
      <c r="G679" s="333"/>
    </row>
    <row r="680" ht="15.75" customHeight="1">
      <c r="A680" s="333"/>
      <c r="D680" s="333"/>
      <c r="E680" s="333"/>
      <c r="F680" s="333"/>
      <c r="G680" s="333"/>
    </row>
    <row r="681" ht="15.75" customHeight="1">
      <c r="A681" s="333"/>
      <c r="D681" s="333"/>
      <c r="E681" s="333"/>
      <c r="F681" s="333"/>
      <c r="G681" s="333"/>
    </row>
    <row r="682" ht="15.75" customHeight="1">
      <c r="A682" s="333"/>
      <c r="D682" s="333"/>
      <c r="E682" s="333"/>
      <c r="F682" s="333"/>
      <c r="G682" s="333"/>
    </row>
    <row r="683" ht="15.75" customHeight="1">
      <c r="A683" s="333"/>
      <c r="B683" s="333"/>
      <c r="E683" s="333"/>
      <c r="F683" s="333"/>
      <c r="G683" s="333"/>
    </row>
    <row r="684" ht="15.75" customHeight="1">
      <c r="A684" s="333"/>
      <c r="B684" s="333"/>
      <c r="E684" s="333"/>
      <c r="F684" s="333"/>
      <c r="G684" s="333"/>
    </row>
    <row r="685" ht="15.75" customHeight="1">
      <c r="A685" s="333"/>
      <c r="B685" s="333"/>
      <c r="E685" s="333"/>
      <c r="F685" s="333"/>
      <c r="G685" s="333"/>
    </row>
    <row r="686" ht="15.75" customHeight="1">
      <c r="A686" s="333"/>
      <c r="B686" s="333"/>
      <c r="E686" s="333"/>
      <c r="F686" s="333"/>
      <c r="G686" s="333"/>
    </row>
    <row r="687" ht="15.75" customHeight="1">
      <c r="A687" s="333"/>
      <c r="B687" s="333"/>
      <c r="E687" s="333"/>
      <c r="F687" s="333"/>
      <c r="G687" s="333"/>
    </row>
    <row r="688" ht="15.75" customHeight="1">
      <c r="A688" s="333"/>
      <c r="B688" s="333"/>
      <c r="E688" s="333"/>
      <c r="F688" s="333"/>
      <c r="G688" s="333"/>
    </row>
    <row r="689" ht="15.75" customHeight="1">
      <c r="A689" s="333"/>
      <c r="B689" s="333"/>
      <c r="E689" s="333"/>
      <c r="F689" s="333"/>
      <c r="G689" s="333"/>
    </row>
    <row r="690" ht="15.75" customHeight="1">
      <c r="A690" s="333"/>
      <c r="D690" s="333"/>
      <c r="E690" s="333"/>
      <c r="F690" s="333"/>
      <c r="G690" s="333"/>
    </row>
    <row r="691" ht="15.75" customHeight="1">
      <c r="A691" s="333"/>
      <c r="D691" s="333"/>
      <c r="E691" s="333"/>
      <c r="F691" s="333"/>
      <c r="G691" s="333"/>
    </row>
    <row r="692" ht="15.75" customHeight="1">
      <c r="A692" s="333"/>
      <c r="D692" s="333"/>
      <c r="E692" s="333"/>
      <c r="F692" s="333"/>
      <c r="G692" s="333"/>
    </row>
    <row r="693" ht="15.75" customHeight="1">
      <c r="A693" s="333"/>
      <c r="D693" s="333"/>
      <c r="E693" s="333"/>
      <c r="F693" s="333"/>
      <c r="G693" s="333"/>
    </row>
    <row r="694" ht="15.75" customHeight="1">
      <c r="A694" s="333"/>
      <c r="D694" s="333"/>
      <c r="E694" s="333"/>
      <c r="F694" s="333"/>
      <c r="G694" s="333"/>
    </row>
    <row r="695" ht="15.75" customHeight="1">
      <c r="A695" s="333"/>
      <c r="D695" s="333"/>
      <c r="E695" s="333"/>
      <c r="F695" s="333"/>
      <c r="G695" s="333"/>
    </row>
    <row r="696" ht="15.75" customHeight="1">
      <c r="A696" s="333"/>
      <c r="D696" s="333"/>
      <c r="E696" s="333"/>
      <c r="F696" s="333"/>
      <c r="G696" s="333"/>
    </row>
    <row r="697" ht="15.75" customHeight="1">
      <c r="A697" s="333"/>
      <c r="D697" s="333"/>
      <c r="E697" s="333"/>
      <c r="F697" s="333"/>
      <c r="G697" s="333"/>
    </row>
    <row r="698" ht="15.75" customHeight="1">
      <c r="A698" s="333"/>
      <c r="B698" s="333"/>
      <c r="E698" s="333"/>
      <c r="F698" s="333"/>
      <c r="G698" s="333"/>
    </row>
    <row r="699" ht="15.75" customHeight="1">
      <c r="A699" s="333"/>
      <c r="B699" s="333"/>
      <c r="E699" s="333"/>
      <c r="F699" s="333"/>
      <c r="G699" s="333"/>
    </row>
    <row r="700" ht="15.75" customHeight="1">
      <c r="A700" s="333"/>
      <c r="B700" s="333"/>
      <c r="E700" s="333"/>
      <c r="F700" s="333"/>
      <c r="G700" s="333"/>
    </row>
    <row r="701" ht="15.75" customHeight="1">
      <c r="A701" s="333"/>
      <c r="D701" s="333"/>
      <c r="E701" s="333"/>
      <c r="F701" s="333"/>
      <c r="G701" s="333"/>
    </row>
    <row r="702" ht="15.75" customHeight="1">
      <c r="A702" s="333"/>
      <c r="B702" s="333"/>
      <c r="E702" s="333"/>
      <c r="F702" s="333"/>
      <c r="G702" s="333"/>
    </row>
    <row r="703" ht="15.75" customHeight="1">
      <c r="A703" s="333"/>
      <c r="B703" s="333"/>
      <c r="E703" s="333"/>
      <c r="F703" s="333"/>
      <c r="G703" s="333"/>
    </row>
    <row r="704" ht="15.75" customHeight="1">
      <c r="A704" s="333"/>
      <c r="B704" s="333"/>
      <c r="E704" s="333"/>
      <c r="F704" s="333"/>
      <c r="G704" s="333"/>
    </row>
    <row r="705" ht="15.75" customHeight="1">
      <c r="A705" s="333"/>
      <c r="B705" s="333"/>
      <c r="E705" s="333"/>
      <c r="F705" s="333"/>
      <c r="G705" s="333"/>
    </row>
    <row r="706" ht="15.75" customHeight="1">
      <c r="A706" s="333"/>
      <c r="B706" s="333"/>
      <c r="E706" s="333"/>
      <c r="F706" s="333"/>
      <c r="G706" s="333"/>
    </row>
    <row r="707" ht="15.75" customHeight="1">
      <c r="A707" s="333"/>
      <c r="B707" s="333"/>
      <c r="E707" s="333"/>
      <c r="F707" s="333"/>
      <c r="G707" s="333"/>
    </row>
    <row r="708" ht="15.75" customHeight="1">
      <c r="A708" s="333"/>
      <c r="B708" s="333"/>
      <c r="E708" s="333"/>
      <c r="F708" s="333"/>
      <c r="G708" s="333"/>
    </row>
    <row r="709" ht="15.75" customHeight="1">
      <c r="A709" s="333"/>
      <c r="B709" s="333"/>
      <c r="E709" s="333"/>
      <c r="F709" s="333"/>
      <c r="G709" s="333"/>
    </row>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